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5.xml" ContentType="application/vnd.openxmlformats-officedocument.drawingml.chartshapes+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style1.xml" ContentType="application/vnd.ms-office.chartstyle+xml"/>
  <Override PartName="/xl/charts/colors1.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2.xml" ContentType="application/vnd.ms-office.chartstyle+xml"/>
  <Override PartName="/xl/charts/colors2.xml" ContentType="application/vnd.ms-office.chartcolorstyle+xml"/>
  <Override PartName="/xl/drawings/drawing7.xml" ContentType="application/vnd.openxmlformats-officedocument.drawingml.chartshapes+xml"/>
  <Override PartName="/xl/charts/chart7.xml" ContentType="application/vnd.openxmlformats-officedocument.drawingml.chart+xml"/>
  <Override PartName="/xl/charts/style3.xml" ContentType="application/vnd.ms-office.chartstyle+xml"/>
  <Override PartName="/xl/charts/colors3.xml" ContentType="application/vnd.ms-office.chartcolorstyle+xml"/>
  <Override PartName="/xl/drawings/drawing8.xml" ContentType="application/vnd.openxmlformats-officedocument.drawingml.chartshapes+xml"/>
  <Override PartName="/xl/charts/chart8.xml" ContentType="application/vnd.openxmlformats-officedocument.drawingml.chart+xml"/>
  <Override PartName="/xl/charts/style4.xml" ContentType="application/vnd.ms-office.chartstyle+xml"/>
  <Override PartName="/xl/charts/colors4.xml" ContentType="application/vnd.ms-office.chartcolorstyle+xml"/>
  <Override PartName="/xl/drawings/drawing9.xml" ContentType="application/vnd.openxmlformats-officedocument.drawingml.chartshapes+xml"/>
  <Override PartName="/xl/charts/chart9.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0.xml" ContentType="application/vnd.openxmlformats-officedocument.drawingml.chartshapes+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updateLinks="always" codeName="ThisWorkbook" defaultThemeVersion="124226"/>
  <mc:AlternateContent xmlns:mc="http://schemas.openxmlformats.org/markup-compatibility/2006">
    <mc:Choice Requires="x15">
      <x15ac:absPath xmlns:x15ac="http://schemas.microsoft.com/office/spreadsheetml/2010/11/ac" url="C:\Users\KevinWatson-Hoy\Downloads\"/>
    </mc:Choice>
  </mc:AlternateContent>
  <xr:revisionPtr revIDLastSave="0" documentId="8_{0E6477F6-C2D3-403A-BBA0-A22DD69FDC5F}" xr6:coauthVersionLast="47" xr6:coauthVersionMax="47" xr10:uidLastSave="{00000000-0000-0000-0000-000000000000}"/>
  <bookViews>
    <workbookView xWindow="-98" yWindow="-98" windowWidth="21795" windowHeight="13875" tabRatio="786" xr2:uid="{00000000-000D-0000-FFFF-FFFF00000000}"/>
  </bookViews>
  <sheets>
    <sheet name="Introduction and Contents" sheetId="20" r:id="rId1"/>
    <sheet name="Glossary" sheetId="21" r:id="rId2"/>
    <sheet name="Version History" sheetId="22" r:id="rId3"/>
    <sheet name="Area Summary" sheetId="10" r:id="rId4"/>
    <sheet name="LARPs and PRPs in region" sheetId="5" r:id="rId5"/>
    <sheet name="How to use the search function" sheetId="23" r:id="rId6"/>
    <sheet name="Flat_File" sheetId="24" state="veryHidden" r:id="rId7"/>
    <sheet name="Lookup source" sheetId="6" state="veryHidden" r:id="rId8"/>
    <sheet name="totals_&amp;_RP_counts" sheetId="8" state="veryHidden" r:id="rId9"/>
    <sheet name="Search box config" sheetId="17" state="veryHidden" r:id="rId10"/>
    <sheet name="STOCK_BY_LA" sheetId="7" state="veryHidden" r:id="rId11"/>
  </sheets>
  <definedNames>
    <definedName name="_xlnm._FilterDatabase" localSheetId="9" hidden="1">'Search box config'!$D$1:$E$2</definedName>
    <definedName name="_xlnm._FilterDatabase" localSheetId="10" hidden="1">STOCK_BY_LA!$A$1:$M$12561</definedName>
    <definedName name="_xlnm._FilterDatabase" localSheetId="8" hidden="1">'totals_&amp;_RP_counts'!$A$1:$G$1728</definedName>
    <definedName name="LOOKUP_SCE">'Lookup source'!$B$1:$CJ$306</definedName>
    <definedName name="LookupMaster">'Area Summary'!$E$3</definedName>
    <definedName name="RP_LA_Count">'totals_&amp;_RP_counts'!$J$2:$K$1181</definedName>
    <definedName name="RP_LARP_Counts">LA_RP_COUNTS[#All]</definedName>
    <definedName name="RP_Totals">'totals_&amp;_RP_counts'!$B$2:$G$1714</definedName>
    <definedName name="Stock_By_LA">STOCK_BY_LA!$H$2:$M$12561</definedName>
    <definedName name="Validation_List_2">OFFSET('Search box config'!$E$2,,,COUNTIF('Search box config'!$E$2:$E$324,"?*"))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 i="10" l="1" a="1"/>
  <c r="E4" i="10" s="1"/>
  <c r="F17" i="10" l="1"/>
  <c r="J3" i="10" l="1"/>
  <c r="A10470" i="7"/>
  <c r="A10471" i="7"/>
  <c r="A10472" i="7"/>
  <c r="A10473" i="7"/>
  <c r="A10474" i="7"/>
  <c r="A10475" i="7"/>
  <c r="A10476" i="7"/>
  <c r="A10477" i="7"/>
  <c r="A10469" i="7"/>
  <c r="J5" i="10" l="1"/>
  <c r="F18" i="10"/>
  <c r="E18" i="10"/>
  <c r="F16" i="10"/>
  <c r="E17" i="10"/>
  <c r="E16" i="10"/>
  <c r="G18" i="10" l="1"/>
  <c r="P5" i="10"/>
  <c r="B6" i="5" l="1"/>
  <c r="C7" i="5" s="1" a="1"/>
  <c r="C7" i="5" s="1"/>
  <c r="J4" i="10" l="1"/>
  <c r="G227" i="10" l="1"/>
  <c r="F227" i="10"/>
  <c r="E227" i="10"/>
  <c r="D227" i="10"/>
  <c r="C227" i="10"/>
  <c r="G226" i="10"/>
  <c r="F226" i="10"/>
  <c r="E226" i="10"/>
  <c r="D226" i="10"/>
  <c r="C226" i="10"/>
  <c r="G225" i="10"/>
  <c r="F225" i="10"/>
  <c r="E225" i="10"/>
  <c r="D225" i="10"/>
  <c r="C225" i="10"/>
  <c r="G224" i="10"/>
  <c r="F224" i="10"/>
  <c r="E224" i="10"/>
  <c r="D224" i="10"/>
  <c r="C224" i="10"/>
  <c r="G223" i="10"/>
  <c r="F223" i="10"/>
  <c r="E223" i="10"/>
  <c r="D223" i="10"/>
  <c r="C223" i="10"/>
  <c r="G222" i="10"/>
  <c r="F222" i="10"/>
  <c r="E222" i="10"/>
  <c r="D222" i="10"/>
  <c r="C222" i="10"/>
  <c r="G221" i="10"/>
  <c r="F221" i="10"/>
  <c r="E221" i="10"/>
  <c r="D221" i="10"/>
  <c r="C221" i="10"/>
  <c r="G220" i="10"/>
  <c r="F220" i="10"/>
  <c r="E220" i="10"/>
  <c r="D220" i="10"/>
  <c r="C220" i="10"/>
  <c r="G206" i="10"/>
  <c r="F206" i="10"/>
  <c r="E206" i="10"/>
  <c r="D206" i="10"/>
  <c r="C206" i="10"/>
  <c r="G205" i="10"/>
  <c r="F205" i="10"/>
  <c r="E205" i="10"/>
  <c r="D205" i="10"/>
  <c r="C205" i="10"/>
  <c r="G204" i="10"/>
  <c r="F204" i="10"/>
  <c r="E204" i="10"/>
  <c r="D204" i="10"/>
  <c r="C204" i="10"/>
  <c r="G203" i="10"/>
  <c r="F203" i="10"/>
  <c r="E203" i="10"/>
  <c r="D203" i="10"/>
  <c r="C203" i="10"/>
  <c r="G202" i="10"/>
  <c r="F202" i="10"/>
  <c r="E202" i="10"/>
  <c r="D202" i="10"/>
  <c r="C202" i="10"/>
  <c r="G201" i="10"/>
  <c r="F201" i="10"/>
  <c r="E201" i="10"/>
  <c r="D201" i="10"/>
  <c r="C201" i="10"/>
  <c r="G200" i="10"/>
  <c r="F200" i="10"/>
  <c r="E200" i="10"/>
  <c r="D200" i="10"/>
  <c r="C200" i="10"/>
  <c r="G199" i="10"/>
  <c r="F199" i="10"/>
  <c r="E199" i="10"/>
  <c r="D199" i="10"/>
  <c r="C199" i="10"/>
  <c r="G198" i="10"/>
  <c r="F198" i="10"/>
  <c r="E198" i="10"/>
  <c r="D198" i="10"/>
  <c r="C198" i="10"/>
  <c r="G197" i="10"/>
  <c r="F197" i="10"/>
  <c r="E197" i="10"/>
  <c r="D197" i="10"/>
  <c r="C197" i="10"/>
  <c r="G178" i="10"/>
  <c r="F178" i="10"/>
  <c r="E178" i="10"/>
  <c r="D178" i="10"/>
  <c r="C178" i="10"/>
  <c r="G174" i="10"/>
  <c r="F174" i="10"/>
  <c r="E174" i="10"/>
  <c r="D174" i="10"/>
  <c r="C174" i="10"/>
  <c r="G157" i="10"/>
  <c r="F157" i="10"/>
  <c r="E157" i="10"/>
  <c r="D157" i="10"/>
  <c r="C157" i="10"/>
  <c r="G153" i="10"/>
  <c r="F153" i="10"/>
  <c r="E153" i="10"/>
  <c r="D153" i="10"/>
  <c r="C153" i="10"/>
  <c r="G135" i="10"/>
  <c r="F135" i="10"/>
  <c r="E135" i="10"/>
  <c r="D135" i="10"/>
  <c r="C135" i="10"/>
  <c r="G134" i="10"/>
  <c r="F134" i="10"/>
  <c r="E134" i="10"/>
  <c r="D134" i="10"/>
  <c r="C134" i="10"/>
  <c r="G133" i="10"/>
  <c r="F133" i="10"/>
  <c r="E133" i="10"/>
  <c r="D133" i="10"/>
  <c r="C133" i="10"/>
  <c r="G132" i="10"/>
  <c r="F132" i="10"/>
  <c r="E132" i="10"/>
  <c r="D132" i="10"/>
  <c r="C132" i="10"/>
  <c r="G131" i="10"/>
  <c r="F131" i="10"/>
  <c r="E131" i="10"/>
  <c r="D131" i="10"/>
  <c r="C131" i="10"/>
  <c r="G130" i="10"/>
  <c r="F130" i="10"/>
  <c r="E130" i="10"/>
  <c r="D130" i="10"/>
  <c r="C130" i="10"/>
  <c r="G129" i="10"/>
  <c r="F129" i="10"/>
  <c r="E129" i="10"/>
  <c r="D129" i="10"/>
  <c r="C129" i="10"/>
  <c r="G128" i="10"/>
  <c r="F128" i="10"/>
  <c r="E128" i="10"/>
  <c r="D128" i="10"/>
  <c r="C128" i="10"/>
  <c r="G113" i="10"/>
  <c r="F113" i="10"/>
  <c r="E113" i="10"/>
  <c r="D113" i="10"/>
  <c r="C113" i="10"/>
  <c r="G114" i="10"/>
  <c r="F114" i="10"/>
  <c r="E114" i="10"/>
  <c r="D114" i="10"/>
  <c r="C114" i="10"/>
  <c r="G112" i="10"/>
  <c r="F112" i="10"/>
  <c r="E112" i="10"/>
  <c r="D112" i="10"/>
  <c r="C112" i="10"/>
  <c r="G111" i="10"/>
  <c r="F111" i="10"/>
  <c r="E111" i="10"/>
  <c r="D111" i="10"/>
  <c r="C111" i="10"/>
  <c r="G110" i="10"/>
  <c r="F110" i="10"/>
  <c r="E110" i="10"/>
  <c r="D110" i="10"/>
  <c r="C110" i="10"/>
  <c r="G109" i="10"/>
  <c r="F109" i="10"/>
  <c r="E109" i="10"/>
  <c r="D109" i="10"/>
  <c r="C109" i="10"/>
  <c r="G108" i="10"/>
  <c r="F108" i="10"/>
  <c r="E108" i="10"/>
  <c r="D108" i="10"/>
  <c r="C108" i="10"/>
  <c r="G107" i="10"/>
  <c r="F107" i="10"/>
  <c r="E107" i="10"/>
  <c r="D107" i="10"/>
  <c r="C107" i="10"/>
  <c r="G106" i="10"/>
  <c r="F106" i="10"/>
  <c r="E106" i="10"/>
  <c r="D106" i="10"/>
  <c r="C106" i="10"/>
  <c r="E25" i="10" l="1"/>
  <c r="F25" i="10"/>
  <c r="E19" i="10"/>
  <c r="C105" i="10"/>
  <c r="D105" i="10"/>
  <c r="F105" i="10"/>
  <c r="G105" i="10"/>
  <c r="F19" i="10"/>
  <c r="E105" i="10"/>
  <c r="G87" i="10" l="1"/>
  <c r="F87" i="10"/>
  <c r="E87" i="10"/>
  <c r="D87" i="10"/>
  <c r="C87" i="10"/>
  <c r="G83" i="10"/>
  <c r="F83" i="10"/>
  <c r="E83" i="10"/>
  <c r="D83" i="10"/>
  <c r="C83" i="10"/>
  <c r="G59" i="10"/>
  <c r="F59" i="10"/>
  <c r="E59" i="10"/>
  <c r="D59" i="10"/>
  <c r="C59" i="10"/>
  <c r="P195" i="10" l="1"/>
  <c r="P192" i="10"/>
  <c r="B29" i="10" l="1"/>
  <c r="B8" i="10"/>
  <c r="P8" i="10" l="1"/>
  <c r="A2" i="17" l="1"/>
  <c r="A3" i="17" l="1"/>
  <c r="A4" i="17" s="1"/>
  <c r="A5" i="17" s="1"/>
  <c r="A6" i="17" l="1"/>
  <c r="A7" i="17" l="1"/>
  <c r="A8" i="17" l="1"/>
  <c r="A9" i="17" l="1"/>
  <c r="A10" i="17" l="1"/>
  <c r="A11" i="17" l="1"/>
  <c r="A12" i="17" s="1"/>
  <c r="A13" i="17" l="1"/>
  <c r="A14" i="17" l="1"/>
  <c r="A15" i="17" s="1"/>
  <c r="A16" i="17" s="1"/>
  <c r="A17" i="17" s="1"/>
  <c r="E5" i="10"/>
  <c r="A18" i="17" l="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A124" i="17" s="1"/>
  <c r="A125" i="17" s="1"/>
  <c r="A126" i="17" s="1"/>
  <c r="A127" i="17" s="1"/>
  <c r="A128" i="17" s="1"/>
  <c r="A129" i="17" s="1"/>
  <c r="A130" i="17" s="1"/>
  <c r="A131" i="17" s="1"/>
  <c r="A132" i="17" s="1"/>
  <c r="A133" i="17" s="1"/>
  <c r="A134" i="17" s="1"/>
  <c r="A135" i="17" s="1"/>
  <c r="A136" i="17" s="1"/>
  <c r="A137" i="17" s="1"/>
  <c r="A138" i="17" s="1"/>
  <c r="A139" i="17" s="1"/>
  <c r="A140" i="17" s="1"/>
  <c r="A141" i="17" s="1"/>
  <c r="A142" i="17" s="1"/>
  <c r="A143" i="17" s="1"/>
  <c r="A144" i="17" s="1"/>
  <c r="A145" i="17" s="1"/>
  <c r="A146" i="17" s="1"/>
  <c r="A147" i="17" s="1"/>
  <c r="A148" i="17" s="1"/>
  <c r="A149" i="17" s="1"/>
  <c r="A150" i="17" s="1"/>
  <c r="A151" i="17" s="1"/>
  <c r="A152" i="17" s="1"/>
  <c r="A153" i="17" s="1"/>
  <c r="A154" i="17" s="1"/>
  <c r="A155" i="17" s="1"/>
  <c r="A156" i="17" s="1"/>
  <c r="A157" i="17" s="1"/>
  <c r="A158" i="17" s="1"/>
  <c r="A159" i="17" s="1"/>
  <c r="A160" i="17" s="1"/>
  <c r="A161" i="17" s="1"/>
  <c r="A162" i="17" s="1"/>
  <c r="A163" i="17" s="1"/>
  <c r="A164" i="17" s="1"/>
  <c r="A165" i="17" s="1"/>
  <c r="A166" i="17" s="1"/>
  <c r="A167" i="17" s="1"/>
  <c r="A168" i="17" s="1"/>
  <c r="A169" i="17" s="1"/>
  <c r="A170" i="17" s="1"/>
  <c r="A171" i="17" s="1"/>
  <c r="A172" i="17" s="1"/>
  <c r="A173" i="17" s="1"/>
  <c r="A174" i="17" s="1"/>
  <c r="A175" i="17" s="1"/>
  <c r="A176" i="17" s="1"/>
  <c r="A177" i="17" s="1"/>
  <c r="A178" i="17" s="1"/>
  <c r="A179" i="17" s="1"/>
  <c r="A180" i="17" s="1"/>
  <c r="A181" i="17" s="1"/>
  <c r="A182" i="17" s="1"/>
  <c r="A183" i="17" s="1"/>
  <c r="A184" i="17" s="1"/>
  <c r="A185" i="17" s="1"/>
  <c r="A186" i="17" s="1"/>
  <c r="A187" i="17" s="1"/>
  <c r="A188" i="17" s="1"/>
  <c r="A189" i="17" s="1"/>
  <c r="A190" i="17" s="1"/>
  <c r="A191" i="17" s="1"/>
  <c r="A192" i="17" s="1"/>
  <c r="A193" i="17" s="1"/>
  <c r="A194" i="17" s="1"/>
  <c r="A195" i="17" s="1"/>
  <c r="A196" i="17" s="1"/>
  <c r="A197" i="17" s="1"/>
  <c r="A198" i="17" s="1"/>
  <c r="A199" i="17" s="1"/>
  <c r="A200" i="17" s="1"/>
  <c r="A201" i="17" s="1"/>
  <c r="A202" i="17" s="1"/>
  <c r="A203" i="17" s="1"/>
  <c r="A204" i="17" s="1"/>
  <c r="A205" i="17" s="1"/>
  <c r="A206" i="17" s="1"/>
  <c r="A207" i="17" s="1"/>
  <c r="A208" i="17" s="1"/>
  <c r="A209" i="17" s="1"/>
  <c r="A210" i="17" s="1"/>
  <c r="A211" i="17" s="1"/>
  <c r="A212" i="17" s="1"/>
  <c r="A213" i="17" s="1"/>
  <c r="A214" i="17" s="1"/>
  <c r="A215" i="17" s="1"/>
  <c r="A216" i="17" s="1"/>
  <c r="A217" i="17" s="1"/>
  <c r="A218" i="17" s="1"/>
  <c r="A219" i="17" s="1"/>
  <c r="A220" i="17" s="1"/>
  <c r="A221" i="17" s="1"/>
  <c r="A222" i="17" s="1"/>
  <c r="A223" i="17" s="1"/>
  <c r="A224" i="17" s="1"/>
  <c r="A225" i="17" s="1"/>
  <c r="A226" i="17" s="1"/>
  <c r="A227" i="17" s="1"/>
  <c r="A228" i="17" s="1"/>
  <c r="A229" i="17" s="1"/>
  <c r="A230" i="17" s="1"/>
  <c r="A231" i="17" s="1"/>
  <c r="A232" i="17" s="1"/>
  <c r="A233" i="17" s="1"/>
  <c r="A234" i="17" s="1"/>
  <c r="A235" i="17" s="1"/>
  <c r="A236" i="17" s="1"/>
  <c r="A237" i="17" s="1"/>
  <c r="A238" i="17" s="1"/>
  <c r="A239" i="17" s="1"/>
  <c r="A240" i="17" s="1"/>
  <c r="A241" i="17" s="1"/>
  <c r="A242" i="17" s="1"/>
  <c r="A243" i="17" s="1"/>
  <c r="A244" i="17" s="1"/>
  <c r="A245" i="17" s="1"/>
  <c r="A246" i="17" s="1"/>
  <c r="A247" i="17" s="1"/>
  <c r="A248" i="17" s="1"/>
  <c r="A249" i="17" s="1"/>
  <c r="A250" i="17" s="1"/>
  <c r="A251" i="17" s="1"/>
  <c r="A252" i="17" s="1"/>
  <c r="A253" i="17" s="1"/>
  <c r="A254" i="17" s="1"/>
  <c r="A255" i="17" s="1"/>
  <c r="A256" i="17" s="1"/>
  <c r="A257" i="17" s="1"/>
  <c r="A258" i="17" s="1"/>
  <c r="A259" i="17" s="1"/>
  <c r="A260" i="17" s="1"/>
  <c r="A261" i="17" s="1"/>
  <c r="A262" i="17" s="1"/>
  <c r="A263" i="17" s="1"/>
  <c r="A264" i="17" s="1"/>
  <c r="A265" i="17" s="1"/>
  <c r="A266" i="17" s="1"/>
  <c r="A267" i="17" s="1"/>
  <c r="A268" i="17" s="1"/>
  <c r="A269" i="17" s="1"/>
  <c r="A270" i="17" s="1"/>
  <c r="A271" i="17" s="1"/>
  <c r="A272" i="17" s="1"/>
  <c r="A273" i="17" s="1"/>
  <c r="A274" i="17" s="1"/>
  <c r="A275" i="17" s="1"/>
  <c r="A276" i="17" s="1"/>
  <c r="A277" i="17" s="1"/>
  <c r="A278" i="17" s="1"/>
  <c r="A279" i="17" s="1"/>
  <c r="A280" i="17" s="1"/>
  <c r="A281" i="17" s="1"/>
  <c r="A282" i="17" s="1"/>
  <c r="A283" i="17" s="1"/>
  <c r="A284" i="17" s="1"/>
  <c r="A285" i="17" s="1"/>
  <c r="A286" i="17" s="1"/>
  <c r="A287" i="17" s="1"/>
  <c r="A288" i="17" s="1"/>
  <c r="A289" i="17" s="1"/>
  <c r="A290" i="17" s="1"/>
  <c r="A291" i="17" s="1"/>
  <c r="A292" i="17" s="1"/>
  <c r="A293" i="17" s="1"/>
  <c r="A294" i="17" s="1"/>
  <c r="A295" i="17" s="1"/>
  <c r="A296" i="17" s="1"/>
  <c r="A297" i="17" s="1"/>
  <c r="A298" i="17" s="1"/>
  <c r="A299" i="17" s="1"/>
  <c r="A300" i="17" s="1"/>
  <c r="A301" i="17" s="1"/>
  <c r="A302" i="17" s="1"/>
  <c r="A303" i="17" s="1"/>
  <c r="A304" i="17" s="1"/>
  <c r="A305" i="17" s="1"/>
  <c r="A306" i="17" s="1"/>
  <c r="A307" i="17" s="1"/>
  <c r="P193" i="10"/>
  <c r="P196" i="10"/>
  <c r="E2" i="17" l="1"/>
  <c r="E4" i="17"/>
  <c r="E3" i="17"/>
  <c r="E6" i="17"/>
  <c r="E5" i="17"/>
  <c r="E7" i="17"/>
  <c r="E8" i="17"/>
  <c r="E9" i="17"/>
  <c r="E10" i="17"/>
  <c r="E267" i="17"/>
  <c r="E154" i="17"/>
  <c r="E68" i="17"/>
  <c r="E203" i="17"/>
  <c r="E248" i="17"/>
  <c r="E146" i="17"/>
  <c r="E276" i="17"/>
  <c r="E60" i="17"/>
  <c r="E249" i="17"/>
  <c r="E213" i="17"/>
  <c r="E215" i="17"/>
  <c r="E305" i="17"/>
  <c r="E196" i="17"/>
  <c r="E185" i="17"/>
  <c r="E197" i="17"/>
  <c r="E261" i="17"/>
  <c r="E183" i="17"/>
  <c r="E221" i="17"/>
  <c r="E27" i="17"/>
  <c r="E289" i="17"/>
  <c r="E306" i="17"/>
  <c r="E188" i="17"/>
  <c r="E21" i="17"/>
  <c r="E250" i="17"/>
  <c r="E58" i="17"/>
  <c r="E104" i="17"/>
  <c r="E71" i="17"/>
  <c r="E282" i="17"/>
  <c r="E147" i="17"/>
  <c r="E43" i="17"/>
  <c r="E30" i="17"/>
  <c r="E90" i="17"/>
  <c r="E136" i="17"/>
  <c r="E184" i="17"/>
  <c r="E101" i="17"/>
  <c r="E214" i="17"/>
  <c r="E160" i="17"/>
  <c r="E12" i="17"/>
  <c r="E299" i="17"/>
  <c r="E93" i="17"/>
  <c r="E29" i="17"/>
  <c r="E297" i="17"/>
  <c r="E54" i="17"/>
  <c r="E233" i="17"/>
  <c r="E99" i="17"/>
  <c r="E169" i="17"/>
  <c r="E11" i="17"/>
  <c r="E281" i="17"/>
  <c r="E240" i="17"/>
  <c r="E84" i="17"/>
  <c r="E241" i="17"/>
  <c r="E271" i="17"/>
  <c r="E193" i="17"/>
  <c r="E171" i="17"/>
  <c r="E167" i="17"/>
  <c r="E105" i="17"/>
  <c r="E252" i="17"/>
  <c r="E200" i="17"/>
  <c r="E243" i="17"/>
  <c r="E149" i="17"/>
  <c r="E275" i="17"/>
  <c r="E79" i="17"/>
  <c r="E202" i="17"/>
  <c r="E78" i="17"/>
  <c r="E135" i="17"/>
  <c r="E239" i="17"/>
  <c r="E103" i="17"/>
  <c r="E194" i="17"/>
  <c r="E293" i="17"/>
  <c r="E130" i="17"/>
  <c r="E96" i="17"/>
  <c r="E76" i="17"/>
  <c r="E20" i="17"/>
  <c r="E122" i="17"/>
  <c r="E206" i="17"/>
  <c r="E111" i="17"/>
  <c r="E155" i="17"/>
  <c r="E208" i="17"/>
  <c r="E124" i="17"/>
  <c r="E148" i="17"/>
  <c r="E57" i="17"/>
  <c r="E161" i="17"/>
  <c r="E180" i="17"/>
  <c r="E174" i="17"/>
  <c r="E218" i="17"/>
  <c r="E18" i="17"/>
  <c r="E66" i="17"/>
  <c r="E13" i="17"/>
  <c r="E87" i="17"/>
  <c r="E88" i="17"/>
  <c r="E37" i="17"/>
  <c r="E176" i="17"/>
  <c r="E211" i="17"/>
  <c r="E259" i="17"/>
  <c r="E266" i="17"/>
  <c r="E244" i="17"/>
  <c r="E177" i="17"/>
  <c r="E74" i="17"/>
  <c r="E302" i="17"/>
  <c r="E216" i="17"/>
  <c r="E223" i="17"/>
  <c r="E77" i="17"/>
  <c r="E118" i="17"/>
  <c r="E61" i="17"/>
  <c r="E296" i="17"/>
  <c r="E35" i="17"/>
  <c r="E219" i="17"/>
  <c r="E210" i="17"/>
  <c r="E186" i="17"/>
  <c r="E270" i="17"/>
  <c r="E138" i="17"/>
  <c r="E17" i="17"/>
  <c r="E91" i="17"/>
  <c r="E264" i="17"/>
  <c r="E115" i="17"/>
  <c r="E38" i="17"/>
  <c r="E52" i="17"/>
  <c r="E132" i="17"/>
  <c r="E247" i="17"/>
  <c r="E274" i="17"/>
  <c r="E165" i="17"/>
  <c r="E62" i="17"/>
  <c r="E48" i="17"/>
  <c r="E55" i="17"/>
  <c r="E152" i="17"/>
  <c r="E303" i="17"/>
  <c r="E283" i="17"/>
  <c r="E279" i="17"/>
  <c r="E262" i="17"/>
  <c r="E33" i="17"/>
  <c r="E19" i="17"/>
  <c r="E253" i="17"/>
  <c r="E205" i="17"/>
  <c r="E157" i="17"/>
  <c r="E150" i="17"/>
  <c r="E85" i="17"/>
  <c r="E133" i="17"/>
  <c r="E116" i="17"/>
  <c r="E163" i="17"/>
  <c r="E269" i="17"/>
  <c r="E204" i="17"/>
  <c r="E45" i="17"/>
  <c r="E198" i="17"/>
  <c r="E31" i="17"/>
  <c r="E191" i="17"/>
  <c r="E65" i="17"/>
  <c r="E273" i="17"/>
  <c r="E97" i="17"/>
  <c r="E23" i="17"/>
  <c r="E49" i="17"/>
  <c r="E158" i="17"/>
  <c r="E141" i="17"/>
  <c r="E69" i="17"/>
  <c r="E207" i="17"/>
  <c r="E190" i="17"/>
  <c r="E134" i="17"/>
  <c r="E277" i="17"/>
  <c r="E100" i="17"/>
  <c r="E129" i="17"/>
  <c r="E46" i="17"/>
  <c r="E225" i="17"/>
  <c r="E231" i="17"/>
  <c r="E175" i="17"/>
  <c r="E15" i="17"/>
  <c r="E199" i="17"/>
  <c r="E112" i="17"/>
  <c r="E260" i="17"/>
  <c r="E217" i="17"/>
  <c r="E290" i="17"/>
  <c r="E56" i="17"/>
  <c r="E232" i="17"/>
  <c r="E181" i="17"/>
  <c r="E288" i="17"/>
  <c r="E140" i="17"/>
  <c r="E235" i="17"/>
  <c r="E144" i="17"/>
  <c r="E131" i="17"/>
  <c r="E246" i="17"/>
  <c r="E143" i="17"/>
  <c r="E230" i="17"/>
  <c r="E227" i="17"/>
  <c r="E168" i="17"/>
  <c r="E307" i="17"/>
  <c r="E256" i="17"/>
  <c r="E86" i="17"/>
  <c r="E173" i="17"/>
  <c r="E195" i="17"/>
  <c r="E192" i="17"/>
  <c r="E272" i="17"/>
  <c r="E226" i="17"/>
  <c r="E51" i="17"/>
  <c r="E16" i="17"/>
  <c r="E24" i="17"/>
  <c r="E228" i="17"/>
  <c r="E41" i="17"/>
  <c r="E142" i="17"/>
  <c r="E224" i="17"/>
  <c r="E254" i="17"/>
  <c r="E108" i="17"/>
  <c r="E238" i="17"/>
  <c r="E114" i="17"/>
  <c r="E280" i="17"/>
  <c r="E301" i="17"/>
  <c r="E292" i="17"/>
  <c r="E47" i="17"/>
  <c r="E268" i="17"/>
  <c r="E212" i="17"/>
  <c r="E34" i="17"/>
  <c r="E265" i="17"/>
  <c r="E32" i="17"/>
  <c r="E14" i="17"/>
  <c r="E107" i="17"/>
  <c r="E284" i="17"/>
  <c r="E245" i="17"/>
  <c r="E98" i="17"/>
  <c r="E263" i="17"/>
  <c r="E64" i="17"/>
  <c r="E95" i="17"/>
  <c r="E127" i="17"/>
  <c r="E258" i="17"/>
  <c r="E26" i="17"/>
  <c r="E291" i="17"/>
  <c r="E172" i="17"/>
  <c r="E286" i="17"/>
  <c r="E139" i="17"/>
  <c r="E201" i="17"/>
  <c r="E28" i="17"/>
  <c r="E298" i="17"/>
  <c r="E109" i="17"/>
  <c r="E209" i="17"/>
  <c r="E128" i="17"/>
  <c r="E182" i="17"/>
  <c r="E113" i="17"/>
  <c r="E102" i="17"/>
  <c r="E189" i="17"/>
  <c r="E75" i="17"/>
  <c r="E156" i="17"/>
  <c r="E294" i="17"/>
  <c r="E82" i="17"/>
  <c r="E42" i="17"/>
  <c r="E220" i="17"/>
  <c r="E236" i="17"/>
  <c r="E106" i="17"/>
  <c r="E89" i="17"/>
  <c r="E304" i="17"/>
  <c r="E81" i="17"/>
  <c r="E187" i="17"/>
  <c r="E92" i="17"/>
  <c r="E287" i="17"/>
  <c r="E257" i="17"/>
  <c r="E278" i="17"/>
  <c r="E179" i="17"/>
  <c r="E94" i="17"/>
  <c r="E73" i="17"/>
  <c r="E145" i="17"/>
  <c r="E53" i="17"/>
  <c r="E164" i="17"/>
  <c r="E300" i="17"/>
  <c r="E50" i="17"/>
  <c r="E137" i="17"/>
  <c r="E153" i="17"/>
  <c r="E125" i="17"/>
  <c r="E285" i="17"/>
  <c r="E80" i="17"/>
  <c r="E255" i="17"/>
  <c r="E110" i="17"/>
  <c r="E222" i="17"/>
  <c r="E121" i="17"/>
  <c r="E237" i="17"/>
  <c r="E40" i="17"/>
  <c r="E229" i="17"/>
  <c r="E59" i="17"/>
  <c r="E162" i="17"/>
  <c r="E120" i="17"/>
  <c r="E83" i="17"/>
  <c r="E72" i="17"/>
  <c r="E166" i="17"/>
  <c r="E22" i="17"/>
  <c r="E126" i="17"/>
  <c r="E123" i="17"/>
  <c r="E63" i="17"/>
  <c r="E119" i="17"/>
  <c r="E36" i="17"/>
  <c r="E25" i="17"/>
  <c r="E70" i="17"/>
  <c r="E117" i="17"/>
  <c r="E159" i="17"/>
  <c r="E234" i="17"/>
  <c r="E242" i="17"/>
  <c r="E67" i="17"/>
  <c r="E151" i="17"/>
  <c r="E295" i="17"/>
  <c r="E44" i="17"/>
  <c r="E178" i="17"/>
  <c r="E251" i="17"/>
  <c r="E170" i="17"/>
  <c r="E39" i="17"/>
  <c r="B63" i="10" l="1"/>
  <c r="G63" i="10" l="1"/>
  <c r="F63" i="10"/>
  <c r="E63" i="10"/>
  <c r="D63" i="10"/>
  <c r="C63" i="10"/>
  <c r="B59" i="10"/>
  <c r="B83" i="10"/>
  <c r="B61" i="10"/>
  <c r="B176" i="10"/>
  <c r="B174" i="10"/>
  <c r="B155" i="10"/>
  <c r="B153" i="10"/>
  <c r="B85" i="10"/>
  <c r="B42" i="10"/>
  <c r="G85" i="10" l="1"/>
  <c r="F85" i="10"/>
  <c r="E85" i="10"/>
  <c r="D85" i="10"/>
  <c r="C85" i="10"/>
  <c r="E155" i="10"/>
  <c r="G155" i="10"/>
  <c r="D155" i="10"/>
  <c r="C155" i="10"/>
  <c r="F155" i="10"/>
  <c r="G176" i="10"/>
  <c r="F176" i="10"/>
  <c r="E176" i="10"/>
  <c r="D176" i="10"/>
  <c r="C176" i="10"/>
  <c r="E61" i="10"/>
  <c r="D61" i="10"/>
  <c r="C61" i="10"/>
  <c r="G61" i="10"/>
  <c r="F61" i="10"/>
  <c r="E15" i="10"/>
  <c r="E21" i="10" l="1"/>
  <c r="B7" i="10" l="1"/>
  <c r="B49" i="10"/>
  <c r="B73" i="10"/>
  <c r="B211" i="10"/>
  <c r="B28" i="10"/>
  <c r="B188" i="10"/>
  <c r="B165" i="10"/>
  <c r="B142" i="10"/>
  <c r="B119" i="10"/>
  <c r="B96" i="10"/>
  <c r="A227" i="10"/>
  <c r="A226" i="10"/>
  <c r="A225" i="10"/>
  <c r="A224" i="10"/>
  <c r="A223" i="10"/>
  <c r="A222" i="10"/>
  <c r="A221" i="10"/>
  <c r="A220" i="10"/>
  <c r="A206" i="10"/>
  <c r="A205" i="10"/>
  <c r="A204" i="10"/>
  <c r="A203" i="10"/>
  <c r="A202" i="10"/>
  <c r="A201" i="10"/>
  <c r="A200" i="10"/>
  <c r="A199" i="10"/>
  <c r="A198" i="10"/>
  <c r="A197" i="10"/>
  <c r="R154" i="10"/>
  <c r="P152" i="10"/>
  <c r="A135" i="10"/>
  <c r="A134" i="10"/>
  <c r="A133" i="10"/>
  <c r="A132" i="10"/>
  <c r="A131" i="10"/>
  <c r="A130" i="10"/>
  <c r="A129" i="10"/>
  <c r="A128" i="10"/>
  <c r="A114" i="10"/>
  <c r="A113" i="10"/>
  <c r="A112" i="10"/>
  <c r="A111" i="10"/>
  <c r="A110" i="10"/>
  <c r="A109" i="10"/>
  <c r="A108" i="10"/>
  <c r="A107" i="10"/>
  <c r="A106" i="10"/>
  <c r="R61" i="10"/>
  <c r="P59" i="10"/>
  <c r="B21" i="10"/>
  <c r="D2" i="17" l="1" a="1"/>
  <c r="D2" i="17" s="1"/>
  <c r="Y202" i="5"/>
  <c r="G25" i="10"/>
  <c r="O2" i="8"/>
  <c r="O3" i="8" s="1"/>
  <c r="G19" i="10"/>
  <c r="F40" i="10" s="1"/>
  <c r="F15" i="10"/>
  <c r="P103" i="10"/>
  <c r="P104" i="10" s="1"/>
  <c r="G17" i="10"/>
  <c r="F38" i="10" s="1"/>
  <c r="B23" i="10"/>
  <c r="C169" i="10"/>
  <c r="Y10" i="5"/>
  <c r="Y18" i="5"/>
  <c r="Y26" i="5"/>
  <c r="Y34" i="5"/>
  <c r="Y42" i="5"/>
  <c r="Y50" i="5"/>
  <c r="Y58" i="5"/>
  <c r="Y66" i="5"/>
  <c r="Y74" i="5"/>
  <c r="Y82" i="5"/>
  <c r="Y90" i="5"/>
  <c r="Y98" i="5"/>
  <c r="Y106" i="5"/>
  <c r="Y114" i="5"/>
  <c r="Y122" i="5"/>
  <c r="Y130" i="5"/>
  <c r="Y138" i="5"/>
  <c r="Y146" i="5"/>
  <c r="Y154" i="5"/>
  <c r="Y162" i="5"/>
  <c r="Y170" i="5"/>
  <c r="Y178" i="5"/>
  <c r="Y186" i="5"/>
  <c r="Y198" i="5"/>
  <c r="Y208" i="5"/>
  <c r="D169" i="10"/>
  <c r="F39" i="10"/>
  <c r="Y11" i="5"/>
  <c r="Y19" i="5"/>
  <c r="Y27" i="5"/>
  <c r="Y35" i="5"/>
  <c r="Y43" i="5"/>
  <c r="Y51" i="5"/>
  <c r="Y59" i="5"/>
  <c r="Y67" i="5"/>
  <c r="Y75" i="5"/>
  <c r="Y83" i="5"/>
  <c r="Y91" i="5"/>
  <c r="Y99" i="5"/>
  <c r="Y107" i="5"/>
  <c r="Y115" i="5"/>
  <c r="Y123" i="5"/>
  <c r="Y131" i="5"/>
  <c r="Y139" i="5"/>
  <c r="Y147" i="5"/>
  <c r="Y155" i="5"/>
  <c r="Y163" i="5"/>
  <c r="Y171" i="5"/>
  <c r="Y179" i="5"/>
  <c r="Y187" i="5"/>
  <c r="Y199" i="5"/>
  <c r="Y12" i="5"/>
  <c r="Y20" i="5"/>
  <c r="Y28" i="5"/>
  <c r="Y36" i="5"/>
  <c r="Y44" i="5"/>
  <c r="Y52" i="5"/>
  <c r="Y60" i="5"/>
  <c r="Y68" i="5"/>
  <c r="Y76" i="5"/>
  <c r="Y84" i="5"/>
  <c r="Y92" i="5"/>
  <c r="Y100" i="5"/>
  <c r="Y108" i="5"/>
  <c r="Y116" i="5"/>
  <c r="Y124" i="5"/>
  <c r="Y132" i="5"/>
  <c r="Y140" i="5"/>
  <c r="Y148" i="5"/>
  <c r="Y156" i="5"/>
  <c r="Y164" i="5"/>
  <c r="Y172" i="5"/>
  <c r="Y180" i="5"/>
  <c r="Y190" i="5"/>
  <c r="Y200" i="5"/>
  <c r="Y13" i="5"/>
  <c r="Y21" i="5"/>
  <c r="Y29" i="5"/>
  <c r="Y37" i="5"/>
  <c r="Y45" i="5"/>
  <c r="Y53" i="5"/>
  <c r="Y61" i="5"/>
  <c r="Y69" i="5"/>
  <c r="Y77" i="5"/>
  <c r="Y85" i="5"/>
  <c r="Y93" i="5"/>
  <c r="Y101" i="5"/>
  <c r="Y109" i="5"/>
  <c r="Y117" i="5"/>
  <c r="Y125" i="5"/>
  <c r="Y133" i="5"/>
  <c r="Y141" i="5"/>
  <c r="Y149" i="5"/>
  <c r="Y157" i="5"/>
  <c r="Y165" i="5"/>
  <c r="Y173" i="5"/>
  <c r="Y181" i="5"/>
  <c r="Y191" i="5"/>
  <c r="Y201" i="5"/>
  <c r="Y14" i="5"/>
  <c r="Y22" i="5"/>
  <c r="Y30" i="5"/>
  <c r="Y38" i="5"/>
  <c r="Y46" i="5"/>
  <c r="Y54" i="5"/>
  <c r="Y62" i="5"/>
  <c r="Y70" i="5"/>
  <c r="Y78" i="5"/>
  <c r="Y86" i="5"/>
  <c r="Y94" i="5"/>
  <c r="Y102" i="5"/>
  <c r="Y110" i="5"/>
  <c r="Y118" i="5"/>
  <c r="Y126" i="5"/>
  <c r="Y134" i="5"/>
  <c r="Y142" i="5"/>
  <c r="Y150" i="5"/>
  <c r="Y158" i="5"/>
  <c r="Y166" i="5"/>
  <c r="Y174" i="5"/>
  <c r="Y182" i="5"/>
  <c r="Y192" i="5"/>
  <c r="Y205" i="5"/>
  <c r="Y197" i="5"/>
  <c r="Y189" i="5"/>
  <c r="Y204" i="5"/>
  <c r="Y196" i="5"/>
  <c r="Y188" i="5"/>
  <c r="Y15" i="5"/>
  <c r="Y23" i="5"/>
  <c r="Y31" i="5"/>
  <c r="Y39" i="5"/>
  <c r="Y47" i="5"/>
  <c r="Y55" i="5"/>
  <c r="Y63" i="5"/>
  <c r="Y71" i="5"/>
  <c r="Y79" i="5"/>
  <c r="Y87" i="5"/>
  <c r="Y95" i="5"/>
  <c r="Y103" i="5"/>
  <c r="Y111" i="5"/>
  <c r="Y119" i="5"/>
  <c r="Y127" i="5"/>
  <c r="Y135" i="5"/>
  <c r="Y143" i="5"/>
  <c r="Y151" i="5"/>
  <c r="Y159" i="5"/>
  <c r="Y167" i="5"/>
  <c r="Y175" i="5"/>
  <c r="Y183" i="5"/>
  <c r="Y193" i="5"/>
  <c r="Y203" i="5"/>
  <c r="B168" i="10"/>
  <c r="Y16" i="5"/>
  <c r="Y24" i="5"/>
  <c r="Y32" i="5"/>
  <c r="Y40" i="5"/>
  <c r="Y48" i="5"/>
  <c r="Y56" i="5"/>
  <c r="Y64" i="5"/>
  <c r="Y72" i="5"/>
  <c r="Y80" i="5"/>
  <c r="Y88" i="5"/>
  <c r="Y96" i="5"/>
  <c r="Y104" i="5"/>
  <c r="Y112" i="5"/>
  <c r="Y120" i="5"/>
  <c r="Y128" i="5"/>
  <c r="Y136" i="5"/>
  <c r="Y144" i="5"/>
  <c r="Y152" i="5"/>
  <c r="Y160" i="5"/>
  <c r="Y168" i="5"/>
  <c r="Y176" i="5"/>
  <c r="Y184" i="5"/>
  <c r="Y194" i="5"/>
  <c r="Y206" i="5"/>
  <c r="C168" i="10"/>
  <c r="Y9" i="5"/>
  <c r="Y17" i="5"/>
  <c r="Y25" i="5"/>
  <c r="Y33" i="5"/>
  <c r="Y41" i="5"/>
  <c r="Y49" i="5"/>
  <c r="Y57" i="5"/>
  <c r="Y65" i="5"/>
  <c r="Y73" i="5"/>
  <c r="Y81" i="5"/>
  <c r="Y89" i="5"/>
  <c r="Y97" i="5"/>
  <c r="Y105" i="5"/>
  <c r="Y113" i="5"/>
  <c r="Y121" i="5"/>
  <c r="Y129" i="5"/>
  <c r="Y137" i="5"/>
  <c r="Y145" i="5"/>
  <c r="Y153" i="5"/>
  <c r="Y161" i="5"/>
  <c r="Y169" i="5"/>
  <c r="Y177" i="5"/>
  <c r="Y185" i="5"/>
  <c r="Y195" i="5"/>
  <c r="Y207" i="5"/>
  <c r="B32" i="10"/>
  <c r="D167" i="10"/>
  <c r="F168" i="10"/>
  <c r="G169" i="10"/>
  <c r="P60" i="10"/>
  <c r="Q59" i="10" s="1"/>
  <c r="P100" i="10"/>
  <c r="G167" i="10"/>
  <c r="B169" i="10"/>
  <c r="G16" i="10"/>
  <c r="F37" i="10" s="1"/>
  <c r="P153" i="10"/>
  <c r="D168" i="10"/>
  <c r="E169" i="10"/>
  <c r="B81" i="10"/>
  <c r="C167" i="10"/>
  <c r="E168" i="10"/>
  <c r="F169" i="10"/>
  <c r="B57" i="10"/>
  <c r="E167" i="10"/>
  <c r="G168" i="10"/>
  <c r="B172" i="10"/>
  <c r="F167" i="10"/>
  <c r="F23" i="10" l="1"/>
  <c r="E23" i="10"/>
  <c r="Q12" i="10"/>
  <c r="Q13" i="10"/>
  <c r="Q37" i="10"/>
  <c r="G38" i="10"/>
  <c r="E38" i="10"/>
  <c r="P39" i="10" s="1"/>
  <c r="Q39" i="10"/>
  <c r="G37" i="10"/>
  <c r="E37" i="10"/>
  <c r="P40" i="10" s="1"/>
  <c r="Q40" i="10"/>
  <c r="G39" i="10"/>
  <c r="E39" i="10"/>
  <c r="P38" i="10" s="1"/>
  <c r="Q38" i="10"/>
  <c r="F21" i="10"/>
  <c r="G21" i="10" s="1"/>
  <c r="P101" i="10"/>
  <c r="G40" i="10"/>
  <c r="E40" i="10"/>
  <c r="P37" i="10" s="1"/>
  <c r="H53" i="10"/>
  <c r="G15" i="10"/>
  <c r="Q11" i="10" s="1"/>
  <c r="H168" i="10"/>
  <c r="H145" i="10"/>
  <c r="Q152" i="10"/>
  <c r="Q60" i="10"/>
  <c r="R152" i="10" s="1"/>
  <c r="Q153" i="10"/>
  <c r="G23" i="10" l="1"/>
  <c r="F36" i="10"/>
  <c r="Q41" i="10" s="1"/>
  <c r="B190" i="10"/>
  <c r="B213" i="10"/>
  <c r="B216" i="10" s="1"/>
  <c r="B98" i="10"/>
  <c r="B121" i="10"/>
  <c r="B124" i="10" s="1"/>
  <c r="G36" i="10"/>
  <c r="E36" i="10"/>
  <c r="P41" i="10" s="1"/>
  <c r="F42" i="10"/>
  <c r="R59" i="10"/>
  <c r="G42" i="10"/>
  <c r="R60" i="10"/>
  <c r="R153" i="10"/>
  <c r="E42" i="10"/>
  <c r="U59" i="10" l="1"/>
  <c r="U152" i="10"/>
  <c r="P148" i="10" l="1"/>
  <c r="P149" i="10" s="1"/>
  <c r="P146" i="10"/>
  <c r="P147" i="10" s="1"/>
  <c r="P55" i="10"/>
  <c r="P57" i="10" s="1"/>
  <c r="P53" i="10"/>
  <c r="P54" i="10" s="1"/>
  <c r="B75" i="10" s="1"/>
  <c r="B79" i="10" l="1"/>
  <c r="B51" i="10"/>
  <c r="B167" i="10"/>
  <c r="B144" i="10"/>
  <c r="B172" i="5" l="1"/>
  <c r="BH172" i="5" s="1"/>
  <c r="B44" i="5"/>
  <c r="BH44" i="5" s="1"/>
  <c r="B49" i="5"/>
  <c r="BH49" i="5" s="1"/>
  <c r="B12" i="5"/>
  <c r="BH12" i="5" s="1"/>
  <c r="B97" i="5"/>
  <c r="BH97" i="5" s="1"/>
  <c r="B161" i="5"/>
  <c r="BH161" i="5" s="1"/>
  <c r="B60" i="5"/>
  <c r="BH60" i="5" s="1"/>
  <c r="B142" i="5"/>
  <c r="BH142" i="5" s="1"/>
  <c r="B126" i="5"/>
  <c r="BH126" i="5" s="1"/>
  <c r="B110" i="5"/>
  <c r="BH110" i="5" s="1"/>
  <c r="B98" i="5"/>
  <c r="BH98" i="5" s="1"/>
  <c r="B94" i="5"/>
  <c r="BH94" i="5" s="1"/>
  <c r="B90" i="5"/>
  <c r="BH90" i="5" s="1"/>
  <c r="B86" i="5"/>
  <c r="BH86" i="5" s="1"/>
  <c r="B82" i="5"/>
  <c r="BH82" i="5" s="1"/>
  <c r="B74" i="5"/>
  <c r="BH74" i="5" s="1"/>
  <c r="B70" i="5"/>
  <c r="BH70" i="5" s="1"/>
  <c r="B66" i="5"/>
  <c r="BH66" i="5" s="1"/>
  <c r="B58" i="5"/>
  <c r="BH58" i="5" s="1"/>
  <c r="B46" i="5"/>
  <c r="BH46" i="5" s="1"/>
  <c r="B42" i="5"/>
  <c r="BH42" i="5" s="1"/>
  <c r="B30" i="5"/>
  <c r="BH30" i="5" s="1"/>
  <c r="B26" i="5"/>
  <c r="BH26" i="5" s="1"/>
  <c r="B14" i="5"/>
  <c r="BH14" i="5" s="1"/>
  <c r="B13" i="5"/>
  <c r="BH13" i="5" s="1"/>
  <c r="B19" i="5"/>
  <c r="BH19" i="5" s="1"/>
  <c r="B24" i="5"/>
  <c r="BH24" i="5" s="1"/>
  <c r="B40" i="5"/>
  <c r="BH40" i="5" s="1"/>
  <c r="B45" i="5"/>
  <c r="BH45" i="5" s="1"/>
  <c r="B88" i="5"/>
  <c r="BH88" i="5" s="1"/>
  <c r="B93" i="5"/>
  <c r="BH93" i="5" s="1"/>
  <c r="B109" i="5"/>
  <c r="BH109" i="5" s="1"/>
  <c r="B152" i="5"/>
  <c r="BH152" i="5" s="1"/>
  <c r="B9" i="5"/>
  <c r="BH9" i="5" s="1"/>
  <c r="B20" i="5"/>
  <c r="BH20" i="5" s="1"/>
  <c r="B36" i="5"/>
  <c r="BH36" i="5" s="1"/>
  <c r="B57" i="5"/>
  <c r="BH57" i="5" s="1"/>
  <c r="B73" i="5"/>
  <c r="BH73" i="5" s="1"/>
  <c r="B79" i="5"/>
  <c r="BH79" i="5" s="1"/>
  <c r="B121" i="5"/>
  <c r="BH121" i="5" s="1"/>
  <c r="B164" i="5"/>
  <c r="BH164" i="5" s="1"/>
  <c r="B185" i="5"/>
  <c r="BH185" i="5" s="1"/>
  <c r="B11" i="5"/>
  <c r="BH11" i="5" s="1"/>
  <c r="B32" i="5"/>
  <c r="BH32" i="5" s="1"/>
  <c r="B43" i="5"/>
  <c r="BH43" i="5" s="1"/>
  <c r="B48" i="5"/>
  <c r="BH48" i="5" s="1"/>
  <c r="B53" i="5"/>
  <c r="BH53" i="5" s="1"/>
  <c r="B69" i="5"/>
  <c r="BH69" i="5" s="1"/>
  <c r="B101" i="5"/>
  <c r="BH101" i="5" s="1"/>
  <c r="B117" i="5"/>
  <c r="BH117" i="5" s="1"/>
  <c r="B155" i="5"/>
  <c r="BH155" i="5" s="1"/>
  <c r="B176" i="5"/>
  <c r="BH176" i="5" s="1"/>
  <c r="B200" i="5"/>
  <c r="BH200" i="5" s="1"/>
  <c r="D200" i="5" l="1"/>
  <c r="C200" i="5"/>
  <c r="AB200" i="5" s="1"/>
  <c r="AA200" i="5" s="1"/>
  <c r="C93" i="5"/>
  <c r="AB93" i="5" s="1"/>
  <c r="AA93" i="5" s="1"/>
  <c r="D93" i="5" s="1"/>
  <c r="C82" i="5"/>
  <c r="AB82" i="5" s="1"/>
  <c r="AA82" i="5" s="1"/>
  <c r="D82" i="5" s="1"/>
  <c r="D176" i="5"/>
  <c r="C176" i="5"/>
  <c r="AB176" i="5" s="1"/>
  <c r="AA176" i="5" s="1"/>
  <c r="D155" i="5"/>
  <c r="C73" i="5"/>
  <c r="AB73" i="5" s="1"/>
  <c r="AA73" i="5" s="1"/>
  <c r="D73" i="5" s="1"/>
  <c r="C88" i="5"/>
  <c r="AB88" i="5" s="1"/>
  <c r="AA88" i="5" s="1"/>
  <c r="D88" i="5" s="1"/>
  <c r="C86" i="5"/>
  <c r="AB86" i="5" s="1"/>
  <c r="AA86" i="5" s="1"/>
  <c r="D86" i="5" s="1"/>
  <c r="D161" i="5"/>
  <c r="C90" i="5"/>
  <c r="AB90" i="5" s="1"/>
  <c r="AA90" i="5" s="1"/>
  <c r="D90" i="5" s="1"/>
  <c r="D97" i="5"/>
  <c r="C97" i="5"/>
  <c r="AB97" i="5" s="1"/>
  <c r="AA97" i="5" s="1"/>
  <c r="C94" i="5"/>
  <c r="AB94" i="5" s="1"/>
  <c r="AA94" i="5" s="1"/>
  <c r="D94" i="5" s="1"/>
  <c r="D98" i="5"/>
  <c r="C98" i="5"/>
  <c r="AB98" i="5" s="1"/>
  <c r="AA98" i="5" s="1"/>
  <c r="C66" i="5"/>
  <c r="AB66" i="5" s="1"/>
  <c r="AA66" i="5" s="1"/>
  <c r="D66" i="5" s="1"/>
  <c r="D110" i="5"/>
  <c r="C70" i="5"/>
  <c r="AB70" i="5" s="1"/>
  <c r="AA70" i="5" s="1"/>
  <c r="D70" i="5" s="1"/>
  <c r="D126" i="5"/>
  <c r="C126" i="5"/>
  <c r="AB126" i="5" s="1"/>
  <c r="AA126" i="5" s="1"/>
  <c r="D117" i="5"/>
  <c r="C117" i="5"/>
  <c r="AB117" i="5" s="1"/>
  <c r="AA117" i="5" s="1"/>
  <c r="D185" i="5"/>
  <c r="C185" i="5"/>
  <c r="AB185" i="5" s="1"/>
  <c r="AA185" i="5" s="1"/>
  <c r="D101" i="5"/>
  <c r="C101" i="5"/>
  <c r="AB101" i="5" s="1"/>
  <c r="AA101" i="5" s="1"/>
  <c r="D164" i="5"/>
  <c r="C164" i="5"/>
  <c r="AB164" i="5" s="1"/>
  <c r="AA164" i="5" s="1"/>
  <c r="D152" i="5"/>
  <c r="C152" i="5"/>
  <c r="AB152" i="5" s="1"/>
  <c r="AA152" i="5" s="1"/>
  <c r="C69" i="5"/>
  <c r="AB69" i="5" s="1"/>
  <c r="AA69" i="5" s="1"/>
  <c r="D69" i="5" s="1"/>
  <c r="D121" i="5"/>
  <c r="D109" i="5"/>
  <c r="C109" i="5"/>
  <c r="AB109" i="5" s="1"/>
  <c r="AA109" i="5" s="1"/>
  <c r="C74" i="5"/>
  <c r="AB74" i="5" s="1"/>
  <c r="AA74" i="5" s="1"/>
  <c r="D74" i="5" s="1"/>
  <c r="D142" i="5"/>
  <c r="C142" i="5"/>
  <c r="AB142" i="5" s="1"/>
  <c r="AA142" i="5" s="1"/>
  <c r="D172" i="5"/>
  <c r="C172" i="5"/>
  <c r="AB172" i="5" s="1"/>
  <c r="AA172" i="5" s="1"/>
  <c r="BF53" i="5"/>
  <c r="AX53" i="5"/>
  <c r="AP53" i="5"/>
  <c r="AI53" i="5"/>
  <c r="BF79" i="5"/>
  <c r="AX79" i="5"/>
  <c r="AI79" i="5"/>
  <c r="AP79" i="5"/>
  <c r="BF93" i="5"/>
  <c r="AX93" i="5"/>
  <c r="AP93" i="5"/>
  <c r="AI93" i="5"/>
  <c r="BF26" i="5"/>
  <c r="AP26" i="5"/>
  <c r="AX26" i="5"/>
  <c r="AI26" i="5"/>
  <c r="BF82" i="5"/>
  <c r="AP82" i="5"/>
  <c r="AX82" i="5"/>
  <c r="AI82" i="5"/>
  <c r="BF60" i="5"/>
  <c r="AX60" i="5"/>
  <c r="AP60" i="5"/>
  <c r="AI60" i="5"/>
  <c r="AX88" i="5"/>
  <c r="AP88" i="5"/>
  <c r="BF88" i="5"/>
  <c r="AI88" i="5"/>
  <c r="BF86" i="5"/>
  <c r="AX86" i="5"/>
  <c r="AI86" i="5"/>
  <c r="AP86" i="5"/>
  <c r="BF161" i="5"/>
  <c r="AX161" i="5"/>
  <c r="AP161" i="5"/>
  <c r="AI161" i="5"/>
  <c r="BF73" i="5"/>
  <c r="AX73" i="5"/>
  <c r="AP73" i="5"/>
  <c r="AI73" i="5"/>
  <c r="BF200" i="5"/>
  <c r="AX200" i="5"/>
  <c r="AP200" i="5"/>
  <c r="AI200" i="5"/>
  <c r="BF57" i="5"/>
  <c r="AX57" i="5"/>
  <c r="AP57" i="5"/>
  <c r="AI57" i="5"/>
  <c r="BF45" i="5"/>
  <c r="AX45" i="5"/>
  <c r="AP45" i="5"/>
  <c r="AI45" i="5"/>
  <c r="BF42" i="5"/>
  <c r="AP42" i="5"/>
  <c r="AX42" i="5"/>
  <c r="AI42" i="5"/>
  <c r="BF90" i="5"/>
  <c r="AX90" i="5"/>
  <c r="AP90" i="5"/>
  <c r="AI90" i="5"/>
  <c r="BF97" i="5"/>
  <c r="AX97" i="5"/>
  <c r="AI97" i="5"/>
  <c r="AP97" i="5"/>
  <c r="AP48" i="5"/>
  <c r="AX48" i="5"/>
  <c r="BF48" i="5"/>
  <c r="AI48" i="5"/>
  <c r="BF30" i="5"/>
  <c r="AX30" i="5"/>
  <c r="AI30" i="5"/>
  <c r="AP30" i="5"/>
  <c r="BF43" i="5"/>
  <c r="AX43" i="5"/>
  <c r="AP43" i="5"/>
  <c r="AI43" i="5"/>
  <c r="AX176" i="5"/>
  <c r="BF176" i="5"/>
  <c r="AP176" i="5"/>
  <c r="AI176" i="5"/>
  <c r="AX32" i="5"/>
  <c r="AP32" i="5"/>
  <c r="AI32" i="5"/>
  <c r="BF32" i="5"/>
  <c r="BF36" i="5"/>
  <c r="AX36" i="5"/>
  <c r="AP36" i="5"/>
  <c r="AI36" i="5"/>
  <c r="BF40" i="5"/>
  <c r="AP40" i="5"/>
  <c r="AX40" i="5"/>
  <c r="AI40" i="5"/>
  <c r="AX46" i="5"/>
  <c r="BF46" i="5"/>
  <c r="AI46" i="5"/>
  <c r="AP46" i="5"/>
  <c r="BF94" i="5"/>
  <c r="AX94" i="5"/>
  <c r="AI94" i="5"/>
  <c r="AP94" i="5"/>
  <c r="BF12" i="5"/>
  <c r="AX12" i="5"/>
  <c r="AP12" i="5"/>
  <c r="AI12" i="5"/>
  <c r="BF11" i="5"/>
  <c r="AX11" i="5"/>
  <c r="AP11" i="5"/>
  <c r="AI11" i="5"/>
  <c r="BF20" i="5"/>
  <c r="AX20" i="5"/>
  <c r="AP20" i="5"/>
  <c r="AI20" i="5"/>
  <c r="AP24" i="5"/>
  <c r="AX24" i="5"/>
  <c r="BF24" i="5"/>
  <c r="AI24" i="5"/>
  <c r="BF58" i="5"/>
  <c r="AX58" i="5"/>
  <c r="AP58" i="5"/>
  <c r="AI58" i="5"/>
  <c r="BF98" i="5"/>
  <c r="AX98" i="5"/>
  <c r="AP98" i="5"/>
  <c r="AI98" i="5"/>
  <c r="BF49" i="5"/>
  <c r="AX49" i="5"/>
  <c r="AI49" i="5"/>
  <c r="AP49" i="5"/>
  <c r="BF117" i="5"/>
  <c r="AX117" i="5"/>
  <c r="AP117" i="5"/>
  <c r="AI117" i="5"/>
  <c r="BF19" i="5"/>
  <c r="AX19" i="5"/>
  <c r="AP19" i="5"/>
  <c r="AI19" i="5"/>
  <c r="BF110" i="5"/>
  <c r="AP110" i="5"/>
  <c r="AI110" i="5"/>
  <c r="AX110" i="5"/>
  <c r="BF9" i="5"/>
  <c r="AX9" i="5"/>
  <c r="AP9" i="5"/>
  <c r="AI9" i="5"/>
  <c r="BF101" i="5"/>
  <c r="AX101" i="5"/>
  <c r="AP101" i="5"/>
  <c r="AI101" i="5"/>
  <c r="BF164" i="5"/>
  <c r="AX164" i="5"/>
  <c r="AP164" i="5"/>
  <c r="AI164" i="5"/>
  <c r="AX152" i="5"/>
  <c r="BF152" i="5"/>
  <c r="AP152" i="5"/>
  <c r="AI152" i="5"/>
  <c r="BF13" i="5"/>
  <c r="AX13" i="5"/>
  <c r="AP13" i="5"/>
  <c r="AI13" i="5"/>
  <c r="BF70" i="5"/>
  <c r="AX70" i="5"/>
  <c r="AI70" i="5"/>
  <c r="AP70" i="5"/>
  <c r="BF126" i="5"/>
  <c r="AP126" i="5"/>
  <c r="AI126" i="5"/>
  <c r="AX126" i="5"/>
  <c r="BF44" i="5"/>
  <c r="AX44" i="5"/>
  <c r="AP44" i="5"/>
  <c r="AI44" i="5"/>
  <c r="BF155" i="5"/>
  <c r="AX155" i="5"/>
  <c r="AP155" i="5"/>
  <c r="AI155" i="5"/>
  <c r="BF185" i="5"/>
  <c r="AX185" i="5"/>
  <c r="AP185" i="5"/>
  <c r="AI185" i="5"/>
  <c r="BF66" i="5"/>
  <c r="AX66" i="5"/>
  <c r="AP66" i="5"/>
  <c r="AI66" i="5"/>
  <c r="BF69" i="5"/>
  <c r="AX69" i="5"/>
  <c r="AP69" i="5"/>
  <c r="AI69" i="5"/>
  <c r="BF121" i="5"/>
  <c r="AX121" i="5"/>
  <c r="AP121" i="5"/>
  <c r="AI121" i="5"/>
  <c r="BF109" i="5"/>
  <c r="AX109" i="5"/>
  <c r="AP109" i="5"/>
  <c r="AI109" i="5"/>
  <c r="BF14" i="5"/>
  <c r="AX14" i="5"/>
  <c r="AP14" i="5"/>
  <c r="AI14" i="5"/>
  <c r="BF74" i="5"/>
  <c r="AP74" i="5"/>
  <c r="AX74" i="5"/>
  <c r="AI74" i="5"/>
  <c r="BF142" i="5"/>
  <c r="AP142" i="5"/>
  <c r="AI142" i="5"/>
  <c r="AX142" i="5"/>
  <c r="BF172" i="5"/>
  <c r="AX172" i="5"/>
  <c r="AP172" i="5"/>
  <c r="AI172" i="5"/>
  <c r="B193" i="5"/>
  <c r="BH193" i="5" s="1"/>
  <c r="B133" i="5"/>
  <c r="BH133" i="5" s="1"/>
  <c r="B112" i="5"/>
  <c r="BH112" i="5" s="1"/>
  <c r="B91" i="5"/>
  <c r="BH91" i="5" s="1"/>
  <c r="B27" i="5"/>
  <c r="BH27" i="5" s="1"/>
  <c r="B143" i="5"/>
  <c r="BH143" i="5" s="1"/>
  <c r="B100" i="5"/>
  <c r="BH100" i="5" s="1"/>
  <c r="B15" i="5"/>
  <c r="BH15" i="5" s="1"/>
  <c r="B198" i="5"/>
  <c r="BH198" i="5" s="1"/>
  <c r="B173" i="5"/>
  <c r="BH173" i="5" s="1"/>
  <c r="B131" i="5"/>
  <c r="BH131" i="5" s="1"/>
  <c r="B67" i="5"/>
  <c r="BH67" i="5" s="1"/>
  <c r="B18" i="5"/>
  <c r="BH18" i="5" s="1"/>
  <c r="B34" i="5"/>
  <c r="BH34" i="5" s="1"/>
  <c r="B50" i="5"/>
  <c r="BH50" i="5" s="1"/>
  <c r="B114" i="5"/>
  <c r="BH114" i="5" s="1"/>
  <c r="B130" i="5"/>
  <c r="BH130" i="5" s="1"/>
  <c r="B146" i="5"/>
  <c r="BH146" i="5" s="1"/>
  <c r="B162" i="5"/>
  <c r="BH162" i="5" s="1"/>
  <c r="B178" i="5"/>
  <c r="BH178" i="5" s="1"/>
  <c r="B196" i="5"/>
  <c r="BH196" i="5" s="1"/>
  <c r="B188" i="5"/>
  <c r="BH188" i="5" s="1"/>
  <c r="B103" i="5"/>
  <c r="BH103" i="5" s="1"/>
  <c r="B17" i="5"/>
  <c r="BH17" i="5" s="1"/>
  <c r="B140" i="5"/>
  <c r="BH140" i="5" s="1"/>
  <c r="B55" i="5"/>
  <c r="BH55" i="5" s="1"/>
  <c r="B177" i="5"/>
  <c r="BH177" i="5" s="1"/>
  <c r="B92" i="5"/>
  <c r="BH92" i="5" s="1"/>
  <c r="B151" i="5"/>
  <c r="BH151" i="5" s="1"/>
  <c r="B205" i="5"/>
  <c r="BH205" i="5" s="1"/>
  <c r="B189" i="5"/>
  <c r="BH189" i="5" s="1"/>
  <c r="B194" i="5"/>
  <c r="BH194" i="5" s="1"/>
  <c r="B171" i="5"/>
  <c r="BH171" i="5" s="1"/>
  <c r="B149" i="5"/>
  <c r="BH149" i="5" s="1"/>
  <c r="B128" i="5"/>
  <c r="BH128" i="5" s="1"/>
  <c r="B107" i="5"/>
  <c r="BH107" i="5" s="1"/>
  <c r="B85" i="5"/>
  <c r="BH85" i="5" s="1"/>
  <c r="B64" i="5"/>
  <c r="BH64" i="5" s="1"/>
  <c r="B21" i="5"/>
  <c r="BH21" i="5" s="1"/>
  <c r="B206" i="5"/>
  <c r="BH206" i="5" s="1"/>
  <c r="B180" i="5"/>
  <c r="BH180" i="5" s="1"/>
  <c r="B159" i="5"/>
  <c r="BH159" i="5" s="1"/>
  <c r="B137" i="5"/>
  <c r="BH137" i="5" s="1"/>
  <c r="B116" i="5"/>
  <c r="BH116" i="5" s="1"/>
  <c r="B95" i="5"/>
  <c r="BH95" i="5" s="1"/>
  <c r="B52" i="5"/>
  <c r="BH52" i="5" s="1"/>
  <c r="B31" i="5"/>
  <c r="BH31" i="5" s="1"/>
  <c r="B190" i="5"/>
  <c r="BH190" i="5" s="1"/>
  <c r="B168" i="5"/>
  <c r="BH168" i="5" s="1"/>
  <c r="B147" i="5"/>
  <c r="BH147" i="5" s="1"/>
  <c r="B125" i="5"/>
  <c r="BH125" i="5" s="1"/>
  <c r="B104" i="5"/>
  <c r="BH104" i="5" s="1"/>
  <c r="B83" i="5"/>
  <c r="BH83" i="5" s="1"/>
  <c r="B61" i="5"/>
  <c r="BH61" i="5" s="1"/>
  <c r="B22" i="5"/>
  <c r="BH22" i="5" s="1"/>
  <c r="B38" i="5"/>
  <c r="BH38" i="5" s="1"/>
  <c r="B54" i="5"/>
  <c r="BH54" i="5" s="1"/>
  <c r="B102" i="5"/>
  <c r="BH102" i="5" s="1"/>
  <c r="B118" i="5"/>
  <c r="BH118" i="5" s="1"/>
  <c r="B134" i="5"/>
  <c r="BH134" i="5" s="1"/>
  <c r="B150" i="5"/>
  <c r="BH150" i="5" s="1"/>
  <c r="B166" i="5"/>
  <c r="BH166" i="5" s="1"/>
  <c r="B182" i="5"/>
  <c r="BH182" i="5" s="1"/>
  <c r="B202" i="5"/>
  <c r="BH202" i="5" s="1"/>
  <c r="B167" i="5"/>
  <c r="BH167" i="5" s="1"/>
  <c r="B81" i="5"/>
  <c r="BH81" i="5" s="1"/>
  <c r="B119" i="5"/>
  <c r="BH119" i="5" s="1"/>
  <c r="B33" i="5"/>
  <c r="BH33" i="5" s="1"/>
  <c r="B156" i="5"/>
  <c r="BH156" i="5" s="1"/>
  <c r="B71" i="5"/>
  <c r="BH71" i="5" s="1"/>
  <c r="B195" i="5"/>
  <c r="BH195" i="5" s="1"/>
  <c r="B65" i="5"/>
  <c r="BH65" i="5" s="1"/>
  <c r="B201" i="5"/>
  <c r="BH201" i="5" s="1"/>
  <c r="B187" i="5"/>
  <c r="BH187" i="5" s="1"/>
  <c r="B165" i="5"/>
  <c r="BH165" i="5" s="1"/>
  <c r="B144" i="5"/>
  <c r="BH144" i="5" s="1"/>
  <c r="B123" i="5"/>
  <c r="BH123" i="5" s="1"/>
  <c r="B80" i="5"/>
  <c r="BH80" i="5" s="1"/>
  <c r="B59" i="5"/>
  <c r="BH59" i="5" s="1"/>
  <c r="B37" i="5"/>
  <c r="BH37" i="5" s="1"/>
  <c r="B16" i="5"/>
  <c r="BH16" i="5" s="1"/>
  <c r="B199" i="5"/>
  <c r="BH199" i="5" s="1"/>
  <c r="B175" i="5"/>
  <c r="BH175" i="5" s="1"/>
  <c r="B153" i="5"/>
  <c r="BH153" i="5" s="1"/>
  <c r="B132" i="5"/>
  <c r="BH132" i="5" s="1"/>
  <c r="B111" i="5"/>
  <c r="BH111" i="5" s="1"/>
  <c r="B89" i="5"/>
  <c r="BH89" i="5" s="1"/>
  <c r="B68" i="5"/>
  <c r="BH68" i="5" s="1"/>
  <c r="B47" i="5"/>
  <c r="BH47" i="5" s="1"/>
  <c r="B25" i="5"/>
  <c r="BH25" i="5" s="1"/>
  <c r="B184" i="5"/>
  <c r="BH184" i="5" s="1"/>
  <c r="B163" i="5"/>
  <c r="BH163" i="5" s="1"/>
  <c r="B141" i="5"/>
  <c r="BH141" i="5" s="1"/>
  <c r="B120" i="5"/>
  <c r="BH120" i="5" s="1"/>
  <c r="B99" i="5"/>
  <c r="BH99" i="5" s="1"/>
  <c r="B77" i="5"/>
  <c r="BH77" i="5" s="1"/>
  <c r="B56" i="5"/>
  <c r="BH56" i="5" s="1"/>
  <c r="B35" i="5"/>
  <c r="BH35" i="5" s="1"/>
  <c r="B10" i="5"/>
  <c r="BH10" i="5" s="1"/>
  <c r="B106" i="5"/>
  <c r="BH106" i="5" s="1"/>
  <c r="B122" i="5"/>
  <c r="BH122" i="5" s="1"/>
  <c r="B138" i="5"/>
  <c r="BH138" i="5" s="1"/>
  <c r="B154" i="5"/>
  <c r="BH154" i="5" s="1"/>
  <c r="B170" i="5"/>
  <c r="BH170" i="5" s="1"/>
  <c r="B186" i="5"/>
  <c r="BH186" i="5" s="1"/>
  <c r="B207" i="5"/>
  <c r="BH207" i="5" s="1"/>
  <c r="B145" i="5"/>
  <c r="BH145" i="5" s="1"/>
  <c r="B183" i="5"/>
  <c r="BH183" i="5" s="1"/>
  <c r="B135" i="5"/>
  <c r="BH135" i="5" s="1"/>
  <c r="B129" i="5"/>
  <c r="BH129" i="5" s="1"/>
  <c r="B108" i="5"/>
  <c r="BH108" i="5" s="1"/>
  <c r="B87" i="5"/>
  <c r="BH87" i="5" s="1"/>
  <c r="B197" i="5"/>
  <c r="BH197" i="5" s="1"/>
  <c r="B208" i="5"/>
  <c r="BH208" i="5" s="1"/>
  <c r="B181" i="5"/>
  <c r="BH181" i="5" s="1"/>
  <c r="B160" i="5"/>
  <c r="BH160" i="5" s="1"/>
  <c r="B139" i="5"/>
  <c r="BH139" i="5" s="1"/>
  <c r="B96" i="5"/>
  <c r="BH96" i="5" s="1"/>
  <c r="B75" i="5"/>
  <c r="BH75" i="5" s="1"/>
  <c r="B192" i="5"/>
  <c r="BH192" i="5" s="1"/>
  <c r="B169" i="5"/>
  <c r="BH169" i="5" s="1"/>
  <c r="B148" i="5"/>
  <c r="BH148" i="5" s="1"/>
  <c r="B127" i="5"/>
  <c r="BH127" i="5" s="1"/>
  <c r="B105" i="5"/>
  <c r="BH105" i="5" s="1"/>
  <c r="B84" i="5"/>
  <c r="BH84" i="5" s="1"/>
  <c r="B63" i="5"/>
  <c r="BH63" i="5" s="1"/>
  <c r="B41" i="5"/>
  <c r="BH41" i="5" s="1"/>
  <c r="B204" i="5"/>
  <c r="BH204" i="5" s="1"/>
  <c r="B179" i="5"/>
  <c r="BH179" i="5" s="1"/>
  <c r="B157" i="5"/>
  <c r="BH157" i="5" s="1"/>
  <c r="B136" i="5"/>
  <c r="BH136" i="5" s="1"/>
  <c r="B115" i="5"/>
  <c r="BH115" i="5" s="1"/>
  <c r="B72" i="5"/>
  <c r="BH72" i="5" s="1"/>
  <c r="B51" i="5"/>
  <c r="BH51" i="5" s="1"/>
  <c r="B29" i="5"/>
  <c r="BH29" i="5" s="1"/>
  <c r="B62" i="5"/>
  <c r="BH62" i="5" s="1"/>
  <c r="B78" i="5"/>
  <c r="BH78" i="5" s="1"/>
  <c r="B158" i="5"/>
  <c r="BH158" i="5" s="1"/>
  <c r="B174" i="5"/>
  <c r="BH174" i="5" s="1"/>
  <c r="B191" i="5"/>
  <c r="BH191" i="5" s="1"/>
  <c r="B124" i="5"/>
  <c r="BH124" i="5" s="1"/>
  <c r="B39" i="5"/>
  <c r="BH39" i="5" s="1"/>
  <c r="B76" i="5"/>
  <c r="BH76" i="5" s="1"/>
  <c r="B203" i="5"/>
  <c r="BH203" i="5" s="1"/>
  <c r="B113" i="5"/>
  <c r="BH113" i="5" s="1"/>
  <c r="B28" i="5"/>
  <c r="BH28" i="5" s="1"/>
  <c r="B23" i="5"/>
  <c r="BH23" i="5" s="1"/>
  <c r="BI176" i="5"/>
  <c r="Z185" i="5"/>
  <c r="Z164" i="5"/>
  <c r="BI164" i="5"/>
  <c r="C121" i="5"/>
  <c r="AB121" i="5" s="1"/>
  <c r="AA121" i="5" s="1"/>
  <c r="C79" i="5"/>
  <c r="AB79" i="5" s="1"/>
  <c r="AA79" i="5" s="1"/>
  <c r="D79" i="5" s="1"/>
  <c r="BI88" i="5"/>
  <c r="Z88" i="5"/>
  <c r="BI45" i="5"/>
  <c r="C24" i="5"/>
  <c r="AB24" i="5" s="1"/>
  <c r="AA24" i="5" s="1"/>
  <c r="D24" i="5" s="1"/>
  <c r="Z14" i="5"/>
  <c r="BI94" i="5"/>
  <c r="C110" i="5"/>
  <c r="AB110" i="5" s="1"/>
  <c r="AA110" i="5" s="1"/>
  <c r="BI126" i="5"/>
  <c r="BI142" i="5"/>
  <c r="Z161" i="5"/>
  <c r="C161" i="5"/>
  <c r="AB161" i="5" s="1"/>
  <c r="AA161" i="5" s="1"/>
  <c r="BI161" i="5"/>
  <c r="BI44" i="5"/>
  <c r="Z44" i="5"/>
  <c r="Z142" i="5"/>
  <c r="BI70" i="5"/>
  <c r="Z172" i="5"/>
  <c r="BI172" i="5"/>
  <c r="BI53" i="5"/>
  <c r="BI32" i="5"/>
  <c r="C11" i="5"/>
  <c r="AB11" i="5" s="1"/>
  <c r="AA11" i="5" s="1"/>
  <c r="D11" i="5" s="1"/>
  <c r="Z11" i="5"/>
  <c r="C20" i="5"/>
  <c r="AB20" i="5" s="1"/>
  <c r="AA20" i="5" s="1"/>
  <c r="D20" i="5" s="1"/>
  <c r="BI20" i="5"/>
  <c r="C26" i="5"/>
  <c r="AB26" i="5" s="1"/>
  <c r="AA26" i="5" s="1"/>
  <c r="D26" i="5" s="1"/>
  <c r="Z26" i="5"/>
  <c r="C42" i="5"/>
  <c r="AB42" i="5" s="1"/>
  <c r="AA42" i="5" s="1"/>
  <c r="D42" i="5" s="1"/>
  <c r="Z42" i="5"/>
  <c r="Z58" i="5"/>
  <c r="Z74" i="5"/>
  <c r="BI90" i="5"/>
  <c r="BI60" i="5"/>
  <c r="C60" i="5"/>
  <c r="AB60" i="5" s="1"/>
  <c r="AA60" i="5" s="1"/>
  <c r="D60" i="5" s="1"/>
  <c r="C12" i="5"/>
  <c r="AB12" i="5" s="1"/>
  <c r="AA12" i="5" s="1"/>
  <c r="D12" i="5" s="1"/>
  <c r="C49" i="5"/>
  <c r="AB49" i="5" s="1"/>
  <c r="AA49" i="5" s="1"/>
  <c r="D49" i="5" s="1"/>
  <c r="BI101" i="5"/>
  <c r="C13" i="5"/>
  <c r="AB13" i="5" s="1"/>
  <c r="AA13" i="5" s="1"/>
  <c r="D13" i="5" s="1"/>
  <c r="Z13" i="5"/>
  <c r="Z70" i="5"/>
  <c r="Z86" i="5"/>
  <c r="BI86" i="5"/>
  <c r="BI13" i="5"/>
  <c r="BI26" i="5"/>
  <c r="C43" i="5"/>
  <c r="AB43" i="5" s="1"/>
  <c r="AA43" i="5" s="1"/>
  <c r="D43" i="5" s="1"/>
  <c r="BI9" i="5"/>
  <c r="Z19" i="5"/>
  <c r="BI109" i="5"/>
  <c r="Z24" i="5"/>
  <c r="C30" i="5"/>
  <c r="AB30" i="5" s="1"/>
  <c r="AA30" i="5" s="1"/>
  <c r="D30" i="5" s="1"/>
  <c r="Z30" i="5"/>
  <c r="Z126" i="5"/>
  <c r="C44" i="5"/>
  <c r="AB44" i="5" s="1"/>
  <c r="AA44" i="5" s="1"/>
  <c r="D44" i="5" s="1"/>
  <c r="C155" i="5"/>
  <c r="AB155" i="5" s="1"/>
  <c r="AA155" i="5" s="1"/>
  <c r="BI155" i="5"/>
  <c r="BI69" i="5"/>
  <c r="BI48" i="5"/>
  <c r="BI185" i="5"/>
  <c r="BI121" i="5"/>
  <c r="BI79" i="5"/>
  <c r="Z57" i="5"/>
  <c r="Z36" i="5"/>
  <c r="BI36" i="5"/>
  <c r="Z79" i="5"/>
  <c r="Z121" i="5"/>
  <c r="C48" i="5"/>
  <c r="AB48" i="5" s="1"/>
  <c r="AA48" i="5" s="1"/>
  <c r="D48" i="5" s="1"/>
  <c r="Z176" i="5"/>
  <c r="Z155" i="5"/>
  <c r="C36" i="5"/>
  <c r="AB36" i="5" s="1"/>
  <c r="AA36" i="5" s="1"/>
  <c r="D36" i="5" s="1"/>
  <c r="C57" i="5"/>
  <c r="AB57" i="5" s="1"/>
  <c r="AA57" i="5" s="1"/>
  <c r="D57" i="5" s="1"/>
  <c r="Z69" i="5"/>
  <c r="BI57" i="5"/>
  <c r="BI200" i="5"/>
  <c r="Z200" i="5"/>
  <c r="Z46" i="5"/>
  <c r="C45" i="5"/>
  <c r="AB45" i="5" s="1"/>
  <c r="AA45" i="5" s="1"/>
  <c r="D45" i="5" s="1"/>
  <c r="Z152" i="5"/>
  <c r="BI46" i="5"/>
  <c r="BI110" i="5"/>
  <c r="Z109" i="5"/>
  <c r="Z94" i="5"/>
  <c r="BI24" i="5"/>
  <c r="Z45" i="5"/>
  <c r="BI152" i="5"/>
  <c r="C46" i="5"/>
  <c r="AB46" i="5" s="1"/>
  <c r="AA46" i="5" s="1"/>
  <c r="D46" i="5" s="1"/>
  <c r="BI30" i="5"/>
  <c r="BI14" i="5"/>
  <c r="Z110" i="5"/>
  <c r="C14" i="5"/>
  <c r="AB14" i="5" s="1"/>
  <c r="AA14" i="5" s="1"/>
  <c r="D14" i="5" s="1"/>
  <c r="BI117" i="5"/>
  <c r="Z117" i="5"/>
  <c r="C53" i="5"/>
  <c r="AB53" i="5" s="1"/>
  <c r="AA53" i="5" s="1"/>
  <c r="D53" i="5" s="1"/>
  <c r="C32" i="5"/>
  <c r="AB32" i="5" s="1"/>
  <c r="AA32" i="5" s="1"/>
  <c r="D32" i="5" s="1"/>
  <c r="BI93" i="5"/>
  <c r="BI42" i="5"/>
  <c r="BI58" i="5"/>
  <c r="C58" i="5"/>
  <c r="AB58" i="5" s="1"/>
  <c r="AA58" i="5" s="1"/>
  <c r="D58" i="5" s="1"/>
  <c r="BI74" i="5"/>
  <c r="Z97" i="5"/>
  <c r="BI97" i="5"/>
  <c r="Z49" i="5"/>
  <c r="BI49" i="5"/>
  <c r="BI43" i="5"/>
  <c r="BI73" i="5"/>
  <c r="Z73" i="5"/>
  <c r="Z9" i="5"/>
  <c r="C9" i="5"/>
  <c r="Z40" i="5"/>
  <c r="C40" i="5"/>
  <c r="AB40" i="5" s="1"/>
  <c r="AA40" i="5" s="1"/>
  <c r="D40" i="5" s="1"/>
  <c r="BI19" i="5"/>
  <c r="C19" i="5"/>
  <c r="AB19" i="5" s="1"/>
  <c r="AA19" i="5" s="1"/>
  <c r="D19" i="5" s="1"/>
  <c r="BI66" i="5"/>
  <c r="Z66" i="5"/>
  <c r="Z82" i="5"/>
  <c r="BI82" i="5"/>
  <c r="Z98" i="5"/>
  <c r="BI98" i="5"/>
  <c r="Z43" i="5"/>
  <c r="BI40" i="5"/>
  <c r="Z48" i="5"/>
  <c r="Z53" i="5"/>
  <c r="BI11" i="5"/>
  <c r="Z20" i="5"/>
  <c r="Z93" i="5"/>
  <c r="Z90" i="5"/>
  <c r="Z60" i="5"/>
  <c r="BI12" i="5"/>
  <c r="Z12" i="5"/>
  <c r="Z101" i="5"/>
  <c r="Z32" i="5"/>
  <c r="AB9" i="5" l="1"/>
  <c r="AA9" i="5" s="1"/>
  <c r="D9" i="5" s="1"/>
  <c r="B3" i="5"/>
  <c r="C75" i="5"/>
  <c r="AB75" i="5" s="1"/>
  <c r="AA75" i="5" s="1"/>
  <c r="D75" i="5" s="1"/>
  <c r="D108" i="5"/>
  <c r="D154" i="5"/>
  <c r="D99" i="5"/>
  <c r="C89" i="5"/>
  <c r="AB89" i="5" s="1"/>
  <c r="AA89" i="5" s="1"/>
  <c r="D89" i="5" s="1"/>
  <c r="D189" i="5"/>
  <c r="D103" i="5"/>
  <c r="D96" i="5"/>
  <c r="D129" i="5"/>
  <c r="C129" i="5"/>
  <c r="AB129" i="5" s="1"/>
  <c r="AA129" i="5" s="1"/>
  <c r="D138" i="5"/>
  <c r="C138" i="5"/>
  <c r="AB138" i="5" s="1"/>
  <c r="AA138" i="5" s="1"/>
  <c r="D120" i="5"/>
  <c r="C120" i="5"/>
  <c r="AB120" i="5" s="1"/>
  <c r="AA120" i="5" s="1"/>
  <c r="D111" i="5"/>
  <c r="C71" i="5"/>
  <c r="AB71" i="5" s="1"/>
  <c r="AA71" i="5" s="1"/>
  <c r="D71" i="5" s="1"/>
  <c r="D166" i="5"/>
  <c r="C166" i="5"/>
  <c r="AB166" i="5" s="1"/>
  <c r="AA166" i="5" s="1"/>
  <c r="D124" i="5"/>
  <c r="C124" i="5"/>
  <c r="AB124" i="5" s="1"/>
  <c r="AA124" i="5" s="1"/>
  <c r="C84" i="5"/>
  <c r="AB84" i="5" s="1"/>
  <c r="AA84" i="5" s="1"/>
  <c r="D84" i="5" s="1"/>
  <c r="D139" i="5"/>
  <c r="C139" i="5"/>
  <c r="AB139" i="5" s="1"/>
  <c r="AA139" i="5" s="1"/>
  <c r="D135" i="5"/>
  <c r="C135" i="5"/>
  <c r="AB135" i="5" s="1"/>
  <c r="AA135" i="5" s="1"/>
  <c r="D122" i="5"/>
  <c r="C122" i="5"/>
  <c r="AB122" i="5" s="1"/>
  <c r="AA122" i="5" s="1"/>
  <c r="D141" i="5"/>
  <c r="C141" i="5"/>
  <c r="AB141" i="5" s="1"/>
  <c r="AA141" i="5" s="1"/>
  <c r="D132" i="5"/>
  <c r="C132" i="5"/>
  <c r="AB132" i="5" s="1"/>
  <c r="AA132" i="5" s="1"/>
  <c r="D123" i="5"/>
  <c r="C123" i="5"/>
  <c r="AB123" i="5" s="1"/>
  <c r="AA123" i="5" s="1"/>
  <c r="D156" i="5"/>
  <c r="C156" i="5"/>
  <c r="AB156" i="5" s="1"/>
  <c r="AA156" i="5" s="1"/>
  <c r="D150" i="5"/>
  <c r="C150" i="5"/>
  <c r="AB150" i="5" s="1"/>
  <c r="AA150" i="5" s="1"/>
  <c r="C83" i="5"/>
  <c r="AB83" i="5" s="1"/>
  <c r="AA83" i="5" s="1"/>
  <c r="D83" i="5" s="1"/>
  <c r="D95" i="5"/>
  <c r="C85" i="5"/>
  <c r="AB85" i="5" s="1"/>
  <c r="AA85" i="5" s="1"/>
  <c r="D85" i="5" s="1"/>
  <c r="D151" i="5"/>
  <c r="C151" i="5"/>
  <c r="AB151" i="5" s="1"/>
  <c r="AA151" i="5" s="1"/>
  <c r="D196" i="5"/>
  <c r="C196" i="5"/>
  <c r="AB196" i="5" s="1"/>
  <c r="AA196" i="5" s="1"/>
  <c r="D191" i="5"/>
  <c r="C191" i="5"/>
  <c r="AB191" i="5" s="1"/>
  <c r="AA191" i="5" s="1"/>
  <c r="D115" i="5"/>
  <c r="C115" i="5"/>
  <c r="AB115" i="5" s="1"/>
  <c r="AA115" i="5" s="1"/>
  <c r="D105" i="5"/>
  <c r="C105" i="5"/>
  <c r="AB105" i="5" s="1"/>
  <c r="AA105" i="5" s="1"/>
  <c r="D160" i="5"/>
  <c r="C160" i="5"/>
  <c r="AB160" i="5" s="1"/>
  <c r="AA160" i="5" s="1"/>
  <c r="D183" i="5"/>
  <c r="C183" i="5"/>
  <c r="AB183" i="5" s="1"/>
  <c r="AA183" i="5" s="1"/>
  <c r="D106" i="5"/>
  <c r="C106" i="5"/>
  <c r="AB106" i="5" s="1"/>
  <c r="AA106" i="5" s="1"/>
  <c r="D163" i="5"/>
  <c r="C163" i="5"/>
  <c r="AB163" i="5" s="1"/>
  <c r="AA163" i="5" s="1"/>
  <c r="D153" i="5"/>
  <c r="C153" i="5"/>
  <c r="AB153" i="5" s="1"/>
  <c r="AA153" i="5" s="1"/>
  <c r="D144" i="5"/>
  <c r="C144" i="5"/>
  <c r="AB144" i="5" s="1"/>
  <c r="AA144" i="5" s="1"/>
  <c r="D134" i="5"/>
  <c r="C134" i="5"/>
  <c r="AB134" i="5" s="1"/>
  <c r="AA134" i="5" s="1"/>
  <c r="D104" i="5"/>
  <c r="C104" i="5"/>
  <c r="AB104" i="5" s="1"/>
  <c r="AA104" i="5" s="1"/>
  <c r="D116" i="5"/>
  <c r="C116" i="5"/>
  <c r="AB116" i="5" s="1"/>
  <c r="AA116" i="5" s="1"/>
  <c r="D107" i="5"/>
  <c r="C107" i="5"/>
  <c r="AB107" i="5" s="1"/>
  <c r="AA107" i="5" s="1"/>
  <c r="C92" i="5"/>
  <c r="AB92" i="5" s="1"/>
  <c r="AA92" i="5" s="1"/>
  <c r="D92" i="5" s="1"/>
  <c r="D178" i="5"/>
  <c r="C178" i="5"/>
  <c r="AB178" i="5" s="1"/>
  <c r="AA178" i="5" s="1"/>
  <c r="C67" i="5"/>
  <c r="AB67" i="5" s="1"/>
  <c r="AA67" i="5" s="1"/>
  <c r="D67" i="5" s="1"/>
  <c r="C91" i="5"/>
  <c r="AB91" i="5" s="1"/>
  <c r="AA91" i="5" s="1"/>
  <c r="D91" i="5" s="1"/>
  <c r="D174" i="5"/>
  <c r="C174" i="5"/>
  <c r="AB174" i="5" s="1"/>
  <c r="AA174" i="5" s="1"/>
  <c r="D136" i="5"/>
  <c r="D127" i="5"/>
  <c r="C127" i="5"/>
  <c r="AB127" i="5" s="1"/>
  <c r="AA127" i="5" s="1"/>
  <c r="D181" i="5"/>
  <c r="C181" i="5"/>
  <c r="AB181" i="5" s="1"/>
  <c r="AA181" i="5" s="1"/>
  <c r="D145" i="5"/>
  <c r="C145" i="5"/>
  <c r="AB145" i="5" s="1"/>
  <c r="AA145" i="5" s="1"/>
  <c r="D184" i="5"/>
  <c r="D175" i="5"/>
  <c r="D165" i="5"/>
  <c r="C165" i="5"/>
  <c r="AB165" i="5" s="1"/>
  <c r="AA165" i="5" s="1"/>
  <c r="D119" i="5"/>
  <c r="C119" i="5"/>
  <c r="AB119" i="5" s="1"/>
  <c r="AA119" i="5" s="1"/>
  <c r="D118" i="5"/>
  <c r="C118" i="5"/>
  <c r="AB118" i="5" s="1"/>
  <c r="AA118" i="5" s="1"/>
  <c r="D125" i="5"/>
  <c r="C125" i="5"/>
  <c r="AB125" i="5" s="1"/>
  <c r="AA125" i="5" s="1"/>
  <c r="D137" i="5"/>
  <c r="C137" i="5"/>
  <c r="AB137" i="5" s="1"/>
  <c r="AA137" i="5" s="1"/>
  <c r="D128" i="5"/>
  <c r="C128" i="5"/>
  <c r="AB128" i="5" s="1"/>
  <c r="AA128" i="5" s="1"/>
  <c r="D177" i="5"/>
  <c r="C177" i="5"/>
  <c r="AB177" i="5" s="1"/>
  <c r="AA177" i="5" s="1"/>
  <c r="D162" i="5"/>
  <c r="C162" i="5"/>
  <c r="AB162" i="5" s="1"/>
  <c r="AA162" i="5" s="1"/>
  <c r="D131" i="5"/>
  <c r="C131" i="5"/>
  <c r="AB131" i="5" s="1"/>
  <c r="AA131" i="5" s="1"/>
  <c r="D112" i="5"/>
  <c r="C112" i="5"/>
  <c r="AB112" i="5" s="1"/>
  <c r="AA112" i="5" s="1"/>
  <c r="D199" i="5"/>
  <c r="C199" i="5"/>
  <c r="AB199" i="5" s="1"/>
  <c r="AA199" i="5" s="1"/>
  <c r="D187" i="5"/>
  <c r="C187" i="5"/>
  <c r="AB187" i="5" s="1"/>
  <c r="AA187" i="5" s="1"/>
  <c r="C81" i="5"/>
  <c r="AB81" i="5" s="1"/>
  <c r="AA81" i="5" s="1"/>
  <c r="D81" i="5" s="1"/>
  <c r="D102" i="5"/>
  <c r="C102" i="5"/>
  <c r="AB102" i="5" s="1"/>
  <c r="AA102" i="5" s="1"/>
  <c r="D147" i="5"/>
  <c r="C147" i="5"/>
  <c r="AB147" i="5" s="1"/>
  <c r="AA147" i="5" s="1"/>
  <c r="D159" i="5"/>
  <c r="C159" i="5"/>
  <c r="AB159" i="5" s="1"/>
  <c r="AA159" i="5" s="1"/>
  <c r="D149" i="5"/>
  <c r="C149" i="5"/>
  <c r="AB149" i="5" s="1"/>
  <c r="AA149" i="5" s="1"/>
  <c r="D146" i="5"/>
  <c r="C146" i="5"/>
  <c r="AB146" i="5" s="1"/>
  <c r="AA146" i="5" s="1"/>
  <c r="D173" i="5"/>
  <c r="C173" i="5"/>
  <c r="AB173" i="5" s="1"/>
  <c r="AA173" i="5" s="1"/>
  <c r="D133" i="5"/>
  <c r="C133" i="5"/>
  <c r="AB133" i="5" s="1"/>
  <c r="AA133" i="5" s="1"/>
  <c r="D158" i="5"/>
  <c r="C158" i="5"/>
  <c r="AB158" i="5" s="1"/>
  <c r="AA158" i="5" s="1"/>
  <c r="D157" i="5"/>
  <c r="C157" i="5"/>
  <c r="AB157" i="5" s="1"/>
  <c r="AA157" i="5" s="1"/>
  <c r="D148" i="5"/>
  <c r="C148" i="5"/>
  <c r="AB148" i="5" s="1"/>
  <c r="AA148" i="5" s="1"/>
  <c r="D168" i="5"/>
  <c r="C168" i="5"/>
  <c r="AB168" i="5" s="1"/>
  <c r="AA168" i="5" s="1"/>
  <c r="D180" i="5"/>
  <c r="C180" i="5"/>
  <c r="AB180" i="5" s="1"/>
  <c r="AA180" i="5" s="1"/>
  <c r="D171" i="5"/>
  <c r="C171" i="5"/>
  <c r="AB171" i="5" s="1"/>
  <c r="AA171" i="5" s="1"/>
  <c r="D140" i="5"/>
  <c r="C140" i="5"/>
  <c r="AB140" i="5" s="1"/>
  <c r="AA140" i="5" s="1"/>
  <c r="D130" i="5"/>
  <c r="C130" i="5"/>
  <c r="AB130" i="5" s="1"/>
  <c r="AA130" i="5" s="1"/>
  <c r="D198" i="5"/>
  <c r="C198" i="5"/>
  <c r="AB198" i="5" s="1"/>
  <c r="AA198" i="5" s="1"/>
  <c r="D193" i="5"/>
  <c r="C193" i="5"/>
  <c r="AB193" i="5" s="1"/>
  <c r="AA193" i="5" s="1"/>
  <c r="D201" i="5"/>
  <c r="C201" i="5"/>
  <c r="AB201" i="5" s="1"/>
  <c r="AA201" i="5" s="1"/>
  <c r="D167" i="5"/>
  <c r="C167" i="5"/>
  <c r="AB167" i="5" s="1"/>
  <c r="AA167" i="5" s="1"/>
  <c r="D203" i="5"/>
  <c r="C203" i="5"/>
  <c r="AB203" i="5" s="1"/>
  <c r="AA203" i="5" s="1"/>
  <c r="D204" i="5"/>
  <c r="C204" i="5"/>
  <c r="AB204" i="5" s="1"/>
  <c r="AA204" i="5" s="1"/>
  <c r="D192" i="5"/>
  <c r="C192" i="5"/>
  <c r="AB192" i="5" s="1"/>
  <c r="AA192" i="5" s="1"/>
  <c r="C87" i="5"/>
  <c r="AB87" i="5" s="1"/>
  <c r="AA87" i="5" s="1"/>
  <c r="D87" i="5" s="1"/>
  <c r="D170" i="5"/>
  <c r="C170" i="5"/>
  <c r="AB170" i="5" s="1"/>
  <c r="AA170" i="5" s="1"/>
  <c r="C77" i="5"/>
  <c r="AB77" i="5" s="1"/>
  <c r="AA77" i="5" s="1"/>
  <c r="D77" i="5" s="1"/>
  <c r="C68" i="5"/>
  <c r="AB68" i="5" s="1"/>
  <c r="AA68" i="5" s="1"/>
  <c r="D68" i="5" s="1"/>
  <c r="D202" i="5"/>
  <c r="C202" i="5"/>
  <c r="AB202" i="5" s="1"/>
  <c r="AA202" i="5" s="1"/>
  <c r="D190" i="5"/>
  <c r="D206" i="5"/>
  <c r="C206" i="5"/>
  <c r="AB206" i="5" s="1"/>
  <c r="AA206" i="5" s="1"/>
  <c r="D194" i="5"/>
  <c r="C194" i="5"/>
  <c r="AB194" i="5" s="1"/>
  <c r="AA194" i="5" s="1"/>
  <c r="D114" i="5"/>
  <c r="C114" i="5"/>
  <c r="AB114" i="5" s="1"/>
  <c r="AA114" i="5" s="1"/>
  <c r="D207" i="5"/>
  <c r="C207" i="5"/>
  <c r="AB207" i="5" s="1"/>
  <c r="AA207" i="5" s="1"/>
  <c r="D113" i="5"/>
  <c r="C113" i="5"/>
  <c r="AB113" i="5" s="1"/>
  <c r="AA113" i="5" s="1"/>
  <c r="C78" i="5"/>
  <c r="AB78" i="5" s="1"/>
  <c r="AA78" i="5" s="1"/>
  <c r="D78" i="5" s="1"/>
  <c r="D179" i="5"/>
  <c r="C179" i="5"/>
  <c r="AB179" i="5" s="1"/>
  <c r="AA179" i="5" s="1"/>
  <c r="D169" i="5"/>
  <c r="C169" i="5"/>
  <c r="AB169" i="5" s="1"/>
  <c r="AA169" i="5" s="1"/>
  <c r="D197" i="5"/>
  <c r="C197" i="5"/>
  <c r="AB197" i="5" s="1"/>
  <c r="AA197" i="5" s="1"/>
  <c r="D186" i="5"/>
  <c r="C186" i="5"/>
  <c r="AB186" i="5" s="1"/>
  <c r="AA186" i="5" s="1"/>
  <c r="C76" i="5"/>
  <c r="AB76" i="5" s="1"/>
  <c r="AA76" i="5" s="1"/>
  <c r="D76" i="5" s="1"/>
  <c r="D195" i="5"/>
  <c r="C195" i="5"/>
  <c r="AB195" i="5" s="1"/>
  <c r="AA195" i="5" s="1"/>
  <c r="D182" i="5"/>
  <c r="C182" i="5"/>
  <c r="AB182" i="5" s="1"/>
  <c r="AA182" i="5" s="1"/>
  <c r="D100" i="5"/>
  <c r="C100" i="5"/>
  <c r="AB100" i="5" s="1"/>
  <c r="AA100" i="5" s="1"/>
  <c r="D205" i="5"/>
  <c r="C205" i="5"/>
  <c r="AB205" i="5" s="1"/>
  <c r="AA205" i="5" s="1"/>
  <c r="D188" i="5"/>
  <c r="C188" i="5"/>
  <c r="AB188" i="5" s="1"/>
  <c r="AA188" i="5" s="1"/>
  <c r="D143" i="5"/>
  <c r="C143" i="5"/>
  <c r="AB143" i="5" s="1"/>
  <c r="AA143" i="5" s="1"/>
  <c r="AE121" i="5"/>
  <c r="AH121" i="5" s="1"/>
  <c r="AG121" i="5" s="1"/>
  <c r="AF121" i="5" s="1"/>
  <c r="G121" i="5" s="1"/>
  <c r="BG121" i="5"/>
  <c r="Q121" i="5" s="1"/>
  <c r="BB121" i="5"/>
  <c r="BE121" i="5" s="1"/>
  <c r="BD121" i="5" s="1"/>
  <c r="BC121" i="5" s="1"/>
  <c r="P121" i="5" s="1"/>
  <c r="AL121" i="5"/>
  <c r="AO121" i="5" s="1"/>
  <c r="AN121" i="5" s="1"/>
  <c r="AM121" i="5" s="1"/>
  <c r="J121" i="5" s="1"/>
  <c r="AT121" i="5"/>
  <c r="K121" i="5" s="1"/>
  <c r="BG97" i="5"/>
  <c r="Q97" i="5" s="1"/>
  <c r="BB97" i="5"/>
  <c r="BE97" i="5" s="1"/>
  <c r="BD97" i="5" s="1"/>
  <c r="BC97" i="5" s="1"/>
  <c r="P97" i="5" s="1"/>
  <c r="AL97" i="5"/>
  <c r="AT97" i="5"/>
  <c r="K97" i="5" s="1"/>
  <c r="BG58" i="5"/>
  <c r="Q58" i="5" s="1"/>
  <c r="AT58" i="5"/>
  <c r="AW58" i="5" s="1"/>
  <c r="AV58" i="5" s="1"/>
  <c r="AU58" i="5" s="1"/>
  <c r="M58" i="5" s="1"/>
  <c r="BB58" i="5"/>
  <c r="BE58" i="5" s="1"/>
  <c r="BD58" i="5" s="1"/>
  <c r="BC58" i="5" s="1"/>
  <c r="P58" i="5" s="1"/>
  <c r="AL58" i="5"/>
  <c r="H58" i="5" s="1"/>
  <c r="BB30" i="5"/>
  <c r="BE30" i="5" s="1"/>
  <c r="BD30" i="5" s="1"/>
  <c r="BC30" i="5" s="1"/>
  <c r="P30" i="5" s="1"/>
  <c r="BG30" i="5"/>
  <c r="Q30" i="5" s="1"/>
  <c r="AL30" i="5"/>
  <c r="AO30" i="5" s="1"/>
  <c r="AN30" i="5" s="1"/>
  <c r="AM30" i="5" s="1"/>
  <c r="J30" i="5" s="1"/>
  <c r="AT30" i="5"/>
  <c r="AW30" i="5" s="1"/>
  <c r="AV30" i="5" s="1"/>
  <c r="AU30" i="5" s="1"/>
  <c r="M30" i="5" s="1"/>
  <c r="AE46" i="5"/>
  <c r="E46" i="5" s="1"/>
  <c r="BG46" i="5"/>
  <c r="Q46" i="5" s="1"/>
  <c r="AL46" i="5"/>
  <c r="H46" i="5" s="1"/>
  <c r="AT46" i="5"/>
  <c r="AW46" i="5" s="1"/>
  <c r="AV46" i="5" s="1"/>
  <c r="AU46" i="5" s="1"/>
  <c r="M46" i="5" s="1"/>
  <c r="BB46" i="5"/>
  <c r="N46" i="5" s="1"/>
  <c r="BG26" i="5"/>
  <c r="Q26" i="5" s="1"/>
  <c r="BB26" i="5"/>
  <c r="N26" i="5" s="1"/>
  <c r="AT26" i="5"/>
  <c r="AW26" i="5" s="1"/>
  <c r="AV26" i="5" s="1"/>
  <c r="AU26" i="5" s="1"/>
  <c r="M26" i="5" s="1"/>
  <c r="AL26" i="5"/>
  <c r="H26" i="5" s="1"/>
  <c r="AE32" i="5"/>
  <c r="E32" i="5" s="1"/>
  <c r="AT32" i="5"/>
  <c r="K32" i="5" s="1"/>
  <c r="BB32" i="5"/>
  <c r="BE32" i="5" s="1"/>
  <c r="BD32" i="5" s="1"/>
  <c r="BC32" i="5" s="1"/>
  <c r="P32" i="5" s="1"/>
  <c r="BG32" i="5"/>
  <c r="Q32" i="5" s="1"/>
  <c r="AL32" i="5"/>
  <c r="H32" i="5" s="1"/>
  <c r="AE142" i="5"/>
  <c r="E142" i="5" s="1"/>
  <c r="BG142" i="5"/>
  <c r="Q142" i="5" s="1"/>
  <c r="AL142" i="5"/>
  <c r="H142" i="5" s="1"/>
  <c r="BB142" i="5"/>
  <c r="N142" i="5" s="1"/>
  <c r="AT142" i="5"/>
  <c r="AW142" i="5" s="1"/>
  <c r="AV142" i="5" s="1"/>
  <c r="AU142" i="5" s="1"/>
  <c r="M142" i="5" s="1"/>
  <c r="AT88" i="5"/>
  <c r="K88" i="5" s="1"/>
  <c r="BG88" i="5"/>
  <c r="Q88" i="5" s="1"/>
  <c r="BB88" i="5"/>
  <c r="N88" i="5" s="1"/>
  <c r="AL88" i="5"/>
  <c r="H88" i="5" s="1"/>
  <c r="BG176" i="5"/>
  <c r="Q176" i="5" s="1"/>
  <c r="AT176" i="5"/>
  <c r="AW176" i="5" s="1"/>
  <c r="AV176" i="5" s="1"/>
  <c r="AU176" i="5" s="1"/>
  <c r="M176" i="5" s="1"/>
  <c r="BB176" i="5"/>
  <c r="N176" i="5" s="1"/>
  <c r="AL176" i="5"/>
  <c r="H176" i="5" s="1"/>
  <c r="BF191" i="5"/>
  <c r="AX191" i="5"/>
  <c r="AP191" i="5"/>
  <c r="AI191" i="5"/>
  <c r="BF115" i="5"/>
  <c r="AX115" i="5"/>
  <c r="AP115" i="5"/>
  <c r="AI115" i="5"/>
  <c r="BF105" i="5"/>
  <c r="AX105" i="5"/>
  <c r="AP105" i="5"/>
  <c r="AI105" i="5"/>
  <c r="AX160" i="5"/>
  <c r="BF160" i="5"/>
  <c r="AP160" i="5"/>
  <c r="AI160" i="5"/>
  <c r="BF183" i="5"/>
  <c r="AX183" i="5"/>
  <c r="AP183" i="5"/>
  <c r="AI183" i="5"/>
  <c r="BF106" i="5"/>
  <c r="AX106" i="5"/>
  <c r="AP106" i="5"/>
  <c r="AI106" i="5"/>
  <c r="BF163" i="5"/>
  <c r="AX163" i="5"/>
  <c r="AP163" i="5"/>
  <c r="AI163" i="5"/>
  <c r="BF153" i="5"/>
  <c r="AX153" i="5"/>
  <c r="AP153" i="5"/>
  <c r="AI153" i="5"/>
  <c r="AX144" i="5"/>
  <c r="BF144" i="5"/>
  <c r="AP144" i="5"/>
  <c r="AI144" i="5"/>
  <c r="BF33" i="5"/>
  <c r="AX33" i="5"/>
  <c r="AP33" i="5"/>
  <c r="AI33" i="5"/>
  <c r="BF134" i="5"/>
  <c r="AP134" i="5"/>
  <c r="AI134" i="5"/>
  <c r="AX134" i="5"/>
  <c r="BF104" i="5"/>
  <c r="AX104" i="5"/>
  <c r="AP104" i="5"/>
  <c r="AI104" i="5"/>
  <c r="BF116" i="5"/>
  <c r="AX116" i="5"/>
  <c r="AP116" i="5"/>
  <c r="AI116" i="5"/>
  <c r="BF107" i="5"/>
  <c r="AX107" i="5"/>
  <c r="AP107" i="5"/>
  <c r="AI107" i="5"/>
  <c r="BF92" i="5"/>
  <c r="AX92" i="5"/>
  <c r="AP92" i="5"/>
  <c r="AI92" i="5"/>
  <c r="BF178" i="5"/>
  <c r="AX178" i="5"/>
  <c r="AP178" i="5"/>
  <c r="AI178" i="5"/>
  <c r="BF67" i="5"/>
  <c r="AX67" i="5"/>
  <c r="AP67" i="5"/>
  <c r="AI67" i="5"/>
  <c r="BF91" i="5"/>
  <c r="AX91" i="5"/>
  <c r="AP91" i="5"/>
  <c r="AI91" i="5"/>
  <c r="BG49" i="5"/>
  <c r="Q49" i="5" s="1"/>
  <c r="BB49" i="5"/>
  <c r="BE49" i="5" s="1"/>
  <c r="BD49" i="5" s="1"/>
  <c r="BC49" i="5" s="1"/>
  <c r="P49" i="5" s="1"/>
  <c r="AT49" i="5"/>
  <c r="K49" i="5" s="1"/>
  <c r="AL49" i="5"/>
  <c r="H49" i="5" s="1"/>
  <c r="AE93" i="5"/>
  <c r="E93" i="5" s="1"/>
  <c r="BG93" i="5"/>
  <c r="Q93" i="5" s="1"/>
  <c r="BB93" i="5"/>
  <c r="N93" i="5" s="1"/>
  <c r="AT93" i="5"/>
  <c r="K93" i="5" s="1"/>
  <c r="AL93" i="5"/>
  <c r="AE82" i="5"/>
  <c r="E82" i="5" s="1"/>
  <c r="BG82" i="5"/>
  <c r="Q82" i="5" s="1"/>
  <c r="BB82" i="5"/>
  <c r="N82" i="5" s="1"/>
  <c r="AT82" i="5"/>
  <c r="K82" i="5" s="1"/>
  <c r="AL82" i="5"/>
  <c r="H82" i="5" s="1"/>
  <c r="BG19" i="5"/>
  <c r="Q19" i="5" s="1"/>
  <c r="BB19" i="5"/>
  <c r="N19" i="5" s="1"/>
  <c r="AT19" i="5"/>
  <c r="AW19" i="5" s="1"/>
  <c r="AV19" i="5" s="1"/>
  <c r="AU19" i="5" s="1"/>
  <c r="M19" i="5" s="1"/>
  <c r="AL19" i="5"/>
  <c r="H19" i="5" s="1"/>
  <c r="AE73" i="5"/>
  <c r="BG73" i="5"/>
  <c r="Q73" i="5" s="1"/>
  <c r="BB73" i="5"/>
  <c r="AL73" i="5"/>
  <c r="AT73" i="5"/>
  <c r="BG42" i="5"/>
  <c r="Q42" i="5" s="1"/>
  <c r="BB42" i="5"/>
  <c r="BE42" i="5" s="1"/>
  <c r="BD42" i="5" s="1"/>
  <c r="BC42" i="5" s="1"/>
  <c r="P42" i="5" s="1"/>
  <c r="AT42" i="5"/>
  <c r="K42" i="5" s="1"/>
  <c r="AL42" i="5"/>
  <c r="AO42" i="5" s="1"/>
  <c r="AN42" i="5" s="1"/>
  <c r="AM42" i="5" s="1"/>
  <c r="J42" i="5" s="1"/>
  <c r="BG117" i="5"/>
  <c r="Q117" i="5" s="1"/>
  <c r="BB117" i="5"/>
  <c r="N117" i="5" s="1"/>
  <c r="AT117" i="5"/>
  <c r="AW117" i="5" s="1"/>
  <c r="AV117" i="5" s="1"/>
  <c r="AU117" i="5" s="1"/>
  <c r="M117" i="5" s="1"/>
  <c r="AL117" i="5"/>
  <c r="AO117" i="5" s="1"/>
  <c r="AN117" i="5" s="1"/>
  <c r="AM117" i="5" s="1"/>
  <c r="J117" i="5" s="1"/>
  <c r="BG57" i="5"/>
  <c r="Q57" i="5" s="1"/>
  <c r="BB57" i="5"/>
  <c r="N57" i="5" s="1"/>
  <c r="AL57" i="5"/>
  <c r="H57" i="5" s="1"/>
  <c r="AT57" i="5"/>
  <c r="K57" i="5" s="1"/>
  <c r="BG13" i="5"/>
  <c r="Q13" i="5" s="1"/>
  <c r="BB13" i="5"/>
  <c r="BE13" i="5" s="1"/>
  <c r="BD13" i="5" s="1"/>
  <c r="BC13" i="5" s="1"/>
  <c r="P13" i="5" s="1"/>
  <c r="AT13" i="5"/>
  <c r="K13" i="5" s="1"/>
  <c r="AL13" i="5"/>
  <c r="AO13" i="5" s="1"/>
  <c r="AN13" i="5" s="1"/>
  <c r="AM13" i="5" s="1"/>
  <c r="J13" i="5" s="1"/>
  <c r="AE53" i="5"/>
  <c r="E53" i="5" s="1"/>
  <c r="BG53" i="5"/>
  <c r="Q53" i="5" s="1"/>
  <c r="BB53" i="5"/>
  <c r="N53" i="5" s="1"/>
  <c r="AT53" i="5"/>
  <c r="AW53" i="5" s="1"/>
  <c r="AV53" i="5" s="1"/>
  <c r="AU53" i="5" s="1"/>
  <c r="M53" i="5" s="1"/>
  <c r="AL53" i="5"/>
  <c r="AO53" i="5" s="1"/>
  <c r="AN53" i="5" s="1"/>
  <c r="AM53" i="5" s="1"/>
  <c r="J53" i="5" s="1"/>
  <c r="BF23" i="5"/>
  <c r="AX23" i="5"/>
  <c r="AI23" i="5"/>
  <c r="AP23" i="5"/>
  <c r="BF174" i="5"/>
  <c r="AP174" i="5"/>
  <c r="AI174" i="5"/>
  <c r="AX174" i="5"/>
  <c r="BF136" i="5"/>
  <c r="AX136" i="5"/>
  <c r="AP136" i="5"/>
  <c r="AI136" i="5"/>
  <c r="BF127" i="5"/>
  <c r="AX127" i="5"/>
  <c r="AP127" i="5"/>
  <c r="AI127" i="5"/>
  <c r="BF181" i="5"/>
  <c r="AX181" i="5"/>
  <c r="AP181" i="5"/>
  <c r="AI181" i="5"/>
  <c r="BF145" i="5"/>
  <c r="AX145" i="5"/>
  <c r="AP145" i="5"/>
  <c r="AI145" i="5"/>
  <c r="BF10" i="5"/>
  <c r="AX10" i="5"/>
  <c r="AP10" i="5"/>
  <c r="AI10" i="5"/>
  <c r="AX184" i="5"/>
  <c r="BF184" i="5"/>
  <c r="AP184" i="5"/>
  <c r="AI184" i="5"/>
  <c r="BF175" i="5"/>
  <c r="AX175" i="5"/>
  <c r="AP175" i="5"/>
  <c r="AI175" i="5"/>
  <c r="BF165" i="5"/>
  <c r="AX165" i="5"/>
  <c r="AP165" i="5"/>
  <c r="AI165" i="5"/>
  <c r="BF119" i="5"/>
  <c r="AX119" i="5"/>
  <c r="AP119" i="5"/>
  <c r="AI119" i="5"/>
  <c r="BF118" i="5"/>
  <c r="AP118" i="5"/>
  <c r="AI118" i="5"/>
  <c r="AX118" i="5"/>
  <c r="BF125" i="5"/>
  <c r="AX125" i="5"/>
  <c r="AP125" i="5"/>
  <c r="AI125" i="5"/>
  <c r="BF137" i="5"/>
  <c r="AX137" i="5"/>
  <c r="AP137" i="5"/>
  <c r="AI137" i="5"/>
  <c r="AX128" i="5"/>
  <c r="BF128" i="5"/>
  <c r="AP128" i="5"/>
  <c r="AI128" i="5"/>
  <c r="BF177" i="5"/>
  <c r="AX177" i="5"/>
  <c r="AP177" i="5"/>
  <c r="AI177" i="5"/>
  <c r="BF162" i="5"/>
  <c r="AX162" i="5"/>
  <c r="AP162" i="5"/>
  <c r="AI162" i="5"/>
  <c r="BF131" i="5"/>
  <c r="AX131" i="5"/>
  <c r="AP131" i="5"/>
  <c r="AI131" i="5"/>
  <c r="AX112" i="5"/>
  <c r="BF112" i="5"/>
  <c r="AP112" i="5"/>
  <c r="AI112" i="5"/>
  <c r="AE43" i="5"/>
  <c r="E43" i="5" s="1"/>
  <c r="BG43" i="5"/>
  <c r="Q43" i="5" s="1"/>
  <c r="BB43" i="5"/>
  <c r="AT43" i="5"/>
  <c r="K43" i="5" s="1"/>
  <c r="AL43" i="5"/>
  <c r="AT152" i="5"/>
  <c r="AW152" i="5" s="1"/>
  <c r="AV152" i="5" s="1"/>
  <c r="AU152" i="5" s="1"/>
  <c r="M152" i="5" s="1"/>
  <c r="BG152" i="5"/>
  <c r="Q152" i="5" s="1"/>
  <c r="BB152" i="5"/>
  <c r="N152" i="5" s="1"/>
  <c r="AL152" i="5"/>
  <c r="H152" i="5" s="1"/>
  <c r="AE48" i="5"/>
  <c r="E48" i="5" s="1"/>
  <c r="BB48" i="5"/>
  <c r="N48" i="5" s="1"/>
  <c r="BG48" i="5"/>
  <c r="Q48" i="5" s="1"/>
  <c r="AT48" i="5"/>
  <c r="AW48" i="5" s="1"/>
  <c r="AV48" i="5" s="1"/>
  <c r="AU48" i="5" s="1"/>
  <c r="M48" i="5" s="1"/>
  <c r="AL48" i="5"/>
  <c r="AO48" i="5" s="1"/>
  <c r="AN48" i="5" s="1"/>
  <c r="AM48" i="5" s="1"/>
  <c r="J48" i="5" s="1"/>
  <c r="BG44" i="5"/>
  <c r="Q44" i="5" s="1"/>
  <c r="BB44" i="5"/>
  <c r="BE44" i="5" s="1"/>
  <c r="BD44" i="5" s="1"/>
  <c r="BC44" i="5" s="1"/>
  <c r="P44" i="5" s="1"/>
  <c r="AT44" i="5"/>
  <c r="AW44" i="5" s="1"/>
  <c r="AV44" i="5" s="1"/>
  <c r="AU44" i="5" s="1"/>
  <c r="M44" i="5" s="1"/>
  <c r="AL44" i="5"/>
  <c r="AO44" i="5" s="1"/>
  <c r="AN44" i="5" s="1"/>
  <c r="AM44" i="5" s="1"/>
  <c r="J44" i="5" s="1"/>
  <c r="BF28" i="5"/>
  <c r="AX28" i="5"/>
  <c r="AP28" i="5"/>
  <c r="AI28" i="5"/>
  <c r="BF158" i="5"/>
  <c r="AX158" i="5"/>
  <c r="AP158" i="5"/>
  <c r="AI158" i="5"/>
  <c r="BF157" i="5"/>
  <c r="AX157" i="5"/>
  <c r="AP157" i="5"/>
  <c r="AI157" i="5"/>
  <c r="BF148" i="5"/>
  <c r="AX148" i="5"/>
  <c r="AP148" i="5"/>
  <c r="AI148" i="5"/>
  <c r="AX208" i="5"/>
  <c r="BF208" i="5"/>
  <c r="AP208" i="5"/>
  <c r="AI208" i="5"/>
  <c r="BF207" i="5"/>
  <c r="AX207" i="5"/>
  <c r="AP207" i="5"/>
  <c r="AI207" i="5"/>
  <c r="BF35" i="5"/>
  <c r="AX35" i="5"/>
  <c r="AP35" i="5"/>
  <c r="AI35" i="5"/>
  <c r="BF25" i="5"/>
  <c r="AX25" i="5"/>
  <c r="AI25" i="5"/>
  <c r="AP25" i="5"/>
  <c r="BF199" i="5"/>
  <c r="AX199" i="5"/>
  <c r="AP199" i="5"/>
  <c r="AI199" i="5"/>
  <c r="BF187" i="5"/>
  <c r="AX187" i="5"/>
  <c r="AP187" i="5"/>
  <c r="AI187" i="5"/>
  <c r="BF81" i="5"/>
  <c r="AX81" i="5"/>
  <c r="AI81" i="5"/>
  <c r="AP81" i="5"/>
  <c r="BF102" i="5"/>
  <c r="AP102" i="5"/>
  <c r="AI102" i="5"/>
  <c r="AX102" i="5"/>
  <c r="BF147" i="5"/>
  <c r="AX147" i="5"/>
  <c r="AP147" i="5"/>
  <c r="AI147" i="5"/>
  <c r="BF159" i="5"/>
  <c r="AX159" i="5"/>
  <c r="AP159" i="5"/>
  <c r="AI159" i="5"/>
  <c r="BF149" i="5"/>
  <c r="AX149" i="5"/>
  <c r="AP149" i="5"/>
  <c r="AI149" i="5"/>
  <c r="BF55" i="5"/>
  <c r="AP55" i="5"/>
  <c r="AI55" i="5"/>
  <c r="AX55" i="5"/>
  <c r="BF146" i="5"/>
  <c r="AX146" i="5"/>
  <c r="AP146" i="5"/>
  <c r="AI146" i="5"/>
  <c r="BF173" i="5"/>
  <c r="AX173" i="5"/>
  <c r="AP173" i="5"/>
  <c r="AI173" i="5"/>
  <c r="BF133" i="5"/>
  <c r="AX133" i="5"/>
  <c r="AP133" i="5"/>
  <c r="AI133" i="5"/>
  <c r="BG60" i="5"/>
  <c r="Q60" i="5" s="1"/>
  <c r="BB60" i="5"/>
  <c r="BE60" i="5" s="1"/>
  <c r="BD60" i="5" s="1"/>
  <c r="BC60" i="5" s="1"/>
  <c r="P60" i="5" s="1"/>
  <c r="AT60" i="5"/>
  <c r="K60" i="5" s="1"/>
  <c r="AL60" i="5"/>
  <c r="H60" i="5" s="1"/>
  <c r="BG161" i="5"/>
  <c r="Q161" i="5" s="1"/>
  <c r="BB161" i="5"/>
  <c r="N161" i="5" s="1"/>
  <c r="AL161" i="5"/>
  <c r="H161" i="5" s="1"/>
  <c r="AT161" i="5"/>
  <c r="K161" i="5" s="1"/>
  <c r="BG126" i="5"/>
  <c r="Q126" i="5" s="1"/>
  <c r="BB126" i="5"/>
  <c r="BE126" i="5" s="1"/>
  <c r="BD126" i="5" s="1"/>
  <c r="BC126" i="5" s="1"/>
  <c r="P126" i="5" s="1"/>
  <c r="AT126" i="5"/>
  <c r="AW126" i="5" s="1"/>
  <c r="AV126" i="5" s="1"/>
  <c r="AU126" i="5" s="1"/>
  <c r="M126" i="5" s="1"/>
  <c r="AL126" i="5"/>
  <c r="AO126" i="5" s="1"/>
  <c r="AN126" i="5" s="1"/>
  <c r="AM126" i="5" s="1"/>
  <c r="J126" i="5" s="1"/>
  <c r="BF113" i="5"/>
  <c r="AX113" i="5"/>
  <c r="AP113" i="5"/>
  <c r="AI113" i="5"/>
  <c r="AX78" i="5"/>
  <c r="BF78" i="5"/>
  <c r="AI78" i="5"/>
  <c r="AP78" i="5"/>
  <c r="BF179" i="5"/>
  <c r="AX179" i="5"/>
  <c r="AP179" i="5"/>
  <c r="AI179" i="5"/>
  <c r="BF169" i="5"/>
  <c r="AX169" i="5"/>
  <c r="AP169" i="5"/>
  <c r="AI169" i="5"/>
  <c r="BF197" i="5"/>
  <c r="AX197" i="5"/>
  <c r="AP197" i="5"/>
  <c r="AI197" i="5"/>
  <c r="BF186" i="5"/>
  <c r="AX186" i="5"/>
  <c r="AP186" i="5"/>
  <c r="AI186" i="5"/>
  <c r="AX56" i="5"/>
  <c r="AP56" i="5"/>
  <c r="BF56" i="5"/>
  <c r="AI56" i="5"/>
  <c r="BF47" i="5"/>
  <c r="AX47" i="5"/>
  <c r="AI47" i="5"/>
  <c r="AP47" i="5"/>
  <c r="AP16" i="5"/>
  <c r="BF16" i="5"/>
  <c r="AX16" i="5"/>
  <c r="AI16" i="5"/>
  <c r="BF201" i="5"/>
  <c r="AX201" i="5"/>
  <c r="AP201" i="5"/>
  <c r="AI201" i="5"/>
  <c r="BF167" i="5"/>
  <c r="AX167" i="5"/>
  <c r="AP167" i="5"/>
  <c r="AI167" i="5"/>
  <c r="BF54" i="5"/>
  <c r="AX54" i="5"/>
  <c r="AP54" i="5"/>
  <c r="AI54" i="5"/>
  <c r="BF168" i="5"/>
  <c r="AX168" i="5"/>
  <c r="AP168" i="5"/>
  <c r="AI168" i="5"/>
  <c r="BF180" i="5"/>
  <c r="AX180" i="5"/>
  <c r="AP180" i="5"/>
  <c r="AI180" i="5"/>
  <c r="BF171" i="5"/>
  <c r="AX171" i="5"/>
  <c r="AP171" i="5"/>
  <c r="AI171" i="5"/>
  <c r="BF140" i="5"/>
  <c r="AX140" i="5"/>
  <c r="AP140" i="5"/>
  <c r="AI140" i="5"/>
  <c r="BF130" i="5"/>
  <c r="AX130" i="5"/>
  <c r="AP130" i="5"/>
  <c r="AI130" i="5"/>
  <c r="BF198" i="5"/>
  <c r="AP198" i="5"/>
  <c r="AI198" i="5"/>
  <c r="AX198" i="5"/>
  <c r="BF193" i="5"/>
  <c r="AX193" i="5"/>
  <c r="AP193" i="5"/>
  <c r="AI193" i="5"/>
  <c r="BG69" i="5"/>
  <c r="Q69" i="5" s="1"/>
  <c r="BB69" i="5"/>
  <c r="BE69" i="5" s="1"/>
  <c r="BD69" i="5" s="1"/>
  <c r="BC69" i="5" s="1"/>
  <c r="P69" i="5" s="1"/>
  <c r="AT69" i="5"/>
  <c r="K69" i="5" s="1"/>
  <c r="AL69" i="5"/>
  <c r="H69" i="5" s="1"/>
  <c r="AE109" i="5"/>
  <c r="BG109" i="5"/>
  <c r="Q109" i="5" s="1"/>
  <c r="BB109" i="5"/>
  <c r="AT109" i="5"/>
  <c r="AL109" i="5"/>
  <c r="AO109" i="5" s="1"/>
  <c r="AN109" i="5" s="1"/>
  <c r="AM109" i="5" s="1"/>
  <c r="J109" i="5" s="1"/>
  <c r="AE24" i="5"/>
  <c r="E24" i="5" s="1"/>
  <c r="AT24" i="5"/>
  <c r="K24" i="5" s="1"/>
  <c r="BG24" i="5"/>
  <c r="Q24" i="5" s="1"/>
  <c r="AL24" i="5"/>
  <c r="H24" i="5" s="1"/>
  <c r="BB24" i="5"/>
  <c r="BE24" i="5" s="1"/>
  <c r="BD24" i="5" s="1"/>
  <c r="BC24" i="5" s="1"/>
  <c r="P24" i="5" s="1"/>
  <c r="AE79" i="5"/>
  <c r="BG79" i="5"/>
  <c r="Q79" i="5" s="1"/>
  <c r="BB79" i="5"/>
  <c r="AL79" i="5"/>
  <c r="AT79" i="5"/>
  <c r="BG86" i="5"/>
  <c r="Q86" i="5" s="1"/>
  <c r="BB86" i="5"/>
  <c r="BE86" i="5" s="1"/>
  <c r="BD86" i="5" s="1"/>
  <c r="BC86" i="5" s="1"/>
  <c r="P86" i="5" s="1"/>
  <c r="AT86" i="5"/>
  <c r="AW86" i="5" s="1"/>
  <c r="AV86" i="5" s="1"/>
  <c r="AU86" i="5" s="1"/>
  <c r="M86" i="5" s="1"/>
  <c r="AL86" i="5"/>
  <c r="H86" i="5" s="1"/>
  <c r="BG101" i="5"/>
  <c r="Q101" i="5" s="1"/>
  <c r="BB101" i="5"/>
  <c r="N101" i="5" s="1"/>
  <c r="AT101" i="5"/>
  <c r="K101" i="5" s="1"/>
  <c r="AL101" i="5"/>
  <c r="H101" i="5" s="1"/>
  <c r="AE90" i="5"/>
  <c r="AH90" i="5" s="1"/>
  <c r="AG90" i="5" s="1"/>
  <c r="AF90" i="5" s="1"/>
  <c r="G90" i="5" s="1"/>
  <c r="BG90" i="5"/>
  <c r="Q90" i="5" s="1"/>
  <c r="BB90" i="5"/>
  <c r="BE90" i="5" s="1"/>
  <c r="BD90" i="5" s="1"/>
  <c r="BC90" i="5" s="1"/>
  <c r="P90" i="5" s="1"/>
  <c r="AT90" i="5"/>
  <c r="K90" i="5" s="1"/>
  <c r="AL90" i="5"/>
  <c r="H90" i="5" s="1"/>
  <c r="BG20" i="5"/>
  <c r="Q20" i="5" s="1"/>
  <c r="BB20" i="5"/>
  <c r="BE20" i="5" s="1"/>
  <c r="BD20" i="5" s="1"/>
  <c r="BC20" i="5" s="1"/>
  <c r="P20" i="5" s="1"/>
  <c r="AT20" i="5"/>
  <c r="AW20" i="5" s="1"/>
  <c r="AV20" i="5" s="1"/>
  <c r="AU20" i="5" s="1"/>
  <c r="M20" i="5" s="1"/>
  <c r="AL20" i="5"/>
  <c r="AO20" i="5" s="1"/>
  <c r="AN20" i="5" s="1"/>
  <c r="AM20" i="5" s="1"/>
  <c r="J20" i="5" s="1"/>
  <c r="BG172" i="5"/>
  <c r="Q172" i="5" s="1"/>
  <c r="BB172" i="5"/>
  <c r="BE172" i="5" s="1"/>
  <c r="BD172" i="5" s="1"/>
  <c r="BC172" i="5" s="1"/>
  <c r="P172" i="5" s="1"/>
  <c r="AT172" i="5"/>
  <c r="AW172" i="5" s="1"/>
  <c r="AV172" i="5" s="1"/>
  <c r="AU172" i="5" s="1"/>
  <c r="M172" i="5" s="1"/>
  <c r="AL172" i="5"/>
  <c r="H172" i="5" s="1"/>
  <c r="BG45" i="5"/>
  <c r="Q45" i="5" s="1"/>
  <c r="BB45" i="5"/>
  <c r="N45" i="5" s="1"/>
  <c r="AT45" i="5"/>
  <c r="AW45" i="5" s="1"/>
  <c r="AV45" i="5" s="1"/>
  <c r="AU45" i="5" s="1"/>
  <c r="M45" i="5" s="1"/>
  <c r="AL45" i="5"/>
  <c r="AO45" i="5" s="1"/>
  <c r="AN45" i="5" s="1"/>
  <c r="AM45" i="5" s="1"/>
  <c r="J45" i="5" s="1"/>
  <c r="BF203" i="5"/>
  <c r="AX203" i="5"/>
  <c r="AP203" i="5"/>
  <c r="AI203" i="5"/>
  <c r="AX62" i="5"/>
  <c r="BF62" i="5"/>
  <c r="AI62" i="5"/>
  <c r="AP62" i="5"/>
  <c r="BF204" i="5"/>
  <c r="AX204" i="5"/>
  <c r="AP204" i="5"/>
  <c r="AI204" i="5"/>
  <c r="AX192" i="5"/>
  <c r="BF192" i="5"/>
  <c r="AP192" i="5"/>
  <c r="AI192" i="5"/>
  <c r="BF87" i="5"/>
  <c r="AX87" i="5"/>
  <c r="AP87" i="5"/>
  <c r="AI87" i="5"/>
  <c r="BF170" i="5"/>
  <c r="AX170" i="5"/>
  <c r="AP170" i="5"/>
  <c r="AI170" i="5"/>
  <c r="BF77" i="5"/>
  <c r="AX77" i="5"/>
  <c r="AP77" i="5"/>
  <c r="AI77" i="5"/>
  <c r="BF68" i="5"/>
  <c r="AX68" i="5"/>
  <c r="AP68" i="5"/>
  <c r="AI68" i="5"/>
  <c r="BF37" i="5"/>
  <c r="AX37" i="5"/>
  <c r="AP37" i="5"/>
  <c r="AI37" i="5"/>
  <c r="BF65" i="5"/>
  <c r="AI65" i="5"/>
  <c r="AP65" i="5"/>
  <c r="AX65" i="5"/>
  <c r="BF202" i="5"/>
  <c r="AX202" i="5"/>
  <c r="AP202" i="5"/>
  <c r="AI202" i="5"/>
  <c r="BF38" i="5"/>
  <c r="AX38" i="5"/>
  <c r="AI38" i="5"/>
  <c r="AP38" i="5"/>
  <c r="BF190" i="5"/>
  <c r="AP190" i="5"/>
  <c r="AI190" i="5"/>
  <c r="AX190" i="5"/>
  <c r="BF206" i="5"/>
  <c r="AP206" i="5"/>
  <c r="AI206" i="5"/>
  <c r="AX206" i="5"/>
  <c r="BF194" i="5"/>
  <c r="AX194" i="5"/>
  <c r="AP194" i="5"/>
  <c r="AI194" i="5"/>
  <c r="BF17" i="5"/>
  <c r="AX17" i="5"/>
  <c r="AP17" i="5"/>
  <c r="AI17" i="5"/>
  <c r="BF114" i="5"/>
  <c r="AX114" i="5"/>
  <c r="AP114" i="5"/>
  <c r="AI114" i="5"/>
  <c r="BF15" i="5"/>
  <c r="AX15" i="5"/>
  <c r="AP15" i="5"/>
  <c r="AI15" i="5"/>
  <c r="AE155" i="5"/>
  <c r="E155" i="5" s="1"/>
  <c r="BG155" i="5"/>
  <c r="Q155" i="5" s="1"/>
  <c r="BB155" i="5"/>
  <c r="N155" i="5" s="1"/>
  <c r="AT155" i="5"/>
  <c r="AW155" i="5" s="1"/>
  <c r="AV155" i="5" s="1"/>
  <c r="AU155" i="5" s="1"/>
  <c r="M155" i="5" s="1"/>
  <c r="AL155" i="5"/>
  <c r="AO155" i="5" s="1"/>
  <c r="AN155" i="5" s="1"/>
  <c r="AM155" i="5" s="1"/>
  <c r="J155" i="5" s="1"/>
  <c r="BG164" i="5"/>
  <c r="Q164" i="5" s="1"/>
  <c r="BB164" i="5"/>
  <c r="N164" i="5" s="1"/>
  <c r="AT164" i="5"/>
  <c r="AW164" i="5" s="1"/>
  <c r="AV164" i="5" s="1"/>
  <c r="AU164" i="5" s="1"/>
  <c r="M164" i="5" s="1"/>
  <c r="AL164" i="5"/>
  <c r="H164" i="5" s="1"/>
  <c r="BF76" i="5"/>
  <c r="AP76" i="5"/>
  <c r="AX76" i="5"/>
  <c r="AI76" i="5"/>
  <c r="BF29" i="5"/>
  <c r="AX29" i="5"/>
  <c r="AP29" i="5"/>
  <c r="AI29" i="5"/>
  <c r="BF41" i="5"/>
  <c r="AX41" i="5"/>
  <c r="AP41" i="5"/>
  <c r="AI41" i="5"/>
  <c r="BF75" i="5"/>
  <c r="AX75" i="5"/>
  <c r="AP75" i="5"/>
  <c r="AI75" i="5"/>
  <c r="BF108" i="5"/>
  <c r="AX108" i="5"/>
  <c r="AP108" i="5"/>
  <c r="AI108" i="5"/>
  <c r="BF154" i="5"/>
  <c r="AX154" i="5"/>
  <c r="AP154" i="5"/>
  <c r="AI154" i="5"/>
  <c r="BF99" i="5"/>
  <c r="AX99" i="5"/>
  <c r="AI99" i="5"/>
  <c r="AP99" i="5"/>
  <c r="BF89" i="5"/>
  <c r="AX89" i="5"/>
  <c r="AP89" i="5"/>
  <c r="AI89" i="5"/>
  <c r="BF59" i="5"/>
  <c r="AX59" i="5"/>
  <c r="AP59" i="5"/>
  <c r="AI59" i="5"/>
  <c r="BF195" i="5"/>
  <c r="AX195" i="5"/>
  <c r="AP195" i="5"/>
  <c r="AI195" i="5"/>
  <c r="BF182" i="5"/>
  <c r="AP182" i="5"/>
  <c r="AI182" i="5"/>
  <c r="AX182" i="5"/>
  <c r="AX22" i="5"/>
  <c r="BF22" i="5"/>
  <c r="AI22" i="5"/>
  <c r="AP22" i="5"/>
  <c r="BF31" i="5"/>
  <c r="AP31" i="5"/>
  <c r="AI31" i="5"/>
  <c r="AX31" i="5"/>
  <c r="BF21" i="5"/>
  <c r="AX21" i="5"/>
  <c r="AP21" i="5"/>
  <c r="AI21" i="5"/>
  <c r="BF189" i="5"/>
  <c r="AX189" i="5"/>
  <c r="AP189" i="5"/>
  <c r="AI189" i="5"/>
  <c r="BF103" i="5"/>
  <c r="AX103" i="5"/>
  <c r="AP103" i="5"/>
  <c r="AI103" i="5"/>
  <c r="BF50" i="5"/>
  <c r="AP50" i="5"/>
  <c r="AX50" i="5"/>
  <c r="AI50" i="5"/>
  <c r="BF100" i="5"/>
  <c r="AX100" i="5"/>
  <c r="AP100" i="5"/>
  <c r="AI100" i="5"/>
  <c r="AE98" i="5"/>
  <c r="AH98" i="5" s="1"/>
  <c r="AG98" i="5" s="1"/>
  <c r="AF98" i="5" s="1"/>
  <c r="G98" i="5" s="1"/>
  <c r="BG98" i="5"/>
  <c r="Q98" i="5" s="1"/>
  <c r="AT98" i="5"/>
  <c r="K98" i="5" s="1"/>
  <c r="BB98" i="5"/>
  <c r="BE98" i="5" s="1"/>
  <c r="BD98" i="5" s="1"/>
  <c r="BC98" i="5" s="1"/>
  <c r="P98" i="5" s="1"/>
  <c r="AL98" i="5"/>
  <c r="H98" i="5" s="1"/>
  <c r="BG66" i="5"/>
  <c r="Q66" i="5" s="1"/>
  <c r="BB66" i="5"/>
  <c r="BE66" i="5" s="1"/>
  <c r="BD66" i="5" s="1"/>
  <c r="BC66" i="5" s="1"/>
  <c r="P66" i="5" s="1"/>
  <c r="AT66" i="5"/>
  <c r="AW66" i="5" s="1"/>
  <c r="AV66" i="5" s="1"/>
  <c r="AU66" i="5" s="1"/>
  <c r="M66" i="5" s="1"/>
  <c r="AL66" i="5"/>
  <c r="H66" i="5" s="1"/>
  <c r="BG9" i="5"/>
  <c r="Q9" i="5" s="1"/>
  <c r="BB9" i="5"/>
  <c r="N9" i="5" s="1"/>
  <c r="AT9" i="5"/>
  <c r="AW9" i="5" s="1"/>
  <c r="AV9" i="5" s="1"/>
  <c r="AU9" i="5" s="1"/>
  <c r="M9" i="5" s="1"/>
  <c r="AL9" i="5"/>
  <c r="H9" i="5" s="1"/>
  <c r="AE70" i="5"/>
  <c r="E70" i="5" s="1"/>
  <c r="BB70" i="5"/>
  <c r="BE70" i="5" s="1"/>
  <c r="BD70" i="5" s="1"/>
  <c r="BC70" i="5" s="1"/>
  <c r="P70" i="5" s="1"/>
  <c r="BG70" i="5"/>
  <c r="Q70" i="5" s="1"/>
  <c r="AL70" i="5"/>
  <c r="H70" i="5" s="1"/>
  <c r="AT70" i="5"/>
  <c r="K70" i="5" s="1"/>
  <c r="AE94" i="5"/>
  <c r="AH94" i="5" s="1"/>
  <c r="AG94" i="5" s="1"/>
  <c r="AF94" i="5" s="1"/>
  <c r="G94" i="5" s="1"/>
  <c r="BB94" i="5"/>
  <c r="N94" i="5" s="1"/>
  <c r="BG94" i="5"/>
  <c r="Q94" i="5" s="1"/>
  <c r="AL94" i="5"/>
  <c r="AO94" i="5" s="1"/>
  <c r="AN94" i="5" s="1"/>
  <c r="AM94" i="5" s="1"/>
  <c r="J94" i="5" s="1"/>
  <c r="AT94" i="5"/>
  <c r="K94" i="5" s="1"/>
  <c r="BF39" i="5"/>
  <c r="AX39" i="5"/>
  <c r="AI39" i="5"/>
  <c r="AP39" i="5"/>
  <c r="BF51" i="5"/>
  <c r="AX51" i="5"/>
  <c r="AP51" i="5"/>
  <c r="AI51" i="5"/>
  <c r="BF63" i="5"/>
  <c r="AX63" i="5"/>
  <c r="AI63" i="5"/>
  <c r="AP63" i="5"/>
  <c r="AX96" i="5"/>
  <c r="BF96" i="5"/>
  <c r="AI96" i="5"/>
  <c r="AP96" i="5"/>
  <c r="BF129" i="5"/>
  <c r="AX129" i="5"/>
  <c r="AP129" i="5"/>
  <c r="AI129" i="5"/>
  <c r="BF138" i="5"/>
  <c r="AX138" i="5"/>
  <c r="AP138" i="5"/>
  <c r="AI138" i="5"/>
  <c r="AX120" i="5"/>
  <c r="BF120" i="5"/>
  <c r="AP120" i="5"/>
  <c r="AI120" i="5"/>
  <c r="BF111" i="5"/>
  <c r="AX111" i="5"/>
  <c r="AP111" i="5"/>
  <c r="AI111" i="5"/>
  <c r="AP80" i="5"/>
  <c r="AX80" i="5"/>
  <c r="BF80" i="5"/>
  <c r="AI80" i="5"/>
  <c r="BF71" i="5"/>
  <c r="AX71" i="5"/>
  <c r="AP71" i="5"/>
  <c r="AI71" i="5"/>
  <c r="BF166" i="5"/>
  <c r="AP166" i="5"/>
  <c r="AI166" i="5"/>
  <c r="AX166" i="5"/>
  <c r="BF61" i="5"/>
  <c r="AX61" i="5"/>
  <c r="AP61" i="5"/>
  <c r="AI61" i="5"/>
  <c r="BF52" i="5"/>
  <c r="AX52" i="5"/>
  <c r="AP52" i="5"/>
  <c r="AI52" i="5"/>
  <c r="AP64" i="5"/>
  <c r="AX64" i="5"/>
  <c r="AI64" i="5"/>
  <c r="BF64" i="5"/>
  <c r="BF205" i="5"/>
  <c r="AX205" i="5"/>
  <c r="AP205" i="5"/>
  <c r="AI205" i="5"/>
  <c r="BF188" i="5"/>
  <c r="AX188" i="5"/>
  <c r="AP188" i="5"/>
  <c r="AI188" i="5"/>
  <c r="BF34" i="5"/>
  <c r="AX34" i="5"/>
  <c r="AP34" i="5"/>
  <c r="AI34" i="5"/>
  <c r="BF143" i="5"/>
  <c r="AX143" i="5"/>
  <c r="AP143" i="5"/>
  <c r="AI143" i="5"/>
  <c r="BG12" i="5"/>
  <c r="Q12" i="5" s="1"/>
  <c r="BB12" i="5"/>
  <c r="N12" i="5" s="1"/>
  <c r="AT12" i="5"/>
  <c r="K12" i="5" s="1"/>
  <c r="AL12" i="5"/>
  <c r="H12" i="5" s="1"/>
  <c r="AE11" i="5"/>
  <c r="BG11" i="5"/>
  <c r="Q11" i="5" s="1"/>
  <c r="BB11" i="5"/>
  <c r="AT11" i="5"/>
  <c r="AL11" i="5"/>
  <c r="AE74" i="5"/>
  <c r="AH74" i="5" s="1"/>
  <c r="AG74" i="5" s="1"/>
  <c r="AF74" i="5" s="1"/>
  <c r="G74" i="5" s="1"/>
  <c r="BG74" i="5"/>
  <c r="Q74" i="5" s="1"/>
  <c r="AT74" i="5"/>
  <c r="K74" i="5" s="1"/>
  <c r="BB74" i="5"/>
  <c r="N74" i="5" s="1"/>
  <c r="AL74" i="5"/>
  <c r="AO74" i="5" s="1"/>
  <c r="AN74" i="5" s="1"/>
  <c r="AM74" i="5" s="1"/>
  <c r="J74" i="5" s="1"/>
  <c r="AE40" i="5"/>
  <c r="E40" i="5" s="1"/>
  <c r="AT40" i="5"/>
  <c r="AW40" i="5" s="1"/>
  <c r="AV40" i="5" s="1"/>
  <c r="AU40" i="5" s="1"/>
  <c r="M40" i="5" s="1"/>
  <c r="BB40" i="5"/>
  <c r="N40" i="5" s="1"/>
  <c r="BG40" i="5"/>
  <c r="Q40" i="5" s="1"/>
  <c r="AL40" i="5"/>
  <c r="AO40" i="5" s="1"/>
  <c r="AN40" i="5" s="1"/>
  <c r="AM40" i="5" s="1"/>
  <c r="J40" i="5" s="1"/>
  <c r="AE14" i="5"/>
  <c r="E14" i="5" s="1"/>
  <c r="BG14" i="5"/>
  <c r="Q14" i="5" s="1"/>
  <c r="BB14" i="5"/>
  <c r="N14" i="5" s="1"/>
  <c r="AT14" i="5"/>
  <c r="K14" i="5" s="1"/>
  <c r="AL14" i="5"/>
  <c r="AO14" i="5" s="1"/>
  <c r="AN14" i="5" s="1"/>
  <c r="AM14" i="5" s="1"/>
  <c r="J14" i="5" s="1"/>
  <c r="BG110" i="5"/>
  <c r="Q110" i="5" s="1"/>
  <c r="BB110" i="5"/>
  <c r="BE110" i="5" s="1"/>
  <c r="BD110" i="5" s="1"/>
  <c r="BC110" i="5" s="1"/>
  <c r="P110" i="5" s="1"/>
  <c r="AL110" i="5"/>
  <c r="H110" i="5" s="1"/>
  <c r="AT110" i="5"/>
  <c r="AW110" i="5" s="1"/>
  <c r="AV110" i="5" s="1"/>
  <c r="AU110" i="5" s="1"/>
  <c r="M110" i="5" s="1"/>
  <c r="AT200" i="5"/>
  <c r="K200" i="5" s="1"/>
  <c r="BB200" i="5"/>
  <c r="N200" i="5" s="1"/>
  <c r="AL200" i="5"/>
  <c r="BG200" i="5"/>
  <c r="Q200" i="5" s="1"/>
  <c r="BG36" i="5"/>
  <c r="Q36" i="5" s="1"/>
  <c r="BB36" i="5"/>
  <c r="BE36" i="5" s="1"/>
  <c r="BD36" i="5" s="1"/>
  <c r="BC36" i="5" s="1"/>
  <c r="P36" i="5" s="1"/>
  <c r="AT36" i="5"/>
  <c r="AW36" i="5" s="1"/>
  <c r="AV36" i="5" s="1"/>
  <c r="AU36" i="5" s="1"/>
  <c r="M36" i="5" s="1"/>
  <c r="AL36" i="5"/>
  <c r="H36" i="5" s="1"/>
  <c r="AE185" i="5"/>
  <c r="AH185" i="5" s="1"/>
  <c r="AG185" i="5" s="1"/>
  <c r="AF185" i="5" s="1"/>
  <c r="G185" i="5" s="1"/>
  <c r="BG185" i="5"/>
  <c r="Q185" i="5" s="1"/>
  <c r="BB185" i="5"/>
  <c r="N185" i="5" s="1"/>
  <c r="AL185" i="5"/>
  <c r="AO185" i="5" s="1"/>
  <c r="AN185" i="5" s="1"/>
  <c r="AM185" i="5" s="1"/>
  <c r="J185" i="5" s="1"/>
  <c r="AT185" i="5"/>
  <c r="K185" i="5" s="1"/>
  <c r="BF124" i="5"/>
  <c r="AX124" i="5"/>
  <c r="AP124" i="5"/>
  <c r="AI124" i="5"/>
  <c r="BF72" i="5"/>
  <c r="AP72" i="5"/>
  <c r="AX72" i="5"/>
  <c r="AI72" i="5"/>
  <c r="BF84" i="5"/>
  <c r="AP84" i="5"/>
  <c r="AX84" i="5"/>
  <c r="AI84" i="5"/>
  <c r="BF139" i="5"/>
  <c r="AX139" i="5"/>
  <c r="AP139" i="5"/>
  <c r="AI139" i="5"/>
  <c r="BF135" i="5"/>
  <c r="AX135" i="5"/>
  <c r="AP135" i="5"/>
  <c r="AI135" i="5"/>
  <c r="BF122" i="5"/>
  <c r="AX122" i="5"/>
  <c r="AP122" i="5"/>
  <c r="AI122" i="5"/>
  <c r="BF141" i="5"/>
  <c r="AX141" i="5"/>
  <c r="AP141" i="5"/>
  <c r="AI141" i="5"/>
  <c r="BF132" i="5"/>
  <c r="AX132" i="5"/>
  <c r="AP132" i="5"/>
  <c r="AI132" i="5"/>
  <c r="BF123" i="5"/>
  <c r="AX123" i="5"/>
  <c r="AP123" i="5"/>
  <c r="AI123" i="5"/>
  <c r="BF156" i="5"/>
  <c r="AX156" i="5"/>
  <c r="AP156" i="5"/>
  <c r="AI156" i="5"/>
  <c r="BF150" i="5"/>
  <c r="AX150" i="5"/>
  <c r="AP150" i="5"/>
  <c r="AI150" i="5"/>
  <c r="BF83" i="5"/>
  <c r="AX83" i="5"/>
  <c r="AP83" i="5"/>
  <c r="AI83" i="5"/>
  <c r="BF95" i="5"/>
  <c r="AX95" i="5"/>
  <c r="AI95" i="5"/>
  <c r="AP95" i="5"/>
  <c r="BF85" i="5"/>
  <c r="AX85" i="5"/>
  <c r="AP85" i="5"/>
  <c r="AI85" i="5"/>
  <c r="BF151" i="5"/>
  <c r="AX151" i="5"/>
  <c r="AP151" i="5"/>
  <c r="AI151" i="5"/>
  <c r="BF196" i="5"/>
  <c r="AX196" i="5"/>
  <c r="AP196" i="5"/>
  <c r="AI196" i="5"/>
  <c r="BF18" i="5"/>
  <c r="AX18" i="5"/>
  <c r="AP18" i="5"/>
  <c r="AI18" i="5"/>
  <c r="BF27" i="5"/>
  <c r="AX27" i="5"/>
  <c r="AP27" i="5"/>
  <c r="AI27" i="5"/>
  <c r="AE66" i="5"/>
  <c r="E66" i="5" s="1"/>
  <c r="AE200" i="5"/>
  <c r="E200" i="5" s="1"/>
  <c r="AE9" i="5"/>
  <c r="E9" i="5" s="1"/>
  <c r="AE176" i="5"/>
  <c r="AH176" i="5" s="1"/>
  <c r="AG176" i="5" s="1"/>
  <c r="AF176" i="5" s="1"/>
  <c r="G176" i="5" s="1"/>
  <c r="AE45" i="5"/>
  <c r="E45" i="5" s="1"/>
  <c r="AE58" i="5"/>
  <c r="AH58" i="5" s="1"/>
  <c r="AG58" i="5" s="1"/>
  <c r="AF58" i="5" s="1"/>
  <c r="G58" i="5" s="1"/>
  <c r="AE126" i="5"/>
  <c r="AH126" i="5" s="1"/>
  <c r="AG126" i="5" s="1"/>
  <c r="AF126" i="5" s="1"/>
  <c r="G126" i="5" s="1"/>
  <c r="AE164" i="5"/>
  <c r="AH164" i="5" s="1"/>
  <c r="AG164" i="5" s="1"/>
  <c r="AF164" i="5" s="1"/>
  <c r="G164" i="5" s="1"/>
  <c r="AE12" i="5"/>
  <c r="E12" i="5" s="1"/>
  <c r="AE88" i="5"/>
  <c r="E88" i="5" s="1"/>
  <c r="AE36" i="5"/>
  <c r="AH36" i="5" s="1"/>
  <c r="AG36" i="5" s="1"/>
  <c r="AF36" i="5" s="1"/>
  <c r="G36" i="5" s="1"/>
  <c r="AE44" i="5"/>
  <c r="E44" i="5" s="1"/>
  <c r="AE60" i="5"/>
  <c r="E60" i="5" s="1"/>
  <c r="AE161" i="5"/>
  <c r="E161" i="5" s="1"/>
  <c r="AE97" i="5"/>
  <c r="AE30" i="5"/>
  <c r="AH30" i="5" s="1"/>
  <c r="AG30" i="5" s="1"/>
  <c r="AF30" i="5" s="1"/>
  <c r="G30" i="5" s="1"/>
  <c r="AE57" i="5"/>
  <c r="AH57" i="5" s="1"/>
  <c r="AG57" i="5" s="1"/>
  <c r="AF57" i="5" s="1"/>
  <c r="G57" i="5" s="1"/>
  <c r="AE152" i="5"/>
  <c r="AH152" i="5" s="1"/>
  <c r="AG152" i="5" s="1"/>
  <c r="AF152" i="5" s="1"/>
  <c r="G152" i="5" s="1"/>
  <c r="AE110" i="5"/>
  <c r="E110" i="5" s="1"/>
  <c r="AE26" i="5"/>
  <c r="AH26" i="5" s="1"/>
  <c r="AG26" i="5" s="1"/>
  <c r="AF26" i="5" s="1"/>
  <c r="G26" i="5" s="1"/>
  <c r="AE101" i="5"/>
  <c r="E101" i="5" s="1"/>
  <c r="AE172" i="5"/>
  <c r="E172" i="5" s="1"/>
  <c r="AE69" i="5"/>
  <c r="E69" i="5" s="1"/>
  <c r="AE13" i="5"/>
  <c r="E13" i="5" s="1"/>
  <c r="AE86" i="5"/>
  <c r="AH86" i="5" s="1"/>
  <c r="AG86" i="5" s="1"/>
  <c r="AF86" i="5" s="1"/>
  <c r="G86" i="5" s="1"/>
  <c r="AE42" i="5"/>
  <c r="AH42" i="5" s="1"/>
  <c r="AG42" i="5" s="1"/>
  <c r="AF42" i="5" s="1"/>
  <c r="G42" i="5" s="1"/>
  <c r="AE117" i="5"/>
  <c r="E117" i="5" s="1"/>
  <c r="AE19" i="5"/>
  <c r="E19" i="5" s="1"/>
  <c r="AE49" i="5"/>
  <c r="AH49" i="5" s="1"/>
  <c r="AG49" i="5" s="1"/>
  <c r="AF49" i="5" s="1"/>
  <c r="G49" i="5" s="1"/>
  <c r="AE20" i="5"/>
  <c r="AH20" i="5" s="1"/>
  <c r="AG20" i="5" s="1"/>
  <c r="AF20" i="5" s="1"/>
  <c r="G20" i="5" s="1"/>
  <c r="Z135" i="5"/>
  <c r="Z16" i="5"/>
  <c r="Z190" i="5"/>
  <c r="BI194" i="5"/>
  <c r="Z193" i="5"/>
  <c r="BI99" i="5"/>
  <c r="BI37" i="5"/>
  <c r="C33" i="5"/>
  <c r="AB33" i="5" s="1"/>
  <c r="AA33" i="5" s="1"/>
  <c r="D33" i="5" s="1"/>
  <c r="Z21" i="5"/>
  <c r="BI188" i="5"/>
  <c r="BI184" i="5"/>
  <c r="Z27" i="5"/>
  <c r="BI108" i="5"/>
  <c r="Z120" i="5"/>
  <c r="Z134" i="5"/>
  <c r="BI52" i="5"/>
  <c r="Z50" i="5"/>
  <c r="BI122" i="5"/>
  <c r="BI72" i="5"/>
  <c r="BI23" i="5"/>
  <c r="BI136" i="5"/>
  <c r="Z41" i="5"/>
  <c r="BI96" i="5"/>
  <c r="D208" i="5"/>
  <c r="Z197" i="5"/>
  <c r="C10" i="5"/>
  <c r="AB10" i="5" s="1"/>
  <c r="AA10" i="5" s="1"/>
  <c r="D10" i="5" s="1"/>
  <c r="BI111" i="5"/>
  <c r="BI182" i="5"/>
  <c r="BI22" i="5"/>
  <c r="Z180" i="5"/>
  <c r="BI171" i="5"/>
  <c r="Z112" i="5"/>
  <c r="Z188" i="5"/>
  <c r="Z125" i="5"/>
  <c r="BI189" i="5"/>
  <c r="Z31" i="5"/>
  <c r="C21" i="5"/>
  <c r="AB21" i="5" s="1"/>
  <c r="AA21" i="5" s="1"/>
  <c r="D21" i="5" s="1"/>
  <c r="BI87" i="5"/>
  <c r="BI128" i="5"/>
  <c r="Z137" i="5"/>
  <c r="Z201" i="5"/>
  <c r="BI27" i="5"/>
  <c r="C31" i="5"/>
  <c r="AB31" i="5" s="1"/>
  <c r="AA31" i="5" s="1"/>
  <c r="D31" i="5" s="1"/>
  <c r="C27" i="5"/>
  <c r="AB27" i="5" s="1"/>
  <c r="AA27" i="5" s="1"/>
  <c r="D27" i="5" s="1"/>
  <c r="BI33" i="5"/>
  <c r="BI63" i="5"/>
  <c r="BI84" i="5"/>
  <c r="BI137" i="5"/>
  <c r="Z33" i="5"/>
  <c r="BI54" i="5"/>
  <c r="BI144" i="5"/>
  <c r="BI201" i="5"/>
  <c r="Z184" i="5"/>
  <c r="Z18" i="5"/>
  <c r="BI10" i="5"/>
  <c r="BI77" i="5"/>
  <c r="BI135" i="5"/>
  <c r="BI103" i="5"/>
  <c r="BI107" i="5"/>
  <c r="BI55" i="5"/>
  <c r="BI196" i="5"/>
  <c r="Z55" i="5"/>
  <c r="BI145" i="5"/>
  <c r="C28" i="5"/>
  <c r="AB28" i="5" s="1"/>
  <c r="AA28" i="5" s="1"/>
  <c r="D28" i="5" s="1"/>
  <c r="C63" i="5"/>
  <c r="AB63" i="5" s="1"/>
  <c r="AA63" i="5" s="1"/>
  <c r="D63" i="5" s="1"/>
  <c r="BI139" i="5"/>
  <c r="Z145" i="5"/>
  <c r="BI207" i="5"/>
  <c r="BI132" i="5"/>
  <c r="C16" i="5"/>
  <c r="AB16" i="5" s="1"/>
  <c r="AA16" i="5" s="1"/>
  <c r="D16" i="5" s="1"/>
  <c r="BI16" i="5"/>
  <c r="BI123" i="5"/>
  <c r="Z116" i="5"/>
  <c r="BI116" i="5"/>
  <c r="BI206" i="5"/>
  <c r="Z107" i="5"/>
  <c r="Z196" i="5"/>
  <c r="BI130" i="5"/>
  <c r="C18" i="5"/>
  <c r="AB18" i="5" s="1"/>
  <c r="AA18" i="5" s="1"/>
  <c r="D18" i="5" s="1"/>
  <c r="BI18" i="5"/>
  <c r="Z67" i="5"/>
  <c r="BI133" i="5"/>
  <c r="BI193" i="5"/>
  <c r="BI190" i="5"/>
  <c r="BI104" i="5"/>
  <c r="BI138" i="5"/>
  <c r="Z133" i="5"/>
  <c r="BI67" i="5"/>
  <c r="Z77" i="5"/>
  <c r="Z139" i="5"/>
  <c r="BI51" i="5"/>
  <c r="Z104" i="5"/>
  <c r="C55" i="5"/>
  <c r="AB55" i="5" s="1"/>
  <c r="AA55" i="5" s="1"/>
  <c r="D55" i="5" s="1"/>
  <c r="Z103" i="5"/>
  <c r="Z138" i="5"/>
  <c r="BI177" i="5"/>
  <c r="Z163" i="5"/>
  <c r="BI64" i="5"/>
  <c r="BI148" i="5"/>
  <c r="C23" i="5"/>
  <c r="AB23" i="5" s="1"/>
  <c r="AA23" i="5" s="1"/>
  <c r="D23" i="5" s="1"/>
  <c r="BI174" i="5"/>
  <c r="C51" i="5"/>
  <c r="AB51" i="5" s="1"/>
  <c r="AA51" i="5" s="1"/>
  <c r="D51" i="5" s="1"/>
  <c r="Z28" i="5"/>
  <c r="C47" i="5"/>
  <c r="AB47" i="5" s="1"/>
  <c r="AA47" i="5" s="1"/>
  <c r="D47" i="5" s="1"/>
  <c r="Z47" i="5"/>
  <c r="Z148" i="5"/>
  <c r="Z207" i="5"/>
  <c r="BI47" i="5"/>
  <c r="Z157" i="5"/>
  <c r="Z63" i="5"/>
  <c r="BI163" i="5"/>
  <c r="BI50" i="5"/>
  <c r="Z159" i="5"/>
  <c r="BI131" i="5"/>
  <c r="BI146" i="5"/>
  <c r="BI15" i="5"/>
  <c r="BI91" i="5"/>
  <c r="BI38" i="5"/>
  <c r="BI61" i="5"/>
  <c r="Z61" i="5"/>
  <c r="Z52" i="5"/>
  <c r="C52" i="5"/>
  <c r="AB52" i="5" s="1"/>
  <c r="AA52" i="5" s="1"/>
  <c r="D52" i="5" s="1"/>
  <c r="C64" i="5"/>
  <c r="AB64" i="5" s="1"/>
  <c r="AA64" i="5" s="1"/>
  <c r="D64" i="5" s="1"/>
  <c r="Z205" i="5"/>
  <c r="Z177" i="5"/>
  <c r="C50" i="5"/>
  <c r="AB50" i="5" s="1"/>
  <c r="AA50" i="5" s="1"/>
  <c r="D50" i="5" s="1"/>
  <c r="C61" i="5"/>
  <c r="AB61" i="5" s="1"/>
  <c r="AA61" i="5" s="1"/>
  <c r="D61" i="5" s="1"/>
  <c r="Z15" i="5"/>
  <c r="Z149" i="5"/>
  <c r="BI205" i="5"/>
  <c r="C38" i="5"/>
  <c r="AB38" i="5" s="1"/>
  <c r="AA38" i="5" s="1"/>
  <c r="D38" i="5" s="1"/>
  <c r="BI147" i="5"/>
  <c r="Z91" i="5"/>
  <c r="Z208" i="5"/>
  <c r="Z85" i="5"/>
  <c r="Z22" i="5"/>
  <c r="BI127" i="5"/>
  <c r="C41" i="5"/>
  <c r="AB41" i="5" s="1"/>
  <c r="AA41" i="5" s="1"/>
  <c r="D41" i="5" s="1"/>
  <c r="Z56" i="5"/>
  <c r="BI80" i="5"/>
  <c r="BI113" i="5"/>
  <c r="BI179" i="5"/>
  <c r="BI169" i="5"/>
  <c r="C99" i="5"/>
  <c r="AB99" i="5" s="1"/>
  <c r="AA99" i="5" s="1"/>
  <c r="Z99" i="5"/>
  <c r="Z122" i="5"/>
  <c r="BI68" i="5"/>
  <c r="Z153" i="5"/>
  <c r="C37" i="5"/>
  <c r="AB37" i="5" s="1"/>
  <c r="AA37" i="5" s="1"/>
  <c r="D37" i="5" s="1"/>
  <c r="Z37" i="5"/>
  <c r="Z144" i="5"/>
  <c r="Z81" i="5"/>
  <c r="BI81" i="5"/>
  <c r="Z54" i="5"/>
  <c r="BI125" i="5"/>
  <c r="BI31" i="5"/>
  <c r="BI21" i="5"/>
  <c r="Z189" i="5"/>
  <c r="C189" i="5"/>
  <c r="AB189" i="5" s="1"/>
  <c r="AA189" i="5" s="1"/>
  <c r="BI140" i="5"/>
  <c r="BI178" i="5"/>
  <c r="Z204" i="5"/>
  <c r="Z192" i="5"/>
  <c r="BI170" i="5"/>
  <c r="Z106" i="5"/>
  <c r="Z89" i="5"/>
  <c r="C59" i="5"/>
  <c r="AB59" i="5" s="1"/>
  <c r="AA59" i="5" s="1"/>
  <c r="D59" i="5" s="1"/>
  <c r="Z59" i="5"/>
  <c r="Z71" i="5"/>
  <c r="BI119" i="5"/>
  <c r="C35" i="5"/>
  <c r="AB35" i="5" s="1"/>
  <c r="AA35" i="5" s="1"/>
  <c r="D35" i="5" s="1"/>
  <c r="BI71" i="5"/>
  <c r="BI106" i="5"/>
  <c r="BI35" i="5"/>
  <c r="BI134" i="5"/>
  <c r="Z183" i="5"/>
  <c r="Z165" i="5"/>
  <c r="BI59" i="5"/>
  <c r="Z78" i="5"/>
  <c r="BI202" i="5"/>
  <c r="BI120" i="5"/>
  <c r="BI165" i="5"/>
  <c r="Z38" i="5"/>
  <c r="BI173" i="5"/>
  <c r="BI28" i="5"/>
  <c r="Z23" i="5"/>
  <c r="BI124" i="5"/>
  <c r="Z124" i="5"/>
  <c r="BI191" i="5"/>
  <c r="C29" i="5"/>
  <c r="AB29" i="5" s="1"/>
  <c r="AA29" i="5" s="1"/>
  <c r="D29" i="5" s="1"/>
  <c r="Z29" i="5"/>
  <c r="Z127" i="5"/>
  <c r="Z96" i="5"/>
  <c r="Z10" i="5"/>
  <c r="A10" i="5" s="1"/>
  <c r="A11" i="5" s="1"/>
  <c r="A12" i="5" s="1"/>
  <c r="A13" i="5" s="1"/>
  <c r="A14" i="5" s="1"/>
  <c r="Z141" i="5"/>
  <c r="Z25" i="5"/>
  <c r="BI25" i="5"/>
  <c r="Z199" i="5"/>
  <c r="Z80" i="5"/>
  <c r="Z118" i="5"/>
  <c r="BI118" i="5"/>
  <c r="Z83" i="5"/>
  <c r="BI83" i="5"/>
  <c r="Z95" i="5"/>
  <c r="BI95" i="5"/>
  <c r="BI180" i="5"/>
  <c r="Z17" i="5"/>
  <c r="BI17" i="5"/>
  <c r="C34" i="5"/>
  <c r="AB34" i="5" s="1"/>
  <c r="AA34" i="5" s="1"/>
  <c r="D34" i="5" s="1"/>
  <c r="BI34" i="5"/>
  <c r="Z100" i="5"/>
  <c r="BI85" i="5"/>
  <c r="Z129" i="5"/>
  <c r="BI29" i="5"/>
  <c r="C25" i="5"/>
  <c r="AB25" i="5" s="1"/>
  <c r="AA25" i="5" s="1"/>
  <c r="D25" i="5" s="1"/>
  <c r="BI56" i="5"/>
  <c r="BI141" i="5"/>
  <c r="BI65" i="5"/>
  <c r="BI62" i="5"/>
  <c r="BI41" i="5"/>
  <c r="C208" i="5"/>
  <c r="AB208" i="5" s="1"/>
  <c r="AA208" i="5" s="1"/>
  <c r="BI208" i="5"/>
  <c r="BI197" i="5"/>
  <c r="C154" i="5"/>
  <c r="AB154" i="5" s="1"/>
  <c r="AA154" i="5" s="1"/>
  <c r="C56" i="5"/>
  <c r="AB56" i="5" s="1"/>
  <c r="AA56" i="5" s="1"/>
  <c r="D56" i="5" s="1"/>
  <c r="Z111" i="5"/>
  <c r="C111" i="5"/>
  <c r="AB111" i="5" s="1"/>
  <c r="AA111" i="5" s="1"/>
  <c r="BI156" i="5"/>
  <c r="Z156" i="5"/>
  <c r="C22" i="5"/>
  <c r="AB22" i="5" s="1"/>
  <c r="AA22" i="5" s="1"/>
  <c r="D22" i="5" s="1"/>
  <c r="Z146" i="5"/>
  <c r="Z198" i="5"/>
  <c r="BI198" i="5"/>
  <c r="BI154" i="5"/>
  <c r="C17" i="5"/>
  <c r="AB17" i="5" s="1"/>
  <c r="AA17" i="5" s="1"/>
  <c r="D17" i="5" s="1"/>
  <c r="BI168" i="5"/>
  <c r="BI129" i="5"/>
  <c r="C96" i="5"/>
  <c r="AB96" i="5" s="1"/>
  <c r="AA96" i="5" s="1"/>
  <c r="BI100" i="5"/>
  <c r="Z34" i="5"/>
  <c r="C136" i="5"/>
  <c r="AB136" i="5" s="1"/>
  <c r="AA136" i="5" s="1"/>
  <c r="BI89" i="5"/>
  <c r="Z108" i="5"/>
  <c r="Z173" i="5"/>
  <c r="BI181" i="5"/>
  <c r="Z119" i="5"/>
  <c r="Z191" i="5"/>
  <c r="Z65" i="5"/>
  <c r="Z147" i="5"/>
  <c r="Z64" i="5"/>
  <c r="Z182" i="5"/>
  <c r="Z113" i="5"/>
  <c r="C72" i="5"/>
  <c r="AB72" i="5" s="1"/>
  <c r="AA72" i="5" s="1"/>
  <c r="D72" i="5" s="1"/>
  <c r="Z179" i="5"/>
  <c r="Z169" i="5"/>
  <c r="Z87" i="5"/>
  <c r="Z166" i="5"/>
  <c r="BI166" i="5"/>
  <c r="C80" i="5"/>
  <c r="AB80" i="5" s="1"/>
  <c r="AA80" i="5" s="1"/>
  <c r="D80" i="5" s="1"/>
  <c r="Z62" i="5"/>
  <c r="Z130" i="5"/>
  <c r="Z195" i="5"/>
  <c r="Z102" i="5"/>
  <c r="BI102" i="5"/>
  <c r="Z168" i="5"/>
  <c r="BI153" i="5"/>
  <c r="Z123" i="5"/>
  <c r="C108" i="5"/>
  <c r="AB108" i="5" s="1"/>
  <c r="AA108" i="5" s="1"/>
  <c r="BI183" i="5"/>
  <c r="Z35" i="5"/>
  <c r="BI158" i="5"/>
  <c r="Z84" i="5"/>
  <c r="Z206" i="5"/>
  <c r="C54" i="5"/>
  <c r="AB54" i="5" s="1"/>
  <c r="AA54" i="5" s="1"/>
  <c r="D54" i="5" s="1"/>
  <c r="Z194" i="5"/>
  <c r="Z154" i="5"/>
  <c r="Z178" i="5"/>
  <c r="Z51" i="5"/>
  <c r="BI157" i="5"/>
  <c r="BI76" i="5"/>
  <c r="Z174" i="5"/>
  <c r="Z128" i="5"/>
  <c r="C65" i="5"/>
  <c r="AB65" i="5" s="1"/>
  <c r="AA65" i="5" s="1"/>
  <c r="D65" i="5" s="1"/>
  <c r="Z76" i="5"/>
  <c r="C103" i="5"/>
  <c r="AB103" i="5" s="1"/>
  <c r="AA103" i="5" s="1"/>
  <c r="Z203" i="5"/>
  <c r="Z131" i="5"/>
  <c r="BI187" i="5"/>
  <c r="Z187" i="5"/>
  <c r="Z39" i="5"/>
  <c r="Z115" i="5"/>
  <c r="BI115" i="5"/>
  <c r="BI75" i="5"/>
  <c r="BI39" i="5"/>
  <c r="Z170" i="5"/>
  <c r="BI159" i="5"/>
  <c r="Z143" i="5"/>
  <c r="BI204" i="5"/>
  <c r="BI112" i="5"/>
  <c r="C39" i="5"/>
  <c r="AB39" i="5" s="1"/>
  <c r="AA39" i="5" s="1"/>
  <c r="D39" i="5" s="1"/>
  <c r="BI105" i="5"/>
  <c r="Z181" i="5"/>
  <c r="BI192" i="5"/>
  <c r="BI143" i="5"/>
  <c r="BI78" i="5"/>
  <c r="Z105" i="5"/>
  <c r="BI203" i="5"/>
  <c r="C95" i="5"/>
  <c r="AB95" i="5" s="1"/>
  <c r="AA95" i="5" s="1"/>
  <c r="C190" i="5"/>
  <c r="AB190" i="5" s="1"/>
  <c r="AA190" i="5" s="1"/>
  <c r="Z140" i="5"/>
  <c r="BI199" i="5"/>
  <c r="Z171" i="5"/>
  <c r="Z75" i="5"/>
  <c r="BI160" i="5"/>
  <c r="Z186" i="5"/>
  <c r="BI186" i="5"/>
  <c r="C175" i="5"/>
  <c r="AB175" i="5" s="1"/>
  <c r="AA175" i="5" s="1"/>
  <c r="Z175" i="5"/>
  <c r="BI167" i="5"/>
  <c r="Z167" i="5"/>
  <c r="BI150" i="5"/>
  <c r="BI149" i="5"/>
  <c r="Z151" i="5"/>
  <c r="Z92" i="5"/>
  <c r="BI92" i="5"/>
  <c r="BI162" i="5"/>
  <c r="Z162" i="5"/>
  <c r="BI114" i="5"/>
  <c r="Z114" i="5"/>
  <c r="C15" i="5"/>
  <c r="AB15" i="5" s="1"/>
  <c r="AA15" i="5" s="1"/>
  <c r="D15" i="5" s="1"/>
  <c r="Z160" i="5"/>
  <c r="BI195" i="5"/>
  <c r="C184" i="5"/>
  <c r="AB184" i="5" s="1"/>
  <c r="AA184" i="5" s="1"/>
  <c r="Z132" i="5"/>
  <c r="BI175" i="5"/>
  <c r="Z150" i="5"/>
  <c r="Z202" i="5"/>
  <c r="Z158" i="5"/>
  <c r="C62" i="5"/>
  <c r="AB62" i="5" s="1"/>
  <c r="AA62" i="5" s="1"/>
  <c r="D62" i="5" s="1"/>
  <c r="Z72" i="5"/>
  <c r="Z136" i="5"/>
  <c r="Z68" i="5"/>
  <c r="BI151" i="5"/>
  <c r="K58" i="5" l="1"/>
  <c r="AH32" i="5"/>
  <c r="AG32" i="5" s="1"/>
  <c r="AF32" i="5" s="1"/>
  <c r="G32" i="5" s="1"/>
  <c r="K26" i="5"/>
  <c r="N97" i="5"/>
  <c r="BE88" i="5"/>
  <c r="BD88" i="5" s="1"/>
  <c r="BC88" i="5" s="1"/>
  <c r="P88" i="5" s="1"/>
  <c r="N60" i="5"/>
  <c r="AO49" i="5"/>
  <c r="AN49" i="5" s="1"/>
  <c r="AM49" i="5" s="1"/>
  <c r="J49" i="5" s="1"/>
  <c r="N42" i="5"/>
  <c r="H44" i="5"/>
  <c r="BE161" i="5"/>
  <c r="BD161" i="5" s="1"/>
  <c r="BC161" i="5" s="1"/>
  <c r="P161" i="5" s="1"/>
  <c r="K86" i="5"/>
  <c r="AH12" i="5"/>
  <c r="AG12" i="5" s="1"/>
  <c r="AF12" i="5" s="1"/>
  <c r="G12" i="5" s="1"/>
  <c r="E185" i="5"/>
  <c r="E94" i="5"/>
  <c r="AH14" i="5"/>
  <c r="AG14" i="5" s="1"/>
  <c r="AF14" i="5" s="1"/>
  <c r="G14" i="5" s="1"/>
  <c r="H45" i="5"/>
  <c r="AH24" i="5"/>
  <c r="AG24" i="5" s="1"/>
  <c r="AF24" i="5" s="1"/>
  <c r="G24" i="5" s="1"/>
  <c r="AO57" i="5"/>
  <c r="AN57" i="5" s="1"/>
  <c r="AM57" i="5" s="1"/>
  <c r="J57" i="5" s="1"/>
  <c r="AH142" i="5"/>
  <c r="AG142" i="5" s="1"/>
  <c r="AF142" i="5" s="1"/>
  <c r="G142" i="5" s="1"/>
  <c r="AW200" i="5"/>
  <c r="AV200" i="5" s="1"/>
  <c r="AU200" i="5" s="1"/>
  <c r="M200" i="5" s="1"/>
  <c r="N172" i="5"/>
  <c r="H126" i="5"/>
  <c r="E90" i="5"/>
  <c r="AW101" i="5"/>
  <c r="AV101" i="5" s="1"/>
  <c r="AU101" i="5" s="1"/>
  <c r="M101" i="5" s="1"/>
  <c r="K164" i="5"/>
  <c r="K117" i="5"/>
  <c r="AH155" i="5"/>
  <c r="AG155" i="5" s="1"/>
  <c r="AF155" i="5" s="1"/>
  <c r="G155" i="5" s="1"/>
  <c r="AO176" i="5"/>
  <c r="AN176" i="5" s="1"/>
  <c r="AM176" i="5" s="1"/>
  <c r="J176" i="5" s="1"/>
  <c r="E98" i="5"/>
  <c r="AO9" i="5"/>
  <c r="AN9" i="5" s="1"/>
  <c r="AM9" i="5" s="1"/>
  <c r="J9" i="5" s="1"/>
  <c r="AH70" i="5"/>
  <c r="AG70" i="5" s="1"/>
  <c r="AF70" i="5" s="1"/>
  <c r="G70" i="5" s="1"/>
  <c r="N36" i="5"/>
  <c r="E74" i="5"/>
  <c r="BG170" i="5"/>
  <c r="Q170" i="5" s="1"/>
  <c r="BB170" i="5"/>
  <c r="BE170" i="5" s="1"/>
  <c r="BD170" i="5" s="1"/>
  <c r="BC170" i="5" s="1"/>
  <c r="P170" i="5" s="1"/>
  <c r="AT170" i="5"/>
  <c r="AW170" i="5" s="1"/>
  <c r="AV170" i="5" s="1"/>
  <c r="AU170" i="5" s="1"/>
  <c r="M170" i="5" s="1"/>
  <c r="AL170" i="5"/>
  <c r="H170" i="5" s="1"/>
  <c r="BG140" i="5"/>
  <c r="Q140" i="5" s="1"/>
  <c r="BB140" i="5"/>
  <c r="N140" i="5" s="1"/>
  <c r="AT140" i="5"/>
  <c r="K140" i="5" s="1"/>
  <c r="AL140" i="5"/>
  <c r="H140" i="5" s="1"/>
  <c r="BG174" i="5"/>
  <c r="Q174" i="5" s="1"/>
  <c r="BB174" i="5"/>
  <c r="N174" i="5" s="1"/>
  <c r="AL174" i="5"/>
  <c r="H174" i="5" s="1"/>
  <c r="AT174" i="5"/>
  <c r="K174" i="5" s="1"/>
  <c r="AE51" i="5"/>
  <c r="E51" i="5" s="1"/>
  <c r="BG51" i="5"/>
  <c r="Q51" i="5" s="1"/>
  <c r="BB51" i="5"/>
  <c r="N51" i="5" s="1"/>
  <c r="AT51" i="5"/>
  <c r="AW51" i="5" s="1"/>
  <c r="AV51" i="5" s="1"/>
  <c r="AU51" i="5" s="1"/>
  <c r="M51" i="5" s="1"/>
  <c r="AL51" i="5"/>
  <c r="H51" i="5" s="1"/>
  <c r="AE138" i="5"/>
  <c r="AH138" i="5" s="1"/>
  <c r="AG138" i="5" s="1"/>
  <c r="AF138" i="5" s="1"/>
  <c r="G138" i="5" s="1"/>
  <c r="BG138" i="5"/>
  <c r="Q138" i="5" s="1"/>
  <c r="AT138" i="5"/>
  <c r="K138" i="5" s="1"/>
  <c r="BB138" i="5"/>
  <c r="BE138" i="5" s="1"/>
  <c r="BD138" i="5" s="1"/>
  <c r="BC138" i="5" s="1"/>
  <c r="P138" i="5" s="1"/>
  <c r="AL138" i="5"/>
  <c r="AO138" i="5" s="1"/>
  <c r="AN138" i="5" s="1"/>
  <c r="AM138" i="5" s="1"/>
  <c r="J138" i="5" s="1"/>
  <c r="AE133" i="5"/>
  <c r="BG133" i="5"/>
  <c r="Q133" i="5" s="1"/>
  <c r="BB133" i="5"/>
  <c r="AT133" i="5"/>
  <c r="AL133" i="5"/>
  <c r="BG16" i="5"/>
  <c r="Q16" i="5" s="1"/>
  <c r="AT16" i="5"/>
  <c r="K16" i="5" s="1"/>
  <c r="BB16" i="5"/>
  <c r="BE16" i="5" s="1"/>
  <c r="BD16" i="5" s="1"/>
  <c r="BC16" i="5" s="1"/>
  <c r="P16" i="5" s="1"/>
  <c r="AL16" i="5"/>
  <c r="H16" i="5" s="1"/>
  <c r="BG135" i="5"/>
  <c r="Q135" i="5" s="1"/>
  <c r="BB135" i="5"/>
  <c r="BE135" i="5" s="1"/>
  <c r="BD135" i="5" s="1"/>
  <c r="BC135" i="5" s="1"/>
  <c r="P135" i="5" s="1"/>
  <c r="AL135" i="5"/>
  <c r="AO135" i="5" s="1"/>
  <c r="AN135" i="5" s="1"/>
  <c r="AM135" i="5" s="1"/>
  <c r="J135" i="5" s="1"/>
  <c r="AT135" i="5"/>
  <c r="K135" i="5" s="1"/>
  <c r="AE183" i="5"/>
  <c r="BG183" i="5"/>
  <c r="Q183" i="5" s="1"/>
  <c r="BB183" i="5"/>
  <c r="AL183" i="5"/>
  <c r="AT183" i="5"/>
  <c r="BG175" i="5"/>
  <c r="Q175" i="5" s="1"/>
  <c r="BB175" i="5"/>
  <c r="N175" i="5" s="1"/>
  <c r="AL175" i="5"/>
  <c r="H175" i="5" s="1"/>
  <c r="AT175" i="5"/>
  <c r="K175" i="5" s="1"/>
  <c r="AE92" i="5"/>
  <c r="E92" i="5" s="1"/>
  <c r="BG92" i="5"/>
  <c r="Q92" i="5" s="1"/>
  <c r="BB92" i="5"/>
  <c r="N92" i="5" s="1"/>
  <c r="AT92" i="5"/>
  <c r="K92" i="5" s="1"/>
  <c r="AL92" i="5"/>
  <c r="H92" i="5" s="1"/>
  <c r="BG150" i="5"/>
  <c r="Q150" i="5" s="1"/>
  <c r="BB150" i="5"/>
  <c r="N150" i="5" s="1"/>
  <c r="AT150" i="5"/>
  <c r="AW150" i="5" s="1"/>
  <c r="AV150" i="5" s="1"/>
  <c r="AU150" i="5" s="1"/>
  <c r="M150" i="5" s="1"/>
  <c r="AL150" i="5"/>
  <c r="AO150" i="5" s="1"/>
  <c r="AN150" i="5" s="1"/>
  <c r="AM150" i="5" s="1"/>
  <c r="J150" i="5" s="1"/>
  <c r="BG203" i="5"/>
  <c r="Q203" i="5" s="1"/>
  <c r="BB203" i="5"/>
  <c r="N203" i="5" s="1"/>
  <c r="AT203" i="5"/>
  <c r="K203" i="5" s="1"/>
  <c r="AL203" i="5"/>
  <c r="H203" i="5" s="1"/>
  <c r="BG105" i="5"/>
  <c r="Q105" i="5" s="1"/>
  <c r="BB105" i="5"/>
  <c r="BE105" i="5" s="1"/>
  <c r="BD105" i="5" s="1"/>
  <c r="BC105" i="5" s="1"/>
  <c r="P105" i="5" s="1"/>
  <c r="AT105" i="5"/>
  <c r="K105" i="5" s="1"/>
  <c r="AL105" i="5"/>
  <c r="H105" i="5" s="1"/>
  <c r="AE115" i="5"/>
  <c r="E115" i="5" s="1"/>
  <c r="BG115" i="5"/>
  <c r="Q115" i="5" s="1"/>
  <c r="BB115" i="5"/>
  <c r="N115" i="5" s="1"/>
  <c r="AT115" i="5"/>
  <c r="AW115" i="5" s="1"/>
  <c r="AV115" i="5" s="1"/>
  <c r="AU115" i="5" s="1"/>
  <c r="M115" i="5" s="1"/>
  <c r="AL115" i="5"/>
  <c r="H115" i="5" s="1"/>
  <c r="BG129" i="5"/>
  <c r="Q129" i="5" s="1"/>
  <c r="BB129" i="5"/>
  <c r="N129" i="5" s="1"/>
  <c r="AT129" i="5"/>
  <c r="AW129" i="5" s="1"/>
  <c r="AV129" i="5" s="1"/>
  <c r="AU129" i="5" s="1"/>
  <c r="M129" i="5" s="1"/>
  <c r="AL129" i="5"/>
  <c r="H129" i="5" s="1"/>
  <c r="AE65" i="5"/>
  <c r="E65" i="5" s="1"/>
  <c r="BG65" i="5"/>
  <c r="Q65" i="5" s="1"/>
  <c r="BB65" i="5"/>
  <c r="BE65" i="5" s="1"/>
  <c r="BD65" i="5" s="1"/>
  <c r="BC65" i="5" s="1"/>
  <c r="P65" i="5" s="1"/>
  <c r="AT65" i="5"/>
  <c r="AW65" i="5" s="1"/>
  <c r="AV65" i="5" s="1"/>
  <c r="AU65" i="5" s="1"/>
  <c r="M65" i="5" s="1"/>
  <c r="AL65" i="5"/>
  <c r="H65" i="5" s="1"/>
  <c r="BG17" i="5"/>
  <c r="Q17" i="5" s="1"/>
  <c r="BB17" i="5"/>
  <c r="N17" i="5" s="1"/>
  <c r="AT17" i="5"/>
  <c r="AW17" i="5" s="1"/>
  <c r="AV17" i="5" s="1"/>
  <c r="AU17" i="5" s="1"/>
  <c r="M17" i="5" s="1"/>
  <c r="AL17" i="5"/>
  <c r="AO17" i="5" s="1"/>
  <c r="AN17" i="5" s="1"/>
  <c r="AM17" i="5" s="1"/>
  <c r="J17" i="5" s="1"/>
  <c r="BB118" i="5"/>
  <c r="N118" i="5" s="1"/>
  <c r="BG118" i="5"/>
  <c r="Q118" i="5" s="1"/>
  <c r="AL118" i="5"/>
  <c r="H118" i="5" s="1"/>
  <c r="AT118" i="5"/>
  <c r="K118" i="5" s="1"/>
  <c r="BG25" i="5"/>
  <c r="Q25" i="5" s="1"/>
  <c r="BB25" i="5"/>
  <c r="N25" i="5" s="1"/>
  <c r="AT25" i="5"/>
  <c r="AW25" i="5" s="1"/>
  <c r="AV25" i="5" s="1"/>
  <c r="AU25" i="5" s="1"/>
  <c r="M25" i="5" s="1"/>
  <c r="AL25" i="5"/>
  <c r="H25" i="5" s="1"/>
  <c r="AE165" i="5"/>
  <c r="E165" i="5" s="1"/>
  <c r="BG165" i="5"/>
  <c r="Q165" i="5" s="1"/>
  <c r="BB165" i="5"/>
  <c r="N165" i="5" s="1"/>
  <c r="AT165" i="5"/>
  <c r="K165" i="5" s="1"/>
  <c r="AL165" i="5"/>
  <c r="AO165" i="5" s="1"/>
  <c r="AN165" i="5" s="1"/>
  <c r="AM165" i="5" s="1"/>
  <c r="J165" i="5" s="1"/>
  <c r="BG169" i="5"/>
  <c r="Q169" i="5" s="1"/>
  <c r="BB169" i="5"/>
  <c r="N169" i="5" s="1"/>
  <c r="AT169" i="5"/>
  <c r="AW169" i="5" s="1"/>
  <c r="AV169" i="5" s="1"/>
  <c r="AU169" i="5" s="1"/>
  <c r="M169" i="5" s="1"/>
  <c r="AL169" i="5"/>
  <c r="H169" i="5" s="1"/>
  <c r="BG196" i="5"/>
  <c r="Q196" i="5" s="1"/>
  <c r="BB196" i="5"/>
  <c r="BE196" i="5" s="1"/>
  <c r="BD196" i="5" s="1"/>
  <c r="BC196" i="5" s="1"/>
  <c r="P196" i="5" s="1"/>
  <c r="AT196" i="5"/>
  <c r="K196" i="5" s="1"/>
  <c r="AL196" i="5"/>
  <c r="AO196" i="5" s="1"/>
  <c r="AN196" i="5" s="1"/>
  <c r="AM196" i="5" s="1"/>
  <c r="J196" i="5" s="1"/>
  <c r="BG84" i="5"/>
  <c r="Q84" i="5" s="1"/>
  <c r="BB84" i="5"/>
  <c r="BE84" i="5" s="1"/>
  <c r="BD84" i="5" s="1"/>
  <c r="BC84" i="5" s="1"/>
  <c r="P84" i="5" s="1"/>
  <c r="AT84" i="5"/>
  <c r="K84" i="5" s="1"/>
  <c r="AL84" i="5"/>
  <c r="H84" i="5" s="1"/>
  <c r="BG171" i="5"/>
  <c r="Q171" i="5" s="1"/>
  <c r="BB171" i="5"/>
  <c r="N171" i="5" s="1"/>
  <c r="AT171" i="5"/>
  <c r="K171" i="5" s="1"/>
  <c r="AL171" i="5"/>
  <c r="H171" i="5" s="1"/>
  <c r="AT136" i="5"/>
  <c r="AW136" i="5" s="1"/>
  <c r="AV136" i="5" s="1"/>
  <c r="AU136" i="5" s="1"/>
  <c r="M136" i="5" s="1"/>
  <c r="BB136" i="5"/>
  <c r="N136" i="5" s="1"/>
  <c r="BG136" i="5"/>
  <c r="Q136" i="5" s="1"/>
  <c r="AL136" i="5"/>
  <c r="H136" i="5" s="1"/>
  <c r="BG99" i="5"/>
  <c r="Q99" i="5" s="1"/>
  <c r="BB99" i="5"/>
  <c r="BE99" i="5" s="1"/>
  <c r="BD99" i="5" s="1"/>
  <c r="BC99" i="5" s="1"/>
  <c r="P99" i="5" s="1"/>
  <c r="AT99" i="5"/>
  <c r="AW99" i="5" s="1"/>
  <c r="AV99" i="5" s="1"/>
  <c r="AU99" i="5" s="1"/>
  <c r="M99" i="5" s="1"/>
  <c r="AL99" i="5"/>
  <c r="H99" i="5" s="1"/>
  <c r="BB104" i="5"/>
  <c r="N104" i="5" s="1"/>
  <c r="AT104" i="5"/>
  <c r="AW104" i="5" s="1"/>
  <c r="AV104" i="5" s="1"/>
  <c r="AU104" i="5" s="1"/>
  <c r="M104" i="5" s="1"/>
  <c r="BG104" i="5"/>
  <c r="Q104" i="5" s="1"/>
  <c r="AL104" i="5"/>
  <c r="AO104" i="5" s="1"/>
  <c r="AN104" i="5" s="1"/>
  <c r="AM104" i="5" s="1"/>
  <c r="J104" i="5" s="1"/>
  <c r="BG132" i="5"/>
  <c r="Q132" i="5" s="1"/>
  <c r="BB132" i="5"/>
  <c r="N132" i="5" s="1"/>
  <c r="AT132" i="5"/>
  <c r="K132" i="5" s="1"/>
  <c r="AL132" i="5"/>
  <c r="H132" i="5" s="1"/>
  <c r="BG55" i="5"/>
  <c r="Q55" i="5" s="1"/>
  <c r="BB55" i="5"/>
  <c r="N55" i="5" s="1"/>
  <c r="AL55" i="5"/>
  <c r="H55" i="5" s="1"/>
  <c r="AT55" i="5"/>
  <c r="K55" i="5" s="1"/>
  <c r="BG77" i="5"/>
  <c r="Q77" i="5" s="1"/>
  <c r="BB77" i="5"/>
  <c r="AT77" i="5"/>
  <c r="AW77" i="5" s="1"/>
  <c r="AV77" i="5" s="1"/>
  <c r="AU77" i="5" s="1"/>
  <c r="M77" i="5" s="1"/>
  <c r="AL77" i="5"/>
  <c r="AO77" i="5" s="1"/>
  <c r="AN77" i="5" s="1"/>
  <c r="AM77" i="5" s="1"/>
  <c r="J77" i="5" s="1"/>
  <c r="BG201" i="5"/>
  <c r="Q201" i="5" s="1"/>
  <c r="BB201" i="5"/>
  <c r="BE201" i="5" s="1"/>
  <c r="BD201" i="5" s="1"/>
  <c r="BC201" i="5" s="1"/>
  <c r="P201" i="5" s="1"/>
  <c r="AL201" i="5"/>
  <c r="AO201" i="5" s="1"/>
  <c r="AN201" i="5" s="1"/>
  <c r="AM201" i="5" s="1"/>
  <c r="J201" i="5" s="1"/>
  <c r="AT201" i="5"/>
  <c r="AW201" i="5" s="1"/>
  <c r="AV201" i="5" s="1"/>
  <c r="AU201" i="5" s="1"/>
  <c r="M201" i="5" s="1"/>
  <c r="AT128" i="5"/>
  <c r="AW128" i="5" s="1"/>
  <c r="AV128" i="5" s="1"/>
  <c r="AU128" i="5" s="1"/>
  <c r="M128" i="5" s="1"/>
  <c r="BG128" i="5"/>
  <c r="Q128" i="5" s="1"/>
  <c r="BB128" i="5"/>
  <c r="BE128" i="5" s="1"/>
  <c r="BD128" i="5" s="1"/>
  <c r="BC128" i="5" s="1"/>
  <c r="P128" i="5" s="1"/>
  <c r="AL128" i="5"/>
  <c r="H128" i="5" s="1"/>
  <c r="BB182" i="5"/>
  <c r="BE182" i="5" s="1"/>
  <c r="BD182" i="5" s="1"/>
  <c r="BC182" i="5" s="1"/>
  <c r="P182" i="5" s="1"/>
  <c r="BG182" i="5"/>
  <c r="Q182" i="5" s="1"/>
  <c r="AL182" i="5"/>
  <c r="H182" i="5" s="1"/>
  <c r="AT182" i="5"/>
  <c r="K182" i="5" s="1"/>
  <c r="BG23" i="5"/>
  <c r="Q23" i="5" s="1"/>
  <c r="BB23" i="5"/>
  <c r="N23" i="5" s="1"/>
  <c r="AT23" i="5"/>
  <c r="AW23" i="5" s="1"/>
  <c r="AV23" i="5" s="1"/>
  <c r="AU23" i="5" s="1"/>
  <c r="M23" i="5" s="1"/>
  <c r="AL23" i="5"/>
  <c r="AO23" i="5" s="1"/>
  <c r="AN23" i="5" s="1"/>
  <c r="AM23" i="5" s="1"/>
  <c r="J23" i="5" s="1"/>
  <c r="AE108" i="5"/>
  <c r="E108" i="5" s="1"/>
  <c r="BG108" i="5"/>
  <c r="Q108" i="5" s="1"/>
  <c r="BB108" i="5"/>
  <c r="N108" i="5" s="1"/>
  <c r="AT108" i="5"/>
  <c r="K108" i="5" s="1"/>
  <c r="AL108" i="5"/>
  <c r="H108" i="5" s="1"/>
  <c r="BG156" i="5"/>
  <c r="Q156" i="5" s="1"/>
  <c r="BB156" i="5"/>
  <c r="N156" i="5" s="1"/>
  <c r="AT156" i="5"/>
  <c r="AL156" i="5"/>
  <c r="H156" i="5" s="1"/>
  <c r="AE197" i="5"/>
  <c r="BG197" i="5"/>
  <c r="Q197" i="5" s="1"/>
  <c r="BB197" i="5"/>
  <c r="AT197" i="5"/>
  <c r="AL197" i="5"/>
  <c r="AE56" i="5"/>
  <c r="AH56" i="5" s="1"/>
  <c r="AG56" i="5" s="1"/>
  <c r="AF56" i="5" s="1"/>
  <c r="G56" i="5" s="1"/>
  <c r="AT56" i="5"/>
  <c r="AW56" i="5" s="1"/>
  <c r="AV56" i="5" s="1"/>
  <c r="AU56" i="5" s="1"/>
  <c r="M56" i="5" s="1"/>
  <c r="BG56" i="5"/>
  <c r="Q56" i="5" s="1"/>
  <c r="BB56" i="5"/>
  <c r="BE56" i="5" s="1"/>
  <c r="BD56" i="5" s="1"/>
  <c r="BC56" i="5" s="1"/>
  <c r="P56" i="5" s="1"/>
  <c r="AL56" i="5"/>
  <c r="AO56" i="5" s="1"/>
  <c r="AN56" i="5" s="1"/>
  <c r="AM56" i="5" s="1"/>
  <c r="J56" i="5" s="1"/>
  <c r="AE85" i="5"/>
  <c r="AH85" i="5" s="1"/>
  <c r="AG85" i="5" s="1"/>
  <c r="AF85" i="5" s="1"/>
  <c r="G85" i="5" s="1"/>
  <c r="BG85" i="5"/>
  <c r="Q85" i="5" s="1"/>
  <c r="BB85" i="5"/>
  <c r="BE85" i="5" s="1"/>
  <c r="BD85" i="5" s="1"/>
  <c r="BC85" i="5" s="1"/>
  <c r="P85" i="5" s="1"/>
  <c r="AT85" i="5"/>
  <c r="K85" i="5" s="1"/>
  <c r="AL85" i="5"/>
  <c r="H85" i="5" s="1"/>
  <c r="BG180" i="5"/>
  <c r="Q180" i="5" s="1"/>
  <c r="BB180" i="5"/>
  <c r="N180" i="5" s="1"/>
  <c r="AT180" i="5"/>
  <c r="AW180" i="5" s="1"/>
  <c r="AV180" i="5" s="1"/>
  <c r="AU180" i="5" s="1"/>
  <c r="M180" i="5" s="1"/>
  <c r="AL180" i="5"/>
  <c r="H180" i="5" s="1"/>
  <c r="AE202" i="5"/>
  <c r="E202" i="5" s="1"/>
  <c r="BG202" i="5"/>
  <c r="Q202" i="5" s="1"/>
  <c r="AT202" i="5"/>
  <c r="K202" i="5" s="1"/>
  <c r="BB202" i="5"/>
  <c r="N202" i="5" s="1"/>
  <c r="AL202" i="5"/>
  <c r="H202" i="5" s="1"/>
  <c r="AE134" i="5"/>
  <c r="AH134" i="5" s="1"/>
  <c r="AG134" i="5" s="1"/>
  <c r="AF134" i="5" s="1"/>
  <c r="G134" i="5" s="1"/>
  <c r="BB134" i="5"/>
  <c r="BE134" i="5" s="1"/>
  <c r="BD134" i="5" s="1"/>
  <c r="BC134" i="5" s="1"/>
  <c r="P134" i="5" s="1"/>
  <c r="BG134" i="5"/>
  <c r="Q134" i="5" s="1"/>
  <c r="AL134" i="5"/>
  <c r="AT134" i="5"/>
  <c r="K134" i="5" s="1"/>
  <c r="BG68" i="5"/>
  <c r="Q68" i="5" s="1"/>
  <c r="BB68" i="5"/>
  <c r="BE68" i="5" s="1"/>
  <c r="BD68" i="5" s="1"/>
  <c r="BC68" i="5" s="1"/>
  <c r="P68" i="5" s="1"/>
  <c r="AT68" i="5"/>
  <c r="AW68" i="5" s="1"/>
  <c r="AV68" i="5" s="1"/>
  <c r="AU68" i="5" s="1"/>
  <c r="M68" i="5" s="1"/>
  <c r="AL68" i="5"/>
  <c r="H68" i="5" s="1"/>
  <c r="BB38" i="5"/>
  <c r="BE38" i="5" s="1"/>
  <c r="BD38" i="5" s="1"/>
  <c r="BC38" i="5" s="1"/>
  <c r="P38" i="5" s="1"/>
  <c r="BG38" i="5"/>
  <c r="Q38" i="5" s="1"/>
  <c r="AL38" i="5"/>
  <c r="H38" i="5" s="1"/>
  <c r="AT38" i="5"/>
  <c r="K38" i="5" s="1"/>
  <c r="BG190" i="5"/>
  <c r="Q190" i="5" s="1"/>
  <c r="BB190" i="5"/>
  <c r="N190" i="5" s="1"/>
  <c r="AT190" i="5"/>
  <c r="AW190" i="5" s="1"/>
  <c r="AV190" i="5" s="1"/>
  <c r="AU190" i="5" s="1"/>
  <c r="M190" i="5" s="1"/>
  <c r="AL190" i="5"/>
  <c r="H190" i="5" s="1"/>
  <c r="AE207" i="5"/>
  <c r="BG207" i="5"/>
  <c r="Q207" i="5" s="1"/>
  <c r="BB207" i="5"/>
  <c r="AL207" i="5"/>
  <c r="AT207" i="5"/>
  <c r="K207" i="5" s="1"/>
  <c r="AE10" i="5"/>
  <c r="AH10" i="5" s="1"/>
  <c r="AG10" i="5" s="1"/>
  <c r="AF10" i="5" s="1"/>
  <c r="G10" i="5" s="1"/>
  <c r="BG10" i="5"/>
  <c r="Q10" i="5" s="1"/>
  <c r="BB10" i="5"/>
  <c r="BE10" i="5" s="1"/>
  <c r="BD10" i="5" s="1"/>
  <c r="BC10" i="5" s="1"/>
  <c r="P10" i="5" s="1"/>
  <c r="AT10" i="5"/>
  <c r="AW10" i="5" s="1"/>
  <c r="AV10" i="5" s="1"/>
  <c r="AU10" i="5" s="1"/>
  <c r="M10" i="5" s="1"/>
  <c r="AL10" i="5"/>
  <c r="AO10" i="5" s="1"/>
  <c r="AN10" i="5" s="1"/>
  <c r="AM10" i="5" s="1"/>
  <c r="J10" i="5" s="1"/>
  <c r="AE144" i="5"/>
  <c r="E144" i="5" s="1"/>
  <c r="BG144" i="5"/>
  <c r="Q144" i="5" s="1"/>
  <c r="BB144" i="5"/>
  <c r="N144" i="5" s="1"/>
  <c r="AT144" i="5"/>
  <c r="K144" i="5" s="1"/>
  <c r="AL144" i="5"/>
  <c r="H144" i="5" s="1"/>
  <c r="BG87" i="5"/>
  <c r="Q87" i="5" s="1"/>
  <c r="BB87" i="5"/>
  <c r="N87" i="5" s="1"/>
  <c r="AT87" i="5"/>
  <c r="K87" i="5" s="1"/>
  <c r="AL87" i="5"/>
  <c r="H87" i="5" s="1"/>
  <c r="AT72" i="5"/>
  <c r="K72" i="5" s="1"/>
  <c r="BB72" i="5"/>
  <c r="N72" i="5" s="1"/>
  <c r="BG72" i="5"/>
  <c r="Q72" i="5" s="1"/>
  <c r="AL72" i="5"/>
  <c r="H72" i="5" s="1"/>
  <c r="BG21" i="5"/>
  <c r="Q21" i="5" s="1"/>
  <c r="BB21" i="5"/>
  <c r="N21" i="5" s="1"/>
  <c r="AT21" i="5"/>
  <c r="K21" i="5" s="1"/>
  <c r="AL21" i="5"/>
  <c r="H21" i="5" s="1"/>
  <c r="AE147" i="5"/>
  <c r="E147" i="5" s="1"/>
  <c r="BG147" i="5"/>
  <c r="Q147" i="5" s="1"/>
  <c r="BB147" i="5"/>
  <c r="N147" i="5" s="1"/>
  <c r="AT147" i="5"/>
  <c r="AW147" i="5" s="1"/>
  <c r="AV147" i="5" s="1"/>
  <c r="AU147" i="5" s="1"/>
  <c r="M147" i="5" s="1"/>
  <c r="AL147" i="5"/>
  <c r="H147" i="5" s="1"/>
  <c r="AE146" i="5"/>
  <c r="E146" i="5" s="1"/>
  <c r="BG146" i="5"/>
  <c r="Q146" i="5" s="1"/>
  <c r="BB146" i="5"/>
  <c r="N146" i="5" s="1"/>
  <c r="AT146" i="5"/>
  <c r="AW146" i="5" s="1"/>
  <c r="AV146" i="5" s="1"/>
  <c r="AU146" i="5" s="1"/>
  <c r="M146" i="5" s="1"/>
  <c r="AL146" i="5"/>
  <c r="H146" i="5" s="1"/>
  <c r="BG50" i="5"/>
  <c r="Q50" i="5" s="1"/>
  <c r="BB50" i="5"/>
  <c r="BE50" i="5" s="1"/>
  <c r="BD50" i="5" s="1"/>
  <c r="BC50" i="5" s="1"/>
  <c r="P50" i="5" s="1"/>
  <c r="AT50" i="5"/>
  <c r="AW50" i="5" s="1"/>
  <c r="AV50" i="5" s="1"/>
  <c r="AU50" i="5" s="1"/>
  <c r="M50" i="5" s="1"/>
  <c r="AL50" i="5"/>
  <c r="AO50" i="5" s="1"/>
  <c r="AN50" i="5" s="1"/>
  <c r="AM50" i="5" s="1"/>
  <c r="J50" i="5" s="1"/>
  <c r="BG47" i="5"/>
  <c r="Q47" i="5" s="1"/>
  <c r="BB47" i="5"/>
  <c r="N47" i="5" s="1"/>
  <c r="AT47" i="5"/>
  <c r="K47" i="5" s="1"/>
  <c r="AL47" i="5"/>
  <c r="AO47" i="5" s="1"/>
  <c r="AN47" i="5" s="1"/>
  <c r="AM47" i="5" s="1"/>
  <c r="J47" i="5" s="1"/>
  <c r="AE148" i="5"/>
  <c r="E148" i="5" s="1"/>
  <c r="BG148" i="5"/>
  <c r="Q148" i="5" s="1"/>
  <c r="BB148" i="5"/>
  <c r="BE148" i="5" s="1"/>
  <c r="BD148" i="5" s="1"/>
  <c r="BC148" i="5" s="1"/>
  <c r="P148" i="5" s="1"/>
  <c r="AT148" i="5"/>
  <c r="K148" i="5" s="1"/>
  <c r="AL148" i="5"/>
  <c r="AO148" i="5" s="1"/>
  <c r="AN148" i="5" s="1"/>
  <c r="AM148" i="5" s="1"/>
  <c r="J148" i="5" s="1"/>
  <c r="BG18" i="5"/>
  <c r="Q18" i="5" s="1"/>
  <c r="BB18" i="5"/>
  <c r="BE18" i="5" s="1"/>
  <c r="BD18" i="5" s="1"/>
  <c r="BC18" i="5" s="1"/>
  <c r="P18" i="5" s="1"/>
  <c r="AT18" i="5"/>
  <c r="AW18" i="5" s="1"/>
  <c r="AV18" i="5" s="1"/>
  <c r="AU18" i="5" s="1"/>
  <c r="M18" i="5" s="1"/>
  <c r="AL18" i="5"/>
  <c r="H18" i="5" s="1"/>
  <c r="AE54" i="5"/>
  <c r="E54" i="5" s="1"/>
  <c r="BG54" i="5"/>
  <c r="Q54" i="5" s="1"/>
  <c r="BB54" i="5"/>
  <c r="BE54" i="5" s="1"/>
  <c r="BD54" i="5" s="1"/>
  <c r="BC54" i="5" s="1"/>
  <c r="P54" i="5" s="1"/>
  <c r="AL54" i="5"/>
  <c r="H54" i="5" s="1"/>
  <c r="AT54" i="5"/>
  <c r="K54" i="5" s="1"/>
  <c r="BG63" i="5"/>
  <c r="Q63" i="5" s="1"/>
  <c r="BB63" i="5"/>
  <c r="BE63" i="5" s="1"/>
  <c r="BD63" i="5" s="1"/>
  <c r="BC63" i="5" s="1"/>
  <c r="P63" i="5" s="1"/>
  <c r="AT63" i="5"/>
  <c r="K63" i="5" s="1"/>
  <c r="AL63" i="5"/>
  <c r="AO63" i="5" s="1"/>
  <c r="AN63" i="5" s="1"/>
  <c r="AM63" i="5" s="1"/>
  <c r="J63" i="5" s="1"/>
  <c r="BG122" i="5"/>
  <c r="Q122" i="5" s="1"/>
  <c r="AT122" i="5"/>
  <c r="K122" i="5" s="1"/>
  <c r="BB122" i="5"/>
  <c r="BE122" i="5" s="1"/>
  <c r="BD122" i="5" s="1"/>
  <c r="BC122" i="5" s="1"/>
  <c r="P122" i="5" s="1"/>
  <c r="AL122" i="5"/>
  <c r="H122" i="5" s="1"/>
  <c r="BG28" i="5"/>
  <c r="Q28" i="5" s="1"/>
  <c r="BB28" i="5"/>
  <c r="BE28" i="5" s="1"/>
  <c r="BD28" i="5" s="1"/>
  <c r="BC28" i="5" s="1"/>
  <c r="P28" i="5" s="1"/>
  <c r="AT28" i="5"/>
  <c r="K28" i="5" s="1"/>
  <c r="AL28" i="5"/>
  <c r="AO28" i="5" s="1"/>
  <c r="AN28" i="5" s="1"/>
  <c r="AM28" i="5" s="1"/>
  <c r="J28" i="5" s="1"/>
  <c r="BG106" i="5"/>
  <c r="Q106" i="5" s="1"/>
  <c r="BB106" i="5"/>
  <c r="N106" i="5" s="1"/>
  <c r="AT106" i="5"/>
  <c r="K106" i="5" s="1"/>
  <c r="AL106" i="5"/>
  <c r="AO106" i="5" s="1"/>
  <c r="AN106" i="5" s="1"/>
  <c r="AM106" i="5" s="1"/>
  <c r="J106" i="5" s="1"/>
  <c r="AE119" i="5"/>
  <c r="E119" i="5" s="1"/>
  <c r="BG119" i="5"/>
  <c r="Q119" i="5" s="1"/>
  <c r="BB119" i="5"/>
  <c r="AL119" i="5"/>
  <c r="AO119" i="5" s="1"/>
  <c r="AN119" i="5" s="1"/>
  <c r="AM119" i="5" s="1"/>
  <c r="J119" i="5" s="1"/>
  <c r="AT119" i="5"/>
  <c r="AW119" i="5" s="1"/>
  <c r="AV119" i="5" s="1"/>
  <c r="AU119" i="5" s="1"/>
  <c r="M119" i="5" s="1"/>
  <c r="BG31" i="5"/>
  <c r="Q31" i="5" s="1"/>
  <c r="BB31" i="5"/>
  <c r="BE31" i="5" s="1"/>
  <c r="BD31" i="5" s="1"/>
  <c r="BC31" i="5" s="1"/>
  <c r="P31" i="5" s="1"/>
  <c r="AT31" i="5"/>
  <c r="AW31" i="5" s="1"/>
  <c r="AV31" i="5" s="1"/>
  <c r="AU31" i="5" s="1"/>
  <c r="M31" i="5" s="1"/>
  <c r="AL31" i="5"/>
  <c r="AO31" i="5" s="1"/>
  <c r="AN31" i="5" s="1"/>
  <c r="AM31" i="5" s="1"/>
  <c r="J31" i="5" s="1"/>
  <c r="BB64" i="5"/>
  <c r="N64" i="5" s="1"/>
  <c r="AT64" i="5"/>
  <c r="AW64" i="5" s="1"/>
  <c r="AV64" i="5" s="1"/>
  <c r="AU64" i="5" s="1"/>
  <c r="M64" i="5" s="1"/>
  <c r="BG64" i="5"/>
  <c r="Q64" i="5" s="1"/>
  <c r="AL64" i="5"/>
  <c r="AO64" i="5" s="1"/>
  <c r="AN64" i="5" s="1"/>
  <c r="AM64" i="5" s="1"/>
  <c r="J64" i="5" s="1"/>
  <c r="AE67" i="5"/>
  <c r="AH67" i="5" s="1"/>
  <c r="AG67" i="5" s="1"/>
  <c r="AF67" i="5" s="1"/>
  <c r="G67" i="5" s="1"/>
  <c r="BG67" i="5"/>
  <c r="Q67" i="5" s="1"/>
  <c r="BB67" i="5"/>
  <c r="BE67" i="5" s="1"/>
  <c r="BD67" i="5" s="1"/>
  <c r="BC67" i="5" s="1"/>
  <c r="P67" i="5" s="1"/>
  <c r="AT67" i="5"/>
  <c r="K67" i="5" s="1"/>
  <c r="AL67" i="5"/>
  <c r="AO67" i="5" s="1"/>
  <c r="AN67" i="5" s="1"/>
  <c r="AM67" i="5" s="1"/>
  <c r="J67" i="5" s="1"/>
  <c r="AE206" i="5"/>
  <c r="E206" i="5" s="1"/>
  <c r="BG206" i="5"/>
  <c r="Q206" i="5" s="1"/>
  <c r="BB206" i="5"/>
  <c r="N206" i="5" s="1"/>
  <c r="AL206" i="5"/>
  <c r="H206" i="5" s="1"/>
  <c r="AT206" i="5"/>
  <c r="K206" i="5" s="1"/>
  <c r="BG139" i="5"/>
  <c r="Q139" i="5" s="1"/>
  <c r="BB139" i="5"/>
  <c r="N139" i="5" s="1"/>
  <c r="AT139" i="5"/>
  <c r="K139" i="5" s="1"/>
  <c r="AL139" i="5"/>
  <c r="AO139" i="5" s="1"/>
  <c r="AN139" i="5" s="1"/>
  <c r="AM139" i="5" s="1"/>
  <c r="J139" i="5" s="1"/>
  <c r="BG145" i="5"/>
  <c r="Q145" i="5" s="1"/>
  <c r="BB145" i="5"/>
  <c r="N145" i="5" s="1"/>
  <c r="AT145" i="5"/>
  <c r="AL145" i="5"/>
  <c r="AO145" i="5" s="1"/>
  <c r="AN145" i="5" s="1"/>
  <c r="AM145" i="5" s="1"/>
  <c r="J145" i="5" s="1"/>
  <c r="BG27" i="5"/>
  <c r="Q27" i="5" s="1"/>
  <c r="BB27" i="5"/>
  <c r="N27" i="5" s="1"/>
  <c r="AT27" i="5"/>
  <c r="AW27" i="5" s="1"/>
  <c r="AV27" i="5" s="1"/>
  <c r="AU27" i="5" s="1"/>
  <c r="M27" i="5" s="1"/>
  <c r="AL27" i="5"/>
  <c r="H27" i="5" s="1"/>
  <c r="AT96" i="5"/>
  <c r="K96" i="5" s="1"/>
  <c r="BB96" i="5"/>
  <c r="N96" i="5" s="1"/>
  <c r="BG96" i="5"/>
  <c r="Q96" i="5" s="1"/>
  <c r="AL96" i="5"/>
  <c r="AO96" i="5" s="1"/>
  <c r="AN96" i="5" s="1"/>
  <c r="AM96" i="5" s="1"/>
  <c r="J96" i="5" s="1"/>
  <c r="BG52" i="5"/>
  <c r="Q52" i="5" s="1"/>
  <c r="BB52" i="5"/>
  <c r="N52" i="5" s="1"/>
  <c r="AT52" i="5"/>
  <c r="AW52" i="5" s="1"/>
  <c r="AV52" i="5" s="1"/>
  <c r="AU52" i="5" s="1"/>
  <c r="M52" i="5" s="1"/>
  <c r="AL52" i="5"/>
  <c r="H52" i="5" s="1"/>
  <c r="BG37" i="5"/>
  <c r="Q37" i="5" s="1"/>
  <c r="BB37" i="5"/>
  <c r="BE37" i="5" s="1"/>
  <c r="BD37" i="5" s="1"/>
  <c r="BC37" i="5" s="1"/>
  <c r="P37" i="5" s="1"/>
  <c r="AT37" i="5"/>
  <c r="AW37" i="5" s="1"/>
  <c r="AV37" i="5" s="1"/>
  <c r="AU37" i="5" s="1"/>
  <c r="M37" i="5" s="1"/>
  <c r="AL37" i="5"/>
  <c r="H37" i="5" s="1"/>
  <c r="AE151" i="5"/>
  <c r="BG151" i="5"/>
  <c r="Q151" i="5" s="1"/>
  <c r="BB151" i="5"/>
  <c r="AT151" i="5"/>
  <c r="AL151" i="5"/>
  <c r="AE75" i="5"/>
  <c r="E75" i="5" s="1"/>
  <c r="BG75" i="5"/>
  <c r="Q75" i="5" s="1"/>
  <c r="BB75" i="5"/>
  <c r="BE75" i="5" s="1"/>
  <c r="BD75" i="5" s="1"/>
  <c r="BC75" i="5" s="1"/>
  <c r="P75" i="5" s="1"/>
  <c r="AT75" i="5"/>
  <c r="AW75" i="5" s="1"/>
  <c r="AV75" i="5" s="1"/>
  <c r="AU75" i="5" s="1"/>
  <c r="M75" i="5" s="1"/>
  <c r="AL75" i="5"/>
  <c r="H75" i="5" s="1"/>
  <c r="BG157" i="5"/>
  <c r="Q157" i="5" s="1"/>
  <c r="BB157" i="5"/>
  <c r="BE157" i="5" s="1"/>
  <c r="BD157" i="5" s="1"/>
  <c r="BC157" i="5" s="1"/>
  <c r="P157" i="5" s="1"/>
  <c r="AT157" i="5"/>
  <c r="AW157" i="5" s="1"/>
  <c r="AV157" i="5" s="1"/>
  <c r="AU157" i="5" s="1"/>
  <c r="M157" i="5" s="1"/>
  <c r="AL157" i="5"/>
  <c r="AO157" i="5" s="1"/>
  <c r="AN157" i="5" s="1"/>
  <c r="AM157" i="5" s="1"/>
  <c r="J157" i="5" s="1"/>
  <c r="AE181" i="5"/>
  <c r="E181" i="5" s="1"/>
  <c r="BG181" i="5"/>
  <c r="Q181" i="5" s="1"/>
  <c r="BB181" i="5"/>
  <c r="N181" i="5" s="1"/>
  <c r="AT181" i="5"/>
  <c r="AW181" i="5" s="1"/>
  <c r="AV181" i="5" s="1"/>
  <c r="AU181" i="5" s="1"/>
  <c r="M181" i="5" s="1"/>
  <c r="AL181" i="5"/>
  <c r="H181" i="5" s="1"/>
  <c r="BG62" i="5"/>
  <c r="Q62" i="5" s="1"/>
  <c r="AT62" i="5"/>
  <c r="AW62" i="5" s="1"/>
  <c r="AV62" i="5" s="1"/>
  <c r="AU62" i="5" s="1"/>
  <c r="M62" i="5" s="1"/>
  <c r="AL62" i="5"/>
  <c r="AO62" i="5" s="1"/>
  <c r="AN62" i="5" s="1"/>
  <c r="AM62" i="5" s="1"/>
  <c r="J62" i="5" s="1"/>
  <c r="BB62" i="5"/>
  <c r="N62" i="5" s="1"/>
  <c r="AE141" i="5"/>
  <c r="E141" i="5" s="1"/>
  <c r="BG141" i="5"/>
  <c r="Q141" i="5" s="1"/>
  <c r="BB141" i="5"/>
  <c r="BE141" i="5" s="1"/>
  <c r="BD141" i="5" s="1"/>
  <c r="BC141" i="5" s="1"/>
  <c r="P141" i="5" s="1"/>
  <c r="AT141" i="5"/>
  <c r="K141" i="5" s="1"/>
  <c r="AL141" i="5"/>
  <c r="H141" i="5" s="1"/>
  <c r="BG81" i="5"/>
  <c r="Q81" i="5" s="1"/>
  <c r="BB81" i="5"/>
  <c r="BE81" i="5" s="1"/>
  <c r="BD81" i="5" s="1"/>
  <c r="BC81" i="5" s="1"/>
  <c r="P81" i="5" s="1"/>
  <c r="AT81" i="5"/>
  <c r="AW81" i="5" s="1"/>
  <c r="AV81" i="5" s="1"/>
  <c r="AU81" i="5" s="1"/>
  <c r="M81" i="5" s="1"/>
  <c r="AL81" i="5"/>
  <c r="H81" i="5" s="1"/>
  <c r="AE179" i="5"/>
  <c r="AH179" i="5" s="1"/>
  <c r="AG179" i="5" s="1"/>
  <c r="AF179" i="5" s="1"/>
  <c r="G179" i="5" s="1"/>
  <c r="BG179" i="5"/>
  <c r="Q179" i="5" s="1"/>
  <c r="BB179" i="5"/>
  <c r="BE179" i="5" s="1"/>
  <c r="BD179" i="5" s="1"/>
  <c r="BC179" i="5" s="1"/>
  <c r="P179" i="5" s="1"/>
  <c r="AT179" i="5"/>
  <c r="K179" i="5" s="1"/>
  <c r="AL179" i="5"/>
  <c r="H179" i="5" s="1"/>
  <c r="AE112" i="5"/>
  <c r="E112" i="5" s="1"/>
  <c r="BG112" i="5"/>
  <c r="Q112" i="5" s="1"/>
  <c r="AT112" i="5"/>
  <c r="AW112" i="5" s="1"/>
  <c r="AV112" i="5" s="1"/>
  <c r="AU112" i="5" s="1"/>
  <c r="M112" i="5" s="1"/>
  <c r="BB112" i="5"/>
  <c r="N112" i="5" s="1"/>
  <c r="AL112" i="5"/>
  <c r="AO112" i="5" s="1"/>
  <c r="AN112" i="5" s="1"/>
  <c r="AM112" i="5" s="1"/>
  <c r="J112" i="5" s="1"/>
  <c r="BG154" i="5"/>
  <c r="Q154" i="5" s="1"/>
  <c r="BB154" i="5"/>
  <c r="N154" i="5" s="1"/>
  <c r="AT154" i="5"/>
  <c r="K154" i="5" s="1"/>
  <c r="AL154" i="5"/>
  <c r="H154" i="5" s="1"/>
  <c r="AE208" i="5"/>
  <c r="E208" i="5" s="1"/>
  <c r="BG208" i="5"/>
  <c r="Q208" i="5" s="1"/>
  <c r="BB208" i="5"/>
  <c r="AT208" i="5"/>
  <c r="K208" i="5" s="1"/>
  <c r="AL208" i="5"/>
  <c r="AO208" i="5" s="1"/>
  <c r="AN208" i="5" s="1"/>
  <c r="AM208" i="5" s="1"/>
  <c r="J208" i="5" s="1"/>
  <c r="BG95" i="5"/>
  <c r="Q95" i="5" s="1"/>
  <c r="BB95" i="5"/>
  <c r="N95" i="5" s="1"/>
  <c r="AL95" i="5"/>
  <c r="H95" i="5" s="1"/>
  <c r="AT95" i="5"/>
  <c r="K95" i="5" s="1"/>
  <c r="AE35" i="5"/>
  <c r="AH35" i="5" s="1"/>
  <c r="AG35" i="5" s="1"/>
  <c r="AF35" i="5" s="1"/>
  <c r="G35" i="5" s="1"/>
  <c r="BG35" i="5"/>
  <c r="Q35" i="5" s="1"/>
  <c r="BB35" i="5"/>
  <c r="BE35" i="5" s="1"/>
  <c r="BD35" i="5" s="1"/>
  <c r="BC35" i="5" s="1"/>
  <c r="P35" i="5" s="1"/>
  <c r="AT35" i="5"/>
  <c r="K35" i="5" s="1"/>
  <c r="AL35" i="5"/>
  <c r="H35" i="5" s="1"/>
  <c r="BG143" i="5"/>
  <c r="Q143" i="5" s="1"/>
  <c r="BB143" i="5"/>
  <c r="N143" i="5" s="1"/>
  <c r="AL143" i="5"/>
  <c r="H143" i="5" s="1"/>
  <c r="AT143" i="5"/>
  <c r="K143" i="5" s="1"/>
  <c r="BG76" i="5"/>
  <c r="Q76" i="5" s="1"/>
  <c r="BB76" i="5"/>
  <c r="N76" i="5" s="1"/>
  <c r="AT76" i="5"/>
  <c r="K76" i="5" s="1"/>
  <c r="AL76" i="5"/>
  <c r="H76" i="5" s="1"/>
  <c r="BG204" i="5"/>
  <c r="Q204" i="5" s="1"/>
  <c r="BB204" i="5"/>
  <c r="N204" i="5" s="1"/>
  <c r="AT204" i="5"/>
  <c r="K204" i="5" s="1"/>
  <c r="AL204" i="5"/>
  <c r="AO204" i="5" s="1"/>
  <c r="AN204" i="5" s="1"/>
  <c r="AM204" i="5" s="1"/>
  <c r="J204" i="5" s="1"/>
  <c r="BG153" i="5"/>
  <c r="Q153" i="5" s="1"/>
  <c r="AT153" i="5"/>
  <c r="K153" i="5" s="1"/>
  <c r="AL153" i="5"/>
  <c r="H153" i="5" s="1"/>
  <c r="BB153" i="5"/>
  <c r="N153" i="5" s="1"/>
  <c r="AE102" i="5"/>
  <c r="AH102" i="5" s="1"/>
  <c r="AG102" i="5" s="1"/>
  <c r="AF102" i="5" s="1"/>
  <c r="G102" i="5" s="1"/>
  <c r="BG102" i="5"/>
  <c r="Q102" i="5" s="1"/>
  <c r="BB102" i="5"/>
  <c r="N102" i="5" s="1"/>
  <c r="AL102" i="5"/>
  <c r="AO102" i="5" s="1"/>
  <c r="AN102" i="5" s="1"/>
  <c r="AM102" i="5" s="1"/>
  <c r="J102" i="5" s="1"/>
  <c r="AT102" i="5"/>
  <c r="K102" i="5" s="1"/>
  <c r="AE198" i="5"/>
  <c r="BB198" i="5"/>
  <c r="N198" i="5" s="1"/>
  <c r="BG198" i="5"/>
  <c r="Q198" i="5" s="1"/>
  <c r="AL198" i="5"/>
  <c r="H198" i="5" s="1"/>
  <c r="AT198" i="5"/>
  <c r="AW198" i="5" s="1"/>
  <c r="AV198" i="5" s="1"/>
  <c r="AU198" i="5" s="1"/>
  <c r="M198" i="5" s="1"/>
  <c r="AE41" i="5"/>
  <c r="BG41" i="5"/>
  <c r="Q41" i="5" s="1"/>
  <c r="AT41" i="5"/>
  <c r="K41" i="5" s="1"/>
  <c r="BB41" i="5"/>
  <c r="BE41" i="5" s="1"/>
  <c r="BD41" i="5" s="1"/>
  <c r="BC41" i="5" s="1"/>
  <c r="P41" i="5" s="1"/>
  <c r="AL41" i="5"/>
  <c r="H41" i="5" s="1"/>
  <c r="AE29" i="5"/>
  <c r="AH29" i="5" s="1"/>
  <c r="AG29" i="5" s="1"/>
  <c r="AF29" i="5" s="1"/>
  <c r="G29" i="5" s="1"/>
  <c r="BG29" i="5"/>
  <c r="Q29" i="5" s="1"/>
  <c r="BB29" i="5"/>
  <c r="N29" i="5" s="1"/>
  <c r="AT29" i="5"/>
  <c r="K29" i="5" s="1"/>
  <c r="AL29" i="5"/>
  <c r="AO29" i="5" s="1"/>
  <c r="AN29" i="5" s="1"/>
  <c r="AM29" i="5" s="1"/>
  <c r="J29" i="5" s="1"/>
  <c r="BG83" i="5"/>
  <c r="Q83" i="5" s="1"/>
  <c r="BB83" i="5"/>
  <c r="N83" i="5" s="1"/>
  <c r="AT83" i="5"/>
  <c r="K83" i="5" s="1"/>
  <c r="AL83" i="5"/>
  <c r="H83" i="5" s="1"/>
  <c r="BG173" i="5"/>
  <c r="Q173" i="5" s="1"/>
  <c r="BB173" i="5"/>
  <c r="N173" i="5" s="1"/>
  <c r="AT173" i="5"/>
  <c r="AW173" i="5" s="1"/>
  <c r="AV173" i="5" s="1"/>
  <c r="AU173" i="5" s="1"/>
  <c r="M173" i="5" s="1"/>
  <c r="AL173" i="5"/>
  <c r="H173" i="5" s="1"/>
  <c r="BG178" i="5"/>
  <c r="Q178" i="5" s="1"/>
  <c r="AT178" i="5"/>
  <c r="AW178" i="5" s="1"/>
  <c r="AV178" i="5" s="1"/>
  <c r="AU178" i="5" s="1"/>
  <c r="M178" i="5" s="1"/>
  <c r="AL178" i="5"/>
  <c r="AO178" i="5" s="1"/>
  <c r="AN178" i="5" s="1"/>
  <c r="AM178" i="5" s="1"/>
  <c r="J178" i="5" s="1"/>
  <c r="BB178" i="5"/>
  <c r="N178" i="5" s="1"/>
  <c r="AE113" i="5"/>
  <c r="E113" i="5" s="1"/>
  <c r="BG113" i="5"/>
  <c r="Q113" i="5" s="1"/>
  <c r="BB113" i="5"/>
  <c r="BE113" i="5" s="1"/>
  <c r="BD113" i="5" s="1"/>
  <c r="BC113" i="5" s="1"/>
  <c r="P113" i="5" s="1"/>
  <c r="AT113" i="5"/>
  <c r="K113" i="5" s="1"/>
  <c r="AL113" i="5"/>
  <c r="H113" i="5" s="1"/>
  <c r="BG205" i="5"/>
  <c r="Q205" i="5" s="1"/>
  <c r="BB205" i="5"/>
  <c r="BE205" i="5" s="1"/>
  <c r="BD205" i="5" s="1"/>
  <c r="BC205" i="5" s="1"/>
  <c r="P205" i="5" s="1"/>
  <c r="AT205" i="5"/>
  <c r="K205" i="5" s="1"/>
  <c r="AL205" i="5"/>
  <c r="H205" i="5" s="1"/>
  <c r="BG163" i="5"/>
  <c r="Q163" i="5" s="1"/>
  <c r="BB163" i="5"/>
  <c r="N163" i="5" s="1"/>
  <c r="AT163" i="5"/>
  <c r="AW163" i="5" s="1"/>
  <c r="AV163" i="5" s="1"/>
  <c r="AU163" i="5" s="1"/>
  <c r="M163" i="5" s="1"/>
  <c r="AL163" i="5"/>
  <c r="AO163" i="5" s="1"/>
  <c r="AN163" i="5" s="1"/>
  <c r="AM163" i="5" s="1"/>
  <c r="J163" i="5" s="1"/>
  <c r="AE193" i="5"/>
  <c r="AH193" i="5" s="1"/>
  <c r="AG193" i="5" s="1"/>
  <c r="AF193" i="5" s="1"/>
  <c r="G193" i="5" s="1"/>
  <c r="BG193" i="5"/>
  <c r="Q193" i="5" s="1"/>
  <c r="BB193" i="5"/>
  <c r="BE193" i="5" s="1"/>
  <c r="BD193" i="5" s="1"/>
  <c r="BC193" i="5" s="1"/>
  <c r="P193" i="5" s="1"/>
  <c r="AT193" i="5"/>
  <c r="K193" i="5" s="1"/>
  <c r="AL193" i="5"/>
  <c r="AO193" i="5" s="1"/>
  <c r="AN193" i="5" s="1"/>
  <c r="AM193" i="5" s="1"/>
  <c r="J193" i="5" s="1"/>
  <c r="AE107" i="5"/>
  <c r="E107" i="5" s="1"/>
  <c r="BG107" i="5"/>
  <c r="Q107" i="5" s="1"/>
  <c r="BB107" i="5"/>
  <c r="N107" i="5" s="1"/>
  <c r="AT107" i="5"/>
  <c r="AW107" i="5" s="1"/>
  <c r="AV107" i="5" s="1"/>
  <c r="AU107" i="5" s="1"/>
  <c r="M107" i="5" s="1"/>
  <c r="AL107" i="5"/>
  <c r="AO107" i="5" s="1"/>
  <c r="AN107" i="5" s="1"/>
  <c r="AM107" i="5" s="1"/>
  <c r="J107" i="5" s="1"/>
  <c r="BG33" i="5"/>
  <c r="Q33" i="5" s="1"/>
  <c r="AT33" i="5"/>
  <c r="K33" i="5" s="1"/>
  <c r="BB33" i="5"/>
  <c r="BE33" i="5" s="1"/>
  <c r="BD33" i="5" s="1"/>
  <c r="BC33" i="5" s="1"/>
  <c r="P33" i="5" s="1"/>
  <c r="AL33" i="5"/>
  <c r="H33" i="5" s="1"/>
  <c r="BG189" i="5"/>
  <c r="Q189" i="5" s="1"/>
  <c r="BB189" i="5"/>
  <c r="BE189" i="5" s="1"/>
  <c r="BD189" i="5" s="1"/>
  <c r="BC189" i="5" s="1"/>
  <c r="P189" i="5" s="1"/>
  <c r="AT189" i="5"/>
  <c r="AW189" i="5" s="1"/>
  <c r="AV189" i="5" s="1"/>
  <c r="AU189" i="5" s="1"/>
  <c r="M189" i="5" s="1"/>
  <c r="AL189" i="5"/>
  <c r="H189" i="5" s="1"/>
  <c r="BG111" i="5"/>
  <c r="Q111" i="5" s="1"/>
  <c r="BB111" i="5"/>
  <c r="BE111" i="5" s="1"/>
  <c r="BD111" i="5" s="1"/>
  <c r="BC111" i="5" s="1"/>
  <c r="P111" i="5" s="1"/>
  <c r="AL111" i="5"/>
  <c r="H111" i="5" s="1"/>
  <c r="AT111" i="5"/>
  <c r="AW111" i="5" s="1"/>
  <c r="AV111" i="5" s="1"/>
  <c r="AU111" i="5" s="1"/>
  <c r="M111" i="5" s="1"/>
  <c r="BG186" i="5"/>
  <c r="Q186" i="5" s="1"/>
  <c r="AT186" i="5"/>
  <c r="K186" i="5" s="1"/>
  <c r="BB186" i="5"/>
  <c r="N186" i="5" s="1"/>
  <c r="AL186" i="5"/>
  <c r="AO186" i="5" s="1"/>
  <c r="AN186" i="5" s="1"/>
  <c r="AM186" i="5" s="1"/>
  <c r="J186" i="5" s="1"/>
  <c r="AE199" i="5"/>
  <c r="BG199" i="5"/>
  <c r="Q199" i="5" s="1"/>
  <c r="BB199" i="5"/>
  <c r="AL199" i="5"/>
  <c r="AT199" i="5"/>
  <c r="AE166" i="5"/>
  <c r="E166" i="5" s="1"/>
  <c r="BG166" i="5"/>
  <c r="Q166" i="5" s="1"/>
  <c r="BB166" i="5"/>
  <c r="BE166" i="5" s="1"/>
  <c r="BD166" i="5" s="1"/>
  <c r="BC166" i="5" s="1"/>
  <c r="P166" i="5" s="1"/>
  <c r="AL166" i="5"/>
  <c r="H166" i="5" s="1"/>
  <c r="AT166" i="5"/>
  <c r="K166" i="5" s="1"/>
  <c r="AE168" i="5"/>
  <c r="E168" i="5" s="1"/>
  <c r="BB168" i="5"/>
  <c r="N168" i="5" s="1"/>
  <c r="AT168" i="5"/>
  <c r="K168" i="5" s="1"/>
  <c r="AL168" i="5"/>
  <c r="BG168" i="5"/>
  <c r="Q168" i="5" s="1"/>
  <c r="BG124" i="5"/>
  <c r="Q124" i="5" s="1"/>
  <c r="BB124" i="5"/>
  <c r="N124" i="5" s="1"/>
  <c r="AT124" i="5"/>
  <c r="K124" i="5" s="1"/>
  <c r="AL124" i="5"/>
  <c r="H124" i="5" s="1"/>
  <c r="AT120" i="5"/>
  <c r="K120" i="5" s="1"/>
  <c r="BB120" i="5"/>
  <c r="BE120" i="5" s="1"/>
  <c r="BD120" i="5" s="1"/>
  <c r="BC120" i="5" s="1"/>
  <c r="P120" i="5" s="1"/>
  <c r="BG120" i="5"/>
  <c r="Q120" i="5" s="1"/>
  <c r="AL120" i="5"/>
  <c r="H120" i="5" s="1"/>
  <c r="BG127" i="5"/>
  <c r="Q127" i="5" s="1"/>
  <c r="BB127" i="5"/>
  <c r="N127" i="5" s="1"/>
  <c r="AT127" i="5"/>
  <c r="K127" i="5" s="1"/>
  <c r="AL127" i="5"/>
  <c r="H127" i="5" s="1"/>
  <c r="AE61" i="5"/>
  <c r="BG61" i="5"/>
  <c r="Q61" i="5" s="1"/>
  <c r="BB61" i="5"/>
  <c r="AT61" i="5"/>
  <c r="K61" i="5" s="1"/>
  <c r="AL61" i="5"/>
  <c r="BG15" i="5"/>
  <c r="Q15" i="5" s="1"/>
  <c r="BB15" i="5"/>
  <c r="N15" i="5" s="1"/>
  <c r="AT15" i="5"/>
  <c r="K15" i="5" s="1"/>
  <c r="AL15" i="5"/>
  <c r="AO15" i="5" s="1"/>
  <c r="AN15" i="5" s="1"/>
  <c r="AM15" i="5" s="1"/>
  <c r="J15" i="5" s="1"/>
  <c r="BG78" i="5"/>
  <c r="Q78" i="5" s="1"/>
  <c r="AL78" i="5"/>
  <c r="AO78" i="5" s="1"/>
  <c r="AN78" i="5" s="1"/>
  <c r="AM78" i="5" s="1"/>
  <c r="J78" i="5" s="1"/>
  <c r="AT78" i="5"/>
  <c r="AW78" i="5" s="1"/>
  <c r="AV78" i="5" s="1"/>
  <c r="AU78" i="5" s="1"/>
  <c r="M78" i="5" s="1"/>
  <c r="BB78" i="5"/>
  <c r="N78" i="5" s="1"/>
  <c r="AE159" i="5"/>
  <c r="BG159" i="5"/>
  <c r="Q159" i="5" s="1"/>
  <c r="BB159" i="5"/>
  <c r="AL159" i="5"/>
  <c r="AT159" i="5"/>
  <c r="AE158" i="5"/>
  <c r="AH158" i="5" s="1"/>
  <c r="AG158" i="5" s="1"/>
  <c r="AF158" i="5" s="1"/>
  <c r="G158" i="5" s="1"/>
  <c r="BB158" i="5"/>
  <c r="BE158" i="5" s="1"/>
  <c r="BD158" i="5" s="1"/>
  <c r="BC158" i="5" s="1"/>
  <c r="P158" i="5" s="1"/>
  <c r="BG158" i="5"/>
  <c r="Q158" i="5" s="1"/>
  <c r="AL158" i="5"/>
  <c r="AO158" i="5" s="1"/>
  <c r="AN158" i="5" s="1"/>
  <c r="AM158" i="5" s="1"/>
  <c r="J158" i="5" s="1"/>
  <c r="AT158" i="5"/>
  <c r="AW158" i="5" s="1"/>
  <c r="AV158" i="5" s="1"/>
  <c r="AU158" i="5" s="1"/>
  <c r="M158" i="5" s="1"/>
  <c r="AE89" i="5"/>
  <c r="AH89" i="5" s="1"/>
  <c r="AG89" i="5" s="1"/>
  <c r="AF89" i="5" s="1"/>
  <c r="G89" i="5" s="1"/>
  <c r="BG89" i="5"/>
  <c r="Q89" i="5" s="1"/>
  <c r="BB89" i="5"/>
  <c r="BE89" i="5" s="1"/>
  <c r="BD89" i="5" s="1"/>
  <c r="BC89" i="5" s="1"/>
  <c r="P89" i="5" s="1"/>
  <c r="AT89" i="5"/>
  <c r="AL89" i="5"/>
  <c r="H89" i="5" s="1"/>
  <c r="BG114" i="5"/>
  <c r="Q114" i="5" s="1"/>
  <c r="AT114" i="5"/>
  <c r="K114" i="5" s="1"/>
  <c r="BB114" i="5"/>
  <c r="N114" i="5" s="1"/>
  <c r="AL114" i="5"/>
  <c r="AO114" i="5" s="1"/>
  <c r="AN114" i="5" s="1"/>
  <c r="AM114" i="5" s="1"/>
  <c r="J114" i="5" s="1"/>
  <c r="AE167" i="5"/>
  <c r="E167" i="5" s="1"/>
  <c r="BG167" i="5"/>
  <c r="Q167" i="5" s="1"/>
  <c r="AT167" i="5"/>
  <c r="K167" i="5" s="1"/>
  <c r="AL167" i="5"/>
  <c r="AO167" i="5" s="1"/>
  <c r="AN167" i="5" s="1"/>
  <c r="AM167" i="5" s="1"/>
  <c r="J167" i="5" s="1"/>
  <c r="BB167" i="5"/>
  <c r="BE167" i="5" s="1"/>
  <c r="BD167" i="5" s="1"/>
  <c r="BC167" i="5" s="1"/>
  <c r="P167" i="5" s="1"/>
  <c r="AE160" i="5"/>
  <c r="AT160" i="5"/>
  <c r="AW160" i="5" s="1"/>
  <c r="AV160" i="5" s="1"/>
  <c r="AU160" i="5" s="1"/>
  <c r="M160" i="5" s="1"/>
  <c r="BB160" i="5"/>
  <c r="BG160" i="5"/>
  <c r="Q160" i="5" s="1"/>
  <c r="AL160" i="5"/>
  <c r="H160" i="5" s="1"/>
  <c r="BG195" i="5"/>
  <c r="Q195" i="5" s="1"/>
  <c r="BB195" i="5"/>
  <c r="N195" i="5" s="1"/>
  <c r="AT195" i="5"/>
  <c r="K195" i="5" s="1"/>
  <c r="AL195" i="5"/>
  <c r="AO195" i="5" s="1"/>
  <c r="AN195" i="5" s="1"/>
  <c r="AM195" i="5" s="1"/>
  <c r="J195" i="5" s="1"/>
  <c r="AE162" i="5"/>
  <c r="E162" i="5" s="1"/>
  <c r="BG162" i="5"/>
  <c r="Q162" i="5" s="1"/>
  <c r="AT162" i="5"/>
  <c r="AW162" i="5" s="1"/>
  <c r="AV162" i="5" s="1"/>
  <c r="AU162" i="5" s="1"/>
  <c r="M162" i="5" s="1"/>
  <c r="BB162" i="5"/>
  <c r="N162" i="5" s="1"/>
  <c r="AL162" i="5"/>
  <c r="AO162" i="5" s="1"/>
  <c r="AN162" i="5" s="1"/>
  <c r="AM162" i="5" s="1"/>
  <c r="J162" i="5" s="1"/>
  <c r="BG149" i="5"/>
  <c r="Q149" i="5" s="1"/>
  <c r="BB149" i="5"/>
  <c r="N149" i="5" s="1"/>
  <c r="AT149" i="5"/>
  <c r="K149" i="5" s="1"/>
  <c r="AL149" i="5"/>
  <c r="AO149" i="5" s="1"/>
  <c r="AN149" i="5" s="1"/>
  <c r="AM149" i="5" s="1"/>
  <c r="J149" i="5" s="1"/>
  <c r="AT192" i="5"/>
  <c r="AW192" i="5" s="1"/>
  <c r="AV192" i="5" s="1"/>
  <c r="AU192" i="5" s="1"/>
  <c r="M192" i="5" s="1"/>
  <c r="BG192" i="5"/>
  <c r="Q192" i="5" s="1"/>
  <c r="BB192" i="5"/>
  <c r="N192" i="5" s="1"/>
  <c r="AL192" i="5"/>
  <c r="H192" i="5" s="1"/>
  <c r="BG39" i="5"/>
  <c r="Q39" i="5" s="1"/>
  <c r="BB39" i="5"/>
  <c r="N39" i="5" s="1"/>
  <c r="AT39" i="5"/>
  <c r="AW39" i="5" s="1"/>
  <c r="AV39" i="5" s="1"/>
  <c r="AU39" i="5" s="1"/>
  <c r="M39" i="5" s="1"/>
  <c r="AL39" i="5"/>
  <c r="H39" i="5" s="1"/>
  <c r="AE187" i="5"/>
  <c r="AH187" i="5" s="1"/>
  <c r="AG187" i="5" s="1"/>
  <c r="AF187" i="5" s="1"/>
  <c r="G187" i="5" s="1"/>
  <c r="BG187" i="5"/>
  <c r="Q187" i="5" s="1"/>
  <c r="BB187" i="5"/>
  <c r="AT187" i="5"/>
  <c r="AW187" i="5" s="1"/>
  <c r="AV187" i="5" s="1"/>
  <c r="AU187" i="5" s="1"/>
  <c r="M187" i="5" s="1"/>
  <c r="AL187" i="5"/>
  <c r="AO187" i="5" s="1"/>
  <c r="AN187" i="5" s="1"/>
  <c r="AM187" i="5" s="1"/>
  <c r="J187" i="5" s="1"/>
  <c r="BG100" i="5"/>
  <c r="Q100" i="5" s="1"/>
  <c r="BB100" i="5"/>
  <c r="AT100" i="5"/>
  <c r="K100" i="5" s="1"/>
  <c r="AL100" i="5"/>
  <c r="H100" i="5" s="1"/>
  <c r="BG34" i="5"/>
  <c r="Q34" i="5" s="1"/>
  <c r="BB34" i="5"/>
  <c r="BE34" i="5" s="1"/>
  <c r="BD34" i="5" s="1"/>
  <c r="BC34" i="5" s="1"/>
  <c r="P34" i="5" s="1"/>
  <c r="AT34" i="5"/>
  <c r="K34" i="5" s="1"/>
  <c r="AL34" i="5"/>
  <c r="AO34" i="5" s="1"/>
  <c r="AN34" i="5" s="1"/>
  <c r="AM34" i="5" s="1"/>
  <c r="J34" i="5" s="1"/>
  <c r="AE191" i="5"/>
  <c r="E191" i="5" s="1"/>
  <c r="BG191" i="5"/>
  <c r="Q191" i="5" s="1"/>
  <c r="BB191" i="5"/>
  <c r="N191" i="5" s="1"/>
  <c r="AT191" i="5"/>
  <c r="K191" i="5" s="1"/>
  <c r="AL191" i="5"/>
  <c r="H191" i="5" s="1"/>
  <c r="BG59" i="5"/>
  <c r="Q59" i="5" s="1"/>
  <c r="BB59" i="5"/>
  <c r="N59" i="5" s="1"/>
  <c r="AT59" i="5"/>
  <c r="AW59" i="5" s="1"/>
  <c r="AV59" i="5" s="1"/>
  <c r="AU59" i="5" s="1"/>
  <c r="M59" i="5" s="1"/>
  <c r="AL59" i="5"/>
  <c r="AO59" i="5" s="1"/>
  <c r="AN59" i="5" s="1"/>
  <c r="AM59" i="5" s="1"/>
  <c r="J59" i="5" s="1"/>
  <c r="BG71" i="5"/>
  <c r="Q71" i="5" s="1"/>
  <c r="BB71" i="5"/>
  <c r="BE71" i="5" s="1"/>
  <c r="BD71" i="5" s="1"/>
  <c r="BC71" i="5" s="1"/>
  <c r="P71" i="5" s="1"/>
  <c r="AL71" i="5"/>
  <c r="AO71" i="5" s="1"/>
  <c r="AN71" i="5" s="1"/>
  <c r="AM71" i="5" s="1"/>
  <c r="J71" i="5" s="1"/>
  <c r="AT71" i="5"/>
  <c r="AW71" i="5" s="1"/>
  <c r="AV71" i="5" s="1"/>
  <c r="AU71" i="5" s="1"/>
  <c r="M71" i="5" s="1"/>
  <c r="BG125" i="5"/>
  <c r="Q125" i="5" s="1"/>
  <c r="BB125" i="5"/>
  <c r="BE125" i="5" s="1"/>
  <c r="BD125" i="5" s="1"/>
  <c r="BC125" i="5" s="1"/>
  <c r="P125" i="5" s="1"/>
  <c r="AT125" i="5"/>
  <c r="K125" i="5" s="1"/>
  <c r="AL125" i="5"/>
  <c r="H125" i="5" s="1"/>
  <c r="BG80" i="5"/>
  <c r="Q80" i="5" s="1"/>
  <c r="BB80" i="5"/>
  <c r="N80" i="5" s="1"/>
  <c r="AT80" i="5"/>
  <c r="K80" i="5" s="1"/>
  <c r="AL80" i="5"/>
  <c r="H80" i="5" s="1"/>
  <c r="BG91" i="5"/>
  <c r="Q91" i="5" s="1"/>
  <c r="BB91" i="5"/>
  <c r="BE91" i="5" s="1"/>
  <c r="BD91" i="5" s="1"/>
  <c r="BC91" i="5" s="1"/>
  <c r="P91" i="5" s="1"/>
  <c r="AT91" i="5"/>
  <c r="K91" i="5" s="1"/>
  <c r="AL91" i="5"/>
  <c r="AO91" i="5" s="1"/>
  <c r="AN91" i="5" s="1"/>
  <c r="AM91" i="5" s="1"/>
  <c r="J91" i="5" s="1"/>
  <c r="AE131" i="5"/>
  <c r="E131" i="5" s="1"/>
  <c r="BG131" i="5"/>
  <c r="Q131" i="5" s="1"/>
  <c r="BB131" i="5"/>
  <c r="N131" i="5" s="1"/>
  <c r="AT131" i="5"/>
  <c r="K131" i="5" s="1"/>
  <c r="AL131" i="5"/>
  <c r="H131" i="5" s="1"/>
  <c r="AE177" i="5"/>
  <c r="E177" i="5" s="1"/>
  <c r="BG177" i="5"/>
  <c r="Q177" i="5" s="1"/>
  <c r="BB177" i="5"/>
  <c r="N177" i="5" s="1"/>
  <c r="AT177" i="5"/>
  <c r="K177" i="5" s="1"/>
  <c r="AL177" i="5"/>
  <c r="H177" i="5" s="1"/>
  <c r="BG130" i="5"/>
  <c r="Q130" i="5" s="1"/>
  <c r="BB130" i="5"/>
  <c r="BE130" i="5" s="1"/>
  <c r="BD130" i="5" s="1"/>
  <c r="BC130" i="5" s="1"/>
  <c r="P130" i="5" s="1"/>
  <c r="AT130" i="5"/>
  <c r="AW130" i="5" s="1"/>
  <c r="AV130" i="5" s="1"/>
  <c r="AU130" i="5" s="1"/>
  <c r="M130" i="5" s="1"/>
  <c r="AL130" i="5"/>
  <c r="AO130" i="5" s="1"/>
  <c r="AN130" i="5" s="1"/>
  <c r="AM130" i="5" s="1"/>
  <c r="J130" i="5" s="1"/>
  <c r="BG116" i="5"/>
  <c r="Q116" i="5" s="1"/>
  <c r="BB116" i="5"/>
  <c r="N116" i="5" s="1"/>
  <c r="AT116" i="5"/>
  <c r="AW116" i="5" s="1"/>
  <c r="AV116" i="5" s="1"/>
  <c r="AU116" i="5" s="1"/>
  <c r="M116" i="5" s="1"/>
  <c r="AL116" i="5"/>
  <c r="H116" i="5" s="1"/>
  <c r="BG123" i="5"/>
  <c r="Q123" i="5" s="1"/>
  <c r="BB123" i="5"/>
  <c r="N123" i="5" s="1"/>
  <c r="AT123" i="5"/>
  <c r="K123" i="5" s="1"/>
  <c r="AL123" i="5"/>
  <c r="AO123" i="5" s="1"/>
  <c r="AN123" i="5" s="1"/>
  <c r="AM123" i="5" s="1"/>
  <c r="J123" i="5" s="1"/>
  <c r="BG103" i="5"/>
  <c r="Q103" i="5" s="1"/>
  <c r="AT103" i="5"/>
  <c r="K103" i="5" s="1"/>
  <c r="BB103" i="5"/>
  <c r="N103" i="5" s="1"/>
  <c r="AL103" i="5"/>
  <c r="BG137" i="5"/>
  <c r="Q137" i="5" s="1"/>
  <c r="BB137" i="5"/>
  <c r="BE137" i="5" s="1"/>
  <c r="BD137" i="5" s="1"/>
  <c r="BC137" i="5" s="1"/>
  <c r="P137" i="5" s="1"/>
  <c r="AL137" i="5"/>
  <c r="H137" i="5" s="1"/>
  <c r="AT137" i="5"/>
  <c r="K137" i="5" s="1"/>
  <c r="BG22" i="5"/>
  <c r="Q22" i="5" s="1"/>
  <c r="BB22" i="5"/>
  <c r="BE22" i="5" s="1"/>
  <c r="BD22" i="5" s="1"/>
  <c r="BC22" i="5" s="1"/>
  <c r="P22" i="5" s="1"/>
  <c r="AT22" i="5"/>
  <c r="AW22" i="5" s="1"/>
  <c r="AV22" i="5" s="1"/>
  <c r="AU22" i="5" s="1"/>
  <c r="M22" i="5" s="1"/>
  <c r="AL22" i="5"/>
  <c r="H22" i="5" s="1"/>
  <c r="AT184" i="5"/>
  <c r="K184" i="5" s="1"/>
  <c r="BB184" i="5"/>
  <c r="N184" i="5" s="1"/>
  <c r="BG184" i="5"/>
  <c r="Q184" i="5" s="1"/>
  <c r="AL184" i="5"/>
  <c r="H184" i="5" s="1"/>
  <c r="BG188" i="5"/>
  <c r="Q188" i="5" s="1"/>
  <c r="BB188" i="5"/>
  <c r="BE188" i="5" s="1"/>
  <c r="BD188" i="5" s="1"/>
  <c r="BC188" i="5" s="1"/>
  <c r="P188" i="5" s="1"/>
  <c r="AT188" i="5"/>
  <c r="AW188" i="5" s="1"/>
  <c r="AV188" i="5" s="1"/>
  <c r="AU188" i="5" s="1"/>
  <c r="M188" i="5" s="1"/>
  <c r="AL188" i="5"/>
  <c r="H188" i="5" s="1"/>
  <c r="BG194" i="5"/>
  <c r="Q194" i="5" s="1"/>
  <c r="BB194" i="5"/>
  <c r="N194" i="5" s="1"/>
  <c r="AT194" i="5"/>
  <c r="K194" i="5" s="1"/>
  <c r="AL194" i="5"/>
  <c r="H194" i="5" s="1"/>
  <c r="AE175" i="5"/>
  <c r="AH175" i="5" s="1"/>
  <c r="AG175" i="5" s="1"/>
  <c r="AF175" i="5" s="1"/>
  <c r="G175" i="5" s="1"/>
  <c r="AE186" i="5"/>
  <c r="E186" i="5" s="1"/>
  <c r="AE68" i="5"/>
  <c r="E68" i="5" s="1"/>
  <c r="AE201" i="5"/>
  <c r="AH201" i="5" s="1"/>
  <c r="AG201" i="5" s="1"/>
  <c r="AF201" i="5" s="1"/>
  <c r="G201" i="5" s="1"/>
  <c r="AE128" i="5"/>
  <c r="E128" i="5" s="1"/>
  <c r="AE96" i="5"/>
  <c r="E96" i="5" s="1"/>
  <c r="AE72" i="5"/>
  <c r="AH72" i="5" s="1"/>
  <c r="AG72" i="5" s="1"/>
  <c r="AF72" i="5" s="1"/>
  <c r="G72" i="5" s="1"/>
  <c r="AE153" i="5"/>
  <c r="AH153" i="5" s="1"/>
  <c r="AG153" i="5" s="1"/>
  <c r="AF153" i="5" s="1"/>
  <c r="G153" i="5" s="1"/>
  <c r="AE204" i="5"/>
  <c r="AH204" i="5" s="1"/>
  <c r="AG204" i="5" s="1"/>
  <c r="AF204" i="5" s="1"/>
  <c r="G204" i="5" s="1"/>
  <c r="AE76" i="5"/>
  <c r="E76" i="5" s="1"/>
  <c r="AE174" i="5"/>
  <c r="AH174" i="5" s="1"/>
  <c r="AG174" i="5" s="1"/>
  <c r="AF174" i="5" s="1"/>
  <c r="G174" i="5" s="1"/>
  <c r="AE27" i="5"/>
  <c r="E27" i="5" s="1"/>
  <c r="AE122" i="5"/>
  <c r="E122" i="5" s="1"/>
  <c r="AE105" i="5"/>
  <c r="E105" i="5" s="1"/>
  <c r="AE83" i="5"/>
  <c r="E83" i="5" s="1"/>
  <c r="AE106" i="5"/>
  <c r="E106" i="5" s="1"/>
  <c r="AE114" i="5"/>
  <c r="AH114" i="5" s="1"/>
  <c r="AG114" i="5" s="1"/>
  <c r="AF114" i="5" s="1"/>
  <c r="G114" i="5" s="1"/>
  <c r="AE129" i="5"/>
  <c r="AH129" i="5" s="1"/>
  <c r="AG129" i="5" s="1"/>
  <c r="AF129" i="5" s="1"/>
  <c r="G129" i="5" s="1"/>
  <c r="AE21" i="5"/>
  <c r="AH21" i="5" s="1"/>
  <c r="AG21" i="5" s="1"/>
  <c r="AF21" i="5" s="1"/>
  <c r="G21" i="5" s="1"/>
  <c r="AE81" i="5"/>
  <c r="E81" i="5" s="1"/>
  <c r="AE38" i="5"/>
  <c r="E38" i="5" s="1"/>
  <c r="AE163" i="5"/>
  <c r="E163" i="5" s="1"/>
  <c r="AE130" i="5"/>
  <c r="E130" i="5" s="1"/>
  <c r="AE16" i="5"/>
  <c r="E16" i="5" s="1"/>
  <c r="AE87" i="5"/>
  <c r="AH87" i="5" s="1"/>
  <c r="AG87" i="5" s="1"/>
  <c r="AF87" i="5" s="1"/>
  <c r="G87" i="5" s="1"/>
  <c r="AE171" i="5"/>
  <c r="E171" i="5" s="1"/>
  <c r="AE99" i="5"/>
  <c r="E99" i="5" s="1"/>
  <c r="AE150" i="5"/>
  <c r="AE195" i="5"/>
  <c r="E195" i="5" s="1"/>
  <c r="AE78" i="5"/>
  <c r="E78" i="5" s="1"/>
  <c r="AE154" i="5"/>
  <c r="AH154" i="5" s="1"/>
  <c r="AG154" i="5" s="1"/>
  <c r="AF154" i="5" s="1"/>
  <c r="G154" i="5" s="1"/>
  <c r="AE17" i="5"/>
  <c r="E17" i="5" s="1"/>
  <c r="AE180" i="5"/>
  <c r="AH180" i="5" s="1"/>
  <c r="AG180" i="5" s="1"/>
  <c r="AF180" i="5" s="1"/>
  <c r="G180" i="5" s="1"/>
  <c r="AE71" i="5"/>
  <c r="E71" i="5" s="1"/>
  <c r="AE140" i="5"/>
  <c r="E140" i="5" s="1"/>
  <c r="AE91" i="5"/>
  <c r="AH91" i="5" s="1"/>
  <c r="AG91" i="5" s="1"/>
  <c r="AF91" i="5" s="1"/>
  <c r="G91" i="5" s="1"/>
  <c r="AE47" i="5"/>
  <c r="AH47" i="5" s="1"/>
  <c r="AG47" i="5" s="1"/>
  <c r="AF47" i="5" s="1"/>
  <c r="G47" i="5" s="1"/>
  <c r="AE64" i="5"/>
  <c r="E64" i="5" s="1"/>
  <c r="AE104" i="5"/>
  <c r="E104" i="5" s="1"/>
  <c r="AE116" i="5"/>
  <c r="E116" i="5" s="1"/>
  <c r="AE196" i="5"/>
  <c r="E196" i="5" s="1"/>
  <c r="AE189" i="5"/>
  <c r="AH189" i="5" s="1"/>
  <c r="AG189" i="5" s="1"/>
  <c r="AF189" i="5" s="1"/>
  <c r="G189" i="5" s="1"/>
  <c r="AE22" i="5"/>
  <c r="E22" i="5" s="1"/>
  <c r="AE118" i="5"/>
  <c r="E118" i="5" s="1"/>
  <c r="AE62" i="5"/>
  <c r="E62" i="5" s="1"/>
  <c r="AE25" i="5"/>
  <c r="E25" i="5" s="1"/>
  <c r="AE124" i="5"/>
  <c r="E124" i="5" s="1"/>
  <c r="AE59" i="5"/>
  <c r="E59" i="5" s="1"/>
  <c r="AE125" i="5"/>
  <c r="AE132" i="5"/>
  <c r="AE139" i="5"/>
  <c r="E139" i="5" s="1"/>
  <c r="AE135" i="5"/>
  <c r="E135" i="5" s="1"/>
  <c r="AE63" i="5"/>
  <c r="E63" i="5" s="1"/>
  <c r="AE136" i="5"/>
  <c r="E136" i="5" s="1"/>
  <c r="AE52" i="5"/>
  <c r="AH52" i="5" s="1"/>
  <c r="AG52" i="5" s="1"/>
  <c r="AF52" i="5" s="1"/>
  <c r="G52" i="5" s="1"/>
  <c r="AE184" i="5"/>
  <c r="E184" i="5" s="1"/>
  <c r="AE37" i="5"/>
  <c r="E37" i="5" s="1"/>
  <c r="AE95" i="5"/>
  <c r="AH95" i="5" s="1"/>
  <c r="AG95" i="5" s="1"/>
  <c r="AF95" i="5" s="1"/>
  <c r="G95" i="5" s="1"/>
  <c r="AE55" i="5"/>
  <c r="E55" i="5" s="1"/>
  <c r="AE143" i="5"/>
  <c r="AH143" i="5" s="1"/>
  <c r="AG143" i="5" s="1"/>
  <c r="AF143" i="5" s="1"/>
  <c r="G143" i="5" s="1"/>
  <c r="AE28" i="5"/>
  <c r="AH28" i="5" s="1"/>
  <c r="AG28" i="5" s="1"/>
  <c r="AF28" i="5" s="1"/>
  <c r="G28" i="5" s="1"/>
  <c r="AE169" i="5"/>
  <c r="AH169" i="5" s="1"/>
  <c r="AG169" i="5" s="1"/>
  <c r="AF169" i="5" s="1"/>
  <c r="G169" i="5" s="1"/>
  <c r="AE205" i="5"/>
  <c r="AH205" i="5" s="1"/>
  <c r="AG205" i="5" s="1"/>
  <c r="AF205" i="5" s="1"/>
  <c r="G205" i="5" s="1"/>
  <c r="AE50" i="5"/>
  <c r="E50" i="5" s="1"/>
  <c r="AE190" i="5"/>
  <c r="E190" i="5" s="1"/>
  <c r="AE137" i="5"/>
  <c r="E137" i="5" s="1"/>
  <c r="AE111" i="5"/>
  <c r="E111" i="5" s="1"/>
  <c r="AE188" i="5"/>
  <c r="AH188" i="5" s="1"/>
  <c r="AG188" i="5" s="1"/>
  <c r="AF188" i="5" s="1"/>
  <c r="G188" i="5" s="1"/>
  <c r="AE194" i="5"/>
  <c r="AH194" i="5" s="1"/>
  <c r="AG194" i="5" s="1"/>
  <c r="AF194" i="5" s="1"/>
  <c r="G194" i="5" s="1"/>
  <c r="AE127" i="5"/>
  <c r="AH127" i="5" s="1"/>
  <c r="AG127" i="5" s="1"/>
  <c r="AF127" i="5" s="1"/>
  <c r="G127" i="5" s="1"/>
  <c r="AE145" i="5"/>
  <c r="E145" i="5" s="1"/>
  <c r="AE103" i="5"/>
  <c r="E103" i="5" s="1"/>
  <c r="AE33" i="5"/>
  <c r="E33" i="5" s="1"/>
  <c r="AE192" i="5"/>
  <c r="AH192" i="5" s="1"/>
  <c r="AG192" i="5" s="1"/>
  <c r="AF192" i="5" s="1"/>
  <c r="G192" i="5" s="1"/>
  <c r="AE157" i="5"/>
  <c r="E157" i="5" s="1"/>
  <c r="AE156" i="5"/>
  <c r="AE149" i="5"/>
  <c r="AH149" i="5" s="1"/>
  <c r="AG149" i="5" s="1"/>
  <c r="AF149" i="5" s="1"/>
  <c r="G149" i="5" s="1"/>
  <c r="AE203" i="5"/>
  <c r="E203" i="5" s="1"/>
  <c r="AE39" i="5"/>
  <c r="AH39" i="5" s="1"/>
  <c r="AG39" i="5" s="1"/>
  <c r="AF39" i="5" s="1"/>
  <c r="G39" i="5" s="1"/>
  <c r="AE100" i="5"/>
  <c r="E100" i="5" s="1"/>
  <c r="AE34" i="5"/>
  <c r="E34" i="5" s="1"/>
  <c r="AE173" i="5"/>
  <c r="AH173" i="5" s="1"/>
  <c r="AG173" i="5" s="1"/>
  <c r="AF173" i="5" s="1"/>
  <c r="G173" i="5" s="1"/>
  <c r="AE120" i="5"/>
  <c r="E120" i="5" s="1"/>
  <c r="AE170" i="5"/>
  <c r="AE178" i="5"/>
  <c r="E178" i="5" s="1"/>
  <c r="AE31" i="5"/>
  <c r="E31" i="5" s="1"/>
  <c r="AE80" i="5"/>
  <c r="E80" i="5" s="1"/>
  <c r="AE15" i="5"/>
  <c r="E15" i="5" s="1"/>
  <c r="AE18" i="5"/>
  <c r="E18" i="5" s="1"/>
  <c r="AE123" i="5"/>
  <c r="AH123" i="5" s="1"/>
  <c r="AG123" i="5" s="1"/>
  <c r="AF123" i="5" s="1"/>
  <c r="G123" i="5" s="1"/>
  <c r="AE77" i="5"/>
  <c r="E77" i="5" s="1"/>
  <c r="AE84" i="5"/>
  <c r="E84" i="5" s="1"/>
  <c r="AE182" i="5"/>
  <c r="E182" i="5" s="1"/>
  <c r="AE23" i="5"/>
  <c r="AH23" i="5" s="1"/>
  <c r="AG23" i="5" s="1"/>
  <c r="AF23" i="5" s="1"/>
  <c r="G23" i="5" s="1"/>
  <c r="A15" i="5"/>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BE164" i="5"/>
  <c r="BD164" i="5" s="1"/>
  <c r="BC164" i="5" s="1"/>
  <c r="P164" i="5" s="1"/>
  <c r="N70" i="5"/>
  <c r="N126" i="5"/>
  <c r="K45" i="5"/>
  <c r="BE45" i="5"/>
  <c r="BD45" i="5" s="1"/>
  <c r="BC45" i="5" s="1"/>
  <c r="P45" i="5" s="1"/>
  <c r="AO164" i="5"/>
  <c r="AN164" i="5" s="1"/>
  <c r="AM164" i="5" s="1"/>
  <c r="J164" i="5" s="1"/>
  <c r="E164" i="5"/>
  <c r="AH45" i="5"/>
  <c r="AG45" i="5" s="1"/>
  <c r="AF45" i="5" s="1"/>
  <c r="G45" i="5" s="1"/>
  <c r="K126" i="5"/>
  <c r="AW60" i="5"/>
  <c r="AV60" i="5" s="1"/>
  <c r="AU60" i="5" s="1"/>
  <c r="M60" i="5" s="1"/>
  <c r="AH88" i="5"/>
  <c r="AG88" i="5" s="1"/>
  <c r="AF88" i="5" s="1"/>
  <c r="G88" i="5" s="1"/>
  <c r="BE142" i="5"/>
  <c r="BD142" i="5" s="1"/>
  <c r="BC142" i="5" s="1"/>
  <c r="P142" i="5" s="1"/>
  <c r="AO88" i="5"/>
  <c r="AN88" i="5" s="1"/>
  <c r="AM88" i="5" s="1"/>
  <c r="J88" i="5" s="1"/>
  <c r="AW161" i="5"/>
  <c r="AV161" i="5" s="1"/>
  <c r="AU161" i="5" s="1"/>
  <c r="M161" i="5" s="1"/>
  <c r="E126" i="5"/>
  <c r="AW88" i="5"/>
  <c r="AV88" i="5" s="1"/>
  <c r="AU88" i="5" s="1"/>
  <c r="M88" i="5" s="1"/>
  <c r="AO36" i="5"/>
  <c r="AN36" i="5" s="1"/>
  <c r="AM36" i="5" s="1"/>
  <c r="J36" i="5" s="1"/>
  <c r="AW94" i="5"/>
  <c r="AV94" i="5" s="1"/>
  <c r="AU94" i="5" s="1"/>
  <c r="M94" i="5" s="1"/>
  <c r="AO161" i="5"/>
  <c r="AN161" i="5" s="1"/>
  <c r="AM161" i="5" s="1"/>
  <c r="J161" i="5" s="1"/>
  <c r="AW49" i="5"/>
  <c r="AV49" i="5" s="1"/>
  <c r="AU49" i="5" s="1"/>
  <c r="M49" i="5" s="1"/>
  <c r="N44" i="5"/>
  <c r="AH60" i="5"/>
  <c r="AG60" i="5" s="1"/>
  <c r="AF60" i="5" s="1"/>
  <c r="G60" i="5" s="1"/>
  <c r="BE101" i="5"/>
  <c r="BD101" i="5" s="1"/>
  <c r="BC101" i="5" s="1"/>
  <c r="P101" i="5" s="1"/>
  <c r="AO90" i="5"/>
  <c r="AN90" i="5" s="1"/>
  <c r="AM90" i="5" s="1"/>
  <c r="J90" i="5" s="1"/>
  <c r="K9" i="5"/>
  <c r="K176" i="5"/>
  <c r="AW70" i="5"/>
  <c r="AV70" i="5" s="1"/>
  <c r="AU70" i="5" s="1"/>
  <c r="M70" i="5" s="1"/>
  <c r="N49" i="5"/>
  <c r="AH172" i="5"/>
  <c r="AG172" i="5" s="1"/>
  <c r="AF172" i="5" s="1"/>
  <c r="G172" i="5" s="1"/>
  <c r="AO142" i="5"/>
  <c r="AN142" i="5" s="1"/>
  <c r="AM142" i="5" s="1"/>
  <c r="J142" i="5" s="1"/>
  <c r="AH53" i="5"/>
  <c r="AG53" i="5" s="1"/>
  <c r="AF53" i="5" s="1"/>
  <c r="G53" i="5" s="1"/>
  <c r="BE82" i="5"/>
  <c r="BD82" i="5" s="1"/>
  <c r="BC82" i="5" s="1"/>
  <c r="P82" i="5" s="1"/>
  <c r="E58" i="5"/>
  <c r="AO70" i="5"/>
  <c r="AN70" i="5" s="1"/>
  <c r="AM70" i="5" s="1"/>
  <c r="J70" i="5" s="1"/>
  <c r="BE94" i="5"/>
  <c r="BD94" i="5" s="1"/>
  <c r="BC94" i="5" s="1"/>
  <c r="P94" i="5" s="1"/>
  <c r="AH161" i="5"/>
  <c r="AG161" i="5" s="1"/>
  <c r="AF161" i="5" s="1"/>
  <c r="G161" i="5" s="1"/>
  <c r="E176" i="5"/>
  <c r="K142" i="5"/>
  <c r="K44" i="5"/>
  <c r="AW82" i="5"/>
  <c r="AV82" i="5" s="1"/>
  <c r="AU82" i="5" s="1"/>
  <c r="M82" i="5" s="1"/>
  <c r="H121" i="5"/>
  <c r="AH44" i="5"/>
  <c r="AG44" i="5" s="1"/>
  <c r="AF44" i="5" s="1"/>
  <c r="G44" i="5" s="1"/>
  <c r="H94" i="5"/>
  <c r="AO172" i="5"/>
  <c r="AN172" i="5" s="1"/>
  <c r="AM172" i="5" s="1"/>
  <c r="J172" i="5" s="1"/>
  <c r="BE176" i="5"/>
  <c r="BD176" i="5" s="1"/>
  <c r="BC176" i="5" s="1"/>
  <c r="P176" i="5" s="1"/>
  <c r="AW32" i="5"/>
  <c r="AV32" i="5" s="1"/>
  <c r="AU32" i="5" s="1"/>
  <c r="M32" i="5" s="1"/>
  <c r="AH117" i="5"/>
  <c r="AG117" i="5" s="1"/>
  <c r="AF117" i="5" s="1"/>
  <c r="G117" i="5" s="1"/>
  <c r="BE152" i="5"/>
  <c r="BD152" i="5" s="1"/>
  <c r="BC152" i="5" s="1"/>
  <c r="P152" i="5" s="1"/>
  <c r="N20" i="5"/>
  <c r="K30" i="5"/>
  <c r="AW14" i="5"/>
  <c r="AV14" i="5" s="1"/>
  <c r="AU14" i="5" s="1"/>
  <c r="M14" i="5" s="1"/>
  <c r="K172" i="5"/>
  <c r="AO101" i="5"/>
  <c r="AN101" i="5" s="1"/>
  <c r="AM101" i="5" s="1"/>
  <c r="J101" i="5" s="1"/>
  <c r="N13" i="5"/>
  <c r="BE26" i="5"/>
  <c r="BD26" i="5" s="1"/>
  <c r="BC26" i="5" s="1"/>
  <c r="P26" i="5" s="1"/>
  <c r="AH9" i="5"/>
  <c r="AG9" i="5" s="1"/>
  <c r="AF9" i="5" s="1"/>
  <c r="G9" i="5" s="1"/>
  <c r="K48" i="5"/>
  <c r="K155" i="5"/>
  <c r="AO26" i="5"/>
  <c r="AN26" i="5" s="1"/>
  <c r="AM26" i="5" s="1"/>
  <c r="J26" i="5" s="1"/>
  <c r="BE9" i="5"/>
  <c r="BD9" i="5" s="1"/>
  <c r="BC9" i="5" s="1"/>
  <c r="P9" i="5" s="1"/>
  <c r="AH69" i="5"/>
  <c r="AG69" i="5" s="1"/>
  <c r="AF69" i="5" s="1"/>
  <c r="G69" i="5" s="1"/>
  <c r="K40" i="5"/>
  <c r="K20" i="5"/>
  <c r="AW185" i="5"/>
  <c r="AV185" i="5" s="1"/>
  <c r="AU185" i="5" s="1"/>
  <c r="M185" i="5" s="1"/>
  <c r="H40" i="5"/>
  <c r="H20" i="5"/>
  <c r="N32" i="5"/>
  <c r="AW12" i="5"/>
  <c r="AV12" i="5" s="1"/>
  <c r="AU12" i="5" s="1"/>
  <c r="M12" i="5" s="1"/>
  <c r="N86" i="5"/>
  <c r="BE93" i="5"/>
  <c r="BD93" i="5" s="1"/>
  <c r="BC93" i="5" s="1"/>
  <c r="P93" i="5" s="1"/>
  <c r="BE48" i="5"/>
  <c r="BD48" i="5" s="1"/>
  <c r="BC48" i="5" s="1"/>
  <c r="P48" i="5" s="1"/>
  <c r="BE40" i="5"/>
  <c r="BD40" i="5" s="1"/>
  <c r="BC40" i="5" s="1"/>
  <c r="P40" i="5" s="1"/>
  <c r="K152" i="5"/>
  <c r="AO98" i="5"/>
  <c r="AN98" i="5" s="1"/>
  <c r="AM98" i="5" s="1"/>
  <c r="J98" i="5" s="1"/>
  <c r="H13" i="5"/>
  <c r="BE185" i="5"/>
  <c r="BD185" i="5" s="1"/>
  <c r="BC185" i="5" s="1"/>
  <c r="P185" i="5" s="1"/>
  <c r="E42" i="5"/>
  <c r="AH13" i="5"/>
  <c r="AG13" i="5" s="1"/>
  <c r="AF13" i="5" s="1"/>
  <c r="G13" i="5" s="1"/>
  <c r="H53" i="5"/>
  <c r="N69" i="5"/>
  <c r="H74" i="5"/>
  <c r="E86" i="5"/>
  <c r="K19" i="5"/>
  <c r="E26" i="5"/>
  <c r="AW69" i="5"/>
  <c r="AV69" i="5" s="1"/>
  <c r="AU69" i="5" s="1"/>
  <c r="M69" i="5" s="1"/>
  <c r="K36" i="5"/>
  <c r="E57" i="5"/>
  <c r="AO32" i="5"/>
  <c r="AN32" i="5" s="1"/>
  <c r="AM32" i="5" s="1"/>
  <c r="J32" i="5" s="1"/>
  <c r="AH46" i="5"/>
  <c r="AG46" i="5" s="1"/>
  <c r="AF46" i="5" s="1"/>
  <c r="G46" i="5" s="1"/>
  <c r="AW90" i="5"/>
  <c r="AV90" i="5" s="1"/>
  <c r="AU90" i="5" s="1"/>
  <c r="M90" i="5" s="1"/>
  <c r="K53" i="5"/>
  <c r="BE53" i="5"/>
  <c r="BD53" i="5" s="1"/>
  <c r="BC53" i="5" s="1"/>
  <c r="P53" i="5" s="1"/>
  <c r="BE74" i="5"/>
  <c r="BD74" i="5" s="1"/>
  <c r="BC74" i="5" s="1"/>
  <c r="P74" i="5" s="1"/>
  <c r="AW13" i="5"/>
  <c r="AV13" i="5" s="1"/>
  <c r="AU13" i="5" s="1"/>
  <c r="M13" i="5" s="1"/>
  <c r="AW121" i="5"/>
  <c r="AV121" i="5" s="1"/>
  <c r="AU121" i="5" s="1"/>
  <c r="M121" i="5" s="1"/>
  <c r="N30" i="5"/>
  <c r="H155" i="5"/>
  <c r="AO46" i="5"/>
  <c r="AN46" i="5" s="1"/>
  <c r="AM46" i="5" s="1"/>
  <c r="J46" i="5" s="1"/>
  <c r="AO86" i="5"/>
  <c r="AN86" i="5" s="1"/>
  <c r="AM86" i="5" s="1"/>
  <c r="J86" i="5" s="1"/>
  <c r="N121" i="5"/>
  <c r="AO152" i="5"/>
  <c r="AN152" i="5" s="1"/>
  <c r="AM152" i="5" s="1"/>
  <c r="J152" i="5" s="1"/>
  <c r="E121" i="5"/>
  <c r="H109" i="5"/>
  <c r="N90" i="5"/>
  <c r="H117" i="5"/>
  <c r="E30" i="5"/>
  <c r="E20" i="5"/>
  <c r="N110" i="5"/>
  <c r="AO58" i="5"/>
  <c r="AN58" i="5" s="1"/>
  <c r="AM58" i="5" s="1"/>
  <c r="J58" i="5" s="1"/>
  <c r="H185" i="5"/>
  <c r="K110" i="5"/>
  <c r="AO60" i="5"/>
  <c r="AN60" i="5" s="1"/>
  <c r="AM60" i="5" s="1"/>
  <c r="J60" i="5" s="1"/>
  <c r="AH200" i="5"/>
  <c r="AG200" i="5" s="1"/>
  <c r="AF200" i="5" s="1"/>
  <c r="G200" i="5" s="1"/>
  <c r="AW24" i="5"/>
  <c r="AV24" i="5" s="1"/>
  <c r="AU24" i="5" s="1"/>
  <c r="M24" i="5" s="1"/>
  <c r="AO69" i="5"/>
  <c r="AN69" i="5" s="1"/>
  <c r="AM69" i="5" s="1"/>
  <c r="J69" i="5" s="1"/>
  <c r="AH48" i="5"/>
  <c r="AG48" i="5" s="1"/>
  <c r="AF48" i="5" s="1"/>
  <c r="G48" i="5" s="1"/>
  <c r="AW93" i="5"/>
  <c r="AV93" i="5" s="1"/>
  <c r="AU93" i="5" s="1"/>
  <c r="M93" i="5" s="1"/>
  <c r="AO110" i="5"/>
  <c r="AN110" i="5" s="1"/>
  <c r="AM110" i="5" s="1"/>
  <c r="J110" i="5" s="1"/>
  <c r="AW42" i="5"/>
  <c r="AV42" i="5" s="1"/>
  <c r="AU42" i="5" s="1"/>
  <c r="M42" i="5" s="1"/>
  <c r="AH110" i="5"/>
  <c r="AG110" i="5" s="1"/>
  <c r="AF110" i="5" s="1"/>
  <c r="G110" i="5" s="1"/>
  <c r="AH19" i="5"/>
  <c r="AG19" i="5" s="1"/>
  <c r="AF19" i="5" s="1"/>
  <c r="G19" i="5" s="1"/>
  <c r="AH101" i="5"/>
  <c r="AG101" i="5" s="1"/>
  <c r="AF101" i="5" s="1"/>
  <c r="G101" i="5" s="1"/>
  <c r="AW43" i="5"/>
  <c r="AV43" i="5" s="1"/>
  <c r="AU43" i="5" s="1"/>
  <c r="M43" i="5" s="1"/>
  <c r="H30" i="5"/>
  <c r="AH40" i="5"/>
  <c r="AG40" i="5" s="1"/>
  <c r="AF40" i="5" s="1"/>
  <c r="G40" i="5" s="1"/>
  <c r="AW57" i="5"/>
  <c r="AV57" i="5" s="1"/>
  <c r="AU57" i="5" s="1"/>
  <c r="M57" i="5" s="1"/>
  <c r="H42" i="5"/>
  <c r="AH82" i="5"/>
  <c r="AG82" i="5" s="1"/>
  <c r="AF82" i="5" s="1"/>
  <c r="G82" i="5" s="1"/>
  <c r="AW74" i="5"/>
  <c r="AV74" i="5" s="1"/>
  <c r="AU74" i="5" s="1"/>
  <c r="M74" i="5" s="1"/>
  <c r="BE46" i="5"/>
  <c r="BD46" i="5" s="1"/>
  <c r="BC46" i="5" s="1"/>
  <c r="P46" i="5" s="1"/>
  <c r="N109" i="5"/>
  <c r="BE109" i="5"/>
  <c r="BD109" i="5" s="1"/>
  <c r="BC109" i="5" s="1"/>
  <c r="P109" i="5" s="1"/>
  <c r="N58" i="5"/>
  <c r="E152" i="5"/>
  <c r="N24" i="5"/>
  <c r="AO82" i="5"/>
  <c r="AN82" i="5" s="1"/>
  <c r="AM82" i="5" s="1"/>
  <c r="J82" i="5" s="1"/>
  <c r="AO12" i="5"/>
  <c r="AN12" i="5" s="1"/>
  <c r="AM12" i="5" s="1"/>
  <c r="J12" i="5" s="1"/>
  <c r="BE155" i="5"/>
  <c r="BD155" i="5" s="1"/>
  <c r="BC155" i="5" s="1"/>
  <c r="P155" i="5" s="1"/>
  <c r="AO24" i="5"/>
  <c r="AN24" i="5" s="1"/>
  <c r="AM24" i="5" s="1"/>
  <c r="J24" i="5" s="1"/>
  <c r="E36" i="5"/>
  <c r="BE117" i="5"/>
  <c r="BD117" i="5" s="1"/>
  <c r="BC117" i="5" s="1"/>
  <c r="P117" i="5" s="1"/>
  <c r="E49" i="5"/>
  <c r="H48" i="5"/>
  <c r="H93" i="5"/>
  <c r="AO93" i="5"/>
  <c r="AN93" i="5" s="1"/>
  <c r="AM93" i="5" s="1"/>
  <c r="J93" i="5" s="1"/>
  <c r="BE14" i="5"/>
  <c r="BD14" i="5" s="1"/>
  <c r="BC14" i="5" s="1"/>
  <c r="P14" i="5" s="1"/>
  <c r="N98" i="5"/>
  <c r="AH109" i="5"/>
  <c r="AG109" i="5" s="1"/>
  <c r="AF109" i="5" s="1"/>
  <c r="G109" i="5" s="1"/>
  <c r="E109" i="5"/>
  <c r="BE200" i="5"/>
  <c r="BD200" i="5" s="1"/>
  <c r="BC200" i="5" s="1"/>
  <c r="P200" i="5" s="1"/>
  <c r="AW109" i="5"/>
  <c r="AV109" i="5" s="1"/>
  <c r="AU109" i="5" s="1"/>
  <c r="M109" i="5" s="1"/>
  <c r="K109" i="5"/>
  <c r="AO200" i="5"/>
  <c r="AN200" i="5" s="1"/>
  <c r="AM200" i="5" s="1"/>
  <c r="J200" i="5" s="1"/>
  <c r="H200" i="5"/>
  <c r="K66" i="5"/>
  <c r="K46" i="5"/>
  <c r="H14" i="5"/>
  <c r="AW98" i="5"/>
  <c r="AV98" i="5" s="1"/>
  <c r="AU98" i="5" s="1"/>
  <c r="M98" i="5" s="1"/>
  <c r="AH43" i="5"/>
  <c r="AG43" i="5" s="1"/>
  <c r="AF43" i="5" s="1"/>
  <c r="G43" i="5" s="1"/>
  <c r="H79" i="5"/>
  <c r="AO79" i="5"/>
  <c r="AN79" i="5" s="1"/>
  <c r="AM79" i="5" s="1"/>
  <c r="J79" i="5" s="1"/>
  <c r="H43" i="5"/>
  <c r="AO43" i="5"/>
  <c r="AN43" i="5" s="1"/>
  <c r="AM43" i="5" s="1"/>
  <c r="J43" i="5" s="1"/>
  <c r="BE43" i="5"/>
  <c r="BD43" i="5" s="1"/>
  <c r="BC43" i="5" s="1"/>
  <c r="P43" i="5" s="1"/>
  <c r="N43" i="5"/>
  <c r="BE57" i="5"/>
  <c r="BD57" i="5" s="1"/>
  <c r="BC57" i="5" s="1"/>
  <c r="P57" i="5" s="1"/>
  <c r="N79" i="5"/>
  <c r="BE79" i="5"/>
  <c r="BD79" i="5" s="1"/>
  <c r="BC79" i="5" s="1"/>
  <c r="P79" i="5" s="1"/>
  <c r="AW79" i="5"/>
  <c r="AV79" i="5" s="1"/>
  <c r="AU79" i="5" s="1"/>
  <c r="M79" i="5" s="1"/>
  <c r="K79" i="5"/>
  <c r="AO19" i="5"/>
  <c r="AN19" i="5" s="1"/>
  <c r="AM19" i="5" s="1"/>
  <c r="J19" i="5" s="1"/>
  <c r="AH79" i="5"/>
  <c r="AG79" i="5" s="1"/>
  <c r="AF79" i="5" s="1"/>
  <c r="G79" i="5" s="1"/>
  <c r="E79" i="5"/>
  <c r="AO66" i="5"/>
  <c r="AN66" i="5" s="1"/>
  <c r="AM66" i="5" s="1"/>
  <c r="J66" i="5" s="1"/>
  <c r="BE12" i="5"/>
  <c r="BD12" i="5" s="1"/>
  <c r="BC12" i="5" s="1"/>
  <c r="P12" i="5" s="1"/>
  <c r="AW97" i="5"/>
  <c r="AV97" i="5" s="1"/>
  <c r="AU97" i="5" s="1"/>
  <c r="M97" i="5" s="1"/>
  <c r="E97" i="5"/>
  <c r="AH97" i="5"/>
  <c r="AG97" i="5" s="1"/>
  <c r="AF97" i="5" s="1"/>
  <c r="G97" i="5" s="1"/>
  <c r="AH93" i="5"/>
  <c r="AG93" i="5" s="1"/>
  <c r="AF93" i="5" s="1"/>
  <c r="G93" i="5" s="1"/>
  <c r="AO97" i="5"/>
  <c r="AN97" i="5" s="1"/>
  <c r="AM97" i="5" s="1"/>
  <c r="J97" i="5" s="1"/>
  <c r="H97" i="5"/>
  <c r="AH66" i="5"/>
  <c r="AG66" i="5" s="1"/>
  <c r="AF66" i="5" s="1"/>
  <c r="G66" i="5" s="1"/>
  <c r="N66" i="5"/>
  <c r="E73" i="5"/>
  <c r="AH73" i="5"/>
  <c r="AG73" i="5" s="1"/>
  <c r="AF73" i="5" s="1"/>
  <c r="G73" i="5" s="1"/>
  <c r="AW73" i="5"/>
  <c r="AV73" i="5" s="1"/>
  <c r="AU73" i="5" s="1"/>
  <c r="M73" i="5" s="1"/>
  <c r="K73" i="5"/>
  <c r="BE19" i="5"/>
  <c r="BD19" i="5" s="1"/>
  <c r="BC19" i="5" s="1"/>
  <c r="P19" i="5" s="1"/>
  <c r="N73" i="5"/>
  <c r="BE73" i="5"/>
  <c r="BD73" i="5" s="1"/>
  <c r="BC73" i="5" s="1"/>
  <c r="P73" i="5" s="1"/>
  <c r="AO73" i="5"/>
  <c r="AN73" i="5" s="1"/>
  <c r="AM73" i="5" s="1"/>
  <c r="J73" i="5" s="1"/>
  <c r="H73" i="5"/>
  <c r="AH11" i="5"/>
  <c r="AG11" i="5" s="1"/>
  <c r="AF11" i="5" s="1"/>
  <c r="G11" i="5" s="1"/>
  <c r="E11" i="5"/>
  <c r="BE11" i="5"/>
  <c r="BD11" i="5" s="1"/>
  <c r="BC11" i="5" s="1"/>
  <c r="P11" i="5" s="1"/>
  <c r="N11" i="5"/>
  <c r="AO11" i="5"/>
  <c r="AN11" i="5" s="1"/>
  <c r="AM11" i="5" s="1"/>
  <c r="J11" i="5" s="1"/>
  <c r="H11" i="5"/>
  <c r="K11" i="5"/>
  <c r="AW11" i="5"/>
  <c r="AV11" i="5" s="1"/>
  <c r="AU11" i="5" s="1"/>
  <c r="M11" i="5" s="1"/>
  <c r="N84" i="5" l="1"/>
  <c r="H157" i="5"/>
  <c r="BE145" i="5"/>
  <c r="BD145" i="5" s="1"/>
  <c r="BC145" i="5" s="1"/>
  <c r="P145" i="5" s="1"/>
  <c r="BE204" i="5"/>
  <c r="BD204" i="5" s="1"/>
  <c r="BC204" i="5" s="1"/>
  <c r="P204" i="5" s="1"/>
  <c r="AH75" i="5"/>
  <c r="AG75" i="5" s="1"/>
  <c r="AF75" i="5" s="1"/>
  <c r="G75" i="5" s="1"/>
  <c r="BE47" i="5"/>
  <c r="BD47" i="5" s="1"/>
  <c r="BC47" i="5" s="1"/>
  <c r="P47" i="5" s="1"/>
  <c r="AO143" i="5"/>
  <c r="AN143" i="5" s="1"/>
  <c r="AM143" i="5" s="1"/>
  <c r="J143" i="5" s="1"/>
  <c r="H135" i="5"/>
  <c r="AO118" i="5"/>
  <c r="AN118" i="5" s="1"/>
  <c r="AM118" i="5" s="1"/>
  <c r="J118" i="5" s="1"/>
  <c r="AW15" i="5"/>
  <c r="AV15" i="5" s="1"/>
  <c r="AU15" i="5" s="1"/>
  <c r="M15" i="5" s="1"/>
  <c r="E158" i="5"/>
  <c r="AW34" i="5"/>
  <c r="AV34" i="5" s="1"/>
  <c r="AU34" i="5" s="1"/>
  <c r="M34" i="5" s="1"/>
  <c r="AO21" i="5"/>
  <c r="AN21" i="5" s="1"/>
  <c r="AM21" i="5" s="1"/>
  <c r="J21" i="5" s="1"/>
  <c r="N189" i="5"/>
  <c r="N99" i="5"/>
  <c r="K178" i="5"/>
  <c r="AW175" i="5"/>
  <c r="AV175" i="5" s="1"/>
  <c r="AU175" i="5" s="1"/>
  <c r="M175" i="5" s="1"/>
  <c r="K68" i="5"/>
  <c r="AW91" i="5"/>
  <c r="AV91" i="5" s="1"/>
  <c r="AU91" i="5" s="1"/>
  <c r="M91" i="5" s="1"/>
  <c r="K170" i="5"/>
  <c r="BE156" i="5"/>
  <c r="BD156" i="5" s="1"/>
  <c r="BC156" i="5" s="1"/>
  <c r="P156" i="5" s="1"/>
  <c r="AO184" i="5"/>
  <c r="AN184" i="5" s="1"/>
  <c r="AM184" i="5" s="1"/>
  <c r="J184" i="5" s="1"/>
  <c r="BE150" i="5"/>
  <c r="BD150" i="5" s="1"/>
  <c r="BC150" i="5" s="1"/>
  <c r="P150" i="5" s="1"/>
  <c r="BE52" i="5"/>
  <c r="BD52" i="5" s="1"/>
  <c r="BC52" i="5" s="1"/>
  <c r="P52" i="5" s="1"/>
  <c r="E193" i="5"/>
  <c r="AO120" i="5"/>
  <c r="AN120" i="5" s="1"/>
  <c r="AM120" i="5" s="1"/>
  <c r="J120" i="5" s="1"/>
  <c r="AW153" i="5"/>
  <c r="AV153" i="5" s="1"/>
  <c r="AU153" i="5" s="1"/>
  <c r="M153" i="5" s="1"/>
  <c r="BE76" i="5"/>
  <c r="BD76" i="5" s="1"/>
  <c r="BC76" i="5" s="1"/>
  <c r="P76" i="5" s="1"/>
  <c r="BE23" i="5"/>
  <c r="BD23" i="5" s="1"/>
  <c r="BC23" i="5" s="1"/>
  <c r="P23" i="5" s="1"/>
  <c r="BE129" i="5"/>
  <c r="BD129" i="5" s="1"/>
  <c r="BC129" i="5" s="1"/>
  <c r="P129" i="5" s="1"/>
  <c r="K37" i="5"/>
  <c r="AW103" i="5"/>
  <c r="AV103" i="5" s="1"/>
  <c r="AU103" i="5" s="1"/>
  <c r="M103" i="5" s="1"/>
  <c r="BE39" i="5"/>
  <c r="BD39" i="5" s="1"/>
  <c r="BC39" i="5" s="1"/>
  <c r="P39" i="5" s="1"/>
  <c r="AO125" i="5"/>
  <c r="AN125" i="5" s="1"/>
  <c r="AM125" i="5" s="1"/>
  <c r="J125" i="5" s="1"/>
  <c r="N28" i="5"/>
  <c r="BE194" i="5"/>
  <c r="BD194" i="5" s="1"/>
  <c r="BC194" i="5" s="1"/>
  <c r="P194" i="5" s="1"/>
  <c r="H186" i="5"/>
  <c r="H23" i="5"/>
  <c r="H196" i="5"/>
  <c r="E10" i="5"/>
  <c r="AW105" i="5"/>
  <c r="AV105" i="5" s="1"/>
  <c r="AU105" i="5" s="1"/>
  <c r="M105" i="5" s="1"/>
  <c r="H77" i="5"/>
  <c r="AO83" i="5"/>
  <c r="AN83" i="5" s="1"/>
  <c r="AM83" i="5" s="1"/>
  <c r="J83" i="5" s="1"/>
  <c r="H114" i="5"/>
  <c r="AW149" i="5"/>
  <c r="AV149" i="5" s="1"/>
  <c r="AU149" i="5" s="1"/>
  <c r="M149" i="5" s="1"/>
  <c r="BE124" i="5"/>
  <c r="BD124" i="5" s="1"/>
  <c r="BC124" i="5" s="1"/>
  <c r="P124" i="5" s="1"/>
  <c r="BE95" i="5"/>
  <c r="BD95" i="5" s="1"/>
  <c r="BC95" i="5" s="1"/>
  <c r="P95" i="5" s="1"/>
  <c r="AH92" i="5"/>
  <c r="AG92" i="5" s="1"/>
  <c r="AF92" i="5" s="1"/>
  <c r="G92" i="5" s="1"/>
  <c r="AW127" i="5"/>
  <c r="AV127" i="5" s="1"/>
  <c r="AU127" i="5" s="1"/>
  <c r="M127" i="5" s="1"/>
  <c r="AO188" i="5"/>
  <c r="AN188" i="5" s="1"/>
  <c r="AM188" i="5" s="1"/>
  <c r="J188" i="5" s="1"/>
  <c r="N71" i="5"/>
  <c r="AO100" i="5"/>
  <c r="AN100" i="5" s="1"/>
  <c r="AM100" i="5" s="1"/>
  <c r="J100" i="5" s="1"/>
  <c r="K116" i="5"/>
  <c r="H195" i="5"/>
  <c r="AH190" i="5"/>
  <c r="AG190" i="5" s="1"/>
  <c r="AF190" i="5" s="1"/>
  <c r="G190" i="5" s="1"/>
  <c r="K169" i="5"/>
  <c r="AH33" i="5"/>
  <c r="AG33" i="5" s="1"/>
  <c r="AF33" i="5" s="1"/>
  <c r="G33" i="5" s="1"/>
  <c r="K173" i="5"/>
  <c r="AW140" i="5"/>
  <c r="AV140" i="5" s="1"/>
  <c r="AU140" i="5" s="1"/>
  <c r="M140" i="5" s="1"/>
  <c r="AH16" i="5"/>
  <c r="AG16" i="5" s="1"/>
  <c r="AF16" i="5" s="1"/>
  <c r="G16" i="5" s="1"/>
  <c r="K111" i="5"/>
  <c r="K180" i="5"/>
  <c r="H17" i="5"/>
  <c r="BE62" i="5"/>
  <c r="BD62" i="5" s="1"/>
  <c r="BC62" i="5" s="1"/>
  <c r="P62" i="5" s="1"/>
  <c r="H104" i="5"/>
  <c r="E85" i="5"/>
  <c r="K130" i="5"/>
  <c r="N122" i="5"/>
  <c r="E35" i="5"/>
  <c r="AH165" i="5"/>
  <c r="AG165" i="5" s="1"/>
  <c r="AF165" i="5" s="1"/>
  <c r="G165" i="5" s="1"/>
  <c r="AW194" i="5"/>
  <c r="AV194" i="5" s="1"/>
  <c r="AU194" i="5" s="1"/>
  <c r="M194" i="5" s="1"/>
  <c r="AW55" i="5"/>
  <c r="AV55" i="5" s="1"/>
  <c r="AU55" i="5" s="1"/>
  <c r="M55" i="5" s="1"/>
  <c r="AH22" i="5"/>
  <c r="AG22" i="5" s="1"/>
  <c r="AF22" i="5" s="1"/>
  <c r="G22" i="5" s="1"/>
  <c r="AH78" i="5"/>
  <c r="AG78" i="5" s="1"/>
  <c r="AF78" i="5" s="1"/>
  <c r="G78" i="5" s="1"/>
  <c r="AH171" i="5"/>
  <c r="AG171" i="5" s="1"/>
  <c r="AF171" i="5" s="1"/>
  <c r="G171" i="5" s="1"/>
  <c r="AH96" i="5"/>
  <c r="AG96" i="5" s="1"/>
  <c r="AF96" i="5" s="1"/>
  <c r="G96" i="5" s="1"/>
  <c r="E188" i="5"/>
  <c r="AO25" i="5"/>
  <c r="AN25" i="5" s="1"/>
  <c r="AM25" i="5" s="1"/>
  <c r="J25" i="5" s="1"/>
  <c r="BE203" i="5"/>
  <c r="BD203" i="5" s="1"/>
  <c r="BC203" i="5" s="1"/>
  <c r="P203" i="5" s="1"/>
  <c r="BE136" i="5"/>
  <c r="BD136" i="5" s="1"/>
  <c r="BC136" i="5" s="1"/>
  <c r="P136" i="5" s="1"/>
  <c r="AO194" i="5"/>
  <c r="AN194" i="5" s="1"/>
  <c r="AM194" i="5" s="1"/>
  <c r="J194" i="5" s="1"/>
  <c r="E194" i="5"/>
  <c r="AO182" i="5"/>
  <c r="AN182" i="5" s="1"/>
  <c r="AM182" i="5" s="1"/>
  <c r="J182" i="5" s="1"/>
  <c r="BE171" i="5"/>
  <c r="BD171" i="5" s="1"/>
  <c r="BC171" i="5" s="1"/>
  <c r="P171" i="5" s="1"/>
  <c r="K136" i="5"/>
  <c r="AH136" i="5"/>
  <c r="AG136" i="5" s="1"/>
  <c r="AF136" i="5" s="1"/>
  <c r="G136" i="5" s="1"/>
  <c r="AO122" i="5"/>
  <c r="AN122" i="5" s="1"/>
  <c r="AM122" i="5" s="1"/>
  <c r="J122" i="5" s="1"/>
  <c r="AH122" i="5"/>
  <c r="AG122" i="5" s="1"/>
  <c r="AF122" i="5" s="1"/>
  <c r="G122" i="5" s="1"/>
  <c r="N111" i="5"/>
  <c r="AO108" i="5"/>
  <c r="AN108" i="5" s="1"/>
  <c r="AM108" i="5" s="1"/>
  <c r="J108" i="5" s="1"/>
  <c r="AH99" i="5"/>
  <c r="AG99" i="5" s="1"/>
  <c r="AF99" i="5" s="1"/>
  <c r="G99" i="5" s="1"/>
  <c r="BE96" i="5"/>
  <c r="BD96" i="5" s="1"/>
  <c r="BC96" i="5" s="1"/>
  <c r="P96" i="5" s="1"/>
  <c r="E87" i="5"/>
  <c r="BE72" i="5"/>
  <c r="BD72" i="5" s="1"/>
  <c r="BC72" i="5" s="1"/>
  <c r="P72" i="5" s="1"/>
  <c r="K52" i="5"/>
  <c r="E52" i="5"/>
  <c r="E23" i="5"/>
  <c r="K22" i="5"/>
  <c r="AO22" i="5"/>
  <c r="AN22" i="5" s="1"/>
  <c r="AM22" i="5" s="1"/>
  <c r="J22" i="5" s="1"/>
  <c r="AO18" i="5"/>
  <c r="AN18" i="5" s="1"/>
  <c r="AM18" i="5" s="1"/>
  <c r="J18" i="5" s="1"/>
  <c r="AH182" i="5"/>
  <c r="AG182" i="5" s="1"/>
  <c r="AF182" i="5" s="1"/>
  <c r="G182" i="5" s="1"/>
  <c r="N188" i="5"/>
  <c r="N182" i="5"/>
  <c r="K188" i="5"/>
  <c r="AO87" i="5"/>
  <c r="AN87" i="5" s="1"/>
  <c r="AM87" i="5" s="1"/>
  <c r="J87" i="5" s="1"/>
  <c r="AW96" i="5"/>
  <c r="AV96" i="5" s="1"/>
  <c r="AU96" i="5" s="1"/>
  <c r="M96" i="5" s="1"/>
  <c r="AW108" i="5"/>
  <c r="AV108" i="5" s="1"/>
  <c r="AU108" i="5" s="1"/>
  <c r="M108" i="5" s="1"/>
  <c r="N22" i="5"/>
  <c r="AO136" i="5"/>
  <c r="AN136" i="5" s="1"/>
  <c r="AM136" i="5" s="1"/>
  <c r="J136" i="5" s="1"/>
  <c r="H96" i="5"/>
  <c r="AO52" i="5"/>
  <c r="AN52" i="5" s="1"/>
  <c r="AM52" i="5" s="1"/>
  <c r="J52" i="5" s="1"/>
  <c r="N37" i="5"/>
  <c r="AW182" i="5"/>
  <c r="AV182" i="5" s="1"/>
  <c r="AU182" i="5" s="1"/>
  <c r="M182" i="5" s="1"/>
  <c r="AH27" i="5"/>
  <c r="AG27" i="5" s="1"/>
  <c r="AF27" i="5" s="1"/>
  <c r="G27" i="5" s="1"/>
  <c r="AH108" i="5"/>
  <c r="AG108" i="5" s="1"/>
  <c r="AF108" i="5" s="1"/>
  <c r="G108" i="5" s="1"/>
  <c r="BE184" i="5"/>
  <c r="BD184" i="5" s="1"/>
  <c r="BC184" i="5" s="1"/>
  <c r="P184" i="5" s="1"/>
  <c r="AW122" i="5"/>
  <c r="AV122" i="5" s="1"/>
  <c r="AU122" i="5" s="1"/>
  <c r="M122" i="5" s="1"/>
  <c r="AW87" i="5"/>
  <c r="AV87" i="5" s="1"/>
  <c r="AU87" i="5" s="1"/>
  <c r="M87" i="5" s="1"/>
  <c r="BE108" i="5"/>
  <c r="BD108" i="5" s="1"/>
  <c r="BC108" i="5" s="1"/>
  <c r="P108" i="5" s="1"/>
  <c r="AO99" i="5"/>
  <c r="AN99" i="5" s="1"/>
  <c r="AM99" i="5" s="1"/>
  <c r="J99" i="5" s="1"/>
  <c r="AH128" i="5"/>
  <c r="AG128" i="5" s="1"/>
  <c r="AF128" i="5" s="1"/>
  <c r="G128" i="5" s="1"/>
  <c r="AH184" i="5"/>
  <c r="AG184" i="5" s="1"/>
  <c r="AF184" i="5" s="1"/>
  <c r="G184" i="5" s="1"/>
  <c r="AO37" i="5"/>
  <c r="AN37" i="5" s="1"/>
  <c r="AM37" i="5" s="1"/>
  <c r="J37" i="5" s="1"/>
  <c r="E72" i="5"/>
  <c r="AW171" i="5"/>
  <c r="AV171" i="5" s="1"/>
  <c r="AU171" i="5" s="1"/>
  <c r="M171" i="5" s="1"/>
  <c r="K99" i="5"/>
  <c r="AO171" i="5"/>
  <c r="AN171" i="5" s="1"/>
  <c r="AM171" i="5" s="1"/>
  <c r="J171" i="5" s="1"/>
  <c r="AH37" i="5"/>
  <c r="AG37" i="5" s="1"/>
  <c r="AF37" i="5" s="1"/>
  <c r="G37" i="5" s="1"/>
  <c r="AO72" i="5"/>
  <c r="AN72" i="5" s="1"/>
  <c r="AM72" i="5" s="1"/>
  <c r="J72" i="5" s="1"/>
  <c r="K128" i="5"/>
  <c r="AH111" i="5"/>
  <c r="AG111" i="5" s="1"/>
  <c r="AF111" i="5" s="1"/>
  <c r="G111" i="5" s="1"/>
  <c r="BE87" i="5"/>
  <c r="BD87" i="5" s="1"/>
  <c r="BC87" i="5" s="1"/>
  <c r="P87" i="5" s="1"/>
  <c r="AW184" i="5"/>
  <c r="AV184" i="5" s="1"/>
  <c r="AU184" i="5" s="1"/>
  <c r="M184" i="5" s="1"/>
  <c r="K23" i="5"/>
  <c r="AW72" i="5"/>
  <c r="AV72" i="5" s="1"/>
  <c r="AU72" i="5" s="1"/>
  <c r="M72" i="5" s="1"/>
  <c r="AO128" i="5"/>
  <c r="AN128" i="5" s="1"/>
  <c r="AM128" i="5" s="1"/>
  <c r="J128" i="5" s="1"/>
  <c r="AO111" i="5"/>
  <c r="AN111" i="5" s="1"/>
  <c r="AM111" i="5" s="1"/>
  <c r="J111" i="5" s="1"/>
  <c r="N128" i="5"/>
  <c r="K189" i="5"/>
  <c r="AO27" i="5"/>
  <c r="AN27" i="5" s="1"/>
  <c r="AM27" i="5" s="1"/>
  <c r="J27" i="5" s="1"/>
  <c r="N33" i="5"/>
  <c r="E189" i="5"/>
  <c r="AO189" i="5"/>
  <c r="AN189" i="5" s="1"/>
  <c r="AM189" i="5" s="1"/>
  <c r="J189" i="5" s="1"/>
  <c r="AO33" i="5"/>
  <c r="AN33" i="5" s="1"/>
  <c r="AM33" i="5" s="1"/>
  <c r="J33" i="5" s="1"/>
  <c r="AW33" i="5"/>
  <c r="AV33" i="5" s="1"/>
  <c r="AU33" i="5" s="1"/>
  <c r="M33" i="5" s="1"/>
  <c r="H201" i="5"/>
  <c r="K27" i="5"/>
  <c r="BE27" i="5"/>
  <c r="BD27" i="5" s="1"/>
  <c r="BC27" i="5" s="1"/>
  <c r="P27" i="5" s="1"/>
  <c r="BE64" i="5"/>
  <c r="BD64" i="5" s="1"/>
  <c r="BC64" i="5" s="1"/>
  <c r="P64" i="5" s="1"/>
  <c r="K104" i="5"/>
  <c r="N201" i="5"/>
  <c r="K201" i="5"/>
  <c r="AH107" i="5"/>
  <c r="AG107" i="5" s="1"/>
  <c r="AF107" i="5" s="1"/>
  <c r="G107" i="5" s="1"/>
  <c r="AH135" i="5"/>
  <c r="AG135" i="5" s="1"/>
  <c r="AF135" i="5" s="1"/>
  <c r="G135" i="5" s="1"/>
  <c r="AW63" i="5"/>
  <c r="AV63" i="5" s="1"/>
  <c r="AU63" i="5" s="1"/>
  <c r="M63" i="5" s="1"/>
  <c r="AO54" i="5"/>
  <c r="AN54" i="5" s="1"/>
  <c r="AM54" i="5" s="1"/>
  <c r="J54" i="5" s="1"/>
  <c r="H64" i="5"/>
  <c r="AH130" i="5"/>
  <c r="AG130" i="5" s="1"/>
  <c r="AF130" i="5" s="1"/>
  <c r="G130" i="5" s="1"/>
  <c r="H148" i="5"/>
  <c r="E174" i="5"/>
  <c r="N137" i="5"/>
  <c r="AW137" i="5"/>
  <c r="AV137" i="5" s="1"/>
  <c r="AU137" i="5" s="1"/>
  <c r="M137" i="5" s="1"/>
  <c r="E67" i="5"/>
  <c r="AW16" i="5"/>
  <c r="AV16" i="5" s="1"/>
  <c r="AU16" i="5" s="1"/>
  <c r="M16" i="5" s="1"/>
  <c r="BE174" i="5"/>
  <c r="BD174" i="5" s="1"/>
  <c r="BC174" i="5" s="1"/>
  <c r="P174" i="5" s="1"/>
  <c r="N18" i="5"/>
  <c r="N67" i="5"/>
  <c r="BE55" i="5"/>
  <c r="BD55" i="5" s="1"/>
  <c r="BC55" i="5" s="1"/>
  <c r="P55" i="5" s="1"/>
  <c r="N205" i="5"/>
  <c r="BE116" i="5"/>
  <c r="BD116" i="5" s="1"/>
  <c r="BC116" i="5" s="1"/>
  <c r="P116" i="5" s="1"/>
  <c r="BE104" i="5"/>
  <c r="BD104" i="5" s="1"/>
  <c r="BC104" i="5" s="1"/>
  <c r="P104" i="5" s="1"/>
  <c r="AW135" i="5"/>
  <c r="AV135" i="5" s="1"/>
  <c r="AU135" i="5" s="1"/>
  <c r="M135" i="5" s="1"/>
  <c r="H145" i="5"/>
  <c r="AH18" i="5"/>
  <c r="AG18" i="5" s="1"/>
  <c r="AF18" i="5" s="1"/>
  <c r="G18" i="5" s="1"/>
  <c r="H67" i="5"/>
  <c r="H47" i="5"/>
  <c r="AW132" i="5"/>
  <c r="AV132" i="5" s="1"/>
  <c r="AU132" i="5" s="1"/>
  <c r="M132" i="5" s="1"/>
  <c r="BE107" i="5"/>
  <c r="BD107" i="5" s="1"/>
  <c r="BC107" i="5" s="1"/>
  <c r="P107" i="5" s="1"/>
  <c r="AH64" i="5"/>
  <c r="AG64" i="5" s="1"/>
  <c r="AF64" i="5" s="1"/>
  <c r="G64" i="5" s="1"/>
  <c r="AH63" i="5"/>
  <c r="AG63" i="5" s="1"/>
  <c r="AF63" i="5" s="1"/>
  <c r="G63" i="5" s="1"/>
  <c r="BE190" i="5"/>
  <c r="BD190" i="5" s="1"/>
  <c r="BC190" i="5" s="1"/>
  <c r="P190" i="5" s="1"/>
  <c r="N135" i="5"/>
  <c r="AW139" i="5"/>
  <c r="AV139" i="5" s="1"/>
  <c r="AU139" i="5" s="1"/>
  <c r="M139" i="5" s="1"/>
  <c r="BE123" i="5"/>
  <c r="BD123" i="5" s="1"/>
  <c r="BC123" i="5" s="1"/>
  <c r="P123" i="5" s="1"/>
  <c r="AW67" i="5"/>
  <c r="AV67" i="5" s="1"/>
  <c r="AU67" i="5" s="1"/>
  <c r="M67" i="5" s="1"/>
  <c r="AW177" i="5"/>
  <c r="AV177" i="5" s="1"/>
  <c r="AU177" i="5" s="1"/>
  <c r="M177" i="5" s="1"/>
  <c r="AW196" i="5"/>
  <c r="AV196" i="5" s="1"/>
  <c r="AU196" i="5" s="1"/>
  <c r="M196" i="5" s="1"/>
  <c r="AO55" i="5"/>
  <c r="AN55" i="5" s="1"/>
  <c r="AM55" i="5" s="1"/>
  <c r="J55" i="5" s="1"/>
  <c r="N148" i="5"/>
  <c r="E47" i="5"/>
  <c r="AO174" i="5"/>
  <c r="AN174" i="5" s="1"/>
  <c r="AM174" i="5" s="1"/>
  <c r="J174" i="5" s="1"/>
  <c r="BE163" i="5"/>
  <c r="BD163" i="5" s="1"/>
  <c r="BC163" i="5" s="1"/>
  <c r="P163" i="5" s="1"/>
  <c r="AH104" i="5"/>
  <c r="AG104" i="5" s="1"/>
  <c r="AF104" i="5" s="1"/>
  <c r="G104" i="5" s="1"/>
  <c r="K18" i="5"/>
  <c r="BE132" i="5"/>
  <c r="BD132" i="5" s="1"/>
  <c r="BC132" i="5" s="1"/>
  <c r="P132" i="5" s="1"/>
  <c r="AO137" i="5"/>
  <c r="AN137" i="5" s="1"/>
  <c r="AM137" i="5" s="1"/>
  <c r="J137" i="5" s="1"/>
  <c r="AH163" i="5"/>
  <c r="AG163" i="5" s="1"/>
  <c r="AF163" i="5" s="1"/>
  <c r="G163" i="5" s="1"/>
  <c r="H130" i="5"/>
  <c r="E201" i="5"/>
  <c r="AW54" i="5"/>
  <c r="AV54" i="5" s="1"/>
  <c r="AU54" i="5" s="1"/>
  <c r="M54" i="5" s="1"/>
  <c r="AW138" i="5"/>
  <c r="AV138" i="5" s="1"/>
  <c r="AU138" i="5" s="1"/>
  <c r="M138" i="5" s="1"/>
  <c r="AH116" i="5"/>
  <c r="AG116" i="5" s="1"/>
  <c r="AF116" i="5" s="1"/>
  <c r="G116" i="5" s="1"/>
  <c r="AW148" i="5"/>
  <c r="AV148" i="5" s="1"/>
  <c r="AU148" i="5" s="1"/>
  <c r="M148" i="5" s="1"/>
  <c r="BE177" i="5"/>
  <c r="BD177" i="5" s="1"/>
  <c r="BC177" i="5" s="1"/>
  <c r="P177" i="5" s="1"/>
  <c r="K64" i="5"/>
  <c r="AW80" i="5"/>
  <c r="AV80" i="5" s="1"/>
  <c r="AU80" i="5" s="1"/>
  <c r="M80" i="5" s="1"/>
  <c r="AW84" i="5"/>
  <c r="AV84" i="5" s="1"/>
  <c r="AU84" i="5" s="1"/>
  <c r="M84" i="5" s="1"/>
  <c r="BE206" i="5"/>
  <c r="BD206" i="5" s="1"/>
  <c r="BC206" i="5" s="1"/>
  <c r="P206" i="5" s="1"/>
  <c r="K77" i="5"/>
  <c r="E138" i="5"/>
  <c r="AW206" i="5"/>
  <c r="AV206" i="5" s="1"/>
  <c r="AU206" i="5" s="1"/>
  <c r="M206" i="5" s="1"/>
  <c r="AH55" i="5"/>
  <c r="AG55" i="5" s="1"/>
  <c r="AF55" i="5" s="1"/>
  <c r="G55" i="5" s="1"/>
  <c r="AH84" i="5"/>
  <c r="AG84" i="5" s="1"/>
  <c r="AF84" i="5" s="1"/>
  <c r="G84" i="5" s="1"/>
  <c r="AO84" i="5"/>
  <c r="AN84" i="5" s="1"/>
  <c r="AM84" i="5" s="1"/>
  <c r="J84" i="5" s="1"/>
  <c r="AO206" i="5"/>
  <c r="AN206" i="5" s="1"/>
  <c r="AM206" i="5" s="1"/>
  <c r="J206" i="5" s="1"/>
  <c r="AH177" i="5"/>
  <c r="AG177" i="5" s="1"/>
  <c r="AF177" i="5" s="1"/>
  <c r="G177" i="5" s="1"/>
  <c r="K190" i="5"/>
  <c r="AO132" i="5"/>
  <c r="AN132" i="5" s="1"/>
  <c r="AM132" i="5" s="1"/>
  <c r="J132" i="5" s="1"/>
  <c r="BE146" i="5"/>
  <c r="BD146" i="5" s="1"/>
  <c r="BC146" i="5" s="1"/>
  <c r="P146" i="5" s="1"/>
  <c r="BE51" i="5"/>
  <c r="BD51" i="5" s="1"/>
  <c r="BC51" i="5" s="1"/>
  <c r="P51" i="5" s="1"/>
  <c r="AW193" i="5"/>
  <c r="AV193" i="5" s="1"/>
  <c r="AU193" i="5" s="1"/>
  <c r="M193" i="5" s="1"/>
  <c r="H10" i="5"/>
  <c r="AW47" i="5"/>
  <c r="AV47" i="5" s="1"/>
  <c r="AU47" i="5" s="1"/>
  <c r="M47" i="5" s="1"/>
  <c r="AO16" i="5"/>
  <c r="AN16" i="5" s="1"/>
  <c r="AM16" i="5" s="1"/>
  <c r="J16" i="5" s="1"/>
  <c r="N54" i="5"/>
  <c r="AH54" i="5"/>
  <c r="AG54" i="5" s="1"/>
  <c r="AF54" i="5" s="1"/>
  <c r="G54" i="5" s="1"/>
  <c r="N193" i="5"/>
  <c r="BE144" i="5"/>
  <c r="BD144" i="5" s="1"/>
  <c r="BC144" i="5" s="1"/>
  <c r="P144" i="5" s="1"/>
  <c r="AH137" i="5"/>
  <c r="AG137" i="5" s="1"/>
  <c r="AF137" i="5" s="1"/>
  <c r="G137" i="5" s="1"/>
  <c r="E91" i="5"/>
  <c r="BE15" i="5"/>
  <c r="BD15" i="5" s="1"/>
  <c r="BC15" i="5" s="1"/>
  <c r="P15" i="5" s="1"/>
  <c r="AH139" i="5"/>
  <c r="AG139" i="5" s="1"/>
  <c r="AF139" i="5" s="1"/>
  <c r="G139" i="5" s="1"/>
  <c r="AO190" i="5"/>
  <c r="AN190" i="5" s="1"/>
  <c r="AM190" i="5" s="1"/>
  <c r="J190" i="5" s="1"/>
  <c r="H138" i="5"/>
  <c r="K51" i="5"/>
  <c r="BE139" i="5"/>
  <c r="BD139" i="5" s="1"/>
  <c r="BC139" i="5" s="1"/>
  <c r="P139" i="5" s="1"/>
  <c r="H193" i="5"/>
  <c r="N63" i="5"/>
  <c r="H107" i="5"/>
  <c r="K107" i="5"/>
  <c r="H63" i="5"/>
  <c r="AH196" i="5"/>
  <c r="AG196" i="5" s="1"/>
  <c r="AF196" i="5" s="1"/>
  <c r="G196" i="5" s="1"/>
  <c r="N196" i="5"/>
  <c r="H123" i="5"/>
  <c r="AH144" i="5"/>
  <c r="AG144" i="5" s="1"/>
  <c r="AF144" i="5" s="1"/>
  <c r="G144" i="5" s="1"/>
  <c r="AO144" i="5"/>
  <c r="AN144" i="5" s="1"/>
  <c r="AM144" i="5" s="1"/>
  <c r="J144" i="5" s="1"/>
  <c r="H91" i="5"/>
  <c r="K10" i="5"/>
  <c r="N10" i="5"/>
  <c r="AW144" i="5"/>
  <c r="AV144" i="5" s="1"/>
  <c r="AU144" i="5" s="1"/>
  <c r="M144" i="5" s="1"/>
  <c r="BE103" i="5"/>
  <c r="BD103" i="5" s="1"/>
  <c r="BC103" i="5" s="1"/>
  <c r="P103" i="5" s="1"/>
  <c r="N138" i="5"/>
  <c r="AO147" i="5"/>
  <c r="AN147" i="5" s="1"/>
  <c r="AM147" i="5" s="1"/>
  <c r="J147" i="5" s="1"/>
  <c r="AW123" i="5"/>
  <c r="AV123" i="5" s="1"/>
  <c r="AU123" i="5" s="1"/>
  <c r="M123" i="5" s="1"/>
  <c r="AH103" i="5"/>
  <c r="AG103" i="5" s="1"/>
  <c r="AF103" i="5" s="1"/>
  <c r="G103" i="5" s="1"/>
  <c r="AW174" i="5"/>
  <c r="AV174" i="5" s="1"/>
  <c r="AU174" i="5" s="1"/>
  <c r="M174" i="5" s="1"/>
  <c r="E123" i="5"/>
  <c r="BE127" i="5"/>
  <c r="BD127" i="5" s="1"/>
  <c r="BC127" i="5" s="1"/>
  <c r="P127" i="5" s="1"/>
  <c r="AH206" i="5"/>
  <c r="AG206" i="5" s="1"/>
  <c r="AF206" i="5" s="1"/>
  <c r="G206" i="5" s="1"/>
  <c r="AH77" i="5"/>
  <c r="AG77" i="5" s="1"/>
  <c r="AF77" i="5" s="1"/>
  <c r="G77" i="5" s="1"/>
  <c r="AO51" i="5"/>
  <c r="AN51" i="5" s="1"/>
  <c r="AM51" i="5" s="1"/>
  <c r="J51" i="5" s="1"/>
  <c r="AO177" i="5"/>
  <c r="AN177" i="5" s="1"/>
  <c r="AM177" i="5" s="1"/>
  <c r="J177" i="5" s="1"/>
  <c r="N16" i="5"/>
  <c r="H163" i="5"/>
  <c r="N130" i="5"/>
  <c r="K145" i="5"/>
  <c r="AW145" i="5"/>
  <c r="AV145" i="5" s="1"/>
  <c r="AU145" i="5" s="1"/>
  <c r="M145" i="5" s="1"/>
  <c r="H103" i="5"/>
  <c r="AO103" i="5"/>
  <c r="AN103" i="5" s="1"/>
  <c r="AM103" i="5" s="1"/>
  <c r="J103" i="5" s="1"/>
  <c r="AO116" i="5"/>
  <c r="AN116" i="5" s="1"/>
  <c r="AM116" i="5" s="1"/>
  <c r="J116" i="5" s="1"/>
  <c r="AH31" i="5"/>
  <c r="AG31" i="5" s="1"/>
  <c r="AF31" i="5" s="1"/>
  <c r="G31" i="5" s="1"/>
  <c r="AH51" i="5"/>
  <c r="AG51" i="5" s="1"/>
  <c r="AF51" i="5" s="1"/>
  <c r="G51" i="5" s="1"/>
  <c r="AH145" i="5"/>
  <c r="AG145" i="5" s="1"/>
  <c r="AF145" i="5" s="1"/>
  <c r="G145" i="5" s="1"/>
  <c r="H139" i="5"/>
  <c r="N77" i="5"/>
  <c r="BE77" i="5"/>
  <c r="BD77" i="5" s="1"/>
  <c r="BC77" i="5" s="1"/>
  <c r="P77" i="5" s="1"/>
  <c r="AO180" i="5"/>
  <c r="AN180" i="5" s="1"/>
  <c r="AM180" i="5" s="1"/>
  <c r="J180" i="5" s="1"/>
  <c r="AH148" i="5"/>
  <c r="AG148" i="5" s="1"/>
  <c r="AF148" i="5" s="1"/>
  <c r="G148" i="5" s="1"/>
  <c r="E132" i="5"/>
  <c r="AH132" i="5"/>
  <c r="AG132" i="5" s="1"/>
  <c r="AF132" i="5" s="1"/>
  <c r="G132" i="5" s="1"/>
  <c r="AH133" i="5"/>
  <c r="AG133" i="5" s="1"/>
  <c r="AF133" i="5" s="1"/>
  <c r="G133" i="5" s="1"/>
  <c r="E133" i="5"/>
  <c r="AW133" i="5"/>
  <c r="AV133" i="5" s="1"/>
  <c r="AU133" i="5" s="1"/>
  <c r="M133" i="5" s="1"/>
  <c r="K133" i="5"/>
  <c r="BE207" i="5"/>
  <c r="BD207" i="5" s="1"/>
  <c r="BC207" i="5" s="1"/>
  <c r="P207" i="5" s="1"/>
  <c r="N207" i="5"/>
  <c r="AW207" i="5"/>
  <c r="AV207" i="5" s="1"/>
  <c r="AU207" i="5" s="1"/>
  <c r="M207" i="5" s="1"/>
  <c r="N133" i="5"/>
  <c r="BE133" i="5"/>
  <c r="BD133" i="5" s="1"/>
  <c r="BC133" i="5" s="1"/>
  <c r="P133" i="5" s="1"/>
  <c r="H207" i="5"/>
  <c r="AO207" i="5"/>
  <c r="AN207" i="5" s="1"/>
  <c r="AM207" i="5" s="1"/>
  <c r="J207" i="5" s="1"/>
  <c r="E207" i="5"/>
  <c r="AH207" i="5"/>
  <c r="AG207" i="5" s="1"/>
  <c r="AF207" i="5" s="1"/>
  <c r="G207" i="5" s="1"/>
  <c r="AO133" i="5"/>
  <c r="AN133" i="5" s="1"/>
  <c r="AM133" i="5" s="1"/>
  <c r="J133" i="5" s="1"/>
  <c r="H133" i="5"/>
  <c r="K147" i="5"/>
  <c r="K50" i="5"/>
  <c r="BE106" i="5"/>
  <c r="BD106" i="5" s="1"/>
  <c r="BC106" i="5" s="1"/>
  <c r="P106" i="5" s="1"/>
  <c r="AH50" i="5"/>
  <c r="AG50" i="5" s="1"/>
  <c r="AF50" i="5" s="1"/>
  <c r="G50" i="5" s="1"/>
  <c r="AW102" i="5"/>
  <c r="AV102" i="5" s="1"/>
  <c r="AU102" i="5" s="1"/>
  <c r="M102" i="5" s="1"/>
  <c r="AH15" i="5"/>
  <c r="AG15" i="5" s="1"/>
  <c r="AF15" i="5" s="1"/>
  <c r="G15" i="5" s="1"/>
  <c r="K17" i="5"/>
  <c r="AH157" i="5"/>
  <c r="AG157" i="5" s="1"/>
  <c r="AF157" i="5" s="1"/>
  <c r="G157" i="5" s="1"/>
  <c r="AH25" i="5"/>
  <c r="AG25" i="5" s="1"/>
  <c r="AF25" i="5" s="1"/>
  <c r="G25" i="5" s="1"/>
  <c r="N120" i="5"/>
  <c r="N91" i="5"/>
  <c r="K119" i="5"/>
  <c r="BE147" i="5"/>
  <c r="BD147" i="5" s="1"/>
  <c r="BC147" i="5" s="1"/>
  <c r="P147" i="5" s="1"/>
  <c r="E180" i="5"/>
  <c r="N50" i="5"/>
  <c r="AH80" i="5"/>
  <c r="AG80" i="5" s="1"/>
  <c r="AF80" i="5" s="1"/>
  <c r="G80" i="5" s="1"/>
  <c r="AH203" i="5"/>
  <c r="AG203" i="5" s="1"/>
  <c r="AF203" i="5" s="1"/>
  <c r="G203" i="5" s="1"/>
  <c r="K75" i="5"/>
  <c r="AO80" i="5"/>
  <c r="AN80" i="5" s="1"/>
  <c r="AM80" i="5" s="1"/>
  <c r="J80" i="5" s="1"/>
  <c r="N31" i="5"/>
  <c r="AH202" i="5"/>
  <c r="AG202" i="5" s="1"/>
  <c r="AF202" i="5" s="1"/>
  <c r="G202" i="5" s="1"/>
  <c r="K146" i="5"/>
  <c r="AH178" i="5"/>
  <c r="AG178" i="5" s="1"/>
  <c r="AF178" i="5" s="1"/>
  <c r="G178" i="5" s="1"/>
  <c r="AO154" i="5"/>
  <c r="AN154" i="5" s="1"/>
  <c r="AM154" i="5" s="1"/>
  <c r="J154" i="5" s="1"/>
  <c r="H50" i="5"/>
  <c r="K62" i="5"/>
  <c r="AO146" i="5"/>
  <c r="AN146" i="5" s="1"/>
  <c r="AM146" i="5" s="1"/>
  <c r="J146" i="5" s="1"/>
  <c r="N38" i="5"/>
  <c r="N158" i="5"/>
  <c r="K31" i="5"/>
  <c r="AH140" i="5"/>
  <c r="AG140" i="5" s="1"/>
  <c r="AF140" i="5" s="1"/>
  <c r="G140" i="5" s="1"/>
  <c r="H15" i="5"/>
  <c r="N68" i="5"/>
  <c r="AO202" i="5"/>
  <c r="AN202" i="5" s="1"/>
  <c r="AM202" i="5" s="1"/>
  <c r="J202" i="5" s="1"/>
  <c r="AH62" i="5"/>
  <c r="AG62" i="5" s="1"/>
  <c r="AF62" i="5" s="1"/>
  <c r="G62" i="5" s="1"/>
  <c r="AW95" i="5"/>
  <c r="AV95" i="5" s="1"/>
  <c r="AU95" i="5" s="1"/>
  <c r="M95" i="5" s="1"/>
  <c r="H71" i="5"/>
  <c r="AW38" i="5"/>
  <c r="AV38" i="5" s="1"/>
  <c r="AU38" i="5" s="1"/>
  <c r="M38" i="5" s="1"/>
  <c r="AH191" i="5"/>
  <c r="AG191" i="5" s="1"/>
  <c r="AF191" i="5" s="1"/>
  <c r="G191" i="5" s="1"/>
  <c r="K163" i="5"/>
  <c r="AW131" i="5"/>
  <c r="AV131" i="5" s="1"/>
  <c r="AU131" i="5" s="1"/>
  <c r="M131" i="5" s="1"/>
  <c r="N65" i="5"/>
  <c r="AH81" i="5"/>
  <c r="AG81" i="5" s="1"/>
  <c r="AF81" i="5" s="1"/>
  <c r="G81" i="5" s="1"/>
  <c r="AW125" i="5"/>
  <c r="AV125" i="5" s="1"/>
  <c r="AU125" i="5" s="1"/>
  <c r="M125" i="5" s="1"/>
  <c r="AH38" i="5"/>
  <c r="AG38" i="5" s="1"/>
  <c r="AF38" i="5" s="1"/>
  <c r="G38" i="5" s="1"/>
  <c r="H178" i="5"/>
  <c r="E39" i="5"/>
  <c r="BE162" i="5"/>
  <c r="BD162" i="5" s="1"/>
  <c r="BC162" i="5" s="1"/>
  <c r="P162" i="5" s="1"/>
  <c r="AO131" i="5"/>
  <c r="AN131" i="5" s="1"/>
  <c r="AM131" i="5" s="1"/>
  <c r="J131" i="5" s="1"/>
  <c r="AO38" i="5"/>
  <c r="AN38" i="5" s="1"/>
  <c r="AM38" i="5" s="1"/>
  <c r="J38" i="5" s="1"/>
  <c r="AH76" i="5"/>
  <c r="AG76" i="5" s="1"/>
  <c r="AF76" i="5" s="1"/>
  <c r="G76" i="5" s="1"/>
  <c r="AH146" i="5"/>
  <c r="AG146" i="5" s="1"/>
  <c r="AF146" i="5" s="1"/>
  <c r="G146" i="5" s="1"/>
  <c r="N113" i="5"/>
  <c r="AH131" i="5"/>
  <c r="AG131" i="5" s="1"/>
  <c r="AF131" i="5" s="1"/>
  <c r="G131" i="5" s="1"/>
  <c r="BE173" i="5"/>
  <c r="BD173" i="5" s="1"/>
  <c r="BC173" i="5" s="1"/>
  <c r="P173" i="5" s="1"/>
  <c r="AO205" i="5"/>
  <c r="AN205" i="5" s="1"/>
  <c r="AM205" i="5" s="1"/>
  <c r="J205" i="5" s="1"/>
  <c r="H158" i="5"/>
  <c r="BE131" i="5"/>
  <c r="BD131" i="5" s="1"/>
  <c r="BC131" i="5" s="1"/>
  <c r="P131" i="5" s="1"/>
  <c r="AH59" i="5"/>
  <c r="AG59" i="5" s="1"/>
  <c r="AF59" i="5" s="1"/>
  <c r="G59" i="5" s="1"/>
  <c r="AW76" i="5"/>
  <c r="AV76" i="5" s="1"/>
  <c r="AU76" i="5" s="1"/>
  <c r="M76" i="5" s="1"/>
  <c r="AO76" i="5"/>
  <c r="AN76" i="5" s="1"/>
  <c r="AM76" i="5" s="1"/>
  <c r="J76" i="5" s="1"/>
  <c r="AO179" i="5"/>
  <c r="AN179" i="5" s="1"/>
  <c r="AM179" i="5" s="1"/>
  <c r="J179" i="5" s="1"/>
  <c r="BE169" i="5"/>
  <c r="BD169" i="5" s="1"/>
  <c r="BC169" i="5" s="1"/>
  <c r="P169" i="5" s="1"/>
  <c r="BE165" i="5"/>
  <c r="BD165" i="5" s="1"/>
  <c r="BC165" i="5" s="1"/>
  <c r="P165" i="5" s="1"/>
  <c r="AH65" i="5"/>
  <c r="AG65" i="5" s="1"/>
  <c r="AF65" i="5" s="1"/>
  <c r="G65" i="5" s="1"/>
  <c r="K81" i="5"/>
  <c r="AO129" i="5"/>
  <c r="AN129" i="5" s="1"/>
  <c r="AM129" i="5" s="1"/>
  <c r="J129" i="5" s="1"/>
  <c r="AH112" i="5"/>
  <c r="AG112" i="5" s="1"/>
  <c r="AF112" i="5" s="1"/>
  <c r="G112" i="5" s="1"/>
  <c r="AW208" i="5"/>
  <c r="AV208" i="5" s="1"/>
  <c r="AU208" i="5" s="1"/>
  <c r="M208" i="5" s="1"/>
  <c r="BE80" i="5"/>
  <c r="BD80" i="5" s="1"/>
  <c r="BC80" i="5" s="1"/>
  <c r="P80" i="5" s="1"/>
  <c r="AH147" i="5"/>
  <c r="AG147" i="5" s="1"/>
  <c r="AF147" i="5" s="1"/>
  <c r="G147" i="5" s="1"/>
  <c r="AH68" i="5"/>
  <c r="AG68" i="5" s="1"/>
  <c r="AF68" i="5" s="1"/>
  <c r="G68" i="5" s="1"/>
  <c r="H59" i="5"/>
  <c r="E153" i="5"/>
  <c r="BE59" i="5"/>
  <c r="BD59" i="5" s="1"/>
  <c r="BC59" i="5" s="1"/>
  <c r="P59" i="5" s="1"/>
  <c r="AW106" i="5"/>
  <c r="AV106" i="5" s="1"/>
  <c r="AU106" i="5" s="1"/>
  <c r="M106" i="5" s="1"/>
  <c r="E205" i="5"/>
  <c r="AH106" i="5"/>
  <c r="AG106" i="5" s="1"/>
  <c r="AF106" i="5" s="1"/>
  <c r="G106" i="5" s="1"/>
  <c r="N81" i="5"/>
  <c r="AO41" i="5"/>
  <c r="AN41" i="5" s="1"/>
  <c r="AM41" i="5" s="1"/>
  <c r="J41" i="5" s="1"/>
  <c r="H106" i="5"/>
  <c r="H119" i="5"/>
  <c r="BE180" i="5"/>
  <c r="BD180" i="5" s="1"/>
  <c r="BC180" i="5" s="1"/>
  <c r="P180" i="5" s="1"/>
  <c r="K187" i="5"/>
  <c r="AO113" i="5"/>
  <c r="AN113" i="5" s="1"/>
  <c r="AM113" i="5" s="1"/>
  <c r="J113" i="5" s="1"/>
  <c r="AW21" i="5"/>
  <c r="AV21" i="5" s="1"/>
  <c r="AU21" i="5" s="1"/>
  <c r="M21" i="5" s="1"/>
  <c r="E129" i="5"/>
  <c r="K157" i="5"/>
  <c r="AO169" i="5"/>
  <c r="AN169" i="5" s="1"/>
  <c r="AM169" i="5" s="1"/>
  <c r="J169" i="5" s="1"/>
  <c r="BE118" i="5"/>
  <c r="BD118" i="5" s="1"/>
  <c r="BC118" i="5" s="1"/>
  <c r="P118" i="5" s="1"/>
  <c r="N134" i="5"/>
  <c r="BE21" i="5"/>
  <c r="BD21" i="5" s="1"/>
  <c r="BC21" i="5" s="1"/>
  <c r="P21" i="5" s="1"/>
  <c r="AW61" i="5"/>
  <c r="AV61" i="5" s="1"/>
  <c r="AU61" i="5" s="1"/>
  <c r="M61" i="5" s="1"/>
  <c r="K59" i="5"/>
  <c r="AW35" i="5"/>
  <c r="AV35" i="5" s="1"/>
  <c r="AU35" i="5" s="1"/>
  <c r="M35" i="5" s="1"/>
  <c r="AW29" i="5"/>
  <c r="AV29" i="5" s="1"/>
  <c r="AU29" i="5" s="1"/>
  <c r="M29" i="5" s="1"/>
  <c r="H29" i="5"/>
  <c r="N179" i="5"/>
  <c r="AH113" i="5"/>
  <c r="AG113" i="5" s="1"/>
  <c r="AF113" i="5" s="1"/>
  <c r="G113" i="5" s="1"/>
  <c r="AW186" i="5"/>
  <c r="AV186" i="5" s="1"/>
  <c r="AU186" i="5" s="1"/>
  <c r="M186" i="5" s="1"/>
  <c r="AW114" i="5"/>
  <c r="AV114" i="5" s="1"/>
  <c r="AU114" i="5" s="1"/>
  <c r="M114" i="5" s="1"/>
  <c r="E29" i="5"/>
  <c r="AO166" i="5"/>
  <c r="AN166" i="5" s="1"/>
  <c r="AM166" i="5" s="1"/>
  <c r="J166" i="5" s="1"/>
  <c r="AW28" i="5"/>
  <c r="AV28" i="5" s="1"/>
  <c r="AU28" i="5" s="1"/>
  <c r="M28" i="5" s="1"/>
  <c r="AW191" i="5"/>
  <c r="AV191" i="5" s="1"/>
  <c r="AU191" i="5" s="1"/>
  <c r="M191" i="5" s="1"/>
  <c r="AH119" i="5"/>
  <c r="AG119" i="5" s="1"/>
  <c r="AF119" i="5" s="1"/>
  <c r="G119" i="5" s="1"/>
  <c r="AW141" i="5"/>
  <c r="AV141" i="5" s="1"/>
  <c r="AU141" i="5" s="1"/>
  <c r="M141" i="5" s="1"/>
  <c r="AO140" i="5"/>
  <c r="AN140" i="5" s="1"/>
  <c r="AM140" i="5" s="1"/>
  <c r="J140" i="5" s="1"/>
  <c r="N85" i="5"/>
  <c r="E179" i="5"/>
  <c r="BE78" i="5"/>
  <c r="BD78" i="5" s="1"/>
  <c r="BC78" i="5" s="1"/>
  <c r="P78" i="5" s="1"/>
  <c r="N35" i="5"/>
  <c r="AW179" i="5"/>
  <c r="AV179" i="5" s="1"/>
  <c r="AU179" i="5" s="1"/>
  <c r="M179" i="5" s="1"/>
  <c r="E21" i="5"/>
  <c r="AO156" i="5"/>
  <c r="AN156" i="5" s="1"/>
  <c r="AM156" i="5" s="1"/>
  <c r="J156" i="5" s="1"/>
  <c r="AO173" i="5"/>
  <c r="AN173" i="5" s="1"/>
  <c r="AM173" i="5" s="1"/>
  <c r="J173" i="5" s="1"/>
  <c r="AH120" i="5"/>
  <c r="AG120" i="5" s="1"/>
  <c r="AF120" i="5" s="1"/>
  <c r="G120" i="5" s="1"/>
  <c r="AW168" i="5"/>
  <c r="AV168" i="5" s="1"/>
  <c r="AU168" i="5" s="1"/>
  <c r="M168" i="5" s="1"/>
  <c r="AW100" i="5"/>
  <c r="AV100" i="5" s="1"/>
  <c r="AU100" i="5" s="1"/>
  <c r="M100" i="5" s="1"/>
  <c r="K158" i="5"/>
  <c r="E173" i="5"/>
  <c r="AO124" i="5"/>
  <c r="AN124" i="5" s="1"/>
  <c r="AM124" i="5" s="1"/>
  <c r="J124" i="5" s="1"/>
  <c r="E127" i="5"/>
  <c r="E28" i="5"/>
  <c r="AH105" i="5"/>
  <c r="AG105" i="5" s="1"/>
  <c r="AF105" i="5" s="1"/>
  <c r="G105" i="5" s="1"/>
  <c r="AW205" i="5"/>
  <c r="AV205" i="5" s="1"/>
  <c r="AU205" i="5" s="1"/>
  <c r="M205" i="5" s="1"/>
  <c r="E169" i="5"/>
  <c r="BE17" i="5"/>
  <c r="BD17" i="5" s="1"/>
  <c r="BC17" i="5" s="1"/>
  <c r="P17" i="5" s="1"/>
  <c r="AH17" i="5"/>
  <c r="AG17" i="5" s="1"/>
  <c r="AF17" i="5" s="1"/>
  <c r="G17" i="5" s="1"/>
  <c r="N41" i="5"/>
  <c r="N61" i="5"/>
  <c r="BE61" i="5"/>
  <c r="BD61" i="5" s="1"/>
  <c r="BC61" i="5" s="1"/>
  <c r="P61" i="5" s="1"/>
  <c r="AO127" i="5"/>
  <c r="AN127" i="5" s="1"/>
  <c r="AM127" i="5" s="1"/>
  <c r="J127" i="5" s="1"/>
  <c r="AW113" i="5"/>
  <c r="AV113" i="5" s="1"/>
  <c r="AU113" i="5" s="1"/>
  <c r="M113" i="5" s="1"/>
  <c r="K65" i="5"/>
  <c r="AO191" i="5"/>
  <c r="AN191" i="5" s="1"/>
  <c r="AM191" i="5" s="1"/>
  <c r="J191" i="5" s="1"/>
  <c r="AH61" i="5"/>
  <c r="AG61" i="5" s="1"/>
  <c r="AF61" i="5" s="1"/>
  <c r="G61" i="5" s="1"/>
  <c r="E61" i="5"/>
  <c r="E204" i="5"/>
  <c r="BE140" i="5"/>
  <c r="BD140" i="5" s="1"/>
  <c r="BC140" i="5" s="1"/>
  <c r="P140" i="5" s="1"/>
  <c r="K39" i="5"/>
  <c r="H165" i="5"/>
  <c r="AW165" i="5"/>
  <c r="AV165" i="5" s="1"/>
  <c r="AU165" i="5" s="1"/>
  <c r="M165" i="5" s="1"/>
  <c r="E154" i="5"/>
  <c r="AW166" i="5"/>
  <c r="AV166" i="5" s="1"/>
  <c r="AU166" i="5" s="1"/>
  <c r="M166" i="5" s="1"/>
  <c r="AH162" i="5"/>
  <c r="AG162" i="5" s="1"/>
  <c r="AF162" i="5" s="1"/>
  <c r="G162" i="5" s="1"/>
  <c r="K78" i="5"/>
  <c r="N125" i="5"/>
  <c r="H61" i="5"/>
  <c r="AO61" i="5"/>
  <c r="AN61" i="5" s="1"/>
  <c r="AM61" i="5" s="1"/>
  <c r="J61" i="5" s="1"/>
  <c r="H62" i="5"/>
  <c r="AO35" i="5"/>
  <c r="AN35" i="5" s="1"/>
  <c r="AM35" i="5" s="1"/>
  <c r="J35" i="5" s="1"/>
  <c r="AO89" i="5"/>
  <c r="AN89" i="5" s="1"/>
  <c r="AM89" i="5" s="1"/>
  <c r="J89" i="5" s="1"/>
  <c r="BE191" i="5"/>
  <c r="BD191" i="5" s="1"/>
  <c r="BC191" i="5" s="1"/>
  <c r="P191" i="5" s="1"/>
  <c r="E102" i="5"/>
  <c r="AH124" i="5"/>
  <c r="AG124" i="5" s="1"/>
  <c r="AF124" i="5" s="1"/>
  <c r="G124" i="5" s="1"/>
  <c r="AH181" i="5"/>
  <c r="AG181" i="5" s="1"/>
  <c r="AF181" i="5" s="1"/>
  <c r="G181" i="5" s="1"/>
  <c r="N119" i="5"/>
  <c r="BE119" i="5"/>
  <c r="BD119" i="5" s="1"/>
  <c r="BC119" i="5" s="1"/>
  <c r="P119" i="5" s="1"/>
  <c r="BE178" i="5"/>
  <c r="BD178" i="5" s="1"/>
  <c r="BC178" i="5" s="1"/>
  <c r="P178" i="5" s="1"/>
  <c r="H31" i="5"/>
  <c r="K71" i="5"/>
  <c r="AO68" i="5"/>
  <c r="AN68" i="5" s="1"/>
  <c r="AM68" i="5" s="1"/>
  <c r="J68" i="5" s="1"/>
  <c r="BE187" i="5"/>
  <c r="BD187" i="5" s="1"/>
  <c r="BC187" i="5" s="1"/>
  <c r="P187" i="5" s="1"/>
  <c r="N187" i="5"/>
  <c r="BE83" i="5"/>
  <c r="BD83" i="5" s="1"/>
  <c r="BC83" i="5" s="1"/>
  <c r="P83" i="5" s="1"/>
  <c r="AO170" i="5"/>
  <c r="AN170" i="5" s="1"/>
  <c r="AM170" i="5" s="1"/>
  <c r="J170" i="5" s="1"/>
  <c r="K25" i="5"/>
  <c r="AH141" i="5"/>
  <c r="AG141" i="5" s="1"/>
  <c r="AF141" i="5" s="1"/>
  <c r="G141" i="5" s="1"/>
  <c r="BE153" i="5"/>
  <c r="BD153" i="5" s="1"/>
  <c r="BC153" i="5" s="1"/>
  <c r="P153" i="5" s="1"/>
  <c r="E187" i="5"/>
  <c r="H149" i="5"/>
  <c r="E198" i="5"/>
  <c r="AH198" i="5"/>
  <c r="AG198" i="5" s="1"/>
  <c r="AF198" i="5" s="1"/>
  <c r="G198" i="5" s="1"/>
  <c r="BE29" i="5"/>
  <c r="BD29" i="5" s="1"/>
  <c r="BC29" i="5" s="1"/>
  <c r="P29" i="5" s="1"/>
  <c r="K181" i="5"/>
  <c r="AO81" i="5"/>
  <c r="AN81" i="5" s="1"/>
  <c r="AM81" i="5" s="1"/>
  <c r="J81" i="5" s="1"/>
  <c r="AW143" i="5"/>
  <c r="AV143" i="5" s="1"/>
  <c r="AU143" i="5" s="1"/>
  <c r="M143" i="5" s="1"/>
  <c r="AH71" i="5"/>
  <c r="AG71" i="5" s="1"/>
  <c r="AF71" i="5" s="1"/>
  <c r="G71" i="5" s="1"/>
  <c r="E95" i="5"/>
  <c r="K112" i="5"/>
  <c r="AW85" i="5"/>
  <c r="AV85" i="5" s="1"/>
  <c r="AU85" i="5" s="1"/>
  <c r="M85" i="5" s="1"/>
  <c r="E56" i="5"/>
  <c r="N89" i="5"/>
  <c r="AH41" i="5"/>
  <c r="AG41" i="5" s="1"/>
  <c r="AF41" i="5" s="1"/>
  <c r="G41" i="5" s="1"/>
  <c r="E41" i="5"/>
  <c r="BE202" i="5"/>
  <c r="BD202" i="5" s="1"/>
  <c r="BC202" i="5" s="1"/>
  <c r="P202" i="5" s="1"/>
  <c r="BE25" i="5"/>
  <c r="BD25" i="5" s="1"/>
  <c r="BC25" i="5" s="1"/>
  <c r="P25" i="5" s="1"/>
  <c r="H28" i="5"/>
  <c r="K115" i="5"/>
  <c r="AO95" i="5"/>
  <c r="AN95" i="5" s="1"/>
  <c r="AM95" i="5" s="1"/>
  <c r="J95" i="5" s="1"/>
  <c r="H208" i="5"/>
  <c r="AH166" i="5"/>
  <c r="AG166" i="5" s="1"/>
  <c r="AF166" i="5" s="1"/>
  <c r="G166" i="5" s="1"/>
  <c r="BE92" i="5"/>
  <c r="BD92" i="5" s="1"/>
  <c r="BC92" i="5" s="1"/>
  <c r="P92" i="5" s="1"/>
  <c r="K56" i="5"/>
  <c r="AH118" i="5"/>
  <c r="AG118" i="5" s="1"/>
  <c r="AF118" i="5" s="1"/>
  <c r="G118" i="5" s="1"/>
  <c r="AW154" i="5"/>
  <c r="AV154" i="5" s="1"/>
  <c r="AU154" i="5" s="1"/>
  <c r="M154" i="5" s="1"/>
  <c r="AH34" i="5"/>
  <c r="AG34" i="5" s="1"/>
  <c r="AF34" i="5" s="1"/>
  <c r="G34" i="5" s="1"/>
  <c r="AO181" i="5"/>
  <c r="AN181" i="5" s="1"/>
  <c r="AM181" i="5" s="1"/>
  <c r="J181" i="5" s="1"/>
  <c r="AO141" i="5"/>
  <c r="AN141" i="5" s="1"/>
  <c r="AM141" i="5" s="1"/>
  <c r="J141" i="5" s="1"/>
  <c r="BE112" i="5"/>
  <c r="BD112" i="5" s="1"/>
  <c r="BC112" i="5" s="1"/>
  <c r="P112" i="5" s="1"/>
  <c r="AO85" i="5"/>
  <c r="AN85" i="5" s="1"/>
  <c r="AM85" i="5" s="1"/>
  <c r="J85" i="5" s="1"/>
  <c r="E134" i="5"/>
  <c r="BE168" i="5"/>
  <c r="BD168" i="5" s="1"/>
  <c r="BC168" i="5" s="1"/>
  <c r="P168" i="5" s="1"/>
  <c r="E125" i="5"/>
  <c r="AH125" i="5"/>
  <c r="AG125" i="5" s="1"/>
  <c r="AF125" i="5" s="1"/>
  <c r="G125" i="5" s="1"/>
  <c r="N34" i="5"/>
  <c r="K156" i="5"/>
  <c r="AW156" i="5"/>
  <c r="AV156" i="5" s="1"/>
  <c r="AU156" i="5" s="1"/>
  <c r="M156" i="5" s="1"/>
  <c r="K162" i="5"/>
  <c r="AH83" i="5"/>
  <c r="AG83" i="5" s="1"/>
  <c r="AF83" i="5" s="1"/>
  <c r="G83" i="5" s="1"/>
  <c r="AH208" i="5"/>
  <c r="AG208" i="5" s="1"/>
  <c r="AF208" i="5" s="1"/>
  <c r="G208" i="5" s="1"/>
  <c r="AW118" i="5"/>
  <c r="AV118" i="5" s="1"/>
  <c r="AU118" i="5" s="1"/>
  <c r="M118" i="5" s="1"/>
  <c r="BE181" i="5"/>
  <c r="BD181" i="5" s="1"/>
  <c r="BC181" i="5" s="1"/>
  <c r="P181" i="5" s="1"/>
  <c r="AO198" i="5"/>
  <c r="AN198" i="5" s="1"/>
  <c r="AM198" i="5" s="1"/>
  <c r="J198" i="5" s="1"/>
  <c r="BE149" i="5"/>
  <c r="BD149" i="5" s="1"/>
  <c r="BC149" i="5" s="1"/>
  <c r="P149" i="5" s="1"/>
  <c r="AH168" i="5"/>
  <c r="AG168" i="5" s="1"/>
  <c r="AF168" i="5" s="1"/>
  <c r="G168" i="5" s="1"/>
  <c r="AW120" i="5"/>
  <c r="AV120" i="5" s="1"/>
  <c r="AU120" i="5" s="1"/>
  <c r="M120" i="5" s="1"/>
  <c r="N100" i="5"/>
  <c r="BE100" i="5"/>
  <c r="BD100" i="5" s="1"/>
  <c r="BC100" i="5" s="1"/>
  <c r="P100" i="5" s="1"/>
  <c r="AW89" i="5"/>
  <c r="AV89" i="5" s="1"/>
  <c r="AU89" i="5" s="1"/>
  <c r="M89" i="5" s="1"/>
  <c r="K89" i="5"/>
  <c r="E170" i="5"/>
  <c r="AH170" i="5"/>
  <c r="AG170" i="5" s="1"/>
  <c r="AF170" i="5" s="1"/>
  <c r="G170" i="5" s="1"/>
  <c r="K129" i="5"/>
  <c r="BE154" i="5"/>
  <c r="BD154" i="5" s="1"/>
  <c r="BC154" i="5" s="1"/>
  <c r="P154" i="5" s="1"/>
  <c r="E89" i="5"/>
  <c r="AO192" i="5"/>
  <c r="AN192" i="5" s="1"/>
  <c r="AM192" i="5" s="1"/>
  <c r="J192" i="5" s="1"/>
  <c r="AW83" i="5"/>
  <c r="AV83" i="5" s="1"/>
  <c r="AU83" i="5" s="1"/>
  <c r="M83" i="5" s="1"/>
  <c r="AH100" i="5"/>
  <c r="AG100" i="5" s="1"/>
  <c r="AF100" i="5" s="1"/>
  <c r="G100" i="5" s="1"/>
  <c r="H167" i="5"/>
  <c r="AO65" i="5"/>
  <c r="AN65" i="5" s="1"/>
  <c r="AM65" i="5" s="1"/>
  <c r="J65" i="5" s="1"/>
  <c r="AW41" i="5"/>
  <c r="AV41" i="5" s="1"/>
  <c r="AU41" i="5" s="1"/>
  <c r="M41" i="5" s="1"/>
  <c r="H162" i="5"/>
  <c r="H34" i="5"/>
  <c r="H112" i="5"/>
  <c r="AO92" i="5"/>
  <c r="AN92" i="5" s="1"/>
  <c r="AM92" i="5" s="1"/>
  <c r="J92" i="5" s="1"/>
  <c r="N170" i="5"/>
  <c r="N141" i="5"/>
  <c r="AH115" i="5"/>
  <c r="AG115" i="5" s="1"/>
  <c r="AF115" i="5" s="1"/>
  <c r="G115" i="5" s="1"/>
  <c r="AO115" i="5"/>
  <c r="AN115" i="5" s="1"/>
  <c r="AM115" i="5" s="1"/>
  <c r="J115" i="5" s="1"/>
  <c r="BE198" i="5"/>
  <c r="BD198" i="5" s="1"/>
  <c r="BC198" i="5" s="1"/>
  <c r="P198" i="5" s="1"/>
  <c r="AW202" i="5"/>
  <c r="AV202" i="5" s="1"/>
  <c r="AU202" i="5" s="1"/>
  <c r="M202" i="5" s="1"/>
  <c r="AW134" i="5"/>
  <c r="AV134" i="5" s="1"/>
  <c r="AU134" i="5" s="1"/>
  <c r="M134" i="5" s="1"/>
  <c r="H56" i="5"/>
  <c r="AO153" i="5"/>
  <c r="AN153" i="5" s="1"/>
  <c r="AM153" i="5" s="1"/>
  <c r="J153" i="5" s="1"/>
  <c r="AW124" i="5"/>
  <c r="AV124" i="5" s="1"/>
  <c r="AU124" i="5" s="1"/>
  <c r="M124" i="5" s="1"/>
  <c r="H134" i="5"/>
  <c r="AO134" i="5"/>
  <c r="AN134" i="5" s="1"/>
  <c r="AM134" i="5" s="1"/>
  <c r="J134" i="5" s="1"/>
  <c r="H168" i="5"/>
  <c r="AO168" i="5"/>
  <c r="AN168" i="5" s="1"/>
  <c r="AM168" i="5" s="1"/>
  <c r="J168" i="5" s="1"/>
  <c r="AH156" i="5"/>
  <c r="AG156" i="5" s="1"/>
  <c r="AF156" i="5" s="1"/>
  <c r="G156" i="5" s="1"/>
  <c r="E156" i="5"/>
  <c r="BE208" i="5"/>
  <c r="BD208" i="5" s="1"/>
  <c r="BC208" i="5" s="1"/>
  <c r="P208" i="5" s="1"/>
  <c r="N208" i="5"/>
  <c r="AW197" i="5"/>
  <c r="AV197" i="5" s="1"/>
  <c r="AU197" i="5" s="1"/>
  <c r="M197" i="5" s="1"/>
  <c r="K197" i="5"/>
  <c r="N56" i="5"/>
  <c r="AO203" i="5"/>
  <c r="AN203" i="5" s="1"/>
  <c r="AM203" i="5" s="1"/>
  <c r="J203" i="5" s="1"/>
  <c r="K198" i="5"/>
  <c r="AW203" i="5"/>
  <c r="AV203" i="5" s="1"/>
  <c r="AU203" i="5" s="1"/>
  <c r="M203" i="5" s="1"/>
  <c r="K150" i="5"/>
  <c r="N157" i="5"/>
  <c r="E192" i="5"/>
  <c r="H197" i="5"/>
  <c r="AO197" i="5"/>
  <c r="AN197" i="5" s="1"/>
  <c r="AM197" i="5" s="1"/>
  <c r="J197" i="5" s="1"/>
  <c r="N197" i="5"/>
  <c r="BE197" i="5"/>
  <c r="BD197" i="5" s="1"/>
  <c r="BC197" i="5" s="1"/>
  <c r="P197" i="5" s="1"/>
  <c r="H204" i="5"/>
  <c r="BE102" i="5"/>
  <c r="BD102" i="5" s="1"/>
  <c r="BC102" i="5" s="1"/>
  <c r="P102" i="5" s="1"/>
  <c r="AH197" i="5"/>
  <c r="AG197" i="5" s="1"/>
  <c r="AF197" i="5" s="1"/>
  <c r="G197" i="5" s="1"/>
  <c r="E197" i="5"/>
  <c r="AW204" i="5"/>
  <c r="AV204" i="5" s="1"/>
  <c r="AU204" i="5" s="1"/>
  <c r="M204" i="5" s="1"/>
  <c r="BE115" i="5"/>
  <c r="BD115" i="5" s="1"/>
  <c r="BC115" i="5" s="1"/>
  <c r="P115" i="5" s="1"/>
  <c r="N166" i="5"/>
  <c r="AO39" i="5"/>
  <c r="AN39" i="5" s="1"/>
  <c r="AM39" i="5" s="1"/>
  <c r="J39" i="5" s="1"/>
  <c r="H187" i="5"/>
  <c r="H78" i="5"/>
  <c r="H102" i="5"/>
  <c r="AW167" i="5"/>
  <c r="AV167" i="5" s="1"/>
  <c r="AU167" i="5" s="1"/>
  <c r="M167" i="5" s="1"/>
  <c r="AO160" i="5"/>
  <c r="AN160" i="5" s="1"/>
  <c r="AM160" i="5" s="1"/>
  <c r="J160" i="5" s="1"/>
  <c r="AW92" i="5"/>
  <c r="AV92" i="5" s="1"/>
  <c r="AU92" i="5" s="1"/>
  <c r="M92" i="5" s="1"/>
  <c r="E114" i="5"/>
  <c r="AO105" i="5"/>
  <c r="AN105" i="5" s="1"/>
  <c r="AM105" i="5" s="1"/>
  <c r="J105" i="5" s="1"/>
  <c r="AW183" i="5"/>
  <c r="AV183" i="5" s="1"/>
  <c r="AU183" i="5" s="1"/>
  <c r="M183" i="5" s="1"/>
  <c r="K183" i="5"/>
  <c r="BE143" i="5"/>
  <c r="BD143" i="5" s="1"/>
  <c r="BC143" i="5" s="1"/>
  <c r="P143" i="5" s="1"/>
  <c r="BE195" i="5"/>
  <c r="BD195" i="5" s="1"/>
  <c r="BC195" i="5" s="1"/>
  <c r="P195" i="5" s="1"/>
  <c r="BE183" i="5"/>
  <c r="BD183" i="5" s="1"/>
  <c r="BC183" i="5" s="1"/>
  <c r="P183" i="5" s="1"/>
  <c r="N183" i="5"/>
  <c r="N75" i="5"/>
  <c r="BE192" i="5"/>
  <c r="BD192" i="5" s="1"/>
  <c r="BC192" i="5" s="1"/>
  <c r="P192" i="5" s="1"/>
  <c r="H150" i="5"/>
  <c r="AO183" i="5"/>
  <c r="AN183" i="5" s="1"/>
  <c r="AM183" i="5" s="1"/>
  <c r="J183" i="5" s="1"/>
  <c r="H183" i="5"/>
  <c r="E143" i="5"/>
  <c r="E149" i="5"/>
  <c r="BE114" i="5"/>
  <c r="BD114" i="5" s="1"/>
  <c r="BC114" i="5" s="1"/>
  <c r="P114" i="5" s="1"/>
  <c r="AH183" i="5"/>
  <c r="AG183" i="5" s="1"/>
  <c r="AF183" i="5" s="1"/>
  <c r="G183" i="5" s="1"/>
  <c r="E183" i="5"/>
  <c r="E150" i="5"/>
  <c r="AH150" i="5"/>
  <c r="AG150" i="5" s="1"/>
  <c r="AF150" i="5" s="1"/>
  <c r="G150" i="5" s="1"/>
  <c r="AO75" i="5"/>
  <c r="AN75" i="5" s="1"/>
  <c r="AM75" i="5" s="1"/>
  <c r="J75" i="5" s="1"/>
  <c r="N167" i="5"/>
  <c r="AH167" i="5"/>
  <c r="AG167" i="5" s="1"/>
  <c r="AF167" i="5" s="1"/>
  <c r="G167" i="5" s="1"/>
  <c r="AW195" i="5"/>
  <c r="AV195" i="5" s="1"/>
  <c r="AU195" i="5" s="1"/>
  <c r="M195" i="5" s="1"/>
  <c r="AH195" i="5"/>
  <c r="AG195" i="5" s="1"/>
  <c r="AF195" i="5" s="1"/>
  <c r="G195" i="5" s="1"/>
  <c r="E160" i="5"/>
  <c r="AH160" i="5"/>
  <c r="AG160" i="5" s="1"/>
  <c r="AF160" i="5" s="1"/>
  <c r="G160" i="5" s="1"/>
  <c r="E159" i="5"/>
  <c r="AH159" i="5"/>
  <c r="AG159" i="5" s="1"/>
  <c r="AF159" i="5" s="1"/>
  <c r="G159" i="5" s="1"/>
  <c r="E175" i="5"/>
  <c r="H159" i="5"/>
  <c r="AO159" i="5"/>
  <c r="AN159" i="5" s="1"/>
  <c r="AM159" i="5" s="1"/>
  <c r="J159" i="5" s="1"/>
  <c r="N105" i="5"/>
  <c r="AH186" i="5"/>
  <c r="AG186" i="5" s="1"/>
  <c r="AF186" i="5" s="1"/>
  <c r="G186" i="5" s="1"/>
  <c r="BE175" i="5"/>
  <c r="BD175" i="5" s="1"/>
  <c r="BC175" i="5" s="1"/>
  <c r="P175" i="5" s="1"/>
  <c r="N160" i="5"/>
  <c r="BE160" i="5"/>
  <c r="BD160" i="5" s="1"/>
  <c r="BC160" i="5" s="1"/>
  <c r="P160" i="5" s="1"/>
  <c r="BE186" i="5"/>
  <c r="BD186" i="5" s="1"/>
  <c r="BC186" i="5" s="1"/>
  <c r="P186" i="5" s="1"/>
  <c r="K192" i="5"/>
  <c r="K160" i="5"/>
  <c r="K159" i="5"/>
  <c r="AW159" i="5"/>
  <c r="AV159" i="5" s="1"/>
  <c r="AU159" i="5" s="1"/>
  <c r="M159" i="5" s="1"/>
  <c r="BE159" i="5"/>
  <c r="BD159" i="5" s="1"/>
  <c r="BC159" i="5" s="1"/>
  <c r="P159" i="5" s="1"/>
  <c r="N159" i="5"/>
  <c r="K199" i="5"/>
  <c r="AW199" i="5"/>
  <c r="AV199" i="5" s="1"/>
  <c r="AU199" i="5" s="1"/>
  <c r="M199" i="5" s="1"/>
  <c r="N199" i="5"/>
  <c r="BE199" i="5"/>
  <c r="BD199" i="5" s="1"/>
  <c r="BC199" i="5" s="1"/>
  <c r="P199" i="5" s="1"/>
  <c r="Q8" i="5"/>
  <c r="E199" i="5"/>
  <c r="AH199" i="5"/>
  <c r="AG199" i="5" s="1"/>
  <c r="AF199" i="5" s="1"/>
  <c r="G199" i="5" s="1"/>
  <c r="AO199" i="5"/>
  <c r="AN199" i="5" s="1"/>
  <c r="AM199" i="5" s="1"/>
  <c r="J199" i="5" s="1"/>
  <c r="H199" i="5"/>
  <c r="AO175" i="5"/>
  <c r="AN175" i="5" s="1"/>
  <c r="AM175" i="5" s="1"/>
  <c r="J175" i="5" s="1"/>
  <c r="BE151" i="5"/>
  <c r="BD151" i="5" s="1"/>
  <c r="BC151" i="5" s="1"/>
  <c r="P151" i="5" s="1"/>
  <c r="N151" i="5"/>
  <c r="AH151" i="5"/>
  <c r="AG151" i="5" s="1"/>
  <c r="AF151" i="5" s="1"/>
  <c r="G151" i="5" s="1"/>
  <c r="E151" i="5"/>
  <c r="AW151" i="5"/>
  <c r="AV151" i="5" s="1"/>
  <c r="AU151" i="5" s="1"/>
  <c r="M151" i="5" s="1"/>
  <c r="K151" i="5"/>
  <c r="AO151" i="5"/>
  <c r="AN151" i="5" s="1"/>
  <c r="AM151" i="5" s="1"/>
  <c r="J151" i="5" s="1"/>
  <c r="H151" i="5"/>
  <c r="AL8" i="5" l="1"/>
  <c r="AI8" i="5"/>
  <c r="E8" i="5"/>
  <c r="AT8" i="5"/>
  <c r="AS112" i="5" s="1"/>
  <c r="AR112" i="5" s="1"/>
  <c r="AQ112" i="5" s="1"/>
  <c r="L112" i="5" s="1"/>
  <c r="K8" i="5"/>
  <c r="BB8" i="5"/>
  <c r="BA207" i="5" s="1"/>
  <c r="AZ207" i="5" s="1"/>
  <c r="AY207" i="5" s="1"/>
  <c r="O207" i="5" s="1"/>
  <c r="N8" i="5"/>
  <c r="AE8" i="5"/>
  <c r="H8" i="5"/>
  <c r="AK59" i="5" l="1"/>
  <c r="AJ59" i="5" s="1"/>
  <c r="I59" i="5" s="1"/>
  <c r="AS27" i="5"/>
  <c r="AR27" i="5" s="1"/>
  <c r="AQ27" i="5" s="1"/>
  <c r="L27" i="5" s="1"/>
  <c r="AD128" i="5"/>
  <c r="AC128" i="5" s="1"/>
  <c r="F128" i="5" s="1"/>
  <c r="AS186" i="5"/>
  <c r="AR186" i="5" s="1"/>
  <c r="AQ186" i="5" s="1"/>
  <c r="L186" i="5" s="1"/>
  <c r="AS57" i="5"/>
  <c r="AR57" i="5" s="1"/>
  <c r="AQ57" i="5" s="1"/>
  <c r="L57" i="5" s="1"/>
  <c r="AS183" i="5"/>
  <c r="AR183" i="5" s="1"/>
  <c r="AQ183" i="5" s="1"/>
  <c r="L183" i="5" s="1"/>
  <c r="AS90" i="5"/>
  <c r="AR90" i="5" s="1"/>
  <c r="AQ90" i="5" s="1"/>
  <c r="L90" i="5" s="1"/>
  <c r="AS198" i="5"/>
  <c r="AR198" i="5" s="1"/>
  <c r="AQ198" i="5" s="1"/>
  <c r="L198" i="5" s="1"/>
  <c r="AS71" i="5"/>
  <c r="AR71" i="5" s="1"/>
  <c r="AQ71" i="5" s="1"/>
  <c r="L71" i="5" s="1"/>
  <c r="AS131" i="5"/>
  <c r="AR131" i="5" s="1"/>
  <c r="AQ131" i="5" s="1"/>
  <c r="L131" i="5" s="1"/>
  <c r="AS122" i="5"/>
  <c r="AR122" i="5" s="1"/>
  <c r="AQ122" i="5" s="1"/>
  <c r="L122" i="5" s="1"/>
  <c r="AS98" i="5"/>
  <c r="AR98" i="5" s="1"/>
  <c r="AQ98" i="5" s="1"/>
  <c r="L98" i="5" s="1"/>
  <c r="AS175" i="5"/>
  <c r="AR175" i="5" s="1"/>
  <c r="AQ175" i="5" s="1"/>
  <c r="L175" i="5" s="1"/>
  <c r="AS197" i="5"/>
  <c r="AR197" i="5" s="1"/>
  <c r="AQ197" i="5" s="1"/>
  <c r="L197" i="5" s="1"/>
  <c r="AS174" i="5"/>
  <c r="AR174" i="5" s="1"/>
  <c r="AQ174" i="5" s="1"/>
  <c r="L174" i="5" s="1"/>
  <c r="AS154" i="5"/>
  <c r="AR154" i="5" s="1"/>
  <c r="AQ154" i="5" s="1"/>
  <c r="L154" i="5" s="1"/>
  <c r="AS14" i="5"/>
  <c r="AR14" i="5" s="1"/>
  <c r="AQ14" i="5" s="1"/>
  <c r="L14" i="5" s="1"/>
  <c r="AS202" i="5"/>
  <c r="AR202" i="5" s="1"/>
  <c r="AQ202" i="5" s="1"/>
  <c r="L202" i="5" s="1"/>
  <c r="AS173" i="5"/>
  <c r="AR173" i="5" s="1"/>
  <c r="AQ173" i="5" s="1"/>
  <c r="L173" i="5" s="1"/>
  <c r="AS78" i="5"/>
  <c r="AR78" i="5" s="1"/>
  <c r="AQ78" i="5" s="1"/>
  <c r="L78" i="5" s="1"/>
  <c r="AS172" i="5"/>
  <c r="AR172" i="5" s="1"/>
  <c r="AQ172" i="5" s="1"/>
  <c r="L172" i="5" s="1"/>
  <c r="AS147" i="5"/>
  <c r="AR147" i="5" s="1"/>
  <c r="AQ147" i="5" s="1"/>
  <c r="L147" i="5" s="1"/>
  <c r="AS169" i="5"/>
  <c r="AR169" i="5" s="1"/>
  <c r="AQ169" i="5" s="1"/>
  <c r="L169" i="5" s="1"/>
  <c r="AS151" i="5"/>
  <c r="AR151" i="5" s="1"/>
  <c r="AQ151" i="5" s="1"/>
  <c r="L151" i="5" s="1"/>
  <c r="AS195" i="5"/>
  <c r="AR195" i="5" s="1"/>
  <c r="AQ195" i="5" s="1"/>
  <c r="L195" i="5" s="1"/>
  <c r="AS54" i="5"/>
  <c r="AR54" i="5" s="1"/>
  <c r="AQ54" i="5" s="1"/>
  <c r="L54" i="5" s="1"/>
  <c r="AS91" i="5"/>
  <c r="AR91" i="5" s="1"/>
  <c r="AQ91" i="5" s="1"/>
  <c r="L91" i="5" s="1"/>
  <c r="AS94" i="5"/>
  <c r="AR94" i="5" s="1"/>
  <c r="AQ94" i="5" s="1"/>
  <c r="L94" i="5" s="1"/>
  <c r="AS199" i="5"/>
  <c r="AR199" i="5" s="1"/>
  <c r="AQ199" i="5" s="1"/>
  <c r="L199" i="5" s="1"/>
  <c r="AS155" i="5"/>
  <c r="AR155" i="5" s="1"/>
  <c r="AQ155" i="5" s="1"/>
  <c r="L155" i="5" s="1"/>
  <c r="AS184" i="5"/>
  <c r="AR184" i="5" s="1"/>
  <c r="AQ184" i="5" s="1"/>
  <c r="L184" i="5" s="1"/>
  <c r="AS168" i="5"/>
  <c r="AR168" i="5" s="1"/>
  <c r="AQ168" i="5" s="1"/>
  <c r="L168" i="5" s="1"/>
  <c r="AS191" i="5"/>
  <c r="AR191" i="5" s="1"/>
  <c r="AQ191" i="5" s="1"/>
  <c r="L191" i="5" s="1"/>
  <c r="AS17" i="5"/>
  <c r="AR17" i="5" s="1"/>
  <c r="AQ17" i="5" s="1"/>
  <c r="L17" i="5" s="1"/>
  <c r="AK97" i="5"/>
  <c r="AJ97" i="5" s="1"/>
  <c r="I97" i="5" s="1"/>
  <c r="AK112" i="5"/>
  <c r="AJ112" i="5" s="1"/>
  <c r="I112" i="5" s="1"/>
  <c r="AK185" i="5"/>
  <c r="AJ185" i="5" s="1"/>
  <c r="I185" i="5" s="1"/>
  <c r="AK64" i="5"/>
  <c r="AJ64" i="5" s="1"/>
  <c r="I64" i="5" s="1"/>
  <c r="AK85" i="5"/>
  <c r="AJ85" i="5" s="1"/>
  <c r="I85" i="5" s="1"/>
  <c r="AK37" i="5"/>
  <c r="AJ37" i="5" s="1"/>
  <c r="I37" i="5" s="1"/>
  <c r="AK148" i="5"/>
  <c r="AJ148" i="5" s="1"/>
  <c r="I148" i="5" s="1"/>
  <c r="AK131" i="5"/>
  <c r="AJ131" i="5" s="1"/>
  <c r="I131" i="5" s="1"/>
  <c r="AK20" i="5"/>
  <c r="AJ20" i="5" s="1"/>
  <c r="I20" i="5" s="1"/>
  <c r="AK53" i="5"/>
  <c r="AJ53" i="5" s="1"/>
  <c r="I53" i="5" s="1"/>
  <c r="AK14" i="5"/>
  <c r="AJ14" i="5" s="1"/>
  <c r="I14" i="5" s="1"/>
  <c r="AK136" i="5"/>
  <c r="AJ136" i="5" s="1"/>
  <c r="I136" i="5" s="1"/>
  <c r="AK27" i="5"/>
  <c r="AJ27" i="5" s="1"/>
  <c r="I27" i="5" s="1"/>
  <c r="AK98" i="5"/>
  <c r="AJ98" i="5" s="1"/>
  <c r="I98" i="5" s="1"/>
  <c r="AK51" i="5"/>
  <c r="AJ51" i="5" s="1"/>
  <c r="I51" i="5" s="1"/>
  <c r="AK106" i="5"/>
  <c r="AJ106" i="5" s="1"/>
  <c r="I106" i="5" s="1"/>
  <c r="AK89" i="5"/>
  <c r="AJ89" i="5" s="1"/>
  <c r="I89" i="5" s="1"/>
  <c r="AK204" i="5"/>
  <c r="AJ204" i="5" s="1"/>
  <c r="I204" i="5" s="1"/>
  <c r="AK194" i="5"/>
  <c r="AJ194" i="5" s="1"/>
  <c r="I194" i="5" s="1"/>
  <c r="AK117" i="5"/>
  <c r="AJ117" i="5" s="1"/>
  <c r="I117" i="5" s="1"/>
  <c r="AK205" i="5"/>
  <c r="AJ205" i="5" s="1"/>
  <c r="I205" i="5" s="1"/>
  <c r="AK18" i="5"/>
  <c r="AJ18" i="5" s="1"/>
  <c r="I18" i="5" s="1"/>
  <c r="AK44" i="5"/>
  <c r="AJ44" i="5" s="1"/>
  <c r="I44" i="5" s="1"/>
  <c r="AK129" i="5"/>
  <c r="AJ129" i="5" s="1"/>
  <c r="I129" i="5" s="1"/>
  <c r="AS121" i="5"/>
  <c r="AR121" i="5" s="1"/>
  <c r="AQ121" i="5" s="1"/>
  <c r="L121" i="5" s="1"/>
  <c r="AS50" i="5"/>
  <c r="AR50" i="5" s="1"/>
  <c r="AQ50" i="5" s="1"/>
  <c r="L50" i="5" s="1"/>
  <c r="AK43" i="5"/>
  <c r="AJ43" i="5" s="1"/>
  <c r="I43" i="5" s="1"/>
  <c r="AD130" i="5"/>
  <c r="AC130" i="5" s="1"/>
  <c r="F130" i="5" s="1"/>
  <c r="AD167" i="5"/>
  <c r="AC167" i="5" s="1"/>
  <c r="F167" i="5" s="1"/>
  <c r="AD77" i="5"/>
  <c r="AC77" i="5" s="1"/>
  <c r="F77" i="5" s="1"/>
  <c r="AD103" i="5"/>
  <c r="AC103" i="5" s="1"/>
  <c r="F103" i="5" s="1"/>
  <c r="AD121" i="5"/>
  <c r="AC121" i="5" s="1"/>
  <c r="F121" i="5" s="1"/>
  <c r="AD53" i="5"/>
  <c r="AC53" i="5" s="1"/>
  <c r="F53" i="5" s="1"/>
  <c r="AD105" i="5"/>
  <c r="AC105" i="5" s="1"/>
  <c r="F105" i="5" s="1"/>
  <c r="AD15" i="5"/>
  <c r="AC15" i="5" s="1"/>
  <c r="F15" i="5" s="1"/>
  <c r="AS171" i="5"/>
  <c r="AR171" i="5" s="1"/>
  <c r="AQ171" i="5" s="1"/>
  <c r="L171" i="5" s="1"/>
  <c r="AS163" i="5"/>
  <c r="AR163" i="5" s="1"/>
  <c r="AQ163" i="5" s="1"/>
  <c r="L163" i="5" s="1"/>
  <c r="AS141" i="5"/>
  <c r="AR141" i="5" s="1"/>
  <c r="AQ141" i="5" s="1"/>
  <c r="L141" i="5" s="1"/>
  <c r="AS126" i="5"/>
  <c r="AR126" i="5" s="1"/>
  <c r="AQ126" i="5" s="1"/>
  <c r="L126" i="5" s="1"/>
  <c r="AK154" i="5"/>
  <c r="AJ154" i="5" s="1"/>
  <c r="I154" i="5" s="1"/>
  <c r="AK192" i="5"/>
  <c r="AJ192" i="5" s="1"/>
  <c r="I192" i="5" s="1"/>
  <c r="AS117" i="5"/>
  <c r="AR117" i="5" s="1"/>
  <c r="AQ117" i="5" s="1"/>
  <c r="L117" i="5" s="1"/>
  <c r="AS124" i="5"/>
  <c r="AR124" i="5" s="1"/>
  <c r="AQ124" i="5" s="1"/>
  <c r="L124" i="5" s="1"/>
  <c r="AS45" i="5"/>
  <c r="AR45" i="5" s="1"/>
  <c r="AQ45" i="5" s="1"/>
  <c r="L45" i="5" s="1"/>
  <c r="AS180" i="5"/>
  <c r="AR180" i="5" s="1"/>
  <c r="AQ180" i="5" s="1"/>
  <c r="L180" i="5" s="1"/>
  <c r="AD156" i="5"/>
  <c r="AC156" i="5" s="1"/>
  <c r="F156" i="5" s="1"/>
  <c r="AK201" i="5"/>
  <c r="AJ201" i="5" s="1"/>
  <c r="I201" i="5" s="1"/>
  <c r="AS25" i="5"/>
  <c r="AR25" i="5" s="1"/>
  <c r="AQ25" i="5" s="1"/>
  <c r="L25" i="5" s="1"/>
  <c r="AS31" i="5"/>
  <c r="AR31" i="5" s="1"/>
  <c r="AQ31" i="5" s="1"/>
  <c r="L31" i="5" s="1"/>
  <c r="AS130" i="5"/>
  <c r="AR130" i="5" s="1"/>
  <c r="AQ130" i="5" s="1"/>
  <c r="L130" i="5" s="1"/>
  <c r="AS134" i="5"/>
  <c r="AR134" i="5" s="1"/>
  <c r="AQ134" i="5" s="1"/>
  <c r="L134" i="5" s="1"/>
  <c r="AS118" i="5"/>
  <c r="AR118" i="5" s="1"/>
  <c r="AQ118" i="5" s="1"/>
  <c r="L118" i="5" s="1"/>
  <c r="AS165" i="5"/>
  <c r="AR165" i="5" s="1"/>
  <c r="AQ165" i="5" s="1"/>
  <c r="L165" i="5" s="1"/>
  <c r="AS123" i="5"/>
  <c r="AR123" i="5" s="1"/>
  <c r="AQ123" i="5" s="1"/>
  <c r="L123" i="5" s="1"/>
  <c r="AS79" i="5"/>
  <c r="AR79" i="5" s="1"/>
  <c r="AQ79" i="5" s="1"/>
  <c r="L79" i="5" s="1"/>
  <c r="AS129" i="5"/>
  <c r="AR129" i="5" s="1"/>
  <c r="AQ129" i="5" s="1"/>
  <c r="L129" i="5" s="1"/>
  <c r="AS12" i="5"/>
  <c r="AR12" i="5" s="1"/>
  <c r="AQ12" i="5" s="1"/>
  <c r="L12" i="5" s="1"/>
  <c r="AS42" i="5"/>
  <c r="AR42" i="5" s="1"/>
  <c r="AQ42" i="5" s="1"/>
  <c r="L42" i="5" s="1"/>
  <c r="AS60" i="5"/>
  <c r="AR60" i="5" s="1"/>
  <c r="AQ60" i="5" s="1"/>
  <c r="L60" i="5" s="1"/>
  <c r="AS194" i="5"/>
  <c r="AR194" i="5" s="1"/>
  <c r="AQ194" i="5" s="1"/>
  <c r="L194" i="5" s="1"/>
  <c r="AS150" i="5"/>
  <c r="AR150" i="5" s="1"/>
  <c r="AQ150" i="5" s="1"/>
  <c r="L150" i="5" s="1"/>
  <c r="AD58" i="5"/>
  <c r="AC58" i="5" s="1"/>
  <c r="F58" i="5" s="1"/>
  <c r="AD197" i="5"/>
  <c r="AC197" i="5" s="1"/>
  <c r="F197" i="5" s="1"/>
  <c r="AD182" i="5"/>
  <c r="AC182" i="5" s="1"/>
  <c r="F182" i="5" s="1"/>
  <c r="AK128" i="5"/>
  <c r="AJ128" i="5" s="1"/>
  <c r="I128" i="5" s="1"/>
  <c r="AK142" i="5"/>
  <c r="AJ142" i="5" s="1"/>
  <c r="I142" i="5" s="1"/>
  <c r="AK94" i="5"/>
  <c r="AJ94" i="5" s="1"/>
  <c r="I94" i="5" s="1"/>
  <c r="AK35" i="5"/>
  <c r="AJ35" i="5" s="1"/>
  <c r="I35" i="5" s="1"/>
  <c r="AK30" i="5"/>
  <c r="AJ30" i="5" s="1"/>
  <c r="I30" i="5" s="1"/>
  <c r="AK133" i="5"/>
  <c r="AJ133" i="5" s="1"/>
  <c r="I133" i="5" s="1"/>
  <c r="AK207" i="5"/>
  <c r="AJ207" i="5" s="1"/>
  <c r="I207" i="5" s="1"/>
  <c r="AK126" i="5"/>
  <c r="AJ126" i="5" s="1"/>
  <c r="I126" i="5" s="1"/>
  <c r="AK103" i="5"/>
  <c r="AJ103" i="5" s="1"/>
  <c r="I103" i="5" s="1"/>
  <c r="AK96" i="5"/>
  <c r="AJ96" i="5" s="1"/>
  <c r="I96" i="5" s="1"/>
  <c r="AK147" i="5"/>
  <c r="AJ147" i="5" s="1"/>
  <c r="I147" i="5" s="1"/>
  <c r="AK115" i="5"/>
  <c r="AJ115" i="5" s="1"/>
  <c r="I115" i="5" s="1"/>
  <c r="AK141" i="5"/>
  <c r="AJ141" i="5" s="1"/>
  <c r="I141" i="5" s="1"/>
  <c r="AK166" i="5"/>
  <c r="AJ166" i="5" s="1"/>
  <c r="I166" i="5" s="1"/>
  <c r="AK66" i="5"/>
  <c r="AJ66" i="5" s="1"/>
  <c r="I66" i="5" s="1"/>
  <c r="AK108" i="5"/>
  <c r="AJ108" i="5" s="1"/>
  <c r="I108" i="5" s="1"/>
  <c r="AS193" i="5"/>
  <c r="AR193" i="5" s="1"/>
  <c r="AQ193" i="5" s="1"/>
  <c r="L193" i="5" s="1"/>
  <c r="AD68" i="5"/>
  <c r="AC68" i="5" s="1"/>
  <c r="F68" i="5" s="1"/>
  <c r="AK169" i="5"/>
  <c r="AJ169" i="5" s="1"/>
  <c r="I169" i="5" s="1"/>
  <c r="AK182" i="5"/>
  <c r="AJ182" i="5" s="1"/>
  <c r="I182" i="5" s="1"/>
  <c r="AK195" i="5"/>
  <c r="AJ195" i="5" s="1"/>
  <c r="I195" i="5" s="1"/>
  <c r="AK203" i="5"/>
  <c r="AJ203" i="5" s="1"/>
  <c r="I203" i="5" s="1"/>
  <c r="AK197" i="5"/>
  <c r="AJ197" i="5" s="1"/>
  <c r="I197" i="5" s="1"/>
  <c r="AK63" i="5"/>
  <c r="AJ63" i="5" s="1"/>
  <c r="I63" i="5" s="1"/>
  <c r="AK178" i="5"/>
  <c r="AJ178" i="5" s="1"/>
  <c r="I178" i="5" s="1"/>
  <c r="AK116" i="5"/>
  <c r="AJ116" i="5" s="1"/>
  <c r="I116" i="5" s="1"/>
  <c r="AK33" i="5"/>
  <c r="AJ33" i="5" s="1"/>
  <c r="I33" i="5" s="1"/>
  <c r="AK91" i="5"/>
  <c r="AJ91" i="5" s="1"/>
  <c r="I91" i="5" s="1"/>
  <c r="AK153" i="5"/>
  <c r="AJ153" i="5" s="1"/>
  <c r="I153" i="5" s="1"/>
  <c r="AK179" i="5"/>
  <c r="AJ179" i="5" s="1"/>
  <c r="I179" i="5" s="1"/>
  <c r="AK77" i="5"/>
  <c r="AJ77" i="5" s="1"/>
  <c r="I77" i="5" s="1"/>
  <c r="AD70" i="5"/>
  <c r="AC70" i="5" s="1"/>
  <c r="F70" i="5" s="1"/>
  <c r="AD178" i="5"/>
  <c r="AC178" i="5" s="1"/>
  <c r="F178" i="5" s="1"/>
  <c r="AD160" i="5"/>
  <c r="AC160" i="5" s="1"/>
  <c r="F160" i="5" s="1"/>
  <c r="AD83" i="5"/>
  <c r="AC83" i="5" s="1"/>
  <c r="F83" i="5" s="1"/>
  <c r="AD91" i="5"/>
  <c r="AC91" i="5" s="1"/>
  <c r="F91" i="5" s="1"/>
  <c r="AD189" i="5"/>
  <c r="AC189" i="5" s="1"/>
  <c r="F189" i="5" s="1"/>
  <c r="AD111" i="5"/>
  <c r="AC111" i="5" s="1"/>
  <c r="F111" i="5" s="1"/>
  <c r="AD82" i="5"/>
  <c r="AC82" i="5" s="1"/>
  <c r="F82" i="5" s="1"/>
  <c r="AD101" i="5"/>
  <c r="AC101" i="5" s="1"/>
  <c r="F101" i="5" s="1"/>
  <c r="AD159" i="5"/>
  <c r="AC159" i="5" s="1"/>
  <c r="F159" i="5" s="1"/>
  <c r="AS82" i="5"/>
  <c r="AR82" i="5" s="1"/>
  <c r="AQ82" i="5" s="1"/>
  <c r="L82" i="5" s="1"/>
  <c r="AS128" i="5"/>
  <c r="AR128" i="5" s="1"/>
  <c r="AQ128" i="5" s="1"/>
  <c r="L128" i="5" s="1"/>
  <c r="AS39" i="5"/>
  <c r="AR39" i="5" s="1"/>
  <c r="AQ39" i="5" s="1"/>
  <c r="L39" i="5" s="1"/>
  <c r="AS187" i="5"/>
  <c r="AR187" i="5" s="1"/>
  <c r="AQ187" i="5" s="1"/>
  <c r="L187" i="5" s="1"/>
  <c r="AS132" i="5"/>
  <c r="AR132" i="5" s="1"/>
  <c r="AQ132" i="5" s="1"/>
  <c r="L132" i="5" s="1"/>
  <c r="AS99" i="5"/>
  <c r="AR99" i="5" s="1"/>
  <c r="AQ99" i="5" s="1"/>
  <c r="L99" i="5" s="1"/>
  <c r="AS67" i="5"/>
  <c r="AR67" i="5" s="1"/>
  <c r="AQ67" i="5" s="1"/>
  <c r="L67" i="5" s="1"/>
  <c r="AK157" i="5"/>
  <c r="AJ157" i="5" s="1"/>
  <c r="I157" i="5" s="1"/>
  <c r="AK125" i="5"/>
  <c r="AJ125" i="5" s="1"/>
  <c r="I125" i="5" s="1"/>
  <c r="AK75" i="5"/>
  <c r="AJ75" i="5" s="1"/>
  <c r="I75" i="5" s="1"/>
  <c r="AK161" i="5"/>
  <c r="AJ161" i="5" s="1"/>
  <c r="I161" i="5" s="1"/>
  <c r="AK175" i="5"/>
  <c r="AJ175" i="5" s="1"/>
  <c r="I175" i="5" s="1"/>
  <c r="AK172" i="5"/>
  <c r="AJ172" i="5" s="1"/>
  <c r="I172" i="5" s="1"/>
  <c r="AK86" i="5"/>
  <c r="AJ86" i="5" s="1"/>
  <c r="I86" i="5" s="1"/>
  <c r="AK134" i="5"/>
  <c r="AJ134" i="5" s="1"/>
  <c r="I134" i="5" s="1"/>
  <c r="AK196" i="5"/>
  <c r="AJ196" i="5" s="1"/>
  <c r="I196" i="5" s="1"/>
  <c r="AK23" i="5"/>
  <c r="AJ23" i="5" s="1"/>
  <c r="I23" i="5" s="1"/>
  <c r="AK120" i="5"/>
  <c r="AJ120" i="5" s="1"/>
  <c r="I120" i="5" s="1"/>
  <c r="AK87" i="5"/>
  <c r="AJ87" i="5" s="1"/>
  <c r="I87" i="5" s="1"/>
  <c r="AK83" i="5"/>
  <c r="AJ83" i="5" s="1"/>
  <c r="I83" i="5" s="1"/>
  <c r="AK24" i="5"/>
  <c r="AJ24" i="5" s="1"/>
  <c r="I24" i="5" s="1"/>
  <c r="AK137" i="5"/>
  <c r="AJ137" i="5" s="1"/>
  <c r="I137" i="5" s="1"/>
  <c r="AK34" i="5"/>
  <c r="AJ34" i="5" s="1"/>
  <c r="I34" i="5" s="1"/>
  <c r="AK149" i="5"/>
  <c r="AJ149" i="5" s="1"/>
  <c r="I149" i="5" s="1"/>
  <c r="AK25" i="5"/>
  <c r="AJ25" i="5" s="1"/>
  <c r="I25" i="5" s="1"/>
  <c r="AK100" i="5"/>
  <c r="AJ100" i="5" s="1"/>
  <c r="I100" i="5" s="1"/>
  <c r="AK15" i="5"/>
  <c r="AJ15" i="5" s="1"/>
  <c r="I15" i="5" s="1"/>
  <c r="AK198" i="5"/>
  <c r="AJ198" i="5" s="1"/>
  <c r="I198" i="5" s="1"/>
  <c r="AK19" i="5"/>
  <c r="AJ19" i="5" s="1"/>
  <c r="I19" i="5" s="1"/>
  <c r="AK36" i="5"/>
  <c r="AJ36" i="5" s="1"/>
  <c r="I36" i="5" s="1"/>
  <c r="AK138" i="5"/>
  <c r="AJ138" i="5" s="1"/>
  <c r="I138" i="5" s="1"/>
  <c r="AK49" i="5"/>
  <c r="AJ49" i="5" s="1"/>
  <c r="I49" i="5" s="1"/>
  <c r="AK110" i="5"/>
  <c r="AJ110" i="5" s="1"/>
  <c r="I110" i="5" s="1"/>
  <c r="AK104" i="5"/>
  <c r="AJ104" i="5" s="1"/>
  <c r="I104" i="5" s="1"/>
  <c r="AK67" i="5"/>
  <c r="AJ67" i="5" s="1"/>
  <c r="I67" i="5" s="1"/>
  <c r="AK12" i="5"/>
  <c r="AJ12" i="5" s="1"/>
  <c r="I12" i="5" s="1"/>
  <c r="AK158" i="5"/>
  <c r="AJ158" i="5" s="1"/>
  <c r="I158" i="5" s="1"/>
  <c r="AK186" i="5"/>
  <c r="AJ186" i="5" s="1"/>
  <c r="I186" i="5" s="1"/>
  <c r="AK184" i="5"/>
  <c r="AJ184" i="5" s="1"/>
  <c r="I184" i="5" s="1"/>
  <c r="AK151" i="5"/>
  <c r="AJ151" i="5" s="1"/>
  <c r="I151" i="5" s="1"/>
  <c r="AK114" i="5"/>
  <c r="AJ114" i="5" s="1"/>
  <c r="I114" i="5" s="1"/>
  <c r="AK193" i="5"/>
  <c r="AJ193" i="5" s="1"/>
  <c r="I193" i="5" s="1"/>
  <c r="AK82" i="5"/>
  <c r="AJ82" i="5" s="1"/>
  <c r="I82" i="5" s="1"/>
  <c r="AK163" i="5"/>
  <c r="AJ163" i="5" s="1"/>
  <c r="I163" i="5" s="1"/>
  <c r="AK146" i="5"/>
  <c r="AJ146" i="5" s="1"/>
  <c r="I146" i="5" s="1"/>
  <c r="AK167" i="5"/>
  <c r="AJ167" i="5" s="1"/>
  <c r="I167" i="5" s="1"/>
  <c r="AK191" i="5"/>
  <c r="AJ191" i="5" s="1"/>
  <c r="I191" i="5" s="1"/>
  <c r="AK164" i="5"/>
  <c r="AJ164" i="5" s="1"/>
  <c r="I164" i="5" s="1"/>
  <c r="AK47" i="5"/>
  <c r="AJ47" i="5" s="1"/>
  <c r="I47" i="5" s="1"/>
  <c r="AK162" i="5"/>
  <c r="AJ162" i="5" s="1"/>
  <c r="I162" i="5" s="1"/>
  <c r="AK144" i="5"/>
  <c r="AJ144" i="5" s="1"/>
  <c r="I144" i="5" s="1"/>
  <c r="AK123" i="5"/>
  <c r="AJ123" i="5" s="1"/>
  <c r="I123" i="5" s="1"/>
  <c r="AK174" i="5"/>
  <c r="AJ174" i="5" s="1"/>
  <c r="I174" i="5" s="1"/>
  <c r="AK11" i="5"/>
  <c r="AJ11" i="5" s="1"/>
  <c r="I11" i="5" s="1"/>
  <c r="AK183" i="5"/>
  <c r="AJ183" i="5" s="1"/>
  <c r="I183" i="5" s="1"/>
  <c r="AK187" i="5"/>
  <c r="AJ187" i="5" s="1"/>
  <c r="I187" i="5" s="1"/>
  <c r="AK28" i="5"/>
  <c r="AJ28" i="5" s="1"/>
  <c r="I28" i="5" s="1"/>
  <c r="AK132" i="5"/>
  <c r="AJ132" i="5" s="1"/>
  <c r="I132" i="5" s="1"/>
  <c r="AK72" i="5"/>
  <c r="AJ72" i="5" s="1"/>
  <c r="I72" i="5" s="1"/>
  <c r="AK119" i="5"/>
  <c r="AJ119" i="5" s="1"/>
  <c r="I119" i="5" s="1"/>
  <c r="AK200" i="5"/>
  <c r="AJ200" i="5" s="1"/>
  <c r="I200" i="5" s="1"/>
  <c r="AK107" i="5"/>
  <c r="AJ107" i="5" s="1"/>
  <c r="I107" i="5" s="1"/>
  <c r="AK202" i="5"/>
  <c r="AJ202" i="5" s="1"/>
  <c r="I202" i="5" s="1"/>
  <c r="AK168" i="5"/>
  <c r="AJ168" i="5" s="1"/>
  <c r="I168" i="5" s="1"/>
  <c r="AK81" i="5"/>
  <c r="AJ81" i="5" s="1"/>
  <c r="I81" i="5" s="1"/>
  <c r="AK113" i="5"/>
  <c r="AJ113" i="5" s="1"/>
  <c r="I113" i="5" s="1"/>
  <c r="AK76" i="5"/>
  <c r="AJ76" i="5" s="1"/>
  <c r="I76" i="5" s="1"/>
  <c r="AK150" i="5"/>
  <c r="AJ150" i="5" s="1"/>
  <c r="I150" i="5" s="1"/>
  <c r="AK95" i="5"/>
  <c r="AJ95" i="5" s="1"/>
  <c r="I95" i="5" s="1"/>
  <c r="AK111" i="5"/>
  <c r="AJ111" i="5" s="1"/>
  <c r="I111" i="5" s="1"/>
  <c r="AK55" i="5"/>
  <c r="AJ55" i="5" s="1"/>
  <c r="I55" i="5" s="1"/>
  <c r="AK99" i="5"/>
  <c r="AJ99" i="5" s="1"/>
  <c r="I99" i="5" s="1"/>
  <c r="AK13" i="5"/>
  <c r="AJ13" i="5" s="1"/>
  <c r="I13" i="5" s="1"/>
  <c r="AK130" i="5"/>
  <c r="AJ130" i="5" s="1"/>
  <c r="I130" i="5" s="1"/>
  <c r="AK102" i="5"/>
  <c r="AJ102" i="5" s="1"/>
  <c r="I102" i="5" s="1"/>
  <c r="AK189" i="5"/>
  <c r="AJ189" i="5" s="1"/>
  <c r="I189" i="5" s="1"/>
  <c r="AK61" i="5"/>
  <c r="AJ61" i="5" s="1"/>
  <c r="I61" i="5" s="1"/>
  <c r="AK40" i="5"/>
  <c r="AJ40" i="5" s="1"/>
  <c r="I40" i="5" s="1"/>
  <c r="AK90" i="5"/>
  <c r="AJ90" i="5" s="1"/>
  <c r="I90" i="5" s="1"/>
  <c r="AK56" i="5"/>
  <c r="AJ56" i="5" s="1"/>
  <c r="I56" i="5" s="1"/>
  <c r="AK16" i="5"/>
  <c r="AJ16" i="5" s="1"/>
  <c r="I16" i="5" s="1"/>
  <c r="AK32" i="5"/>
  <c r="AJ32" i="5" s="1"/>
  <c r="I32" i="5" s="1"/>
  <c r="AK118" i="5"/>
  <c r="AJ118" i="5" s="1"/>
  <c r="I118" i="5" s="1"/>
  <c r="AK105" i="5"/>
  <c r="AJ105" i="5" s="1"/>
  <c r="I105" i="5" s="1"/>
  <c r="AK88" i="5"/>
  <c r="AJ88" i="5" s="1"/>
  <c r="I88" i="5" s="1"/>
  <c r="AK109" i="5"/>
  <c r="AJ109" i="5" s="1"/>
  <c r="I109" i="5" s="1"/>
  <c r="AK39" i="5"/>
  <c r="AJ39" i="5" s="1"/>
  <c r="I39" i="5" s="1"/>
  <c r="AK188" i="5"/>
  <c r="AJ188" i="5" s="1"/>
  <c r="I188" i="5" s="1"/>
  <c r="AK22" i="5"/>
  <c r="AJ22" i="5" s="1"/>
  <c r="I22" i="5" s="1"/>
  <c r="AK74" i="5"/>
  <c r="AJ74" i="5" s="1"/>
  <c r="I74" i="5" s="1"/>
  <c r="AK140" i="5"/>
  <c r="AJ140" i="5" s="1"/>
  <c r="I140" i="5" s="1"/>
  <c r="AK46" i="5"/>
  <c r="AJ46" i="5" s="1"/>
  <c r="I46" i="5" s="1"/>
  <c r="AK38" i="5"/>
  <c r="AJ38" i="5" s="1"/>
  <c r="I38" i="5" s="1"/>
  <c r="AK80" i="5"/>
  <c r="AJ80" i="5" s="1"/>
  <c r="I80" i="5" s="1"/>
  <c r="AK190" i="5"/>
  <c r="AJ190" i="5" s="1"/>
  <c r="I190" i="5" s="1"/>
  <c r="AK156" i="5"/>
  <c r="AJ156" i="5" s="1"/>
  <c r="I156" i="5" s="1"/>
  <c r="AK70" i="5"/>
  <c r="AJ70" i="5" s="1"/>
  <c r="I70" i="5" s="1"/>
  <c r="AK155" i="5"/>
  <c r="AJ155" i="5" s="1"/>
  <c r="I155" i="5" s="1"/>
  <c r="AK54" i="5"/>
  <c r="AJ54" i="5" s="1"/>
  <c r="I54" i="5" s="1"/>
  <c r="AK48" i="5"/>
  <c r="AJ48" i="5" s="1"/>
  <c r="I48" i="5" s="1"/>
  <c r="AK42" i="5"/>
  <c r="AJ42" i="5" s="1"/>
  <c r="I42" i="5" s="1"/>
  <c r="AK26" i="5"/>
  <c r="AJ26" i="5" s="1"/>
  <c r="I26" i="5" s="1"/>
  <c r="AK124" i="5"/>
  <c r="AJ124" i="5" s="1"/>
  <c r="I124" i="5" s="1"/>
  <c r="AK165" i="5"/>
  <c r="AJ165" i="5" s="1"/>
  <c r="I165" i="5" s="1"/>
  <c r="AK41" i="5"/>
  <c r="AJ41" i="5" s="1"/>
  <c r="I41" i="5" s="1"/>
  <c r="AK78" i="5"/>
  <c r="AJ78" i="5" s="1"/>
  <c r="I78" i="5" s="1"/>
  <c r="AK92" i="5"/>
  <c r="AJ92" i="5" s="1"/>
  <c r="I92" i="5" s="1"/>
  <c r="AK127" i="5"/>
  <c r="AJ127" i="5" s="1"/>
  <c r="I127" i="5" s="1"/>
  <c r="AK139" i="5"/>
  <c r="AJ139" i="5" s="1"/>
  <c r="I139" i="5" s="1"/>
  <c r="AK93" i="5"/>
  <c r="AJ93" i="5" s="1"/>
  <c r="I93" i="5" s="1"/>
  <c r="AK176" i="5"/>
  <c r="AJ176" i="5" s="1"/>
  <c r="I176" i="5" s="1"/>
  <c r="AK29" i="5"/>
  <c r="AJ29" i="5" s="1"/>
  <c r="I29" i="5" s="1"/>
  <c r="AK121" i="5"/>
  <c r="AJ121" i="5" s="1"/>
  <c r="I121" i="5" s="1"/>
  <c r="AK101" i="5"/>
  <c r="AJ101" i="5" s="1"/>
  <c r="I101" i="5" s="1"/>
  <c r="AK181" i="5"/>
  <c r="AJ181" i="5" s="1"/>
  <c r="I181" i="5" s="1"/>
  <c r="AK208" i="5"/>
  <c r="AJ208" i="5" s="1"/>
  <c r="I208" i="5" s="1"/>
  <c r="AK171" i="5"/>
  <c r="AJ171" i="5" s="1"/>
  <c r="I171" i="5" s="1"/>
  <c r="AK152" i="5"/>
  <c r="AJ152" i="5" s="1"/>
  <c r="I152" i="5" s="1"/>
  <c r="AK122" i="5"/>
  <c r="AJ122" i="5" s="1"/>
  <c r="I122" i="5" s="1"/>
  <c r="AK50" i="5"/>
  <c r="AJ50" i="5" s="1"/>
  <c r="I50" i="5" s="1"/>
  <c r="AK199" i="5"/>
  <c r="AJ199" i="5" s="1"/>
  <c r="I199" i="5" s="1"/>
  <c r="AK9" i="5"/>
  <c r="AJ9" i="5" s="1"/>
  <c r="I9" i="5" s="1"/>
  <c r="AK135" i="5"/>
  <c r="AJ135" i="5" s="1"/>
  <c r="I135" i="5" s="1"/>
  <c r="AK170" i="5"/>
  <c r="AJ170" i="5" s="1"/>
  <c r="I170" i="5" s="1"/>
  <c r="AK45" i="5"/>
  <c r="AJ45" i="5" s="1"/>
  <c r="I45" i="5" s="1"/>
  <c r="AK21" i="5"/>
  <c r="AJ21" i="5" s="1"/>
  <c r="I21" i="5" s="1"/>
  <c r="AK10" i="5"/>
  <c r="AJ10" i="5" s="1"/>
  <c r="I10" i="5" s="1"/>
  <c r="AK60" i="5"/>
  <c r="AJ60" i="5" s="1"/>
  <c r="I60" i="5" s="1"/>
  <c r="AK17" i="5"/>
  <c r="AJ17" i="5" s="1"/>
  <c r="I17" i="5" s="1"/>
  <c r="AK159" i="5"/>
  <c r="AJ159" i="5" s="1"/>
  <c r="I159" i="5" s="1"/>
  <c r="AK160" i="5"/>
  <c r="AJ160" i="5" s="1"/>
  <c r="I160" i="5" s="1"/>
  <c r="AK62" i="5"/>
  <c r="AJ62" i="5" s="1"/>
  <c r="I62" i="5" s="1"/>
  <c r="AK71" i="5"/>
  <c r="AJ71" i="5" s="1"/>
  <c r="I71" i="5" s="1"/>
  <c r="AK73" i="5"/>
  <c r="AJ73" i="5" s="1"/>
  <c r="I73" i="5" s="1"/>
  <c r="AK79" i="5"/>
  <c r="AJ79" i="5" s="1"/>
  <c r="I79" i="5" s="1"/>
  <c r="AK31" i="5"/>
  <c r="AJ31" i="5" s="1"/>
  <c r="I31" i="5" s="1"/>
  <c r="AK180" i="5"/>
  <c r="AJ180" i="5" s="1"/>
  <c r="I180" i="5" s="1"/>
  <c r="AK84" i="5"/>
  <c r="AJ84" i="5" s="1"/>
  <c r="I84" i="5" s="1"/>
  <c r="AK68" i="5"/>
  <c r="AJ68" i="5" s="1"/>
  <c r="I68" i="5" s="1"/>
  <c r="AK143" i="5"/>
  <c r="AJ143" i="5" s="1"/>
  <c r="I143" i="5" s="1"/>
  <c r="AK145" i="5"/>
  <c r="AJ145" i="5" s="1"/>
  <c r="I145" i="5" s="1"/>
  <c r="AK177" i="5"/>
  <c r="AJ177" i="5" s="1"/>
  <c r="I177" i="5" s="1"/>
  <c r="AK58" i="5"/>
  <c r="AJ58" i="5" s="1"/>
  <c r="I58" i="5" s="1"/>
  <c r="AK206" i="5"/>
  <c r="AJ206" i="5" s="1"/>
  <c r="I206" i="5" s="1"/>
  <c r="AK65" i="5"/>
  <c r="AJ65" i="5" s="1"/>
  <c r="I65" i="5" s="1"/>
  <c r="AK57" i="5"/>
  <c r="AJ57" i="5" s="1"/>
  <c r="I57" i="5" s="1"/>
  <c r="AK52" i="5"/>
  <c r="AJ52" i="5" s="1"/>
  <c r="I52" i="5" s="1"/>
  <c r="AK69" i="5"/>
  <c r="AJ69" i="5" s="1"/>
  <c r="I69" i="5" s="1"/>
  <c r="AK173" i="5"/>
  <c r="AJ173" i="5" s="1"/>
  <c r="I173" i="5" s="1"/>
  <c r="BA55" i="5"/>
  <c r="AZ55" i="5" s="1"/>
  <c r="AY55" i="5" s="1"/>
  <c r="O55" i="5" s="1"/>
  <c r="BA140" i="5"/>
  <c r="AZ140" i="5" s="1"/>
  <c r="AY140" i="5" s="1"/>
  <c r="O140" i="5" s="1"/>
  <c r="BA174" i="5"/>
  <c r="AZ174" i="5" s="1"/>
  <c r="AY174" i="5" s="1"/>
  <c r="O174" i="5" s="1"/>
  <c r="BA136" i="5"/>
  <c r="AZ136" i="5" s="1"/>
  <c r="AY136" i="5" s="1"/>
  <c r="O136" i="5" s="1"/>
  <c r="BA184" i="5"/>
  <c r="AZ184" i="5" s="1"/>
  <c r="AY184" i="5" s="1"/>
  <c r="O184" i="5" s="1"/>
  <c r="BA164" i="5"/>
  <c r="AZ164" i="5" s="1"/>
  <c r="AY164" i="5" s="1"/>
  <c r="O164" i="5" s="1"/>
  <c r="BA33" i="5"/>
  <c r="AZ33" i="5" s="1"/>
  <c r="AY33" i="5" s="1"/>
  <c r="O33" i="5" s="1"/>
  <c r="BA107" i="5"/>
  <c r="AZ107" i="5" s="1"/>
  <c r="AY107" i="5" s="1"/>
  <c r="O107" i="5" s="1"/>
  <c r="BA148" i="5"/>
  <c r="AZ148" i="5" s="1"/>
  <c r="AY148" i="5" s="1"/>
  <c r="O148" i="5" s="1"/>
  <c r="BA139" i="5"/>
  <c r="AZ139" i="5" s="1"/>
  <c r="AY139" i="5" s="1"/>
  <c r="O139" i="5" s="1"/>
  <c r="BA27" i="5"/>
  <c r="AZ27" i="5" s="1"/>
  <c r="AY27" i="5" s="1"/>
  <c r="O27" i="5" s="1"/>
  <c r="BA158" i="5"/>
  <c r="AZ158" i="5" s="1"/>
  <c r="AY158" i="5" s="1"/>
  <c r="O158" i="5" s="1"/>
  <c r="BA57" i="5"/>
  <c r="AZ57" i="5" s="1"/>
  <c r="AY57" i="5" s="1"/>
  <c r="O57" i="5" s="1"/>
  <c r="BA12" i="5"/>
  <c r="AZ12" i="5" s="1"/>
  <c r="AY12" i="5" s="1"/>
  <c r="O12" i="5" s="1"/>
  <c r="BA117" i="5"/>
  <c r="AZ117" i="5" s="1"/>
  <c r="AY117" i="5" s="1"/>
  <c r="O117" i="5" s="1"/>
  <c r="BA204" i="5"/>
  <c r="AZ204" i="5" s="1"/>
  <c r="AY204" i="5" s="1"/>
  <c r="O204" i="5" s="1"/>
  <c r="BA119" i="5"/>
  <c r="AZ119" i="5" s="1"/>
  <c r="AY119" i="5" s="1"/>
  <c r="O119" i="5" s="1"/>
  <c r="BA30" i="5"/>
  <c r="AZ30" i="5" s="1"/>
  <c r="AY30" i="5" s="1"/>
  <c r="O30" i="5" s="1"/>
  <c r="BA124" i="5"/>
  <c r="AZ124" i="5" s="1"/>
  <c r="AY124" i="5" s="1"/>
  <c r="O124" i="5" s="1"/>
  <c r="BA166" i="5"/>
  <c r="AZ166" i="5" s="1"/>
  <c r="AY166" i="5" s="1"/>
  <c r="O166" i="5" s="1"/>
  <c r="BA182" i="5"/>
  <c r="AZ182" i="5" s="1"/>
  <c r="AY182" i="5" s="1"/>
  <c r="O182" i="5" s="1"/>
  <c r="BA71" i="5"/>
  <c r="AZ71" i="5" s="1"/>
  <c r="AY71" i="5" s="1"/>
  <c r="O71" i="5" s="1"/>
  <c r="BA131" i="5"/>
  <c r="AZ131" i="5" s="1"/>
  <c r="AY131" i="5" s="1"/>
  <c r="O131" i="5" s="1"/>
  <c r="BA28" i="5"/>
  <c r="AZ28" i="5" s="1"/>
  <c r="AY28" i="5" s="1"/>
  <c r="O28" i="5" s="1"/>
  <c r="BA130" i="5"/>
  <c r="AZ130" i="5" s="1"/>
  <c r="AY130" i="5" s="1"/>
  <c r="O130" i="5" s="1"/>
  <c r="BA21" i="5"/>
  <c r="AZ21" i="5" s="1"/>
  <c r="AY21" i="5" s="1"/>
  <c r="O21" i="5" s="1"/>
  <c r="BA149" i="5"/>
  <c r="AZ149" i="5" s="1"/>
  <c r="AY149" i="5" s="1"/>
  <c r="O149" i="5" s="1"/>
  <c r="BA116" i="5"/>
  <c r="AZ116" i="5" s="1"/>
  <c r="AY116" i="5" s="1"/>
  <c r="O116" i="5" s="1"/>
  <c r="BA201" i="5"/>
  <c r="AZ201" i="5" s="1"/>
  <c r="AY201" i="5" s="1"/>
  <c r="O201" i="5" s="1"/>
  <c r="BA90" i="5"/>
  <c r="AZ90" i="5" s="1"/>
  <c r="AY90" i="5" s="1"/>
  <c r="O90" i="5" s="1"/>
  <c r="BA154" i="5"/>
  <c r="AZ154" i="5" s="1"/>
  <c r="AY154" i="5" s="1"/>
  <c r="O154" i="5" s="1"/>
  <c r="BA76" i="5"/>
  <c r="AZ76" i="5" s="1"/>
  <c r="AY76" i="5" s="1"/>
  <c r="O76" i="5" s="1"/>
  <c r="BA98" i="5"/>
  <c r="AZ98" i="5" s="1"/>
  <c r="AY98" i="5" s="1"/>
  <c r="O98" i="5" s="1"/>
  <c r="BA95" i="5"/>
  <c r="AZ95" i="5" s="1"/>
  <c r="AY95" i="5" s="1"/>
  <c r="O95" i="5" s="1"/>
  <c r="BA128" i="5"/>
  <c r="AZ128" i="5" s="1"/>
  <c r="AY128" i="5" s="1"/>
  <c r="O128" i="5" s="1"/>
  <c r="BA84" i="5"/>
  <c r="AZ84" i="5" s="1"/>
  <c r="AY84" i="5" s="1"/>
  <c r="O84" i="5" s="1"/>
  <c r="BA73" i="5"/>
  <c r="AZ73" i="5" s="1"/>
  <c r="AY73" i="5" s="1"/>
  <c r="O73" i="5" s="1"/>
  <c r="BA59" i="5"/>
  <c r="AZ59" i="5" s="1"/>
  <c r="AY59" i="5" s="1"/>
  <c r="O59" i="5" s="1"/>
  <c r="BA26" i="5"/>
  <c r="AZ26" i="5" s="1"/>
  <c r="AY26" i="5" s="1"/>
  <c r="O26" i="5" s="1"/>
  <c r="BA134" i="5"/>
  <c r="AZ134" i="5" s="1"/>
  <c r="AY134" i="5" s="1"/>
  <c r="O134" i="5" s="1"/>
  <c r="BA61" i="5"/>
  <c r="AZ61" i="5" s="1"/>
  <c r="AY61" i="5" s="1"/>
  <c r="O61" i="5" s="1"/>
  <c r="BA67" i="5"/>
  <c r="AZ67" i="5" s="1"/>
  <c r="AY67" i="5" s="1"/>
  <c r="O67" i="5" s="1"/>
  <c r="BA115" i="5"/>
  <c r="AZ115" i="5" s="1"/>
  <c r="AY115" i="5" s="1"/>
  <c r="O115" i="5" s="1"/>
  <c r="BA167" i="5"/>
  <c r="AZ167" i="5" s="1"/>
  <c r="AY167" i="5" s="1"/>
  <c r="O167" i="5" s="1"/>
  <c r="BA133" i="5"/>
  <c r="AZ133" i="5" s="1"/>
  <c r="AY133" i="5" s="1"/>
  <c r="O133" i="5" s="1"/>
  <c r="BA82" i="5"/>
  <c r="AZ82" i="5" s="1"/>
  <c r="AY82" i="5" s="1"/>
  <c r="O82" i="5" s="1"/>
  <c r="BA121" i="5"/>
  <c r="AZ121" i="5" s="1"/>
  <c r="AY121" i="5" s="1"/>
  <c r="O121" i="5" s="1"/>
  <c r="BA137" i="5"/>
  <c r="AZ137" i="5" s="1"/>
  <c r="AY137" i="5" s="1"/>
  <c r="O137" i="5" s="1"/>
  <c r="BA186" i="5"/>
  <c r="AZ186" i="5" s="1"/>
  <c r="AY186" i="5" s="1"/>
  <c r="O186" i="5" s="1"/>
  <c r="BA196" i="5"/>
  <c r="AZ196" i="5" s="1"/>
  <c r="AY196" i="5" s="1"/>
  <c r="O196" i="5" s="1"/>
  <c r="BA11" i="5"/>
  <c r="AZ11" i="5" s="1"/>
  <c r="AY11" i="5" s="1"/>
  <c r="O11" i="5" s="1"/>
  <c r="BA192" i="5"/>
  <c r="AZ192" i="5" s="1"/>
  <c r="AY192" i="5" s="1"/>
  <c r="O192" i="5" s="1"/>
  <c r="BA62" i="5"/>
  <c r="AZ62" i="5" s="1"/>
  <c r="AY62" i="5" s="1"/>
  <c r="O62" i="5" s="1"/>
  <c r="BA165" i="5"/>
  <c r="AZ165" i="5" s="1"/>
  <c r="AY165" i="5" s="1"/>
  <c r="O165" i="5" s="1"/>
  <c r="BA183" i="5"/>
  <c r="AZ183" i="5" s="1"/>
  <c r="AY183" i="5" s="1"/>
  <c r="O183" i="5" s="1"/>
  <c r="BA163" i="5"/>
  <c r="AZ163" i="5" s="1"/>
  <c r="AY163" i="5" s="1"/>
  <c r="O163" i="5" s="1"/>
  <c r="BA44" i="5"/>
  <c r="AZ44" i="5" s="1"/>
  <c r="AY44" i="5" s="1"/>
  <c r="O44" i="5" s="1"/>
  <c r="BA102" i="5"/>
  <c r="AZ102" i="5" s="1"/>
  <c r="AY102" i="5" s="1"/>
  <c r="O102" i="5" s="1"/>
  <c r="BA72" i="5"/>
  <c r="AZ72" i="5" s="1"/>
  <c r="AY72" i="5" s="1"/>
  <c r="O72" i="5" s="1"/>
  <c r="BA181" i="5"/>
  <c r="AZ181" i="5" s="1"/>
  <c r="AY181" i="5" s="1"/>
  <c r="O181" i="5" s="1"/>
  <c r="BA16" i="5"/>
  <c r="AZ16" i="5" s="1"/>
  <c r="AY16" i="5" s="1"/>
  <c r="O16" i="5" s="1"/>
  <c r="BA111" i="5"/>
  <c r="AZ111" i="5" s="1"/>
  <c r="AY111" i="5" s="1"/>
  <c r="O111" i="5" s="1"/>
  <c r="BA101" i="5"/>
  <c r="AZ101" i="5" s="1"/>
  <c r="AY101" i="5" s="1"/>
  <c r="O101" i="5" s="1"/>
  <c r="BA105" i="5"/>
  <c r="AZ105" i="5" s="1"/>
  <c r="AY105" i="5" s="1"/>
  <c r="O105" i="5" s="1"/>
  <c r="BA132" i="5"/>
  <c r="AZ132" i="5" s="1"/>
  <c r="AY132" i="5" s="1"/>
  <c r="O132" i="5" s="1"/>
  <c r="BA97" i="5"/>
  <c r="AZ97" i="5" s="1"/>
  <c r="AY97" i="5" s="1"/>
  <c r="O97" i="5" s="1"/>
  <c r="BA160" i="5"/>
  <c r="AZ160" i="5" s="1"/>
  <c r="AY160" i="5" s="1"/>
  <c r="O160" i="5" s="1"/>
  <c r="BA185" i="5"/>
  <c r="AZ185" i="5" s="1"/>
  <c r="AY185" i="5" s="1"/>
  <c r="O185" i="5" s="1"/>
  <c r="BA176" i="5"/>
  <c r="AZ176" i="5" s="1"/>
  <c r="AY176" i="5" s="1"/>
  <c r="O176" i="5" s="1"/>
  <c r="BA60" i="5"/>
  <c r="AZ60" i="5" s="1"/>
  <c r="AY60" i="5" s="1"/>
  <c r="O60" i="5" s="1"/>
  <c r="BA108" i="5"/>
  <c r="AZ108" i="5" s="1"/>
  <c r="AY108" i="5" s="1"/>
  <c r="O108" i="5" s="1"/>
  <c r="BA47" i="5"/>
  <c r="AZ47" i="5" s="1"/>
  <c r="AY47" i="5" s="1"/>
  <c r="O47" i="5" s="1"/>
  <c r="BA206" i="5"/>
  <c r="AZ206" i="5" s="1"/>
  <c r="AY206" i="5" s="1"/>
  <c r="O206" i="5" s="1"/>
  <c r="BA198" i="5"/>
  <c r="AZ198" i="5" s="1"/>
  <c r="AY198" i="5" s="1"/>
  <c r="O198" i="5" s="1"/>
  <c r="BA188" i="5"/>
  <c r="AZ188" i="5" s="1"/>
  <c r="AY188" i="5" s="1"/>
  <c r="O188" i="5" s="1"/>
  <c r="BA39" i="5"/>
  <c r="AZ39" i="5" s="1"/>
  <c r="AY39" i="5" s="1"/>
  <c r="O39" i="5" s="1"/>
  <c r="BA41" i="5"/>
  <c r="AZ41" i="5" s="1"/>
  <c r="AY41" i="5" s="1"/>
  <c r="O41" i="5" s="1"/>
  <c r="BA197" i="5"/>
  <c r="AZ197" i="5" s="1"/>
  <c r="AY197" i="5" s="1"/>
  <c r="O197" i="5" s="1"/>
  <c r="BA205" i="5"/>
  <c r="AZ205" i="5" s="1"/>
  <c r="AY205" i="5" s="1"/>
  <c r="O205" i="5" s="1"/>
  <c r="BA179" i="5"/>
  <c r="AZ179" i="5" s="1"/>
  <c r="AY179" i="5" s="1"/>
  <c r="O179" i="5" s="1"/>
  <c r="BA58" i="5"/>
  <c r="AZ58" i="5" s="1"/>
  <c r="AY58" i="5" s="1"/>
  <c r="O58" i="5" s="1"/>
  <c r="BA145" i="5"/>
  <c r="AZ145" i="5" s="1"/>
  <c r="AY145" i="5" s="1"/>
  <c r="O145" i="5" s="1"/>
  <c r="BA38" i="5"/>
  <c r="AZ38" i="5" s="1"/>
  <c r="AY38" i="5" s="1"/>
  <c r="O38" i="5" s="1"/>
  <c r="BA64" i="5"/>
  <c r="AZ64" i="5" s="1"/>
  <c r="AY64" i="5" s="1"/>
  <c r="O64" i="5" s="1"/>
  <c r="BA96" i="5"/>
  <c r="AZ96" i="5" s="1"/>
  <c r="AY96" i="5" s="1"/>
  <c r="O96" i="5" s="1"/>
  <c r="BA129" i="5"/>
  <c r="AZ129" i="5" s="1"/>
  <c r="AY129" i="5" s="1"/>
  <c r="O129" i="5" s="1"/>
  <c r="BA99" i="5"/>
  <c r="AZ99" i="5" s="1"/>
  <c r="AY99" i="5" s="1"/>
  <c r="O99" i="5" s="1"/>
  <c r="BA91" i="5"/>
  <c r="AZ91" i="5" s="1"/>
  <c r="AY91" i="5" s="1"/>
  <c r="O91" i="5" s="1"/>
  <c r="BA161" i="5"/>
  <c r="AZ161" i="5" s="1"/>
  <c r="AY161" i="5" s="1"/>
  <c r="O161" i="5" s="1"/>
  <c r="BA155" i="5"/>
  <c r="AZ155" i="5" s="1"/>
  <c r="AY155" i="5" s="1"/>
  <c r="O155" i="5" s="1"/>
  <c r="BA171" i="5"/>
  <c r="AZ171" i="5" s="1"/>
  <c r="AY171" i="5" s="1"/>
  <c r="O171" i="5" s="1"/>
  <c r="BA52" i="5"/>
  <c r="AZ52" i="5" s="1"/>
  <c r="AY52" i="5" s="1"/>
  <c r="O52" i="5" s="1"/>
  <c r="BA113" i="5"/>
  <c r="AZ113" i="5" s="1"/>
  <c r="AY113" i="5" s="1"/>
  <c r="O113" i="5" s="1"/>
  <c r="BA177" i="5"/>
  <c r="AZ177" i="5" s="1"/>
  <c r="AY177" i="5" s="1"/>
  <c r="O177" i="5" s="1"/>
  <c r="BA135" i="5"/>
  <c r="AZ135" i="5" s="1"/>
  <c r="AY135" i="5" s="1"/>
  <c r="O135" i="5" s="1"/>
  <c r="BA50" i="5"/>
  <c r="AZ50" i="5" s="1"/>
  <c r="AY50" i="5" s="1"/>
  <c r="O50" i="5" s="1"/>
  <c r="BA37" i="5"/>
  <c r="AZ37" i="5" s="1"/>
  <c r="AY37" i="5" s="1"/>
  <c r="O37" i="5" s="1"/>
  <c r="BA103" i="5"/>
  <c r="AZ103" i="5" s="1"/>
  <c r="AY103" i="5" s="1"/>
  <c r="O103" i="5" s="1"/>
  <c r="BA79" i="5"/>
  <c r="AZ79" i="5" s="1"/>
  <c r="AY79" i="5" s="1"/>
  <c r="O79" i="5" s="1"/>
  <c r="BA203" i="5"/>
  <c r="AZ203" i="5" s="1"/>
  <c r="AY203" i="5" s="1"/>
  <c r="O203" i="5" s="1"/>
  <c r="BA168" i="5"/>
  <c r="AZ168" i="5" s="1"/>
  <c r="AY168" i="5" s="1"/>
  <c r="O168" i="5" s="1"/>
  <c r="BA169" i="5"/>
  <c r="AZ169" i="5" s="1"/>
  <c r="AY169" i="5" s="1"/>
  <c r="O169" i="5" s="1"/>
  <c r="BA162" i="5"/>
  <c r="AZ162" i="5" s="1"/>
  <c r="AY162" i="5" s="1"/>
  <c r="O162" i="5" s="1"/>
  <c r="BA89" i="5"/>
  <c r="AZ89" i="5" s="1"/>
  <c r="AY89" i="5" s="1"/>
  <c r="O89" i="5" s="1"/>
  <c r="BA9" i="5"/>
  <c r="AZ9" i="5" s="1"/>
  <c r="AY9" i="5" s="1"/>
  <c r="O9" i="5" s="1"/>
  <c r="BA22" i="5"/>
  <c r="AZ22" i="5" s="1"/>
  <c r="AY22" i="5" s="1"/>
  <c r="O22" i="5" s="1"/>
  <c r="BA109" i="5"/>
  <c r="AZ109" i="5" s="1"/>
  <c r="AY109" i="5" s="1"/>
  <c r="O109" i="5" s="1"/>
  <c r="BA88" i="5"/>
  <c r="AZ88" i="5" s="1"/>
  <c r="AY88" i="5" s="1"/>
  <c r="O88" i="5" s="1"/>
  <c r="BA190" i="5"/>
  <c r="AZ190" i="5" s="1"/>
  <c r="AY190" i="5" s="1"/>
  <c r="O190" i="5" s="1"/>
  <c r="BA200" i="5"/>
  <c r="AZ200" i="5" s="1"/>
  <c r="AY200" i="5" s="1"/>
  <c r="O200" i="5" s="1"/>
  <c r="BA35" i="5"/>
  <c r="AZ35" i="5" s="1"/>
  <c r="AY35" i="5" s="1"/>
  <c r="O35" i="5" s="1"/>
  <c r="BA150" i="5"/>
  <c r="AZ150" i="5" s="1"/>
  <c r="AY150" i="5" s="1"/>
  <c r="O150" i="5" s="1"/>
  <c r="BA65" i="5"/>
  <c r="AZ65" i="5" s="1"/>
  <c r="AY65" i="5" s="1"/>
  <c r="O65" i="5" s="1"/>
  <c r="BA25" i="5"/>
  <c r="AZ25" i="5" s="1"/>
  <c r="AY25" i="5" s="1"/>
  <c r="O25" i="5" s="1"/>
  <c r="BA66" i="5"/>
  <c r="AZ66" i="5" s="1"/>
  <c r="AY66" i="5" s="1"/>
  <c r="O66" i="5" s="1"/>
  <c r="BA74" i="5"/>
  <c r="AZ74" i="5" s="1"/>
  <c r="AY74" i="5" s="1"/>
  <c r="O74" i="5" s="1"/>
  <c r="BA187" i="5"/>
  <c r="AZ187" i="5" s="1"/>
  <c r="AY187" i="5" s="1"/>
  <c r="O187" i="5" s="1"/>
  <c r="BA104" i="5"/>
  <c r="AZ104" i="5" s="1"/>
  <c r="AY104" i="5" s="1"/>
  <c r="O104" i="5" s="1"/>
  <c r="BA202" i="5"/>
  <c r="AZ202" i="5" s="1"/>
  <c r="AY202" i="5" s="1"/>
  <c r="O202" i="5" s="1"/>
  <c r="BA147" i="5"/>
  <c r="AZ147" i="5" s="1"/>
  <c r="AY147" i="5" s="1"/>
  <c r="O147" i="5" s="1"/>
  <c r="BA123" i="5"/>
  <c r="AZ123" i="5" s="1"/>
  <c r="AY123" i="5" s="1"/>
  <c r="O123" i="5" s="1"/>
  <c r="BA170" i="5"/>
  <c r="AZ170" i="5" s="1"/>
  <c r="AY170" i="5" s="1"/>
  <c r="O170" i="5" s="1"/>
  <c r="BA15" i="5"/>
  <c r="AZ15" i="5" s="1"/>
  <c r="AY15" i="5" s="1"/>
  <c r="O15" i="5" s="1"/>
  <c r="BA36" i="5"/>
  <c r="AZ36" i="5" s="1"/>
  <c r="AY36" i="5" s="1"/>
  <c r="O36" i="5" s="1"/>
  <c r="BA10" i="5"/>
  <c r="AZ10" i="5" s="1"/>
  <c r="AY10" i="5" s="1"/>
  <c r="O10" i="5" s="1"/>
  <c r="BA78" i="5"/>
  <c r="AZ78" i="5" s="1"/>
  <c r="AY78" i="5" s="1"/>
  <c r="O78" i="5" s="1"/>
  <c r="BA110" i="5"/>
  <c r="AZ110" i="5" s="1"/>
  <c r="AY110" i="5" s="1"/>
  <c r="O110" i="5" s="1"/>
  <c r="BA77" i="5"/>
  <c r="AZ77" i="5" s="1"/>
  <c r="AY77" i="5" s="1"/>
  <c r="O77" i="5" s="1"/>
  <c r="BA24" i="5"/>
  <c r="AZ24" i="5" s="1"/>
  <c r="AY24" i="5" s="1"/>
  <c r="O24" i="5" s="1"/>
  <c r="BA17" i="5"/>
  <c r="AZ17" i="5" s="1"/>
  <c r="AY17" i="5" s="1"/>
  <c r="O17" i="5" s="1"/>
  <c r="BA112" i="5"/>
  <c r="AZ112" i="5" s="1"/>
  <c r="AY112" i="5" s="1"/>
  <c r="O112" i="5" s="1"/>
  <c r="BA194" i="5"/>
  <c r="AZ194" i="5" s="1"/>
  <c r="AY194" i="5" s="1"/>
  <c r="O194" i="5" s="1"/>
  <c r="BA87" i="5"/>
  <c r="AZ87" i="5" s="1"/>
  <c r="AY87" i="5" s="1"/>
  <c r="O87" i="5" s="1"/>
  <c r="BA31" i="5"/>
  <c r="AZ31" i="5" s="1"/>
  <c r="AY31" i="5" s="1"/>
  <c r="O31" i="5" s="1"/>
  <c r="BA127" i="5"/>
  <c r="AZ127" i="5" s="1"/>
  <c r="AY127" i="5" s="1"/>
  <c r="O127" i="5" s="1"/>
  <c r="BA153" i="5"/>
  <c r="AZ153" i="5" s="1"/>
  <c r="AY153" i="5" s="1"/>
  <c r="O153" i="5" s="1"/>
  <c r="BA156" i="5"/>
  <c r="AZ156" i="5" s="1"/>
  <c r="AY156" i="5" s="1"/>
  <c r="O156" i="5" s="1"/>
  <c r="BA32" i="5"/>
  <c r="AZ32" i="5" s="1"/>
  <c r="AY32" i="5" s="1"/>
  <c r="O32" i="5" s="1"/>
  <c r="BA208" i="5"/>
  <c r="AZ208" i="5" s="1"/>
  <c r="AY208" i="5" s="1"/>
  <c r="O208" i="5" s="1"/>
  <c r="BA63" i="5"/>
  <c r="AZ63" i="5" s="1"/>
  <c r="AY63" i="5" s="1"/>
  <c r="O63" i="5" s="1"/>
  <c r="BA54" i="5"/>
  <c r="AZ54" i="5" s="1"/>
  <c r="AY54" i="5" s="1"/>
  <c r="O54" i="5" s="1"/>
  <c r="BA143" i="5"/>
  <c r="AZ143" i="5" s="1"/>
  <c r="AY143" i="5" s="1"/>
  <c r="O143" i="5" s="1"/>
  <c r="BA92" i="5"/>
  <c r="AZ92" i="5" s="1"/>
  <c r="AY92" i="5" s="1"/>
  <c r="O92" i="5" s="1"/>
  <c r="BA40" i="5"/>
  <c r="AZ40" i="5" s="1"/>
  <c r="AY40" i="5" s="1"/>
  <c r="O40" i="5" s="1"/>
  <c r="BA19" i="5"/>
  <c r="AZ19" i="5" s="1"/>
  <c r="AY19" i="5" s="1"/>
  <c r="O19" i="5" s="1"/>
  <c r="BA68" i="5"/>
  <c r="AZ68" i="5" s="1"/>
  <c r="AY68" i="5" s="1"/>
  <c r="O68" i="5" s="1"/>
  <c r="BA100" i="5"/>
  <c r="AZ100" i="5" s="1"/>
  <c r="AY100" i="5" s="1"/>
  <c r="O100" i="5" s="1"/>
  <c r="BA75" i="5"/>
  <c r="AZ75" i="5" s="1"/>
  <c r="AY75" i="5" s="1"/>
  <c r="O75" i="5" s="1"/>
  <c r="BA43" i="5"/>
  <c r="AZ43" i="5" s="1"/>
  <c r="AY43" i="5" s="1"/>
  <c r="O43" i="5" s="1"/>
  <c r="BA20" i="5"/>
  <c r="AZ20" i="5" s="1"/>
  <c r="AY20" i="5" s="1"/>
  <c r="O20" i="5" s="1"/>
  <c r="BA56" i="5"/>
  <c r="AZ56" i="5" s="1"/>
  <c r="AY56" i="5" s="1"/>
  <c r="O56" i="5" s="1"/>
  <c r="BA122" i="5"/>
  <c r="AZ122" i="5" s="1"/>
  <c r="AY122" i="5" s="1"/>
  <c r="O122" i="5" s="1"/>
  <c r="BA83" i="5"/>
  <c r="AZ83" i="5" s="1"/>
  <c r="AY83" i="5" s="1"/>
  <c r="O83" i="5" s="1"/>
  <c r="BA23" i="5"/>
  <c r="AZ23" i="5" s="1"/>
  <c r="AY23" i="5" s="1"/>
  <c r="O23" i="5" s="1"/>
  <c r="BA51" i="5"/>
  <c r="AZ51" i="5" s="1"/>
  <c r="AY51" i="5" s="1"/>
  <c r="O51" i="5" s="1"/>
  <c r="BA120" i="5"/>
  <c r="AZ120" i="5" s="1"/>
  <c r="AY120" i="5" s="1"/>
  <c r="O120" i="5" s="1"/>
  <c r="BA93" i="5"/>
  <c r="AZ93" i="5" s="1"/>
  <c r="AY93" i="5" s="1"/>
  <c r="O93" i="5" s="1"/>
  <c r="BA29" i="5"/>
  <c r="AZ29" i="5" s="1"/>
  <c r="AY29" i="5" s="1"/>
  <c r="O29" i="5" s="1"/>
  <c r="BA180" i="5"/>
  <c r="AZ180" i="5" s="1"/>
  <c r="AY180" i="5" s="1"/>
  <c r="O180" i="5" s="1"/>
  <c r="AD162" i="5"/>
  <c r="AC162" i="5" s="1"/>
  <c r="F162" i="5" s="1"/>
  <c r="AD24" i="5"/>
  <c r="AC24" i="5" s="1"/>
  <c r="F24" i="5" s="1"/>
  <c r="AD95" i="5"/>
  <c r="AC95" i="5" s="1"/>
  <c r="F95" i="5" s="1"/>
  <c r="AD132" i="5"/>
  <c r="AC132" i="5" s="1"/>
  <c r="F132" i="5" s="1"/>
  <c r="AD85" i="5"/>
  <c r="AC85" i="5" s="1"/>
  <c r="F85" i="5" s="1"/>
  <c r="AD176" i="5"/>
  <c r="AC176" i="5" s="1"/>
  <c r="F176" i="5" s="1"/>
  <c r="AD55" i="5"/>
  <c r="AC55" i="5" s="1"/>
  <c r="F55" i="5" s="1"/>
  <c r="AD137" i="5"/>
  <c r="AC137" i="5" s="1"/>
  <c r="F137" i="5" s="1"/>
  <c r="AD25" i="5"/>
  <c r="AC25" i="5" s="1"/>
  <c r="F25" i="5" s="1"/>
  <c r="AD72" i="5"/>
  <c r="AC72" i="5" s="1"/>
  <c r="F72" i="5" s="1"/>
  <c r="AD84" i="5"/>
  <c r="AC84" i="5" s="1"/>
  <c r="F84" i="5" s="1"/>
  <c r="AD196" i="5"/>
  <c r="AC196" i="5" s="1"/>
  <c r="F196" i="5" s="1"/>
  <c r="AD75" i="5"/>
  <c r="AC75" i="5" s="1"/>
  <c r="F75" i="5" s="1"/>
  <c r="AD204" i="5"/>
  <c r="AC204" i="5" s="1"/>
  <c r="F204" i="5" s="1"/>
  <c r="AD47" i="5"/>
  <c r="AC47" i="5" s="1"/>
  <c r="F47" i="5" s="1"/>
  <c r="AD59" i="5"/>
  <c r="AC59" i="5" s="1"/>
  <c r="F59" i="5" s="1"/>
  <c r="AD201" i="5"/>
  <c r="AC201" i="5" s="1"/>
  <c r="F201" i="5" s="1"/>
  <c r="AD42" i="5"/>
  <c r="AC42" i="5" s="1"/>
  <c r="F42" i="5" s="1"/>
  <c r="AD106" i="5"/>
  <c r="AC106" i="5" s="1"/>
  <c r="F106" i="5" s="1"/>
  <c r="AD37" i="5"/>
  <c r="AC37" i="5" s="1"/>
  <c r="F37" i="5" s="1"/>
  <c r="AD64" i="5"/>
  <c r="AC64" i="5" s="1"/>
  <c r="F64" i="5" s="1"/>
  <c r="AD104" i="5"/>
  <c r="AC104" i="5" s="1"/>
  <c r="F104" i="5" s="1"/>
  <c r="AD73" i="5"/>
  <c r="AC73" i="5" s="1"/>
  <c r="F73" i="5" s="1"/>
  <c r="AD207" i="5"/>
  <c r="AC207" i="5" s="1"/>
  <c r="F207" i="5" s="1"/>
  <c r="AD134" i="5"/>
  <c r="AC134" i="5" s="1"/>
  <c r="F134" i="5" s="1"/>
  <c r="AD187" i="5"/>
  <c r="AC187" i="5" s="1"/>
  <c r="F187" i="5" s="1"/>
  <c r="AD97" i="5"/>
  <c r="AC97" i="5" s="1"/>
  <c r="F97" i="5" s="1"/>
  <c r="AD51" i="5"/>
  <c r="AC51" i="5" s="1"/>
  <c r="F51" i="5" s="1"/>
  <c r="AD69" i="5"/>
  <c r="AC69" i="5" s="1"/>
  <c r="F69" i="5" s="1"/>
  <c r="AD175" i="5"/>
  <c r="AC175" i="5" s="1"/>
  <c r="F175" i="5" s="1"/>
  <c r="AD147" i="5"/>
  <c r="AC147" i="5" s="1"/>
  <c r="F147" i="5" s="1"/>
  <c r="AD171" i="5"/>
  <c r="AC171" i="5" s="1"/>
  <c r="F171" i="5" s="1"/>
  <c r="AD32" i="5"/>
  <c r="AC32" i="5" s="1"/>
  <c r="F32" i="5" s="1"/>
  <c r="AD88" i="5"/>
  <c r="AC88" i="5" s="1"/>
  <c r="F88" i="5" s="1"/>
  <c r="AD109" i="5"/>
  <c r="AC109" i="5" s="1"/>
  <c r="F109" i="5" s="1"/>
  <c r="AD198" i="5"/>
  <c r="AC198" i="5" s="1"/>
  <c r="F198" i="5" s="1"/>
  <c r="AD168" i="5"/>
  <c r="AC168" i="5" s="1"/>
  <c r="F168" i="5" s="1"/>
  <c r="AD113" i="5"/>
  <c r="AC113" i="5" s="1"/>
  <c r="F113" i="5" s="1"/>
  <c r="AD94" i="5"/>
  <c r="AC94" i="5" s="1"/>
  <c r="F94" i="5" s="1"/>
  <c r="AD34" i="5"/>
  <c r="AC34" i="5" s="1"/>
  <c r="F34" i="5" s="1"/>
  <c r="AD184" i="5"/>
  <c r="AC184" i="5" s="1"/>
  <c r="F184" i="5" s="1"/>
  <c r="AD150" i="5"/>
  <c r="AC150" i="5" s="1"/>
  <c r="F150" i="5" s="1"/>
  <c r="AD22" i="5"/>
  <c r="AC22" i="5" s="1"/>
  <c r="F22" i="5" s="1"/>
  <c r="AD41" i="5"/>
  <c r="AC41" i="5" s="1"/>
  <c r="F41" i="5" s="1"/>
  <c r="AD161" i="5"/>
  <c r="AC161" i="5" s="1"/>
  <c r="F161" i="5" s="1"/>
  <c r="AD20" i="5"/>
  <c r="AC20" i="5" s="1"/>
  <c r="F20" i="5" s="1"/>
  <c r="AD110" i="5"/>
  <c r="AC110" i="5" s="1"/>
  <c r="F110" i="5" s="1"/>
  <c r="AD185" i="5"/>
  <c r="AC185" i="5" s="1"/>
  <c r="F185" i="5" s="1"/>
  <c r="AD138" i="5"/>
  <c r="AC138" i="5" s="1"/>
  <c r="F138" i="5" s="1"/>
  <c r="AD27" i="5"/>
  <c r="AC27" i="5" s="1"/>
  <c r="F27" i="5" s="1"/>
  <c r="AD149" i="5"/>
  <c r="AC149" i="5" s="1"/>
  <c r="F149" i="5" s="1"/>
  <c r="AD191" i="5"/>
  <c r="AC191" i="5" s="1"/>
  <c r="F191" i="5" s="1"/>
  <c r="AD61" i="5"/>
  <c r="AC61" i="5" s="1"/>
  <c r="F61" i="5" s="1"/>
  <c r="AD89" i="5"/>
  <c r="AC89" i="5" s="1"/>
  <c r="F89" i="5" s="1"/>
  <c r="AD165" i="5"/>
  <c r="AC165" i="5" s="1"/>
  <c r="F165" i="5" s="1"/>
  <c r="AD99" i="5"/>
  <c r="AC99" i="5" s="1"/>
  <c r="F99" i="5" s="1"/>
  <c r="AD205" i="5"/>
  <c r="AC205" i="5" s="1"/>
  <c r="F205" i="5" s="1"/>
  <c r="AD21" i="5"/>
  <c r="AC21" i="5" s="1"/>
  <c r="F21" i="5" s="1"/>
  <c r="AD129" i="5"/>
  <c r="AC129" i="5" s="1"/>
  <c r="F129" i="5" s="1"/>
  <c r="AD180" i="5"/>
  <c r="AC180" i="5" s="1"/>
  <c r="F180" i="5" s="1"/>
  <c r="AD26" i="5"/>
  <c r="AC26" i="5" s="1"/>
  <c r="F26" i="5" s="1"/>
  <c r="AD76" i="5"/>
  <c r="AC76" i="5" s="1"/>
  <c r="F76" i="5" s="1"/>
  <c r="AD102" i="5"/>
  <c r="AC102" i="5" s="1"/>
  <c r="F102" i="5" s="1"/>
  <c r="AD179" i="5"/>
  <c r="AC179" i="5" s="1"/>
  <c r="F179" i="5" s="1"/>
  <c r="AD116" i="5"/>
  <c r="AC116" i="5" s="1"/>
  <c r="F116" i="5" s="1"/>
  <c r="AD140" i="5"/>
  <c r="AC140" i="5" s="1"/>
  <c r="F140" i="5" s="1"/>
  <c r="AD174" i="5"/>
  <c r="AC174" i="5" s="1"/>
  <c r="F174" i="5" s="1"/>
  <c r="AD115" i="5"/>
  <c r="AC115" i="5" s="1"/>
  <c r="F115" i="5" s="1"/>
  <c r="AD71" i="5"/>
  <c r="AC71" i="5" s="1"/>
  <c r="F71" i="5" s="1"/>
  <c r="AD12" i="5"/>
  <c r="AC12" i="5" s="1"/>
  <c r="F12" i="5" s="1"/>
  <c r="AD98" i="5"/>
  <c r="AC98" i="5" s="1"/>
  <c r="F98" i="5" s="1"/>
  <c r="AD62" i="5"/>
  <c r="AC62" i="5" s="1"/>
  <c r="F62" i="5" s="1"/>
  <c r="AD65" i="5"/>
  <c r="AC65" i="5" s="1"/>
  <c r="F65" i="5" s="1"/>
  <c r="AD118" i="5"/>
  <c r="AC118" i="5" s="1"/>
  <c r="F118" i="5" s="1"/>
  <c r="AD151" i="5"/>
  <c r="AC151" i="5" s="1"/>
  <c r="F151" i="5" s="1"/>
  <c r="AD100" i="5"/>
  <c r="AC100" i="5" s="1"/>
  <c r="F100" i="5" s="1"/>
  <c r="AD60" i="5"/>
  <c r="AC60" i="5" s="1"/>
  <c r="F60" i="5" s="1"/>
  <c r="AD78" i="5"/>
  <c r="AC78" i="5" s="1"/>
  <c r="F78" i="5" s="1"/>
  <c r="AD154" i="5"/>
  <c r="AC154" i="5" s="1"/>
  <c r="F154" i="5" s="1"/>
  <c r="AD190" i="5"/>
  <c r="AC190" i="5" s="1"/>
  <c r="F190" i="5" s="1"/>
  <c r="AD93" i="5"/>
  <c r="AC93" i="5" s="1"/>
  <c r="F93" i="5" s="1"/>
  <c r="AD45" i="5"/>
  <c r="AC45" i="5" s="1"/>
  <c r="F45" i="5" s="1"/>
  <c r="AD46" i="5"/>
  <c r="AC46" i="5" s="1"/>
  <c r="F46" i="5" s="1"/>
  <c r="AD177" i="5"/>
  <c r="AC177" i="5" s="1"/>
  <c r="F177" i="5" s="1"/>
  <c r="AD145" i="5"/>
  <c r="AC145" i="5" s="1"/>
  <c r="F145" i="5" s="1"/>
  <c r="AD169" i="5"/>
  <c r="AC169" i="5" s="1"/>
  <c r="F169" i="5" s="1"/>
  <c r="AD40" i="5"/>
  <c r="AC40" i="5" s="1"/>
  <c r="F40" i="5" s="1"/>
  <c r="AD36" i="5"/>
  <c r="AC36" i="5" s="1"/>
  <c r="F36" i="5" s="1"/>
  <c r="AD18" i="5"/>
  <c r="AC18" i="5" s="1"/>
  <c r="F18" i="5" s="1"/>
  <c r="AD119" i="5"/>
  <c r="AC119" i="5" s="1"/>
  <c r="F119" i="5" s="1"/>
  <c r="AD192" i="5"/>
  <c r="AC192" i="5" s="1"/>
  <c r="F192" i="5" s="1"/>
  <c r="AD38" i="5"/>
  <c r="AC38" i="5" s="1"/>
  <c r="F38" i="5" s="1"/>
  <c r="AD90" i="5"/>
  <c r="AC90" i="5" s="1"/>
  <c r="F90" i="5" s="1"/>
  <c r="AD193" i="5"/>
  <c r="AC193" i="5" s="1"/>
  <c r="F193" i="5" s="1"/>
  <c r="AD96" i="5"/>
  <c r="AC96" i="5" s="1"/>
  <c r="F96" i="5" s="1"/>
  <c r="AD108" i="5"/>
  <c r="AC108" i="5" s="1"/>
  <c r="F108" i="5" s="1"/>
  <c r="AD157" i="5"/>
  <c r="AC157" i="5" s="1"/>
  <c r="F157" i="5" s="1"/>
  <c r="AD195" i="5"/>
  <c r="AC195" i="5" s="1"/>
  <c r="F195" i="5" s="1"/>
  <c r="AD136" i="5"/>
  <c r="AC136" i="5" s="1"/>
  <c r="F136" i="5" s="1"/>
  <c r="AD92" i="5"/>
  <c r="AC92" i="5" s="1"/>
  <c r="F92" i="5" s="1"/>
  <c r="AD135" i="5"/>
  <c r="AC135" i="5" s="1"/>
  <c r="F135" i="5" s="1"/>
  <c r="AD143" i="5"/>
  <c r="AC143" i="5" s="1"/>
  <c r="F143" i="5" s="1"/>
  <c r="AD206" i="5"/>
  <c r="AC206" i="5" s="1"/>
  <c r="F206" i="5" s="1"/>
  <c r="AD49" i="5"/>
  <c r="AC49" i="5" s="1"/>
  <c r="F49" i="5" s="1"/>
  <c r="AD66" i="5"/>
  <c r="AC66" i="5" s="1"/>
  <c r="F66" i="5" s="1"/>
  <c r="AD13" i="5"/>
  <c r="AC13" i="5" s="1"/>
  <c r="F13" i="5" s="1"/>
  <c r="AD80" i="5"/>
  <c r="AC80" i="5" s="1"/>
  <c r="F80" i="5" s="1"/>
  <c r="AD148" i="5"/>
  <c r="AC148" i="5" s="1"/>
  <c r="F148" i="5" s="1"/>
  <c r="AD123" i="5"/>
  <c r="AC123" i="5" s="1"/>
  <c r="F123" i="5" s="1"/>
  <c r="AD127" i="5"/>
  <c r="AC127" i="5" s="1"/>
  <c r="F127" i="5" s="1"/>
  <c r="AD52" i="5"/>
  <c r="AC52" i="5" s="1"/>
  <c r="F52" i="5" s="1"/>
  <c r="AD200" i="5"/>
  <c r="AC200" i="5" s="1"/>
  <c r="F200" i="5" s="1"/>
  <c r="AS181" i="5"/>
  <c r="AR181" i="5" s="1"/>
  <c r="AQ181" i="5" s="1"/>
  <c r="L181" i="5" s="1"/>
  <c r="AS164" i="5"/>
  <c r="AR164" i="5" s="1"/>
  <c r="AQ164" i="5" s="1"/>
  <c r="L164" i="5" s="1"/>
  <c r="AS157" i="5"/>
  <c r="AR157" i="5" s="1"/>
  <c r="AQ157" i="5" s="1"/>
  <c r="L157" i="5" s="1"/>
  <c r="AS114" i="5"/>
  <c r="AR114" i="5" s="1"/>
  <c r="AQ114" i="5" s="1"/>
  <c r="L114" i="5" s="1"/>
  <c r="AS38" i="5"/>
  <c r="AR38" i="5" s="1"/>
  <c r="AQ38" i="5" s="1"/>
  <c r="L38" i="5" s="1"/>
  <c r="AS22" i="5"/>
  <c r="AR22" i="5" s="1"/>
  <c r="AQ22" i="5" s="1"/>
  <c r="L22" i="5" s="1"/>
  <c r="AS89" i="5"/>
  <c r="AR89" i="5" s="1"/>
  <c r="AQ89" i="5" s="1"/>
  <c r="L89" i="5" s="1"/>
  <c r="AS49" i="5"/>
  <c r="AR49" i="5" s="1"/>
  <c r="AQ49" i="5" s="1"/>
  <c r="L49" i="5" s="1"/>
  <c r="AS21" i="5"/>
  <c r="AR21" i="5" s="1"/>
  <c r="AQ21" i="5" s="1"/>
  <c r="L21" i="5" s="1"/>
  <c r="AS96" i="5"/>
  <c r="AR96" i="5" s="1"/>
  <c r="AQ96" i="5" s="1"/>
  <c r="L96" i="5" s="1"/>
  <c r="AS47" i="5"/>
  <c r="AR47" i="5" s="1"/>
  <c r="AQ47" i="5" s="1"/>
  <c r="L47" i="5" s="1"/>
  <c r="AS97" i="5"/>
  <c r="AR97" i="5" s="1"/>
  <c r="AQ97" i="5" s="1"/>
  <c r="L97" i="5" s="1"/>
  <c r="AS23" i="5"/>
  <c r="AR23" i="5" s="1"/>
  <c r="AQ23" i="5" s="1"/>
  <c r="L23" i="5" s="1"/>
  <c r="AS189" i="5"/>
  <c r="AR189" i="5" s="1"/>
  <c r="AQ189" i="5" s="1"/>
  <c r="L189" i="5" s="1"/>
  <c r="AS70" i="5"/>
  <c r="AR70" i="5" s="1"/>
  <c r="AQ70" i="5" s="1"/>
  <c r="L70" i="5" s="1"/>
  <c r="AS84" i="5"/>
  <c r="AR84" i="5" s="1"/>
  <c r="AQ84" i="5" s="1"/>
  <c r="L84" i="5" s="1"/>
  <c r="AS76" i="5"/>
  <c r="AR76" i="5" s="1"/>
  <c r="AQ76" i="5" s="1"/>
  <c r="L76" i="5" s="1"/>
  <c r="AS115" i="5"/>
  <c r="AR115" i="5" s="1"/>
  <c r="AQ115" i="5" s="1"/>
  <c r="L115" i="5" s="1"/>
  <c r="AS208" i="5"/>
  <c r="AR208" i="5" s="1"/>
  <c r="AQ208" i="5" s="1"/>
  <c r="L208" i="5" s="1"/>
  <c r="AS63" i="5"/>
  <c r="AR63" i="5" s="1"/>
  <c r="AQ63" i="5" s="1"/>
  <c r="L63" i="5" s="1"/>
  <c r="AS127" i="5"/>
  <c r="AR127" i="5" s="1"/>
  <c r="AQ127" i="5" s="1"/>
  <c r="L127" i="5" s="1"/>
  <c r="AS15" i="5"/>
  <c r="AR15" i="5" s="1"/>
  <c r="AQ15" i="5" s="1"/>
  <c r="L15" i="5" s="1"/>
  <c r="AS170" i="5"/>
  <c r="AR170" i="5" s="1"/>
  <c r="AQ170" i="5" s="1"/>
  <c r="L170" i="5" s="1"/>
  <c r="AS162" i="5"/>
  <c r="AR162" i="5" s="1"/>
  <c r="AQ162" i="5" s="1"/>
  <c r="L162" i="5" s="1"/>
  <c r="AS20" i="5"/>
  <c r="AR20" i="5" s="1"/>
  <c r="AQ20" i="5" s="1"/>
  <c r="L20" i="5" s="1"/>
  <c r="AS56" i="5"/>
  <c r="AR56" i="5" s="1"/>
  <c r="AQ56" i="5" s="1"/>
  <c r="L56" i="5" s="1"/>
  <c r="AS53" i="5"/>
  <c r="AR53" i="5" s="1"/>
  <c r="AQ53" i="5" s="1"/>
  <c r="L53" i="5" s="1"/>
  <c r="AS203" i="5"/>
  <c r="AR203" i="5" s="1"/>
  <c r="AQ203" i="5" s="1"/>
  <c r="L203" i="5" s="1"/>
  <c r="AS46" i="5"/>
  <c r="AR46" i="5" s="1"/>
  <c r="AQ46" i="5" s="1"/>
  <c r="L46" i="5" s="1"/>
  <c r="AS178" i="5"/>
  <c r="AR178" i="5" s="1"/>
  <c r="AQ178" i="5" s="1"/>
  <c r="L178" i="5" s="1"/>
  <c r="AS87" i="5"/>
  <c r="AR87" i="5" s="1"/>
  <c r="AQ87" i="5" s="1"/>
  <c r="L87" i="5" s="1"/>
  <c r="AS116" i="5"/>
  <c r="AR116" i="5" s="1"/>
  <c r="AQ116" i="5" s="1"/>
  <c r="L116" i="5" s="1"/>
  <c r="AS11" i="5"/>
  <c r="AR11" i="5" s="1"/>
  <c r="AQ11" i="5" s="1"/>
  <c r="L11" i="5" s="1"/>
  <c r="AS192" i="5"/>
  <c r="AR192" i="5" s="1"/>
  <c r="AQ192" i="5" s="1"/>
  <c r="L192" i="5" s="1"/>
  <c r="AS182" i="5"/>
  <c r="AR182" i="5" s="1"/>
  <c r="AQ182" i="5" s="1"/>
  <c r="L182" i="5" s="1"/>
  <c r="AS73" i="5"/>
  <c r="AR73" i="5" s="1"/>
  <c r="AQ73" i="5" s="1"/>
  <c r="L73" i="5" s="1"/>
  <c r="AS10" i="5"/>
  <c r="AR10" i="5" s="1"/>
  <c r="AQ10" i="5" s="1"/>
  <c r="L10" i="5" s="1"/>
  <c r="AS66" i="5"/>
  <c r="AR66" i="5" s="1"/>
  <c r="AQ66" i="5" s="1"/>
  <c r="L66" i="5" s="1"/>
  <c r="AS24" i="5"/>
  <c r="AR24" i="5" s="1"/>
  <c r="AQ24" i="5" s="1"/>
  <c r="L24" i="5" s="1"/>
  <c r="AS92" i="5"/>
  <c r="AR92" i="5" s="1"/>
  <c r="AQ92" i="5" s="1"/>
  <c r="L92" i="5" s="1"/>
  <c r="AS59" i="5"/>
  <c r="AR59" i="5" s="1"/>
  <c r="AQ59" i="5" s="1"/>
  <c r="L59" i="5" s="1"/>
  <c r="AS166" i="5"/>
  <c r="AR166" i="5" s="1"/>
  <c r="AQ166" i="5" s="1"/>
  <c r="L166" i="5" s="1"/>
  <c r="AS83" i="5"/>
  <c r="AR83" i="5" s="1"/>
  <c r="AQ83" i="5" s="1"/>
  <c r="L83" i="5" s="1"/>
  <c r="AS119" i="5"/>
  <c r="AR119" i="5" s="1"/>
  <c r="AQ119" i="5" s="1"/>
  <c r="L119" i="5" s="1"/>
  <c r="AS149" i="5"/>
  <c r="AR149" i="5" s="1"/>
  <c r="AQ149" i="5" s="1"/>
  <c r="L149" i="5" s="1"/>
  <c r="AS152" i="5"/>
  <c r="AR152" i="5" s="1"/>
  <c r="AQ152" i="5" s="1"/>
  <c r="L152" i="5" s="1"/>
  <c r="AS61" i="5"/>
  <c r="AR61" i="5" s="1"/>
  <c r="AQ61" i="5" s="1"/>
  <c r="L61" i="5" s="1"/>
  <c r="AS205" i="5"/>
  <c r="AR205" i="5" s="1"/>
  <c r="AQ205" i="5" s="1"/>
  <c r="L205" i="5" s="1"/>
  <c r="AS108" i="5"/>
  <c r="AR108" i="5" s="1"/>
  <c r="AQ108" i="5" s="1"/>
  <c r="L108" i="5" s="1"/>
  <c r="AS107" i="5"/>
  <c r="AR107" i="5" s="1"/>
  <c r="AQ107" i="5" s="1"/>
  <c r="L107" i="5" s="1"/>
  <c r="AS101" i="5"/>
  <c r="AR101" i="5" s="1"/>
  <c r="AQ101" i="5" s="1"/>
  <c r="L101" i="5" s="1"/>
  <c r="AS156" i="5"/>
  <c r="AR156" i="5" s="1"/>
  <c r="AQ156" i="5" s="1"/>
  <c r="L156" i="5" s="1"/>
  <c r="AS153" i="5"/>
  <c r="AR153" i="5" s="1"/>
  <c r="AQ153" i="5" s="1"/>
  <c r="L153" i="5" s="1"/>
  <c r="AS179" i="5"/>
  <c r="AR179" i="5" s="1"/>
  <c r="AQ179" i="5" s="1"/>
  <c r="L179" i="5" s="1"/>
  <c r="AS136" i="5"/>
  <c r="AR136" i="5" s="1"/>
  <c r="AQ136" i="5" s="1"/>
  <c r="L136" i="5" s="1"/>
  <c r="AS158" i="5"/>
  <c r="AR158" i="5" s="1"/>
  <c r="AQ158" i="5" s="1"/>
  <c r="L158" i="5" s="1"/>
  <c r="AS140" i="5"/>
  <c r="AR140" i="5" s="1"/>
  <c r="AQ140" i="5" s="1"/>
  <c r="L140" i="5" s="1"/>
  <c r="AS204" i="5"/>
  <c r="AR204" i="5" s="1"/>
  <c r="AQ204" i="5" s="1"/>
  <c r="L204" i="5" s="1"/>
  <c r="AS75" i="5"/>
  <c r="AR75" i="5" s="1"/>
  <c r="AQ75" i="5" s="1"/>
  <c r="L75" i="5" s="1"/>
  <c r="AS109" i="5"/>
  <c r="AR109" i="5" s="1"/>
  <c r="AQ109" i="5" s="1"/>
  <c r="L109" i="5" s="1"/>
  <c r="AS190" i="5"/>
  <c r="AR190" i="5" s="1"/>
  <c r="AQ190" i="5" s="1"/>
  <c r="L190" i="5" s="1"/>
  <c r="AS160" i="5"/>
  <c r="AR160" i="5" s="1"/>
  <c r="AQ160" i="5" s="1"/>
  <c r="L160" i="5" s="1"/>
  <c r="AS26" i="5"/>
  <c r="AR26" i="5" s="1"/>
  <c r="AQ26" i="5" s="1"/>
  <c r="L26" i="5" s="1"/>
  <c r="AS74" i="5"/>
  <c r="AR74" i="5" s="1"/>
  <c r="AQ74" i="5" s="1"/>
  <c r="L74" i="5" s="1"/>
  <c r="AS18" i="5"/>
  <c r="AR18" i="5" s="1"/>
  <c r="AQ18" i="5" s="1"/>
  <c r="L18" i="5" s="1"/>
  <c r="AS102" i="5"/>
  <c r="AR102" i="5" s="1"/>
  <c r="AQ102" i="5" s="1"/>
  <c r="L102" i="5" s="1"/>
  <c r="AS58" i="5"/>
  <c r="AR58" i="5" s="1"/>
  <c r="AQ58" i="5" s="1"/>
  <c r="L58" i="5" s="1"/>
  <c r="AS86" i="5"/>
  <c r="AR86" i="5" s="1"/>
  <c r="AQ86" i="5" s="1"/>
  <c r="L86" i="5" s="1"/>
  <c r="AS143" i="5"/>
  <c r="AR143" i="5" s="1"/>
  <c r="AQ143" i="5" s="1"/>
  <c r="L143" i="5" s="1"/>
  <c r="AS88" i="5"/>
  <c r="AR88" i="5" s="1"/>
  <c r="AQ88" i="5" s="1"/>
  <c r="L88" i="5" s="1"/>
  <c r="AS36" i="5"/>
  <c r="AR36" i="5" s="1"/>
  <c r="AQ36" i="5" s="1"/>
  <c r="L36" i="5" s="1"/>
  <c r="AS142" i="5"/>
  <c r="AR142" i="5" s="1"/>
  <c r="AQ142" i="5" s="1"/>
  <c r="L142" i="5" s="1"/>
  <c r="AS201" i="5"/>
  <c r="AR201" i="5" s="1"/>
  <c r="AQ201" i="5" s="1"/>
  <c r="L201" i="5" s="1"/>
  <c r="AS48" i="5"/>
  <c r="AR48" i="5" s="1"/>
  <c r="AQ48" i="5" s="1"/>
  <c r="L48" i="5" s="1"/>
  <c r="AS111" i="5"/>
  <c r="AR111" i="5" s="1"/>
  <c r="AQ111" i="5" s="1"/>
  <c r="L111" i="5" s="1"/>
  <c r="AS145" i="5"/>
  <c r="AR145" i="5" s="1"/>
  <c r="AQ145" i="5" s="1"/>
  <c r="L145" i="5" s="1"/>
  <c r="AS113" i="5"/>
  <c r="AR113" i="5" s="1"/>
  <c r="AQ113" i="5" s="1"/>
  <c r="L113" i="5" s="1"/>
  <c r="AS29" i="5"/>
  <c r="AR29" i="5" s="1"/>
  <c r="AQ29" i="5" s="1"/>
  <c r="L29" i="5" s="1"/>
  <c r="AS32" i="5"/>
  <c r="AR32" i="5" s="1"/>
  <c r="AQ32" i="5" s="1"/>
  <c r="L32" i="5" s="1"/>
  <c r="AS110" i="5"/>
  <c r="AR110" i="5" s="1"/>
  <c r="AQ110" i="5" s="1"/>
  <c r="L110" i="5" s="1"/>
  <c r="AS139" i="5"/>
  <c r="AR139" i="5" s="1"/>
  <c r="AQ139" i="5" s="1"/>
  <c r="L139" i="5" s="1"/>
  <c r="AS100" i="5"/>
  <c r="AR100" i="5" s="1"/>
  <c r="AQ100" i="5" s="1"/>
  <c r="L100" i="5" s="1"/>
  <c r="AS55" i="5"/>
  <c r="AR55" i="5" s="1"/>
  <c r="AQ55" i="5" s="1"/>
  <c r="L55" i="5" s="1"/>
  <c r="AS68" i="5"/>
  <c r="AR68" i="5" s="1"/>
  <c r="AQ68" i="5" s="1"/>
  <c r="L68" i="5" s="1"/>
  <c r="AS77" i="5"/>
  <c r="AR77" i="5" s="1"/>
  <c r="AQ77" i="5" s="1"/>
  <c r="L77" i="5" s="1"/>
  <c r="AS106" i="5"/>
  <c r="AR106" i="5" s="1"/>
  <c r="AQ106" i="5" s="1"/>
  <c r="L106" i="5" s="1"/>
  <c r="AS65" i="5"/>
  <c r="AR65" i="5" s="1"/>
  <c r="AQ65" i="5" s="1"/>
  <c r="L65" i="5" s="1"/>
  <c r="AS207" i="5"/>
  <c r="AR207" i="5" s="1"/>
  <c r="AQ207" i="5" s="1"/>
  <c r="L207" i="5" s="1"/>
  <c r="AS37" i="5"/>
  <c r="AR37" i="5" s="1"/>
  <c r="AQ37" i="5" s="1"/>
  <c r="L37" i="5" s="1"/>
  <c r="AS35" i="5"/>
  <c r="AR35" i="5" s="1"/>
  <c r="AQ35" i="5" s="1"/>
  <c r="L35" i="5" s="1"/>
  <c r="AS51" i="5"/>
  <c r="AR51" i="5" s="1"/>
  <c r="AQ51" i="5" s="1"/>
  <c r="L51" i="5" s="1"/>
  <c r="AS80" i="5"/>
  <c r="AR80" i="5" s="1"/>
  <c r="AQ80" i="5" s="1"/>
  <c r="L80" i="5" s="1"/>
  <c r="AS161" i="5"/>
  <c r="AR161" i="5" s="1"/>
  <c r="AQ161" i="5" s="1"/>
  <c r="L161" i="5" s="1"/>
  <c r="AS44" i="5"/>
  <c r="AR44" i="5" s="1"/>
  <c r="AQ44" i="5" s="1"/>
  <c r="L44" i="5" s="1"/>
  <c r="AS177" i="5"/>
  <c r="AR177" i="5" s="1"/>
  <c r="AQ177" i="5" s="1"/>
  <c r="L177" i="5" s="1"/>
  <c r="AS148" i="5"/>
  <c r="AR148" i="5" s="1"/>
  <c r="AQ148" i="5" s="1"/>
  <c r="L148" i="5" s="1"/>
  <c r="AS104" i="5"/>
  <c r="AR104" i="5" s="1"/>
  <c r="AQ104" i="5" s="1"/>
  <c r="L104" i="5" s="1"/>
  <c r="AS105" i="5"/>
  <c r="AR105" i="5" s="1"/>
  <c r="AQ105" i="5" s="1"/>
  <c r="L105" i="5" s="1"/>
  <c r="AS176" i="5"/>
  <c r="AR176" i="5" s="1"/>
  <c r="AQ176" i="5" s="1"/>
  <c r="L176" i="5" s="1"/>
  <c r="AS200" i="5"/>
  <c r="AR200" i="5" s="1"/>
  <c r="AQ200" i="5" s="1"/>
  <c r="L200" i="5" s="1"/>
  <c r="AS206" i="5"/>
  <c r="AR206" i="5" s="1"/>
  <c r="AQ206" i="5" s="1"/>
  <c r="L206" i="5" s="1"/>
  <c r="AS19" i="5"/>
  <c r="AR19" i="5" s="1"/>
  <c r="AQ19" i="5" s="1"/>
  <c r="L19" i="5" s="1"/>
  <c r="AS72" i="5"/>
  <c r="AR72" i="5" s="1"/>
  <c r="AQ72" i="5" s="1"/>
  <c r="L72" i="5" s="1"/>
  <c r="AD107" i="5"/>
  <c r="AC107" i="5" s="1"/>
  <c r="F107" i="5" s="1"/>
  <c r="AD19" i="5"/>
  <c r="AC19" i="5" s="1"/>
  <c r="F19" i="5" s="1"/>
  <c r="AD188" i="5"/>
  <c r="AC188" i="5" s="1"/>
  <c r="F188" i="5" s="1"/>
  <c r="AD126" i="5"/>
  <c r="AC126" i="5" s="1"/>
  <c r="F126" i="5" s="1"/>
  <c r="AD33" i="5"/>
  <c r="AC33" i="5" s="1"/>
  <c r="F33" i="5" s="1"/>
  <c r="AD199" i="5"/>
  <c r="AC199" i="5" s="1"/>
  <c r="F199" i="5" s="1"/>
  <c r="AD86" i="5"/>
  <c r="AC86" i="5" s="1"/>
  <c r="F86" i="5" s="1"/>
  <c r="AD139" i="5"/>
  <c r="AC139" i="5" s="1"/>
  <c r="F139" i="5" s="1"/>
  <c r="AD173" i="5"/>
  <c r="AC173" i="5" s="1"/>
  <c r="F173" i="5" s="1"/>
  <c r="AD153" i="5"/>
  <c r="AC153" i="5" s="1"/>
  <c r="F153" i="5" s="1"/>
  <c r="AD164" i="5"/>
  <c r="AC164" i="5" s="1"/>
  <c r="F164" i="5" s="1"/>
  <c r="AD39" i="5"/>
  <c r="AC39" i="5" s="1"/>
  <c r="F39" i="5" s="1"/>
  <c r="AD74" i="5"/>
  <c r="AC74" i="5" s="1"/>
  <c r="F74" i="5" s="1"/>
  <c r="AD63" i="5"/>
  <c r="AC63" i="5" s="1"/>
  <c r="F63" i="5" s="1"/>
  <c r="AD57" i="5"/>
  <c r="AC57" i="5" s="1"/>
  <c r="F57" i="5" s="1"/>
  <c r="AD122" i="5"/>
  <c r="AC122" i="5" s="1"/>
  <c r="F122" i="5" s="1"/>
  <c r="AD23" i="5"/>
  <c r="AC23" i="5" s="1"/>
  <c r="F23" i="5" s="1"/>
  <c r="AD30" i="5"/>
  <c r="AC30" i="5" s="1"/>
  <c r="F30" i="5" s="1"/>
  <c r="AD44" i="5"/>
  <c r="AC44" i="5" s="1"/>
  <c r="F44" i="5" s="1"/>
  <c r="AD124" i="5"/>
  <c r="AC124" i="5" s="1"/>
  <c r="F124" i="5" s="1"/>
  <c r="AD117" i="5"/>
  <c r="AC117" i="5" s="1"/>
  <c r="F117" i="5" s="1"/>
  <c r="AD87" i="5"/>
  <c r="AC87" i="5" s="1"/>
  <c r="F87" i="5" s="1"/>
  <c r="AD194" i="5"/>
  <c r="AC194" i="5" s="1"/>
  <c r="F194" i="5" s="1"/>
  <c r="AD141" i="5"/>
  <c r="AC141" i="5" s="1"/>
  <c r="F141" i="5" s="1"/>
  <c r="AD146" i="5"/>
  <c r="AC146" i="5" s="1"/>
  <c r="F146" i="5" s="1"/>
  <c r="AD142" i="5"/>
  <c r="AC142" i="5" s="1"/>
  <c r="F142" i="5" s="1"/>
  <c r="AD203" i="5"/>
  <c r="AC203" i="5" s="1"/>
  <c r="F203" i="5" s="1"/>
  <c r="AD14" i="5"/>
  <c r="AC14" i="5" s="1"/>
  <c r="F14" i="5" s="1"/>
  <c r="AD186" i="5"/>
  <c r="AC186" i="5" s="1"/>
  <c r="F186" i="5" s="1"/>
  <c r="AD120" i="5"/>
  <c r="AC120" i="5" s="1"/>
  <c r="F120" i="5" s="1"/>
  <c r="AD28" i="5"/>
  <c r="AC28" i="5" s="1"/>
  <c r="F28" i="5" s="1"/>
  <c r="AD9" i="5"/>
  <c r="AC9" i="5" s="1"/>
  <c r="F9" i="5" s="1"/>
  <c r="AD131" i="5"/>
  <c r="AC131" i="5" s="1"/>
  <c r="F131" i="5" s="1"/>
  <c r="AD16" i="5"/>
  <c r="AC16" i="5" s="1"/>
  <c r="F16" i="5" s="1"/>
  <c r="AD170" i="5"/>
  <c r="AC170" i="5" s="1"/>
  <c r="F170" i="5" s="1"/>
  <c r="AD10" i="5"/>
  <c r="AC10" i="5" s="1"/>
  <c r="F10" i="5" s="1"/>
  <c r="AD48" i="5"/>
  <c r="AC48" i="5" s="1"/>
  <c r="F48" i="5" s="1"/>
  <c r="AD208" i="5"/>
  <c r="AC208" i="5" s="1"/>
  <c r="F208" i="5" s="1"/>
  <c r="AD50" i="5"/>
  <c r="AC50" i="5" s="1"/>
  <c r="F50" i="5" s="1"/>
  <c r="AD79" i="5"/>
  <c r="AC79" i="5" s="1"/>
  <c r="F79" i="5" s="1"/>
  <c r="AD155" i="5"/>
  <c r="AC155" i="5" s="1"/>
  <c r="F155" i="5" s="1"/>
  <c r="AD29" i="5"/>
  <c r="AC29" i="5" s="1"/>
  <c r="F29" i="5" s="1"/>
  <c r="AD67" i="5"/>
  <c r="AC67" i="5" s="1"/>
  <c r="F67" i="5" s="1"/>
  <c r="AS43" i="5"/>
  <c r="AR43" i="5" s="1"/>
  <c r="AQ43" i="5" s="1"/>
  <c r="L43" i="5" s="1"/>
  <c r="AS185" i="5"/>
  <c r="AR185" i="5" s="1"/>
  <c r="AQ185" i="5" s="1"/>
  <c r="L185" i="5" s="1"/>
  <c r="AS159" i="5"/>
  <c r="AR159" i="5" s="1"/>
  <c r="AQ159" i="5" s="1"/>
  <c r="L159" i="5" s="1"/>
  <c r="AS144" i="5"/>
  <c r="AR144" i="5" s="1"/>
  <c r="AQ144" i="5" s="1"/>
  <c r="L144" i="5" s="1"/>
  <c r="AS9" i="5"/>
  <c r="AR9" i="5" s="1"/>
  <c r="AQ9" i="5" s="1"/>
  <c r="L9" i="5" s="1"/>
  <c r="AS146" i="5"/>
  <c r="AR146" i="5" s="1"/>
  <c r="AQ146" i="5" s="1"/>
  <c r="L146" i="5" s="1"/>
  <c r="AS34" i="5"/>
  <c r="AR34" i="5" s="1"/>
  <c r="AQ34" i="5" s="1"/>
  <c r="L34" i="5" s="1"/>
  <c r="AS16" i="5"/>
  <c r="AR16" i="5" s="1"/>
  <c r="AQ16" i="5" s="1"/>
  <c r="L16" i="5" s="1"/>
  <c r="AS30" i="5"/>
  <c r="AR30" i="5" s="1"/>
  <c r="AQ30" i="5" s="1"/>
  <c r="L30" i="5" s="1"/>
  <c r="AS28" i="5"/>
  <c r="AR28" i="5" s="1"/>
  <c r="AQ28" i="5" s="1"/>
  <c r="L28" i="5" s="1"/>
  <c r="AS13" i="5"/>
  <c r="AR13" i="5" s="1"/>
  <c r="AQ13" i="5" s="1"/>
  <c r="L13" i="5" s="1"/>
  <c r="AS69" i="5"/>
  <c r="AR69" i="5" s="1"/>
  <c r="AQ69" i="5" s="1"/>
  <c r="L69" i="5" s="1"/>
  <c r="AS120" i="5"/>
  <c r="AR120" i="5" s="1"/>
  <c r="AQ120" i="5" s="1"/>
  <c r="L120" i="5" s="1"/>
  <c r="AS196" i="5"/>
  <c r="AR196" i="5" s="1"/>
  <c r="AQ196" i="5" s="1"/>
  <c r="L196" i="5" s="1"/>
  <c r="AS138" i="5"/>
  <c r="AR138" i="5" s="1"/>
  <c r="AQ138" i="5" s="1"/>
  <c r="L138" i="5" s="1"/>
  <c r="AS167" i="5"/>
  <c r="AR167" i="5" s="1"/>
  <c r="AQ167" i="5" s="1"/>
  <c r="L167" i="5" s="1"/>
  <c r="AS52" i="5"/>
  <c r="AR52" i="5" s="1"/>
  <c r="AQ52" i="5" s="1"/>
  <c r="L52" i="5" s="1"/>
  <c r="AS125" i="5"/>
  <c r="AR125" i="5" s="1"/>
  <c r="AQ125" i="5" s="1"/>
  <c r="L125" i="5" s="1"/>
  <c r="AS33" i="5"/>
  <c r="AR33" i="5" s="1"/>
  <c r="AQ33" i="5" s="1"/>
  <c r="L33" i="5" s="1"/>
  <c r="AS40" i="5"/>
  <c r="AR40" i="5" s="1"/>
  <c r="AQ40" i="5" s="1"/>
  <c r="L40" i="5" s="1"/>
  <c r="AS188" i="5"/>
  <c r="AR188" i="5" s="1"/>
  <c r="AQ188" i="5" s="1"/>
  <c r="L188" i="5" s="1"/>
  <c r="AS93" i="5"/>
  <c r="AR93" i="5" s="1"/>
  <c r="AQ93" i="5" s="1"/>
  <c r="L93" i="5" s="1"/>
  <c r="AS133" i="5"/>
  <c r="AR133" i="5" s="1"/>
  <c r="AQ133" i="5" s="1"/>
  <c r="L133" i="5" s="1"/>
  <c r="AS41" i="5"/>
  <c r="AR41" i="5" s="1"/>
  <c r="AQ41" i="5" s="1"/>
  <c r="L41" i="5" s="1"/>
  <c r="AS85" i="5"/>
  <c r="AR85" i="5" s="1"/>
  <c r="AQ85" i="5" s="1"/>
  <c r="L85" i="5" s="1"/>
  <c r="AS135" i="5"/>
  <c r="AR135" i="5" s="1"/>
  <c r="AQ135" i="5" s="1"/>
  <c r="L135" i="5" s="1"/>
  <c r="AS64" i="5"/>
  <c r="AR64" i="5" s="1"/>
  <c r="AQ64" i="5" s="1"/>
  <c r="L64" i="5" s="1"/>
  <c r="AS62" i="5"/>
  <c r="AR62" i="5" s="1"/>
  <c r="AQ62" i="5" s="1"/>
  <c r="L62" i="5" s="1"/>
  <c r="AS81" i="5"/>
  <c r="AR81" i="5" s="1"/>
  <c r="AQ81" i="5" s="1"/>
  <c r="L81" i="5" s="1"/>
  <c r="AS137" i="5"/>
  <c r="AR137" i="5" s="1"/>
  <c r="AQ137" i="5" s="1"/>
  <c r="L137" i="5" s="1"/>
  <c r="AS103" i="5"/>
  <c r="AR103" i="5" s="1"/>
  <c r="AQ103" i="5" s="1"/>
  <c r="L103" i="5" s="1"/>
  <c r="AS95" i="5"/>
  <c r="AR95" i="5" s="1"/>
  <c r="AQ95" i="5" s="1"/>
  <c r="L95" i="5" s="1"/>
  <c r="AD166" i="5"/>
  <c r="AC166" i="5" s="1"/>
  <c r="F166" i="5" s="1"/>
  <c r="AD56" i="5"/>
  <c r="AC56" i="5" s="1"/>
  <c r="F56" i="5" s="1"/>
  <c r="AD183" i="5"/>
  <c r="AC183" i="5" s="1"/>
  <c r="F183" i="5" s="1"/>
  <c r="AD163" i="5"/>
  <c r="AC163" i="5" s="1"/>
  <c r="F163" i="5" s="1"/>
  <c r="AD172" i="5"/>
  <c r="AC172" i="5" s="1"/>
  <c r="F172" i="5" s="1"/>
  <c r="AD202" i="5"/>
  <c r="AC202" i="5" s="1"/>
  <c r="F202" i="5" s="1"/>
  <c r="AD54" i="5"/>
  <c r="AC54" i="5" s="1"/>
  <c r="F54" i="5" s="1"/>
  <c r="AD81" i="5"/>
  <c r="AC81" i="5" s="1"/>
  <c r="F81" i="5" s="1"/>
  <c r="AD158" i="5"/>
  <c r="AC158" i="5" s="1"/>
  <c r="F158" i="5" s="1"/>
  <c r="AD144" i="5"/>
  <c r="AC144" i="5" s="1"/>
  <c r="F144" i="5" s="1"/>
  <c r="AD181" i="5"/>
  <c r="AC181" i="5" s="1"/>
  <c r="F181" i="5" s="1"/>
  <c r="AD112" i="5"/>
  <c r="AC112" i="5" s="1"/>
  <c r="F112" i="5" s="1"/>
  <c r="AD152" i="5"/>
  <c r="AC152" i="5" s="1"/>
  <c r="F152" i="5" s="1"/>
  <c r="AD133" i="5"/>
  <c r="AC133" i="5" s="1"/>
  <c r="F133" i="5" s="1"/>
  <c r="AD31" i="5"/>
  <c r="AC31" i="5" s="1"/>
  <c r="F31" i="5" s="1"/>
  <c r="AD125" i="5"/>
  <c r="AC125" i="5" s="1"/>
  <c r="F125" i="5" s="1"/>
  <c r="AD114" i="5"/>
  <c r="AC114" i="5" s="1"/>
  <c r="F114" i="5" s="1"/>
  <c r="AD11" i="5"/>
  <c r="AC11" i="5" s="1"/>
  <c r="F11" i="5" s="1"/>
  <c r="AD35" i="5"/>
  <c r="AC35" i="5" s="1"/>
  <c r="F35" i="5" s="1"/>
  <c r="AD43" i="5"/>
  <c r="AC43" i="5" s="1"/>
  <c r="F43" i="5" s="1"/>
  <c r="AD17" i="5"/>
  <c r="AC17" i="5" s="1"/>
  <c r="F17" i="5" s="1"/>
  <c r="BA80" i="5"/>
  <c r="AZ80" i="5" s="1"/>
  <c r="AY80" i="5" s="1"/>
  <c r="O80" i="5" s="1"/>
  <c r="BA199" i="5"/>
  <c r="AZ199" i="5" s="1"/>
  <c r="AY199" i="5" s="1"/>
  <c r="O199" i="5" s="1"/>
  <c r="BA159" i="5"/>
  <c r="AZ159" i="5" s="1"/>
  <c r="AY159" i="5" s="1"/>
  <c r="O159" i="5" s="1"/>
  <c r="BA189" i="5"/>
  <c r="AZ189" i="5" s="1"/>
  <c r="AY189" i="5" s="1"/>
  <c r="O189" i="5" s="1"/>
  <c r="BA175" i="5"/>
  <c r="AZ175" i="5" s="1"/>
  <c r="AY175" i="5" s="1"/>
  <c r="O175" i="5" s="1"/>
  <c r="BA152" i="5"/>
  <c r="AZ152" i="5" s="1"/>
  <c r="AY152" i="5" s="1"/>
  <c r="O152" i="5" s="1"/>
  <c r="BA126" i="5"/>
  <c r="AZ126" i="5" s="1"/>
  <c r="AY126" i="5" s="1"/>
  <c r="O126" i="5" s="1"/>
  <c r="BA118" i="5"/>
  <c r="AZ118" i="5" s="1"/>
  <c r="AY118" i="5" s="1"/>
  <c r="O118" i="5" s="1"/>
  <c r="BA70" i="5"/>
  <c r="AZ70" i="5" s="1"/>
  <c r="AY70" i="5" s="1"/>
  <c r="O70" i="5" s="1"/>
  <c r="BA34" i="5"/>
  <c r="AZ34" i="5" s="1"/>
  <c r="AY34" i="5" s="1"/>
  <c r="O34" i="5" s="1"/>
  <c r="BA193" i="5"/>
  <c r="AZ193" i="5" s="1"/>
  <c r="AY193" i="5" s="1"/>
  <c r="O193" i="5" s="1"/>
  <c r="BA53" i="5"/>
  <c r="AZ53" i="5" s="1"/>
  <c r="AY53" i="5" s="1"/>
  <c r="O53" i="5" s="1"/>
  <c r="BA48" i="5"/>
  <c r="AZ48" i="5" s="1"/>
  <c r="AY48" i="5" s="1"/>
  <c r="O48" i="5" s="1"/>
  <c r="BA191" i="5"/>
  <c r="AZ191" i="5" s="1"/>
  <c r="AY191" i="5" s="1"/>
  <c r="O191" i="5" s="1"/>
  <c r="BA173" i="5"/>
  <c r="AZ173" i="5" s="1"/>
  <c r="AY173" i="5" s="1"/>
  <c r="O173" i="5" s="1"/>
  <c r="BA45" i="5"/>
  <c r="AZ45" i="5" s="1"/>
  <c r="AY45" i="5" s="1"/>
  <c r="O45" i="5" s="1"/>
  <c r="BA141" i="5"/>
  <c r="AZ141" i="5" s="1"/>
  <c r="AY141" i="5" s="1"/>
  <c r="O141" i="5" s="1"/>
  <c r="BA81" i="5"/>
  <c r="AZ81" i="5" s="1"/>
  <c r="AY81" i="5" s="1"/>
  <c r="O81" i="5" s="1"/>
  <c r="BA195" i="5"/>
  <c r="AZ195" i="5" s="1"/>
  <c r="AY195" i="5" s="1"/>
  <c r="O195" i="5" s="1"/>
  <c r="BA49" i="5"/>
  <c r="AZ49" i="5" s="1"/>
  <c r="AY49" i="5" s="1"/>
  <c r="O49" i="5" s="1"/>
  <c r="BA94" i="5"/>
  <c r="AZ94" i="5" s="1"/>
  <c r="AY94" i="5" s="1"/>
  <c r="O94" i="5" s="1"/>
  <c r="BA69" i="5"/>
  <c r="AZ69" i="5" s="1"/>
  <c r="AY69" i="5" s="1"/>
  <c r="O69" i="5" s="1"/>
  <c r="BA14" i="5"/>
  <c r="AZ14" i="5" s="1"/>
  <c r="AY14" i="5" s="1"/>
  <c r="O14" i="5" s="1"/>
  <c r="BA13" i="5"/>
  <c r="AZ13" i="5" s="1"/>
  <c r="AY13" i="5" s="1"/>
  <c r="O13" i="5" s="1"/>
  <c r="BA178" i="5"/>
  <c r="AZ178" i="5" s="1"/>
  <c r="AY178" i="5" s="1"/>
  <c r="O178" i="5" s="1"/>
  <c r="BA138" i="5"/>
  <c r="AZ138" i="5" s="1"/>
  <c r="AY138" i="5" s="1"/>
  <c r="O138" i="5" s="1"/>
  <c r="BA114" i="5"/>
  <c r="AZ114" i="5" s="1"/>
  <c r="AY114" i="5" s="1"/>
  <c r="O114" i="5" s="1"/>
  <c r="BA18" i="5"/>
  <c r="AZ18" i="5" s="1"/>
  <c r="AY18" i="5" s="1"/>
  <c r="O18" i="5" s="1"/>
  <c r="BA85" i="5"/>
  <c r="AZ85" i="5" s="1"/>
  <c r="AY85" i="5" s="1"/>
  <c r="O85" i="5" s="1"/>
  <c r="BA151" i="5"/>
  <c r="AZ151" i="5" s="1"/>
  <c r="AY151" i="5" s="1"/>
  <c r="O151" i="5" s="1"/>
  <c r="BA42" i="5"/>
  <c r="AZ42" i="5" s="1"/>
  <c r="AY42" i="5" s="1"/>
  <c r="O42" i="5" s="1"/>
  <c r="BA46" i="5"/>
  <c r="AZ46" i="5" s="1"/>
  <c r="AY46" i="5" s="1"/>
  <c r="O46" i="5" s="1"/>
  <c r="BA106" i="5"/>
  <c r="AZ106" i="5" s="1"/>
  <c r="AY106" i="5" s="1"/>
  <c r="O106" i="5" s="1"/>
  <c r="BA86" i="5"/>
  <c r="AZ86" i="5" s="1"/>
  <c r="AY86" i="5" s="1"/>
  <c r="O86" i="5" s="1"/>
  <c r="BA172" i="5"/>
  <c r="AZ172" i="5" s="1"/>
  <c r="AY172" i="5" s="1"/>
  <c r="O172" i="5" s="1"/>
  <c r="BA157" i="5"/>
  <c r="AZ157" i="5" s="1"/>
  <c r="AY157" i="5" s="1"/>
  <c r="O157" i="5" s="1"/>
  <c r="BA144" i="5"/>
  <c r="AZ144" i="5" s="1"/>
  <c r="AY144" i="5" s="1"/>
  <c r="O144" i="5" s="1"/>
  <c r="BA146" i="5"/>
  <c r="AZ146" i="5" s="1"/>
  <c r="AY146" i="5" s="1"/>
  <c r="O146" i="5" s="1"/>
  <c r="BA142" i="5"/>
  <c r="AZ142" i="5" s="1"/>
  <c r="AY142" i="5" s="1"/>
  <c r="O142" i="5" s="1"/>
  <c r="BA125" i="5"/>
  <c r="AZ125" i="5" s="1"/>
  <c r="AY125" i="5" s="1"/>
  <c r="O125" i="5" s="1"/>
  <c r="I8" i="5" l="1"/>
  <c r="F8" i="5"/>
  <c r="L8" i="5"/>
  <c r="O8"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Nick Parker</author>
  </authors>
  <commentList>
    <comment ref="E3" authorId="0" shapeId="0" xr:uid="{B3EFB3F2-DDA5-4794-A580-1961C529C5B6}">
      <text>
        <r>
          <rPr>
            <b/>
            <i/>
            <sz val="10"/>
            <color indexed="81"/>
            <rFont val="Arial"/>
            <family val="2"/>
          </rPr>
          <t>To search for a local authority area, either click in the blank box then click the arrow to select an area name from the list of all areas, or enter a search term in the box, press enter, then click the arrow to select from matching names. To reset, use the delete key to clear the search box.</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<sst xmlns="http://schemas.openxmlformats.org/spreadsheetml/2006/main" count="176175" uniqueCount="26330">
  <si>
    <t>J</t>
  </si>
  <si>
    <t>K</t>
  </si>
  <si>
    <t>L</t>
  </si>
  <si>
    <t xml:space="preserve">All needs met   </t>
  </si>
  <si>
    <t>Some needs met</t>
  </si>
  <si>
    <t>No needs met</t>
  </si>
  <si>
    <t>RP social housing by local authority area (SDR and LADR data) 2025</t>
  </si>
  <si>
    <r>
      <t xml:space="preserve">This tool collates regulatory data from both private registered providers (PRPs) and local authority registered providers (LARPs), to provide a summary overview of all English registered providers (RPs).  It returns a range of combined values from the statistical data return (SDR) and local authority data return (LADR), including counts of social rented units owned by type, along with average rent values for the selected local authority area.  It is easily printable, allowing comparisons to be made.
</t>
    </r>
    <r>
      <rPr>
        <b/>
        <sz val="12"/>
        <rFont val="Arial"/>
        <family val="2"/>
      </rPr>
      <t xml:space="preserve">Select the relevant Registered Provider name from the drop down list in cell E3 of sheet "Area Summary".
</t>
    </r>
    <r>
      <rPr>
        <b/>
        <sz val="12"/>
        <color rgb="FFFF0000"/>
        <rFont val="Arial"/>
        <family val="2"/>
      </rPr>
      <t>Or enter a search term in cell E3, press enter, click on cell E3 again, click arrow and select from matching names.</t>
    </r>
    <r>
      <rPr>
        <sz val="12"/>
        <rFont val="Arial"/>
        <family val="2"/>
      </rPr>
      <t xml:space="preserve">
 </t>
    </r>
  </si>
  <si>
    <t>Contents</t>
  </si>
  <si>
    <t>Section number</t>
  </si>
  <si>
    <r>
      <t>Description</t>
    </r>
    <r>
      <rPr>
        <sz val="12"/>
        <rFont val="Arial"/>
        <family val="2"/>
      </rPr>
      <t xml:space="preserve"> </t>
    </r>
    <r>
      <rPr>
        <sz val="9"/>
        <rFont val="Arial"/>
        <family val="2"/>
      </rPr>
      <t>(click links below)</t>
    </r>
  </si>
  <si>
    <t>Glossary</t>
  </si>
  <si>
    <t>Area Summary</t>
  </si>
  <si>
    <t>Total social units by provision type (numbers)</t>
  </si>
  <si>
    <t>Total social units by provision type (percentages)</t>
  </si>
  <si>
    <t>a15</t>
  </si>
  <si>
    <t>General needs (social rent) - Average weekly net rent (£ per week) and units</t>
  </si>
  <si>
    <t>a40</t>
  </si>
  <si>
    <t>Supported housing/housing for older people (social rent) - Average weekly net rent (£ per week) and units</t>
  </si>
  <si>
    <t>a62</t>
  </si>
  <si>
    <t>General needs (social rent) - Average weekly net rent (£ per week) and units by unit size</t>
  </si>
  <si>
    <t>a87</t>
  </si>
  <si>
    <t>Supported housing/housing for older people (social rent) - Average weekly net rent (£ per week) and units by unit size</t>
  </si>
  <si>
    <t>a111</t>
  </si>
  <si>
    <t>Affordable Rent general needs - Average weekly gross rent (£ per week) and units</t>
  </si>
  <si>
    <t>a120</t>
  </si>
  <si>
    <t>Affordable Rent supported housing/housing for older people - Average weekly gross rent (£ per week) and units</t>
  </si>
  <si>
    <t>a145</t>
  </si>
  <si>
    <t>Affordable Rent general needs - Average weekly gross rent (£ per week) and units by unit size</t>
  </si>
  <si>
    <t>a170</t>
  </si>
  <si>
    <t>Affordable Rent supported housing/housing for older people - Average weekly gross rent (£ per week) and units by unit size</t>
  </si>
  <si>
    <t>a195</t>
  </si>
  <si>
    <t>LARPs and PRPs in region</t>
  </si>
  <si>
    <t>How to use the search function</t>
  </si>
  <si>
    <t xml:space="preserve">Source: </t>
  </si>
  <si>
    <t>Statistical Data Return (SDR)/Local Authority Data Return (LADR) 1 April 2024 to 31 March 2025</t>
  </si>
  <si>
    <t>For further information please contact the Referrals and Regulatory Enquiries Team</t>
  </si>
  <si>
    <t xml:space="preserve">Telephone: 0300 1245 225 </t>
  </si>
  <si>
    <t xml:space="preserve">Email: </t>
  </si>
  <si>
    <t>enquiries@rsh.gov.uk</t>
  </si>
  <si>
    <t>Publication date: November 2025</t>
  </si>
  <si>
    <t>Version: 1.1</t>
  </si>
  <si>
    <t>RP social housing by local authority area</t>
  </si>
  <si>
    <t>The definitions presented below are provided for clarity of terms and categories within this release. They are consistent with definitions for the data collected in the 2025 LADR and SDR collections (based on a view ‘as at’ or ‘in the year to’ 31 March 2025).
For greater detail please see the technical notes and definitions for the individual PRP and LARP social housing stock and rents in England statistics.</t>
  </si>
  <si>
    <t>Affordable Rent</t>
  </si>
  <si>
    <r>
      <t xml:space="preserve">Affordable Rent homes are those made available to households eligible for low cost rental housing at a rent level of no more than 80% (inclusive of service charges) of local market rents. Affordable Rent homes must form part of an agreement with Homes England or the GLA. They can be either general needs or supported housing. See also </t>
    </r>
    <r>
      <rPr>
        <b/>
        <sz val="12"/>
        <color theme="1"/>
        <rFont val="Arial"/>
        <family val="2"/>
      </rPr>
      <t>London Affordable Rent</t>
    </r>
    <r>
      <rPr>
        <sz val="12"/>
        <color theme="1"/>
        <rFont val="Arial"/>
        <family val="2"/>
      </rPr>
      <t>.</t>
    </r>
  </si>
  <si>
    <t>Exceptions/excepted units (rents)</t>
  </si>
  <si>
    <t>Units with an exception from the Rent Standard (see individual PRP and LARP social housing statistic technical notes and definitions for more information).</t>
  </si>
  <si>
    <t>General needs housing</t>
  </si>
  <si>
    <t>General needs housing covers the bulk of housing stock for rent. It includes both self-contained units and non-self-contained hostel/ shared housing units and bedspaces. General needs housing is stock that is not designated for specific client groups.</t>
  </si>
  <si>
    <t>Gross rent</t>
  </si>
  <si>
    <t xml:space="preserve">The total charged to tenants inclusive of all rent and property related service charges. </t>
  </si>
  <si>
    <t>Intermediate rent</t>
  </si>
  <si>
    <t>Units that fully meet the definition of intermediate rent accommodation specified in the Policy statement on rents for social housing.</t>
  </si>
  <si>
    <t>Large PRPs</t>
  </si>
  <si>
    <t xml:space="preserve">For the purposes of the SDR release this includes all PRPs that own 1,000 or more units of social housing and complete the ‘long SDR form’. </t>
  </si>
  <si>
    <t>London Affordable Rent</t>
  </si>
  <si>
    <r>
      <rPr>
        <sz val="12"/>
        <rFont val="Arial"/>
        <family val="2"/>
      </rPr>
      <t>London Affordable Rent (LAR), was introduced in 2016 by the Mayor of London. LAR units are Affordable Rent units in London let at or below the weekly rent benchmarks set by the GLA. They are included in Affordable Rent figures in the LADR collection. For more information see</t>
    </r>
    <r>
      <rPr>
        <u/>
        <sz val="11"/>
        <color theme="10"/>
        <rFont val="Calibri"/>
        <family val="2"/>
        <scheme val="minor"/>
      </rPr>
      <t xml:space="preserve"> </t>
    </r>
    <r>
      <rPr>
        <u/>
        <sz val="12"/>
        <color theme="10"/>
        <rFont val="Arial"/>
        <family val="2"/>
      </rPr>
      <t>https://www.london.gov.uk/programmes-strategies/housing-and-land/homes-londoners-affordable-homes-programmes</t>
    </r>
  </si>
  <si>
    <t>Low cost home ownership (LCHO)</t>
  </si>
  <si>
    <t>LCHO accommodation is defined in the Housing and Regeneration Act 2008 as being that occupied or made available for occupation in accordance with shared ownership arrangements, shared equity arrangements, or shared ownership trusts; and it is made available to people whose needs are not adequately served by the commercial housing market.</t>
  </si>
  <si>
    <t>Low cost rental</t>
  </si>
  <si>
    <t>The term low cost rental is used in these statistics to denote any stock which meets the definition of low cost rental accommodation in the Housing and Regeneration Act 2008. It must be available for rent, with a rent below market value, and in accordance with the rules designed to ensure that it is made available to people whose needs are not adequately served by the commercial housing market.</t>
  </si>
  <si>
    <t>Net rent</t>
  </si>
  <si>
    <t>The rent charged to tenants excluding all service charges.</t>
  </si>
  <si>
    <t>Non-self-contained unit (bedspace)</t>
  </si>
  <si>
    <t>A non-self-contained unit will consist of an area in a hostel/dormitory or other similar entity or a room or rooms (within a block of flats, sheltered scheme, house in multiple occupation or similar entity) which is/are private to the tenant but which require sharing of some or all living, cooking, bathroom or toilet amenities.</t>
  </si>
  <si>
    <t>Owned stock</t>
  </si>
  <si>
    <t xml:space="preserve">An RP owns property when it: (a) holds the freehold title or a leasehold interest (of any length) in that property; and (b) is the body with a direct legal relationship with the occupants of the property (this body is often described as the landlord). </t>
  </si>
  <si>
    <t>Private registered providers (PRPs)</t>
  </si>
  <si>
    <t xml:space="preserve">PRPs are providers of social housing in England that are registered with us and are not local authorities. This is the definition of PRPs in the Housing and Regeneration Act 2008 </t>
  </si>
  <si>
    <t>Self-contained unit</t>
  </si>
  <si>
    <t>A self-contained unit is one in which all the rooms (including kitchen, bathroom and toilet) in a household’s accommodation are behind a door, which only that household can use and therefore allows that household exclusive use of them. Some self-contained units, especially flats, may have some common services such as a central boiler for heating and/ or hot water. Households which share a common entrance hall, but otherwise have all their accommodation behind their own front door are self-contained. Bedsits are considered self-contained units.</t>
  </si>
  <si>
    <t>Small PRPs</t>
  </si>
  <si>
    <t xml:space="preserve">These are PRPs that own fewer than 1,000 social housing units/ bedspaces and that complete the ‘short SDR form’. </t>
  </si>
  <si>
    <t>Social housing</t>
  </si>
  <si>
    <t>Social housing is defined in the Housing and Regeneration Act 2008 sections 68-77. The term covers low cost rental, LCHO and accommodation owned by RPs as previously defined in the Housing Act 1996.</t>
  </si>
  <si>
    <t>Social rent</t>
  </si>
  <si>
    <t>In these statistics social rent refers to all low cost rental units that are general needs or supported housing (excluding Affordable Rent). This includes units with exceptions from the rent standard.</t>
  </si>
  <si>
    <t>Social stock</t>
  </si>
  <si>
    <t>Social stock is used in these statistics to denote the total number of low cost rental and LCHO units. Total social stock figures represent the number of self-contained units plus bedspaces.</t>
  </si>
  <si>
    <t>Supported housing</t>
  </si>
  <si>
    <t>Units can only be counted as supported housing if they meet the definition of supported housing specified the policy statement. The fact that a tenant receives support services in their home does not make it supported housing.</t>
  </si>
  <si>
    <t>Version</t>
  </si>
  <si>
    <t>Publication Date</t>
  </si>
  <si>
    <t xml:space="preserve">Changes </t>
  </si>
  <si>
    <t>October 2025</t>
  </si>
  <si>
    <t>Original release.</t>
  </si>
  <si>
    <t>November 2025</t>
  </si>
  <si>
    <t>Corrected an issue which affected England stock figures only.</t>
  </si>
  <si>
    <t>Contact</t>
  </si>
  <si>
    <t>Telephone: Referrals and Regulatory Enquires Team on 0300 1245 225</t>
  </si>
  <si>
    <t>RP social housing by local authority area 2025</t>
  </si>
  <si>
    <t xml:space="preserve">Select an LA area: </t>
  </si>
  <si>
    <t xml:space="preserve">Region: </t>
  </si>
  <si>
    <t xml:space="preserve">PRPs operating in area: </t>
  </si>
  <si>
    <t xml:space="preserve">PRPs operating in region: </t>
  </si>
  <si>
    <r>
      <t xml:space="preserve">Click for help on the </t>
    </r>
    <r>
      <rPr>
        <b/>
        <u/>
        <sz val="10"/>
        <color theme="10"/>
        <rFont val="Arial"/>
        <family val="2"/>
      </rPr>
      <t>search function</t>
    </r>
  </si>
  <si>
    <t>LARP operating in area formula</t>
  </si>
  <si>
    <t xml:space="preserve">LARPs present in area: </t>
  </si>
  <si>
    <t xml:space="preserve">LARPs present in region: </t>
  </si>
  <si>
    <t>View LARP and/or PRPs in area</t>
  </si>
  <si>
    <t>General needs</t>
  </si>
  <si>
    <t>(in pie chart)</t>
  </si>
  <si>
    <t>Supported housing/
housing for older people</t>
  </si>
  <si>
    <t>LARP Units</t>
  </si>
  <si>
    <t>PRP Units</t>
  </si>
  <si>
    <t>All Units</t>
  </si>
  <si>
    <t>General needs self-contained</t>
  </si>
  <si>
    <t>General needs non-self-contained</t>
  </si>
  <si>
    <t>England</t>
  </si>
  <si>
    <t>See notes in Table 2 below.</t>
  </si>
  <si>
    <t>Source: SDR/LADR 2025</t>
  </si>
  <si>
    <t>(in bar chart)</t>
  </si>
  <si>
    <t>Tables 1 &amp; 2 comprise all LARPs &amp; PRPs - unweighted. Unit counts for LCHO are for LARPs and Large PRPs only. Figures for GN and SH/HOP include intermediate and Affordable Rent units.</t>
  </si>
  <si>
    <t>LARP data used includes bedspaces not dwelling equivalent figures.</t>
  </si>
  <si>
    <t>General needs (social rent)*</t>
  </si>
  <si>
    <t>Table 3 &amp; 4 titles.</t>
  </si>
  <si>
    <t>LARP Rents</t>
  </si>
  <si>
    <t>PRP Rents</t>
  </si>
  <si>
    <t>Net</t>
  </si>
  <si>
    <t>Unit</t>
  </si>
  <si>
    <t>Average net</t>
  </si>
  <si>
    <t xml:space="preserve"> rent</t>
  </si>
  <si>
    <t>count</t>
  </si>
  <si>
    <t>rent</t>
  </si>
  <si>
    <t>"-" = zero.</t>
  </si>
  <si>
    <t>Owned stock.  LARPs and Large PRPs only - unweighted.</t>
  </si>
  <si>
    <t>*Excludes Affordable Rent and intermediate rent, but includes other units with an exception under the Rent Policy Statement.</t>
  </si>
  <si>
    <t>Supported housing/housing for older people (social rent)*</t>
  </si>
  <si>
    <t>Supported housing / housing for older people</t>
  </si>
  <si>
    <t>General needs (social rent)</t>
  </si>
  <si>
    <t>Table 5 &amp; 6 titles.</t>
  </si>
  <si>
    <t>Unit Size</t>
  </si>
  <si>
    <t>Non-self-contained</t>
  </si>
  <si>
    <t>Bedsit</t>
  </si>
  <si>
    <t>1 Bedroom</t>
  </si>
  <si>
    <t>2 Bedroom</t>
  </si>
  <si>
    <t>3 Bedroom</t>
  </si>
  <si>
    <t>4 Bedroom</t>
  </si>
  <si>
    <t>5 Bedroom</t>
  </si>
  <si>
    <t>6+ Bedroom</t>
  </si>
  <si>
    <t>All self-contained</t>
  </si>
  <si>
    <t>All stock sizes</t>
  </si>
  <si>
    <t>Excludes Affordable Rent and intermediate rent, but includes other units with an exception under the Rent Policy Statement.</t>
  </si>
  <si>
    <t>Supported housing/housing for older people (social rent)</t>
  </si>
  <si>
    <t xml:space="preserve">Unit Size
</t>
  </si>
  <si>
    <t>4+ Bedroom</t>
  </si>
  <si>
    <t>Owned stock. LARPs and Large PRPs only - unweighted.</t>
  </si>
  <si>
    <t>Affordable Rent general needs</t>
  </si>
  <si>
    <t>Table 7 &amp; 8 titles.</t>
  </si>
  <si>
    <t>Gross</t>
  </si>
  <si>
    <t>Average gross</t>
  </si>
  <si>
    <t xml:space="preserve">Owned stock. All LARPs and PRPs owning Affordable Rent units - unweighted. </t>
  </si>
  <si>
    <t>Affordable Rent supported housing/housing for older people</t>
  </si>
  <si>
    <t>Affordable Rent supported housing / housing for older people</t>
  </si>
  <si>
    <t>Table 9 &amp; 10 titles.</t>
  </si>
  <si>
    <t>Southend-on-Sea</t>
  </si>
  <si>
    <t>Southwark</t>
  </si>
  <si>
    <t>Spelthorne</t>
  </si>
  <si>
    <t>St Albans</t>
  </si>
  <si>
    <t>St. Helens</t>
  </si>
  <si>
    <t>Stafford</t>
  </si>
  <si>
    <t>Staffordshire Moorlands</t>
  </si>
  <si>
    <t>Stevenage</t>
  </si>
  <si>
    <t>Stockport</t>
  </si>
  <si>
    <t>Stockton-on-Tees</t>
  </si>
  <si>
    <t>Stoke-on-Trent</t>
  </si>
  <si>
    <t>Stratford-on-Avon</t>
  </si>
  <si>
    <t>Stroud</t>
  </si>
  <si>
    <t>Sunderland</t>
  </si>
  <si>
    <t>Surrey Heath</t>
  </si>
  <si>
    <t>Sutton</t>
  </si>
  <si>
    <t>Swale</t>
  </si>
  <si>
    <t>Swindon</t>
  </si>
  <si>
    <t>Tameside</t>
  </si>
  <si>
    <t>Tamworth</t>
  </si>
  <si>
    <t>Tandridge</t>
  </si>
  <si>
    <t>Teignbridge</t>
  </si>
  <si>
    <t>Telford and Wrekin</t>
  </si>
  <si>
    <t>Tendring</t>
  </si>
  <si>
    <t>Test Valley</t>
  </si>
  <si>
    <t>Tewkesbury</t>
  </si>
  <si>
    <t>Thanet</t>
  </si>
  <si>
    <t>Three Rivers</t>
  </si>
  <si>
    <t>Thurrock</t>
  </si>
  <si>
    <t>Tonbridge and Malling</t>
  </si>
  <si>
    <t>Torbay</t>
  </si>
  <si>
    <t>Torridge</t>
  </si>
  <si>
    <t>Tower Hamlets</t>
  </si>
  <si>
    <t>Trafford</t>
  </si>
  <si>
    <t>Tunbridge Wells</t>
  </si>
  <si>
    <t>Uttlesford</t>
  </si>
  <si>
    <t>Vale of White Horse</t>
  </si>
  <si>
    <t>Wakefield</t>
  </si>
  <si>
    <t>Walsall</t>
  </si>
  <si>
    <t>Waltham Forest</t>
  </si>
  <si>
    <t>Wandsworth</t>
  </si>
  <si>
    <t>Warrington</t>
  </si>
  <si>
    <t>Warwick</t>
  </si>
  <si>
    <t>Watford</t>
  </si>
  <si>
    <t>Waverley</t>
  </si>
  <si>
    <t>Wealden</t>
  </si>
  <si>
    <t>Welwyn Hatfield</t>
  </si>
  <si>
    <t>West Berkshire</t>
  </si>
  <si>
    <t>West Devon</t>
  </si>
  <si>
    <t>West Lancashire</t>
  </si>
  <si>
    <t>West Lindsey</t>
  </si>
  <si>
    <t>West Northamptonshire</t>
  </si>
  <si>
    <t>West Oxfordshire</t>
  </si>
  <si>
    <t>West Suffolk</t>
  </si>
  <si>
    <t>Westminster</t>
  </si>
  <si>
    <t>Westmorland and Furness</t>
  </si>
  <si>
    <t>Wigan</t>
  </si>
  <si>
    <t>Wiltshire</t>
  </si>
  <si>
    <t>Winchester</t>
  </si>
  <si>
    <t>Windsor and Maidenhead</t>
  </si>
  <si>
    <t>Wirral</t>
  </si>
  <si>
    <t>Woking</t>
  </si>
  <si>
    <t>Wokingham</t>
  </si>
  <si>
    <t>Wolverhampton</t>
  </si>
  <si>
    <t>Worcester</t>
  </si>
  <si>
    <t>Worthing</t>
  </si>
  <si>
    <t>Wychavon</t>
  </si>
  <si>
    <t>Wyre</t>
  </si>
  <si>
    <t>Wyre Forest</t>
  </si>
  <si>
    <t>York</t>
  </si>
  <si>
    <t>Return to Area Summary 
To change area return to Area Summary</t>
  </si>
  <si>
    <t>Number of additional LAs PRP operates in</t>
  </si>
  <si>
    <r>
      <t xml:space="preserve">Total Social Stock </t>
    </r>
    <r>
      <rPr>
        <sz val="8"/>
        <color theme="1"/>
        <rFont val="Arial"/>
        <family val="2"/>
      </rPr>
      <t>(unweighted)</t>
    </r>
  </si>
  <si>
    <t>% Total Social Stock in area</t>
  </si>
  <si>
    <t>% of LARP/PRPs total Social Stock</t>
  </si>
  <si>
    <r>
      <t xml:space="preserve">General needs self-contained units </t>
    </r>
    <r>
      <rPr>
        <sz val="8"/>
        <color theme="1"/>
        <rFont val="Arial"/>
        <family val="2"/>
      </rPr>
      <t>(unweighted)</t>
    </r>
  </si>
  <si>
    <t>% General needs self-contained units in area</t>
  </si>
  <si>
    <t>% of LARP/PRPs total general needs self-contained stock</t>
  </si>
  <si>
    <r>
      <t xml:space="preserve">General needs bedspaces </t>
    </r>
    <r>
      <rPr>
        <sz val="8"/>
        <color theme="1"/>
        <rFont val="Arial"/>
        <family val="2"/>
      </rPr>
      <t>(unweighted)</t>
    </r>
  </si>
  <si>
    <t>% General needs bedspaces in area</t>
  </si>
  <si>
    <t>% of LARP/PRPs total general needs bedspaces stock</t>
  </si>
  <si>
    <r>
      <t xml:space="preserve">Supported housing/ housing for older people units </t>
    </r>
    <r>
      <rPr>
        <sz val="8"/>
        <color theme="1"/>
        <rFont val="Arial"/>
        <family val="2"/>
      </rPr>
      <t>(unweighted)</t>
    </r>
  </si>
  <si>
    <t>% Supported housing/ housing for older people units in area</t>
  </si>
  <si>
    <t>% of LARP/PRPs total supported housing/ housing for older people stock</t>
  </si>
  <si>
    <r>
      <t xml:space="preserve">Low cost home ownership 
</t>
    </r>
    <r>
      <rPr>
        <sz val="8"/>
        <color theme="1"/>
        <rFont val="Arial"/>
        <family val="2"/>
      </rPr>
      <t>(LARPs and large PRPs only - unweighted)</t>
    </r>
  </si>
  <si>
    <t>RP LA count</t>
  </si>
  <si>
    <t>BSPs data</t>
  </si>
  <si>
    <t>SH/HOP data</t>
  </si>
  <si>
    <t>LCHO &lt;100%</t>
  </si>
  <si>
    <t>Number of PRPs operating and LARPs present in area
(PRPs who do not own stock are excluded)</t>
  </si>
  <si>
    <t>Numbering</t>
  </si>
  <si>
    <t>if error check</t>
  </si>
  <si>
    <t>use this % SS Total</t>
  </si>
  <si>
    <t>% SS Total</t>
  </si>
  <si>
    <t>Total SS</t>
  </si>
  <si>
    <t>iserror check</t>
  </si>
  <si>
    <t>% of RPs total stock</t>
  </si>
  <si>
    <t>RPS Total SS</t>
  </si>
  <si>
    <t>use this % GN SC Total</t>
  </si>
  <si>
    <t>% GN SC Total</t>
  </si>
  <si>
    <t>GN SC</t>
  </si>
  <si>
    <t>use this % GN Total</t>
  </si>
  <si>
    <t>RPs total stock</t>
  </si>
  <si>
    <t>use this % GN BSPs Total</t>
  </si>
  <si>
    <t>% GN BSPs Total</t>
  </si>
  <si>
    <t>GNBSPs</t>
  </si>
  <si>
    <t>use this % SH Total</t>
  </si>
  <si>
    <t>% SH Total</t>
  </si>
  <si>
    <t>SH</t>
  </si>
  <si>
    <t>All units:</t>
  </si>
  <si>
    <t>How to use the drop down list (and search function) to select a local authority area.</t>
  </si>
  <si>
    <t>Always start with a blank box (cell E3, sheet "Area Summary").</t>
  </si>
  <si>
    <t>To select a name from the full list of all local authority areas:</t>
  </si>
  <si>
    <t>Click on the blank box, then click on the drop down arrow to select a name from the list of all local authority areas (LAs).</t>
  </si>
  <si>
    <t>To use the Search function:</t>
  </si>
  <si>
    <t>a) Enter a search term in the blank box and press "Enter".</t>
  </si>
  <si>
    <t>b) Then click on box again, then click drop down arrow to select a name from the (filtered) matching results.</t>
  </si>
  <si>
    <t>To reset, use the delete key to clear the search box contents, then click back on the box.</t>
  </si>
  <si>
    <t>Return to sheet "Area Summary"</t>
  </si>
  <si>
    <t>LA_Code</t>
  </si>
  <si>
    <t>LA_Name</t>
  </si>
  <si>
    <t>Region</t>
  </si>
  <si>
    <t>Type</t>
  </si>
  <si>
    <t>Bedsize</t>
  </si>
  <si>
    <t>Concat</t>
  </si>
  <si>
    <t>SDR_Own</t>
  </si>
  <si>
    <t>SDR_Rent_Collect</t>
  </si>
  <si>
    <t>SDR_AVRENT</t>
  </si>
  <si>
    <t>LADR_Own</t>
  </si>
  <si>
    <t>LADR_Rent_Collect</t>
  </si>
  <si>
    <t>LADR_AVRENT</t>
  </si>
  <si>
    <t>COMB_Own</t>
  </si>
  <si>
    <t>COMB_Rent_Collect</t>
  </si>
  <si>
    <t>COMB_AVRent</t>
  </si>
  <si>
    <t>E06000001</t>
  </si>
  <si>
    <t>Hartlepool</t>
  </si>
  <si>
    <t>North East</t>
  </si>
  <si>
    <t>ARGN</t>
  </si>
  <si>
    <t>1Bd</t>
  </si>
  <si>
    <t>HartlepoolARGN1Bd</t>
  </si>
  <si>
    <t>2Bd</t>
  </si>
  <si>
    <t>HartlepoolARGN2Bd</t>
  </si>
  <si>
    <t>3Bd</t>
  </si>
  <si>
    <t>HartlepoolARGN3Bd</t>
  </si>
  <si>
    <t>4Bd</t>
  </si>
  <si>
    <t>HartlepoolARGN4Bd</t>
  </si>
  <si>
    <t>5Bd</t>
  </si>
  <si>
    <t>HartlepoolARGN5Bd</t>
  </si>
  <si>
    <t>6Bd</t>
  </si>
  <si>
    <t>HartlepoolARGN6Bd</t>
  </si>
  <si>
    <t>Bdst</t>
  </si>
  <si>
    <t>HartlepoolARGNBdst</t>
  </si>
  <si>
    <t>NSC</t>
  </si>
  <si>
    <t>HartlepoolARGNNSC</t>
  </si>
  <si>
    <t>Total</t>
  </si>
  <si>
    <t>HartlepoolARGNTotal</t>
  </si>
  <si>
    <t>SC</t>
  </si>
  <si>
    <t>HartlepoolARGNSC</t>
  </si>
  <si>
    <t>ARSHHOP</t>
  </si>
  <si>
    <t>HartlepoolARSHHOP1Bd</t>
  </si>
  <si>
    <t>HartlepoolARSHHOP2Bd</t>
  </si>
  <si>
    <t>HartlepoolARSHHOP3Bd</t>
  </si>
  <si>
    <t>HartlepoolARSHHOP4Bd</t>
  </si>
  <si>
    <t>HartlepoolARSHHOPBdst</t>
  </si>
  <si>
    <t>HartlepoolARSHHOPNSC</t>
  </si>
  <si>
    <t>HartlepoolARSHHOPSC</t>
  </si>
  <si>
    <t>HartlepoolARSHHOPTotal</t>
  </si>
  <si>
    <t>GN</t>
  </si>
  <si>
    <t>HartlepoolGN1Bd</t>
  </si>
  <si>
    <t>HartlepoolGN2Bd</t>
  </si>
  <si>
    <t>HartlepoolGN3Bd</t>
  </si>
  <si>
    <t>HartlepoolGN4Bd</t>
  </si>
  <si>
    <t>HartlepoolGN5Bd</t>
  </si>
  <si>
    <t>HartlepoolGN6Bd</t>
  </si>
  <si>
    <t>HartlepoolGNBdst</t>
  </si>
  <si>
    <t>HartlepoolGNNSC</t>
  </si>
  <si>
    <t>HartlepoolGNTotal</t>
  </si>
  <si>
    <t>HartlepoolGNSC</t>
  </si>
  <si>
    <t>GNAGG</t>
  </si>
  <si>
    <t>HartlepoolGNAGGSC</t>
  </si>
  <si>
    <t>HartlepoolGNAGGNSC</t>
  </si>
  <si>
    <t>LCHO</t>
  </si>
  <si>
    <t>HartlepoolLCHO</t>
  </si>
  <si>
    <t>SHHOP</t>
  </si>
  <si>
    <t>HartlepoolSHHOP1Bd</t>
  </si>
  <si>
    <t>HartlepoolSHHOP2Bd</t>
  </si>
  <si>
    <t>HartlepoolSHHOP3Bd</t>
  </si>
  <si>
    <t>HartlepoolSHHOP4Bd</t>
  </si>
  <si>
    <t>HartlepoolSHHOPBdst</t>
  </si>
  <si>
    <t>HartlepoolSHHOPNSC</t>
  </si>
  <si>
    <t>HartlepoolSHHOPTotal</t>
  </si>
  <si>
    <t>HartlepoolSHHOPSC</t>
  </si>
  <si>
    <t>SHHOPAGG</t>
  </si>
  <si>
    <t>NA</t>
  </si>
  <si>
    <t>HartlepoolSHHOPAGGNA</t>
  </si>
  <si>
    <t>E06000002</t>
  </si>
  <si>
    <t>Middlesbrough</t>
  </si>
  <si>
    <t>MiddlesbroughARGN1Bd</t>
  </si>
  <si>
    <t>MiddlesbroughARGN2Bd</t>
  </si>
  <si>
    <t>MiddlesbroughARGN3Bd</t>
  </si>
  <si>
    <t>MiddlesbroughARGN4Bd</t>
  </si>
  <si>
    <t>MiddlesbroughARGN5Bd</t>
  </si>
  <si>
    <t>MiddlesbroughARGN6Bd</t>
  </si>
  <si>
    <t>MiddlesbroughARGNBdst</t>
  </si>
  <si>
    <t>MiddlesbroughARGNNSC</t>
  </si>
  <si>
    <t>MiddlesbroughARGNTotal</t>
  </si>
  <si>
    <t>MiddlesbroughARGNSC</t>
  </si>
  <si>
    <t>MiddlesbroughARSHHOP1Bd</t>
  </si>
  <si>
    <t>MiddlesbroughARSHHOP2Bd</t>
  </si>
  <si>
    <t>MiddlesbroughARSHHOP3Bd</t>
  </si>
  <si>
    <t>MiddlesbroughARSHHOP4Bd</t>
  </si>
  <si>
    <t>MiddlesbroughARSHHOPBdst</t>
  </si>
  <si>
    <t>MiddlesbroughARSHHOPNSC</t>
  </si>
  <si>
    <t>MiddlesbroughARSHHOPSC</t>
  </si>
  <si>
    <t>MiddlesbroughARSHHOPTotal</t>
  </si>
  <si>
    <t>MiddlesbroughGN1Bd</t>
  </si>
  <si>
    <t>MiddlesbroughGN2Bd</t>
  </si>
  <si>
    <t>MiddlesbroughGN3Bd</t>
  </si>
  <si>
    <t>MiddlesbroughGN4Bd</t>
  </si>
  <si>
    <t>MiddlesbroughGN5Bd</t>
  </si>
  <si>
    <t>MiddlesbroughGN6Bd</t>
  </si>
  <si>
    <t>MiddlesbroughGNBdst</t>
  </si>
  <si>
    <t>MiddlesbroughGNNSC</t>
  </si>
  <si>
    <t>MiddlesbroughGNTotal</t>
  </si>
  <si>
    <t>MiddlesbroughGNSC</t>
  </si>
  <si>
    <t>MiddlesbroughGNAGGSC</t>
  </si>
  <si>
    <t>MiddlesbroughGNAGGNSC</t>
  </si>
  <si>
    <t>MiddlesbroughLCHO</t>
  </si>
  <si>
    <t>MiddlesbroughSHHOP1Bd</t>
  </si>
  <si>
    <t>MiddlesbroughSHHOP2Bd</t>
  </si>
  <si>
    <t>MiddlesbroughSHHOP3Bd</t>
  </si>
  <si>
    <t>MiddlesbroughSHHOP4Bd</t>
  </si>
  <si>
    <t>MiddlesbroughSHHOPBdst</t>
  </si>
  <si>
    <t>MiddlesbroughSHHOPNSC</t>
  </si>
  <si>
    <t>MiddlesbroughSHHOPTotal</t>
  </si>
  <si>
    <t>MiddlesbroughSHHOPSC</t>
  </si>
  <si>
    <t>MiddlesbroughSHHOPAGGNA</t>
  </si>
  <si>
    <t>E06000003</t>
  </si>
  <si>
    <t>Redcar and Cleveland</t>
  </si>
  <si>
    <t>Redcar and ClevelandARGN1Bd</t>
  </si>
  <si>
    <t>Redcar and ClevelandARGN2Bd</t>
  </si>
  <si>
    <t>Redcar and ClevelandARGN3Bd</t>
  </si>
  <si>
    <t>Redcar and ClevelandARGN4Bd</t>
  </si>
  <si>
    <t>Redcar and ClevelandARGN5Bd</t>
  </si>
  <si>
    <t>Redcar and ClevelandARGN6Bd</t>
  </si>
  <si>
    <t>Redcar and ClevelandARGNBdst</t>
  </si>
  <si>
    <t>Redcar and ClevelandARGNNSC</t>
  </si>
  <si>
    <t>Redcar and ClevelandARGNTotal</t>
  </si>
  <si>
    <t>Redcar and ClevelandARGNSC</t>
  </si>
  <si>
    <t>Redcar and ClevelandARSHHOP1Bd</t>
  </si>
  <si>
    <t>Redcar and ClevelandARSHHOP2Bd</t>
  </si>
  <si>
    <t>Redcar and ClevelandARSHHOP3Bd</t>
  </si>
  <si>
    <t>Redcar and ClevelandARSHHOP4Bd</t>
  </si>
  <si>
    <t>Redcar and ClevelandARSHHOPBdst</t>
  </si>
  <si>
    <t>Redcar and ClevelandARSHHOPNSC</t>
  </si>
  <si>
    <t>Redcar and ClevelandARSHHOPSC</t>
  </si>
  <si>
    <t>Redcar and ClevelandARSHHOPTotal</t>
  </si>
  <si>
    <t>Redcar and ClevelandGN1Bd</t>
  </si>
  <si>
    <t>Redcar and ClevelandGN2Bd</t>
  </si>
  <si>
    <t>Redcar and ClevelandGN3Bd</t>
  </si>
  <si>
    <t>Redcar and ClevelandGN4Bd</t>
  </si>
  <si>
    <t>Redcar and ClevelandGN5Bd</t>
  </si>
  <si>
    <t>Redcar and ClevelandGN6Bd</t>
  </si>
  <si>
    <t>Redcar and ClevelandGNBdst</t>
  </si>
  <si>
    <t>Redcar and ClevelandGNNSC</t>
  </si>
  <si>
    <t>Redcar and ClevelandGNTotal</t>
  </si>
  <si>
    <t>Redcar and ClevelandGNSC</t>
  </si>
  <si>
    <t>Redcar and ClevelandGNAGGSC</t>
  </si>
  <si>
    <t>Redcar and ClevelandGNAGGNSC</t>
  </si>
  <si>
    <t>Redcar and ClevelandLCHO</t>
  </si>
  <si>
    <t>Redcar and ClevelandSHHOP1Bd</t>
  </si>
  <si>
    <t>Redcar and ClevelandSHHOP2Bd</t>
  </si>
  <si>
    <t>Redcar and ClevelandSHHOP3Bd</t>
  </si>
  <si>
    <t>Redcar and ClevelandSHHOP4Bd</t>
  </si>
  <si>
    <t>Redcar and ClevelandSHHOPBdst</t>
  </si>
  <si>
    <t>Redcar and ClevelandSHHOPNSC</t>
  </si>
  <si>
    <t>Redcar and ClevelandSHHOPTotal</t>
  </si>
  <si>
    <t>Redcar and ClevelandSHHOPSC</t>
  </si>
  <si>
    <t>Redcar and ClevelandSHHOPAGGNA</t>
  </si>
  <si>
    <t>E06000004</t>
  </si>
  <si>
    <t>Stockton-on-TeesARGN1Bd</t>
  </si>
  <si>
    <t>Stockton-on-TeesARGN2Bd</t>
  </si>
  <si>
    <t>Stockton-on-TeesARGN3Bd</t>
  </si>
  <si>
    <t>Stockton-on-TeesARGN4Bd</t>
  </si>
  <si>
    <t>Stockton-on-TeesARGN5Bd</t>
  </si>
  <si>
    <t>Stockton-on-TeesARGN6Bd</t>
  </si>
  <si>
    <t>Stockton-on-TeesARGNBdst</t>
  </si>
  <si>
    <t>Stockton-on-TeesARGNNSC</t>
  </si>
  <si>
    <t>Stockton-on-TeesARGNTotal</t>
  </si>
  <si>
    <t>Stockton-on-TeesARGNSC</t>
  </si>
  <si>
    <t>Stockton-on-TeesARSHHOP1Bd</t>
  </si>
  <si>
    <t>Stockton-on-TeesARSHHOP2Bd</t>
  </si>
  <si>
    <t>Stockton-on-TeesARSHHOP3Bd</t>
  </si>
  <si>
    <t>Stockton-on-TeesARSHHOP4Bd</t>
  </si>
  <si>
    <t>Stockton-on-TeesARSHHOPBdst</t>
  </si>
  <si>
    <t>Stockton-on-TeesARSHHOPNSC</t>
  </si>
  <si>
    <t>Stockton-on-TeesARSHHOPSC</t>
  </si>
  <si>
    <t>Stockton-on-TeesARSHHOPTotal</t>
  </si>
  <si>
    <t>Stockton-on-TeesGN1Bd</t>
  </si>
  <si>
    <t>Stockton-on-TeesGN2Bd</t>
  </si>
  <si>
    <t>Stockton-on-TeesGN3Bd</t>
  </si>
  <si>
    <t>Stockton-on-TeesGN4Bd</t>
  </si>
  <si>
    <t>Stockton-on-TeesGN5Bd</t>
  </si>
  <si>
    <t>Stockton-on-TeesGN6Bd</t>
  </si>
  <si>
    <t>Stockton-on-TeesGNBdst</t>
  </si>
  <si>
    <t>Stockton-on-TeesGNNSC</t>
  </si>
  <si>
    <t>Stockton-on-TeesGNTotal</t>
  </si>
  <si>
    <t>Stockton-on-TeesGNSC</t>
  </si>
  <si>
    <t>Stockton-on-TeesGNAGGSC</t>
  </si>
  <si>
    <t>Stockton-on-TeesGNAGGNSC</t>
  </si>
  <si>
    <t>Stockton-on-TeesLCHO</t>
  </si>
  <si>
    <t>Stockton-on-TeesSHHOP1Bd</t>
  </si>
  <si>
    <t>Stockton-on-TeesSHHOP2Bd</t>
  </si>
  <si>
    <t>Stockton-on-TeesSHHOP3Bd</t>
  </si>
  <si>
    <t>Stockton-on-TeesSHHOP4Bd</t>
  </si>
  <si>
    <t>Stockton-on-TeesSHHOPBdst</t>
  </si>
  <si>
    <t>Stockton-on-TeesSHHOPNSC</t>
  </si>
  <si>
    <t>Stockton-on-TeesSHHOPTotal</t>
  </si>
  <si>
    <t>Stockton-on-TeesSHHOPSC</t>
  </si>
  <si>
    <t>Stockton-on-TeesSHHOPAGGNA</t>
  </si>
  <si>
    <t>E06000005</t>
  </si>
  <si>
    <t>Darlington</t>
  </si>
  <si>
    <t>DarlingtonARGN1Bd</t>
  </si>
  <si>
    <t>DarlingtonARGN2Bd</t>
  </si>
  <si>
    <t>DarlingtonARGN3Bd</t>
  </si>
  <si>
    <t>DarlingtonARGN4Bd</t>
  </si>
  <si>
    <t>DarlingtonARGN5Bd</t>
  </si>
  <si>
    <t>DarlingtonARGN6Bd</t>
  </si>
  <si>
    <t>DarlingtonARGNBdst</t>
  </si>
  <si>
    <t>DarlingtonARGNNSC</t>
  </si>
  <si>
    <t>DarlingtonARGNTotal</t>
  </si>
  <si>
    <t>DarlingtonARGNSC</t>
  </si>
  <si>
    <t>DarlingtonARSHHOP1Bd</t>
  </si>
  <si>
    <t>DarlingtonARSHHOP2Bd</t>
  </si>
  <si>
    <t>DarlingtonARSHHOP3Bd</t>
  </si>
  <si>
    <t>DarlingtonARSHHOP4Bd</t>
  </si>
  <si>
    <t>DarlingtonARSHHOPBdst</t>
  </si>
  <si>
    <t>DarlingtonARSHHOPNSC</t>
  </si>
  <si>
    <t>DarlingtonARSHHOPSC</t>
  </si>
  <si>
    <t>DarlingtonARSHHOPTotal</t>
  </si>
  <si>
    <t>DarlingtonGN1Bd</t>
  </si>
  <si>
    <t>DarlingtonGN2Bd</t>
  </si>
  <si>
    <t>DarlingtonGN3Bd</t>
  </si>
  <si>
    <t>DarlingtonGN4Bd</t>
  </si>
  <si>
    <t>DarlingtonGN5Bd</t>
  </si>
  <si>
    <t>DarlingtonGN6Bd</t>
  </si>
  <si>
    <t>DarlingtonGNBdst</t>
  </si>
  <si>
    <t>DarlingtonGNNSC</t>
  </si>
  <si>
    <t>DarlingtonGNTotal</t>
  </si>
  <si>
    <t>DarlingtonGNSC</t>
  </si>
  <si>
    <t>DarlingtonGNAGGSC</t>
  </si>
  <si>
    <t>DarlingtonGNAGGNSC</t>
  </si>
  <si>
    <t>DarlingtonLCHO</t>
  </si>
  <si>
    <t>DarlingtonSHHOP1Bd</t>
  </si>
  <si>
    <t>DarlingtonSHHOP2Bd</t>
  </si>
  <si>
    <t>DarlingtonSHHOP3Bd</t>
  </si>
  <si>
    <t>DarlingtonSHHOP4Bd</t>
  </si>
  <si>
    <t>DarlingtonSHHOPBdst</t>
  </si>
  <si>
    <t>DarlingtonSHHOPNSC</t>
  </si>
  <si>
    <t>DarlingtonSHHOPTotal</t>
  </si>
  <si>
    <t>DarlingtonSHHOPSC</t>
  </si>
  <si>
    <t>DarlingtonSHHOPAGGNA</t>
  </si>
  <si>
    <t>E06000006</t>
  </si>
  <si>
    <t>Halton</t>
  </si>
  <si>
    <t>North West</t>
  </si>
  <si>
    <t>HaltonARGN1Bd</t>
  </si>
  <si>
    <t>HaltonARGN2Bd</t>
  </si>
  <si>
    <t>HaltonARGN3Bd</t>
  </si>
  <si>
    <t>HaltonARGN4Bd</t>
  </si>
  <si>
    <t>HaltonARGN5Bd</t>
  </si>
  <si>
    <t>HaltonARGN6Bd</t>
  </si>
  <si>
    <t>HaltonARGNBdst</t>
  </si>
  <si>
    <t>HaltonARGNNSC</t>
  </si>
  <si>
    <t>HaltonARGNTotal</t>
  </si>
  <si>
    <t>HaltonARGNSC</t>
  </si>
  <si>
    <t>HaltonARSHHOP1Bd</t>
  </si>
  <si>
    <t>HaltonARSHHOP2Bd</t>
  </si>
  <si>
    <t>HaltonARSHHOP3Bd</t>
  </si>
  <si>
    <t>HaltonARSHHOP4Bd</t>
  </si>
  <si>
    <t>HaltonARSHHOPBdst</t>
  </si>
  <si>
    <t>HaltonARSHHOPNSC</t>
  </si>
  <si>
    <t>HaltonARSHHOPSC</t>
  </si>
  <si>
    <t>HaltonARSHHOPTotal</t>
  </si>
  <si>
    <t>HaltonGN1Bd</t>
  </si>
  <si>
    <t>HaltonGN2Bd</t>
  </si>
  <si>
    <t>HaltonGN3Bd</t>
  </si>
  <si>
    <t>HaltonGN4Bd</t>
  </si>
  <si>
    <t>HaltonGN5Bd</t>
  </si>
  <si>
    <t>HaltonGN6Bd</t>
  </si>
  <si>
    <t>HaltonGNBdst</t>
  </si>
  <si>
    <t>HaltonGNNSC</t>
  </si>
  <si>
    <t>HaltonGNTotal</t>
  </si>
  <si>
    <t>HaltonGNSC</t>
  </si>
  <si>
    <t>HaltonGNAGGSC</t>
  </si>
  <si>
    <t>HaltonGNAGGNSC</t>
  </si>
  <si>
    <t>HaltonLCHO</t>
  </si>
  <si>
    <t>HaltonSHHOP1Bd</t>
  </si>
  <si>
    <t>HaltonSHHOP2Bd</t>
  </si>
  <si>
    <t>HaltonSHHOP3Bd</t>
  </si>
  <si>
    <t>HaltonSHHOP4Bd</t>
  </si>
  <si>
    <t>HaltonSHHOPBdst</t>
  </si>
  <si>
    <t>HaltonSHHOPNSC</t>
  </si>
  <si>
    <t>HaltonSHHOPTotal</t>
  </si>
  <si>
    <t>HaltonSHHOPSC</t>
  </si>
  <si>
    <t>HaltonSHHOPAGGNA</t>
  </si>
  <si>
    <t>E06000007</t>
  </si>
  <si>
    <t>WarringtonARGN1Bd</t>
  </si>
  <si>
    <t>WarringtonARGN2Bd</t>
  </si>
  <si>
    <t>WarringtonARGN3Bd</t>
  </si>
  <si>
    <t>WarringtonARGN4Bd</t>
  </si>
  <si>
    <t>WarringtonARGN5Bd</t>
  </si>
  <si>
    <t>WarringtonARGN6Bd</t>
  </si>
  <si>
    <t>WarringtonARGNBdst</t>
  </si>
  <si>
    <t>WarringtonARGNNSC</t>
  </si>
  <si>
    <t>WarringtonARGNTotal</t>
  </si>
  <si>
    <t>WarringtonARGNSC</t>
  </si>
  <si>
    <t>WarringtonARSHHOP1Bd</t>
  </si>
  <si>
    <t>WarringtonARSHHOP2Bd</t>
  </si>
  <si>
    <t>WarringtonARSHHOP3Bd</t>
  </si>
  <si>
    <t>WarringtonARSHHOP4Bd</t>
  </si>
  <si>
    <t>WarringtonARSHHOPBdst</t>
  </si>
  <si>
    <t>WarringtonARSHHOPNSC</t>
  </si>
  <si>
    <t>WarringtonARSHHOPSC</t>
  </si>
  <si>
    <t>WarringtonARSHHOPTotal</t>
  </si>
  <si>
    <t>WarringtonGN1Bd</t>
  </si>
  <si>
    <t>WarringtonGN2Bd</t>
  </si>
  <si>
    <t>WarringtonGN3Bd</t>
  </si>
  <si>
    <t>WarringtonGN4Bd</t>
  </si>
  <si>
    <t>WarringtonGN5Bd</t>
  </si>
  <si>
    <t>WarringtonGN6Bd</t>
  </si>
  <si>
    <t>WarringtonGNBdst</t>
  </si>
  <si>
    <t>WarringtonGNNSC</t>
  </si>
  <si>
    <t>WarringtonGNTotal</t>
  </si>
  <si>
    <t>WarringtonGNSC</t>
  </si>
  <si>
    <t>WarringtonGNAGGSC</t>
  </si>
  <si>
    <t>WarringtonGNAGGNSC</t>
  </si>
  <si>
    <t>WarringtonLCHO</t>
  </si>
  <si>
    <t>WarringtonSHHOP1Bd</t>
  </si>
  <si>
    <t>WarringtonSHHOP2Bd</t>
  </si>
  <si>
    <t>WarringtonSHHOP3Bd</t>
  </si>
  <si>
    <t>WarringtonSHHOP4Bd</t>
  </si>
  <si>
    <t>WarringtonSHHOPBdst</t>
  </si>
  <si>
    <t>WarringtonSHHOPNSC</t>
  </si>
  <si>
    <t>WarringtonSHHOPTotal</t>
  </si>
  <si>
    <t>WarringtonSHHOPSC</t>
  </si>
  <si>
    <t>WarringtonSHHOPAGGNA</t>
  </si>
  <si>
    <t>E06000008</t>
  </si>
  <si>
    <t>Blackburn with Darwen</t>
  </si>
  <si>
    <t>Blackburn with DarwenARGN1Bd</t>
  </si>
  <si>
    <t>Blackburn with DarwenARGN2Bd</t>
  </si>
  <si>
    <t>Blackburn with DarwenARGN3Bd</t>
  </si>
  <si>
    <t>Blackburn with DarwenARGN4Bd</t>
  </si>
  <si>
    <t>Blackburn with DarwenARGN5Bd</t>
  </si>
  <si>
    <t>Blackburn with DarwenARGN6Bd</t>
  </si>
  <si>
    <t>Blackburn with DarwenARGNBdst</t>
  </si>
  <si>
    <t>Blackburn with DarwenARGNNSC</t>
  </si>
  <si>
    <t>Blackburn with DarwenARGNTotal</t>
  </si>
  <si>
    <t>Blackburn with DarwenARGNSC</t>
  </si>
  <si>
    <t>Blackburn with DarwenARSHHOP1Bd</t>
  </si>
  <si>
    <t>Blackburn with DarwenARSHHOP2Bd</t>
  </si>
  <si>
    <t>Blackburn with DarwenARSHHOP3Bd</t>
  </si>
  <si>
    <t>Blackburn with DarwenARSHHOP4Bd</t>
  </si>
  <si>
    <t>Blackburn with DarwenARSHHOPBdst</t>
  </si>
  <si>
    <t>Blackburn with DarwenARSHHOPNSC</t>
  </si>
  <si>
    <t>Blackburn with DarwenARSHHOPSC</t>
  </si>
  <si>
    <t>Blackburn with DarwenARSHHOPTotal</t>
  </si>
  <si>
    <t>Blackburn with DarwenGN1Bd</t>
  </si>
  <si>
    <t>Blackburn with DarwenGN2Bd</t>
  </si>
  <si>
    <t>Blackburn with DarwenGN3Bd</t>
  </si>
  <si>
    <t>Blackburn with DarwenGN4Bd</t>
  </si>
  <si>
    <t>Blackburn with DarwenGN5Bd</t>
  </si>
  <si>
    <t>Blackburn with DarwenGN6Bd</t>
  </si>
  <si>
    <t>Blackburn with DarwenGNBdst</t>
  </si>
  <si>
    <t>Blackburn with DarwenGNNSC</t>
  </si>
  <si>
    <t>Blackburn with DarwenGNTotal</t>
  </si>
  <si>
    <t>Blackburn with DarwenGNSC</t>
  </si>
  <si>
    <t>Blackburn with DarwenGNAGGSC</t>
  </si>
  <si>
    <t>Blackburn with DarwenGNAGGNSC</t>
  </si>
  <si>
    <t>Blackburn with DarwenLCHO</t>
  </si>
  <si>
    <t>Blackburn with DarwenSHHOP1Bd</t>
  </si>
  <si>
    <t>Blackburn with DarwenSHHOP2Bd</t>
  </si>
  <si>
    <t>Blackburn with DarwenSHHOP3Bd</t>
  </si>
  <si>
    <t>Blackburn with DarwenSHHOP4Bd</t>
  </si>
  <si>
    <t>Blackburn with DarwenSHHOPBdst</t>
  </si>
  <si>
    <t>Blackburn with DarwenSHHOPNSC</t>
  </si>
  <si>
    <t>Blackburn with DarwenSHHOPTotal</t>
  </si>
  <si>
    <t>Blackburn with DarwenSHHOPSC</t>
  </si>
  <si>
    <t>Blackburn with DarwenSHHOPAGGNA</t>
  </si>
  <si>
    <t>E06000009</t>
  </si>
  <si>
    <t>Blackpool</t>
  </si>
  <si>
    <t>BlackpoolARGN1Bd</t>
  </si>
  <si>
    <t>BlackpoolARGN2Bd</t>
  </si>
  <si>
    <t>BlackpoolARGN3Bd</t>
  </si>
  <si>
    <t>BlackpoolARGN4Bd</t>
  </si>
  <si>
    <t>BlackpoolARGN5Bd</t>
  </si>
  <si>
    <t>BlackpoolARGN6Bd</t>
  </si>
  <si>
    <t>BlackpoolARGNBdst</t>
  </si>
  <si>
    <t>BlackpoolARGNNSC</t>
  </si>
  <si>
    <t>BlackpoolARGNTotal</t>
  </si>
  <si>
    <t>BlackpoolARGNSC</t>
  </si>
  <si>
    <t>BlackpoolARSHHOP1Bd</t>
  </si>
  <si>
    <t>BlackpoolARSHHOP2Bd</t>
  </si>
  <si>
    <t>BlackpoolARSHHOP3Bd</t>
  </si>
  <si>
    <t>BlackpoolARSHHOP4Bd</t>
  </si>
  <si>
    <t>BlackpoolARSHHOPBdst</t>
  </si>
  <si>
    <t>BlackpoolARSHHOPNSC</t>
  </si>
  <si>
    <t>BlackpoolARSHHOPSC</t>
  </si>
  <si>
    <t>BlackpoolARSHHOPTotal</t>
  </si>
  <si>
    <t>BlackpoolGN1Bd</t>
  </si>
  <si>
    <t>BlackpoolGN2Bd</t>
  </si>
  <si>
    <t>BlackpoolGN3Bd</t>
  </si>
  <si>
    <t>BlackpoolGN4Bd</t>
  </si>
  <si>
    <t>BlackpoolGN5Bd</t>
  </si>
  <si>
    <t>BlackpoolGN6Bd</t>
  </si>
  <si>
    <t>BlackpoolGNBdst</t>
  </si>
  <si>
    <t>BlackpoolGNNSC</t>
  </si>
  <si>
    <t>BlackpoolGNTotal</t>
  </si>
  <si>
    <t>BlackpoolGNSC</t>
  </si>
  <si>
    <t>BlackpoolGNAGGSC</t>
  </si>
  <si>
    <t>BlackpoolGNAGGNSC</t>
  </si>
  <si>
    <t>BlackpoolLCHO</t>
  </si>
  <si>
    <t>BlackpoolSHHOP1Bd</t>
  </si>
  <si>
    <t>BlackpoolSHHOP2Bd</t>
  </si>
  <si>
    <t>BlackpoolSHHOP3Bd</t>
  </si>
  <si>
    <t>BlackpoolSHHOP4Bd</t>
  </si>
  <si>
    <t>BlackpoolSHHOPBdst</t>
  </si>
  <si>
    <t>BlackpoolSHHOPNSC</t>
  </si>
  <si>
    <t>BlackpoolSHHOPTotal</t>
  </si>
  <si>
    <t>BlackpoolSHHOPSC</t>
  </si>
  <si>
    <t>BlackpoolSHHOPAGGNA</t>
  </si>
  <si>
    <t>E06000010</t>
  </si>
  <si>
    <t>Kingston upon Hull, City of</t>
  </si>
  <si>
    <t>Yorkshire and the Humber</t>
  </si>
  <si>
    <t>Kingston upon Hull, City ofARGN1Bd</t>
  </si>
  <si>
    <t>Kingston upon Hull, City ofARGN2Bd</t>
  </si>
  <si>
    <t>Kingston upon Hull, City ofARGN3Bd</t>
  </si>
  <si>
    <t>Kingston upon Hull, City ofARGN4Bd</t>
  </si>
  <si>
    <t>Kingston upon Hull, City ofARGN5Bd</t>
  </si>
  <si>
    <t>Kingston upon Hull, City ofARGN6Bd</t>
  </si>
  <si>
    <t>Kingston upon Hull, City ofARGNBdst</t>
  </si>
  <si>
    <t>Kingston upon Hull, City ofARGNNSC</t>
  </si>
  <si>
    <t>Kingston upon Hull, City ofARGNTotal</t>
  </si>
  <si>
    <t>Kingston upon Hull, City ofARGNSC</t>
  </si>
  <si>
    <t>Kingston upon Hull, City ofARSHHOP1Bd</t>
  </si>
  <si>
    <t>Kingston upon Hull, City ofARSHHOP2Bd</t>
  </si>
  <si>
    <t>Kingston upon Hull, City ofARSHHOP3Bd</t>
  </si>
  <si>
    <t>Kingston upon Hull, City ofARSHHOP4Bd</t>
  </si>
  <si>
    <t>Kingston upon Hull, City ofARSHHOPBdst</t>
  </si>
  <si>
    <t>Kingston upon Hull, City ofARSHHOPNSC</t>
  </si>
  <si>
    <t>Kingston upon Hull, City ofARSHHOPSC</t>
  </si>
  <si>
    <t>Kingston upon Hull, City ofARSHHOPTotal</t>
  </si>
  <si>
    <t>Kingston upon Hull, City ofGN1Bd</t>
  </si>
  <si>
    <t>Kingston upon Hull, City ofGN2Bd</t>
  </si>
  <si>
    <t>Kingston upon Hull, City ofGN3Bd</t>
  </si>
  <si>
    <t>Kingston upon Hull, City ofGN4Bd</t>
  </si>
  <si>
    <t>Kingston upon Hull, City ofGN5Bd</t>
  </si>
  <si>
    <t>Kingston upon Hull, City ofGN6Bd</t>
  </si>
  <si>
    <t>Kingston upon Hull, City ofGNBdst</t>
  </si>
  <si>
    <t>Kingston upon Hull, City ofGNNSC</t>
  </si>
  <si>
    <t>Kingston upon Hull, City ofGNTotal</t>
  </si>
  <si>
    <t>Kingston upon Hull, City ofGNSC</t>
  </si>
  <si>
    <t>Kingston upon Hull, City ofGNAGGSC</t>
  </si>
  <si>
    <t>Kingston upon Hull, City ofGNAGGNSC</t>
  </si>
  <si>
    <t>Kingston upon Hull, City ofLCHO</t>
  </si>
  <si>
    <t>Kingston upon Hull, City ofSHHOP1Bd</t>
  </si>
  <si>
    <t>Kingston upon Hull, City ofSHHOP2Bd</t>
  </si>
  <si>
    <t>Kingston upon Hull, City ofSHHOP3Bd</t>
  </si>
  <si>
    <t>Kingston upon Hull, City ofSHHOP4Bd</t>
  </si>
  <si>
    <t>Kingston upon Hull, City ofSHHOPBdst</t>
  </si>
  <si>
    <t>Kingston upon Hull, City ofSHHOPNSC</t>
  </si>
  <si>
    <t>Kingston upon Hull, City ofSHHOPTotal</t>
  </si>
  <si>
    <t>Kingston upon Hull, City ofSHHOPSC</t>
  </si>
  <si>
    <t>Kingston upon Hull, City ofSHHOPAGGNA</t>
  </si>
  <si>
    <t>E06000011</t>
  </si>
  <si>
    <t>East Riding of Yorkshire</t>
  </si>
  <si>
    <t>East Riding of YorkshireARGN1Bd</t>
  </si>
  <si>
    <t>East Riding of YorkshireARGN2Bd</t>
  </si>
  <si>
    <t>East Riding of YorkshireARGN3Bd</t>
  </si>
  <si>
    <t>East Riding of YorkshireARGN4Bd</t>
  </si>
  <si>
    <t>East Riding of YorkshireARGN5Bd</t>
  </si>
  <si>
    <t>East Riding of YorkshireARGN6Bd</t>
  </si>
  <si>
    <t>East Riding of YorkshireARGNBdst</t>
  </si>
  <si>
    <t>East Riding of YorkshireARGNNSC</t>
  </si>
  <si>
    <t>East Riding of YorkshireARGNTotal</t>
  </si>
  <si>
    <t>East Riding of YorkshireARGNSC</t>
  </si>
  <si>
    <t>East Riding of YorkshireARSHHOP1Bd</t>
  </si>
  <si>
    <t>East Riding of YorkshireARSHHOP2Bd</t>
  </si>
  <si>
    <t>East Riding of YorkshireARSHHOP3Bd</t>
  </si>
  <si>
    <t>East Riding of YorkshireARSHHOP4Bd</t>
  </si>
  <si>
    <t>East Riding of YorkshireARSHHOPBdst</t>
  </si>
  <si>
    <t>East Riding of YorkshireARSHHOPNSC</t>
  </si>
  <si>
    <t>East Riding of YorkshireARSHHOPSC</t>
  </si>
  <si>
    <t>East Riding of YorkshireARSHHOPTotal</t>
  </si>
  <si>
    <t>East Riding of YorkshireGN1Bd</t>
  </si>
  <si>
    <t>East Riding of YorkshireGN2Bd</t>
  </si>
  <si>
    <t>East Riding of YorkshireGN3Bd</t>
  </si>
  <si>
    <t>East Riding of YorkshireGN4Bd</t>
  </si>
  <si>
    <t>East Riding of YorkshireGN5Bd</t>
  </si>
  <si>
    <t>East Riding of YorkshireGN6Bd</t>
  </si>
  <si>
    <t>East Riding of YorkshireGNBdst</t>
  </si>
  <si>
    <t>East Riding of YorkshireGNNSC</t>
  </si>
  <si>
    <t>East Riding of YorkshireGNTotal</t>
  </si>
  <si>
    <t>East Riding of YorkshireGNSC</t>
  </si>
  <si>
    <t>East Riding of YorkshireGNAGGSC</t>
  </si>
  <si>
    <t>East Riding of YorkshireGNAGGNSC</t>
  </si>
  <si>
    <t>East Riding of YorkshireLCHO</t>
  </si>
  <si>
    <t>East Riding of YorkshireSHHOP1Bd</t>
  </si>
  <si>
    <t>East Riding of YorkshireSHHOP2Bd</t>
  </si>
  <si>
    <t>East Riding of YorkshireSHHOP3Bd</t>
  </si>
  <si>
    <t>East Riding of YorkshireSHHOP4Bd</t>
  </si>
  <si>
    <t>East Riding of YorkshireSHHOPBdst</t>
  </si>
  <si>
    <t>East Riding of YorkshireSHHOPNSC</t>
  </si>
  <si>
    <t>East Riding of YorkshireSHHOPTotal</t>
  </si>
  <si>
    <t>East Riding of YorkshireSHHOPSC</t>
  </si>
  <si>
    <t>East Riding of YorkshireSHHOPAGGNA</t>
  </si>
  <si>
    <t>E06000012</t>
  </si>
  <si>
    <t>North East Lincolnshire</t>
  </si>
  <si>
    <t>North East LincolnshireARGN1Bd</t>
  </si>
  <si>
    <t>North East LincolnshireARGN2Bd</t>
  </si>
  <si>
    <t>North East LincolnshireARGN3Bd</t>
  </si>
  <si>
    <t>North East LincolnshireARGN4Bd</t>
  </si>
  <si>
    <t>North East LincolnshireARGN5Bd</t>
  </si>
  <si>
    <t>North East LincolnshireARGN6Bd</t>
  </si>
  <si>
    <t>North East LincolnshireARGNBdst</t>
  </si>
  <si>
    <t>North East LincolnshireARGNNSC</t>
  </si>
  <si>
    <t>North East LincolnshireARGNTotal</t>
  </si>
  <si>
    <t>North East LincolnshireARGNSC</t>
  </si>
  <si>
    <t>North East LincolnshireARSHHOP1Bd</t>
  </si>
  <si>
    <t>North East LincolnshireARSHHOP2Bd</t>
  </si>
  <si>
    <t>North East LincolnshireARSHHOP3Bd</t>
  </si>
  <si>
    <t>North East LincolnshireARSHHOP4Bd</t>
  </si>
  <si>
    <t>North East LincolnshireARSHHOPBdst</t>
  </si>
  <si>
    <t>North East LincolnshireARSHHOPNSC</t>
  </si>
  <si>
    <t>North East LincolnshireARSHHOPSC</t>
  </si>
  <si>
    <t>North East LincolnshireARSHHOPTotal</t>
  </si>
  <si>
    <t>North East LincolnshireGN1Bd</t>
  </si>
  <si>
    <t>North East LincolnshireGN2Bd</t>
  </si>
  <si>
    <t>North East LincolnshireGN3Bd</t>
  </si>
  <si>
    <t>North East LincolnshireGN4Bd</t>
  </si>
  <si>
    <t>North East LincolnshireGN5Bd</t>
  </si>
  <si>
    <t>North East LincolnshireGN6Bd</t>
  </si>
  <si>
    <t>North East LincolnshireGNBdst</t>
  </si>
  <si>
    <t>North East LincolnshireGNNSC</t>
  </si>
  <si>
    <t>North East LincolnshireGNTotal</t>
  </si>
  <si>
    <t>North East LincolnshireGNSC</t>
  </si>
  <si>
    <t>North East LincolnshireGNAGGSC</t>
  </si>
  <si>
    <t>North East LincolnshireGNAGGNSC</t>
  </si>
  <si>
    <t>North East LincolnshireLCHO</t>
  </si>
  <si>
    <t>North East LincolnshireSHHOP1Bd</t>
  </si>
  <si>
    <t>North East LincolnshireSHHOP2Bd</t>
  </si>
  <si>
    <t>North East LincolnshireSHHOP3Bd</t>
  </si>
  <si>
    <t>North East LincolnshireSHHOP4Bd</t>
  </si>
  <si>
    <t>North East LincolnshireSHHOPBdst</t>
  </si>
  <si>
    <t>North East LincolnshireSHHOPNSC</t>
  </si>
  <si>
    <t>North East LincolnshireSHHOPTotal</t>
  </si>
  <si>
    <t>North East LincolnshireSHHOPSC</t>
  </si>
  <si>
    <t>North East LincolnshireSHHOPAGGNA</t>
  </si>
  <si>
    <t>E06000013</t>
  </si>
  <si>
    <t>North Lincolnshire</t>
  </si>
  <si>
    <t>North LincolnshireARGN1Bd</t>
  </si>
  <si>
    <t>North LincolnshireARGN2Bd</t>
  </si>
  <si>
    <t>North LincolnshireARGN3Bd</t>
  </si>
  <si>
    <t>North LincolnshireARGN4Bd</t>
  </si>
  <si>
    <t>North LincolnshireARGN5Bd</t>
  </si>
  <si>
    <t>North LincolnshireARGN6Bd</t>
  </si>
  <si>
    <t>North LincolnshireARGNBdst</t>
  </si>
  <si>
    <t>North LincolnshireARGNNSC</t>
  </si>
  <si>
    <t>North LincolnshireARGNTotal</t>
  </si>
  <si>
    <t>North LincolnshireARGNSC</t>
  </si>
  <si>
    <t>North LincolnshireARSHHOP1Bd</t>
  </si>
  <si>
    <t>North LincolnshireARSHHOP2Bd</t>
  </si>
  <si>
    <t>North LincolnshireARSHHOP3Bd</t>
  </si>
  <si>
    <t>North LincolnshireARSHHOP4Bd</t>
  </si>
  <si>
    <t>North LincolnshireARSHHOPBdst</t>
  </si>
  <si>
    <t>North LincolnshireARSHHOPNSC</t>
  </si>
  <si>
    <t>North LincolnshireARSHHOPSC</t>
  </si>
  <si>
    <t>North LincolnshireARSHHOPTotal</t>
  </si>
  <si>
    <t>North LincolnshireGN1Bd</t>
  </si>
  <si>
    <t>North LincolnshireGN2Bd</t>
  </si>
  <si>
    <t>North LincolnshireGN3Bd</t>
  </si>
  <si>
    <t>North LincolnshireGN4Bd</t>
  </si>
  <si>
    <t>North LincolnshireGN5Bd</t>
  </si>
  <si>
    <t>North LincolnshireGN6Bd</t>
  </si>
  <si>
    <t>North LincolnshireGNBdst</t>
  </si>
  <si>
    <t>North LincolnshireGNNSC</t>
  </si>
  <si>
    <t>North LincolnshireGNTotal</t>
  </si>
  <si>
    <t>North LincolnshireGNSC</t>
  </si>
  <si>
    <t>North LincolnshireGNAGGSC</t>
  </si>
  <si>
    <t>North LincolnshireGNAGGNSC</t>
  </si>
  <si>
    <t>North LincolnshireLCHO</t>
  </si>
  <si>
    <t>North LincolnshireSHHOP1Bd</t>
  </si>
  <si>
    <t>North LincolnshireSHHOP2Bd</t>
  </si>
  <si>
    <t>North LincolnshireSHHOP3Bd</t>
  </si>
  <si>
    <t>North LincolnshireSHHOP4Bd</t>
  </si>
  <si>
    <t>North LincolnshireSHHOPBdst</t>
  </si>
  <si>
    <t>North LincolnshireSHHOPNSC</t>
  </si>
  <si>
    <t>North LincolnshireSHHOPTotal</t>
  </si>
  <si>
    <t>North LincolnshireSHHOPSC</t>
  </si>
  <si>
    <t>North LincolnshireSHHOPAGGNA</t>
  </si>
  <si>
    <t>E06000014</t>
  </si>
  <si>
    <t>YorkARGN1Bd</t>
  </si>
  <si>
    <t>YorkARGN2Bd</t>
  </si>
  <si>
    <t>YorkARGN3Bd</t>
  </si>
  <si>
    <t>YorkARGN4Bd</t>
  </si>
  <si>
    <t>YorkARGN5Bd</t>
  </si>
  <si>
    <t>YorkARGN6Bd</t>
  </si>
  <si>
    <t>YorkARGNBdst</t>
  </si>
  <si>
    <t>YorkARGNNSC</t>
  </si>
  <si>
    <t>YorkARGNTotal</t>
  </si>
  <si>
    <t>YorkARGNSC</t>
  </si>
  <si>
    <t>YorkARSHHOP1Bd</t>
  </si>
  <si>
    <t>YorkARSHHOP2Bd</t>
  </si>
  <si>
    <t>YorkARSHHOP3Bd</t>
  </si>
  <si>
    <t>YorkARSHHOP4Bd</t>
  </si>
  <si>
    <t>YorkARSHHOPBdst</t>
  </si>
  <si>
    <t>YorkARSHHOPNSC</t>
  </si>
  <si>
    <t>YorkARSHHOPSC</t>
  </si>
  <si>
    <t>YorkARSHHOPTotal</t>
  </si>
  <si>
    <t>YorkGN1Bd</t>
  </si>
  <si>
    <t>YorkGN2Bd</t>
  </si>
  <si>
    <t>YorkGN3Bd</t>
  </si>
  <si>
    <t>YorkGN4Bd</t>
  </si>
  <si>
    <t>YorkGN5Bd</t>
  </si>
  <si>
    <t>YorkGN6Bd</t>
  </si>
  <si>
    <t>YorkGNBdst</t>
  </si>
  <si>
    <t>YorkGNNSC</t>
  </si>
  <si>
    <t>YorkGNTotal</t>
  </si>
  <si>
    <t>YorkGNSC</t>
  </si>
  <si>
    <t>YorkGNAGGSC</t>
  </si>
  <si>
    <t>YorkGNAGGNSC</t>
  </si>
  <si>
    <t>YorkLCHO</t>
  </si>
  <si>
    <t>YorkSHHOP1Bd</t>
  </si>
  <si>
    <t>YorkSHHOP2Bd</t>
  </si>
  <si>
    <t>YorkSHHOP3Bd</t>
  </si>
  <si>
    <t>YorkSHHOP4Bd</t>
  </si>
  <si>
    <t>YorkSHHOPBdst</t>
  </si>
  <si>
    <t>YorkSHHOPNSC</t>
  </si>
  <si>
    <t>YorkSHHOPTotal</t>
  </si>
  <si>
    <t>YorkSHHOPSC</t>
  </si>
  <si>
    <t>YorkSHHOPAGGNA</t>
  </si>
  <si>
    <t>E06000015</t>
  </si>
  <si>
    <t>Derby</t>
  </si>
  <si>
    <t>East Midlands</t>
  </si>
  <si>
    <t>DerbyARGN1Bd</t>
  </si>
  <si>
    <t>DerbyARGN2Bd</t>
  </si>
  <si>
    <t>DerbyARGN3Bd</t>
  </si>
  <si>
    <t>DerbyARGN4Bd</t>
  </si>
  <si>
    <t>DerbyARGN5Bd</t>
  </si>
  <si>
    <t>DerbyARGN6Bd</t>
  </si>
  <si>
    <t>DerbyARGNBdst</t>
  </si>
  <si>
    <t>DerbyARGNNSC</t>
  </si>
  <si>
    <t>DerbyARGNTotal</t>
  </si>
  <si>
    <t>DerbyARGNSC</t>
  </si>
  <si>
    <t>DerbyARSHHOP1Bd</t>
  </si>
  <si>
    <t>DerbyARSHHOP2Bd</t>
  </si>
  <si>
    <t>DerbyARSHHOP3Bd</t>
  </si>
  <si>
    <t>DerbyARSHHOP4Bd</t>
  </si>
  <si>
    <t>DerbyARSHHOPBdst</t>
  </si>
  <si>
    <t>DerbyARSHHOPNSC</t>
  </si>
  <si>
    <t>DerbyARSHHOPSC</t>
  </si>
  <si>
    <t>DerbyARSHHOPTotal</t>
  </si>
  <si>
    <t>DerbyGN1Bd</t>
  </si>
  <si>
    <t>DerbyGN2Bd</t>
  </si>
  <si>
    <t>DerbyGN3Bd</t>
  </si>
  <si>
    <t>DerbyGN4Bd</t>
  </si>
  <si>
    <t>DerbyGN5Bd</t>
  </si>
  <si>
    <t>DerbyGN6Bd</t>
  </si>
  <si>
    <t>DerbyGNBdst</t>
  </si>
  <si>
    <t>DerbyGNNSC</t>
  </si>
  <si>
    <t>DerbyGNTotal</t>
  </si>
  <si>
    <t>DerbyGNSC</t>
  </si>
  <si>
    <t>DerbyGNAGGSC</t>
  </si>
  <si>
    <t>DerbyGNAGGNSC</t>
  </si>
  <si>
    <t>DerbyLCHO</t>
  </si>
  <si>
    <t>DerbySHHOP1Bd</t>
  </si>
  <si>
    <t>DerbySHHOP2Bd</t>
  </si>
  <si>
    <t>DerbySHHOP3Bd</t>
  </si>
  <si>
    <t>DerbySHHOP4Bd</t>
  </si>
  <si>
    <t>DerbySHHOPBdst</t>
  </si>
  <si>
    <t>DerbySHHOPNSC</t>
  </si>
  <si>
    <t>DerbySHHOPTotal</t>
  </si>
  <si>
    <t>DerbySHHOPSC</t>
  </si>
  <si>
    <t>DerbySHHOPAGGNA</t>
  </si>
  <si>
    <t>E06000016</t>
  </si>
  <si>
    <t>Leicester</t>
  </si>
  <si>
    <t>LeicesterARGN1Bd</t>
  </si>
  <si>
    <t>LeicesterARGN2Bd</t>
  </si>
  <si>
    <t>LeicesterARGN3Bd</t>
  </si>
  <si>
    <t>LeicesterARGN4Bd</t>
  </si>
  <si>
    <t>LeicesterARGN5Bd</t>
  </si>
  <si>
    <t>LeicesterARGN6Bd</t>
  </si>
  <si>
    <t>LeicesterARGNBdst</t>
  </si>
  <si>
    <t>LeicesterARGNNSC</t>
  </si>
  <si>
    <t>LeicesterARGNTotal</t>
  </si>
  <si>
    <t>LeicesterARGNSC</t>
  </si>
  <si>
    <t>LeicesterARSHHOP1Bd</t>
  </si>
  <si>
    <t>LeicesterARSHHOP2Bd</t>
  </si>
  <si>
    <t>LeicesterARSHHOP3Bd</t>
  </si>
  <si>
    <t>LeicesterARSHHOP4Bd</t>
  </si>
  <si>
    <t>LeicesterARSHHOPBdst</t>
  </si>
  <si>
    <t>LeicesterARSHHOPNSC</t>
  </si>
  <si>
    <t>LeicesterARSHHOPSC</t>
  </si>
  <si>
    <t>LeicesterARSHHOPTotal</t>
  </si>
  <si>
    <t>LeicesterGN1Bd</t>
  </si>
  <si>
    <t>LeicesterGN2Bd</t>
  </si>
  <si>
    <t>LeicesterGN3Bd</t>
  </si>
  <si>
    <t>LeicesterGN4Bd</t>
  </si>
  <si>
    <t>LeicesterGN5Bd</t>
  </si>
  <si>
    <t>LeicesterGN6Bd</t>
  </si>
  <si>
    <t>LeicesterGNBdst</t>
  </si>
  <si>
    <t>LeicesterGNNSC</t>
  </si>
  <si>
    <t>LeicesterGNTotal</t>
  </si>
  <si>
    <t>LeicesterGNSC</t>
  </si>
  <si>
    <t>LeicesterGNAGGSC</t>
  </si>
  <si>
    <t>LeicesterGNAGGNSC</t>
  </si>
  <si>
    <t>LeicesterLCHO</t>
  </si>
  <si>
    <t>LeicesterSHHOP1Bd</t>
  </si>
  <si>
    <t>LeicesterSHHOP2Bd</t>
  </si>
  <si>
    <t>LeicesterSHHOP3Bd</t>
  </si>
  <si>
    <t>LeicesterSHHOP4Bd</t>
  </si>
  <si>
    <t>LeicesterSHHOPBdst</t>
  </si>
  <si>
    <t>LeicesterSHHOPNSC</t>
  </si>
  <si>
    <t>LeicesterSHHOPTotal</t>
  </si>
  <si>
    <t>LeicesterSHHOPSC</t>
  </si>
  <si>
    <t>LeicesterSHHOPAGGNA</t>
  </si>
  <si>
    <t>E06000017</t>
  </si>
  <si>
    <t>Rutland</t>
  </si>
  <si>
    <t>RutlandARGN1Bd</t>
  </si>
  <si>
    <t>RutlandARGN2Bd</t>
  </si>
  <si>
    <t>RutlandARGN3Bd</t>
  </si>
  <si>
    <t>RutlandARGN4Bd</t>
  </si>
  <si>
    <t>RutlandARGN5Bd</t>
  </si>
  <si>
    <t>RutlandARGN6Bd</t>
  </si>
  <si>
    <t>RutlandARGNBdst</t>
  </si>
  <si>
    <t>RutlandARGNNSC</t>
  </si>
  <si>
    <t>RutlandARGNTotal</t>
  </si>
  <si>
    <t>RutlandARGNSC</t>
  </si>
  <si>
    <t>RutlandGN1Bd</t>
  </si>
  <si>
    <t>RutlandGN2Bd</t>
  </si>
  <si>
    <t>RutlandGN3Bd</t>
  </si>
  <si>
    <t>RutlandGN4Bd</t>
  </si>
  <si>
    <t>RutlandGN5Bd</t>
  </si>
  <si>
    <t>RutlandGN6Bd</t>
  </si>
  <si>
    <t>RutlandGNBdst</t>
  </si>
  <si>
    <t>RutlandGNNSC</t>
  </si>
  <si>
    <t>RutlandGNTotal</t>
  </si>
  <si>
    <t>RutlandGNSC</t>
  </si>
  <si>
    <t>RutlandGNAGGSC</t>
  </si>
  <si>
    <t>RutlandGNAGGNSC</t>
  </si>
  <si>
    <t>RutlandLCHO</t>
  </si>
  <si>
    <t>RutlandSHHOP1Bd</t>
  </si>
  <si>
    <t>RutlandSHHOP2Bd</t>
  </si>
  <si>
    <t>RutlandSHHOP3Bd</t>
  </si>
  <si>
    <t>RutlandSHHOP4Bd</t>
  </si>
  <si>
    <t>RutlandSHHOPBdst</t>
  </si>
  <si>
    <t>RutlandSHHOPNSC</t>
  </si>
  <si>
    <t>RutlandSHHOPTotal</t>
  </si>
  <si>
    <t>RutlandSHHOPSC</t>
  </si>
  <si>
    <t>RutlandSHHOPAGGNA</t>
  </si>
  <si>
    <t>E06000018</t>
  </si>
  <si>
    <t>Nottingham</t>
  </si>
  <si>
    <t>NottinghamARGN1Bd</t>
  </si>
  <si>
    <t>NottinghamARGN2Bd</t>
  </si>
  <si>
    <t>NottinghamARGN3Bd</t>
  </si>
  <si>
    <t>NottinghamARGN4Bd</t>
  </si>
  <si>
    <t>NottinghamARGN5Bd</t>
  </si>
  <si>
    <t>NottinghamARGN6Bd</t>
  </si>
  <si>
    <t>NottinghamARGNBdst</t>
  </si>
  <si>
    <t>NottinghamARGNNSC</t>
  </si>
  <si>
    <t>NottinghamARGNTotal</t>
  </si>
  <si>
    <t>NottinghamARGNSC</t>
  </si>
  <si>
    <t>NottinghamARSHHOP1Bd</t>
  </si>
  <si>
    <t>NottinghamARSHHOP2Bd</t>
  </si>
  <si>
    <t>NottinghamARSHHOP3Bd</t>
  </si>
  <si>
    <t>NottinghamARSHHOP4Bd</t>
  </si>
  <si>
    <t>NottinghamARSHHOPBdst</t>
  </si>
  <si>
    <t>NottinghamARSHHOPNSC</t>
  </si>
  <si>
    <t>NottinghamARSHHOPSC</t>
  </si>
  <si>
    <t>NottinghamARSHHOPTotal</t>
  </si>
  <si>
    <t>NottinghamGN1Bd</t>
  </si>
  <si>
    <t>NottinghamGN2Bd</t>
  </si>
  <si>
    <t>NottinghamGN3Bd</t>
  </si>
  <si>
    <t>NottinghamGN4Bd</t>
  </si>
  <si>
    <t>NottinghamGN5Bd</t>
  </si>
  <si>
    <t>NottinghamGN6Bd</t>
  </si>
  <si>
    <t>NottinghamGNBdst</t>
  </si>
  <si>
    <t>NottinghamGNNSC</t>
  </si>
  <si>
    <t>NottinghamGNTotal</t>
  </si>
  <si>
    <t>NottinghamGNSC</t>
  </si>
  <si>
    <t>NottinghamGNAGGSC</t>
  </si>
  <si>
    <t>NottinghamGNAGGNSC</t>
  </si>
  <si>
    <t>NottinghamLCHO</t>
  </si>
  <si>
    <t>NottinghamSHHOP1Bd</t>
  </si>
  <si>
    <t>NottinghamSHHOP2Bd</t>
  </si>
  <si>
    <t>NottinghamSHHOP3Bd</t>
  </si>
  <si>
    <t>NottinghamSHHOP4Bd</t>
  </si>
  <si>
    <t>NottinghamSHHOPBdst</t>
  </si>
  <si>
    <t>NottinghamSHHOPNSC</t>
  </si>
  <si>
    <t>NottinghamSHHOPTotal</t>
  </si>
  <si>
    <t>NottinghamSHHOPSC</t>
  </si>
  <si>
    <t>NottinghamSHHOPAGGNA</t>
  </si>
  <si>
    <t>E06000019</t>
  </si>
  <si>
    <t>Herefordshire, County of</t>
  </si>
  <si>
    <t>West Midlands</t>
  </si>
  <si>
    <t>Herefordshire, County ofARGN1Bd</t>
  </si>
  <si>
    <t>Herefordshire, County ofARGN2Bd</t>
  </si>
  <si>
    <t>Herefordshire, County ofARGN3Bd</t>
  </si>
  <si>
    <t>Herefordshire, County ofARGN4Bd</t>
  </si>
  <si>
    <t>Herefordshire, County ofARGN5Bd</t>
  </si>
  <si>
    <t>Herefordshire, County ofARGN6Bd</t>
  </si>
  <si>
    <t>Herefordshire, County ofARGNBdst</t>
  </si>
  <si>
    <t>Herefordshire, County ofARGNNSC</t>
  </si>
  <si>
    <t>Herefordshire, County ofARGNTotal</t>
  </si>
  <si>
    <t>Herefordshire, County ofARGNSC</t>
  </si>
  <si>
    <t>Herefordshire, County ofARSHHOP1Bd</t>
  </si>
  <si>
    <t>Herefordshire, County ofARSHHOP2Bd</t>
  </si>
  <si>
    <t>Herefordshire, County ofARSHHOP3Bd</t>
  </si>
  <si>
    <t>Herefordshire, County ofARSHHOP4Bd</t>
  </si>
  <si>
    <t>Herefordshire, County ofARSHHOPBdst</t>
  </si>
  <si>
    <t>Herefordshire, County ofARSHHOPNSC</t>
  </si>
  <si>
    <t>Herefordshire, County ofARSHHOPSC</t>
  </si>
  <si>
    <t>Herefordshire, County ofARSHHOPTotal</t>
  </si>
  <si>
    <t>Herefordshire, County ofGN1Bd</t>
  </si>
  <si>
    <t>Herefordshire, County ofGN2Bd</t>
  </si>
  <si>
    <t>Herefordshire, County ofGN3Bd</t>
  </si>
  <si>
    <t>Herefordshire, County ofGN4Bd</t>
  </si>
  <si>
    <t>Herefordshire, County ofGN5Bd</t>
  </si>
  <si>
    <t>Herefordshire, County ofGN6Bd</t>
  </si>
  <si>
    <t>Herefordshire, County ofGNBdst</t>
  </si>
  <si>
    <t>Herefordshire, County ofGNNSC</t>
  </si>
  <si>
    <t>Herefordshire, County ofGNTotal</t>
  </si>
  <si>
    <t>Herefordshire, County ofGNSC</t>
  </si>
  <si>
    <t>Herefordshire, County ofGNAGGSC</t>
  </si>
  <si>
    <t>Herefordshire, County ofGNAGGNSC</t>
  </si>
  <si>
    <t>Herefordshire, County ofLCHO</t>
  </si>
  <si>
    <t>Herefordshire, County ofSHHOP1Bd</t>
  </si>
  <si>
    <t>Herefordshire, County ofSHHOP2Bd</t>
  </si>
  <si>
    <t>Herefordshire, County ofSHHOP3Bd</t>
  </si>
  <si>
    <t>Herefordshire, County ofSHHOP4Bd</t>
  </si>
  <si>
    <t>Herefordshire, County ofSHHOPBdst</t>
  </si>
  <si>
    <t>Herefordshire, County ofSHHOPNSC</t>
  </si>
  <si>
    <t>Herefordshire, County ofSHHOPTotal</t>
  </si>
  <si>
    <t>Herefordshire, County ofSHHOPSC</t>
  </si>
  <si>
    <t>Herefordshire, County ofSHHOPAGGNA</t>
  </si>
  <si>
    <t>E06000020</t>
  </si>
  <si>
    <t>Telford and WrekinARGN1Bd</t>
  </si>
  <si>
    <t>Telford and WrekinARGN2Bd</t>
  </si>
  <si>
    <t>Telford and WrekinARGN3Bd</t>
  </si>
  <si>
    <t>Telford and WrekinARGN4Bd</t>
  </si>
  <si>
    <t>Telford and WrekinARGN5Bd</t>
  </si>
  <si>
    <t>Telford and WrekinARGN6Bd</t>
  </si>
  <si>
    <t>Telford and WrekinARGNBdst</t>
  </si>
  <si>
    <t>Telford and WrekinARGNNSC</t>
  </si>
  <si>
    <t>Telford and WrekinARGNTotal</t>
  </si>
  <si>
    <t>Telford and WrekinARGNSC</t>
  </si>
  <si>
    <t>Telford and WrekinARSHHOP1Bd</t>
  </si>
  <si>
    <t>Telford and WrekinARSHHOP2Bd</t>
  </si>
  <si>
    <t>Telford and WrekinARSHHOP3Bd</t>
  </si>
  <si>
    <t>Telford and WrekinARSHHOP4Bd</t>
  </si>
  <si>
    <t>Telford and WrekinARSHHOPBdst</t>
  </si>
  <si>
    <t>Telford and WrekinARSHHOPNSC</t>
  </si>
  <si>
    <t>Telford and WrekinARSHHOPSC</t>
  </si>
  <si>
    <t>Telford and WrekinARSHHOPTotal</t>
  </si>
  <si>
    <t>Telford and WrekinGN1Bd</t>
  </si>
  <si>
    <t>Telford and WrekinGN2Bd</t>
  </si>
  <si>
    <t>Telford and WrekinGN3Bd</t>
  </si>
  <si>
    <t>Telford and WrekinGN4Bd</t>
  </si>
  <si>
    <t>Telford and WrekinGN5Bd</t>
  </si>
  <si>
    <t>Telford and WrekinGN6Bd</t>
  </si>
  <si>
    <t>Telford and WrekinGNBdst</t>
  </si>
  <si>
    <t>Telford and WrekinGNNSC</t>
  </si>
  <si>
    <t>Telford and WrekinGNTotal</t>
  </si>
  <si>
    <t>Telford and WrekinGNSC</t>
  </si>
  <si>
    <t>Telford and WrekinGNAGGSC</t>
  </si>
  <si>
    <t>Telford and WrekinGNAGGNSC</t>
  </si>
  <si>
    <t>Telford and WrekinLCHO</t>
  </si>
  <si>
    <t>Telford and WrekinSHHOP1Bd</t>
  </si>
  <si>
    <t>Telford and WrekinSHHOP2Bd</t>
  </si>
  <si>
    <t>Telford and WrekinSHHOP3Bd</t>
  </si>
  <si>
    <t>Telford and WrekinSHHOP4Bd</t>
  </si>
  <si>
    <t>Telford and WrekinSHHOPBdst</t>
  </si>
  <si>
    <t>Telford and WrekinSHHOPNSC</t>
  </si>
  <si>
    <t>Telford and WrekinSHHOPTotal</t>
  </si>
  <si>
    <t>Telford and WrekinSHHOPSC</t>
  </si>
  <si>
    <t>Telford and WrekinSHHOPAGGNA</t>
  </si>
  <si>
    <t>E06000021</t>
  </si>
  <si>
    <t>Stoke-on-TrentARGN1Bd</t>
  </si>
  <si>
    <t>Stoke-on-TrentARGN2Bd</t>
  </si>
  <si>
    <t>Stoke-on-TrentARGN3Bd</t>
  </si>
  <si>
    <t>Stoke-on-TrentARGN4Bd</t>
  </si>
  <si>
    <t>Stoke-on-TrentARGN5Bd</t>
  </si>
  <si>
    <t>Stoke-on-TrentARGN6Bd</t>
  </si>
  <si>
    <t>Stoke-on-TrentARGNBdst</t>
  </si>
  <si>
    <t>Stoke-on-TrentARGNNSC</t>
  </si>
  <si>
    <t>Stoke-on-TrentARGNTotal</t>
  </si>
  <si>
    <t>Stoke-on-TrentARGNSC</t>
  </si>
  <si>
    <t>Stoke-on-TrentARSHHOP1Bd</t>
  </si>
  <si>
    <t>Stoke-on-TrentARSHHOP2Bd</t>
  </si>
  <si>
    <t>Stoke-on-TrentARSHHOP3Bd</t>
  </si>
  <si>
    <t>Stoke-on-TrentARSHHOP4Bd</t>
  </si>
  <si>
    <t>Stoke-on-TrentARSHHOPBdst</t>
  </si>
  <si>
    <t>Stoke-on-TrentARSHHOPNSC</t>
  </si>
  <si>
    <t>Stoke-on-TrentARSHHOPSC</t>
  </si>
  <si>
    <t>Stoke-on-TrentARSHHOPTotal</t>
  </si>
  <si>
    <t>Stoke-on-TrentGN1Bd</t>
  </si>
  <si>
    <t>Stoke-on-TrentGN2Bd</t>
  </si>
  <si>
    <t>Stoke-on-TrentGN3Bd</t>
  </si>
  <si>
    <t>Stoke-on-TrentGN4Bd</t>
  </si>
  <si>
    <t>Stoke-on-TrentGN5Bd</t>
  </si>
  <si>
    <t>Stoke-on-TrentGN6Bd</t>
  </si>
  <si>
    <t>Stoke-on-TrentGNBdst</t>
  </si>
  <si>
    <t>Stoke-on-TrentGNNSC</t>
  </si>
  <si>
    <t>Stoke-on-TrentGNTotal</t>
  </si>
  <si>
    <t>Stoke-on-TrentGNSC</t>
  </si>
  <si>
    <t>Stoke-on-TrentGNAGGSC</t>
  </si>
  <si>
    <t>Stoke-on-TrentGNAGGNSC</t>
  </si>
  <si>
    <t>Stoke-on-TrentLCHO</t>
  </si>
  <si>
    <t>Stoke-on-TrentSHHOP1Bd</t>
  </si>
  <si>
    <t>Stoke-on-TrentSHHOP2Bd</t>
  </si>
  <si>
    <t>Stoke-on-TrentSHHOP3Bd</t>
  </si>
  <si>
    <t>Stoke-on-TrentSHHOP4Bd</t>
  </si>
  <si>
    <t>Stoke-on-TrentSHHOPBdst</t>
  </si>
  <si>
    <t>Stoke-on-TrentSHHOPNSC</t>
  </si>
  <si>
    <t>Stoke-on-TrentSHHOPTotal</t>
  </si>
  <si>
    <t>Stoke-on-TrentSHHOPSC</t>
  </si>
  <si>
    <t>Stoke-on-TrentSHHOPAGGNA</t>
  </si>
  <si>
    <t>E06000022</t>
  </si>
  <si>
    <t>Bath and North East Somerset</t>
  </si>
  <si>
    <t>South West</t>
  </si>
  <si>
    <t>Bath and North East SomersetARGN1Bd</t>
  </si>
  <si>
    <t>Bath and North East SomersetARGN2Bd</t>
  </si>
  <si>
    <t>Bath and North East SomersetARGN3Bd</t>
  </si>
  <si>
    <t>Bath and North East SomersetARGN4Bd</t>
  </si>
  <si>
    <t>Bath and North East SomersetARGN5Bd</t>
  </si>
  <si>
    <t>Bath and North East SomersetARGN6Bd</t>
  </si>
  <si>
    <t>Bath and North East SomersetARGNBdst</t>
  </si>
  <si>
    <t>Bath and North East SomersetARGNNSC</t>
  </si>
  <si>
    <t>Bath and North East SomersetARGNTotal</t>
  </si>
  <si>
    <t>Bath and North East SomersetARGNSC</t>
  </si>
  <si>
    <t>Bath and North East SomersetARSHHOP1Bd</t>
  </si>
  <si>
    <t>Bath and North East SomersetARSHHOP2Bd</t>
  </si>
  <si>
    <t>Bath and North East SomersetARSHHOP3Bd</t>
  </si>
  <si>
    <t>Bath and North East SomersetARSHHOP4Bd</t>
  </si>
  <si>
    <t>Bath and North East SomersetARSHHOPBdst</t>
  </si>
  <si>
    <t>Bath and North East SomersetARSHHOPNSC</t>
  </si>
  <si>
    <t>Bath and North East SomersetARSHHOPSC</t>
  </si>
  <si>
    <t>Bath and North East SomersetARSHHOPTotal</t>
  </si>
  <si>
    <t>Bath and North East SomersetGN1Bd</t>
  </si>
  <si>
    <t>Bath and North East SomersetGN2Bd</t>
  </si>
  <si>
    <t>Bath and North East SomersetGN3Bd</t>
  </si>
  <si>
    <t>Bath and North East SomersetGN4Bd</t>
  </si>
  <si>
    <t>Bath and North East SomersetGN5Bd</t>
  </si>
  <si>
    <t>Bath and North East SomersetGN6Bd</t>
  </si>
  <si>
    <t>Bath and North East SomersetGNBdst</t>
  </si>
  <si>
    <t>Bath and North East SomersetGNNSC</t>
  </si>
  <si>
    <t>Bath and North East SomersetGNTotal</t>
  </si>
  <si>
    <t>Bath and North East SomersetGNSC</t>
  </si>
  <si>
    <t>Bath and North East SomersetGNAGGSC</t>
  </si>
  <si>
    <t>Bath and North East SomersetGNAGGNSC</t>
  </si>
  <si>
    <t>Bath and North East SomersetLCHO</t>
  </si>
  <si>
    <t>Bath and North East SomersetSHHOP1Bd</t>
  </si>
  <si>
    <t>Bath and North East SomersetSHHOP2Bd</t>
  </si>
  <si>
    <t>Bath and North East SomersetSHHOP3Bd</t>
  </si>
  <si>
    <t>Bath and North East SomersetSHHOP4Bd</t>
  </si>
  <si>
    <t>Bath and North East SomersetSHHOPBdst</t>
  </si>
  <si>
    <t>Bath and North East SomersetSHHOPNSC</t>
  </si>
  <si>
    <t>Bath and North East SomersetSHHOPTotal</t>
  </si>
  <si>
    <t>Bath and North East SomersetSHHOPSC</t>
  </si>
  <si>
    <t>Bath and North East SomersetSHHOPAGGNA</t>
  </si>
  <si>
    <t>E06000023</t>
  </si>
  <si>
    <t>Bristol, City of</t>
  </si>
  <si>
    <t>Bristol, City ofARGN1Bd</t>
  </si>
  <si>
    <t>Bristol, City ofARGN2Bd</t>
  </si>
  <si>
    <t>Bristol, City ofARGN3Bd</t>
  </si>
  <si>
    <t>Bristol, City ofARGN4Bd</t>
  </si>
  <si>
    <t>Bristol, City ofARGN5Bd</t>
  </si>
  <si>
    <t>Bristol, City ofARGN6Bd</t>
  </si>
  <si>
    <t>Bristol, City ofARGNBdst</t>
  </si>
  <si>
    <t>Bristol, City ofARGNNSC</t>
  </si>
  <si>
    <t>Bristol, City ofARGNTotal</t>
  </si>
  <si>
    <t>Bristol, City ofARGNSC</t>
  </si>
  <si>
    <t>Bristol, City ofARSHHOP1Bd</t>
  </si>
  <si>
    <t>Bristol, City ofARSHHOP2Bd</t>
  </si>
  <si>
    <t>Bristol, City ofARSHHOP3Bd</t>
  </si>
  <si>
    <t>Bristol, City ofARSHHOP4Bd</t>
  </si>
  <si>
    <t>Bristol, City ofARSHHOPBdst</t>
  </si>
  <si>
    <t>Bristol, City ofARSHHOPNSC</t>
  </si>
  <si>
    <t>Bristol, City ofARSHHOPSC</t>
  </si>
  <si>
    <t>Bristol, City ofARSHHOPTotal</t>
  </si>
  <si>
    <t>Bristol, City ofGN1Bd</t>
  </si>
  <si>
    <t>Bristol, City ofGN2Bd</t>
  </si>
  <si>
    <t>Bristol, City ofGN3Bd</t>
  </si>
  <si>
    <t>Bristol, City ofGN4Bd</t>
  </si>
  <si>
    <t>Bristol, City ofGN5Bd</t>
  </si>
  <si>
    <t>Bristol, City ofGN6Bd</t>
  </si>
  <si>
    <t>Bristol, City ofGNBdst</t>
  </si>
  <si>
    <t>Bristol, City ofGNNSC</t>
  </si>
  <si>
    <t>Bristol, City ofGNTotal</t>
  </si>
  <si>
    <t>Bristol, City ofGNSC</t>
  </si>
  <si>
    <t>Bristol, City ofGNAGGSC</t>
  </si>
  <si>
    <t>Bristol, City ofGNAGGNSC</t>
  </si>
  <si>
    <t>Bristol, City ofLCHO</t>
  </si>
  <si>
    <t>Bristol, City ofSHHOP1Bd</t>
  </si>
  <si>
    <t>Bristol, City ofSHHOP2Bd</t>
  </si>
  <si>
    <t>Bristol, City ofSHHOP3Bd</t>
  </si>
  <si>
    <t>Bristol, City ofSHHOP4Bd</t>
  </si>
  <si>
    <t>Bristol, City ofSHHOPBdst</t>
  </si>
  <si>
    <t>Bristol, City ofSHHOPNSC</t>
  </si>
  <si>
    <t>Bristol, City ofSHHOPTotal</t>
  </si>
  <si>
    <t>Bristol, City ofSHHOPSC</t>
  </si>
  <si>
    <t>Bristol, City ofSHHOPAGGNA</t>
  </si>
  <si>
    <t>E06000024</t>
  </si>
  <si>
    <t>North Somerset</t>
  </si>
  <si>
    <t>North SomersetARGN1Bd</t>
  </si>
  <si>
    <t>North SomersetARGN2Bd</t>
  </si>
  <si>
    <t>North SomersetARGN3Bd</t>
  </si>
  <si>
    <t>North SomersetARGN4Bd</t>
  </si>
  <si>
    <t>North SomersetARGN5Bd</t>
  </si>
  <si>
    <t>North SomersetARGN6Bd</t>
  </si>
  <si>
    <t>North SomersetARGNBdst</t>
  </si>
  <si>
    <t>North SomersetARGNNSC</t>
  </si>
  <si>
    <t>North SomersetARGNTotal</t>
  </si>
  <si>
    <t>North SomersetARGNSC</t>
  </si>
  <si>
    <t>North SomersetARSHHOP1Bd</t>
  </si>
  <si>
    <t>North SomersetARSHHOP2Bd</t>
  </si>
  <si>
    <t>North SomersetARSHHOP3Bd</t>
  </si>
  <si>
    <t>North SomersetARSHHOP4Bd</t>
  </si>
  <si>
    <t>North SomersetARSHHOPBdst</t>
  </si>
  <si>
    <t>North SomersetARSHHOPNSC</t>
  </si>
  <si>
    <t>North SomersetARSHHOPSC</t>
  </si>
  <si>
    <t>North SomersetARSHHOPTotal</t>
  </si>
  <si>
    <t>North SomersetGN1Bd</t>
  </si>
  <si>
    <t>North SomersetGN2Bd</t>
  </si>
  <si>
    <t>North SomersetGN3Bd</t>
  </si>
  <si>
    <t>North SomersetGN4Bd</t>
  </si>
  <si>
    <t>North SomersetGN5Bd</t>
  </si>
  <si>
    <t>North SomersetGN6Bd</t>
  </si>
  <si>
    <t>North SomersetGNBdst</t>
  </si>
  <si>
    <t>North SomersetGNNSC</t>
  </si>
  <si>
    <t>North SomersetGNTotal</t>
  </si>
  <si>
    <t>North SomersetGNSC</t>
  </si>
  <si>
    <t>North SomersetGNAGGSC</t>
  </si>
  <si>
    <t>North SomersetGNAGGNSC</t>
  </si>
  <si>
    <t>North SomersetLCHO</t>
  </si>
  <si>
    <t>North SomersetSHHOP1Bd</t>
  </si>
  <si>
    <t>North SomersetSHHOP2Bd</t>
  </si>
  <si>
    <t>North SomersetSHHOP3Bd</t>
  </si>
  <si>
    <t>North SomersetSHHOP4Bd</t>
  </si>
  <si>
    <t>North SomersetSHHOPBdst</t>
  </si>
  <si>
    <t>North SomersetSHHOPNSC</t>
  </si>
  <si>
    <t>North SomersetSHHOPTotal</t>
  </si>
  <si>
    <t>North SomersetSHHOPSC</t>
  </si>
  <si>
    <t>North SomersetSHHOPAGGNA</t>
  </si>
  <si>
    <t>E06000025</t>
  </si>
  <si>
    <t>South Gloucestershire</t>
  </si>
  <si>
    <t>South GloucestershireARGN1Bd</t>
  </si>
  <si>
    <t>South GloucestershireARGN2Bd</t>
  </si>
  <si>
    <t>South GloucestershireARGN3Bd</t>
  </si>
  <si>
    <t>South GloucestershireARGN4Bd</t>
  </si>
  <si>
    <t>South GloucestershireARGN5Bd</t>
  </si>
  <si>
    <t>South GloucestershireARGN6Bd</t>
  </si>
  <si>
    <t>South GloucestershireARGNBdst</t>
  </si>
  <si>
    <t>South GloucestershireARGNNSC</t>
  </si>
  <si>
    <t>South GloucestershireARGNTotal</t>
  </si>
  <si>
    <t>South GloucestershireARGNSC</t>
  </si>
  <si>
    <t>South GloucestershireARSHHOP1Bd</t>
  </si>
  <si>
    <t>South GloucestershireARSHHOP2Bd</t>
  </si>
  <si>
    <t>South GloucestershireARSHHOP3Bd</t>
  </si>
  <si>
    <t>South GloucestershireARSHHOP4Bd</t>
  </si>
  <si>
    <t>South GloucestershireARSHHOPBdst</t>
  </si>
  <si>
    <t>South GloucestershireARSHHOPNSC</t>
  </si>
  <si>
    <t>South GloucestershireARSHHOPSC</t>
  </si>
  <si>
    <t>South GloucestershireARSHHOPTotal</t>
  </si>
  <si>
    <t>South GloucestershireGN1Bd</t>
  </si>
  <si>
    <t>South GloucestershireGN2Bd</t>
  </si>
  <si>
    <t>South GloucestershireGN3Bd</t>
  </si>
  <si>
    <t>South GloucestershireGN4Bd</t>
  </si>
  <si>
    <t>South GloucestershireGN5Bd</t>
  </si>
  <si>
    <t>South GloucestershireGN6Bd</t>
  </si>
  <si>
    <t>South GloucestershireGNBdst</t>
  </si>
  <si>
    <t>South GloucestershireGNNSC</t>
  </si>
  <si>
    <t>South GloucestershireGNTotal</t>
  </si>
  <si>
    <t>South GloucestershireGNSC</t>
  </si>
  <si>
    <t>South GloucestershireGNAGGSC</t>
  </si>
  <si>
    <t>South GloucestershireGNAGGNSC</t>
  </si>
  <si>
    <t>South GloucestershireLCHO</t>
  </si>
  <si>
    <t>South GloucestershireSHHOP1Bd</t>
  </si>
  <si>
    <t>South GloucestershireSHHOP2Bd</t>
  </si>
  <si>
    <t>South GloucestershireSHHOP3Bd</t>
  </si>
  <si>
    <t>South GloucestershireSHHOP4Bd</t>
  </si>
  <si>
    <t>South GloucestershireSHHOPBdst</t>
  </si>
  <si>
    <t>South GloucestershireSHHOPNSC</t>
  </si>
  <si>
    <t>South GloucestershireSHHOPTotal</t>
  </si>
  <si>
    <t>South GloucestershireSHHOPSC</t>
  </si>
  <si>
    <t>South GloucestershireSHHOPAGGNA</t>
  </si>
  <si>
    <t>E06000026</t>
  </si>
  <si>
    <t>Plymouth</t>
  </si>
  <si>
    <t>PlymouthARGN1Bd</t>
  </si>
  <si>
    <t>PlymouthARGN2Bd</t>
  </si>
  <si>
    <t>PlymouthARGN3Bd</t>
  </si>
  <si>
    <t>PlymouthARGN4Bd</t>
  </si>
  <si>
    <t>PlymouthARGN5Bd</t>
  </si>
  <si>
    <t>PlymouthARGN6Bd</t>
  </si>
  <si>
    <t>PlymouthARGNBdst</t>
  </si>
  <si>
    <t>PlymouthARGNNSC</t>
  </si>
  <si>
    <t>PlymouthARGNTotal</t>
  </si>
  <si>
    <t>PlymouthARGNSC</t>
  </si>
  <si>
    <t>PlymouthARSHHOP1Bd</t>
  </si>
  <si>
    <t>PlymouthARSHHOP2Bd</t>
  </si>
  <si>
    <t>PlymouthARSHHOP3Bd</t>
  </si>
  <si>
    <t>PlymouthARSHHOP4Bd</t>
  </si>
  <si>
    <t>PlymouthARSHHOPBdst</t>
  </si>
  <si>
    <t>PlymouthARSHHOPNSC</t>
  </si>
  <si>
    <t>PlymouthARSHHOPSC</t>
  </si>
  <si>
    <t>PlymouthARSHHOPTotal</t>
  </si>
  <si>
    <t>PlymouthGN1Bd</t>
  </si>
  <si>
    <t>PlymouthGN2Bd</t>
  </si>
  <si>
    <t>PlymouthGN3Bd</t>
  </si>
  <si>
    <t>PlymouthGN4Bd</t>
  </si>
  <si>
    <t>PlymouthGN5Bd</t>
  </si>
  <si>
    <t>PlymouthGN6Bd</t>
  </si>
  <si>
    <t>PlymouthGNBdst</t>
  </si>
  <si>
    <t>PlymouthGNNSC</t>
  </si>
  <si>
    <t>PlymouthGNTotal</t>
  </si>
  <si>
    <t>PlymouthGNSC</t>
  </si>
  <si>
    <t>PlymouthGNAGGSC</t>
  </si>
  <si>
    <t>PlymouthGNAGGNSC</t>
  </si>
  <si>
    <t>PlymouthLCHO</t>
  </si>
  <si>
    <t>PlymouthSHHOP1Bd</t>
  </si>
  <si>
    <t>PlymouthSHHOP2Bd</t>
  </si>
  <si>
    <t>PlymouthSHHOP3Bd</t>
  </si>
  <si>
    <t>PlymouthSHHOP4Bd</t>
  </si>
  <si>
    <t>PlymouthSHHOPBdst</t>
  </si>
  <si>
    <t>PlymouthSHHOPNSC</t>
  </si>
  <si>
    <t>PlymouthSHHOPTotal</t>
  </si>
  <si>
    <t>PlymouthSHHOPSC</t>
  </si>
  <si>
    <t>PlymouthSHHOPAGGNA</t>
  </si>
  <si>
    <t>E06000027</t>
  </si>
  <si>
    <t>TorbayARGN1Bd</t>
  </si>
  <si>
    <t>TorbayARGN2Bd</t>
  </si>
  <si>
    <t>TorbayARGN3Bd</t>
  </si>
  <si>
    <t>TorbayARGN4Bd</t>
  </si>
  <si>
    <t>TorbayARGN5Bd</t>
  </si>
  <si>
    <t>TorbayARGN6Bd</t>
  </si>
  <si>
    <t>TorbayARGNBdst</t>
  </si>
  <si>
    <t>TorbayARGNNSC</t>
  </si>
  <si>
    <t>TorbayARGNTotal</t>
  </si>
  <si>
    <t>TorbayARGNSC</t>
  </si>
  <si>
    <t>TorbayARSHHOP1Bd</t>
  </si>
  <si>
    <t>TorbayARSHHOP2Bd</t>
  </si>
  <si>
    <t>TorbayARSHHOP3Bd</t>
  </si>
  <si>
    <t>TorbayARSHHOP4Bd</t>
  </si>
  <si>
    <t>TorbayARSHHOPBdst</t>
  </si>
  <si>
    <t>TorbayARSHHOPNSC</t>
  </si>
  <si>
    <t>TorbayARSHHOPSC</t>
  </si>
  <si>
    <t>TorbayARSHHOPTotal</t>
  </si>
  <si>
    <t>TorbayGN1Bd</t>
  </si>
  <si>
    <t>TorbayGN2Bd</t>
  </si>
  <si>
    <t>TorbayGN3Bd</t>
  </si>
  <si>
    <t>TorbayGN4Bd</t>
  </si>
  <si>
    <t>TorbayGN5Bd</t>
  </si>
  <si>
    <t>TorbayGN6Bd</t>
  </si>
  <si>
    <t>TorbayGNBdst</t>
  </si>
  <si>
    <t>TorbayGNNSC</t>
  </si>
  <si>
    <t>TorbayGNTotal</t>
  </si>
  <si>
    <t>TorbayGNSC</t>
  </si>
  <si>
    <t>TorbayGNAGGSC</t>
  </si>
  <si>
    <t>TorbayGNAGGNSC</t>
  </si>
  <si>
    <t>TorbayLCHO</t>
  </si>
  <si>
    <t>TorbaySHHOP1Bd</t>
  </si>
  <si>
    <t>TorbaySHHOP2Bd</t>
  </si>
  <si>
    <t>TorbaySHHOP3Bd</t>
  </si>
  <si>
    <t>TorbaySHHOP4Bd</t>
  </si>
  <si>
    <t>TorbaySHHOPBdst</t>
  </si>
  <si>
    <t>TorbaySHHOPNSC</t>
  </si>
  <si>
    <t>TorbaySHHOPTotal</t>
  </si>
  <si>
    <t>TorbaySHHOPSC</t>
  </si>
  <si>
    <t>TorbaySHHOPAGGNA</t>
  </si>
  <si>
    <t>E06000030</t>
  </si>
  <si>
    <t>SwindonARGN1Bd</t>
  </si>
  <si>
    <t>SwindonARGN2Bd</t>
  </si>
  <si>
    <t>SwindonARGN3Bd</t>
  </si>
  <si>
    <t>SwindonARGN4Bd</t>
  </si>
  <si>
    <t>SwindonARGN5Bd</t>
  </si>
  <si>
    <t>SwindonARGN6Bd</t>
  </si>
  <si>
    <t>SwindonARGNBdst</t>
  </si>
  <si>
    <t>SwindonARGNNSC</t>
  </si>
  <si>
    <t>SwindonARGNTotal</t>
  </si>
  <si>
    <t>SwindonARGNSC</t>
  </si>
  <si>
    <t>SwindonARSHHOP1Bd</t>
  </si>
  <si>
    <t>SwindonARSHHOP2Bd</t>
  </si>
  <si>
    <t>SwindonARSHHOP3Bd</t>
  </si>
  <si>
    <t>SwindonARSHHOP4Bd</t>
  </si>
  <si>
    <t>SwindonARSHHOPBdst</t>
  </si>
  <si>
    <t>SwindonARSHHOPNSC</t>
  </si>
  <si>
    <t>SwindonARSHHOPSC</t>
  </si>
  <si>
    <t>SwindonARSHHOPTotal</t>
  </si>
  <si>
    <t>SwindonGN1Bd</t>
  </si>
  <si>
    <t>SwindonGN2Bd</t>
  </si>
  <si>
    <t>SwindonGN3Bd</t>
  </si>
  <si>
    <t>SwindonGN4Bd</t>
  </si>
  <si>
    <t>SwindonGN5Bd</t>
  </si>
  <si>
    <t>SwindonGN6Bd</t>
  </si>
  <si>
    <t>SwindonGNBdst</t>
  </si>
  <si>
    <t>SwindonGNNSC</t>
  </si>
  <si>
    <t>SwindonGNTotal</t>
  </si>
  <si>
    <t>SwindonGNSC</t>
  </si>
  <si>
    <t>SwindonGNAGGSC</t>
  </si>
  <si>
    <t>SwindonGNAGGNSC</t>
  </si>
  <si>
    <t>SwindonLCHO</t>
  </si>
  <si>
    <t>SwindonSHHOP1Bd</t>
  </si>
  <si>
    <t>SwindonSHHOP2Bd</t>
  </si>
  <si>
    <t>SwindonSHHOP3Bd</t>
  </si>
  <si>
    <t>SwindonSHHOP4Bd</t>
  </si>
  <si>
    <t>SwindonSHHOPBdst</t>
  </si>
  <si>
    <t>SwindonSHHOPNSC</t>
  </si>
  <si>
    <t>SwindonSHHOPTotal</t>
  </si>
  <si>
    <t>SwindonSHHOPSC</t>
  </si>
  <si>
    <t>SwindonSHHOPAGGNA</t>
  </si>
  <si>
    <t>E06000031</t>
  </si>
  <si>
    <t>Peterborough</t>
  </si>
  <si>
    <t>East of England</t>
  </si>
  <si>
    <t>PeterboroughARGN1Bd</t>
  </si>
  <si>
    <t>PeterboroughARGN2Bd</t>
  </si>
  <si>
    <t>PeterboroughARGN3Bd</t>
  </si>
  <si>
    <t>PeterboroughARGN4Bd</t>
  </si>
  <si>
    <t>PeterboroughARGN5Bd</t>
  </si>
  <si>
    <t>PeterboroughARGN6Bd</t>
  </si>
  <si>
    <t>PeterboroughARGNBdst</t>
  </si>
  <si>
    <t>PeterboroughARGNNSC</t>
  </si>
  <si>
    <t>PeterboroughARGNTotal</t>
  </si>
  <si>
    <t>PeterboroughARGNSC</t>
  </si>
  <si>
    <t>PeterboroughARSHHOP1Bd</t>
  </si>
  <si>
    <t>PeterboroughARSHHOP2Bd</t>
  </si>
  <si>
    <t>PeterboroughARSHHOP3Bd</t>
  </si>
  <si>
    <t>PeterboroughARSHHOP4Bd</t>
  </si>
  <si>
    <t>PeterboroughARSHHOPBdst</t>
  </si>
  <si>
    <t>PeterboroughARSHHOPNSC</t>
  </si>
  <si>
    <t>PeterboroughARSHHOPSC</t>
  </si>
  <si>
    <t>PeterboroughARSHHOPTotal</t>
  </si>
  <si>
    <t>PeterboroughGN1Bd</t>
  </si>
  <si>
    <t>PeterboroughGN2Bd</t>
  </si>
  <si>
    <t>PeterboroughGN3Bd</t>
  </si>
  <si>
    <t>PeterboroughGN4Bd</t>
  </si>
  <si>
    <t>PeterboroughGN5Bd</t>
  </si>
  <si>
    <t>PeterboroughGN6Bd</t>
  </si>
  <si>
    <t>PeterboroughGNBdst</t>
  </si>
  <si>
    <t>PeterboroughGNNSC</t>
  </si>
  <si>
    <t>PeterboroughGNTotal</t>
  </si>
  <si>
    <t>PeterboroughGNSC</t>
  </si>
  <si>
    <t>PeterboroughGNAGGSC</t>
  </si>
  <si>
    <t>PeterboroughGNAGGNSC</t>
  </si>
  <si>
    <t>PeterboroughLCHO</t>
  </si>
  <si>
    <t>PeterboroughSHHOP1Bd</t>
  </si>
  <si>
    <t>PeterboroughSHHOP2Bd</t>
  </si>
  <si>
    <t>PeterboroughSHHOP3Bd</t>
  </si>
  <si>
    <t>PeterboroughSHHOP4Bd</t>
  </si>
  <si>
    <t>PeterboroughSHHOPBdst</t>
  </si>
  <si>
    <t>PeterboroughSHHOPNSC</t>
  </si>
  <si>
    <t>PeterboroughSHHOPTotal</t>
  </si>
  <si>
    <t>PeterboroughSHHOPSC</t>
  </si>
  <si>
    <t>PeterboroughSHHOPAGGNA</t>
  </si>
  <si>
    <t>E06000032</t>
  </si>
  <si>
    <t>Luton</t>
  </si>
  <si>
    <t>LutonARGN1Bd</t>
  </si>
  <si>
    <t>LutonARGN2Bd</t>
  </si>
  <si>
    <t>LutonARGN3Bd</t>
  </si>
  <si>
    <t>LutonARGN4Bd</t>
  </si>
  <si>
    <t>LutonARGN5Bd</t>
  </si>
  <si>
    <t>LutonARGN6Bd</t>
  </si>
  <si>
    <t>LutonARGNBdst</t>
  </si>
  <si>
    <t>LutonARGNNSC</t>
  </si>
  <si>
    <t>LutonARGNTotal</t>
  </si>
  <si>
    <t>LutonARGNSC</t>
  </si>
  <si>
    <t>LutonARSHHOP1Bd</t>
  </si>
  <si>
    <t>LutonARSHHOP2Bd</t>
  </si>
  <si>
    <t>LutonARSHHOP3Bd</t>
  </si>
  <si>
    <t>LutonARSHHOP4Bd</t>
  </si>
  <si>
    <t>LutonARSHHOPBdst</t>
  </si>
  <si>
    <t>LutonARSHHOPNSC</t>
  </si>
  <si>
    <t>LutonARSHHOPSC</t>
  </si>
  <si>
    <t>LutonARSHHOPTotal</t>
  </si>
  <si>
    <t>LutonGN1Bd</t>
  </si>
  <si>
    <t>LutonGN2Bd</t>
  </si>
  <si>
    <t>LutonGN3Bd</t>
  </si>
  <si>
    <t>LutonGN4Bd</t>
  </si>
  <si>
    <t>LutonGN5Bd</t>
  </si>
  <si>
    <t>LutonGN6Bd</t>
  </si>
  <si>
    <t>LutonGNBdst</t>
  </si>
  <si>
    <t>LutonGNNSC</t>
  </si>
  <si>
    <t>LutonGNTotal</t>
  </si>
  <si>
    <t>LutonGNSC</t>
  </si>
  <si>
    <t>LutonGNAGGSC</t>
  </si>
  <si>
    <t>LutonGNAGGNSC</t>
  </si>
  <si>
    <t>LutonLCHO</t>
  </si>
  <si>
    <t>LutonSHHOP1Bd</t>
  </si>
  <si>
    <t>LutonSHHOP2Bd</t>
  </si>
  <si>
    <t>LutonSHHOP3Bd</t>
  </si>
  <si>
    <t>LutonSHHOP4Bd</t>
  </si>
  <si>
    <t>LutonSHHOPBdst</t>
  </si>
  <si>
    <t>LutonSHHOPNSC</t>
  </si>
  <si>
    <t>LutonSHHOPTotal</t>
  </si>
  <si>
    <t>LutonSHHOPSC</t>
  </si>
  <si>
    <t>LutonSHHOPAGGNA</t>
  </si>
  <si>
    <t>E06000033</t>
  </si>
  <si>
    <t>Southend-on-SeaARGN1Bd</t>
  </si>
  <si>
    <t>Southend-on-SeaARGN2Bd</t>
  </si>
  <si>
    <t>Southend-on-SeaARGN3Bd</t>
  </si>
  <si>
    <t>Southend-on-SeaARGN4Bd</t>
  </si>
  <si>
    <t>Southend-on-SeaARGN5Bd</t>
  </si>
  <si>
    <t>Southend-on-SeaARGN6Bd</t>
  </si>
  <si>
    <t>Southend-on-SeaARGNBdst</t>
  </si>
  <si>
    <t>Southend-on-SeaARGNNSC</t>
  </si>
  <si>
    <t>Southend-on-SeaARGNTotal</t>
  </si>
  <si>
    <t>Southend-on-SeaARGNSC</t>
  </si>
  <si>
    <t>Southend-on-SeaARSHHOP1Bd</t>
  </si>
  <si>
    <t>Southend-on-SeaARSHHOP2Bd</t>
  </si>
  <si>
    <t>Southend-on-SeaARSHHOP3Bd</t>
  </si>
  <si>
    <t>Southend-on-SeaARSHHOP4Bd</t>
  </si>
  <si>
    <t>Southend-on-SeaARSHHOPBdst</t>
  </si>
  <si>
    <t>Southend-on-SeaARSHHOPNSC</t>
  </si>
  <si>
    <t>Southend-on-SeaARSHHOPSC</t>
  </si>
  <si>
    <t>Southend-on-SeaARSHHOPTotal</t>
  </si>
  <si>
    <t>Southend-on-SeaGN1Bd</t>
  </si>
  <si>
    <t>Southend-on-SeaGN2Bd</t>
  </si>
  <si>
    <t>Southend-on-SeaGN3Bd</t>
  </si>
  <si>
    <t>Southend-on-SeaGN4Bd</t>
  </si>
  <si>
    <t>Southend-on-SeaGN5Bd</t>
  </si>
  <si>
    <t>Southend-on-SeaGN6Bd</t>
  </si>
  <si>
    <t>Southend-on-SeaGNBdst</t>
  </si>
  <si>
    <t>Southend-on-SeaGNNSC</t>
  </si>
  <si>
    <t>Southend-on-SeaGNTotal</t>
  </si>
  <si>
    <t>Southend-on-SeaGNSC</t>
  </si>
  <si>
    <t>Southend-on-SeaGNAGGSC</t>
  </si>
  <si>
    <t>Southend-on-SeaGNAGGNSC</t>
  </si>
  <si>
    <t>Southend-on-SeaLCHO</t>
  </si>
  <si>
    <t>Southend-on-SeaSHHOP1Bd</t>
  </si>
  <si>
    <t>Southend-on-SeaSHHOP2Bd</t>
  </si>
  <si>
    <t>Southend-on-SeaSHHOP3Bd</t>
  </si>
  <si>
    <t>Southend-on-SeaSHHOP4Bd</t>
  </si>
  <si>
    <t>Southend-on-SeaSHHOPBdst</t>
  </si>
  <si>
    <t>Southend-on-SeaSHHOPNSC</t>
  </si>
  <si>
    <t>Southend-on-SeaSHHOPTotal</t>
  </si>
  <si>
    <t>Southend-on-SeaSHHOPSC</t>
  </si>
  <si>
    <t>Southend-on-SeaSHHOPAGGNA</t>
  </si>
  <si>
    <t>E06000034</t>
  </si>
  <si>
    <t>ThurrockARGN1Bd</t>
  </si>
  <si>
    <t>ThurrockARGN2Bd</t>
  </si>
  <si>
    <t>ThurrockARGN3Bd</t>
  </si>
  <si>
    <t>ThurrockARGN4Bd</t>
  </si>
  <si>
    <t>ThurrockARGN5Bd</t>
  </si>
  <si>
    <t>ThurrockARGN6Bd</t>
  </si>
  <si>
    <t>ThurrockARGNBdst</t>
  </si>
  <si>
    <t>ThurrockARGNNSC</t>
  </si>
  <si>
    <t>ThurrockARGNTotal</t>
  </si>
  <si>
    <t>ThurrockARGNSC</t>
  </si>
  <si>
    <t>ThurrockARSHHOP1Bd</t>
  </si>
  <si>
    <t>ThurrockARSHHOP2Bd</t>
  </si>
  <si>
    <t>ThurrockARSHHOP3Bd</t>
  </si>
  <si>
    <t>ThurrockARSHHOP4Bd</t>
  </si>
  <si>
    <t>ThurrockARSHHOPBdst</t>
  </si>
  <si>
    <t>ThurrockARSHHOPNSC</t>
  </si>
  <si>
    <t>ThurrockARSHHOPSC</t>
  </si>
  <si>
    <t>ThurrockARSHHOPTotal</t>
  </si>
  <si>
    <t>ThurrockGN1Bd</t>
  </si>
  <si>
    <t>ThurrockGN2Bd</t>
  </si>
  <si>
    <t>ThurrockGN3Bd</t>
  </si>
  <si>
    <t>ThurrockGN4Bd</t>
  </si>
  <si>
    <t>ThurrockGN5Bd</t>
  </si>
  <si>
    <t>ThurrockGN6Bd</t>
  </si>
  <si>
    <t>ThurrockGNBdst</t>
  </si>
  <si>
    <t>ThurrockGNNSC</t>
  </si>
  <si>
    <t>ThurrockGNTotal</t>
  </si>
  <si>
    <t>ThurrockGNSC</t>
  </si>
  <si>
    <t>ThurrockGNAGGSC</t>
  </si>
  <si>
    <t>ThurrockGNAGGNSC</t>
  </si>
  <si>
    <t>ThurrockLCHO</t>
  </si>
  <si>
    <t>ThurrockSHHOP1Bd</t>
  </si>
  <si>
    <t>ThurrockSHHOP2Bd</t>
  </si>
  <si>
    <t>ThurrockSHHOP3Bd</t>
  </si>
  <si>
    <t>ThurrockSHHOP4Bd</t>
  </si>
  <si>
    <t>ThurrockSHHOPBdst</t>
  </si>
  <si>
    <t>ThurrockSHHOPNSC</t>
  </si>
  <si>
    <t>ThurrockSHHOPTotal</t>
  </si>
  <si>
    <t>ThurrockSHHOPSC</t>
  </si>
  <si>
    <t>ThurrockSHHOPAGGNA</t>
  </si>
  <si>
    <t>E06000035</t>
  </si>
  <si>
    <t>Medway</t>
  </si>
  <si>
    <t>South East</t>
  </si>
  <si>
    <t>MedwayARGN1Bd</t>
  </si>
  <si>
    <t>MedwayARGN2Bd</t>
  </si>
  <si>
    <t>MedwayARGN3Bd</t>
  </si>
  <si>
    <t>MedwayARGN4Bd</t>
  </si>
  <si>
    <t>MedwayARGN5Bd</t>
  </si>
  <si>
    <t>MedwayARGN6Bd</t>
  </si>
  <si>
    <t>MedwayARGNBdst</t>
  </si>
  <si>
    <t>MedwayARGNNSC</t>
  </si>
  <si>
    <t>MedwayARGNTotal</t>
  </si>
  <si>
    <t>MedwayARGNSC</t>
  </si>
  <si>
    <t>MedwayARSHHOP1Bd</t>
  </si>
  <si>
    <t>MedwayARSHHOP2Bd</t>
  </si>
  <si>
    <t>MedwayARSHHOP3Bd</t>
  </si>
  <si>
    <t>MedwayARSHHOP4Bd</t>
  </si>
  <si>
    <t>MedwayARSHHOPBdst</t>
  </si>
  <si>
    <t>MedwayARSHHOPNSC</t>
  </si>
  <si>
    <t>MedwayARSHHOPSC</t>
  </si>
  <si>
    <t>MedwayARSHHOPTotal</t>
  </si>
  <si>
    <t>MedwayGN1Bd</t>
  </si>
  <si>
    <t>MedwayGN2Bd</t>
  </si>
  <si>
    <t>MedwayGN3Bd</t>
  </si>
  <si>
    <t>MedwayGN4Bd</t>
  </si>
  <si>
    <t>MedwayGN5Bd</t>
  </si>
  <si>
    <t>MedwayGN6Bd</t>
  </si>
  <si>
    <t>MedwayGNBdst</t>
  </si>
  <si>
    <t>MedwayGNNSC</t>
  </si>
  <si>
    <t>MedwayGNTotal</t>
  </si>
  <si>
    <t>MedwayGNSC</t>
  </si>
  <si>
    <t>MedwayGNAGGSC</t>
  </si>
  <si>
    <t>MedwayGNAGGNSC</t>
  </si>
  <si>
    <t>MedwayLCHO</t>
  </si>
  <si>
    <t>MedwaySHHOP1Bd</t>
  </si>
  <si>
    <t>MedwaySHHOP2Bd</t>
  </si>
  <si>
    <t>MedwaySHHOP3Bd</t>
  </si>
  <si>
    <t>MedwaySHHOP4Bd</t>
  </si>
  <si>
    <t>MedwaySHHOPBdst</t>
  </si>
  <si>
    <t>MedwaySHHOPNSC</t>
  </si>
  <si>
    <t>MedwaySHHOPTotal</t>
  </si>
  <si>
    <t>MedwaySHHOPSC</t>
  </si>
  <si>
    <t>MedwaySHHOPAGGNA</t>
  </si>
  <si>
    <t>E06000036</t>
  </si>
  <si>
    <t>Bracknell Forest</t>
  </si>
  <si>
    <t>Bracknell ForestARGN1Bd</t>
  </si>
  <si>
    <t>Bracknell ForestARGN2Bd</t>
  </si>
  <si>
    <t>Bracknell ForestARGN3Bd</t>
  </si>
  <si>
    <t>Bracknell ForestARGN4Bd</t>
  </si>
  <si>
    <t>Bracknell ForestARGN5Bd</t>
  </si>
  <si>
    <t>Bracknell ForestARGN6Bd</t>
  </si>
  <si>
    <t>Bracknell ForestARGNBdst</t>
  </si>
  <si>
    <t>Bracknell ForestARGNNSC</t>
  </si>
  <si>
    <t>Bracknell ForestARGNTotal</t>
  </si>
  <si>
    <t>Bracknell ForestARGNSC</t>
  </si>
  <si>
    <t>Bracknell ForestGN1Bd</t>
  </si>
  <si>
    <t>Bracknell ForestGN2Bd</t>
  </si>
  <si>
    <t>Bracknell ForestGN3Bd</t>
  </si>
  <si>
    <t>Bracknell ForestGN4Bd</t>
  </si>
  <si>
    <t>Bracknell ForestGN5Bd</t>
  </si>
  <si>
    <t>Bracknell ForestGN6Bd</t>
  </si>
  <si>
    <t>Bracknell ForestGNBdst</t>
  </si>
  <si>
    <t>Bracknell ForestGNNSC</t>
  </si>
  <si>
    <t>Bracknell ForestGNTotal</t>
  </si>
  <si>
    <t>Bracknell ForestGNSC</t>
  </si>
  <si>
    <t>Bracknell ForestGNAGGSC</t>
  </si>
  <si>
    <t>Bracknell ForestGNAGGNSC</t>
  </si>
  <si>
    <t>Bracknell ForestLCHO</t>
  </si>
  <si>
    <t>Bracknell ForestSHHOP1Bd</t>
  </si>
  <si>
    <t>Bracknell ForestSHHOP2Bd</t>
  </si>
  <si>
    <t>Bracknell ForestSHHOP3Bd</t>
  </si>
  <si>
    <t>Bracknell ForestSHHOP4Bd</t>
  </si>
  <si>
    <t>Bracknell ForestSHHOPBdst</t>
  </si>
  <si>
    <t>Bracknell ForestSHHOPNSC</t>
  </si>
  <si>
    <t>Bracknell ForestSHHOPTotal</t>
  </si>
  <si>
    <t>Bracknell ForestSHHOPSC</t>
  </si>
  <si>
    <t>Bracknell ForestSHHOPAGGNA</t>
  </si>
  <si>
    <t>E06000037</t>
  </si>
  <si>
    <t>West BerkshireARGN1Bd</t>
  </si>
  <si>
    <t>West BerkshireARGN2Bd</t>
  </si>
  <si>
    <t>West BerkshireARGN3Bd</t>
  </si>
  <si>
    <t>West BerkshireARGN4Bd</t>
  </si>
  <si>
    <t>West BerkshireARGN5Bd</t>
  </si>
  <si>
    <t>West BerkshireARGN6Bd</t>
  </si>
  <si>
    <t>West BerkshireARGNBdst</t>
  </si>
  <si>
    <t>West BerkshireARGNNSC</t>
  </si>
  <si>
    <t>West BerkshireARGNTotal</t>
  </si>
  <si>
    <t>West BerkshireARGNSC</t>
  </si>
  <si>
    <t>West BerkshireARSHHOP1Bd</t>
  </si>
  <si>
    <t>West BerkshireARSHHOP2Bd</t>
  </si>
  <si>
    <t>West BerkshireARSHHOP3Bd</t>
  </si>
  <si>
    <t>West BerkshireARSHHOP4Bd</t>
  </si>
  <si>
    <t>West BerkshireARSHHOPBdst</t>
  </si>
  <si>
    <t>West BerkshireARSHHOPNSC</t>
  </si>
  <si>
    <t>West BerkshireARSHHOPSC</t>
  </si>
  <si>
    <t>West BerkshireARSHHOPTotal</t>
  </si>
  <si>
    <t>West BerkshireGN1Bd</t>
  </si>
  <si>
    <t>West BerkshireGN2Bd</t>
  </si>
  <si>
    <t>West BerkshireGN3Bd</t>
  </si>
  <si>
    <t>West BerkshireGN4Bd</t>
  </si>
  <si>
    <t>West BerkshireGN5Bd</t>
  </si>
  <si>
    <t>West BerkshireGN6Bd</t>
  </si>
  <si>
    <t>West BerkshireGNBdst</t>
  </si>
  <si>
    <t>West BerkshireGNNSC</t>
  </si>
  <si>
    <t>West BerkshireGNTotal</t>
  </si>
  <si>
    <t>West BerkshireGNSC</t>
  </si>
  <si>
    <t>West BerkshireGNAGGSC</t>
  </si>
  <si>
    <t>West BerkshireGNAGGNSC</t>
  </si>
  <si>
    <t>West BerkshireLCHO</t>
  </si>
  <si>
    <t>West BerkshireSHHOP1Bd</t>
  </si>
  <si>
    <t>West BerkshireSHHOP2Bd</t>
  </si>
  <si>
    <t>West BerkshireSHHOP3Bd</t>
  </si>
  <si>
    <t>West BerkshireSHHOP4Bd</t>
  </si>
  <si>
    <t>West BerkshireSHHOPBdst</t>
  </si>
  <si>
    <t>West BerkshireSHHOPNSC</t>
  </si>
  <si>
    <t>West BerkshireSHHOPTotal</t>
  </si>
  <si>
    <t>West BerkshireSHHOPSC</t>
  </si>
  <si>
    <t>West BerkshireSHHOPAGGNA</t>
  </si>
  <si>
    <t>E06000038</t>
  </si>
  <si>
    <t>Reading</t>
  </si>
  <si>
    <t>ReadingARGN1Bd</t>
  </si>
  <si>
    <t>ReadingARGN2Bd</t>
  </si>
  <si>
    <t>ReadingARGN3Bd</t>
  </si>
  <si>
    <t>ReadingARGN4Bd</t>
  </si>
  <si>
    <t>ReadingARGN5Bd</t>
  </si>
  <si>
    <t>ReadingARGN6Bd</t>
  </si>
  <si>
    <t>ReadingARGNBdst</t>
  </si>
  <si>
    <t>ReadingARGNNSC</t>
  </si>
  <si>
    <t>ReadingARGNTotal</t>
  </si>
  <si>
    <t>ReadingARGNSC</t>
  </si>
  <si>
    <t>ReadingARSHHOP1Bd</t>
  </si>
  <si>
    <t>ReadingARSHHOP2Bd</t>
  </si>
  <si>
    <t>ReadingARSHHOP3Bd</t>
  </si>
  <si>
    <t>ReadingARSHHOP4Bd</t>
  </si>
  <si>
    <t>ReadingARSHHOPBdst</t>
  </si>
  <si>
    <t>ReadingARSHHOPNSC</t>
  </si>
  <si>
    <t>ReadingARSHHOPSC</t>
  </si>
  <si>
    <t>ReadingARSHHOPTotal</t>
  </si>
  <si>
    <t>ReadingGN1Bd</t>
  </si>
  <si>
    <t>ReadingGN2Bd</t>
  </si>
  <si>
    <t>ReadingGN3Bd</t>
  </si>
  <si>
    <t>ReadingGN4Bd</t>
  </si>
  <si>
    <t>ReadingGN5Bd</t>
  </si>
  <si>
    <t>ReadingGN6Bd</t>
  </si>
  <si>
    <t>ReadingGNBdst</t>
  </si>
  <si>
    <t>ReadingGNNSC</t>
  </si>
  <si>
    <t>ReadingGNTotal</t>
  </si>
  <si>
    <t>ReadingGNSC</t>
  </si>
  <si>
    <t>ReadingGNAGGSC</t>
  </si>
  <si>
    <t>ReadingGNAGGNSC</t>
  </si>
  <si>
    <t>ReadingLCHO</t>
  </si>
  <si>
    <t>ReadingSHHOP1Bd</t>
  </si>
  <si>
    <t>ReadingSHHOP2Bd</t>
  </si>
  <si>
    <t>ReadingSHHOP3Bd</t>
  </si>
  <si>
    <t>ReadingSHHOP4Bd</t>
  </si>
  <si>
    <t>ReadingSHHOPBdst</t>
  </si>
  <si>
    <t>ReadingSHHOPNSC</t>
  </si>
  <si>
    <t>ReadingSHHOPTotal</t>
  </si>
  <si>
    <t>ReadingSHHOPSC</t>
  </si>
  <si>
    <t>ReadingSHHOPAGGNA</t>
  </si>
  <si>
    <t>E06000039</t>
  </si>
  <si>
    <t>Slough</t>
  </si>
  <si>
    <t>SloughARGN1Bd</t>
  </si>
  <si>
    <t>SloughARGN2Bd</t>
  </si>
  <si>
    <t>SloughARGN3Bd</t>
  </si>
  <si>
    <t>SloughARGN4Bd</t>
  </si>
  <si>
    <t>SloughARGN5Bd</t>
  </si>
  <si>
    <t>SloughARGN6Bd</t>
  </si>
  <si>
    <t>SloughARGNBdst</t>
  </si>
  <si>
    <t>SloughARGNNSC</t>
  </si>
  <si>
    <t>SloughARGNTotal</t>
  </si>
  <si>
    <t>SloughARGNSC</t>
  </si>
  <si>
    <t>SloughARSHHOP1Bd</t>
  </si>
  <si>
    <t>SloughARSHHOP2Bd</t>
  </si>
  <si>
    <t>SloughARSHHOP3Bd</t>
  </si>
  <si>
    <t>SloughARSHHOP4Bd</t>
  </si>
  <si>
    <t>SloughARSHHOPBdst</t>
  </si>
  <si>
    <t>SloughARSHHOPNSC</t>
  </si>
  <si>
    <t>SloughARSHHOPSC</t>
  </si>
  <si>
    <t>SloughARSHHOPTotal</t>
  </si>
  <si>
    <t>SloughGN1Bd</t>
  </si>
  <si>
    <t>SloughGN2Bd</t>
  </si>
  <si>
    <t>SloughGN3Bd</t>
  </si>
  <si>
    <t>SloughGN4Bd</t>
  </si>
  <si>
    <t>SloughGN5Bd</t>
  </si>
  <si>
    <t>SloughGN6Bd</t>
  </si>
  <si>
    <t>SloughGNBdst</t>
  </si>
  <si>
    <t>SloughGNNSC</t>
  </si>
  <si>
    <t>SloughGNTotal</t>
  </si>
  <si>
    <t>SloughGNSC</t>
  </si>
  <si>
    <t>SloughGNAGGSC</t>
  </si>
  <si>
    <t>SloughGNAGGNSC</t>
  </si>
  <si>
    <t>SloughLCHO</t>
  </si>
  <si>
    <t>SloughSHHOP1Bd</t>
  </si>
  <si>
    <t>SloughSHHOP2Bd</t>
  </si>
  <si>
    <t>SloughSHHOP3Bd</t>
  </si>
  <si>
    <t>SloughSHHOP4Bd</t>
  </si>
  <si>
    <t>SloughSHHOPBdst</t>
  </si>
  <si>
    <t>SloughSHHOPNSC</t>
  </si>
  <si>
    <t>SloughSHHOPTotal</t>
  </si>
  <si>
    <t>SloughSHHOPSC</t>
  </si>
  <si>
    <t>SloughSHHOPAGGNA</t>
  </si>
  <si>
    <t>E06000040</t>
  </si>
  <si>
    <t>Windsor and MaidenheadARGN1Bd</t>
  </si>
  <si>
    <t>Windsor and MaidenheadARGN2Bd</t>
  </si>
  <si>
    <t>Windsor and MaidenheadARGN3Bd</t>
  </si>
  <si>
    <t>Windsor and MaidenheadARGN4Bd</t>
  </si>
  <si>
    <t>Windsor and MaidenheadARGN5Bd</t>
  </si>
  <si>
    <t>Windsor and MaidenheadARGN6Bd</t>
  </si>
  <si>
    <t>Windsor and MaidenheadARGNBdst</t>
  </si>
  <si>
    <t>Windsor and MaidenheadARGNNSC</t>
  </si>
  <si>
    <t>Windsor and MaidenheadARGNTotal</t>
  </si>
  <si>
    <t>Windsor and MaidenheadARGNSC</t>
  </si>
  <si>
    <t>Windsor and MaidenheadARSHHOP1Bd</t>
  </si>
  <si>
    <t>Windsor and MaidenheadARSHHOP2Bd</t>
  </si>
  <si>
    <t>Windsor and MaidenheadARSHHOP3Bd</t>
  </si>
  <si>
    <t>Windsor and MaidenheadARSHHOP4Bd</t>
  </si>
  <si>
    <t>Windsor and MaidenheadARSHHOPBdst</t>
  </si>
  <si>
    <t>Windsor and MaidenheadARSHHOPNSC</t>
  </si>
  <si>
    <t>Windsor and MaidenheadARSHHOPSC</t>
  </si>
  <si>
    <t>Windsor and MaidenheadARSHHOPTotal</t>
  </si>
  <si>
    <t>Windsor and MaidenheadGN1Bd</t>
  </si>
  <si>
    <t>Windsor and MaidenheadGN2Bd</t>
  </si>
  <si>
    <t>Windsor and MaidenheadGN3Bd</t>
  </si>
  <si>
    <t>Windsor and MaidenheadGN4Bd</t>
  </si>
  <si>
    <t>Windsor and MaidenheadGN5Bd</t>
  </si>
  <si>
    <t>Windsor and MaidenheadGN6Bd</t>
  </si>
  <si>
    <t>Windsor and MaidenheadGNBdst</t>
  </si>
  <si>
    <t>Windsor and MaidenheadGNNSC</t>
  </si>
  <si>
    <t>Windsor and MaidenheadGNTotal</t>
  </si>
  <si>
    <t>Windsor and MaidenheadGNSC</t>
  </si>
  <si>
    <t>Windsor and MaidenheadGNAGGSC</t>
  </si>
  <si>
    <t>Windsor and MaidenheadGNAGGNSC</t>
  </si>
  <si>
    <t>Windsor and MaidenheadLCHO</t>
  </si>
  <si>
    <t>Windsor and MaidenheadSHHOP1Bd</t>
  </si>
  <si>
    <t>Windsor and MaidenheadSHHOP2Bd</t>
  </si>
  <si>
    <t>Windsor and MaidenheadSHHOP3Bd</t>
  </si>
  <si>
    <t>Windsor and MaidenheadSHHOP4Bd</t>
  </si>
  <si>
    <t>Windsor and MaidenheadSHHOPBdst</t>
  </si>
  <si>
    <t>Windsor and MaidenheadSHHOPNSC</t>
  </si>
  <si>
    <t>Windsor and MaidenheadSHHOPTotal</t>
  </si>
  <si>
    <t>Windsor and MaidenheadSHHOPSC</t>
  </si>
  <si>
    <t>Windsor and MaidenheadSHHOPAGGNA</t>
  </si>
  <si>
    <t>E06000041</t>
  </si>
  <si>
    <t>WokinghamARGN1Bd</t>
  </si>
  <si>
    <t>WokinghamARGN2Bd</t>
  </si>
  <si>
    <t>WokinghamARGN3Bd</t>
  </si>
  <si>
    <t>WokinghamARGN4Bd</t>
  </si>
  <si>
    <t>WokinghamARGN5Bd</t>
  </si>
  <si>
    <t>WokinghamARGN6Bd</t>
  </si>
  <si>
    <t>WokinghamARGNBdst</t>
  </si>
  <si>
    <t>WokinghamARGNNSC</t>
  </si>
  <si>
    <t>WokinghamARGNTotal</t>
  </si>
  <si>
    <t>WokinghamARGNSC</t>
  </si>
  <si>
    <t>WokinghamARSHHOP1Bd</t>
  </si>
  <si>
    <t>WokinghamARSHHOP2Bd</t>
  </si>
  <si>
    <t>WokinghamARSHHOP3Bd</t>
  </si>
  <si>
    <t>WokinghamARSHHOP4Bd</t>
  </si>
  <si>
    <t>WokinghamARSHHOPBdst</t>
  </si>
  <si>
    <t>WokinghamARSHHOPNSC</t>
  </si>
  <si>
    <t>WokinghamARSHHOPSC</t>
  </si>
  <si>
    <t>WokinghamARSHHOPTotal</t>
  </si>
  <si>
    <t>WokinghamGN1Bd</t>
  </si>
  <si>
    <t>WokinghamGN2Bd</t>
  </si>
  <si>
    <t>WokinghamGN3Bd</t>
  </si>
  <si>
    <t>WokinghamGN4Bd</t>
  </si>
  <si>
    <t>WokinghamGN5Bd</t>
  </si>
  <si>
    <t>WokinghamGN6Bd</t>
  </si>
  <si>
    <t>WokinghamGNBdst</t>
  </si>
  <si>
    <t>WokinghamGNNSC</t>
  </si>
  <si>
    <t>WokinghamGNTotal</t>
  </si>
  <si>
    <t>WokinghamGNSC</t>
  </si>
  <si>
    <t>WokinghamGNAGGSC</t>
  </si>
  <si>
    <t>WokinghamGNAGGNSC</t>
  </si>
  <si>
    <t>WokinghamLCHO</t>
  </si>
  <si>
    <t>WokinghamSHHOP1Bd</t>
  </si>
  <si>
    <t>WokinghamSHHOP2Bd</t>
  </si>
  <si>
    <t>WokinghamSHHOP3Bd</t>
  </si>
  <si>
    <t>WokinghamSHHOP4Bd</t>
  </si>
  <si>
    <t>WokinghamSHHOPBdst</t>
  </si>
  <si>
    <t>WokinghamSHHOPNSC</t>
  </si>
  <si>
    <t>WokinghamSHHOPTotal</t>
  </si>
  <si>
    <t>WokinghamSHHOPSC</t>
  </si>
  <si>
    <t>WokinghamSHHOPAGGNA</t>
  </si>
  <si>
    <t>E06000042</t>
  </si>
  <si>
    <t>Milton Keynes</t>
  </si>
  <si>
    <t>Milton KeynesARGN1Bd</t>
  </si>
  <si>
    <t>Milton KeynesARGN2Bd</t>
  </si>
  <si>
    <t>Milton KeynesARGN3Bd</t>
  </si>
  <si>
    <t>Milton KeynesARGN4Bd</t>
  </si>
  <si>
    <t>Milton KeynesARGN5Bd</t>
  </si>
  <si>
    <t>Milton KeynesARGN6Bd</t>
  </si>
  <si>
    <t>Milton KeynesARGNBdst</t>
  </si>
  <si>
    <t>Milton KeynesARGNNSC</t>
  </si>
  <si>
    <t>Milton KeynesARGNTotal</t>
  </si>
  <si>
    <t>Milton KeynesARGNSC</t>
  </si>
  <si>
    <t>Milton KeynesARSHHOP1Bd</t>
  </si>
  <si>
    <t>Milton KeynesARSHHOP2Bd</t>
  </si>
  <si>
    <t>Milton KeynesARSHHOP3Bd</t>
  </si>
  <si>
    <t>Milton KeynesARSHHOP4Bd</t>
  </si>
  <si>
    <t>Milton KeynesARSHHOPBdst</t>
  </si>
  <si>
    <t>Milton KeynesARSHHOPNSC</t>
  </si>
  <si>
    <t>Milton KeynesARSHHOPSC</t>
  </si>
  <si>
    <t>Milton KeynesARSHHOPTotal</t>
  </si>
  <si>
    <t>Milton KeynesGN1Bd</t>
  </si>
  <si>
    <t>Milton KeynesGN2Bd</t>
  </si>
  <si>
    <t>Milton KeynesGN3Bd</t>
  </si>
  <si>
    <t>Milton KeynesGN4Bd</t>
  </si>
  <si>
    <t>Milton KeynesGN5Bd</t>
  </si>
  <si>
    <t>Milton KeynesGN6Bd</t>
  </si>
  <si>
    <t>Milton KeynesGNBdst</t>
  </si>
  <si>
    <t>Milton KeynesGNNSC</t>
  </si>
  <si>
    <t>Milton KeynesGNTotal</t>
  </si>
  <si>
    <t>Milton KeynesGNSC</t>
  </si>
  <si>
    <t>Milton KeynesGNAGGSC</t>
  </si>
  <si>
    <t>Milton KeynesGNAGGNSC</t>
  </si>
  <si>
    <t>Milton KeynesLCHO</t>
  </si>
  <si>
    <t>Milton KeynesSHHOP1Bd</t>
  </si>
  <si>
    <t>Milton KeynesSHHOP2Bd</t>
  </si>
  <si>
    <t>Milton KeynesSHHOP3Bd</t>
  </si>
  <si>
    <t>Milton KeynesSHHOP4Bd</t>
  </si>
  <si>
    <t>Milton KeynesSHHOPBdst</t>
  </si>
  <si>
    <t>Milton KeynesSHHOPNSC</t>
  </si>
  <si>
    <t>Milton KeynesSHHOPTotal</t>
  </si>
  <si>
    <t>Milton KeynesSHHOPSC</t>
  </si>
  <si>
    <t>Milton KeynesSHHOPAGGNA</t>
  </si>
  <si>
    <t>E06000043</t>
  </si>
  <si>
    <t>Brighton and Hove</t>
  </si>
  <si>
    <t>Brighton and HoveARGN1Bd</t>
  </si>
  <si>
    <t>Brighton and HoveARGN2Bd</t>
  </si>
  <si>
    <t>Brighton and HoveARGN3Bd</t>
  </si>
  <si>
    <t>Brighton and HoveARGN4Bd</t>
  </si>
  <si>
    <t>Brighton and HoveARGN5Bd</t>
  </si>
  <si>
    <t>Brighton and HoveARGN6Bd</t>
  </si>
  <si>
    <t>Brighton and HoveARGNBdst</t>
  </si>
  <si>
    <t>Brighton and HoveARGNNSC</t>
  </si>
  <si>
    <t>Brighton and HoveARGNTotal</t>
  </si>
  <si>
    <t>Brighton and HoveARGNSC</t>
  </si>
  <si>
    <t>Brighton and HoveARSHHOP1Bd</t>
  </si>
  <si>
    <t>Brighton and HoveARSHHOP2Bd</t>
  </si>
  <si>
    <t>Brighton and HoveARSHHOP3Bd</t>
  </si>
  <si>
    <t>Brighton and HoveARSHHOP4Bd</t>
  </si>
  <si>
    <t>Brighton and HoveARSHHOPBdst</t>
  </si>
  <si>
    <t>Brighton and HoveARSHHOPNSC</t>
  </si>
  <si>
    <t>Brighton and HoveARSHHOPSC</t>
  </si>
  <si>
    <t>Brighton and HoveARSHHOPTotal</t>
  </si>
  <si>
    <t>Brighton and HoveGN1Bd</t>
  </si>
  <si>
    <t>Brighton and HoveGN2Bd</t>
  </si>
  <si>
    <t>Brighton and HoveGN3Bd</t>
  </si>
  <si>
    <t>Brighton and HoveGN4Bd</t>
  </si>
  <si>
    <t>Brighton and HoveGN5Bd</t>
  </si>
  <si>
    <t>Brighton and HoveGN6Bd</t>
  </si>
  <si>
    <t>Brighton and HoveGNBdst</t>
  </si>
  <si>
    <t>Brighton and HoveGNNSC</t>
  </si>
  <si>
    <t>Brighton and HoveGNTotal</t>
  </si>
  <si>
    <t>Brighton and HoveGNSC</t>
  </si>
  <si>
    <t>Brighton and HoveGNAGGSC</t>
  </si>
  <si>
    <t>Brighton and HoveGNAGGNSC</t>
  </si>
  <si>
    <t>Brighton and HoveLCHO</t>
  </si>
  <si>
    <t>Brighton and HoveSHHOP1Bd</t>
  </si>
  <si>
    <t>Brighton and HoveSHHOP2Bd</t>
  </si>
  <si>
    <t>Brighton and HoveSHHOP3Bd</t>
  </si>
  <si>
    <t>Brighton and HoveSHHOP4Bd</t>
  </si>
  <si>
    <t>Brighton and HoveSHHOPBdst</t>
  </si>
  <si>
    <t>Brighton and HoveSHHOPNSC</t>
  </si>
  <si>
    <t>Brighton and HoveSHHOPTotal</t>
  </si>
  <si>
    <t>Brighton and HoveSHHOPSC</t>
  </si>
  <si>
    <t>Brighton and HoveSHHOPAGGNA</t>
  </si>
  <si>
    <t>E06000044</t>
  </si>
  <si>
    <t>Portsmouth</t>
  </si>
  <si>
    <t>PortsmouthARGN1Bd</t>
  </si>
  <si>
    <t>PortsmouthARGN2Bd</t>
  </si>
  <si>
    <t>PortsmouthARGN3Bd</t>
  </si>
  <si>
    <t>PortsmouthARGN4Bd</t>
  </si>
  <si>
    <t>PortsmouthARGN5Bd</t>
  </si>
  <si>
    <t>PortsmouthARGN6Bd</t>
  </si>
  <si>
    <t>PortsmouthARGNBdst</t>
  </si>
  <si>
    <t>PortsmouthARGNNSC</t>
  </si>
  <si>
    <t>PortsmouthARGNTotal</t>
  </si>
  <si>
    <t>PortsmouthARGNSC</t>
  </si>
  <si>
    <t>PortsmouthARSHHOP1Bd</t>
  </si>
  <si>
    <t>PortsmouthARSHHOP2Bd</t>
  </si>
  <si>
    <t>PortsmouthARSHHOP3Bd</t>
  </si>
  <si>
    <t>PortsmouthARSHHOP4Bd</t>
  </si>
  <si>
    <t>PortsmouthARSHHOPBdst</t>
  </si>
  <si>
    <t>PortsmouthARSHHOPNSC</t>
  </si>
  <si>
    <t>PortsmouthARSHHOPSC</t>
  </si>
  <si>
    <t>PortsmouthARSHHOPTotal</t>
  </si>
  <si>
    <t>PortsmouthGN1Bd</t>
  </si>
  <si>
    <t>PortsmouthGN2Bd</t>
  </si>
  <si>
    <t>PortsmouthGN3Bd</t>
  </si>
  <si>
    <t>PortsmouthGN4Bd</t>
  </si>
  <si>
    <t>PortsmouthGN5Bd</t>
  </si>
  <si>
    <t>PortsmouthGN6Bd</t>
  </si>
  <si>
    <t>PortsmouthGNBdst</t>
  </si>
  <si>
    <t>PortsmouthGNNSC</t>
  </si>
  <si>
    <t>PortsmouthGNTotal</t>
  </si>
  <si>
    <t>PortsmouthGNSC</t>
  </si>
  <si>
    <t>PortsmouthGNAGGSC</t>
  </si>
  <si>
    <t>PortsmouthGNAGGNSC</t>
  </si>
  <si>
    <t>PortsmouthLCHO</t>
  </si>
  <si>
    <t>PortsmouthSHHOP1Bd</t>
  </si>
  <si>
    <t>PortsmouthSHHOP2Bd</t>
  </si>
  <si>
    <t>PortsmouthSHHOP3Bd</t>
  </si>
  <si>
    <t>PortsmouthSHHOP4Bd</t>
  </si>
  <si>
    <t>PortsmouthSHHOPBdst</t>
  </si>
  <si>
    <t>PortsmouthSHHOPNSC</t>
  </si>
  <si>
    <t>PortsmouthSHHOPTotal</t>
  </si>
  <si>
    <t>PortsmouthSHHOPSC</t>
  </si>
  <si>
    <t>PortsmouthSHHOPAGGNA</t>
  </si>
  <si>
    <t>E06000045</t>
  </si>
  <si>
    <t>Southampton</t>
  </si>
  <si>
    <t>SouthamptonARGN1Bd</t>
  </si>
  <si>
    <t>SouthamptonARGN2Bd</t>
  </si>
  <si>
    <t>SouthamptonARGN3Bd</t>
  </si>
  <si>
    <t>SouthamptonARGN4Bd</t>
  </si>
  <si>
    <t>SouthamptonARGN5Bd</t>
  </si>
  <si>
    <t>SouthamptonARGN6Bd</t>
  </si>
  <si>
    <t>SouthamptonARGNBdst</t>
  </si>
  <si>
    <t>SouthamptonARGNNSC</t>
  </si>
  <si>
    <t>SouthamptonARGNTotal</t>
  </si>
  <si>
    <t>SouthamptonARGNSC</t>
  </si>
  <si>
    <t>SouthamptonARSHHOP1Bd</t>
  </si>
  <si>
    <t>SouthamptonARSHHOP2Bd</t>
  </si>
  <si>
    <t>SouthamptonARSHHOP3Bd</t>
  </si>
  <si>
    <t>SouthamptonARSHHOP4Bd</t>
  </si>
  <si>
    <t>SouthamptonARSHHOPBdst</t>
  </si>
  <si>
    <t>SouthamptonARSHHOPNSC</t>
  </si>
  <si>
    <t>SouthamptonARSHHOPSC</t>
  </si>
  <si>
    <t>SouthamptonARSHHOPTotal</t>
  </si>
  <si>
    <t>SouthamptonGN1Bd</t>
  </si>
  <si>
    <t>SouthamptonGN2Bd</t>
  </si>
  <si>
    <t>SouthamptonGN3Bd</t>
  </si>
  <si>
    <t>SouthamptonGN4Bd</t>
  </si>
  <si>
    <t>SouthamptonGN5Bd</t>
  </si>
  <si>
    <t>SouthamptonGN6Bd</t>
  </si>
  <si>
    <t>SouthamptonGNBdst</t>
  </si>
  <si>
    <t>SouthamptonGNNSC</t>
  </si>
  <si>
    <t>SouthamptonGNTotal</t>
  </si>
  <si>
    <t>SouthamptonGNSC</t>
  </si>
  <si>
    <t>SouthamptonGNAGGSC</t>
  </si>
  <si>
    <t>SouthamptonGNAGGNSC</t>
  </si>
  <si>
    <t>SouthamptonLCHO</t>
  </si>
  <si>
    <t>SouthamptonSHHOP1Bd</t>
  </si>
  <si>
    <t>SouthamptonSHHOP2Bd</t>
  </si>
  <si>
    <t>SouthamptonSHHOP3Bd</t>
  </si>
  <si>
    <t>SouthamptonSHHOP4Bd</t>
  </si>
  <si>
    <t>SouthamptonSHHOPBdst</t>
  </si>
  <si>
    <t>SouthamptonSHHOPNSC</t>
  </si>
  <si>
    <t>SouthamptonSHHOPTotal</t>
  </si>
  <si>
    <t>SouthamptonSHHOPSC</t>
  </si>
  <si>
    <t>SouthamptonSHHOPAGGNA</t>
  </si>
  <si>
    <t>E06000046</t>
  </si>
  <si>
    <t>Isle of Wight</t>
  </si>
  <si>
    <t>Isle of WightARGN1Bd</t>
  </si>
  <si>
    <t>Isle of WightARGN2Bd</t>
  </si>
  <si>
    <t>Isle of WightARGN3Bd</t>
  </si>
  <si>
    <t>Isle of WightARGN4Bd</t>
  </si>
  <si>
    <t>Isle of WightARGN5Bd</t>
  </si>
  <si>
    <t>Isle of WightARGN6Bd</t>
  </si>
  <si>
    <t>Isle of WightARGNBdst</t>
  </si>
  <si>
    <t>Isle of WightARGNNSC</t>
  </si>
  <si>
    <t>Isle of WightARGNTotal</t>
  </si>
  <si>
    <t>Isle of WightARGNSC</t>
  </si>
  <si>
    <t>Isle of WightARSHHOP1Bd</t>
  </si>
  <si>
    <t>Isle of WightARSHHOP2Bd</t>
  </si>
  <si>
    <t>Isle of WightARSHHOP3Bd</t>
  </si>
  <si>
    <t>Isle of WightARSHHOP4Bd</t>
  </si>
  <si>
    <t>Isle of WightARSHHOPBdst</t>
  </si>
  <si>
    <t>Isle of WightARSHHOPNSC</t>
  </si>
  <si>
    <t>Isle of WightARSHHOPSC</t>
  </si>
  <si>
    <t>Isle of WightARSHHOPTotal</t>
  </si>
  <si>
    <t>Isle of WightGN1Bd</t>
  </si>
  <si>
    <t>Isle of WightGN2Bd</t>
  </si>
  <si>
    <t>Isle of WightGN3Bd</t>
  </si>
  <si>
    <t>Isle of WightGN4Bd</t>
  </si>
  <si>
    <t>Isle of WightGN5Bd</t>
  </si>
  <si>
    <t>Isle of WightGN6Bd</t>
  </si>
  <si>
    <t>Isle of WightGNBdst</t>
  </si>
  <si>
    <t>Isle of WightGNNSC</t>
  </si>
  <si>
    <t>Isle of WightGNTotal</t>
  </si>
  <si>
    <t>Isle of WightGNSC</t>
  </si>
  <si>
    <t>Isle of WightGNAGGSC</t>
  </si>
  <si>
    <t>Isle of WightGNAGGNSC</t>
  </si>
  <si>
    <t>Isle of WightLCHO</t>
  </si>
  <si>
    <t>Isle of WightSHHOP1Bd</t>
  </si>
  <si>
    <t>Isle of WightSHHOP2Bd</t>
  </si>
  <si>
    <t>Isle of WightSHHOP3Bd</t>
  </si>
  <si>
    <t>Isle of WightSHHOP4Bd</t>
  </si>
  <si>
    <t>Isle of WightSHHOPBdst</t>
  </si>
  <si>
    <t>Isle of WightSHHOPNSC</t>
  </si>
  <si>
    <t>Isle of WightSHHOPTotal</t>
  </si>
  <si>
    <t>Isle of WightSHHOPSC</t>
  </si>
  <si>
    <t>Isle of WightSHHOPAGGNA</t>
  </si>
  <si>
    <t>E06000047</t>
  </si>
  <si>
    <t>County Durham</t>
  </si>
  <si>
    <t>County DurhamARGN1Bd</t>
  </si>
  <si>
    <t>County DurhamARGN2Bd</t>
  </si>
  <si>
    <t>County DurhamARGN3Bd</t>
  </si>
  <si>
    <t>County DurhamARGN4Bd</t>
  </si>
  <si>
    <t>County DurhamARGN5Bd</t>
  </si>
  <si>
    <t>County DurhamARGN6Bd</t>
  </si>
  <si>
    <t>County DurhamARGNBdst</t>
  </si>
  <si>
    <t>County DurhamARGNNSC</t>
  </si>
  <si>
    <t>County DurhamARGNTotal</t>
  </si>
  <si>
    <t>County DurhamARGNSC</t>
  </si>
  <si>
    <t>County DurhamARSHHOP1Bd</t>
  </si>
  <si>
    <t>County DurhamARSHHOP2Bd</t>
  </si>
  <si>
    <t>County DurhamARSHHOP3Bd</t>
  </si>
  <si>
    <t>County DurhamARSHHOP4Bd</t>
  </si>
  <si>
    <t>County DurhamARSHHOPBdst</t>
  </si>
  <si>
    <t>County DurhamARSHHOPNSC</t>
  </si>
  <si>
    <t>County DurhamARSHHOPSC</t>
  </si>
  <si>
    <t>County DurhamARSHHOPTotal</t>
  </si>
  <si>
    <t>County DurhamGN1Bd</t>
  </si>
  <si>
    <t>County DurhamGN2Bd</t>
  </si>
  <si>
    <t>County DurhamGN3Bd</t>
  </si>
  <si>
    <t>County DurhamGN4Bd</t>
  </si>
  <si>
    <t>County DurhamGN5Bd</t>
  </si>
  <si>
    <t>County DurhamGN6Bd</t>
  </si>
  <si>
    <t>County DurhamGNBdst</t>
  </si>
  <si>
    <t>County DurhamGNNSC</t>
  </si>
  <si>
    <t>County DurhamGNTotal</t>
  </si>
  <si>
    <t>County DurhamGNSC</t>
  </si>
  <si>
    <t>County DurhamGNAGGSC</t>
  </si>
  <si>
    <t>County DurhamGNAGGNSC</t>
  </si>
  <si>
    <t>County DurhamLCHO</t>
  </si>
  <si>
    <t>County DurhamSHHOP1Bd</t>
  </si>
  <si>
    <t>County DurhamSHHOP2Bd</t>
  </si>
  <si>
    <t>County DurhamSHHOP3Bd</t>
  </si>
  <si>
    <t>County DurhamSHHOP4Bd</t>
  </si>
  <si>
    <t>County DurhamSHHOPBdst</t>
  </si>
  <si>
    <t>County DurhamSHHOPNSC</t>
  </si>
  <si>
    <t>County DurhamSHHOPTotal</t>
  </si>
  <si>
    <t>County DurhamSHHOPSC</t>
  </si>
  <si>
    <t>County DurhamSHHOPAGGNA</t>
  </si>
  <si>
    <t>E06000049</t>
  </si>
  <si>
    <t>Cheshire East</t>
  </si>
  <si>
    <t>Cheshire EastARGN1Bd</t>
  </si>
  <si>
    <t>Cheshire EastARGN2Bd</t>
  </si>
  <si>
    <t>Cheshire EastARGN3Bd</t>
  </si>
  <si>
    <t>Cheshire EastARGN4Bd</t>
  </si>
  <si>
    <t>Cheshire EastARGN5Bd</t>
  </si>
  <si>
    <t>Cheshire EastARGN6Bd</t>
  </si>
  <si>
    <t>Cheshire EastARGNBdst</t>
  </si>
  <si>
    <t>Cheshire EastARGNNSC</t>
  </si>
  <si>
    <t>Cheshire EastARGNTotal</t>
  </si>
  <si>
    <t>Cheshire EastARGNSC</t>
  </si>
  <si>
    <t>Cheshire EastARSHHOP1Bd</t>
  </si>
  <si>
    <t>Cheshire EastARSHHOP2Bd</t>
  </si>
  <si>
    <t>Cheshire EastARSHHOP3Bd</t>
  </si>
  <si>
    <t>Cheshire EastARSHHOP4Bd</t>
  </si>
  <si>
    <t>Cheshire EastARSHHOPBdst</t>
  </si>
  <si>
    <t>Cheshire EastARSHHOPNSC</t>
  </si>
  <si>
    <t>Cheshire EastARSHHOPSC</t>
  </si>
  <si>
    <t>Cheshire EastARSHHOPTotal</t>
  </si>
  <si>
    <t>Cheshire EastGN1Bd</t>
  </si>
  <si>
    <t>Cheshire EastGN2Bd</t>
  </si>
  <si>
    <t>Cheshire EastGN3Bd</t>
  </si>
  <si>
    <t>Cheshire EastGN4Bd</t>
  </si>
  <si>
    <t>Cheshire EastGN5Bd</t>
  </si>
  <si>
    <t>Cheshire EastGN6Bd</t>
  </si>
  <si>
    <t>Cheshire EastGNBdst</t>
  </si>
  <si>
    <t>Cheshire EastGNNSC</t>
  </si>
  <si>
    <t>Cheshire EastGNTotal</t>
  </si>
  <si>
    <t>Cheshire EastGNSC</t>
  </si>
  <si>
    <t>Cheshire EastGNAGGSC</t>
  </si>
  <si>
    <t>Cheshire EastGNAGGNSC</t>
  </si>
  <si>
    <t>Cheshire EastLCHO</t>
  </si>
  <si>
    <t>Cheshire EastSHHOP1Bd</t>
  </si>
  <si>
    <t>Cheshire EastSHHOP2Bd</t>
  </si>
  <si>
    <t>Cheshire EastSHHOP3Bd</t>
  </si>
  <si>
    <t>Cheshire EastSHHOP4Bd</t>
  </si>
  <si>
    <t>Cheshire EastSHHOPBdst</t>
  </si>
  <si>
    <t>Cheshire EastSHHOPNSC</t>
  </si>
  <si>
    <t>Cheshire EastSHHOPTotal</t>
  </si>
  <si>
    <t>Cheshire EastSHHOPSC</t>
  </si>
  <si>
    <t>Cheshire EastSHHOPAGGNA</t>
  </si>
  <si>
    <t>E06000050</t>
  </si>
  <si>
    <t>Cheshire West and Chester</t>
  </si>
  <si>
    <t>Cheshire West and ChesterARGN1Bd</t>
  </si>
  <si>
    <t>Cheshire West and ChesterARGN2Bd</t>
  </si>
  <si>
    <t>Cheshire West and ChesterARGN3Bd</t>
  </si>
  <si>
    <t>Cheshire West and ChesterARGN4Bd</t>
  </si>
  <si>
    <t>Cheshire West and ChesterARGN5Bd</t>
  </si>
  <si>
    <t>Cheshire West and ChesterARGN6Bd</t>
  </si>
  <si>
    <t>Cheshire West and ChesterARGNBdst</t>
  </si>
  <si>
    <t>Cheshire West and ChesterARGNNSC</t>
  </si>
  <si>
    <t>Cheshire West and ChesterARGNTotal</t>
  </si>
  <si>
    <t>Cheshire West and ChesterARGNSC</t>
  </si>
  <si>
    <t>Cheshire West and ChesterARSHHOP1Bd</t>
  </si>
  <si>
    <t>Cheshire West and ChesterARSHHOP2Bd</t>
  </si>
  <si>
    <t>Cheshire West and ChesterARSHHOP3Bd</t>
  </si>
  <si>
    <t>Cheshire West and ChesterARSHHOP4Bd</t>
  </si>
  <si>
    <t>Cheshire West and ChesterARSHHOPBdst</t>
  </si>
  <si>
    <t>Cheshire West and ChesterARSHHOPNSC</t>
  </si>
  <si>
    <t>Cheshire West and ChesterARSHHOPSC</t>
  </si>
  <si>
    <t>Cheshire West and ChesterARSHHOPTotal</t>
  </si>
  <si>
    <t>Cheshire West and ChesterGN1Bd</t>
  </si>
  <si>
    <t>Cheshire West and ChesterGN2Bd</t>
  </si>
  <si>
    <t>Cheshire West and ChesterGN3Bd</t>
  </si>
  <si>
    <t>Cheshire West and ChesterGN4Bd</t>
  </si>
  <si>
    <t>Cheshire West and ChesterGN5Bd</t>
  </si>
  <si>
    <t>Cheshire West and ChesterGN6Bd</t>
  </si>
  <si>
    <t>Cheshire West and ChesterGNBdst</t>
  </si>
  <si>
    <t>Cheshire West and ChesterGNNSC</t>
  </si>
  <si>
    <t>Cheshire West and ChesterGNTotal</t>
  </si>
  <si>
    <t>Cheshire West and ChesterGNSC</t>
  </si>
  <si>
    <t>Cheshire West and ChesterGNAGGSC</t>
  </si>
  <si>
    <t>Cheshire West and ChesterGNAGGNSC</t>
  </si>
  <si>
    <t>Cheshire West and ChesterLCHO</t>
  </si>
  <si>
    <t>Cheshire West and ChesterSHHOP1Bd</t>
  </si>
  <si>
    <t>Cheshire West and ChesterSHHOP2Bd</t>
  </si>
  <si>
    <t>Cheshire West and ChesterSHHOP3Bd</t>
  </si>
  <si>
    <t>Cheshire West and ChesterSHHOP4Bd</t>
  </si>
  <si>
    <t>Cheshire West and ChesterSHHOPBdst</t>
  </si>
  <si>
    <t>Cheshire West and ChesterSHHOPNSC</t>
  </si>
  <si>
    <t>Cheshire West and ChesterSHHOPTotal</t>
  </si>
  <si>
    <t>Cheshire West and ChesterSHHOPSC</t>
  </si>
  <si>
    <t>Cheshire West and ChesterSHHOPAGGNA</t>
  </si>
  <si>
    <t>E06000051</t>
  </si>
  <si>
    <t>Shropshire</t>
  </si>
  <si>
    <t>ShropshireARGN1Bd</t>
  </si>
  <si>
    <t>ShropshireARGN2Bd</t>
  </si>
  <si>
    <t>ShropshireARGN3Bd</t>
  </si>
  <si>
    <t>ShropshireARGN4Bd</t>
  </si>
  <si>
    <t>ShropshireARGN5Bd</t>
  </si>
  <si>
    <t>ShropshireARGN6Bd</t>
  </si>
  <si>
    <t>ShropshireARGNBdst</t>
  </si>
  <si>
    <t>ShropshireARGNNSC</t>
  </si>
  <si>
    <t>ShropshireARGNTotal</t>
  </si>
  <si>
    <t>ShropshireARGNSC</t>
  </si>
  <si>
    <t>ShropshireARSHHOP1Bd</t>
  </si>
  <si>
    <t>ShropshireARSHHOP2Bd</t>
  </si>
  <si>
    <t>ShropshireARSHHOP3Bd</t>
  </si>
  <si>
    <t>ShropshireARSHHOP4Bd</t>
  </si>
  <si>
    <t>ShropshireARSHHOPBdst</t>
  </si>
  <si>
    <t>ShropshireARSHHOPNSC</t>
  </si>
  <si>
    <t>ShropshireARSHHOPSC</t>
  </si>
  <si>
    <t>ShropshireARSHHOPTotal</t>
  </si>
  <si>
    <t>ShropshireGN1Bd</t>
  </si>
  <si>
    <t>ShropshireGN2Bd</t>
  </si>
  <si>
    <t>ShropshireGN3Bd</t>
  </si>
  <si>
    <t>ShropshireGN4Bd</t>
  </si>
  <si>
    <t>ShropshireGN5Bd</t>
  </si>
  <si>
    <t>ShropshireGN6Bd</t>
  </si>
  <si>
    <t>ShropshireGNBdst</t>
  </si>
  <si>
    <t>ShropshireGNNSC</t>
  </si>
  <si>
    <t>ShropshireGNTotal</t>
  </si>
  <si>
    <t>ShropshireGNSC</t>
  </si>
  <si>
    <t>ShropshireGNAGGSC</t>
  </si>
  <si>
    <t>ShropshireGNAGGNSC</t>
  </si>
  <si>
    <t>ShropshireLCHO</t>
  </si>
  <si>
    <t>ShropshireSHHOP1Bd</t>
  </si>
  <si>
    <t>ShropshireSHHOP2Bd</t>
  </si>
  <si>
    <t>ShropshireSHHOP3Bd</t>
  </si>
  <si>
    <t>ShropshireSHHOP4Bd</t>
  </si>
  <si>
    <t>ShropshireSHHOPBdst</t>
  </si>
  <si>
    <t>ShropshireSHHOPNSC</t>
  </si>
  <si>
    <t>ShropshireSHHOPTotal</t>
  </si>
  <si>
    <t>ShropshireSHHOPSC</t>
  </si>
  <si>
    <t>ShropshireSHHOPAGGNA</t>
  </si>
  <si>
    <t>E06000052</t>
  </si>
  <si>
    <t>Cornwall</t>
  </si>
  <si>
    <t>CornwallARGN1Bd</t>
  </si>
  <si>
    <t>CornwallARGN2Bd</t>
  </si>
  <si>
    <t>CornwallARGN3Bd</t>
  </si>
  <si>
    <t>CornwallARGN4Bd</t>
  </si>
  <si>
    <t>CornwallARGN5Bd</t>
  </si>
  <si>
    <t>CornwallARGN6Bd</t>
  </si>
  <si>
    <t>CornwallARGNBdst</t>
  </si>
  <si>
    <t>CornwallARGNNSC</t>
  </si>
  <si>
    <t>CornwallARGNTotal</t>
  </si>
  <si>
    <t>CornwallARGNSC</t>
  </si>
  <si>
    <t>CornwallARSHHOP1Bd</t>
  </si>
  <si>
    <t>CornwallARSHHOP2Bd</t>
  </si>
  <si>
    <t>CornwallARSHHOP3Bd</t>
  </si>
  <si>
    <t>CornwallARSHHOP4Bd</t>
  </si>
  <si>
    <t>CornwallARSHHOPBdst</t>
  </si>
  <si>
    <t>CornwallARSHHOPNSC</t>
  </si>
  <si>
    <t>CornwallARSHHOPSC</t>
  </si>
  <si>
    <t>CornwallARSHHOPTotal</t>
  </si>
  <si>
    <t>CornwallGN1Bd</t>
  </si>
  <si>
    <t>CornwallGN2Bd</t>
  </si>
  <si>
    <t>CornwallGN3Bd</t>
  </si>
  <si>
    <t>CornwallGN4Bd</t>
  </si>
  <si>
    <t>CornwallGN5Bd</t>
  </si>
  <si>
    <t>CornwallGN6Bd</t>
  </si>
  <si>
    <t>CornwallGNBdst</t>
  </si>
  <si>
    <t>CornwallGNNSC</t>
  </si>
  <si>
    <t>CornwallGNTotal</t>
  </si>
  <si>
    <t>CornwallGNSC</t>
  </si>
  <si>
    <t>CornwallGNAGGSC</t>
  </si>
  <si>
    <t>CornwallGNAGGNSC</t>
  </si>
  <si>
    <t>CornwallLCHO</t>
  </si>
  <si>
    <t>CornwallSHHOP1Bd</t>
  </si>
  <si>
    <t>CornwallSHHOP2Bd</t>
  </si>
  <si>
    <t>CornwallSHHOP3Bd</t>
  </si>
  <si>
    <t>CornwallSHHOP4Bd</t>
  </si>
  <si>
    <t>CornwallSHHOPBdst</t>
  </si>
  <si>
    <t>CornwallSHHOPNSC</t>
  </si>
  <si>
    <t>CornwallSHHOPTotal</t>
  </si>
  <si>
    <t>CornwallSHHOPSC</t>
  </si>
  <si>
    <t>CornwallSHHOPAGGNA</t>
  </si>
  <si>
    <t>E06000053</t>
  </si>
  <si>
    <t>Isles of Scilly</t>
  </si>
  <si>
    <t>Isles of ScillyARGN1Bd</t>
  </si>
  <si>
    <t>Isles of ScillyARGN2Bd</t>
  </si>
  <si>
    <t>Isles of ScillyARGN3Bd</t>
  </si>
  <si>
    <t>Isles of ScillyARGN4Bd</t>
  </si>
  <si>
    <t>Isles of ScillyARGN5Bd</t>
  </si>
  <si>
    <t>Isles of ScillyARGN6Bd</t>
  </si>
  <si>
    <t>Isles of ScillyARGNBdst</t>
  </si>
  <si>
    <t>Isles of ScillyARGNNSC</t>
  </si>
  <si>
    <t>Isles of ScillyARGNTotal</t>
  </si>
  <si>
    <t>Isles of ScillyARGNSC</t>
  </si>
  <si>
    <t>Isles of ScillyARSHHOP1Bd</t>
  </si>
  <si>
    <t>Isles of ScillyARSHHOP2Bd</t>
  </si>
  <si>
    <t>Isles of ScillyARSHHOP3Bd</t>
  </si>
  <si>
    <t>Isles of ScillyARSHHOP4Bd</t>
  </si>
  <si>
    <t>Isles of ScillyARSHHOPBdst</t>
  </si>
  <si>
    <t>Isles of ScillyARSHHOPNSC</t>
  </si>
  <si>
    <t>Isles of ScillyARSHHOPSC</t>
  </si>
  <si>
    <t>Isles of ScillyARSHHOPTotal</t>
  </si>
  <si>
    <t>Isles of ScillyGN1Bd</t>
  </si>
  <si>
    <t>Isles of ScillyGN2Bd</t>
  </si>
  <si>
    <t>Isles of ScillyGN3Bd</t>
  </si>
  <si>
    <t>Isles of ScillyGN4Bd</t>
  </si>
  <si>
    <t>Isles of ScillyGN5Bd</t>
  </si>
  <si>
    <t>Isles of ScillyGN6Bd</t>
  </si>
  <si>
    <t>Isles of ScillyGNBdst</t>
  </si>
  <si>
    <t>Isles of ScillyGNNSC</t>
  </si>
  <si>
    <t>Isles of ScillyGNTotal</t>
  </si>
  <si>
    <t>Isles of ScillyGNSC</t>
  </si>
  <si>
    <t>Isles of ScillyGNAGGSC</t>
  </si>
  <si>
    <t>Isles of ScillyGNAGGNSC</t>
  </si>
  <si>
    <t>Isles of ScillyLCHO</t>
  </si>
  <si>
    <t>Isles of ScillySHHOPAGGNA</t>
  </si>
  <si>
    <t>E06000054</t>
  </si>
  <si>
    <t>WiltshireARGN1Bd</t>
  </si>
  <si>
    <t>WiltshireARGN2Bd</t>
  </si>
  <si>
    <t>WiltshireARGN3Bd</t>
  </si>
  <si>
    <t>WiltshireARGN4Bd</t>
  </si>
  <si>
    <t>WiltshireARGN5Bd</t>
  </si>
  <si>
    <t>WiltshireARGN6Bd</t>
  </si>
  <si>
    <t>WiltshireARGNBdst</t>
  </si>
  <si>
    <t>WiltshireARGNNSC</t>
  </si>
  <si>
    <t>WiltshireARGNTotal</t>
  </si>
  <si>
    <t>WiltshireARGNSC</t>
  </si>
  <si>
    <t>WiltshireARSHHOP1Bd</t>
  </si>
  <si>
    <t>WiltshireARSHHOP2Bd</t>
  </si>
  <si>
    <t>WiltshireARSHHOP3Bd</t>
  </si>
  <si>
    <t>WiltshireARSHHOP4Bd</t>
  </si>
  <si>
    <t>WiltshireARSHHOPBdst</t>
  </si>
  <si>
    <t>WiltshireARSHHOPNSC</t>
  </si>
  <si>
    <t>WiltshireARSHHOPSC</t>
  </si>
  <si>
    <t>WiltshireARSHHOPTotal</t>
  </si>
  <si>
    <t>WiltshireGN1Bd</t>
  </si>
  <si>
    <t>WiltshireGN2Bd</t>
  </si>
  <si>
    <t>WiltshireGN3Bd</t>
  </si>
  <si>
    <t>WiltshireGN4Bd</t>
  </si>
  <si>
    <t>WiltshireGN5Bd</t>
  </si>
  <si>
    <t>WiltshireGN6Bd</t>
  </si>
  <si>
    <t>WiltshireGNBdst</t>
  </si>
  <si>
    <t>WiltshireGNNSC</t>
  </si>
  <si>
    <t>WiltshireGNTotal</t>
  </si>
  <si>
    <t>WiltshireGNSC</t>
  </si>
  <si>
    <t>WiltshireGNAGGSC</t>
  </si>
  <si>
    <t>WiltshireGNAGGNSC</t>
  </si>
  <si>
    <t>WiltshireLCHO</t>
  </si>
  <si>
    <t>WiltshireSHHOP1Bd</t>
  </si>
  <si>
    <t>WiltshireSHHOP2Bd</t>
  </si>
  <si>
    <t>WiltshireSHHOP3Bd</t>
  </si>
  <si>
    <t>WiltshireSHHOP4Bd</t>
  </si>
  <si>
    <t>WiltshireSHHOPBdst</t>
  </si>
  <si>
    <t>WiltshireSHHOPNSC</t>
  </si>
  <si>
    <t>WiltshireSHHOPTotal</t>
  </si>
  <si>
    <t>WiltshireSHHOPSC</t>
  </si>
  <si>
    <t>WiltshireSHHOPAGGNA</t>
  </si>
  <si>
    <t>E06000055</t>
  </si>
  <si>
    <t>Bedford</t>
  </si>
  <si>
    <t>BedfordARGN1Bd</t>
  </si>
  <si>
    <t>BedfordARGN2Bd</t>
  </si>
  <si>
    <t>BedfordARGN3Bd</t>
  </si>
  <si>
    <t>BedfordARGN4Bd</t>
  </si>
  <si>
    <t>BedfordARGN5Bd</t>
  </si>
  <si>
    <t>BedfordARGN6Bd</t>
  </si>
  <si>
    <t>BedfordARGNBdst</t>
  </si>
  <si>
    <t>BedfordARGNNSC</t>
  </si>
  <si>
    <t>BedfordARGNTotal</t>
  </si>
  <si>
    <t>BedfordARGNSC</t>
  </si>
  <si>
    <t>BedfordARSHHOP1Bd</t>
  </si>
  <si>
    <t>BedfordARSHHOP2Bd</t>
  </si>
  <si>
    <t>BedfordARSHHOP3Bd</t>
  </si>
  <si>
    <t>BedfordARSHHOP4Bd</t>
  </si>
  <si>
    <t>BedfordARSHHOPBdst</t>
  </si>
  <si>
    <t>BedfordARSHHOPNSC</t>
  </si>
  <si>
    <t>BedfordARSHHOPSC</t>
  </si>
  <si>
    <t>BedfordARSHHOPTotal</t>
  </si>
  <si>
    <t>BedfordGN1Bd</t>
  </si>
  <si>
    <t>BedfordGN2Bd</t>
  </si>
  <si>
    <t>BedfordGN3Bd</t>
  </si>
  <si>
    <t>BedfordGN4Bd</t>
  </si>
  <si>
    <t>BedfordGN5Bd</t>
  </si>
  <si>
    <t>BedfordGN6Bd</t>
  </si>
  <si>
    <t>BedfordGNBdst</t>
  </si>
  <si>
    <t>BedfordGNNSC</t>
  </si>
  <si>
    <t>BedfordGNTotal</t>
  </si>
  <si>
    <t>BedfordGNSC</t>
  </si>
  <si>
    <t>BedfordGNAGGSC</t>
  </si>
  <si>
    <t>BedfordGNAGGNSC</t>
  </si>
  <si>
    <t>BedfordLCHO</t>
  </si>
  <si>
    <t>BedfordSHHOP1Bd</t>
  </si>
  <si>
    <t>BedfordSHHOP2Bd</t>
  </si>
  <si>
    <t>BedfordSHHOP3Bd</t>
  </si>
  <si>
    <t>BedfordSHHOP4Bd</t>
  </si>
  <si>
    <t>BedfordSHHOPBdst</t>
  </si>
  <si>
    <t>BedfordSHHOPNSC</t>
  </si>
  <si>
    <t>BedfordSHHOPTotal</t>
  </si>
  <si>
    <t>BedfordSHHOPSC</t>
  </si>
  <si>
    <t>BedfordSHHOPAGGNA</t>
  </si>
  <si>
    <t>E06000056</t>
  </si>
  <si>
    <t>Central Bedfordshire</t>
  </si>
  <si>
    <t>Central BedfordshireARGN1Bd</t>
  </si>
  <si>
    <t>Central BedfordshireARGN2Bd</t>
  </si>
  <si>
    <t>Central BedfordshireARGN3Bd</t>
  </si>
  <si>
    <t>Central BedfordshireARGN4Bd</t>
  </si>
  <si>
    <t>Central BedfordshireARGN5Bd</t>
  </si>
  <si>
    <t>Central BedfordshireARGN6Bd</t>
  </si>
  <si>
    <t>Central BedfordshireARGNBdst</t>
  </si>
  <si>
    <t>Central BedfordshireARGNNSC</t>
  </si>
  <si>
    <t>Central BedfordshireARGNTotal</t>
  </si>
  <si>
    <t>Central BedfordshireARGNSC</t>
  </si>
  <si>
    <t>Central BedfordshireARSHHOP1Bd</t>
  </si>
  <si>
    <t>Central BedfordshireARSHHOP2Bd</t>
  </si>
  <si>
    <t>Central BedfordshireARSHHOP3Bd</t>
  </si>
  <si>
    <t>Central BedfordshireARSHHOP4Bd</t>
  </si>
  <si>
    <t>Central BedfordshireARSHHOPBdst</t>
  </si>
  <si>
    <t>Central BedfordshireARSHHOPNSC</t>
  </si>
  <si>
    <t>Central BedfordshireARSHHOPSC</t>
  </si>
  <si>
    <t>Central BedfordshireARSHHOPTotal</t>
  </si>
  <si>
    <t>Central BedfordshireGN1Bd</t>
  </si>
  <si>
    <t>Central BedfordshireGN2Bd</t>
  </si>
  <si>
    <t>Central BedfordshireGN3Bd</t>
  </si>
  <si>
    <t>Central BedfordshireGN4Bd</t>
  </si>
  <si>
    <t>Central BedfordshireGN5Bd</t>
  </si>
  <si>
    <t>Central BedfordshireGN6Bd</t>
  </si>
  <si>
    <t>Central BedfordshireGNBdst</t>
  </si>
  <si>
    <t>Central BedfordshireGNNSC</t>
  </si>
  <si>
    <t>Central BedfordshireGNTotal</t>
  </si>
  <si>
    <t>Central BedfordshireGNSC</t>
  </si>
  <si>
    <t>Central BedfordshireGNAGGSC</t>
  </si>
  <si>
    <t>Central BedfordshireGNAGGNSC</t>
  </si>
  <si>
    <t>Central BedfordshireLCHO</t>
  </si>
  <si>
    <t>Central BedfordshireSHHOP1Bd</t>
  </si>
  <si>
    <t>Central BedfordshireSHHOP2Bd</t>
  </si>
  <si>
    <t>Central BedfordshireSHHOP3Bd</t>
  </si>
  <si>
    <t>Central BedfordshireSHHOP4Bd</t>
  </si>
  <si>
    <t>Central BedfordshireSHHOPBdst</t>
  </si>
  <si>
    <t>Central BedfordshireSHHOPNSC</t>
  </si>
  <si>
    <t>Central BedfordshireSHHOPTotal</t>
  </si>
  <si>
    <t>Central BedfordshireSHHOPSC</t>
  </si>
  <si>
    <t>Central BedfordshireSHHOPAGGNA</t>
  </si>
  <si>
    <t>E06000057</t>
  </si>
  <si>
    <t>Northumberland</t>
  </si>
  <si>
    <t>NorthumberlandARGN1Bd</t>
  </si>
  <si>
    <t>NorthumberlandARGN2Bd</t>
  </si>
  <si>
    <t>NorthumberlandARGN3Bd</t>
  </si>
  <si>
    <t>NorthumberlandARGN4Bd</t>
  </si>
  <si>
    <t>NorthumberlandARGN5Bd</t>
  </si>
  <si>
    <t>NorthumberlandARGN6Bd</t>
  </si>
  <si>
    <t>NorthumberlandARGNBdst</t>
  </si>
  <si>
    <t>NorthumberlandARGNNSC</t>
  </si>
  <si>
    <t>NorthumberlandARGNTotal</t>
  </si>
  <si>
    <t>NorthumberlandARGNSC</t>
  </si>
  <si>
    <t>NorthumberlandARSHHOP1Bd</t>
  </si>
  <si>
    <t>NorthumberlandARSHHOP2Bd</t>
  </si>
  <si>
    <t>NorthumberlandARSHHOP3Bd</t>
  </si>
  <si>
    <t>NorthumberlandARSHHOP4Bd</t>
  </si>
  <si>
    <t>NorthumberlandARSHHOPBdst</t>
  </si>
  <si>
    <t>NorthumberlandARSHHOPNSC</t>
  </si>
  <si>
    <t>NorthumberlandARSHHOPSC</t>
  </si>
  <si>
    <t>NorthumberlandARSHHOPTotal</t>
  </si>
  <si>
    <t>NorthumberlandGN1Bd</t>
  </si>
  <si>
    <t>NorthumberlandGN2Bd</t>
  </si>
  <si>
    <t>NorthumberlandGN3Bd</t>
  </si>
  <si>
    <t>NorthumberlandGN4Bd</t>
  </si>
  <si>
    <t>NorthumberlandGN5Bd</t>
  </si>
  <si>
    <t>NorthumberlandGN6Bd</t>
  </si>
  <si>
    <t>NorthumberlandGNBdst</t>
  </si>
  <si>
    <t>NorthumberlandGNNSC</t>
  </si>
  <si>
    <t>NorthumberlandGNTotal</t>
  </si>
  <si>
    <t>NorthumberlandGNSC</t>
  </si>
  <si>
    <t>NorthumberlandGNAGGSC</t>
  </si>
  <si>
    <t>NorthumberlandGNAGGNSC</t>
  </si>
  <si>
    <t>NorthumberlandLCHO</t>
  </si>
  <si>
    <t>NorthumberlandSHHOP1Bd</t>
  </si>
  <si>
    <t>NorthumberlandSHHOP2Bd</t>
  </si>
  <si>
    <t>NorthumberlandSHHOP3Bd</t>
  </si>
  <si>
    <t>NorthumberlandSHHOP4Bd</t>
  </si>
  <si>
    <t>NorthumberlandSHHOPBdst</t>
  </si>
  <si>
    <t>NorthumberlandSHHOPNSC</t>
  </si>
  <si>
    <t>NorthumberlandSHHOPTotal</t>
  </si>
  <si>
    <t>NorthumberlandSHHOPSC</t>
  </si>
  <si>
    <t>NorthumberlandSHHOPAGGNA</t>
  </si>
  <si>
    <t>E06000058</t>
  </si>
  <si>
    <t>Bournemouth Christchurch and Poole</t>
  </si>
  <si>
    <t>Bournemouth Christchurch and PooleARGN1Bd</t>
  </si>
  <si>
    <t>Bournemouth Christchurch and PooleARGN2Bd</t>
  </si>
  <si>
    <t>Bournemouth Christchurch and PooleARGN3Bd</t>
  </si>
  <si>
    <t>Bournemouth Christchurch and PooleARGN4Bd</t>
  </si>
  <si>
    <t>Bournemouth Christchurch and PooleARGN5Bd</t>
  </si>
  <si>
    <t>Bournemouth Christchurch and PooleARGN6Bd</t>
  </si>
  <si>
    <t>Bournemouth Christchurch and PooleARGNBdst</t>
  </si>
  <si>
    <t>Bournemouth Christchurch and PooleARGNNSC</t>
  </si>
  <si>
    <t>Bournemouth Christchurch and PooleARGNTotal</t>
  </si>
  <si>
    <t>Bournemouth Christchurch and PooleARGNSC</t>
  </si>
  <si>
    <t>Bournemouth Christchurch and PooleARSHHOP1Bd</t>
  </si>
  <si>
    <t>Bournemouth Christchurch and PooleARSHHOP2Bd</t>
  </si>
  <si>
    <t>Bournemouth Christchurch and PooleARSHHOP3Bd</t>
  </si>
  <si>
    <t>Bournemouth Christchurch and PooleARSHHOP4Bd</t>
  </si>
  <si>
    <t>Bournemouth Christchurch and PooleARSHHOPBdst</t>
  </si>
  <si>
    <t>Bournemouth Christchurch and PooleARSHHOPNSC</t>
  </si>
  <si>
    <t>Bournemouth Christchurch and PooleARSHHOPSC</t>
  </si>
  <si>
    <t>Bournemouth Christchurch and PooleARSHHOPTotal</t>
  </si>
  <si>
    <t>Bournemouth Christchurch and PooleGN1Bd</t>
  </si>
  <si>
    <t>Bournemouth Christchurch and PooleGN2Bd</t>
  </si>
  <si>
    <t>Bournemouth Christchurch and PooleGN3Bd</t>
  </si>
  <si>
    <t>Bournemouth Christchurch and PooleGN4Bd</t>
  </si>
  <si>
    <t>Bournemouth Christchurch and PooleGN5Bd</t>
  </si>
  <si>
    <t>Bournemouth Christchurch and PooleGN6Bd</t>
  </si>
  <si>
    <t>Bournemouth Christchurch and PooleGNBdst</t>
  </si>
  <si>
    <t>Bournemouth Christchurch and PooleGNNSC</t>
  </si>
  <si>
    <t>Bournemouth Christchurch and PooleGNTotal</t>
  </si>
  <si>
    <t>Bournemouth Christchurch and PooleGNSC</t>
  </si>
  <si>
    <t>Bournemouth Christchurch and PooleGNAGGSC</t>
  </si>
  <si>
    <t>Bournemouth Christchurch and PooleGNAGGNSC</t>
  </si>
  <si>
    <t>Bournemouth Christchurch and PooleLCHO</t>
  </si>
  <si>
    <t>Bournemouth Christchurch and PooleSHHOP1Bd</t>
  </si>
  <si>
    <t>Bournemouth Christchurch and PooleSHHOP2Bd</t>
  </si>
  <si>
    <t>Bournemouth Christchurch and PooleSHHOP3Bd</t>
  </si>
  <si>
    <t>Bournemouth Christchurch and PooleSHHOP4Bd</t>
  </si>
  <si>
    <t>Bournemouth Christchurch and PooleSHHOPBdst</t>
  </si>
  <si>
    <t>Bournemouth Christchurch and PooleSHHOPNSC</t>
  </si>
  <si>
    <t>Bournemouth Christchurch and PooleSHHOPTotal</t>
  </si>
  <si>
    <t>Bournemouth Christchurch and PooleSHHOPSC</t>
  </si>
  <si>
    <t>Bournemouth Christchurch and PooleSHHOPAGGNA</t>
  </si>
  <si>
    <t>E06000059</t>
  </si>
  <si>
    <t>Dorset</t>
  </si>
  <si>
    <t>DorsetARGN1Bd</t>
  </si>
  <si>
    <t>DorsetARGN2Bd</t>
  </si>
  <si>
    <t>DorsetARGN3Bd</t>
  </si>
  <si>
    <t>DorsetARGN4Bd</t>
  </si>
  <si>
    <t>DorsetARGN5Bd</t>
  </si>
  <si>
    <t>DorsetARGN6Bd</t>
  </si>
  <si>
    <t>DorsetARGNBdst</t>
  </si>
  <si>
    <t>DorsetARGNNSC</t>
  </si>
  <si>
    <t>DorsetARGNTotal</t>
  </si>
  <si>
    <t>DorsetARGNSC</t>
  </si>
  <si>
    <t>DorsetARSHHOP1Bd</t>
  </si>
  <si>
    <t>DorsetARSHHOP2Bd</t>
  </si>
  <si>
    <t>DorsetARSHHOP3Bd</t>
  </si>
  <si>
    <t>DorsetARSHHOP4Bd</t>
  </si>
  <si>
    <t>DorsetARSHHOPBdst</t>
  </si>
  <si>
    <t>DorsetARSHHOPNSC</t>
  </si>
  <si>
    <t>DorsetARSHHOPSC</t>
  </si>
  <si>
    <t>DorsetARSHHOPTotal</t>
  </si>
  <si>
    <t>DorsetGN1Bd</t>
  </si>
  <si>
    <t>DorsetGN2Bd</t>
  </si>
  <si>
    <t>DorsetGN3Bd</t>
  </si>
  <si>
    <t>DorsetGN4Bd</t>
  </si>
  <si>
    <t>DorsetGN5Bd</t>
  </si>
  <si>
    <t>DorsetGN6Bd</t>
  </si>
  <si>
    <t>DorsetGNBdst</t>
  </si>
  <si>
    <t>DorsetGNNSC</t>
  </si>
  <si>
    <t>DorsetGNTotal</t>
  </si>
  <si>
    <t>DorsetGNSC</t>
  </si>
  <si>
    <t>DorsetGNAGGSC</t>
  </si>
  <si>
    <t>DorsetGNAGGNSC</t>
  </si>
  <si>
    <t>DorsetLCHO</t>
  </si>
  <si>
    <t>DorsetSHHOP1Bd</t>
  </si>
  <si>
    <t>DorsetSHHOP2Bd</t>
  </si>
  <si>
    <t>DorsetSHHOP3Bd</t>
  </si>
  <si>
    <t>DorsetSHHOP4Bd</t>
  </si>
  <si>
    <t>DorsetSHHOPBdst</t>
  </si>
  <si>
    <t>DorsetSHHOPNSC</t>
  </si>
  <si>
    <t>DorsetSHHOPTotal</t>
  </si>
  <si>
    <t>DorsetSHHOPSC</t>
  </si>
  <si>
    <t>DorsetSHHOPAGGNA</t>
  </si>
  <si>
    <t>E06000060</t>
  </si>
  <si>
    <t>Buckinghamshire</t>
  </si>
  <si>
    <t>BuckinghamshireARGN1Bd</t>
  </si>
  <si>
    <t>BuckinghamshireARGN2Bd</t>
  </si>
  <si>
    <t>BuckinghamshireARGN3Bd</t>
  </si>
  <si>
    <t>BuckinghamshireARGN4Bd</t>
  </si>
  <si>
    <t>BuckinghamshireARGN5Bd</t>
  </si>
  <si>
    <t>BuckinghamshireARGN6Bd</t>
  </si>
  <si>
    <t>BuckinghamshireARGNBdst</t>
  </si>
  <si>
    <t>BuckinghamshireARGNNSC</t>
  </si>
  <si>
    <t>BuckinghamshireARGNTotal</t>
  </si>
  <si>
    <t>BuckinghamshireARGNSC</t>
  </si>
  <si>
    <t>BuckinghamshireARSHHOP1Bd</t>
  </si>
  <si>
    <t>BuckinghamshireARSHHOP2Bd</t>
  </si>
  <si>
    <t>BuckinghamshireARSHHOP3Bd</t>
  </si>
  <si>
    <t>BuckinghamshireARSHHOP4Bd</t>
  </si>
  <si>
    <t>BuckinghamshireARSHHOPBdst</t>
  </si>
  <si>
    <t>BuckinghamshireARSHHOPNSC</t>
  </si>
  <si>
    <t>BuckinghamshireARSHHOPSC</t>
  </si>
  <si>
    <t>BuckinghamshireARSHHOPTotal</t>
  </si>
  <si>
    <t>BuckinghamshireGN1Bd</t>
  </si>
  <si>
    <t>BuckinghamshireGN2Bd</t>
  </si>
  <si>
    <t>BuckinghamshireGN3Bd</t>
  </si>
  <si>
    <t>BuckinghamshireGN4Bd</t>
  </si>
  <si>
    <t>BuckinghamshireGN5Bd</t>
  </si>
  <si>
    <t>BuckinghamshireGN6Bd</t>
  </si>
  <si>
    <t>BuckinghamshireGNBdst</t>
  </si>
  <si>
    <t>BuckinghamshireGNNSC</t>
  </si>
  <si>
    <t>BuckinghamshireGNTotal</t>
  </si>
  <si>
    <t>BuckinghamshireGNSC</t>
  </si>
  <si>
    <t>BuckinghamshireGNAGGSC</t>
  </si>
  <si>
    <t>BuckinghamshireGNAGGNSC</t>
  </si>
  <si>
    <t>BuckinghamshireLCHO</t>
  </si>
  <si>
    <t>BuckinghamshireSHHOP1Bd</t>
  </si>
  <si>
    <t>BuckinghamshireSHHOP2Bd</t>
  </si>
  <si>
    <t>BuckinghamshireSHHOP3Bd</t>
  </si>
  <si>
    <t>BuckinghamshireSHHOP4Bd</t>
  </si>
  <si>
    <t>BuckinghamshireSHHOPBdst</t>
  </si>
  <si>
    <t>BuckinghamshireSHHOPNSC</t>
  </si>
  <si>
    <t>BuckinghamshireSHHOPTotal</t>
  </si>
  <si>
    <t>BuckinghamshireSHHOPSC</t>
  </si>
  <si>
    <t>BuckinghamshireSHHOPAGGNA</t>
  </si>
  <si>
    <t>E06000061</t>
  </si>
  <si>
    <t>North Northamptonshire</t>
  </si>
  <si>
    <t>North NorthamptonshireARGN1Bd</t>
  </si>
  <si>
    <t>North NorthamptonshireARGN2Bd</t>
  </si>
  <si>
    <t>North NorthamptonshireARGN3Bd</t>
  </si>
  <si>
    <t>North NorthamptonshireARGN4Bd</t>
  </si>
  <si>
    <t>North NorthamptonshireARGN5Bd</t>
  </si>
  <si>
    <t>North NorthamptonshireARGN6Bd</t>
  </si>
  <si>
    <t>North NorthamptonshireARGNBdst</t>
  </si>
  <si>
    <t>North NorthamptonshireARGNNSC</t>
  </si>
  <si>
    <t>North NorthamptonshireARGNTotal</t>
  </si>
  <si>
    <t>North NorthamptonshireARGNSC</t>
  </si>
  <si>
    <t>North NorthamptonshireARSHHOP1Bd</t>
  </si>
  <si>
    <t>North NorthamptonshireARSHHOP2Bd</t>
  </si>
  <si>
    <t>North NorthamptonshireARSHHOP3Bd</t>
  </si>
  <si>
    <t>North NorthamptonshireARSHHOP4Bd</t>
  </si>
  <si>
    <t>North NorthamptonshireARSHHOPBdst</t>
  </si>
  <si>
    <t>North NorthamptonshireARSHHOPNSC</t>
  </si>
  <si>
    <t>North NorthamptonshireARSHHOPSC</t>
  </si>
  <si>
    <t>North NorthamptonshireARSHHOPTotal</t>
  </si>
  <si>
    <t>North NorthamptonshireGN1Bd</t>
  </si>
  <si>
    <t>North NorthamptonshireGN2Bd</t>
  </si>
  <si>
    <t>North NorthamptonshireGN3Bd</t>
  </si>
  <si>
    <t>North NorthamptonshireGN4Bd</t>
  </si>
  <si>
    <t>North NorthamptonshireGN5Bd</t>
  </si>
  <si>
    <t>North NorthamptonshireGN6Bd</t>
  </si>
  <si>
    <t>North NorthamptonshireGNBdst</t>
  </si>
  <si>
    <t>North NorthamptonshireGNNSC</t>
  </si>
  <si>
    <t>North NorthamptonshireGNTotal</t>
  </si>
  <si>
    <t>North NorthamptonshireGNSC</t>
  </si>
  <si>
    <t>North NorthamptonshireGNAGGSC</t>
  </si>
  <si>
    <t>North NorthamptonshireGNAGGNSC</t>
  </si>
  <si>
    <t>North NorthamptonshireLCHO</t>
  </si>
  <si>
    <t>North NorthamptonshireSHHOP1Bd</t>
  </si>
  <si>
    <t>North NorthamptonshireSHHOP2Bd</t>
  </si>
  <si>
    <t>North NorthamptonshireSHHOP3Bd</t>
  </si>
  <si>
    <t>North NorthamptonshireSHHOP4Bd</t>
  </si>
  <si>
    <t>North NorthamptonshireSHHOPBdst</t>
  </si>
  <si>
    <t>North NorthamptonshireSHHOPNSC</t>
  </si>
  <si>
    <t>North NorthamptonshireSHHOPTotal</t>
  </si>
  <si>
    <t>North NorthamptonshireSHHOPSC</t>
  </si>
  <si>
    <t>North NorthamptonshireSHHOPAGGNA</t>
  </si>
  <si>
    <t>E06000062</t>
  </si>
  <si>
    <t>West NorthamptonshireARGN1Bd</t>
  </si>
  <si>
    <t>West NorthamptonshireARGN2Bd</t>
  </si>
  <si>
    <t>West NorthamptonshireARGN3Bd</t>
  </si>
  <si>
    <t>West NorthamptonshireARGN4Bd</t>
  </si>
  <si>
    <t>West NorthamptonshireARGN5Bd</t>
  </si>
  <si>
    <t>West NorthamptonshireARGN6Bd</t>
  </si>
  <si>
    <t>West NorthamptonshireARGNBdst</t>
  </si>
  <si>
    <t>West NorthamptonshireARGNNSC</t>
  </si>
  <si>
    <t>West NorthamptonshireARGNTotal</t>
  </si>
  <si>
    <t>West NorthamptonshireARGNSC</t>
  </si>
  <si>
    <t>West NorthamptonshireARSHHOP1Bd</t>
  </si>
  <si>
    <t>West NorthamptonshireARSHHOP2Bd</t>
  </si>
  <si>
    <t>West NorthamptonshireARSHHOP3Bd</t>
  </si>
  <si>
    <t>West NorthamptonshireARSHHOP4Bd</t>
  </si>
  <si>
    <t>West NorthamptonshireARSHHOPBdst</t>
  </si>
  <si>
    <t>West NorthamptonshireARSHHOPNSC</t>
  </si>
  <si>
    <t>West NorthamptonshireARSHHOPSC</t>
  </si>
  <si>
    <t>West NorthamptonshireARSHHOPTotal</t>
  </si>
  <si>
    <t>West NorthamptonshireGN1Bd</t>
  </si>
  <si>
    <t>West NorthamptonshireGN2Bd</t>
  </si>
  <si>
    <t>West NorthamptonshireGN3Bd</t>
  </si>
  <si>
    <t>West NorthamptonshireGN4Bd</t>
  </si>
  <si>
    <t>West NorthamptonshireGN5Bd</t>
  </si>
  <si>
    <t>West NorthamptonshireGN6Bd</t>
  </si>
  <si>
    <t>West NorthamptonshireGNBdst</t>
  </si>
  <si>
    <t>West NorthamptonshireGNNSC</t>
  </si>
  <si>
    <t>West NorthamptonshireGNTotal</t>
  </si>
  <si>
    <t>West NorthamptonshireGNSC</t>
  </si>
  <si>
    <t>West NorthamptonshireGNAGGSC</t>
  </si>
  <si>
    <t>West NorthamptonshireGNAGGNSC</t>
  </si>
  <si>
    <t>West NorthamptonshireLCHO</t>
  </si>
  <si>
    <t>West NorthamptonshireSHHOP1Bd</t>
  </si>
  <si>
    <t>West NorthamptonshireSHHOP2Bd</t>
  </si>
  <si>
    <t>West NorthamptonshireSHHOP3Bd</t>
  </si>
  <si>
    <t>West NorthamptonshireSHHOP4Bd</t>
  </si>
  <si>
    <t>West NorthamptonshireSHHOPBdst</t>
  </si>
  <si>
    <t>West NorthamptonshireSHHOPNSC</t>
  </si>
  <si>
    <t>West NorthamptonshireSHHOPTotal</t>
  </si>
  <si>
    <t>West NorthamptonshireSHHOPSC</t>
  </si>
  <si>
    <t>West NorthamptonshireSHHOPAGGNA</t>
  </si>
  <si>
    <t>E06000063</t>
  </si>
  <si>
    <t>Cumberland</t>
  </si>
  <si>
    <t>CumberlandARGN1Bd</t>
  </si>
  <si>
    <t>CumberlandARGN2Bd</t>
  </si>
  <si>
    <t>CumberlandARGN3Bd</t>
  </si>
  <si>
    <t>CumberlandARGN4Bd</t>
  </si>
  <si>
    <t>CumberlandARGN5Bd</t>
  </si>
  <si>
    <t>CumberlandARGN6Bd</t>
  </si>
  <si>
    <t>CumberlandARGNBdst</t>
  </si>
  <si>
    <t>CumberlandARGNNSC</t>
  </si>
  <si>
    <t>CumberlandARGNTotal</t>
  </si>
  <si>
    <t>CumberlandARGNSC</t>
  </si>
  <si>
    <t>CumberlandARSHHOP1Bd</t>
  </si>
  <si>
    <t>CumberlandARSHHOP2Bd</t>
  </si>
  <si>
    <t>CumberlandARSHHOP3Bd</t>
  </si>
  <si>
    <t>CumberlandARSHHOP4Bd</t>
  </si>
  <si>
    <t>CumberlandARSHHOPBdst</t>
  </si>
  <si>
    <t>CumberlandARSHHOPNSC</t>
  </si>
  <si>
    <t>CumberlandARSHHOPSC</t>
  </si>
  <si>
    <t>CumberlandARSHHOPTotal</t>
  </si>
  <si>
    <t>CumberlandGN1Bd</t>
  </si>
  <si>
    <t>CumberlandGN2Bd</t>
  </si>
  <si>
    <t>CumberlandGN3Bd</t>
  </si>
  <si>
    <t>CumberlandGN4Bd</t>
  </si>
  <si>
    <t>CumberlandGN5Bd</t>
  </si>
  <si>
    <t>CumberlandGN6Bd</t>
  </si>
  <si>
    <t>CumberlandGNBdst</t>
  </si>
  <si>
    <t>CumberlandGNNSC</t>
  </si>
  <si>
    <t>CumberlandGNTotal</t>
  </si>
  <si>
    <t>CumberlandGNSC</t>
  </si>
  <si>
    <t>CumberlandGNAGGSC</t>
  </si>
  <si>
    <t>CumberlandGNAGGNSC</t>
  </si>
  <si>
    <t>CumberlandLCHO</t>
  </si>
  <si>
    <t>CumberlandSHHOP1Bd</t>
  </si>
  <si>
    <t>CumberlandSHHOP2Bd</t>
  </si>
  <si>
    <t>CumberlandSHHOP3Bd</t>
  </si>
  <si>
    <t>CumberlandSHHOP4Bd</t>
  </si>
  <si>
    <t>CumberlandSHHOPBdst</t>
  </si>
  <si>
    <t>CumberlandSHHOPNSC</t>
  </si>
  <si>
    <t>CumberlandSHHOPTotal</t>
  </si>
  <si>
    <t>CumberlandSHHOPSC</t>
  </si>
  <si>
    <t>CumberlandSHHOPAGGNA</t>
  </si>
  <si>
    <t>E06000064</t>
  </si>
  <si>
    <t>Westmorland and FurnessARGN1Bd</t>
  </si>
  <si>
    <t>Westmorland and FurnessARGN2Bd</t>
  </si>
  <si>
    <t>Westmorland and FurnessARGN3Bd</t>
  </si>
  <si>
    <t>Westmorland and FurnessARGN4Bd</t>
  </si>
  <si>
    <t>Westmorland and FurnessARGN5Bd</t>
  </si>
  <si>
    <t>Westmorland and FurnessARGN6Bd</t>
  </si>
  <si>
    <t>Westmorland and FurnessARGNBdst</t>
  </si>
  <si>
    <t>Westmorland and FurnessARGNNSC</t>
  </si>
  <si>
    <t>Westmorland and FurnessARGNTotal</t>
  </si>
  <si>
    <t>Westmorland and FurnessARGNSC</t>
  </si>
  <si>
    <t>Westmorland and FurnessARSHHOP1Bd</t>
  </si>
  <si>
    <t>Westmorland and FurnessARSHHOP2Bd</t>
  </si>
  <si>
    <t>Westmorland and FurnessARSHHOP3Bd</t>
  </si>
  <si>
    <t>Westmorland and FurnessARSHHOP4Bd</t>
  </si>
  <si>
    <t>Westmorland and FurnessARSHHOPBdst</t>
  </si>
  <si>
    <t>Westmorland and FurnessARSHHOPNSC</t>
  </si>
  <si>
    <t>Westmorland and FurnessARSHHOPSC</t>
  </si>
  <si>
    <t>Westmorland and FurnessARSHHOPTotal</t>
  </si>
  <si>
    <t>Westmorland and FurnessGN1Bd</t>
  </si>
  <si>
    <t>Westmorland and FurnessGN2Bd</t>
  </si>
  <si>
    <t>Westmorland and FurnessGN3Bd</t>
  </si>
  <si>
    <t>Westmorland and FurnessGN4Bd</t>
  </si>
  <si>
    <t>Westmorland and FurnessGN5Bd</t>
  </si>
  <si>
    <t>Westmorland and FurnessGN6Bd</t>
  </si>
  <si>
    <t>Westmorland and FurnessGNBdst</t>
  </si>
  <si>
    <t>Westmorland and FurnessGNNSC</t>
  </si>
  <si>
    <t>Westmorland and FurnessGNTotal</t>
  </si>
  <si>
    <t>Westmorland and FurnessGNSC</t>
  </si>
  <si>
    <t>Westmorland and FurnessGNAGGSC</t>
  </si>
  <si>
    <t>Westmorland and FurnessGNAGGNSC</t>
  </si>
  <si>
    <t>Westmorland and FurnessLCHO</t>
  </si>
  <si>
    <t>Westmorland and FurnessSHHOP1Bd</t>
  </si>
  <si>
    <t>Westmorland and FurnessSHHOP2Bd</t>
  </si>
  <si>
    <t>Westmorland and FurnessSHHOP3Bd</t>
  </si>
  <si>
    <t>Westmorland and FurnessSHHOP4Bd</t>
  </si>
  <si>
    <t>Westmorland and FurnessSHHOPBdst</t>
  </si>
  <si>
    <t>Westmorland and FurnessSHHOPNSC</t>
  </si>
  <si>
    <t>Westmorland and FurnessSHHOPTotal</t>
  </si>
  <si>
    <t>Westmorland and FurnessSHHOPSC</t>
  </si>
  <si>
    <t>Westmorland and FurnessSHHOPAGGNA</t>
  </si>
  <si>
    <t>E06000065</t>
  </si>
  <si>
    <t>North Yorkshire</t>
  </si>
  <si>
    <t>North YorkshireARGN1Bd</t>
  </si>
  <si>
    <t>North YorkshireARGN2Bd</t>
  </si>
  <si>
    <t>North YorkshireARGN3Bd</t>
  </si>
  <si>
    <t>North YorkshireARGN4Bd</t>
  </si>
  <si>
    <t>North YorkshireARGN5Bd</t>
  </si>
  <si>
    <t>North YorkshireARGN6Bd</t>
  </si>
  <si>
    <t>North YorkshireARGNBdst</t>
  </si>
  <si>
    <t>North YorkshireARGNNSC</t>
  </si>
  <si>
    <t>North YorkshireARGNTotal</t>
  </si>
  <si>
    <t>North YorkshireARGNSC</t>
  </si>
  <si>
    <t>North YorkshireARSHHOP1Bd</t>
  </si>
  <si>
    <t>North YorkshireARSHHOP2Bd</t>
  </si>
  <si>
    <t>North YorkshireARSHHOP3Bd</t>
  </si>
  <si>
    <t>North YorkshireARSHHOP4Bd</t>
  </si>
  <si>
    <t>North YorkshireARSHHOPBdst</t>
  </si>
  <si>
    <t>North YorkshireARSHHOPNSC</t>
  </si>
  <si>
    <t>North YorkshireARSHHOPSC</t>
  </si>
  <si>
    <t>North YorkshireARSHHOPTotal</t>
  </si>
  <si>
    <t>North YorkshireGN1Bd</t>
  </si>
  <si>
    <t>North YorkshireGN2Bd</t>
  </si>
  <si>
    <t>North YorkshireGN3Bd</t>
  </si>
  <si>
    <t>North YorkshireGN4Bd</t>
  </si>
  <si>
    <t>North YorkshireGN5Bd</t>
  </si>
  <si>
    <t>North YorkshireGN6Bd</t>
  </si>
  <si>
    <t>North YorkshireGNBdst</t>
  </si>
  <si>
    <t>North YorkshireGNNSC</t>
  </si>
  <si>
    <t>North YorkshireGNTotal</t>
  </si>
  <si>
    <t>North YorkshireGNSC</t>
  </si>
  <si>
    <t>North YorkshireGNAGGSC</t>
  </si>
  <si>
    <t>North YorkshireGNAGGNSC</t>
  </si>
  <si>
    <t>North YorkshireLCHO</t>
  </si>
  <si>
    <t>North YorkshireSHHOP1Bd</t>
  </si>
  <si>
    <t>North YorkshireSHHOP2Bd</t>
  </si>
  <si>
    <t>North YorkshireSHHOP3Bd</t>
  </si>
  <si>
    <t>North YorkshireSHHOP4Bd</t>
  </si>
  <si>
    <t>North YorkshireSHHOPBdst</t>
  </si>
  <si>
    <t>North YorkshireSHHOPNSC</t>
  </si>
  <si>
    <t>North YorkshireSHHOPTotal</t>
  </si>
  <si>
    <t>North YorkshireSHHOPSC</t>
  </si>
  <si>
    <t>North YorkshireSHHOPAGGNA</t>
  </si>
  <si>
    <t>E06000066</t>
  </si>
  <si>
    <t>Somerset</t>
  </si>
  <si>
    <t>SomersetARGN1Bd</t>
  </si>
  <si>
    <t>SomersetARGN2Bd</t>
  </si>
  <si>
    <t>SomersetARGN3Bd</t>
  </si>
  <si>
    <t>SomersetARGN4Bd</t>
  </si>
  <si>
    <t>SomersetARGN5Bd</t>
  </si>
  <si>
    <t>SomersetARGN6Bd</t>
  </si>
  <si>
    <t>SomersetARGNBdst</t>
  </si>
  <si>
    <t>SomersetARGNNSC</t>
  </si>
  <si>
    <t>SomersetARGNTotal</t>
  </si>
  <si>
    <t>SomersetARGNSC</t>
  </si>
  <si>
    <t>SomersetARSHHOP1Bd</t>
  </si>
  <si>
    <t>SomersetARSHHOP2Bd</t>
  </si>
  <si>
    <t>SomersetARSHHOP3Bd</t>
  </si>
  <si>
    <t>SomersetARSHHOP4Bd</t>
  </si>
  <si>
    <t>SomersetARSHHOPBdst</t>
  </si>
  <si>
    <t>SomersetARSHHOPNSC</t>
  </si>
  <si>
    <t>SomersetARSHHOPSC</t>
  </si>
  <si>
    <t>SomersetARSHHOPTotal</t>
  </si>
  <si>
    <t>SomersetGN1Bd</t>
  </si>
  <si>
    <t>SomersetGN2Bd</t>
  </si>
  <si>
    <t>SomersetGN3Bd</t>
  </si>
  <si>
    <t>SomersetGN4Bd</t>
  </si>
  <si>
    <t>SomersetGN5Bd</t>
  </si>
  <si>
    <t>SomersetGN6Bd</t>
  </si>
  <si>
    <t>SomersetGNBdst</t>
  </si>
  <si>
    <t>SomersetGNNSC</t>
  </si>
  <si>
    <t>SomersetGNTotal</t>
  </si>
  <si>
    <t>SomersetGNSC</t>
  </si>
  <si>
    <t>SomersetGNAGGSC</t>
  </si>
  <si>
    <t>SomersetGNAGGNSC</t>
  </si>
  <si>
    <t>SomersetLCHO</t>
  </si>
  <si>
    <t>SomersetSHHOP1Bd</t>
  </si>
  <si>
    <t>SomersetSHHOP2Bd</t>
  </si>
  <si>
    <t>SomersetSHHOP3Bd</t>
  </si>
  <si>
    <t>SomersetSHHOP4Bd</t>
  </si>
  <si>
    <t>SomersetSHHOPBdst</t>
  </si>
  <si>
    <t>SomersetSHHOPNSC</t>
  </si>
  <si>
    <t>SomersetSHHOPTotal</t>
  </si>
  <si>
    <t>SomersetSHHOPSC</t>
  </si>
  <si>
    <t>SomersetSHHOPAGGNA</t>
  </si>
  <si>
    <t>E07000008</t>
  </si>
  <si>
    <t>Cambridge</t>
  </si>
  <si>
    <t>CambridgeARGN1Bd</t>
  </si>
  <si>
    <t>CambridgeARGN2Bd</t>
  </si>
  <si>
    <t>CambridgeARGN3Bd</t>
  </si>
  <si>
    <t>CambridgeARGN4Bd</t>
  </si>
  <si>
    <t>CambridgeARGN5Bd</t>
  </si>
  <si>
    <t>CambridgeARGN6Bd</t>
  </si>
  <si>
    <t>CambridgeARGNBdst</t>
  </si>
  <si>
    <t>CambridgeARGNNSC</t>
  </si>
  <si>
    <t>CambridgeARGNTotal</t>
  </si>
  <si>
    <t>CambridgeARGNSC</t>
  </si>
  <si>
    <t>CambridgeARSHHOP1Bd</t>
  </si>
  <si>
    <t>CambridgeARSHHOP2Bd</t>
  </si>
  <si>
    <t>CambridgeARSHHOP3Bd</t>
  </si>
  <si>
    <t>CambridgeARSHHOP4Bd</t>
  </si>
  <si>
    <t>CambridgeARSHHOPBdst</t>
  </si>
  <si>
    <t>CambridgeARSHHOPNSC</t>
  </si>
  <si>
    <t>CambridgeARSHHOPSC</t>
  </si>
  <si>
    <t>CambridgeARSHHOPTotal</t>
  </si>
  <si>
    <t>CambridgeGN1Bd</t>
  </si>
  <si>
    <t>CambridgeGN2Bd</t>
  </si>
  <si>
    <t>CambridgeGN3Bd</t>
  </si>
  <si>
    <t>CambridgeGN4Bd</t>
  </si>
  <si>
    <t>CambridgeGN5Bd</t>
  </si>
  <si>
    <t>CambridgeGN6Bd</t>
  </si>
  <si>
    <t>CambridgeGNBdst</t>
  </si>
  <si>
    <t>CambridgeGNNSC</t>
  </si>
  <si>
    <t>CambridgeGNTotal</t>
  </si>
  <si>
    <t>CambridgeGNSC</t>
  </si>
  <si>
    <t>CambridgeGNAGGSC</t>
  </si>
  <si>
    <t>CambridgeGNAGGNSC</t>
  </si>
  <si>
    <t>CambridgeLCHO</t>
  </si>
  <si>
    <t>CambridgeSHHOP1Bd</t>
  </si>
  <si>
    <t>CambridgeSHHOP2Bd</t>
  </si>
  <si>
    <t>CambridgeSHHOP3Bd</t>
  </si>
  <si>
    <t>CambridgeSHHOP4Bd</t>
  </si>
  <si>
    <t>CambridgeSHHOPBdst</t>
  </si>
  <si>
    <t>CambridgeSHHOPNSC</t>
  </si>
  <si>
    <t>CambridgeSHHOPTotal</t>
  </si>
  <si>
    <t>CambridgeSHHOPSC</t>
  </si>
  <si>
    <t>CambridgeSHHOPAGGNA</t>
  </si>
  <si>
    <t>E07000009</t>
  </si>
  <si>
    <t>East Cambridgeshire</t>
  </si>
  <si>
    <t>East CambridgeshireARGN1Bd</t>
  </si>
  <si>
    <t>East CambridgeshireARGN2Bd</t>
  </si>
  <si>
    <t>East CambridgeshireARGN3Bd</t>
  </si>
  <si>
    <t>East CambridgeshireARGN4Bd</t>
  </si>
  <si>
    <t>East CambridgeshireARGN5Bd</t>
  </si>
  <si>
    <t>East CambridgeshireARGN6Bd</t>
  </si>
  <si>
    <t>East CambridgeshireARGNBdst</t>
  </si>
  <si>
    <t>East CambridgeshireARGNNSC</t>
  </si>
  <si>
    <t>East CambridgeshireARGNTotal</t>
  </si>
  <si>
    <t>East CambridgeshireARGNSC</t>
  </si>
  <si>
    <t>East CambridgeshireGN1Bd</t>
  </si>
  <si>
    <t>East CambridgeshireGN2Bd</t>
  </si>
  <si>
    <t>East CambridgeshireGN3Bd</t>
  </si>
  <si>
    <t>East CambridgeshireGN4Bd</t>
  </si>
  <si>
    <t>East CambridgeshireGN5Bd</t>
  </si>
  <si>
    <t>East CambridgeshireGN6Bd</t>
  </si>
  <si>
    <t>East CambridgeshireGNBdst</t>
  </si>
  <si>
    <t>East CambridgeshireGNNSC</t>
  </si>
  <si>
    <t>East CambridgeshireGNTotal</t>
  </si>
  <si>
    <t>East CambridgeshireGNSC</t>
  </si>
  <si>
    <t>East CambridgeshireGNAGGSC</t>
  </si>
  <si>
    <t>East CambridgeshireGNAGGNSC</t>
  </si>
  <si>
    <t>East CambridgeshireLCHO</t>
  </si>
  <si>
    <t>East CambridgeshireSHHOP1Bd</t>
  </si>
  <si>
    <t>East CambridgeshireSHHOP2Bd</t>
  </si>
  <si>
    <t>East CambridgeshireSHHOP3Bd</t>
  </si>
  <si>
    <t>East CambridgeshireSHHOP4Bd</t>
  </si>
  <si>
    <t>East CambridgeshireSHHOPBdst</t>
  </si>
  <si>
    <t>East CambridgeshireSHHOPNSC</t>
  </si>
  <si>
    <t>East CambridgeshireSHHOPTotal</t>
  </si>
  <si>
    <t>East CambridgeshireSHHOPSC</t>
  </si>
  <si>
    <t>East CambridgeshireSHHOPAGGNA</t>
  </si>
  <si>
    <t>E07000010</t>
  </si>
  <si>
    <t>Fenland</t>
  </si>
  <si>
    <t>FenlandARGN1Bd</t>
  </si>
  <si>
    <t>FenlandARGN2Bd</t>
  </si>
  <si>
    <t>FenlandARGN3Bd</t>
  </si>
  <si>
    <t>FenlandARGN4Bd</t>
  </si>
  <si>
    <t>FenlandARGN5Bd</t>
  </si>
  <si>
    <t>FenlandARGN6Bd</t>
  </si>
  <si>
    <t>FenlandARGNBdst</t>
  </si>
  <si>
    <t>FenlandARGNNSC</t>
  </si>
  <si>
    <t>FenlandARGNTotal</t>
  </si>
  <si>
    <t>FenlandARGNSC</t>
  </si>
  <si>
    <t>FenlandARSHHOP1Bd</t>
  </si>
  <si>
    <t>FenlandARSHHOP2Bd</t>
  </si>
  <si>
    <t>FenlandARSHHOP3Bd</t>
  </si>
  <si>
    <t>FenlandARSHHOP4Bd</t>
  </si>
  <si>
    <t>FenlandARSHHOPBdst</t>
  </si>
  <si>
    <t>FenlandARSHHOPNSC</t>
  </si>
  <si>
    <t>FenlandARSHHOPSC</t>
  </si>
  <si>
    <t>FenlandARSHHOPTotal</t>
  </si>
  <si>
    <t>FenlandGN1Bd</t>
  </si>
  <si>
    <t>FenlandGN2Bd</t>
  </si>
  <si>
    <t>FenlandGN3Bd</t>
  </si>
  <si>
    <t>FenlandGN4Bd</t>
  </si>
  <si>
    <t>FenlandGN5Bd</t>
  </si>
  <si>
    <t>FenlandGN6Bd</t>
  </si>
  <si>
    <t>FenlandGNBdst</t>
  </si>
  <si>
    <t>FenlandGNNSC</t>
  </si>
  <si>
    <t>FenlandGNTotal</t>
  </si>
  <si>
    <t>FenlandGNSC</t>
  </si>
  <si>
    <t>FenlandGNAGGSC</t>
  </si>
  <si>
    <t>FenlandGNAGGNSC</t>
  </si>
  <si>
    <t>FenlandLCHO</t>
  </si>
  <si>
    <t>FenlandSHHOP1Bd</t>
  </si>
  <si>
    <t>FenlandSHHOP2Bd</t>
  </si>
  <si>
    <t>FenlandSHHOP3Bd</t>
  </si>
  <si>
    <t>FenlandSHHOP4Bd</t>
  </si>
  <si>
    <t>FenlandSHHOPBdst</t>
  </si>
  <si>
    <t>FenlandSHHOPNSC</t>
  </si>
  <si>
    <t>FenlandSHHOPTotal</t>
  </si>
  <si>
    <t>FenlandSHHOPSC</t>
  </si>
  <si>
    <t>FenlandSHHOPAGGNA</t>
  </si>
  <si>
    <t>E07000011</t>
  </si>
  <si>
    <t>Huntingdonshire</t>
  </si>
  <si>
    <t>HuntingdonshireARGN1Bd</t>
  </si>
  <si>
    <t>HuntingdonshireARGN2Bd</t>
  </si>
  <si>
    <t>HuntingdonshireARGN3Bd</t>
  </si>
  <si>
    <t>HuntingdonshireARGN4Bd</t>
  </si>
  <si>
    <t>HuntingdonshireARGN5Bd</t>
  </si>
  <si>
    <t>HuntingdonshireARGN6Bd</t>
  </si>
  <si>
    <t>HuntingdonshireARGNBdst</t>
  </si>
  <si>
    <t>HuntingdonshireARGNNSC</t>
  </si>
  <si>
    <t>HuntingdonshireARGNTotal</t>
  </si>
  <si>
    <t>HuntingdonshireARGNSC</t>
  </si>
  <si>
    <t>HuntingdonshireARSHHOP1Bd</t>
  </si>
  <si>
    <t>HuntingdonshireARSHHOP2Bd</t>
  </si>
  <si>
    <t>HuntingdonshireARSHHOP3Bd</t>
  </si>
  <si>
    <t>HuntingdonshireARSHHOP4Bd</t>
  </si>
  <si>
    <t>HuntingdonshireARSHHOPBdst</t>
  </si>
  <si>
    <t>HuntingdonshireARSHHOPNSC</t>
  </si>
  <si>
    <t>HuntingdonshireARSHHOPSC</t>
  </si>
  <si>
    <t>HuntingdonshireARSHHOPTotal</t>
  </si>
  <si>
    <t>HuntingdonshireGN1Bd</t>
  </si>
  <si>
    <t>HuntingdonshireGN2Bd</t>
  </si>
  <si>
    <t>HuntingdonshireGN3Bd</t>
  </si>
  <si>
    <t>HuntingdonshireGN4Bd</t>
  </si>
  <si>
    <t>HuntingdonshireGN5Bd</t>
  </si>
  <si>
    <t>HuntingdonshireGN6Bd</t>
  </si>
  <si>
    <t>HuntingdonshireGNBdst</t>
  </si>
  <si>
    <t>HuntingdonshireGNNSC</t>
  </si>
  <si>
    <t>HuntingdonshireGNTotal</t>
  </si>
  <si>
    <t>HuntingdonshireGNSC</t>
  </si>
  <si>
    <t>HuntingdonshireGNAGGSC</t>
  </si>
  <si>
    <t>HuntingdonshireGNAGGNSC</t>
  </si>
  <si>
    <t>HuntingdonshireLCHO</t>
  </si>
  <si>
    <t>HuntingdonshireSHHOP1Bd</t>
  </si>
  <si>
    <t>HuntingdonshireSHHOP2Bd</t>
  </si>
  <si>
    <t>HuntingdonshireSHHOP3Bd</t>
  </si>
  <si>
    <t>HuntingdonshireSHHOP4Bd</t>
  </si>
  <si>
    <t>HuntingdonshireSHHOPBdst</t>
  </si>
  <si>
    <t>HuntingdonshireSHHOPNSC</t>
  </si>
  <si>
    <t>HuntingdonshireSHHOPTotal</t>
  </si>
  <si>
    <t>HuntingdonshireSHHOPSC</t>
  </si>
  <si>
    <t>HuntingdonshireSHHOPAGGNA</t>
  </si>
  <si>
    <t>E07000012</t>
  </si>
  <si>
    <t>South Cambridgeshire</t>
  </si>
  <si>
    <t>South CambridgeshireARGN1Bd</t>
  </si>
  <si>
    <t>South CambridgeshireARGN2Bd</t>
  </si>
  <si>
    <t>South CambridgeshireARGN3Bd</t>
  </si>
  <si>
    <t>South CambridgeshireARGN4Bd</t>
  </si>
  <si>
    <t>South CambridgeshireARGN5Bd</t>
  </si>
  <si>
    <t>South CambridgeshireARGN6Bd</t>
  </si>
  <si>
    <t>South CambridgeshireARGNBdst</t>
  </si>
  <si>
    <t>South CambridgeshireARGNNSC</t>
  </si>
  <si>
    <t>South CambridgeshireARGNTotal</t>
  </si>
  <si>
    <t>South CambridgeshireARGNSC</t>
  </si>
  <si>
    <t>South CambridgeshireARSHHOP1Bd</t>
  </si>
  <si>
    <t>South CambridgeshireARSHHOP2Bd</t>
  </si>
  <si>
    <t>South CambridgeshireARSHHOP3Bd</t>
  </si>
  <si>
    <t>South CambridgeshireARSHHOP4Bd</t>
  </si>
  <si>
    <t>South CambridgeshireARSHHOPBdst</t>
  </si>
  <si>
    <t>South CambridgeshireARSHHOPNSC</t>
  </si>
  <si>
    <t>South CambridgeshireARSHHOPSC</t>
  </si>
  <si>
    <t>South CambridgeshireARSHHOPTotal</t>
  </si>
  <si>
    <t>South CambridgeshireGN1Bd</t>
  </si>
  <si>
    <t>South CambridgeshireGN2Bd</t>
  </si>
  <si>
    <t>South CambridgeshireGN3Bd</t>
  </si>
  <si>
    <t>South CambridgeshireGN4Bd</t>
  </si>
  <si>
    <t>South CambridgeshireGN5Bd</t>
  </si>
  <si>
    <t>South CambridgeshireGN6Bd</t>
  </si>
  <si>
    <t>South CambridgeshireGNBdst</t>
  </si>
  <si>
    <t>South CambridgeshireGNNSC</t>
  </si>
  <si>
    <t>South CambridgeshireGNTotal</t>
  </si>
  <si>
    <t>South CambridgeshireGNSC</t>
  </si>
  <si>
    <t>South CambridgeshireGNAGGSC</t>
  </si>
  <si>
    <t>South CambridgeshireGNAGGNSC</t>
  </si>
  <si>
    <t>South CambridgeshireLCHO</t>
  </si>
  <si>
    <t>South CambridgeshireSHHOP1Bd</t>
  </si>
  <si>
    <t>South CambridgeshireSHHOP2Bd</t>
  </si>
  <si>
    <t>South CambridgeshireSHHOP3Bd</t>
  </si>
  <si>
    <t>South CambridgeshireSHHOP4Bd</t>
  </si>
  <si>
    <t>South CambridgeshireSHHOPBdst</t>
  </si>
  <si>
    <t>South CambridgeshireSHHOPNSC</t>
  </si>
  <si>
    <t>South CambridgeshireSHHOPTotal</t>
  </si>
  <si>
    <t>South CambridgeshireSHHOPSC</t>
  </si>
  <si>
    <t>South CambridgeshireSHHOPAGGNA</t>
  </si>
  <si>
    <t>E07000032</t>
  </si>
  <si>
    <t>Amber Valley</t>
  </si>
  <si>
    <t>Amber ValleyARGN1Bd</t>
  </si>
  <si>
    <t>Amber ValleyARGN2Bd</t>
  </si>
  <si>
    <t>Amber ValleyARGN3Bd</t>
  </si>
  <si>
    <t>Amber ValleyARGN4Bd</t>
  </si>
  <si>
    <t>Amber ValleyARGN5Bd</t>
  </si>
  <si>
    <t>Amber ValleyARGN6Bd</t>
  </si>
  <si>
    <t>Amber ValleyARGNBdst</t>
  </si>
  <si>
    <t>Amber ValleyARGNNSC</t>
  </si>
  <si>
    <t>Amber ValleyARGNTotal</t>
  </si>
  <si>
    <t>Amber ValleyARGNSC</t>
  </si>
  <si>
    <t>Amber ValleyARSHHOP1Bd</t>
  </si>
  <si>
    <t>Amber ValleyARSHHOP2Bd</t>
  </si>
  <si>
    <t>Amber ValleyARSHHOP3Bd</t>
  </si>
  <si>
    <t>Amber ValleyARSHHOP4Bd</t>
  </si>
  <si>
    <t>Amber ValleyARSHHOPBdst</t>
  </si>
  <si>
    <t>Amber ValleyARSHHOPNSC</t>
  </si>
  <si>
    <t>Amber ValleyARSHHOPSC</t>
  </si>
  <si>
    <t>Amber ValleyARSHHOPTotal</t>
  </si>
  <si>
    <t>Amber ValleyGN1Bd</t>
  </si>
  <si>
    <t>Amber ValleyGN2Bd</t>
  </si>
  <si>
    <t>Amber ValleyGN3Bd</t>
  </si>
  <si>
    <t>Amber ValleyGN4Bd</t>
  </si>
  <si>
    <t>Amber ValleyGN5Bd</t>
  </si>
  <si>
    <t>Amber ValleyGN6Bd</t>
  </si>
  <si>
    <t>Amber ValleyGNBdst</t>
  </si>
  <si>
    <t>Amber ValleyGNNSC</t>
  </si>
  <si>
    <t>Amber ValleyGNTotal</t>
  </si>
  <si>
    <t>Amber ValleyGNSC</t>
  </si>
  <si>
    <t>Amber ValleyGNAGGSC</t>
  </si>
  <si>
    <t>Amber ValleyGNAGGNSC</t>
  </si>
  <si>
    <t>Amber ValleyLCHO</t>
  </si>
  <si>
    <t>Amber ValleySHHOP1Bd</t>
  </si>
  <si>
    <t>Amber ValleySHHOP2Bd</t>
  </si>
  <si>
    <t>Amber ValleySHHOP3Bd</t>
  </si>
  <si>
    <t>Amber ValleySHHOP4Bd</t>
  </si>
  <si>
    <t>Amber ValleySHHOPBdst</t>
  </si>
  <si>
    <t>Amber ValleySHHOPNSC</t>
  </si>
  <si>
    <t>Amber ValleySHHOPTotal</t>
  </si>
  <si>
    <t>Amber ValleySHHOPSC</t>
  </si>
  <si>
    <t>Amber ValleySHHOPAGGNA</t>
  </si>
  <si>
    <t>E07000033</t>
  </si>
  <si>
    <t>Bolsover</t>
  </si>
  <si>
    <t>BolsoverARGN1Bd</t>
  </si>
  <si>
    <t>BolsoverARGN2Bd</t>
  </si>
  <si>
    <t>BolsoverARGN3Bd</t>
  </si>
  <si>
    <t>BolsoverARGN4Bd</t>
  </si>
  <si>
    <t>BolsoverARGN5Bd</t>
  </si>
  <si>
    <t>BolsoverARGN6Bd</t>
  </si>
  <si>
    <t>BolsoverARGNBdst</t>
  </si>
  <si>
    <t>BolsoverARGNNSC</t>
  </si>
  <si>
    <t>BolsoverARGNTotal</t>
  </si>
  <si>
    <t>BolsoverARGNSC</t>
  </si>
  <si>
    <t>BolsoverARSHHOP1Bd</t>
  </si>
  <si>
    <t>BolsoverARSHHOP2Bd</t>
  </si>
  <si>
    <t>BolsoverARSHHOP3Bd</t>
  </si>
  <si>
    <t>BolsoverARSHHOP4Bd</t>
  </si>
  <si>
    <t>BolsoverARSHHOPBdst</t>
  </si>
  <si>
    <t>BolsoverARSHHOPNSC</t>
  </si>
  <si>
    <t>BolsoverARSHHOPSC</t>
  </si>
  <si>
    <t>BolsoverARSHHOPTotal</t>
  </si>
  <si>
    <t>BolsoverGN1Bd</t>
  </si>
  <si>
    <t>BolsoverGN2Bd</t>
  </si>
  <si>
    <t>BolsoverGN3Bd</t>
  </si>
  <si>
    <t>BolsoverGN4Bd</t>
  </si>
  <si>
    <t>BolsoverGN5Bd</t>
  </si>
  <si>
    <t>BolsoverGN6Bd</t>
  </si>
  <si>
    <t>BolsoverGNBdst</t>
  </si>
  <si>
    <t>BolsoverGNNSC</t>
  </si>
  <si>
    <t>BolsoverGNTotal</t>
  </si>
  <si>
    <t>BolsoverGNSC</t>
  </si>
  <si>
    <t>BolsoverGNAGGSC</t>
  </si>
  <si>
    <t>BolsoverGNAGGNSC</t>
  </si>
  <si>
    <t>BolsoverLCHO</t>
  </si>
  <si>
    <t>BolsoverSHHOP1Bd</t>
  </si>
  <si>
    <t>BolsoverSHHOP2Bd</t>
  </si>
  <si>
    <t>BolsoverSHHOP3Bd</t>
  </si>
  <si>
    <t>BolsoverSHHOP4Bd</t>
  </si>
  <si>
    <t>BolsoverSHHOPBdst</t>
  </si>
  <si>
    <t>BolsoverSHHOPNSC</t>
  </si>
  <si>
    <t>BolsoverSHHOPTotal</t>
  </si>
  <si>
    <t>BolsoverSHHOPSC</t>
  </si>
  <si>
    <t>BolsoverSHHOPAGGNA</t>
  </si>
  <si>
    <t>E07000034</t>
  </si>
  <si>
    <t>Chesterfield</t>
  </si>
  <si>
    <t>ChesterfieldARGN1Bd</t>
  </si>
  <si>
    <t>ChesterfieldARGN2Bd</t>
  </si>
  <si>
    <t>ChesterfieldARGN3Bd</t>
  </si>
  <si>
    <t>ChesterfieldARGN4Bd</t>
  </si>
  <si>
    <t>ChesterfieldARGN5Bd</t>
  </si>
  <si>
    <t>ChesterfieldARGN6Bd</t>
  </si>
  <si>
    <t>ChesterfieldARGNBdst</t>
  </si>
  <si>
    <t>ChesterfieldARGNNSC</t>
  </si>
  <si>
    <t>ChesterfieldARGNTotal</t>
  </si>
  <si>
    <t>ChesterfieldARGNSC</t>
  </si>
  <si>
    <t>ChesterfieldARSHHOP1Bd</t>
  </si>
  <si>
    <t>ChesterfieldARSHHOP2Bd</t>
  </si>
  <si>
    <t>ChesterfieldARSHHOP3Bd</t>
  </si>
  <si>
    <t>ChesterfieldARSHHOP4Bd</t>
  </si>
  <si>
    <t>ChesterfieldARSHHOPBdst</t>
  </si>
  <si>
    <t>ChesterfieldARSHHOPNSC</t>
  </si>
  <si>
    <t>ChesterfieldARSHHOPSC</t>
  </si>
  <si>
    <t>ChesterfieldARSHHOPTotal</t>
  </si>
  <si>
    <t>ChesterfieldGN1Bd</t>
  </si>
  <si>
    <t>ChesterfieldGN2Bd</t>
  </si>
  <si>
    <t>ChesterfieldGN3Bd</t>
  </si>
  <si>
    <t>ChesterfieldGN4Bd</t>
  </si>
  <si>
    <t>ChesterfieldGN5Bd</t>
  </si>
  <si>
    <t>ChesterfieldGN6Bd</t>
  </si>
  <si>
    <t>ChesterfieldGNBdst</t>
  </si>
  <si>
    <t>ChesterfieldGNNSC</t>
  </si>
  <si>
    <t>ChesterfieldGNTotal</t>
  </si>
  <si>
    <t>ChesterfieldGNSC</t>
  </si>
  <si>
    <t>ChesterfieldGNAGGSC</t>
  </si>
  <si>
    <t>ChesterfieldGNAGGNSC</t>
  </si>
  <si>
    <t>ChesterfieldLCHO</t>
  </si>
  <si>
    <t>ChesterfieldSHHOP1Bd</t>
  </si>
  <si>
    <t>ChesterfieldSHHOP2Bd</t>
  </si>
  <si>
    <t>ChesterfieldSHHOP3Bd</t>
  </si>
  <si>
    <t>ChesterfieldSHHOP4Bd</t>
  </si>
  <si>
    <t>ChesterfieldSHHOPBdst</t>
  </si>
  <si>
    <t>ChesterfieldSHHOPNSC</t>
  </si>
  <si>
    <t>ChesterfieldSHHOPTotal</t>
  </si>
  <si>
    <t>ChesterfieldSHHOPSC</t>
  </si>
  <si>
    <t>ChesterfieldSHHOPAGGNA</t>
  </si>
  <si>
    <t>E07000035</t>
  </si>
  <si>
    <t>Derbyshire Dales</t>
  </si>
  <si>
    <t>Derbyshire DalesARGN1Bd</t>
  </si>
  <si>
    <t>Derbyshire DalesARGN2Bd</t>
  </si>
  <si>
    <t>Derbyshire DalesARGN3Bd</t>
  </si>
  <si>
    <t>Derbyshire DalesARGN4Bd</t>
  </si>
  <si>
    <t>Derbyshire DalesARGN5Bd</t>
  </si>
  <si>
    <t>Derbyshire DalesARGN6Bd</t>
  </si>
  <si>
    <t>Derbyshire DalesARGNBdst</t>
  </si>
  <si>
    <t>Derbyshire DalesARGNNSC</t>
  </si>
  <si>
    <t>Derbyshire DalesARGNTotal</t>
  </si>
  <si>
    <t>Derbyshire DalesARGNSC</t>
  </si>
  <si>
    <t>Derbyshire DalesARSHHOP1Bd</t>
  </si>
  <si>
    <t>Derbyshire DalesARSHHOP2Bd</t>
  </si>
  <si>
    <t>Derbyshire DalesARSHHOP3Bd</t>
  </si>
  <si>
    <t>Derbyshire DalesARSHHOP4Bd</t>
  </si>
  <si>
    <t>Derbyshire DalesARSHHOPBdst</t>
  </si>
  <si>
    <t>Derbyshire DalesARSHHOPNSC</t>
  </si>
  <si>
    <t>Derbyshire DalesARSHHOPSC</t>
  </si>
  <si>
    <t>Derbyshire DalesARSHHOPTotal</t>
  </si>
  <si>
    <t>Derbyshire DalesGN1Bd</t>
  </si>
  <si>
    <t>Derbyshire DalesGN2Bd</t>
  </si>
  <si>
    <t>Derbyshire DalesGN3Bd</t>
  </si>
  <si>
    <t>Derbyshire DalesGN4Bd</t>
  </si>
  <si>
    <t>Derbyshire DalesGN5Bd</t>
  </si>
  <si>
    <t>Derbyshire DalesGN6Bd</t>
  </si>
  <si>
    <t>Derbyshire DalesGNBdst</t>
  </si>
  <si>
    <t>Derbyshire DalesGNNSC</t>
  </si>
  <si>
    <t>Derbyshire DalesGNTotal</t>
  </si>
  <si>
    <t>Derbyshire DalesGNSC</t>
  </si>
  <si>
    <t>Derbyshire DalesGNAGGSC</t>
  </si>
  <si>
    <t>Derbyshire DalesGNAGGNSC</t>
  </si>
  <si>
    <t>Derbyshire DalesLCHO</t>
  </si>
  <si>
    <t>Derbyshire DalesSHHOP1Bd</t>
  </si>
  <si>
    <t>Derbyshire DalesSHHOP2Bd</t>
  </si>
  <si>
    <t>Derbyshire DalesSHHOP3Bd</t>
  </si>
  <si>
    <t>Derbyshire DalesSHHOP4Bd</t>
  </si>
  <si>
    <t>Derbyshire DalesSHHOPBdst</t>
  </si>
  <si>
    <t>Derbyshire DalesSHHOPNSC</t>
  </si>
  <si>
    <t>Derbyshire DalesSHHOPTotal</t>
  </si>
  <si>
    <t>Derbyshire DalesSHHOPSC</t>
  </si>
  <si>
    <t>Derbyshire DalesSHHOPAGGNA</t>
  </si>
  <si>
    <t>E07000036</t>
  </si>
  <si>
    <t>Erewash</t>
  </si>
  <si>
    <t>ErewashARGN1Bd</t>
  </si>
  <si>
    <t>ErewashARGN2Bd</t>
  </si>
  <si>
    <t>ErewashARGN3Bd</t>
  </si>
  <si>
    <t>ErewashARGN4Bd</t>
  </si>
  <si>
    <t>ErewashARGN5Bd</t>
  </si>
  <si>
    <t>ErewashARGN6Bd</t>
  </si>
  <si>
    <t>ErewashARGNBdst</t>
  </si>
  <si>
    <t>ErewashARGNNSC</t>
  </si>
  <si>
    <t>ErewashARGNTotal</t>
  </si>
  <si>
    <t>ErewashARGNSC</t>
  </si>
  <si>
    <t>ErewashARSHHOP1Bd</t>
  </si>
  <si>
    <t>ErewashARSHHOP2Bd</t>
  </si>
  <si>
    <t>ErewashARSHHOP3Bd</t>
  </si>
  <si>
    <t>ErewashARSHHOP4Bd</t>
  </si>
  <si>
    <t>ErewashARSHHOPBdst</t>
  </si>
  <si>
    <t>ErewashARSHHOPNSC</t>
  </si>
  <si>
    <t>ErewashARSHHOPSC</t>
  </si>
  <si>
    <t>ErewashARSHHOPTotal</t>
  </si>
  <si>
    <t>ErewashGN1Bd</t>
  </si>
  <si>
    <t>ErewashGN2Bd</t>
  </si>
  <si>
    <t>ErewashGN3Bd</t>
  </si>
  <si>
    <t>ErewashGN4Bd</t>
  </si>
  <si>
    <t>ErewashGN5Bd</t>
  </si>
  <si>
    <t>ErewashGN6Bd</t>
  </si>
  <si>
    <t>ErewashGNBdst</t>
  </si>
  <si>
    <t>ErewashGNNSC</t>
  </si>
  <si>
    <t>ErewashGNTotal</t>
  </si>
  <si>
    <t>ErewashGNSC</t>
  </si>
  <si>
    <t>ErewashGNAGGSC</t>
  </si>
  <si>
    <t>ErewashGNAGGNSC</t>
  </si>
  <si>
    <t>ErewashLCHO</t>
  </si>
  <si>
    <t>ErewashSHHOP1Bd</t>
  </si>
  <si>
    <t>ErewashSHHOP2Bd</t>
  </si>
  <si>
    <t>ErewashSHHOP3Bd</t>
  </si>
  <si>
    <t>ErewashSHHOP4Bd</t>
  </si>
  <si>
    <t>ErewashSHHOPBdst</t>
  </si>
  <si>
    <t>ErewashSHHOPNSC</t>
  </si>
  <si>
    <t>ErewashSHHOPTotal</t>
  </si>
  <si>
    <t>ErewashSHHOPSC</t>
  </si>
  <si>
    <t>ErewashSHHOPAGGNA</t>
  </si>
  <si>
    <t>E07000037</t>
  </si>
  <si>
    <t>High Peak</t>
  </si>
  <si>
    <t>High PeakARGN1Bd</t>
  </si>
  <si>
    <t>High PeakARGN2Bd</t>
  </si>
  <si>
    <t>High PeakARGN3Bd</t>
  </si>
  <si>
    <t>High PeakARGN4Bd</t>
  </si>
  <si>
    <t>High PeakARGN5Bd</t>
  </si>
  <si>
    <t>High PeakARGN6Bd</t>
  </si>
  <si>
    <t>High PeakARGNBdst</t>
  </si>
  <si>
    <t>High PeakARGNNSC</t>
  </si>
  <si>
    <t>High PeakARGNTotal</t>
  </si>
  <si>
    <t>High PeakARGNSC</t>
  </si>
  <si>
    <t>High PeakARSHHOP1Bd</t>
  </si>
  <si>
    <t>High PeakARSHHOP2Bd</t>
  </si>
  <si>
    <t>High PeakARSHHOP3Bd</t>
  </si>
  <si>
    <t>High PeakARSHHOP4Bd</t>
  </si>
  <si>
    <t>High PeakARSHHOPBdst</t>
  </si>
  <si>
    <t>High PeakARSHHOPNSC</t>
  </si>
  <si>
    <t>High PeakARSHHOPSC</t>
  </si>
  <si>
    <t>High PeakARSHHOPTotal</t>
  </si>
  <si>
    <t>High PeakGN1Bd</t>
  </si>
  <si>
    <t>High PeakGN2Bd</t>
  </si>
  <si>
    <t>High PeakGN3Bd</t>
  </si>
  <si>
    <t>High PeakGN4Bd</t>
  </si>
  <si>
    <t>High PeakGN5Bd</t>
  </si>
  <si>
    <t>High PeakGN6Bd</t>
  </si>
  <si>
    <t>High PeakGNBdst</t>
  </si>
  <si>
    <t>High PeakGNNSC</t>
  </si>
  <si>
    <t>High PeakGNTotal</t>
  </si>
  <si>
    <t>High PeakGNSC</t>
  </si>
  <si>
    <t>High PeakGNAGGSC</t>
  </si>
  <si>
    <t>High PeakGNAGGNSC</t>
  </si>
  <si>
    <t>High PeakLCHO</t>
  </si>
  <si>
    <t>High PeakSHHOP1Bd</t>
  </si>
  <si>
    <t>High PeakSHHOP2Bd</t>
  </si>
  <si>
    <t>High PeakSHHOP3Bd</t>
  </si>
  <si>
    <t>High PeakSHHOP4Bd</t>
  </si>
  <si>
    <t>High PeakSHHOPBdst</t>
  </si>
  <si>
    <t>High PeakSHHOPNSC</t>
  </si>
  <si>
    <t>High PeakSHHOPTotal</t>
  </si>
  <si>
    <t>High PeakSHHOPSC</t>
  </si>
  <si>
    <t>High PeakSHHOPAGGNA</t>
  </si>
  <si>
    <t>E07000038</t>
  </si>
  <si>
    <t>North East Derbyshire</t>
  </si>
  <si>
    <t>North East DerbyshireARGN1Bd</t>
  </si>
  <si>
    <t>North East DerbyshireARGN2Bd</t>
  </si>
  <si>
    <t>North East DerbyshireARGN3Bd</t>
  </si>
  <si>
    <t>North East DerbyshireARGN4Bd</t>
  </si>
  <si>
    <t>North East DerbyshireARGN5Bd</t>
  </si>
  <si>
    <t>North East DerbyshireARGN6Bd</t>
  </si>
  <si>
    <t>North East DerbyshireARGNBdst</t>
  </si>
  <si>
    <t>North East DerbyshireARGNNSC</t>
  </si>
  <si>
    <t>North East DerbyshireARGNTotal</t>
  </si>
  <si>
    <t>North East DerbyshireARGNSC</t>
  </si>
  <si>
    <t>North East DerbyshireARSHHOP1Bd</t>
  </si>
  <si>
    <t>North East DerbyshireARSHHOP2Bd</t>
  </si>
  <si>
    <t>North East DerbyshireARSHHOP3Bd</t>
  </si>
  <si>
    <t>North East DerbyshireARSHHOP4Bd</t>
  </si>
  <si>
    <t>North East DerbyshireARSHHOPBdst</t>
  </si>
  <si>
    <t>North East DerbyshireARSHHOPNSC</t>
  </si>
  <si>
    <t>North East DerbyshireARSHHOPSC</t>
  </si>
  <si>
    <t>North East DerbyshireARSHHOPTotal</t>
  </si>
  <si>
    <t>North East DerbyshireGN1Bd</t>
  </si>
  <si>
    <t>North East DerbyshireGN2Bd</t>
  </si>
  <si>
    <t>North East DerbyshireGN3Bd</t>
  </si>
  <si>
    <t>North East DerbyshireGN4Bd</t>
  </si>
  <si>
    <t>North East DerbyshireGN5Bd</t>
  </si>
  <si>
    <t>North East DerbyshireGN6Bd</t>
  </si>
  <si>
    <t>North East DerbyshireGNBdst</t>
  </si>
  <si>
    <t>North East DerbyshireGNNSC</t>
  </si>
  <si>
    <t>North East DerbyshireGNTotal</t>
  </si>
  <si>
    <t>North East DerbyshireGNSC</t>
  </si>
  <si>
    <t>North East DerbyshireGNAGGSC</t>
  </si>
  <si>
    <t>North East DerbyshireGNAGGNSC</t>
  </si>
  <si>
    <t>North East DerbyshireLCHO</t>
  </si>
  <si>
    <t>North East DerbyshireSHHOP1Bd</t>
  </si>
  <si>
    <t>North East DerbyshireSHHOP2Bd</t>
  </si>
  <si>
    <t>North East DerbyshireSHHOP3Bd</t>
  </si>
  <si>
    <t>North East DerbyshireSHHOP4Bd</t>
  </si>
  <si>
    <t>North East DerbyshireSHHOPBdst</t>
  </si>
  <si>
    <t>North East DerbyshireSHHOPNSC</t>
  </si>
  <si>
    <t>North East DerbyshireSHHOPTotal</t>
  </si>
  <si>
    <t>North East DerbyshireSHHOPSC</t>
  </si>
  <si>
    <t>North East DerbyshireSHHOPAGGNA</t>
  </si>
  <si>
    <t>E07000039</t>
  </si>
  <si>
    <t>South Derbyshire</t>
  </si>
  <si>
    <t>South DerbyshireARGN1Bd</t>
  </si>
  <si>
    <t>South DerbyshireARGN2Bd</t>
  </si>
  <si>
    <t>South DerbyshireARGN3Bd</t>
  </si>
  <si>
    <t>South DerbyshireARGN4Bd</t>
  </si>
  <si>
    <t>South DerbyshireARGN5Bd</t>
  </si>
  <si>
    <t>South DerbyshireARGN6Bd</t>
  </si>
  <si>
    <t>South DerbyshireARGNBdst</t>
  </si>
  <si>
    <t>South DerbyshireARGNNSC</t>
  </si>
  <si>
    <t>South DerbyshireARGNTotal</t>
  </si>
  <si>
    <t>South DerbyshireARGNSC</t>
  </si>
  <si>
    <t>South DerbyshireARSHHOP1Bd</t>
  </si>
  <si>
    <t>South DerbyshireARSHHOP2Bd</t>
  </si>
  <si>
    <t>South DerbyshireARSHHOP3Bd</t>
  </si>
  <si>
    <t>South DerbyshireARSHHOP4Bd</t>
  </si>
  <si>
    <t>South DerbyshireARSHHOPBdst</t>
  </si>
  <si>
    <t>South DerbyshireARSHHOPNSC</t>
  </si>
  <si>
    <t>South DerbyshireARSHHOPSC</t>
  </si>
  <si>
    <t>South DerbyshireARSHHOPTotal</t>
  </si>
  <si>
    <t>South DerbyshireGN1Bd</t>
  </si>
  <si>
    <t>South DerbyshireGN2Bd</t>
  </si>
  <si>
    <t>South DerbyshireGN3Bd</t>
  </si>
  <si>
    <t>South DerbyshireGN4Bd</t>
  </si>
  <si>
    <t>South DerbyshireGN5Bd</t>
  </si>
  <si>
    <t>South DerbyshireGN6Bd</t>
  </si>
  <si>
    <t>South DerbyshireGNBdst</t>
  </si>
  <si>
    <t>South DerbyshireGNNSC</t>
  </si>
  <si>
    <t>South DerbyshireGNTotal</t>
  </si>
  <si>
    <t>South DerbyshireGNSC</t>
  </si>
  <si>
    <t>South DerbyshireGNAGGSC</t>
  </si>
  <si>
    <t>South DerbyshireGNAGGNSC</t>
  </si>
  <si>
    <t>South DerbyshireLCHO</t>
  </si>
  <si>
    <t>South DerbyshireSHHOP1Bd</t>
  </si>
  <si>
    <t>South DerbyshireSHHOP2Bd</t>
  </si>
  <si>
    <t>South DerbyshireSHHOP3Bd</t>
  </si>
  <si>
    <t>South DerbyshireSHHOP4Bd</t>
  </si>
  <si>
    <t>South DerbyshireSHHOPBdst</t>
  </si>
  <si>
    <t>South DerbyshireSHHOPNSC</t>
  </si>
  <si>
    <t>South DerbyshireSHHOPTotal</t>
  </si>
  <si>
    <t>South DerbyshireSHHOPSC</t>
  </si>
  <si>
    <t>South DerbyshireSHHOPAGGNA</t>
  </si>
  <si>
    <t>E07000040</t>
  </si>
  <si>
    <t>East Devon</t>
  </si>
  <si>
    <t>East DevonARGN1Bd</t>
  </si>
  <si>
    <t>East DevonARGN2Bd</t>
  </si>
  <si>
    <t>East DevonARGN3Bd</t>
  </si>
  <si>
    <t>East DevonARGN4Bd</t>
  </si>
  <si>
    <t>East DevonARGN5Bd</t>
  </si>
  <si>
    <t>East DevonARGN6Bd</t>
  </si>
  <si>
    <t>East DevonARGNBdst</t>
  </si>
  <si>
    <t>East DevonARGNNSC</t>
  </si>
  <si>
    <t>East DevonARGNTotal</t>
  </si>
  <si>
    <t>East DevonARGNSC</t>
  </si>
  <si>
    <t>East DevonARSHHOP1Bd</t>
  </si>
  <si>
    <t>East DevonARSHHOP2Bd</t>
  </si>
  <si>
    <t>East DevonARSHHOP3Bd</t>
  </si>
  <si>
    <t>East DevonARSHHOP4Bd</t>
  </si>
  <si>
    <t>East DevonARSHHOPBdst</t>
  </si>
  <si>
    <t>East DevonARSHHOPNSC</t>
  </si>
  <si>
    <t>East DevonARSHHOPSC</t>
  </si>
  <si>
    <t>East DevonARSHHOPTotal</t>
  </si>
  <si>
    <t>East DevonGN1Bd</t>
  </si>
  <si>
    <t>East DevonGN2Bd</t>
  </si>
  <si>
    <t>East DevonGN3Bd</t>
  </si>
  <si>
    <t>East DevonGN4Bd</t>
  </si>
  <si>
    <t>East DevonGN5Bd</t>
  </si>
  <si>
    <t>East DevonGN6Bd</t>
  </si>
  <si>
    <t>East DevonGNBdst</t>
  </si>
  <si>
    <t>East DevonGNNSC</t>
  </si>
  <si>
    <t>East DevonGNTotal</t>
  </si>
  <si>
    <t>East DevonGNSC</t>
  </si>
  <si>
    <t>East DevonGNAGGSC</t>
  </si>
  <si>
    <t>East DevonGNAGGNSC</t>
  </si>
  <si>
    <t>East DevonLCHO</t>
  </si>
  <si>
    <t>East DevonSHHOP1Bd</t>
  </si>
  <si>
    <t>East DevonSHHOP2Bd</t>
  </si>
  <si>
    <t>East DevonSHHOP3Bd</t>
  </si>
  <si>
    <t>East DevonSHHOP4Bd</t>
  </si>
  <si>
    <t>East DevonSHHOPBdst</t>
  </si>
  <si>
    <t>East DevonSHHOPNSC</t>
  </si>
  <si>
    <t>East DevonSHHOPTotal</t>
  </si>
  <si>
    <t>East DevonSHHOPSC</t>
  </si>
  <si>
    <t>East DevonSHHOPAGGNA</t>
  </si>
  <si>
    <t>E07000041</t>
  </si>
  <si>
    <t>Exeter</t>
  </si>
  <si>
    <t>ExeterARGN1Bd</t>
  </si>
  <si>
    <t>ExeterARGN2Bd</t>
  </si>
  <si>
    <t>ExeterARGN3Bd</t>
  </si>
  <si>
    <t>ExeterARGN4Bd</t>
  </si>
  <si>
    <t>ExeterARGN5Bd</t>
  </si>
  <si>
    <t>ExeterARGN6Bd</t>
  </si>
  <si>
    <t>ExeterARGNBdst</t>
  </si>
  <si>
    <t>ExeterARGNNSC</t>
  </si>
  <si>
    <t>ExeterARGNTotal</t>
  </si>
  <si>
    <t>ExeterARGNSC</t>
  </si>
  <si>
    <t>ExeterARSHHOP1Bd</t>
  </si>
  <si>
    <t>ExeterARSHHOP2Bd</t>
  </si>
  <si>
    <t>ExeterARSHHOP3Bd</t>
  </si>
  <si>
    <t>ExeterARSHHOP4Bd</t>
  </si>
  <si>
    <t>ExeterARSHHOPBdst</t>
  </si>
  <si>
    <t>ExeterARSHHOPNSC</t>
  </si>
  <si>
    <t>ExeterARSHHOPSC</t>
  </si>
  <si>
    <t>ExeterARSHHOPTotal</t>
  </si>
  <si>
    <t>ExeterGN1Bd</t>
  </si>
  <si>
    <t>ExeterGN2Bd</t>
  </si>
  <si>
    <t>ExeterGN3Bd</t>
  </si>
  <si>
    <t>ExeterGN4Bd</t>
  </si>
  <si>
    <t>ExeterGN5Bd</t>
  </si>
  <si>
    <t>ExeterGN6Bd</t>
  </si>
  <si>
    <t>ExeterGNBdst</t>
  </si>
  <si>
    <t>ExeterGNNSC</t>
  </si>
  <si>
    <t>ExeterGNTotal</t>
  </si>
  <si>
    <t>ExeterGNSC</t>
  </si>
  <si>
    <t>ExeterGNAGGSC</t>
  </si>
  <si>
    <t>ExeterGNAGGNSC</t>
  </si>
  <si>
    <t>ExeterLCHO</t>
  </si>
  <si>
    <t>ExeterSHHOP1Bd</t>
  </si>
  <si>
    <t>ExeterSHHOP2Bd</t>
  </si>
  <si>
    <t>ExeterSHHOP3Bd</t>
  </si>
  <si>
    <t>ExeterSHHOP4Bd</t>
  </si>
  <si>
    <t>ExeterSHHOPBdst</t>
  </si>
  <si>
    <t>ExeterSHHOPNSC</t>
  </si>
  <si>
    <t>ExeterSHHOPTotal</t>
  </si>
  <si>
    <t>ExeterSHHOPSC</t>
  </si>
  <si>
    <t>ExeterSHHOPAGGNA</t>
  </si>
  <si>
    <t>E07000042</t>
  </si>
  <si>
    <t>Mid Devon</t>
  </si>
  <si>
    <t>Mid DevonARGN1Bd</t>
  </si>
  <si>
    <t>Mid DevonARGN2Bd</t>
  </si>
  <si>
    <t>Mid DevonARGN3Bd</t>
  </si>
  <si>
    <t>Mid DevonARGN4Bd</t>
  </si>
  <si>
    <t>Mid DevonARGN5Bd</t>
  </si>
  <si>
    <t>Mid DevonARGN6Bd</t>
  </si>
  <si>
    <t>Mid DevonARGNBdst</t>
  </si>
  <si>
    <t>Mid DevonARGNNSC</t>
  </si>
  <si>
    <t>Mid DevonARGNTotal</t>
  </si>
  <si>
    <t>Mid DevonARGNSC</t>
  </si>
  <si>
    <t>Mid DevonARSHHOP1Bd</t>
  </si>
  <si>
    <t>Mid DevonARSHHOP2Bd</t>
  </si>
  <si>
    <t>Mid DevonARSHHOP3Bd</t>
  </si>
  <si>
    <t>Mid DevonARSHHOP4Bd</t>
  </si>
  <si>
    <t>Mid DevonARSHHOPBdst</t>
  </si>
  <si>
    <t>Mid DevonARSHHOPNSC</t>
  </si>
  <si>
    <t>Mid DevonARSHHOPSC</t>
  </si>
  <si>
    <t>Mid DevonARSHHOPTotal</t>
  </si>
  <si>
    <t>Mid DevonGN1Bd</t>
  </si>
  <si>
    <t>Mid DevonGN2Bd</t>
  </si>
  <si>
    <t>Mid DevonGN3Bd</t>
  </si>
  <si>
    <t>Mid DevonGN4Bd</t>
  </si>
  <si>
    <t>Mid DevonGN5Bd</t>
  </si>
  <si>
    <t>Mid DevonGN6Bd</t>
  </si>
  <si>
    <t>Mid DevonGNBdst</t>
  </si>
  <si>
    <t>Mid DevonGNNSC</t>
  </si>
  <si>
    <t>Mid DevonGNTotal</t>
  </si>
  <si>
    <t>Mid DevonGNSC</t>
  </si>
  <si>
    <t>Mid DevonGNAGGSC</t>
  </si>
  <si>
    <t>Mid DevonGNAGGNSC</t>
  </si>
  <si>
    <t>Mid DevonLCHO</t>
  </si>
  <si>
    <t>Mid DevonSHHOP1Bd</t>
  </si>
  <si>
    <t>Mid DevonSHHOP2Bd</t>
  </si>
  <si>
    <t>Mid DevonSHHOP3Bd</t>
  </si>
  <si>
    <t>Mid DevonSHHOP4Bd</t>
  </si>
  <si>
    <t>Mid DevonSHHOPBdst</t>
  </si>
  <si>
    <t>Mid DevonSHHOPNSC</t>
  </si>
  <si>
    <t>Mid DevonSHHOPTotal</t>
  </si>
  <si>
    <t>Mid DevonSHHOPSC</t>
  </si>
  <si>
    <t>Mid DevonSHHOPAGGNA</t>
  </si>
  <si>
    <t>E07000043</t>
  </si>
  <si>
    <t>North Devon</t>
  </si>
  <si>
    <t>North DevonARGN1Bd</t>
  </si>
  <si>
    <t>North DevonARGN2Bd</t>
  </si>
  <si>
    <t>North DevonARGN3Bd</t>
  </si>
  <si>
    <t>North DevonARGN4Bd</t>
  </si>
  <si>
    <t>North DevonARGN5Bd</t>
  </si>
  <si>
    <t>North DevonARGN6Bd</t>
  </si>
  <si>
    <t>North DevonARGNBdst</t>
  </si>
  <si>
    <t>North DevonARGNNSC</t>
  </si>
  <si>
    <t>North DevonARGNTotal</t>
  </si>
  <si>
    <t>North DevonARGNSC</t>
  </si>
  <si>
    <t>North DevonARSHHOP1Bd</t>
  </si>
  <si>
    <t>North DevonARSHHOP2Bd</t>
  </si>
  <si>
    <t>North DevonARSHHOP3Bd</t>
  </si>
  <si>
    <t>North DevonARSHHOP4Bd</t>
  </si>
  <si>
    <t>North DevonARSHHOPBdst</t>
  </si>
  <si>
    <t>North DevonARSHHOPNSC</t>
  </si>
  <si>
    <t>North DevonARSHHOPSC</t>
  </si>
  <si>
    <t>North DevonARSHHOPTotal</t>
  </si>
  <si>
    <t>North DevonGN1Bd</t>
  </si>
  <si>
    <t>North DevonGN2Bd</t>
  </si>
  <si>
    <t>North DevonGN3Bd</t>
  </si>
  <si>
    <t>North DevonGN4Bd</t>
  </si>
  <si>
    <t>North DevonGN5Bd</t>
  </si>
  <si>
    <t>North DevonGN6Bd</t>
  </si>
  <si>
    <t>North DevonGNBdst</t>
  </si>
  <si>
    <t>North DevonGNNSC</t>
  </si>
  <si>
    <t>North DevonGNTotal</t>
  </si>
  <si>
    <t>North DevonGNSC</t>
  </si>
  <si>
    <t>North DevonGNAGGSC</t>
  </si>
  <si>
    <t>North DevonGNAGGNSC</t>
  </si>
  <si>
    <t>North DevonLCHO</t>
  </si>
  <si>
    <t>North DevonSHHOP1Bd</t>
  </si>
  <si>
    <t>North DevonSHHOP2Bd</t>
  </si>
  <si>
    <t>North DevonSHHOP3Bd</t>
  </si>
  <si>
    <t>North DevonSHHOP4Bd</t>
  </si>
  <si>
    <t>North DevonSHHOPBdst</t>
  </si>
  <si>
    <t>North DevonSHHOPNSC</t>
  </si>
  <si>
    <t>North DevonSHHOPTotal</t>
  </si>
  <si>
    <t>North DevonSHHOPSC</t>
  </si>
  <si>
    <t>North DevonSHHOPAGGNA</t>
  </si>
  <si>
    <t>E07000044</t>
  </si>
  <si>
    <t>South Hams</t>
  </si>
  <si>
    <t>South HamsARGN1Bd</t>
  </si>
  <si>
    <t>South HamsARGN2Bd</t>
  </si>
  <si>
    <t>South HamsARGN3Bd</t>
  </si>
  <si>
    <t>South HamsARGN4Bd</t>
  </si>
  <si>
    <t>South HamsARGN5Bd</t>
  </si>
  <si>
    <t>South HamsARGN6Bd</t>
  </si>
  <si>
    <t>South HamsARGNBdst</t>
  </si>
  <si>
    <t>South HamsARGNNSC</t>
  </si>
  <si>
    <t>South HamsARGNTotal</t>
  </si>
  <si>
    <t>South HamsARGNSC</t>
  </si>
  <si>
    <t>South HamsARSHHOP1Bd</t>
  </si>
  <si>
    <t>South HamsARSHHOP2Bd</t>
  </si>
  <si>
    <t>South HamsARSHHOP3Bd</t>
  </si>
  <si>
    <t>South HamsARSHHOP4Bd</t>
  </si>
  <si>
    <t>South HamsARSHHOPBdst</t>
  </si>
  <si>
    <t>South HamsARSHHOPNSC</t>
  </si>
  <si>
    <t>South HamsARSHHOPSC</t>
  </si>
  <si>
    <t>South HamsARSHHOPTotal</t>
  </si>
  <si>
    <t>South HamsGN1Bd</t>
  </si>
  <si>
    <t>South HamsGN2Bd</t>
  </si>
  <si>
    <t>South HamsGN3Bd</t>
  </si>
  <si>
    <t>South HamsGN4Bd</t>
  </si>
  <si>
    <t>South HamsGN5Bd</t>
  </si>
  <si>
    <t>South HamsGN6Bd</t>
  </si>
  <si>
    <t>South HamsGNBdst</t>
  </si>
  <si>
    <t>South HamsGNNSC</t>
  </si>
  <si>
    <t>South HamsGNTotal</t>
  </si>
  <si>
    <t>South HamsGNSC</t>
  </si>
  <si>
    <t>South HamsGNAGGSC</t>
  </si>
  <si>
    <t>South HamsGNAGGNSC</t>
  </si>
  <si>
    <t>South HamsLCHO</t>
  </si>
  <si>
    <t>South HamsSHHOP1Bd</t>
  </si>
  <si>
    <t>South HamsSHHOP2Bd</t>
  </si>
  <si>
    <t>South HamsSHHOP3Bd</t>
  </si>
  <si>
    <t>South HamsSHHOP4Bd</t>
  </si>
  <si>
    <t>South HamsSHHOPBdst</t>
  </si>
  <si>
    <t>South HamsSHHOPNSC</t>
  </si>
  <si>
    <t>South HamsSHHOPTotal</t>
  </si>
  <si>
    <t>South HamsSHHOPSC</t>
  </si>
  <si>
    <t>South HamsSHHOPAGGNA</t>
  </si>
  <si>
    <t>E07000045</t>
  </si>
  <si>
    <t>TeignbridgeARGN1Bd</t>
  </si>
  <si>
    <t>TeignbridgeARGN2Bd</t>
  </si>
  <si>
    <t>TeignbridgeARGN3Bd</t>
  </si>
  <si>
    <t>TeignbridgeARGN4Bd</t>
  </si>
  <si>
    <t>TeignbridgeARGN5Bd</t>
  </si>
  <si>
    <t>TeignbridgeARGN6Bd</t>
  </si>
  <si>
    <t>TeignbridgeARGNBdst</t>
  </si>
  <si>
    <t>TeignbridgeARGNNSC</t>
  </si>
  <si>
    <t>TeignbridgeARGNTotal</t>
  </si>
  <si>
    <t>TeignbridgeARGNSC</t>
  </si>
  <si>
    <t>TeignbridgeARSHHOP1Bd</t>
  </si>
  <si>
    <t>TeignbridgeARSHHOP2Bd</t>
  </si>
  <si>
    <t>TeignbridgeARSHHOP3Bd</t>
  </si>
  <si>
    <t>TeignbridgeARSHHOP4Bd</t>
  </si>
  <si>
    <t>TeignbridgeARSHHOPBdst</t>
  </si>
  <si>
    <t>TeignbridgeARSHHOPNSC</t>
  </si>
  <si>
    <t>TeignbridgeARSHHOPSC</t>
  </si>
  <si>
    <t>TeignbridgeARSHHOPTotal</t>
  </si>
  <si>
    <t>TeignbridgeGN1Bd</t>
  </si>
  <si>
    <t>TeignbridgeGN2Bd</t>
  </si>
  <si>
    <t>TeignbridgeGN3Bd</t>
  </si>
  <si>
    <t>TeignbridgeGN4Bd</t>
  </si>
  <si>
    <t>TeignbridgeGN5Bd</t>
  </si>
  <si>
    <t>TeignbridgeGN6Bd</t>
  </si>
  <si>
    <t>TeignbridgeGNBdst</t>
  </si>
  <si>
    <t>TeignbridgeGNNSC</t>
  </si>
  <si>
    <t>TeignbridgeGNTotal</t>
  </si>
  <si>
    <t>TeignbridgeGNSC</t>
  </si>
  <si>
    <t>TeignbridgeGNAGGSC</t>
  </si>
  <si>
    <t>TeignbridgeGNAGGNSC</t>
  </si>
  <si>
    <t>TeignbridgeLCHO</t>
  </si>
  <si>
    <t>TeignbridgeSHHOP1Bd</t>
  </si>
  <si>
    <t>TeignbridgeSHHOP2Bd</t>
  </si>
  <si>
    <t>TeignbridgeSHHOP3Bd</t>
  </si>
  <si>
    <t>TeignbridgeSHHOP4Bd</t>
  </si>
  <si>
    <t>TeignbridgeSHHOPBdst</t>
  </si>
  <si>
    <t>TeignbridgeSHHOPNSC</t>
  </si>
  <si>
    <t>TeignbridgeSHHOPTotal</t>
  </si>
  <si>
    <t>TeignbridgeSHHOPSC</t>
  </si>
  <si>
    <t>TeignbridgeSHHOPAGGNA</t>
  </si>
  <si>
    <t>E07000046</t>
  </si>
  <si>
    <t>TorridgeARGN1Bd</t>
  </si>
  <si>
    <t>TorridgeARGN2Bd</t>
  </si>
  <si>
    <t>TorridgeARGN3Bd</t>
  </si>
  <si>
    <t>TorridgeARGN4Bd</t>
  </si>
  <si>
    <t>TorridgeARGN5Bd</t>
  </si>
  <si>
    <t>TorridgeARGN6Bd</t>
  </si>
  <si>
    <t>TorridgeARGNBdst</t>
  </si>
  <si>
    <t>TorridgeARGNNSC</t>
  </si>
  <si>
    <t>TorridgeARGNTotal</t>
  </si>
  <si>
    <t>TorridgeARGNSC</t>
  </si>
  <si>
    <t>TorridgeARSHHOP1Bd</t>
  </si>
  <si>
    <t>TorridgeARSHHOP2Bd</t>
  </si>
  <si>
    <t>TorridgeARSHHOP3Bd</t>
  </si>
  <si>
    <t>TorridgeARSHHOP4Bd</t>
  </si>
  <si>
    <t>TorridgeARSHHOPBdst</t>
  </si>
  <si>
    <t>TorridgeARSHHOPNSC</t>
  </si>
  <si>
    <t>TorridgeARSHHOPSC</t>
  </si>
  <si>
    <t>TorridgeARSHHOPTotal</t>
  </si>
  <si>
    <t>TorridgeGN1Bd</t>
  </si>
  <si>
    <t>TorridgeGN2Bd</t>
  </si>
  <si>
    <t>TorridgeGN3Bd</t>
  </si>
  <si>
    <t>TorridgeGN4Bd</t>
  </si>
  <si>
    <t>TorridgeGN5Bd</t>
  </si>
  <si>
    <t>TorridgeGN6Bd</t>
  </si>
  <si>
    <t>TorridgeGNBdst</t>
  </si>
  <si>
    <t>TorridgeGNNSC</t>
  </si>
  <si>
    <t>TorridgeGNTotal</t>
  </si>
  <si>
    <t>TorridgeGNSC</t>
  </si>
  <si>
    <t>TorridgeGNAGGSC</t>
  </si>
  <si>
    <t>TorridgeGNAGGNSC</t>
  </si>
  <si>
    <t>TorridgeLCHO</t>
  </si>
  <si>
    <t>TorridgeSHHOP1Bd</t>
  </si>
  <si>
    <t>TorridgeSHHOP2Bd</t>
  </si>
  <si>
    <t>TorridgeSHHOP3Bd</t>
  </si>
  <si>
    <t>TorridgeSHHOP4Bd</t>
  </si>
  <si>
    <t>TorridgeSHHOPBdst</t>
  </si>
  <si>
    <t>TorridgeSHHOPNSC</t>
  </si>
  <si>
    <t>TorridgeSHHOPTotal</t>
  </si>
  <si>
    <t>TorridgeSHHOPSC</t>
  </si>
  <si>
    <t>TorridgeSHHOPAGGNA</t>
  </si>
  <si>
    <t>E07000047</t>
  </si>
  <si>
    <t>West DevonARGN1Bd</t>
  </si>
  <si>
    <t>West DevonARGN2Bd</t>
  </si>
  <si>
    <t>West DevonARGN3Bd</t>
  </si>
  <si>
    <t>West DevonARGN4Bd</t>
  </si>
  <si>
    <t>West DevonARGN5Bd</t>
  </si>
  <si>
    <t>West DevonARGN6Bd</t>
  </si>
  <si>
    <t>West DevonARGNBdst</t>
  </si>
  <si>
    <t>West DevonARGNNSC</t>
  </si>
  <si>
    <t>West DevonARGNTotal</t>
  </si>
  <si>
    <t>West DevonARGNSC</t>
  </si>
  <si>
    <t>West DevonARSHHOP1Bd</t>
  </si>
  <si>
    <t>West DevonARSHHOP2Bd</t>
  </si>
  <si>
    <t>West DevonARSHHOP3Bd</t>
  </si>
  <si>
    <t>West DevonARSHHOP4Bd</t>
  </si>
  <si>
    <t>West DevonARSHHOPBdst</t>
  </si>
  <si>
    <t>West DevonARSHHOPNSC</t>
  </si>
  <si>
    <t>West DevonARSHHOPSC</t>
  </si>
  <si>
    <t>West DevonARSHHOPTotal</t>
  </si>
  <si>
    <t>West DevonGN1Bd</t>
  </si>
  <si>
    <t>West DevonGN2Bd</t>
  </si>
  <si>
    <t>West DevonGN3Bd</t>
  </si>
  <si>
    <t>West DevonGN4Bd</t>
  </si>
  <si>
    <t>West DevonGN5Bd</t>
  </si>
  <si>
    <t>West DevonGN6Bd</t>
  </si>
  <si>
    <t>West DevonGNBdst</t>
  </si>
  <si>
    <t>West DevonGNNSC</t>
  </si>
  <si>
    <t>West DevonGNTotal</t>
  </si>
  <si>
    <t>West DevonGNSC</t>
  </si>
  <si>
    <t>West DevonGNAGGSC</t>
  </si>
  <si>
    <t>West DevonGNAGGNSC</t>
  </si>
  <si>
    <t>West DevonLCHO</t>
  </si>
  <si>
    <t>West DevonSHHOP1Bd</t>
  </si>
  <si>
    <t>West DevonSHHOP2Bd</t>
  </si>
  <si>
    <t>West DevonSHHOP3Bd</t>
  </si>
  <si>
    <t>West DevonSHHOP4Bd</t>
  </si>
  <si>
    <t>West DevonSHHOPBdst</t>
  </si>
  <si>
    <t>West DevonSHHOPNSC</t>
  </si>
  <si>
    <t>West DevonSHHOPTotal</t>
  </si>
  <si>
    <t>West DevonSHHOPSC</t>
  </si>
  <si>
    <t>West DevonSHHOPAGGNA</t>
  </si>
  <si>
    <t>E07000061</t>
  </si>
  <si>
    <t>Eastbourne</t>
  </si>
  <si>
    <t>EastbourneARGN1Bd</t>
  </si>
  <si>
    <t>EastbourneARGN2Bd</t>
  </si>
  <si>
    <t>EastbourneARGN3Bd</t>
  </si>
  <si>
    <t>EastbourneARGN4Bd</t>
  </si>
  <si>
    <t>EastbourneARGN5Bd</t>
  </si>
  <si>
    <t>EastbourneARGN6Bd</t>
  </si>
  <si>
    <t>EastbourneARGNBdst</t>
  </si>
  <si>
    <t>EastbourneARGNNSC</t>
  </si>
  <si>
    <t>EastbourneARGNTotal</t>
  </si>
  <si>
    <t>EastbourneARGNSC</t>
  </si>
  <si>
    <t>EastbourneARSHHOP1Bd</t>
  </si>
  <si>
    <t>EastbourneARSHHOP2Bd</t>
  </si>
  <si>
    <t>EastbourneARSHHOP3Bd</t>
  </si>
  <si>
    <t>EastbourneARSHHOP4Bd</t>
  </si>
  <si>
    <t>EastbourneARSHHOPBdst</t>
  </si>
  <si>
    <t>EastbourneARSHHOPNSC</t>
  </si>
  <si>
    <t>EastbourneARSHHOPSC</t>
  </si>
  <si>
    <t>EastbourneARSHHOPTotal</t>
  </si>
  <si>
    <t>EastbourneGN1Bd</t>
  </si>
  <si>
    <t>EastbourneGN2Bd</t>
  </si>
  <si>
    <t>EastbourneGN3Bd</t>
  </si>
  <si>
    <t>EastbourneGN4Bd</t>
  </si>
  <si>
    <t>EastbourneGN5Bd</t>
  </si>
  <si>
    <t>EastbourneGN6Bd</t>
  </si>
  <si>
    <t>EastbourneGNBdst</t>
  </si>
  <si>
    <t>EastbourneGNNSC</t>
  </si>
  <si>
    <t>EastbourneGNTotal</t>
  </si>
  <si>
    <t>EastbourneGNSC</t>
  </si>
  <si>
    <t>EastbourneGNAGGSC</t>
  </si>
  <si>
    <t>EastbourneGNAGGNSC</t>
  </si>
  <si>
    <t>EastbourneLCHO</t>
  </si>
  <si>
    <t>EastbourneSHHOP1Bd</t>
  </si>
  <si>
    <t>EastbourneSHHOP2Bd</t>
  </si>
  <si>
    <t>EastbourneSHHOP3Bd</t>
  </si>
  <si>
    <t>EastbourneSHHOP4Bd</t>
  </si>
  <si>
    <t>EastbourneSHHOPBdst</t>
  </si>
  <si>
    <t>EastbourneSHHOPNSC</t>
  </si>
  <si>
    <t>EastbourneSHHOPTotal</t>
  </si>
  <si>
    <t>EastbourneSHHOPSC</t>
  </si>
  <si>
    <t>EastbourneSHHOPAGGNA</t>
  </si>
  <si>
    <t>E07000062</t>
  </si>
  <si>
    <t>Hastings</t>
  </si>
  <si>
    <t>HastingsARGN1Bd</t>
  </si>
  <si>
    <t>HastingsARGN2Bd</t>
  </si>
  <si>
    <t>HastingsARGN3Bd</t>
  </si>
  <si>
    <t>HastingsARGN4Bd</t>
  </si>
  <si>
    <t>HastingsARGN5Bd</t>
  </si>
  <si>
    <t>HastingsARGN6Bd</t>
  </si>
  <si>
    <t>HastingsARGNBdst</t>
  </si>
  <si>
    <t>HastingsARGNNSC</t>
  </si>
  <si>
    <t>HastingsARGNTotal</t>
  </si>
  <si>
    <t>HastingsARGNSC</t>
  </si>
  <si>
    <t>HastingsARSHHOP1Bd</t>
  </si>
  <si>
    <t>HastingsARSHHOP2Bd</t>
  </si>
  <si>
    <t>HastingsARSHHOP3Bd</t>
  </si>
  <si>
    <t>HastingsARSHHOP4Bd</t>
  </si>
  <si>
    <t>HastingsARSHHOPBdst</t>
  </si>
  <si>
    <t>HastingsARSHHOPNSC</t>
  </si>
  <si>
    <t>HastingsARSHHOPSC</t>
  </si>
  <si>
    <t>HastingsARSHHOPTotal</t>
  </si>
  <si>
    <t>HastingsGN1Bd</t>
  </si>
  <si>
    <t>HastingsGN2Bd</t>
  </si>
  <si>
    <t>HastingsGN3Bd</t>
  </si>
  <si>
    <t>HastingsGN4Bd</t>
  </si>
  <si>
    <t>HastingsGN5Bd</t>
  </si>
  <si>
    <t>HastingsGN6Bd</t>
  </si>
  <si>
    <t>HastingsGNBdst</t>
  </si>
  <si>
    <t>HastingsGNNSC</t>
  </si>
  <si>
    <t>HastingsGNTotal</t>
  </si>
  <si>
    <t>HastingsGNSC</t>
  </si>
  <si>
    <t>HastingsGNAGGSC</t>
  </si>
  <si>
    <t>HastingsGNAGGNSC</t>
  </si>
  <si>
    <t>HastingsLCHO</t>
  </si>
  <si>
    <t>HastingsSHHOP1Bd</t>
  </si>
  <si>
    <t>HastingsSHHOP2Bd</t>
  </si>
  <si>
    <t>HastingsSHHOP3Bd</t>
  </si>
  <si>
    <t>HastingsSHHOP4Bd</t>
  </si>
  <si>
    <t>HastingsSHHOPBdst</t>
  </si>
  <si>
    <t>HastingsSHHOPNSC</t>
  </si>
  <si>
    <t>HastingsSHHOPTotal</t>
  </si>
  <si>
    <t>HastingsSHHOPSC</t>
  </si>
  <si>
    <t>HastingsSHHOPAGGNA</t>
  </si>
  <si>
    <t>E07000063</t>
  </si>
  <si>
    <t>Lewes</t>
  </si>
  <si>
    <t>LewesARGN1Bd</t>
  </si>
  <si>
    <t>LewesARGN2Bd</t>
  </si>
  <si>
    <t>LewesARGN3Bd</t>
  </si>
  <si>
    <t>LewesARGN4Bd</t>
  </si>
  <si>
    <t>LewesARGN5Bd</t>
  </si>
  <si>
    <t>LewesARGN6Bd</t>
  </si>
  <si>
    <t>LewesARGNBdst</t>
  </si>
  <si>
    <t>LewesARGNNSC</t>
  </si>
  <si>
    <t>LewesARGNTotal</t>
  </si>
  <si>
    <t>LewesARGNSC</t>
  </si>
  <si>
    <t>LewesARSHHOP1Bd</t>
  </si>
  <si>
    <t>LewesARSHHOP2Bd</t>
  </si>
  <si>
    <t>LewesARSHHOP3Bd</t>
  </si>
  <si>
    <t>LewesARSHHOP4Bd</t>
  </si>
  <si>
    <t>LewesARSHHOPBdst</t>
  </si>
  <si>
    <t>LewesARSHHOPNSC</t>
  </si>
  <si>
    <t>LewesARSHHOPSC</t>
  </si>
  <si>
    <t>LewesARSHHOPTotal</t>
  </si>
  <si>
    <t>LewesGN1Bd</t>
  </si>
  <si>
    <t>LewesGN2Bd</t>
  </si>
  <si>
    <t>LewesGN3Bd</t>
  </si>
  <si>
    <t>LewesGN4Bd</t>
  </si>
  <si>
    <t>LewesGN5Bd</t>
  </si>
  <si>
    <t>LewesGN6Bd</t>
  </si>
  <si>
    <t>LewesGNBdst</t>
  </si>
  <si>
    <t>LewesGNNSC</t>
  </si>
  <si>
    <t>LewesGNTotal</t>
  </si>
  <si>
    <t>LewesGNSC</t>
  </si>
  <si>
    <t>LewesGNAGGSC</t>
  </si>
  <si>
    <t>LewesGNAGGNSC</t>
  </si>
  <si>
    <t>LewesLCHO</t>
  </si>
  <si>
    <t>LewesSHHOP1Bd</t>
  </si>
  <si>
    <t>LewesSHHOP2Bd</t>
  </si>
  <si>
    <t>LewesSHHOP3Bd</t>
  </si>
  <si>
    <t>LewesSHHOP4Bd</t>
  </si>
  <si>
    <t>LewesSHHOPBdst</t>
  </si>
  <si>
    <t>LewesSHHOPNSC</t>
  </si>
  <si>
    <t>LewesSHHOPTotal</t>
  </si>
  <si>
    <t>LewesSHHOPSC</t>
  </si>
  <si>
    <t>LewesSHHOPAGGNA</t>
  </si>
  <si>
    <t>E07000064</t>
  </si>
  <si>
    <t>Rother</t>
  </si>
  <si>
    <t>RotherARGN1Bd</t>
  </si>
  <si>
    <t>RotherARGN2Bd</t>
  </si>
  <si>
    <t>RotherARGN3Bd</t>
  </si>
  <si>
    <t>RotherARGN4Bd</t>
  </si>
  <si>
    <t>RotherARGN5Bd</t>
  </si>
  <si>
    <t>RotherARGN6Bd</t>
  </si>
  <si>
    <t>RotherARGNBdst</t>
  </si>
  <si>
    <t>RotherARGNNSC</t>
  </si>
  <si>
    <t>RotherARGNTotal</t>
  </si>
  <si>
    <t>RotherARGNSC</t>
  </si>
  <si>
    <t>RotherARSHHOP1Bd</t>
  </si>
  <si>
    <t>RotherARSHHOP2Bd</t>
  </si>
  <si>
    <t>RotherARSHHOP3Bd</t>
  </si>
  <si>
    <t>RotherARSHHOP4Bd</t>
  </si>
  <si>
    <t>RotherARSHHOPBdst</t>
  </si>
  <si>
    <t>RotherARSHHOPNSC</t>
  </si>
  <si>
    <t>RotherARSHHOPSC</t>
  </si>
  <si>
    <t>RotherARSHHOPTotal</t>
  </si>
  <si>
    <t>RotherGN1Bd</t>
  </si>
  <si>
    <t>RotherGN2Bd</t>
  </si>
  <si>
    <t>RotherGN3Bd</t>
  </si>
  <si>
    <t>RotherGN4Bd</t>
  </si>
  <si>
    <t>RotherGN5Bd</t>
  </si>
  <si>
    <t>RotherGN6Bd</t>
  </si>
  <si>
    <t>RotherGNBdst</t>
  </si>
  <si>
    <t>RotherGNNSC</t>
  </si>
  <si>
    <t>RotherGNTotal</t>
  </si>
  <si>
    <t>RotherGNSC</t>
  </si>
  <si>
    <t>RotherGNAGGSC</t>
  </si>
  <si>
    <t>RotherGNAGGNSC</t>
  </si>
  <si>
    <t>RotherLCHO</t>
  </si>
  <si>
    <t>RotherSHHOP1Bd</t>
  </si>
  <si>
    <t>RotherSHHOP2Bd</t>
  </si>
  <si>
    <t>RotherSHHOP3Bd</t>
  </si>
  <si>
    <t>RotherSHHOP4Bd</t>
  </si>
  <si>
    <t>RotherSHHOPBdst</t>
  </si>
  <si>
    <t>RotherSHHOPNSC</t>
  </si>
  <si>
    <t>RotherSHHOPTotal</t>
  </si>
  <si>
    <t>RotherSHHOPSC</t>
  </si>
  <si>
    <t>RotherSHHOPAGGNA</t>
  </si>
  <si>
    <t>E07000065</t>
  </si>
  <si>
    <t>WealdenARGN1Bd</t>
  </si>
  <si>
    <t>WealdenARGN2Bd</t>
  </si>
  <si>
    <t>WealdenARGN3Bd</t>
  </si>
  <si>
    <t>WealdenARGN4Bd</t>
  </si>
  <si>
    <t>WealdenARGN5Bd</t>
  </si>
  <si>
    <t>WealdenARGN6Bd</t>
  </si>
  <si>
    <t>WealdenARGNBdst</t>
  </si>
  <si>
    <t>WealdenARGNNSC</t>
  </si>
  <si>
    <t>WealdenARGNTotal</t>
  </si>
  <si>
    <t>WealdenARGNSC</t>
  </si>
  <si>
    <t>WealdenARSHHOP1Bd</t>
  </si>
  <si>
    <t>WealdenARSHHOP2Bd</t>
  </si>
  <si>
    <t>WealdenARSHHOP3Bd</t>
  </si>
  <si>
    <t>WealdenARSHHOP4Bd</t>
  </si>
  <si>
    <t>WealdenARSHHOPBdst</t>
  </si>
  <si>
    <t>WealdenARSHHOPNSC</t>
  </si>
  <si>
    <t>WealdenARSHHOPSC</t>
  </si>
  <si>
    <t>WealdenARSHHOPTotal</t>
  </si>
  <si>
    <t>WealdenGN1Bd</t>
  </si>
  <si>
    <t>WealdenGN2Bd</t>
  </si>
  <si>
    <t>WealdenGN3Bd</t>
  </si>
  <si>
    <t>WealdenGN4Bd</t>
  </si>
  <si>
    <t>WealdenGN5Bd</t>
  </si>
  <si>
    <t>WealdenGN6Bd</t>
  </si>
  <si>
    <t>WealdenGNBdst</t>
  </si>
  <si>
    <t>WealdenGNNSC</t>
  </si>
  <si>
    <t>WealdenGNTotal</t>
  </si>
  <si>
    <t>WealdenGNSC</t>
  </si>
  <si>
    <t>WealdenGNAGGSC</t>
  </si>
  <si>
    <t>WealdenGNAGGNSC</t>
  </si>
  <si>
    <t>WealdenLCHO</t>
  </si>
  <si>
    <t>WealdenSHHOP1Bd</t>
  </si>
  <si>
    <t>WealdenSHHOP2Bd</t>
  </si>
  <si>
    <t>WealdenSHHOP3Bd</t>
  </si>
  <si>
    <t>WealdenSHHOP4Bd</t>
  </si>
  <si>
    <t>WealdenSHHOPBdst</t>
  </si>
  <si>
    <t>WealdenSHHOPNSC</t>
  </si>
  <si>
    <t>WealdenSHHOPTotal</t>
  </si>
  <si>
    <t>WealdenSHHOPSC</t>
  </si>
  <si>
    <t>WealdenSHHOPAGGNA</t>
  </si>
  <si>
    <t>E07000066</t>
  </si>
  <si>
    <t>Basildon</t>
  </si>
  <si>
    <t>BasildonARGN1Bd</t>
  </si>
  <si>
    <t>BasildonARGN2Bd</t>
  </si>
  <si>
    <t>BasildonARGN3Bd</t>
  </si>
  <si>
    <t>BasildonARGN4Bd</t>
  </si>
  <si>
    <t>BasildonARGN5Bd</t>
  </si>
  <si>
    <t>BasildonARGN6Bd</t>
  </si>
  <si>
    <t>BasildonARGNBdst</t>
  </si>
  <si>
    <t>BasildonARGNNSC</t>
  </si>
  <si>
    <t>BasildonARGNTotal</t>
  </si>
  <si>
    <t>BasildonARGNSC</t>
  </si>
  <si>
    <t>BasildonARSHHOP1Bd</t>
  </si>
  <si>
    <t>BasildonARSHHOP2Bd</t>
  </si>
  <si>
    <t>BasildonARSHHOP3Bd</t>
  </si>
  <si>
    <t>BasildonARSHHOP4Bd</t>
  </si>
  <si>
    <t>BasildonARSHHOPBdst</t>
  </si>
  <si>
    <t>BasildonARSHHOPNSC</t>
  </si>
  <si>
    <t>BasildonARSHHOPSC</t>
  </si>
  <si>
    <t>BasildonARSHHOPTotal</t>
  </si>
  <si>
    <t>BasildonGN1Bd</t>
  </si>
  <si>
    <t>BasildonGN2Bd</t>
  </si>
  <si>
    <t>BasildonGN3Bd</t>
  </si>
  <si>
    <t>BasildonGN4Bd</t>
  </si>
  <si>
    <t>BasildonGN5Bd</t>
  </si>
  <si>
    <t>BasildonGN6Bd</t>
  </si>
  <si>
    <t>BasildonGNBdst</t>
  </si>
  <si>
    <t>BasildonGNNSC</t>
  </si>
  <si>
    <t>BasildonGNTotal</t>
  </si>
  <si>
    <t>BasildonGNSC</t>
  </si>
  <si>
    <t>BasildonGNAGGSC</t>
  </si>
  <si>
    <t>BasildonGNAGGNSC</t>
  </si>
  <si>
    <t>BasildonLCHO</t>
  </si>
  <si>
    <t>BasildonSHHOP1Bd</t>
  </si>
  <si>
    <t>BasildonSHHOP2Bd</t>
  </si>
  <si>
    <t>BasildonSHHOP3Bd</t>
  </si>
  <si>
    <t>BasildonSHHOP4Bd</t>
  </si>
  <si>
    <t>BasildonSHHOPBdst</t>
  </si>
  <si>
    <t>BasildonSHHOPNSC</t>
  </si>
  <si>
    <t>BasildonSHHOPTotal</t>
  </si>
  <si>
    <t>BasildonSHHOPSC</t>
  </si>
  <si>
    <t>BasildonSHHOPAGGNA</t>
  </si>
  <si>
    <t>E07000067</t>
  </si>
  <si>
    <t>Braintree</t>
  </si>
  <si>
    <t>BraintreeARGN1Bd</t>
  </si>
  <si>
    <t>BraintreeARGN2Bd</t>
  </si>
  <si>
    <t>BraintreeARGN3Bd</t>
  </si>
  <si>
    <t>BraintreeARGN4Bd</t>
  </si>
  <si>
    <t>BraintreeARGN5Bd</t>
  </si>
  <si>
    <t>BraintreeARGN6Bd</t>
  </si>
  <si>
    <t>BraintreeARGNBdst</t>
  </si>
  <si>
    <t>BraintreeARGNNSC</t>
  </si>
  <si>
    <t>BraintreeARGNTotal</t>
  </si>
  <si>
    <t>BraintreeARGNSC</t>
  </si>
  <si>
    <t>BraintreeARSHHOP1Bd</t>
  </si>
  <si>
    <t>BraintreeARSHHOP2Bd</t>
  </si>
  <si>
    <t>BraintreeARSHHOP3Bd</t>
  </si>
  <si>
    <t>BraintreeARSHHOP4Bd</t>
  </si>
  <si>
    <t>BraintreeARSHHOPBdst</t>
  </si>
  <si>
    <t>BraintreeARSHHOPNSC</t>
  </si>
  <si>
    <t>BraintreeARSHHOPSC</t>
  </si>
  <si>
    <t>BraintreeARSHHOPTotal</t>
  </si>
  <si>
    <t>BraintreeGN1Bd</t>
  </si>
  <si>
    <t>BraintreeGN2Bd</t>
  </si>
  <si>
    <t>BraintreeGN3Bd</t>
  </si>
  <si>
    <t>BraintreeGN4Bd</t>
  </si>
  <si>
    <t>BraintreeGN5Bd</t>
  </si>
  <si>
    <t>BraintreeGN6Bd</t>
  </si>
  <si>
    <t>BraintreeGNBdst</t>
  </si>
  <si>
    <t>BraintreeGNNSC</t>
  </si>
  <si>
    <t>BraintreeGNTotal</t>
  </si>
  <si>
    <t>BraintreeGNSC</t>
  </si>
  <si>
    <t>BraintreeGNAGGSC</t>
  </si>
  <si>
    <t>BraintreeGNAGGNSC</t>
  </si>
  <si>
    <t>BraintreeLCHO</t>
  </si>
  <si>
    <t>BraintreeSHHOP1Bd</t>
  </si>
  <si>
    <t>BraintreeSHHOP2Bd</t>
  </si>
  <si>
    <t>BraintreeSHHOP3Bd</t>
  </si>
  <si>
    <t>BraintreeSHHOP4Bd</t>
  </si>
  <si>
    <t>BraintreeSHHOPBdst</t>
  </si>
  <si>
    <t>BraintreeSHHOPNSC</t>
  </si>
  <si>
    <t>BraintreeSHHOPTotal</t>
  </si>
  <si>
    <t>BraintreeSHHOPSC</t>
  </si>
  <si>
    <t>BraintreeSHHOPAGGNA</t>
  </si>
  <si>
    <t>E07000068</t>
  </si>
  <si>
    <t>Brentwood</t>
  </si>
  <si>
    <t>BrentwoodARGN1Bd</t>
  </si>
  <si>
    <t>BrentwoodARGN2Bd</t>
  </si>
  <si>
    <t>BrentwoodARGN3Bd</t>
  </si>
  <si>
    <t>BrentwoodARGN4Bd</t>
  </si>
  <si>
    <t>BrentwoodARGN5Bd</t>
  </si>
  <si>
    <t>BrentwoodARGN6Bd</t>
  </si>
  <si>
    <t>BrentwoodARGNBdst</t>
  </si>
  <si>
    <t>BrentwoodARGNNSC</t>
  </si>
  <si>
    <t>BrentwoodARGNTotal</t>
  </si>
  <si>
    <t>BrentwoodARGNSC</t>
  </si>
  <si>
    <t>BrentwoodARSHHOP1Bd</t>
  </si>
  <si>
    <t>BrentwoodARSHHOP2Bd</t>
  </si>
  <si>
    <t>BrentwoodARSHHOP3Bd</t>
  </si>
  <si>
    <t>BrentwoodARSHHOP4Bd</t>
  </si>
  <si>
    <t>BrentwoodARSHHOPBdst</t>
  </si>
  <si>
    <t>BrentwoodARSHHOPNSC</t>
  </si>
  <si>
    <t>BrentwoodARSHHOPSC</t>
  </si>
  <si>
    <t>BrentwoodARSHHOPTotal</t>
  </si>
  <si>
    <t>BrentwoodGN1Bd</t>
  </si>
  <si>
    <t>BrentwoodGN2Bd</t>
  </si>
  <si>
    <t>BrentwoodGN3Bd</t>
  </si>
  <si>
    <t>BrentwoodGN4Bd</t>
  </si>
  <si>
    <t>BrentwoodGN5Bd</t>
  </si>
  <si>
    <t>BrentwoodGN6Bd</t>
  </si>
  <si>
    <t>BrentwoodGNBdst</t>
  </si>
  <si>
    <t>BrentwoodGNNSC</t>
  </si>
  <si>
    <t>BrentwoodGNTotal</t>
  </si>
  <si>
    <t>BrentwoodGNSC</t>
  </si>
  <si>
    <t>BrentwoodGNAGGSC</t>
  </si>
  <si>
    <t>BrentwoodGNAGGNSC</t>
  </si>
  <si>
    <t>BrentwoodLCHO</t>
  </si>
  <si>
    <t>BrentwoodSHHOP1Bd</t>
  </si>
  <si>
    <t>BrentwoodSHHOP2Bd</t>
  </si>
  <si>
    <t>BrentwoodSHHOP3Bd</t>
  </si>
  <si>
    <t>BrentwoodSHHOP4Bd</t>
  </si>
  <si>
    <t>BrentwoodSHHOPBdst</t>
  </si>
  <si>
    <t>BrentwoodSHHOPNSC</t>
  </si>
  <si>
    <t>BrentwoodSHHOPTotal</t>
  </si>
  <si>
    <t>BrentwoodSHHOPSC</t>
  </si>
  <si>
    <t>BrentwoodSHHOPAGGNA</t>
  </si>
  <si>
    <t>E07000069</t>
  </si>
  <si>
    <t>Castle Point</t>
  </si>
  <si>
    <t>Castle PointARGN1Bd</t>
  </si>
  <si>
    <t>Castle PointARGN2Bd</t>
  </si>
  <si>
    <t>Castle PointARGN3Bd</t>
  </si>
  <si>
    <t>Castle PointARGN4Bd</t>
  </si>
  <si>
    <t>Castle PointARGN5Bd</t>
  </si>
  <si>
    <t>Castle PointARGN6Bd</t>
  </si>
  <si>
    <t>Castle PointARGNBdst</t>
  </si>
  <si>
    <t>Castle PointARGNNSC</t>
  </si>
  <si>
    <t>Castle PointARGNTotal</t>
  </si>
  <si>
    <t>Castle PointARGNSC</t>
  </si>
  <si>
    <t>Castle PointARSHHOP1Bd</t>
  </si>
  <si>
    <t>Castle PointARSHHOP2Bd</t>
  </si>
  <si>
    <t>Castle PointARSHHOP3Bd</t>
  </si>
  <si>
    <t>Castle PointARSHHOP4Bd</t>
  </si>
  <si>
    <t>Castle PointARSHHOPBdst</t>
  </si>
  <si>
    <t>Castle PointARSHHOPNSC</t>
  </si>
  <si>
    <t>Castle PointARSHHOPSC</t>
  </si>
  <si>
    <t>Castle PointARSHHOPTotal</t>
  </si>
  <si>
    <t>Castle PointGN1Bd</t>
  </si>
  <si>
    <t>Castle PointGN2Bd</t>
  </si>
  <si>
    <t>Castle PointGN3Bd</t>
  </si>
  <si>
    <t>Castle PointGN4Bd</t>
  </si>
  <si>
    <t>Castle PointGN5Bd</t>
  </si>
  <si>
    <t>Castle PointGN6Bd</t>
  </si>
  <si>
    <t>Castle PointGNBdst</t>
  </si>
  <si>
    <t>Castle PointGNNSC</t>
  </si>
  <si>
    <t>Castle PointGNTotal</t>
  </si>
  <si>
    <t>Castle PointGNSC</t>
  </si>
  <si>
    <t>Castle PointGNAGGSC</t>
  </si>
  <si>
    <t>Castle PointGNAGGNSC</t>
  </si>
  <si>
    <t>Castle PointLCHO</t>
  </si>
  <si>
    <t>Castle PointSHHOP1Bd</t>
  </si>
  <si>
    <t>Castle PointSHHOP2Bd</t>
  </si>
  <si>
    <t>Castle PointSHHOP3Bd</t>
  </si>
  <si>
    <t>Castle PointSHHOP4Bd</t>
  </si>
  <si>
    <t>Castle PointSHHOPBdst</t>
  </si>
  <si>
    <t>Castle PointSHHOPNSC</t>
  </si>
  <si>
    <t>Castle PointSHHOPTotal</t>
  </si>
  <si>
    <t>Castle PointSHHOPSC</t>
  </si>
  <si>
    <t>Castle PointSHHOPAGGNA</t>
  </si>
  <si>
    <t>E07000070</t>
  </si>
  <si>
    <t>Chelmsford</t>
  </si>
  <si>
    <t>ChelmsfordARGN1Bd</t>
  </si>
  <si>
    <t>ChelmsfordARGN2Bd</t>
  </si>
  <si>
    <t>ChelmsfordARGN3Bd</t>
  </si>
  <si>
    <t>ChelmsfordARGN4Bd</t>
  </si>
  <si>
    <t>ChelmsfordARGN5Bd</t>
  </si>
  <si>
    <t>ChelmsfordARGN6Bd</t>
  </si>
  <si>
    <t>ChelmsfordARGNBdst</t>
  </si>
  <si>
    <t>ChelmsfordARGNNSC</t>
  </si>
  <si>
    <t>ChelmsfordARGNTotal</t>
  </si>
  <si>
    <t>ChelmsfordARGNSC</t>
  </si>
  <si>
    <t>ChelmsfordARSHHOP1Bd</t>
  </si>
  <si>
    <t>ChelmsfordARSHHOP2Bd</t>
  </si>
  <si>
    <t>ChelmsfordARSHHOP3Bd</t>
  </si>
  <si>
    <t>ChelmsfordARSHHOP4Bd</t>
  </si>
  <si>
    <t>ChelmsfordARSHHOPBdst</t>
  </si>
  <si>
    <t>ChelmsfordARSHHOPNSC</t>
  </si>
  <si>
    <t>ChelmsfordARSHHOPSC</t>
  </si>
  <si>
    <t>ChelmsfordARSHHOPTotal</t>
  </si>
  <si>
    <t>ChelmsfordGN1Bd</t>
  </si>
  <si>
    <t>ChelmsfordGN2Bd</t>
  </si>
  <si>
    <t>ChelmsfordGN3Bd</t>
  </si>
  <si>
    <t>ChelmsfordGN4Bd</t>
  </si>
  <si>
    <t>ChelmsfordGN5Bd</t>
  </si>
  <si>
    <t>ChelmsfordGN6Bd</t>
  </si>
  <si>
    <t>ChelmsfordGNBdst</t>
  </si>
  <si>
    <t>ChelmsfordGNNSC</t>
  </si>
  <si>
    <t>ChelmsfordGNTotal</t>
  </si>
  <si>
    <t>ChelmsfordGNSC</t>
  </si>
  <si>
    <t>ChelmsfordGNAGGSC</t>
  </si>
  <si>
    <t>ChelmsfordGNAGGNSC</t>
  </si>
  <si>
    <t>ChelmsfordLCHO</t>
  </si>
  <si>
    <t>ChelmsfordSHHOP1Bd</t>
  </si>
  <si>
    <t>ChelmsfordSHHOP2Bd</t>
  </si>
  <si>
    <t>ChelmsfordSHHOP3Bd</t>
  </si>
  <si>
    <t>ChelmsfordSHHOP4Bd</t>
  </si>
  <si>
    <t>ChelmsfordSHHOPBdst</t>
  </si>
  <si>
    <t>ChelmsfordSHHOPNSC</t>
  </si>
  <si>
    <t>ChelmsfordSHHOPTotal</t>
  </si>
  <si>
    <t>ChelmsfordSHHOPSC</t>
  </si>
  <si>
    <t>ChelmsfordSHHOPAGGNA</t>
  </si>
  <si>
    <t>E07000071</t>
  </si>
  <si>
    <t>Colchester</t>
  </si>
  <si>
    <t>ColchesterARGN1Bd</t>
  </si>
  <si>
    <t>ColchesterARGN2Bd</t>
  </si>
  <si>
    <t>ColchesterARGN3Bd</t>
  </si>
  <si>
    <t>ColchesterARGN4Bd</t>
  </si>
  <si>
    <t>ColchesterARGN5Bd</t>
  </si>
  <si>
    <t>ColchesterARGN6Bd</t>
  </si>
  <si>
    <t>ColchesterARGNBdst</t>
  </si>
  <si>
    <t>ColchesterARGNNSC</t>
  </si>
  <si>
    <t>ColchesterARGNTotal</t>
  </si>
  <si>
    <t>ColchesterARGNSC</t>
  </si>
  <si>
    <t>ColchesterARSHHOP1Bd</t>
  </si>
  <si>
    <t>ColchesterARSHHOP2Bd</t>
  </si>
  <si>
    <t>ColchesterARSHHOP3Bd</t>
  </si>
  <si>
    <t>ColchesterARSHHOP4Bd</t>
  </si>
  <si>
    <t>ColchesterARSHHOPBdst</t>
  </si>
  <si>
    <t>ColchesterARSHHOPNSC</t>
  </si>
  <si>
    <t>ColchesterARSHHOPSC</t>
  </si>
  <si>
    <t>ColchesterARSHHOPTotal</t>
  </si>
  <si>
    <t>ColchesterGN1Bd</t>
  </si>
  <si>
    <t>ColchesterGN2Bd</t>
  </si>
  <si>
    <t>ColchesterGN3Bd</t>
  </si>
  <si>
    <t>ColchesterGN4Bd</t>
  </si>
  <si>
    <t>ColchesterGN5Bd</t>
  </si>
  <si>
    <t>ColchesterGN6Bd</t>
  </si>
  <si>
    <t>ColchesterGNBdst</t>
  </si>
  <si>
    <t>ColchesterGNNSC</t>
  </si>
  <si>
    <t>ColchesterGNTotal</t>
  </si>
  <si>
    <t>ColchesterGNSC</t>
  </si>
  <si>
    <t>ColchesterGNAGGSC</t>
  </si>
  <si>
    <t>ColchesterGNAGGNSC</t>
  </si>
  <si>
    <t>ColchesterLCHO</t>
  </si>
  <si>
    <t>ColchesterSHHOP1Bd</t>
  </si>
  <si>
    <t>ColchesterSHHOP2Bd</t>
  </si>
  <si>
    <t>ColchesterSHHOP3Bd</t>
  </si>
  <si>
    <t>ColchesterSHHOP4Bd</t>
  </si>
  <si>
    <t>ColchesterSHHOPBdst</t>
  </si>
  <si>
    <t>ColchesterSHHOPNSC</t>
  </si>
  <si>
    <t>ColchesterSHHOPTotal</t>
  </si>
  <si>
    <t>ColchesterSHHOPSC</t>
  </si>
  <si>
    <t>ColchesterSHHOPAGGNA</t>
  </si>
  <si>
    <t>E07000072</t>
  </si>
  <si>
    <t>Epping Forest</t>
  </si>
  <si>
    <t>Epping ForestARGN1Bd</t>
  </si>
  <si>
    <t>Epping ForestARGN2Bd</t>
  </si>
  <si>
    <t>Epping ForestARGN3Bd</t>
  </si>
  <si>
    <t>Epping ForestARGN4Bd</t>
  </si>
  <si>
    <t>Epping ForestARGN5Bd</t>
  </si>
  <si>
    <t>Epping ForestARGN6Bd</t>
  </si>
  <si>
    <t>Epping ForestARGNBdst</t>
  </si>
  <si>
    <t>Epping ForestARGNNSC</t>
  </si>
  <si>
    <t>Epping ForestARGNTotal</t>
  </si>
  <si>
    <t>Epping ForestARGNSC</t>
  </si>
  <si>
    <t>Epping ForestARSHHOP1Bd</t>
  </si>
  <si>
    <t>Epping ForestARSHHOP2Bd</t>
  </si>
  <si>
    <t>Epping ForestARSHHOP3Bd</t>
  </si>
  <si>
    <t>Epping ForestARSHHOP4Bd</t>
  </si>
  <si>
    <t>Epping ForestARSHHOPBdst</t>
  </si>
  <si>
    <t>Epping ForestARSHHOPNSC</t>
  </si>
  <si>
    <t>Epping ForestARSHHOPSC</t>
  </si>
  <si>
    <t>Epping ForestARSHHOPTotal</t>
  </si>
  <si>
    <t>Epping ForestGN1Bd</t>
  </si>
  <si>
    <t>Epping ForestGN2Bd</t>
  </si>
  <si>
    <t>Epping ForestGN3Bd</t>
  </si>
  <si>
    <t>Epping ForestGN4Bd</t>
  </si>
  <si>
    <t>Epping ForestGN5Bd</t>
  </si>
  <si>
    <t>Epping ForestGN6Bd</t>
  </si>
  <si>
    <t>Epping ForestGNBdst</t>
  </si>
  <si>
    <t>Epping ForestGNNSC</t>
  </si>
  <si>
    <t>Epping ForestGNTotal</t>
  </si>
  <si>
    <t>Epping ForestGNSC</t>
  </si>
  <si>
    <t>Epping ForestGNAGGSC</t>
  </si>
  <si>
    <t>Epping ForestGNAGGNSC</t>
  </si>
  <si>
    <t>Epping ForestLCHO</t>
  </si>
  <si>
    <t>Epping ForestSHHOP1Bd</t>
  </si>
  <si>
    <t>Epping ForestSHHOP2Bd</t>
  </si>
  <si>
    <t>Epping ForestSHHOP3Bd</t>
  </si>
  <si>
    <t>Epping ForestSHHOP4Bd</t>
  </si>
  <si>
    <t>Epping ForestSHHOPBdst</t>
  </si>
  <si>
    <t>Epping ForestSHHOPNSC</t>
  </si>
  <si>
    <t>Epping ForestSHHOPTotal</t>
  </si>
  <si>
    <t>Epping ForestSHHOPSC</t>
  </si>
  <si>
    <t>Epping ForestSHHOPAGGNA</t>
  </si>
  <si>
    <t>E07000073</t>
  </si>
  <si>
    <t>Harlow</t>
  </si>
  <si>
    <t>HarlowARGN1Bd</t>
  </si>
  <si>
    <t>HarlowARGN2Bd</t>
  </si>
  <si>
    <t>HarlowARGN3Bd</t>
  </si>
  <si>
    <t>HarlowARGN4Bd</t>
  </si>
  <si>
    <t>HarlowARGN5Bd</t>
  </si>
  <si>
    <t>HarlowARGN6Bd</t>
  </si>
  <si>
    <t>HarlowARGNBdst</t>
  </si>
  <si>
    <t>HarlowARGNNSC</t>
  </si>
  <si>
    <t>HarlowARGNTotal</t>
  </si>
  <si>
    <t>HarlowARGNSC</t>
  </si>
  <si>
    <t>HarlowARSHHOP1Bd</t>
  </si>
  <si>
    <t>HarlowARSHHOP2Bd</t>
  </si>
  <si>
    <t>HarlowARSHHOP3Bd</t>
  </si>
  <si>
    <t>HarlowARSHHOP4Bd</t>
  </si>
  <si>
    <t>HarlowARSHHOPBdst</t>
  </si>
  <si>
    <t>HarlowARSHHOPNSC</t>
  </si>
  <si>
    <t>HarlowARSHHOPSC</t>
  </si>
  <si>
    <t>HarlowARSHHOPTotal</t>
  </si>
  <si>
    <t>HarlowGN1Bd</t>
  </si>
  <si>
    <t>HarlowGN2Bd</t>
  </si>
  <si>
    <t>HarlowGN3Bd</t>
  </si>
  <si>
    <t>HarlowGN4Bd</t>
  </si>
  <si>
    <t>HarlowGN5Bd</t>
  </si>
  <si>
    <t>HarlowGN6Bd</t>
  </si>
  <si>
    <t>HarlowGNBdst</t>
  </si>
  <si>
    <t>HarlowGNNSC</t>
  </si>
  <si>
    <t>HarlowGNTotal</t>
  </si>
  <si>
    <t>HarlowGNSC</t>
  </si>
  <si>
    <t>HarlowGNAGGSC</t>
  </si>
  <si>
    <t>HarlowGNAGGNSC</t>
  </si>
  <si>
    <t>HarlowLCHO</t>
  </si>
  <si>
    <t>HarlowSHHOP1Bd</t>
  </si>
  <si>
    <t>HarlowSHHOP2Bd</t>
  </si>
  <si>
    <t>HarlowSHHOP3Bd</t>
  </si>
  <si>
    <t>HarlowSHHOP4Bd</t>
  </si>
  <si>
    <t>HarlowSHHOPBdst</t>
  </si>
  <si>
    <t>HarlowSHHOPNSC</t>
  </si>
  <si>
    <t>HarlowSHHOPTotal</t>
  </si>
  <si>
    <t>HarlowSHHOPSC</t>
  </si>
  <si>
    <t>HarlowSHHOPAGGNA</t>
  </si>
  <si>
    <t>E07000074</t>
  </si>
  <si>
    <t>Maldon</t>
  </si>
  <si>
    <t>MaldonARGN1Bd</t>
  </si>
  <si>
    <t>MaldonARGN2Bd</t>
  </si>
  <si>
    <t>MaldonARGN3Bd</t>
  </si>
  <si>
    <t>MaldonARGN4Bd</t>
  </si>
  <si>
    <t>MaldonARGN5Bd</t>
  </si>
  <si>
    <t>MaldonARGN6Bd</t>
  </si>
  <si>
    <t>MaldonARGNBdst</t>
  </si>
  <si>
    <t>MaldonARGNNSC</t>
  </si>
  <si>
    <t>MaldonARGNTotal</t>
  </si>
  <si>
    <t>MaldonARGNSC</t>
  </si>
  <si>
    <t>MaldonARSHHOP1Bd</t>
  </si>
  <si>
    <t>MaldonARSHHOP2Bd</t>
  </si>
  <si>
    <t>MaldonARSHHOP3Bd</t>
  </si>
  <si>
    <t>MaldonARSHHOP4Bd</t>
  </si>
  <si>
    <t>MaldonARSHHOPBdst</t>
  </si>
  <si>
    <t>MaldonARSHHOPNSC</t>
  </si>
  <si>
    <t>MaldonARSHHOPSC</t>
  </si>
  <si>
    <t>MaldonARSHHOPTotal</t>
  </si>
  <si>
    <t>MaldonGN1Bd</t>
  </si>
  <si>
    <t>MaldonGN2Bd</t>
  </si>
  <si>
    <t>MaldonGN3Bd</t>
  </si>
  <si>
    <t>MaldonGN4Bd</t>
  </si>
  <si>
    <t>MaldonGN5Bd</t>
  </si>
  <si>
    <t>MaldonGN6Bd</t>
  </si>
  <si>
    <t>MaldonGNBdst</t>
  </si>
  <si>
    <t>MaldonGNNSC</t>
  </si>
  <si>
    <t>MaldonGNTotal</t>
  </si>
  <si>
    <t>MaldonGNSC</t>
  </si>
  <si>
    <t>MaldonGNAGGSC</t>
  </si>
  <si>
    <t>MaldonGNAGGNSC</t>
  </si>
  <si>
    <t>MaldonLCHO</t>
  </si>
  <si>
    <t>MaldonSHHOP1Bd</t>
  </si>
  <si>
    <t>MaldonSHHOP2Bd</t>
  </si>
  <si>
    <t>MaldonSHHOP3Bd</t>
  </si>
  <si>
    <t>MaldonSHHOP4Bd</t>
  </si>
  <si>
    <t>MaldonSHHOPBdst</t>
  </si>
  <si>
    <t>MaldonSHHOPNSC</t>
  </si>
  <si>
    <t>MaldonSHHOPTotal</t>
  </si>
  <si>
    <t>MaldonSHHOPSC</t>
  </si>
  <si>
    <t>MaldonSHHOPAGGNA</t>
  </si>
  <si>
    <t>E07000075</t>
  </si>
  <si>
    <t>Rochford</t>
  </si>
  <si>
    <t>RochfordARGN1Bd</t>
  </si>
  <si>
    <t>RochfordARGN2Bd</t>
  </si>
  <si>
    <t>RochfordARGN3Bd</t>
  </si>
  <si>
    <t>RochfordARGN4Bd</t>
  </si>
  <si>
    <t>RochfordARGN5Bd</t>
  </si>
  <si>
    <t>RochfordARGN6Bd</t>
  </si>
  <si>
    <t>RochfordARGNBdst</t>
  </si>
  <si>
    <t>RochfordARGNNSC</t>
  </si>
  <si>
    <t>RochfordARGNTotal</t>
  </si>
  <si>
    <t>RochfordARGNSC</t>
  </si>
  <si>
    <t>RochfordGN1Bd</t>
  </si>
  <si>
    <t>RochfordGN2Bd</t>
  </si>
  <si>
    <t>RochfordGN3Bd</t>
  </si>
  <si>
    <t>RochfordGN4Bd</t>
  </si>
  <si>
    <t>RochfordGN5Bd</t>
  </si>
  <si>
    <t>RochfordGN6Bd</t>
  </si>
  <si>
    <t>RochfordGNBdst</t>
  </si>
  <si>
    <t>RochfordGNNSC</t>
  </si>
  <si>
    <t>RochfordGNTotal</t>
  </si>
  <si>
    <t>RochfordGNSC</t>
  </si>
  <si>
    <t>RochfordGNAGGSC</t>
  </si>
  <si>
    <t>RochfordGNAGGNSC</t>
  </si>
  <si>
    <t>RochfordLCHO</t>
  </si>
  <si>
    <t>RochfordSHHOP1Bd</t>
  </si>
  <si>
    <t>RochfordSHHOP2Bd</t>
  </si>
  <si>
    <t>RochfordSHHOP3Bd</t>
  </si>
  <si>
    <t>RochfordSHHOP4Bd</t>
  </si>
  <si>
    <t>RochfordSHHOPBdst</t>
  </si>
  <si>
    <t>RochfordSHHOPNSC</t>
  </si>
  <si>
    <t>RochfordSHHOPTotal</t>
  </si>
  <si>
    <t>RochfordSHHOPSC</t>
  </si>
  <si>
    <t>RochfordSHHOPAGGNA</t>
  </si>
  <si>
    <t>E07000076</t>
  </si>
  <si>
    <t>TendringARGN1Bd</t>
  </si>
  <si>
    <t>TendringARGN2Bd</t>
  </si>
  <si>
    <t>TendringARGN3Bd</t>
  </si>
  <si>
    <t>TendringARGN4Bd</t>
  </si>
  <si>
    <t>TendringARGN5Bd</t>
  </si>
  <si>
    <t>TendringARGN6Bd</t>
  </si>
  <si>
    <t>TendringARGNBdst</t>
  </si>
  <si>
    <t>TendringARGNNSC</t>
  </si>
  <si>
    <t>TendringARGNTotal</t>
  </si>
  <si>
    <t>TendringARGNSC</t>
  </si>
  <si>
    <t>TendringARSHHOP1Bd</t>
  </si>
  <si>
    <t>TendringARSHHOP2Bd</t>
  </si>
  <si>
    <t>TendringARSHHOP3Bd</t>
  </si>
  <si>
    <t>TendringARSHHOP4Bd</t>
  </si>
  <si>
    <t>TendringARSHHOPBdst</t>
  </si>
  <si>
    <t>TendringARSHHOPNSC</t>
  </si>
  <si>
    <t>TendringARSHHOPSC</t>
  </si>
  <si>
    <t>TendringARSHHOPTotal</t>
  </si>
  <si>
    <t>TendringGN1Bd</t>
  </si>
  <si>
    <t>TendringGN2Bd</t>
  </si>
  <si>
    <t>TendringGN3Bd</t>
  </si>
  <si>
    <t>TendringGN4Bd</t>
  </si>
  <si>
    <t>TendringGN5Bd</t>
  </si>
  <si>
    <t>TendringGN6Bd</t>
  </si>
  <si>
    <t>TendringGNBdst</t>
  </si>
  <si>
    <t>TendringGNNSC</t>
  </si>
  <si>
    <t>TendringGNTotal</t>
  </si>
  <si>
    <t>TendringGNSC</t>
  </si>
  <si>
    <t>TendringGNAGGSC</t>
  </si>
  <si>
    <t>TendringGNAGGNSC</t>
  </si>
  <si>
    <t>TendringLCHO</t>
  </si>
  <si>
    <t>TendringSHHOP1Bd</t>
  </si>
  <si>
    <t>TendringSHHOP2Bd</t>
  </si>
  <si>
    <t>TendringSHHOP3Bd</t>
  </si>
  <si>
    <t>TendringSHHOP4Bd</t>
  </si>
  <si>
    <t>TendringSHHOPBdst</t>
  </si>
  <si>
    <t>TendringSHHOPNSC</t>
  </si>
  <si>
    <t>TendringSHHOPTotal</t>
  </si>
  <si>
    <t>TendringSHHOPSC</t>
  </si>
  <si>
    <t>TendringSHHOPAGGNA</t>
  </si>
  <si>
    <t>E07000077</t>
  </si>
  <si>
    <t>UttlesfordARGN1Bd</t>
  </si>
  <si>
    <t>UttlesfordARGN2Bd</t>
  </si>
  <si>
    <t>UttlesfordARGN3Bd</t>
  </si>
  <si>
    <t>UttlesfordARGN4Bd</t>
  </si>
  <si>
    <t>UttlesfordARGN5Bd</t>
  </si>
  <si>
    <t>UttlesfordARGN6Bd</t>
  </si>
  <si>
    <t>UttlesfordARGNBdst</t>
  </si>
  <si>
    <t>UttlesfordARGNNSC</t>
  </si>
  <si>
    <t>UttlesfordARGNTotal</t>
  </si>
  <si>
    <t>UttlesfordARGNSC</t>
  </si>
  <si>
    <t>UttlesfordARSHHOP1Bd</t>
  </si>
  <si>
    <t>UttlesfordARSHHOP2Bd</t>
  </si>
  <si>
    <t>UttlesfordARSHHOP3Bd</t>
  </si>
  <si>
    <t>UttlesfordARSHHOP4Bd</t>
  </si>
  <si>
    <t>UttlesfordARSHHOPBdst</t>
  </si>
  <si>
    <t>UttlesfordARSHHOPNSC</t>
  </si>
  <si>
    <t>UttlesfordARSHHOPSC</t>
  </si>
  <si>
    <t>UttlesfordARSHHOPTotal</t>
  </si>
  <si>
    <t>UttlesfordGN1Bd</t>
  </si>
  <si>
    <t>UttlesfordGN2Bd</t>
  </si>
  <si>
    <t>UttlesfordGN3Bd</t>
  </si>
  <si>
    <t>UttlesfordGN4Bd</t>
  </si>
  <si>
    <t>UttlesfordGN5Bd</t>
  </si>
  <si>
    <t>UttlesfordGN6Bd</t>
  </si>
  <si>
    <t>UttlesfordGNBdst</t>
  </si>
  <si>
    <t>UttlesfordGNNSC</t>
  </si>
  <si>
    <t>UttlesfordGNTotal</t>
  </si>
  <si>
    <t>UttlesfordGNSC</t>
  </si>
  <si>
    <t>UttlesfordGNAGGSC</t>
  </si>
  <si>
    <t>UttlesfordGNAGGNSC</t>
  </si>
  <si>
    <t>UttlesfordLCHO</t>
  </si>
  <si>
    <t>UttlesfordSHHOP1Bd</t>
  </si>
  <si>
    <t>UttlesfordSHHOP2Bd</t>
  </si>
  <si>
    <t>UttlesfordSHHOP3Bd</t>
  </si>
  <si>
    <t>UttlesfordSHHOP4Bd</t>
  </si>
  <si>
    <t>UttlesfordSHHOPBdst</t>
  </si>
  <si>
    <t>UttlesfordSHHOPNSC</t>
  </si>
  <si>
    <t>UttlesfordSHHOPTotal</t>
  </si>
  <si>
    <t>UttlesfordSHHOPSC</t>
  </si>
  <si>
    <t>UttlesfordSHHOPAGGNA</t>
  </si>
  <si>
    <t>E07000078</t>
  </si>
  <si>
    <t>Cheltenham</t>
  </si>
  <si>
    <t>CheltenhamARGN1Bd</t>
  </si>
  <si>
    <t>CheltenhamARGN2Bd</t>
  </si>
  <si>
    <t>CheltenhamARGN3Bd</t>
  </si>
  <si>
    <t>CheltenhamARGN4Bd</t>
  </si>
  <si>
    <t>CheltenhamARGN5Bd</t>
  </si>
  <si>
    <t>CheltenhamARGN6Bd</t>
  </si>
  <si>
    <t>CheltenhamARGNBdst</t>
  </si>
  <si>
    <t>CheltenhamARGNNSC</t>
  </si>
  <si>
    <t>CheltenhamARGNTotal</t>
  </si>
  <si>
    <t>CheltenhamARGNSC</t>
  </si>
  <si>
    <t>CheltenhamARSHHOP1Bd</t>
  </si>
  <si>
    <t>CheltenhamARSHHOP2Bd</t>
  </si>
  <si>
    <t>CheltenhamARSHHOP3Bd</t>
  </si>
  <si>
    <t>CheltenhamARSHHOP4Bd</t>
  </si>
  <si>
    <t>CheltenhamARSHHOPBdst</t>
  </si>
  <si>
    <t>CheltenhamARSHHOPNSC</t>
  </si>
  <si>
    <t>CheltenhamARSHHOPSC</t>
  </si>
  <si>
    <t>CheltenhamARSHHOPTotal</t>
  </si>
  <si>
    <t>CheltenhamGN1Bd</t>
  </si>
  <si>
    <t>CheltenhamGN2Bd</t>
  </si>
  <si>
    <t>CheltenhamGN3Bd</t>
  </si>
  <si>
    <t>CheltenhamGN4Bd</t>
  </si>
  <si>
    <t>CheltenhamGN5Bd</t>
  </si>
  <si>
    <t>CheltenhamGN6Bd</t>
  </si>
  <si>
    <t>CheltenhamGNBdst</t>
  </si>
  <si>
    <t>CheltenhamGNNSC</t>
  </si>
  <si>
    <t>CheltenhamGNTotal</t>
  </si>
  <si>
    <t>CheltenhamGNSC</t>
  </si>
  <si>
    <t>CheltenhamGNAGGSC</t>
  </si>
  <si>
    <t>CheltenhamGNAGGNSC</t>
  </si>
  <si>
    <t>CheltenhamLCHO</t>
  </si>
  <si>
    <t>CheltenhamSHHOP1Bd</t>
  </si>
  <si>
    <t>CheltenhamSHHOP2Bd</t>
  </si>
  <si>
    <t>CheltenhamSHHOP3Bd</t>
  </si>
  <si>
    <t>CheltenhamSHHOP4Bd</t>
  </si>
  <si>
    <t>CheltenhamSHHOPBdst</t>
  </si>
  <si>
    <t>CheltenhamSHHOPNSC</t>
  </si>
  <si>
    <t>CheltenhamSHHOPTotal</t>
  </si>
  <si>
    <t>CheltenhamSHHOPSC</t>
  </si>
  <si>
    <t>CheltenhamSHHOPAGGNA</t>
  </si>
  <si>
    <t>E07000079</t>
  </si>
  <si>
    <t>Cotswold</t>
  </si>
  <si>
    <t>CotswoldARGN1Bd</t>
  </si>
  <si>
    <t>CotswoldARGN2Bd</t>
  </si>
  <si>
    <t>CotswoldARGN3Bd</t>
  </si>
  <si>
    <t>CotswoldARGN4Bd</t>
  </si>
  <si>
    <t>CotswoldARGN5Bd</t>
  </si>
  <si>
    <t>CotswoldARGN6Bd</t>
  </si>
  <si>
    <t>CotswoldARGNBdst</t>
  </si>
  <si>
    <t>CotswoldARGNNSC</t>
  </si>
  <si>
    <t>CotswoldARGNTotal</t>
  </si>
  <si>
    <t>CotswoldARGNSC</t>
  </si>
  <si>
    <t>CotswoldGN1Bd</t>
  </si>
  <si>
    <t>CotswoldGN2Bd</t>
  </si>
  <si>
    <t>CotswoldGN3Bd</t>
  </si>
  <si>
    <t>CotswoldGN4Bd</t>
  </si>
  <si>
    <t>CotswoldGN5Bd</t>
  </si>
  <si>
    <t>CotswoldGN6Bd</t>
  </si>
  <si>
    <t>CotswoldGNBdst</t>
  </si>
  <si>
    <t>CotswoldGNNSC</t>
  </si>
  <si>
    <t>CotswoldGNTotal</t>
  </si>
  <si>
    <t>CotswoldGNSC</t>
  </si>
  <si>
    <t>CotswoldGNAGGSC</t>
  </si>
  <si>
    <t>CotswoldGNAGGNSC</t>
  </si>
  <si>
    <t>CotswoldLCHO</t>
  </si>
  <si>
    <t>CotswoldSHHOP1Bd</t>
  </si>
  <si>
    <t>CotswoldSHHOP2Bd</t>
  </si>
  <si>
    <t>CotswoldSHHOP3Bd</t>
  </si>
  <si>
    <t>CotswoldSHHOP4Bd</t>
  </si>
  <si>
    <t>CotswoldSHHOPBdst</t>
  </si>
  <si>
    <t>CotswoldSHHOPNSC</t>
  </si>
  <si>
    <t>CotswoldSHHOPTotal</t>
  </si>
  <si>
    <t>CotswoldSHHOPSC</t>
  </si>
  <si>
    <t>CotswoldSHHOPAGGNA</t>
  </si>
  <si>
    <t>E07000080</t>
  </si>
  <si>
    <t>Forest of Dean</t>
  </si>
  <si>
    <t>Forest of DeanARGN1Bd</t>
  </si>
  <si>
    <t>Forest of DeanARGN2Bd</t>
  </si>
  <si>
    <t>Forest of DeanARGN3Bd</t>
  </si>
  <si>
    <t>Forest of DeanARGN4Bd</t>
  </si>
  <si>
    <t>Forest of DeanARGN5Bd</t>
  </si>
  <si>
    <t>Forest of DeanARGN6Bd</t>
  </si>
  <si>
    <t>Forest of DeanARGNBdst</t>
  </si>
  <si>
    <t>Forest of DeanARGNNSC</t>
  </si>
  <si>
    <t>Forest of DeanARGNTotal</t>
  </si>
  <si>
    <t>Forest of DeanARGNSC</t>
  </si>
  <si>
    <t>Forest of DeanARSHHOP1Bd</t>
  </si>
  <si>
    <t>Forest of DeanARSHHOP2Bd</t>
  </si>
  <si>
    <t>Forest of DeanARSHHOP3Bd</t>
  </si>
  <si>
    <t>Forest of DeanARSHHOP4Bd</t>
  </si>
  <si>
    <t>Forest of DeanARSHHOPBdst</t>
  </si>
  <si>
    <t>Forest of DeanARSHHOPNSC</t>
  </si>
  <si>
    <t>Forest of DeanARSHHOPSC</t>
  </si>
  <si>
    <t>Forest of DeanARSHHOPTotal</t>
  </si>
  <si>
    <t>Forest of DeanGN1Bd</t>
  </si>
  <si>
    <t>Forest of DeanGN2Bd</t>
  </si>
  <si>
    <t>Forest of DeanGN3Bd</t>
  </si>
  <si>
    <t>Forest of DeanGN4Bd</t>
  </si>
  <si>
    <t>Forest of DeanGN5Bd</t>
  </si>
  <si>
    <t>Forest of DeanGN6Bd</t>
  </si>
  <si>
    <t>Forest of DeanGNBdst</t>
  </si>
  <si>
    <t>Forest of DeanGNNSC</t>
  </si>
  <si>
    <t>Forest of DeanGNTotal</t>
  </si>
  <si>
    <t>Forest of DeanGNSC</t>
  </si>
  <si>
    <t>Forest of DeanGNAGGSC</t>
  </si>
  <si>
    <t>Forest of DeanGNAGGNSC</t>
  </si>
  <si>
    <t>Forest of DeanLCHO</t>
  </si>
  <si>
    <t>Forest of DeanSHHOP1Bd</t>
  </si>
  <si>
    <t>Forest of DeanSHHOP2Bd</t>
  </si>
  <si>
    <t>Forest of DeanSHHOP3Bd</t>
  </si>
  <si>
    <t>Forest of DeanSHHOP4Bd</t>
  </si>
  <si>
    <t>Forest of DeanSHHOPBdst</t>
  </si>
  <si>
    <t>Forest of DeanSHHOPNSC</t>
  </si>
  <si>
    <t>Forest of DeanSHHOPTotal</t>
  </si>
  <si>
    <t>Forest of DeanSHHOPSC</t>
  </si>
  <si>
    <t>Forest of DeanSHHOPAGGNA</t>
  </si>
  <si>
    <t>E07000081</t>
  </si>
  <si>
    <t>Gloucester</t>
  </si>
  <si>
    <t>GloucesterARGN1Bd</t>
  </si>
  <si>
    <t>GloucesterARGN2Bd</t>
  </si>
  <si>
    <t>GloucesterARGN3Bd</t>
  </si>
  <si>
    <t>GloucesterARGN4Bd</t>
  </si>
  <si>
    <t>GloucesterARGN5Bd</t>
  </si>
  <si>
    <t>GloucesterARGN6Bd</t>
  </si>
  <si>
    <t>GloucesterARGNBdst</t>
  </si>
  <si>
    <t>GloucesterARGNNSC</t>
  </si>
  <si>
    <t>GloucesterARGNTotal</t>
  </si>
  <si>
    <t>GloucesterARGNSC</t>
  </si>
  <si>
    <t>GloucesterARSHHOP1Bd</t>
  </si>
  <si>
    <t>GloucesterARSHHOP2Bd</t>
  </si>
  <si>
    <t>GloucesterARSHHOP3Bd</t>
  </si>
  <si>
    <t>GloucesterARSHHOP4Bd</t>
  </si>
  <si>
    <t>GloucesterARSHHOPBdst</t>
  </si>
  <si>
    <t>GloucesterARSHHOPNSC</t>
  </si>
  <si>
    <t>GloucesterARSHHOPSC</t>
  </si>
  <si>
    <t>GloucesterARSHHOPTotal</t>
  </si>
  <si>
    <t>GloucesterGN1Bd</t>
  </si>
  <si>
    <t>GloucesterGN2Bd</t>
  </si>
  <si>
    <t>GloucesterGN3Bd</t>
  </si>
  <si>
    <t>GloucesterGN4Bd</t>
  </si>
  <si>
    <t>GloucesterGN5Bd</t>
  </si>
  <si>
    <t>GloucesterGN6Bd</t>
  </si>
  <si>
    <t>GloucesterGNBdst</t>
  </si>
  <si>
    <t>GloucesterGNNSC</t>
  </si>
  <si>
    <t>GloucesterGNTotal</t>
  </si>
  <si>
    <t>GloucesterGNSC</t>
  </si>
  <si>
    <t>GloucesterGNAGGSC</t>
  </si>
  <si>
    <t>GloucesterGNAGGNSC</t>
  </si>
  <si>
    <t>GloucesterLCHO</t>
  </si>
  <si>
    <t>GloucesterSHHOP1Bd</t>
  </si>
  <si>
    <t>GloucesterSHHOP2Bd</t>
  </si>
  <si>
    <t>GloucesterSHHOP3Bd</t>
  </si>
  <si>
    <t>GloucesterSHHOP4Bd</t>
  </si>
  <si>
    <t>GloucesterSHHOPBdst</t>
  </si>
  <si>
    <t>GloucesterSHHOPNSC</t>
  </si>
  <si>
    <t>GloucesterSHHOPTotal</t>
  </si>
  <si>
    <t>GloucesterSHHOPSC</t>
  </si>
  <si>
    <t>GloucesterSHHOPAGGNA</t>
  </si>
  <si>
    <t>E07000082</t>
  </si>
  <si>
    <t>StroudARGN1Bd</t>
  </si>
  <si>
    <t>StroudARGN2Bd</t>
  </si>
  <si>
    <t>StroudARGN3Bd</t>
  </si>
  <si>
    <t>StroudARGN4Bd</t>
  </si>
  <si>
    <t>StroudARGN5Bd</t>
  </si>
  <si>
    <t>StroudARGN6Bd</t>
  </si>
  <si>
    <t>StroudARGNBdst</t>
  </si>
  <si>
    <t>StroudARGNNSC</t>
  </si>
  <si>
    <t>StroudARGNTotal</t>
  </si>
  <si>
    <t>StroudARGNSC</t>
  </si>
  <si>
    <t>StroudARSHHOP1Bd</t>
  </si>
  <si>
    <t>StroudARSHHOP2Bd</t>
  </si>
  <si>
    <t>StroudARSHHOP3Bd</t>
  </si>
  <si>
    <t>StroudARSHHOP4Bd</t>
  </si>
  <si>
    <t>StroudARSHHOPBdst</t>
  </si>
  <si>
    <t>StroudARSHHOPNSC</t>
  </si>
  <si>
    <t>StroudARSHHOPSC</t>
  </si>
  <si>
    <t>StroudARSHHOPTotal</t>
  </si>
  <si>
    <t>StroudGN1Bd</t>
  </si>
  <si>
    <t>StroudGN2Bd</t>
  </si>
  <si>
    <t>StroudGN3Bd</t>
  </si>
  <si>
    <t>StroudGN4Bd</t>
  </si>
  <si>
    <t>StroudGN5Bd</t>
  </si>
  <si>
    <t>StroudGN6Bd</t>
  </si>
  <si>
    <t>StroudGNBdst</t>
  </si>
  <si>
    <t>StroudGNNSC</t>
  </si>
  <si>
    <t>StroudGNTotal</t>
  </si>
  <si>
    <t>StroudGNSC</t>
  </si>
  <si>
    <t>StroudGNAGGSC</t>
  </si>
  <si>
    <t>StroudGNAGGNSC</t>
  </si>
  <si>
    <t>StroudLCHO</t>
  </si>
  <si>
    <t>StroudSHHOP1Bd</t>
  </si>
  <si>
    <t>StroudSHHOP2Bd</t>
  </si>
  <si>
    <t>StroudSHHOP3Bd</t>
  </si>
  <si>
    <t>StroudSHHOP4Bd</t>
  </si>
  <si>
    <t>StroudSHHOPBdst</t>
  </si>
  <si>
    <t>StroudSHHOPNSC</t>
  </si>
  <si>
    <t>StroudSHHOPTotal</t>
  </si>
  <si>
    <t>StroudSHHOPSC</t>
  </si>
  <si>
    <t>StroudSHHOPAGGNA</t>
  </si>
  <si>
    <t>E07000083</t>
  </si>
  <si>
    <t>TewkesburyARGN1Bd</t>
  </si>
  <si>
    <t>TewkesburyARGN2Bd</t>
  </si>
  <si>
    <t>TewkesburyARGN3Bd</t>
  </si>
  <si>
    <t>TewkesburyARGN4Bd</t>
  </si>
  <si>
    <t>TewkesburyARGN5Bd</t>
  </si>
  <si>
    <t>TewkesburyARGN6Bd</t>
  </si>
  <si>
    <t>TewkesburyARGNBdst</t>
  </si>
  <si>
    <t>TewkesburyARGNNSC</t>
  </si>
  <si>
    <t>TewkesburyARGNTotal</t>
  </si>
  <si>
    <t>TewkesburyARGNSC</t>
  </si>
  <si>
    <t>TewkesburyARSHHOP1Bd</t>
  </si>
  <si>
    <t>TewkesburyARSHHOP2Bd</t>
  </si>
  <si>
    <t>TewkesburyARSHHOP3Bd</t>
  </si>
  <si>
    <t>TewkesburyARSHHOP4Bd</t>
  </si>
  <si>
    <t>TewkesburyARSHHOPBdst</t>
  </si>
  <si>
    <t>TewkesburyARSHHOPNSC</t>
  </si>
  <si>
    <t>TewkesburyARSHHOPSC</t>
  </si>
  <si>
    <t>TewkesburyARSHHOPTotal</t>
  </si>
  <si>
    <t>TewkesburyGN1Bd</t>
  </si>
  <si>
    <t>TewkesburyGN2Bd</t>
  </si>
  <si>
    <t>TewkesburyGN3Bd</t>
  </si>
  <si>
    <t>TewkesburyGN4Bd</t>
  </si>
  <si>
    <t>TewkesburyGN5Bd</t>
  </si>
  <si>
    <t>TewkesburyGN6Bd</t>
  </si>
  <si>
    <t>TewkesburyGNBdst</t>
  </si>
  <si>
    <t>TewkesburyGNNSC</t>
  </si>
  <si>
    <t>TewkesburyGNTotal</t>
  </si>
  <si>
    <t>TewkesburyGNSC</t>
  </si>
  <si>
    <t>TewkesburyGNAGGSC</t>
  </si>
  <si>
    <t>TewkesburyGNAGGNSC</t>
  </si>
  <si>
    <t>TewkesburyLCHO</t>
  </si>
  <si>
    <t>TewkesburySHHOP1Bd</t>
  </si>
  <si>
    <t>TewkesburySHHOP2Bd</t>
  </si>
  <si>
    <t>TewkesburySHHOP3Bd</t>
  </si>
  <si>
    <t>TewkesburySHHOP4Bd</t>
  </si>
  <si>
    <t>TewkesburySHHOPBdst</t>
  </si>
  <si>
    <t>TewkesburySHHOPNSC</t>
  </si>
  <si>
    <t>TewkesburySHHOPTotal</t>
  </si>
  <si>
    <t>TewkesburySHHOPSC</t>
  </si>
  <si>
    <t>TewkesburySHHOPAGGNA</t>
  </si>
  <si>
    <t>E07000084</t>
  </si>
  <si>
    <t>Basingstoke and Deane</t>
  </si>
  <si>
    <t>Basingstoke and DeaneARGN1Bd</t>
  </si>
  <si>
    <t>Basingstoke and DeaneARGN2Bd</t>
  </si>
  <si>
    <t>Basingstoke and DeaneARGN3Bd</t>
  </si>
  <si>
    <t>Basingstoke and DeaneARGN4Bd</t>
  </si>
  <si>
    <t>Basingstoke and DeaneARGN5Bd</t>
  </si>
  <si>
    <t>Basingstoke and DeaneARGN6Bd</t>
  </si>
  <si>
    <t>Basingstoke and DeaneARGNBdst</t>
  </si>
  <si>
    <t>Basingstoke and DeaneARGNNSC</t>
  </si>
  <si>
    <t>Basingstoke and DeaneARGNTotal</t>
  </si>
  <si>
    <t>Basingstoke and DeaneARGNSC</t>
  </si>
  <si>
    <t>Basingstoke and DeaneARSHHOP1Bd</t>
  </si>
  <si>
    <t>Basingstoke and DeaneARSHHOP2Bd</t>
  </si>
  <si>
    <t>Basingstoke and DeaneARSHHOP3Bd</t>
  </si>
  <si>
    <t>Basingstoke and DeaneARSHHOP4Bd</t>
  </si>
  <si>
    <t>Basingstoke and DeaneARSHHOPBdst</t>
  </si>
  <si>
    <t>Basingstoke and DeaneARSHHOPNSC</t>
  </si>
  <si>
    <t>Basingstoke and DeaneARSHHOPSC</t>
  </si>
  <si>
    <t>Basingstoke and DeaneARSHHOPTotal</t>
  </si>
  <si>
    <t>Basingstoke and DeaneGN1Bd</t>
  </si>
  <si>
    <t>Basingstoke and DeaneGN2Bd</t>
  </si>
  <si>
    <t>Basingstoke and DeaneGN3Bd</t>
  </si>
  <si>
    <t>Basingstoke and DeaneGN4Bd</t>
  </si>
  <si>
    <t>Basingstoke and DeaneGN5Bd</t>
  </si>
  <si>
    <t>Basingstoke and DeaneGN6Bd</t>
  </si>
  <si>
    <t>Basingstoke and DeaneGNBdst</t>
  </si>
  <si>
    <t>Basingstoke and DeaneGNNSC</t>
  </si>
  <si>
    <t>Basingstoke and DeaneGNTotal</t>
  </si>
  <si>
    <t>Basingstoke and DeaneGNSC</t>
  </si>
  <si>
    <t>Basingstoke and DeaneGNAGGSC</t>
  </si>
  <si>
    <t>Basingstoke and DeaneGNAGGNSC</t>
  </si>
  <si>
    <t>Basingstoke and DeaneLCHO</t>
  </si>
  <si>
    <t>Basingstoke and DeaneSHHOP1Bd</t>
  </si>
  <si>
    <t>Basingstoke and DeaneSHHOP2Bd</t>
  </si>
  <si>
    <t>Basingstoke and DeaneSHHOP3Bd</t>
  </si>
  <si>
    <t>Basingstoke and DeaneSHHOP4Bd</t>
  </si>
  <si>
    <t>Basingstoke and DeaneSHHOPBdst</t>
  </si>
  <si>
    <t>Basingstoke and DeaneSHHOPNSC</t>
  </si>
  <si>
    <t>Basingstoke and DeaneSHHOPTotal</t>
  </si>
  <si>
    <t>Basingstoke and DeaneSHHOPSC</t>
  </si>
  <si>
    <t>Basingstoke and DeaneSHHOPAGGNA</t>
  </si>
  <si>
    <t>E07000085</t>
  </si>
  <si>
    <t>East Hampshire</t>
  </si>
  <si>
    <t>East HampshireARGN1Bd</t>
  </si>
  <si>
    <t>East HampshireARGN2Bd</t>
  </si>
  <si>
    <t>East HampshireARGN3Bd</t>
  </si>
  <si>
    <t>East HampshireARGN4Bd</t>
  </si>
  <si>
    <t>East HampshireARGN5Bd</t>
  </si>
  <si>
    <t>East HampshireARGN6Bd</t>
  </si>
  <si>
    <t>East HampshireARGNBdst</t>
  </si>
  <si>
    <t>East HampshireARGNNSC</t>
  </si>
  <si>
    <t>East HampshireARGNTotal</t>
  </si>
  <si>
    <t>East HampshireARGNSC</t>
  </si>
  <si>
    <t>East HampshireARSHHOP1Bd</t>
  </si>
  <si>
    <t>East HampshireARSHHOP2Bd</t>
  </si>
  <si>
    <t>East HampshireARSHHOP3Bd</t>
  </si>
  <si>
    <t>East HampshireARSHHOP4Bd</t>
  </si>
  <si>
    <t>East HampshireARSHHOPBdst</t>
  </si>
  <si>
    <t>East HampshireARSHHOPNSC</t>
  </si>
  <si>
    <t>East HampshireARSHHOPSC</t>
  </si>
  <si>
    <t>East HampshireARSHHOPTotal</t>
  </si>
  <si>
    <t>East HampshireGN1Bd</t>
  </si>
  <si>
    <t>East HampshireGN2Bd</t>
  </si>
  <si>
    <t>East HampshireGN3Bd</t>
  </si>
  <si>
    <t>East HampshireGN4Bd</t>
  </si>
  <si>
    <t>East HampshireGN5Bd</t>
  </si>
  <si>
    <t>East HampshireGN6Bd</t>
  </si>
  <si>
    <t>East HampshireGNBdst</t>
  </si>
  <si>
    <t>East HampshireGNNSC</t>
  </si>
  <si>
    <t>East HampshireGNTotal</t>
  </si>
  <si>
    <t>East HampshireGNSC</t>
  </si>
  <si>
    <t>East HampshireGNAGGSC</t>
  </si>
  <si>
    <t>East HampshireGNAGGNSC</t>
  </si>
  <si>
    <t>East HampshireLCHO</t>
  </si>
  <si>
    <t>East HampshireSHHOP1Bd</t>
  </si>
  <si>
    <t>East HampshireSHHOP2Bd</t>
  </si>
  <si>
    <t>East HampshireSHHOP3Bd</t>
  </si>
  <si>
    <t>East HampshireSHHOP4Bd</t>
  </si>
  <si>
    <t>East HampshireSHHOPBdst</t>
  </si>
  <si>
    <t>East HampshireSHHOPNSC</t>
  </si>
  <si>
    <t>East HampshireSHHOPTotal</t>
  </si>
  <si>
    <t>East HampshireSHHOPSC</t>
  </si>
  <si>
    <t>East HampshireSHHOPAGGNA</t>
  </si>
  <si>
    <t>E07000086</t>
  </si>
  <si>
    <t>Eastleigh</t>
  </si>
  <si>
    <t>EastleighARGN1Bd</t>
  </si>
  <si>
    <t>EastleighARGN2Bd</t>
  </si>
  <si>
    <t>EastleighARGN3Bd</t>
  </si>
  <si>
    <t>EastleighARGN4Bd</t>
  </si>
  <si>
    <t>EastleighARGN5Bd</t>
  </si>
  <si>
    <t>EastleighARGN6Bd</t>
  </si>
  <si>
    <t>EastleighARGNBdst</t>
  </si>
  <si>
    <t>EastleighARGNNSC</t>
  </si>
  <si>
    <t>EastleighARGNTotal</t>
  </si>
  <si>
    <t>EastleighARGNSC</t>
  </si>
  <si>
    <t>EastleighARSHHOP1Bd</t>
  </si>
  <si>
    <t>EastleighARSHHOP2Bd</t>
  </si>
  <si>
    <t>EastleighARSHHOP3Bd</t>
  </si>
  <si>
    <t>EastleighARSHHOP4Bd</t>
  </si>
  <si>
    <t>EastleighARSHHOPBdst</t>
  </si>
  <si>
    <t>EastleighARSHHOPNSC</t>
  </si>
  <si>
    <t>EastleighARSHHOPSC</t>
  </si>
  <si>
    <t>EastleighARSHHOPTotal</t>
  </si>
  <si>
    <t>EastleighGN1Bd</t>
  </si>
  <si>
    <t>EastleighGN2Bd</t>
  </si>
  <si>
    <t>EastleighGN3Bd</t>
  </si>
  <si>
    <t>EastleighGN4Bd</t>
  </si>
  <si>
    <t>EastleighGN5Bd</t>
  </si>
  <si>
    <t>EastleighGN6Bd</t>
  </si>
  <si>
    <t>EastleighGNBdst</t>
  </si>
  <si>
    <t>EastleighGNNSC</t>
  </si>
  <si>
    <t>EastleighGNTotal</t>
  </si>
  <si>
    <t>EastleighGNSC</t>
  </si>
  <si>
    <t>EastleighGNAGGSC</t>
  </si>
  <si>
    <t>EastleighGNAGGNSC</t>
  </si>
  <si>
    <t>EastleighLCHO</t>
  </si>
  <si>
    <t>EastleighSHHOP1Bd</t>
  </si>
  <si>
    <t>EastleighSHHOP2Bd</t>
  </si>
  <si>
    <t>EastleighSHHOP3Bd</t>
  </si>
  <si>
    <t>EastleighSHHOP4Bd</t>
  </si>
  <si>
    <t>EastleighSHHOPBdst</t>
  </si>
  <si>
    <t>EastleighSHHOPNSC</t>
  </si>
  <si>
    <t>EastleighSHHOPTotal</t>
  </si>
  <si>
    <t>EastleighSHHOPSC</t>
  </si>
  <si>
    <t>EastleighSHHOPAGGNA</t>
  </si>
  <si>
    <t>E07000087</t>
  </si>
  <si>
    <t>Fareham</t>
  </si>
  <si>
    <t>FarehamARGN1Bd</t>
  </si>
  <si>
    <t>FarehamARGN2Bd</t>
  </si>
  <si>
    <t>FarehamARGN3Bd</t>
  </si>
  <si>
    <t>FarehamARGN4Bd</t>
  </si>
  <si>
    <t>FarehamARGN5Bd</t>
  </si>
  <si>
    <t>FarehamARGN6Bd</t>
  </si>
  <si>
    <t>FarehamARGNBdst</t>
  </si>
  <si>
    <t>FarehamARGNNSC</t>
  </si>
  <si>
    <t>FarehamARGNTotal</t>
  </si>
  <si>
    <t>FarehamARGNSC</t>
  </si>
  <si>
    <t>FarehamARSHHOP1Bd</t>
  </si>
  <si>
    <t>FarehamARSHHOP2Bd</t>
  </si>
  <si>
    <t>FarehamARSHHOP3Bd</t>
  </si>
  <si>
    <t>FarehamARSHHOP4Bd</t>
  </si>
  <si>
    <t>FarehamARSHHOPBdst</t>
  </si>
  <si>
    <t>FarehamARSHHOPNSC</t>
  </si>
  <si>
    <t>FarehamARSHHOPSC</t>
  </si>
  <si>
    <t>FarehamARSHHOPTotal</t>
  </si>
  <si>
    <t>FarehamGN1Bd</t>
  </si>
  <si>
    <t>FarehamGN2Bd</t>
  </si>
  <si>
    <t>FarehamGN3Bd</t>
  </si>
  <si>
    <t>FarehamGN4Bd</t>
  </si>
  <si>
    <t>FarehamGN5Bd</t>
  </si>
  <si>
    <t>FarehamGN6Bd</t>
  </si>
  <si>
    <t>FarehamGNBdst</t>
  </si>
  <si>
    <t>FarehamGNNSC</t>
  </si>
  <si>
    <t>FarehamGNTotal</t>
  </si>
  <si>
    <t>FarehamGNSC</t>
  </si>
  <si>
    <t>FarehamGNAGGSC</t>
  </si>
  <si>
    <t>FarehamGNAGGNSC</t>
  </si>
  <si>
    <t>FarehamLCHO</t>
  </si>
  <si>
    <t>FarehamSHHOP1Bd</t>
  </si>
  <si>
    <t>FarehamSHHOP2Bd</t>
  </si>
  <si>
    <t>FarehamSHHOP3Bd</t>
  </si>
  <si>
    <t>FarehamSHHOP4Bd</t>
  </si>
  <si>
    <t>FarehamSHHOPBdst</t>
  </si>
  <si>
    <t>FarehamSHHOPNSC</t>
  </si>
  <si>
    <t>FarehamSHHOPTotal</t>
  </si>
  <si>
    <t>FarehamSHHOPSC</t>
  </si>
  <si>
    <t>FarehamSHHOPAGGNA</t>
  </si>
  <si>
    <t>E07000088</t>
  </si>
  <si>
    <t>Gosport</t>
  </si>
  <si>
    <t>GosportARGN1Bd</t>
  </si>
  <si>
    <t>GosportARGN2Bd</t>
  </si>
  <si>
    <t>GosportARGN3Bd</t>
  </si>
  <si>
    <t>GosportARGN4Bd</t>
  </si>
  <si>
    <t>GosportARGN5Bd</t>
  </si>
  <si>
    <t>GosportARGN6Bd</t>
  </si>
  <si>
    <t>GosportARGNBdst</t>
  </si>
  <si>
    <t>GosportARGNNSC</t>
  </si>
  <si>
    <t>GosportARGNTotal</t>
  </si>
  <si>
    <t>GosportARGNSC</t>
  </si>
  <si>
    <t>GosportARSHHOP1Bd</t>
  </si>
  <si>
    <t>GosportARSHHOP2Bd</t>
  </si>
  <si>
    <t>GosportARSHHOP3Bd</t>
  </si>
  <si>
    <t>GosportARSHHOP4Bd</t>
  </si>
  <si>
    <t>GosportARSHHOPBdst</t>
  </si>
  <si>
    <t>GosportARSHHOPNSC</t>
  </si>
  <si>
    <t>GosportARSHHOPSC</t>
  </si>
  <si>
    <t>GosportARSHHOPTotal</t>
  </si>
  <si>
    <t>GosportGN1Bd</t>
  </si>
  <si>
    <t>GosportGN2Bd</t>
  </si>
  <si>
    <t>GosportGN3Bd</t>
  </si>
  <si>
    <t>GosportGN4Bd</t>
  </si>
  <si>
    <t>GosportGN5Bd</t>
  </si>
  <si>
    <t>GosportGN6Bd</t>
  </si>
  <si>
    <t>GosportGNBdst</t>
  </si>
  <si>
    <t>GosportGNNSC</t>
  </si>
  <si>
    <t>GosportGNTotal</t>
  </si>
  <si>
    <t>GosportGNSC</t>
  </si>
  <si>
    <t>GosportGNAGGSC</t>
  </si>
  <si>
    <t>GosportGNAGGNSC</t>
  </si>
  <si>
    <t>GosportLCHO</t>
  </si>
  <si>
    <t>GosportSHHOP1Bd</t>
  </si>
  <si>
    <t>GosportSHHOP2Bd</t>
  </si>
  <si>
    <t>GosportSHHOP3Bd</t>
  </si>
  <si>
    <t>GosportSHHOP4Bd</t>
  </si>
  <si>
    <t>GosportSHHOPBdst</t>
  </si>
  <si>
    <t>GosportSHHOPNSC</t>
  </si>
  <si>
    <t>GosportSHHOPTotal</t>
  </si>
  <si>
    <t>GosportSHHOPSC</t>
  </si>
  <si>
    <t>GosportSHHOPAGGNA</t>
  </si>
  <si>
    <t>E07000089</t>
  </si>
  <si>
    <t>Hart</t>
  </si>
  <si>
    <t>HartARGN1Bd</t>
  </si>
  <si>
    <t>HartARGN2Bd</t>
  </si>
  <si>
    <t>HartARGN3Bd</t>
  </si>
  <si>
    <t>HartARGN4Bd</t>
  </si>
  <si>
    <t>HartARGN5Bd</t>
  </si>
  <si>
    <t>HartARGN6Bd</t>
  </si>
  <si>
    <t>HartARGNBdst</t>
  </si>
  <si>
    <t>HartARGNNSC</t>
  </si>
  <si>
    <t>HartARGNTotal</t>
  </si>
  <si>
    <t>HartARGNSC</t>
  </si>
  <si>
    <t>HartGN1Bd</t>
  </si>
  <si>
    <t>HartGN2Bd</t>
  </si>
  <si>
    <t>HartGN3Bd</t>
  </si>
  <si>
    <t>HartGN4Bd</t>
  </si>
  <si>
    <t>HartGN5Bd</t>
  </si>
  <si>
    <t>HartGN6Bd</t>
  </si>
  <si>
    <t>HartGNBdst</t>
  </si>
  <si>
    <t>HartGNNSC</t>
  </si>
  <si>
    <t>HartGNTotal</t>
  </si>
  <si>
    <t>HartGNSC</t>
  </si>
  <si>
    <t>HartGNAGGSC</t>
  </si>
  <si>
    <t>HartGNAGGNSC</t>
  </si>
  <si>
    <t>HartLCHO</t>
  </si>
  <si>
    <t>HartSHHOP1Bd</t>
  </si>
  <si>
    <t>HartSHHOP2Bd</t>
  </si>
  <si>
    <t>HartSHHOP3Bd</t>
  </si>
  <si>
    <t>HartSHHOP4Bd</t>
  </si>
  <si>
    <t>HartSHHOPBdst</t>
  </si>
  <si>
    <t>HartSHHOPNSC</t>
  </si>
  <si>
    <t>HartSHHOPTotal</t>
  </si>
  <si>
    <t>HartSHHOPSC</t>
  </si>
  <si>
    <t>HartSHHOPAGGNA</t>
  </si>
  <si>
    <t>E07000090</t>
  </si>
  <si>
    <t>Havant</t>
  </si>
  <si>
    <t>HavantARGN1Bd</t>
  </si>
  <si>
    <t>HavantARGN2Bd</t>
  </si>
  <si>
    <t>HavantARGN3Bd</t>
  </si>
  <si>
    <t>HavantARGN4Bd</t>
  </si>
  <si>
    <t>HavantARGN5Bd</t>
  </si>
  <si>
    <t>HavantARGN6Bd</t>
  </si>
  <si>
    <t>HavantARGNBdst</t>
  </si>
  <si>
    <t>HavantARGNNSC</t>
  </si>
  <si>
    <t>HavantARGNTotal</t>
  </si>
  <si>
    <t>HavantARGNSC</t>
  </si>
  <si>
    <t>HavantARSHHOP1Bd</t>
  </si>
  <si>
    <t>HavantARSHHOP2Bd</t>
  </si>
  <si>
    <t>HavantARSHHOP3Bd</t>
  </si>
  <si>
    <t>HavantARSHHOP4Bd</t>
  </si>
  <si>
    <t>HavantARSHHOPBdst</t>
  </si>
  <si>
    <t>HavantARSHHOPNSC</t>
  </si>
  <si>
    <t>HavantARSHHOPSC</t>
  </si>
  <si>
    <t>HavantARSHHOPTotal</t>
  </si>
  <si>
    <t>HavantGN1Bd</t>
  </si>
  <si>
    <t>HavantGN2Bd</t>
  </si>
  <si>
    <t>HavantGN3Bd</t>
  </si>
  <si>
    <t>HavantGN4Bd</t>
  </si>
  <si>
    <t>HavantGN5Bd</t>
  </si>
  <si>
    <t>HavantGN6Bd</t>
  </si>
  <si>
    <t>HavantGNBdst</t>
  </si>
  <si>
    <t>HavantGNNSC</t>
  </si>
  <si>
    <t>HavantGNTotal</t>
  </si>
  <si>
    <t>HavantGNSC</t>
  </si>
  <si>
    <t>HavantGNAGGSC</t>
  </si>
  <si>
    <t>HavantGNAGGNSC</t>
  </si>
  <si>
    <t>HavantLCHO</t>
  </si>
  <si>
    <t>HavantSHHOP1Bd</t>
  </si>
  <si>
    <t>HavantSHHOP2Bd</t>
  </si>
  <si>
    <t>HavantSHHOP3Bd</t>
  </si>
  <si>
    <t>HavantSHHOP4Bd</t>
  </si>
  <si>
    <t>HavantSHHOPBdst</t>
  </si>
  <si>
    <t>HavantSHHOPNSC</t>
  </si>
  <si>
    <t>HavantSHHOPTotal</t>
  </si>
  <si>
    <t>HavantSHHOPSC</t>
  </si>
  <si>
    <t>HavantSHHOPAGGNA</t>
  </si>
  <si>
    <t>E07000091</t>
  </si>
  <si>
    <t>New Forest</t>
  </si>
  <si>
    <t>New ForestARGN1Bd</t>
  </si>
  <si>
    <t>New ForestARGN2Bd</t>
  </si>
  <si>
    <t>New ForestARGN3Bd</t>
  </si>
  <si>
    <t>New ForestARGN4Bd</t>
  </si>
  <si>
    <t>New ForestARGN5Bd</t>
  </si>
  <si>
    <t>New ForestARGN6Bd</t>
  </si>
  <si>
    <t>New ForestARGNBdst</t>
  </si>
  <si>
    <t>New ForestARGNNSC</t>
  </si>
  <si>
    <t>New ForestARGNTotal</t>
  </si>
  <si>
    <t>New ForestARGNSC</t>
  </si>
  <si>
    <t>New ForestARSHHOP1Bd</t>
  </si>
  <si>
    <t>New ForestARSHHOP2Bd</t>
  </si>
  <si>
    <t>New ForestARSHHOP3Bd</t>
  </si>
  <si>
    <t>New ForestARSHHOP4Bd</t>
  </si>
  <si>
    <t>New ForestARSHHOPBdst</t>
  </si>
  <si>
    <t>New ForestARSHHOPNSC</t>
  </si>
  <si>
    <t>New ForestARSHHOPSC</t>
  </si>
  <si>
    <t>New ForestARSHHOPTotal</t>
  </si>
  <si>
    <t>New ForestGN1Bd</t>
  </si>
  <si>
    <t>New ForestGN2Bd</t>
  </si>
  <si>
    <t>New ForestGN3Bd</t>
  </si>
  <si>
    <t>New ForestGN4Bd</t>
  </si>
  <si>
    <t>New ForestGN5Bd</t>
  </si>
  <si>
    <t>New ForestGN6Bd</t>
  </si>
  <si>
    <t>New ForestGNBdst</t>
  </si>
  <si>
    <t>New ForestGNNSC</t>
  </si>
  <si>
    <t>New ForestGNTotal</t>
  </si>
  <si>
    <t>New ForestGNSC</t>
  </si>
  <si>
    <t>New ForestGNAGGSC</t>
  </si>
  <si>
    <t>New ForestGNAGGNSC</t>
  </si>
  <si>
    <t>New ForestLCHO</t>
  </si>
  <si>
    <t>New ForestSHHOP1Bd</t>
  </si>
  <si>
    <t>New ForestSHHOP2Bd</t>
  </si>
  <si>
    <t>New ForestSHHOP3Bd</t>
  </si>
  <si>
    <t>New ForestSHHOP4Bd</t>
  </si>
  <si>
    <t>New ForestSHHOPBdst</t>
  </si>
  <si>
    <t>New ForestSHHOPNSC</t>
  </si>
  <si>
    <t>New ForestSHHOPTotal</t>
  </si>
  <si>
    <t>New ForestSHHOPSC</t>
  </si>
  <si>
    <t>New ForestSHHOPAGGNA</t>
  </si>
  <si>
    <t>E07000092</t>
  </si>
  <si>
    <t>Rushmoor</t>
  </si>
  <si>
    <t>RushmoorARGN1Bd</t>
  </si>
  <si>
    <t>RushmoorARGN2Bd</t>
  </si>
  <si>
    <t>RushmoorARGN3Bd</t>
  </si>
  <si>
    <t>RushmoorARGN4Bd</t>
  </si>
  <si>
    <t>RushmoorARGN5Bd</t>
  </si>
  <si>
    <t>RushmoorARGN6Bd</t>
  </si>
  <si>
    <t>RushmoorARGNBdst</t>
  </si>
  <si>
    <t>RushmoorARGNNSC</t>
  </si>
  <si>
    <t>RushmoorARGNTotal</t>
  </si>
  <si>
    <t>RushmoorARGNSC</t>
  </si>
  <si>
    <t>RushmoorARSHHOP1Bd</t>
  </si>
  <si>
    <t>RushmoorARSHHOP2Bd</t>
  </si>
  <si>
    <t>RushmoorARSHHOP3Bd</t>
  </si>
  <si>
    <t>RushmoorARSHHOP4Bd</t>
  </si>
  <si>
    <t>RushmoorARSHHOPBdst</t>
  </si>
  <si>
    <t>RushmoorARSHHOPNSC</t>
  </si>
  <si>
    <t>RushmoorARSHHOPSC</t>
  </si>
  <si>
    <t>RushmoorARSHHOPTotal</t>
  </si>
  <si>
    <t>RushmoorGN1Bd</t>
  </si>
  <si>
    <t>RushmoorGN2Bd</t>
  </si>
  <si>
    <t>RushmoorGN3Bd</t>
  </si>
  <si>
    <t>RushmoorGN4Bd</t>
  </si>
  <si>
    <t>RushmoorGN5Bd</t>
  </si>
  <si>
    <t>RushmoorGN6Bd</t>
  </si>
  <si>
    <t>RushmoorGNBdst</t>
  </si>
  <si>
    <t>RushmoorGNNSC</t>
  </si>
  <si>
    <t>RushmoorGNTotal</t>
  </si>
  <si>
    <t>RushmoorGNSC</t>
  </si>
  <si>
    <t>RushmoorGNAGGSC</t>
  </si>
  <si>
    <t>RushmoorGNAGGNSC</t>
  </si>
  <si>
    <t>RushmoorLCHO</t>
  </si>
  <si>
    <t>RushmoorSHHOP1Bd</t>
  </si>
  <si>
    <t>RushmoorSHHOP2Bd</t>
  </si>
  <si>
    <t>RushmoorSHHOP3Bd</t>
  </si>
  <si>
    <t>RushmoorSHHOP4Bd</t>
  </si>
  <si>
    <t>RushmoorSHHOPBdst</t>
  </si>
  <si>
    <t>RushmoorSHHOPNSC</t>
  </si>
  <si>
    <t>RushmoorSHHOPTotal</t>
  </si>
  <si>
    <t>RushmoorSHHOPSC</t>
  </si>
  <si>
    <t>RushmoorSHHOPAGGNA</t>
  </si>
  <si>
    <t>E07000093</t>
  </si>
  <si>
    <t>Test ValleyARGN1Bd</t>
  </si>
  <si>
    <t>Test ValleyARGN2Bd</t>
  </si>
  <si>
    <t>Test ValleyARGN3Bd</t>
  </si>
  <si>
    <t>Test ValleyARGN4Bd</t>
  </si>
  <si>
    <t>Test ValleyARGN5Bd</t>
  </si>
  <si>
    <t>Test ValleyARGN6Bd</t>
  </si>
  <si>
    <t>Test ValleyARGNBdst</t>
  </si>
  <si>
    <t>Test ValleyARGNNSC</t>
  </si>
  <si>
    <t>Test ValleyARGNTotal</t>
  </si>
  <si>
    <t>Test ValleyARGNSC</t>
  </si>
  <si>
    <t>Test ValleyARSHHOP1Bd</t>
  </si>
  <si>
    <t>Test ValleyARSHHOP2Bd</t>
  </si>
  <si>
    <t>Test ValleyARSHHOP3Bd</t>
  </si>
  <si>
    <t>Test ValleyARSHHOP4Bd</t>
  </si>
  <si>
    <t>Test ValleyARSHHOPBdst</t>
  </si>
  <si>
    <t>Test ValleyARSHHOPNSC</t>
  </si>
  <si>
    <t>Test ValleyARSHHOPSC</t>
  </si>
  <si>
    <t>Test ValleyARSHHOPTotal</t>
  </si>
  <si>
    <t>Test ValleyGN1Bd</t>
  </si>
  <si>
    <t>Test ValleyGN2Bd</t>
  </si>
  <si>
    <t>Test ValleyGN3Bd</t>
  </si>
  <si>
    <t>Test ValleyGN4Bd</t>
  </si>
  <si>
    <t>Test ValleyGN5Bd</t>
  </si>
  <si>
    <t>Test ValleyGN6Bd</t>
  </si>
  <si>
    <t>Test ValleyGNBdst</t>
  </si>
  <si>
    <t>Test ValleyGNNSC</t>
  </si>
  <si>
    <t>Test ValleyGNTotal</t>
  </si>
  <si>
    <t>Test ValleyGNSC</t>
  </si>
  <si>
    <t>Test ValleyGNAGGSC</t>
  </si>
  <si>
    <t>Test ValleyGNAGGNSC</t>
  </si>
  <si>
    <t>Test ValleyLCHO</t>
  </si>
  <si>
    <t>Test ValleySHHOP1Bd</t>
  </si>
  <si>
    <t>Test ValleySHHOP2Bd</t>
  </si>
  <si>
    <t>Test ValleySHHOP3Bd</t>
  </si>
  <si>
    <t>Test ValleySHHOP4Bd</t>
  </si>
  <si>
    <t>Test ValleySHHOPBdst</t>
  </si>
  <si>
    <t>Test ValleySHHOPNSC</t>
  </si>
  <si>
    <t>Test ValleySHHOPTotal</t>
  </si>
  <si>
    <t>Test ValleySHHOPSC</t>
  </si>
  <si>
    <t>Test ValleySHHOPAGGNA</t>
  </si>
  <si>
    <t>E07000094</t>
  </si>
  <si>
    <t>WinchesterARGN1Bd</t>
  </si>
  <si>
    <t>WinchesterARGN2Bd</t>
  </si>
  <si>
    <t>WinchesterARGN3Bd</t>
  </si>
  <si>
    <t>WinchesterARGN4Bd</t>
  </si>
  <si>
    <t>WinchesterARGN5Bd</t>
  </si>
  <si>
    <t>WinchesterARGN6Bd</t>
  </si>
  <si>
    <t>WinchesterARGNBdst</t>
  </si>
  <si>
    <t>WinchesterARGNNSC</t>
  </si>
  <si>
    <t>WinchesterARGNTotal</t>
  </si>
  <si>
    <t>WinchesterARGNSC</t>
  </si>
  <si>
    <t>WinchesterARSHHOP1Bd</t>
  </si>
  <si>
    <t>WinchesterARSHHOP2Bd</t>
  </si>
  <si>
    <t>WinchesterARSHHOP3Bd</t>
  </si>
  <si>
    <t>WinchesterARSHHOP4Bd</t>
  </si>
  <si>
    <t>WinchesterARSHHOPBdst</t>
  </si>
  <si>
    <t>WinchesterARSHHOPNSC</t>
  </si>
  <si>
    <t>WinchesterARSHHOPSC</t>
  </si>
  <si>
    <t>WinchesterARSHHOPTotal</t>
  </si>
  <si>
    <t>WinchesterGN1Bd</t>
  </si>
  <si>
    <t>WinchesterGN2Bd</t>
  </si>
  <si>
    <t>WinchesterGN3Bd</t>
  </si>
  <si>
    <t>WinchesterGN4Bd</t>
  </si>
  <si>
    <t>WinchesterGN5Bd</t>
  </si>
  <si>
    <t>WinchesterGN6Bd</t>
  </si>
  <si>
    <t>WinchesterGNBdst</t>
  </si>
  <si>
    <t>WinchesterGNNSC</t>
  </si>
  <si>
    <t>WinchesterGNTotal</t>
  </si>
  <si>
    <t>WinchesterGNSC</t>
  </si>
  <si>
    <t>WinchesterGNAGGSC</t>
  </si>
  <si>
    <t>WinchesterGNAGGNSC</t>
  </si>
  <si>
    <t>WinchesterLCHO</t>
  </si>
  <si>
    <t>WinchesterSHHOP1Bd</t>
  </si>
  <si>
    <t>WinchesterSHHOP2Bd</t>
  </si>
  <si>
    <t>WinchesterSHHOP3Bd</t>
  </si>
  <si>
    <t>WinchesterSHHOP4Bd</t>
  </si>
  <si>
    <t>WinchesterSHHOPBdst</t>
  </si>
  <si>
    <t>WinchesterSHHOPNSC</t>
  </si>
  <si>
    <t>WinchesterSHHOPTotal</t>
  </si>
  <si>
    <t>WinchesterSHHOPSC</t>
  </si>
  <si>
    <t>WinchesterSHHOPAGGNA</t>
  </si>
  <si>
    <t>E07000095</t>
  </si>
  <si>
    <t>Broxbourne</t>
  </si>
  <si>
    <t>BroxbourneARGN1Bd</t>
  </si>
  <si>
    <t>BroxbourneARGN2Bd</t>
  </si>
  <si>
    <t>BroxbourneARGN3Bd</t>
  </si>
  <si>
    <t>BroxbourneARGN4Bd</t>
  </si>
  <si>
    <t>BroxbourneARGN5Bd</t>
  </si>
  <si>
    <t>BroxbourneARGN6Bd</t>
  </si>
  <si>
    <t>BroxbourneARGNBdst</t>
  </si>
  <si>
    <t>BroxbourneARGNNSC</t>
  </si>
  <si>
    <t>BroxbourneARGNTotal</t>
  </si>
  <si>
    <t>BroxbourneARGNSC</t>
  </si>
  <si>
    <t>BroxbourneGN1Bd</t>
  </si>
  <si>
    <t>BroxbourneGN2Bd</t>
  </si>
  <si>
    <t>BroxbourneGN3Bd</t>
  </si>
  <si>
    <t>BroxbourneGN4Bd</t>
  </si>
  <si>
    <t>BroxbourneGN5Bd</t>
  </si>
  <si>
    <t>BroxbourneGN6Bd</t>
  </si>
  <si>
    <t>BroxbourneGNBdst</t>
  </si>
  <si>
    <t>BroxbourneGNNSC</t>
  </si>
  <si>
    <t>BroxbourneGNTotal</t>
  </si>
  <si>
    <t>BroxbourneGNSC</t>
  </si>
  <si>
    <t>BroxbourneGNAGGSC</t>
  </si>
  <si>
    <t>BroxbourneGNAGGNSC</t>
  </si>
  <si>
    <t>BroxbourneLCHO</t>
  </si>
  <si>
    <t>BroxbourneSHHOP1Bd</t>
  </si>
  <si>
    <t>BroxbourneSHHOP2Bd</t>
  </si>
  <si>
    <t>BroxbourneSHHOP3Bd</t>
  </si>
  <si>
    <t>BroxbourneSHHOP4Bd</t>
  </si>
  <si>
    <t>BroxbourneSHHOPBdst</t>
  </si>
  <si>
    <t>BroxbourneSHHOPNSC</t>
  </si>
  <si>
    <t>BroxbourneSHHOPTotal</t>
  </si>
  <si>
    <t>BroxbourneSHHOPSC</t>
  </si>
  <si>
    <t>BroxbourneSHHOPAGGNA</t>
  </si>
  <si>
    <t>E07000096</t>
  </si>
  <si>
    <t>Dacorum</t>
  </si>
  <si>
    <t>DacorumARGN1Bd</t>
  </si>
  <si>
    <t>DacorumARGN2Bd</t>
  </si>
  <si>
    <t>DacorumARGN3Bd</t>
  </si>
  <si>
    <t>DacorumARGN4Bd</t>
  </si>
  <si>
    <t>DacorumARGN5Bd</t>
  </si>
  <si>
    <t>DacorumARGN6Bd</t>
  </si>
  <si>
    <t>DacorumARGNBdst</t>
  </si>
  <si>
    <t>DacorumARGNNSC</t>
  </si>
  <si>
    <t>DacorumARGNTotal</t>
  </si>
  <si>
    <t>DacorumARGNSC</t>
  </si>
  <si>
    <t>DacorumARSHHOP1Bd</t>
  </si>
  <si>
    <t>DacorumARSHHOP2Bd</t>
  </si>
  <si>
    <t>DacorumARSHHOP3Bd</t>
  </si>
  <si>
    <t>DacorumARSHHOP4Bd</t>
  </si>
  <si>
    <t>DacorumARSHHOPBdst</t>
  </si>
  <si>
    <t>DacorumARSHHOPNSC</t>
  </si>
  <si>
    <t>DacorumARSHHOPSC</t>
  </si>
  <si>
    <t>DacorumARSHHOPTotal</t>
  </si>
  <si>
    <t>DacorumGN1Bd</t>
  </si>
  <si>
    <t>DacorumGN2Bd</t>
  </si>
  <si>
    <t>DacorumGN3Bd</t>
  </si>
  <si>
    <t>DacorumGN4Bd</t>
  </si>
  <si>
    <t>DacorumGN5Bd</t>
  </si>
  <si>
    <t>DacorumGN6Bd</t>
  </si>
  <si>
    <t>DacorumGNBdst</t>
  </si>
  <si>
    <t>DacorumGNNSC</t>
  </si>
  <si>
    <t>DacorumGNTotal</t>
  </si>
  <si>
    <t>DacorumGNSC</t>
  </si>
  <si>
    <t>DacorumGNAGGSC</t>
  </si>
  <si>
    <t>DacorumGNAGGNSC</t>
  </si>
  <si>
    <t>DacorumLCHO</t>
  </si>
  <si>
    <t>DacorumSHHOP1Bd</t>
  </si>
  <si>
    <t>DacorumSHHOP2Bd</t>
  </si>
  <si>
    <t>DacorumSHHOP3Bd</t>
  </si>
  <si>
    <t>DacorumSHHOP4Bd</t>
  </si>
  <si>
    <t>DacorumSHHOPBdst</t>
  </si>
  <si>
    <t>DacorumSHHOPNSC</t>
  </si>
  <si>
    <t>DacorumSHHOPTotal</t>
  </si>
  <si>
    <t>DacorumSHHOPSC</t>
  </si>
  <si>
    <t>DacorumSHHOPAGGNA</t>
  </si>
  <si>
    <t>E07000098</t>
  </si>
  <si>
    <t>Hertsmere</t>
  </si>
  <si>
    <t>HertsmereARGN1Bd</t>
  </si>
  <si>
    <t>HertsmereARGN2Bd</t>
  </si>
  <si>
    <t>HertsmereARGN3Bd</t>
  </si>
  <si>
    <t>HertsmereARGN4Bd</t>
  </si>
  <si>
    <t>HertsmereARGN5Bd</t>
  </si>
  <si>
    <t>HertsmereARGN6Bd</t>
  </si>
  <si>
    <t>HertsmereARGNBdst</t>
  </si>
  <si>
    <t>HertsmereARGNNSC</t>
  </si>
  <si>
    <t>HertsmereARGNTotal</t>
  </si>
  <si>
    <t>HertsmereARGNSC</t>
  </si>
  <si>
    <t>HertsmereARSHHOP1Bd</t>
  </si>
  <si>
    <t>HertsmereARSHHOP2Bd</t>
  </si>
  <si>
    <t>HertsmereARSHHOP3Bd</t>
  </si>
  <si>
    <t>HertsmereARSHHOP4Bd</t>
  </si>
  <si>
    <t>HertsmereARSHHOPBdst</t>
  </si>
  <si>
    <t>HertsmereARSHHOPNSC</t>
  </si>
  <si>
    <t>HertsmereARSHHOPSC</t>
  </si>
  <si>
    <t>HertsmereARSHHOPTotal</t>
  </si>
  <si>
    <t>HertsmereGN1Bd</t>
  </si>
  <si>
    <t>HertsmereGN2Bd</t>
  </si>
  <si>
    <t>HertsmereGN3Bd</t>
  </si>
  <si>
    <t>HertsmereGN4Bd</t>
  </si>
  <si>
    <t>HertsmereGN5Bd</t>
  </si>
  <si>
    <t>HertsmereGN6Bd</t>
  </si>
  <si>
    <t>HertsmereGNBdst</t>
  </si>
  <si>
    <t>HertsmereGNNSC</t>
  </si>
  <si>
    <t>HertsmereGNTotal</t>
  </si>
  <si>
    <t>HertsmereGNSC</t>
  </si>
  <si>
    <t>HertsmereGNAGGSC</t>
  </si>
  <si>
    <t>HertsmereGNAGGNSC</t>
  </si>
  <si>
    <t>HertsmereLCHO</t>
  </si>
  <si>
    <t>HertsmereSHHOP1Bd</t>
  </si>
  <si>
    <t>HertsmereSHHOP2Bd</t>
  </si>
  <si>
    <t>HertsmereSHHOP3Bd</t>
  </si>
  <si>
    <t>HertsmereSHHOP4Bd</t>
  </si>
  <si>
    <t>HertsmereSHHOPBdst</t>
  </si>
  <si>
    <t>HertsmereSHHOPNSC</t>
  </si>
  <si>
    <t>HertsmereSHHOPTotal</t>
  </si>
  <si>
    <t>HertsmereSHHOPSC</t>
  </si>
  <si>
    <t>HertsmereSHHOPAGGNA</t>
  </si>
  <si>
    <t>E07000099</t>
  </si>
  <si>
    <t>North Hertfordshire</t>
  </si>
  <si>
    <t>North HertfordshireARGN1Bd</t>
  </si>
  <si>
    <t>North HertfordshireARGN2Bd</t>
  </si>
  <si>
    <t>North HertfordshireARGN3Bd</t>
  </si>
  <si>
    <t>North HertfordshireARGN4Bd</t>
  </si>
  <si>
    <t>North HertfordshireARGN5Bd</t>
  </si>
  <si>
    <t>North HertfordshireARGN6Bd</t>
  </si>
  <si>
    <t>North HertfordshireARGNBdst</t>
  </si>
  <si>
    <t>North HertfordshireARGNNSC</t>
  </si>
  <si>
    <t>North HertfordshireARGNTotal</t>
  </si>
  <si>
    <t>North HertfordshireARGNSC</t>
  </si>
  <si>
    <t>North HertfordshireGN1Bd</t>
  </si>
  <si>
    <t>North HertfordshireGN2Bd</t>
  </si>
  <si>
    <t>North HertfordshireGN3Bd</t>
  </si>
  <si>
    <t>North HertfordshireGN4Bd</t>
  </si>
  <si>
    <t>North HertfordshireGN5Bd</t>
  </si>
  <si>
    <t>North HertfordshireGN6Bd</t>
  </si>
  <si>
    <t>North HertfordshireGNBdst</t>
  </si>
  <si>
    <t>North HertfordshireGNNSC</t>
  </si>
  <si>
    <t>North HertfordshireGNTotal</t>
  </si>
  <si>
    <t>North HertfordshireGNSC</t>
  </si>
  <si>
    <t>North HertfordshireGNAGGSC</t>
  </si>
  <si>
    <t>North HertfordshireGNAGGNSC</t>
  </si>
  <si>
    <t>North HertfordshireLCHO</t>
  </si>
  <si>
    <t>North HertfordshireSHHOP1Bd</t>
  </si>
  <si>
    <t>North HertfordshireSHHOP2Bd</t>
  </si>
  <si>
    <t>North HertfordshireSHHOP3Bd</t>
  </si>
  <si>
    <t>North HertfordshireSHHOP4Bd</t>
  </si>
  <si>
    <t>North HertfordshireSHHOPBdst</t>
  </si>
  <si>
    <t>North HertfordshireSHHOPNSC</t>
  </si>
  <si>
    <t>North HertfordshireSHHOPTotal</t>
  </si>
  <si>
    <t>North HertfordshireSHHOPSC</t>
  </si>
  <si>
    <t>North HertfordshireSHHOPAGGNA</t>
  </si>
  <si>
    <t>E07000102</t>
  </si>
  <si>
    <t>Three RiversARGN1Bd</t>
  </si>
  <si>
    <t>Three RiversARGN2Bd</t>
  </si>
  <si>
    <t>Three RiversARGN3Bd</t>
  </si>
  <si>
    <t>Three RiversARGN4Bd</t>
  </si>
  <si>
    <t>Three RiversARGN5Bd</t>
  </si>
  <si>
    <t>Three RiversARGN6Bd</t>
  </si>
  <si>
    <t>Three RiversARGNBdst</t>
  </si>
  <si>
    <t>Three RiversARGNNSC</t>
  </si>
  <si>
    <t>Three RiversARGNTotal</t>
  </si>
  <si>
    <t>Three RiversARGNSC</t>
  </si>
  <si>
    <t>Three RiversARSHHOP1Bd</t>
  </si>
  <si>
    <t>Three RiversARSHHOP2Bd</t>
  </si>
  <si>
    <t>Three RiversARSHHOP3Bd</t>
  </si>
  <si>
    <t>Three RiversARSHHOP4Bd</t>
  </si>
  <si>
    <t>Three RiversARSHHOPBdst</t>
  </si>
  <si>
    <t>Three RiversARSHHOPNSC</t>
  </si>
  <si>
    <t>Three RiversARSHHOPSC</t>
  </si>
  <si>
    <t>Three RiversARSHHOPTotal</t>
  </si>
  <si>
    <t>Three RiversGN1Bd</t>
  </si>
  <si>
    <t>Three RiversGN2Bd</t>
  </si>
  <si>
    <t>Three RiversGN3Bd</t>
  </si>
  <si>
    <t>Three RiversGN4Bd</t>
  </si>
  <si>
    <t>Three RiversGN5Bd</t>
  </si>
  <si>
    <t>Three RiversGN6Bd</t>
  </si>
  <si>
    <t>Three RiversGNBdst</t>
  </si>
  <si>
    <t>Three RiversGNNSC</t>
  </si>
  <si>
    <t>Three RiversGNTotal</t>
  </si>
  <si>
    <t>Three RiversGNSC</t>
  </si>
  <si>
    <t>Three RiversGNAGGSC</t>
  </si>
  <si>
    <t>Three RiversGNAGGNSC</t>
  </si>
  <si>
    <t>Three RiversLCHO</t>
  </si>
  <si>
    <t>Three RiversSHHOP1Bd</t>
  </si>
  <si>
    <t>Three RiversSHHOP2Bd</t>
  </si>
  <si>
    <t>Three RiversSHHOP3Bd</t>
  </si>
  <si>
    <t>Three RiversSHHOP4Bd</t>
  </si>
  <si>
    <t>Three RiversSHHOPBdst</t>
  </si>
  <si>
    <t>Three RiversSHHOPNSC</t>
  </si>
  <si>
    <t>Three RiversSHHOPTotal</t>
  </si>
  <si>
    <t>Three RiversSHHOPSC</t>
  </si>
  <si>
    <t>Three RiversSHHOPAGGNA</t>
  </si>
  <si>
    <t>E07000103</t>
  </si>
  <si>
    <t>WatfordARGN1Bd</t>
  </si>
  <si>
    <t>WatfordARGN2Bd</t>
  </si>
  <si>
    <t>WatfordARGN3Bd</t>
  </si>
  <si>
    <t>WatfordARGN4Bd</t>
  </si>
  <si>
    <t>WatfordARGN5Bd</t>
  </si>
  <si>
    <t>WatfordARGN6Bd</t>
  </si>
  <si>
    <t>WatfordARGNBdst</t>
  </si>
  <si>
    <t>WatfordARGNNSC</t>
  </si>
  <si>
    <t>WatfordARGNTotal</t>
  </si>
  <si>
    <t>WatfordARGNSC</t>
  </si>
  <si>
    <t>WatfordARSHHOP1Bd</t>
  </si>
  <si>
    <t>WatfordARSHHOP2Bd</t>
  </si>
  <si>
    <t>WatfordARSHHOP3Bd</t>
  </si>
  <si>
    <t>WatfordARSHHOP4Bd</t>
  </si>
  <si>
    <t>WatfordARSHHOPBdst</t>
  </si>
  <si>
    <t>WatfordARSHHOPNSC</t>
  </si>
  <si>
    <t>WatfordARSHHOPSC</t>
  </si>
  <si>
    <t>WatfordARSHHOPTotal</t>
  </si>
  <si>
    <t>WatfordGN1Bd</t>
  </si>
  <si>
    <t>WatfordGN2Bd</t>
  </si>
  <si>
    <t>WatfordGN3Bd</t>
  </si>
  <si>
    <t>WatfordGN4Bd</t>
  </si>
  <si>
    <t>WatfordGN5Bd</t>
  </si>
  <si>
    <t>WatfordGN6Bd</t>
  </si>
  <si>
    <t>WatfordGNBdst</t>
  </si>
  <si>
    <t>WatfordGNNSC</t>
  </si>
  <si>
    <t>WatfordGNTotal</t>
  </si>
  <si>
    <t>WatfordGNSC</t>
  </si>
  <si>
    <t>WatfordGNAGGSC</t>
  </si>
  <si>
    <t>WatfordGNAGGNSC</t>
  </si>
  <si>
    <t>WatfordLCHO</t>
  </si>
  <si>
    <t>WatfordSHHOP1Bd</t>
  </si>
  <si>
    <t>WatfordSHHOP2Bd</t>
  </si>
  <si>
    <t>WatfordSHHOP3Bd</t>
  </si>
  <si>
    <t>WatfordSHHOP4Bd</t>
  </si>
  <si>
    <t>WatfordSHHOPBdst</t>
  </si>
  <si>
    <t>WatfordSHHOPNSC</t>
  </si>
  <si>
    <t>WatfordSHHOPTotal</t>
  </si>
  <si>
    <t>WatfordSHHOPSC</t>
  </si>
  <si>
    <t>WatfordSHHOPAGGNA</t>
  </si>
  <si>
    <t>E07000105</t>
  </si>
  <si>
    <t>Ashford</t>
  </si>
  <si>
    <t>AshfordARGN1Bd</t>
  </si>
  <si>
    <t>AshfordARGN2Bd</t>
  </si>
  <si>
    <t>AshfordARGN3Bd</t>
  </si>
  <si>
    <t>AshfordARGN4Bd</t>
  </si>
  <si>
    <t>AshfordARGN5Bd</t>
  </si>
  <si>
    <t>AshfordARGN6Bd</t>
  </si>
  <si>
    <t>AshfordARGNBdst</t>
  </si>
  <si>
    <t>AshfordARGNNSC</t>
  </si>
  <si>
    <t>AshfordARGNTotal</t>
  </si>
  <si>
    <t>AshfordARGNSC</t>
  </si>
  <si>
    <t>AshfordARSHHOP1Bd</t>
  </si>
  <si>
    <t>AshfordARSHHOP2Bd</t>
  </si>
  <si>
    <t>AshfordARSHHOP3Bd</t>
  </si>
  <si>
    <t>AshfordARSHHOP4Bd</t>
  </si>
  <si>
    <t>AshfordARSHHOPBdst</t>
  </si>
  <si>
    <t>AshfordARSHHOPNSC</t>
  </si>
  <si>
    <t>AshfordARSHHOPSC</t>
  </si>
  <si>
    <t>AshfordARSHHOPTotal</t>
  </si>
  <si>
    <t>AshfordGN1Bd</t>
  </si>
  <si>
    <t>AshfordGN2Bd</t>
  </si>
  <si>
    <t>AshfordGN3Bd</t>
  </si>
  <si>
    <t>AshfordGN4Bd</t>
  </si>
  <si>
    <t>AshfordGN5Bd</t>
  </si>
  <si>
    <t>AshfordGN6Bd</t>
  </si>
  <si>
    <t>AshfordGNBdst</t>
  </si>
  <si>
    <t>AshfordGNNSC</t>
  </si>
  <si>
    <t>AshfordGNTotal</t>
  </si>
  <si>
    <t>AshfordGNSC</t>
  </si>
  <si>
    <t>AshfordGNAGGSC</t>
  </si>
  <si>
    <t>AshfordGNAGGNSC</t>
  </si>
  <si>
    <t>AshfordLCHO</t>
  </si>
  <si>
    <t>AshfordSHHOP1Bd</t>
  </si>
  <si>
    <t>AshfordSHHOP2Bd</t>
  </si>
  <si>
    <t>AshfordSHHOP3Bd</t>
  </si>
  <si>
    <t>AshfordSHHOP4Bd</t>
  </si>
  <si>
    <t>AshfordSHHOPBdst</t>
  </si>
  <si>
    <t>AshfordSHHOPNSC</t>
  </si>
  <si>
    <t>AshfordSHHOPTotal</t>
  </si>
  <si>
    <t>AshfordSHHOPSC</t>
  </si>
  <si>
    <t>AshfordSHHOPAGGNA</t>
  </si>
  <si>
    <t>E07000106</t>
  </si>
  <si>
    <t>Canterbury</t>
  </si>
  <si>
    <t>CanterburyARGN1Bd</t>
  </si>
  <si>
    <t>CanterburyARGN2Bd</t>
  </si>
  <si>
    <t>CanterburyARGN3Bd</t>
  </si>
  <si>
    <t>CanterburyARGN4Bd</t>
  </si>
  <si>
    <t>CanterburyARGN5Bd</t>
  </si>
  <si>
    <t>CanterburyARGN6Bd</t>
  </si>
  <si>
    <t>CanterburyARGNBdst</t>
  </si>
  <si>
    <t>CanterburyARGNNSC</t>
  </si>
  <si>
    <t>CanterburyARGNTotal</t>
  </si>
  <si>
    <t>CanterburyARGNSC</t>
  </si>
  <si>
    <t>CanterburyARSHHOP1Bd</t>
  </si>
  <si>
    <t>CanterburyARSHHOP2Bd</t>
  </si>
  <si>
    <t>CanterburyARSHHOP3Bd</t>
  </si>
  <si>
    <t>CanterburyARSHHOP4Bd</t>
  </si>
  <si>
    <t>CanterburyARSHHOPBdst</t>
  </si>
  <si>
    <t>CanterburyARSHHOPNSC</t>
  </si>
  <si>
    <t>CanterburyARSHHOPSC</t>
  </si>
  <si>
    <t>CanterburyARSHHOPTotal</t>
  </si>
  <si>
    <t>CanterburyGN1Bd</t>
  </si>
  <si>
    <t>CanterburyGN2Bd</t>
  </si>
  <si>
    <t>CanterburyGN3Bd</t>
  </si>
  <si>
    <t>CanterburyGN4Bd</t>
  </si>
  <si>
    <t>CanterburyGN5Bd</t>
  </si>
  <si>
    <t>CanterburyGN6Bd</t>
  </si>
  <si>
    <t>CanterburyGNBdst</t>
  </si>
  <si>
    <t>CanterburyGNNSC</t>
  </si>
  <si>
    <t>CanterburyGNTotal</t>
  </si>
  <si>
    <t>CanterburyGNSC</t>
  </si>
  <si>
    <t>CanterburyGNAGGSC</t>
  </si>
  <si>
    <t>CanterburyGNAGGNSC</t>
  </si>
  <si>
    <t>CanterburyLCHO</t>
  </si>
  <si>
    <t>CanterburySHHOP1Bd</t>
  </si>
  <si>
    <t>CanterburySHHOP2Bd</t>
  </si>
  <si>
    <t>CanterburySHHOP3Bd</t>
  </si>
  <si>
    <t>CanterburySHHOP4Bd</t>
  </si>
  <si>
    <t>CanterburySHHOPBdst</t>
  </si>
  <si>
    <t>CanterburySHHOPNSC</t>
  </si>
  <si>
    <t>CanterburySHHOPTotal</t>
  </si>
  <si>
    <t>CanterburySHHOPSC</t>
  </si>
  <si>
    <t>CanterburySHHOPAGGNA</t>
  </si>
  <si>
    <t>E07000107</t>
  </si>
  <si>
    <t>Dartford</t>
  </si>
  <si>
    <t>DartfordARGN1Bd</t>
  </si>
  <si>
    <t>DartfordARGN2Bd</t>
  </si>
  <si>
    <t>DartfordARGN3Bd</t>
  </si>
  <si>
    <t>DartfordARGN4Bd</t>
  </si>
  <si>
    <t>DartfordARGN5Bd</t>
  </si>
  <si>
    <t>DartfordARGN6Bd</t>
  </si>
  <si>
    <t>DartfordARGNBdst</t>
  </si>
  <si>
    <t>DartfordARGNNSC</t>
  </si>
  <si>
    <t>DartfordARGNTotal</t>
  </si>
  <si>
    <t>DartfordARGNSC</t>
  </si>
  <si>
    <t>DartfordARSHHOP1Bd</t>
  </si>
  <si>
    <t>DartfordARSHHOP2Bd</t>
  </si>
  <si>
    <t>DartfordARSHHOP3Bd</t>
  </si>
  <si>
    <t>DartfordARSHHOP4Bd</t>
  </si>
  <si>
    <t>DartfordARSHHOPBdst</t>
  </si>
  <si>
    <t>DartfordARSHHOPNSC</t>
  </si>
  <si>
    <t>DartfordARSHHOPSC</t>
  </si>
  <si>
    <t>DartfordARSHHOPTotal</t>
  </si>
  <si>
    <t>DartfordGN1Bd</t>
  </si>
  <si>
    <t>DartfordGN2Bd</t>
  </si>
  <si>
    <t>DartfordGN3Bd</t>
  </si>
  <si>
    <t>DartfordGN4Bd</t>
  </si>
  <si>
    <t>DartfordGN5Bd</t>
  </si>
  <si>
    <t>DartfordGN6Bd</t>
  </si>
  <si>
    <t>DartfordGNBdst</t>
  </si>
  <si>
    <t>DartfordGNNSC</t>
  </si>
  <si>
    <t>DartfordGNTotal</t>
  </si>
  <si>
    <t>DartfordGNSC</t>
  </si>
  <si>
    <t>DartfordGNAGGSC</t>
  </si>
  <si>
    <t>DartfordGNAGGNSC</t>
  </si>
  <si>
    <t>DartfordLCHO</t>
  </si>
  <si>
    <t>DartfordSHHOP1Bd</t>
  </si>
  <si>
    <t>DartfordSHHOP2Bd</t>
  </si>
  <si>
    <t>DartfordSHHOP3Bd</t>
  </si>
  <si>
    <t>DartfordSHHOP4Bd</t>
  </si>
  <si>
    <t>DartfordSHHOPBdst</t>
  </si>
  <si>
    <t>DartfordSHHOPNSC</t>
  </si>
  <si>
    <t>DartfordSHHOPTotal</t>
  </si>
  <si>
    <t>DartfordSHHOPSC</t>
  </si>
  <si>
    <t>DartfordSHHOPAGGNA</t>
  </si>
  <si>
    <t>E07000108</t>
  </si>
  <si>
    <t>Dover</t>
  </si>
  <si>
    <t>DoverARGN1Bd</t>
  </si>
  <si>
    <t>DoverARGN2Bd</t>
  </si>
  <si>
    <t>DoverARGN3Bd</t>
  </si>
  <si>
    <t>DoverARGN4Bd</t>
  </si>
  <si>
    <t>DoverARGN5Bd</t>
  </si>
  <si>
    <t>DoverARGN6Bd</t>
  </si>
  <si>
    <t>DoverARGNBdst</t>
  </si>
  <si>
    <t>DoverARGNNSC</t>
  </si>
  <si>
    <t>DoverARGNTotal</t>
  </si>
  <si>
    <t>DoverARGNSC</t>
  </si>
  <si>
    <t>DoverARSHHOP1Bd</t>
  </si>
  <si>
    <t>DoverARSHHOP2Bd</t>
  </si>
  <si>
    <t>DoverARSHHOP3Bd</t>
  </si>
  <si>
    <t>DoverARSHHOP4Bd</t>
  </si>
  <si>
    <t>DoverARSHHOPBdst</t>
  </si>
  <si>
    <t>DoverARSHHOPNSC</t>
  </si>
  <si>
    <t>DoverARSHHOPSC</t>
  </si>
  <si>
    <t>DoverARSHHOPTotal</t>
  </si>
  <si>
    <t>DoverGN1Bd</t>
  </si>
  <si>
    <t>DoverGN2Bd</t>
  </si>
  <si>
    <t>DoverGN3Bd</t>
  </si>
  <si>
    <t>DoverGN4Bd</t>
  </si>
  <si>
    <t>DoverGN5Bd</t>
  </si>
  <si>
    <t>DoverGN6Bd</t>
  </si>
  <si>
    <t>DoverGNBdst</t>
  </si>
  <si>
    <t>DoverGNNSC</t>
  </si>
  <si>
    <t>DoverGNTotal</t>
  </si>
  <si>
    <t>DoverGNSC</t>
  </si>
  <si>
    <t>DoverGNAGGSC</t>
  </si>
  <si>
    <t>DoverGNAGGNSC</t>
  </si>
  <si>
    <t>DoverLCHO</t>
  </si>
  <si>
    <t>DoverSHHOP1Bd</t>
  </si>
  <si>
    <t>DoverSHHOP2Bd</t>
  </si>
  <si>
    <t>DoverSHHOP3Bd</t>
  </si>
  <si>
    <t>DoverSHHOP4Bd</t>
  </si>
  <si>
    <t>DoverSHHOPBdst</t>
  </si>
  <si>
    <t>DoverSHHOPNSC</t>
  </si>
  <si>
    <t>DoverSHHOPTotal</t>
  </si>
  <si>
    <t>DoverSHHOPSC</t>
  </si>
  <si>
    <t>DoverSHHOPAGGNA</t>
  </si>
  <si>
    <t>E07000109</t>
  </si>
  <si>
    <t>Gravesham</t>
  </si>
  <si>
    <t>GraveshamARGN1Bd</t>
  </si>
  <si>
    <t>GraveshamARGN2Bd</t>
  </si>
  <si>
    <t>GraveshamARGN3Bd</t>
  </si>
  <si>
    <t>GraveshamARGN4Bd</t>
  </si>
  <si>
    <t>GraveshamARGN5Bd</t>
  </si>
  <si>
    <t>GraveshamARGN6Bd</t>
  </si>
  <si>
    <t>GraveshamARGNBdst</t>
  </si>
  <si>
    <t>GraveshamARGNNSC</t>
  </si>
  <si>
    <t>GraveshamARGNTotal</t>
  </si>
  <si>
    <t>GraveshamARGNSC</t>
  </si>
  <si>
    <t>GraveshamARSHHOP1Bd</t>
  </si>
  <si>
    <t>GraveshamARSHHOP2Bd</t>
  </si>
  <si>
    <t>GraveshamARSHHOP3Bd</t>
  </si>
  <si>
    <t>GraveshamARSHHOP4Bd</t>
  </si>
  <si>
    <t>GraveshamARSHHOPBdst</t>
  </si>
  <si>
    <t>GraveshamARSHHOPNSC</t>
  </si>
  <si>
    <t>GraveshamARSHHOPSC</t>
  </si>
  <si>
    <t>GraveshamARSHHOPTotal</t>
  </si>
  <si>
    <t>GraveshamGN1Bd</t>
  </si>
  <si>
    <t>GraveshamGN2Bd</t>
  </si>
  <si>
    <t>GraveshamGN3Bd</t>
  </si>
  <si>
    <t>GraveshamGN4Bd</t>
  </si>
  <si>
    <t>GraveshamGN5Bd</t>
  </si>
  <si>
    <t>GraveshamGN6Bd</t>
  </si>
  <si>
    <t>GraveshamGNBdst</t>
  </si>
  <si>
    <t>GraveshamGNNSC</t>
  </si>
  <si>
    <t>GraveshamGNTotal</t>
  </si>
  <si>
    <t>GraveshamGNSC</t>
  </si>
  <si>
    <t>GraveshamGNAGGSC</t>
  </si>
  <si>
    <t>GraveshamGNAGGNSC</t>
  </si>
  <si>
    <t>GraveshamLCHO</t>
  </si>
  <si>
    <t>GraveshamSHHOP1Bd</t>
  </si>
  <si>
    <t>GraveshamSHHOP2Bd</t>
  </si>
  <si>
    <t>GraveshamSHHOP3Bd</t>
  </si>
  <si>
    <t>GraveshamSHHOP4Bd</t>
  </si>
  <si>
    <t>GraveshamSHHOPBdst</t>
  </si>
  <si>
    <t>GraveshamSHHOPNSC</t>
  </si>
  <si>
    <t>GraveshamSHHOPTotal</t>
  </si>
  <si>
    <t>GraveshamSHHOPSC</t>
  </si>
  <si>
    <t>GraveshamSHHOPAGGNA</t>
  </si>
  <si>
    <t>E07000110</t>
  </si>
  <si>
    <t>Maidstone</t>
  </si>
  <si>
    <t>MaidstoneARGN1Bd</t>
  </si>
  <si>
    <t>MaidstoneARGN2Bd</t>
  </si>
  <si>
    <t>MaidstoneARGN3Bd</t>
  </si>
  <si>
    <t>MaidstoneARGN4Bd</t>
  </si>
  <si>
    <t>MaidstoneARGN5Bd</t>
  </si>
  <si>
    <t>MaidstoneARGN6Bd</t>
  </si>
  <si>
    <t>MaidstoneARGNBdst</t>
  </si>
  <si>
    <t>MaidstoneARGNNSC</t>
  </si>
  <si>
    <t>MaidstoneARGNTotal</t>
  </si>
  <si>
    <t>MaidstoneARGNSC</t>
  </si>
  <si>
    <t>MaidstoneARSHHOP1Bd</t>
  </si>
  <si>
    <t>MaidstoneARSHHOP2Bd</t>
  </si>
  <si>
    <t>MaidstoneARSHHOP3Bd</t>
  </si>
  <si>
    <t>MaidstoneARSHHOP4Bd</t>
  </si>
  <si>
    <t>MaidstoneARSHHOPBdst</t>
  </si>
  <si>
    <t>MaidstoneARSHHOPNSC</t>
  </si>
  <si>
    <t>MaidstoneARSHHOPSC</t>
  </si>
  <si>
    <t>MaidstoneARSHHOPTotal</t>
  </si>
  <si>
    <t>MaidstoneGN1Bd</t>
  </si>
  <si>
    <t>MaidstoneGN2Bd</t>
  </si>
  <si>
    <t>MaidstoneGN3Bd</t>
  </si>
  <si>
    <t>MaidstoneGN4Bd</t>
  </si>
  <si>
    <t>MaidstoneGN5Bd</t>
  </si>
  <si>
    <t>MaidstoneGN6Bd</t>
  </si>
  <si>
    <t>MaidstoneGNBdst</t>
  </si>
  <si>
    <t>MaidstoneGNNSC</t>
  </si>
  <si>
    <t>MaidstoneGNTotal</t>
  </si>
  <si>
    <t>MaidstoneGNSC</t>
  </si>
  <si>
    <t>MaidstoneGNAGGSC</t>
  </si>
  <si>
    <t>MaidstoneGNAGGNSC</t>
  </si>
  <si>
    <t>MaidstoneLCHO</t>
  </si>
  <si>
    <t>MaidstoneSHHOP1Bd</t>
  </si>
  <si>
    <t>MaidstoneSHHOP2Bd</t>
  </si>
  <si>
    <t>MaidstoneSHHOP3Bd</t>
  </si>
  <si>
    <t>MaidstoneSHHOP4Bd</t>
  </si>
  <si>
    <t>MaidstoneSHHOPBdst</t>
  </si>
  <si>
    <t>MaidstoneSHHOPNSC</t>
  </si>
  <si>
    <t>MaidstoneSHHOPTotal</t>
  </si>
  <si>
    <t>MaidstoneSHHOPSC</t>
  </si>
  <si>
    <t>MaidstoneSHHOPAGGNA</t>
  </si>
  <si>
    <t>E07000111</t>
  </si>
  <si>
    <t>Sevenoaks</t>
  </si>
  <si>
    <t>SevenoaksARGN1Bd</t>
  </si>
  <si>
    <t>SevenoaksARGN2Bd</t>
  </si>
  <si>
    <t>SevenoaksARGN3Bd</t>
  </si>
  <si>
    <t>SevenoaksARGN4Bd</t>
  </si>
  <si>
    <t>SevenoaksARGN5Bd</t>
  </si>
  <si>
    <t>SevenoaksARGN6Bd</t>
  </si>
  <si>
    <t>SevenoaksARGNBdst</t>
  </si>
  <si>
    <t>SevenoaksARGNNSC</t>
  </si>
  <si>
    <t>SevenoaksARGNTotal</t>
  </si>
  <si>
    <t>SevenoaksARGNSC</t>
  </si>
  <si>
    <t>SevenoaksARSHHOP1Bd</t>
  </si>
  <si>
    <t>SevenoaksARSHHOP2Bd</t>
  </si>
  <si>
    <t>SevenoaksARSHHOP3Bd</t>
  </si>
  <si>
    <t>SevenoaksARSHHOP4Bd</t>
  </si>
  <si>
    <t>SevenoaksARSHHOPBdst</t>
  </si>
  <si>
    <t>SevenoaksARSHHOPNSC</t>
  </si>
  <si>
    <t>SevenoaksARSHHOPSC</t>
  </si>
  <si>
    <t>SevenoaksARSHHOPTotal</t>
  </si>
  <si>
    <t>SevenoaksGN1Bd</t>
  </si>
  <si>
    <t>SevenoaksGN2Bd</t>
  </si>
  <si>
    <t>SevenoaksGN3Bd</t>
  </si>
  <si>
    <t>SevenoaksGN4Bd</t>
  </si>
  <si>
    <t>SevenoaksGN5Bd</t>
  </si>
  <si>
    <t>SevenoaksGN6Bd</t>
  </si>
  <si>
    <t>SevenoaksGNBdst</t>
  </si>
  <si>
    <t>SevenoaksGNNSC</t>
  </si>
  <si>
    <t>SevenoaksGNTotal</t>
  </si>
  <si>
    <t>SevenoaksGNSC</t>
  </si>
  <si>
    <t>SevenoaksGNAGGSC</t>
  </si>
  <si>
    <t>SevenoaksGNAGGNSC</t>
  </si>
  <si>
    <t>SevenoaksLCHO</t>
  </si>
  <si>
    <t>SevenoaksSHHOP1Bd</t>
  </si>
  <si>
    <t>SevenoaksSHHOP2Bd</t>
  </si>
  <si>
    <t>SevenoaksSHHOP3Bd</t>
  </si>
  <si>
    <t>SevenoaksSHHOP4Bd</t>
  </si>
  <si>
    <t>SevenoaksSHHOPBdst</t>
  </si>
  <si>
    <t>SevenoaksSHHOPNSC</t>
  </si>
  <si>
    <t>SevenoaksSHHOPTotal</t>
  </si>
  <si>
    <t>SevenoaksSHHOPSC</t>
  </si>
  <si>
    <t>SevenoaksSHHOPAGGNA</t>
  </si>
  <si>
    <t>E07000112</t>
  </si>
  <si>
    <t>Folkestone and Hythe</t>
  </si>
  <si>
    <t>Folkestone and HytheARGN1Bd</t>
  </si>
  <si>
    <t>Folkestone and HytheARGN2Bd</t>
  </si>
  <si>
    <t>Folkestone and HytheARGN3Bd</t>
  </si>
  <si>
    <t>Folkestone and HytheARGN4Bd</t>
  </si>
  <si>
    <t>Folkestone and HytheARGN5Bd</t>
  </si>
  <si>
    <t>Folkestone and HytheARGN6Bd</t>
  </si>
  <si>
    <t>Folkestone and HytheARGNBdst</t>
  </si>
  <si>
    <t>Folkestone and HytheARGNNSC</t>
  </si>
  <si>
    <t>Folkestone and HytheARGNTotal</t>
  </si>
  <si>
    <t>Folkestone and HytheARGNSC</t>
  </si>
  <si>
    <t>Folkestone and HytheARSHHOP1Bd</t>
  </si>
  <si>
    <t>Folkestone and HytheARSHHOP2Bd</t>
  </si>
  <si>
    <t>Folkestone and HytheARSHHOP3Bd</t>
  </si>
  <si>
    <t>Folkestone and HytheARSHHOP4Bd</t>
  </si>
  <si>
    <t>Folkestone and HytheARSHHOPBdst</t>
  </si>
  <si>
    <t>Folkestone and HytheARSHHOPNSC</t>
  </si>
  <si>
    <t>Folkestone and HytheARSHHOPSC</t>
  </si>
  <si>
    <t>Folkestone and HytheARSHHOPTotal</t>
  </si>
  <si>
    <t>Folkestone and HytheGN1Bd</t>
  </si>
  <si>
    <t>Folkestone and HytheGN2Bd</t>
  </si>
  <si>
    <t>Folkestone and HytheGN3Bd</t>
  </si>
  <si>
    <t>Folkestone and HytheGN4Bd</t>
  </si>
  <si>
    <t>Folkestone and HytheGN5Bd</t>
  </si>
  <si>
    <t>Folkestone and HytheGN6Bd</t>
  </si>
  <si>
    <t>Folkestone and HytheGNBdst</t>
  </si>
  <si>
    <t>Folkestone and HytheGNNSC</t>
  </si>
  <si>
    <t>Folkestone and HytheGNTotal</t>
  </si>
  <si>
    <t>Folkestone and HytheGNSC</t>
  </si>
  <si>
    <t>Folkestone and HytheGNAGGSC</t>
  </si>
  <si>
    <t>Folkestone and HytheGNAGGNSC</t>
  </si>
  <si>
    <t>Folkestone and HytheLCHO</t>
  </si>
  <si>
    <t>Folkestone and HytheSHHOP1Bd</t>
  </si>
  <si>
    <t>Folkestone and HytheSHHOP2Bd</t>
  </si>
  <si>
    <t>Folkestone and HytheSHHOP3Bd</t>
  </si>
  <si>
    <t>Folkestone and HytheSHHOP4Bd</t>
  </si>
  <si>
    <t>Folkestone and HytheSHHOPBdst</t>
  </si>
  <si>
    <t>Folkestone and HytheSHHOPNSC</t>
  </si>
  <si>
    <t>Folkestone and HytheSHHOPTotal</t>
  </si>
  <si>
    <t>Folkestone and HytheSHHOPSC</t>
  </si>
  <si>
    <t>Folkestone and HytheSHHOPAGGNA</t>
  </si>
  <si>
    <t>E07000113</t>
  </si>
  <si>
    <t>SwaleARGN1Bd</t>
  </si>
  <si>
    <t>SwaleARGN2Bd</t>
  </si>
  <si>
    <t>SwaleARGN3Bd</t>
  </si>
  <si>
    <t>SwaleARGN4Bd</t>
  </si>
  <si>
    <t>SwaleARGN5Bd</t>
  </si>
  <si>
    <t>SwaleARGN6Bd</t>
  </si>
  <si>
    <t>SwaleARGNBdst</t>
  </si>
  <si>
    <t>SwaleARGNNSC</t>
  </si>
  <si>
    <t>SwaleARGNTotal</t>
  </si>
  <si>
    <t>SwaleARGNSC</t>
  </si>
  <si>
    <t>SwaleGN1Bd</t>
  </si>
  <si>
    <t>SwaleGN2Bd</t>
  </si>
  <si>
    <t>SwaleGN3Bd</t>
  </si>
  <si>
    <t>SwaleGN4Bd</t>
  </si>
  <si>
    <t>SwaleGN5Bd</t>
  </si>
  <si>
    <t>SwaleGN6Bd</t>
  </si>
  <si>
    <t>SwaleGNBdst</t>
  </si>
  <si>
    <t>SwaleGNNSC</t>
  </si>
  <si>
    <t>SwaleGNTotal</t>
  </si>
  <si>
    <t>SwaleGNSC</t>
  </si>
  <si>
    <t>SwaleGNAGGSC</t>
  </si>
  <si>
    <t>SwaleGNAGGNSC</t>
  </si>
  <si>
    <t>SwaleLCHO</t>
  </si>
  <si>
    <t>SwaleSHHOP1Bd</t>
  </si>
  <si>
    <t>SwaleSHHOP2Bd</t>
  </si>
  <si>
    <t>SwaleSHHOP3Bd</t>
  </si>
  <si>
    <t>SwaleSHHOP4Bd</t>
  </si>
  <si>
    <t>SwaleSHHOPBdst</t>
  </si>
  <si>
    <t>SwaleSHHOPNSC</t>
  </si>
  <si>
    <t>SwaleSHHOPTotal</t>
  </si>
  <si>
    <t>SwaleSHHOPSC</t>
  </si>
  <si>
    <t>SwaleSHHOPAGGNA</t>
  </si>
  <si>
    <t>E07000114</t>
  </si>
  <si>
    <t>ThanetARGN1Bd</t>
  </si>
  <si>
    <t>ThanetARGN2Bd</t>
  </si>
  <si>
    <t>ThanetARGN3Bd</t>
  </si>
  <si>
    <t>ThanetARGN4Bd</t>
  </si>
  <si>
    <t>ThanetARGN5Bd</t>
  </si>
  <si>
    <t>ThanetARGN6Bd</t>
  </si>
  <si>
    <t>ThanetARGNBdst</t>
  </si>
  <si>
    <t>ThanetARGNNSC</t>
  </si>
  <si>
    <t>ThanetARGNTotal</t>
  </si>
  <si>
    <t>ThanetARGNSC</t>
  </si>
  <si>
    <t>ThanetARSHHOP1Bd</t>
  </si>
  <si>
    <t>ThanetARSHHOP2Bd</t>
  </si>
  <si>
    <t>ThanetARSHHOP3Bd</t>
  </si>
  <si>
    <t>ThanetARSHHOP4Bd</t>
  </si>
  <si>
    <t>ThanetARSHHOPBdst</t>
  </si>
  <si>
    <t>ThanetARSHHOPNSC</t>
  </si>
  <si>
    <t>ThanetARSHHOPSC</t>
  </si>
  <si>
    <t>ThanetARSHHOPTotal</t>
  </si>
  <si>
    <t>ThanetGN1Bd</t>
  </si>
  <si>
    <t>ThanetGN2Bd</t>
  </si>
  <si>
    <t>ThanetGN3Bd</t>
  </si>
  <si>
    <t>ThanetGN4Bd</t>
  </si>
  <si>
    <t>ThanetGN5Bd</t>
  </si>
  <si>
    <t>ThanetGN6Bd</t>
  </si>
  <si>
    <t>ThanetGNBdst</t>
  </si>
  <si>
    <t>ThanetGNNSC</t>
  </si>
  <si>
    <t>ThanetGNTotal</t>
  </si>
  <si>
    <t>ThanetGNSC</t>
  </si>
  <si>
    <t>ThanetGNAGGSC</t>
  </si>
  <si>
    <t>ThanetGNAGGNSC</t>
  </si>
  <si>
    <t>ThanetLCHO</t>
  </si>
  <si>
    <t>ThanetSHHOP1Bd</t>
  </si>
  <si>
    <t>ThanetSHHOP2Bd</t>
  </si>
  <si>
    <t>ThanetSHHOP3Bd</t>
  </si>
  <si>
    <t>ThanetSHHOP4Bd</t>
  </si>
  <si>
    <t>ThanetSHHOPBdst</t>
  </si>
  <si>
    <t>ThanetSHHOPNSC</t>
  </si>
  <si>
    <t>ThanetSHHOPTotal</t>
  </si>
  <si>
    <t>ThanetSHHOPSC</t>
  </si>
  <si>
    <t>ThanetSHHOPAGGNA</t>
  </si>
  <si>
    <t>E07000115</t>
  </si>
  <si>
    <t>Tonbridge and MallingARGN1Bd</t>
  </si>
  <si>
    <t>Tonbridge and MallingARGN2Bd</t>
  </si>
  <si>
    <t>Tonbridge and MallingARGN3Bd</t>
  </si>
  <si>
    <t>Tonbridge and MallingARGN4Bd</t>
  </si>
  <si>
    <t>Tonbridge and MallingARGN5Bd</t>
  </si>
  <si>
    <t>Tonbridge and MallingARGN6Bd</t>
  </si>
  <si>
    <t>Tonbridge and MallingARGNBdst</t>
  </si>
  <si>
    <t>Tonbridge and MallingARGNNSC</t>
  </si>
  <si>
    <t>Tonbridge and MallingARGNTotal</t>
  </si>
  <si>
    <t>Tonbridge and MallingARGNSC</t>
  </si>
  <si>
    <t>Tonbridge and MallingARSHHOP1Bd</t>
  </si>
  <si>
    <t>Tonbridge and MallingARSHHOP2Bd</t>
  </si>
  <si>
    <t>Tonbridge and MallingARSHHOP3Bd</t>
  </si>
  <si>
    <t>Tonbridge and MallingARSHHOP4Bd</t>
  </si>
  <si>
    <t>Tonbridge and MallingARSHHOPBdst</t>
  </si>
  <si>
    <t>Tonbridge and MallingARSHHOPNSC</t>
  </si>
  <si>
    <t>Tonbridge and MallingARSHHOPSC</t>
  </si>
  <si>
    <t>Tonbridge and MallingARSHHOPTotal</t>
  </si>
  <si>
    <t>Tonbridge and MallingGN1Bd</t>
  </si>
  <si>
    <t>Tonbridge and MallingGN2Bd</t>
  </si>
  <si>
    <t>Tonbridge and MallingGN3Bd</t>
  </si>
  <si>
    <t>Tonbridge and MallingGN4Bd</t>
  </si>
  <si>
    <t>Tonbridge and MallingGN5Bd</t>
  </si>
  <si>
    <t>Tonbridge and MallingGN6Bd</t>
  </si>
  <si>
    <t>Tonbridge and MallingGNBdst</t>
  </si>
  <si>
    <t>Tonbridge and MallingGNNSC</t>
  </si>
  <si>
    <t>Tonbridge and MallingGNTotal</t>
  </si>
  <si>
    <t>Tonbridge and MallingGNSC</t>
  </si>
  <si>
    <t>Tonbridge and MallingGNAGGSC</t>
  </si>
  <si>
    <t>Tonbridge and MallingGNAGGNSC</t>
  </si>
  <si>
    <t>Tonbridge and MallingLCHO</t>
  </si>
  <si>
    <t>Tonbridge and MallingSHHOP1Bd</t>
  </si>
  <si>
    <t>Tonbridge and MallingSHHOP2Bd</t>
  </si>
  <si>
    <t>Tonbridge and MallingSHHOP3Bd</t>
  </si>
  <si>
    <t>Tonbridge and MallingSHHOP4Bd</t>
  </si>
  <si>
    <t>Tonbridge and MallingSHHOPBdst</t>
  </si>
  <si>
    <t>Tonbridge and MallingSHHOPNSC</t>
  </si>
  <si>
    <t>Tonbridge and MallingSHHOPTotal</t>
  </si>
  <si>
    <t>Tonbridge and MallingSHHOPSC</t>
  </si>
  <si>
    <t>Tonbridge and MallingSHHOPAGGNA</t>
  </si>
  <si>
    <t>E07000116</t>
  </si>
  <si>
    <t>Tunbridge WellsARGN1Bd</t>
  </si>
  <si>
    <t>Tunbridge WellsARGN2Bd</t>
  </si>
  <si>
    <t>Tunbridge WellsARGN3Bd</t>
  </si>
  <si>
    <t>Tunbridge WellsARGN4Bd</t>
  </si>
  <si>
    <t>Tunbridge WellsARGN5Bd</t>
  </si>
  <si>
    <t>Tunbridge WellsARGN6Bd</t>
  </si>
  <si>
    <t>Tunbridge WellsARGNBdst</t>
  </si>
  <si>
    <t>Tunbridge WellsARGNNSC</t>
  </si>
  <si>
    <t>Tunbridge WellsARGNTotal</t>
  </si>
  <si>
    <t>Tunbridge WellsARGNSC</t>
  </si>
  <si>
    <t>Tunbridge WellsARSHHOP1Bd</t>
  </si>
  <si>
    <t>Tunbridge WellsARSHHOP2Bd</t>
  </si>
  <si>
    <t>Tunbridge WellsARSHHOP3Bd</t>
  </si>
  <si>
    <t>Tunbridge WellsARSHHOP4Bd</t>
  </si>
  <si>
    <t>Tunbridge WellsARSHHOPBdst</t>
  </si>
  <si>
    <t>Tunbridge WellsARSHHOPNSC</t>
  </si>
  <si>
    <t>Tunbridge WellsARSHHOPSC</t>
  </si>
  <si>
    <t>Tunbridge WellsARSHHOPTotal</t>
  </si>
  <si>
    <t>Tunbridge WellsGN1Bd</t>
  </si>
  <si>
    <t>Tunbridge WellsGN2Bd</t>
  </si>
  <si>
    <t>Tunbridge WellsGN3Bd</t>
  </si>
  <si>
    <t>Tunbridge WellsGN4Bd</t>
  </si>
  <si>
    <t>Tunbridge WellsGN5Bd</t>
  </si>
  <si>
    <t>Tunbridge WellsGN6Bd</t>
  </si>
  <si>
    <t>Tunbridge WellsGNBdst</t>
  </si>
  <si>
    <t>Tunbridge WellsGNNSC</t>
  </si>
  <si>
    <t>Tunbridge WellsGNTotal</t>
  </si>
  <si>
    <t>Tunbridge WellsGNSC</t>
  </si>
  <si>
    <t>Tunbridge WellsGNAGGSC</t>
  </si>
  <si>
    <t>Tunbridge WellsGNAGGNSC</t>
  </si>
  <si>
    <t>Tunbridge WellsLCHO</t>
  </si>
  <si>
    <t>Tunbridge WellsSHHOP1Bd</t>
  </si>
  <si>
    <t>Tunbridge WellsSHHOP2Bd</t>
  </si>
  <si>
    <t>Tunbridge WellsSHHOP3Bd</t>
  </si>
  <si>
    <t>Tunbridge WellsSHHOP4Bd</t>
  </si>
  <si>
    <t>Tunbridge WellsSHHOPBdst</t>
  </si>
  <si>
    <t>Tunbridge WellsSHHOPNSC</t>
  </si>
  <si>
    <t>Tunbridge WellsSHHOPTotal</t>
  </si>
  <si>
    <t>Tunbridge WellsSHHOPSC</t>
  </si>
  <si>
    <t>Tunbridge WellsSHHOPAGGNA</t>
  </si>
  <si>
    <t>E07000117</t>
  </si>
  <si>
    <t>Burnley</t>
  </si>
  <si>
    <t>BurnleyARGN1Bd</t>
  </si>
  <si>
    <t>BurnleyARGN2Bd</t>
  </si>
  <si>
    <t>BurnleyARGN3Bd</t>
  </si>
  <si>
    <t>BurnleyARGN4Bd</t>
  </si>
  <si>
    <t>BurnleyARGN5Bd</t>
  </si>
  <si>
    <t>BurnleyARGN6Bd</t>
  </si>
  <si>
    <t>BurnleyARGNBdst</t>
  </si>
  <si>
    <t>BurnleyARGNNSC</t>
  </si>
  <si>
    <t>BurnleyARGNTotal</t>
  </si>
  <si>
    <t>BurnleyARGNSC</t>
  </si>
  <si>
    <t>BurnleyARSHHOP1Bd</t>
  </si>
  <si>
    <t>BurnleyARSHHOP2Bd</t>
  </si>
  <si>
    <t>BurnleyARSHHOP3Bd</t>
  </si>
  <si>
    <t>BurnleyARSHHOP4Bd</t>
  </si>
  <si>
    <t>BurnleyARSHHOPBdst</t>
  </si>
  <si>
    <t>BurnleyARSHHOPNSC</t>
  </si>
  <si>
    <t>BurnleyARSHHOPSC</t>
  </si>
  <si>
    <t>BurnleyARSHHOPTotal</t>
  </si>
  <si>
    <t>BurnleyGN1Bd</t>
  </si>
  <si>
    <t>BurnleyGN2Bd</t>
  </si>
  <si>
    <t>BurnleyGN3Bd</t>
  </si>
  <si>
    <t>BurnleyGN4Bd</t>
  </si>
  <si>
    <t>BurnleyGN5Bd</t>
  </si>
  <si>
    <t>BurnleyGN6Bd</t>
  </si>
  <si>
    <t>BurnleyGNBdst</t>
  </si>
  <si>
    <t>BurnleyGNNSC</t>
  </si>
  <si>
    <t>BurnleyGNTotal</t>
  </si>
  <si>
    <t>BurnleyGNSC</t>
  </si>
  <si>
    <t>BurnleyGNAGGSC</t>
  </si>
  <si>
    <t>BurnleyGNAGGNSC</t>
  </si>
  <si>
    <t>BurnleyLCHO</t>
  </si>
  <si>
    <t>BurnleySHHOP1Bd</t>
  </si>
  <si>
    <t>BurnleySHHOP2Bd</t>
  </si>
  <si>
    <t>BurnleySHHOP3Bd</t>
  </si>
  <si>
    <t>BurnleySHHOP4Bd</t>
  </si>
  <si>
    <t>BurnleySHHOPBdst</t>
  </si>
  <si>
    <t>BurnleySHHOPNSC</t>
  </si>
  <si>
    <t>BurnleySHHOPTotal</t>
  </si>
  <si>
    <t>BurnleySHHOPSC</t>
  </si>
  <si>
    <t>BurnleySHHOPAGGNA</t>
  </si>
  <si>
    <t>E07000118</t>
  </si>
  <si>
    <t>Chorley</t>
  </si>
  <si>
    <t>ChorleyARGN1Bd</t>
  </si>
  <si>
    <t>ChorleyARGN2Bd</t>
  </si>
  <si>
    <t>ChorleyARGN3Bd</t>
  </si>
  <si>
    <t>ChorleyARGN4Bd</t>
  </si>
  <si>
    <t>ChorleyARGN5Bd</t>
  </si>
  <si>
    <t>ChorleyARGN6Bd</t>
  </si>
  <si>
    <t>ChorleyARGNBdst</t>
  </si>
  <si>
    <t>ChorleyARGNNSC</t>
  </si>
  <si>
    <t>ChorleyARGNTotal</t>
  </si>
  <si>
    <t>ChorleyARGNSC</t>
  </si>
  <si>
    <t>ChorleyARSHHOP1Bd</t>
  </si>
  <si>
    <t>ChorleyARSHHOP2Bd</t>
  </si>
  <si>
    <t>ChorleyARSHHOP3Bd</t>
  </si>
  <si>
    <t>ChorleyARSHHOP4Bd</t>
  </si>
  <si>
    <t>ChorleyARSHHOPBdst</t>
  </si>
  <si>
    <t>ChorleyARSHHOPNSC</t>
  </si>
  <si>
    <t>ChorleyARSHHOPSC</t>
  </si>
  <si>
    <t>ChorleyARSHHOPTotal</t>
  </si>
  <si>
    <t>ChorleyGN1Bd</t>
  </si>
  <si>
    <t>ChorleyGN2Bd</t>
  </si>
  <si>
    <t>ChorleyGN3Bd</t>
  </si>
  <si>
    <t>ChorleyGN4Bd</t>
  </si>
  <si>
    <t>ChorleyGN5Bd</t>
  </si>
  <si>
    <t>ChorleyGN6Bd</t>
  </si>
  <si>
    <t>ChorleyGNBdst</t>
  </si>
  <si>
    <t>ChorleyGNNSC</t>
  </si>
  <si>
    <t>ChorleyGNTotal</t>
  </si>
  <si>
    <t>ChorleyGNSC</t>
  </si>
  <si>
    <t>ChorleyGNAGGSC</t>
  </si>
  <si>
    <t>ChorleyGNAGGNSC</t>
  </si>
  <si>
    <t>ChorleyLCHO</t>
  </si>
  <si>
    <t>ChorleySHHOP1Bd</t>
  </si>
  <si>
    <t>ChorleySHHOP2Bd</t>
  </si>
  <si>
    <t>ChorleySHHOP3Bd</t>
  </si>
  <si>
    <t>ChorleySHHOP4Bd</t>
  </si>
  <si>
    <t>ChorleySHHOPBdst</t>
  </si>
  <si>
    <t>ChorleySHHOPNSC</t>
  </si>
  <si>
    <t>ChorleySHHOPTotal</t>
  </si>
  <si>
    <t>ChorleySHHOPSC</t>
  </si>
  <si>
    <t>ChorleySHHOPAGGNA</t>
  </si>
  <si>
    <t>E07000119</t>
  </si>
  <si>
    <t>Fylde</t>
  </si>
  <si>
    <t>FyldeARGN1Bd</t>
  </si>
  <si>
    <t>FyldeARGN2Bd</t>
  </si>
  <si>
    <t>FyldeARGN3Bd</t>
  </si>
  <si>
    <t>FyldeARGN4Bd</t>
  </si>
  <si>
    <t>FyldeARGN5Bd</t>
  </si>
  <si>
    <t>FyldeARGN6Bd</t>
  </si>
  <si>
    <t>FyldeARGNBdst</t>
  </si>
  <si>
    <t>FyldeARGNNSC</t>
  </si>
  <si>
    <t>FyldeARGNTotal</t>
  </si>
  <si>
    <t>FyldeARGNSC</t>
  </si>
  <si>
    <t>FyldeGN1Bd</t>
  </si>
  <si>
    <t>FyldeGN2Bd</t>
  </si>
  <si>
    <t>FyldeGN3Bd</t>
  </si>
  <si>
    <t>FyldeGN4Bd</t>
  </si>
  <si>
    <t>FyldeGN5Bd</t>
  </si>
  <si>
    <t>FyldeGN6Bd</t>
  </si>
  <si>
    <t>FyldeGNBdst</t>
  </si>
  <si>
    <t>FyldeGNNSC</t>
  </si>
  <si>
    <t>FyldeGNTotal</t>
  </si>
  <si>
    <t>FyldeGNSC</t>
  </si>
  <si>
    <t>FyldeGNAGGSC</t>
  </si>
  <si>
    <t>FyldeGNAGGNSC</t>
  </si>
  <si>
    <t>FyldeLCHO</t>
  </si>
  <si>
    <t>FyldeSHHOP1Bd</t>
  </si>
  <si>
    <t>FyldeSHHOP2Bd</t>
  </si>
  <si>
    <t>FyldeSHHOP3Bd</t>
  </si>
  <si>
    <t>FyldeSHHOP4Bd</t>
  </si>
  <si>
    <t>FyldeSHHOPBdst</t>
  </si>
  <si>
    <t>FyldeSHHOPNSC</t>
  </si>
  <si>
    <t>FyldeSHHOPTotal</t>
  </si>
  <si>
    <t>FyldeSHHOPSC</t>
  </si>
  <si>
    <t>FyldeSHHOPAGGNA</t>
  </si>
  <si>
    <t>E07000120</t>
  </si>
  <si>
    <t>Hyndburn</t>
  </si>
  <si>
    <t>HyndburnARGN1Bd</t>
  </si>
  <si>
    <t>HyndburnARGN2Bd</t>
  </si>
  <si>
    <t>HyndburnARGN3Bd</t>
  </si>
  <si>
    <t>HyndburnARGN4Bd</t>
  </si>
  <si>
    <t>HyndburnARGN5Bd</t>
  </si>
  <si>
    <t>HyndburnARGN6Bd</t>
  </si>
  <si>
    <t>HyndburnARGNBdst</t>
  </si>
  <si>
    <t>HyndburnARGNNSC</t>
  </si>
  <si>
    <t>HyndburnARGNTotal</t>
  </si>
  <si>
    <t>HyndburnARGNSC</t>
  </si>
  <si>
    <t>HyndburnARSHHOP1Bd</t>
  </si>
  <si>
    <t>HyndburnARSHHOP2Bd</t>
  </si>
  <si>
    <t>HyndburnARSHHOP3Bd</t>
  </si>
  <si>
    <t>HyndburnARSHHOP4Bd</t>
  </si>
  <si>
    <t>HyndburnARSHHOPBdst</t>
  </si>
  <si>
    <t>HyndburnARSHHOPNSC</t>
  </si>
  <si>
    <t>HyndburnARSHHOPSC</t>
  </si>
  <si>
    <t>HyndburnARSHHOPTotal</t>
  </si>
  <si>
    <t>HyndburnGN1Bd</t>
  </si>
  <si>
    <t>HyndburnGN2Bd</t>
  </si>
  <si>
    <t>HyndburnGN3Bd</t>
  </si>
  <si>
    <t>HyndburnGN4Bd</t>
  </si>
  <si>
    <t>HyndburnGN5Bd</t>
  </si>
  <si>
    <t>HyndburnGN6Bd</t>
  </si>
  <si>
    <t>HyndburnGNBdst</t>
  </si>
  <si>
    <t>HyndburnGNNSC</t>
  </si>
  <si>
    <t>HyndburnGNTotal</t>
  </si>
  <si>
    <t>HyndburnGNSC</t>
  </si>
  <si>
    <t>HyndburnGNAGGSC</t>
  </si>
  <si>
    <t>HyndburnGNAGGNSC</t>
  </si>
  <si>
    <t>HyndburnLCHO</t>
  </si>
  <si>
    <t>HyndburnSHHOP1Bd</t>
  </si>
  <si>
    <t>HyndburnSHHOP2Bd</t>
  </si>
  <si>
    <t>HyndburnSHHOP3Bd</t>
  </si>
  <si>
    <t>HyndburnSHHOP4Bd</t>
  </si>
  <si>
    <t>HyndburnSHHOPBdst</t>
  </si>
  <si>
    <t>HyndburnSHHOPNSC</t>
  </si>
  <si>
    <t>HyndburnSHHOPTotal</t>
  </si>
  <si>
    <t>HyndburnSHHOPSC</t>
  </si>
  <si>
    <t>HyndburnSHHOPAGGNA</t>
  </si>
  <si>
    <t>E07000121</t>
  </si>
  <si>
    <t>Lancaster</t>
  </si>
  <si>
    <t>LancasterARGN1Bd</t>
  </si>
  <si>
    <t>LancasterARGN2Bd</t>
  </si>
  <si>
    <t>LancasterARGN3Bd</t>
  </si>
  <si>
    <t>LancasterARGN4Bd</t>
  </si>
  <si>
    <t>LancasterARGN5Bd</t>
  </si>
  <si>
    <t>LancasterARGN6Bd</t>
  </si>
  <si>
    <t>LancasterARGNBdst</t>
  </si>
  <si>
    <t>LancasterARGNNSC</t>
  </si>
  <si>
    <t>LancasterARGNTotal</t>
  </si>
  <si>
    <t>LancasterARGNSC</t>
  </si>
  <si>
    <t>LancasterARSHHOP1Bd</t>
  </si>
  <si>
    <t>LancasterARSHHOP2Bd</t>
  </si>
  <si>
    <t>LancasterARSHHOP3Bd</t>
  </si>
  <si>
    <t>LancasterARSHHOP4Bd</t>
  </si>
  <si>
    <t>LancasterARSHHOPBdst</t>
  </si>
  <si>
    <t>LancasterARSHHOPNSC</t>
  </si>
  <si>
    <t>LancasterARSHHOPSC</t>
  </si>
  <si>
    <t>LancasterARSHHOPTotal</t>
  </si>
  <si>
    <t>LancasterGN1Bd</t>
  </si>
  <si>
    <t>LancasterGN2Bd</t>
  </si>
  <si>
    <t>LancasterGN3Bd</t>
  </si>
  <si>
    <t>LancasterGN4Bd</t>
  </si>
  <si>
    <t>LancasterGN5Bd</t>
  </si>
  <si>
    <t>LancasterGN6Bd</t>
  </si>
  <si>
    <t>LancasterGNBdst</t>
  </si>
  <si>
    <t>LancasterGNNSC</t>
  </si>
  <si>
    <t>LancasterGNTotal</t>
  </si>
  <si>
    <t>LancasterGNSC</t>
  </si>
  <si>
    <t>LancasterGNAGGSC</t>
  </si>
  <si>
    <t>LancasterGNAGGNSC</t>
  </si>
  <si>
    <t>LancasterLCHO</t>
  </si>
  <si>
    <t>LancasterSHHOP1Bd</t>
  </si>
  <si>
    <t>LancasterSHHOP2Bd</t>
  </si>
  <si>
    <t>LancasterSHHOP3Bd</t>
  </si>
  <si>
    <t>LancasterSHHOP4Bd</t>
  </si>
  <si>
    <t>LancasterSHHOPBdst</t>
  </si>
  <si>
    <t>LancasterSHHOPNSC</t>
  </si>
  <si>
    <t>LancasterSHHOPTotal</t>
  </si>
  <si>
    <t>LancasterSHHOPSC</t>
  </si>
  <si>
    <t>LancasterSHHOPAGGNA</t>
  </si>
  <si>
    <t>E07000122</t>
  </si>
  <si>
    <t>Pendle</t>
  </si>
  <si>
    <t>PendleARGN1Bd</t>
  </si>
  <si>
    <t>PendleARGN2Bd</t>
  </si>
  <si>
    <t>PendleARGN3Bd</t>
  </si>
  <si>
    <t>PendleARGN4Bd</t>
  </si>
  <si>
    <t>PendleARGN5Bd</t>
  </si>
  <si>
    <t>PendleARGN6Bd</t>
  </si>
  <si>
    <t>PendleARGNBdst</t>
  </si>
  <si>
    <t>PendleARGNNSC</t>
  </si>
  <si>
    <t>PendleARGNTotal</t>
  </si>
  <si>
    <t>PendleARGNSC</t>
  </si>
  <si>
    <t>PendleARSHHOP1Bd</t>
  </si>
  <si>
    <t>PendleARSHHOP2Bd</t>
  </si>
  <si>
    <t>PendleARSHHOP3Bd</t>
  </si>
  <si>
    <t>PendleARSHHOP4Bd</t>
  </si>
  <si>
    <t>PendleARSHHOPBdst</t>
  </si>
  <si>
    <t>PendleARSHHOPNSC</t>
  </si>
  <si>
    <t>PendleARSHHOPSC</t>
  </si>
  <si>
    <t>PendleARSHHOPTotal</t>
  </si>
  <si>
    <t>PendleGN1Bd</t>
  </si>
  <si>
    <t>PendleGN2Bd</t>
  </si>
  <si>
    <t>PendleGN3Bd</t>
  </si>
  <si>
    <t>PendleGN4Bd</t>
  </si>
  <si>
    <t>PendleGN5Bd</t>
  </si>
  <si>
    <t>PendleGN6Bd</t>
  </si>
  <si>
    <t>PendleGNBdst</t>
  </si>
  <si>
    <t>PendleGNNSC</t>
  </si>
  <si>
    <t>PendleGNTotal</t>
  </si>
  <si>
    <t>PendleGNSC</t>
  </si>
  <si>
    <t>PendleGNAGGSC</t>
  </si>
  <si>
    <t>PendleGNAGGNSC</t>
  </si>
  <si>
    <t>PendleLCHO</t>
  </si>
  <si>
    <t>PendleSHHOP1Bd</t>
  </si>
  <si>
    <t>PendleSHHOP2Bd</t>
  </si>
  <si>
    <t>PendleSHHOP3Bd</t>
  </si>
  <si>
    <t>PendleSHHOP4Bd</t>
  </si>
  <si>
    <t>PendleSHHOPBdst</t>
  </si>
  <si>
    <t>PendleSHHOPNSC</t>
  </si>
  <si>
    <t>PendleSHHOPTotal</t>
  </si>
  <si>
    <t>PendleSHHOPSC</t>
  </si>
  <si>
    <t>PendleSHHOPAGGNA</t>
  </si>
  <si>
    <t>E07000123</t>
  </si>
  <si>
    <t>Preston</t>
  </si>
  <si>
    <t>PrestonARGN1Bd</t>
  </si>
  <si>
    <t>PrestonARGN2Bd</t>
  </si>
  <si>
    <t>PrestonARGN3Bd</t>
  </si>
  <si>
    <t>PrestonARGN4Bd</t>
  </si>
  <si>
    <t>PrestonARGN5Bd</t>
  </si>
  <si>
    <t>PrestonARGN6Bd</t>
  </si>
  <si>
    <t>PrestonARGNBdst</t>
  </si>
  <si>
    <t>PrestonARGNNSC</t>
  </si>
  <si>
    <t>PrestonARGNTotal</t>
  </si>
  <si>
    <t>PrestonARGNSC</t>
  </si>
  <si>
    <t>PrestonARSHHOP1Bd</t>
  </si>
  <si>
    <t>PrestonARSHHOP2Bd</t>
  </si>
  <si>
    <t>PrestonARSHHOP3Bd</t>
  </si>
  <si>
    <t>PrestonARSHHOP4Bd</t>
  </si>
  <si>
    <t>PrestonARSHHOPBdst</t>
  </si>
  <si>
    <t>PrestonARSHHOPNSC</t>
  </si>
  <si>
    <t>PrestonARSHHOPSC</t>
  </si>
  <si>
    <t>PrestonARSHHOPTotal</t>
  </si>
  <si>
    <t>PrestonGN1Bd</t>
  </si>
  <si>
    <t>PrestonGN2Bd</t>
  </si>
  <si>
    <t>PrestonGN3Bd</t>
  </si>
  <si>
    <t>PrestonGN4Bd</t>
  </si>
  <si>
    <t>PrestonGN5Bd</t>
  </si>
  <si>
    <t>PrestonGN6Bd</t>
  </si>
  <si>
    <t>PrestonGNBdst</t>
  </si>
  <si>
    <t>PrestonGNNSC</t>
  </si>
  <si>
    <t>PrestonGNTotal</t>
  </si>
  <si>
    <t>PrestonGNSC</t>
  </si>
  <si>
    <t>PrestonGNAGGSC</t>
  </si>
  <si>
    <t>PrestonGNAGGNSC</t>
  </si>
  <si>
    <t>PrestonLCHO</t>
  </si>
  <si>
    <t>PrestonSHHOP1Bd</t>
  </si>
  <si>
    <t>PrestonSHHOP2Bd</t>
  </si>
  <si>
    <t>PrestonSHHOP3Bd</t>
  </si>
  <si>
    <t>PrestonSHHOP4Bd</t>
  </si>
  <si>
    <t>PrestonSHHOPBdst</t>
  </si>
  <si>
    <t>PrestonSHHOPNSC</t>
  </si>
  <si>
    <t>PrestonSHHOPTotal</t>
  </si>
  <si>
    <t>PrestonSHHOPSC</t>
  </si>
  <si>
    <t>PrestonSHHOPAGGNA</t>
  </si>
  <si>
    <t>E07000124</t>
  </si>
  <si>
    <t>Ribble Valley</t>
  </si>
  <si>
    <t>Ribble ValleyARGN1Bd</t>
  </si>
  <si>
    <t>Ribble ValleyARGN2Bd</t>
  </si>
  <si>
    <t>Ribble ValleyARGN3Bd</t>
  </si>
  <si>
    <t>Ribble ValleyARGN4Bd</t>
  </si>
  <si>
    <t>Ribble ValleyARGN5Bd</t>
  </si>
  <si>
    <t>Ribble ValleyARGN6Bd</t>
  </si>
  <si>
    <t>Ribble ValleyARGNBdst</t>
  </si>
  <si>
    <t>Ribble ValleyARGNNSC</t>
  </si>
  <si>
    <t>Ribble ValleyARGNTotal</t>
  </si>
  <si>
    <t>Ribble ValleyARGNSC</t>
  </si>
  <si>
    <t>Ribble ValleyARSHHOP1Bd</t>
  </si>
  <si>
    <t>Ribble ValleyARSHHOP2Bd</t>
  </si>
  <si>
    <t>Ribble ValleyARSHHOP3Bd</t>
  </si>
  <si>
    <t>Ribble ValleyARSHHOP4Bd</t>
  </si>
  <si>
    <t>Ribble ValleyARSHHOPBdst</t>
  </si>
  <si>
    <t>Ribble ValleyARSHHOPNSC</t>
  </si>
  <si>
    <t>Ribble ValleyARSHHOPSC</t>
  </si>
  <si>
    <t>Ribble ValleyARSHHOPTotal</t>
  </si>
  <si>
    <t>Ribble ValleyGN1Bd</t>
  </si>
  <si>
    <t>Ribble ValleyGN2Bd</t>
  </si>
  <si>
    <t>Ribble ValleyGN3Bd</t>
  </si>
  <si>
    <t>Ribble ValleyGN4Bd</t>
  </si>
  <si>
    <t>Ribble ValleyGN5Bd</t>
  </si>
  <si>
    <t>Ribble ValleyGN6Bd</t>
  </si>
  <si>
    <t>Ribble ValleyGNBdst</t>
  </si>
  <si>
    <t>Ribble ValleyGNNSC</t>
  </si>
  <si>
    <t>Ribble ValleyGNTotal</t>
  </si>
  <si>
    <t>Ribble ValleyGNSC</t>
  </si>
  <si>
    <t>Ribble ValleyGNAGGSC</t>
  </si>
  <si>
    <t>Ribble ValleyGNAGGNSC</t>
  </si>
  <si>
    <t>Ribble ValleyLCHO</t>
  </si>
  <si>
    <t>Ribble ValleySHHOP1Bd</t>
  </si>
  <si>
    <t>Ribble ValleySHHOP2Bd</t>
  </si>
  <si>
    <t>Ribble ValleySHHOP3Bd</t>
  </si>
  <si>
    <t>Ribble ValleySHHOP4Bd</t>
  </si>
  <si>
    <t>Ribble ValleySHHOPBdst</t>
  </si>
  <si>
    <t>Ribble ValleySHHOPNSC</t>
  </si>
  <si>
    <t>Ribble ValleySHHOPTotal</t>
  </si>
  <si>
    <t>Ribble ValleySHHOPSC</t>
  </si>
  <si>
    <t>Ribble ValleySHHOPAGGNA</t>
  </si>
  <si>
    <t>E07000125</t>
  </si>
  <si>
    <t>Rossendale</t>
  </si>
  <si>
    <t>RossendaleARGN1Bd</t>
  </si>
  <si>
    <t>RossendaleARGN2Bd</t>
  </si>
  <si>
    <t>RossendaleARGN3Bd</t>
  </si>
  <si>
    <t>RossendaleARGN4Bd</t>
  </si>
  <si>
    <t>RossendaleARGN5Bd</t>
  </si>
  <si>
    <t>RossendaleARGN6Bd</t>
  </si>
  <si>
    <t>RossendaleARGNBdst</t>
  </si>
  <si>
    <t>RossendaleARGNNSC</t>
  </si>
  <si>
    <t>RossendaleARGNTotal</t>
  </si>
  <si>
    <t>RossendaleARGNSC</t>
  </si>
  <si>
    <t>RossendaleARSHHOP1Bd</t>
  </si>
  <si>
    <t>RossendaleARSHHOP2Bd</t>
  </si>
  <si>
    <t>RossendaleARSHHOP3Bd</t>
  </si>
  <si>
    <t>RossendaleARSHHOP4Bd</t>
  </si>
  <si>
    <t>RossendaleARSHHOPBdst</t>
  </si>
  <si>
    <t>RossendaleARSHHOPNSC</t>
  </si>
  <si>
    <t>RossendaleARSHHOPSC</t>
  </si>
  <si>
    <t>RossendaleARSHHOPTotal</t>
  </si>
  <si>
    <t>RossendaleGN1Bd</t>
  </si>
  <si>
    <t>RossendaleGN2Bd</t>
  </si>
  <si>
    <t>RossendaleGN3Bd</t>
  </si>
  <si>
    <t>RossendaleGN4Bd</t>
  </si>
  <si>
    <t>RossendaleGN5Bd</t>
  </si>
  <si>
    <t>RossendaleGN6Bd</t>
  </si>
  <si>
    <t>RossendaleGNBdst</t>
  </si>
  <si>
    <t>RossendaleGNNSC</t>
  </si>
  <si>
    <t>RossendaleGNTotal</t>
  </si>
  <si>
    <t>RossendaleGNSC</t>
  </si>
  <si>
    <t>RossendaleGNAGGSC</t>
  </si>
  <si>
    <t>RossendaleGNAGGNSC</t>
  </si>
  <si>
    <t>RossendaleLCHO</t>
  </si>
  <si>
    <t>RossendaleSHHOP1Bd</t>
  </si>
  <si>
    <t>RossendaleSHHOP2Bd</t>
  </si>
  <si>
    <t>RossendaleSHHOP3Bd</t>
  </si>
  <si>
    <t>RossendaleSHHOP4Bd</t>
  </si>
  <si>
    <t>RossendaleSHHOPBdst</t>
  </si>
  <si>
    <t>RossendaleSHHOPNSC</t>
  </si>
  <si>
    <t>RossendaleSHHOPTotal</t>
  </si>
  <si>
    <t>RossendaleSHHOPSC</t>
  </si>
  <si>
    <t>RossendaleSHHOPAGGNA</t>
  </si>
  <si>
    <t>E07000126</t>
  </si>
  <si>
    <t>South Ribble</t>
  </si>
  <si>
    <t>South RibbleARGN1Bd</t>
  </si>
  <si>
    <t>South RibbleARGN2Bd</t>
  </si>
  <si>
    <t>South RibbleARGN3Bd</t>
  </si>
  <si>
    <t>South RibbleARGN4Bd</t>
  </si>
  <si>
    <t>South RibbleARGN5Bd</t>
  </si>
  <si>
    <t>South RibbleARGN6Bd</t>
  </si>
  <si>
    <t>South RibbleARGNBdst</t>
  </si>
  <si>
    <t>South RibbleARGNNSC</t>
  </si>
  <si>
    <t>South RibbleARGNTotal</t>
  </si>
  <si>
    <t>South RibbleARGNSC</t>
  </si>
  <si>
    <t>South RibbleARSHHOP1Bd</t>
  </si>
  <si>
    <t>South RibbleARSHHOP2Bd</t>
  </si>
  <si>
    <t>South RibbleARSHHOP3Bd</t>
  </si>
  <si>
    <t>South RibbleARSHHOP4Bd</t>
  </si>
  <si>
    <t>South RibbleARSHHOPBdst</t>
  </si>
  <si>
    <t>South RibbleARSHHOPNSC</t>
  </si>
  <si>
    <t>South RibbleARSHHOPSC</t>
  </si>
  <si>
    <t>South RibbleARSHHOPTotal</t>
  </si>
  <si>
    <t>South RibbleGN1Bd</t>
  </si>
  <si>
    <t>South RibbleGN2Bd</t>
  </si>
  <si>
    <t>South RibbleGN3Bd</t>
  </si>
  <si>
    <t>South RibbleGN4Bd</t>
  </si>
  <si>
    <t>South RibbleGN5Bd</t>
  </si>
  <si>
    <t>South RibbleGN6Bd</t>
  </si>
  <si>
    <t>South RibbleGNBdst</t>
  </si>
  <si>
    <t>South RibbleGNNSC</t>
  </si>
  <si>
    <t>South RibbleGNTotal</t>
  </si>
  <si>
    <t>South RibbleGNSC</t>
  </si>
  <si>
    <t>South RibbleGNAGGSC</t>
  </si>
  <si>
    <t>South RibbleGNAGGNSC</t>
  </si>
  <si>
    <t>South RibbleLCHO</t>
  </si>
  <si>
    <t>South RibbleSHHOP1Bd</t>
  </si>
  <si>
    <t>South RibbleSHHOP2Bd</t>
  </si>
  <si>
    <t>South RibbleSHHOP3Bd</t>
  </si>
  <si>
    <t>South RibbleSHHOP4Bd</t>
  </si>
  <si>
    <t>South RibbleSHHOPBdst</t>
  </si>
  <si>
    <t>South RibbleSHHOPNSC</t>
  </si>
  <si>
    <t>South RibbleSHHOPTotal</t>
  </si>
  <si>
    <t>South RibbleSHHOPSC</t>
  </si>
  <si>
    <t>South RibbleSHHOPAGGNA</t>
  </si>
  <si>
    <t>E07000127</t>
  </si>
  <si>
    <t>West LancashireARGN1Bd</t>
  </si>
  <si>
    <t>West LancashireARGN2Bd</t>
  </si>
  <si>
    <t>West LancashireARGN3Bd</t>
  </si>
  <si>
    <t>West LancashireARGN4Bd</t>
  </si>
  <si>
    <t>West LancashireARGN5Bd</t>
  </si>
  <si>
    <t>West LancashireARGN6Bd</t>
  </si>
  <si>
    <t>West LancashireARGNBdst</t>
  </si>
  <si>
    <t>West LancashireARGNNSC</t>
  </si>
  <si>
    <t>West LancashireARGNTotal</t>
  </si>
  <si>
    <t>West LancashireARGNSC</t>
  </si>
  <si>
    <t>West LancashireARSHHOP1Bd</t>
  </si>
  <si>
    <t>West LancashireARSHHOP2Bd</t>
  </si>
  <si>
    <t>West LancashireARSHHOP3Bd</t>
  </si>
  <si>
    <t>West LancashireARSHHOP4Bd</t>
  </si>
  <si>
    <t>West LancashireARSHHOPBdst</t>
  </si>
  <si>
    <t>West LancashireARSHHOPNSC</t>
  </si>
  <si>
    <t>West LancashireARSHHOPSC</t>
  </si>
  <si>
    <t>West LancashireARSHHOPTotal</t>
  </si>
  <si>
    <t>West LancashireGN1Bd</t>
  </si>
  <si>
    <t>West LancashireGN2Bd</t>
  </si>
  <si>
    <t>West LancashireGN3Bd</t>
  </si>
  <si>
    <t>West LancashireGN4Bd</t>
  </si>
  <si>
    <t>West LancashireGN5Bd</t>
  </si>
  <si>
    <t>West LancashireGN6Bd</t>
  </si>
  <si>
    <t>West LancashireGNBdst</t>
  </si>
  <si>
    <t>West LancashireGNNSC</t>
  </si>
  <si>
    <t>West LancashireGNTotal</t>
  </si>
  <si>
    <t>West LancashireGNSC</t>
  </si>
  <si>
    <t>West LancashireGNAGGSC</t>
  </si>
  <si>
    <t>West LancashireGNAGGNSC</t>
  </si>
  <si>
    <t>West LancashireLCHO</t>
  </si>
  <si>
    <t>West LancashireSHHOP1Bd</t>
  </si>
  <si>
    <t>West LancashireSHHOP2Bd</t>
  </si>
  <si>
    <t>West LancashireSHHOP3Bd</t>
  </si>
  <si>
    <t>West LancashireSHHOP4Bd</t>
  </si>
  <si>
    <t>West LancashireSHHOPBdst</t>
  </si>
  <si>
    <t>West LancashireSHHOPNSC</t>
  </si>
  <si>
    <t>West LancashireSHHOPTotal</t>
  </si>
  <si>
    <t>West LancashireSHHOPSC</t>
  </si>
  <si>
    <t>West LancashireSHHOPAGGNA</t>
  </si>
  <si>
    <t>E07000128</t>
  </si>
  <si>
    <t>WyreARGN1Bd</t>
  </si>
  <si>
    <t>WyreARGN2Bd</t>
  </si>
  <si>
    <t>WyreARGN3Bd</t>
  </si>
  <si>
    <t>WyreARGN4Bd</t>
  </si>
  <si>
    <t>WyreARGN5Bd</t>
  </si>
  <si>
    <t>WyreARGN6Bd</t>
  </si>
  <si>
    <t>WyreARGNBdst</t>
  </si>
  <si>
    <t>WyreARGNNSC</t>
  </si>
  <si>
    <t>WyreARGNTotal</t>
  </si>
  <si>
    <t>WyreARGNSC</t>
  </si>
  <si>
    <t>WyreARSHHOP1Bd</t>
  </si>
  <si>
    <t>WyreARSHHOP2Bd</t>
  </si>
  <si>
    <t>WyreARSHHOP3Bd</t>
  </si>
  <si>
    <t>WyreARSHHOP4Bd</t>
  </si>
  <si>
    <t>WyreARSHHOPBdst</t>
  </si>
  <si>
    <t>WyreARSHHOPNSC</t>
  </si>
  <si>
    <t>WyreARSHHOPSC</t>
  </si>
  <si>
    <t>WyreARSHHOPTotal</t>
  </si>
  <si>
    <t>WyreGN1Bd</t>
  </si>
  <si>
    <t>WyreGN2Bd</t>
  </si>
  <si>
    <t>WyreGN3Bd</t>
  </si>
  <si>
    <t>WyreGN4Bd</t>
  </si>
  <si>
    <t>WyreGN5Bd</t>
  </si>
  <si>
    <t>WyreGN6Bd</t>
  </si>
  <si>
    <t>WyreGNBdst</t>
  </si>
  <si>
    <t>WyreGNNSC</t>
  </si>
  <si>
    <t>WyreGNTotal</t>
  </si>
  <si>
    <t>WyreGNSC</t>
  </si>
  <si>
    <t>WyreGNAGGSC</t>
  </si>
  <si>
    <t>WyreGNAGGNSC</t>
  </si>
  <si>
    <t>WyreLCHO</t>
  </si>
  <si>
    <t>WyreSHHOP1Bd</t>
  </si>
  <si>
    <t>WyreSHHOP2Bd</t>
  </si>
  <si>
    <t>WyreSHHOP3Bd</t>
  </si>
  <si>
    <t>WyreSHHOP4Bd</t>
  </si>
  <si>
    <t>WyreSHHOPBdst</t>
  </si>
  <si>
    <t>WyreSHHOPNSC</t>
  </si>
  <si>
    <t>WyreSHHOPTotal</t>
  </si>
  <si>
    <t>WyreSHHOPSC</t>
  </si>
  <si>
    <t>WyreSHHOPAGGNA</t>
  </si>
  <si>
    <t>E07000129</t>
  </si>
  <si>
    <t>Blaby</t>
  </si>
  <si>
    <t>BlabyARGN1Bd</t>
  </si>
  <si>
    <t>BlabyARGN2Bd</t>
  </si>
  <si>
    <t>BlabyARGN3Bd</t>
  </si>
  <si>
    <t>BlabyARGN4Bd</t>
  </si>
  <si>
    <t>BlabyARGN5Bd</t>
  </si>
  <si>
    <t>BlabyARGN6Bd</t>
  </si>
  <si>
    <t>BlabyARGNBdst</t>
  </si>
  <si>
    <t>BlabyARGNNSC</t>
  </si>
  <si>
    <t>BlabyARGNTotal</t>
  </si>
  <si>
    <t>BlabyARGNSC</t>
  </si>
  <si>
    <t>BlabyARSHHOP1Bd</t>
  </si>
  <si>
    <t>BlabyARSHHOP2Bd</t>
  </si>
  <si>
    <t>BlabyARSHHOP3Bd</t>
  </si>
  <si>
    <t>BlabyARSHHOP4Bd</t>
  </si>
  <si>
    <t>BlabyARSHHOPBdst</t>
  </si>
  <si>
    <t>BlabyARSHHOPNSC</t>
  </si>
  <si>
    <t>BlabyARSHHOPSC</t>
  </si>
  <si>
    <t>BlabyARSHHOPTotal</t>
  </si>
  <si>
    <t>BlabyGN1Bd</t>
  </si>
  <si>
    <t>BlabyGN2Bd</t>
  </si>
  <si>
    <t>BlabyGN3Bd</t>
  </si>
  <si>
    <t>BlabyGN4Bd</t>
  </si>
  <si>
    <t>BlabyGN5Bd</t>
  </si>
  <si>
    <t>BlabyGN6Bd</t>
  </si>
  <si>
    <t>BlabyGNBdst</t>
  </si>
  <si>
    <t>BlabyGNNSC</t>
  </si>
  <si>
    <t>BlabyGNTotal</t>
  </si>
  <si>
    <t>BlabyGNSC</t>
  </si>
  <si>
    <t>BlabyGNAGGSC</t>
  </si>
  <si>
    <t>BlabyGNAGGNSC</t>
  </si>
  <si>
    <t>BlabyLCHO</t>
  </si>
  <si>
    <t>BlabySHHOP1Bd</t>
  </si>
  <si>
    <t>BlabySHHOP2Bd</t>
  </si>
  <si>
    <t>BlabySHHOP3Bd</t>
  </si>
  <si>
    <t>BlabySHHOP4Bd</t>
  </si>
  <si>
    <t>BlabySHHOPBdst</t>
  </si>
  <si>
    <t>BlabySHHOPNSC</t>
  </si>
  <si>
    <t>BlabySHHOPTotal</t>
  </si>
  <si>
    <t>BlabySHHOPSC</t>
  </si>
  <si>
    <t>BlabySHHOPAGGNA</t>
  </si>
  <si>
    <t>E07000130</t>
  </si>
  <si>
    <t>Charnwood</t>
  </si>
  <si>
    <t>CharnwoodARGN1Bd</t>
  </si>
  <si>
    <t>CharnwoodARGN2Bd</t>
  </si>
  <si>
    <t>CharnwoodARGN3Bd</t>
  </si>
  <si>
    <t>CharnwoodARGN4Bd</t>
  </si>
  <si>
    <t>CharnwoodARGN5Bd</t>
  </si>
  <si>
    <t>CharnwoodARGN6Bd</t>
  </si>
  <si>
    <t>CharnwoodARGNBdst</t>
  </si>
  <si>
    <t>CharnwoodARGNNSC</t>
  </si>
  <si>
    <t>CharnwoodARGNTotal</t>
  </si>
  <si>
    <t>CharnwoodARGNSC</t>
  </si>
  <si>
    <t>CharnwoodARSHHOP1Bd</t>
  </si>
  <si>
    <t>CharnwoodARSHHOP2Bd</t>
  </si>
  <si>
    <t>CharnwoodARSHHOP3Bd</t>
  </si>
  <si>
    <t>CharnwoodARSHHOP4Bd</t>
  </si>
  <si>
    <t>CharnwoodARSHHOPBdst</t>
  </si>
  <si>
    <t>CharnwoodARSHHOPNSC</t>
  </si>
  <si>
    <t>CharnwoodARSHHOPSC</t>
  </si>
  <si>
    <t>CharnwoodARSHHOPTotal</t>
  </si>
  <si>
    <t>CharnwoodGN1Bd</t>
  </si>
  <si>
    <t>CharnwoodGN2Bd</t>
  </si>
  <si>
    <t>CharnwoodGN3Bd</t>
  </si>
  <si>
    <t>CharnwoodGN4Bd</t>
  </si>
  <si>
    <t>CharnwoodGN5Bd</t>
  </si>
  <si>
    <t>CharnwoodGN6Bd</t>
  </si>
  <si>
    <t>CharnwoodGNBdst</t>
  </si>
  <si>
    <t>CharnwoodGNNSC</t>
  </si>
  <si>
    <t>CharnwoodGNTotal</t>
  </si>
  <si>
    <t>CharnwoodGNSC</t>
  </si>
  <si>
    <t>CharnwoodGNAGGSC</t>
  </si>
  <si>
    <t>CharnwoodGNAGGNSC</t>
  </si>
  <si>
    <t>CharnwoodLCHO</t>
  </si>
  <si>
    <t>CharnwoodSHHOP1Bd</t>
  </si>
  <si>
    <t>CharnwoodSHHOP2Bd</t>
  </si>
  <si>
    <t>CharnwoodSHHOP3Bd</t>
  </si>
  <si>
    <t>CharnwoodSHHOP4Bd</t>
  </si>
  <si>
    <t>CharnwoodSHHOPBdst</t>
  </si>
  <si>
    <t>CharnwoodSHHOPNSC</t>
  </si>
  <si>
    <t>CharnwoodSHHOPTotal</t>
  </si>
  <si>
    <t>CharnwoodSHHOPSC</t>
  </si>
  <si>
    <t>CharnwoodSHHOPAGGNA</t>
  </si>
  <si>
    <t>E07000131</t>
  </si>
  <si>
    <t>Harborough</t>
  </si>
  <si>
    <t>HarboroughARGN1Bd</t>
  </si>
  <si>
    <t>HarboroughARGN2Bd</t>
  </si>
  <si>
    <t>HarboroughARGN3Bd</t>
  </si>
  <si>
    <t>HarboroughARGN4Bd</t>
  </si>
  <si>
    <t>HarboroughARGN5Bd</t>
  </si>
  <si>
    <t>HarboroughARGN6Bd</t>
  </si>
  <si>
    <t>HarboroughARGNBdst</t>
  </si>
  <si>
    <t>HarboroughARGNNSC</t>
  </si>
  <si>
    <t>HarboroughARGNTotal</t>
  </si>
  <si>
    <t>HarboroughARGNSC</t>
  </si>
  <si>
    <t>HarboroughARSHHOP1Bd</t>
  </si>
  <si>
    <t>HarboroughARSHHOP2Bd</t>
  </si>
  <si>
    <t>HarboroughARSHHOP3Bd</t>
  </si>
  <si>
    <t>HarboroughARSHHOP4Bd</t>
  </si>
  <si>
    <t>HarboroughARSHHOPBdst</t>
  </si>
  <si>
    <t>HarboroughARSHHOPNSC</t>
  </si>
  <si>
    <t>HarboroughARSHHOPSC</t>
  </si>
  <si>
    <t>HarboroughARSHHOPTotal</t>
  </si>
  <si>
    <t>HarboroughGN1Bd</t>
  </si>
  <si>
    <t>HarboroughGN2Bd</t>
  </si>
  <si>
    <t>HarboroughGN3Bd</t>
  </si>
  <si>
    <t>HarboroughGN4Bd</t>
  </si>
  <si>
    <t>HarboroughGN5Bd</t>
  </si>
  <si>
    <t>HarboroughGN6Bd</t>
  </si>
  <si>
    <t>HarboroughGNBdst</t>
  </si>
  <si>
    <t>HarboroughGNNSC</t>
  </si>
  <si>
    <t>HarboroughGNTotal</t>
  </si>
  <si>
    <t>HarboroughGNSC</t>
  </si>
  <si>
    <t>HarboroughGNAGGSC</t>
  </si>
  <si>
    <t>HarboroughGNAGGNSC</t>
  </si>
  <si>
    <t>HarboroughLCHO</t>
  </si>
  <si>
    <t>HarboroughSHHOP1Bd</t>
  </si>
  <si>
    <t>HarboroughSHHOP2Bd</t>
  </si>
  <si>
    <t>HarboroughSHHOP3Bd</t>
  </si>
  <si>
    <t>HarboroughSHHOP4Bd</t>
  </si>
  <si>
    <t>HarboroughSHHOPBdst</t>
  </si>
  <si>
    <t>HarboroughSHHOPNSC</t>
  </si>
  <si>
    <t>HarboroughSHHOPTotal</t>
  </si>
  <si>
    <t>HarboroughSHHOPSC</t>
  </si>
  <si>
    <t>HarboroughSHHOPAGGNA</t>
  </si>
  <si>
    <t>E07000132</t>
  </si>
  <si>
    <t>Hinckley and Bosworth</t>
  </si>
  <si>
    <t>Hinckley and BosworthARGN1Bd</t>
  </si>
  <si>
    <t>Hinckley and BosworthARGN2Bd</t>
  </si>
  <si>
    <t>Hinckley and BosworthARGN3Bd</t>
  </si>
  <si>
    <t>Hinckley and BosworthARGN4Bd</t>
  </si>
  <si>
    <t>Hinckley and BosworthARGN5Bd</t>
  </si>
  <si>
    <t>Hinckley and BosworthARGN6Bd</t>
  </si>
  <si>
    <t>Hinckley and BosworthARGNBdst</t>
  </si>
  <si>
    <t>Hinckley and BosworthARGNNSC</t>
  </si>
  <si>
    <t>Hinckley and BosworthARGNTotal</t>
  </si>
  <si>
    <t>Hinckley and BosworthARGNSC</t>
  </si>
  <si>
    <t>Hinckley and BosworthARSHHOP1Bd</t>
  </si>
  <si>
    <t>Hinckley and BosworthARSHHOP2Bd</t>
  </si>
  <si>
    <t>Hinckley and BosworthARSHHOP3Bd</t>
  </si>
  <si>
    <t>Hinckley and BosworthARSHHOP4Bd</t>
  </si>
  <si>
    <t>Hinckley and BosworthARSHHOPBdst</t>
  </si>
  <si>
    <t>Hinckley and BosworthARSHHOPNSC</t>
  </si>
  <si>
    <t>Hinckley and BosworthARSHHOPSC</t>
  </si>
  <si>
    <t>Hinckley and BosworthARSHHOPTotal</t>
  </si>
  <si>
    <t>Hinckley and BosworthGN1Bd</t>
  </si>
  <si>
    <t>Hinckley and BosworthGN2Bd</t>
  </si>
  <si>
    <t>Hinckley and BosworthGN3Bd</t>
  </si>
  <si>
    <t>Hinckley and BosworthGN4Bd</t>
  </si>
  <si>
    <t>Hinckley and BosworthGN5Bd</t>
  </si>
  <si>
    <t>Hinckley and BosworthGN6Bd</t>
  </si>
  <si>
    <t>Hinckley and BosworthGNBdst</t>
  </si>
  <si>
    <t>Hinckley and BosworthGNNSC</t>
  </si>
  <si>
    <t>Hinckley and BosworthGNTotal</t>
  </si>
  <si>
    <t>Hinckley and BosworthGNSC</t>
  </si>
  <si>
    <t>Hinckley and BosworthGNAGGSC</t>
  </si>
  <si>
    <t>Hinckley and BosworthGNAGGNSC</t>
  </si>
  <si>
    <t>Hinckley and BosworthLCHO</t>
  </si>
  <si>
    <t>Hinckley and BosworthSHHOP1Bd</t>
  </si>
  <si>
    <t>Hinckley and BosworthSHHOP2Bd</t>
  </si>
  <si>
    <t>Hinckley and BosworthSHHOP3Bd</t>
  </si>
  <si>
    <t>Hinckley and BosworthSHHOP4Bd</t>
  </si>
  <si>
    <t>Hinckley and BosworthSHHOPBdst</t>
  </si>
  <si>
    <t>Hinckley and BosworthSHHOPNSC</t>
  </si>
  <si>
    <t>Hinckley and BosworthSHHOPTotal</t>
  </si>
  <si>
    <t>Hinckley and BosworthSHHOPSC</t>
  </si>
  <si>
    <t>Hinckley and BosworthSHHOPAGGNA</t>
  </si>
  <si>
    <t>E07000133</t>
  </si>
  <si>
    <t>Melton</t>
  </si>
  <si>
    <t>MeltonARGN1Bd</t>
  </si>
  <si>
    <t>MeltonARGN2Bd</t>
  </si>
  <si>
    <t>MeltonARGN3Bd</t>
  </si>
  <si>
    <t>MeltonARGN4Bd</t>
  </si>
  <si>
    <t>MeltonARGN5Bd</t>
  </si>
  <si>
    <t>MeltonARGN6Bd</t>
  </si>
  <si>
    <t>MeltonARGNBdst</t>
  </si>
  <si>
    <t>MeltonARGNNSC</t>
  </si>
  <si>
    <t>MeltonARGNTotal</t>
  </si>
  <si>
    <t>MeltonARGNSC</t>
  </si>
  <si>
    <t>MeltonARSHHOP1Bd</t>
  </si>
  <si>
    <t>MeltonARSHHOP2Bd</t>
  </si>
  <si>
    <t>MeltonARSHHOP3Bd</t>
  </si>
  <si>
    <t>MeltonARSHHOP4Bd</t>
  </si>
  <si>
    <t>MeltonARSHHOPBdst</t>
  </si>
  <si>
    <t>MeltonARSHHOPNSC</t>
  </si>
  <si>
    <t>MeltonARSHHOPSC</t>
  </si>
  <si>
    <t>MeltonARSHHOPTotal</t>
  </si>
  <si>
    <t>MeltonGN1Bd</t>
  </si>
  <si>
    <t>MeltonGN2Bd</t>
  </si>
  <si>
    <t>MeltonGN3Bd</t>
  </si>
  <si>
    <t>MeltonGN4Bd</t>
  </si>
  <si>
    <t>MeltonGN5Bd</t>
  </si>
  <si>
    <t>MeltonGN6Bd</t>
  </si>
  <si>
    <t>MeltonGNBdst</t>
  </si>
  <si>
    <t>MeltonGNNSC</t>
  </si>
  <si>
    <t>MeltonGNTotal</t>
  </si>
  <si>
    <t>MeltonGNSC</t>
  </si>
  <si>
    <t>MeltonGNAGGSC</t>
  </si>
  <si>
    <t>MeltonGNAGGNSC</t>
  </si>
  <si>
    <t>MeltonLCHO</t>
  </si>
  <si>
    <t>MeltonSHHOP1Bd</t>
  </si>
  <si>
    <t>MeltonSHHOP2Bd</t>
  </si>
  <si>
    <t>MeltonSHHOP3Bd</t>
  </si>
  <si>
    <t>MeltonSHHOP4Bd</t>
  </si>
  <si>
    <t>MeltonSHHOPBdst</t>
  </si>
  <si>
    <t>MeltonSHHOPNSC</t>
  </si>
  <si>
    <t>MeltonSHHOPTotal</t>
  </si>
  <si>
    <t>MeltonSHHOPSC</t>
  </si>
  <si>
    <t>MeltonSHHOPAGGNA</t>
  </si>
  <si>
    <t>E07000134</t>
  </si>
  <si>
    <t>North West Leicestershire</t>
  </si>
  <si>
    <t>North West LeicestershireARGN1Bd</t>
  </si>
  <si>
    <t>North West LeicestershireARGN2Bd</t>
  </si>
  <si>
    <t>North West LeicestershireARGN3Bd</t>
  </si>
  <si>
    <t>North West LeicestershireARGN4Bd</t>
  </si>
  <si>
    <t>North West LeicestershireARGN5Bd</t>
  </si>
  <si>
    <t>North West LeicestershireARGN6Bd</t>
  </si>
  <si>
    <t>North West LeicestershireARGNBdst</t>
  </si>
  <si>
    <t>North West LeicestershireARGNNSC</t>
  </si>
  <si>
    <t>North West LeicestershireARGNTotal</t>
  </si>
  <si>
    <t>North West LeicestershireARGNSC</t>
  </si>
  <si>
    <t>North West LeicestershireARSHHOP1Bd</t>
  </si>
  <si>
    <t>North West LeicestershireARSHHOP2Bd</t>
  </si>
  <si>
    <t>North West LeicestershireARSHHOP3Bd</t>
  </si>
  <si>
    <t>North West LeicestershireARSHHOP4Bd</t>
  </si>
  <si>
    <t>North West LeicestershireARSHHOPBdst</t>
  </si>
  <si>
    <t>North West LeicestershireARSHHOPNSC</t>
  </si>
  <si>
    <t>North West LeicestershireARSHHOPSC</t>
  </si>
  <si>
    <t>North West LeicestershireARSHHOPTotal</t>
  </si>
  <si>
    <t>North West LeicestershireGN1Bd</t>
  </si>
  <si>
    <t>North West LeicestershireGN2Bd</t>
  </si>
  <si>
    <t>North West LeicestershireGN3Bd</t>
  </si>
  <si>
    <t>North West LeicestershireGN4Bd</t>
  </si>
  <si>
    <t>North West LeicestershireGN5Bd</t>
  </si>
  <si>
    <t>North West LeicestershireGN6Bd</t>
  </si>
  <si>
    <t>North West LeicestershireGNBdst</t>
  </si>
  <si>
    <t>North West LeicestershireGNNSC</t>
  </si>
  <si>
    <t>North West LeicestershireGNTotal</t>
  </si>
  <si>
    <t>North West LeicestershireGNSC</t>
  </si>
  <si>
    <t>North West LeicestershireGNAGGSC</t>
  </si>
  <si>
    <t>North West LeicestershireGNAGGNSC</t>
  </si>
  <si>
    <t>North West LeicestershireLCHO</t>
  </si>
  <si>
    <t>North West LeicestershireSHHOP1Bd</t>
  </si>
  <si>
    <t>North West LeicestershireSHHOP2Bd</t>
  </si>
  <si>
    <t>North West LeicestershireSHHOP3Bd</t>
  </si>
  <si>
    <t>North West LeicestershireSHHOP4Bd</t>
  </si>
  <si>
    <t>North West LeicestershireSHHOPBdst</t>
  </si>
  <si>
    <t>North West LeicestershireSHHOPNSC</t>
  </si>
  <si>
    <t>North West LeicestershireSHHOPTotal</t>
  </si>
  <si>
    <t>North West LeicestershireSHHOPSC</t>
  </si>
  <si>
    <t>North West LeicestershireSHHOPAGGNA</t>
  </si>
  <si>
    <t>E07000135</t>
  </si>
  <si>
    <t>Oadby and Wigston</t>
  </si>
  <si>
    <t>Oadby and WigstonARGN1Bd</t>
  </si>
  <si>
    <t>Oadby and WigstonARGN2Bd</t>
  </si>
  <si>
    <t>Oadby and WigstonARGN3Bd</t>
  </si>
  <si>
    <t>Oadby and WigstonARGN4Bd</t>
  </si>
  <si>
    <t>Oadby and WigstonARGN5Bd</t>
  </si>
  <si>
    <t>Oadby and WigstonARGN6Bd</t>
  </si>
  <si>
    <t>Oadby and WigstonARGNBdst</t>
  </si>
  <si>
    <t>Oadby and WigstonARGNNSC</t>
  </si>
  <si>
    <t>Oadby and WigstonARGNTotal</t>
  </si>
  <si>
    <t>Oadby and WigstonARGNSC</t>
  </si>
  <si>
    <t>Oadby and WigstonARSHHOP1Bd</t>
  </si>
  <si>
    <t>Oadby and WigstonARSHHOP2Bd</t>
  </si>
  <si>
    <t>Oadby and WigstonARSHHOP3Bd</t>
  </si>
  <si>
    <t>Oadby and WigstonARSHHOP4Bd</t>
  </si>
  <si>
    <t>Oadby and WigstonARSHHOPBdst</t>
  </si>
  <si>
    <t>Oadby and WigstonARSHHOPNSC</t>
  </si>
  <si>
    <t>Oadby and WigstonARSHHOPSC</t>
  </si>
  <si>
    <t>Oadby and WigstonARSHHOPTotal</t>
  </si>
  <si>
    <t>Oadby and WigstonGN1Bd</t>
  </si>
  <si>
    <t>Oadby and WigstonGN2Bd</t>
  </si>
  <si>
    <t>Oadby and WigstonGN3Bd</t>
  </si>
  <si>
    <t>Oadby and WigstonGN4Bd</t>
  </si>
  <si>
    <t>Oadby and WigstonGN5Bd</t>
  </si>
  <si>
    <t>Oadby and WigstonGN6Bd</t>
  </si>
  <si>
    <t>Oadby and WigstonGNBdst</t>
  </si>
  <si>
    <t>Oadby and WigstonGNNSC</t>
  </si>
  <si>
    <t>Oadby and WigstonGNTotal</t>
  </si>
  <si>
    <t>Oadby and WigstonGNSC</t>
  </si>
  <si>
    <t>Oadby and WigstonGNAGGSC</t>
  </si>
  <si>
    <t>Oadby and WigstonGNAGGNSC</t>
  </si>
  <si>
    <t>Oadby and WigstonLCHO</t>
  </si>
  <si>
    <t>Oadby and WigstonSHHOP1Bd</t>
  </si>
  <si>
    <t>Oadby and WigstonSHHOP2Bd</t>
  </si>
  <si>
    <t>Oadby and WigstonSHHOP3Bd</t>
  </si>
  <si>
    <t>Oadby and WigstonSHHOP4Bd</t>
  </si>
  <si>
    <t>Oadby and WigstonSHHOPBdst</t>
  </si>
  <si>
    <t>Oadby and WigstonSHHOPNSC</t>
  </si>
  <si>
    <t>Oadby and WigstonSHHOPTotal</t>
  </si>
  <si>
    <t>Oadby and WigstonSHHOPSC</t>
  </si>
  <si>
    <t>Oadby and WigstonSHHOPAGGNA</t>
  </si>
  <si>
    <t>E07000136</t>
  </si>
  <si>
    <t>Boston</t>
  </si>
  <si>
    <t>BostonARGN1Bd</t>
  </si>
  <si>
    <t>BostonARGN2Bd</t>
  </si>
  <si>
    <t>BostonARGN3Bd</t>
  </si>
  <si>
    <t>BostonARGN4Bd</t>
  </si>
  <si>
    <t>BostonARGN5Bd</t>
  </si>
  <si>
    <t>BostonARGN6Bd</t>
  </si>
  <si>
    <t>BostonARGNBdst</t>
  </si>
  <si>
    <t>BostonARGNNSC</t>
  </si>
  <si>
    <t>BostonARGNTotal</t>
  </si>
  <si>
    <t>BostonARGNSC</t>
  </si>
  <si>
    <t>BostonARSHHOP1Bd</t>
  </si>
  <si>
    <t>BostonARSHHOP2Bd</t>
  </si>
  <si>
    <t>BostonARSHHOP3Bd</t>
  </si>
  <si>
    <t>BostonARSHHOP4Bd</t>
  </si>
  <si>
    <t>BostonARSHHOPBdst</t>
  </si>
  <si>
    <t>BostonARSHHOPNSC</t>
  </si>
  <si>
    <t>BostonARSHHOPSC</t>
  </si>
  <si>
    <t>BostonARSHHOPTotal</t>
  </si>
  <si>
    <t>BostonGN1Bd</t>
  </si>
  <si>
    <t>BostonGN2Bd</t>
  </si>
  <si>
    <t>BostonGN3Bd</t>
  </si>
  <si>
    <t>BostonGN4Bd</t>
  </si>
  <si>
    <t>BostonGN5Bd</t>
  </si>
  <si>
    <t>BostonGN6Bd</t>
  </si>
  <si>
    <t>BostonGNBdst</t>
  </si>
  <si>
    <t>BostonGNNSC</t>
  </si>
  <si>
    <t>BostonGNTotal</t>
  </si>
  <si>
    <t>BostonGNSC</t>
  </si>
  <si>
    <t>BostonGNAGGSC</t>
  </si>
  <si>
    <t>BostonGNAGGNSC</t>
  </si>
  <si>
    <t>BostonLCHO</t>
  </si>
  <si>
    <t>BostonSHHOP1Bd</t>
  </si>
  <si>
    <t>BostonSHHOP2Bd</t>
  </si>
  <si>
    <t>BostonSHHOP3Bd</t>
  </si>
  <si>
    <t>BostonSHHOP4Bd</t>
  </si>
  <si>
    <t>BostonSHHOPBdst</t>
  </si>
  <si>
    <t>BostonSHHOPNSC</t>
  </si>
  <si>
    <t>BostonSHHOPTotal</t>
  </si>
  <si>
    <t>BostonSHHOPSC</t>
  </si>
  <si>
    <t>BostonSHHOPAGGNA</t>
  </si>
  <si>
    <t>E07000137</t>
  </si>
  <si>
    <t>East Lindsey</t>
  </si>
  <si>
    <t>East LindseyARGN1Bd</t>
  </si>
  <si>
    <t>East LindseyARGN2Bd</t>
  </si>
  <si>
    <t>East LindseyARGN3Bd</t>
  </si>
  <si>
    <t>East LindseyARGN4Bd</t>
  </si>
  <si>
    <t>East LindseyARGN5Bd</t>
  </si>
  <si>
    <t>East LindseyARGN6Bd</t>
  </si>
  <si>
    <t>East LindseyARGNBdst</t>
  </si>
  <si>
    <t>East LindseyARGNNSC</t>
  </si>
  <si>
    <t>East LindseyARGNTotal</t>
  </si>
  <si>
    <t>East LindseyARGNSC</t>
  </si>
  <si>
    <t>East LindseyARSHHOP1Bd</t>
  </si>
  <si>
    <t>East LindseyARSHHOP2Bd</t>
  </si>
  <si>
    <t>East LindseyARSHHOP3Bd</t>
  </si>
  <si>
    <t>East LindseyARSHHOP4Bd</t>
  </si>
  <si>
    <t>East LindseyARSHHOPBdst</t>
  </si>
  <si>
    <t>East LindseyARSHHOPNSC</t>
  </si>
  <si>
    <t>East LindseyARSHHOPSC</t>
  </si>
  <si>
    <t>East LindseyARSHHOPTotal</t>
  </si>
  <si>
    <t>East LindseyGN1Bd</t>
  </si>
  <si>
    <t>East LindseyGN2Bd</t>
  </si>
  <si>
    <t>East LindseyGN3Bd</t>
  </si>
  <si>
    <t>East LindseyGN4Bd</t>
  </si>
  <si>
    <t>East LindseyGN5Bd</t>
  </si>
  <si>
    <t>East LindseyGN6Bd</t>
  </si>
  <si>
    <t>East LindseyGNBdst</t>
  </si>
  <si>
    <t>East LindseyGNNSC</t>
  </si>
  <si>
    <t>East LindseyGNTotal</t>
  </si>
  <si>
    <t>East LindseyGNSC</t>
  </si>
  <si>
    <t>East LindseyGNAGGSC</t>
  </si>
  <si>
    <t>East LindseyGNAGGNSC</t>
  </si>
  <si>
    <t>East LindseyLCHO</t>
  </si>
  <si>
    <t>East LindseySHHOP1Bd</t>
  </si>
  <si>
    <t>East LindseySHHOP2Bd</t>
  </si>
  <si>
    <t>East LindseySHHOP3Bd</t>
  </si>
  <si>
    <t>East LindseySHHOP4Bd</t>
  </si>
  <si>
    <t>East LindseySHHOPBdst</t>
  </si>
  <si>
    <t>East LindseySHHOPNSC</t>
  </si>
  <si>
    <t>East LindseySHHOPTotal</t>
  </si>
  <si>
    <t>East LindseySHHOPSC</t>
  </si>
  <si>
    <t>East LindseySHHOPAGGNA</t>
  </si>
  <si>
    <t>E07000138</t>
  </si>
  <si>
    <t>Lincoln</t>
  </si>
  <si>
    <t>LincolnARGN1Bd</t>
  </si>
  <si>
    <t>LincolnARGN2Bd</t>
  </si>
  <si>
    <t>LincolnARGN3Bd</t>
  </si>
  <si>
    <t>LincolnARGN4Bd</t>
  </si>
  <si>
    <t>LincolnARGN5Bd</t>
  </si>
  <si>
    <t>LincolnARGN6Bd</t>
  </si>
  <si>
    <t>LincolnARGNBdst</t>
  </si>
  <si>
    <t>LincolnARGNNSC</t>
  </si>
  <si>
    <t>LincolnARGNTotal</t>
  </si>
  <si>
    <t>LincolnARGNSC</t>
  </si>
  <si>
    <t>LincolnARSHHOP1Bd</t>
  </si>
  <si>
    <t>LincolnARSHHOP2Bd</t>
  </si>
  <si>
    <t>LincolnARSHHOP3Bd</t>
  </si>
  <si>
    <t>LincolnARSHHOP4Bd</t>
  </si>
  <si>
    <t>LincolnARSHHOPBdst</t>
  </si>
  <si>
    <t>LincolnARSHHOPNSC</t>
  </si>
  <si>
    <t>LincolnARSHHOPSC</t>
  </si>
  <si>
    <t>LincolnARSHHOPTotal</t>
  </si>
  <si>
    <t>LincolnGN1Bd</t>
  </si>
  <si>
    <t>LincolnGN2Bd</t>
  </si>
  <si>
    <t>LincolnGN3Bd</t>
  </si>
  <si>
    <t>LincolnGN4Bd</t>
  </si>
  <si>
    <t>LincolnGN5Bd</t>
  </si>
  <si>
    <t>LincolnGN6Bd</t>
  </si>
  <si>
    <t>LincolnGNBdst</t>
  </si>
  <si>
    <t>LincolnGNNSC</t>
  </si>
  <si>
    <t>LincolnGNTotal</t>
  </si>
  <si>
    <t>LincolnGNSC</t>
  </si>
  <si>
    <t>LincolnGNAGGSC</t>
  </si>
  <si>
    <t>LincolnGNAGGNSC</t>
  </si>
  <si>
    <t>LincolnLCHO</t>
  </si>
  <si>
    <t>LincolnSHHOP1Bd</t>
  </si>
  <si>
    <t>LincolnSHHOP2Bd</t>
  </si>
  <si>
    <t>LincolnSHHOP3Bd</t>
  </si>
  <si>
    <t>LincolnSHHOP4Bd</t>
  </si>
  <si>
    <t>LincolnSHHOPBdst</t>
  </si>
  <si>
    <t>LincolnSHHOPNSC</t>
  </si>
  <si>
    <t>LincolnSHHOPTotal</t>
  </si>
  <si>
    <t>LincolnSHHOPSC</t>
  </si>
  <si>
    <t>LincolnSHHOPAGGNA</t>
  </si>
  <si>
    <t>E07000139</t>
  </si>
  <si>
    <t>North Kesteven</t>
  </si>
  <si>
    <t>North KestevenARGN1Bd</t>
  </si>
  <si>
    <t>North KestevenARGN2Bd</t>
  </si>
  <si>
    <t>North KestevenARGN3Bd</t>
  </si>
  <si>
    <t>North KestevenARGN4Bd</t>
  </si>
  <si>
    <t>North KestevenARGN5Bd</t>
  </si>
  <si>
    <t>North KestevenARGN6Bd</t>
  </si>
  <si>
    <t>North KestevenARGNBdst</t>
  </si>
  <si>
    <t>North KestevenARGNNSC</t>
  </si>
  <si>
    <t>North KestevenARGNTotal</t>
  </si>
  <si>
    <t>North KestevenARGNSC</t>
  </si>
  <si>
    <t>North KestevenARSHHOP1Bd</t>
  </si>
  <si>
    <t>North KestevenARSHHOP2Bd</t>
  </si>
  <si>
    <t>North KestevenARSHHOP3Bd</t>
  </si>
  <si>
    <t>North KestevenARSHHOP4Bd</t>
  </si>
  <si>
    <t>North KestevenARSHHOPBdst</t>
  </si>
  <si>
    <t>North KestevenARSHHOPNSC</t>
  </si>
  <si>
    <t>North KestevenARSHHOPSC</t>
  </si>
  <si>
    <t>North KestevenARSHHOPTotal</t>
  </si>
  <si>
    <t>North KestevenGN1Bd</t>
  </si>
  <si>
    <t>North KestevenGN2Bd</t>
  </si>
  <si>
    <t>North KestevenGN3Bd</t>
  </si>
  <si>
    <t>North KestevenGN4Bd</t>
  </si>
  <si>
    <t>North KestevenGN5Bd</t>
  </si>
  <si>
    <t>North KestevenGN6Bd</t>
  </si>
  <si>
    <t>North KestevenGNBdst</t>
  </si>
  <si>
    <t>North KestevenGNNSC</t>
  </si>
  <si>
    <t>North KestevenGNTotal</t>
  </si>
  <si>
    <t>North KestevenGNSC</t>
  </si>
  <si>
    <t>North KestevenGNAGGSC</t>
  </si>
  <si>
    <t>North KestevenGNAGGNSC</t>
  </si>
  <si>
    <t>North KestevenLCHO</t>
  </si>
  <si>
    <t>North KestevenSHHOP1Bd</t>
  </si>
  <si>
    <t>North KestevenSHHOP2Bd</t>
  </si>
  <si>
    <t>North KestevenSHHOP3Bd</t>
  </si>
  <si>
    <t>North KestevenSHHOP4Bd</t>
  </si>
  <si>
    <t>North KestevenSHHOPBdst</t>
  </si>
  <si>
    <t>North KestevenSHHOPNSC</t>
  </si>
  <si>
    <t>North KestevenSHHOPTotal</t>
  </si>
  <si>
    <t>North KestevenSHHOPSC</t>
  </si>
  <si>
    <t>North KestevenSHHOPAGGNA</t>
  </si>
  <si>
    <t>E07000140</t>
  </si>
  <si>
    <t>South Holland</t>
  </si>
  <si>
    <t>South HollandARGN1Bd</t>
  </si>
  <si>
    <t>South HollandARGN2Bd</t>
  </si>
  <si>
    <t>South HollandARGN3Bd</t>
  </si>
  <si>
    <t>South HollandARGN4Bd</t>
  </si>
  <si>
    <t>South HollandARGN5Bd</t>
  </si>
  <si>
    <t>South HollandARGN6Bd</t>
  </si>
  <si>
    <t>South HollandARGNBdst</t>
  </si>
  <si>
    <t>South HollandARGNNSC</t>
  </si>
  <si>
    <t>South HollandARGNTotal</t>
  </si>
  <si>
    <t>South HollandARGNSC</t>
  </si>
  <si>
    <t>South HollandARSHHOP1Bd</t>
  </si>
  <si>
    <t>South HollandARSHHOP2Bd</t>
  </si>
  <si>
    <t>South HollandARSHHOP3Bd</t>
  </si>
  <si>
    <t>South HollandARSHHOP4Bd</t>
  </si>
  <si>
    <t>South HollandARSHHOPBdst</t>
  </si>
  <si>
    <t>South HollandARSHHOPNSC</t>
  </si>
  <si>
    <t>South HollandARSHHOPSC</t>
  </si>
  <si>
    <t>South HollandARSHHOPTotal</t>
  </si>
  <si>
    <t>South HollandGN1Bd</t>
  </si>
  <si>
    <t>South HollandGN2Bd</t>
  </si>
  <si>
    <t>South HollandGN3Bd</t>
  </si>
  <si>
    <t>South HollandGN4Bd</t>
  </si>
  <si>
    <t>South HollandGN5Bd</t>
  </si>
  <si>
    <t>South HollandGN6Bd</t>
  </si>
  <si>
    <t>South HollandGNBdst</t>
  </si>
  <si>
    <t>South HollandGNNSC</t>
  </si>
  <si>
    <t>South HollandGNTotal</t>
  </si>
  <si>
    <t>South HollandGNSC</t>
  </si>
  <si>
    <t>South HollandGNAGGSC</t>
  </si>
  <si>
    <t>South HollandGNAGGNSC</t>
  </si>
  <si>
    <t>South HollandLCHO</t>
  </si>
  <si>
    <t>South HollandSHHOP1Bd</t>
  </si>
  <si>
    <t>South HollandSHHOP2Bd</t>
  </si>
  <si>
    <t>South HollandSHHOP3Bd</t>
  </si>
  <si>
    <t>South HollandSHHOP4Bd</t>
  </si>
  <si>
    <t>South HollandSHHOPBdst</t>
  </si>
  <si>
    <t>South HollandSHHOPNSC</t>
  </si>
  <si>
    <t>South HollandSHHOPTotal</t>
  </si>
  <si>
    <t>South HollandSHHOPSC</t>
  </si>
  <si>
    <t>South HollandSHHOPAGGNA</t>
  </si>
  <si>
    <t>E07000141</t>
  </si>
  <si>
    <t>South Kesteven</t>
  </si>
  <si>
    <t>South KestevenARGN1Bd</t>
  </si>
  <si>
    <t>South KestevenARGN2Bd</t>
  </si>
  <si>
    <t>South KestevenARGN3Bd</t>
  </si>
  <si>
    <t>South KestevenARGN4Bd</t>
  </si>
  <si>
    <t>South KestevenARGN5Bd</t>
  </si>
  <si>
    <t>South KestevenARGN6Bd</t>
  </si>
  <si>
    <t>South KestevenARGNBdst</t>
  </si>
  <si>
    <t>South KestevenARGNNSC</t>
  </si>
  <si>
    <t>South KestevenARGNTotal</t>
  </si>
  <si>
    <t>South KestevenARGNSC</t>
  </si>
  <si>
    <t>South KestevenARSHHOP1Bd</t>
  </si>
  <si>
    <t>South KestevenARSHHOP2Bd</t>
  </si>
  <si>
    <t>South KestevenARSHHOP3Bd</t>
  </si>
  <si>
    <t>South KestevenARSHHOP4Bd</t>
  </si>
  <si>
    <t>South KestevenARSHHOPBdst</t>
  </si>
  <si>
    <t>South KestevenARSHHOPNSC</t>
  </si>
  <si>
    <t>South KestevenARSHHOPSC</t>
  </si>
  <si>
    <t>South KestevenARSHHOPTotal</t>
  </si>
  <si>
    <t>South KestevenGN1Bd</t>
  </si>
  <si>
    <t>South KestevenGN2Bd</t>
  </si>
  <si>
    <t>South KestevenGN3Bd</t>
  </si>
  <si>
    <t>South KestevenGN4Bd</t>
  </si>
  <si>
    <t>South KestevenGN5Bd</t>
  </si>
  <si>
    <t>South KestevenGN6Bd</t>
  </si>
  <si>
    <t>South KestevenGNBdst</t>
  </si>
  <si>
    <t>South KestevenGNNSC</t>
  </si>
  <si>
    <t>South KestevenGNTotal</t>
  </si>
  <si>
    <t>South KestevenGNSC</t>
  </si>
  <si>
    <t>South KestevenGNAGGSC</t>
  </si>
  <si>
    <t>South KestevenGNAGGNSC</t>
  </si>
  <si>
    <t>South KestevenLCHO</t>
  </si>
  <si>
    <t>South KestevenSHHOP1Bd</t>
  </si>
  <si>
    <t>South KestevenSHHOP2Bd</t>
  </si>
  <si>
    <t>South KestevenSHHOP3Bd</t>
  </si>
  <si>
    <t>South KestevenSHHOP4Bd</t>
  </si>
  <si>
    <t>South KestevenSHHOPBdst</t>
  </si>
  <si>
    <t>South KestevenSHHOPNSC</t>
  </si>
  <si>
    <t>South KestevenSHHOPTotal</t>
  </si>
  <si>
    <t>South KestevenSHHOPSC</t>
  </si>
  <si>
    <t>South KestevenSHHOPAGGNA</t>
  </si>
  <si>
    <t>E07000142</t>
  </si>
  <si>
    <t>West LindseyARGN1Bd</t>
  </si>
  <si>
    <t>West LindseyARGN2Bd</t>
  </si>
  <si>
    <t>West LindseyARGN3Bd</t>
  </si>
  <si>
    <t>West LindseyARGN4Bd</t>
  </si>
  <si>
    <t>West LindseyARGN5Bd</t>
  </si>
  <si>
    <t>West LindseyARGN6Bd</t>
  </si>
  <si>
    <t>West LindseyARGNBdst</t>
  </si>
  <si>
    <t>West LindseyARGNNSC</t>
  </si>
  <si>
    <t>West LindseyARGNTotal</t>
  </si>
  <si>
    <t>West LindseyARGNSC</t>
  </si>
  <si>
    <t>West LindseyARSHHOP1Bd</t>
  </si>
  <si>
    <t>West LindseyARSHHOP2Bd</t>
  </si>
  <si>
    <t>West LindseyARSHHOP3Bd</t>
  </si>
  <si>
    <t>West LindseyARSHHOP4Bd</t>
  </si>
  <si>
    <t>West LindseyARSHHOPBdst</t>
  </si>
  <si>
    <t>West LindseyARSHHOPNSC</t>
  </si>
  <si>
    <t>West LindseyARSHHOPSC</t>
  </si>
  <si>
    <t>West LindseyARSHHOPTotal</t>
  </si>
  <si>
    <t>West LindseyGN1Bd</t>
  </si>
  <si>
    <t>West LindseyGN2Bd</t>
  </si>
  <si>
    <t>West LindseyGN3Bd</t>
  </si>
  <si>
    <t>West LindseyGN4Bd</t>
  </si>
  <si>
    <t>West LindseyGN5Bd</t>
  </si>
  <si>
    <t>West LindseyGN6Bd</t>
  </si>
  <si>
    <t>West LindseyGNBdst</t>
  </si>
  <si>
    <t>West LindseyGNNSC</t>
  </si>
  <si>
    <t>West LindseyGNTotal</t>
  </si>
  <si>
    <t>West LindseyGNSC</t>
  </si>
  <si>
    <t>West LindseyGNAGGSC</t>
  </si>
  <si>
    <t>West LindseyGNAGGNSC</t>
  </si>
  <si>
    <t>West LindseyLCHO</t>
  </si>
  <si>
    <t>West LindseySHHOP1Bd</t>
  </si>
  <si>
    <t>West LindseySHHOP2Bd</t>
  </si>
  <si>
    <t>West LindseySHHOP3Bd</t>
  </si>
  <si>
    <t>West LindseySHHOP4Bd</t>
  </si>
  <si>
    <t>West LindseySHHOPBdst</t>
  </si>
  <si>
    <t>West LindseySHHOPNSC</t>
  </si>
  <si>
    <t>West LindseySHHOPTotal</t>
  </si>
  <si>
    <t>West LindseySHHOPSC</t>
  </si>
  <si>
    <t>West LindseySHHOPAGGNA</t>
  </si>
  <si>
    <t>E07000143</t>
  </si>
  <si>
    <t>Breckland</t>
  </si>
  <si>
    <t>BrecklandARGN1Bd</t>
  </si>
  <si>
    <t>BrecklandARGN2Bd</t>
  </si>
  <si>
    <t>BrecklandARGN3Bd</t>
  </si>
  <si>
    <t>BrecklandARGN4Bd</t>
  </si>
  <si>
    <t>BrecklandARGN5Bd</t>
  </si>
  <si>
    <t>BrecklandARGN6Bd</t>
  </si>
  <si>
    <t>BrecklandARGNBdst</t>
  </si>
  <si>
    <t>BrecklandARGNNSC</t>
  </si>
  <si>
    <t>BrecklandARGNTotal</t>
  </si>
  <si>
    <t>BrecklandARGNSC</t>
  </si>
  <si>
    <t>BrecklandARSHHOP1Bd</t>
  </si>
  <si>
    <t>BrecklandARSHHOP2Bd</t>
  </si>
  <si>
    <t>BrecklandARSHHOP3Bd</t>
  </si>
  <si>
    <t>BrecklandARSHHOP4Bd</t>
  </si>
  <si>
    <t>BrecklandARSHHOPBdst</t>
  </si>
  <si>
    <t>BrecklandARSHHOPNSC</t>
  </si>
  <si>
    <t>BrecklandARSHHOPSC</t>
  </si>
  <si>
    <t>BrecklandARSHHOPTotal</t>
  </si>
  <si>
    <t>BrecklandGN1Bd</t>
  </si>
  <si>
    <t>BrecklandGN2Bd</t>
  </si>
  <si>
    <t>BrecklandGN3Bd</t>
  </si>
  <si>
    <t>BrecklandGN4Bd</t>
  </si>
  <si>
    <t>BrecklandGN5Bd</t>
  </si>
  <si>
    <t>BrecklandGN6Bd</t>
  </si>
  <si>
    <t>BrecklandGNBdst</t>
  </si>
  <si>
    <t>BrecklandGNNSC</t>
  </si>
  <si>
    <t>BrecklandGNTotal</t>
  </si>
  <si>
    <t>BrecklandGNSC</t>
  </si>
  <si>
    <t>BrecklandGNAGGSC</t>
  </si>
  <si>
    <t>BrecklandGNAGGNSC</t>
  </si>
  <si>
    <t>BrecklandLCHO</t>
  </si>
  <si>
    <t>BrecklandSHHOP1Bd</t>
  </si>
  <si>
    <t>BrecklandSHHOP2Bd</t>
  </si>
  <si>
    <t>BrecklandSHHOP3Bd</t>
  </si>
  <si>
    <t>BrecklandSHHOP4Bd</t>
  </si>
  <si>
    <t>BrecklandSHHOPBdst</t>
  </si>
  <si>
    <t>BrecklandSHHOPNSC</t>
  </si>
  <si>
    <t>BrecklandSHHOPTotal</t>
  </si>
  <si>
    <t>BrecklandSHHOPSC</t>
  </si>
  <si>
    <t>BrecklandSHHOPAGGNA</t>
  </si>
  <si>
    <t>E07000144</t>
  </si>
  <si>
    <t>Broadland</t>
  </si>
  <si>
    <t>BroadlandARGN1Bd</t>
  </si>
  <si>
    <t>BroadlandARGN2Bd</t>
  </si>
  <si>
    <t>BroadlandARGN3Bd</t>
  </si>
  <si>
    <t>BroadlandARGN4Bd</t>
  </si>
  <si>
    <t>BroadlandARGN5Bd</t>
  </si>
  <si>
    <t>BroadlandARGN6Bd</t>
  </si>
  <si>
    <t>BroadlandARGNBdst</t>
  </si>
  <si>
    <t>BroadlandARGNNSC</t>
  </si>
  <si>
    <t>BroadlandARGNTotal</t>
  </si>
  <si>
    <t>BroadlandARGNSC</t>
  </si>
  <si>
    <t>BroadlandARSHHOP1Bd</t>
  </si>
  <si>
    <t>BroadlandARSHHOP2Bd</t>
  </si>
  <si>
    <t>BroadlandARSHHOP3Bd</t>
  </si>
  <si>
    <t>BroadlandARSHHOP4Bd</t>
  </si>
  <si>
    <t>BroadlandARSHHOPBdst</t>
  </si>
  <si>
    <t>BroadlandARSHHOPNSC</t>
  </si>
  <si>
    <t>BroadlandARSHHOPSC</t>
  </si>
  <si>
    <t>BroadlandARSHHOPTotal</t>
  </si>
  <si>
    <t>BroadlandGN1Bd</t>
  </si>
  <si>
    <t>BroadlandGN2Bd</t>
  </si>
  <si>
    <t>BroadlandGN3Bd</t>
  </si>
  <si>
    <t>BroadlandGN4Bd</t>
  </si>
  <si>
    <t>BroadlandGN5Bd</t>
  </si>
  <si>
    <t>BroadlandGN6Bd</t>
  </si>
  <si>
    <t>BroadlandGNBdst</t>
  </si>
  <si>
    <t>BroadlandGNNSC</t>
  </si>
  <si>
    <t>BroadlandGNTotal</t>
  </si>
  <si>
    <t>BroadlandGNSC</t>
  </si>
  <si>
    <t>BroadlandGNAGGSC</t>
  </si>
  <si>
    <t>BroadlandGNAGGNSC</t>
  </si>
  <si>
    <t>BroadlandLCHO</t>
  </si>
  <si>
    <t>BroadlandSHHOP1Bd</t>
  </si>
  <si>
    <t>BroadlandSHHOP2Bd</t>
  </si>
  <si>
    <t>BroadlandSHHOP3Bd</t>
  </si>
  <si>
    <t>BroadlandSHHOP4Bd</t>
  </si>
  <si>
    <t>BroadlandSHHOPBdst</t>
  </si>
  <si>
    <t>BroadlandSHHOPNSC</t>
  </si>
  <si>
    <t>BroadlandSHHOPTotal</t>
  </si>
  <si>
    <t>BroadlandSHHOPSC</t>
  </si>
  <si>
    <t>BroadlandSHHOPAGGNA</t>
  </si>
  <si>
    <t>E07000145</t>
  </si>
  <si>
    <t>Great Yarmouth</t>
  </si>
  <si>
    <t>Great YarmouthARGN1Bd</t>
  </si>
  <si>
    <t>Great YarmouthARGN2Bd</t>
  </si>
  <si>
    <t>Great YarmouthARGN3Bd</t>
  </si>
  <si>
    <t>Great YarmouthARGN4Bd</t>
  </si>
  <si>
    <t>Great YarmouthARGN5Bd</t>
  </si>
  <si>
    <t>Great YarmouthARGN6Bd</t>
  </si>
  <si>
    <t>Great YarmouthARGNBdst</t>
  </si>
  <si>
    <t>Great YarmouthARGNNSC</t>
  </si>
  <si>
    <t>Great YarmouthARGNTotal</t>
  </si>
  <si>
    <t>Great YarmouthARGNSC</t>
  </si>
  <si>
    <t>Great YarmouthARSHHOP1Bd</t>
  </si>
  <si>
    <t>Great YarmouthARSHHOP2Bd</t>
  </si>
  <si>
    <t>Great YarmouthARSHHOP3Bd</t>
  </si>
  <si>
    <t>Great YarmouthARSHHOP4Bd</t>
  </si>
  <si>
    <t>Great YarmouthARSHHOPBdst</t>
  </si>
  <si>
    <t>Great YarmouthARSHHOPNSC</t>
  </si>
  <si>
    <t>Great YarmouthARSHHOPSC</t>
  </si>
  <si>
    <t>Great YarmouthARSHHOPTotal</t>
  </si>
  <si>
    <t>Great YarmouthGN1Bd</t>
  </si>
  <si>
    <t>Great YarmouthGN2Bd</t>
  </si>
  <si>
    <t>Great YarmouthGN3Bd</t>
  </si>
  <si>
    <t>Great YarmouthGN4Bd</t>
  </si>
  <si>
    <t>Great YarmouthGN5Bd</t>
  </si>
  <si>
    <t>Great YarmouthGN6Bd</t>
  </si>
  <si>
    <t>Great YarmouthGNBdst</t>
  </si>
  <si>
    <t>Great YarmouthGNNSC</t>
  </si>
  <si>
    <t>Great YarmouthGNTotal</t>
  </si>
  <si>
    <t>Great YarmouthGNSC</t>
  </si>
  <si>
    <t>Great YarmouthGNAGGSC</t>
  </si>
  <si>
    <t>Great YarmouthGNAGGNSC</t>
  </si>
  <si>
    <t>Great YarmouthLCHO</t>
  </si>
  <si>
    <t>Great YarmouthSHHOP1Bd</t>
  </si>
  <si>
    <t>Great YarmouthSHHOP2Bd</t>
  </si>
  <si>
    <t>Great YarmouthSHHOP3Bd</t>
  </si>
  <si>
    <t>Great YarmouthSHHOP4Bd</t>
  </si>
  <si>
    <t>Great YarmouthSHHOPBdst</t>
  </si>
  <si>
    <t>Great YarmouthSHHOPNSC</t>
  </si>
  <si>
    <t>Great YarmouthSHHOPTotal</t>
  </si>
  <si>
    <t>Great YarmouthSHHOPSC</t>
  </si>
  <si>
    <t>Great YarmouthSHHOPAGGNA</t>
  </si>
  <si>
    <t>E07000146</t>
  </si>
  <si>
    <t>King's Lynn and West Norfolk</t>
  </si>
  <si>
    <t>King's Lynn and West NorfolkARGN1Bd</t>
  </si>
  <si>
    <t>King's Lynn and West NorfolkARGN2Bd</t>
  </si>
  <si>
    <t>King's Lynn and West NorfolkARGN3Bd</t>
  </si>
  <si>
    <t>King's Lynn and West NorfolkARGN4Bd</t>
  </si>
  <si>
    <t>King's Lynn and West NorfolkARGN5Bd</t>
  </si>
  <si>
    <t>King's Lynn and West NorfolkARGN6Bd</t>
  </si>
  <si>
    <t>King's Lynn and West NorfolkARGNBdst</t>
  </si>
  <si>
    <t>King's Lynn and West NorfolkARGNNSC</t>
  </si>
  <si>
    <t>King's Lynn and West NorfolkARGNTotal</t>
  </si>
  <si>
    <t>King's Lynn and West NorfolkARGNSC</t>
  </si>
  <si>
    <t>King's Lynn and West NorfolkARSHHOP1Bd</t>
  </si>
  <si>
    <t>King's Lynn and West NorfolkARSHHOP2Bd</t>
  </si>
  <si>
    <t>King's Lynn and West NorfolkARSHHOP3Bd</t>
  </si>
  <si>
    <t>King's Lynn and West NorfolkARSHHOP4Bd</t>
  </si>
  <si>
    <t>King's Lynn and West NorfolkARSHHOPBdst</t>
  </si>
  <si>
    <t>King's Lynn and West NorfolkARSHHOPNSC</t>
  </si>
  <si>
    <t>King's Lynn and West NorfolkARSHHOPSC</t>
  </si>
  <si>
    <t>King's Lynn and West NorfolkARSHHOPTotal</t>
  </si>
  <si>
    <t>King's Lynn and West NorfolkGN1Bd</t>
  </si>
  <si>
    <t>King's Lynn and West NorfolkGN2Bd</t>
  </si>
  <si>
    <t>King's Lynn and West NorfolkGN3Bd</t>
  </si>
  <si>
    <t>King's Lynn and West NorfolkGN4Bd</t>
  </si>
  <si>
    <t>King's Lynn and West NorfolkGN5Bd</t>
  </si>
  <si>
    <t>King's Lynn and West NorfolkGN6Bd</t>
  </si>
  <si>
    <t>King's Lynn and West NorfolkGNBdst</t>
  </si>
  <si>
    <t>King's Lynn and West NorfolkGNNSC</t>
  </si>
  <si>
    <t>King's Lynn and West NorfolkGNTotal</t>
  </si>
  <si>
    <t>King's Lynn and West NorfolkGNSC</t>
  </si>
  <si>
    <t>King's Lynn and West NorfolkGNAGGSC</t>
  </si>
  <si>
    <t>King's Lynn and West NorfolkGNAGGNSC</t>
  </si>
  <si>
    <t>King's Lynn and West NorfolkLCHO</t>
  </si>
  <si>
    <t>King's Lynn and West NorfolkSHHOP1Bd</t>
  </si>
  <si>
    <t>King's Lynn and West NorfolkSHHOP2Bd</t>
  </si>
  <si>
    <t>King's Lynn and West NorfolkSHHOP3Bd</t>
  </si>
  <si>
    <t>King's Lynn and West NorfolkSHHOP4Bd</t>
  </si>
  <si>
    <t>King's Lynn and West NorfolkSHHOPBdst</t>
  </si>
  <si>
    <t>King's Lynn and West NorfolkSHHOPNSC</t>
  </si>
  <si>
    <t>King's Lynn and West NorfolkSHHOPTotal</t>
  </si>
  <si>
    <t>King's Lynn and West NorfolkSHHOPSC</t>
  </si>
  <si>
    <t>King's Lynn and West NorfolkSHHOPAGGNA</t>
  </si>
  <si>
    <t>E07000147</t>
  </si>
  <si>
    <t>North Norfolk</t>
  </si>
  <si>
    <t>North NorfolkARGN1Bd</t>
  </si>
  <si>
    <t>North NorfolkARGN2Bd</t>
  </si>
  <si>
    <t>North NorfolkARGN3Bd</t>
  </si>
  <si>
    <t>North NorfolkARGN4Bd</t>
  </si>
  <si>
    <t>North NorfolkARGN5Bd</t>
  </si>
  <si>
    <t>North NorfolkARGN6Bd</t>
  </si>
  <si>
    <t>North NorfolkARGNBdst</t>
  </si>
  <si>
    <t>North NorfolkARGNNSC</t>
  </si>
  <si>
    <t>North NorfolkARGNTotal</t>
  </si>
  <si>
    <t>North NorfolkARGNSC</t>
  </si>
  <si>
    <t>North NorfolkARSHHOP1Bd</t>
  </si>
  <si>
    <t>North NorfolkARSHHOP2Bd</t>
  </si>
  <si>
    <t>North NorfolkARSHHOP3Bd</t>
  </si>
  <si>
    <t>North NorfolkARSHHOP4Bd</t>
  </si>
  <si>
    <t>North NorfolkARSHHOPBdst</t>
  </si>
  <si>
    <t>North NorfolkARSHHOPNSC</t>
  </si>
  <si>
    <t>North NorfolkARSHHOPSC</t>
  </si>
  <si>
    <t>North NorfolkARSHHOPTotal</t>
  </si>
  <si>
    <t>North NorfolkGN1Bd</t>
  </si>
  <si>
    <t>North NorfolkGN2Bd</t>
  </si>
  <si>
    <t>North NorfolkGN3Bd</t>
  </si>
  <si>
    <t>North NorfolkGN4Bd</t>
  </si>
  <si>
    <t>North NorfolkGN5Bd</t>
  </si>
  <si>
    <t>North NorfolkGN6Bd</t>
  </si>
  <si>
    <t>North NorfolkGNBdst</t>
  </si>
  <si>
    <t>North NorfolkGNNSC</t>
  </si>
  <si>
    <t>North NorfolkGNTotal</t>
  </si>
  <si>
    <t>North NorfolkGNSC</t>
  </si>
  <si>
    <t>North NorfolkGNAGGSC</t>
  </si>
  <si>
    <t>North NorfolkGNAGGNSC</t>
  </si>
  <si>
    <t>North NorfolkLCHO</t>
  </si>
  <si>
    <t>North NorfolkSHHOP1Bd</t>
  </si>
  <si>
    <t>North NorfolkSHHOP2Bd</t>
  </si>
  <si>
    <t>North NorfolkSHHOP3Bd</t>
  </si>
  <si>
    <t>North NorfolkSHHOP4Bd</t>
  </si>
  <si>
    <t>North NorfolkSHHOPBdst</t>
  </si>
  <si>
    <t>North NorfolkSHHOPNSC</t>
  </si>
  <si>
    <t>North NorfolkSHHOPTotal</t>
  </si>
  <si>
    <t>North NorfolkSHHOPSC</t>
  </si>
  <si>
    <t>North NorfolkSHHOPAGGNA</t>
  </si>
  <si>
    <t>E07000148</t>
  </si>
  <si>
    <t>Norwich</t>
  </si>
  <si>
    <t>NorwichARGN1Bd</t>
  </si>
  <si>
    <t>NorwichARGN2Bd</t>
  </si>
  <si>
    <t>NorwichARGN3Bd</t>
  </si>
  <si>
    <t>NorwichARGN4Bd</t>
  </si>
  <si>
    <t>NorwichARGN5Bd</t>
  </si>
  <si>
    <t>NorwichARGN6Bd</t>
  </si>
  <si>
    <t>NorwichARGNBdst</t>
  </si>
  <si>
    <t>NorwichARGNNSC</t>
  </si>
  <si>
    <t>NorwichARGNTotal</t>
  </si>
  <si>
    <t>NorwichARGNSC</t>
  </si>
  <si>
    <t>NorwichARSHHOP1Bd</t>
  </si>
  <si>
    <t>NorwichARSHHOP2Bd</t>
  </si>
  <si>
    <t>NorwichARSHHOP3Bd</t>
  </si>
  <si>
    <t>NorwichARSHHOP4Bd</t>
  </si>
  <si>
    <t>NorwichARSHHOPBdst</t>
  </si>
  <si>
    <t>NorwichARSHHOPNSC</t>
  </si>
  <si>
    <t>NorwichARSHHOPSC</t>
  </si>
  <si>
    <t>NorwichARSHHOPTotal</t>
  </si>
  <si>
    <t>NorwichGN1Bd</t>
  </si>
  <si>
    <t>NorwichGN2Bd</t>
  </si>
  <si>
    <t>NorwichGN3Bd</t>
  </si>
  <si>
    <t>NorwichGN4Bd</t>
  </si>
  <si>
    <t>NorwichGN5Bd</t>
  </si>
  <si>
    <t>NorwichGN6Bd</t>
  </si>
  <si>
    <t>NorwichGNBdst</t>
  </si>
  <si>
    <t>NorwichGNNSC</t>
  </si>
  <si>
    <t>NorwichGNTotal</t>
  </si>
  <si>
    <t>NorwichGNSC</t>
  </si>
  <si>
    <t>NorwichGNAGGSC</t>
  </si>
  <si>
    <t>NorwichGNAGGNSC</t>
  </si>
  <si>
    <t>NorwichLCHO</t>
  </si>
  <si>
    <t>NorwichSHHOP1Bd</t>
  </si>
  <si>
    <t>NorwichSHHOP2Bd</t>
  </si>
  <si>
    <t>NorwichSHHOP3Bd</t>
  </si>
  <si>
    <t>NorwichSHHOP4Bd</t>
  </si>
  <si>
    <t>NorwichSHHOPBdst</t>
  </si>
  <si>
    <t>NorwichSHHOPNSC</t>
  </si>
  <si>
    <t>NorwichSHHOPTotal</t>
  </si>
  <si>
    <t>NorwichSHHOPSC</t>
  </si>
  <si>
    <t>NorwichSHHOPAGGNA</t>
  </si>
  <si>
    <t>E07000149</t>
  </si>
  <si>
    <t>South Norfolk</t>
  </si>
  <si>
    <t>South NorfolkARGN1Bd</t>
  </si>
  <si>
    <t>South NorfolkARGN2Bd</t>
  </si>
  <si>
    <t>South NorfolkARGN3Bd</t>
  </si>
  <si>
    <t>South NorfolkARGN4Bd</t>
  </si>
  <si>
    <t>South NorfolkARGN5Bd</t>
  </si>
  <si>
    <t>South NorfolkARGN6Bd</t>
  </si>
  <si>
    <t>South NorfolkARGNBdst</t>
  </si>
  <si>
    <t>South NorfolkARGNNSC</t>
  </si>
  <si>
    <t>South NorfolkARGNTotal</t>
  </si>
  <si>
    <t>South NorfolkARGNSC</t>
  </si>
  <si>
    <t>South NorfolkARSHHOP1Bd</t>
  </si>
  <si>
    <t>South NorfolkARSHHOP2Bd</t>
  </si>
  <si>
    <t>South NorfolkARSHHOP3Bd</t>
  </si>
  <si>
    <t>South NorfolkARSHHOP4Bd</t>
  </si>
  <si>
    <t>South NorfolkARSHHOPBdst</t>
  </si>
  <si>
    <t>South NorfolkARSHHOPNSC</t>
  </si>
  <si>
    <t>South NorfolkARSHHOPSC</t>
  </si>
  <si>
    <t>South NorfolkARSHHOPTotal</t>
  </si>
  <si>
    <t>South NorfolkGN1Bd</t>
  </si>
  <si>
    <t>South NorfolkGN2Bd</t>
  </si>
  <si>
    <t>South NorfolkGN3Bd</t>
  </si>
  <si>
    <t>South NorfolkGN4Bd</t>
  </si>
  <si>
    <t>South NorfolkGN5Bd</t>
  </si>
  <si>
    <t>South NorfolkGN6Bd</t>
  </si>
  <si>
    <t>South NorfolkGNBdst</t>
  </si>
  <si>
    <t>South NorfolkGNNSC</t>
  </si>
  <si>
    <t>South NorfolkGNTotal</t>
  </si>
  <si>
    <t>South NorfolkGNSC</t>
  </si>
  <si>
    <t>South NorfolkGNAGGSC</t>
  </si>
  <si>
    <t>South NorfolkGNAGGNSC</t>
  </si>
  <si>
    <t>South NorfolkLCHO</t>
  </si>
  <si>
    <t>South NorfolkSHHOP1Bd</t>
  </si>
  <si>
    <t>South NorfolkSHHOP2Bd</t>
  </si>
  <si>
    <t>South NorfolkSHHOP3Bd</t>
  </si>
  <si>
    <t>South NorfolkSHHOP4Bd</t>
  </si>
  <si>
    <t>South NorfolkSHHOPBdst</t>
  </si>
  <si>
    <t>South NorfolkSHHOPNSC</t>
  </si>
  <si>
    <t>South NorfolkSHHOPTotal</t>
  </si>
  <si>
    <t>South NorfolkSHHOPSC</t>
  </si>
  <si>
    <t>South NorfolkSHHOPAGGNA</t>
  </si>
  <si>
    <t>E07000170</t>
  </si>
  <si>
    <t>Ashfield</t>
  </si>
  <si>
    <t>AshfieldARGN1Bd</t>
  </si>
  <si>
    <t>AshfieldARGN2Bd</t>
  </si>
  <si>
    <t>AshfieldARGN3Bd</t>
  </si>
  <si>
    <t>AshfieldARGN4Bd</t>
  </si>
  <si>
    <t>AshfieldARGN5Bd</t>
  </si>
  <si>
    <t>AshfieldARGN6Bd</t>
  </si>
  <si>
    <t>AshfieldARGNBdst</t>
  </si>
  <si>
    <t>AshfieldARGNNSC</t>
  </si>
  <si>
    <t>AshfieldARGNTotal</t>
  </si>
  <si>
    <t>AshfieldARGNSC</t>
  </si>
  <si>
    <t>AshfieldARSHHOP1Bd</t>
  </si>
  <si>
    <t>AshfieldARSHHOP2Bd</t>
  </si>
  <si>
    <t>AshfieldARSHHOP3Bd</t>
  </si>
  <si>
    <t>AshfieldARSHHOP4Bd</t>
  </si>
  <si>
    <t>AshfieldARSHHOPBdst</t>
  </si>
  <si>
    <t>AshfieldARSHHOPNSC</t>
  </si>
  <si>
    <t>AshfieldARSHHOPSC</t>
  </si>
  <si>
    <t>AshfieldARSHHOPTotal</t>
  </si>
  <si>
    <t>AshfieldGN1Bd</t>
  </si>
  <si>
    <t>AshfieldGN2Bd</t>
  </si>
  <si>
    <t>AshfieldGN3Bd</t>
  </si>
  <si>
    <t>AshfieldGN4Bd</t>
  </si>
  <si>
    <t>AshfieldGN5Bd</t>
  </si>
  <si>
    <t>AshfieldGN6Bd</t>
  </si>
  <si>
    <t>AshfieldGNBdst</t>
  </si>
  <si>
    <t>AshfieldGNNSC</t>
  </si>
  <si>
    <t>AshfieldGNTotal</t>
  </si>
  <si>
    <t>AshfieldGNSC</t>
  </si>
  <si>
    <t>AshfieldGNAGGSC</t>
  </si>
  <si>
    <t>AshfieldGNAGGNSC</t>
  </si>
  <si>
    <t>AshfieldLCHO</t>
  </si>
  <si>
    <t>AshfieldSHHOP1Bd</t>
  </si>
  <si>
    <t>AshfieldSHHOP2Bd</t>
  </si>
  <si>
    <t>AshfieldSHHOP3Bd</t>
  </si>
  <si>
    <t>AshfieldSHHOP4Bd</t>
  </si>
  <si>
    <t>AshfieldSHHOPBdst</t>
  </si>
  <si>
    <t>AshfieldSHHOPNSC</t>
  </si>
  <si>
    <t>AshfieldSHHOPTotal</t>
  </si>
  <si>
    <t>AshfieldSHHOPSC</t>
  </si>
  <si>
    <t>AshfieldSHHOPAGGNA</t>
  </si>
  <si>
    <t>E07000171</t>
  </si>
  <si>
    <t>Bassetlaw</t>
  </si>
  <si>
    <t>BassetlawARGN1Bd</t>
  </si>
  <si>
    <t>BassetlawARGN2Bd</t>
  </si>
  <si>
    <t>BassetlawARGN3Bd</t>
  </si>
  <si>
    <t>BassetlawARGN4Bd</t>
  </si>
  <si>
    <t>BassetlawARGN5Bd</t>
  </si>
  <si>
    <t>BassetlawARGN6Bd</t>
  </si>
  <si>
    <t>BassetlawARGNBdst</t>
  </si>
  <si>
    <t>BassetlawARGNNSC</t>
  </si>
  <si>
    <t>BassetlawARGNTotal</t>
  </si>
  <si>
    <t>BassetlawARGNSC</t>
  </si>
  <si>
    <t>BassetlawARSHHOP1Bd</t>
  </si>
  <si>
    <t>BassetlawARSHHOP2Bd</t>
  </si>
  <si>
    <t>BassetlawARSHHOP3Bd</t>
  </si>
  <si>
    <t>BassetlawARSHHOP4Bd</t>
  </si>
  <si>
    <t>BassetlawARSHHOPBdst</t>
  </si>
  <si>
    <t>BassetlawARSHHOPNSC</t>
  </si>
  <si>
    <t>BassetlawARSHHOPSC</t>
  </si>
  <si>
    <t>BassetlawARSHHOPTotal</t>
  </si>
  <si>
    <t>BassetlawGN1Bd</t>
  </si>
  <si>
    <t>BassetlawGN2Bd</t>
  </si>
  <si>
    <t>BassetlawGN3Bd</t>
  </si>
  <si>
    <t>BassetlawGN4Bd</t>
  </si>
  <si>
    <t>BassetlawGN5Bd</t>
  </si>
  <si>
    <t>BassetlawGN6Bd</t>
  </si>
  <si>
    <t>BassetlawGNBdst</t>
  </si>
  <si>
    <t>BassetlawGNNSC</t>
  </si>
  <si>
    <t>BassetlawGNTotal</t>
  </si>
  <si>
    <t>BassetlawGNSC</t>
  </si>
  <si>
    <t>BassetlawGNAGGSC</t>
  </si>
  <si>
    <t>BassetlawGNAGGNSC</t>
  </si>
  <si>
    <t>BassetlawLCHO</t>
  </si>
  <si>
    <t>BassetlawSHHOP1Bd</t>
  </si>
  <si>
    <t>BassetlawSHHOP2Bd</t>
  </si>
  <si>
    <t>BassetlawSHHOP3Bd</t>
  </si>
  <si>
    <t>BassetlawSHHOP4Bd</t>
  </si>
  <si>
    <t>BassetlawSHHOPBdst</t>
  </si>
  <si>
    <t>BassetlawSHHOPNSC</t>
  </si>
  <si>
    <t>BassetlawSHHOPTotal</t>
  </si>
  <si>
    <t>BassetlawSHHOPSC</t>
  </si>
  <si>
    <t>BassetlawSHHOPAGGNA</t>
  </si>
  <si>
    <t>E07000172</t>
  </si>
  <si>
    <t>Broxtowe</t>
  </si>
  <si>
    <t>BroxtoweARGN1Bd</t>
  </si>
  <si>
    <t>BroxtoweARGN2Bd</t>
  </si>
  <si>
    <t>BroxtoweARGN3Bd</t>
  </si>
  <si>
    <t>BroxtoweARGN4Bd</t>
  </si>
  <si>
    <t>BroxtoweARGN5Bd</t>
  </si>
  <si>
    <t>BroxtoweARGN6Bd</t>
  </si>
  <si>
    <t>BroxtoweARGNBdst</t>
  </si>
  <si>
    <t>BroxtoweARGNNSC</t>
  </si>
  <si>
    <t>BroxtoweARGNTotal</t>
  </si>
  <si>
    <t>BroxtoweARGNSC</t>
  </si>
  <si>
    <t>BroxtoweARSHHOP1Bd</t>
  </si>
  <si>
    <t>BroxtoweARSHHOP2Bd</t>
  </si>
  <si>
    <t>BroxtoweARSHHOP3Bd</t>
  </si>
  <si>
    <t>BroxtoweARSHHOP4Bd</t>
  </si>
  <si>
    <t>BroxtoweARSHHOPBdst</t>
  </si>
  <si>
    <t>BroxtoweARSHHOPNSC</t>
  </si>
  <si>
    <t>BroxtoweARSHHOPSC</t>
  </si>
  <si>
    <t>BroxtoweARSHHOPTotal</t>
  </si>
  <si>
    <t>BroxtoweGN1Bd</t>
  </si>
  <si>
    <t>BroxtoweGN2Bd</t>
  </si>
  <si>
    <t>BroxtoweGN3Bd</t>
  </si>
  <si>
    <t>BroxtoweGN4Bd</t>
  </si>
  <si>
    <t>BroxtoweGN5Bd</t>
  </si>
  <si>
    <t>BroxtoweGN6Bd</t>
  </si>
  <si>
    <t>BroxtoweGNBdst</t>
  </si>
  <si>
    <t>BroxtoweGNNSC</t>
  </si>
  <si>
    <t>BroxtoweGNTotal</t>
  </si>
  <si>
    <t>BroxtoweGNSC</t>
  </si>
  <si>
    <t>BroxtoweGNAGGSC</t>
  </si>
  <si>
    <t>BroxtoweGNAGGNSC</t>
  </si>
  <si>
    <t>BroxtoweLCHO</t>
  </si>
  <si>
    <t>BroxtoweSHHOP1Bd</t>
  </si>
  <si>
    <t>BroxtoweSHHOP2Bd</t>
  </si>
  <si>
    <t>BroxtoweSHHOP3Bd</t>
  </si>
  <si>
    <t>BroxtoweSHHOP4Bd</t>
  </si>
  <si>
    <t>BroxtoweSHHOPBdst</t>
  </si>
  <si>
    <t>BroxtoweSHHOPNSC</t>
  </si>
  <si>
    <t>BroxtoweSHHOPTotal</t>
  </si>
  <si>
    <t>BroxtoweSHHOPSC</t>
  </si>
  <si>
    <t>BroxtoweSHHOPAGGNA</t>
  </si>
  <si>
    <t>E07000173</t>
  </si>
  <si>
    <t>Gedling</t>
  </si>
  <si>
    <t>GedlingARGN1Bd</t>
  </si>
  <si>
    <t>GedlingARGN2Bd</t>
  </si>
  <si>
    <t>GedlingARGN3Bd</t>
  </si>
  <si>
    <t>GedlingARGN4Bd</t>
  </si>
  <si>
    <t>GedlingARGN5Bd</t>
  </si>
  <si>
    <t>GedlingARGN6Bd</t>
  </si>
  <si>
    <t>GedlingARGNBdst</t>
  </si>
  <si>
    <t>GedlingARGNNSC</t>
  </si>
  <si>
    <t>GedlingARGNTotal</t>
  </si>
  <si>
    <t>GedlingARGNSC</t>
  </si>
  <si>
    <t>GedlingARSHHOP1Bd</t>
  </si>
  <si>
    <t>GedlingARSHHOP2Bd</t>
  </si>
  <si>
    <t>GedlingARSHHOP3Bd</t>
  </si>
  <si>
    <t>GedlingARSHHOP4Bd</t>
  </si>
  <si>
    <t>GedlingARSHHOPBdst</t>
  </si>
  <si>
    <t>GedlingARSHHOPNSC</t>
  </si>
  <si>
    <t>GedlingARSHHOPSC</t>
  </si>
  <si>
    <t>GedlingARSHHOPTotal</t>
  </si>
  <si>
    <t>GedlingGN1Bd</t>
  </si>
  <si>
    <t>GedlingGN2Bd</t>
  </si>
  <si>
    <t>GedlingGN3Bd</t>
  </si>
  <si>
    <t>GedlingGN4Bd</t>
  </si>
  <si>
    <t>GedlingGN5Bd</t>
  </si>
  <si>
    <t>GedlingGN6Bd</t>
  </si>
  <si>
    <t>GedlingGNBdst</t>
  </si>
  <si>
    <t>GedlingGNNSC</t>
  </si>
  <si>
    <t>GedlingGNTotal</t>
  </si>
  <si>
    <t>GedlingGNSC</t>
  </si>
  <si>
    <t>GedlingGNAGGSC</t>
  </si>
  <si>
    <t>GedlingGNAGGNSC</t>
  </si>
  <si>
    <t>GedlingLCHO</t>
  </si>
  <si>
    <t>GedlingSHHOP1Bd</t>
  </si>
  <si>
    <t>GedlingSHHOP2Bd</t>
  </si>
  <si>
    <t>GedlingSHHOP3Bd</t>
  </si>
  <si>
    <t>GedlingSHHOP4Bd</t>
  </si>
  <si>
    <t>GedlingSHHOPBdst</t>
  </si>
  <si>
    <t>GedlingSHHOPNSC</t>
  </si>
  <si>
    <t>GedlingSHHOPTotal</t>
  </si>
  <si>
    <t>GedlingSHHOPSC</t>
  </si>
  <si>
    <t>GedlingSHHOPAGGNA</t>
  </si>
  <si>
    <t>E07000174</t>
  </si>
  <si>
    <t>Mansfield</t>
  </si>
  <si>
    <t>MansfieldARGN1Bd</t>
  </si>
  <si>
    <t>MansfieldARGN2Bd</t>
  </si>
  <si>
    <t>MansfieldARGN3Bd</t>
  </si>
  <si>
    <t>MansfieldARGN4Bd</t>
  </si>
  <si>
    <t>MansfieldARGN5Bd</t>
  </si>
  <si>
    <t>MansfieldARGN6Bd</t>
  </si>
  <si>
    <t>MansfieldARGNBdst</t>
  </si>
  <si>
    <t>MansfieldARGNNSC</t>
  </si>
  <si>
    <t>MansfieldARGNTotal</t>
  </si>
  <si>
    <t>MansfieldARGNSC</t>
  </si>
  <si>
    <t>MansfieldARSHHOP1Bd</t>
  </si>
  <si>
    <t>MansfieldARSHHOP2Bd</t>
  </si>
  <si>
    <t>MansfieldARSHHOP3Bd</t>
  </si>
  <si>
    <t>MansfieldARSHHOP4Bd</t>
  </si>
  <si>
    <t>MansfieldARSHHOPBdst</t>
  </si>
  <si>
    <t>MansfieldARSHHOPNSC</t>
  </si>
  <si>
    <t>MansfieldARSHHOPSC</t>
  </si>
  <si>
    <t>MansfieldARSHHOPTotal</t>
  </si>
  <si>
    <t>MansfieldGN1Bd</t>
  </si>
  <si>
    <t>MansfieldGN2Bd</t>
  </si>
  <si>
    <t>MansfieldGN3Bd</t>
  </si>
  <si>
    <t>MansfieldGN4Bd</t>
  </si>
  <si>
    <t>MansfieldGN5Bd</t>
  </si>
  <si>
    <t>MansfieldGN6Bd</t>
  </si>
  <si>
    <t>MansfieldGNBdst</t>
  </si>
  <si>
    <t>MansfieldGNNSC</t>
  </si>
  <si>
    <t>MansfieldGNTotal</t>
  </si>
  <si>
    <t>MansfieldGNSC</t>
  </si>
  <si>
    <t>MansfieldGNAGGSC</t>
  </si>
  <si>
    <t>MansfieldGNAGGNSC</t>
  </si>
  <si>
    <t>MansfieldLCHO</t>
  </si>
  <si>
    <t>MansfieldSHHOP1Bd</t>
  </si>
  <si>
    <t>MansfieldSHHOP2Bd</t>
  </si>
  <si>
    <t>MansfieldSHHOP3Bd</t>
  </si>
  <si>
    <t>MansfieldSHHOP4Bd</t>
  </si>
  <si>
    <t>MansfieldSHHOPBdst</t>
  </si>
  <si>
    <t>MansfieldSHHOPNSC</t>
  </si>
  <si>
    <t>MansfieldSHHOPTotal</t>
  </si>
  <si>
    <t>MansfieldSHHOPSC</t>
  </si>
  <si>
    <t>MansfieldSHHOPAGGNA</t>
  </si>
  <si>
    <t>E07000175</t>
  </si>
  <si>
    <t>Newark and Sherwood</t>
  </si>
  <si>
    <t>Newark and SherwoodARGN1Bd</t>
  </si>
  <si>
    <t>Newark and SherwoodARGN2Bd</t>
  </si>
  <si>
    <t>Newark and SherwoodARGN3Bd</t>
  </si>
  <si>
    <t>Newark and SherwoodARGN4Bd</t>
  </si>
  <si>
    <t>Newark and SherwoodARGN5Bd</t>
  </si>
  <si>
    <t>Newark and SherwoodARGN6Bd</t>
  </si>
  <si>
    <t>Newark and SherwoodARGNBdst</t>
  </si>
  <si>
    <t>Newark and SherwoodARGNNSC</t>
  </si>
  <si>
    <t>Newark and SherwoodARGNTotal</t>
  </si>
  <si>
    <t>Newark and SherwoodARGNSC</t>
  </si>
  <si>
    <t>Newark and SherwoodARSHHOP1Bd</t>
  </si>
  <si>
    <t>Newark and SherwoodARSHHOP2Bd</t>
  </si>
  <si>
    <t>Newark and SherwoodARSHHOP3Bd</t>
  </si>
  <si>
    <t>Newark and SherwoodARSHHOP4Bd</t>
  </si>
  <si>
    <t>Newark and SherwoodARSHHOPBdst</t>
  </si>
  <si>
    <t>Newark and SherwoodARSHHOPNSC</t>
  </si>
  <si>
    <t>Newark and SherwoodARSHHOPSC</t>
  </si>
  <si>
    <t>Newark and SherwoodARSHHOPTotal</t>
  </si>
  <si>
    <t>Newark and SherwoodGN1Bd</t>
  </si>
  <si>
    <t>Newark and SherwoodGN2Bd</t>
  </si>
  <si>
    <t>Newark and SherwoodGN3Bd</t>
  </si>
  <si>
    <t>Newark and SherwoodGN4Bd</t>
  </si>
  <si>
    <t>Newark and SherwoodGN5Bd</t>
  </si>
  <si>
    <t>Newark and SherwoodGN6Bd</t>
  </si>
  <si>
    <t>Newark and SherwoodGNBdst</t>
  </si>
  <si>
    <t>Newark and SherwoodGNNSC</t>
  </si>
  <si>
    <t>Newark and SherwoodGNTotal</t>
  </si>
  <si>
    <t>Newark and SherwoodGNSC</t>
  </si>
  <si>
    <t>Newark and SherwoodGNAGGSC</t>
  </si>
  <si>
    <t>Newark and SherwoodGNAGGNSC</t>
  </si>
  <si>
    <t>Newark and SherwoodLCHO</t>
  </si>
  <si>
    <t>Newark and SherwoodSHHOP1Bd</t>
  </si>
  <si>
    <t>Newark and SherwoodSHHOP2Bd</t>
  </si>
  <si>
    <t>Newark and SherwoodSHHOP3Bd</t>
  </si>
  <si>
    <t>Newark and SherwoodSHHOP4Bd</t>
  </si>
  <si>
    <t>Newark and SherwoodSHHOPBdst</t>
  </si>
  <si>
    <t>Newark and SherwoodSHHOPNSC</t>
  </si>
  <si>
    <t>Newark and SherwoodSHHOPTotal</t>
  </si>
  <si>
    <t>Newark and SherwoodSHHOPSC</t>
  </si>
  <si>
    <t>Newark and SherwoodSHHOPAGGNA</t>
  </si>
  <si>
    <t>E07000176</t>
  </si>
  <si>
    <t>Rushcliffe</t>
  </si>
  <si>
    <t>RushcliffeARGN1Bd</t>
  </si>
  <si>
    <t>RushcliffeARGN2Bd</t>
  </si>
  <si>
    <t>RushcliffeARGN3Bd</t>
  </si>
  <si>
    <t>RushcliffeARGN4Bd</t>
  </si>
  <si>
    <t>RushcliffeARGN5Bd</t>
  </si>
  <si>
    <t>RushcliffeARGN6Bd</t>
  </si>
  <si>
    <t>RushcliffeARGNBdst</t>
  </si>
  <si>
    <t>RushcliffeARGNNSC</t>
  </si>
  <si>
    <t>RushcliffeARGNTotal</t>
  </si>
  <si>
    <t>RushcliffeARGNSC</t>
  </si>
  <si>
    <t>RushcliffeARSHHOP1Bd</t>
  </si>
  <si>
    <t>RushcliffeARSHHOP2Bd</t>
  </si>
  <si>
    <t>RushcliffeARSHHOP3Bd</t>
  </si>
  <si>
    <t>RushcliffeARSHHOP4Bd</t>
  </si>
  <si>
    <t>RushcliffeARSHHOPBdst</t>
  </si>
  <si>
    <t>RushcliffeARSHHOPNSC</t>
  </si>
  <si>
    <t>RushcliffeARSHHOPSC</t>
  </si>
  <si>
    <t>RushcliffeARSHHOPTotal</t>
  </si>
  <si>
    <t>RushcliffeGN1Bd</t>
  </si>
  <si>
    <t>RushcliffeGN2Bd</t>
  </si>
  <si>
    <t>RushcliffeGN3Bd</t>
  </si>
  <si>
    <t>RushcliffeGN4Bd</t>
  </si>
  <si>
    <t>RushcliffeGN5Bd</t>
  </si>
  <si>
    <t>RushcliffeGN6Bd</t>
  </si>
  <si>
    <t>RushcliffeGNBdst</t>
  </si>
  <si>
    <t>RushcliffeGNNSC</t>
  </si>
  <si>
    <t>RushcliffeGNTotal</t>
  </si>
  <si>
    <t>RushcliffeGNSC</t>
  </si>
  <si>
    <t>RushcliffeGNAGGSC</t>
  </si>
  <si>
    <t>RushcliffeGNAGGNSC</t>
  </si>
  <si>
    <t>RushcliffeLCHO</t>
  </si>
  <si>
    <t>RushcliffeSHHOP1Bd</t>
  </si>
  <si>
    <t>RushcliffeSHHOP2Bd</t>
  </si>
  <si>
    <t>RushcliffeSHHOP3Bd</t>
  </si>
  <si>
    <t>RushcliffeSHHOP4Bd</t>
  </si>
  <si>
    <t>RushcliffeSHHOPBdst</t>
  </si>
  <si>
    <t>RushcliffeSHHOPNSC</t>
  </si>
  <si>
    <t>RushcliffeSHHOPTotal</t>
  </si>
  <si>
    <t>RushcliffeSHHOPSC</t>
  </si>
  <si>
    <t>RushcliffeSHHOPAGGNA</t>
  </si>
  <si>
    <t>E07000177</t>
  </si>
  <si>
    <t>Cherwell</t>
  </si>
  <si>
    <t>CherwellARGN1Bd</t>
  </si>
  <si>
    <t>CherwellARGN2Bd</t>
  </si>
  <si>
    <t>CherwellARGN3Bd</t>
  </si>
  <si>
    <t>CherwellARGN4Bd</t>
  </si>
  <si>
    <t>CherwellARGN5Bd</t>
  </si>
  <si>
    <t>CherwellARGN6Bd</t>
  </si>
  <si>
    <t>CherwellARGNBdst</t>
  </si>
  <si>
    <t>CherwellARGNNSC</t>
  </si>
  <si>
    <t>CherwellARGNTotal</t>
  </si>
  <si>
    <t>CherwellARGNSC</t>
  </si>
  <si>
    <t>CherwellARSHHOP1Bd</t>
  </si>
  <si>
    <t>CherwellARSHHOP2Bd</t>
  </si>
  <si>
    <t>CherwellARSHHOP3Bd</t>
  </si>
  <si>
    <t>CherwellARSHHOP4Bd</t>
  </si>
  <si>
    <t>CherwellARSHHOPBdst</t>
  </si>
  <si>
    <t>CherwellARSHHOPNSC</t>
  </si>
  <si>
    <t>CherwellARSHHOPSC</t>
  </si>
  <si>
    <t>CherwellARSHHOPTotal</t>
  </si>
  <si>
    <t>CherwellGN1Bd</t>
  </si>
  <si>
    <t>CherwellGN2Bd</t>
  </si>
  <si>
    <t>CherwellGN3Bd</t>
  </si>
  <si>
    <t>CherwellGN4Bd</t>
  </si>
  <si>
    <t>CherwellGN5Bd</t>
  </si>
  <si>
    <t>CherwellGN6Bd</t>
  </si>
  <si>
    <t>CherwellGNBdst</t>
  </si>
  <si>
    <t>CherwellGNNSC</t>
  </si>
  <si>
    <t>CherwellGNTotal</t>
  </si>
  <si>
    <t>CherwellGNSC</t>
  </si>
  <si>
    <t>CherwellGNAGGSC</t>
  </si>
  <si>
    <t>CherwellGNAGGNSC</t>
  </si>
  <si>
    <t>CherwellLCHO</t>
  </si>
  <si>
    <t>CherwellSHHOP1Bd</t>
  </si>
  <si>
    <t>CherwellSHHOP2Bd</t>
  </si>
  <si>
    <t>CherwellSHHOP3Bd</t>
  </si>
  <si>
    <t>CherwellSHHOP4Bd</t>
  </si>
  <si>
    <t>CherwellSHHOPBdst</t>
  </si>
  <si>
    <t>CherwellSHHOPNSC</t>
  </si>
  <si>
    <t>CherwellSHHOPTotal</t>
  </si>
  <si>
    <t>CherwellSHHOPSC</t>
  </si>
  <si>
    <t>CherwellSHHOPAGGNA</t>
  </si>
  <si>
    <t>E07000178</t>
  </si>
  <si>
    <t>Oxford</t>
  </si>
  <si>
    <t>OxfordARGN1Bd</t>
  </si>
  <si>
    <t>OxfordARGN2Bd</t>
  </si>
  <si>
    <t>OxfordARGN3Bd</t>
  </si>
  <si>
    <t>OxfordARGN4Bd</t>
  </si>
  <si>
    <t>OxfordARGN5Bd</t>
  </si>
  <si>
    <t>OxfordARGN6Bd</t>
  </si>
  <si>
    <t>OxfordARGNBdst</t>
  </si>
  <si>
    <t>OxfordARGNNSC</t>
  </si>
  <si>
    <t>OxfordARGNTotal</t>
  </si>
  <si>
    <t>OxfordARGNSC</t>
  </si>
  <si>
    <t>OxfordARSHHOP1Bd</t>
  </si>
  <si>
    <t>OxfordARSHHOP2Bd</t>
  </si>
  <si>
    <t>OxfordARSHHOP3Bd</t>
  </si>
  <si>
    <t>OxfordARSHHOP4Bd</t>
  </si>
  <si>
    <t>OxfordARSHHOPBdst</t>
  </si>
  <si>
    <t>OxfordARSHHOPNSC</t>
  </si>
  <si>
    <t>OxfordARSHHOPSC</t>
  </si>
  <si>
    <t>OxfordARSHHOPTotal</t>
  </si>
  <si>
    <t>OxfordGN1Bd</t>
  </si>
  <si>
    <t>OxfordGN2Bd</t>
  </si>
  <si>
    <t>OxfordGN3Bd</t>
  </si>
  <si>
    <t>OxfordGN4Bd</t>
  </si>
  <si>
    <t>OxfordGN5Bd</t>
  </si>
  <si>
    <t>OxfordGN6Bd</t>
  </si>
  <si>
    <t>OxfordGNBdst</t>
  </si>
  <si>
    <t>OxfordGNNSC</t>
  </si>
  <si>
    <t>OxfordGNTotal</t>
  </si>
  <si>
    <t>OxfordGNSC</t>
  </si>
  <si>
    <t>OxfordGNAGGSC</t>
  </si>
  <si>
    <t>OxfordGNAGGNSC</t>
  </si>
  <si>
    <t>OxfordLCHO</t>
  </si>
  <si>
    <t>OxfordSHHOP1Bd</t>
  </si>
  <si>
    <t>OxfordSHHOP2Bd</t>
  </si>
  <si>
    <t>OxfordSHHOP3Bd</t>
  </si>
  <si>
    <t>OxfordSHHOP4Bd</t>
  </si>
  <si>
    <t>OxfordSHHOPBdst</t>
  </si>
  <si>
    <t>OxfordSHHOPNSC</t>
  </si>
  <si>
    <t>OxfordSHHOPTotal</t>
  </si>
  <si>
    <t>OxfordSHHOPSC</t>
  </si>
  <si>
    <t>OxfordSHHOPAGGNA</t>
  </si>
  <si>
    <t>E07000179</t>
  </si>
  <si>
    <t>South Oxfordshire</t>
  </si>
  <si>
    <t>South OxfordshireARGN1Bd</t>
  </si>
  <si>
    <t>South OxfordshireARGN2Bd</t>
  </si>
  <si>
    <t>South OxfordshireARGN3Bd</t>
  </si>
  <si>
    <t>South OxfordshireARGN4Bd</t>
  </si>
  <si>
    <t>South OxfordshireARGN5Bd</t>
  </si>
  <si>
    <t>South OxfordshireARGN6Bd</t>
  </si>
  <si>
    <t>South OxfordshireARGNBdst</t>
  </si>
  <si>
    <t>South OxfordshireARGNNSC</t>
  </si>
  <si>
    <t>South OxfordshireARGNTotal</t>
  </si>
  <si>
    <t>South OxfordshireARGNSC</t>
  </si>
  <si>
    <t>South OxfordshireARSHHOP1Bd</t>
  </si>
  <si>
    <t>South OxfordshireARSHHOP2Bd</t>
  </si>
  <si>
    <t>South OxfordshireARSHHOP3Bd</t>
  </si>
  <si>
    <t>South OxfordshireARSHHOP4Bd</t>
  </si>
  <si>
    <t>South OxfordshireARSHHOPBdst</t>
  </si>
  <si>
    <t>South OxfordshireARSHHOPNSC</t>
  </si>
  <si>
    <t>South OxfordshireARSHHOPSC</t>
  </si>
  <si>
    <t>South OxfordshireARSHHOPTotal</t>
  </si>
  <si>
    <t>South OxfordshireGN1Bd</t>
  </si>
  <si>
    <t>South OxfordshireGN2Bd</t>
  </si>
  <si>
    <t>South OxfordshireGN3Bd</t>
  </si>
  <si>
    <t>South OxfordshireGN4Bd</t>
  </si>
  <si>
    <t>South OxfordshireGN5Bd</t>
  </si>
  <si>
    <t>South OxfordshireGN6Bd</t>
  </si>
  <si>
    <t>South OxfordshireGNBdst</t>
  </si>
  <si>
    <t>South OxfordshireGNNSC</t>
  </si>
  <si>
    <t>South OxfordshireGNTotal</t>
  </si>
  <si>
    <t>South OxfordshireGNSC</t>
  </si>
  <si>
    <t>South OxfordshireGNAGGSC</t>
  </si>
  <si>
    <t>South OxfordshireGNAGGNSC</t>
  </si>
  <si>
    <t>South OxfordshireLCHO</t>
  </si>
  <si>
    <t>South OxfordshireSHHOP1Bd</t>
  </si>
  <si>
    <t>South OxfordshireSHHOP2Bd</t>
  </si>
  <si>
    <t>South OxfordshireSHHOP3Bd</t>
  </si>
  <si>
    <t>South OxfordshireSHHOP4Bd</t>
  </si>
  <si>
    <t>South OxfordshireSHHOPBdst</t>
  </si>
  <si>
    <t>South OxfordshireSHHOPNSC</t>
  </si>
  <si>
    <t>South OxfordshireSHHOPTotal</t>
  </si>
  <si>
    <t>South OxfordshireSHHOPSC</t>
  </si>
  <si>
    <t>South OxfordshireSHHOPAGGNA</t>
  </si>
  <si>
    <t>E07000180</t>
  </si>
  <si>
    <t>Vale of White HorseARGN1Bd</t>
  </si>
  <si>
    <t>Vale of White HorseARGN2Bd</t>
  </si>
  <si>
    <t>Vale of White HorseARGN3Bd</t>
  </si>
  <si>
    <t>Vale of White HorseARGN4Bd</t>
  </si>
  <si>
    <t>Vale of White HorseARGN5Bd</t>
  </si>
  <si>
    <t>Vale of White HorseARGN6Bd</t>
  </si>
  <si>
    <t>Vale of White HorseARGNBdst</t>
  </si>
  <si>
    <t>Vale of White HorseARGNNSC</t>
  </si>
  <si>
    <t>Vale of White HorseARGNTotal</t>
  </si>
  <si>
    <t>Vale of White HorseARGNSC</t>
  </si>
  <si>
    <t>Vale of White HorseARSHHOP1Bd</t>
  </si>
  <si>
    <t>Vale of White HorseARSHHOP2Bd</t>
  </si>
  <si>
    <t>Vale of White HorseARSHHOP3Bd</t>
  </si>
  <si>
    <t>Vale of White HorseARSHHOP4Bd</t>
  </si>
  <si>
    <t>Vale of White HorseARSHHOPBdst</t>
  </si>
  <si>
    <t>Vale of White HorseARSHHOPNSC</t>
  </si>
  <si>
    <t>Vale of White HorseARSHHOPSC</t>
  </si>
  <si>
    <t>Vale of White HorseARSHHOPTotal</t>
  </si>
  <si>
    <t>Vale of White HorseGN1Bd</t>
  </si>
  <si>
    <t>Vale of White HorseGN2Bd</t>
  </si>
  <si>
    <t>Vale of White HorseGN3Bd</t>
  </si>
  <si>
    <t>Vale of White HorseGN4Bd</t>
  </si>
  <si>
    <t>Vale of White HorseGN5Bd</t>
  </si>
  <si>
    <t>Vale of White HorseGN6Bd</t>
  </si>
  <si>
    <t>Vale of White HorseGNBdst</t>
  </si>
  <si>
    <t>Vale of White HorseGNNSC</t>
  </si>
  <si>
    <t>Vale of White HorseGNTotal</t>
  </si>
  <si>
    <t>Vale of White HorseGNSC</t>
  </si>
  <si>
    <t>Vale of White HorseGNAGGSC</t>
  </si>
  <si>
    <t>Vale of White HorseGNAGGNSC</t>
  </si>
  <si>
    <t>Vale of White HorseLCHO</t>
  </si>
  <si>
    <t>Vale of White HorseSHHOP1Bd</t>
  </si>
  <si>
    <t>Vale of White HorseSHHOP2Bd</t>
  </si>
  <si>
    <t>Vale of White HorseSHHOP3Bd</t>
  </si>
  <si>
    <t>Vale of White HorseSHHOP4Bd</t>
  </si>
  <si>
    <t>Vale of White HorseSHHOPBdst</t>
  </si>
  <si>
    <t>Vale of White HorseSHHOPNSC</t>
  </si>
  <si>
    <t>Vale of White HorseSHHOPTotal</t>
  </si>
  <si>
    <t>Vale of White HorseSHHOPSC</t>
  </si>
  <si>
    <t>Vale of White HorseSHHOPAGGNA</t>
  </si>
  <si>
    <t>E07000181</t>
  </si>
  <si>
    <t>West OxfordshireARGN1Bd</t>
  </si>
  <si>
    <t>West OxfordshireARGN2Bd</t>
  </si>
  <si>
    <t>West OxfordshireARGN3Bd</t>
  </si>
  <si>
    <t>West OxfordshireARGN4Bd</t>
  </si>
  <si>
    <t>West OxfordshireARGN5Bd</t>
  </si>
  <si>
    <t>West OxfordshireARGN6Bd</t>
  </si>
  <si>
    <t>West OxfordshireARGNBdst</t>
  </si>
  <si>
    <t>West OxfordshireARGNNSC</t>
  </si>
  <si>
    <t>West OxfordshireARGNTotal</t>
  </si>
  <si>
    <t>West OxfordshireARGNSC</t>
  </si>
  <si>
    <t>West OxfordshireARSHHOP1Bd</t>
  </si>
  <si>
    <t>West OxfordshireARSHHOP2Bd</t>
  </si>
  <si>
    <t>West OxfordshireARSHHOP3Bd</t>
  </si>
  <si>
    <t>West OxfordshireARSHHOP4Bd</t>
  </si>
  <si>
    <t>West OxfordshireARSHHOPBdst</t>
  </si>
  <si>
    <t>West OxfordshireARSHHOPNSC</t>
  </si>
  <si>
    <t>West OxfordshireARSHHOPSC</t>
  </si>
  <si>
    <t>West OxfordshireARSHHOPTotal</t>
  </si>
  <si>
    <t>West OxfordshireGN1Bd</t>
  </si>
  <si>
    <t>West OxfordshireGN2Bd</t>
  </si>
  <si>
    <t>West OxfordshireGN3Bd</t>
  </si>
  <si>
    <t>West OxfordshireGN4Bd</t>
  </si>
  <si>
    <t>West OxfordshireGN5Bd</t>
  </si>
  <si>
    <t>West OxfordshireGN6Bd</t>
  </si>
  <si>
    <t>West OxfordshireGNBdst</t>
  </si>
  <si>
    <t>West OxfordshireGNNSC</t>
  </si>
  <si>
    <t>West OxfordshireGNTotal</t>
  </si>
  <si>
    <t>West OxfordshireGNSC</t>
  </si>
  <si>
    <t>West OxfordshireGNAGGSC</t>
  </si>
  <si>
    <t>West OxfordshireGNAGGNSC</t>
  </si>
  <si>
    <t>West OxfordshireLCHO</t>
  </si>
  <si>
    <t>West OxfordshireSHHOP1Bd</t>
  </si>
  <si>
    <t>West OxfordshireSHHOP2Bd</t>
  </si>
  <si>
    <t>West OxfordshireSHHOP3Bd</t>
  </si>
  <si>
    <t>West OxfordshireSHHOP4Bd</t>
  </si>
  <si>
    <t>West OxfordshireSHHOPBdst</t>
  </si>
  <si>
    <t>West OxfordshireSHHOPNSC</t>
  </si>
  <si>
    <t>West OxfordshireSHHOPTotal</t>
  </si>
  <si>
    <t>West OxfordshireSHHOPSC</t>
  </si>
  <si>
    <t>West OxfordshireSHHOPAGGNA</t>
  </si>
  <si>
    <t>E07000192</t>
  </si>
  <si>
    <t>Cannock Chase</t>
  </si>
  <si>
    <t>Cannock ChaseARGN1Bd</t>
  </si>
  <si>
    <t>Cannock ChaseARGN2Bd</t>
  </si>
  <si>
    <t>Cannock ChaseARGN3Bd</t>
  </si>
  <si>
    <t>Cannock ChaseARGN4Bd</t>
  </si>
  <si>
    <t>Cannock ChaseARGN5Bd</t>
  </si>
  <si>
    <t>Cannock ChaseARGN6Bd</t>
  </si>
  <si>
    <t>Cannock ChaseARGNBdst</t>
  </si>
  <si>
    <t>Cannock ChaseARGNNSC</t>
  </si>
  <si>
    <t>Cannock ChaseARGNTotal</t>
  </si>
  <si>
    <t>Cannock ChaseARGNSC</t>
  </si>
  <si>
    <t>Cannock ChaseARSHHOP1Bd</t>
  </si>
  <si>
    <t>Cannock ChaseARSHHOP2Bd</t>
  </si>
  <si>
    <t>Cannock ChaseARSHHOP3Bd</t>
  </si>
  <si>
    <t>Cannock ChaseARSHHOP4Bd</t>
  </si>
  <si>
    <t>Cannock ChaseARSHHOPBdst</t>
  </si>
  <si>
    <t>Cannock ChaseARSHHOPNSC</t>
  </si>
  <si>
    <t>Cannock ChaseARSHHOPSC</t>
  </si>
  <si>
    <t>Cannock ChaseARSHHOPTotal</t>
  </si>
  <si>
    <t>Cannock ChaseGN1Bd</t>
  </si>
  <si>
    <t>Cannock ChaseGN2Bd</t>
  </si>
  <si>
    <t>Cannock ChaseGN3Bd</t>
  </si>
  <si>
    <t>Cannock ChaseGN4Bd</t>
  </si>
  <si>
    <t>Cannock ChaseGN5Bd</t>
  </si>
  <si>
    <t>Cannock ChaseGN6Bd</t>
  </si>
  <si>
    <t>Cannock ChaseGNBdst</t>
  </si>
  <si>
    <t>Cannock ChaseGNNSC</t>
  </si>
  <si>
    <t>Cannock ChaseGNTotal</t>
  </si>
  <si>
    <t>Cannock ChaseGNSC</t>
  </si>
  <si>
    <t>Cannock ChaseGNAGGSC</t>
  </si>
  <si>
    <t>Cannock ChaseGNAGGNSC</t>
  </si>
  <si>
    <t>Cannock ChaseLCHO</t>
  </si>
  <si>
    <t>Cannock ChaseSHHOP1Bd</t>
  </si>
  <si>
    <t>Cannock ChaseSHHOP2Bd</t>
  </si>
  <si>
    <t>Cannock ChaseSHHOP3Bd</t>
  </si>
  <si>
    <t>Cannock ChaseSHHOP4Bd</t>
  </si>
  <si>
    <t>Cannock ChaseSHHOPBdst</t>
  </si>
  <si>
    <t>Cannock ChaseSHHOPNSC</t>
  </si>
  <si>
    <t>Cannock ChaseSHHOPTotal</t>
  </si>
  <si>
    <t>Cannock ChaseSHHOPSC</t>
  </si>
  <si>
    <t>Cannock ChaseSHHOPAGGNA</t>
  </si>
  <si>
    <t>E07000193</t>
  </si>
  <si>
    <t>East Staffordshire</t>
  </si>
  <si>
    <t>East StaffordshireARGN1Bd</t>
  </si>
  <si>
    <t>East StaffordshireARGN2Bd</t>
  </si>
  <si>
    <t>East StaffordshireARGN3Bd</t>
  </si>
  <si>
    <t>East StaffordshireARGN4Bd</t>
  </si>
  <si>
    <t>East StaffordshireARGN5Bd</t>
  </si>
  <si>
    <t>East StaffordshireARGN6Bd</t>
  </si>
  <si>
    <t>East StaffordshireARGNBdst</t>
  </si>
  <si>
    <t>East StaffordshireARGNNSC</t>
  </si>
  <si>
    <t>East StaffordshireARGNTotal</t>
  </si>
  <si>
    <t>East StaffordshireARGNSC</t>
  </si>
  <si>
    <t>East StaffordshireGN1Bd</t>
  </si>
  <si>
    <t>East StaffordshireGN2Bd</t>
  </si>
  <si>
    <t>East StaffordshireGN3Bd</t>
  </si>
  <si>
    <t>East StaffordshireGN4Bd</t>
  </si>
  <si>
    <t>East StaffordshireGN5Bd</t>
  </si>
  <si>
    <t>East StaffordshireGN6Bd</t>
  </si>
  <si>
    <t>East StaffordshireGNBdst</t>
  </si>
  <si>
    <t>East StaffordshireGNNSC</t>
  </si>
  <si>
    <t>East StaffordshireGNTotal</t>
  </si>
  <si>
    <t>East StaffordshireGNSC</t>
  </si>
  <si>
    <t>East StaffordshireGNAGGSC</t>
  </si>
  <si>
    <t>East StaffordshireGNAGGNSC</t>
  </si>
  <si>
    <t>East StaffordshireLCHO</t>
  </si>
  <si>
    <t>East StaffordshireSHHOP1Bd</t>
  </si>
  <si>
    <t>East StaffordshireSHHOP2Bd</t>
  </si>
  <si>
    <t>East StaffordshireSHHOP3Bd</t>
  </si>
  <si>
    <t>East StaffordshireSHHOP4Bd</t>
  </si>
  <si>
    <t>East StaffordshireSHHOPBdst</t>
  </si>
  <si>
    <t>East StaffordshireSHHOPNSC</t>
  </si>
  <si>
    <t>East StaffordshireSHHOPTotal</t>
  </si>
  <si>
    <t>East StaffordshireSHHOPSC</t>
  </si>
  <si>
    <t>East StaffordshireSHHOPAGGNA</t>
  </si>
  <si>
    <t>E07000194</t>
  </si>
  <si>
    <t>Lichfield</t>
  </si>
  <si>
    <t>LichfieldARGN1Bd</t>
  </si>
  <si>
    <t>LichfieldARGN2Bd</t>
  </si>
  <si>
    <t>LichfieldARGN3Bd</t>
  </si>
  <si>
    <t>LichfieldARGN4Bd</t>
  </si>
  <si>
    <t>LichfieldARGN5Bd</t>
  </si>
  <si>
    <t>LichfieldARGN6Bd</t>
  </si>
  <si>
    <t>LichfieldARGNBdst</t>
  </si>
  <si>
    <t>LichfieldARGNNSC</t>
  </si>
  <si>
    <t>LichfieldARGNTotal</t>
  </si>
  <si>
    <t>LichfieldARGNSC</t>
  </si>
  <si>
    <t>LichfieldARSHHOP1Bd</t>
  </si>
  <si>
    <t>LichfieldARSHHOP2Bd</t>
  </si>
  <si>
    <t>LichfieldARSHHOP3Bd</t>
  </si>
  <si>
    <t>LichfieldARSHHOP4Bd</t>
  </si>
  <si>
    <t>LichfieldARSHHOPBdst</t>
  </si>
  <si>
    <t>LichfieldARSHHOPNSC</t>
  </si>
  <si>
    <t>LichfieldARSHHOPSC</t>
  </si>
  <si>
    <t>LichfieldARSHHOPTotal</t>
  </si>
  <si>
    <t>LichfieldGN1Bd</t>
  </si>
  <si>
    <t>LichfieldGN2Bd</t>
  </si>
  <si>
    <t>LichfieldGN3Bd</t>
  </si>
  <si>
    <t>LichfieldGN4Bd</t>
  </si>
  <si>
    <t>LichfieldGN5Bd</t>
  </si>
  <si>
    <t>LichfieldGN6Bd</t>
  </si>
  <si>
    <t>LichfieldGNBdst</t>
  </si>
  <si>
    <t>LichfieldGNNSC</t>
  </si>
  <si>
    <t>LichfieldGNTotal</t>
  </si>
  <si>
    <t>LichfieldGNSC</t>
  </si>
  <si>
    <t>LichfieldGNAGGSC</t>
  </si>
  <si>
    <t>LichfieldGNAGGNSC</t>
  </si>
  <si>
    <t>LichfieldLCHO</t>
  </si>
  <si>
    <t>LichfieldSHHOP1Bd</t>
  </si>
  <si>
    <t>LichfieldSHHOP2Bd</t>
  </si>
  <si>
    <t>LichfieldSHHOP3Bd</t>
  </si>
  <si>
    <t>LichfieldSHHOP4Bd</t>
  </si>
  <si>
    <t>LichfieldSHHOPBdst</t>
  </si>
  <si>
    <t>LichfieldSHHOPNSC</t>
  </si>
  <si>
    <t>LichfieldSHHOPTotal</t>
  </si>
  <si>
    <t>LichfieldSHHOPSC</t>
  </si>
  <si>
    <t>LichfieldSHHOPAGGNA</t>
  </si>
  <si>
    <t>E07000195</t>
  </si>
  <si>
    <t>Newcastle-under-Lyme</t>
  </si>
  <si>
    <t>Newcastle-under-LymeARGN1Bd</t>
  </si>
  <si>
    <t>Newcastle-under-LymeARGN2Bd</t>
  </si>
  <si>
    <t>Newcastle-under-LymeARGN3Bd</t>
  </si>
  <si>
    <t>Newcastle-under-LymeARGN4Bd</t>
  </si>
  <si>
    <t>Newcastle-under-LymeARGN5Bd</t>
  </si>
  <si>
    <t>Newcastle-under-LymeARGN6Bd</t>
  </si>
  <si>
    <t>Newcastle-under-LymeARGNBdst</t>
  </si>
  <si>
    <t>Newcastle-under-LymeARGNNSC</t>
  </si>
  <si>
    <t>Newcastle-under-LymeARGNTotal</t>
  </si>
  <si>
    <t>Newcastle-under-LymeARGNSC</t>
  </si>
  <si>
    <t>Newcastle-under-LymeARSHHOP1Bd</t>
  </si>
  <si>
    <t>Newcastle-under-LymeARSHHOP2Bd</t>
  </si>
  <si>
    <t>Newcastle-under-LymeARSHHOP3Bd</t>
  </si>
  <si>
    <t>Newcastle-under-LymeARSHHOP4Bd</t>
  </si>
  <si>
    <t>Newcastle-under-LymeARSHHOPBdst</t>
  </si>
  <si>
    <t>Newcastle-under-LymeARSHHOPNSC</t>
  </si>
  <si>
    <t>Newcastle-under-LymeARSHHOPSC</t>
  </si>
  <si>
    <t>Newcastle-under-LymeARSHHOPTotal</t>
  </si>
  <si>
    <t>Newcastle-under-LymeGN1Bd</t>
  </si>
  <si>
    <t>Newcastle-under-LymeGN2Bd</t>
  </si>
  <si>
    <t>Newcastle-under-LymeGN3Bd</t>
  </si>
  <si>
    <t>Newcastle-under-LymeGN4Bd</t>
  </si>
  <si>
    <t>Newcastle-under-LymeGN5Bd</t>
  </si>
  <si>
    <t>Newcastle-under-LymeGN6Bd</t>
  </si>
  <si>
    <t>Newcastle-under-LymeGNBdst</t>
  </si>
  <si>
    <t>Newcastle-under-LymeGNNSC</t>
  </si>
  <si>
    <t>Newcastle-under-LymeGNTotal</t>
  </si>
  <si>
    <t>Newcastle-under-LymeGNSC</t>
  </si>
  <si>
    <t>Newcastle-under-LymeGNAGGSC</t>
  </si>
  <si>
    <t>Newcastle-under-LymeGNAGGNSC</t>
  </si>
  <si>
    <t>Newcastle-under-LymeLCHO</t>
  </si>
  <si>
    <t>Newcastle-under-LymeSHHOP1Bd</t>
  </si>
  <si>
    <t>Newcastle-under-LymeSHHOP2Bd</t>
  </si>
  <si>
    <t>Newcastle-under-LymeSHHOP3Bd</t>
  </si>
  <si>
    <t>Newcastle-under-LymeSHHOP4Bd</t>
  </si>
  <si>
    <t>Newcastle-under-LymeSHHOPBdst</t>
  </si>
  <si>
    <t>Newcastle-under-LymeSHHOPNSC</t>
  </si>
  <si>
    <t>Newcastle-under-LymeSHHOPTotal</t>
  </si>
  <si>
    <t>Newcastle-under-LymeSHHOPSC</t>
  </si>
  <si>
    <t>Newcastle-under-LymeSHHOPAGGNA</t>
  </si>
  <si>
    <t>E07000196</t>
  </si>
  <si>
    <t>South Staffordshire</t>
  </si>
  <si>
    <t>South StaffordshireARGN1Bd</t>
  </si>
  <si>
    <t>South StaffordshireARGN2Bd</t>
  </si>
  <si>
    <t>South StaffordshireARGN3Bd</t>
  </si>
  <si>
    <t>South StaffordshireARGN4Bd</t>
  </si>
  <si>
    <t>South StaffordshireARGN5Bd</t>
  </si>
  <si>
    <t>South StaffordshireARGN6Bd</t>
  </si>
  <si>
    <t>South StaffordshireARGNBdst</t>
  </si>
  <si>
    <t>South StaffordshireARGNNSC</t>
  </si>
  <si>
    <t>South StaffordshireARGNTotal</t>
  </si>
  <si>
    <t>South StaffordshireARGNSC</t>
  </si>
  <si>
    <t>South StaffordshireARSHHOP1Bd</t>
  </si>
  <si>
    <t>South StaffordshireARSHHOP2Bd</t>
  </si>
  <si>
    <t>South StaffordshireARSHHOP3Bd</t>
  </si>
  <si>
    <t>South StaffordshireARSHHOP4Bd</t>
  </si>
  <si>
    <t>South StaffordshireARSHHOPBdst</t>
  </si>
  <si>
    <t>South StaffordshireARSHHOPNSC</t>
  </si>
  <si>
    <t>South StaffordshireARSHHOPSC</t>
  </si>
  <si>
    <t>South StaffordshireARSHHOPTotal</t>
  </si>
  <si>
    <t>South StaffordshireGN1Bd</t>
  </si>
  <si>
    <t>South StaffordshireGN2Bd</t>
  </si>
  <si>
    <t>South StaffordshireGN3Bd</t>
  </si>
  <si>
    <t>South StaffordshireGN4Bd</t>
  </si>
  <si>
    <t>South StaffordshireGN5Bd</t>
  </si>
  <si>
    <t>South StaffordshireGN6Bd</t>
  </si>
  <si>
    <t>South StaffordshireGNBdst</t>
  </si>
  <si>
    <t>South StaffordshireGNNSC</t>
  </si>
  <si>
    <t>South StaffordshireGNTotal</t>
  </si>
  <si>
    <t>South StaffordshireGNSC</t>
  </si>
  <si>
    <t>South StaffordshireGNAGGSC</t>
  </si>
  <si>
    <t>South StaffordshireGNAGGNSC</t>
  </si>
  <si>
    <t>South StaffordshireLCHO</t>
  </si>
  <si>
    <t>South StaffordshireSHHOP1Bd</t>
  </si>
  <si>
    <t>South StaffordshireSHHOP2Bd</t>
  </si>
  <si>
    <t>South StaffordshireSHHOP3Bd</t>
  </si>
  <si>
    <t>South StaffordshireSHHOP4Bd</t>
  </si>
  <si>
    <t>South StaffordshireSHHOPBdst</t>
  </si>
  <si>
    <t>South StaffordshireSHHOPNSC</t>
  </si>
  <si>
    <t>South StaffordshireSHHOPTotal</t>
  </si>
  <si>
    <t>South StaffordshireSHHOPSC</t>
  </si>
  <si>
    <t>South StaffordshireSHHOPAGGNA</t>
  </si>
  <si>
    <t>E07000197</t>
  </si>
  <si>
    <t>StaffordARGN1Bd</t>
  </si>
  <si>
    <t>StaffordARGN2Bd</t>
  </si>
  <si>
    <t>StaffordARGN3Bd</t>
  </si>
  <si>
    <t>StaffordARGN4Bd</t>
  </si>
  <si>
    <t>StaffordARGN5Bd</t>
  </si>
  <si>
    <t>StaffordARGN6Bd</t>
  </si>
  <si>
    <t>StaffordARGNBdst</t>
  </si>
  <si>
    <t>StaffordARGNNSC</t>
  </si>
  <si>
    <t>StaffordARGNTotal</t>
  </si>
  <si>
    <t>StaffordARGNSC</t>
  </si>
  <si>
    <t>StaffordARSHHOP1Bd</t>
  </si>
  <si>
    <t>StaffordARSHHOP2Bd</t>
  </si>
  <si>
    <t>StaffordARSHHOP3Bd</t>
  </si>
  <si>
    <t>StaffordARSHHOP4Bd</t>
  </si>
  <si>
    <t>StaffordARSHHOPBdst</t>
  </si>
  <si>
    <t>StaffordARSHHOPNSC</t>
  </si>
  <si>
    <t>StaffordARSHHOPSC</t>
  </si>
  <si>
    <t>StaffordARSHHOPTotal</t>
  </si>
  <si>
    <t>StaffordGN1Bd</t>
  </si>
  <si>
    <t>StaffordGN2Bd</t>
  </si>
  <si>
    <t>StaffordGN3Bd</t>
  </si>
  <si>
    <t>StaffordGN4Bd</t>
  </si>
  <si>
    <t>StaffordGN5Bd</t>
  </si>
  <si>
    <t>StaffordGN6Bd</t>
  </si>
  <si>
    <t>StaffordGNBdst</t>
  </si>
  <si>
    <t>StaffordGNNSC</t>
  </si>
  <si>
    <t>StaffordGNTotal</t>
  </si>
  <si>
    <t>StaffordGNSC</t>
  </si>
  <si>
    <t>StaffordGNAGGSC</t>
  </si>
  <si>
    <t>StaffordGNAGGNSC</t>
  </si>
  <si>
    <t>StaffordLCHO</t>
  </si>
  <si>
    <t>StaffordSHHOP1Bd</t>
  </si>
  <si>
    <t>StaffordSHHOP2Bd</t>
  </si>
  <si>
    <t>StaffordSHHOP3Bd</t>
  </si>
  <si>
    <t>StaffordSHHOP4Bd</t>
  </si>
  <si>
    <t>StaffordSHHOPBdst</t>
  </si>
  <si>
    <t>StaffordSHHOPNSC</t>
  </si>
  <si>
    <t>StaffordSHHOPTotal</t>
  </si>
  <si>
    <t>StaffordSHHOPSC</t>
  </si>
  <si>
    <t>StaffordSHHOPAGGNA</t>
  </si>
  <si>
    <t>E07000198</t>
  </si>
  <si>
    <t>Staffordshire MoorlandsARGN1Bd</t>
  </si>
  <si>
    <t>Staffordshire MoorlandsARGN2Bd</t>
  </si>
  <si>
    <t>Staffordshire MoorlandsARGN3Bd</t>
  </si>
  <si>
    <t>Staffordshire MoorlandsARGN4Bd</t>
  </si>
  <si>
    <t>Staffordshire MoorlandsARGN5Bd</t>
  </si>
  <si>
    <t>Staffordshire MoorlandsARGN6Bd</t>
  </si>
  <si>
    <t>Staffordshire MoorlandsARGNBdst</t>
  </si>
  <si>
    <t>Staffordshire MoorlandsARGNNSC</t>
  </si>
  <si>
    <t>Staffordshire MoorlandsARGNTotal</t>
  </si>
  <si>
    <t>Staffordshire MoorlandsARGNSC</t>
  </si>
  <si>
    <t>Staffordshire MoorlandsARSHHOP1Bd</t>
  </si>
  <si>
    <t>Staffordshire MoorlandsARSHHOP2Bd</t>
  </si>
  <si>
    <t>Staffordshire MoorlandsARSHHOP3Bd</t>
  </si>
  <si>
    <t>Staffordshire MoorlandsARSHHOP4Bd</t>
  </si>
  <si>
    <t>Staffordshire MoorlandsARSHHOPBdst</t>
  </si>
  <si>
    <t>Staffordshire MoorlandsARSHHOPNSC</t>
  </si>
  <si>
    <t>Staffordshire MoorlandsARSHHOPSC</t>
  </si>
  <si>
    <t>Staffordshire MoorlandsARSHHOPTotal</t>
  </si>
  <si>
    <t>Staffordshire MoorlandsGN1Bd</t>
  </si>
  <si>
    <t>Staffordshire MoorlandsGN2Bd</t>
  </si>
  <si>
    <t>Staffordshire MoorlandsGN3Bd</t>
  </si>
  <si>
    <t>Staffordshire MoorlandsGN4Bd</t>
  </si>
  <si>
    <t>Staffordshire MoorlandsGN5Bd</t>
  </si>
  <si>
    <t>Staffordshire MoorlandsGN6Bd</t>
  </si>
  <si>
    <t>Staffordshire MoorlandsGNBdst</t>
  </si>
  <si>
    <t>Staffordshire MoorlandsGNNSC</t>
  </si>
  <si>
    <t>Staffordshire MoorlandsGNTotal</t>
  </si>
  <si>
    <t>Staffordshire MoorlandsGNSC</t>
  </si>
  <si>
    <t>Staffordshire MoorlandsGNAGGSC</t>
  </si>
  <si>
    <t>Staffordshire MoorlandsGNAGGNSC</t>
  </si>
  <si>
    <t>Staffordshire MoorlandsLCHO</t>
  </si>
  <si>
    <t>Staffordshire MoorlandsSHHOP1Bd</t>
  </si>
  <si>
    <t>Staffordshire MoorlandsSHHOP2Bd</t>
  </si>
  <si>
    <t>Staffordshire MoorlandsSHHOP3Bd</t>
  </si>
  <si>
    <t>Staffordshire MoorlandsSHHOP4Bd</t>
  </si>
  <si>
    <t>Staffordshire MoorlandsSHHOPBdst</t>
  </si>
  <si>
    <t>Staffordshire MoorlandsSHHOPNSC</t>
  </si>
  <si>
    <t>Staffordshire MoorlandsSHHOPTotal</t>
  </si>
  <si>
    <t>Staffordshire MoorlandsSHHOPSC</t>
  </si>
  <si>
    <t>Staffordshire MoorlandsSHHOPAGGNA</t>
  </si>
  <si>
    <t>E07000199</t>
  </si>
  <si>
    <t>TamworthARGN1Bd</t>
  </si>
  <si>
    <t>TamworthARGN2Bd</t>
  </si>
  <si>
    <t>TamworthARGN3Bd</t>
  </si>
  <si>
    <t>TamworthARGN4Bd</t>
  </si>
  <si>
    <t>TamworthARGN5Bd</t>
  </si>
  <si>
    <t>TamworthARGN6Bd</t>
  </si>
  <si>
    <t>TamworthARGNBdst</t>
  </si>
  <si>
    <t>TamworthARGNNSC</t>
  </si>
  <si>
    <t>TamworthARGNTotal</t>
  </si>
  <si>
    <t>TamworthARGNSC</t>
  </si>
  <si>
    <t>TamworthARSHHOP1Bd</t>
  </si>
  <si>
    <t>TamworthARSHHOP2Bd</t>
  </si>
  <si>
    <t>TamworthARSHHOP3Bd</t>
  </si>
  <si>
    <t>TamworthARSHHOP4Bd</t>
  </si>
  <si>
    <t>TamworthARSHHOPBdst</t>
  </si>
  <si>
    <t>TamworthARSHHOPNSC</t>
  </si>
  <si>
    <t>TamworthARSHHOPSC</t>
  </si>
  <si>
    <t>TamworthARSHHOPTotal</t>
  </si>
  <si>
    <t>TamworthGN1Bd</t>
  </si>
  <si>
    <t>TamworthGN2Bd</t>
  </si>
  <si>
    <t>TamworthGN3Bd</t>
  </si>
  <si>
    <t>TamworthGN4Bd</t>
  </si>
  <si>
    <t>TamworthGN5Bd</t>
  </si>
  <si>
    <t>TamworthGN6Bd</t>
  </si>
  <si>
    <t>TamworthGNBdst</t>
  </si>
  <si>
    <t>TamworthGNNSC</t>
  </si>
  <si>
    <t>TamworthGNTotal</t>
  </si>
  <si>
    <t>TamworthGNSC</t>
  </si>
  <si>
    <t>TamworthGNAGGSC</t>
  </si>
  <si>
    <t>TamworthGNAGGNSC</t>
  </si>
  <si>
    <t>TamworthLCHO</t>
  </si>
  <si>
    <t>TamworthSHHOP1Bd</t>
  </si>
  <si>
    <t>TamworthSHHOP2Bd</t>
  </si>
  <si>
    <t>TamworthSHHOP3Bd</t>
  </si>
  <si>
    <t>TamworthSHHOP4Bd</t>
  </si>
  <si>
    <t>TamworthSHHOPBdst</t>
  </si>
  <si>
    <t>TamworthSHHOPNSC</t>
  </si>
  <si>
    <t>TamworthSHHOPTotal</t>
  </si>
  <si>
    <t>TamworthSHHOPSC</t>
  </si>
  <si>
    <t>TamworthSHHOPAGGNA</t>
  </si>
  <si>
    <t>E07000200</t>
  </si>
  <si>
    <t>Babergh</t>
  </si>
  <si>
    <t>BaberghARGN1Bd</t>
  </si>
  <si>
    <t>BaberghARGN2Bd</t>
  </si>
  <si>
    <t>BaberghARGN3Bd</t>
  </si>
  <si>
    <t>BaberghARGN4Bd</t>
  </si>
  <si>
    <t>BaberghARGN5Bd</t>
  </si>
  <si>
    <t>BaberghARGN6Bd</t>
  </si>
  <si>
    <t>BaberghARGNBdst</t>
  </si>
  <si>
    <t>BaberghARGNNSC</t>
  </si>
  <si>
    <t>BaberghARGNTotal</t>
  </si>
  <si>
    <t>BaberghARGNSC</t>
  </si>
  <si>
    <t>BaberghARSHHOP1Bd</t>
  </si>
  <si>
    <t>BaberghARSHHOP2Bd</t>
  </si>
  <si>
    <t>BaberghARSHHOP3Bd</t>
  </si>
  <si>
    <t>BaberghARSHHOP4Bd</t>
  </si>
  <si>
    <t>BaberghARSHHOPBdst</t>
  </si>
  <si>
    <t>BaberghARSHHOPNSC</t>
  </si>
  <si>
    <t>BaberghARSHHOPSC</t>
  </si>
  <si>
    <t>BaberghARSHHOPTotal</t>
  </si>
  <si>
    <t>BaberghGN1Bd</t>
  </si>
  <si>
    <t>BaberghGN2Bd</t>
  </si>
  <si>
    <t>BaberghGN3Bd</t>
  </si>
  <si>
    <t>BaberghGN4Bd</t>
  </si>
  <si>
    <t>BaberghGN5Bd</t>
  </si>
  <si>
    <t>BaberghGN6Bd</t>
  </si>
  <si>
    <t>BaberghGNBdst</t>
  </si>
  <si>
    <t>BaberghGNNSC</t>
  </si>
  <si>
    <t>BaberghGNTotal</t>
  </si>
  <si>
    <t>BaberghGNSC</t>
  </si>
  <si>
    <t>BaberghGNAGGSC</t>
  </si>
  <si>
    <t>BaberghGNAGGNSC</t>
  </si>
  <si>
    <t>BaberghLCHO</t>
  </si>
  <si>
    <t>BaberghSHHOP1Bd</t>
  </si>
  <si>
    <t>BaberghSHHOP2Bd</t>
  </si>
  <si>
    <t>BaberghSHHOP3Bd</t>
  </si>
  <si>
    <t>BaberghSHHOP4Bd</t>
  </si>
  <si>
    <t>BaberghSHHOPBdst</t>
  </si>
  <si>
    <t>BaberghSHHOPNSC</t>
  </si>
  <si>
    <t>BaberghSHHOPTotal</t>
  </si>
  <si>
    <t>BaberghSHHOPSC</t>
  </si>
  <si>
    <t>BaberghSHHOPAGGNA</t>
  </si>
  <si>
    <t>E07000202</t>
  </si>
  <si>
    <t>Ipswich</t>
  </si>
  <si>
    <t>IpswichARGN1Bd</t>
  </si>
  <si>
    <t>IpswichARGN2Bd</t>
  </si>
  <si>
    <t>IpswichARGN3Bd</t>
  </si>
  <si>
    <t>IpswichARGN4Bd</t>
  </si>
  <si>
    <t>IpswichARGN5Bd</t>
  </si>
  <si>
    <t>IpswichARGN6Bd</t>
  </si>
  <si>
    <t>IpswichARGNBdst</t>
  </si>
  <si>
    <t>IpswichARGNNSC</t>
  </si>
  <si>
    <t>IpswichARGNTotal</t>
  </si>
  <si>
    <t>IpswichARGNSC</t>
  </si>
  <si>
    <t>IpswichARSHHOP1Bd</t>
  </si>
  <si>
    <t>IpswichARSHHOP2Bd</t>
  </si>
  <si>
    <t>IpswichARSHHOP3Bd</t>
  </si>
  <si>
    <t>IpswichARSHHOP4Bd</t>
  </si>
  <si>
    <t>IpswichARSHHOPBdst</t>
  </si>
  <si>
    <t>IpswichARSHHOPNSC</t>
  </si>
  <si>
    <t>IpswichARSHHOPSC</t>
  </si>
  <si>
    <t>IpswichARSHHOPTotal</t>
  </si>
  <si>
    <t>IpswichGN1Bd</t>
  </si>
  <si>
    <t>IpswichGN2Bd</t>
  </si>
  <si>
    <t>IpswichGN3Bd</t>
  </si>
  <si>
    <t>IpswichGN4Bd</t>
  </si>
  <si>
    <t>IpswichGN5Bd</t>
  </si>
  <si>
    <t>IpswichGN6Bd</t>
  </si>
  <si>
    <t>IpswichGNBdst</t>
  </si>
  <si>
    <t>IpswichGNNSC</t>
  </si>
  <si>
    <t>IpswichGNTotal</t>
  </si>
  <si>
    <t>IpswichGNSC</t>
  </si>
  <si>
    <t>IpswichGNAGGSC</t>
  </si>
  <si>
    <t>IpswichGNAGGNSC</t>
  </si>
  <si>
    <t>IpswichLCHO</t>
  </si>
  <si>
    <t>IpswichSHHOP1Bd</t>
  </si>
  <si>
    <t>IpswichSHHOP2Bd</t>
  </si>
  <si>
    <t>IpswichSHHOP3Bd</t>
  </si>
  <si>
    <t>IpswichSHHOP4Bd</t>
  </si>
  <si>
    <t>IpswichSHHOPBdst</t>
  </si>
  <si>
    <t>IpswichSHHOPNSC</t>
  </si>
  <si>
    <t>IpswichSHHOPTotal</t>
  </si>
  <si>
    <t>IpswichSHHOPSC</t>
  </si>
  <si>
    <t>IpswichSHHOPAGGNA</t>
  </si>
  <si>
    <t>E07000203</t>
  </si>
  <si>
    <t>Mid Suffolk</t>
  </si>
  <si>
    <t>Mid SuffolkARGN1Bd</t>
  </si>
  <si>
    <t>Mid SuffolkARGN2Bd</t>
  </si>
  <si>
    <t>Mid SuffolkARGN3Bd</t>
  </si>
  <si>
    <t>Mid SuffolkARGN4Bd</t>
  </si>
  <si>
    <t>Mid SuffolkARGN5Bd</t>
  </si>
  <si>
    <t>Mid SuffolkARGN6Bd</t>
  </si>
  <si>
    <t>Mid SuffolkARGNBdst</t>
  </si>
  <si>
    <t>Mid SuffolkARGNNSC</t>
  </si>
  <si>
    <t>Mid SuffolkARGNTotal</t>
  </si>
  <si>
    <t>Mid SuffolkARGNSC</t>
  </si>
  <si>
    <t>Mid SuffolkARSHHOP1Bd</t>
  </si>
  <si>
    <t>Mid SuffolkARSHHOP2Bd</t>
  </si>
  <si>
    <t>Mid SuffolkARSHHOP3Bd</t>
  </si>
  <si>
    <t>Mid SuffolkARSHHOP4Bd</t>
  </si>
  <si>
    <t>Mid SuffolkARSHHOPBdst</t>
  </si>
  <si>
    <t>Mid SuffolkARSHHOPNSC</t>
  </si>
  <si>
    <t>Mid SuffolkARSHHOPSC</t>
  </si>
  <si>
    <t>Mid SuffolkARSHHOPTotal</t>
  </si>
  <si>
    <t>Mid SuffolkGN1Bd</t>
  </si>
  <si>
    <t>Mid SuffolkGN2Bd</t>
  </si>
  <si>
    <t>Mid SuffolkGN3Bd</t>
  </si>
  <si>
    <t>Mid SuffolkGN4Bd</t>
  </si>
  <si>
    <t>Mid SuffolkGN5Bd</t>
  </si>
  <si>
    <t>Mid SuffolkGN6Bd</t>
  </si>
  <si>
    <t>Mid SuffolkGNBdst</t>
  </si>
  <si>
    <t>Mid SuffolkGNNSC</t>
  </si>
  <si>
    <t>Mid SuffolkGNTotal</t>
  </si>
  <si>
    <t>Mid SuffolkGNSC</t>
  </si>
  <si>
    <t>Mid SuffolkGNAGGSC</t>
  </si>
  <si>
    <t>Mid SuffolkGNAGGNSC</t>
  </si>
  <si>
    <t>Mid SuffolkLCHO</t>
  </si>
  <si>
    <t>Mid SuffolkSHHOP1Bd</t>
  </si>
  <si>
    <t>Mid SuffolkSHHOP2Bd</t>
  </si>
  <si>
    <t>Mid SuffolkSHHOP3Bd</t>
  </si>
  <si>
    <t>Mid SuffolkSHHOP4Bd</t>
  </si>
  <si>
    <t>Mid SuffolkSHHOPBdst</t>
  </si>
  <si>
    <t>Mid SuffolkSHHOPNSC</t>
  </si>
  <si>
    <t>Mid SuffolkSHHOPTotal</t>
  </si>
  <si>
    <t>Mid SuffolkSHHOPSC</t>
  </si>
  <si>
    <t>Mid SuffolkSHHOPAGGNA</t>
  </si>
  <si>
    <t>E07000207</t>
  </si>
  <si>
    <t>Elmbridge</t>
  </si>
  <si>
    <t>ElmbridgeARGN1Bd</t>
  </si>
  <si>
    <t>ElmbridgeARGN2Bd</t>
  </si>
  <si>
    <t>ElmbridgeARGN3Bd</t>
  </si>
  <si>
    <t>ElmbridgeARGN4Bd</t>
  </si>
  <si>
    <t>ElmbridgeARGN5Bd</t>
  </si>
  <si>
    <t>ElmbridgeARGN6Bd</t>
  </si>
  <si>
    <t>ElmbridgeARGNBdst</t>
  </si>
  <si>
    <t>ElmbridgeARGNNSC</t>
  </si>
  <si>
    <t>ElmbridgeARGNTotal</t>
  </si>
  <si>
    <t>ElmbridgeARGNSC</t>
  </si>
  <si>
    <t>ElmbridgeARSHHOP1Bd</t>
  </si>
  <si>
    <t>ElmbridgeARSHHOP2Bd</t>
  </si>
  <si>
    <t>ElmbridgeARSHHOP3Bd</t>
  </si>
  <si>
    <t>ElmbridgeARSHHOP4Bd</t>
  </si>
  <si>
    <t>ElmbridgeARSHHOPBdst</t>
  </si>
  <si>
    <t>ElmbridgeARSHHOPNSC</t>
  </si>
  <si>
    <t>ElmbridgeARSHHOPSC</t>
  </si>
  <si>
    <t>ElmbridgeARSHHOPTotal</t>
  </si>
  <si>
    <t>ElmbridgeGN1Bd</t>
  </si>
  <si>
    <t>ElmbridgeGN2Bd</t>
  </si>
  <si>
    <t>ElmbridgeGN3Bd</t>
  </si>
  <si>
    <t>ElmbridgeGN4Bd</t>
  </si>
  <si>
    <t>ElmbridgeGN5Bd</t>
  </si>
  <si>
    <t>ElmbridgeGN6Bd</t>
  </si>
  <si>
    <t>ElmbridgeGNBdst</t>
  </si>
  <si>
    <t>ElmbridgeGNNSC</t>
  </si>
  <si>
    <t>ElmbridgeGNTotal</t>
  </si>
  <si>
    <t>ElmbridgeGNSC</t>
  </si>
  <si>
    <t>ElmbridgeGNAGGSC</t>
  </si>
  <si>
    <t>ElmbridgeGNAGGNSC</t>
  </si>
  <si>
    <t>ElmbridgeLCHO</t>
  </si>
  <si>
    <t>ElmbridgeSHHOP1Bd</t>
  </si>
  <si>
    <t>ElmbridgeSHHOP2Bd</t>
  </si>
  <si>
    <t>ElmbridgeSHHOP3Bd</t>
  </si>
  <si>
    <t>ElmbridgeSHHOP4Bd</t>
  </si>
  <si>
    <t>ElmbridgeSHHOPBdst</t>
  </si>
  <si>
    <t>ElmbridgeSHHOPNSC</t>
  </si>
  <si>
    <t>ElmbridgeSHHOPTotal</t>
  </si>
  <si>
    <t>ElmbridgeSHHOPSC</t>
  </si>
  <si>
    <t>ElmbridgeSHHOPAGGNA</t>
  </si>
  <si>
    <t>E07000208</t>
  </si>
  <si>
    <t>Epsom and Ewell</t>
  </si>
  <si>
    <t>Epsom and EwellARGN1Bd</t>
  </si>
  <si>
    <t>Epsom and EwellARGN2Bd</t>
  </si>
  <si>
    <t>Epsom and EwellARGN3Bd</t>
  </si>
  <si>
    <t>Epsom and EwellARGN4Bd</t>
  </si>
  <si>
    <t>Epsom and EwellARGN5Bd</t>
  </si>
  <si>
    <t>Epsom and EwellARGN6Bd</t>
  </si>
  <si>
    <t>Epsom and EwellARGNBdst</t>
  </si>
  <si>
    <t>Epsom and EwellARGNNSC</t>
  </si>
  <si>
    <t>Epsom and EwellARGNTotal</t>
  </si>
  <si>
    <t>Epsom and EwellARGNSC</t>
  </si>
  <si>
    <t>Epsom and EwellARSHHOP1Bd</t>
  </si>
  <si>
    <t>Epsom and EwellARSHHOP2Bd</t>
  </si>
  <si>
    <t>Epsom and EwellARSHHOP3Bd</t>
  </si>
  <si>
    <t>Epsom and EwellARSHHOP4Bd</t>
  </si>
  <si>
    <t>Epsom and EwellARSHHOPBdst</t>
  </si>
  <si>
    <t>Epsom and EwellARSHHOPNSC</t>
  </si>
  <si>
    <t>Epsom and EwellARSHHOPSC</t>
  </si>
  <si>
    <t>Epsom and EwellARSHHOPTotal</t>
  </si>
  <si>
    <t>Epsom and EwellGN1Bd</t>
  </si>
  <si>
    <t>Epsom and EwellGN2Bd</t>
  </si>
  <si>
    <t>Epsom and EwellGN3Bd</t>
  </si>
  <si>
    <t>Epsom and EwellGN4Bd</t>
  </si>
  <si>
    <t>Epsom and EwellGN5Bd</t>
  </si>
  <si>
    <t>Epsom and EwellGN6Bd</t>
  </si>
  <si>
    <t>Epsom and EwellGNBdst</t>
  </si>
  <si>
    <t>Epsom and EwellGNNSC</t>
  </si>
  <si>
    <t>Epsom and EwellGNTotal</t>
  </si>
  <si>
    <t>Epsom and EwellGNSC</t>
  </si>
  <si>
    <t>Epsom and EwellGNAGGSC</t>
  </si>
  <si>
    <t>Epsom and EwellGNAGGNSC</t>
  </si>
  <si>
    <t>Epsom and EwellLCHO</t>
  </si>
  <si>
    <t>Epsom and EwellSHHOP1Bd</t>
  </si>
  <si>
    <t>Epsom and EwellSHHOP2Bd</t>
  </si>
  <si>
    <t>Epsom and EwellSHHOP3Bd</t>
  </si>
  <si>
    <t>Epsom and EwellSHHOP4Bd</t>
  </si>
  <si>
    <t>Epsom and EwellSHHOPBdst</t>
  </si>
  <si>
    <t>Epsom and EwellSHHOPNSC</t>
  </si>
  <si>
    <t>Epsom and EwellSHHOPTotal</t>
  </si>
  <si>
    <t>Epsom and EwellSHHOPSC</t>
  </si>
  <si>
    <t>Epsom and EwellSHHOPAGGNA</t>
  </si>
  <si>
    <t>E07000209</t>
  </si>
  <si>
    <t>Guildford</t>
  </si>
  <si>
    <t>GuildfordARGN1Bd</t>
  </si>
  <si>
    <t>GuildfordARGN2Bd</t>
  </si>
  <si>
    <t>GuildfordARGN3Bd</t>
  </si>
  <si>
    <t>GuildfordARGN4Bd</t>
  </si>
  <si>
    <t>GuildfordARGN5Bd</t>
  </si>
  <si>
    <t>GuildfordARGN6Bd</t>
  </si>
  <si>
    <t>GuildfordARGNBdst</t>
  </si>
  <si>
    <t>GuildfordARGNNSC</t>
  </si>
  <si>
    <t>GuildfordARGNTotal</t>
  </si>
  <si>
    <t>GuildfordARGNSC</t>
  </si>
  <si>
    <t>GuildfordARSHHOP1Bd</t>
  </si>
  <si>
    <t>GuildfordARSHHOP2Bd</t>
  </si>
  <si>
    <t>GuildfordARSHHOP3Bd</t>
  </si>
  <si>
    <t>GuildfordARSHHOP4Bd</t>
  </si>
  <si>
    <t>GuildfordARSHHOPBdst</t>
  </si>
  <si>
    <t>GuildfordARSHHOPNSC</t>
  </si>
  <si>
    <t>GuildfordARSHHOPSC</t>
  </si>
  <si>
    <t>GuildfordARSHHOPTotal</t>
  </si>
  <si>
    <t>GuildfordGN1Bd</t>
  </si>
  <si>
    <t>GuildfordGN2Bd</t>
  </si>
  <si>
    <t>GuildfordGN3Bd</t>
  </si>
  <si>
    <t>GuildfordGN4Bd</t>
  </si>
  <si>
    <t>GuildfordGN5Bd</t>
  </si>
  <si>
    <t>GuildfordGN6Bd</t>
  </si>
  <si>
    <t>GuildfordGNBdst</t>
  </si>
  <si>
    <t>GuildfordGNNSC</t>
  </si>
  <si>
    <t>GuildfordGNTotal</t>
  </si>
  <si>
    <t>GuildfordGNSC</t>
  </si>
  <si>
    <t>GuildfordGNAGGSC</t>
  </si>
  <si>
    <t>GuildfordGNAGGNSC</t>
  </si>
  <si>
    <t>GuildfordLCHO</t>
  </si>
  <si>
    <t>GuildfordSHHOP1Bd</t>
  </si>
  <si>
    <t>GuildfordSHHOP2Bd</t>
  </si>
  <si>
    <t>GuildfordSHHOP3Bd</t>
  </si>
  <si>
    <t>GuildfordSHHOP4Bd</t>
  </si>
  <si>
    <t>GuildfordSHHOPBdst</t>
  </si>
  <si>
    <t>GuildfordSHHOPNSC</t>
  </si>
  <si>
    <t>GuildfordSHHOPTotal</t>
  </si>
  <si>
    <t>GuildfordSHHOPSC</t>
  </si>
  <si>
    <t>GuildfordSHHOPAGGNA</t>
  </si>
  <si>
    <t>E07000210</t>
  </si>
  <si>
    <t>Mole Valley</t>
  </si>
  <si>
    <t>Mole ValleyARGN1Bd</t>
  </si>
  <si>
    <t>Mole ValleyARGN2Bd</t>
  </si>
  <si>
    <t>Mole ValleyARGN3Bd</t>
  </si>
  <si>
    <t>Mole ValleyARGN4Bd</t>
  </si>
  <si>
    <t>Mole ValleyARGN5Bd</t>
  </si>
  <si>
    <t>Mole ValleyARGN6Bd</t>
  </si>
  <si>
    <t>Mole ValleyARGNBdst</t>
  </si>
  <si>
    <t>Mole ValleyARGNNSC</t>
  </si>
  <si>
    <t>Mole ValleyARGNTotal</t>
  </si>
  <si>
    <t>Mole ValleyARGNSC</t>
  </si>
  <si>
    <t>Mole ValleyARSHHOP1Bd</t>
  </si>
  <si>
    <t>Mole ValleyARSHHOP2Bd</t>
  </si>
  <si>
    <t>Mole ValleyARSHHOP3Bd</t>
  </si>
  <si>
    <t>Mole ValleyARSHHOP4Bd</t>
  </si>
  <si>
    <t>Mole ValleyARSHHOPBdst</t>
  </si>
  <si>
    <t>Mole ValleyARSHHOPNSC</t>
  </si>
  <si>
    <t>Mole ValleyARSHHOPSC</t>
  </si>
  <si>
    <t>Mole ValleyARSHHOPTotal</t>
  </si>
  <si>
    <t>Mole ValleyGN1Bd</t>
  </si>
  <si>
    <t>Mole ValleyGN2Bd</t>
  </si>
  <si>
    <t>Mole ValleyGN3Bd</t>
  </si>
  <si>
    <t>Mole ValleyGN4Bd</t>
  </si>
  <si>
    <t>Mole ValleyGN5Bd</t>
  </si>
  <si>
    <t>Mole ValleyGN6Bd</t>
  </si>
  <si>
    <t>Mole ValleyGNBdst</t>
  </si>
  <si>
    <t>Mole ValleyGNNSC</t>
  </si>
  <si>
    <t>Mole ValleyGNTotal</t>
  </si>
  <si>
    <t>Mole ValleyGNSC</t>
  </si>
  <si>
    <t>Mole ValleyGNAGGSC</t>
  </si>
  <si>
    <t>Mole ValleyGNAGGNSC</t>
  </si>
  <si>
    <t>Mole ValleyLCHO</t>
  </si>
  <si>
    <t>Mole ValleySHHOP1Bd</t>
  </si>
  <si>
    <t>Mole ValleySHHOP2Bd</t>
  </si>
  <si>
    <t>Mole ValleySHHOP3Bd</t>
  </si>
  <si>
    <t>Mole ValleySHHOP4Bd</t>
  </si>
  <si>
    <t>Mole ValleySHHOPBdst</t>
  </si>
  <si>
    <t>Mole ValleySHHOPNSC</t>
  </si>
  <si>
    <t>Mole ValleySHHOPTotal</t>
  </si>
  <si>
    <t>Mole ValleySHHOPSC</t>
  </si>
  <si>
    <t>Mole ValleySHHOPAGGNA</t>
  </si>
  <si>
    <t>E07000211</t>
  </si>
  <si>
    <t>Reigate and Banstead</t>
  </si>
  <si>
    <t>Reigate and BansteadARGN1Bd</t>
  </si>
  <si>
    <t>Reigate and BansteadARGN2Bd</t>
  </si>
  <si>
    <t>Reigate and BansteadARGN3Bd</t>
  </si>
  <si>
    <t>Reigate and BansteadARGN4Bd</t>
  </si>
  <si>
    <t>Reigate and BansteadARGN5Bd</t>
  </si>
  <si>
    <t>Reigate and BansteadARGN6Bd</t>
  </si>
  <si>
    <t>Reigate and BansteadARGNBdst</t>
  </si>
  <si>
    <t>Reigate and BansteadARGNNSC</t>
  </si>
  <si>
    <t>Reigate and BansteadARGNTotal</t>
  </si>
  <si>
    <t>Reigate and BansteadARGNSC</t>
  </si>
  <si>
    <t>Reigate and BansteadARSHHOP1Bd</t>
  </si>
  <si>
    <t>Reigate and BansteadARSHHOP2Bd</t>
  </si>
  <si>
    <t>Reigate and BansteadARSHHOP3Bd</t>
  </si>
  <si>
    <t>Reigate and BansteadARSHHOP4Bd</t>
  </si>
  <si>
    <t>Reigate and BansteadARSHHOPBdst</t>
  </si>
  <si>
    <t>Reigate and BansteadARSHHOPNSC</t>
  </si>
  <si>
    <t>Reigate and BansteadARSHHOPSC</t>
  </si>
  <si>
    <t>Reigate and BansteadARSHHOPTotal</t>
  </si>
  <si>
    <t>Reigate and BansteadGN1Bd</t>
  </si>
  <si>
    <t>Reigate and BansteadGN2Bd</t>
  </si>
  <si>
    <t>Reigate and BansteadGN3Bd</t>
  </si>
  <si>
    <t>Reigate and BansteadGN4Bd</t>
  </si>
  <si>
    <t>Reigate and BansteadGN5Bd</t>
  </si>
  <si>
    <t>Reigate and BansteadGN6Bd</t>
  </si>
  <si>
    <t>Reigate and BansteadGNBdst</t>
  </si>
  <si>
    <t>Reigate and BansteadGNNSC</t>
  </si>
  <si>
    <t>Reigate and BansteadGNTotal</t>
  </si>
  <si>
    <t>Reigate and BansteadGNSC</t>
  </si>
  <si>
    <t>Reigate and BansteadGNAGGSC</t>
  </si>
  <si>
    <t>Reigate and BansteadGNAGGNSC</t>
  </si>
  <si>
    <t>Reigate and BansteadLCHO</t>
  </si>
  <si>
    <t>Reigate and BansteadSHHOP1Bd</t>
  </si>
  <si>
    <t>Reigate and BansteadSHHOP2Bd</t>
  </si>
  <si>
    <t>Reigate and BansteadSHHOP3Bd</t>
  </si>
  <si>
    <t>Reigate and BansteadSHHOP4Bd</t>
  </si>
  <si>
    <t>Reigate and BansteadSHHOPBdst</t>
  </si>
  <si>
    <t>Reigate and BansteadSHHOPNSC</t>
  </si>
  <si>
    <t>Reigate and BansteadSHHOPTotal</t>
  </si>
  <si>
    <t>Reigate and BansteadSHHOPSC</t>
  </si>
  <si>
    <t>Reigate and BansteadSHHOPAGGNA</t>
  </si>
  <si>
    <t>E07000212</t>
  </si>
  <si>
    <t>Runnymede</t>
  </si>
  <si>
    <t>RunnymedeARGN1Bd</t>
  </si>
  <si>
    <t>RunnymedeARGN2Bd</t>
  </si>
  <si>
    <t>RunnymedeARGN3Bd</t>
  </si>
  <si>
    <t>RunnymedeARGN4Bd</t>
  </si>
  <si>
    <t>RunnymedeARGN5Bd</t>
  </si>
  <si>
    <t>RunnymedeARGN6Bd</t>
  </si>
  <si>
    <t>RunnymedeARGNBdst</t>
  </si>
  <si>
    <t>RunnymedeARGNNSC</t>
  </si>
  <si>
    <t>RunnymedeARGNTotal</t>
  </si>
  <si>
    <t>RunnymedeARGNSC</t>
  </si>
  <si>
    <t>RunnymedeARSHHOP1Bd</t>
  </si>
  <si>
    <t>RunnymedeARSHHOP2Bd</t>
  </si>
  <si>
    <t>RunnymedeARSHHOP3Bd</t>
  </si>
  <si>
    <t>RunnymedeARSHHOP4Bd</t>
  </si>
  <si>
    <t>RunnymedeARSHHOPBdst</t>
  </si>
  <si>
    <t>RunnymedeARSHHOPNSC</t>
  </si>
  <si>
    <t>RunnymedeARSHHOPSC</t>
  </si>
  <si>
    <t>RunnymedeARSHHOPTotal</t>
  </si>
  <si>
    <t>RunnymedeGN1Bd</t>
  </si>
  <si>
    <t>RunnymedeGN2Bd</t>
  </si>
  <si>
    <t>RunnymedeGN3Bd</t>
  </si>
  <si>
    <t>RunnymedeGN4Bd</t>
  </si>
  <si>
    <t>RunnymedeGN5Bd</t>
  </si>
  <si>
    <t>RunnymedeGN6Bd</t>
  </si>
  <si>
    <t>RunnymedeGNBdst</t>
  </si>
  <si>
    <t>RunnymedeGNNSC</t>
  </si>
  <si>
    <t>RunnymedeGNTotal</t>
  </si>
  <si>
    <t>RunnymedeGNSC</t>
  </si>
  <si>
    <t>RunnymedeGNAGGSC</t>
  </si>
  <si>
    <t>RunnymedeGNAGGNSC</t>
  </si>
  <si>
    <t>RunnymedeLCHO</t>
  </si>
  <si>
    <t>RunnymedeSHHOP1Bd</t>
  </si>
  <si>
    <t>RunnymedeSHHOP2Bd</t>
  </si>
  <si>
    <t>RunnymedeSHHOP3Bd</t>
  </si>
  <si>
    <t>RunnymedeSHHOP4Bd</t>
  </si>
  <si>
    <t>RunnymedeSHHOPBdst</t>
  </si>
  <si>
    <t>RunnymedeSHHOPNSC</t>
  </si>
  <si>
    <t>RunnymedeSHHOPTotal</t>
  </si>
  <si>
    <t>RunnymedeSHHOPSC</t>
  </si>
  <si>
    <t>RunnymedeSHHOPAGGNA</t>
  </si>
  <si>
    <t>E07000213</t>
  </si>
  <si>
    <t>SpelthorneARGN1Bd</t>
  </si>
  <si>
    <t>SpelthorneARGN2Bd</t>
  </si>
  <si>
    <t>SpelthorneARGN3Bd</t>
  </si>
  <si>
    <t>SpelthorneARGN4Bd</t>
  </si>
  <si>
    <t>SpelthorneARGN5Bd</t>
  </si>
  <si>
    <t>SpelthorneARGN6Bd</t>
  </si>
  <si>
    <t>SpelthorneARGNBdst</t>
  </si>
  <si>
    <t>SpelthorneARGNNSC</t>
  </si>
  <si>
    <t>SpelthorneARGNTotal</t>
  </si>
  <si>
    <t>SpelthorneARGNSC</t>
  </si>
  <si>
    <t>SpelthorneARSHHOP1Bd</t>
  </si>
  <si>
    <t>SpelthorneARSHHOP2Bd</t>
  </si>
  <si>
    <t>SpelthorneARSHHOP3Bd</t>
  </si>
  <si>
    <t>SpelthorneARSHHOP4Bd</t>
  </si>
  <si>
    <t>SpelthorneARSHHOPBdst</t>
  </si>
  <si>
    <t>SpelthorneARSHHOPNSC</t>
  </si>
  <si>
    <t>SpelthorneARSHHOPSC</t>
  </si>
  <si>
    <t>SpelthorneARSHHOPTotal</t>
  </si>
  <si>
    <t>SpelthorneGN1Bd</t>
  </si>
  <si>
    <t>SpelthorneGN2Bd</t>
  </si>
  <si>
    <t>SpelthorneGN3Bd</t>
  </si>
  <si>
    <t>SpelthorneGN4Bd</t>
  </si>
  <si>
    <t>SpelthorneGN5Bd</t>
  </si>
  <si>
    <t>SpelthorneGN6Bd</t>
  </si>
  <si>
    <t>SpelthorneGNBdst</t>
  </si>
  <si>
    <t>SpelthorneGNNSC</t>
  </si>
  <si>
    <t>SpelthorneGNTotal</t>
  </si>
  <si>
    <t>SpelthorneGNSC</t>
  </si>
  <si>
    <t>SpelthorneGNAGGSC</t>
  </si>
  <si>
    <t>SpelthorneGNAGGNSC</t>
  </si>
  <si>
    <t>SpelthorneLCHO</t>
  </si>
  <si>
    <t>SpelthorneSHHOP1Bd</t>
  </si>
  <si>
    <t>SpelthorneSHHOP2Bd</t>
  </si>
  <si>
    <t>SpelthorneSHHOP3Bd</t>
  </si>
  <si>
    <t>SpelthorneSHHOP4Bd</t>
  </si>
  <si>
    <t>SpelthorneSHHOPBdst</t>
  </si>
  <si>
    <t>SpelthorneSHHOPNSC</t>
  </si>
  <si>
    <t>SpelthorneSHHOPTotal</t>
  </si>
  <si>
    <t>SpelthorneSHHOPSC</t>
  </si>
  <si>
    <t>SpelthorneSHHOPAGGNA</t>
  </si>
  <si>
    <t>E07000214</t>
  </si>
  <si>
    <t>Surrey HeathARGN1Bd</t>
  </si>
  <si>
    <t>Surrey HeathARGN2Bd</t>
  </si>
  <si>
    <t>Surrey HeathARGN3Bd</t>
  </si>
  <si>
    <t>Surrey HeathARGN4Bd</t>
  </si>
  <si>
    <t>Surrey HeathARGN5Bd</t>
  </si>
  <si>
    <t>Surrey HeathARGN6Bd</t>
  </si>
  <si>
    <t>Surrey HeathARGNBdst</t>
  </si>
  <si>
    <t>Surrey HeathARGNNSC</t>
  </si>
  <si>
    <t>Surrey HeathARGNTotal</t>
  </si>
  <si>
    <t>Surrey HeathARGNSC</t>
  </si>
  <si>
    <t>Surrey HeathGN1Bd</t>
  </si>
  <si>
    <t>Surrey HeathGN2Bd</t>
  </si>
  <si>
    <t>Surrey HeathGN3Bd</t>
  </si>
  <si>
    <t>Surrey HeathGN4Bd</t>
  </si>
  <si>
    <t>Surrey HeathGN5Bd</t>
  </si>
  <si>
    <t>Surrey HeathGN6Bd</t>
  </si>
  <si>
    <t>Surrey HeathGNBdst</t>
  </si>
  <si>
    <t>Surrey HeathGNNSC</t>
  </si>
  <si>
    <t>Surrey HeathGNTotal</t>
  </si>
  <si>
    <t>Surrey HeathGNSC</t>
  </si>
  <si>
    <t>Surrey HeathGNAGGSC</t>
  </si>
  <si>
    <t>Surrey HeathGNAGGNSC</t>
  </si>
  <si>
    <t>Surrey HeathLCHO</t>
  </si>
  <si>
    <t>Surrey HeathSHHOP1Bd</t>
  </si>
  <si>
    <t>Surrey HeathSHHOP2Bd</t>
  </si>
  <si>
    <t>Surrey HeathSHHOP3Bd</t>
  </si>
  <si>
    <t>Surrey HeathSHHOP4Bd</t>
  </si>
  <si>
    <t>Surrey HeathSHHOPBdst</t>
  </si>
  <si>
    <t>Surrey HeathSHHOPNSC</t>
  </si>
  <si>
    <t>Surrey HeathSHHOPTotal</t>
  </si>
  <si>
    <t>Surrey HeathSHHOPSC</t>
  </si>
  <si>
    <t>Surrey HeathSHHOPAGGNA</t>
  </si>
  <si>
    <t>E07000215</t>
  </si>
  <si>
    <t>TandridgeARGN1Bd</t>
  </si>
  <si>
    <t>TandridgeARGN2Bd</t>
  </si>
  <si>
    <t>TandridgeARGN3Bd</t>
  </si>
  <si>
    <t>TandridgeARGN4Bd</t>
  </si>
  <si>
    <t>TandridgeARGN5Bd</t>
  </si>
  <si>
    <t>TandridgeARGN6Bd</t>
  </si>
  <si>
    <t>TandridgeARGNBdst</t>
  </si>
  <si>
    <t>TandridgeARGNNSC</t>
  </si>
  <si>
    <t>TandridgeARGNTotal</t>
  </si>
  <si>
    <t>TandridgeARGNSC</t>
  </si>
  <si>
    <t>TandridgeARSHHOP1Bd</t>
  </si>
  <si>
    <t>TandridgeARSHHOP2Bd</t>
  </si>
  <si>
    <t>TandridgeARSHHOP3Bd</t>
  </si>
  <si>
    <t>TandridgeARSHHOP4Bd</t>
  </si>
  <si>
    <t>TandridgeARSHHOPBdst</t>
  </si>
  <si>
    <t>TandridgeARSHHOPNSC</t>
  </si>
  <si>
    <t>TandridgeARSHHOPSC</t>
  </si>
  <si>
    <t>TandridgeARSHHOPTotal</t>
  </si>
  <si>
    <t>TandridgeGN1Bd</t>
  </si>
  <si>
    <t>TandridgeGN2Bd</t>
  </si>
  <si>
    <t>TandridgeGN3Bd</t>
  </si>
  <si>
    <t>TandridgeGN4Bd</t>
  </si>
  <si>
    <t>TandridgeGN5Bd</t>
  </si>
  <si>
    <t>TandridgeGN6Bd</t>
  </si>
  <si>
    <t>TandridgeGNBdst</t>
  </si>
  <si>
    <t>TandridgeGNNSC</t>
  </si>
  <si>
    <t>TandridgeGNTotal</t>
  </si>
  <si>
    <t>TandridgeGNSC</t>
  </si>
  <si>
    <t>TandridgeGNAGGSC</t>
  </si>
  <si>
    <t>TandridgeGNAGGNSC</t>
  </si>
  <si>
    <t>TandridgeLCHO</t>
  </si>
  <si>
    <t>TandridgeSHHOP1Bd</t>
  </si>
  <si>
    <t>TandridgeSHHOP2Bd</t>
  </si>
  <si>
    <t>TandridgeSHHOP3Bd</t>
  </si>
  <si>
    <t>TandridgeSHHOP4Bd</t>
  </si>
  <si>
    <t>TandridgeSHHOPBdst</t>
  </si>
  <si>
    <t>TandridgeSHHOPNSC</t>
  </si>
  <si>
    <t>TandridgeSHHOPTotal</t>
  </si>
  <si>
    <t>TandridgeSHHOPSC</t>
  </si>
  <si>
    <t>TandridgeSHHOPAGGNA</t>
  </si>
  <si>
    <t>E07000216</t>
  </si>
  <si>
    <t>WaverleyARGN1Bd</t>
  </si>
  <si>
    <t>WaverleyARGN2Bd</t>
  </si>
  <si>
    <t>WaverleyARGN3Bd</t>
  </si>
  <si>
    <t>WaverleyARGN4Bd</t>
  </si>
  <si>
    <t>WaverleyARGN5Bd</t>
  </si>
  <si>
    <t>WaverleyARGN6Bd</t>
  </si>
  <si>
    <t>WaverleyARGNBdst</t>
  </si>
  <si>
    <t>WaverleyARGNNSC</t>
  </si>
  <si>
    <t>WaverleyARGNTotal</t>
  </si>
  <si>
    <t>WaverleyARGNSC</t>
  </si>
  <si>
    <t>WaverleyARSHHOP1Bd</t>
  </si>
  <si>
    <t>WaverleyARSHHOP2Bd</t>
  </si>
  <si>
    <t>WaverleyARSHHOP3Bd</t>
  </si>
  <si>
    <t>WaverleyARSHHOP4Bd</t>
  </si>
  <si>
    <t>WaverleyARSHHOPBdst</t>
  </si>
  <si>
    <t>WaverleyARSHHOPNSC</t>
  </si>
  <si>
    <t>WaverleyARSHHOPSC</t>
  </si>
  <si>
    <t>WaverleyARSHHOPTotal</t>
  </si>
  <si>
    <t>WaverleyGN1Bd</t>
  </si>
  <si>
    <t>WaverleyGN2Bd</t>
  </si>
  <si>
    <t>WaverleyGN3Bd</t>
  </si>
  <si>
    <t>WaverleyGN4Bd</t>
  </si>
  <si>
    <t>WaverleyGN5Bd</t>
  </si>
  <si>
    <t>WaverleyGN6Bd</t>
  </si>
  <si>
    <t>WaverleyGNBdst</t>
  </si>
  <si>
    <t>WaverleyGNNSC</t>
  </si>
  <si>
    <t>WaverleyGNTotal</t>
  </si>
  <si>
    <t>WaverleyGNSC</t>
  </si>
  <si>
    <t>WaverleyGNAGGSC</t>
  </si>
  <si>
    <t>WaverleyGNAGGNSC</t>
  </si>
  <si>
    <t>WaverleyLCHO</t>
  </si>
  <si>
    <t>WaverleySHHOP1Bd</t>
  </si>
  <si>
    <t>WaverleySHHOP2Bd</t>
  </si>
  <si>
    <t>WaverleySHHOP3Bd</t>
  </si>
  <si>
    <t>WaverleySHHOP4Bd</t>
  </si>
  <si>
    <t>WaverleySHHOPBdst</t>
  </si>
  <si>
    <t>WaverleySHHOPNSC</t>
  </si>
  <si>
    <t>WaverleySHHOPTotal</t>
  </si>
  <si>
    <t>WaverleySHHOPSC</t>
  </si>
  <si>
    <t>WaverleySHHOPAGGNA</t>
  </si>
  <si>
    <t>E07000217</t>
  </si>
  <si>
    <t>WokingARGN1Bd</t>
  </si>
  <si>
    <t>WokingARGN2Bd</t>
  </si>
  <si>
    <t>WokingARGN3Bd</t>
  </si>
  <si>
    <t>WokingARGN4Bd</t>
  </si>
  <si>
    <t>WokingARGN5Bd</t>
  </si>
  <si>
    <t>WokingARGN6Bd</t>
  </si>
  <si>
    <t>WokingARGNBdst</t>
  </si>
  <si>
    <t>WokingARGNNSC</t>
  </si>
  <si>
    <t>WokingARGNTotal</t>
  </si>
  <si>
    <t>WokingARGNSC</t>
  </si>
  <si>
    <t>WokingARSHHOP1Bd</t>
  </si>
  <si>
    <t>WokingARSHHOP2Bd</t>
  </si>
  <si>
    <t>WokingARSHHOP3Bd</t>
  </si>
  <si>
    <t>WokingARSHHOP4Bd</t>
  </si>
  <si>
    <t>WokingARSHHOPBdst</t>
  </si>
  <si>
    <t>WokingARSHHOPNSC</t>
  </si>
  <si>
    <t>WokingARSHHOPSC</t>
  </si>
  <si>
    <t>WokingARSHHOPTotal</t>
  </si>
  <si>
    <t>WokingGN1Bd</t>
  </si>
  <si>
    <t>WokingGN2Bd</t>
  </si>
  <si>
    <t>WokingGN3Bd</t>
  </si>
  <si>
    <t>WokingGN4Bd</t>
  </si>
  <si>
    <t>WokingGN5Bd</t>
  </si>
  <si>
    <t>WokingGN6Bd</t>
  </si>
  <si>
    <t>WokingGNBdst</t>
  </si>
  <si>
    <t>WokingGNNSC</t>
  </si>
  <si>
    <t>WokingGNTotal</t>
  </si>
  <si>
    <t>WokingGNSC</t>
  </si>
  <si>
    <t>WokingGNAGGSC</t>
  </si>
  <si>
    <t>WokingGNAGGNSC</t>
  </si>
  <si>
    <t>WokingLCHO</t>
  </si>
  <si>
    <t>WokingSHHOP1Bd</t>
  </si>
  <si>
    <t>WokingSHHOP2Bd</t>
  </si>
  <si>
    <t>WokingSHHOP3Bd</t>
  </si>
  <si>
    <t>WokingSHHOP4Bd</t>
  </si>
  <si>
    <t>WokingSHHOPBdst</t>
  </si>
  <si>
    <t>WokingSHHOPNSC</t>
  </si>
  <si>
    <t>WokingSHHOPTotal</t>
  </si>
  <si>
    <t>WokingSHHOPSC</t>
  </si>
  <si>
    <t>WokingSHHOPAGGNA</t>
  </si>
  <si>
    <t>E07000218</t>
  </si>
  <si>
    <t>North Warwickshire</t>
  </si>
  <si>
    <t>North WarwickshireARGN1Bd</t>
  </si>
  <si>
    <t>North WarwickshireARGN2Bd</t>
  </si>
  <si>
    <t>North WarwickshireARGN3Bd</t>
  </si>
  <si>
    <t>North WarwickshireARGN4Bd</t>
  </si>
  <si>
    <t>North WarwickshireARGN5Bd</t>
  </si>
  <si>
    <t>North WarwickshireARGN6Bd</t>
  </si>
  <si>
    <t>North WarwickshireARGNBdst</t>
  </si>
  <si>
    <t>North WarwickshireARGNNSC</t>
  </si>
  <si>
    <t>North WarwickshireARGNTotal</t>
  </si>
  <si>
    <t>North WarwickshireARGNSC</t>
  </si>
  <si>
    <t>North WarwickshireARSHHOP1Bd</t>
  </si>
  <si>
    <t>North WarwickshireARSHHOP2Bd</t>
  </si>
  <si>
    <t>North WarwickshireARSHHOP3Bd</t>
  </si>
  <si>
    <t>North WarwickshireARSHHOP4Bd</t>
  </si>
  <si>
    <t>North WarwickshireARSHHOPBdst</t>
  </si>
  <si>
    <t>North WarwickshireARSHHOPNSC</t>
  </si>
  <si>
    <t>North WarwickshireARSHHOPSC</t>
  </si>
  <si>
    <t>North WarwickshireARSHHOPTotal</t>
  </si>
  <si>
    <t>North WarwickshireGN1Bd</t>
  </si>
  <si>
    <t>North WarwickshireGN2Bd</t>
  </si>
  <si>
    <t>North WarwickshireGN3Bd</t>
  </si>
  <si>
    <t>North WarwickshireGN4Bd</t>
  </si>
  <si>
    <t>North WarwickshireGN5Bd</t>
  </si>
  <si>
    <t>North WarwickshireGN6Bd</t>
  </si>
  <si>
    <t>North WarwickshireGNBdst</t>
  </si>
  <si>
    <t>North WarwickshireGNNSC</t>
  </si>
  <si>
    <t>North WarwickshireGNTotal</t>
  </si>
  <si>
    <t>North WarwickshireGNSC</t>
  </si>
  <si>
    <t>North WarwickshireGNAGGSC</t>
  </si>
  <si>
    <t>North WarwickshireGNAGGNSC</t>
  </si>
  <si>
    <t>North WarwickshireLCHO</t>
  </si>
  <si>
    <t>North WarwickshireSHHOP1Bd</t>
  </si>
  <si>
    <t>North WarwickshireSHHOP2Bd</t>
  </si>
  <si>
    <t>North WarwickshireSHHOP3Bd</t>
  </si>
  <si>
    <t>North WarwickshireSHHOP4Bd</t>
  </si>
  <si>
    <t>North WarwickshireSHHOPBdst</t>
  </si>
  <si>
    <t>North WarwickshireSHHOPNSC</t>
  </si>
  <si>
    <t>North WarwickshireSHHOPTotal</t>
  </si>
  <si>
    <t>North WarwickshireSHHOPSC</t>
  </si>
  <si>
    <t>North WarwickshireSHHOPAGGNA</t>
  </si>
  <si>
    <t>E07000219</t>
  </si>
  <si>
    <t>Nuneaton and Bedworth</t>
  </si>
  <si>
    <t>Nuneaton and BedworthARGN1Bd</t>
  </si>
  <si>
    <t>Nuneaton and BedworthARGN2Bd</t>
  </si>
  <si>
    <t>Nuneaton and BedworthARGN3Bd</t>
  </si>
  <si>
    <t>Nuneaton and BedworthARGN4Bd</t>
  </si>
  <si>
    <t>Nuneaton and BedworthARGN5Bd</t>
  </si>
  <si>
    <t>Nuneaton and BedworthARGN6Bd</t>
  </si>
  <si>
    <t>Nuneaton and BedworthARGNBdst</t>
  </si>
  <si>
    <t>Nuneaton and BedworthARGNNSC</t>
  </si>
  <si>
    <t>Nuneaton and BedworthARGNTotal</t>
  </si>
  <si>
    <t>Nuneaton and BedworthARGNSC</t>
  </si>
  <si>
    <t>Nuneaton and BedworthARSHHOP1Bd</t>
  </si>
  <si>
    <t>Nuneaton and BedworthARSHHOP2Bd</t>
  </si>
  <si>
    <t>Nuneaton and BedworthARSHHOP3Bd</t>
  </si>
  <si>
    <t>Nuneaton and BedworthARSHHOP4Bd</t>
  </si>
  <si>
    <t>Nuneaton and BedworthARSHHOPBdst</t>
  </si>
  <si>
    <t>Nuneaton and BedworthARSHHOPNSC</t>
  </si>
  <si>
    <t>Nuneaton and BedworthARSHHOPSC</t>
  </si>
  <si>
    <t>Nuneaton and BedworthARSHHOPTotal</t>
  </si>
  <si>
    <t>Nuneaton and BedworthGN1Bd</t>
  </si>
  <si>
    <t>Nuneaton and BedworthGN2Bd</t>
  </si>
  <si>
    <t>Nuneaton and BedworthGN3Bd</t>
  </si>
  <si>
    <t>Nuneaton and BedworthGN4Bd</t>
  </si>
  <si>
    <t>Nuneaton and BedworthGN5Bd</t>
  </si>
  <si>
    <t>Nuneaton and BedworthGN6Bd</t>
  </si>
  <si>
    <t>Nuneaton and BedworthGNBdst</t>
  </si>
  <si>
    <t>Nuneaton and BedworthGNNSC</t>
  </si>
  <si>
    <t>Nuneaton and BedworthGNTotal</t>
  </si>
  <si>
    <t>Nuneaton and BedworthGNSC</t>
  </si>
  <si>
    <t>Nuneaton and BedworthGNAGGSC</t>
  </si>
  <si>
    <t>Nuneaton and BedworthGNAGGNSC</t>
  </si>
  <si>
    <t>Nuneaton and BedworthLCHO</t>
  </si>
  <si>
    <t>Nuneaton and BedworthSHHOP1Bd</t>
  </si>
  <si>
    <t>Nuneaton and BedworthSHHOP2Bd</t>
  </si>
  <si>
    <t>Nuneaton and BedworthSHHOP3Bd</t>
  </si>
  <si>
    <t>Nuneaton and BedworthSHHOP4Bd</t>
  </si>
  <si>
    <t>Nuneaton and BedworthSHHOPBdst</t>
  </si>
  <si>
    <t>Nuneaton and BedworthSHHOPNSC</t>
  </si>
  <si>
    <t>Nuneaton and BedworthSHHOPTotal</t>
  </si>
  <si>
    <t>Nuneaton and BedworthSHHOPSC</t>
  </si>
  <si>
    <t>Nuneaton and BedworthSHHOPAGGNA</t>
  </si>
  <si>
    <t>E07000220</t>
  </si>
  <si>
    <t>Rugby</t>
  </si>
  <si>
    <t>RugbyARGN1Bd</t>
  </si>
  <si>
    <t>RugbyARGN2Bd</t>
  </si>
  <si>
    <t>RugbyARGN3Bd</t>
  </si>
  <si>
    <t>RugbyARGN4Bd</t>
  </si>
  <si>
    <t>RugbyARGN5Bd</t>
  </si>
  <si>
    <t>RugbyARGN6Bd</t>
  </si>
  <si>
    <t>RugbyARGNBdst</t>
  </si>
  <si>
    <t>RugbyARGNNSC</t>
  </si>
  <si>
    <t>RugbyARGNTotal</t>
  </si>
  <si>
    <t>RugbyARGNSC</t>
  </si>
  <si>
    <t>RugbyARSHHOP1Bd</t>
  </si>
  <si>
    <t>RugbyARSHHOP2Bd</t>
  </si>
  <si>
    <t>RugbyARSHHOP3Bd</t>
  </si>
  <si>
    <t>RugbyARSHHOP4Bd</t>
  </si>
  <si>
    <t>RugbyARSHHOPBdst</t>
  </si>
  <si>
    <t>RugbyARSHHOPNSC</t>
  </si>
  <si>
    <t>RugbyARSHHOPSC</t>
  </si>
  <si>
    <t>RugbyARSHHOPTotal</t>
  </si>
  <si>
    <t>RugbyGN1Bd</t>
  </si>
  <si>
    <t>RugbyGN2Bd</t>
  </si>
  <si>
    <t>RugbyGN3Bd</t>
  </si>
  <si>
    <t>RugbyGN4Bd</t>
  </si>
  <si>
    <t>RugbyGN5Bd</t>
  </si>
  <si>
    <t>RugbyGN6Bd</t>
  </si>
  <si>
    <t>RugbyGNBdst</t>
  </si>
  <si>
    <t>RugbyGNNSC</t>
  </si>
  <si>
    <t>RugbyGNTotal</t>
  </si>
  <si>
    <t>RugbyGNSC</t>
  </si>
  <si>
    <t>RugbyGNAGGSC</t>
  </si>
  <si>
    <t>RugbyGNAGGNSC</t>
  </si>
  <si>
    <t>RugbyLCHO</t>
  </si>
  <si>
    <t>RugbySHHOP1Bd</t>
  </si>
  <si>
    <t>RugbySHHOP2Bd</t>
  </si>
  <si>
    <t>RugbySHHOP3Bd</t>
  </si>
  <si>
    <t>RugbySHHOP4Bd</t>
  </si>
  <si>
    <t>RugbySHHOPBdst</t>
  </si>
  <si>
    <t>RugbySHHOPNSC</t>
  </si>
  <si>
    <t>RugbySHHOPTotal</t>
  </si>
  <si>
    <t>RugbySHHOPSC</t>
  </si>
  <si>
    <t>RugbySHHOPAGGNA</t>
  </si>
  <si>
    <t>E07000221</t>
  </si>
  <si>
    <t>Stratford-on-AvonARGN1Bd</t>
  </si>
  <si>
    <t>Stratford-on-AvonARGN2Bd</t>
  </si>
  <si>
    <t>Stratford-on-AvonARGN3Bd</t>
  </si>
  <si>
    <t>Stratford-on-AvonARGN4Bd</t>
  </si>
  <si>
    <t>Stratford-on-AvonARGN5Bd</t>
  </si>
  <si>
    <t>Stratford-on-AvonARGN6Bd</t>
  </si>
  <si>
    <t>Stratford-on-AvonARGNBdst</t>
  </si>
  <si>
    <t>Stratford-on-AvonARGNNSC</t>
  </si>
  <si>
    <t>Stratford-on-AvonARGNTotal</t>
  </si>
  <si>
    <t>Stratford-on-AvonARGNSC</t>
  </si>
  <si>
    <t>Stratford-on-AvonARSHHOP1Bd</t>
  </si>
  <si>
    <t>Stratford-on-AvonARSHHOP2Bd</t>
  </si>
  <si>
    <t>Stratford-on-AvonARSHHOP3Bd</t>
  </si>
  <si>
    <t>Stratford-on-AvonARSHHOP4Bd</t>
  </si>
  <si>
    <t>Stratford-on-AvonARSHHOPBdst</t>
  </si>
  <si>
    <t>Stratford-on-AvonARSHHOPNSC</t>
  </si>
  <si>
    <t>Stratford-on-AvonARSHHOPSC</t>
  </si>
  <si>
    <t>Stratford-on-AvonARSHHOPTotal</t>
  </si>
  <si>
    <t>Stratford-on-AvonGN1Bd</t>
  </si>
  <si>
    <t>Stratford-on-AvonGN2Bd</t>
  </si>
  <si>
    <t>Stratford-on-AvonGN3Bd</t>
  </si>
  <si>
    <t>Stratford-on-AvonGN4Bd</t>
  </si>
  <si>
    <t>Stratford-on-AvonGN5Bd</t>
  </si>
  <si>
    <t>Stratford-on-AvonGN6Bd</t>
  </si>
  <si>
    <t>Stratford-on-AvonGNBdst</t>
  </si>
  <si>
    <t>Stratford-on-AvonGNNSC</t>
  </si>
  <si>
    <t>Stratford-on-AvonGNTotal</t>
  </si>
  <si>
    <t>Stratford-on-AvonGNSC</t>
  </si>
  <si>
    <t>Stratford-on-AvonGNAGGSC</t>
  </si>
  <si>
    <t>Stratford-on-AvonGNAGGNSC</t>
  </si>
  <si>
    <t>Stratford-on-AvonLCHO</t>
  </si>
  <si>
    <t>Stratford-on-AvonSHHOP1Bd</t>
  </si>
  <si>
    <t>Stratford-on-AvonSHHOP2Bd</t>
  </si>
  <si>
    <t>Stratford-on-AvonSHHOP3Bd</t>
  </si>
  <si>
    <t>Stratford-on-AvonSHHOP4Bd</t>
  </si>
  <si>
    <t>Stratford-on-AvonSHHOPBdst</t>
  </si>
  <si>
    <t>Stratford-on-AvonSHHOPNSC</t>
  </si>
  <si>
    <t>Stratford-on-AvonSHHOPTotal</t>
  </si>
  <si>
    <t>Stratford-on-AvonSHHOPSC</t>
  </si>
  <si>
    <t>Stratford-on-AvonSHHOPAGGNA</t>
  </si>
  <si>
    <t>E07000222</t>
  </si>
  <si>
    <t>WarwickARGN1Bd</t>
  </si>
  <si>
    <t>WarwickARGN2Bd</t>
  </si>
  <si>
    <t>WarwickARGN3Bd</t>
  </si>
  <si>
    <t>WarwickARGN4Bd</t>
  </si>
  <si>
    <t>WarwickARGN5Bd</t>
  </si>
  <si>
    <t>WarwickARGN6Bd</t>
  </si>
  <si>
    <t>WarwickARGNBdst</t>
  </si>
  <si>
    <t>WarwickARGNNSC</t>
  </si>
  <si>
    <t>WarwickARGNTotal</t>
  </si>
  <si>
    <t>WarwickARGNSC</t>
  </si>
  <si>
    <t>WarwickARSHHOP1Bd</t>
  </si>
  <si>
    <t>WarwickARSHHOP2Bd</t>
  </si>
  <si>
    <t>WarwickARSHHOP3Bd</t>
  </si>
  <si>
    <t>WarwickARSHHOP4Bd</t>
  </si>
  <si>
    <t>WarwickARSHHOPBdst</t>
  </si>
  <si>
    <t>WarwickARSHHOPNSC</t>
  </si>
  <si>
    <t>WarwickARSHHOPSC</t>
  </si>
  <si>
    <t>WarwickARSHHOPTotal</t>
  </si>
  <si>
    <t>WarwickGN1Bd</t>
  </si>
  <si>
    <t>WarwickGN2Bd</t>
  </si>
  <si>
    <t>WarwickGN3Bd</t>
  </si>
  <si>
    <t>WarwickGN4Bd</t>
  </si>
  <si>
    <t>WarwickGN5Bd</t>
  </si>
  <si>
    <t>WarwickGN6Bd</t>
  </si>
  <si>
    <t>WarwickGNBdst</t>
  </si>
  <si>
    <t>WarwickGNNSC</t>
  </si>
  <si>
    <t>WarwickGNTotal</t>
  </si>
  <si>
    <t>WarwickGNSC</t>
  </si>
  <si>
    <t>WarwickGNAGGSC</t>
  </si>
  <si>
    <t>WarwickGNAGGNSC</t>
  </si>
  <si>
    <t>WarwickLCHO</t>
  </si>
  <si>
    <t>WarwickSHHOP1Bd</t>
  </si>
  <si>
    <t>WarwickSHHOP2Bd</t>
  </si>
  <si>
    <t>WarwickSHHOP3Bd</t>
  </si>
  <si>
    <t>WarwickSHHOP4Bd</t>
  </si>
  <si>
    <t>WarwickSHHOPBdst</t>
  </si>
  <si>
    <t>WarwickSHHOPNSC</t>
  </si>
  <si>
    <t>WarwickSHHOPTotal</t>
  </si>
  <si>
    <t>WarwickSHHOPSC</t>
  </si>
  <si>
    <t>WarwickSHHOPAGGNA</t>
  </si>
  <si>
    <t>E07000223</t>
  </si>
  <si>
    <t>Adur</t>
  </si>
  <si>
    <t>AdurARGN1Bd</t>
  </si>
  <si>
    <t>AdurARGN2Bd</t>
  </si>
  <si>
    <t>AdurARGN3Bd</t>
  </si>
  <si>
    <t>AdurARGN4Bd</t>
  </si>
  <si>
    <t>AdurARGN5Bd</t>
  </si>
  <si>
    <t>AdurARGN6Bd</t>
  </si>
  <si>
    <t>AdurARGNBdst</t>
  </si>
  <si>
    <t>AdurARGNNSC</t>
  </si>
  <si>
    <t>AdurARGNTotal</t>
  </si>
  <si>
    <t>AdurARGNSC</t>
  </si>
  <si>
    <t>AdurARSHHOP1Bd</t>
  </si>
  <si>
    <t>AdurARSHHOP2Bd</t>
  </si>
  <si>
    <t>AdurARSHHOP3Bd</t>
  </si>
  <si>
    <t>AdurARSHHOP4Bd</t>
  </si>
  <si>
    <t>AdurARSHHOPBdst</t>
  </si>
  <si>
    <t>AdurARSHHOPNSC</t>
  </si>
  <si>
    <t>AdurARSHHOPSC</t>
  </si>
  <si>
    <t>AdurARSHHOPTotal</t>
  </si>
  <si>
    <t>AdurGN1Bd</t>
  </si>
  <si>
    <t>AdurGN2Bd</t>
  </si>
  <si>
    <t>AdurGN3Bd</t>
  </si>
  <si>
    <t>AdurGN4Bd</t>
  </si>
  <si>
    <t>AdurGN5Bd</t>
  </si>
  <si>
    <t>AdurGN6Bd</t>
  </si>
  <si>
    <t>AdurGNBdst</t>
  </si>
  <si>
    <t>AdurGNNSC</t>
  </si>
  <si>
    <t>AdurGNTotal</t>
  </si>
  <si>
    <t>AdurGNSC</t>
  </si>
  <si>
    <t>AdurGNAGGSC</t>
  </si>
  <si>
    <t>AdurGNAGGNSC</t>
  </si>
  <si>
    <t>AdurLCHO</t>
  </si>
  <si>
    <t>AdurSHHOP1Bd</t>
  </si>
  <si>
    <t>AdurSHHOP2Bd</t>
  </si>
  <si>
    <t>AdurSHHOP3Bd</t>
  </si>
  <si>
    <t>AdurSHHOP4Bd</t>
  </si>
  <si>
    <t>AdurSHHOPBdst</t>
  </si>
  <si>
    <t>AdurSHHOPNSC</t>
  </si>
  <si>
    <t>AdurSHHOPTotal</t>
  </si>
  <si>
    <t>AdurSHHOPSC</t>
  </si>
  <si>
    <t>AdurSHHOPAGGNA</t>
  </si>
  <si>
    <t>E07000224</t>
  </si>
  <si>
    <t>Arun</t>
  </si>
  <si>
    <t>ArunARGN1Bd</t>
  </si>
  <si>
    <t>ArunARGN2Bd</t>
  </si>
  <si>
    <t>ArunARGN3Bd</t>
  </si>
  <si>
    <t>ArunARGN4Bd</t>
  </si>
  <si>
    <t>ArunARGN5Bd</t>
  </si>
  <si>
    <t>ArunARGN6Bd</t>
  </si>
  <si>
    <t>ArunARGNBdst</t>
  </si>
  <si>
    <t>ArunARGNNSC</t>
  </si>
  <si>
    <t>ArunARGNTotal</t>
  </si>
  <si>
    <t>ArunARGNSC</t>
  </si>
  <si>
    <t>ArunARSHHOP1Bd</t>
  </si>
  <si>
    <t>ArunARSHHOP2Bd</t>
  </si>
  <si>
    <t>ArunARSHHOP3Bd</t>
  </si>
  <si>
    <t>ArunARSHHOP4Bd</t>
  </si>
  <si>
    <t>ArunARSHHOPBdst</t>
  </si>
  <si>
    <t>ArunARSHHOPNSC</t>
  </si>
  <si>
    <t>ArunARSHHOPSC</t>
  </si>
  <si>
    <t>ArunARSHHOPTotal</t>
  </si>
  <si>
    <t>ArunGN1Bd</t>
  </si>
  <si>
    <t>ArunGN2Bd</t>
  </si>
  <si>
    <t>ArunGN3Bd</t>
  </si>
  <si>
    <t>ArunGN4Bd</t>
  </si>
  <si>
    <t>ArunGN5Bd</t>
  </si>
  <si>
    <t>ArunGN6Bd</t>
  </si>
  <si>
    <t>ArunGNBdst</t>
  </si>
  <si>
    <t>ArunGNNSC</t>
  </si>
  <si>
    <t>ArunGNTotal</t>
  </si>
  <si>
    <t>ArunGNSC</t>
  </si>
  <si>
    <t>ArunGNAGGSC</t>
  </si>
  <si>
    <t>ArunGNAGGNSC</t>
  </si>
  <si>
    <t>ArunLCHO</t>
  </si>
  <si>
    <t>ArunSHHOP1Bd</t>
  </si>
  <si>
    <t>ArunSHHOP2Bd</t>
  </si>
  <si>
    <t>ArunSHHOP3Bd</t>
  </si>
  <si>
    <t>ArunSHHOP4Bd</t>
  </si>
  <si>
    <t>ArunSHHOPBdst</t>
  </si>
  <si>
    <t>ArunSHHOPNSC</t>
  </si>
  <si>
    <t>ArunSHHOPTotal</t>
  </si>
  <si>
    <t>ArunSHHOPSC</t>
  </si>
  <si>
    <t>ArunSHHOPAGGNA</t>
  </si>
  <si>
    <t>E07000225</t>
  </si>
  <si>
    <t>Chichester</t>
  </si>
  <si>
    <t>ChichesterARGN1Bd</t>
  </si>
  <si>
    <t>ChichesterARGN2Bd</t>
  </si>
  <si>
    <t>ChichesterARGN3Bd</t>
  </si>
  <si>
    <t>ChichesterARGN4Bd</t>
  </si>
  <si>
    <t>ChichesterARGN5Bd</t>
  </si>
  <si>
    <t>ChichesterARGN6Bd</t>
  </si>
  <si>
    <t>ChichesterARGNBdst</t>
  </si>
  <si>
    <t>ChichesterARGNNSC</t>
  </si>
  <si>
    <t>ChichesterARGNTotal</t>
  </si>
  <si>
    <t>ChichesterARGNSC</t>
  </si>
  <si>
    <t>ChichesterARSHHOP1Bd</t>
  </si>
  <si>
    <t>ChichesterARSHHOP2Bd</t>
  </si>
  <si>
    <t>ChichesterARSHHOP3Bd</t>
  </si>
  <si>
    <t>ChichesterARSHHOP4Bd</t>
  </si>
  <si>
    <t>ChichesterARSHHOPBdst</t>
  </si>
  <si>
    <t>ChichesterARSHHOPNSC</t>
  </si>
  <si>
    <t>ChichesterARSHHOPSC</t>
  </si>
  <si>
    <t>ChichesterARSHHOPTotal</t>
  </si>
  <si>
    <t>ChichesterGN1Bd</t>
  </si>
  <si>
    <t>ChichesterGN2Bd</t>
  </si>
  <si>
    <t>ChichesterGN3Bd</t>
  </si>
  <si>
    <t>ChichesterGN4Bd</t>
  </si>
  <si>
    <t>ChichesterGN5Bd</t>
  </si>
  <si>
    <t>ChichesterGN6Bd</t>
  </si>
  <si>
    <t>ChichesterGNBdst</t>
  </si>
  <si>
    <t>ChichesterGNNSC</t>
  </si>
  <si>
    <t>ChichesterGNTotal</t>
  </si>
  <si>
    <t>ChichesterGNSC</t>
  </si>
  <si>
    <t>ChichesterGNAGGSC</t>
  </si>
  <si>
    <t>ChichesterGNAGGNSC</t>
  </si>
  <si>
    <t>ChichesterLCHO</t>
  </si>
  <si>
    <t>ChichesterSHHOP1Bd</t>
  </si>
  <si>
    <t>ChichesterSHHOP2Bd</t>
  </si>
  <si>
    <t>ChichesterSHHOP3Bd</t>
  </si>
  <si>
    <t>ChichesterSHHOP4Bd</t>
  </si>
  <si>
    <t>ChichesterSHHOPBdst</t>
  </si>
  <si>
    <t>ChichesterSHHOPNSC</t>
  </si>
  <si>
    <t>ChichesterSHHOPTotal</t>
  </si>
  <si>
    <t>ChichesterSHHOPSC</t>
  </si>
  <si>
    <t>ChichesterSHHOPAGGNA</t>
  </si>
  <si>
    <t>E07000226</t>
  </si>
  <si>
    <t>Crawley</t>
  </si>
  <si>
    <t>CrawleyARGN1Bd</t>
  </si>
  <si>
    <t>CrawleyARGN2Bd</t>
  </si>
  <si>
    <t>CrawleyARGN3Bd</t>
  </si>
  <si>
    <t>CrawleyARGN4Bd</t>
  </si>
  <si>
    <t>CrawleyARGN5Bd</t>
  </si>
  <si>
    <t>CrawleyARGN6Bd</t>
  </si>
  <si>
    <t>CrawleyARGNBdst</t>
  </si>
  <si>
    <t>CrawleyARGNNSC</t>
  </si>
  <si>
    <t>CrawleyARGNTotal</t>
  </si>
  <si>
    <t>CrawleyARGNSC</t>
  </si>
  <si>
    <t>CrawleyARSHHOP1Bd</t>
  </si>
  <si>
    <t>CrawleyARSHHOP2Bd</t>
  </si>
  <si>
    <t>CrawleyARSHHOP3Bd</t>
  </si>
  <si>
    <t>CrawleyARSHHOP4Bd</t>
  </si>
  <si>
    <t>CrawleyARSHHOPBdst</t>
  </si>
  <si>
    <t>CrawleyARSHHOPNSC</t>
  </si>
  <si>
    <t>CrawleyARSHHOPSC</t>
  </si>
  <si>
    <t>CrawleyARSHHOPTotal</t>
  </si>
  <si>
    <t>CrawleyGN1Bd</t>
  </si>
  <si>
    <t>CrawleyGN2Bd</t>
  </si>
  <si>
    <t>CrawleyGN3Bd</t>
  </si>
  <si>
    <t>CrawleyGN4Bd</t>
  </si>
  <si>
    <t>CrawleyGN5Bd</t>
  </si>
  <si>
    <t>CrawleyGN6Bd</t>
  </si>
  <si>
    <t>CrawleyGNBdst</t>
  </si>
  <si>
    <t>CrawleyGNNSC</t>
  </si>
  <si>
    <t>CrawleyGNTotal</t>
  </si>
  <si>
    <t>CrawleyGNSC</t>
  </si>
  <si>
    <t>CrawleyGNAGGSC</t>
  </si>
  <si>
    <t>CrawleyGNAGGNSC</t>
  </si>
  <si>
    <t>CrawleyLCHO</t>
  </si>
  <si>
    <t>CrawleySHHOP1Bd</t>
  </si>
  <si>
    <t>CrawleySHHOP2Bd</t>
  </si>
  <si>
    <t>CrawleySHHOP3Bd</t>
  </si>
  <si>
    <t>CrawleySHHOP4Bd</t>
  </si>
  <si>
    <t>CrawleySHHOPBdst</t>
  </si>
  <si>
    <t>CrawleySHHOPNSC</t>
  </si>
  <si>
    <t>CrawleySHHOPTotal</t>
  </si>
  <si>
    <t>CrawleySHHOPSC</t>
  </si>
  <si>
    <t>CrawleySHHOPAGGNA</t>
  </si>
  <si>
    <t>E07000227</t>
  </si>
  <si>
    <t>Horsham</t>
  </si>
  <si>
    <t>HorshamARGN1Bd</t>
  </si>
  <si>
    <t>HorshamARGN2Bd</t>
  </si>
  <si>
    <t>HorshamARGN3Bd</t>
  </si>
  <si>
    <t>HorshamARGN4Bd</t>
  </si>
  <si>
    <t>HorshamARGN5Bd</t>
  </si>
  <si>
    <t>HorshamARGN6Bd</t>
  </si>
  <si>
    <t>HorshamARGNBdst</t>
  </si>
  <si>
    <t>HorshamARGNNSC</t>
  </si>
  <si>
    <t>HorshamARGNTotal</t>
  </si>
  <si>
    <t>HorshamARGNSC</t>
  </si>
  <si>
    <t>HorshamARSHHOP1Bd</t>
  </si>
  <si>
    <t>HorshamARSHHOP2Bd</t>
  </si>
  <si>
    <t>HorshamARSHHOP3Bd</t>
  </si>
  <si>
    <t>HorshamARSHHOP4Bd</t>
  </si>
  <si>
    <t>HorshamARSHHOPBdst</t>
  </si>
  <si>
    <t>HorshamARSHHOPNSC</t>
  </si>
  <si>
    <t>HorshamARSHHOPSC</t>
  </si>
  <si>
    <t>HorshamARSHHOPTotal</t>
  </si>
  <si>
    <t>HorshamGN1Bd</t>
  </si>
  <si>
    <t>HorshamGN2Bd</t>
  </si>
  <si>
    <t>HorshamGN3Bd</t>
  </si>
  <si>
    <t>HorshamGN4Bd</t>
  </si>
  <si>
    <t>HorshamGN5Bd</t>
  </si>
  <si>
    <t>HorshamGN6Bd</t>
  </si>
  <si>
    <t>HorshamGNBdst</t>
  </si>
  <si>
    <t>HorshamGNNSC</t>
  </si>
  <si>
    <t>HorshamGNTotal</t>
  </si>
  <si>
    <t>HorshamGNSC</t>
  </si>
  <si>
    <t>HorshamGNAGGSC</t>
  </si>
  <si>
    <t>HorshamGNAGGNSC</t>
  </si>
  <si>
    <t>HorshamLCHO</t>
  </si>
  <si>
    <t>HorshamSHHOP1Bd</t>
  </si>
  <si>
    <t>HorshamSHHOP2Bd</t>
  </si>
  <si>
    <t>HorshamSHHOP3Bd</t>
  </si>
  <si>
    <t>HorshamSHHOP4Bd</t>
  </si>
  <si>
    <t>HorshamSHHOPBdst</t>
  </si>
  <si>
    <t>HorshamSHHOPNSC</t>
  </si>
  <si>
    <t>HorshamSHHOPTotal</t>
  </si>
  <si>
    <t>HorshamSHHOPSC</t>
  </si>
  <si>
    <t>HorshamSHHOPAGGNA</t>
  </si>
  <si>
    <t>E07000228</t>
  </si>
  <si>
    <t>Mid Sussex</t>
  </si>
  <si>
    <t>Mid SussexARGN1Bd</t>
  </si>
  <si>
    <t>Mid SussexARGN2Bd</t>
  </si>
  <si>
    <t>Mid SussexARGN3Bd</t>
  </si>
  <si>
    <t>Mid SussexARGN4Bd</t>
  </si>
  <si>
    <t>Mid SussexARGN5Bd</t>
  </si>
  <si>
    <t>Mid SussexARGN6Bd</t>
  </si>
  <si>
    <t>Mid SussexARGNBdst</t>
  </si>
  <si>
    <t>Mid SussexARGNNSC</t>
  </si>
  <si>
    <t>Mid SussexARGNTotal</t>
  </si>
  <si>
    <t>Mid SussexARGNSC</t>
  </si>
  <si>
    <t>Mid SussexARSHHOP1Bd</t>
  </si>
  <si>
    <t>Mid SussexARSHHOP2Bd</t>
  </si>
  <si>
    <t>Mid SussexARSHHOP3Bd</t>
  </si>
  <si>
    <t>Mid SussexARSHHOP4Bd</t>
  </si>
  <si>
    <t>Mid SussexARSHHOPBdst</t>
  </si>
  <si>
    <t>Mid SussexARSHHOPNSC</t>
  </si>
  <si>
    <t>Mid SussexARSHHOPSC</t>
  </si>
  <si>
    <t>Mid SussexARSHHOPTotal</t>
  </si>
  <si>
    <t>Mid SussexGN1Bd</t>
  </si>
  <si>
    <t>Mid SussexGN2Bd</t>
  </si>
  <si>
    <t>Mid SussexGN3Bd</t>
  </si>
  <si>
    <t>Mid SussexGN4Bd</t>
  </si>
  <si>
    <t>Mid SussexGN5Bd</t>
  </si>
  <si>
    <t>Mid SussexGN6Bd</t>
  </si>
  <si>
    <t>Mid SussexGNBdst</t>
  </si>
  <si>
    <t>Mid SussexGNNSC</t>
  </si>
  <si>
    <t>Mid SussexGNTotal</t>
  </si>
  <si>
    <t>Mid SussexGNSC</t>
  </si>
  <si>
    <t>Mid SussexGNAGGSC</t>
  </si>
  <si>
    <t>Mid SussexGNAGGNSC</t>
  </si>
  <si>
    <t>Mid SussexLCHO</t>
  </si>
  <si>
    <t>Mid SussexSHHOP1Bd</t>
  </si>
  <si>
    <t>Mid SussexSHHOP2Bd</t>
  </si>
  <si>
    <t>Mid SussexSHHOP3Bd</t>
  </si>
  <si>
    <t>Mid SussexSHHOP4Bd</t>
  </si>
  <si>
    <t>Mid SussexSHHOPBdst</t>
  </si>
  <si>
    <t>Mid SussexSHHOPNSC</t>
  </si>
  <si>
    <t>Mid SussexSHHOPTotal</t>
  </si>
  <si>
    <t>Mid SussexSHHOPSC</t>
  </si>
  <si>
    <t>Mid SussexSHHOPAGGNA</t>
  </si>
  <si>
    <t>E07000229</t>
  </si>
  <si>
    <t>WorthingARGN1Bd</t>
  </si>
  <si>
    <t>WorthingARGN2Bd</t>
  </si>
  <si>
    <t>WorthingARGN3Bd</t>
  </si>
  <si>
    <t>WorthingARGN4Bd</t>
  </si>
  <si>
    <t>WorthingARGN5Bd</t>
  </si>
  <si>
    <t>WorthingARGN6Bd</t>
  </si>
  <si>
    <t>WorthingARGNBdst</t>
  </si>
  <si>
    <t>WorthingARGNNSC</t>
  </si>
  <si>
    <t>WorthingARGNTotal</t>
  </si>
  <si>
    <t>WorthingARGNSC</t>
  </si>
  <si>
    <t>WorthingARSHHOP1Bd</t>
  </si>
  <si>
    <t>WorthingARSHHOP2Bd</t>
  </si>
  <si>
    <t>WorthingARSHHOP3Bd</t>
  </si>
  <si>
    <t>WorthingARSHHOP4Bd</t>
  </si>
  <si>
    <t>WorthingARSHHOPBdst</t>
  </si>
  <si>
    <t>WorthingARSHHOPNSC</t>
  </si>
  <si>
    <t>WorthingARSHHOPSC</t>
  </si>
  <si>
    <t>WorthingARSHHOPTotal</t>
  </si>
  <si>
    <t>WorthingGN1Bd</t>
  </si>
  <si>
    <t>WorthingGN2Bd</t>
  </si>
  <si>
    <t>WorthingGN3Bd</t>
  </si>
  <si>
    <t>WorthingGN4Bd</t>
  </si>
  <si>
    <t>WorthingGN5Bd</t>
  </si>
  <si>
    <t>WorthingGN6Bd</t>
  </si>
  <si>
    <t>WorthingGNBdst</t>
  </si>
  <si>
    <t>WorthingGNNSC</t>
  </si>
  <si>
    <t>WorthingGNTotal</t>
  </si>
  <si>
    <t>WorthingGNSC</t>
  </si>
  <si>
    <t>WorthingGNAGGSC</t>
  </si>
  <si>
    <t>WorthingGNAGGNSC</t>
  </si>
  <si>
    <t>WorthingLCHO</t>
  </si>
  <si>
    <t>WorthingSHHOP1Bd</t>
  </si>
  <si>
    <t>WorthingSHHOP2Bd</t>
  </si>
  <si>
    <t>WorthingSHHOP3Bd</t>
  </si>
  <si>
    <t>WorthingSHHOP4Bd</t>
  </si>
  <si>
    <t>WorthingSHHOPBdst</t>
  </si>
  <si>
    <t>WorthingSHHOPNSC</t>
  </si>
  <si>
    <t>WorthingSHHOPTotal</t>
  </si>
  <si>
    <t>WorthingSHHOPSC</t>
  </si>
  <si>
    <t>WorthingSHHOPAGGNA</t>
  </si>
  <si>
    <t>E07000234</t>
  </si>
  <si>
    <t>Bromsgrove</t>
  </si>
  <si>
    <t>BromsgroveARGN1Bd</t>
  </si>
  <si>
    <t>BromsgroveARGN2Bd</t>
  </si>
  <si>
    <t>BromsgroveARGN3Bd</t>
  </si>
  <si>
    <t>BromsgroveARGN4Bd</t>
  </si>
  <si>
    <t>BromsgroveARGN5Bd</t>
  </si>
  <si>
    <t>BromsgroveARGN6Bd</t>
  </si>
  <si>
    <t>BromsgroveARGNBdst</t>
  </si>
  <si>
    <t>BromsgroveARGNNSC</t>
  </si>
  <si>
    <t>BromsgroveARGNTotal</t>
  </si>
  <si>
    <t>BromsgroveARGNSC</t>
  </si>
  <si>
    <t>BromsgroveGN1Bd</t>
  </si>
  <si>
    <t>BromsgroveGN2Bd</t>
  </si>
  <si>
    <t>BromsgroveGN3Bd</t>
  </si>
  <si>
    <t>BromsgroveGN4Bd</t>
  </si>
  <si>
    <t>BromsgroveGN5Bd</t>
  </si>
  <si>
    <t>BromsgroveGN6Bd</t>
  </si>
  <si>
    <t>BromsgroveGNBdst</t>
  </si>
  <si>
    <t>BromsgroveGNNSC</t>
  </si>
  <si>
    <t>BromsgroveGNTotal</t>
  </si>
  <si>
    <t>BromsgroveGNSC</t>
  </si>
  <si>
    <t>BromsgroveGNAGGSC</t>
  </si>
  <si>
    <t>BromsgroveGNAGGNSC</t>
  </si>
  <si>
    <t>BromsgroveLCHO</t>
  </si>
  <si>
    <t>BromsgroveSHHOP1Bd</t>
  </si>
  <si>
    <t>BromsgroveSHHOP2Bd</t>
  </si>
  <si>
    <t>BromsgroveSHHOP3Bd</t>
  </si>
  <si>
    <t>BromsgroveSHHOP4Bd</t>
  </si>
  <si>
    <t>BromsgroveSHHOPBdst</t>
  </si>
  <si>
    <t>BromsgroveSHHOPNSC</t>
  </si>
  <si>
    <t>BromsgroveSHHOPTotal</t>
  </si>
  <si>
    <t>BromsgroveSHHOPSC</t>
  </si>
  <si>
    <t>BromsgroveSHHOPAGGNA</t>
  </si>
  <si>
    <t>E07000235</t>
  </si>
  <si>
    <t>Malvern Hills</t>
  </si>
  <si>
    <t>Malvern HillsARGN1Bd</t>
  </si>
  <si>
    <t>Malvern HillsARGN2Bd</t>
  </si>
  <si>
    <t>Malvern HillsARGN3Bd</t>
  </si>
  <si>
    <t>Malvern HillsARGN4Bd</t>
  </si>
  <si>
    <t>Malvern HillsARGN5Bd</t>
  </si>
  <si>
    <t>Malvern HillsARGN6Bd</t>
  </si>
  <si>
    <t>Malvern HillsARGNBdst</t>
  </si>
  <si>
    <t>Malvern HillsARGNNSC</t>
  </si>
  <si>
    <t>Malvern HillsARGNTotal</t>
  </si>
  <si>
    <t>Malvern HillsARGNSC</t>
  </si>
  <si>
    <t>Malvern HillsARSHHOP1Bd</t>
  </si>
  <si>
    <t>Malvern HillsARSHHOP2Bd</t>
  </si>
  <si>
    <t>Malvern HillsARSHHOP3Bd</t>
  </si>
  <si>
    <t>Malvern HillsARSHHOP4Bd</t>
  </si>
  <si>
    <t>Malvern HillsARSHHOPBdst</t>
  </si>
  <si>
    <t>Malvern HillsARSHHOPNSC</t>
  </si>
  <si>
    <t>Malvern HillsARSHHOPSC</t>
  </si>
  <si>
    <t>Malvern HillsARSHHOPTotal</t>
  </si>
  <si>
    <t>Malvern HillsGN1Bd</t>
  </si>
  <si>
    <t>Malvern HillsGN2Bd</t>
  </si>
  <si>
    <t>Malvern HillsGN3Bd</t>
  </si>
  <si>
    <t>Malvern HillsGN4Bd</t>
  </si>
  <si>
    <t>Malvern HillsGN5Bd</t>
  </si>
  <si>
    <t>Malvern HillsGN6Bd</t>
  </si>
  <si>
    <t>Malvern HillsGNBdst</t>
  </si>
  <si>
    <t>Malvern HillsGNNSC</t>
  </si>
  <si>
    <t>Malvern HillsGNTotal</t>
  </si>
  <si>
    <t>Malvern HillsGNSC</t>
  </si>
  <si>
    <t>Malvern HillsGNAGGSC</t>
  </si>
  <si>
    <t>Malvern HillsGNAGGNSC</t>
  </si>
  <si>
    <t>Malvern HillsLCHO</t>
  </si>
  <si>
    <t>Malvern HillsSHHOP1Bd</t>
  </si>
  <si>
    <t>Malvern HillsSHHOP2Bd</t>
  </si>
  <si>
    <t>Malvern HillsSHHOP3Bd</t>
  </si>
  <si>
    <t>Malvern HillsSHHOP4Bd</t>
  </si>
  <si>
    <t>Malvern HillsSHHOPBdst</t>
  </si>
  <si>
    <t>Malvern HillsSHHOPNSC</t>
  </si>
  <si>
    <t>Malvern HillsSHHOPTotal</t>
  </si>
  <si>
    <t>Malvern HillsSHHOPSC</t>
  </si>
  <si>
    <t>Malvern HillsSHHOPAGGNA</t>
  </si>
  <si>
    <t>E07000236</t>
  </si>
  <si>
    <t>Redditch</t>
  </si>
  <si>
    <t>RedditchARGN1Bd</t>
  </si>
  <si>
    <t>RedditchARGN2Bd</t>
  </si>
  <si>
    <t>RedditchARGN3Bd</t>
  </si>
  <si>
    <t>RedditchARGN4Bd</t>
  </si>
  <si>
    <t>RedditchARGN5Bd</t>
  </si>
  <si>
    <t>RedditchARGN6Bd</t>
  </si>
  <si>
    <t>RedditchARGNBdst</t>
  </si>
  <si>
    <t>RedditchARGNNSC</t>
  </si>
  <si>
    <t>RedditchARGNTotal</t>
  </si>
  <si>
    <t>RedditchARGNSC</t>
  </si>
  <si>
    <t>RedditchARSHHOP1Bd</t>
  </si>
  <si>
    <t>RedditchARSHHOP2Bd</t>
  </si>
  <si>
    <t>RedditchARSHHOP3Bd</t>
  </si>
  <si>
    <t>RedditchARSHHOP4Bd</t>
  </si>
  <si>
    <t>RedditchARSHHOPBdst</t>
  </si>
  <si>
    <t>RedditchARSHHOPNSC</t>
  </si>
  <si>
    <t>RedditchARSHHOPSC</t>
  </si>
  <si>
    <t>RedditchARSHHOPTotal</t>
  </si>
  <si>
    <t>RedditchGN1Bd</t>
  </si>
  <si>
    <t>RedditchGN2Bd</t>
  </si>
  <si>
    <t>RedditchGN3Bd</t>
  </si>
  <si>
    <t>RedditchGN4Bd</t>
  </si>
  <si>
    <t>RedditchGN5Bd</t>
  </si>
  <si>
    <t>RedditchGN6Bd</t>
  </si>
  <si>
    <t>RedditchGNBdst</t>
  </si>
  <si>
    <t>RedditchGNNSC</t>
  </si>
  <si>
    <t>RedditchGNTotal</t>
  </si>
  <si>
    <t>RedditchGNSC</t>
  </si>
  <si>
    <t>RedditchGNAGGSC</t>
  </si>
  <si>
    <t>RedditchGNAGGNSC</t>
  </si>
  <si>
    <t>RedditchLCHO</t>
  </si>
  <si>
    <t>RedditchSHHOP1Bd</t>
  </si>
  <si>
    <t>RedditchSHHOP2Bd</t>
  </si>
  <si>
    <t>RedditchSHHOP3Bd</t>
  </si>
  <si>
    <t>RedditchSHHOP4Bd</t>
  </si>
  <si>
    <t>RedditchSHHOPBdst</t>
  </si>
  <si>
    <t>RedditchSHHOPNSC</t>
  </si>
  <si>
    <t>RedditchSHHOPTotal</t>
  </si>
  <si>
    <t>RedditchSHHOPSC</t>
  </si>
  <si>
    <t>RedditchSHHOPAGGNA</t>
  </si>
  <si>
    <t>E07000237</t>
  </si>
  <si>
    <t>WorcesterARGN1Bd</t>
  </si>
  <si>
    <t>WorcesterARGN2Bd</t>
  </si>
  <si>
    <t>WorcesterARGN3Bd</t>
  </si>
  <si>
    <t>WorcesterARGN4Bd</t>
  </si>
  <si>
    <t>WorcesterARGN5Bd</t>
  </si>
  <si>
    <t>WorcesterARGN6Bd</t>
  </si>
  <si>
    <t>WorcesterARGNBdst</t>
  </si>
  <si>
    <t>WorcesterARGNNSC</t>
  </si>
  <si>
    <t>WorcesterARGNTotal</t>
  </si>
  <si>
    <t>WorcesterARGNSC</t>
  </si>
  <si>
    <t>WorcesterARSHHOP1Bd</t>
  </si>
  <si>
    <t>WorcesterARSHHOP2Bd</t>
  </si>
  <si>
    <t>WorcesterARSHHOP3Bd</t>
  </si>
  <si>
    <t>WorcesterARSHHOP4Bd</t>
  </si>
  <si>
    <t>WorcesterARSHHOPBdst</t>
  </si>
  <si>
    <t>WorcesterARSHHOPNSC</t>
  </si>
  <si>
    <t>WorcesterARSHHOPSC</t>
  </si>
  <si>
    <t>WorcesterARSHHOPTotal</t>
  </si>
  <si>
    <t>WorcesterGN1Bd</t>
  </si>
  <si>
    <t>WorcesterGN2Bd</t>
  </si>
  <si>
    <t>WorcesterGN3Bd</t>
  </si>
  <si>
    <t>WorcesterGN4Bd</t>
  </si>
  <si>
    <t>WorcesterGN5Bd</t>
  </si>
  <si>
    <t>WorcesterGN6Bd</t>
  </si>
  <si>
    <t>WorcesterGNBdst</t>
  </si>
  <si>
    <t>WorcesterGNNSC</t>
  </si>
  <si>
    <t>WorcesterGNTotal</t>
  </si>
  <si>
    <t>WorcesterGNSC</t>
  </si>
  <si>
    <t>WorcesterGNAGGSC</t>
  </si>
  <si>
    <t>WorcesterGNAGGNSC</t>
  </si>
  <si>
    <t>WorcesterLCHO</t>
  </si>
  <si>
    <t>WorcesterSHHOP1Bd</t>
  </si>
  <si>
    <t>WorcesterSHHOP2Bd</t>
  </si>
  <si>
    <t>WorcesterSHHOP3Bd</t>
  </si>
  <si>
    <t>WorcesterSHHOP4Bd</t>
  </si>
  <si>
    <t>WorcesterSHHOPBdst</t>
  </si>
  <si>
    <t>WorcesterSHHOPNSC</t>
  </si>
  <si>
    <t>WorcesterSHHOPTotal</t>
  </si>
  <si>
    <t>WorcesterSHHOPSC</t>
  </si>
  <si>
    <t>WorcesterSHHOPAGGNA</t>
  </si>
  <si>
    <t>E07000238</t>
  </si>
  <si>
    <t>WychavonARGN1Bd</t>
  </si>
  <si>
    <t>WychavonARGN2Bd</t>
  </si>
  <si>
    <t>WychavonARGN3Bd</t>
  </si>
  <si>
    <t>WychavonARGN4Bd</t>
  </si>
  <si>
    <t>WychavonARGN5Bd</t>
  </si>
  <si>
    <t>WychavonARGN6Bd</t>
  </si>
  <si>
    <t>WychavonARGNBdst</t>
  </si>
  <si>
    <t>WychavonARGNNSC</t>
  </si>
  <si>
    <t>WychavonARGNTotal</t>
  </si>
  <si>
    <t>WychavonARGNSC</t>
  </si>
  <si>
    <t>WychavonARSHHOP1Bd</t>
  </si>
  <si>
    <t>WychavonARSHHOP2Bd</t>
  </si>
  <si>
    <t>WychavonARSHHOP3Bd</t>
  </si>
  <si>
    <t>WychavonARSHHOP4Bd</t>
  </si>
  <si>
    <t>WychavonARSHHOPBdst</t>
  </si>
  <si>
    <t>WychavonARSHHOPNSC</t>
  </si>
  <si>
    <t>WychavonARSHHOPSC</t>
  </si>
  <si>
    <t>WychavonARSHHOPTotal</t>
  </si>
  <si>
    <t>WychavonGN1Bd</t>
  </si>
  <si>
    <t>WychavonGN2Bd</t>
  </si>
  <si>
    <t>WychavonGN3Bd</t>
  </si>
  <si>
    <t>WychavonGN4Bd</t>
  </si>
  <si>
    <t>WychavonGN5Bd</t>
  </si>
  <si>
    <t>WychavonGN6Bd</t>
  </si>
  <si>
    <t>WychavonGNBdst</t>
  </si>
  <si>
    <t>WychavonGNNSC</t>
  </si>
  <si>
    <t>WychavonGNTotal</t>
  </si>
  <si>
    <t>WychavonGNSC</t>
  </si>
  <si>
    <t>WychavonGNAGGSC</t>
  </si>
  <si>
    <t>WychavonGNAGGNSC</t>
  </si>
  <si>
    <t>WychavonLCHO</t>
  </si>
  <si>
    <t>WychavonSHHOP1Bd</t>
  </si>
  <si>
    <t>WychavonSHHOP2Bd</t>
  </si>
  <si>
    <t>WychavonSHHOP3Bd</t>
  </si>
  <si>
    <t>WychavonSHHOP4Bd</t>
  </si>
  <si>
    <t>WychavonSHHOPBdst</t>
  </si>
  <si>
    <t>WychavonSHHOPNSC</t>
  </si>
  <si>
    <t>WychavonSHHOPTotal</t>
  </si>
  <si>
    <t>WychavonSHHOPSC</t>
  </si>
  <si>
    <t>WychavonSHHOPAGGNA</t>
  </si>
  <si>
    <t>E07000239</t>
  </si>
  <si>
    <t>Wyre ForestARGN1Bd</t>
  </si>
  <si>
    <t>Wyre ForestARGN2Bd</t>
  </si>
  <si>
    <t>Wyre ForestARGN3Bd</t>
  </si>
  <si>
    <t>Wyre ForestARGN4Bd</t>
  </si>
  <si>
    <t>Wyre ForestARGN5Bd</t>
  </si>
  <si>
    <t>Wyre ForestARGN6Bd</t>
  </si>
  <si>
    <t>Wyre ForestARGNBdst</t>
  </si>
  <si>
    <t>Wyre ForestARGNNSC</t>
  </si>
  <si>
    <t>Wyre ForestARGNTotal</t>
  </si>
  <si>
    <t>Wyre ForestARGNSC</t>
  </si>
  <si>
    <t>Wyre ForestARSHHOP1Bd</t>
  </si>
  <si>
    <t>Wyre ForestARSHHOP2Bd</t>
  </si>
  <si>
    <t>Wyre ForestARSHHOP3Bd</t>
  </si>
  <si>
    <t>Wyre ForestARSHHOP4Bd</t>
  </si>
  <si>
    <t>Wyre ForestARSHHOPBdst</t>
  </si>
  <si>
    <t>Wyre ForestARSHHOPNSC</t>
  </si>
  <si>
    <t>Wyre ForestARSHHOPSC</t>
  </si>
  <si>
    <t>Wyre ForestARSHHOPTotal</t>
  </si>
  <si>
    <t>Wyre ForestGN1Bd</t>
  </si>
  <si>
    <t>Wyre ForestGN2Bd</t>
  </si>
  <si>
    <t>Wyre ForestGN3Bd</t>
  </si>
  <si>
    <t>Wyre ForestGN4Bd</t>
  </si>
  <si>
    <t>Wyre ForestGN5Bd</t>
  </si>
  <si>
    <t>Wyre ForestGN6Bd</t>
  </si>
  <si>
    <t>Wyre ForestGNBdst</t>
  </si>
  <si>
    <t>Wyre ForestGNNSC</t>
  </si>
  <si>
    <t>Wyre ForestGNTotal</t>
  </si>
  <si>
    <t>Wyre ForestGNSC</t>
  </si>
  <si>
    <t>Wyre ForestGNAGGSC</t>
  </si>
  <si>
    <t>Wyre ForestGNAGGNSC</t>
  </si>
  <si>
    <t>Wyre ForestLCHO</t>
  </si>
  <si>
    <t>Wyre ForestSHHOP1Bd</t>
  </si>
  <si>
    <t>Wyre ForestSHHOP2Bd</t>
  </si>
  <si>
    <t>Wyre ForestSHHOP3Bd</t>
  </si>
  <si>
    <t>Wyre ForestSHHOP4Bd</t>
  </si>
  <si>
    <t>Wyre ForestSHHOPBdst</t>
  </si>
  <si>
    <t>Wyre ForestSHHOPNSC</t>
  </si>
  <si>
    <t>Wyre ForestSHHOPTotal</t>
  </si>
  <si>
    <t>Wyre ForestSHHOPSC</t>
  </si>
  <si>
    <t>Wyre ForestSHHOPAGGNA</t>
  </si>
  <si>
    <t>E07000240</t>
  </si>
  <si>
    <t>St AlbansARGN1Bd</t>
  </si>
  <si>
    <t>St AlbansARGN2Bd</t>
  </si>
  <si>
    <t>St AlbansARGN3Bd</t>
  </si>
  <si>
    <t>St AlbansARGN4Bd</t>
  </si>
  <si>
    <t>St AlbansARGN5Bd</t>
  </si>
  <si>
    <t>St AlbansARGN6Bd</t>
  </si>
  <si>
    <t>St AlbansARGNBdst</t>
  </si>
  <si>
    <t>St AlbansARGNNSC</t>
  </si>
  <si>
    <t>St AlbansARGNTotal</t>
  </si>
  <si>
    <t>St AlbansARGNSC</t>
  </si>
  <si>
    <t>St AlbansARSHHOP1Bd</t>
  </si>
  <si>
    <t>St AlbansARSHHOP2Bd</t>
  </si>
  <si>
    <t>St AlbansARSHHOP3Bd</t>
  </si>
  <si>
    <t>St AlbansARSHHOP4Bd</t>
  </si>
  <si>
    <t>St AlbansARSHHOPBdst</t>
  </si>
  <si>
    <t>St AlbansARSHHOPNSC</t>
  </si>
  <si>
    <t>St AlbansARSHHOPSC</t>
  </si>
  <si>
    <t>St AlbansARSHHOPTotal</t>
  </si>
  <si>
    <t>St AlbansGN1Bd</t>
  </si>
  <si>
    <t>St AlbansGN2Bd</t>
  </si>
  <si>
    <t>St AlbansGN3Bd</t>
  </si>
  <si>
    <t>St AlbansGN4Bd</t>
  </si>
  <si>
    <t>St AlbansGN5Bd</t>
  </si>
  <si>
    <t>St AlbansGN6Bd</t>
  </si>
  <si>
    <t>St AlbansGNBdst</t>
  </si>
  <si>
    <t>St AlbansGNNSC</t>
  </si>
  <si>
    <t>St AlbansGNTotal</t>
  </si>
  <si>
    <t>St AlbansGNSC</t>
  </si>
  <si>
    <t>St AlbansGNAGGSC</t>
  </si>
  <si>
    <t>St AlbansGNAGGNSC</t>
  </si>
  <si>
    <t>St AlbansLCHO</t>
  </si>
  <si>
    <t>St AlbansSHHOP1Bd</t>
  </si>
  <si>
    <t>St AlbansSHHOP2Bd</t>
  </si>
  <si>
    <t>St AlbansSHHOP3Bd</t>
  </si>
  <si>
    <t>St AlbansSHHOP4Bd</t>
  </si>
  <si>
    <t>St AlbansSHHOPBdst</t>
  </si>
  <si>
    <t>St AlbansSHHOPNSC</t>
  </si>
  <si>
    <t>St AlbansSHHOPTotal</t>
  </si>
  <si>
    <t>St AlbansSHHOPSC</t>
  </si>
  <si>
    <t>St AlbansSHHOPAGGNA</t>
  </si>
  <si>
    <t>E07000241</t>
  </si>
  <si>
    <t>Welwyn HatfieldARGN1Bd</t>
  </si>
  <si>
    <t>Welwyn HatfieldARGN2Bd</t>
  </si>
  <si>
    <t>Welwyn HatfieldARGN3Bd</t>
  </si>
  <si>
    <t>Welwyn HatfieldARGN4Bd</t>
  </si>
  <si>
    <t>Welwyn HatfieldARGN5Bd</t>
  </si>
  <si>
    <t>Welwyn HatfieldARGN6Bd</t>
  </si>
  <si>
    <t>Welwyn HatfieldARGNBdst</t>
  </si>
  <si>
    <t>Welwyn HatfieldARGNNSC</t>
  </si>
  <si>
    <t>Welwyn HatfieldARGNTotal</t>
  </si>
  <si>
    <t>Welwyn HatfieldARGNSC</t>
  </si>
  <si>
    <t>Welwyn HatfieldARSHHOP1Bd</t>
  </si>
  <si>
    <t>Welwyn HatfieldARSHHOP2Bd</t>
  </si>
  <si>
    <t>Welwyn HatfieldARSHHOP3Bd</t>
  </si>
  <si>
    <t>Welwyn HatfieldARSHHOP4Bd</t>
  </si>
  <si>
    <t>Welwyn HatfieldARSHHOPBdst</t>
  </si>
  <si>
    <t>Welwyn HatfieldARSHHOPNSC</t>
  </si>
  <si>
    <t>Welwyn HatfieldARSHHOPSC</t>
  </si>
  <si>
    <t>Welwyn HatfieldARSHHOPTotal</t>
  </si>
  <si>
    <t>Welwyn HatfieldGN1Bd</t>
  </si>
  <si>
    <t>Welwyn HatfieldGN2Bd</t>
  </si>
  <si>
    <t>Welwyn HatfieldGN3Bd</t>
  </si>
  <si>
    <t>Welwyn HatfieldGN4Bd</t>
  </si>
  <si>
    <t>Welwyn HatfieldGN5Bd</t>
  </si>
  <si>
    <t>Welwyn HatfieldGN6Bd</t>
  </si>
  <si>
    <t>Welwyn HatfieldGNBdst</t>
  </si>
  <si>
    <t>Welwyn HatfieldGNNSC</t>
  </si>
  <si>
    <t>Welwyn HatfieldGNTotal</t>
  </si>
  <si>
    <t>Welwyn HatfieldGNSC</t>
  </si>
  <si>
    <t>Welwyn HatfieldGNAGGSC</t>
  </si>
  <si>
    <t>Welwyn HatfieldGNAGGNSC</t>
  </si>
  <si>
    <t>Welwyn HatfieldLCHO</t>
  </si>
  <si>
    <t>Welwyn HatfieldSHHOP1Bd</t>
  </si>
  <si>
    <t>Welwyn HatfieldSHHOP2Bd</t>
  </si>
  <si>
    <t>Welwyn HatfieldSHHOP3Bd</t>
  </si>
  <si>
    <t>Welwyn HatfieldSHHOP4Bd</t>
  </si>
  <si>
    <t>Welwyn HatfieldSHHOPBdst</t>
  </si>
  <si>
    <t>Welwyn HatfieldSHHOPNSC</t>
  </si>
  <si>
    <t>Welwyn HatfieldSHHOPTotal</t>
  </si>
  <si>
    <t>Welwyn HatfieldSHHOPSC</t>
  </si>
  <si>
    <t>Welwyn HatfieldSHHOPAGGNA</t>
  </si>
  <si>
    <t>E07000242</t>
  </si>
  <si>
    <t>East Hertfordshire</t>
  </si>
  <si>
    <t>East HertfordshireARGN1Bd</t>
  </si>
  <si>
    <t>East HertfordshireARGN2Bd</t>
  </si>
  <si>
    <t>East HertfordshireARGN3Bd</t>
  </si>
  <si>
    <t>East HertfordshireARGN4Bd</t>
  </si>
  <si>
    <t>East HertfordshireARGN5Bd</t>
  </si>
  <si>
    <t>East HertfordshireARGN6Bd</t>
  </si>
  <si>
    <t>East HertfordshireARGNBdst</t>
  </si>
  <si>
    <t>East HertfordshireARGNNSC</t>
  </si>
  <si>
    <t>East HertfordshireARGNTotal</t>
  </si>
  <si>
    <t>East HertfordshireARGNSC</t>
  </si>
  <si>
    <t>East HertfordshireARSHHOP1Bd</t>
  </si>
  <si>
    <t>East HertfordshireARSHHOP2Bd</t>
  </si>
  <si>
    <t>East HertfordshireARSHHOP3Bd</t>
  </si>
  <si>
    <t>East HertfordshireARSHHOP4Bd</t>
  </si>
  <si>
    <t>East HertfordshireARSHHOPBdst</t>
  </si>
  <si>
    <t>East HertfordshireARSHHOPNSC</t>
  </si>
  <si>
    <t>East HertfordshireARSHHOPSC</t>
  </si>
  <si>
    <t>East HertfordshireARSHHOPTotal</t>
  </si>
  <si>
    <t>East HertfordshireGN1Bd</t>
  </si>
  <si>
    <t>East HertfordshireGN2Bd</t>
  </si>
  <si>
    <t>East HertfordshireGN3Bd</t>
  </si>
  <si>
    <t>East HertfordshireGN4Bd</t>
  </si>
  <si>
    <t>East HertfordshireGN5Bd</t>
  </si>
  <si>
    <t>East HertfordshireGN6Bd</t>
  </si>
  <si>
    <t>East HertfordshireGNBdst</t>
  </si>
  <si>
    <t>East HertfordshireGNNSC</t>
  </si>
  <si>
    <t>East HertfordshireGNTotal</t>
  </si>
  <si>
    <t>East HertfordshireGNSC</t>
  </si>
  <si>
    <t>East HertfordshireGNAGGSC</t>
  </si>
  <si>
    <t>East HertfordshireGNAGGNSC</t>
  </si>
  <si>
    <t>East HertfordshireLCHO</t>
  </si>
  <si>
    <t>East HertfordshireSHHOP1Bd</t>
  </si>
  <si>
    <t>East HertfordshireSHHOP2Bd</t>
  </si>
  <si>
    <t>East HertfordshireSHHOP3Bd</t>
  </si>
  <si>
    <t>East HertfordshireSHHOP4Bd</t>
  </si>
  <si>
    <t>East HertfordshireSHHOPBdst</t>
  </si>
  <si>
    <t>East HertfordshireSHHOPNSC</t>
  </si>
  <si>
    <t>East HertfordshireSHHOPTotal</t>
  </si>
  <si>
    <t>East HertfordshireSHHOPSC</t>
  </si>
  <si>
    <t>East HertfordshireSHHOPAGGNA</t>
  </si>
  <si>
    <t>E07000243</t>
  </si>
  <si>
    <t>StevenageARGN1Bd</t>
  </si>
  <si>
    <t>StevenageARGN2Bd</t>
  </si>
  <si>
    <t>StevenageARGN3Bd</t>
  </si>
  <si>
    <t>StevenageARGN4Bd</t>
  </si>
  <si>
    <t>StevenageARGN5Bd</t>
  </si>
  <si>
    <t>StevenageARGN6Bd</t>
  </si>
  <si>
    <t>StevenageARGNBdst</t>
  </si>
  <si>
    <t>StevenageARGNNSC</t>
  </si>
  <si>
    <t>StevenageARGNTotal</t>
  </si>
  <si>
    <t>StevenageARGNSC</t>
  </si>
  <si>
    <t>StevenageARSHHOP1Bd</t>
  </si>
  <si>
    <t>StevenageARSHHOP2Bd</t>
  </si>
  <si>
    <t>StevenageARSHHOP3Bd</t>
  </si>
  <si>
    <t>StevenageARSHHOP4Bd</t>
  </si>
  <si>
    <t>StevenageARSHHOPBdst</t>
  </si>
  <si>
    <t>StevenageARSHHOPNSC</t>
  </si>
  <si>
    <t>StevenageARSHHOPSC</t>
  </si>
  <si>
    <t>StevenageARSHHOPTotal</t>
  </si>
  <si>
    <t>StevenageGN1Bd</t>
  </si>
  <si>
    <t>StevenageGN2Bd</t>
  </si>
  <si>
    <t>StevenageGN3Bd</t>
  </si>
  <si>
    <t>StevenageGN4Bd</t>
  </si>
  <si>
    <t>StevenageGN5Bd</t>
  </si>
  <si>
    <t>StevenageGN6Bd</t>
  </si>
  <si>
    <t>StevenageGNBdst</t>
  </si>
  <si>
    <t>StevenageGNNSC</t>
  </si>
  <si>
    <t>StevenageGNTotal</t>
  </si>
  <si>
    <t>StevenageGNSC</t>
  </si>
  <si>
    <t>StevenageGNAGGSC</t>
  </si>
  <si>
    <t>StevenageGNAGGNSC</t>
  </si>
  <si>
    <t>StevenageLCHO</t>
  </si>
  <si>
    <t>StevenageSHHOP1Bd</t>
  </si>
  <si>
    <t>StevenageSHHOP2Bd</t>
  </si>
  <si>
    <t>StevenageSHHOP3Bd</t>
  </si>
  <si>
    <t>StevenageSHHOP4Bd</t>
  </si>
  <si>
    <t>StevenageSHHOPBdst</t>
  </si>
  <si>
    <t>StevenageSHHOPNSC</t>
  </si>
  <si>
    <t>StevenageSHHOPTotal</t>
  </si>
  <si>
    <t>StevenageSHHOPSC</t>
  </si>
  <si>
    <t>StevenageSHHOPAGGNA</t>
  </si>
  <si>
    <t>E07000244</t>
  </si>
  <si>
    <t>East Suffolk</t>
  </si>
  <si>
    <t>East SuffolkARGN1Bd</t>
  </si>
  <si>
    <t>East SuffolkARGN2Bd</t>
  </si>
  <si>
    <t>East SuffolkARGN3Bd</t>
  </si>
  <si>
    <t>East SuffolkARGN4Bd</t>
  </si>
  <si>
    <t>East SuffolkARGN5Bd</t>
  </si>
  <si>
    <t>East SuffolkARGN6Bd</t>
  </si>
  <si>
    <t>East SuffolkARGNBdst</t>
  </si>
  <si>
    <t>East SuffolkARGNNSC</t>
  </si>
  <si>
    <t>East SuffolkARGNTotal</t>
  </si>
  <si>
    <t>East SuffolkARGNSC</t>
  </si>
  <si>
    <t>East SuffolkARSHHOP1Bd</t>
  </si>
  <si>
    <t>East SuffolkARSHHOP2Bd</t>
  </si>
  <si>
    <t>East SuffolkARSHHOP3Bd</t>
  </si>
  <si>
    <t>East SuffolkARSHHOP4Bd</t>
  </si>
  <si>
    <t>East SuffolkARSHHOPBdst</t>
  </si>
  <si>
    <t>East SuffolkARSHHOPNSC</t>
  </si>
  <si>
    <t>East SuffolkARSHHOPSC</t>
  </si>
  <si>
    <t>East SuffolkARSHHOPTotal</t>
  </si>
  <si>
    <t>East SuffolkGN1Bd</t>
  </si>
  <si>
    <t>East SuffolkGN2Bd</t>
  </si>
  <si>
    <t>East SuffolkGN3Bd</t>
  </si>
  <si>
    <t>East SuffolkGN4Bd</t>
  </si>
  <si>
    <t>East SuffolkGN5Bd</t>
  </si>
  <si>
    <t>East SuffolkGN6Bd</t>
  </si>
  <si>
    <t>East SuffolkGNBdst</t>
  </si>
  <si>
    <t>East SuffolkGNNSC</t>
  </si>
  <si>
    <t>East SuffolkGNTotal</t>
  </si>
  <si>
    <t>East SuffolkGNSC</t>
  </si>
  <si>
    <t>East SuffolkGNAGGSC</t>
  </si>
  <si>
    <t>East SuffolkGNAGGNSC</t>
  </si>
  <si>
    <t>East SuffolkLCHO</t>
  </si>
  <si>
    <t>East SuffolkSHHOP1Bd</t>
  </si>
  <si>
    <t>East SuffolkSHHOP2Bd</t>
  </si>
  <si>
    <t>East SuffolkSHHOP3Bd</t>
  </si>
  <si>
    <t>East SuffolkSHHOP4Bd</t>
  </si>
  <si>
    <t>East SuffolkSHHOPBdst</t>
  </si>
  <si>
    <t>East SuffolkSHHOPNSC</t>
  </si>
  <si>
    <t>East SuffolkSHHOPTotal</t>
  </si>
  <si>
    <t>East SuffolkSHHOPSC</t>
  </si>
  <si>
    <t>East SuffolkSHHOPAGGNA</t>
  </si>
  <si>
    <t>E07000245</t>
  </si>
  <si>
    <t>West SuffolkARGN1Bd</t>
  </si>
  <si>
    <t>West SuffolkARGN2Bd</t>
  </si>
  <si>
    <t>West SuffolkARGN3Bd</t>
  </si>
  <si>
    <t>West SuffolkARGN4Bd</t>
  </si>
  <si>
    <t>West SuffolkARGN5Bd</t>
  </si>
  <si>
    <t>West SuffolkARGN6Bd</t>
  </si>
  <si>
    <t>West SuffolkARGNBdst</t>
  </si>
  <si>
    <t>West SuffolkARGNNSC</t>
  </si>
  <si>
    <t>West SuffolkARGNTotal</t>
  </si>
  <si>
    <t>West SuffolkARGNSC</t>
  </si>
  <si>
    <t>West SuffolkARSHHOP1Bd</t>
  </si>
  <si>
    <t>West SuffolkARSHHOP2Bd</t>
  </si>
  <si>
    <t>West SuffolkARSHHOP3Bd</t>
  </si>
  <si>
    <t>West SuffolkARSHHOP4Bd</t>
  </si>
  <si>
    <t>West SuffolkARSHHOPBdst</t>
  </si>
  <si>
    <t>West SuffolkARSHHOPNSC</t>
  </si>
  <si>
    <t>West SuffolkARSHHOPSC</t>
  </si>
  <si>
    <t>West SuffolkARSHHOPTotal</t>
  </si>
  <si>
    <t>West SuffolkGN1Bd</t>
  </si>
  <si>
    <t>West SuffolkGN2Bd</t>
  </si>
  <si>
    <t>West SuffolkGN3Bd</t>
  </si>
  <si>
    <t>West SuffolkGN4Bd</t>
  </si>
  <si>
    <t>West SuffolkGN5Bd</t>
  </si>
  <si>
    <t>West SuffolkGN6Bd</t>
  </si>
  <si>
    <t>West SuffolkGNBdst</t>
  </si>
  <si>
    <t>West SuffolkGNNSC</t>
  </si>
  <si>
    <t>West SuffolkGNTotal</t>
  </si>
  <si>
    <t>West SuffolkGNSC</t>
  </si>
  <si>
    <t>West SuffolkGNAGGSC</t>
  </si>
  <si>
    <t>West SuffolkGNAGGNSC</t>
  </si>
  <si>
    <t>West SuffolkLCHO</t>
  </si>
  <si>
    <t>West SuffolkSHHOP1Bd</t>
  </si>
  <si>
    <t>West SuffolkSHHOP2Bd</t>
  </si>
  <si>
    <t>West SuffolkSHHOP3Bd</t>
  </si>
  <si>
    <t>West SuffolkSHHOP4Bd</t>
  </si>
  <si>
    <t>West SuffolkSHHOPBdst</t>
  </si>
  <si>
    <t>West SuffolkSHHOPNSC</t>
  </si>
  <si>
    <t>West SuffolkSHHOPTotal</t>
  </si>
  <si>
    <t>West SuffolkSHHOPSC</t>
  </si>
  <si>
    <t>West SuffolkSHHOPAGGNA</t>
  </si>
  <si>
    <t>E08000001</t>
  </si>
  <si>
    <t>Bolton</t>
  </si>
  <si>
    <t>BoltonARGN1Bd</t>
  </si>
  <si>
    <t>BoltonARGN2Bd</t>
  </si>
  <si>
    <t>BoltonARGN3Bd</t>
  </si>
  <si>
    <t>BoltonARGN4Bd</t>
  </si>
  <si>
    <t>BoltonARGN5Bd</t>
  </si>
  <si>
    <t>BoltonARGN6Bd</t>
  </si>
  <si>
    <t>BoltonARGNBdst</t>
  </si>
  <si>
    <t>BoltonARGNNSC</t>
  </si>
  <si>
    <t>BoltonARGNTotal</t>
  </si>
  <si>
    <t>BoltonARGNSC</t>
  </si>
  <si>
    <t>BoltonARSHHOP1Bd</t>
  </si>
  <si>
    <t>BoltonARSHHOP2Bd</t>
  </si>
  <si>
    <t>BoltonARSHHOP3Bd</t>
  </si>
  <si>
    <t>BoltonARSHHOP4Bd</t>
  </si>
  <si>
    <t>BoltonARSHHOPBdst</t>
  </si>
  <si>
    <t>BoltonARSHHOPNSC</t>
  </si>
  <si>
    <t>BoltonARSHHOPSC</t>
  </si>
  <si>
    <t>BoltonARSHHOPTotal</t>
  </si>
  <si>
    <t>BoltonGN1Bd</t>
  </si>
  <si>
    <t>BoltonGN2Bd</t>
  </si>
  <si>
    <t>BoltonGN3Bd</t>
  </si>
  <si>
    <t>BoltonGN4Bd</t>
  </si>
  <si>
    <t>BoltonGN5Bd</t>
  </si>
  <si>
    <t>BoltonGN6Bd</t>
  </si>
  <si>
    <t>BoltonGNBdst</t>
  </si>
  <si>
    <t>BoltonGNNSC</t>
  </si>
  <si>
    <t>BoltonGNTotal</t>
  </si>
  <si>
    <t>BoltonGNSC</t>
  </si>
  <si>
    <t>BoltonGNAGGSC</t>
  </si>
  <si>
    <t>BoltonGNAGGNSC</t>
  </si>
  <si>
    <t>BoltonLCHO</t>
  </si>
  <si>
    <t>BoltonSHHOP1Bd</t>
  </si>
  <si>
    <t>BoltonSHHOP2Bd</t>
  </si>
  <si>
    <t>BoltonSHHOP3Bd</t>
  </si>
  <si>
    <t>BoltonSHHOP4Bd</t>
  </si>
  <si>
    <t>BoltonSHHOPBdst</t>
  </si>
  <si>
    <t>BoltonSHHOPNSC</t>
  </si>
  <si>
    <t>BoltonSHHOPTotal</t>
  </si>
  <si>
    <t>BoltonSHHOPSC</t>
  </si>
  <si>
    <t>BoltonSHHOPAGGNA</t>
  </si>
  <si>
    <t>E08000002</t>
  </si>
  <si>
    <t>Bury</t>
  </si>
  <si>
    <t>BuryARGN1Bd</t>
  </si>
  <si>
    <t>BuryARGN2Bd</t>
  </si>
  <si>
    <t>BuryARGN3Bd</t>
  </si>
  <si>
    <t>BuryARGN4Bd</t>
  </si>
  <si>
    <t>BuryARGN5Bd</t>
  </si>
  <si>
    <t>BuryARGN6Bd</t>
  </si>
  <si>
    <t>BuryARGNBdst</t>
  </si>
  <si>
    <t>BuryARGNNSC</t>
  </si>
  <si>
    <t>BuryARGNTotal</t>
  </si>
  <si>
    <t>BuryARGNSC</t>
  </si>
  <si>
    <t>BuryARSHHOP1Bd</t>
  </si>
  <si>
    <t>BuryARSHHOP2Bd</t>
  </si>
  <si>
    <t>BuryARSHHOP3Bd</t>
  </si>
  <si>
    <t>BuryARSHHOP4Bd</t>
  </si>
  <si>
    <t>BuryARSHHOPBdst</t>
  </si>
  <si>
    <t>BuryARSHHOPNSC</t>
  </si>
  <si>
    <t>BuryARSHHOPSC</t>
  </si>
  <si>
    <t>BuryARSHHOPTotal</t>
  </si>
  <si>
    <t>BuryGN1Bd</t>
  </si>
  <si>
    <t>BuryGN2Bd</t>
  </si>
  <si>
    <t>BuryGN3Bd</t>
  </si>
  <si>
    <t>BuryGN4Bd</t>
  </si>
  <si>
    <t>BuryGN5Bd</t>
  </si>
  <si>
    <t>BuryGN6Bd</t>
  </si>
  <si>
    <t>BuryGNBdst</t>
  </si>
  <si>
    <t>BuryGNNSC</t>
  </si>
  <si>
    <t>BuryGNTotal</t>
  </si>
  <si>
    <t>BuryGNSC</t>
  </si>
  <si>
    <t>BuryGNAGGSC</t>
  </si>
  <si>
    <t>BuryGNAGGNSC</t>
  </si>
  <si>
    <t>BuryLCHO</t>
  </si>
  <si>
    <t>BurySHHOP1Bd</t>
  </si>
  <si>
    <t>BurySHHOP2Bd</t>
  </si>
  <si>
    <t>BurySHHOP3Bd</t>
  </si>
  <si>
    <t>BurySHHOP4Bd</t>
  </si>
  <si>
    <t>BurySHHOPBdst</t>
  </si>
  <si>
    <t>BurySHHOPNSC</t>
  </si>
  <si>
    <t>BurySHHOPTotal</t>
  </si>
  <si>
    <t>BurySHHOPSC</t>
  </si>
  <si>
    <t>BurySHHOPAGGNA</t>
  </si>
  <si>
    <t>E08000003</t>
  </si>
  <si>
    <t>Manchester</t>
  </si>
  <si>
    <t>ManchesterARGN1Bd</t>
  </si>
  <si>
    <t>ManchesterARGN2Bd</t>
  </si>
  <si>
    <t>ManchesterARGN3Bd</t>
  </si>
  <si>
    <t>ManchesterARGN4Bd</t>
  </si>
  <si>
    <t>ManchesterARGN5Bd</t>
  </si>
  <si>
    <t>ManchesterARGN6Bd</t>
  </si>
  <si>
    <t>ManchesterARGNBdst</t>
  </si>
  <si>
    <t>ManchesterARGNNSC</t>
  </si>
  <si>
    <t>ManchesterARGNTotal</t>
  </si>
  <si>
    <t>ManchesterARGNSC</t>
  </si>
  <si>
    <t>ManchesterARSHHOP1Bd</t>
  </si>
  <si>
    <t>ManchesterARSHHOP2Bd</t>
  </si>
  <si>
    <t>ManchesterARSHHOP3Bd</t>
  </si>
  <si>
    <t>ManchesterARSHHOP4Bd</t>
  </si>
  <si>
    <t>ManchesterARSHHOPBdst</t>
  </si>
  <si>
    <t>ManchesterARSHHOPNSC</t>
  </si>
  <si>
    <t>ManchesterARSHHOPSC</t>
  </si>
  <si>
    <t>ManchesterARSHHOPTotal</t>
  </si>
  <si>
    <t>ManchesterGN1Bd</t>
  </si>
  <si>
    <t>ManchesterGN2Bd</t>
  </si>
  <si>
    <t>ManchesterGN3Bd</t>
  </si>
  <si>
    <t>ManchesterGN4Bd</t>
  </si>
  <si>
    <t>ManchesterGN5Bd</t>
  </si>
  <si>
    <t>ManchesterGN6Bd</t>
  </si>
  <si>
    <t>ManchesterGNBdst</t>
  </si>
  <si>
    <t>ManchesterGNNSC</t>
  </si>
  <si>
    <t>ManchesterGNTotal</t>
  </si>
  <si>
    <t>ManchesterGNSC</t>
  </si>
  <si>
    <t>ManchesterGNAGGSC</t>
  </si>
  <si>
    <t>ManchesterGNAGGNSC</t>
  </si>
  <si>
    <t>ManchesterLCHO</t>
  </si>
  <si>
    <t>ManchesterSHHOP1Bd</t>
  </si>
  <si>
    <t>ManchesterSHHOP2Bd</t>
  </si>
  <si>
    <t>ManchesterSHHOP3Bd</t>
  </si>
  <si>
    <t>ManchesterSHHOP4Bd</t>
  </si>
  <si>
    <t>ManchesterSHHOPBdst</t>
  </si>
  <si>
    <t>ManchesterSHHOPNSC</t>
  </si>
  <si>
    <t>ManchesterSHHOPTotal</t>
  </si>
  <si>
    <t>ManchesterSHHOPSC</t>
  </si>
  <si>
    <t>ManchesterSHHOPAGGNA</t>
  </si>
  <si>
    <t>E08000004</t>
  </si>
  <si>
    <t>Oldham</t>
  </si>
  <si>
    <t>OldhamARGN1Bd</t>
  </si>
  <si>
    <t>OldhamARGN2Bd</t>
  </si>
  <si>
    <t>OldhamARGN3Bd</t>
  </si>
  <si>
    <t>OldhamARGN4Bd</t>
  </si>
  <si>
    <t>OldhamARGN5Bd</t>
  </si>
  <si>
    <t>OldhamARGN6Bd</t>
  </si>
  <si>
    <t>OldhamARGNBdst</t>
  </si>
  <si>
    <t>OldhamARGNNSC</t>
  </si>
  <si>
    <t>OldhamARGNTotal</t>
  </si>
  <si>
    <t>OldhamARGNSC</t>
  </si>
  <si>
    <t>OldhamARSHHOP1Bd</t>
  </si>
  <si>
    <t>OldhamARSHHOP2Bd</t>
  </si>
  <si>
    <t>OldhamARSHHOP3Bd</t>
  </si>
  <si>
    <t>OldhamARSHHOP4Bd</t>
  </si>
  <si>
    <t>OldhamARSHHOPBdst</t>
  </si>
  <si>
    <t>OldhamARSHHOPNSC</t>
  </si>
  <si>
    <t>OldhamARSHHOPSC</t>
  </si>
  <si>
    <t>OldhamARSHHOPTotal</t>
  </si>
  <si>
    <t>OldhamGN1Bd</t>
  </si>
  <si>
    <t>OldhamGN2Bd</t>
  </si>
  <si>
    <t>OldhamGN3Bd</t>
  </si>
  <si>
    <t>OldhamGN4Bd</t>
  </si>
  <si>
    <t>OldhamGN5Bd</t>
  </si>
  <si>
    <t>OldhamGN6Bd</t>
  </si>
  <si>
    <t>OldhamGNBdst</t>
  </si>
  <si>
    <t>OldhamGNNSC</t>
  </si>
  <si>
    <t>OldhamGNTotal</t>
  </si>
  <si>
    <t>OldhamGNSC</t>
  </si>
  <si>
    <t>OldhamGNAGGSC</t>
  </si>
  <si>
    <t>OldhamGNAGGNSC</t>
  </si>
  <si>
    <t>OldhamLCHO</t>
  </si>
  <si>
    <t>OldhamSHHOP1Bd</t>
  </si>
  <si>
    <t>OldhamSHHOP2Bd</t>
  </si>
  <si>
    <t>OldhamSHHOP3Bd</t>
  </si>
  <si>
    <t>OldhamSHHOP4Bd</t>
  </si>
  <si>
    <t>OldhamSHHOPBdst</t>
  </si>
  <si>
    <t>OldhamSHHOPNSC</t>
  </si>
  <si>
    <t>OldhamSHHOPTotal</t>
  </si>
  <si>
    <t>OldhamSHHOPSC</t>
  </si>
  <si>
    <t>OldhamSHHOPAGGNA</t>
  </si>
  <si>
    <t>E08000005</t>
  </si>
  <si>
    <t>Rochdale</t>
  </si>
  <si>
    <t>RochdaleARGN1Bd</t>
  </si>
  <si>
    <t>RochdaleARGN2Bd</t>
  </si>
  <si>
    <t>RochdaleARGN3Bd</t>
  </si>
  <si>
    <t>RochdaleARGN4Bd</t>
  </si>
  <si>
    <t>RochdaleARGN5Bd</t>
  </si>
  <si>
    <t>RochdaleARGN6Bd</t>
  </si>
  <si>
    <t>RochdaleARGNBdst</t>
  </si>
  <si>
    <t>RochdaleARGNNSC</t>
  </si>
  <si>
    <t>RochdaleARGNTotal</t>
  </si>
  <si>
    <t>RochdaleARGNSC</t>
  </si>
  <si>
    <t>RochdaleARSHHOP1Bd</t>
  </si>
  <si>
    <t>RochdaleARSHHOP2Bd</t>
  </si>
  <si>
    <t>RochdaleARSHHOP3Bd</t>
  </si>
  <si>
    <t>RochdaleARSHHOP4Bd</t>
  </si>
  <si>
    <t>RochdaleARSHHOPBdst</t>
  </si>
  <si>
    <t>RochdaleARSHHOPNSC</t>
  </si>
  <si>
    <t>RochdaleARSHHOPSC</t>
  </si>
  <si>
    <t>RochdaleARSHHOPTotal</t>
  </si>
  <si>
    <t>RochdaleGN1Bd</t>
  </si>
  <si>
    <t>RochdaleGN2Bd</t>
  </si>
  <si>
    <t>RochdaleGN3Bd</t>
  </si>
  <si>
    <t>RochdaleGN4Bd</t>
  </si>
  <si>
    <t>RochdaleGN5Bd</t>
  </si>
  <si>
    <t>RochdaleGN6Bd</t>
  </si>
  <si>
    <t>RochdaleGNBdst</t>
  </si>
  <si>
    <t>RochdaleGNNSC</t>
  </si>
  <si>
    <t>RochdaleGNTotal</t>
  </si>
  <si>
    <t>RochdaleGNSC</t>
  </si>
  <si>
    <t>RochdaleGNAGGSC</t>
  </si>
  <si>
    <t>RochdaleGNAGGNSC</t>
  </si>
  <si>
    <t>RochdaleLCHO</t>
  </si>
  <si>
    <t>RochdaleSHHOP1Bd</t>
  </si>
  <si>
    <t>RochdaleSHHOP2Bd</t>
  </si>
  <si>
    <t>RochdaleSHHOP3Bd</t>
  </si>
  <si>
    <t>RochdaleSHHOP4Bd</t>
  </si>
  <si>
    <t>RochdaleSHHOPBdst</t>
  </si>
  <si>
    <t>RochdaleSHHOPNSC</t>
  </si>
  <si>
    <t>RochdaleSHHOPTotal</t>
  </si>
  <si>
    <t>RochdaleSHHOPSC</t>
  </si>
  <si>
    <t>RochdaleSHHOPAGGNA</t>
  </si>
  <si>
    <t>E08000006</t>
  </si>
  <si>
    <t>Salford</t>
  </si>
  <si>
    <t>SalfordARGN1Bd</t>
  </si>
  <si>
    <t>SalfordARGN2Bd</t>
  </si>
  <si>
    <t>SalfordARGN3Bd</t>
  </si>
  <si>
    <t>SalfordARGN4Bd</t>
  </si>
  <si>
    <t>SalfordARGN5Bd</t>
  </si>
  <si>
    <t>SalfordARGN6Bd</t>
  </si>
  <si>
    <t>SalfordARGNBdst</t>
  </si>
  <si>
    <t>SalfordARGNNSC</t>
  </si>
  <si>
    <t>SalfordARGNTotal</t>
  </si>
  <si>
    <t>SalfordARGNSC</t>
  </si>
  <si>
    <t>SalfordARSHHOP1Bd</t>
  </si>
  <si>
    <t>SalfordARSHHOP2Bd</t>
  </si>
  <si>
    <t>SalfordARSHHOP3Bd</t>
  </si>
  <si>
    <t>SalfordARSHHOP4Bd</t>
  </si>
  <si>
    <t>SalfordARSHHOPBdst</t>
  </si>
  <si>
    <t>SalfordARSHHOPNSC</t>
  </si>
  <si>
    <t>SalfordARSHHOPSC</t>
  </si>
  <si>
    <t>SalfordARSHHOPTotal</t>
  </si>
  <si>
    <t>SalfordGN1Bd</t>
  </si>
  <si>
    <t>SalfordGN2Bd</t>
  </si>
  <si>
    <t>SalfordGN3Bd</t>
  </si>
  <si>
    <t>SalfordGN4Bd</t>
  </si>
  <si>
    <t>SalfordGN5Bd</t>
  </si>
  <si>
    <t>SalfordGN6Bd</t>
  </si>
  <si>
    <t>SalfordGNBdst</t>
  </si>
  <si>
    <t>SalfordGNNSC</t>
  </si>
  <si>
    <t>SalfordGNTotal</t>
  </si>
  <si>
    <t>SalfordGNSC</t>
  </si>
  <si>
    <t>SalfordGNAGGSC</t>
  </si>
  <si>
    <t>SalfordGNAGGNSC</t>
  </si>
  <si>
    <t>SalfordLCHO</t>
  </si>
  <si>
    <t>SalfordSHHOP1Bd</t>
  </si>
  <si>
    <t>SalfordSHHOP2Bd</t>
  </si>
  <si>
    <t>SalfordSHHOP3Bd</t>
  </si>
  <si>
    <t>SalfordSHHOP4Bd</t>
  </si>
  <si>
    <t>SalfordSHHOPBdst</t>
  </si>
  <si>
    <t>SalfordSHHOPNSC</t>
  </si>
  <si>
    <t>SalfordSHHOPTotal</t>
  </si>
  <si>
    <t>SalfordSHHOPSC</t>
  </si>
  <si>
    <t>SalfordSHHOPAGGNA</t>
  </si>
  <si>
    <t>E08000007</t>
  </si>
  <si>
    <t>StockportARGN1Bd</t>
  </si>
  <si>
    <t>StockportARGN2Bd</t>
  </si>
  <si>
    <t>StockportARGN3Bd</t>
  </si>
  <si>
    <t>StockportARGN4Bd</t>
  </si>
  <si>
    <t>StockportARGN5Bd</t>
  </si>
  <si>
    <t>StockportARGN6Bd</t>
  </si>
  <si>
    <t>StockportARGNBdst</t>
  </si>
  <si>
    <t>StockportARGNNSC</t>
  </si>
  <si>
    <t>StockportARGNTotal</t>
  </si>
  <si>
    <t>StockportARGNSC</t>
  </si>
  <si>
    <t>StockportARSHHOP1Bd</t>
  </si>
  <si>
    <t>StockportARSHHOP2Bd</t>
  </si>
  <si>
    <t>StockportARSHHOP3Bd</t>
  </si>
  <si>
    <t>StockportARSHHOP4Bd</t>
  </si>
  <si>
    <t>StockportARSHHOPBdst</t>
  </si>
  <si>
    <t>StockportARSHHOPNSC</t>
  </si>
  <si>
    <t>StockportARSHHOPSC</t>
  </si>
  <si>
    <t>StockportARSHHOPTotal</t>
  </si>
  <si>
    <t>StockportGN1Bd</t>
  </si>
  <si>
    <t>StockportGN2Bd</t>
  </si>
  <si>
    <t>StockportGN3Bd</t>
  </si>
  <si>
    <t>StockportGN4Bd</t>
  </si>
  <si>
    <t>StockportGN5Bd</t>
  </si>
  <si>
    <t>StockportGN6Bd</t>
  </si>
  <si>
    <t>StockportGNBdst</t>
  </si>
  <si>
    <t>StockportGNNSC</t>
  </si>
  <si>
    <t>StockportGNTotal</t>
  </si>
  <si>
    <t>StockportGNSC</t>
  </si>
  <si>
    <t>StockportGNAGGSC</t>
  </si>
  <si>
    <t>StockportGNAGGNSC</t>
  </si>
  <si>
    <t>StockportLCHO</t>
  </si>
  <si>
    <t>StockportSHHOP1Bd</t>
  </si>
  <si>
    <t>StockportSHHOP2Bd</t>
  </si>
  <si>
    <t>StockportSHHOP3Bd</t>
  </si>
  <si>
    <t>StockportSHHOP4Bd</t>
  </si>
  <si>
    <t>StockportSHHOPBdst</t>
  </si>
  <si>
    <t>StockportSHHOPNSC</t>
  </si>
  <si>
    <t>StockportSHHOPTotal</t>
  </si>
  <si>
    <t>StockportSHHOPSC</t>
  </si>
  <si>
    <t>StockportSHHOPAGGNA</t>
  </si>
  <si>
    <t>E08000008</t>
  </si>
  <si>
    <t>TamesideARGN1Bd</t>
  </si>
  <si>
    <t>TamesideARGN2Bd</t>
  </si>
  <si>
    <t>TamesideARGN3Bd</t>
  </si>
  <si>
    <t>TamesideARGN4Bd</t>
  </si>
  <si>
    <t>TamesideARGN5Bd</t>
  </si>
  <si>
    <t>TamesideARGN6Bd</t>
  </si>
  <si>
    <t>TamesideARGNBdst</t>
  </si>
  <si>
    <t>TamesideARGNNSC</t>
  </si>
  <si>
    <t>TamesideARGNTotal</t>
  </si>
  <si>
    <t>TamesideARGNSC</t>
  </si>
  <si>
    <t>TamesideARSHHOP1Bd</t>
  </si>
  <si>
    <t>TamesideARSHHOP2Bd</t>
  </si>
  <si>
    <t>TamesideARSHHOP3Bd</t>
  </si>
  <si>
    <t>TamesideARSHHOP4Bd</t>
  </si>
  <si>
    <t>TamesideARSHHOPBdst</t>
  </si>
  <si>
    <t>TamesideARSHHOPNSC</t>
  </si>
  <si>
    <t>TamesideARSHHOPSC</t>
  </si>
  <si>
    <t>TamesideARSHHOPTotal</t>
  </si>
  <si>
    <t>TamesideGN1Bd</t>
  </si>
  <si>
    <t>TamesideGN2Bd</t>
  </si>
  <si>
    <t>TamesideGN3Bd</t>
  </si>
  <si>
    <t>TamesideGN4Bd</t>
  </si>
  <si>
    <t>TamesideGN5Bd</t>
  </si>
  <si>
    <t>TamesideGN6Bd</t>
  </si>
  <si>
    <t>TamesideGNBdst</t>
  </si>
  <si>
    <t>TamesideGNNSC</t>
  </si>
  <si>
    <t>TamesideGNTotal</t>
  </si>
  <si>
    <t>TamesideGNSC</t>
  </si>
  <si>
    <t>TamesideGNAGGSC</t>
  </si>
  <si>
    <t>TamesideGNAGGNSC</t>
  </si>
  <si>
    <t>TamesideLCHO</t>
  </si>
  <si>
    <t>TamesideSHHOP1Bd</t>
  </si>
  <si>
    <t>TamesideSHHOP2Bd</t>
  </si>
  <si>
    <t>TamesideSHHOP3Bd</t>
  </si>
  <si>
    <t>TamesideSHHOP4Bd</t>
  </si>
  <si>
    <t>TamesideSHHOPBdst</t>
  </si>
  <si>
    <t>TamesideSHHOPNSC</t>
  </si>
  <si>
    <t>TamesideSHHOPTotal</t>
  </si>
  <si>
    <t>TamesideSHHOPSC</t>
  </si>
  <si>
    <t>TamesideSHHOPAGGNA</t>
  </si>
  <si>
    <t>E08000009</t>
  </si>
  <si>
    <t>TraffordARGN1Bd</t>
  </si>
  <si>
    <t>TraffordARGN2Bd</t>
  </si>
  <si>
    <t>TraffordARGN3Bd</t>
  </si>
  <si>
    <t>TraffordARGN4Bd</t>
  </si>
  <si>
    <t>TraffordARGN5Bd</t>
  </si>
  <si>
    <t>TraffordARGN6Bd</t>
  </si>
  <si>
    <t>TraffordARGNBdst</t>
  </si>
  <si>
    <t>TraffordARGNNSC</t>
  </si>
  <si>
    <t>TraffordARGNTotal</t>
  </si>
  <si>
    <t>TraffordARGNSC</t>
  </si>
  <si>
    <t>TraffordARSHHOP1Bd</t>
  </si>
  <si>
    <t>TraffordARSHHOP2Bd</t>
  </si>
  <si>
    <t>TraffordARSHHOP3Bd</t>
  </si>
  <si>
    <t>TraffordARSHHOP4Bd</t>
  </si>
  <si>
    <t>TraffordARSHHOPBdst</t>
  </si>
  <si>
    <t>TraffordARSHHOPNSC</t>
  </si>
  <si>
    <t>TraffordARSHHOPSC</t>
  </si>
  <si>
    <t>TraffordARSHHOPTotal</t>
  </si>
  <si>
    <t>TraffordGN1Bd</t>
  </si>
  <si>
    <t>TraffordGN2Bd</t>
  </si>
  <si>
    <t>TraffordGN3Bd</t>
  </si>
  <si>
    <t>TraffordGN4Bd</t>
  </si>
  <si>
    <t>TraffordGN5Bd</t>
  </si>
  <si>
    <t>TraffordGN6Bd</t>
  </si>
  <si>
    <t>TraffordGNBdst</t>
  </si>
  <si>
    <t>TraffordGNNSC</t>
  </si>
  <si>
    <t>TraffordGNTotal</t>
  </si>
  <si>
    <t>TraffordGNSC</t>
  </si>
  <si>
    <t>TraffordGNAGGSC</t>
  </si>
  <si>
    <t>TraffordGNAGGNSC</t>
  </si>
  <si>
    <t>TraffordLCHO</t>
  </si>
  <si>
    <t>TraffordSHHOP1Bd</t>
  </si>
  <si>
    <t>TraffordSHHOP2Bd</t>
  </si>
  <si>
    <t>TraffordSHHOP3Bd</t>
  </si>
  <si>
    <t>TraffordSHHOP4Bd</t>
  </si>
  <si>
    <t>TraffordSHHOPBdst</t>
  </si>
  <si>
    <t>TraffordSHHOPNSC</t>
  </si>
  <si>
    <t>TraffordSHHOPTotal</t>
  </si>
  <si>
    <t>TraffordSHHOPSC</t>
  </si>
  <si>
    <t>TraffordSHHOPAGGNA</t>
  </si>
  <si>
    <t>E08000010</t>
  </si>
  <si>
    <t>WiganARGN1Bd</t>
  </si>
  <si>
    <t>WiganARGN2Bd</t>
  </si>
  <si>
    <t>WiganARGN3Bd</t>
  </si>
  <si>
    <t>WiganARGN4Bd</t>
  </si>
  <si>
    <t>WiganARGN5Bd</t>
  </si>
  <si>
    <t>WiganARGN6Bd</t>
  </si>
  <si>
    <t>WiganARGNBdst</t>
  </si>
  <si>
    <t>WiganARGNNSC</t>
  </si>
  <si>
    <t>WiganARGNTotal</t>
  </si>
  <si>
    <t>WiganARGNSC</t>
  </si>
  <si>
    <t>WiganARSHHOP1Bd</t>
  </si>
  <si>
    <t>WiganARSHHOP2Bd</t>
  </si>
  <si>
    <t>WiganARSHHOP3Bd</t>
  </si>
  <si>
    <t>WiganARSHHOP4Bd</t>
  </si>
  <si>
    <t>WiganARSHHOPBdst</t>
  </si>
  <si>
    <t>WiganARSHHOPNSC</t>
  </si>
  <si>
    <t>WiganARSHHOPSC</t>
  </si>
  <si>
    <t>WiganARSHHOPTotal</t>
  </si>
  <si>
    <t>WiganGN1Bd</t>
  </si>
  <si>
    <t>WiganGN2Bd</t>
  </si>
  <si>
    <t>WiganGN3Bd</t>
  </si>
  <si>
    <t>WiganGN4Bd</t>
  </si>
  <si>
    <t>WiganGN5Bd</t>
  </si>
  <si>
    <t>WiganGN6Bd</t>
  </si>
  <si>
    <t>WiganGNBdst</t>
  </si>
  <si>
    <t>WiganGNNSC</t>
  </si>
  <si>
    <t>WiganGNTotal</t>
  </si>
  <si>
    <t>WiganGNSC</t>
  </si>
  <si>
    <t>WiganGNAGGSC</t>
  </si>
  <si>
    <t>WiganGNAGGNSC</t>
  </si>
  <si>
    <t>WiganLCHO</t>
  </si>
  <si>
    <t>WiganSHHOP1Bd</t>
  </si>
  <si>
    <t>WiganSHHOP2Bd</t>
  </si>
  <si>
    <t>WiganSHHOP3Bd</t>
  </si>
  <si>
    <t>WiganSHHOP4Bd</t>
  </si>
  <si>
    <t>WiganSHHOPBdst</t>
  </si>
  <si>
    <t>WiganSHHOPNSC</t>
  </si>
  <si>
    <t>WiganSHHOPTotal</t>
  </si>
  <si>
    <t>WiganSHHOPSC</t>
  </si>
  <si>
    <t>WiganSHHOPAGGNA</t>
  </si>
  <si>
    <t>E08000011</t>
  </si>
  <si>
    <t>Knowsley</t>
  </si>
  <si>
    <t>KnowsleyARGN1Bd</t>
  </si>
  <si>
    <t>KnowsleyARGN2Bd</t>
  </si>
  <si>
    <t>KnowsleyARGN3Bd</t>
  </si>
  <si>
    <t>KnowsleyARGN4Bd</t>
  </si>
  <si>
    <t>KnowsleyARGN5Bd</t>
  </si>
  <si>
    <t>KnowsleyARGN6Bd</t>
  </si>
  <si>
    <t>KnowsleyARGNBdst</t>
  </si>
  <si>
    <t>KnowsleyARGNNSC</t>
  </si>
  <si>
    <t>KnowsleyARGNTotal</t>
  </si>
  <si>
    <t>KnowsleyARGNSC</t>
  </si>
  <si>
    <t>KnowsleyARSHHOP1Bd</t>
  </si>
  <si>
    <t>KnowsleyARSHHOP2Bd</t>
  </si>
  <si>
    <t>KnowsleyARSHHOP3Bd</t>
  </si>
  <si>
    <t>KnowsleyARSHHOP4Bd</t>
  </si>
  <si>
    <t>KnowsleyARSHHOPBdst</t>
  </si>
  <si>
    <t>KnowsleyARSHHOPNSC</t>
  </si>
  <si>
    <t>KnowsleyARSHHOPSC</t>
  </si>
  <si>
    <t>KnowsleyARSHHOPTotal</t>
  </si>
  <si>
    <t>KnowsleyGN1Bd</t>
  </si>
  <si>
    <t>KnowsleyGN2Bd</t>
  </si>
  <si>
    <t>KnowsleyGN3Bd</t>
  </si>
  <si>
    <t>KnowsleyGN4Bd</t>
  </si>
  <si>
    <t>KnowsleyGN5Bd</t>
  </si>
  <si>
    <t>KnowsleyGN6Bd</t>
  </si>
  <si>
    <t>KnowsleyGNBdst</t>
  </si>
  <si>
    <t>KnowsleyGNNSC</t>
  </si>
  <si>
    <t>KnowsleyGNTotal</t>
  </si>
  <si>
    <t>KnowsleyGNSC</t>
  </si>
  <si>
    <t>KnowsleyGNAGGSC</t>
  </si>
  <si>
    <t>KnowsleyGNAGGNSC</t>
  </si>
  <si>
    <t>KnowsleyLCHO</t>
  </si>
  <si>
    <t>KnowsleySHHOP1Bd</t>
  </si>
  <si>
    <t>KnowsleySHHOP2Bd</t>
  </si>
  <si>
    <t>KnowsleySHHOP3Bd</t>
  </si>
  <si>
    <t>KnowsleySHHOP4Bd</t>
  </si>
  <si>
    <t>KnowsleySHHOPBdst</t>
  </si>
  <si>
    <t>KnowsleySHHOPNSC</t>
  </si>
  <si>
    <t>KnowsleySHHOPTotal</t>
  </si>
  <si>
    <t>KnowsleySHHOPSC</t>
  </si>
  <si>
    <t>KnowsleySHHOPAGGNA</t>
  </si>
  <si>
    <t>E08000012</t>
  </si>
  <si>
    <t>Liverpool</t>
  </si>
  <si>
    <t>LiverpoolARGN1Bd</t>
  </si>
  <si>
    <t>LiverpoolARGN2Bd</t>
  </si>
  <si>
    <t>LiverpoolARGN3Bd</t>
  </si>
  <si>
    <t>LiverpoolARGN4Bd</t>
  </si>
  <si>
    <t>LiverpoolARGN5Bd</t>
  </si>
  <si>
    <t>LiverpoolARGN6Bd</t>
  </si>
  <si>
    <t>LiverpoolARGNBdst</t>
  </si>
  <si>
    <t>LiverpoolARGNNSC</t>
  </si>
  <si>
    <t>LiverpoolARGNTotal</t>
  </si>
  <si>
    <t>LiverpoolARGNSC</t>
  </si>
  <si>
    <t>LiverpoolARSHHOP1Bd</t>
  </si>
  <si>
    <t>LiverpoolARSHHOP2Bd</t>
  </si>
  <si>
    <t>LiverpoolARSHHOP3Bd</t>
  </si>
  <si>
    <t>LiverpoolARSHHOP4Bd</t>
  </si>
  <si>
    <t>LiverpoolARSHHOPBdst</t>
  </si>
  <si>
    <t>LiverpoolARSHHOPNSC</t>
  </si>
  <si>
    <t>LiverpoolARSHHOPSC</t>
  </si>
  <si>
    <t>LiverpoolARSHHOPTotal</t>
  </si>
  <si>
    <t>LiverpoolGN1Bd</t>
  </si>
  <si>
    <t>LiverpoolGN2Bd</t>
  </si>
  <si>
    <t>LiverpoolGN3Bd</t>
  </si>
  <si>
    <t>LiverpoolGN4Bd</t>
  </si>
  <si>
    <t>LiverpoolGN5Bd</t>
  </si>
  <si>
    <t>LiverpoolGN6Bd</t>
  </si>
  <si>
    <t>LiverpoolGNBdst</t>
  </si>
  <si>
    <t>LiverpoolGNNSC</t>
  </si>
  <si>
    <t>LiverpoolGNTotal</t>
  </si>
  <si>
    <t>LiverpoolGNSC</t>
  </si>
  <si>
    <t>LiverpoolGNAGGSC</t>
  </si>
  <si>
    <t>LiverpoolGNAGGNSC</t>
  </si>
  <si>
    <t>LiverpoolLCHO</t>
  </si>
  <si>
    <t>LiverpoolSHHOP1Bd</t>
  </si>
  <si>
    <t>LiverpoolSHHOP2Bd</t>
  </si>
  <si>
    <t>LiverpoolSHHOP3Bd</t>
  </si>
  <si>
    <t>LiverpoolSHHOP4Bd</t>
  </si>
  <si>
    <t>LiverpoolSHHOPBdst</t>
  </si>
  <si>
    <t>LiverpoolSHHOPNSC</t>
  </si>
  <si>
    <t>LiverpoolSHHOPTotal</t>
  </si>
  <si>
    <t>LiverpoolSHHOPSC</t>
  </si>
  <si>
    <t>LiverpoolSHHOPAGGNA</t>
  </si>
  <si>
    <t>E08000013</t>
  </si>
  <si>
    <t>St. HelensARGN1Bd</t>
  </si>
  <si>
    <t>St. HelensARGN2Bd</t>
  </si>
  <si>
    <t>St. HelensARGN3Bd</t>
  </si>
  <si>
    <t>St. HelensARGN4Bd</t>
  </si>
  <si>
    <t>St. HelensARGN5Bd</t>
  </si>
  <si>
    <t>St. HelensARGN6Bd</t>
  </si>
  <si>
    <t>St. HelensARGNBdst</t>
  </si>
  <si>
    <t>St. HelensARGNNSC</t>
  </si>
  <si>
    <t>St. HelensARGNTotal</t>
  </si>
  <si>
    <t>St. HelensARGNSC</t>
  </si>
  <si>
    <t>St. HelensARSHHOP1Bd</t>
  </si>
  <si>
    <t>St. HelensARSHHOP2Bd</t>
  </si>
  <si>
    <t>St. HelensARSHHOP3Bd</t>
  </si>
  <si>
    <t>St. HelensARSHHOP4Bd</t>
  </si>
  <si>
    <t>St. HelensARSHHOPBdst</t>
  </si>
  <si>
    <t>St. HelensARSHHOPNSC</t>
  </si>
  <si>
    <t>St. HelensARSHHOPSC</t>
  </si>
  <si>
    <t>St. HelensARSHHOPTotal</t>
  </si>
  <si>
    <t>St. HelensGN1Bd</t>
  </si>
  <si>
    <t>St. HelensGN2Bd</t>
  </si>
  <si>
    <t>St. HelensGN3Bd</t>
  </si>
  <si>
    <t>St. HelensGN4Bd</t>
  </si>
  <si>
    <t>St. HelensGN5Bd</t>
  </si>
  <si>
    <t>St. HelensGN6Bd</t>
  </si>
  <si>
    <t>St. HelensGNBdst</t>
  </si>
  <si>
    <t>St. HelensGNNSC</t>
  </si>
  <si>
    <t>St. HelensGNTotal</t>
  </si>
  <si>
    <t>St. HelensGNSC</t>
  </si>
  <si>
    <t>St. HelensGNAGGSC</t>
  </si>
  <si>
    <t>St. HelensGNAGGNSC</t>
  </si>
  <si>
    <t>St. HelensLCHO</t>
  </si>
  <si>
    <t>St. HelensSHHOP1Bd</t>
  </si>
  <si>
    <t>St. HelensSHHOP2Bd</t>
  </si>
  <si>
    <t>St. HelensSHHOP3Bd</t>
  </si>
  <si>
    <t>St. HelensSHHOP4Bd</t>
  </si>
  <si>
    <t>St. HelensSHHOPBdst</t>
  </si>
  <si>
    <t>St. HelensSHHOPNSC</t>
  </si>
  <si>
    <t>St. HelensSHHOPTotal</t>
  </si>
  <si>
    <t>St. HelensSHHOPSC</t>
  </si>
  <si>
    <t>St. HelensSHHOPAGGNA</t>
  </si>
  <si>
    <t>E08000014</t>
  </si>
  <si>
    <t>Sefton</t>
  </si>
  <si>
    <t>SeftonARGN1Bd</t>
  </si>
  <si>
    <t>SeftonARGN2Bd</t>
  </si>
  <si>
    <t>SeftonARGN3Bd</t>
  </si>
  <si>
    <t>SeftonARGN4Bd</t>
  </si>
  <si>
    <t>SeftonARGN5Bd</t>
  </si>
  <si>
    <t>SeftonARGN6Bd</t>
  </si>
  <si>
    <t>SeftonARGNBdst</t>
  </si>
  <si>
    <t>SeftonARGNNSC</t>
  </si>
  <si>
    <t>SeftonARGNTotal</t>
  </si>
  <si>
    <t>SeftonARGNSC</t>
  </si>
  <si>
    <t>SeftonARSHHOP1Bd</t>
  </si>
  <si>
    <t>SeftonARSHHOP2Bd</t>
  </si>
  <si>
    <t>SeftonARSHHOP3Bd</t>
  </si>
  <si>
    <t>SeftonARSHHOP4Bd</t>
  </si>
  <si>
    <t>SeftonARSHHOPBdst</t>
  </si>
  <si>
    <t>SeftonARSHHOPNSC</t>
  </si>
  <si>
    <t>SeftonARSHHOPSC</t>
  </si>
  <si>
    <t>SeftonARSHHOPTotal</t>
  </si>
  <si>
    <t>SeftonGN1Bd</t>
  </si>
  <si>
    <t>SeftonGN2Bd</t>
  </si>
  <si>
    <t>SeftonGN3Bd</t>
  </si>
  <si>
    <t>SeftonGN4Bd</t>
  </si>
  <si>
    <t>SeftonGN5Bd</t>
  </si>
  <si>
    <t>SeftonGN6Bd</t>
  </si>
  <si>
    <t>SeftonGNBdst</t>
  </si>
  <si>
    <t>SeftonGNNSC</t>
  </si>
  <si>
    <t>SeftonGNTotal</t>
  </si>
  <si>
    <t>SeftonGNSC</t>
  </si>
  <si>
    <t>SeftonGNAGGSC</t>
  </si>
  <si>
    <t>SeftonGNAGGNSC</t>
  </si>
  <si>
    <t>SeftonLCHO</t>
  </si>
  <si>
    <t>SeftonSHHOP1Bd</t>
  </si>
  <si>
    <t>SeftonSHHOP2Bd</t>
  </si>
  <si>
    <t>SeftonSHHOP3Bd</t>
  </si>
  <si>
    <t>SeftonSHHOP4Bd</t>
  </si>
  <si>
    <t>SeftonSHHOPBdst</t>
  </si>
  <si>
    <t>SeftonSHHOPNSC</t>
  </si>
  <si>
    <t>SeftonSHHOPTotal</t>
  </si>
  <si>
    <t>SeftonSHHOPSC</t>
  </si>
  <si>
    <t>SeftonSHHOPAGGNA</t>
  </si>
  <si>
    <t>E08000015</t>
  </si>
  <si>
    <t>WirralARGN1Bd</t>
  </si>
  <si>
    <t>WirralARGN2Bd</t>
  </si>
  <si>
    <t>WirralARGN3Bd</t>
  </si>
  <si>
    <t>WirralARGN4Bd</t>
  </si>
  <si>
    <t>WirralARGN5Bd</t>
  </si>
  <si>
    <t>WirralARGN6Bd</t>
  </si>
  <si>
    <t>WirralARGNBdst</t>
  </si>
  <si>
    <t>WirralARGNNSC</t>
  </si>
  <si>
    <t>WirralARGNTotal</t>
  </si>
  <si>
    <t>WirralARGNSC</t>
  </si>
  <si>
    <t>WirralARSHHOP1Bd</t>
  </si>
  <si>
    <t>WirralARSHHOP2Bd</t>
  </si>
  <si>
    <t>WirralARSHHOP3Bd</t>
  </si>
  <si>
    <t>WirralARSHHOP4Bd</t>
  </si>
  <si>
    <t>WirralARSHHOPBdst</t>
  </si>
  <si>
    <t>WirralARSHHOPNSC</t>
  </si>
  <si>
    <t>WirralARSHHOPSC</t>
  </si>
  <si>
    <t>WirralARSHHOPTotal</t>
  </si>
  <si>
    <t>WirralGN1Bd</t>
  </si>
  <si>
    <t>WirralGN2Bd</t>
  </si>
  <si>
    <t>WirralGN3Bd</t>
  </si>
  <si>
    <t>WirralGN4Bd</t>
  </si>
  <si>
    <t>WirralGN5Bd</t>
  </si>
  <si>
    <t>WirralGN6Bd</t>
  </si>
  <si>
    <t>WirralGNBdst</t>
  </si>
  <si>
    <t>WirralGNNSC</t>
  </si>
  <si>
    <t>WirralGNTotal</t>
  </si>
  <si>
    <t>WirralGNSC</t>
  </si>
  <si>
    <t>WirralGNAGGSC</t>
  </si>
  <si>
    <t>WirralGNAGGNSC</t>
  </si>
  <si>
    <t>WirralLCHO</t>
  </si>
  <si>
    <t>WirralSHHOP1Bd</t>
  </si>
  <si>
    <t>WirralSHHOP2Bd</t>
  </si>
  <si>
    <t>WirralSHHOP3Bd</t>
  </si>
  <si>
    <t>WirralSHHOP4Bd</t>
  </si>
  <si>
    <t>WirralSHHOPBdst</t>
  </si>
  <si>
    <t>WirralSHHOPNSC</t>
  </si>
  <si>
    <t>WirralSHHOPTotal</t>
  </si>
  <si>
    <t>WirralSHHOPSC</t>
  </si>
  <si>
    <t>WirralSHHOPAGGNA</t>
  </si>
  <si>
    <t>E08000016</t>
  </si>
  <si>
    <t>Barnsley</t>
  </si>
  <si>
    <t>BarnsleyARGN1Bd</t>
  </si>
  <si>
    <t>BarnsleyARGN2Bd</t>
  </si>
  <si>
    <t>BarnsleyARGN3Bd</t>
  </si>
  <si>
    <t>BarnsleyARGN4Bd</t>
  </si>
  <si>
    <t>BarnsleyARGN5Bd</t>
  </si>
  <si>
    <t>BarnsleyARGN6Bd</t>
  </si>
  <si>
    <t>BarnsleyARGNBdst</t>
  </si>
  <si>
    <t>BarnsleyARGNNSC</t>
  </si>
  <si>
    <t>BarnsleyARGNTotal</t>
  </si>
  <si>
    <t>BarnsleyARGNSC</t>
  </si>
  <si>
    <t>BarnsleyARSHHOP1Bd</t>
  </si>
  <si>
    <t>BarnsleyARSHHOP2Bd</t>
  </si>
  <si>
    <t>BarnsleyARSHHOP3Bd</t>
  </si>
  <si>
    <t>BarnsleyARSHHOP4Bd</t>
  </si>
  <si>
    <t>BarnsleyARSHHOPBdst</t>
  </si>
  <si>
    <t>BarnsleyARSHHOPNSC</t>
  </si>
  <si>
    <t>BarnsleyARSHHOPSC</t>
  </si>
  <si>
    <t>BarnsleyARSHHOPTotal</t>
  </si>
  <si>
    <t>BarnsleyGN1Bd</t>
  </si>
  <si>
    <t>BarnsleyGN2Bd</t>
  </si>
  <si>
    <t>BarnsleyGN3Bd</t>
  </si>
  <si>
    <t>BarnsleyGN4Bd</t>
  </si>
  <si>
    <t>BarnsleyGN5Bd</t>
  </si>
  <si>
    <t>BarnsleyGN6Bd</t>
  </si>
  <si>
    <t>BarnsleyGNBdst</t>
  </si>
  <si>
    <t>BarnsleyGNNSC</t>
  </si>
  <si>
    <t>BarnsleyGNTotal</t>
  </si>
  <si>
    <t>BarnsleyGNSC</t>
  </si>
  <si>
    <t>BarnsleyGNAGGSC</t>
  </si>
  <si>
    <t>BarnsleyGNAGGNSC</t>
  </si>
  <si>
    <t>BarnsleyLCHO</t>
  </si>
  <si>
    <t>BarnsleySHHOP1Bd</t>
  </si>
  <si>
    <t>BarnsleySHHOP2Bd</t>
  </si>
  <si>
    <t>BarnsleySHHOP3Bd</t>
  </si>
  <si>
    <t>BarnsleySHHOP4Bd</t>
  </si>
  <si>
    <t>BarnsleySHHOPBdst</t>
  </si>
  <si>
    <t>BarnsleySHHOPNSC</t>
  </si>
  <si>
    <t>BarnsleySHHOPTotal</t>
  </si>
  <si>
    <t>BarnsleySHHOPSC</t>
  </si>
  <si>
    <t>BarnsleySHHOPAGGNA</t>
  </si>
  <si>
    <t>E08000017</t>
  </si>
  <si>
    <t>Doncaster</t>
  </si>
  <si>
    <t>DoncasterARGN1Bd</t>
  </si>
  <si>
    <t>DoncasterARGN2Bd</t>
  </si>
  <si>
    <t>DoncasterARGN3Bd</t>
  </si>
  <si>
    <t>DoncasterARGN4Bd</t>
  </si>
  <si>
    <t>DoncasterARGN5Bd</t>
  </si>
  <si>
    <t>DoncasterARGN6Bd</t>
  </si>
  <si>
    <t>DoncasterARGNBdst</t>
  </si>
  <si>
    <t>DoncasterARGNNSC</t>
  </si>
  <si>
    <t>DoncasterARGNTotal</t>
  </si>
  <si>
    <t>DoncasterARGNSC</t>
  </si>
  <si>
    <t>DoncasterARSHHOP1Bd</t>
  </si>
  <si>
    <t>DoncasterARSHHOP2Bd</t>
  </si>
  <si>
    <t>DoncasterARSHHOP3Bd</t>
  </si>
  <si>
    <t>DoncasterARSHHOP4Bd</t>
  </si>
  <si>
    <t>DoncasterARSHHOPBdst</t>
  </si>
  <si>
    <t>DoncasterARSHHOPNSC</t>
  </si>
  <si>
    <t>DoncasterARSHHOPSC</t>
  </si>
  <si>
    <t>DoncasterARSHHOPTotal</t>
  </si>
  <si>
    <t>DoncasterGN1Bd</t>
  </si>
  <si>
    <t>DoncasterGN2Bd</t>
  </si>
  <si>
    <t>DoncasterGN3Bd</t>
  </si>
  <si>
    <t>DoncasterGN4Bd</t>
  </si>
  <si>
    <t>DoncasterGN5Bd</t>
  </si>
  <si>
    <t>DoncasterGN6Bd</t>
  </si>
  <si>
    <t>DoncasterGNBdst</t>
  </si>
  <si>
    <t>DoncasterGNNSC</t>
  </si>
  <si>
    <t>DoncasterGNTotal</t>
  </si>
  <si>
    <t>DoncasterGNSC</t>
  </si>
  <si>
    <t>DoncasterGNAGGSC</t>
  </si>
  <si>
    <t>DoncasterGNAGGNSC</t>
  </si>
  <si>
    <t>DoncasterLCHO</t>
  </si>
  <si>
    <t>DoncasterSHHOP1Bd</t>
  </si>
  <si>
    <t>DoncasterSHHOP2Bd</t>
  </si>
  <si>
    <t>DoncasterSHHOP3Bd</t>
  </si>
  <si>
    <t>DoncasterSHHOP4Bd</t>
  </si>
  <si>
    <t>DoncasterSHHOPBdst</t>
  </si>
  <si>
    <t>DoncasterSHHOPNSC</t>
  </si>
  <si>
    <t>DoncasterSHHOPTotal</t>
  </si>
  <si>
    <t>DoncasterSHHOPSC</t>
  </si>
  <si>
    <t>DoncasterSHHOPAGGNA</t>
  </si>
  <si>
    <t>E08000018</t>
  </si>
  <si>
    <t>Rotherham</t>
  </si>
  <si>
    <t>RotherhamARGN1Bd</t>
  </si>
  <si>
    <t>RotherhamARGN2Bd</t>
  </si>
  <si>
    <t>RotherhamARGN3Bd</t>
  </si>
  <si>
    <t>RotherhamARGN4Bd</t>
  </si>
  <si>
    <t>RotherhamARGN5Bd</t>
  </si>
  <si>
    <t>RotherhamARGN6Bd</t>
  </si>
  <si>
    <t>RotherhamARGNBdst</t>
  </si>
  <si>
    <t>RotherhamARGNNSC</t>
  </si>
  <si>
    <t>RotherhamARGNTotal</t>
  </si>
  <si>
    <t>RotherhamARGNSC</t>
  </si>
  <si>
    <t>RotherhamARSHHOP1Bd</t>
  </si>
  <si>
    <t>RotherhamARSHHOP2Bd</t>
  </si>
  <si>
    <t>RotherhamARSHHOP3Bd</t>
  </si>
  <si>
    <t>RotherhamARSHHOP4Bd</t>
  </si>
  <si>
    <t>RotherhamARSHHOPBdst</t>
  </si>
  <si>
    <t>RotherhamARSHHOPNSC</t>
  </si>
  <si>
    <t>RotherhamARSHHOPSC</t>
  </si>
  <si>
    <t>RotherhamARSHHOPTotal</t>
  </si>
  <si>
    <t>RotherhamGN1Bd</t>
  </si>
  <si>
    <t>RotherhamGN2Bd</t>
  </si>
  <si>
    <t>RotherhamGN3Bd</t>
  </si>
  <si>
    <t>RotherhamGN4Bd</t>
  </si>
  <si>
    <t>RotherhamGN5Bd</t>
  </si>
  <si>
    <t>RotherhamGN6Bd</t>
  </si>
  <si>
    <t>RotherhamGNBdst</t>
  </si>
  <si>
    <t>RotherhamGNNSC</t>
  </si>
  <si>
    <t>RotherhamGNTotal</t>
  </si>
  <si>
    <t>RotherhamGNSC</t>
  </si>
  <si>
    <t>RotherhamGNAGGSC</t>
  </si>
  <si>
    <t>RotherhamGNAGGNSC</t>
  </si>
  <si>
    <t>RotherhamLCHO</t>
  </si>
  <si>
    <t>RotherhamSHHOP1Bd</t>
  </si>
  <si>
    <t>RotherhamSHHOP2Bd</t>
  </si>
  <si>
    <t>RotherhamSHHOP3Bd</t>
  </si>
  <si>
    <t>RotherhamSHHOP4Bd</t>
  </si>
  <si>
    <t>RotherhamSHHOPBdst</t>
  </si>
  <si>
    <t>RotherhamSHHOPNSC</t>
  </si>
  <si>
    <t>RotherhamSHHOPTotal</t>
  </si>
  <si>
    <t>RotherhamSHHOPSC</t>
  </si>
  <si>
    <t>RotherhamSHHOPAGGNA</t>
  </si>
  <si>
    <t>E08000019</t>
  </si>
  <si>
    <t>Sheffield</t>
  </si>
  <si>
    <t>SheffieldARGN1Bd</t>
  </si>
  <si>
    <t>SheffieldARGN2Bd</t>
  </si>
  <si>
    <t>SheffieldARGN3Bd</t>
  </si>
  <si>
    <t>SheffieldARGN4Bd</t>
  </si>
  <si>
    <t>SheffieldARGN5Bd</t>
  </si>
  <si>
    <t>SheffieldARGN6Bd</t>
  </si>
  <si>
    <t>SheffieldARGNBdst</t>
  </si>
  <si>
    <t>SheffieldARGNNSC</t>
  </si>
  <si>
    <t>SheffieldARGNTotal</t>
  </si>
  <si>
    <t>SheffieldARGNSC</t>
  </si>
  <si>
    <t>SheffieldARSHHOP1Bd</t>
  </si>
  <si>
    <t>SheffieldARSHHOP2Bd</t>
  </si>
  <si>
    <t>SheffieldARSHHOP3Bd</t>
  </si>
  <si>
    <t>SheffieldARSHHOP4Bd</t>
  </si>
  <si>
    <t>SheffieldARSHHOPBdst</t>
  </si>
  <si>
    <t>SheffieldARSHHOPNSC</t>
  </si>
  <si>
    <t>SheffieldARSHHOPSC</t>
  </si>
  <si>
    <t>SheffieldARSHHOPTotal</t>
  </si>
  <si>
    <t>SheffieldGN1Bd</t>
  </si>
  <si>
    <t>SheffieldGN2Bd</t>
  </si>
  <si>
    <t>SheffieldGN3Bd</t>
  </si>
  <si>
    <t>SheffieldGN4Bd</t>
  </si>
  <si>
    <t>SheffieldGN5Bd</t>
  </si>
  <si>
    <t>SheffieldGN6Bd</t>
  </si>
  <si>
    <t>SheffieldGNBdst</t>
  </si>
  <si>
    <t>SheffieldGNNSC</t>
  </si>
  <si>
    <t>SheffieldGNTotal</t>
  </si>
  <si>
    <t>SheffieldGNSC</t>
  </si>
  <si>
    <t>SheffieldGNAGGSC</t>
  </si>
  <si>
    <t>SheffieldGNAGGNSC</t>
  </si>
  <si>
    <t>SheffieldLCHO</t>
  </si>
  <si>
    <t>SheffieldSHHOP1Bd</t>
  </si>
  <si>
    <t>SheffieldSHHOP2Bd</t>
  </si>
  <si>
    <t>SheffieldSHHOP3Bd</t>
  </si>
  <si>
    <t>SheffieldSHHOP4Bd</t>
  </si>
  <si>
    <t>SheffieldSHHOPBdst</t>
  </si>
  <si>
    <t>SheffieldSHHOPNSC</t>
  </si>
  <si>
    <t>SheffieldSHHOPTotal</t>
  </si>
  <si>
    <t>SheffieldSHHOPSC</t>
  </si>
  <si>
    <t>SheffieldSHHOPAGGNA</t>
  </si>
  <si>
    <t>E08000021</t>
  </si>
  <si>
    <t>Newcastle upon Tyne</t>
  </si>
  <si>
    <t>Newcastle upon TyneARGN1Bd</t>
  </si>
  <si>
    <t>Newcastle upon TyneARGN2Bd</t>
  </si>
  <si>
    <t>Newcastle upon TyneARGN3Bd</t>
  </si>
  <si>
    <t>Newcastle upon TyneARGN4Bd</t>
  </si>
  <si>
    <t>Newcastle upon TyneARGN5Bd</t>
  </si>
  <si>
    <t>Newcastle upon TyneARGN6Bd</t>
  </si>
  <si>
    <t>Newcastle upon TyneARGNBdst</t>
  </si>
  <si>
    <t>Newcastle upon TyneARGNNSC</t>
  </si>
  <si>
    <t>Newcastle upon TyneARGNTotal</t>
  </si>
  <si>
    <t>Newcastle upon TyneARGNSC</t>
  </si>
  <si>
    <t>Newcastle upon TyneARSHHOP1Bd</t>
  </si>
  <si>
    <t>Newcastle upon TyneARSHHOP2Bd</t>
  </si>
  <si>
    <t>Newcastle upon TyneARSHHOP3Bd</t>
  </si>
  <si>
    <t>Newcastle upon TyneARSHHOP4Bd</t>
  </si>
  <si>
    <t>Newcastle upon TyneARSHHOPBdst</t>
  </si>
  <si>
    <t>Newcastle upon TyneARSHHOPNSC</t>
  </si>
  <si>
    <t>Newcastle upon TyneARSHHOPSC</t>
  </si>
  <si>
    <t>Newcastle upon TyneARSHHOPTotal</t>
  </si>
  <si>
    <t>Newcastle upon TyneGN1Bd</t>
  </si>
  <si>
    <t>Newcastle upon TyneGN2Bd</t>
  </si>
  <si>
    <t>Newcastle upon TyneGN3Bd</t>
  </si>
  <si>
    <t>Newcastle upon TyneGN4Bd</t>
  </si>
  <si>
    <t>Newcastle upon TyneGN5Bd</t>
  </si>
  <si>
    <t>Newcastle upon TyneGN6Bd</t>
  </si>
  <si>
    <t>Newcastle upon TyneGNBdst</t>
  </si>
  <si>
    <t>Newcastle upon TyneGNNSC</t>
  </si>
  <si>
    <t>Newcastle upon TyneGNTotal</t>
  </si>
  <si>
    <t>Newcastle upon TyneGNSC</t>
  </si>
  <si>
    <t>Newcastle upon TyneGNAGGSC</t>
  </si>
  <si>
    <t>Newcastle upon TyneGNAGGNSC</t>
  </si>
  <si>
    <t>Newcastle upon TyneLCHO</t>
  </si>
  <si>
    <t>Newcastle upon TyneSHHOP1Bd</t>
  </si>
  <si>
    <t>Newcastle upon TyneSHHOP2Bd</t>
  </si>
  <si>
    <t>Newcastle upon TyneSHHOP3Bd</t>
  </si>
  <si>
    <t>Newcastle upon TyneSHHOP4Bd</t>
  </si>
  <si>
    <t>Newcastle upon TyneSHHOPBdst</t>
  </si>
  <si>
    <t>Newcastle upon TyneSHHOPNSC</t>
  </si>
  <si>
    <t>Newcastle upon TyneSHHOPTotal</t>
  </si>
  <si>
    <t>Newcastle upon TyneSHHOPSC</t>
  </si>
  <si>
    <t>Newcastle upon TyneSHHOPAGGNA</t>
  </si>
  <si>
    <t>E08000022</t>
  </si>
  <si>
    <t>North Tyneside</t>
  </si>
  <si>
    <t>North TynesideARGN1Bd</t>
  </si>
  <si>
    <t>North TynesideARGN2Bd</t>
  </si>
  <si>
    <t>North TynesideARGN3Bd</t>
  </si>
  <si>
    <t>North TynesideARGN4Bd</t>
  </si>
  <si>
    <t>North TynesideARGN5Bd</t>
  </si>
  <si>
    <t>North TynesideARGN6Bd</t>
  </si>
  <si>
    <t>North TynesideARGNBdst</t>
  </si>
  <si>
    <t>North TynesideARGNNSC</t>
  </si>
  <si>
    <t>North TynesideARGNTotal</t>
  </si>
  <si>
    <t>North TynesideARGNSC</t>
  </si>
  <si>
    <t>North TynesideARSHHOP1Bd</t>
  </si>
  <si>
    <t>North TynesideARSHHOP2Bd</t>
  </si>
  <si>
    <t>North TynesideARSHHOP3Bd</t>
  </si>
  <si>
    <t>North TynesideARSHHOP4Bd</t>
  </si>
  <si>
    <t>North TynesideARSHHOPBdst</t>
  </si>
  <si>
    <t>North TynesideARSHHOPNSC</t>
  </si>
  <si>
    <t>North TynesideARSHHOPSC</t>
  </si>
  <si>
    <t>North TynesideARSHHOPTotal</t>
  </si>
  <si>
    <t>North TynesideGN1Bd</t>
  </si>
  <si>
    <t>North TynesideGN2Bd</t>
  </si>
  <si>
    <t>North TynesideGN3Bd</t>
  </si>
  <si>
    <t>North TynesideGN4Bd</t>
  </si>
  <si>
    <t>North TynesideGN5Bd</t>
  </si>
  <si>
    <t>North TynesideGN6Bd</t>
  </si>
  <si>
    <t>North TynesideGNBdst</t>
  </si>
  <si>
    <t>North TynesideGNNSC</t>
  </si>
  <si>
    <t>North TynesideGNTotal</t>
  </si>
  <si>
    <t>North TynesideGNSC</t>
  </si>
  <si>
    <t>North TynesideGNAGGSC</t>
  </si>
  <si>
    <t>North TynesideGNAGGNSC</t>
  </si>
  <si>
    <t>North TynesideLCHO</t>
  </si>
  <si>
    <t>North TynesideSHHOP1Bd</t>
  </si>
  <si>
    <t>North TynesideSHHOP2Bd</t>
  </si>
  <si>
    <t>North TynesideSHHOP3Bd</t>
  </si>
  <si>
    <t>North TynesideSHHOP4Bd</t>
  </si>
  <si>
    <t>North TynesideSHHOPBdst</t>
  </si>
  <si>
    <t>North TynesideSHHOPNSC</t>
  </si>
  <si>
    <t>North TynesideSHHOPTotal</t>
  </si>
  <si>
    <t>North TynesideSHHOPSC</t>
  </si>
  <si>
    <t>North TynesideSHHOPAGGNA</t>
  </si>
  <si>
    <t>E08000023</t>
  </si>
  <si>
    <t>South Tyneside</t>
  </si>
  <si>
    <t>South TynesideARGN1Bd</t>
  </si>
  <si>
    <t>South TynesideARGN2Bd</t>
  </si>
  <si>
    <t>South TynesideARGN3Bd</t>
  </si>
  <si>
    <t>South TynesideARGN4Bd</t>
  </si>
  <si>
    <t>South TynesideARGN5Bd</t>
  </si>
  <si>
    <t>South TynesideARGN6Bd</t>
  </si>
  <si>
    <t>South TynesideARGNBdst</t>
  </si>
  <si>
    <t>South TynesideARGNNSC</t>
  </si>
  <si>
    <t>South TynesideARGNTotal</t>
  </si>
  <si>
    <t>South TynesideARGNSC</t>
  </si>
  <si>
    <t>South TynesideARSHHOP1Bd</t>
  </si>
  <si>
    <t>South TynesideARSHHOP2Bd</t>
  </si>
  <si>
    <t>South TynesideARSHHOP3Bd</t>
  </si>
  <si>
    <t>South TynesideARSHHOP4Bd</t>
  </si>
  <si>
    <t>South TynesideARSHHOPBdst</t>
  </si>
  <si>
    <t>South TynesideARSHHOPNSC</t>
  </si>
  <si>
    <t>South TynesideARSHHOPSC</t>
  </si>
  <si>
    <t>South TynesideARSHHOPTotal</t>
  </si>
  <si>
    <t>South TynesideGN1Bd</t>
  </si>
  <si>
    <t>South TynesideGN2Bd</t>
  </si>
  <si>
    <t>South TynesideGN3Bd</t>
  </si>
  <si>
    <t>South TynesideGN4Bd</t>
  </si>
  <si>
    <t>South TynesideGN5Bd</t>
  </si>
  <si>
    <t>South TynesideGN6Bd</t>
  </si>
  <si>
    <t>South TynesideGNBdst</t>
  </si>
  <si>
    <t>South TynesideGNNSC</t>
  </si>
  <si>
    <t>South TynesideGNTotal</t>
  </si>
  <si>
    <t>South TynesideGNSC</t>
  </si>
  <si>
    <t>South TynesideGNAGGSC</t>
  </si>
  <si>
    <t>South TynesideGNAGGNSC</t>
  </si>
  <si>
    <t>South TynesideLCHO</t>
  </si>
  <si>
    <t>South TynesideSHHOP1Bd</t>
  </si>
  <si>
    <t>South TynesideSHHOP2Bd</t>
  </si>
  <si>
    <t>South TynesideSHHOP3Bd</t>
  </si>
  <si>
    <t>South TynesideSHHOP4Bd</t>
  </si>
  <si>
    <t>South TynesideSHHOPBdst</t>
  </si>
  <si>
    <t>South TynesideSHHOPNSC</t>
  </si>
  <si>
    <t>South TynesideSHHOPTotal</t>
  </si>
  <si>
    <t>South TynesideSHHOPSC</t>
  </si>
  <si>
    <t>South TynesideSHHOPAGGNA</t>
  </si>
  <si>
    <t>E08000024</t>
  </si>
  <si>
    <t>SunderlandARGN1Bd</t>
  </si>
  <si>
    <t>SunderlandARGN2Bd</t>
  </si>
  <si>
    <t>SunderlandARGN3Bd</t>
  </si>
  <si>
    <t>SunderlandARGN4Bd</t>
  </si>
  <si>
    <t>SunderlandARGN5Bd</t>
  </si>
  <si>
    <t>SunderlandARGN6Bd</t>
  </si>
  <si>
    <t>SunderlandARGNBdst</t>
  </si>
  <si>
    <t>SunderlandARGNNSC</t>
  </si>
  <si>
    <t>SunderlandARGNTotal</t>
  </si>
  <si>
    <t>SunderlandARGNSC</t>
  </si>
  <si>
    <t>SunderlandARSHHOP1Bd</t>
  </si>
  <si>
    <t>SunderlandARSHHOP2Bd</t>
  </si>
  <si>
    <t>SunderlandARSHHOP3Bd</t>
  </si>
  <si>
    <t>SunderlandARSHHOP4Bd</t>
  </si>
  <si>
    <t>SunderlandARSHHOPBdst</t>
  </si>
  <si>
    <t>SunderlandARSHHOPNSC</t>
  </si>
  <si>
    <t>SunderlandARSHHOPSC</t>
  </si>
  <si>
    <t>SunderlandARSHHOPTotal</t>
  </si>
  <si>
    <t>SunderlandGN1Bd</t>
  </si>
  <si>
    <t>SunderlandGN2Bd</t>
  </si>
  <si>
    <t>SunderlandGN3Bd</t>
  </si>
  <si>
    <t>SunderlandGN4Bd</t>
  </si>
  <si>
    <t>SunderlandGN5Bd</t>
  </si>
  <si>
    <t>SunderlandGN6Bd</t>
  </si>
  <si>
    <t>SunderlandGNBdst</t>
  </si>
  <si>
    <t>SunderlandGNNSC</t>
  </si>
  <si>
    <t>SunderlandGNTotal</t>
  </si>
  <si>
    <t>SunderlandGNSC</t>
  </si>
  <si>
    <t>SunderlandGNAGGSC</t>
  </si>
  <si>
    <t>SunderlandGNAGGNSC</t>
  </si>
  <si>
    <t>SunderlandLCHO</t>
  </si>
  <si>
    <t>SunderlandSHHOP1Bd</t>
  </si>
  <si>
    <t>SunderlandSHHOP2Bd</t>
  </si>
  <si>
    <t>SunderlandSHHOP3Bd</t>
  </si>
  <si>
    <t>SunderlandSHHOP4Bd</t>
  </si>
  <si>
    <t>SunderlandSHHOPBdst</t>
  </si>
  <si>
    <t>SunderlandSHHOPNSC</t>
  </si>
  <si>
    <t>SunderlandSHHOPTotal</t>
  </si>
  <si>
    <t>SunderlandSHHOPSC</t>
  </si>
  <si>
    <t>SunderlandSHHOPAGGNA</t>
  </si>
  <si>
    <t>E08000025</t>
  </si>
  <si>
    <t>Birmingham</t>
  </si>
  <si>
    <t>BirminghamARGN1Bd</t>
  </si>
  <si>
    <t>BirminghamARGN2Bd</t>
  </si>
  <si>
    <t>BirminghamARGN3Bd</t>
  </si>
  <si>
    <t>BirminghamARGN4Bd</t>
  </si>
  <si>
    <t>BirminghamARGN5Bd</t>
  </si>
  <si>
    <t>BirminghamARGN6Bd</t>
  </si>
  <si>
    <t>BirminghamARGNBdst</t>
  </si>
  <si>
    <t>BirminghamARGNNSC</t>
  </si>
  <si>
    <t>BirminghamARGNTotal</t>
  </si>
  <si>
    <t>BirminghamARGNSC</t>
  </si>
  <si>
    <t>BirminghamARSHHOP1Bd</t>
  </si>
  <si>
    <t>BirminghamARSHHOP2Bd</t>
  </si>
  <si>
    <t>BirminghamARSHHOP3Bd</t>
  </si>
  <si>
    <t>BirminghamARSHHOP4Bd</t>
  </si>
  <si>
    <t>BirminghamARSHHOPBdst</t>
  </si>
  <si>
    <t>BirminghamARSHHOPNSC</t>
  </si>
  <si>
    <t>BirminghamARSHHOPSC</t>
  </si>
  <si>
    <t>BirminghamARSHHOPTotal</t>
  </si>
  <si>
    <t>BirminghamGN1Bd</t>
  </si>
  <si>
    <t>BirminghamGN2Bd</t>
  </si>
  <si>
    <t>BirminghamGN3Bd</t>
  </si>
  <si>
    <t>BirminghamGN4Bd</t>
  </si>
  <si>
    <t>BirminghamGN5Bd</t>
  </si>
  <si>
    <t>BirminghamGN6Bd</t>
  </si>
  <si>
    <t>BirminghamGNBdst</t>
  </si>
  <si>
    <t>BirminghamGNNSC</t>
  </si>
  <si>
    <t>BirminghamGNTotal</t>
  </si>
  <si>
    <t>BirminghamGNSC</t>
  </si>
  <si>
    <t>BirminghamGNAGGSC</t>
  </si>
  <si>
    <t>BirminghamGNAGGNSC</t>
  </si>
  <si>
    <t>BirminghamLCHO</t>
  </si>
  <si>
    <t>BirminghamSHHOP1Bd</t>
  </si>
  <si>
    <t>BirminghamSHHOP2Bd</t>
  </si>
  <si>
    <t>BirminghamSHHOP3Bd</t>
  </si>
  <si>
    <t>BirminghamSHHOP4Bd</t>
  </si>
  <si>
    <t>BirminghamSHHOPBdst</t>
  </si>
  <si>
    <t>BirminghamSHHOPNSC</t>
  </si>
  <si>
    <t>BirminghamSHHOPTotal</t>
  </si>
  <si>
    <t>BirminghamSHHOPSC</t>
  </si>
  <si>
    <t>BirminghamSHHOPAGGNA</t>
  </si>
  <si>
    <t>E08000026</t>
  </si>
  <si>
    <t>Coventry</t>
  </si>
  <si>
    <t>CoventryARGN1Bd</t>
  </si>
  <si>
    <t>CoventryARGN2Bd</t>
  </si>
  <si>
    <t>CoventryARGN3Bd</t>
  </si>
  <si>
    <t>CoventryARGN4Bd</t>
  </si>
  <si>
    <t>CoventryARGN5Bd</t>
  </si>
  <si>
    <t>CoventryARGN6Bd</t>
  </si>
  <si>
    <t>CoventryARGNBdst</t>
  </si>
  <si>
    <t>CoventryARGNNSC</t>
  </si>
  <si>
    <t>CoventryARGNTotal</t>
  </si>
  <si>
    <t>CoventryARGNSC</t>
  </si>
  <si>
    <t>CoventryARSHHOP1Bd</t>
  </si>
  <si>
    <t>CoventryARSHHOP2Bd</t>
  </si>
  <si>
    <t>CoventryARSHHOP3Bd</t>
  </si>
  <si>
    <t>CoventryARSHHOP4Bd</t>
  </si>
  <si>
    <t>CoventryARSHHOPBdst</t>
  </si>
  <si>
    <t>CoventryARSHHOPNSC</t>
  </si>
  <si>
    <t>CoventryARSHHOPSC</t>
  </si>
  <si>
    <t>CoventryARSHHOPTotal</t>
  </si>
  <si>
    <t>CoventryGN1Bd</t>
  </si>
  <si>
    <t>CoventryGN2Bd</t>
  </si>
  <si>
    <t>CoventryGN3Bd</t>
  </si>
  <si>
    <t>CoventryGN4Bd</t>
  </si>
  <si>
    <t>CoventryGN5Bd</t>
  </si>
  <si>
    <t>CoventryGN6Bd</t>
  </si>
  <si>
    <t>CoventryGNBdst</t>
  </si>
  <si>
    <t>CoventryGNNSC</t>
  </si>
  <si>
    <t>CoventryGNTotal</t>
  </si>
  <si>
    <t>CoventryGNSC</t>
  </si>
  <si>
    <t>CoventryGNAGGSC</t>
  </si>
  <si>
    <t>CoventryGNAGGNSC</t>
  </si>
  <si>
    <t>CoventryLCHO</t>
  </si>
  <si>
    <t>CoventrySHHOP1Bd</t>
  </si>
  <si>
    <t>CoventrySHHOP2Bd</t>
  </si>
  <si>
    <t>CoventrySHHOP3Bd</t>
  </si>
  <si>
    <t>CoventrySHHOP4Bd</t>
  </si>
  <si>
    <t>CoventrySHHOPBdst</t>
  </si>
  <si>
    <t>CoventrySHHOPNSC</t>
  </si>
  <si>
    <t>CoventrySHHOPTotal</t>
  </si>
  <si>
    <t>CoventrySHHOPSC</t>
  </si>
  <si>
    <t>CoventrySHHOPAGGNA</t>
  </si>
  <si>
    <t>E08000027</t>
  </si>
  <si>
    <t>Dudley</t>
  </si>
  <si>
    <t>DudleyARGN1Bd</t>
  </si>
  <si>
    <t>DudleyARGN2Bd</t>
  </si>
  <si>
    <t>DudleyARGN3Bd</t>
  </si>
  <si>
    <t>DudleyARGN4Bd</t>
  </si>
  <si>
    <t>DudleyARGN5Bd</t>
  </si>
  <si>
    <t>DudleyARGN6Bd</t>
  </si>
  <si>
    <t>DudleyARGNBdst</t>
  </si>
  <si>
    <t>DudleyARGNNSC</t>
  </si>
  <si>
    <t>DudleyARGNTotal</t>
  </si>
  <si>
    <t>DudleyARGNSC</t>
  </si>
  <si>
    <t>DudleyARSHHOP1Bd</t>
  </si>
  <si>
    <t>DudleyARSHHOP2Bd</t>
  </si>
  <si>
    <t>DudleyARSHHOP3Bd</t>
  </si>
  <si>
    <t>DudleyARSHHOP4Bd</t>
  </si>
  <si>
    <t>DudleyARSHHOPBdst</t>
  </si>
  <si>
    <t>DudleyARSHHOPNSC</t>
  </si>
  <si>
    <t>DudleyARSHHOPSC</t>
  </si>
  <si>
    <t>DudleyARSHHOPTotal</t>
  </si>
  <si>
    <t>DudleyGN1Bd</t>
  </si>
  <si>
    <t>DudleyGN2Bd</t>
  </si>
  <si>
    <t>DudleyGN3Bd</t>
  </si>
  <si>
    <t>DudleyGN4Bd</t>
  </si>
  <si>
    <t>DudleyGN5Bd</t>
  </si>
  <si>
    <t>DudleyGN6Bd</t>
  </si>
  <si>
    <t>DudleyGNBdst</t>
  </si>
  <si>
    <t>DudleyGNNSC</t>
  </si>
  <si>
    <t>DudleyGNTotal</t>
  </si>
  <si>
    <t>DudleyGNSC</t>
  </si>
  <si>
    <t>DudleyGNAGGSC</t>
  </si>
  <si>
    <t>DudleyGNAGGNSC</t>
  </si>
  <si>
    <t>DudleyLCHO</t>
  </si>
  <si>
    <t>DudleySHHOP1Bd</t>
  </si>
  <si>
    <t>DudleySHHOP2Bd</t>
  </si>
  <si>
    <t>DudleySHHOP3Bd</t>
  </si>
  <si>
    <t>DudleySHHOP4Bd</t>
  </si>
  <si>
    <t>DudleySHHOPBdst</t>
  </si>
  <si>
    <t>DudleySHHOPNSC</t>
  </si>
  <si>
    <t>DudleySHHOPTotal</t>
  </si>
  <si>
    <t>DudleySHHOPSC</t>
  </si>
  <si>
    <t>DudleySHHOPAGGNA</t>
  </si>
  <si>
    <t>E08000028</t>
  </si>
  <si>
    <t>Sandwell</t>
  </si>
  <si>
    <t>SandwellARGN1Bd</t>
  </si>
  <si>
    <t>SandwellARGN2Bd</t>
  </si>
  <si>
    <t>SandwellARGN3Bd</t>
  </si>
  <si>
    <t>SandwellARGN4Bd</t>
  </si>
  <si>
    <t>SandwellARGN5Bd</t>
  </si>
  <si>
    <t>SandwellARGN6Bd</t>
  </si>
  <si>
    <t>SandwellARGNBdst</t>
  </si>
  <si>
    <t>SandwellARGNNSC</t>
  </si>
  <si>
    <t>SandwellARGNTotal</t>
  </si>
  <si>
    <t>SandwellARGNSC</t>
  </si>
  <si>
    <t>SandwellARSHHOP1Bd</t>
  </si>
  <si>
    <t>SandwellARSHHOP2Bd</t>
  </si>
  <si>
    <t>SandwellARSHHOP3Bd</t>
  </si>
  <si>
    <t>SandwellARSHHOP4Bd</t>
  </si>
  <si>
    <t>SandwellARSHHOPBdst</t>
  </si>
  <si>
    <t>SandwellARSHHOPNSC</t>
  </si>
  <si>
    <t>SandwellARSHHOPSC</t>
  </si>
  <si>
    <t>SandwellARSHHOPTotal</t>
  </si>
  <si>
    <t>SandwellGN1Bd</t>
  </si>
  <si>
    <t>SandwellGN2Bd</t>
  </si>
  <si>
    <t>SandwellGN3Bd</t>
  </si>
  <si>
    <t>SandwellGN4Bd</t>
  </si>
  <si>
    <t>SandwellGN5Bd</t>
  </si>
  <si>
    <t>SandwellGN6Bd</t>
  </si>
  <si>
    <t>SandwellGNBdst</t>
  </si>
  <si>
    <t>SandwellGNNSC</t>
  </si>
  <si>
    <t>SandwellGNTotal</t>
  </si>
  <si>
    <t>SandwellGNSC</t>
  </si>
  <si>
    <t>SandwellGNAGGSC</t>
  </si>
  <si>
    <t>SandwellGNAGGNSC</t>
  </si>
  <si>
    <t>SandwellLCHO</t>
  </si>
  <si>
    <t>SandwellSHHOP1Bd</t>
  </si>
  <si>
    <t>SandwellSHHOP2Bd</t>
  </si>
  <si>
    <t>SandwellSHHOP3Bd</t>
  </si>
  <si>
    <t>SandwellSHHOP4Bd</t>
  </si>
  <si>
    <t>SandwellSHHOPBdst</t>
  </si>
  <si>
    <t>SandwellSHHOPNSC</t>
  </si>
  <si>
    <t>SandwellSHHOPTotal</t>
  </si>
  <si>
    <t>SandwellSHHOPSC</t>
  </si>
  <si>
    <t>SandwellSHHOPAGGNA</t>
  </si>
  <si>
    <t>E08000029</t>
  </si>
  <si>
    <t>Solihull</t>
  </si>
  <si>
    <t>SolihullARGN1Bd</t>
  </si>
  <si>
    <t>SolihullARGN2Bd</t>
  </si>
  <si>
    <t>SolihullARGN3Bd</t>
  </si>
  <si>
    <t>SolihullARGN4Bd</t>
  </si>
  <si>
    <t>SolihullARGN5Bd</t>
  </si>
  <si>
    <t>SolihullARGN6Bd</t>
  </si>
  <si>
    <t>SolihullARGNBdst</t>
  </si>
  <si>
    <t>SolihullARGNNSC</t>
  </si>
  <si>
    <t>SolihullARGNTotal</t>
  </si>
  <si>
    <t>SolihullARGNSC</t>
  </si>
  <si>
    <t>SolihullARSHHOP1Bd</t>
  </si>
  <si>
    <t>SolihullARSHHOP2Bd</t>
  </si>
  <si>
    <t>SolihullARSHHOP3Bd</t>
  </si>
  <si>
    <t>SolihullARSHHOP4Bd</t>
  </si>
  <si>
    <t>SolihullARSHHOPBdst</t>
  </si>
  <si>
    <t>SolihullARSHHOPNSC</t>
  </si>
  <si>
    <t>SolihullARSHHOPSC</t>
  </si>
  <si>
    <t>SolihullARSHHOPTotal</t>
  </si>
  <si>
    <t>SolihullGN1Bd</t>
  </si>
  <si>
    <t>SolihullGN2Bd</t>
  </si>
  <si>
    <t>SolihullGN3Bd</t>
  </si>
  <si>
    <t>SolihullGN4Bd</t>
  </si>
  <si>
    <t>SolihullGN5Bd</t>
  </si>
  <si>
    <t>SolihullGN6Bd</t>
  </si>
  <si>
    <t>SolihullGNBdst</t>
  </si>
  <si>
    <t>SolihullGNNSC</t>
  </si>
  <si>
    <t>SolihullGNTotal</t>
  </si>
  <si>
    <t>SolihullGNSC</t>
  </si>
  <si>
    <t>SolihullGNAGGSC</t>
  </si>
  <si>
    <t>SolihullGNAGGNSC</t>
  </si>
  <si>
    <t>SolihullLCHO</t>
  </si>
  <si>
    <t>SolihullSHHOP1Bd</t>
  </si>
  <si>
    <t>SolihullSHHOP2Bd</t>
  </si>
  <si>
    <t>SolihullSHHOP3Bd</t>
  </si>
  <si>
    <t>SolihullSHHOP4Bd</t>
  </si>
  <si>
    <t>SolihullSHHOPBdst</t>
  </si>
  <si>
    <t>SolihullSHHOPNSC</t>
  </si>
  <si>
    <t>SolihullSHHOPTotal</t>
  </si>
  <si>
    <t>SolihullSHHOPSC</t>
  </si>
  <si>
    <t>SolihullSHHOPAGGNA</t>
  </si>
  <si>
    <t>E08000030</t>
  </si>
  <si>
    <t>WalsallARGN1Bd</t>
  </si>
  <si>
    <t>WalsallARGN2Bd</t>
  </si>
  <si>
    <t>WalsallARGN3Bd</t>
  </si>
  <si>
    <t>WalsallARGN4Bd</t>
  </si>
  <si>
    <t>WalsallARGN5Bd</t>
  </si>
  <si>
    <t>WalsallARGN6Bd</t>
  </si>
  <si>
    <t>WalsallARGNBdst</t>
  </si>
  <si>
    <t>WalsallARGNNSC</t>
  </si>
  <si>
    <t>WalsallARGNTotal</t>
  </si>
  <si>
    <t>WalsallARGNSC</t>
  </si>
  <si>
    <t>WalsallARSHHOP1Bd</t>
  </si>
  <si>
    <t>WalsallARSHHOP2Bd</t>
  </si>
  <si>
    <t>WalsallARSHHOP3Bd</t>
  </si>
  <si>
    <t>WalsallARSHHOP4Bd</t>
  </si>
  <si>
    <t>WalsallARSHHOPBdst</t>
  </si>
  <si>
    <t>WalsallARSHHOPNSC</t>
  </si>
  <si>
    <t>WalsallARSHHOPSC</t>
  </si>
  <si>
    <t>WalsallARSHHOPTotal</t>
  </si>
  <si>
    <t>WalsallGN1Bd</t>
  </si>
  <si>
    <t>WalsallGN2Bd</t>
  </si>
  <si>
    <t>WalsallGN3Bd</t>
  </si>
  <si>
    <t>WalsallGN4Bd</t>
  </si>
  <si>
    <t>WalsallGN5Bd</t>
  </si>
  <si>
    <t>WalsallGN6Bd</t>
  </si>
  <si>
    <t>WalsallGNBdst</t>
  </si>
  <si>
    <t>WalsallGNNSC</t>
  </si>
  <si>
    <t>WalsallGNTotal</t>
  </si>
  <si>
    <t>WalsallGNSC</t>
  </si>
  <si>
    <t>WalsallGNAGGSC</t>
  </si>
  <si>
    <t>WalsallGNAGGNSC</t>
  </si>
  <si>
    <t>WalsallLCHO</t>
  </si>
  <si>
    <t>WalsallSHHOP1Bd</t>
  </si>
  <si>
    <t>WalsallSHHOP2Bd</t>
  </si>
  <si>
    <t>WalsallSHHOP3Bd</t>
  </si>
  <si>
    <t>WalsallSHHOP4Bd</t>
  </si>
  <si>
    <t>WalsallSHHOPBdst</t>
  </si>
  <si>
    <t>WalsallSHHOPNSC</t>
  </si>
  <si>
    <t>WalsallSHHOPTotal</t>
  </si>
  <si>
    <t>WalsallSHHOPSC</t>
  </si>
  <si>
    <t>WalsallSHHOPAGGNA</t>
  </si>
  <si>
    <t>E08000031</t>
  </si>
  <si>
    <t>WolverhamptonARGN1Bd</t>
  </si>
  <si>
    <t>WolverhamptonARGN2Bd</t>
  </si>
  <si>
    <t>WolverhamptonARGN3Bd</t>
  </si>
  <si>
    <t>WolverhamptonARGN4Bd</t>
  </si>
  <si>
    <t>WolverhamptonARGN5Bd</t>
  </si>
  <si>
    <t>WolverhamptonARGN6Bd</t>
  </si>
  <si>
    <t>WolverhamptonARGNBdst</t>
  </si>
  <si>
    <t>WolverhamptonARGNNSC</t>
  </si>
  <si>
    <t>WolverhamptonARGNTotal</t>
  </si>
  <si>
    <t>WolverhamptonARGNSC</t>
  </si>
  <si>
    <t>WolverhamptonARSHHOP1Bd</t>
  </si>
  <si>
    <t>WolverhamptonARSHHOP2Bd</t>
  </si>
  <si>
    <t>WolverhamptonARSHHOP3Bd</t>
  </si>
  <si>
    <t>WolverhamptonARSHHOP4Bd</t>
  </si>
  <si>
    <t>WolverhamptonARSHHOPBdst</t>
  </si>
  <si>
    <t>WolverhamptonARSHHOPNSC</t>
  </si>
  <si>
    <t>WolverhamptonARSHHOPSC</t>
  </si>
  <si>
    <t>WolverhamptonARSHHOPTotal</t>
  </si>
  <si>
    <t>WolverhamptonGN1Bd</t>
  </si>
  <si>
    <t>WolverhamptonGN2Bd</t>
  </si>
  <si>
    <t>WolverhamptonGN3Bd</t>
  </si>
  <si>
    <t>WolverhamptonGN4Bd</t>
  </si>
  <si>
    <t>WolverhamptonGN5Bd</t>
  </si>
  <si>
    <t>WolverhamptonGN6Bd</t>
  </si>
  <si>
    <t>WolverhamptonGNBdst</t>
  </si>
  <si>
    <t>WolverhamptonGNNSC</t>
  </si>
  <si>
    <t>WolverhamptonGNTotal</t>
  </si>
  <si>
    <t>WolverhamptonGNSC</t>
  </si>
  <si>
    <t>WolverhamptonGNAGGSC</t>
  </si>
  <si>
    <t>WolverhamptonGNAGGNSC</t>
  </si>
  <si>
    <t>WolverhamptonLCHO</t>
  </si>
  <si>
    <t>WolverhamptonSHHOP1Bd</t>
  </si>
  <si>
    <t>WolverhamptonSHHOP2Bd</t>
  </si>
  <si>
    <t>WolverhamptonSHHOP3Bd</t>
  </si>
  <si>
    <t>WolverhamptonSHHOP4Bd</t>
  </si>
  <si>
    <t>WolverhamptonSHHOPBdst</t>
  </si>
  <si>
    <t>WolverhamptonSHHOPNSC</t>
  </si>
  <si>
    <t>WolverhamptonSHHOPTotal</t>
  </si>
  <si>
    <t>WolverhamptonSHHOPSC</t>
  </si>
  <si>
    <t>WolverhamptonSHHOPAGGNA</t>
  </si>
  <si>
    <t>E08000032</t>
  </si>
  <si>
    <t>Bradford</t>
  </si>
  <si>
    <t>BradfordARGN1Bd</t>
  </si>
  <si>
    <t>BradfordARGN2Bd</t>
  </si>
  <si>
    <t>BradfordARGN3Bd</t>
  </si>
  <si>
    <t>BradfordARGN4Bd</t>
  </si>
  <si>
    <t>BradfordARGN5Bd</t>
  </si>
  <si>
    <t>BradfordARGN6Bd</t>
  </si>
  <si>
    <t>BradfordARGNBdst</t>
  </si>
  <si>
    <t>BradfordARGNNSC</t>
  </si>
  <si>
    <t>BradfordARGNTotal</t>
  </si>
  <si>
    <t>BradfordARGNSC</t>
  </si>
  <si>
    <t>BradfordARSHHOP1Bd</t>
  </si>
  <si>
    <t>BradfordARSHHOP2Bd</t>
  </si>
  <si>
    <t>BradfordARSHHOP3Bd</t>
  </si>
  <si>
    <t>BradfordARSHHOP4Bd</t>
  </si>
  <si>
    <t>BradfordARSHHOPBdst</t>
  </si>
  <si>
    <t>BradfordARSHHOPNSC</t>
  </si>
  <si>
    <t>BradfordARSHHOPSC</t>
  </si>
  <si>
    <t>BradfordARSHHOPTotal</t>
  </si>
  <si>
    <t>BradfordGN1Bd</t>
  </si>
  <si>
    <t>BradfordGN2Bd</t>
  </si>
  <si>
    <t>BradfordGN3Bd</t>
  </si>
  <si>
    <t>BradfordGN4Bd</t>
  </si>
  <si>
    <t>BradfordGN5Bd</t>
  </si>
  <si>
    <t>BradfordGN6Bd</t>
  </si>
  <si>
    <t>BradfordGNBdst</t>
  </si>
  <si>
    <t>BradfordGNNSC</t>
  </si>
  <si>
    <t>BradfordGNTotal</t>
  </si>
  <si>
    <t>BradfordGNSC</t>
  </si>
  <si>
    <t>BradfordGNAGGSC</t>
  </si>
  <si>
    <t>BradfordGNAGGNSC</t>
  </si>
  <si>
    <t>BradfordLCHO</t>
  </si>
  <si>
    <t>BradfordSHHOP1Bd</t>
  </si>
  <si>
    <t>BradfordSHHOP2Bd</t>
  </si>
  <si>
    <t>BradfordSHHOP3Bd</t>
  </si>
  <si>
    <t>BradfordSHHOP4Bd</t>
  </si>
  <si>
    <t>BradfordSHHOPBdst</t>
  </si>
  <si>
    <t>BradfordSHHOPNSC</t>
  </si>
  <si>
    <t>BradfordSHHOPTotal</t>
  </si>
  <si>
    <t>BradfordSHHOPSC</t>
  </si>
  <si>
    <t>BradfordSHHOPAGGNA</t>
  </si>
  <si>
    <t>E08000033</t>
  </si>
  <si>
    <t>Calderdale</t>
  </si>
  <si>
    <t>CalderdaleARGN1Bd</t>
  </si>
  <si>
    <t>CalderdaleARGN2Bd</t>
  </si>
  <si>
    <t>CalderdaleARGN3Bd</t>
  </si>
  <si>
    <t>CalderdaleARGN4Bd</t>
  </si>
  <si>
    <t>CalderdaleARGN5Bd</t>
  </si>
  <si>
    <t>CalderdaleARGN6Bd</t>
  </si>
  <si>
    <t>CalderdaleARGNBdst</t>
  </si>
  <si>
    <t>CalderdaleARGNNSC</t>
  </si>
  <si>
    <t>CalderdaleARGNTotal</t>
  </si>
  <si>
    <t>CalderdaleARGNSC</t>
  </si>
  <si>
    <t>CalderdaleARSHHOP1Bd</t>
  </si>
  <si>
    <t>CalderdaleARSHHOP2Bd</t>
  </si>
  <si>
    <t>CalderdaleARSHHOP3Bd</t>
  </si>
  <si>
    <t>CalderdaleARSHHOP4Bd</t>
  </si>
  <si>
    <t>CalderdaleARSHHOPBdst</t>
  </si>
  <si>
    <t>CalderdaleARSHHOPNSC</t>
  </si>
  <si>
    <t>CalderdaleARSHHOPSC</t>
  </si>
  <si>
    <t>CalderdaleARSHHOPTotal</t>
  </si>
  <si>
    <t>CalderdaleGN1Bd</t>
  </si>
  <si>
    <t>CalderdaleGN2Bd</t>
  </si>
  <si>
    <t>CalderdaleGN3Bd</t>
  </si>
  <si>
    <t>CalderdaleGN4Bd</t>
  </si>
  <si>
    <t>CalderdaleGN5Bd</t>
  </si>
  <si>
    <t>CalderdaleGN6Bd</t>
  </si>
  <si>
    <t>CalderdaleGNBdst</t>
  </si>
  <si>
    <t>CalderdaleGNNSC</t>
  </si>
  <si>
    <t>CalderdaleGNTotal</t>
  </si>
  <si>
    <t>CalderdaleGNSC</t>
  </si>
  <si>
    <t>CalderdaleGNAGGSC</t>
  </si>
  <si>
    <t>CalderdaleGNAGGNSC</t>
  </si>
  <si>
    <t>CalderdaleLCHO</t>
  </si>
  <si>
    <t>CalderdaleSHHOP1Bd</t>
  </si>
  <si>
    <t>CalderdaleSHHOP2Bd</t>
  </si>
  <si>
    <t>CalderdaleSHHOP3Bd</t>
  </si>
  <si>
    <t>CalderdaleSHHOP4Bd</t>
  </si>
  <si>
    <t>CalderdaleSHHOPBdst</t>
  </si>
  <si>
    <t>CalderdaleSHHOPNSC</t>
  </si>
  <si>
    <t>CalderdaleSHHOPTotal</t>
  </si>
  <si>
    <t>CalderdaleSHHOPSC</t>
  </si>
  <si>
    <t>CalderdaleSHHOPAGGNA</t>
  </si>
  <si>
    <t>E08000034</t>
  </si>
  <si>
    <t>Kirklees</t>
  </si>
  <si>
    <t>KirkleesARGN1Bd</t>
  </si>
  <si>
    <t>KirkleesARGN2Bd</t>
  </si>
  <si>
    <t>KirkleesARGN3Bd</t>
  </si>
  <si>
    <t>KirkleesARGN4Bd</t>
  </si>
  <si>
    <t>KirkleesARGN5Bd</t>
  </si>
  <si>
    <t>KirkleesARGN6Bd</t>
  </si>
  <si>
    <t>KirkleesARGNBdst</t>
  </si>
  <si>
    <t>KirkleesARGNNSC</t>
  </si>
  <si>
    <t>KirkleesARGNTotal</t>
  </si>
  <si>
    <t>KirkleesARGNSC</t>
  </si>
  <si>
    <t>KirkleesARSHHOP1Bd</t>
  </si>
  <si>
    <t>KirkleesARSHHOP2Bd</t>
  </si>
  <si>
    <t>KirkleesARSHHOP3Bd</t>
  </si>
  <si>
    <t>KirkleesARSHHOP4Bd</t>
  </si>
  <si>
    <t>KirkleesARSHHOPBdst</t>
  </si>
  <si>
    <t>KirkleesARSHHOPNSC</t>
  </si>
  <si>
    <t>KirkleesARSHHOPSC</t>
  </si>
  <si>
    <t>KirkleesARSHHOPTotal</t>
  </si>
  <si>
    <t>KirkleesGN1Bd</t>
  </si>
  <si>
    <t>KirkleesGN2Bd</t>
  </si>
  <si>
    <t>KirkleesGN3Bd</t>
  </si>
  <si>
    <t>KirkleesGN4Bd</t>
  </si>
  <si>
    <t>KirkleesGN5Bd</t>
  </si>
  <si>
    <t>KirkleesGN6Bd</t>
  </si>
  <si>
    <t>KirkleesGNBdst</t>
  </si>
  <si>
    <t>KirkleesGNNSC</t>
  </si>
  <si>
    <t>KirkleesGNTotal</t>
  </si>
  <si>
    <t>KirkleesGNSC</t>
  </si>
  <si>
    <t>KirkleesGNAGGSC</t>
  </si>
  <si>
    <t>KirkleesGNAGGNSC</t>
  </si>
  <si>
    <t>KirkleesLCHO</t>
  </si>
  <si>
    <t>KirkleesSHHOP1Bd</t>
  </si>
  <si>
    <t>KirkleesSHHOP2Bd</t>
  </si>
  <si>
    <t>KirkleesSHHOP3Bd</t>
  </si>
  <si>
    <t>KirkleesSHHOP4Bd</t>
  </si>
  <si>
    <t>KirkleesSHHOPBdst</t>
  </si>
  <si>
    <t>KirkleesSHHOPNSC</t>
  </si>
  <si>
    <t>KirkleesSHHOPTotal</t>
  </si>
  <si>
    <t>KirkleesSHHOPSC</t>
  </si>
  <si>
    <t>KirkleesSHHOPAGGNA</t>
  </si>
  <si>
    <t>E08000035</t>
  </si>
  <si>
    <t>Leeds</t>
  </si>
  <si>
    <t>LeedsARGN1Bd</t>
  </si>
  <si>
    <t>LeedsARGN2Bd</t>
  </si>
  <si>
    <t>LeedsARGN3Bd</t>
  </si>
  <si>
    <t>LeedsARGN4Bd</t>
  </si>
  <si>
    <t>LeedsARGN5Bd</t>
  </si>
  <si>
    <t>LeedsARGN6Bd</t>
  </si>
  <si>
    <t>LeedsARGNBdst</t>
  </si>
  <si>
    <t>LeedsARGNNSC</t>
  </si>
  <si>
    <t>LeedsARGNTotal</t>
  </si>
  <si>
    <t>LeedsARGNSC</t>
  </si>
  <si>
    <t>LeedsARSHHOP1Bd</t>
  </si>
  <si>
    <t>LeedsARSHHOP2Bd</t>
  </si>
  <si>
    <t>LeedsARSHHOP3Bd</t>
  </si>
  <si>
    <t>LeedsARSHHOP4Bd</t>
  </si>
  <si>
    <t>LeedsARSHHOPBdst</t>
  </si>
  <si>
    <t>LeedsARSHHOPNSC</t>
  </si>
  <si>
    <t>LeedsARSHHOPSC</t>
  </si>
  <si>
    <t>LeedsARSHHOPTotal</t>
  </si>
  <si>
    <t>LeedsGN1Bd</t>
  </si>
  <si>
    <t>LeedsGN2Bd</t>
  </si>
  <si>
    <t>LeedsGN3Bd</t>
  </si>
  <si>
    <t>LeedsGN4Bd</t>
  </si>
  <si>
    <t>LeedsGN5Bd</t>
  </si>
  <si>
    <t>LeedsGN6Bd</t>
  </si>
  <si>
    <t>LeedsGNBdst</t>
  </si>
  <si>
    <t>LeedsGNNSC</t>
  </si>
  <si>
    <t>LeedsGNTotal</t>
  </si>
  <si>
    <t>LeedsGNSC</t>
  </si>
  <si>
    <t>LeedsGNAGGSC</t>
  </si>
  <si>
    <t>LeedsGNAGGNSC</t>
  </si>
  <si>
    <t>LeedsLCHO</t>
  </si>
  <si>
    <t>LeedsSHHOP1Bd</t>
  </si>
  <si>
    <t>LeedsSHHOP2Bd</t>
  </si>
  <si>
    <t>LeedsSHHOP3Bd</t>
  </si>
  <si>
    <t>LeedsSHHOP4Bd</t>
  </si>
  <si>
    <t>LeedsSHHOPBdst</t>
  </si>
  <si>
    <t>LeedsSHHOPNSC</t>
  </si>
  <si>
    <t>LeedsSHHOPTotal</t>
  </si>
  <si>
    <t>LeedsSHHOPSC</t>
  </si>
  <si>
    <t>LeedsSHHOPAGGNA</t>
  </si>
  <si>
    <t>E08000036</t>
  </si>
  <si>
    <t>WakefieldARGN1Bd</t>
  </si>
  <si>
    <t>WakefieldARGN2Bd</t>
  </si>
  <si>
    <t>WakefieldARGN3Bd</t>
  </si>
  <si>
    <t>WakefieldARGN4Bd</t>
  </si>
  <si>
    <t>WakefieldARGN5Bd</t>
  </si>
  <si>
    <t>WakefieldARGN6Bd</t>
  </si>
  <si>
    <t>WakefieldARGNBdst</t>
  </si>
  <si>
    <t>WakefieldARGNNSC</t>
  </si>
  <si>
    <t>WakefieldARGNTotal</t>
  </si>
  <si>
    <t>WakefieldARGNSC</t>
  </si>
  <si>
    <t>WakefieldARSHHOP1Bd</t>
  </si>
  <si>
    <t>WakefieldARSHHOP2Bd</t>
  </si>
  <si>
    <t>WakefieldARSHHOP3Bd</t>
  </si>
  <si>
    <t>WakefieldARSHHOP4Bd</t>
  </si>
  <si>
    <t>WakefieldARSHHOPBdst</t>
  </si>
  <si>
    <t>WakefieldARSHHOPNSC</t>
  </si>
  <si>
    <t>WakefieldARSHHOPSC</t>
  </si>
  <si>
    <t>WakefieldARSHHOPTotal</t>
  </si>
  <si>
    <t>WakefieldGN1Bd</t>
  </si>
  <si>
    <t>WakefieldGN2Bd</t>
  </si>
  <si>
    <t>WakefieldGN3Bd</t>
  </si>
  <si>
    <t>WakefieldGN4Bd</t>
  </si>
  <si>
    <t>WakefieldGN5Bd</t>
  </si>
  <si>
    <t>WakefieldGN6Bd</t>
  </si>
  <si>
    <t>WakefieldGNBdst</t>
  </si>
  <si>
    <t>WakefieldGNNSC</t>
  </si>
  <si>
    <t>WakefieldGNTotal</t>
  </si>
  <si>
    <t>WakefieldGNSC</t>
  </si>
  <si>
    <t>WakefieldGNAGGSC</t>
  </si>
  <si>
    <t>WakefieldGNAGGNSC</t>
  </si>
  <si>
    <t>WakefieldLCHO</t>
  </si>
  <si>
    <t>WakefieldSHHOP1Bd</t>
  </si>
  <si>
    <t>WakefieldSHHOP2Bd</t>
  </si>
  <si>
    <t>WakefieldSHHOP3Bd</t>
  </si>
  <si>
    <t>WakefieldSHHOP4Bd</t>
  </si>
  <si>
    <t>WakefieldSHHOPBdst</t>
  </si>
  <si>
    <t>WakefieldSHHOPNSC</t>
  </si>
  <si>
    <t>WakefieldSHHOPTotal</t>
  </si>
  <si>
    <t>WakefieldSHHOPSC</t>
  </si>
  <si>
    <t>WakefieldSHHOPAGGNA</t>
  </si>
  <si>
    <t>E08000037</t>
  </si>
  <si>
    <t>Gateshead</t>
  </si>
  <si>
    <t>GatesheadARGN1Bd</t>
  </si>
  <si>
    <t>GatesheadARGN2Bd</t>
  </si>
  <si>
    <t>GatesheadARGN3Bd</t>
  </si>
  <si>
    <t>GatesheadARGN4Bd</t>
  </si>
  <si>
    <t>GatesheadARGN5Bd</t>
  </si>
  <si>
    <t>GatesheadARGN6Bd</t>
  </si>
  <si>
    <t>GatesheadARGNBdst</t>
  </si>
  <si>
    <t>GatesheadARGNNSC</t>
  </si>
  <si>
    <t>GatesheadARGNTotal</t>
  </si>
  <si>
    <t>GatesheadARGNSC</t>
  </si>
  <si>
    <t>GatesheadARSHHOP1Bd</t>
  </si>
  <si>
    <t>GatesheadARSHHOP2Bd</t>
  </si>
  <si>
    <t>GatesheadARSHHOP3Bd</t>
  </si>
  <si>
    <t>GatesheadARSHHOP4Bd</t>
  </si>
  <si>
    <t>GatesheadARSHHOPBdst</t>
  </si>
  <si>
    <t>GatesheadARSHHOPNSC</t>
  </si>
  <si>
    <t>GatesheadARSHHOPSC</t>
  </si>
  <si>
    <t>GatesheadARSHHOPTotal</t>
  </si>
  <si>
    <t>GatesheadGN1Bd</t>
  </si>
  <si>
    <t>GatesheadGN2Bd</t>
  </si>
  <si>
    <t>GatesheadGN3Bd</t>
  </si>
  <si>
    <t>GatesheadGN4Bd</t>
  </si>
  <si>
    <t>GatesheadGN5Bd</t>
  </si>
  <si>
    <t>GatesheadGN6Bd</t>
  </si>
  <si>
    <t>GatesheadGNBdst</t>
  </si>
  <si>
    <t>GatesheadGNNSC</t>
  </si>
  <si>
    <t>GatesheadGNTotal</t>
  </si>
  <si>
    <t>GatesheadGNSC</t>
  </si>
  <si>
    <t>GatesheadGNAGGSC</t>
  </si>
  <si>
    <t>GatesheadGNAGGNSC</t>
  </si>
  <si>
    <t>GatesheadLCHO</t>
  </si>
  <si>
    <t>GatesheadSHHOP1Bd</t>
  </si>
  <si>
    <t>GatesheadSHHOP2Bd</t>
  </si>
  <si>
    <t>GatesheadSHHOP3Bd</t>
  </si>
  <si>
    <t>GatesheadSHHOP4Bd</t>
  </si>
  <si>
    <t>GatesheadSHHOPBdst</t>
  </si>
  <si>
    <t>GatesheadSHHOPNSC</t>
  </si>
  <si>
    <t>GatesheadSHHOPTotal</t>
  </si>
  <si>
    <t>GatesheadSHHOPSC</t>
  </si>
  <si>
    <t>GatesheadSHHOPAGGNA</t>
  </si>
  <si>
    <t>E09000001</t>
  </si>
  <si>
    <t>City of London</t>
  </si>
  <si>
    <t>London</t>
  </si>
  <si>
    <t>City of LondonARGN1Bd</t>
  </si>
  <si>
    <t>City of LondonARGN2Bd</t>
  </si>
  <si>
    <t>City of LondonARGN3Bd</t>
  </si>
  <si>
    <t>City of LondonARGN4Bd</t>
  </si>
  <si>
    <t>City of LondonARGN5Bd</t>
  </si>
  <si>
    <t>City of LondonARGN6Bd</t>
  </si>
  <si>
    <t>City of LondonARGNBdst</t>
  </si>
  <si>
    <t>City of LondonARGNNSC</t>
  </si>
  <si>
    <t>City of LondonARGNTotal</t>
  </si>
  <si>
    <t>City of LondonARGNSC</t>
  </si>
  <si>
    <t>City of LondonARSHHOP1Bd</t>
  </si>
  <si>
    <t>City of LondonARSHHOP2Bd</t>
  </si>
  <si>
    <t>City of LondonARSHHOP3Bd</t>
  </si>
  <si>
    <t>City of LondonARSHHOP4Bd</t>
  </si>
  <si>
    <t>City of LondonARSHHOPBdst</t>
  </si>
  <si>
    <t>City of LondonARSHHOPNSC</t>
  </si>
  <si>
    <t>City of LondonARSHHOPSC</t>
  </si>
  <si>
    <t>City of LondonARSHHOPTotal</t>
  </si>
  <si>
    <t>City of LondonGN1Bd</t>
  </si>
  <si>
    <t>City of LondonGN2Bd</t>
  </si>
  <si>
    <t>City of LondonGN3Bd</t>
  </si>
  <si>
    <t>City of LondonGN4Bd</t>
  </si>
  <si>
    <t>City of LondonGN5Bd</t>
  </si>
  <si>
    <t>City of LondonGN6Bd</t>
  </si>
  <si>
    <t>City of LondonGNBdst</t>
  </si>
  <si>
    <t>City of LondonGNNSC</t>
  </si>
  <si>
    <t>City of LondonGNTotal</t>
  </si>
  <si>
    <t>City of LondonGNSC</t>
  </si>
  <si>
    <t>City of LondonGNAGGSC</t>
  </si>
  <si>
    <t>City of LondonGNAGGNSC</t>
  </si>
  <si>
    <t>City of LondonLCHO</t>
  </si>
  <si>
    <t>City of LondonSHHOP1Bd</t>
  </si>
  <si>
    <t>City of LondonSHHOP2Bd</t>
  </si>
  <si>
    <t>City of LondonSHHOP3Bd</t>
  </si>
  <si>
    <t>City of LondonSHHOP4Bd</t>
  </si>
  <si>
    <t>City of LondonSHHOPBdst</t>
  </si>
  <si>
    <t>City of LondonSHHOPNSC</t>
  </si>
  <si>
    <t>City of LondonSHHOPTotal</t>
  </si>
  <si>
    <t>City of LondonSHHOPSC</t>
  </si>
  <si>
    <t>City of LondonSHHOPAGGNA</t>
  </si>
  <si>
    <t>E09000002</t>
  </si>
  <si>
    <t>Barking and Dagenham</t>
  </si>
  <si>
    <t>Barking and DagenhamARGN1Bd</t>
  </si>
  <si>
    <t>Barking and DagenhamARGN2Bd</t>
  </si>
  <si>
    <t>Barking and DagenhamARGN3Bd</t>
  </si>
  <si>
    <t>Barking and DagenhamARGN4Bd</t>
  </si>
  <si>
    <t>Barking and DagenhamARGN5Bd</t>
  </si>
  <si>
    <t>Barking and DagenhamARGN6Bd</t>
  </si>
  <si>
    <t>Barking and DagenhamARGNBdst</t>
  </si>
  <si>
    <t>Barking and DagenhamARGNNSC</t>
  </si>
  <si>
    <t>Barking and DagenhamARGNTotal</t>
  </si>
  <si>
    <t>Barking and DagenhamARGNSC</t>
  </si>
  <si>
    <t>Barking and DagenhamARSHHOP1Bd</t>
  </si>
  <si>
    <t>Barking and DagenhamARSHHOP2Bd</t>
  </si>
  <si>
    <t>Barking and DagenhamARSHHOP3Bd</t>
  </si>
  <si>
    <t>Barking and DagenhamARSHHOP4Bd</t>
  </si>
  <si>
    <t>Barking and DagenhamARSHHOPBdst</t>
  </si>
  <si>
    <t>Barking and DagenhamARSHHOPNSC</t>
  </si>
  <si>
    <t>Barking and DagenhamARSHHOPSC</t>
  </si>
  <si>
    <t>Barking and DagenhamARSHHOPTotal</t>
  </si>
  <si>
    <t>Barking and DagenhamGN1Bd</t>
  </si>
  <si>
    <t>Barking and DagenhamGN2Bd</t>
  </si>
  <si>
    <t>Barking and DagenhamGN3Bd</t>
  </si>
  <si>
    <t>Barking and DagenhamGN4Bd</t>
  </si>
  <si>
    <t>Barking and DagenhamGN5Bd</t>
  </si>
  <si>
    <t>Barking and DagenhamGN6Bd</t>
  </si>
  <si>
    <t>Barking and DagenhamGNBdst</t>
  </si>
  <si>
    <t>Barking and DagenhamGNNSC</t>
  </si>
  <si>
    <t>Barking and DagenhamGNTotal</t>
  </si>
  <si>
    <t>Barking and DagenhamGNSC</t>
  </si>
  <si>
    <t>Barking and DagenhamGNAGGSC</t>
  </si>
  <si>
    <t>Barking and DagenhamGNAGGNSC</t>
  </si>
  <si>
    <t>Barking and DagenhamLCHO</t>
  </si>
  <si>
    <t>Barking and DagenhamSHHOP1Bd</t>
  </si>
  <si>
    <t>Barking and DagenhamSHHOP2Bd</t>
  </si>
  <si>
    <t>Barking and DagenhamSHHOP3Bd</t>
  </si>
  <si>
    <t>Barking and DagenhamSHHOP4Bd</t>
  </si>
  <si>
    <t>Barking and DagenhamSHHOPBdst</t>
  </si>
  <si>
    <t>Barking and DagenhamSHHOPNSC</t>
  </si>
  <si>
    <t>Barking and DagenhamSHHOPTotal</t>
  </si>
  <si>
    <t>Barking and DagenhamSHHOPSC</t>
  </si>
  <si>
    <t>Barking and DagenhamSHHOPAGGNA</t>
  </si>
  <si>
    <t>E09000003</t>
  </si>
  <si>
    <t>Barnet</t>
  </si>
  <si>
    <t>BarnetARGN1Bd</t>
  </si>
  <si>
    <t>BarnetARGN2Bd</t>
  </si>
  <si>
    <t>BarnetARGN3Bd</t>
  </si>
  <si>
    <t>BarnetARGN4Bd</t>
  </si>
  <si>
    <t>BarnetARGN5Bd</t>
  </si>
  <si>
    <t>BarnetARGN6Bd</t>
  </si>
  <si>
    <t>BarnetARGNBdst</t>
  </si>
  <si>
    <t>BarnetARGNNSC</t>
  </si>
  <si>
    <t>BarnetARGNTotal</t>
  </si>
  <si>
    <t>BarnetARGNSC</t>
  </si>
  <si>
    <t>BarnetARSHHOP1Bd</t>
  </si>
  <si>
    <t>BarnetARSHHOP2Bd</t>
  </si>
  <si>
    <t>BarnetARSHHOP3Bd</t>
  </si>
  <si>
    <t>BarnetARSHHOP4Bd</t>
  </si>
  <si>
    <t>BarnetARSHHOPBdst</t>
  </si>
  <si>
    <t>BarnetARSHHOPNSC</t>
  </si>
  <si>
    <t>BarnetARSHHOPSC</t>
  </si>
  <si>
    <t>BarnetARSHHOPTotal</t>
  </si>
  <si>
    <t>BarnetGN1Bd</t>
  </si>
  <si>
    <t>BarnetGN2Bd</t>
  </si>
  <si>
    <t>BarnetGN3Bd</t>
  </si>
  <si>
    <t>BarnetGN4Bd</t>
  </si>
  <si>
    <t>BarnetGN5Bd</t>
  </si>
  <si>
    <t>BarnetGN6Bd</t>
  </si>
  <si>
    <t>BarnetGNBdst</t>
  </si>
  <si>
    <t>BarnetGNNSC</t>
  </si>
  <si>
    <t>BarnetGNTotal</t>
  </si>
  <si>
    <t>BarnetGNSC</t>
  </si>
  <si>
    <t>BarnetGNAGGSC</t>
  </si>
  <si>
    <t>BarnetGNAGGNSC</t>
  </si>
  <si>
    <t>BarnetLCHO</t>
  </si>
  <si>
    <t>BarnetSHHOP1Bd</t>
  </si>
  <si>
    <t>BarnetSHHOP2Bd</t>
  </si>
  <si>
    <t>BarnetSHHOP3Bd</t>
  </si>
  <si>
    <t>BarnetSHHOP4Bd</t>
  </si>
  <si>
    <t>BarnetSHHOPBdst</t>
  </si>
  <si>
    <t>BarnetSHHOPNSC</t>
  </si>
  <si>
    <t>BarnetSHHOPTotal</t>
  </si>
  <si>
    <t>BarnetSHHOPSC</t>
  </si>
  <si>
    <t>BarnetSHHOPAGGNA</t>
  </si>
  <si>
    <t>E09000004</t>
  </si>
  <si>
    <t>Bexley</t>
  </si>
  <si>
    <t>BexleyARGN1Bd</t>
  </si>
  <si>
    <t>BexleyARGN2Bd</t>
  </si>
  <si>
    <t>BexleyARGN3Bd</t>
  </si>
  <si>
    <t>BexleyARGN4Bd</t>
  </si>
  <si>
    <t>BexleyARGN5Bd</t>
  </si>
  <si>
    <t>BexleyARGN6Bd</t>
  </si>
  <si>
    <t>BexleyARGNBdst</t>
  </si>
  <si>
    <t>BexleyARGNNSC</t>
  </si>
  <si>
    <t>BexleyARGNTotal</t>
  </si>
  <si>
    <t>BexleyARGNSC</t>
  </si>
  <si>
    <t>BexleyARSHHOP1Bd</t>
  </si>
  <si>
    <t>BexleyARSHHOP2Bd</t>
  </si>
  <si>
    <t>BexleyARSHHOP3Bd</t>
  </si>
  <si>
    <t>BexleyARSHHOP4Bd</t>
  </si>
  <si>
    <t>BexleyARSHHOPBdst</t>
  </si>
  <si>
    <t>BexleyARSHHOPNSC</t>
  </si>
  <si>
    <t>BexleyARSHHOPSC</t>
  </si>
  <si>
    <t>BexleyARSHHOPTotal</t>
  </si>
  <si>
    <t>BexleyGN1Bd</t>
  </si>
  <si>
    <t>BexleyGN2Bd</t>
  </si>
  <si>
    <t>BexleyGN3Bd</t>
  </si>
  <si>
    <t>BexleyGN4Bd</t>
  </si>
  <si>
    <t>BexleyGN5Bd</t>
  </si>
  <si>
    <t>BexleyGN6Bd</t>
  </si>
  <si>
    <t>BexleyGNBdst</t>
  </si>
  <si>
    <t>BexleyGNNSC</t>
  </si>
  <si>
    <t>BexleyGNTotal</t>
  </si>
  <si>
    <t>BexleyGNSC</t>
  </si>
  <si>
    <t>BexleyGNAGGSC</t>
  </si>
  <si>
    <t>BexleyGNAGGNSC</t>
  </si>
  <si>
    <t>BexleyLCHO</t>
  </si>
  <si>
    <t>BexleySHHOP1Bd</t>
  </si>
  <si>
    <t>BexleySHHOP2Bd</t>
  </si>
  <si>
    <t>BexleySHHOP3Bd</t>
  </si>
  <si>
    <t>BexleySHHOP4Bd</t>
  </si>
  <si>
    <t>BexleySHHOPBdst</t>
  </si>
  <si>
    <t>BexleySHHOPNSC</t>
  </si>
  <si>
    <t>BexleySHHOPTotal</t>
  </si>
  <si>
    <t>BexleySHHOPSC</t>
  </si>
  <si>
    <t>BexleySHHOPAGGNA</t>
  </si>
  <si>
    <t>E09000005</t>
  </si>
  <si>
    <t>Brent</t>
  </si>
  <si>
    <t>BrentARGN1Bd</t>
  </si>
  <si>
    <t>BrentARGN2Bd</t>
  </si>
  <si>
    <t>BrentARGN3Bd</t>
  </si>
  <si>
    <t>BrentARGN4Bd</t>
  </si>
  <si>
    <t>BrentARGN5Bd</t>
  </si>
  <si>
    <t>BrentARGN6Bd</t>
  </si>
  <si>
    <t>BrentARGNBdst</t>
  </si>
  <si>
    <t>BrentARGNNSC</t>
  </si>
  <si>
    <t>BrentARGNTotal</t>
  </si>
  <si>
    <t>BrentARGNSC</t>
  </si>
  <si>
    <t>BrentARSHHOP1Bd</t>
  </si>
  <si>
    <t>BrentARSHHOP2Bd</t>
  </si>
  <si>
    <t>BrentARSHHOP3Bd</t>
  </si>
  <si>
    <t>BrentARSHHOP4Bd</t>
  </si>
  <si>
    <t>BrentARSHHOPBdst</t>
  </si>
  <si>
    <t>BrentARSHHOPNSC</t>
  </si>
  <si>
    <t>BrentARSHHOPSC</t>
  </si>
  <si>
    <t>BrentARSHHOPTotal</t>
  </si>
  <si>
    <t>BrentGN1Bd</t>
  </si>
  <si>
    <t>BrentGN2Bd</t>
  </si>
  <si>
    <t>BrentGN3Bd</t>
  </si>
  <si>
    <t>BrentGN4Bd</t>
  </si>
  <si>
    <t>BrentGN5Bd</t>
  </si>
  <si>
    <t>BrentGN6Bd</t>
  </si>
  <si>
    <t>BrentGNBdst</t>
  </si>
  <si>
    <t>BrentGNNSC</t>
  </si>
  <si>
    <t>BrentGNTotal</t>
  </si>
  <si>
    <t>BrentGNSC</t>
  </si>
  <si>
    <t>BrentGNAGGSC</t>
  </si>
  <si>
    <t>BrentGNAGGNSC</t>
  </si>
  <si>
    <t>BrentLCHO</t>
  </si>
  <si>
    <t>BrentSHHOP1Bd</t>
  </si>
  <si>
    <t>BrentSHHOP2Bd</t>
  </si>
  <si>
    <t>BrentSHHOP3Bd</t>
  </si>
  <si>
    <t>BrentSHHOP4Bd</t>
  </si>
  <si>
    <t>BrentSHHOPBdst</t>
  </si>
  <si>
    <t>BrentSHHOPNSC</t>
  </si>
  <si>
    <t>BrentSHHOPTotal</t>
  </si>
  <si>
    <t>BrentSHHOPSC</t>
  </si>
  <si>
    <t>BrentSHHOPAGGNA</t>
  </si>
  <si>
    <t>E09000006</t>
  </si>
  <si>
    <t>Bromley</t>
  </si>
  <si>
    <t>BromleyARGN1Bd</t>
  </si>
  <si>
    <t>BromleyARGN2Bd</t>
  </si>
  <si>
    <t>BromleyARGN3Bd</t>
  </si>
  <si>
    <t>BromleyARGN4Bd</t>
  </si>
  <si>
    <t>BromleyARGN5Bd</t>
  </si>
  <si>
    <t>BromleyARGN6Bd</t>
  </si>
  <si>
    <t>BromleyARGNBdst</t>
  </si>
  <si>
    <t>BromleyARGNNSC</t>
  </si>
  <si>
    <t>BromleyARGNTotal</t>
  </si>
  <si>
    <t>BromleyARGNSC</t>
  </si>
  <si>
    <t>BromleyARSHHOP1Bd</t>
  </si>
  <si>
    <t>BromleyARSHHOP2Bd</t>
  </si>
  <si>
    <t>BromleyARSHHOP3Bd</t>
  </si>
  <si>
    <t>BromleyARSHHOP4Bd</t>
  </si>
  <si>
    <t>BromleyARSHHOPBdst</t>
  </si>
  <si>
    <t>BromleyARSHHOPNSC</t>
  </si>
  <si>
    <t>BromleyARSHHOPSC</t>
  </si>
  <si>
    <t>BromleyARSHHOPTotal</t>
  </si>
  <si>
    <t>BromleyGN1Bd</t>
  </si>
  <si>
    <t>BromleyGN2Bd</t>
  </si>
  <si>
    <t>BromleyGN3Bd</t>
  </si>
  <si>
    <t>BromleyGN4Bd</t>
  </si>
  <si>
    <t>BromleyGN5Bd</t>
  </si>
  <si>
    <t>BromleyGN6Bd</t>
  </si>
  <si>
    <t>BromleyGNBdst</t>
  </si>
  <si>
    <t>BromleyGNNSC</t>
  </si>
  <si>
    <t>BromleyGNTotal</t>
  </si>
  <si>
    <t>BromleyGNSC</t>
  </si>
  <si>
    <t>BromleyGNAGGSC</t>
  </si>
  <si>
    <t>BromleyGNAGGNSC</t>
  </si>
  <si>
    <t>BromleyLCHO</t>
  </si>
  <si>
    <t>BromleySHHOP1Bd</t>
  </si>
  <si>
    <t>BromleySHHOP2Bd</t>
  </si>
  <si>
    <t>BromleySHHOP3Bd</t>
  </si>
  <si>
    <t>BromleySHHOP4Bd</t>
  </si>
  <si>
    <t>BromleySHHOPBdst</t>
  </si>
  <si>
    <t>BromleySHHOPNSC</t>
  </si>
  <si>
    <t>BromleySHHOPTotal</t>
  </si>
  <si>
    <t>BromleySHHOPSC</t>
  </si>
  <si>
    <t>BromleySHHOPAGGNA</t>
  </si>
  <si>
    <t>E09000007</t>
  </si>
  <si>
    <t>Camden</t>
  </si>
  <si>
    <t>CamdenARGN1Bd</t>
  </si>
  <si>
    <t>CamdenARGN2Bd</t>
  </si>
  <si>
    <t>CamdenARGN3Bd</t>
  </si>
  <si>
    <t>CamdenARGN4Bd</t>
  </si>
  <si>
    <t>CamdenARGN5Bd</t>
  </si>
  <si>
    <t>CamdenARGN6Bd</t>
  </si>
  <si>
    <t>CamdenARGNBdst</t>
  </si>
  <si>
    <t>CamdenARGNNSC</t>
  </si>
  <si>
    <t>CamdenARGNTotal</t>
  </si>
  <si>
    <t>CamdenARGNSC</t>
  </si>
  <si>
    <t>CamdenARSHHOP1Bd</t>
  </si>
  <si>
    <t>CamdenARSHHOP2Bd</t>
  </si>
  <si>
    <t>CamdenARSHHOP3Bd</t>
  </si>
  <si>
    <t>CamdenARSHHOP4Bd</t>
  </si>
  <si>
    <t>CamdenARSHHOPBdst</t>
  </si>
  <si>
    <t>CamdenARSHHOPNSC</t>
  </si>
  <si>
    <t>CamdenARSHHOPSC</t>
  </si>
  <si>
    <t>CamdenARSHHOPTotal</t>
  </si>
  <si>
    <t>CamdenGN1Bd</t>
  </si>
  <si>
    <t>CamdenGN2Bd</t>
  </si>
  <si>
    <t>CamdenGN3Bd</t>
  </si>
  <si>
    <t>CamdenGN4Bd</t>
  </si>
  <si>
    <t>CamdenGN5Bd</t>
  </si>
  <si>
    <t>CamdenGN6Bd</t>
  </si>
  <si>
    <t>CamdenGNBdst</t>
  </si>
  <si>
    <t>CamdenGNNSC</t>
  </si>
  <si>
    <t>CamdenGNTotal</t>
  </si>
  <si>
    <t>CamdenGNSC</t>
  </si>
  <si>
    <t>CamdenGNAGGSC</t>
  </si>
  <si>
    <t>CamdenGNAGGNSC</t>
  </si>
  <si>
    <t>CamdenLCHO</t>
  </si>
  <si>
    <t>CamdenSHHOP1Bd</t>
  </si>
  <si>
    <t>CamdenSHHOP2Bd</t>
  </si>
  <si>
    <t>CamdenSHHOP3Bd</t>
  </si>
  <si>
    <t>CamdenSHHOP4Bd</t>
  </si>
  <si>
    <t>CamdenSHHOPBdst</t>
  </si>
  <si>
    <t>CamdenSHHOPNSC</t>
  </si>
  <si>
    <t>CamdenSHHOPTotal</t>
  </si>
  <si>
    <t>CamdenSHHOPSC</t>
  </si>
  <si>
    <t>CamdenSHHOPAGGNA</t>
  </si>
  <si>
    <t>E09000008</t>
  </si>
  <si>
    <t>Croydon</t>
  </si>
  <si>
    <t>CroydonARGN1Bd</t>
  </si>
  <si>
    <t>CroydonARGN2Bd</t>
  </si>
  <si>
    <t>CroydonARGN3Bd</t>
  </si>
  <si>
    <t>CroydonARGN4Bd</t>
  </si>
  <si>
    <t>CroydonARGN5Bd</t>
  </si>
  <si>
    <t>CroydonARGN6Bd</t>
  </si>
  <si>
    <t>CroydonARGNBdst</t>
  </si>
  <si>
    <t>CroydonARGNNSC</t>
  </si>
  <si>
    <t>CroydonARGNTotal</t>
  </si>
  <si>
    <t>CroydonARGNSC</t>
  </si>
  <si>
    <t>CroydonARSHHOP1Bd</t>
  </si>
  <si>
    <t>CroydonARSHHOP2Bd</t>
  </si>
  <si>
    <t>CroydonARSHHOP3Bd</t>
  </si>
  <si>
    <t>CroydonARSHHOP4Bd</t>
  </si>
  <si>
    <t>CroydonARSHHOPBdst</t>
  </si>
  <si>
    <t>CroydonARSHHOPNSC</t>
  </si>
  <si>
    <t>CroydonARSHHOPSC</t>
  </si>
  <si>
    <t>CroydonARSHHOPTotal</t>
  </si>
  <si>
    <t>CroydonGN1Bd</t>
  </si>
  <si>
    <t>CroydonGN2Bd</t>
  </si>
  <si>
    <t>CroydonGN3Bd</t>
  </si>
  <si>
    <t>CroydonGN4Bd</t>
  </si>
  <si>
    <t>CroydonGN5Bd</t>
  </si>
  <si>
    <t>CroydonGN6Bd</t>
  </si>
  <si>
    <t>CroydonGNBdst</t>
  </si>
  <si>
    <t>CroydonGNNSC</t>
  </si>
  <si>
    <t>CroydonGNTotal</t>
  </si>
  <si>
    <t>CroydonGNSC</t>
  </si>
  <si>
    <t>CroydonGNAGGSC</t>
  </si>
  <si>
    <t>CroydonGNAGGNSC</t>
  </si>
  <si>
    <t>CroydonLCHO</t>
  </si>
  <si>
    <t>CroydonSHHOP1Bd</t>
  </si>
  <si>
    <t>CroydonSHHOP2Bd</t>
  </si>
  <si>
    <t>CroydonSHHOP3Bd</t>
  </si>
  <si>
    <t>CroydonSHHOP4Bd</t>
  </si>
  <si>
    <t>CroydonSHHOPBdst</t>
  </si>
  <si>
    <t>CroydonSHHOPNSC</t>
  </si>
  <si>
    <t>CroydonSHHOPTotal</t>
  </si>
  <si>
    <t>CroydonSHHOPSC</t>
  </si>
  <si>
    <t>CroydonSHHOPAGGNA</t>
  </si>
  <si>
    <t>E09000009</t>
  </si>
  <si>
    <t>Ealing</t>
  </si>
  <si>
    <t>EalingARGN1Bd</t>
  </si>
  <si>
    <t>EalingARGN2Bd</t>
  </si>
  <si>
    <t>EalingARGN3Bd</t>
  </si>
  <si>
    <t>EalingARGN4Bd</t>
  </si>
  <si>
    <t>EalingARGN5Bd</t>
  </si>
  <si>
    <t>EalingARGN6Bd</t>
  </si>
  <si>
    <t>EalingARGNBdst</t>
  </si>
  <si>
    <t>EalingARGNNSC</t>
  </si>
  <si>
    <t>EalingARGNTotal</t>
  </si>
  <si>
    <t>EalingARGNSC</t>
  </si>
  <si>
    <t>EalingARSHHOP1Bd</t>
  </si>
  <si>
    <t>EalingARSHHOP2Bd</t>
  </si>
  <si>
    <t>EalingARSHHOP3Bd</t>
  </si>
  <si>
    <t>EalingARSHHOP4Bd</t>
  </si>
  <si>
    <t>EalingARSHHOPBdst</t>
  </si>
  <si>
    <t>EalingARSHHOPNSC</t>
  </si>
  <si>
    <t>EalingARSHHOPSC</t>
  </si>
  <si>
    <t>EalingARSHHOPTotal</t>
  </si>
  <si>
    <t>EalingGN1Bd</t>
  </si>
  <si>
    <t>EalingGN2Bd</t>
  </si>
  <si>
    <t>EalingGN3Bd</t>
  </si>
  <si>
    <t>EalingGN4Bd</t>
  </si>
  <si>
    <t>EalingGN5Bd</t>
  </si>
  <si>
    <t>EalingGN6Bd</t>
  </si>
  <si>
    <t>EalingGNBdst</t>
  </si>
  <si>
    <t>EalingGNNSC</t>
  </si>
  <si>
    <t>EalingGNTotal</t>
  </si>
  <si>
    <t>EalingGNSC</t>
  </si>
  <si>
    <t>EalingGNAGGSC</t>
  </si>
  <si>
    <t>EalingGNAGGNSC</t>
  </si>
  <si>
    <t>EalingLCHO</t>
  </si>
  <si>
    <t>EalingSHHOP1Bd</t>
  </si>
  <si>
    <t>EalingSHHOP2Bd</t>
  </si>
  <si>
    <t>EalingSHHOP3Bd</t>
  </si>
  <si>
    <t>EalingSHHOP4Bd</t>
  </si>
  <si>
    <t>EalingSHHOPBdst</t>
  </si>
  <si>
    <t>EalingSHHOPNSC</t>
  </si>
  <si>
    <t>EalingSHHOPTotal</t>
  </si>
  <si>
    <t>EalingSHHOPSC</t>
  </si>
  <si>
    <t>EalingSHHOPAGGNA</t>
  </si>
  <si>
    <t>E09000010</t>
  </si>
  <si>
    <t>Enfield</t>
  </si>
  <si>
    <t>EnfieldARGN1Bd</t>
  </si>
  <si>
    <t>EnfieldARGN2Bd</t>
  </si>
  <si>
    <t>EnfieldARGN3Bd</t>
  </si>
  <si>
    <t>EnfieldARGN4Bd</t>
  </si>
  <si>
    <t>EnfieldARGN5Bd</t>
  </si>
  <si>
    <t>EnfieldARGN6Bd</t>
  </si>
  <si>
    <t>EnfieldARGNBdst</t>
  </si>
  <si>
    <t>EnfieldARGNNSC</t>
  </si>
  <si>
    <t>EnfieldARGNTotal</t>
  </si>
  <si>
    <t>EnfieldARGNSC</t>
  </si>
  <si>
    <t>EnfieldARSHHOP1Bd</t>
  </si>
  <si>
    <t>EnfieldARSHHOP2Bd</t>
  </si>
  <si>
    <t>EnfieldARSHHOP3Bd</t>
  </si>
  <si>
    <t>EnfieldARSHHOP4Bd</t>
  </si>
  <si>
    <t>EnfieldARSHHOPBdst</t>
  </si>
  <si>
    <t>EnfieldARSHHOPNSC</t>
  </si>
  <si>
    <t>EnfieldARSHHOPSC</t>
  </si>
  <si>
    <t>EnfieldARSHHOPTotal</t>
  </si>
  <si>
    <t>EnfieldGN1Bd</t>
  </si>
  <si>
    <t>EnfieldGN2Bd</t>
  </si>
  <si>
    <t>EnfieldGN3Bd</t>
  </si>
  <si>
    <t>EnfieldGN4Bd</t>
  </si>
  <si>
    <t>EnfieldGN5Bd</t>
  </si>
  <si>
    <t>EnfieldGN6Bd</t>
  </si>
  <si>
    <t>EnfieldGNBdst</t>
  </si>
  <si>
    <t>EnfieldGNNSC</t>
  </si>
  <si>
    <t>EnfieldGNTotal</t>
  </si>
  <si>
    <t>EnfieldGNSC</t>
  </si>
  <si>
    <t>EnfieldGNAGGSC</t>
  </si>
  <si>
    <t>EnfieldGNAGGNSC</t>
  </si>
  <si>
    <t>EnfieldLCHO</t>
  </si>
  <si>
    <t>EnfieldSHHOP1Bd</t>
  </si>
  <si>
    <t>EnfieldSHHOP2Bd</t>
  </si>
  <si>
    <t>EnfieldSHHOP3Bd</t>
  </si>
  <si>
    <t>EnfieldSHHOP4Bd</t>
  </si>
  <si>
    <t>EnfieldSHHOPBdst</t>
  </si>
  <si>
    <t>EnfieldSHHOPNSC</t>
  </si>
  <si>
    <t>EnfieldSHHOPTotal</t>
  </si>
  <si>
    <t>EnfieldSHHOPSC</t>
  </si>
  <si>
    <t>EnfieldSHHOPAGGNA</t>
  </si>
  <si>
    <t>E09000011</t>
  </si>
  <si>
    <t>Greenwich</t>
  </si>
  <si>
    <t>GreenwichARGN1Bd</t>
  </si>
  <si>
    <t>GreenwichARGN2Bd</t>
  </si>
  <si>
    <t>GreenwichARGN3Bd</t>
  </si>
  <si>
    <t>GreenwichARGN4Bd</t>
  </si>
  <si>
    <t>GreenwichARGN5Bd</t>
  </si>
  <si>
    <t>GreenwichARGN6Bd</t>
  </si>
  <si>
    <t>GreenwichARGNBdst</t>
  </si>
  <si>
    <t>GreenwichARGNNSC</t>
  </si>
  <si>
    <t>GreenwichARGNTotal</t>
  </si>
  <si>
    <t>GreenwichARGNSC</t>
  </si>
  <si>
    <t>GreenwichARSHHOP1Bd</t>
  </si>
  <si>
    <t>GreenwichARSHHOP2Bd</t>
  </si>
  <si>
    <t>GreenwichARSHHOP3Bd</t>
  </si>
  <si>
    <t>GreenwichARSHHOP4Bd</t>
  </si>
  <si>
    <t>GreenwichARSHHOPBdst</t>
  </si>
  <si>
    <t>GreenwichARSHHOPNSC</t>
  </si>
  <si>
    <t>GreenwichARSHHOPSC</t>
  </si>
  <si>
    <t>GreenwichARSHHOPTotal</t>
  </si>
  <si>
    <t>GreenwichGN1Bd</t>
  </si>
  <si>
    <t>GreenwichGN2Bd</t>
  </si>
  <si>
    <t>GreenwichGN3Bd</t>
  </si>
  <si>
    <t>GreenwichGN4Bd</t>
  </si>
  <si>
    <t>GreenwichGN5Bd</t>
  </si>
  <si>
    <t>GreenwichGN6Bd</t>
  </si>
  <si>
    <t>GreenwichGNBdst</t>
  </si>
  <si>
    <t>GreenwichGNNSC</t>
  </si>
  <si>
    <t>GreenwichGNTotal</t>
  </si>
  <si>
    <t>GreenwichGNSC</t>
  </si>
  <si>
    <t>GreenwichGNAGGSC</t>
  </si>
  <si>
    <t>GreenwichGNAGGNSC</t>
  </si>
  <si>
    <t>GreenwichLCHO</t>
  </si>
  <si>
    <t>GreenwichSHHOP1Bd</t>
  </si>
  <si>
    <t>GreenwichSHHOP2Bd</t>
  </si>
  <si>
    <t>GreenwichSHHOP3Bd</t>
  </si>
  <si>
    <t>GreenwichSHHOP4Bd</t>
  </si>
  <si>
    <t>GreenwichSHHOPBdst</t>
  </si>
  <si>
    <t>GreenwichSHHOPNSC</t>
  </si>
  <si>
    <t>GreenwichSHHOPTotal</t>
  </si>
  <si>
    <t>GreenwichSHHOPSC</t>
  </si>
  <si>
    <t>GreenwichSHHOPAGGNA</t>
  </si>
  <si>
    <t>E09000012</t>
  </si>
  <si>
    <t>Hackney</t>
  </si>
  <si>
    <t>HackneyARGN1Bd</t>
  </si>
  <si>
    <t>HackneyARGN2Bd</t>
  </si>
  <si>
    <t>HackneyARGN3Bd</t>
  </si>
  <si>
    <t>HackneyARGN4Bd</t>
  </si>
  <si>
    <t>HackneyARGN5Bd</t>
  </si>
  <si>
    <t>HackneyARGN6Bd</t>
  </si>
  <si>
    <t>HackneyARGNBdst</t>
  </si>
  <si>
    <t>HackneyARGNNSC</t>
  </si>
  <si>
    <t>HackneyARGNTotal</t>
  </si>
  <si>
    <t>HackneyARGNSC</t>
  </si>
  <si>
    <t>HackneyARSHHOP1Bd</t>
  </si>
  <si>
    <t>HackneyARSHHOP2Bd</t>
  </si>
  <si>
    <t>HackneyARSHHOP3Bd</t>
  </si>
  <si>
    <t>HackneyARSHHOP4Bd</t>
  </si>
  <si>
    <t>HackneyARSHHOPBdst</t>
  </si>
  <si>
    <t>HackneyARSHHOPNSC</t>
  </si>
  <si>
    <t>HackneyARSHHOPSC</t>
  </si>
  <si>
    <t>HackneyARSHHOPTotal</t>
  </si>
  <si>
    <t>HackneyGN1Bd</t>
  </si>
  <si>
    <t>HackneyGN2Bd</t>
  </si>
  <si>
    <t>HackneyGN3Bd</t>
  </si>
  <si>
    <t>HackneyGN4Bd</t>
  </si>
  <si>
    <t>HackneyGN5Bd</t>
  </si>
  <si>
    <t>HackneyGN6Bd</t>
  </si>
  <si>
    <t>HackneyGNBdst</t>
  </si>
  <si>
    <t>HackneyGNNSC</t>
  </si>
  <si>
    <t>HackneyGNTotal</t>
  </si>
  <si>
    <t>HackneyGNSC</t>
  </si>
  <si>
    <t>HackneyGNAGGSC</t>
  </si>
  <si>
    <t>HackneyGNAGGNSC</t>
  </si>
  <si>
    <t>HackneyLCHO</t>
  </si>
  <si>
    <t>HackneySHHOP1Bd</t>
  </si>
  <si>
    <t>HackneySHHOP2Bd</t>
  </si>
  <si>
    <t>HackneySHHOP3Bd</t>
  </si>
  <si>
    <t>HackneySHHOP4Bd</t>
  </si>
  <si>
    <t>HackneySHHOPBdst</t>
  </si>
  <si>
    <t>HackneySHHOPNSC</t>
  </si>
  <si>
    <t>HackneySHHOPTotal</t>
  </si>
  <si>
    <t>HackneySHHOPSC</t>
  </si>
  <si>
    <t>HackneySHHOPAGGNA</t>
  </si>
  <si>
    <t>E09000013</t>
  </si>
  <si>
    <t>Hammersmith and Fulham</t>
  </si>
  <si>
    <t>Hammersmith and FulhamARGN1Bd</t>
  </si>
  <si>
    <t>Hammersmith and FulhamARGN2Bd</t>
  </si>
  <si>
    <t>Hammersmith and FulhamARGN3Bd</t>
  </si>
  <si>
    <t>Hammersmith and FulhamARGN4Bd</t>
  </si>
  <si>
    <t>Hammersmith and FulhamARGN5Bd</t>
  </si>
  <si>
    <t>Hammersmith and FulhamARGN6Bd</t>
  </si>
  <si>
    <t>Hammersmith and FulhamARGNBdst</t>
  </si>
  <si>
    <t>Hammersmith and FulhamARGNNSC</t>
  </si>
  <si>
    <t>Hammersmith and FulhamARGNTotal</t>
  </si>
  <si>
    <t>Hammersmith and FulhamARGNSC</t>
  </si>
  <si>
    <t>Hammersmith and FulhamARSHHOP1Bd</t>
  </si>
  <si>
    <t>Hammersmith and FulhamARSHHOP2Bd</t>
  </si>
  <si>
    <t>Hammersmith and FulhamARSHHOP3Bd</t>
  </si>
  <si>
    <t>Hammersmith and FulhamARSHHOP4Bd</t>
  </si>
  <si>
    <t>Hammersmith and FulhamARSHHOPBdst</t>
  </si>
  <si>
    <t>Hammersmith and FulhamARSHHOPNSC</t>
  </si>
  <si>
    <t>Hammersmith and FulhamARSHHOPSC</t>
  </si>
  <si>
    <t>Hammersmith and FulhamARSHHOPTotal</t>
  </si>
  <si>
    <t>Hammersmith and FulhamGN1Bd</t>
  </si>
  <si>
    <t>Hammersmith and FulhamGN2Bd</t>
  </si>
  <si>
    <t>Hammersmith and FulhamGN3Bd</t>
  </si>
  <si>
    <t>Hammersmith and FulhamGN4Bd</t>
  </si>
  <si>
    <t>Hammersmith and FulhamGN5Bd</t>
  </si>
  <si>
    <t>Hammersmith and FulhamGN6Bd</t>
  </si>
  <si>
    <t>Hammersmith and FulhamGNBdst</t>
  </si>
  <si>
    <t>Hammersmith and FulhamGNNSC</t>
  </si>
  <si>
    <t>Hammersmith and FulhamGNTotal</t>
  </si>
  <si>
    <t>Hammersmith and FulhamGNSC</t>
  </si>
  <si>
    <t>Hammersmith and FulhamGNAGGSC</t>
  </si>
  <si>
    <t>Hammersmith and FulhamGNAGGNSC</t>
  </si>
  <si>
    <t>Hammersmith and FulhamLCHO</t>
  </si>
  <si>
    <t>Hammersmith and FulhamSHHOP1Bd</t>
  </si>
  <si>
    <t>Hammersmith and FulhamSHHOP2Bd</t>
  </si>
  <si>
    <t>Hammersmith and FulhamSHHOP3Bd</t>
  </si>
  <si>
    <t>Hammersmith and FulhamSHHOP4Bd</t>
  </si>
  <si>
    <t>Hammersmith and FulhamSHHOPBdst</t>
  </si>
  <si>
    <t>Hammersmith and FulhamSHHOPNSC</t>
  </si>
  <si>
    <t>Hammersmith and FulhamSHHOPTotal</t>
  </si>
  <si>
    <t>Hammersmith and FulhamSHHOPSC</t>
  </si>
  <si>
    <t>Hammersmith and FulhamSHHOPAGGNA</t>
  </si>
  <si>
    <t>E09000014</t>
  </si>
  <si>
    <t>Haringey</t>
  </si>
  <si>
    <t>HaringeyARGN1Bd</t>
  </si>
  <si>
    <t>HaringeyARGN2Bd</t>
  </si>
  <si>
    <t>HaringeyARGN3Bd</t>
  </si>
  <si>
    <t>HaringeyARGN4Bd</t>
  </si>
  <si>
    <t>HaringeyARGN5Bd</t>
  </si>
  <si>
    <t>HaringeyARGN6Bd</t>
  </si>
  <si>
    <t>HaringeyARGNBdst</t>
  </si>
  <si>
    <t>HaringeyARGNNSC</t>
  </si>
  <si>
    <t>HaringeyARGNTotal</t>
  </si>
  <si>
    <t>HaringeyARGNSC</t>
  </si>
  <si>
    <t>HaringeyARSHHOP1Bd</t>
  </si>
  <si>
    <t>HaringeyARSHHOP2Bd</t>
  </si>
  <si>
    <t>HaringeyARSHHOP3Bd</t>
  </si>
  <si>
    <t>HaringeyARSHHOP4Bd</t>
  </si>
  <si>
    <t>HaringeyARSHHOPBdst</t>
  </si>
  <si>
    <t>HaringeyARSHHOPNSC</t>
  </si>
  <si>
    <t>HaringeyARSHHOPSC</t>
  </si>
  <si>
    <t>HaringeyARSHHOPTotal</t>
  </si>
  <si>
    <t>HaringeyGN1Bd</t>
  </si>
  <si>
    <t>HaringeyGN2Bd</t>
  </si>
  <si>
    <t>HaringeyGN3Bd</t>
  </si>
  <si>
    <t>HaringeyGN4Bd</t>
  </si>
  <si>
    <t>HaringeyGN5Bd</t>
  </si>
  <si>
    <t>HaringeyGN6Bd</t>
  </si>
  <si>
    <t>HaringeyGNBdst</t>
  </si>
  <si>
    <t>HaringeyGNNSC</t>
  </si>
  <si>
    <t>HaringeyGNTotal</t>
  </si>
  <si>
    <t>HaringeyGNSC</t>
  </si>
  <si>
    <t>HaringeyGNAGGSC</t>
  </si>
  <si>
    <t>HaringeyGNAGGNSC</t>
  </si>
  <si>
    <t>HaringeyLCHO</t>
  </si>
  <si>
    <t>HaringeySHHOP1Bd</t>
  </si>
  <si>
    <t>HaringeySHHOP2Bd</t>
  </si>
  <si>
    <t>HaringeySHHOP3Bd</t>
  </si>
  <si>
    <t>HaringeySHHOP4Bd</t>
  </si>
  <si>
    <t>HaringeySHHOPBdst</t>
  </si>
  <si>
    <t>HaringeySHHOPNSC</t>
  </si>
  <si>
    <t>HaringeySHHOPTotal</t>
  </si>
  <si>
    <t>HaringeySHHOPSC</t>
  </si>
  <si>
    <t>HaringeySHHOPAGGNA</t>
  </si>
  <si>
    <t>E09000015</t>
  </si>
  <si>
    <t>Harrow</t>
  </si>
  <si>
    <t>HarrowARGN1Bd</t>
  </si>
  <si>
    <t>HarrowARGN2Bd</t>
  </si>
  <si>
    <t>HarrowARGN3Bd</t>
  </si>
  <si>
    <t>HarrowARGN4Bd</t>
  </si>
  <si>
    <t>HarrowARGN5Bd</t>
  </si>
  <si>
    <t>HarrowARGN6Bd</t>
  </si>
  <si>
    <t>HarrowARGNBdst</t>
  </si>
  <si>
    <t>HarrowARGNNSC</t>
  </si>
  <si>
    <t>HarrowARGNTotal</t>
  </si>
  <si>
    <t>HarrowARGNSC</t>
  </si>
  <si>
    <t>HarrowARSHHOP1Bd</t>
  </si>
  <si>
    <t>HarrowARSHHOP2Bd</t>
  </si>
  <si>
    <t>HarrowARSHHOP3Bd</t>
  </si>
  <si>
    <t>HarrowARSHHOP4Bd</t>
  </si>
  <si>
    <t>HarrowARSHHOPBdst</t>
  </si>
  <si>
    <t>HarrowARSHHOPNSC</t>
  </si>
  <si>
    <t>HarrowARSHHOPSC</t>
  </si>
  <si>
    <t>HarrowARSHHOPTotal</t>
  </si>
  <si>
    <t>HarrowGN1Bd</t>
  </si>
  <si>
    <t>HarrowGN2Bd</t>
  </si>
  <si>
    <t>HarrowGN3Bd</t>
  </si>
  <si>
    <t>HarrowGN4Bd</t>
  </si>
  <si>
    <t>HarrowGN5Bd</t>
  </si>
  <si>
    <t>HarrowGN6Bd</t>
  </si>
  <si>
    <t>HarrowGNBdst</t>
  </si>
  <si>
    <t>HarrowGNNSC</t>
  </si>
  <si>
    <t>HarrowGNTotal</t>
  </si>
  <si>
    <t>HarrowGNSC</t>
  </si>
  <si>
    <t>HarrowGNAGGSC</t>
  </si>
  <si>
    <t>HarrowGNAGGNSC</t>
  </si>
  <si>
    <t>HarrowLCHO</t>
  </si>
  <si>
    <t>HarrowSHHOP1Bd</t>
  </si>
  <si>
    <t>HarrowSHHOP2Bd</t>
  </si>
  <si>
    <t>HarrowSHHOP3Bd</t>
  </si>
  <si>
    <t>HarrowSHHOP4Bd</t>
  </si>
  <si>
    <t>HarrowSHHOPBdst</t>
  </si>
  <si>
    <t>HarrowSHHOPNSC</t>
  </si>
  <si>
    <t>HarrowSHHOPTotal</t>
  </si>
  <si>
    <t>HarrowSHHOPSC</t>
  </si>
  <si>
    <t>HarrowSHHOPAGGNA</t>
  </si>
  <si>
    <t>E09000016</t>
  </si>
  <si>
    <t>Havering</t>
  </si>
  <si>
    <t>HaveringARGN1Bd</t>
  </si>
  <si>
    <t>HaveringARGN2Bd</t>
  </si>
  <si>
    <t>HaveringARGN3Bd</t>
  </si>
  <si>
    <t>HaveringARGN4Bd</t>
  </si>
  <si>
    <t>HaveringARGN5Bd</t>
  </si>
  <si>
    <t>HaveringARGN6Bd</t>
  </si>
  <si>
    <t>HaveringARGNBdst</t>
  </si>
  <si>
    <t>HaveringARGNNSC</t>
  </si>
  <si>
    <t>HaveringARGNTotal</t>
  </si>
  <si>
    <t>HaveringARGNSC</t>
  </si>
  <si>
    <t>HaveringARSHHOP1Bd</t>
  </si>
  <si>
    <t>HaveringARSHHOP2Bd</t>
  </si>
  <si>
    <t>HaveringARSHHOP3Bd</t>
  </si>
  <si>
    <t>HaveringARSHHOP4Bd</t>
  </si>
  <si>
    <t>HaveringARSHHOPBdst</t>
  </si>
  <si>
    <t>HaveringARSHHOPNSC</t>
  </si>
  <si>
    <t>HaveringARSHHOPSC</t>
  </si>
  <si>
    <t>HaveringARSHHOPTotal</t>
  </si>
  <si>
    <t>HaveringGN1Bd</t>
  </si>
  <si>
    <t>HaveringGN2Bd</t>
  </si>
  <si>
    <t>HaveringGN3Bd</t>
  </si>
  <si>
    <t>HaveringGN4Bd</t>
  </si>
  <si>
    <t>HaveringGN5Bd</t>
  </si>
  <si>
    <t>HaveringGN6Bd</t>
  </si>
  <si>
    <t>HaveringGNBdst</t>
  </si>
  <si>
    <t>HaveringGNNSC</t>
  </si>
  <si>
    <t>HaveringGNTotal</t>
  </si>
  <si>
    <t>HaveringGNSC</t>
  </si>
  <si>
    <t>HaveringGNAGGSC</t>
  </si>
  <si>
    <t>HaveringGNAGGNSC</t>
  </si>
  <si>
    <t>HaveringLCHO</t>
  </si>
  <si>
    <t>HaveringSHHOP1Bd</t>
  </si>
  <si>
    <t>HaveringSHHOP2Bd</t>
  </si>
  <si>
    <t>HaveringSHHOP3Bd</t>
  </si>
  <si>
    <t>HaveringSHHOP4Bd</t>
  </si>
  <si>
    <t>HaveringSHHOPBdst</t>
  </si>
  <si>
    <t>HaveringSHHOPNSC</t>
  </si>
  <si>
    <t>HaveringSHHOPTotal</t>
  </si>
  <si>
    <t>HaveringSHHOPSC</t>
  </si>
  <si>
    <t>HaveringSHHOPAGGNA</t>
  </si>
  <si>
    <t>E09000017</t>
  </si>
  <si>
    <t>Hillingdon</t>
  </si>
  <si>
    <t>HillingdonARGN1Bd</t>
  </si>
  <si>
    <t>HillingdonARGN2Bd</t>
  </si>
  <si>
    <t>HillingdonARGN3Bd</t>
  </si>
  <si>
    <t>HillingdonARGN4Bd</t>
  </si>
  <si>
    <t>HillingdonARGN5Bd</t>
  </si>
  <si>
    <t>HillingdonARGN6Bd</t>
  </si>
  <si>
    <t>HillingdonARGNBdst</t>
  </si>
  <si>
    <t>HillingdonARGNNSC</t>
  </si>
  <si>
    <t>HillingdonARGNTotal</t>
  </si>
  <si>
    <t>HillingdonARGNSC</t>
  </si>
  <si>
    <t>HillingdonARSHHOP1Bd</t>
  </si>
  <si>
    <t>HillingdonARSHHOP2Bd</t>
  </si>
  <si>
    <t>HillingdonARSHHOP3Bd</t>
  </si>
  <si>
    <t>HillingdonARSHHOP4Bd</t>
  </si>
  <si>
    <t>HillingdonARSHHOPBdst</t>
  </si>
  <si>
    <t>HillingdonARSHHOPNSC</t>
  </si>
  <si>
    <t>HillingdonARSHHOPSC</t>
  </si>
  <si>
    <t>HillingdonARSHHOPTotal</t>
  </si>
  <si>
    <t>HillingdonGN1Bd</t>
  </si>
  <si>
    <t>HillingdonGN2Bd</t>
  </si>
  <si>
    <t>HillingdonGN3Bd</t>
  </si>
  <si>
    <t>HillingdonGN4Bd</t>
  </si>
  <si>
    <t>HillingdonGN5Bd</t>
  </si>
  <si>
    <t>HillingdonGN6Bd</t>
  </si>
  <si>
    <t>HillingdonGNBdst</t>
  </si>
  <si>
    <t>HillingdonGNNSC</t>
  </si>
  <si>
    <t>HillingdonGNTotal</t>
  </si>
  <si>
    <t>HillingdonGNSC</t>
  </si>
  <si>
    <t>HillingdonGNAGGSC</t>
  </si>
  <si>
    <t>HillingdonGNAGGNSC</t>
  </si>
  <si>
    <t>HillingdonLCHO</t>
  </si>
  <si>
    <t>HillingdonSHHOP1Bd</t>
  </si>
  <si>
    <t>HillingdonSHHOP2Bd</t>
  </si>
  <si>
    <t>HillingdonSHHOP3Bd</t>
  </si>
  <si>
    <t>HillingdonSHHOP4Bd</t>
  </si>
  <si>
    <t>HillingdonSHHOPBdst</t>
  </si>
  <si>
    <t>HillingdonSHHOPNSC</t>
  </si>
  <si>
    <t>HillingdonSHHOPTotal</t>
  </si>
  <si>
    <t>HillingdonSHHOPSC</t>
  </si>
  <si>
    <t>HillingdonSHHOPAGGNA</t>
  </si>
  <si>
    <t>E09000018</t>
  </si>
  <si>
    <t>Hounslow</t>
  </si>
  <si>
    <t>HounslowARGN1Bd</t>
  </si>
  <si>
    <t>HounslowARGN2Bd</t>
  </si>
  <si>
    <t>HounslowARGN3Bd</t>
  </si>
  <si>
    <t>HounslowARGN4Bd</t>
  </si>
  <si>
    <t>HounslowARGN5Bd</t>
  </si>
  <si>
    <t>HounslowARGN6Bd</t>
  </si>
  <si>
    <t>HounslowARGNBdst</t>
  </si>
  <si>
    <t>HounslowARGNNSC</t>
  </si>
  <si>
    <t>HounslowARGNTotal</t>
  </si>
  <si>
    <t>HounslowARGNSC</t>
  </si>
  <si>
    <t>HounslowARSHHOP1Bd</t>
  </si>
  <si>
    <t>HounslowARSHHOP2Bd</t>
  </si>
  <si>
    <t>HounslowARSHHOP3Bd</t>
  </si>
  <si>
    <t>HounslowARSHHOP4Bd</t>
  </si>
  <si>
    <t>HounslowARSHHOPBdst</t>
  </si>
  <si>
    <t>HounslowARSHHOPNSC</t>
  </si>
  <si>
    <t>HounslowARSHHOPSC</t>
  </si>
  <si>
    <t>HounslowARSHHOPTotal</t>
  </si>
  <si>
    <t>HounslowGN1Bd</t>
  </si>
  <si>
    <t>HounslowGN2Bd</t>
  </si>
  <si>
    <t>HounslowGN3Bd</t>
  </si>
  <si>
    <t>HounslowGN4Bd</t>
  </si>
  <si>
    <t>HounslowGN5Bd</t>
  </si>
  <si>
    <t>HounslowGN6Bd</t>
  </si>
  <si>
    <t>HounslowGNBdst</t>
  </si>
  <si>
    <t>HounslowGNNSC</t>
  </si>
  <si>
    <t>HounslowGNTotal</t>
  </si>
  <si>
    <t>HounslowGNSC</t>
  </si>
  <si>
    <t>HounslowGNAGGSC</t>
  </si>
  <si>
    <t>HounslowGNAGGNSC</t>
  </si>
  <si>
    <t>HounslowLCHO</t>
  </si>
  <si>
    <t>HounslowSHHOP1Bd</t>
  </si>
  <si>
    <t>HounslowSHHOP2Bd</t>
  </si>
  <si>
    <t>HounslowSHHOP3Bd</t>
  </si>
  <si>
    <t>HounslowSHHOP4Bd</t>
  </si>
  <si>
    <t>HounslowSHHOPBdst</t>
  </si>
  <si>
    <t>HounslowSHHOPNSC</t>
  </si>
  <si>
    <t>HounslowSHHOPTotal</t>
  </si>
  <si>
    <t>HounslowSHHOPSC</t>
  </si>
  <si>
    <t>HounslowSHHOPAGGNA</t>
  </si>
  <si>
    <t>E09000019</t>
  </si>
  <si>
    <t>Islington</t>
  </si>
  <si>
    <t>IslingtonARGN1Bd</t>
  </si>
  <si>
    <t>IslingtonARGN2Bd</t>
  </si>
  <si>
    <t>IslingtonARGN3Bd</t>
  </si>
  <si>
    <t>IslingtonARGN4Bd</t>
  </si>
  <si>
    <t>IslingtonARGN5Bd</t>
  </si>
  <si>
    <t>IslingtonARGN6Bd</t>
  </si>
  <si>
    <t>IslingtonARGNBdst</t>
  </si>
  <si>
    <t>IslingtonARGNNSC</t>
  </si>
  <si>
    <t>IslingtonARGNTotal</t>
  </si>
  <si>
    <t>IslingtonARGNSC</t>
  </si>
  <si>
    <t>IslingtonARSHHOP1Bd</t>
  </si>
  <si>
    <t>IslingtonARSHHOP2Bd</t>
  </si>
  <si>
    <t>IslingtonARSHHOP3Bd</t>
  </si>
  <si>
    <t>IslingtonARSHHOP4Bd</t>
  </si>
  <si>
    <t>IslingtonARSHHOPBdst</t>
  </si>
  <si>
    <t>IslingtonARSHHOPNSC</t>
  </si>
  <si>
    <t>IslingtonARSHHOPSC</t>
  </si>
  <si>
    <t>IslingtonARSHHOPTotal</t>
  </si>
  <si>
    <t>IslingtonGN1Bd</t>
  </si>
  <si>
    <t>IslingtonGN2Bd</t>
  </si>
  <si>
    <t>IslingtonGN3Bd</t>
  </si>
  <si>
    <t>IslingtonGN4Bd</t>
  </si>
  <si>
    <t>IslingtonGN5Bd</t>
  </si>
  <si>
    <t>IslingtonGN6Bd</t>
  </si>
  <si>
    <t>IslingtonGNBdst</t>
  </si>
  <si>
    <t>IslingtonGNNSC</t>
  </si>
  <si>
    <t>IslingtonGNTotal</t>
  </si>
  <si>
    <t>IslingtonGNSC</t>
  </si>
  <si>
    <t>IslingtonGNAGGSC</t>
  </si>
  <si>
    <t>IslingtonGNAGGNSC</t>
  </si>
  <si>
    <t>IslingtonLCHO</t>
  </si>
  <si>
    <t>IslingtonSHHOP1Bd</t>
  </si>
  <si>
    <t>IslingtonSHHOP2Bd</t>
  </si>
  <si>
    <t>IslingtonSHHOP3Bd</t>
  </si>
  <si>
    <t>IslingtonSHHOP4Bd</t>
  </si>
  <si>
    <t>IslingtonSHHOPBdst</t>
  </si>
  <si>
    <t>IslingtonSHHOPNSC</t>
  </si>
  <si>
    <t>IslingtonSHHOPTotal</t>
  </si>
  <si>
    <t>IslingtonSHHOPSC</t>
  </si>
  <si>
    <t>IslingtonSHHOPAGGNA</t>
  </si>
  <si>
    <t>E09000020</t>
  </si>
  <si>
    <t>Kensington and Chelsea</t>
  </si>
  <si>
    <t>Kensington and ChelseaARGN1Bd</t>
  </si>
  <si>
    <t>Kensington and ChelseaARGN2Bd</t>
  </si>
  <si>
    <t>Kensington and ChelseaARGN3Bd</t>
  </si>
  <si>
    <t>Kensington and ChelseaARGN4Bd</t>
  </si>
  <si>
    <t>Kensington and ChelseaARGN5Bd</t>
  </si>
  <si>
    <t>Kensington and ChelseaARGN6Bd</t>
  </si>
  <si>
    <t>Kensington and ChelseaARGNBdst</t>
  </si>
  <si>
    <t>Kensington and ChelseaARGNNSC</t>
  </si>
  <si>
    <t>Kensington and ChelseaARGNTotal</t>
  </si>
  <si>
    <t>Kensington and ChelseaARGNSC</t>
  </si>
  <si>
    <t>Kensington and ChelseaARSHHOP1Bd</t>
  </si>
  <si>
    <t>Kensington and ChelseaARSHHOP2Bd</t>
  </si>
  <si>
    <t>Kensington and ChelseaARSHHOP3Bd</t>
  </si>
  <si>
    <t>Kensington and ChelseaARSHHOP4Bd</t>
  </si>
  <si>
    <t>Kensington and ChelseaARSHHOPBdst</t>
  </si>
  <si>
    <t>Kensington and ChelseaARSHHOPNSC</t>
  </si>
  <si>
    <t>Kensington and ChelseaARSHHOPSC</t>
  </si>
  <si>
    <t>Kensington and ChelseaARSHHOPTotal</t>
  </si>
  <si>
    <t>Kensington and ChelseaGN1Bd</t>
  </si>
  <si>
    <t>Kensington and ChelseaGN2Bd</t>
  </si>
  <si>
    <t>Kensington and ChelseaGN3Bd</t>
  </si>
  <si>
    <t>Kensington and ChelseaGN4Bd</t>
  </si>
  <si>
    <t>Kensington and ChelseaGN5Bd</t>
  </si>
  <si>
    <t>Kensington and ChelseaGN6Bd</t>
  </si>
  <si>
    <t>Kensington and ChelseaGNBdst</t>
  </si>
  <si>
    <t>Kensington and ChelseaGNNSC</t>
  </si>
  <si>
    <t>Kensington and ChelseaGNTotal</t>
  </si>
  <si>
    <t>Kensington and ChelseaGNSC</t>
  </si>
  <si>
    <t>Kensington and ChelseaGNAGGSC</t>
  </si>
  <si>
    <t>Kensington and ChelseaGNAGGNSC</t>
  </si>
  <si>
    <t>Kensington and ChelseaLCHO</t>
  </si>
  <si>
    <t>Kensington and ChelseaSHHOP1Bd</t>
  </si>
  <si>
    <t>Kensington and ChelseaSHHOP2Bd</t>
  </si>
  <si>
    <t>Kensington and ChelseaSHHOP3Bd</t>
  </si>
  <si>
    <t>Kensington and ChelseaSHHOP4Bd</t>
  </si>
  <si>
    <t>Kensington and ChelseaSHHOPBdst</t>
  </si>
  <si>
    <t>Kensington and ChelseaSHHOPNSC</t>
  </si>
  <si>
    <t>Kensington and ChelseaSHHOPTotal</t>
  </si>
  <si>
    <t>Kensington and ChelseaSHHOPSC</t>
  </si>
  <si>
    <t>Kensington and ChelseaSHHOPAGGNA</t>
  </si>
  <si>
    <t>E09000021</t>
  </si>
  <si>
    <t>Kingston upon Thames</t>
  </si>
  <si>
    <t>Kingston upon ThamesARGN1Bd</t>
  </si>
  <si>
    <t>Kingston upon ThamesARGN2Bd</t>
  </si>
  <si>
    <t>Kingston upon ThamesARGN3Bd</t>
  </si>
  <si>
    <t>Kingston upon ThamesARGN4Bd</t>
  </si>
  <si>
    <t>Kingston upon ThamesARGN5Bd</t>
  </si>
  <si>
    <t>Kingston upon ThamesARGN6Bd</t>
  </si>
  <si>
    <t>Kingston upon ThamesARGNBdst</t>
  </si>
  <si>
    <t>Kingston upon ThamesARGNNSC</t>
  </si>
  <si>
    <t>Kingston upon ThamesARGNTotal</t>
  </si>
  <si>
    <t>Kingston upon ThamesARGNSC</t>
  </si>
  <si>
    <t>Kingston Upon Thames</t>
  </si>
  <si>
    <t>Kingston Upon ThamesARSHHOP1Bd</t>
  </si>
  <si>
    <t>Kingston Upon ThamesARSHHOP2Bd</t>
  </si>
  <si>
    <t>Kingston Upon ThamesARSHHOP3Bd</t>
  </si>
  <si>
    <t>Kingston Upon ThamesARSHHOP4Bd</t>
  </si>
  <si>
    <t>Kingston Upon ThamesARSHHOPBdst</t>
  </si>
  <si>
    <t>Kingston Upon ThamesARSHHOPNSC</t>
  </si>
  <si>
    <t>Kingston Upon ThamesARSHHOPSC</t>
  </si>
  <si>
    <t>Kingston Upon ThamesARSHHOPTotal</t>
  </si>
  <si>
    <t>Kingston upon ThamesGN1Bd</t>
  </si>
  <si>
    <t>Kingston upon ThamesGN2Bd</t>
  </si>
  <si>
    <t>Kingston upon ThamesGN3Bd</t>
  </si>
  <si>
    <t>Kingston upon ThamesGN4Bd</t>
  </si>
  <si>
    <t>Kingston upon ThamesGN5Bd</t>
  </si>
  <si>
    <t>Kingston upon ThamesGN6Bd</t>
  </si>
  <si>
    <t>Kingston upon ThamesGNBdst</t>
  </si>
  <si>
    <t>Kingston upon ThamesGNNSC</t>
  </si>
  <si>
    <t>Kingston upon ThamesGNTotal</t>
  </si>
  <si>
    <t>Kingston upon ThamesGNSC</t>
  </si>
  <si>
    <t>Kingston upon ThamesGNAGGSC</t>
  </si>
  <si>
    <t>Kingston upon ThamesGNAGGNSC</t>
  </si>
  <si>
    <t>Kingston upon ThamesLCHO</t>
  </si>
  <si>
    <t>Kingston upon ThamesSHHOP1Bd</t>
  </si>
  <si>
    <t>Kingston upon ThamesSHHOP2Bd</t>
  </si>
  <si>
    <t>Kingston upon ThamesSHHOP3Bd</t>
  </si>
  <si>
    <t>Kingston upon ThamesSHHOP4Bd</t>
  </si>
  <si>
    <t>Kingston upon ThamesSHHOPBdst</t>
  </si>
  <si>
    <t>Kingston upon ThamesSHHOPNSC</t>
  </si>
  <si>
    <t>Kingston upon ThamesSHHOPTotal</t>
  </si>
  <si>
    <t>Kingston upon ThamesSHHOPSC</t>
  </si>
  <si>
    <t>Kingston Upon ThamesSHHOPAGGNA</t>
  </si>
  <si>
    <t>Kingston upon ThamesSHHOPAGGNA</t>
  </si>
  <si>
    <t>E09000022</t>
  </si>
  <si>
    <t>Lambeth</t>
  </si>
  <si>
    <t>LambethARGN1Bd</t>
  </si>
  <si>
    <t>LambethARGN2Bd</t>
  </si>
  <si>
    <t>LambethARGN3Bd</t>
  </si>
  <si>
    <t>LambethARGN4Bd</t>
  </si>
  <si>
    <t>LambethARGN5Bd</t>
  </si>
  <si>
    <t>LambethARGN6Bd</t>
  </si>
  <si>
    <t>LambethARGNBdst</t>
  </si>
  <si>
    <t>LambethARGNNSC</t>
  </si>
  <si>
    <t>LambethARGNTotal</t>
  </si>
  <si>
    <t>LambethARGNSC</t>
  </si>
  <si>
    <t>LambethARSHHOP1Bd</t>
  </si>
  <si>
    <t>LambethARSHHOP2Bd</t>
  </si>
  <si>
    <t>LambethARSHHOP3Bd</t>
  </si>
  <si>
    <t>LambethARSHHOP4Bd</t>
  </si>
  <si>
    <t>LambethARSHHOPBdst</t>
  </si>
  <si>
    <t>LambethARSHHOPNSC</t>
  </si>
  <si>
    <t>LambethARSHHOPSC</t>
  </si>
  <si>
    <t>LambethARSHHOPTotal</t>
  </si>
  <si>
    <t>LambethGN1Bd</t>
  </si>
  <si>
    <t>LambethGN2Bd</t>
  </si>
  <si>
    <t>LambethGN3Bd</t>
  </si>
  <si>
    <t>LambethGN4Bd</t>
  </si>
  <si>
    <t>LambethGN5Bd</t>
  </si>
  <si>
    <t>LambethGN6Bd</t>
  </si>
  <si>
    <t>LambethGNBdst</t>
  </si>
  <si>
    <t>LambethGNNSC</t>
  </si>
  <si>
    <t>LambethGNTotal</t>
  </si>
  <si>
    <t>LambethGNSC</t>
  </si>
  <si>
    <t>LambethGNAGGSC</t>
  </si>
  <si>
    <t>LambethGNAGGNSC</t>
  </si>
  <si>
    <t>LambethLCHO</t>
  </si>
  <si>
    <t>LambethSHHOP1Bd</t>
  </si>
  <si>
    <t>LambethSHHOP2Bd</t>
  </si>
  <si>
    <t>LambethSHHOP3Bd</t>
  </si>
  <si>
    <t>LambethSHHOP4Bd</t>
  </si>
  <si>
    <t>LambethSHHOPBdst</t>
  </si>
  <si>
    <t>LambethSHHOPNSC</t>
  </si>
  <si>
    <t>LambethSHHOPTotal</t>
  </si>
  <si>
    <t>LambethSHHOPSC</t>
  </si>
  <si>
    <t>LambethSHHOPAGGNA</t>
  </si>
  <si>
    <t>E09000023</t>
  </si>
  <si>
    <t>Lewisham</t>
  </si>
  <si>
    <t>LewishamARGN1Bd</t>
  </si>
  <si>
    <t>LewishamARGN2Bd</t>
  </si>
  <si>
    <t>LewishamARGN3Bd</t>
  </si>
  <si>
    <t>LewishamARGN4Bd</t>
  </si>
  <si>
    <t>LewishamARGN5Bd</t>
  </si>
  <si>
    <t>LewishamARGN6Bd</t>
  </si>
  <si>
    <t>LewishamARGNBdst</t>
  </si>
  <si>
    <t>LewishamARGNNSC</t>
  </si>
  <si>
    <t>LewishamARGNTotal</t>
  </si>
  <si>
    <t>LewishamARGNSC</t>
  </si>
  <si>
    <t>LewishamARSHHOP1Bd</t>
  </si>
  <si>
    <t>LewishamARSHHOP2Bd</t>
  </si>
  <si>
    <t>LewishamARSHHOP3Bd</t>
  </si>
  <si>
    <t>LewishamARSHHOP4Bd</t>
  </si>
  <si>
    <t>LewishamARSHHOPBdst</t>
  </si>
  <si>
    <t>LewishamARSHHOPNSC</t>
  </si>
  <si>
    <t>LewishamARSHHOPSC</t>
  </si>
  <si>
    <t>LewishamARSHHOPTotal</t>
  </si>
  <si>
    <t>LewishamGN1Bd</t>
  </si>
  <si>
    <t>LewishamGN2Bd</t>
  </si>
  <si>
    <t>LewishamGN3Bd</t>
  </si>
  <si>
    <t>LewishamGN4Bd</t>
  </si>
  <si>
    <t>LewishamGN5Bd</t>
  </si>
  <si>
    <t>LewishamGN6Bd</t>
  </si>
  <si>
    <t>LewishamGNBdst</t>
  </si>
  <si>
    <t>LewishamGNNSC</t>
  </si>
  <si>
    <t>LewishamGNTotal</t>
  </si>
  <si>
    <t>LewishamGNSC</t>
  </si>
  <si>
    <t>LewishamGNAGGSC</t>
  </si>
  <si>
    <t>LewishamGNAGGNSC</t>
  </si>
  <si>
    <t>LewishamLCHO</t>
  </si>
  <si>
    <t>LewishamSHHOP1Bd</t>
  </si>
  <si>
    <t>LewishamSHHOP2Bd</t>
  </si>
  <si>
    <t>LewishamSHHOP3Bd</t>
  </si>
  <si>
    <t>LewishamSHHOP4Bd</t>
  </si>
  <si>
    <t>LewishamSHHOPBdst</t>
  </si>
  <si>
    <t>LewishamSHHOPNSC</t>
  </si>
  <si>
    <t>LewishamSHHOPTotal</t>
  </si>
  <si>
    <t>LewishamSHHOPSC</t>
  </si>
  <si>
    <t>LewishamSHHOPAGGNA</t>
  </si>
  <si>
    <t>E09000024</t>
  </si>
  <si>
    <t>Merton</t>
  </si>
  <si>
    <t>MertonARGN1Bd</t>
  </si>
  <si>
    <t>MertonARGN2Bd</t>
  </si>
  <si>
    <t>MertonARGN3Bd</t>
  </si>
  <si>
    <t>MertonARGN4Bd</t>
  </si>
  <si>
    <t>MertonARGN5Bd</t>
  </si>
  <si>
    <t>MertonARGN6Bd</t>
  </si>
  <si>
    <t>MertonARGNBdst</t>
  </si>
  <si>
    <t>MertonARGNNSC</t>
  </si>
  <si>
    <t>MertonARGNTotal</t>
  </si>
  <si>
    <t>MertonARGNSC</t>
  </si>
  <si>
    <t>MertonARSHHOP1Bd</t>
  </si>
  <si>
    <t>MertonARSHHOP2Bd</t>
  </si>
  <si>
    <t>MertonARSHHOP3Bd</t>
  </si>
  <si>
    <t>MertonARSHHOP4Bd</t>
  </si>
  <si>
    <t>MertonARSHHOPBdst</t>
  </si>
  <si>
    <t>MertonARSHHOPNSC</t>
  </si>
  <si>
    <t>MertonARSHHOPSC</t>
  </si>
  <si>
    <t>MertonARSHHOPTotal</t>
  </si>
  <si>
    <t>MertonGN1Bd</t>
  </si>
  <si>
    <t>MertonGN2Bd</t>
  </si>
  <si>
    <t>MertonGN3Bd</t>
  </si>
  <si>
    <t>MertonGN4Bd</t>
  </si>
  <si>
    <t>MertonGN5Bd</t>
  </si>
  <si>
    <t>MertonGN6Bd</t>
  </si>
  <si>
    <t>MertonGNBdst</t>
  </si>
  <si>
    <t>MertonGNNSC</t>
  </si>
  <si>
    <t>MertonGNTotal</t>
  </si>
  <si>
    <t>MertonGNSC</t>
  </si>
  <si>
    <t>MertonGNAGGSC</t>
  </si>
  <si>
    <t>MertonGNAGGNSC</t>
  </si>
  <si>
    <t>MertonLCHO</t>
  </si>
  <si>
    <t>MertonSHHOP1Bd</t>
  </si>
  <si>
    <t>MertonSHHOP2Bd</t>
  </si>
  <si>
    <t>MertonSHHOP3Bd</t>
  </si>
  <si>
    <t>MertonSHHOP4Bd</t>
  </si>
  <si>
    <t>MertonSHHOPBdst</t>
  </si>
  <si>
    <t>MertonSHHOPNSC</t>
  </si>
  <si>
    <t>MertonSHHOPTotal</t>
  </si>
  <si>
    <t>MertonSHHOPSC</t>
  </si>
  <si>
    <t>MertonSHHOPAGGNA</t>
  </si>
  <si>
    <t>E09000025</t>
  </si>
  <si>
    <t>Newham</t>
  </si>
  <si>
    <t>NewhamARGN1Bd</t>
  </si>
  <si>
    <t>NewhamARGN2Bd</t>
  </si>
  <si>
    <t>NewhamARGN3Bd</t>
  </si>
  <si>
    <t>NewhamARGN4Bd</t>
  </si>
  <si>
    <t>NewhamARGN5Bd</t>
  </si>
  <si>
    <t>NewhamARGN6Bd</t>
  </si>
  <si>
    <t>NewhamARGNBdst</t>
  </si>
  <si>
    <t>NewhamARGNNSC</t>
  </si>
  <si>
    <t>NewhamARGNTotal</t>
  </si>
  <si>
    <t>NewhamARGNSC</t>
  </si>
  <si>
    <t>NewhamARSHHOP1Bd</t>
  </si>
  <si>
    <t>NewhamARSHHOP2Bd</t>
  </si>
  <si>
    <t>NewhamARSHHOP3Bd</t>
  </si>
  <si>
    <t>NewhamARSHHOP4Bd</t>
  </si>
  <si>
    <t>NewhamARSHHOPBdst</t>
  </si>
  <si>
    <t>NewhamARSHHOPNSC</t>
  </si>
  <si>
    <t>NewhamARSHHOPSC</t>
  </si>
  <si>
    <t>NewhamARSHHOPTotal</t>
  </si>
  <si>
    <t>NewhamGN1Bd</t>
  </si>
  <si>
    <t>NewhamGN2Bd</t>
  </si>
  <si>
    <t>NewhamGN3Bd</t>
  </si>
  <si>
    <t>NewhamGN4Bd</t>
  </si>
  <si>
    <t>NewhamGN5Bd</t>
  </si>
  <si>
    <t>NewhamGN6Bd</t>
  </si>
  <si>
    <t>NewhamGNBdst</t>
  </si>
  <si>
    <t>NewhamGNNSC</t>
  </si>
  <si>
    <t>NewhamGNTotal</t>
  </si>
  <si>
    <t>NewhamGNSC</t>
  </si>
  <si>
    <t>NewhamGNAGGSC</t>
  </si>
  <si>
    <t>NewhamGNAGGNSC</t>
  </si>
  <si>
    <t>NewhamLCHO</t>
  </si>
  <si>
    <t>NewhamSHHOP1Bd</t>
  </si>
  <si>
    <t>NewhamSHHOP2Bd</t>
  </si>
  <si>
    <t>NewhamSHHOP3Bd</t>
  </si>
  <si>
    <t>NewhamSHHOP4Bd</t>
  </si>
  <si>
    <t>NewhamSHHOPBdst</t>
  </si>
  <si>
    <t>NewhamSHHOPNSC</t>
  </si>
  <si>
    <t>NewhamSHHOPTotal</t>
  </si>
  <si>
    <t>NewhamSHHOPSC</t>
  </si>
  <si>
    <t>NewhamSHHOPAGGNA</t>
  </si>
  <si>
    <t>E09000026</t>
  </si>
  <si>
    <t>Redbridge</t>
  </si>
  <si>
    <t>RedbridgeARGN1Bd</t>
  </si>
  <si>
    <t>RedbridgeARGN2Bd</t>
  </si>
  <si>
    <t>RedbridgeARGN3Bd</t>
  </si>
  <si>
    <t>RedbridgeARGN4Bd</t>
  </si>
  <si>
    <t>RedbridgeARGN5Bd</t>
  </si>
  <si>
    <t>RedbridgeARGN6Bd</t>
  </si>
  <si>
    <t>RedbridgeARGNBdst</t>
  </si>
  <si>
    <t>RedbridgeARGNNSC</t>
  </si>
  <si>
    <t>RedbridgeARGNTotal</t>
  </si>
  <si>
    <t>RedbridgeARGNSC</t>
  </si>
  <si>
    <t>RedbridgeARSHHOP1Bd</t>
  </si>
  <si>
    <t>RedbridgeARSHHOP2Bd</t>
  </si>
  <si>
    <t>RedbridgeARSHHOP3Bd</t>
  </si>
  <si>
    <t>RedbridgeARSHHOP4Bd</t>
  </si>
  <si>
    <t>RedbridgeARSHHOPBdst</t>
  </si>
  <si>
    <t>RedbridgeARSHHOPNSC</t>
  </si>
  <si>
    <t>RedbridgeARSHHOPSC</t>
  </si>
  <si>
    <t>RedbridgeARSHHOPTotal</t>
  </si>
  <si>
    <t>RedbridgeGN1Bd</t>
  </si>
  <si>
    <t>RedbridgeGN2Bd</t>
  </si>
  <si>
    <t>RedbridgeGN3Bd</t>
  </si>
  <si>
    <t>RedbridgeGN4Bd</t>
  </si>
  <si>
    <t>RedbridgeGN5Bd</t>
  </si>
  <si>
    <t>RedbridgeGN6Bd</t>
  </si>
  <si>
    <t>RedbridgeGNBdst</t>
  </si>
  <si>
    <t>RedbridgeGNNSC</t>
  </si>
  <si>
    <t>RedbridgeGNTotal</t>
  </si>
  <si>
    <t>RedbridgeGNSC</t>
  </si>
  <si>
    <t>RedbridgeGNAGGSC</t>
  </si>
  <si>
    <t>RedbridgeGNAGGNSC</t>
  </si>
  <si>
    <t>RedbridgeLCHO</t>
  </si>
  <si>
    <t>RedbridgeSHHOP1Bd</t>
  </si>
  <si>
    <t>RedbridgeSHHOP2Bd</t>
  </si>
  <si>
    <t>RedbridgeSHHOP3Bd</t>
  </si>
  <si>
    <t>RedbridgeSHHOP4Bd</t>
  </si>
  <si>
    <t>RedbridgeSHHOPBdst</t>
  </si>
  <si>
    <t>RedbridgeSHHOPNSC</t>
  </si>
  <si>
    <t>RedbridgeSHHOPTotal</t>
  </si>
  <si>
    <t>RedbridgeSHHOPSC</t>
  </si>
  <si>
    <t>RedbridgeSHHOPAGGNA</t>
  </si>
  <si>
    <t>E09000027</t>
  </si>
  <si>
    <t>Richmond upon Thames</t>
  </si>
  <si>
    <t>Richmond upon ThamesARGN1Bd</t>
  </si>
  <si>
    <t>Richmond upon ThamesARGN2Bd</t>
  </si>
  <si>
    <t>Richmond upon ThamesARGN3Bd</t>
  </si>
  <si>
    <t>Richmond upon ThamesARGN4Bd</t>
  </si>
  <si>
    <t>Richmond upon ThamesARGN5Bd</t>
  </si>
  <si>
    <t>Richmond upon ThamesARGN6Bd</t>
  </si>
  <si>
    <t>Richmond upon ThamesARGNBdst</t>
  </si>
  <si>
    <t>Richmond upon ThamesARGNNSC</t>
  </si>
  <si>
    <t>Richmond upon ThamesARGNTotal</t>
  </si>
  <si>
    <t>Richmond upon ThamesARGNSC</t>
  </si>
  <si>
    <t>Richmond upon ThamesARSHHOP1Bd</t>
  </si>
  <si>
    <t>Richmond upon ThamesARSHHOP2Bd</t>
  </si>
  <si>
    <t>Richmond upon ThamesARSHHOP3Bd</t>
  </si>
  <si>
    <t>Richmond upon ThamesARSHHOP4Bd</t>
  </si>
  <si>
    <t>Richmond upon ThamesARSHHOPBdst</t>
  </si>
  <si>
    <t>Richmond upon ThamesARSHHOPNSC</t>
  </si>
  <si>
    <t>Richmond upon ThamesARSHHOPSC</t>
  </si>
  <si>
    <t>Richmond upon ThamesARSHHOPTotal</t>
  </si>
  <si>
    <t>Richmond upon ThamesGN1Bd</t>
  </si>
  <si>
    <t>Richmond upon ThamesGN2Bd</t>
  </si>
  <si>
    <t>Richmond upon ThamesGN3Bd</t>
  </si>
  <si>
    <t>Richmond upon ThamesGN4Bd</t>
  </si>
  <si>
    <t>Richmond upon ThamesGN5Bd</t>
  </si>
  <si>
    <t>Richmond upon ThamesGN6Bd</t>
  </si>
  <si>
    <t>Richmond upon ThamesGNBdst</t>
  </si>
  <si>
    <t>Richmond upon ThamesGNNSC</t>
  </si>
  <si>
    <t>Richmond upon ThamesGNTotal</t>
  </si>
  <si>
    <t>Richmond upon ThamesGNSC</t>
  </si>
  <si>
    <t>Richmond upon ThamesGNAGGSC</t>
  </si>
  <si>
    <t>Richmond upon ThamesGNAGGNSC</t>
  </si>
  <si>
    <t>Richmond upon ThamesLCHO</t>
  </si>
  <si>
    <t>Richmond upon ThamesSHHOP1Bd</t>
  </si>
  <si>
    <t>Richmond upon ThamesSHHOP2Bd</t>
  </si>
  <si>
    <t>Richmond upon ThamesSHHOP3Bd</t>
  </si>
  <si>
    <t>Richmond upon ThamesSHHOP4Bd</t>
  </si>
  <si>
    <t>Richmond upon ThamesSHHOPBdst</t>
  </si>
  <si>
    <t>Richmond upon ThamesSHHOPNSC</t>
  </si>
  <si>
    <t>Richmond upon ThamesSHHOPTotal</t>
  </si>
  <si>
    <t>Richmond upon ThamesSHHOPSC</t>
  </si>
  <si>
    <t>Richmond upon ThamesSHHOPAGGNA</t>
  </si>
  <si>
    <t>E09000028</t>
  </si>
  <si>
    <t>SouthwarkARGN1Bd</t>
  </si>
  <si>
    <t>SouthwarkARGN2Bd</t>
  </si>
  <si>
    <t>SouthwarkARGN3Bd</t>
  </si>
  <si>
    <t>SouthwarkARGN4Bd</t>
  </si>
  <si>
    <t>SouthwarkARGN5Bd</t>
  </si>
  <si>
    <t>SouthwarkARGN6Bd</t>
  </si>
  <si>
    <t>SouthwarkARGNBdst</t>
  </si>
  <si>
    <t>SouthwarkARGNNSC</t>
  </si>
  <si>
    <t>SouthwarkARGNTotal</t>
  </si>
  <si>
    <t>SouthwarkARGNSC</t>
  </si>
  <si>
    <t>SouthwarkARSHHOP1Bd</t>
  </si>
  <si>
    <t>SouthwarkARSHHOP2Bd</t>
  </si>
  <si>
    <t>SouthwarkARSHHOP3Bd</t>
  </si>
  <si>
    <t>SouthwarkARSHHOP4Bd</t>
  </si>
  <si>
    <t>SouthwarkARSHHOPBdst</t>
  </si>
  <si>
    <t>SouthwarkARSHHOPNSC</t>
  </si>
  <si>
    <t>SouthwarkARSHHOPSC</t>
  </si>
  <si>
    <t>SouthwarkARSHHOPTotal</t>
  </si>
  <si>
    <t>SouthwarkGN1Bd</t>
  </si>
  <si>
    <t>SouthwarkGN2Bd</t>
  </si>
  <si>
    <t>SouthwarkGN3Bd</t>
  </si>
  <si>
    <t>SouthwarkGN4Bd</t>
  </si>
  <si>
    <t>SouthwarkGN5Bd</t>
  </si>
  <si>
    <t>SouthwarkGN6Bd</t>
  </si>
  <si>
    <t>SouthwarkGNBdst</t>
  </si>
  <si>
    <t>SouthwarkGNNSC</t>
  </si>
  <si>
    <t>SouthwarkGNTotal</t>
  </si>
  <si>
    <t>SouthwarkGNSC</t>
  </si>
  <si>
    <t>SouthwarkGNAGGSC</t>
  </si>
  <si>
    <t>SouthwarkGNAGGNSC</t>
  </si>
  <si>
    <t>SouthwarkLCHO</t>
  </si>
  <si>
    <t>SouthwarkSHHOP1Bd</t>
  </si>
  <si>
    <t>SouthwarkSHHOP2Bd</t>
  </si>
  <si>
    <t>SouthwarkSHHOP3Bd</t>
  </si>
  <si>
    <t>SouthwarkSHHOP4Bd</t>
  </si>
  <si>
    <t>SouthwarkSHHOPBdst</t>
  </si>
  <si>
    <t>SouthwarkSHHOPNSC</t>
  </si>
  <si>
    <t>SouthwarkSHHOPTotal</t>
  </si>
  <si>
    <t>SouthwarkSHHOPSC</t>
  </si>
  <si>
    <t>SouthwarkSHHOPAGGNA</t>
  </si>
  <si>
    <t>E09000029</t>
  </si>
  <si>
    <t>SuttonARGN1Bd</t>
  </si>
  <si>
    <t>SuttonARGN2Bd</t>
  </si>
  <si>
    <t>SuttonARGN3Bd</t>
  </si>
  <si>
    <t>SuttonARGN4Bd</t>
  </si>
  <si>
    <t>SuttonARGN5Bd</t>
  </si>
  <si>
    <t>SuttonARGN6Bd</t>
  </si>
  <si>
    <t>SuttonARGNBdst</t>
  </si>
  <si>
    <t>SuttonARGNNSC</t>
  </si>
  <si>
    <t>SuttonARGNTotal</t>
  </si>
  <si>
    <t>SuttonARGNSC</t>
  </si>
  <si>
    <t>SuttonARSHHOP1Bd</t>
  </si>
  <si>
    <t>SuttonARSHHOP2Bd</t>
  </si>
  <si>
    <t>SuttonARSHHOP3Bd</t>
  </si>
  <si>
    <t>SuttonARSHHOP4Bd</t>
  </si>
  <si>
    <t>SuttonARSHHOPBdst</t>
  </si>
  <si>
    <t>SuttonARSHHOPNSC</t>
  </si>
  <si>
    <t>SuttonARSHHOPSC</t>
  </si>
  <si>
    <t>SuttonARSHHOPTotal</t>
  </si>
  <si>
    <t>SuttonGN1Bd</t>
  </si>
  <si>
    <t>SuttonGN2Bd</t>
  </si>
  <si>
    <t>SuttonGN3Bd</t>
  </si>
  <si>
    <t>SuttonGN4Bd</t>
  </si>
  <si>
    <t>SuttonGN5Bd</t>
  </si>
  <si>
    <t>SuttonGN6Bd</t>
  </si>
  <si>
    <t>SuttonGNBdst</t>
  </si>
  <si>
    <t>SuttonGNNSC</t>
  </si>
  <si>
    <t>SuttonGNTotal</t>
  </si>
  <si>
    <t>SuttonGNSC</t>
  </si>
  <si>
    <t>SuttonGNAGGSC</t>
  </si>
  <si>
    <t>SuttonGNAGGNSC</t>
  </si>
  <si>
    <t>SuttonLCHO</t>
  </si>
  <si>
    <t>SuttonSHHOP1Bd</t>
  </si>
  <si>
    <t>SuttonSHHOP2Bd</t>
  </si>
  <si>
    <t>SuttonSHHOP3Bd</t>
  </si>
  <si>
    <t>SuttonSHHOP4Bd</t>
  </si>
  <si>
    <t>SuttonSHHOPBdst</t>
  </si>
  <si>
    <t>SuttonSHHOPNSC</t>
  </si>
  <si>
    <t>SuttonSHHOPTotal</t>
  </si>
  <si>
    <t>SuttonSHHOPSC</t>
  </si>
  <si>
    <t>SuttonSHHOPAGGNA</t>
  </si>
  <si>
    <t>E09000030</t>
  </si>
  <si>
    <t>Tower HamletsARGN1Bd</t>
  </si>
  <si>
    <t>Tower HamletsARGN2Bd</t>
  </si>
  <si>
    <t>Tower HamletsARGN3Bd</t>
  </si>
  <si>
    <t>Tower HamletsARGN4Bd</t>
  </si>
  <si>
    <t>Tower HamletsARGN5Bd</t>
  </si>
  <si>
    <t>Tower HamletsARGN6Bd</t>
  </si>
  <si>
    <t>Tower HamletsARGNBdst</t>
  </si>
  <si>
    <t>Tower HamletsARGNNSC</t>
  </si>
  <si>
    <t>Tower HamletsARGNTotal</t>
  </si>
  <si>
    <t>Tower HamletsARGNSC</t>
  </si>
  <si>
    <t>Tower HamletsARSHHOP1Bd</t>
  </si>
  <si>
    <t>Tower HamletsARSHHOP2Bd</t>
  </si>
  <si>
    <t>Tower HamletsARSHHOP3Bd</t>
  </si>
  <si>
    <t>Tower HamletsARSHHOP4Bd</t>
  </si>
  <si>
    <t>Tower HamletsARSHHOPBdst</t>
  </si>
  <si>
    <t>Tower HamletsARSHHOPNSC</t>
  </si>
  <si>
    <t>Tower HamletsARSHHOPSC</t>
  </si>
  <si>
    <t>Tower HamletsARSHHOPTotal</t>
  </si>
  <si>
    <t>Tower HamletsGN1Bd</t>
  </si>
  <si>
    <t>Tower HamletsGN2Bd</t>
  </si>
  <si>
    <t>Tower HamletsGN3Bd</t>
  </si>
  <si>
    <t>Tower HamletsGN4Bd</t>
  </si>
  <si>
    <t>Tower HamletsGN5Bd</t>
  </si>
  <si>
    <t>Tower HamletsGN6Bd</t>
  </si>
  <si>
    <t>Tower HamletsGNBdst</t>
  </si>
  <si>
    <t>Tower HamletsGNNSC</t>
  </si>
  <si>
    <t>Tower HamletsGNTotal</t>
  </si>
  <si>
    <t>Tower HamletsGNSC</t>
  </si>
  <si>
    <t>Tower HamletsGNAGGSC</t>
  </si>
  <si>
    <t>Tower HamletsGNAGGNSC</t>
  </si>
  <si>
    <t>Tower HamletsLCHO</t>
  </si>
  <si>
    <t>Tower HamletsSHHOP1Bd</t>
  </si>
  <si>
    <t>Tower HamletsSHHOP2Bd</t>
  </si>
  <si>
    <t>Tower HamletsSHHOP3Bd</t>
  </si>
  <si>
    <t>Tower HamletsSHHOP4Bd</t>
  </si>
  <si>
    <t>Tower HamletsSHHOPBdst</t>
  </si>
  <si>
    <t>Tower HamletsSHHOPNSC</t>
  </si>
  <si>
    <t>Tower HamletsSHHOPTotal</t>
  </si>
  <si>
    <t>Tower HamletsSHHOPSC</t>
  </si>
  <si>
    <t>Tower HamletsSHHOPAGGNA</t>
  </si>
  <si>
    <t>E09000031</t>
  </si>
  <si>
    <t>Waltham ForestARGN1Bd</t>
  </si>
  <si>
    <t>Waltham ForestARGN2Bd</t>
  </si>
  <si>
    <t>Waltham ForestARGN3Bd</t>
  </si>
  <si>
    <t>Waltham ForestARGN4Bd</t>
  </si>
  <si>
    <t>Waltham ForestARGN5Bd</t>
  </si>
  <si>
    <t>Waltham ForestARGN6Bd</t>
  </si>
  <si>
    <t>Waltham ForestARGNBdst</t>
  </si>
  <si>
    <t>Waltham ForestARGNNSC</t>
  </si>
  <si>
    <t>Waltham ForestARGNTotal</t>
  </si>
  <si>
    <t>Waltham ForestARGNSC</t>
  </si>
  <si>
    <t>Waltham ForestARSHHOP1Bd</t>
  </si>
  <si>
    <t>Waltham ForestARSHHOP2Bd</t>
  </si>
  <si>
    <t>Waltham ForestARSHHOP3Bd</t>
  </si>
  <si>
    <t>Waltham ForestARSHHOP4Bd</t>
  </si>
  <si>
    <t>Waltham ForestARSHHOPBdst</t>
  </si>
  <si>
    <t>Waltham ForestARSHHOPNSC</t>
  </si>
  <si>
    <t>Waltham ForestARSHHOPSC</t>
  </si>
  <si>
    <t>Waltham ForestARSHHOPTotal</t>
  </si>
  <si>
    <t>Waltham ForestGN1Bd</t>
  </si>
  <si>
    <t>Waltham ForestGN2Bd</t>
  </si>
  <si>
    <t>Waltham ForestGN3Bd</t>
  </si>
  <si>
    <t>Waltham ForestGN4Bd</t>
  </si>
  <si>
    <t>Waltham ForestGN5Bd</t>
  </si>
  <si>
    <t>Waltham ForestGN6Bd</t>
  </si>
  <si>
    <t>Waltham ForestGNBdst</t>
  </si>
  <si>
    <t>Waltham ForestGNNSC</t>
  </si>
  <si>
    <t>Waltham ForestGNTotal</t>
  </si>
  <si>
    <t>Waltham ForestGNSC</t>
  </si>
  <si>
    <t>Waltham ForestGNAGGSC</t>
  </si>
  <si>
    <t>Waltham ForestGNAGGNSC</t>
  </si>
  <si>
    <t>Waltham ForestLCHO</t>
  </si>
  <si>
    <t>Waltham ForestSHHOP1Bd</t>
  </si>
  <si>
    <t>Waltham ForestSHHOP2Bd</t>
  </si>
  <si>
    <t>Waltham ForestSHHOP3Bd</t>
  </si>
  <si>
    <t>Waltham ForestSHHOP4Bd</t>
  </si>
  <si>
    <t>Waltham ForestSHHOPBdst</t>
  </si>
  <si>
    <t>Waltham ForestSHHOPNSC</t>
  </si>
  <si>
    <t>Waltham ForestSHHOPTotal</t>
  </si>
  <si>
    <t>Waltham ForestSHHOPSC</t>
  </si>
  <si>
    <t>Waltham ForestSHHOPAGGNA</t>
  </si>
  <si>
    <t>E09000032</t>
  </si>
  <si>
    <t>WandsworthARGN1Bd</t>
  </si>
  <si>
    <t>WandsworthARGN2Bd</t>
  </si>
  <si>
    <t>WandsworthARGN3Bd</t>
  </si>
  <si>
    <t>WandsworthARGN4Bd</t>
  </si>
  <si>
    <t>WandsworthARGN5Bd</t>
  </si>
  <si>
    <t>WandsworthARGN6Bd</t>
  </si>
  <si>
    <t>WandsworthARGNBdst</t>
  </si>
  <si>
    <t>WandsworthARGNNSC</t>
  </si>
  <si>
    <t>WandsworthARGNTotal</t>
  </si>
  <si>
    <t>WandsworthARGNSC</t>
  </si>
  <si>
    <t>WandsworthARSHHOP1Bd</t>
  </si>
  <si>
    <t>WandsworthARSHHOP2Bd</t>
  </si>
  <si>
    <t>WandsworthARSHHOP3Bd</t>
  </si>
  <si>
    <t>WandsworthARSHHOP4Bd</t>
  </si>
  <si>
    <t>WandsworthARSHHOPBdst</t>
  </si>
  <si>
    <t>WandsworthARSHHOPNSC</t>
  </si>
  <si>
    <t>WandsworthARSHHOPSC</t>
  </si>
  <si>
    <t>WandsworthARSHHOPTotal</t>
  </si>
  <si>
    <t>WandsworthGN1Bd</t>
  </si>
  <si>
    <t>WandsworthGN2Bd</t>
  </si>
  <si>
    <t>WandsworthGN3Bd</t>
  </si>
  <si>
    <t>WandsworthGN4Bd</t>
  </si>
  <si>
    <t>WandsworthGN5Bd</t>
  </si>
  <si>
    <t>WandsworthGN6Bd</t>
  </si>
  <si>
    <t>WandsworthGNBdst</t>
  </si>
  <si>
    <t>WandsworthGNNSC</t>
  </si>
  <si>
    <t>WandsworthGNTotal</t>
  </si>
  <si>
    <t>WandsworthGNSC</t>
  </si>
  <si>
    <t>WandsworthGNAGGSC</t>
  </si>
  <si>
    <t>WandsworthGNAGGNSC</t>
  </si>
  <si>
    <t>WandsworthLCHO</t>
  </si>
  <si>
    <t>WandsworthSHHOP1Bd</t>
  </si>
  <si>
    <t>WandsworthSHHOP2Bd</t>
  </si>
  <si>
    <t>WandsworthSHHOP3Bd</t>
  </si>
  <si>
    <t>WandsworthSHHOP4Bd</t>
  </si>
  <si>
    <t>WandsworthSHHOPBdst</t>
  </si>
  <si>
    <t>WandsworthSHHOPNSC</t>
  </si>
  <si>
    <t>WandsworthSHHOPTotal</t>
  </si>
  <si>
    <t>WandsworthSHHOPSC</t>
  </si>
  <si>
    <t>WandsworthSHHOPAGGNA</t>
  </si>
  <si>
    <t>E09000033</t>
  </si>
  <si>
    <t>WestminsterARGN1Bd</t>
  </si>
  <si>
    <t>WestminsterARGN2Bd</t>
  </si>
  <si>
    <t>WestminsterARGN3Bd</t>
  </si>
  <si>
    <t>WestminsterARGN4Bd</t>
  </si>
  <si>
    <t>WestminsterARGN5Bd</t>
  </si>
  <si>
    <t>WestminsterARGN6Bd</t>
  </si>
  <si>
    <t>WestminsterARGNBdst</t>
  </si>
  <si>
    <t>WestminsterARGNNSC</t>
  </si>
  <si>
    <t>WestminsterARGNTotal</t>
  </si>
  <si>
    <t>WestminsterARGNSC</t>
  </si>
  <si>
    <t>WestminsterARSHHOP1Bd</t>
  </si>
  <si>
    <t>WestminsterARSHHOP2Bd</t>
  </si>
  <si>
    <t>WestminsterARSHHOP3Bd</t>
  </si>
  <si>
    <t>WestminsterARSHHOP4Bd</t>
  </si>
  <si>
    <t>WestminsterARSHHOPBdst</t>
  </si>
  <si>
    <t>WestminsterARSHHOPNSC</t>
  </si>
  <si>
    <t>WestminsterARSHHOPSC</t>
  </si>
  <si>
    <t>WestminsterARSHHOPTotal</t>
  </si>
  <si>
    <t>WestminsterGN1Bd</t>
  </si>
  <si>
    <t>WestminsterGN2Bd</t>
  </si>
  <si>
    <t>WestminsterGN3Bd</t>
  </si>
  <si>
    <t>WestminsterGN4Bd</t>
  </si>
  <si>
    <t>WestminsterGN5Bd</t>
  </si>
  <si>
    <t>WestminsterGN6Bd</t>
  </si>
  <si>
    <t>WestminsterGNBdst</t>
  </si>
  <si>
    <t>WestminsterGNNSC</t>
  </si>
  <si>
    <t>WestminsterGNTotal</t>
  </si>
  <si>
    <t>WestminsterGNSC</t>
  </si>
  <si>
    <t>WestminsterGNAGGSC</t>
  </si>
  <si>
    <t>WestminsterGNAGGNSC</t>
  </si>
  <si>
    <t>WestminsterLCHO</t>
  </si>
  <si>
    <t>WestminsterSHHOP1Bd</t>
  </si>
  <si>
    <t>WestminsterSHHOP2Bd</t>
  </si>
  <si>
    <t>WestminsterSHHOP3Bd</t>
  </si>
  <si>
    <t>WestminsterSHHOP4Bd</t>
  </si>
  <si>
    <t>WestminsterSHHOPBdst</t>
  </si>
  <si>
    <t>WestminsterSHHOPNSC</t>
  </si>
  <si>
    <t>WestminsterSHHOPTotal</t>
  </si>
  <si>
    <t>WestminsterSHHOPSC</t>
  </si>
  <si>
    <t>WestminsterSHHOPAGGNA</t>
  </si>
  <si>
    <t>East MidlandsARGN1Bd</t>
  </si>
  <si>
    <t>East MidlandsARGN2Bd</t>
  </si>
  <si>
    <t>East MidlandsARGN3Bd</t>
  </si>
  <si>
    <t>East MidlandsARGN4Bd</t>
  </si>
  <si>
    <t>East MidlandsARGN5Bd</t>
  </si>
  <si>
    <t>East MidlandsARGN6Bd</t>
  </si>
  <si>
    <t>East MidlandsARGNBdst</t>
  </si>
  <si>
    <t>East MidlandsARGNNSC</t>
  </si>
  <si>
    <t>East MidlandsARGNTotal</t>
  </si>
  <si>
    <t>East MidlandsARGNSC</t>
  </si>
  <si>
    <t>East MidlandsARSHHOP1Bd</t>
  </si>
  <si>
    <t>East MidlandsARSHHOP2Bd</t>
  </si>
  <si>
    <t>East MidlandsARSHHOP3Bd</t>
  </si>
  <si>
    <t>East MidlandsARSHHOP4Bd</t>
  </si>
  <si>
    <t>East MidlandsARSHHOPBdst</t>
  </si>
  <si>
    <t>East MidlandsARSHHOPNSC</t>
  </si>
  <si>
    <t>East MidlandsARSHHOPSC</t>
  </si>
  <si>
    <t>East MidlandsARSHHOPTotal</t>
  </si>
  <si>
    <t>East MidlandsGN1Bd</t>
  </si>
  <si>
    <t>East MidlandsGN2Bd</t>
  </si>
  <si>
    <t>East MidlandsGN3Bd</t>
  </si>
  <si>
    <t>East MidlandsGN4Bd</t>
  </si>
  <si>
    <t>East MidlandsGN5Bd</t>
  </si>
  <si>
    <t>East MidlandsGN6Bd</t>
  </si>
  <si>
    <t>East MidlandsGNBdst</t>
  </si>
  <si>
    <t>East MidlandsGNNSC</t>
  </si>
  <si>
    <t>East MidlandsGNTotal</t>
  </si>
  <si>
    <t>East MidlandsGNSC</t>
  </si>
  <si>
    <t>East MidlandsGNAGGSC</t>
  </si>
  <si>
    <t>East MidlandsGNAGGNSC</t>
  </si>
  <si>
    <t>East MidlandsLCHO</t>
  </si>
  <si>
    <t>East MidlandsSHHOP1Bd</t>
  </si>
  <si>
    <t>East MidlandsSHHOP2Bd</t>
  </si>
  <si>
    <t>East MidlandsSHHOP3Bd</t>
  </si>
  <si>
    <t>East MidlandsSHHOP4Bd</t>
  </si>
  <si>
    <t>East MidlandsSHHOP5Bd</t>
  </si>
  <si>
    <t>East MidlandsSHHOP6Bd</t>
  </si>
  <si>
    <t>East MidlandsSHHOPBdst</t>
  </si>
  <si>
    <t>East MidlandsSHHOPNSC</t>
  </si>
  <si>
    <t>East MidlandsSHHOPTotal</t>
  </si>
  <si>
    <t>East MidlandsSHHOPSC</t>
  </si>
  <si>
    <t>East MidlandsSHHOPAGGNA</t>
  </si>
  <si>
    <t>East MidlandsTotalTotal</t>
  </si>
  <si>
    <t>East of EnglandARGN1Bd</t>
  </si>
  <si>
    <t>East of EnglandARGN2Bd</t>
  </si>
  <si>
    <t>East of EnglandARGN3Bd</t>
  </si>
  <si>
    <t>East of EnglandARGN4Bd</t>
  </si>
  <si>
    <t>East of EnglandARGN5Bd</t>
  </si>
  <si>
    <t>East of EnglandARGN6Bd</t>
  </si>
  <si>
    <t>East of EnglandARGNBdst</t>
  </si>
  <si>
    <t>East of EnglandARGNNSC</t>
  </si>
  <si>
    <t>East of EnglandARGNTotal</t>
  </si>
  <si>
    <t>East of EnglandARGNSC</t>
  </si>
  <si>
    <t>East of EnglandARSHHOP1Bd</t>
  </si>
  <si>
    <t>East of EnglandARSHHOP2Bd</t>
  </si>
  <si>
    <t>East of EnglandARSHHOP3Bd</t>
  </si>
  <si>
    <t>East of EnglandARSHHOP4Bd</t>
  </si>
  <si>
    <t>East of EnglandARSHHOPBdst</t>
  </si>
  <si>
    <t>East of EnglandARSHHOPNSC</t>
  </si>
  <si>
    <t>East of EnglandARSHHOPSC</t>
  </si>
  <si>
    <t>East of EnglandARSHHOPTotal</t>
  </si>
  <si>
    <t>East of EnglandGN1Bd</t>
  </si>
  <si>
    <t>East of EnglandGN2Bd</t>
  </si>
  <si>
    <t>East of EnglandGN3Bd</t>
  </si>
  <si>
    <t>East of EnglandGN4Bd</t>
  </si>
  <si>
    <t>East of EnglandGN5Bd</t>
  </si>
  <si>
    <t>East of EnglandGN6Bd</t>
  </si>
  <si>
    <t>East of EnglandGNBdst</t>
  </si>
  <si>
    <t>East of EnglandGNNSC</t>
  </si>
  <si>
    <t>East of EnglandGNTotal</t>
  </si>
  <si>
    <t>East of EnglandGNSC</t>
  </si>
  <si>
    <t>East of EnglandGNAGGSC</t>
  </si>
  <si>
    <t>East of EnglandGNAGGNSC</t>
  </si>
  <si>
    <t>East of EnglandLCHO</t>
  </si>
  <si>
    <t>East of EnglandSHHOP1Bd</t>
  </si>
  <si>
    <t>East of EnglandSHHOP2Bd</t>
  </si>
  <si>
    <t>East of EnglandSHHOP3Bd</t>
  </si>
  <si>
    <t>East of EnglandSHHOP4Bd</t>
  </si>
  <si>
    <t>East of EnglandSHHOP5Bd</t>
  </si>
  <si>
    <t>East of EnglandSHHOP6Bd</t>
  </si>
  <si>
    <t>East of EnglandSHHOPBdst</t>
  </si>
  <si>
    <t>East of EnglandSHHOPNSC</t>
  </si>
  <si>
    <t>East of EnglandSHHOPTotal</t>
  </si>
  <si>
    <t>East of EnglandSHHOPSC</t>
  </si>
  <si>
    <t>East of EnglandSHHOPAGGNA</t>
  </si>
  <si>
    <t>East of EnglandTotalTotal</t>
  </si>
  <si>
    <t>EnglandARGN1Bd</t>
  </si>
  <si>
    <t>EnglandARGN2Bd</t>
  </si>
  <si>
    <t>EnglandARGN3Bd</t>
  </si>
  <si>
    <t>EnglandARGN4Bd</t>
  </si>
  <si>
    <t>EnglandARGN5Bd</t>
  </si>
  <si>
    <t>EnglandARGN6Bd</t>
  </si>
  <si>
    <t>EnglandARGNBdst</t>
  </si>
  <si>
    <t>EnglandARGNNSC</t>
  </si>
  <si>
    <t>EnglandARGNSC</t>
  </si>
  <si>
    <t>EnglandARGNTotal</t>
  </si>
  <si>
    <t>EnglandARSHHOP1Bd</t>
  </si>
  <si>
    <t>EnglandARSHHOP2Bd</t>
  </si>
  <si>
    <t>EnglandARSHHOP3Bd</t>
  </si>
  <si>
    <t>EnglandARSHHOP4Bd</t>
  </si>
  <si>
    <t>EnglandARSHHOPBdst</t>
  </si>
  <si>
    <t>EnglandARSHHOPNSC</t>
  </si>
  <si>
    <t>EnglandARSHHOPSC</t>
  </si>
  <si>
    <t>EnglandARSHHOPTotal</t>
  </si>
  <si>
    <t>EnglandGN1Bd</t>
  </si>
  <si>
    <t>EnglandGN2Bd</t>
  </si>
  <si>
    <t>EnglandGN3Bd</t>
  </si>
  <si>
    <t>EnglandGN4Bd</t>
  </si>
  <si>
    <t>EnglandGN5Bd</t>
  </si>
  <si>
    <t>EnglandGN6Bd</t>
  </si>
  <si>
    <t>EnglandGNBdst</t>
  </si>
  <si>
    <t>EnglandGNNSC</t>
  </si>
  <si>
    <t>EnglandGNSC</t>
  </si>
  <si>
    <t>EnglandGNTotal</t>
  </si>
  <si>
    <t>EnglandGNAGGNSC</t>
  </si>
  <si>
    <t>EnglandGNAGGSC</t>
  </si>
  <si>
    <t>EnglandLCHO</t>
  </si>
  <si>
    <t>EnglandSHHOP1Bd</t>
  </si>
  <si>
    <t>EnglandSHHOP2Bd</t>
  </si>
  <si>
    <t>EnglandSHHOP3Bd</t>
  </si>
  <si>
    <t>EnglandSHHOP4Bd</t>
  </si>
  <si>
    <t>EnglandSHHOP5Bd</t>
  </si>
  <si>
    <t>EnglandSHHOP6Bd</t>
  </si>
  <si>
    <t>EnglandSHHOPBdst</t>
  </si>
  <si>
    <t>EnglandSHHOPNSC</t>
  </si>
  <si>
    <t>EnglandSHHOPSC</t>
  </si>
  <si>
    <t>EnglandSHHOPTotal</t>
  </si>
  <si>
    <t>EnglandSHHOPAGGNA</t>
  </si>
  <si>
    <t>EnglandTotalTotal</t>
  </si>
  <si>
    <t>LondonARGN1Bd</t>
  </si>
  <si>
    <t>LondonARGN2Bd</t>
  </si>
  <si>
    <t>LondonARGN3Bd</t>
  </si>
  <si>
    <t>LondonARGN4Bd</t>
  </si>
  <si>
    <t>LondonARGN5Bd</t>
  </si>
  <si>
    <t>LondonARGN6Bd</t>
  </si>
  <si>
    <t>LondonARGNBdst</t>
  </si>
  <si>
    <t>LondonARGNNSC</t>
  </si>
  <si>
    <t>LondonARGNTotal</t>
  </si>
  <si>
    <t>LondonARGNSC</t>
  </si>
  <si>
    <t>LondonARSHHOP1Bd</t>
  </si>
  <si>
    <t>LondonARSHHOP2Bd</t>
  </si>
  <si>
    <t>LondonARSHHOP3Bd</t>
  </si>
  <si>
    <t>LondonARSHHOP4Bd</t>
  </si>
  <si>
    <t>LondonARSHHOPBdst</t>
  </si>
  <si>
    <t>LondonARSHHOPNSC</t>
  </si>
  <si>
    <t>LondonARSHHOPSC</t>
  </si>
  <si>
    <t>LondonARSHHOPTotal</t>
  </si>
  <si>
    <t>LondonGN1Bd</t>
  </si>
  <si>
    <t>LondonGN2Bd</t>
  </si>
  <si>
    <t>LondonGN3Bd</t>
  </si>
  <si>
    <t>LondonGN4Bd</t>
  </si>
  <si>
    <t>LondonGN5Bd</t>
  </si>
  <si>
    <t>LondonGN6Bd</t>
  </si>
  <si>
    <t>LondonGNBdst</t>
  </si>
  <si>
    <t>LondonGNNSC</t>
  </si>
  <si>
    <t>LondonGNTotal</t>
  </si>
  <si>
    <t>LondonGNSC</t>
  </si>
  <si>
    <t>LondonGNAGGSC</t>
  </si>
  <si>
    <t>LondonGNAGGNSC</t>
  </si>
  <si>
    <t>LondonLCHO</t>
  </si>
  <si>
    <t>LondonSHHOP1Bd</t>
  </si>
  <si>
    <t>LondonSHHOP2Bd</t>
  </si>
  <si>
    <t>LondonSHHOP3Bd</t>
  </si>
  <si>
    <t>LondonSHHOP4Bd</t>
  </si>
  <si>
    <t>LondonSHHOP5Bd</t>
  </si>
  <si>
    <t>LondonSHHOP6Bd</t>
  </si>
  <si>
    <t>LondonSHHOPBdst</t>
  </si>
  <si>
    <t>LondonSHHOPNSC</t>
  </si>
  <si>
    <t>LondonSHHOPTotal</t>
  </si>
  <si>
    <t>LondonSHHOPSC</t>
  </si>
  <si>
    <t>LondonSHHOPAGGNA</t>
  </si>
  <si>
    <t>LondonTotalTotal</t>
  </si>
  <si>
    <t>North EastARGN1Bd</t>
  </si>
  <si>
    <t>North EastARGN2Bd</t>
  </si>
  <si>
    <t>North EastARGN3Bd</t>
  </si>
  <si>
    <t>North EastARGN4Bd</t>
  </si>
  <si>
    <t>North EastARGN5Bd</t>
  </si>
  <si>
    <t>North EastARGN6Bd</t>
  </si>
  <si>
    <t>North EastARGNBdst</t>
  </si>
  <si>
    <t>North EastARGNNSC</t>
  </si>
  <si>
    <t>North EastARGNTotal</t>
  </si>
  <si>
    <t>North EastARGNSC</t>
  </si>
  <si>
    <t>North EastARSHHOP1Bd</t>
  </si>
  <si>
    <t>North EastARSHHOP2Bd</t>
  </si>
  <si>
    <t>North EastARSHHOP3Bd</t>
  </si>
  <si>
    <t>North EastARSHHOP4Bd</t>
  </si>
  <si>
    <t>North EastARSHHOPBdst</t>
  </si>
  <si>
    <t>North EastARSHHOPNSC</t>
  </si>
  <si>
    <t>North EastARSHHOPSC</t>
  </si>
  <si>
    <t>North EastARSHHOPTotal</t>
  </si>
  <si>
    <t>North EastGN1Bd</t>
  </si>
  <si>
    <t>North EastGN2Bd</t>
  </si>
  <si>
    <t>North EastGN3Bd</t>
  </si>
  <si>
    <t>North EastGN4Bd</t>
  </si>
  <si>
    <t>North EastGN5Bd</t>
  </si>
  <si>
    <t>North EastGN6Bd</t>
  </si>
  <si>
    <t>North EastGNBdst</t>
  </si>
  <si>
    <t>North EastGNNSC</t>
  </si>
  <si>
    <t>North EastGNTotal</t>
  </si>
  <si>
    <t>North EastGNSC</t>
  </si>
  <si>
    <t>North EastGNAGGSC</t>
  </si>
  <si>
    <t>North EastGNAGGNSC</t>
  </si>
  <si>
    <t>North EastLCHO</t>
  </si>
  <si>
    <t>North EastSHHOP1Bd</t>
  </si>
  <si>
    <t>North EastSHHOP2Bd</t>
  </si>
  <si>
    <t>North EastSHHOP3Bd</t>
  </si>
  <si>
    <t>North EastSHHOP4Bd</t>
  </si>
  <si>
    <t>North EastSHHOP5Bd</t>
  </si>
  <si>
    <t>North EastSHHOP6Bd</t>
  </si>
  <si>
    <t>North EastSHHOPBdst</t>
  </si>
  <si>
    <t>North EastSHHOPNSC</t>
  </si>
  <si>
    <t>North EastSHHOPTotal</t>
  </si>
  <si>
    <t>North EastSHHOPSC</t>
  </si>
  <si>
    <t>North EastSHHOPAGGNA</t>
  </si>
  <si>
    <t>North EastTotalTotal</t>
  </si>
  <si>
    <t>North WestARGN1Bd</t>
  </si>
  <si>
    <t>North WestARGN2Bd</t>
  </si>
  <si>
    <t>North WestARGN3Bd</t>
  </si>
  <si>
    <t>North WestARGN4Bd</t>
  </si>
  <si>
    <t>North WestARGN5Bd</t>
  </si>
  <si>
    <t>North WestARGN6Bd</t>
  </si>
  <si>
    <t>North WestARGNBdst</t>
  </si>
  <si>
    <t>North WestARGNNSC</t>
  </si>
  <si>
    <t>North WestARGNTotal</t>
  </si>
  <si>
    <t>North WestARGNSC</t>
  </si>
  <si>
    <t>North WestARSHHOP1Bd</t>
  </si>
  <si>
    <t>North WestARSHHOP2Bd</t>
  </si>
  <si>
    <t>North WestARSHHOP3Bd</t>
  </si>
  <si>
    <t>North WestARSHHOP4Bd</t>
  </si>
  <si>
    <t>North WestARSHHOPBdst</t>
  </si>
  <si>
    <t>North WestARSHHOPNSC</t>
  </si>
  <si>
    <t>North WestARSHHOPSC</t>
  </si>
  <si>
    <t>North WestARSHHOPTotal</t>
  </si>
  <si>
    <t>North WestGN1Bd</t>
  </si>
  <si>
    <t>North WestGN2Bd</t>
  </si>
  <si>
    <t>North WestGN3Bd</t>
  </si>
  <si>
    <t>North WestGN4Bd</t>
  </si>
  <si>
    <t>North WestGN5Bd</t>
  </si>
  <si>
    <t>North WestGN6Bd</t>
  </si>
  <si>
    <t>North WestGNBdst</t>
  </si>
  <si>
    <t>North WestGNNSC</t>
  </si>
  <si>
    <t>North WestGNTotal</t>
  </si>
  <si>
    <t>North WestGNSC</t>
  </si>
  <si>
    <t>North WestGNAGGSC</t>
  </si>
  <si>
    <t>North WestGNAGGNSC</t>
  </si>
  <si>
    <t>North WestLCHO</t>
  </si>
  <si>
    <t>North WestSHHOP1Bd</t>
  </si>
  <si>
    <t>North WestSHHOP2Bd</t>
  </si>
  <si>
    <t>North WestSHHOP3Bd</t>
  </si>
  <si>
    <t>North WestSHHOP4Bd</t>
  </si>
  <si>
    <t>North WestSHHOP5Bd</t>
  </si>
  <si>
    <t>North WestSHHOP6Bd</t>
  </si>
  <si>
    <t>North WestSHHOPBdst</t>
  </si>
  <si>
    <t>North WestSHHOPNSC</t>
  </si>
  <si>
    <t>North WestSHHOPTotal</t>
  </si>
  <si>
    <t>North WestSHHOPSC</t>
  </si>
  <si>
    <t>North WestSHHOPAGGNA</t>
  </si>
  <si>
    <t>North WestTotalTotal</t>
  </si>
  <si>
    <t>South EastARGN1Bd</t>
  </si>
  <si>
    <t>South EastARGN2Bd</t>
  </si>
  <si>
    <t>South EastARGN3Bd</t>
  </si>
  <si>
    <t>South EastARGN4Bd</t>
  </si>
  <si>
    <t>South EastARGN5Bd</t>
  </si>
  <si>
    <t>South EastARGN6Bd</t>
  </si>
  <si>
    <t>South EastARGNBdst</t>
  </si>
  <si>
    <t>South EastARGNNSC</t>
  </si>
  <si>
    <t>South EastARGNTotal</t>
  </si>
  <si>
    <t>South EastARGNSC</t>
  </si>
  <si>
    <t>South EastARSHHOP1Bd</t>
  </si>
  <si>
    <t>South EastARSHHOP2Bd</t>
  </si>
  <si>
    <t>South EastARSHHOP3Bd</t>
  </si>
  <si>
    <t>South EastARSHHOP4Bd</t>
  </si>
  <si>
    <t>South EastARSHHOPBdst</t>
  </si>
  <si>
    <t>South EastARSHHOPNSC</t>
  </si>
  <si>
    <t>South EastARSHHOPSC</t>
  </si>
  <si>
    <t>South EastARSHHOPTotal</t>
  </si>
  <si>
    <t>South EastGN1Bd</t>
  </si>
  <si>
    <t>South EastGN2Bd</t>
  </si>
  <si>
    <t>South EastGN3Bd</t>
  </si>
  <si>
    <t>South EastGN4Bd</t>
  </si>
  <si>
    <t>South EastGN5Bd</t>
  </si>
  <si>
    <t>South EastGN6Bd</t>
  </si>
  <si>
    <t>South EastGNBdst</t>
  </si>
  <si>
    <t>South EastGNNSC</t>
  </si>
  <si>
    <t>South EastGNTotal</t>
  </si>
  <si>
    <t>South EastGNSC</t>
  </si>
  <si>
    <t>South EastGNAGGSC</t>
  </si>
  <si>
    <t>South EastGNAGGNSC</t>
  </si>
  <si>
    <t>South EastLCHO</t>
  </si>
  <si>
    <t>South EastSHHOP1Bd</t>
  </si>
  <si>
    <t>South EastSHHOP2Bd</t>
  </si>
  <si>
    <t>South EastSHHOP3Bd</t>
  </si>
  <si>
    <t>South EastSHHOP4Bd</t>
  </si>
  <si>
    <t>South EastSHHOP5Bd</t>
  </si>
  <si>
    <t>South EastSHHOP6Bd</t>
  </si>
  <si>
    <t>South EastSHHOPBdst</t>
  </si>
  <si>
    <t>South EastSHHOPNSC</t>
  </si>
  <si>
    <t>South EastSHHOPTotal</t>
  </si>
  <si>
    <t>South EastSHHOPSC</t>
  </si>
  <si>
    <t>South EastSHHOPAGGNA</t>
  </si>
  <si>
    <t>South EastTotalTotal</t>
  </si>
  <si>
    <t>South WestARGN1Bd</t>
  </si>
  <si>
    <t>South WestARGN2Bd</t>
  </si>
  <si>
    <t>South WestARGN3Bd</t>
  </si>
  <si>
    <t>South WestARGN4Bd</t>
  </si>
  <si>
    <t>South WestARGN5Bd</t>
  </si>
  <si>
    <t>South WestARGN6Bd</t>
  </si>
  <si>
    <t>South WestARGNBdst</t>
  </si>
  <si>
    <t>South WestARGNNSC</t>
  </si>
  <si>
    <t>South WestARGNTotal</t>
  </si>
  <si>
    <t>South WestARGNSC</t>
  </si>
  <si>
    <t>South WestARSHHOP1Bd</t>
  </si>
  <si>
    <t>South WestARSHHOP2Bd</t>
  </si>
  <si>
    <t>South WestARSHHOP3Bd</t>
  </si>
  <si>
    <t>South WestARSHHOP4Bd</t>
  </si>
  <si>
    <t>South WestARSHHOPBdst</t>
  </si>
  <si>
    <t>South WestARSHHOPNSC</t>
  </si>
  <si>
    <t>South WestARSHHOPSC</t>
  </si>
  <si>
    <t>South WestARSHHOPTotal</t>
  </si>
  <si>
    <t>South WestGN1Bd</t>
  </si>
  <si>
    <t>South WestGN2Bd</t>
  </si>
  <si>
    <t>South WestGN3Bd</t>
  </si>
  <si>
    <t>South WestGN4Bd</t>
  </si>
  <si>
    <t>South WestGN5Bd</t>
  </si>
  <si>
    <t>South WestGN6Bd</t>
  </si>
  <si>
    <t>South WestGNBdst</t>
  </si>
  <si>
    <t>South WestGNNSC</t>
  </si>
  <si>
    <t>South WestGNTotal</t>
  </si>
  <si>
    <t>South WestGNSC</t>
  </si>
  <si>
    <t>South WestGNAGGSC</t>
  </si>
  <si>
    <t>South WestGNAGGNSC</t>
  </si>
  <si>
    <t>South WestLCHO</t>
  </si>
  <si>
    <t>South WestSHHOP1Bd</t>
  </si>
  <si>
    <t>South WestSHHOP2Bd</t>
  </si>
  <si>
    <t>South WestSHHOP3Bd</t>
  </si>
  <si>
    <t>South WestSHHOP4Bd</t>
  </si>
  <si>
    <t>South WestSHHOP5Bd</t>
  </si>
  <si>
    <t>South WestSHHOP6Bd</t>
  </si>
  <si>
    <t>South WestSHHOPBdst</t>
  </si>
  <si>
    <t>South WestSHHOPNSC</t>
  </si>
  <si>
    <t>South WestSHHOPTotal</t>
  </si>
  <si>
    <t>South WestSHHOPSC</t>
  </si>
  <si>
    <t>South WestSHHOPAGGNA</t>
  </si>
  <si>
    <t>South WestTotalTotal</t>
  </si>
  <si>
    <t>West MidlandsARGN1Bd</t>
  </si>
  <si>
    <t>West MidlandsARGN2Bd</t>
  </si>
  <si>
    <t>West MidlandsARGN3Bd</t>
  </si>
  <si>
    <t>West MidlandsARGN4Bd</t>
  </si>
  <si>
    <t>West MidlandsARGN5Bd</t>
  </si>
  <si>
    <t>West MidlandsARGN6Bd</t>
  </si>
  <si>
    <t>West MidlandsARGNBdst</t>
  </si>
  <si>
    <t>West MidlandsARGNNSC</t>
  </si>
  <si>
    <t>West MidlandsARGNTotal</t>
  </si>
  <si>
    <t>West MidlandsARGNSC</t>
  </si>
  <si>
    <t>West MidlandsARSHHOP1Bd</t>
  </si>
  <si>
    <t>West MidlandsARSHHOP2Bd</t>
  </si>
  <si>
    <t>West MidlandsARSHHOP3Bd</t>
  </si>
  <si>
    <t>West MidlandsARSHHOP4Bd</t>
  </si>
  <si>
    <t>West MidlandsARSHHOPBdst</t>
  </si>
  <si>
    <t>West MidlandsARSHHOPNSC</t>
  </si>
  <si>
    <t>West MidlandsARSHHOPSC</t>
  </si>
  <si>
    <t>West MidlandsARSHHOPTotal</t>
  </si>
  <si>
    <t>West MidlandsGN1Bd</t>
  </si>
  <si>
    <t>West MidlandsGN2Bd</t>
  </si>
  <si>
    <t>West MidlandsGN3Bd</t>
  </si>
  <si>
    <t>West MidlandsGN4Bd</t>
  </si>
  <si>
    <t>West MidlandsGN5Bd</t>
  </si>
  <si>
    <t>West MidlandsGN6Bd</t>
  </si>
  <si>
    <t>West MidlandsGNBdst</t>
  </si>
  <si>
    <t>West MidlandsGNNSC</t>
  </si>
  <si>
    <t>West MidlandsGNTotal</t>
  </si>
  <si>
    <t>West MidlandsGNSC</t>
  </si>
  <si>
    <t>West MidlandsGNAGGSC</t>
  </si>
  <si>
    <t>West MidlandsGNAGGNSC</t>
  </si>
  <si>
    <t>West MidlandsLCHO</t>
  </si>
  <si>
    <t>West MidlandsSHHOP1Bd</t>
  </si>
  <si>
    <t>West MidlandsSHHOP2Bd</t>
  </si>
  <si>
    <t>West MidlandsSHHOP3Bd</t>
  </si>
  <si>
    <t>West MidlandsSHHOP4Bd</t>
  </si>
  <si>
    <t>West MidlandsSHHOP5Bd</t>
  </si>
  <si>
    <t>West MidlandsSHHOP6Bd</t>
  </si>
  <si>
    <t>West MidlandsSHHOPBdst</t>
  </si>
  <si>
    <t>West MidlandsSHHOPNSC</t>
  </si>
  <si>
    <t>West MidlandsSHHOPTotal</t>
  </si>
  <si>
    <t>West MidlandsSHHOPSC</t>
  </si>
  <si>
    <t>West MidlandsSHHOPAGGNA</t>
  </si>
  <si>
    <t>West MidlandsTotalTotal</t>
  </si>
  <si>
    <t>Yorkshire and the HumberARGN1Bd</t>
  </si>
  <si>
    <t>Yorkshire and the HumberARGN2Bd</t>
  </si>
  <si>
    <t>Yorkshire and the HumberARGN3Bd</t>
  </si>
  <si>
    <t>Yorkshire and the HumberARGN4Bd</t>
  </si>
  <si>
    <t>Yorkshire and the HumberARGN5Bd</t>
  </si>
  <si>
    <t>Yorkshire and the HumberARGN6Bd</t>
  </si>
  <si>
    <t>Yorkshire and the HumberARGNBdst</t>
  </si>
  <si>
    <t>Yorkshire and the HumberARGNNSC</t>
  </si>
  <si>
    <t>Yorkshire and the HumberARGNTotal</t>
  </si>
  <si>
    <t>Yorkshire and the HumberARGNSC</t>
  </si>
  <si>
    <t>Yorkshire and the HumberARSHHOP1Bd</t>
  </si>
  <si>
    <t>Yorkshire and the HumberARSHHOP2Bd</t>
  </si>
  <si>
    <t>Yorkshire and the HumberARSHHOP3Bd</t>
  </si>
  <si>
    <t>Yorkshire and the HumberARSHHOP4Bd</t>
  </si>
  <si>
    <t>Yorkshire and the HumberARSHHOPBdst</t>
  </si>
  <si>
    <t>Yorkshire and the HumberARSHHOPNSC</t>
  </si>
  <si>
    <t>Yorkshire and the HumberARSHHOPSC</t>
  </si>
  <si>
    <t>Yorkshire and the HumberARSHHOPTotal</t>
  </si>
  <si>
    <t>Yorkshire and the HumberGN1Bd</t>
  </si>
  <si>
    <t>Yorkshire and the HumberGN2Bd</t>
  </si>
  <si>
    <t>Yorkshire and the HumberGN3Bd</t>
  </si>
  <si>
    <t>Yorkshire and the HumberGN4Bd</t>
  </si>
  <si>
    <t>Yorkshire and the HumberGN5Bd</t>
  </si>
  <si>
    <t>Yorkshire and the HumberGN6Bd</t>
  </si>
  <si>
    <t>Yorkshire and the HumberGNBdst</t>
  </si>
  <si>
    <t>Yorkshire and the HumberGNNSC</t>
  </si>
  <si>
    <t>Yorkshire and the HumberGNTotal</t>
  </si>
  <si>
    <t>Yorkshire and the HumberGNSC</t>
  </si>
  <si>
    <t>Yorkshire and the HumberGNAGGSC</t>
  </si>
  <si>
    <t>Yorkshire and the HumberGNAGGNSC</t>
  </si>
  <si>
    <t>Yorkshire and the HumberLCHO</t>
  </si>
  <si>
    <t>Yorkshire and the HumberSHHOP1Bd</t>
  </si>
  <si>
    <t>Yorkshire and the HumberSHHOP2Bd</t>
  </si>
  <si>
    <t>Yorkshire and the HumberSHHOP3Bd</t>
  </si>
  <si>
    <t>Yorkshire and the HumberSHHOP4Bd</t>
  </si>
  <si>
    <t>Yorkshire and the HumberSHHOP5Bd</t>
  </si>
  <si>
    <t>Yorkshire and the HumberSHHOP6Bd</t>
  </si>
  <si>
    <t>Yorkshire and the HumberSHHOPBdst</t>
  </si>
  <si>
    <t>Yorkshire and the HumberSHHOPNSC</t>
  </si>
  <si>
    <t>Yorkshire and the HumberSHHOPTotal</t>
  </si>
  <si>
    <t>Yorkshire and the HumberSHHOPSC</t>
  </si>
  <si>
    <t>Yorkshire and the HumberSHHOPAGGNA</t>
  </si>
  <si>
    <t>Yorkshire and the HumberTotalTotal</t>
  </si>
  <si>
    <t>Adur District Council</t>
  </si>
  <si>
    <t>Clarion Housing Association Limited</t>
  </si>
  <si>
    <t>Habinteg Housing Association Limited</t>
  </si>
  <si>
    <t>Home Group Limited</t>
  </si>
  <si>
    <t>Housing 21</t>
  </si>
  <si>
    <t>Hyde Housing Association Limited</t>
  </si>
  <si>
    <t>London &amp; Quadrant Housing Trust</t>
  </si>
  <si>
    <t>Metropolitan Housing Trust Limited</t>
  </si>
  <si>
    <t>Moat Homes Limited</t>
  </si>
  <si>
    <t>Orbit Group Limited</t>
  </si>
  <si>
    <t>Sanctuary Housing Association</t>
  </si>
  <si>
    <t>Southdown Housing Association Limited</t>
  </si>
  <si>
    <t>Southern Housing</t>
  </si>
  <si>
    <t>Stonewater Limited</t>
  </si>
  <si>
    <t>The Fellowship Houses Trust</t>
  </si>
  <si>
    <t>The Guinness Partnership Limited</t>
  </si>
  <si>
    <t>Vivid Housing Limited</t>
  </si>
  <si>
    <t>Westmoreland Supported Housing Limited</t>
  </si>
  <si>
    <t>Worthing Homes Limited</t>
  </si>
  <si>
    <t>Amber Valley Borough Council</t>
  </si>
  <si>
    <t>Action Housing and Support Limited</t>
  </si>
  <si>
    <t>Adullam Homes Housing Association Limited</t>
  </si>
  <si>
    <t>Advance Housing and Support Limited</t>
  </si>
  <si>
    <t>Amplius Living</t>
  </si>
  <si>
    <t>Anchor Hanover Group</t>
  </si>
  <si>
    <t>EMH Housing and Regeneration Limited</t>
  </si>
  <si>
    <t>Framework Housing Association</t>
  </si>
  <si>
    <t>Futures Homescape Limited</t>
  </si>
  <si>
    <t>Golden Lane Housing Limited</t>
  </si>
  <si>
    <t>Heylo Housing Registered Provider Limited</t>
  </si>
  <si>
    <t>M&amp;G UK Shared Ownership Limited</t>
  </si>
  <si>
    <t>Nottingham Community Housing Association Limited</t>
  </si>
  <si>
    <t>P3 Housing Limited</t>
  </si>
  <si>
    <t>Partners Foundation Limited</t>
  </si>
  <si>
    <t>Places for People Homes Limited</t>
  </si>
  <si>
    <t>Places for People Living+ Limited</t>
  </si>
  <si>
    <t>Platform Housing Limited</t>
  </si>
  <si>
    <t>Progress Housing Association Limited</t>
  </si>
  <si>
    <t>Reside Housing Association Limited</t>
  </si>
  <si>
    <t>Sage Homes RP Limited</t>
  </si>
  <si>
    <t>Sage Rented Limited</t>
  </si>
  <si>
    <t>Severn Almshouses Trust</t>
  </si>
  <si>
    <t>Sparrow Shared Ownership Limited</t>
  </si>
  <si>
    <t>The Riverside Group Limited</t>
  </si>
  <si>
    <t>The William Holmes Almshouses</t>
  </si>
  <si>
    <t>YMCA Derbyshire</t>
  </si>
  <si>
    <t>Arun District Council</t>
  </si>
  <si>
    <t>Ability Housing Association</t>
  </si>
  <si>
    <t>Aster 3 Limited</t>
  </si>
  <si>
    <t>Aster Communities</t>
  </si>
  <si>
    <t>Falcon Housing Association C.I.C</t>
  </si>
  <si>
    <t>Hastoe Housing Association Limited</t>
  </si>
  <si>
    <t>Life 2009</t>
  </si>
  <si>
    <t>Littlehampton and Rustington Housing Society Limited</t>
  </si>
  <si>
    <t>Martlet Homes Limited</t>
  </si>
  <si>
    <t>Notting Hill Home Ownership Limited</t>
  </si>
  <si>
    <t>Paragon Asra Housing Limited</t>
  </si>
  <si>
    <t>Saxon Weald</t>
  </si>
  <si>
    <t>Southern Home Ownership Limited</t>
  </si>
  <si>
    <t>Sovereign Network Group</t>
  </si>
  <si>
    <t>St Richard of Chichester Christian Care Association Ltd</t>
  </si>
  <si>
    <t>Synergy Housing Limited</t>
  </si>
  <si>
    <t>Turning Point</t>
  </si>
  <si>
    <t>Wandle Housing Association Limited</t>
  </si>
  <si>
    <t>Ashfield District Council</t>
  </si>
  <si>
    <t>Acis Group Limited</t>
  </si>
  <si>
    <t>Bespoke Supportive Tenancies Ltd</t>
  </si>
  <si>
    <t>Inclusion Housing Community Interest Company</t>
  </si>
  <si>
    <t>Jigsaw Homes Midlands</t>
  </si>
  <si>
    <t>Ongo Homes Limited</t>
  </si>
  <si>
    <t>Park Properties Housing Association Ltd</t>
  </si>
  <si>
    <t>Tuntum Housing Association Limited</t>
  </si>
  <si>
    <t>Ashford Borough Council</t>
  </si>
  <si>
    <t>Accent Housing Limited</t>
  </si>
  <si>
    <t>Ashford Pavilion Housing Co-operative Limited</t>
  </si>
  <si>
    <t>English Rural Housing Association Limited</t>
  </si>
  <si>
    <t>Golding Homes Limited</t>
  </si>
  <si>
    <t>Legal &amp; General Affordable Homes Limited</t>
  </si>
  <si>
    <t>Orbit Housing Association Limited</t>
  </si>
  <si>
    <t>Salvation Army Housing Association</t>
  </si>
  <si>
    <t>Town and Country Housing</t>
  </si>
  <si>
    <t>West Kent Housing Association</t>
  </si>
  <si>
    <t>Babergh District Council</t>
  </si>
  <si>
    <t>Auckland Home Solutions CIC</t>
  </si>
  <si>
    <t>Chelmer Housing Partnership Limited</t>
  </si>
  <si>
    <t>Eastlight Community Homes Limited</t>
  </si>
  <si>
    <t>Empower Housing Association Limited</t>
  </si>
  <si>
    <t>Estuary Housing Association Limited</t>
  </si>
  <si>
    <t>Flagship Housing Limited</t>
  </si>
  <si>
    <t>Grand Feoffment Charities</t>
  </si>
  <si>
    <t>Orwell Housing Association Limited</t>
  </si>
  <si>
    <t>Saffron Housing Trust Limited</t>
  </si>
  <si>
    <t>Sanctuary Affordable Housing Limited</t>
  </si>
  <si>
    <t>Simply Affordable Homes RP Limited</t>
  </si>
  <si>
    <t>Solo Housing (East Anglia)</t>
  </si>
  <si>
    <t>The Field Lane Foundation</t>
  </si>
  <si>
    <t>The Havebury Housing Partnership</t>
  </si>
  <si>
    <t>Thirteen Housing Group Limited</t>
  </si>
  <si>
    <t>London Borough of Barking and Dagenham</t>
  </si>
  <si>
    <t>Cromwood Housing Ltd</t>
  </si>
  <si>
    <t>Encircle Housing</t>
  </si>
  <si>
    <t>Local Space</t>
  </si>
  <si>
    <t>Look Ahead Care and Support Limited</t>
  </si>
  <si>
    <t>Newlon Housing Trust</t>
  </si>
  <si>
    <t>Notting Hill Genesis</t>
  </si>
  <si>
    <t>Peabody Trust</t>
  </si>
  <si>
    <t>ReSI Homes Limited</t>
  </si>
  <si>
    <t>Swan Housing Association Limited</t>
  </si>
  <si>
    <t>TCUK Homes Limited</t>
  </si>
  <si>
    <t>YMCA Thames Gateway</t>
  </si>
  <si>
    <t>London Borough of Barnet</t>
  </si>
  <si>
    <t>A2Dominion Homes Limited</t>
  </si>
  <si>
    <t>Agudas Israel Housing Association Limited</t>
  </si>
  <si>
    <t>Arhag Housing Association Limited</t>
  </si>
  <si>
    <t>Arpeggio Properties Limited</t>
  </si>
  <si>
    <t>Birnbeck Housing Association Limited</t>
  </si>
  <si>
    <t>Blue Square Residential Ltd</t>
  </si>
  <si>
    <t>Christian Action (Enfield) Housing Association Limited</t>
  </si>
  <si>
    <t>Concept Housing Association CIC</t>
  </si>
  <si>
    <t>Day's and Atkinson's Almshouse Charity</t>
  </si>
  <si>
    <t>Dimensions (UK) Limited</t>
  </si>
  <si>
    <t>District Homes C.I.C</t>
  </si>
  <si>
    <t>Eleanor Palmer Trust</t>
  </si>
  <si>
    <t>First Wave Housing Limited</t>
  </si>
  <si>
    <t>Hill Homes</t>
  </si>
  <si>
    <t>Innisfree Housing Association Limited</t>
  </si>
  <si>
    <t>Jewish Community Housing Association Limited</t>
  </si>
  <si>
    <t>Joel Emanuel Trust</t>
  </si>
  <si>
    <t>Karibu Community Homes Limited</t>
  </si>
  <si>
    <t>Lawrence Campe's Almshouse Trust</t>
  </si>
  <si>
    <t>Octavia Housing</t>
  </si>
  <si>
    <t>Odu-Dua Housing Association Limited</t>
  </si>
  <si>
    <t>One YMCA</t>
  </si>
  <si>
    <t>Orchard Housing Society Limited</t>
  </si>
  <si>
    <t>Origin Housing Limited</t>
  </si>
  <si>
    <t>Otto Schiff Housing Association</t>
  </si>
  <si>
    <t>Paradigm Homes Charitable Housing Association Limited</t>
  </si>
  <si>
    <t>Retail Trust</t>
  </si>
  <si>
    <t>Square Roots Registered Provider Limited</t>
  </si>
  <si>
    <t>TBG Open Door Limited</t>
  </si>
  <si>
    <t>Tally-Ho Housing Co-operative Limited</t>
  </si>
  <si>
    <t>The Finchley Charities</t>
  </si>
  <si>
    <t>The Industrial Dwellings Society (1885) Limited</t>
  </si>
  <si>
    <t>Watford Community Housing Trust</t>
  </si>
  <si>
    <t>Westlon Housing Association Limited</t>
  </si>
  <si>
    <t>Windrush Alliance UK Community Interest Company</t>
  </si>
  <si>
    <t>Barnsley Metropolitan Borough Council</t>
  </si>
  <si>
    <t>54 North Homes Limited</t>
  </si>
  <si>
    <t>Auxesia Homes Limited</t>
  </si>
  <si>
    <t>Great Places Housing Association</t>
  </si>
  <si>
    <t>Halo Housing Association Limited</t>
  </si>
  <si>
    <t>Highstone Housing Association Limited</t>
  </si>
  <si>
    <t>J &amp; M Residential Lettings Limited</t>
  </si>
  <si>
    <t>South Yorkshire Housing Association Limited</t>
  </si>
  <si>
    <t>Target Housing Limited</t>
  </si>
  <si>
    <t>Together Housing Association Limited</t>
  </si>
  <si>
    <t>Vico Homes Limited</t>
  </si>
  <si>
    <t>Waythrough</t>
  </si>
  <si>
    <t>Yorkshire Housing Limited</t>
  </si>
  <si>
    <t>Basildon District Council</t>
  </si>
  <si>
    <t>Chrysalis Supported Association Limited</t>
  </si>
  <si>
    <t>Hilldale Housing Association Limited</t>
  </si>
  <si>
    <t>Kingsclere Almshouses Charity</t>
  </si>
  <si>
    <t>NACRO</t>
  </si>
  <si>
    <t>The Abbeyfield Basildon Society Limited</t>
  </si>
  <si>
    <t>The Abbeyfield Billericay Society Limited</t>
  </si>
  <si>
    <t>The Papworth Trust</t>
  </si>
  <si>
    <t>A2Dominion South Limited</t>
  </si>
  <si>
    <t>Abri Group Limited</t>
  </si>
  <si>
    <t>First Priority Housing Association Limited</t>
  </si>
  <si>
    <t>Housing Solutions</t>
  </si>
  <si>
    <t>Julian House</t>
  </si>
  <si>
    <t>Plexus UK (First Project) Limited</t>
  </si>
  <si>
    <t>Sir Robert Geffery's Almshouse Trust</t>
  </si>
  <si>
    <t>The Society of St James</t>
  </si>
  <si>
    <t>The Swaythling Housing Society Limited</t>
  </si>
  <si>
    <t>Two Saints Limited</t>
  </si>
  <si>
    <t>YMCA Fairthorne Housing</t>
  </si>
  <si>
    <t>Bassetlaw District Council</t>
  </si>
  <si>
    <t>Legal &amp; General Affordable Homes (AR) LLP</t>
  </si>
  <si>
    <t>Rentplus Homes Limited</t>
  </si>
  <si>
    <t>Sloswicke's Almshouse Charity</t>
  </si>
  <si>
    <t>Bath &amp; North East Somerset Council</t>
  </si>
  <si>
    <t>Abbeyfield Bristol and Keynsham Society</t>
  </si>
  <si>
    <t>Bridgwater Young Men's Christian Association</t>
  </si>
  <si>
    <t>Brighter Places</t>
  </si>
  <si>
    <t>Curo Group (Albion) Limited</t>
  </si>
  <si>
    <t>Curo Places Limited</t>
  </si>
  <si>
    <t>Elim Housing Association Limited</t>
  </si>
  <si>
    <t>German Lutheran Housing Association Limited</t>
  </si>
  <si>
    <t>Guinness Housing Association Limited</t>
  </si>
  <si>
    <t>LiveWest Homes Limited</t>
  </si>
  <si>
    <t>Merlin Housing Society Limited</t>
  </si>
  <si>
    <t>Methodist Homes Housing Association Limited</t>
  </si>
  <si>
    <t>NSAH (Alliance Homes) Limited</t>
  </si>
  <si>
    <t>Selwood Housing Society Limited</t>
  </si>
  <si>
    <t>White Horse Housing Association Limited</t>
  </si>
  <si>
    <t>Bedford Borough Council</t>
  </si>
  <si>
    <t>Bedford Citizens Housing Association Limited</t>
  </si>
  <si>
    <t>Cross Keys Homes Limited</t>
  </si>
  <si>
    <t>Hightown Housing Association Limited</t>
  </si>
  <si>
    <t>IMPAKT Housing &amp; Support Ltd</t>
  </si>
  <si>
    <t>Langley House Trust</t>
  </si>
  <si>
    <t>Manningham Housing Association Limited</t>
  </si>
  <si>
    <t>Settle Group</t>
  </si>
  <si>
    <t>St Johns Homes</t>
  </si>
  <si>
    <t>Stonewater (5) Limited</t>
  </si>
  <si>
    <t>The ExtraCare Charitable Trust</t>
  </si>
  <si>
    <t>bpha Limited</t>
  </si>
  <si>
    <t>London Borough of Bexley</t>
  </si>
  <si>
    <t>Bexley United Charities</t>
  </si>
  <si>
    <t>Changing Lives Housing Trust</t>
  </si>
  <si>
    <t>Chislehurst and Sidcup Housing Association</t>
  </si>
  <si>
    <t>Co-operative Development Society Limited</t>
  </si>
  <si>
    <t>Craymill Housing Co-operative Limited</t>
  </si>
  <si>
    <t>Hazel Housing Co-operative Limited</t>
  </si>
  <si>
    <t>Hexagon Housing Association Limited</t>
  </si>
  <si>
    <t>Keniston Housing Association Limited</t>
  </si>
  <si>
    <t>Newarch Homes Limited</t>
  </si>
  <si>
    <t>Penge Churches Housing Association Limited</t>
  </si>
  <si>
    <t>Perryview Housing Co-operative Limited</t>
  </si>
  <si>
    <t>Teachers' Housing Association Limited</t>
  </si>
  <si>
    <t>Townshend Close Housing Co-operative Limited</t>
  </si>
  <si>
    <t>Trinity Housing Association Limited</t>
  </si>
  <si>
    <t>Whitworth Housing Co-operative Limited</t>
  </si>
  <si>
    <t>Birmingham City Council</t>
  </si>
  <si>
    <t>20-20 Housing Co-operative Limited</t>
  </si>
  <si>
    <t>Ashley Community &amp; Housing Ltd</t>
  </si>
  <si>
    <t>Balsall Heath Housing Co-operative Limited</t>
  </si>
  <si>
    <t>Birmingham Civic Housing Association Limited</t>
  </si>
  <si>
    <t>Birmingham Jewish Housing Association Limited</t>
  </si>
  <si>
    <t>Black Country Housing Group Limited</t>
  </si>
  <si>
    <t>Bordesley Green Housing Co-operative Limited</t>
  </si>
  <si>
    <t>Bournville Village Trust</t>
  </si>
  <si>
    <t>Bournville Works Housing Society Limited</t>
  </si>
  <si>
    <t>Broadening Choices for Older People</t>
  </si>
  <si>
    <t>Bromford Housing Association Limited</t>
  </si>
  <si>
    <t>Bromsgrove District Housing Trust Limited</t>
  </si>
  <si>
    <t>Citizen Housing Group Limited</t>
  </si>
  <si>
    <t>Creative Support Limited</t>
  </si>
  <si>
    <t>Easy Housing Association</t>
  </si>
  <si>
    <t>Elizabeth Dowell's Trust</t>
  </si>
  <si>
    <t>Expectations (UK)</t>
  </si>
  <si>
    <t>Glover's Trust Endowed Fund</t>
  </si>
  <si>
    <t>GreenSquareAccord Limited</t>
  </si>
  <si>
    <t>Heart of England Young Men's Christian Association</t>
  </si>
  <si>
    <t>Heartsease House Community Interest Company</t>
  </si>
  <si>
    <t>Holmwood Tenants Co-operative Limited</t>
  </si>
  <si>
    <t>Lench's Trust</t>
  </si>
  <si>
    <t>Midland Heart Limited</t>
  </si>
  <si>
    <t>Mosscare St. Vincent's Housing Group Limited</t>
  </si>
  <si>
    <t>Nehemiah United Churches Housing Association Limited</t>
  </si>
  <si>
    <t>Reliance Social Housing C.I.C</t>
  </si>
  <si>
    <t>Shahjalal Housing Co-operative Limited</t>
  </si>
  <si>
    <t>Sir Josiah Mason's Almshouse Charity</t>
  </si>
  <si>
    <t>Small Heath Park Housing Co-operative Limited</t>
  </si>
  <si>
    <t>South Road Housing Co-operative Limited</t>
  </si>
  <si>
    <t>St Anne's Hostel</t>
  </si>
  <si>
    <t>St Basil's</t>
  </si>
  <si>
    <t>St Peter's Saltley Housing Association Limited</t>
  </si>
  <si>
    <t>Sustain (UK) Ltd</t>
  </si>
  <si>
    <t>The Harborne Parish Lands Charity</t>
  </si>
  <si>
    <t>The James Charities</t>
  </si>
  <si>
    <t>The Pioneer Housing and Community Group Limited</t>
  </si>
  <si>
    <t>Triangle Housing Co-operative Limited</t>
  </si>
  <si>
    <t>Trident Housing Association Limited</t>
  </si>
  <si>
    <t>Twenty-Fifth Avenue Ltd</t>
  </si>
  <si>
    <t>Victoria Tenants Co-operative Limited</t>
  </si>
  <si>
    <t>Walsall Housing Group Limited</t>
  </si>
  <si>
    <t>Witton Lodge Community Interest Company</t>
  </si>
  <si>
    <t>Yardley Great Trust</t>
  </si>
  <si>
    <t>Blaby District Council</t>
  </si>
  <si>
    <t>Futures Homeway Limited</t>
  </si>
  <si>
    <t>Norton Housing and Support Ltd</t>
  </si>
  <si>
    <t>Care Housing Association Limited</t>
  </si>
  <si>
    <t>Lets for Life</t>
  </si>
  <si>
    <t>Lightbown Cottage Home Trust</t>
  </si>
  <si>
    <t>Onward Homes Limited</t>
  </si>
  <si>
    <t>Regenda Limited</t>
  </si>
  <si>
    <t>Blackpool Borough Council</t>
  </si>
  <si>
    <t>Assured Living Housing Association Limited</t>
  </si>
  <si>
    <t>Community Gateway Association Limited</t>
  </si>
  <si>
    <t>Granville Community Homes Limited</t>
  </si>
  <si>
    <t>Lumen Housing Limited</t>
  </si>
  <si>
    <t>Manchester Unity Housing Association Limited</t>
  </si>
  <si>
    <t>Muir Group Housing Association Limited</t>
  </si>
  <si>
    <t>The Abbeyfield Society</t>
  </si>
  <si>
    <t>Your Housing Limited</t>
  </si>
  <si>
    <t>Bolsover District Council</t>
  </si>
  <si>
    <t>Blackburn YMCA</t>
  </si>
  <si>
    <t>Bolton at Home Limited</t>
  </si>
  <si>
    <t>Irwell Valley Housing Association Limited</t>
  </si>
  <si>
    <t>Jigsaw Homes North</t>
  </si>
  <si>
    <t>My Space Housing Solutions</t>
  </si>
  <si>
    <t>Sensible Housing Co-operative Limited</t>
  </si>
  <si>
    <t>Boston Borough Council</t>
  </si>
  <si>
    <t>Lincolnshire Housing Partnership Limited</t>
  </si>
  <si>
    <t>Lincolnshire Rural Housing Association Limited</t>
  </si>
  <si>
    <t>St Leonard's Hospital</t>
  </si>
  <si>
    <t>Bournemouth, Christchurch and Poole Council</t>
  </si>
  <si>
    <t>Abbeyfield Wessex Society Limited</t>
  </si>
  <si>
    <t>Boscombe Rotary and Inner Wheel Housing Association Limited</t>
  </si>
  <si>
    <t>Bournemouth Churches Housing Association Limited</t>
  </si>
  <si>
    <t>Bournemouth Young Men's Christian Association</t>
  </si>
  <si>
    <t>East Boro Housing Trust Limited</t>
  </si>
  <si>
    <t>Poole Old Peoples Welfare and Housing Society Limited</t>
  </si>
  <si>
    <t>Sandbourne Housing Association</t>
  </si>
  <si>
    <t>St Mungo Community Housing Association</t>
  </si>
  <si>
    <t>W H Saunders &amp; Frank Wareham Charity</t>
  </si>
  <si>
    <t>A2Dominion Housing Options Limited</t>
  </si>
  <si>
    <t>Dovepark Properties Limited</t>
  </si>
  <si>
    <t>Fairplace Homes Ltd</t>
  </si>
  <si>
    <t>City of Bradford Metropolitan District Council</t>
  </si>
  <si>
    <t>Abbeyfield The Dales Limited</t>
  </si>
  <si>
    <t>Bradford Cyrenians Limited</t>
  </si>
  <si>
    <t>Bradford Flower Homes Development Limited</t>
  </si>
  <si>
    <t>Bridge-It Housing UK Team Ltd</t>
  </si>
  <si>
    <t>Butterfield Homes (Cottingley)</t>
  </si>
  <si>
    <t>Butterfield Homes (Wilsden)</t>
  </si>
  <si>
    <t>Centrepoint Soho</t>
  </si>
  <si>
    <t>Charles Edward Sugden's Almshouses</t>
  </si>
  <si>
    <t>Chartford Housing Limited</t>
  </si>
  <si>
    <t>Connect Housing Association Limited</t>
  </si>
  <si>
    <t>George Newton Housing Trust</t>
  </si>
  <si>
    <t>Incommunities Limited</t>
  </si>
  <si>
    <t>Abbeyfield Braintree, Bocking and Felsted Society Limited</t>
  </si>
  <si>
    <t>E W King Memorial Homes</t>
  </si>
  <si>
    <t>United Charities</t>
  </si>
  <si>
    <t>Webster Almshouse Trust</t>
  </si>
  <si>
    <t>Witham Housing Association Limited</t>
  </si>
  <si>
    <t>Breckland Council</t>
  </si>
  <si>
    <t>Broadland Housing Association Limited</t>
  </si>
  <si>
    <t>Legal and General Affordable Homes (Capital) Limited</t>
  </si>
  <si>
    <t>V &amp; F Homes Limited</t>
  </si>
  <si>
    <t>London Borough of Brent</t>
  </si>
  <si>
    <t>Arneway Housing Co-operative Limited</t>
  </si>
  <si>
    <t>Cyron Housing Co-operative Limited</t>
  </si>
  <si>
    <t>Hillside Housing Trust Limited</t>
  </si>
  <si>
    <t>Housing For Women</t>
  </si>
  <si>
    <t>Kilburn Housing Co-operative Limited</t>
  </si>
  <si>
    <t>MP Living Limited</t>
  </si>
  <si>
    <t>Oak Housing Limited</t>
  </si>
  <si>
    <t>Origin Housing 2 Limited</t>
  </si>
  <si>
    <t>Portobello Housing Co-operative Limited</t>
  </si>
  <si>
    <t>Sapphire Independent Housing Limited</t>
  </si>
  <si>
    <t>Tamil Community Housing Association Limited</t>
  </si>
  <si>
    <t>West Hampstead Housing Co-operative Limited</t>
  </si>
  <si>
    <t>Willesden Green Housing Co-operative Limited</t>
  </si>
  <si>
    <t>Brentwood Borough Council</t>
  </si>
  <si>
    <t>B3 Living Limited</t>
  </si>
  <si>
    <t>Brentwood Housing Trust Limited</t>
  </si>
  <si>
    <t>Gateway Housing Association Limited</t>
  </si>
  <si>
    <t>The Shen Place Almshouses</t>
  </si>
  <si>
    <t>Brighton and Hove City Council</t>
  </si>
  <si>
    <t>Abbeyfield South Downs Limited</t>
  </si>
  <si>
    <t>BHT Sussex</t>
  </si>
  <si>
    <t>Brighton Lions Housing Society Limited</t>
  </si>
  <si>
    <t>Brighton YMCA</t>
  </si>
  <si>
    <t>Brighton and Hove Almshouse Charity</t>
  </si>
  <si>
    <t>Chisel Limited</t>
  </si>
  <si>
    <t>Habitare Homes Limited</t>
  </si>
  <si>
    <t>Porthove Housing Association Limited</t>
  </si>
  <si>
    <t>Sussex Housing and Care</t>
  </si>
  <si>
    <t>Sussex Overseas Housing Society Limited</t>
  </si>
  <si>
    <t>Two Piers Housing Co-operative Limited</t>
  </si>
  <si>
    <t>YMCA Downslink Group</t>
  </si>
  <si>
    <t>Bristol City Council</t>
  </si>
  <si>
    <t>Bethany Home</t>
  </si>
  <si>
    <t>Bristol CLT Limited</t>
  </si>
  <si>
    <t>Bristol and Anchor Almshouse Charity</t>
  </si>
  <si>
    <t>Brunelcare</t>
  </si>
  <si>
    <t>King's Barton Housing Association Limited</t>
  </si>
  <si>
    <t>Orchard Homes</t>
  </si>
  <si>
    <t>Somewhere Co-operative Housing Association Limited</t>
  </si>
  <si>
    <t>Sovereign Living Limited</t>
  </si>
  <si>
    <t>The Society of Merchant Venturers' Almshouse Charity</t>
  </si>
  <si>
    <t>West of England Friends Housing Society Limited</t>
  </si>
  <si>
    <t>Broadland District Council</t>
  </si>
  <si>
    <t>London Borough of Bromley</t>
  </si>
  <si>
    <t>Amicus Group Limited</t>
  </si>
  <si>
    <t>Anerley Housing Co-operative Limited</t>
  </si>
  <si>
    <t>Bromley and Croydon Women's Aid Limited</t>
  </si>
  <si>
    <t>Bromley and Sheppard's Colleges Charity</t>
  </si>
  <si>
    <t>Cedarmore Housing Association Limited</t>
  </si>
  <si>
    <t>Croydon Churches Housing Association Limited</t>
  </si>
  <si>
    <t>Ekaya Housing Association Limited</t>
  </si>
  <si>
    <t>Glebe Housing Association Limited</t>
  </si>
  <si>
    <t>Phoenix Community Housing Association (Bellingham and Downham) Limited</t>
  </si>
  <si>
    <t>Phoenix House</t>
  </si>
  <si>
    <t>Pinnacle Affordable Homes Ltd</t>
  </si>
  <si>
    <t>Radcliffe Housing Society Limited</t>
  </si>
  <si>
    <t>St Martin of Tours Housing Association Limited</t>
  </si>
  <si>
    <t>The Abbeyfield London Polish Society Limited</t>
  </si>
  <si>
    <t>Westminster Community Homes Limited</t>
  </si>
  <si>
    <t>Bromsgrove United Charities</t>
  </si>
  <si>
    <t>Rooftop Housing Association Limited</t>
  </si>
  <si>
    <t>Thrive Homes Limited</t>
  </si>
  <si>
    <t>Broxtowe Borough Council</t>
  </si>
  <si>
    <t>Fairhive Homes Limited</t>
  </si>
  <si>
    <t>Greenhill Housing Association</t>
  </si>
  <si>
    <t>Holtspur Housing Association Limited</t>
  </si>
  <si>
    <t>Masonic Housing Association</t>
  </si>
  <si>
    <t>Red Kite Community Housing Limited</t>
  </si>
  <si>
    <t>Rosewood Housing Limited</t>
  </si>
  <si>
    <t>Soha Housing Limited</t>
  </si>
  <si>
    <t>Thame and District Housing Association Limited</t>
  </si>
  <si>
    <t>The Abbeyfield Chalfonts Society Limited</t>
  </si>
  <si>
    <t>Burnley Borough Council</t>
  </si>
  <si>
    <t>Calico Homes Limited</t>
  </si>
  <si>
    <t>Colonel Slater Homes</t>
  </si>
  <si>
    <t>Bury Metropolitan Borough Council</t>
  </si>
  <si>
    <t>Alpha (R.S.L.) Limited</t>
  </si>
  <si>
    <t>Farraday House Limited</t>
  </si>
  <si>
    <t>Jigsaw Homes Tameside</t>
  </si>
  <si>
    <t>Manchester Jewish Housing Association</t>
  </si>
  <si>
    <t>Prestwich and North Western Housing Association Limited</t>
  </si>
  <si>
    <t>Six Town Housing Limited</t>
  </si>
  <si>
    <t>YMCA Trinity Group</t>
  </si>
  <si>
    <t>Calder Valley Community Land Trust Limited</t>
  </si>
  <si>
    <t>Charity Of Elizabeth Wadsworth</t>
  </si>
  <si>
    <t>Frank Crossley's Almshouses</t>
  </si>
  <si>
    <t>IKE Supported Housing Limited</t>
  </si>
  <si>
    <t>Joseph Crossley's Almshouses</t>
  </si>
  <si>
    <t>The Thornton Cottage Homes</t>
  </si>
  <si>
    <t>Cambridge City Council</t>
  </si>
  <si>
    <t>Argyle Street Housing Co-operative Limited</t>
  </si>
  <si>
    <t>Cherry Hinton Almshouse Charity</t>
  </si>
  <si>
    <t>Hundred Houses Society Limited</t>
  </si>
  <si>
    <t>Paradise Housing Co-operative Limited</t>
  </si>
  <si>
    <t>The Cambridge Housing Society Limited</t>
  </si>
  <si>
    <t>The Mary Hatch Almshouses with Diamond Jubilee Cottages</t>
  </si>
  <si>
    <t>Waters Almshouses</t>
  </si>
  <si>
    <t>London Borough of Camden Council</t>
  </si>
  <si>
    <t>Abeona Housing Co-operative Limited</t>
  </si>
  <si>
    <t>Central and Cecil Housing Trust</t>
  </si>
  <si>
    <t>Fairhazel Co-operative Limited</t>
  </si>
  <si>
    <t>Harrison Housing</t>
  </si>
  <si>
    <t>Heathview Tenants' Co-operative Limited</t>
  </si>
  <si>
    <t>Islington and Shoreditch Housing Association Limited</t>
  </si>
  <si>
    <t>North Camden Housing Co-operative Limited</t>
  </si>
  <si>
    <t>Seven Dials Housing Co-operative Limited</t>
  </si>
  <si>
    <t>Soho Housing Association Limited</t>
  </si>
  <si>
    <t>South Camden Housing Co-operative Limited</t>
  </si>
  <si>
    <t>Springboard Two Housing Association Limited</t>
  </si>
  <si>
    <t>St Christopher's Fellowship</t>
  </si>
  <si>
    <t>Women's Pioneer Housing Limited</t>
  </si>
  <si>
    <t>Cannock Chase District Council</t>
  </si>
  <si>
    <t>Aspire Housing Limited</t>
  </si>
  <si>
    <t>BluePine Living Ltd</t>
  </si>
  <si>
    <t>Homes Plus Limited</t>
  </si>
  <si>
    <t>The Birch, Samson and Littleton United Charities</t>
  </si>
  <si>
    <t>The Hopkins and Sneyd Almshouse Charity</t>
  </si>
  <si>
    <t>The Wrekin Housing Group Limited</t>
  </si>
  <si>
    <t>Canterbury City Council</t>
  </si>
  <si>
    <t>Franklyn Housing Co-operative Limited</t>
  </si>
  <si>
    <t>Golden Hill Housing Co-operative Limited</t>
  </si>
  <si>
    <t>Pine Tree Housing Co-operative Limited</t>
  </si>
  <si>
    <t>The Cooper and Adkinson Almshouse Charity</t>
  </si>
  <si>
    <t>Warwick Housing Co-operative Limited</t>
  </si>
  <si>
    <t>Castle Point Borough Council</t>
  </si>
  <si>
    <t>Outreach Housing Limited</t>
  </si>
  <si>
    <t>The Abbeyfield Canvey Island Society Limited</t>
  </si>
  <si>
    <t>Central Bedfordshire Council</t>
  </si>
  <si>
    <t>First Garden Cities Homes Limited</t>
  </si>
  <si>
    <t>Luton Community Housing Limited</t>
  </si>
  <si>
    <t>Toddington United Almshouse Charities</t>
  </si>
  <si>
    <t>Charnwood Borough Council</t>
  </si>
  <si>
    <t>The Charity of Hannah Clarke for Almshouses</t>
  </si>
  <si>
    <t>The Exaireo Trust Ltd</t>
  </si>
  <si>
    <t>Chelmsford City Council</t>
  </si>
  <si>
    <t>The John Henry Keene Memorial Homes</t>
  </si>
  <si>
    <t>Cheltenham Borough Council</t>
  </si>
  <si>
    <t>Bucklehaven</t>
  </si>
  <si>
    <t>Cheltenham Borough Homes Limited</t>
  </si>
  <si>
    <t>Cheltenham Young Men's Christian Association</t>
  </si>
  <si>
    <t>Cottsway Housing Association Limited</t>
  </si>
  <si>
    <t>Gloucester City Homes Limited</t>
  </si>
  <si>
    <t>Cherwell District Council</t>
  </si>
  <si>
    <t>Bromford Home Ownership Limited</t>
  </si>
  <si>
    <t>Vivere Living Limited</t>
  </si>
  <si>
    <t>Charity of Marjorie Hurst</t>
  </si>
  <si>
    <t>Charity of Sarah Jane Wood &amp; Mary A Garnett</t>
  </si>
  <si>
    <t>Cheshire Peaks &amp; Plains Housing Trust Limited</t>
  </si>
  <si>
    <t>Fence Trust</t>
  </si>
  <si>
    <t>Halton Housing</t>
  </si>
  <si>
    <t>Honeycomb Group Limited</t>
  </si>
  <si>
    <t>Magenta Living</t>
  </si>
  <si>
    <t>One Vision Housing Limited</t>
  </si>
  <si>
    <t>Plus Dane Housing Limited</t>
  </si>
  <si>
    <t>Sandbach Almshouse Charity</t>
  </si>
  <si>
    <t>Southway Housing Trust (Manchester) Limited</t>
  </si>
  <si>
    <t>Stanley and Brocklehurst Almshouses</t>
  </si>
  <si>
    <t>Sunny Vale Supported Accommodation Limited</t>
  </si>
  <si>
    <t>The Poynton-with-Worth Almshouse Charity</t>
  </si>
  <si>
    <t>Torus62 Limited</t>
  </si>
  <si>
    <t>Weaver Vale Housing Trust Limited</t>
  </si>
  <si>
    <t>Wythenshawe Community Housing Group Limited</t>
  </si>
  <si>
    <t>YMCA Cheshire Limited</t>
  </si>
  <si>
    <t>Cheshire West and Chester Council</t>
  </si>
  <si>
    <t>Birkenhead Forum Housing Association Limited</t>
  </si>
  <si>
    <t>ForHousing Limited</t>
  </si>
  <si>
    <t>Frontis Homes Limited</t>
  </si>
  <si>
    <t>Grosvenor Hart Homes Limited</t>
  </si>
  <si>
    <t>South Cheshire Housing Society Limited</t>
  </si>
  <si>
    <t>The Abbeyfield Chester Society Limited</t>
  </si>
  <si>
    <t>The Abbeyfield Ellesmere Port Society Limited</t>
  </si>
  <si>
    <t>Wirral Methodist Housing Association Limited</t>
  </si>
  <si>
    <t>Chesterfield Borough Council</t>
  </si>
  <si>
    <t>Alliance Housing Association (South Yorkshire) Limited</t>
  </si>
  <si>
    <t>Arches Housing Limited</t>
  </si>
  <si>
    <t>Chesterfield Churches Housing Association Limited</t>
  </si>
  <si>
    <t>Chichester Greyfriars Housing Association Limited</t>
  </si>
  <si>
    <t>Northchapel, Petworth and Tillington Almshouses</t>
  </si>
  <si>
    <t>PHA Homes Ltd</t>
  </si>
  <si>
    <t>Chorley Council</t>
  </si>
  <si>
    <t>Frances Darlington Charity</t>
  </si>
  <si>
    <t>Harbour Light Assisted Living CIC</t>
  </si>
  <si>
    <t>New Foundations Housing Association Limited</t>
  </si>
  <si>
    <t>City of London Corporation</t>
  </si>
  <si>
    <t>The City of London Almshouses</t>
  </si>
  <si>
    <t>Colchester City Council</t>
  </si>
  <si>
    <t>Balkerne Gardens Trust Limited</t>
  </si>
  <si>
    <t>Mersea Island Trust</t>
  </si>
  <si>
    <t>Peabody Developments Limited</t>
  </si>
  <si>
    <t>St Mary Magdalen's Hospital Almshouse Charity</t>
  </si>
  <si>
    <t>The Henry Gilder Drake Charity</t>
  </si>
  <si>
    <t>The Ogilvie Charities (Deed No.1)</t>
  </si>
  <si>
    <t>Winnocks and Kendalls Almshouse Charity</t>
  </si>
  <si>
    <t>Cornwall Council</t>
  </si>
  <si>
    <t>City of Exeter YMCA</t>
  </si>
  <si>
    <t>Coastline Housing Limited</t>
  </si>
  <si>
    <t>Cornwall CLT Limited</t>
  </si>
  <si>
    <t>Cornwall Housing Limited</t>
  </si>
  <si>
    <t>Cornwall Rural Housing Association Limited</t>
  </si>
  <si>
    <t>Earle's Retreat</t>
  </si>
  <si>
    <t>Emily Brydges Willyams Memorial Houses</t>
  </si>
  <si>
    <t>Ocean Housing Limited</t>
  </si>
  <si>
    <t>Plymouth Community Homes Limited</t>
  </si>
  <si>
    <t>The Abbeyfield Camborne Society Limited</t>
  </si>
  <si>
    <t>The Abbeyfield Saltash Society Limited</t>
  </si>
  <si>
    <t>The Abbeyfield South West Society Limited</t>
  </si>
  <si>
    <t>The Peninsula Trust Limited</t>
  </si>
  <si>
    <t>Westward Housing Group Limited</t>
  </si>
  <si>
    <t>Willow Tree Housing Partnership Limited</t>
  </si>
  <si>
    <t>Cottsway 2</t>
  </si>
  <si>
    <t>Two Rivers Housing</t>
  </si>
  <si>
    <t>Durham County Council</t>
  </si>
  <si>
    <t>Believe Housing Limited</t>
  </si>
  <si>
    <t>Bernicia Group</t>
  </si>
  <si>
    <t>Brandon Aged Persons Homes</t>
  </si>
  <si>
    <t>Castles &amp; Coasts Housing Association Limited</t>
  </si>
  <si>
    <t>Durham Action on Single Housing Limited</t>
  </si>
  <si>
    <t>Durham Aged Mineworkers' Homes Association</t>
  </si>
  <si>
    <t>Foundation</t>
  </si>
  <si>
    <t>Gentoo Group Limited</t>
  </si>
  <si>
    <t>Hellens Residential Limited</t>
  </si>
  <si>
    <t>Jacob Wright's Cottages</t>
  </si>
  <si>
    <t>Jane Cameron's Old People's Charity</t>
  </si>
  <si>
    <t>Karbon Homes Limited</t>
  </si>
  <si>
    <t>Livin Housing Limited</t>
  </si>
  <si>
    <t>North Star Housing Group</t>
  </si>
  <si>
    <t>Railway Housing Association and Benefit Fund</t>
  </si>
  <si>
    <t>Sherburn House Charity</t>
  </si>
  <si>
    <t>The Fairoak Housing Association</t>
  </si>
  <si>
    <t>William Russell Bequest</t>
  </si>
  <si>
    <t>Coventry Church (Municipal) Charities</t>
  </si>
  <si>
    <t>Starley Housing Co-operative Limited</t>
  </si>
  <si>
    <t>Crawley Borough Council</t>
  </si>
  <si>
    <t>Crawley Open House</t>
  </si>
  <si>
    <t>Mount Green Housing Association Limited</t>
  </si>
  <si>
    <t>Raven Housing Trust Limited</t>
  </si>
  <si>
    <t>Transform Housing &amp; Support</t>
  </si>
  <si>
    <t>London Borough of Croydon</t>
  </si>
  <si>
    <t>Addiscombe Catholic Housing Association Limited</t>
  </si>
  <si>
    <t>Ash-Shahada Housing Association Limited</t>
  </si>
  <si>
    <t>Depaul Housing Services</t>
  </si>
  <si>
    <t>Eldon Housing Association Limited</t>
  </si>
  <si>
    <t>Evolve Housing + Support</t>
  </si>
  <si>
    <t>Major Housing Association Limited</t>
  </si>
  <si>
    <t>Quo Vadis Trust</t>
  </si>
  <si>
    <t>Southern Oaks Retirement Living</t>
  </si>
  <si>
    <t>The Abbeyfield Sanderstead Society Limited</t>
  </si>
  <si>
    <t>Eden Housing Association Limited</t>
  </si>
  <si>
    <t>Joseph and Eleanor Gunson Almshouse Trust</t>
  </si>
  <si>
    <t>Keswick Community Housing Trust Limited</t>
  </si>
  <si>
    <t>Mary Hannah Almshouses</t>
  </si>
  <si>
    <t>Mitre Housing Association Limited</t>
  </si>
  <si>
    <t>The Abbeyfield Whitehaven Society Limited</t>
  </si>
  <si>
    <t>Westfield Housing Association Limited</t>
  </si>
  <si>
    <t>Dacorum Borough Council</t>
  </si>
  <si>
    <t>Louisa Cottages Charity</t>
  </si>
  <si>
    <t>The Abbeyfield (Berkhamsted &amp; Hemel Hempstead) Society Limited</t>
  </si>
  <si>
    <t>The Abbeyfield Kings Langley Society Limited</t>
  </si>
  <si>
    <t>Darlington Borough Council</t>
  </si>
  <si>
    <t>700 Club</t>
  </si>
  <si>
    <t>Beyond Housing Limited</t>
  </si>
  <si>
    <t>Broadacres Housing Association Limited</t>
  </si>
  <si>
    <t>New Walk Property Management CIC</t>
  </si>
  <si>
    <t>Sir E D Walker Trust</t>
  </si>
  <si>
    <t>The Abbeyfield (Darlington) Society Limited</t>
  </si>
  <si>
    <t>Dartford Borough Council</t>
  </si>
  <si>
    <t>Darent Housing Co-operative Limited</t>
  </si>
  <si>
    <t>Dartford Almshouse Charity</t>
  </si>
  <si>
    <t>Gravesend Churches Housing Association Limited</t>
  </si>
  <si>
    <t>Heart of Medway Housing Association Limited</t>
  </si>
  <si>
    <t>Derby City Council</t>
  </si>
  <si>
    <t>Annie Sutton and Hoult Memorial Houses</t>
  </si>
  <si>
    <t>Derby Homes Limited</t>
  </si>
  <si>
    <t>Derventio Housing Trust CIC</t>
  </si>
  <si>
    <t>Trent &amp; Dove Housing Limited</t>
  </si>
  <si>
    <t>Derbyshire Dales District Council</t>
  </si>
  <si>
    <t>Ashbourne Almshouse Charity</t>
  </si>
  <si>
    <t>Granby House (Youlgrave and District) Society Limited</t>
  </si>
  <si>
    <t>John Higgs Almshouses</t>
  </si>
  <si>
    <t>Peak District Rural Housing Association Limited</t>
  </si>
  <si>
    <t>Sir Robert Coke's Almshouses</t>
  </si>
  <si>
    <t>City of Doncaster Council</t>
  </si>
  <si>
    <t>Cooke Almshouse Charity</t>
  </si>
  <si>
    <t>Doncaster Young Men's Christian Association</t>
  </si>
  <si>
    <t>The Hospital of St Thomas the Apostle in Doncaster</t>
  </si>
  <si>
    <t>Dorset Council</t>
  </si>
  <si>
    <t>Dorchester Almshouses</t>
  </si>
  <si>
    <t>Magna Housing Limited</t>
  </si>
  <si>
    <t>Sturts Community Trust</t>
  </si>
  <si>
    <t>The Margaret Jane Ashley Almshouse Charity</t>
  </si>
  <si>
    <t>Dover District Council</t>
  </si>
  <si>
    <t>Milldale Housing Co-operative Limited</t>
  </si>
  <si>
    <t>Resthaven Almshouses</t>
  </si>
  <si>
    <t>Dudley Metropolitan Borough Council</t>
  </si>
  <si>
    <t>Churches Housing Assocation of Dudley and District Limited</t>
  </si>
  <si>
    <t>London Borough of Ealing</t>
  </si>
  <si>
    <t>AWOL London Limited</t>
  </si>
  <si>
    <t>Broadway Living RP Limited</t>
  </si>
  <si>
    <t>Co-op Homes (South) Limited</t>
  </si>
  <si>
    <t>Dholak Partnership Homes Limited</t>
  </si>
  <si>
    <t>Ecco Housing Association Limited</t>
  </si>
  <si>
    <t>Housing Pathways Trust</t>
  </si>
  <si>
    <t>Omega Housing Limited</t>
  </si>
  <si>
    <t>Polish Retired Persons Housing Association Limited</t>
  </si>
  <si>
    <t>Thames Valley Housing Association Limited</t>
  </si>
  <si>
    <t>Water Tower Housing Co-operative Limited</t>
  </si>
  <si>
    <t>YMCA St Paul's Group</t>
  </si>
  <si>
    <t>East Devon District Council</t>
  </si>
  <si>
    <t>Abbeyfield (East Devon) Society Ltd</t>
  </si>
  <si>
    <t>Beer Community Land Trust Limited</t>
  </si>
  <si>
    <t>Cornerstone Housing Limited</t>
  </si>
  <si>
    <t>Sidlife Limited</t>
  </si>
  <si>
    <t>Teign Housing</t>
  </si>
  <si>
    <t>The Bampfylde Almshouse Charity</t>
  </si>
  <si>
    <t>East Hertfordshire District Council</t>
  </si>
  <si>
    <t>Braughing Housing Association Limited</t>
  </si>
  <si>
    <t>East Lindsey District Council</t>
  </si>
  <si>
    <t>Lace Housing Limited</t>
  </si>
  <si>
    <t>Leeds Federated Housing Association Limited</t>
  </si>
  <si>
    <t>Swift Homes Limited</t>
  </si>
  <si>
    <t>East Riding Of Yorkshire Council</t>
  </si>
  <si>
    <t>Hull Churches Housing Association Limited</t>
  </si>
  <si>
    <t>Hull and East Yorkshire Mind</t>
  </si>
  <si>
    <t>Joseph Rowntree Housing Trust</t>
  </si>
  <si>
    <t>Pickering and Ferens Homes</t>
  </si>
  <si>
    <t>St Andrew Housing Co-operative Limited</t>
  </si>
  <si>
    <t>YMCA Robin Hood Group</t>
  </si>
  <si>
    <t>East Suffolk Council</t>
  </si>
  <si>
    <t>Asett Homes Ltd</t>
  </si>
  <si>
    <t>MTD Housing Limited</t>
  </si>
  <si>
    <t>Peal Community Housing Limited</t>
  </si>
  <si>
    <t>The Lowestoft Church &amp; Town Almshouse Charity</t>
  </si>
  <si>
    <t>The Sybil Carthew Trust</t>
  </si>
  <si>
    <t>Eastbourne Borough Council</t>
  </si>
  <si>
    <t>Eastleigh Borough Council</t>
  </si>
  <si>
    <t>Collins Memorial Trust</t>
  </si>
  <si>
    <t>Elmbridge Borough Council</t>
  </si>
  <si>
    <t>Kingston upon Thames Churches Housing Association Limited</t>
  </si>
  <si>
    <t>Thames Ditton Homes Limited</t>
  </si>
  <si>
    <t>The Sons of Divine Providence</t>
  </si>
  <si>
    <t>The Whiteley Homes Trust</t>
  </si>
  <si>
    <t>Walton-on-Thames Charity</t>
  </si>
  <si>
    <t>London Borough of Enfield</t>
  </si>
  <si>
    <t>Access Homes Housing Association Limited</t>
  </si>
  <si>
    <t>North London Muslim Housing Association Limited</t>
  </si>
  <si>
    <t>Parasol Homes Limited</t>
  </si>
  <si>
    <t>Stroud Green Housing Co-operative Limited</t>
  </si>
  <si>
    <t>The Skinners'  Almshouse Charity</t>
  </si>
  <si>
    <t>Epping Forest District Council</t>
  </si>
  <si>
    <t>The Baker's Benevolent Society</t>
  </si>
  <si>
    <t>Epsom and Ewell Housing Association Limited</t>
  </si>
  <si>
    <t>Malins Affordable Homes Limited</t>
  </si>
  <si>
    <t>The Grange Centre for People with Disabilities</t>
  </si>
  <si>
    <t>Exeter City Council</t>
  </si>
  <si>
    <t>Exeter Homes Trust</t>
  </si>
  <si>
    <t>Fareham Borough Council</t>
  </si>
  <si>
    <t>Church of England Soldiers' Sailors' and Airmen's Housing Association Limited</t>
  </si>
  <si>
    <t>Portsmouth Rotary Housing Association Limited</t>
  </si>
  <si>
    <t>The Abbeyfield Fareham Society Limited</t>
  </si>
  <si>
    <t>Wisbech Charities</t>
  </si>
  <si>
    <t>Folkestone and Hythe District Council</t>
  </si>
  <si>
    <t>Blenheim Housing Co-operative Limited</t>
  </si>
  <si>
    <t>John Bowley and Sherwood Almshouses</t>
  </si>
  <si>
    <t>Moat Farm Housing Co-operative Limited</t>
  </si>
  <si>
    <t>Shorncliffe Housing Co-operative Limited</t>
  </si>
  <si>
    <t>The Southlands Almshouse Charity</t>
  </si>
  <si>
    <t>Wyedean Housing Association Limited</t>
  </si>
  <si>
    <t>Gateshead Metropolitan Borough Council</t>
  </si>
  <si>
    <t>Adler Housing</t>
  </si>
  <si>
    <t>Keelman Homes Limited</t>
  </si>
  <si>
    <t>Tyne Housing Association Limited</t>
  </si>
  <si>
    <t>Gloucester City Council</t>
  </si>
  <si>
    <t>The Gloucester Charities Trust</t>
  </si>
  <si>
    <t>Gosport Borough Council</t>
  </si>
  <si>
    <t>Agamemnon Housing Association Limited</t>
  </si>
  <si>
    <t>Thorngate Churcher Trust</t>
  </si>
  <si>
    <t>Gravesham Borough Council</t>
  </si>
  <si>
    <t>The Henry Pinnock &amp; Victoria &amp; Albert Memorial Charity</t>
  </si>
  <si>
    <t>Great Yarmouth Borough Council</t>
  </si>
  <si>
    <t>Herring House Trust (Great Yarmouth)</t>
  </si>
  <si>
    <t>The Fishermen's Hospital</t>
  </si>
  <si>
    <t>YMCA Norfolk</t>
  </si>
  <si>
    <t>Royal Borough of Greenwich</t>
  </si>
  <si>
    <t>Greenwich Housing Society Limited</t>
  </si>
  <si>
    <t>New World Housing Association Limited</t>
  </si>
  <si>
    <t>Penn and Widow Smith Almshouses</t>
  </si>
  <si>
    <t>The Drapers' Almshouse Charity</t>
  </si>
  <si>
    <t>Guildford Borough Council</t>
  </si>
  <si>
    <t>Abbeyfield Wey Valley Society Limited</t>
  </si>
  <si>
    <t>Barnwood Housing Co-operative Limited</t>
  </si>
  <si>
    <t>Guildford Sunset Homes</t>
  </si>
  <si>
    <t>Holy Trinity (Guildford) Housing Association Limited</t>
  </si>
  <si>
    <t>The Abbeyfield Pirbright and District Society Ltd</t>
  </si>
  <si>
    <t>The Hospital of William Parson</t>
  </si>
  <si>
    <t>London Borough of Hackney</t>
  </si>
  <si>
    <t>Bangla Housing Association Limited</t>
  </si>
  <si>
    <t>Clissold Housing Co-operative Limited</t>
  </si>
  <si>
    <t>Everbrook Housing Co-operative Limited</t>
  </si>
  <si>
    <t>Hackney Housing Co-operative Limited</t>
  </si>
  <si>
    <t>Hackney Parish Almshouses Charity</t>
  </si>
  <si>
    <t>Hyelm</t>
  </si>
  <si>
    <t>Karin Housing Association Limited</t>
  </si>
  <si>
    <t>Peter Bedford Housing Association Limited</t>
  </si>
  <si>
    <t>Phoenix Community Housing Co-operative Limited</t>
  </si>
  <si>
    <t>Poplar Housing And Regeneration Community Association Limited</t>
  </si>
  <si>
    <t>Providence Row Housing Association</t>
  </si>
  <si>
    <t>Quadrant-Brownswood Tenant Co-operative Limited</t>
  </si>
  <si>
    <t>Shian Housing Association Limited</t>
  </si>
  <si>
    <t>The West Hackney Almshouse Charity</t>
  </si>
  <si>
    <t>YMCA London City and North</t>
  </si>
  <si>
    <t>Livv Housing Group</t>
  </si>
  <si>
    <t>London Borough of Hammersmith and Fulham</t>
  </si>
  <si>
    <t>Almshouse Charity of Sir William Powell</t>
  </si>
  <si>
    <t>Ebony Sistren Housing Association Limited</t>
  </si>
  <si>
    <t>Hammersmith United Charities</t>
  </si>
  <si>
    <t>The Lygon Almshouses</t>
  </si>
  <si>
    <t>The Sir Oswald Stoll Foundation</t>
  </si>
  <si>
    <t>Haringey London Borough Council</t>
  </si>
  <si>
    <t>Grainger Trust Limited</t>
  </si>
  <si>
    <t>Hornsey Housing Trust Limited</t>
  </si>
  <si>
    <t>Ladybur Housing Co-operative Limited</t>
  </si>
  <si>
    <t>New Swift Housing Co-operative Limited</t>
  </si>
  <si>
    <t>Wollaston and Pauncefort Almshouse Charity</t>
  </si>
  <si>
    <t>Woodside Housing Co-operative Limited</t>
  </si>
  <si>
    <t>Harlow District Council</t>
  </si>
  <si>
    <t>Harlow Poors Charities</t>
  </si>
  <si>
    <t>Moat Housing Group Limited</t>
  </si>
  <si>
    <t>London Borough of Harrow</t>
  </si>
  <si>
    <t>Pinner House Society Limited</t>
  </si>
  <si>
    <t>Hartlepool Borough Council</t>
  </si>
  <si>
    <t>The Hartlepools War Memorial Homes &amp; the Crosby Homes</t>
  </si>
  <si>
    <t>Victoria Homes</t>
  </si>
  <si>
    <t>Hastings Borough Council</t>
  </si>
  <si>
    <t>Havant Housing Association Limited</t>
  </si>
  <si>
    <t>London Borough of Havering Council</t>
  </si>
  <si>
    <t>Herefordshire Council</t>
  </si>
  <si>
    <t>Connexus Homes Limited</t>
  </si>
  <si>
    <t>Siward James and Arkwright Trust Charity</t>
  </si>
  <si>
    <t>The Abbeyfield Worcester and Hereford Society Limited</t>
  </si>
  <si>
    <t>The Buchanan Trust</t>
  </si>
  <si>
    <t>Pine Ridge Housing Association Limited</t>
  </si>
  <si>
    <t>High Peak Borough Council</t>
  </si>
  <si>
    <t>London Borough of Hillingdon</t>
  </si>
  <si>
    <t>Dawley Housing Co-operative Limited</t>
  </si>
  <si>
    <t>Harefield Parochial Charities</t>
  </si>
  <si>
    <t>Richmond Housing Partnership Limited</t>
  </si>
  <si>
    <t>The Abbeyfield Uxbridge Society Limited</t>
  </si>
  <si>
    <t>Hinckley and Bosworth Borough Council</t>
  </si>
  <si>
    <t>Royal Air Forces Association Housing Limited</t>
  </si>
  <si>
    <t>London Borough of Hounslow</t>
  </si>
  <si>
    <t>Bedfont Stoney Wall Housing Co-operative Limited</t>
  </si>
  <si>
    <t>Cross Lances Housing Co-operative Limited</t>
  </si>
  <si>
    <t>David Henry Waring Home</t>
  </si>
  <si>
    <t>Green Dragon Lane Housing Co-operative Limited</t>
  </si>
  <si>
    <t>Isleworth &amp; Hounslow Charity Limited</t>
  </si>
  <si>
    <t>Just Circle Limited</t>
  </si>
  <si>
    <t>Old Isleworth Housing Co-operative Limited</t>
  </si>
  <si>
    <t>Refuge</t>
  </si>
  <si>
    <t>Watermans Housing Co-operative Limited</t>
  </si>
  <si>
    <t>Wellington Housing Co-operative Limited</t>
  </si>
  <si>
    <t>Ramsey Welfare Charities</t>
  </si>
  <si>
    <t>Ipswich Borough Council</t>
  </si>
  <si>
    <t>The Abbeyfield Orwell Extra Care Society Limited</t>
  </si>
  <si>
    <t>The Mills Charity</t>
  </si>
  <si>
    <t>William Paul Housing Trust</t>
  </si>
  <si>
    <t>Isle of Wight Council</t>
  </si>
  <si>
    <t>Island Cottages Limited</t>
  </si>
  <si>
    <t>The Abbeyfield Shanklin Society Limited</t>
  </si>
  <si>
    <t>Vectis Housing Association Limited</t>
  </si>
  <si>
    <t>Council of the Isles of Scilly</t>
  </si>
  <si>
    <t>London Borough of Islington</t>
  </si>
  <si>
    <t>Barnsbury Housing Association</t>
  </si>
  <si>
    <t>Finsbury Park Housing Co-operative Limited</t>
  </si>
  <si>
    <t>Great Wall Society Limited</t>
  </si>
  <si>
    <t>Islington Community Housing Co-operative Limited</t>
  </si>
  <si>
    <t>Metropolitan Benefit Societies' Almshouses</t>
  </si>
  <si>
    <t>Old Etonian Housing Association Limited</t>
  </si>
  <si>
    <t>Richmond Avenue Housing Co-operative Limited</t>
  </si>
  <si>
    <t>South Mildmay Tenants Co-operative Limited</t>
  </si>
  <si>
    <t>Waverley (Eighth) Co-operative Housing Association Limited</t>
  </si>
  <si>
    <t>Royal Borough of Kensington and Chelsea</t>
  </si>
  <si>
    <t>Notting Dale Housing Co-operative Limited</t>
  </si>
  <si>
    <t>St Joseph's Almshouses</t>
  </si>
  <si>
    <t>Borough Council of King’s Lynn &amp; West Norfolk</t>
  </si>
  <si>
    <t>Freebridge Community Housing Limited</t>
  </si>
  <si>
    <t>West Norfolk Housing Company Ltd</t>
  </si>
  <si>
    <t>Kingston upon Hull City Council</t>
  </si>
  <si>
    <t>Goodwin Development Trust</t>
  </si>
  <si>
    <t>Hull House Improvement Society Limited</t>
  </si>
  <si>
    <t>Hull Resettlement Project Limited</t>
  </si>
  <si>
    <t>Hull United Charities</t>
  </si>
  <si>
    <t>Winner Trading Ltd</t>
  </si>
  <si>
    <t>Royal Borough of Kingston Upon Thames</t>
  </si>
  <si>
    <t>Millat Asian Housing Association Limited</t>
  </si>
  <si>
    <t>Kirklees Metropolitan Borough Council</t>
  </si>
  <si>
    <t>First Choice Homes Oldham Limited</t>
  </si>
  <si>
    <t>Kirklees Housing Association Limited</t>
  </si>
  <si>
    <t>Pinnacle Spaces Limited</t>
  </si>
  <si>
    <t>St Anne's Community Services</t>
  </si>
  <si>
    <t>Unity Housing Association Limited</t>
  </si>
  <si>
    <t>Cherryfield Housing Co-operative Limited</t>
  </si>
  <si>
    <t>Cobalt Housing Limited</t>
  </si>
  <si>
    <t>Huyton Community Co-operative for the Elderly Limited</t>
  </si>
  <si>
    <t>Knowsley Residents Housing Co-operative Limited</t>
  </si>
  <si>
    <t>Prima Housing Group Limited</t>
  </si>
  <si>
    <t>Redwing Living Limited</t>
  </si>
  <si>
    <t>Springwood Housing Co-operative Limited</t>
  </si>
  <si>
    <t>Westvale Housing Co-operative Limited</t>
  </si>
  <si>
    <t>London Borough of Lambeth</t>
  </si>
  <si>
    <t>Bonham and Strathleven Tenants Co-operative Limited</t>
  </si>
  <si>
    <t>Brixton Housing Co-operative Limited</t>
  </si>
  <si>
    <t>Coin Street Secondary Housing Co-operative Limited</t>
  </si>
  <si>
    <t>Dolphin Housing Limited</t>
  </si>
  <si>
    <t>Edward Henry House Co-operative Limited</t>
  </si>
  <si>
    <t>HFL Homes Limited</t>
  </si>
  <si>
    <t>Hatch Row Housing Co-operative Limited</t>
  </si>
  <si>
    <t>Hibbert Almshouse Charity</t>
  </si>
  <si>
    <t>Hourglass Housing Co-operative Limited</t>
  </si>
  <si>
    <t>Hyde Southbank Homes Limited</t>
  </si>
  <si>
    <t>Iroko Housing Co-operative Limited</t>
  </si>
  <si>
    <t>Lambeth Self Help Housing Association Limited</t>
  </si>
  <si>
    <t>Lambeth and Southwark Housing Association Limited</t>
  </si>
  <si>
    <t>Miller Walk Housing Co-operative Limited</t>
  </si>
  <si>
    <t>Mulberry Housing Co-operative Limited</t>
  </si>
  <si>
    <t>Palm Housing Co-operative Limited</t>
  </si>
  <si>
    <t>Park Hill Housing Co-operative Limited</t>
  </si>
  <si>
    <t>Pearman Street Co-operative Limited</t>
  </si>
  <si>
    <t>Thames Reach Housing</t>
  </si>
  <si>
    <t>The Abbeyfield (Streatham) Society Limited</t>
  </si>
  <si>
    <t>The New Cut Housing Co-operative Limited</t>
  </si>
  <si>
    <t>Thrale Almshouse and Relief in Need Charity</t>
  </si>
  <si>
    <t>Trinity Homes</t>
  </si>
  <si>
    <t>Vine Housing Co-operative Limited</t>
  </si>
  <si>
    <t>Watmos Community Homes</t>
  </si>
  <si>
    <t>West London Mission Housing Association Limited</t>
  </si>
  <si>
    <t>Whicher and Kifford Almshouses</t>
  </si>
  <si>
    <t>Lancaster City Council</t>
  </si>
  <si>
    <t>Castle Housing Limited</t>
  </si>
  <si>
    <t>Lune Valley Rural Housing Association Limited</t>
  </si>
  <si>
    <t>South Lakes Housing</t>
  </si>
  <si>
    <t>Leeds City Council</t>
  </si>
  <si>
    <t>Forest Hill (Sheltered) Housing Limited</t>
  </si>
  <si>
    <t>Harrison and Potter Trust</t>
  </si>
  <si>
    <t>Isis Housing Co-operative Limited</t>
  </si>
  <si>
    <t>Leeds Jewish Housing Association Limited</t>
  </si>
  <si>
    <t>Marsden Memorial Homes</t>
  </si>
  <si>
    <t>Preferred Homes Limited</t>
  </si>
  <si>
    <t>Tangram Housing Co-operative Limited</t>
  </si>
  <si>
    <t>The Aberford Almshouses</t>
  </si>
  <si>
    <t>The Robert Salter Charity</t>
  </si>
  <si>
    <t>Leicester City Council</t>
  </si>
  <si>
    <t>Belgrave Neighbourhood Co-operative Housing Association Limited</t>
  </si>
  <si>
    <t>Cossington Housing Co-operative Limited</t>
  </si>
  <si>
    <t>Maynard Co-operative Housing Association Limited</t>
  </si>
  <si>
    <t>Ross Walk Housing Co-operative Limited</t>
  </si>
  <si>
    <t>The St Michael's Housing Trust</t>
  </si>
  <si>
    <t>YMCA Leicestershire</t>
  </si>
  <si>
    <t>Lewes District Council</t>
  </si>
  <si>
    <t>Fitzgerald Charity</t>
  </si>
  <si>
    <t>Old Ben Homes Limited</t>
  </si>
  <si>
    <t>Peacehaven and Telscombe Housing Association Limited</t>
  </si>
  <si>
    <t>The Abbeyfield Crowborough Society Limited</t>
  </si>
  <si>
    <t>London Borough of Lewisham</t>
  </si>
  <si>
    <t>Brockley Tenants Co-operative Limited</t>
  </si>
  <si>
    <t>Dennetts Housing Co-operative Limited</t>
  </si>
  <si>
    <t>J49 Ltd</t>
  </si>
  <si>
    <t>Kirkdale Housing Co-operative Limited</t>
  </si>
  <si>
    <t>Lammerton Housing Co-operative Limited</t>
  </si>
  <si>
    <t>Lewisham Family Co-operative Association Limited</t>
  </si>
  <si>
    <t>May Day Permanent Housing Co-operative Limited</t>
  </si>
  <si>
    <t>New Venture Housing Co-operative Limited</t>
  </si>
  <si>
    <t>Sydenham Housing Co-operative Limited</t>
  </si>
  <si>
    <t>The Abbeyfield Deptford Society Limited</t>
  </si>
  <si>
    <t>The Merchant Taylors' Boone's Charity</t>
  </si>
  <si>
    <t>Lichfield District Council</t>
  </si>
  <si>
    <t>City of Lincoln Council</t>
  </si>
  <si>
    <t>Lincolnshire Employment Accommodation Project Limited</t>
  </si>
  <si>
    <t>Lincolnshire Y.M.C.A. Ltd</t>
  </si>
  <si>
    <t>Liverpool City Council</t>
  </si>
  <si>
    <t>Alt Housing Co-operative Limited</t>
  </si>
  <si>
    <t>Brownlow Hill Housing Co-operative Limited</t>
  </si>
  <si>
    <t>Canning Housing Co-operative Limited</t>
  </si>
  <si>
    <t>Cathedral Mansions Housing Co-operative Limited</t>
  </si>
  <si>
    <t>City Of Liverpool YMCA (Incorporated)</t>
  </si>
  <si>
    <t>Co-operative Schemes for the Elderly Limited</t>
  </si>
  <si>
    <t>Corn and Yates Streets Housing Co-operative Limited</t>
  </si>
  <si>
    <t>Croft Housing Association Limited</t>
  </si>
  <si>
    <t>Crosby Housing Association Limited</t>
  </si>
  <si>
    <t>Dingle Residents Co-operative Limited</t>
  </si>
  <si>
    <t>Eldonian Community Based Housing Association Limited</t>
  </si>
  <si>
    <t>Excel Housing Solutions</t>
  </si>
  <si>
    <t>Grafton Crescent Housing Co-operative Limited</t>
  </si>
  <si>
    <t>Hamlet Village Housing Co-operative Limited</t>
  </si>
  <si>
    <t>Hesketh Street Housing Co-operative Limited</t>
  </si>
  <si>
    <t>Holt Road Area Housing Co-operative Limited</t>
  </si>
  <si>
    <t>Holyland Housing Co-operative Limited</t>
  </si>
  <si>
    <t>Kentish Homes Limited</t>
  </si>
  <si>
    <t>Langrove Community Housing Co-operative Limited</t>
  </si>
  <si>
    <t>Lark Lane Housing Co-operative Limited</t>
  </si>
  <si>
    <t>Leta/Claudia Streets Housing Co-operative Limited</t>
  </si>
  <si>
    <t>Liverpool Gingerbread Housing Co-operative Limited</t>
  </si>
  <si>
    <t>Liverpool Jewish Housing Association Limited</t>
  </si>
  <si>
    <t>Lodge Lane East Co-operative Housing Limited</t>
  </si>
  <si>
    <t>Mill Street Co-operative Limited</t>
  </si>
  <si>
    <t>Newleaf Housing Co-operative Limited</t>
  </si>
  <si>
    <t>Pine Court Housing Association Limited</t>
  </si>
  <si>
    <t>Prince Albert Gardens Housing Co-operative Limited</t>
  </si>
  <si>
    <t>Princes Park Housing Co-operative Limited</t>
  </si>
  <si>
    <t>RealHousingCo Limited</t>
  </si>
  <si>
    <t>Rusland Road Housing Co-operative Limited</t>
  </si>
  <si>
    <t>Shorefields Co-operative Limited</t>
  </si>
  <si>
    <t>South Liverpool Homes Limited</t>
  </si>
  <si>
    <t>Southdene Housing Co-operative Limited</t>
  </si>
  <si>
    <t>Southern Crescent Co-operative Limited</t>
  </si>
  <si>
    <t>Steve Biko Housing Association Limited</t>
  </si>
  <si>
    <t>Thirlmere Housing Co-operative Limited</t>
  </si>
  <si>
    <t>Weller Streets Housing Co-operative Limited</t>
  </si>
  <si>
    <t>Luton Borough Council</t>
  </si>
  <si>
    <t>Aylott Janes Almshouses</t>
  </si>
  <si>
    <t>Keystage C.I.C</t>
  </si>
  <si>
    <t>Maidstone Borough Council</t>
  </si>
  <si>
    <t>AccommodationYes Limited</t>
  </si>
  <si>
    <t>Allnutt Mill Housing Co-operative Limited</t>
  </si>
  <si>
    <t>Oakapple Housing Co-operative Limited</t>
  </si>
  <si>
    <t>Oast Wood Housing Co-operative Limited</t>
  </si>
  <si>
    <t>Peace Cottages Charity</t>
  </si>
  <si>
    <t>Senacre Housing Co-operative Limited</t>
  </si>
  <si>
    <t>The Honywood and Douglas Charity</t>
  </si>
  <si>
    <t>Westree Road Housing Co-operative Limited</t>
  </si>
  <si>
    <t>Maldon District Council</t>
  </si>
  <si>
    <t>Maldon Housing Association Limited</t>
  </si>
  <si>
    <t>Platform Housing Group Limited</t>
  </si>
  <si>
    <t>The Community Housing Group Limited</t>
  </si>
  <si>
    <t>Manchester City Council</t>
  </si>
  <si>
    <t>Arawak Walton Housing Association Limited</t>
  </si>
  <si>
    <t>Commonplace Housing Co-operative Limited</t>
  </si>
  <si>
    <t>Homes for Change Limited</t>
  </si>
  <si>
    <t>New Longsight Housing Co-operative Limited</t>
  </si>
  <si>
    <t>One Manchester Limited</t>
  </si>
  <si>
    <t>People First Housing Association Limited</t>
  </si>
  <si>
    <t>Second Chance Housing Ltd</t>
  </si>
  <si>
    <t>The Edward Mayes Trust</t>
  </si>
  <si>
    <t>ZAH Housing Co-operative Limited</t>
  </si>
  <si>
    <t>Mansfield District Council</t>
  </si>
  <si>
    <t>Brunts Charity</t>
  </si>
  <si>
    <t>Medway Council</t>
  </si>
  <si>
    <t>Anchor Property Holdings Limited</t>
  </si>
  <si>
    <t>Delce Manor Housing Co-operative Limited</t>
  </si>
  <si>
    <t>King George V Memorial Houses</t>
  </si>
  <si>
    <t>Melton Borough Council</t>
  </si>
  <si>
    <t>London Borough of Merton</t>
  </si>
  <si>
    <t>The Cinque Cottages</t>
  </si>
  <si>
    <t>Mid Devon District Council</t>
  </si>
  <si>
    <t>Falcon Rural Housing Limited</t>
  </si>
  <si>
    <t>The Abbeyfield Tiverton Society Limited</t>
  </si>
  <si>
    <t>Tiverton Almshouse Trust</t>
  </si>
  <si>
    <t>UCCLT Housing Ltd</t>
  </si>
  <si>
    <t>Mid Suffolk District Council</t>
  </si>
  <si>
    <t>Retirement Lease Housing Association</t>
  </si>
  <si>
    <t>Franklands Village Housing Association Limited</t>
  </si>
  <si>
    <t>James Bradford Almshouses Trust</t>
  </si>
  <si>
    <t>Middlesbrough Council</t>
  </si>
  <si>
    <t>Oxfield Housing Co-operative Association Limited</t>
  </si>
  <si>
    <t>Milton Keynes Council</t>
  </si>
  <si>
    <t>3CHA Ltd</t>
  </si>
  <si>
    <t>Almshouses of Miss Anne Hopkins-Smith</t>
  </si>
  <si>
    <t>Milton Keynes YMCA Limited</t>
  </si>
  <si>
    <t>Old Farm Park Housing Co-operative Limited</t>
  </si>
  <si>
    <t>Mole Valley District Council</t>
  </si>
  <si>
    <t>Dorking Charity</t>
  </si>
  <si>
    <t>Ockley Housing Association Limited</t>
  </si>
  <si>
    <t>New Forest District Council</t>
  </si>
  <si>
    <t>MuirCroft Housing Association Limited</t>
  </si>
  <si>
    <t>Newark and Sherwood District Council</t>
  </si>
  <si>
    <t>Newark Housing Association Limited</t>
  </si>
  <si>
    <t>The Charity of St Leonard's Hospital</t>
  </si>
  <si>
    <t>The Newark Emmaus Trust</t>
  </si>
  <si>
    <t>Newcastle City Council</t>
  </si>
  <si>
    <t>Albion Housing Co-operative Limited</t>
  </si>
  <si>
    <t>Falconar Street Housing Co-operative Limited</t>
  </si>
  <si>
    <t>Hospital of St Mary The Virgin (Rye Hill &amp; Benwell)</t>
  </si>
  <si>
    <t>Leazes Homes Limited</t>
  </si>
  <si>
    <t>New Moves Housing Co-operative Limited</t>
  </si>
  <si>
    <t>North East Housing Association Limited</t>
  </si>
  <si>
    <t>Summerhill Housing Co-operative (Newcastle) Limited</t>
  </si>
  <si>
    <t>West End Housing Co-operative Limited</t>
  </si>
  <si>
    <t>Brighter Futures Housing Association Limited</t>
  </si>
  <si>
    <t>Choices Housing Association Limited</t>
  </si>
  <si>
    <t>Empowering People Inspiring Communities Limited</t>
  </si>
  <si>
    <t>London Borough of Newham</t>
  </si>
  <si>
    <t>Bahay Kubo Housing Association Limited</t>
  </si>
  <si>
    <t>Home from Home Housing Association Limited</t>
  </si>
  <si>
    <t>Longlife Housing Co-operative Limited</t>
  </si>
  <si>
    <t>Populo Homes</t>
  </si>
  <si>
    <t>Spitalfields Housing Association Limited</t>
  </si>
  <si>
    <t>West Ham Non-Ecclesiastical Charity</t>
  </si>
  <si>
    <t>Winsor Housing Co-operative Limited</t>
  </si>
  <si>
    <t>Your Place (London) Limited</t>
  </si>
  <si>
    <t>North Devon Homes</t>
  </si>
  <si>
    <t>The Abbeyfield South Molton Society Limited</t>
  </si>
  <si>
    <t>North East Derbyshire District Council</t>
  </si>
  <si>
    <t>Rykneld Homes Limited</t>
  </si>
  <si>
    <t>Grantham's Almshouses</t>
  </si>
  <si>
    <t>Grimsby &amp; Cleethorpes Area Doorstep</t>
  </si>
  <si>
    <t>Grimsby Cleethorpes and Humber Region Y.M.C.A.</t>
  </si>
  <si>
    <t>North Kesteven District Council</t>
  </si>
  <si>
    <t>The Teetotal Homes</t>
  </si>
  <si>
    <t>North Norfolk District Council</t>
  </si>
  <si>
    <t>Homes for Wells Limited</t>
  </si>
  <si>
    <t>North Northamptonshire Council</t>
  </si>
  <si>
    <t>Greatwell Homes Limited</t>
  </si>
  <si>
    <t>Northamptonshire Rural Housing Association Limited</t>
  </si>
  <si>
    <t>Parson Latham's Hospital In Barnwell</t>
  </si>
  <si>
    <t>The Louisa Lilley Almshouses</t>
  </si>
  <si>
    <t>Zen Housing Ltd</t>
  </si>
  <si>
    <t>North Somerset Council</t>
  </si>
  <si>
    <t>Locking Deanery Housing Society Limited</t>
  </si>
  <si>
    <t>Sidcot Friends Housing Society Limited</t>
  </si>
  <si>
    <t>North Tyneside Council</t>
  </si>
  <si>
    <t>Square Building Trust Limited</t>
  </si>
  <si>
    <t>The Tyne Mariners' Benevolent Institution</t>
  </si>
  <si>
    <t>YMCA North Tyneside</t>
  </si>
  <si>
    <t>North Warwickshire Borough Council</t>
  </si>
  <si>
    <t>Warwickshire Rural Housing Association Limited</t>
  </si>
  <si>
    <t>North West Leicestershire District Council</t>
  </si>
  <si>
    <t>Farmer and Lemmoin-Cannon Charity</t>
  </si>
  <si>
    <t>North Yorkshire Council</t>
  </si>
  <si>
    <t>Butterfield Homes - Crosshills</t>
  </si>
  <si>
    <t>Harrogate Flower Fund Homes Limited</t>
  </si>
  <si>
    <t>Harrogate Housing Association Limited</t>
  </si>
  <si>
    <t>Harrogate Neighbours Housing Association Limited</t>
  </si>
  <si>
    <t>John Pease Cottages</t>
  </si>
  <si>
    <t>Lady Lumley's Almshouses</t>
  </si>
  <si>
    <t>Ripon Municipal Charity</t>
  </si>
  <si>
    <t>Ripon YMCA</t>
  </si>
  <si>
    <t>Roger's Almshouses</t>
  </si>
  <si>
    <t>The Abbeyfield (Ripon and District) Society Limited</t>
  </si>
  <si>
    <t>The Abbeyfield Thirsk &amp; Sowerby Society Limited</t>
  </si>
  <si>
    <t>The Harcourt Almshouse Charities</t>
  </si>
  <si>
    <t>The Hospital of Reverend William James</t>
  </si>
  <si>
    <t>Whitby Merchant Seamen's Hospital Houses</t>
  </si>
  <si>
    <t>Northumberland County Council</t>
  </si>
  <si>
    <t>Abbeyfield Northumbria</t>
  </si>
  <si>
    <t>Ben-Motor and Allied Trades Benevolent Fund</t>
  </si>
  <si>
    <t>Bomarsund Housing Co-operative Limited</t>
  </si>
  <si>
    <t>Earsdon, Newburn and Shilbottle Almshouse Charity</t>
  </si>
  <si>
    <t>Hirst Housing Co-operative Limited</t>
  </si>
  <si>
    <t>The Glendale Gateway Trust</t>
  </si>
  <si>
    <t>The Hunter Memorial Homes Trust</t>
  </si>
  <si>
    <t>Norwich City Council</t>
  </si>
  <si>
    <t>Corton House Limited</t>
  </si>
  <si>
    <t>Great Hospital</t>
  </si>
  <si>
    <t>Norwich Consolidated Charities</t>
  </si>
  <si>
    <t>Norwich Housing Society Limited</t>
  </si>
  <si>
    <t>Rotary House For The Deaf Limited</t>
  </si>
  <si>
    <t>The Stuart Court Memorial Charity</t>
  </si>
  <si>
    <t>Nottingham City Council</t>
  </si>
  <si>
    <t>Mansfield Road (Nottingham) Baptist Housing Association Limited</t>
  </si>
  <si>
    <t>Nottingham City Homes Registered Provider Limited</t>
  </si>
  <si>
    <t>Purlin Housing Co-operative Limited</t>
  </si>
  <si>
    <t>William Henry Hirst Memorial Homes</t>
  </si>
  <si>
    <t>Nuneaton And Bedworth Borough Council</t>
  </si>
  <si>
    <t>Flint Housing Limited</t>
  </si>
  <si>
    <t>Nicholas Chamberlaine's Hospital &amp; Sermon</t>
  </si>
  <si>
    <t>Oadby and Wigston Borough Council</t>
  </si>
  <si>
    <t>Bethel Housing Association Limited</t>
  </si>
  <si>
    <t>The North Memorial Homes City of Leicester</t>
  </si>
  <si>
    <t>Oldham Metropolitan Borough Council</t>
  </si>
  <si>
    <t>Oxford City Council</t>
  </si>
  <si>
    <t>St Luke's Housing Society Limited</t>
  </si>
  <si>
    <t>The Abbeyfield Oxford Society Limited</t>
  </si>
  <si>
    <t>Peter Birtwistle Trust</t>
  </si>
  <si>
    <t>Peterborough City Council</t>
  </si>
  <si>
    <t>Plymouth City Council</t>
  </si>
  <si>
    <t>Dame Bertha Lopes Almshouses</t>
  </si>
  <si>
    <t>Municipal Charities</t>
  </si>
  <si>
    <t>Plymouth Charity Trust</t>
  </si>
  <si>
    <t>Portsmouth City Council</t>
  </si>
  <si>
    <t>Elm Trees Retirement Living Limited</t>
  </si>
  <si>
    <t>Portsmouth Churches Housing Association Limited</t>
  </si>
  <si>
    <t>Southsea Self Help Housing Limited</t>
  </si>
  <si>
    <t>The Lord Mayor of Portsmouth's Coronation Homes</t>
  </si>
  <si>
    <t>Reading Borough Council</t>
  </si>
  <si>
    <t>Orts Road Housing Co-operative Limited</t>
  </si>
  <si>
    <t>Reading YMCA</t>
  </si>
  <si>
    <t>London Borough of Redbridge</t>
  </si>
  <si>
    <t>Forest Housing Association Limited</t>
  </si>
  <si>
    <t>Homesdale (Woodford Baptist Homes) Limited</t>
  </si>
  <si>
    <t>Sir William Turner's Hospital</t>
  </si>
  <si>
    <t>Redditch Borough Council</t>
  </si>
  <si>
    <t>New Outlook Housing Association Limited</t>
  </si>
  <si>
    <t>Worcestershire YMCA Limited</t>
  </si>
  <si>
    <t>Reigate and Banstead Borough Council</t>
  </si>
  <si>
    <t>YMCA East Surrey</t>
  </si>
  <si>
    <t>Ribble Valley Borough Council</t>
  </si>
  <si>
    <t>The Abbeyfield Lancashire Extra Care Society Limited</t>
  </si>
  <si>
    <t>Waddington Hospital</t>
  </si>
  <si>
    <t>London Borough of Richmond Upon Thames</t>
  </si>
  <si>
    <t>Richmond Co-operative Housing Association Limited</t>
  </si>
  <si>
    <t>The Barnes Fund</t>
  </si>
  <si>
    <t>The Hampton Parochial Charities</t>
  </si>
  <si>
    <t>Blue Pits Housing Action</t>
  </si>
  <si>
    <t>Rochdale Boroughwide Housing Limited</t>
  </si>
  <si>
    <t>Spotland and Falinge Housing Association Limited</t>
  </si>
  <si>
    <t>Rossendale Borough Council</t>
  </si>
  <si>
    <t>Rother District Council</t>
  </si>
  <si>
    <t>Five Villages Home Association Limited</t>
  </si>
  <si>
    <t>Rotherham Metropolitan Borough Council</t>
  </si>
  <si>
    <t>Rugby Borough Council</t>
  </si>
  <si>
    <t>Butlin and Elborow Housing Trust</t>
  </si>
  <si>
    <t>Clifton Parish Houses</t>
  </si>
  <si>
    <t>Runnymede Borough Council</t>
  </si>
  <si>
    <t>Stewart's and Budgen's Almshouses</t>
  </si>
  <si>
    <t>Sutton Bonington and Normanton Social Service Association</t>
  </si>
  <si>
    <t>Rushmoor Borough Council</t>
  </si>
  <si>
    <t>Elles Housing Co-operative Limited</t>
  </si>
  <si>
    <t>The Hospital of St John the Evangelist and of St Anne in Okeham</t>
  </si>
  <si>
    <t>Salford City Council</t>
  </si>
  <si>
    <t>Derive RP Limited</t>
  </si>
  <si>
    <t>Humphrey Booth Housing Charity</t>
  </si>
  <si>
    <t>Project 34</t>
  </si>
  <si>
    <t>Salix Homes Limited</t>
  </si>
  <si>
    <t>Sandwell Metropolitan Borough Council</t>
  </si>
  <si>
    <t>Lyng Community Association</t>
  </si>
  <si>
    <t>Sandwell Homeless and Resettlement Project Limited</t>
  </si>
  <si>
    <t>YMCA Black Country Group</t>
  </si>
  <si>
    <t>Sefton Metropolitan Borough Council</t>
  </si>
  <si>
    <t>Becket Trust Housing Association Limited</t>
  </si>
  <si>
    <t>Margaret Hyde Charity</t>
  </si>
  <si>
    <t>Rockdale Housing Association Limited</t>
  </si>
  <si>
    <t>Sheffield City Council</t>
  </si>
  <si>
    <t>Almshouse Charity of Hannah Rawson</t>
  </si>
  <si>
    <t>Padley Housing Association Limited</t>
  </si>
  <si>
    <t>Shropshire Council</t>
  </si>
  <si>
    <t>Hosyer-Foxe Charity</t>
  </si>
  <si>
    <t>Shrewsbury Drapers Company Charity</t>
  </si>
  <si>
    <t>Shropshire Association for Supported Housing Limited</t>
  </si>
  <si>
    <t>Shropshire Rural Housing Association Limited</t>
  </si>
  <si>
    <t>Sir Job Charlton's Hospital Charity</t>
  </si>
  <si>
    <t>The Abbeyfield Bishop's Castle and  District Society Limited</t>
  </si>
  <si>
    <t>Trinity Hospital at Clun</t>
  </si>
  <si>
    <t>Slough Borough Council</t>
  </si>
  <si>
    <t>Northborough Housing Co-operative Limited</t>
  </si>
  <si>
    <t>Solihull Metropolitan Borough Council</t>
  </si>
  <si>
    <t>Berkswell Charities</t>
  </si>
  <si>
    <t>Rayner House and Yew Trees Limited</t>
  </si>
  <si>
    <t>Solihull Care Housing Association Limited</t>
  </si>
  <si>
    <t>The Berrow Cottage Homes</t>
  </si>
  <si>
    <t>Somerset Council</t>
  </si>
  <si>
    <t>City of Wells Almshouses</t>
  </si>
  <si>
    <t>Cooke's Almshouse Charity</t>
  </si>
  <si>
    <t>French Weir Affordable Homes LLP</t>
  </si>
  <si>
    <t>Old Cleeve Memorial Cottages</t>
  </si>
  <si>
    <t>SHAL Housing Limited</t>
  </si>
  <si>
    <t>Shepton Mallet United Charities</t>
  </si>
  <si>
    <t>Taunton Heritage Trust</t>
  </si>
  <si>
    <t>The Abbeyfield (Wells) Society Limited</t>
  </si>
  <si>
    <t>The Blue House</t>
  </si>
  <si>
    <t>Woborn's Almshouse</t>
  </si>
  <si>
    <t>YMCA Brunel Group</t>
  </si>
  <si>
    <t>South Cambridgeshire District Council</t>
  </si>
  <si>
    <t>South Derbyshire District Council</t>
  </si>
  <si>
    <t>Aston Almshouse Charity</t>
  </si>
  <si>
    <t>Marshfield Consolidated Charities</t>
  </si>
  <si>
    <t>The Perry Almshouse Charity</t>
  </si>
  <si>
    <t>South Hams District Council</t>
  </si>
  <si>
    <t>South Holland District Council</t>
  </si>
  <si>
    <t>South Kesteven District Council</t>
  </si>
  <si>
    <t>South Norfolk Council</t>
  </si>
  <si>
    <t>South Oxfordshire District Council</t>
  </si>
  <si>
    <t>Angiers Almshouse Charity</t>
  </si>
  <si>
    <t>Henley YMCA</t>
  </si>
  <si>
    <t>Henley and District Housing Trust Limited</t>
  </si>
  <si>
    <t>South Ribble Borough Council</t>
  </si>
  <si>
    <t>South Tyneside Council</t>
  </si>
  <si>
    <t>Southampton City Council</t>
  </si>
  <si>
    <t>Hamwic Housing Co-operative Limited</t>
  </si>
  <si>
    <t>Thorner's Homes</t>
  </si>
  <si>
    <t>Southend on Sea City Council</t>
  </si>
  <si>
    <t>Avocet Care &amp; Support Ltd</t>
  </si>
  <si>
    <t>CWL Housing</t>
  </si>
  <si>
    <t>Homeless Action Resource Project</t>
  </si>
  <si>
    <t>Southend-on-Sea Young Men's Christian Association</t>
  </si>
  <si>
    <t>Southwark Council</t>
  </si>
  <si>
    <t>Arundel Buildings Housing Co-operative Limited</t>
  </si>
  <si>
    <t>Brandrams Housing Co-operative Limited</t>
  </si>
  <si>
    <t>Brighton Buildings Housing Co-operative Limited</t>
  </si>
  <si>
    <t>Ekarro Housing Co-operative Limited</t>
  </si>
  <si>
    <t>Helen Peele Memorial Almshouses</t>
  </si>
  <si>
    <t>Hopton's Charity</t>
  </si>
  <si>
    <t>Redwood Housing Co-operative Limited</t>
  </si>
  <si>
    <t>Rotherhithe Waterside Limited</t>
  </si>
  <si>
    <t>St George's Church Housing Co-operative Limited</t>
  </si>
  <si>
    <t>Swan Lane Housing Co-operative Limited</t>
  </si>
  <si>
    <t>The Abbeyfield Dulwich Society Limited</t>
  </si>
  <si>
    <t>Windsor Walk Housing Association Limited</t>
  </si>
  <si>
    <t>Spelthorne Borough Council</t>
  </si>
  <si>
    <t>Rowland Hill and Vaughan Almshouse Charity</t>
  </si>
  <si>
    <t>St Albans City and District Council</t>
  </si>
  <si>
    <t>Warrington Housing Association Limited</t>
  </si>
  <si>
    <t>YMCA St Helens</t>
  </si>
  <si>
    <t>Condlyffe Charity</t>
  </si>
  <si>
    <t>The Ash Homes</t>
  </si>
  <si>
    <t>Stevenage Borough Council</t>
  </si>
  <si>
    <t>Gemini Housing Co-operative Limited</t>
  </si>
  <si>
    <t>Wisden Housing Co-operative Limited</t>
  </si>
  <si>
    <t>Stockport Metropolitan Borough Council</t>
  </si>
  <si>
    <t>Stockport Homes Limited</t>
  </si>
  <si>
    <t>Stoke on Trent City Council</t>
  </si>
  <si>
    <t>Hawes Street Housing Limited</t>
  </si>
  <si>
    <t>Stoke-on-Trent Housing Society Limited</t>
  </si>
  <si>
    <t>Storm Housing Group Limited</t>
  </si>
  <si>
    <t>YMCA North Staffordshire Ltd</t>
  </si>
  <si>
    <t>Stratford-on-Avon District Council</t>
  </si>
  <si>
    <t>Feldon Housing Limited</t>
  </si>
  <si>
    <t>Sambourne Trust</t>
  </si>
  <si>
    <t>Whitehead Almshouses</t>
  </si>
  <si>
    <t>Stroud District Council</t>
  </si>
  <si>
    <t>George Jones Charity</t>
  </si>
  <si>
    <t>The Reverend Rowland Hill Almshouse Charity</t>
  </si>
  <si>
    <t>Sunderland City Council</t>
  </si>
  <si>
    <t>Aged Merchant Seamen's Homes</t>
  </si>
  <si>
    <t>Ath-Gray Housing Co-operative Limited</t>
  </si>
  <si>
    <t>Jane Gibson Almshouses</t>
  </si>
  <si>
    <t>Peel Street Housing Co-operative Limited</t>
  </si>
  <si>
    <t>Sunderland Riverside Housing Co-operative Limited</t>
  </si>
  <si>
    <t>Thornholme Housing Co-operative Limited</t>
  </si>
  <si>
    <t>Wearmouth Housing Co-operative Limited</t>
  </si>
  <si>
    <t>London Borough of Sutton</t>
  </si>
  <si>
    <t>Larcombe Housing Association Limited</t>
  </si>
  <si>
    <t>Sutton Housing Society Limited</t>
  </si>
  <si>
    <t>Charity of Julia Spicer for Almshouses</t>
  </si>
  <si>
    <t>Lynsted Housing Co-operative Limited</t>
  </si>
  <si>
    <t>Minster Housing Co-operative Limited</t>
  </si>
  <si>
    <t>The Faversham Municipal Charities 2010</t>
  </si>
  <si>
    <t>Swindon Borough Council</t>
  </si>
  <si>
    <t>Ashton Pioneer Homes Limited</t>
  </si>
  <si>
    <t>Fairfield Moravian Housing Association Limited</t>
  </si>
  <si>
    <t>Jigsaw Homes Group Limited</t>
  </si>
  <si>
    <t>Tamworth Borough Council</t>
  </si>
  <si>
    <t>Tamworth Cornerstone Housing Association Limited</t>
  </si>
  <si>
    <t>Tandridge District Council</t>
  </si>
  <si>
    <t>The Mrs Henrietta Frances Le Personne Benevolent Trust</t>
  </si>
  <si>
    <t>Teignbridge District Council</t>
  </si>
  <si>
    <t>Red Devon Housing Limited</t>
  </si>
  <si>
    <t>The Feoffees of the Parish Lands of Highweek</t>
  </si>
  <si>
    <t>Telford &amp; Wrekin Council</t>
  </si>
  <si>
    <t>Boughey Roddam Housing Association</t>
  </si>
  <si>
    <t>Tendring District Council</t>
  </si>
  <si>
    <t>Enham Trust</t>
  </si>
  <si>
    <t>Legal &amp; General Affordable Homes (Investment 3) Limited</t>
  </si>
  <si>
    <t>The Andover Charities</t>
  </si>
  <si>
    <t>Tewkesbury Almshouse Trust</t>
  </si>
  <si>
    <t>Thanet District Council</t>
  </si>
  <si>
    <t>Rickmansworth Churches Housing Association Limited</t>
  </si>
  <si>
    <t>The Abbeyfield West Herts Society Limited</t>
  </si>
  <si>
    <t>Thurrock Council</t>
  </si>
  <si>
    <t>Tonbridge and Malling Borough Council</t>
  </si>
  <si>
    <t>Almshouse Charity of Elizabeth Smith</t>
  </si>
  <si>
    <t>Boorman's Almshouses</t>
  </si>
  <si>
    <t>Eustace Hook and Drummond Memorial Almshouses</t>
  </si>
  <si>
    <t>Hatton Housing Trust Limited</t>
  </si>
  <si>
    <t>The Hospital of the Holy Trinity Aylesford</t>
  </si>
  <si>
    <t>Tonbridge United Charity</t>
  </si>
  <si>
    <t>Torbay Council</t>
  </si>
  <si>
    <t>Torvista Homes Limited</t>
  </si>
  <si>
    <t>Roborough Community Property Association Limited</t>
  </si>
  <si>
    <t>Woolfardisworthy Sports and Community Hall</t>
  </si>
  <si>
    <t>London Borough of Tower Hamlets</t>
  </si>
  <si>
    <t>Belgrave Street Housing Co-operative Limited</t>
  </si>
  <si>
    <t>East End Homes Limited</t>
  </si>
  <si>
    <t>George Green's Almshouses</t>
  </si>
  <si>
    <t>Grand Union Housing Co-operative Limited</t>
  </si>
  <si>
    <t>Seymour Housing Co-operative Limited</t>
  </si>
  <si>
    <t>The Mile End Housing Co-operative Limited</t>
  </si>
  <si>
    <t>Tower Hamlets Community Housing</t>
  </si>
  <si>
    <t>Veterans Aid</t>
  </si>
  <si>
    <t>Wilfrid East London Housing Co-operative Limited</t>
  </si>
  <si>
    <t>Trafford Council</t>
  </si>
  <si>
    <t>Tunbridge Wells Borough Council</t>
  </si>
  <si>
    <t>Benenden Almshouse Charities</t>
  </si>
  <si>
    <t>Dunk's Almshouse Charity</t>
  </si>
  <si>
    <t>Sherborne Close Housing Society Limited</t>
  </si>
  <si>
    <t>The Molyneux Almshouses</t>
  </si>
  <si>
    <t>Uttlesford District Council</t>
  </si>
  <si>
    <t>Vale of White Horse District Council</t>
  </si>
  <si>
    <t>Church Almshouses Charity</t>
  </si>
  <si>
    <t>Drayton Parochial Charities</t>
  </si>
  <si>
    <t>Oxfordshire CLT Limited</t>
  </si>
  <si>
    <t>Emily Bentley Homes</t>
  </si>
  <si>
    <t>Freeston and Sagar's Almshouses</t>
  </si>
  <si>
    <t>Wakefield Charities' Homes</t>
  </si>
  <si>
    <t>Walsall Metropolitan Borough Council</t>
  </si>
  <si>
    <t>Charity of Mrs Catherine Walker</t>
  </si>
  <si>
    <t>Harpers Marsh and Crumps Almshouse Charity</t>
  </si>
  <si>
    <t>Margaret Colquhoun Chavasse Almshouses</t>
  </si>
  <si>
    <t>Paddock Housing Co-operative Limited</t>
  </si>
  <si>
    <t>The Henry Boys' Almshouses</t>
  </si>
  <si>
    <t>London Borough of Waltham Forest</t>
  </si>
  <si>
    <t>Leytonstone Housing Co-operative Limited</t>
  </si>
  <si>
    <t>Waltham Forest Housing Association Limited</t>
  </si>
  <si>
    <t>London Borough of Wandsworth</t>
  </si>
  <si>
    <t>Battersea Tenants Co-operative Limited</t>
  </si>
  <si>
    <t>Bow Housing Association</t>
  </si>
  <si>
    <t>Imani Housing Co-operative Limited</t>
  </si>
  <si>
    <t>Southward Housing Co-operative Limited</t>
  </si>
  <si>
    <t>Tooting Bec Housing Co-operative Limited</t>
  </si>
  <si>
    <t>Warrington Borough Council</t>
  </si>
  <si>
    <t>Warwick District Council</t>
  </si>
  <si>
    <t>Waverley Borough Council</t>
  </si>
  <si>
    <t>Hewitt Homes</t>
  </si>
  <si>
    <t>Weybank Housing Co-operative Limited</t>
  </si>
  <si>
    <t>Wealden District Council</t>
  </si>
  <si>
    <t>Uckfield and District Housing Association Limited</t>
  </si>
  <si>
    <t>Welwyn Hatfield Borough Council</t>
  </si>
  <si>
    <t>Alice Coralie Glyn Homes</t>
  </si>
  <si>
    <t>West Berkshire District Council</t>
  </si>
  <si>
    <t>Funding Affordable Homes Housing Association Limited</t>
  </si>
  <si>
    <t>The Charity of Mrs Mabel Luke</t>
  </si>
  <si>
    <t>West Devon Borough Council</t>
  </si>
  <si>
    <t>Abbeyfield Tavistock Society Limited</t>
  </si>
  <si>
    <t>Ford Street and Maynard Almshouse Charity</t>
  </si>
  <si>
    <t>The Abbeyfield Buckland Monachorum Society Limited</t>
  </si>
  <si>
    <t>West Lancashire Borough Council</t>
  </si>
  <si>
    <t>The Vanbrugh and Tempest Almshouse Charity</t>
  </si>
  <si>
    <t>West Northamptonshire Council</t>
  </si>
  <si>
    <t>William Lovett's Almshouse Charity</t>
  </si>
  <si>
    <t>West Suffolk Council</t>
  </si>
  <si>
    <t>Brandon Poor's Estate</t>
  </si>
  <si>
    <t>City of Westminster Council</t>
  </si>
  <si>
    <t>Chippenham Housing Co-operative Limited</t>
  </si>
  <si>
    <t>Monmouth Road Housing Co-operative Limited</t>
  </si>
  <si>
    <t>Passage Housing Services</t>
  </si>
  <si>
    <t>Portman House</t>
  </si>
  <si>
    <t>Seymour Street Homes Limited</t>
  </si>
  <si>
    <t>The Christian Union Almshouses</t>
  </si>
  <si>
    <t>Walterton and Elgin Community Homes Limited</t>
  </si>
  <si>
    <t>Westmorland and Furness Council</t>
  </si>
  <si>
    <t>Dawson Housing Limited</t>
  </si>
  <si>
    <t>Kendal Almshouse Charity</t>
  </si>
  <si>
    <t>Lyvennet Community Trust</t>
  </si>
  <si>
    <t>The Abbeyfield Barrow-in- Furness Society Limited</t>
  </si>
  <si>
    <t>Wigan Council</t>
  </si>
  <si>
    <t>Wiltshire Council</t>
  </si>
  <si>
    <t>Salisbury City Almshouse and Welfare Charities</t>
  </si>
  <si>
    <t>The Abbeyfield Bradford-on-Avon Society Limited</t>
  </si>
  <si>
    <t>The Duchess of Somerset's Hospital</t>
  </si>
  <si>
    <t>The Flood Charity</t>
  </si>
  <si>
    <t>Winchester City Council</t>
  </si>
  <si>
    <t>The Abbeyfield Alresford and District Society Limited</t>
  </si>
  <si>
    <t>Wickham Community Land Trust</t>
  </si>
  <si>
    <t>Winchester Working Men's Housing Society Limited</t>
  </si>
  <si>
    <t>Joseph Chariott's Charity</t>
  </si>
  <si>
    <t>Wirral Metropolitan Borough Council</t>
  </si>
  <si>
    <t>Family Housing Association (Birkenhead and Wirral) Limited</t>
  </si>
  <si>
    <t>Wirral Churches' Ark Project</t>
  </si>
  <si>
    <t>Woking Borough Council</t>
  </si>
  <si>
    <t>Wokingham Borough Council</t>
  </si>
  <si>
    <t>Loddon Homes Limited</t>
  </si>
  <si>
    <t>Wargrave-on-Thames Housing Association Limited</t>
  </si>
  <si>
    <t>Woodley Sandford and Charvil Charitable Trust</t>
  </si>
  <si>
    <t>Wolverhampton City Council</t>
  </si>
  <si>
    <t>Hibiscus Housing Association Limited</t>
  </si>
  <si>
    <t>Woodlands Quaker Home</t>
  </si>
  <si>
    <t>Worcester City Council</t>
  </si>
  <si>
    <t>Worcester Municipal Charities CIO</t>
  </si>
  <si>
    <t>Worthing Borough Council</t>
  </si>
  <si>
    <t>Guild Care</t>
  </si>
  <si>
    <t>Pearson's &amp; St Elizabeth's Cottage Homes</t>
  </si>
  <si>
    <t>City of York Council</t>
  </si>
  <si>
    <t>Colton's Hospital</t>
  </si>
  <si>
    <t>The Abbeyfield York Society Limited</t>
  </si>
  <si>
    <t>RP_Code</t>
  </si>
  <si>
    <t>RP_Name</t>
  </si>
  <si>
    <t>Total Social Stock</t>
  </si>
  <si>
    <t>LA_GN_SC_Own</t>
  </si>
  <si>
    <t>LA_GN_BSp_Own</t>
  </si>
  <si>
    <t>LA_SHHOP</t>
  </si>
  <si>
    <t>LA_LCHO_Less_100_Eqty_Own</t>
  </si>
  <si>
    <t>LAs RP Operates in</t>
  </si>
  <si>
    <t>Lookup for filters</t>
  </si>
  <si>
    <t>Area</t>
  </si>
  <si>
    <t>RP_Count_inc_LARPs</t>
  </si>
  <si>
    <t>GOR</t>
  </si>
  <si>
    <t>LARP_Count</t>
  </si>
  <si>
    <t>LA</t>
  </si>
  <si>
    <t>REG</t>
  </si>
  <si>
    <t>Organisation Name</t>
  </si>
  <si>
    <t>RP_count</t>
  </si>
  <si>
    <t>4568</t>
  </si>
  <si>
    <t>region</t>
  </si>
  <si>
    <t>4569</t>
  </si>
  <si>
    <t>4570</t>
  </si>
  <si>
    <t>4572</t>
  </si>
  <si>
    <t>4576</t>
  </si>
  <si>
    <t>4582</t>
  </si>
  <si>
    <t>4584</t>
  </si>
  <si>
    <t>4607</t>
  </si>
  <si>
    <t>4608</t>
  </si>
  <si>
    <t>4609</t>
  </si>
  <si>
    <t>Yorkshire and The Humber</t>
  </si>
  <si>
    <t>4612</t>
  </si>
  <si>
    <t>4619</t>
  </si>
  <si>
    <t>4630</t>
  </si>
  <si>
    <t>4633</t>
  </si>
  <si>
    <t>4634</t>
  </si>
  <si>
    <t>4635</t>
  </si>
  <si>
    <t>4636</t>
  </si>
  <si>
    <t>4637</t>
  </si>
  <si>
    <t>4638</t>
  </si>
  <si>
    <t>4639</t>
  </si>
  <si>
    <t>4640</t>
  </si>
  <si>
    <t>4641</t>
  </si>
  <si>
    <t>Bristol, city of</t>
  </si>
  <si>
    <t>4644</t>
  </si>
  <si>
    <t>4645</t>
  </si>
  <si>
    <t>4647</t>
  </si>
  <si>
    <t>4648</t>
  </si>
  <si>
    <t>4651</t>
  </si>
  <si>
    <t>4652</t>
  </si>
  <si>
    <t>4653</t>
  </si>
  <si>
    <t>4658</t>
  </si>
  <si>
    <t>4659</t>
  </si>
  <si>
    <t>4660</t>
  </si>
  <si>
    <t>4661</t>
  </si>
  <si>
    <t>4662</t>
  </si>
  <si>
    <t>4663</t>
  </si>
  <si>
    <t>4666</t>
  </si>
  <si>
    <t>4668</t>
  </si>
  <si>
    <t>4670</t>
  </si>
  <si>
    <t>4671</t>
  </si>
  <si>
    <t>4672</t>
  </si>
  <si>
    <t>4675</t>
  </si>
  <si>
    <t>4676</t>
  </si>
  <si>
    <t>4677</t>
  </si>
  <si>
    <t>4679</t>
  </si>
  <si>
    <t>4680</t>
  </si>
  <si>
    <t>4682</t>
  </si>
  <si>
    <t>4683</t>
  </si>
  <si>
    <t>4684</t>
  </si>
  <si>
    <t>4686</t>
  </si>
  <si>
    <t>4687</t>
  </si>
  <si>
    <t>4688</t>
  </si>
  <si>
    <t>4689</t>
  </si>
  <si>
    <t>4690</t>
  </si>
  <si>
    <t>4691</t>
  </si>
  <si>
    <t>4692</t>
  </si>
  <si>
    <t>4693</t>
  </si>
  <si>
    <t>4695</t>
  </si>
  <si>
    <t>4696</t>
  </si>
  <si>
    <t>4699</t>
  </si>
  <si>
    <t>4700</t>
  </si>
  <si>
    <t>4702</t>
  </si>
  <si>
    <t>East Riding Of Yorkshire</t>
  </si>
  <si>
    <t>4703</t>
  </si>
  <si>
    <t>4706</t>
  </si>
  <si>
    <t>4707</t>
  </si>
  <si>
    <t>4709</t>
  </si>
  <si>
    <t>4712</t>
  </si>
  <si>
    <t>4713</t>
  </si>
  <si>
    <t>4715</t>
  </si>
  <si>
    <t>4716</t>
  </si>
  <si>
    <t>4717</t>
  </si>
  <si>
    <t>4718</t>
  </si>
  <si>
    <t>4719</t>
  </si>
  <si>
    <t>4720</t>
  </si>
  <si>
    <t>4721</t>
  </si>
  <si>
    <t>4722</t>
  </si>
  <si>
    <t>4725</t>
  </si>
  <si>
    <t>4726</t>
  </si>
  <si>
    <t>4728</t>
  </si>
  <si>
    <t>4729</t>
  </si>
  <si>
    <t>4730</t>
  </si>
  <si>
    <t>4731</t>
  </si>
  <si>
    <t>4733</t>
  </si>
  <si>
    <t>4734</t>
  </si>
  <si>
    <t>4735</t>
  </si>
  <si>
    <t>4736</t>
  </si>
  <si>
    <t>4737</t>
  </si>
  <si>
    <t>4738</t>
  </si>
  <si>
    <t>4739</t>
  </si>
  <si>
    <t>4741</t>
  </si>
  <si>
    <t>4742</t>
  </si>
  <si>
    <t>4743</t>
  </si>
  <si>
    <t>4744</t>
  </si>
  <si>
    <t>4745</t>
  </si>
  <si>
    <t>4749</t>
  </si>
  <si>
    <t>4751</t>
  </si>
  <si>
    <t>4756</t>
  </si>
  <si>
    <t>4757</t>
  </si>
  <si>
    <t>4758</t>
  </si>
  <si>
    <t>4760</t>
  </si>
  <si>
    <t>4762</t>
  </si>
  <si>
    <t>4763</t>
  </si>
  <si>
    <t>4764</t>
  </si>
  <si>
    <t>4765</t>
  </si>
  <si>
    <t>4766</t>
  </si>
  <si>
    <t>4767</t>
  </si>
  <si>
    <t>4768</t>
  </si>
  <si>
    <t>4770</t>
  </si>
  <si>
    <t>4771</t>
  </si>
  <si>
    <t>4772</t>
  </si>
  <si>
    <t>4773</t>
  </si>
  <si>
    <t>4774</t>
  </si>
  <si>
    <t>4775</t>
  </si>
  <si>
    <t>4776</t>
  </si>
  <si>
    <t>4777</t>
  </si>
  <si>
    <t>Richmond Upon Thames</t>
  </si>
  <si>
    <t>4778</t>
  </si>
  <si>
    <t>4779</t>
  </si>
  <si>
    <t>4780</t>
  </si>
  <si>
    <t>4781</t>
  </si>
  <si>
    <t>4783</t>
  </si>
  <si>
    <t>4784</t>
  </si>
  <si>
    <t>4785</t>
  </si>
  <si>
    <t>4787</t>
  </si>
  <si>
    <t>4788</t>
  </si>
  <si>
    <t>4789</t>
  </si>
  <si>
    <t>4791</t>
  </si>
  <si>
    <t>4792</t>
  </si>
  <si>
    <t>4793</t>
  </si>
  <si>
    <t>4794</t>
  </si>
  <si>
    <t>4795</t>
  </si>
  <si>
    <t>4796</t>
  </si>
  <si>
    <t>4797</t>
  </si>
  <si>
    <t>4799</t>
  </si>
  <si>
    <t>4800</t>
  </si>
  <si>
    <t>4801</t>
  </si>
  <si>
    <t>4803</t>
  </si>
  <si>
    <t>4804</t>
  </si>
  <si>
    <t>4807</t>
  </si>
  <si>
    <t>4808</t>
  </si>
  <si>
    <t>4809</t>
  </si>
  <si>
    <t>4810</t>
  </si>
  <si>
    <t>4811</t>
  </si>
  <si>
    <t>4812</t>
  </si>
  <si>
    <t>4813</t>
  </si>
  <si>
    <t>4814</t>
  </si>
  <si>
    <t>4817</t>
  </si>
  <si>
    <t>4819</t>
  </si>
  <si>
    <t>Nuneaton And Bedworth</t>
  </si>
  <si>
    <t>4821</t>
  </si>
  <si>
    <t>4822</t>
  </si>
  <si>
    <t>4823</t>
  </si>
  <si>
    <t>4824</t>
  </si>
  <si>
    <t>4826</t>
  </si>
  <si>
    <t>4827</t>
  </si>
  <si>
    <t>4828</t>
  </si>
  <si>
    <t>4829</t>
  </si>
  <si>
    <t>4830</t>
  </si>
  <si>
    <t>4837</t>
  </si>
  <si>
    <t>4838</t>
  </si>
  <si>
    <t>4839</t>
  </si>
  <si>
    <t>4840</t>
  </si>
  <si>
    <t>4841</t>
  </si>
  <si>
    <t>4842</t>
  </si>
  <si>
    <t>4843</t>
  </si>
  <si>
    <t>4844</t>
  </si>
  <si>
    <t>4846</t>
  </si>
  <si>
    <t>4847</t>
  </si>
  <si>
    <t>4848</t>
  </si>
  <si>
    <t>4849</t>
  </si>
  <si>
    <t>4850</t>
  </si>
  <si>
    <t>4852</t>
  </si>
  <si>
    <t>4853</t>
  </si>
  <si>
    <t>4854</t>
  </si>
  <si>
    <t>4855</t>
  </si>
  <si>
    <t>4856</t>
  </si>
  <si>
    <t>4857</t>
  </si>
  <si>
    <t>4858</t>
  </si>
  <si>
    <t>4859</t>
  </si>
  <si>
    <t>4860</t>
  </si>
  <si>
    <t>4861</t>
  </si>
  <si>
    <t>4862</t>
  </si>
  <si>
    <t>4863</t>
  </si>
  <si>
    <t>4864</t>
  </si>
  <si>
    <t>4865</t>
  </si>
  <si>
    <t>4866</t>
  </si>
  <si>
    <t>4867</t>
  </si>
  <si>
    <t>4868</t>
  </si>
  <si>
    <t>4870</t>
  </si>
  <si>
    <t>4871</t>
  </si>
  <si>
    <t>4872</t>
  </si>
  <si>
    <t>4873</t>
  </si>
  <si>
    <t>4874</t>
  </si>
  <si>
    <t>4875</t>
  </si>
  <si>
    <t>4876</t>
  </si>
  <si>
    <t>4877</t>
  </si>
  <si>
    <t>4878</t>
  </si>
  <si>
    <t>4880</t>
  </si>
  <si>
    <t>4881</t>
  </si>
  <si>
    <t>5049</t>
  </si>
  <si>
    <t>5050</t>
  </si>
  <si>
    <t>5051</t>
  </si>
  <si>
    <t>5054</t>
  </si>
  <si>
    <t>5055</t>
  </si>
  <si>
    <t>5056</t>
  </si>
  <si>
    <t>5057</t>
  </si>
  <si>
    <t>5058</t>
  </si>
  <si>
    <t>5059</t>
  </si>
  <si>
    <t>5060</t>
  </si>
  <si>
    <t>5061</t>
  </si>
  <si>
    <t>5062</t>
  </si>
  <si>
    <t>5063</t>
  </si>
  <si>
    <t>5064</t>
  </si>
  <si>
    <t>5065</t>
  </si>
  <si>
    <t>5066</t>
  </si>
  <si>
    <t>5071</t>
  </si>
  <si>
    <t>5073</t>
  </si>
  <si>
    <t>5075</t>
  </si>
  <si>
    <t>5079</t>
  </si>
  <si>
    <t>5081</t>
  </si>
  <si>
    <t>5082</t>
  </si>
  <si>
    <t>5083</t>
  </si>
  <si>
    <t>5084</t>
  </si>
  <si>
    <t>5086</t>
  </si>
  <si>
    <t>5087</t>
  </si>
  <si>
    <t>5088</t>
  </si>
  <si>
    <t>5089</t>
  </si>
  <si>
    <t>5090</t>
  </si>
  <si>
    <t>5092</t>
  </si>
  <si>
    <t>5093</t>
  </si>
  <si>
    <t>5094</t>
  </si>
  <si>
    <t>5095</t>
  </si>
  <si>
    <t>5097</t>
  </si>
  <si>
    <t>5101</t>
  </si>
  <si>
    <t>5105</t>
  </si>
  <si>
    <t>5106</t>
  </si>
  <si>
    <t>5111</t>
  </si>
  <si>
    <t>5113</t>
  </si>
  <si>
    <t>5114</t>
  </si>
  <si>
    <t>5115</t>
  </si>
  <si>
    <t>5120</t>
  </si>
  <si>
    <t>5122</t>
  </si>
  <si>
    <t>5123</t>
  </si>
  <si>
    <t>5125</t>
  </si>
  <si>
    <t>5126</t>
  </si>
  <si>
    <t>5128</t>
  </si>
  <si>
    <t>5131</t>
  </si>
  <si>
    <t>5132</t>
  </si>
  <si>
    <t>5135</t>
  </si>
  <si>
    <t>5136</t>
  </si>
  <si>
    <t>5138</t>
  </si>
  <si>
    <t>5139</t>
  </si>
  <si>
    <t>5140</t>
  </si>
  <si>
    <t>5142</t>
  </si>
  <si>
    <t>5143</t>
  </si>
  <si>
    <t>5145</t>
  </si>
  <si>
    <t>5147</t>
  </si>
  <si>
    <t>5149</t>
  </si>
  <si>
    <t>5152</t>
  </si>
  <si>
    <t>5153</t>
  </si>
  <si>
    <t>5154</t>
  </si>
  <si>
    <t>5155</t>
  </si>
  <si>
    <t>5157</t>
  </si>
  <si>
    <t>5160</t>
  </si>
  <si>
    <t>5162</t>
  </si>
  <si>
    <t>5165</t>
  </si>
  <si>
    <t>5166</t>
  </si>
  <si>
    <t>5168</t>
  </si>
  <si>
    <t>5170</t>
  </si>
  <si>
    <t>5171</t>
  </si>
  <si>
    <t>5173</t>
  </si>
  <si>
    <t>5175</t>
  </si>
  <si>
    <t>5176</t>
  </si>
  <si>
    <t>5181</t>
  </si>
  <si>
    <t>5189</t>
  </si>
  <si>
    <t>5195</t>
  </si>
  <si>
    <t>5198</t>
  </si>
  <si>
    <t>5201</t>
  </si>
  <si>
    <t>5204</t>
  </si>
  <si>
    <t>5206</t>
  </si>
  <si>
    <t>5208</t>
  </si>
  <si>
    <t>5215</t>
  </si>
  <si>
    <t>A0056</t>
  </si>
  <si>
    <t>A0072</t>
  </si>
  <si>
    <t>A0132</t>
  </si>
  <si>
    <t>A0157</t>
  </si>
  <si>
    <t>A0163</t>
  </si>
  <si>
    <t>A0185</t>
  </si>
  <si>
    <t>A0192</t>
  </si>
  <si>
    <t>A0208</t>
  </si>
  <si>
    <t>A0211</t>
  </si>
  <si>
    <t>A0215</t>
  </si>
  <si>
    <t>A0230</t>
  </si>
  <si>
    <t>A0318</t>
  </si>
  <si>
    <t>A0333</t>
  </si>
  <si>
    <t>A0352</t>
  </si>
  <si>
    <t>A0364</t>
  </si>
  <si>
    <t>A0376</t>
  </si>
  <si>
    <t>A0379</t>
  </si>
  <si>
    <t>A0458</t>
  </si>
  <si>
    <t>A0473</t>
  </si>
  <si>
    <t>A0485</t>
  </si>
  <si>
    <t>A0486</t>
  </si>
  <si>
    <t>A0513</t>
  </si>
  <si>
    <t>A0534</t>
  </si>
  <si>
    <t>A0542</t>
  </si>
  <si>
    <t>A0544</t>
  </si>
  <si>
    <t>A0564</t>
  </si>
  <si>
    <t>A0565</t>
  </si>
  <si>
    <t>A0567</t>
  </si>
  <si>
    <t>A0581</t>
  </si>
  <si>
    <t>A0582</t>
  </si>
  <si>
    <t>A0592</t>
  </si>
  <si>
    <t>A0600</t>
  </si>
  <si>
    <t>A0611</t>
  </si>
  <si>
    <t>A0627</t>
  </si>
  <si>
    <t>A0629</t>
  </si>
  <si>
    <t>A0644</t>
  </si>
  <si>
    <t>A0646</t>
  </si>
  <si>
    <t>A0648</t>
  </si>
  <si>
    <t>A0656</t>
  </si>
  <si>
    <t>A0736</t>
  </si>
  <si>
    <t>A0746</t>
  </si>
  <si>
    <t>A0798</t>
  </si>
  <si>
    <t>A0826</t>
  </si>
  <si>
    <t>A0846</t>
  </si>
  <si>
    <t>A1048</t>
  </si>
  <si>
    <t>A1055</t>
  </si>
  <si>
    <t>A1056</t>
  </si>
  <si>
    <t>A1063</t>
  </si>
  <si>
    <t>A1067</t>
  </si>
  <si>
    <t>A1070</t>
  </si>
  <si>
    <t>A1072</t>
  </si>
  <si>
    <t>A1157</t>
  </si>
  <si>
    <t>A1160</t>
  </si>
  <si>
    <t>A1168</t>
  </si>
  <si>
    <t>A1254</t>
  </si>
  <si>
    <t>A1273</t>
  </si>
  <si>
    <t>A1274</t>
  </si>
  <si>
    <t>A1286</t>
  </si>
  <si>
    <t>A1325</t>
  </si>
  <si>
    <t>A1328</t>
  </si>
  <si>
    <t>A1329</t>
  </si>
  <si>
    <t>A1348</t>
  </si>
  <si>
    <t>A1442</t>
  </si>
  <si>
    <t>A1464</t>
  </si>
  <si>
    <t>A1482</t>
  </si>
  <si>
    <t>A1614</t>
  </si>
  <si>
    <t>A1632</t>
  </si>
  <si>
    <t>A1752</t>
  </si>
  <si>
    <t>A1789</t>
  </si>
  <si>
    <t>A1843</t>
  </si>
  <si>
    <t>A1855</t>
  </si>
  <si>
    <t>A1892</t>
  </si>
  <si>
    <t>A1920</t>
  </si>
  <si>
    <t>A1921</t>
  </si>
  <si>
    <t>A2064</t>
  </si>
  <si>
    <t>A2067</t>
  </si>
  <si>
    <t>A2070</t>
  </si>
  <si>
    <t>A2071</t>
  </si>
  <si>
    <t>A2072</t>
  </si>
  <si>
    <t>A2074</t>
  </si>
  <si>
    <t>A2079</t>
  </si>
  <si>
    <t>A2130</t>
  </si>
  <si>
    <t>A2144</t>
  </si>
  <si>
    <t>A2150</t>
  </si>
  <si>
    <t>A2233</t>
  </si>
  <si>
    <t>A2246</t>
  </si>
  <si>
    <t>A2247</t>
  </si>
  <si>
    <t>A2250</t>
  </si>
  <si>
    <t>A2255</t>
  </si>
  <si>
    <t>A2266</t>
  </si>
  <si>
    <t>A2293</t>
  </si>
  <si>
    <t>A2334</t>
  </si>
  <si>
    <t>A2363</t>
  </si>
  <si>
    <t>A2366</t>
  </si>
  <si>
    <t>A2367</t>
  </si>
  <si>
    <t>A2395</t>
  </si>
  <si>
    <t>A2405</t>
  </si>
  <si>
    <t>A2408</t>
  </si>
  <si>
    <t>A2448</t>
  </si>
  <si>
    <t>A2455</t>
  </si>
  <si>
    <t>A2481</t>
  </si>
  <si>
    <t>A2482</t>
  </si>
  <si>
    <t>A2485</t>
  </si>
  <si>
    <t>A2547</t>
  </si>
  <si>
    <t>A2566</t>
  </si>
  <si>
    <t>A2570</t>
  </si>
  <si>
    <t>A2604</t>
  </si>
  <si>
    <t>A2635</t>
  </si>
  <si>
    <t>A2643</t>
  </si>
  <si>
    <t>A2670</t>
  </si>
  <si>
    <t>A2704</t>
  </si>
  <si>
    <t>A2709</t>
  </si>
  <si>
    <t>A2721</t>
  </si>
  <si>
    <t>A2722</t>
  </si>
  <si>
    <t>A2759</t>
  </si>
  <si>
    <t>A2785</t>
  </si>
  <si>
    <t>A2786</t>
  </si>
  <si>
    <t>A2803</t>
  </si>
  <si>
    <t>A2806</t>
  </si>
  <si>
    <t>A2819</t>
  </si>
  <si>
    <t>A2821</t>
  </si>
  <si>
    <t>A2835</t>
  </si>
  <si>
    <t>A2837</t>
  </si>
  <si>
    <t>A2840</t>
  </si>
  <si>
    <t>A2920</t>
  </si>
  <si>
    <t>A2945</t>
  </si>
  <si>
    <t>A2948</t>
  </si>
  <si>
    <t>A2987</t>
  </si>
  <si>
    <t>A2989</t>
  </si>
  <si>
    <t>A2991</t>
  </si>
  <si>
    <t>A2992</t>
  </si>
  <si>
    <t>A2993</t>
  </si>
  <si>
    <t>A3011</t>
  </si>
  <si>
    <t>A3033</t>
  </si>
  <si>
    <t>A3035</t>
  </si>
  <si>
    <t>A3036</t>
  </si>
  <si>
    <t>A3050</t>
  </si>
  <si>
    <t>A3105</t>
  </si>
  <si>
    <t>A3163</t>
  </si>
  <si>
    <t>A3183</t>
  </si>
  <si>
    <t>A3244</t>
  </si>
  <si>
    <t>A3245</t>
  </si>
  <si>
    <t>A3257</t>
  </si>
  <si>
    <t>A3267</t>
  </si>
  <si>
    <t>A3311</t>
  </si>
  <si>
    <t>A3334</t>
  </si>
  <si>
    <t>A3358</t>
  </si>
  <si>
    <t>A3386</t>
  </si>
  <si>
    <t>A3387</t>
  </si>
  <si>
    <t>A3388</t>
  </si>
  <si>
    <t>A3418</t>
  </si>
  <si>
    <t>A3448</t>
  </si>
  <si>
    <t>A3456</t>
  </si>
  <si>
    <t>A3457</t>
  </si>
  <si>
    <t>A3467</t>
  </si>
  <si>
    <t>A3485</t>
  </si>
  <si>
    <t>A3486</t>
  </si>
  <si>
    <t>A3494</t>
  </si>
  <si>
    <t>A3527</t>
  </si>
  <si>
    <t>A3536</t>
  </si>
  <si>
    <t>A3538</t>
  </si>
  <si>
    <t>A3540</t>
  </si>
  <si>
    <t>A3553</t>
  </si>
  <si>
    <t>A3564</t>
  </si>
  <si>
    <t>A3567</t>
  </si>
  <si>
    <t>A3581</t>
  </si>
  <si>
    <t>A3583</t>
  </si>
  <si>
    <t>A3590</t>
  </si>
  <si>
    <t>A3602</t>
  </si>
  <si>
    <t>A3603</t>
  </si>
  <si>
    <t>A3612</t>
  </si>
  <si>
    <t>A3623</t>
  </si>
  <si>
    <t>A3634</t>
  </si>
  <si>
    <t>A3647</t>
  </si>
  <si>
    <t>A3648</t>
  </si>
  <si>
    <t>A3666</t>
  </si>
  <si>
    <t>A3667</t>
  </si>
  <si>
    <t>A3681</t>
  </si>
  <si>
    <t>A3697</t>
  </si>
  <si>
    <t>A3706</t>
  </si>
  <si>
    <t>A3714</t>
  </si>
  <si>
    <t>A3721</t>
  </si>
  <si>
    <t>A3722</t>
  </si>
  <si>
    <t>A3748</t>
  </si>
  <si>
    <t>A3759</t>
  </si>
  <si>
    <t>A3761</t>
  </si>
  <si>
    <t>A3768</t>
  </si>
  <si>
    <t>A3783</t>
  </si>
  <si>
    <t>A3822</t>
  </si>
  <si>
    <t>A3825</t>
  </si>
  <si>
    <t>A3838</t>
  </si>
  <si>
    <t>A3909</t>
  </si>
  <si>
    <t>A3910</t>
  </si>
  <si>
    <t>A3911</t>
  </si>
  <si>
    <t>A3937</t>
  </si>
  <si>
    <t>A3969</t>
  </si>
  <si>
    <t>A3970</t>
  </si>
  <si>
    <t>A3989</t>
  </si>
  <si>
    <t>A3990</t>
  </si>
  <si>
    <t>A3996</t>
  </si>
  <si>
    <t>A3997</t>
  </si>
  <si>
    <t>A4001</t>
  </si>
  <si>
    <t>A4012</t>
  </si>
  <si>
    <t>A4020</t>
  </si>
  <si>
    <t>A4022</t>
  </si>
  <si>
    <t>A4028</t>
  </si>
  <si>
    <t>A4029</t>
  </si>
  <si>
    <t>A4037</t>
  </si>
  <si>
    <t>A4038</t>
  </si>
  <si>
    <t>A4039</t>
  </si>
  <si>
    <t>A4055</t>
  </si>
  <si>
    <t>A4057</t>
  </si>
  <si>
    <t>A4063</t>
  </si>
  <si>
    <t>A4071</t>
  </si>
  <si>
    <t>A4080</t>
  </si>
  <si>
    <t>A4136</t>
  </si>
  <si>
    <t>A4153</t>
  </si>
  <si>
    <t>A4157</t>
  </si>
  <si>
    <t>A4183</t>
  </si>
  <si>
    <t>A4256</t>
  </si>
  <si>
    <t>A4257</t>
  </si>
  <si>
    <t>A4271</t>
  </si>
  <si>
    <t>A4273</t>
  </si>
  <si>
    <t>A4298</t>
  </si>
  <si>
    <t>A4330</t>
  </si>
  <si>
    <t>A4354</t>
  </si>
  <si>
    <t>A4408</t>
  </si>
  <si>
    <t>A4410</t>
  </si>
  <si>
    <t>A4417</t>
  </si>
  <si>
    <t>A4430</t>
  </si>
  <si>
    <t>C0447</t>
  </si>
  <si>
    <t>C0508</t>
  </si>
  <si>
    <t>C1686</t>
  </si>
  <si>
    <t>C1810</t>
  </si>
  <si>
    <t>C1853</t>
  </si>
  <si>
    <t>C1981</t>
  </si>
  <si>
    <t>C2046</t>
  </si>
  <si>
    <t>C2157</t>
  </si>
  <si>
    <t>C2181</t>
  </si>
  <si>
    <t>C2198</t>
  </si>
  <si>
    <t>C2206</t>
  </si>
  <si>
    <t>C2303</t>
  </si>
  <si>
    <t>C2304</t>
  </si>
  <si>
    <t>C2313</t>
  </si>
  <si>
    <t>C2318</t>
  </si>
  <si>
    <t>C2390</t>
  </si>
  <si>
    <t>C2412</t>
  </si>
  <si>
    <t>C2416</t>
  </si>
  <si>
    <t>C2417</t>
  </si>
  <si>
    <t>C2418</t>
  </si>
  <si>
    <t>C2421</t>
  </si>
  <si>
    <t>C2422</t>
  </si>
  <si>
    <t>C2430</t>
  </si>
  <si>
    <t>C2436</t>
  </si>
  <si>
    <t>C2437</t>
  </si>
  <si>
    <t>C2438</t>
  </si>
  <si>
    <t>C2457</t>
  </si>
  <si>
    <t>C2462</t>
  </si>
  <si>
    <t>C2513</t>
  </si>
  <si>
    <t>C2531</t>
  </si>
  <si>
    <t>C2532</t>
  </si>
  <si>
    <t>C2533</t>
  </si>
  <si>
    <t>C2548</t>
  </si>
  <si>
    <t>C2576</t>
  </si>
  <si>
    <t>C2577</t>
  </si>
  <si>
    <t>C2579</t>
  </si>
  <si>
    <t>C2580</t>
  </si>
  <si>
    <t>C2581</t>
  </si>
  <si>
    <t>C2585</t>
  </si>
  <si>
    <t>C2593</t>
  </si>
  <si>
    <t>C2612</t>
  </si>
  <si>
    <t>C2613</t>
  </si>
  <si>
    <t>C2614</t>
  </si>
  <si>
    <t>C2682</t>
  </si>
  <si>
    <t>C2683</t>
  </si>
  <si>
    <t>C2692</t>
  </si>
  <si>
    <t>C2693</t>
  </si>
  <si>
    <t>C2694</t>
  </si>
  <si>
    <t>C2695</t>
  </si>
  <si>
    <t>C2731</t>
  </si>
  <si>
    <t>C2744</t>
  </si>
  <si>
    <t>C2745</t>
  </si>
  <si>
    <t>C2747</t>
  </si>
  <si>
    <t>C2749</t>
  </si>
  <si>
    <t>C2772</t>
  </si>
  <si>
    <t>C2787</t>
  </si>
  <si>
    <t>C2788</t>
  </si>
  <si>
    <t>C2824</t>
  </si>
  <si>
    <t>C2849</t>
  </si>
  <si>
    <t>C2850</t>
  </si>
  <si>
    <t>C2873</t>
  </si>
  <si>
    <t>C2903</t>
  </si>
  <si>
    <t>C2938</t>
  </si>
  <si>
    <t>C2949</t>
  </si>
  <si>
    <t>C2968</t>
  </si>
  <si>
    <t>C2976</t>
  </si>
  <si>
    <t>C2977</t>
  </si>
  <si>
    <t>C3001</t>
  </si>
  <si>
    <t>C3022</t>
  </si>
  <si>
    <t>C3023</t>
  </si>
  <si>
    <t>C3024</t>
  </si>
  <si>
    <t>C3026</t>
  </si>
  <si>
    <t>C3027</t>
  </si>
  <si>
    <t>C3041</t>
  </si>
  <si>
    <t>C3043</t>
  </si>
  <si>
    <t>C3044</t>
  </si>
  <si>
    <t>C3069</t>
  </si>
  <si>
    <t>C3098</t>
  </si>
  <si>
    <t>C3115</t>
  </si>
  <si>
    <t>C3125</t>
  </si>
  <si>
    <t>C3126</t>
  </si>
  <si>
    <t>C3128</t>
  </si>
  <si>
    <t>C3129</t>
  </si>
  <si>
    <t>C3157</t>
  </si>
  <si>
    <t>C3172</t>
  </si>
  <si>
    <t>C3174</t>
  </si>
  <si>
    <t>C3178</t>
  </si>
  <si>
    <t>C3185</t>
  </si>
  <si>
    <t>C3190</t>
  </si>
  <si>
    <t>C3207</t>
  </si>
  <si>
    <t>C3226</t>
  </si>
  <si>
    <t>C3227</t>
  </si>
  <si>
    <t>C3272</t>
  </si>
  <si>
    <t>C3275</t>
  </si>
  <si>
    <t>C3277</t>
  </si>
  <si>
    <t>C3285</t>
  </si>
  <si>
    <t>C3298</t>
  </si>
  <si>
    <t>C3299</t>
  </si>
  <si>
    <t>C3300</t>
  </si>
  <si>
    <t>C3302</t>
  </si>
  <si>
    <t>C3335</t>
  </si>
  <si>
    <t>C3337</t>
  </si>
  <si>
    <t>C3338</t>
  </si>
  <si>
    <t>C3339</t>
  </si>
  <si>
    <t>C3347</t>
  </si>
  <si>
    <t>C3348</t>
  </si>
  <si>
    <t>C3376</t>
  </si>
  <si>
    <t>C3379</t>
  </si>
  <si>
    <t>C3394</t>
  </si>
  <si>
    <t>C3396</t>
  </si>
  <si>
    <t>C3409</t>
  </si>
  <si>
    <t>C3411</t>
  </si>
  <si>
    <t>C3446</t>
  </si>
  <si>
    <t>C3454</t>
  </si>
  <si>
    <t>C3455</t>
  </si>
  <si>
    <t>C3472</t>
  </si>
  <si>
    <t>C3489</t>
  </si>
  <si>
    <t>C3497</t>
  </si>
  <si>
    <t>C3499</t>
  </si>
  <si>
    <t>C3509</t>
  </si>
  <si>
    <t>C3516</t>
  </si>
  <si>
    <t>C3517</t>
  </si>
  <si>
    <t>C3518</t>
  </si>
  <si>
    <t>C3530</t>
  </si>
  <si>
    <t>C3531</t>
  </si>
  <si>
    <t>C3555</t>
  </si>
  <si>
    <t>C3556</t>
  </si>
  <si>
    <t>C3557</t>
  </si>
  <si>
    <t>C3572</t>
  </si>
  <si>
    <t>C3573</t>
  </si>
  <si>
    <t>C3574</t>
  </si>
  <si>
    <t>C3607</t>
  </si>
  <si>
    <t>C3608</t>
  </si>
  <si>
    <t>C3609</t>
  </si>
  <si>
    <t>C3627</t>
  </si>
  <si>
    <t>C3628</t>
  </si>
  <si>
    <t>C3635</t>
  </si>
  <si>
    <t>C3636</t>
  </si>
  <si>
    <t>C3637</t>
  </si>
  <si>
    <t>C3638</t>
  </si>
  <si>
    <t>C3641</t>
  </si>
  <si>
    <t>C3674</t>
  </si>
  <si>
    <t>C3675</t>
  </si>
  <si>
    <t>C3686</t>
  </si>
  <si>
    <t>C3690</t>
  </si>
  <si>
    <t>C3691</t>
  </si>
  <si>
    <t>C3693</t>
  </si>
  <si>
    <t>C3695</t>
  </si>
  <si>
    <t>C3701</t>
  </si>
  <si>
    <t>C3718</t>
  </si>
  <si>
    <t>C3719</t>
  </si>
  <si>
    <t>C3723</t>
  </si>
  <si>
    <t>C3724</t>
  </si>
  <si>
    <t>C3725</t>
  </si>
  <si>
    <t>C3726</t>
  </si>
  <si>
    <t>C3729</t>
  </si>
  <si>
    <t>C3738</t>
  </si>
  <si>
    <t>C3739</t>
  </si>
  <si>
    <t>C3745</t>
  </si>
  <si>
    <t>C3755</t>
  </si>
  <si>
    <t>C3756</t>
  </si>
  <si>
    <t>C3769</t>
  </si>
  <si>
    <t>C3770</t>
  </si>
  <si>
    <t>C3772</t>
  </si>
  <si>
    <t>C3777</t>
  </si>
  <si>
    <t>C3789</t>
  </si>
  <si>
    <t>C3843</t>
  </si>
  <si>
    <t>C3856</t>
  </si>
  <si>
    <t>C3890</t>
  </si>
  <si>
    <t>C3891</t>
  </si>
  <si>
    <t>C3906</t>
  </si>
  <si>
    <t>C3963</t>
  </si>
  <si>
    <t>C3964</t>
  </si>
  <si>
    <t>C3991</t>
  </si>
  <si>
    <t>C3992</t>
  </si>
  <si>
    <t>C3993</t>
  </si>
  <si>
    <t>C4015</t>
  </si>
  <si>
    <t>C4042</t>
  </si>
  <si>
    <t>C4044</t>
  </si>
  <si>
    <t>C4054</t>
  </si>
  <si>
    <t>C4100</t>
  </si>
  <si>
    <t>C4101</t>
  </si>
  <si>
    <t>C4102</t>
  </si>
  <si>
    <t>C4103</t>
  </si>
  <si>
    <t>C4108</t>
  </si>
  <si>
    <t>C4110</t>
  </si>
  <si>
    <t>C4112</t>
  </si>
  <si>
    <t>C4113</t>
  </si>
  <si>
    <t>C4133</t>
  </si>
  <si>
    <t>C4135</t>
  </si>
  <si>
    <t>C4180</t>
  </si>
  <si>
    <t>C4225</t>
  </si>
  <si>
    <t>C4321</t>
  </si>
  <si>
    <t>H0008</t>
  </si>
  <si>
    <t>H0129</t>
  </si>
  <si>
    <t>H0134</t>
  </si>
  <si>
    <t>H0213</t>
  </si>
  <si>
    <t>H0228</t>
  </si>
  <si>
    <t>H0229</t>
  </si>
  <si>
    <t>H0299</t>
  </si>
  <si>
    <t>H0301</t>
  </si>
  <si>
    <t>H0312</t>
  </si>
  <si>
    <t>H0315</t>
  </si>
  <si>
    <t>H0335</t>
  </si>
  <si>
    <t>H0340</t>
  </si>
  <si>
    <t>H0347</t>
  </si>
  <si>
    <t>H0374</t>
  </si>
  <si>
    <t>H0375</t>
  </si>
  <si>
    <t>H0480</t>
  </si>
  <si>
    <t>H0481</t>
  </si>
  <si>
    <t>H0548</t>
  </si>
  <si>
    <t>H0552</t>
  </si>
  <si>
    <t>H0559</t>
  </si>
  <si>
    <t>H0560</t>
  </si>
  <si>
    <t>H0619</t>
  </si>
  <si>
    <t>H0670</t>
  </si>
  <si>
    <t>H0705</t>
  </si>
  <si>
    <t>H0833</t>
  </si>
  <si>
    <t>H0895</t>
  </si>
  <si>
    <t>H0924</t>
  </si>
  <si>
    <t>H1046</t>
  </si>
  <si>
    <t>H1167</t>
  </si>
  <si>
    <t>H1185</t>
  </si>
  <si>
    <t>H1313</t>
  </si>
  <si>
    <t>H1335</t>
  </si>
  <si>
    <t>H1362</t>
  </si>
  <si>
    <t>H1395</t>
  </si>
  <si>
    <t>H1416</t>
  </si>
  <si>
    <t>H1470</t>
  </si>
  <si>
    <t>H1528</t>
  </si>
  <si>
    <t>H1607</t>
  </si>
  <si>
    <t>H1653</t>
  </si>
  <si>
    <t>H1696</t>
  </si>
  <si>
    <t>H1720</t>
  </si>
  <si>
    <t>H1869</t>
  </si>
  <si>
    <t>H1972</t>
  </si>
  <si>
    <t>H2055</t>
  </si>
  <si>
    <t>H2085</t>
  </si>
  <si>
    <t>H2136</t>
  </si>
  <si>
    <t>H2168</t>
  </si>
  <si>
    <t>H2257</t>
  </si>
  <si>
    <t>H2295</t>
  </si>
  <si>
    <t>H2381</t>
  </si>
  <si>
    <t>H2452</t>
  </si>
  <si>
    <t>H2473</t>
  </si>
  <si>
    <t>H2475</t>
  </si>
  <si>
    <t>H2509</t>
  </si>
  <si>
    <t>H2676</t>
  </si>
  <si>
    <t>H2739</t>
  </si>
  <si>
    <t>H2755</t>
  </si>
  <si>
    <t>H2776</t>
  </si>
  <si>
    <t>H2851</t>
  </si>
  <si>
    <t>H2905</t>
  </si>
  <si>
    <t>H2907</t>
  </si>
  <si>
    <t>H2934</t>
  </si>
  <si>
    <t>H2960</t>
  </si>
  <si>
    <t>H3021</t>
  </si>
  <si>
    <t>H3158</t>
  </si>
  <si>
    <t>H3182</t>
  </si>
  <si>
    <t>H3283</t>
  </si>
  <si>
    <t>H3286</t>
  </si>
  <si>
    <t>H3294</t>
  </si>
  <si>
    <t>H3383</t>
  </si>
  <si>
    <t>H3470</t>
  </si>
  <si>
    <t>H3480</t>
  </si>
  <si>
    <t>H3505</t>
  </si>
  <si>
    <t>H3569</t>
  </si>
  <si>
    <t>H3600</t>
  </si>
  <si>
    <t>H3639</t>
  </si>
  <si>
    <t>H3727</t>
  </si>
  <si>
    <t>H3731</t>
  </si>
  <si>
    <t>H3762</t>
  </si>
  <si>
    <t>H3763</t>
  </si>
  <si>
    <t>H3795</t>
  </si>
  <si>
    <t>H3835</t>
  </si>
  <si>
    <t>H3853</t>
  </si>
  <si>
    <t>H3858</t>
  </si>
  <si>
    <t>H3862</t>
  </si>
  <si>
    <t>H3868</t>
  </si>
  <si>
    <t>H3873</t>
  </si>
  <si>
    <t>H3905</t>
  </si>
  <si>
    <t>H3994</t>
  </si>
  <si>
    <t>H4058</t>
  </si>
  <si>
    <t>H4085</t>
  </si>
  <si>
    <t>H4099</t>
  </si>
  <si>
    <t>H4115</t>
  </si>
  <si>
    <t>H4156</t>
  </si>
  <si>
    <t>H4179</t>
  </si>
  <si>
    <t>H4245</t>
  </si>
  <si>
    <t>H4246</t>
  </si>
  <si>
    <t>H4270</t>
  </si>
  <si>
    <t>H4276</t>
  </si>
  <si>
    <t>H4310</t>
  </si>
  <si>
    <t>H4315</t>
  </si>
  <si>
    <t>H4400</t>
  </si>
  <si>
    <t>H4418</t>
  </si>
  <si>
    <t>H4426</t>
  </si>
  <si>
    <t>L0006</t>
  </si>
  <si>
    <t>L0011</t>
  </si>
  <si>
    <t>L0018</t>
  </si>
  <si>
    <t>L0021</t>
  </si>
  <si>
    <t>L0026</t>
  </si>
  <si>
    <t>L0028</t>
  </si>
  <si>
    <t>L0038</t>
  </si>
  <si>
    <t>L0042</t>
  </si>
  <si>
    <t>L0047</t>
  </si>
  <si>
    <t>L0053</t>
  </si>
  <si>
    <t>L0055</t>
  </si>
  <si>
    <t>L0061</t>
  </si>
  <si>
    <t>L0063</t>
  </si>
  <si>
    <t>L0067</t>
  </si>
  <si>
    <t>L0078</t>
  </si>
  <si>
    <t>L0087</t>
  </si>
  <si>
    <t>L0104</t>
  </si>
  <si>
    <t>L0119</t>
  </si>
  <si>
    <t>L0147</t>
  </si>
  <si>
    <t>L0159</t>
  </si>
  <si>
    <t>L0244</t>
  </si>
  <si>
    <t>L0247</t>
  </si>
  <si>
    <t>L0259</t>
  </si>
  <si>
    <t>L0266</t>
  </si>
  <si>
    <t>L0277</t>
  </si>
  <si>
    <t>L0302</t>
  </si>
  <si>
    <t>L0308</t>
  </si>
  <si>
    <t>L0386</t>
  </si>
  <si>
    <t>L0388</t>
  </si>
  <si>
    <t>L0406</t>
  </si>
  <si>
    <t>L0438</t>
  </si>
  <si>
    <t>L0440</t>
  </si>
  <si>
    <t>L0451</t>
  </si>
  <si>
    <t>L0457</t>
  </si>
  <si>
    <t>L0461</t>
  </si>
  <si>
    <t>L0469</t>
  </si>
  <si>
    <t>L0514</t>
  </si>
  <si>
    <t>L0517</t>
  </si>
  <si>
    <t>L0518</t>
  </si>
  <si>
    <t>L0519</t>
  </si>
  <si>
    <t>L0528</t>
  </si>
  <si>
    <t>L0659</t>
  </si>
  <si>
    <t>L0664</t>
  </si>
  <si>
    <t>L0673</t>
  </si>
  <si>
    <t>L0686</t>
  </si>
  <si>
    <t>L0689</t>
  </si>
  <si>
    <t>L0690</t>
  </si>
  <si>
    <t>L0695</t>
  </si>
  <si>
    <t>L0702</t>
  </si>
  <si>
    <t>L0717</t>
  </si>
  <si>
    <t>L0718</t>
  </si>
  <si>
    <t>L0719</t>
  </si>
  <si>
    <t>L0721</t>
  </si>
  <si>
    <t>L0726</t>
  </si>
  <si>
    <t>L0848</t>
  </si>
  <si>
    <t>L0849</t>
  </si>
  <si>
    <t>L0871</t>
  </si>
  <si>
    <t>L0877</t>
  </si>
  <si>
    <t>L0891</t>
  </si>
  <si>
    <t>L0892</t>
  </si>
  <si>
    <t>L0913</t>
  </si>
  <si>
    <t>L0916</t>
  </si>
  <si>
    <t>L0923</t>
  </si>
  <si>
    <t>L0927</t>
  </si>
  <si>
    <t>L0938</t>
  </si>
  <si>
    <t>L0961</t>
  </si>
  <si>
    <t>L0970</t>
  </si>
  <si>
    <t>L0979</t>
  </si>
  <si>
    <t>L0992</t>
  </si>
  <si>
    <t>L1000</t>
  </si>
  <si>
    <t>L1001</t>
  </si>
  <si>
    <t>L1002</t>
  </si>
  <si>
    <t>L1005</t>
  </si>
  <si>
    <t>L1007</t>
  </si>
  <si>
    <t>L1015</t>
  </si>
  <si>
    <t>L1019</t>
  </si>
  <si>
    <t>L1033</t>
  </si>
  <si>
    <t>L1216</t>
  </si>
  <si>
    <t>L1218</t>
  </si>
  <si>
    <t>L1230</t>
  </si>
  <si>
    <t>L1236</t>
  </si>
  <si>
    <t>L1243</t>
  </si>
  <si>
    <t>L1253</t>
  </si>
  <si>
    <t>L1255</t>
  </si>
  <si>
    <t>L1257</t>
  </si>
  <si>
    <t>L1259</t>
  </si>
  <si>
    <t>L1299</t>
  </si>
  <si>
    <t>L1306</t>
  </si>
  <si>
    <t>L1322</t>
  </si>
  <si>
    <t>L1389</t>
  </si>
  <si>
    <t>L1405</t>
  </si>
  <si>
    <t>L1505</t>
  </si>
  <si>
    <t>L1508</t>
  </si>
  <si>
    <t>L1511</t>
  </si>
  <si>
    <t>L1512</t>
  </si>
  <si>
    <t>L1518</t>
  </si>
  <si>
    <t>L1530</t>
  </si>
  <si>
    <t>L1533</t>
  </si>
  <si>
    <t>L1537</t>
  </si>
  <si>
    <t>L1538</t>
  </si>
  <si>
    <t>L1548</t>
  </si>
  <si>
    <t>L1551</t>
  </si>
  <si>
    <t>L1556</t>
  </si>
  <si>
    <t>L1656</t>
  </si>
  <si>
    <t>L1668</t>
  </si>
  <si>
    <t>L1680</t>
  </si>
  <si>
    <t>L1693</t>
  </si>
  <si>
    <t>L1700</t>
  </si>
  <si>
    <t>L1714</t>
  </si>
  <si>
    <t>L1716</t>
  </si>
  <si>
    <t>L1719</t>
  </si>
  <si>
    <t>L1815</t>
  </si>
  <si>
    <t>L1821</t>
  </si>
  <si>
    <t>L1824</t>
  </si>
  <si>
    <t>L1829</t>
  </si>
  <si>
    <t>L1856</t>
  </si>
  <si>
    <t>L1867</t>
  </si>
  <si>
    <t>L1958</t>
  </si>
  <si>
    <t>L1965</t>
  </si>
  <si>
    <t>L1967</t>
  </si>
  <si>
    <t>L1994</t>
  </si>
  <si>
    <t>L1998</t>
  </si>
  <si>
    <t>L2000</t>
  </si>
  <si>
    <t>L2023</t>
  </si>
  <si>
    <t>L2034</t>
  </si>
  <si>
    <t>L2036</t>
  </si>
  <si>
    <t>L2159</t>
  </si>
  <si>
    <t>L2179</t>
  </si>
  <si>
    <t>L2188</t>
  </si>
  <si>
    <t>L2194</t>
  </si>
  <si>
    <t>L2195</t>
  </si>
  <si>
    <t>L2205</t>
  </si>
  <si>
    <t>L2285</t>
  </si>
  <si>
    <t>L2424</t>
  </si>
  <si>
    <t>L2434</t>
  </si>
  <si>
    <t>L2441</t>
  </si>
  <si>
    <t>L2498</t>
  </si>
  <si>
    <t>L2518</t>
  </si>
  <si>
    <t>L2732</t>
  </si>
  <si>
    <t>L2793</t>
  </si>
  <si>
    <t>L2889</t>
  </si>
  <si>
    <t>L3076</t>
  </si>
  <si>
    <t>L3262</t>
  </si>
  <si>
    <t>L3305</t>
  </si>
  <si>
    <t>L3519</t>
  </si>
  <si>
    <t>L3535</t>
  </si>
  <si>
    <t>L3559</t>
  </si>
  <si>
    <t>L3598</t>
  </si>
  <si>
    <t>L3613</t>
  </si>
  <si>
    <t>L3629</t>
  </si>
  <si>
    <t>L3642</t>
  </si>
  <si>
    <t>L3692</t>
  </si>
  <si>
    <t>L3698</t>
  </si>
  <si>
    <t>L3711</t>
  </si>
  <si>
    <t>L3713</t>
  </si>
  <si>
    <t>L3736</t>
  </si>
  <si>
    <t>L3757</t>
  </si>
  <si>
    <t>L3758</t>
  </si>
  <si>
    <t>L3790</t>
  </si>
  <si>
    <t>L3808</t>
  </si>
  <si>
    <t>L3833</t>
  </si>
  <si>
    <t>L3880</t>
  </si>
  <si>
    <t>L3881</t>
  </si>
  <si>
    <t>L3885</t>
  </si>
  <si>
    <t>L3899</t>
  </si>
  <si>
    <t>L3933</t>
  </si>
  <si>
    <t>L3939</t>
  </si>
  <si>
    <t>L3974</t>
  </si>
  <si>
    <t>L3981</t>
  </si>
  <si>
    <t>L4003</t>
  </si>
  <si>
    <t>L4004</t>
  </si>
  <si>
    <t>L4047</t>
  </si>
  <si>
    <t>L4060</t>
  </si>
  <si>
    <t>L4073</t>
  </si>
  <si>
    <t>L4088</t>
  </si>
  <si>
    <t>L4118</t>
  </si>
  <si>
    <t>L4123</t>
  </si>
  <si>
    <t>L4130</t>
  </si>
  <si>
    <t>L4140</t>
  </si>
  <si>
    <t>L4145</t>
  </si>
  <si>
    <t>L4160</t>
  </si>
  <si>
    <t>L4167</t>
  </si>
  <si>
    <t>L4170</t>
  </si>
  <si>
    <t>L4172</t>
  </si>
  <si>
    <t>L4178</t>
  </si>
  <si>
    <t>L4191</t>
  </si>
  <si>
    <t>L4199</t>
  </si>
  <si>
    <t>L4204</t>
  </si>
  <si>
    <t>L4207</t>
  </si>
  <si>
    <t>L4216</t>
  </si>
  <si>
    <t>L4218</t>
  </si>
  <si>
    <t>L4219</t>
  </si>
  <si>
    <t>L4223</t>
  </si>
  <si>
    <t>L4229</t>
  </si>
  <si>
    <t>L4230</t>
  </si>
  <si>
    <t>L4238</t>
  </si>
  <si>
    <t>L4251</t>
  </si>
  <si>
    <t>L4254</t>
  </si>
  <si>
    <t>L4260</t>
  </si>
  <si>
    <t>L4279</t>
  </si>
  <si>
    <t>L4299</t>
  </si>
  <si>
    <t>L4303</t>
  </si>
  <si>
    <t>L4311</t>
  </si>
  <si>
    <t>L4312</t>
  </si>
  <si>
    <t>L4313</t>
  </si>
  <si>
    <t>L4331</t>
  </si>
  <si>
    <t>L4334</t>
  </si>
  <si>
    <t>L4341</t>
  </si>
  <si>
    <t>L4346</t>
  </si>
  <si>
    <t>L4361</t>
  </si>
  <si>
    <t>L4362</t>
  </si>
  <si>
    <t>L4370</t>
  </si>
  <si>
    <t>L4372</t>
  </si>
  <si>
    <t>L4376</t>
  </si>
  <si>
    <t>L4383</t>
  </si>
  <si>
    <t>L4385</t>
  </si>
  <si>
    <t>L4389</t>
  </si>
  <si>
    <t>L4420</t>
  </si>
  <si>
    <t>L4434</t>
  </si>
  <si>
    <t>L4435</t>
  </si>
  <si>
    <t>L4441</t>
  </si>
  <si>
    <t>L4447</t>
  </si>
  <si>
    <t>L4450</t>
  </si>
  <si>
    <t>L4455</t>
  </si>
  <si>
    <t>L4456</t>
  </si>
  <si>
    <t>L4457</t>
  </si>
  <si>
    <t>L4459</t>
  </si>
  <si>
    <t>L4463</t>
  </si>
  <si>
    <t>L4466</t>
  </si>
  <si>
    <t>L4472</t>
  </si>
  <si>
    <t>L4473</t>
  </si>
  <si>
    <t>L4476</t>
  </si>
  <si>
    <t>L4485</t>
  </si>
  <si>
    <t>L4486</t>
  </si>
  <si>
    <t>L4495</t>
  </si>
  <si>
    <t>L4498</t>
  </si>
  <si>
    <t>L4499</t>
  </si>
  <si>
    <t>L4505</t>
  </si>
  <si>
    <t>L4507</t>
  </si>
  <si>
    <t>L4509</t>
  </si>
  <si>
    <t>L4517</t>
  </si>
  <si>
    <t>L4520</t>
  </si>
  <si>
    <t>L4521</t>
  </si>
  <si>
    <t>L4522</t>
  </si>
  <si>
    <t>L4528</t>
  </si>
  <si>
    <t>L4532</t>
  </si>
  <si>
    <t>L4534</t>
  </si>
  <si>
    <t>L4535</t>
  </si>
  <si>
    <t>L4538</t>
  </si>
  <si>
    <t>L4543</t>
  </si>
  <si>
    <t>L4547</t>
  </si>
  <si>
    <t>L4549</t>
  </si>
  <si>
    <t>L4550</t>
  </si>
  <si>
    <t>L4551</t>
  </si>
  <si>
    <t>L4552</t>
  </si>
  <si>
    <t>L4556</t>
  </si>
  <si>
    <t>LH0013</t>
  </si>
  <si>
    <t>LH0032</t>
  </si>
  <si>
    <t>LH0079</t>
  </si>
  <si>
    <t>LH0084</t>
  </si>
  <si>
    <t>LH0131</t>
  </si>
  <si>
    <t>LH0155</t>
  </si>
  <si>
    <t>LH0170</t>
  </si>
  <si>
    <t>LH0250</t>
  </si>
  <si>
    <t>LH0269</t>
  </si>
  <si>
    <t>LH0279</t>
  </si>
  <si>
    <t>LH0280</t>
  </si>
  <si>
    <t>LH0391</t>
  </si>
  <si>
    <t>LH0418</t>
  </si>
  <si>
    <t>LH0424</t>
  </si>
  <si>
    <t>LH0426</t>
  </si>
  <si>
    <t>LH0459</t>
  </si>
  <si>
    <t>LH0495</t>
  </si>
  <si>
    <t>LH0526</t>
  </si>
  <si>
    <t>LH0674</t>
  </si>
  <si>
    <t>LH0676</t>
  </si>
  <si>
    <t>LH0869</t>
  </si>
  <si>
    <t>LH0870</t>
  </si>
  <si>
    <t>LH0884</t>
  </si>
  <si>
    <t>LH0888</t>
  </si>
  <si>
    <t>LH0902</t>
  </si>
  <si>
    <t>LH0959</t>
  </si>
  <si>
    <t>LH0971</t>
  </si>
  <si>
    <t>LH0977</t>
  </si>
  <si>
    <t>LH0989</t>
  </si>
  <si>
    <t>LH1020</t>
  </si>
  <si>
    <t>LH1315</t>
  </si>
  <si>
    <t>LH1321</t>
  </si>
  <si>
    <t>LH1388</t>
  </si>
  <si>
    <t>LH1647</t>
  </si>
  <si>
    <t>LH1648</t>
  </si>
  <si>
    <t>LH1649</t>
  </si>
  <si>
    <t>LH1658</t>
  </si>
  <si>
    <t>LH1662</t>
  </si>
  <si>
    <t>LH1704</t>
  </si>
  <si>
    <t>LH1722</t>
  </si>
  <si>
    <t>LH1832</t>
  </si>
  <si>
    <t>LH1833</t>
  </si>
  <si>
    <t>LH1836</t>
  </si>
  <si>
    <t>LH1960</t>
  </si>
  <si>
    <t>LH2021</t>
  </si>
  <si>
    <t>LH2162</t>
  </si>
  <si>
    <t>LH2174</t>
  </si>
  <si>
    <t>LH2186</t>
  </si>
  <si>
    <t>LH2343</t>
  </si>
  <si>
    <t>LH2429</t>
  </si>
  <si>
    <t>LH2916</t>
  </si>
  <si>
    <t>LH3047</t>
  </si>
  <si>
    <t>LH3197</t>
  </si>
  <si>
    <t>LH3373</t>
  </si>
  <si>
    <t>LH3651</t>
  </si>
  <si>
    <t>LH3673</t>
  </si>
  <si>
    <t>LH3685</t>
  </si>
  <si>
    <t>LH3687</t>
  </si>
  <si>
    <t>LH3728</t>
  </si>
  <si>
    <t>LH3737</t>
  </si>
  <si>
    <t>LH3766</t>
  </si>
  <si>
    <t>LH3811</t>
  </si>
  <si>
    <t>LH3827</t>
  </si>
  <si>
    <t>LH3829</t>
  </si>
  <si>
    <t>LH3859</t>
  </si>
  <si>
    <t>LH3882</t>
  </si>
  <si>
    <t>LH3883</t>
  </si>
  <si>
    <t>LH3887</t>
  </si>
  <si>
    <t>LH3889</t>
  </si>
  <si>
    <t>LH3902</t>
  </si>
  <si>
    <t>LH3904</t>
  </si>
  <si>
    <t>LH3926</t>
  </si>
  <si>
    <t>LH3940</t>
  </si>
  <si>
    <t>LH3942</t>
  </si>
  <si>
    <t>LH3980</t>
  </si>
  <si>
    <t>LH4014</t>
  </si>
  <si>
    <t>LH4032</t>
  </si>
  <si>
    <t>LH4035</t>
  </si>
  <si>
    <t>LH4050</t>
  </si>
  <si>
    <t>LH4078</t>
  </si>
  <si>
    <t>LH4095</t>
  </si>
  <si>
    <t>LH4097</t>
  </si>
  <si>
    <t>LH4106</t>
  </si>
  <si>
    <t>LH4121</t>
  </si>
  <si>
    <t>LH4138</t>
  </si>
  <si>
    <t>LH4149</t>
  </si>
  <si>
    <t>LH4152</t>
  </si>
  <si>
    <t>LH4165</t>
  </si>
  <si>
    <t>LH4184</t>
  </si>
  <si>
    <t>LH4208</t>
  </si>
  <si>
    <t>LH4209</t>
  </si>
  <si>
    <t>LH4220</t>
  </si>
  <si>
    <t>LH4248</t>
  </si>
  <si>
    <t>LH4249</t>
  </si>
  <si>
    <t>LH4261</t>
  </si>
  <si>
    <t>LH4264</t>
  </si>
  <si>
    <t>LH4266</t>
  </si>
  <si>
    <t>LH4297</t>
  </si>
  <si>
    <t>LH4336</t>
  </si>
  <si>
    <t>LH4337</t>
  </si>
  <si>
    <t>LH4338</t>
  </si>
  <si>
    <t>LH4339</t>
  </si>
  <si>
    <t>LH4343</t>
  </si>
  <si>
    <t>LH4345</t>
  </si>
  <si>
    <t>LH4353</t>
  </si>
  <si>
    <t>LH4377</t>
  </si>
  <si>
    <t>LH4401</t>
  </si>
  <si>
    <t>LH4402</t>
  </si>
  <si>
    <t>LH4403</t>
  </si>
  <si>
    <t>LH4412</t>
  </si>
  <si>
    <t>LH4415</t>
  </si>
  <si>
    <t>LH4428</t>
  </si>
  <si>
    <t>LH4454</t>
  </si>
  <si>
    <t>SL3119</t>
  </si>
  <si>
    <t>SL3270</t>
  </si>
  <si>
    <t>SL3365</t>
  </si>
  <si>
    <t>SL3605</t>
  </si>
  <si>
    <t>SL4293</t>
  </si>
  <si>
    <t>45UB</t>
  </si>
  <si>
    <t>5164</t>
  </si>
  <si>
    <t>45UC</t>
  </si>
  <si>
    <t>37UB</t>
  </si>
  <si>
    <t>29UB</t>
  </si>
  <si>
    <t>42UB</t>
  </si>
  <si>
    <t>00CC</t>
  </si>
  <si>
    <t>22UB</t>
  </si>
  <si>
    <t>Basildon Borough Council</t>
  </si>
  <si>
    <t>37UC</t>
  </si>
  <si>
    <t>5110</t>
  </si>
  <si>
    <t>5117</t>
  </si>
  <si>
    <t>00CN</t>
  </si>
  <si>
    <t>5192</t>
  </si>
  <si>
    <t>00EY</t>
  </si>
  <si>
    <t>17UC</t>
  </si>
  <si>
    <t>5180</t>
  </si>
  <si>
    <t>5188</t>
  </si>
  <si>
    <t>5069</t>
  </si>
  <si>
    <t>5182</t>
  </si>
  <si>
    <t>22UD</t>
  </si>
  <si>
    <t>00ML</t>
  </si>
  <si>
    <t>00HB</t>
  </si>
  <si>
    <t>5190</t>
  </si>
  <si>
    <t>37UD</t>
  </si>
  <si>
    <t>5159</t>
  </si>
  <si>
    <t>00BM</t>
  </si>
  <si>
    <t>12UB</t>
  </si>
  <si>
    <t>41UB</t>
  </si>
  <si>
    <t>29UC</t>
  </si>
  <si>
    <t>22UE</t>
  </si>
  <si>
    <t>00KC</t>
  </si>
  <si>
    <t>31UC</t>
  </si>
  <si>
    <t>5096</t>
  </si>
  <si>
    <t>23UB</t>
  </si>
  <si>
    <t>38UB</t>
  </si>
  <si>
    <t>00EW</t>
  </si>
  <si>
    <t>17UD</t>
  </si>
  <si>
    <t>30UE</t>
  </si>
  <si>
    <t>00CX</t>
  </si>
  <si>
    <t>00CE</t>
  </si>
  <si>
    <t>32UD</t>
  </si>
  <si>
    <t>00AA</t>
  </si>
  <si>
    <t>00BK</t>
  </si>
  <si>
    <t>00FF</t>
  </si>
  <si>
    <t>22UG</t>
  </si>
  <si>
    <t>00HE</t>
  </si>
  <si>
    <t>00HF</t>
  </si>
  <si>
    <t>45UE</t>
  </si>
  <si>
    <t>26UC</t>
  </si>
  <si>
    <t>00EH</t>
  </si>
  <si>
    <t>29UD</t>
  </si>
  <si>
    <t>00FK</t>
  </si>
  <si>
    <t>5100</t>
  </si>
  <si>
    <t>5099</t>
  </si>
  <si>
    <t>29UE</t>
  </si>
  <si>
    <t>00CR</t>
  </si>
  <si>
    <t>00EJ</t>
  </si>
  <si>
    <t>18UB</t>
  </si>
  <si>
    <t>26UD</t>
  </si>
  <si>
    <t>5193</t>
  </si>
  <si>
    <t>00FB</t>
  </si>
  <si>
    <t>5070</t>
  </si>
  <si>
    <t>21UC</t>
  </si>
  <si>
    <t>5133</t>
  </si>
  <si>
    <t>5203</t>
  </si>
  <si>
    <t>22UH</t>
  </si>
  <si>
    <t>18UC</t>
  </si>
  <si>
    <t>24UE</t>
  </si>
  <si>
    <t>29UL</t>
  </si>
  <si>
    <t>00CH</t>
  </si>
  <si>
    <t>23UE</t>
  </si>
  <si>
    <t>24UF</t>
  </si>
  <si>
    <t>29UG</t>
  </si>
  <si>
    <t>33UD</t>
  </si>
  <si>
    <t>43UD</t>
  </si>
  <si>
    <t>00AP</t>
  </si>
  <si>
    <t>22UJ</t>
  </si>
  <si>
    <t>00EB</t>
  </si>
  <si>
    <t>5116</t>
  </si>
  <si>
    <t>5104</t>
  </si>
  <si>
    <t>17UH</t>
  </si>
  <si>
    <t>31UE</t>
  </si>
  <si>
    <t>42UD</t>
  </si>
  <si>
    <t>5144</t>
  </si>
  <si>
    <t>00FA</t>
  </si>
  <si>
    <t>00CZ</t>
  </si>
  <si>
    <t>30UH</t>
  </si>
  <si>
    <t>00DA</t>
  </si>
  <si>
    <t>00FN</t>
  </si>
  <si>
    <t>21UF</t>
  </si>
  <si>
    <t>5134</t>
  </si>
  <si>
    <t>5074</t>
  </si>
  <si>
    <t>00AB</t>
  </si>
  <si>
    <t>00AC</t>
  </si>
  <si>
    <t>00AD</t>
  </si>
  <si>
    <t>00AE</t>
  </si>
  <si>
    <t>5103</t>
  </si>
  <si>
    <t>00AG</t>
  </si>
  <si>
    <t>00AH</t>
  </si>
  <si>
    <t>00AJ</t>
  </si>
  <si>
    <t>00AK</t>
  </si>
  <si>
    <t>00AM</t>
  </si>
  <si>
    <t>00AN</t>
  </si>
  <si>
    <t>00AQ</t>
  </si>
  <si>
    <t>00AR</t>
  </si>
  <si>
    <t>00AS</t>
  </si>
  <si>
    <t>00AT</t>
  </si>
  <si>
    <t>00AU</t>
  </si>
  <si>
    <t>00AY</t>
  </si>
  <si>
    <t>00AZ</t>
  </si>
  <si>
    <t>00BA</t>
  </si>
  <si>
    <t>00BB</t>
  </si>
  <si>
    <t>00BC</t>
  </si>
  <si>
    <t>5196</t>
  </si>
  <si>
    <t>00BF</t>
  </si>
  <si>
    <t>00BG</t>
  </si>
  <si>
    <t>00BH</t>
  </si>
  <si>
    <t>00BJ</t>
  </si>
  <si>
    <t>00KA</t>
  </si>
  <si>
    <t>29UH</t>
  </si>
  <si>
    <t>5187</t>
  </si>
  <si>
    <t>00BN</t>
  </si>
  <si>
    <t>37UF</t>
  </si>
  <si>
    <t>00LC</t>
  </si>
  <si>
    <t>31UG</t>
  </si>
  <si>
    <t>18UD</t>
  </si>
  <si>
    <t>42UE</t>
  </si>
  <si>
    <t>00EC</t>
  </si>
  <si>
    <t>00MG</t>
  </si>
  <si>
    <t>43UE</t>
  </si>
  <si>
    <t>24UJ</t>
  </si>
  <si>
    <t>37UG</t>
  </si>
  <si>
    <t>00CJ</t>
  </si>
  <si>
    <t>17UJ</t>
  </si>
  <si>
    <t>32UE</t>
  </si>
  <si>
    <t>5098</t>
  </si>
  <si>
    <t>5129</t>
  </si>
  <si>
    <t>00HC</t>
  </si>
  <si>
    <t>00CK</t>
  </si>
  <si>
    <t>44UB</t>
  </si>
  <si>
    <t>31UH</t>
  </si>
  <si>
    <t>5179</t>
  </si>
  <si>
    <t>00EM</t>
  </si>
  <si>
    <t>33UG</t>
  </si>
  <si>
    <t>00FY</t>
  </si>
  <si>
    <t>44UC</t>
  </si>
  <si>
    <t>31UJ</t>
  </si>
  <si>
    <t>00BP</t>
  </si>
  <si>
    <t>38UC</t>
  </si>
  <si>
    <t>5112</t>
  </si>
  <si>
    <t>5185</t>
  </si>
  <si>
    <t>00MR</t>
  </si>
  <si>
    <t>00MC</t>
  </si>
  <si>
    <t>47UD</t>
  </si>
  <si>
    <t>5127</t>
  </si>
  <si>
    <t>30UL</t>
  </si>
  <si>
    <t>30UM</t>
  </si>
  <si>
    <t>5119</t>
  </si>
  <si>
    <t>00CF</t>
  </si>
  <si>
    <t>00AL</t>
  </si>
  <si>
    <t>00AW</t>
  </si>
  <si>
    <t>00AX</t>
  </si>
  <si>
    <t>44UD</t>
  </si>
  <si>
    <t>43UG</t>
  </si>
  <si>
    <t>5158</t>
  </si>
  <si>
    <t>00BR</t>
  </si>
  <si>
    <t>00CS</t>
  </si>
  <si>
    <t>5151</t>
  </si>
  <si>
    <t>00CG</t>
  </si>
  <si>
    <t>00GG</t>
  </si>
  <si>
    <t>00MD</t>
  </si>
  <si>
    <t>00CT</t>
  </si>
  <si>
    <t>5178</t>
  </si>
  <si>
    <t>12UG</t>
  </si>
  <si>
    <t>17UK</t>
  </si>
  <si>
    <t>5078</t>
  </si>
  <si>
    <t>32UF</t>
  </si>
  <si>
    <t>32UG</t>
  </si>
  <si>
    <t>5191</t>
  </si>
  <si>
    <t>5183</t>
  </si>
  <si>
    <t>5085</t>
  </si>
  <si>
    <t>00CL</t>
  </si>
  <si>
    <t>00MS</t>
  </si>
  <si>
    <t>00KF</t>
  </si>
  <si>
    <t>00BE</t>
  </si>
  <si>
    <t>5091</t>
  </si>
  <si>
    <t>26UG</t>
  </si>
  <si>
    <t>26UH</t>
  </si>
  <si>
    <t>00BS</t>
  </si>
  <si>
    <t>00GL</t>
  </si>
  <si>
    <t>5109</t>
  </si>
  <si>
    <t>23UF</t>
  </si>
  <si>
    <t>5080</t>
  </si>
  <si>
    <t>00HX</t>
  </si>
  <si>
    <t>41UK</t>
  </si>
  <si>
    <t>43UK</t>
  </si>
  <si>
    <t>18UH</t>
  </si>
  <si>
    <t>5102</t>
  </si>
  <si>
    <t>22UN</t>
  </si>
  <si>
    <t>29UN</t>
  </si>
  <si>
    <t>00KG</t>
  </si>
  <si>
    <t>29UP</t>
  </si>
  <si>
    <t>5167</t>
  </si>
  <si>
    <t>5186</t>
  </si>
  <si>
    <t>5118</t>
  </si>
  <si>
    <t>22UQ</t>
  </si>
  <si>
    <t>5184</t>
  </si>
  <si>
    <t>5212</t>
  </si>
  <si>
    <t>00EU</t>
  </si>
  <si>
    <t>44UF</t>
  </si>
  <si>
    <t>43UL</t>
  </si>
  <si>
    <t>21UH</t>
  </si>
  <si>
    <t>26UL</t>
  </si>
  <si>
    <t>00MB</t>
  </si>
  <si>
    <t>5077</t>
  </si>
  <si>
    <t>30UP</t>
  </si>
  <si>
    <t>5130</t>
  </si>
  <si>
    <t>5068</t>
  </si>
  <si>
    <t>5177</t>
  </si>
  <si>
    <t>00BW</t>
  </si>
  <si>
    <t>00HY</t>
  </si>
  <si>
    <t>24UP</t>
  </si>
  <si>
    <t>00CB</t>
  </si>
  <si>
    <t>43UM</t>
  </si>
  <si>
    <t>00MF</t>
  </si>
  <si>
    <t>00CW</t>
  </si>
  <si>
    <t>5197</t>
  </si>
  <si>
    <t>5150</t>
  </si>
  <si>
    <t>N/A</t>
  </si>
  <si>
    <t>Lookup search</t>
  </si>
  <si>
    <t>Look up source data e.g. PRP Names</t>
  </si>
  <si>
    <t>Text Count</t>
  </si>
  <si>
    <t>Dynamic range</t>
  </si>
  <si>
    <t>RP_Type</t>
  </si>
  <si>
    <t>SDR_Size</t>
  </si>
  <si>
    <t>Survey_Status</t>
  </si>
  <si>
    <t>LA_Nm</t>
  </si>
  <si>
    <t>Large</t>
  </si>
  <si>
    <t>Long Form</t>
  </si>
  <si>
    <t>Signed_Off</t>
  </si>
  <si>
    <t>AdurClarion Housing Association Limited</t>
  </si>
  <si>
    <t>AdurHabinteg Housing Association Limited</t>
  </si>
  <si>
    <t>AdurHome Group Limited</t>
  </si>
  <si>
    <t>AdurHousing 21</t>
  </si>
  <si>
    <t>AdurHyde Housing Association Limited</t>
  </si>
  <si>
    <t>AdurLondon &amp; Quadrant Housing Trust</t>
  </si>
  <si>
    <t>AdurMetropolitan Housing Trust Limited</t>
  </si>
  <si>
    <t>AdurMoat Homes Limited</t>
  </si>
  <si>
    <t>AdurOrbit Group Limited</t>
  </si>
  <si>
    <t>AdurSanctuary Housing Association</t>
  </si>
  <si>
    <t>Small</t>
  </si>
  <si>
    <t>Short Form</t>
  </si>
  <si>
    <t>AdurSouthdown Housing Association Limited</t>
  </si>
  <si>
    <t>AdurSouthern Housing</t>
  </si>
  <si>
    <t>AdurStonewater Limited</t>
  </si>
  <si>
    <t>AdurThe Fellowship Houses Trust</t>
  </si>
  <si>
    <t>AdurThe Guinness Partnership Limited</t>
  </si>
  <si>
    <t>AdurVivid Housing Limited</t>
  </si>
  <si>
    <t>AdurWestmoreland Supported Housing Limited</t>
  </si>
  <si>
    <t>AdurWorthing Homes Limited</t>
  </si>
  <si>
    <t>Amber ValleyAction Housing and Support Limited</t>
  </si>
  <si>
    <t>Amber ValleyAdullam Homes Housing Association Limited</t>
  </si>
  <si>
    <t>Amber ValleyAdvance Housing and Support Limited</t>
  </si>
  <si>
    <t>Amber ValleyAmplius Living</t>
  </si>
  <si>
    <t>Amber ValleyAnchor Hanover Group</t>
  </si>
  <si>
    <t>Amber ValleyEMH Housing and Regeneration Limited</t>
  </si>
  <si>
    <t>Amber ValleyFramework Housing Association</t>
  </si>
  <si>
    <t>Amber ValleyFutures Homescape Limited</t>
  </si>
  <si>
    <t>Amber ValleyGolden Lane Housing Limited</t>
  </si>
  <si>
    <t>Amber ValleyHeylo Housing Registered Provider Limited</t>
  </si>
  <si>
    <t>Amber ValleyHome Group Limited</t>
  </si>
  <si>
    <t>Amber ValleyM&amp;G UK Shared Ownership Limited</t>
  </si>
  <si>
    <t>Amber ValleyMetropolitan Housing Trust Limited</t>
  </si>
  <si>
    <t>Amber ValleyNottingham Community Housing Association Limited</t>
  </si>
  <si>
    <t>Amber ValleyP3 Housing Limited</t>
  </si>
  <si>
    <t>Amber ValleyPartners Foundation Limited</t>
  </si>
  <si>
    <t>Amber ValleyPlaces for People Homes Limited</t>
  </si>
  <si>
    <t>Amber ValleyPlaces for People Living+ Limited</t>
  </si>
  <si>
    <t>Amber ValleyPlatform Housing Limited</t>
  </si>
  <si>
    <t>Amber ValleyProgress Housing Association Limited</t>
  </si>
  <si>
    <t>Amber ValleyReside Housing Association Limited</t>
  </si>
  <si>
    <t>Amber ValleySage Homes RP Limited</t>
  </si>
  <si>
    <t>Amber ValleySage Rented Limited</t>
  </si>
  <si>
    <t>Amber ValleySevern Almshouses Trust</t>
  </si>
  <si>
    <t>Amber ValleySparrow Shared Ownership Limited</t>
  </si>
  <si>
    <t>Amber ValleyStonewater Limited</t>
  </si>
  <si>
    <t>Amber ValleyThe Guinness Partnership Limited</t>
  </si>
  <si>
    <t>Amber ValleyThe Riverside Group Limited</t>
  </si>
  <si>
    <t>Amber ValleyThe William Holmes Almshouses</t>
  </si>
  <si>
    <t>Amber ValleyYMCA Derbyshire</t>
  </si>
  <si>
    <t>ArunAbility Housing Association</t>
  </si>
  <si>
    <t>ArunAnchor Hanover Group</t>
  </si>
  <si>
    <t>ArunAster 3 Limited</t>
  </si>
  <si>
    <t>ArunAster Communities</t>
  </si>
  <si>
    <t>ArunClarion Housing Association Limited</t>
  </si>
  <si>
    <t>ArunFalcon Housing Association C.I.C</t>
  </si>
  <si>
    <t>ArunGolden Lane Housing Limited</t>
  </si>
  <si>
    <t>ArunHastoe Housing Association Limited</t>
  </si>
  <si>
    <t>ArunHeylo Housing Registered Provider Limited</t>
  </si>
  <si>
    <t>ArunHome Group Limited</t>
  </si>
  <si>
    <t>ArunHousing 21</t>
  </si>
  <si>
    <t>ArunHyde Housing Association Limited</t>
  </si>
  <si>
    <t>ArunLife 2009</t>
  </si>
  <si>
    <t>ArunLittlehampton and Rustington Housing Society Limited</t>
  </si>
  <si>
    <t>ArunLondon &amp; Quadrant Housing Trust</t>
  </si>
  <si>
    <t>ArunM&amp;G UK Shared Ownership Limited</t>
  </si>
  <si>
    <t>ArunMartlet Homes Limited</t>
  </si>
  <si>
    <t>ArunMoat Homes Limited</t>
  </si>
  <si>
    <t>ArunNotting Hill Home Ownership Limited</t>
  </si>
  <si>
    <t>ArunParagon Asra Housing Limited</t>
  </si>
  <si>
    <t>ArunPlaces for People Homes Limited</t>
  </si>
  <si>
    <t>ArunSage Homes RP Limited</t>
  </si>
  <si>
    <t>ArunSage Rented Limited</t>
  </si>
  <si>
    <t>ArunSanctuary Housing Association</t>
  </si>
  <si>
    <t>ArunSaxon Weald</t>
  </si>
  <si>
    <t>ArunSouthdown Housing Association Limited</t>
  </si>
  <si>
    <t>ArunSouthern Home Ownership Limited</t>
  </si>
  <si>
    <t>ArunSouthern Housing</t>
  </si>
  <si>
    <t>ArunSovereign Network Group</t>
  </si>
  <si>
    <t>ArunSparrow Shared Ownership Limited</t>
  </si>
  <si>
    <t>ArunSt Richard of Chichester Christian Care Association Ltd</t>
  </si>
  <si>
    <t>ArunStonewater Limited</t>
  </si>
  <si>
    <t>ArunSynergy Housing Limited</t>
  </si>
  <si>
    <t>ArunThe Guinness Partnership Limited</t>
  </si>
  <si>
    <t>ArunTurning Point</t>
  </si>
  <si>
    <t>ArunVivid Housing Limited</t>
  </si>
  <si>
    <t>ArunWandle Housing Association Limited</t>
  </si>
  <si>
    <t>ArunWorthing Homes Limited</t>
  </si>
  <si>
    <t>AshfieldAcis Group Limited</t>
  </si>
  <si>
    <t>AshfieldAdvance Housing and Support Limited</t>
  </si>
  <si>
    <t>AshfieldAnchor Hanover Group</t>
  </si>
  <si>
    <t>AshfieldBespoke Supportive Tenancies Ltd</t>
  </si>
  <si>
    <t>AshfieldEMH Housing and Regeneration Limited</t>
  </si>
  <si>
    <t>AshfieldFramework Housing Association</t>
  </si>
  <si>
    <t>AshfieldFutures Homescape Limited</t>
  </si>
  <si>
    <t>AshfieldGolden Lane Housing Limited</t>
  </si>
  <si>
    <t>AshfieldHeylo Housing Registered Provider Limited</t>
  </si>
  <si>
    <t>AshfieldHousing 21</t>
  </si>
  <si>
    <t>AshfieldInclusion Housing Community Interest Company</t>
  </si>
  <si>
    <t>AshfieldJigsaw Homes Midlands</t>
  </si>
  <si>
    <t>AshfieldLondon &amp; Quadrant Housing Trust</t>
  </si>
  <si>
    <t>AshfieldM&amp;G UK Shared Ownership Limited</t>
  </si>
  <si>
    <t>AshfieldMetropolitan Housing Trust Limited</t>
  </si>
  <si>
    <t>AshfieldNottingham Community Housing Association Limited</t>
  </si>
  <si>
    <t>AshfieldOngo Homes Limited</t>
  </si>
  <si>
    <t>AshfieldP3 Housing Limited</t>
  </si>
  <si>
    <t>AshfieldParagon Asra Housing Limited</t>
  </si>
  <si>
    <t>AshfieldPark Properties Housing Association Ltd</t>
  </si>
  <si>
    <t>AshfieldPlaces for People Homes Limited</t>
  </si>
  <si>
    <t>AshfieldPlaces for People Living+ Limited</t>
  </si>
  <si>
    <t>AshfieldPlatform Housing Limited</t>
  </si>
  <si>
    <t>AshfieldProgress Housing Association Limited</t>
  </si>
  <si>
    <t>AshfieldSanctuary Housing Association</t>
  </si>
  <si>
    <t>AshfieldStonewater Limited</t>
  </si>
  <si>
    <t>AshfieldThe Riverside Group Limited</t>
  </si>
  <si>
    <t>AshfieldTuntum Housing Association Limited</t>
  </si>
  <si>
    <t>AshfordAccent Housing Limited</t>
  </si>
  <si>
    <t>AshfordAdvance Housing and Support Limited</t>
  </si>
  <si>
    <t>AshfordAnchor Hanover Group</t>
  </si>
  <si>
    <t>AshfordAshford Pavilion Housing Co-operative Limited</t>
  </si>
  <si>
    <t>AshfordClarion Housing Association Limited</t>
  </si>
  <si>
    <t>AshfordEnglish Rural Housing Association Limited</t>
  </si>
  <si>
    <t>AshfordGolding Homes Limited</t>
  </si>
  <si>
    <t>AshfordHeylo Housing Registered Provider Limited</t>
  </si>
  <si>
    <t>AshfordHome Group Limited</t>
  </si>
  <si>
    <t>AshfordHousing 21</t>
  </si>
  <si>
    <t>AshfordHyde Housing Association Limited</t>
  </si>
  <si>
    <t>AshfordInclusion Housing Community Interest Company</t>
  </si>
  <si>
    <t>AshfordLegal &amp; General Affordable Homes Limited</t>
  </si>
  <si>
    <t>AshfordM&amp;G UK Shared Ownership Limited</t>
  </si>
  <si>
    <t>AshfordMoat Homes Limited</t>
  </si>
  <si>
    <t>AshfordOrbit Group Limited</t>
  </si>
  <si>
    <t>AshfordOrbit Housing Association Limited</t>
  </si>
  <si>
    <t>AshfordPlaces for People Homes Limited</t>
  </si>
  <si>
    <t>AshfordPlaces for People Living+ Limited</t>
  </si>
  <si>
    <t>AshfordReside Housing Association Limited</t>
  </si>
  <si>
    <t>AshfordSage Homes RP Limited</t>
  </si>
  <si>
    <t>AshfordSage Rented Limited</t>
  </si>
  <si>
    <t>AshfordSalvation Army Housing Association</t>
  </si>
  <si>
    <t>AshfordSanctuary Housing Association</t>
  </si>
  <si>
    <t>AshfordSouthern Housing</t>
  </si>
  <si>
    <t>AshfordSparrow Shared Ownership Limited</t>
  </si>
  <si>
    <t>AshfordThe Guinness Partnership Limited</t>
  </si>
  <si>
    <t>AshfordThe Riverside Group Limited</t>
  </si>
  <si>
    <t>AshfordTown and Country Housing</t>
  </si>
  <si>
    <t>AshfordWest Kent Housing Association</t>
  </si>
  <si>
    <t>BaberghAnchor Hanover Group</t>
  </si>
  <si>
    <t>BaberghAuckland Home Solutions CIC</t>
  </si>
  <si>
    <t>BaberghChelmer Housing Partnership Limited</t>
  </si>
  <si>
    <t>BaberghEastlight Community Homes Limited</t>
  </si>
  <si>
    <t>BaberghEmpower Housing Association Limited</t>
  </si>
  <si>
    <t>BaberghEstuary Housing Association Limited</t>
  </si>
  <si>
    <t>BaberghFlagship Housing Limited</t>
  </si>
  <si>
    <t>BaberghGolden Lane Housing Limited</t>
  </si>
  <si>
    <t>BaberghGrand Feoffment Charities</t>
  </si>
  <si>
    <t>BaberghHastoe Housing Association Limited</t>
  </si>
  <si>
    <t>BaberghHeylo Housing Registered Provider Limited</t>
  </si>
  <si>
    <t>BaberghHousing 21</t>
  </si>
  <si>
    <t>BaberghInclusion Housing Community Interest Company</t>
  </si>
  <si>
    <t>BaberghMetropolitan Housing Trust Limited</t>
  </si>
  <si>
    <t>BaberghOrbit Group Limited</t>
  </si>
  <si>
    <t>BaberghOrbit Housing Association Limited</t>
  </si>
  <si>
    <t>BaberghOrwell Housing Association Limited</t>
  </si>
  <si>
    <t>BaberghProgress Housing Association Limited</t>
  </si>
  <si>
    <t>BaberghReside Housing Association Limited</t>
  </si>
  <si>
    <t>BaberghSaffron Housing Trust Limited</t>
  </si>
  <si>
    <t>BaberghSage Homes RP Limited</t>
  </si>
  <si>
    <t>BaberghSage Rented Limited</t>
  </si>
  <si>
    <t>BaberghSanctuary Affordable Housing Limited</t>
  </si>
  <si>
    <t>BaberghSanctuary Housing Association</t>
  </si>
  <si>
    <t>BaberghSimply Affordable Homes RP Limited</t>
  </si>
  <si>
    <t>BaberghSolo Housing (East Anglia)</t>
  </si>
  <si>
    <t>BaberghThe Field Lane Foundation</t>
  </si>
  <si>
    <t>BaberghThe Havebury Housing Partnership</t>
  </si>
  <si>
    <t>BaberghThirteen Housing Group Limited</t>
  </si>
  <si>
    <t>Barking and DagenhamAnchor Hanover Group</t>
  </si>
  <si>
    <t>Barking and DagenhamClarion Housing Association Limited</t>
  </si>
  <si>
    <t>Barking and DagenhamCromwood Housing Ltd</t>
  </si>
  <si>
    <t>Barking and DagenhamEncircle Housing</t>
  </si>
  <si>
    <t>Barking and DagenhamEstuary Housing Association Limited</t>
  </si>
  <si>
    <t>Barking and DagenhamHome Group Limited</t>
  </si>
  <si>
    <t>Barking and DagenhamLocal Space</t>
  </si>
  <si>
    <t>Barking and DagenhamLondon &amp; Quadrant Housing Trust</t>
  </si>
  <si>
    <t>Barking and DagenhamLook Ahead Care and Support Limited</t>
  </si>
  <si>
    <t>Barking and DagenhamMetropolitan Housing Trust Limited</t>
  </si>
  <si>
    <t>Barking and DagenhamMoat Homes Limited</t>
  </si>
  <si>
    <t>Barking and DagenhamNewlon Housing Trust</t>
  </si>
  <si>
    <t>Barking and DagenhamNotting Hill Genesis</t>
  </si>
  <si>
    <t>Barking and DagenhamNotting Hill Home Ownership Limited</t>
  </si>
  <si>
    <t>Barking and DagenhamParagon Asra Housing Limited</t>
  </si>
  <si>
    <t>Barking and DagenhamPeabody Trust</t>
  </si>
  <si>
    <t>Barking and DagenhamPlaces for People Living+ Limited</t>
  </si>
  <si>
    <t>Barking and DagenhamReSI Homes Limited</t>
  </si>
  <si>
    <t>Barking and DagenhamSage Homes RP Limited</t>
  </si>
  <si>
    <t>Barking and DagenhamSanctuary Housing Association</t>
  </si>
  <si>
    <t>Barking and DagenhamSouthern Home Ownership Limited</t>
  </si>
  <si>
    <t>Barking and DagenhamSouthern Housing</t>
  </si>
  <si>
    <t>Barking and DagenhamSovereign Network Group</t>
  </si>
  <si>
    <t>Barking and DagenhamSwan Housing Association Limited</t>
  </si>
  <si>
    <t>Barking and DagenhamTCUK Homes Limited</t>
  </si>
  <si>
    <t>Barking and DagenhamThe Riverside Group Limited</t>
  </si>
  <si>
    <t>Barking and DagenhamYMCA Thames Gateway</t>
  </si>
  <si>
    <t>BarnetA2Dominion Homes Limited</t>
  </si>
  <si>
    <t>BarnetAgudas Israel Housing Association Limited</t>
  </si>
  <si>
    <t>BarnetAnchor Hanover Group</t>
  </si>
  <si>
    <t>BarnetArhag Housing Association Limited</t>
  </si>
  <si>
    <t>BarnetArpeggio Properties Limited</t>
  </si>
  <si>
    <t>BarnetBirnbeck Housing Association Limited</t>
  </si>
  <si>
    <t>BarnetBlue Square Residential Ltd</t>
  </si>
  <si>
    <t>BarnetChristian Action (Enfield) Housing Association Limited</t>
  </si>
  <si>
    <t>BarnetClarion Housing Association Limited</t>
  </si>
  <si>
    <t>BarnetConcept Housing Association CIC</t>
  </si>
  <si>
    <t>BarnetDay's and Atkinson's Almshouse Charity</t>
  </si>
  <si>
    <t>BarnetDimensions (UK) Limited</t>
  </si>
  <si>
    <t>BarnetDistrict Homes C.I.C</t>
  </si>
  <si>
    <t>BarnetEleanor Palmer Trust</t>
  </si>
  <si>
    <t>BarnetEmpower Housing Association Limited</t>
  </si>
  <si>
    <t>BarnetEncircle Housing</t>
  </si>
  <si>
    <t>BarnetFirst Wave Housing Limited</t>
  </si>
  <si>
    <t>BarnetGolden Lane Housing Limited</t>
  </si>
  <si>
    <t>BarnetHabinteg Housing Association Limited</t>
  </si>
  <si>
    <t>BarnetHill Homes</t>
  </si>
  <si>
    <t>BarnetHome Group Limited</t>
  </si>
  <si>
    <t>BarnetInclusion Housing Community Interest Company</t>
  </si>
  <si>
    <t>BarnetInnisfree Housing Association Limited</t>
  </si>
  <si>
    <t>BarnetJewish Community Housing Association Limited</t>
  </si>
  <si>
    <t>BarnetJoel Emanuel Trust</t>
  </si>
  <si>
    <t>BarnetKaribu Community Homes Limited</t>
  </si>
  <si>
    <t>BarnetLawrence Campe's Almshouse Trust</t>
  </si>
  <si>
    <t>BarnetLondon &amp; Quadrant Housing Trust</t>
  </si>
  <si>
    <t>BarnetMetropolitan Housing Trust Limited</t>
  </si>
  <si>
    <t>BarnetNotting Hill Genesis</t>
  </si>
  <si>
    <t>BarnetNotting Hill Home Ownership Limited</t>
  </si>
  <si>
    <t>BarnetOctavia Housing</t>
  </si>
  <si>
    <t>BarnetOdu-Dua Housing Association Limited</t>
  </si>
  <si>
    <t>BarnetOne YMCA</t>
  </si>
  <si>
    <t>BarnetOrchard Housing Society Limited</t>
  </si>
  <si>
    <t>BarnetOrigin Housing Limited</t>
  </si>
  <si>
    <t>BarnetOtto Schiff Housing Association</t>
  </si>
  <si>
    <t>BarnetParadigm Homes Charitable Housing Association Limited</t>
  </si>
  <si>
    <t>BarnetParagon Asra Housing Limited</t>
  </si>
  <si>
    <t>BarnetPeabody Trust</t>
  </si>
  <si>
    <t>BarnetPlaces for People Homes Limited</t>
  </si>
  <si>
    <t>BarnetReside Housing Association Limited</t>
  </si>
  <si>
    <t>BarnetRetail Trust</t>
  </si>
  <si>
    <t>BarnetSage Homes RP Limited</t>
  </si>
  <si>
    <t>BarnetSage Rented Limited</t>
  </si>
  <si>
    <t>BarnetSalvation Army Housing Association</t>
  </si>
  <si>
    <t>BarnetSanctuary Affordable Housing Limited</t>
  </si>
  <si>
    <t>BarnetSanctuary Housing Association</t>
  </si>
  <si>
    <t>BarnetSouthern Housing</t>
  </si>
  <si>
    <t>BarnetSovereign Network Group</t>
  </si>
  <si>
    <t>BarnetSquare Roots Registered Provider Limited</t>
  </si>
  <si>
    <t>BarnetTBG Open Door Limited</t>
  </si>
  <si>
    <t>BarnetTally-Ho Housing Co-operative Limited</t>
  </si>
  <si>
    <t>BarnetThe Finchley Charities</t>
  </si>
  <si>
    <t>BarnetThe Guinness Partnership Limited</t>
  </si>
  <si>
    <t>BarnetThe Industrial Dwellings Society (1885) Limited</t>
  </si>
  <si>
    <t>BarnetThe Riverside Group Limited</t>
  </si>
  <si>
    <t>BarnetWatford Community Housing Trust</t>
  </si>
  <si>
    <t>BarnetWestlon Housing Association Limited</t>
  </si>
  <si>
    <t>BarnetWestmoreland Supported Housing Limited</t>
  </si>
  <si>
    <t>BarnetWindrush Alliance UK Community Interest Company</t>
  </si>
  <si>
    <t>Barnsley54 North Homes Limited</t>
  </si>
  <si>
    <t>BarnsleyAcis Group Limited</t>
  </si>
  <si>
    <t>BarnsleyAction Housing and Support Limited</t>
  </si>
  <si>
    <t>BarnsleyAnchor Hanover Group</t>
  </si>
  <si>
    <t>BarnsleyAuxesia Homes Limited</t>
  </si>
  <si>
    <t>BarnsleyGolden Lane Housing Limited</t>
  </si>
  <si>
    <t>BarnsleyGreat Places Housing Association</t>
  </si>
  <si>
    <t>BarnsleyHabinteg Housing Association Limited</t>
  </si>
  <si>
    <t>BarnsleyHalo Housing Association Limited</t>
  </si>
  <si>
    <t>BarnsleyHeylo Housing Registered Provider Limited</t>
  </si>
  <si>
    <t>BarnsleyHighstone Housing Association Limited</t>
  </si>
  <si>
    <t>BarnsleyHome Group Limited</t>
  </si>
  <si>
    <t>BarnsleyInclusion Housing Community Interest Company</t>
  </si>
  <si>
    <t>BarnsleyJ &amp; M Residential Lettings Limited</t>
  </si>
  <si>
    <t>BarnsleyLegal &amp; General Affordable Homes Limited</t>
  </si>
  <si>
    <t>BarnsleyPlaces for People Homes Limited</t>
  </si>
  <si>
    <t>BarnsleyReside Housing Association Limited</t>
  </si>
  <si>
    <t>BarnsleySage Homes RP Limited</t>
  </si>
  <si>
    <t>BarnsleySanctuary Affordable Housing Limited</t>
  </si>
  <si>
    <t>BarnsleySanctuary Housing Association</t>
  </si>
  <si>
    <t>BarnsleySouth Yorkshire Housing Association Limited</t>
  </si>
  <si>
    <t>BarnsleyTarget Housing Limited</t>
  </si>
  <si>
    <t>BarnsleyThe Guinness Partnership Limited</t>
  </si>
  <si>
    <t>BarnsleyThe Riverside Group Limited</t>
  </si>
  <si>
    <t>BarnsleyTogether Housing Association Limited</t>
  </si>
  <si>
    <t>BarnsleyVico Homes Limited</t>
  </si>
  <si>
    <t>BarnsleyWaythrough</t>
  </si>
  <si>
    <t>BarnsleyYorkshire Housing Limited</t>
  </si>
  <si>
    <t>BasildonAdvance Housing and Support Limited</t>
  </si>
  <si>
    <t>BasildonAnchor Hanover Group</t>
  </si>
  <si>
    <t>BasildonChelmer Housing Partnership Limited</t>
  </si>
  <si>
    <t>BasildonChrysalis Supported Association Limited</t>
  </si>
  <si>
    <t>BasildonClarion Housing Association Limited</t>
  </si>
  <si>
    <t>BasildonEmpower Housing Association Limited</t>
  </si>
  <si>
    <t>BasildonEstuary Housing Association Limited</t>
  </si>
  <si>
    <t>BasildonHilldale Housing Association Limited</t>
  </si>
  <si>
    <t>BasildonHome Group Limited</t>
  </si>
  <si>
    <t>BasildonHousing 21</t>
  </si>
  <si>
    <t>BasildonKingsclere Almshouses Charity</t>
  </si>
  <si>
    <t>BasildonLocal Space</t>
  </si>
  <si>
    <t>BasildonLondon &amp; Quadrant Housing Trust</t>
  </si>
  <si>
    <t>BasildonLook Ahead Care and Support Limited</t>
  </si>
  <si>
    <t>BasildonM&amp;G UK Shared Ownership Limited</t>
  </si>
  <si>
    <t>BasildonMetropolitan Housing Trust Limited</t>
  </si>
  <si>
    <t>BasildonMoat Homes Limited</t>
  </si>
  <si>
    <t>BasildonNACRO</t>
  </si>
  <si>
    <t>BasildonNotting Hill Genesis</t>
  </si>
  <si>
    <t>BasildonOrbit Group Limited</t>
  </si>
  <si>
    <t>BasildonPeabody Trust</t>
  </si>
  <si>
    <t>BasildonPlaces for People Homes Limited</t>
  </si>
  <si>
    <t>BasildonReSI Homes Limited</t>
  </si>
  <si>
    <t>BasildonSalvation Army Housing Association</t>
  </si>
  <si>
    <t>BasildonSanctuary Housing Association</t>
  </si>
  <si>
    <t>BasildonSwan Housing Association Limited</t>
  </si>
  <si>
    <t>BasildonThe Abbeyfield Basildon Society Limited</t>
  </si>
  <si>
    <t>BasildonThe Abbeyfield Billericay Society Limited</t>
  </si>
  <si>
    <t>BasildonThe Guinness Partnership Limited</t>
  </si>
  <si>
    <t>BasildonThe Papworth Trust</t>
  </si>
  <si>
    <t>Basingstoke and DeaneA2Dominion South Limited</t>
  </si>
  <si>
    <t>Basingstoke and DeaneAbility Housing Association</t>
  </si>
  <si>
    <t>Basingstoke and DeaneAbri Group Limited</t>
  </si>
  <si>
    <t>Basingstoke and DeaneAdvance Housing and Support Limited</t>
  </si>
  <si>
    <t>Basingstoke and DeaneAnchor Hanover Group</t>
  </si>
  <si>
    <t>Basingstoke and DeaneAster Communities</t>
  </si>
  <si>
    <t>Basingstoke and DeaneClarion Housing Association Limited</t>
  </si>
  <si>
    <t>Basingstoke and DeaneEnglish Rural Housing Association Limited</t>
  </si>
  <si>
    <t>Basingstoke and DeaneFirst Priority Housing Association Limited</t>
  </si>
  <si>
    <t>Basingstoke and DeaneGolden Lane Housing Limited</t>
  </si>
  <si>
    <t>Basingstoke and DeaneHastoe Housing Association Limited</t>
  </si>
  <si>
    <t>Basingstoke and DeaneHeylo Housing Registered Provider Limited</t>
  </si>
  <si>
    <t>Basingstoke and DeaneHome Group Limited</t>
  </si>
  <si>
    <t>Basingstoke and DeaneHousing 21</t>
  </si>
  <si>
    <t>Basingstoke and DeaneHousing Solutions</t>
  </si>
  <si>
    <t>Basingstoke and DeaneJulian House</t>
  </si>
  <si>
    <t>Basingstoke and DeaneLondon &amp; Quadrant Housing Trust</t>
  </si>
  <si>
    <t>Basingstoke and DeaneMetropolitan Housing Trust Limited</t>
  </si>
  <si>
    <t>Basingstoke and DeaneMoat Homes Limited</t>
  </si>
  <si>
    <t>Basingstoke and DeanePlaces for People Homes Limited</t>
  </si>
  <si>
    <t>Basingstoke and DeanePlexus UK (First Project) Limited</t>
  </si>
  <si>
    <t>Basingstoke and DeaneSage Homes RP Limited</t>
  </si>
  <si>
    <t>Basingstoke and DeaneSage Rented Limited</t>
  </si>
  <si>
    <t>Basingstoke and DeaneSanctuary Housing Association</t>
  </si>
  <si>
    <t>Basingstoke and DeaneSaxon Weald</t>
  </si>
  <si>
    <t>Basingstoke and DeaneSir Robert Geffery's Almshouse Trust</t>
  </si>
  <si>
    <t>Basingstoke and DeaneSouthern Housing</t>
  </si>
  <si>
    <t>Basingstoke and DeaneSovereign Network Group</t>
  </si>
  <si>
    <t>Basingstoke and DeaneSparrow Shared Ownership Limited</t>
  </si>
  <si>
    <t>Basingstoke and DeaneStonewater Limited</t>
  </si>
  <si>
    <t>Basingstoke and DeaneThe Guinness Partnership Limited</t>
  </si>
  <si>
    <t>Basingstoke and DeaneThe Society of St James</t>
  </si>
  <si>
    <t>Basingstoke and DeaneThe Swaythling Housing Society Limited</t>
  </si>
  <si>
    <t>Basingstoke and DeaneTwo Saints Limited</t>
  </si>
  <si>
    <t>Basingstoke and DeaneVivid Housing Limited</t>
  </si>
  <si>
    <t>Basingstoke and DeaneYMCA Fairthorne Housing</t>
  </si>
  <si>
    <t>BassetlawAcis Group Limited</t>
  </si>
  <si>
    <t>BassetlawAdvance Housing and Support Limited</t>
  </si>
  <si>
    <t>BassetlawAmplius Living</t>
  </si>
  <si>
    <t>BassetlawAnchor Hanover Group</t>
  </si>
  <si>
    <t>BassetlawAuxesia Homes Limited</t>
  </si>
  <si>
    <t>BassetlawBespoke Supportive Tenancies Ltd</t>
  </si>
  <si>
    <t>BassetlawEMH Housing and Regeneration Limited</t>
  </si>
  <si>
    <t>BassetlawFramework Housing Association</t>
  </si>
  <si>
    <t>BassetlawGolden Lane Housing Limited</t>
  </si>
  <si>
    <t>BassetlawHeylo Housing Registered Provider Limited</t>
  </si>
  <si>
    <t>BassetlawLegal &amp; General Affordable Homes (AR) LLP</t>
  </si>
  <si>
    <t>BassetlawLegal &amp; General Affordable Homes Limited</t>
  </si>
  <si>
    <t>BassetlawM&amp;G UK Shared Ownership Limited</t>
  </si>
  <si>
    <t>BassetlawMetropolitan Housing Trust Limited</t>
  </si>
  <si>
    <t>BassetlawNACRO</t>
  </si>
  <si>
    <t>BassetlawNottingham Community Housing Association Limited</t>
  </si>
  <si>
    <t>BassetlawOngo Homes Limited</t>
  </si>
  <si>
    <t>BassetlawPlaces for People Homes Limited</t>
  </si>
  <si>
    <t>BassetlawPlaces for People Living+ Limited</t>
  </si>
  <si>
    <t>BassetlawPlatform Housing Limited</t>
  </si>
  <si>
    <t>BassetlawProgress Housing Association Limited</t>
  </si>
  <si>
    <t>BassetlawReSI Homes Limited</t>
  </si>
  <si>
    <t>BassetlawRentplus Homes Limited</t>
  </si>
  <si>
    <t>BassetlawSage Homes RP Limited</t>
  </si>
  <si>
    <t>BassetlawSage Rented Limited</t>
  </si>
  <si>
    <t>BassetlawSanctuary Affordable Housing Limited</t>
  </si>
  <si>
    <t>BassetlawSanctuary Housing Association</t>
  </si>
  <si>
    <t>BassetlawSloswicke's Almshouse Charity</t>
  </si>
  <si>
    <t>BassetlawSouth Yorkshire Housing Association Limited</t>
  </si>
  <si>
    <t>BassetlawStonewater Limited</t>
  </si>
  <si>
    <t>BassetlawThe Guinness Partnership Limited</t>
  </si>
  <si>
    <t>BassetlawTogether Housing Association Limited</t>
  </si>
  <si>
    <t>BassetlawVico Homes Limited</t>
  </si>
  <si>
    <t>Bath and North East SomersetAbbeyfield Bristol and Keynsham Society</t>
  </si>
  <si>
    <t>Bath and North East SomersetAbri Group Limited</t>
  </si>
  <si>
    <t>Bath and North East SomersetAdvance Housing and Support Limited</t>
  </si>
  <si>
    <t>Bath and North East SomersetAnchor Hanover Group</t>
  </si>
  <si>
    <t>Bath and North East SomersetAster Communities</t>
  </si>
  <si>
    <t>Bath and North East SomersetBridgwater Young Men's Christian Association</t>
  </si>
  <si>
    <t>Bath and North East SomersetBrighter Places</t>
  </si>
  <si>
    <t>Bath and North East SomersetCuro Group (Albion) Limited</t>
  </si>
  <si>
    <t>Bath and North East SomersetCuro Places Limited</t>
  </si>
  <si>
    <t>Bath and North East SomersetDimensions (UK) Limited</t>
  </si>
  <si>
    <t>Bath and North East SomersetElim Housing Association Limited</t>
  </si>
  <si>
    <t>Bath and North East SomersetEnglish Rural Housing Association Limited</t>
  </si>
  <si>
    <t>Bath and North East SomersetGerman Lutheran Housing Association Limited</t>
  </si>
  <si>
    <t>Bath and North East SomersetGolden Lane Housing Limited</t>
  </si>
  <si>
    <t>Bath and North East SomersetGuinness Housing Association Limited</t>
  </si>
  <si>
    <t>Bath and North East SomersetHeylo Housing Registered Provider Limited</t>
  </si>
  <si>
    <t>Bath and North East SomersetHome Group Limited</t>
  </si>
  <si>
    <t>Bath and North East SomersetJulian House</t>
  </si>
  <si>
    <t>Bath and North East SomersetLiveWest Homes Limited</t>
  </si>
  <si>
    <t>Bath and North East SomersetMerlin Housing Society Limited</t>
  </si>
  <si>
    <t>Bath and North East SomersetMethodist Homes Housing Association Limited</t>
  </si>
  <si>
    <t>Bath and North East SomersetNSAH (Alliance Homes) Limited</t>
  </si>
  <si>
    <t>Bath and North East SomersetPlaces for People Homes Limited</t>
  </si>
  <si>
    <t>Bath and North East SomersetPlaces for People Living+ Limited</t>
  </si>
  <si>
    <t>Bath and North East SomersetSage Homes RP Limited</t>
  </si>
  <si>
    <t>Bath and North East SomersetSanctuary Housing Association</t>
  </si>
  <si>
    <t>Bath and North East SomersetSelwood Housing Society Limited</t>
  </si>
  <si>
    <t>Bath and North East SomersetSovereign Network Group</t>
  </si>
  <si>
    <t>Bath and North East SomersetStonewater Limited</t>
  </si>
  <si>
    <t>Bath and North East SomersetThe Guinness Partnership Limited</t>
  </si>
  <si>
    <t>Bath and North East SomersetThe Riverside Group Limited</t>
  </si>
  <si>
    <t>Bath and North East SomersetTown and Country Housing</t>
  </si>
  <si>
    <t>Bath and North East SomersetWhite Horse Housing Association Limited</t>
  </si>
  <si>
    <t>BedfordAccent Housing Limited</t>
  </si>
  <si>
    <t>BedfordAmplius Living</t>
  </si>
  <si>
    <t>BedfordAnchor Hanover Group</t>
  </si>
  <si>
    <t>BedfordAuckland Home Solutions CIC</t>
  </si>
  <si>
    <t>BedfordBedford Citizens Housing Association Limited</t>
  </si>
  <si>
    <t>BedfordClarion Housing Association Limited</t>
  </si>
  <si>
    <t>BedfordCross Keys Homes Limited</t>
  </si>
  <si>
    <t>BedfordDimensions (UK) Limited</t>
  </si>
  <si>
    <t>BedfordFalcon Housing Association C.I.C</t>
  </si>
  <si>
    <t>BedfordGolden Lane Housing Limited</t>
  </si>
  <si>
    <t>BedfordHastoe Housing Association Limited</t>
  </si>
  <si>
    <t>BedfordHeylo Housing Registered Provider Limited</t>
  </si>
  <si>
    <t>BedfordHightown Housing Association Limited</t>
  </si>
  <si>
    <t>BedfordHousing 21</t>
  </si>
  <si>
    <t>BedfordIMPAKT Housing &amp; Support Ltd</t>
  </si>
  <si>
    <t>BedfordInclusion Housing Community Interest Company</t>
  </si>
  <si>
    <t>BedfordLangley House Trust</t>
  </si>
  <si>
    <t>BedfordLondon &amp; Quadrant Housing Trust</t>
  </si>
  <si>
    <t>BedfordManningham Housing Association Limited</t>
  </si>
  <si>
    <t>BedfordMetropolitan Housing Trust Limited</t>
  </si>
  <si>
    <t>BedfordMoat Homes Limited</t>
  </si>
  <si>
    <t>BedfordNotting Hill Genesis</t>
  </si>
  <si>
    <t>BedfordOrbit Group Limited</t>
  </si>
  <si>
    <t>BedfordOrbit Housing Association Limited</t>
  </si>
  <si>
    <t>BedfordParadigm Homes Charitable Housing Association Limited</t>
  </si>
  <si>
    <t>BedfordPeabody Trust</t>
  </si>
  <si>
    <t>BedfordPlaces for People Homes Limited</t>
  </si>
  <si>
    <t>BedfordPlaces for People Living+ Limited</t>
  </si>
  <si>
    <t>BedfordSage Homes RP Limited</t>
  </si>
  <si>
    <t>BedfordSage Rented Limited</t>
  </si>
  <si>
    <t>BedfordSettle Group</t>
  </si>
  <si>
    <t>BedfordSparrow Shared Ownership Limited</t>
  </si>
  <si>
    <t>BedfordSt Johns Homes</t>
  </si>
  <si>
    <t>BedfordStonewater (5) Limited</t>
  </si>
  <si>
    <t>BedfordStonewater Limited</t>
  </si>
  <si>
    <t>BedfordTBG Open Door Limited</t>
  </si>
  <si>
    <t>BedfordThe ExtraCare Charitable Trust</t>
  </si>
  <si>
    <t>BedfordThe Guinness Partnership Limited</t>
  </si>
  <si>
    <t>BedfordThe Papworth Trust</t>
  </si>
  <si>
    <t>BedfordThe Riverside Group Limited</t>
  </si>
  <si>
    <t>Bedfordbpha Limited</t>
  </si>
  <si>
    <t>BexleyA2Dominion Homes Limited</t>
  </si>
  <si>
    <t>BexleyAdvance Housing and Support Limited</t>
  </si>
  <si>
    <t>BexleyAnchor Hanover Group</t>
  </si>
  <si>
    <t>BexleyBexley United Charities</t>
  </si>
  <si>
    <t>BexleyChanging Lives Housing Trust</t>
  </si>
  <si>
    <t>BexleyChislehurst and Sidcup Housing Association</t>
  </si>
  <si>
    <t>BexleyChrysalis Supported Association Limited</t>
  </si>
  <si>
    <t>BexleyClarion Housing Association Limited</t>
  </si>
  <si>
    <t>BexleyCo-operative Development Society Limited</t>
  </si>
  <si>
    <t>BexleyCraymill Housing Co-operative Limited</t>
  </si>
  <si>
    <t>BexleyCromwood Housing Ltd</t>
  </si>
  <si>
    <t>BexleyDistrict Homes C.I.C</t>
  </si>
  <si>
    <t>BexleyGolden Lane Housing Limited</t>
  </si>
  <si>
    <t>BexleyHabinteg Housing Association Limited</t>
  </si>
  <si>
    <t>BexleyHazel Housing Co-operative Limited</t>
  </si>
  <si>
    <t>BexleyHexagon Housing Association Limited</t>
  </si>
  <si>
    <t>BexleyHousing 21</t>
  </si>
  <si>
    <t>BexleyHyde Housing Association Limited</t>
  </si>
  <si>
    <t>BexleyKeniston Housing Association Limited</t>
  </si>
  <si>
    <t>BexleyLondon &amp; Quadrant Housing Trust</t>
  </si>
  <si>
    <t>BexleyM&amp;G UK Shared Ownership Limited</t>
  </si>
  <si>
    <t>BexleyMoat Homes Limited</t>
  </si>
  <si>
    <t>BexleyNewarch Homes Limited</t>
  </si>
  <si>
    <t>BexleyNotting Hill Genesis</t>
  </si>
  <si>
    <t>BexleyOrbit Group Limited</t>
  </si>
  <si>
    <t>BexleyOrbit Housing Association Limited</t>
  </si>
  <si>
    <t>BexleyParagon Asra Housing Limited</t>
  </si>
  <si>
    <t>BexleyPeabody Trust</t>
  </si>
  <si>
    <t>BexleyPenge Churches Housing Association Limited</t>
  </si>
  <si>
    <t>BexleyPerryview Housing Co-operative Limited</t>
  </si>
  <si>
    <t>BexleyPlaces for People Homes Limited</t>
  </si>
  <si>
    <t>BexleyReside Housing Association Limited</t>
  </si>
  <si>
    <t>BexleySanctuary Housing Association</t>
  </si>
  <si>
    <t>BexleySouthern Housing</t>
  </si>
  <si>
    <t>BexleyTeachers' Housing Association Limited</t>
  </si>
  <si>
    <t>BexleyThe Riverside Group Limited</t>
  </si>
  <si>
    <t>BexleyTownshend Close Housing Co-operative Limited</t>
  </si>
  <si>
    <t>BexleyTrinity Housing Association Limited</t>
  </si>
  <si>
    <t>BexleyWandle Housing Association Limited</t>
  </si>
  <si>
    <t>BexleyWhitworth Housing Co-operative Limited</t>
  </si>
  <si>
    <t>Birmingham20-20 Housing Co-operative Limited</t>
  </si>
  <si>
    <t>BirminghamAdullam Homes Housing Association Limited</t>
  </si>
  <si>
    <t>BirminghamAdvance Housing and Support Limited</t>
  </si>
  <si>
    <t>BirminghamAmplius Living</t>
  </si>
  <si>
    <t>BirminghamAnchor Hanover Group</t>
  </si>
  <si>
    <t>BirminghamArpeggio Properties Limited</t>
  </si>
  <si>
    <t>BirminghamAshley Community &amp; Housing Ltd</t>
  </si>
  <si>
    <t>BirminghamAuckland Home Solutions CIC</t>
  </si>
  <si>
    <t>BirminghamBalsall Heath Housing Co-operative Limited</t>
  </si>
  <si>
    <t>BirminghamBirmingham Civic Housing Association Limited</t>
  </si>
  <si>
    <t>BirminghamBirmingham Jewish Housing Association Limited</t>
  </si>
  <si>
    <t>BirminghamBirnbeck Housing Association Limited</t>
  </si>
  <si>
    <t>BirminghamBlack Country Housing Group Limited</t>
  </si>
  <si>
    <t>BirminghamBordesley Green Housing Co-operative Limited</t>
  </si>
  <si>
    <t>BirminghamBournville Village Trust</t>
  </si>
  <si>
    <t>BirminghamBournville Works Housing Society Limited</t>
  </si>
  <si>
    <t>BirminghamBroadening Choices for Older People</t>
  </si>
  <si>
    <t>BirminghamBromford Housing Association Limited</t>
  </si>
  <si>
    <t>BirminghamBromsgrove District Housing Trust Limited</t>
  </si>
  <si>
    <t>BirminghamCitizen Housing Group Limited</t>
  </si>
  <si>
    <t>BirminghamClarion Housing Association Limited</t>
  </si>
  <si>
    <t>BirminghamCreative Support Limited</t>
  </si>
  <si>
    <t>BirminghamDimensions (UK) Limited</t>
  </si>
  <si>
    <t>BirminghamEasy Housing Association</t>
  </si>
  <si>
    <t>BirminghamElim Housing Association Limited</t>
  </si>
  <si>
    <t>BirminghamElizabeth Dowell's Trust</t>
  </si>
  <si>
    <t>BirminghamEncircle Housing</t>
  </si>
  <si>
    <t>BirminghamExpectations (UK)</t>
  </si>
  <si>
    <t>BirminghamFalcon Housing Association C.I.C</t>
  </si>
  <si>
    <t>BirminghamFirst Priority Housing Association Limited</t>
  </si>
  <si>
    <t>BirminghamGlover's Trust Endowed Fund</t>
  </si>
  <si>
    <t>BirminghamGolden Lane Housing Limited</t>
  </si>
  <si>
    <t>BirminghamGreenSquareAccord Limited</t>
  </si>
  <si>
    <t>BirminghamHabinteg Housing Association Limited</t>
  </si>
  <si>
    <t>BirminghamHalo Housing Association Limited</t>
  </si>
  <si>
    <t>BirminghamHeart of England Young Men's Christian Association</t>
  </si>
  <si>
    <t>BirminghamHeartsease House Community Interest Company</t>
  </si>
  <si>
    <t>BirminghamHeylo Housing Registered Provider Limited</t>
  </si>
  <si>
    <t>BirminghamHolmwood Tenants Co-operative Limited</t>
  </si>
  <si>
    <t>BirminghamHome Group Limited</t>
  </si>
  <si>
    <t>BirminghamHousing 21</t>
  </si>
  <si>
    <t>BirminghamInclusion Housing Community Interest Company</t>
  </si>
  <si>
    <t>BirminghamLegal &amp; General Affordable Homes (AR) LLP</t>
  </si>
  <si>
    <t>BirminghamLegal &amp; General Affordable Homes Limited</t>
  </si>
  <si>
    <t>BirminghamLench's Trust</t>
  </si>
  <si>
    <t>BirminghamMidland Heart Limited</t>
  </si>
  <si>
    <t>BirminghamMosscare St. Vincent's Housing Group Limited</t>
  </si>
  <si>
    <t>BirminghamNehemiah United Churches Housing Association Limited</t>
  </si>
  <si>
    <t>BirminghamPlaces for People Homes Limited</t>
  </si>
  <si>
    <t>BirminghamPlaces for People Living+ Limited</t>
  </si>
  <si>
    <t>BirminghamPlatform Housing Limited</t>
  </si>
  <si>
    <t>BirminghamProgress Housing Association Limited</t>
  </si>
  <si>
    <t>BirminghamReSI Homes Limited</t>
  </si>
  <si>
    <t>BirminghamReliance Social Housing C.I.C</t>
  </si>
  <si>
    <t>BirminghamSage Homes RP Limited</t>
  </si>
  <si>
    <t>BirminghamSage Rented Limited</t>
  </si>
  <si>
    <t>BirminghamSalvation Army Housing Association</t>
  </si>
  <si>
    <t>BirminghamSanctuary Affordable Housing Limited</t>
  </si>
  <si>
    <t>BirminghamSanctuary Housing Association</t>
  </si>
  <si>
    <t>BirminghamShahjalal Housing Co-operative Limited</t>
  </si>
  <si>
    <t>BirminghamSir Josiah Mason's Almshouse Charity</t>
  </si>
  <si>
    <t>BirminghamSmall Heath Park Housing Co-operative Limited</t>
  </si>
  <si>
    <t>BirminghamSouth Road Housing Co-operative Limited</t>
  </si>
  <si>
    <t>BirminghamSouthern Housing</t>
  </si>
  <si>
    <t>BirminghamSt Anne's Hostel</t>
  </si>
  <si>
    <t>BirminghamSt Basil's</t>
  </si>
  <si>
    <t>BirminghamSt Peter's Saltley Housing Association Limited</t>
  </si>
  <si>
    <t>BirminghamStonewater Limited</t>
  </si>
  <si>
    <t>BirminghamSustain (UK) Ltd</t>
  </si>
  <si>
    <t>BirminghamTeachers' Housing Association Limited</t>
  </si>
  <si>
    <t>BirminghamThe ExtraCare Charitable Trust</t>
  </si>
  <si>
    <t>BirminghamThe Harborne Parish Lands Charity</t>
  </si>
  <si>
    <t>BirminghamThe James Charities</t>
  </si>
  <si>
    <t>BirminghamThe Pioneer Housing and Community Group Limited</t>
  </si>
  <si>
    <t>BirminghamThe Riverside Group Limited</t>
  </si>
  <si>
    <t>BirminghamTriangle Housing Co-operative Limited</t>
  </si>
  <si>
    <t>BirminghamTrident Housing Association Limited</t>
  </si>
  <si>
    <t>BirminghamTrinity Housing Association Limited</t>
  </si>
  <si>
    <t>BirminghamTwenty-Fifth Avenue Ltd</t>
  </si>
  <si>
    <t>BirminghamVictoria Tenants Co-operative Limited</t>
  </si>
  <si>
    <t>BirminghamWalsall Housing Group Limited</t>
  </si>
  <si>
    <t>BirminghamWestmoreland Supported Housing Limited</t>
  </si>
  <si>
    <t>BirminghamWindrush Alliance UK Community Interest Company</t>
  </si>
  <si>
    <t>BirminghamWitton Lodge Community Interest Company</t>
  </si>
  <si>
    <t>BirminghamYardley Great Trust</t>
  </si>
  <si>
    <t>BlabyAdvance Housing and Support Limited</t>
  </si>
  <si>
    <t>BlabyAmplius Living</t>
  </si>
  <si>
    <t>BlabyAnchor Hanover Group</t>
  </si>
  <si>
    <t>BlabyCreative Support Limited</t>
  </si>
  <si>
    <t>BlabyEMH Housing and Regeneration Limited</t>
  </si>
  <si>
    <t>BlabyEnglish Rural Housing Association Limited</t>
  </si>
  <si>
    <t>BlabyFutures Homescape Limited</t>
  </si>
  <si>
    <t>BlabyFutures Homeway Limited</t>
  </si>
  <si>
    <t>BlabyHalo Housing Association Limited</t>
  </si>
  <si>
    <t>BlabyM&amp;G UK Shared Ownership Limited</t>
  </si>
  <si>
    <t>BlabyMidland Heart Limited</t>
  </si>
  <si>
    <t>BlabyNorton Housing and Support Ltd</t>
  </si>
  <si>
    <t>BlabyNottingham Community Housing Association Limited</t>
  </si>
  <si>
    <t>BlabyOrbit Housing Association Limited</t>
  </si>
  <si>
    <t>BlabyParagon Asra Housing Limited</t>
  </si>
  <si>
    <t>BlabyPlaces for People Homes Limited</t>
  </si>
  <si>
    <t>BlabyPlaces for People Living+ Limited</t>
  </si>
  <si>
    <t>BlabyPlatform Housing Limited</t>
  </si>
  <si>
    <t>BlabyProgress Housing Association Limited</t>
  </si>
  <si>
    <t>BlabySanctuary Housing Association</t>
  </si>
  <si>
    <t>BlabyStonewater Limited</t>
  </si>
  <si>
    <t>BlabyThe Riverside Group Limited</t>
  </si>
  <si>
    <t>Blackburn with DarwenAdullam Homes Housing Association Limited</t>
  </si>
  <si>
    <t>Blackburn with DarwenAnchor Hanover Group</t>
  </si>
  <si>
    <t>Blackburn with DarwenArpeggio Properties Limited</t>
  </si>
  <si>
    <t>Blackburn with DarwenAuckland Home Solutions CIC</t>
  </si>
  <si>
    <t>Blackburn with DarwenCare Housing Association Limited</t>
  </si>
  <si>
    <t>Blackburn with DarwenEmpower Housing Association Limited</t>
  </si>
  <si>
    <t>Blackburn with DarwenGolden Lane Housing Limited</t>
  </si>
  <si>
    <t>Blackburn with DarwenGreat Places Housing Association</t>
  </si>
  <si>
    <t>Blackburn with DarwenHalo Housing Association Limited</t>
  </si>
  <si>
    <t>Blackburn with DarwenHeylo Housing Registered Provider Limited</t>
  </si>
  <si>
    <t>Blackburn with DarwenHousing 21</t>
  </si>
  <si>
    <t>Blackburn with DarwenInclusion Housing Community Interest Company</t>
  </si>
  <si>
    <t>Blackburn with DarwenLets for Life</t>
  </si>
  <si>
    <t>Blackburn with DarwenLightbown Cottage Home Trust</t>
  </si>
  <si>
    <t>Blackburn with DarwenM&amp;G UK Shared Ownership Limited</t>
  </si>
  <si>
    <t>Blackburn with DarwenMosscare St. Vincent's Housing Group Limited</t>
  </si>
  <si>
    <t>Blackburn with DarwenOnward Homes Limited</t>
  </si>
  <si>
    <t>Blackburn with DarwenPartners Foundation Limited</t>
  </si>
  <si>
    <t>Blackburn with DarwenPlaces for People Homes Limited</t>
  </si>
  <si>
    <t>Blackburn with DarwenPlaces for People Living+ Limited</t>
  </si>
  <si>
    <t>Blackburn with DarwenProgress Housing Association Limited</t>
  </si>
  <si>
    <t>Blackburn with DarwenRegenda Limited</t>
  </si>
  <si>
    <t>Blackburn with DarwenSage Homes RP Limited</t>
  </si>
  <si>
    <t>Blackburn with DarwenSalvation Army Housing Association</t>
  </si>
  <si>
    <t>Blackburn with DarwenSanctuary Housing Association</t>
  </si>
  <si>
    <t>Blackburn with DarwenThe Guinness Partnership Limited</t>
  </si>
  <si>
    <t>Blackburn with DarwenTogether Housing Association Limited</t>
  </si>
  <si>
    <t>Blackburn with DarwenTrinity Housing Association Limited</t>
  </si>
  <si>
    <t>BlackpoolAnchor Hanover Group</t>
  </si>
  <si>
    <t>BlackpoolArpeggio Properties Limited</t>
  </si>
  <si>
    <t>BlackpoolAssured Living Housing Association Limited</t>
  </si>
  <si>
    <t>BlackpoolBespoke Supportive Tenancies Ltd</t>
  </si>
  <si>
    <t>BlackpoolCommunity Gateway Association Limited</t>
  </si>
  <si>
    <t>BlackpoolCreative Support Limited</t>
  </si>
  <si>
    <t>BlackpoolEmpower Housing Association Limited</t>
  </si>
  <si>
    <t>BlackpoolGranville Community Homes Limited</t>
  </si>
  <si>
    <t>BlackpoolGreat Places Housing Association</t>
  </si>
  <si>
    <t>BlackpoolHalo Housing Association Limited</t>
  </si>
  <si>
    <t>BlackpoolHeylo Housing Registered Provider Limited</t>
  </si>
  <si>
    <t>BlackpoolHome Group Limited</t>
  </si>
  <si>
    <t>BlackpoolHousing 21</t>
  </si>
  <si>
    <t>BlackpoolInclusion Housing Community Interest Company</t>
  </si>
  <si>
    <t>BlackpoolLumen Housing Limited</t>
  </si>
  <si>
    <t>BlackpoolManchester Unity Housing Association Limited</t>
  </si>
  <si>
    <t>BlackpoolMuir Group Housing Association Limited</t>
  </si>
  <si>
    <t>BlackpoolPlaces for People Homes Limited</t>
  </si>
  <si>
    <t>BlackpoolPlaces for People Living+ Limited</t>
  </si>
  <si>
    <t>BlackpoolProgress Housing Association Limited</t>
  </si>
  <si>
    <t>BlackpoolRegenda Limited</t>
  </si>
  <si>
    <t>BlackpoolSalvation Army Housing Association</t>
  </si>
  <si>
    <t>BlackpoolThe Abbeyfield Society</t>
  </si>
  <si>
    <t>BlackpoolThe Guinness Partnership Limited</t>
  </si>
  <si>
    <t>BlackpoolYour Housing Limited</t>
  </si>
  <si>
    <t>BolsoverAcis Group Limited</t>
  </si>
  <si>
    <t>BolsoverAction Housing and Support Limited</t>
  </si>
  <si>
    <t>BolsoverBespoke Supportive Tenancies Ltd</t>
  </si>
  <si>
    <t>BolsoverCare Housing Association Limited</t>
  </si>
  <si>
    <t>BolsoverEMH Housing and Regeneration Limited</t>
  </si>
  <si>
    <t>BolsoverEncircle Housing</t>
  </si>
  <si>
    <t>BolsoverFramework Housing Association</t>
  </si>
  <si>
    <t>BolsoverFutures Homescape Limited</t>
  </si>
  <si>
    <t>BolsoverGolden Lane Housing Limited</t>
  </si>
  <si>
    <t>BolsoverHeylo Housing Registered Provider Limited</t>
  </si>
  <si>
    <t>BolsoverHome Group Limited</t>
  </si>
  <si>
    <t>BolsoverHousing 21</t>
  </si>
  <si>
    <t>BolsoverInclusion Housing Community Interest Company</t>
  </si>
  <si>
    <t>BolsoverM&amp;G UK Shared Ownership Limited</t>
  </si>
  <si>
    <t>BolsoverParagon Asra Housing Limited</t>
  </si>
  <si>
    <t>BolsoverPlaces for People Homes Limited</t>
  </si>
  <si>
    <t>BolsoverPlaces for People Living+ Limited</t>
  </si>
  <si>
    <t>BolsoverPlatform Housing Limited</t>
  </si>
  <si>
    <t>BolsoverProgress Housing Association Limited</t>
  </si>
  <si>
    <t>BolsoverReSI Homes Limited</t>
  </si>
  <si>
    <t>BolsoverRentplus Homes Limited</t>
  </si>
  <si>
    <t>BolsoverSage Homes RP Limited</t>
  </si>
  <si>
    <t>BolsoverSimply Affordable Homes RP Limited</t>
  </si>
  <si>
    <t>BolsoverSouth Yorkshire Housing Association Limited</t>
  </si>
  <si>
    <t>BolsoverThe Guinness Partnership Limited</t>
  </si>
  <si>
    <t>BolsoverThe Riverside Group Limited</t>
  </si>
  <si>
    <t>BolsoverTogether Housing Association Limited</t>
  </si>
  <si>
    <t>BolsoverTrident Housing Association Limited</t>
  </si>
  <si>
    <t>BoltonAdullam Homes Housing Association Limited</t>
  </si>
  <si>
    <t>BoltonAnchor Hanover Group</t>
  </si>
  <si>
    <t>BoltonArpeggio Properties Limited</t>
  </si>
  <si>
    <t>BoltonBlackburn YMCA</t>
  </si>
  <si>
    <t>BoltonBolton at Home Limited</t>
  </si>
  <si>
    <t>BoltonCare Housing Association Limited</t>
  </si>
  <si>
    <t>BoltonClarion Housing Association Limited</t>
  </si>
  <si>
    <t>BoltonGreat Places Housing Association</t>
  </si>
  <si>
    <t>BoltonHalo Housing Association Limited</t>
  </si>
  <si>
    <t>BoltonHilldale Housing Association Limited</t>
  </si>
  <si>
    <t>BoltonInclusion Housing Community Interest Company</t>
  </si>
  <si>
    <t>BoltonIrwell Valley Housing Association Limited</t>
  </si>
  <si>
    <t>BoltonJigsaw Homes North</t>
  </si>
  <si>
    <t>BoltonMosscare St. Vincent's Housing Group Limited</t>
  </si>
  <si>
    <t>BoltonMy Space Housing Solutions</t>
  </si>
  <si>
    <t>BoltonOnward Homes Limited</t>
  </si>
  <si>
    <t>BoltonPlaces for People Homes Limited</t>
  </si>
  <si>
    <t>BoltonPlaces for People Living+ Limited</t>
  </si>
  <si>
    <t>BoltonPlexus UK (First Project) Limited</t>
  </si>
  <si>
    <t>BoltonProgress Housing Association Limited</t>
  </si>
  <si>
    <t>BoltonSalvation Army Housing Association</t>
  </si>
  <si>
    <t>BoltonSanctuary Housing Association</t>
  </si>
  <si>
    <t>BoltonSensible Housing Co-operative Limited</t>
  </si>
  <si>
    <t>BoltonThe Guinness Partnership Limited</t>
  </si>
  <si>
    <t>BoltonThe Riverside Group Limited</t>
  </si>
  <si>
    <t>BoltonYour Housing Limited</t>
  </si>
  <si>
    <t>BostonAccent Housing Limited</t>
  </si>
  <si>
    <t>BostonAdvance Housing and Support Limited</t>
  </si>
  <si>
    <t>BostonAmplius Living</t>
  </si>
  <si>
    <t>BostonEmpower Housing Association Limited</t>
  </si>
  <si>
    <t>BostonFramework Housing Association</t>
  </si>
  <si>
    <t>BostonGolden Lane Housing Limited</t>
  </si>
  <si>
    <t>BostonHeylo Housing Registered Provider Limited</t>
  </si>
  <si>
    <t>BostonHousing 21</t>
  </si>
  <si>
    <t>BostonLincolnshire Housing Partnership Limited</t>
  </si>
  <si>
    <t>BostonLincolnshire Rural Housing Association Limited</t>
  </si>
  <si>
    <t>BostonLondon &amp; Quadrant Housing Trust</t>
  </si>
  <si>
    <t>BostonNACRO</t>
  </si>
  <si>
    <t>BostonPlatform Housing Limited</t>
  </si>
  <si>
    <t>BostonProgress Housing Association Limited</t>
  </si>
  <si>
    <t>BostonSt Leonard's Hospital</t>
  </si>
  <si>
    <t>Bournemouth Christchurch and PooleAbbeyfield Wessex Society Limited</t>
  </si>
  <si>
    <t>Bournemouth Christchurch and PooleAbility Housing Association</t>
  </si>
  <si>
    <t>Bournemouth Christchurch and PooleAbri Group Limited</t>
  </si>
  <si>
    <t>Bournemouth Christchurch and PooleAdvance Housing and Support Limited</t>
  </si>
  <si>
    <t>Bournemouth Christchurch and PooleAnchor Hanover Group</t>
  </si>
  <si>
    <t>Bournemouth Christchurch and PooleAster Communities</t>
  </si>
  <si>
    <t>Bournemouth Christchurch and PooleBespoke Supportive Tenancies Ltd</t>
  </si>
  <si>
    <t>Bournemouth Christchurch and PooleBoscombe Rotary and Inner Wheel Housing Association Limited</t>
  </si>
  <si>
    <t>Bournemouth Christchurch and PooleBournemouth Churches Housing Association Limited</t>
  </si>
  <si>
    <t>Bournemouth Christchurch and PooleBournemouth Young Men's Christian Association</t>
  </si>
  <si>
    <t>Bournemouth Christchurch and PooleClarion Housing Association Limited</t>
  </si>
  <si>
    <t>Bournemouth Christchurch and PooleEast Boro Housing Trust Limited</t>
  </si>
  <si>
    <t>Bournemouth Christchurch and PooleFalcon Housing Association C.I.C</t>
  </si>
  <si>
    <t>Bournemouth Christchurch and PooleGolden Lane Housing Limited</t>
  </si>
  <si>
    <t>Bournemouth Christchurch and PooleHeylo Housing Registered Provider Limited</t>
  </si>
  <si>
    <t>Bournemouth Christchurch and PooleHousing 21</t>
  </si>
  <si>
    <t>Bournemouth Christchurch and PooleInclusion Housing Community Interest Company</t>
  </si>
  <si>
    <t>Bournemouth Christchurch and PooleLangley House Trust</t>
  </si>
  <si>
    <t>Bournemouth Christchurch and PooleMoat Homes Limited</t>
  </si>
  <si>
    <t>Bournemouth Christchurch and PooleNotting Hill Home Ownership Limited</t>
  </si>
  <si>
    <t>Bournemouth Christchurch and PoolePlaces for People Homes Limited</t>
  </si>
  <si>
    <t>Bournemouth Christchurch and PoolePoole Old Peoples Welfare and Housing Society Limited</t>
  </si>
  <si>
    <t>Bournemouth Christchurch and PooleReside Housing Association Limited</t>
  </si>
  <si>
    <t>Bournemouth Christchurch and PooleSage Homes RP Limited</t>
  </si>
  <si>
    <t>Bournemouth Christchurch and PooleSage Rented Limited</t>
  </si>
  <si>
    <t>Bournemouth Christchurch and PooleSalvation Army Housing Association</t>
  </si>
  <si>
    <t>Bournemouth Christchurch and PooleSanctuary Housing Association</t>
  </si>
  <si>
    <t>Bournemouth Christchurch and PooleSandbourne Housing Association</t>
  </si>
  <si>
    <t>Bournemouth Christchurch and PooleSovereign Network Group</t>
  </si>
  <si>
    <t>Bournemouth Christchurch and PooleSparrow Shared Ownership Limited</t>
  </si>
  <si>
    <t>Bournemouth Christchurch and PooleSt Mungo Community Housing Association</t>
  </si>
  <si>
    <t>Bournemouth Christchurch and PooleStonewater (5) Limited</t>
  </si>
  <si>
    <t>Bournemouth Christchurch and PooleStonewater Limited</t>
  </si>
  <si>
    <t>Bournemouth Christchurch and PooleSynergy Housing Limited</t>
  </si>
  <si>
    <t>Bournemouth Christchurch and PooleThe Guinness Partnership Limited</t>
  </si>
  <si>
    <t>Bournemouth Christchurch and PooleThe Swaythling Housing Society Limited</t>
  </si>
  <si>
    <t>Bournemouth Christchurch and PooleTown and Country Housing</t>
  </si>
  <si>
    <t>Bournemouth Christchurch and PooleW H Saunders &amp; Frank Wareham Charity</t>
  </si>
  <si>
    <t>Bournemouth Christchurch and PooleWestmoreland Supported Housing Limited</t>
  </si>
  <si>
    <t>Bournemouth Christchurch and PooleWindrush Alliance UK Community Interest Company</t>
  </si>
  <si>
    <t>Bracknell ForestA2Dominion Housing Options Limited</t>
  </si>
  <si>
    <t>Bracknell ForestA2Dominion South Limited</t>
  </si>
  <si>
    <t>Bracknell ForestAbility Housing Association</t>
  </si>
  <si>
    <t>Bracknell ForestAbri Group Limited</t>
  </si>
  <si>
    <t>Bracknell ForestAccent Housing Limited</t>
  </si>
  <si>
    <t>Bracknell ForestAdvance Housing and Support Limited</t>
  </si>
  <si>
    <t>Bracknell ForestAnchor Hanover Group</t>
  </si>
  <si>
    <t>Bracknell ForestClarion Housing Association Limited</t>
  </si>
  <si>
    <t>Bracknell ForestDovepark Properties Limited</t>
  </si>
  <si>
    <t>Bracknell ForestFairplace Homes Ltd</t>
  </si>
  <si>
    <t>Bracknell ForestFirst Priority Housing Association Limited</t>
  </si>
  <si>
    <t>Bracknell ForestHeylo Housing Registered Provider Limited</t>
  </si>
  <si>
    <t>Bracknell ForestHome Group Limited</t>
  </si>
  <si>
    <t>Bracknell ForestHousing 21</t>
  </si>
  <si>
    <t>Bracknell ForestHousing Solutions</t>
  </si>
  <si>
    <t>Bracknell ForestLife 2009</t>
  </si>
  <si>
    <t>Bracknell ForestLondon &amp; Quadrant Housing Trust</t>
  </si>
  <si>
    <t>Bracknell ForestLook Ahead Care and Support Limited</t>
  </si>
  <si>
    <t>Bracknell ForestM&amp;G UK Shared Ownership Limited</t>
  </si>
  <si>
    <t>Bracknell ForestMetropolitan Housing Trust Limited</t>
  </si>
  <si>
    <t>Bracknell ForestMoat Homes Limited</t>
  </si>
  <si>
    <t>Bracknell ForestNotting Hill Home Ownership Limited</t>
  </si>
  <si>
    <t>Bracknell ForestPark Properties Housing Association Ltd</t>
  </si>
  <si>
    <t>Bracknell ForestPeabody Trust</t>
  </si>
  <si>
    <t>Bracknell ForestPlaces for People Living+ Limited</t>
  </si>
  <si>
    <t>Bracknell ForestSage Homes RP Limited</t>
  </si>
  <si>
    <t>Bracknell ForestSage Rented Limited</t>
  </si>
  <si>
    <t>Bracknell ForestSouthern Housing</t>
  </si>
  <si>
    <t>Bracknell ForestSovereign Network Group</t>
  </si>
  <si>
    <t>Bracknell ForestSparrow Shared Ownership Limited</t>
  </si>
  <si>
    <t>Bracknell ForestStonewater Limited</t>
  </si>
  <si>
    <t>Bracknell ForestSynergy Housing Limited</t>
  </si>
  <si>
    <t>Bracknell ForestThe Guinness Partnership Limited</t>
  </si>
  <si>
    <t>Bracknell ForestThe Swaythling Housing Society Limited</t>
  </si>
  <si>
    <t>Bracknell ForestVivid Housing Limited</t>
  </si>
  <si>
    <t>BradfordAbbeyfield The Dales Limited</t>
  </si>
  <si>
    <t>BradfordAccent Housing Limited</t>
  </si>
  <si>
    <t>BradfordAnchor Hanover Group</t>
  </si>
  <si>
    <t>BradfordArpeggio Properties Limited</t>
  </si>
  <si>
    <t>BradfordAuckland Home Solutions CIC</t>
  </si>
  <si>
    <t>BradfordBespoke Supportive Tenancies Ltd</t>
  </si>
  <si>
    <t>BradfordBradford Cyrenians Limited</t>
  </si>
  <si>
    <t>BradfordBradford Flower Homes Development Limited</t>
  </si>
  <si>
    <t>BradfordBridge-It Housing UK Team Ltd</t>
  </si>
  <si>
    <t>BradfordButterfield Homes (Cottingley)</t>
  </si>
  <si>
    <t>BradfordButterfield Homes (Wilsden)</t>
  </si>
  <si>
    <t>BradfordCare Housing Association Limited</t>
  </si>
  <si>
    <t>BradfordCentrepoint Soho</t>
  </si>
  <si>
    <t>BradfordCharles Edward Sugden's Almshouses</t>
  </si>
  <si>
    <t>BradfordChartford Housing Limited</t>
  </si>
  <si>
    <t>BradfordClarion Housing Association Limited</t>
  </si>
  <si>
    <t>BradfordConnect Housing Association Limited</t>
  </si>
  <si>
    <t>BradfordCreative Support Limited</t>
  </si>
  <si>
    <t>BradfordEncircle Housing</t>
  </si>
  <si>
    <t>BradfordGeorge Newton Housing Trust</t>
  </si>
  <si>
    <t>BradfordGreat Places Housing Association</t>
  </si>
  <si>
    <t>BradfordHabinteg Housing Association Limited</t>
  </si>
  <si>
    <t>BradfordHalo Housing Association Limited</t>
  </si>
  <si>
    <t>BradfordHeylo Housing Registered Provider Limited</t>
  </si>
  <si>
    <t>BradfordHilldale Housing Association Limited</t>
  </si>
  <si>
    <t>BradfordHome Group Limited</t>
  </si>
  <si>
    <t>BradfordHousing 21</t>
  </si>
  <si>
    <t>BradfordInclusion Housing Community Interest Company</t>
  </si>
  <si>
    <t>BradfordIncommunities Limited</t>
  </si>
  <si>
    <t>BradfordLangley House Trust</t>
  </si>
  <si>
    <t>BradfordLegal &amp; General Affordable Homes Limited</t>
  </si>
  <si>
    <t>BradfordLets for Life</t>
  </si>
  <si>
    <t>BradfordM&amp;G UK Shared Ownership Limited</t>
  </si>
  <si>
    <t>BradfordManningham Housing Association Limited</t>
  </si>
  <si>
    <t>BradfordMethodist Homes Housing Association Limited</t>
  </si>
  <si>
    <t>BradfordMuir Group Housing Association Limited</t>
  </si>
  <si>
    <t>BradfordNotting Hill Home Ownership Limited</t>
  </si>
  <si>
    <t>BradfordPlaces for People Homes Limited</t>
  </si>
  <si>
    <t>BradfordPlaces for People Living+ Limited</t>
  </si>
  <si>
    <t>BradfordPlexus UK (First Project) Limited</t>
  </si>
  <si>
    <t>BradfordProgress Housing Association Limited</t>
  </si>
  <si>
    <t>BradfordSage Homes RP Limited</t>
  </si>
  <si>
    <t>BradfordSanctuary Affordable Housing Limited</t>
  </si>
  <si>
    <t>BradfordSanctuary Housing Association</t>
  </si>
  <si>
    <t>BradfordStonewater Limited</t>
  </si>
  <si>
    <t>BradfordThe Abbeyfield Society</t>
  </si>
  <si>
    <t>BradfordThe Guinness Partnership Limited</t>
  </si>
  <si>
    <t>BradfordThe Riverside Group Limited</t>
  </si>
  <si>
    <t>BradfordThirteen Housing Group Limited</t>
  </si>
  <si>
    <t>BradfordTogether Housing Association Limited</t>
  </si>
  <si>
    <t>BradfordVico Homes Limited</t>
  </si>
  <si>
    <t>BradfordWaythrough</t>
  </si>
  <si>
    <t>BradfordWestmoreland Supported Housing Limited</t>
  </si>
  <si>
    <t>BradfordWindrush Alliance UK Community Interest Company</t>
  </si>
  <si>
    <t>BradfordYorkshire Housing Limited</t>
  </si>
  <si>
    <t>BradfordYour Housing Limited</t>
  </si>
  <si>
    <t>BraintreeAbbeyfield Braintree, Bocking and Felsted Society Limited</t>
  </si>
  <si>
    <t>BraintreeAnchor Hanover Group</t>
  </si>
  <si>
    <t>BraintreeAuckland Home Solutions CIC</t>
  </si>
  <si>
    <t>BraintreeChelmer Housing Partnership Limited</t>
  </si>
  <si>
    <t>BraintreeClarion Housing Association Limited</t>
  </si>
  <si>
    <t>BraintreeE W King Memorial Homes</t>
  </si>
  <si>
    <t>BraintreeEastlight Community Homes Limited</t>
  </si>
  <si>
    <t>BraintreeEnglish Rural Housing Association Limited</t>
  </si>
  <si>
    <t>BraintreeEstuary Housing Association Limited</t>
  </si>
  <si>
    <t>BraintreeFlagship Housing Limited</t>
  </si>
  <si>
    <t>BraintreeGolden Lane Housing Limited</t>
  </si>
  <si>
    <t>BraintreeHabinteg Housing Association Limited</t>
  </si>
  <si>
    <t>BraintreeHastoe Housing Association Limited</t>
  </si>
  <si>
    <t>BraintreeHeylo Housing Registered Provider Limited</t>
  </si>
  <si>
    <t>BraintreeHome Group Limited</t>
  </si>
  <si>
    <t>BraintreeHousing 21</t>
  </si>
  <si>
    <t>BraintreeLegal &amp; General Affordable Homes (AR) LLP</t>
  </si>
  <si>
    <t>BraintreeLegal &amp; General Affordable Homes Limited</t>
  </si>
  <si>
    <t>BraintreeLocal Space</t>
  </si>
  <si>
    <t>BraintreeLondon &amp; Quadrant Housing Trust</t>
  </si>
  <si>
    <t>BraintreeM&amp;G UK Shared Ownership Limited</t>
  </si>
  <si>
    <t>BraintreeMetropolitan Housing Trust Limited</t>
  </si>
  <si>
    <t>BraintreeMoat Homes Limited</t>
  </si>
  <si>
    <t>BraintreeNACRO</t>
  </si>
  <si>
    <t>BraintreeOrbit Group Limited</t>
  </si>
  <si>
    <t>BraintreePeabody Trust</t>
  </si>
  <si>
    <t>BraintreePlaces for People Homes Limited</t>
  </si>
  <si>
    <t>BraintreePlaces for People Living+ Limited</t>
  </si>
  <si>
    <t>BraintreeReside Housing Association Limited</t>
  </si>
  <si>
    <t>BraintreeSaffron Housing Trust Limited</t>
  </si>
  <si>
    <t>BraintreeSage Homes RP Limited</t>
  </si>
  <si>
    <t>BraintreeSage Rented Limited</t>
  </si>
  <si>
    <t>BraintreeSalvation Army Housing Association</t>
  </si>
  <si>
    <t>BraintreeSanctuary Affordable Housing Limited</t>
  </si>
  <si>
    <t>BraintreeSanctuary Housing Association</t>
  </si>
  <si>
    <t>BraintreeSparrow Shared Ownership Limited</t>
  </si>
  <si>
    <t>BraintreeSwan Housing Association Limited</t>
  </si>
  <si>
    <t>BraintreeThe Guinness Partnership Limited</t>
  </si>
  <si>
    <t>BraintreeThe Havebury Housing Partnership</t>
  </si>
  <si>
    <t>BraintreeUnited Charities</t>
  </si>
  <si>
    <t>BraintreeWebster Almshouse Trust</t>
  </si>
  <si>
    <t>BraintreeWitham Housing Association Limited</t>
  </si>
  <si>
    <t>BrecklandAnchor Hanover Group</t>
  </si>
  <si>
    <t>BrecklandBroadland Housing Association Limited</t>
  </si>
  <si>
    <t>BrecklandClarion Housing Association Limited</t>
  </si>
  <si>
    <t>BrecklandEmpower Housing Association Limited</t>
  </si>
  <si>
    <t>BrecklandFlagship Housing Limited</t>
  </si>
  <si>
    <t>BrecklandHabinteg Housing Association Limited</t>
  </si>
  <si>
    <t>BrecklandHastoe Housing Association Limited</t>
  </si>
  <si>
    <t>BrecklandHousing 21</t>
  </si>
  <si>
    <t>BrecklandLegal &amp; General Affordable Homes Limited</t>
  </si>
  <si>
    <t>BrecklandLegal and General Affordable Homes (Capital) Limited</t>
  </si>
  <si>
    <t>BrecklandM&amp;G UK Shared Ownership Limited</t>
  </si>
  <si>
    <t>BrecklandMuir Group Housing Association Limited</t>
  </si>
  <si>
    <t>BrecklandOrbit Group Limited</t>
  </si>
  <si>
    <t>BrecklandOrbit Housing Association Limited</t>
  </si>
  <si>
    <t>BrecklandOrwell Housing Association Limited</t>
  </si>
  <si>
    <t>BrecklandPlaces for People Homes Limited</t>
  </si>
  <si>
    <t>BrecklandPlaces for People Living+ Limited</t>
  </si>
  <si>
    <t>BrecklandProgress Housing Association Limited</t>
  </si>
  <si>
    <t>BrecklandSaffron Housing Trust Limited</t>
  </si>
  <si>
    <t>BrecklandSage Homes RP Limited</t>
  </si>
  <si>
    <t>BrecklandSage Rented Limited</t>
  </si>
  <si>
    <t>BrecklandSanctuary Affordable Housing Limited</t>
  </si>
  <si>
    <t>BrecklandSanctuary Housing Association</t>
  </si>
  <si>
    <t>BrecklandSimply Affordable Homes RP Limited</t>
  </si>
  <si>
    <t>BrecklandSolo Housing (East Anglia)</t>
  </si>
  <si>
    <t>BrecklandSparrow Shared Ownership Limited</t>
  </si>
  <si>
    <t>BrecklandThe Havebury Housing Partnership</t>
  </si>
  <si>
    <t>BrecklandThe Papworth Trust</t>
  </si>
  <si>
    <t>BrecklandV &amp; F Homes Limited</t>
  </si>
  <si>
    <t>BrentA2Dominion Homes Limited</t>
  </si>
  <si>
    <t>BrentArhag Housing Association Limited</t>
  </si>
  <si>
    <t>BrentArneway Housing Co-operative Limited</t>
  </si>
  <si>
    <t>BrentAuckland Home Solutions CIC</t>
  </si>
  <si>
    <t>BrentCentrepoint Soho</t>
  </si>
  <si>
    <t>BrentClarion Housing Association Limited</t>
  </si>
  <si>
    <t>BrentConcept Housing Association CIC</t>
  </si>
  <si>
    <t>BrentCyron Housing Co-operative Limited</t>
  </si>
  <si>
    <t>BrentDimensions (UK) Limited</t>
  </si>
  <si>
    <t>BrentFirst Wave Housing Limited</t>
  </si>
  <si>
    <t>BrentGolden Lane Housing Limited</t>
  </si>
  <si>
    <t>BrentHabinteg Housing Association Limited</t>
  </si>
  <si>
    <t>BrentHastoe Housing Association Limited</t>
  </si>
  <si>
    <t>BrentHillside Housing Trust Limited</t>
  </si>
  <si>
    <t>BrentHome Group Limited</t>
  </si>
  <si>
    <t>BrentHousing For Women</t>
  </si>
  <si>
    <t>BrentHyde Housing Association Limited</t>
  </si>
  <si>
    <t>BrentInclusion Housing Community Interest Company</t>
  </si>
  <si>
    <t>BrentInnisfree Housing Association Limited</t>
  </si>
  <si>
    <t>BrentJewish Community Housing Association Limited</t>
  </si>
  <si>
    <t>BrentKaribu Community Homes Limited</t>
  </si>
  <si>
    <t>BrentKilburn Housing Co-operative Limited</t>
  </si>
  <si>
    <t>BrentLangley House Trust</t>
  </si>
  <si>
    <t>BrentLegal &amp; General Affordable Homes (AR) LLP</t>
  </si>
  <si>
    <t>BrentLegal &amp; General Affordable Homes Limited</t>
  </si>
  <si>
    <t>BrentLondon &amp; Quadrant Housing Trust</t>
  </si>
  <si>
    <t>BrentM&amp;G UK Shared Ownership Limited</t>
  </si>
  <si>
    <t>BrentMP Living Limited</t>
  </si>
  <si>
    <t>BrentMethodist Homes Housing Association Limited</t>
  </si>
  <si>
    <t>BrentMetropolitan Housing Trust Limited</t>
  </si>
  <si>
    <t>BrentNotting Hill Genesis</t>
  </si>
  <si>
    <t>BrentNotting Hill Home Ownership Limited</t>
  </si>
  <si>
    <t>BrentOak Housing Limited</t>
  </si>
  <si>
    <t>BrentOctavia Housing</t>
  </si>
  <si>
    <t>BrentOdu-Dua Housing Association Limited</t>
  </si>
  <si>
    <t>BrentOrigin Housing 2 Limited</t>
  </si>
  <si>
    <t>BrentOrigin Housing Limited</t>
  </si>
  <si>
    <t>BrentParadigm Homes Charitable Housing Association Limited</t>
  </si>
  <si>
    <t>BrentParagon Asra Housing Limited</t>
  </si>
  <si>
    <t>BrentPark Properties Housing Association Ltd</t>
  </si>
  <si>
    <t>BrentPeabody Trust</t>
  </si>
  <si>
    <t>BrentPortobello Housing Co-operative Limited</t>
  </si>
  <si>
    <t>BrentReside Housing Association Limited</t>
  </si>
  <si>
    <t>BrentSanctuary Housing Association</t>
  </si>
  <si>
    <t>BrentSapphire Independent Housing Limited</t>
  </si>
  <si>
    <t>BrentSouthern Housing</t>
  </si>
  <si>
    <t>BrentSovereign Network Group</t>
  </si>
  <si>
    <t>BrentSt Mungo Community Housing Association</t>
  </si>
  <si>
    <t>BrentTBG Open Door Limited</t>
  </si>
  <si>
    <t>BrentTamil Community Housing Association Limited</t>
  </si>
  <si>
    <t>BrentTeachers' Housing Association Limited</t>
  </si>
  <si>
    <t>BrentThe Guinness Partnership Limited</t>
  </si>
  <si>
    <t>BrentThe Riverside Group Limited</t>
  </si>
  <si>
    <t>BrentWest Hampstead Housing Co-operative Limited</t>
  </si>
  <si>
    <t>BrentWestmoreland Supported Housing Limited</t>
  </si>
  <si>
    <t>BrentWillesden Green Housing Co-operative Limited</t>
  </si>
  <si>
    <t>BrentYour Housing Limited</t>
  </si>
  <si>
    <t>BrentwoodAnchor Hanover Group</t>
  </si>
  <si>
    <t>BrentwoodB3 Living Limited</t>
  </si>
  <si>
    <t>BrentwoodBrentwood Housing Trust Limited</t>
  </si>
  <si>
    <t>BrentwoodChelmer Housing Partnership Limited</t>
  </si>
  <si>
    <t>BrentwoodClarion Housing Association Limited</t>
  </si>
  <si>
    <t>BrentwoodEstuary Housing Association Limited</t>
  </si>
  <si>
    <t>BrentwoodGateway Housing Association Limited</t>
  </si>
  <si>
    <t>BrentwoodHeylo Housing Registered Provider Limited</t>
  </si>
  <si>
    <t>BrentwoodHome Group Limited</t>
  </si>
  <si>
    <t>BrentwoodLegal &amp; General Affordable Homes Limited</t>
  </si>
  <si>
    <t>BrentwoodLondon &amp; Quadrant Housing Trust</t>
  </si>
  <si>
    <t>BrentwoodMoat Homes Limited</t>
  </si>
  <si>
    <t>BrentwoodNotting Hill Genesis</t>
  </si>
  <si>
    <t>BrentwoodOrbit Group Limited</t>
  </si>
  <si>
    <t>BrentwoodPeabody Trust</t>
  </si>
  <si>
    <t>BrentwoodSaffron Housing Trust Limited</t>
  </si>
  <si>
    <t>BrentwoodSage Rented Limited</t>
  </si>
  <si>
    <t>BrentwoodSalvation Army Housing Association</t>
  </si>
  <si>
    <t>BrentwoodSanctuary Housing Association</t>
  </si>
  <si>
    <t>BrentwoodSparrow Shared Ownership Limited</t>
  </si>
  <si>
    <t>BrentwoodSwan Housing Association Limited</t>
  </si>
  <si>
    <t>BrentwoodThe Shen Place Almshouses</t>
  </si>
  <si>
    <t>BrentwoodYMCA Thames Gateway</t>
  </si>
  <si>
    <t>Brighton and HoveAbbeyfield South Downs Limited</t>
  </si>
  <si>
    <t>Brighton and HoveAnchor Hanover Group</t>
  </si>
  <si>
    <t>Brighton and HoveAuckland Home Solutions CIC</t>
  </si>
  <si>
    <t>Brighton and HoveBHT Sussex</t>
  </si>
  <si>
    <t>Brighton and HoveBespoke Supportive Tenancies Ltd</t>
  </si>
  <si>
    <t>Brighton and HoveBrighton Lions Housing Society Limited</t>
  </si>
  <si>
    <t>Brighton and HoveBrighton YMCA</t>
  </si>
  <si>
    <t>Brighton and HoveBrighton and Hove Almshouse Charity</t>
  </si>
  <si>
    <t>Brighton and HoveChisel Limited</t>
  </si>
  <si>
    <t>Brighton and HoveClarion Housing Association Limited</t>
  </si>
  <si>
    <t>Brighton and HoveDimensions (UK) Limited</t>
  </si>
  <si>
    <t>Brighton and HoveFalcon Housing Association C.I.C</t>
  </si>
  <si>
    <t>Brighton and HoveGolden Lane Housing Limited</t>
  </si>
  <si>
    <t>Brighton and HoveHabitare Homes Limited</t>
  </si>
  <si>
    <t>Brighton and HoveHome Group Limited</t>
  </si>
  <si>
    <t>Brighton and HoveHyde Housing Association Limited</t>
  </si>
  <si>
    <t>Brighton and HoveJewish Community Housing Association Limited</t>
  </si>
  <si>
    <t>Brighton and HoveLegal &amp; General Affordable Homes (AR) LLP</t>
  </si>
  <si>
    <t>Brighton and HoveLegal &amp; General Affordable Homes Limited</t>
  </si>
  <si>
    <t>Brighton and HoveLondon &amp; Quadrant Housing Trust</t>
  </si>
  <si>
    <t>Brighton and HoveM&amp;G UK Shared Ownership Limited</t>
  </si>
  <si>
    <t>Brighton and HoveMetropolitan Housing Trust Limited</t>
  </si>
  <si>
    <t>Brighton and HoveMoat Homes Limited</t>
  </si>
  <si>
    <t>Brighton and HoveNotting Hill Home Ownership Limited</t>
  </si>
  <si>
    <t>Brighton and HoveOrbit Group Limited</t>
  </si>
  <si>
    <t>Brighton and HoveOrbit Housing Association Limited</t>
  </si>
  <si>
    <t>Brighton and HoveOrigin Housing Limited</t>
  </si>
  <si>
    <t>Brighton and HovePlaces for People Homes Limited</t>
  </si>
  <si>
    <t>Brighton and HovePorthove Housing Association Limited</t>
  </si>
  <si>
    <t>Brighton and HoveReside Housing Association Limited</t>
  </si>
  <si>
    <t>Brighton and HoveSanctuary Affordable Housing Limited</t>
  </si>
  <si>
    <t>Brighton and HoveSanctuary Housing Association</t>
  </si>
  <si>
    <t>Brighton and HoveSaxon Weald</t>
  </si>
  <si>
    <t>Brighton and HoveSouthdown Housing Association Limited</t>
  </si>
  <si>
    <t>Brighton and HoveSouthern Housing</t>
  </si>
  <si>
    <t>Brighton and HoveSparrow Shared Ownership Limited</t>
  </si>
  <si>
    <t>Brighton and HoveSt Mungo Community Housing Association</t>
  </si>
  <si>
    <t>Brighton and HoveStonewater Limited</t>
  </si>
  <si>
    <t>Brighton and HoveSussex Housing and Care</t>
  </si>
  <si>
    <t>Brighton and HoveSussex Overseas Housing Society Limited</t>
  </si>
  <si>
    <t>Brighton and HoveTeachers' Housing Association Limited</t>
  </si>
  <si>
    <t>Brighton and HoveThe Fellowship Houses Trust</t>
  </si>
  <si>
    <t>Brighton and HoveThe Guinness Partnership Limited</t>
  </si>
  <si>
    <t>Brighton and HoveThe Riverside Group Limited</t>
  </si>
  <si>
    <t>Brighton and HoveTwo Piers Housing Co-operative Limited</t>
  </si>
  <si>
    <t>Brighton and HoveWestmoreland Supported Housing Limited</t>
  </si>
  <si>
    <t>Brighton and HoveWorthing Homes Limited</t>
  </si>
  <si>
    <t>Brighton and HoveYMCA Downslink Group</t>
  </si>
  <si>
    <t>Bristol, City ofAbbeyfield Bristol and Keynsham Society</t>
  </si>
  <si>
    <t>Bristol, City ofAbri Group Limited</t>
  </si>
  <si>
    <t>Bristol, City ofAdvance Housing and Support Limited</t>
  </si>
  <si>
    <t>Bristol, City ofAnchor Hanover Group</t>
  </si>
  <si>
    <t>Bristol, City ofAshley Community &amp; Housing Ltd</t>
  </si>
  <si>
    <t>Bristol, City ofAster Communities</t>
  </si>
  <si>
    <t>Bristol, City ofBespoke Supportive Tenancies Ltd</t>
  </si>
  <si>
    <t>Bristol, City ofBethany Home</t>
  </si>
  <si>
    <t>Bristol, City ofBrighter Places</t>
  </si>
  <si>
    <t>Bristol, City ofBristol CLT Limited</t>
  </si>
  <si>
    <t>Bristol, City ofBristol and Anchor Almshouse Charity</t>
  </si>
  <si>
    <t>Bristol, City ofBromford Housing Association Limited</t>
  </si>
  <si>
    <t>Bristol, City ofBrunelcare</t>
  </si>
  <si>
    <t>Bristol, City ofClarion Housing Association Limited</t>
  </si>
  <si>
    <t>Bristol, City ofCuro Places Limited</t>
  </si>
  <si>
    <t>Bristol, City ofDimensions (UK) Limited</t>
  </si>
  <si>
    <t>Bristol, City ofElim Housing Association Limited</t>
  </si>
  <si>
    <t>Bristol, City ofFirst Priority Housing Association Limited</t>
  </si>
  <si>
    <t>Bristol, City ofGolden Lane Housing Limited</t>
  </si>
  <si>
    <t>Bristol, City ofGreenSquareAccord Limited</t>
  </si>
  <si>
    <t>Bristol, City ofGuinness Housing Association Limited</t>
  </si>
  <si>
    <t>Bristol, City ofHabinteg Housing Association Limited</t>
  </si>
  <si>
    <t>Bristol, City ofHeylo Housing Registered Provider Limited</t>
  </si>
  <si>
    <t>Bristol, City ofHome Group Limited</t>
  </si>
  <si>
    <t>Bristol, City ofHousing 21</t>
  </si>
  <si>
    <t>Bristol, City ofInclusion Housing Community Interest Company</t>
  </si>
  <si>
    <t>Bristol, City ofJulian House</t>
  </si>
  <si>
    <t>Bristol, City ofKing's Barton Housing Association Limited</t>
  </si>
  <si>
    <t>Bristol, City ofLiveWest Homes Limited</t>
  </si>
  <si>
    <t>Bristol, City ofM&amp;G UK Shared Ownership Limited</t>
  </si>
  <si>
    <t>Bristol, City ofMerlin Housing Society Limited</t>
  </si>
  <si>
    <t>Bristol, City ofMoat Homes Limited</t>
  </si>
  <si>
    <t>Bristol, City ofNSAH (Alliance Homes) Limited</t>
  </si>
  <si>
    <t>Bristol, City ofOrchard Homes</t>
  </si>
  <si>
    <t>Bristol, City ofPlaces for People Homes Limited</t>
  </si>
  <si>
    <t>Bristol, City ofPlaces for People Living+ Limited</t>
  </si>
  <si>
    <t>Bristol, City ofSage Homes RP Limited</t>
  </si>
  <si>
    <t>Bristol, City ofSalvation Army Housing Association</t>
  </si>
  <si>
    <t>Bristol, City ofSanctuary Housing Association</t>
  </si>
  <si>
    <t>Bristol, City ofSomewhere Co-operative Housing Association Limited</t>
  </si>
  <si>
    <t>Bristol, City ofSovereign Living Limited</t>
  </si>
  <si>
    <t>Bristol, City ofSovereign Network Group</t>
  </si>
  <si>
    <t>Bristol, City ofSt Mungo Community Housing Association</t>
  </si>
  <si>
    <t>Bristol, City ofStonewater (5) Limited</t>
  </si>
  <si>
    <t>Bristol, City ofStonewater Limited</t>
  </si>
  <si>
    <t>Bristol, City ofThe ExtraCare Charitable Trust</t>
  </si>
  <si>
    <t>Bristol, City ofThe Guinness Partnership Limited</t>
  </si>
  <si>
    <t>Bristol, City ofThe Riverside Group Limited</t>
  </si>
  <si>
    <t>Bristol, City ofThe Society of Merchant Venturers' Almshouse Charity</t>
  </si>
  <si>
    <t>Bristol, City ofThe Swaythling Housing Society Limited</t>
  </si>
  <si>
    <t>Bristol, City ofWest of England Friends Housing Society Limited</t>
  </si>
  <si>
    <t>BroadlandAdvance Housing and Support Limited</t>
  </si>
  <si>
    <t>BroadlandBroadland Housing Association Limited</t>
  </si>
  <si>
    <t>BroadlandClarion Housing Association Limited</t>
  </si>
  <si>
    <t>BroadlandEastlight Community Homes Limited</t>
  </si>
  <si>
    <t>BroadlandFlagship Housing Limited</t>
  </si>
  <si>
    <t>BroadlandGolden Lane Housing Limited</t>
  </si>
  <si>
    <t>BroadlandHome Group Limited</t>
  </si>
  <si>
    <t>BroadlandHousing 21</t>
  </si>
  <si>
    <t>BroadlandLegal &amp; General Affordable Homes (AR) LLP</t>
  </si>
  <si>
    <t>BroadlandLegal &amp; General Affordable Homes Limited</t>
  </si>
  <si>
    <t>BroadlandLegal and General Affordable Homes (Capital) Limited</t>
  </si>
  <si>
    <t>BroadlandM&amp;G UK Shared Ownership Limited</t>
  </si>
  <si>
    <t>BroadlandOrbit Group Limited</t>
  </si>
  <si>
    <t>BroadlandOrbit Housing Association Limited</t>
  </si>
  <si>
    <t>BroadlandPlaces for People Homes Limited</t>
  </si>
  <si>
    <t>BroadlandPlaces for People Living+ Limited</t>
  </si>
  <si>
    <t>BroadlandProgress Housing Association Limited</t>
  </si>
  <si>
    <t>BroadlandSaffron Housing Trust Limited</t>
  </si>
  <si>
    <t>BroadlandSage Homes RP Limited</t>
  </si>
  <si>
    <t>BroadlandSage Rented Limited</t>
  </si>
  <si>
    <t>BroadlandSanctuary Affordable Housing Limited</t>
  </si>
  <si>
    <t>BroadlandSparrow Shared Ownership Limited</t>
  </si>
  <si>
    <t>BroadlandThe Guinness Partnership Limited</t>
  </si>
  <si>
    <t>BroadlandThe Papworth Trust</t>
  </si>
  <si>
    <t>BroadlandV &amp; F Homes Limited</t>
  </si>
  <si>
    <t>BromleyA2Dominion Homes Limited</t>
  </si>
  <si>
    <t>BromleyAccent Housing Limited</t>
  </si>
  <si>
    <t>BromleyAdvance Housing and Support Limited</t>
  </si>
  <si>
    <t>BromleyAmicus Group Limited</t>
  </si>
  <si>
    <t>BromleyAnchor Hanover Group</t>
  </si>
  <si>
    <t>BromleyAnerley Housing Co-operative Limited</t>
  </si>
  <si>
    <t>BromleyBespoke Supportive Tenancies Ltd</t>
  </si>
  <si>
    <t>BromleyBirnbeck Housing Association Limited</t>
  </si>
  <si>
    <t>BromleyBromley and Croydon Women's Aid Limited</t>
  </si>
  <si>
    <t>BromleyBromley and Sheppard's Colleges Charity</t>
  </si>
  <si>
    <t>BromleyCedarmore Housing Association Limited</t>
  </si>
  <si>
    <t>BromleyChisel Limited</t>
  </si>
  <si>
    <t>BromleyChislehurst and Sidcup Housing Association</t>
  </si>
  <si>
    <t>BromleyClarion Housing Association Limited</t>
  </si>
  <si>
    <t>BromleyCromwood Housing Ltd</t>
  </si>
  <si>
    <t>BromleyCroydon Churches Housing Association Limited</t>
  </si>
  <si>
    <t>BromleyEkaya Housing Association Limited</t>
  </si>
  <si>
    <t>BromleyGlebe Housing Association Limited</t>
  </si>
  <si>
    <t>BromleyGolden Lane Housing Limited</t>
  </si>
  <si>
    <t>BromleyHabinteg Housing Association Limited</t>
  </si>
  <si>
    <t>BromleyHexagon Housing Association Limited</t>
  </si>
  <si>
    <t>BromleyHome Group Limited</t>
  </si>
  <si>
    <t>BromleyHousing 21</t>
  </si>
  <si>
    <t>BromleyHyde Housing Association Limited</t>
  </si>
  <si>
    <t>BromleyKeniston Housing Association Limited</t>
  </si>
  <si>
    <t>BromleyLegal &amp; General Affordable Homes (AR) LLP</t>
  </si>
  <si>
    <t>BromleyLegal &amp; General Affordable Homes Limited</t>
  </si>
  <si>
    <t>BromleyLondon &amp; Quadrant Housing Trust</t>
  </si>
  <si>
    <t>BromleyLook Ahead Care and Support Limited</t>
  </si>
  <si>
    <t>BromleyM&amp;G UK Shared Ownership Limited</t>
  </si>
  <si>
    <t>BromleyMetropolitan Housing Trust Limited</t>
  </si>
  <si>
    <t>BromleyMoat Homes Limited</t>
  </si>
  <si>
    <t>BromleyNotting Hill Genesis</t>
  </si>
  <si>
    <t>BromleyNotting Hill Home Ownership Limited</t>
  </si>
  <si>
    <t>BromleyOak Housing Limited</t>
  </si>
  <si>
    <t>BromleyOrbit Group Limited</t>
  </si>
  <si>
    <t>BromleyPeabody Trust</t>
  </si>
  <si>
    <t>BromleyPenge Churches Housing Association Limited</t>
  </si>
  <si>
    <t>BromleyPhoenix Community Housing Association (Bellingham and Downham) Limited</t>
  </si>
  <si>
    <t>BromleyPhoenix House</t>
  </si>
  <si>
    <t>BromleyPinnacle Affordable Homes Ltd</t>
  </si>
  <si>
    <t>BromleyRadcliffe Housing Society Limited</t>
  </si>
  <si>
    <t>BromleyReside Housing Association Limited</t>
  </si>
  <si>
    <t>BromleySage Homes RP Limited</t>
  </si>
  <si>
    <t>BromleySage Rented Limited</t>
  </si>
  <si>
    <t>BromleySanctuary Housing Association</t>
  </si>
  <si>
    <t>BromleySouthern Housing</t>
  </si>
  <si>
    <t>BromleySt Martin of Tours Housing Association Limited</t>
  </si>
  <si>
    <t>BromleyThe Abbeyfield London Polish Society Limited</t>
  </si>
  <si>
    <t>BromleyThe Guinness Partnership Limited</t>
  </si>
  <si>
    <t>BromleyThe Riverside Group Limited</t>
  </si>
  <si>
    <t>BromleyWandle Housing Association Limited</t>
  </si>
  <si>
    <t>BromleyWestminster Community Homes Limited</t>
  </si>
  <si>
    <t>BromsgroveAdvance Housing and Support Limited</t>
  </si>
  <si>
    <t>BromsgroveAmplius Living</t>
  </si>
  <si>
    <t>BromsgroveBromford Housing Association Limited</t>
  </si>
  <si>
    <t>BromsgroveBromsgrove District Housing Trust Limited</t>
  </si>
  <si>
    <t>BromsgroveBromsgrove United Charities</t>
  </si>
  <si>
    <t>BromsgroveCitizen Housing Group Limited</t>
  </si>
  <si>
    <t>BromsgroveClarion Housing Association Limited</t>
  </si>
  <si>
    <t>BromsgroveEncircle Housing</t>
  </si>
  <si>
    <t>BromsgroveGolden Lane Housing Limited</t>
  </si>
  <si>
    <t>BromsgroveGreenSquareAccord Limited</t>
  </si>
  <si>
    <t>BromsgroveHalo Housing Association Limited</t>
  </si>
  <si>
    <t>BromsgroveHousing 21</t>
  </si>
  <si>
    <t>BromsgroveInclusion Housing Community Interest Company</t>
  </si>
  <si>
    <t>BromsgroveMidland Heart Limited</t>
  </si>
  <si>
    <t>BromsgrovePlatform Housing Limited</t>
  </si>
  <si>
    <t>BromsgroveProgress Housing Association Limited</t>
  </si>
  <si>
    <t>BromsgroveRooftop Housing Association Limited</t>
  </si>
  <si>
    <t>BromsgroveSouthern Housing</t>
  </si>
  <si>
    <t>BromsgroveStonewater Limited</t>
  </si>
  <si>
    <t>BromsgroveWalsall Housing Group Limited</t>
  </si>
  <si>
    <t>BroxbourneAmplius Living</t>
  </si>
  <si>
    <t>BroxbourneAnchor Hanover Group</t>
  </si>
  <si>
    <t>BroxbourneB3 Living Limited</t>
  </si>
  <si>
    <t>BroxbourneClarion Housing Association Limited</t>
  </si>
  <si>
    <t>BroxbourneHastoe Housing Association Limited</t>
  </si>
  <si>
    <t>BroxbourneHightown Housing Association Limited</t>
  </si>
  <si>
    <t>BroxbourneHome Group Limited</t>
  </si>
  <si>
    <t>BroxbourneHousing Solutions</t>
  </si>
  <si>
    <t>BroxbourneLondon &amp; Quadrant Housing Trust</t>
  </si>
  <si>
    <t>BroxbourneMetropolitan Housing Trust Limited</t>
  </si>
  <si>
    <t>BroxbourneNotting Hill Genesis</t>
  </si>
  <si>
    <t>BroxbourneNotting Hill Home Ownership Limited</t>
  </si>
  <si>
    <t>BroxbourneOne YMCA</t>
  </si>
  <si>
    <t>BroxbourneParadigm Homes Charitable Housing Association Limited</t>
  </si>
  <si>
    <t>BroxbournePeabody Trust</t>
  </si>
  <si>
    <t>BroxbourneSanctuary Housing Association</t>
  </si>
  <si>
    <t>BroxbourneSettle Group</t>
  </si>
  <si>
    <t>BroxbourneSouthern Housing</t>
  </si>
  <si>
    <t>BroxbourneThrive Homes Limited</t>
  </si>
  <si>
    <t>BroxtoweAccent Housing Limited</t>
  </si>
  <si>
    <t>BroxtoweAdvance Housing and Support Limited</t>
  </si>
  <si>
    <t>BroxtoweAmplius Living</t>
  </si>
  <si>
    <t>BroxtoweAnchor Hanover Group</t>
  </si>
  <si>
    <t>BroxtoweEMH Housing and Regeneration Limited</t>
  </si>
  <si>
    <t>BroxtoweFramework Housing Association</t>
  </si>
  <si>
    <t>BroxtoweFutures Homescape Limited</t>
  </si>
  <si>
    <t>BroxtoweFutures Homeway Limited</t>
  </si>
  <si>
    <t>BroxtoweGolden Lane Housing Limited</t>
  </si>
  <si>
    <t>BroxtoweHeylo Housing Registered Provider Limited</t>
  </si>
  <si>
    <t>BroxtoweJigsaw Homes Midlands</t>
  </si>
  <si>
    <t>BroxtoweMetropolitan Housing Trust Limited</t>
  </si>
  <si>
    <t>BroxtoweMidland Heart Limited</t>
  </si>
  <si>
    <t>BroxtoweNottingham Community Housing Association Limited</t>
  </si>
  <si>
    <t>BroxtoweParagon Asra Housing Limited</t>
  </si>
  <si>
    <t>BroxtowePlaces for People Homes Limited</t>
  </si>
  <si>
    <t>BroxtowePlaces for People Living+ Limited</t>
  </si>
  <si>
    <t>BroxtowePlatform Housing Limited</t>
  </si>
  <si>
    <t>BroxtoweProgress Housing Association Limited</t>
  </si>
  <si>
    <t>BroxtoweTuntum Housing Association Limited</t>
  </si>
  <si>
    <t>BuckinghamshireA2Dominion Housing Options Limited</t>
  </si>
  <si>
    <t>BuckinghamshireA2Dominion South Limited</t>
  </si>
  <si>
    <t>BuckinghamshireAbility Housing Association</t>
  </si>
  <si>
    <t>BuckinghamshireAbri Group Limited</t>
  </si>
  <si>
    <t>BuckinghamshireAdvance Housing and Support Limited</t>
  </si>
  <si>
    <t>BuckinghamshireAmplius Living</t>
  </si>
  <si>
    <t>BuckinghamshireAnchor Hanover Group</t>
  </si>
  <si>
    <t>BuckinghamshireBromford Housing Association Limited</t>
  </si>
  <si>
    <t>BuckinghamshireClarion Housing Association Limited</t>
  </si>
  <si>
    <t>BuckinghamshireDimensions (UK) Limited</t>
  </si>
  <si>
    <t>BuckinghamshireEnglish Rural Housing Association Limited</t>
  </si>
  <si>
    <t>BuckinghamshireFairhive Homes Limited</t>
  </si>
  <si>
    <t>BuckinghamshireGolden Lane Housing Limited</t>
  </si>
  <si>
    <t>BuckinghamshireGreenSquareAccord Limited</t>
  </si>
  <si>
    <t>BuckinghamshireGreenhill Housing Association</t>
  </si>
  <si>
    <t>BuckinghamshireHastoe Housing Association Limited</t>
  </si>
  <si>
    <t>BuckinghamshireHeylo Housing Registered Provider Limited</t>
  </si>
  <si>
    <t>BuckinghamshireHightown Housing Association Limited</t>
  </si>
  <si>
    <t>BuckinghamshireHoltspur Housing Association Limited</t>
  </si>
  <si>
    <t>BuckinghamshireHome Group Limited</t>
  </si>
  <si>
    <t>BuckinghamshireHousing 21</t>
  </si>
  <si>
    <t>BuckinghamshireHousing Solutions</t>
  </si>
  <si>
    <t>BuckinghamshireLife 2009</t>
  </si>
  <si>
    <t>BuckinghamshireLondon &amp; Quadrant Housing Trust</t>
  </si>
  <si>
    <t>BuckinghamshireMasonic Housing Association</t>
  </si>
  <si>
    <t>BuckinghamshireMetropolitan Housing Trust Limited</t>
  </si>
  <si>
    <t>BuckinghamshireMoat Homes Limited</t>
  </si>
  <si>
    <t>BuckinghamshireNotting Hill Home Ownership Limited</t>
  </si>
  <si>
    <t>BuckinghamshireOne YMCA</t>
  </si>
  <si>
    <t>BuckinghamshireOrbit Group Limited</t>
  </si>
  <si>
    <t>BuckinghamshireParadigm Homes Charitable Housing Association Limited</t>
  </si>
  <si>
    <t>BuckinghamshireParagon Asra Housing Limited</t>
  </si>
  <si>
    <t>BuckinghamshirePeabody Trust</t>
  </si>
  <si>
    <t>BuckinghamshirePlaces for People Homes Limited</t>
  </si>
  <si>
    <t>BuckinghamshirePlaces for People Living+ Limited</t>
  </si>
  <si>
    <t>BuckinghamshireProgress Housing Association Limited</t>
  </si>
  <si>
    <t>BuckinghamshireRed Kite Community Housing Limited</t>
  </si>
  <si>
    <t>BuckinghamshireReside Housing Association Limited</t>
  </si>
  <si>
    <t>BuckinghamshireRosewood Housing Limited</t>
  </si>
  <si>
    <t>BuckinghamshireSage Homes RP Limited</t>
  </si>
  <si>
    <t>BuckinghamshireSage Rented Limited</t>
  </si>
  <si>
    <t>BuckinghamshireSalvation Army Housing Association</t>
  </si>
  <si>
    <t>BuckinghamshireSanctuary Affordable Housing Limited</t>
  </si>
  <si>
    <t>BuckinghamshireSanctuary Housing Association</t>
  </si>
  <si>
    <t>BuckinghamshireSoha Housing Limited</t>
  </si>
  <si>
    <t>BuckinghamshireSouthern Housing</t>
  </si>
  <si>
    <t>BuckinghamshireSovereign Network Group</t>
  </si>
  <si>
    <t>BuckinghamshireSparrow Shared Ownership Limited</t>
  </si>
  <si>
    <t>BuckinghamshireStonewater Limited</t>
  </si>
  <si>
    <t>BuckinghamshireThame and District Housing Association Limited</t>
  </si>
  <si>
    <t>BuckinghamshireThe Abbeyfield Chalfonts Society Limited</t>
  </si>
  <si>
    <t>BuckinghamshireThe ExtraCare Charitable Trust</t>
  </si>
  <si>
    <t>BuckinghamshireThe Guinness Partnership Limited</t>
  </si>
  <si>
    <t>BuckinghamshireThe Riverside Group Limited</t>
  </si>
  <si>
    <t>BuckinghamshireThe Swaythling Housing Society Limited</t>
  </si>
  <si>
    <t>BuckinghamshireThrive Homes Limited</t>
  </si>
  <si>
    <t>BuckinghamshireTrinity Housing Association Limited</t>
  </si>
  <si>
    <t>BuckinghamshireWestmoreland Supported Housing Limited</t>
  </si>
  <si>
    <t>BuckinghamshireWindrush Alliance UK Community Interest Company</t>
  </si>
  <si>
    <t>Buckinghamshirebpha Limited</t>
  </si>
  <si>
    <t>BurnleyAbbeyfield The Dales Limited</t>
  </si>
  <si>
    <t>BurnleyAccent Housing Limited</t>
  </si>
  <si>
    <t>BurnleyAnchor Hanover Group</t>
  </si>
  <si>
    <t>BurnleyCalico Homes Limited</t>
  </si>
  <si>
    <t>BurnleyCare Housing Association Limited</t>
  </si>
  <si>
    <t>BurnleyColonel Slater Homes</t>
  </si>
  <si>
    <t>BurnleyCreative Support Limited</t>
  </si>
  <si>
    <t>BurnleyEmpower Housing Association Limited</t>
  </si>
  <si>
    <t>BurnleyFalcon Housing Association C.I.C</t>
  </si>
  <si>
    <t>BurnleyGreat Places Housing Association</t>
  </si>
  <si>
    <t>BurnleyHalo Housing Association Limited</t>
  </si>
  <si>
    <t>BurnleyHeylo Housing Registered Provider Limited</t>
  </si>
  <si>
    <t>BurnleyHousing 21</t>
  </si>
  <si>
    <t>BurnleyInclusion Housing Community Interest Company</t>
  </si>
  <si>
    <t>BurnleyMuir Group Housing Association Limited</t>
  </si>
  <si>
    <t>BurnleyMy Space Housing Solutions</t>
  </si>
  <si>
    <t>BurnleyOnward Homes Limited</t>
  </si>
  <si>
    <t>BurnleyPlaces for People Homes Limited</t>
  </si>
  <si>
    <t>BurnleyPlaces for People Living+ Limited</t>
  </si>
  <si>
    <t>BurnleyProgress Housing Association Limited</t>
  </si>
  <si>
    <t>BurnleyRegenda Limited</t>
  </si>
  <si>
    <t>BurnleySanctuary Affordable Housing Limited</t>
  </si>
  <si>
    <t>BurnleyTogether Housing Association Limited</t>
  </si>
  <si>
    <t>BurnleyYour Housing Limited</t>
  </si>
  <si>
    <t>BuryAdullam Homes Housing Association Limited</t>
  </si>
  <si>
    <t>BuryAlpha (R.S.L.) Limited</t>
  </si>
  <si>
    <t>BuryAnchor Hanover Group</t>
  </si>
  <si>
    <t>BuryBolton at Home Limited</t>
  </si>
  <si>
    <t>BuryCalico Homes Limited</t>
  </si>
  <si>
    <t>BuryCreative Support Limited</t>
  </si>
  <si>
    <t>BuryEmpower Housing Association Limited</t>
  </si>
  <si>
    <t>BuryEncircle Housing</t>
  </si>
  <si>
    <t>BuryFarraday House Limited</t>
  </si>
  <si>
    <t>BuryGolden Lane Housing Limited</t>
  </si>
  <si>
    <t>BuryGreat Places Housing Association</t>
  </si>
  <si>
    <t>BuryHalo Housing Association Limited</t>
  </si>
  <si>
    <t>BuryHousing 21</t>
  </si>
  <si>
    <t>BuryInclusion Housing Community Interest Company</t>
  </si>
  <si>
    <t>BuryIrwell Valley Housing Association Limited</t>
  </si>
  <si>
    <t>BuryJigsaw Homes North</t>
  </si>
  <si>
    <t>BuryJigsaw Homes Tameside</t>
  </si>
  <si>
    <t>BuryManchester Jewish Housing Association</t>
  </si>
  <si>
    <t>BuryMosscare St. Vincent's Housing Group Limited</t>
  </si>
  <si>
    <t>BuryMuir Group Housing Association Limited</t>
  </si>
  <si>
    <t>BuryOnward Homes Limited</t>
  </si>
  <si>
    <t>BuryPartners Foundation Limited</t>
  </si>
  <si>
    <t>BuryPlaces for People Homes Limited</t>
  </si>
  <si>
    <t>BuryPlaces for People Living+ Limited</t>
  </si>
  <si>
    <t>BuryPrestwich and North Western Housing Association Limited</t>
  </si>
  <si>
    <t>BuryProgress Housing Association Limited</t>
  </si>
  <si>
    <t>BuryRegenda Limited</t>
  </si>
  <si>
    <t>BuryReside Housing Association Limited</t>
  </si>
  <si>
    <t>BurySanctuary Housing Association</t>
  </si>
  <si>
    <t>BurySix Town Housing Limited</t>
  </si>
  <si>
    <t>BuryThe Guinness Partnership Limited</t>
  </si>
  <si>
    <t>BuryThe Riverside Group Limited</t>
  </si>
  <si>
    <t>BuryYMCA Trinity Group</t>
  </si>
  <si>
    <t>BuryYour Housing Limited</t>
  </si>
  <si>
    <t>CalderdaleAbbeyfield The Dales Limited</t>
  </si>
  <si>
    <t>CalderdaleAccent Housing Limited</t>
  </si>
  <si>
    <t>CalderdaleAnchor Hanover Group</t>
  </si>
  <si>
    <t>CalderdaleArpeggio Properties Limited</t>
  </si>
  <si>
    <t>CalderdaleAuxesia Homes Limited</t>
  </si>
  <si>
    <t>CalderdaleBespoke Supportive Tenancies Ltd</t>
  </si>
  <si>
    <t>CalderdaleCalder Valley Community Land Trust Limited</t>
  </si>
  <si>
    <t>CalderdaleCharity Of Elizabeth Wadsworth</t>
  </si>
  <si>
    <t>CalderdaleChartford Housing Limited</t>
  </si>
  <si>
    <t>CalderdaleConnect Housing Association Limited</t>
  </si>
  <si>
    <t>CalderdaleCreative Support Limited</t>
  </si>
  <si>
    <t>CalderdaleFrank Crossley's Almshouses</t>
  </si>
  <si>
    <t>CalderdaleGolden Lane Housing Limited</t>
  </si>
  <si>
    <t>CalderdaleHeylo Housing Registered Provider Limited</t>
  </si>
  <si>
    <t>CalderdaleHighstone Housing Association Limited</t>
  </si>
  <si>
    <t>CalderdaleHilldale Housing Association Limited</t>
  </si>
  <si>
    <t>CalderdaleHome Group Limited</t>
  </si>
  <si>
    <t>CalderdaleHousing 21</t>
  </si>
  <si>
    <t>CalderdaleIKE Supported Housing Limited</t>
  </si>
  <si>
    <t>CalderdaleInclusion Housing Community Interest Company</t>
  </si>
  <si>
    <t>CalderdaleJoseph Crossley's Almshouses</t>
  </si>
  <si>
    <t>CalderdaleMosscare St. Vincent's Housing Group Limited</t>
  </si>
  <si>
    <t>CalderdalePlaces for People Homes Limited</t>
  </si>
  <si>
    <t>CalderdalePlaces for People Living+ Limited</t>
  </si>
  <si>
    <t>CalderdaleSanctuary Affordable Housing Limited</t>
  </si>
  <si>
    <t>CalderdaleSanctuary Housing Association</t>
  </si>
  <si>
    <t>CalderdaleStonewater Limited</t>
  </si>
  <si>
    <t>CalderdaleThe Abbeyfield Society</t>
  </si>
  <si>
    <t>CalderdaleThe Guinness Partnership Limited</t>
  </si>
  <si>
    <t>CalderdaleThe Riverside Group Limited</t>
  </si>
  <si>
    <t>CalderdaleThe Thornton Cottage Homes</t>
  </si>
  <si>
    <t>CalderdaleTogether Housing Association Limited</t>
  </si>
  <si>
    <t>CalderdaleYorkshire Housing Limited</t>
  </si>
  <si>
    <t>CalderdaleYour Housing Limited</t>
  </si>
  <si>
    <t>CambridgeAnchor Hanover Group</t>
  </si>
  <si>
    <t>CambridgeArgyle Street Housing Co-operative Limited</t>
  </si>
  <si>
    <t>CambridgeCherry Hinton Almshouse Charity</t>
  </si>
  <si>
    <t>CambridgeClarion Housing Association Limited</t>
  </si>
  <si>
    <t>CambridgeEmpower Housing Association Limited</t>
  </si>
  <si>
    <t>CambridgeFlagship Housing Limited</t>
  </si>
  <si>
    <t>CambridgeFutures Homescape Limited</t>
  </si>
  <si>
    <t>CambridgeHastoe Housing Association Limited</t>
  </si>
  <si>
    <t>CambridgeHeylo Housing Registered Provider Limited</t>
  </si>
  <si>
    <t>CambridgeHousing 21</t>
  </si>
  <si>
    <t>CambridgeHundred Houses Society Limited</t>
  </si>
  <si>
    <t>CambridgeLondon &amp; Quadrant Housing Trust</t>
  </si>
  <si>
    <t>CambridgeMetropolitan Housing Trust Limited</t>
  </si>
  <si>
    <t>CambridgeOrbit Group Limited</t>
  </si>
  <si>
    <t>CambridgeOrigin Housing Limited</t>
  </si>
  <si>
    <t>CambridgeOrwell Housing Association Limited</t>
  </si>
  <si>
    <t>CambridgeParadise Housing Co-operative Limited</t>
  </si>
  <si>
    <t>CambridgePeabody Trust</t>
  </si>
  <si>
    <t>CambridgePlaces for People Living+ Limited</t>
  </si>
  <si>
    <t>CambridgeSage Rented Limited</t>
  </si>
  <si>
    <t>CambridgeSanctuary Affordable Housing Limited</t>
  </si>
  <si>
    <t>CambridgeSanctuary Housing Association</t>
  </si>
  <si>
    <t>CambridgeSparrow Shared Ownership Limited</t>
  </si>
  <si>
    <t>CambridgeStonewater Limited</t>
  </si>
  <si>
    <t>CambridgeThe Cambridge Housing Society Limited</t>
  </si>
  <si>
    <t>CambridgeThe Mary Hatch Almshouses with Diamond Jubilee Cottages</t>
  </si>
  <si>
    <t>CambridgeThe Papworth Trust</t>
  </si>
  <si>
    <t>CambridgeThe Riverside Group Limited</t>
  </si>
  <si>
    <t>CambridgeWaters Almshouses</t>
  </si>
  <si>
    <t>CambridgeYMCA Trinity Group</t>
  </si>
  <si>
    <t>Cambridgebpha Limited</t>
  </si>
  <si>
    <t>CamdenA2Dominion Homes Limited</t>
  </si>
  <si>
    <t>CamdenA2Dominion Housing Options Limited</t>
  </si>
  <si>
    <t>CamdenAbeona Housing Co-operative Limited</t>
  </si>
  <si>
    <t>CamdenArhag Housing Association Limited</t>
  </si>
  <si>
    <t>CamdenCentral and Cecil Housing Trust</t>
  </si>
  <si>
    <t>CamdenCentrepoint Soho</t>
  </si>
  <si>
    <t>CamdenClarion Housing Association Limited</t>
  </si>
  <si>
    <t>CamdenCo-operative Development Society Limited</t>
  </si>
  <si>
    <t>CamdenFairhazel Co-operative Limited</t>
  </si>
  <si>
    <t>CamdenHabinteg Housing Association Limited</t>
  </si>
  <si>
    <t>CamdenHarrison Housing</t>
  </si>
  <si>
    <t>CamdenHeathview Tenants' Co-operative Limited</t>
  </si>
  <si>
    <t>CamdenHousing For Women</t>
  </si>
  <si>
    <t>CamdenInnisfree Housing Association Limited</t>
  </si>
  <si>
    <t>CamdenIslington and Shoreditch Housing Association Limited</t>
  </si>
  <si>
    <t>CamdenLondon &amp; Quadrant Housing Trust</t>
  </si>
  <si>
    <t>CamdenNewlon Housing Trust</t>
  </si>
  <si>
    <t>CamdenNorth Camden Housing Co-operative Limited</t>
  </si>
  <si>
    <t>CamdenNotting Hill Genesis</t>
  </si>
  <si>
    <t>CamdenNotting Hill Home Ownership Limited</t>
  </si>
  <si>
    <t>CamdenOctavia Housing</t>
  </si>
  <si>
    <t>CamdenOdu-Dua Housing Association Limited</t>
  </si>
  <si>
    <t>CamdenOrigin Housing 2 Limited</t>
  </si>
  <si>
    <t>CamdenOrigin Housing Limited</t>
  </si>
  <si>
    <t>CamdenParagon Asra Housing Limited</t>
  </si>
  <si>
    <t>CamdenPeabody Trust</t>
  </si>
  <si>
    <t>CamdenPlaces for People Homes Limited</t>
  </si>
  <si>
    <t>CamdenSalvation Army Housing Association</t>
  </si>
  <si>
    <t>CamdenSanctuary Housing Association</t>
  </si>
  <si>
    <t>CamdenSapphire Independent Housing Limited</t>
  </si>
  <si>
    <t>CamdenSeven Dials Housing Co-operative Limited</t>
  </si>
  <si>
    <t>CamdenSoho Housing Association Limited</t>
  </si>
  <si>
    <t>CamdenSouth Camden Housing Co-operative Limited</t>
  </si>
  <si>
    <t>CamdenSouthern Housing</t>
  </si>
  <si>
    <t>CamdenSovereign Network Group</t>
  </si>
  <si>
    <t>CamdenSpringboard Two Housing Association Limited</t>
  </si>
  <si>
    <t>CamdenSt Christopher's Fellowship</t>
  </si>
  <si>
    <t>CamdenSt Mungo Community Housing Association</t>
  </si>
  <si>
    <t>CamdenTBG Open Door Limited</t>
  </si>
  <si>
    <t>CamdenThe Guinness Partnership Limited</t>
  </si>
  <si>
    <t>CamdenThe Industrial Dwellings Society (1885) Limited</t>
  </si>
  <si>
    <t>CamdenThe Riverside Group Limited</t>
  </si>
  <si>
    <t>CamdenWest Hampstead Housing Co-operative Limited</t>
  </si>
  <si>
    <t>CamdenWomen's Pioneer Housing Limited</t>
  </si>
  <si>
    <t>Cannock ChaseAdullam Homes Housing Association Limited</t>
  </si>
  <si>
    <t>Cannock ChaseAdvance Housing and Support Limited</t>
  </si>
  <si>
    <t>Cannock ChaseAmplius Living</t>
  </si>
  <si>
    <t>Cannock ChaseAnchor Hanover Group</t>
  </si>
  <si>
    <t>Cannock ChaseAspire Housing Limited</t>
  </si>
  <si>
    <t>Cannock ChaseBespoke Supportive Tenancies Ltd</t>
  </si>
  <si>
    <t>Cannock ChaseBluePine Living Ltd</t>
  </si>
  <si>
    <t>Cannock ChaseBromford Housing Association Limited</t>
  </si>
  <si>
    <t>Cannock ChaseCitizen Housing Group Limited</t>
  </si>
  <si>
    <t>Cannock ChaseClarion Housing Association Limited</t>
  </si>
  <si>
    <t>Cannock ChaseGreenSquareAccord Limited</t>
  </si>
  <si>
    <t>Cannock ChaseHeylo Housing Registered Provider Limited</t>
  </si>
  <si>
    <t>Cannock ChaseHomes Plus Limited</t>
  </si>
  <si>
    <t>Cannock ChaseHousing 21</t>
  </si>
  <si>
    <t>Cannock ChaseInclusion Housing Community Interest Company</t>
  </si>
  <si>
    <t>Cannock ChaseMasonic Housing Association</t>
  </si>
  <si>
    <t>Cannock ChaseMidland Heart Limited</t>
  </si>
  <si>
    <t>Cannock ChaseOrbit Group Limited</t>
  </si>
  <si>
    <t>Cannock ChaseOrbit Housing Association Limited</t>
  </si>
  <si>
    <t>Cannock ChasePlatform Housing Limited</t>
  </si>
  <si>
    <t>Cannock ChaseSage Homes RP Limited</t>
  </si>
  <si>
    <t>Cannock ChaseSanctuary Housing Association</t>
  </si>
  <si>
    <t>Cannock ChaseThe Birch, Samson and Littleton United Charities</t>
  </si>
  <si>
    <t>Cannock ChaseThe Hopkins and Sneyd Almshouse Charity</t>
  </si>
  <si>
    <t>Cannock ChaseThe Wrekin Housing Group Limited</t>
  </si>
  <si>
    <t>Cannock ChaseTrident Housing Association Limited</t>
  </si>
  <si>
    <t>Cannock ChaseWalsall Housing Group Limited</t>
  </si>
  <si>
    <t>CanterburyAdvance Housing and Support Limited</t>
  </si>
  <si>
    <t>CanterburyAnchor Hanover Group</t>
  </si>
  <si>
    <t>CanterburyCo-operative Development Society Limited</t>
  </si>
  <si>
    <t>CanterburyFalcon Housing Association C.I.C</t>
  </si>
  <si>
    <t>CanterburyFranklyn Housing Co-operative Limited</t>
  </si>
  <si>
    <t>CanterburyGolden Hill Housing Co-operative Limited</t>
  </si>
  <si>
    <t>CanterburyGolden Lane Housing Limited</t>
  </si>
  <si>
    <t>CanterburyGolding Homes Limited</t>
  </si>
  <si>
    <t>CanterburyHeylo Housing Registered Provider Limited</t>
  </si>
  <si>
    <t>CanterburyHilldale Housing Association Limited</t>
  </si>
  <si>
    <t>CanterburyHome Group Limited</t>
  </si>
  <si>
    <t>CanterburyHousing 21</t>
  </si>
  <si>
    <t>CanterburyHyde Housing Association Limited</t>
  </si>
  <si>
    <t>CanterburyInclusion Housing Community Interest Company</t>
  </si>
  <si>
    <t>CanterburyLondon &amp; Quadrant Housing Trust</t>
  </si>
  <si>
    <t>CanterburyM&amp;G UK Shared Ownership Limited</t>
  </si>
  <si>
    <t>CanterburyMoat Homes Limited</t>
  </si>
  <si>
    <t>CanterburyOrbit Group Limited</t>
  </si>
  <si>
    <t>CanterburyOrbit Housing Association Limited</t>
  </si>
  <si>
    <t>CanterburyPine Tree Housing Co-operative Limited</t>
  </si>
  <si>
    <t>CanterburyPlaces for People Homes Limited</t>
  </si>
  <si>
    <t>CanterburyPlaces for People Living+ Limited</t>
  </si>
  <si>
    <t>CanterburySanctuary Housing Association</t>
  </si>
  <si>
    <t>CanterburySouthern Housing</t>
  </si>
  <si>
    <t>CanterburySwan Housing Association Limited</t>
  </si>
  <si>
    <t>CanterburyThe Cooper and Adkinson Almshouse Charity</t>
  </si>
  <si>
    <t>CanterburyThe Riverside Group Limited</t>
  </si>
  <si>
    <t>CanterburyTown and Country Housing</t>
  </si>
  <si>
    <t>CanterburyWarwick Housing Co-operative Limited</t>
  </si>
  <si>
    <t>CanterburyWest Kent Housing Association</t>
  </si>
  <si>
    <t>CanterburyWestmoreland Supported Housing Limited</t>
  </si>
  <si>
    <t>Castle PointAdvance Housing and Support Limited</t>
  </si>
  <si>
    <t>Castle PointAnchor Hanover Group</t>
  </si>
  <si>
    <t>Castle PointChelmer Housing Partnership Limited</t>
  </si>
  <si>
    <t>Castle PointEstuary Housing Association Limited</t>
  </si>
  <si>
    <t>Castle PointHome Group Limited</t>
  </si>
  <si>
    <t>Castle PointInclusion Housing Community Interest Company</t>
  </si>
  <si>
    <t>Castle PointLocal Space</t>
  </si>
  <si>
    <t>Castle PointLondon &amp; Quadrant Housing Trust</t>
  </si>
  <si>
    <t>Castle PointMoat Homes Limited</t>
  </si>
  <si>
    <t>Castle PointNACRO</t>
  </si>
  <si>
    <t>Castle PointNotting Hill Genesis</t>
  </si>
  <si>
    <t>Castle PointNotting Hill Home Ownership Limited</t>
  </si>
  <si>
    <t>Castle PointOrbit Group Limited</t>
  </si>
  <si>
    <t>Castle PointOrigin Housing Limited</t>
  </si>
  <si>
    <t>Castle PointOutreach Housing Limited</t>
  </si>
  <si>
    <t>Castle PointPeabody Trust</t>
  </si>
  <si>
    <t>Castle PointPlaces for People Homes Limited</t>
  </si>
  <si>
    <t>Castle PointSaffron Housing Trust Limited</t>
  </si>
  <si>
    <t>Castle PointSouthern Housing</t>
  </si>
  <si>
    <t>Castle PointSwan Housing Association Limited</t>
  </si>
  <si>
    <t>Castle PointThe Abbeyfield Canvey Island Society Limited</t>
  </si>
  <si>
    <t>Castle PointThe Industrial Dwellings Society (1885) Limited</t>
  </si>
  <si>
    <t>Castle PointThe Papworth Trust</t>
  </si>
  <si>
    <t>Castle PointThe Riverside Group Limited</t>
  </si>
  <si>
    <t>Central BedfordshireAccent Housing Limited</t>
  </si>
  <si>
    <t>Central BedfordshireAdvance Housing and Support Limited</t>
  </si>
  <si>
    <t>Central BedfordshireAmplius Living</t>
  </si>
  <si>
    <t>Central BedfordshireAnchor Hanover Group</t>
  </si>
  <si>
    <t>Central BedfordshireClarion Housing Association Limited</t>
  </si>
  <si>
    <t>Central BedfordshireCross Keys Homes Limited</t>
  </si>
  <si>
    <t>Central BedfordshireDimensions (UK) Limited</t>
  </si>
  <si>
    <t>Central BedfordshireFairhive Homes Limited</t>
  </si>
  <si>
    <t>Central BedfordshireFirst Garden Cities Homes Limited</t>
  </si>
  <si>
    <t>Central BedfordshireGolden Lane Housing Limited</t>
  </si>
  <si>
    <t>Central BedfordshireHabinteg Housing Association Limited</t>
  </si>
  <si>
    <t>Central BedfordshireHeylo Housing Registered Provider Limited</t>
  </si>
  <si>
    <t>Central BedfordshireHightown Housing Association Limited</t>
  </si>
  <si>
    <t>Central BedfordshireHome Group Limited</t>
  </si>
  <si>
    <t>Central BedfordshireHousing 21</t>
  </si>
  <si>
    <t>Central BedfordshireInclusion Housing Community Interest Company</t>
  </si>
  <si>
    <t>Central BedfordshireLangley House Trust</t>
  </si>
  <si>
    <t>Central BedfordshireLegal &amp; General Affordable Homes Limited</t>
  </si>
  <si>
    <t>Central BedfordshireLondon &amp; Quadrant Housing Trust</t>
  </si>
  <si>
    <t>Central BedfordshireLuton Community Housing Limited</t>
  </si>
  <si>
    <t>Central BedfordshireNotting Hill Home Ownership Limited</t>
  </si>
  <si>
    <t>Central BedfordshireOrbit Group Limited</t>
  </si>
  <si>
    <t>Central BedfordshireOrbit Housing Association Limited</t>
  </si>
  <si>
    <t>Central BedfordshireParadigm Homes Charitable Housing Association Limited</t>
  </si>
  <si>
    <t>Central BedfordshirePeabody Trust</t>
  </si>
  <si>
    <t>Central BedfordshirePlaces for People Homes Limited</t>
  </si>
  <si>
    <t>Central BedfordshirePlaces for People Living+ Limited</t>
  </si>
  <si>
    <t>Central BedfordshireReside Housing Association Limited</t>
  </si>
  <si>
    <t>Central BedfordshireSage Homes RP Limited</t>
  </si>
  <si>
    <t>Central BedfordshireSage Rented Limited</t>
  </si>
  <si>
    <t>Central BedfordshireSettle Group</t>
  </si>
  <si>
    <t>Central BedfordshireSimply Affordable Homes RP Limited</t>
  </si>
  <si>
    <t>Central BedfordshireSovereign Network Group</t>
  </si>
  <si>
    <t>Central BedfordshireSparrow Shared Ownership Limited</t>
  </si>
  <si>
    <t>Central BedfordshireStonewater (5) Limited</t>
  </si>
  <si>
    <t>Central BedfordshireStonewater Limited</t>
  </si>
  <si>
    <t>Central BedfordshireTBG Open Door Limited</t>
  </si>
  <si>
    <t>Central BedfordshireThe Guinness Partnership Limited</t>
  </si>
  <si>
    <t>Central BedfordshireThe Riverside Group Limited</t>
  </si>
  <si>
    <t>Central BedfordshireThrive Homes Limited</t>
  </si>
  <si>
    <t>Central BedfordshireToddington United Almshouse Charities</t>
  </si>
  <si>
    <t>Central Bedfordshirebpha Limited</t>
  </si>
  <si>
    <t>CharnwoodAdullam Homes Housing Association Limited</t>
  </si>
  <si>
    <t>CharnwoodAdvance Housing and Support Limited</t>
  </si>
  <si>
    <t>CharnwoodAmplius Living</t>
  </si>
  <si>
    <t>CharnwoodAnchor Hanover Group</t>
  </si>
  <si>
    <t>CharnwoodBlue Square Residential Ltd</t>
  </si>
  <si>
    <t>CharnwoodEMH Housing and Regeneration Limited</t>
  </si>
  <si>
    <t>CharnwoodEmpower Housing Association Limited</t>
  </si>
  <si>
    <t>CharnwoodEncircle Housing</t>
  </si>
  <si>
    <t>CharnwoodFalcon Housing Association C.I.C</t>
  </si>
  <si>
    <t>CharnwoodGolden Lane Housing Limited</t>
  </si>
  <si>
    <t>CharnwoodGreat Places Housing Association</t>
  </si>
  <si>
    <t>CharnwoodHalo Housing Association Limited</t>
  </si>
  <si>
    <t>CharnwoodHeylo Housing Registered Provider Limited</t>
  </si>
  <si>
    <t>CharnwoodHousing 21</t>
  </si>
  <si>
    <t>CharnwoodInclusion Housing Community Interest Company</t>
  </si>
  <si>
    <t>CharnwoodM&amp;G UK Shared Ownership Limited</t>
  </si>
  <si>
    <t>CharnwoodMetropolitan Housing Trust Limited</t>
  </si>
  <si>
    <t>CharnwoodMidland Heart Limited</t>
  </si>
  <si>
    <t>CharnwoodNottingham Community Housing Association Limited</t>
  </si>
  <si>
    <t>CharnwoodParagon Asra Housing Limited</t>
  </si>
  <si>
    <t>CharnwoodPlaces for People Homes Limited</t>
  </si>
  <si>
    <t>CharnwoodPlaces for People Living+ Limited</t>
  </si>
  <si>
    <t>CharnwoodPlatform Housing Limited</t>
  </si>
  <si>
    <t>CharnwoodProgress Housing Association Limited</t>
  </si>
  <si>
    <t>CharnwoodReside Housing Association Limited</t>
  </si>
  <si>
    <t>CharnwoodSage Rented Limited</t>
  </si>
  <si>
    <t>CharnwoodSparrow Shared Ownership Limited</t>
  </si>
  <si>
    <t>CharnwoodStonewater (5) Limited</t>
  </si>
  <si>
    <t>CharnwoodStonewater Limited</t>
  </si>
  <si>
    <t>CharnwoodThe Abbeyfield Society</t>
  </si>
  <si>
    <t>CharnwoodThe Charity of Hannah Clarke for Almshouses</t>
  </si>
  <si>
    <t>CharnwoodThe Exaireo Trust Ltd</t>
  </si>
  <si>
    <t>CharnwoodThe Riverside Group Limited</t>
  </si>
  <si>
    <t>CharnwoodTrinity Housing Association Limited</t>
  </si>
  <si>
    <t>CharnwoodTuntum Housing Association Limited</t>
  </si>
  <si>
    <t>ChelmsfordAdvance Housing and Support Limited</t>
  </si>
  <si>
    <t>ChelmsfordBlackburn YMCA</t>
  </si>
  <si>
    <t>ChelmsfordChelmer Housing Partnership Limited</t>
  </si>
  <si>
    <t>ChelmsfordClarion Housing Association Limited</t>
  </si>
  <si>
    <t>ChelmsfordEastlight Community Homes Limited</t>
  </si>
  <si>
    <t>ChelmsfordEnglish Rural Housing Association Limited</t>
  </si>
  <si>
    <t>ChelmsfordEstuary Housing Association Limited</t>
  </si>
  <si>
    <t>ChelmsfordGolden Lane Housing Limited</t>
  </si>
  <si>
    <t>ChelmsfordHabinteg Housing Association Limited</t>
  </si>
  <si>
    <t>ChelmsfordHastoe Housing Association Limited</t>
  </si>
  <si>
    <t>ChelmsfordHeylo Housing Registered Provider Limited</t>
  </si>
  <si>
    <t>ChelmsfordHilldale Housing Association Limited</t>
  </si>
  <si>
    <t>ChelmsfordHome Group Limited</t>
  </si>
  <si>
    <t>ChelmsfordLegal &amp; General Affordable Homes (AR) LLP</t>
  </si>
  <si>
    <t>ChelmsfordLegal &amp; General Affordable Homes Limited</t>
  </si>
  <si>
    <t>ChelmsfordLondon &amp; Quadrant Housing Trust</t>
  </si>
  <si>
    <t>ChelmsfordM&amp;G UK Shared Ownership Limited</t>
  </si>
  <si>
    <t>ChelmsfordMasonic Housing Association</t>
  </si>
  <si>
    <t>ChelmsfordMetropolitan Housing Trust Limited</t>
  </si>
  <si>
    <t>ChelmsfordMoat Homes Limited</t>
  </si>
  <si>
    <t>ChelmsfordNACRO</t>
  </si>
  <si>
    <t>ChelmsfordNotting Hill Genesis</t>
  </si>
  <si>
    <t>ChelmsfordNotting Hill Home Ownership Limited</t>
  </si>
  <si>
    <t>ChelmsfordOrbit Group Limited</t>
  </si>
  <si>
    <t>ChelmsfordOrigin Housing Limited</t>
  </si>
  <si>
    <t>ChelmsfordPeabody Trust</t>
  </si>
  <si>
    <t>ChelmsfordSaffron Housing Trust Limited</t>
  </si>
  <si>
    <t>ChelmsfordSage Homes RP Limited</t>
  </si>
  <si>
    <t>ChelmsfordSage Rented Limited</t>
  </si>
  <si>
    <t>ChelmsfordSanctuary Housing Association</t>
  </si>
  <si>
    <t>ChelmsfordSparrow Shared Ownership Limited</t>
  </si>
  <si>
    <t>ChelmsfordSwan Housing Association Limited</t>
  </si>
  <si>
    <t>ChelmsfordThe Guinness Partnership Limited</t>
  </si>
  <si>
    <t>ChelmsfordThe John Henry Keene Memorial Homes</t>
  </si>
  <si>
    <t>CheltenhamAbbeyfield Wessex Society Limited</t>
  </si>
  <si>
    <t>CheltenhamAdvance Housing and Support Limited</t>
  </si>
  <si>
    <t>CheltenhamAnchor Hanover Group</t>
  </si>
  <si>
    <t>CheltenhamAuckland Home Solutions CIC</t>
  </si>
  <si>
    <t>CheltenhamBespoke Supportive Tenancies Ltd</t>
  </si>
  <si>
    <t>CheltenhamBromford Housing Association Limited</t>
  </si>
  <si>
    <t>CheltenhamBucklehaven</t>
  </si>
  <si>
    <t>CheltenhamCheltenham Borough Homes Limited</t>
  </si>
  <si>
    <t>CheltenhamCheltenham Young Men's Christian Association</t>
  </si>
  <si>
    <t>CheltenhamCottsway Housing Association Limited</t>
  </si>
  <si>
    <t>CheltenhamElim Housing Association Limited</t>
  </si>
  <si>
    <t>CheltenhamFirst Priority Housing Association Limited</t>
  </si>
  <si>
    <t>CheltenhamGloucester City Homes Limited</t>
  </si>
  <si>
    <t>CheltenhamGreenSquareAccord Limited</t>
  </si>
  <si>
    <t>CheltenhamHeylo Housing Registered Provider Limited</t>
  </si>
  <si>
    <t>CheltenhamHilldale Housing Association Limited</t>
  </si>
  <si>
    <t>CheltenhamHome Group Limited</t>
  </si>
  <si>
    <t>CheltenhamHousing 21</t>
  </si>
  <si>
    <t>CheltenhamLangley House Trust</t>
  </si>
  <si>
    <t>CheltenhamLiveWest Homes Limited</t>
  </si>
  <si>
    <t>CheltenhamMerlin Housing Society Limited</t>
  </si>
  <si>
    <t>CheltenhamPlatform Housing Limited</t>
  </si>
  <si>
    <t>CheltenhamRooftop Housing Association Limited</t>
  </si>
  <si>
    <t>CheltenhamSage Homes RP Limited</t>
  </si>
  <si>
    <t>CheltenhamSalvation Army Housing Association</t>
  </si>
  <si>
    <t>CheltenhamSanctuary Affordable Housing Limited</t>
  </si>
  <si>
    <t>CheltenhamSanctuary Housing Association</t>
  </si>
  <si>
    <t>CheltenhamSovereign Network Group</t>
  </si>
  <si>
    <t>CheltenhamSparrow Shared Ownership Limited</t>
  </si>
  <si>
    <t>CheltenhamThe Guinness Partnership Limited</t>
  </si>
  <si>
    <t>CheltenhamThe Riverside Group Limited</t>
  </si>
  <si>
    <t>CherwellA2Dominion Homes Limited</t>
  </si>
  <si>
    <t>CherwellA2Dominion South Limited</t>
  </si>
  <si>
    <t>CherwellAbility Housing Association</t>
  </si>
  <si>
    <t>CherwellAdvance Housing and Support Limited</t>
  </si>
  <si>
    <t>CherwellAmplius Living</t>
  </si>
  <si>
    <t>CherwellAnchor Hanover Group</t>
  </si>
  <si>
    <t>CherwellBromford Home Ownership Limited</t>
  </si>
  <si>
    <t>CherwellBromford Housing Association Limited</t>
  </si>
  <si>
    <t>CherwellChrysalis Supported Association Limited</t>
  </si>
  <si>
    <t>CherwellClarion Housing Association Limited</t>
  </si>
  <si>
    <t>CherwellEnglish Rural Housing Association Limited</t>
  </si>
  <si>
    <t>CherwellFairhive Homes Limited</t>
  </si>
  <si>
    <t>CherwellGolden Lane Housing Limited</t>
  </si>
  <si>
    <t>CherwellGreenSquareAccord Limited</t>
  </si>
  <si>
    <t>CherwellHeylo Housing Registered Provider Limited</t>
  </si>
  <si>
    <t>CherwellHome Group Limited</t>
  </si>
  <si>
    <t>CherwellHousing 21</t>
  </si>
  <si>
    <t>CherwellInclusion Housing Community Interest Company</t>
  </si>
  <si>
    <t>CherwellM&amp;G UK Shared Ownership Limited</t>
  </si>
  <si>
    <t>CherwellMethodist Homes Housing Association Limited</t>
  </si>
  <si>
    <t>CherwellMoat Homes Limited</t>
  </si>
  <si>
    <t>CherwellNewarch Homes Limited</t>
  </si>
  <si>
    <t>CherwellOrbit Group Limited</t>
  </si>
  <si>
    <t>CherwellOrbit Housing Association Limited</t>
  </si>
  <si>
    <t>CherwellParadigm Homes Charitable Housing Association Limited</t>
  </si>
  <si>
    <t>CherwellPeabody Trust</t>
  </si>
  <si>
    <t>CherwellPlaces for People Homes Limited</t>
  </si>
  <si>
    <t>CherwellPlatform Housing Limited</t>
  </si>
  <si>
    <t>CherwellSage Homes RP Limited</t>
  </si>
  <si>
    <t>CherwellSage Rented Limited</t>
  </si>
  <si>
    <t>CherwellSanctuary Affordable Housing Limited</t>
  </si>
  <si>
    <t>CherwellSanctuary Housing Association</t>
  </si>
  <si>
    <t>CherwellSimply Affordable Homes RP Limited</t>
  </si>
  <si>
    <t>CherwellSoha Housing Limited</t>
  </si>
  <si>
    <t>CherwellSovereign Network Group</t>
  </si>
  <si>
    <t>CherwellSparrow Shared Ownership Limited</t>
  </si>
  <si>
    <t>CherwellStonewater (5) Limited</t>
  </si>
  <si>
    <t>CherwellStonewater Limited</t>
  </si>
  <si>
    <t>CherwellSynergy Housing Limited</t>
  </si>
  <si>
    <t>CherwellThe Guinness Partnership Limited</t>
  </si>
  <si>
    <t>CherwellThrive Homes Limited</t>
  </si>
  <si>
    <t>CherwellVivere Living Limited</t>
  </si>
  <si>
    <t>Cherwellbpha Limited</t>
  </si>
  <si>
    <t>Cheshire EastAdullam Homes Housing Association Limited</t>
  </si>
  <si>
    <t>Cheshire EastAlpha (R.S.L.) Limited</t>
  </si>
  <si>
    <t>Cheshire EastAnchor Hanover Group</t>
  </si>
  <si>
    <t>Cheshire EastArpeggio Properties Limited</t>
  </si>
  <si>
    <t>Cheshire EastAspire Housing Limited</t>
  </si>
  <si>
    <t>Cheshire EastAuckland Home Solutions CIC</t>
  </si>
  <si>
    <t>Cheshire EastBespoke Supportive Tenancies Ltd</t>
  </si>
  <si>
    <t>Cheshire EastBlue Square Residential Ltd</t>
  </si>
  <si>
    <t>Cheshire EastBolton at Home Limited</t>
  </si>
  <si>
    <t>Cheshire EastCharity of Marjorie Hurst</t>
  </si>
  <si>
    <t>Cheshire EastCharity of Sarah Jane Wood &amp; Mary A Garnett</t>
  </si>
  <si>
    <t>Cheshire EastCheshire Peaks &amp; Plains Housing Trust Limited</t>
  </si>
  <si>
    <t>Cheshire EastClarion Housing Association Limited</t>
  </si>
  <si>
    <t>Cheshire EastEncircle Housing</t>
  </si>
  <si>
    <t>Cheshire EastFence Trust</t>
  </si>
  <si>
    <t>Cheshire EastGreat Places Housing Association</t>
  </si>
  <si>
    <t>Cheshire EastHalo Housing Association Limited</t>
  </si>
  <si>
    <t>Cheshire EastHalton Housing</t>
  </si>
  <si>
    <t>Cheshire EastHeylo Housing Registered Provider Limited</t>
  </si>
  <si>
    <t>Cheshire EastHilldale Housing Association Limited</t>
  </si>
  <si>
    <t>Cheshire EastHoneycomb Group Limited</t>
  </si>
  <si>
    <t>Cheshire EastInclusion Housing Community Interest Company</t>
  </si>
  <si>
    <t>Cheshire EastJigsaw Homes North</t>
  </si>
  <si>
    <t>Cheshire EastLegal &amp; General Affordable Homes (AR) LLP</t>
  </si>
  <si>
    <t>Cheshire EastLegal &amp; General Affordable Homes Limited</t>
  </si>
  <si>
    <t>Cheshire EastLets for Life</t>
  </si>
  <si>
    <t>Cheshire EastLondon &amp; Quadrant Housing Trust</t>
  </si>
  <si>
    <t>Cheshire EastM&amp;G UK Shared Ownership Limited</t>
  </si>
  <si>
    <t>Cheshire EastMagenta Living</t>
  </si>
  <si>
    <t>Cheshire EastMosscare St. Vincent's Housing Group Limited</t>
  </si>
  <si>
    <t>Cheshire EastMuir Group Housing Association Limited</t>
  </si>
  <si>
    <t>Cheshire EastOne Vision Housing Limited</t>
  </si>
  <si>
    <t>Cheshire EastOnward Homes Limited</t>
  </si>
  <si>
    <t>Cheshire EastPartners Foundation Limited</t>
  </si>
  <si>
    <t>Cheshire EastPlaces for People Homes Limited</t>
  </si>
  <si>
    <t>Cheshire EastPlaces for People Living+ Limited</t>
  </si>
  <si>
    <t>Cheshire EastPlatform Housing Limited</t>
  </si>
  <si>
    <t>Cheshire EastPlexus UK (First Project) Limited</t>
  </si>
  <si>
    <t>Cheshire EastPlus Dane Housing Limited</t>
  </si>
  <si>
    <t>Cheshire EastProgress Housing Association Limited</t>
  </si>
  <si>
    <t>Cheshire EastRegenda Limited</t>
  </si>
  <si>
    <t>Cheshire EastReside Housing Association Limited</t>
  </si>
  <si>
    <t>Cheshire EastSage Homes RP Limited</t>
  </si>
  <si>
    <t>Cheshire EastSage Rented Limited</t>
  </si>
  <si>
    <t>Cheshire EastSanctuary Affordable Housing Limited</t>
  </si>
  <si>
    <t>Cheshire EastSanctuary Housing Association</t>
  </si>
  <si>
    <t>Cheshire EastSandbach Almshouse Charity</t>
  </si>
  <si>
    <t>Cheshire EastSouthway Housing Trust (Manchester) Limited</t>
  </si>
  <si>
    <t>Cheshire EastSparrow Shared Ownership Limited</t>
  </si>
  <si>
    <t>Cheshire EastStanley and Brocklehurst Almshouses</t>
  </si>
  <si>
    <t>Cheshire EastSunny Vale Supported Accommodation Limited</t>
  </si>
  <si>
    <t>Cheshire EastThe Guinness Partnership Limited</t>
  </si>
  <si>
    <t>Cheshire EastThe Poynton-with-Worth Almshouse Charity</t>
  </si>
  <si>
    <t>Cheshire EastThe Riverside Group Limited</t>
  </si>
  <si>
    <t>Cheshire EastTorus62 Limited</t>
  </si>
  <si>
    <t>Cheshire EastWeaver Vale Housing Trust Limited</t>
  </si>
  <si>
    <t>Cheshire EastWythenshawe Community Housing Group Limited</t>
  </si>
  <si>
    <t>Cheshire EastYMCA Cheshire Limited</t>
  </si>
  <si>
    <t>Cheshire EastYour Housing Limited</t>
  </si>
  <si>
    <t>Cheshire West and ChesterAlpha (R.S.L.) Limited</t>
  </si>
  <si>
    <t>Cheshire West and ChesterAnchor Hanover Group</t>
  </si>
  <si>
    <t>Cheshire West and ChesterAspire Housing Limited</t>
  </si>
  <si>
    <t>Cheshire West and ChesterAuckland Home Solutions CIC</t>
  </si>
  <si>
    <t>Cheshire West and ChesterBespoke Supportive Tenancies Ltd</t>
  </si>
  <si>
    <t>Cheshire West and ChesterBirkenhead Forum Housing Association Limited</t>
  </si>
  <si>
    <t>Cheshire West and ChesterCheshire Peaks &amp; Plains Housing Trust Limited</t>
  </si>
  <si>
    <t>Cheshire West and ChesterClarion Housing Association Limited</t>
  </si>
  <si>
    <t>Cheshire West and ChesterEmpower Housing Association Limited</t>
  </si>
  <si>
    <t>Cheshire West and ChesterEncircle Housing</t>
  </si>
  <si>
    <t>Cheshire West and ChesterEnglish Rural Housing Association Limited</t>
  </si>
  <si>
    <t>Cheshire West and ChesterFirst Priority Housing Association Limited</t>
  </si>
  <si>
    <t>Cheshire West and ChesterForHousing Limited</t>
  </si>
  <si>
    <t>Cheshire West and ChesterFrontis Homes Limited</t>
  </si>
  <si>
    <t>Cheshire West and ChesterGolden Lane Housing Limited</t>
  </si>
  <si>
    <t>Cheshire West and ChesterGreat Places Housing Association</t>
  </si>
  <si>
    <t>Cheshire West and ChesterGrosvenor Hart Homes Limited</t>
  </si>
  <si>
    <t>Cheshire West and ChesterHalo Housing Association Limited</t>
  </si>
  <si>
    <t>Cheshire West and ChesterHalton Housing</t>
  </si>
  <si>
    <t>Cheshire West and ChesterHeylo Housing Registered Provider Limited</t>
  </si>
  <si>
    <t>Cheshire West and ChesterHilldale Housing Association Limited</t>
  </si>
  <si>
    <t>Cheshire West and ChesterHome Group Limited</t>
  </si>
  <si>
    <t>Cheshire West and ChesterHousing 21</t>
  </si>
  <si>
    <t>Cheshire West and ChesterInclusion Housing Community Interest Company</t>
  </si>
  <si>
    <t>Cheshire West and ChesterJigsaw Homes North</t>
  </si>
  <si>
    <t>Cheshire West and ChesterLets for Life</t>
  </si>
  <si>
    <t>Cheshire West and ChesterLondon &amp; Quadrant Housing Trust</t>
  </si>
  <si>
    <t>Cheshire West and ChesterMagenta Living</t>
  </si>
  <si>
    <t>Cheshire West and ChesterMuir Group Housing Association Limited</t>
  </si>
  <si>
    <t>Cheshire West and ChesterOne Vision Housing Limited</t>
  </si>
  <si>
    <t>Cheshire West and ChesterOnward Homes Limited</t>
  </si>
  <si>
    <t>Cheshire West and ChesterPlaces for People Homes Limited</t>
  </si>
  <si>
    <t>Cheshire West and ChesterPlaces for People Living+ Limited</t>
  </si>
  <si>
    <t>Cheshire West and ChesterPlexus UK (First Project) Limited</t>
  </si>
  <si>
    <t>Cheshire West and ChesterPlus Dane Housing Limited</t>
  </si>
  <si>
    <t>Cheshire West and ChesterProgress Housing Association Limited</t>
  </si>
  <si>
    <t>Cheshire West and ChesterRegenda Limited</t>
  </si>
  <si>
    <t>Cheshire West and ChesterReside Housing Association Limited</t>
  </si>
  <si>
    <t>Cheshire West and ChesterSage Homes RP Limited</t>
  </si>
  <si>
    <t>Cheshire West and ChesterSage Rented Limited</t>
  </si>
  <si>
    <t>Cheshire West and ChesterSanctuary Affordable Housing Limited</t>
  </si>
  <si>
    <t>Cheshire West and ChesterSanctuary Housing Association</t>
  </si>
  <si>
    <t>Cheshire West and ChesterSouth Cheshire Housing Society Limited</t>
  </si>
  <si>
    <t>Cheshire West and ChesterSparrow Shared Ownership Limited</t>
  </si>
  <si>
    <t>Cheshire West and ChesterThe Abbeyfield Chester Society Limited</t>
  </si>
  <si>
    <t>Cheshire West and ChesterThe Abbeyfield Ellesmere Port Society Limited</t>
  </si>
  <si>
    <t>Cheshire West and ChesterThe Guinness Partnership Limited</t>
  </si>
  <si>
    <t>Cheshire West and ChesterThe Riverside Group Limited</t>
  </si>
  <si>
    <t>Cheshire West and ChesterTorus62 Limited</t>
  </si>
  <si>
    <t>Cheshire West and ChesterWaythrough</t>
  </si>
  <si>
    <t>Cheshire West and ChesterWeaver Vale Housing Trust Limited</t>
  </si>
  <si>
    <t>Cheshire West and ChesterWirral Methodist Housing Association Limited</t>
  </si>
  <si>
    <t>Cheshire West and ChesterYour Housing Limited</t>
  </si>
  <si>
    <t>ChesterfieldAction Housing and Support Limited</t>
  </si>
  <si>
    <t>ChesterfieldAdullam Homes Housing Association Limited</t>
  </si>
  <si>
    <t>ChesterfieldAdvance Housing and Support Limited</t>
  </si>
  <si>
    <t>ChesterfieldAlliance Housing Association (South Yorkshire) Limited</t>
  </si>
  <si>
    <t>ChesterfieldAnchor Hanover Group</t>
  </si>
  <si>
    <t>ChesterfieldArches Housing Limited</t>
  </si>
  <si>
    <t>ChesterfieldChesterfield Churches Housing Association Limited</t>
  </si>
  <si>
    <t>ChesterfieldEMH Housing and Regeneration Limited</t>
  </si>
  <si>
    <t>ChesterfieldEmpower Housing Association Limited</t>
  </si>
  <si>
    <t>ChesterfieldEncircle Housing</t>
  </si>
  <si>
    <t>ChesterfieldFalcon Housing Association C.I.C</t>
  </si>
  <si>
    <t>ChesterfieldFramework Housing Association</t>
  </si>
  <si>
    <t>ChesterfieldGolden Lane Housing Limited</t>
  </si>
  <si>
    <t>ChesterfieldGreat Places Housing Association</t>
  </si>
  <si>
    <t>ChesterfieldHabinteg Housing Association Limited</t>
  </si>
  <si>
    <t>ChesterfieldHalo Housing Association Limited</t>
  </si>
  <si>
    <t>ChesterfieldHeylo Housing Registered Provider Limited</t>
  </si>
  <si>
    <t>ChesterfieldHome Group Limited</t>
  </si>
  <si>
    <t>ChesterfieldHousing 21</t>
  </si>
  <si>
    <t>ChesterfieldInclusion Housing Community Interest Company</t>
  </si>
  <si>
    <t>ChesterfieldM&amp;G UK Shared Ownership Limited</t>
  </si>
  <si>
    <t>ChesterfieldMetropolitan Housing Trust Limited</t>
  </si>
  <si>
    <t>ChesterfieldNottingham Community Housing Association Limited</t>
  </si>
  <si>
    <t>ChesterfieldPlaces for People Homes Limited</t>
  </si>
  <si>
    <t>ChesterfieldPlaces for People Living+ Limited</t>
  </si>
  <si>
    <t>ChesterfieldProgress Housing Association Limited</t>
  </si>
  <si>
    <t>ChesterfieldReside Housing Association Limited</t>
  </si>
  <si>
    <t>ChesterfieldSage Homes RP Limited</t>
  </si>
  <si>
    <t>ChesterfieldSage Rented Limited</t>
  </si>
  <si>
    <t>ChesterfieldSalvation Army Housing Association</t>
  </si>
  <si>
    <t>ChesterfieldSanctuary Affordable Housing Limited</t>
  </si>
  <si>
    <t>ChesterfieldSanctuary Housing Association</t>
  </si>
  <si>
    <t>ChesterfieldSouth Yorkshire Housing Association Limited</t>
  </si>
  <si>
    <t>ChesterfieldSparrow Shared Ownership Limited</t>
  </si>
  <si>
    <t>ChesterfieldThe Guinness Partnership Limited</t>
  </si>
  <si>
    <t>ChesterfieldTogether Housing Association Limited</t>
  </si>
  <si>
    <t>ChesterfieldWindrush Alliance UK Community Interest Company</t>
  </si>
  <si>
    <t>ChichesterA2Dominion Homes Limited</t>
  </si>
  <si>
    <t>ChichesterA2Dominion South Limited</t>
  </si>
  <si>
    <t>ChichesterAbri Group Limited</t>
  </si>
  <si>
    <t>ChichesterAdvance Housing and Support Limited</t>
  </si>
  <si>
    <t>ChichesterAnchor Hanover Group</t>
  </si>
  <si>
    <t>ChichesterAster 3 Limited</t>
  </si>
  <si>
    <t>ChichesterAster Communities</t>
  </si>
  <si>
    <t>ChichesterAuckland Home Solutions CIC</t>
  </si>
  <si>
    <t>ChichesterChichester Greyfriars Housing Association Limited</t>
  </si>
  <si>
    <t>ChichesterClarion Housing Association Limited</t>
  </si>
  <si>
    <t>ChichesterGolden Lane Housing Limited</t>
  </si>
  <si>
    <t>ChichesterHastoe Housing Association Limited</t>
  </si>
  <si>
    <t>ChichesterHeylo Housing Registered Provider Limited</t>
  </si>
  <si>
    <t>ChichesterHome Group Limited</t>
  </si>
  <si>
    <t>ChichesterHyde Housing Association Limited</t>
  </si>
  <si>
    <t>ChichesterInclusion Housing Community Interest Company</t>
  </si>
  <si>
    <t>ChichesterLegal &amp; General Affordable Homes Limited</t>
  </si>
  <si>
    <t>ChichesterM&amp;G UK Shared Ownership Limited</t>
  </si>
  <si>
    <t>ChichesterMartlet Homes Limited</t>
  </si>
  <si>
    <t>ChichesterMetropolitan Housing Trust Limited</t>
  </si>
  <si>
    <t>ChichesterMoat Homes Limited</t>
  </si>
  <si>
    <t>ChichesterNorthchapel, Petworth and Tillington Almshouses</t>
  </si>
  <si>
    <t>ChichesterNotting Hill Home Ownership Limited</t>
  </si>
  <si>
    <t>ChichesterPHA Homes Ltd</t>
  </si>
  <si>
    <t>ChichesterPlaces for People Homes Limited</t>
  </si>
  <si>
    <t>ChichesterPlaces for People Living+ Limited</t>
  </si>
  <si>
    <t>ChichesterSage Homes RP Limited</t>
  </si>
  <si>
    <t>ChichesterSage Rented Limited</t>
  </si>
  <si>
    <t>ChichesterSouthdown Housing Association Limited</t>
  </si>
  <si>
    <t>ChichesterSouthern Housing</t>
  </si>
  <si>
    <t>ChichesterSovereign Network Group</t>
  </si>
  <si>
    <t>ChichesterSparrow Shared Ownership Limited</t>
  </si>
  <si>
    <t>ChichesterSt Richard of Chichester Christian Care Association Ltd</t>
  </si>
  <si>
    <t>ChichesterStonewater (5) Limited</t>
  </si>
  <si>
    <t>ChichesterStonewater Limited</t>
  </si>
  <si>
    <t>ChichesterSynergy Housing Limited</t>
  </si>
  <si>
    <t>ChichesterThe Guinness Partnership Limited</t>
  </si>
  <si>
    <t>ChichesterThe Swaythling Housing Society Limited</t>
  </si>
  <si>
    <t>ChichesterVivid Housing Limited</t>
  </si>
  <si>
    <t>ChichesterWorthing Homes Limited</t>
  </si>
  <si>
    <t>ChorleyAccent Housing Limited</t>
  </si>
  <si>
    <t>ChorleyAnchor Hanover Group</t>
  </si>
  <si>
    <t>ChorleyArpeggio Properties Limited</t>
  </si>
  <si>
    <t>ChorleyAssured Living Housing Association Limited</t>
  </si>
  <si>
    <t>ChorleyBolton at Home Limited</t>
  </si>
  <si>
    <t>ChorleyCare Housing Association Limited</t>
  </si>
  <si>
    <t>ChorleyCommunity Gateway Association Limited</t>
  </si>
  <si>
    <t>ChorleyCreative Support Limited</t>
  </si>
  <si>
    <t>ChorleyEmpower Housing Association Limited</t>
  </si>
  <si>
    <t>ChorleyEncircle Housing</t>
  </si>
  <si>
    <t>ChorleyFrances Darlington Charity</t>
  </si>
  <si>
    <t>ChorleyFrontis Homes Limited</t>
  </si>
  <si>
    <t>ChorleyGreat Places Housing Association</t>
  </si>
  <si>
    <t>ChorleyHalo Housing Association Limited</t>
  </si>
  <si>
    <t>ChorleyHarbour Light Assisted Living CIC</t>
  </si>
  <si>
    <t>ChorleyHome Group Limited</t>
  </si>
  <si>
    <t>ChorleyJigsaw Homes North</t>
  </si>
  <si>
    <t>ChorleyLondon &amp; Quadrant Housing Trust</t>
  </si>
  <si>
    <t>ChorleyNew Foundations Housing Association Limited</t>
  </si>
  <si>
    <t>ChorleyOne Vision Housing Limited</t>
  </si>
  <si>
    <t>ChorleyOnward Homes Limited</t>
  </si>
  <si>
    <t>ChorleyPlaces for People Homes Limited</t>
  </si>
  <si>
    <t>ChorleyPlaces for People Living+ Limited</t>
  </si>
  <si>
    <t>ChorleyPlexus UK (First Project) Limited</t>
  </si>
  <si>
    <t>ChorleyProgress Housing Association Limited</t>
  </si>
  <si>
    <t>ChorleyRegenda Limited</t>
  </si>
  <si>
    <t>ChorleySanctuary Affordable Housing Limited</t>
  </si>
  <si>
    <t>ChorleyThe Guinness Partnership Limited</t>
  </si>
  <si>
    <t>ChorleyTogether Housing Association Limited</t>
  </si>
  <si>
    <t>ChorleyYour Housing Limited</t>
  </si>
  <si>
    <t>City of LondonAnchor Hanover Group</t>
  </si>
  <si>
    <t>City of LondonSt Mungo Community Housing Association</t>
  </si>
  <si>
    <t>City of LondonThe City of London Almshouses</t>
  </si>
  <si>
    <t>City of LondonThe Guinness Partnership Limited</t>
  </si>
  <si>
    <t>ColchesterAdvance Housing and Support Limited</t>
  </si>
  <si>
    <t>ColchesterAnchor Hanover Group</t>
  </si>
  <si>
    <t>ColchesterArpeggio Properties Limited</t>
  </si>
  <si>
    <t>ColchesterAuckland Home Solutions CIC</t>
  </si>
  <si>
    <t>ColchesterBalkerne Gardens Trust Limited</t>
  </si>
  <si>
    <t>ColchesterChelmer Housing Partnership Limited</t>
  </si>
  <si>
    <t>ColchesterChisel Limited</t>
  </si>
  <si>
    <t>ColchesterClarion Housing Association Limited</t>
  </si>
  <si>
    <t>ColchesterCo-operative Development Society Limited</t>
  </si>
  <si>
    <t>ColchesterDimensions (UK) Limited</t>
  </si>
  <si>
    <t>ColchesterEastlight Community Homes Limited</t>
  </si>
  <si>
    <t>ColchesterEmpower Housing Association Limited</t>
  </si>
  <si>
    <t>ColchesterEncircle Housing</t>
  </si>
  <si>
    <t>ColchesterEnglish Rural Housing Association Limited</t>
  </si>
  <si>
    <t>ColchesterEstuary Housing Association Limited</t>
  </si>
  <si>
    <t>ColchesterFalcon Housing Association C.I.C</t>
  </si>
  <si>
    <t>ColchesterFirst Priority Housing Association Limited</t>
  </si>
  <si>
    <t>ColchesterFlagship Housing Limited</t>
  </si>
  <si>
    <t>ColchesterGolden Lane Housing Limited</t>
  </si>
  <si>
    <t>ColchesterHabinteg Housing Association Limited</t>
  </si>
  <si>
    <t>ColchesterHastoe Housing Association Limited</t>
  </si>
  <si>
    <t>ColchesterHeylo Housing Registered Provider Limited</t>
  </si>
  <si>
    <t>ColchesterHome Group Limited</t>
  </si>
  <si>
    <t>ColchesterInclusion Housing Community Interest Company</t>
  </si>
  <si>
    <t>ColchesterLegal &amp; General Affordable Homes Limited</t>
  </si>
  <si>
    <t>ColchesterLets for Life</t>
  </si>
  <si>
    <t>ColchesterLocal Space</t>
  </si>
  <si>
    <t>ColchesterLondon &amp; Quadrant Housing Trust</t>
  </si>
  <si>
    <t>ColchesterM&amp;G UK Shared Ownership Limited</t>
  </si>
  <si>
    <t>ColchesterMersea Island Trust</t>
  </si>
  <si>
    <t>ColchesterNACRO</t>
  </si>
  <si>
    <t>ColchesterNotting Hill Genesis</t>
  </si>
  <si>
    <t>ColchesterOrwell Housing Association Limited</t>
  </si>
  <si>
    <t>ColchesterPeabody Developments Limited</t>
  </si>
  <si>
    <t>ColchesterPeabody Trust</t>
  </si>
  <si>
    <t>ColchesterPlaces for People Homes Limited</t>
  </si>
  <si>
    <t>ColchesterPlaces for People Living+ Limited</t>
  </si>
  <si>
    <t>ColchesterProgress Housing Association Limited</t>
  </si>
  <si>
    <t>ColchesterSaffron Housing Trust Limited</t>
  </si>
  <si>
    <t>ColchesterSage Homes RP Limited</t>
  </si>
  <si>
    <t>ColchesterSage Rented Limited</t>
  </si>
  <si>
    <t>ColchesterSalvation Army Housing Association</t>
  </si>
  <si>
    <t>ColchesterSanctuary Housing Association</t>
  </si>
  <si>
    <t>ColchesterSimply Affordable Homes RP Limited</t>
  </si>
  <si>
    <t>ColchesterSparrow Shared Ownership Limited</t>
  </si>
  <si>
    <t>ColchesterSt Mary Magdalen's Hospital Almshouse Charity</t>
  </si>
  <si>
    <t>ColchesterSwan Housing Association Limited</t>
  </si>
  <si>
    <t>ColchesterThe Guinness Partnership Limited</t>
  </si>
  <si>
    <t>ColchesterThe Henry Gilder Drake Charity</t>
  </si>
  <si>
    <t>ColchesterThe Ogilvie Charities (Deed No.1)</t>
  </si>
  <si>
    <t>ColchesterWindrush Alliance UK Community Interest Company</t>
  </si>
  <si>
    <t>ColchesterWinnocks and Kendalls Almshouse Charity</t>
  </si>
  <si>
    <t>CornwallAdvance Housing and Support Limited</t>
  </si>
  <si>
    <t>CornwallAnchor Hanover Group</t>
  </si>
  <si>
    <t>CornwallAster Communities</t>
  </si>
  <si>
    <t>CornwallAuckland Home Solutions CIC</t>
  </si>
  <si>
    <t>CornwallBlackburn YMCA</t>
  </si>
  <si>
    <t>CornwallCity of Exeter YMCA</t>
  </si>
  <si>
    <t>CornwallCoastline Housing Limited</t>
  </si>
  <si>
    <t>CornwallCornwall CLT Limited</t>
  </si>
  <si>
    <t>CornwallCornwall Housing Limited</t>
  </si>
  <si>
    <t>CornwallCornwall Rural Housing Association Limited</t>
  </si>
  <si>
    <t>CornwallEarle's Retreat</t>
  </si>
  <si>
    <t>CornwallEmily Brydges Willyams Memorial Houses</t>
  </si>
  <si>
    <t>CornwallEncircle Housing</t>
  </si>
  <si>
    <t>CornwallFalcon Housing Association C.I.C</t>
  </si>
  <si>
    <t>CornwallGolden Lane Housing Limited</t>
  </si>
  <si>
    <t>CornwallHabinteg Housing Association Limited</t>
  </si>
  <si>
    <t>CornwallHastoe Housing Association Limited</t>
  </si>
  <si>
    <t>CornwallHeylo Housing Registered Provider Limited</t>
  </si>
  <si>
    <t>CornwallHilldale Housing Association Limited</t>
  </si>
  <si>
    <t>CornwallHome Group Limited</t>
  </si>
  <si>
    <t>CornwallHousing 21</t>
  </si>
  <si>
    <t>CornwallLegal &amp; General Affordable Homes (AR) LLP</t>
  </si>
  <si>
    <t>CornwallLegal &amp; General Affordable Homes Limited</t>
  </si>
  <si>
    <t>CornwallLegal and General Affordable Homes (Capital) Limited</t>
  </si>
  <si>
    <t>CornwallLiveWest Homes Limited</t>
  </si>
  <si>
    <t>CornwallM&amp;G UK Shared Ownership Limited</t>
  </si>
  <si>
    <t>CornwallMoat Homes Limited</t>
  </si>
  <si>
    <t>CornwallNotting Hill Home Ownership Limited</t>
  </si>
  <si>
    <t>CornwallOcean Housing Limited</t>
  </si>
  <si>
    <t>CornwallPlaces for People Homes Limited</t>
  </si>
  <si>
    <t>CornwallPlaces for People Living+ Limited</t>
  </si>
  <si>
    <t>CornwallPlymouth Community Homes Limited</t>
  </si>
  <si>
    <t>CornwallProgress Housing Association Limited</t>
  </si>
  <si>
    <t>CornwallReSI Homes Limited</t>
  </si>
  <si>
    <t>CornwallSage Homes RP Limited</t>
  </si>
  <si>
    <t>CornwallSalvation Army Housing Association</t>
  </si>
  <si>
    <t>CornwallSanctuary Affordable Housing Limited</t>
  </si>
  <si>
    <t>CornwallSanctuary Housing Association</t>
  </si>
  <si>
    <t>CornwallSouthern Housing</t>
  </si>
  <si>
    <t>CornwallSovereign Network Group</t>
  </si>
  <si>
    <t>CornwallSynergy Housing Limited</t>
  </si>
  <si>
    <t>CornwallThe Abbeyfield Camborne Society Limited</t>
  </si>
  <si>
    <t>CornwallThe Abbeyfield Saltash Society Limited</t>
  </si>
  <si>
    <t>CornwallThe Abbeyfield South West Society Limited</t>
  </si>
  <si>
    <t>CornwallThe Guinness Partnership Limited</t>
  </si>
  <si>
    <t>CornwallThe Peninsula Trust Limited</t>
  </si>
  <si>
    <t>CornwallWestmoreland Supported Housing Limited</t>
  </si>
  <si>
    <t>CornwallWestward Housing Group Limited</t>
  </si>
  <si>
    <t>CornwallWillow Tree Housing Partnership Limited</t>
  </si>
  <si>
    <t>CotswoldAdvance Housing and Support Limited</t>
  </si>
  <si>
    <t>CotswoldAnchor Hanover Group</t>
  </si>
  <si>
    <t>CotswoldBromford Housing Association Limited</t>
  </si>
  <si>
    <t>CotswoldCottsway 2</t>
  </si>
  <si>
    <t>CotswoldCottsway Housing Association Limited</t>
  </si>
  <si>
    <t>CotswoldEnglish Rural Housing Association Limited</t>
  </si>
  <si>
    <t>CotswoldGreenSquareAccord Limited</t>
  </si>
  <si>
    <t>CotswoldHeylo Housing Registered Provider Limited</t>
  </si>
  <si>
    <t>CotswoldHousing 21</t>
  </si>
  <si>
    <t>CotswoldMerlin Housing Society Limited</t>
  </si>
  <si>
    <t>CotswoldMidland Heart Limited</t>
  </si>
  <si>
    <t>CotswoldPlatform Housing Limited</t>
  </si>
  <si>
    <t>CotswoldRooftop Housing Association Limited</t>
  </si>
  <si>
    <t>CotswoldSalvation Army Housing Association</t>
  </si>
  <si>
    <t>CotswoldSanctuary Affordable Housing Limited</t>
  </si>
  <si>
    <t>CotswoldSanctuary Housing Association</t>
  </si>
  <si>
    <t>CotswoldSoha Housing Limited</t>
  </si>
  <si>
    <t>CotswoldSovereign Network Group</t>
  </si>
  <si>
    <t>CotswoldStonewater Limited</t>
  </si>
  <si>
    <t>CotswoldThe Abbeyfield Society</t>
  </si>
  <si>
    <t>CotswoldThe Guinness Partnership Limited</t>
  </si>
  <si>
    <t>CotswoldTwo Rivers Housing</t>
  </si>
  <si>
    <t>County DurhamAccent Housing Limited</t>
  </si>
  <si>
    <t>County DurhamAnchor Hanover Group</t>
  </si>
  <si>
    <t>County DurhamAuckland Home Solutions CIC</t>
  </si>
  <si>
    <t>County DurhamBelieve Housing Limited</t>
  </si>
  <si>
    <t>County DurhamBernicia Group</t>
  </si>
  <si>
    <t>County DurhamBespoke Supportive Tenancies Ltd</t>
  </si>
  <si>
    <t>County DurhamBrandon Aged Persons Homes</t>
  </si>
  <si>
    <t>County DurhamCare Housing Association Limited</t>
  </si>
  <si>
    <t>County DurhamCastles &amp; Coasts Housing Association Limited</t>
  </si>
  <si>
    <t>County DurhamDurham Action on Single Housing Limited</t>
  </si>
  <si>
    <t>County DurhamDurham Aged Mineworkers' Homes Association</t>
  </si>
  <si>
    <t>County DurhamFalcon Housing Association C.I.C</t>
  </si>
  <si>
    <t>County DurhamFoundation</t>
  </si>
  <si>
    <t>County DurhamGentoo Group Limited</t>
  </si>
  <si>
    <t>County DurhamGolden Lane Housing Limited</t>
  </si>
  <si>
    <t>County DurhamHellens Residential Limited</t>
  </si>
  <si>
    <t>County DurhamHeylo Housing Registered Provider Limited</t>
  </si>
  <si>
    <t>County DurhamHome Group Limited</t>
  </si>
  <si>
    <t>County DurhamHousing 21</t>
  </si>
  <si>
    <t>County DurhamIKE Supported Housing Limited</t>
  </si>
  <si>
    <t>County DurhamInclusion Housing Community Interest Company</t>
  </si>
  <si>
    <t>County DurhamJacob Wright's Cottages</t>
  </si>
  <si>
    <t>County DurhamJane Cameron's Old People's Charity</t>
  </si>
  <si>
    <t>County DurhamKarbon Homes Limited</t>
  </si>
  <si>
    <t>County DurhamLivin Housing Limited</t>
  </si>
  <si>
    <t>County DurhamNorth Star Housing Group</t>
  </si>
  <si>
    <t>County DurhamPlaces for People Homes Limited</t>
  </si>
  <si>
    <t>County DurhamPlaces for People Living+ Limited</t>
  </si>
  <si>
    <t>County DurhamProgress Housing Association Limited</t>
  </si>
  <si>
    <t>County DurhamRailway Housing Association and Benefit Fund</t>
  </si>
  <si>
    <t>County DurhamReside Housing Association Limited</t>
  </si>
  <si>
    <t>County DurhamSage Homes RP Limited</t>
  </si>
  <si>
    <t>County DurhamSanctuary Affordable Housing Limited</t>
  </si>
  <si>
    <t>County DurhamSanctuary Housing Association</t>
  </si>
  <si>
    <t>County DurhamSherburn House Charity</t>
  </si>
  <si>
    <t>County DurhamTCUK Homes Limited</t>
  </si>
  <si>
    <t>County DurhamThe Fairoak Housing Association</t>
  </si>
  <si>
    <t>County DurhamThe Riverside Group Limited</t>
  </si>
  <si>
    <t>County DurhamThirteen Housing Group Limited</t>
  </si>
  <si>
    <t>County DurhamWaythrough</t>
  </si>
  <si>
    <t>County DurhamWestmoreland Supported Housing Limited</t>
  </si>
  <si>
    <t>County DurhamWilliam Russell Bequest</t>
  </si>
  <si>
    <t>CoventryAdvance Housing and Support Limited</t>
  </si>
  <si>
    <t>CoventryAnchor Hanover Group</t>
  </si>
  <si>
    <t>CoventryAshley Community &amp; Housing Ltd</t>
  </si>
  <si>
    <t>CoventryAuckland Home Solutions CIC</t>
  </si>
  <si>
    <t>CoventryBespoke Supportive Tenancies Ltd</t>
  </si>
  <si>
    <t>CoventryCitizen Housing Group Limited</t>
  </si>
  <si>
    <t>CoventryClarion Housing Association Limited</t>
  </si>
  <si>
    <t>CoventryCoventry Church (Municipal) Charities</t>
  </si>
  <si>
    <t>CoventryDimensions (UK) Limited</t>
  </si>
  <si>
    <t>CoventryFairplace Homes Ltd</t>
  </si>
  <si>
    <t>CoventryGolden Lane Housing Limited</t>
  </si>
  <si>
    <t>CoventryGreenSquareAccord Limited</t>
  </si>
  <si>
    <t>CoventryHeart of England Young Men's Christian Association</t>
  </si>
  <si>
    <t>CoventryHeylo Housing Registered Provider Limited</t>
  </si>
  <si>
    <t>CoventryHome Group Limited</t>
  </si>
  <si>
    <t>CoventryHousing 21</t>
  </si>
  <si>
    <t>CoventryIKE Supported Housing Limited</t>
  </si>
  <si>
    <t>CoventryInclusion Housing Community Interest Company</t>
  </si>
  <si>
    <t>CoventryLangley House Trust</t>
  </si>
  <si>
    <t>CoventryMidland Heart Limited</t>
  </si>
  <si>
    <t>CoventryNehemiah United Churches Housing Association Limited</t>
  </si>
  <si>
    <t>CoventryOrbit Group Limited</t>
  </si>
  <si>
    <t>CoventryOrbit Housing Association Limited</t>
  </si>
  <si>
    <t>CoventryP3 Housing Limited</t>
  </si>
  <si>
    <t>CoventryParagon Asra Housing Limited</t>
  </si>
  <si>
    <t>CoventryPlaces for People Homes Limited</t>
  </si>
  <si>
    <t>CoventryReSI Homes Limited</t>
  </si>
  <si>
    <t>CoventrySanctuary Housing Association</t>
  </si>
  <si>
    <t>CoventrySouthern Housing</t>
  </si>
  <si>
    <t>CoventrySt Basil's</t>
  </si>
  <si>
    <t>CoventrySt Peter's Saltley Housing Association Limited</t>
  </si>
  <si>
    <t>CoventryStarley Housing Co-operative Limited</t>
  </si>
  <si>
    <t>CoventryStonewater Limited</t>
  </si>
  <si>
    <t>CoventryThe Exaireo Trust Ltd</t>
  </si>
  <si>
    <t>CoventryThe ExtraCare Charitable Trust</t>
  </si>
  <si>
    <t>CoventryTrinity Housing Association Limited</t>
  </si>
  <si>
    <t>CrawleyA2Dominion South Limited</t>
  </si>
  <si>
    <t>CrawleyAnchor Hanover Group</t>
  </si>
  <si>
    <t>CrawleyClarion Housing Association Limited</t>
  </si>
  <si>
    <t>CrawleyCrawley Open House</t>
  </si>
  <si>
    <t>CrawleyGreat Places Housing Association</t>
  </si>
  <si>
    <t>CrawleyHilldale Housing Association Limited</t>
  </si>
  <si>
    <t>CrawleyHousing 21</t>
  </si>
  <si>
    <t>CrawleyHyde Housing Association Limited</t>
  </si>
  <si>
    <t>CrawleyInclusion Housing Community Interest Company</t>
  </si>
  <si>
    <t>CrawleyKeniston Housing Association Limited</t>
  </si>
  <si>
    <t>CrawleyLife 2009</t>
  </si>
  <si>
    <t>CrawleyLondon &amp; Quadrant Housing Trust</t>
  </si>
  <si>
    <t>CrawleyMartlet Homes Limited</t>
  </si>
  <si>
    <t>CrawleyMetropolitan Housing Trust Limited</t>
  </si>
  <si>
    <t>CrawleyMoat Homes Limited</t>
  </si>
  <si>
    <t>CrawleyMount Green Housing Association Limited</t>
  </si>
  <si>
    <t>CrawleyNotting Hill Home Ownership Limited</t>
  </si>
  <si>
    <t>CrawleyPlaces for People Homes Limited</t>
  </si>
  <si>
    <t>CrawleyRaven Housing Trust Limited</t>
  </si>
  <si>
    <t>CrawleySanctuary Housing Association</t>
  </si>
  <si>
    <t>CrawleySouthdown Housing Association Limited</t>
  </si>
  <si>
    <t>CrawleySouthern Housing</t>
  </si>
  <si>
    <t>CrawleyStonewater Limited</t>
  </si>
  <si>
    <t>CrawleyThe Field Lane Foundation</t>
  </si>
  <si>
    <t>CrawleyThe Guinness Partnership Limited</t>
  </si>
  <si>
    <t>CrawleyTown and Country Housing</t>
  </si>
  <si>
    <t>CrawleyTransform Housing &amp; Support</t>
  </si>
  <si>
    <t>CrawleyYMCA Downslink Group</t>
  </si>
  <si>
    <t>Crawleybpha Limited</t>
  </si>
  <si>
    <t>CroydonA2Dominion Homes Limited</t>
  </si>
  <si>
    <t>CroydonA2Dominion South Limited</t>
  </si>
  <si>
    <t>CroydonAbility Housing Association</t>
  </si>
  <si>
    <t>CroydonAddiscombe Catholic Housing Association Limited</t>
  </si>
  <si>
    <t>CroydonAdvance Housing and Support Limited</t>
  </si>
  <si>
    <t>CroydonAnchor Hanover Group</t>
  </si>
  <si>
    <t>CroydonAsh-Shahada Housing Association Limited</t>
  </si>
  <si>
    <t>CroydonBespoke Supportive Tenancies Ltd</t>
  </si>
  <si>
    <t>CroydonBromley and Croydon Women's Aid Limited</t>
  </si>
  <si>
    <t>CroydonCentrepoint Soho</t>
  </si>
  <si>
    <t>CroydonChanging Lives Housing Trust</t>
  </si>
  <si>
    <t>CroydonChisel Limited</t>
  </si>
  <si>
    <t>CroydonChrysalis Supported Association Limited</t>
  </si>
  <si>
    <t>CroydonClarion Housing Association Limited</t>
  </si>
  <si>
    <t>CroydonCromwood Housing Ltd</t>
  </si>
  <si>
    <t>CroydonCroydon Churches Housing Association Limited</t>
  </si>
  <si>
    <t>CroydonDepaul Housing Services</t>
  </si>
  <si>
    <t>CroydonEkaya Housing Association Limited</t>
  </si>
  <si>
    <t>CroydonEldon Housing Association Limited</t>
  </si>
  <si>
    <t>CroydonEncircle Housing</t>
  </si>
  <si>
    <t>CroydonEvolve Housing + Support</t>
  </si>
  <si>
    <t>CroydonFalcon Housing Association C.I.C</t>
  </si>
  <si>
    <t>CroydonGolden Lane Housing Limited</t>
  </si>
  <si>
    <t>CroydonHabinteg Housing Association Limited</t>
  </si>
  <si>
    <t>CroydonHalo Housing Association Limited</t>
  </si>
  <si>
    <t>CroydonHastoe Housing Association Limited</t>
  </si>
  <si>
    <t>CroydonHexagon Housing Association Limited</t>
  </si>
  <si>
    <t>CroydonHome Group Limited</t>
  </si>
  <si>
    <t>CroydonHousing 21</t>
  </si>
  <si>
    <t>CroydonHyde Housing Association Limited</t>
  </si>
  <si>
    <t>CroydonKeniston Housing Association Limited</t>
  </si>
  <si>
    <t>CroydonLangley House Trust</t>
  </si>
  <si>
    <t>CroydonLegal &amp; General Affordable Homes Limited</t>
  </si>
  <si>
    <t>CroydonLondon &amp; Quadrant Housing Trust</t>
  </si>
  <si>
    <t>CroydonLook Ahead Care and Support Limited</t>
  </si>
  <si>
    <t>CroydonM&amp;G UK Shared Ownership Limited</t>
  </si>
  <si>
    <t>CroydonMP Living Limited</t>
  </si>
  <si>
    <t>CroydonMajor Housing Association Limited</t>
  </si>
  <si>
    <t>CroydonMetropolitan Housing Trust Limited</t>
  </si>
  <si>
    <t>CroydonMoat Homes Limited</t>
  </si>
  <si>
    <t>CroydonNotting Hill Genesis</t>
  </si>
  <si>
    <t>CroydonNotting Hill Home Ownership Limited</t>
  </si>
  <si>
    <t>CroydonOak Housing Limited</t>
  </si>
  <si>
    <t>CroydonOrbit Group Limited</t>
  </si>
  <si>
    <t>CroydonOrbit Housing Association Limited</t>
  </si>
  <si>
    <t>CroydonParagon Asra Housing Limited</t>
  </si>
  <si>
    <t>CroydonPeabody Trust</t>
  </si>
  <si>
    <t>CroydonPenge Churches Housing Association Limited</t>
  </si>
  <si>
    <t>CroydonPlaces for People Homes Limited</t>
  </si>
  <si>
    <t>CroydonQuo Vadis Trust</t>
  </si>
  <si>
    <t>CroydonRadcliffe Housing Society Limited</t>
  </si>
  <si>
    <t>CroydonReside Housing Association Limited</t>
  </si>
  <si>
    <t>CroydonSage Homes RP Limited</t>
  </si>
  <si>
    <t>CroydonSage Rented Limited</t>
  </si>
  <si>
    <t>CroydonSanctuary Housing Association</t>
  </si>
  <si>
    <t>CroydonSouthern Housing</t>
  </si>
  <si>
    <t>CroydonSouthern Oaks Retirement Living</t>
  </si>
  <si>
    <t>CroydonSovereign Network Group</t>
  </si>
  <si>
    <t>CroydonSparrow Shared Ownership Limited</t>
  </si>
  <si>
    <t>CroydonTeachers' Housing Association Limited</t>
  </si>
  <si>
    <t>CroydonThe Abbeyfield Sanderstead Society Limited</t>
  </si>
  <si>
    <t>CroydonThe Guinness Partnership Limited</t>
  </si>
  <si>
    <t>CroydonThe Riverside Group Limited</t>
  </si>
  <si>
    <t>CroydonWandle Housing Association Limited</t>
  </si>
  <si>
    <t>CroydonWindrush Alliance UK Community Interest Company</t>
  </si>
  <si>
    <t>CumberlandAnchor Hanover Group</t>
  </si>
  <si>
    <t>CumberlandAuxesia Homes Limited</t>
  </si>
  <si>
    <t>CumberlandCastles &amp; Coasts Housing Association Limited</t>
  </si>
  <si>
    <t>CumberlandCreative Support Limited</t>
  </si>
  <si>
    <t>CumberlandDimensions (UK) Limited</t>
  </si>
  <si>
    <t>CumberlandEden Housing Association Limited</t>
  </si>
  <si>
    <t>CumberlandEmpower Housing Association Limited</t>
  </si>
  <si>
    <t>CumberlandFirst Priority Housing Association Limited</t>
  </si>
  <si>
    <t>CumberlandGolden Lane Housing Limited</t>
  </si>
  <si>
    <t>CumberlandHeylo Housing Registered Provider Limited</t>
  </si>
  <si>
    <t>CumberlandHome Group Limited</t>
  </si>
  <si>
    <t>CumberlandHousing 21</t>
  </si>
  <si>
    <t>CumberlandInclusion Housing Community Interest Company</t>
  </si>
  <si>
    <t>CumberlandJoseph and Eleanor Gunson Almshouse Trust</t>
  </si>
  <si>
    <t>CumberlandKeswick Community Housing Trust Limited</t>
  </si>
  <si>
    <t>CumberlandMary Hannah Almshouses</t>
  </si>
  <si>
    <t>CumberlandMitre Housing Association Limited</t>
  </si>
  <si>
    <t>CumberlandNew Foundations Housing Association Limited</t>
  </si>
  <si>
    <t>CumberlandPartners Foundation Limited</t>
  </si>
  <si>
    <t>CumberlandProgress Housing Association Limited</t>
  </si>
  <si>
    <t>CumberlandRailway Housing Association and Benefit Fund</t>
  </si>
  <si>
    <t>CumberlandSanctuary Housing Association</t>
  </si>
  <si>
    <t>CumberlandThe Abbeyfield Society</t>
  </si>
  <si>
    <t>CumberlandThe Abbeyfield Whitehaven Society Limited</t>
  </si>
  <si>
    <t>CumberlandThe Fairoak Housing Association</t>
  </si>
  <si>
    <t>CumberlandThe Riverside Group Limited</t>
  </si>
  <si>
    <t>CumberlandTurning Point</t>
  </si>
  <si>
    <t>CumberlandWaythrough</t>
  </si>
  <si>
    <t>CumberlandWestfield Housing Association Limited</t>
  </si>
  <si>
    <t>DacorumAmplius Living</t>
  </si>
  <si>
    <t>DacorumAnchor Hanover Group</t>
  </si>
  <si>
    <t>DacorumAuckland Home Solutions CIC</t>
  </si>
  <si>
    <t>DacorumClarion Housing Association Limited</t>
  </si>
  <si>
    <t>DacorumCo-operative Development Society Limited</t>
  </si>
  <si>
    <t>DacorumEnglish Rural Housing Association Limited</t>
  </si>
  <si>
    <t>DacorumFairhive Homes Limited</t>
  </si>
  <si>
    <t>DacorumFirst Priority Housing Association Limited</t>
  </si>
  <si>
    <t>DacorumGolden Lane Housing Limited</t>
  </si>
  <si>
    <t>DacorumHastoe Housing Association Limited</t>
  </si>
  <si>
    <t>DacorumHeylo Housing Registered Provider Limited</t>
  </si>
  <si>
    <t>DacorumHightown Housing Association Limited</t>
  </si>
  <si>
    <t>DacorumJewish Community Housing Association Limited</t>
  </si>
  <si>
    <t>DacorumLegal &amp; General Affordable Homes (AR) LLP</t>
  </si>
  <si>
    <t>DacorumLegal &amp; General Affordable Homes Limited</t>
  </si>
  <si>
    <t>DacorumLondon &amp; Quadrant Housing Trust</t>
  </si>
  <si>
    <t>DacorumLouisa Cottages Charity</t>
  </si>
  <si>
    <t>DacorumMetropolitan Housing Trust Limited</t>
  </si>
  <si>
    <t>DacorumNotting Hill Genesis</t>
  </si>
  <si>
    <t>DacorumNotting Hill Home Ownership Limited</t>
  </si>
  <si>
    <t>DacorumOne YMCA</t>
  </si>
  <si>
    <t>DacorumParadigm Homes Charitable Housing Association Limited</t>
  </si>
  <si>
    <t>DacorumPeabody Trust</t>
  </si>
  <si>
    <t>DacorumReside Housing Association Limited</t>
  </si>
  <si>
    <t>DacorumRosewood Housing Limited</t>
  </si>
  <si>
    <t>DacorumSage Homes RP Limited</t>
  </si>
  <si>
    <t>DacorumSage Rented Limited</t>
  </si>
  <si>
    <t>DacorumSanctuary Housing Association</t>
  </si>
  <si>
    <t>DacorumSettle Group</t>
  </si>
  <si>
    <t>DacorumThe Abbeyfield (Berkhamsted &amp; Hemel Hempstead) Society Limited</t>
  </si>
  <si>
    <t>DacorumThe Abbeyfield Kings Langley Society Limited</t>
  </si>
  <si>
    <t>DacorumThrive Homes Limited</t>
  </si>
  <si>
    <t>DacorumWatford Community Housing Trust</t>
  </si>
  <si>
    <t>DacorumWestmoreland Supported Housing Limited</t>
  </si>
  <si>
    <t>Darlington700 Club</t>
  </si>
  <si>
    <t>DarlingtonAccent Housing Limited</t>
  </si>
  <si>
    <t>DarlingtonAnchor Hanover Group</t>
  </si>
  <si>
    <t>DarlingtonArpeggio Properties Limited</t>
  </si>
  <si>
    <t>DarlingtonBelieve Housing Limited</t>
  </si>
  <si>
    <t>DarlingtonBernicia Group</t>
  </si>
  <si>
    <t>DarlingtonBespoke Supportive Tenancies Ltd</t>
  </si>
  <si>
    <t>DarlingtonBeyond Housing Limited</t>
  </si>
  <si>
    <t>DarlingtonBlackburn YMCA</t>
  </si>
  <si>
    <t>DarlingtonBroadacres Housing Association Limited</t>
  </si>
  <si>
    <t>DarlingtonCastles &amp; Coasts Housing Association Limited</t>
  </si>
  <si>
    <t>DarlingtonCreative Support Limited</t>
  </si>
  <si>
    <t>DarlingtonEmpower Housing Association Limited</t>
  </si>
  <si>
    <t>DarlingtonFoundation</t>
  </si>
  <si>
    <t>DarlingtonGolden Lane Housing Limited</t>
  </si>
  <si>
    <t>DarlingtonHalo Housing Association Limited</t>
  </si>
  <si>
    <t>DarlingtonHellens Residential Limited</t>
  </si>
  <si>
    <t>DarlingtonHeylo Housing Registered Provider Limited</t>
  </si>
  <si>
    <t>DarlingtonHome Group Limited</t>
  </si>
  <si>
    <t>DarlingtonHousing 21</t>
  </si>
  <si>
    <t>DarlingtonInclusion Housing Community Interest Company</t>
  </si>
  <si>
    <t>DarlingtonJane Cameron's Old People's Charity</t>
  </si>
  <si>
    <t>DarlingtonKarbon Homes Limited</t>
  </si>
  <si>
    <t>DarlingtonLivin Housing Limited</t>
  </si>
  <si>
    <t>DarlingtonNew Walk Property Management CIC</t>
  </si>
  <si>
    <t>DarlingtonNorth Star Housing Group</t>
  </si>
  <si>
    <t>DarlingtonPlaces for People Homes Limited</t>
  </si>
  <si>
    <t>DarlingtonPlaces for People Living+ Limited</t>
  </si>
  <si>
    <t>DarlingtonProgress Housing Association Limited</t>
  </si>
  <si>
    <t>DarlingtonRailway Housing Association and Benefit Fund</t>
  </si>
  <si>
    <t>DarlingtonReside Housing Association Limited</t>
  </si>
  <si>
    <t>DarlingtonSalvation Army Housing Association</t>
  </si>
  <si>
    <t>DarlingtonSanctuary Housing Association</t>
  </si>
  <si>
    <t>DarlingtonSir E D Walker Trust</t>
  </si>
  <si>
    <t>DarlingtonThe Abbeyfield (Darlington) Society Limited</t>
  </si>
  <si>
    <t>DarlingtonThirteen Housing Group Limited</t>
  </si>
  <si>
    <t>DarlingtonWaythrough</t>
  </si>
  <si>
    <t>DartfordAdvance Housing and Support Limited</t>
  </si>
  <si>
    <t>DartfordAnchor Hanover Group</t>
  </si>
  <si>
    <t>DartfordChanging Lives Housing Trust</t>
  </si>
  <si>
    <t>DartfordClarion Housing Association Limited</t>
  </si>
  <si>
    <t>DartfordCo-operative Development Society Limited</t>
  </si>
  <si>
    <t>DartfordDarent Housing Co-operative Limited</t>
  </si>
  <si>
    <t>DartfordDartford Almshouse Charity</t>
  </si>
  <si>
    <t>DartfordGolden Lane Housing Limited</t>
  </si>
  <si>
    <t>DartfordGravesend Churches Housing Association Limited</t>
  </si>
  <si>
    <t>DartfordHeart of Medway Housing Association Limited</t>
  </si>
  <si>
    <t>DartfordHyde Housing Association Limited</t>
  </si>
  <si>
    <t>DartfordLondon &amp; Quadrant Housing Trust</t>
  </si>
  <si>
    <t>DartfordM&amp;G UK Shared Ownership Limited</t>
  </si>
  <si>
    <t>DartfordMoat Homes Limited</t>
  </si>
  <si>
    <t>DartfordNewarch Homes Limited</t>
  </si>
  <si>
    <t>DartfordOrbit Group Limited</t>
  </si>
  <si>
    <t>DartfordOrbit Housing Association Limited</t>
  </si>
  <si>
    <t>DartfordPlaces for People Homes Limited</t>
  </si>
  <si>
    <t>DartfordReside Housing Association Limited</t>
  </si>
  <si>
    <t>DartfordSage Homes RP Limited</t>
  </si>
  <si>
    <t>DartfordSage Rented Limited</t>
  </si>
  <si>
    <t>DartfordSalvation Army Housing Association</t>
  </si>
  <si>
    <t>DartfordSouthern Housing</t>
  </si>
  <si>
    <t>DartfordThe Riverside Group Limited</t>
  </si>
  <si>
    <t>DartfordTown and Country Housing</t>
  </si>
  <si>
    <t>DartfordWest Kent Housing Association</t>
  </si>
  <si>
    <t>DartfordYMCA Thames Gateway</t>
  </si>
  <si>
    <t>DerbyAction Housing and Support Limited</t>
  </si>
  <si>
    <t>DerbyAmplius Living</t>
  </si>
  <si>
    <t>DerbyAnchor Hanover Group</t>
  </si>
  <si>
    <t>DerbyAnnie Sutton and Hoult Memorial Houses</t>
  </si>
  <si>
    <t>DerbyAuckland Home Solutions CIC</t>
  </si>
  <si>
    <t>DerbyBespoke Supportive Tenancies Ltd</t>
  </si>
  <si>
    <t>DerbyCreative Support Limited</t>
  </si>
  <si>
    <t>DerbyDerby Homes Limited</t>
  </si>
  <si>
    <t>DerbyDerventio Housing Trust CIC</t>
  </si>
  <si>
    <t>DerbyDimensions (UK) Limited</t>
  </si>
  <si>
    <t>DerbyEMH Housing and Regeneration Limited</t>
  </si>
  <si>
    <t>DerbyFirst Priority Housing Association Limited</t>
  </si>
  <si>
    <t>DerbyFutures Homescape Limited</t>
  </si>
  <si>
    <t>DerbyGolden Lane Housing Limited</t>
  </si>
  <si>
    <t>DerbyGreat Places Housing Association</t>
  </si>
  <si>
    <t>DerbyHeylo Housing Registered Provider Limited</t>
  </si>
  <si>
    <t>DerbyHome Group Limited</t>
  </si>
  <si>
    <t>DerbyHousing 21</t>
  </si>
  <si>
    <t>DerbyInclusion Housing Community Interest Company</t>
  </si>
  <si>
    <t>DerbyLegal &amp; General Affordable Homes Limited</t>
  </si>
  <si>
    <t>DerbyM&amp;G UK Shared Ownership Limited</t>
  </si>
  <si>
    <t>DerbyMetropolitan Housing Trust Limited</t>
  </si>
  <si>
    <t>DerbyNACRO</t>
  </si>
  <si>
    <t>DerbyNottingham Community Housing Association Limited</t>
  </si>
  <si>
    <t>DerbyPlaces for People Homes Limited</t>
  </si>
  <si>
    <t>DerbyPlaces for People Living+ Limited</t>
  </si>
  <si>
    <t>DerbyRetail Trust</t>
  </si>
  <si>
    <t>DerbySage Homes RP Limited</t>
  </si>
  <si>
    <t>DerbySage Rented Limited</t>
  </si>
  <si>
    <t>DerbySalvation Army Housing Association</t>
  </si>
  <si>
    <t>DerbySanctuary Housing Association</t>
  </si>
  <si>
    <t>DerbySparrow Shared Ownership Limited</t>
  </si>
  <si>
    <t>DerbyStonewater Limited</t>
  </si>
  <si>
    <t>DerbyThe Guinness Partnership Limited</t>
  </si>
  <si>
    <t>DerbyThe Riverside Group Limited</t>
  </si>
  <si>
    <t>DerbyTrent &amp; Dove Housing Limited</t>
  </si>
  <si>
    <t>DerbyTuntum Housing Association Limited</t>
  </si>
  <si>
    <t>DerbyYMCA Derbyshire</t>
  </si>
  <si>
    <t>Derbyshire DalesAshbourne Almshouse Charity</t>
  </si>
  <si>
    <t>Derbyshire DalesEMH Housing and Regeneration Limited</t>
  </si>
  <si>
    <t>Derbyshire DalesFutures Homescape Limited</t>
  </si>
  <si>
    <t>Derbyshire DalesGolden Lane Housing Limited</t>
  </si>
  <si>
    <t>Derbyshire DalesGranby House (Youlgrave and District) Society Limited</t>
  </si>
  <si>
    <t>Derbyshire DalesGreat Places Housing Association</t>
  </si>
  <si>
    <t>Derbyshire DalesHeylo Housing Registered Provider Limited</t>
  </si>
  <si>
    <t>Derbyshire DalesHousing 21</t>
  </si>
  <si>
    <t>Derbyshire DalesJohn Higgs Almshouses</t>
  </si>
  <si>
    <t>Derbyshire DalesM&amp;G UK Shared Ownership Limited</t>
  </si>
  <si>
    <t>Derbyshire DalesMetropolitan Housing Trust Limited</t>
  </si>
  <si>
    <t>Derbyshire DalesNottingham Community Housing Association Limited</t>
  </si>
  <si>
    <t>Derbyshire DalesPeak District Rural Housing Association Limited</t>
  </si>
  <si>
    <t>Derbyshire DalesPlaces for People Living+ Limited</t>
  </si>
  <si>
    <t>Derbyshire DalesPlatform Housing Limited</t>
  </si>
  <si>
    <t>Derbyshire DalesReSI Homes Limited</t>
  </si>
  <si>
    <t>Derbyshire DalesSage Homes RP Limited</t>
  </si>
  <si>
    <t>Derbyshire DalesSir Robert Coke's Almshouses</t>
  </si>
  <si>
    <t>Derbyshire DalesSouth Yorkshire Housing Association Limited</t>
  </si>
  <si>
    <t>Derbyshire DalesThe Guinness Partnership Limited</t>
  </si>
  <si>
    <t>Derbyshire DalesWaythrough</t>
  </si>
  <si>
    <t>DoncasterAcis Group Limited</t>
  </si>
  <si>
    <t>DoncasterAction Housing and Support Limited</t>
  </si>
  <si>
    <t>DoncasterAdvance Housing and Support Limited</t>
  </si>
  <si>
    <t>DoncasterAlliance Housing Association (South Yorkshire) Limited</t>
  </si>
  <si>
    <t>DoncasterAnchor Hanover Group</t>
  </si>
  <si>
    <t>DoncasterAuxesia Homes Limited</t>
  </si>
  <si>
    <t>DoncasterCooke Almshouse Charity</t>
  </si>
  <si>
    <t>DoncasterDoncaster Young Men's Christian Association</t>
  </si>
  <si>
    <t>DoncasterFalcon Housing Association C.I.C</t>
  </si>
  <si>
    <t>DoncasterFoundation</t>
  </si>
  <si>
    <t>DoncasterGolden Lane Housing Limited</t>
  </si>
  <si>
    <t>DoncasterGreat Places Housing Association</t>
  </si>
  <si>
    <t>DoncasterHeylo Housing Registered Provider Limited</t>
  </si>
  <si>
    <t>DoncasterHighstone Housing Association Limited</t>
  </si>
  <si>
    <t>DoncasterHome Group Limited</t>
  </si>
  <si>
    <t>DoncasterHousing 21</t>
  </si>
  <si>
    <t>DoncasterIKE Supported Housing Limited</t>
  </si>
  <si>
    <t>DoncasterInclusion Housing Community Interest Company</t>
  </si>
  <si>
    <t>DoncasterJ &amp; M Residential Lettings Limited</t>
  </si>
  <si>
    <t>DoncasterLegal &amp; General Affordable Homes (AR) LLP</t>
  </si>
  <si>
    <t>DoncasterLegal &amp; General Affordable Homes Limited</t>
  </si>
  <si>
    <t>DoncasterM&amp;G UK Shared Ownership Limited</t>
  </si>
  <si>
    <t>DoncasterOngo Homes Limited</t>
  </si>
  <si>
    <t>DoncasterPartners Foundation Limited</t>
  </si>
  <si>
    <t>DoncasterPlaces for People Homes Limited</t>
  </si>
  <si>
    <t>DoncasterPlaces for People Living+ Limited</t>
  </si>
  <si>
    <t>DoncasterProgress Housing Association Limited</t>
  </si>
  <si>
    <t>DoncasterRailway Housing Association and Benefit Fund</t>
  </si>
  <si>
    <t>DoncasterSage Homes RP Limited</t>
  </si>
  <si>
    <t>DoncasterSage Rented Limited</t>
  </si>
  <si>
    <t>DoncasterSalvation Army Housing Association</t>
  </si>
  <si>
    <t>DoncasterSanctuary Affordable Housing Limited</t>
  </si>
  <si>
    <t>DoncasterSanctuary Housing Association</t>
  </si>
  <si>
    <t>DoncasterSouth Yorkshire Housing Association Limited</t>
  </si>
  <si>
    <t>DoncasterStonewater Limited</t>
  </si>
  <si>
    <t>DoncasterTCUK Homes Limited</t>
  </si>
  <si>
    <t>DoncasterTarget Housing Limited</t>
  </si>
  <si>
    <t>DoncasterThe Guinness Partnership Limited</t>
  </si>
  <si>
    <t>DoncasterThe Hospital of St Thomas the Apostle in Doncaster</t>
  </si>
  <si>
    <t>DoncasterThe Riverside Group Limited</t>
  </si>
  <si>
    <t>DoncasterTogether Housing Association Limited</t>
  </si>
  <si>
    <t>DoncasterVico Homes Limited</t>
  </si>
  <si>
    <t>DoncasterYorkshire Housing Limited</t>
  </si>
  <si>
    <t>DorsetAbbeyfield Wessex Society Limited</t>
  </si>
  <si>
    <t>DorsetAbri Group Limited</t>
  </si>
  <si>
    <t>DorsetAdvance Housing and Support Limited</t>
  </si>
  <si>
    <t>DorsetAnchor Hanover Group</t>
  </si>
  <si>
    <t>DorsetAster 3 Limited</t>
  </si>
  <si>
    <t>DorsetAster Communities</t>
  </si>
  <si>
    <t>DorsetAuckland Home Solutions CIC</t>
  </si>
  <si>
    <t>DorsetBespoke Supportive Tenancies Ltd</t>
  </si>
  <si>
    <t>DorsetBournemouth Churches Housing Association Limited</t>
  </si>
  <si>
    <t>DorsetChrysalis Supported Association Limited</t>
  </si>
  <si>
    <t>DorsetDimensions (UK) Limited</t>
  </si>
  <si>
    <t>DorsetDorchester Almshouses</t>
  </si>
  <si>
    <t>DorsetEast Boro Housing Trust Limited</t>
  </si>
  <si>
    <t>DorsetEmpower Housing Association Limited</t>
  </si>
  <si>
    <t>DorsetFalcon Housing Association C.I.C</t>
  </si>
  <si>
    <t>DorsetFirst Priority Housing Association Limited</t>
  </si>
  <si>
    <t>DorsetFrontis Homes Limited</t>
  </si>
  <si>
    <t>DorsetGolden Lane Housing Limited</t>
  </si>
  <si>
    <t>DorsetHastoe Housing Association Limited</t>
  </si>
  <si>
    <t>DorsetHeylo Housing Registered Provider Limited</t>
  </si>
  <si>
    <t>DorsetHilldale Housing Association Limited</t>
  </si>
  <si>
    <t>DorsetHousing 21</t>
  </si>
  <si>
    <t>DorsetInclusion Housing Community Interest Company</t>
  </si>
  <si>
    <t>DorsetLegal &amp; General Affordable Homes Limited</t>
  </si>
  <si>
    <t>DorsetLegal and General Affordable Homes (Capital) Limited</t>
  </si>
  <si>
    <t>DorsetLiveWest Homes Limited</t>
  </si>
  <si>
    <t>DorsetM&amp;G UK Shared Ownership Limited</t>
  </si>
  <si>
    <t>DorsetMagna Housing Limited</t>
  </si>
  <si>
    <t>DorsetMoat Homes Limited</t>
  </si>
  <si>
    <t>DorsetNotting Hill Home Ownership Limited</t>
  </si>
  <si>
    <t>DorsetPlaces for People Homes Limited</t>
  </si>
  <si>
    <t>DorsetReside Housing Association Limited</t>
  </si>
  <si>
    <t>DorsetSage Homes RP Limited</t>
  </si>
  <si>
    <t>DorsetSage Rented Limited</t>
  </si>
  <si>
    <t>DorsetSanctuary Housing Association</t>
  </si>
  <si>
    <t>DorsetSandbourne Housing Association</t>
  </si>
  <si>
    <t>DorsetSovereign Network Group</t>
  </si>
  <si>
    <t>DorsetSparrow Shared Ownership Limited</t>
  </si>
  <si>
    <t>DorsetStonewater (5) Limited</t>
  </si>
  <si>
    <t>DorsetStonewater Limited</t>
  </si>
  <si>
    <t>DorsetSturts Community Trust</t>
  </si>
  <si>
    <t>DorsetSynergy Housing Limited</t>
  </si>
  <si>
    <t>DorsetTeachers' Housing Association Limited</t>
  </si>
  <si>
    <t>DorsetThe Abbeyfield Society</t>
  </si>
  <si>
    <t>DorsetThe Guinness Partnership Limited</t>
  </si>
  <si>
    <t>DorsetThe Margaret Jane Ashley Almshouse Charity</t>
  </si>
  <si>
    <t>DorsetThe Swaythling Housing Society Limited</t>
  </si>
  <si>
    <t>DorsetWestmoreland Supported Housing Limited</t>
  </si>
  <si>
    <t>DorsetWillow Tree Housing Partnership Limited</t>
  </si>
  <si>
    <t>DoverAdvance Housing and Support Limited</t>
  </si>
  <si>
    <t>DoverAnchor Hanover Group</t>
  </si>
  <si>
    <t>DoverBespoke Supportive Tenancies Ltd</t>
  </si>
  <si>
    <t>DoverEnglish Rural Housing Association Limited</t>
  </si>
  <si>
    <t>DoverFalcon Housing Association C.I.C</t>
  </si>
  <si>
    <t>DoverGolden Lane Housing Limited</t>
  </si>
  <si>
    <t>DoverHeylo Housing Registered Provider Limited</t>
  </si>
  <si>
    <t>DoverHilldale Housing Association Limited</t>
  </si>
  <si>
    <t>DoverHome Group Limited</t>
  </si>
  <si>
    <t>DoverHousing 21</t>
  </si>
  <si>
    <t>DoverInclusion Housing Community Interest Company</t>
  </si>
  <si>
    <t>DoverMilldale Housing Co-operative Limited</t>
  </si>
  <si>
    <t>DoverMoat Homes Limited</t>
  </si>
  <si>
    <t>DoverOak Housing Limited</t>
  </si>
  <si>
    <t>DoverOrbit Group Limited</t>
  </si>
  <si>
    <t>DoverOrbit Housing Association Limited</t>
  </si>
  <si>
    <t>DoverPlaces for People Homes Limited</t>
  </si>
  <si>
    <t>DoverPlaces for People Living+ Limited</t>
  </si>
  <si>
    <t>DoverReside Housing Association Limited</t>
  </si>
  <si>
    <t>DoverResthaven Almshouses</t>
  </si>
  <si>
    <t>DoverSage Homes RP Limited</t>
  </si>
  <si>
    <t>DoverSage Rented Limited</t>
  </si>
  <si>
    <t>DoverSanctuary Affordable Housing Limited</t>
  </si>
  <si>
    <t>DoverSanctuary Housing Association</t>
  </si>
  <si>
    <t>DoverSouthern Housing</t>
  </si>
  <si>
    <t>DoverSparrow Shared Ownership Limited</t>
  </si>
  <si>
    <t>DoverThe Riverside Group Limited</t>
  </si>
  <si>
    <t>DoverTown and Country Housing</t>
  </si>
  <si>
    <t>DoverTurning Point</t>
  </si>
  <si>
    <t>DoverWest Kent Housing Association</t>
  </si>
  <si>
    <t>DudleyAdvance Housing and Support Limited</t>
  </si>
  <si>
    <t>DudleyAnchor Hanover Group</t>
  </si>
  <si>
    <t>DudleyBlack Country Housing Group Limited</t>
  </si>
  <si>
    <t>DudleyBromford Housing Association Limited</t>
  </si>
  <si>
    <t>DudleyChurches Housing Assocation of Dudley and District Limited</t>
  </si>
  <si>
    <t>DudleyCitizen Housing Group Limited</t>
  </si>
  <si>
    <t>DudleyClarion Housing Association Limited</t>
  </si>
  <si>
    <t>DudleyEncircle Housing</t>
  </si>
  <si>
    <t>DudleyGolden Lane Housing Limited</t>
  </si>
  <si>
    <t>DudleyGreenSquareAccord Limited</t>
  </si>
  <si>
    <t>DudleyHeylo Housing Registered Provider Limited</t>
  </si>
  <si>
    <t>DudleyHome Group Limited</t>
  </si>
  <si>
    <t>DudleyHomes Plus Limited</t>
  </si>
  <si>
    <t>DudleyHousing 21</t>
  </si>
  <si>
    <t>DudleyInclusion Housing Community Interest Company</t>
  </si>
  <si>
    <t>DudleyMidland Heart Limited</t>
  </si>
  <si>
    <t>DudleyNehemiah United Churches Housing Association Limited</t>
  </si>
  <si>
    <t>DudleyPlatform Housing Limited</t>
  </si>
  <si>
    <t>DudleySage Rented Limited</t>
  </si>
  <si>
    <t>DudleySanctuary Housing Association</t>
  </si>
  <si>
    <t>DudleySparrow Shared Ownership Limited</t>
  </si>
  <si>
    <t>DudleyStonewater Limited</t>
  </si>
  <si>
    <t>DudleyTrident Housing Association Limited</t>
  </si>
  <si>
    <t>DudleyWalsall Housing Group Limited</t>
  </si>
  <si>
    <t>DudleyWestmoreland Supported Housing Limited</t>
  </si>
  <si>
    <t>Dudleybpha Limited</t>
  </si>
  <si>
    <t>EalingA2Dominion Homes Limited</t>
  </si>
  <si>
    <t>EalingA2Dominion Housing Options Limited</t>
  </si>
  <si>
    <t>EalingA2Dominion South Limited</t>
  </si>
  <si>
    <t>EalingAWOL London Limited</t>
  </si>
  <si>
    <t>EalingAnchor Hanover Group</t>
  </si>
  <si>
    <t>EalingAuckland Home Solutions CIC</t>
  </si>
  <si>
    <t>EalingBespoke Supportive Tenancies Ltd</t>
  </si>
  <si>
    <t>EalingBirnbeck Housing Association Limited</t>
  </si>
  <si>
    <t>EalingBlue Square Residential Ltd</t>
  </si>
  <si>
    <t>EalingBroadway Living RP Limited</t>
  </si>
  <si>
    <t>EalingCentral and Cecil Housing Trust</t>
  </si>
  <si>
    <t>EalingCentrepoint Soho</t>
  </si>
  <si>
    <t>EalingChrysalis Supported Association Limited</t>
  </si>
  <si>
    <t>EalingClarion Housing Association Limited</t>
  </si>
  <si>
    <t>EalingCo-op Homes (South) Limited</t>
  </si>
  <si>
    <t>EalingCromwood Housing Ltd</t>
  </si>
  <si>
    <t>EalingDholak Partnership Homes Limited</t>
  </si>
  <si>
    <t>EalingEcco Housing Association Limited</t>
  </si>
  <si>
    <t>EalingFirst Wave Housing Limited</t>
  </si>
  <si>
    <t>EalingGolden Lane Housing Limited</t>
  </si>
  <si>
    <t>EalingHabinteg Housing Association Limited</t>
  </si>
  <si>
    <t>EalingHeylo Housing Registered Provider Limited</t>
  </si>
  <si>
    <t>EalingHilldale Housing Association Limited</t>
  </si>
  <si>
    <t>EalingHome Group Limited</t>
  </si>
  <si>
    <t>EalingHousing 21</t>
  </si>
  <si>
    <t>EalingHousing For Women</t>
  </si>
  <si>
    <t>EalingHousing Pathways Trust</t>
  </si>
  <si>
    <t>EalingInclusion Housing Community Interest Company</t>
  </si>
  <si>
    <t>EalingInnisfree Housing Association Limited</t>
  </si>
  <si>
    <t>EalingKaribu Community Homes Limited</t>
  </si>
  <si>
    <t>EalingLondon &amp; Quadrant Housing Trust</t>
  </si>
  <si>
    <t>EalingLook Ahead Care and Support Limited</t>
  </si>
  <si>
    <t>EalingMetropolitan Housing Trust Limited</t>
  </si>
  <si>
    <t>EalingMoat Homes Limited</t>
  </si>
  <si>
    <t>EalingNew Foundations Housing Association Limited</t>
  </si>
  <si>
    <t>EalingNotting Hill Genesis</t>
  </si>
  <si>
    <t>EalingNotting Hill Home Ownership Limited</t>
  </si>
  <si>
    <t>EalingOctavia Housing</t>
  </si>
  <si>
    <t>EalingOmega Housing Limited</t>
  </si>
  <si>
    <t>EalingOrigin Housing Limited</t>
  </si>
  <si>
    <t>EalingParagon Asra Housing Limited</t>
  </si>
  <si>
    <t>EalingPark Properties Housing Association Ltd</t>
  </si>
  <si>
    <t>EalingPeabody Trust</t>
  </si>
  <si>
    <t>EalingPlaces for People Homes Limited</t>
  </si>
  <si>
    <t>EalingPolish Retired Persons Housing Association Limited</t>
  </si>
  <si>
    <t>EalingSanctuary Housing Association</t>
  </si>
  <si>
    <t>EalingSouthern Housing</t>
  </si>
  <si>
    <t>EalingSovereign Network Group</t>
  </si>
  <si>
    <t>EalingSt Christopher's Fellowship</t>
  </si>
  <si>
    <t>EalingSt Mungo Community Housing Association</t>
  </si>
  <si>
    <t>EalingStonewater Limited</t>
  </si>
  <si>
    <t>EalingTBG Open Door Limited</t>
  </si>
  <si>
    <t>EalingTamil Community Housing Association Limited</t>
  </si>
  <si>
    <t>EalingThames Valley Housing Association Limited</t>
  </si>
  <si>
    <t>EalingThe Abbeyfield London Polish Society Limited</t>
  </si>
  <si>
    <t>EalingThe Guinness Partnership Limited</t>
  </si>
  <si>
    <t>EalingThe Riverside Group Limited</t>
  </si>
  <si>
    <t>EalingWandle Housing Association Limited</t>
  </si>
  <si>
    <t>EalingWater Tower Housing Co-operative Limited</t>
  </si>
  <si>
    <t>EalingWatford Community Housing Trust</t>
  </si>
  <si>
    <t>EalingWaythrough</t>
  </si>
  <si>
    <t>EalingWestlon Housing Association Limited</t>
  </si>
  <si>
    <t>EalingWindrush Alliance UK Community Interest Company</t>
  </si>
  <si>
    <t>EalingYMCA St Paul's Group</t>
  </si>
  <si>
    <t>East CambridgeshireAccent Housing Limited</t>
  </si>
  <si>
    <t>East CambridgeshireAmplius Living</t>
  </si>
  <si>
    <t>East CambridgeshireClarion Housing Association Limited</t>
  </si>
  <si>
    <t>East CambridgeshireCross Keys Homes Limited</t>
  </si>
  <si>
    <t>East CambridgeshireEastlight Community Homes Limited</t>
  </si>
  <si>
    <t>East CambridgeshireEmpower Housing Association Limited</t>
  </si>
  <si>
    <t>East CambridgeshireEnglish Rural Housing Association Limited</t>
  </si>
  <si>
    <t>East CambridgeshireFlagship Housing Limited</t>
  </si>
  <si>
    <t>East CambridgeshireHastoe Housing Association Limited</t>
  </si>
  <si>
    <t>East CambridgeshireHeylo Housing Registered Provider Limited</t>
  </si>
  <si>
    <t>East CambridgeshireHundred Houses Society Limited</t>
  </si>
  <si>
    <t>East CambridgeshireM&amp;G UK Shared Ownership Limited</t>
  </si>
  <si>
    <t>East CambridgeshireMetropolitan Housing Trust Limited</t>
  </si>
  <si>
    <t>East CambridgeshireMuir Group Housing Association Limited</t>
  </si>
  <si>
    <t>East CambridgeshireOrbit Group Limited</t>
  </si>
  <si>
    <t>East CambridgeshireOrbit Housing Association Limited</t>
  </si>
  <si>
    <t>East CambridgeshirePeabody Trust</t>
  </si>
  <si>
    <t>East CambridgeshirePlaces for People Living+ Limited</t>
  </si>
  <si>
    <t>East CambridgeshireProgress Housing Association Limited</t>
  </si>
  <si>
    <t>East CambridgeshireSaffron Housing Trust Limited</t>
  </si>
  <si>
    <t>East CambridgeshireSage Homes RP Limited</t>
  </si>
  <si>
    <t>East CambridgeshireSage Rented Limited</t>
  </si>
  <si>
    <t>East CambridgeshireSanctuary Affordable Housing Limited</t>
  </si>
  <si>
    <t>East CambridgeshireSanctuary Housing Association</t>
  </si>
  <si>
    <t>East CambridgeshireSimply Affordable Homes RP Limited</t>
  </si>
  <si>
    <t>East CambridgeshireSovereign Network Group</t>
  </si>
  <si>
    <t>East CambridgeshireSparrow Shared Ownership Limited</t>
  </si>
  <si>
    <t>East CambridgeshireStonewater Limited</t>
  </si>
  <si>
    <t>East CambridgeshireThe Cambridge Housing Society Limited</t>
  </si>
  <si>
    <t>East CambridgeshireThe Havebury Housing Partnership</t>
  </si>
  <si>
    <t>East CambridgeshireThe Papworth Trust</t>
  </si>
  <si>
    <t>East Cambridgeshirebpha Limited</t>
  </si>
  <si>
    <t>East DevonAbbeyfield (East Devon) Society Ltd</t>
  </si>
  <si>
    <t>East DevonAbri Group Limited</t>
  </si>
  <si>
    <t>East DevonAdvance Housing and Support Limited</t>
  </si>
  <si>
    <t>East DevonAster 3 Limited</t>
  </si>
  <si>
    <t>East DevonAster Communities</t>
  </si>
  <si>
    <t>East DevonBeer Community Land Trust Limited</t>
  </si>
  <si>
    <t>East DevonBespoke Supportive Tenancies Ltd</t>
  </si>
  <si>
    <t>East DevonCornerstone Housing Limited</t>
  </si>
  <si>
    <t>East DevonElim Housing Association Limited</t>
  </si>
  <si>
    <t>East DevonEnglish Rural Housing Association Limited</t>
  </si>
  <si>
    <t>East DevonFalcon Housing Association C.I.C</t>
  </si>
  <si>
    <t>East DevonGolden Lane Housing Limited</t>
  </si>
  <si>
    <t>East DevonHastoe Housing Association Limited</t>
  </si>
  <si>
    <t>East DevonHeylo Housing Registered Provider Limited</t>
  </si>
  <si>
    <t>East DevonHousing 21</t>
  </si>
  <si>
    <t>East DevonInclusion Housing Community Interest Company</t>
  </si>
  <si>
    <t>East DevonLiveWest Homes Limited</t>
  </si>
  <si>
    <t>East DevonNew Foundations Housing Association Limited</t>
  </si>
  <si>
    <t>East DevonNewarch Homes Limited</t>
  </si>
  <si>
    <t>East DevonProgress Housing Association Limited</t>
  </si>
  <si>
    <t>East DevonReSI Homes Limited</t>
  </si>
  <si>
    <t>East DevonSage Homes RP Limited</t>
  </si>
  <si>
    <t>East DevonSalvation Army Housing Association</t>
  </si>
  <si>
    <t>East DevonSanctuary Affordable Housing Limited</t>
  </si>
  <si>
    <t>East DevonSanctuary Housing Association</t>
  </si>
  <si>
    <t>East DevonSidlife Limited</t>
  </si>
  <si>
    <t>East DevonSovereign Network Group</t>
  </si>
  <si>
    <t>East DevonStonewater Limited</t>
  </si>
  <si>
    <t>East DevonSynergy Housing Limited</t>
  </si>
  <si>
    <t>East DevonTeign Housing</t>
  </si>
  <si>
    <t>East DevonThe Bampfylde Almshouse Charity</t>
  </si>
  <si>
    <t>East DevonThe Guinness Partnership Limited</t>
  </si>
  <si>
    <t>East DevonTrinity Housing Association Limited</t>
  </si>
  <si>
    <t>East DevonWestward Housing Group Limited</t>
  </si>
  <si>
    <t>East DevonWillow Tree Housing Partnership Limited</t>
  </si>
  <si>
    <t>East HampshireA2Dominion Housing Options Limited</t>
  </si>
  <si>
    <t>East HampshireA2Dominion South Limited</t>
  </si>
  <si>
    <t>East HampshireAbility Housing Association</t>
  </si>
  <si>
    <t>East HampshireAbri Group Limited</t>
  </si>
  <si>
    <t>East HampshireAdvance Housing and Support Limited</t>
  </si>
  <si>
    <t>East HampshireAnchor Hanover Group</t>
  </si>
  <si>
    <t>East HampshireAster Communities</t>
  </si>
  <si>
    <t>East HampshireClarion Housing Association Limited</t>
  </si>
  <si>
    <t>East HampshireGolden Lane Housing Limited</t>
  </si>
  <si>
    <t>East HampshireHome Group Limited</t>
  </si>
  <si>
    <t>East HampshireLondon &amp; Quadrant Housing Trust</t>
  </si>
  <si>
    <t>East HampshireM&amp;G UK Shared Ownership Limited</t>
  </si>
  <si>
    <t>East HampshireMetropolitan Housing Trust Limited</t>
  </si>
  <si>
    <t>East HampshireMoat Homes Limited</t>
  </si>
  <si>
    <t>East HampshirePHA Homes Ltd</t>
  </si>
  <si>
    <t>East HampshirePlaces for People Homes Limited</t>
  </si>
  <si>
    <t>East HampshireReside Housing Association Limited</t>
  </si>
  <si>
    <t>East HampshireSage Rented Limited</t>
  </si>
  <si>
    <t>East HampshireSanctuary Housing Association</t>
  </si>
  <si>
    <t>East HampshireSouthern Housing</t>
  </si>
  <si>
    <t>East HampshireSovereign Network Group</t>
  </si>
  <si>
    <t>East HampshireSparrow Shared Ownership Limited</t>
  </si>
  <si>
    <t>East HampshireStonewater Limited</t>
  </si>
  <si>
    <t>East HampshireSynergy Housing Limited</t>
  </si>
  <si>
    <t>East HampshireThe Guinness Partnership Limited</t>
  </si>
  <si>
    <t>East HampshireThe Swaythling Housing Society Limited</t>
  </si>
  <si>
    <t>East HampshireTwo Saints Limited</t>
  </si>
  <si>
    <t>East HampshireVivid Housing Limited</t>
  </si>
  <si>
    <t>East HampshireWestmoreland Supported Housing Limited</t>
  </si>
  <si>
    <t>East HertfordshireB3 Living Limited</t>
  </si>
  <si>
    <t>East HertfordshireBespoke Supportive Tenancies Ltd</t>
  </si>
  <si>
    <t>East HertfordshireBraughing Housing Association Limited</t>
  </si>
  <si>
    <t>East HertfordshireChelmer Housing Partnership Limited</t>
  </si>
  <si>
    <t>East HertfordshireClarion Housing Association Limited</t>
  </si>
  <si>
    <t>East HertfordshireEnglish Rural Housing Association Limited</t>
  </si>
  <si>
    <t>East HertfordshireFirst Garden Cities Homes Limited</t>
  </si>
  <si>
    <t>East HertfordshireFirst Priority Housing Association Limited</t>
  </si>
  <si>
    <t>East HertfordshireHastoe Housing Association Limited</t>
  </si>
  <si>
    <t>East HertfordshireHightown Housing Association Limited</t>
  </si>
  <si>
    <t>East HertfordshireHome Group Limited</t>
  </si>
  <si>
    <t>East HertfordshireHousing 21</t>
  </si>
  <si>
    <t>East HertfordshireInclusion Housing Community Interest Company</t>
  </si>
  <si>
    <t>East HertfordshireLegal &amp; General Affordable Homes (AR) LLP</t>
  </si>
  <si>
    <t>East HertfordshireLegal &amp; General Affordable Homes Limited</t>
  </si>
  <si>
    <t>East HertfordshireLondon &amp; Quadrant Housing Trust</t>
  </si>
  <si>
    <t>East HertfordshireMetropolitan Housing Trust Limited</t>
  </si>
  <si>
    <t>East HertfordshireNotting Hill Genesis</t>
  </si>
  <si>
    <t>East HertfordshireNotting Hill Home Ownership Limited</t>
  </si>
  <si>
    <t>East HertfordshireOne YMCA</t>
  </si>
  <si>
    <t>East HertfordshireOrigin Housing Limited</t>
  </si>
  <si>
    <t>East HertfordshireParadigm Homes Charitable Housing Association Limited</t>
  </si>
  <si>
    <t>East HertfordshirePeabody Trust</t>
  </si>
  <si>
    <t>East HertfordshirePlaces for People Homes Limited</t>
  </si>
  <si>
    <t>East HertfordshireSage Homes RP Limited</t>
  </si>
  <si>
    <t>East HertfordshireSage Rented Limited</t>
  </si>
  <si>
    <t>East HertfordshireSanctuary Housing Association</t>
  </si>
  <si>
    <t>East HertfordshireSettle Group</t>
  </si>
  <si>
    <t>East HertfordshireSovereign Network Group</t>
  </si>
  <si>
    <t>East HertfordshireSparrow Shared Ownership Limited</t>
  </si>
  <si>
    <t>East HertfordshireThe Papworth Trust</t>
  </si>
  <si>
    <t>East HertfordshireThrive Homes Limited</t>
  </si>
  <si>
    <t>East LindseyAcis Group Limited</t>
  </si>
  <si>
    <t>East LindseyAdvance Housing and Support Limited</t>
  </si>
  <si>
    <t>East LindseyAmplius Living</t>
  </si>
  <si>
    <t>East LindseyAnchor Hanover Group</t>
  </si>
  <si>
    <t>East LindseyDimensions (UK) Limited</t>
  </si>
  <si>
    <t>East LindseyEMH Housing and Regeneration Limited</t>
  </si>
  <si>
    <t>East LindseyFramework Housing Association</t>
  </si>
  <si>
    <t>East LindseyGolden Lane Housing Limited</t>
  </si>
  <si>
    <t>East LindseyGreat Places Housing Association</t>
  </si>
  <si>
    <t>East LindseyHeylo Housing Registered Provider Limited</t>
  </si>
  <si>
    <t>East LindseyHousing 21</t>
  </si>
  <si>
    <t>East LindseyLace Housing Limited</t>
  </si>
  <si>
    <t>East LindseyLeeds Federated Housing Association Limited</t>
  </si>
  <si>
    <t>East LindseyLincolnshire Housing Partnership Limited</t>
  </si>
  <si>
    <t>East LindseyLincolnshire Rural Housing Association Limited</t>
  </si>
  <si>
    <t>East LindseyNottingham Community Housing Association Limited</t>
  </si>
  <si>
    <t>East LindseyOngo Homes Limited</t>
  </si>
  <si>
    <t>East LindseyPlaces for People Homes Limited</t>
  </si>
  <si>
    <t>East LindseyPlatform Housing Limited</t>
  </si>
  <si>
    <t>East LindseyProgress Housing Association Limited</t>
  </si>
  <si>
    <t>East LindseySage Homes RP Limited</t>
  </si>
  <si>
    <t>East LindseySalvation Army Housing Association</t>
  </si>
  <si>
    <t>East LindseySanctuary Housing Association</t>
  </si>
  <si>
    <t>East LindseyStonewater Limited</t>
  </si>
  <si>
    <t>East LindseySwift Homes Limited</t>
  </si>
  <si>
    <t>East LindseyTown and Country Housing</t>
  </si>
  <si>
    <t>East Riding of Yorkshire54 North Homes Limited</t>
  </si>
  <si>
    <t>East Riding of YorkshireAccent Housing Limited</t>
  </si>
  <si>
    <t>East Riding of YorkshireAnchor Hanover Group</t>
  </si>
  <si>
    <t>East Riding of YorkshireArpeggio Properties Limited</t>
  </si>
  <si>
    <t>East Riding of YorkshireAuckland Home Solutions CIC</t>
  </si>
  <si>
    <t>East Riding of YorkshireAuxesia Homes Limited</t>
  </si>
  <si>
    <t>East Riding of YorkshireBespoke Supportive Tenancies Ltd</t>
  </si>
  <si>
    <t>East Riding of YorkshireBeyond Housing Limited</t>
  </si>
  <si>
    <t>East Riding of YorkshireBroadacres Housing Association Limited</t>
  </si>
  <si>
    <t>East Riding of YorkshireDimensions (UK) Limited</t>
  </si>
  <si>
    <t>East Riding of YorkshireGolden Lane Housing Limited</t>
  </si>
  <si>
    <t>East Riding of YorkshireGreat Places Housing Association</t>
  </si>
  <si>
    <t>East Riding of YorkshireHellens Residential Limited</t>
  </si>
  <si>
    <t>East Riding of YorkshireHeylo Housing Registered Provider Limited</t>
  </si>
  <si>
    <t>East Riding of YorkshireHilldale Housing Association Limited</t>
  </si>
  <si>
    <t>East Riding of YorkshireHome Group Limited</t>
  </si>
  <si>
    <t>East Riding of YorkshireHousing 21</t>
  </si>
  <si>
    <t>East Riding of YorkshireHull Churches Housing Association Limited</t>
  </si>
  <si>
    <t>East Riding of YorkshireHull and East Yorkshire Mind</t>
  </si>
  <si>
    <t>East Riding of YorkshireInclusion Housing Community Interest Company</t>
  </si>
  <si>
    <t>East Riding of YorkshireJoseph Rowntree Housing Trust</t>
  </si>
  <si>
    <t>East Riding of YorkshireKarbon Homes Limited</t>
  </si>
  <si>
    <t>East Riding of YorkshirePickering and Ferens Homes</t>
  </si>
  <si>
    <t>East Riding of YorkshirePlaces for People Homes Limited</t>
  </si>
  <si>
    <t>East Riding of YorkshirePlaces for People Living+ Limited</t>
  </si>
  <si>
    <t>East Riding of YorkshireProgress Housing Association Limited</t>
  </si>
  <si>
    <t>East Riding of YorkshireRailway Housing Association and Benefit Fund</t>
  </si>
  <si>
    <t>East Riding of YorkshireReside Housing Association Limited</t>
  </si>
  <si>
    <t>East Riding of YorkshireSage Homes RP Limited</t>
  </si>
  <si>
    <t>East Riding of YorkshireSage Rented Limited</t>
  </si>
  <si>
    <t>East Riding of YorkshireSanctuary Affordable Housing Limited</t>
  </si>
  <si>
    <t>East Riding of YorkshireSanctuary Housing Association</t>
  </si>
  <si>
    <t>East Riding of YorkshireSparrow Shared Ownership Limited</t>
  </si>
  <si>
    <t>East Riding of YorkshireSt Andrew Housing Co-operative Limited</t>
  </si>
  <si>
    <t>East Riding of YorkshireThe Guinness Partnership Limited</t>
  </si>
  <si>
    <t>East Riding of YorkshireThe Riverside Group Limited</t>
  </si>
  <si>
    <t>East Riding of YorkshireThirteen Housing Group Limited</t>
  </si>
  <si>
    <t>East Riding of YorkshireTogether Housing Association Limited</t>
  </si>
  <si>
    <t>East Riding of YorkshireTown and Country Housing</t>
  </si>
  <si>
    <t>East Riding of YorkshireVico Homes Limited</t>
  </si>
  <si>
    <t>East Riding of YorkshireYMCA Robin Hood Group</t>
  </si>
  <si>
    <t>East Riding of YorkshireYorkshire Housing Limited</t>
  </si>
  <si>
    <t>East StaffordshireAdvance Housing and Support Limited</t>
  </si>
  <si>
    <t>East StaffordshireAnchor Hanover Group</t>
  </si>
  <si>
    <t>East StaffordshireAspire Housing Limited</t>
  </si>
  <si>
    <t>East StaffordshireAuckland Home Solutions CIC</t>
  </si>
  <si>
    <t>East StaffordshireChrysalis Supported Association Limited</t>
  </si>
  <si>
    <t>East StaffordshireEMH Housing and Regeneration Limited</t>
  </si>
  <si>
    <t>East StaffordshireHeylo Housing Registered Provider Limited</t>
  </si>
  <si>
    <t>East StaffordshireHousing 21</t>
  </si>
  <si>
    <t>East StaffordshireInclusion Housing Community Interest Company</t>
  </si>
  <si>
    <t>East StaffordshireLegal &amp; General Affordable Homes Limited</t>
  </si>
  <si>
    <t>East StaffordshireM&amp;G UK Shared Ownership Limited</t>
  </si>
  <si>
    <t>East StaffordshireMetropolitan Housing Trust Limited</t>
  </si>
  <si>
    <t>East StaffordshireMidland Heart Limited</t>
  </si>
  <si>
    <t>East StaffordshirePark Properties Housing Association Ltd</t>
  </si>
  <si>
    <t>East StaffordshirePlaces for People Living+ Limited</t>
  </si>
  <si>
    <t>East StaffordshirePlatform Housing Limited</t>
  </si>
  <si>
    <t>East StaffordshireSage Homes RP Limited</t>
  </si>
  <si>
    <t>East StaffordshireSage Rented Limited</t>
  </si>
  <si>
    <t>East StaffordshireSanctuary Housing Association</t>
  </si>
  <si>
    <t>East StaffordshireSparrow Shared Ownership Limited</t>
  </si>
  <si>
    <t>East StaffordshireThe Riverside Group Limited</t>
  </si>
  <si>
    <t>East StaffordshireTrent &amp; Dove Housing Limited</t>
  </si>
  <si>
    <t>East StaffordshireTuntum Housing Association Limited</t>
  </si>
  <si>
    <t>East SuffolkAnchor Hanover Group</t>
  </si>
  <si>
    <t>East SuffolkAsett Homes Ltd</t>
  </si>
  <si>
    <t>East SuffolkBroadland Housing Association Limited</t>
  </si>
  <si>
    <t>East SuffolkEastlight Community Homes Limited</t>
  </si>
  <si>
    <t>East SuffolkEnglish Rural Housing Association Limited</t>
  </si>
  <si>
    <t>East SuffolkFalcon Housing Association C.I.C</t>
  </si>
  <si>
    <t>East SuffolkFlagship Housing Limited</t>
  </si>
  <si>
    <t>East SuffolkGolden Lane Housing Limited</t>
  </si>
  <si>
    <t>East SuffolkHastoe Housing Association Limited</t>
  </si>
  <si>
    <t>East SuffolkHome Group Limited</t>
  </si>
  <si>
    <t>East SuffolkHousing 21</t>
  </si>
  <si>
    <t>East SuffolkMTD Housing Limited</t>
  </si>
  <si>
    <t>East SuffolkNewarch Homes Limited</t>
  </si>
  <si>
    <t>East SuffolkOrbit Group Limited</t>
  </si>
  <si>
    <t>East SuffolkOrbit Housing Association Limited</t>
  </si>
  <si>
    <t>East SuffolkOrwell Housing Association Limited</t>
  </si>
  <si>
    <t>East SuffolkPark Properties Housing Association Ltd</t>
  </si>
  <si>
    <t>East SuffolkPeal Community Housing Limited</t>
  </si>
  <si>
    <t>East SuffolkPlaces for People Homes Limited</t>
  </si>
  <si>
    <t>East SuffolkPlaces for People Living+ Limited</t>
  </si>
  <si>
    <t>East SuffolkProgress Housing Association Limited</t>
  </si>
  <si>
    <t>East SuffolkSaffron Housing Trust Limited</t>
  </si>
  <si>
    <t>East SuffolkSage Homes RP Limited</t>
  </si>
  <si>
    <t>East SuffolkSage Rented Limited</t>
  </si>
  <si>
    <t>East SuffolkSanctuary Affordable Housing Limited</t>
  </si>
  <si>
    <t>East SuffolkSanctuary Housing Association</t>
  </si>
  <si>
    <t>East SuffolkSolo Housing (East Anglia)</t>
  </si>
  <si>
    <t>East SuffolkThe Havebury Housing Partnership</t>
  </si>
  <si>
    <t>East SuffolkThe Lowestoft Church &amp; Town Almshouse Charity</t>
  </si>
  <si>
    <t>East SuffolkThe Ogilvie Charities (Deed No.1)</t>
  </si>
  <si>
    <t>East SuffolkThe Papworth Trust</t>
  </si>
  <si>
    <t>East SuffolkThe Sybil Carthew Trust</t>
  </si>
  <si>
    <t>East SuffolkV &amp; F Homes Limited</t>
  </si>
  <si>
    <t>EastbourneA2Dominion Homes Limited</t>
  </si>
  <si>
    <t>EastbourneAbbeyfield South Downs Limited</t>
  </si>
  <si>
    <t>EastbourneAnchor Hanover Group</t>
  </si>
  <si>
    <t>EastbourneArpeggio Properties Limited</t>
  </si>
  <si>
    <t>EastbourneBespoke Supportive Tenancies Ltd</t>
  </si>
  <si>
    <t>EastbourneClarion Housing Association Limited</t>
  </si>
  <si>
    <t>EastbourneFirst Priority Housing Association Limited</t>
  </si>
  <si>
    <t>EastbourneHastoe Housing Association Limited</t>
  </si>
  <si>
    <t>EastbourneHome Group Limited</t>
  </si>
  <si>
    <t>EastbourneHousing 21</t>
  </si>
  <si>
    <t>EastbourneLondon &amp; Quadrant Housing Trust</t>
  </si>
  <si>
    <t>EastbourneM&amp;G UK Shared Ownership Limited</t>
  </si>
  <si>
    <t>EastbourneMoat Homes Limited</t>
  </si>
  <si>
    <t>EastbourneOrbit Group Limited</t>
  </si>
  <si>
    <t>EastbourneOrbit Housing Association Limited</t>
  </si>
  <si>
    <t>EastbournePlaces for People Homes Limited</t>
  </si>
  <si>
    <t>EastbourneSalvation Army Housing Association</t>
  </si>
  <si>
    <t>EastbourneSanctuary Housing Association</t>
  </si>
  <si>
    <t>EastbourneSaxon Weald</t>
  </si>
  <si>
    <t>EastbourneSouthdown Housing Association Limited</t>
  </si>
  <si>
    <t>EastbourneSouthern Housing</t>
  </si>
  <si>
    <t>EastbourneStonewater (5) Limited</t>
  </si>
  <si>
    <t>EastbourneStonewater Limited</t>
  </si>
  <si>
    <t>EastbourneSussex Housing and Care</t>
  </si>
  <si>
    <t>EastbourneTown and Country Housing</t>
  </si>
  <si>
    <t>EastbourneYMCA Downslink Group</t>
  </si>
  <si>
    <t>EastleighA2Dominion South Limited</t>
  </si>
  <si>
    <t>EastleighAbri Group Limited</t>
  </si>
  <si>
    <t>EastleighAdvance Housing and Support Limited</t>
  </si>
  <si>
    <t>EastleighAnchor Hanover Group</t>
  </si>
  <si>
    <t>EastleighAster 3 Limited</t>
  </si>
  <si>
    <t>EastleighAster Communities</t>
  </si>
  <si>
    <t>EastleighBespoke Supportive Tenancies Ltd</t>
  </si>
  <si>
    <t>EastleighClarion Housing Association Limited</t>
  </si>
  <si>
    <t>EastleighCollins Memorial Trust</t>
  </si>
  <si>
    <t>EastleighEncircle Housing</t>
  </si>
  <si>
    <t>EastleighGolden Lane Housing Limited</t>
  </si>
  <si>
    <t>EastleighHeylo Housing Registered Provider Limited</t>
  </si>
  <si>
    <t>EastleighHilldale Housing Association Limited</t>
  </si>
  <si>
    <t>EastleighHome Group Limited</t>
  </si>
  <si>
    <t>EastleighHousing 21</t>
  </si>
  <si>
    <t>EastleighHyde Housing Association Limited</t>
  </si>
  <si>
    <t>EastleighLondon &amp; Quadrant Housing Trust</t>
  </si>
  <si>
    <t>EastleighNotting Hill Home Ownership Limited</t>
  </si>
  <si>
    <t>EastleighPlaces for People Homes Limited</t>
  </si>
  <si>
    <t>EastleighReside Housing Association Limited</t>
  </si>
  <si>
    <t>EastleighSaxon Weald</t>
  </si>
  <si>
    <t>EastleighSouthern Housing</t>
  </si>
  <si>
    <t>EastleighSovereign Network Group</t>
  </si>
  <si>
    <t>EastleighStonewater Limited</t>
  </si>
  <si>
    <t>EastleighSynergy Housing Limited</t>
  </si>
  <si>
    <t>EastleighThe Swaythling Housing Society Limited</t>
  </si>
  <si>
    <t>EastleighTwo Saints Limited</t>
  </si>
  <si>
    <t>EastleighVivid Housing Limited</t>
  </si>
  <si>
    <t>EastleighWestmoreland Supported Housing Limited</t>
  </si>
  <si>
    <t>ElmbridgeA2Dominion Housing Options Limited</t>
  </si>
  <si>
    <t>ElmbridgeA2Dominion South Limited</t>
  </si>
  <si>
    <t>ElmbridgeAdvance Housing and Support Limited</t>
  </si>
  <si>
    <t>ElmbridgeGolden Lane Housing Limited</t>
  </si>
  <si>
    <t>ElmbridgeHastoe Housing Association Limited</t>
  </si>
  <si>
    <t>ElmbridgeHeylo Housing Registered Provider Limited</t>
  </si>
  <si>
    <t>ElmbridgeKaribu Community Homes Limited</t>
  </si>
  <si>
    <t>ElmbridgeKingston upon Thames Churches Housing Association Limited</t>
  </si>
  <si>
    <t>ElmbridgeLondon &amp; Quadrant Housing Trust</t>
  </si>
  <si>
    <t>ElmbridgeMetropolitan Housing Trust Limited</t>
  </si>
  <si>
    <t>ElmbridgeMount Green Housing Association Limited</t>
  </si>
  <si>
    <t>ElmbridgeParagon Asra Housing Limited</t>
  </si>
  <si>
    <t>ElmbridgePeabody Trust</t>
  </si>
  <si>
    <t>ElmbridgeReside Housing Association Limited</t>
  </si>
  <si>
    <t>ElmbridgeSanctuary Affordable Housing Limited</t>
  </si>
  <si>
    <t>ElmbridgeSouthern Housing</t>
  </si>
  <si>
    <t>ElmbridgeThames Ditton Homes Limited</t>
  </si>
  <si>
    <t>ElmbridgeThe Sons of Divine Providence</t>
  </si>
  <si>
    <t>ElmbridgeThe Whiteley Homes Trust</t>
  </si>
  <si>
    <t>ElmbridgeTransform Housing &amp; Support</t>
  </si>
  <si>
    <t>ElmbridgeWalton-on-Thames Charity</t>
  </si>
  <si>
    <t>ElmbridgeWestmoreland Supported Housing Limited</t>
  </si>
  <si>
    <t>ElmbridgeYMCA St Paul's Group</t>
  </si>
  <si>
    <t>EnfieldA2Dominion Homes Limited</t>
  </si>
  <si>
    <t>EnfieldAccess Homes Housing Association Limited</t>
  </si>
  <si>
    <t>EnfieldAnchor Hanover Group</t>
  </si>
  <si>
    <t>EnfieldArhag Housing Association Limited</t>
  </si>
  <si>
    <t>EnfieldArpeggio Properties Limited</t>
  </si>
  <si>
    <t>EnfieldAuckland Home Solutions CIC</t>
  </si>
  <si>
    <t>EnfieldBlue Square Residential Ltd</t>
  </si>
  <si>
    <t>EnfieldChristian Action (Enfield) Housing Association Limited</t>
  </si>
  <si>
    <t>EnfieldClarion Housing Association Limited</t>
  </si>
  <si>
    <t>EnfieldCromwood Housing Ltd</t>
  </si>
  <si>
    <t>EnfieldDovepark Properties Limited</t>
  </si>
  <si>
    <t>EnfieldGolden Lane Housing Limited</t>
  </si>
  <si>
    <t>EnfieldHabinteg Housing Association Limited</t>
  </si>
  <si>
    <t>EnfieldHeylo Housing Registered Provider Limited</t>
  </si>
  <si>
    <t>EnfieldHilldale Housing Association Limited</t>
  </si>
  <si>
    <t>EnfieldHome Group Limited</t>
  </si>
  <si>
    <t>EnfieldHousing 21</t>
  </si>
  <si>
    <t>EnfieldHousing Pathways Trust</t>
  </si>
  <si>
    <t>EnfieldInclusion Housing Community Interest Company</t>
  </si>
  <si>
    <t>EnfieldInnisfree Housing Association Limited</t>
  </si>
  <si>
    <t>EnfieldKaribu Community Homes Limited</t>
  </si>
  <si>
    <t>EnfieldLegal &amp; General Affordable Homes Limited</t>
  </si>
  <si>
    <t>EnfieldLocal Space</t>
  </si>
  <si>
    <t>EnfieldLondon &amp; Quadrant Housing Trust</t>
  </si>
  <si>
    <t>EnfieldMetropolitan Housing Trust Limited</t>
  </si>
  <si>
    <t>EnfieldMoat Homes Limited</t>
  </si>
  <si>
    <t>EnfieldNewlon Housing Trust</t>
  </si>
  <si>
    <t>EnfieldNorth London Muslim Housing Association Limited</t>
  </si>
  <si>
    <t>EnfieldNotting Hill Genesis</t>
  </si>
  <si>
    <t>EnfieldNotting Hill Home Ownership Limited</t>
  </si>
  <si>
    <t>EnfieldOrbit Group Limited</t>
  </si>
  <si>
    <t>EnfieldOrigin Housing 2 Limited</t>
  </si>
  <si>
    <t>EnfieldOrigin Housing Limited</t>
  </si>
  <si>
    <t>EnfieldParadigm Homes Charitable Housing Association Limited</t>
  </si>
  <si>
    <t>EnfieldParasol Homes Limited</t>
  </si>
  <si>
    <t>EnfieldPeabody Trust</t>
  </si>
  <si>
    <t>EnfieldPlaces for People Homes Limited</t>
  </si>
  <si>
    <t>EnfieldSage Homes RP Limited</t>
  </si>
  <si>
    <t>EnfieldSanctuary Housing Association</t>
  </si>
  <si>
    <t>EnfieldSouthern Housing</t>
  </si>
  <si>
    <t>EnfieldSovereign Network Group</t>
  </si>
  <si>
    <t>EnfieldSpringboard Two Housing Association Limited</t>
  </si>
  <si>
    <t>EnfieldStroud Green Housing Co-operative Limited</t>
  </si>
  <si>
    <t>EnfieldTBG Open Door Limited</t>
  </si>
  <si>
    <t>EnfieldTamil Community Housing Association Limited</t>
  </si>
  <si>
    <t>EnfieldThe Guinness Partnership Limited</t>
  </si>
  <si>
    <t>EnfieldThe Riverside Group Limited</t>
  </si>
  <si>
    <t>EnfieldThe Skinners'  Almshouse Charity</t>
  </si>
  <si>
    <t>EnfieldWestmoreland Supported Housing Limited</t>
  </si>
  <si>
    <t>EnfieldWindrush Alliance UK Community Interest Company</t>
  </si>
  <si>
    <t>Epping ForestAbility Housing Association</t>
  </si>
  <si>
    <t>Epping ForestAnchor Hanover Group</t>
  </si>
  <si>
    <t>Epping ForestAuckland Home Solutions CIC</t>
  </si>
  <si>
    <t>Epping ForestB3 Living Limited</t>
  </si>
  <si>
    <t>Epping ForestChelmer Housing Partnership Limited</t>
  </si>
  <si>
    <t>Epping ForestClarion Housing Association Limited</t>
  </si>
  <si>
    <t>Epping ForestEstuary Housing Association Limited</t>
  </si>
  <si>
    <t>Epping ForestHastoe Housing Association Limited</t>
  </si>
  <si>
    <t>Epping ForestHome Group Limited</t>
  </si>
  <si>
    <t>Epping ForestLondon &amp; Quadrant Housing Trust</t>
  </si>
  <si>
    <t>Epping ForestMetropolitan Housing Trust Limited</t>
  </si>
  <si>
    <t>Epping ForestMoat Homes Limited</t>
  </si>
  <si>
    <t>Epping ForestNACRO</t>
  </si>
  <si>
    <t>Epping ForestNotting Hill Genesis</t>
  </si>
  <si>
    <t>Epping ForestPeabody Trust</t>
  </si>
  <si>
    <t>Epping ForestPlaces for People Homes Limited</t>
  </si>
  <si>
    <t>Epping ForestSaffron Housing Trust Limited</t>
  </si>
  <si>
    <t>Epping ForestSanctuary Housing Association</t>
  </si>
  <si>
    <t>Epping ForestSovereign Network Group</t>
  </si>
  <si>
    <t>Epping ForestSwan Housing Association Limited</t>
  </si>
  <si>
    <t>Epping ForestThe Baker's Benevolent Society</t>
  </si>
  <si>
    <t>Epping ForestThe Papworth Trust</t>
  </si>
  <si>
    <t>Epping ForestThe Riverside Group Limited</t>
  </si>
  <si>
    <t>Epsom and EwellAdvance Housing and Support Limited</t>
  </si>
  <si>
    <t>Epsom and EwellAuckland Home Solutions CIC</t>
  </si>
  <si>
    <t>Epsom and EwellBespoke Supportive Tenancies Ltd</t>
  </si>
  <si>
    <t>Epsom and EwellClarion Housing Association Limited</t>
  </si>
  <si>
    <t>Epsom and EwellEpsom and Ewell Housing Association Limited</t>
  </si>
  <si>
    <t>Epsom and EwellHilldale Housing Association Limited</t>
  </si>
  <si>
    <t>Epsom and EwellHome Group Limited</t>
  </si>
  <si>
    <t>Epsom and EwellInclusion Housing Community Interest Company</t>
  </si>
  <si>
    <t>Epsom and EwellLondon &amp; Quadrant Housing Trust</t>
  </si>
  <si>
    <t>Epsom and EwellMTD Housing Limited</t>
  </si>
  <si>
    <t>Epsom and EwellMalins Affordable Homes Limited</t>
  </si>
  <si>
    <t>Epsom and EwellMetropolitan Housing Trust Limited</t>
  </si>
  <si>
    <t>Epsom and EwellMount Green Housing Association Limited</t>
  </si>
  <si>
    <t>Epsom and EwellOrbit Group Limited</t>
  </si>
  <si>
    <t>Epsom and EwellOrbit Housing Association Limited</t>
  </si>
  <si>
    <t>Epsom and EwellParagon Asra Housing Limited</t>
  </si>
  <si>
    <t>Epsom and EwellRaven Housing Trust Limited</t>
  </si>
  <si>
    <t>Epsom and EwellSanctuary Affordable Housing Limited</t>
  </si>
  <si>
    <t>Epsom and EwellSouthern Oaks Retirement Living</t>
  </si>
  <si>
    <t>Epsom and EwellThe Grange Centre for People with Disabilities</t>
  </si>
  <si>
    <t>Epsom and EwellThe Guinness Partnership Limited</t>
  </si>
  <si>
    <t>Epsom and EwellThe Riverside Group Limited</t>
  </si>
  <si>
    <t>Epsom and EwellTown and Country Housing</t>
  </si>
  <si>
    <t>Epsom and EwellTransform Housing &amp; Support</t>
  </si>
  <si>
    <t>Epsom and EwellWandle Housing Association Limited</t>
  </si>
  <si>
    <t>Epsom and EwellWestmoreland Supported Housing Limited</t>
  </si>
  <si>
    <t>ErewashAmplius Living</t>
  </si>
  <si>
    <t>ErewashDerventio Housing Trust CIC</t>
  </si>
  <si>
    <t>ErewashEMH Housing and Regeneration Limited</t>
  </si>
  <si>
    <t>ErewashEncircle Housing</t>
  </si>
  <si>
    <t>ErewashFramework Housing Association</t>
  </si>
  <si>
    <t>ErewashFutures Homescape Limited</t>
  </si>
  <si>
    <t>ErewashFutures Homeway Limited</t>
  </si>
  <si>
    <t>ErewashGolden Lane Housing Limited</t>
  </si>
  <si>
    <t>ErewashHousing 21</t>
  </si>
  <si>
    <t>ErewashInclusion Housing Community Interest Company</t>
  </si>
  <si>
    <t>ErewashM&amp;G UK Shared Ownership Limited</t>
  </si>
  <si>
    <t>ErewashMetropolitan Housing Trust Limited</t>
  </si>
  <si>
    <t>ErewashMidland Heart Limited</t>
  </si>
  <si>
    <t>ErewashNottingham Community Housing Association Limited</t>
  </si>
  <si>
    <t>ErewashPlaces for People Homes Limited</t>
  </si>
  <si>
    <t>ErewashPlaces for People Living+ Limited</t>
  </si>
  <si>
    <t>ErewashPlatform Housing Limited</t>
  </si>
  <si>
    <t>ErewashSalvation Army Housing Association</t>
  </si>
  <si>
    <t>ErewashThe Guinness Partnership Limited</t>
  </si>
  <si>
    <t>ErewashThe Riverside Group Limited</t>
  </si>
  <si>
    <t>ErewashTuntum Housing Association Limited</t>
  </si>
  <si>
    <t>ExeterAdvance Housing and Support Limited</t>
  </si>
  <si>
    <t>ExeterAster Communities</t>
  </si>
  <si>
    <t>ExeterBournemouth Churches Housing Association Limited</t>
  </si>
  <si>
    <t>ExeterCity of Exeter YMCA</t>
  </si>
  <si>
    <t>ExeterClarion Housing Association Limited</t>
  </si>
  <si>
    <t>ExeterCornerstone Housing Limited</t>
  </si>
  <si>
    <t>ExeterExeter Homes Trust</t>
  </si>
  <si>
    <t>ExeterFalcon Housing Association C.I.C</t>
  </si>
  <si>
    <t>ExeterFirst Priority Housing Association Limited</t>
  </si>
  <si>
    <t>ExeterGolden Lane Housing Limited</t>
  </si>
  <si>
    <t>ExeterHome Group Limited</t>
  </si>
  <si>
    <t>ExeterInclusion Housing Community Interest Company</t>
  </si>
  <si>
    <t>ExeterJulian House</t>
  </si>
  <si>
    <t>ExeterLiveWest Homes Limited</t>
  </si>
  <si>
    <t>ExeterLondon &amp; Quadrant Housing Trust</t>
  </si>
  <si>
    <t>ExeterMagna Housing Limited</t>
  </si>
  <si>
    <t>ExeterMoat Homes Limited</t>
  </si>
  <si>
    <t>ExeterPlaces for People Homes Limited</t>
  </si>
  <si>
    <t>ExeterPlaces for People Living+ Limited</t>
  </si>
  <si>
    <t>ExeterProgress Housing Association Limited</t>
  </si>
  <si>
    <t>ExeterSalvation Army Housing Association</t>
  </si>
  <si>
    <t>ExeterSanctuary Housing Association</t>
  </si>
  <si>
    <t>ExeterSovereign Network Group</t>
  </si>
  <si>
    <t>ExeterStonewater Limited</t>
  </si>
  <si>
    <t>ExeterSynergy Housing Limited</t>
  </si>
  <si>
    <t>ExeterTeign Housing</t>
  </si>
  <si>
    <t>ExeterThe Guinness Partnership Limited</t>
  </si>
  <si>
    <t>ExeterWestward Housing Group Limited</t>
  </si>
  <si>
    <t>FarehamA2Dominion South Limited</t>
  </si>
  <si>
    <t>FarehamAbri Group Limited</t>
  </si>
  <si>
    <t>FarehamAdvance Housing and Support Limited</t>
  </si>
  <si>
    <t>FarehamAnchor Hanover Group</t>
  </si>
  <si>
    <t>FarehamAster Communities</t>
  </si>
  <si>
    <t>FarehamBespoke Supportive Tenancies Ltd</t>
  </si>
  <si>
    <t>FarehamBournemouth Churches Housing Association Limited</t>
  </si>
  <si>
    <t>FarehamChurch of England Soldiers' Sailors' and Airmen's Housing Association Limited</t>
  </si>
  <si>
    <t>FarehamClarion Housing Association Limited</t>
  </si>
  <si>
    <t>FarehamGolden Lane Housing Limited</t>
  </si>
  <si>
    <t>FarehamHeylo Housing Registered Provider Limited</t>
  </si>
  <si>
    <t>FarehamHilldale Housing Association Limited</t>
  </si>
  <si>
    <t>FarehamHome Group Limited</t>
  </si>
  <si>
    <t>FarehamHyde Housing Association Limited</t>
  </si>
  <si>
    <t>FarehamLegal &amp; General Affordable Homes Limited</t>
  </si>
  <si>
    <t>FarehamMartlet Homes Limited</t>
  </si>
  <si>
    <t>FarehamMoat Homes Limited</t>
  </si>
  <si>
    <t>FarehamOrigin Housing Limited</t>
  </si>
  <si>
    <t>FarehamPortsmouth Rotary Housing Association Limited</t>
  </si>
  <si>
    <t>FarehamProgress Housing Association Limited</t>
  </si>
  <si>
    <t>FarehamSage Rented Limited</t>
  </si>
  <si>
    <t>FarehamSanctuary Housing Association</t>
  </si>
  <si>
    <t>FarehamSparrow Shared Ownership Limited</t>
  </si>
  <si>
    <t>FarehamStonewater Limited</t>
  </si>
  <si>
    <t>FarehamThe Abbeyfield Fareham Society Limited</t>
  </si>
  <si>
    <t>FarehamThe Abbeyfield Society</t>
  </si>
  <si>
    <t>FarehamThe Guinness Partnership Limited</t>
  </si>
  <si>
    <t>FarehamThe Swaythling Housing Society Limited</t>
  </si>
  <si>
    <t>FarehamTwo Saints Limited</t>
  </si>
  <si>
    <t>FarehamVivid Housing Limited</t>
  </si>
  <si>
    <t>FenlandAccent Housing Limited</t>
  </si>
  <si>
    <t>FenlandAmplius Living</t>
  </si>
  <si>
    <t>FenlandAnchor Hanover Group</t>
  </si>
  <si>
    <t>FenlandBespoke Supportive Tenancies Ltd</t>
  </si>
  <si>
    <t>FenlandChrysalis Supported Association Limited</t>
  </si>
  <si>
    <t>FenlandClarion Housing Association Limited</t>
  </si>
  <si>
    <t>FenlandCross Keys Homes Limited</t>
  </si>
  <si>
    <t>FenlandFirst Priority Housing Association Limited</t>
  </si>
  <si>
    <t>FenlandFlagship Housing Limited</t>
  </si>
  <si>
    <t>FenlandGolden Lane Housing Limited</t>
  </si>
  <si>
    <t>FenlandHeylo Housing Registered Provider Limited</t>
  </si>
  <si>
    <t>FenlandHome Group Limited</t>
  </si>
  <si>
    <t>FenlandHousing 21</t>
  </si>
  <si>
    <t>FenlandHundred Houses Society Limited</t>
  </si>
  <si>
    <t>FenlandInclusion Housing Community Interest Company</t>
  </si>
  <si>
    <t>FenlandMetropolitan Housing Trust Limited</t>
  </si>
  <si>
    <t>FenlandMuir Group Housing Association Limited</t>
  </si>
  <si>
    <t>FenlandPeabody Trust</t>
  </si>
  <si>
    <t>FenlandPlaces for People Living+ Limited</t>
  </si>
  <si>
    <t>FenlandPlatform Housing Limited</t>
  </si>
  <si>
    <t>FenlandReSI Homes Limited</t>
  </si>
  <si>
    <t>FenlandRentplus Homes Limited</t>
  </si>
  <si>
    <t>FenlandReside Housing Association Limited</t>
  </si>
  <si>
    <t>FenlandSaffron Housing Trust Limited</t>
  </si>
  <si>
    <t>FenlandSage Homes RP Limited</t>
  </si>
  <si>
    <t>FenlandSanctuary Affordable Housing Limited</t>
  </si>
  <si>
    <t>FenlandSanctuary Housing Association</t>
  </si>
  <si>
    <t>FenlandThe Cambridge Housing Society Limited</t>
  </si>
  <si>
    <t>FenlandThe Papworth Trust</t>
  </si>
  <si>
    <t>FenlandWisbech Charities</t>
  </si>
  <si>
    <t>Fenlandbpha Limited</t>
  </si>
  <si>
    <t>Folkestone and HytheAnchor Hanover Group</t>
  </si>
  <si>
    <t>Folkestone and HytheBlenheim Housing Co-operative Limited</t>
  </si>
  <si>
    <t>Folkestone and HytheChrysalis Supported Association Limited</t>
  </si>
  <si>
    <t>Folkestone and HytheCo-operative Development Society Limited</t>
  </si>
  <si>
    <t>Folkestone and HytheEnglish Rural Housing Association Limited</t>
  </si>
  <si>
    <t>Folkestone and HytheFalcon Housing Association C.I.C</t>
  </si>
  <si>
    <t>Folkestone and HytheGolden Lane Housing Limited</t>
  </si>
  <si>
    <t>Folkestone and HytheHeylo Housing Registered Provider Limited</t>
  </si>
  <si>
    <t>Folkestone and HytheHousing 21</t>
  </si>
  <si>
    <t>Folkestone and HytheHyde Housing Association Limited</t>
  </si>
  <si>
    <t>Folkestone and HytheInclusion Housing Community Interest Company</t>
  </si>
  <si>
    <t>Folkestone and HytheJohn Bowley and Sherwood Almshouses</t>
  </si>
  <si>
    <t>Folkestone and HytheLondon &amp; Quadrant Housing Trust</t>
  </si>
  <si>
    <t>Folkestone and HytheMethodist Homes Housing Association Limited</t>
  </si>
  <si>
    <t>Folkestone and HytheMoat Farm Housing Co-operative Limited</t>
  </si>
  <si>
    <t>Folkestone and HytheMoat Homes Limited</t>
  </si>
  <si>
    <t>Folkestone and HytheOrbit Group Limited</t>
  </si>
  <si>
    <t>Folkestone and HytheOrbit Housing Association Limited</t>
  </si>
  <si>
    <t>Folkestone and HythePlaces for People Homes Limited</t>
  </si>
  <si>
    <t>Folkestone and HytheReside Housing Association Limited</t>
  </si>
  <si>
    <t>Folkestone and HytheSage Homes RP Limited</t>
  </si>
  <si>
    <t>Folkestone and HytheSage Rented Limited</t>
  </si>
  <si>
    <t>Folkestone and HytheSalvation Army Housing Association</t>
  </si>
  <si>
    <t>Folkestone and HytheSanctuary Affordable Housing Limited</t>
  </si>
  <si>
    <t>Folkestone and HytheSanctuary Housing Association</t>
  </si>
  <si>
    <t>Folkestone and HytheShorncliffe Housing Co-operative Limited</t>
  </si>
  <si>
    <t>Folkestone and HytheSouthern Housing</t>
  </si>
  <si>
    <t>Folkestone and HytheSparrow Shared Ownership Limited</t>
  </si>
  <si>
    <t>Folkestone and HytheThe Guinness Partnership Limited</t>
  </si>
  <si>
    <t>Folkestone and HytheThe Riverside Group Limited</t>
  </si>
  <si>
    <t>Folkestone and HytheThe Southlands Almshouse Charity</t>
  </si>
  <si>
    <t>Folkestone and HytheTown and Country Housing</t>
  </si>
  <si>
    <t>Folkestone and HytheTrinity Housing Association Limited</t>
  </si>
  <si>
    <t>Forest of DeanAdvance Housing and Support Limited</t>
  </si>
  <si>
    <t>Forest of DeanAnchor Hanover Group</t>
  </si>
  <si>
    <t>Forest of DeanAuckland Home Solutions CIC</t>
  </si>
  <si>
    <t>Forest of DeanBrighter Places</t>
  </si>
  <si>
    <t>Forest of DeanBromford Housing Association Limited</t>
  </si>
  <si>
    <t>Forest of DeanCitizen Housing Group Limited</t>
  </si>
  <si>
    <t>Forest of DeanEnglish Rural Housing Association Limited</t>
  </si>
  <si>
    <t>Forest of DeanFalcon Housing Association C.I.C</t>
  </si>
  <si>
    <t>Forest of DeanGloucester City Homes Limited</t>
  </si>
  <si>
    <t>Forest of DeanGolden Lane Housing Limited</t>
  </si>
  <si>
    <t>Forest of DeanHeylo Housing Registered Provider Limited</t>
  </si>
  <si>
    <t>Forest of DeanHilldale Housing Association Limited</t>
  </si>
  <si>
    <t>Forest of DeanHousing 21</t>
  </si>
  <si>
    <t>Forest of DeanLegal &amp; General Affordable Homes (AR) LLP</t>
  </si>
  <si>
    <t>Forest of DeanLegal &amp; General Affordable Homes Limited</t>
  </si>
  <si>
    <t>Forest of DeanLegal and General Affordable Homes (Capital) Limited</t>
  </si>
  <si>
    <t>Forest of DeanLiveWest Homes Limited</t>
  </si>
  <si>
    <t>Forest of DeanLondon &amp; Quadrant Housing Trust</t>
  </si>
  <si>
    <t>Forest of DeanMerlin Housing Society Limited</t>
  </si>
  <si>
    <t>Forest of DeanP3 Housing Limited</t>
  </si>
  <si>
    <t>Forest of DeanRooftop Housing Association Limited</t>
  </si>
  <si>
    <t>Forest of DeanSanctuary Housing Association</t>
  </si>
  <si>
    <t>Forest of DeanSovereign Network Group</t>
  </si>
  <si>
    <t>Forest of DeanStonewater Limited</t>
  </si>
  <si>
    <t>Forest of DeanThe Guinness Partnership Limited</t>
  </si>
  <si>
    <t>Forest of DeanTwo Rivers Housing</t>
  </si>
  <si>
    <t>Forest of DeanWestmoreland Supported Housing Limited</t>
  </si>
  <si>
    <t>Forest of DeanWyedean Housing Association Limited</t>
  </si>
  <si>
    <t>FyldeAccent Housing Limited</t>
  </si>
  <si>
    <t>FyldeArpeggio Properties Limited</t>
  </si>
  <si>
    <t>FyldeAuxesia Homes Limited</t>
  </si>
  <si>
    <t>FyldeBlackburn YMCA</t>
  </si>
  <si>
    <t>FyldeCare Housing Association Limited</t>
  </si>
  <si>
    <t>FyldeCommunity Gateway Association Limited</t>
  </si>
  <si>
    <t>FyldeEmpower Housing Association Limited</t>
  </si>
  <si>
    <t>FyldeEncircle Housing</t>
  </si>
  <si>
    <t>FyldeForHousing Limited</t>
  </si>
  <si>
    <t>FyldeGolden Lane Housing Limited</t>
  </si>
  <si>
    <t>FyldeGreat Places Housing Association</t>
  </si>
  <si>
    <t>FyldeHeylo Housing Registered Provider Limited</t>
  </si>
  <si>
    <t>FyldeInclusion Housing Community Interest Company</t>
  </si>
  <si>
    <t>FyldeJigsaw Homes North</t>
  </si>
  <si>
    <t>FyldeLegal &amp; General Affordable Homes Limited</t>
  </si>
  <si>
    <t>FyldeLets for Life</t>
  </si>
  <si>
    <t>FyldeMuir Group Housing Association Limited</t>
  </si>
  <si>
    <t>FyldeParasol Homes Limited</t>
  </si>
  <si>
    <t>FyldePlaces for People Homes Limited</t>
  </si>
  <si>
    <t>FyldePlaces for People Living+ Limited</t>
  </si>
  <si>
    <t>FyldeProgress Housing Association Limited</t>
  </si>
  <si>
    <t>FyldeRegenda Limited</t>
  </si>
  <si>
    <t>FyldeSage Homes RP Limited</t>
  </si>
  <si>
    <t>FyldeSage Rented Limited</t>
  </si>
  <si>
    <t>FyldeSparrow Shared Ownership Limited</t>
  </si>
  <si>
    <t>FyldeThe Guinness Partnership Limited</t>
  </si>
  <si>
    <t>FyldeWaythrough</t>
  </si>
  <si>
    <t>FyldeYour Housing Limited</t>
  </si>
  <si>
    <t>GatesheadAccent Housing Limited</t>
  </si>
  <si>
    <t>GatesheadAdler Housing</t>
  </si>
  <si>
    <t>GatesheadAnchor Hanover Group</t>
  </si>
  <si>
    <t>GatesheadBernicia Group</t>
  </si>
  <si>
    <t>GatesheadBespoke Supportive Tenancies Ltd</t>
  </si>
  <si>
    <t>GatesheadCastles &amp; Coasts Housing Association Limited</t>
  </si>
  <si>
    <t>GatesheadDurham Aged Mineworkers' Homes Association</t>
  </si>
  <si>
    <t>GatesheadGolden Lane Housing Limited</t>
  </si>
  <si>
    <t>GatesheadHome Group Limited</t>
  </si>
  <si>
    <t>GatesheadHousing 21</t>
  </si>
  <si>
    <t>GatesheadInclusion Housing Community Interest Company</t>
  </si>
  <si>
    <t>GatesheadKarbon Homes Limited</t>
  </si>
  <si>
    <t>GatesheadKeelman Homes Limited</t>
  </si>
  <si>
    <t>GatesheadPlaces for People Homes Limited</t>
  </si>
  <si>
    <t>GatesheadPlaces for People Living+ Limited</t>
  </si>
  <si>
    <t>GatesheadRailway Housing Association and Benefit Fund</t>
  </si>
  <si>
    <t>GatesheadReside Housing Association Limited</t>
  </si>
  <si>
    <t>GatesheadSanctuary Housing Association</t>
  </si>
  <si>
    <t>GatesheadTCUK Homes Limited</t>
  </si>
  <si>
    <t>GatesheadThe Riverside Group Limited</t>
  </si>
  <si>
    <t>GatesheadThirteen Housing Group Limited</t>
  </si>
  <si>
    <t>GatesheadTyne Housing Association Limited</t>
  </si>
  <si>
    <t>GatesheadWaythrough</t>
  </si>
  <si>
    <t>GedlingAccent Housing Limited</t>
  </si>
  <si>
    <t>GedlingAcis Group Limited</t>
  </si>
  <si>
    <t>GedlingAdvance Housing and Support Limited</t>
  </si>
  <si>
    <t>GedlingAmplius Living</t>
  </si>
  <si>
    <t>GedlingAnchor Hanover Group</t>
  </si>
  <si>
    <t>GedlingBespoke Supportive Tenancies Ltd</t>
  </si>
  <si>
    <t>GedlingEMH Housing and Regeneration Limited</t>
  </si>
  <si>
    <t>GedlingEmpower Housing Association Limited</t>
  </si>
  <si>
    <t>GedlingFramework Housing Association</t>
  </si>
  <si>
    <t>GedlingGolden Lane Housing Limited</t>
  </si>
  <si>
    <t>GedlingHilldale Housing Association Limited</t>
  </si>
  <si>
    <t>GedlingHome Group Limited</t>
  </si>
  <si>
    <t>GedlingHousing 21</t>
  </si>
  <si>
    <t>GedlingInclusion Housing Community Interest Company</t>
  </si>
  <si>
    <t>GedlingJigsaw Homes Midlands</t>
  </si>
  <si>
    <t>GedlingM&amp;G UK Shared Ownership Limited</t>
  </si>
  <si>
    <t>GedlingMetropolitan Housing Trust Limited</t>
  </si>
  <si>
    <t>GedlingNottingham Community Housing Association Limited</t>
  </si>
  <si>
    <t>GedlingParagon Asra Housing Limited</t>
  </si>
  <si>
    <t>GedlingPlaces for People Homes Limited</t>
  </si>
  <si>
    <t>GedlingPlaces for People Living+ Limited</t>
  </si>
  <si>
    <t>GedlingPlatform Housing Limited</t>
  </si>
  <si>
    <t>GedlingProgress Housing Association Limited</t>
  </si>
  <si>
    <t>GedlingSage Homes RP Limited</t>
  </si>
  <si>
    <t>GedlingSage Rented Limited</t>
  </si>
  <si>
    <t>GedlingThe Abbeyfield Society</t>
  </si>
  <si>
    <t>GedlingThe Guinness Partnership Limited</t>
  </si>
  <si>
    <t>GedlingTuntum Housing Association Limited</t>
  </si>
  <si>
    <t>GloucesterAdvance Housing and Support Limited</t>
  </si>
  <si>
    <t>GloucesterAnchor Hanover Group</t>
  </si>
  <si>
    <t>GloucesterAuckland Home Solutions CIC</t>
  </si>
  <si>
    <t>GloucesterBespoke Supportive Tenancies Ltd</t>
  </si>
  <si>
    <t>GloucesterBromford Housing Association Limited</t>
  </si>
  <si>
    <t>GloucesterCheltenham Young Men's Christian Association</t>
  </si>
  <si>
    <t>GloucesterCottsway Housing Association Limited</t>
  </si>
  <si>
    <t>GloucesterElim Housing Association Limited</t>
  </si>
  <si>
    <t>GloucesterEmpower Housing Association Limited</t>
  </si>
  <si>
    <t>GloucesterEncircle Housing</t>
  </si>
  <si>
    <t>GloucesterFalcon Housing Association C.I.C</t>
  </si>
  <si>
    <t>GloucesterFirst Priority Housing Association Limited</t>
  </si>
  <si>
    <t>GloucesterGloucester City Homes Limited</t>
  </si>
  <si>
    <t>GloucesterGolden Lane Housing Limited</t>
  </si>
  <si>
    <t>GloucesterGreenSquareAccord Limited</t>
  </si>
  <si>
    <t>GloucesterGuinness Housing Association Limited</t>
  </si>
  <si>
    <t>GloucesterHeylo Housing Registered Provider Limited</t>
  </si>
  <si>
    <t>GloucesterHome Group Limited</t>
  </si>
  <si>
    <t>GloucesterHousing 21</t>
  </si>
  <si>
    <t>GloucesterInclusion Housing Community Interest Company</t>
  </si>
  <si>
    <t>GloucesterLegal &amp; General Affordable Homes Limited</t>
  </si>
  <si>
    <t>GloucesterLiveWest Homes Limited</t>
  </si>
  <si>
    <t>GloucesterM&amp;G UK Shared Ownership Limited</t>
  </si>
  <si>
    <t>GloucesterMerlin Housing Society Limited</t>
  </si>
  <si>
    <t>GloucesterMoat Homes Limited</t>
  </si>
  <si>
    <t>GloucesterPlaces for People Homes Limited</t>
  </si>
  <si>
    <t>GloucesterPlaces for People Living+ Limited</t>
  </si>
  <si>
    <t>GloucesterPlatform Housing Limited</t>
  </si>
  <si>
    <t>GloucesterRooftop Housing Association Limited</t>
  </si>
  <si>
    <t>GloucesterSage Homes RP Limited</t>
  </si>
  <si>
    <t>GloucesterSanctuary Affordable Housing Limited</t>
  </si>
  <si>
    <t>GloucesterSovereign Network Group</t>
  </si>
  <si>
    <t>GloucesterStonewater Limited</t>
  </si>
  <si>
    <t>GloucesterThe Gloucester Charities Trust</t>
  </si>
  <si>
    <t>GloucesterThe Guinness Partnership Limited</t>
  </si>
  <si>
    <t>GloucesterThe Riverside Group Limited</t>
  </si>
  <si>
    <t>GloucesterTrinity Housing Association Limited</t>
  </si>
  <si>
    <t>GloucesterTwo Rivers Housing</t>
  </si>
  <si>
    <t>GloucesterWestmoreland Supported Housing Limited</t>
  </si>
  <si>
    <t>GosportAbri Group Limited</t>
  </si>
  <si>
    <t>GosportAdvance Housing and Support Limited</t>
  </si>
  <si>
    <t>GosportAgamemnon Housing Association Limited</t>
  </si>
  <si>
    <t>GosportAnchor Hanover Group</t>
  </si>
  <si>
    <t>GosportChurch of England Soldiers' Sailors' and Airmen's Housing Association Limited</t>
  </si>
  <si>
    <t>GosportHome Group Limited</t>
  </si>
  <si>
    <t>GosportInclusion Housing Community Interest Company</t>
  </si>
  <si>
    <t>GosportMartlet Homes Limited</t>
  </si>
  <si>
    <t>GosportMoat Homes Limited</t>
  </si>
  <si>
    <t>GosportPlaces for People Homes Limited</t>
  </si>
  <si>
    <t>GosportPlaces for People Living+ Limited</t>
  </si>
  <si>
    <t>GosportProgress Housing Association Limited</t>
  </si>
  <si>
    <t>GosportReside Housing Association Limited</t>
  </si>
  <si>
    <t>GosportSanctuary Housing Association</t>
  </si>
  <si>
    <t>GosportSouthern Housing</t>
  </si>
  <si>
    <t>GosportStonewater Limited</t>
  </si>
  <si>
    <t>GosportThe Abbeyfield Society</t>
  </si>
  <si>
    <t>GosportThe Guinness Partnership Limited</t>
  </si>
  <si>
    <t>GosportThe Society of St James</t>
  </si>
  <si>
    <t>GosportThe Swaythling Housing Society Limited</t>
  </si>
  <si>
    <t>GosportThorngate Churcher Trust</t>
  </si>
  <si>
    <t>GosportTwo Saints Limited</t>
  </si>
  <si>
    <t>GosportVivid Housing Limited</t>
  </si>
  <si>
    <t>GraveshamAdvance Housing and Support Limited</t>
  </si>
  <si>
    <t>GraveshamClarion Housing Association Limited</t>
  </si>
  <si>
    <t>GraveshamGolden Lane Housing Limited</t>
  </si>
  <si>
    <t>GraveshamGravesend Churches Housing Association Limited</t>
  </si>
  <si>
    <t>GraveshamHeart of Medway Housing Association Limited</t>
  </si>
  <si>
    <t>GraveshamHeylo Housing Registered Provider Limited</t>
  </si>
  <si>
    <t>GraveshamHome Group Limited</t>
  </si>
  <si>
    <t>GraveshamHyde Housing Association Limited</t>
  </si>
  <si>
    <t>GraveshamLondon &amp; Quadrant Housing Trust</t>
  </si>
  <si>
    <t>GraveshamMoat Homes Limited</t>
  </si>
  <si>
    <t>GraveshamOak Housing Limited</t>
  </si>
  <si>
    <t>GraveshamOrbit Group Limited</t>
  </si>
  <si>
    <t>GraveshamOrbit Housing Association Limited</t>
  </si>
  <si>
    <t>GraveshamPlaces for People Homes Limited</t>
  </si>
  <si>
    <t>GraveshamPlaces for People Living+ Limited</t>
  </si>
  <si>
    <t>GraveshamSage Rented Limited</t>
  </si>
  <si>
    <t>GraveshamSanctuary Affordable Housing Limited</t>
  </si>
  <si>
    <t>GraveshamSouthern Housing</t>
  </si>
  <si>
    <t>GraveshamSparrow Shared Ownership Limited</t>
  </si>
  <si>
    <t>GraveshamThe Henry Pinnock &amp; Victoria &amp; Albert Memorial Charity</t>
  </si>
  <si>
    <t>GraveshamTown and Country Housing</t>
  </si>
  <si>
    <t>GraveshamWest Kent Housing Association</t>
  </si>
  <si>
    <t>Great YarmouthAnchor Hanover Group</t>
  </si>
  <si>
    <t>Great YarmouthBroadland Housing Association Limited</t>
  </si>
  <si>
    <t>Great YarmouthClarion Housing Association Limited</t>
  </si>
  <si>
    <t>Great YarmouthEMH Housing and Regeneration Limited</t>
  </si>
  <si>
    <t>Great YarmouthFalcon Housing Association C.I.C</t>
  </si>
  <si>
    <t>Great YarmouthFlagship Housing Limited</t>
  </si>
  <si>
    <t>Great YarmouthGolden Lane Housing Limited</t>
  </si>
  <si>
    <t>Great YarmouthHerring House Trust (Great Yarmouth)</t>
  </si>
  <si>
    <t>Great YarmouthHousing 21</t>
  </si>
  <si>
    <t>Great YarmouthOrbit Group Limited</t>
  </si>
  <si>
    <t>Great YarmouthOrbit Housing Association Limited</t>
  </si>
  <si>
    <t>Great YarmouthOrwell Housing Association Limited</t>
  </si>
  <si>
    <t>Great YarmouthPlaces for People Homes Limited</t>
  </si>
  <si>
    <t>Great YarmouthPlaces for People Living+ Limited</t>
  </si>
  <si>
    <t>Great YarmouthProgress Housing Association Limited</t>
  </si>
  <si>
    <t>Great YarmouthReSI Homes Limited</t>
  </si>
  <si>
    <t>Great YarmouthReside Housing Association Limited</t>
  </si>
  <si>
    <t>Great YarmouthSaffron Housing Trust Limited</t>
  </si>
  <si>
    <t>Great YarmouthSage Rented Limited</t>
  </si>
  <si>
    <t>Great YarmouthSanctuary Affordable Housing Limited</t>
  </si>
  <si>
    <t>Great YarmouthSolo Housing (East Anglia)</t>
  </si>
  <si>
    <t>Great YarmouthSparrow Shared Ownership Limited</t>
  </si>
  <si>
    <t>Great YarmouthThe Fishermen's Hospital</t>
  </si>
  <si>
    <t>Great YarmouthV &amp; F Homes Limited</t>
  </si>
  <si>
    <t>Great YarmouthYMCA Norfolk</t>
  </si>
  <si>
    <t>GreenwichA2Dominion Homes Limited</t>
  </si>
  <si>
    <t>GreenwichAnchor Hanover Group</t>
  </si>
  <si>
    <t>GreenwichBespoke Supportive Tenancies Ltd</t>
  </si>
  <si>
    <t>GreenwichCentrepoint Soho</t>
  </si>
  <si>
    <t>GreenwichChanging Lives Housing Trust</t>
  </si>
  <si>
    <t>GreenwichChisel Limited</t>
  </si>
  <si>
    <t>GreenwichCromwood Housing Ltd</t>
  </si>
  <si>
    <t>GreenwichDovepark Properties Limited</t>
  </si>
  <si>
    <t>GreenwichEkaya Housing Association Limited</t>
  </si>
  <si>
    <t>GreenwichFalcon Housing Association C.I.C</t>
  </si>
  <si>
    <t>GreenwichGolden Lane Housing Limited</t>
  </si>
  <si>
    <t>GreenwichGreenwich Housing Society Limited</t>
  </si>
  <si>
    <t>GreenwichHabinteg Housing Association Limited</t>
  </si>
  <si>
    <t>GreenwichHexagon Housing Association Limited</t>
  </si>
  <si>
    <t>GreenwichHome Group Limited</t>
  </si>
  <si>
    <t>GreenwichHousing For Women</t>
  </si>
  <si>
    <t>GreenwichHousing Pathways Trust</t>
  </si>
  <si>
    <t>GreenwichHyde Housing Association Limited</t>
  </si>
  <si>
    <t>GreenwichInclusion Housing Community Interest Company</t>
  </si>
  <si>
    <t>GreenwichLangley House Trust</t>
  </si>
  <si>
    <t>GreenwichLocal Space</t>
  </si>
  <si>
    <t>GreenwichLondon &amp; Quadrant Housing Trust</t>
  </si>
  <si>
    <t>GreenwichM&amp;G UK Shared Ownership Limited</t>
  </si>
  <si>
    <t>GreenwichMoat Homes Limited</t>
  </si>
  <si>
    <t>GreenwichNew World Housing Association Limited</t>
  </si>
  <si>
    <t>GreenwichNotting Hill Genesis</t>
  </si>
  <si>
    <t>GreenwichNotting Hill Home Ownership Limited</t>
  </si>
  <si>
    <t>GreenwichOrbit Group Limited</t>
  </si>
  <si>
    <t>GreenwichParagon Asra Housing Limited</t>
  </si>
  <si>
    <t>GreenwichPeabody Trust</t>
  </si>
  <si>
    <t>GreenwichPenge Churches Housing Association Limited</t>
  </si>
  <si>
    <t>GreenwichPenn and Widow Smith Almshouses</t>
  </si>
  <si>
    <t>GreenwichReside Housing Association Limited</t>
  </si>
  <si>
    <t>GreenwichSanctuary Housing Association</t>
  </si>
  <si>
    <t>GreenwichSouthern Housing</t>
  </si>
  <si>
    <t>GreenwichTamil Community Housing Association Limited</t>
  </si>
  <si>
    <t>GreenwichThe Drapers' Almshouse Charity</t>
  </si>
  <si>
    <t>GreenwichThe Guinness Partnership Limited</t>
  </si>
  <si>
    <t>GreenwichThe Riverside Group Limited</t>
  </si>
  <si>
    <t>GreenwichTwenty-Fifth Avenue Ltd</t>
  </si>
  <si>
    <t>GreenwichWestmoreland Supported Housing Limited</t>
  </si>
  <si>
    <t>GuildfordA2Dominion South Limited</t>
  </si>
  <si>
    <t>GuildfordAbbeyfield Wey Valley Society Limited</t>
  </si>
  <si>
    <t>GuildfordAbri Group Limited</t>
  </si>
  <si>
    <t>GuildfordAdvance Housing and Support Limited</t>
  </si>
  <si>
    <t>GuildfordBarnwood Housing Co-operative Limited</t>
  </si>
  <si>
    <t>GuildfordClarion Housing Association Limited</t>
  </si>
  <si>
    <t>GuildfordEnglish Rural Housing Association Limited</t>
  </si>
  <si>
    <t>GuildfordGuildford Sunset Homes</t>
  </si>
  <si>
    <t>GuildfordHoly Trinity (Guildford) Housing Association Limited</t>
  </si>
  <si>
    <t>GuildfordHome Group Limited</t>
  </si>
  <si>
    <t>GuildfordLondon &amp; Quadrant Housing Trust</t>
  </si>
  <si>
    <t>GuildfordMetropolitan Housing Trust Limited</t>
  </si>
  <si>
    <t>GuildfordMount Green Housing Association Limited</t>
  </si>
  <si>
    <t>GuildfordParagon Asra Housing Limited</t>
  </si>
  <si>
    <t>GuildfordPlaces for People Living+ Limited</t>
  </si>
  <si>
    <t>GuildfordSage Rented Limited</t>
  </si>
  <si>
    <t>GuildfordSalvation Army Housing Association</t>
  </si>
  <si>
    <t>GuildfordSouthern Home Ownership Limited</t>
  </si>
  <si>
    <t>GuildfordSouthern Housing</t>
  </si>
  <si>
    <t>GuildfordSovereign Network Group</t>
  </si>
  <si>
    <t>GuildfordSparrow Shared Ownership Limited</t>
  </si>
  <si>
    <t>GuildfordStonewater (5) Limited</t>
  </si>
  <si>
    <t>GuildfordStonewater Limited</t>
  </si>
  <si>
    <t>GuildfordThe Abbeyfield Pirbright and District Society Ltd</t>
  </si>
  <si>
    <t>GuildfordThe Guinness Partnership Limited</t>
  </si>
  <si>
    <t>GuildfordThe Hospital of William Parson</t>
  </si>
  <si>
    <t>GuildfordThe Riverside Group Limited</t>
  </si>
  <si>
    <t>GuildfordThe Swaythling Housing Society Limited</t>
  </si>
  <si>
    <t>GuildfordTown and Country Housing</t>
  </si>
  <si>
    <t>GuildfordTransform Housing &amp; Support</t>
  </si>
  <si>
    <t>GuildfordVivid Housing Limited</t>
  </si>
  <si>
    <t>GuildfordWestmoreland Supported Housing Limited</t>
  </si>
  <si>
    <t>GuildfordWindrush Alliance UK Community Interest Company</t>
  </si>
  <si>
    <t>GuildfordYMCA Downslink Group</t>
  </si>
  <si>
    <t>HackneyA2Dominion Homes Limited</t>
  </si>
  <si>
    <t>HackneyAccess Homes Housing Association Limited</t>
  </si>
  <si>
    <t>HackneyAdvance Housing and Support Limited</t>
  </si>
  <si>
    <t>HackneyAgudas Israel Housing Association Limited</t>
  </si>
  <si>
    <t>HackneyAnchor Hanover Group</t>
  </si>
  <si>
    <t>HackneyBangla Housing Association Limited</t>
  </si>
  <si>
    <t>HackneyCentral and Cecil Housing Trust</t>
  </si>
  <si>
    <t>HackneyCentrepoint Soho</t>
  </si>
  <si>
    <t>HackneyClarion Housing Association Limited</t>
  </si>
  <si>
    <t>HackneyClissold Housing Co-operative Limited</t>
  </si>
  <si>
    <t>HackneyDistrict Homes C.I.C</t>
  </si>
  <si>
    <t>HackneyEverbrook Housing Co-operative Limited</t>
  </si>
  <si>
    <t>HackneyGateway Housing Association Limited</t>
  </si>
  <si>
    <t>HackneyHabinteg Housing Association Limited</t>
  </si>
  <si>
    <t>HackneyHackney Housing Co-operative Limited</t>
  </si>
  <si>
    <t>HackneyHackney Parish Almshouses Charity</t>
  </si>
  <si>
    <t>HackneyHousing Pathways Trust</t>
  </si>
  <si>
    <t>HackneyHyelm</t>
  </si>
  <si>
    <t>HackneyIslington and Shoreditch Housing Association Limited</t>
  </si>
  <si>
    <t>HackneyKarin Housing Association Limited</t>
  </si>
  <si>
    <t>HackneyLocal Space</t>
  </si>
  <si>
    <t>HackneyLondon &amp; Quadrant Housing Trust</t>
  </si>
  <si>
    <t>HackneyMetropolitan Housing Trust Limited</t>
  </si>
  <si>
    <t>HackneyNACRO</t>
  </si>
  <si>
    <t>HackneyNewlon Housing Trust</t>
  </si>
  <si>
    <t>HackneyNorth London Muslim Housing Association Limited</t>
  </si>
  <si>
    <t>HackneyNotting Hill Genesis</t>
  </si>
  <si>
    <t>HackneyNotting Hill Home Ownership Limited</t>
  </si>
  <si>
    <t>HackneyOak Housing Limited</t>
  </si>
  <si>
    <t>HackneyOrigin Housing Limited</t>
  </si>
  <si>
    <t>HackneyOutreach Housing Limited</t>
  </si>
  <si>
    <t>HackneyParadigm Homes Charitable Housing Association Limited</t>
  </si>
  <si>
    <t>HackneyParagon Asra Housing Limited</t>
  </si>
  <si>
    <t>HackneyPeabody Trust</t>
  </si>
  <si>
    <t>HackneyPeter Bedford Housing Association Limited</t>
  </si>
  <si>
    <t>HackneyPhoenix Community Housing Co-operative Limited</t>
  </si>
  <si>
    <t>HackneyPlaces for People Homes Limited</t>
  </si>
  <si>
    <t>HackneyPlaces for People Living+ Limited</t>
  </si>
  <si>
    <t>HackneyPoplar Housing And Regeneration Community Association Limited</t>
  </si>
  <si>
    <t>HackneyProvidence Row Housing Association</t>
  </si>
  <si>
    <t>HackneyQuadrant-Brownswood Tenant Co-operative Limited</t>
  </si>
  <si>
    <t>HackneySanctuary Affordable Housing Limited</t>
  </si>
  <si>
    <t>HackneySanctuary Housing Association</t>
  </si>
  <si>
    <t>HackneyShian Housing Association Limited</t>
  </si>
  <si>
    <t>HackneySouthern Home Ownership Limited</t>
  </si>
  <si>
    <t>HackneySouthern Housing</t>
  </si>
  <si>
    <t>HackneySovereign Network Group</t>
  </si>
  <si>
    <t>HackneySt Mungo Community Housing Association</t>
  </si>
  <si>
    <t>HackneyTBG Open Door Limited</t>
  </si>
  <si>
    <t>HackneyTamil Community Housing Association Limited</t>
  </si>
  <si>
    <t>HackneyThe Guinness Partnership Limited</t>
  </si>
  <si>
    <t>HackneyThe Industrial Dwellings Society (1885) Limited</t>
  </si>
  <si>
    <t>HackneyThe Riverside Group Limited</t>
  </si>
  <si>
    <t>HackneyThe West Hackney Almshouse Charity</t>
  </si>
  <si>
    <t>HackneyYMCA London City and North</t>
  </si>
  <si>
    <t>HaltonAnchor Hanover Group</t>
  </si>
  <si>
    <t>HaltonBlackburn YMCA</t>
  </si>
  <si>
    <t>HaltonCare Housing Association Limited</t>
  </si>
  <si>
    <t>HaltonClarion Housing Association Limited</t>
  </si>
  <si>
    <t>HaltonCreative Support Limited</t>
  </si>
  <si>
    <t>HaltonGolden Lane Housing Limited</t>
  </si>
  <si>
    <t>HaltonHalton Housing</t>
  </si>
  <si>
    <t>HaltonHeylo Housing Registered Provider Limited</t>
  </si>
  <si>
    <t>HaltonHousing 21</t>
  </si>
  <si>
    <t>HaltonInclusion Housing Community Interest Company</t>
  </si>
  <si>
    <t>HaltonLets for Life</t>
  </si>
  <si>
    <t>HaltonLivv Housing Group</t>
  </si>
  <si>
    <t>HaltonMagenta Living</t>
  </si>
  <si>
    <t>HaltonOnward Homes Limited</t>
  </si>
  <si>
    <t>HaltonPlaces for People Homes Limited</t>
  </si>
  <si>
    <t>HaltonPlus Dane Housing Limited</t>
  </si>
  <si>
    <t>HaltonProgress Housing Association Limited</t>
  </si>
  <si>
    <t>HaltonReside Housing Association Limited</t>
  </si>
  <si>
    <t>HaltonSanctuary Housing Association</t>
  </si>
  <si>
    <t>HaltonThe Riverside Group Limited</t>
  </si>
  <si>
    <t>HaltonTorus62 Limited</t>
  </si>
  <si>
    <t>HaltonWeaver Vale Housing Trust Limited</t>
  </si>
  <si>
    <t>HaltonYour Housing Limited</t>
  </si>
  <si>
    <t>Hammersmith and FulhamA2Dominion Homes Limited</t>
  </si>
  <si>
    <t>Hammersmith and FulhamA2Dominion Housing Options Limited</t>
  </si>
  <si>
    <t>Hammersmith and FulhamAlmshouse Charity of Sir William Powell</t>
  </si>
  <si>
    <t>Hammersmith and FulhamAnchor Hanover Group</t>
  </si>
  <si>
    <t>Hammersmith and FulhamArhag Housing Association Limited</t>
  </si>
  <si>
    <t>Hammersmith and FulhamCentral and Cecil Housing Trust</t>
  </si>
  <si>
    <t>Hammersmith and FulhamCentrepoint Soho</t>
  </si>
  <si>
    <t>Hammersmith and FulhamClarion Housing Association Limited</t>
  </si>
  <si>
    <t>Hammersmith and FulhamCo-op Homes (South) Limited</t>
  </si>
  <si>
    <t>Hammersmith and FulhamEbony Sistren Housing Association Limited</t>
  </si>
  <si>
    <t>Hammersmith and FulhamGolden Lane Housing Limited</t>
  </si>
  <si>
    <t>Hammersmith and FulhamHabinteg Housing Association Limited</t>
  </si>
  <si>
    <t>Hammersmith and FulhamHammersmith United Charities</t>
  </si>
  <si>
    <t>Hammersmith and FulhamHarrison Housing</t>
  </si>
  <si>
    <t>Hammersmith and FulhamHousing 21</t>
  </si>
  <si>
    <t>Hammersmith and FulhamInnisfree Housing Association Limited</t>
  </si>
  <si>
    <t>Hammersmith and FulhamKaribu Community Homes Limited</t>
  </si>
  <si>
    <t>Hammersmith and FulhamLegal &amp; General Affordable Homes (AR) LLP</t>
  </si>
  <si>
    <t>Hammersmith and FulhamLegal &amp; General Affordable Homes Limited</t>
  </si>
  <si>
    <t>Hammersmith and FulhamLondon &amp; Quadrant Housing Trust</t>
  </si>
  <si>
    <t>Hammersmith and FulhamLook Ahead Care and Support Limited</t>
  </si>
  <si>
    <t>Hammersmith and FulhamMetropolitan Housing Trust Limited</t>
  </si>
  <si>
    <t>Hammersmith and FulhamNotting Hill Genesis</t>
  </si>
  <si>
    <t>Hammersmith and FulhamNotting Hill Home Ownership Limited</t>
  </si>
  <si>
    <t>Hammersmith and FulhamOctavia Housing</t>
  </si>
  <si>
    <t>Hammersmith and FulhamParagon Asra Housing Limited</t>
  </si>
  <si>
    <t>Hammersmith and FulhamPeabody Trust</t>
  </si>
  <si>
    <t>Hammersmith and FulhamPlaces for People Homes Limited</t>
  </si>
  <si>
    <t>Hammersmith and FulhamSalvation Army Housing Association</t>
  </si>
  <si>
    <t>Hammersmith and FulhamSouthern Housing</t>
  </si>
  <si>
    <t>Hammersmith and FulhamSouthern Oaks Retirement Living</t>
  </si>
  <si>
    <t>Hammersmith and FulhamSovereign Network Group</t>
  </si>
  <si>
    <t>Hammersmith and FulhamSpringboard Two Housing Association Limited</t>
  </si>
  <si>
    <t>Hammersmith and FulhamSt Mungo Community Housing Association</t>
  </si>
  <si>
    <t>Hammersmith and FulhamThames Valley Housing Association Limited</t>
  </si>
  <si>
    <t>Hammersmith and FulhamThe Guinness Partnership Limited</t>
  </si>
  <si>
    <t>Hammersmith and FulhamThe Lygon Almshouses</t>
  </si>
  <si>
    <t>Hammersmith and FulhamThe Riverside Group Limited</t>
  </si>
  <si>
    <t>Hammersmith and FulhamThe Sir Oswald Stoll Foundation</t>
  </si>
  <si>
    <t>Hammersmith and FulhamWomen's Pioneer Housing Limited</t>
  </si>
  <si>
    <t>Hammersmith and FulhamYMCA St Paul's Group</t>
  </si>
  <si>
    <t>HarboroughAdvance Housing and Support Limited</t>
  </si>
  <si>
    <t>HarboroughAmplius Living</t>
  </si>
  <si>
    <t>HarboroughDimensions (UK) Limited</t>
  </si>
  <si>
    <t>HarboroughEMH Housing and Regeneration Limited</t>
  </si>
  <si>
    <t>HarboroughFramework Housing Association</t>
  </si>
  <si>
    <t>HarboroughFutures Homeway Limited</t>
  </si>
  <si>
    <t>HarboroughGolden Lane Housing Limited</t>
  </si>
  <si>
    <t>HarboroughHeylo Housing Registered Provider Limited</t>
  </si>
  <si>
    <t>HarboroughLiveWest Homes Limited</t>
  </si>
  <si>
    <t>HarboroughMidland Heart Limited</t>
  </si>
  <si>
    <t>HarboroughNottingham Community Housing Association Limited</t>
  </si>
  <si>
    <t>HarboroughOrbit Housing Association Limited</t>
  </si>
  <si>
    <t>HarboroughParagon Asra Housing Limited</t>
  </si>
  <si>
    <t>HarboroughPlaces for People Living+ Limited</t>
  </si>
  <si>
    <t>HarboroughPlatform Housing Limited</t>
  </si>
  <si>
    <t>HarboroughSage Homes RP Limited</t>
  </si>
  <si>
    <t>HarboroughSage Rented Limited</t>
  </si>
  <si>
    <t>HarboroughSparrow Shared Ownership Limited</t>
  </si>
  <si>
    <t>HarboroughStonewater Limited</t>
  </si>
  <si>
    <t>HarboroughThe Guinness Partnership Limited</t>
  </si>
  <si>
    <t>HarboroughThe Riverside Group Limited</t>
  </si>
  <si>
    <t>HarboroughTrinity Housing Association Limited</t>
  </si>
  <si>
    <t>Harboroughbpha Limited</t>
  </si>
  <si>
    <t>HaringeyAgudas Israel Housing Association Limited</t>
  </si>
  <si>
    <t>HaringeyAnchor Hanover Group</t>
  </si>
  <si>
    <t>HaringeyArhag Housing Association Limited</t>
  </si>
  <si>
    <t>HaringeyCentral and Cecil Housing Trust</t>
  </si>
  <si>
    <t>HaringeyChristian Action (Enfield) Housing Association Limited</t>
  </si>
  <si>
    <t>HaringeyClarion Housing Association Limited</t>
  </si>
  <si>
    <t>HaringeyCo-op Homes (South) Limited</t>
  </si>
  <si>
    <t>HaringeyDepaul Housing Services</t>
  </si>
  <si>
    <t>HaringeyDistrict Homes C.I.C</t>
  </si>
  <si>
    <t>HaringeyGolden Lane Housing Limited</t>
  </si>
  <si>
    <t>HaringeyGrainger Trust Limited</t>
  </si>
  <si>
    <t>HaringeyHabinteg Housing Association Limited</t>
  </si>
  <si>
    <t>HaringeyHill Homes</t>
  </si>
  <si>
    <t>HaringeyHome Group Limited</t>
  </si>
  <si>
    <t>HaringeyHornsey Housing Trust Limited</t>
  </si>
  <si>
    <t>HaringeyHousing Pathways Trust</t>
  </si>
  <si>
    <t>HaringeyInnisfree Housing Association Limited</t>
  </si>
  <si>
    <t>HaringeyIslington and Shoreditch Housing Association Limited</t>
  </si>
  <si>
    <t>HaringeyJewish Community Housing Association Limited</t>
  </si>
  <si>
    <t>HaringeyLadybur Housing Co-operative Limited</t>
  </si>
  <si>
    <t>HaringeyLocal Space</t>
  </si>
  <si>
    <t>HaringeyLondon &amp; Quadrant Housing Trust</t>
  </si>
  <si>
    <t>HaringeyMethodist Homes Housing Association Limited</t>
  </si>
  <si>
    <t>HaringeyMetropolitan Housing Trust Limited</t>
  </si>
  <si>
    <t>HaringeyMoat Homes Limited</t>
  </si>
  <si>
    <t>HaringeyNew Swift Housing Co-operative Limited</t>
  </si>
  <si>
    <t>HaringeyNewlon Housing Trust</t>
  </si>
  <si>
    <t>HaringeyNotting Hill Genesis</t>
  </si>
  <si>
    <t>HaringeyNotting Hill Home Ownership Limited</t>
  </si>
  <si>
    <t>HaringeyOrigin Housing Limited</t>
  </si>
  <si>
    <t>HaringeyParagon Asra Housing Limited</t>
  </si>
  <si>
    <t>HaringeyPeabody Trust</t>
  </si>
  <si>
    <t>HaringeyPlaces for People Homes Limited</t>
  </si>
  <si>
    <t>HaringeyPlaces for People Living+ Limited</t>
  </si>
  <si>
    <t>HaringeyQuadrant-Brownswood Tenant Co-operative Limited</t>
  </si>
  <si>
    <t>HaringeyReside Housing Association Limited</t>
  </si>
  <si>
    <t>HaringeySage Homes RP Limited</t>
  </si>
  <si>
    <t>HaringeySanctuary Affordable Housing Limited</t>
  </si>
  <si>
    <t>HaringeySanctuary Housing Association</t>
  </si>
  <si>
    <t>HaringeyShian Housing Association Limited</t>
  </si>
  <si>
    <t>HaringeySouthern Housing</t>
  </si>
  <si>
    <t>HaringeySovereign Network Group</t>
  </si>
  <si>
    <t>HaringeySt Mungo Community Housing Association</t>
  </si>
  <si>
    <t>HaringeyStroud Green Housing Co-operative Limited</t>
  </si>
  <si>
    <t>HaringeyTBG Open Door Limited</t>
  </si>
  <si>
    <t>HaringeyTamil Community Housing Association Limited</t>
  </si>
  <si>
    <t>HaringeyTeachers' Housing Association Limited</t>
  </si>
  <si>
    <t>HaringeyThe Industrial Dwellings Society (1885) Limited</t>
  </si>
  <si>
    <t>HaringeyThe Riverside Group Limited</t>
  </si>
  <si>
    <t>HaringeyWestmoreland Supported Housing Limited</t>
  </si>
  <si>
    <t>HaringeyWollaston and Pauncefort Almshouse Charity</t>
  </si>
  <si>
    <t>HaringeyWoodside Housing Co-operative Limited</t>
  </si>
  <si>
    <t>HaringeyYMCA London City and North</t>
  </si>
  <si>
    <t>HarlowAnchor Hanover Group</t>
  </si>
  <si>
    <t>HarlowB3 Living Limited</t>
  </si>
  <si>
    <t>HarlowChelmer Housing Partnership Limited</t>
  </si>
  <si>
    <t>HarlowClarion Housing Association Limited</t>
  </si>
  <si>
    <t>HarlowEstuary Housing Association Limited</t>
  </si>
  <si>
    <t>HarlowGolden Lane Housing Limited</t>
  </si>
  <si>
    <t>HarlowHarlow Poors Charities</t>
  </si>
  <si>
    <t>HarlowHeylo Housing Registered Provider Limited</t>
  </si>
  <si>
    <t>HarlowHome Group Limited</t>
  </si>
  <si>
    <t>HarlowLegal &amp; General Affordable Homes (AR) LLP</t>
  </si>
  <si>
    <t>HarlowLegal &amp; General Affordable Homes Limited</t>
  </si>
  <si>
    <t>HarlowLondon &amp; Quadrant Housing Trust</t>
  </si>
  <si>
    <t>HarlowMetropolitan Housing Trust Limited</t>
  </si>
  <si>
    <t>HarlowMoat Homes Limited</t>
  </si>
  <si>
    <t>HarlowMoat Housing Group Limited</t>
  </si>
  <si>
    <t>HarlowNACRO</t>
  </si>
  <si>
    <t>HarlowNotting Hill Genesis</t>
  </si>
  <si>
    <t>HarlowOrbit Group Limited</t>
  </si>
  <si>
    <t>HarlowPeabody Trust</t>
  </si>
  <si>
    <t>HarlowPlaces for People Living+ Limited</t>
  </si>
  <si>
    <t>HarlowSage Homes RP Limited</t>
  </si>
  <si>
    <t>HarlowSage Rented Limited</t>
  </si>
  <si>
    <t>HarlowSanctuary Affordable Housing Limited</t>
  </si>
  <si>
    <t>HarlowSanctuary Housing Association</t>
  </si>
  <si>
    <t>HarlowSparrow Shared Ownership Limited</t>
  </si>
  <si>
    <t>HarlowSwan Housing Association Limited</t>
  </si>
  <si>
    <t>HarlowThe Riverside Group Limited</t>
  </si>
  <si>
    <t>HarrowA2Dominion Homes Limited</t>
  </si>
  <si>
    <t>HarrowAnchor Hanover Group</t>
  </si>
  <si>
    <t>HarrowAuckland Home Solutions CIC</t>
  </si>
  <si>
    <t>HarrowBespoke Supportive Tenancies Ltd</t>
  </si>
  <si>
    <t>HarrowChrysalis Supported Association Limited</t>
  </si>
  <si>
    <t>HarrowClarion Housing Association Limited</t>
  </si>
  <si>
    <t>HarrowCromwood Housing Ltd</t>
  </si>
  <si>
    <t>HarrowGreenhill Housing Association</t>
  </si>
  <si>
    <t>HarrowHeylo Housing Registered Provider Limited</t>
  </si>
  <si>
    <t>HarrowHome Group Limited</t>
  </si>
  <si>
    <t>HarrowHyde Housing Association Limited</t>
  </si>
  <si>
    <t>HarrowInnisfree Housing Association Limited</t>
  </si>
  <si>
    <t>HarrowJewish Community Housing Association Limited</t>
  </si>
  <si>
    <t>HarrowKaribu Community Homes Limited</t>
  </si>
  <si>
    <t>HarrowLondon &amp; Quadrant Housing Trust</t>
  </si>
  <si>
    <t>HarrowM&amp;G UK Shared Ownership Limited</t>
  </si>
  <si>
    <t>HarrowMetropolitan Housing Trust Limited</t>
  </si>
  <si>
    <t>HarrowMoat Homes Limited</t>
  </si>
  <si>
    <t>HarrowNotting Hill Genesis</t>
  </si>
  <si>
    <t>HarrowNotting Hill Home Ownership Limited</t>
  </si>
  <si>
    <t>HarrowOctavia Housing</t>
  </si>
  <si>
    <t>HarrowOrigin Housing Limited</t>
  </si>
  <si>
    <t>HarrowParadigm Homes Charitable Housing Association Limited</t>
  </si>
  <si>
    <t>HarrowParagon Asra Housing Limited</t>
  </si>
  <si>
    <t>HarrowPeabody Trust</t>
  </si>
  <si>
    <t>HarrowPinner House Society Limited</t>
  </si>
  <si>
    <t>HarrowSage Rented Limited</t>
  </si>
  <si>
    <t>HarrowSalvation Army Housing Association</t>
  </si>
  <si>
    <t>HarrowSanctuary Housing Association</t>
  </si>
  <si>
    <t>HarrowSouthern Housing</t>
  </si>
  <si>
    <t>HarrowSovereign Network Group</t>
  </si>
  <si>
    <t>HarrowSparrow Shared Ownership Limited</t>
  </si>
  <si>
    <t>HarrowTamil Community Housing Association Limited</t>
  </si>
  <si>
    <t>HarrowThe Guinness Partnership Limited</t>
  </si>
  <si>
    <t>HarrowThe Riverside Group Limited</t>
  </si>
  <si>
    <t>HarrowWindrush Alliance UK Community Interest Company</t>
  </si>
  <si>
    <t>HarrowWomen's Pioneer Housing Limited</t>
  </si>
  <si>
    <t>HarrowYMCA St Paul's Group</t>
  </si>
  <si>
    <t>HartA2Dominion Homes Limited</t>
  </si>
  <si>
    <t>HartAbri Group Limited</t>
  </si>
  <si>
    <t>HartAccent Housing Limited</t>
  </si>
  <si>
    <t>HartAdvance Housing and Support Limited</t>
  </si>
  <si>
    <t>HartAnchor Hanover Group</t>
  </si>
  <si>
    <t>HartAster Communities</t>
  </si>
  <si>
    <t>HartAuckland Home Solutions CIC</t>
  </si>
  <si>
    <t>HartClarion Housing Association Limited</t>
  </si>
  <si>
    <t>HartEnglish Rural Housing Association Limited</t>
  </si>
  <si>
    <t>HartHastoe Housing Association Limited</t>
  </si>
  <si>
    <t>HartHeylo Housing Registered Provider Limited</t>
  </si>
  <si>
    <t>HartHome Group Limited</t>
  </si>
  <si>
    <t>HartLife 2009</t>
  </si>
  <si>
    <t>HartLondon &amp; Quadrant Housing Trust</t>
  </si>
  <si>
    <t>HartMetropolitan Housing Trust Limited</t>
  </si>
  <si>
    <t>HartMoat Homes Limited</t>
  </si>
  <si>
    <t>HartPeabody Trust</t>
  </si>
  <si>
    <t>HartSouthern Housing</t>
  </si>
  <si>
    <t>HartSovereign Network Group</t>
  </si>
  <si>
    <t>HartStonewater Limited</t>
  </si>
  <si>
    <t>HartSynergy Housing Limited</t>
  </si>
  <si>
    <t>HartThe Swaythling Housing Society Limited</t>
  </si>
  <si>
    <t>HartVivid Housing Limited</t>
  </si>
  <si>
    <t>HartWindrush Alliance UK Community Interest Company</t>
  </si>
  <si>
    <t>HartlepoolAccent Housing Limited</t>
  </si>
  <si>
    <t>HartlepoolAnchor Hanover Group</t>
  </si>
  <si>
    <t>HartlepoolBelieve Housing Limited</t>
  </si>
  <si>
    <t>HartlepoolBernicia Group</t>
  </si>
  <si>
    <t>HartlepoolBespoke Supportive Tenancies Ltd</t>
  </si>
  <si>
    <t>HartlepoolCare Housing Association Limited</t>
  </si>
  <si>
    <t>HartlepoolDimensions (UK) Limited</t>
  </si>
  <si>
    <t>HartlepoolHeylo Housing Registered Provider Limited</t>
  </si>
  <si>
    <t>HartlepoolHome Group Limited</t>
  </si>
  <si>
    <t>HartlepoolHousing 21</t>
  </si>
  <si>
    <t>HartlepoolJoseph Rowntree Housing Trust</t>
  </si>
  <si>
    <t>HartlepoolKarbon Homes Limited</t>
  </si>
  <si>
    <t>HartlepoolLivin Housing Limited</t>
  </si>
  <si>
    <t>HartlepoolNACRO</t>
  </si>
  <si>
    <t>HartlepoolNorth Star Housing Group</t>
  </si>
  <si>
    <t>HartlepoolPlaces for People Homes Limited</t>
  </si>
  <si>
    <t>HartlepoolRailway Housing Association and Benefit Fund</t>
  </si>
  <si>
    <t>HartlepoolSage Homes RP Limited</t>
  </si>
  <si>
    <t>HartlepoolSanctuary Affordable Housing Limited</t>
  </si>
  <si>
    <t>HartlepoolSanctuary Housing Association</t>
  </si>
  <si>
    <t>HartlepoolThe Hartlepools War Memorial Homes &amp; the Crosby Homes</t>
  </si>
  <si>
    <t>HartlepoolThirteen Housing Group Limited</t>
  </si>
  <si>
    <t>HartlepoolVictoria Homes</t>
  </si>
  <si>
    <t>HastingsAbility Housing Association</t>
  </si>
  <si>
    <t>HastingsAnchor Hanover Group</t>
  </si>
  <si>
    <t>HastingsBHT Sussex</t>
  </si>
  <si>
    <t>HastingsGolden Lane Housing Limited</t>
  </si>
  <si>
    <t>HastingsHome Group Limited</t>
  </si>
  <si>
    <t>HastingsHousing 21</t>
  </si>
  <si>
    <t>HastingsLocal Space</t>
  </si>
  <si>
    <t>HastingsLondon &amp; Quadrant Housing Trust</t>
  </si>
  <si>
    <t>HastingsOrbit Group Limited</t>
  </si>
  <si>
    <t>HastingsOrbit Housing Association Limited</t>
  </si>
  <si>
    <t>HastingsPlaces for People Homes Limited</t>
  </si>
  <si>
    <t>HastingsRadcliffe Housing Society Limited</t>
  </si>
  <si>
    <t>HastingsSalvation Army Housing Association</t>
  </si>
  <si>
    <t>HastingsSanctuary Housing Association</t>
  </si>
  <si>
    <t>HastingsSouthdown Housing Association Limited</t>
  </si>
  <si>
    <t>HastingsSouthern Housing</t>
  </si>
  <si>
    <t>HastingsStonewater Limited</t>
  </si>
  <si>
    <t>HastingsYMCA Downslink Group</t>
  </si>
  <si>
    <t>HavantAbility Housing Association</t>
  </si>
  <si>
    <t>HavantAbri Group Limited</t>
  </si>
  <si>
    <t>HavantAdvance Housing and Support Limited</t>
  </si>
  <si>
    <t>HavantAgamemnon Housing Association Limited</t>
  </si>
  <si>
    <t>HavantAster Communities</t>
  </si>
  <si>
    <t>HavantFalcon Housing Association C.I.C</t>
  </si>
  <si>
    <t>HavantGolden Lane Housing Limited</t>
  </si>
  <si>
    <t>HavantGrainger Trust Limited</t>
  </si>
  <si>
    <t>HavantHavant Housing Association Limited</t>
  </si>
  <si>
    <t>HavantHeylo Housing Registered Provider Limited</t>
  </si>
  <si>
    <t>HavantHome Group Limited</t>
  </si>
  <si>
    <t>HavantHousing 21</t>
  </si>
  <si>
    <t>HavantHyde Housing Association Limited</t>
  </si>
  <si>
    <t>HavantInclusion Housing Community Interest Company</t>
  </si>
  <si>
    <t>HavantLondon &amp; Quadrant Housing Trust</t>
  </si>
  <si>
    <t>HavantMoat Homes Limited</t>
  </si>
  <si>
    <t>HavantPHA Homes Ltd</t>
  </si>
  <si>
    <t>HavantPlaces for People Homes Limited</t>
  </si>
  <si>
    <t>HavantProgress Housing Association Limited</t>
  </si>
  <si>
    <t>HavantReside Housing Association Limited</t>
  </si>
  <si>
    <t>HavantSage Homes RP Limited</t>
  </si>
  <si>
    <t>HavantSage Rented Limited</t>
  </si>
  <si>
    <t>HavantSanctuary Housing Association</t>
  </si>
  <si>
    <t>HavantSaxon Weald</t>
  </si>
  <si>
    <t>HavantSouthern Housing</t>
  </si>
  <si>
    <t>HavantSparrow Shared Ownership Limited</t>
  </si>
  <si>
    <t>HavantStonewater Limited</t>
  </si>
  <si>
    <t>HavantSynergy Housing Limited</t>
  </si>
  <si>
    <t>HavantThe Abbeyfield Society</t>
  </si>
  <si>
    <t>HavantThe Guinness Partnership Limited</t>
  </si>
  <si>
    <t>HavantThe Swaythling Housing Society Limited</t>
  </si>
  <si>
    <t>HavantTwo Saints Limited</t>
  </si>
  <si>
    <t>HavantVivid Housing Limited</t>
  </si>
  <si>
    <t>HavantWaythrough</t>
  </si>
  <si>
    <t>HavantWestmoreland Supported Housing Limited</t>
  </si>
  <si>
    <t>HaveringA2Dominion Homes Limited</t>
  </si>
  <si>
    <t>HaveringAnchor Hanover Group</t>
  </si>
  <si>
    <t>HaveringBespoke Supportive Tenancies Ltd</t>
  </si>
  <si>
    <t>HaveringBrentwood Housing Trust Limited</t>
  </si>
  <si>
    <t>HaveringCentrepoint Soho</t>
  </si>
  <si>
    <t>HaveringClarion Housing Association Limited</t>
  </si>
  <si>
    <t>HaveringCromwood Housing Ltd</t>
  </si>
  <si>
    <t>HaveringEncircle Housing</t>
  </si>
  <si>
    <t>HaveringEstuary Housing Association Limited</t>
  </si>
  <si>
    <t>HaveringGolden Lane Housing Limited</t>
  </si>
  <si>
    <t>HaveringHabinteg Housing Association Limited</t>
  </si>
  <si>
    <t>HaveringHastoe Housing Association Limited</t>
  </si>
  <si>
    <t>HaveringHome Group Limited</t>
  </si>
  <si>
    <t>HaveringHousing 21</t>
  </si>
  <si>
    <t>HaveringLocal Space</t>
  </si>
  <si>
    <t>HaveringLondon &amp; Quadrant Housing Trust</t>
  </si>
  <si>
    <t>HaveringLook Ahead Care and Support Limited</t>
  </si>
  <si>
    <t>HaveringMajor Housing Association Limited</t>
  </si>
  <si>
    <t>HaveringMetropolitan Housing Trust Limited</t>
  </si>
  <si>
    <t>HaveringMoat Homes Limited</t>
  </si>
  <si>
    <t>HaveringNewlon Housing Trust</t>
  </si>
  <si>
    <t>HaveringNotting Hill Genesis</t>
  </si>
  <si>
    <t>HaveringNotting Hill Home Ownership Limited</t>
  </si>
  <si>
    <t>HaveringOrbit Group Limited</t>
  </si>
  <si>
    <t>HaveringPeabody Trust</t>
  </si>
  <si>
    <t>HaveringSouthern Housing</t>
  </si>
  <si>
    <t>HaveringSwan Housing Association Limited</t>
  </si>
  <si>
    <t>HaveringThe Guinness Partnership Limited</t>
  </si>
  <si>
    <t>HaveringThe Riverside Group Limited</t>
  </si>
  <si>
    <t>HaveringTrinity Housing Association Limited</t>
  </si>
  <si>
    <t>HaveringWestmoreland Supported Housing Limited</t>
  </si>
  <si>
    <t>HaveringYMCA Thames Gateway</t>
  </si>
  <si>
    <t>Herefordshire, County ofAdvance Housing and Support Limited</t>
  </si>
  <si>
    <t>Herefordshire, County ofAnchor Hanover Group</t>
  </si>
  <si>
    <t>Herefordshire, County ofBespoke Supportive Tenancies Ltd</t>
  </si>
  <si>
    <t>Herefordshire, County ofBromford Housing Association Limited</t>
  </si>
  <si>
    <t>Herefordshire, County ofCitizen Housing Group Limited</t>
  </si>
  <si>
    <t>Herefordshire, County ofConnexus Homes Limited</t>
  </si>
  <si>
    <t>Herefordshire, County ofEmpower Housing Association Limited</t>
  </si>
  <si>
    <t>Herefordshire, County ofGolden Lane Housing Limited</t>
  </si>
  <si>
    <t>Herefordshire, County ofGreenSquareAccord Limited</t>
  </si>
  <si>
    <t>Herefordshire, County ofHeylo Housing Registered Provider Limited</t>
  </si>
  <si>
    <t>Herefordshire, County ofHome Group Limited</t>
  </si>
  <si>
    <t>Herefordshire, County ofHousing 21</t>
  </si>
  <si>
    <t>Herefordshire, County ofInclusion Housing Community Interest Company</t>
  </si>
  <si>
    <t>Herefordshire, County ofLegal &amp; General Affordable Homes (AR) LLP</t>
  </si>
  <si>
    <t>Herefordshire, County ofLegal &amp; General Affordable Homes Limited</t>
  </si>
  <si>
    <t>Herefordshire, County ofMidland Heart Limited</t>
  </si>
  <si>
    <t>Herefordshire, County ofMuir Group Housing Association Limited</t>
  </si>
  <si>
    <t>Herefordshire, County ofPlatform Housing Limited</t>
  </si>
  <si>
    <t>Herefordshire, County ofRailway Housing Association and Benefit Fund</t>
  </si>
  <si>
    <t>Herefordshire, County ofRooftop Housing Association Limited</t>
  </si>
  <si>
    <t>Herefordshire, County ofSanctuary Affordable Housing Limited</t>
  </si>
  <si>
    <t>Herefordshire, County ofSanctuary Housing Association</t>
  </si>
  <si>
    <t>Herefordshire, County ofSiward James and Arkwright Trust Charity</t>
  </si>
  <si>
    <t>Herefordshire, County ofStonewater Limited</t>
  </si>
  <si>
    <t>Herefordshire, County ofThe Abbeyfield Worcester and Hereford Society Limited</t>
  </si>
  <si>
    <t>Herefordshire, County ofThe Buchanan Trust</t>
  </si>
  <si>
    <t>Herefordshire, County ofThe Guinness Partnership Limited</t>
  </si>
  <si>
    <t>Herefordshire, County ofTwo Rivers Housing</t>
  </si>
  <si>
    <t>Herefordshire, County ofWyedean Housing Association Limited</t>
  </si>
  <si>
    <t>HertsmereAmplius Living</t>
  </si>
  <si>
    <t>HertsmereArhag Housing Association Limited</t>
  </si>
  <si>
    <t>HertsmereAuckland Home Solutions CIC</t>
  </si>
  <si>
    <t>HertsmereB3 Living Limited</t>
  </si>
  <si>
    <t>HertsmereClarion Housing Association Limited</t>
  </si>
  <si>
    <t>HertsmereFalcon Housing Association C.I.C</t>
  </si>
  <si>
    <t>HertsmereFirst Garden Cities Homes Limited</t>
  </si>
  <si>
    <t>HertsmereGolden Lane Housing Limited</t>
  </si>
  <si>
    <t>HertsmereHabinteg Housing Association Limited</t>
  </si>
  <si>
    <t>HertsmereHightown Housing Association Limited</t>
  </si>
  <si>
    <t>HertsmereHome Group Limited</t>
  </si>
  <si>
    <t>HertsmereHousing 21</t>
  </si>
  <si>
    <t>HertsmereInnisfree Housing Association Limited</t>
  </si>
  <si>
    <t>HertsmereLondon &amp; Quadrant Housing Trust</t>
  </si>
  <si>
    <t>HertsmereMetropolitan Housing Trust Limited</t>
  </si>
  <si>
    <t>HertsmereNotting Hill Genesis</t>
  </si>
  <si>
    <t>HertsmereNotting Hill Home Ownership Limited</t>
  </si>
  <si>
    <t>HertsmereOne YMCA</t>
  </si>
  <si>
    <t>HertsmereOrigin Housing Limited</t>
  </si>
  <si>
    <t>HertsmereParadigm Homes Charitable Housing Association Limited</t>
  </si>
  <si>
    <t>HertsmerePeabody Trust</t>
  </si>
  <si>
    <t>HertsmerePine Ridge Housing Association Limited</t>
  </si>
  <si>
    <t>HertsmerePlaces for People Homes Limited</t>
  </si>
  <si>
    <t>HertsmereReside Housing Association Limited</t>
  </si>
  <si>
    <t>HertsmereSanctuary Housing Association</t>
  </si>
  <si>
    <t>HertsmereSapphire Independent Housing Limited</t>
  </si>
  <si>
    <t>HertsmereSettle Group</t>
  </si>
  <si>
    <t>HertsmereSouthern Housing</t>
  </si>
  <si>
    <t>HertsmereSovereign Network Group</t>
  </si>
  <si>
    <t>HertsmereTamil Community Housing Association Limited</t>
  </si>
  <si>
    <t>HertsmereThe Guinness Partnership Limited</t>
  </si>
  <si>
    <t>HertsmereThe Industrial Dwellings Society (1885) Limited</t>
  </si>
  <si>
    <t>HertsmereThrive Homes Limited</t>
  </si>
  <si>
    <t>HertsmereWatford Community Housing Trust</t>
  </si>
  <si>
    <t>High PeakAdullam Homes Housing Association Limited</t>
  </si>
  <si>
    <t>High PeakAnchor Hanover Group</t>
  </si>
  <si>
    <t>High PeakBolton at Home Limited</t>
  </si>
  <si>
    <t>High PeakCheshire Peaks &amp; Plains Housing Trust Limited</t>
  </si>
  <si>
    <t>High PeakEMH Housing and Regeneration Limited</t>
  </si>
  <si>
    <t>High PeakFramework Housing Association</t>
  </si>
  <si>
    <t>High PeakGolden Lane Housing Limited</t>
  </si>
  <si>
    <t>High PeakGreat Places Housing Association</t>
  </si>
  <si>
    <t>High PeakHeylo Housing Registered Provider Limited</t>
  </si>
  <si>
    <t>High PeakInclusion Housing Community Interest Company</t>
  </si>
  <si>
    <t>High PeakJigsaw Homes Tameside</t>
  </si>
  <si>
    <t>High PeakNottingham Community Housing Association Limited</t>
  </si>
  <si>
    <t>High PeakOnward Homes Limited</t>
  </si>
  <si>
    <t>High PeakPartners Foundation Limited</t>
  </si>
  <si>
    <t>High PeakPeak District Rural Housing Association Limited</t>
  </si>
  <si>
    <t>High PeakPlaces for People Living+ Limited</t>
  </si>
  <si>
    <t>High PeakReSI Homes Limited</t>
  </si>
  <si>
    <t>High PeakSage Homes RP Limited</t>
  </si>
  <si>
    <t>High PeakSage Rented Limited</t>
  </si>
  <si>
    <t>High PeakSanctuary Housing Association</t>
  </si>
  <si>
    <t>High PeakSouth Yorkshire Housing Association Limited</t>
  </si>
  <si>
    <t>High PeakSparrow Shared Ownership Limited</t>
  </si>
  <si>
    <t>High PeakStonewater Limited</t>
  </si>
  <si>
    <t>High PeakThe Guinness Partnership Limited</t>
  </si>
  <si>
    <t>High PeakYour Housing Limited</t>
  </si>
  <si>
    <t>HillingdonA2Dominion Homes Limited</t>
  </si>
  <si>
    <t>HillingdonA2Dominion Housing Options Limited</t>
  </si>
  <si>
    <t>HillingdonA2Dominion South Limited</t>
  </si>
  <si>
    <t>HillingdonAbility Housing Association</t>
  </si>
  <si>
    <t>HillingdonAnchor Hanover Group</t>
  </si>
  <si>
    <t>HillingdonAuckland Home Solutions CIC</t>
  </si>
  <si>
    <t>HillingdonBespoke Supportive Tenancies Ltd</t>
  </si>
  <si>
    <t>HillingdonCentral and Cecil Housing Trust</t>
  </si>
  <si>
    <t>HillingdonCo-op Homes (South) Limited</t>
  </si>
  <si>
    <t>HillingdonCromwood Housing Ltd</t>
  </si>
  <si>
    <t>HillingdonDawley Housing Co-operative Limited</t>
  </si>
  <si>
    <t>HillingdonGolden Lane Housing Limited</t>
  </si>
  <si>
    <t>HillingdonGreenhill Housing Association</t>
  </si>
  <si>
    <t>HillingdonHabinteg Housing Association Limited</t>
  </si>
  <si>
    <t>HillingdonHarefield Parochial Charities</t>
  </si>
  <si>
    <t>HillingdonHastoe Housing Association Limited</t>
  </si>
  <si>
    <t>HillingdonHome Group Limited</t>
  </si>
  <si>
    <t>HillingdonInclusion Housing Community Interest Company</t>
  </si>
  <si>
    <t>HillingdonInnisfree Housing Association Limited</t>
  </si>
  <si>
    <t>HillingdonKaribu Community Homes Limited</t>
  </si>
  <si>
    <t>HillingdonLondon &amp; Quadrant Housing Trust</t>
  </si>
  <si>
    <t>HillingdonLook Ahead Care and Support Limited</t>
  </si>
  <si>
    <t>HillingdonMetropolitan Housing Trust Limited</t>
  </si>
  <si>
    <t>HillingdonNotting Hill Genesis</t>
  </si>
  <si>
    <t>HillingdonNotting Hill Home Ownership Limited</t>
  </si>
  <si>
    <t>HillingdonOak Housing Limited</t>
  </si>
  <si>
    <t>HillingdonParadigm Homes Charitable Housing Association Limited</t>
  </si>
  <si>
    <t>HillingdonParagon Asra Housing Limited</t>
  </si>
  <si>
    <t>HillingdonPeabody Trust</t>
  </si>
  <si>
    <t>HillingdonPinnacle Affordable Homes Ltd</t>
  </si>
  <si>
    <t>HillingdonPlaces for People Homes Limited</t>
  </si>
  <si>
    <t>HillingdonRichmond Housing Partnership Limited</t>
  </si>
  <si>
    <t>HillingdonSage Homes RP Limited</t>
  </si>
  <si>
    <t>HillingdonSage Rented Limited</t>
  </si>
  <si>
    <t>HillingdonSanctuary Housing Association</t>
  </si>
  <si>
    <t>HillingdonSouthern Housing</t>
  </si>
  <si>
    <t>HillingdonSovereign Network Group</t>
  </si>
  <si>
    <t>HillingdonSparrow Shared Ownership Limited</t>
  </si>
  <si>
    <t>HillingdonTBG Open Door Limited</t>
  </si>
  <si>
    <t>HillingdonThe Abbeyfield Uxbridge Society Limited</t>
  </si>
  <si>
    <t>HillingdonThe Guinness Partnership Limited</t>
  </si>
  <si>
    <t>HillingdonThe Riverside Group Limited</t>
  </si>
  <si>
    <t>HillingdonWomen's Pioneer Housing Limited</t>
  </si>
  <si>
    <t>HillingdonYMCA St Paul's Group</t>
  </si>
  <si>
    <t>Hinckley and BosworthAdullam Homes Housing Association Limited</t>
  </si>
  <si>
    <t>Hinckley and BosworthAdvance Housing and Support Limited</t>
  </si>
  <si>
    <t>Hinckley and BosworthAnchor Hanover Group</t>
  </si>
  <si>
    <t>Hinckley and BosworthAuckland Home Solutions CIC</t>
  </si>
  <si>
    <t>Hinckley and BosworthBespoke Supportive Tenancies Ltd</t>
  </si>
  <si>
    <t>Hinckley and BosworthEMH Housing and Regeneration Limited</t>
  </si>
  <si>
    <t>Hinckley and BosworthFalcon Housing Association C.I.C</t>
  </si>
  <si>
    <t>Hinckley and BosworthFutures Homescape Limited</t>
  </si>
  <si>
    <t>Hinckley and BosworthFutures Homeway Limited</t>
  </si>
  <si>
    <t>Hinckley and BosworthGolden Lane Housing Limited</t>
  </si>
  <si>
    <t>Hinckley and BosworthInclusion Housing Community Interest Company</t>
  </si>
  <si>
    <t>Hinckley and BosworthLegal &amp; General Affordable Homes Limited</t>
  </si>
  <si>
    <t>Hinckley and BosworthM&amp;G UK Shared Ownership Limited</t>
  </si>
  <si>
    <t>Hinckley and BosworthMidland Heart Limited</t>
  </si>
  <si>
    <t>Hinckley and BosworthMy Space Housing Solutions</t>
  </si>
  <si>
    <t>Hinckley and BosworthNottingham Community Housing Association Limited</t>
  </si>
  <si>
    <t>Hinckley and BosworthOrbit Group Limited</t>
  </si>
  <si>
    <t>Hinckley and BosworthOrbit Housing Association Limited</t>
  </si>
  <si>
    <t>Hinckley and BosworthParagon Asra Housing Limited</t>
  </si>
  <si>
    <t>Hinckley and BosworthPlaces for People Living+ Limited</t>
  </si>
  <si>
    <t>Hinckley and BosworthPlatform Housing Limited</t>
  </si>
  <si>
    <t>Hinckley and BosworthProgress Housing Association Limited</t>
  </si>
  <si>
    <t>Hinckley and BosworthStonewater Limited</t>
  </si>
  <si>
    <t>Hinckley and BosworthThe Riverside Group Limited</t>
  </si>
  <si>
    <t>Hinckley and BosworthTrinity Housing Association Limited</t>
  </si>
  <si>
    <t>Hinckley and BosworthTuntum Housing Association Limited</t>
  </si>
  <si>
    <t>HorshamA2Dominion Housing Options Limited</t>
  </si>
  <si>
    <t>HorshamA2Dominion South Limited</t>
  </si>
  <si>
    <t>HorshamAnchor Hanover Group</t>
  </si>
  <si>
    <t>HorshamAster Communities</t>
  </si>
  <si>
    <t>HorshamClarion Housing Association Limited</t>
  </si>
  <si>
    <t>HorshamEnglish Rural Housing Association Limited</t>
  </si>
  <si>
    <t>HorshamHastoe Housing Association Limited</t>
  </si>
  <si>
    <t>HorshamHeylo Housing Registered Provider Limited</t>
  </si>
  <si>
    <t>HorshamHome Group Limited</t>
  </si>
  <si>
    <t>HorshamHousing 21</t>
  </si>
  <si>
    <t>HorshamHyde Housing Association Limited</t>
  </si>
  <si>
    <t>HorshamLegal &amp; General Affordable Homes (AR) LLP</t>
  </si>
  <si>
    <t>HorshamLegal &amp; General Affordable Homes Limited</t>
  </si>
  <si>
    <t>HorshamLegal and General Affordable Homes (Capital) Limited</t>
  </si>
  <si>
    <t>HorshamLondon &amp; Quadrant Housing Trust</t>
  </si>
  <si>
    <t>HorshamMetropolitan Housing Trust Limited</t>
  </si>
  <si>
    <t>HorshamMoat Homes Limited</t>
  </si>
  <si>
    <t>HorshamMount Green Housing Association Limited</t>
  </si>
  <si>
    <t>HorshamOrbit Group Limited</t>
  </si>
  <si>
    <t>HorshamOrbit Housing Association Limited</t>
  </si>
  <si>
    <t>HorshamPlaces for People Homes Limited</t>
  </si>
  <si>
    <t>HorshamRaven Housing Trust Limited</t>
  </si>
  <si>
    <t>HorshamRoyal Air Forces Association Housing Limited</t>
  </si>
  <si>
    <t>HorshamSage Rented Limited</t>
  </si>
  <si>
    <t>HorshamSanctuary Housing Association</t>
  </si>
  <si>
    <t>HorshamSaxon Weald</t>
  </si>
  <si>
    <t>HorshamSouthdown Housing Association Limited</t>
  </si>
  <si>
    <t>HorshamSouthern Housing</t>
  </si>
  <si>
    <t>HorshamSparrow Shared Ownership Limited</t>
  </si>
  <si>
    <t>HorshamStonewater (5) Limited</t>
  </si>
  <si>
    <t>HorshamStonewater Limited</t>
  </si>
  <si>
    <t>HorshamThe Guinness Partnership Limited</t>
  </si>
  <si>
    <t>HorshamVivid Housing Limited</t>
  </si>
  <si>
    <t>HorshamWaythrough</t>
  </si>
  <si>
    <t>HorshamWorthing Homes Limited</t>
  </si>
  <si>
    <t>HorshamYMCA Downslink Group</t>
  </si>
  <si>
    <t>HounslowA2Dominion Homes Limited</t>
  </si>
  <si>
    <t>HounslowA2Dominion Housing Options Limited</t>
  </si>
  <si>
    <t>HounslowA2Dominion South Limited</t>
  </si>
  <si>
    <t>HounslowAmplius Living</t>
  </si>
  <si>
    <t>HounslowBedfont Stoney Wall Housing Co-operative Limited</t>
  </si>
  <si>
    <t>HounslowBlue Square Residential Ltd</t>
  </si>
  <si>
    <t>HounslowCentral and Cecil Housing Trust</t>
  </si>
  <si>
    <t>HounslowChrysalis Supported Association Limited</t>
  </si>
  <si>
    <t>HounslowClarion Housing Association Limited</t>
  </si>
  <si>
    <t>HounslowCo-op Homes (South) Limited</t>
  </si>
  <si>
    <t>HounslowCromwood Housing Ltd</t>
  </si>
  <si>
    <t>HounslowCross Lances Housing Co-operative Limited</t>
  </si>
  <si>
    <t>HounslowDavid Henry Waring Home</t>
  </si>
  <si>
    <t>HounslowDimensions (UK) Limited</t>
  </si>
  <si>
    <t>HounslowGreen Dragon Lane Housing Co-operative Limited</t>
  </si>
  <si>
    <t>HounslowGreenhill Housing Association</t>
  </si>
  <si>
    <t>HounslowHabinteg Housing Association Limited</t>
  </si>
  <si>
    <t>HounslowHeylo Housing Registered Provider Limited</t>
  </si>
  <si>
    <t>HounslowHome Group Limited</t>
  </si>
  <si>
    <t>HounslowHousing 21</t>
  </si>
  <si>
    <t>HounslowHousing For Women</t>
  </si>
  <si>
    <t>HounslowInclusion Housing Community Interest Company</t>
  </si>
  <si>
    <t>HounslowIsleworth &amp; Hounslow Charity Limited</t>
  </si>
  <si>
    <t>HounslowJust Circle Limited</t>
  </si>
  <si>
    <t>HounslowKaribu Community Homes Limited</t>
  </si>
  <si>
    <t>HounslowLegal &amp; General Affordable Homes (AR) LLP</t>
  </si>
  <si>
    <t>HounslowLegal &amp; General Affordable Homes Limited</t>
  </si>
  <si>
    <t>HounslowLondon &amp; Quadrant Housing Trust</t>
  </si>
  <si>
    <t>HounslowMetropolitan Housing Trust Limited</t>
  </si>
  <si>
    <t>HounslowNotting Hill Genesis</t>
  </si>
  <si>
    <t>HounslowNotting Hill Home Ownership Limited</t>
  </si>
  <si>
    <t>HounslowOctavia Housing</t>
  </si>
  <si>
    <t>HounslowOld Isleworth Housing Co-operative Limited</t>
  </si>
  <si>
    <t>HounslowOrigin Housing Limited</t>
  </si>
  <si>
    <t>HounslowParagon Asra Housing Limited</t>
  </si>
  <si>
    <t>HounslowPeabody Trust</t>
  </si>
  <si>
    <t>HounslowPlaces for People Homes Limited</t>
  </si>
  <si>
    <t>HounslowRefuge</t>
  </si>
  <si>
    <t>HounslowRichmond Housing Partnership Limited</t>
  </si>
  <si>
    <t>HounslowSage Homes RP Limited</t>
  </si>
  <si>
    <t>HounslowSage Rented Limited</t>
  </si>
  <si>
    <t>HounslowSanctuary Housing Association</t>
  </si>
  <si>
    <t>HounslowSapphire Independent Housing Limited</t>
  </si>
  <si>
    <t>HounslowSouthern Housing</t>
  </si>
  <si>
    <t>HounslowSovereign Network Group</t>
  </si>
  <si>
    <t>HounslowSpringboard Two Housing Association Limited</t>
  </si>
  <si>
    <t>HounslowSt Mungo Community Housing Association</t>
  </si>
  <si>
    <t>HounslowTBG Open Door Limited</t>
  </si>
  <si>
    <t>HounslowThe Guinness Partnership Limited</t>
  </si>
  <si>
    <t>HounslowThe Riverside Group Limited</t>
  </si>
  <si>
    <t>HounslowThe Sir Oswald Stoll Foundation</t>
  </si>
  <si>
    <t>HounslowThe Skinners'  Almshouse Charity</t>
  </si>
  <si>
    <t>HounslowWatermans Housing Co-operative Limited</t>
  </si>
  <si>
    <t>HounslowWellington Housing Co-operative Limited</t>
  </si>
  <si>
    <t>HuntingdonshireAccent Housing Limited</t>
  </si>
  <si>
    <t>HuntingdonshireAmplius Living</t>
  </si>
  <si>
    <t>HuntingdonshireAnchor Hanover Group</t>
  </si>
  <si>
    <t>HuntingdonshireBespoke Supportive Tenancies Ltd</t>
  </si>
  <si>
    <t>HuntingdonshireClarion Housing Association Limited</t>
  </si>
  <si>
    <t>HuntingdonshireCross Keys Homes Limited</t>
  </si>
  <si>
    <t>HuntingdonshireDimensions (UK) Limited</t>
  </si>
  <si>
    <t>HuntingdonshireEmpower Housing Association Limited</t>
  </si>
  <si>
    <t>HuntingdonshireGolden Lane Housing Limited</t>
  </si>
  <si>
    <t>HuntingdonshireHastoe Housing Association Limited</t>
  </si>
  <si>
    <t>HuntingdonshireHeylo Housing Registered Provider Limited</t>
  </si>
  <si>
    <t>HuntingdonshireHome Group Limited</t>
  </si>
  <si>
    <t>HuntingdonshireHousing 21</t>
  </si>
  <si>
    <t>HuntingdonshireHundred Houses Society Limited</t>
  </si>
  <si>
    <t>HuntingdonshireHyde Housing Association Limited</t>
  </si>
  <si>
    <t>HuntingdonshireInclusion Housing Community Interest Company</t>
  </si>
  <si>
    <t>HuntingdonshireLondon &amp; Quadrant Housing Trust</t>
  </si>
  <si>
    <t>HuntingdonshireM&amp;G UK Shared Ownership Limited</t>
  </si>
  <si>
    <t>HuntingdonshireMetropolitan Housing Trust Limited</t>
  </si>
  <si>
    <t>HuntingdonshireMuir Group Housing Association Limited</t>
  </si>
  <si>
    <t>HuntingdonshireOrbit Group Limited</t>
  </si>
  <si>
    <t>HuntingdonshireOrbit Housing Association Limited</t>
  </si>
  <si>
    <t>HuntingdonshirePeabody Trust</t>
  </si>
  <si>
    <t>HuntingdonshirePlaces for People Homes Limited</t>
  </si>
  <si>
    <t>HuntingdonshirePlaces for People Living+ Limited</t>
  </si>
  <si>
    <t>HuntingdonshirePlatform Housing Limited</t>
  </si>
  <si>
    <t>HuntingdonshireProgress Housing Association Limited</t>
  </si>
  <si>
    <t>HuntingdonshireRamsey Welfare Charities</t>
  </si>
  <si>
    <t>HuntingdonshireRentplus Homes Limited</t>
  </si>
  <si>
    <t>HuntingdonshireReside Housing Association Limited</t>
  </si>
  <si>
    <t>HuntingdonshireSage Homes RP Limited</t>
  </si>
  <si>
    <t>HuntingdonshireSage Rented Limited</t>
  </si>
  <si>
    <t>HuntingdonshireSalvation Army Housing Association</t>
  </si>
  <si>
    <t>HuntingdonshireSparrow Shared Ownership Limited</t>
  </si>
  <si>
    <t>HuntingdonshireStonewater Limited</t>
  </si>
  <si>
    <t>HuntingdonshireThe Cambridge Housing Society Limited</t>
  </si>
  <si>
    <t>HuntingdonshireThe Guinness Partnership Limited</t>
  </si>
  <si>
    <t>HuntingdonshireThe Havebury Housing Partnership</t>
  </si>
  <si>
    <t>HuntingdonshireThe Papworth Trust</t>
  </si>
  <si>
    <t>Huntingdonshirebpha Limited</t>
  </si>
  <si>
    <t>HyndburnAccent Housing Limited</t>
  </si>
  <si>
    <t>HyndburnAnchor Hanover Group</t>
  </si>
  <si>
    <t>HyndburnAuckland Home Solutions CIC</t>
  </si>
  <si>
    <t>HyndburnBlackburn YMCA</t>
  </si>
  <si>
    <t>HyndburnCalico Homes Limited</t>
  </si>
  <si>
    <t>HyndburnCare Housing Association Limited</t>
  </si>
  <si>
    <t>HyndburnCreative Support Limited</t>
  </si>
  <si>
    <t>HyndburnEmpower Housing Association Limited</t>
  </si>
  <si>
    <t>HyndburnEncircle Housing</t>
  </si>
  <si>
    <t>HyndburnFalcon Housing Association C.I.C</t>
  </si>
  <si>
    <t>HyndburnGreat Places Housing Association</t>
  </si>
  <si>
    <t>HyndburnHalo Housing Association Limited</t>
  </si>
  <si>
    <t>HyndburnHeylo Housing Registered Provider Limited</t>
  </si>
  <si>
    <t>HyndburnHilldale Housing Association Limited</t>
  </si>
  <si>
    <t>HyndburnHousing 21</t>
  </si>
  <si>
    <t>HyndburnInclusion Housing Community Interest Company</t>
  </si>
  <si>
    <t>HyndburnMosscare St. Vincent's Housing Group Limited</t>
  </si>
  <si>
    <t>HyndburnNew Foundations Housing Association Limited</t>
  </si>
  <si>
    <t>HyndburnOnward Homes Limited</t>
  </si>
  <si>
    <t>HyndburnPartners Foundation Limited</t>
  </si>
  <si>
    <t>HyndburnPlaces for People Homes Limited</t>
  </si>
  <si>
    <t>HyndburnPlaces for People Living+ Limited</t>
  </si>
  <si>
    <t>HyndburnProgress Housing Association Limited</t>
  </si>
  <si>
    <t>HyndburnSage Rented Limited</t>
  </si>
  <si>
    <t>HyndburnSanctuary Affordable Housing Limited</t>
  </si>
  <si>
    <t>HyndburnTogether Housing Association Limited</t>
  </si>
  <si>
    <t>HyndburnTrinity Housing Association Limited</t>
  </si>
  <si>
    <t>HyndburnYour Housing Limited</t>
  </si>
  <si>
    <t>IpswichAnchor Hanover Group</t>
  </si>
  <si>
    <t>IpswichBroadland Housing Association Limited</t>
  </si>
  <si>
    <t>IpswichEastlight Community Homes Limited</t>
  </si>
  <si>
    <t>IpswichEmpower Housing Association Limited</t>
  </si>
  <si>
    <t>IpswichFalcon Housing Association C.I.C</t>
  </si>
  <si>
    <t>IpswichFlagship Housing Limited</t>
  </si>
  <si>
    <t>IpswichHabinteg Housing Association Limited</t>
  </si>
  <si>
    <t>IpswichHeylo Housing Registered Provider Limited</t>
  </si>
  <si>
    <t>IpswichHome Group Limited</t>
  </si>
  <si>
    <t>IpswichHousing 21</t>
  </si>
  <si>
    <t>IpswichLegal &amp; General Affordable Homes Limited</t>
  </si>
  <si>
    <t>IpswichNotting Hill Genesis</t>
  </si>
  <si>
    <t>IpswichOak Housing Limited</t>
  </si>
  <si>
    <t>IpswichOrbit Group Limited</t>
  </si>
  <si>
    <t>IpswichOrbit Housing Association Limited</t>
  </si>
  <si>
    <t>IpswichOrwell Housing Association Limited</t>
  </si>
  <si>
    <t>IpswichPlaces for People Living+ Limited</t>
  </si>
  <si>
    <t>IpswichProgress Housing Association Limited</t>
  </si>
  <si>
    <t>IpswichSaffron Housing Trust Limited</t>
  </si>
  <si>
    <t>IpswichSalvation Army Housing Association</t>
  </si>
  <si>
    <t>IpswichSanctuary Affordable Housing Limited</t>
  </si>
  <si>
    <t>IpswichSanctuary Housing Association</t>
  </si>
  <si>
    <t>IpswichSolo Housing (East Anglia)</t>
  </si>
  <si>
    <t>IpswichSparrow Shared Ownership Limited</t>
  </si>
  <si>
    <t>IpswichThe Abbeyfield Orwell Extra Care Society Limited</t>
  </si>
  <si>
    <t>IpswichThe Guinness Partnership Limited</t>
  </si>
  <si>
    <t>IpswichThe Mills Charity</t>
  </si>
  <si>
    <t>IpswichThe Papworth Trust</t>
  </si>
  <si>
    <t>IpswichThe Riverside Group Limited</t>
  </si>
  <si>
    <t>IpswichWaythrough</t>
  </si>
  <si>
    <t>IpswichWilliam Paul Housing Trust</t>
  </si>
  <si>
    <t>IpswichYMCA Trinity Group</t>
  </si>
  <si>
    <t>Isle of WightAnchor Hanover Group</t>
  </si>
  <si>
    <t>Isle of WightHeylo Housing Registered Provider Limited</t>
  </si>
  <si>
    <t>Isle of WightHousing 21</t>
  </si>
  <si>
    <t>Isle of WightIsland Cottages Limited</t>
  </si>
  <si>
    <t>Isle of WightMoat Homes Limited</t>
  </si>
  <si>
    <t>Isle of WightPlaces for People Homes Limited</t>
  </si>
  <si>
    <t>Isle of WightReside Housing Association Limited</t>
  </si>
  <si>
    <t>Isle of WightSouthern Housing</t>
  </si>
  <si>
    <t>Isle of WightSovereign Network Group</t>
  </si>
  <si>
    <t>Isle of WightThe Abbeyfield Shanklin Society Limited</t>
  </si>
  <si>
    <t>Isle of WightThe Abbeyfield Society</t>
  </si>
  <si>
    <t>Isle of WightThe Swaythling Housing Society Limited</t>
  </si>
  <si>
    <t>Isle of WightTwo Saints Limited</t>
  </si>
  <si>
    <t>Isle of WightVectis Housing Association Limited</t>
  </si>
  <si>
    <t>Isle of WightYMCA Fairthorne Housing</t>
  </si>
  <si>
    <t>Isles of ScillyCornwall Rural Housing Association Limited</t>
  </si>
  <si>
    <t>Isles of ScillyLiveWest Homes Limited</t>
  </si>
  <si>
    <t>IslingtonAnchor Hanover Group</t>
  </si>
  <si>
    <t>IslingtonArhag Housing Association Limited</t>
  </si>
  <si>
    <t>IslingtonBangla Housing Association Limited</t>
  </si>
  <si>
    <t>IslingtonBarnsbury Housing Association</t>
  </si>
  <si>
    <t>IslingtonCentral and Cecil Housing Trust</t>
  </si>
  <si>
    <t>IslingtonClarion Housing Association Limited</t>
  </si>
  <si>
    <t>IslingtonDepaul Housing Services</t>
  </si>
  <si>
    <t>IslingtonEncircle Housing</t>
  </si>
  <si>
    <t>IslingtonFinsbury Park Housing Co-operative Limited</t>
  </si>
  <si>
    <t>IslingtonGreat Wall Society Limited</t>
  </si>
  <si>
    <t>IslingtonHabinteg Housing Association Limited</t>
  </si>
  <si>
    <t>IslingtonHome Group Limited</t>
  </si>
  <si>
    <t>IslingtonHousing 21</t>
  </si>
  <si>
    <t>IslingtonHyde Housing Association Limited</t>
  </si>
  <si>
    <t>IslingtonInnisfree Housing Association Limited</t>
  </si>
  <si>
    <t>IslingtonIslington Community Housing Co-operative Limited</t>
  </si>
  <si>
    <t>IslingtonIslington and Shoreditch Housing Association Limited</t>
  </si>
  <si>
    <t>IslingtonKarin Housing Association Limited</t>
  </si>
  <si>
    <t>IslingtonKeniston Housing Association Limited</t>
  </si>
  <si>
    <t>IslingtonLondon &amp; Quadrant Housing Trust</t>
  </si>
  <si>
    <t>IslingtonMetropolitan Benefit Societies' Almshouses</t>
  </si>
  <si>
    <t>IslingtonMetropolitan Housing Trust Limited</t>
  </si>
  <si>
    <t>IslingtonNew Swift Housing Co-operative Limited</t>
  </si>
  <si>
    <t>IslingtonNewlon Housing Trust</t>
  </si>
  <si>
    <t>IslingtonNotting Hill Genesis</t>
  </si>
  <si>
    <t>IslingtonNotting Hill Home Ownership Limited</t>
  </si>
  <si>
    <t>IslingtonOld Etonian Housing Association Limited</t>
  </si>
  <si>
    <t>IslingtonOrigin Housing Limited</t>
  </si>
  <si>
    <t>IslingtonParagon Asra Housing Limited</t>
  </si>
  <si>
    <t>IslingtonPeabody Trust</t>
  </si>
  <si>
    <t>IslingtonPeter Bedford Housing Association Limited</t>
  </si>
  <si>
    <t>IslingtonPhoenix House</t>
  </si>
  <si>
    <t>IslingtonPlaces for People Homes Limited</t>
  </si>
  <si>
    <t>IslingtonPlaces for People Living+ Limited</t>
  </si>
  <si>
    <t>IslingtonQuadrant-Brownswood Tenant Co-operative Limited</t>
  </si>
  <si>
    <t>IslingtonRichmond Avenue Housing Co-operative Limited</t>
  </si>
  <si>
    <t>IslingtonSanctuary Housing Association</t>
  </si>
  <si>
    <t>IslingtonSapphire Independent Housing Limited</t>
  </si>
  <si>
    <t>IslingtonShian Housing Association Limited</t>
  </si>
  <si>
    <t>IslingtonSouth Mildmay Tenants Co-operative Limited</t>
  </si>
  <si>
    <t>IslingtonSouthern Home Ownership Limited</t>
  </si>
  <si>
    <t>IslingtonSouthern Housing</t>
  </si>
  <si>
    <t>IslingtonSovereign Network Group</t>
  </si>
  <si>
    <t>IslingtonSt Martin of Tours Housing Association Limited</t>
  </si>
  <si>
    <t>IslingtonSt Mungo Community Housing Association</t>
  </si>
  <si>
    <t>IslingtonTBG Open Door Limited</t>
  </si>
  <si>
    <t>IslingtonTamil Community Housing Association Limited</t>
  </si>
  <si>
    <t>IslingtonThe Guinness Partnership Limited</t>
  </si>
  <si>
    <t>IslingtonThe Riverside Group Limited</t>
  </si>
  <si>
    <t>IslingtonWaverley (Eighth) Co-operative Housing Association Limited</t>
  </si>
  <si>
    <t>IslingtonWaythrough</t>
  </si>
  <si>
    <t>IslingtonYMCA London City and North</t>
  </si>
  <si>
    <t>Kensington and ChelseaA2Dominion Homes Limited</t>
  </si>
  <si>
    <t>Kensington and ChelseaAnchor Hanover Group</t>
  </si>
  <si>
    <t>Kensington and ChelseaArhag Housing Association Limited</t>
  </si>
  <si>
    <t>Kensington and ChelseaCentral and Cecil Housing Trust</t>
  </si>
  <si>
    <t>Kensington and ChelseaClarion Housing Association Limited</t>
  </si>
  <si>
    <t>Kensington and ChelseaEvolve Housing + Support</t>
  </si>
  <si>
    <t>Kensington and ChelseaHabinteg Housing Association Limited</t>
  </si>
  <si>
    <t>Kensington and ChelseaHarrison Housing</t>
  </si>
  <si>
    <t>Kensington and ChelseaHousing For Women</t>
  </si>
  <si>
    <t>Kensington and ChelseaKaribu Community Homes Limited</t>
  </si>
  <si>
    <t>Kensington and ChelseaLondon &amp; Quadrant Housing Trust</t>
  </si>
  <si>
    <t>Kensington and ChelseaLook Ahead Care and Support Limited</t>
  </si>
  <si>
    <t>Kensington and ChelseaMetropolitan Housing Trust Limited</t>
  </si>
  <si>
    <t>Kensington and ChelseaNotting Dale Housing Co-operative Limited</t>
  </si>
  <si>
    <t>Kensington and ChelseaNotting Hill Genesis</t>
  </si>
  <si>
    <t>Kensington and ChelseaNotting Hill Home Ownership Limited</t>
  </si>
  <si>
    <t>Kensington and ChelseaOctavia Housing</t>
  </si>
  <si>
    <t>Kensington and ChelseaPeabody Trust</t>
  </si>
  <si>
    <t>Kensington and ChelseaPlaces for People Homes Limited</t>
  </si>
  <si>
    <t>Kensington and ChelseaPortobello Housing Co-operative Limited</t>
  </si>
  <si>
    <t>Kensington and ChelseaSalvation Army Housing Association</t>
  </si>
  <si>
    <t>Kensington and ChelseaSanctuary Housing Association</t>
  </si>
  <si>
    <t>Kensington and ChelseaSouthern Housing</t>
  </si>
  <si>
    <t>Kensington and ChelseaSovereign Network Group</t>
  </si>
  <si>
    <t>Kensington and ChelseaSt Christopher's Fellowship</t>
  </si>
  <si>
    <t>Kensington and ChelseaSt Joseph's Almshouses</t>
  </si>
  <si>
    <t>Kensington and ChelseaSt Mungo Community Housing Association</t>
  </si>
  <si>
    <t>Kensington and ChelseaThe Field Lane Foundation</t>
  </si>
  <si>
    <t>Kensington and ChelseaThe Guinness Partnership Limited</t>
  </si>
  <si>
    <t>Kensington and ChelseaTurning Point</t>
  </si>
  <si>
    <t>Kensington and ChelseaWaythrough</t>
  </si>
  <si>
    <t>Kensington and ChelseaWomen's Pioneer Housing Limited</t>
  </si>
  <si>
    <t>King's Lynn and West NorfolkAmplius Living</t>
  </si>
  <si>
    <t>King's Lynn and West NorfolkAnchor Hanover Group</t>
  </si>
  <si>
    <t>King's Lynn and West NorfolkAuckland Home Solutions CIC</t>
  </si>
  <si>
    <t>King's Lynn and West NorfolkBroadland Housing Association Limited</t>
  </si>
  <si>
    <t>King's Lynn and West NorfolkClarion Housing Association Limited</t>
  </si>
  <si>
    <t>King's Lynn and West NorfolkFirst Priority Housing Association Limited</t>
  </si>
  <si>
    <t>King's Lynn and West NorfolkFlagship Housing Limited</t>
  </si>
  <si>
    <t>King's Lynn and West NorfolkFreebridge Community Housing Limited</t>
  </si>
  <si>
    <t>King's Lynn and West NorfolkHastoe Housing Association Limited</t>
  </si>
  <si>
    <t>King's Lynn and West NorfolkHousing 21</t>
  </si>
  <si>
    <t>King's Lynn and West NorfolkLincolnshire Rural Housing Association Limited</t>
  </si>
  <si>
    <t>King's Lynn and West NorfolkMuir Group Housing Association Limited</t>
  </si>
  <si>
    <t>King's Lynn and West NorfolkOak Housing Limited</t>
  </si>
  <si>
    <t>King's Lynn and West NorfolkOrbit Housing Association Limited</t>
  </si>
  <si>
    <t>King's Lynn and West NorfolkPlaces for People Homes Limited</t>
  </si>
  <si>
    <t>King's Lynn and West NorfolkPlaces for People Living+ Limited</t>
  </si>
  <si>
    <t>King's Lynn and West NorfolkPlatform Housing Limited</t>
  </si>
  <si>
    <t>King's Lynn and West NorfolkProgress Housing Association Limited</t>
  </si>
  <si>
    <t>King's Lynn and West NorfolkReside Housing Association Limited</t>
  </si>
  <si>
    <t>King's Lynn and West NorfolkSaffron Housing Trust Limited</t>
  </si>
  <si>
    <t>King's Lynn and West NorfolkSanctuary Affordable Housing Limited</t>
  </si>
  <si>
    <t>King's Lynn and West NorfolkSanctuary Housing Association</t>
  </si>
  <si>
    <t>King's Lynn and West NorfolkStonewater Limited</t>
  </si>
  <si>
    <t>King's Lynn and West NorfolkThe Papworth Trust</t>
  </si>
  <si>
    <t>King's Lynn and West NorfolkV &amp; F Homes Limited</t>
  </si>
  <si>
    <t>King's Lynn and West NorfolkWest Norfolk Housing Company Ltd</t>
  </si>
  <si>
    <t>King's Lynn and West NorfolkYMCA Norfolk</t>
  </si>
  <si>
    <t>Kingston upon Hull, City ofAnchor Hanover Group</t>
  </si>
  <si>
    <t>Kingston upon Hull, City ofArpeggio Properties Limited</t>
  </si>
  <si>
    <t>Kingston upon Hull, City ofCare Housing Association Limited</t>
  </si>
  <si>
    <t>Kingston upon Hull, City ofEncircle Housing</t>
  </si>
  <si>
    <t>Kingston upon Hull, City ofGolden Lane Housing Limited</t>
  </si>
  <si>
    <t>Kingston upon Hull, City ofGoodwin Development Trust</t>
  </si>
  <si>
    <t>Kingston upon Hull, City ofGreat Places Housing Association</t>
  </si>
  <si>
    <t>Kingston upon Hull, City ofHabinteg Housing Association Limited</t>
  </si>
  <si>
    <t>Kingston upon Hull, City ofHilldale Housing Association Limited</t>
  </si>
  <si>
    <t>Kingston upon Hull, City ofHome Group Limited</t>
  </si>
  <si>
    <t>Kingston upon Hull, City ofHousing 21</t>
  </si>
  <si>
    <t>Kingston upon Hull, City ofHull Churches Housing Association Limited</t>
  </si>
  <si>
    <t>Kingston upon Hull, City ofHull House Improvement Society Limited</t>
  </si>
  <si>
    <t>Kingston upon Hull, City ofHull Resettlement Project Limited</t>
  </si>
  <si>
    <t>Kingston upon Hull, City ofHull United Charities</t>
  </si>
  <si>
    <t>Kingston upon Hull, City ofHull and East Yorkshire Mind</t>
  </si>
  <si>
    <t>Kingston upon Hull, City ofInclusion Housing Community Interest Company</t>
  </si>
  <si>
    <t>Kingston upon Hull, City ofJoseph Rowntree Housing Trust</t>
  </si>
  <si>
    <t>Kingston upon Hull, City ofPickering and Ferens Homes</t>
  </si>
  <si>
    <t>Kingston upon Hull, City ofPlaces for People Homes Limited</t>
  </si>
  <si>
    <t>Kingston upon Hull, City ofPlaces for People Living+ Limited</t>
  </si>
  <si>
    <t>Kingston upon Hull, City ofRailway Housing Association and Benefit Fund</t>
  </si>
  <si>
    <t>Kingston upon Hull, City ofReside Housing Association Limited</t>
  </si>
  <si>
    <t>Kingston upon Hull, City ofSanctuary Affordable Housing Limited</t>
  </si>
  <si>
    <t>Kingston upon Hull, City ofSanctuary Housing Association</t>
  </si>
  <si>
    <t>Kingston upon Hull, City ofTarget Housing Limited</t>
  </si>
  <si>
    <t>Kingston upon Hull, City ofTeachers' Housing Association Limited</t>
  </si>
  <si>
    <t>Kingston upon Hull, City ofThe Riverside Group Limited</t>
  </si>
  <si>
    <t>Kingston upon Hull, City ofThirteen Housing Group Limited</t>
  </si>
  <si>
    <t>Kingston upon Hull, City ofTogether Housing Association Limited</t>
  </si>
  <si>
    <t>Kingston upon Hull, City ofWaythrough</t>
  </si>
  <si>
    <t>Kingston upon Hull, City ofWestmoreland Supported Housing Limited</t>
  </si>
  <si>
    <t>Kingston upon Hull, City ofWinner Trading Ltd</t>
  </si>
  <si>
    <t>Kingston upon Hull, City ofYorkshire Housing Limited</t>
  </si>
  <si>
    <t>Kingston upon ThamesA2Dominion South Limited</t>
  </si>
  <si>
    <t>Kingston upon ThamesAbility Housing Association</t>
  </si>
  <si>
    <t>Kingston upon ThamesAdvance Housing and Support Limited</t>
  </si>
  <si>
    <t>Kingston upon ThamesAnchor Hanover Group</t>
  </si>
  <si>
    <t>Kingston upon ThamesCentral and Cecil Housing Trust</t>
  </si>
  <si>
    <t>Kingston upon ThamesClarion Housing Association Limited</t>
  </si>
  <si>
    <t>Kingston upon ThamesCo-op Homes (South) Limited</t>
  </si>
  <si>
    <t>Kingston upon ThamesGolden Lane Housing Limited</t>
  </si>
  <si>
    <t>Kingston upon ThamesHabinteg Housing Association Limited</t>
  </si>
  <si>
    <t>Kingston upon ThamesHalo Housing Association Limited</t>
  </si>
  <si>
    <t>Kingston upon ThamesHome Group Limited</t>
  </si>
  <si>
    <t>Kingston upon ThamesHousing 21</t>
  </si>
  <si>
    <t>Kingston upon ThamesKaribu Community Homes Limited</t>
  </si>
  <si>
    <t>Kingston upon ThamesKingston upon Thames Churches Housing Association Limited</t>
  </si>
  <si>
    <t>Kingston upon ThamesLondon &amp; Quadrant Housing Trust</t>
  </si>
  <si>
    <t>Kingston upon ThamesMTD Housing Limited</t>
  </si>
  <si>
    <t>Kingston upon ThamesMetropolitan Housing Trust Limited</t>
  </si>
  <si>
    <t>Kingston upon ThamesMillat Asian Housing Association Limited</t>
  </si>
  <si>
    <t>Kingston upon ThamesMount Green Housing Association Limited</t>
  </si>
  <si>
    <t>Kingston upon ThamesNotting Hill Home Ownership Limited</t>
  </si>
  <si>
    <t>Kingston upon ThamesOrigin Housing Limited</t>
  </si>
  <si>
    <t>Kingston upon ThamesParagon Asra Housing Limited</t>
  </si>
  <si>
    <t>Kingston upon ThamesPark Properties Housing Association Ltd</t>
  </si>
  <si>
    <t>Kingston upon ThamesPlaces for People Homes Limited</t>
  </si>
  <si>
    <t>Kingston upon ThamesReside Housing Association Limited</t>
  </si>
  <si>
    <t>Kingston upon ThamesRichmond Housing Partnership Limited</t>
  </si>
  <si>
    <t>Kingston upon ThamesSage Rented Limited</t>
  </si>
  <si>
    <t>Kingston upon ThamesSouthern Housing</t>
  </si>
  <si>
    <t>Kingston upon ThamesSovereign Network Group</t>
  </si>
  <si>
    <t>Kingston upon ThamesSparrow Shared Ownership Limited</t>
  </si>
  <si>
    <t>Kingston upon ThamesSquare Roots Registered Provider Limited</t>
  </si>
  <si>
    <t>Kingston upon ThamesTeachers' Housing Association Limited</t>
  </si>
  <si>
    <t>Kingston upon ThamesThe Guinness Partnership Limited</t>
  </si>
  <si>
    <t>Kingston upon ThamesThe Riverside Group Limited</t>
  </si>
  <si>
    <t>Kingston upon ThamesThe Sons of Divine Providence</t>
  </si>
  <si>
    <t>Kingston upon ThamesWandle Housing Association Limited</t>
  </si>
  <si>
    <t>Kingston upon ThamesWestmoreland Supported Housing Limited</t>
  </si>
  <si>
    <t>Kingston upon ThamesWomen's Pioneer Housing Limited</t>
  </si>
  <si>
    <t>Kingston upon ThamesYMCA St Paul's Group</t>
  </si>
  <si>
    <t>Kirklees54 North Homes Limited</t>
  </si>
  <si>
    <t>KirkleesAccent Housing Limited</t>
  </si>
  <si>
    <t>KirkleesAlpha (R.S.L.) Limited</t>
  </si>
  <si>
    <t>KirkleesAnchor Hanover Group</t>
  </si>
  <si>
    <t>KirkleesArpeggio Properties Limited</t>
  </si>
  <si>
    <t>KirkleesBlue Square Residential Ltd</t>
  </si>
  <si>
    <t>KirkleesCare Housing Association Limited</t>
  </si>
  <si>
    <t>KirkleesChartford Housing Limited</t>
  </si>
  <si>
    <t>KirkleesConnect Housing Association Limited</t>
  </si>
  <si>
    <t>KirkleesFirst Choice Homes Oldham Limited</t>
  </si>
  <si>
    <t>KirkleesFoundation</t>
  </si>
  <si>
    <t>KirkleesFrontis Homes Limited</t>
  </si>
  <si>
    <t>KirkleesGolden Lane Housing Limited</t>
  </si>
  <si>
    <t>KirkleesHalo Housing Association Limited</t>
  </si>
  <si>
    <t>KirkleesHeylo Housing Registered Provider Limited</t>
  </si>
  <si>
    <t>KirkleesHighstone Housing Association Limited</t>
  </si>
  <si>
    <t>KirkleesHilldale Housing Association Limited</t>
  </si>
  <si>
    <t>KirkleesHome Group Limited</t>
  </si>
  <si>
    <t>KirkleesHousing 21</t>
  </si>
  <si>
    <t>KirkleesIKE Supported Housing Limited</t>
  </si>
  <si>
    <t>KirkleesInclusion Housing Community Interest Company</t>
  </si>
  <si>
    <t>KirkleesIncommunities Limited</t>
  </si>
  <si>
    <t>KirkleesKirklees Housing Association Limited</t>
  </si>
  <si>
    <t>KirkleesLeeds Federated Housing Association Limited</t>
  </si>
  <si>
    <t>KirkleesLegal &amp; General Affordable Homes Limited</t>
  </si>
  <si>
    <t>KirkleesMethodist Homes Housing Association Limited</t>
  </si>
  <si>
    <t>KirkleesPinnacle Spaces Limited</t>
  </si>
  <si>
    <t>KirkleesPlaces for People Homes Limited</t>
  </si>
  <si>
    <t>KirkleesSage Homes RP Limited</t>
  </si>
  <si>
    <t>KirkleesSage Rented Limited</t>
  </si>
  <si>
    <t>KirkleesSanctuary Affordable Housing Limited</t>
  </si>
  <si>
    <t>KirkleesSanctuary Housing Association</t>
  </si>
  <si>
    <t>KirkleesSparrow Shared Ownership Limited</t>
  </si>
  <si>
    <t>KirkleesSt Anne's Community Services</t>
  </si>
  <si>
    <t>KirkleesStonewater Limited</t>
  </si>
  <si>
    <t>KirkleesThe Riverside Group Limited</t>
  </si>
  <si>
    <t>KirkleesTogether Housing Association Limited</t>
  </si>
  <si>
    <t>KirkleesTrinity Housing Association Limited</t>
  </si>
  <si>
    <t>KirkleesUnity Housing Association Limited</t>
  </si>
  <si>
    <t>KirkleesVico Homes Limited</t>
  </si>
  <si>
    <t>KirkleesWaythrough</t>
  </si>
  <si>
    <t>KirkleesYorkshire Housing Limited</t>
  </si>
  <si>
    <t>KirkleesYour Housing Limited</t>
  </si>
  <si>
    <t>KnowsleyAnchor Hanover Group</t>
  </si>
  <si>
    <t>KnowsleyBespoke Supportive Tenancies Ltd</t>
  </si>
  <si>
    <t>KnowsleyCherryfield Housing Co-operative Limited</t>
  </si>
  <si>
    <t>KnowsleyCobalt Housing Limited</t>
  </si>
  <si>
    <t>KnowsleyEmpower Housing Association Limited</t>
  </si>
  <si>
    <t>KnowsleyForHousing Limited</t>
  </si>
  <si>
    <t>KnowsleyHalo Housing Association Limited</t>
  </si>
  <si>
    <t>KnowsleyHarbour Light Assisted Living CIC</t>
  </si>
  <si>
    <t>KnowsleyHeylo Housing Registered Provider Limited</t>
  </si>
  <si>
    <t>KnowsleyHousing 21</t>
  </si>
  <si>
    <t>KnowsleyHuyton Community Co-operative for the Elderly Limited</t>
  </si>
  <si>
    <t>KnowsleyKnowsley Residents Housing Co-operative Limited</t>
  </si>
  <si>
    <t>KnowsleyLets for Life</t>
  </si>
  <si>
    <t>KnowsleyLivv Housing Group</t>
  </si>
  <si>
    <t>KnowsleyMuir Group Housing Association Limited</t>
  </si>
  <si>
    <t>KnowsleyOne Vision Housing Limited</t>
  </si>
  <si>
    <t>KnowsleyOnward Homes Limited</t>
  </si>
  <si>
    <t>KnowsleyPlaces for People Homes Limited</t>
  </si>
  <si>
    <t>KnowsleyPlus Dane Housing Limited</t>
  </si>
  <si>
    <t>KnowsleyPrima Housing Group Limited</t>
  </si>
  <si>
    <t>KnowsleyProgress Housing Association Limited</t>
  </si>
  <si>
    <t>KnowsleyRedwing Living Limited</t>
  </si>
  <si>
    <t>KnowsleyReside Housing Association Limited</t>
  </si>
  <si>
    <t>KnowsleySanctuary Housing Association</t>
  </si>
  <si>
    <t>KnowsleySpringwood Housing Co-operative Limited</t>
  </si>
  <si>
    <t>KnowsleyThe Riverside Group Limited</t>
  </si>
  <si>
    <t>KnowsleyTorus62 Limited</t>
  </si>
  <si>
    <t>KnowsleyWestvale Housing Co-operative Limited</t>
  </si>
  <si>
    <t>KnowsleyYour Housing Limited</t>
  </si>
  <si>
    <t>LambethA2Dominion Homes Limited</t>
  </si>
  <si>
    <t>LambethAdvance Housing and Support Limited</t>
  </si>
  <si>
    <t>LambethAnchor Hanover Group</t>
  </si>
  <si>
    <t>LambethArhag Housing Association Limited</t>
  </si>
  <si>
    <t>LambethAsh-Shahada Housing Association Limited</t>
  </si>
  <si>
    <t>LambethAuckland Home Solutions CIC</t>
  </si>
  <si>
    <t>LambethBonham and Strathleven Tenants Co-operative Limited</t>
  </si>
  <si>
    <t>LambethBrixton Housing Co-operative Limited</t>
  </si>
  <si>
    <t>LambethClarion Housing Association Limited</t>
  </si>
  <si>
    <t>LambethCoin Street Secondary Housing Co-operative Limited</t>
  </si>
  <si>
    <t>LambethCromwood Housing Ltd</t>
  </si>
  <si>
    <t>LambethDolphin Housing Limited</t>
  </si>
  <si>
    <t>LambethEdward Henry House Co-operative Limited</t>
  </si>
  <si>
    <t>LambethEkaya Housing Association Limited</t>
  </si>
  <si>
    <t>LambethEvolve Housing + Support</t>
  </si>
  <si>
    <t>LambethFalcon Housing Association C.I.C</t>
  </si>
  <si>
    <t>LambethGateway Housing Association Limited</t>
  </si>
  <si>
    <t>LambethGolden Lane Housing Limited</t>
  </si>
  <si>
    <t>LambethHFL Homes Limited</t>
  </si>
  <si>
    <t>LambethHarrison Housing</t>
  </si>
  <si>
    <t>LambethHatch Row Housing Co-operative Limited</t>
  </si>
  <si>
    <t>LambethHexagon Housing Association Limited</t>
  </si>
  <si>
    <t>LambethHeylo Housing Registered Provider Limited</t>
  </si>
  <si>
    <t>LambethHibbert Almshouse Charity</t>
  </si>
  <si>
    <t>LambethHilldale Housing Association Limited</t>
  </si>
  <si>
    <t>LambethHome Group Limited</t>
  </si>
  <si>
    <t>LambethHourglass Housing Co-operative Limited</t>
  </si>
  <si>
    <t>LambethHousing 21</t>
  </si>
  <si>
    <t>LambethHyde Housing Association Limited</t>
  </si>
  <si>
    <t>LambethHyde Southbank Homes Limited</t>
  </si>
  <si>
    <t>LambethInclusion Housing Community Interest Company</t>
  </si>
  <si>
    <t>LambethInnisfree Housing Association Limited</t>
  </si>
  <si>
    <t>LambethIroko Housing Co-operative Limited</t>
  </si>
  <si>
    <t>LambethJewish Community Housing Association Limited</t>
  </si>
  <si>
    <t>LambethJust Circle Limited</t>
  </si>
  <si>
    <t>LambethKeniston Housing Association Limited</t>
  </si>
  <si>
    <t>LambethLambeth Self Help Housing Association Limited</t>
  </si>
  <si>
    <t>LambethLambeth and Southwark Housing Association Limited</t>
  </si>
  <si>
    <t>LambethLegal &amp; General Affordable Homes (AR) LLP</t>
  </si>
  <si>
    <t>LambethLondon &amp; Quadrant Housing Trust</t>
  </si>
  <si>
    <t>LambethM&amp;G UK Shared Ownership Limited</t>
  </si>
  <si>
    <t>LambethMetropolitan Housing Trust Limited</t>
  </si>
  <si>
    <t>LambethMiller Walk Housing Co-operative Limited</t>
  </si>
  <si>
    <t>LambethMulberry Housing Co-operative Limited</t>
  </si>
  <si>
    <t>LambethNew World Housing Association Limited</t>
  </si>
  <si>
    <t>LambethNotting Hill Genesis</t>
  </si>
  <si>
    <t>LambethNotting Hill Home Ownership Limited</t>
  </si>
  <si>
    <t>LambethOrigin Housing Limited</t>
  </si>
  <si>
    <t>LambethPalm Housing Co-operative Limited</t>
  </si>
  <si>
    <t>LambethParagon Asra Housing Limited</t>
  </si>
  <si>
    <t>LambethPark Hill Housing Co-operative Limited</t>
  </si>
  <si>
    <t>LambethPeabody Developments Limited</t>
  </si>
  <si>
    <t>LambethPeabody Trust</t>
  </si>
  <si>
    <t>LambethPearman Street Co-operative Limited</t>
  </si>
  <si>
    <t>LambethPenge Churches Housing Association Limited</t>
  </si>
  <si>
    <t>LambethPhoenix House</t>
  </si>
  <si>
    <t>LambethPlaces for People Homes Limited</t>
  </si>
  <si>
    <t>LambethRadcliffe Housing Society Limited</t>
  </si>
  <si>
    <t>LambethSalvation Army Housing Association</t>
  </si>
  <si>
    <t>LambethSanctuary Housing Association</t>
  </si>
  <si>
    <t>LambethSouthern Housing</t>
  </si>
  <si>
    <t>LambethSovereign Network Group</t>
  </si>
  <si>
    <t>LambethSt Martin of Tours Housing Association Limited</t>
  </si>
  <si>
    <t>LambethSt Mungo Community Housing Association</t>
  </si>
  <si>
    <t>LambethThames Reach Housing</t>
  </si>
  <si>
    <t>LambethThe Abbeyfield (Streatham) Society Limited</t>
  </si>
  <si>
    <t>LambethThe Guinness Partnership Limited</t>
  </si>
  <si>
    <t>LambethThe New Cut Housing Co-operative Limited</t>
  </si>
  <si>
    <t>LambethThe Riverside Group Limited</t>
  </si>
  <si>
    <t>LambethThrale Almshouse and Relief in Need Charity</t>
  </si>
  <si>
    <t>LambethTrinity Homes</t>
  </si>
  <si>
    <t>LambethVine Housing Co-operative Limited</t>
  </si>
  <si>
    <t>LambethWandle Housing Association Limited</t>
  </si>
  <si>
    <t>LambethWatmos Community Homes</t>
  </si>
  <si>
    <t>LambethWest London Mission Housing Association Limited</t>
  </si>
  <si>
    <t>LambethWestmoreland Supported Housing Limited</t>
  </si>
  <si>
    <t>LambethWhicher and Kifford Almshouses</t>
  </si>
  <si>
    <t>LambethWindrush Alliance UK Community Interest Company</t>
  </si>
  <si>
    <t>LancasterAnchor Hanover Group</t>
  </si>
  <si>
    <t>LancasterArpeggio Properties Limited</t>
  </si>
  <si>
    <t>LancasterAssured Living Housing Association Limited</t>
  </si>
  <si>
    <t>LancasterAuckland Home Solutions CIC</t>
  </si>
  <si>
    <t>LancasterCalico Homes Limited</t>
  </si>
  <si>
    <t>LancasterCare Housing Association Limited</t>
  </si>
  <si>
    <t>LancasterCastle Housing Limited</t>
  </si>
  <si>
    <t>LancasterCastles &amp; Coasts Housing Association Limited</t>
  </si>
  <si>
    <t>LancasterCreative Support Limited</t>
  </si>
  <si>
    <t>LancasterDimensions (UK) Limited</t>
  </si>
  <si>
    <t>LancasterEmpower Housing Association Limited</t>
  </si>
  <si>
    <t>LancasterFalcon Housing Association C.I.C</t>
  </si>
  <si>
    <t>LancasterGreat Places Housing Association</t>
  </si>
  <si>
    <t>LancasterHalo Housing Association Limited</t>
  </si>
  <si>
    <t>LancasterHeylo Housing Registered Provider Limited</t>
  </si>
  <si>
    <t>LancasterHilldale Housing Association Limited</t>
  </si>
  <si>
    <t>LancasterHome Group Limited</t>
  </si>
  <si>
    <t>LancasterHousing 21</t>
  </si>
  <si>
    <t>LancasterInclusion Housing Community Interest Company</t>
  </si>
  <si>
    <t>LancasterJigsaw Homes North</t>
  </si>
  <si>
    <t>LancasterLangley House Trust</t>
  </si>
  <si>
    <t>LancasterLegal &amp; General Affordable Homes (AR) LLP</t>
  </si>
  <si>
    <t>LancasterLegal &amp; General Affordable Homes Limited</t>
  </si>
  <si>
    <t>LancasterLune Valley Rural Housing Association Limited</t>
  </si>
  <si>
    <t>LancasterOnward Homes Limited</t>
  </si>
  <si>
    <t>LancasterPlaces for People Homes Limited</t>
  </si>
  <si>
    <t>LancasterPlaces for People Living+ Limited</t>
  </si>
  <si>
    <t>LancasterProgress Housing Association Limited</t>
  </si>
  <si>
    <t>LancasterSalvation Army Housing Association</t>
  </si>
  <si>
    <t>LancasterSanctuary Housing Association</t>
  </si>
  <si>
    <t>LancasterSouth Lakes Housing</t>
  </si>
  <si>
    <t>LancasterThe Abbeyfield Society</t>
  </si>
  <si>
    <t>LancasterThe Fairoak Housing Association</t>
  </si>
  <si>
    <t>LancasterThe Guinness Partnership Limited</t>
  </si>
  <si>
    <t>LancasterThe Riverside Group Limited</t>
  </si>
  <si>
    <t>LancasterYour Housing Limited</t>
  </si>
  <si>
    <t>Leeds54 North Homes Limited</t>
  </si>
  <si>
    <t>LeedsAbbeyfield The Dales Limited</t>
  </si>
  <si>
    <t>LeedsAccent Housing Limited</t>
  </si>
  <si>
    <t>LeedsAlpha (R.S.L.) Limited</t>
  </si>
  <si>
    <t>LeedsAnchor Hanover Group</t>
  </si>
  <si>
    <t>LeedsArpeggio Properties Limited</t>
  </si>
  <si>
    <t>LeedsAuckland Home Solutions CIC</t>
  </si>
  <si>
    <t>LeedsBespoke Supportive Tenancies Ltd</t>
  </si>
  <si>
    <t>LeedsBlue Square Residential Ltd</t>
  </si>
  <si>
    <t>LeedsBridge-It Housing UK Team Ltd</t>
  </si>
  <si>
    <t>LeedsBroadacres Housing Association Limited</t>
  </si>
  <si>
    <t>LeedsChrysalis Supported Association Limited</t>
  </si>
  <si>
    <t>LeedsClarion Housing Association Limited</t>
  </si>
  <si>
    <t>LeedsConnect Housing Association Limited</t>
  </si>
  <si>
    <t>LeedsCreative Support Limited</t>
  </si>
  <si>
    <t>LeedsDimensions (UK) Limited</t>
  </si>
  <si>
    <t>LeedsDistrict Homes C.I.C</t>
  </si>
  <si>
    <t>LeedsForest Hill (Sheltered) Housing Limited</t>
  </si>
  <si>
    <t>LeedsFoundation</t>
  </si>
  <si>
    <t>LeedsFrontis Homes Limited</t>
  </si>
  <si>
    <t>LeedsGolden Lane Housing Limited</t>
  </si>
  <si>
    <t>LeedsHabinteg Housing Association Limited</t>
  </si>
  <si>
    <t>LeedsHalo Housing Association Limited</t>
  </si>
  <si>
    <t>LeedsHarrison and Potter Trust</t>
  </si>
  <si>
    <t>LeedsHellens Residential Limited</t>
  </si>
  <si>
    <t>LeedsHeylo Housing Registered Provider Limited</t>
  </si>
  <si>
    <t>LeedsHome Group Limited</t>
  </si>
  <si>
    <t>LeedsHousing 21</t>
  </si>
  <si>
    <t>LeedsIKE Supported Housing Limited</t>
  </si>
  <si>
    <t>LeedsInclusion Housing Community Interest Company</t>
  </si>
  <si>
    <t>LeedsIncommunities Limited</t>
  </si>
  <si>
    <t>LeedsIsis Housing Co-operative Limited</t>
  </si>
  <si>
    <t>LeedsJoseph Rowntree Housing Trust</t>
  </si>
  <si>
    <t>LeedsKarbon Homes Limited</t>
  </si>
  <si>
    <t>LeedsLeeds Federated Housing Association Limited</t>
  </si>
  <si>
    <t>LeedsLeeds Jewish Housing Association Limited</t>
  </si>
  <si>
    <t>LeedsLets for Life</t>
  </si>
  <si>
    <t>LeedsMarsden Memorial Homes</t>
  </si>
  <si>
    <t>LeedsMethodist Homes Housing Association Limited</t>
  </si>
  <si>
    <t>LeedsPark Properties Housing Association Ltd</t>
  </si>
  <si>
    <t>LeedsPartners Foundation Limited</t>
  </si>
  <si>
    <t>LeedsPlaces for People Homes Limited</t>
  </si>
  <si>
    <t>LeedsPlaces for People Living+ Limited</t>
  </si>
  <si>
    <t>LeedsPlexus UK (First Project) Limited</t>
  </si>
  <si>
    <t>LeedsPreferred Homes Limited</t>
  </si>
  <si>
    <t>LeedsProgress Housing Association Limited</t>
  </si>
  <si>
    <t>LeedsRailway Housing Association and Benefit Fund</t>
  </si>
  <si>
    <t>LeedsReside Housing Association Limited</t>
  </si>
  <si>
    <t>LeedsSage Homes RP Limited</t>
  </si>
  <si>
    <t>LeedsSalvation Army Housing Association</t>
  </si>
  <si>
    <t>LeedsSanctuary Affordable Housing Limited</t>
  </si>
  <si>
    <t>LeedsSanctuary Housing Association</t>
  </si>
  <si>
    <t>LeedsSparrow Shared Ownership Limited</t>
  </si>
  <si>
    <t>LeedsSt Anne's Community Services</t>
  </si>
  <si>
    <t>LeedsStonewater Limited</t>
  </si>
  <si>
    <t>LeedsTangram Housing Co-operative Limited</t>
  </si>
  <si>
    <t>LeedsThe Aberford Almshouses</t>
  </si>
  <si>
    <t>LeedsThe Guinness Partnership Limited</t>
  </si>
  <si>
    <t>LeedsThe Riverside Group Limited</t>
  </si>
  <si>
    <t>LeedsThe Robert Salter Charity</t>
  </si>
  <si>
    <t>LeedsTogether Housing Association Limited</t>
  </si>
  <si>
    <t>LeedsUnity Housing Association Limited</t>
  </si>
  <si>
    <t>LeedsVico Homes Limited</t>
  </si>
  <si>
    <t>LeedsWestmoreland Supported Housing Limited</t>
  </si>
  <si>
    <t>LeedsYorkshire Housing Limited</t>
  </si>
  <si>
    <t>LeedsYour Housing Limited</t>
  </si>
  <si>
    <t>LeicesterAdullam Homes Housing Association Limited</t>
  </si>
  <si>
    <t>LeicesterAdvance Housing and Support Limited</t>
  </si>
  <si>
    <t>LeicesterAmplius Living</t>
  </si>
  <si>
    <t>LeicesterAnchor Hanover Group</t>
  </si>
  <si>
    <t>LeicesterArpeggio Properties Limited</t>
  </si>
  <si>
    <t>LeicesterBelgrave Neighbourhood Co-operative Housing Association Limited</t>
  </si>
  <si>
    <t>LeicesterBespoke Supportive Tenancies Ltd</t>
  </si>
  <si>
    <t>LeicesterCossington Housing Co-operative Limited</t>
  </si>
  <si>
    <t>LeicesterCreative Support Limited</t>
  </si>
  <si>
    <t>LeicesterDimensions (UK) Limited</t>
  </si>
  <si>
    <t>LeicesterEMH Housing and Regeneration Limited</t>
  </si>
  <si>
    <t>LeicesterEncircle Housing</t>
  </si>
  <si>
    <t>LeicesterFalcon Housing Association C.I.C</t>
  </si>
  <si>
    <t>LeicesterFirst Priority Housing Association Limited</t>
  </si>
  <si>
    <t>LeicesterFramework Housing Association</t>
  </si>
  <si>
    <t>LeicesterHalo Housing Association Limited</t>
  </si>
  <si>
    <t>LeicesterHilldale Housing Association Limited</t>
  </si>
  <si>
    <t>LeicesterHome Group Limited</t>
  </si>
  <si>
    <t>LeicesterInclusion Housing Community Interest Company</t>
  </si>
  <si>
    <t>LeicesterLets for Life</t>
  </si>
  <si>
    <t>LeicesterM&amp;G UK Shared Ownership Limited</t>
  </si>
  <si>
    <t>LeicesterMaynard Co-operative Housing Association Limited</t>
  </si>
  <si>
    <t>LeicesterMetropolitan Housing Trust Limited</t>
  </si>
  <si>
    <t>LeicesterMidland Heart Limited</t>
  </si>
  <si>
    <t>LeicesterNorton Housing and Support Ltd</t>
  </si>
  <si>
    <t>LeicesterNottingham Community Housing Association Limited</t>
  </si>
  <si>
    <t>LeicesterParagon Asra Housing Limited</t>
  </si>
  <si>
    <t>LeicesterPlaces for People Homes Limited</t>
  </si>
  <si>
    <t>LeicesterPlaces for People Living+ Limited</t>
  </si>
  <si>
    <t>LeicesterPlatform Housing Limited</t>
  </si>
  <si>
    <t>LeicesterProgress Housing Association Limited</t>
  </si>
  <si>
    <t>LeicesterRoss Walk Housing Co-operative Limited</t>
  </si>
  <si>
    <t>LeicesterSage Homes RP Limited</t>
  </si>
  <si>
    <t>LeicesterSage Rented Limited</t>
  </si>
  <si>
    <t>LeicesterSanctuary Housing Association</t>
  </si>
  <si>
    <t>LeicesterStonewater (5) Limited</t>
  </si>
  <si>
    <t>LeicesterStonewater Limited</t>
  </si>
  <si>
    <t>LeicesterThe Riverside Group Limited</t>
  </si>
  <si>
    <t>LeicesterThe St Michael's Housing Trust</t>
  </si>
  <si>
    <t>LeicesterTrinity Housing Association Limited</t>
  </si>
  <si>
    <t>LeicesterTuntum Housing Association Limited</t>
  </si>
  <si>
    <t>LeicesterYMCA Leicestershire</t>
  </si>
  <si>
    <t>LewesA2Dominion Homes Limited</t>
  </si>
  <si>
    <t>LewesAuckland Home Solutions CIC</t>
  </si>
  <si>
    <t>LewesClarion Housing Association Limited</t>
  </si>
  <si>
    <t>LewesFitzgerald Charity</t>
  </si>
  <si>
    <t>LewesGolden Lane Housing Limited</t>
  </si>
  <si>
    <t>LewesHabinteg Housing Association Limited</t>
  </si>
  <si>
    <t>LewesHastoe Housing Association Limited</t>
  </si>
  <si>
    <t>LewesHeylo Housing Registered Provider Limited</t>
  </si>
  <si>
    <t>LewesHome Group Limited</t>
  </si>
  <si>
    <t>LewesHousing 21</t>
  </si>
  <si>
    <t>LewesHyde Housing Association Limited</t>
  </si>
  <si>
    <t>LewesInclusion Housing Community Interest Company</t>
  </si>
  <si>
    <t>LewesLegal &amp; General Affordable Homes (AR) LLP</t>
  </si>
  <si>
    <t>LewesLegal &amp; General Affordable Homes Limited</t>
  </si>
  <si>
    <t>LewesLets for Life</t>
  </si>
  <si>
    <t>LewesLondon &amp; Quadrant Housing Trust</t>
  </si>
  <si>
    <t>LewesMartlet Homes Limited</t>
  </si>
  <si>
    <t>LewesMoat Homes Limited</t>
  </si>
  <si>
    <t>LewesOld Ben Homes Limited</t>
  </si>
  <si>
    <t>LewesOrbit Group Limited</t>
  </si>
  <si>
    <t>LewesOrbit Housing Association Limited</t>
  </si>
  <si>
    <t>LewesPeacehaven and Telscombe Housing Association Limited</t>
  </si>
  <si>
    <t>LewesPlaces for People Homes Limited</t>
  </si>
  <si>
    <t>LewesRaven Housing Trust Limited</t>
  </si>
  <si>
    <t>LewesSage Homes RP Limited</t>
  </si>
  <si>
    <t>LewesSage Rented Limited</t>
  </si>
  <si>
    <t>LewesSalvation Army Housing Association</t>
  </si>
  <si>
    <t>LewesSanctuary Housing Association</t>
  </si>
  <si>
    <t>LewesSaxon Weald</t>
  </si>
  <si>
    <t>LewesSouthdown Housing Association Limited</t>
  </si>
  <si>
    <t>LewesSouthern Housing</t>
  </si>
  <si>
    <t>LewesSparrow Shared Ownership Limited</t>
  </si>
  <si>
    <t>LewesStonewater Limited</t>
  </si>
  <si>
    <t>LewesSussex Housing and Care</t>
  </si>
  <si>
    <t>LewesThe Abbeyfield Crowborough Society Limited</t>
  </si>
  <si>
    <t>LewesThe Guinness Partnership Limited</t>
  </si>
  <si>
    <t>LewishamA2Dominion Homes Limited</t>
  </si>
  <si>
    <t>LewishamAnchor Hanover Group</t>
  </si>
  <si>
    <t>LewishamArhag Housing Association Limited</t>
  </si>
  <si>
    <t>LewishamBirnbeck Housing Association Limited</t>
  </si>
  <si>
    <t>LewishamBrockley Tenants Co-operative Limited</t>
  </si>
  <si>
    <t>LewishamCentrepoint Soho</t>
  </si>
  <si>
    <t>LewishamChisel Limited</t>
  </si>
  <si>
    <t>LewishamChislehurst and Sidcup Housing Association</t>
  </si>
  <si>
    <t>LewishamClarion Housing Association Limited</t>
  </si>
  <si>
    <t>LewishamCo-operative Development Society Limited</t>
  </si>
  <si>
    <t>LewishamConcept Housing Association CIC</t>
  </si>
  <si>
    <t>LewishamCromwood Housing Ltd</t>
  </si>
  <si>
    <t>LewishamDennetts Housing Co-operative Limited</t>
  </si>
  <si>
    <t>LewishamEkaya Housing Association Limited</t>
  </si>
  <si>
    <t>LewishamHabinteg Housing Association Limited</t>
  </si>
  <si>
    <t>LewishamHexagon Housing Association Limited</t>
  </si>
  <si>
    <t>LewishamHousing 21</t>
  </si>
  <si>
    <t>LewishamHousing For Women</t>
  </si>
  <si>
    <t>LewishamHyde Housing Association Limited</t>
  </si>
  <si>
    <t>LewishamInnisfree Housing Association Limited</t>
  </si>
  <si>
    <t>LewishamJ49 Ltd</t>
  </si>
  <si>
    <t>LewishamKirkdale Housing Co-operative Limited</t>
  </si>
  <si>
    <t>LewishamLambeth and Southwark Housing Association Limited</t>
  </si>
  <si>
    <t>LewishamLammerton Housing Co-operative Limited</t>
  </si>
  <si>
    <t>LewishamLewisham Family Co-operative Association Limited</t>
  </si>
  <si>
    <t>LewishamLocal Space</t>
  </si>
  <si>
    <t>LewishamLondon &amp; Quadrant Housing Trust</t>
  </si>
  <si>
    <t>LewishamM&amp;G UK Shared Ownership Limited</t>
  </si>
  <si>
    <t>LewishamMajor Housing Association Limited</t>
  </si>
  <si>
    <t>LewishamMay Day Permanent Housing Co-operative Limited</t>
  </si>
  <si>
    <t>LewishamMetropolitan Housing Trust Limited</t>
  </si>
  <si>
    <t>LewishamMoat Homes Limited</t>
  </si>
  <si>
    <t>LewishamNew Venture Housing Co-operative Limited</t>
  </si>
  <si>
    <t>LewishamNew World Housing Association Limited</t>
  </si>
  <si>
    <t>LewishamNotting Hill Genesis</t>
  </si>
  <si>
    <t>LewishamNotting Hill Home Ownership Limited</t>
  </si>
  <si>
    <t>LewishamParagon Asra Housing Limited</t>
  </si>
  <si>
    <t>LewishamPeabody Trust</t>
  </si>
  <si>
    <t>LewishamPenge Churches Housing Association Limited</t>
  </si>
  <si>
    <t>LewishamPhoenix Community Housing Association (Bellingham and Downham) Limited</t>
  </si>
  <si>
    <t>LewishamPinnacle Spaces Limited</t>
  </si>
  <si>
    <t>LewishamPlaces for People Homes Limited</t>
  </si>
  <si>
    <t>LewishamQuo Vadis Trust</t>
  </si>
  <si>
    <t>LewishamReside Housing Association Limited</t>
  </si>
  <si>
    <t>LewishamSage Rented Limited</t>
  </si>
  <si>
    <t>LewishamSanctuary Housing Association</t>
  </si>
  <si>
    <t>LewishamSouthern Housing</t>
  </si>
  <si>
    <t>LewishamSparrow Shared Ownership Limited</t>
  </si>
  <si>
    <t>LewishamSquare Roots Registered Provider Limited</t>
  </si>
  <si>
    <t>LewishamSt Christopher's Fellowship</t>
  </si>
  <si>
    <t>LewishamSt Mungo Community Housing Association</t>
  </si>
  <si>
    <t>LewishamSydenham Housing Co-operative Limited</t>
  </si>
  <si>
    <t>LewishamTamil Community Housing Association Limited</t>
  </si>
  <si>
    <t>LewishamThe Abbeyfield Deptford Society Limited</t>
  </si>
  <si>
    <t>LewishamThe Merchant Taylors' Boone's Charity</t>
  </si>
  <si>
    <t>LewishamThe Riverside Group Limited</t>
  </si>
  <si>
    <t>LewishamWandle Housing Association Limited</t>
  </si>
  <si>
    <t>LichfieldAdvance Housing and Support Limited</t>
  </si>
  <si>
    <t>LichfieldBromford Housing Association Limited</t>
  </si>
  <si>
    <t>LichfieldCitizen Housing Group Limited</t>
  </si>
  <si>
    <t>LichfieldClarion Housing Association Limited</t>
  </si>
  <si>
    <t>LichfieldEncircle Housing</t>
  </si>
  <si>
    <t>LichfieldGreenSquareAccord Limited</t>
  </si>
  <si>
    <t>LichfieldHeylo Housing Registered Provider Limited</t>
  </si>
  <si>
    <t>LichfieldHousing 21</t>
  </si>
  <si>
    <t>LichfieldInclusion Housing Community Interest Company</t>
  </si>
  <si>
    <t>LichfieldMetropolitan Housing Trust Limited</t>
  </si>
  <si>
    <t>LichfieldMidland Heart Limited</t>
  </si>
  <si>
    <t>LichfieldOrbit Group Limited</t>
  </si>
  <si>
    <t>LichfieldOrbit Housing Association Limited</t>
  </si>
  <si>
    <t>LichfieldPlatform Housing Limited</t>
  </si>
  <si>
    <t>LichfieldSanctuary Housing Association</t>
  </si>
  <si>
    <t>LichfieldSt Peter's Saltley Housing Association Limited</t>
  </si>
  <si>
    <t>LichfieldStonewater Limited</t>
  </si>
  <si>
    <t>LichfieldThe Birch, Samson and Littleton United Charities</t>
  </si>
  <si>
    <t>LichfieldThe Riverside Group Limited</t>
  </si>
  <si>
    <t>LichfieldThe Wrekin Housing Group Limited</t>
  </si>
  <si>
    <t>LichfieldTrent &amp; Dove Housing Limited</t>
  </si>
  <si>
    <t>LichfieldTrident Housing Association Limited</t>
  </si>
  <si>
    <t>LichfieldWalsall Housing Group Limited</t>
  </si>
  <si>
    <t>LichfieldYour Housing Limited</t>
  </si>
  <si>
    <t>LincolnAcis Group Limited</t>
  </si>
  <si>
    <t>LincolnAdvance Housing and Support Limited</t>
  </si>
  <si>
    <t>LincolnAmplius Living</t>
  </si>
  <si>
    <t>LincolnAnchor Hanover Group</t>
  </si>
  <si>
    <t>LincolnBespoke Supportive Tenancies Ltd</t>
  </si>
  <si>
    <t>LincolnEMH Housing and Regeneration Limited</t>
  </si>
  <si>
    <t>LincolnFramework Housing Association</t>
  </si>
  <si>
    <t>LincolnGolden Lane Housing Limited</t>
  </si>
  <si>
    <t>LincolnInclusion Housing Community Interest Company</t>
  </si>
  <si>
    <t>LincolnLace Housing Limited</t>
  </si>
  <si>
    <t>LincolnLincolnshire Employment Accommodation Project Limited</t>
  </si>
  <si>
    <t>LincolnLincolnshire Y.M.C.A. Ltd</t>
  </si>
  <si>
    <t>LincolnM&amp;G UK Shared Ownership Limited</t>
  </si>
  <si>
    <t>LincolnNACRO</t>
  </si>
  <si>
    <t>LincolnNottingham Community Housing Association Limited</t>
  </si>
  <si>
    <t>LincolnOngo Homes Limited</t>
  </si>
  <si>
    <t>LincolnPlaces for People Homes Limited</t>
  </si>
  <si>
    <t>LincolnPlaces for People Living+ Limited</t>
  </si>
  <si>
    <t>LincolnPlatform Housing Limited</t>
  </si>
  <si>
    <t>LincolnProgress Housing Association Limited</t>
  </si>
  <si>
    <t>LincolnReside Housing Association Limited</t>
  </si>
  <si>
    <t>LincolnSanctuary Housing Association</t>
  </si>
  <si>
    <t>LincolnThe Abbeyfield Society</t>
  </si>
  <si>
    <t>LincolnWestmoreland Supported Housing Limited</t>
  </si>
  <si>
    <t>LiverpoolAdullam Homes Housing Association Limited</t>
  </si>
  <si>
    <t>LiverpoolAlt Housing Co-operative Limited</t>
  </si>
  <si>
    <t>LiverpoolAnchor Hanover Group</t>
  </si>
  <si>
    <t>LiverpoolAssured Living Housing Association Limited</t>
  </si>
  <si>
    <t>LiverpoolBespoke Supportive Tenancies Ltd</t>
  </si>
  <si>
    <t>LiverpoolBrownlow Hill Housing Co-operative Limited</t>
  </si>
  <si>
    <t>LiverpoolCanning Housing Co-operative Limited</t>
  </si>
  <si>
    <t>LiverpoolCare Housing Association Limited</t>
  </si>
  <si>
    <t>LiverpoolCathedral Mansions Housing Co-operative Limited</t>
  </si>
  <si>
    <t>LiverpoolCity Of Liverpool YMCA (Incorporated)</t>
  </si>
  <si>
    <t>LiverpoolCo-operative Schemes for the Elderly Limited</t>
  </si>
  <si>
    <t>LiverpoolCobalt Housing Limited</t>
  </si>
  <si>
    <t>LiverpoolCorn and Yates Streets Housing Co-operative Limited</t>
  </si>
  <si>
    <t>LiverpoolCreative Support Limited</t>
  </si>
  <si>
    <t>LiverpoolCroft Housing Association Limited</t>
  </si>
  <si>
    <t>LiverpoolCrosby Housing Association Limited</t>
  </si>
  <si>
    <t>LiverpoolDingle Residents Co-operative Limited</t>
  </si>
  <si>
    <t>LiverpoolEldonian Community Based Housing Association Limited</t>
  </si>
  <si>
    <t>LiverpoolEmpower Housing Association Limited</t>
  </si>
  <si>
    <t>LiverpoolEncircle Housing</t>
  </si>
  <si>
    <t>LiverpoolExcel Housing Solutions</t>
  </si>
  <si>
    <t>LiverpoolFalcon Housing Association C.I.C</t>
  </si>
  <si>
    <t>LiverpoolFirst Priority Housing Association Limited</t>
  </si>
  <si>
    <t>LiverpoolGolden Lane Housing Limited</t>
  </si>
  <si>
    <t>LiverpoolGrafton Crescent Housing Co-operative Limited</t>
  </si>
  <si>
    <t>LiverpoolHalo Housing Association Limited</t>
  </si>
  <si>
    <t>LiverpoolHamlet Village Housing Co-operative Limited</t>
  </si>
  <si>
    <t>LiverpoolHarbour Light Assisted Living CIC</t>
  </si>
  <si>
    <t>LiverpoolHesketh Street Housing Co-operative Limited</t>
  </si>
  <si>
    <t>LiverpoolHeylo Housing Registered Provider Limited</t>
  </si>
  <si>
    <t>LiverpoolHilldale Housing Association Limited</t>
  </si>
  <si>
    <t>LiverpoolHolt Road Area Housing Co-operative Limited</t>
  </si>
  <si>
    <t>LiverpoolHolyland Housing Co-operative Limited</t>
  </si>
  <si>
    <t>LiverpoolHousing 21</t>
  </si>
  <si>
    <t>LiverpoolInclusion Housing Community Interest Company</t>
  </si>
  <si>
    <t>LiverpoolKentish Homes Limited</t>
  </si>
  <si>
    <t>LiverpoolLangrove Community Housing Co-operative Limited</t>
  </si>
  <si>
    <t>LiverpoolLark Lane Housing Co-operative Limited</t>
  </si>
  <si>
    <t>LiverpoolLeta/Claudia Streets Housing Co-operative Limited</t>
  </si>
  <si>
    <t>LiverpoolLiverpool Gingerbread Housing Co-operative Limited</t>
  </si>
  <si>
    <t>LiverpoolLiverpool Jewish Housing Association Limited</t>
  </si>
  <si>
    <t>LiverpoolLivv Housing Group</t>
  </si>
  <si>
    <t>LiverpoolLodge Lane East Co-operative Housing Limited</t>
  </si>
  <si>
    <t>LiverpoolMill Street Co-operative Limited</t>
  </si>
  <si>
    <t>LiverpoolMuir Group Housing Association Limited</t>
  </si>
  <si>
    <t>LiverpoolNew Foundations Housing Association Limited</t>
  </si>
  <si>
    <t>LiverpoolNewleaf Housing Co-operative Limited</t>
  </si>
  <si>
    <t>LiverpoolOne Vision Housing Limited</t>
  </si>
  <si>
    <t>LiverpoolOnward Homes Limited</t>
  </si>
  <si>
    <t>LiverpoolPartners Foundation Limited</t>
  </si>
  <si>
    <t>LiverpoolPine Court Housing Association Limited</t>
  </si>
  <si>
    <t>LiverpoolPlaces for People Homes Limited</t>
  </si>
  <si>
    <t>LiverpoolPlaces for People Living+ Limited</t>
  </si>
  <si>
    <t>LiverpoolPlus Dane Housing Limited</t>
  </si>
  <si>
    <t>LiverpoolPrima Housing Group Limited</t>
  </si>
  <si>
    <t>LiverpoolPrince Albert Gardens Housing Co-operative Limited</t>
  </si>
  <si>
    <t>LiverpoolPrinces Park Housing Co-operative Limited</t>
  </si>
  <si>
    <t>LiverpoolProgress Housing Association Limited</t>
  </si>
  <si>
    <t>LiverpoolRealHousingCo Limited</t>
  </si>
  <si>
    <t>LiverpoolRedwing Living Limited</t>
  </si>
  <si>
    <t>LiverpoolRegenda Limited</t>
  </si>
  <si>
    <t>LiverpoolReside Housing Association Limited</t>
  </si>
  <si>
    <t>LiverpoolRetail Trust</t>
  </si>
  <si>
    <t>LiverpoolRusland Road Housing Co-operative Limited</t>
  </si>
  <si>
    <t>LiverpoolSalvation Army Housing Association</t>
  </si>
  <si>
    <t>LiverpoolSanctuary Affordable Housing Limited</t>
  </si>
  <si>
    <t>LiverpoolSanctuary Housing Association</t>
  </si>
  <si>
    <t>LiverpoolShorefields Co-operative Limited</t>
  </si>
  <si>
    <t>LiverpoolSouth Liverpool Homes Limited</t>
  </si>
  <si>
    <t>LiverpoolSouthdene Housing Co-operative Limited</t>
  </si>
  <si>
    <t>LiverpoolSouthern Crescent Co-operative Limited</t>
  </si>
  <si>
    <t>LiverpoolSteve Biko Housing Association Limited</t>
  </si>
  <si>
    <t>LiverpoolSunny Vale Supported Accommodation Limited</t>
  </si>
  <si>
    <t>LiverpoolThe Riverside Group Limited</t>
  </si>
  <si>
    <t>LiverpoolThirlmere Housing Co-operative Limited</t>
  </si>
  <si>
    <t>LiverpoolTorus62 Limited</t>
  </si>
  <si>
    <t>LiverpoolTrinity Housing Association Limited</t>
  </si>
  <si>
    <t>LiverpoolWaythrough</t>
  </si>
  <si>
    <t>LiverpoolWeller Streets Housing Co-operative Limited</t>
  </si>
  <si>
    <t>LiverpoolYour Housing Limited</t>
  </si>
  <si>
    <t>LutonAdvance Housing and Support Limited</t>
  </si>
  <si>
    <t>LutonAmplius Living</t>
  </si>
  <si>
    <t>LutonAnchor Hanover Group</t>
  </si>
  <si>
    <t>LutonAylott Janes Almshouses</t>
  </si>
  <si>
    <t>LutonClarion Housing Association Limited</t>
  </si>
  <si>
    <t>LutonHastoe Housing Association Limited</t>
  </si>
  <si>
    <t>LutonHeylo Housing Registered Provider Limited</t>
  </si>
  <si>
    <t>LutonHightown Housing Association Limited</t>
  </si>
  <si>
    <t>LutonHome Group Limited</t>
  </si>
  <si>
    <t>LutonIMPAKT Housing &amp; Support Ltd</t>
  </si>
  <si>
    <t>LutonKeystage C.I.C</t>
  </si>
  <si>
    <t>LutonLangley House Trust</t>
  </si>
  <si>
    <t>LutonLondon &amp; Quadrant Housing Trust</t>
  </si>
  <si>
    <t>LutonLuton Community Housing Limited</t>
  </si>
  <si>
    <t>LutonMetropolitan Housing Trust Limited</t>
  </si>
  <si>
    <t>LutonNotting Hill Genesis</t>
  </si>
  <si>
    <t>LutonOmega Housing Limited</t>
  </si>
  <si>
    <t>LutonParadigm Homes Charitable Housing Association Limited</t>
  </si>
  <si>
    <t>LutonPeabody Trust</t>
  </si>
  <si>
    <t>LutonPlaces for People Homes Limited</t>
  </si>
  <si>
    <t>LutonPlaces for People Living+ Limited</t>
  </si>
  <si>
    <t>LutonSage Homes RP Limited</t>
  </si>
  <si>
    <t>LutonSanctuary Housing Association</t>
  </si>
  <si>
    <t>LutonSettle Group</t>
  </si>
  <si>
    <t>LutonSouthern Housing</t>
  </si>
  <si>
    <t>LutonStonewater Limited</t>
  </si>
  <si>
    <t>LutonTBG Open Door Limited</t>
  </si>
  <si>
    <t>LutonThe Guinness Partnership Limited</t>
  </si>
  <si>
    <t>LutonThe Papworth Trust</t>
  </si>
  <si>
    <t>LutonWindrush Alliance UK Community Interest Company</t>
  </si>
  <si>
    <t>Lutonbpha Limited</t>
  </si>
  <si>
    <t>MaidstoneAccommodationYes Limited</t>
  </si>
  <si>
    <t>MaidstoneAdvance Housing and Support Limited</t>
  </si>
  <si>
    <t>MaidstoneAllnutt Mill Housing Co-operative Limited</t>
  </si>
  <si>
    <t>MaidstoneAnchor Hanover Group</t>
  </si>
  <si>
    <t>MaidstoneAuckland Home Solutions CIC</t>
  </si>
  <si>
    <t>MaidstoneClarion Housing Association Limited</t>
  </si>
  <si>
    <t>MaidstoneEnglish Rural Housing Association Limited</t>
  </si>
  <si>
    <t>MaidstoneFalcon Housing Association C.I.C</t>
  </si>
  <si>
    <t>MaidstoneGolden Lane Housing Limited</t>
  </si>
  <si>
    <t>MaidstoneGolding Homes Limited</t>
  </si>
  <si>
    <t>MaidstoneGravesend Churches Housing Association Limited</t>
  </si>
  <si>
    <t>MaidstoneHeart of Medway Housing Association Limited</t>
  </si>
  <si>
    <t>MaidstoneHeylo Housing Registered Provider Limited</t>
  </si>
  <si>
    <t>MaidstoneHilldale Housing Association Limited</t>
  </si>
  <si>
    <t>MaidstoneHome Group Limited</t>
  </si>
  <si>
    <t>MaidstoneHousing 21</t>
  </si>
  <si>
    <t>MaidstoneHyde Housing Association Limited</t>
  </si>
  <si>
    <t>MaidstoneInclusion Housing Community Interest Company</t>
  </si>
  <si>
    <t>MaidstoneLondon &amp; Quadrant Housing Trust</t>
  </si>
  <si>
    <t>MaidstoneM&amp;G UK Shared Ownership Limited</t>
  </si>
  <si>
    <t>MaidstoneMoat Homes Limited</t>
  </si>
  <si>
    <t>MaidstoneOak Housing Limited</t>
  </si>
  <si>
    <t>MaidstoneOakapple Housing Co-operative Limited</t>
  </si>
  <si>
    <t>MaidstoneOast Wood Housing Co-operative Limited</t>
  </si>
  <si>
    <t>MaidstoneOrbit Group Limited</t>
  </si>
  <si>
    <t>MaidstoneOrbit Housing Association Limited</t>
  </si>
  <si>
    <t>MaidstonePeace Cottages Charity</t>
  </si>
  <si>
    <t>MaidstonePlaces for People Homes Limited</t>
  </si>
  <si>
    <t>MaidstonePlaces for People Living+ Limited</t>
  </si>
  <si>
    <t>MaidstoneReside Housing Association Limited</t>
  </si>
  <si>
    <t>MaidstoneSage Homes RP Limited</t>
  </si>
  <si>
    <t>MaidstoneSage Rented Limited</t>
  </si>
  <si>
    <t>MaidstoneSanctuary Housing Association</t>
  </si>
  <si>
    <t>MaidstoneSenacre Housing Co-operative Limited</t>
  </si>
  <si>
    <t>MaidstoneSouthern Housing</t>
  </si>
  <si>
    <t>MaidstoneSparrow Shared Ownership Limited</t>
  </si>
  <si>
    <t>MaidstoneThe Honywood and Douglas Charity</t>
  </si>
  <si>
    <t>MaidstoneThe Riverside Group Limited</t>
  </si>
  <si>
    <t>MaidstoneTown and Country Housing</t>
  </si>
  <si>
    <t>MaidstoneTrinity Housing Association Limited</t>
  </si>
  <si>
    <t>MaidstoneWest Kent Housing Association</t>
  </si>
  <si>
    <t>MaidstoneWestree Road Housing Co-operative Limited</t>
  </si>
  <si>
    <t>MaidstoneWindrush Alliance UK Community Interest Company</t>
  </si>
  <si>
    <t>MaldonChelmer Housing Partnership Limited</t>
  </si>
  <si>
    <t>MaldonEastlight Community Homes Limited</t>
  </si>
  <si>
    <t>MaldonEnglish Rural Housing Association Limited</t>
  </si>
  <si>
    <t>MaldonEstuary Housing Association Limited</t>
  </si>
  <si>
    <t>MaldonHastoe Housing Association Limited</t>
  </si>
  <si>
    <t>MaldonHeylo Housing Registered Provider Limited</t>
  </si>
  <si>
    <t>MaldonLegal &amp; General Affordable Homes (AR) LLP</t>
  </si>
  <si>
    <t>MaldonLegal &amp; General Affordable Homes Limited</t>
  </si>
  <si>
    <t>MaldonLegal and General Affordable Homes (Capital) Limited</t>
  </si>
  <si>
    <t>MaldonLondon &amp; Quadrant Housing Trust</t>
  </si>
  <si>
    <t>MaldonM&amp;G UK Shared Ownership Limited</t>
  </si>
  <si>
    <t>MaldonMaldon Housing Association Limited</t>
  </si>
  <si>
    <t>MaldonMetropolitan Housing Trust Limited</t>
  </si>
  <si>
    <t>MaldonMoat Homes Limited</t>
  </si>
  <si>
    <t>MaldonNotting Hill Home Ownership Limited</t>
  </si>
  <si>
    <t>MaldonPeabody Trust</t>
  </si>
  <si>
    <t>MaldonPlaces for People Homes Limited</t>
  </si>
  <si>
    <t>MaldonReside Housing Association Limited</t>
  </si>
  <si>
    <t>MaldonSage Homes RP Limited</t>
  </si>
  <si>
    <t>MaldonSage Rented Limited</t>
  </si>
  <si>
    <t>MaldonSalvation Army Housing Association</t>
  </si>
  <si>
    <t>MaldonSanctuary Housing Association</t>
  </si>
  <si>
    <t>MaldonSparrow Shared Ownership Limited</t>
  </si>
  <si>
    <t>MaldonSwan Housing Association Limited</t>
  </si>
  <si>
    <t>Malvern HillsAdvance Housing and Support Limited</t>
  </si>
  <si>
    <t>Malvern HillsAnchor Hanover Group</t>
  </si>
  <si>
    <t>Malvern HillsBromford Housing Association Limited</t>
  </si>
  <si>
    <t>Malvern HillsCitizen Housing Group Limited</t>
  </si>
  <si>
    <t>Malvern HillsFalcon Housing Association C.I.C</t>
  </si>
  <si>
    <t>Malvern HillsGolden Lane Housing Limited</t>
  </si>
  <si>
    <t>Malvern HillsHeylo Housing Registered Provider Limited</t>
  </si>
  <si>
    <t>Malvern HillsHousing 21</t>
  </si>
  <si>
    <t>Malvern HillsLegal &amp; General Affordable Homes Limited</t>
  </si>
  <si>
    <t>Malvern HillsPlatform Housing Group Limited</t>
  </si>
  <si>
    <t>Malvern HillsPlatform Housing Limited</t>
  </si>
  <si>
    <t>Malvern HillsRooftop Housing Association Limited</t>
  </si>
  <si>
    <t>Malvern HillsSanctuary Affordable Housing Limited</t>
  </si>
  <si>
    <t>Malvern HillsSanctuary Housing Association</t>
  </si>
  <si>
    <t>Malvern HillsStonewater Limited</t>
  </si>
  <si>
    <t>Malvern HillsThe Community Housing Group Limited</t>
  </si>
  <si>
    <t>Malvern HillsWalsall Housing Group Limited</t>
  </si>
  <si>
    <t>ManchesterAgudas Israel Housing Association Limited</t>
  </si>
  <si>
    <t>ManchesterAnchor Hanover Group</t>
  </si>
  <si>
    <t>ManchesterArawak Walton Housing Association Limited</t>
  </si>
  <si>
    <t>ManchesterArpeggio Properties Limited</t>
  </si>
  <si>
    <t>ManchesterBolton at Home Limited</t>
  </si>
  <si>
    <t>ManchesterCalico Homes Limited</t>
  </si>
  <si>
    <t>ManchesterCare Housing Association Limited</t>
  </si>
  <si>
    <t>ManchesterCentrepoint Soho</t>
  </si>
  <si>
    <t>ManchesterClarion Housing Association Limited</t>
  </si>
  <si>
    <t>ManchesterCommonplace Housing Co-operative Limited</t>
  </si>
  <si>
    <t>ManchesterCreative Support Limited</t>
  </si>
  <si>
    <t>ManchesterDepaul Housing Services</t>
  </si>
  <si>
    <t>ManchesterFrontis Homes Limited</t>
  </si>
  <si>
    <t>ManchesterGolden Lane Housing Limited</t>
  </si>
  <si>
    <t>ManchesterGreat Places Housing Association</t>
  </si>
  <si>
    <t>ManchesterHabinteg Housing Association Limited</t>
  </si>
  <si>
    <t>ManchesterHalo Housing Association Limited</t>
  </si>
  <si>
    <t>ManchesterHeylo Housing Registered Provider Limited</t>
  </si>
  <si>
    <t>ManchesterHilldale Housing Association Limited</t>
  </si>
  <si>
    <t>ManchesterHome Group Limited</t>
  </si>
  <si>
    <t>ManchesterHomes for Change Limited</t>
  </si>
  <si>
    <t>ManchesterHousing 21</t>
  </si>
  <si>
    <t>ManchesterIrwell Valley Housing Association Limited</t>
  </si>
  <si>
    <t>ManchesterJigsaw Homes North</t>
  </si>
  <si>
    <t>ManchesterManchester Jewish Housing Association</t>
  </si>
  <si>
    <t>ManchesterMosscare St. Vincent's Housing Group Limited</t>
  </si>
  <si>
    <t>ManchesterNACRO</t>
  </si>
  <si>
    <t>ManchesterNew Longsight Housing Co-operative Limited</t>
  </si>
  <si>
    <t>ManchesterOne Manchester Limited</t>
  </si>
  <si>
    <t>ManchesterOnward Homes Limited</t>
  </si>
  <si>
    <t>ManchesterPartners Foundation Limited</t>
  </si>
  <si>
    <t>ManchesterPeople First Housing Association Limited</t>
  </si>
  <si>
    <t>ManchesterPlaces for People Homes Limited</t>
  </si>
  <si>
    <t>ManchesterPlaces for People Living+ Limited</t>
  </si>
  <si>
    <t>ManchesterProgress Housing Association Limited</t>
  </si>
  <si>
    <t>ManchesterRegenda Limited</t>
  </si>
  <si>
    <t>ManchesterSalvation Army Housing Association</t>
  </si>
  <si>
    <t>ManchesterSanctuary Housing Association</t>
  </si>
  <si>
    <t>ManchesterSecond Chance Housing Ltd</t>
  </si>
  <si>
    <t>ManchesterSouthway Housing Trust (Manchester) Limited</t>
  </si>
  <si>
    <t>ManchesterSwan Housing Association Limited</t>
  </si>
  <si>
    <t>ManchesterThe Edward Mayes Trust</t>
  </si>
  <si>
    <t>ManchesterThe Guinness Partnership Limited</t>
  </si>
  <si>
    <t>ManchesterThe Riverside Group Limited</t>
  </si>
  <si>
    <t>ManchesterTrinity Housing Association Limited</t>
  </si>
  <si>
    <t>ManchesterTurning Point</t>
  </si>
  <si>
    <t>ManchesterWaythrough</t>
  </si>
  <si>
    <t>ManchesterWythenshawe Community Housing Group Limited</t>
  </si>
  <si>
    <t>ManchesterYour Housing Limited</t>
  </si>
  <si>
    <t>ManchesterZAH Housing Co-operative Limited</t>
  </si>
  <si>
    <t>MansfieldAcis Group Limited</t>
  </si>
  <si>
    <t>MansfieldAction Housing and Support Limited</t>
  </si>
  <si>
    <t>MansfieldAdvance Housing and Support Limited</t>
  </si>
  <si>
    <t>MansfieldAmplius Living</t>
  </si>
  <si>
    <t>MansfieldBespoke Supportive Tenancies Ltd</t>
  </si>
  <si>
    <t>MansfieldBrunts Charity</t>
  </si>
  <si>
    <t>MansfieldEMH Housing and Regeneration Limited</t>
  </si>
  <si>
    <t>MansfieldEncircle Housing</t>
  </si>
  <si>
    <t>MansfieldFramework Housing Association</t>
  </si>
  <si>
    <t>MansfieldGolden Lane Housing Limited</t>
  </si>
  <si>
    <t>MansfieldHeylo Housing Registered Provider Limited</t>
  </si>
  <si>
    <t>MansfieldHousing 21</t>
  </si>
  <si>
    <t>MansfieldInclusion Housing Community Interest Company</t>
  </si>
  <si>
    <t>MansfieldJigsaw Homes Midlands</t>
  </si>
  <si>
    <t>MansfieldLegal &amp; General Affordable Homes Limited</t>
  </si>
  <si>
    <t>MansfieldLegal and General Affordable Homes (Capital) Limited</t>
  </si>
  <si>
    <t>MansfieldM&amp;G UK Shared Ownership Limited</t>
  </si>
  <si>
    <t>MansfieldMetropolitan Housing Trust Limited</t>
  </si>
  <si>
    <t>MansfieldNottingham Community Housing Association Limited</t>
  </si>
  <si>
    <t>MansfieldOngo Homes Limited</t>
  </si>
  <si>
    <t>MansfieldParagon Asra Housing Limited</t>
  </si>
  <si>
    <t>MansfieldPlaces for People Homes Limited</t>
  </si>
  <si>
    <t>MansfieldPlaces for People Living+ Limited</t>
  </si>
  <si>
    <t>MansfieldProgress Housing Association Limited</t>
  </si>
  <si>
    <t>MansfieldReside Housing Association Limited</t>
  </si>
  <si>
    <t>MansfieldSanctuary Housing Association</t>
  </si>
  <si>
    <t>MansfieldSouth Yorkshire Housing Association Limited</t>
  </si>
  <si>
    <t>MansfieldThe Exaireo Trust Ltd</t>
  </si>
  <si>
    <t>MansfieldTuntum Housing Association Limited</t>
  </si>
  <si>
    <t>MansfieldYMCA Robin Hood Group</t>
  </si>
  <si>
    <t>MedwayAdvance Housing and Support Limited</t>
  </si>
  <si>
    <t>MedwayAnchor Hanover Group</t>
  </si>
  <si>
    <t>MedwayAnchor Property Holdings Limited</t>
  </si>
  <si>
    <t>MedwayClarion Housing Association Limited</t>
  </si>
  <si>
    <t>MedwayDelce Manor Housing Co-operative Limited</t>
  </si>
  <si>
    <t>MedwayGolding Homes Limited</t>
  </si>
  <si>
    <t>MedwayHabinteg Housing Association Limited</t>
  </si>
  <si>
    <t>MedwayHeart of Medway Housing Association Limited</t>
  </si>
  <si>
    <t>MedwayHeylo Housing Registered Provider Limited</t>
  </si>
  <si>
    <t>MedwayHome Group Limited</t>
  </si>
  <si>
    <t>MedwayHousing 21</t>
  </si>
  <si>
    <t>MedwayHyde Housing Association Limited</t>
  </si>
  <si>
    <t>MedwayInclusion Housing Community Interest Company</t>
  </si>
  <si>
    <t>MedwayKing George V Memorial Houses</t>
  </si>
  <si>
    <t>MedwayLangley House Trust</t>
  </si>
  <si>
    <t>MedwayLegal &amp; General Affordable Homes Limited</t>
  </si>
  <si>
    <t>MedwayLegal and General Affordable Homes (Capital) Limited</t>
  </si>
  <si>
    <t>MedwayLondon &amp; Quadrant Housing Trust</t>
  </si>
  <si>
    <t>MedwayMoat Homes Limited</t>
  </si>
  <si>
    <t>MedwayNotting Hill Home Ownership Limited</t>
  </si>
  <si>
    <t>MedwayOak Housing Limited</t>
  </si>
  <si>
    <t>MedwayOrbit Group Limited</t>
  </si>
  <si>
    <t>MedwayOrbit Housing Association Limited</t>
  </si>
  <si>
    <t>MedwayPlaces for People Homes Limited</t>
  </si>
  <si>
    <t>MedwayReSI Homes Limited</t>
  </si>
  <si>
    <t>MedwayReside Housing Association Limited</t>
  </si>
  <si>
    <t>MedwaySage Homes RP Limited</t>
  </si>
  <si>
    <t>MedwaySage Rented Limited</t>
  </si>
  <si>
    <t>MedwaySanctuary Housing Association</t>
  </si>
  <si>
    <t>MedwaySouthern Housing</t>
  </si>
  <si>
    <t>MedwayThe Riverside Group Limited</t>
  </si>
  <si>
    <t>MedwayTown and Country Housing</t>
  </si>
  <si>
    <t>MedwayWest Kent Housing Association</t>
  </si>
  <si>
    <t>MeltonAdvance Housing and Support Limited</t>
  </si>
  <si>
    <t>MeltonAmplius Living</t>
  </si>
  <si>
    <t>MeltonEMH Housing and Regeneration Limited</t>
  </si>
  <si>
    <t>MeltonEnglish Rural Housing Association Limited</t>
  </si>
  <si>
    <t>MeltonFalcon Housing Association C.I.C</t>
  </si>
  <si>
    <t>MeltonGolden Lane Housing Limited</t>
  </si>
  <si>
    <t>MeltonHeylo Housing Registered Provider Limited</t>
  </si>
  <si>
    <t>MeltonHousing 21</t>
  </si>
  <si>
    <t>MeltonLegal &amp; General Affordable Homes Limited</t>
  </si>
  <si>
    <t>MeltonLegal and General Affordable Homes (Capital) Limited</t>
  </si>
  <si>
    <t>MeltonM&amp;G UK Shared Ownership Limited</t>
  </si>
  <si>
    <t>MeltonMuir Group Housing Association Limited</t>
  </si>
  <si>
    <t>MeltonNottingham Community Housing Association Limited</t>
  </si>
  <si>
    <t>MeltonParagon Asra Housing Limited</t>
  </si>
  <si>
    <t>MeltonPlaces for People Living+ Limited</t>
  </si>
  <si>
    <t>MeltonPlatform Housing Limited</t>
  </si>
  <si>
    <t>MeltonProgress Housing Association Limited</t>
  </si>
  <si>
    <t>MeltonStonewater Limited</t>
  </si>
  <si>
    <t>MeltonThe Riverside Group Limited</t>
  </si>
  <si>
    <t>MertonAbility Housing Association</t>
  </si>
  <si>
    <t>MertonAdvance Housing and Support Limited</t>
  </si>
  <si>
    <t>MertonAnchor Hanover Group</t>
  </si>
  <si>
    <t>MertonCentral and Cecil Housing Trust</t>
  </si>
  <si>
    <t>MertonChanging Lives Housing Trust</t>
  </si>
  <si>
    <t>MertonClarion Housing Association Limited</t>
  </si>
  <si>
    <t>MertonCromwood Housing Ltd</t>
  </si>
  <si>
    <t>MertonDistrict Homes C.I.C</t>
  </si>
  <si>
    <t>MertonEkaya Housing Association Limited</t>
  </si>
  <si>
    <t>MertonHome Group Limited</t>
  </si>
  <si>
    <t>MertonHousing 21</t>
  </si>
  <si>
    <t>MertonHyde Housing Association Limited</t>
  </si>
  <si>
    <t>MertonKingston upon Thames Churches Housing Association Limited</t>
  </si>
  <si>
    <t>MertonLondon &amp; Quadrant Housing Trust</t>
  </si>
  <si>
    <t>MertonMTD Housing Limited</t>
  </si>
  <si>
    <t>MertonMetropolitan Housing Trust Limited</t>
  </si>
  <si>
    <t>MertonMillat Asian Housing Association Limited</t>
  </si>
  <si>
    <t>MertonMoat Homes Limited</t>
  </si>
  <si>
    <t>MertonNotting Hill Genesis</t>
  </si>
  <si>
    <t>MertonNotting Hill Home Ownership Limited</t>
  </si>
  <si>
    <t>MertonOrbit Group Limited</t>
  </si>
  <si>
    <t>MertonOrigin Housing Limited</t>
  </si>
  <si>
    <t>MertonParagon Asra Housing Limited</t>
  </si>
  <si>
    <t>MertonPeabody Trust</t>
  </si>
  <si>
    <t>MertonPenge Churches Housing Association Limited</t>
  </si>
  <si>
    <t>MertonPlaces for People Homes Limited</t>
  </si>
  <si>
    <t>MertonSanctuary Housing Association</t>
  </si>
  <si>
    <t>MertonSouthern Housing</t>
  </si>
  <si>
    <t>MertonSt Christopher's Fellowship</t>
  </si>
  <si>
    <t>MertonThames Valley Housing Association Limited</t>
  </si>
  <si>
    <t>MertonThe Cinque Cottages</t>
  </si>
  <si>
    <t>MertonThe Guinness Partnership Limited</t>
  </si>
  <si>
    <t>MertonThe Riverside Group Limited</t>
  </si>
  <si>
    <t>MertonWandle Housing Association Limited</t>
  </si>
  <si>
    <t>MertonYMCA St Paul's Group</t>
  </si>
  <si>
    <t>Mid DevonAbri Group Limited</t>
  </si>
  <si>
    <t>Mid DevonAdvance Housing and Support Limited</t>
  </si>
  <si>
    <t>Mid DevonAster Communities</t>
  </si>
  <si>
    <t>Mid DevonBridgwater Young Men's Christian Association</t>
  </si>
  <si>
    <t>Mid DevonClarion Housing Association Limited</t>
  </si>
  <si>
    <t>Mid DevonCornerstone Housing Limited</t>
  </si>
  <si>
    <t>Mid DevonFalcon Housing Association C.I.C</t>
  </si>
  <si>
    <t>Mid DevonFalcon Rural Housing Limited</t>
  </si>
  <si>
    <t>Mid DevonHastoe Housing Association Limited</t>
  </si>
  <si>
    <t>Mid DevonHeylo Housing Registered Provider Limited</t>
  </si>
  <si>
    <t>Mid DevonHousing 21</t>
  </si>
  <si>
    <t>Mid DevonLiveWest Homes Limited</t>
  </si>
  <si>
    <t>Mid DevonPlaces for People Living+ Limited</t>
  </si>
  <si>
    <t>Mid DevonProgress Housing Association Limited</t>
  </si>
  <si>
    <t>Mid DevonReSI Homes Limited</t>
  </si>
  <si>
    <t>Mid DevonSage Homes RP Limited</t>
  </si>
  <si>
    <t>Mid DevonSanctuary Housing Association</t>
  </si>
  <si>
    <t>Mid DevonSovereign Network Group</t>
  </si>
  <si>
    <t>Mid DevonStonewater (5) Limited</t>
  </si>
  <si>
    <t>Mid DevonStonewater Limited</t>
  </si>
  <si>
    <t>Mid DevonTeign Housing</t>
  </si>
  <si>
    <t>Mid DevonThe Abbeyfield Tiverton Society Limited</t>
  </si>
  <si>
    <t>Mid DevonThe Guinness Partnership Limited</t>
  </si>
  <si>
    <t>Mid DevonTiverton Almshouse Trust</t>
  </si>
  <si>
    <t>Mid DevonUCCLT Housing Ltd</t>
  </si>
  <si>
    <t>Mid DevonWestmoreland Supported Housing Limited</t>
  </si>
  <si>
    <t>Mid DevonWestward Housing Group Limited</t>
  </si>
  <si>
    <t>Mid DevonWillow Tree Housing Partnership Limited</t>
  </si>
  <si>
    <t>Mid SuffolkAnchor Hanover Group</t>
  </si>
  <si>
    <t>Mid SuffolkEastlight Community Homes Limited</t>
  </si>
  <si>
    <t>Mid SuffolkFlagship Housing Limited</t>
  </si>
  <si>
    <t>Mid SuffolkGolden Lane Housing Limited</t>
  </si>
  <si>
    <t>Mid SuffolkHastoe Housing Association Limited</t>
  </si>
  <si>
    <t>Mid SuffolkHeylo Housing Registered Provider Limited</t>
  </si>
  <si>
    <t>Mid SuffolkHousing 21</t>
  </si>
  <si>
    <t>Mid SuffolkLegal &amp; General Affordable Homes (AR) LLP</t>
  </si>
  <si>
    <t>Mid SuffolkLegal &amp; General Affordable Homes Limited</t>
  </si>
  <si>
    <t>Mid SuffolkOrbit Group Limited</t>
  </si>
  <si>
    <t>Mid SuffolkOrbit Housing Association Limited</t>
  </si>
  <si>
    <t>Mid SuffolkOrwell Housing Association Limited</t>
  </si>
  <si>
    <t>Mid SuffolkPlaces for People Homes Limited</t>
  </si>
  <si>
    <t>Mid SuffolkPlaces for People Living+ Limited</t>
  </si>
  <si>
    <t>Mid SuffolkProgress Housing Association Limited</t>
  </si>
  <si>
    <t>Mid SuffolkRetirement Lease Housing Association</t>
  </si>
  <si>
    <t>Mid SuffolkSaffron Housing Trust Limited</t>
  </si>
  <si>
    <t>Mid SuffolkSage Homes RP Limited</t>
  </si>
  <si>
    <t>Mid SuffolkSage Rented Limited</t>
  </si>
  <si>
    <t>Mid SuffolkSanctuary Affordable Housing Limited</t>
  </si>
  <si>
    <t>Mid SuffolkSanctuary Housing Association</t>
  </si>
  <si>
    <t>Mid SuffolkSolo Housing (East Anglia)</t>
  </si>
  <si>
    <t>Mid SuffolkSparrow Shared Ownership Limited</t>
  </si>
  <si>
    <t>Mid SuffolkThe Havebury Housing Partnership</t>
  </si>
  <si>
    <t>Mid SuffolkThe Papworth Trust</t>
  </si>
  <si>
    <t>Mid SuffolkThe Riverside Group Limited</t>
  </si>
  <si>
    <t>Mid SuffolkV &amp; F Homes Limited</t>
  </si>
  <si>
    <t>Mid SussexAbri Group Limited</t>
  </si>
  <si>
    <t>Mid SussexAccent Housing Limited</t>
  </si>
  <si>
    <t>Mid SussexAnchor Hanover Group</t>
  </si>
  <si>
    <t>Mid SussexAster Communities</t>
  </si>
  <si>
    <t>Mid SussexBHT Sussex</t>
  </si>
  <si>
    <t>Mid SussexClarion Housing Association Limited</t>
  </si>
  <si>
    <t>Mid SussexEldon Housing Association Limited</t>
  </si>
  <si>
    <t>Mid SussexEnglish Rural Housing Association Limited</t>
  </si>
  <si>
    <t>Mid SussexFranklands Village Housing Association Limited</t>
  </si>
  <si>
    <t>Mid SussexGolden Lane Housing Limited</t>
  </si>
  <si>
    <t>Mid SussexHastoe Housing Association Limited</t>
  </si>
  <si>
    <t>Mid SussexHeylo Housing Registered Provider Limited</t>
  </si>
  <si>
    <t>Mid SussexHome Group Limited</t>
  </si>
  <si>
    <t>Mid SussexHousing 21</t>
  </si>
  <si>
    <t>Mid SussexHyde Housing Association Limited</t>
  </si>
  <si>
    <t>Mid SussexJames Bradford Almshouses Trust</t>
  </si>
  <si>
    <t>Mid SussexLegal &amp; General Affordable Homes (AR) LLP</t>
  </si>
  <si>
    <t>Mid SussexLegal &amp; General Affordable Homes Limited</t>
  </si>
  <si>
    <t>Mid SussexLondon &amp; Quadrant Housing Trust</t>
  </si>
  <si>
    <t>Mid SussexMetropolitan Housing Trust Limited</t>
  </si>
  <si>
    <t>Mid SussexMoat Homes Limited</t>
  </si>
  <si>
    <t>Mid SussexOrbit Group Limited</t>
  </si>
  <si>
    <t>Mid SussexOrbit Housing Association Limited</t>
  </si>
  <si>
    <t>Mid SussexPeabody Trust</t>
  </si>
  <si>
    <t>Mid SussexPinnacle Spaces Limited</t>
  </si>
  <si>
    <t>Mid SussexPlaces for People Homes Limited</t>
  </si>
  <si>
    <t>Mid SussexRaven Housing Trust Limited</t>
  </si>
  <si>
    <t>Mid SussexRentplus Homes Limited</t>
  </si>
  <si>
    <t>Mid SussexSage Homes RP Limited</t>
  </si>
  <si>
    <t>Mid SussexSage Rented Limited</t>
  </si>
  <si>
    <t>Mid SussexSaxon Weald</t>
  </si>
  <si>
    <t>Mid SussexSouthdown Housing Association Limited</t>
  </si>
  <si>
    <t>Mid SussexSouthern Housing</t>
  </si>
  <si>
    <t>Mid SussexSovereign Network Group</t>
  </si>
  <si>
    <t>Mid SussexSparrow Shared Ownership Limited</t>
  </si>
  <si>
    <t>Mid SussexStonewater (5) Limited</t>
  </si>
  <si>
    <t>Mid SussexStonewater Limited</t>
  </si>
  <si>
    <t>Mid SussexSunny Vale Supported Accommodation Limited</t>
  </si>
  <si>
    <t>Mid SussexSussex Housing and Care</t>
  </si>
  <si>
    <t>Mid SussexThe Guinness Partnership Limited</t>
  </si>
  <si>
    <t>Mid SussexThe Swaythling Housing Society Limited</t>
  </si>
  <si>
    <t>Mid SussexTown and Country Housing</t>
  </si>
  <si>
    <t>Mid SussexWorthing Homes Limited</t>
  </si>
  <si>
    <t>MiddlesbroughAccent Housing Limited</t>
  </si>
  <si>
    <t>MiddlesbroughAnchor Hanover Group</t>
  </si>
  <si>
    <t>MiddlesbroughArpeggio Properties Limited</t>
  </si>
  <si>
    <t>MiddlesbroughBernicia Group</t>
  </si>
  <si>
    <t>MiddlesbroughBeyond Housing Limited</t>
  </si>
  <si>
    <t>MiddlesbroughCreative Support Limited</t>
  </si>
  <si>
    <t>MiddlesbroughDepaul Housing Services</t>
  </si>
  <si>
    <t>MiddlesbroughDimensions (UK) Limited</t>
  </si>
  <si>
    <t>MiddlesbroughEncircle Housing</t>
  </si>
  <si>
    <t>MiddlesbroughGolden Lane Housing Limited</t>
  </si>
  <si>
    <t>MiddlesbroughHabinteg Housing Association Limited</t>
  </si>
  <si>
    <t>MiddlesbroughHeylo Housing Registered Provider Limited</t>
  </si>
  <si>
    <t>MiddlesbroughHome Group Limited</t>
  </si>
  <si>
    <t>MiddlesbroughHousing 21</t>
  </si>
  <si>
    <t>MiddlesbroughInclusion Housing Community Interest Company</t>
  </si>
  <si>
    <t>MiddlesbroughKarbon Homes Limited</t>
  </si>
  <si>
    <t>MiddlesbroughLegal &amp; General Affordable Homes Limited</t>
  </si>
  <si>
    <t>MiddlesbroughNew Walk Property Management CIC</t>
  </si>
  <si>
    <t>MiddlesbroughNorth Star Housing Group</t>
  </si>
  <si>
    <t>MiddlesbroughOxfield Housing Co-operative Association Limited</t>
  </si>
  <si>
    <t>MiddlesbroughPlaces for People Homes Limited</t>
  </si>
  <si>
    <t>MiddlesbroughPlaces for People Living+ Limited</t>
  </si>
  <si>
    <t>MiddlesbroughProgress Housing Association Limited</t>
  </si>
  <si>
    <t>MiddlesbroughRailway Housing Association and Benefit Fund</t>
  </si>
  <si>
    <t>MiddlesbroughSage Homes RP Limited</t>
  </si>
  <si>
    <t>MiddlesbroughSalvation Army Housing Association</t>
  </si>
  <si>
    <t>MiddlesbroughSanctuary Housing Association</t>
  </si>
  <si>
    <t>MiddlesbroughTCUK Homes Limited</t>
  </si>
  <si>
    <t>MiddlesbroughThe Riverside Group Limited</t>
  </si>
  <si>
    <t>MiddlesbroughThirteen Housing Group Limited</t>
  </si>
  <si>
    <t>MiddlesbroughTogether Housing Association Limited</t>
  </si>
  <si>
    <t>Milton Keynes3CHA Ltd</t>
  </si>
  <si>
    <t>Milton KeynesA2Dominion Homes Limited</t>
  </si>
  <si>
    <t>Milton KeynesAccent Housing Limited</t>
  </si>
  <si>
    <t>Milton KeynesAdvance Housing and Support Limited</t>
  </si>
  <si>
    <t>Milton KeynesAlmshouses of Miss Anne Hopkins-Smith</t>
  </si>
  <si>
    <t>Milton KeynesAmplius Living</t>
  </si>
  <si>
    <t>Milton KeynesAnchor Hanover Group</t>
  </si>
  <si>
    <t>Milton KeynesAuckland Home Solutions CIC</t>
  </si>
  <si>
    <t>Milton KeynesBespoke Supportive Tenancies Ltd</t>
  </si>
  <si>
    <t>Milton KeynesClarion Housing Association Limited</t>
  </si>
  <si>
    <t>Milton KeynesCo-operative Development Society Limited</t>
  </si>
  <si>
    <t>Milton KeynesCross Keys Homes Limited</t>
  </si>
  <si>
    <t>Milton KeynesDimensions (UK) Limited</t>
  </si>
  <si>
    <t>Milton KeynesFairhive Homes Limited</t>
  </si>
  <si>
    <t>Milton KeynesGolden Lane Housing Limited</t>
  </si>
  <si>
    <t>Milton KeynesHabinteg Housing Association Limited</t>
  </si>
  <si>
    <t>Milton KeynesHabitare Homes Limited</t>
  </si>
  <si>
    <t>Milton KeynesHastoe Housing Association Limited</t>
  </si>
  <si>
    <t>Milton KeynesHeylo Housing Registered Provider Limited</t>
  </si>
  <si>
    <t>Milton KeynesHightown Housing Association Limited</t>
  </si>
  <si>
    <t>Milton KeynesHome Group Limited</t>
  </si>
  <si>
    <t>Milton KeynesHousing 21</t>
  </si>
  <si>
    <t>Milton KeynesHyde Housing Association Limited</t>
  </si>
  <si>
    <t>Milton KeynesLegal &amp; General Affordable Homes (AR) LLP</t>
  </si>
  <si>
    <t>Milton KeynesLegal &amp; General Affordable Homes Limited</t>
  </si>
  <si>
    <t>Milton KeynesLondon &amp; Quadrant Housing Trust</t>
  </si>
  <si>
    <t>Milton KeynesM&amp;G UK Shared Ownership Limited</t>
  </si>
  <si>
    <t>Milton KeynesMetropolitan Housing Trust Limited</t>
  </si>
  <si>
    <t>Milton KeynesMidland Heart Limited</t>
  </si>
  <si>
    <t>Milton KeynesMilton Keynes YMCA Limited</t>
  </si>
  <si>
    <t>Milton KeynesNotting Hill Genesis</t>
  </si>
  <si>
    <t>Milton KeynesNotting Hill Home Ownership Limited</t>
  </si>
  <si>
    <t>Milton KeynesOld Farm Park Housing Co-operative Limited</t>
  </si>
  <si>
    <t>Milton KeynesOrbit Group Limited</t>
  </si>
  <si>
    <t>Milton KeynesOrbit Housing Association Limited</t>
  </si>
  <si>
    <t>Milton KeynesParadigm Homes Charitable Housing Association Limited</t>
  </si>
  <si>
    <t>Milton KeynesPeabody Trust</t>
  </si>
  <si>
    <t>Milton KeynesPinnacle Spaces Limited</t>
  </si>
  <si>
    <t>Milton KeynesPlaces for People Homes Limited</t>
  </si>
  <si>
    <t>Milton KeynesPlaces for People Living+ Limited</t>
  </si>
  <si>
    <t>Milton KeynesReside Housing Association Limited</t>
  </si>
  <si>
    <t>Milton KeynesSage Homes RP Limited</t>
  </si>
  <si>
    <t>Milton KeynesSage Rented Limited</t>
  </si>
  <si>
    <t>Milton KeynesSanctuary Housing Association</t>
  </si>
  <si>
    <t>Milton KeynesSettle Group</t>
  </si>
  <si>
    <t>Milton KeynesSouthern Housing</t>
  </si>
  <si>
    <t>Milton KeynesSovereign Network Group</t>
  </si>
  <si>
    <t>Milton KeynesSparrow Shared Ownership Limited</t>
  </si>
  <si>
    <t>Milton KeynesStonewater Limited</t>
  </si>
  <si>
    <t>Milton KeynesThe ExtraCare Charitable Trust</t>
  </si>
  <si>
    <t>Milton KeynesThe Guinness Partnership Limited</t>
  </si>
  <si>
    <t>Milton KeynesThrive Homes Limited</t>
  </si>
  <si>
    <t>Milton KeynesWaythrough</t>
  </si>
  <si>
    <t>Milton Keynesbpha Limited</t>
  </si>
  <si>
    <t>Mole ValleyA2Dominion Homes Limited</t>
  </si>
  <si>
    <t>Mole ValleyA2Dominion Housing Options Limited</t>
  </si>
  <si>
    <t>Mole ValleyA2Dominion South Limited</t>
  </si>
  <si>
    <t>Mole ValleyAbility Housing Association</t>
  </si>
  <si>
    <t>Mole ValleyAdvance Housing and Support Limited</t>
  </si>
  <si>
    <t>Mole ValleyAnchor Hanover Group</t>
  </si>
  <si>
    <t>Mole ValleyBespoke Supportive Tenancies Ltd</t>
  </si>
  <si>
    <t>Mole ValleyClarion Housing Association Limited</t>
  </si>
  <si>
    <t>Mole ValleyDorking Charity</t>
  </si>
  <si>
    <t>Mole ValleyEnglish Rural Housing Association Limited</t>
  </si>
  <si>
    <t>Mole ValleyFirst Priority Housing Association Limited</t>
  </si>
  <si>
    <t>Mole ValleyHeylo Housing Registered Provider Limited</t>
  </si>
  <si>
    <t>Mole ValleyHome Group Limited</t>
  </si>
  <si>
    <t>Mole ValleyLondon &amp; Quadrant Housing Trust</t>
  </si>
  <si>
    <t>Mole ValleyMetropolitan Housing Trust Limited</t>
  </si>
  <si>
    <t>Mole ValleyMount Green Housing Association Limited</t>
  </si>
  <si>
    <t>Mole ValleyNotting Hill Home Ownership Limited</t>
  </si>
  <si>
    <t>Mole ValleyOckley Housing Association Limited</t>
  </si>
  <si>
    <t>Mole ValleyParagon Asra Housing Limited</t>
  </si>
  <si>
    <t>Mole ValleyRaven Housing Trust Limited</t>
  </si>
  <si>
    <t>Mole ValleyReside Housing Association Limited</t>
  </si>
  <si>
    <t>Mole ValleySouthern Housing</t>
  </si>
  <si>
    <t>Mole ValleySovereign Network Group</t>
  </si>
  <si>
    <t>Mole ValleyStonewater Limited</t>
  </si>
  <si>
    <t>Mole ValleyThe Field Lane Foundation</t>
  </si>
  <si>
    <t>Mole ValleyThe Grange Centre for People with Disabilities</t>
  </si>
  <si>
    <t>Mole ValleyThe Riverside Group Limited</t>
  </si>
  <si>
    <t>Mole ValleyTown and Country Housing</t>
  </si>
  <si>
    <t>Mole ValleyTransform Housing &amp; Support</t>
  </si>
  <si>
    <t>New ForestAbility Housing Association</t>
  </si>
  <si>
    <t>New ForestAbri Group Limited</t>
  </si>
  <si>
    <t>New ForestAdvance Housing and Support Limited</t>
  </si>
  <si>
    <t>New ForestAnchor Hanover Group</t>
  </si>
  <si>
    <t>New ForestAster Communities</t>
  </si>
  <si>
    <t>New ForestClarion Housing Association Limited</t>
  </si>
  <si>
    <t>New ForestEmpower Housing Association Limited</t>
  </si>
  <si>
    <t>New ForestEnglish Rural Housing Association Limited</t>
  </si>
  <si>
    <t>New ForestGolden Lane Housing Limited</t>
  </si>
  <si>
    <t>New ForestHome Group Limited</t>
  </si>
  <si>
    <t>New ForestHousing 21</t>
  </si>
  <si>
    <t>New ForestMetropolitan Housing Trust Limited</t>
  </si>
  <si>
    <t>New ForestMoat Homes Limited</t>
  </si>
  <si>
    <t>New ForestMuirCroft Housing Association Limited</t>
  </si>
  <si>
    <t>New ForestNotting Hill Home Ownership Limited</t>
  </si>
  <si>
    <t>New ForestPlaces for People Homes Limited</t>
  </si>
  <si>
    <t>New ForestPlaces for People Living+ Limited</t>
  </si>
  <si>
    <t>New ForestReside Housing Association Limited</t>
  </si>
  <si>
    <t>New ForestSanctuary Housing Association</t>
  </si>
  <si>
    <t>New ForestSandbourne Housing Association</t>
  </si>
  <si>
    <t>New ForestSouthern Housing</t>
  </si>
  <si>
    <t>New ForestSovereign Network Group</t>
  </si>
  <si>
    <t>New ForestStonewater Limited</t>
  </si>
  <si>
    <t>New ForestSynergy Housing Limited</t>
  </si>
  <si>
    <t>New ForestThe Swaythling Housing Society Limited</t>
  </si>
  <si>
    <t>New ForestVivid Housing Limited</t>
  </si>
  <si>
    <t>Newark and SherwoodAccent Housing Limited</t>
  </si>
  <si>
    <t>Newark and SherwoodAcis Group Limited</t>
  </si>
  <si>
    <t>Newark and SherwoodAdvance Housing and Support Limited</t>
  </si>
  <si>
    <t>Newark and SherwoodAmplius Living</t>
  </si>
  <si>
    <t>Newark and SherwoodAnchor Hanover Group</t>
  </si>
  <si>
    <t>Newark and SherwoodBespoke Supportive Tenancies Ltd</t>
  </si>
  <si>
    <t>Newark and SherwoodEMH Housing and Regeneration Limited</t>
  </si>
  <si>
    <t>Newark and SherwoodEmpower Housing Association Limited</t>
  </si>
  <si>
    <t>Newark and SherwoodFramework Housing Association</t>
  </si>
  <si>
    <t>Newark and SherwoodGolden Lane Housing Limited</t>
  </si>
  <si>
    <t>Newark and SherwoodHeylo Housing Registered Provider Limited</t>
  </si>
  <si>
    <t>Newark and SherwoodHome Group Limited</t>
  </si>
  <si>
    <t>Newark and SherwoodInclusion Housing Community Interest Company</t>
  </si>
  <si>
    <t>Newark and SherwoodJigsaw Homes Midlands</t>
  </si>
  <si>
    <t>Newark and SherwoodLegal &amp; General Affordable Homes Limited</t>
  </si>
  <si>
    <t>Newark and SherwoodM&amp;G UK Shared Ownership Limited</t>
  </si>
  <si>
    <t>Newark and SherwoodMetropolitan Housing Trust Limited</t>
  </si>
  <si>
    <t>Newark and SherwoodNewark Housing Association Limited</t>
  </si>
  <si>
    <t>Newark and SherwoodNottingham Community Housing Association Limited</t>
  </si>
  <si>
    <t>Newark and SherwoodOngo Homes Limited</t>
  </si>
  <si>
    <t>Newark and SherwoodParagon Asra Housing Limited</t>
  </si>
  <si>
    <t>Newark and SherwoodPlaces for People Homes Limited</t>
  </si>
  <si>
    <t>Newark and SherwoodPlaces for People Living+ Limited</t>
  </si>
  <si>
    <t>Newark and SherwoodPlatform Housing Limited</t>
  </si>
  <si>
    <t>Newark and SherwoodProgress Housing Association Limited</t>
  </si>
  <si>
    <t>Newark and SherwoodSage Homes RP Limited</t>
  </si>
  <si>
    <t>Newark and SherwoodSanctuary Housing Association</t>
  </si>
  <si>
    <t>Newark and SherwoodStonewater (5) Limited</t>
  </si>
  <si>
    <t>Newark and SherwoodThe Charity of St Leonard's Hospital</t>
  </si>
  <si>
    <t>Newark and SherwoodThe Newark Emmaus Trust</t>
  </si>
  <si>
    <t>Newark and SherwoodThe Riverside Group Limited</t>
  </si>
  <si>
    <t>Newark and SherwoodTrinity Housing Association Limited</t>
  </si>
  <si>
    <t>Newcastle upon TyneAlbion Housing Co-operative Limited</t>
  </si>
  <si>
    <t>Newcastle upon TyneAnchor Hanover Group</t>
  </si>
  <si>
    <t>Newcastle upon TyneArpeggio Properties Limited</t>
  </si>
  <si>
    <t>Newcastle upon TyneAuxesia Homes Limited</t>
  </si>
  <si>
    <t>Newcastle upon TyneBernicia Group</t>
  </si>
  <si>
    <t>Newcastle upon TyneCastles &amp; Coasts Housing Association Limited</t>
  </si>
  <si>
    <t>Newcastle upon TyneDimensions (UK) Limited</t>
  </si>
  <si>
    <t>Newcastle upon TyneFalconar Street Housing Co-operative Limited</t>
  </si>
  <si>
    <t>Newcastle upon TyneHeylo Housing Registered Provider Limited</t>
  </si>
  <si>
    <t>Newcastle upon TyneHome Group Limited</t>
  </si>
  <si>
    <t>Newcastle upon TyneHospital of St Mary The Virgin (Rye Hill &amp; Benwell)</t>
  </si>
  <si>
    <t>Newcastle upon TyneHousing 21</t>
  </si>
  <si>
    <t>Newcastle upon TyneInclusion Housing Community Interest Company</t>
  </si>
  <si>
    <t>Newcastle upon TyneKarbon Homes Limited</t>
  </si>
  <si>
    <t>Newcastle upon TyneLeazes Homes Limited</t>
  </si>
  <si>
    <t>Newcastle upon TyneM&amp;G UK Shared Ownership Limited</t>
  </si>
  <si>
    <t>Newcastle upon TyneMethodist Homes Housing Association Limited</t>
  </si>
  <si>
    <t>Newcastle upon TyneNew Foundations Housing Association Limited</t>
  </si>
  <si>
    <t>Newcastle upon TyneNew Moves Housing Co-operative Limited</t>
  </si>
  <si>
    <t>Newcastle upon TyneNorth East Housing Association Limited</t>
  </si>
  <si>
    <t>Newcastle upon TynePhoenix House</t>
  </si>
  <si>
    <t>Newcastle upon TynePlaces for People Homes Limited</t>
  </si>
  <si>
    <t>Newcastle upon TynePlaces for People Living+ Limited</t>
  </si>
  <si>
    <t>Newcastle upon TyneProgress Housing Association Limited</t>
  </si>
  <si>
    <t>Newcastle upon TyneRailway Housing Association and Benefit Fund</t>
  </si>
  <si>
    <t>Newcastle upon TyneSalvation Army Housing Association</t>
  </si>
  <si>
    <t>Newcastle upon TyneSanctuary Housing Association</t>
  </si>
  <si>
    <t>Newcastle upon TyneSummerhill Housing Co-operative (Newcastle) Limited</t>
  </si>
  <si>
    <t>Newcastle upon TyneTCUK Homes Limited</t>
  </si>
  <si>
    <t>Newcastle upon TyneThe Riverside Group Limited</t>
  </si>
  <si>
    <t>Newcastle upon TyneThirteen Housing Group Limited</t>
  </si>
  <si>
    <t>Newcastle upon TyneTyne Housing Association Limited</t>
  </si>
  <si>
    <t>Newcastle upon TyneWest End Housing Co-operative Limited</t>
  </si>
  <si>
    <t>Newcastle-under-LymeAlpha (R.S.L.) Limited</t>
  </si>
  <si>
    <t>Newcastle-under-LymeAnchor Hanover Group</t>
  </si>
  <si>
    <t>Newcastle-under-LymeAspire Housing Limited</t>
  </si>
  <si>
    <t>Newcastle-under-LymeBrighter Futures Housing Association Limited</t>
  </si>
  <si>
    <t>Newcastle-under-LymeChoices Housing Association Limited</t>
  </si>
  <si>
    <t>Newcastle-under-LymeClarion Housing Association Limited</t>
  </si>
  <si>
    <t>Newcastle-under-LymeEmpowering People Inspiring Communities Limited</t>
  </si>
  <si>
    <t>Newcastle-under-LymeGolden Lane Housing Limited</t>
  </si>
  <si>
    <t>Newcastle-under-LymeHalo Housing Association Limited</t>
  </si>
  <si>
    <t>Newcastle-under-LymeHoneycomb Group Limited</t>
  </si>
  <si>
    <t>Newcastle-under-LymeHousing 21</t>
  </si>
  <si>
    <t>Newcastle-under-LymeMidland Heart Limited</t>
  </si>
  <si>
    <t>Newcastle-under-LymeMuir Group Housing Association Limited</t>
  </si>
  <si>
    <t>Newcastle-under-LymePlus Dane Housing Limited</t>
  </si>
  <si>
    <t>Newcastle-under-LymeReSI Homes Limited</t>
  </si>
  <si>
    <t>Newcastle-under-LymeSage Homes RP Limited</t>
  </si>
  <si>
    <t>Newcastle-under-LymeSage Rented Limited</t>
  </si>
  <si>
    <t>Newcastle-under-LymeSanctuary Housing Association</t>
  </si>
  <si>
    <t>Newcastle-under-LymeSparrow Shared Ownership Limited</t>
  </si>
  <si>
    <t>Newcastle-under-LymeThe Guinness Partnership Limited</t>
  </si>
  <si>
    <t>Newcastle-under-LymeThe Riverside Group Limited</t>
  </si>
  <si>
    <t>Newcastle-under-LymeThe Wrekin Housing Group Limited</t>
  </si>
  <si>
    <t>NewhamA2Dominion Homes Limited</t>
  </si>
  <si>
    <t>NewhamAnchor Hanover Group</t>
  </si>
  <si>
    <t>NewhamArhag Housing Association Limited</t>
  </si>
  <si>
    <t>NewhamBahay Kubo Housing Association Limited</t>
  </si>
  <si>
    <t>NewhamCentrepoint Soho</t>
  </si>
  <si>
    <t>NewhamClarion Housing Association Limited</t>
  </si>
  <si>
    <t>NewhamCromwood Housing Ltd</t>
  </si>
  <si>
    <t>NewhamGateway Housing Association Limited</t>
  </si>
  <si>
    <t>NewhamGolden Lane Housing Limited</t>
  </si>
  <si>
    <t>NewhamGrainger Trust Limited</t>
  </si>
  <si>
    <t>NewhamHabinteg Housing Association Limited</t>
  </si>
  <si>
    <t>NewhamHeylo Housing Registered Provider Limited</t>
  </si>
  <si>
    <t>NewhamHome Group Limited</t>
  </si>
  <si>
    <t>NewhamHome from Home Housing Association Limited</t>
  </si>
  <si>
    <t>NewhamHousing Pathways Trust</t>
  </si>
  <si>
    <t>NewhamKarin Housing Association Limited</t>
  </si>
  <si>
    <t>NewhamLegal &amp; General Affordable Homes Limited</t>
  </si>
  <si>
    <t>NewhamLegal and General Affordable Homes (Capital) Limited</t>
  </si>
  <si>
    <t>NewhamLocal Space</t>
  </si>
  <si>
    <t>NewhamLondon &amp; Quadrant Housing Trust</t>
  </si>
  <si>
    <t>NewhamLonglife Housing Co-operative Limited</t>
  </si>
  <si>
    <t>NewhamLook Ahead Care and Support Limited</t>
  </si>
  <si>
    <t>NewhamMetropolitan Housing Trust Limited</t>
  </si>
  <si>
    <t>NewhamNewlon Housing Trust</t>
  </si>
  <si>
    <t>NewhamNorth London Muslim Housing Association Limited</t>
  </si>
  <si>
    <t>NewhamNotting Hill Genesis</t>
  </si>
  <si>
    <t>NewhamNotting Hill Home Ownership Limited</t>
  </si>
  <si>
    <t>NewhamOmega Housing Limited</t>
  </si>
  <si>
    <t>NewhamOrbit Group Limited</t>
  </si>
  <si>
    <t>NewhamParagon Asra Housing Limited</t>
  </si>
  <si>
    <t>NewhamPeabody Trust</t>
  </si>
  <si>
    <t>NewhamPeter Bedford Housing Association Limited</t>
  </si>
  <si>
    <t>NewhamPhoenix Community Housing Co-operative Limited</t>
  </si>
  <si>
    <t>NewhamPlaces for People Homes Limited</t>
  </si>
  <si>
    <t>NewhamPlaces for People Living+ Limited</t>
  </si>
  <si>
    <t>NewhamPopulo Homes</t>
  </si>
  <si>
    <t>NewhamSage Homes RP Limited</t>
  </si>
  <si>
    <t>NewhamSage Rented Limited</t>
  </si>
  <si>
    <t>NewhamSanctuary Affordable Housing Limited</t>
  </si>
  <si>
    <t>NewhamSanctuary Housing Association</t>
  </si>
  <si>
    <t>NewhamSouthern Housing</t>
  </si>
  <si>
    <t>NewhamSovereign Network Group</t>
  </si>
  <si>
    <t>NewhamSpitalfields Housing Association Limited</t>
  </si>
  <si>
    <t>NewhamSwan Housing Association Limited</t>
  </si>
  <si>
    <t>NewhamTBG Open Door Limited</t>
  </si>
  <si>
    <t>NewhamTamil Community Housing Association Limited</t>
  </si>
  <si>
    <t>NewhamThe Guinness Partnership Limited</t>
  </si>
  <si>
    <t>NewhamThe Riverside Group Limited</t>
  </si>
  <si>
    <t>NewhamWest Ham Non-Ecclesiastical Charity</t>
  </si>
  <si>
    <t>NewhamWinsor Housing Co-operative Limited</t>
  </si>
  <si>
    <t>NewhamYour Place (London) Limited</t>
  </si>
  <si>
    <t>North DevonAdvance Housing and Support Limited</t>
  </si>
  <si>
    <t>North DevonAnchor Hanover Group</t>
  </si>
  <si>
    <t>North DevonArpeggio Properties Limited</t>
  </si>
  <si>
    <t>North DevonAster 3 Limited</t>
  </si>
  <si>
    <t>North DevonAster Communities</t>
  </si>
  <si>
    <t>North DevonAuckland Home Solutions CIC</t>
  </si>
  <si>
    <t>North DevonFalcon Housing Association C.I.C</t>
  </si>
  <si>
    <t>North DevonFrontis Homes Limited</t>
  </si>
  <si>
    <t>North DevonGolden Lane Housing Limited</t>
  </si>
  <si>
    <t>North DevonHastoe Housing Association Limited</t>
  </si>
  <si>
    <t>North DevonHeylo Housing Registered Provider Limited</t>
  </si>
  <si>
    <t>North DevonHousing 21</t>
  </si>
  <si>
    <t>North DevonLegal &amp; General Affordable Homes (AR) LLP</t>
  </si>
  <si>
    <t>North DevonLegal &amp; General Affordable Homes Limited</t>
  </si>
  <si>
    <t>North DevonLiveWest Homes Limited</t>
  </si>
  <si>
    <t>North DevonMethodist Homes Housing Association Limited</t>
  </si>
  <si>
    <t>North DevonMoat Homes Limited</t>
  </si>
  <si>
    <t>North DevonNorth Devon Homes</t>
  </si>
  <si>
    <t>North DevonProgress Housing Association Limited</t>
  </si>
  <si>
    <t>North DevonSage Homes RP Limited</t>
  </si>
  <si>
    <t>North DevonSanctuary Affordable Housing Limited</t>
  </si>
  <si>
    <t>North DevonSanctuary Housing Association</t>
  </si>
  <si>
    <t>North DevonSynergy Housing Limited</t>
  </si>
  <si>
    <t>North DevonThe Abbeyfield South Molton Society Limited</t>
  </si>
  <si>
    <t>North DevonTrinity Housing Association Limited</t>
  </si>
  <si>
    <t>North DevonWestward Housing Group Limited</t>
  </si>
  <si>
    <t>North East DerbyshireAcis Group Limited</t>
  </si>
  <si>
    <t>North East DerbyshireAction Housing and Support Limited</t>
  </si>
  <si>
    <t>North East DerbyshireAdullam Homes Housing Association Limited</t>
  </si>
  <si>
    <t>North East DerbyshireAlliance Housing Association (South Yorkshire) Limited</t>
  </si>
  <si>
    <t>North East DerbyshireArches Housing Limited</t>
  </si>
  <si>
    <t>North East DerbyshireEMH Housing and Regeneration Limited</t>
  </si>
  <si>
    <t>North East DerbyshireFramework Housing Association</t>
  </si>
  <si>
    <t>North East DerbyshireFutures Homescape Limited</t>
  </si>
  <si>
    <t>North East DerbyshireGolden Lane Housing Limited</t>
  </si>
  <si>
    <t>North East DerbyshireGreat Places Housing Association</t>
  </si>
  <si>
    <t>North East DerbyshireHeylo Housing Registered Provider Limited</t>
  </si>
  <si>
    <t>North East DerbyshireHousing 21</t>
  </si>
  <si>
    <t>North East DerbyshireIKE Supported Housing Limited</t>
  </si>
  <si>
    <t>North East DerbyshireInclusion Housing Community Interest Company</t>
  </si>
  <si>
    <t>North East DerbyshireM&amp;G UK Shared Ownership Limited</t>
  </si>
  <si>
    <t>North East DerbyshireMetropolitan Housing Trust Limited</t>
  </si>
  <si>
    <t>North East DerbyshireNottingham Community Housing Association Limited</t>
  </si>
  <si>
    <t>North East DerbyshirePark Properties Housing Association Ltd</t>
  </si>
  <si>
    <t>North East DerbyshirePeak District Rural Housing Association Limited</t>
  </si>
  <si>
    <t>North East DerbyshirePlaces for People Living+ Limited</t>
  </si>
  <si>
    <t>North East DerbyshirePlatform Housing Limited</t>
  </si>
  <si>
    <t>North East DerbyshireRentplus Homes Limited</t>
  </si>
  <si>
    <t>North East DerbyshireReside Housing Association Limited</t>
  </si>
  <si>
    <t>North East DerbyshireRykneld Homes Limited</t>
  </si>
  <si>
    <t>North East DerbyshireSage Homes RP Limited</t>
  </si>
  <si>
    <t>North East DerbyshireSage Rented Limited</t>
  </si>
  <si>
    <t>North East DerbyshireSanctuary Affordable Housing Limited</t>
  </si>
  <si>
    <t>North East DerbyshireSanctuary Housing Association</t>
  </si>
  <si>
    <t>North East DerbyshireSouth Yorkshire Housing Association Limited</t>
  </si>
  <si>
    <t>North East DerbyshireSparrow Shared Ownership Limited</t>
  </si>
  <si>
    <t>North East DerbyshireThe Guinness Partnership Limited</t>
  </si>
  <si>
    <t>North East DerbyshireTogether Housing Association Limited</t>
  </si>
  <si>
    <t>North East LincolnshireAcis Group Limited</t>
  </si>
  <si>
    <t>North East LincolnshireAdvance Housing and Support Limited</t>
  </si>
  <si>
    <t>North East LincolnshireAmplius Living</t>
  </si>
  <si>
    <t>North East LincolnshireAnchor Hanover Group</t>
  </si>
  <si>
    <t>North East LincolnshireArpeggio Properties Limited</t>
  </si>
  <si>
    <t>North East LincolnshireAuckland Home Solutions CIC</t>
  </si>
  <si>
    <t>North East LincolnshireBespoke Supportive Tenancies Ltd</t>
  </si>
  <si>
    <t>North East LincolnshireChrysalis Supported Association Limited</t>
  </si>
  <si>
    <t>North East LincolnshireGolden Lane Housing Limited</t>
  </si>
  <si>
    <t>North East LincolnshireGrantham's Almshouses</t>
  </si>
  <si>
    <t>North East LincolnshireGrimsby &amp; Cleethorpes Area Doorstep</t>
  </si>
  <si>
    <t>North East LincolnshireGrimsby Cleethorpes and Humber Region Y.M.C.A.</t>
  </si>
  <si>
    <t>North East LincolnshireHeylo Housing Registered Provider Limited</t>
  </si>
  <si>
    <t>North East LincolnshireHousing 21</t>
  </si>
  <si>
    <t>North East LincolnshireInclusion Housing Community Interest Company</t>
  </si>
  <si>
    <t>North East LincolnshireLincolnshire Housing Partnership Limited</t>
  </si>
  <si>
    <t>North East LincolnshireOngo Homes Limited</t>
  </si>
  <si>
    <t>North East LincolnshirePlaces for People Homes Limited</t>
  </si>
  <si>
    <t>North East LincolnshirePlaces for People Living+ Limited</t>
  </si>
  <si>
    <t>North East LincolnshirePlatform Housing Limited</t>
  </si>
  <si>
    <t>North East LincolnshireProgress Housing Association Limited</t>
  </si>
  <si>
    <t>North East LincolnshireSage Homes RP Limited</t>
  </si>
  <si>
    <t>North East LincolnshireSage Rented Limited</t>
  </si>
  <si>
    <t>North East LincolnshireSanctuary Housing Association</t>
  </si>
  <si>
    <t>North East LincolnshireThe Guinness Partnership Limited</t>
  </si>
  <si>
    <t>North East LincolnshireThe Riverside Group Limited</t>
  </si>
  <si>
    <t>North East LincolnshireTogether Housing Association Limited</t>
  </si>
  <si>
    <t>North HertfordshireAdvance Housing and Support Limited</t>
  </si>
  <si>
    <t>North HertfordshireAmplius Living</t>
  </si>
  <si>
    <t>North HertfordshireAnchor Hanover Group</t>
  </si>
  <si>
    <t>North HertfordshireB3 Living Limited</t>
  </si>
  <si>
    <t>North HertfordshireClarion Housing Association Limited</t>
  </si>
  <si>
    <t>North HertfordshireFirst Garden Cities Homes Limited</t>
  </si>
  <si>
    <t>North HertfordshireHabinteg Housing Association Limited</t>
  </si>
  <si>
    <t>North HertfordshireHastoe Housing Association Limited</t>
  </si>
  <si>
    <t>North HertfordshireHeylo Housing Registered Provider Limited</t>
  </si>
  <si>
    <t>North HertfordshireHightown Housing Association Limited</t>
  </si>
  <si>
    <t>North HertfordshireHome Group Limited</t>
  </si>
  <si>
    <t>North HertfordshireHousing 21</t>
  </si>
  <si>
    <t>North HertfordshireInclusion Housing Community Interest Company</t>
  </si>
  <si>
    <t>North HertfordshireLondon &amp; Quadrant Housing Trust</t>
  </si>
  <si>
    <t>North HertfordshireLook Ahead Care and Support Limited</t>
  </si>
  <si>
    <t>North HertfordshireMetropolitan Housing Trust Limited</t>
  </si>
  <si>
    <t>North HertfordshireNotting Hill Genesis</t>
  </si>
  <si>
    <t>North HertfordshireNotting Hill Home Ownership Limited</t>
  </si>
  <si>
    <t>North HertfordshireOne YMCA</t>
  </si>
  <si>
    <t>North HertfordshireOrigin Housing 2 Limited</t>
  </si>
  <si>
    <t>North HertfordshireOrigin Housing Limited</t>
  </si>
  <si>
    <t>North HertfordshireParadigm Homes Charitable Housing Association Limited</t>
  </si>
  <si>
    <t>North HertfordshirePeabody Trust</t>
  </si>
  <si>
    <t>North HertfordshirePlaces for People Homes Limited</t>
  </si>
  <si>
    <t>North HertfordshireReside Housing Association Limited</t>
  </si>
  <si>
    <t>North HertfordshireSage Homes RP Limited</t>
  </si>
  <si>
    <t>North HertfordshireSage Rented Limited</t>
  </si>
  <si>
    <t>North HertfordshireSanctuary Affordable Housing Limited</t>
  </si>
  <si>
    <t>North HertfordshireSanctuary Housing Association</t>
  </si>
  <si>
    <t>North HertfordshireSettle Group</t>
  </si>
  <si>
    <t>North HertfordshireSouthern Housing</t>
  </si>
  <si>
    <t>North HertfordshireStonewater Limited</t>
  </si>
  <si>
    <t>North HertfordshireThe Guinness Partnership Limited</t>
  </si>
  <si>
    <t>North HertfordshireThe Papworth Trust</t>
  </si>
  <si>
    <t>North HertfordshireThrive Homes Limited</t>
  </si>
  <si>
    <t>North KestevenAcis Group Limited</t>
  </si>
  <si>
    <t>North KestevenAdvance Housing and Support Limited</t>
  </si>
  <si>
    <t>North KestevenAmplius Living</t>
  </si>
  <si>
    <t>North KestevenBespoke Supportive Tenancies Ltd</t>
  </si>
  <si>
    <t>North KestevenEMH Housing and Regeneration Limited</t>
  </si>
  <si>
    <t>North KestevenEmpower Housing Association Limited</t>
  </si>
  <si>
    <t>North KestevenFramework Housing Association</t>
  </si>
  <si>
    <t>North KestevenGolden Lane Housing Limited</t>
  </si>
  <si>
    <t>North KestevenHeylo Housing Registered Provider Limited</t>
  </si>
  <si>
    <t>North KestevenHousing 21</t>
  </si>
  <si>
    <t>North KestevenInclusion Housing Community Interest Company</t>
  </si>
  <si>
    <t>North KestevenLace Housing Limited</t>
  </si>
  <si>
    <t>North KestevenLincolnshire Rural Housing Association Limited</t>
  </si>
  <si>
    <t>North KestevenNottingham Community Housing Association Limited</t>
  </si>
  <si>
    <t>North KestevenOngo Homes Limited</t>
  </si>
  <si>
    <t>North KestevenPartners Foundation Limited</t>
  </si>
  <si>
    <t>North KestevenPlaces for People Homes Limited</t>
  </si>
  <si>
    <t>North KestevenPlaces for People Living+ Limited</t>
  </si>
  <si>
    <t>North KestevenPlatform Housing Limited</t>
  </si>
  <si>
    <t>North KestevenProgress Housing Association Limited</t>
  </si>
  <si>
    <t>North KestevenReSI Homes Limited</t>
  </si>
  <si>
    <t>North KestevenReside Housing Association Limited</t>
  </si>
  <si>
    <t>North KestevenSage Homes RP Limited</t>
  </si>
  <si>
    <t>North KestevenSage Rented Limited</t>
  </si>
  <si>
    <t>North KestevenSanctuary Housing Association</t>
  </si>
  <si>
    <t>North KestevenSparrow Shared Ownership Limited</t>
  </si>
  <si>
    <t>North KestevenThe Teetotal Homes</t>
  </si>
  <si>
    <t>North KestevenWestmoreland Supported Housing Limited</t>
  </si>
  <si>
    <t>North LincolnshireAcis Group Limited</t>
  </si>
  <si>
    <t>North LincolnshireAmplius Living</t>
  </si>
  <si>
    <t>North LincolnshireAnchor Hanover Group</t>
  </si>
  <si>
    <t>North LincolnshireBespoke Supportive Tenancies Ltd</t>
  </si>
  <si>
    <t>North LincolnshireCare Housing Association Limited</t>
  </si>
  <si>
    <t>North LincolnshireFramework Housing Association</t>
  </si>
  <si>
    <t>North LincolnshireGolden Lane Housing Limited</t>
  </si>
  <si>
    <t>North LincolnshireHeylo Housing Registered Provider Limited</t>
  </si>
  <si>
    <t>North LincolnshireHome Group Limited</t>
  </si>
  <si>
    <t>North LincolnshireHousing 21</t>
  </si>
  <si>
    <t>North LincolnshireInclusion Housing Community Interest Company</t>
  </si>
  <si>
    <t>North LincolnshireLace Housing Limited</t>
  </si>
  <si>
    <t>North LincolnshireLincolnshire Rural Housing Association Limited</t>
  </si>
  <si>
    <t>North LincolnshireOngo Homes Limited</t>
  </si>
  <si>
    <t>North LincolnshirePlaces for People Homes Limited</t>
  </si>
  <si>
    <t>North LincolnshirePlaces for People Living+ Limited</t>
  </si>
  <si>
    <t>North LincolnshirePlatform Housing Limited</t>
  </si>
  <si>
    <t>North LincolnshireProgress Housing Association Limited</t>
  </si>
  <si>
    <t>North LincolnshireSage Homes RP Limited</t>
  </si>
  <si>
    <t>North LincolnshireSanctuary Housing Association</t>
  </si>
  <si>
    <t>North LincolnshireThe Riverside Group Limited</t>
  </si>
  <si>
    <t>North NorfolkAnchor Hanover Group</t>
  </si>
  <si>
    <t>North NorfolkBroadland Housing Association Limited</t>
  </si>
  <si>
    <t>North NorfolkClarion Housing Association Limited</t>
  </si>
  <si>
    <t>North NorfolkEmpower Housing Association Limited</t>
  </si>
  <si>
    <t>North NorfolkFlagship Housing Limited</t>
  </si>
  <si>
    <t>North NorfolkHabinteg Housing Association Limited</t>
  </si>
  <si>
    <t>North NorfolkHastoe Housing Association Limited</t>
  </si>
  <si>
    <t>North NorfolkHome Group Limited</t>
  </si>
  <si>
    <t>North NorfolkHomes for Wells Limited</t>
  </si>
  <si>
    <t>North NorfolkHousing 21</t>
  </si>
  <si>
    <t>North NorfolkInclusion Housing Community Interest Company</t>
  </si>
  <si>
    <t>North NorfolkOrbit Housing Association Limited</t>
  </si>
  <si>
    <t>North NorfolkPlaces for People Homes Limited</t>
  </si>
  <si>
    <t>North NorfolkPlaces for People Living+ Limited</t>
  </si>
  <si>
    <t>North NorfolkProgress Housing Association Limited</t>
  </si>
  <si>
    <t>North NorfolkSaffron Housing Trust Limited</t>
  </si>
  <si>
    <t>North NorfolkSanctuary Affordable Housing Limited</t>
  </si>
  <si>
    <t>North NorfolkWestmoreland Supported Housing Limited</t>
  </si>
  <si>
    <t>North NorthamptonshireAccent Housing Limited</t>
  </si>
  <si>
    <t>North NorthamptonshireAdvance Housing and Support Limited</t>
  </si>
  <si>
    <t>North NorthamptonshireAmplius Living</t>
  </si>
  <si>
    <t>North NorthamptonshireAnchor Hanover Group</t>
  </si>
  <si>
    <t>North NorthamptonshireAuckland Home Solutions CIC</t>
  </si>
  <si>
    <t>North NorthamptonshireBespoke Supportive Tenancies Ltd</t>
  </si>
  <si>
    <t>North NorthamptonshireChrysalis Supported Association Limited</t>
  </si>
  <si>
    <t>North NorthamptonshireCreative Support Limited</t>
  </si>
  <si>
    <t>North NorthamptonshireCross Keys Homes Limited</t>
  </si>
  <si>
    <t>North NorthamptonshireDimensions (UK) Limited</t>
  </si>
  <si>
    <t>North NorthamptonshireEMH Housing and Regeneration Limited</t>
  </si>
  <si>
    <t>North NorthamptonshireEmpower Housing Association Limited</t>
  </si>
  <si>
    <t>North NorthamptonshireFalcon Housing Association C.I.C</t>
  </si>
  <si>
    <t>North NorthamptonshireFutures Homescape Limited</t>
  </si>
  <si>
    <t>North NorthamptonshireGolden Lane Housing Limited</t>
  </si>
  <si>
    <t>North NorthamptonshireGreatwell Homes Limited</t>
  </si>
  <si>
    <t>North NorthamptonshireGreenSquareAccord Limited</t>
  </si>
  <si>
    <t>North NorthamptonshireHeylo Housing Registered Provider Limited</t>
  </si>
  <si>
    <t>North NorthamptonshireHome Group Limited</t>
  </si>
  <si>
    <t>North NorthamptonshireHousing 21</t>
  </si>
  <si>
    <t>North NorthamptonshireHyde Housing Association Limited</t>
  </si>
  <si>
    <t>North NorthamptonshireInclusion Housing Community Interest Company</t>
  </si>
  <si>
    <t>North NorthamptonshireLangley House Trust</t>
  </si>
  <si>
    <t>North NorthamptonshireLegal &amp; General Affordable Homes Limited</t>
  </si>
  <si>
    <t>North NorthamptonshireLondon &amp; Quadrant Housing Trust</t>
  </si>
  <si>
    <t>North NorthamptonshireM&amp;G UK Shared Ownership Limited</t>
  </si>
  <si>
    <t>North NorthamptonshireMasonic Housing Association</t>
  </si>
  <si>
    <t>North NorthamptonshireMetropolitan Housing Trust Limited</t>
  </si>
  <si>
    <t>North NorthamptonshireMidland Heart Limited</t>
  </si>
  <si>
    <t>North NorthamptonshireNorthamptonshire Rural Housing Association Limited</t>
  </si>
  <si>
    <t>North NorthamptonshireNottingham Community Housing Association Limited</t>
  </si>
  <si>
    <t>North NorthamptonshireOrbit Group Limited</t>
  </si>
  <si>
    <t>North NorthamptonshireOrbit Housing Association Limited</t>
  </si>
  <si>
    <t>North NorthamptonshireParagon Asra Housing Limited</t>
  </si>
  <si>
    <t>North NorthamptonshireParson Latham's Hospital In Barnwell</t>
  </si>
  <si>
    <t>North NorthamptonshirePeabody Trust</t>
  </si>
  <si>
    <t>North NorthamptonshirePlaces for People Homes Limited</t>
  </si>
  <si>
    <t>North NorthamptonshirePlaces for People Living+ Limited</t>
  </si>
  <si>
    <t>North NorthamptonshirePlatform Housing Limited</t>
  </si>
  <si>
    <t>North NorthamptonshireReSI Homes Limited</t>
  </si>
  <si>
    <t>North NorthamptonshireSage Homes RP Limited</t>
  </si>
  <si>
    <t>North NorthamptonshireSage Rented Limited</t>
  </si>
  <si>
    <t>North NorthamptonshireSanctuary Housing Association</t>
  </si>
  <si>
    <t>North NorthamptonshireSouthern Housing</t>
  </si>
  <si>
    <t>North NorthamptonshireSparrow Shared Ownership Limited</t>
  </si>
  <si>
    <t>North NorthamptonshireStonewater (5) Limited</t>
  </si>
  <si>
    <t>North NorthamptonshireStonewater Limited</t>
  </si>
  <si>
    <t>North NorthamptonshireThe ExtraCare Charitable Trust</t>
  </si>
  <si>
    <t>North NorthamptonshireThe Guinness Partnership Limited</t>
  </si>
  <si>
    <t>North NorthamptonshireThe Louisa Lilley Almshouses</t>
  </si>
  <si>
    <t>North NorthamptonshireThe Riverside Group Limited</t>
  </si>
  <si>
    <t>North NorthamptonshireWestmoreland Supported Housing Limited</t>
  </si>
  <si>
    <t>North NorthamptonshireWindrush Alliance UK Community Interest Company</t>
  </si>
  <si>
    <t>North NorthamptonshireZen Housing Ltd</t>
  </si>
  <si>
    <t>North Northamptonshirebpha Limited</t>
  </si>
  <si>
    <t>North SomersetAbri Group Limited</t>
  </si>
  <si>
    <t>North SomersetAdvance Housing and Support Limited</t>
  </si>
  <si>
    <t>North SomersetAnchor Hanover Group</t>
  </si>
  <si>
    <t>North SomersetAster Communities</t>
  </si>
  <si>
    <t>North SomersetAuckland Home Solutions CIC</t>
  </si>
  <si>
    <t>North SomersetBridgwater Young Men's Christian Association</t>
  </si>
  <si>
    <t>North SomersetBrighter Places</t>
  </si>
  <si>
    <t>North SomersetBrunelcare</t>
  </si>
  <si>
    <t>North SomersetCuro Places Limited</t>
  </si>
  <si>
    <t>North SomersetDimensions (UK) Limited</t>
  </si>
  <si>
    <t>North SomersetElim Housing Association Limited</t>
  </si>
  <si>
    <t>North SomersetEnglish Rural Housing Association Limited</t>
  </si>
  <si>
    <t>North SomersetFalcon Housing Association C.I.C</t>
  </si>
  <si>
    <t>North SomersetGolden Lane Housing Limited</t>
  </si>
  <si>
    <t>North SomersetHabinteg Housing Association Limited</t>
  </si>
  <si>
    <t>North SomersetHeylo Housing Registered Provider Limited</t>
  </si>
  <si>
    <t>North SomersetHilldale Housing Association Limited</t>
  </si>
  <si>
    <t>North SomersetHome Group Limited</t>
  </si>
  <si>
    <t>North SomersetHousing 21</t>
  </si>
  <si>
    <t>North SomersetInclusion Housing Community Interest Company</t>
  </si>
  <si>
    <t>North SomersetJulian House</t>
  </si>
  <si>
    <t>North SomersetLiveWest Homes Limited</t>
  </si>
  <si>
    <t>North SomersetLocking Deanery Housing Society Limited</t>
  </si>
  <si>
    <t>North SomersetLondon &amp; Quadrant Housing Trust</t>
  </si>
  <si>
    <t>North SomersetM&amp;G UK Shared Ownership Limited</t>
  </si>
  <si>
    <t>North SomersetMerlin Housing Society Limited</t>
  </si>
  <si>
    <t>North SomersetMethodist Homes Housing Association Limited</t>
  </si>
  <si>
    <t>North SomersetMoat Homes Limited</t>
  </si>
  <si>
    <t>North SomersetNSAH (Alliance Homes) Limited</t>
  </si>
  <si>
    <t>North SomersetNew Foundations Housing Association Limited</t>
  </si>
  <si>
    <t>North SomersetPlaces for People Homes Limited</t>
  </si>
  <si>
    <t>North SomersetPlaces for People Living+ Limited</t>
  </si>
  <si>
    <t>North SomersetRooftop Housing Association Limited</t>
  </si>
  <si>
    <t>North SomersetSage Homes RP Limited</t>
  </si>
  <si>
    <t>North SomersetSalvation Army Housing Association</t>
  </si>
  <si>
    <t>North SomersetSanctuary Housing Association</t>
  </si>
  <si>
    <t>North SomersetSidcot Friends Housing Society Limited</t>
  </si>
  <si>
    <t>North SomersetSovereign Network Group</t>
  </si>
  <si>
    <t>North SomersetStonewater (5) Limited</t>
  </si>
  <si>
    <t>North SomersetStonewater Limited</t>
  </si>
  <si>
    <t>North SomersetThe Abbeyfield Society</t>
  </si>
  <si>
    <t>North SomersetThe Guinness Partnership Limited</t>
  </si>
  <si>
    <t>North SomersetWaythrough</t>
  </si>
  <si>
    <t>North SomersetWestmoreland Supported Housing Limited</t>
  </si>
  <si>
    <t>North SomersetWillow Tree Housing Partnership Limited</t>
  </si>
  <si>
    <t>North TynesideAnchor Hanover Group</t>
  </si>
  <si>
    <t>North TynesideArpeggio Properties Limited</t>
  </si>
  <si>
    <t>North TynesideBernicia Group</t>
  </si>
  <si>
    <t>North TynesideBespoke Supportive Tenancies Ltd</t>
  </si>
  <si>
    <t>North TynesideCastles &amp; Coasts Housing Association Limited</t>
  </si>
  <si>
    <t>North TynesideCreative Support Limited</t>
  </si>
  <si>
    <t>North TynesideDepaul Housing Services</t>
  </si>
  <si>
    <t>North TynesideDimensions (UK) Limited</t>
  </si>
  <si>
    <t>North TynesideGentoo Group Limited</t>
  </si>
  <si>
    <t>North TynesideHabinteg Housing Association Limited</t>
  </si>
  <si>
    <t>North TynesideHalo Housing Association Limited</t>
  </si>
  <si>
    <t>North TynesideHellens Residential Limited</t>
  </si>
  <si>
    <t>North TynesideHeylo Housing Registered Provider Limited</t>
  </si>
  <si>
    <t>North TynesideHome Group Limited</t>
  </si>
  <si>
    <t>North TynesideHousing 21</t>
  </si>
  <si>
    <t>North TynesideInclusion Housing Community Interest Company</t>
  </si>
  <si>
    <t>North TynesideKarbon Homes Limited</t>
  </si>
  <si>
    <t>North TynesideLondon &amp; Quadrant Housing Trust</t>
  </si>
  <si>
    <t>North TynesideMetropolitan Housing Trust Limited</t>
  </si>
  <si>
    <t>North TynesideNew Walk Property Management CIC</t>
  </si>
  <si>
    <t>North TynesidePlaces for People Homes Limited</t>
  </si>
  <si>
    <t>North TynesidePlaces for People Living+ Limited</t>
  </si>
  <si>
    <t>North TynesideProgress Housing Association Limited</t>
  </si>
  <si>
    <t>North TynesideRailway Housing Association and Benefit Fund</t>
  </si>
  <si>
    <t>North TynesideReside Housing Association Limited</t>
  </si>
  <si>
    <t>North TynesideSanctuary Housing Association</t>
  </si>
  <si>
    <t>North TynesideSquare Building Trust Limited</t>
  </si>
  <si>
    <t>North TynesideTCUK Homes Limited</t>
  </si>
  <si>
    <t>North TynesideThe Riverside Group Limited</t>
  </si>
  <si>
    <t>North TynesideThe Tyne Mariners' Benevolent Institution</t>
  </si>
  <si>
    <t>North TynesideThirteen Housing Group Limited</t>
  </si>
  <si>
    <t>North TynesideTurning Point</t>
  </si>
  <si>
    <t>North TynesideTyne Housing Association Limited</t>
  </si>
  <si>
    <t>North TynesideWaythrough</t>
  </si>
  <si>
    <t>North TynesideYMCA North Tyneside</t>
  </si>
  <si>
    <t>North WarwickshireAdvance Housing and Support Limited</t>
  </si>
  <si>
    <t>North WarwickshireAuckland Home Solutions CIC</t>
  </si>
  <si>
    <t>North WarwickshireCitizen Housing Group Limited</t>
  </si>
  <si>
    <t>North WarwickshireFairplace Homes Ltd</t>
  </si>
  <si>
    <t>North WarwickshireGolden Lane Housing Limited</t>
  </si>
  <si>
    <t>North WarwickshireInclusion Housing Community Interest Company</t>
  </si>
  <si>
    <t>North WarwickshireLegal &amp; General Affordable Homes Limited</t>
  </si>
  <si>
    <t>North WarwickshireMidland Heart Limited</t>
  </si>
  <si>
    <t>North WarwickshireOrbit Group Limited</t>
  </si>
  <si>
    <t>North WarwickshireOrbit Housing Association Limited</t>
  </si>
  <si>
    <t>North WarwickshireParagon Asra Housing Limited</t>
  </si>
  <si>
    <t>North WarwickshirePlaces for People Living+ Limited</t>
  </si>
  <si>
    <t>North WarwickshirePlatform Housing Limited</t>
  </si>
  <si>
    <t>North WarwickshireSage Rented Limited</t>
  </si>
  <si>
    <t>North WarwickshireSouthern Housing</t>
  </si>
  <si>
    <t>North WarwickshireSparrow Shared Ownership Limited</t>
  </si>
  <si>
    <t>North WarwickshireStonewater Limited</t>
  </si>
  <si>
    <t>North WarwickshireTrent &amp; Dove Housing Limited</t>
  </si>
  <si>
    <t>North WarwickshireWarwickshire Rural Housing Association Limited</t>
  </si>
  <si>
    <t>North WarwickshireYardley Great Trust</t>
  </si>
  <si>
    <t>North West LeicestershireAdullam Homes Housing Association Limited</t>
  </si>
  <si>
    <t>North West LeicestershireAdvance Housing and Support Limited</t>
  </si>
  <si>
    <t>North West LeicestershireAmplius Living</t>
  </si>
  <si>
    <t>North West LeicestershireBlue Square Residential Ltd</t>
  </si>
  <si>
    <t>North West LeicestershireEMH Housing and Regeneration Limited</t>
  </si>
  <si>
    <t>North West LeicestershireEnglish Rural Housing Association Limited</t>
  </si>
  <si>
    <t>North West LeicestershireFarmer and Lemmoin-Cannon Charity</t>
  </si>
  <si>
    <t>North West LeicestershireFutures Homescape Limited</t>
  </si>
  <si>
    <t>North West LeicestershireFutures Homeway Limited</t>
  </si>
  <si>
    <t>North West LeicestershireGolden Lane Housing Limited</t>
  </si>
  <si>
    <t>North West LeicestershireHeylo Housing Registered Provider Limited</t>
  </si>
  <si>
    <t>North West LeicestershireHousing 21</t>
  </si>
  <si>
    <t>North West LeicestershireLegal &amp; General Affordable Homes Limited</t>
  </si>
  <si>
    <t>North West LeicestershireM&amp;G UK Shared Ownership Limited</t>
  </si>
  <si>
    <t>North West LeicestershireMidland Heart Limited</t>
  </si>
  <si>
    <t>North West LeicestershireNottingham Community Housing Association Limited</t>
  </si>
  <si>
    <t>North West LeicestershireParagon Asra Housing Limited</t>
  </si>
  <si>
    <t>North West LeicestershirePlaces for People Homes Limited</t>
  </si>
  <si>
    <t>North West LeicestershirePlaces for People Living+ Limited</t>
  </si>
  <si>
    <t>North West LeicestershirePlatform Housing Limited</t>
  </si>
  <si>
    <t>North West LeicestershireProgress Housing Association Limited</t>
  </si>
  <si>
    <t>North West LeicestershireSanctuary Affordable Housing Limited</t>
  </si>
  <si>
    <t>North West LeicestershireSanctuary Housing Association</t>
  </si>
  <si>
    <t>North West LeicestershireStonewater Limited</t>
  </si>
  <si>
    <t>North West LeicestershireThe Exaireo Trust Ltd</t>
  </si>
  <si>
    <t>North West LeicestershireThe Riverside Group Limited</t>
  </si>
  <si>
    <t>North West LeicestershireTrent &amp; Dove Housing Limited</t>
  </si>
  <si>
    <t>North West LeicestershireTrident Housing Association Limited</t>
  </si>
  <si>
    <t>North Yorkshire54 North Homes Limited</t>
  </si>
  <si>
    <t>North YorkshireAccent Housing Limited</t>
  </si>
  <si>
    <t>North YorkshireAnchor Hanover Group</t>
  </si>
  <si>
    <t>North YorkshireBespoke Supportive Tenancies Ltd</t>
  </si>
  <si>
    <t>North YorkshireBeyond Housing Limited</t>
  </si>
  <si>
    <t>North YorkshireBlackburn YMCA</t>
  </si>
  <si>
    <t>North YorkshireBroadacres Housing Association Limited</t>
  </si>
  <si>
    <t>North YorkshireButterfield Homes - Crosshills</t>
  </si>
  <si>
    <t>North YorkshireCastles &amp; Coasts Housing Association Limited</t>
  </si>
  <si>
    <t>North YorkshireChartford Housing Limited</t>
  </si>
  <si>
    <t>North YorkshireChrysalis Supported Association Limited</t>
  </si>
  <si>
    <t>North YorkshireDimensions (UK) Limited</t>
  </si>
  <si>
    <t>North YorkshireEMH Housing and Regeneration Limited</t>
  </si>
  <si>
    <t>North YorkshireEncircle Housing</t>
  </si>
  <si>
    <t>North YorkshireFoundation</t>
  </si>
  <si>
    <t>North YorkshireFrontis Homes Limited</t>
  </si>
  <si>
    <t>North YorkshireGolden Lane Housing Limited</t>
  </si>
  <si>
    <t>North YorkshireHarrogate Flower Fund Homes Limited</t>
  </si>
  <si>
    <t>North YorkshireHarrogate Housing Association Limited</t>
  </si>
  <si>
    <t>North YorkshireHarrogate Neighbours Housing Association Limited</t>
  </si>
  <si>
    <t>North YorkshireHeylo Housing Registered Provider Limited</t>
  </si>
  <si>
    <t>North YorkshireHighstone Housing Association Limited</t>
  </si>
  <si>
    <t>North YorkshireHilldale Housing Association Limited</t>
  </si>
  <si>
    <t>North YorkshireHome Group Limited</t>
  </si>
  <si>
    <t>North YorkshireHousing 21</t>
  </si>
  <si>
    <t>North YorkshireInclusion Housing Community Interest Company</t>
  </si>
  <si>
    <t>North YorkshireIncommunities Limited</t>
  </si>
  <si>
    <t>North YorkshireJigsaw Homes North</t>
  </si>
  <si>
    <t>North YorkshireJohn Pease Cottages</t>
  </si>
  <si>
    <t>North YorkshireJoseph Rowntree Housing Trust</t>
  </si>
  <si>
    <t>North YorkshireKarbon Homes Limited</t>
  </si>
  <si>
    <t>North YorkshireLady Lumley's Almshouses</t>
  </si>
  <si>
    <t>North YorkshireLeeds Federated Housing Association Limited</t>
  </si>
  <si>
    <t>North YorkshireLune Valley Rural Housing Association Limited</t>
  </si>
  <si>
    <t>North YorkshireManningham Housing Association Limited</t>
  </si>
  <si>
    <t>North YorkshireMuir Group Housing Association Limited</t>
  </si>
  <si>
    <t>North YorkshireNew Foundations Housing Association Limited</t>
  </si>
  <si>
    <t>North YorkshireNorth Star Housing Group</t>
  </si>
  <si>
    <t>North YorkshirePlaces for People Homes Limited</t>
  </si>
  <si>
    <t>North YorkshireProgress Housing Association Limited</t>
  </si>
  <si>
    <t>North YorkshireRailway Housing Association and Benefit Fund</t>
  </si>
  <si>
    <t>North YorkshireRentplus Homes Limited</t>
  </si>
  <si>
    <t>North YorkshireRipon Municipal Charity</t>
  </si>
  <si>
    <t>North YorkshireRipon YMCA</t>
  </si>
  <si>
    <t>North YorkshireRoger's Almshouses</t>
  </si>
  <si>
    <t>North YorkshireSage Homes RP Limited</t>
  </si>
  <si>
    <t>North YorkshireSage Rented Limited</t>
  </si>
  <si>
    <t>North YorkshireSanctuary Affordable Housing Limited</t>
  </si>
  <si>
    <t>North YorkshireSanctuary Housing Association</t>
  </si>
  <si>
    <t>North YorkshireSouth Lakes Housing</t>
  </si>
  <si>
    <t>North YorkshireSouth Yorkshire Housing Association Limited</t>
  </si>
  <si>
    <t>North YorkshireSt Anne's Community Services</t>
  </si>
  <si>
    <t>North YorkshireStonewater Limited</t>
  </si>
  <si>
    <t>North YorkshireThe Abbeyfield (Ripon and District) Society Limited</t>
  </si>
  <si>
    <t>North YorkshireThe Abbeyfield Society</t>
  </si>
  <si>
    <t>North YorkshireThe Abbeyfield Thirsk &amp; Sowerby Society Limited</t>
  </si>
  <si>
    <t>North YorkshireThe Guinness Partnership Limited</t>
  </si>
  <si>
    <t>North YorkshireThe Harcourt Almshouse Charities</t>
  </si>
  <si>
    <t>North YorkshireThe Hospital of Reverend William James</t>
  </si>
  <si>
    <t>North YorkshireThe Riverside Group Limited</t>
  </si>
  <si>
    <t>North YorkshireThirteen Housing Group Limited</t>
  </si>
  <si>
    <t>North YorkshireTogether Housing Association Limited</t>
  </si>
  <si>
    <t>North YorkshireVico Homes Limited</t>
  </si>
  <si>
    <t>North YorkshireWaythrough</t>
  </si>
  <si>
    <t>North YorkshireWestmoreland Supported Housing Limited</t>
  </si>
  <si>
    <t>North YorkshireWhitby Merchant Seamen's Hospital Houses</t>
  </si>
  <si>
    <t>North YorkshireYorkshire Housing Limited</t>
  </si>
  <si>
    <t>North YorkshireYour Housing Limited</t>
  </si>
  <si>
    <t>NorthumberlandAbbeyfield Northumbria</t>
  </si>
  <si>
    <t>NorthumberlandAdvance Housing and Support Limited</t>
  </si>
  <si>
    <t>NorthumberlandAnchor Hanover Group</t>
  </si>
  <si>
    <t>NorthumberlandArpeggio Properties Limited</t>
  </si>
  <si>
    <t>NorthumberlandAuckland Home Solutions CIC</t>
  </si>
  <si>
    <t>NorthumberlandBen-Motor and Allied Trades Benevolent Fund</t>
  </si>
  <si>
    <t>NorthumberlandBernicia Group</t>
  </si>
  <si>
    <t>NorthumberlandBespoke Supportive Tenancies Ltd</t>
  </si>
  <si>
    <t>NorthumberlandBomarsund Housing Co-operative Limited</t>
  </si>
  <si>
    <t>NorthumberlandCastles &amp; Coasts Housing Association Limited</t>
  </si>
  <si>
    <t>NorthumberlandDimensions (UK) Limited</t>
  </si>
  <si>
    <t>NorthumberlandEarsdon, Newburn and Shilbottle Almshouse Charity</t>
  </si>
  <si>
    <t>NorthumberlandGentoo Group Limited</t>
  </si>
  <si>
    <t>NorthumberlandGolden Lane Housing Limited</t>
  </si>
  <si>
    <t>NorthumberlandHalo Housing Association Limited</t>
  </si>
  <si>
    <t>NorthumberlandHellens Residential Limited</t>
  </si>
  <si>
    <t>NorthumberlandHeylo Housing Registered Provider Limited</t>
  </si>
  <si>
    <t>NorthumberlandHirst Housing Co-operative Limited</t>
  </si>
  <si>
    <t>NorthumberlandHome Group Limited</t>
  </si>
  <si>
    <t>NorthumberlandHousing 21</t>
  </si>
  <si>
    <t>NorthumberlandInclusion Housing Community Interest Company</t>
  </si>
  <si>
    <t>NorthumberlandKarbon Homes Limited</t>
  </si>
  <si>
    <t>NorthumberlandNew Foundations Housing Association Limited</t>
  </si>
  <si>
    <t>NorthumberlandNew Walk Property Management CIC</t>
  </si>
  <si>
    <t>NorthumberlandPlaces for People Homes Limited</t>
  </si>
  <si>
    <t>NorthumberlandPlaces for People Living+ Limited</t>
  </si>
  <si>
    <t>NorthumberlandRailway Housing Association and Benefit Fund</t>
  </si>
  <si>
    <t>NorthumberlandReSI Homes Limited</t>
  </si>
  <si>
    <t>NorthumberlandRentplus Homes Limited</t>
  </si>
  <si>
    <t>NorthumberlandReside Housing Association Limited</t>
  </si>
  <si>
    <t>NorthumberlandSage Homes RP Limited</t>
  </si>
  <si>
    <t>NorthumberlandSage Rented Limited</t>
  </si>
  <si>
    <t>NorthumberlandSanctuary Housing Association</t>
  </si>
  <si>
    <t>NorthumberlandTCUK Homes Limited</t>
  </si>
  <si>
    <t>NorthumberlandThe Abbeyfield Society</t>
  </si>
  <si>
    <t>NorthumberlandThe Fairoak Housing Association</t>
  </si>
  <si>
    <t>NorthumberlandThe Glendale Gateway Trust</t>
  </si>
  <si>
    <t>NorthumberlandThe Hunter Memorial Homes Trust</t>
  </si>
  <si>
    <t>NorthumberlandThe Riverside Group Limited</t>
  </si>
  <si>
    <t>NorthumberlandThirteen Housing Group Limited</t>
  </si>
  <si>
    <t>NorthumberlandTurning Point</t>
  </si>
  <si>
    <t>NorthumberlandTyne Housing Association Limited</t>
  </si>
  <si>
    <t>NorthumberlandWestmoreland Supported Housing Limited</t>
  </si>
  <si>
    <t>NorwichAnchor Hanover Group</t>
  </si>
  <si>
    <t>NorwichBroadland Housing Association Limited</t>
  </si>
  <si>
    <t>NorwichClarion Housing Association Limited</t>
  </si>
  <si>
    <t>NorwichCo-op Homes (South) Limited</t>
  </si>
  <si>
    <t>NorwichCorton House Limited</t>
  </si>
  <si>
    <t>NorwichDimensions (UK) Limited</t>
  </si>
  <si>
    <t>NorwichFlagship Housing Limited</t>
  </si>
  <si>
    <t>NorwichGolden Lane Housing Limited</t>
  </si>
  <si>
    <t>NorwichGreat Hospital</t>
  </si>
  <si>
    <t>NorwichHabinteg Housing Association Limited</t>
  </si>
  <si>
    <t>NorwichHome Group Limited</t>
  </si>
  <si>
    <t>NorwichHousing 21</t>
  </si>
  <si>
    <t>NorwichLondon &amp; Quadrant Housing Trust</t>
  </si>
  <si>
    <t>NorwichMoat Homes Limited</t>
  </si>
  <si>
    <t>NorwichNorwich Consolidated Charities</t>
  </si>
  <si>
    <t>NorwichNorwich Housing Society Limited</t>
  </si>
  <si>
    <t>NorwichOrbit Group Limited</t>
  </si>
  <si>
    <t>NorwichOrbit Housing Association Limited</t>
  </si>
  <si>
    <t>NorwichOrwell Housing Association Limited</t>
  </si>
  <si>
    <t>NorwichPlaces for People Homes Limited</t>
  </si>
  <si>
    <t>NorwichPlaces for People Living+ Limited</t>
  </si>
  <si>
    <t>NorwichReside Housing Association Limited</t>
  </si>
  <si>
    <t>NorwichRotary House For The Deaf Limited</t>
  </si>
  <si>
    <t>NorwichSaffron Housing Trust Limited</t>
  </si>
  <si>
    <t>NorwichSanctuary Affordable Housing Limited</t>
  </si>
  <si>
    <t>NorwichSouthern Housing</t>
  </si>
  <si>
    <t>NorwichStonewater Limited</t>
  </si>
  <si>
    <t>NorwichThe Guinness Partnership Limited</t>
  </si>
  <si>
    <t>NorwichThe Stuart Court Memorial Charity</t>
  </si>
  <si>
    <t>NorwichYMCA Norfolk</t>
  </si>
  <si>
    <t>Norwichbpha Limited</t>
  </si>
  <si>
    <t>NottinghamAccent Housing Limited</t>
  </si>
  <si>
    <t>NottinghamAdvance Housing and Support Limited</t>
  </si>
  <si>
    <t>NottinghamAmplius Living</t>
  </si>
  <si>
    <t>NottinghamAnchor Hanover Group</t>
  </si>
  <si>
    <t>NottinghamAuckland Home Solutions CIC</t>
  </si>
  <si>
    <t>NottinghamBespoke Supportive Tenancies Ltd</t>
  </si>
  <si>
    <t>NottinghamCare Housing Association Limited</t>
  </si>
  <si>
    <t>NottinghamChrysalis Supported Association Limited</t>
  </si>
  <si>
    <t>NottinghamEMH Housing and Regeneration Limited</t>
  </si>
  <si>
    <t>NottinghamEncircle Housing</t>
  </si>
  <si>
    <t>NottinghamFalcon Housing Association C.I.C</t>
  </si>
  <si>
    <t>NottinghamFramework Housing Association</t>
  </si>
  <si>
    <t>NottinghamGolden Lane Housing Limited</t>
  </si>
  <si>
    <t>NottinghamHalo Housing Association Limited</t>
  </si>
  <si>
    <t>NottinghamHeylo Housing Registered Provider Limited</t>
  </si>
  <si>
    <t>NottinghamHilldale Housing Association Limited</t>
  </si>
  <si>
    <t>NottinghamHousing 21</t>
  </si>
  <si>
    <t>NottinghamInclusion Housing Community Interest Company</t>
  </si>
  <si>
    <t>NottinghamJigsaw Homes Midlands</t>
  </si>
  <si>
    <t>NottinghamM&amp;G UK Shared Ownership Limited</t>
  </si>
  <si>
    <t>NottinghamMansfield Road (Nottingham) Baptist Housing Association Limited</t>
  </si>
  <si>
    <t>NottinghamMetropolitan Housing Trust Limited</t>
  </si>
  <si>
    <t>NottinghamMidland Heart Limited</t>
  </si>
  <si>
    <t>NottinghamNACRO</t>
  </si>
  <si>
    <t>NottinghamNottingham City Homes Registered Provider Limited</t>
  </si>
  <si>
    <t>NottinghamNottingham Community Housing Association Limited</t>
  </si>
  <si>
    <t>NottinghamParagon Asra Housing Limited</t>
  </si>
  <si>
    <t>NottinghamPartners Foundation Limited</t>
  </si>
  <si>
    <t>NottinghamPlaces for People Homes Limited</t>
  </si>
  <si>
    <t>NottinghamPlaces for People Living+ Limited</t>
  </si>
  <si>
    <t>NottinghamPlatform Housing Limited</t>
  </si>
  <si>
    <t>NottinghamProgress Housing Association Limited</t>
  </si>
  <si>
    <t>NottinghamPurlin Housing Co-operative Limited</t>
  </si>
  <si>
    <t>NottinghamSage Homes RP Limited</t>
  </si>
  <si>
    <t>NottinghamSalvation Army Housing Association</t>
  </si>
  <si>
    <t>NottinghamSanctuary Housing Association</t>
  </si>
  <si>
    <t>NottinghamSovereign Network Group</t>
  </si>
  <si>
    <t>NottinghamStonewater (5) Limited</t>
  </si>
  <si>
    <t>NottinghamStonewater Limited</t>
  </si>
  <si>
    <t>NottinghamThe Abbeyfield Society</t>
  </si>
  <si>
    <t>NottinghamThe ExtraCare Charitable Trust</t>
  </si>
  <si>
    <t>NottinghamThe Guinness Partnership Limited</t>
  </si>
  <si>
    <t>NottinghamThe Riverside Group Limited</t>
  </si>
  <si>
    <t>NottinghamTuntum Housing Association Limited</t>
  </si>
  <si>
    <t>NottinghamWestmoreland Supported Housing Limited</t>
  </si>
  <si>
    <t>NottinghamWilliam Henry Hirst Memorial Homes</t>
  </si>
  <si>
    <t>NottinghamYMCA Robin Hood Group</t>
  </si>
  <si>
    <t>Nuneaton and BedworthAdvance Housing and Support Limited</t>
  </si>
  <si>
    <t>Nuneaton and BedworthAmplius Living</t>
  </si>
  <si>
    <t>Nuneaton and BedworthAnchor Hanover Group</t>
  </si>
  <si>
    <t>Nuneaton and BedworthBespoke Supportive Tenancies Ltd</t>
  </si>
  <si>
    <t>Nuneaton and BedworthBlue Square Residential Ltd</t>
  </si>
  <si>
    <t>Nuneaton and BedworthBromford Housing Association Limited</t>
  </si>
  <si>
    <t>Nuneaton and BedworthCitizen Housing Group Limited</t>
  </si>
  <si>
    <t>Nuneaton and BedworthClarion Housing Association Limited</t>
  </si>
  <si>
    <t>Nuneaton and BedworthEMH Housing and Regeneration Limited</t>
  </si>
  <si>
    <t>Nuneaton and BedworthFairplace Homes Ltd</t>
  </si>
  <si>
    <t>Nuneaton and BedworthFalcon Housing Association C.I.C</t>
  </si>
  <si>
    <t>Nuneaton and BedworthFlint Housing Limited</t>
  </si>
  <si>
    <t>Nuneaton and BedworthGolden Lane Housing Limited</t>
  </si>
  <si>
    <t>Nuneaton and BedworthGreenSquareAccord Limited</t>
  </si>
  <si>
    <t>Nuneaton and BedworthHeylo Housing Registered Provider Limited</t>
  </si>
  <si>
    <t>Nuneaton and BedworthHousing 21</t>
  </si>
  <si>
    <t>Nuneaton and BedworthIKE Supported Housing Limited</t>
  </si>
  <si>
    <t>Nuneaton and BedworthInclusion Housing Community Interest Company</t>
  </si>
  <si>
    <t>Nuneaton and BedworthLegal &amp; General Affordable Homes Limited</t>
  </si>
  <si>
    <t>Nuneaton and BedworthM&amp;G UK Shared Ownership Limited</t>
  </si>
  <si>
    <t>Nuneaton and BedworthMethodist Homes Housing Association Limited</t>
  </si>
  <si>
    <t>Nuneaton and BedworthMidland Heart Limited</t>
  </si>
  <si>
    <t>Nuneaton and BedworthNicholas Chamberlaine's Hospital &amp; Sermon</t>
  </si>
  <si>
    <t>Nuneaton and BedworthOrbit Group Limited</t>
  </si>
  <si>
    <t>Nuneaton and BedworthOrbit Housing Association Limited</t>
  </si>
  <si>
    <t>Nuneaton and BedworthParagon Asra Housing Limited</t>
  </si>
  <si>
    <t>Nuneaton and BedworthPlaces for People Homes Limited</t>
  </si>
  <si>
    <t>Nuneaton and BedworthPlaces for People Living+ Limited</t>
  </si>
  <si>
    <t>Nuneaton and BedworthPlatform Housing Limited</t>
  </si>
  <si>
    <t>Nuneaton and BedworthReside Housing Association Limited</t>
  </si>
  <si>
    <t>Nuneaton and BedworthSage Homes RP Limited</t>
  </si>
  <si>
    <t>Nuneaton and BedworthSage Rented Limited</t>
  </si>
  <si>
    <t>Nuneaton and BedworthSanctuary Housing Association</t>
  </si>
  <si>
    <t>Nuneaton and BedworthSparrow Shared Ownership Limited</t>
  </si>
  <si>
    <t>Nuneaton and BedworthStonewater Limited</t>
  </si>
  <si>
    <t>Nuneaton and BedworthThe Exaireo Trust Ltd</t>
  </si>
  <si>
    <t>Nuneaton and BedworthTrinity Housing Association Limited</t>
  </si>
  <si>
    <t>Nuneaton and BedworthWalsall Housing Group Limited</t>
  </si>
  <si>
    <t>Nuneaton and BedworthWestmoreland Supported Housing Limited</t>
  </si>
  <si>
    <t>Oadby and WigstonAdullam Homes Housing Association Limited</t>
  </si>
  <si>
    <t>Oadby and WigstonAdvance Housing and Support Limited</t>
  </si>
  <si>
    <t>Oadby and WigstonAmplius Living</t>
  </si>
  <si>
    <t>Oadby and WigstonAnchor Hanover Group</t>
  </si>
  <si>
    <t>Oadby and WigstonBethel Housing Association Limited</t>
  </si>
  <si>
    <t>Oadby and WigstonEMH Housing and Regeneration Limited</t>
  </si>
  <si>
    <t>Oadby and WigstonHousing 21</t>
  </si>
  <si>
    <t>Oadby and WigstonInclusion Housing Community Interest Company</t>
  </si>
  <si>
    <t>Oadby and WigstonLegal &amp; General Affordable Homes (AR) LLP</t>
  </si>
  <si>
    <t>Oadby and WigstonLegal &amp; General Affordable Homes Limited</t>
  </si>
  <si>
    <t>Oadby and WigstonMetropolitan Housing Trust Limited</t>
  </si>
  <si>
    <t>Oadby and WigstonMidland Heart Limited</t>
  </si>
  <si>
    <t>Oadby and WigstonNorton Housing and Support Ltd</t>
  </si>
  <si>
    <t>Oadby and WigstonNottingham Community Housing Association Limited</t>
  </si>
  <si>
    <t>Oadby and WigstonParagon Asra Housing Limited</t>
  </si>
  <si>
    <t>Oadby and WigstonPlatform Housing Limited</t>
  </si>
  <si>
    <t>Oadby and WigstonProgress Housing Association Limited</t>
  </si>
  <si>
    <t>Oadby and WigstonSage Homes RP Limited</t>
  </si>
  <si>
    <t>Oadby and WigstonSage Rented Limited</t>
  </si>
  <si>
    <t>Oadby and WigstonStonewater Limited</t>
  </si>
  <si>
    <t>Oadby and WigstonThe North Memorial Homes City of Leicester</t>
  </si>
  <si>
    <t>Oadby and WigstonThe Riverside Group Limited</t>
  </si>
  <si>
    <t>Oadby and WigstonTrinity Housing Association Limited</t>
  </si>
  <si>
    <t>Oadby and WigstonWestmoreland Supported Housing Limited</t>
  </si>
  <si>
    <t>OldhamAnchor Hanover Group</t>
  </si>
  <si>
    <t>OldhamBolton at Home Limited</t>
  </si>
  <si>
    <t>OldhamCromwood Housing Ltd</t>
  </si>
  <si>
    <t>OldhamDepaul Housing Services</t>
  </si>
  <si>
    <t>OldhamEncircle Housing</t>
  </si>
  <si>
    <t>OldhamFirst Choice Homes Oldham Limited</t>
  </si>
  <si>
    <t>OldhamForHousing Limited</t>
  </si>
  <si>
    <t>OldhamGolden Lane Housing Limited</t>
  </si>
  <si>
    <t>OldhamGreat Places Housing Association</t>
  </si>
  <si>
    <t>OldhamHalo Housing Association Limited</t>
  </si>
  <si>
    <t>OldhamHilldale Housing Association Limited</t>
  </si>
  <si>
    <t>OldhamHousing 21</t>
  </si>
  <si>
    <t>OldhamJigsaw Homes North</t>
  </si>
  <si>
    <t>OldhamNew Foundations Housing Association Limited</t>
  </si>
  <si>
    <t>OldhamOnward Homes Limited</t>
  </si>
  <si>
    <t>OldhamPartners Foundation Limited</t>
  </si>
  <si>
    <t>OldhamPlaces for People Homes Limited</t>
  </si>
  <si>
    <t>OldhamPlaces for People Living+ Limited</t>
  </si>
  <si>
    <t>OldhamRegenda Limited</t>
  </si>
  <si>
    <t>OldhamSage Homes RP Limited</t>
  </si>
  <si>
    <t>OldhamSecond Chance Housing Ltd</t>
  </si>
  <si>
    <t>OldhamThe Guinness Partnership Limited</t>
  </si>
  <si>
    <t>OldhamThe Riverside Group Limited</t>
  </si>
  <si>
    <t>OxfordA2Dominion Homes Limited</t>
  </si>
  <si>
    <t>OxfordA2Dominion South Limited</t>
  </si>
  <si>
    <t>OxfordAdvance Housing and Support Limited</t>
  </si>
  <si>
    <t>OxfordAnchor Hanover Group</t>
  </si>
  <si>
    <t>OxfordAuckland Home Solutions CIC</t>
  </si>
  <si>
    <t>OxfordBromford Housing Association Limited</t>
  </si>
  <si>
    <t>OxfordFrontis Homes Limited</t>
  </si>
  <si>
    <t>OxfordGolden Lane Housing Limited</t>
  </si>
  <si>
    <t>OxfordGreenSquareAccord Limited</t>
  </si>
  <si>
    <t>OxfordHastoe Housing Association Limited</t>
  </si>
  <si>
    <t>OxfordHome Group Limited</t>
  </si>
  <si>
    <t>OxfordHousing 21</t>
  </si>
  <si>
    <t>OxfordInclusion Housing Community Interest Company</t>
  </si>
  <si>
    <t>OxfordLegal &amp; General Affordable Homes (AR) LLP</t>
  </si>
  <si>
    <t>OxfordLegal &amp; General Affordable Homes Limited</t>
  </si>
  <si>
    <t>OxfordLife 2009</t>
  </si>
  <si>
    <t>OxfordMetropolitan Housing Trust Limited</t>
  </si>
  <si>
    <t>OxfordOrbit Group Limited</t>
  </si>
  <si>
    <t>OxfordOrbit Housing Association Limited</t>
  </si>
  <si>
    <t>OxfordPeabody Trust</t>
  </si>
  <si>
    <t>OxfordSage Rented Limited</t>
  </si>
  <si>
    <t>OxfordSoha Housing Limited</t>
  </si>
  <si>
    <t>OxfordSovereign Network Group</t>
  </si>
  <si>
    <t>OxfordSparrow Shared Ownership Limited</t>
  </si>
  <si>
    <t>OxfordSt Luke's Housing Society Limited</t>
  </si>
  <si>
    <t>OxfordStonewater Limited</t>
  </si>
  <si>
    <t>OxfordThe Abbeyfield Oxford Society Limited</t>
  </si>
  <si>
    <t>OxfordThe Riverside Group Limited</t>
  </si>
  <si>
    <t>OxfordTurning Point</t>
  </si>
  <si>
    <t>Oxfordbpha Limited</t>
  </si>
  <si>
    <t>PendleAccent Housing Limited</t>
  </si>
  <si>
    <t>PendleAnchor Hanover Group</t>
  </si>
  <si>
    <t>PendleArpeggio Properties Limited</t>
  </si>
  <si>
    <t>PendleBlackburn YMCA</t>
  </si>
  <si>
    <t>PendleCalico Homes Limited</t>
  </si>
  <si>
    <t>PendleCare Housing Association Limited</t>
  </si>
  <si>
    <t>PendleEmpower Housing Association Limited</t>
  </si>
  <si>
    <t>PendleFalcon Housing Association C.I.C</t>
  </si>
  <si>
    <t>PendleGolden Lane Housing Limited</t>
  </si>
  <si>
    <t>PendleGreat Places Housing Association</t>
  </si>
  <si>
    <t>PendleHeylo Housing Registered Provider Limited</t>
  </si>
  <si>
    <t>PendleHousing 21</t>
  </si>
  <si>
    <t>PendleInclusion Housing Community Interest Company</t>
  </si>
  <si>
    <t>PendleIncommunities Limited</t>
  </si>
  <si>
    <t>PendleIrwell Valley Housing Association Limited</t>
  </si>
  <si>
    <t>PendleJigsaw Homes North</t>
  </si>
  <si>
    <t>PendleLondon &amp; Quadrant Housing Trust</t>
  </si>
  <si>
    <t>PendleMosscare St. Vincent's Housing Group Limited</t>
  </si>
  <si>
    <t>PendleMuir Group Housing Association Limited</t>
  </si>
  <si>
    <t>PendlePeter Birtwistle Trust</t>
  </si>
  <si>
    <t>PendlePlaces for People Homes Limited</t>
  </si>
  <si>
    <t>PendlePlaces for People Living+ Limited</t>
  </si>
  <si>
    <t>PendleProgress Housing Association Limited</t>
  </si>
  <si>
    <t>PendleSanctuary Affordable Housing Limited</t>
  </si>
  <si>
    <t>PendleThe Abbeyfield Society</t>
  </si>
  <si>
    <t>PendleTogether Housing Association Limited</t>
  </si>
  <si>
    <t>PendleYorkshire Housing Limited</t>
  </si>
  <si>
    <t>PendleYour Housing Limited</t>
  </si>
  <si>
    <t>PeterboroughAccent Housing Limited</t>
  </si>
  <si>
    <t>PeterboroughAmplius Living</t>
  </si>
  <si>
    <t>PeterboroughAnchor Hanover Group</t>
  </si>
  <si>
    <t>PeterboroughAuckland Home Solutions CIC</t>
  </si>
  <si>
    <t>PeterboroughBespoke Supportive Tenancies Ltd</t>
  </si>
  <si>
    <t>PeterboroughChrysalis Supported Association Limited</t>
  </si>
  <si>
    <t>PeterboroughClarion Housing Association Limited</t>
  </si>
  <si>
    <t>PeterboroughCross Keys Homes Limited</t>
  </si>
  <si>
    <t>PeterboroughFalcon Housing Association C.I.C</t>
  </si>
  <si>
    <t>PeterboroughFirst Priority Housing Association Limited</t>
  </si>
  <si>
    <t>PeterboroughFutures Homescape Limited</t>
  </si>
  <si>
    <t>PeterboroughGolden Lane Housing Limited</t>
  </si>
  <si>
    <t>PeterboroughHabinteg Housing Association Limited</t>
  </si>
  <si>
    <t>PeterboroughHeylo Housing Registered Provider Limited</t>
  </si>
  <si>
    <t>PeterboroughHome Group Limited</t>
  </si>
  <si>
    <t>PeterboroughHousing 21</t>
  </si>
  <si>
    <t>PeterboroughHundred Houses Society Limited</t>
  </si>
  <si>
    <t>PeterboroughHyde Housing Association Limited</t>
  </si>
  <si>
    <t>PeterboroughIMPAKT Housing &amp; Support Ltd</t>
  </si>
  <si>
    <t>PeterboroughInclusion Housing Community Interest Company</t>
  </si>
  <si>
    <t>PeterboroughLondon &amp; Quadrant Housing Trust</t>
  </si>
  <si>
    <t>PeterboroughMuir Group Housing Association Limited</t>
  </si>
  <si>
    <t>PeterboroughNewarch Homes Limited</t>
  </si>
  <si>
    <t>PeterboroughPlaces for People Homes Limited</t>
  </si>
  <si>
    <t>PeterboroughPlaces for People Living+ Limited</t>
  </si>
  <si>
    <t>PeterboroughPlatform Housing Limited</t>
  </si>
  <si>
    <t>PeterboroughSaffron Housing Trust Limited</t>
  </si>
  <si>
    <t>PeterboroughSage Homes RP Limited</t>
  </si>
  <si>
    <t>PeterboroughSage Rented Limited</t>
  </si>
  <si>
    <t>PeterboroughSparrow Shared Ownership Limited</t>
  </si>
  <si>
    <t>PeterboroughStonewater Limited</t>
  </si>
  <si>
    <t>PeterboroughTBG Open Door Limited</t>
  </si>
  <si>
    <t>PeterboroughThe Guinness Partnership Limited</t>
  </si>
  <si>
    <t>PeterboroughThe Papworth Trust</t>
  </si>
  <si>
    <t>PeterboroughWestmoreland Supported Housing Limited</t>
  </si>
  <si>
    <t>PeterboroughWindrush Alliance UK Community Interest Company</t>
  </si>
  <si>
    <t>PeterboroughYMCA Trinity Group</t>
  </si>
  <si>
    <t>Peterboroughbpha Limited</t>
  </si>
  <si>
    <t>PlymouthAdvance Housing and Support Limited</t>
  </si>
  <si>
    <t>PlymouthAnchor Hanover Group</t>
  </si>
  <si>
    <t>PlymouthAster Communities</t>
  </si>
  <si>
    <t>PlymouthBournemouth Churches Housing Association Limited</t>
  </si>
  <si>
    <t>PlymouthCity of Exeter YMCA</t>
  </si>
  <si>
    <t>PlymouthClarion Housing Association Limited</t>
  </si>
  <si>
    <t>PlymouthDame Bertha Lopes Almshouses</t>
  </si>
  <si>
    <t>PlymouthEncircle Housing</t>
  </si>
  <si>
    <t>PlymouthGolden Lane Housing Limited</t>
  </si>
  <si>
    <t>PlymouthHastoe Housing Association Limited</t>
  </si>
  <si>
    <t>PlymouthHeylo Housing Registered Provider Limited</t>
  </si>
  <si>
    <t>PlymouthHousing 21</t>
  </si>
  <si>
    <t>PlymouthLets for Life</t>
  </si>
  <si>
    <t>PlymouthLiveWest Homes Limited</t>
  </si>
  <si>
    <t>PlymouthMoat Homes Limited</t>
  </si>
  <si>
    <t>PlymouthMunicipal Charities</t>
  </si>
  <si>
    <t>PlymouthPlaces for People Homes Limited</t>
  </si>
  <si>
    <t>PlymouthPlaces for People Living+ Limited</t>
  </si>
  <si>
    <t>PlymouthPlymouth Charity Trust</t>
  </si>
  <si>
    <t>PlymouthPlymouth Community Homes Limited</t>
  </si>
  <si>
    <t>PlymouthSage Homes RP Limited</t>
  </si>
  <si>
    <t>PlymouthSalvation Army Housing Association</t>
  </si>
  <si>
    <t>PlymouthSanctuary Affordable Housing Limited</t>
  </si>
  <si>
    <t>PlymouthSanctuary Housing Association</t>
  </si>
  <si>
    <t>PlymouthSovereign Network Group</t>
  </si>
  <si>
    <t>PlymouthSynergy Housing Limited</t>
  </si>
  <si>
    <t>PlymouthThe Guinness Partnership Limited</t>
  </si>
  <si>
    <t>PlymouthTown and Country Housing</t>
  </si>
  <si>
    <t>PlymouthWestward Housing Group Limited</t>
  </si>
  <si>
    <t>PlymouthWillow Tree Housing Partnership Limited</t>
  </si>
  <si>
    <t>PortsmouthAbri Group Limited</t>
  </si>
  <si>
    <t>PortsmouthAdvance Housing and Support Limited</t>
  </si>
  <si>
    <t>PortsmouthAgamemnon Housing Association Limited</t>
  </si>
  <si>
    <t>PortsmouthAnchor Hanover Group</t>
  </si>
  <si>
    <t>PortsmouthBespoke Supportive Tenancies Ltd</t>
  </si>
  <si>
    <t>PortsmouthBirnbeck Housing Association Limited</t>
  </si>
  <si>
    <t>PortsmouthBournemouth Churches Housing Association Limited</t>
  </si>
  <si>
    <t>PortsmouthChurch of England Soldiers' Sailors' and Airmen's Housing Association Limited</t>
  </si>
  <si>
    <t>PortsmouthClarion Housing Association Limited</t>
  </si>
  <si>
    <t>PortsmouthElm Trees Retirement Living Limited</t>
  </si>
  <si>
    <t>PortsmouthGolden Lane Housing Limited</t>
  </si>
  <si>
    <t>PortsmouthHabinteg Housing Association Limited</t>
  </si>
  <si>
    <t>PortsmouthHavant Housing Association Limited</t>
  </si>
  <si>
    <t>PortsmouthHeylo Housing Registered Provider Limited</t>
  </si>
  <si>
    <t>PortsmouthHome Group Limited</t>
  </si>
  <si>
    <t>PortsmouthHousing 21</t>
  </si>
  <si>
    <t>PortsmouthHyde Housing Association Limited</t>
  </si>
  <si>
    <t>PortsmouthMartlet Homes Limited</t>
  </si>
  <si>
    <t>PortsmouthMoat Homes Limited</t>
  </si>
  <si>
    <t>PortsmouthPlaces for People Homes Limited</t>
  </si>
  <si>
    <t>PortsmouthPortsmouth Churches Housing Association Limited</t>
  </si>
  <si>
    <t>PortsmouthPortsmouth Rotary Housing Association Limited</t>
  </si>
  <si>
    <t>PortsmouthSalvation Army Housing Association</t>
  </si>
  <si>
    <t>PortsmouthSanctuary Housing Association</t>
  </si>
  <si>
    <t>PortsmouthSouthern Housing</t>
  </si>
  <si>
    <t>PortsmouthSouthsea Self Help Housing Limited</t>
  </si>
  <si>
    <t>PortsmouthSovereign Network Group</t>
  </si>
  <si>
    <t>PortsmouthStonewater Limited</t>
  </si>
  <si>
    <t>PortsmouthThe Guinness Partnership Limited</t>
  </si>
  <si>
    <t>PortsmouthThe Lord Mayor of Portsmouth's Coronation Homes</t>
  </si>
  <si>
    <t>PortsmouthThe Society of St James</t>
  </si>
  <si>
    <t>PortsmouthThe Swaythling Housing Society Limited</t>
  </si>
  <si>
    <t>PortsmouthTwo Saints Limited</t>
  </si>
  <si>
    <t>PortsmouthVivid Housing Limited</t>
  </si>
  <si>
    <t>PortsmouthWestmoreland Supported Housing Limited</t>
  </si>
  <si>
    <t>PrestonAccent Housing Limited</t>
  </si>
  <si>
    <t>PrestonAnchor Hanover Group</t>
  </si>
  <si>
    <t>PrestonArpeggio Properties Limited</t>
  </si>
  <si>
    <t>PrestonAssured Living Housing Association Limited</t>
  </si>
  <si>
    <t>PrestonAuxesia Homes Limited</t>
  </si>
  <si>
    <t>PrestonBespoke Supportive Tenancies Ltd</t>
  </si>
  <si>
    <t>PrestonBolton at Home Limited</t>
  </si>
  <si>
    <t>PrestonCalico Homes Limited</t>
  </si>
  <si>
    <t>PrestonCare Housing Association Limited</t>
  </si>
  <si>
    <t>PrestonCommunity Gateway Association Limited</t>
  </si>
  <si>
    <t>PrestonCreative Support Limited</t>
  </si>
  <si>
    <t>PrestonEmpower Housing Association Limited</t>
  </si>
  <si>
    <t>PrestonEncircle Housing</t>
  </si>
  <si>
    <t>PrestonGolden Lane Housing Limited</t>
  </si>
  <si>
    <t>PrestonGreat Places Housing Association</t>
  </si>
  <si>
    <t>PrestonHalo Housing Association Limited</t>
  </si>
  <si>
    <t>PrestonHeylo Housing Registered Provider Limited</t>
  </si>
  <si>
    <t>PrestonHilldale Housing Association Limited</t>
  </si>
  <si>
    <t>PrestonHousing 21</t>
  </si>
  <si>
    <t>PrestonInclusion Housing Community Interest Company</t>
  </si>
  <si>
    <t>PrestonJigsaw Homes North</t>
  </si>
  <si>
    <t>PrestonLegal &amp; General Affordable Homes Limited</t>
  </si>
  <si>
    <t>PrestonLondon &amp; Quadrant Housing Trust</t>
  </si>
  <si>
    <t>PrestonNew Foundations Housing Association Limited</t>
  </si>
  <si>
    <t>PrestonOne Vision Housing Limited</t>
  </si>
  <si>
    <t>PrestonOnward Homes Limited</t>
  </si>
  <si>
    <t>PrestonPhoenix House</t>
  </si>
  <si>
    <t>PrestonPlaces for People Homes Limited</t>
  </si>
  <si>
    <t>PrestonPlaces for People Living+ Limited</t>
  </si>
  <si>
    <t>PrestonProgress Housing Association Limited</t>
  </si>
  <si>
    <t>PrestonRegenda Limited</t>
  </si>
  <si>
    <t>PrestonSage Homes RP Limited</t>
  </si>
  <si>
    <t>PrestonSage Rented Limited</t>
  </si>
  <si>
    <t>PrestonSalvation Army Housing Association</t>
  </si>
  <si>
    <t>PrestonSparrow Shared Ownership Limited</t>
  </si>
  <si>
    <t>PrestonTogether Housing Association Limited</t>
  </si>
  <si>
    <t>PrestonYour Housing Limited</t>
  </si>
  <si>
    <t>ReadingA2Dominion Homes Limited</t>
  </si>
  <si>
    <t>ReadingA2Dominion Housing Options Limited</t>
  </si>
  <si>
    <t>ReadingA2Dominion South Limited</t>
  </si>
  <si>
    <t>ReadingAbility Housing Association</t>
  </si>
  <si>
    <t>ReadingAbri Group Limited</t>
  </si>
  <si>
    <t>ReadingAdvance Housing and Support Limited</t>
  </si>
  <si>
    <t>ReadingAnchor Hanover Group</t>
  </si>
  <si>
    <t>ReadingBespoke Supportive Tenancies Ltd</t>
  </si>
  <si>
    <t>ReadingClarion Housing Association Limited</t>
  </si>
  <si>
    <t>ReadingCo-op Homes (South) Limited</t>
  </si>
  <si>
    <t>ReadingCreative Support Limited</t>
  </si>
  <si>
    <t>ReadingDimensions (UK) Limited</t>
  </si>
  <si>
    <t>ReadingHeylo Housing Registered Provider Limited</t>
  </si>
  <si>
    <t>ReadingHome Group Limited</t>
  </si>
  <si>
    <t>ReadingHousing Solutions</t>
  </si>
  <si>
    <t>ReadingInclusion Housing Community Interest Company</t>
  </si>
  <si>
    <t>ReadingLondon &amp; Quadrant Housing Trust</t>
  </si>
  <si>
    <t>ReadingMalins Affordable Homes Limited</t>
  </si>
  <si>
    <t>ReadingMetropolitan Housing Trust Limited</t>
  </si>
  <si>
    <t>ReadingMuir Group Housing Association Limited</t>
  </si>
  <si>
    <t>ReadingOrts Road Housing Co-operative Limited</t>
  </si>
  <si>
    <t>ReadingParagon Asra Housing Limited</t>
  </si>
  <si>
    <t>ReadingPeabody Trust</t>
  </si>
  <si>
    <t>ReadingPlaces for People Homes Limited</t>
  </si>
  <si>
    <t>ReadingReading YMCA</t>
  </si>
  <si>
    <t>ReadingSage Homes RP Limited</t>
  </si>
  <si>
    <t>ReadingSage Rented Limited</t>
  </si>
  <si>
    <t>ReadingSalvation Army Housing Association</t>
  </si>
  <si>
    <t>ReadingSanctuary Housing Association</t>
  </si>
  <si>
    <t>ReadingSoha Housing Limited</t>
  </si>
  <si>
    <t>ReadingSouthern Housing</t>
  </si>
  <si>
    <t>ReadingSovereign Network Group</t>
  </si>
  <si>
    <t>ReadingStonewater Limited</t>
  </si>
  <si>
    <t>ReadingThe Swaythling Housing Society Limited</t>
  </si>
  <si>
    <t>ReadingTrinity Housing Association Limited</t>
  </si>
  <si>
    <t>ReadingVivid Housing Limited</t>
  </si>
  <si>
    <t>RedbridgeAdvance Housing and Support Limited</t>
  </si>
  <si>
    <t>RedbridgeAnchor Hanover Group</t>
  </si>
  <si>
    <t>RedbridgeCentrepoint Soho</t>
  </si>
  <si>
    <t>RedbridgeClarion Housing Association Limited</t>
  </si>
  <si>
    <t>RedbridgeCromwood Housing Ltd</t>
  </si>
  <si>
    <t>RedbridgeEstuary Housing Association Limited</t>
  </si>
  <si>
    <t>RedbridgeForest Housing Association Limited</t>
  </si>
  <si>
    <t>RedbridgeGolden Lane Housing Limited</t>
  </si>
  <si>
    <t>RedbridgeHabinteg Housing Association Limited</t>
  </si>
  <si>
    <t>RedbridgeHeylo Housing Registered Provider Limited</t>
  </si>
  <si>
    <t>RedbridgeHome Group Limited</t>
  </si>
  <si>
    <t>RedbridgeHomesdale (Woodford Baptist Homes) Limited</t>
  </si>
  <si>
    <t>RedbridgeHousing 21</t>
  </si>
  <si>
    <t>RedbridgeLocal Space</t>
  </si>
  <si>
    <t>RedbridgeLondon &amp; Quadrant Housing Trust</t>
  </si>
  <si>
    <t>RedbridgeLook Ahead Care and Support Limited</t>
  </si>
  <si>
    <t>RedbridgeMajor Housing Association Limited</t>
  </si>
  <si>
    <t>RedbridgeMetropolitan Housing Trust Limited</t>
  </si>
  <si>
    <t>RedbridgeNewlon Housing Trust</t>
  </si>
  <si>
    <t>RedbridgeNotting Hill Genesis</t>
  </si>
  <si>
    <t>RedbridgeNotting Hill Home Ownership Limited</t>
  </si>
  <si>
    <t>RedbridgeOrbit Group Limited</t>
  </si>
  <si>
    <t>RedbridgeOrigin Housing Limited</t>
  </si>
  <si>
    <t>RedbridgeParagon Asra Housing Limited</t>
  </si>
  <si>
    <t>RedbridgePeabody Trust</t>
  </si>
  <si>
    <t>RedbridgePlaces for People Homes Limited</t>
  </si>
  <si>
    <t>RedbridgePlaces for People Living+ Limited</t>
  </si>
  <si>
    <t>RedbridgeReSI Homes Limited</t>
  </si>
  <si>
    <t>RedbridgeSage Homes RP Limited</t>
  </si>
  <si>
    <t>RedbridgeSanctuary Housing Association</t>
  </si>
  <si>
    <t>RedbridgeSouthern Housing</t>
  </si>
  <si>
    <t>RedbridgeSovereign Network Group</t>
  </si>
  <si>
    <t>RedbridgeSwan Housing Association Limited</t>
  </si>
  <si>
    <t>RedbridgeThe Guinness Partnership Limited</t>
  </si>
  <si>
    <t>RedbridgeThe Industrial Dwellings Society (1885) Limited</t>
  </si>
  <si>
    <t>RedbridgeThe Riverside Group Limited</t>
  </si>
  <si>
    <t>Redcar and ClevelandAccent Housing Limited</t>
  </si>
  <si>
    <t>Redcar and ClevelandAnchor Hanover Group</t>
  </si>
  <si>
    <t>Redcar and ClevelandBernicia Group</t>
  </si>
  <si>
    <t>Redcar and ClevelandBespoke Supportive Tenancies Ltd</t>
  </si>
  <si>
    <t>Redcar and ClevelandBeyond Housing Limited</t>
  </si>
  <si>
    <t>Redcar and ClevelandBroadacres Housing Association Limited</t>
  </si>
  <si>
    <t>Redcar and ClevelandCreative Support Limited</t>
  </si>
  <si>
    <t>Redcar and ClevelandDimensions (UK) Limited</t>
  </si>
  <si>
    <t>Redcar and ClevelandEncircle Housing</t>
  </si>
  <si>
    <t>Redcar and ClevelandGentoo Group Limited</t>
  </si>
  <si>
    <t>Redcar and ClevelandGolden Lane Housing Limited</t>
  </si>
  <si>
    <t>Redcar and ClevelandHeylo Housing Registered Provider Limited</t>
  </si>
  <si>
    <t>Redcar and ClevelandHilldale Housing Association Limited</t>
  </si>
  <si>
    <t>Redcar and ClevelandHome Group Limited</t>
  </si>
  <si>
    <t>Redcar and ClevelandHousing 21</t>
  </si>
  <si>
    <t>Redcar and ClevelandInclusion Housing Community Interest Company</t>
  </si>
  <si>
    <t>Redcar and ClevelandKarbon Homes Limited</t>
  </si>
  <si>
    <t>Redcar and ClevelandLondon &amp; Quadrant Housing Trust</t>
  </si>
  <si>
    <t>Redcar and ClevelandNorth Star Housing Group</t>
  </si>
  <si>
    <t>Redcar and ClevelandPartners Foundation Limited</t>
  </si>
  <si>
    <t>Redcar and ClevelandPlaces for People Homes Limited</t>
  </si>
  <si>
    <t>Redcar and ClevelandProgress Housing Association Limited</t>
  </si>
  <si>
    <t>Redcar and ClevelandRailway Housing Association and Benefit Fund</t>
  </si>
  <si>
    <t>Redcar and ClevelandSage Homes RP Limited</t>
  </si>
  <si>
    <t>Redcar and ClevelandSir William Turner's Hospital</t>
  </si>
  <si>
    <t>Redcar and ClevelandThe Riverside Group Limited</t>
  </si>
  <si>
    <t>Redcar and ClevelandThirteen Housing Group Limited</t>
  </si>
  <si>
    <t>Redcar and ClevelandWaythrough</t>
  </si>
  <si>
    <t>RedditchAdvance Housing and Support Limited</t>
  </si>
  <si>
    <t>RedditchAnchor Hanover Group</t>
  </si>
  <si>
    <t>RedditchBromford Housing Association Limited</t>
  </si>
  <si>
    <t>RedditchBromsgrove District Housing Trust Limited</t>
  </si>
  <si>
    <t>RedditchCitizen Housing Group Limited</t>
  </si>
  <si>
    <t>RedditchDimensions (UK) Limited</t>
  </si>
  <si>
    <t>RedditchEncircle Housing</t>
  </si>
  <si>
    <t>RedditchGreenSquareAccord Limited</t>
  </si>
  <si>
    <t>RedditchHalo Housing Association Limited</t>
  </si>
  <si>
    <t>RedditchHeylo Housing Registered Provider Limited</t>
  </si>
  <si>
    <t>RedditchHousing 21</t>
  </si>
  <si>
    <t>RedditchInclusion Housing Community Interest Company</t>
  </si>
  <si>
    <t>RedditchMidland Heart Limited</t>
  </si>
  <si>
    <t>RedditchNew Outlook Housing Association Limited</t>
  </si>
  <si>
    <t>RedditchOrbit Housing Association Limited</t>
  </si>
  <si>
    <t>RedditchPlatform Housing Limited</t>
  </si>
  <si>
    <t>RedditchRooftop Housing Association Limited</t>
  </si>
  <si>
    <t>RedditchSanctuary Affordable Housing Limited</t>
  </si>
  <si>
    <t>RedditchSanctuary Housing Association</t>
  </si>
  <si>
    <t>RedditchStonewater Limited</t>
  </si>
  <si>
    <t>RedditchTrident Housing Association Limited</t>
  </si>
  <si>
    <t>RedditchWalsall Housing Group Limited</t>
  </si>
  <si>
    <t>RedditchWorcestershire YMCA Limited</t>
  </si>
  <si>
    <t>Reigate and BansteadA2Dominion Housing Options Limited</t>
  </si>
  <si>
    <t>Reigate and BansteadA2Dominion South Limited</t>
  </si>
  <si>
    <t>Reigate and BansteadAccent Housing Limited</t>
  </si>
  <si>
    <t>Reigate and BansteadAdvance Housing and Support Limited</t>
  </si>
  <si>
    <t>Reigate and BansteadAnchor Hanover Group</t>
  </si>
  <si>
    <t>Reigate and BansteadAuckland Home Solutions CIC</t>
  </si>
  <si>
    <t>Reigate and BansteadBespoke Supportive Tenancies Ltd</t>
  </si>
  <si>
    <t>Reigate and BansteadGolden Lane Housing Limited</t>
  </si>
  <si>
    <t>Reigate and BansteadHeylo Housing Registered Provider Limited</t>
  </si>
  <si>
    <t>Reigate and BansteadHilldale Housing Association Limited</t>
  </si>
  <si>
    <t>Reigate and BansteadHome Group Limited</t>
  </si>
  <si>
    <t>Reigate and BansteadHousing 21</t>
  </si>
  <si>
    <t>Reigate and BansteadHyde Housing Association Limited</t>
  </si>
  <si>
    <t>Reigate and BansteadInclusion Housing Community Interest Company</t>
  </si>
  <si>
    <t>Reigate and BansteadLegal &amp; General Affordable Homes Limited</t>
  </si>
  <si>
    <t>Reigate and BansteadLondon &amp; Quadrant Housing Trust</t>
  </si>
  <si>
    <t>Reigate and BansteadM&amp;G UK Shared Ownership Limited</t>
  </si>
  <si>
    <t>Reigate and BansteadMetropolitan Housing Trust Limited</t>
  </si>
  <si>
    <t>Reigate and BansteadMoat Homes Limited</t>
  </si>
  <si>
    <t>Reigate and BansteadMount Green Housing Association Limited</t>
  </si>
  <si>
    <t>Reigate and BansteadNotting Hill Home Ownership Limited</t>
  </si>
  <si>
    <t>Reigate and BansteadOrbit Group Limited</t>
  </si>
  <si>
    <t>Reigate and BansteadOrbit Housing Association Limited</t>
  </si>
  <si>
    <t>Reigate and BansteadRaven Housing Trust Limited</t>
  </si>
  <si>
    <t>Reigate and BansteadReside Housing Association Limited</t>
  </si>
  <si>
    <t>Reigate and BansteadSage Homes RP Limited</t>
  </si>
  <si>
    <t>Reigate and BansteadSage Rented Limited</t>
  </si>
  <si>
    <t>Reigate and BansteadSanctuary Affordable Housing Limited</t>
  </si>
  <si>
    <t>Reigate and BansteadSouthern Housing</t>
  </si>
  <si>
    <t>Reigate and BansteadSparrow Shared Ownership Limited</t>
  </si>
  <si>
    <t>Reigate and BansteadStonewater Limited</t>
  </si>
  <si>
    <t>Reigate and BansteadSynergy Housing Limited</t>
  </si>
  <si>
    <t>Reigate and BansteadThe Field Lane Foundation</t>
  </si>
  <si>
    <t>Reigate and BansteadThe Guinness Partnership Limited</t>
  </si>
  <si>
    <t>Reigate and BansteadTown and Country Housing</t>
  </si>
  <si>
    <t>Reigate and BansteadTransform Housing &amp; Support</t>
  </si>
  <si>
    <t>Reigate and BansteadWestmoreland Supported Housing Limited</t>
  </si>
  <si>
    <t>Reigate and BansteadWindrush Alliance UK Community Interest Company</t>
  </si>
  <si>
    <t>Reigate and BansteadYMCA East Surrey</t>
  </si>
  <si>
    <t>Ribble ValleyAccent Housing Limited</t>
  </si>
  <si>
    <t>Ribble ValleyCalico Homes Limited</t>
  </si>
  <si>
    <t>Ribble ValleyCare Housing Association Limited</t>
  </si>
  <si>
    <t>Ribble ValleyGolden Lane Housing Limited</t>
  </si>
  <si>
    <t>Ribble ValleyGreat Places Housing Association</t>
  </si>
  <si>
    <t>Ribble ValleyHeylo Housing Registered Provider Limited</t>
  </si>
  <si>
    <t>Ribble ValleyHousing 21</t>
  </si>
  <si>
    <t>Ribble ValleyJigsaw Homes North</t>
  </si>
  <si>
    <t>Ribble ValleyLondon &amp; Quadrant Housing Trust</t>
  </si>
  <si>
    <t>Ribble ValleyMosscare St. Vincent's Housing Group Limited</t>
  </si>
  <si>
    <t>Ribble ValleyNew Foundations Housing Association Limited</t>
  </si>
  <si>
    <t>Ribble ValleyOnward Homes Limited</t>
  </si>
  <si>
    <t>Ribble ValleyPlaces for People Homes Limited</t>
  </si>
  <si>
    <t>Ribble ValleyPlaces for People Living+ Limited</t>
  </si>
  <si>
    <t>Ribble ValleyProgress Housing Association Limited</t>
  </si>
  <si>
    <t>Ribble ValleyRegenda Limited</t>
  </si>
  <si>
    <t>Ribble ValleySage Rented Limited</t>
  </si>
  <si>
    <t>Ribble ValleySanctuary Housing Association</t>
  </si>
  <si>
    <t>Ribble ValleySparrow Shared Ownership Limited</t>
  </si>
  <si>
    <t>Ribble ValleyThe Abbeyfield Lancashire Extra Care Society Limited</t>
  </si>
  <si>
    <t>Ribble ValleyTogether Housing Association Limited</t>
  </si>
  <si>
    <t>Ribble ValleyWaddington Hospital</t>
  </si>
  <si>
    <t>Ribble ValleyYour Housing Limited</t>
  </si>
  <si>
    <t>Richmond upon ThamesA2Dominion Homes Limited</t>
  </si>
  <si>
    <t>Richmond upon ThamesA2Dominion South Limited</t>
  </si>
  <si>
    <t>Richmond upon ThamesAnchor Hanover Group</t>
  </si>
  <si>
    <t>Richmond upon ThamesCentral and Cecil Housing Trust</t>
  </si>
  <si>
    <t>Richmond upon ThamesCromwood Housing Ltd</t>
  </si>
  <si>
    <t>Richmond upon ThamesGolden Lane Housing Limited</t>
  </si>
  <si>
    <t>Richmond upon ThamesHastoe Housing Association Limited</t>
  </si>
  <si>
    <t>Richmond upon ThamesHome Group Limited</t>
  </si>
  <si>
    <t>Richmond upon ThamesJust Circle Limited</t>
  </si>
  <si>
    <t>Richmond upon ThamesKaribu Community Homes Limited</t>
  </si>
  <si>
    <t>Richmond upon ThamesLondon &amp; Quadrant Housing Trust</t>
  </si>
  <si>
    <t>Richmond upon ThamesLook Ahead Care and Support Limited</t>
  </si>
  <si>
    <t>Richmond upon ThamesMetropolitan Housing Trust Limited</t>
  </si>
  <si>
    <t>Richmond upon ThamesNotting Hill Genesis</t>
  </si>
  <si>
    <t>Richmond upon ThamesNotting Hill Home Ownership Limited</t>
  </si>
  <si>
    <t>Richmond upon ThamesOrigin Housing Limited</t>
  </si>
  <si>
    <t>Richmond upon ThamesParagon Asra Housing Limited</t>
  </si>
  <si>
    <t>Richmond upon ThamesPeabody Trust</t>
  </si>
  <si>
    <t>Richmond upon ThamesReside Housing Association Limited</t>
  </si>
  <si>
    <t>Richmond upon ThamesRichmond Co-operative Housing Association Limited</t>
  </si>
  <si>
    <t>Richmond upon ThamesRichmond Housing Partnership Limited</t>
  </si>
  <si>
    <t>Richmond upon ThamesSouthern Housing</t>
  </si>
  <si>
    <t>Richmond upon ThamesSovereign Network Group</t>
  </si>
  <si>
    <t>Richmond upon ThamesStonewater Limited</t>
  </si>
  <si>
    <t>Richmond upon ThamesThe Barnes Fund</t>
  </si>
  <si>
    <t>Richmond upon ThamesThe Guinness Partnership Limited</t>
  </si>
  <si>
    <t>Richmond upon ThamesThe Hampton Parochial Charities</t>
  </si>
  <si>
    <t>Richmond upon ThamesThe Sons of Divine Providence</t>
  </si>
  <si>
    <t>RochdaleAccent Housing Limited</t>
  </si>
  <si>
    <t>RochdaleAnchor Hanover Group</t>
  </si>
  <si>
    <t>RochdaleBlue Pits Housing Action</t>
  </si>
  <si>
    <t>RochdaleBolton at Home Limited</t>
  </si>
  <si>
    <t>RochdaleDepaul Housing Services</t>
  </si>
  <si>
    <t>RochdaleFalcon Housing Association C.I.C</t>
  </si>
  <si>
    <t>RochdaleFirst Choice Homes Oldham Limited</t>
  </si>
  <si>
    <t>RochdaleGolden Lane Housing Limited</t>
  </si>
  <si>
    <t>RochdaleGreat Places Housing Association</t>
  </si>
  <si>
    <t>RochdaleHalo Housing Association Limited</t>
  </si>
  <si>
    <t>RochdaleHeylo Housing Registered Provider Limited</t>
  </si>
  <si>
    <t>RochdaleHousing 21</t>
  </si>
  <si>
    <t>RochdaleInclusion Housing Community Interest Company</t>
  </si>
  <si>
    <t>RochdaleJ &amp; M Residential Lettings Limited</t>
  </si>
  <si>
    <t>RochdaleJigsaw Homes North</t>
  </si>
  <si>
    <t>RochdaleLangley House Trust</t>
  </si>
  <si>
    <t>RochdaleMosscare St. Vincent's Housing Group Limited</t>
  </si>
  <si>
    <t>RochdaleOnward Homes Limited</t>
  </si>
  <si>
    <t>RochdalePartners Foundation Limited</t>
  </si>
  <si>
    <t>RochdalePlaces for People Homes Limited</t>
  </si>
  <si>
    <t>RochdaleProgress Housing Association Limited</t>
  </si>
  <si>
    <t>RochdaleRegenda Limited</t>
  </si>
  <si>
    <t>RochdaleReside Housing Association Limited</t>
  </si>
  <si>
    <t>RochdaleRochdale Boroughwide Housing Limited</t>
  </si>
  <si>
    <t>RochdaleSanctuary Housing Association</t>
  </si>
  <si>
    <t>RochdaleSecond Chance Housing Ltd</t>
  </si>
  <si>
    <t>RochdaleSpotland and Falinge Housing Association Limited</t>
  </si>
  <si>
    <t>RochdaleThe Guinness Partnership Limited</t>
  </si>
  <si>
    <t>RochdaleThe Riverside Group Limited</t>
  </si>
  <si>
    <t>RochdaleTrinity Housing Association Limited</t>
  </si>
  <si>
    <t>RochdaleYour Housing Limited</t>
  </si>
  <si>
    <t>RochfordAdvance Housing and Support Limited</t>
  </si>
  <si>
    <t>RochfordAnchor Hanover Group</t>
  </si>
  <si>
    <t>RochfordChelmer Housing Partnership Limited</t>
  </si>
  <si>
    <t>RochfordEastlight Community Homes Limited</t>
  </si>
  <si>
    <t>RochfordEmpower Housing Association Limited</t>
  </si>
  <si>
    <t>RochfordEstuary Housing Association Limited</t>
  </si>
  <si>
    <t>RochfordHabinteg Housing Association Limited</t>
  </si>
  <si>
    <t>RochfordHousing 21</t>
  </si>
  <si>
    <t>RochfordLegal &amp; General Affordable Homes Limited</t>
  </si>
  <si>
    <t>RochfordLondon &amp; Quadrant Housing Trust</t>
  </si>
  <si>
    <t>RochfordLook Ahead Care and Support Limited</t>
  </si>
  <si>
    <t>RochfordM&amp;G UK Shared Ownership Limited</t>
  </si>
  <si>
    <t>RochfordMoat Homes Limited</t>
  </si>
  <si>
    <t>RochfordNotting Hill Genesis</t>
  </si>
  <si>
    <t>RochfordPlaces for People Homes Limited</t>
  </si>
  <si>
    <t>RochfordSage Homes RP Limited</t>
  </si>
  <si>
    <t>RochfordSanctuary Affordable Housing Limited</t>
  </si>
  <si>
    <t>RochfordSanctuary Housing Association</t>
  </si>
  <si>
    <t>RochfordSouthern Housing</t>
  </si>
  <si>
    <t>RochfordSwan Housing Association Limited</t>
  </si>
  <si>
    <t>RossendaleAnchor Hanover Group</t>
  </si>
  <si>
    <t>RossendaleCalico Homes Limited</t>
  </si>
  <si>
    <t>RossendaleCare Housing Association Limited</t>
  </si>
  <si>
    <t>RossendaleConcept Housing Association CIC</t>
  </si>
  <si>
    <t>RossendaleEmpower Housing Association Limited</t>
  </si>
  <si>
    <t>RossendaleGreat Places Housing Association</t>
  </si>
  <si>
    <t>RossendaleHalo Housing Association Limited</t>
  </si>
  <si>
    <t>RossendaleHeylo Housing Registered Provider Limited</t>
  </si>
  <si>
    <t>RossendaleHousing 21</t>
  </si>
  <si>
    <t>RossendaleIrwell Valley Housing Association Limited</t>
  </si>
  <si>
    <t>RossendaleJigsaw Homes North</t>
  </si>
  <si>
    <t>RossendaleLangley House Trust</t>
  </si>
  <si>
    <t>RossendaleMosscare St. Vincent's Housing Group Limited</t>
  </si>
  <si>
    <t>RossendaleNew Foundations Housing Association Limited</t>
  </si>
  <si>
    <t>RossendaleOnward Homes Limited</t>
  </si>
  <si>
    <t>RossendalePartners Foundation Limited</t>
  </si>
  <si>
    <t>RossendalePlaces for People Homes Limited</t>
  </si>
  <si>
    <t>RossendalePlaces for People Living+ Limited</t>
  </si>
  <si>
    <t>RossendaleProgress Housing Association Limited</t>
  </si>
  <si>
    <t>RossendaleRegenda Limited</t>
  </si>
  <si>
    <t>RossendaleThe Guinness Partnership Limited</t>
  </si>
  <si>
    <t>RossendaleTogether Housing Association Limited</t>
  </si>
  <si>
    <t>RossendaleYour Housing Limited</t>
  </si>
  <si>
    <t>RotherAbility Housing Association</t>
  </si>
  <si>
    <t>RotherBespoke Supportive Tenancies Ltd</t>
  </si>
  <si>
    <t>RotherEnglish Rural Housing Association Limited</t>
  </si>
  <si>
    <t>RotherFalcon Housing Association C.I.C</t>
  </si>
  <si>
    <t>RotherFive Villages Home Association Limited</t>
  </si>
  <si>
    <t>RotherHastoe Housing Association Limited</t>
  </si>
  <si>
    <t>RotherHeylo Housing Registered Provider Limited</t>
  </si>
  <si>
    <t>RotherHome Group Limited</t>
  </si>
  <si>
    <t>RotherHousing 21</t>
  </si>
  <si>
    <t>RotherLegal &amp; General Affordable Homes Limited</t>
  </si>
  <si>
    <t>RotherLondon &amp; Quadrant Housing Trust</t>
  </si>
  <si>
    <t>RotherOrbit Group Limited</t>
  </si>
  <si>
    <t>RotherOrbit Housing Association Limited</t>
  </si>
  <si>
    <t>RotherPlaces for People Homes Limited</t>
  </si>
  <si>
    <t>RotherRentplus Homes Limited</t>
  </si>
  <si>
    <t>RotherSage Homes RP Limited</t>
  </si>
  <si>
    <t>RotherSage Rented Limited</t>
  </si>
  <si>
    <t>RotherSalvation Army Housing Association</t>
  </si>
  <si>
    <t>RotherSanctuary Housing Association</t>
  </si>
  <si>
    <t>RotherSouthern Housing</t>
  </si>
  <si>
    <t>RotherSparrow Shared Ownership Limited</t>
  </si>
  <si>
    <t>RotherStonewater Limited</t>
  </si>
  <si>
    <t>RotherSussex Housing and Care</t>
  </si>
  <si>
    <t>RotherhamAcis Group Limited</t>
  </si>
  <si>
    <t>RotherhamAction Housing and Support Limited</t>
  </si>
  <si>
    <t>RotherhamAlliance Housing Association (South Yorkshire) Limited</t>
  </si>
  <si>
    <t>RotherhamAnchor Hanover Group</t>
  </si>
  <si>
    <t>RotherhamArches Housing Limited</t>
  </si>
  <si>
    <t>RotherhamAuckland Home Solutions CIC</t>
  </si>
  <si>
    <t>RotherhamAuxesia Homes Limited</t>
  </si>
  <si>
    <t>RotherhamBespoke Supportive Tenancies Ltd</t>
  </si>
  <si>
    <t>RotherhamEncircle Housing</t>
  </si>
  <si>
    <t>RotherhamFalcon Housing Association C.I.C</t>
  </si>
  <si>
    <t>RotherhamGolden Lane Housing Limited</t>
  </si>
  <si>
    <t>RotherhamGreat Places Housing Association</t>
  </si>
  <si>
    <t>RotherhamHabinteg Housing Association Limited</t>
  </si>
  <si>
    <t>RotherhamHeylo Housing Registered Provider Limited</t>
  </si>
  <si>
    <t>RotherhamHilldale Housing Association Limited</t>
  </si>
  <si>
    <t>RotherhamHousing 21</t>
  </si>
  <si>
    <t>RotherhamIKE Supported Housing Limited</t>
  </si>
  <si>
    <t>RotherhamIncommunities Limited</t>
  </si>
  <si>
    <t>RotherhamPartners Foundation Limited</t>
  </si>
  <si>
    <t>RotherhamPlaces for People Homes Limited</t>
  </si>
  <si>
    <t>RotherhamPlaces for People Living+ Limited</t>
  </si>
  <si>
    <t>RotherhamProgress Housing Association Limited</t>
  </si>
  <si>
    <t>RotherhamSalvation Army Housing Association</t>
  </si>
  <si>
    <t>RotherhamSanctuary Affordable Housing Limited</t>
  </si>
  <si>
    <t>RotherhamSanctuary Housing Association</t>
  </si>
  <si>
    <t>RotherhamSouth Yorkshire Housing Association Limited</t>
  </si>
  <si>
    <t>RotherhamStonewater Limited</t>
  </si>
  <si>
    <t>RotherhamTarget Housing Limited</t>
  </si>
  <si>
    <t>RotherhamThe Guinness Partnership Limited</t>
  </si>
  <si>
    <t>RotherhamTogether Housing Association Limited</t>
  </si>
  <si>
    <t>RotherhamVico Homes Limited</t>
  </si>
  <si>
    <t>RotherhamYorkshire Housing Limited</t>
  </si>
  <si>
    <t>RugbyAdvance Housing and Support Limited</t>
  </si>
  <si>
    <t>RugbyAmplius Living</t>
  </si>
  <si>
    <t>RugbyAnchor Hanover Group</t>
  </si>
  <si>
    <t>RugbyBen-Motor and Allied Trades Benevolent Fund</t>
  </si>
  <si>
    <t>RugbyBromford Housing Association Limited</t>
  </si>
  <si>
    <t>RugbyButlin and Elborow Housing Trust</t>
  </si>
  <si>
    <t>RugbyCitizen Housing Group Limited</t>
  </si>
  <si>
    <t>RugbyClarion Housing Association Limited</t>
  </si>
  <si>
    <t>RugbyClifton Parish Houses</t>
  </si>
  <si>
    <t>RugbyCreative Support Limited</t>
  </si>
  <si>
    <t>RugbyGolden Lane Housing Limited</t>
  </si>
  <si>
    <t>RugbyHeylo Housing Registered Provider Limited</t>
  </si>
  <si>
    <t>RugbyHousing 21</t>
  </si>
  <si>
    <t>RugbyLondon &amp; Quadrant Housing Trust</t>
  </si>
  <si>
    <t>RugbyMidland Heart Limited</t>
  </si>
  <si>
    <t>RugbyOrbit Group Limited</t>
  </si>
  <si>
    <t>RugbyOrbit Housing Association Limited</t>
  </si>
  <si>
    <t>RugbyParagon Asra Housing Limited</t>
  </si>
  <si>
    <t>RugbyPlaces for People Living+ Limited</t>
  </si>
  <si>
    <t>RugbyPlatform Housing Limited</t>
  </si>
  <si>
    <t>RugbyReSI Homes Limited</t>
  </si>
  <si>
    <t>RugbySage Homes RP Limited</t>
  </si>
  <si>
    <t>RugbySage Rented Limited</t>
  </si>
  <si>
    <t>RugbySanctuary Affordable Housing Limited</t>
  </si>
  <si>
    <t>RugbySanctuary Housing Association</t>
  </si>
  <si>
    <t>RugbySparrow Shared Ownership Limited</t>
  </si>
  <si>
    <t>RugbyStonewater Limited</t>
  </si>
  <si>
    <t>RugbyThe Guinness Partnership Limited</t>
  </si>
  <si>
    <t>RugbyThe Riverside Group Limited</t>
  </si>
  <si>
    <t>RugbyWalsall Housing Group Limited</t>
  </si>
  <si>
    <t>RugbyWarwickshire Rural Housing Association Limited</t>
  </si>
  <si>
    <t>RunnymedeA2Dominion Homes Limited</t>
  </si>
  <si>
    <t>RunnymedeA2Dominion Housing Options Limited</t>
  </si>
  <si>
    <t>RunnymedeA2Dominion South Limited</t>
  </si>
  <si>
    <t>RunnymedeAbri Group Limited</t>
  </si>
  <si>
    <t>RunnymedeAccent Housing Limited</t>
  </si>
  <si>
    <t>RunnymedeAnchor Hanover Group</t>
  </si>
  <si>
    <t>RunnymedeGolden Lane Housing Limited</t>
  </si>
  <si>
    <t>RunnymedeHousing 21</t>
  </si>
  <si>
    <t>RunnymedeLife 2009</t>
  </si>
  <si>
    <t>RunnymedeLondon &amp; Quadrant Housing Trust</t>
  </si>
  <si>
    <t>RunnymedeMetropolitan Housing Trust Limited</t>
  </si>
  <si>
    <t>RunnymedeMount Green Housing Association Limited</t>
  </si>
  <si>
    <t>RunnymedeNotting Hill Home Ownership Limited</t>
  </si>
  <si>
    <t>RunnymedeParagon Asra Housing Limited</t>
  </si>
  <si>
    <t>RunnymedeSage Rented Limited</t>
  </si>
  <si>
    <t>RunnymedeSouthern Housing</t>
  </si>
  <si>
    <t>RunnymedeSparrow Shared Ownership Limited</t>
  </si>
  <si>
    <t>RunnymedeStewart's and Budgen's Almshouses</t>
  </si>
  <si>
    <t>RunnymedeStonewater Limited</t>
  </si>
  <si>
    <t>RunnymedeThe Riverside Group Limited</t>
  </si>
  <si>
    <t>RunnymedeTown and Country Housing</t>
  </si>
  <si>
    <t>RunnymedeTransform Housing &amp; Support</t>
  </si>
  <si>
    <t>RunnymedeVivid Housing Limited</t>
  </si>
  <si>
    <t>RushcliffeAccent Housing Limited</t>
  </si>
  <si>
    <t>RushcliffeAcis Group Limited</t>
  </si>
  <si>
    <t>RushcliffeAdvance Housing and Support Limited</t>
  </si>
  <si>
    <t>RushcliffeAmplius Living</t>
  </si>
  <si>
    <t>RushcliffeAnchor Hanover Group</t>
  </si>
  <si>
    <t>RushcliffeAuckland Home Solutions CIC</t>
  </si>
  <si>
    <t>RushcliffeEMH Housing and Regeneration Limited</t>
  </si>
  <si>
    <t>RushcliffeEmpower Housing Association Limited</t>
  </si>
  <si>
    <t>RushcliffeEnglish Rural Housing Association Limited</t>
  </si>
  <si>
    <t>RushcliffeFramework Housing Association</t>
  </si>
  <si>
    <t>RushcliffeFutures Homescape Limited</t>
  </si>
  <si>
    <t>RushcliffeGolden Lane Housing Limited</t>
  </si>
  <si>
    <t>RushcliffeHeylo Housing Registered Provider Limited</t>
  </si>
  <si>
    <t>RushcliffeHilldale Housing Association Limited</t>
  </si>
  <si>
    <t>RushcliffeInclusion Housing Community Interest Company</t>
  </si>
  <si>
    <t>RushcliffeJigsaw Homes Midlands</t>
  </si>
  <si>
    <t>RushcliffeLegal &amp; General Affordable Homes (AR) LLP</t>
  </si>
  <si>
    <t>RushcliffeLegal &amp; General Affordable Homes Limited</t>
  </si>
  <si>
    <t>RushcliffeLegal and General Affordable Homes (Capital) Limited</t>
  </si>
  <si>
    <t>RushcliffeM&amp;G UK Shared Ownership Limited</t>
  </si>
  <si>
    <t>RushcliffeMetropolitan Housing Trust Limited</t>
  </si>
  <si>
    <t>RushcliffeNottingham Community Housing Association Limited</t>
  </si>
  <si>
    <t>RushcliffeParagon Asra Housing Limited</t>
  </si>
  <si>
    <t>RushcliffePlaces for People Homes Limited</t>
  </si>
  <si>
    <t>RushcliffePlaces for People Living+ Limited</t>
  </si>
  <si>
    <t>RushcliffePlatform Housing Limited</t>
  </si>
  <si>
    <t>RushcliffeProgress Housing Association Limited</t>
  </si>
  <si>
    <t>RushcliffeSage Homes RP Limited</t>
  </si>
  <si>
    <t>RushcliffeSage Rented Limited</t>
  </si>
  <si>
    <t>RushcliffeSparrow Shared Ownership Limited</t>
  </si>
  <si>
    <t>RushcliffeStonewater Limited</t>
  </si>
  <si>
    <t>RushcliffeSutton Bonington and Normanton Social Service Association</t>
  </si>
  <si>
    <t>RushcliffeThe Riverside Group Limited</t>
  </si>
  <si>
    <t>RushcliffeTuntum Housing Association Limited</t>
  </si>
  <si>
    <t>RushcliffeWestmoreland Supported Housing Limited</t>
  </si>
  <si>
    <t>RushmoorA2Dominion South Limited</t>
  </si>
  <si>
    <t>RushmoorAbri Group Limited</t>
  </si>
  <si>
    <t>RushmoorAccent Housing Limited</t>
  </si>
  <si>
    <t>RushmoorAdvance Housing and Support Limited</t>
  </si>
  <si>
    <t>RushmoorAnchor Hanover Group</t>
  </si>
  <si>
    <t>RushmoorAster 3 Limited</t>
  </si>
  <si>
    <t>RushmoorElles Housing Co-operative Limited</t>
  </si>
  <si>
    <t>RushmoorGolden Lane Housing Limited</t>
  </si>
  <si>
    <t>RushmoorGrainger Trust Limited</t>
  </si>
  <si>
    <t>RushmoorHabitare Homes Limited</t>
  </si>
  <si>
    <t>RushmoorHeylo Housing Registered Provider Limited</t>
  </si>
  <si>
    <t>RushmoorHome Group Limited</t>
  </si>
  <si>
    <t>RushmoorHousing 21</t>
  </si>
  <si>
    <t>RushmoorLife 2009</t>
  </si>
  <si>
    <t>RushmoorLondon &amp; Quadrant Housing Trust</t>
  </si>
  <si>
    <t>RushmoorMetropolitan Housing Trust Limited</t>
  </si>
  <si>
    <t>RushmoorMoat Homes Limited</t>
  </si>
  <si>
    <t>RushmoorMount Green Housing Association Limited</t>
  </si>
  <si>
    <t>RushmoorNotting Hill Home Ownership Limited</t>
  </si>
  <si>
    <t>RushmoorOmega Housing Limited</t>
  </si>
  <si>
    <t>RushmoorPlexus UK (First Project) Limited</t>
  </si>
  <si>
    <t>RushmoorReside Housing Association Limited</t>
  </si>
  <si>
    <t>RushmoorSanctuary Housing Association</t>
  </si>
  <si>
    <t>RushmoorSouthern Housing</t>
  </si>
  <si>
    <t>RushmoorSovereign Network Group</t>
  </si>
  <si>
    <t>RushmoorStonewater Limited</t>
  </si>
  <si>
    <t>RushmoorSynergy Housing Limited</t>
  </si>
  <si>
    <t>RushmoorThe Riverside Group Limited</t>
  </si>
  <si>
    <t>RushmoorThe Sir Oswald Stoll Foundation</t>
  </si>
  <si>
    <t>RushmoorThe Society of St James</t>
  </si>
  <si>
    <t>RushmoorThe Swaythling Housing Society Limited</t>
  </si>
  <si>
    <t>RushmoorVivid Housing Limited</t>
  </si>
  <si>
    <t>RutlandAccent Housing Limited</t>
  </si>
  <si>
    <t>RutlandAdvance Housing and Support Limited</t>
  </si>
  <si>
    <t>RutlandAmplius Living</t>
  </si>
  <si>
    <t>RutlandCross Keys Homes Limited</t>
  </si>
  <si>
    <t>RutlandEMH Housing and Regeneration Limited</t>
  </si>
  <si>
    <t>RutlandHeylo Housing Registered Provider Limited</t>
  </si>
  <si>
    <t>RutlandLincolnshire Rural Housing Association Limited</t>
  </si>
  <si>
    <t>RutlandMuir Group Housing Association Limited</t>
  </si>
  <si>
    <t>RutlandNottingham Community Housing Association Limited</t>
  </si>
  <si>
    <t>RutlandParagon Asra Housing Limited</t>
  </si>
  <si>
    <t>RutlandPlatform Housing Limited</t>
  </si>
  <si>
    <t>RutlandProgress Housing Association Limited</t>
  </si>
  <si>
    <t>RutlandSage Homes RP Limited</t>
  </si>
  <si>
    <t>RutlandStonewater Limited</t>
  </si>
  <si>
    <t>RutlandThe Hospital of St John the Evangelist and of St Anne in Okeham</t>
  </si>
  <si>
    <t>SalfordAdullam Homes Housing Association Limited</t>
  </si>
  <si>
    <t>SalfordAgudas Israel Housing Association Limited</t>
  </si>
  <si>
    <t>SalfordAnchor Hanover Group</t>
  </si>
  <si>
    <t>SalfordAuxesia Homes Limited</t>
  </si>
  <si>
    <t>SalfordBolton at Home Limited</t>
  </si>
  <si>
    <t>SalfordClarion Housing Association Limited</t>
  </si>
  <si>
    <t>SalfordCreative Support Limited</t>
  </si>
  <si>
    <t>SalfordCromwood Housing Ltd</t>
  </si>
  <si>
    <t>SalfordDerive RP Limited</t>
  </si>
  <si>
    <t>SalfordEmpower Housing Association Limited</t>
  </si>
  <si>
    <t>SalfordFalcon Housing Association C.I.C</t>
  </si>
  <si>
    <t>SalfordForHousing Limited</t>
  </si>
  <si>
    <t>SalfordGolden Lane Housing Limited</t>
  </si>
  <si>
    <t>SalfordGreat Places Housing Association</t>
  </si>
  <si>
    <t>SalfordHilldale Housing Association Limited</t>
  </si>
  <si>
    <t>SalfordHousing 21</t>
  </si>
  <si>
    <t>SalfordHumphrey Booth Housing Charity</t>
  </si>
  <si>
    <t>SalfordIrwell Valley Housing Association Limited</t>
  </si>
  <si>
    <t>SalfordJigsaw Homes North</t>
  </si>
  <si>
    <t>SalfordLondon &amp; Quadrant Housing Trust</t>
  </si>
  <si>
    <t>SalfordManchester Jewish Housing Association</t>
  </si>
  <si>
    <t>SalfordMosscare St. Vincent's Housing Group Limited</t>
  </si>
  <si>
    <t>SalfordOnward Homes Limited</t>
  </si>
  <si>
    <t>SalfordPlaces for People Homes Limited</t>
  </si>
  <si>
    <t>SalfordPlaces for People Living+ Limited</t>
  </si>
  <si>
    <t>SalfordProgress Housing Association Limited</t>
  </si>
  <si>
    <t>SalfordProject 34</t>
  </si>
  <si>
    <t>SalfordRegenda Limited</t>
  </si>
  <si>
    <t>SalfordReside Housing Association Limited</t>
  </si>
  <si>
    <t>SalfordRetail Trust</t>
  </si>
  <si>
    <t>SalfordSalix Homes Limited</t>
  </si>
  <si>
    <t>SalfordSalvation Army Housing Association</t>
  </si>
  <si>
    <t>SalfordSanctuary Housing Association</t>
  </si>
  <si>
    <t>SalfordSouthway Housing Trust (Manchester) Limited</t>
  </si>
  <si>
    <t>SalfordThe Guinness Partnership Limited</t>
  </si>
  <si>
    <t>SalfordThe Riverside Group Limited</t>
  </si>
  <si>
    <t>SalfordTogether Housing Association Limited</t>
  </si>
  <si>
    <t>SalfordTrinity Housing Association Limited</t>
  </si>
  <si>
    <t>SalfordYour Housing Limited</t>
  </si>
  <si>
    <t>SandwellAdullam Homes Housing Association Limited</t>
  </si>
  <si>
    <t>SandwellAdvance Housing and Support Limited</t>
  </si>
  <si>
    <t>SandwellAnchor Hanover Group</t>
  </si>
  <si>
    <t>SandwellBlack Country Housing Group Limited</t>
  </si>
  <si>
    <t>SandwellBromford Housing Association Limited</t>
  </si>
  <si>
    <t>SandwellCitizen Housing Group Limited</t>
  </si>
  <si>
    <t>SandwellClarion Housing Association Limited</t>
  </si>
  <si>
    <t>SandwellEncircle Housing</t>
  </si>
  <si>
    <t>SandwellGolden Lane Housing Limited</t>
  </si>
  <si>
    <t>SandwellGreenSquareAccord Limited</t>
  </si>
  <si>
    <t>SandwellHabinteg Housing Association Limited</t>
  </si>
  <si>
    <t>SandwellHeylo Housing Registered Provider Limited</t>
  </si>
  <si>
    <t>SandwellHousing 21</t>
  </si>
  <si>
    <t>SandwellInclusion Housing Community Interest Company</t>
  </si>
  <si>
    <t>SandwellLegal &amp; General Affordable Homes Limited</t>
  </si>
  <si>
    <t>SandwellLegal and General Affordable Homes (Capital) Limited</t>
  </si>
  <si>
    <t>SandwellLyng Community Association</t>
  </si>
  <si>
    <t>SandwellMidland Heart Limited</t>
  </si>
  <si>
    <t>SandwellNehemiah United Churches Housing Association Limited</t>
  </si>
  <si>
    <t>SandwellPlatform Housing Limited</t>
  </si>
  <si>
    <t>SandwellSanctuary Affordable Housing Limited</t>
  </si>
  <si>
    <t>SandwellSanctuary Housing Association</t>
  </si>
  <si>
    <t>SandwellSandwell Homeless and Resettlement Project Limited</t>
  </si>
  <si>
    <t>SandwellSouthern Housing</t>
  </si>
  <si>
    <t>SandwellSt Basil's</t>
  </si>
  <si>
    <t>SandwellStonewater Limited</t>
  </si>
  <si>
    <t>SandwellThe Harborne Parish Lands Charity</t>
  </si>
  <si>
    <t>SandwellThe Riverside Group Limited</t>
  </si>
  <si>
    <t>SandwellTrident Housing Association Limited</t>
  </si>
  <si>
    <t>SandwellTrinity Housing Association Limited</t>
  </si>
  <si>
    <t>SandwellWalsall Housing Group Limited</t>
  </si>
  <si>
    <t>SandwellWindrush Alliance UK Community Interest Company</t>
  </si>
  <si>
    <t>SandwellYMCA Black Country Group</t>
  </si>
  <si>
    <t>SeftonAnchor Hanover Group</t>
  </si>
  <si>
    <t>SeftonAssured Living Housing Association Limited</t>
  </si>
  <si>
    <t>SeftonBirkenhead Forum Housing Association Limited</t>
  </si>
  <si>
    <t>SeftonBlue Square Residential Ltd</t>
  </si>
  <si>
    <t>SeftonCroft Housing Association Limited</t>
  </si>
  <si>
    <t>SeftonCrosby Housing Association Limited</t>
  </si>
  <si>
    <t>SeftonEncircle Housing</t>
  </si>
  <si>
    <t>SeftonExcel Housing Solutions</t>
  </si>
  <si>
    <t>SeftonFalcon Housing Association C.I.C</t>
  </si>
  <si>
    <t>SeftonGolden Lane Housing Limited</t>
  </si>
  <si>
    <t>SeftonGreat Places Housing Association</t>
  </si>
  <si>
    <t>SeftonHabinteg Housing Association Limited</t>
  </si>
  <si>
    <t>SeftonHalo Housing Association Limited</t>
  </si>
  <si>
    <t>SeftonHarbour Light Assisted Living CIC</t>
  </si>
  <si>
    <t>SeftonHeylo Housing Registered Provider Limited</t>
  </si>
  <si>
    <t>SeftonHilldale Housing Association Limited</t>
  </si>
  <si>
    <t>SeftonHousing 21</t>
  </si>
  <si>
    <t>SeftonInclusion Housing Community Interest Company</t>
  </si>
  <si>
    <t>SeftonJigsaw Homes North</t>
  </si>
  <si>
    <t>SeftonLegal &amp; General Affordable Homes Limited</t>
  </si>
  <si>
    <t>SeftonLiverpool Gingerbread Housing Co-operative Limited</t>
  </si>
  <si>
    <t>SeftonLivv Housing Group</t>
  </si>
  <si>
    <t>SeftonOne Vision Housing Limited</t>
  </si>
  <si>
    <t>SeftonOnward Homes Limited</t>
  </si>
  <si>
    <t>SeftonPlaces for People Homes Limited</t>
  </si>
  <si>
    <t>SeftonPlus Dane Housing Limited</t>
  </si>
  <si>
    <t>SeftonPrima Housing Group Limited</t>
  </si>
  <si>
    <t>SeftonProgress Housing Association Limited</t>
  </si>
  <si>
    <t>SeftonRedwing Living Limited</t>
  </si>
  <si>
    <t>SeftonRegenda Limited</t>
  </si>
  <si>
    <t>SeftonSanctuary Housing Association</t>
  </si>
  <si>
    <t>SeftonThe Abbeyfield Society</t>
  </si>
  <si>
    <t>SeftonThe Riverside Group Limited</t>
  </si>
  <si>
    <t>SeftonTogether Housing Association Limited</t>
  </si>
  <si>
    <t>SeftonTorus62 Limited</t>
  </si>
  <si>
    <t>SeftonTrinity Housing Association Limited</t>
  </si>
  <si>
    <t>SeftonYour Housing Limited</t>
  </si>
  <si>
    <t>SevenoaksAdvance Housing and Support Limited</t>
  </si>
  <si>
    <t>SevenoaksAmplius Living</t>
  </si>
  <si>
    <t>SevenoaksAnchor Hanover Group</t>
  </si>
  <si>
    <t>SevenoaksBecket Trust Housing Association Limited</t>
  </si>
  <si>
    <t>SevenoaksDimensions (UK) Limited</t>
  </si>
  <si>
    <t>SevenoaksEnglish Rural Housing Association Limited</t>
  </si>
  <si>
    <t>SevenoaksGolden Lane Housing Limited</t>
  </si>
  <si>
    <t>SevenoaksHyde Housing Association Limited</t>
  </si>
  <si>
    <t>SevenoaksLondon &amp; Quadrant Housing Trust</t>
  </si>
  <si>
    <t>SevenoaksMargaret Hyde Charity</t>
  </si>
  <si>
    <t>SevenoaksMetropolitan Housing Trust Limited</t>
  </si>
  <si>
    <t>SevenoaksMoat Homes Limited</t>
  </si>
  <si>
    <t>SevenoaksNewarch Homes Limited</t>
  </si>
  <si>
    <t>SevenoaksOrbit Group Limited</t>
  </si>
  <si>
    <t>SevenoaksOrbit Housing Association Limited</t>
  </si>
  <si>
    <t>SevenoaksPlaces for People Homes Limited</t>
  </si>
  <si>
    <t>SevenoaksRadcliffe Housing Society Limited</t>
  </si>
  <si>
    <t>SevenoaksRockdale Housing Association Limited</t>
  </si>
  <si>
    <t>SevenoaksSouthern Housing</t>
  </si>
  <si>
    <t>SevenoaksThe Riverside Group Limited</t>
  </si>
  <si>
    <t>SevenoaksTown and Country Housing</t>
  </si>
  <si>
    <t>SevenoaksWest Kent Housing Association</t>
  </si>
  <si>
    <t>SheffieldAcis Group Limited</t>
  </si>
  <si>
    <t>SheffieldAction Housing and Support Limited</t>
  </si>
  <si>
    <t>SheffieldAdvance Housing and Support Limited</t>
  </si>
  <si>
    <t>SheffieldAlliance Housing Association (South Yorkshire) Limited</t>
  </si>
  <si>
    <t>SheffieldAlmshouse Charity of Hannah Rawson</t>
  </si>
  <si>
    <t>SheffieldAlpha (R.S.L.) Limited</t>
  </si>
  <si>
    <t>SheffieldAnchor Hanover Group</t>
  </si>
  <si>
    <t>SheffieldArches Housing Limited</t>
  </si>
  <si>
    <t>SheffieldBespoke Supportive Tenancies Ltd</t>
  </si>
  <si>
    <t>SheffieldClarion Housing Association Limited</t>
  </si>
  <si>
    <t>SheffieldDimensions (UK) Limited</t>
  </si>
  <si>
    <t>SheffieldEMH Housing and Regeneration Limited</t>
  </si>
  <si>
    <t>SheffieldEncircle Housing</t>
  </si>
  <si>
    <t>SheffieldFalcon Housing Association C.I.C</t>
  </si>
  <si>
    <t>SheffieldGolden Lane Housing Limited</t>
  </si>
  <si>
    <t>SheffieldGreat Places Housing Association</t>
  </si>
  <si>
    <t>SheffieldHalo Housing Association Limited</t>
  </si>
  <si>
    <t>SheffieldHeylo Housing Registered Provider Limited</t>
  </si>
  <si>
    <t>SheffieldHome Group Limited</t>
  </si>
  <si>
    <t>SheffieldHousing 21</t>
  </si>
  <si>
    <t>SheffieldIKE Supported Housing Limited</t>
  </si>
  <si>
    <t>SheffieldInclusion Housing Community Interest Company</t>
  </si>
  <si>
    <t>SheffieldIncommunities Limited</t>
  </si>
  <si>
    <t>SheffieldLets for Life</t>
  </si>
  <si>
    <t>SheffieldM&amp;G UK Shared Ownership Limited</t>
  </si>
  <si>
    <t>SheffieldMetropolitan Housing Trust Limited</t>
  </si>
  <si>
    <t>SheffieldPadley Housing Association Limited</t>
  </si>
  <si>
    <t>SheffieldPartners Foundation Limited</t>
  </si>
  <si>
    <t>SheffieldPeak District Rural Housing Association Limited</t>
  </si>
  <si>
    <t>SheffieldPlaces for People Homes Limited</t>
  </si>
  <si>
    <t>SheffieldPlaces for People Living+ Limited</t>
  </si>
  <si>
    <t>SheffieldProgress Housing Association Limited</t>
  </si>
  <si>
    <t>SheffieldSalvation Army Housing Association</t>
  </si>
  <si>
    <t>SheffieldSanctuary Affordable Housing Limited</t>
  </si>
  <si>
    <t>SheffieldSanctuary Housing Association</t>
  </si>
  <si>
    <t>SheffieldSouth Yorkshire Housing Association Limited</t>
  </si>
  <si>
    <t>SheffieldSouthern Housing</t>
  </si>
  <si>
    <t>SheffieldSt Anne's Community Services</t>
  </si>
  <si>
    <t>SheffieldTarget Housing Limited</t>
  </si>
  <si>
    <t>SheffieldThe Guinness Partnership Limited</t>
  </si>
  <si>
    <t>SheffieldTogether Housing Association Limited</t>
  </si>
  <si>
    <t>SheffieldTrinity Housing Association Limited</t>
  </si>
  <si>
    <t>SheffieldVico Homes Limited</t>
  </si>
  <si>
    <t>SheffieldYorkshire Housing Limited</t>
  </si>
  <si>
    <t>SheffieldYour Housing Limited</t>
  </si>
  <si>
    <t>Sheffieldbpha Limited</t>
  </si>
  <si>
    <t>ShropshireAlpha (R.S.L.) Limited</t>
  </si>
  <si>
    <t>ShropshireAnchor Hanover Group</t>
  </si>
  <si>
    <t>ShropshireBirnbeck Housing Association Limited</t>
  </si>
  <si>
    <t>ShropshireBromford Housing Association Limited</t>
  </si>
  <si>
    <t>ShropshireCitizen Housing Group Limited</t>
  </si>
  <si>
    <t>ShropshireClarion Housing Association Limited</t>
  </si>
  <si>
    <t>ShropshireConnexus Homes Limited</t>
  </si>
  <si>
    <t>ShropshireGolden Lane Housing Limited</t>
  </si>
  <si>
    <t>ShropshireGreat Places Housing Association</t>
  </si>
  <si>
    <t>ShropshireGreenSquareAccord Limited</t>
  </si>
  <si>
    <t>ShropshireHabinteg Housing Association Limited</t>
  </si>
  <si>
    <t>ShropshireHeylo Housing Registered Provider Limited</t>
  </si>
  <si>
    <t>ShropshireHomes Plus Limited</t>
  </si>
  <si>
    <t>ShropshireHosyer-Foxe Charity</t>
  </si>
  <si>
    <t>ShropshireHousing 21</t>
  </si>
  <si>
    <t>ShropshireMidland Heart Limited</t>
  </si>
  <si>
    <t>ShropshirePlaces for People Living+ Limited</t>
  </si>
  <si>
    <t>ShropshireReside Housing Association Limited</t>
  </si>
  <si>
    <t>ShropshireRooftop Housing Association Limited</t>
  </si>
  <si>
    <t>ShropshireSage Homes RP Limited</t>
  </si>
  <si>
    <t>ShropshireSanctuary Affordable Housing Limited</t>
  </si>
  <si>
    <t>ShropshireSanctuary Housing Association</t>
  </si>
  <si>
    <t>ShropshireShrewsbury Drapers Company Charity</t>
  </si>
  <si>
    <t>ShropshireShropshire Association for Supported Housing Limited</t>
  </si>
  <si>
    <t>ShropshireShropshire Rural Housing Association Limited</t>
  </si>
  <si>
    <t>ShropshireSir Job Charlton's Hospital Charity</t>
  </si>
  <si>
    <t>ShropshireStonewater Limited</t>
  </si>
  <si>
    <t>ShropshireThe Abbeyfield Bishop's Castle and  District Society Limited</t>
  </si>
  <si>
    <t>ShropshireThe Community Housing Group Limited</t>
  </si>
  <si>
    <t>ShropshireThe Wrekin Housing Group Limited</t>
  </si>
  <si>
    <t>ShropshireTrident Housing Association Limited</t>
  </si>
  <si>
    <t>ShropshireTrinity Hospital at Clun</t>
  </si>
  <si>
    <t>ShropshireWalsall Housing Group Limited</t>
  </si>
  <si>
    <t>SloughA2Dominion Housing Options Limited</t>
  </si>
  <si>
    <t>SloughA2Dominion South Limited</t>
  </si>
  <si>
    <t>SloughAbility Housing Association</t>
  </si>
  <si>
    <t>SloughAbri Group Limited</t>
  </si>
  <si>
    <t>SloughAdvance Housing and Support Limited</t>
  </si>
  <si>
    <t>SloughAnchor Hanover Group</t>
  </si>
  <si>
    <t>SloughAuckland Home Solutions CIC</t>
  </si>
  <si>
    <t>SloughBespoke Supportive Tenancies Ltd</t>
  </si>
  <si>
    <t>SloughCo-op Homes (South) Limited</t>
  </si>
  <si>
    <t>SloughFairhive Homes Limited</t>
  </si>
  <si>
    <t>SloughGolden Lane Housing Limited</t>
  </si>
  <si>
    <t>SloughHabinteg Housing Association Limited</t>
  </si>
  <si>
    <t>SloughHastoe Housing Association Limited</t>
  </si>
  <si>
    <t>SloughHome Group Limited</t>
  </si>
  <si>
    <t>SloughHousing Solutions</t>
  </si>
  <si>
    <t>SloughKaribu Community Homes Limited</t>
  </si>
  <si>
    <t>SloughLife 2009</t>
  </si>
  <si>
    <t>SloughLondon &amp; Quadrant Housing Trust</t>
  </si>
  <si>
    <t>SloughLook Ahead Care and Support Limited</t>
  </si>
  <si>
    <t>SloughMetropolitan Housing Trust Limited</t>
  </si>
  <si>
    <t>SloughNorthborough Housing Co-operative Limited</t>
  </si>
  <si>
    <t>SloughNotting Hill Home Ownership Limited</t>
  </si>
  <si>
    <t>SloughParadigm Homes Charitable Housing Association Limited</t>
  </si>
  <si>
    <t>SloughParagon Asra Housing Limited</t>
  </si>
  <si>
    <t>SloughPeabody Trust</t>
  </si>
  <si>
    <t>SloughPinnacle Spaces Limited</t>
  </si>
  <si>
    <t>SloughPlaces for People Homes Limited</t>
  </si>
  <si>
    <t>SloughReside Housing Association Limited</t>
  </si>
  <si>
    <t>SloughSanctuary Housing Association</t>
  </si>
  <si>
    <t>SloughSovereign Network Group</t>
  </si>
  <si>
    <t>SloughThe Swaythling Housing Society Limited</t>
  </si>
  <si>
    <t>SloughWestmoreland Supported Housing Limited</t>
  </si>
  <si>
    <t>SloughWindrush Alliance UK Community Interest Company</t>
  </si>
  <si>
    <t>SloughYMCA St Paul's Group</t>
  </si>
  <si>
    <t>SolihullAdvance Housing and Support Limited</t>
  </si>
  <si>
    <t>SolihullAnchor Hanover Group</t>
  </si>
  <si>
    <t>SolihullAshley Community &amp; Housing Ltd</t>
  </si>
  <si>
    <t>SolihullBerkswell Charities</t>
  </si>
  <si>
    <t>SolihullBromford Housing Association Limited</t>
  </si>
  <si>
    <t>SolihullCitizen Housing Group Limited</t>
  </si>
  <si>
    <t>SolihullClarion Housing Association Limited</t>
  </si>
  <si>
    <t>SolihullGolden Lane Housing Limited</t>
  </si>
  <si>
    <t>SolihullGreenSquareAccord Limited</t>
  </si>
  <si>
    <t>SolihullHeartsease House Community Interest Company</t>
  </si>
  <si>
    <t>SolihullHeylo Housing Registered Provider Limited</t>
  </si>
  <si>
    <t>SolihullHilldale Housing Association Limited</t>
  </si>
  <si>
    <t>SolihullHome Group Limited</t>
  </si>
  <si>
    <t>SolihullHousing 21</t>
  </si>
  <si>
    <t>SolihullInclusion Housing Community Interest Company</t>
  </si>
  <si>
    <t>SolihullMidland Heart Limited</t>
  </si>
  <si>
    <t>SolihullOrbit Group Limited</t>
  </si>
  <si>
    <t>SolihullOrbit Housing Association Limited</t>
  </si>
  <si>
    <t>SolihullPlatform Housing Limited</t>
  </si>
  <si>
    <t>SolihullRayner House and Yew Trees Limited</t>
  </si>
  <si>
    <t>SolihullReSI Homes Limited</t>
  </si>
  <si>
    <t>SolihullSanctuary Housing Association</t>
  </si>
  <si>
    <t>SolihullSir Josiah Mason's Almshouse Charity</t>
  </si>
  <si>
    <t>SolihullSolihull Care Housing Association Limited</t>
  </si>
  <si>
    <t>SolihullSouthern Housing</t>
  </si>
  <si>
    <t>SolihullSt Basil's</t>
  </si>
  <si>
    <t>SolihullSt Peter's Saltley Housing Association Limited</t>
  </si>
  <si>
    <t>SolihullStonewater Limited</t>
  </si>
  <si>
    <t>SolihullThe Abbeyfield Society</t>
  </si>
  <si>
    <t>SolihullThe Berrow Cottage Homes</t>
  </si>
  <si>
    <t>SolihullThe ExtraCare Charitable Trust</t>
  </si>
  <si>
    <t>SolihullTrident Housing Association Limited</t>
  </si>
  <si>
    <t>SolihullWalsall Housing Group Limited</t>
  </si>
  <si>
    <t>SolihullWarwickshire Rural Housing Association Limited</t>
  </si>
  <si>
    <t>SolihullWindrush Alliance UK Community Interest Company</t>
  </si>
  <si>
    <t>SomersetAbbeyfield (East Devon) Society Ltd</t>
  </si>
  <si>
    <t>SomersetAbbeyfield Wessex Society Limited</t>
  </si>
  <si>
    <t>SomersetAbri Group Limited</t>
  </si>
  <si>
    <t>SomersetAdvance Housing and Support Limited</t>
  </si>
  <si>
    <t>SomersetAnchor Hanover Group</t>
  </si>
  <si>
    <t>SomersetAster 3 Limited</t>
  </si>
  <si>
    <t>SomersetAster Communities</t>
  </si>
  <si>
    <t>SomersetAuckland Home Solutions CIC</t>
  </si>
  <si>
    <t>SomersetBournemouth Churches Housing Association Limited</t>
  </si>
  <si>
    <t>SomersetBridgwater Young Men's Christian Association</t>
  </si>
  <si>
    <t>SomersetBrighter Places</t>
  </si>
  <si>
    <t>SomersetChrysalis Supported Association Limited</t>
  </si>
  <si>
    <t>SomersetCity of Wells Almshouses</t>
  </si>
  <si>
    <t>SomersetClarion Housing Association Limited</t>
  </si>
  <si>
    <t>SomersetCooke's Almshouse Charity</t>
  </si>
  <si>
    <t>SomersetCuro Places Limited</t>
  </si>
  <si>
    <t>SomersetEmpower Housing Association Limited</t>
  </si>
  <si>
    <t>SomersetFalcon Housing Association C.I.C</t>
  </si>
  <si>
    <t>SomersetFalcon Rural Housing Limited</t>
  </si>
  <si>
    <t>SomersetFirst Priority Housing Association Limited</t>
  </si>
  <si>
    <t>SomersetFrench Weir Affordable Homes LLP</t>
  </si>
  <si>
    <t>SomersetGolden Lane Housing Limited</t>
  </si>
  <si>
    <t>SomersetGuinness Housing Association Limited</t>
  </si>
  <si>
    <t>SomersetHabinteg Housing Association Limited</t>
  </si>
  <si>
    <t>SomersetHastoe Housing Association Limited</t>
  </si>
  <si>
    <t>SomersetHeylo Housing Registered Provider Limited</t>
  </si>
  <si>
    <t>SomersetHome Group Limited</t>
  </si>
  <si>
    <t>SomersetHousing 21</t>
  </si>
  <si>
    <t>SomersetInclusion Housing Community Interest Company</t>
  </si>
  <si>
    <t>SomersetJulian House</t>
  </si>
  <si>
    <t>SomersetLegal &amp; General Affordable Homes (AR) LLP</t>
  </si>
  <si>
    <t>SomersetLegal &amp; General Affordable Homes Limited</t>
  </si>
  <si>
    <t>SomersetLiveWest Homes Limited</t>
  </si>
  <si>
    <t>SomersetM&amp;G UK Shared Ownership Limited</t>
  </si>
  <si>
    <t>SomersetMagna Housing Limited</t>
  </si>
  <si>
    <t>SomersetMoat Homes Limited</t>
  </si>
  <si>
    <t>SomersetNSAH (Alliance Homes) Limited</t>
  </si>
  <si>
    <t>SomersetOld Cleeve Memorial Cottages</t>
  </si>
  <si>
    <t>SomersetParasol Homes Limited</t>
  </si>
  <si>
    <t>SomersetPlaces for People Homes Limited</t>
  </si>
  <si>
    <t>SomersetPlaces for People Living+ Limited</t>
  </si>
  <si>
    <t>SomersetPlatform Housing Limited</t>
  </si>
  <si>
    <t>SomersetReSI Homes Limited</t>
  </si>
  <si>
    <t>SomersetReside Housing Association Limited</t>
  </si>
  <si>
    <t>SomersetSHAL Housing Limited</t>
  </si>
  <si>
    <t>SomersetSage Homes RP Limited</t>
  </si>
  <si>
    <t>SomersetSage Rented Limited</t>
  </si>
  <si>
    <t>SomersetSalvation Army Housing Association</t>
  </si>
  <si>
    <t>SomersetSanctuary Affordable Housing Limited</t>
  </si>
  <si>
    <t>SomersetSanctuary Housing Association</t>
  </si>
  <si>
    <t>SomersetSelwood Housing Society Limited</t>
  </si>
  <si>
    <t>SomersetShepton Mallet United Charities</t>
  </si>
  <si>
    <t>SomersetSovereign Network Group</t>
  </si>
  <si>
    <t>SomersetSparrow Shared Ownership Limited</t>
  </si>
  <si>
    <t>SomersetStonewater (5) Limited</t>
  </si>
  <si>
    <t>SomersetStonewater Limited</t>
  </si>
  <si>
    <t>SomersetSynergy Housing Limited</t>
  </si>
  <si>
    <t>SomersetTaunton Heritage Trust</t>
  </si>
  <si>
    <t>SomersetThe Abbeyfield (Wells) Society Limited</t>
  </si>
  <si>
    <t>SomersetThe Abbeyfield Society</t>
  </si>
  <si>
    <t>SomersetThe Blue House</t>
  </si>
  <si>
    <t>SomersetThe Guinness Partnership Limited</t>
  </si>
  <si>
    <t>SomersetThe Swaythling Housing Society Limited</t>
  </si>
  <si>
    <t>SomersetWestmoreland Supported Housing Limited</t>
  </si>
  <si>
    <t>SomersetWhite Horse Housing Association Limited</t>
  </si>
  <si>
    <t>SomersetWillow Tree Housing Partnership Limited</t>
  </si>
  <si>
    <t>SomersetWoborn's Almshouse</t>
  </si>
  <si>
    <t>SomersetYMCA Brunel Group</t>
  </si>
  <si>
    <t>Somersetbpha Limited</t>
  </si>
  <si>
    <t>South CambridgeshireAccent Housing Limited</t>
  </si>
  <si>
    <t>South CambridgeshireAmplius Living</t>
  </si>
  <si>
    <t>South CambridgeshireAnchor Hanover Group</t>
  </si>
  <si>
    <t>South CambridgeshireClarion Housing Association Limited</t>
  </si>
  <si>
    <t>South CambridgeshireCross Keys Homes Limited</t>
  </si>
  <si>
    <t>South CambridgeshireEnglish Rural Housing Association Limited</t>
  </si>
  <si>
    <t>South CambridgeshireFlagship Housing Limited</t>
  </si>
  <si>
    <t>South CambridgeshireFutures Homescape Limited</t>
  </si>
  <si>
    <t>South CambridgeshireHastoe Housing Association Limited</t>
  </si>
  <si>
    <t>South CambridgeshireHeylo Housing Registered Provider Limited</t>
  </si>
  <si>
    <t>South CambridgeshireHundred Houses Society Limited</t>
  </si>
  <si>
    <t>South CambridgeshireLondon &amp; Quadrant Housing Trust</t>
  </si>
  <si>
    <t>South CambridgeshireM&amp;G UK Shared Ownership Limited</t>
  </si>
  <si>
    <t>South CambridgeshireMetropolitan Housing Trust Limited</t>
  </si>
  <si>
    <t>South CambridgeshireOrbit Group Limited</t>
  </si>
  <si>
    <t>South CambridgeshireOrbit Housing Association Limited</t>
  </si>
  <si>
    <t>South CambridgeshireParadigm Homes Charitable Housing Association Limited</t>
  </si>
  <si>
    <t>South CambridgeshirePeabody Trust</t>
  </si>
  <si>
    <t>South CambridgeshirePlaces for People Homes Limited</t>
  </si>
  <si>
    <t>South CambridgeshirePlaces for People Living+ Limited</t>
  </si>
  <si>
    <t>South CambridgeshireRentplus Homes Limited</t>
  </si>
  <si>
    <t>South CambridgeshireSaffron Housing Trust Limited</t>
  </si>
  <si>
    <t>South CambridgeshireSage Homes RP Limited</t>
  </si>
  <si>
    <t>South CambridgeshireSage Rented Limited</t>
  </si>
  <si>
    <t>South CambridgeshireSanctuary Affordable Housing Limited</t>
  </si>
  <si>
    <t>South CambridgeshireSanctuary Housing Association</t>
  </si>
  <si>
    <t>South CambridgeshireSettle Group</t>
  </si>
  <si>
    <t>South CambridgeshireSparrow Shared Ownership Limited</t>
  </si>
  <si>
    <t>South CambridgeshireStonewater Limited</t>
  </si>
  <si>
    <t>South CambridgeshireThe Cambridge Housing Society Limited</t>
  </si>
  <si>
    <t>South CambridgeshireThe Guinness Partnership Limited</t>
  </si>
  <si>
    <t>South CambridgeshireThe Havebury Housing Partnership</t>
  </si>
  <si>
    <t>South CambridgeshireThe Papworth Trust</t>
  </si>
  <si>
    <t>South CambridgeshireThe Riverside Group Limited</t>
  </si>
  <si>
    <t>South Cambridgeshirebpha Limited</t>
  </si>
  <si>
    <t>South DerbyshireAmplius Living</t>
  </si>
  <si>
    <t>South DerbyshireAston Almshouse Charity</t>
  </si>
  <si>
    <t>South DerbyshireEMH Housing and Regeneration Limited</t>
  </si>
  <si>
    <t>South DerbyshireEmpower Housing Association Limited</t>
  </si>
  <si>
    <t>South DerbyshireFramework Housing Association</t>
  </si>
  <si>
    <t>South DerbyshireFutures Homeway Limited</t>
  </si>
  <si>
    <t>South DerbyshireHeylo Housing Registered Provider Limited</t>
  </si>
  <si>
    <t>South DerbyshireHome Group Limited</t>
  </si>
  <si>
    <t>South DerbyshireHousing 21</t>
  </si>
  <si>
    <t>South DerbyshireInclusion Housing Community Interest Company</t>
  </si>
  <si>
    <t>South DerbyshireM&amp;G UK Shared Ownership Limited</t>
  </si>
  <si>
    <t>South DerbyshireMetropolitan Housing Trust Limited</t>
  </si>
  <si>
    <t>South DerbyshireMidland Heart Limited</t>
  </si>
  <si>
    <t>South DerbyshireNottingham Community Housing Association Limited</t>
  </si>
  <si>
    <t>South DerbyshireOngo Homes Limited</t>
  </si>
  <si>
    <t>South DerbyshirePeak District Rural Housing Association Limited</t>
  </si>
  <si>
    <t>South DerbyshirePlaces for People Living+ Limited</t>
  </si>
  <si>
    <t>South DerbyshirePlatform Housing Limited</t>
  </si>
  <si>
    <t>South DerbyshirePlexus UK (First Project) Limited</t>
  </si>
  <si>
    <t>South DerbyshireSage Homes RP Limited</t>
  </si>
  <si>
    <t>South DerbyshireSage Rented Limited</t>
  </si>
  <si>
    <t>South DerbyshireSanctuary Housing Association</t>
  </si>
  <si>
    <t>South DerbyshireSparrow Shared Ownership Limited</t>
  </si>
  <si>
    <t>South DerbyshireThe Riverside Group Limited</t>
  </si>
  <si>
    <t>South DerbyshireTrent &amp; Dove Housing Limited</t>
  </si>
  <si>
    <t>South DerbyshireTrident Housing Association Limited</t>
  </si>
  <si>
    <t>South GloucestershireAbbeyfield Bristol and Keynsham Society</t>
  </si>
  <si>
    <t>South GloucestershireAbbeyfield Wessex Society Limited</t>
  </si>
  <si>
    <t>South GloucestershireAdvance Housing and Support Limited</t>
  </si>
  <si>
    <t>South GloucestershireAnchor Hanover Group</t>
  </si>
  <si>
    <t>South GloucestershireBrighter Places</t>
  </si>
  <si>
    <t>South GloucestershireBromford Housing Association Limited</t>
  </si>
  <si>
    <t>South GloucestershireChrysalis Supported Association Limited</t>
  </si>
  <si>
    <t>South GloucestershireClarion Housing Association Limited</t>
  </si>
  <si>
    <t>South GloucestershireCuro Places Limited</t>
  </si>
  <si>
    <t>South GloucestershireElim Housing Association Limited</t>
  </si>
  <si>
    <t>South GloucestershireEnglish Rural Housing Association Limited</t>
  </si>
  <si>
    <t>South GloucestershireGolden Lane Housing Limited</t>
  </si>
  <si>
    <t>South GloucestershireGreenSquareAccord Limited</t>
  </si>
  <si>
    <t>South GloucestershireGuinness Housing Association Limited</t>
  </si>
  <si>
    <t>South GloucestershireHabinteg Housing Association Limited</t>
  </si>
  <si>
    <t>South GloucestershireHeylo Housing Registered Provider Limited</t>
  </si>
  <si>
    <t>South GloucestershireHousing 21</t>
  </si>
  <si>
    <t>South GloucestershireInclusion Housing Community Interest Company</t>
  </si>
  <si>
    <t>South GloucestershireJulian House</t>
  </si>
  <si>
    <t>South GloucestershireKing's Barton Housing Association Limited</t>
  </si>
  <si>
    <t>South GloucestershireLiveWest Homes Limited</t>
  </si>
  <si>
    <t>South GloucestershireMarshfield Consolidated Charities</t>
  </si>
  <si>
    <t>South GloucestershireMerlin Housing Society Limited</t>
  </si>
  <si>
    <t>South GloucestershireNSAH (Alliance Homes) Limited</t>
  </si>
  <si>
    <t>South GloucestershirePlaces for People Homes Limited</t>
  </si>
  <si>
    <t>South GloucestershirePlaces for People Living+ Limited</t>
  </si>
  <si>
    <t>South GloucestershireReSI Homes Limited</t>
  </si>
  <si>
    <t>South GloucestershireSage Homes RP Limited</t>
  </si>
  <si>
    <t>South GloucestershireSanctuary Housing Association</t>
  </si>
  <si>
    <t>South GloucestershireSovereign Living Limited</t>
  </si>
  <si>
    <t>South GloucestershireSovereign Network Group</t>
  </si>
  <si>
    <t>South GloucestershireStonewater (5) Limited</t>
  </si>
  <si>
    <t>South GloucestershireStonewater Limited</t>
  </si>
  <si>
    <t>South GloucestershireThe ExtraCare Charitable Trust</t>
  </si>
  <si>
    <t>South GloucestershireThe Guinness Partnership Limited</t>
  </si>
  <si>
    <t>South GloucestershireThe Perry Almshouse Charity</t>
  </si>
  <si>
    <t>South GloucestershireThe Riverside Group Limited</t>
  </si>
  <si>
    <t>South GloucestershireWillow Tree Housing Partnership Limited</t>
  </si>
  <si>
    <t>South HamsAdvance Housing and Support Limited</t>
  </si>
  <si>
    <t>South HamsAnchor Hanover Group</t>
  </si>
  <si>
    <t>South HamsAster 3 Limited</t>
  </si>
  <si>
    <t>South HamsAster Communities</t>
  </si>
  <si>
    <t>South HamsBournemouth Churches Housing Association Limited</t>
  </si>
  <si>
    <t>South HamsClarion Housing Association Limited</t>
  </si>
  <si>
    <t>South HamsEmpower Housing Association Limited</t>
  </si>
  <si>
    <t>South HamsGolden Lane Housing Limited</t>
  </si>
  <si>
    <t>South HamsHastoe Housing Association Limited</t>
  </si>
  <si>
    <t>South HamsHeylo Housing Registered Provider Limited</t>
  </si>
  <si>
    <t>South HamsInclusion Housing Community Interest Company</t>
  </si>
  <si>
    <t>South HamsLegal &amp; General Affordable Homes (AR) LLP</t>
  </si>
  <si>
    <t>South HamsLegal &amp; General Affordable Homes Limited</t>
  </si>
  <si>
    <t>South HamsLiveWest Homes Limited</t>
  </si>
  <si>
    <t>South HamsPlaces for People Living+ Limited</t>
  </si>
  <si>
    <t>South HamsPlymouth Community Homes Limited</t>
  </si>
  <si>
    <t>South HamsProgress Housing Association Limited</t>
  </si>
  <si>
    <t>South HamsSanctuary Housing Association</t>
  </si>
  <si>
    <t>South HamsSovereign Network Group</t>
  </si>
  <si>
    <t>South HamsTeign Housing</t>
  </si>
  <si>
    <t>South HamsThe Abbeyfield South West Society Limited</t>
  </si>
  <si>
    <t>South HamsThe Guinness Partnership Limited</t>
  </si>
  <si>
    <t>South HamsTown and Country Housing</t>
  </si>
  <si>
    <t>South HamsWestward Housing Group Limited</t>
  </si>
  <si>
    <t>South HamsWillow Tree Housing Partnership Limited</t>
  </si>
  <si>
    <t>South HollandAccent Housing Limited</t>
  </si>
  <si>
    <t>South HollandAdvance Housing and Support Limited</t>
  </si>
  <si>
    <t>South HollandAmplius Living</t>
  </si>
  <si>
    <t>South HollandCross Keys Homes Limited</t>
  </si>
  <si>
    <t>South HollandEncircle Housing</t>
  </si>
  <si>
    <t>South HollandFramework Housing Association</t>
  </si>
  <si>
    <t>South HollandGolden Lane Housing Limited</t>
  </si>
  <si>
    <t>South HollandHastoe Housing Association Limited</t>
  </si>
  <si>
    <t>South HollandHeylo Housing Registered Provider Limited</t>
  </si>
  <si>
    <t>South HollandLincolnshire Housing Partnership Limited</t>
  </si>
  <si>
    <t>South HollandLincolnshire Rural Housing Association Limited</t>
  </si>
  <si>
    <t>South HollandLiveWest Homes Limited</t>
  </si>
  <si>
    <t>South HollandMuir Group Housing Association Limited</t>
  </si>
  <si>
    <t>South HollandNottingham Community Housing Association Limited</t>
  </si>
  <si>
    <t>South HollandPark Properties Housing Association Ltd</t>
  </si>
  <si>
    <t>South HollandPartners Foundation Limited</t>
  </si>
  <si>
    <t>South HollandPinnacle Spaces Limited</t>
  </si>
  <si>
    <t>South HollandPlatform Housing Limited</t>
  </si>
  <si>
    <t>South HollandProgress Housing Association Limited</t>
  </si>
  <si>
    <t>South HollandReSI Homes Limited</t>
  </si>
  <si>
    <t>South HollandReside Housing Association Limited</t>
  </si>
  <si>
    <t>South HollandSage Homes RP Limited</t>
  </si>
  <si>
    <t>South HollandTown and Country Housing</t>
  </si>
  <si>
    <t>South KestevenAccent Housing Limited</t>
  </si>
  <si>
    <t>South KestevenAdvance Housing and Support Limited</t>
  </si>
  <si>
    <t>South KestevenAmplius Living</t>
  </si>
  <si>
    <t>South KestevenAnchor Hanover Group</t>
  </si>
  <si>
    <t>South KestevenCross Keys Homes Limited</t>
  </si>
  <si>
    <t>South KestevenEMH Housing and Regeneration Limited</t>
  </si>
  <si>
    <t>South KestevenGolden Lane Housing Limited</t>
  </si>
  <si>
    <t>South KestevenHabitare Homes Limited</t>
  </si>
  <si>
    <t>South KestevenHeylo Housing Registered Provider Limited</t>
  </si>
  <si>
    <t>South KestevenHousing 21</t>
  </si>
  <si>
    <t>South KestevenLace Housing Limited</t>
  </si>
  <si>
    <t>South KestevenLegal &amp; General Affordable Homes (AR) LLP</t>
  </si>
  <si>
    <t>South KestevenLegal &amp; General Affordable Homes Limited</t>
  </si>
  <si>
    <t>South KestevenLincolnshire Housing Partnership Limited</t>
  </si>
  <si>
    <t>South KestevenLincolnshire Rural Housing Association Limited</t>
  </si>
  <si>
    <t>South KestevenLiveWest Homes Limited</t>
  </si>
  <si>
    <t>South KestevenLondon &amp; Quadrant Housing Trust</t>
  </si>
  <si>
    <t>South KestevenM&amp;G UK Shared Ownership Limited</t>
  </si>
  <si>
    <t>South KestevenMuir Group Housing Association Limited</t>
  </si>
  <si>
    <t>South KestevenNACRO</t>
  </si>
  <si>
    <t>South KestevenNottingham Community Housing Association Limited</t>
  </si>
  <si>
    <t>South KestevenPartners Foundation Limited</t>
  </si>
  <si>
    <t>South KestevenPlaces for People Homes Limited</t>
  </si>
  <si>
    <t>South KestevenPlaces for People Living+ Limited</t>
  </si>
  <si>
    <t>South KestevenPlatform Housing Limited</t>
  </si>
  <si>
    <t>South KestevenProgress Housing Association Limited</t>
  </si>
  <si>
    <t>South KestevenSage Homes RP Limited</t>
  </si>
  <si>
    <t>South KestevenSage Rented Limited</t>
  </si>
  <si>
    <t>South KestevenSanctuary Housing Association</t>
  </si>
  <si>
    <t>South KestevenSparrow Shared Ownership Limited</t>
  </si>
  <si>
    <t>South Kestevenbpha Limited</t>
  </si>
  <si>
    <t>South NorfolkAnchor Hanover Group</t>
  </si>
  <si>
    <t>South NorfolkBroadland Housing Association Limited</t>
  </si>
  <si>
    <t>South NorfolkClarion Housing Association Limited</t>
  </si>
  <si>
    <t>South NorfolkFlagship Housing Limited</t>
  </si>
  <si>
    <t>South NorfolkHastoe Housing Association Limited</t>
  </si>
  <si>
    <t>South NorfolkHeylo Housing Registered Provider Limited</t>
  </si>
  <si>
    <t>South NorfolkHome Group Limited</t>
  </si>
  <si>
    <t>South NorfolkHousing 21</t>
  </si>
  <si>
    <t>South NorfolkLegal &amp; General Affordable Homes Limited</t>
  </si>
  <si>
    <t>South NorfolkLegal and General Affordable Homes (Capital) Limited</t>
  </si>
  <si>
    <t>South NorfolkM&amp;G UK Shared Ownership Limited</t>
  </si>
  <si>
    <t>South NorfolkOrbit Group Limited</t>
  </si>
  <si>
    <t>South NorfolkOrbit Housing Association Limited</t>
  </si>
  <si>
    <t>South NorfolkOrwell Housing Association Limited</t>
  </si>
  <si>
    <t>South NorfolkPlaces for People Homes Limited</t>
  </si>
  <si>
    <t>South NorfolkPlaces for People Living+ Limited</t>
  </si>
  <si>
    <t>South NorfolkProgress Housing Association Limited</t>
  </si>
  <si>
    <t>South NorfolkSaffron Housing Trust Limited</t>
  </si>
  <si>
    <t>South NorfolkSage Homes RP Limited</t>
  </si>
  <si>
    <t>South NorfolkSage Rented Limited</t>
  </si>
  <si>
    <t>South NorfolkSanctuary Affordable Housing Limited</t>
  </si>
  <si>
    <t>South NorfolkSanctuary Housing Association</t>
  </si>
  <si>
    <t>South NorfolkSolo Housing (East Anglia)</t>
  </si>
  <si>
    <t>South NorfolkSparrow Shared Ownership Limited</t>
  </si>
  <si>
    <t>South NorfolkThe Havebury Housing Partnership</t>
  </si>
  <si>
    <t>South NorfolkV &amp; F Homes Limited</t>
  </si>
  <si>
    <t>South OxfordshireA2Dominion Homes Limited</t>
  </si>
  <si>
    <t>South OxfordshireA2Dominion Housing Options Limited</t>
  </si>
  <si>
    <t>South OxfordshireA2Dominion South Limited</t>
  </si>
  <si>
    <t>South OxfordshireAbility Housing Association</t>
  </si>
  <si>
    <t>South OxfordshireAbri Group Limited</t>
  </si>
  <si>
    <t>South OxfordshireAdvance Housing and Support Limited</t>
  </si>
  <si>
    <t>South OxfordshireAnchor Hanover Group</t>
  </si>
  <si>
    <t>South OxfordshireAngiers Almshouse Charity</t>
  </si>
  <si>
    <t>South OxfordshireAster 3 Limited</t>
  </si>
  <si>
    <t>South OxfordshireAster Communities</t>
  </si>
  <si>
    <t>South OxfordshireAuckland Home Solutions CIC</t>
  </si>
  <si>
    <t>South OxfordshireChrysalis Supported Association Limited</t>
  </si>
  <si>
    <t>South OxfordshireClarion Housing Association Limited</t>
  </si>
  <si>
    <t>South OxfordshireDimensions (UK) Limited</t>
  </si>
  <si>
    <t>South OxfordshireEmpower Housing Association Limited</t>
  </si>
  <si>
    <t>South OxfordshireEnglish Rural Housing Association Limited</t>
  </si>
  <si>
    <t>South OxfordshireFairhive Homes Limited</t>
  </si>
  <si>
    <t>South OxfordshireGolden Lane Housing Limited</t>
  </si>
  <si>
    <t>South OxfordshireGreenSquareAccord Limited</t>
  </si>
  <si>
    <t>South OxfordshireHastoe Housing Association Limited</t>
  </si>
  <si>
    <t>South OxfordshireHenley YMCA</t>
  </si>
  <si>
    <t>South OxfordshireHenley and District Housing Trust Limited</t>
  </si>
  <si>
    <t>South OxfordshireHeylo Housing Registered Provider Limited</t>
  </si>
  <si>
    <t>South OxfordshireHome Group Limited</t>
  </si>
  <si>
    <t>South OxfordshireHousing 21</t>
  </si>
  <si>
    <t>South OxfordshireHousing Solutions</t>
  </si>
  <si>
    <t>South OxfordshireInclusion Housing Community Interest Company</t>
  </si>
  <si>
    <t>South OxfordshireLife 2009</t>
  </si>
  <si>
    <t>South OxfordshireLondon &amp; Quadrant Housing Trust</t>
  </si>
  <si>
    <t>South OxfordshireMetropolitan Housing Trust Limited</t>
  </si>
  <si>
    <t>South OxfordshireMoat Homes Limited</t>
  </si>
  <si>
    <t>South OxfordshireNotting Hill Home Ownership Limited</t>
  </si>
  <si>
    <t>South OxfordshirePeabody Trust</t>
  </si>
  <si>
    <t>South OxfordshirePlaces for People Homes Limited</t>
  </si>
  <si>
    <t>South OxfordshireReSI Homes Limited</t>
  </si>
  <si>
    <t>South OxfordshireRed Kite Community Housing Limited</t>
  </si>
  <si>
    <t>South OxfordshireSage Rented Limited</t>
  </si>
  <si>
    <t>South OxfordshireSoha Housing Limited</t>
  </si>
  <si>
    <t>South OxfordshireSovereign Network Group</t>
  </si>
  <si>
    <t>South OxfordshireSparrow Shared Ownership Limited</t>
  </si>
  <si>
    <t>South OxfordshireStonewater Limited</t>
  </si>
  <si>
    <t>South OxfordshireSynergy Housing Limited</t>
  </si>
  <si>
    <t>South OxfordshireThame and District Housing Association Limited</t>
  </si>
  <si>
    <t>South OxfordshireThe Riverside Group Limited</t>
  </si>
  <si>
    <t>South Oxfordshirebpha Limited</t>
  </si>
  <si>
    <t>South RibbleAccent Housing Limited</t>
  </si>
  <si>
    <t>South RibbleAssured Living Housing Association Limited</t>
  </si>
  <si>
    <t>South RibbleBolton at Home Limited</t>
  </si>
  <si>
    <t>South RibbleCare Housing Association Limited</t>
  </si>
  <si>
    <t>South RibbleCommunity Gateway Association Limited</t>
  </si>
  <si>
    <t>South RibbleEmpower Housing Association Limited</t>
  </si>
  <si>
    <t>South RibbleExcel Housing Solutions</t>
  </si>
  <si>
    <t>South RibbleFalcon Housing Association C.I.C</t>
  </si>
  <si>
    <t>South RibbleGreat Places Housing Association</t>
  </si>
  <si>
    <t>South RibbleHabinteg Housing Association Limited</t>
  </si>
  <si>
    <t>South RibbleHalo Housing Association Limited</t>
  </si>
  <si>
    <t>South RibbleHeylo Housing Registered Provider Limited</t>
  </si>
  <si>
    <t>South RibbleHilldale Housing Association Limited</t>
  </si>
  <si>
    <t>South RibbleHome Group Limited</t>
  </si>
  <si>
    <t>South RibbleJigsaw Homes North</t>
  </si>
  <si>
    <t>South RibbleNew Foundations Housing Association Limited</t>
  </si>
  <si>
    <t>South RibbleOne Vision Housing Limited</t>
  </si>
  <si>
    <t>South RibbleOnward Homes Limited</t>
  </si>
  <si>
    <t>South RibblePartners Foundation Limited</t>
  </si>
  <si>
    <t>South RibblePlaces for People Homes Limited</t>
  </si>
  <si>
    <t>South RibblePlaces for People Living+ Limited</t>
  </si>
  <si>
    <t>South RibbleProgress Housing Association Limited</t>
  </si>
  <si>
    <t>South RibbleRegenda Limited</t>
  </si>
  <si>
    <t>South RibbleSage Homes RP Limited</t>
  </si>
  <si>
    <t>South RibbleSanctuary Affordable Housing Limited</t>
  </si>
  <si>
    <t>South RibbleTogether Housing Association Limited</t>
  </si>
  <si>
    <t>South RibbleYour Housing Limited</t>
  </si>
  <si>
    <t>South StaffordshireAnchor Hanover Group</t>
  </si>
  <si>
    <t>South StaffordshireAspire Housing Limited</t>
  </si>
  <si>
    <t>South StaffordshireAuckland Home Solutions CIC</t>
  </si>
  <si>
    <t>South StaffordshireBespoke Supportive Tenancies Ltd</t>
  </si>
  <si>
    <t>South StaffordshireBromford Housing Association Limited</t>
  </si>
  <si>
    <t>South StaffordshireGreenSquareAccord Limited</t>
  </si>
  <si>
    <t>South StaffordshireHeylo Housing Registered Provider Limited</t>
  </si>
  <si>
    <t>South StaffordshireHomes Plus Limited</t>
  </si>
  <si>
    <t>South StaffordshireInclusion Housing Community Interest Company</t>
  </si>
  <si>
    <t>South StaffordshireMidland Heart Limited</t>
  </si>
  <si>
    <t>South StaffordshireSage Homes RP Limited</t>
  </si>
  <si>
    <t>South StaffordshireSage Rented Limited</t>
  </si>
  <si>
    <t>South StaffordshireSanctuary Housing Association</t>
  </si>
  <si>
    <t>South StaffordshireSparrow Shared Ownership Limited</t>
  </si>
  <si>
    <t>South StaffordshireStonewater Limited</t>
  </si>
  <si>
    <t>South StaffordshireThe Wrekin Housing Group Limited</t>
  </si>
  <si>
    <t>South StaffordshireWalsall Housing Group Limited</t>
  </si>
  <si>
    <t>South StaffordshireWestmoreland Supported Housing Limited</t>
  </si>
  <si>
    <t>South TynesideAccent Housing Limited</t>
  </si>
  <si>
    <t>South TynesideAnchor Hanover Group</t>
  </si>
  <si>
    <t>South TynesideBernicia Group</t>
  </si>
  <si>
    <t>South TynesideBomarsund Housing Co-operative Limited</t>
  </si>
  <si>
    <t>South TynesideDimensions (UK) Limited</t>
  </si>
  <si>
    <t>South TynesideDurham Aged Mineworkers' Homes Association</t>
  </si>
  <si>
    <t>South TynesideGentoo Group Limited</t>
  </si>
  <si>
    <t>South TynesideGolden Lane Housing Limited</t>
  </si>
  <si>
    <t>South TynesideHalo Housing Association Limited</t>
  </si>
  <si>
    <t>South TynesideHeylo Housing Registered Provider Limited</t>
  </si>
  <si>
    <t>South TynesideHome Group Limited</t>
  </si>
  <si>
    <t>South TynesideHousing 21</t>
  </si>
  <si>
    <t>South TynesideJane Cameron's Old People's Charity</t>
  </si>
  <si>
    <t>South TynesideKarbon Homes Limited</t>
  </si>
  <si>
    <t>South TynesideLegal &amp; General Affordable Homes Limited</t>
  </si>
  <si>
    <t>South TynesideNorth Star Housing Group</t>
  </si>
  <si>
    <t>South TynesidePlaces for People Homes Limited</t>
  </si>
  <si>
    <t>South TynesidePlaces for People Living+ Limited</t>
  </si>
  <si>
    <t>South TynesideRailway Housing Association and Benefit Fund</t>
  </si>
  <si>
    <t>South TynesideSanctuary Housing Association</t>
  </si>
  <si>
    <t>South TynesideTCUK Homes Limited</t>
  </si>
  <si>
    <t>South TynesideThe Riverside Group Limited</t>
  </si>
  <si>
    <t>South TynesideThirteen Housing Group Limited</t>
  </si>
  <si>
    <t>South TynesideTyne Housing Association Limited</t>
  </si>
  <si>
    <t>SouthamptonA2Dominion Homes Limited</t>
  </si>
  <si>
    <t>SouthamptonAbility Housing Association</t>
  </si>
  <si>
    <t>SouthamptonAbri Group Limited</t>
  </si>
  <si>
    <t>SouthamptonAdvance Housing and Support Limited</t>
  </si>
  <si>
    <t>SouthamptonAnchor Hanover Group</t>
  </si>
  <si>
    <t>SouthamptonAster Communities</t>
  </si>
  <si>
    <t>SouthamptonBespoke Supportive Tenancies Ltd</t>
  </si>
  <si>
    <t>SouthamptonBirnbeck Housing Association Limited</t>
  </si>
  <si>
    <t>SouthamptonClarion Housing Association Limited</t>
  </si>
  <si>
    <t>SouthamptonFalcon Housing Association C.I.C</t>
  </si>
  <si>
    <t>SouthamptonGolden Lane Housing Limited</t>
  </si>
  <si>
    <t>SouthamptonHabinteg Housing Association Limited</t>
  </si>
  <si>
    <t>SouthamptonHamwic Housing Co-operative Limited</t>
  </si>
  <si>
    <t>SouthamptonHeylo Housing Registered Provider Limited</t>
  </si>
  <si>
    <t>SouthamptonHilldale Housing Association Limited</t>
  </si>
  <si>
    <t>SouthamptonHome Group Limited</t>
  </si>
  <si>
    <t>SouthamptonHousing 21</t>
  </si>
  <si>
    <t>SouthamptonHyde Housing Association Limited</t>
  </si>
  <si>
    <t>SouthamptonInclusion Housing Community Interest Company</t>
  </si>
  <si>
    <t>SouthamptonLondon &amp; Quadrant Housing Trust</t>
  </si>
  <si>
    <t>SouthamptonMartlet Homes Limited</t>
  </si>
  <si>
    <t>SouthamptonMoat Homes Limited</t>
  </si>
  <si>
    <t>SouthamptonPlaces for People Homes Limited</t>
  </si>
  <si>
    <t>SouthamptonPlaces for People Living+ Limited</t>
  </si>
  <si>
    <t>SouthamptonReside Housing Association Limited</t>
  </si>
  <si>
    <t>SouthamptonSage Homes RP Limited</t>
  </si>
  <si>
    <t>SouthamptonSanctuary Housing Association</t>
  </si>
  <si>
    <t>SouthamptonSaxon Weald</t>
  </si>
  <si>
    <t>SouthamptonSouthern Housing</t>
  </si>
  <si>
    <t>SouthamptonSovereign Network Group</t>
  </si>
  <si>
    <t>SouthamptonStonewater (5) Limited</t>
  </si>
  <si>
    <t>SouthamptonStonewater Limited</t>
  </si>
  <si>
    <t>SouthamptonThe Abbeyfield Society</t>
  </si>
  <si>
    <t>SouthamptonThe Guinness Partnership Limited</t>
  </si>
  <si>
    <t>SouthamptonThe Society of St James</t>
  </si>
  <si>
    <t>SouthamptonThe Swaythling Housing Society Limited</t>
  </si>
  <si>
    <t>SouthamptonThorner's Homes</t>
  </si>
  <si>
    <t>SouthamptonTwo Saints Limited</t>
  </si>
  <si>
    <t>SouthamptonVivid Housing Limited</t>
  </si>
  <si>
    <t>SouthamptonWestmoreland Supported Housing Limited</t>
  </si>
  <si>
    <t>SouthamptonYMCA Fairthorne Housing</t>
  </si>
  <si>
    <t>Southend-on-SeaAdvance Housing and Support Limited</t>
  </si>
  <si>
    <t>Southend-on-SeaAnchor Hanover Group</t>
  </si>
  <si>
    <t>Southend-on-SeaAvocet Care &amp; Support Ltd</t>
  </si>
  <si>
    <t>Southend-on-SeaCWL Housing</t>
  </si>
  <si>
    <t>Southend-on-SeaChelmer Housing Partnership Limited</t>
  </si>
  <si>
    <t>Southend-on-SeaChrysalis Supported Association Limited</t>
  </si>
  <si>
    <t>Southend-on-SeaEmpower Housing Association Limited</t>
  </si>
  <si>
    <t>Southend-on-SeaEncircle Housing</t>
  </si>
  <si>
    <t>Southend-on-SeaEstuary Housing Association Limited</t>
  </si>
  <si>
    <t>Southend-on-SeaGolden Lane Housing Limited</t>
  </si>
  <si>
    <t>Southend-on-SeaHabinteg Housing Association Limited</t>
  </si>
  <si>
    <t>Southend-on-SeaHastoe Housing Association Limited</t>
  </si>
  <si>
    <t>Southend-on-SeaHome Group Limited</t>
  </si>
  <si>
    <t>Southend-on-SeaHomeless Action Resource Project</t>
  </si>
  <si>
    <t>Southend-on-SeaInclusion Housing Community Interest Company</t>
  </si>
  <si>
    <t>Southend-on-SeaLegal &amp; General Affordable Homes Limited</t>
  </si>
  <si>
    <t>Southend-on-SeaLocal Space</t>
  </si>
  <si>
    <t>Southend-on-SeaLondon &amp; Quadrant Housing Trust</t>
  </si>
  <si>
    <t>Southend-on-SeaM&amp;G UK Shared Ownership Limited</t>
  </si>
  <si>
    <t>Southend-on-SeaMetropolitan Housing Trust Limited</t>
  </si>
  <si>
    <t>Southend-on-SeaMoat Homes Limited</t>
  </si>
  <si>
    <t>Southend-on-SeaNotting Hill Genesis</t>
  </si>
  <si>
    <t>Southend-on-SeaOrbit Group Limited</t>
  </si>
  <si>
    <t>Southend-on-SeaPeabody Trust</t>
  </si>
  <si>
    <t>Southend-on-SeaPlaces for People Homes Limited</t>
  </si>
  <si>
    <t>Southend-on-SeaSage Homes RP Limited</t>
  </si>
  <si>
    <t>Southend-on-SeaSalvation Army Housing Association</t>
  </si>
  <si>
    <t>Southend-on-SeaSanctuary Affordable Housing Limited</t>
  </si>
  <si>
    <t>Southend-on-SeaSanctuary Housing Association</t>
  </si>
  <si>
    <t>Southend-on-SeaSouthend-on-Sea Young Men's Christian Association</t>
  </si>
  <si>
    <t>Southend-on-SeaSouthern Housing</t>
  </si>
  <si>
    <t>Southend-on-SeaSparrow Shared Ownership Limited</t>
  </si>
  <si>
    <t>Southend-on-SeaSwan Housing Association Limited</t>
  </si>
  <si>
    <t>Southend-on-SeaThe Field Lane Foundation</t>
  </si>
  <si>
    <t>Southend-on-SeaThe Guinness Partnership Limited</t>
  </si>
  <si>
    <t>Southend-on-SeaThe Riverside Group Limited</t>
  </si>
  <si>
    <t>Southend-on-SeaWaythrough</t>
  </si>
  <si>
    <t>SouthwarkA2Dominion Homes Limited</t>
  </si>
  <si>
    <t>SouthwarkAnchor Hanover Group</t>
  </si>
  <si>
    <t>SouthwarkArhag Housing Association Limited</t>
  </si>
  <si>
    <t>SouthwarkArundel Buildings Housing Co-operative Limited</t>
  </si>
  <si>
    <t>SouthwarkAsh-Shahada Housing Association Limited</t>
  </si>
  <si>
    <t>SouthwarkBrandrams Housing Co-operative Limited</t>
  </si>
  <si>
    <t>SouthwarkBrighton Buildings Housing Co-operative Limited</t>
  </si>
  <si>
    <t>SouthwarkCentral and Cecil Housing Trust</t>
  </si>
  <si>
    <t>SouthwarkCentrepoint Soho</t>
  </si>
  <si>
    <t>SouthwarkClarion Housing Association Limited</t>
  </si>
  <si>
    <t>SouthwarkCoin Street Secondary Housing Co-operative Limited</t>
  </si>
  <si>
    <t>SouthwarkEkarro Housing Co-operative Limited</t>
  </si>
  <si>
    <t>SouthwarkEkaya Housing Association Limited</t>
  </si>
  <si>
    <t>SouthwarkGolden Lane Housing Limited</t>
  </si>
  <si>
    <t>SouthwarkHabinteg Housing Association Limited</t>
  </si>
  <si>
    <t>SouthwarkHelen Peele Memorial Almshouses</t>
  </si>
  <si>
    <t>SouthwarkHexagon Housing Association Limited</t>
  </si>
  <si>
    <t>SouthwarkHeylo Housing Registered Provider Limited</t>
  </si>
  <si>
    <t>SouthwarkHopton's Charity</t>
  </si>
  <si>
    <t>SouthwarkHousing 21</t>
  </si>
  <si>
    <t>SouthwarkHousing For Women</t>
  </si>
  <si>
    <t>SouthwarkHyde Housing Association Limited</t>
  </si>
  <si>
    <t>SouthwarkJust Circle Limited</t>
  </si>
  <si>
    <t>SouthwarkKeniston Housing Association Limited</t>
  </si>
  <si>
    <t>SouthwarkLambeth and Southwark Housing Association Limited</t>
  </si>
  <si>
    <t>SouthwarkLocal Space</t>
  </si>
  <si>
    <t>SouthwarkLondon &amp; Quadrant Housing Trust</t>
  </si>
  <si>
    <t>SouthwarkLook Ahead Care and Support Limited</t>
  </si>
  <si>
    <t>SouthwarkMetropolitan Housing Trust Limited</t>
  </si>
  <si>
    <t>SouthwarkMoat Homes Limited</t>
  </si>
  <si>
    <t>SouthwarkNew World Housing Association Limited</t>
  </si>
  <si>
    <t>SouthwarkNotting Hill Genesis</t>
  </si>
  <si>
    <t>SouthwarkNotting Hill Home Ownership Limited</t>
  </si>
  <si>
    <t>SouthwarkOctavia Housing</t>
  </si>
  <si>
    <t>SouthwarkOrigin Housing Limited</t>
  </si>
  <si>
    <t>SouthwarkParagon Asra Housing Limited</t>
  </si>
  <si>
    <t>SouthwarkPeabody Trust</t>
  </si>
  <si>
    <t>SouthwarkPenge Churches Housing Association Limited</t>
  </si>
  <si>
    <t>SouthwarkPinnacle Affordable Homes Ltd</t>
  </si>
  <si>
    <t>SouthwarkProvidence Row Housing Association</t>
  </si>
  <si>
    <t>SouthwarkRadcliffe Housing Society Limited</t>
  </si>
  <si>
    <t>SouthwarkRedwood Housing Co-operative Limited</t>
  </si>
  <si>
    <t>SouthwarkRotherhithe Waterside Limited</t>
  </si>
  <si>
    <t>SouthwarkSalvation Army Housing Association</t>
  </si>
  <si>
    <t>SouthwarkSanctuary Housing Association</t>
  </si>
  <si>
    <t>SouthwarkSouthern Housing</t>
  </si>
  <si>
    <t>SouthwarkSt George's Church Housing Co-operative Limited</t>
  </si>
  <si>
    <t>SouthwarkSt Mungo Community Housing Association</t>
  </si>
  <si>
    <t>SouthwarkSwan Lane Housing Co-operative Limited</t>
  </si>
  <si>
    <t>SouthwarkThe Abbeyfield Dulwich Society Limited</t>
  </si>
  <si>
    <t>SouthwarkThe Guinness Partnership Limited</t>
  </si>
  <si>
    <t>SouthwarkThe Industrial Dwellings Society (1885) Limited</t>
  </si>
  <si>
    <t>SouthwarkThe Riverside Group Limited</t>
  </si>
  <si>
    <t>SouthwarkTurning Point</t>
  </si>
  <si>
    <t>SouthwarkWandle Housing Association Limited</t>
  </si>
  <si>
    <t>SouthwarkWestmoreland Supported Housing Limited</t>
  </si>
  <si>
    <t>SouthwarkWindsor Walk Housing Association Limited</t>
  </si>
  <si>
    <t>SpelthorneA2Dominion Housing Options Limited</t>
  </si>
  <si>
    <t>SpelthorneA2Dominion South Limited</t>
  </si>
  <si>
    <t>SpelthorneAbility Housing Association</t>
  </si>
  <si>
    <t>SpelthorneClarion Housing Association Limited</t>
  </si>
  <si>
    <t>SpelthorneGolden Lane Housing Limited</t>
  </si>
  <si>
    <t>SpelthorneHousing 21</t>
  </si>
  <si>
    <t>SpelthorneLondon &amp; Quadrant Housing Trust</t>
  </si>
  <si>
    <t>SpelthorneMetropolitan Housing Trust Limited</t>
  </si>
  <si>
    <t>SpelthorneMount Green Housing Association Limited</t>
  </si>
  <si>
    <t>SpelthorneNotting Hill Genesis</t>
  </si>
  <si>
    <t>SpelthorneNotting Hill Home Ownership Limited</t>
  </si>
  <si>
    <t>SpelthorneParagon Asra Housing Limited</t>
  </si>
  <si>
    <t>SpelthornePeabody Trust</t>
  </si>
  <si>
    <t>SpelthorneRichmond Housing Partnership Limited</t>
  </si>
  <si>
    <t>SpelthorneRowland Hill and Vaughan Almshouse Charity</t>
  </si>
  <si>
    <t>SpelthorneThe Guinness Partnership Limited</t>
  </si>
  <si>
    <t>SpelthorneTransform Housing &amp; Support</t>
  </si>
  <si>
    <t>St AlbansAbility Housing Association</t>
  </si>
  <si>
    <t>St AlbansAmplius Living</t>
  </si>
  <si>
    <t>St AlbansAnchor Hanover Group</t>
  </si>
  <si>
    <t>St AlbansAuckland Home Solutions CIC</t>
  </si>
  <si>
    <t>St AlbansB3 Living Limited</t>
  </si>
  <si>
    <t>St AlbansClarion Housing Association Limited</t>
  </si>
  <si>
    <t>St AlbansDimensions (UK) Limited</t>
  </si>
  <si>
    <t>St AlbansFirst Priority Housing Association Limited</t>
  </si>
  <si>
    <t>St AlbansHeylo Housing Registered Provider Limited</t>
  </si>
  <si>
    <t>St AlbansHightown Housing Association Limited</t>
  </si>
  <si>
    <t>St AlbansHome Group Limited</t>
  </si>
  <si>
    <t>St AlbansHousing 21</t>
  </si>
  <si>
    <t>St AlbansLife 2009</t>
  </si>
  <si>
    <t>St AlbansNotting Hill Genesis</t>
  </si>
  <si>
    <t>St AlbansNotting Hill Home Ownership Limited</t>
  </si>
  <si>
    <t>St AlbansOrigin Housing Limited</t>
  </si>
  <si>
    <t>St AlbansParadigm Homes Charitable Housing Association Limited</t>
  </si>
  <si>
    <t>St AlbansParagon Asra Housing Limited</t>
  </si>
  <si>
    <t>St AlbansPeabody Trust</t>
  </si>
  <si>
    <t>St AlbansReside Housing Association Limited</t>
  </si>
  <si>
    <t>St AlbansSage Rented Limited</t>
  </si>
  <si>
    <t>St AlbansSettle Group</t>
  </si>
  <si>
    <t>St AlbansSovereign Network Group</t>
  </si>
  <si>
    <t>St AlbansSparrow Shared Ownership Limited</t>
  </si>
  <si>
    <t>St AlbansThrive Homes Limited</t>
  </si>
  <si>
    <t>St AlbansWatford Community Housing Trust</t>
  </si>
  <si>
    <t>St Albansbpha Limited</t>
  </si>
  <si>
    <t>St. HelensAccent Housing Limited</t>
  </si>
  <si>
    <t>St. HelensAlpha (R.S.L.) Limited</t>
  </si>
  <si>
    <t>St. HelensClarion Housing Association Limited</t>
  </si>
  <si>
    <t>St. HelensEmpower Housing Association Limited</t>
  </si>
  <si>
    <t>St. HelensForHousing Limited</t>
  </si>
  <si>
    <t>St. HelensGolden Lane Housing Limited</t>
  </si>
  <si>
    <t>St. HelensGreat Places Housing Association</t>
  </si>
  <si>
    <t>St. HelensHeylo Housing Registered Provider Limited</t>
  </si>
  <si>
    <t>St. HelensHousing 21</t>
  </si>
  <si>
    <t>St. HelensInclusion Housing Community Interest Company</t>
  </si>
  <si>
    <t>St. HelensJigsaw Homes North</t>
  </si>
  <si>
    <t>St. HelensLivv Housing Group</t>
  </si>
  <si>
    <t>St. HelensOne Vision Housing Limited</t>
  </si>
  <si>
    <t>St. HelensOnward Homes Limited</t>
  </si>
  <si>
    <t>St. HelensPartners Foundation Limited</t>
  </si>
  <si>
    <t>St. HelensPlaces for People Homes Limited</t>
  </si>
  <si>
    <t>St. HelensPlaces for People Living+ Limited</t>
  </si>
  <si>
    <t>St. HelensPlus Dane Housing Limited</t>
  </si>
  <si>
    <t>St. HelensProgress Housing Association Limited</t>
  </si>
  <si>
    <t>St. HelensRegenda Limited</t>
  </si>
  <si>
    <t>St. HelensReside Housing Association Limited</t>
  </si>
  <si>
    <t>St. HelensSalvation Army Housing Association</t>
  </si>
  <si>
    <t>St. HelensSanctuary Affordable Housing Limited</t>
  </si>
  <si>
    <t>St. HelensSanctuary Housing Association</t>
  </si>
  <si>
    <t>St. HelensThe Riverside Group Limited</t>
  </si>
  <si>
    <t>St. HelensTorus62 Limited</t>
  </si>
  <si>
    <t>St. HelensWarrington Housing Association Limited</t>
  </si>
  <si>
    <t>St. HelensYMCA St Helens</t>
  </si>
  <si>
    <t>St. HelensYour Housing Limited</t>
  </si>
  <si>
    <t>StaffordAdvance Housing and Support Limited</t>
  </si>
  <si>
    <t>StaffordAspire Housing Limited</t>
  </si>
  <si>
    <t>StaffordAuxesia Homes Limited</t>
  </si>
  <si>
    <t>StaffordBespoke Supportive Tenancies Ltd</t>
  </si>
  <si>
    <t>StaffordBromford Housing Association Limited</t>
  </si>
  <si>
    <t>StaffordChoices Housing Association Limited</t>
  </si>
  <si>
    <t>StaffordGreenSquareAccord Limited</t>
  </si>
  <si>
    <t>StaffordHeylo Housing Registered Provider Limited</t>
  </si>
  <si>
    <t>StaffordHomes Plus Limited</t>
  </si>
  <si>
    <t>StaffordHoneycomb Group Limited</t>
  </si>
  <si>
    <t>StaffordHousing 21</t>
  </si>
  <si>
    <t>StaffordInclusion Housing Community Interest Company</t>
  </si>
  <si>
    <t>StaffordMidland Heart Limited</t>
  </si>
  <si>
    <t>StaffordPlatform Housing Limited</t>
  </si>
  <si>
    <t>StaffordSage Homes RP Limited</t>
  </si>
  <si>
    <t>StaffordSage Rented Limited</t>
  </si>
  <si>
    <t>StaffordSanctuary Affordable Housing Limited</t>
  </si>
  <si>
    <t>StaffordSanctuary Housing Association</t>
  </si>
  <si>
    <t>StaffordSparrow Shared Ownership Limited</t>
  </si>
  <si>
    <t>StaffordThe Riverside Group Limited</t>
  </si>
  <si>
    <t>StaffordThe Wrekin Housing Group Limited</t>
  </si>
  <si>
    <t>StaffordTurning Point</t>
  </si>
  <si>
    <t>StaffordWalsall Housing Group Limited</t>
  </si>
  <si>
    <t>StaffordWaythrough</t>
  </si>
  <si>
    <t>Staffordshire MoorlandsAnchor Hanover Group</t>
  </si>
  <si>
    <t>Staffordshire MoorlandsAspire Housing Limited</t>
  </si>
  <si>
    <t>Staffordshire MoorlandsAuxesia Homes Limited</t>
  </si>
  <si>
    <t>Staffordshire MoorlandsBespoke Supportive Tenancies Ltd</t>
  </si>
  <si>
    <t>Staffordshire MoorlandsBrighter Futures Housing Association Limited</t>
  </si>
  <si>
    <t>Staffordshire MoorlandsCondlyffe Charity</t>
  </si>
  <si>
    <t>Staffordshire MoorlandsEMH Housing and Regeneration Limited</t>
  </si>
  <si>
    <t>Staffordshire MoorlandsEmpowering People Inspiring Communities Limited</t>
  </si>
  <si>
    <t>Staffordshire MoorlandsFramework Housing Association</t>
  </si>
  <si>
    <t>Staffordshire MoorlandsGreat Places Housing Association</t>
  </si>
  <si>
    <t>Staffordshire MoorlandsGreenSquareAccord Limited</t>
  </si>
  <si>
    <t>Staffordshire MoorlandsHalo Housing Association Limited</t>
  </si>
  <si>
    <t>Staffordshire MoorlandsHeylo Housing Registered Provider Limited</t>
  </si>
  <si>
    <t>Staffordshire MoorlandsHilldale Housing Association Limited</t>
  </si>
  <si>
    <t>Staffordshire MoorlandsHoneycomb Group Limited</t>
  </si>
  <si>
    <t>Staffordshire MoorlandsHousing 21</t>
  </si>
  <si>
    <t>Staffordshire MoorlandsInclusion Housing Community Interest Company</t>
  </si>
  <si>
    <t>Staffordshire MoorlandsJigsaw Homes North</t>
  </si>
  <si>
    <t>Staffordshire MoorlandsLets for Life</t>
  </si>
  <si>
    <t>Staffordshire MoorlandsMidland Heart Limited</t>
  </si>
  <si>
    <t>Staffordshire MoorlandsPeak District Rural Housing Association Limited</t>
  </si>
  <si>
    <t>Staffordshire MoorlandsPlus Dane Housing Limited</t>
  </si>
  <si>
    <t>Staffordshire MoorlandsSage Homes RP Limited</t>
  </si>
  <si>
    <t>Staffordshire MoorlandsSage Rented Limited</t>
  </si>
  <si>
    <t>Staffordshire MoorlandsSanctuary Housing Association</t>
  </si>
  <si>
    <t>Staffordshire MoorlandsSparrow Shared Ownership Limited</t>
  </si>
  <si>
    <t>Staffordshire MoorlandsThe Ash Homes</t>
  </si>
  <si>
    <t>Staffordshire MoorlandsThe Wrekin Housing Group Limited</t>
  </si>
  <si>
    <t>Staffordshire MoorlandsYour Housing Limited</t>
  </si>
  <si>
    <t>StevenageAdvance Housing and Support Limited</t>
  </si>
  <si>
    <t>StevenageAnchor Hanover Group</t>
  </si>
  <si>
    <t>StevenageAuckland Home Solutions CIC</t>
  </si>
  <si>
    <t>StevenageB3 Living Limited</t>
  </si>
  <si>
    <t>StevenageBespoke Supportive Tenancies Ltd</t>
  </si>
  <si>
    <t>StevenageClarion Housing Association Limited</t>
  </si>
  <si>
    <t>StevenageEncircle Housing</t>
  </si>
  <si>
    <t>StevenageFalcon Housing Association C.I.C</t>
  </si>
  <si>
    <t>StevenageFirst Garden Cities Homes Limited</t>
  </si>
  <si>
    <t>StevenageFirst Priority Housing Association Limited</t>
  </si>
  <si>
    <t>StevenageGemini Housing Co-operative Limited</t>
  </si>
  <si>
    <t>StevenageGolden Lane Housing Limited</t>
  </si>
  <si>
    <t>StevenageHastoe Housing Association Limited</t>
  </si>
  <si>
    <t>StevenageHightown Housing Association Limited</t>
  </si>
  <si>
    <t>StevenageHilldale Housing Association Limited</t>
  </si>
  <si>
    <t>StevenageHome Group Limited</t>
  </si>
  <si>
    <t>StevenageHousing 21</t>
  </si>
  <si>
    <t>StevenageLondon &amp; Quadrant Housing Trust</t>
  </si>
  <si>
    <t>StevenageMetropolitan Housing Trust Limited</t>
  </si>
  <si>
    <t>StevenageNotting Hill Genesis</t>
  </si>
  <si>
    <t>StevenageNotting Hill Home Ownership Limited</t>
  </si>
  <si>
    <t>StevenageOne YMCA</t>
  </si>
  <si>
    <t>StevenageOrigin Housing Limited</t>
  </si>
  <si>
    <t>StevenageParadigm Homes Charitable Housing Association Limited</t>
  </si>
  <si>
    <t>StevenagePeabody Trust</t>
  </si>
  <si>
    <t>StevenageReside Housing Association Limited</t>
  </si>
  <si>
    <t>StevenageSettle Group</t>
  </si>
  <si>
    <t>StevenageSovereign Network Group</t>
  </si>
  <si>
    <t>StevenageThe Guinness Partnership Limited</t>
  </si>
  <si>
    <t>StevenageWisden Housing Co-operative Limited</t>
  </si>
  <si>
    <t>Stevenagebpha Limited</t>
  </si>
  <si>
    <t>StockportAnchor Hanover Group</t>
  </si>
  <si>
    <t>StockportArawak Walton Housing Association Limited</t>
  </si>
  <si>
    <t>StockportBolton at Home Limited</t>
  </si>
  <si>
    <t>StockportCare Housing Association Limited</t>
  </si>
  <si>
    <t>StockportCreative Support Limited</t>
  </si>
  <si>
    <t>StockportEmpower Housing Association Limited</t>
  </si>
  <si>
    <t>StockportEncircle Housing</t>
  </si>
  <si>
    <t>StockportFalcon Housing Association C.I.C</t>
  </si>
  <si>
    <t>StockportGolden Lane Housing Limited</t>
  </si>
  <si>
    <t>StockportGreat Places Housing Association</t>
  </si>
  <si>
    <t>StockportHalo Housing Association Limited</t>
  </si>
  <si>
    <t>StockportHousing 21</t>
  </si>
  <si>
    <t>StockportInclusion Housing Community Interest Company</t>
  </si>
  <si>
    <t>StockportIrwell Valley Housing Association Limited</t>
  </si>
  <si>
    <t>StockportJigsaw Homes North</t>
  </si>
  <si>
    <t>StockportJigsaw Homes Tameside</t>
  </si>
  <si>
    <t>StockportLets for Life</t>
  </si>
  <si>
    <t>StockportLondon &amp; Quadrant Housing Trust</t>
  </si>
  <si>
    <t>StockportMosscare St. Vincent's Housing Group Limited</t>
  </si>
  <si>
    <t>StockportMuir Group Housing Association Limited</t>
  </si>
  <si>
    <t>StockportOnward Homes Limited</t>
  </si>
  <si>
    <t>StockportPartners Foundation Limited</t>
  </si>
  <si>
    <t>StockportPlaces for People Homes Limited</t>
  </si>
  <si>
    <t>StockportPlaces for People Living+ Limited</t>
  </si>
  <si>
    <t>StockportProgress Housing Association Limited</t>
  </si>
  <si>
    <t>StockportSage Rented Limited</t>
  </si>
  <si>
    <t>StockportSanctuary Housing Association</t>
  </si>
  <si>
    <t>StockportSparrow Shared Ownership Limited</t>
  </si>
  <si>
    <t>StockportStockport Homes Limited</t>
  </si>
  <si>
    <t>StockportThe Abbeyfield Society</t>
  </si>
  <si>
    <t>StockportThe Guinness Partnership Limited</t>
  </si>
  <si>
    <t>StockportThe Riverside Group Limited</t>
  </si>
  <si>
    <t>StockportYour Housing Limited</t>
  </si>
  <si>
    <t>Stockton-on-TeesAccent Housing Limited</t>
  </si>
  <si>
    <t>Stockton-on-TeesAnchor Hanover Group</t>
  </si>
  <si>
    <t>Stockton-on-TeesArpeggio Properties Limited</t>
  </si>
  <si>
    <t>Stockton-on-TeesBelieve Housing Limited</t>
  </si>
  <si>
    <t>Stockton-on-TeesBernicia Group</t>
  </si>
  <si>
    <t>Stockton-on-TeesBeyond Housing Limited</t>
  </si>
  <si>
    <t>Stockton-on-TeesBroadacres Housing Association Limited</t>
  </si>
  <si>
    <t>Stockton-on-TeesCare Housing Association Limited</t>
  </si>
  <si>
    <t>Stockton-on-TeesCreative Support Limited</t>
  </si>
  <si>
    <t>Stockton-on-TeesDimensions (UK) Limited</t>
  </si>
  <si>
    <t>Stockton-on-TeesHabinteg Housing Association Limited</t>
  </si>
  <si>
    <t>Stockton-on-TeesHellens Residential Limited</t>
  </si>
  <si>
    <t>Stockton-on-TeesHeylo Housing Registered Provider Limited</t>
  </si>
  <si>
    <t>Stockton-on-TeesHome Group Limited</t>
  </si>
  <si>
    <t>Stockton-on-TeesHousing 21</t>
  </si>
  <si>
    <t>Stockton-on-TeesKarbon Homes Limited</t>
  </si>
  <si>
    <t>Stockton-on-TeesLivin Housing Limited</t>
  </si>
  <si>
    <t>Stockton-on-TeesNew Walk Property Management CIC</t>
  </si>
  <si>
    <t>Stockton-on-TeesNorth Star Housing Group</t>
  </si>
  <si>
    <t>Stockton-on-TeesPlaces for People Homes Limited</t>
  </si>
  <si>
    <t>Stockton-on-TeesRailway Housing Association and Benefit Fund</t>
  </si>
  <si>
    <t>Stockton-on-TeesThe Riverside Group Limited</t>
  </si>
  <si>
    <t>Stockton-on-TeesThirteen Housing Group Limited</t>
  </si>
  <si>
    <t>Stockton-on-TeesTogether Housing Association Limited</t>
  </si>
  <si>
    <t>Stoke-on-TrentAdullam Homes Housing Association Limited</t>
  </si>
  <si>
    <t>Stoke-on-TrentAnchor Hanover Group</t>
  </si>
  <si>
    <t>Stoke-on-TrentAspire Housing Limited</t>
  </si>
  <si>
    <t>Stoke-on-TrentBlue Square Residential Ltd</t>
  </si>
  <si>
    <t>Stoke-on-TrentBrighter Futures Housing Association Limited</t>
  </si>
  <si>
    <t>Stoke-on-TrentChoices Housing Association Limited</t>
  </si>
  <si>
    <t>Stoke-on-TrentClarion Housing Association Limited</t>
  </si>
  <si>
    <t>Stoke-on-TrentEmpowering People Inspiring Communities Limited</t>
  </si>
  <si>
    <t>Stoke-on-TrentGolden Lane Housing Limited</t>
  </si>
  <si>
    <t>Stoke-on-TrentHawes Street Housing Limited</t>
  </si>
  <si>
    <t>Stoke-on-TrentHeylo Housing Registered Provider Limited</t>
  </si>
  <si>
    <t>Stoke-on-TrentHilldale Housing Association Limited</t>
  </si>
  <si>
    <t>Stoke-on-TrentHoneycomb Group Limited</t>
  </si>
  <si>
    <t>Stoke-on-TrentHousing 21</t>
  </si>
  <si>
    <t>Stoke-on-TrentInclusion Housing Community Interest Company</t>
  </si>
  <si>
    <t>Stoke-on-TrentJigsaw Homes Tameside</t>
  </si>
  <si>
    <t>Stoke-on-TrentMidland Heart Limited</t>
  </si>
  <si>
    <t>Stoke-on-TrentNACRO</t>
  </si>
  <si>
    <t>Stoke-on-TrentPlaces for People Living+ Limited</t>
  </si>
  <si>
    <t>Stoke-on-TrentSalvation Army Housing Association</t>
  </si>
  <si>
    <t>Stoke-on-TrentSanctuary Affordable Housing Limited</t>
  </si>
  <si>
    <t>Stoke-on-TrentSanctuary Housing Association</t>
  </si>
  <si>
    <t>Stoke-on-TrentStoke-on-Trent Housing Society Limited</t>
  </si>
  <si>
    <t>Stoke-on-TrentStorm Housing Group Limited</t>
  </si>
  <si>
    <t>Stoke-on-TrentTeachers' Housing Association Limited</t>
  </si>
  <si>
    <t>Stoke-on-TrentThe Riverside Group Limited</t>
  </si>
  <si>
    <t>Stoke-on-TrentThe Wrekin Housing Group Limited</t>
  </si>
  <si>
    <t>Stoke-on-TrentWestmoreland Supported Housing Limited</t>
  </si>
  <si>
    <t>Stoke-on-TrentYMCA North Staffordshire Ltd</t>
  </si>
  <si>
    <t>Stoke-on-TrentYour Housing Limited</t>
  </si>
  <si>
    <t>Stratford-on-AvonAdvance Housing and Support Limited</t>
  </si>
  <si>
    <t>Stratford-on-AvonBespoke Supportive Tenancies Ltd</t>
  </si>
  <si>
    <t>Stratford-on-AvonBromford Home Ownership Limited</t>
  </si>
  <si>
    <t>Stratford-on-AvonBromford Housing Association Limited</t>
  </si>
  <si>
    <t>Stratford-on-AvonCitizen Housing Group Limited</t>
  </si>
  <si>
    <t>Stratford-on-AvonCreative Support Limited</t>
  </si>
  <si>
    <t>Stratford-on-AvonFeldon Housing Limited</t>
  </si>
  <si>
    <t>Stratford-on-AvonGolden Lane Housing Limited</t>
  </si>
  <si>
    <t>Stratford-on-AvonHeylo Housing Registered Provider Limited</t>
  </si>
  <si>
    <t>Stratford-on-AvonHousing 21</t>
  </si>
  <si>
    <t>Stratford-on-AvonInclusion Housing Community Interest Company</t>
  </si>
  <si>
    <t>Stratford-on-AvonLegal &amp; General Affordable Homes (AR) LLP</t>
  </si>
  <si>
    <t>Stratford-on-AvonLegal &amp; General Affordable Homes Limited</t>
  </si>
  <si>
    <t>Stratford-on-AvonLondon &amp; Quadrant Housing Trust</t>
  </si>
  <si>
    <t>Stratford-on-AvonMidland Heart Limited</t>
  </si>
  <si>
    <t>Stratford-on-AvonMunicipal Charities</t>
  </si>
  <si>
    <t>Stratford-on-AvonOrbit Group Limited</t>
  </si>
  <si>
    <t>Stratford-on-AvonOrbit Housing Association Limited</t>
  </si>
  <si>
    <t>Stratford-on-AvonPlatform Housing Limited</t>
  </si>
  <si>
    <t>Stratford-on-AvonSage Homes RP Limited</t>
  </si>
  <si>
    <t>Stratford-on-AvonSage Rented Limited</t>
  </si>
  <si>
    <t>Stratford-on-AvonSambourne Trust</t>
  </si>
  <si>
    <t>Stratford-on-AvonSanctuary Affordable Housing Limited</t>
  </si>
  <si>
    <t>Stratford-on-AvonSanctuary Housing Association</t>
  </si>
  <si>
    <t>Stratford-on-AvonSparrow Shared Ownership Limited</t>
  </si>
  <si>
    <t>Stratford-on-AvonSt Basil's</t>
  </si>
  <si>
    <t>Stratford-on-AvonSt Peter's Saltley Housing Association Limited</t>
  </si>
  <si>
    <t>Stratford-on-AvonStonewater Limited</t>
  </si>
  <si>
    <t>Stratford-on-AvonWalsall Housing Group Limited</t>
  </si>
  <si>
    <t>Stratford-on-AvonWarwickshire Rural Housing Association Limited</t>
  </si>
  <si>
    <t>Stratford-on-AvonWhitehead Almshouses</t>
  </si>
  <si>
    <t>StroudAdvance Housing and Support Limited</t>
  </si>
  <si>
    <t>StroudAnchor Hanover Group</t>
  </si>
  <si>
    <t>StroudAster Communities</t>
  </si>
  <si>
    <t>StroudAuckland Home Solutions CIC</t>
  </si>
  <si>
    <t>StroudBirnbeck Housing Association Limited</t>
  </si>
  <si>
    <t>StroudBlue Square Residential Ltd</t>
  </si>
  <si>
    <t>StroudBromford Housing Association Limited</t>
  </si>
  <si>
    <t>StroudCottsway Housing Association Limited</t>
  </si>
  <si>
    <t>StroudDimensions (UK) Limited</t>
  </si>
  <si>
    <t>StroudElim Housing Association Limited</t>
  </si>
  <si>
    <t>StroudEnglish Rural Housing Association Limited</t>
  </si>
  <si>
    <t>StroudFirst Priority Housing Association Limited</t>
  </si>
  <si>
    <t>StroudGeorge Jones Charity</t>
  </si>
  <si>
    <t>StroudGloucester City Homes Limited</t>
  </si>
  <si>
    <t>StroudGreenSquareAccord Limited</t>
  </si>
  <si>
    <t>StroudHeylo Housing Registered Provider Limited</t>
  </si>
  <si>
    <t>StroudHilldale Housing Association Limited</t>
  </si>
  <si>
    <t>StroudHome Group Limited</t>
  </si>
  <si>
    <t>StroudHousing 21</t>
  </si>
  <si>
    <t>StroudLiveWest Homes Limited</t>
  </si>
  <si>
    <t>StroudMerlin Housing Society Limited</t>
  </si>
  <si>
    <t>StroudPlaces for People Homes Limited</t>
  </si>
  <si>
    <t>StroudPlaces for People Living+ Limited</t>
  </si>
  <si>
    <t>StroudPlatform Housing Limited</t>
  </si>
  <si>
    <t>StroudRooftop Housing Association Limited</t>
  </si>
  <si>
    <t>StroudSage Homes RP Limited</t>
  </si>
  <si>
    <t>StroudSage Rented Limited</t>
  </si>
  <si>
    <t>StroudSalvation Army Housing Association</t>
  </si>
  <si>
    <t>StroudSanctuary Affordable Housing Limited</t>
  </si>
  <si>
    <t>StroudSanctuary Housing Association</t>
  </si>
  <si>
    <t>StroudSovereign Network Group</t>
  </si>
  <si>
    <t>StroudSparrow Shared Ownership Limited</t>
  </si>
  <si>
    <t>StroudStonewater Limited</t>
  </si>
  <si>
    <t>StroudSunny Vale Supported Accommodation Limited</t>
  </si>
  <si>
    <t>StroudThe Guinness Partnership Limited</t>
  </si>
  <si>
    <t>StroudThe Reverend Rowland Hill Almshouse Charity</t>
  </si>
  <si>
    <t>StroudThe Riverside Group Limited</t>
  </si>
  <si>
    <t>StroudTrinity Housing Association Limited</t>
  </si>
  <si>
    <t>StroudTwo Rivers Housing</t>
  </si>
  <si>
    <t>StroudWestmoreland Supported Housing Limited</t>
  </si>
  <si>
    <t>SunderlandAccent Housing Limited</t>
  </si>
  <si>
    <t>SunderlandAged Merchant Seamen's Homes</t>
  </si>
  <si>
    <t>SunderlandAnchor Hanover Group</t>
  </si>
  <si>
    <t>SunderlandAth-Gray Housing Co-operative Limited</t>
  </si>
  <si>
    <t>SunderlandAuckland Home Solutions CIC</t>
  </si>
  <si>
    <t>SunderlandBelieve Housing Limited</t>
  </si>
  <si>
    <t>SunderlandBernicia Group</t>
  </si>
  <si>
    <t>SunderlandBespoke Supportive Tenancies Ltd</t>
  </si>
  <si>
    <t>SunderlandCastles &amp; Coasts Housing Association Limited</t>
  </si>
  <si>
    <t>SunderlandDurham Aged Mineworkers' Homes Association</t>
  </si>
  <si>
    <t>SunderlandFalcon Housing Association C.I.C</t>
  </si>
  <si>
    <t>SunderlandGentoo Group Limited</t>
  </si>
  <si>
    <t>SunderlandGolden Lane Housing Limited</t>
  </si>
  <si>
    <t>SunderlandHellens Residential Limited</t>
  </si>
  <si>
    <t>SunderlandHeylo Housing Registered Provider Limited</t>
  </si>
  <si>
    <t>SunderlandHome Group Limited</t>
  </si>
  <si>
    <t>SunderlandHousing 21</t>
  </si>
  <si>
    <t>SunderlandInclusion Housing Community Interest Company</t>
  </si>
  <si>
    <t>SunderlandJane Gibson Almshouses</t>
  </si>
  <si>
    <t>SunderlandKarbon Homes Limited</t>
  </si>
  <si>
    <t>SunderlandNorth Star Housing Group</t>
  </si>
  <si>
    <t>SunderlandParasol Homes Limited</t>
  </si>
  <si>
    <t>SunderlandPeel Street Housing Co-operative Limited</t>
  </si>
  <si>
    <t>SunderlandPlaces for People Homes Limited</t>
  </si>
  <si>
    <t>SunderlandPlaces for People Living+ Limited</t>
  </si>
  <si>
    <t>SunderlandRailway Housing Association and Benefit Fund</t>
  </si>
  <si>
    <t>SunderlandReside Housing Association Limited</t>
  </si>
  <si>
    <t>SunderlandSalvation Army Housing Association</t>
  </si>
  <si>
    <t>SunderlandSanctuary Housing Association</t>
  </si>
  <si>
    <t>SunderlandSunderland Riverside Housing Co-operative Limited</t>
  </si>
  <si>
    <t>SunderlandTCUK Homes Limited</t>
  </si>
  <si>
    <t>SunderlandThe Abbeyfield Society</t>
  </si>
  <si>
    <t>SunderlandThe Riverside Group Limited</t>
  </si>
  <si>
    <t>SunderlandThirteen Housing Group Limited</t>
  </si>
  <si>
    <t>SunderlandThornholme Housing Co-operative Limited</t>
  </si>
  <si>
    <t>SunderlandWearmouth Housing Co-operative Limited</t>
  </si>
  <si>
    <t>Surrey HeathA2Dominion Housing Options Limited</t>
  </si>
  <si>
    <t>Surrey HeathA2Dominion South Limited</t>
  </si>
  <si>
    <t>Surrey HeathAccent Housing Limited</t>
  </si>
  <si>
    <t>Surrey HeathAdvance Housing and Support Limited</t>
  </si>
  <si>
    <t>Surrey HeathAnchor Hanover Group</t>
  </si>
  <si>
    <t>Surrey HeathAster Communities</t>
  </si>
  <si>
    <t>Surrey HeathBespoke Supportive Tenancies Ltd</t>
  </si>
  <si>
    <t>Surrey HeathClarion Housing Association Limited</t>
  </si>
  <si>
    <t>Surrey HeathFalcon Housing Association C.I.C</t>
  </si>
  <si>
    <t>Surrey HeathHeylo Housing Registered Provider Limited</t>
  </si>
  <si>
    <t>Surrey HeathHome Group Limited</t>
  </si>
  <si>
    <t>Surrey HeathInclusion Housing Community Interest Company</t>
  </si>
  <si>
    <t>Surrey HeathLegal &amp; General Affordable Homes Limited</t>
  </si>
  <si>
    <t>Surrey HeathMetropolitan Housing Trust Limited</t>
  </si>
  <si>
    <t>Surrey HeathMount Green Housing Association Limited</t>
  </si>
  <si>
    <t>Surrey HeathReside Housing Association Limited</t>
  </si>
  <si>
    <t>Surrey HeathSouthern Housing</t>
  </si>
  <si>
    <t>Surrey HeathSovereign Network Group</t>
  </si>
  <si>
    <t>Surrey HeathStonewater Limited</t>
  </si>
  <si>
    <t>Surrey HeathThe Field Lane Foundation</t>
  </si>
  <si>
    <t>Surrey HeathTransform Housing &amp; Support</t>
  </si>
  <si>
    <t>Surrey HeathVivid Housing Limited</t>
  </si>
  <si>
    <t>Surrey HeathWaythrough</t>
  </si>
  <si>
    <t>Surrey HeathWestmoreland Supported Housing Limited</t>
  </si>
  <si>
    <t>SuttonA2Dominion South Limited</t>
  </si>
  <si>
    <t>SuttonAbility Housing Association</t>
  </si>
  <si>
    <t>SuttonAdvance Housing and Support Limited</t>
  </si>
  <si>
    <t>SuttonAnchor Hanover Group</t>
  </si>
  <si>
    <t>SuttonAuckland Home Solutions CIC</t>
  </si>
  <si>
    <t>SuttonClarion Housing Association Limited</t>
  </si>
  <si>
    <t>SuttonCromwood Housing Ltd</t>
  </si>
  <si>
    <t>SuttonCroydon Churches Housing Association Limited</t>
  </si>
  <si>
    <t>SuttonFalcon Housing Association C.I.C</t>
  </si>
  <si>
    <t>SuttonGolden Lane Housing Limited</t>
  </si>
  <si>
    <t>SuttonHome Group Limited</t>
  </si>
  <si>
    <t>SuttonHousing 21</t>
  </si>
  <si>
    <t>SuttonLarcombe Housing Association Limited</t>
  </si>
  <si>
    <t>SuttonLondon &amp; Quadrant Housing Trust</t>
  </si>
  <si>
    <t>SuttonMTD Housing Limited</t>
  </si>
  <si>
    <t>SuttonMetropolitan Housing Trust Limited</t>
  </si>
  <si>
    <t>SuttonMillat Asian Housing Association Limited</t>
  </si>
  <si>
    <t>SuttonMoat Homes Limited</t>
  </si>
  <si>
    <t>SuttonNotting Hill Genesis</t>
  </si>
  <si>
    <t>SuttonNotting Hill Home Ownership Limited</t>
  </si>
  <si>
    <t>SuttonOmega Housing Limited</t>
  </si>
  <si>
    <t>SuttonOrbit Group Limited</t>
  </si>
  <si>
    <t>SuttonOrbit Housing Association Limited</t>
  </si>
  <si>
    <t>SuttonPeabody Trust</t>
  </si>
  <si>
    <t>SuttonPlaces for People Homes Limited</t>
  </si>
  <si>
    <t>SuttonProgress Housing Association Limited</t>
  </si>
  <si>
    <t>SuttonRaven Housing Trust Limited</t>
  </si>
  <si>
    <t>SuttonReside Housing Association Limited</t>
  </si>
  <si>
    <t>SuttonSage Homes RP Limited</t>
  </si>
  <si>
    <t>SuttonSage Rented Limited</t>
  </si>
  <si>
    <t>SuttonSouthern Housing</t>
  </si>
  <si>
    <t>SuttonSouthern Oaks Retirement Living</t>
  </si>
  <si>
    <t>SuttonSparrow Shared Ownership Limited</t>
  </si>
  <si>
    <t>SuttonSt Mungo Community Housing Association</t>
  </si>
  <si>
    <t>SuttonSutton Housing Society Limited</t>
  </si>
  <si>
    <t>SuttonThames Valley Housing Association Limited</t>
  </si>
  <si>
    <t>SuttonThe Guinness Partnership Limited</t>
  </si>
  <si>
    <t>SuttonThe Riverside Group Limited</t>
  </si>
  <si>
    <t>SuttonTransform Housing &amp; Support</t>
  </si>
  <si>
    <t>SuttonWandle Housing Association Limited</t>
  </si>
  <si>
    <t>SuttonWestmoreland Supported Housing Limited</t>
  </si>
  <si>
    <t>SwaleAdvance Housing and Support Limited</t>
  </si>
  <si>
    <t>SwaleAnchor Hanover Group</t>
  </si>
  <si>
    <t>SwaleCharity of Julia Spicer for Almshouses</t>
  </si>
  <si>
    <t>SwaleEnglish Rural Housing Association Limited</t>
  </si>
  <si>
    <t>SwaleGolding Homes Limited</t>
  </si>
  <si>
    <t>SwaleGrainger Trust Limited</t>
  </si>
  <si>
    <t>SwaleHabinteg Housing Association Limited</t>
  </si>
  <si>
    <t>SwaleHeart of Medway Housing Association Limited</t>
  </si>
  <si>
    <t>SwaleHexagon Housing Association Limited</t>
  </si>
  <si>
    <t>SwaleHeylo Housing Registered Provider Limited</t>
  </si>
  <si>
    <t>SwaleHousing 21</t>
  </si>
  <si>
    <t>SwaleHyde Housing Association Limited</t>
  </si>
  <si>
    <t>SwaleLondon &amp; Quadrant Housing Trust</t>
  </si>
  <si>
    <t>SwaleLynsted Housing Co-operative Limited</t>
  </si>
  <si>
    <t>SwaleM&amp;G UK Shared Ownership Limited</t>
  </si>
  <si>
    <t>SwaleMinster Housing Co-operative Limited</t>
  </si>
  <si>
    <t>SwaleMoat Homes Limited</t>
  </si>
  <si>
    <t>SwaleOak Housing Limited</t>
  </si>
  <si>
    <t>SwaleOrbit Group Limited</t>
  </si>
  <si>
    <t>SwaleOrbit Housing Association Limited</t>
  </si>
  <si>
    <t>SwalePlaces for People Homes Limited</t>
  </si>
  <si>
    <t>SwalePlaces for People Living+ Limited</t>
  </si>
  <si>
    <t>SwaleReside Housing Association Limited</t>
  </si>
  <si>
    <t>SwaleSage Homes RP Limited</t>
  </si>
  <si>
    <t>SwaleSage Rented Limited</t>
  </si>
  <si>
    <t>SwaleSanctuary Affordable Housing Limited</t>
  </si>
  <si>
    <t>SwaleSanctuary Housing Association</t>
  </si>
  <si>
    <t>SwaleSouthern Housing</t>
  </si>
  <si>
    <t>SwaleSparrow Shared Ownership Limited</t>
  </si>
  <si>
    <t>SwaleThe Faversham Municipal Charities 2010</t>
  </si>
  <si>
    <t>SwaleThe Riverside Group Limited</t>
  </si>
  <si>
    <t>SwaleWest Kent Housing Association</t>
  </si>
  <si>
    <t>SwindonA2Dominion Homes Limited</t>
  </si>
  <si>
    <t>SwindonAbility Housing Association</t>
  </si>
  <si>
    <t>SwindonAdvance Housing and Support Limited</t>
  </si>
  <si>
    <t>SwindonAnchor Hanover Group</t>
  </si>
  <si>
    <t>SwindonAster 3 Limited</t>
  </si>
  <si>
    <t>SwindonAster Communities</t>
  </si>
  <si>
    <t>SwindonBrighter Places</t>
  </si>
  <si>
    <t>SwindonBromford Housing Association Limited</t>
  </si>
  <si>
    <t>SwindonCottsway Housing Association Limited</t>
  </si>
  <si>
    <t>SwindonFrontis Homes Limited</t>
  </si>
  <si>
    <t>SwindonGolden Lane Housing Limited</t>
  </si>
  <si>
    <t>SwindonGreenSquareAccord Limited</t>
  </si>
  <si>
    <t>SwindonHabinteg Housing Association Limited</t>
  </si>
  <si>
    <t>SwindonHeylo Housing Registered Provider Limited</t>
  </si>
  <si>
    <t>SwindonHome Group Limited</t>
  </si>
  <si>
    <t>SwindonHousing 21</t>
  </si>
  <si>
    <t>SwindonInclusion Housing Community Interest Company</t>
  </si>
  <si>
    <t>SwindonLiveWest Homes Limited</t>
  </si>
  <si>
    <t>SwindonLondon &amp; Quadrant Housing Trust</t>
  </si>
  <si>
    <t>SwindonM&amp;G UK Shared Ownership Limited</t>
  </si>
  <si>
    <t>SwindonMethodist Homes Housing Association Limited</t>
  </si>
  <si>
    <t>SwindonMoat Homes Limited</t>
  </si>
  <si>
    <t>SwindonPlaces for People Homes Limited</t>
  </si>
  <si>
    <t>SwindonPlaces for People Living+ Limited</t>
  </si>
  <si>
    <t>SwindonSage Homes RP Limited</t>
  </si>
  <si>
    <t>SwindonSalvation Army Housing Association</t>
  </si>
  <si>
    <t>SwindonSanctuary Housing Association</t>
  </si>
  <si>
    <t>SwindonSoha Housing Limited</t>
  </si>
  <si>
    <t>SwindonSovereign Network Group</t>
  </si>
  <si>
    <t>SwindonStonewater (5) Limited</t>
  </si>
  <si>
    <t>SwindonStonewater Limited</t>
  </si>
  <si>
    <t>SwindonSynergy Housing Limited</t>
  </si>
  <si>
    <t>SwindonThe Guinness Partnership Limited</t>
  </si>
  <si>
    <t>SwindonThe Riverside Group Limited</t>
  </si>
  <si>
    <t>SwindonWhite Horse Housing Association Limited</t>
  </si>
  <si>
    <t>TamesideAccent Housing Limited</t>
  </si>
  <si>
    <t>TamesideAdullam Homes Housing Association Limited</t>
  </si>
  <si>
    <t>TamesideAdvance Housing and Support Limited</t>
  </si>
  <si>
    <t>TamesideAnchor Hanover Group</t>
  </si>
  <si>
    <t>TamesideAshton Pioneer Homes Limited</t>
  </si>
  <si>
    <t>TamesideBolton at Home Limited</t>
  </si>
  <si>
    <t>TamesideCare Housing Association Limited</t>
  </si>
  <si>
    <t>TamesideCreative Support Limited</t>
  </si>
  <si>
    <t>TamesideEncircle Housing</t>
  </si>
  <si>
    <t>TamesideFairfield Moravian Housing Association Limited</t>
  </si>
  <si>
    <t>TamesideFirst Choice Homes Oldham Limited</t>
  </si>
  <si>
    <t>TamesideFirst Priority Housing Association Limited</t>
  </si>
  <si>
    <t>TamesideGolden Lane Housing Limited</t>
  </si>
  <si>
    <t>TamesideGreat Places Housing Association</t>
  </si>
  <si>
    <t>TamesideHalo Housing Association Limited</t>
  </si>
  <si>
    <t>TamesideHeylo Housing Registered Provider Limited</t>
  </si>
  <si>
    <t>TamesideHilldale Housing Association Limited</t>
  </si>
  <si>
    <t>TamesideHousing 21</t>
  </si>
  <si>
    <t>TamesideInclusion Housing Community Interest Company</t>
  </si>
  <si>
    <t>TamesideIrwell Valley Housing Association Limited</t>
  </si>
  <si>
    <t>TamesideJigsaw Homes Group Limited</t>
  </si>
  <si>
    <t>TamesideJigsaw Homes North</t>
  </si>
  <si>
    <t>TamesideJigsaw Homes Tameside</t>
  </si>
  <si>
    <t>TamesideMosscare St. Vincent's Housing Group Limited</t>
  </si>
  <si>
    <t>TamesideOnward Homes Limited</t>
  </si>
  <si>
    <t>TamesidePlaces for People Homes Limited</t>
  </si>
  <si>
    <t>TamesideRegenda Limited</t>
  </si>
  <si>
    <t>TamesideSanctuary Housing Association</t>
  </si>
  <si>
    <t>TamesideSouthway Housing Trust (Manchester) Limited</t>
  </si>
  <si>
    <t>TamesideThe Guinness Partnership Limited</t>
  </si>
  <si>
    <t>TamesideYour Housing Limited</t>
  </si>
  <si>
    <t>TamworthAnchor Hanover Group</t>
  </si>
  <si>
    <t>TamworthBromford Housing Association Limited</t>
  </si>
  <si>
    <t>TamworthCitizen Housing Group Limited</t>
  </si>
  <si>
    <t>TamworthClarion Housing Association Limited</t>
  </si>
  <si>
    <t>TamworthEMH Housing and Regeneration Limited</t>
  </si>
  <si>
    <t>TamworthEmpower Housing Association Limited</t>
  </si>
  <si>
    <t>TamworthGolden Lane Housing Limited</t>
  </si>
  <si>
    <t>TamworthGreat Places Housing Association</t>
  </si>
  <si>
    <t>TamworthInclusion Housing Community Interest Company</t>
  </si>
  <si>
    <t>TamworthLegal &amp; General Affordable Homes Limited</t>
  </si>
  <si>
    <t>TamworthLegal and General Affordable Homes (Capital) Limited</t>
  </si>
  <si>
    <t>TamworthM&amp;G UK Shared Ownership Limited</t>
  </si>
  <si>
    <t>TamworthMetropolitan Housing Trust Limited</t>
  </si>
  <si>
    <t>TamworthMidland Heart Limited</t>
  </si>
  <si>
    <t>TamworthOrbit Group Limited</t>
  </si>
  <si>
    <t>TamworthOrbit Housing Association Limited</t>
  </si>
  <si>
    <t>TamworthPlaces for People Living+ Limited</t>
  </si>
  <si>
    <t>TamworthPlatform Housing Limited</t>
  </si>
  <si>
    <t>TamworthSage Rented Limited</t>
  </si>
  <si>
    <t>TamworthSparrow Shared Ownership Limited</t>
  </si>
  <si>
    <t>TamworthTamworth Cornerstone Housing Association Limited</t>
  </si>
  <si>
    <t>TamworthThe Riverside Group Limited</t>
  </si>
  <si>
    <t>TamworthTrident Housing Association Limited</t>
  </si>
  <si>
    <t>TamworthWalsall Housing Group Limited</t>
  </si>
  <si>
    <t>TandridgeA2Dominion Homes Limited</t>
  </si>
  <si>
    <t>TandridgeA2Dominion South Limited</t>
  </si>
  <si>
    <t>TandridgeAbbeyfield Wey Valley Society Limited</t>
  </si>
  <si>
    <t>TandridgeClarion Housing Association Limited</t>
  </si>
  <si>
    <t>TandridgeDovepark Properties Limited</t>
  </si>
  <si>
    <t>TandridgeEnglish Rural Housing Association Limited</t>
  </si>
  <si>
    <t>TandridgeGolden Lane Housing Limited</t>
  </si>
  <si>
    <t>TandridgeHabinteg Housing Association Limited</t>
  </si>
  <si>
    <t>TandridgeHalo Housing Association Limited</t>
  </si>
  <si>
    <t>TandridgeHundred Houses Society Limited</t>
  </si>
  <si>
    <t>TandridgeHyde Housing Association Limited</t>
  </si>
  <si>
    <t>TandridgeLondon &amp; Quadrant Housing Trust</t>
  </si>
  <si>
    <t>TandridgeMetropolitan Housing Trust Limited</t>
  </si>
  <si>
    <t>TandridgeMount Green Housing Association Limited</t>
  </si>
  <si>
    <t>TandridgeRadcliffe Housing Society Limited</t>
  </si>
  <si>
    <t>TandridgeRaven Housing Trust Limited</t>
  </si>
  <si>
    <t>TandridgeReside Housing Association Limited</t>
  </si>
  <si>
    <t>TandridgeSouthern Housing</t>
  </si>
  <si>
    <t>TandridgeStonewater (5) Limited</t>
  </si>
  <si>
    <t>TandridgeStonewater Limited</t>
  </si>
  <si>
    <t>TandridgeThe Field Lane Foundation</t>
  </si>
  <si>
    <t>TandridgeThe Guinness Partnership Limited</t>
  </si>
  <si>
    <t>TandridgeThe Mrs Henrietta Frances Le Personne Benevolent Trust</t>
  </si>
  <si>
    <t>TandridgeThe Riverside Group Limited</t>
  </si>
  <si>
    <t>TandridgeTown and Country Housing</t>
  </si>
  <si>
    <t>TandridgeTransform Housing &amp; Support</t>
  </si>
  <si>
    <t>TeignbridgeAdvance Housing and Support Limited</t>
  </si>
  <si>
    <t>TeignbridgeAnchor Hanover Group</t>
  </si>
  <si>
    <t>TeignbridgeAster Communities</t>
  </si>
  <si>
    <t>TeignbridgeBespoke Supportive Tenancies Ltd</t>
  </si>
  <si>
    <t>TeignbridgeClarion Housing Association Limited</t>
  </si>
  <si>
    <t>TeignbridgeCornerstone Housing Limited</t>
  </si>
  <si>
    <t>TeignbridgeEmpower Housing Association Limited</t>
  </si>
  <si>
    <t>TeignbridgeEncircle Housing</t>
  </si>
  <si>
    <t>TeignbridgeGolden Lane Housing Limited</t>
  </si>
  <si>
    <t>TeignbridgeHastoe Housing Association Limited</t>
  </si>
  <si>
    <t>TeignbridgeHeylo Housing Registered Provider Limited</t>
  </si>
  <si>
    <t>TeignbridgeLets for Life</t>
  </si>
  <si>
    <t>TeignbridgeLiveWest Homes Limited</t>
  </si>
  <si>
    <t>TeignbridgeMetropolitan Housing Trust Limited</t>
  </si>
  <si>
    <t>TeignbridgeMoat Homes Limited</t>
  </si>
  <si>
    <t>TeignbridgePlaces for People Living+ Limited</t>
  </si>
  <si>
    <t>TeignbridgeProgress Housing Association Limited</t>
  </si>
  <si>
    <t>TeignbridgeRed Devon Housing Limited</t>
  </si>
  <si>
    <t>TeignbridgeSage Homes RP Limited</t>
  </si>
  <si>
    <t>TeignbridgeSanctuary Affordable Housing Limited</t>
  </si>
  <si>
    <t>TeignbridgeSanctuary Housing Association</t>
  </si>
  <si>
    <t>TeignbridgeSovereign Network Group</t>
  </si>
  <si>
    <t>TeignbridgeStonewater Limited</t>
  </si>
  <si>
    <t>TeignbridgeSynergy Housing Limited</t>
  </si>
  <si>
    <t>TeignbridgeTeign Housing</t>
  </si>
  <si>
    <t>TeignbridgeThe Feoffees of the Parish Lands of Highweek</t>
  </si>
  <si>
    <t>TeignbridgeThe Guinness Partnership Limited</t>
  </si>
  <si>
    <t>TeignbridgeWestward Housing Group Limited</t>
  </si>
  <si>
    <t>TeignbridgeWillow Tree Housing Partnership Limited</t>
  </si>
  <si>
    <t>Telford and WrekinAlpha (R.S.L.) Limited</t>
  </si>
  <si>
    <t>Telford and WrekinAnchor Hanover Group</t>
  </si>
  <si>
    <t>Telford and WrekinAuckland Home Solutions CIC</t>
  </si>
  <si>
    <t>Telford and WrekinBlackburn YMCA</t>
  </si>
  <si>
    <t>Telford and WrekinBoughey Roddam Housing Association</t>
  </si>
  <si>
    <t>Telford and WrekinBournville Village Trust</t>
  </si>
  <si>
    <t>Telford and WrekinBromford Housing Association Limited</t>
  </si>
  <si>
    <t>Telford and WrekinConnexus Homes Limited</t>
  </si>
  <si>
    <t>Telford and WrekinCreative Support Limited</t>
  </si>
  <si>
    <t>Telford and WrekinDimensions (UK) Limited</t>
  </si>
  <si>
    <t>Telford and WrekinGolden Lane Housing Limited</t>
  </si>
  <si>
    <t>Telford and WrekinGreenSquareAccord Limited</t>
  </si>
  <si>
    <t>Telford and WrekinHabinteg Housing Association Limited</t>
  </si>
  <si>
    <t>Telford and WrekinHalo Housing Association Limited</t>
  </si>
  <si>
    <t>Telford and WrekinHeylo Housing Registered Provider Limited</t>
  </si>
  <si>
    <t>Telford and WrekinHome Group Limited</t>
  </si>
  <si>
    <t>Telford and WrekinHomes Plus Limited</t>
  </si>
  <si>
    <t>Telford and WrekinHousing 21</t>
  </si>
  <si>
    <t>Telford and WrekinInclusion Housing Community Interest Company</t>
  </si>
  <si>
    <t>Telford and WrekinLegal &amp; General Affordable Homes Limited</t>
  </si>
  <si>
    <t>Telford and WrekinMidland Heart Limited</t>
  </si>
  <si>
    <t>Telford and WrekinOld Ben Homes Limited</t>
  </si>
  <si>
    <t>Telford and WrekinPlaces for People Homes Limited</t>
  </si>
  <si>
    <t>Telford and WrekinPreferred Homes Limited</t>
  </si>
  <si>
    <t>Telford and WrekinProgress Housing Association Limited</t>
  </si>
  <si>
    <t>Telford and WrekinReside Housing Association Limited</t>
  </si>
  <si>
    <t>Telford and WrekinSage Homes RP Limited</t>
  </si>
  <si>
    <t>Telford and WrekinSanctuary Affordable Housing Limited</t>
  </si>
  <si>
    <t>Telford and WrekinSanctuary Housing Association</t>
  </si>
  <si>
    <t>Telford and WrekinShropshire Rural Housing Association Limited</t>
  </si>
  <si>
    <t>Telford and WrekinThe Wrekin Housing Group Limited</t>
  </si>
  <si>
    <t>Telford and WrekinTrident Housing Association Limited</t>
  </si>
  <si>
    <t>Telford and WrekinWalsall Housing Group Limited</t>
  </si>
  <si>
    <t>TendringAdvance Housing and Support Limited</t>
  </si>
  <si>
    <t>TendringAnchor Hanover Group</t>
  </si>
  <si>
    <t>TendringAuckland Home Solutions CIC</t>
  </si>
  <si>
    <t>TendringChelmer Housing Partnership Limited</t>
  </si>
  <si>
    <t>TendringClarion Housing Association Limited</t>
  </si>
  <si>
    <t>TendringDimensions (UK) Limited</t>
  </si>
  <si>
    <t>TendringEastlight Community Homes Limited</t>
  </si>
  <si>
    <t>TendringEmpower Housing Association Limited</t>
  </si>
  <si>
    <t>TendringEnglish Rural Housing Association Limited</t>
  </si>
  <si>
    <t>TendringEstuary Housing Association Limited</t>
  </si>
  <si>
    <t>TendringFlagship Housing Limited</t>
  </si>
  <si>
    <t>TendringFlint Housing Limited</t>
  </si>
  <si>
    <t>TendringGolden Lane Housing Limited</t>
  </si>
  <si>
    <t>TendringHalo Housing Association Limited</t>
  </si>
  <si>
    <t>TendringHastoe Housing Association Limited</t>
  </si>
  <si>
    <t>TendringHeylo Housing Registered Provider Limited</t>
  </si>
  <si>
    <t>TendringHome Group Limited</t>
  </si>
  <si>
    <t>TendringHousing 21</t>
  </si>
  <si>
    <t>TendringInclusion Housing Community Interest Company</t>
  </si>
  <si>
    <t>TendringLegal &amp; General Affordable Homes (AR) LLP</t>
  </si>
  <si>
    <t>TendringLegal &amp; General Affordable Homes Limited</t>
  </si>
  <si>
    <t>TendringLets for Life</t>
  </si>
  <si>
    <t>TendringLondon &amp; Quadrant Housing Trust</t>
  </si>
  <si>
    <t>TendringM&amp;G UK Shared Ownership Limited</t>
  </si>
  <si>
    <t>TendringNACRO</t>
  </si>
  <si>
    <t>TendringOrwell Housing Association Limited</t>
  </si>
  <si>
    <t>TendringPeabody Trust</t>
  </si>
  <si>
    <t>TendringPlaces for People Homes Limited</t>
  </si>
  <si>
    <t>TendringProgress Housing Association Limited</t>
  </si>
  <si>
    <t>TendringReside Housing Association Limited</t>
  </si>
  <si>
    <t>TendringSaffron Housing Trust Limited</t>
  </si>
  <si>
    <t>TendringSage Homes RP Limited</t>
  </si>
  <si>
    <t>TendringSage Rented Limited</t>
  </si>
  <si>
    <t>TendringSalvation Army Housing Association</t>
  </si>
  <si>
    <t>TendringSanctuary Affordable Housing Limited</t>
  </si>
  <si>
    <t>TendringSanctuary Housing Association</t>
  </si>
  <si>
    <t>TendringSparrow Shared Ownership Limited</t>
  </si>
  <si>
    <t>TendringSwan Housing Association Limited</t>
  </si>
  <si>
    <t>TendringThe Guinness Partnership Limited</t>
  </si>
  <si>
    <t>TendringThe Riverside Group Limited</t>
  </si>
  <si>
    <t>Test ValleyAbbeyfield Wessex Society Limited</t>
  </si>
  <si>
    <t>Test ValleyAbri Group Limited</t>
  </si>
  <si>
    <t>Test ValleyAdvance Housing and Support Limited</t>
  </si>
  <si>
    <t>Test ValleyAnchor Hanover Group</t>
  </si>
  <si>
    <t>Test ValleyAster 3 Limited</t>
  </si>
  <si>
    <t>Test ValleyAster Communities</t>
  </si>
  <si>
    <t>Test ValleyClarion Housing Association Limited</t>
  </si>
  <si>
    <t>Test ValleyDimensions (UK) Limited</t>
  </si>
  <si>
    <t>Test ValleyEnglish Rural Housing Association Limited</t>
  </si>
  <si>
    <t>Test ValleyEnham Trust</t>
  </si>
  <si>
    <t>Test ValleyHome Group Limited</t>
  </si>
  <si>
    <t>Test ValleyHousing 21</t>
  </si>
  <si>
    <t>Test ValleyLegal &amp; General Affordable Homes (Investment 3) Limited</t>
  </si>
  <si>
    <t>Test ValleyLiveWest Homes Limited</t>
  </si>
  <si>
    <t>Test ValleyLondon &amp; Quadrant Housing Trust</t>
  </si>
  <si>
    <t>Test ValleyM&amp;G UK Shared Ownership Limited</t>
  </si>
  <si>
    <t>Test ValleyMoat Homes Limited</t>
  </si>
  <si>
    <t>Test ValleyPlaces for People Homes Limited</t>
  </si>
  <si>
    <t>Test ValleyPlaces for People Living+ Limited</t>
  </si>
  <si>
    <t>Test ValleySage Homes RP Limited</t>
  </si>
  <si>
    <t>Test ValleySage Rented Limited</t>
  </si>
  <si>
    <t>Test ValleySalvation Army Housing Association</t>
  </si>
  <si>
    <t>Test ValleySanctuary Housing Association</t>
  </si>
  <si>
    <t>Test ValleySovereign Network Group</t>
  </si>
  <si>
    <t>Test ValleySparrow Shared Ownership Limited</t>
  </si>
  <si>
    <t>Test ValleyStonewater Limited</t>
  </si>
  <si>
    <t>Test ValleySynergy Housing Limited</t>
  </si>
  <si>
    <t>Test ValleyTCUK Homes Limited</t>
  </si>
  <si>
    <t>Test ValleyThe Andover Charities</t>
  </si>
  <si>
    <t>Test ValleyThe Swaythling Housing Society Limited</t>
  </si>
  <si>
    <t>Test ValleyTwo Saints Limited</t>
  </si>
  <si>
    <t>Test ValleyVivid Housing Limited</t>
  </si>
  <si>
    <t>Test ValleyWestmoreland Supported Housing Limited</t>
  </si>
  <si>
    <t>TewkesburyAdvance Housing and Support Limited</t>
  </si>
  <si>
    <t>TewkesburyAnchor Hanover Group</t>
  </si>
  <si>
    <t>TewkesburyAster Communities</t>
  </si>
  <si>
    <t>TewkesburyBromford Housing Association Limited</t>
  </si>
  <si>
    <t>TewkesburyCitizen Housing Group Limited</t>
  </si>
  <si>
    <t>TewkesburyCottsway Housing Association Limited</t>
  </si>
  <si>
    <t>TewkesburyElim Housing Association Limited</t>
  </si>
  <si>
    <t>TewkesburyEnglish Rural Housing Association Limited</t>
  </si>
  <si>
    <t>TewkesburyGloucester City Homes Limited</t>
  </si>
  <si>
    <t>TewkesburyGolden Lane Housing Limited</t>
  </si>
  <si>
    <t>TewkesburyGreenSquareAccord Limited</t>
  </si>
  <si>
    <t>TewkesburyHeylo Housing Registered Provider Limited</t>
  </si>
  <si>
    <t>TewkesburyHousing 21</t>
  </si>
  <si>
    <t>TewkesburyLangley House Trust</t>
  </si>
  <si>
    <t>TewkesburyLiveWest Homes Limited</t>
  </si>
  <si>
    <t>TewkesburyM&amp;G UK Shared Ownership Limited</t>
  </si>
  <si>
    <t>TewkesburyMerlin Housing Society Limited</t>
  </si>
  <si>
    <t>TewkesburyMoat Homes Limited</t>
  </si>
  <si>
    <t>TewkesburyPlatform Housing Limited</t>
  </si>
  <si>
    <t>TewkesburyReSI Homes Limited</t>
  </si>
  <si>
    <t>TewkesburyRooftop Housing Association Limited</t>
  </si>
  <si>
    <t>TewkesburySanctuary Housing Association</t>
  </si>
  <si>
    <t>TewkesburySovereign Network Group</t>
  </si>
  <si>
    <t>TewkesburyStonewater Limited</t>
  </si>
  <si>
    <t>TewkesburyTewkesbury Almshouse Trust</t>
  </si>
  <si>
    <t>TewkesburyThe Guinness Partnership Limited</t>
  </si>
  <si>
    <t>TewkesburyTrinity Housing Association Limited</t>
  </si>
  <si>
    <t>TewkesburyTwo Rivers Housing</t>
  </si>
  <si>
    <t>TewkesburyWestmoreland Supported Housing Limited</t>
  </si>
  <si>
    <t>ThanetAdvance Housing and Support Limited</t>
  </si>
  <si>
    <t>ThanetAnchor Hanover Group</t>
  </si>
  <si>
    <t>ThanetBespoke Supportive Tenancies Ltd</t>
  </si>
  <si>
    <t>ThanetFalcon Housing Association C.I.C</t>
  </si>
  <si>
    <t>ThanetGolden Lane Housing Limited</t>
  </si>
  <si>
    <t>ThanetHalo Housing Association Limited</t>
  </si>
  <si>
    <t>ThanetHeylo Housing Registered Provider Limited</t>
  </si>
  <si>
    <t>ThanetHome Group Limited</t>
  </si>
  <si>
    <t>ThanetHousing 21</t>
  </si>
  <si>
    <t>ThanetInclusion Housing Community Interest Company</t>
  </si>
  <si>
    <t>ThanetJewish Community Housing Association Limited</t>
  </si>
  <si>
    <t>ThanetLegal &amp; General Affordable Homes Limited</t>
  </si>
  <si>
    <t>ThanetLondon &amp; Quadrant Housing Trust</t>
  </si>
  <si>
    <t>ThanetMoat Homes Limited</t>
  </si>
  <si>
    <t>ThanetNew Foundations Housing Association Limited</t>
  </si>
  <si>
    <t>ThanetOrbit Group Limited</t>
  </si>
  <si>
    <t>ThanetOrbit Housing Association Limited</t>
  </si>
  <si>
    <t>ThanetPlaces for People Homes Limited</t>
  </si>
  <si>
    <t>ThanetReside Housing Association Limited</t>
  </si>
  <si>
    <t>ThanetSage Homes RP Limited</t>
  </si>
  <si>
    <t>ThanetSanctuary Housing Association</t>
  </si>
  <si>
    <t>ThanetSouthern Housing</t>
  </si>
  <si>
    <t>ThanetThe Riverside Group Limited</t>
  </si>
  <si>
    <t>ThanetTown and Country Housing</t>
  </si>
  <si>
    <t>ThanetWest Kent Housing Association</t>
  </si>
  <si>
    <t>ThanetWestmoreland Supported Housing Limited</t>
  </si>
  <si>
    <t>Three RiversAmplius Living</t>
  </si>
  <si>
    <t>Three RiversAnchor Hanover Group</t>
  </si>
  <si>
    <t>Three RiversClarion Housing Association Limited</t>
  </si>
  <si>
    <t>Three RiversHabinteg Housing Association Limited</t>
  </si>
  <si>
    <t>Three RiversHightown Housing Association Limited</t>
  </si>
  <si>
    <t>Three RiversHome Group Limited</t>
  </si>
  <si>
    <t>Three RiversHousing 21</t>
  </si>
  <si>
    <t>Three RiversMetropolitan Housing Trust Limited</t>
  </si>
  <si>
    <t>Three RiversNotting Hill Genesis</t>
  </si>
  <si>
    <t>Three RiversNotting Hill Home Ownership Limited</t>
  </si>
  <si>
    <t>Three RiversOne YMCA</t>
  </si>
  <si>
    <t>Three RiversOrigin Housing Limited</t>
  </si>
  <si>
    <t>Three RiversParadigm Homes Charitable Housing Association Limited</t>
  </si>
  <si>
    <t>Three RiversPeabody Trust</t>
  </si>
  <si>
    <t>Three RiversPlaces for People Homes Limited</t>
  </si>
  <si>
    <t>Three RiversPlaces for People Living+ Limited</t>
  </si>
  <si>
    <t>Three RiversRickmansworth Churches Housing Association Limited</t>
  </si>
  <si>
    <t>Three RiversSanctuary Housing Association</t>
  </si>
  <si>
    <t>Three RiversSettle Group</t>
  </si>
  <si>
    <t>Three RiversSovereign Network Group</t>
  </si>
  <si>
    <t>Three RiversThe Abbeyfield West Herts Society Limited</t>
  </si>
  <si>
    <t>Three RiversThe Guinness Partnership Limited</t>
  </si>
  <si>
    <t>Three RiversThe Riverside Group Limited</t>
  </si>
  <si>
    <t>Three RiversThrive Homes Limited</t>
  </si>
  <si>
    <t>Three RiversWatford Community Housing Trust</t>
  </si>
  <si>
    <t>ThurrockAnchor Hanover Group</t>
  </si>
  <si>
    <t>ThurrockBespoke Supportive Tenancies Ltd</t>
  </si>
  <si>
    <t>ThurrockBirnbeck Housing Association Limited</t>
  </si>
  <si>
    <t>ThurrockCWL Housing</t>
  </si>
  <si>
    <t>ThurrockChelmer Housing Partnership Limited</t>
  </si>
  <si>
    <t>ThurrockClarion Housing Association Limited</t>
  </si>
  <si>
    <t>ThurrockEstuary Housing Association Limited</t>
  </si>
  <si>
    <t>ThurrockHeylo Housing Registered Provider Limited</t>
  </si>
  <si>
    <t>ThurrockLegal &amp; General Affordable Homes Limited</t>
  </si>
  <si>
    <t>ThurrockLocal Space</t>
  </si>
  <si>
    <t>ThurrockLondon &amp; Quadrant Housing Trust</t>
  </si>
  <si>
    <t>ThurrockMoat Homes Limited</t>
  </si>
  <si>
    <t>ThurrockNotting Hill Genesis</t>
  </si>
  <si>
    <t>ThurrockOrbit Group Limited</t>
  </si>
  <si>
    <t>ThurrockPeabody Trust</t>
  </si>
  <si>
    <t>ThurrockPlaces for People Homes Limited</t>
  </si>
  <si>
    <t>ThurrockReSI Homes Limited</t>
  </si>
  <si>
    <t>ThurrockSage Rented Limited</t>
  </si>
  <si>
    <t>ThurrockSanctuary Housing Association</t>
  </si>
  <si>
    <t>ThurrockSouthern Housing</t>
  </si>
  <si>
    <t>ThurrockSparrow Shared Ownership Limited</t>
  </si>
  <si>
    <t>ThurrockSwan Housing Association Limited</t>
  </si>
  <si>
    <t>ThurrockThe Riverside Group Limited</t>
  </si>
  <si>
    <t>Tonbridge and MallingA2Dominion Homes Limited</t>
  </si>
  <si>
    <t>Tonbridge and MallingAdvance Housing and Support Limited</t>
  </si>
  <si>
    <t>Tonbridge and MallingAlmshouse Charity of Elizabeth Smith</t>
  </si>
  <si>
    <t>Tonbridge and MallingAnchor Hanover Group</t>
  </si>
  <si>
    <t>Tonbridge and MallingBoorman's Almshouses</t>
  </si>
  <si>
    <t>Tonbridge and MallingClarion Housing Association Limited</t>
  </si>
  <si>
    <t>Tonbridge and MallingEustace Hook and Drummond Memorial Almshouses</t>
  </si>
  <si>
    <t>Tonbridge and MallingFirst Priority Housing Association Limited</t>
  </si>
  <si>
    <t>Tonbridge and MallingGolding Homes Limited</t>
  </si>
  <si>
    <t>Tonbridge and MallingHatton Housing Trust Limited</t>
  </si>
  <si>
    <t>Tonbridge and MallingHome Group Limited</t>
  </si>
  <si>
    <t>Tonbridge and MallingHousing 21</t>
  </si>
  <si>
    <t>Tonbridge and MallingHyde Housing Association Limited</t>
  </si>
  <si>
    <t>Tonbridge and MallingLegal &amp; General Affordable Homes Limited</t>
  </si>
  <si>
    <t>Tonbridge and MallingLiveWest Homes Limited</t>
  </si>
  <si>
    <t>Tonbridge and MallingLondon &amp; Quadrant Housing Trust</t>
  </si>
  <si>
    <t>Tonbridge and MallingMoat Homes Limited</t>
  </si>
  <si>
    <t>Tonbridge and MallingOrbit Group Limited</t>
  </si>
  <si>
    <t>Tonbridge and MallingOrbit Housing Association Limited</t>
  </si>
  <si>
    <t>Tonbridge and MallingParasol Homes Limited</t>
  </si>
  <si>
    <t>Tonbridge and MallingPlaces for People Homes Limited</t>
  </si>
  <si>
    <t>Tonbridge and MallingPlaces for People Living+ Limited</t>
  </si>
  <si>
    <t>Tonbridge and MallingReside Housing Association Limited</t>
  </si>
  <si>
    <t>Tonbridge and MallingSage Homes RP Limited</t>
  </si>
  <si>
    <t>Tonbridge and MallingSage Rented Limited</t>
  </si>
  <si>
    <t>Tonbridge and MallingSanctuary Affordable Housing Limited</t>
  </si>
  <si>
    <t>Tonbridge and MallingSanctuary Housing Association</t>
  </si>
  <si>
    <t>Tonbridge and MallingSouthern Housing</t>
  </si>
  <si>
    <t>Tonbridge and MallingThe Hospital of the Holy Trinity Aylesford</t>
  </si>
  <si>
    <t>Tonbridge and MallingThe Riverside Group Limited</t>
  </si>
  <si>
    <t>Tonbridge and MallingTonbridge United Charity</t>
  </si>
  <si>
    <t>Tonbridge and MallingTown and Country Housing</t>
  </si>
  <si>
    <t>Tonbridge and MallingWest Kent Housing Association</t>
  </si>
  <si>
    <t>Tonbridge and MallingYMCA Thames Gateway</t>
  </si>
  <si>
    <t>TorbayAdvance Housing and Support Limited</t>
  </si>
  <si>
    <t>TorbayAnchor Hanover Group</t>
  </si>
  <si>
    <t>TorbayAster Communities</t>
  </si>
  <si>
    <t>TorbayBespoke Supportive Tenancies Ltd</t>
  </si>
  <si>
    <t>TorbayCity of Exeter YMCA</t>
  </si>
  <si>
    <t>TorbayGolden Lane Housing Limited</t>
  </si>
  <si>
    <t>TorbayHeylo Housing Registered Provider Limited</t>
  </si>
  <si>
    <t>TorbayHilldale Housing Association Limited</t>
  </si>
  <si>
    <t>TorbayHome Group Limited</t>
  </si>
  <si>
    <t>TorbayInclusion Housing Community Interest Company</t>
  </si>
  <si>
    <t>TorbayLegal &amp; General Affordable Homes (AR) LLP</t>
  </si>
  <si>
    <t>TorbayLegal &amp; General Affordable Homes Limited</t>
  </si>
  <si>
    <t>TorbayLets for Life</t>
  </si>
  <si>
    <t>TorbayLiveWest Homes Limited</t>
  </si>
  <si>
    <t>TorbayMagna Housing Limited</t>
  </si>
  <si>
    <t>TorbayMoat Homes Limited</t>
  </si>
  <si>
    <t>TorbayOak Housing Limited</t>
  </si>
  <si>
    <t>TorbayPlaces for People Living+ Limited</t>
  </si>
  <si>
    <t>TorbayProgress Housing Association Limited</t>
  </si>
  <si>
    <t>TorbayReside Housing Association Limited</t>
  </si>
  <si>
    <t>TorbaySalvation Army Housing Association</t>
  </si>
  <si>
    <t>TorbaySanctuary Affordable Housing Limited</t>
  </si>
  <si>
    <t>TorbaySanctuary Housing Association</t>
  </si>
  <si>
    <t>TorbaySovereign Network Group</t>
  </si>
  <si>
    <t>TorbayStonewater (5) Limited</t>
  </si>
  <si>
    <t>TorbayStonewater Limited</t>
  </si>
  <si>
    <t>TorbayTeachers' Housing Association Limited</t>
  </si>
  <si>
    <t>TorbayThe Abbeyfield South West Society Limited</t>
  </si>
  <si>
    <t>TorbayThe Guinness Partnership Limited</t>
  </si>
  <si>
    <t>TorbayTorvista Homes Limited</t>
  </si>
  <si>
    <t>TorbayWestward Housing Group Limited</t>
  </si>
  <si>
    <t>TorridgeAdvance Housing and Support Limited</t>
  </si>
  <si>
    <t>TorridgeArpeggio Properties Limited</t>
  </si>
  <si>
    <t>TorridgeAster 3 Limited</t>
  </si>
  <si>
    <t>TorridgeAster Communities</t>
  </si>
  <si>
    <t>TorridgeAuckland Home Solutions CIC</t>
  </si>
  <si>
    <t>TorridgeBespoke Supportive Tenancies Ltd</t>
  </si>
  <si>
    <t>TorridgeFalcon Housing Association C.I.C</t>
  </si>
  <si>
    <t>TorridgeGolden Lane Housing Limited</t>
  </si>
  <si>
    <t>TorridgeHastoe Housing Association Limited</t>
  </si>
  <si>
    <t>TorridgeHeylo Housing Registered Provider Limited</t>
  </si>
  <si>
    <t>TorridgeLiveWest Homes Limited</t>
  </si>
  <si>
    <t>TorridgeMoat Homes Limited</t>
  </si>
  <si>
    <t>TorridgeNorth Devon Homes</t>
  </si>
  <si>
    <t>TorridgePlaces for People Homes Limited</t>
  </si>
  <si>
    <t>TorridgePlaces for People Living+ Limited</t>
  </si>
  <si>
    <t>TorridgeRoborough Community Property Association Limited</t>
  </si>
  <si>
    <t>TorridgeSage Homes RP Limited</t>
  </si>
  <si>
    <t>TorridgeSanctuary Affordable Housing Limited</t>
  </si>
  <si>
    <t>TorridgeSanctuary Housing Association</t>
  </si>
  <si>
    <t>TorridgeSovereign Network Group</t>
  </si>
  <si>
    <t>TorridgeThe Abbeyfield South West Society Limited</t>
  </si>
  <si>
    <t>TorridgeWestmoreland Supported Housing Limited</t>
  </si>
  <si>
    <t>TorridgeWestward Housing Group Limited</t>
  </si>
  <si>
    <t>TorridgeWillow Tree Housing Partnership Limited</t>
  </si>
  <si>
    <t>TorridgeWoolfardisworthy Sports and Community Hall</t>
  </si>
  <si>
    <t>Tower HamletsA2Dominion Homes Limited</t>
  </si>
  <si>
    <t>Tower HamletsArhag Housing Association Limited</t>
  </si>
  <si>
    <t>Tower HamletsBelgrave Street Housing Co-operative Limited</t>
  </si>
  <si>
    <t>Tower HamletsClarion Housing Association Limited</t>
  </si>
  <si>
    <t>Tower HamletsCo-operative Development Society Limited</t>
  </si>
  <si>
    <t>Tower HamletsEast End Homes Limited</t>
  </si>
  <si>
    <t>Tower HamletsGateway Housing Association Limited</t>
  </si>
  <si>
    <t>Tower HamletsGeorge Green's Almshouses</t>
  </si>
  <si>
    <t>Tower HamletsGrand Union Housing Co-operative Limited</t>
  </si>
  <si>
    <t>Tower HamletsHabinteg Housing Association Limited</t>
  </si>
  <si>
    <t>Tower HamletsHeylo Housing Registered Provider Limited</t>
  </si>
  <si>
    <t>Tower HamletsHome Group Limited</t>
  </si>
  <si>
    <t>Tower HamletsHousing 21</t>
  </si>
  <si>
    <t>Tower HamletsIslington and Shoreditch Housing Association Limited</t>
  </si>
  <si>
    <t>Tower HamletsKarin Housing Association Limited</t>
  </si>
  <si>
    <t>Tower HamletsLegal &amp; General Affordable Homes Limited</t>
  </si>
  <si>
    <t>Tower HamletsLocal Space</t>
  </si>
  <si>
    <t>Tower HamletsLondon &amp; Quadrant Housing Trust</t>
  </si>
  <si>
    <t>Tower HamletsLook Ahead Care and Support Limited</t>
  </si>
  <si>
    <t>Tower HamletsM&amp;G UK Shared Ownership Limited</t>
  </si>
  <si>
    <t>Tower HamletsMajor Housing Association Limited</t>
  </si>
  <si>
    <t>Tower HamletsMetropolitan Housing Trust Limited</t>
  </si>
  <si>
    <t>Tower HamletsNewlon Housing Trust</t>
  </si>
  <si>
    <t>Tower HamletsNorth London Muslim Housing Association Limited</t>
  </si>
  <si>
    <t>Tower HamletsNotting Hill Genesis</t>
  </si>
  <si>
    <t>Tower HamletsNotting Hill Home Ownership Limited</t>
  </si>
  <si>
    <t>Tower HamletsOak Housing Limited</t>
  </si>
  <si>
    <t>Tower HamletsOrbit Group Limited</t>
  </si>
  <si>
    <t>Tower HamletsOrigin Housing Limited</t>
  </si>
  <si>
    <t>Tower HamletsParagon Asra Housing Limited</t>
  </si>
  <si>
    <t>Tower HamletsPeabody Trust</t>
  </si>
  <si>
    <t>Tower HamletsPhoenix Community Housing Co-operative Limited</t>
  </si>
  <si>
    <t>Tower HamletsPlaces for People Homes Limited</t>
  </si>
  <si>
    <t>Tower HamletsPoplar Housing And Regeneration Community Association Limited</t>
  </si>
  <si>
    <t>Tower HamletsProvidence Row Housing Association</t>
  </si>
  <si>
    <t>Tower HamletsSalvation Army Housing Association</t>
  </si>
  <si>
    <t>Tower HamletsSanctuary Affordable Housing Limited</t>
  </si>
  <si>
    <t>Tower HamletsSanctuary Housing Association</t>
  </si>
  <si>
    <t>Tower HamletsSeymour Housing Co-operative Limited</t>
  </si>
  <si>
    <t>Tower HamletsSouthern Housing</t>
  </si>
  <si>
    <t>Tower HamletsSovereign Network Group</t>
  </si>
  <si>
    <t>Tower HamletsSpitalfields Housing Association Limited</t>
  </si>
  <si>
    <t>Tower HamletsSwan Housing Association Limited</t>
  </si>
  <si>
    <t>Tower HamletsTBG Open Door Limited</t>
  </si>
  <si>
    <t>Tower HamletsThe Guinness Partnership Limited</t>
  </si>
  <si>
    <t>Tower HamletsThe Industrial Dwellings Society (1885) Limited</t>
  </si>
  <si>
    <t>Tower HamletsThe Mile End Housing Co-operative Limited</t>
  </si>
  <si>
    <t>Tower HamletsThe Riverside Group Limited</t>
  </si>
  <si>
    <t>Tower HamletsTower Hamlets Community Housing</t>
  </si>
  <si>
    <t>Tower HamletsVeterans Aid</t>
  </si>
  <si>
    <t>Tower HamletsWilfrid East London Housing Co-operative Limited</t>
  </si>
  <si>
    <t>TraffordAnchor Hanover Group</t>
  </si>
  <si>
    <t>TraffordArawak Walton Housing Association Limited</t>
  </si>
  <si>
    <t>TraffordBespoke Supportive Tenancies Ltd</t>
  </si>
  <si>
    <t>TraffordBolton at Home Limited</t>
  </si>
  <si>
    <t>TraffordCreative Support Limited</t>
  </si>
  <si>
    <t>TraffordForHousing Limited</t>
  </si>
  <si>
    <t>TraffordFrontis Homes Limited</t>
  </si>
  <si>
    <t>TraffordGolden Lane Housing Limited</t>
  </si>
  <si>
    <t>TraffordGreat Places Housing Association</t>
  </si>
  <si>
    <t>TraffordHeylo Housing Registered Provider Limited</t>
  </si>
  <si>
    <t>TraffordHilldale Housing Association Limited</t>
  </si>
  <si>
    <t>TraffordHousing 21</t>
  </si>
  <si>
    <t>TraffordInclusion Housing Community Interest Company</t>
  </si>
  <si>
    <t>TraffordIrwell Valley Housing Association Limited</t>
  </si>
  <si>
    <t>TraffordJigsaw Homes North</t>
  </si>
  <si>
    <t>TraffordLets for Life</t>
  </si>
  <si>
    <t>TraffordLondon &amp; Quadrant Housing Trust</t>
  </si>
  <si>
    <t>TraffordMosscare St. Vincent's Housing Group Limited</t>
  </si>
  <si>
    <t>TraffordNew Foundations Housing Association Limited</t>
  </si>
  <si>
    <t>TraffordOne Manchester Limited</t>
  </si>
  <si>
    <t>TraffordOnward Homes Limited</t>
  </si>
  <si>
    <t>TraffordPartners Foundation Limited</t>
  </si>
  <si>
    <t>TraffordPlaces for People Homes Limited</t>
  </si>
  <si>
    <t>TraffordProgress Housing Association Limited</t>
  </si>
  <si>
    <t>TraffordRegenda Limited</t>
  </si>
  <si>
    <t>TraffordSage Homes RP Limited</t>
  </si>
  <si>
    <t>TraffordSalix Homes Limited</t>
  </si>
  <si>
    <t>TraffordSalvation Army Housing Association</t>
  </si>
  <si>
    <t>TraffordSanctuary Housing Association</t>
  </si>
  <si>
    <t>TraffordSecond Chance Housing Ltd</t>
  </si>
  <si>
    <t>TraffordSouthway Housing Trust (Manchester) Limited</t>
  </si>
  <si>
    <t>TraffordThe Guinness Partnership Limited</t>
  </si>
  <si>
    <t>TraffordThe Riverside Group Limited</t>
  </si>
  <si>
    <t>TraffordWythenshawe Community Housing Group Limited</t>
  </si>
  <si>
    <t>TraffordYour Housing Limited</t>
  </si>
  <si>
    <t>Tunbridge WellsA2Dominion Homes Limited</t>
  </si>
  <si>
    <t>Tunbridge WellsAbbeyfield South Downs Limited</t>
  </si>
  <si>
    <t>Tunbridge WellsAdvance Housing and Support Limited</t>
  </si>
  <si>
    <t>Tunbridge WellsAnchor Hanover Group</t>
  </si>
  <si>
    <t>Tunbridge WellsBenenden Almshouse Charities</t>
  </si>
  <si>
    <t>Tunbridge WellsBlackburn YMCA</t>
  </si>
  <si>
    <t>Tunbridge WellsClarion Housing Association Limited</t>
  </si>
  <si>
    <t>Tunbridge WellsCo-operative Development Society Limited</t>
  </si>
  <si>
    <t>Tunbridge WellsDunk's Almshouse Charity</t>
  </si>
  <si>
    <t>Tunbridge WellsEnglish Rural Housing Association Limited</t>
  </si>
  <si>
    <t>Tunbridge WellsGolden Lane Housing Limited</t>
  </si>
  <si>
    <t>Tunbridge WellsGolding Homes Limited</t>
  </si>
  <si>
    <t>Tunbridge WellsHabinteg Housing Association Limited</t>
  </si>
  <si>
    <t>Tunbridge WellsHastoe Housing Association Limited</t>
  </si>
  <si>
    <t>Tunbridge WellsHatton Housing Trust Limited</t>
  </si>
  <si>
    <t>Tunbridge WellsHeylo Housing Registered Provider Limited</t>
  </si>
  <si>
    <t>Tunbridge WellsHome Group Limited</t>
  </si>
  <si>
    <t>Tunbridge WellsHyde Housing Association Limited</t>
  </si>
  <si>
    <t>Tunbridge WellsMoat Homes Limited</t>
  </si>
  <si>
    <t>Tunbridge WellsOak Housing Limited</t>
  </si>
  <si>
    <t>Tunbridge WellsOrbit Group Limited</t>
  </si>
  <si>
    <t>Tunbridge WellsOrbit Housing Association Limited</t>
  </si>
  <si>
    <t>Tunbridge WellsParasol Homes Limited</t>
  </si>
  <si>
    <t>Tunbridge WellsPenge Churches Housing Association Limited</t>
  </si>
  <si>
    <t>Tunbridge WellsRadcliffe Housing Society Limited</t>
  </si>
  <si>
    <t>Tunbridge WellsRaven Housing Trust Limited</t>
  </si>
  <si>
    <t>Tunbridge WellsSage Homes RP Limited</t>
  </si>
  <si>
    <t>Tunbridge WellsSage Rented Limited</t>
  </si>
  <si>
    <t>Tunbridge WellsSalvation Army Housing Association</t>
  </si>
  <si>
    <t>Tunbridge WellsSanctuary Housing Association</t>
  </si>
  <si>
    <t>Tunbridge WellsSherborne Close Housing Society Limited</t>
  </si>
  <si>
    <t>Tunbridge WellsSimply Affordable Homes RP Limited</t>
  </si>
  <si>
    <t>Tunbridge WellsSparrow Shared Ownership Limited</t>
  </si>
  <si>
    <t>Tunbridge WellsThe Molyneux Almshouses</t>
  </si>
  <si>
    <t>Tunbridge WellsThe Riverside Group Limited</t>
  </si>
  <si>
    <t>Tunbridge WellsTown and Country Housing</t>
  </si>
  <si>
    <t>Tunbridge WellsWest Kent Housing Association</t>
  </si>
  <si>
    <t>Tunbridge WellsWestmoreland Supported Housing Limited</t>
  </si>
  <si>
    <t>Tunbridge WellsYMCA Thames Gateway</t>
  </si>
  <si>
    <t>UttlesfordAccent Housing Limited</t>
  </si>
  <si>
    <t>UttlesfordAnchor Hanover Group</t>
  </si>
  <si>
    <t>UttlesfordB3 Living Limited</t>
  </si>
  <si>
    <t>UttlesfordChelmer Housing Partnership Limited</t>
  </si>
  <si>
    <t>UttlesfordClarion Housing Association Limited</t>
  </si>
  <si>
    <t>UttlesfordDimensions (UK) Limited</t>
  </si>
  <si>
    <t>UttlesfordEastlight Community Homes Limited</t>
  </si>
  <si>
    <t>UttlesfordEnglish Rural Housing Association Limited</t>
  </si>
  <si>
    <t>UttlesfordEstuary Housing Association Limited</t>
  </si>
  <si>
    <t>UttlesfordFlagship Housing Limited</t>
  </si>
  <si>
    <t>UttlesfordGolden Lane Housing Limited</t>
  </si>
  <si>
    <t>UttlesfordHabinteg Housing Association Limited</t>
  </si>
  <si>
    <t>UttlesfordHalo Housing Association Limited</t>
  </si>
  <si>
    <t>UttlesfordHastoe Housing Association Limited</t>
  </si>
  <si>
    <t>UttlesfordHome Group Limited</t>
  </si>
  <si>
    <t>UttlesfordHousing 21</t>
  </si>
  <si>
    <t>UttlesfordHundred Houses Society Limited</t>
  </si>
  <si>
    <t>UttlesfordInclusion Housing Community Interest Company</t>
  </si>
  <si>
    <t>UttlesfordLegal &amp; General Affordable Homes Limited</t>
  </si>
  <si>
    <t>UttlesfordLondon &amp; Quadrant Housing Trust</t>
  </si>
  <si>
    <t>UttlesfordM&amp;G UK Shared Ownership Limited</t>
  </si>
  <si>
    <t>UttlesfordMetropolitan Housing Trust Limited</t>
  </si>
  <si>
    <t>UttlesfordMoat Homes Limited</t>
  </si>
  <si>
    <t>UttlesfordNewarch Homes Limited</t>
  </si>
  <si>
    <t>UttlesfordOrbit Group Limited</t>
  </si>
  <si>
    <t>UttlesfordPeabody Trust</t>
  </si>
  <si>
    <t>UttlesfordPlaces for People Homes Limited</t>
  </si>
  <si>
    <t>UttlesfordReside Housing Association Limited</t>
  </si>
  <si>
    <t>UttlesfordSage Homes RP Limited</t>
  </si>
  <si>
    <t>UttlesfordSage Rented Limited</t>
  </si>
  <si>
    <t>UttlesfordSanctuary Affordable Housing Limited</t>
  </si>
  <si>
    <t>UttlesfordSparrow Shared Ownership Limited</t>
  </si>
  <si>
    <t>UttlesfordSwan Housing Association Limited</t>
  </si>
  <si>
    <t>UttlesfordThe Cambridge Housing Society Limited</t>
  </si>
  <si>
    <t>Vale of White HorseA2Dominion Homes Limited</t>
  </si>
  <si>
    <t>Vale of White HorseAbri Group Limited</t>
  </si>
  <si>
    <t>Vale of White HorseAdvance Housing and Support Limited</t>
  </si>
  <si>
    <t>Vale of White HorseAmplius Living</t>
  </si>
  <si>
    <t>Vale of White HorseAnchor Hanover Group</t>
  </si>
  <si>
    <t>Vale of White HorseAster Communities</t>
  </si>
  <si>
    <t>Vale of White HorseAuckland Home Solutions CIC</t>
  </si>
  <si>
    <t>Vale of White HorseChrysalis Supported Association Limited</t>
  </si>
  <si>
    <t>Vale of White HorseChurch Almshouses Charity</t>
  </si>
  <si>
    <t>Vale of White HorseClarion Housing Association Limited</t>
  </si>
  <si>
    <t>Vale of White HorseDimensions (UK) Limited</t>
  </si>
  <si>
    <t>Vale of White HorseDrayton Parochial Charities</t>
  </si>
  <si>
    <t>Vale of White HorseEmpower Housing Association Limited</t>
  </si>
  <si>
    <t>Vale of White HorseGreenSquareAccord Limited</t>
  </si>
  <si>
    <t>Vale of White HorseHeylo Housing Registered Provider Limited</t>
  </si>
  <si>
    <t>Vale of White HorseHilldale Housing Association Limited</t>
  </si>
  <si>
    <t>Vale of White HorseHome Group Limited</t>
  </si>
  <si>
    <t>Vale of White HorseLegal &amp; General Affordable Homes (AR) LLP</t>
  </si>
  <si>
    <t>Vale of White HorseLegal &amp; General Affordable Homes Limited</t>
  </si>
  <si>
    <t>Vale of White HorseLegal and General Affordable Homes (Capital) Limited</t>
  </si>
  <si>
    <t>Vale of White HorseLondon &amp; Quadrant Housing Trust</t>
  </si>
  <si>
    <t>Vale of White HorseMetropolitan Housing Trust Limited</t>
  </si>
  <si>
    <t>Vale of White HorseMoat Homes Limited</t>
  </si>
  <si>
    <t>Vale of White HorseOxfordshire CLT Limited</t>
  </si>
  <si>
    <t>Vale of White HorsePeabody Trust</t>
  </si>
  <si>
    <t>Vale of White HorsePinnacle Spaces Limited</t>
  </si>
  <si>
    <t>Vale of White HorsePlatform Housing Limited</t>
  </si>
  <si>
    <t>Vale of White HorseSage Homes RP Limited</t>
  </si>
  <si>
    <t>Vale of White HorseSanctuary Housing Association</t>
  </si>
  <si>
    <t>Vale of White HorseSoha Housing Limited</t>
  </si>
  <si>
    <t>Vale of White HorseSovereign Network Group</t>
  </si>
  <si>
    <t>Vale of White HorseStonewater Limited</t>
  </si>
  <si>
    <t>Vale of White HorseSynergy Housing Limited</t>
  </si>
  <si>
    <t>Vale of White HorseThe Guinness Partnership Limited</t>
  </si>
  <si>
    <t>Vale of White Horsebpha Limited</t>
  </si>
  <si>
    <t>Wakefield54 North Homes Limited</t>
  </si>
  <si>
    <t>WakefieldAccent Housing Limited</t>
  </si>
  <si>
    <t>WakefieldAnchor Hanover Group</t>
  </si>
  <si>
    <t>WakefieldArpeggio Properties Limited</t>
  </si>
  <si>
    <t>WakefieldAuckland Home Solutions CIC</t>
  </si>
  <si>
    <t>WakefieldBespoke Supportive Tenancies Ltd</t>
  </si>
  <si>
    <t>WakefieldBridge-It Housing UK Team Ltd</t>
  </si>
  <si>
    <t>WakefieldConnect Housing Association Limited</t>
  </si>
  <si>
    <t>WakefieldEmily Bentley Homes</t>
  </si>
  <si>
    <t>WakefieldEncircle Housing</t>
  </si>
  <si>
    <t>WakefieldFoundation</t>
  </si>
  <si>
    <t>WakefieldFreeston and Sagar's Almshouses</t>
  </si>
  <si>
    <t>WakefieldGolden Lane Housing Limited</t>
  </si>
  <si>
    <t>WakefieldGreat Places Housing Association</t>
  </si>
  <si>
    <t>WakefieldHabinteg Housing Association Limited</t>
  </si>
  <si>
    <t>WakefieldHeylo Housing Registered Provider Limited</t>
  </si>
  <si>
    <t>WakefieldHighstone Housing Association Limited</t>
  </si>
  <si>
    <t>WakefieldHome Group Limited</t>
  </si>
  <si>
    <t>WakefieldHousing 21</t>
  </si>
  <si>
    <t>WakefieldIKE Supported Housing Limited</t>
  </si>
  <si>
    <t>WakefieldInclusion Housing Community Interest Company</t>
  </si>
  <si>
    <t>WakefieldIncommunities Limited</t>
  </si>
  <si>
    <t>WakefieldKarbon Homes Limited</t>
  </si>
  <si>
    <t>WakefieldLangley House Trust</t>
  </si>
  <si>
    <t>WakefieldLeeds Federated Housing Association Limited</t>
  </si>
  <si>
    <t>WakefieldM&amp;G UK Shared Ownership Limited</t>
  </si>
  <si>
    <t>WakefieldPlaces for People Homes Limited</t>
  </si>
  <si>
    <t>WakefieldPlexus UK (First Project) Limited</t>
  </si>
  <si>
    <t>WakefieldSage Homes RP Limited</t>
  </si>
  <si>
    <t>WakefieldSage Rented Limited</t>
  </si>
  <si>
    <t>WakefieldSouth Yorkshire Housing Association Limited</t>
  </si>
  <si>
    <t>WakefieldSparrow Shared Ownership Limited</t>
  </si>
  <si>
    <t>WakefieldStonewater Limited</t>
  </si>
  <si>
    <t>WakefieldThe Guinness Partnership Limited</t>
  </si>
  <si>
    <t>WakefieldThe Riverside Group Limited</t>
  </si>
  <si>
    <t>WakefieldTogether Housing Association Limited</t>
  </si>
  <si>
    <t>WakefieldVico Homes Limited</t>
  </si>
  <si>
    <t>WakefieldWakefield Charities' Homes</t>
  </si>
  <si>
    <t>WakefieldWestmoreland Supported Housing Limited</t>
  </si>
  <si>
    <t>WakefieldYorkshire Housing Limited</t>
  </si>
  <si>
    <t>WakefieldYour Housing Limited</t>
  </si>
  <si>
    <t>WalsallAmplius Living</t>
  </si>
  <si>
    <t>WalsallAnchor Hanover Group</t>
  </si>
  <si>
    <t>WalsallAuckland Home Solutions CIC</t>
  </si>
  <si>
    <t>WalsallBlack Country Housing Group Limited</t>
  </si>
  <si>
    <t>WalsallBromford Housing Association Limited</t>
  </si>
  <si>
    <t>WalsallCharity of Mrs Catherine Walker</t>
  </si>
  <si>
    <t>WalsallCitizen Housing Group Limited</t>
  </si>
  <si>
    <t>WalsallClarion Housing Association Limited</t>
  </si>
  <si>
    <t>WalsallGolden Lane Housing Limited</t>
  </si>
  <si>
    <t>WalsallGreenSquareAccord Limited</t>
  </si>
  <si>
    <t>WalsallHabinteg Housing Association Limited</t>
  </si>
  <si>
    <t>WalsallHarpers Marsh and Crumps Almshouse Charity</t>
  </si>
  <si>
    <t>WalsallHousing 21</t>
  </si>
  <si>
    <t>WalsallInclusion Housing Community Interest Company</t>
  </si>
  <si>
    <t>WalsallMargaret Colquhoun Chavasse Almshouses</t>
  </si>
  <si>
    <t>WalsallMidland Heart Limited</t>
  </si>
  <si>
    <t>WalsallNehemiah United Churches Housing Association Limited</t>
  </si>
  <si>
    <t>WalsallNew Foundations Housing Association Limited</t>
  </si>
  <si>
    <t>WalsallPaddock Housing Co-operative Limited</t>
  </si>
  <si>
    <t>WalsallPlatform Housing Limited</t>
  </si>
  <si>
    <t>WalsallSanctuary Affordable Housing Limited</t>
  </si>
  <si>
    <t>WalsallSanctuary Housing Association</t>
  </si>
  <si>
    <t>WalsallSouthern Housing</t>
  </si>
  <si>
    <t>WalsallStonewater Limited</t>
  </si>
  <si>
    <t>WalsallThe Henry Boys' Almshouses</t>
  </si>
  <si>
    <t>WalsallTrident Housing Association Limited</t>
  </si>
  <si>
    <t>WalsallTrinity Housing Association Limited</t>
  </si>
  <si>
    <t>WalsallWalsall Housing Group Limited</t>
  </si>
  <si>
    <t>WalsallWatmos Community Homes</t>
  </si>
  <si>
    <t>WalsallWindrush Alliance UK Community Interest Company</t>
  </si>
  <si>
    <t>WalsallYMCA Black Country Group</t>
  </si>
  <si>
    <t>Waltham ForestA2Dominion Homes Limited</t>
  </si>
  <si>
    <t>Waltham ForestAnchor Hanover Group</t>
  </si>
  <si>
    <t>Waltham ForestBangla Housing Association Limited</t>
  </si>
  <si>
    <t>Waltham ForestCentrepoint Soho</t>
  </si>
  <si>
    <t>Waltham ForestChristian Action (Enfield) Housing Association Limited</t>
  </si>
  <si>
    <t>Waltham ForestClarion Housing Association Limited</t>
  </si>
  <si>
    <t>Waltham ForestHabinteg Housing Association Limited</t>
  </si>
  <si>
    <t>Waltham ForestHome Group Limited</t>
  </si>
  <si>
    <t>Waltham ForestHome from Home Housing Association Limited</t>
  </si>
  <si>
    <t>Waltham ForestHousing 21</t>
  </si>
  <si>
    <t>Waltham ForestHousing Pathways Trust</t>
  </si>
  <si>
    <t>Waltham ForestIslington and Shoreditch Housing Association Limited</t>
  </si>
  <si>
    <t>Waltham ForestKarin Housing Association Limited</t>
  </si>
  <si>
    <t>Waltham ForestLeytonstone Housing Co-operative Limited</t>
  </si>
  <si>
    <t>Waltham ForestLocal Space</t>
  </si>
  <si>
    <t>Waltham ForestLondon &amp; Quadrant Housing Trust</t>
  </si>
  <si>
    <t>Waltham ForestLook Ahead Care and Support Limited</t>
  </si>
  <si>
    <t>Waltham ForestMetropolitan Housing Trust Limited</t>
  </si>
  <si>
    <t>Waltham ForestNewlon Housing Trust</t>
  </si>
  <si>
    <t>Waltham ForestNorth London Muslim Housing Association Limited</t>
  </si>
  <si>
    <t>Waltham ForestNotting Hill Genesis</t>
  </si>
  <si>
    <t>Waltham ForestNotting Hill Home Ownership Limited</t>
  </si>
  <si>
    <t>Waltham ForestOrbit Group Limited</t>
  </si>
  <si>
    <t>Waltham ForestParagon Asra Housing Limited</t>
  </si>
  <si>
    <t>Waltham ForestPeabody Trust</t>
  </si>
  <si>
    <t>Waltham ForestPhoenix Community Housing Co-operative Limited</t>
  </si>
  <si>
    <t>Waltham ForestPlaces for People Homes Limited</t>
  </si>
  <si>
    <t>Waltham ForestPlaces for People Living+ Limited</t>
  </si>
  <si>
    <t>Waltham ForestReside Housing Association Limited</t>
  </si>
  <si>
    <t>Waltham ForestRetirement Lease Housing Association</t>
  </si>
  <si>
    <t>Waltham ForestSage Homes RP Limited</t>
  </si>
  <si>
    <t>Waltham ForestSalvation Army Housing Association</t>
  </si>
  <si>
    <t>Waltham ForestSanctuary Affordable Housing Limited</t>
  </si>
  <si>
    <t>Waltham ForestSanctuary Housing Association</t>
  </si>
  <si>
    <t>Waltham ForestSouthern Housing</t>
  </si>
  <si>
    <t>Waltham ForestSovereign Network Group</t>
  </si>
  <si>
    <t>Waltham ForestSwan Housing Association Limited</t>
  </si>
  <si>
    <t>Waltham ForestTamil Community Housing Association Limited</t>
  </si>
  <si>
    <t>Waltham ForestTeachers' Housing Association Limited</t>
  </si>
  <si>
    <t>Waltham ForestThe Guinness Partnership Limited</t>
  </si>
  <si>
    <t>Waltham ForestThe Riverside Group Limited</t>
  </si>
  <si>
    <t>Waltham ForestWaltham Forest Housing Association Limited</t>
  </si>
  <si>
    <t>Waltham ForestWestmoreland Supported Housing Limited</t>
  </si>
  <si>
    <t>Waltham ForestYMCA St Paul's Group</t>
  </si>
  <si>
    <t>WandsworthA2Dominion Homes Limited</t>
  </si>
  <si>
    <t>WandsworthA2Dominion Housing Options Limited</t>
  </si>
  <si>
    <t>WandsworthA2Dominion South Limited</t>
  </si>
  <si>
    <t>WandsworthAnchor Hanover Group</t>
  </si>
  <si>
    <t>WandsworthAuckland Home Solutions CIC</t>
  </si>
  <si>
    <t>WandsworthBattersea Tenants Co-operative Limited</t>
  </si>
  <si>
    <t>WandsworthBow Housing Association</t>
  </si>
  <si>
    <t>WandsworthCentral and Cecil Housing Trust</t>
  </si>
  <si>
    <t>WandsworthClarion Housing Association Limited</t>
  </si>
  <si>
    <t>WandsworthCromwood Housing Ltd</t>
  </si>
  <si>
    <t>WandsworthEkaya Housing Association Limited</t>
  </si>
  <si>
    <t>WandsworthGolden Lane Housing Limited</t>
  </si>
  <si>
    <t>WandsworthHabinteg Housing Association Limited</t>
  </si>
  <si>
    <t>WandsworthHousing Pathways Trust</t>
  </si>
  <si>
    <t>WandsworthHyde Housing Association Limited</t>
  </si>
  <si>
    <t>WandsworthImani Housing Co-operative Limited</t>
  </si>
  <si>
    <t>WandsworthLondon &amp; Quadrant Housing Trust</t>
  </si>
  <si>
    <t>WandsworthMethodist Homes Housing Association Limited</t>
  </si>
  <si>
    <t>WandsworthMetropolitan Housing Trust Limited</t>
  </si>
  <si>
    <t>WandsworthNACRO</t>
  </si>
  <si>
    <t>WandsworthNew World Housing Association Limited</t>
  </si>
  <si>
    <t>WandsworthNotting Hill Genesis</t>
  </si>
  <si>
    <t>WandsworthNotting Hill Home Ownership Limited</t>
  </si>
  <si>
    <t>WandsworthOak Housing Limited</t>
  </si>
  <si>
    <t>WandsworthOctavia Housing</t>
  </si>
  <si>
    <t>WandsworthOrigin Housing Limited</t>
  </si>
  <si>
    <t>WandsworthParagon Asra Housing Limited</t>
  </si>
  <si>
    <t>WandsworthPeabody Trust</t>
  </si>
  <si>
    <t>WandsworthSalvation Army Housing Association</t>
  </si>
  <si>
    <t>WandsworthSanctuary Housing Association</t>
  </si>
  <si>
    <t>WandsworthSouthern Housing</t>
  </si>
  <si>
    <t>WandsworthSouthward Housing Co-operative Limited</t>
  </si>
  <si>
    <t>WandsworthSovereign Network Group</t>
  </si>
  <si>
    <t>WandsworthThames Valley Housing Association Limited</t>
  </si>
  <si>
    <t>WandsworthThe Abbeyfield London Polish Society Limited</t>
  </si>
  <si>
    <t>WandsworthThe Guinness Partnership Limited</t>
  </si>
  <si>
    <t>WandsworthThe Riverside Group Limited</t>
  </si>
  <si>
    <t>WandsworthTooting Bec Housing Co-operative Limited</t>
  </si>
  <si>
    <t>WandsworthWandle Housing Association Limited</t>
  </si>
  <si>
    <t>WandsworthWestmoreland Supported Housing Limited</t>
  </si>
  <si>
    <t>WandsworthWomen's Pioneer Housing Limited</t>
  </si>
  <si>
    <t>WarringtonAccent Housing Limited</t>
  </si>
  <si>
    <t>WarringtonAnchor Hanover Group</t>
  </si>
  <si>
    <t>WarringtonBirkenhead Forum Housing Association Limited</t>
  </si>
  <si>
    <t>WarringtonCare Housing Association Limited</t>
  </si>
  <si>
    <t>WarringtonClarion Housing Association Limited</t>
  </si>
  <si>
    <t>WarringtonCreative Support Limited</t>
  </si>
  <si>
    <t>WarringtonEncircle Housing</t>
  </si>
  <si>
    <t>WarringtonFirst Priority Housing Association Limited</t>
  </si>
  <si>
    <t>WarringtonFrontis Homes Limited</t>
  </si>
  <si>
    <t>WarringtonGolden Lane Housing Limited</t>
  </si>
  <si>
    <t>WarringtonGreat Places Housing Association</t>
  </si>
  <si>
    <t>WarringtonHalo Housing Association Limited</t>
  </si>
  <si>
    <t>WarringtonHalton Housing</t>
  </si>
  <si>
    <t>WarringtonHeylo Housing Registered Provider Limited</t>
  </si>
  <si>
    <t>WarringtonHousing 21</t>
  </si>
  <si>
    <t>WarringtonInclusion Housing Community Interest Company</t>
  </si>
  <si>
    <t>WarringtonJigsaw Homes North</t>
  </si>
  <si>
    <t>WarringtonLets for Life</t>
  </si>
  <si>
    <t>WarringtonMosscare St. Vincent's Housing Group Limited</t>
  </si>
  <si>
    <t>WarringtonMuir Group Housing Association Limited</t>
  </si>
  <si>
    <t>WarringtonMy Space Housing Solutions</t>
  </si>
  <si>
    <t>WarringtonNotting Hill Home Ownership Limited</t>
  </si>
  <si>
    <t>WarringtonOne Vision Housing Limited</t>
  </si>
  <si>
    <t>WarringtonOnward Homes Limited</t>
  </si>
  <si>
    <t>WarringtonPlaces for People Homes Limited</t>
  </si>
  <si>
    <t>WarringtonPlaces for People Living+ Limited</t>
  </si>
  <si>
    <t>WarringtonPlus Dane Housing Limited</t>
  </si>
  <si>
    <t>WarringtonSage Rented Limited</t>
  </si>
  <si>
    <t>WarringtonSanctuary Housing Association</t>
  </si>
  <si>
    <t>WarringtonSparrow Shared Ownership Limited</t>
  </si>
  <si>
    <t>WarringtonTorus62 Limited</t>
  </si>
  <si>
    <t>WarringtonWarrington Housing Association Limited</t>
  </si>
  <si>
    <t>WarringtonWeaver Vale Housing Trust Limited</t>
  </si>
  <si>
    <t>WarringtonYour Housing Limited</t>
  </si>
  <si>
    <t>WarwickAdvance Housing and Support Limited</t>
  </si>
  <si>
    <t>WarwickAmplius Living</t>
  </si>
  <si>
    <t>WarwickBromford Housing Association Limited</t>
  </si>
  <si>
    <t>WarwickCitizen Housing Group Limited</t>
  </si>
  <si>
    <t>WarwickClarion Housing Association Limited</t>
  </si>
  <si>
    <t>WarwickCreative Support Limited</t>
  </si>
  <si>
    <t>WarwickDimensions (UK) Limited</t>
  </si>
  <si>
    <t>WarwickFairplace Homes Ltd</t>
  </si>
  <si>
    <t>WarwickGolden Lane Housing Limited</t>
  </si>
  <si>
    <t>WarwickGreenSquareAccord Limited</t>
  </si>
  <si>
    <t>WarwickHeylo Housing Registered Provider Limited</t>
  </si>
  <si>
    <t>WarwickHousing 21</t>
  </si>
  <si>
    <t>WarwickIKE Supported Housing Limited</t>
  </si>
  <si>
    <t>WarwickInclusion Housing Community Interest Company</t>
  </si>
  <si>
    <t>WarwickLegal &amp; General Affordable Homes Limited</t>
  </si>
  <si>
    <t>WarwickLondon &amp; Quadrant Housing Trust</t>
  </si>
  <si>
    <t>WarwickMasonic Housing Association</t>
  </si>
  <si>
    <t>WarwickMidland Heart Limited</t>
  </si>
  <si>
    <t>WarwickOrbit Group Limited</t>
  </si>
  <si>
    <t>WarwickOrbit Housing Association Limited</t>
  </si>
  <si>
    <t>WarwickPlatform Housing Limited</t>
  </si>
  <si>
    <t>WarwickSage Homes RP Limited</t>
  </si>
  <si>
    <t>WarwickSage Rented Limited</t>
  </si>
  <si>
    <t>WarwickSalvation Army Housing Association</t>
  </si>
  <si>
    <t>WarwickSanctuary Affordable Housing Limited</t>
  </si>
  <si>
    <t>WarwickSouthern Housing</t>
  </si>
  <si>
    <t>WarwickSparrow Shared Ownership Limited</t>
  </si>
  <si>
    <t>WarwickSt Basil's</t>
  </si>
  <si>
    <t>WarwickStonewater (5) Limited</t>
  </si>
  <si>
    <t>WarwickStonewater Limited</t>
  </si>
  <si>
    <t>WarwickWalsall Housing Group Limited</t>
  </si>
  <si>
    <t>WarwickWarwickshire Rural Housing Association Limited</t>
  </si>
  <si>
    <t>WatfordA2Dominion Housing Options Limited</t>
  </si>
  <si>
    <t>WatfordAnchor Hanover Group</t>
  </si>
  <si>
    <t>WatfordArpeggio Properties Limited</t>
  </si>
  <si>
    <t>WatfordChrysalis Supported Association Limited</t>
  </si>
  <si>
    <t>WatfordClarion Housing Association Limited</t>
  </si>
  <si>
    <t>WatfordFalcon Housing Association C.I.C</t>
  </si>
  <si>
    <t>WatfordFirst Priority Housing Association Limited</t>
  </si>
  <si>
    <t>WatfordHightown Housing Association Limited</t>
  </si>
  <si>
    <t>WatfordHome Group Limited</t>
  </si>
  <si>
    <t>WatfordLegal &amp; General Affordable Homes (AR) LLP</t>
  </si>
  <si>
    <t>WatfordLegal &amp; General Affordable Homes Limited</t>
  </si>
  <si>
    <t>WatfordLondon &amp; Quadrant Housing Trust</t>
  </si>
  <si>
    <t>WatfordMetropolitan Housing Trust Limited</t>
  </si>
  <si>
    <t>WatfordNotting Hill Home Ownership Limited</t>
  </si>
  <si>
    <t>WatfordOne YMCA</t>
  </si>
  <si>
    <t>WatfordOrigin Housing 2 Limited</t>
  </si>
  <si>
    <t>WatfordOrigin Housing Limited</t>
  </si>
  <si>
    <t>WatfordParadigm Homes Charitable Housing Association Limited</t>
  </si>
  <si>
    <t>WatfordParagon Asra Housing Limited</t>
  </si>
  <si>
    <t>WatfordPeabody Trust</t>
  </si>
  <si>
    <t>WatfordPlaces for People Homes Limited</t>
  </si>
  <si>
    <t>WatfordPlaces for People Living+ Limited</t>
  </si>
  <si>
    <t>WatfordReside Housing Association Limited</t>
  </si>
  <si>
    <t>WatfordSage Homes RP Limited</t>
  </si>
  <si>
    <t>WatfordSage Rented Limited</t>
  </si>
  <si>
    <t>WatfordSalvation Army Housing Association</t>
  </si>
  <si>
    <t>WatfordSanctuary Housing Association</t>
  </si>
  <si>
    <t>WatfordSettle Group</t>
  </si>
  <si>
    <t>WatfordSouthern Housing</t>
  </si>
  <si>
    <t>WatfordSovereign Network Group</t>
  </si>
  <si>
    <t>WatfordThe Riverside Group Limited</t>
  </si>
  <si>
    <t>WatfordThrive Homes Limited</t>
  </si>
  <si>
    <t>WatfordWatford Community Housing Trust</t>
  </si>
  <si>
    <t>WatfordWestmoreland Supported Housing Limited</t>
  </si>
  <si>
    <t>WaverleyA2Dominion Housing Options Limited</t>
  </si>
  <si>
    <t>WaverleyA2Dominion South Limited</t>
  </si>
  <si>
    <t>WaverleyAbility Housing Association</t>
  </si>
  <si>
    <t>WaverleyAbri Group Limited</t>
  </si>
  <si>
    <t>WaverleyAccent Housing Limited</t>
  </si>
  <si>
    <t>WaverleyAdvance Housing and Support Limited</t>
  </si>
  <si>
    <t>WaverleyAster 3 Limited</t>
  </si>
  <si>
    <t>WaverleyAster Communities</t>
  </si>
  <si>
    <t>WaverleyClarion Housing Association Limited</t>
  </si>
  <si>
    <t>WaverleyEnglish Rural Housing Association Limited</t>
  </si>
  <si>
    <t>WaverleyGolden Lane Housing Limited</t>
  </si>
  <si>
    <t>WaverleyHewitt Homes</t>
  </si>
  <si>
    <t>WaverleyHeylo Housing Registered Provider Limited</t>
  </si>
  <si>
    <t>WaverleyHyde Housing Association Limited</t>
  </si>
  <si>
    <t>WaverleyLegal &amp; General Affordable Homes Limited</t>
  </si>
  <si>
    <t>WaverleyLondon &amp; Quadrant Housing Trust</t>
  </si>
  <si>
    <t>WaverleyMetropolitan Housing Trust Limited</t>
  </si>
  <si>
    <t>WaverleyMount Green Housing Association Limited</t>
  </si>
  <si>
    <t>WaverleyPark Properties Housing Association Ltd</t>
  </si>
  <si>
    <t>WaverleySage Rented Limited</t>
  </si>
  <si>
    <t>WaverleySouthern Housing</t>
  </si>
  <si>
    <t>WaverleySovereign Network Group</t>
  </si>
  <si>
    <t>WaverleySparrow Shared Ownership Limited</t>
  </si>
  <si>
    <t>WaverleyStonewater (5) Limited</t>
  </si>
  <si>
    <t>WaverleyStonewater Limited</t>
  </si>
  <si>
    <t>WaverleySynergy Housing Limited</t>
  </si>
  <si>
    <t>WaverleyThe Riverside Group Limited</t>
  </si>
  <si>
    <t>WaverleyThe Swaythling Housing Society Limited</t>
  </si>
  <si>
    <t>WaverleyTransform Housing &amp; Support</t>
  </si>
  <si>
    <t>WaverleyVivid Housing Limited</t>
  </si>
  <si>
    <t>WaverleyWestmoreland Supported Housing Limited</t>
  </si>
  <si>
    <t>WaverleyWeybank Housing Co-operative Limited</t>
  </si>
  <si>
    <t>WaverleyWindrush Alliance UK Community Interest Company</t>
  </si>
  <si>
    <t>WealdenA2Dominion South Limited</t>
  </si>
  <si>
    <t>WealdenAbbeyfield South Downs Limited</t>
  </si>
  <si>
    <t>WealdenAnchor Hanover Group</t>
  </si>
  <si>
    <t>WealdenClarion Housing Association Limited</t>
  </si>
  <si>
    <t>WealdenHabinteg Housing Association Limited</t>
  </si>
  <si>
    <t>WealdenHastoe Housing Association Limited</t>
  </si>
  <si>
    <t>WealdenHeylo Housing Registered Provider Limited</t>
  </si>
  <si>
    <t>WealdenHilldale Housing Association Limited</t>
  </si>
  <si>
    <t>WealdenHome Group Limited</t>
  </si>
  <si>
    <t>WealdenLegal &amp; General Affordable Homes (AR) LLP</t>
  </si>
  <si>
    <t>WealdenLegal &amp; General Affordable Homes Limited</t>
  </si>
  <si>
    <t>WealdenLondon &amp; Quadrant Housing Trust</t>
  </si>
  <si>
    <t>WealdenM&amp;G UK Shared Ownership Limited</t>
  </si>
  <si>
    <t>WealdenMoat Homes Limited</t>
  </si>
  <si>
    <t>WealdenNewarch Homes Limited</t>
  </si>
  <si>
    <t>WealdenOrbit Group Limited</t>
  </si>
  <si>
    <t>WealdenOrbit Housing Association Limited</t>
  </si>
  <si>
    <t>WealdenPlaces for People Homes Limited</t>
  </si>
  <si>
    <t>WealdenSage Homes RP Limited</t>
  </si>
  <si>
    <t>WealdenSage Rented Limited</t>
  </si>
  <si>
    <t>WealdenSanctuary Housing Association</t>
  </si>
  <si>
    <t>WealdenSaxon Weald</t>
  </si>
  <si>
    <t>WealdenSimply Affordable Homes RP Limited</t>
  </si>
  <si>
    <t>WealdenSouthdown Housing Association Limited</t>
  </si>
  <si>
    <t>WealdenSouthern Housing</t>
  </si>
  <si>
    <t>WealdenSparrow Shared Ownership Limited</t>
  </si>
  <si>
    <t>WealdenStonewater Limited</t>
  </si>
  <si>
    <t>WealdenSussex Housing and Care</t>
  </si>
  <si>
    <t>WealdenTown and Country Housing</t>
  </si>
  <si>
    <t>WealdenUckfield and District Housing Association Limited</t>
  </si>
  <si>
    <t>Welwyn HatfieldAlice Coralie Glyn Homes</t>
  </si>
  <si>
    <t>Welwyn HatfieldAmplius Living</t>
  </si>
  <si>
    <t>Welwyn HatfieldAnchor Hanover Group</t>
  </si>
  <si>
    <t>Welwyn HatfieldAuckland Home Solutions CIC</t>
  </si>
  <si>
    <t>Welwyn HatfieldB3 Living Limited</t>
  </si>
  <si>
    <t>Welwyn HatfieldClarion Housing Association Limited</t>
  </si>
  <si>
    <t>Welwyn HatfieldCo-operative Development Society Limited</t>
  </si>
  <si>
    <t>Welwyn HatfieldFirst Garden Cities Homes Limited</t>
  </si>
  <si>
    <t>Welwyn HatfieldGolden Lane Housing Limited</t>
  </si>
  <si>
    <t>Welwyn HatfieldHeylo Housing Registered Provider Limited</t>
  </si>
  <si>
    <t>Welwyn HatfieldHightown Housing Association Limited</t>
  </si>
  <si>
    <t>Welwyn HatfieldHome Group Limited</t>
  </si>
  <si>
    <t>Welwyn HatfieldInclusion Housing Community Interest Company</t>
  </si>
  <si>
    <t>Welwyn HatfieldLondon &amp; Quadrant Housing Trust</t>
  </si>
  <si>
    <t>Welwyn HatfieldLook Ahead Care and Support Limited</t>
  </si>
  <si>
    <t>Welwyn HatfieldMetropolitan Housing Trust Limited</t>
  </si>
  <si>
    <t>Welwyn HatfieldMoat Homes Limited</t>
  </si>
  <si>
    <t>Welwyn HatfieldNotting Hill Genesis</t>
  </si>
  <si>
    <t>Welwyn HatfieldOne YMCA</t>
  </si>
  <si>
    <t>Welwyn HatfieldOrigin Housing Limited</t>
  </si>
  <si>
    <t>Welwyn HatfieldParadigm Homes Charitable Housing Association Limited</t>
  </si>
  <si>
    <t>Welwyn HatfieldPeabody Trust</t>
  </si>
  <si>
    <t>Welwyn HatfieldPlaces for People Living+ Limited</t>
  </si>
  <si>
    <t>Welwyn HatfieldSanctuary Housing Association</t>
  </si>
  <si>
    <t>Welwyn HatfieldSettle Group</t>
  </si>
  <si>
    <t>Welwyn HatfieldSouthern Housing</t>
  </si>
  <si>
    <t>Welwyn HatfieldSovereign Network Group</t>
  </si>
  <si>
    <t>Welwyn HatfieldThe Guinness Partnership Limited</t>
  </si>
  <si>
    <t>Welwyn HatfieldThrive Homes Limited</t>
  </si>
  <si>
    <t>Welwyn HatfieldWatford Community Housing Trust</t>
  </si>
  <si>
    <t>West BerkshireA2Dominion Homes Limited</t>
  </si>
  <si>
    <t>West BerkshireA2Dominion Housing Options Limited</t>
  </si>
  <si>
    <t>West BerkshireA2Dominion South Limited</t>
  </si>
  <si>
    <t>West BerkshireAbility Housing Association</t>
  </si>
  <si>
    <t>West BerkshireAbri Group Limited</t>
  </si>
  <si>
    <t>West BerkshireAdvance Housing and Support Limited</t>
  </si>
  <si>
    <t>West BerkshireAnchor Hanover Group</t>
  </si>
  <si>
    <t>West BerkshireAster 3 Limited</t>
  </si>
  <si>
    <t>West BerkshireAster Communities</t>
  </si>
  <si>
    <t>West BerkshireClarion Housing Association Limited</t>
  </si>
  <si>
    <t>West BerkshireEnglish Rural Housing Association Limited</t>
  </si>
  <si>
    <t>West BerkshireFunding Affordable Homes Housing Association Limited</t>
  </si>
  <si>
    <t>West BerkshireGolden Lane Housing Limited</t>
  </si>
  <si>
    <t>West BerkshireHabinteg Housing Association Limited</t>
  </si>
  <si>
    <t>West BerkshireHeylo Housing Registered Provider Limited</t>
  </si>
  <si>
    <t>West BerkshireHome Group Limited</t>
  </si>
  <si>
    <t>West BerkshireHousing 21</t>
  </si>
  <si>
    <t>West BerkshireLondon &amp; Quadrant Housing Trust</t>
  </si>
  <si>
    <t>West BerkshireMetropolitan Housing Trust Limited</t>
  </si>
  <si>
    <t>West BerkshireNotting Hill Home Ownership Limited</t>
  </si>
  <si>
    <t>West BerkshireOrigin Housing Limited</t>
  </si>
  <si>
    <t>West BerkshirePeabody Trust</t>
  </si>
  <si>
    <t>West BerkshirePlaces for People Homes Limited</t>
  </si>
  <si>
    <t>West BerkshireSage Rented Limited</t>
  </si>
  <si>
    <t>West BerkshireSanctuary Housing Association</t>
  </si>
  <si>
    <t>West BerkshireSouthern Housing</t>
  </si>
  <si>
    <t>West BerkshireSovereign Network Group</t>
  </si>
  <si>
    <t>West BerkshireSparrow Shared Ownership Limited</t>
  </si>
  <si>
    <t>West BerkshireStonewater Limited</t>
  </si>
  <si>
    <t>West BerkshireSynergy Housing Limited</t>
  </si>
  <si>
    <t>West BerkshireThe Charity of Mrs Mabel Luke</t>
  </si>
  <si>
    <t>West BerkshireThe Riverside Group Limited</t>
  </si>
  <si>
    <t>West BerkshireThe Swaythling Housing Society Limited</t>
  </si>
  <si>
    <t>West BerkshireTwo Saints Limited</t>
  </si>
  <si>
    <t>West BerkshireVivid Housing Limited</t>
  </si>
  <si>
    <t>West BerkshireWestmoreland Supported Housing Limited</t>
  </si>
  <si>
    <t>West DevonAbbeyfield Tavistock Society Limited</t>
  </si>
  <si>
    <t>West DevonAdvance Housing and Support Limited</t>
  </si>
  <si>
    <t>West DevonAnchor Hanover Group</t>
  </si>
  <si>
    <t>West DevonAster Communities</t>
  </si>
  <si>
    <t>West DevonAuckland Home Solutions CIC</t>
  </si>
  <si>
    <t>West DevonCornerstone Housing Limited</t>
  </si>
  <si>
    <t>West DevonFalcon Housing Association C.I.C</t>
  </si>
  <si>
    <t>West DevonFord Street and Maynard Almshouse Charity</t>
  </si>
  <si>
    <t>West DevonGolden Lane Housing Limited</t>
  </si>
  <si>
    <t>West DevonHastoe Housing Association Limited</t>
  </si>
  <si>
    <t>West DevonHeylo Housing Registered Provider Limited</t>
  </si>
  <si>
    <t>West DevonLegal &amp; General Affordable Homes (AR) LLP</t>
  </si>
  <si>
    <t>West DevonLegal &amp; General Affordable Homes Limited</t>
  </si>
  <si>
    <t>West DevonLiveWest Homes Limited</t>
  </si>
  <si>
    <t>West DevonPlaces for People Homes Limited</t>
  </si>
  <si>
    <t>West DevonPlaces for People Living+ Limited</t>
  </si>
  <si>
    <t>West DevonPlymouth Community Homes Limited</t>
  </si>
  <si>
    <t>West DevonRentplus Homes Limited</t>
  </si>
  <si>
    <t>West DevonSanctuary Housing Association</t>
  </si>
  <si>
    <t>West DevonSovereign Network Group</t>
  </si>
  <si>
    <t>West DevonTeign Housing</t>
  </si>
  <si>
    <t>West DevonThe Abbeyfield Buckland Monachorum Society Limited</t>
  </si>
  <si>
    <t>West DevonThe Guinness Partnership Limited</t>
  </si>
  <si>
    <t>West DevonWestmoreland Supported Housing Limited</t>
  </si>
  <si>
    <t>West DevonWestward Housing Group Limited</t>
  </si>
  <si>
    <t>West DevonWillow Tree Housing Partnership Limited</t>
  </si>
  <si>
    <t>West LancashireAnchor Hanover Group</t>
  </si>
  <si>
    <t>West LancashireAssured Living Housing Association Limited</t>
  </si>
  <si>
    <t>West LancashireAuxesia Homes Limited</t>
  </si>
  <si>
    <t>West LancashireBolton at Home Limited</t>
  </si>
  <si>
    <t>West LancashireCalico Homes Limited</t>
  </si>
  <si>
    <t>West LancashireCare Housing Association Limited</t>
  </si>
  <si>
    <t>West LancashireCommunity Gateway Association Limited</t>
  </si>
  <si>
    <t>West LancashireEmpower Housing Association Limited</t>
  </si>
  <si>
    <t>West LancashireGreat Places Housing Association</t>
  </si>
  <si>
    <t>West LancashireHalo Housing Association Limited</t>
  </si>
  <si>
    <t>West LancashireHeylo Housing Registered Provider Limited</t>
  </si>
  <si>
    <t>West LancashireHousing 21</t>
  </si>
  <si>
    <t>West LancashireIrwell Valley Housing Association Limited</t>
  </si>
  <si>
    <t>West LancashireJigsaw Homes North</t>
  </si>
  <si>
    <t>West LancashireLivv Housing Group</t>
  </si>
  <si>
    <t>West LancashireLondon &amp; Quadrant Housing Trust</t>
  </si>
  <si>
    <t>West LancashireMuir Group Housing Association Limited</t>
  </si>
  <si>
    <t>West LancashireOne Vision Housing Limited</t>
  </si>
  <si>
    <t>West LancashireOnward Homes Limited</t>
  </si>
  <si>
    <t>West LancashirePartners Foundation Limited</t>
  </si>
  <si>
    <t>West LancashirePlaces for People Homes Limited</t>
  </si>
  <si>
    <t>West LancashirePlus Dane Housing Limited</t>
  </si>
  <si>
    <t>West LancashireProgress Housing Association Limited</t>
  </si>
  <si>
    <t>West LancashireRegenda Limited</t>
  </si>
  <si>
    <t>West LancashireSage Homes RP Limited</t>
  </si>
  <si>
    <t>West LancashireSage Rented Limited</t>
  </si>
  <si>
    <t>West LancashireSalvation Army Housing Association</t>
  </si>
  <si>
    <t>West LancashireSanctuary Housing Association</t>
  </si>
  <si>
    <t>West LancashireThe Riverside Group Limited</t>
  </si>
  <si>
    <t>West LancashireThe Sons of Divine Providence</t>
  </si>
  <si>
    <t>West LancashireThe Vanbrugh and Tempest Almshouse Charity</t>
  </si>
  <si>
    <t>West LancashireTorus62 Limited</t>
  </si>
  <si>
    <t>West LancashireYour Housing Limited</t>
  </si>
  <si>
    <t>West LindseyAcis Group Limited</t>
  </si>
  <si>
    <t>West LindseyAdvance Housing and Support Limited</t>
  </si>
  <si>
    <t>West LindseyAmplius Living</t>
  </si>
  <si>
    <t>West LindseyAnchor Hanover Group</t>
  </si>
  <si>
    <t>West LindseyFramework Housing Association</t>
  </si>
  <si>
    <t>West LindseyGolden Lane Housing Limited</t>
  </si>
  <si>
    <t>West LindseyHeylo Housing Registered Provider Limited</t>
  </si>
  <si>
    <t>West LindseyLace Housing Limited</t>
  </si>
  <si>
    <t>West LindseyLincolnshire Housing Partnership Limited</t>
  </si>
  <si>
    <t>West LindseyLincolnshire Rural Housing Association Limited</t>
  </si>
  <si>
    <t>West LindseyM&amp;G UK Shared Ownership Limited</t>
  </si>
  <si>
    <t>West LindseyOngo Homes Limited</t>
  </si>
  <si>
    <t>West LindseyP3 Housing Limited</t>
  </si>
  <si>
    <t>West LindseyPlaces for People Homes Limited</t>
  </si>
  <si>
    <t>West LindseyPlaces for People Living+ Limited</t>
  </si>
  <si>
    <t>West LindseyPlatform Housing Limited</t>
  </si>
  <si>
    <t>West LindseyProgress Housing Association Limited</t>
  </si>
  <si>
    <t>West LindseyReside Housing Association Limited</t>
  </si>
  <si>
    <t>West LindseySanctuary Housing Association</t>
  </si>
  <si>
    <t>West LindseyTogether Housing Association Limited</t>
  </si>
  <si>
    <t>West LindseyWestmoreland Supported Housing Limited</t>
  </si>
  <si>
    <t>West NorthamptonshireAccent Housing Limited</t>
  </si>
  <si>
    <t>West NorthamptonshireAdvance Housing and Support Limited</t>
  </si>
  <si>
    <t>West NorthamptonshireAmplius Living</t>
  </si>
  <si>
    <t>West NorthamptonshireAnchor Hanover Group</t>
  </si>
  <si>
    <t>West NorthamptonshireAuckland Home Solutions CIC</t>
  </si>
  <si>
    <t>West NorthamptonshireBromford Housing Association Limited</t>
  </si>
  <si>
    <t>West NorthamptonshireClarion Housing Association Limited</t>
  </si>
  <si>
    <t>West NorthamptonshireDimensions (UK) Limited</t>
  </si>
  <si>
    <t>West NorthamptonshireEMH Housing and Regeneration Limited</t>
  </si>
  <si>
    <t>West NorthamptonshireFairhive Homes Limited</t>
  </si>
  <si>
    <t>West NorthamptonshireFutures Homescape Limited</t>
  </si>
  <si>
    <t>West NorthamptonshireFutures Homeway Limited</t>
  </si>
  <si>
    <t>West NorthamptonshireGreatwell Homes Limited</t>
  </si>
  <si>
    <t>West NorthamptonshireGreenSquareAccord Limited</t>
  </si>
  <si>
    <t>West NorthamptonshireHeylo Housing Registered Provider Limited</t>
  </si>
  <si>
    <t>West NorthamptonshireHome Group Limited</t>
  </si>
  <si>
    <t>West NorthamptonshireHousing 21</t>
  </si>
  <si>
    <t>West NorthamptonshireHyde Housing Association Limited</t>
  </si>
  <si>
    <t>West NorthamptonshireInclusion Housing Community Interest Company</t>
  </si>
  <si>
    <t>West NorthamptonshireLangley House Trust</t>
  </si>
  <si>
    <t>West NorthamptonshireLegal &amp; General Affordable Homes (AR) LLP</t>
  </si>
  <si>
    <t>West NorthamptonshireLegal &amp; General Affordable Homes Limited</t>
  </si>
  <si>
    <t>West NorthamptonshireM&amp;G UK Shared Ownership Limited</t>
  </si>
  <si>
    <t>West NorthamptonshireMetropolitan Housing Trust Limited</t>
  </si>
  <si>
    <t>West NorthamptonshireMidland Heart Limited</t>
  </si>
  <si>
    <t>West NorthamptonshireMilton Keynes YMCA Limited</t>
  </si>
  <si>
    <t>West NorthamptonshireMuir Group Housing Association Limited</t>
  </si>
  <si>
    <t>West NorthamptonshireNorthamptonshire Rural Housing Association Limited</t>
  </si>
  <si>
    <t>West NorthamptonshireNottingham Community Housing Association Limited</t>
  </si>
  <si>
    <t>West NorthamptonshireOrbit Group Limited</t>
  </si>
  <si>
    <t>West NorthamptonshireOrbit Housing Association Limited</t>
  </si>
  <si>
    <t>West NorthamptonshireParagon Asra Housing Limited</t>
  </si>
  <si>
    <t>West NorthamptonshirePeabody Trust</t>
  </si>
  <si>
    <t>West NorthamptonshirePlaces for People Homes Limited</t>
  </si>
  <si>
    <t>West NorthamptonshirePlaces for People Living+ Limited</t>
  </si>
  <si>
    <t>West NorthamptonshirePlatform Housing Limited</t>
  </si>
  <si>
    <t>West NorthamptonshireReside Housing Association Limited</t>
  </si>
  <si>
    <t>West NorthamptonshireSage Homes RP Limited</t>
  </si>
  <si>
    <t>West NorthamptonshireSage Rented Limited</t>
  </si>
  <si>
    <t>West NorthamptonshireSanctuary Housing Association</t>
  </si>
  <si>
    <t>West NorthamptonshireSouthern Housing</t>
  </si>
  <si>
    <t>West NorthamptonshireSparrow Shared Ownership Limited</t>
  </si>
  <si>
    <t>West NorthamptonshireStonewater Limited</t>
  </si>
  <si>
    <t>West NorthamptonshireThe Guinness Partnership Limited</t>
  </si>
  <si>
    <t>West NorthamptonshireThe Riverside Group Limited</t>
  </si>
  <si>
    <t>West NorthamptonshireThrive Homes Limited</t>
  </si>
  <si>
    <t>West NorthamptonshireTrinity Housing Association Limited</t>
  </si>
  <si>
    <t>West NorthamptonshireWestmoreland Supported Housing Limited</t>
  </si>
  <si>
    <t>West NorthamptonshireWilliam Lovett's Almshouse Charity</t>
  </si>
  <si>
    <t>West Northamptonshirebpha Limited</t>
  </si>
  <si>
    <t>West OxfordshireA2Dominion Homes Limited</t>
  </si>
  <si>
    <t>West OxfordshireAdvance Housing and Support Limited</t>
  </si>
  <si>
    <t>West OxfordshireAmplius Living</t>
  </si>
  <si>
    <t>West OxfordshireAnchor Hanover Group</t>
  </si>
  <si>
    <t>West OxfordshireAster Communities</t>
  </si>
  <si>
    <t>West OxfordshireAuckland Home Solutions CIC</t>
  </si>
  <si>
    <t>West OxfordshireClarion Housing Association Limited</t>
  </si>
  <si>
    <t>West OxfordshireCottsway 2</t>
  </si>
  <si>
    <t>West OxfordshireCottsway Housing Association Limited</t>
  </si>
  <si>
    <t>West OxfordshireEnglish Rural Housing Association Limited</t>
  </si>
  <si>
    <t>West OxfordshireGolden Lane Housing Limited</t>
  </si>
  <si>
    <t>West OxfordshireGreenSquareAccord Limited</t>
  </si>
  <si>
    <t>West OxfordshireHeylo Housing Registered Provider Limited</t>
  </si>
  <si>
    <t>West OxfordshireHome Group Limited</t>
  </si>
  <si>
    <t>West OxfordshireHousing 21</t>
  </si>
  <si>
    <t>West OxfordshireLondon &amp; Quadrant Housing Trust</t>
  </si>
  <si>
    <t>West OxfordshireM&amp;G UK Shared Ownership Limited</t>
  </si>
  <si>
    <t>West OxfordshireMoat Homes Limited</t>
  </si>
  <si>
    <t>West OxfordshireOrbit Group Limited</t>
  </si>
  <si>
    <t>West OxfordshirePeabody Trust</t>
  </si>
  <si>
    <t>West OxfordshirePlatform Housing Limited</t>
  </si>
  <si>
    <t>West OxfordshireProgress Housing Association Limited</t>
  </si>
  <si>
    <t>West OxfordshireSage Homes RP Limited</t>
  </si>
  <si>
    <t>West OxfordshireSage Rented Limited</t>
  </si>
  <si>
    <t>West OxfordshireSanctuary Housing Association</t>
  </si>
  <si>
    <t>West OxfordshireSoha Housing Limited</t>
  </si>
  <si>
    <t>West OxfordshireSovereign Network Group</t>
  </si>
  <si>
    <t>West OxfordshireSparrow Shared Ownership Limited</t>
  </si>
  <si>
    <t>West OxfordshireStonewater Limited</t>
  </si>
  <si>
    <t>West OxfordshireThe Abbeyfield Society</t>
  </si>
  <si>
    <t>West SuffolkAnchor Hanover Group</t>
  </si>
  <si>
    <t>West SuffolkBrandon Poor's Estate</t>
  </si>
  <si>
    <t>West SuffolkBroadland Housing Association Limited</t>
  </si>
  <si>
    <t>West SuffolkClarion Housing Association Limited</t>
  </si>
  <si>
    <t>West SuffolkFlagship Housing Limited</t>
  </si>
  <si>
    <t>West SuffolkGolden Lane Housing Limited</t>
  </si>
  <si>
    <t>West SuffolkHastoe Housing Association Limited</t>
  </si>
  <si>
    <t>West SuffolkHeylo Housing Registered Provider Limited</t>
  </si>
  <si>
    <t>West SuffolkHome Group Limited</t>
  </si>
  <si>
    <t>West SuffolkHousing 21</t>
  </si>
  <si>
    <t>West SuffolkInclusion Housing Community Interest Company</t>
  </si>
  <si>
    <t>West SuffolkLegal &amp; General Affordable Homes (AR) LLP</t>
  </si>
  <si>
    <t>West SuffolkLegal &amp; General Affordable Homes Limited</t>
  </si>
  <si>
    <t>West SuffolkLondon &amp; Quadrant Housing Trust</t>
  </si>
  <si>
    <t>West SuffolkM&amp;G UK Shared Ownership Limited</t>
  </si>
  <si>
    <t>West SuffolkMetropolitan Housing Trust Limited</t>
  </si>
  <si>
    <t>West SuffolkOrbit Group Limited</t>
  </si>
  <si>
    <t>West SuffolkOrbit Housing Association Limited</t>
  </si>
  <si>
    <t>West SuffolkOrwell Housing Association Limited</t>
  </si>
  <si>
    <t>West SuffolkPark Properties Housing Association Ltd</t>
  </si>
  <si>
    <t>West SuffolkPinnacle Spaces Limited</t>
  </si>
  <si>
    <t>West SuffolkPlaces for People Homes Limited</t>
  </si>
  <si>
    <t>West SuffolkPlaces for People Living+ Limited</t>
  </si>
  <si>
    <t>West SuffolkReSI Homes Limited</t>
  </si>
  <si>
    <t>West SuffolkReside Housing Association Limited</t>
  </si>
  <si>
    <t>West SuffolkSaffron Housing Trust Limited</t>
  </si>
  <si>
    <t>West SuffolkSage Homes RP Limited</t>
  </si>
  <si>
    <t>West SuffolkSage Rented Limited</t>
  </si>
  <si>
    <t>West SuffolkSanctuary Affordable Housing Limited</t>
  </si>
  <si>
    <t>West SuffolkSanctuary Housing Association</t>
  </si>
  <si>
    <t>West SuffolkSouthern Housing</t>
  </si>
  <si>
    <t>West SuffolkSparrow Shared Ownership Limited</t>
  </si>
  <si>
    <t>West SuffolkStonewater Limited</t>
  </si>
  <si>
    <t>West SuffolkThe Cambridge Housing Society Limited</t>
  </si>
  <si>
    <t>West SuffolkThe Havebury Housing Partnership</t>
  </si>
  <si>
    <t>West SuffolkThe Papworth Trust</t>
  </si>
  <si>
    <t>West SuffolkThe Riverside Group Limited</t>
  </si>
  <si>
    <t>West SuffolkWaythrough</t>
  </si>
  <si>
    <t>West Suffolkbpha Limited</t>
  </si>
  <si>
    <t>WestminsterA2Dominion Homes Limited</t>
  </si>
  <si>
    <t>WestminsterAnchor Hanover Group</t>
  </si>
  <si>
    <t>WestminsterArhag Housing Association Limited</t>
  </si>
  <si>
    <t>WestminsterCentral and Cecil Housing Trust</t>
  </si>
  <si>
    <t>WestminsterCentrepoint Soho</t>
  </si>
  <si>
    <t>WestminsterChippenham Housing Co-operative Limited</t>
  </si>
  <si>
    <t>WestminsterClarion Housing Association Limited</t>
  </si>
  <si>
    <t>WestminsterDimensions (UK) Limited</t>
  </si>
  <si>
    <t>WestminsterDolphin Housing Limited</t>
  </si>
  <si>
    <t>WestminsterHousing 21</t>
  </si>
  <si>
    <t>WestminsterHousing For Women</t>
  </si>
  <si>
    <t>WestminsterJewish Community Housing Association Limited</t>
  </si>
  <si>
    <t>WestminsterKaribu Community Homes Limited</t>
  </si>
  <si>
    <t>WestminsterLondon &amp; Quadrant Housing Trust</t>
  </si>
  <si>
    <t>WestminsterLook Ahead Care and Support Limited</t>
  </si>
  <si>
    <t>WestminsterMetropolitan Housing Trust Limited</t>
  </si>
  <si>
    <t>WestminsterMonmouth Road Housing Co-operative Limited</t>
  </si>
  <si>
    <t>WestminsterNotting Hill Genesis</t>
  </si>
  <si>
    <t>WestminsterNotting Hill Home Ownership Limited</t>
  </si>
  <si>
    <t>WestminsterOctavia Housing</t>
  </si>
  <si>
    <t>WestminsterOrigin Housing Limited</t>
  </si>
  <si>
    <t>WestminsterPassage Housing Services</t>
  </si>
  <si>
    <t>WestminsterPeabody Trust</t>
  </si>
  <si>
    <t>WestminsterPlaces for People Homes Limited</t>
  </si>
  <si>
    <t>WestminsterPortman House</t>
  </si>
  <si>
    <t>WestminsterSalvation Army Housing Association</t>
  </si>
  <si>
    <t>WestminsterSanctuary Housing Association</t>
  </si>
  <si>
    <t>WestminsterSeymour Housing Co-operative Limited</t>
  </si>
  <si>
    <t>WestminsterSeymour Street Homes Limited</t>
  </si>
  <si>
    <t>WestminsterSoho Housing Association Limited</t>
  </si>
  <si>
    <t>WestminsterSouthern Housing</t>
  </si>
  <si>
    <t>WestminsterSovereign Network Group</t>
  </si>
  <si>
    <t>WestminsterSpringboard Two Housing Association Limited</t>
  </si>
  <si>
    <t>WestminsterSt Mungo Community Housing Association</t>
  </si>
  <si>
    <t>WestminsterThe Christian Union Almshouses</t>
  </si>
  <si>
    <t>WestminsterThe Riverside Group Limited</t>
  </si>
  <si>
    <t>WestminsterWalterton and Elgin Community Homes Limited</t>
  </si>
  <si>
    <t>WestminsterWest Hampstead Housing Co-operative Limited</t>
  </si>
  <si>
    <t>WestminsterWestminster Community Homes Limited</t>
  </si>
  <si>
    <t>WestminsterWomen's Pioneer Housing Limited</t>
  </si>
  <si>
    <t>Westmorland and FurnessAccent Housing Limited</t>
  </si>
  <si>
    <t>Westmorland and FurnessAnchor Hanover Group</t>
  </si>
  <si>
    <t>Westmorland and FurnessBroadacres Housing Association Limited</t>
  </si>
  <si>
    <t>Westmorland and FurnessCare Housing Association Limited</t>
  </si>
  <si>
    <t>Westmorland and FurnessCastles &amp; Coasts Housing Association Limited</t>
  </si>
  <si>
    <t>Westmorland and FurnessCreative Support Limited</t>
  </si>
  <si>
    <t>Westmorland and FurnessDawson Housing Limited</t>
  </si>
  <si>
    <t>Westmorland and FurnessDimensions (UK) Limited</t>
  </si>
  <si>
    <t>Westmorland and FurnessEden Housing Association Limited</t>
  </si>
  <si>
    <t>Westmorland and FurnessEmpower Housing Association Limited</t>
  </si>
  <si>
    <t>Westmorland and FurnessEncircle Housing</t>
  </si>
  <si>
    <t>Westmorland and FurnessGolden Lane Housing Limited</t>
  </si>
  <si>
    <t>Westmorland and FurnessGranville Community Homes Limited</t>
  </si>
  <si>
    <t>Westmorland and FurnessHeylo Housing Registered Provider Limited</t>
  </si>
  <si>
    <t>Westmorland and FurnessHilldale Housing Association Limited</t>
  </si>
  <si>
    <t>Westmorland and FurnessHome Group Limited</t>
  </si>
  <si>
    <t>Westmorland and FurnessHousing 21</t>
  </si>
  <si>
    <t>Westmorland and FurnessInclusion Housing Community Interest Company</t>
  </si>
  <si>
    <t>Westmorland and FurnessKendal Almshouse Charity</t>
  </si>
  <si>
    <t>Westmorland and FurnessLyvennet Community Trust</t>
  </si>
  <si>
    <t>Westmorland and FurnessMitre Housing Association Limited</t>
  </si>
  <si>
    <t>Westmorland and FurnessNew Foundations Housing Association Limited</t>
  </si>
  <si>
    <t>Westmorland and FurnessPlaces for People Homes Limited</t>
  </si>
  <si>
    <t>Westmorland and FurnessProgress Housing Association Limited</t>
  </si>
  <si>
    <t>Westmorland and FurnessSanctuary Affordable Housing Limited</t>
  </si>
  <si>
    <t>Westmorland and FurnessSanctuary Housing Association</t>
  </si>
  <si>
    <t>Westmorland and FurnessSouth Lakes Housing</t>
  </si>
  <si>
    <t>Westmorland and FurnessThe Abbeyfield Barrow-in- Furness Society Limited</t>
  </si>
  <si>
    <t>Westmorland and FurnessThe Abbeyfield Society</t>
  </si>
  <si>
    <t>Westmorland and FurnessThe Fairoak Housing Association</t>
  </si>
  <si>
    <t>Westmorland and FurnessThe Riverside Group Limited</t>
  </si>
  <si>
    <t>WiganAnchor Hanover Group</t>
  </si>
  <si>
    <t>WiganAuxesia Homes Limited</t>
  </si>
  <si>
    <t>WiganBespoke Supportive Tenancies Ltd</t>
  </si>
  <si>
    <t>WiganBolton at Home Limited</t>
  </si>
  <si>
    <t>WiganCare Housing Association Limited</t>
  </si>
  <si>
    <t>WiganEmpower Housing Association Limited</t>
  </si>
  <si>
    <t>WiganGreat Places Housing Association</t>
  </si>
  <si>
    <t>WiganHalo Housing Association Limited</t>
  </si>
  <si>
    <t>WiganHeylo Housing Registered Provider Limited</t>
  </si>
  <si>
    <t>WiganHilldale Housing Association Limited</t>
  </si>
  <si>
    <t>WiganHousing 21</t>
  </si>
  <si>
    <t>WiganInclusion Housing Community Interest Company</t>
  </si>
  <si>
    <t>WiganJigsaw Homes North</t>
  </si>
  <si>
    <t>WiganLegal &amp; General Affordable Homes (AR) LLP</t>
  </si>
  <si>
    <t>WiganLegal &amp; General Affordable Homes Limited</t>
  </si>
  <si>
    <t>WiganLets for Life</t>
  </si>
  <si>
    <t>WiganMy Space Housing Solutions</t>
  </si>
  <si>
    <t>WiganNew Foundations Housing Association Limited</t>
  </si>
  <si>
    <t>WiganOne Vision Housing Limited</t>
  </si>
  <si>
    <t>WiganPartners Foundation Limited</t>
  </si>
  <si>
    <t>WiganPlaces for People Homes Limited</t>
  </si>
  <si>
    <t>WiganPlaces for People Living+ Limited</t>
  </si>
  <si>
    <t>WiganPlexus UK (First Project) Limited</t>
  </si>
  <si>
    <t>WiganPlus Dane Housing Limited</t>
  </si>
  <si>
    <t>WiganPrima Housing Group Limited</t>
  </si>
  <si>
    <t>WiganProgress Housing Association Limited</t>
  </si>
  <si>
    <t>WiganSanctuary Housing Association</t>
  </si>
  <si>
    <t>WiganThe Exaireo Trust Ltd</t>
  </si>
  <si>
    <t>WiganThe Guinness Partnership Limited</t>
  </si>
  <si>
    <t>WiganThe Riverside Group Limited</t>
  </si>
  <si>
    <t>WiganTogether Housing Association Limited</t>
  </si>
  <si>
    <t>WiganTorus62 Limited</t>
  </si>
  <si>
    <t>WiganYour Housing Limited</t>
  </si>
  <si>
    <t>WiltshireA2Dominion South Limited</t>
  </si>
  <si>
    <t>WiltshireAbri Group Limited</t>
  </si>
  <si>
    <t>WiltshireAdvance Housing and Support Limited</t>
  </si>
  <si>
    <t>WiltshireAnchor Hanover Group</t>
  </si>
  <si>
    <t>WiltshireAster 3 Limited</t>
  </si>
  <si>
    <t>WiltshireAster Communities</t>
  </si>
  <si>
    <t>WiltshireBespoke Supportive Tenancies Ltd</t>
  </si>
  <si>
    <t>WiltshireBournemouth Churches Housing Association Limited</t>
  </si>
  <si>
    <t>WiltshireBromford Housing Association Limited</t>
  </si>
  <si>
    <t>WiltshireClarion Housing Association Limited</t>
  </si>
  <si>
    <t>WiltshireCottsway Housing Association Limited</t>
  </si>
  <si>
    <t>WiltshireCuro Places Limited</t>
  </si>
  <si>
    <t>WiltshireDimensions (UK) Limited</t>
  </si>
  <si>
    <t>WiltshireEmpower Housing Association Limited</t>
  </si>
  <si>
    <t>WiltshireEnglish Rural Housing Association Limited</t>
  </si>
  <si>
    <t>WiltshireFalcon Housing Association C.I.C</t>
  </si>
  <si>
    <t>WiltshireFrontis Homes Limited</t>
  </si>
  <si>
    <t>WiltshireGolden Lane Housing Limited</t>
  </si>
  <si>
    <t>WiltshireGreenSquareAccord Limited</t>
  </si>
  <si>
    <t>WiltshireGuinness Housing Association Limited</t>
  </si>
  <si>
    <t>WiltshireHabinteg Housing Association Limited</t>
  </si>
  <si>
    <t>WiltshireHastoe Housing Association Limited</t>
  </si>
  <si>
    <t>WiltshireHeylo Housing Registered Provider Limited</t>
  </si>
  <si>
    <t>WiltshireHome Group Limited</t>
  </si>
  <si>
    <t>WiltshireHousing 21</t>
  </si>
  <si>
    <t>WiltshireInclusion Housing Community Interest Company</t>
  </si>
  <si>
    <t>WiltshireJulian House</t>
  </si>
  <si>
    <t>WiltshireLiveWest Homes Limited</t>
  </si>
  <si>
    <t>WiltshireLondon &amp; Quadrant Housing Trust</t>
  </si>
  <si>
    <t>WiltshireMerlin Housing Society Limited</t>
  </si>
  <si>
    <t>WiltshireMoat Homes Limited</t>
  </si>
  <si>
    <t>WiltshireOak Housing Limited</t>
  </si>
  <si>
    <t>WiltshirePlaces for People Homes Limited</t>
  </si>
  <si>
    <t>WiltshirePlaces for People Living+ Limited</t>
  </si>
  <si>
    <t>WiltshireSage Homes RP Limited</t>
  </si>
  <si>
    <t>WiltshireSage Rented Limited</t>
  </si>
  <si>
    <t>WiltshireSalisbury City Almshouse and Welfare Charities</t>
  </si>
  <si>
    <t>WiltshireSalvation Army Housing Association</t>
  </si>
  <si>
    <t>WiltshireSanctuary Housing Association</t>
  </si>
  <si>
    <t>WiltshireSelwood Housing Society Limited</t>
  </si>
  <si>
    <t>WiltshireSoha Housing Limited</t>
  </si>
  <si>
    <t>WiltshireSovereign Network Group</t>
  </si>
  <si>
    <t>WiltshireSparrow Shared Ownership Limited</t>
  </si>
  <si>
    <t>WiltshireStonewater (5) Limited</t>
  </si>
  <si>
    <t>WiltshireStonewater Limited</t>
  </si>
  <si>
    <t>WiltshireSynergy Housing Limited</t>
  </si>
  <si>
    <t>WiltshireThe Abbeyfield Bradford-on-Avon Society Limited</t>
  </si>
  <si>
    <t>WiltshireThe Abbeyfield Society</t>
  </si>
  <si>
    <t>WiltshireThe Duchess of Somerset's Hospital</t>
  </si>
  <si>
    <t>WiltshireThe Flood Charity</t>
  </si>
  <si>
    <t>WiltshireThe Guinness Partnership Limited</t>
  </si>
  <si>
    <t>WiltshireThe Swaythling Housing Society Limited</t>
  </si>
  <si>
    <t>WiltshireTown and Country Housing</t>
  </si>
  <si>
    <t>WiltshireVivid Housing Limited</t>
  </si>
  <si>
    <t>WiltshireWestward Housing Group Limited</t>
  </si>
  <si>
    <t>WiltshireWhite Horse Housing Association Limited</t>
  </si>
  <si>
    <t>WiltshireWillow Tree Housing Partnership Limited</t>
  </si>
  <si>
    <t>Wiltshirebpha Limited</t>
  </si>
  <si>
    <t>WinchesterA2Dominion Housing Options Limited</t>
  </si>
  <si>
    <t>WinchesterA2Dominion South Limited</t>
  </si>
  <si>
    <t>WinchesterAbility Housing Association</t>
  </si>
  <si>
    <t>WinchesterAbri Group Limited</t>
  </si>
  <si>
    <t>WinchesterAdvance Housing and Support Limited</t>
  </si>
  <si>
    <t>WinchesterAnchor Hanover Group</t>
  </si>
  <si>
    <t>WinchesterAster 3 Limited</t>
  </si>
  <si>
    <t>WinchesterAster Communities</t>
  </si>
  <si>
    <t>WinchesterBespoke Supportive Tenancies Ltd</t>
  </si>
  <si>
    <t>WinchesterBournemouth Churches Housing Association Limited</t>
  </si>
  <si>
    <t>WinchesterFalcon Housing Association C.I.C</t>
  </si>
  <si>
    <t>WinchesterGolden Lane Housing Limited</t>
  </si>
  <si>
    <t>WinchesterGrainger Trust Limited</t>
  </si>
  <si>
    <t>WinchesterHeylo Housing Registered Provider Limited</t>
  </si>
  <si>
    <t>WinchesterHome Group Limited</t>
  </si>
  <si>
    <t>WinchesterHousing 21</t>
  </si>
  <si>
    <t>WinchesterHyde Housing Association Limited</t>
  </si>
  <si>
    <t>WinchesterLangley House Trust</t>
  </si>
  <si>
    <t>WinchesterLegal &amp; General Affordable Homes Limited</t>
  </si>
  <si>
    <t>WinchesterMartlet Homes Limited</t>
  </si>
  <si>
    <t>WinchesterNewarch Homes Limited</t>
  </si>
  <si>
    <t>WinchesterPark Properties Housing Association Ltd</t>
  </si>
  <si>
    <t>WinchesterSage Homes RP Limited</t>
  </si>
  <si>
    <t>WinchesterSanctuary Housing Association</t>
  </si>
  <si>
    <t>WinchesterSovereign Network Group</t>
  </si>
  <si>
    <t>WinchesterStonewater (5) Limited</t>
  </si>
  <si>
    <t>WinchesterStonewater Limited</t>
  </si>
  <si>
    <t>WinchesterSynergy Housing Limited</t>
  </si>
  <si>
    <t>WinchesterThe Abbeyfield Alresford and District Society Limited</t>
  </si>
  <si>
    <t>WinchesterThe Guinness Partnership Limited</t>
  </si>
  <si>
    <t>WinchesterThe Swaythling Housing Society Limited</t>
  </si>
  <si>
    <t>WinchesterTwo Saints Limited</t>
  </si>
  <si>
    <t>WinchesterVivid Housing Limited</t>
  </si>
  <si>
    <t>WinchesterWickham Community Land Trust</t>
  </si>
  <si>
    <t>WinchesterWinchester Working Men's Housing Society Limited</t>
  </si>
  <si>
    <t>Windsor and MaidenheadA2Dominion Housing Options Limited</t>
  </si>
  <si>
    <t>Windsor and MaidenheadA2Dominion South Limited</t>
  </si>
  <si>
    <t>Windsor and MaidenheadAbri Group Limited</t>
  </si>
  <si>
    <t>Windsor and MaidenheadAdvance Housing and Support Limited</t>
  </si>
  <si>
    <t>Windsor and MaidenheadAnchor Hanover Group</t>
  </si>
  <si>
    <t>Windsor and MaidenheadBirnbeck Housing Association Limited</t>
  </si>
  <si>
    <t>Windsor and MaidenheadHome Group Limited</t>
  </si>
  <si>
    <t>Windsor and MaidenheadHousing Solutions</t>
  </si>
  <si>
    <t>Windsor and MaidenheadJoseph Chariott's Charity</t>
  </si>
  <si>
    <t>Windsor and MaidenheadLondon &amp; Quadrant Housing Trust</t>
  </si>
  <si>
    <t>Windsor and MaidenheadLook Ahead Care and Support Limited</t>
  </si>
  <si>
    <t>Windsor and MaidenheadMetropolitan Housing Trust Limited</t>
  </si>
  <si>
    <t>Windsor and MaidenheadMoat Homes Limited</t>
  </si>
  <si>
    <t>Windsor and MaidenheadNotting Hill Home Ownership Limited</t>
  </si>
  <si>
    <t>Windsor and MaidenheadOld Etonian Housing Association Limited</t>
  </si>
  <si>
    <t>Windsor and MaidenheadParadigm Homes Charitable Housing Association Limited</t>
  </si>
  <si>
    <t>Windsor and MaidenheadPeabody Trust</t>
  </si>
  <si>
    <t>Windsor and MaidenheadPlaces for People Homes Limited</t>
  </si>
  <si>
    <t>Windsor and MaidenheadSovereign Network Group</t>
  </si>
  <si>
    <t>Windsor and MaidenheadSparrow Shared Ownership Limited</t>
  </si>
  <si>
    <t>Windsor and MaidenheadThe Riverside Group Limited</t>
  </si>
  <si>
    <t>Windsor and MaidenheadThe Swaythling Housing Society Limited</t>
  </si>
  <si>
    <t>WirralAlpha (R.S.L.) Limited</t>
  </si>
  <si>
    <t>WirralAnchor Hanover Group</t>
  </si>
  <si>
    <t>WirralAuckland Home Solutions CIC</t>
  </si>
  <si>
    <t>WirralBespoke Supportive Tenancies Ltd</t>
  </si>
  <si>
    <t>WirralBirkenhead Forum Housing Association Limited</t>
  </si>
  <si>
    <t>WirralCare Housing Association Limited</t>
  </si>
  <si>
    <t>WirralChrysalis Supported Association Limited</t>
  </si>
  <si>
    <t>WirralEncircle Housing</t>
  </si>
  <si>
    <t>WirralExcel Housing Solutions</t>
  </si>
  <si>
    <t>WirralFamily Housing Association (Birkenhead and Wirral) Limited</t>
  </si>
  <si>
    <t>WirralFirst Priority Housing Association Limited</t>
  </si>
  <si>
    <t>WirralGolden Lane Housing Limited</t>
  </si>
  <si>
    <t>WirralGreat Places Housing Association</t>
  </si>
  <si>
    <t>WirralHalo Housing Association Limited</t>
  </si>
  <si>
    <t>WirralHarbour Light Assisted Living CIC</t>
  </si>
  <si>
    <t>WirralHeylo Housing Registered Provider Limited</t>
  </si>
  <si>
    <t>WirralHilldale Housing Association Limited</t>
  </si>
  <si>
    <t>WirralHousing 21</t>
  </si>
  <si>
    <t>WirralInclusion Housing Community Interest Company</t>
  </si>
  <si>
    <t>WirralJigsaw Homes North</t>
  </si>
  <si>
    <t>WirralMagenta Living</t>
  </si>
  <si>
    <t>WirralMethodist Homes Housing Association Limited</t>
  </si>
  <si>
    <t>WirralOne Vision Housing Limited</t>
  </si>
  <si>
    <t>WirralOnward Homes Limited</t>
  </si>
  <si>
    <t>WirralPine Court Housing Association Limited</t>
  </si>
  <si>
    <t>WirralPlaces for People Living+ Limited</t>
  </si>
  <si>
    <t>WirralPlus Dane Housing Limited</t>
  </si>
  <si>
    <t>WirralPrima Housing Group Limited</t>
  </si>
  <si>
    <t>WirralRedwing Living Limited</t>
  </si>
  <si>
    <t>WirralRegenda Limited</t>
  </si>
  <si>
    <t>WirralReside Housing Association Limited</t>
  </si>
  <si>
    <t>WirralSanctuary Affordable Housing Limited</t>
  </si>
  <si>
    <t>WirralSanctuary Housing Association</t>
  </si>
  <si>
    <t>WirralThe Riverside Group Limited</t>
  </si>
  <si>
    <t>WirralTorus62 Limited</t>
  </si>
  <si>
    <t>WirralTrinity Housing Association Limited</t>
  </si>
  <si>
    <t>WirralWirral Churches' Ark Project</t>
  </si>
  <si>
    <t>WirralWirral Methodist Housing Association Limited</t>
  </si>
  <si>
    <t>WokingA2Dominion Housing Options Limited</t>
  </si>
  <si>
    <t>WokingA2Dominion South Limited</t>
  </si>
  <si>
    <t>WokingAbility Housing Association</t>
  </si>
  <si>
    <t>WokingAbri Group Limited</t>
  </si>
  <si>
    <t>WokingAccent Housing Limited</t>
  </si>
  <si>
    <t>WokingAdvance Housing and Support Limited</t>
  </si>
  <si>
    <t>WokingAnchor Hanover Group</t>
  </si>
  <si>
    <t>WokingAster 3 Limited</t>
  </si>
  <si>
    <t>WokingClarion Housing Association Limited</t>
  </si>
  <si>
    <t>WokingEncircle Housing</t>
  </si>
  <si>
    <t>WokingFirst Priority Housing Association Limited</t>
  </si>
  <si>
    <t>WokingGolden Lane Housing Limited</t>
  </si>
  <si>
    <t>WokingHome Group Limited</t>
  </si>
  <si>
    <t>WokingHousing 21</t>
  </si>
  <si>
    <t>WokingHyde Housing Association Limited</t>
  </si>
  <si>
    <t>WokingLife 2009</t>
  </si>
  <si>
    <t>WokingMetropolitan Housing Trust Limited</t>
  </si>
  <si>
    <t>WokingMoat Homes Limited</t>
  </si>
  <si>
    <t>WokingMount Green Housing Association Limited</t>
  </si>
  <si>
    <t>WokingParagon Asra Housing Limited</t>
  </si>
  <si>
    <t>WokingRaven Housing Trust Limited</t>
  </si>
  <si>
    <t>WokingSanctuary Housing Association</t>
  </si>
  <si>
    <t>WokingSouthern Housing</t>
  </si>
  <si>
    <t>WokingStonewater (5) Limited</t>
  </si>
  <si>
    <t>WokingStonewater Limited</t>
  </si>
  <si>
    <t>WokingThames Valley Housing Association Limited</t>
  </si>
  <si>
    <t>WokingThe Fellowship Houses Trust</t>
  </si>
  <si>
    <t>WokingThe Guinness Partnership Limited</t>
  </si>
  <si>
    <t>WokingThe Riverside Group Limited</t>
  </si>
  <si>
    <t>WokingTransform Housing &amp; Support</t>
  </si>
  <si>
    <t>WokingTrinity Housing Association Limited</t>
  </si>
  <si>
    <t>WokinghamA2Dominion Homes Limited</t>
  </si>
  <si>
    <t>WokinghamA2Dominion South Limited</t>
  </si>
  <si>
    <t>WokinghamAbility Housing Association</t>
  </si>
  <si>
    <t>WokinghamAbri Group Limited</t>
  </si>
  <si>
    <t>WokinghamAdvance Housing and Support Limited</t>
  </si>
  <si>
    <t>WokinghamAnchor Hanover Group</t>
  </si>
  <si>
    <t>WokinghamAster Communities</t>
  </si>
  <si>
    <t>WokinghamCentral and Cecil Housing Trust</t>
  </si>
  <si>
    <t>WokinghamEncircle Housing</t>
  </si>
  <si>
    <t>WokinghamFairplace Homes Ltd</t>
  </si>
  <si>
    <t>WokinghamFrontis Homes Limited</t>
  </si>
  <si>
    <t>WokinghamHastoe Housing Association Limited</t>
  </si>
  <si>
    <t>WokinghamHeylo Housing Registered Provider Limited</t>
  </si>
  <si>
    <t>WokinghamHome Group Limited</t>
  </si>
  <si>
    <t>WokinghamHousing 21</t>
  </si>
  <si>
    <t>WokinghamHousing Solutions</t>
  </si>
  <si>
    <t>WokinghamLoddon Homes Limited</t>
  </si>
  <si>
    <t>WokinghamLondon &amp; Quadrant Housing Trust</t>
  </si>
  <si>
    <t>WokinghamM&amp;G UK Shared Ownership Limited</t>
  </si>
  <si>
    <t>WokinghamMetropolitan Housing Trust Limited</t>
  </si>
  <si>
    <t>WokinghamMoat Homes Limited</t>
  </si>
  <si>
    <t>WokinghamMuir Group Housing Association Limited</t>
  </si>
  <si>
    <t>WokinghamPeabody Trust</t>
  </si>
  <si>
    <t>WokinghamPlaces for People Homes Limited</t>
  </si>
  <si>
    <t>WokinghamSage Rented Limited</t>
  </si>
  <si>
    <t>WokinghamSanctuary Housing Association</t>
  </si>
  <si>
    <t>WokinghamSouthern Housing</t>
  </si>
  <si>
    <t>WokinghamSovereign Network Group</t>
  </si>
  <si>
    <t>WokinghamSparrow Shared Ownership Limited</t>
  </si>
  <si>
    <t>WokinghamStonewater Limited</t>
  </si>
  <si>
    <t>WokinghamThe Swaythling Housing Society Limited</t>
  </si>
  <si>
    <t>WokinghamVivid Housing Limited</t>
  </si>
  <si>
    <t>WokinghamWargrave-on-Thames Housing Association Limited</t>
  </si>
  <si>
    <t>WokinghamWoodley Sandford and Charvil Charitable Trust</t>
  </si>
  <si>
    <t>WolverhamptonAnchor Hanover Group</t>
  </si>
  <si>
    <t>WolverhamptonAshley Community &amp; Housing Ltd</t>
  </si>
  <si>
    <t>WolverhamptonAuckland Home Solutions CIC</t>
  </si>
  <si>
    <t>WolverhamptonBespoke Supportive Tenancies Ltd</t>
  </si>
  <si>
    <t>WolverhamptonBlack Country Housing Group Limited</t>
  </si>
  <si>
    <t>WolverhamptonBromford Housing Association Limited</t>
  </si>
  <si>
    <t>WolverhamptonChrysalis Supported Association Limited</t>
  </si>
  <si>
    <t>WolverhamptonCitizen Housing Group Limited</t>
  </si>
  <si>
    <t>WolverhamptonClarion Housing Association Limited</t>
  </si>
  <si>
    <t>WolverhamptonEncircle Housing</t>
  </si>
  <si>
    <t>WolverhamptonGolden Lane Housing Limited</t>
  </si>
  <si>
    <t>WolverhamptonGreenSquareAccord Limited</t>
  </si>
  <si>
    <t>WolverhamptonHalo Housing Association Limited</t>
  </si>
  <si>
    <t>WolverhamptonHeylo Housing Registered Provider Limited</t>
  </si>
  <si>
    <t>WolverhamptonHibiscus Housing Association Limited</t>
  </si>
  <si>
    <t>WolverhamptonHome Group Limited</t>
  </si>
  <si>
    <t>WolverhamptonHousing 21</t>
  </si>
  <si>
    <t>WolverhamptonInclusion Housing Community Interest Company</t>
  </si>
  <si>
    <t>WolverhamptonLegal &amp; General Affordable Homes Limited</t>
  </si>
  <si>
    <t>WolverhamptonMethodist Homes Housing Association Limited</t>
  </si>
  <si>
    <t>WolverhamptonMidland Heart Limited</t>
  </si>
  <si>
    <t>WolverhamptonNehemiah United Churches Housing Association Limited</t>
  </si>
  <si>
    <t>WolverhamptonOrbit Group Limited</t>
  </si>
  <si>
    <t>WolverhamptonP3 Housing Limited</t>
  </si>
  <si>
    <t>WolverhamptonPlatform Housing Limited</t>
  </si>
  <si>
    <t>WolverhamptonSage Homes RP Limited</t>
  </si>
  <si>
    <t>WolverhamptonSanctuary Housing Association</t>
  </si>
  <si>
    <t>WolverhamptonThe Wrekin Housing Group Limited</t>
  </si>
  <si>
    <t>WolverhamptonWalsall Housing Group Limited</t>
  </si>
  <si>
    <t>WolverhamptonWestmoreland Supported Housing Limited</t>
  </si>
  <si>
    <t>WolverhamptonWoodlands Quaker Home</t>
  </si>
  <si>
    <t>WolverhamptonYMCA Black Country Group</t>
  </si>
  <si>
    <t>WorcesterAdvance Housing and Support Limited</t>
  </si>
  <si>
    <t>WorcesterAnchor Hanover Group</t>
  </si>
  <si>
    <t>WorcesterAuckland Home Solutions CIC</t>
  </si>
  <si>
    <t>WorcesterBlue Square Residential Ltd</t>
  </si>
  <si>
    <t>WorcesterBromford Housing Association Limited</t>
  </si>
  <si>
    <t>WorcesterCitizen Housing Group Limited</t>
  </si>
  <si>
    <t>WorcesterClarion Housing Association Limited</t>
  </si>
  <si>
    <t>WorcesterDimensions (UK) Limited</t>
  </si>
  <si>
    <t>WorcesterFalcon Housing Association C.I.C</t>
  </si>
  <si>
    <t>WorcesterGolden Lane Housing Limited</t>
  </si>
  <si>
    <t>WorcesterHeylo Housing Registered Provider Limited</t>
  </si>
  <si>
    <t>WorcesterHome Group Limited</t>
  </si>
  <si>
    <t>WorcesterHousing 21</t>
  </si>
  <si>
    <t>WorcesterIKE Supported Housing Limited</t>
  </si>
  <si>
    <t>WorcesterInclusion Housing Community Interest Company</t>
  </si>
  <si>
    <t>WorcesterMidland Heart Limited</t>
  </si>
  <si>
    <t>WorcesterMuir Group Housing Association Limited</t>
  </si>
  <si>
    <t>WorcesterOrbit Group Limited</t>
  </si>
  <si>
    <t>WorcesterOrbit Housing Association Limited</t>
  </si>
  <si>
    <t>WorcesterPlatform Housing Group Limited</t>
  </si>
  <si>
    <t>WorcesterPlatform Housing Limited</t>
  </si>
  <si>
    <t>WorcesterProgress Housing Association Limited</t>
  </si>
  <si>
    <t>WorcesterRooftop Housing Association Limited</t>
  </si>
  <si>
    <t>WorcesterSanctuary Affordable Housing Limited</t>
  </si>
  <si>
    <t>WorcesterSanctuary Housing Association</t>
  </si>
  <si>
    <t>WorcesterStonewater Limited</t>
  </si>
  <si>
    <t>WorcesterThe Exaireo Trust Ltd</t>
  </si>
  <si>
    <t>WorcesterTrinity Housing Association Limited</t>
  </si>
  <si>
    <t>WorcesterWalsall Housing Group Limited</t>
  </si>
  <si>
    <t>WorcesterWestmoreland Supported Housing Limited</t>
  </si>
  <si>
    <t>WorcesterWorcester Municipal Charities CIO</t>
  </si>
  <si>
    <t>WorcesterWorcestershire YMCA Limited</t>
  </si>
  <si>
    <t>WorthingAbbeyfield South Downs Limited</t>
  </si>
  <si>
    <t>WorthingAbility Housing Association</t>
  </si>
  <si>
    <t>WorthingAnchor Hanover Group</t>
  </si>
  <si>
    <t>WorthingClarion Housing Association Limited</t>
  </si>
  <si>
    <t>WorthingFalcon Housing Association C.I.C</t>
  </si>
  <si>
    <t>WorthingGolden Lane Housing Limited</t>
  </si>
  <si>
    <t>WorthingGuild Care</t>
  </si>
  <si>
    <t>WorthingHome Group Limited</t>
  </si>
  <si>
    <t>WorthingHousing 21</t>
  </si>
  <si>
    <t>WorthingHyde Housing Association Limited</t>
  </si>
  <si>
    <t>WorthingInclusion Housing Community Interest Company</t>
  </si>
  <si>
    <t>WorthingLondon &amp; Quadrant Housing Trust</t>
  </si>
  <si>
    <t>WorthingMoat Homes Limited</t>
  </si>
  <si>
    <t>WorthingPearson's &amp; St Elizabeth's Cottage Homes</t>
  </si>
  <si>
    <t>WorthingPlaces for People Homes Limited</t>
  </si>
  <si>
    <t>WorthingSanctuary Housing Association</t>
  </si>
  <si>
    <t>WorthingSaxon Weald</t>
  </si>
  <si>
    <t>WorthingSouthdown Housing Association Limited</t>
  </si>
  <si>
    <t>WorthingSouthern Housing</t>
  </si>
  <si>
    <t>WorthingStonewater Limited</t>
  </si>
  <si>
    <t>WorthingThe Fellowship Houses Trust</t>
  </si>
  <si>
    <t>WorthingThe Guinness Partnership Limited</t>
  </si>
  <si>
    <t>WorthingWorthing Homes Limited</t>
  </si>
  <si>
    <t>WorthingYMCA Downslink Group</t>
  </si>
  <si>
    <t>WychavonAdvance Housing and Support Limited</t>
  </si>
  <si>
    <t>WychavonAnchor Hanover Group</t>
  </si>
  <si>
    <t>WychavonBromford Housing Association Limited</t>
  </si>
  <si>
    <t>WychavonBromsgrove District Housing Trust Limited</t>
  </si>
  <si>
    <t>WychavonCitizen Housing Group Limited</t>
  </si>
  <si>
    <t>WychavonCottsway Housing Association Limited</t>
  </si>
  <si>
    <t>WychavonHeylo Housing Registered Provider Limited</t>
  </si>
  <si>
    <t>WychavonHousing 21</t>
  </si>
  <si>
    <t>WychavonInclusion Housing Community Interest Company</t>
  </si>
  <si>
    <t>WychavonMerlin Housing Society Limited</t>
  </si>
  <si>
    <t>WychavonMidland Heart Limited</t>
  </si>
  <si>
    <t>WychavonPlatform Housing Limited</t>
  </si>
  <si>
    <t>WychavonReSI Homes Limited</t>
  </si>
  <si>
    <t>WychavonRooftop Housing Association Limited</t>
  </si>
  <si>
    <t>WychavonSanctuary Affordable Housing Limited</t>
  </si>
  <si>
    <t>WychavonSanctuary Housing Association</t>
  </si>
  <si>
    <t>WychavonSt Basil's</t>
  </si>
  <si>
    <t>WychavonStonewater Limited</t>
  </si>
  <si>
    <t>WychavonThe Community Housing Group Limited</t>
  </si>
  <si>
    <t>WychavonThe Guinness Partnership Limited</t>
  </si>
  <si>
    <t>WychavonTrident Housing Association Limited</t>
  </si>
  <si>
    <t>WychavonTrinity Housing Association Limited</t>
  </si>
  <si>
    <t>WychavonWalsall Housing Group Limited</t>
  </si>
  <si>
    <t>WychavonWestmoreland Supported Housing Limited</t>
  </si>
  <si>
    <t>WyreAccent Housing Limited</t>
  </si>
  <si>
    <t>WyreAdvance Housing and Support Limited</t>
  </si>
  <si>
    <t>WyreArpeggio Properties Limited</t>
  </si>
  <si>
    <t>WyreAssured Living Housing Association Limited</t>
  </si>
  <si>
    <t>WyreAuxesia Homes Limited</t>
  </si>
  <si>
    <t>WyreBespoke Supportive Tenancies Ltd</t>
  </si>
  <si>
    <t>WyreBlackburn YMCA</t>
  </si>
  <si>
    <t>WyreCare Housing Association Limited</t>
  </si>
  <si>
    <t>WyreCreative Support Limited</t>
  </si>
  <si>
    <t>WyreEmpower Housing Association Limited</t>
  </si>
  <si>
    <t>Wyre ForestAuckland Home Solutions CIC</t>
  </si>
  <si>
    <t>Wyre ForestBromford Housing Association Limited</t>
  </si>
  <si>
    <t>Wyre ForestBromsgrove District Housing Trust Limited</t>
  </si>
  <si>
    <t>Wyre ForestCitizen Housing Group Limited</t>
  </si>
  <si>
    <t>Wyre ForestEmpower Housing Association Limited</t>
  </si>
  <si>
    <t>Wyre ForestEncircle Housing</t>
  </si>
  <si>
    <t>Wyre ForestFalcon Housing Association C.I.C</t>
  </si>
  <si>
    <t>Wyre ForestHome Group Limited</t>
  </si>
  <si>
    <t>Wyre ForestInclusion Housing Community Interest Company</t>
  </si>
  <si>
    <t>Wyre ForestLegal &amp; General Affordable Homes Limited</t>
  </si>
  <si>
    <t>Wyre ForestMidland Heart Limited</t>
  </si>
  <si>
    <t>Wyre ForestPlatform Housing Limited</t>
  </si>
  <si>
    <t>Wyre ForestProgress Housing Association Limited</t>
  </si>
  <si>
    <t>Wyre ForestRooftop Housing Association Limited</t>
  </si>
  <si>
    <t>Wyre ForestSanctuary Housing Association</t>
  </si>
  <si>
    <t>Wyre ForestStonewater Limited</t>
  </si>
  <si>
    <t>Wyre ForestThe Community Housing Group Limited</t>
  </si>
  <si>
    <t>Wyre ForestWestmoreland Supported Housing Limited</t>
  </si>
  <si>
    <t>WyreGreat Places Housing Association</t>
  </si>
  <si>
    <t>WyreHalo Housing Association Limited</t>
  </si>
  <si>
    <t>WyreHeylo Housing Registered Provider Limited</t>
  </si>
  <si>
    <t>WyreInclusion Housing Community Interest Company</t>
  </si>
  <si>
    <t>WyreJigsaw Homes North</t>
  </si>
  <si>
    <t>WyreLangley House Trust</t>
  </si>
  <si>
    <t>WyreLegal &amp; General Affordable Homes (AR) LLP</t>
  </si>
  <si>
    <t>WyreLegal &amp; General Affordable Homes Limited</t>
  </si>
  <si>
    <t>WyreLondon &amp; Quadrant Housing Trust</t>
  </si>
  <si>
    <t>WyreLune Valley Rural Housing Association Limited</t>
  </si>
  <si>
    <t>WyreM&amp;G UK Shared Ownership Limited</t>
  </si>
  <si>
    <t>WyreMuir Group Housing Association Limited</t>
  </si>
  <si>
    <t>WyreOne Vision Housing Limited</t>
  </si>
  <si>
    <t>WyrePartners Foundation Limited</t>
  </si>
  <si>
    <t>WyrePlaces for People Homes Limited</t>
  </si>
  <si>
    <t>WyrePlaces for People Living+ Limited</t>
  </si>
  <si>
    <t>WyreProgress Housing Association Limited</t>
  </si>
  <si>
    <t>WyreReSI Homes Limited</t>
  </si>
  <si>
    <t>WyreRegenda Limited</t>
  </si>
  <si>
    <t>WyreSparrow Shared Ownership Limited</t>
  </si>
  <si>
    <t>WyreThe Abbeyfield Society</t>
  </si>
  <si>
    <t>WyreThe Guinness Partnership Limited</t>
  </si>
  <si>
    <t>WyreYour Housing Limited</t>
  </si>
  <si>
    <t>York54 North Homes Limited</t>
  </si>
  <si>
    <t>YorkAccent Housing Limited</t>
  </si>
  <si>
    <t>YorkAdvance Housing and Support Limited</t>
  </si>
  <si>
    <t>YorkAnchor Hanover Group</t>
  </si>
  <si>
    <t>YorkBespoke Supportive Tenancies Ltd</t>
  </si>
  <si>
    <t>YorkBlue Square Residential Ltd</t>
  </si>
  <si>
    <t>YorkBroadacres Housing Association Limited</t>
  </si>
  <si>
    <t>YorkClarion Housing Association Limited</t>
  </si>
  <si>
    <t>YorkColton's Hospital</t>
  </si>
  <si>
    <t>YorkDimensions (UK) Limited</t>
  </si>
  <si>
    <t>YorkGolden Lane Housing Limited</t>
  </si>
  <si>
    <t>YorkHabinteg Housing Association Limited</t>
  </si>
  <si>
    <t>YorkHome Group Limited</t>
  </si>
  <si>
    <t>YorkHousing 21</t>
  </si>
  <si>
    <t>YorkInclusion Housing Community Interest Company</t>
  </si>
  <si>
    <t>YorkJoseph Rowntree Housing Trust</t>
  </si>
  <si>
    <t>YorkKarbon Homes Limited</t>
  </si>
  <si>
    <t>YorkMethodist Homes Housing Association Limited</t>
  </si>
  <si>
    <t>YorkPlaces for People Homes Limited</t>
  </si>
  <si>
    <t>YorkProgress Housing Association Limited</t>
  </si>
  <si>
    <t>YorkRailway Housing Association and Benefit Fund</t>
  </si>
  <si>
    <t>YorkTCUK Homes Limited</t>
  </si>
  <si>
    <t>YorkThe Abbeyfield York Society Limited</t>
  </si>
  <si>
    <t>YorkThe Guinness Partnership Limited</t>
  </si>
  <si>
    <t>YorkThe Riverside Group Limited</t>
  </si>
  <si>
    <t>YorkThirteen Housing Group Limited</t>
  </si>
  <si>
    <t>YorkTogether Housing Association Limited</t>
  </si>
  <si>
    <t>YorkVico Homes Limited</t>
  </si>
  <si>
    <t>YorkYorkshire Housing Limited</t>
  </si>
  <si>
    <t>LARP</t>
  </si>
  <si>
    <t>Signed-Off</t>
  </si>
  <si>
    <t>AdurAdur District Council</t>
  </si>
  <si>
    <t>Amber ValleyAmber Valley Borough Council</t>
  </si>
  <si>
    <t>ArunArun District Council</t>
  </si>
  <si>
    <t>AshfieldAshfield District Council</t>
  </si>
  <si>
    <t>AshfordAshford Borough Council</t>
  </si>
  <si>
    <t>BaberghBabergh District Council</t>
  </si>
  <si>
    <t>BarnsleyBarnsley Metropolitan Borough Council</t>
  </si>
  <si>
    <t>BasildonBasildon Borough Council</t>
  </si>
  <si>
    <t>BassetlawBassetlaw District Council</t>
  </si>
  <si>
    <t>Bath and North East SomersetBath &amp; North East Somerset Council</t>
  </si>
  <si>
    <t>BedfordBedford Borough Council</t>
  </si>
  <si>
    <t>BirminghamBirmingham City Council</t>
  </si>
  <si>
    <t>BlabyBlaby District Council</t>
  </si>
  <si>
    <t>BlackpoolBlackpool Borough Council</t>
  </si>
  <si>
    <t>BolsoverBolsover District Council</t>
  </si>
  <si>
    <t>King's Lynn and West NorfolkBorough Council of King’s Lynn &amp; West Norfolk</t>
  </si>
  <si>
    <t>BostonBoston Borough Council</t>
  </si>
  <si>
    <t>Bournemouth Christchurch and PooleBournemouth, Christchurch and Poole Council</t>
  </si>
  <si>
    <t>BrecklandBreckland Council</t>
  </si>
  <si>
    <t>BrentwoodBrentwood Borough Council</t>
  </si>
  <si>
    <t>Brighton and HoveBrighton and Hove City Council</t>
  </si>
  <si>
    <t>Bristol, City ofBristol City Council</t>
  </si>
  <si>
    <t>BroadlandBroadland District Council</t>
  </si>
  <si>
    <t>BroxtoweBroxtowe Borough Council</t>
  </si>
  <si>
    <t>BurnleyBurnley Borough Council</t>
  </si>
  <si>
    <t>BuryBury Metropolitan Borough Council</t>
  </si>
  <si>
    <t>CambridgeCambridge City Council</t>
  </si>
  <si>
    <t>Cannock ChaseCannock Chase District Council</t>
  </si>
  <si>
    <t>CanterburyCanterbury City Council</t>
  </si>
  <si>
    <t>Castle PointCastle Point Borough Council</t>
  </si>
  <si>
    <t>Central BedfordshireCentral Bedfordshire Council</t>
  </si>
  <si>
    <t>CharnwoodCharnwood Borough Council</t>
  </si>
  <si>
    <t>ChelmsfordChelmsford City Council</t>
  </si>
  <si>
    <t>CheltenhamCheltenham Borough Council</t>
  </si>
  <si>
    <t>CherwellCherwell District Council</t>
  </si>
  <si>
    <t>Cheshire West and ChesterCheshire West and Chester Council</t>
  </si>
  <si>
    <t>ChesterfieldChesterfield Borough Council</t>
  </si>
  <si>
    <t>ChorleyChorley Council</t>
  </si>
  <si>
    <t>BradfordCity of Bradford Metropolitan District Council</t>
  </si>
  <si>
    <t>DoncasterCity of Doncaster Council</t>
  </si>
  <si>
    <t>LincolnCity of Lincoln Council</t>
  </si>
  <si>
    <t>City of LondonCity of London Corporation</t>
  </si>
  <si>
    <t>WestminsterCity of Westminster Council</t>
  </si>
  <si>
    <t>YorkCity of York Council</t>
  </si>
  <si>
    <t>ColchesterColchester City Council</t>
  </si>
  <si>
    <t>CornwallCornwall Council</t>
  </si>
  <si>
    <t>Isles of ScillyCouncil of the Isles of Scilly</t>
  </si>
  <si>
    <t>CrawleyCrawley Borough Council</t>
  </si>
  <si>
    <t>DacorumDacorum Borough Council</t>
  </si>
  <si>
    <t>DarlingtonDarlington Borough Council</t>
  </si>
  <si>
    <t>DartfordDartford Borough Council</t>
  </si>
  <si>
    <t>DerbyDerby City Council</t>
  </si>
  <si>
    <t>Derbyshire DalesDerbyshire Dales District Council</t>
  </si>
  <si>
    <t>DorsetDorset Council</t>
  </si>
  <si>
    <t>DoverDover District Council</t>
  </si>
  <si>
    <t>DudleyDudley Metropolitan Borough Council</t>
  </si>
  <si>
    <t>County DurhamDurham County Council</t>
  </si>
  <si>
    <t>East DevonEast Devon District Council</t>
  </si>
  <si>
    <t>East HertfordshireEast Hertfordshire District Council</t>
  </si>
  <si>
    <t>East LindseyEast Lindsey District Council</t>
  </si>
  <si>
    <t>East Riding of YorkshireEast Riding Of Yorkshire Council</t>
  </si>
  <si>
    <t>East SuffolkEast Suffolk Council</t>
  </si>
  <si>
    <t>EastbourneEastbourne Borough Council</t>
  </si>
  <si>
    <t>EastleighEastleigh Borough Council</t>
  </si>
  <si>
    <t>ElmbridgeElmbridge Borough Council</t>
  </si>
  <si>
    <t>Epping ForestEpping Forest District Council</t>
  </si>
  <si>
    <t>ExeterExeter City Council</t>
  </si>
  <si>
    <t>FarehamFareham Borough Council</t>
  </si>
  <si>
    <t>Folkestone and HytheFolkestone and Hythe District Council</t>
  </si>
  <si>
    <t>GatesheadGateshead Metropolitan Borough Council</t>
  </si>
  <si>
    <t>GloucesterGloucester City Council</t>
  </si>
  <si>
    <t>GosportGosport Borough Council</t>
  </si>
  <si>
    <t>GraveshamGravesham Borough Council</t>
  </si>
  <si>
    <t>Great YarmouthGreat Yarmouth Borough Council</t>
  </si>
  <si>
    <t>GuildfordGuildford Borough Council</t>
  </si>
  <si>
    <t>HaringeyHaringey London Borough Council</t>
  </si>
  <si>
    <t>HarlowHarlow District Council</t>
  </si>
  <si>
    <t>HartlepoolHartlepool Borough Council</t>
  </si>
  <si>
    <t>HastingsHastings Borough Council</t>
  </si>
  <si>
    <t>Herefordshire, County ofHerefordshire Council</t>
  </si>
  <si>
    <t>High PeakHigh Peak Borough Council</t>
  </si>
  <si>
    <t>Hinckley and BosworthHinckley and Bosworth Borough Council</t>
  </si>
  <si>
    <t>IpswichIpswich Borough Council</t>
  </si>
  <si>
    <t>Isle of WightIsle of Wight Council</t>
  </si>
  <si>
    <t>Kingston upon Hull, City ofKingston upon Hull City Council</t>
  </si>
  <si>
    <t>KirkleesKirklees Metropolitan Borough Council</t>
  </si>
  <si>
    <t>LancasterLancaster City Council</t>
  </si>
  <si>
    <t>LeedsLeeds City Council</t>
  </si>
  <si>
    <t>LeicesterLeicester City Council</t>
  </si>
  <si>
    <t>LewesLewes District Council</t>
  </si>
  <si>
    <t>LichfieldLichfield District Council</t>
  </si>
  <si>
    <t>LiverpoolLiverpool City Council</t>
  </si>
  <si>
    <t>Barking and DagenhamLondon Borough of Barking and Dagenham</t>
  </si>
  <si>
    <t>BarnetLondon Borough of Barnet</t>
  </si>
  <si>
    <t>BexleyLondon Borough of Bexley</t>
  </si>
  <si>
    <t>BrentLondon Borough of Brent</t>
  </si>
  <si>
    <t>BromleyLondon Borough of Bromley</t>
  </si>
  <si>
    <t>CamdenLondon Borough of Camden Council</t>
  </si>
  <si>
    <t>CroydonLondon Borough of Croydon</t>
  </si>
  <si>
    <t>EalingLondon Borough of Ealing</t>
  </si>
  <si>
    <t>EnfieldLondon Borough of Enfield</t>
  </si>
  <si>
    <t>HackneyLondon Borough of Hackney</t>
  </si>
  <si>
    <t>Hammersmith and FulhamLondon Borough of Hammersmith and Fulham</t>
  </si>
  <si>
    <t>HarrowLondon Borough of Harrow</t>
  </si>
  <si>
    <t>HaveringLondon Borough of Havering Council</t>
  </si>
  <si>
    <t>HillingdonLondon Borough of Hillingdon</t>
  </si>
  <si>
    <t>HounslowLondon Borough of Hounslow</t>
  </si>
  <si>
    <t>IslingtonLondon Borough of Islington</t>
  </si>
  <si>
    <t>LambethLondon Borough of Lambeth</t>
  </si>
  <si>
    <t>LewishamLondon Borough of Lewisham</t>
  </si>
  <si>
    <t>MertonLondon Borough of Merton</t>
  </si>
  <si>
    <t>NewhamLondon Borough of Newham</t>
  </si>
  <si>
    <t>RedbridgeLondon Borough of Redbridge</t>
  </si>
  <si>
    <t>Richmond upon ThamesLondon Borough of Richmond Upon Thames</t>
  </si>
  <si>
    <t>SuttonLondon Borough of Sutton</t>
  </si>
  <si>
    <t>Tower HamletsLondon Borough of Tower Hamlets</t>
  </si>
  <si>
    <t>Waltham ForestLondon Borough of Waltham Forest</t>
  </si>
  <si>
    <t>WandsworthLondon Borough of Wandsworth</t>
  </si>
  <si>
    <t>LutonLuton Borough Council</t>
  </si>
  <si>
    <t>MaidstoneMaidstone Borough Council</t>
  </si>
  <si>
    <t>MaldonMaldon District Council</t>
  </si>
  <si>
    <t>ManchesterManchester City Council</t>
  </si>
  <si>
    <t>MansfieldMansfield District Council</t>
  </si>
  <si>
    <t>MedwayMedway Council</t>
  </si>
  <si>
    <t>MeltonMelton Borough Council</t>
  </si>
  <si>
    <t>Mid DevonMid Devon District Council</t>
  </si>
  <si>
    <t>Mid SuffolkMid Suffolk District Council</t>
  </si>
  <si>
    <t>MiddlesbroughMiddlesbrough Council</t>
  </si>
  <si>
    <t>Milton KeynesMilton Keynes Council</t>
  </si>
  <si>
    <t>Mole ValleyMole Valley District Council</t>
  </si>
  <si>
    <t>New ForestNew Forest District Council</t>
  </si>
  <si>
    <t>Newark and SherwoodNewark and Sherwood District Council</t>
  </si>
  <si>
    <t>Newcastle upon TyneNewcastle City Council</t>
  </si>
  <si>
    <t>North East DerbyshireNorth East Derbyshire District Council</t>
  </si>
  <si>
    <t>North KestevenNorth Kesteven District Council</t>
  </si>
  <si>
    <t>North NorfolkNorth Norfolk District Council</t>
  </si>
  <si>
    <t>North NorthamptonshireNorth Northamptonshire Council</t>
  </si>
  <si>
    <t>North SomersetNorth Somerset Council</t>
  </si>
  <si>
    <t>North TynesideNorth Tyneside Council</t>
  </si>
  <si>
    <t>North WarwickshireNorth Warwickshire Borough Council</t>
  </si>
  <si>
    <t>North West LeicestershireNorth West Leicestershire District Council</t>
  </si>
  <si>
    <t>North YorkshireNorth Yorkshire Council</t>
  </si>
  <si>
    <t>NorthumberlandNorthumberland County Council</t>
  </si>
  <si>
    <t>NorwichNorwich City Council</t>
  </si>
  <si>
    <t>NottinghamNottingham City Council</t>
  </si>
  <si>
    <t>Nuneaton and BedworthNuneaton And Bedworth Borough Council</t>
  </si>
  <si>
    <t>Oadby and WigstonOadby and Wigston Borough Council</t>
  </si>
  <si>
    <t>OldhamOldham Metropolitan Borough Council</t>
  </si>
  <si>
    <t>OxfordOxford City Council</t>
  </si>
  <si>
    <t>PeterboroughPeterborough City Council</t>
  </si>
  <si>
    <t>PlymouthPlymouth City Council</t>
  </si>
  <si>
    <t>PortsmouthPortsmouth City Council</t>
  </si>
  <si>
    <t>ReadingReading Borough Council</t>
  </si>
  <si>
    <t>RedditchRedditch Borough Council</t>
  </si>
  <si>
    <t>Reigate and BansteadReigate and Banstead Borough Council</t>
  </si>
  <si>
    <t>Ribble ValleyRibble Valley Borough Council</t>
  </si>
  <si>
    <t>RossendaleRossendale Borough Council</t>
  </si>
  <si>
    <t>RotherRother District Council</t>
  </si>
  <si>
    <t>RotherhamRotherham Metropolitan Borough Council</t>
  </si>
  <si>
    <t>GreenwichRoyal Borough of Greenwich</t>
  </si>
  <si>
    <t>Kensington and ChelseaRoyal Borough of Kensington and Chelsea</t>
  </si>
  <si>
    <t>Kingston upon ThamesRoyal Borough of Kingston Upon Thames</t>
  </si>
  <si>
    <t>RugbyRugby Borough Council</t>
  </si>
  <si>
    <t>RunnymedeRunnymede Borough Council</t>
  </si>
  <si>
    <t>RushmoorRushmoor Borough Council</t>
  </si>
  <si>
    <t>SalfordSalford City Council</t>
  </si>
  <si>
    <t>SandwellSandwell Metropolitan Borough Council</t>
  </si>
  <si>
    <t>SeftonSefton Metropolitan Borough Council</t>
  </si>
  <si>
    <t>SheffieldSheffield City Council</t>
  </si>
  <si>
    <t>ShropshireShropshire Council</t>
  </si>
  <si>
    <t>SloughSlough Borough Council</t>
  </si>
  <si>
    <t>SolihullSolihull Metropolitan Borough Council</t>
  </si>
  <si>
    <t>SomersetSomerset Council</t>
  </si>
  <si>
    <t>South CambridgeshireSouth Cambridgeshire District Council</t>
  </si>
  <si>
    <t>South DerbyshireSouth Derbyshire District Council</t>
  </si>
  <si>
    <t>South HamsSouth Hams District Council</t>
  </si>
  <si>
    <t>South HollandSouth Holland District Council</t>
  </si>
  <si>
    <t>South KestevenSouth Kesteven District Council</t>
  </si>
  <si>
    <t>South NorfolkSouth Norfolk Council</t>
  </si>
  <si>
    <t>South OxfordshireSouth Oxfordshire District Council</t>
  </si>
  <si>
    <t>South RibbleSouth Ribble Borough Council</t>
  </si>
  <si>
    <t>South TynesideSouth Tyneside Council</t>
  </si>
  <si>
    <t>SouthamptonSouthampton City Council</t>
  </si>
  <si>
    <t>Southend-on-SeaSouthend on Sea City Council</t>
  </si>
  <si>
    <t>SouthwarkSouthwark Council</t>
  </si>
  <si>
    <t>SpelthorneSpelthorne Borough Council</t>
  </si>
  <si>
    <t>St AlbansSt Albans City and District Council</t>
  </si>
  <si>
    <t>StevenageStevenage Borough Council</t>
  </si>
  <si>
    <t>StockportStockport Metropolitan Borough Council</t>
  </si>
  <si>
    <t>Stoke-on-TrentStoke on Trent City Council</t>
  </si>
  <si>
    <t>Stratford-on-AvonStratford-on-Avon District Council</t>
  </si>
  <si>
    <t>StroudStroud District Council</t>
  </si>
  <si>
    <t>SunderlandSunderland City Council</t>
  </si>
  <si>
    <t>SwindonSwindon Borough Council</t>
  </si>
  <si>
    <t>TamworthTamworth Borough Council</t>
  </si>
  <si>
    <t>TandridgeTandridge District Council</t>
  </si>
  <si>
    <t>TeignbridgeTeignbridge District Council</t>
  </si>
  <si>
    <t>Telford and WrekinTelford &amp; Wrekin Council</t>
  </si>
  <si>
    <t>TendringTendring District Council</t>
  </si>
  <si>
    <t>ThanetThanet District Council</t>
  </si>
  <si>
    <t>ThurrockThurrock Council</t>
  </si>
  <si>
    <t>Tonbridge and MallingTonbridge and Malling Borough Council</t>
  </si>
  <si>
    <t>TorbayTorbay Council</t>
  </si>
  <si>
    <t>TraffordTrafford Council</t>
  </si>
  <si>
    <t>Tunbridge WellsTunbridge Wells Borough Council</t>
  </si>
  <si>
    <t>UttlesfordUttlesford District Council</t>
  </si>
  <si>
    <t>Vale of White HorseVale of White Horse District Council</t>
  </si>
  <si>
    <t>WalsallWalsall Metropolitan Borough Council</t>
  </si>
  <si>
    <t>WarringtonWarrington Borough Council</t>
  </si>
  <si>
    <t>WarwickWarwick District Council</t>
  </si>
  <si>
    <t>WaverleyWaverley Borough Council</t>
  </si>
  <si>
    <t>WealdenWealden District Council</t>
  </si>
  <si>
    <t>Welwyn HatfieldWelwyn Hatfield Borough Council</t>
  </si>
  <si>
    <t>West BerkshireWest Berkshire District Council</t>
  </si>
  <si>
    <t>West DevonWest Devon Borough Council</t>
  </si>
  <si>
    <t>West LancashireWest Lancashire Borough Council</t>
  </si>
  <si>
    <t>West NorthamptonshireWest Northamptonshire Council</t>
  </si>
  <si>
    <t>West SuffolkWest Suffolk Council</t>
  </si>
  <si>
    <t>Westmorland and FurnessWestmorland and Furness Council</t>
  </si>
  <si>
    <t>WiganWigan Council</t>
  </si>
  <si>
    <t>WiltshireWiltshire Council</t>
  </si>
  <si>
    <t>WinchesterWinchester City Council</t>
  </si>
  <si>
    <t>WirralWirral Metropolitan Borough Council</t>
  </si>
  <si>
    <t>WokingWoking Borough Council</t>
  </si>
  <si>
    <t>WokinghamWokingham Borough Council</t>
  </si>
  <si>
    <t>WolverhamptonWolverhampton City Council</t>
  </si>
  <si>
    <t>WorcesterWorcester City Council</t>
  </si>
  <si>
    <t>WorthingWorthing Borough Council</t>
  </si>
  <si>
    <t>South EastAdur</t>
  </si>
  <si>
    <t>East MidlandsAmber Valley</t>
  </si>
  <si>
    <t>South EastArun</t>
  </si>
  <si>
    <t>East MidlandsAshfield</t>
  </si>
  <si>
    <t>South EastAshford</t>
  </si>
  <si>
    <t>East of EnglandBabergh</t>
  </si>
  <si>
    <t>LondonBarking and Dagenham</t>
  </si>
  <si>
    <t>LondonBarnet</t>
  </si>
  <si>
    <t>Yorkshire and the HumberBarnsley</t>
  </si>
  <si>
    <t>East of EnglandBasildon</t>
  </si>
  <si>
    <t>South EastBasingstoke and Deane</t>
  </si>
  <si>
    <t>East MidlandsBassetlaw</t>
  </si>
  <si>
    <t>South WestBath and North East Somerset</t>
  </si>
  <si>
    <t>East of EnglandBedford</t>
  </si>
  <si>
    <t>LondonBexley</t>
  </si>
  <si>
    <t>West MidlandsBirmingham</t>
  </si>
  <si>
    <t>East MidlandsBlaby</t>
  </si>
  <si>
    <t>North WestBlackburn with Darwen</t>
  </si>
  <si>
    <t>North WestBlackpool</t>
  </si>
  <si>
    <t>East MidlandsBolsover</t>
  </si>
  <si>
    <t>North WestBolton</t>
  </si>
  <si>
    <t>East MidlandsBoston</t>
  </si>
  <si>
    <t>South WestBournemouth Christchurch and Poole</t>
  </si>
  <si>
    <t>South EastBracknell Forest</t>
  </si>
  <si>
    <t>Yorkshire and the HumberBradford</t>
  </si>
  <si>
    <t>East of EnglandBraintree</t>
  </si>
  <si>
    <t>East of EnglandBreckland</t>
  </si>
  <si>
    <t>LondonBrent</t>
  </si>
  <si>
    <t>East of EnglandBrentwood</t>
  </si>
  <si>
    <t>South EastBrighton and Hove</t>
  </si>
  <si>
    <t>South WestBristol, City of</t>
  </si>
  <si>
    <t>East of EnglandBroadland</t>
  </si>
  <si>
    <t>LondonBromley</t>
  </si>
  <si>
    <t>West MidlandsBromsgrove</t>
  </si>
  <si>
    <t>East of EnglandBroxbourne</t>
  </si>
  <si>
    <t>East MidlandsBroxtowe</t>
  </si>
  <si>
    <t>South EastBuckinghamshire</t>
  </si>
  <si>
    <t>North WestBurnley</t>
  </si>
  <si>
    <t>North WestBury</t>
  </si>
  <si>
    <t>Yorkshire and the HumberCalderdale</t>
  </si>
  <si>
    <t>East of EnglandCambridge</t>
  </si>
  <si>
    <t>LondonCamden</t>
  </si>
  <si>
    <t>West MidlandsCannock Chase</t>
  </si>
  <si>
    <t>South EastCanterbury</t>
  </si>
  <si>
    <t>East of EnglandCastle Point</t>
  </si>
  <si>
    <t>East of EnglandCentral Bedfordshire</t>
  </si>
  <si>
    <t>East MidlandsCharnwood</t>
  </si>
  <si>
    <t>East of EnglandChelmsford</t>
  </si>
  <si>
    <t>South WestCheltenham</t>
  </si>
  <si>
    <t>South EastCherwell</t>
  </si>
  <si>
    <t>North WestCheshire East</t>
  </si>
  <si>
    <t>North WestCheshire West and Chester</t>
  </si>
  <si>
    <t>East MidlandsChesterfield</t>
  </si>
  <si>
    <t>South EastChichester</t>
  </si>
  <si>
    <t>North WestChorley</t>
  </si>
  <si>
    <t>LondonCity of London</t>
  </si>
  <si>
    <t>East of EnglandColchester</t>
  </si>
  <si>
    <t>South WestCornwall</t>
  </si>
  <si>
    <t>South WestCotswold</t>
  </si>
  <si>
    <t>North EastCounty Durham</t>
  </si>
  <si>
    <t>West MidlandsCoventry</t>
  </si>
  <si>
    <t>South EastCrawley</t>
  </si>
  <si>
    <t>LondonCroydon</t>
  </si>
  <si>
    <t>North WestCumberland</t>
  </si>
  <si>
    <t>East of EnglandDacorum</t>
  </si>
  <si>
    <t>North EastDarlington</t>
  </si>
  <si>
    <t>South EastDartford</t>
  </si>
  <si>
    <t>East MidlandsDerby</t>
  </si>
  <si>
    <t>East MidlandsDerbyshire Dales</t>
  </si>
  <si>
    <t>Yorkshire and the HumberDoncaster</t>
  </si>
  <si>
    <t>South WestDorset</t>
  </si>
  <si>
    <t>South EastDover</t>
  </si>
  <si>
    <t>West MidlandsDudley</t>
  </si>
  <si>
    <t>LondonEaling</t>
  </si>
  <si>
    <t>East of EnglandEast Cambridgeshire</t>
  </si>
  <si>
    <t>South WestEast Devon</t>
  </si>
  <si>
    <t>South EastEast Hampshire</t>
  </si>
  <si>
    <t>East of EnglandEast Hertfordshire</t>
  </si>
  <si>
    <t>East MidlandsEast Lindsey</t>
  </si>
  <si>
    <t>Yorkshire and the HumberEast Riding of Yorkshire</t>
  </si>
  <si>
    <t>West MidlandsEast Staffordshire</t>
  </si>
  <si>
    <t>East of EnglandEast Suffolk</t>
  </si>
  <si>
    <t>South EastEastbourne</t>
  </si>
  <si>
    <t>South EastEastleigh</t>
  </si>
  <si>
    <t>South EastElmbridge</t>
  </si>
  <si>
    <t>LondonEnfield</t>
  </si>
  <si>
    <t>East of EnglandEpping Forest</t>
  </si>
  <si>
    <t>South EastEpsom and Ewell</t>
  </si>
  <si>
    <t>East MidlandsErewash</t>
  </si>
  <si>
    <t>South WestExeter</t>
  </si>
  <si>
    <t>South EastFareham</t>
  </si>
  <si>
    <t>East of EnglandFenland</t>
  </si>
  <si>
    <t>South EastFolkestone and Hythe</t>
  </si>
  <si>
    <t>South WestForest of Dean</t>
  </si>
  <si>
    <t>North WestFylde</t>
  </si>
  <si>
    <t>North EastGateshead</t>
  </si>
  <si>
    <t>East MidlandsGedling</t>
  </si>
  <si>
    <t>South WestGloucester</t>
  </si>
  <si>
    <t>South EastGosport</t>
  </si>
  <si>
    <t>South EastGravesham</t>
  </si>
  <si>
    <t>East of EnglandGreat Yarmouth</t>
  </si>
  <si>
    <t>LondonGreenwich</t>
  </si>
  <si>
    <t>South EastGuildford</t>
  </si>
  <si>
    <t>LondonHackney</t>
  </si>
  <si>
    <t>North WestHalton</t>
  </si>
  <si>
    <t>LondonHammersmith and Fulham</t>
  </si>
  <si>
    <t>East MidlandsHarborough</t>
  </si>
  <si>
    <t>LondonHaringey</t>
  </si>
  <si>
    <t>East of EnglandHarlow</t>
  </si>
  <si>
    <t>LondonHarrow</t>
  </si>
  <si>
    <t>South EastHart</t>
  </si>
  <si>
    <t>North EastHartlepool</t>
  </si>
  <si>
    <t>South EastHastings</t>
  </si>
  <si>
    <t>South EastHavant</t>
  </si>
  <si>
    <t>LondonHavering</t>
  </si>
  <si>
    <t>West MidlandsHerefordshire, County of</t>
  </si>
  <si>
    <t>East of EnglandHertsmere</t>
  </si>
  <si>
    <t>East MidlandsHigh Peak</t>
  </si>
  <si>
    <t>LondonHillingdon</t>
  </si>
  <si>
    <t>East MidlandsHinckley and Bosworth</t>
  </si>
  <si>
    <t>South EastHorsham</t>
  </si>
  <si>
    <t>LondonHounslow</t>
  </si>
  <si>
    <t>East of EnglandHuntingdonshire</t>
  </si>
  <si>
    <t>North WestHyndburn</t>
  </si>
  <si>
    <t>East of EnglandIpswich</t>
  </si>
  <si>
    <t>South EastIsle of Wight</t>
  </si>
  <si>
    <t>South WestIsles of Scilly</t>
  </si>
  <si>
    <t>LondonIslington</t>
  </si>
  <si>
    <t>LondonKensington and Chelsea</t>
  </si>
  <si>
    <t>East of EnglandKing's Lynn and West Norfolk</t>
  </si>
  <si>
    <t>Yorkshire and the HumberKingston upon Hull, City of</t>
  </si>
  <si>
    <t>LondonKingston upon Thames</t>
  </si>
  <si>
    <t>Yorkshire and the HumberKirklees</t>
  </si>
  <si>
    <t>North WestKnowsley</t>
  </si>
  <si>
    <t>LondonLambeth</t>
  </si>
  <si>
    <t>North WestLancaster</t>
  </si>
  <si>
    <t>Yorkshire and the HumberLeeds</t>
  </si>
  <si>
    <t>East MidlandsLeicester</t>
  </si>
  <si>
    <t>South EastLewes</t>
  </si>
  <si>
    <t>LondonLewisham</t>
  </si>
  <si>
    <t>West MidlandsLichfield</t>
  </si>
  <si>
    <t>East MidlandsLincoln</t>
  </si>
  <si>
    <t>North WestLiverpool</t>
  </si>
  <si>
    <t>East of EnglandLuton</t>
  </si>
  <si>
    <t>South EastMaidstone</t>
  </si>
  <si>
    <t>East of EnglandMaldon</t>
  </si>
  <si>
    <t>West MidlandsMalvern Hills</t>
  </si>
  <si>
    <t>North WestManchester</t>
  </si>
  <si>
    <t>East MidlandsMansfield</t>
  </si>
  <si>
    <t>South EastMedway</t>
  </si>
  <si>
    <t>East MidlandsMelton</t>
  </si>
  <si>
    <t>LondonMerton</t>
  </si>
  <si>
    <t>South WestMid Devon</t>
  </si>
  <si>
    <t>East of EnglandMid Suffolk</t>
  </si>
  <si>
    <t>South EastMid Sussex</t>
  </si>
  <si>
    <t>North EastMiddlesbrough</t>
  </si>
  <si>
    <t>South EastMilton Keynes</t>
  </si>
  <si>
    <t>South EastMole Valley</t>
  </si>
  <si>
    <t>South EastNew Forest</t>
  </si>
  <si>
    <t>East MidlandsNewark and Sherwood</t>
  </si>
  <si>
    <t>North EastNewcastle upon Tyne</t>
  </si>
  <si>
    <t>West MidlandsNewcastle-under-Lyme</t>
  </si>
  <si>
    <t>LondonNewham</t>
  </si>
  <si>
    <t>South WestNorth Devon</t>
  </si>
  <si>
    <t>East MidlandsNorth East Derbyshire</t>
  </si>
  <si>
    <t>Yorkshire and the HumberNorth East Lincolnshire</t>
  </si>
  <si>
    <t>East of EnglandNorth Hertfordshire</t>
  </si>
  <si>
    <t>East MidlandsNorth Kesteven</t>
  </si>
  <si>
    <t>Yorkshire and the HumberNorth Lincolnshire</t>
  </si>
  <si>
    <t>East of EnglandNorth Norfolk</t>
  </si>
  <si>
    <t>East MidlandsNorth Northamptonshire</t>
  </si>
  <si>
    <t>South WestNorth Somerset</t>
  </si>
  <si>
    <t>North EastNorth Tyneside</t>
  </si>
  <si>
    <t>West MidlandsNorth Warwickshire</t>
  </si>
  <si>
    <t>East MidlandsNorth West Leicestershire</t>
  </si>
  <si>
    <t>Yorkshire and the HumberNorth Yorkshire</t>
  </si>
  <si>
    <t>North EastNorthumberland</t>
  </si>
  <si>
    <t>East of EnglandNorwich</t>
  </si>
  <si>
    <t>East MidlandsNottingham</t>
  </si>
  <si>
    <t>West MidlandsNuneaton and Bedworth</t>
  </si>
  <si>
    <t>East MidlandsOadby and Wigston</t>
  </si>
  <si>
    <t>North WestOldham</t>
  </si>
  <si>
    <t>South EastOxford</t>
  </si>
  <si>
    <t>North WestPendle</t>
  </si>
  <si>
    <t>East of EnglandPeterborough</t>
  </si>
  <si>
    <t>South WestPlymouth</t>
  </si>
  <si>
    <t>South EastPortsmouth</t>
  </si>
  <si>
    <t>North WestPreston</t>
  </si>
  <si>
    <t>South EastReading</t>
  </si>
  <si>
    <t>LondonRedbridge</t>
  </si>
  <si>
    <t>North EastRedcar and Cleveland</t>
  </si>
  <si>
    <t>West MidlandsRedditch</t>
  </si>
  <si>
    <t>South EastReigate and Banstead</t>
  </si>
  <si>
    <t>North WestRibble Valley</t>
  </si>
  <si>
    <t>LondonRichmond upon Thames</t>
  </si>
  <si>
    <t>North WestRochdale</t>
  </si>
  <si>
    <t>East of EnglandRochford</t>
  </si>
  <si>
    <t>North WestRossendale</t>
  </si>
  <si>
    <t>South EastRother</t>
  </si>
  <si>
    <t>Yorkshire and the HumberRotherham</t>
  </si>
  <si>
    <t>West MidlandsRugby</t>
  </si>
  <si>
    <t>South EastRunnymede</t>
  </si>
  <si>
    <t>East MidlandsRushcliffe</t>
  </si>
  <si>
    <t>South EastRushmoor</t>
  </si>
  <si>
    <t>East MidlandsRutland</t>
  </si>
  <si>
    <t>North WestSalford</t>
  </si>
  <si>
    <t>West MidlandsSandwell</t>
  </si>
  <si>
    <t>North WestSefton</t>
  </si>
  <si>
    <t>South EastSevenoaks</t>
  </si>
  <si>
    <t>Yorkshire and the HumberSheffield</t>
  </si>
  <si>
    <t>West MidlandsShropshire</t>
  </si>
  <si>
    <t>South EastSlough</t>
  </si>
  <si>
    <t>West MidlandsSolihull</t>
  </si>
  <si>
    <t>South WestSomerset</t>
  </si>
  <si>
    <t>East of EnglandSouth Cambridgeshire</t>
  </si>
  <si>
    <t>East MidlandsSouth Derbyshire</t>
  </si>
  <si>
    <t>South WestSouth Gloucestershire</t>
  </si>
  <si>
    <t>South WestSouth Hams</t>
  </si>
  <si>
    <t>East MidlandsSouth Holland</t>
  </si>
  <si>
    <t>East MidlandsSouth Kesteven</t>
  </si>
  <si>
    <t>East of EnglandSouth Norfolk</t>
  </si>
  <si>
    <t>South EastSouth Oxfordshire</t>
  </si>
  <si>
    <t>North WestSouth Ribble</t>
  </si>
  <si>
    <t>West MidlandsSouth Staffordshire</t>
  </si>
  <si>
    <t>North EastSouth Tyneside</t>
  </si>
  <si>
    <t>South EastSouthampton</t>
  </si>
  <si>
    <t>East of EnglandSouthend-on-Sea</t>
  </si>
  <si>
    <t>LondonSouthwark</t>
  </si>
  <si>
    <t>South EastSpelthorne</t>
  </si>
  <si>
    <t>East of EnglandSt Albans</t>
  </si>
  <si>
    <t>North WestSt. Helens</t>
  </si>
  <si>
    <t>West MidlandsStafford</t>
  </si>
  <si>
    <t>West MidlandsStaffordshire Moorlands</t>
  </si>
  <si>
    <t>East of EnglandStevenage</t>
  </si>
  <si>
    <t>North WestStockport</t>
  </si>
  <si>
    <t>North EastStockton-on-Tees</t>
  </si>
  <si>
    <t>West MidlandsStoke-on-Trent</t>
  </si>
  <si>
    <t>West MidlandsStratford-on-Avon</t>
  </si>
  <si>
    <t>South WestStroud</t>
  </si>
  <si>
    <t>North EastSunderland</t>
  </si>
  <si>
    <t>South EastSurrey Heath</t>
  </si>
  <si>
    <t>LondonSutton</t>
  </si>
  <si>
    <t>South EastSwale</t>
  </si>
  <si>
    <t>South WestSwindon</t>
  </si>
  <si>
    <t>North WestTameside</t>
  </si>
  <si>
    <t>West MidlandsTamworth</t>
  </si>
  <si>
    <t>South EastTandridge</t>
  </si>
  <si>
    <t>South WestTeignbridge</t>
  </si>
  <si>
    <t>West MidlandsTelford and Wrekin</t>
  </si>
  <si>
    <t>East of EnglandTendring</t>
  </si>
  <si>
    <t>South EastTest Valley</t>
  </si>
  <si>
    <t>South WestTewkesbury</t>
  </si>
  <si>
    <t>South EastThanet</t>
  </si>
  <si>
    <t>East of EnglandThree Rivers</t>
  </si>
  <si>
    <t>East of EnglandThurrock</t>
  </si>
  <si>
    <t>South EastTonbridge and Malling</t>
  </si>
  <si>
    <t>South WestTorbay</t>
  </si>
  <si>
    <t>South WestTorridge</t>
  </si>
  <si>
    <t>LondonTower Hamlets</t>
  </si>
  <si>
    <t>North WestTrafford</t>
  </si>
  <si>
    <t>South EastTunbridge Wells</t>
  </si>
  <si>
    <t>East of EnglandUttlesford</t>
  </si>
  <si>
    <t>South EastVale of White Horse</t>
  </si>
  <si>
    <t>Yorkshire and the HumberWakefield</t>
  </si>
  <si>
    <t>West MidlandsWalsall</t>
  </si>
  <si>
    <t>LondonWaltham Forest</t>
  </si>
  <si>
    <t>LondonWandsworth</t>
  </si>
  <si>
    <t>North WestWarrington</t>
  </si>
  <si>
    <t>West MidlandsWarwick</t>
  </si>
  <si>
    <t>East of EnglandWatford</t>
  </si>
  <si>
    <t>South EastWaverley</t>
  </si>
  <si>
    <t>South EastWealden</t>
  </si>
  <si>
    <t>East of EnglandWelwyn Hatfield</t>
  </si>
  <si>
    <t>South EastWest Berkshire</t>
  </si>
  <si>
    <t>South WestWest Devon</t>
  </si>
  <si>
    <t>North WestWest Lancashire</t>
  </si>
  <si>
    <t>East MidlandsWest Lindsey</t>
  </si>
  <si>
    <t>East MidlandsWest Northamptonshire</t>
  </si>
  <si>
    <t>South EastWest Oxfordshire</t>
  </si>
  <si>
    <t>East of EnglandWest Suffolk</t>
  </si>
  <si>
    <t>LondonWestminster</t>
  </si>
  <si>
    <t>North WestWestmorland and Furness</t>
  </si>
  <si>
    <t>North WestWigan</t>
  </si>
  <si>
    <t>South WestWiltshire</t>
  </si>
  <si>
    <t>South EastWinchester</t>
  </si>
  <si>
    <t>South EastWindsor and Maidenhead</t>
  </si>
  <si>
    <t>North WestWirral</t>
  </si>
  <si>
    <t>South EastWoking</t>
  </si>
  <si>
    <t>South EastWokingham</t>
  </si>
  <si>
    <t>West MidlandsWolverhampton</t>
  </si>
  <si>
    <t>West MidlandsWorcester</t>
  </si>
  <si>
    <t>South EastWorthing</t>
  </si>
  <si>
    <t>West MidlandsWychavon</t>
  </si>
  <si>
    <t>North WestWyre</t>
  </si>
  <si>
    <t>West MidlandsWyre Forest</t>
  </si>
  <si>
    <t>Yorkshire and the HumberYork</t>
  </si>
  <si>
    <t>EnglandEast Midlands</t>
  </si>
  <si>
    <t>EnglandEast of England</t>
  </si>
  <si>
    <t>EnglandLondon</t>
  </si>
  <si>
    <t>EnglandNorth East</t>
  </si>
  <si>
    <t>EnglandNorth West</t>
  </si>
  <si>
    <t>EnglandSouth East</t>
  </si>
  <si>
    <t>EnglandSouth West</t>
  </si>
  <si>
    <t>EnglandWest Midlands</t>
  </si>
  <si>
    <t>EnglandYorkshire and the Humber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</si>
</sst>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43" formatCode="_-* #,##0.00_-;\-* #,##0.00_-;_-* &quot;-&quot;??_-;_-@_-"/>
    <numFmt numFmtId="164" formatCode="_-* #,##0_-;\-* #,##0_-;_-* &quot;-&quot;??_-;_-@_-"/>
    <numFmt numFmtId="165" formatCode="0.0%"/>
    <numFmt numFmtId="166" formatCode="&quot;£&quot;#,##0.00"/>
    <numFmt numFmtId="167" formatCode="#,##0;[Red]\-#,##0,\-;&quot;-&quot;"/>
    <numFmt numFmtId="168" formatCode="#,##0_ ;[Red]\-#,##0\ "/>
    <numFmt numFmtId="169" formatCode="#,##0;\-#,##0,\-;&quot;-&quot;"/>
    <numFmt numFmtId="170" formatCode="#,##0;\-#,##0,_-;&quot;-&quot;"/>
    <numFmt numFmtId="171" formatCode="&quot;£&quot;#,##0.00;\-&quot;£&quot;#,##0.0000_-;&quot;-&quot;"/>
    <numFmt numFmtId="172" formatCode="#,##0;\-#,##0_-;&quot;-&quot;"/>
    <numFmt numFmtId="173" formatCode="0.0"/>
    <numFmt numFmtId="174" formatCode="[$-F800]dddd\,\ mmmm\ dd\,\ yyyy"/>
    <numFmt numFmtId="175" formatCode="mmmm\ yyyy"/>
  </numFmts>
  <fonts count="70" x14ac:knownFonts="1">
    <font>
      <sz val="10"/>
      <color theme="1"/>
      <name val="Arial"/>
      <family val="2"/>
    </font>
    <font>
      <sz val="11"/>
      <color theme="1"/>
      <name val="Calibri"/>
      <family val="2"/>
      <scheme val="minor"/>
    </font>
    <font>
      <sz val="11"/>
      <color theme="1"/>
      <name val="Arial"/>
      <family val="2"/>
    </font>
    <font>
      <sz val="11"/>
      <color theme="1"/>
      <name val="Calibri"/>
      <family val="2"/>
      <scheme val="minor"/>
    </font>
    <font>
      <sz val="10"/>
      <color theme="1"/>
      <name val="Arial"/>
      <family val="2"/>
    </font>
    <font>
      <sz val="10"/>
      <color rgb="FFFF0000"/>
      <name val="Arial"/>
      <family val="2"/>
    </font>
    <font>
      <b/>
      <sz val="10"/>
      <color theme="1"/>
      <name val="Arial"/>
      <family val="2"/>
    </font>
    <font>
      <sz val="10"/>
      <color theme="0"/>
      <name val="Arial"/>
      <family val="2"/>
    </font>
    <font>
      <b/>
      <sz val="22"/>
      <color rgb="FF59468D"/>
      <name val="Arial"/>
      <family val="2"/>
    </font>
    <font>
      <b/>
      <sz val="10"/>
      <color rgb="FFFF0000"/>
      <name val="Arial"/>
      <family val="2"/>
    </font>
    <font>
      <b/>
      <sz val="18"/>
      <color rgb="FF59468D"/>
      <name val="Arial"/>
      <family val="2"/>
    </font>
    <font>
      <b/>
      <sz val="10"/>
      <color rgb="FF002060"/>
      <name val="Arial"/>
      <family val="2"/>
    </font>
    <font>
      <sz val="10"/>
      <name val="Arial"/>
      <family val="2"/>
    </font>
    <font>
      <sz val="11"/>
      <name val="Arial"/>
      <family val="2"/>
    </font>
    <font>
      <b/>
      <sz val="10"/>
      <name val="Arial"/>
      <family val="2"/>
    </font>
    <font>
      <b/>
      <sz val="12"/>
      <color rgb="FF59468D"/>
      <name val="Arial"/>
      <family val="2"/>
    </font>
    <font>
      <sz val="12"/>
      <color rgb="FF59468D"/>
      <name val="Arial"/>
      <family val="2"/>
    </font>
    <font>
      <i/>
      <sz val="8"/>
      <color theme="0" tint="-0.499984740745262"/>
      <name val="Arial"/>
      <family val="2"/>
    </font>
    <font>
      <i/>
      <sz val="8"/>
      <name val="Arial"/>
      <family val="2"/>
    </font>
    <font>
      <sz val="10"/>
      <color theme="0" tint="-0.34998626667073579"/>
      <name val="Arial"/>
      <family val="2"/>
    </font>
    <font>
      <sz val="10"/>
      <name val="MS Sans Serif"/>
      <family val="2"/>
    </font>
    <font>
      <sz val="12"/>
      <color rgb="FFFF0000"/>
      <name val="Arial"/>
      <family val="2"/>
    </font>
    <font>
      <sz val="10"/>
      <color theme="0" tint="-0.499984740745262"/>
      <name val="Arial"/>
      <family val="2"/>
    </font>
    <font>
      <sz val="8"/>
      <color theme="1"/>
      <name val="Arial"/>
      <family val="2"/>
    </font>
    <font>
      <b/>
      <sz val="11"/>
      <color theme="1"/>
      <name val="Calibri"/>
      <family val="2"/>
      <scheme val="minor"/>
    </font>
    <font>
      <sz val="10"/>
      <color indexed="8"/>
      <name val="Arial"/>
      <family val="2"/>
    </font>
    <font>
      <sz val="11"/>
      <color indexed="8"/>
      <name val="Calibri"/>
      <family val="2"/>
    </font>
    <font>
      <sz val="12"/>
      <color theme="1"/>
      <name val="Arial"/>
      <family val="2"/>
    </font>
    <font>
      <u/>
      <sz val="11"/>
      <color theme="10"/>
      <name val="Calibri"/>
      <family val="2"/>
      <scheme val="minor"/>
    </font>
    <font>
      <sz val="11"/>
      <color theme="1"/>
      <name val="Calibri"/>
      <family val="2"/>
      <scheme val="minor"/>
    </font>
    <font>
      <u/>
      <sz val="10"/>
      <color theme="10"/>
      <name val="Arial"/>
      <family val="2"/>
    </font>
    <font>
      <sz val="8"/>
      <name val="Arial"/>
      <family val="2"/>
    </font>
    <font>
      <b/>
      <sz val="10"/>
      <color theme="0"/>
      <name val="Arial"/>
      <family val="2"/>
    </font>
    <font>
      <sz val="10"/>
      <color rgb="FFAECFE6"/>
      <name val="Arial"/>
      <family val="2"/>
    </font>
    <font>
      <sz val="11"/>
      <color rgb="FF9C0006"/>
      <name val="Calibri"/>
      <family val="2"/>
      <scheme val="minor"/>
    </font>
    <font>
      <sz val="10"/>
      <name val="Verdana"/>
      <family val="2"/>
    </font>
    <font>
      <b/>
      <sz val="11"/>
      <color rgb="FFFF0000"/>
      <name val="Arial"/>
      <family val="2"/>
    </font>
    <font>
      <i/>
      <sz val="10"/>
      <color theme="0" tint="-0.499984740745262"/>
      <name val="Arial"/>
      <family val="2"/>
    </font>
    <font>
      <sz val="10"/>
      <color rgb="FF59468D"/>
      <name val="Arial"/>
      <family val="2"/>
    </font>
    <font>
      <sz val="10"/>
      <color theme="8" tint="0.79998168889431442"/>
      <name val="Arial"/>
      <family val="2"/>
    </font>
    <font>
      <b/>
      <sz val="14"/>
      <color theme="1"/>
      <name val="Arial"/>
      <family val="2"/>
    </font>
    <font>
      <b/>
      <sz val="30"/>
      <color rgb="FF00B050"/>
      <name val="Wingdings"/>
      <charset val="2"/>
    </font>
    <font>
      <b/>
      <sz val="10"/>
      <color rgb="FF00B050"/>
      <name val="Arial"/>
      <family val="2"/>
    </font>
    <font>
      <b/>
      <sz val="10"/>
      <color theme="0" tint="-0.499984740745262"/>
      <name val="Arial"/>
      <family val="2"/>
    </font>
    <font>
      <b/>
      <sz val="28"/>
      <color rgb="FF59468D"/>
      <name val="Arial"/>
      <family val="2"/>
    </font>
    <font>
      <sz val="12"/>
      <name val="Arial"/>
      <family val="2"/>
    </font>
    <font>
      <b/>
      <sz val="12"/>
      <name val="Arial"/>
      <family val="2"/>
    </font>
    <font>
      <b/>
      <sz val="12"/>
      <color rgb="FFFF0000"/>
      <name val="Arial"/>
      <family val="2"/>
    </font>
    <font>
      <sz val="9"/>
      <name val="Arial"/>
      <family val="2"/>
    </font>
    <font>
      <u/>
      <sz val="12"/>
      <color theme="10"/>
      <name val="Arial"/>
      <family val="2"/>
    </font>
    <font>
      <sz val="12"/>
      <color theme="0"/>
      <name val="Arial"/>
      <family val="2"/>
    </font>
    <font>
      <b/>
      <sz val="18"/>
      <color theme="1"/>
      <name val="Arial"/>
      <family val="2"/>
    </font>
    <font>
      <b/>
      <u/>
      <sz val="10"/>
      <color theme="10"/>
      <name val="Arial"/>
      <family val="2"/>
    </font>
    <font>
      <b/>
      <i/>
      <sz val="10"/>
      <color indexed="81"/>
      <name val="Arial"/>
      <family val="2"/>
    </font>
    <font>
      <b/>
      <sz val="14"/>
      <color indexed="9"/>
      <name val="Arial"/>
      <family val="2"/>
    </font>
    <font>
      <b/>
      <sz val="12"/>
      <color indexed="9"/>
      <name val="Arial"/>
      <family val="2"/>
    </font>
    <font>
      <sz val="11"/>
      <color theme="0"/>
      <name val="Arial"/>
      <family val="2"/>
    </font>
    <font>
      <sz val="11"/>
      <color rgb="FFFF0000"/>
      <name val="Arial"/>
      <family val="2"/>
    </font>
    <font>
      <sz val="11"/>
      <color rgb="FF59468D"/>
      <name val="Arial"/>
      <family val="2"/>
    </font>
    <font>
      <b/>
      <sz val="10"/>
      <color rgb="FF59468D"/>
      <name val="Arial"/>
      <family val="2"/>
    </font>
    <font>
      <b/>
      <sz val="24"/>
      <color rgb="FF59468D"/>
      <name val="Arial"/>
      <family val="2"/>
    </font>
    <font>
      <b/>
      <sz val="12"/>
      <color theme="1"/>
      <name val="Arial"/>
      <family val="2"/>
    </font>
    <font>
      <b/>
      <sz val="12"/>
      <color theme="0"/>
      <name val="Arial"/>
      <family val="2"/>
    </font>
    <font>
      <b/>
      <sz val="30"/>
      <color rgb="FF419331"/>
      <name val="Wingdings"/>
      <charset val="2"/>
    </font>
    <font>
      <b/>
      <sz val="10"/>
      <color rgb="FF419331"/>
      <name val="Arial"/>
      <family val="2"/>
    </font>
    <font>
      <sz val="10"/>
      <color rgb="FFC33A32"/>
      <name val="Arial"/>
      <family val="2"/>
    </font>
    <font>
      <b/>
      <sz val="10"/>
      <color rgb="FFC33A32"/>
      <name val="Arial"/>
      <family val="2"/>
    </font>
    <font>
      <u/>
      <sz val="32"/>
      <color rgb="FF419331"/>
      <name val="Wingdings"/>
      <charset val="2"/>
    </font>
    <font>
      <u/>
      <sz val="32"/>
      <color rgb="FF808080"/>
      <name val="Wingdings"/>
      <charset val="2"/>
    </font>
    <font>
      <u/>
      <sz val="32"/>
      <color rgb="FFC33A32"/>
      <name val="Wingdings"/>
      <charset val="2"/>
    </font>
  </fonts>
  <fills count="28">
    <fill>
      <patternFill patternType="none"/>
    </fill>
    <fill>
      <patternFill patternType="gray125"/>
    </fill>
    <fill>
      <patternFill patternType="solid">
        <fgColor theme="0"/>
        <bgColor indexed="64"/>
      </patternFill>
    </fill>
    <fill>
      <patternFill patternType="solid">
        <fgColor rgb="FFFDFF99"/>
        <bgColor indexed="64"/>
      </patternFill>
    </fill>
    <fill>
      <patternFill patternType="solid">
        <fgColor theme="0" tint="-4.9989318521683403E-2"/>
        <bgColor indexed="64"/>
      </patternFill>
    </fill>
    <fill>
      <patternFill patternType="solid">
        <fgColor rgb="FFFFFF99"/>
        <bgColor indexed="64"/>
      </patternFill>
    </fill>
    <fill>
      <patternFill patternType="solid">
        <fgColor theme="7" tint="0.79998168889431442"/>
        <bgColor indexed="64"/>
      </patternFill>
    </fill>
    <fill>
      <patternFill patternType="solid">
        <fgColor theme="4" tint="0.59999389629810485"/>
        <bgColor indexed="65"/>
      </patternFill>
    </fill>
    <fill>
      <patternFill patternType="solid">
        <fgColor rgb="FFFFFFCC"/>
        <bgColor indexed="64"/>
      </patternFill>
    </fill>
    <fill>
      <patternFill patternType="solid">
        <fgColor theme="9" tint="0.39997558519241921"/>
        <bgColor indexed="64"/>
      </patternFill>
    </fill>
    <fill>
      <patternFill patternType="solid">
        <fgColor rgb="FFAECFE6"/>
        <bgColor indexed="64"/>
      </patternFill>
    </fill>
    <fill>
      <patternFill patternType="solid">
        <fgColor rgb="FFE2EEF6"/>
        <bgColor indexed="64"/>
      </patternFill>
    </fill>
    <fill>
      <patternFill patternType="solid">
        <fgColor rgb="FF9A8CC6"/>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theme="7" tint="0.39997558519241921"/>
        <bgColor indexed="64"/>
      </patternFill>
    </fill>
    <fill>
      <patternFill patternType="solid">
        <fgColor theme="4" tint="0.79998168889431442"/>
        <bgColor theme="4" tint="0.79998168889431442"/>
      </patternFill>
    </fill>
    <fill>
      <patternFill patternType="solid">
        <fgColor indexed="22"/>
        <bgColor indexed="0"/>
      </patternFill>
    </fill>
    <fill>
      <patternFill patternType="solid">
        <fgColor rgb="FFFFC7CE"/>
      </patternFill>
    </fill>
    <fill>
      <patternFill patternType="solid">
        <fgColor rgb="FF97DA8A"/>
        <bgColor indexed="64"/>
      </patternFill>
    </fill>
    <fill>
      <patternFill patternType="solid">
        <fgColor rgb="FFC6EFCE"/>
        <bgColor indexed="64"/>
      </patternFill>
    </fill>
    <fill>
      <patternFill patternType="solid">
        <fgColor rgb="FFFFEB9C"/>
        <bgColor indexed="64"/>
      </patternFill>
    </fill>
    <fill>
      <patternFill patternType="solid">
        <fgColor indexed="9"/>
        <bgColor indexed="64"/>
      </patternFill>
    </fill>
    <fill>
      <patternFill patternType="solid">
        <fgColor rgb="FF59468D"/>
        <bgColor indexed="64"/>
      </patternFill>
    </fill>
    <fill>
      <patternFill patternType="solid">
        <fgColor rgb="FFFCBE37"/>
        <bgColor indexed="64"/>
      </patternFill>
    </fill>
    <fill>
      <patternFill patternType="solid">
        <fgColor rgb="FF4097DB"/>
        <bgColor indexed="64"/>
      </patternFill>
    </fill>
    <fill>
      <patternFill patternType="solid">
        <fgColor rgb="FF97D88A"/>
        <bgColor indexed="64"/>
      </patternFill>
    </fill>
    <fill>
      <patternFill patternType="solid">
        <fgColor rgb="FFEDEBF5"/>
        <bgColor indexed="64"/>
      </patternFill>
    </fill>
  </fills>
  <borders count="61">
    <border>
      <left/>
      <right/>
      <top/>
      <bottom/>
      <diagonal/>
    </border>
    <border>
      <left style="thin">
        <color indexed="64"/>
      </left>
      <right/>
      <top style="thin">
        <color indexed="64"/>
      </top>
      <bottom style="thin">
        <color indexed="64"/>
      </bottom>
      <diagonal/>
    </border>
    <border>
      <left style="thin">
        <color auto="1"/>
      </left>
      <right/>
      <top/>
      <bottom/>
      <diagonal/>
    </border>
    <border>
      <left/>
      <right style="thin">
        <color auto="1"/>
      </right>
      <top/>
      <bottom/>
      <diagonal/>
    </border>
    <border>
      <left/>
      <right/>
      <top style="thin">
        <color auto="1"/>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theme="4" tint="0.39997558519241921"/>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64"/>
      </left>
      <right style="thin">
        <color indexed="64"/>
      </right>
      <top style="thin">
        <color indexed="64"/>
      </top>
      <bottom style="thin">
        <color indexed="64"/>
      </bottom>
      <diagonal/>
    </border>
    <border>
      <left style="thin">
        <color auto="1"/>
      </left>
      <right style="thin">
        <color auto="1"/>
      </right>
      <top/>
      <bottom/>
      <diagonal/>
    </border>
    <border>
      <left style="dotted">
        <color indexed="64"/>
      </left>
      <right style="thin">
        <color indexed="64"/>
      </right>
      <top style="thin">
        <color indexed="64"/>
      </top>
      <bottom/>
      <diagonal/>
    </border>
    <border>
      <left style="dotted">
        <color indexed="64"/>
      </left>
      <right style="thin">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hair">
        <color indexed="64"/>
      </left>
      <right style="thin">
        <color indexed="64"/>
      </right>
      <top style="thin">
        <color indexed="64"/>
      </top>
      <bottom style="thin">
        <color indexed="64"/>
      </bottom>
      <diagonal/>
    </border>
    <border>
      <left style="dotted">
        <color auto="1"/>
      </left>
      <right/>
      <top style="thin">
        <color auto="1"/>
      </top>
      <bottom/>
      <diagonal/>
    </border>
    <border>
      <left style="dotted">
        <color indexed="64"/>
      </left>
      <right/>
      <top/>
      <bottom style="thin">
        <color indexed="64"/>
      </bottom>
      <diagonal/>
    </border>
    <border>
      <left style="dotted">
        <color indexed="64"/>
      </left>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top/>
      <bottom/>
      <diagonal/>
    </border>
    <border>
      <left/>
      <right style="dotted">
        <color indexed="64"/>
      </right>
      <top/>
      <bottom/>
      <diagonal/>
    </border>
    <border>
      <left style="dotted">
        <color indexed="64"/>
      </left>
      <right style="thin">
        <color indexed="64"/>
      </right>
      <top style="thin">
        <color indexed="64"/>
      </top>
      <bottom style="thin">
        <color indexed="64"/>
      </bottom>
      <diagonal/>
    </border>
    <border>
      <left style="dotted">
        <color indexed="64"/>
      </left>
      <right style="thin">
        <color indexed="64"/>
      </right>
      <top/>
      <bottom/>
      <diagonal/>
    </border>
    <border>
      <left style="thin">
        <color indexed="64"/>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8"/>
      </left>
      <right style="thin">
        <color indexed="8"/>
      </right>
      <top style="thin">
        <color indexed="8"/>
      </top>
      <bottom/>
      <diagonal/>
    </border>
    <border>
      <left/>
      <right/>
      <top/>
      <bottom style="thin">
        <color theme="0"/>
      </bottom>
      <diagonal/>
    </border>
    <border>
      <left style="thin">
        <color theme="0"/>
      </left>
      <right/>
      <top style="thin">
        <color theme="0"/>
      </top>
      <bottom/>
      <diagonal/>
    </border>
    <border>
      <left style="thin">
        <color theme="0"/>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thin">
        <color theme="0"/>
      </top>
      <bottom style="thin">
        <color theme="0"/>
      </bottom>
      <diagonal/>
    </border>
    <border>
      <left style="thin">
        <color theme="0"/>
      </left>
      <right/>
      <top/>
      <bottom style="thin">
        <color theme="0"/>
      </bottom>
      <diagonal/>
    </border>
    <border>
      <left/>
      <right style="thin">
        <color theme="0"/>
      </right>
      <top style="thin">
        <color theme="0"/>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theme="0"/>
      </left>
      <right style="thin">
        <color indexed="64"/>
      </right>
      <top style="thin">
        <color theme="0"/>
      </top>
      <bottom style="thin">
        <color theme="0"/>
      </bottom>
      <diagonal/>
    </border>
    <border>
      <left style="thin">
        <color indexed="64"/>
      </left>
      <right style="thin">
        <color theme="0"/>
      </right>
      <top/>
      <bottom/>
      <diagonal/>
    </border>
    <border>
      <left style="thin">
        <color indexed="64"/>
      </left>
      <right style="thin">
        <color theme="0"/>
      </right>
      <top/>
      <bottom style="thin">
        <color indexed="64"/>
      </bottom>
      <diagonal/>
    </border>
    <border>
      <left style="thin">
        <color theme="0"/>
      </left>
      <right style="thin">
        <color theme="0"/>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theme="0"/>
      </right>
      <top style="thin">
        <color indexed="64"/>
      </top>
      <bottom style="thin">
        <color theme="0"/>
      </bottom>
      <diagonal/>
    </border>
    <border>
      <left style="thin">
        <color indexed="64"/>
      </left>
      <right style="thin">
        <color theme="0"/>
      </right>
      <top style="thin">
        <color theme="0"/>
      </top>
      <bottom style="thin">
        <color theme="0"/>
      </bottom>
      <diagonal/>
    </border>
    <border>
      <left style="dotted">
        <color indexed="64"/>
      </left>
      <right style="dotted">
        <color indexed="64"/>
      </right>
      <top style="thin">
        <color indexed="64"/>
      </top>
      <bottom/>
      <diagonal/>
    </border>
    <border>
      <left style="dotted">
        <color indexed="64"/>
      </left>
      <right style="dotted">
        <color indexed="64"/>
      </right>
      <top/>
      <bottom/>
      <diagonal/>
    </border>
    <border>
      <left style="dotted">
        <color indexed="64"/>
      </left>
      <right style="dotted">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auto="1"/>
      </bottom>
      <diagonal/>
    </border>
    <border>
      <left/>
      <right style="thin">
        <color indexed="64"/>
      </right>
      <top style="thin">
        <color indexed="64"/>
      </top>
      <bottom/>
      <diagonal/>
    </border>
    <border>
      <left/>
      <right style="dotted">
        <color auto="1"/>
      </right>
      <top style="thin">
        <color auto="1"/>
      </top>
      <bottom/>
      <diagonal/>
    </border>
    <border>
      <left/>
      <right style="dotted">
        <color indexed="64"/>
      </right>
      <top/>
      <bottom style="thin">
        <color indexed="64"/>
      </bottom>
      <diagonal/>
    </border>
    <border>
      <left/>
      <right style="hair">
        <color indexed="64"/>
      </right>
      <top style="thin">
        <color indexed="64"/>
      </top>
      <bottom style="thin">
        <color indexed="64"/>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style="thin">
        <color theme="4" tint="0.39997558519241921"/>
      </left>
      <right/>
      <top style="thin">
        <color theme="4" tint="0.39997558519241921"/>
      </top>
      <bottom/>
      <diagonal/>
    </border>
    <border>
      <left/>
      <right style="thin">
        <color theme="4" tint="0.39997558519241921"/>
      </right>
      <top style="thin">
        <color theme="4" tint="0.39997558519241921"/>
      </top>
      <bottom/>
      <diagonal/>
    </border>
  </borders>
  <cellStyleXfs count="30">
    <xf numFmtId="0" fontId="0" fillId="0" borderId="0"/>
    <xf numFmtId="9" fontId="4" fillId="0" borderId="0" applyFont="0" applyFill="0" applyBorder="0" applyAlignment="0" applyProtection="0"/>
    <xf numFmtId="0" fontId="13" fillId="0" borderId="0"/>
    <xf numFmtId="0" fontId="20" fillId="0" borderId="0"/>
    <xf numFmtId="0" fontId="25" fillId="0" borderId="0"/>
    <xf numFmtId="0" fontId="27" fillId="7" borderId="0" applyNumberFormat="0" applyBorder="0" applyAlignment="0" applyProtection="0"/>
    <xf numFmtId="43" fontId="20" fillId="0" borderId="0" applyFont="0" applyFill="0" applyBorder="0" applyAlignment="0" applyProtection="0"/>
    <xf numFmtId="43" fontId="4" fillId="0" borderId="0" applyFont="0" applyFill="0" applyBorder="0" applyAlignment="0" applyProtection="0"/>
    <xf numFmtId="0" fontId="28" fillId="0" borderId="0" applyNumberFormat="0" applyFill="0" applyBorder="0" applyAlignment="0" applyProtection="0"/>
    <xf numFmtId="0" fontId="29" fillId="0" borderId="0"/>
    <xf numFmtId="0" fontId="29" fillId="0" borderId="0"/>
    <xf numFmtId="0" fontId="20" fillId="0" borderId="0"/>
    <xf numFmtId="0" fontId="4" fillId="0" borderId="0"/>
    <xf numFmtId="0" fontId="20" fillId="0" borderId="0"/>
    <xf numFmtId="0" fontId="20" fillId="0" borderId="0"/>
    <xf numFmtId="0" fontId="12" fillId="0" borderId="0"/>
    <xf numFmtId="9" fontId="20" fillId="0" borderId="0" applyFont="0" applyFill="0" applyBorder="0" applyAlignment="0" applyProtection="0"/>
    <xf numFmtId="9" fontId="4" fillId="0" borderId="0" applyFont="0" applyFill="0" applyBorder="0" applyAlignment="0" applyProtection="0"/>
    <xf numFmtId="0" fontId="30" fillId="0" borderId="0" applyNumberFormat="0" applyFill="0" applyBorder="0" applyAlignment="0" applyProtection="0"/>
    <xf numFmtId="0" fontId="34" fillId="18" borderId="0" applyNumberFormat="0" applyBorder="0" applyAlignment="0" applyProtection="0"/>
    <xf numFmtId="0" fontId="35" fillId="0" borderId="0"/>
    <xf numFmtId="0" fontId="12" fillId="0" borderId="0"/>
    <xf numFmtId="0" fontId="12" fillId="0" borderId="0"/>
    <xf numFmtId="0" fontId="35" fillId="0" borderId="0"/>
    <xf numFmtId="0" fontId="20" fillId="0" borderId="0"/>
    <xf numFmtId="0" fontId="35" fillId="0" borderId="0"/>
    <xf numFmtId="0" fontId="12" fillId="0" borderId="0"/>
    <xf numFmtId="0" fontId="3" fillId="0" borderId="0"/>
    <xf numFmtId="43" fontId="3" fillId="0" borderId="0" applyFont="0" applyFill="0" applyBorder="0" applyAlignment="0" applyProtection="0"/>
    <xf numFmtId="9" fontId="3" fillId="0" borderId="0" applyFont="0" applyFill="0" applyBorder="0" applyAlignment="0" applyProtection="0"/>
  </cellStyleXfs>
  <cellXfs count="506">
    <xf numFmtId="0" fontId="0" fillId="0" borderId="0" xfId="0"/>
    <xf numFmtId="0" fontId="0" fillId="2" borderId="0" xfId="0" applyFill="1" applyProtection="1">
      <protection hidden="1"/>
    </xf>
    <xf numFmtId="3" fontId="14" fillId="2" borderId="3" xfId="3" applyNumberFormat="1" applyFont="1" applyFill="1" applyBorder="1" applyAlignment="1" applyProtection="1">
      <alignment horizontal="right"/>
      <protection hidden="1"/>
    </xf>
    <xf numFmtId="0" fontId="12" fillId="2" borderId="2" xfId="3" applyFont="1" applyFill="1" applyBorder="1" applyAlignment="1" applyProtection="1">
      <alignment horizontal="left"/>
      <protection hidden="1"/>
    </xf>
    <xf numFmtId="0" fontId="6" fillId="2" borderId="0" xfId="0" applyFont="1" applyFill="1"/>
    <xf numFmtId="0" fontId="0" fillId="2" borderId="0" xfId="0" applyFill="1"/>
    <xf numFmtId="0" fontId="0" fillId="2" borderId="0" xfId="0" applyFill="1" applyProtection="1">
      <protection locked="0" hidden="1"/>
    </xf>
    <xf numFmtId="0" fontId="0" fillId="5" borderId="8" xfId="0" applyFill="1" applyBorder="1" applyAlignment="1" applyProtection="1">
      <alignment vertical="center" wrapText="1"/>
      <protection hidden="1"/>
    </xf>
    <xf numFmtId="0" fontId="0" fillId="8" borderId="2" xfId="0" applyFill="1" applyBorder="1" applyAlignment="1" applyProtection="1">
      <alignment horizontal="center"/>
      <protection hidden="1"/>
    </xf>
    <xf numFmtId="0" fontId="0" fillId="8" borderId="3" xfId="0" applyFill="1" applyBorder="1" applyAlignment="1" applyProtection="1">
      <alignment horizontal="center"/>
      <protection hidden="1"/>
    </xf>
    <xf numFmtId="0" fontId="0" fillId="9" borderId="0" xfId="0" applyFill="1" applyAlignment="1" applyProtection="1">
      <alignment horizontal="center"/>
      <protection hidden="1"/>
    </xf>
    <xf numFmtId="0" fontId="0" fillId="13" borderId="0" xfId="0" applyFill="1" applyProtection="1">
      <protection hidden="1"/>
    </xf>
    <xf numFmtId="0" fontId="0" fillId="13" borderId="4" xfId="0" applyFill="1" applyBorder="1" applyAlignment="1" applyProtection="1">
      <alignment wrapText="1"/>
      <protection hidden="1"/>
    </xf>
    <xf numFmtId="0" fontId="0" fillId="14" borderId="2" xfId="0" applyFill="1" applyBorder="1" applyProtection="1">
      <protection hidden="1"/>
    </xf>
    <xf numFmtId="0" fontId="0" fillId="14" borderId="0" xfId="0" applyFill="1" applyProtection="1">
      <protection hidden="1"/>
    </xf>
    <xf numFmtId="0" fontId="0" fillId="14" borderId="3" xfId="0" applyFill="1" applyBorder="1" applyProtection="1">
      <protection hidden="1"/>
    </xf>
    <xf numFmtId="0" fontId="0" fillId="15" borderId="4" xfId="0" applyFill="1" applyBorder="1" applyProtection="1">
      <protection hidden="1"/>
    </xf>
    <xf numFmtId="0" fontId="0" fillId="6" borderId="1" xfId="0" applyFill="1" applyBorder="1" applyProtection="1">
      <protection hidden="1"/>
    </xf>
    <xf numFmtId="0" fontId="6" fillId="6" borderId="5" xfId="0" applyFont="1" applyFill="1" applyBorder="1" applyProtection="1">
      <protection hidden="1"/>
    </xf>
    <xf numFmtId="0" fontId="0" fillId="6" borderId="5" xfId="0" applyFill="1" applyBorder="1" applyProtection="1">
      <protection hidden="1"/>
    </xf>
    <xf numFmtId="167" fontId="6" fillId="6" borderId="10" xfId="0" applyNumberFormat="1" applyFont="1" applyFill="1" applyBorder="1" applyProtection="1">
      <protection hidden="1"/>
    </xf>
    <xf numFmtId="9" fontId="6" fillId="6" borderId="10" xfId="0" applyNumberFormat="1" applyFont="1" applyFill="1" applyBorder="1" applyProtection="1">
      <protection hidden="1"/>
    </xf>
    <xf numFmtId="0" fontId="0" fillId="4" borderId="2" xfId="0" applyFill="1" applyBorder="1" applyProtection="1">
      <protection hidden="1"/>
    </xf>
    <xf numFmtId="0" fontId="0" fillId="8" borderId="2" xfId="0" applyFill="1" applyBorder="1" applyProtection="1">
      <protection hidden="1"/>
    </xf>
    <xf numFmtId="168" fontId="0" fillId="9" borderId="0" xfId="0" applyNumberFormat="1" applyFill="1" applyAlignment="1" applyProtection="1">
      <alignment horizontal="center"/>
      <protection hidden="1"/>
    </xf>
    <xf numFmtId="0" fontId="0" fillId="13" borderId="2" xfId="0" applyFill="1" applyBorder="1" applyProtection="1">
      <protection hidden="1"/>
    </xf>
    <xf numFmtId="167" fontId="0" fillId="13" borderId="3" xfId="0" applyNumberFormat="1" applyFill="1" applyBorder="1" applyProtection="1">
      <protection hidden="1"/>
    </xf>
    <xf numFmtId="167" fontId="0" fillId="14" borderId="3" xfId="0" applyNumberFormat="1" applyFill="1" applyBorder="1" applyProtection="1">
      <protection hidden="1"/>
    </xf>
    <xf numFmtId="0" fontId="0" fillId="15" borderId="2" xfId="0" applyFill="1" applyBorder="1" applyProtection="1">
      <protection hidden="1"/>
    </xf>
    <xf numFmtId="0" fontId="0" fillId="15" borderId="0" xfId="0" applyFill="1" applyProtection="1">
      <protection hidden="1"/>
    </xf>
    <xf numFmtId="167" fontId="0" fillId="15" borderId="3" xfId="0" applyNumberFormat="1" applyFill="1" applyBorder="1" applyProtection="1">
      <protection hidden="1"/>
    </xf>
    <xf numFmtId="0" fontId="0" fillId="15" borderId="3" xfId="0" applyFill="1" applyBorder="1" applyProtection="1">
      <protection hidden="1"/>
    </xf>
    <xf numFmtId="0" fontId="0" fillId="3" borderId="9" xfId="0" applyFill="1" applyBorder="1" applyAlignment="1" applyProtection="1">
      <alignment vertical="center" wrapText="1"/>
      <protection hidden="1"/>
    </xf>
    <xf numFmtId="167" fontId="0" fillId="2" borderId="0" xfId="0" applyNumberFormat="1" applyFill="1" applyAlignment="1" applyProtection="1">
      <alignment horizontal="right"/>
      <protection hidden="1"/>
    </xf>
    <xf numFmtId="167" fontId="0" fillId="2" borderId="0" xfId="0" applyNumberFormat="1" applyFill="1" applyAlignment="1" applyProtection="1">
      <alignment horizontal="left"/>
      <protection hidden="1"/>
    </xf>
    <xf numFmtId="168" fontId="0" fillId="2" borderId="0" xfId="0" applyNumberFormat="1" applyFill="1" applyAlignment="1" applyProtection="1">
      <alignment horizontal="right"/>
      <protection hidden="1"/>
    </xf>
    <xf numFmtId="165" fontId="0" fillId="2" borderId="0" xfId="1" applyNumberFormat="1" applyFont="1" applyFill="1" applyBorder="1" applyAlignment="1" applyProtection="1">
      <alignment horizontal="right"/>
      <protection hidden="1"/>
    </xf>
    <xf numFmtId="165" fontId="0" fillId="9" borderId="4" xfId="1" applyNumberFormat="1" applyFont="1" applyFill="1" applyBorder="1" applyAlignment="1" applyProtection="1">
      <alignment horizontal="center"/>
      <protection hidden="1"/>
    </xf>
    <xf numFmtId="165" fontId="0" fillId="9" borderId="0" xfId="1" applyNumberFormat="1" applyFont="1" applyFill="1" applyBorder="1" applyAlignment="1" applyProtection="1">
      <alignment horizontal="center"/>
      <protection hidden="1"/>
    </xf>
    <xf numFmtId="165" fontId="0" fillId="13" borderId="2" xfId="0" applyNumberFormat="1" applyFill="1" applyBorder="1" applyProtection="1">
      <protection hidden="1"/>
    </xf>
    <xf numFmtId="165" fontId="0" fillId="13" borderId="0" xfId="1" applyNumberFormat="1" applyFont="1" applyFill="1" applyBorder="1" applyProtection="1">
      <protection hidden="1"/>
    </xf>
    <xf numFmtId="0" fontId="0" fillId="13" borderId="2" xfId="1" applyNumberFormat="1" applyFont="1" applyFill="1" applyBorder="1" applyProtection="1">
      <protection hidden="1"/>
    </xf>
    <xf numFmtId="165" fontId="0" fillId="13" borderId="4" xfId="0" applyNumberFormat="1" applyFill="1" applyBorder="1" applyProtection="1">
      <protection hidden="1"/>
    </xf>
    <xf numFmtId="165" fontId="0" fillId="14" borderId="0" xfId="0" applyNumberFormat="1" applyFill="1" applyProtection="1">
      <protection hidden="1"/>
    </xf>
    <xf numFmtId="165" fontId="0" fillId="14" borderId="0" xfId="1" applyNumberFormat="1" applyFont="1" applyFill="1" applyBorder="1" applyProtection="1">
      <protection hidden="1"/>
    </xf>
    <xf numFmtId="0" fontId="0" fillId="14" borderId="3" xfId="1" applyNumberFormat="1" applyFont="1" applyFill="1" applyBorder="1" applyProtection="1">
      <protection hidden="1"/>
    </xf>
    <xf numFmtId="0" fontId="0" fillId="15" borderId="2" xfId="1" applyNumberFormat="1" applyFont="1" applyFill="1" applyBorder="1" applyProtection="1">
      <protection hidden="1"/>
    </xf>
    <xf numFmtId="165" fontId="0" fillId="15" borderId="0" xfId="0" applyNumberFormat="1" applyFill="1" applyProtection="1">
      <protection hidden="1"/>
    </xf>
    <xf numFmtId="165" fontId="0" fillId="15" borderId="0" xfId="1" applyNumberFormat="1" applyFont="1" applyFill="1" applyBorder="1" applyProtection="1">
      <protection hidden="1"/>
    </xf>
    <xf numFmtId="1" fontId="0" fillId="5" borderId="0" xfId="1" applyNumberFormat="1" applyFont="1" applyFill="1" applyBorder="1" applyProtection="1">
      <protection hidden="1"/>
    </xf>
    <xf numFmtId="0" fontId="0" fillId="2" borderId="0" xfId="0" applyFill="1" applyAlignment="1" applyProtection="1">
      <alignment horizontal="left"/>
      <protection hidden="1"/>
    </xf>
    <xf numFmtId="0" fontId="0" fillId="0" borderId="0" xfId="0" applyAlignment="1">
      <alignment horizontal="left"/>
    </xf>
    <xf numFmtId="0" fontId="6" fillId="16" borderId="7" xfId="0" applyFont="1" applyFill="1" applyBorder="1"/>
    <xf numFmtId="0" fontId="30" fillId="2" borderId="0" xfId="18" applyFill="1" applyBorder="1" applyAlignment="1" applyProtection="1">
      <alignment wrapText="1"/>
      <protection hidden="1"/>
    </xf>
    <xf numFmtId="0" fontId="5" fillId="2" borderId="0" xfId="0" applyFont="1" applyFill="1" applyProtection="1">
      <protection hidden="1"/>
    </xf>
    <xf numFmtId="167" fontId="0" fillId="8" borderId="4" xfId="0" applyNumberFormat="1" applyFill="1" applyBorder="1" applyAlignment="1" applyProtection="1">
      <alignment horizontal="center"/>
      <protection hidden="1"/>
    </xf>
    <xf numFmtId="0" fontId="0" fillId="14" borderId="0" xfId="1" applyNumberFormat="1" applyFont="1" applyFill="1" applyBorder="1" applyProtection="1">
      <protection hidden="1"/>
    </xf>
    <xf numFmtId="165" fontId="0" fillId="13" borderId="0" xfId="0" applyNumberFormat="1" applyFill="1" applyProtection="1">
      <protection hidden="1"/>
    </xf>
    <xf numFmtId="165" fontId="0" fillId="13" borderId="4" xfId="1" applyNumberFormat="1" applyFont="1" applyFill="1" applyBorder="1" applyProtection="1">
      <protection hidden="1"/>
    </xf>
    <xf numFmtId="0" fontId="7" fillId="2" borderId="0" xfId="27" applyFont="1" applyFill="1" applyAlignment="1" applyProtection="1">
      <alignment horizontal="left" vertical="top"/>
      <protection hidden="1"/>
    </xf>
    <xf numFmtId="0" fontId="12" fillId="2" borderId="0" xfId="27" applyFont="1" applyFill="1" applyAlignment="1" applyProtection="1">
      <alignment vertical="top"/>
      <protection hidden="1"/>
    </xf>
    <xf numFmtId="0" fontId="7" fillId="2" borderId="0" xfId="27" applyFont="1" applyFill="1" applyAlignment="1" applyProtection="1">
      <alignment vertical="top"/>
      <protection hidden="1"/>
    </xf>
    <xf numFmtId="0" fontId="4" fillId="2" borderId="0" xfId="27" applyFont="1" applyFill="1" applyAlignment="1" applyProtection="1">
      <alignment vertical="top"/>
      <protection hidden="1"/>
    </xf>
    <xf numFmtId="0" fontId="32" fillId="2" borderId="0" xfId="27" applyFont="1" applyFill="1" applyAlignment="1" applyProtection="1">
      <alignment vertical="top"/>
      <protection hidden="1"/>
    </xf>
    <xf numFmtId="0" fontId="11" fillId="2" borderId="0" xfId="27" applyFont="1" applyFill="1" applyAlignment="1" applyProtection="1">
      <alignment vertical="top"/>
      <protection hidden="1"/>
    </xf>
    <xf numFmtId="0" fontId="36" fillId="2" borderId="0" xfId="27" applyFont="1" applyFill="1" applyAlignment="1" applyProtection="1">
      <alignment vertical="top"/>
      <protection hidden="1"/>
    </xf>
    <xf numFmtId="0" fontId="7" fillId="2" borderId="0" xfId="27" applyFont="1" applyFill="1" applyAlignment="1" applyProtection="1">
      <alignment horizontal="left"/>
      <protection hidden="1"/>
    </xf>
    <xf numFmtId="0" fontId="12" fillId="2" borderId="0" xfId="2" applyFont="1" applyFill="1" applyAlignment="1" applyProtection="1">
      <alignment horizontal="center" wrapText="1"/>
      <protection hidden="1"/>
    </xf>
    <xf numFmtId="0" fontId="5" fillId="2" borderId="0" xfId="27" applyFont="1" applyFill="1" applyAlignment="1" applyProtection="1">
      <alignment wrapText="1"/>
      <protection hidden="1"/>
    </xf>
    <xf numFmtId="0" fontId="14" fillId="2" borderId="0" xfId="2" applyFont="1" applyFill="1" applyAlignment="1" applyProtection="1">
      <alignment horizontal="center" wrapText="1"/>
      <protection hidden="1"/>
    </xf>
    <xf numFmtId="164" fontId="14" fillId="2" borderId="0" xfId="28" applyNumberFormat="1" applyFont="1" applyFill="1" applyBorder="1" applyAlignment="1" applyProtection="1">
      <alignment horizontal="center" wrapText="1"/>
      <protection hidden="1"/>
    </xf>
    <xf numFmtId="0" fontId="7" fillId="2" borderId="0" xfId="27" applyFont="1" applyFill="1" applyProtection="1">
      <protection hidden="1"/>
    </xf>
    <xf numFmtId="0" fontId="14" fillId="2" borderId="0" xfId="27" applyFont="1" applyFill="1" applyAlignment="1" applyProtection="1">
      <alignment horizontal="left"/>
      <protection hidden="1"/>
    </xf>
    <xf numFmtId="0" fontId="37" fillId="4" borderId="12" xfId="27" applyFont="1" applyFill="1" applyBorder="1" applyAlignment="1" applyProtection="1">
      <alignment horizontal="right"/>
      <protection hidden="1"/>
    </xf>
    <xf numFmtId="169" fontId="4" fillId="5" borderId="14" xfId="27" applyNumberFormat="1" applyFont="1" applyFill="1" applyBorder="1" applyProtection="1">
      <protection hidden="1"/>
    </xf>
    <xf numFmtId="0" fontId="22" fillId="2" borderId="0" xfId="27" applyFont="1" applyFill="1" applyAlignment="1" applyProtection="1">
      <alignment horizontal="left"/>
      <protection hidden="1"/>
    </xf>
    <xf numFmtId="0" fontId="22" fillId="2" borderId="0" xfId="27" applyFont="1" applyFill="1" applyProtection="1">
      <protection hidden="1"/>
    </xf>
    <xf numFmtId="169" fontId="4" fillId="5" borderId="15" xfId="27" applyNumberFormat="1" applyFont="1" applyFill="1" applyBorder="1" applyProtection="1">
      <protection hidden="1"/>
    </xf>
    <xf numFmtId="0" fontId="7" fillId="2" borderId="5" xfId="27" applyFont="1" applyFill="1" applyBorder="1" applyProtection="1">
      <protection hidden="1"/>
    </xf>
    <xf numFmtId="169" fontId="4" fillId="5" borderId="16" xfId="27" applyNumberFormat="1" applyFont="1" applyFill="1" applyBorder="1" applyProtection="1">
      <protection hidden="1"/>
    </xf>
    <xf numFmtId="0" fontId="6" fillId="2" borderId="1" xfId="27" applyFont="1" applyFill="1" applyBorder="1" applyAlignment="1" applyProtection="1">
      <alignment horizontal="left"/>
      <protection hidden="1"/>
    </xf>
    <xf numFmtId="0" fontId="6" fillId="2" borderId="5" xfId="27" applyFont="1" applyFill="1" applyBorder="1" applyProtection="1">
      <protection hidden="1"/>
    </xf>
    <xf numFmtId="3" fontId="6" fillId="2" borderId="6" xfId="27" applyNumberFormat="1" applyFont="1" applyFill="1" applyBorder="1" applyProtection="1">
      <protection hidden="1"/>
    </xf>
    <xf numFmtId="0" fontId="31" fillId="2" borderId="2" xfId="28" applyNumberFormat="1" applyFont="1" applyFill="1" applyBorder="1" applyAlignment="1" applyProtection="1">
      <alignment horizontal="left"/>
      <protection hidden="1"/>
    </xf>
    <xf numFmtId="3" fontId="12" fillId="2" borderId="0" xfId="28" applyNumberFormat="1" applyFont="1" applyFill="1" applyBorder="1" applyAlignment="1" applyProtection="1">
      <alignment horizontal="right" wrapText="1"/>
      <protection hidden="1"/>
    </xf>
    <xf numFmtId="3" fontId="12" fillId="2" borderId="3" xfId="28" applyNumberFormat="1" applyFont="1" applyFill="1" applyBorder="1" applyAlignment="1" applyProtection="1">
      <alignment horizontal="right" wrapText="1"/>
      <protection hidden="1"/>
    </xf>
    <xf numFmtId="164" fontId="12" fillId="2" borderId="0" xfId="28" applyNumberFormat="1" applyFont="1" applyFill="1" applyBorder="1" applyAlignment="1" applyProtection="1">
      <alignment horizontal="left"/>
      <protection hidden="1"/>
    </xf>
    <xf numFmtId="0" fontId="6" fillId="11" borderId="0" xfId="27" applyFont="1" applyFill="1" applyAlignment="1" applyProtection="1">
      <alignment horizontal="right"/>
      <protection hidden="1"/>
    </xf>
    <xf numFmtId="0" fontId="12" fillId="2" borderId="0" xfId="27" applyFont="1" applyFill="1" applyAlignment="1" applyProtection="1">
      <alignment horizontal="left"/>
      <protection hidden="1"/>
    </xf>
    <xf numFmtId="0" fontId="5" fillId="2" borderId="0" xfId="27" applyFont="1" applyFill="1" applyAlignment="1" applyProtection="1">
      <alignment horizontal="left"/>
      <protection hidden="1"/>
    </xf>
    <xf numFmtId="165" fontId="4" fillId="5" borderId="19" xfId="29" applyNumberFormat="1" applyFont="1" applyFill="1" applyBorder="1" applyProtection="1">
      <protection hidden="1"/>
    </xf>
    <xf numFmtId="165" fontId="4" fillId="5" borderId="20" xfId="29" applyNumberFormat="1" applyFont="1" applyFill="1" applyBorder="1" applyProtection="1">
      <protection hidden="1"/>
    </xf>
    <xf numFmtId="165" fontId="19" fillId="5" borderId="21" xfId="29" applyNumberFormat="1" applyFont="1" applyFill="1" applyBorder="1" applyProtection="1">
      <protection hidden="1"/>
    </xf>
    <xf numFmtId="165" fontId="19" fillId="5" borderId="22" xfId="29" applyNumberFormat="1" applyFont="1" applyFill="1" applyBorder="1" applyProtection="1">
      <protection hidden="1"/>
    </xf>
    <xf numFmtId="165" fontId="19" fillId="5" borderId="18" xfId="29" applyNumberFormat="1" applyFont="1" applyFill="1" applyBorder="1" applyProtection="1">
      <protection hidden="1"/>
    </xf>
    <xf numFmtId="165" fontId="4" fillId="2" borderId="6" xfId="29" applyNumberFormat="1" applyFont="1" applyFill="1" applyBorder="1" applyProtection="1">
      <protection hidden="1"/>
    </xf>
    <xf numFmtId="0" fontId="6" fillId="2" borderId="2" xfId="27" applyFont="1" applyFill="1" applyBorder="1" applyAlignment="1" applyProtection="1">
      <alignment horizontal="left"/>
      <protection hidden="1"/>
    </xf>
    <xf numFmtId="3" fontId="6" fillId="2" borderId="0" xfId="27" applyNumberFormat="1" applyFont="1" applyFill="1" applyProtection="1">
      <protection hidden="1"/>
    </xf>
    <xf numFmtId="3" fontId="4" fillId="2" borderId="0" xfId="27" applyNumberFormat="1" applyFont="1" applyFill="1" applyProtection="1">
      <protection hidden="1"/>
    </xf>
    <xf numFmtId="0" fontId="16" fillId="11" borderId="4" xfId="27" applyFont="1" applyFill="1" applyBorder="1" applyAlignment="1" applyProtection="1">
      <alignment vertical="top"/>
      <protection hidden="1"/>
    </xf>
    <xf numFmtId="0" fontId="9" fillId="2" borderId="0" xfId="27" applyFont="1" applyFill="1" applyProtection="1">
      <protection hidden="1"/>
    </xf>
    <xf numFmtId="0" fontId="33" fillId="2" borderId="0" xfId="27" applyFont="1" applyFill="1" applyProtection="1">
      <protection hidden="1"/>
    </xf>
    <xf numFmtId="0" fontId="7" fillId="2" borderId="0" xfId="2" applyFont="1" applyFill="1" applyAlignment="1" applyProtection="1">
      <alignment horizontal="center" wrapText="1"/>
      <protection hidden="1"/>
    </xf>
    <xf numFmtId="0" fontId="33" fillId="2" borderId="4" xfId="27" applyFont="1" applyFill="1" applyBorder="1" applyProtection="1">
      <protection hidden="1"/>
    </xf>
    <xf numFmtId="0" fontId="12" fillId="2" borderId="2" xfId="27" applyFont="1" applyFill="1" applyBorder="1" applyProtection="1">
      <protection hidden="1"/>
    </xf>
    <xf numFmtId="0" fontId="4" fillId="2" borderId="2" xfId="27" applyFont="1" applyFill="1" applyBorder="1" applyProtection="1">
      <protection hidden="1"/>
    </xf>
    <xf numFmtId="0" fontId="14" fillId="2" borderId="13" xfId="27" applyFont="1" applyFill="1" applyBorder="1" applyAlignment="1" applyProtection="1">
      <alignment horizontal="right"/>
      <protection hidden="1"/>
    </xf>
    <xf numFmtId="0" fontId="33" fillId="2" borderId="2" xfId="27" applyFont="1" applyFill="1" applyBorder="1" applyProtection="1">
      <protection hidden="1"/>
    </xf>
    <xf numFmtId="0" fontId="12" fillId="2" borderId="2" xfId="27" applyFont="1" applyFill="1" applyBorder="1" applyAlignment="1" applyProtection="1">
      <alignment horizontal="left"/>
      <protection hidden="1"/>
    </xf>
    <xf numFmtId="0" fontId="12" fillId="2" borderId="0" xfId="27" applyFont="1" applyFill="1" applyProtection="1">
      <protection hidden="1"/>
    </xf>
    <xf numFmtId="166" fontId="6" fillId="2" borderId="0" xfId="27" applyNumberFormat="1" applyFont="1" applyFill="1" applyAlignment="1" applyProtection="1">
      <alignment horizontal="right"/>
      <protection hidden="1"/>
    </xf>
    <xf numFmtId="3" fontId="6" fillId="2" borderId="3" xfId="27" applyNumberFormat="1" applyFont="1" applyFill="1" applyBorder="1" applyAlignment="1" applyProtection="1">
      <alignment horizontal="right"/>
      <protection hidden="1"/>
    </xf>
    <xf numFmtId="0" fontId="23" fillId="2" borderId="2" xfId="27" applyFont="1" applyFill="1" applyBorder="1" applyProtection="1">
      <protection hidden="1"/>
    </xf>
    <xf numFmtId="0" fontId="31" fillId="2" borderId="0" xfId="28" applyNumberFormat="1" applyFont="1" applyFill="1" applyBorder="1" applyAlignment="1" applyProtection="1">
      <alignment horizontal="left"/>
      <protection hidden="1"/>
    </xf>
    <xf numFmtId="0" fontId="19" fillId="2" borderId="0" xfId="27" applyFont="1" applyFill="1" applyProtection="1">
      <protection hidden="1"/>
    </xf>
    <xf numFmtId="0" fontId="7" fillId="2" borderId="2" xfId="27" applyFont="1" applyFill="1" applyBorder="1" applyProtection="1">
      <protection hidden="1"/>
    </xf>
    <xf numFmtId="0" fontId="14" fillId="2" borderId="0" xfId="27" applyFont="1" applyFill="1" applyAlignment="1" applyProtection="1">
      <alignment horizontal="right"/>
      <protection hidden="1"/>
    </xf>
    <xf numFmtId="0" fontId="14" fillId="2" borderId="24" xfId="27" applyFont="1" applyFill="1" applyBorder="1" applyAlignment="1" applyProtection="1">
      <alignment horizontal="right"/>
      <protection hidden="1"/>
    </xf>
    <xf numFmtId="0" fontId="7" fillId="2" borderId="1" xfId="27" applyFont="1" applyFill="1" applyBorder="1" applyProtection="1">
      <protection hidden="1"/>
    </xf>
    <xf numFmtId="0" fontId="6" fillId="2" borderId="2" xfId="27" applyFont="1" applyFill="1" applyBorder="1" applyAlignment="1" applyProtection="1">
      <alignment horizontal="left" vertical="top"/>
      <protection hidden="1"/>
    </xf>
    <xf numFmtId="0" fontId="32" fillId="2" borderId="0" xfId="27" applyFont="1" applyFill="1" applyProtection="1">
      <protection hidden="1"/>
    </xf>
    <xf numFmtId="169" fontId="6" fillId="2" borderId="5" xfId="27" applyNumberFormat="1" applyFont="1" applyFill="1" applyBorder="1" applyAlignment="1" applyProtection="1">
      <alignment horizontal="right"/>
      <protection hidden="1"/>
    </xf>
    <xf numFmtId="0" fontId="7" fillId="2" borderId="1" xfId="3" applyFont="1" applyFill="1" applyBorder="1" applyAlignment="1" applyProtection="1">
      <alignment horizontal="left"/>
      <protection hidden="1"/>
    </xf>
    <xf numFmtId="0" fontId="6" fillId="2" borderId="2" xfId="3" applyFont="1" applyFill="1" applyBorder="1" applyAlignment="1" applyProtection="1">
      <alignment horizontal="left" vertical="top" wrapText="1"/>
      <protection hidden="1"/>
    </xf>
    <xf numFmtId="0" fontId="6" fillId="2" borderId="2" xfId="3" applyFont="1" applyFill="1" applyBorder="1" applyAlignment="1" applyProtection="1">
      <alignment horizontal="left"/>
      <protection hidden="1"/>
    </xf>
    <xf numFmtId="166" fontId="14" fillId="2" borderId="0" xfId="3" applyNumberFormat="1" applyFont="1" applyFill="1" applyAlignment="1" applyProtection="1">
      <alignment horizontal="right"/>
      <protection hidden="1"/>
    </xf>
    <xf numFmtId="0" fontId="23" fillId="2" borderId="0" xfId="27" applyFont="1" applyFill="1" applyAlignment="1" applyProtection="1">
      <alignment vertical="center" wrapText="1"/>
      <protection hidden="1"/>
    </xf>
    <xf numFmtId="0" fontId="23" fillId="2" borderId="3" xfId="27" applyFont="1" applyFill="1" applyBorder="1" applyAlignment="1" applyProtection="1">
      <alignment vertical="center" wrapText="1"/>
      <protection hidden="1"/>
    </xf>
    <xf numFmtId="0" fontId="23" fillId="2" borderId="0" xfId="27" applyFont="1" applyFill="1" applyProtection="1">
      <protection hidden="1"/>
    </xf>
    <xf numFmtId="0" fontId="7" fillId="2" borderId="0" xfId="2" applyFont="1" applyFill="1" applyAlignment="1" applyProtection="1">
      <alignment horizontal="center"/>
      <protection hidden="1"/>
    </xf>
    <xf numFmtId="2" fontId="14" fillId="2" borderId="4" xfId="27" applyNumberFormat="1" applyFont="1" applyFill="1" applyBorder="1" applyAlignment="1" applyProtection="1">
      <alignment horizontal="right"/>
      <protection hidden="1"/>
    </xf>
    <xf numFmtId="0" fontId="18" fillId="2" borderId="2" xfId="28" applyNumberFormat="1" applyFont="1" applyFill="1" applyBorder="1" applyAlignment="1" applyProtection="1">
      <alignment horizontal="left"/>
      <protection hidden="1"/>
    </xf>
    <xf numFmtId="0" fontId="31" fillId="2" borderId="2" xfId="27" applyFont="1" applyFill="1" applyBorder="1" applyAlignment="1" applyProtection="1">
      <alignment vertical="top"/>
      <protection hidden="1"/>
    </xf>
    <xf numFmtId="0" fontId="31" fillId="2" borderId="0" xfId="27" applyFont="1" applyFill="1" applyAlignment="1" applyProtection="1">
      <alignment vertical="top"/>
      <protection hidden="1"/>
    </xf>
    <xf numFmtId="0" fontId="31" fillId="2" borderId="3" xfId="27" applyFont="1" applyFill="1" applyBorder="1" applyAlignment="1" applyProtection="1">
      <alignment vertical="top"/>
      <protection hidden="1"/>
    </xf>
    <xf numFmtId="2" fontId="14" fillId="2" borderId="0" xfId="27" applyNumberFormat="1" applyFont="1" applyFill="1" applyAlignment="1" applyProtection="1">
      <alignment horizontal="right"/>
      <protection hidden="1"/>
    </xf>
    <xf numFmtId="2" fontId="14" fillId="2" borderId="0" xfId="27" applyNumberFormat="1" applyFont="1" applyFill="1" applyAlignment="1" applyProtection="1">
      <alignment horizontal="right" wrapText="1"/>
      <protection hidden="1"/>
    </xf>
    <xf numFmtId="0" fontId="21" fillId="11" borderId="4" xfId="27" applyFont="1" applyFill="1" applyBorder="1" applyAlignment="1" applyProtection="1">
      <alignment vertical="top"/>
      <protection hidden="1"/>
    </xf>
    <xf numFmtId="0" fontId="23" fillId="2" borderId="0" xfId="27" applyFont="1" applyFill="1" applyAlignment="1" applyProtection="1">
      <alignment vertical="center"/>
      <protection hidden="1"/>
    </xf>
    <xf numFmtId="0" fontId="23" fillId="2" borderId="3" xfId="27" applyFont="1" applyFill="1" applyBorder="1" applyAlignment="1" applyProtection="1">
      <alignment vertical="center"/>
      <protection hidden="1"/>
    </xf>
    <xf numFmtId="0" fontId="23" fillId="2" borderId="2" xfId="27" applyFont="1" applyFill="1" applyBorder="1" applyAlignment="1" applyProtection="1">
      <alignment vertical="center"/>
      <protection hidden="1"/>
    </xf>
    <xf numFmtId="0" fontId="7" fillId="2" borderId="1" xfId="3" applyFont="1" applyFill="1" applyBorder="1" applyAlignment="1" applyProtection="1">
      <alignment vertical="top"/>
      <protection hidden="1"/>
    </xf>
    <xf numFmtId="0" fontId="3" fillId="0" borderId="0" xfId="27"/>
    <xf numFmtId="0" fontId="24" fillId="16" borderId="7" xfId="0" applyFont="1" applyFill="1" applyBorder="1"/>
    <xf numFmtId="0" fontId="23" fillId="2" borderId="3" xfId="27" applyFont="1" applyFill="1" applyBorder="1" applyAlignment="1" applyProtection="1">
      <alignment vertical="top" wrapText="1"/>
      <protection hidden="1"/>
    </xf>
    <xf numFmtId="0" fontId="12" fillId="2" borderId="25" xfId="27" applyFont="1" applyFill="1" applyBorder="1" applyAlignment="1" applyProtection="1">
      <alignment horizontal="left"/>
      <protection hidden="1"/>
    </xf>
    <xf numFmtId="172" fontId="0" fillId="2" borderId="0" xfId="0" applyNumberFormat="1" applyFill="1" applyAlignment="1" applyProtection="1">
      <alignment horizontal="left"/>
      <protection hidden="1"/>
    </xf>
    <xf numFmtId="0" fontId="40" fillId="2" borderId="0" xfId="0" applyFont="1" applyFill="1"/>
    <xf numFmtId="0" fontId="6" fillId="2" borderId="0" xfId="0" applyFont="1" applyFill="1" applyAlignment="1">
      <alignment horizontal="center"/>
    </xf>
    <xf numFmtId="0" fontId="9" fillId="2" borderId="0" xfId="0" applyFont="1" applyFill="1"/>
    <xf numFmtId="0" fontId="41" fillId="2" borderId="0" xfId="0" applyFont="1" applyFill="1" applyAlignment="1">
      <alignment horizontal="center" vertical="center" readingOrder="1"/>
    </xf>
    <xf numFmtId="0" fontId="42" fillId="2" borderId="0" xfId="0" applyFont="1" applyFill="1" applyAlignment="1">
      <alignment horizontal="center"/>
    </xf>
    <xf numFmtId="0" fontId="43" fillId="2" borderId="0" xfId="0" applyFont="1" applyFill="1" applyAlignment="1">
      <alignment horizontal="center"/>
    </xf>
    <xf numFmtId="0" fontId="9" fillId="2" borderId="0" xfId="0" applyFont="1" applyFill="1" applyAlignment="1">
      <alignment horizontal="center"/>
    </xf>
    <xf numFmtId="0" fontId="0" fillId="2" borderId="0" xfId="0" applyFill="1" applyAlignment="1">
      <alignment horizontal="center"/>
    </xf>
    <xf numFmtId="0" fontId="42" fillId="2" borderId="0" xfId="0" applyFont="1" applyFill="1" applyAlignment="1">
      <alignment horizontal="left" vertical="center" readingOrder="1"/>
    </xf>
    <xf numFmtId="0" fontId="44" fillId="2" borderId="0" xfId="0" applyFont="1" applyFill="1"/>
    <xf numFmtId="0" fontId="45" fillId="2" borderId="0" xfId="0" applyFont="1" applyFill="1"/>
    <xf numFmtId="0" fontId="46" fillId="2" borderId="0" xfId="0" applyFont="1" applyFill="1" applyAlignment="1">
      <alignment horizontal="left" vertical="center"/>
    </xf>
    <xf numFmtId="0" fontId="45" fillId="2" borderId="0" xfId="0" applyFont="1" applyFill="1" applyAlignment="1">
      <alignment horizontal="left" vertical="center"/>
    </xf>
    <xf numFmtId="0" fontId="45" fillId="2" borderId="0" xfId="0" applyFont="1" applyFill="1" applyAlignment="1">
      <alignment vertical="center"/>
    </xf>
    <xf numFmtId="0" fontId="46" fillId="2" borderId="0" xfId="0" applyFont="1" applyFill="1" applyAlignment="1">
      <alignment vertical="center"/>
    </xf>
    <xf numFmtId="0" fontId="46" fillId="2" borderId="0" xfId="0" applyFont="1" applyFill="1"/>
    <xf numFmtId="0" fontId="6" fillId="2" borderId="0" xfId="2" applyFont="1" applyFill="1" applyAlignment="1" applyProtection="1">
      <alignment horizontal="right" vertical="top" wrapText="1"/>
      <protection hidden="1"/>
    </xf>
    <xf numFmtId="0" fontId="14" fillId="2" borderId="0" xfId="2" applyFont="1" applyFill="1" applyAlignment="1" applyProtection="1">
      <alignment horizontal="right" vertical="top" wrapText="1"/>
      <protection hidden="1"/>
    </xf>
    <xf numFmtId="0" fontId="45" fillId="2" borderId="0" xfId="0" applyFont="1" applyFill="1" applyAlignment="1">
      <alignment horizontal="center" vertical="center"/>
    </xf>
    <xf numFmtId="3" fontId="0" fillId="2" borderId="0" xfId="0" applyNumberFormat="1" applyFill="1" applyAlignment="1" applyProtection="1">
      <alignment horizontal="right"/>
      <protection hidden="1"/>
    </xf>
    <xf numFmtId="0" fontId="45" fillId="2" borderId="0" xfId="0" applyFont="1" applyFill="1" applyAlignment="1">
      <alignment wrapText="1"/>
    </xf>
    <xf numFmtId="0" fontId="50" fillId="2" borderId="0" xfId="0" applyFont="1" applyFill="1" applyAlignment="1">
      <alignment horizontal="left" vertical="center"/>
    </xf>
    <xf numFmtId="3" fontId="0" fillId="2" borderId="0" xfId="0" applyNumberFormat="1" applyFill="1" applyAlignment="1" applyProtection="1">
      <alignment horizontal="right" vertical="top"/>
      <protection hidden="1"/>
    </xf>
    <xf numFmtId="0" fontId="7" fillId="2" borderId="0" xfId="0" applyFont="1" applyFill="1"/>
    <xf numFmtId="0" fontId="6" fillId="2" borderId="0" xfId="0" applyFont="1" applyFill="1" applyAlignment="1" applyProtection="1">
      <alignment horizontal="left"/>
      <protection hidden="1"/>
    </xf>
    <xf numFmtId="3" fontId="6" fillId="2" borderId="0" xfId="0" applyNumberFormat="1" applyFont="1" applyFill="1" applyAlignment="1" applyProtection="1">
      <alignment horizontal="right"/>
      <protection hidden="1"/>
    </xf>
    <xf numFmtId="0" fontId="45" fillId="2" borderId="0" xfId="0" applyFont="1" applyFill="1" applyAlignment="1">
      <alignment horizontal="right" vertical="center"/>
    </xf>
    <xf numFmtId="0" fontId="27" fillId="2" borderId="0" xfId="0" applyFont="1" applyFill="1"/>
    <xf numFmtId="0" fontId="27" fillId="2" borderId="0" xfId="0" applyFont="1" applyFill="1" applyAlignment="1">
      <alignment horizontal="left"/>
    </xf>
    <xf numFmtId="0" fontId="49" fillId="2" borderId="0" xfId="18" applyFont="1" applyFill="1"/>
    <xf numFmtId="0" fontId="51" fillId="2" borderId="0" xfId="0" applyFont="1" applyFill="1"/>
    <xf numFmtId="0" fontId="8" fillId="2" borderId="0" xfId="0" applyFont="1" applyFill="1"/>
    <xf numFmtId="0" fontId="47" fillId="2" borderId="0" xfId="0" applyFont="1" applyFill="1"/>
    <xf numFmtId="0" fontId="4" fillId="2" borderId="0" xfId="27" applyFont="1" applyFill="1" applyAlignment="1" applyProtection="1">
      <alignment horizontal="left" vertical="top"/>
      <protection hidden="1"/>
    </xf>
    <xf numFmtId="3" fontId="6" fillId="2" borderId="5" xfId="27" applyNumberFormat="1" applyFont="1" applyFill="1" applyBorder="1" applyAlignment="1" applyProtection="1">
      <alignment horizontal="right"/>
      <protection hidden="1"/>
    </xf>
    <xf numFmtId="172" fontId="6" fillId="2" borderId="6" xfId="27" applyNumberFormat="1" applyFont="1" applyFill="1" applyBorder="1" applyProtection="1">
      <protection hidden="1"/>
    </xf>
    <xf numFmtId="0" fontId="26" fillId="17" borderId="29" xfId="4" applyFont="1" applyFill="1" applyBorder="1" applyAlignment="1">
      <alignment horizontal="center" wrapText="1"/>
    </xf>
    <xf numFmtId="0" fontId="6" fillId="3" borderId="0" xfId="0" applyFont="1" applyFill="1"/>
    <xf numFmtId="0" fontId="6" fillId="19" borderId="0" xfId="0" applyFont="1" applyFill="1"/>
    <xf numFmtId="0" fontId="6" fillId="20" borderId="0" xfId="0" applyFont="1" applyFill="1"/>
    <xf numFmtId="0" fontId="6" fillId="21" borderId="0" xfId="0" applyFont="1" applyFill="1"/>
    <xf numFmtId="0" fontId="30" fillId="0" borderId="0" xfId="18"/>
    <xf numFmtId="0" fontId="0" fillId="3" borderId="0" xfId="0" applyFill="1"/>
    <xf numFmtId="0" fontId="0" fillId="19" borderId="0" xfId="0" applyFill="1"/>
    <xf numFmtId="0" fontId="0" fillId="20" borderId="0" xfId="0" applyFill="1"/>
    <xf numFmtId="0" fontId="0" fillId="21" borderId="0" xfId="0" applyFill="1"/>
    <xf numFmtId="0" fontId="10" fillId="2" borderId="0" xfId="0" applyFont="1" applyFill="1"/>
    <xf numFmtId="0" fontId="49" fillId="2" borderId="0" xfId="18" quotePrefix="1" applyFont="1" applyFill="1" applyAlignment="1">
      <alignment horizontal="left" vertical="center"/>
    </xf>
    <xf numFmtId="0" fontId="0" fillId="2" borderId="30" xfId="0" applyFill="1" applyBorder="1"/>
    <xf numFmtId="0" fontId="54" fillId="2" borderId="0" xfId="0" applyFont="1" applyFill="1" applyAlignment="1">
      <alignment horizontal="left"/>
    </xf>
    <xf numFmtId="0" fontId="55" fillId="22" borderId="0" xfId="0" applyFont="1" applyFill="1" applyAlignment="1">
      <alignment horizontal="left"/>
    </xf>
    <xf numFmtId="0" fontId="55" fillId="2" borderId="0" xfId="0" applyFont="1" applyFill="1" applyAlignment="1">
      <alignment horizontal="left"/>
    </xf>
    <xf numFmtId="0" fontId="46" fillId="0" borderId="0" xfId="0" applyFont="1" applyAlignment="1">
      <alignment horizontal="left" wrapText="1"/>
    </xf>
    <xf numFmtId="0" fontId="46" fillId="0" borderId="31" xfId="0" applyFont="1" applyBorder="1" applyAlignment="1">
      <alignment horizontal="left" wrapText="1"/>
    </xf>
    <xf numFmtId="0" fontId="46" fillId="0" borderId="32" xfId="0" applyFont="1" applyBorder="1" applyAlignment="1">
      <alignment horizontal="left" wrapText="1"/>
    </xf>
    <xf numFmtId="0" fontId="46" fillId="0" borderId="33" xfId="0" applyFont="1" applyBorder="1" applyAlignment="1">
      <alignment horizontal="left" wrapText="1"/>
    </xf>
    <xf numFmtId="0" fontId="55" fillId="2" borderId="35" xfId="0" applyFont="1" applyFill="1" applyBorder="1" applyAlignment="1">
      <alignment horizontal="left"/>
    </xf>
    <xf numFmtId="0" fontId="0" fillId="0" borderId="36" xfId="0" applyBorder="1"/>
    <xf numFmtId="0" fontId="0" fillId="0" borderId="33" xfId="0" applyBorder="1"/>
    <xf numFmtId="0" fontId="0" fillId="2" borderId="33" xfId="0" applyFill="1" applyBorder="1"/>
    <xf numFmtId="0" fontId="14" fillId="3" borderId="44" xfId="18" applyFont="1" applyFill="1" applyBorder="1" applyProtection="1">
      <protection hidden="1"/>
    </xf>
    <xf numFmtId="0" fontId="46" fillId="0" borderId="34" xfId="0" applyFont="1" applyBorder="1" applyAlignment="1">
      <alignment horizontal="left" wrapText="1"/>
    </xf>
    <xf numFmtId="0" fontId="14" fillId="2" borderId="13" xfId="27" applyFont="1" applyFill="1" applyBorder="1" applyAlignment="1" applyProtection="1">
      <alignment horizontal="right" wrapText="1"/>
      <protection hidden="1"/>
    </xf>
    <xf numFmtId="0" fontId="14" fillId="2" borderId="24" xfId="27" applyFont="1" applyFill="1" applyBorder="1" applyAlignment="1" applyProtection="1">
      <alignment horizontal="right" wrapText="1"/>
      <protection hidden="1"/>
    </xf>
    <xf numFmtId="0" fontId="56" fillId="2" borderId="0" xfId="27" applyFont="1" applyFill="1" applyAlignment="1" applyProtection="1">
      <alignment horizontal="left" vertical="top"/>
      <protection hidden="1"/>
    </xf>
    <xf numFmtId="0" fontId="56" fillId="2" borderId="0" xfId="27" applyFont="1" applyFill="1" applyAlignment="1" applyProtection="1">
      <alignment vertical="top"/>
      <protection hidden="1"/>
    </xf>
    <xf numFmtId="0" fontId="57" fillId="2" borderId="0" xfId="27" applyFont="1" applyFill="1" applyProtection="1">
      <protection hidden="1"/>
    </xf>
    <xf numFmtId="165" fontId="4" fillId="2" borderId="0" xfId="29" applyNumberFormat="1" applyFont="1" applyFill="1" applyProtection="1">
      <protection hidden="1"/>
    </xf>
    <xf numFmtId="0" fontId="56" fillId="2" borderId="1" xfId="27" applyFont="1" applyFill="1" applyBorder="1" applyProtection="1">
      <protection hidden="1"/>
    </xf>
    <xf numFmtId="169" fontId="4" fillId="2" borderId="0" xfId="28" applyNumberFormat="1" applyFont="1" applyFill="1" applyBorder="1" applyAlignment="1" applyProtection="1">
      <alignment horizontal="right"/>
      <protection hidden="1"/>
    </xf>
    <xf numFmtId="0" fontId="36" fillId="2" borderId="0" xfId="27" applyFont="1" applyFill="1" applyProtection="1">
      <protection hidden="1"/>
    </xf>
    <xf numFmtId="0" fontId="4" fillId="2" borderId="8" xfId="27" applyFont="1" applyFill="1" applyBorder="1" applyAlignment="1" applyProtection="1">
      <alignment horizontal="left"/>
      <protection hidden="1"/>
    </xf>
    <xf numFmtId="0" fontId="4" fillId="2" borderId="1" xfId="27" applyFont="1" applyFill="1" applyBorder="1" applyAlignment="1" applyProtection="1">
      <alignment horizontal="left"/>
      <protection hidden="1"/>
    </xf>
    <xf numFmtId="0" fontId="4" fillId="2" borderId="5" xfId="27" applyFont="1" applyFill="1" applyBorder="1" applyProtection="1">
      <protection hidden="1"/>
    </xf>
    <xf numFmtId="0" fontId="4" fillId="2" borderId="11" xfId="27" applyFont="1" applyFill="1" applyBorder="1" applyAlignment="1" applyProtection="1">
      <alignment horizontal="left"/>
      <protection hidden="1"/>
    </xf>
    <xf numFmtId="0" fontId="4" fillId="2" borderId="0" xfId="27" applyFont="1" applyFill="1" applyProtection="1">
      <protection hidden="1"/>
    </xf>
    <xf numFmtId="3" fontId="4" fillId="2" borderId="0" xfId="27" applyNumberFormat="1" applyFont="1" applyFill="1" applyAlignment="1" applyProtection="1">
      <alignment horizontal="right"/>
      <protection hidden="1"/>
    </xf>
    <xf numFmtId="0" fontId="37" fillId="4" borderId="23" xfId="27" applyFont="1" applyFill="1" applyBorder="1" applyAlignment="1" applyProtection="1">
      <alignment horizontal="right"/>
      <protection hidden="1"/>
    </xf>
    <xf numFmtId="171" fontId="4" fillId="2" borderId="0" xfId="27" applyNumberFormat="1" applyFont="1" applyFill="1" applyAlignment="1" applyProtection="1">
      <alignment horizontal="right"/>
      <protection hidden="1"/>
    </xf>
    <xf numFmtId="171" fontId="4" fillId="5" borderId="24" xfId="27" applyNumberFormat="1" applyFont="1" applyFill="1" applyBorder="1" applyAlignment="1" applyProtection="1">
      <alignment horizontal="right"/>
      <protection hidden="1"/>
    </xf>
    <xf numFmtId="171" fontId="4" fillId="5" borderId="13" xfId="27" applyNumberFormat="1" applyFont="1" applyFill="1" applyBorder="1" applyAlignment="1" applyProtection="1">
      <alignment horizontal="right"/>
      <protection hidden="1"/>
    </xf>
    <xf numFmtId="0" fontId="4" fillId="2" borderId="2" xfId="27" applyFont="1" applyFill="1" applyBorder="1" applyAlignment="1" applyProtection="1">
      <alignment horizontal="left"/>
      <protection hidden="1"/>
    </xf>
    <xf numFmtId="169" fontId="4" fillId="2" borderId="0" xfId="27" applyNumberFormat="1" applyFont="1" applyFill="1" applyAlignment="1" applyProtection="1">
      <alignment horizontal="right"/>
      <protection hidden="1"/>
    </xf>
    <xf numFmtId="0" fontId="37" fillId="4" borderId="13" xfId="27" applyFont="1" applyFill="1" applyBorder="1" applyAlignment="1" applyProtection="1">
      <alignment horizontal="right"/>
      <protection hidden="1"/>
    </xf>
    <xf numFmtId="171" fontId="4" fillId="5" borderId="12" xfId="27" applyNumberFormat="1" applyFont="1" applyFill="1" applyBorder="1" applyAlignment="1" applyProtection="1">
      <alignment horizontal="right"/>
      <protection hidden="1"/>
    </xf>
    <xf numFmtId="0" fontId="59" fillId="2" borderId="0" xfId="27" applyFont="1" applyFill="1" applyAlignment="1" applyProtection="1">
      <alignment horizontal="right"/>
      <protection hidden="1"/>
    </xf>
    <xf numFmtId="0" fontId="59" fillId="2" borderId="13" xfId="27" applyFont="1" applyFill="1" applyBorder="1" applyAlignment="1" applyProtection="1">
      <alignment horizontal="right"/>
      <protection hidden="1"/>
    </xf>
    <xf numFmtId="0" fontId="59" fillId="2" borderId="18" xfId="27" applyFont="1" applyFill="1" applyBorder="1" applyAlignment="1" applyProtection="1">
      <alignment horizontal="right"/>
      <protection hidden="1"/>
    </xf>
    <xf numFmtId="0" fontId="59" fillId="2" borderId="5" xfId="27" applyFont="1" applyFill="1" applyBorder="1" applyAlignment="1" applyProtection="1">
      <alignment horizontal="right"/>
      <protection hidden="1"/>
    </xf>
    <xf numFmtId="0" fontId="59" fillId="24" borderId="5" xfId="27" applyFont="1" applyFill="1" applyBorder="1" applyAlignment="1" applyProtection="1">
      <alignment horizontal="right"/>
      <protection hidden="1"/>
    </xf>
    <xf numFmtId="0" fontId="59" fillId="25" borderId="5" xfId="27" applyFont="1" applyFill="1" applyBorder="1" applyAlignment="1" applyProtection="1">
      <alignment horizontal="right"/>
      <protection hidden="1"/>
    </xf>
    <xf numFmtId="0" fontId="17" fillId="26" borderId="23" xfId="27" applyFont="1" applyFill="1" applyBorder="1" applyAlignment="1" applyProtection="1">
      <alignment horizontal="right"/>
      <protection hidden="1"/>
    </xf>
    <xf numFmtId="0" fontId="60" fillId="2" borderId="0" xfId="0" applyFont="1" applyFill="1" applyAlignment="1">
      <alignment horizontal="right"/>
    </xf>
    <xf numFmtId="0" fontId="4" fillId="2" borderId="0" xfId="12" applyFill="1"/>
    <xf numFmtId="0" fontId="62" fillId="23" borderId="5" xfId="0" applyFont="1" applyFill="1" applyBorder="1" applyAlignment="1">
      <alignment wrapText="1"/>
    </xf>
    <xf numFmtId="0" fontId="62" fillId="23" borderId="6" xfId="0" applyFont="1" applyFill="1" applyBorder="1" applyAlignment="1">
      <alignment wrapText="1"/>
    </xf>
    <xf numFmtId="173" fontId="27" fillId="0" borderId="45" xfId="0" applyNumberFormat="1" applyFont="1" applyBorder="1" applyAlignment="1">
      <alignment horizontal="left" vertical="top"/>
    </xf>
    <xf numFmtId="49" fontId="27" fillId="0" borderId="38" xfId="0" applyNumberFormat="1" applyFont="1" applyBorder="1" applyAlignment="1">
      <alignment horizontal="left" vertical="top"/>
    </xf>
    <xf numFmtId="0" fontId="27" fillId="0" borderId="39" xfId="0" applyFont="1" applyBorder="1" applyAlignment="1">
      <alignment horizontal="left" vertical="top"/>
    </xf>
    <xf numFmtId="173" fontId="27" fillId="0" borderId="37" xfId="0" applyNumberFormat="1" applyFont="1" applyBorder="1" applyAlignment="1">
      <alignment horizontal="left" vertical="top"/>
    </xf>
    <xf numFmtId="174" fontId="27" fillId="0" borderId="38" xfId="0" applyNumberFormat="1" applyFont="1" applyBorder="1" applyAlignment="1">
      <alignment horizontal="left" vertical="top"/>
    </xf>
    <xf numFmtId="0" fontId="27" fillId="0" borderId="39" xfId="0" applyFont="1" applyBorder="1" applyAlignment="1">
      <alignment horizontal="left" vertical="top" wrapText="1"/>
    </xf>
    <xf numFmtId="175" fontId="27" fillId="0" borderId="38" xfId="0" applyNumberFormat="1" applyFont="1" applyBorder="1" applyAlignment="1">
      <alignment horizontal="left" vertical="top"/>
    </xf>
    <xf numFmtId="0" fontId="27" fillId="0" borderId="40" xfId="0" applyFont="1" applyBorder="1"/>
    <xf numFmtId="0" fontId="27" fillId="0" borderId="41" xfId="0" applyFont="1" applyBorder="1"/>
    <xf numFmtId="0" fontId="27" fillId="0" borderId="33" xfId="0" applyFont="1" applyBorder="1"/>
    <xf numFmtId="0" fontId="27" fillId="0" borderId="3" xfId="0" applyFont="1" applyBorder="1"/>
    <xf numFmtId="0" fontId="27" fillId="0" borderId="46" xfId="0" applyFont="1" applyBorder="1"/>
    <xf numFmtId="0" fontId="27" fillId="0" borderId="42" xfId="0" applyFont="1" applyBorder="1"/>
    <xf numFmtId="0" fontId="27" fillId="0" borderId="43" xfId="0" applyFont="1" applyBorder="1"/>
    <xf numFmtId="0" fontId="27" fillId="0" borderId="36" xfId="0" applyFont="1" applyBorder="1"/>
    <xf numFmtId="0" fontId="61" fillId="2" borderId="36" xfId="0" applyFont="1" applyFill="1" applyBorder="1"/>
    <xf numFmtId="0" fontId="27" fillId="2" borderId="36" xfId="0" applyFont="1" applyFill="1" applyBorder="1"/>
    <xf numFmtId="0" fontId="27" fillId="2" borderId="33" xfId="0" applyFont="1" applyFill="1" applyBorder="1"/>
    <xf numFmtId="0" fontId="45" fillId="2" borderId="36" xfId="0" applyFont="1" applyFill="1" applyBorder="1" applyAlignment="1">
      <alignment vertical="center"/>
    </xf>
    <xf numFmtId="0" fontId="63" fillId="2" borderId="0" xfId="0" applyFont="1" applyFill="1" applyAlignment="1">
      <alignment horizontal="center" vertical="center" readingOrder="1"/>
    </xf>
    <xf numFmtId="0" fontId="64" fillId="2" borderId="0" xfId="0" applyFont="1" applyFill="1" applyAlignment="1">
      <alignment horizontal="center"/>
    </xf>
    <xf numFmtId="0" fontId="65" fillId="2" borderId="0" xfId="0" applyFont="1" applyFill="1"/>
    <xf numFmtId="0" fontId="66" fillId="2" borderId="0" xfId="0" applyFont="1" applyFill="1" applyAlignment="1">
      <alignment horizontal="center"/>
    </xf>
    <xf numFmtId="0" fontId="23" fillId="2" borderId="2" xfId="27" applyFont="1" applyFill="1" applyBorder="1" applyAlignment="1" applyProtection="1">
      <alignment vertical="top" wrapText="1"/>
      <protection hidden="1"/>
    </xf>
    <xf numFmtId="169" fontId="12" fillId="2" borderId="5" xfId="27" applyNumberFormat="1" applyFont="1" applyFill="1" applyBorder="1" applyProtection="1">
      <protection hidden="1"/>
    </xf>
    <xf numFmtId="169" fontId="12" fillId="2" borderId="5" xfId="27" applyNumberFormat="1" applyFont="1" applyFill="1" applyBorder="1" applyAlignment="1" applyProtection="1">
      <alignment horizontal="right"/>
      <protection hidden="1"/>
    </xf>
    <xf numFmtId="169" fontId="12" fillId="2" borderId="0" xfId="27" applyNumberFormat="1" applyFont="1" applyFill="1" applyAlignment="1" applyProtection="1">
      <alignment horizontal="right"/>
      <protection hidden="1"/>
    </xf>
    <xf numFmtId="3" fontId="6" fillId="2" borderId="5" xfId="27" applyNumberFormat="1" applyFont="1" applyFill="1" applyBorder="1" applyProtection="1">
      <protection hidden="1"/>
    </xf>
    <xf numFmtId="0" fontId="49" fillId="2" borderId="0" xfId="18" applyFont="1" applyFill="1" applyAlignment="1">
      <alignment horizontal="left" vertical="center"/>
    </xf>
    <xf numFmtId="0" fontId="0" fillId="2" borderId="0" xfId="0" applyFill="1" applyAlignment="1">
      <alignment wrapText="1"/>
    </xf>
    <xf numFmtId="0" fontId="10" fillId="2" borderId="0" xfId="0" applyFont="1" applyFill="1" applyAlignment="1">
      <alignment horizontal="center"/>
    </xf>
    <xf numFmtId="0" fontId="27" fillId="2" borderId="0" xfId="0" applyFont="1" applyFill="1" applyAlignment="1">
      <alignment vertical="center" wrapText="1"/>
    </xf>
    <xf numFmtId="0" fontId="15" fillId="2" borderId="0" xfId="0" applyFont="1" applyFill="1" applyAlignment="1">
      <alignment vertical="center" wrapText="1"/>
    </xf>
    <xf numFmtId="3" fontId="0" fillId="2" borderId="5" xfId="0" applyNumberFormat="1" applyFill="1" applyBorder="1" applyAlignment="1" applyProtection="1">
      <alignment horizontal="left"/>
      <protection hidden="1"/>
    </xf>
    <xf numFmtId="0" fontId="24" fillId="16" borderId="7" xfId="0" applyFont="1" applyFill="1" applyBorder="1" applyAlignment="1">
      <alignment wrapText="1"/>
    </xf>
    <xf numFmtId="3" fontId="4" fillId="2" borderId="0" xfId="27" applyNumberFormat="1" applyFont="1" applyFill="1" applyAlignment="1" applyProtection="1">
      <alignment horizontal="left" vertical="top"/>
      <protection hidden="1"/>
    </xf>
    <xf numFmtId="0" fontId="6" fillId="2" borderId="0" xfId="27" applyFont="1" applyFill="1" applyAlignment="1" applyProtection="1">
      <alignment horizontal="right" vertical="top"/>
      <protection hidden="1"/>
    </xf>
    <xf numFmtId="0" fontId="14" fillId="2" borderId="0" xfId="27" applyFont="1" applyFill="1" applyAlignment="1" applyProtection="1">
      <alignment horizontal="right" vertical="top"/>
      <protection hidden="1"/>
    </xf>
    <xf numFmtId="0" fontId="61" fillId="2" borderId="0" xfId="0" applyFont="1" applyFill="1"/>
    <xf numFmtId="0" fontId="27" fillId="27" borderId="0" xfId="0" applyFont="1" applyFill="1" applyAlignment="1">
      <alignment vertical="center" wrapText="1"/>
    </xf>
    <xf numFmtId="0" fontId="27" fillId="2" borderId="0" xfId="0" applyFont="1" applyFill="1" applyAlignment="1">
      <alignment wrapText="1"/>
    </xf>
    <xf numFmtId="0" fontId="4" fillId="0" borderId="0" xfId="0" applyFont="1"/>
    <xf numFmtId="171" fontId="4" fillId="5" borderId="47" xfId="27" applyNumberFormat="1" applyFont="1" applyFill="1" applyBorder="1" applyAlignment="1" applyProtection="1">
      <alignment horizontal="right"/>
      <protection hidden="1"/>
    </xf>
    <xf numFmtId="171" fontId="4" fillId="5" borderId="48" xfId="27" applyNumberFormat="1" applyFont="1" applyFill="1" applyBorder="1" applyAlignment="1" applyProtection="1">
      <alignment horizontal="right"/>
      <protection hidden="1"/>
    </xf>
    <xf numFmtId="171" fontId="4" fillId="5" borderId="49" xfId="27" applyNumberFormat="1" applyFont="1" applyFill="1" applyBorder="1" applyAlignment="1" applyProtection="1">
      <alignment horizontal="right"/>
      <protection hidden="1"/>
    </xf>
    <xf numFmtId="0" fontId="23" fillId="2" borderId="2" xfId="27" quotePrefix="1" applyFont="1" applyFill="1" applyBorder="1" applyProtection="1">
      <protection hidden="1"/>
    </xf>
    <xf numFmtId="0" fontId="67" fillId="2" borderId="0" xfId="18" applyFont="1" applyFill="1" applyBorder="1" applyAlignment="1">
      <alignment horizontal="center" vertical="center" readingOrder="1"/>
    </xf>
    <xf numFmtId="0" fontId="68" fillId="2" borderId="0" xfId="18" applyFont="1" applyFill="1" applyBorder="1" applyAlignment="1">
      <alignment horizontal="center" vertical="center" readingOrder="1"/>
    </xf>
    <xf numFmtId="0" fontId="69" fillId="2" borderId="0" xfId="18" applyFont="1" applyFill="1" applyBorder="1" applyAlignment="1">
      <alignment horizontal="center" vertical="center" readingOrder="1"/>
    </xf>
    <xf numFmtId="171" fontId="6" fillId="5" borderId="49" xfId="27" applyNumberFormat="1" applyFont="1" applyFill="1" applyBorder="1" applyAlignment="1" applyProtection="1">
      <alignment horizontal="right"/>
      <protection hidden="1"/>
    </xf>
    <xf numFmtId="171" fontId="6" fillId="5" borderId="23" xfId="27" applyNumberFormat="1" applyFont="1" applyFill="1" applyBorder="1" applyAlignment="1" applyProtection="1">
      <alignment horizontal="right"/>
      <protection hidden="1"/>
    </xf>
    <xf numFmtId="171" fontId="6" fillId="5" borderId="13" xfId="27" applyNumberFormat="1" applyFont="1" applyFill="1" applyBorder="1" applyAlignment="1" applyProtection="1">
      <alignment horizontal="right"/>
      <protection hidden="1"/>
    </xf>
    <xf numFmtId="17" fontId="27" fillId="0" borderId="38" xfId="0" quotePrefix="1" applyNumberFormat="1" applyFont="1" applyBorder="1" applyAlignment="1">
      <alignment horizontal="left" vertical="top"/>
    </xf>
    <xf numFmtId="0" fontId="2" fillId="2" borderId="0" xfId="27" applyFont="1" applyFill="1" applyAlignment="1" applyProtection="1">
      <alignment vertical="top"/>
      <protection hidden="1"/>
    </xf>
    <xf numFmtId="0" fontId="11" fillId="0" borderId="0" xfId="27" applyFont="1" applyAlignment="1" applyProtection="1">
      <alignment vertical="top"/>
      <protection locked="0"/>
    </xf>
    <xf numFmtId="0" fontId="30" fillId="2" borderId="0" xfId="18" applyFill="1" applyAlignment="1" applyProtection="1">
      <alignment vertical="top"/>
      <protection hidden="1"/>
    </xf>
    <xf numFmtId="0" fontId="2" fillId="2" borderId="51" xfId="27" applyFont="1" applyFill="1" applyBorder="1" applyAlignment="1" applyProtection="1">
      <alignment vertical="top"/>
      <protection hidden="1"/>
    </xf>
    <xf numFmtId="0" fontId="11" fillId="2" borderId="51" xfId="27" applyFont="1" applyFill="1" applyBorder="1" applyAlignment="1" applyProtection="1">
      <alignment vertical="top"/>
      <protection hidden="1"/>
    </xf>
    <xf numFmtId="0" fontId="2" fillId="2" borderId="0" xfId="27" applyFont="1" applyFill="1" applyProtection="1">
      <protection hidden="1"/>
    </xf>
    <xf numFmtId="0" fontId="12" fillId="0" borderId="0" xfId="27" applyFont="1" applyProtection="1">
      <protection hidden="1"/>
    </xf>
    <xf numFmtId="0" fontId="6" fillId="11" borderId="50" xfId="27" applyFont="1" applyFill="1" applyBorder="1" applyAlignment="1" applyProtection="1">
      <alignment horizontal="left"/>
      <protection hidden="1"/>
    </xf>
    <xf numFmtId="0" fontId="2" fillId="11" borderId="51" xfId="27" applyFont="1" applyFill="1" applyBorder="1" applyProtection="1">
      <protection hidden="1"/>
    </xf>
    <xf numFmtId="0" fontId="6" fillId="11" borderId="51" xfId="27" applyFont="1" applyFill="1" applyBorder="1" applyAlignment="1" applyProtection="1">
      <alignment horizontal="right"/>
      <protection hidden="1"/>
    </xf>
    <xf numFmtId="0" fontId="6" fillId="11" borderId="52" xfId="27" applyFont="1" applyFill="1" applyBorder="1" applyAlignment="1" applyProtection="1">
      <alignment horizontal="right"/>
      <protection hidden="1"/>
    </xf>
    <xf numFmtId="169" fontId="2" fillId="2" borderId="0" xfId="27" applyNumberFormat="1" applyFont="1" applyFill="1" applyProtection="1">
      <protection hidden="1"/>
    </xf>
    <xf numFmtId="0" fontId="2" fillId="2" borderId="25" xfId="27" applyFont="1" applyFill="1" applyBorder="1" applyProtection="1">
      <protection hidden="1"/>
    </xf>
    <xf numFmtId="0" fontId="2" fillId="2" borderId="50" xfId="27" applyFont="1" applyFill="1" applyBorder="1" applyProtection="1">
      <protection hidden="1"/>
    </xf>
    <xf numFmtId="0" fontId="59" fillId="2" borderId="51" xfId="27" applyFont="1" applyFill="1" applyBorder="1" applyAlignment="1" applyProtection="1">
      <alignment horizontal="right"/>
      <protection hidden="1"/>
    </xf>
    <xf numFmtId="169" fontId="4" fillId="2" borderId="51" xfId="27" applyNumberFormat="1" applyFont="1" applyFill="1" applyBorder="1" applyProtection="1">
      <protection hidden="1"/>
    </xf>
    <xf numFmtId="169" fontId="22" fillId="2" borderId="53" xfId="27" applyNumberFormat="1" applyFont="1" applyFill="1" applyBorder="1" applyProtection="1">
      <protection hidden="1"/>
    </xf>
    <xf numFmtId="0" fontId="22" fillId="2" borderId="51" xfId="27" applyFont="1" applyFill="1" applyBorder="1" applyAlignment="1" applyProtection="1">
      <alignment horizontal="left"/>
      <protection hidden="1"/>
    </xf>
    <xf numFmtId="0" fontId="22" fillId="2" borderId="51" xfId="27" applyFont="1" applyFill="1" applyBorder="1" applyProtection="1">
      <protection hidden="1"/>
    </xf>
    <xf numFmtId="169" fontId="22" fillId="2" borderId="51" xfId="27" applyNumberFormat="1" applyFont="1" applyFill="1" applyBorder="1" applyAlignment="1" applyProtection="1">
      <alignment horizontal="right"/>
      <protection hidden="1"/>
    </xf>
    <xf numFmtId="169" fontId="22" fillId="2" borderId="52" xfId="27" applyNumberFormat="1" applyFont="1" applyFill="1" applyBorder="1" applyProtection="1">
      <protection hidden="1"/>
    </xf>
    <xf numFmtId="0" fontId="4" fillId="2" borderId="50" xfId="27" applyFont="1" applyFill="1" applyBorder="1" applyAlignment="1" applyProtection="1">
      <alignment horizontal="left"/>
      <protection hidden="1"/>
    </xf>
    <xf numFmtId="0" fontId="7" fillId="2" borderId="51" xfId="27" applyFont="1" applyFill="1" applyBorder="1" applyProtection="1">
      <protection hidden="1"/>
    </xf>
    <xf numFmtId="0" fontId="4" fillId="2" borderId="51" xfId="27" applyFont="1" applyFill="1" applyBorder="1" applyProtection="1">
      <protection hidden="1"/>
    </xf>
    <xf numFmtId="3" fontId="37" fillId="2" borderId="51" xfId="27" applyNumberFormat="1" applyFont="1" applyFill="1" applyBorder="1" applyAlignment="1" applyProtection="1">
      <alignment horizontal="right"/>
      <protection hidden="1"/>
    </xf>
    <xf numFmtId="3" fontId="4" fillId="2" borderId="51" xfId="27" applyNumberFormat="1" applyFont="1" applyFill="1" applyBorder="1" applyProtection="1">
      <protection hidden="1"/>
    </xf>
    <xf numFmtId="3" fontId="4" fillId="2" borderId="52" xfId="27" applyNumberFormat="1" applyFont="1" applyFill="1" applyBorder="1" applyProtection="1">
      <protection hidden="1"/>
    </xf>
    <xf numFmtId="0" fontId="6" fillId="2" borderId="50" xfId="27" applyFont="1" applyFill="1" applyBorder="1" applyAlignment="1" applyProtection="1">
      <alignment horizontal="left"/>
      <protection hidden="1"/>
    </xf>
    <xf numFmtId="170" fontId="6" fillId="2" borderId="51" xfId="27" applyNumberFormat="1" applyFont="1" applyFill="1" applyBorder="1" applyProtection="1">
      <protection hidden="1"/>
    </xf>
    <xf numFmtId="172" fontId="6" fillId="2" borderId="51" xfId="27" applyNumberFormat="1" applyFont="1" applyFill="1" applyBorder="1" applyProtection="1">
      <protection hidden="1"/>
    </xf>
    <xf numFmtId="172" fontId="6" fillId="2" borderId="52" xfId="27" applyNumberFormat="1" applyFont="1" applyFill="1" applyBorder="1" applyProtection="1">
      <protection hidden="1"/>
    </xf>
    <xf numFmtId="3" fontId="6" fillId="2" borderId="51" xfId="27" applyNumberFormat="1" applyFont="1" applyFill="1" applyBorder="1" applyProtection="1">
      <protection hidden="1"/>
    </xf>
    <xf numFmtId="3" fontId="6" fillId="2" borderId="52" xfId="27" applyNumberFormat="1" applyFont="1" applyFill="1" applyBorder="1" applyProtection="1">
      <protection hidden="1"/>
    </xf>
    <xf numFmtId="0" fontId="6" fillId="2" borderId="51" xfId="27" applyFont="1" applyFill="1" applyBorder="1" applyProtection="1">
      <protection hidden="1"/>
    </xf>
    <xf numFmtId="0" fontId="23" fillId="2" borderId="50" xfId="27" applyFont="1" applyFill="1" applyBorder="1" applyProtection="1">
      <protection hidden="1"/>
    </xf>
    <xf numFmtId="165" fontId="12" fillId="2" borderId="51" xfId="29" applyNumberFormat="1" applyFont="1" applyFill="1" applyBorder="1" applyAlignment="1" applyProtection="1">
      <alignment horizontal="right" wrapText="1"/>
      <protection hidden="1"/>
    </xf>
    <xf numFmtId="165" fontId="12" fillId="2" borderId="52" xfId="29" applyNumberFormat="1" applyFont="1" applyFill="1" applyBorder="1" applyAlignment="1" applyProtection="1">
      <alignment horizontal="right" wrapText="1"/>
      <protection hidden="1"/>
    </xf>
    <xf numFmtId="0" fontId="39" fillId="11" borderId="50" xfId="27" applyFont="1" applyFill="1" applyBorder="1" applyAlignment="1" applyProtection="1">
      <alignment horizontal="left"/>
      <protection hidden="1"/>
    </xf>
    <xf numFmtId="0" fontId="2" fillId="11" borderId="0" xfId="27" applyFont="1" applyFill="1" applyProtection="1">
      <protection hidden="1"/>
    </xf>
    <xf numFmtId="0" fontId="37" fillId="2" borderId="53" xfId="27" applyFont="1" applyFill="1" applyBorder="1" applyAlignment="1" applyProtection="1">
      <alignment horizontal="right"/>
      <protection hidden="1"/>
    </xf>
    <xf numFmtId="0" fontId="59" fillId="2" borderId="55" xfId="27" applyFont="1" applyFill="1" applyBorder="1" applyAlignment="1" applyProtection="1">
      <alignment horizontal="right"/>
      <protection hidden="1"/>
    </xf>
    <xf numFmtId="0" fontId="59" fillId="2" borderId="52" xfId="27" applyFont="1" applyFill="1" applyBorder="1" applyAlignment="1" applyProtection="1">
      <alignment horizontal="right"/>
      <protection hidden="1"/>
    </xf>
    <xf numFmtId="165" fontId="4" fillId="2" borderId="52" xfId="29" applyNumberFormat="1" applyFont="1" applyFill="1" applyBorder="1" applyProtection="1">
      <protection hidden="1"/>
    </xf>
    <xf numFmtId="0" fontId="38" fillId="2" borderId="0" xfId="27" applyFont="1" applyFill="1" applyAlignment="1" applyProtection="1">
      <alignment horizontal="right"/>
      <protection hidden="1"/>
    </xf>
    <xf numFmtId="165" fontId="22" fillId="2" borderId="53" xfId="29" applyNumberFormat="1" applyFont="1" applyFill="1" applyBorder="1" applyProtection="1">
      <protection hidden="1"/>
    </xf>
    <xf numFmtId="165" fontId="2" fillId="2" borderId="0" xfId="27" applyNumberFormat="1" applyFont="1" applyFill="1" applyProtection="1">
      <protection hidden="1"/>
    </xf>
    <xf numFmtId="165" fontId="19" fillId="5" borderId="55" xfId="29" applyNumberFormat="1" applyFont="1" applyFill="1" applyBorder="1" applyProtection="1">
      <protection hidden="1"/>
    </xf>
    <xf numFmtId="165" fontId="22" fillId="2" borderId="52" xfId="29" applyNumberFormat="1" applyFont="1" applyFill="1" applyBorder="1" applyProtection="1">
      <protection hidden="1"/>
    </xf>
    <xf numFmtId="165" fontId="4" fillId="2" borderId="53" xfId="29" applyNumberFormat="1" applyFont="1" applyFill="1" applyBorder="1" applyProtection="1">
      <protection hidden="1"/>
    </xf>
    <xf numFmtId="0" fontId="2" fillId="2" borderId="50" xfId="27" applyFont="1" applyFill="1" applyBorder="1" applyAlignment="1" applyProtection="1">
      <alignment horizontal="left"/>
      <protection hidden="1"/>
    </xf>
    <xf numFmtId="0" fontId="2" fillId="2" borderId="51" xfId="27" applyFont="1" applyFill="1" applyBorder="1" applyProtection="1">
      <protection hidden="1"/>
    </xf>
    <xf numFmtId="165" fontId="37" fillId="2" borderId="51" xfId="27" applyNumberFormat="1" applyFont="1" applyFill="1" applyBorder="1" applyAlignment="1" applyProtection="1">
      <alignment horizontal="right"/>
      <protection hidden="1"/>
    </xf>
    <xf numFmtId="165" fontId="4" fillId="2" borderId="51" xfId="27" applyNumberFormat="1" applyFont="1" applyFill="1" applyBorder="1" applyProtection="1">
      <protection hidden="1"/>
    </xf>
    <xf numFmtId="165" fontId="6" fillId="2" borderId="51" xfId="29" applyNumberFormat="1" applyFont="1" applyFill="1" applyBorder="1" applyProtection="1">
      <protection hidden="1"/>
    </xf>
    <xf numFmtId="165" fontId="6" fillId="2" borderId="52" xfId="29" applyNumberFormat="1" applyFont="1" applyFill="1" applyBorder="1" applyProtection="1">
      <protection hidden="1"/>
    </xf>
    <xf numFmtId="3" fontId="6" fillId="2" borderId="53" xfId="27" applyNumberFormat="1" applyFont="1" applyFill="1" applyBorder="1" applyProtection="1">
      <protection hidden="1"/>
    </xf>
    <xf numFmtId="0" fontId="23" fillId="2" borderId="0" xfId="27" applyFont="1" applyFill="1" applyAlignment="1" applyProtection="1">
      <alignment vertical="top" wrapText="1"/>
      <protection hidden="1"/>
    </xf>
    <xf numFmtId="0" fontId="2" fillId="2" borderId="2" xfId="27" applyFont="1" applyFill="1" applyBorder="1" applyProtection="1">
      <protection hidden="1"/>
    </xf>
    <xf numFmtId="3" fontId="2" fillId="2" borderId="0" xfId="27" applyNumberFormat="1" applyFont="1" applyFill="1" applyAlignment="1" applyProtection="1">
      <alignment horizontal="right"/>
      <protection hidden="1"/>
    </xf>
    <xf numFmtId="0" fontId="15" fillId="11" borderId="25" xfId="27" applyFont="1" applyFill="1" applyBorder="1" applyAlignment="1" applyProtection="1">
      <alignment horizontal="left" vertical="top"/>
      <protection hidden="1"/>
    </xf>
    <xf numFmtId="0" fontId="16" fillId="11" borderId="53" xfId="27" applyFont="1" applyFill="1" applyBorder="1" applyAlignment="1" applyProtection="1">
      <alignment vertical="top"/>
      <protection hidden="1"/>
    </xf>
    <xf numFmtId="0" fontId="2" fillId="2" borderId="0" xfId="27" applyFont="1" applyFill="1" applyAlignment="1" applyProtection="1">
      <alignment horizontal="left"/>
      <protection hidden="1"/>
    </xf>
    <xf numFmtId="0" fontId="4" fillId="2" borderId="25" xfId="27" applyFont="1" applyFill="1" applyBorder="1" applyProtection="1">
      <protection hidden="1"/>
    </xf>
    <xf numFmtId="0" fontId="2" fillId="2" borderId="4" xfId="27" applyFont="1" applyFill="1" applyBorder="1" applyProtection="1">
      <protection hidden="1"/>
    </xf>
    <xf numFmtId="0" fontId="2" fillId="2" borderId="53" xfId="27" applyFont="1" applyFill="1" applyBorder="1" applyProtection="1">
      <protection hidden="1"/>
    </xf>
    <xf numFmtId="0" fontId="2" fillId="2" borderId="3" xfId="27" applyFont="1" applyFill="1" applyBorder="1" applyProtection="1">
      <protection hidden="1"/>
    </xf>
    <xf numFmtId="0" fontId="7" fillId="2" borderId="25" xfId="27" applyFont="1" applyFill="1" applyBorder="1" applyProtection="1">
      <protection hidden="1"/>
    </xf>
    <xf numFmtId="0" fontId="7" fillId="2" borderId="50" xfId="27" applyFont="1" applyFill="1" applyBorder="1" applyAlignment="1" applyProtection="1">
      <alignment vertical="top"/>
      <protection hidden="1"/>
    </xf>
    <xf numFmtId="2" fontId="14" fillId="2" borderId="51" xfId="27" applyNumberFormat="1" applyFont="1" applyFill="1" applyBorder="1" applyAlignment="1" applyProtection="1">
      <alignment horizontal="right"/>
      <protection hidden="1"/>
    </xf>
    <xf numFmtId="2" fontId="14" fillId="2" borderId="51" xfId="27" applyNumberFormat="1" applyFont="1" applyFill="1" applyBorder="1" applyAlignment="1" applyProtection="1">
      <alignment horizontal="right" wrapText="1"/>
      <protection hidden="1"/>
    </xf>
    <xf numFmtId="2" fontId="2" fillId="2" borderId="0" xfId="27" applyNumberFormat="1" applyFont="1" applyFill="1" applyProtection="1">
      <protection hidden="1"/>
    </xf>
    <xf numFmtId="0" fontId="12" fillId="2" borderId="50" xfId="27" applyFont="1" applyFill="1" applyBorder="1" applyProtection="1">
      <protection hidden="1"/>
    </xf>
    <xf numFmtId="0" fontId="12" fillId="2" borderId="51" xfId="27" applyFont="1" applyFill="1" applyBorder="1" applyProtection="1">
      <protection hidden="1"/>
    </xf>
    <xf numFmtId="0" fontId="14" fillId="2" borderId="50" xfId="27" applyFont="1" applyFill="1" applyBorder="1" applyAlignment="1" applyProtection="1">
      <alignment horizontal="left"/>
      <protection hidden="1"/>
    </xf>
    <xf numFmtId="171" fontId="6" fillId="2" borderId="51" xfId="27" applyNumberFormat="1" applyFont="1" applyFill="1" applyBorder="1" applyAlignment="1" applyProtection="1">
      <alignment horizontal="right"/>
      <protection hidden="1"/>
    </xf>
    <xf numFmtId="169" fontId="6" fillId="2" borderId="51" xfId="28" applyNumberFormat="1" applyFont="1" applyFill="1" applyBorder="1" applyAlignment="1" applyProtection="1">
      <alignment horizontal="right"/>
      <protection hidden="1"/>
    </xf>
    <xf numFmtId="0" fontId="2" fillId="2" borderId="0" xfId="27" applyFont="1" applyFill="1" applyAlignment="1" applyProtection="1">
      <alignment vertical="top" wrapText="1"/>
      <protection hidden="1"/>
    </xf>
    <xf numFmtId="0" fontId="2" fillId="2" borderId="3" xfId="27" applyFont="1" applyFill="1" applyBorder="1" applyAlignment="1" applyProtection="1">
      <alignment vertical="top" wrapText="1"/>
      <protection hidden="1"/>
    </xf>
    <xf numFmtId="0" fontId="2" fillId="2" borderId="52" xfId="27" applyFont="1" applyFill="1" applyBorder="1" applyProtection="1">
      <protection hidden="1"/>
    </xf>
    <xf numFmtId="169" fontId="6" fillId="2" borderId="51" xfId="27" applyNumberFormat="1" applyFont="1" applyFill="1" applyBorder="1" applyAlignment="1" applyProtection="1">
      <alignment horizontal="right"/>
      <protection hidden="1"/>
    </xf>
    <xf numFmtId="169" fontId="6" fillId="2" borderId="55" xfId="27" applyNumberFormat="1" applyFont="1" applyFill="1" applyBorder="1" applyAlignment="1" applyProtection="1">
      <alignment horizontal="right"/>
      <protection hidden="1"/>
    </xf>
    <xf numFmtId="0" fontId="15" fillId="11" borderId="25" xfId="27" applyFont="1" applyFill="1" applyBorder="1" applyAlignment="1" applyProtection="1">
      <alignment vertical="top"/>
      <protection hidden="1"/>
    </xf>
    <xf numFmtId="0" fontId="6" fillId="2" borderId="50" xfId="27" applyFont="1" applyFill="1" applyBorder="1" applyAlignment="1" applyProtection="1">
      <alignment horizontal="left" vertical="top"/>
      <protection hidden="1"/>
    </xf>
    <xf numFmtId="0" fontId="23" fillId="2" borderId="51" xfId="27" applyFont="1" applyFill="1" applyBorder="1" applyProtection="1">
      <protection hidden="1"/>
    </xf>
    <xf numFmtId="0" fontId="4" fillId="0" borderId="50" xfId="27" applyFont="1" applyBorder="1" applyAlignment="1" applyProtection="1">
      <alignment horizontal="left" vertical="top" wrapText="1"/>
      <protection hidden="1"/>
    </xf>
    <xf numFmtId="0" fontId="58" fillId="11" borderId="50" xfId="27" applyFont="1" applyFill="1" applyBorder="1" applyAlignment="1" applyProtection="1">
      <alignment wrapText="1"/>
      <protection hidden="1"/>
    </xf>
    <xf numFmtId="0" fontId="58" fillId="11" borderId="51" xfId="27" applyFont="1" applyFill="1" applyBorder="1" applyAlignment="1" applyProtection="1">
      <alignment wrapText="1"/>
      <protection hidden="1"/>
    </xf>
    <xf numFmtId="0" fontId="58" fillId="11" borderId="52" xfId="27" applyFont="1" applyFill="1" applyBorder="1" applyAlignment="1" applyProtection="1">
      <alignment wrapText="1"/>
      <protection hidden="1"/>
    </xf>
    <xf numFmtId="0" fontId="7" fillId="2" borderId="50" xfId="27" applyFont="1" applyFill="1" applyBorder="1" applyProtection="1">
      <protection hidden="1"/>
    </xf>
    <xf numFmtId="166" fontId="6" fillId="2" borderId="51" xfId="27" applyNumberFormat="1" applyFont="1" applyFill="1" applyBorder="1" applyAlignment="1" applyProtection="1">
      <alignment horizontal="right"/>
      <protection hidden="1"/>
    </xf>
    <xf numFmtId="2" fontId="14" fillId="2" borderId="55" xfId="27" applyNumberFormat="1" applyFont="1" applyFill="1" applyBorder="1" applyAlignment="1" applyProtection="1">
      <alignment horizontal="right" wrapText="1"/>
      <protection hidden="1"/>
    </xf>
    <xf numFmtId="0" fontId="6" fillId="2" borderId="25" xfId="27" applyFont="1" applyFill="1" applyBorder="1" applyAlignment="1" applyProtection="1">
      <alignment horizontal="left"/>
      <protection hidden="1"/>
    </xf>
    <xf numFmtId="0" fontId="2" fillId="11" borderId="50" xfId="27" applyFont="1" applyFill="1" applyBorder="1" applyAlignment="1" applyProtection="1">
      <alignment wrapText="1"/>
      <protection hidden="1"/>
    </xf>
    <xf numFmtId="0" fontId="2" fillId="11" borderId="0" xfId="27" applyFont="1" applyFill="1" applyAlignment="1" applyProtection="1">
      <alignment wrapText="1"/>
      <protection hidden="1"/>
    </xf>
    <xf numFmtId="0" fontId="2" fillId="11" borderId="3" xfId="27" applyFont="1" applyFill="1" applyBorder="1" applyAlignment="1" applyProtection="1">
      <alignment wrapText="1"/>
      <protection hidden="1"/>
    </xf>
    <xf numFmtId="0" fontId="6" fillId="2" borderId="50" xfId="3" applyFont="1" applyFill="1" applyBorder="1" applyAlignment="1" applyProtection="1">
      <alignment horizontal="left"/>
      <protection hidden="1"/>
    </xf>
    <xf numFmtId="0" fontId="2" fillId="2" borderId="3" xfId="27" applyFont="1" applyFill="1" applyBorder="1" applyAlignment="1" applyProtection="1">
      <alignment vertical="top"/>
      <protection hidden="1"/>
    </xf>
    <xf numFmtId="0" fontId="2" fillId="2" borderId="2" xfId="27" applyFont="1" applyFill="1" applyBorder="1" applyAlignment="1" applyProtection="1">
      <alignment vertical="top"/>
      <protection hidden="1"/>
    </xf>
    <xf numFmtId="0" fontId="23" fillId="2" borderId="50" xfId="27" applyFont="1" applyFill="1" applyBorder="1" applyAlignment="1" applyProtection="1">
      <alignment vertical="top"/>
      <protection hidden="1"/>
    </xf>
    <xf numFmtId="0" fontId="2" fillId="2" borderId="52" xfId="27" applyFont="1" applyFill="1" applyBorder="1" applyAlignment="1" applyProtection="1">
      <alignment vertical="top"/>
      <protection hidden="1"/>
    </xf>
    <xf numFmtId="0" fontId="28" fillId="2" borderId="0" xfId="8" applyFill="1" applyAlignment="1">
      <alignment vertical="center" wrapText="1"/>
    </xf>
    <xf numFmtId="0" fontId="12" fillId="2" borderId="10" xfId="27" applyFont="1" applyFill="1" applyBorder="1"/>
    <xf numFmtId="0" fontId="12" fillId="6" borderId="10" xfId="27" applyFont="1" applyFill="1" applyBorder="1"/>
    <xf numFmtId="0" fontId="3" fillId="0" borderId="0" xfId="27" applyAlignment="1">
      <alignment wrapText="1"/>
    </xf>
    <xf numFmtId="0" fontId="3" fillId="14" borderId="0" xfId="27" applyFill="1"/>
    <xf numFmtId="0" fontId="8" fillId="2" borderId="0" xfId="0" applyFont="1" applyFill="1" applyAlignment="1">
      <alignment horizontal="right"/>
    </xf>
    <xf numFmtId="169" fontId="22" fillId="2" borderId="0" xfId="27" applyNumberFormat="1" applyFont="1" applyFill="1" applyAlignment="1" applyProtection="1">
      <alignment horizontal="right"/>
      <protection hidden="1"/>
    </xf>
    <xf numFmtId="169" fontId="12" fillId="2" borderId="56" xfId="27" applyNumberFormat="1" applyFont="1" applyFill="1" applyBorder="1" applyAlignment="1" applyProtection="1">
      <alignment horizontal="right"/>
      <protection hidden="1"/>
    </xf>
    <xf numFmtId="0" fontId="1" fillId="0" borderId="0" xfId="27" applyFont="1"/>
    <xf numFmtId="0" fontId="24" fillId="0" borderId="0" xfId="0" applyFont="1"/>
    <xf numFmtId="0" fontId="27" fillId="0" borderId="52" xfId="0" applyFont="1" applyBorder="1"/>
    <xf numFmtId="0" fontId="0" fillId="2" borderId="50" xfId="0" applyFill="1" applyBorder="1" applyAlignment="1" applyProtection="1">
      <alignment wrapText="1"/>
      <protection hidden="1"/>
    </xf>
    <xf numFmtId="0" fontId="0" fillId="4" borderId="25" xfId="0" applyFill="1" applyBorder="1" applyAlignment="1" applyProtection="1">
      <alignment horizontal="center"/>
      <protection hidden="1"/>
    </xf>
    <xf numFmtId="0" fontId="0" fillId="13" borderId="25" xfId="0" applyFill="1" applyBorder="1" applyAlignment="1" applyProtection="1">
      <alignment wrapText="1"/>
      <protection hidden="1"/>
    </xf>
    <xf numFmtId="0" fontId="0" fillId="13" borderId="53" xfId="0" applyFill="1" applyBorder="1" applyAlignment="1" applyProtection="1">
      <alignment wrapText="1"/>
      <protection hidden="1"/>
    </xf>
    <xf numFmtId="0" fontId="0" fillId="15" borderId="25" xfId="0" applyFill="1" applyBorder="1" applyProtection="1">
      <protection hidden="1"/>
    </xf>
    <xf numFmtId="0" fontId="0" fillId="15" borderId="53" xfId="0" applyFill="1" applyBorder="1" applyProtection="1">
      <protection hidden="1"/>
    </xf>
    <xf numFmtId="0" fontId="0" fillId="3" borderId="11" xfId="0" applyFill="1" applyBorder="1" applyAlignment="1" applyProtection="1">
      <alignment vertical="center" wrapText="1"/>
      <protection hidden="1"/>
    </xf>
    <xf numFmtId="0" fontId="0" fillId="8" borderId="25" xfId="0" applyFill="1" applyBorder="1" applyProtection="1">
      <protection hidden="1"/>
    </xf>
    <xf numFmtId="0" fontId="0" fillId="9" borderId="53" xfId="0" applyFill="1" applyBorder="1" applyAlignment="1" applyProtection="1">
      <alignment horizontal="center"/>
      <protection hidden="1"/>
    </xf>
    <xf numFmtId="0" fontId="0" fillId="13" borderId="25" xfId="1" applyNumberFormat="1" applyFont="1" applyFill="1" applyBorder="1" applyProtection="1">
      <protection hidden="1"/>
    </xf>
    <xf numFmtId="0" fontId="0" fillId="13" borderId="53" xfId="1" applyNumberFormat="1" applyFont="1" applyFill="1" applyBorder="1" applyProtection="1">
      <protection hidden="1"/>
    </xf>
    <xf numFmtId="0" fontId="5" fillId="0" borderId="0" xfId="0" applyFont="1"/>
    <xf numFmtId="0" fontId="0" fillId="0" borderId="0" xfId="0" applyAlignment="1">
      <alignment wrapText="1"/>
    </xf>
    <xf numFmtId="0" fontId="0" fillId="0" borderId="57" xfId="0" applyBorder="1"/>
    <xf numFmtId="0" fontId="0" fillId="0" borderId="58" xfId="0" applyBorder="1"/>
    <xf numFmtId="0" fontId="0" fillId="0" borderId="59" xfId="0" applyBorder="1"/>
    <xf numFmtId="0" fontId="0" fillId="0" borderId="60" xfId="0" applyBorder="1"/>
    <xf numFmtId="0" fontId="14" fillId="2" borderId="0" xfId="2" applyFont="1" applyFill="1" applyAlignment="1" applyProtection="1">
      <alignment vertical="top" wrapText="1"/>
      <protection hidden="1"/>
    </xf>
    <xf numFmtId="0" fontId="0" fillId="2" borderId="0" xfId="0" applyFill="1" applyAlignment="1" applyProtection="1">
      <alignment wrapText="1"/>
      <protection hidden="1"/>
    </xf>
    <xf numFmtId="0" fontId="49" fillId="2" borderId="0" xfId="18" applyFont="1" applyFill="1" applyAlignment="1">
      <alignment horizontal="left" vertical="center"/>
    </xf>
    <xf numFmtId="0" fontId="49" fillId="2" borderId="0" xfId="18" applyFont="1" applyFill="1" applyAlignment="1">
      <alignment horizontal="left"/>
    </xf>
    <xf numFmtId="0" fontId="21" fillId="2" borderId="0" xfId="0" applyFont="1" applyFill="1" applyAlignment="1">
      <alignment horizontal="left" wrapText="1"/>
    </xf>
    <xf numFmtId="0" fontId="45" fillId="2" borderId="0" xfId="0" applyFont="1" applyFill="1" applyAlignment="1">
      <alignment horizontal="left" vertical="top" wrapText="1"/>
    </xf>
    <xf numFmtId="0" fontId="0" fillId="2" borderId="0" xfId="0" applyFill="1" applyAlignment="1">
      <alignment wrapText="1"/>
    </xf>
    <xf numFmtId="0" fontId="10" fillId="2" borderId="0" xfId="0" applyFont="1" applyFill="1" applyAlignment="1">
      <alignment horizontal="left"/>
    </xf>
    <xf numFmtId="0" fontId="10" fillId="2" borderId="0" xfId="0" applyFont="1" applyFill="1" applyAlignment="1">
      <alignment horizontal="center"/>
    </xf>
    <xf numFmtId="0" fontId="15" fillId="2" borderId="0" xfId="27" applyFont="1" applyFill="1" applyAlignment="1" applyProtection="1">
      <alignment horizontal="left" vertical="top" wrapText="1"/>
      <protection hidden="1"/>
    </xf>
    <xf numFmtId="0" fontId="16" fillId="0" borderId="0" xfId="27" applyFont="1" applyAlignment="1" applyProtection="1">
      <alignment horizontal="left" vertical="top" wrapText="1"/>
      <protection hidden="1"/>
    </xf>
    <xf numFmtId="0" fontId="23" fillId="2" borderId="2" xfId="27" applyFont="1" applyFill="1" applyBorder="1" applyAlignment="1" applyProtection="1">
      <alignment horizontal="left" vertical="top" wrapText="1"/>
      <protection hidden="1"/>
    </xf>
    <xf numFmtId="0" fontId="23" fillId="2" borderId="0" xfId="27" applyFont="1" applyFill="1" applyAlignment="1" applyProtection="1">
      <alignment horizontal="left" vertical="top" wrapText="1"/>
      <protection hidden="1"/>
    </xf>
    <xf numFmtId="0" fontId="23" fillId="2" borderId="3" xfId="27" applyFont="1" applyFill="1" applyBorder="1" applyAlignment="1" applyProtection="1">
      <alignment horizontal="left" vertical="top" wrapText="1"/>
      <protection hidden="1"/>
    </xf>
    <xf numFmtId="0" fontId="8" fillId="2" borderId="0" xfId="27" applyFont="1" applyFill="1" applyAlignment="1" applyProtection="1">
      <alignment horizontal="center" vertical="top"/>
      <protection hidden="1"/>
    </xf>
    <xf numFmtId="0" fontId="15" fillId="2" borderId="3" xfId="27" applyFont="1" applyFill="1" applyBorder="1" applyAlignment="1" applyProtection="1">
      <alignment horizontal="left" vertical="top" wrapText="1"/>
      <protection hidden="1"/>
    </xf>
    <xf numFmtId="0" fontId="15" fillId="11" borderId="25" xfId="27" applyFont="1" applyFill="1" applyBorder="1" applyAlignment="1" applyProtection="1">
      <alignment vertical="top" wrapText="1"/>
      <protection hidden="1"/>
    </xf>
    <xf numFmtId="0" fontId="16" fillId="11" borderId="4" xfId="27" applyFont="1" applyFill="1" applyBorder="1" applyAlignment="1" applyProtection="1">
      <alignment vertical="top" wrapText="1"/>
      <protection hidden="1"/>
    </xf>
    <xf numFmtId="0" fontId="16" fillId="11" borderId="53" xfId="27" applyFont="1" applyFill="1" applyBorder="1" applyAlignment="1" applyProtection="1">
      <alignment vertical="top" wrapText="1"/>
      <protection hidden="1"/>
    </xf>
    <xf numFmtId="0" fontId="15" fillId="11" borderId="2" xfId="27" applyFont="1" applyFill="1" applyBorder="1" applyAlignment="1" applyProtection="1">
      <alignment vertical="top" wrapText="1"/>
      <protection hidden="1"/>
    </xf>
    <xf numFmtId="0" fontId="16" fillId="11" borderId="0" xfId="27" applyFont="1" applyFill="1" applyAlignment="1" applyProtection="1">
      <alignment vertical="top" wrapText="1"/>
      <protection hidden="1"/>
    </xf>
    <xf numFmtId="0" fontId="16" fillId="11" borderId="3" xfId="27" applyFont="1" applyFill="1" applyBorder="1" applyAlignment="1" applyProtection="1">
      <alignment vertical="top" wrapText="1"/>
      <protection hidden="1"/>
    </xf>
    <xf numFmtId="0" fontId="16" fillId="11" borderId="2" xfId="27" applyFont="1" applyFill="1" applyBorder="1" applyAlignment="1" applyProtection="1">
      <alignment vertical="top" wrapText="1"/>
      <protection hidden="1"/>
    </xf>
    <xf numFmtId="0" fontId="4" fillId="2" borderId="1" xfId="27" applyFont="1" applyFill="1" applyBorder="1" applyAlignment="1" applyProtection="1">
      <alignment horizontal="left" wrapText="1"/>
      <protection hidden="1"/>
    </xf>
    <xf numFmtId="0" fontId="4" fillId="2" borderId="5" xfId="27" applyFont="1" applyFill="1" applyBorder="1" applyAlignment="1" applyProtection="1">
      <alignment horizontal="left" wrapText="1"/>
      <protection hidden="1"/>
    </xf>
    <xf numFmtId="0" fontId="37" fillId="4" borderId="17" xfId="27" applyFont="1" applyFill="1" applyBorder="1" applyAlignment="1" applyProtection="1">
      <alignment horizontal="center"/>
      <protection hidden="1"/>
    </xf>
    <xf numFmtId="0" fontId="37" fillId="4" borderId="54" xfId="27" applyFont="1" applyFill="1" applyBorder="1" applyAlignment="1" applyProtection="1">
      <alignment horizontal="center"/>
      <protection hidden="1"/>
    </xf>
    <xf numFmtId="0" fontId="30" fillId="2" borderId="0" xfId="18" applyFill="1" applyAlignment="1" applyProtection="1">
      <alignment horizontal="left" vertical="top"/>
      <protection hidden="1"/>
    </xf>
    <xf numFmtId="0" fontId="30" fillId="2" borderId="0" xfId="18" applyFill="1" applyBorder="1" applyAlignment="1" applyProtection="1">
      <alignment horizontal="left" vertical="top"/>
      <protection hidden="1"/>
    </xf>
    <xf numFmtId="0" fontId="11" fillId="3" borderId="26" xfId="27" applyFont="1" applyFill="1" applyBorder="1" applyAlignment="1" applyProtection="1">
      <alignment horizontal="left" vertical="top"/>
      <protection locked="0"/>
    </xf>
    <xf numFmtId="0" fontId="11" fillId="3" borderId="27" xfId="27" applyFont="1" applyFill="1" applyBorder="1" applyAlignment="1" applyProtection="1">
      <alignment horizontal="left" vertical="top"/>
      <protection locked="0"/>
    </xf>
    <xf numFmtId="0" fontId="11" fillId="3" borderId="28" xfId="27" applyFont="1" applyFill="1" applyBorder="1" applyAlignment="1" applyProtection="1">
      <alignment horizontal="left" vertical="top"/>
      <protection locked="0"/>
    </xf>
    <xf numFmtId="0" fontId="2" fillId="11" borderId="0" xfId="27" applyFont="1" applyFill="1" applyAlignment="1" applyProtection="1">
      <alignment wrapText="1"/>
      <protection hidden="1"/>
    </xf>
    <xf numFmtId="0" fontId="2" fillId="11" borderId="3" xfId="27" applyFont="1" applyFill="1" applyBorder="1" applyAlignment="1" applyProtection="1">
      <alignment wrapText="1"/>
      <protection hidden="1"/>
    </xf>
    <xf numFmtId="0" fontId="2" fillId="11" borderId="2" xfId="27" applyFont="1" applyFill="1" applyBorder="1" applyAlignment="1" applyProtection="1">
      <alignment wrapText="1"/>
      <protection hidden="1"/>
    </xf>
    <xf numFmtId="0" fontId="16" fillId="11" borderId="50" xfId="27" applyFont="1" applyFill="1" applyBorder="1" applyAlignment="1" applyProtection="1">
      <alignment vertical="top" wrapText="1"/>
      <protection hidden="1"/>
    </xf>
    <xf numFmtId="0" fontId="16" fillId="11" borderId="51" xfId="27" applyFont="1" applyFill="1" applyBorder="1" applyAlignment="1" applyProtection="1">
      <alignment vertical="top" wrapText="1"/>
      <protection hidden="1"/>
    </xf>
    <xf numFmtId="0" fontId="16" fillId="11" borderId="52" xfId="27" applyFont="1" applyFill="1" applyBorder="1" applyAlignment="1" applyProtection="1">
      <alignment vertical="top" wrapText="1"/>
      <protection hidden="1"/>
    </xf>
    <xf numFmtId="0" fontId="2" fillId="11" borderId="0" xfId="27" applyFont="1" applyFill="1" applyAlignment="1" applyProtection="1">
      <alignment vertical="top" wrapText="1"/>
      <protection hidden="1"/>
    </xf>
    <xf numFmtId="0" fontId="2" fillId="11" borderId="3" xfId="27" applyFont="1" applyFill="1" applyBorder="1" applyAlignment="1" applyProtection="1">
      <alignment vertical="top" wrapText="1"/>
      <protection hidden="1"/>
    </xf>
    <xf numFmtId="0" fontId="2" fillId="11" borderId="2" xfId="27" applyFont="1" applyFill="1" applyBorder="1" applyAlignment="1" applyProtection="1">
      <alignment vertical="top" wrapText="1"/>
      <protection hidden="1"/>
    </xf>
    <xf numFmtId="0" fontId="2" fillId="11" borderId="50" xfId="27" applyFont="1" applyFill="1" applyBorder="1" applyAlignment="1" applyProtection="1">
      <alignment wrapText="1"/>
      <protection hidden="1"/>
    </xf>
    <xf numFmtId="0" fontId="2" fillId="11" borderId="51" xfId="27" applyFont="1" applyFill="1" applyBorder="1" applyAlignment="1" applyProtection="1">
      <alignment wrapText="1"/>
      <protection hidden="1"/>
    </xf>
    <xf numFmtId="0" fontId="2" fillId="11" borderId="52" xfId="27" applyFont="1" applyFill="1" applyBorder="1" applyAlignment="1" applyProtection="1">
      <alignment wrapText="1"/>
      <protection hidden="1"/>
    </xf>
    <xf numFmtId="0" fontId="15" fillId="2" borderId="0" xfId="27" applyFont="1" applyFill="1" applyAlignment="1" applyProtection="1">
      <alignment horizontal="left" vertical="top"/>
      <protection hidden="1"/>
    </xf>
    <xf numFmtId="0" fontId="16" fillId="0" borderId="0" xfId="27" applyFont="1" applyAlignment="1" applyProtection="1">
      <alignment horizontal="left" vertical="top"/>
      <protection hidden="1"/>
    </xf>
    <xf numFmtId="0" fontId="16" fillId="11" borderId="2" xfId="3" applyFont="1" applyFill="1" applyBorder="1" applyAlignment="1" applyProtection="1">
      <alignment vertical="top" wrapText="1"/>
      <protection hidden="1"/>
    </xf>
    <xf numFmtId="0" fontId="16" fillId="11" borderId="2" xfId="27" applyFont="1" applyFill="1" applyBorder="1" applyAlignment="1" applyProtection="1">
      <alignment horizontal="left" vertical="top" wrapText="1"/>
      <protection hidden="1"/>
    </xf>
    <xf numFmtId="0" fontId="16" fillId="11" borderId="0" xfId="27" applyFont="1" applyFill="1" applyAlignment="1" applyProtection="1">
      <alignment horizontal="left" vertical="top" wrapText="1"/>
      <protection hidden="1"/>
    </xf>
    <xf numFmtId="0" fontId="16" fillId="11" borderId="3" xfId="27" applyFont="1" applyFill="1" applyBorder="1" applyAlignment="1" applyProtection="1">
      <alignment horizontal="left" vertical="top" wrapText="1"/>
      <protection hidden="1"/>
    </xf>
    <xf numFmtId="0" fontId="16" fillId="0" borderId="3" xfId="27" applyFont="1" applyBorder="1" applyAlignment="1" applyProtection="1">
      <alignment horizontal="left" vertical="top" wrapText="1"/>
      <protection hidden="1"/>
    </xf>
    <xf numFmtId="0" fontId="16" fillId="11" borderId="2" xfId="3" applyFont="1" applyFill="1" applyBorder="1" applyAlignment="1" applyProtection="1">
      <alignment horizontal="left" vertical="top" wrapText="1"/>
      <protection hidden="1"/>
    </xf>
    <xf numFmtId="0" fontId="16" fillId="11" borderId="0" xfId="3" applyFont="1" applyFill="1" applyAlignment="1" applyProtection="1">
      <alignment horizontal="left" vertical="top" wrapText="1"/>
      <protection hidden="1"/>
    </xf>
    <xf numFmtId="0" fontId="16" fillId="11" borderId="3" xfId="3" applyFont="1" applyFill="1" applyBorder="1" applyAlignment="1" applyProtection="1">
      <alignment horizontal="left" vertical="top" wrapText="1"/>
      <protection hidden="1"/>
    </xf>
    <xf numFmtId="0" fontId="8" fillId="0" borderId="0" xfId="0" applyFont="1" applyAlignment="1" applyProtection="1">
      <alignment horizontal="center"/>
      <protection hidden="1"/>
    </xf>
    <xf numFmtId="0" fontId="0" fillId="8" borderId="8" xfId="0" applyFill="1" applyBorder="1" applyAlignment="1" applyProtection="1">
      <alignment horizontal="center" vertical="center" wrapText="1"/>
      <protection hidden="1"/>
    </xf>
    <xf numFmtId="0" fontId="0" fillId="8" borderId="11" xfId="0" applyFill="1" applyBorder="1" applyAlignment="1" applyProtection="1">
      <alignment horizontal="center" vertical="center" wrapText="1"/>
      <protection hidden="1"/>
    </xf>
    <xf numFmtId="0" fontId="0" fillId="8" borderId="9" xfId="0" applyFill="1" applyBorder="1" applyAlignment="1" applyProtection="1">
      <alignment horizontal="center" vertical="center" wrapText="1"/>
      <protection hidden="1"/>
    </xf>
    <xf numFmtId="0" fontId="0" fillId="9" borderId="8" xfId="0" applyFill="1" applyBorder="1" applyAlignment="1" applyProtection="1">
      <alignment horizontal="center" vertical="center" wrapText="1"/>
      <protection hidden="1"/>
    </xf>
    <xf numFmtId="0" fontId="0" fillId="9" borderId="11" xfId="0" applyFill="1" applyBorder="1" applyAlignment="1" applyProtection="1">
      <alignment horizontal="center" vertical="center" wrapText="1"/>
      <protection hidden="1"/>
    </xf>
    <xf numFmtId="0" fontId="0" fillId="10" borderId="8" xfId="0" applyFill="1" applyBorder="1" applyAlignment="1" applyProtection="1">
      <alignment horizontal="center" vertical="center" wrapText="1"/>
      <protection hidden="1"/>
    </xf>
    <xf numFmtId="0" fontId="0" fillId="10" borderId="11" xfId="0" applyFill="1" applyBorder="1" applyAlignment="1" applyProtection="1">
      <alignment horizontal="center" vertical="center" wrapText="1"/>
      <protection hidden="1"/>
    </xf>
    <xf numFmtId="0" fontId="0" fillId="11" borderId="8" xfId="0" applyFill="1" applyBorder="1" applyAlignment="1" applyProtection="1">
      <alignment horizontal="center" vertical="center" wrapText="1"/>
      <protection hidden="1"/>
    </xf>
    <xf numFmtId="0" fontId="0" fillId="11" borderId="11" xfId="0" applyFill="1" applyBorder="1" applyAlignment="1" applyProtection="1">
      <alignment horizontal="center" vertical="center" wrapText="1"/>
      <protection hidden="1"/>
    </xf>
    <xf numFmtId="0" fontId="0" fillId="11" borderId="9" xfId="0" applyFill="1" applyBorder="1" applyAlignment="1" applyProtection="1">
      <alignment horizontal="center" vertical="center" wrapText="1"/>
      <protection hidden="1"/>
    </xf>
    <xf numFmtId="0" fontId="0" fillId="12" borderId="8" xfId="0" applyFill="1" applyBorder="1" applyAlignment="1" applyProtection="1">
      <alignment horizontal="center" vertical="center" wrapText="1"/>
      <protection hidden="1"/>
    </xf>
    <xf numFmtId="0" fontId="0" fillId="12" borderId="11" xfId="0" applyFill="1" applyBorder="1" applyAlignment="1" applyProtection="1">
      <alignment horizontal="center" vertical="center" wrapText="1"/>
      <protection hidden="1"/>
    </xf>
    <xf numFmtId="0" fontId="0" fillId="15" borderId="1" xfId="0" applyFill="1" applyBorder="1" applyAlignment="1" applyProtection="1">
      <alignment horizontal="center"/>
      <protection hidden="1"/>
    </xf>
    <xf numFmtId="0" fontId="0" fillId="15" borderId="5" xfId="0" applyFill="1" applyBorder="1" applyAlignment="1" applyProtection="1">
      <alignment horizontal="center"/>
      <protection hidden="1"/>
    </xf>
    <xf numFmtId="0" fontId="0" fillId="15" borderId="6" xfId="0" applyFill="1" applyBorder="1" applyAlignment="1" applyProtection="1">
      <alignment horizontal="center"/>
      <protection hidden="1"/>
    </xf>
    <xf numFmtId="0" fontId="0" fillId="3" borderId="8" xfId="0" applyFill="1" applyBorder="1" applyAlignment="1" applyProtection="1">
      <alignment horizontal="center" vertical="center" wrapText="1"/>
      <protection hidden="1"/>
    </xf>
    <xf numFmtId="0" fontId="0" fillId="3" borderId="11" xfId="0" applyFill="1" applyBorder="1" applyAlignment="1" applyProtection="1">
      <alignment horizontal="center" vertical="center" wrapText="1"/>
      <protection hidden="1"/>
    </xf>
    <xf numFmtId="0" fontId="0" fillId="3" borderId="9" xfId="0" applyFill="1" applyBorder="1" applyAlignment="1" applyProtection="1">
      <alignment horizontal="center" vertical="center" wrapText="1"/>
      <protection hidden="1"/>
    </xf>
    <xf numFmtId="0" fontId="0" fillId="8" borderId="25" xfId="0" applyFill="1" applyBorder="1" applyAlignment="1" applyProtection="1">
      <alignment horizontal="center"/>
      <protection hidden="1"/>
    </xf>
    <xf numFmtId="0" fontId="0" fillId="8" borderId="53" xfId="0" applyFill="1" applyBorder="1" applyAlignment="1" applyProtection="1">
      <alignment horizontal="center"/>
      <protection hidden="1"/>
    </xf>
    <xf numFmtId="0" fontId="0" fillId="9" borderId="5" xfId="0" applyFill="1" applyBorder="1" applyAlignment="1" applyProtection="1">
      <alignment horizontal="center"/>
      <protection hidden="1"/>
    </xf>
    <xf numFmtId="0" fontId="0" fillId="9" borderId="6" xfId="0" applyFill="1" applyBorder="1" applyAlignment="1" applyProtection="1">
      <alignment horizontal="center"/>
      <protection hidden="1"/>
    </xf>
    <xf numFmtId="0" fontId="0" fillId="13" borderId="5" xfId="0" applyFill="1" applyBorder="1" applyAlignment="1" applyProtection="1">
      <alignment horizontal="center"/>
      <protection hidden="1"/>
    </xf>
    <xf numFmtId="0" fontId="0" fillId="13" borderId="6" xfId="0" applyFill="1" applyBorder="1" applyAlignment="1" applyProtection="1">
      <alignment horizontal="center"/>
      <protection hidden="1"/>
    </xf>
    <xf numFmtId="0" fontId="0" fillId="14" borderId="1" xfId="0" applyFill="1" applyBorder="1" applyAlignment="1" applyProtection="1">
      <alignment horizontal="center"/>
      <protection hidden="1"/>
    </xf>
    <xf numFmtId="0" fontId="0" fillId="14" borderId="5" xfId="0" applyFill="1" applyBorder="1" applyAlignment="1" applyProtection="1">
      <alignment horizontal="center"/>
      <protection hidden="1"/>
    </xf>
    <xf numFmtId="0" fontId="0" fillId="14" borderId="6" xfId="0" applyFill="1" applyBorder="1" applyAlignment="1" applyProtection="1">
      <alignment horizontal="center"/>
      <protection hidden="1"/>
    </xf>
  </cellXfs>
  <cellStyles count="30">
    <cellStyle name="40% - Accent1 2" xfId="5" xr:uid="{00000000-0005-0000-0000-000000000000}"/>
    <cellStyle name="Bad 2" xfId="19" xr:uid="{00000000-0005-0000-0000-000001000000}"/>
    <cellStyle name="Comma 2" xfId="6" xr:uid="{00000000-0005-0000-0000-000003000000}"/>
    <cellStyle name="Comma 3" xfId="7" xr:uid="{00000000-0005-0000-0000-000004000000}"/>
    <cellStyle name="Comma 4" xfId="28" xr:uid="{2BB554DA-638C-4918-A597-62F0BF410D72}"/>
    <cellStyle name="Hyperlink" xfId="18" builtinId="8"/>
    <cellStyle name="Hyperlink 2" xfId="8" xr:uid="{00000000-0005-0000-0000-000007000000}"/>
    <cellStyle name="Normal" xfId="0" builtinId="0"/>
    <cellStyle name="Normal 2" xfId="9" xr:uid="{00000000-0005-0000-0000-000009000000}"/>
    <cellStyle name="Normal 2 2" xfId="3" xr:uid="{00000000-0005-0000-0000-00000A000000}"/>
    <cellStyle name="Normal 2 2 2" xfId="10" xr:uid="{00000000-0005-0000-0000-00000B000000}"/>
    <cellStyle name="Normal 2 2 3" xfId="20" xr:uid="{00000000-0005-0000-0000-00000C000000}"/>
    <cellStyle name="Normal 2 3" xfId="11" xr:uid="{00000000-0005-0000-0000-00000D000000}"/>
    <cellStyle name="Normal 2 3 2" xfId="21" xr:uid="{00000000-0005-0000-0000-00000E000000}"/>
    <cellStyle name="Normal 2 4" xfId="12" xr:uid="{00000000-0005-0000-0000-00000F000000}"/>
    <cellStyle name="Normal 2 5" xfId="22" xr:uid="{00000000-0005-0000-0000-000010000000}"/>
    <cellStyle name="Normal 3" xfId="13" xr:uid="{00000000-0005-0000-0000-000011000000}"/>
    <cellStyle name="Normal 3 2" xfId="23" xr:uid="{00000000-0005-0000-0000-000012000000}"/>
    <cellStyle name="Normal 3 3" xfId="24" xr:uid="{00000000-0005-0000-0000-000013000000}"/>
    <cellStyle name="Normal 4" xfId="14" xr:uid="{00000000-0005-0000-0000-000014000000}"/>
    <cellStyle name="Normal 4 2" xfId="15" xr:uid="{00000000-0005-0000-0000-000015000000}"/>
    <cellStyle name="Normal 4 3" xfId="25" xr:uid="{00000000-0005-0000-0000-000016000000}"/>
    <cellStyle name="Normal 5" xfId="26" xr:uid="{00000000-0005-0000-0000-000017000000}"/>
    <cellStyle name="Normal 6" xfId="27" xr:uid="{5948372F-6F1B-4C03-ABE3-756976D9B3B8}"/>
    <cellStyle name="Normal_Sheet16" xfId="4" xr:uid="{00000000-0005-0000-0000-000018000000}"/>
    <cellStyle name="Normal_Table 1 Jan 2012" xfId="2" xr:uid="{00000000-0005-0000-0000-000019000000}"/>
    <cellStyle name="Per cent" xfId="1" builtinId="5"/>
    <cellStyle name="Percent 2" xfId="16" xr:uid="{00000000-0005-0000-0000-00001B000000}"/>
    <cellStyle name="Percent 3" xfId="17" xr:uid="{00000000-0005-0000-0000-00001C000000}"/>
    <cellStyle name="Percent 4" xfId="29" xr:uid="{B24E1BAC-EC6A-4640-8C4C-8355E43D56A4}"/>
  </cellStyles>
  <dxfs count="116">
    <dxf>
      <fill>
        <patternFill>
          <bgColor theme="7" tint="0.79998168889431442"/>
        </patternFill>
      </fill>
      <border>
        <left style="thin">
          <color auto="1"/>
        </left>
        <right style="thin">
          <color auto="1"/>
        </right>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fill>
        <patternFill>
          <bgColor rgb="FFFDFF99"/>
        </patternFill>
      </fill>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ont>
        <color rgb="FFAECFE6"/>
      </font>
    </dxf>
    <dxf>
      <border>
        <bottom style="thin">
          <color auto="1"/>
        </bottom>
        <vertical/>
        <horizontal/>
      </border>
    </dxf>
    <dxf>
      <fill>
        <patternFill>
          <bgColor theme="7" tint="0.79998168889431442"/>
        </patternFill>
      </fill>
      <border>
        <left style="thin">
          <color auto="1"/>
        </left>
        <right style="thin">
          <color auto="1"/>
        </right>
        <vertical/>
        <horizontal/>
      </border>
    </dxf>
    <dxf>
      <fill>
        <patternFill>
          <bgColor theme="7" tint="0.79998168889431442"/>
        </patternFill>
      </fill>
      <border>
        <left style="thin">
          <color auto="1"/>
        </left>
        <right style="thin">
          <color auto="1"/>
        </right>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7" tint="0.79998168889431442"/>
        </patternFill>
      </fill>
      <border>
        <left style="thin">
          <color auto="1"/>
        </left>
        <right style="thin">
          <color auto="1"/>
        </right>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0"/>
        </patternFill>
      </fill>
      <border>
        <left style="thin">
          <color auto="1"/>
        </left>
        <right style="thin">
          <color auto="1"/>
        </right>
        <top style="thin">
          <color theme="7"/>
        </top>
        <bottom style="thin">
          <color theme="7"/>
        </bottom>
        <vertical/>
        <horizontal/>
      </border>
    </dxf>
    <dxf>
      <fill>
        <patternFill>
          <bgColor theme="0"/>
        </patternFill>
      </fill>
      <border>
        <left style="thin">
          <color auto="1"/>
        </left>
        <right style="thin">
          <color auto="1"/>
        </right>
        <top style="thin">
          <color theme="7"/>
        </top>
        <bottom style="thin">
          <color theme="7"/>
        </bottom>
        <vertical/>
        <horizontal/>
      </border>
    </dxf>
    <dxf>
      <border>
        <bottom style="thin">
          <color auto="1"/>
        </bottom>
        <vertical/>
        <horizontal/>
      </border>
    </dxf>
    <dxf>
      <border>
        <bottom style="thin">
          <color auto="1"/>
        </bottom>
        <vertical/>
        <horizontal/>
      </border>
    </dxf>
    <dxf>
      <border>
        <bottom style="thin">
          <color auto="1"/>
        </bottom>
        <vertical/>
        <horizontal/>
      </border>
    </dxf>
    <dxf>
      <fill>
        <patternFill>
          <bgColor theme="0"/>
        </patternFill>
      </fill>
      <border>
        <left style="thin">
          <color auto="1"/>
        </left>
        <right style="thin">
          <color auto="1"/>
        </right>
        <top style="thin">
          <color theme="7"/>
        </top>
        <bottom style="thin">
          <color theme="7"/>
        </bottom>
        <vertical/>
        <horizontal/>
      </border>
    </dxf>
    <dxf>
      <font>
        <color theme="0"/>
      </font>
    </dxf>
    <dxf>
      <font>
        <color theme="0"/>
      </font>
    </dxf>
    <dxf>
      <font>
        <color rgb="FFFFFF99"/>
      </font>
    </dxf>
    <dxf>
      <font>
        <color rgb="FFFFFF99"/>
      </font>
    </dxf>
    <dxf>
      <border>
        <top/>
        <vertical/>
        <horizontal/>
      </border>
    </dxf>
    <dxf>
      <font>
        <color theme="0"/>
      </font>
      <border>
        <top style="thin">
          <color auto="1"/>
        </top>
        <bottom style="thin">
          <color auto="1"/>
        </bottom>
        <vertical/>
        <horizontal/>
      </border>
    </dxf>
    <dxf>
      <border>
        <top/>
        <bottom/>
        <vertical/>
        <horizontal/>
      </border>
    </dxf>
    <dxf>
      <border>
        <top/>
        <bottom/>
        <vertical/>
        <horizontal/>
      </border>
    </dxf>
    <dxf>
      <font>
        <color rgb="FFFDFF99"/>
      </font>
    </dxf>
    <dxf>
      <font>
        <color theme="0"/>
      </font>
      <fill>
        <patternFill>
          <bgColor theme="0"/>
        </patternFill>
      </fill>
    </dxf>
    <dxf>
      <font>
        <color theme="0"/>
      </font>
    </dxf>
    <dxf>
      <font>
        <color rgb="FFFF0000"/>
      </font>
    </dxf>
    <dxf>
      <font>
        <color rgb="FFFF0000"/>
      </font>
    </dxf>
    <dxf>
      <font>
        <color theme="0"/>
      </font>
    </dxf>
    <dxf>
      <font>
        <b/>
        <i val="0"/>
        <color rgb="FFFF0000"/>
      </font>
    </dxf>
    <dxf>
      <font>
        <color theme="0"/>
      </font>
    </dxf>
    <dxf>
      <font>
        <color theme="0"/>
      </font>
    </dxf>
    <dxf>
      <border>
        <left/>
        <right/>
        <top/>
        <bottom/>
        <vertical/>
        <horizontal/>
      </border>
    </dxf>
    <dxf>
      <border>
        <left/>
        <right/>
        <top/>
        <bottom/>
        <vertical/>
        <horizontal/>
      </border>
    </dxf>
    <dxf>
      <font>
        <color theme="0"/>
      </font>
    </dxf>
    <dxf>
      <font>
        <color theme="0"/>
      </font>
    </dxf>
    <dxf>
      <font>
        <color theme="0"/>
      </font>
    </dxf>
    <dxf>
      <font>
        <color theme="0"/>
      </font>
    </dxf>
    <dxf>
      <font>
        <color theme="0"/>
      </font>
      <border>
        <left style="thin">
          <color auto="1"/>
        </left>
        <right/>
        <top/>
        <bottom/>
        <vertical/>
        <horizontal/>
      </border>
    </dxf>
    <dxf>
      <border>
        <left style="thin">
          <color auto="1"/>
        </left>
        <right/>
        <top/>
        <bottom/>
        <vertical/>
        <horizontal/>
      </border>
    </dxf>
    <dxf>
      <font>
        <color theme="0"/>
      </font>
    </dxf>
    <dxf>
      <font>
        <color theme="0"/>
      </font>
    </dxf>
    <dxf>
      <fill>
        <patternFill patternType="none">
          <bgColor auto="1"/>
        </patternFill>
      </fill>
      <border diagonalUp="0" diagonalDown="0" outline="0">
        <left/>
        <right style="thin">
          <color theme="4" tint="0.39997558519241921"/>
        </right>
        <top style="thin">
          <color theme="4" tint="0.39997558519241921"/>
        </top>
        <bottom style="thin">
          <color theme="4" tint="0.39997558519241921"/>
        </bottom>
      </border>
    </dxf>
    <dxf>
      <fill>
        <patternFill patternType="none">
          <bgColor auto="1"/>
        </patternFill>
      </fill>
      <border diagonalUp="0" diagonalDown="0" outline="0">
        <left style="thin">
          <color theme="4" tint="0.39997558519241921"/>
        </left>
        <right/>
        <top style="thin">
          <color theme="4" tint="0.39997558519241921"/>
        </top>
        <bottom style="thin">
          <color theme="4" tint="0.39997558519241921"/>
        </bottom>
      </border>
    </dxf>
    <dxf>
      <border outline="0">
        <bottom style="thin">
          <color theme="4" tint="0.39997558519241921"/>
        </bottom>
      </border>
    </dxf>
    <dxf>
      <fill>
        <patternFill patternType="none">
          <bgColor auto="1"/>
        </patternFill>
      </fill>
    </dxf>
    <dxf>
      <fill>
        <patternFill patternType="none">
          <bgColor auto="1"/>
        </patternFill>
      </fill>
    </dxf>
  </dxfs>
  <tableStyles count="0" defaultTableStyle="TableStyleMedium2" defaultPivotStyle="PivotStyleLight16"/>
  <colors>
    <mruColors>
      <color rgb="FFC33A32"/>
      <color rgb="FF808080"/>
      <color rgb="FF419331"/>
      <color rgb="FFEDEBF5"/>
      <color rgb="FFFDFF99"/>
      <color rgb="FF59468D"/>
      <color rgb="FF97D88A"/>
      <color rgb="FF4097DB"/>
      <color rgb="FFFCBE37"/>
      <color rgb="FFAECFE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xml"/><Relationship Id="rId1" Type="http://schemas.microsoft.com/office/2011/relationships/chartStyle" Target="style1.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xml"/><Relationship Id="rId1" Type="http://schemas.microsoft.com/office/2011/relationships/chartStyle" Target="style2.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3.xml"/><Relationship Id="rId1" Type="http://schemas.microsoft.com/office/2011/relationships/chartStyle" Target="style3.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9.xml"/><Relationship Id="rId2" Type="http://schemas.microsoft.com/office/2011/relationships/chartColorStyle" Target="colors4.xml"/><Relationship Id="rId1" Type="http://schemas.microsoft.com/office/2011/relationships/chartStyle" Target="style4.xml"/></Relationships>
</file>

<file path=xl/charts/_rels/chart9.xml.rels><?xml version="1.0" encoding="UTF-8" standalone="yes"?>
<Relationships xmlns="http://schemas.openxmlformats.org/package/2006/relationships"><Relationship Id="rId3" Type="http://schemas.openxmlformats.org/officeDocument/2006/relationships/chartUserShapes" Target="../drawings/drawing10.xml"/><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Summary'!$P$149</c:f>
          <c:strCache>
            <c:ptCount val="1"/>
            <c:pt idx="0">
              <c:v>Average weekly gross rent (£ per week) for England - LARPs &amp; all PRPs</c:v>
            </c:pt>
          </c:strCache>
        </c:strRef>
      </c:tx>
      <c:layout>
        <c:manualLayout>
          <c:xMode val="edge"/>
          <c:yMode val="edge"/>
          <c:x val="8.351273198945899E-3"/>
          <c:y val="5.7348074457444727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7649214589"/>
          <c:y val="0.24863758806464981"/>
          <c:w val="0.81457844840345561"/>
          <c:h val="0.59134614014268705"/>
        </c:manualLayout>
      </c:layout>
      <c:barChart>
        <c:barDir val="col"/>
        <c:grouping val="clustered"/>
        <c:varyColors val="0"/>
        <c:ser>
          <c:idx val="0"/>
          <c:order val="0"/>
          <c:tx>
            <c:strRef>
              <c:f>'Area Summary'!$B$153</c:f>
              <c:strCache>
                <c:ptCount val="1"/>
              </c:strCache>
            </c:strRef>
          </c:tx>
          <c:spPr>
            <a:solidFill>
              <a:srgbClr val="AECFE6"/>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'Area Summary'!$B$153:$B$157</c:f>
              <c:strCache>
                <c:ptCount val="5"/>
                <c:pt idx="4">
                  <c:v>England</c:v>
                </c:pt>
              </c:strCache>
            </c:strRef>
          </c:cat>
          <c:val>
            <c:numRef>
              <c:f>'Area Summary'!$G$153</c:f>
              <c:numCache>
                <c:formatCode>"£"#,##0.00;\-"£"#,##0.0000_-;"-"</c:formatCode>
                <c:ptCount val="1"/>
                <c:pt idx="0">
                  <c:v>0</c:v>
                </c:pt>
              </c:numCache>
            </c:numRef>
          </c:val>
          <c:extLst>
            <c:ext xmlns:c16="http://schemas.microsoft.com/office/drawing/2014/chart" uri="{C3380CC4-5D6E-409C-BE32-E72D297353CC}">
              <c16:uniqueId val="{00000000-4066-434B-9B45-66EEC446BF28}"/>
            </c:ext>
          </c:extLst>
        </c:ser>
        <c:ser>
          <c:idx val="1"/>
          <c:order val="1"/>
          <c:tx>
            <c:strRef>
              <c:f>'Area Summary'!$B$155</c:f>
              <c:strCache>
                <c:ptCount val="1"/>
              </c:strCache>
            </c:strRef>
          </c:tx>
          <c:spPr>
            <a:solidFill>
              <a:srgbClr val="59468D"/>
            </a:solidFill>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'Area Summary'!$B$153:$B$157</c:f>
              <c:strCache>
                <c:ptCount val="5"/>
                <c:pt idx="4">
                  <c:v>England</c:v>
                </c:pt>
              </c:strCache>
            </c:strRef>
          </c:cat>
          <c:val>
            <c:numRef>
              <c:f>'Area Summary'!$G$155</c:f>
              <c:numCache>
                <c:formatCode>"£"#,##0.00;\-"£"#,##0.0000_-;"-"</c:formatCode>
                <c:ptCount val="1"/>
                <c:pt idx="0">
                  <c:v>0</c:v>
                </c:pt>
              </c:numCache>
            </c:numRef>
          </c:val>
          <c:extLst>
            <c:ext xmlns:c16="http://schemas.microsoft.com/office/drawing/2014/chart" uri="{C3380CC4-5D6E-409C-BE32-E72D297353CC}">
              <c16:uniqueId val="{00000001-4066-434B-9B45-66EEC446BF28}"/>
            </c:ext>
          </c:extLst>
        </c:ser>
        <c:ser>
          <c:idx val="2"/>
          <c:order val="2"/>
          <c:tx>
            <c:strRef>
              <c:f>'Area Summary'!$B$157</c:f>
              <c:strCache>
                <c:ptCount val="1"/>
                <c:pt idx="0">
                  <c:v>England</c:v>
                </c:pt>
              </c:strCache>
            </c:strRef>
          </c:tx>
          <c:spPr>
            <a:solidFill>
              <a:srgbClr val="FCBE37"/>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'Area Summary'!$B$153:$B$157</c:f>
              <c:strCache>
                <c:ptCount val="5"/>
                <c:pt idx="4">
                  <c:v>England</c:v>
                </c:pt>
              </c:strCache>
            </c:strRef>
          </c:cat>
          <c:val>
            <c:numRef>
              <c:f>'Area Summary'!$G$157</c:f>
              <c:numCache>
                <c:formatCode>"£"#,##0.00;\-"£"#,##0.0000_-;"-"</c:formatCode>
                <c:ptCount val="1"/>
                <c:pt idx="0">
                  <c:v>168.23</c:v>
                </c:pt>
              </c:numCache>
            </c:numRef>
          </c:val>
          <c:extLst>
            <c:ext xmlns:c16="http://schemas.microsoft.com/office/drawing/2014/chart" uri="{C3380CC4-5D6E-409C-BE32-E72D297353CC}">
              <c16:uniqueId val="{00000002-4066-434B-9B45-66EEC446BF28}"/>
            </c:ext>
          </c:extLst>
        </c:ser>
        <c:dLbls>
          <c:showLegendKey val="0"/>
          <c:showVal val="0"/>
          <c:showCatName val="0"/>
          <c:showSerName val="0"/>
          <c:showPercent val="0"/>
          <c:showBubbleSize val="0"/>
        </c:dLbls>
        <c:gapWidth val="300"/>
        <c:overlap val="-100"/>
        <c:axId val="368706688"/>
        <c:axId val="368708224"/>
      </c:barChart>
      <c:catAx>
        <c:axId val="368706688"/>
        <c:scaling>
          <c:orientation val="minMax"/>
        </c:scaling>
        <c:delete val="0"/>
        <c:axPos val="b"/>
        <c:numFmt formatCode="General" sourceLinked="1"/>
        <c:majorTickMark val="out"/>
        <c:minorTickMark val="none"/>
        <c:tickLblPos val="nextTo"/>
        <c:txPr>
          <a:bodyPr/>
          <a:lstStyle/>
          <a:p>
            <a:pPr>
              <a:defRPr>
                <a:solidFill>
                  <a:schemeClr val="bg1"/>
                </a:solidFill>
              </a:defRPr>
            </a:pPr>
            <a:endParaRPr lang="en-US"/>
          </a:p>
        </c:txPr>
        <c:crossAx val="368708224"/>
        <c:crossesAt val="0"/>
        <c:auto val="1"/>
        <c:lblAlgn val="ctr"/>
        <c:lblOffset val="100"/>
        <c:noMultiLvlLbl val="0"/>
      </c:catAx>
      <c:valAx>
        <c:axId val="368708224"/>
        <c:scaling>
          <c:orientation val="minMax"/>
          <c:min val="0"/>
        </c:scaling>
        <c:delete val="0"/>
        <c:axPos val="l"/>
        <c:majorGridlines>
          <c:spPr>
            <a:ln>
              <a:solidFill>
                <a:schemeClr val="bg1"/>
              </a:solid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a:t>
                </a:r>
                <a:r>
                  <a:rPr lang="en-US" b="1" baseline="0">
                    <a:latin typeface="Arial" panose="020B0604020202020204" pitchFamily="34" charset="0"/>
                    <a:cs typeface="Arial" panose="020B0604020202020204" pitchFamily="34" charset="0"/>
                  </a:rPr>
                  <a:t> week</a:t>
                </a:r>
                <a:endParaRPr lang="en-US" b="1">
                  <a:latin typeface="Arial" panose="020B0604020202020204" pitchFamily="34" charset="0"/>
                  <a:cs typeface="Arial" panose="020B0604020202020204" pitchFamily="34" charset="0"/>
                </a:endParaRPr>
              </a:p>
            </c:rich>
          </c:tx>
          <c:layout>
            <c:manualLayout>
              <c:xMode val="edge"/>
              <c:yMode val="edge"/>
              <c:x val="1.8377284688458895E-2"/>
              <c:y val="0.4057544085761659"/>
            </c:manualLayout>
          </c:layout>
          <c:overlay val="0"/>
        </c:title>
        <c:numFmt formatCode="&quot;£&quot;#,##0" sourceLinked="0"/>
        <c:majorTickMark val="out"/>
        <c:minorTickMark val="none"/>
        <c:tickLblPos val="nextTo"/>
        <c:spPr>
          <a:ln/>
        </c:spPr>
        <c:txPr>
          <a:bodyPr/>
          <a:lstStyle/>
          <a:p>
            <a:pPr>
              <a:defRPr>
                <a:latin typeface="Arial" panose="020B0604020202020204" pitchFamily="34" charset="0"/>
                <a:cs typeface="Arial" panose="020B0604020202020204" pitchFamily="34" charset="0"/>
              </a:defRPr>
            </a:pPr>
            <a:endParaRPr lang="en-US"/>
          </a:p>
        </c:txPr>
        <c:crossAx val="368706688"/>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orientation="portrait"/>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Summary'!$P$8</c:f>
          <c:strCache>
            <c:ptCount val="1"/>
          </c:strCache>
        </c:strRef>
      </c:tx>
      <c:layout>
        <c:manualLayout>
          <c:xMode val="edge"/>
          <c:yMode val="edge"/>
          <c:x val="1.3094064599391145E-3"/>
          <c:y val="0"/>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1848129125648578"/>
          <c:y val="0.14226056849276819"/>
          <c:w val="0.42884650478320813"/>
          <c:h val="0.75656419277377562"/>
        </c:manualLayout>
      </c:layout>
      <c:pieChart>
        <c:varyColors val="1"/>
        <c:ser>
          <c:idx val="0"/>
          <c:order val="0"/>
          <c:tx>
            <c:strRef>
              <c:f>'Area Summary'!$P$11:$P$13</c:f>
              <c:strCache>
                <c:ptCount val="3"/>
                <c:pt idx="0">
                  <c:v>General needs</c:v>
                </c:pt>
                <c:pt idx="1">
                  <c:v>Supported housing/
housing for older people</c:v>
                </c:pt>
                <c:pt idx="2">
                  <c:v>Low cost home ownership (LCHO)</c:v>
                </c:pt>
              </c:strCache>
            </c:strRef>
          </c:tx>
          <c:spPr>
            <a:solidFill>
              <a:srgbClr val="59468D"/>
            </a:solidFill>
            <a:ln>
              <a:noFill/>
            </a:ln>
          </c:spPr>
          <c:dPt>
            <c:idx val="0"/>
            <c:bubble3D val="0"/>
            <c:spPr>
              <a:solidFill>
                <a:srgbClr val="59468D"/>
              </a:solidFill>
              <a:ln w="19050">
                <a:noFill/>
              </a:ln>
              <a:effectLst/>
            </c:spPr>
            <c:extLst>
              <c:ext xmlns:c16="http://schemas.microsoft.com/office/drawing/2014/chart" uri="{C3380CC4-5D6E-409C-BE32-E72D297353CC}">
                <c16:uniqueId val="{00000001-9BEA-42A8-A512-8A565AE82BDC}"/>
              </c:ext>
            </c:extLst>
          </c:dPt>
          <c:dPt>
            <c:idx val="1"/>
            <c:bubble3D val="0"/>
            <c:spPr>
              <a:solidFill>
                <a:srgbClr val="FCBE37"/>
              </a:solidFill>
              <a:ln w="19050">
                <a:noFill/>
              </a:ln>
              <a:effectLst/>
            </c:spPr>
            <c:extLst>
              <c:ext xmlns:c16="http://schemas.microsoft.com/office/drawing/2014/chart" uri="{C3380CC4-5D6E-409C-BE32-E72D297353CC}">
                <c16:uniqueId val="{00000002-E7A6-468D-ABB9-9FBA1151C626}"/>
              </c:ext>
            </c:extLst>
          </c:dPt>
          <c:dPt>
            <c:idx val="2"/>
            <c:bubble3D val="0"/>
            <c:spPr>
              <a:solidFill>
                <a:srgbClr val="AECFE6"/>
              </a:solidFill>
              <a:ln w="19050">
                <a:noFill/>
              </a:ln>
              <a:effectLst/>
            </c:spPr>
            <c:extLst>
              <c:ext xmlns:c16="http://schemas.microsoft.com/office/drawing/2014/chart" uri="{C3380CC4-5D6E-409C-BE32-E72D297353CC}">
                <c16:uniqueId val="{00000003-E7A6-468D-ABB9-9FBA1151C626}"/>
              </c:ext>
            </c:extLst>
          </c:dPt>
          <c:dLbls>
            <c:dLbl>
              <c:idx val="1"/>
              <c:tx>
                <c:rich>
                  <a:bodyPr/>
                  <a:lstStyle/>
                  <a:p>
                    <a:fld id="{B42BB8E8-7BE3-47D3-A57A-C43C013E1FE3}" type="VALUE">
                      <a:rPr lang="en-US"/>
                      <a:pPr/>
                      <a:t>[VALUE]</a:t>
                    </a:fld>
                    <a:endParaRPr lang="en-GB"/>
                  </a:p>
                </c:rich>
              </c:tx>
              <c:dLblPos val="outEnd"/>
              <c:showLegendKey val="0"/>
              <c:showVal val="1"/>
              <c:showCatName val="0"/>
              <c:showSerName val="0"/>
              <c:showPercent val="0"/>
              <c:showBubbleSize val="0"/>
              <c:extLst>
                <c:ext xmlns:c15="http://schemas.microsoft.com/office/drawing/2012/chart" uri="{CE6537A1-D6FC-4f65-9D91-7224C49458BB}">
                  <c15:dlblFieldTable/>
                  <c15:showDataLabelsRange val="0"/>
                </c:ext>
                <c:ext xmlns:c16="http://schemas.microsoft.com/office/drawing/2014/chart" uri="{C3380CC4-5D6E-409C-BE32-E72D297353CC}">
                  <c16:uniqueId val="{00000002-E7A6-468D-ABB9-9FBA1151C626}"/>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extLst>
          </c:dLbls>
          <c:cat>
            <c:strRef>
              <c:f>'Area Summary'!$P$11:$P$13</c:f>
              <c:strCache>
                <c:ptCount val="3"/>
                <c:pt idx="0">
                  <c:v>General needs</c:v>
                </c:pt>
                <c:pt idx="1">
                  <c:v>Supported housing/
housing for older people</c:v>
                </c:pt>
                <c:pt idx="2">
                  <c:v>Low cost home ownership (LCHO)</c:v>
                </c:pt>
              </c:strCache>
            </c:strRef>
          </c:cat>
          <c:val>
            <c:numRef>
              <c:f>'Area Summary'!$Q$11:$Q$13</c:f>
              <c:numCache>
                <c:formatCode>#,##0;\-#,##0,\-;"-"</c:formatCode>
                <c:ptCount val="3"/>
                <c:pt idx="0">
                  <c:v>0</c:v>
                </c:pt>
                <c:pt idx="1">
                  <c:v>0</c:v>
                </c:pt>
                <c:pt idx="2">
                  <c:v>0</c:v>
                </c:pt>
              </c:numCache>
            </c:numRef>
          </c:val>
          <c:extLst>
            <c:ext xmlns:c16="http://schemas.microsoft.com/office/drawing/2014/chart" uri="{C3380CC4-5D6E-409C-BE32-E72D297353CC}">
              <c16:uniqueId val="{00000000-E7A6-468D-ABB9-9FBA1151C626}"/>
            </c:ext>
          </c:extLst>
        </c:ser>
        <c:dLbls>
          <c:showLegendKey val="0"/>
          <c:showVal val="0"/>
          <c:showCatName val="0"/>
          <c:showSerName val="0"/>
          <c:showPercent val="0"/>
          <c:showBubbleSize val="0"/>
          <c:showLeaderLines val="0"/>
        </c:dLbls>
        <c:firstSliceAng val="0"/>
      </c:pieChart>
      <c:spPr>
        <a:noFill/>
        <a:ln>
          <a:noFill/>
        </a:ln>
        <a:effectLst/>
      </c:spPr>
    </c:plotArea>
    <c:legend>
      <c:legendPos val="r"/>
      <c:layout>
        <c:manualLayout>
          <c:xMode val="edge"/>
          <c:yMode val="edge"/>
          <c:x val="0.68769527759985405"/>
          <c:y val="0.25421036466186409"/>
          <c:w val="0.31029467183075565"/>
          <c:h val="0.5048913832579438"/>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Summary'!$P$149</c:f>
          <c:strCache>
            <c:ptCount val="1"/>
            <c:pt idx="0">
              <c:v>Average weekly gross rent (£ per week) for England - LARPs &amp; all PRPs</c:v>
            </c:pt>
          </c:strCache>
        </c:strRef>
      </c:tx>
      <c:layout>
        <c:manualLayout>
          <c:xMode val="edge"/>
          <c:yMode val="edge"/>
          <c:x val="6.3397320469670056E-3"/>
          <c:y val="5.3938058847716464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598633188198913"/>
          <c:y val="0.27490994660150242"/>
          <c:w val="0.81658370993458951"/>
          <c:h val="0.56507384238849534"/>
        </c:manualLayout>
      </c:layout>
      <c:barChart>
        <c:barDir val="col"/>
        <c:grouping val="clustered"/>
        <c:varyColors val="0"/>
        <c:ser>
          <c:idx val="0"/>
          <c:order val="0"/>
          <c:tx>
            <c:strRef>
              <c:f>'Area Summary'!$B$174</c:f>
              <c:strCache>
                <c:ptCount val="1"/>
              </c:strCache>
            </c:strRef>
          </c:tx>
          <c:spPr>
            <a:solidFill>
              <a:srgbClr val="AECFE6"/>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767-4891-AF2B-FB41ABD5D012}"/>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'Area Summary'!$G$174</c:f>
              <c:numCache>
                <c:formatCode>"£"#,##0.00;\-"£"#,##0.0000_-;"-"</c:formatCode>
                <c:ptCount val="1"/>
                <c:pt idx="0">
                  <c:v>0</c:v>
                </c:pt>
              </c:numCache>
            </c:numRef>
          </c:val>
          <c:extLst>
            <c:ext xmlns:c16="http://schemas.microsoft.com/office/drawing/2014/chart" uri="{C3380CC4-5D6E-409C-BE32-E72D297353CC}">
              <c16:uniqueId val="{00000001-5767-4891-AF2B-FB41ABD5D012}"/>
            </c:ext>
          </c:extLst>
        </c:ser>
        <c:ser>
          <c:idx val="1"/>
          <c:order val="1"/>
          <c:tx>
            <c:strRef>
              <c:f>'Area Summary'!$B$176</c:f>
              <c:strCache>
                <c:ptCount val="1"/>
              </c:strCache>
            </c:strRef>
          </c:tx>
          <c:spPr>
            <a:solidFill>
              <a:srgbClr val="59468D"/>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Summary'!$G$176</c:f>
              <c:numCache>
                <c:formatCode>"£"#,##0.00;\-"£"#,##0.0000_-;"-"</c:formatCode>
                <c:ptCount val="1"/>
                <c:pt idx="0">
                  <c:v>0</c:v>
                </c:pt>
              </c:numCache>
            </c:numRef>
          </c:val>
          <c:extLst>
            <c:ext xmlns:c16="http://schemas.microsoft.com/office/drawing/2014/chart" uri="{C3380CC4-5D6E-409C-BE32-E72D297353CC}">
              <c16:uniqueId val="{00000002-5767-4891-AF2B-FB41ABD5D012}"/>
            </c:ext>
          </c:extLst>
        </c:ser>
        <c:ser>
          <c:idx val="2"/>
          <c:order val="2"/>
          <c:tx>
            <c:strRef>
              <c:f>'Area Summary'!$B$178</c:f>
              <c:strCache>
                <c:ptCount val="1"/>
                <c:pt idx="0">
                  <c:v>England</c:v>
                </c:pt>
              </c:strCache>
            </c:strRef>
          </c:tx>
          <c:spPr>
            <a:solidFill>
              <a:srgbClr val="FCBE37"/>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5767-4891-AF2B-FB41ABD5D012}"/>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'Area Summary'!$G$178</c:f>
              <c:numCache>
                <c:formatCode>"£"#,##0.00;\-"£"#,##0.0000_-;"-"</c:formatCode>
                <c:ptCount val="1"/>
                <c:pt idx="0">
                  <c:v>218.26</c:v>
                </c:pt>
              </c:numCache>
            </c:numRef>
          </c:val>
          <c:extLst>
            <c:ext xmlns:c16="http://schemas.microsoft.com/office/drawing/2014/chart" uri="{C3380CC4-5D6E-409C-BE32-E72D297353CC}">
              <c16:uniqueId val="{00000004-5767-4891-AF2B-FB41ABD5D012}"/>
            </c:ext>
          </c:extLst>
        </c:ser>
        <c:dLbls>
          <c:showLegendKey val="0"/>
          <c:showVal val="0"/>
          <c:showCatName val="0"/>
          <c:showSerName val="0"/>
          <c:showPercent val="0"/>
          <c:showBubbleSize val="0"/>
        </c:dLbls>
        <c:gapWidth val="300"/>
        <c:overlap val="-100"/>
        <c:axId val="368745472"/>
        <c:axId val="368759552"/>
      </c:barChart>
      <c:catAx>
        <c:axId val="368745472"/>
        <c:scaling>
          <c:orientation val="minMax"/>
        </c:scaling>
        <c:delete val="0"/>
        <c:axPos val="b"/>
        <c:numFmt formatCode="#,##0.00" sourceLinked="1"/>
        <c:majorTickMark val="out"/>
        <c:minorTickMark val="none"/>
        <c:tickLblPos val="none"/>
        <c:crossAx val="368759552"/>
        <c:crossesAt val="0"/>
        <c:auto val="1"/>
        <c:lblAlgn val="ctr"/>
        <c:lblOffset val="100"/>
        <c:noMultiLvlLbl val="0"/>
      </c:catAx>
      <c:valAx>
        <c:axId val="368759552"/>
        <c:scaling>
          <c:orientation val="minMax"/>
          <c:min val="0"/>
        </c:scaling>
        <c:delete val="0"/>
        <c:axPos val="l"/>
        <c:majorGridlines>
          <c:spPr>
            <a:ln>
              <a:solidFill>
                <a:schemeClr val="bg1"/>
              </a:solid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1.0738062581176697E-2"/>
              <c:y val="0.45774614953125004"/>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68745472"/>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Summary'!$P$57</c:f>
          <c:strCache>
            <c:ptCount val="1"/>
          </c:strCache>
        </c:strRef>
      </c:tx>
      <c:layout>
        <c:manualLayout>
          <c:xMode val="edge"/>
          <c:yMode val="edge"/>
          <c:x val="6.3599701321599708E-3"/>
          <c:y val="5.3937772341564098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826965364635182"/>
          <c:y val="0.24863758806464981"/>
          <c:w val="0.81449938488306928"/>
          <c:h val="0.59134594601014234"/>
        </c:manualLayout>
      </c:layout>
      <c:barChart>
        <c:barDir val="col"/>
        <c:grouping val="clustered"/>
        <c:varyColors val="0"/>
        <c:ser>
          <c:idx val="1"/>
          <c:order val="0"/>
          <c:tx>
            <c:strRef>
              <c:f>'Area Summary'!$B$59</c:f>
              <c:strCache>
                <c:ptCount val="1"/>
              </c:strCache>
            </c:strRef>
          </c:tx>
          <c:spPr>
            <a:solidFill>
              <a:srgbClr val="AECFE6"/>
            </a:solidFill>
            <a:ln>
              <a:noFill/>
            </a:ln>
          </c:spPr>
          <c:invertIfNegative val="0"/>
          <c:dPt>
            <c:idx val="0"/>
            <c:invertIfNegative val="0"/>
            <c:bubble3D val="0"/>
            <c:extLst>
              <c:ext xmlns:c16="http://schemas.microsoft.com/office/drawing/2014/chart" uri="{C3380CC4-5D6E-409C-BE32-E72D297353CC}">
                <c16:uniqueId val="{00000000-C5ED-4CBC-AD2B-3B683B35591F}"/>
              </c:ext>
            </c:extLst>
          </c:dPt>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Summary'!$G$59</c:f>
              <c:numCache>
                <c:formatCode>"£"#,##0.00;\-"£"#,##0.0000_-;"-"</c:formatCode>
                <c:ptCount val="1"/>
                <c:pt idx="0">
                  <c:v>0</c:v>
                </c:pt>
              </c:numCache>
            </c:numRef>
          </c:val>
          <c:extLst>
            <c:ext xmlns:c16="http://schemas.microsoft.com/office/drawing/2014/chart" uri="{C3380CC4-5D6E-409C-BE32-E72D297353CC}">
              <c16:uniqueId val="{00000001-C5ED-4CBC-AD2B-3B683B35591F}"/>
            </c:ext>
          </c:extLst>
        </c:ser>
        <c:ser>
          <c:idx val="0"/>
          <c:order val="1"/>
          <c:tx>
            <c:strRef>
              <c:f>'Area Summary'!$B$61</c:f>
              <c:strCache>
                <c:ptCount val="1"/>
              </c:strCache>
            </c:strRef>
          </c:tx>
          <c:spPr>
            <a:solidFill>
              <a:srgbClr val="59468D"/>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Summary'!$G$61</c:f>
              <c:numCache>
                <c:formatCode>"£"#,##0.00;\-"£"#,##0.0000_-;"-"</c:formatCode>
                <c:ptCount val="1"/>
                <c:pt idx="0">
                  <c:v>0</c:v>
                </c:pt>
              </c:numCache>
            </c:numRef>
          </c:val>
          <c:extLst>
            <c:ext xmlns:c16="http://schemas.microsoft.com/office/drawing/2014/chart" uri="{C3380CC4-5D6E-409C-BE32-E72D297353CC}">
              <c16:uniqueId val="{00000002-C5ED-4CBC-AD2B-3B683B35591F}"/>
            </c:ext>
          </c:extLst>
        </c:ser>
        <c:ser>
          <c:idx val="2"/>
          <c:order val="2"/>
          <c:tx>
            <c:strRef>
              <c:f>'Area Summary'!$B$63</c:f>
              <c:strCache>
                <c:ptCount val="1"/>
                <c:pt idx="0">
                  <c:v>England</c:v>
                </c:pt>
              </c:strCache>
            </c:strRef>
          </c:tx>
          <c:spPr>
            <a:solidFill>
              <a:srgbClr val="FCBE37"/>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Summary'!$G$63</c:f>
              <c:numCache>
                <c:formatCode>"£"#,##0.00;\-"£"#,##0.0000_-;"-"</c:formatCode>
                <c:ptCount val="1"/>
                <c:pt idx="0">
                  <c:v>113.69</c:v>
                </c:pt>
              </c:numCache>
            </c:numRef>
          </c:val>
          <c:extLst>
            <c:ext xmlns:c16="http://schemas.microsoft.com/office/drawing/2014/chart" uri="{C3380CC4-5D6E-409C-BE32-E72D297353CC}">
              <c16:uniqueId val="{00000003-C5ED-4CBC-AD2B-3B683B35591F}"/>
            </c:ext>
          </c:extLst>
        </c:ser>
        <c:dLbls>
          <c:showLegendKey val="0"/>
          <c:showVal val="0"/>
          <c:showCatName val="0"/>
          <c:showSerName val="0"/>
          <c:showPercent val="0"/>
          <c:showBubbleSize val="0"/>
        </c:dLbls>
        <c:gapWidth val="300"/>
        <c:overlap val="-100"/>
        <c:axId val="368669824"/>
        <c:axId val="368671360"/>
      </c:barChart>
      <c:catAx>
        <c:axId val="368669824"/>
        <c:scaling>
          <c:orientation val="minMax"/>
        </c:scaling>
        <c:delete val="0"/>
        <c:axPos val="b"/>
        <c:numFmt formatCode="#,##0.00" sourceLinked="1"/>
        <c:majorTickMark val="out"/>
        <c:minorTickMark val="none"/>
        <c:tickLblPos val="none"/>
        <c:spPr>
          <a:ln>
            <a:solidFill>
              <a:sysClr val="windowText" lastClr="000000"/>
            </a:solidFill>
          </a:ln>
        </c:spPr>
        <c:crossAx val="368671360"/>
        <c:crossesAt val="0"/>
        <c:auto val="1"/>
        <c:lblAlgn val="ctr"/>
        <c:lblOffset val="0"/>
        <c:tickLblSkip val="1"/>
        <c:noMultiLvlLbl val="0"/>
      </c:catAx>
      <c:valAx>
        <c:axId val="368671360"/>
        <c:scaling>
          <c:orientation val="minMax"/>
          <c:min val="0"/>
        </c:scaling>
        <c:delete val="0"/>
        <c:axPos val="l"/>
        <c:majorGridlines>
          <c:spPr>
            <a:ln>
              <a:no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a:t>
                </a:r>
                <a:r>
                  <a:rPr lang="en-US" b="1" baseline="0">
                    <a:latin typeface="Arial" panose="020B0604020202020204" pitchFamily="34" charset="0"/>
                    <a:cs typeface="Arial" panose="020B0604020202020204" pitchFamily="34" charset="0"/>
                  </a:rPr>
                  <a:t> per </a:t>
                </a:r>
                <a:r>
                  <a:rPr lang="en-US" b="1">
                    <a:latin typeface="Arial" panose="020B0604020202020204" pitchFamily="34" charset="0"/>
                    <a:cs typeface="Arial" panose="020B0604020202020204" pitchFamily="34" charset="0"/>
                  </a:rPr>
                  <a:t>week</a:t>
                </a:r>
              </a:p>
            </c:rich>
          </c:tx>
          <c:layout>
            <c:manualLayout>
              <c:xMode val="edge"/>
              <c:yMode val="edge"/>
              <c:x val="1.4948274115741258E-2"/>
              <c:y val="0.41984926884139484"/>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68669824"/>
        <c:crosses val="autoZero"/>
        <c:crossBetween val="between"/>
      </c:valAx>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chemeClr val="tx1"/>
      </a:solid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Summary'!$P$57</c:f>
          <c:strCache>
            <c:ptCount val="1"/>
          </c:strCache>
        </c:strRef>
      </c:tx>
      <c:layout>
        <c:manualLayout>
          <c:xMode val="edge"/>
          <c:yMode val="edge"/>
          <c:x val="8.3545001941107214E-3"/>
          <c:y val="4.7600505386781754E-2"/>
        </c:manualLayout>
      </c:layout>
      <c:overlay val="0"/>
      <c:txPr>
        <a:bodyPr/>
        <a:lstStyle/>
        <a:p>
          <a:pPr algn="l">
            <a:defRPr sz="1200" b="0">
              <a:solidFill>
                <a:srgbClr val="59468D"/>
              </a:solidFill>
              <a:latin typeface="Arial" panose="020B0604020202020204" pitchFamily="34" charset="0"/>
              <a:cs typeface="Arial" panose="020B0604020202020204" pitchFamily="34" charset="0"/>
            </a:defRPr>
          </a:pPr>
          <a:endParaRPr lang="en-US"/>
        </a:p>
      </c:txPr>
    </c:title>
    <c:autoTitleDeleted val="0"/>
    <c:plotArea>
      <c:layout>
        <c:manualLayout>
          <c:layoutTarget val="inner"/>
          <c:xMode val="edge"/>
          <c:yMode val="edge"/>
          <c:x val="0.12601170228302991"/>
          <c:y val="0.25302355297693052"/>
          <c:w val="0.81432929310802438"/>
          <c:h val="0.58696016725676203"/>
        </c:manualLayout>
      </c:layout>
      <c:barChart>
        <c:barDir val="col"/>
        <c:grouping val="clustered"/>
        <c:varyColors val="0"/>
        <c:ser>
          <c:idx val="0"/>
          <c:order val="0"/>
          <c:tx>
            <c:strRef>
              <c:f>'Area Summary'!$B$83</c:f>
              <c:strCache>
                <c:ptCount val="1"/>
              </c:strCache>
            </c:strRef>
          </c:tx>
          <c:spPr>
            <a:solidFill>
              <a:srgbClr val="AECFE6"/>
            </a:solidFill>
            <a:ln>
              <a:noFill/>
            </a:ln>
          </c:spPr>
          <c:invertIfNegative val="0"/>
          <c:dPt>
            <c:idx val="0"/>
            <c:invertIfNegative val="0"/>
            <c:bubble3D val="0"/>
            <c:extLst>
              <c:ext xmlns:c16="http://schemas.microsoft.com/office/drawing/2014/chart" uri="{C3380CC4-5D6E-409C-BE32-E72D297353CC}">
                <c16:uniqueId val="{00000000-BB97-4C37-9850-8EA53838B4D1}"/>
              </c:ext>
            </c:extLst>
          </c:dPt>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Summary'!$G$83</c:f>
              <c:numCache>
                <c:formatCode>"£"#,##0.00;\-"£"#,##0.0000_-;"-"</c:formatCode>
                <c:ptCount val="1"/>
                <c:pt idx="0">
                  <c:v>0</c:v>
                </c:pt>
              </c:numCache>
            </c:numRef>
          </c:val>
          <c:extLst>
            <c:ext xmlns:c16="http://schemas.microsoft.com/office/drawing/2014/chart" uri="{C3380CC4-5D6E-409C-BE32-E72D297353CC}">
              <c16:uniqueId val="{00000001-BB97-4C37-9850-8EA53838B4D1}"/>
            </c:ext>
          </c:extLst>
        </c:ser>
        <c:ser>
          <c:idx val="1"/>
          <c:order val="1"/>
          <c:tx>
            <c:strRef>
              <c:f>'Area Summary'!$B$85</c:f>
              <c:strCache>
                <c:ptCount val="1"/>
              </c:strCache>
            </c:strRef>
          </c:tx>
          <c:spPr>
            <a:solidFill>
              <a:srgbClr val="59468D"/>
            </a:solidFill>
            <a:ln>
              <a:noFill/>
            </a:ln>
          </c:spPr>
          <c:invertIfNegative val="0"/>
          <c:dLbls>
            <c:dLbl>
              <c:idx val="0"/>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BB97-4C37-9850-8EA53838B4D1}"/>
                </c:ext>
              </c:extLst>
            </c:dLbl>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0"/>
            <c:showCatName val="0"/>
            <c:showSerName val="0"/>
            <c:showPercent val="0"/>
            <c:showBubbleSize val="0"/>
            <c:extLst>
              <c:ext xmlns:c15="http://schemas.microsoft.com/office/drawing/2012/chart" uri="{CE6537A1-D6FC-4f65-9D91-7224C49458BB}">
                <c15:showLeaderLines val="1"/>
              </c:ext>
            </c:extLst>
          </c:dLbls>
          <c:val>
            <c:numRef>
              <c:f>'Area Summary'!$G$85</c:f>
              <c:numCache>
                <c:formatCode>"£"#,##0.00;\-"£"#,##0.0000_-;"-"</c:formatCode>
                <c:ptCount val="1"/>
                <c:pt idx="0">
                  <c:v>0</c:v>
                </c:pt>
              </c:numCache>
            </c:numRef>
          </c:val>
          <c:extLst>
            <c:ext xmlns:c16="http://schemas.microsoft.com/office/drawing/2014/chart" uri="{C3380CC4-5D6E-409C-BE32-E72D297353CC}">
              <c16:uniqueId val="{00000003-BB97-4C37-9850-8EA53838B4D1}"/>
            </c:ext>
          </c:extLst>
        </c:ser>
        <c:ser>
          <c:idx val="2"/>
          <c:order val="2"/>
          <c:tx>
            <c:strRef>
              <c:f>'Area Summary'!$B$87</c:f>
              <c:strCache>
                <c:ptCount val="1"/>
                <c:pt idx="0">
                  <c:v>England</c:v>
                </c:pt>
              </c:strCache>
            </c:strRef>
          </c:tx>
          <c:spPr>
            <a:solidFill>
              <a:srgbClr val="FCBE37"/>
            </a:solidFill>
            <a:ln>
              <a:noFill/>
            </a:ln>
          </c:spPr>
          <c:invertIfNegative val="0"/>
          <c:dLbls>
            <c:spPr>
              <a:noFill/>
              <a:ln>
                <a:noFill/>
              </a:ln>
              <a:effectLst/>
            </c:spPr>
            <c:txPr>
              <a:bodyPr wrap="square" lIns="38100" tIns="19050" rIns="38100" bIns="19050" anchor="ctr">
                <a:spAutoFit/>
              </a:bodyPr>
              <a:lstStyle/>
              <a:p>
                <a:pPr>
                  <a:defRPr>
                    <a:latin typeface="Arial" panose="020B0604020202020204" pitchFamily="34" charset="0"/>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'Area Summary'!$G$87</c:f>
              <c:numCache>
                <c:formatCode>"£"#,##0.00;\-"£"#,##0.0000_-;"-"</c:formatCode>
                <c:ptCount val="1"/>
                <c:pt idx="0">
                  <c:v>113.47</c:v>
                </c:pt>
              </c:numCache>
            </c:numRef>
          </c:val>
          <c:extLst>
            <c:ext xmlns:c16="http://schemas.microsoft.com/office/drawing/2014/chart" uri="{C3380CC4-5D6E-409C-BE32-E72D297353CC}">
              <c16:uniqueId val="{00000004-BB97-4C37-9850-8EA53838B4D1}"/>
            </c:ext>
          </c:extLst>
        </c:ser>
        <c:dLbls>
          <c:showLegendKey val="0"/>
          <c:showVal val="0"/>
          <c:showCatName val="0"/>
          <c:showSerName val="0"/>
          <c:showPercent val="0"/>
          <c:showBubbleSize val="0"/>
        </c:dLbls>
        <c:gapWidth val="300"/>
        <c:overlap val="-100"/>
        <c:axId val="368974464"/>
        <c:axId val="368984448"/>
      </c:barChart>
      <c:catAx>
        <c:axId val="368974464"/>
        <c:scaling>
          <c:orientation val="minMax"/>
        </c:scaling>
        <c:delete val="0"/>
        <c:axPos val="b"/>
        <c:numFmt formatCode="&quot;£&quot;#,##0.00" sourceLinked="1"/>
        <c:majorTickMark val="out"/>
        <c:minorTickMark val="none"/>
        <c:tickLblPos val="none"/>
        <c:crossAx val="368984448"/>
        <c:crosses val="autoZero"/>
        <c:auto val="1"/>
        <c:lblAlgn val="ctr"/>
        <c:lblOffset val="100"/>
        <c:noMultiLvlLbl val="0"/>
      </c:catAx>
      <c:valAx>
        <c:axId val="368984448"/>
        <c:scaling>
          <c:orientation val="minMax"/>
          <c:min val="0"/>
        </c:scaling>
        <c:delete val="0"/>
        <c:axPos val="l"/>
        <c:majorGridlines>
          <c:spPr>
            <a:ln>
              <a:solidFill>
                <a:schemeClr val="bg1"/>
              </a:solidFill>
            </a:ln>
          </c:spPr>
        </c:majorGridlines>
        <c:title>
          <c:tx>
            <c:rich>
              <a:bodyPr rot="-5400000" vert="horz"/>
              <a:lstStyle/>
              <a:p>
                <a:pPr>
                  <a:defRPr b="1">
                    <a:latin typeface="Arial" panose="020B0604020202020204" pitchFamily="34" charset="0"/>
                    <a:cs typeface="Arial" panose="020B0604020202020204" pitchFamily="34" charset="0"/>
                  </a:defRPr>
                </a:pPr>
                <a:r>
                  <a:rPr lang="en-US" b="1">
                    <a:latin typeface="Arial" panose="020B0604020202020204" pitchFamily="34" charset="0"/>
                    <a:cs typeface="Arial" panose="020B0604020202020204" pitchFamily="34" charset="0"/>
                  </a:rPr>
                  <a:t>£ per week</a:t>
                </a:r>
              </a:p>
            </c:rich>
          </c:tx>
          <c:layout>
            <c:manualLayout>
              <c:xMode val="edge"/>
              <c:yMode val="edge"/>
              <c:x val="1.2843698190879278E-2"/>
              <c:y val="0.41807419733817525"/>
            </c:manualLayout>
          </c:layout>
          <c:overlay val="0"/>
        </c:title>
        <c:numFmt formatCode="&quot;£&quot;#,##0" sourceLinked="0"/>
        <c:majorTickMark val="out"/>
        <c:minorTickMark val="none"/>
        <c:tickLblPos val="nextTo"/>
        <c:spPr>
          <a:ln>
            <a:solidFill>
              <a:schemeClr val="tx1"/>
            </a:solidFill>
          </a:ln>
        </c:spPr>
        <c:txPr>
          <a:bodyPr/>
          <a:lstStyle/>
          <a:p>
            <a:pPr>
              <a:defRPr>
                <a:latin typeface="Arial" panose="020B0604020202020204" pitchFamily="34" charset="0"/>
                <a:cs typeface="Arial" panose="020B0604020202020204" pitchFamily="34" charset="0"/>
              </a:defRPr>
            </a:pPr>
            <a:endParaRPr lang="en-US"/>
          </a:p>
        </c:txPr>
        <c:crossAx val="368974464"/>
        <c:crosses val="autoZero"/>
        <c:crossBetween val="between"/>
      </c:valAx>
      <c:spPr>
        <a:ln>
          <a:noFill/>
        </a:ln>
      </c:spPr>
    </c:plotArea>
    <c:legend>
      <c:legendPos val="b"/>
      <c:overlay val="0"/>
      <c:txPr>
        <a:bodyPr/>
        <a:lstStyle/>
        <a:p>
          <a:pPr>
            <a:defRPr>
              <a:latin typeface="Arial" panose="020B0604020202020204" pitchFamily="34" charset="0"/>
              <a:cs typeface="Arial" panose="020B0604020202020204" pitchFamily="34" charset="0"/>
            </a:defRPr>
          </a:pPr>
          <a:endParaRPr lang="en-US"/>
        </a:p>
      </c:txPr>
    </c:legend>
    <c:plotVisOnly val="1"/>
    <c:dispBlanksAs val="gap"/>
    <c:showDLblsOverMax val="0"/>
  </c:chart>
  <c:spPr>
    <a:ln>
      <a:solidFill>
        <a:sysClr val="windowText" lastClr="000000"/>
      </a:solid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Summary'!$P$104</c:f>
          <c:strCache>
            <c:ptCount val="1"/>
            <c:pt idx="0">
              <c:v>Average weekly net rent (£ per week) by unit size for  LARPs &amp; Large PRPs</c:v>
            </c:pt>
          </c:strCache>
        </c:strRef>
      </c:tx>
      <c:layout>
        <c:manualLayout>
          <c:xMode val="edge"/>
          <c:yMode val="edge"/>
          <c:x val="1.0060371412849411E-2"/>
          <c:y val="5.7532541256770382E-2"/>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9450244058859152E-2"/>
          <c:y val="0.18993799045277682"/>
          <c:w val="0.90114480033887168"/>
          <c:h val="0.49331911751957613"/>
        </c:manualLayout>
      </c:layout>
      <c:barChart>
        <c:barDir val="col"/>
        <c:grouping val="clustered"/>
        <c:varyColors val="0"/>
        <c:ser>
          <c:idx val="0"/>
          <c:order val="0"/>
          <c:tx>
            <c:v>LARP Rents</c:v>
          </c:tx>
          <c:spPr>
            <a:solidFill>
              <a:srgbClr val="AECFE6"/>
            </a:solidFill>
            <a:ln>
              <a:noFill/>
            </a:ln>
            <a:effectLst/>
          </c:spPr>
          <c:invertIfNegative val="0"/>
          <c:cat>
            <c:strRef>
              <c:f>'Area Summary'!$B$105:$B$114</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Summary'!$C$105:$C$114</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AC99-4220-8E47-312A858948C7}"/>
            </c:ext>
          </c:extLst>
        </c:ser>
        <c:ser>
          <c:idx val="1"/>
          <c:order val="1"/>
          <c:tx>
            <c:v>PRP Rents</c:v>
          </c:tx>
          <c:spPr>
            <a:solidFill>
              <a:srgbClr val="59468D"/>
            </a:solidFill>
            <a:ln w="9525">
              <a:noFill/>
            </a:ln>
            <a:effectLst/>
          </c:spPr>
          <c:invertIfNegative val="0"/>
          <c:cat>
            <c:strRef>
              <c:f>'Area Summary'!$B$105:$B$114</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Summary'!$E$105:$E$114</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AC99-4220-8E47-312A858948C7}"/>
            </c:ext>
          </c:extLst>
        </c:ser>
        <c:dLbls>
          <c:showLegendKey val="0"/>
          <c:showVal val="0"/>
          <c:showCatName val="0"/>
          <c:showSerName val="0"/>
          <c:showPercent val="0"/>
          <c:showBubbleSize val="0"/>
        </c:dLbls>
        <c:gapWidth val="50"/>
        <c:axId val="404355328"/>
        <c:axId val="1666720192"/>
      </c:barChart>
      <c:lineChart>
        <c:grouping val="stacked"/>
        <c:varyColors val="0"/>
        <c:ser>
          <c:idx val="2"/>
          <c:order val="2"/>
          <c:tx>
            <c:strRef>
              <c:f>'Area Summary'!$G$103:$G$104</c:f>
              <c:strCache>
                <c:ptCount val="2"/>
                <c:pt idx="0">
                  <c:v>Average net</c:v>
                </c:pt>
                <c:pt idx="1">
                  <c:v>rent</c:v>
                </c:pt>
              </c:strCache>
            </c:strRef>
          </c:tx>
          <c:spPr>
            <a:ln w="28575" cap="rnd">
              <a:noFill/>
              <a:round/>
            </a:ln>
            <a:effectLst/>
          </c:spPr>
          <c:marker>
            <c:symbol val="dash"/>
            <c:size val="27"/>
            <c:spPr>
              <a:solidFill>
                <a:srgbClr val="FCBE37"/>
              </a:solidFill>
              <a:ln w="12700" cap="sq" cmpd="sng">
                <a:noFill/>
                <a:miter lim="800000"/>
              </a:ln>
              <a:effectLst/>
            </c:spPr>
          </c:marker>
          <c:val>
            <c:numRef>
              <c:f>'Area Summary'!$G$105:$G$114</c:f>
              <c:numCache>
                <c:formatCode>"£"#,##0.00;\-"£"#,##0.0000_-;"-"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AC99-4220-8E47-312A858948C7}"/>
            </c:ext>
          </c:extLst>
        </c:ser>
        <c:dLbls>
          <c:showLegendKey val="0"/>
          <c:showVal val="0"/>
          <c:showCatName val="0"/>
          <c:showSerName val="0"/>
          <c:showPercent val="0"/>
          <c:showBubbleSize val="0"/>
        </c:dLbls>
        <c:marker val="1"/>
        <c:smooth val="0"/>
        <c:axId val="404355328"/>
        <c:axId val="1666720192"/>
      </c:lineChart>
      <c:catAx>
        <c:axId val="404355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chemeClr val="tx1"/>
                </a:solidFill>
                <a:latin typeface="Arial" panose="020B0604020202020204" pitchFamily="34" charset="0"/>
                <a:ea typeface="+mn-ea"/>
                <a:cs typeface="+mn-cs"/>
              </a:defRPr>
            </a:pPr>
            <a:endParaRPr lang="en-US"/>
          </a:p>
        </c:txPr>
        <c:crossAx val="1666720192"/>
        <c:crossesAt val="0"/>
        <c:auto val="1"/>
        <c:lblAlgn val="ctr"/>
        <c:lblOffset val="100"/>
        <c:noMultiLvlLbl val="0"/>
      </c:catAx>
      <c:valAx>
        <c:axId val="1666720192"/>
        <c:scaling>
          <c:orientation val="minMax"/>
          <c:max val="200"/>
          <c:min val="0"/>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404355328"/>
        <c:crosses val="autoZero"/>
        <c:crossBetween val="between"/>
        <c:majorUnit val="20"/>
        <c:minorUnit val="4"/>
      </c:valAx>
      <c:spPr>
        <a:noFill/>
        <a:ln>
          <a:noFill/>
        </a:ln>
        <a:effectLst/>
      </c:spPr>
    </c:plotArea>
    <c:legend>
      <c:legendPos val="b"/>
      <c:layout>
        <c:manualLayout>
          <c:xMode val="edge"/>
          <c:yMode val="edge"/>
          <c:x val="0.27539330471015072"/>
          <c:y val="0.91563978291938508"/>
          <c:w val="0.45927359432183662"/>
          <c:h val="8.0978982029933796E-2"/>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Summary'!$P$104</c:f>
          <c:strCache>
            <c:ptCount val="1"/>
            <c:pt idx="0">
              <c:v>Average weekly net rent (£ per week) by unit size for  LARPs &amp; Large PRPs</c:v>
            </c:pt>
          </c:strCache>
        </c:strRef>
      </c:tx>
      <c:layout>
        <c:manualLayout>
          <c:xMode val="edge"/>
          <c:yMode val="edge"/>
          <c:x val="1.0284973786204472E-2"/>
          <c:y val="5.6478455268468328E-2"/>
        </c:manualLayout>
      </c:layout>
      <c:overlay val="0"/>
      <c:spPr>
        <a:solidFill>
          <a:sysClr val="window" lastClr="FFFFFF"/>
        </a:solid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9315529835878954E-2"/>
          <c:y val="0.18807308970099668"/>
          <c:w val="0.88859611675046646"/>
          <c:h val="0.50143955842728971"/>
        </c:manualLayout>
      </c:layout>
      <c:barChart>
        <c:barDir val="col"/>
        <c:grouping val="clustered"/>
        <c:varyColors val="0"/>
        <c:ser>
          <c:idx val="0"/>
          <c:order val="0"/>
          <c:tx>
            <c:v>LARP Rents</c:v>
          </c:tx>
          <c:spPr>
            <a:solidFill>
              <a:srgbClr val="AECFE6"/>
            </a:solidFill>
            <a:ln>
              <a:noFill/>
            </a:ln>
            <a:effectLst/>
          </c:spPr>
          <c:invertIfNegative val="0"/>
          <c:cat>
            <c:strRef>
              <c:f>'Area Summary'!$B$128:$B$135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Summary'!$C$128:$C$135</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04F9-483C-A96B-5B6D07ECD094}"/>
            </c:ext>
          </c:extLst>
        </c:ser>
        <c:ser>
          <c:idx val="1"/>
          <c:order val="1"/>
          <c:tx>
            <c:v>PRP Rents</c:v>
          </c:tx>
          <c:spPr>
            <a:solidFill>
              <a:srgbClr val="59468D"/>
            </a:solidFill>
            <a:ln>
              <a:noFill/>
            </a:ln>
            <a:effectLst/>
          </c:spPr>
          <c:invertIfNegative val="0"/>
          <c:cat>
            <c:strRef>
              <c:f>'Area Summary'!$B$128:$B$135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Summary'!$E$128:$E$135</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04F9-483C-A96B-5B6D07ECD094}"/>
            </c:ext>
          </c:extLst>
        </c:ser>
        <c:dLbls>
          <c:showLegendKey val="0"/>
          <c:showVal val="0"/>
          <c:showCatName val="0"/>
          <c:showSerName val="0"/>
          <c:showPercent val="0"/>
          <c:showBubbleSize val="0"/>
        </c:dLbls>
        <c:gapWidth val="50"/>
        <c:axId val="450112095"/>
        <c:axId val="371219279"/>
      </c:barChart>
      <c:lineChart>
        <c:grouping val="standard"/>
        <c:varyColors val="0"/>
        <c:ser>
          <c:idx val="2"/>
          <c:order val="2"/>
          <c:tx>
            <c:v>Average net rent</c:v>
          </c:tx>
          <c:spPr>
            <a:ln w="28575" cap="rnd">
              <a:noFill/>
              <a:round/>
            </a:ln>
            <a:effectLst/>
          </c:spPr>
          <c:marker>
            <c:symbol val="dash"/>
            <c:size val="27"/>
            <c:spPr>
              <a:solidFill>
                <a:srgbClr val="FCBE37"/>
              </a:solidFill>
              <a:ln w="9525">
                <a:noFill/>
              </a:ln>
              <a:effectLst/>
            </c:spPr>
          </c:marker>
          <c:cat>
            <c:strRef>
              <c:f>'Area Summary'!$B$128:$B$135</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Summary'!$G$128:$G$135</c:f>
              <c:numCache>
                <c:formatCode>"£"#,##0.00;\-"£"#,##0.0000_-;"-"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04F9-483C-A96B-5B6D07ECD094}"/>
            </c:ext>
          </c:extLst>
        </c:ser>
        <c:dLbls>
          <c:showLegendKey val="0"/>
          <c:showVal val="0"/>
          <c:showCatName val="0"/>
          <c:showSerName val="0"/>
          <c:showPercent val="0"/>
          <c:showBubbleSize val="0"/>
        </c:dLbls>
        <c:marker val="1"/>
        <c:smooth val="0"/>
        <c:axId val="450112095"/>
        <c:axId val="371219279"/>
      </c:lineChart>
      <c:catAx>
        <c:axId val="450112095"/>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371219279"/>
        <c:crosses val="autoZero"/>
        <c:auto val="1"/>
        <c:lblAlgn val="ctr"/>
        <c:lblOffset val="100"/>
        <c:noMultiLvlLbl val="0"/>
      </c:catAx>
      <c:valAx>
        <c:axId val="371219279"/>
        <c:scaling>
          <c:orientation val="minMax"/>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45011209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chemeClr val="tx1"/>
      </a:solidFill>
      <a:round/>
    </a:ln>
    <a:effectLst/>
  </c:spPr>
  <c:txPr>
    <a:bodyPr/>
    <a:lstStyle/>
    <a:p>
      <a:pPr>
        <a:defRPr>
          <a:solidFill>
            <a:sysClr val="windowText" lastClr="000000"/>
          </a:solidFill>
          <a:latin typeface="Arial" panose="020B0604020202020204" pitchFamily="34" charset="0"/>
          <a:cs typeface="Arial" panose="020B0604020202020204" pitchFamily="34" charset="0"/>
        </a:defRPr>
      </a:pPr>
      <a:endParaRPr lang="en-US"/>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Summary'!$P$196</c:f>
          <c:strCache>
            <c:ptCount val="1"/>
            <c:pt idx="0">
              <c:v>Average weekly gross rent (£ per week) by unit size for  LARPs &amp; all PRPs</c:v>
            </c:pt>
          </c:strCache>
        </c:strRef>
      </c:tx>
      <c:layout>
        <c:manualLayout>
          <c:xMode val="edge"/>
          <c:yMode val="edge"/>
          <c:x val="9.086127444438338E-3"/>
          <c:y val="4.7019311502938706E-2"/>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8647999717524101E-2"/>
          <c:y val="0.19173803526448363"/>
          <c:w val="0.88942873172243608"/>
          <c:h val="0.51450762609333778"/>
        </c:manualLayout>
      </c:layout>
      <c:barChart>
        <c:barDir val="col"/>
        <c:grouping val="clustered"/>
        <c:varyColors val="0"/>
        <c:ser>
          <c:idx val="0"/>
          <c:order val="0"/>
          <c:tx>
            <c:v>LARP Rents</c:v>
          </c:tx>
          <c:spPr>
            <a:solidFill>
              <a:srgbClr val="AECFE6"/>
            </a:solidFill>
            <a:ln>
              <a:noFill/>
            </a:ln>
            <a:effectLst/>
          </c:spPr>
          <c:invertIfNegative val="0"/>
          <c:cat>
            <c:strRef>
              <c:f>'Area Summary'!$B$197:$B$206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Summary'!$C$197:$C$206</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5FAC-43A8-8260-89227F810B78}"/>
            </c:ext>
          </c:extLst>
        </c:ser>
        <c:ser>
          <c:idx val="1"/>
          <c:order val="1"/>
          <c:tx>
            <c:v>PRP Rents</c:v>
          </c:tx>
          <c:spPr>
            <a:solidFill>
              <a:srgbClr val="59468D"/>
            </a:solidFill>
            <a:ln>
              <a:solidFill>
                <a:schemeClr val="tx1"/>
              </a:solidFill>
            </a:ln>
            <a:effectLst/>
          </c:spPr>
          <c:invertIfNegative val="0"/>
          <c:cat>
            <c:strRef>
              <c:f>'Area Summary'!$B$197:$B$206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Summary'!$E$197:$E$206</c:f>
              <c:numCache>
                <c:formatCode>"£"#,##0.00;\-"£"#,##0.0000_-;"-"</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5FAC-43A8-8260-89227F810B78}"/>
            </c:ext>
          </c:extLst>
        </c:ser>
        <c:dLbls>
          <c:showLegendKey val="0"/>
          <c:showVal val="0"/>
          <c:showCatName val="0"/>
          <c:showSerName val="0"/>
          <c:showPercent val="0"/>
          <c:showBubbleSize val="0"/>
        </c:dLbls>
        <c:gapWidth val="50"/>
        <c:axId val="823257328"/>
        <c:axId val="668349472"/>
      </c:barChart>
      <c:lineChart>
        <c:grouping val="standard"/>
        <c:varyColors val="0"/>
        <c:ser>
          <c:idx val="2"/>
          <c:order val="2"/>
          <c:tx>
            <c:v>Average gross rents</c:v>
          </c:tx>
          <c:spPr>
            <a:ln w="28575" cap="rnd">
              <a:noFill/>
              <a:round/>
            </a:ln>
            <a:effectLst/>
          </c:spPr>
          <c:marker>
            <c:symbol val="dash"/>
            <c:size val="24"/>
            <c:spPr>
              <a:solidFill>
                <a:srgbClr val="FCBE37"/>
              </a:solidFill>
              <a:ln w="9525">
                <a:noFill/>
              </a:ln>
              <a:effectLst/>
            </c:spPr>
          </c:marker>
          <c:cat>
            <c:strRef>
              <c:f>'Area Summary'!$B$197:$B$206</c:f>
              <c:strCache>
                <c:ptCount val="10"/>
                <c:pt idx="0">
                  <c:v>Non-self-contained</c:v>
                </c:pt>
                <c:pt idx="1">
                  <c:v>Bedsit</c:v>
                </c:pt>
                <c:pt idx="2">
                  <c:v>1 Bedroom</c:v>
                </c:pt>
                <c:pt idx="3">
                  <c:v>2 Bedroom</c:v>
                </c:pt>
                <c:pt idx="4">
                  <c:v>3 Bedroom</c:v>
                </c:pt>
                <c:pt idx="5">
                  <c:v>4 Bedroom</c:v>
                </c:pt>
                <c:pt idx="6">
                  <c:v>5 Bedroom</c:v>
                </c:pt>
                <c:pt idx="7">
                  <c:v>6+ Bedroom</c:v>
                </c:pt>
                <c:pt idx="8">
                  <c:v>All self-contained</c:v>
                </c:pt>
                <c:pt idx="9">
                  <c:v>All stock sizes</c:v>
                </c:pt>
              </c:strCache>
            </c:strRef>
          </c:cat>
          <c:val>
            <c:numRef>
              <c:f>'Area Summary'!$G$197:$G$206</c:f>
              <c:numCache>
                <c:formatCode>"£"#,##0.00;\-"£"#,##0.0000_-;"-"</c:formatCode>
                <c:ptCount val="10"/>
                <c:pt idx="0">
                  <c:v>0</c:v>
                </c:pt>
                <c:pt idx="1">
                  <c:v>0</c:v>
                </c:pt>
                <c:pt idx="2">
                  <c:v>0</c:v>
                </c:pt>
                <c:pt idx="3">
                  <c:v>0</c:v>
                </c:pt>
                <c:pt idx="4">
                  <c:v>0</c:v>
                </c:pt>
                <c:pt idx="5">
                  <c:v>0</c:v>
                </c:pt>
                <c:pt idx="6">
                  <c:v>0</c:v>
                </c:pt>
                <c:pt idx="7">
                  <c:v>0</c:v>
                </c:pt>
                <c:pt idx="8">
                  <c:v>0</c:v>
                </c:pt>
                <c:pt idx="9">
                  <c:v>0</c:v>
                </c:pt>
              </c:numCache>
            </c:numRef>
          </c:val>
          <c:smooth val="0"/>
          <c:extLst>
            <c:ext xmlns:c16="http://schemas.microsoft.com/office/drawing/2014/chart" uri="{C3380CC4-5D6E-409C-BE32-E72D297353CC}">
              <c16:uniqueId val="{00000002-5FAC-43A8-8260-89227F810B78}"/>
            </c:ext>
          </c:extLst>
        </c:ser>
        <c:dLbls>
          <c:showLegendKey val="0"/>
          <c:showVal val="0"/>
          <c:showCatName val="0"/>
          <c:showSerName val="0"/>
          <c:showPercent val="0"/>
          <c:showBubbleSize val="0"/>
        </c:dLbls>
        <c:marker val="1"/>
        <c:smooth val="0"/>
        <c:axId val="823257328"/>
        <c:axId val="668349472"/>
      </c:lineChart>
      <c:catAx>
        <c:axId val="823257328"/>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668349472"/>
        <c:crosses val="autoZero"/>
        <c:auto val="1"/>
        <c:lblAlgn val="ctr"/>
        <c:lblOffset val="100"/>
        <c:noMultiLvlLbl val="0"/>
      </c:catAx>
      <c:valAx>
        <c:axId val="668349472"/>
        <c:scaling>
          <c:orientation val="minMax"/>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232573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Summary'!$P$196</c:f>
          <c:strCache>
            <c:ptCount val="1"/>
            <c:pt idx="0">
              <c:v>Average weekly gross rent (£ per week) by unit size for  LARPs &amp; all PRPs</c:v>
            </c:pt>
          </c:strCache>
        </c:strRef>
      </c:tx>
      <c:layout>
        <c:manualLayout>
          <c:xMode val="edge"/>
          <c:yMode val="edge"/>
          <c:x val="1.0158861939974834E-2"/>
          <c:y val="5.3736440839631881E-2"/>
        </c:manualLayout>
      </c:layout>
      <c:overlay val="0"/>
      <c:spPr>
        <a:noFill/>
        <a:ln>
          <a:noFill/>
        </a:ln>
        <a:effectLst/>
      </c:spPr>
      <c:txPr>
        <a:bodyPr rot="0" spcFirstLastPara="1" vertOverflow="ellipsis" vert="horz" wrap="square" anchor="ctr" anchorCtr="1"/>
        <a:lstStyle/>
        <a:p>
          <a:pPr algn="l">
            <a:defRPr sz="1200" b="0"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8.8625913562258574E-2"/>
          <c:y val="0.19012594458438287"/>
          <c:w val="0.88945627993792731"/>
          <c:h val="0.5162892295893744"/>
        </c:manualLayout>
      </c:layout>
      <c:barChart>
        <c:barDir val="col"/>
        <c:grouping val="clustered"/>
        <c:varyColors val="0"/>
        <c:ser>
          <c:idx val="0"/>
          <c:order val="0"/>
          <c:tx>
            <c:v>LARP Rents</c:v>
          </c:tx>
          <c:spPr>
            <a:solidFill>
              <a:srgbClr val="AECFE6"/>
            </a:solidFill>
            <a:ln>
              <a:noFill/>
            </a:ln>
            <a:effectLst/>
          </c:spPr>
          <c:invertIfNegative val="0"/>
          <c:cat>
            <c:strRef>
              <c:f>'Area Summary'!$B$220:$B$227</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Summary'!$C$220:$C$227</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A586-42D9-89F0-0E75FFB73115}"/>
            </c:ext>
          </c:extLst>
        </c:ser>
        <c:ser>
          <c:idx val="1"/>
          <c:order val="1"/>
          <c:tx>
            <c:v>PRP Rents</c:v>
          </c:tx>
          <c:spPr>
            <a:solidFill>
              <a:srgbClr val="59468D"/>
            </a:solidFill>
            <a:ln>
              <a:noFill/>
            </a:ln>
            <a:effectLst/>
          </c:spPr>
          <c:invertIfNegative val="0"/>
          <c:cat>
            <c:strRef>
              <c:f>'Area Summary'!$B$220:$B$227</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Summary'!$E$220:$E$227</c:f>
              <c:numCache>
                <c:formatCode>"£"#,##0.00;\-"£"#,##0.0000_-;"-"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A586-42D9-89F0-0E75FFB73115}"/>
            </c:ext>
          </c:extLst>
        </c:ser>
        <c:dLbls>
          <c:showLegendKey val="0"/>
          <c:showVal val="0"/>
          <c:showCatName val="0"/>
          <c:showSerName val="0"/>
          <c:showPercent val="0"/>
          <c:showBubbleSize val="0"/>
        </c:dLbls>
        <c:gapWidth val="50"/>
        <c:axId val="898087776"/>
        <c:axId val="268860720"/>
      </c:barChart>
      <c:lineChart>
        <c:grouping val="standard"/>
        <c:varyColors val="0"/>
        <c:ser>
          <c:idx val="2"/>
          <c:order val="2"/>
          <c:tx>
            <c:v>Average gross rents</c:v>
          </c:tx>
          <c:spPr>
            <a:ln w="28575" cap="rnd">
              <a:noFill/>
              <a:round/>
            </a:ln>
            <a:effectLst/>
          </c:spPr>
          <c:marker>
            <c:symbol val="dash"/>
            <c:size val="24"/>
            <c:spPr>
              <a:solidFill>
                <a:srgbClr val="FCBE37"/>
              </a:solidFill>
              <a:ln w="9525">
                <a:noFill/>
              </a:ln>
              <a:effectLst/>
            </c:spPr>
          </c:marker>
          <c:cat>
            <c:strRef>
              <c:f>'Area Summary'!$B$220:$B$227</c:f>
              <c:strCache>
                <c:ptCount val="8"/>
                <c:pt idx="0">
                  <c:v>Non-self-contained</c:v>
                </c:pt>
                <c:pt idx="1">
                  <c:v>Bedsit</c:v>
                </c:pt>
                <c:pt idx="2">
                  <c:v>1 Bedroom</c:v>
                </c:pt>
                <c:pt idx="3">
                  <c:v>2 Bedroom</c:v>
                </c:pt>
                <c:pt idx="4">
                  <c:v>3 Bedroom</c:v>
                </c:pt>
                <c:pt idx="5">
                  <c:v>4+ Bedroom</c:v>
                </c:pt>
                <c:pt idx="6">
                  <c:v>All self-contained</c:v>
                </c:pt>
                <c:pt idx="7">
                  <c:v>All stock sizes</c:v>
                </c:pt>
              </c:strCache>
            </c:strRef>
          </c:cat>
          <c:val>
            <c:numRef>
              <c:f>'Area Summary'!$G$220:$G$227</c:f>
              <c:numCache>
                <c:formatCode>"£"#,##0.00;\-"£"#,##0.0000_-;"-"</c:formatCode>
                <c:ptCount val="8"/>
                <c:pt idx="0">
                  <c:v>0</c:v>
                </c:pt>
                <c:pt idx="1">
                  <c:v>0</c:v>
                </c:pt>
                <c:pt idx="2">
                  <c:v>0</c:v>
                </c:pt>
                <c:pt idx="3">
                  <c:v>0</c:v>
                </c:pt>
                <c:pt idx="4">
                  <c:v>0</c:v>
                </c:pt>
                <c:pt idx="5">
                  <c:v>0</c:v>
                </c:pt>
                <c:pt idx="6">
                  <c:v>0</c:v>
                </c:pt>
                <c:pt idx="7">
                  <c:v>0</c:v>
                </c:pt>
              </c:numCache>
            </c:numRef>
          </c:val>
          <c:smooth val="0"/>
          <c:extLst>
            <c:ext xmlns:c16="http://schemas.microsoft.com/office/drawing/2014/chart" uri="{C3380CC4-5D6E-409C-BE32-E72D297353CC}">
              <c16:uniqueId val="{00000002-A586-42D9-89F0-0E75FFB73115}"/>
            </c:ext>
          </c:extLst>
        </c:ser>
        <c:dLbls>
          <c:showLegendKey val="0"/>
          <c:showVal val="0"/>
          <c:showCatName val="0"/>
          <c:showSerName val="0"/>
          <c:showPercent val="0"/>
          <c:showBubbleSize val="0"/>
        </c:dLbls>
        <c:marker val="1"/>
        <c:smooth val="0"/>
        <c:axId val="898087776"/>
        <c:axId val="268860720"/>
      </c:lineChart>
      <c:catAx>
        <c:axId val="898087776"/>
        <c:scaling>
          <c:orientation val="minMax"/>
        </c:scaling>
        <c:delete val="0"/>
        <c:axPos val="b"/>
        <c:numFmt formatCode="General" sourceLinked="1"/>
        <c:majorTickMark val="none"/>
        <c:minorTickMark val="none"/>
        <c:tickLblPos val="nextTo"/>
        <c:spPr>
          <a:noFill/>
          <a:ln w="9525" cap="flat" cmpd="sng" algn="ctr">
            <a:solidFill>
              <a:schemeClr val="tx1"/>
            </a:solidFill>
            <a:round/>
          </a:ln>
          <a:effectLst/>
        </c:spPr>
        <c:txPr>
          <a:bodyPr rot="-5400000" spcFirstLastPara="1" vertOverflow="ellipsis" wrap="square" anchor="ctr" anchorCtr="1"/>
          <a:lstStyle/>
          <a:p>
            <a:pPr>
              <a:defRPr sz="9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crossAx val="268860720"/>
        <c:crosses val="autoZero"/>
        <c:auto val="1"/>
        <c:lblAlgn val="ctr"/>
        <c:lblOffset val="100"/>
        <c:noMultiLvlLbl val="0"/>
      </c:catAx>
      <c:valAx>
        <c:axId val="268860720"/>
        <c:scaling>
          <c:orientation val="minMax"/>
        </c:scaling>
        <c:delete val="0"/>
        <c:axPos val="l"/>
        <c:majorGridlines>
          <c:spPr>
            <a:ln w="9525" cap="flat" cmpd="sng" algn="ctr">
              <a:solidFill>
                <a:schemeClr val="bg2"/>
              </a:solidFill>
              <a:round/>
            </a:ln>
            <a:effectLst/>
          </c:spPr>
        </c:majorGridlines>
        <c:numFmt formatCode="&quot;£&quot;#,##0" sourceLinked="0"/>
        <c:majorTickMark val="out"/>
        <c:minorTickMark val="none"/>
        <c:tickLblPos val="nextTo"/>
        <c:spPr>
          <a:noFill/>
          <a:ln>
            <a:solidFill>
              <a:sysClr val="windowText" lastClr="000000"/>
            </a:solidFill>
          </a:ln>
          <a:effectLst/>
        </c:spPr>
        <c:txPr>
          <a:bodyPr rot="-60000000" spcFirstLastPara="1" vertOverflow="ellipsis" vert="horz" wrap="square" anchor="ctr" anchorCtr="1"/>
          <a:lstStyle/>
          <a:p>
            <a:pPr>
              <a:defRPr sz="900" b="0" i="0" u="none" strike="noStrike" kern="1200" baseline="0">
                <a:solidFill>
                  <a:schemeClr val="tx1"/>
                </a:solidFill>
                <a:latin typeface="Arial" panose="020B0604020202020204" pitchFamily="34" charset="0"/>
                <a:ea typeface="+mn-ea"/>
                <a:cs typeface="Arial" panose="020B0604020202020204" pitchFamily="34" charset="0"/>
              </a:defRPr>
            </a:pPr>
            <a:endParaRPr lang="en-US"/>
          </a:p>
        </c:txPr>
        <c:crossAx val="89808777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solidFill>
        <a:sysClr val="windowText" lastClr="000000"/>
      </a:solidFill>
      <a:round/>
    </a:ln>
    <a:effectLst/>
  </c:spPr>
  <c:txPr>
    <a:bodyPr/>
    <a:lstStyle/>
    <a:p>
      <a:pPr>
        <a:defRPr/>
      </a:pPr>
      <a:endParaRPr lang="en-US"/>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'Area Summary'!$B$32</c:f>
          <c:strCache>
            <c:ptCount val="1"/>
            <c:pt idx="0">
              <c:v>Total social units by provision type</c:v>
            </c:pt>
          </c:strCache>
        </c:strRef>
      </c:tx>
      <c:layout>
        <c:manualLayout>
          <c:xMode val="edge"/>
          <c:yMode val="edge"/>
          <c:x val="7.1460961479663755E-3"/>
          <c:y val="1.4062984355306337E-2"/>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rgbClr val="59468D"/>
              </a:solidFill>
              <a:latin typeface="Arial" panose="020B0604020202020204" pitchFamily="34" charset="0"/>
              <a:ea typeface="+mn-ea"/>
              <a:cs typeface="Arial" panose="020B0604020202020204" pitchFamily="34" charset="0"/>
            </a:defRPr>
          </a:pPr>
          <a:endParaRPr lang="en-US"/>
        </a:p>
      </c:txPr>
    </c:title>
    <c:autoTitleDeleted val="0"/>
    <c:plotArea>
      <c:layout>
        <c:manualLayout>
          <c:layoutTarget val="inner"/>
          <c:xMode val="edge"/>
          <c:yMode val="edge"/>
          <c:x val="0.26209652579786602"/>
          <c:y val="0.13048372911169745"/>
          <c:w val="0.69884130465655725"/>
          <c:h val="0.70742872180555272"/>
        </c:manualLayout>
      </c:layout>
      <c:barChart>
        <c:barDir val="bar"/>
        <c:grouping val="stacked"/>
        <c:varyColors val="0"/>
        <c:ser>
          <c:idx val="0"/>
          <c:order val="0"/>
          <c:tx>
            <c:strRef>
              <c:f>'Area Summary'!$E$34</c:f>
              <c:strCache>
                <c:ptCount val="1"/>
                <c:pt idx="0">
                  <c:v>LARP Units</c:v>
                </c:pt>
              </c:strCache>
            </c:strRef>
          </c:tx>
          <c:spPr>
            <a:solidFill>
              <a:srgbClr val="AECFE6"/>
            </a:solidFill>
            <a:ln>
              <a:noFill/>
            </a:ln>
            <a:effectLst/>
          </c:spPr>
          <c:invertIfNegative val="0"/>
          <c:dPt>
            <c:idx val="2"/>
            <c:invertIfNegative val="0"/>
            <c:bubble3D val="0"/>
            <c:spPr>
              <a:solidFill>
                <a:srgbClr val="E2EEF6"/>
              </a:solidFill>
              <a:ln>
                <a:noFill/>
              </a:ln>
              <a:effectLst/>
            </c:spPr>
            <c:extLst>
              <c:ext xmlns:c16="http://schemas.microsoft.com/office/drawing/2014/chart" uri="{C3380CC4-5D6E-409C-BE32-E72D297353CC}">
                <c16:uniqueId val="{00000003-D74A-44F3-BDF3-96E3C80633E5}"/>
              </c:ext>
            </c:extLst>
          </c:dPt>
          <c:dPt>
            <c:idx val="3"/>
            <c:invertIfNegative val="0"/>
            <c:bubble3D val="0"/>
            <c:spPr>
              <a:solidFill>
                <a:srgbClr val="E2EEF6"/>
              </a:solidFill>
              <a:ln>
                <a:noFill/>
              </a:ln>
              <a:effectLst/>
            </c:spPr>
            <c:extLst>
              <c:ext xmlns:c16="http://schemas.microsoft.com/office/drawing/2014/chart" uri="{C3380CC4-5D6E-409C-BE32-E72D297353CC}">
                <c16:uniqueId val="{00000002-D74A-44F3-BDF3-96E3C80633E5}"/>
              </c:ext>
            </c:extLst>
          </c:dPt>
          <c:dLbls>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3-D74A-44F3-BDF3-96E3C80633E5}"/>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lumMod val="5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2-D74A-44F3-BDF3-96E3C80633E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'Area Summary'!$P$37:$P$41</c:f>
              <c:numCache>
                <c:formatCode>0.0%</c:formatCode>
                <c:ptCount val="5"/>
                <c:pt idx="0">
                  <c:v>0</c:v>
                </c:pt>
                <c:pt idx="1">
                  <c:v>0</c:v>
                </c:pt>
                <c:pt idx="2">
                  <c:v>0</c:v>
                </c:pt>
                <c:pt idx="3">
                  <c:v>0</c:v>
                </c:pt>
                <c:pt idx="4">
                  <c:v>0</c:v>
                </c:pt>
              </c:numCache>
            </c:numRef>
          </c:val>
          <c:extLst>
            <c:ext xmlns:c15="http://schemas.microsoft.com/office/drawing/2012/chart" uri="{02D57815-91ED-43cb-92C2-25804820EDAC}">
              <c15:filteredCategoryTitle>
                <c15:cat>
                  <c:numLit>
                    <c:formatCode>General</c:formatCode>
                    <c:ptCount val="5"/>
                  </c:numLit>
                </c15:cat>
              </c15:filteredCategoryTitle>
            </c:ext>
            <c:ext xmlns:c16="http://schemas.microsoft.com/office/drawing/2014/chart" uri="{C3380CC4-5D6E-409C-BE32-E72D297353CC}">
              <c16:uniqueId val="{00000000-D74A-44F3-BDF3-96E3C80633E5}"/>
            </c:ext>
          </c:extLst>
        </c:ser>
        <c:ser>
          <c:idx val="1"/>
          <c:order val="1"/>
          <c:tx>
            <c:strRef>
              <c:f>'Area Summary'!$F$34</c:f>
              <c:strCache>
                <c:ptCount val="1"/>
                <c:pt idx="0">
                  <c:v>PRP Units</c:v>
                </c:pt>
              </c:strCache>
            </c:strRef>
          </c:tx>
          <c:spPr>
            <a:solidFill>
              <a:srgbClr val="59468D"/>
            </a:solidFill>
            <a:ln>
              <a:noFill/>
            </a:ln>
            <a:effectLst/>
          </c:spPr>
          <c:invertIfNegative val="0"/>
          <c:dPt>
            <c:idx val="2"/>
            <c:invertIfNegative val="0"/>
            <c:bubble3D val="0"/>
            <c:spPr>
              <a:solidFill>
                <a:srgbClr val="8B79BD"/>
              </a:solidFill>
              <a:ln>
                <a:noFill/>
              </a:ln>
              <a:effectLst/>
            </c:spPr>
            <c:extLst>
              <c:ext xmlns:c16="http://schemas.microsoft.com/office/drawing/2014/chart" uri="{C3380CC4-5D6E-409C-BE32-E72D297353CC}">
                <c16:uniqueId val="{00000005-D74A-44F3-BDF3-96E3C80633E5}"/>
              </c:ext>
            </c:extLst>
          </c:dPt>
          <c:dPt>
            <c:idx val="3"/>
            <c:invertIfNegative val="0"/>
            <c:bubble3D val="0"/>
            <c:spPr>
              <a:solidFill>
                <a:srgbClr val="8B79BD"/>
              </a:solidFill>
              <a:ln>
                <a:noFill/>
              </a:ln>
              <a:effectLst/>
            </c:spPr>
            <c:extLst>
              <c:ext xmlns:c16="http://schemas.microsoft.com/office/drawing/2014/chart" uri="{C3380CC4-5D6E-409C-BE32-E72D297353CC}">
                <c16:uniqueId val="{00000004-D74A-44F3-BDF3-96E3C80633E5}"/>
              </c:ext>
            </c:extLst>
          </c:dPt>
          <c:dLbls>
            <c:dLbl>
              <c:idx val="2"/>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40000"/>
                          <a:lumOff val="6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5-D74A-44F3-BDF3-96E3C80633E5}"/>
                </c:ext>
              </c:extLst>
            </c:dLbl>
            <c:dLbl>
              <c:idx val="3"/>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accent4">
                          <a:lumMod val="40000"/>
                          <a:lumOff val="60000"/>
                        </a:schemeClr>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extLst>
                <c:ext xmlns:c16="http://schemas.microsoft.com/office/drawing/2014/chart" uri="{C3380CC4-5D6E-409C-BE32-E72D297353CC}">
                  <c16:uniqueId val="{00000004-D74A-44F3-BDF3-96E3C80633E5}"/>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bg1"/>
                    </a:solidFill>
                    <a:latin typeface="Arial" panose="020B0604020202020204" pitchFamily="34" charset="0"/>
                    <a:ea typeface="+mn-ea"/>
                    <a:cs typeface="Arial" panose="020B0604020202020204" pitchFamily="34" charset="0"/>
                  </a:defRPr>
                </a:pPr>
                <a:endParaRPr lang="en-US"/>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'Area Summary'!$Q$37:$Q$41</c:f>
              <c:numCache>
                <c:formatCode>0.0%</c:formatCode>
                <c:ptCount val="5"/>
                <c:pt idx="0">
                  <c:v>0</c:v>
                </c:pt>
                <c:pt idx="1">
                  <c:v>0</c:v>
                </c:pt>
                <c:pt idx="2">
                  <c:v>0</c:v>
                </c:pt>
                <c:pt idx="3">
                  <c:v>0</c:v>
                </c:pt>
                <c:pt idx="4">
                  <c:v>0</c:v>
                </c:pt>
              </c:numCache>
            </c:numRef>
          </c:val>
          <c:extLst>
            <c:ext xmlns:c15="http://schemas.microsoft.com/office/drawing/2012/chart" uri="{02D57815-91ED-43cb-92C2-25804820EDAC}">
              <c15:filteredCategoryTitle>
                <c15:cat>
                  <c:numLit>
                    <c:formatCode>General</c:formatCode>
                    <c:ptCount val="5"/>
                  </c:numLit>
                </c15:cat>
              </c15:filteredCategoryTitle>
            </c:ext>
            <c:ext xmlns:c16="http://schemas.microsoft.com/office/drawing/2014/chart" uri="{C3380CC4-5D6E-409C-BE32-E72D297353CC}">
              <c16:uniqueId val="{00000001-D74A-44F3-BDF3-96E3C80633E5}"/>
            </c:ext>
          </c:extLst>
        </c:ser>
        <c:dLbls>
          <c:showLegendKey val="0"/>
          <c:showVal val="0"/>
          <c:showCatName val="0"/>
          <c:showSerName val="0"/>
          <c:showPercent val="0"/>
          <c:showBubbleSize val="0"/>
        </c:dLbls>
        <c:gapWidth val="75"/>
        <c:overlap val="100"/>
        <c:axId val="2071462127"/>
        <c:axId val="1982088991"/>
      </c:barChart>
      <c:catAx>
        <c:axId val="2071462127"/>
        <c:scaling>
          <c:orientation val="minMax"/>
        </c:scaling>
        <c:delete val="1"/>
        <c:axPos val="l"/>
        <c:numFmt formatCode="General" sourceLinked="1"/>
        <c:majorTickMark val="none"/>
        <c:minorTickMark val="none"/>
        <c:tickLblPos val="nextTo"/>
        <c:crossAx val="1982088991"/>
        <c:crossesAt val="0"/>
        <c:auto val="1"/>
        <c:lblAlgn val="ctr"/>
        <c:lblOffset val="100"/>
        <c:noMultiLvlLbl val="0"/>
      </c:catAx>
      <c:valAx>
        <c:axId val="1982088991"/>
        <c:scaling>
          <c:orientation val="minMax"/>
          <c:max val="1"/>
        </c:scaling>
        <c:delete val="1"/>
        <c:axPos val="b"/>
        <c:majorGridlines>
          <c:spPr>
            <a:ln w="9525" cap="flat" cmpd="sng" algn="ctr">
              <a:noFill/>
              <a:round/>
            </a:ln>
            <a:effectLst/>
          </c:spPr>
        </c:majorGridlines>
        <c:numFmt formatCode="0%" sourceLinked="0"/>
        <c:majorTickMark val="out"/>
        <c:minorTickMark val="none"/>
        <c:tickLblPos val="nextTo"/>
        <c:crossAx val="207146212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Arial" panose="020B0604020202020204" pitchFamily="34" charset="0"/>
              <a:ea typeface="+mn-ea"/>
              <a:cs typeface="Arial" panose="020B0604020202020204" pitchFamily="34" charset="0"/>
            </a:defRPr>
          </a:pPr>
          <a:endParaRPr lang="en-US"/>
        </a:p>
      </c:txPr>
    </c:legend>
    <c:plotVisOnly val="0"/>
    <c:dispBlanksAs val="gap"/>
    <c:showDLblsOverMax val="0"/>
  </c:chart>
  <c:spPr>
    <a:solidFill>
      <a:schemeClr val="bg1"/>
    </a:solidFill>
    <a:ln w="9525" cap="flat" cmpd="sng" algn="ctr">
      <a:solidFill>
        <a:schemeClr val="tx1"/>
      </a:solidFill>
      <a:round/>
    </a:ln>
    <a:effectLst/>
  </c:spPr>
  <c:txPr>
    <a:bodyPr/>
    <a:lstStyle/>
    <a:p>
      <a:pPr>
        <a:defRPr/>
      </a:pPr>
      <a:endParaRPr lang="en-US"/>
    </a:p>
  </c:txPr>
  <c:printSettings>
    <c:headerFooter/>
    <c:pageMargins b="0.75" l="0.7" r="0.7" t="0.75" header="0.3" footer="0.3"/>
    <c:pageSetup/>
  </c:printSettings>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5" Type="http://schemas.openxmlformats.org/officeDocument/2006/relationships/image" Target="../media/image6.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chart" Target="../charts/chart7.xml"/><Relationship Id="rId3" Type="http://schemas.openxmlformats.org/officeDocument/2006/relationships/image" Target="../media/image1.png"/><Relationship Id="rId7" Type="http://schemas.openxmlformats.org/officeDocument/2006/relationships/chart" Target="../charts/chart6.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5.xml"/><Relationship Id="rId11" Type="http://schemas.openxmlformats.org/officeDocument/2006/relationships/chart" Target="../charts/chart10.xml"/><Relationship Id="rId5" Type="http://schemas.openxmlformats.org/officeDocument/2006/relationships/chart" Target="../charts/chart4.xml"/><Relationship Id="rId10" Type="http://schemas.openxmlformats.org/officeDocument/2006/relationships/chart" Target="../charts/chart9.xml"/><Relationship Id="rId4" Type="http://schemas.openxmlformats.org/officeDocument/2006/relationships/chart" Target="../charts/chart3.xml"/><Relationship Id="rId9"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editAs="oneCell">
    <xdr:from>
      <xdr:col>1</xdr:col>
      <xdr:colOff>74931</xdr:colOff>
      <xdr:row>1</xdr:row>
      <xdr:rowOff>180340</xdr:rowOff>
    </xdr:from>
    <xdr:to>
      <xdr:col>4</xdr:col>
      <xdr:colOff>666750</xdr:colOff>
      <xdr:row>5</xdr:row>
      <xdr:rowOff>49272</xdr:rowOff>
    </xdr:to>
    <xdr:pic>
      <xdr:nvPicPr>
        <xdr:cNvPr id="2" name="Picture 1">
          <a:extLst>
            <a:ext uri="{FF2B5EF4-FFF2-40B4-BE49-F238E27FC236}">
              <a16:creationId xmlns:a16="http://schemas.microsoft.com/office/drawing/2014/main" id="{2BC3CF10-D621-4C4C-AD72-5CEA27EF1B35}"/>
            </a:ext>
          </a:extLst>
        </xdr:cNvPr>
        <xdr:cNvPicPr>
          <a:picLocks noChangeAspect="1"/>
        </xdr:cNvPicPr>
      </xdr:nvPicPr>
      <xdr:blipFill>
        <a:blip xmlns:r="http://schemas.openxmlformats.org/officeDocument/2006/relationships" r:embed="rId1"/>
        <a:stretch>
          <a:fillRect/>
        </a:stretch>
      </xdr:blipFill>
      <xdr:spPr>
        <a:xfrm>
          <a:off x="427356" y="408940"/>
          <a:ext cx="2039619" cy="1059557"/>
        </a:xfrm>
        <a:prstGeom prst="rect">
          <a:avLst/>
        </a:prstGeom>
      </xdr:spPr>
    </xdr:pic>
    <xdr:clientData/>
  </xdr:twoCellAnchor>
  <xdr:twoCellAnchor>
    <xdr:from>
      <xdr:col>4</xdr:col>
      <xdr:colOff>6422495</xdr:colOff>
      <xdr:row>0</xdr:row>
      <xdr:rowOff>207036</xdr:rowOff>
    </xdr:from>
    <xdr:to>
      <xdr:col>10</xdr:col>
      <xdr:colOff>617553</xdr:colOff>
      <xdr:row>6</xdr:row>
      <xdr:rowOff>151006</xdr:rowOff>
    </xdr:to>
    <xdr:sp macro="" textlink="">
      <xdr:nvSpPr>
        <xdr:cNvPr id="3" name="Text Box 2">
          <a:extLst>
            <a:ext uri="{FF2B5EF4-FFF2-40B4-BE49-F238E27FC236}">
              <a16:creationId xmlns:a16="http://schemas.microsoft.com/office/drawing/2014/main" id="{99AB5E5D-CBE1-40C8-A16F-E4B19D1F8566}"/>
            </a:ext>
          </a:extLst>
        </xdr:cNvPr>
        <xdr:cNvSpPr>
          <a:spLocks noChangeArrowheads="1"/>
        </xdr:cNvSpPr>
      </xdr:nvSpPr>
      <xdr:spPr bwMode="auto">
        <a:xfrm>
          <a:off x="8222720" y="207036"/>
          <a:ext cx="4520158" cy="1553695"/>
        </a:xfrm>
        <a:prstGeom prst="roundRect">
          <a:avLst>
            <a:gd name="adj" fmla="val 9648"/>
          </a:avLst>
        </a:prstGeom>
        <a:noFill/>
        <a:ln w="28575" algn="ctr">
          <a:solidFill>
            <a:srgbClr val="59468D"/>
          </a:solidFill>
          <a:round/>
          <a:headEnd/>
          <a:tailEnd/>
        </a:ln>
        <a:effectLst/>
        <a:extLst>
          <a:ext uri="{909E8E84-426E-40DD-AFC4-6F175D3DCCD1}">
            <a14:hiddenFill xmlns:a14="http://schemas.microsoft.com/office/drawing/2010/main">
              <a:solidFill>
                <a:srgbClr val="EEEBF5"/>
              </a:solidFill>
            </a14:hiddenFill>
          </a:ext>
          <a:ext uri="{AF507438-7753-43E0-B8FC-AC1667EBCBE1}">
            <a14:hiddenEffects xmlns:a14="http://schemas.microsoft.com/office/drawing/2010/main">
              <a:effectLst>
                <a:outerShdw sx="0" sy="0" algn="ctr" rotWithShape="0">
                  <a:srgbClr val="59468D">
                    <a:alpha val="0"/>
                  </a:srgbClr>
                </a:outerShdw>
              </a:effectLst>
            </a14:hiddenEffects>
          </a:ext>
        </a:extLst>
      </xdr:spPr>
      <xdr:txBody>
        <a:bodyPr vertOverflow="clip" wrap="square" lIns="91440" tIns="45720" rIns="91440" bIns="45720" anchor="t" upright="1"/>
        <a:lstStyle/>
        <a:p>
          <a:pPr algn="ctr" rtl="0">
            <a:defRPr sz="1000"/>
          </a:pPr>
          <a:r>
            <a:rPr lang="en-GB" sz="1200" b="1" i="0" u="none" strike="noStrike" baseline="0">
              <a:solidFill>
                <a:srgbClr val="594691"/>
              </a:solidFill>
              <a:latin typeface="Arial"/>
              <a:cs typeface="Arial"/>
            </a:rPr>
            <a:t>Why not have your say on our statistics in 2024/25?</a:t>
          </a:r>
        </a:p>
        <a:p>
          <a:pPr algn="ctr" rtl="0">
            <a:defRPr sz="1000"/>
          </a:pPr>
          <a:endParaRPr lang="en-GB" sz="600" b="1" i="0" u="none" strike="noStrike" baseline="0">
            <a:solidFill>
              <a:srgbClr val="594691"/>
            </a:solidFill>
            <a:latin typeface="Arial"/>
            <a:cs typeface="Arial"/>
          </a:endParaRPr>
        </a:p>
        <a:p>
          <a:pPr algn="ctr" rtl="0">
            <a:defRPr sz="1000"/>
          </a:pPr>
          <a:r>
            <a:rPr lang="en-GB" sz="1000" b="0" i="0" u="none" strike="noStrike" baseline="0">
              <a:solidFill>
                <a:srgbClr val="594691"/>
              </a:solidFill>
              <a:latin typeface="Arial"/>
              <a:cs typeface="Arial"/>
            </a:rPr>
            <a:t>Email feedback to </a:t>
          </a:r>
          <a:r>
            <a:rPr lang="en-GB" sz="1000" b="0" i="0" u="none" strike="noStrike" baseline="0">
              <a:solidFill>
                <a:srgbClr val="0000FF"/>
              </a:solidFill>
              <a:latin typeface="Arial"/>
              <a:cs typeface="Arial"/>
            </a:rPr>
            <a:t>enquiries@rsh.gov.uk</a:t>
          </a:r>
          <a:r>
            <a:rPr lang="en-GB" sz="1000" b="0" i="0" u="none" strike="noStrike" baseline="0">
              <a:solidFill>
                <a:srgbClr val="594691"/>
              </a:solidFill>
              <a:latin typeface="Arial"/>
              <a:cs typeface="Arial"/>
            </a:rPr>
            <a:t> or rate how this document meets your needs </a:t>
          </a:r>
          <a:r>
            <a:rPr lang="en-GB" sz="1000" b="1" i="0" u="none" strike="noStrike" baseline="0">
              <a:solidFill>
                <a:srgbClr val="594691"/>
              </a:solidFill>
              <a:latin typeface="Arial"/>
              <a:cs typeface="Arial"/>
            </a:rPr>
            <a:t>by clicking 1 of the 3 options below:</a:t>
          </a:r>
        </a:p>
        <a:p>
          <a:pPr algn="l" rtl="0">
            <a:defRPr sz="1000"/>
          </a:pPr>
          <a:endParaRPr lang="en-GB" sz="1100" b="0" i="0" u="none" strike="noStrike" baseline="0">
            <a:solidFill>
              <a:srgbClr val="00B050"/>
            </a:solidFill>
            <a:latin typeface="Arial"/>
            <a:cs typeface="Arial"/>
          </a:endParaRPr>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0.00301</cdr:x>
      <cdr:y>0.17064</cdr:y>
    </cdr:from>
    <cdr:to>
      <cdr:x>0.21644</cdr:x>
      <cdr:y>0.2368</cdr:y>
    </cdr:to>
    <cdr:sp macro="" textlink="">
      <cdr:nvSpPr>
        <cdr:cNvPr id="2" name="TextBox 1">
          <a:extLst xmlns:a="http://schemas.openxmlformats.org/drawingml/2006/main">
            <a:ext uri="{FF2B5EF4-FFF2-40B4-BE49-F238E27FC236}">
              <a16:creationId xmlns:a16="http://schemas.microsoft.com/office/drawing/2014/main" id="{13A3C707-4907-40DE-ADFF-A737CFD60707}"/>
            </a:ext>
          </a:extLst>
        </cdr:cNvPr>
        <cdr:cNvSpPr txBox="1"/>
      </cdr:nvSpPr>
      <cdr:spPr>
        <a:xfrm xmlns:a="http://schemas.openxmlformats.org/drawingml/2006/main">
          <a:off x="19050" y="615476"/>
          <a:ext cx="1351195" cy="23860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Arial" panose="020B0604020202020204" pitchFamily="34" charset="0"/>
              <a:cs typeface="Arial" panose="020B0604020202020204" pitchFamily="34" charset="0"/>
            </a:rPr>
            <a:t>All general needs</a:t>
          </a:r>
        </a:p>
      </cdr:txBody>
    </cdr:sp>
  </cdr:relSizeAnchor>
  <cdr:relSizeAnchor xmlns:cdr="http://schemas.openxmlformats.org/drawingml/2006/chartDrawing">
    <cdr:from>
      <cdr:x>0</cdr:x>
      <cdr:y>0.31315</cdr:y>
    </cdr:from>
    <cdr:to>
      <cdr:x>0.26903</cdr:x>
      <cdr:y>0.37148</cdr:y>
    </cdr:to>
    <cdr:sp macro="" textlink="">
      <cdr:nvSpPr>
        <cdr:cNvPr id="3" name="TextBox 2">
          <a:extLst xmlns:a="http://schemas.openxmlformats.org/drawingml/2006/main">
            <a:ext uri="{FF2B5EF4-FFF2-40B4-BE49-F238E27FC236}">
              <a16:creationId xmlns:a16="http://schemas.microsoft.com/office/drawing/2014/main" id="{38F6D385-4852-49C1-96CA-9626BA2880A6}"/>
            </a:ext>
          </a:extLst>
        </cdr:cNvPr>
        <cdr:cNvSpPr txBox="1"/>
      </cdr:nvSpPr>
      <cdr:spPr>
        <a:xfrm xmlns:a="http://schemas.openxmlformats.org/drawingml/2006/main">
          <a:off x="0" y="1129466"/>
          <a:ext cx="1703238" cy="21038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solidFill>
                <a:schemeClr val="bg1">
                  <a:lumMod val="50000"/>
                </a:schemeClr>
              </a:solidFill>
              <a:latin typeface="Arial" panose="020B0604020202020204" pitchFamily="34" charset="0"/>
              <a:cs typeface="Arial" panose="020B0604020202020204" pitchFamily="34" charset="0"/>
            </a:rPr>
            <a:t>General needs self-contained</a:t>
          </a:r>
        </a:p>
      </cdr:txBody>
    </cdr:sp>
  </cdr:relSizeAnchor>
  <cdr:relSizeAnchor xmlns:cdr="http://schemas.openxmlformats.org/drawingml/2006/chartDrawing">
    <cdr:from>
      <cdr:x>0</cdr:x>
      <cdr:y>0.43485</cdr:y>
    </cdr:from>
    <cdr:to>
      <cdr:x>0.27232</cdr:x>
      <cdr:y>0.54313</cdr:y>
    </cdr:to>
    <cdr:sp macro="" textlink="">
      <cdr:nvSpPr>
        <cdr:cNvPr id="4" name="TextBox 3">
          <a:extLst xmlns:a="http://schemas.openxmlformats.org/drawingml/2006/main">
            <a:ext uri="{FF2B5EF4-FFF2-40B4-BE49-F238E27FC236}">
              <a16:creationId xmlns:a16="http://schemas.microsoft.com/office/drawing/2014/main" id="{E4B8E79E-11B6-4587-ABB3-CA46595EC02F}"/>
            </a:ext>
          </a:extLst>
        </cdr:cNvPr>
        <cdr:cNvSpPr txBox="1"/>
      </cdr:nvSpPr>
      <cdr:spPr>
        <a:xfrm xmlns:a="http://schemas.openxmlformats.org/drawingml/2006/main">
          <a:off x="0" y="1568408"/>
          <a:ext cx="1724025" cy="39056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900">
              <a:solidFill>
                <a:schemeClr val="bg1">
                  <a:lumMod val="50000"/>
                </a:schemeClr>
              </a:solidFill>
              <a:latin typeface="Arial" panose="020B0604020202020204" pitchFamily="34" charset="0"/>
              <a:cs typeface="Arial" panose="020B0604020202020204" pitchFamily="34" charset="0"/>
            </a:rPr>
            <a:t>General needs non-self-contained</a:t>
          </a:r>
        </a:p>
      </cdr:txBody>
    </cdr:sp>
  </cdr:relSizeAnchor>
  <cdr:relSizeAnchor xmlns:cdr="http://schemas.openxmlformats.org/drawingml/2006/chartDrawing">
    <cdr:from>
      <cdr:x>0.0015</cdr:x>
      <cdr:y>0.57747</cdr:y>
    </cdr:from>
    <cdr:to>
      <cdr:x>0.26479</cdr:x>
      <cdr:y>0.68046</cdr:y>
    </cdr:to>
    <cdr:sp macro="" textlink="">
      <cdr:nvSpPr>
        <cdr:cNvPr id="5" name="TextBox 4">
          <a:extLst xmlns:a="http://schemas.openxmlformats.org/drawingml/2006/main">
            <a:ext uri="{FF2B5EF4-FFF2-40B4-BE49-F238E27FC236}">
              <a16:creationId xmlns:a16="http://schemas.microsoft.com/office/drawing/2014/main" id="{768158DD-1B71-4D9B-AE75-4348AC983AA7}"/>
            </a:ext>
          </a:extLst>
        </cdr:cNvPr>
        <cdr:cNvSpPr txBox="1"/>
      </cdr:nvSpPr>
      <cdr:spPr>
        <a:xfrm xmlns:a="http://schemas.openxmlformats.org/drawingml/2006/main">
          <a:off x="9525" y="2082801"/>
          <a:ext cx="16668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Arial" panose="020B0604020202020204" pitchFamily="34" charset="0"/>
              <a:cs typeface="Arial" panose="020B0604020202020204" pitchFamily="34" charset="0"/>
            </a:rPr>
            <a:t>Supported housing/</a:t>
          </a:r>
          <a:br>
            <a:rPr lang="en-GB" sz="900">
              <a:latin typeface="Arial" panose="020B0604020202020204" pitchFamily="34" charset="0"/>
              <a:cs typeface="Arial" panose="020B0604020202020204" pitchFamily="34" charset="0"/>
            </a:rPr>
          </a:br>
          <a:r>
            <a:rPr lang="en-GB" sz="900">
              <a:latin typeface="Arial" panose="020B0604020202020204" pitchFamily="34" charset="0"/>
              <a:cs typeface="Arial" panose="020B0604020202020204" pitchFamily="34" charset="0"/>
            </a:rPr>
            <a:t>housing for older people</a:t>
          </a:r>
        </a:p>
      </cdr:txBody>
    </cdr:sp>
  </cdr:relSizeAnchor>
  <cdr:relSizeAnchor xmlns:cdr="http://schemas.openxmlformats.org/drawingml/2006/chartDrawing">
    <cdr:from>
      <cdr:x>0.0015</cdr:x>
      <cdr:y>0.72271</cdr:y>
    </cdr:from>
    <cdr:to>
      <cdr:x>0.2347</cdr:x>
      <cdr:y>0.8257</cdr:y>
    </cdr:to>
    <cdr:sp macro="" textlink="">
      <cdr:nvSpPr>
        <cdr:cNvPr id="6" name="TextBox 5">
          <a:extLst xmlns:a="http://schemas.openxmlformats.org/drawingml/2006/main">
            <a:ext uri="{FF2B5EF4-FFF2-40B4-BE49-F238E27FC236}">
              <a16:creationId xmlns:a16="http://schemas.microsoft.com/office/drawing/2014/main" id="{F251A6D7-4CD3-45AF-9AB3-5CF74AD2C299}"/>
            </a:ext>
          </a:extLst>
        </cdr:cNvPr>
        <cdr:cNvSpPr txBox="1"/>
      </cdr:nvSpPr>
      <cdr:spPr>
        <a:xfrm xmlns:a="http://schemas.openxmlformats.org/drawingml/2006/main">
          <a:off x="9525" y="2606676"/>
          <a:ext cx="1476375" cy="37147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GB" sz="900">
              <a:latin typeface="Arial" panose="020B0604020202020204" pitchFamily="34" charset="0"/>
              <a:cs typeface="Arial" panose="020B0604020202020204" pitchFamily="34" charset="0"/>
            </a:rPr>
            <a:t>Low cost home ownership (LCHO)</a:t>
          </a:r>
        </a:p>
      </cdr:txBody>
    </cdr:sp>
  </cdr:relSizeAnchor>
</c:userShapes>
</file>

<file path=xl/drawings/drawing11.xml><?xml version="1.0" encoding="utf-8"?>
<xdr:wsDr xmlns:xdr="http://schemas.openxmlformats.org/drawingml/2006/spreadsheetDrawing" xmlns:a="http://schemas.openxmlformats.org/drawingml/2006/main">
  <xdr:twoCellAnchor editAs="oneCell">
    <xdr:from>
      <xdr:col>1</xdr:col>
      <xdr:colOff>1058</xdr:colOff>
      <xdr:row>2</xdr:row>
      <xdr:rowOff>16935</xdr:rowOff>
    </xdr:from>
    <xdr:to>
      <xdr:col>1</xdr:col>
      <xdr:colOff>1466851</xdr:colOff>
      <xdr:row>4</xdr:row>
      <xdr:rowOff>240087</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82058" y="340785"/>
          <a:ext cx="1465793" cy="73432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158750</xdr:colOff>
      <xdr:row>4</xdr:row>
      <xdr:rowOff>63500</xdr:rowOff>
    </xdr:from>
    <xdr:to>
      <xdr:col>10</xdr:col>
      <xdr:colOff>393430</xdr:colOff>
      <xdr:row>8</xdr:row>
      <xdr:rowOff>38100</xdr:rowOff>
    </xdr:to>
    <xdr:pic>
      <xdr:nvPicPr>
        <xdr:cNvPr id="8" name="Picture 7">
          <a:extLst>
            <a:ext uri="{FF2B5EF4-FFF2-40B4-BE49-F238E27FC236}">
              <a16:creationId xmlns:a16="http://schemas.microsoft.com/office/drawing/2014/main" id="{2CF4AABC-D986-40D7-B4A9-BC41DE92F45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8750" y="939800"/>
          <a:ext cx="6216380" cy="622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177800</xdr:colOff>
      <xdr:row>12</xdr:row>
      <xdr:rowOff>95250</xdr:rowOff>
    </xdr:from>
    <xdr:to>
      <xdr:col>10</xdr:col>
      <xdr:colOff>400050</xdr:colOff>
      <xdr:row>24</xdr:row>
      <xdr:rowOff>151716</xdr:rowOff>
    </xdr:to>
    <xdr:pic>
      <xdr:nvPicPr>
        <xdr:cNvPr id="9" name="Picture 8">
          <a:extLst>
            <a:ext uri="{FF2B5EF4-FFF2-40B4-BE49-F238E27FC236}">
              <a16:creationId xmlns:a16="http://schemas.microsoft.com/office/drawing/2014/main" id="{69AAE584-209C-4724-8C26-5A1BAC4FE639}"/>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7800" y="2305050"/>
          <a:ext cx="6203950" cy="199956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171450</xdr:colOff>
      <xdr:row>28</xdr:row>
      <xdr:rowOff>104775</xdr:rowOff>
    </xdr:from>
    <xdr:to>
      <xdr:col>10</xdr:col>
      <xdr:colOff>364490</xdr:colOff>
      <xdr:row>32</xdr:row>
      <xdr:rowOff>114300</xdr:rowOff>
    </xdr:to>
    <xdr:pic>
      <xdr:nvPicPr>
        <xdr:cNvPr id="10" name="Picture 9">
          <a:extLst>
            <a:ext uri="{FF2B5EF4-FFF2-40B4-BE49-F238E27FC236}">
              <a16:creationId xmlns:a16="http://schemas.microsoft.com/office/drawing/2014/main" id="{6560C72F-A21F-4D8B-97CE-F8DFBCC81CD2}"/>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71450" y="4943475"/>
          <a:ext cx="6174740" cy="6572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152399</xdr:colOff>
      <xdr:row>35</xdr:row>
      <xdr:rowOff>63499</xdr:rowOff>
    </xdr:from>
    <xdr:to>
      <xdr:col>10</xdr:col>
      <xdr:colOff>369309</xdr:colOff>
      <xdr:row>52</xdr:row>
      <xdr:rowOff>95249</xdr:rowOff>
    </xdr:to>
    <xdr:pic>
      <xdr:nvPicPr>
        <xdr:cNvPr id="11" name="Picture 10">
          <a:extLst>
            <a:ext uri="{FF2B5EF4-FFF2-40B4-BE49-F238E27FC236}">
              <a16:creationId xmlns:a16="http://schemas.microsoft.com/office/drawing/2014/main" id="{E0C02EEF-2B1C-4C84-97B1-DFD19FBDB725}"/>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52399" y="6197599"/>
          <a:ext cx="6201785" cy="27844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123825</xdr:colOff>
      <xdr:row>54</xdr:row>
      <xdr:rowOff>133350</xdr:rowOff>
    </xdr:from>
    <xdr:to>
      <xdr:col>10</xdr:col>
      <xdr:colOff>360584</xdr:colOff>
      <xdr:row>58</xdr:row>
      <xdr:rowOff>107496</xdr:rowOff>
    </xdr:to>
    <xdr:pic>
      <xdr:nvPicPr>
        <xdr:cNvPr id="3" name="Picture 2">
          <a:extLst>
            <a:ext uri="{FF2B5EF4-FFF2-40B4-BE49-F238E27FC236}">
              <a16:creationId xmlns:a16="http://schemas.microsoft.com/office/drawing/2014/main" id="{9F0E94D6-16F6-4AB1-941E-78C1B96078B9}"/>
            </a:ext>
          </a:extLst>
        </xdr:cNvPr>
        <xdr:cNvPicPr>
          <a:picLocks noChangeAspect="1"/>
        </xdr:cNvPicPr>
      </xdr:nvPicPr>
      <xdr:blipFill>
        <a:blip xmlns:r="http://schemas.openxmlformats.org/officeDocument/2006/relationships" r:embed="rId5"/>
        <a:stretch>
          <a:fillRect/>
        </a:stretch>
      </xdr:blipFill>
      <xdr:spPr>
        <a:xfrm>
          <a:off x="123825" y="9382125"/>
          <a:ext cx="6218459" cy="62184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361950</xdr:colOff>
      <xdr:row>0</xdr:row>
      <xdr:rowOff>276225</xdr:rowOff>
    </xdr:from>
    <xdr:ext cx="1562100" cy="795187"/>
    <xdr:pic>
      <xdr:nvPicPr>
        <xdr:cNvPr id="2" name="Picture 1">
          <a:extLst>
            <a:ext uri="{FF2B5EF4-FFF2-40B4-BE49-F238E27FC236}">
              <a16:creationId xmlns:a16="http://schemas.microsoft.com/office/drawing/2014/main" id="{58660C8D-0600-4363-BA87-4C5FEA6C8BE0}"/>
            </a:ext>
          </a:extLst>
        </xdr:cNvPr>
        <xdr:cNvPicPr>
          <a:picLocks noChangeAspect="1"/>
        </xdr:cNvPicPr>
      </xdr:nvPicPr>
      <xdr:blipFill>
        <a:blip xmlns:r="http://schemas.openxmlformats.org/officeDocument/2006/relationships" r:embed="rId1"/>
        <a:stretch>
          <a:fillRect/>
        </a:stretch>
      </xdr:blipFill>
      <xdr:spPr>
        <a:xfrm>
          <a:off x="361950" y="276225"/>
          <a:ext cx="1562100" cy="795187"/>
        </a:xfrm>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247650</xdr:colOff>
      <xdr:row>0</xdr:row>
      <xdr:rowOff>276225</xdr:rowOff>
    </xdr:from>
    <xdr:ext cx="1514475" cy="770944"/>
    <xdr:pic>
      <xdr:nvPicPr>
        <xdr:cNvPr id="2" name="Picture 1">
          <a:extLst>
            <a:ext uri="{FF2B5EF4-FFF2-40B4-BE49-F238E27FC236}">
              <a16:creationId xmlns:a16="http://schemas.microsoft.com/office/drawing/2014/main" id="{1249A0BA-B0FC-4D25-817A-57D12658F81F}"/>
            </a:ext>
          </a:extLst>
        </xdr:cNvPr>
        <xdr:cNvPicPr>
          <a:picLocks noChangeAspect="1"/>
        </xdr:cNvPicPr>
      </xdr:nvPicPr>
      <xdr:blipFill>
        <a:blip xmlns:r="http://schemas.openxmlformats.org/officeDocument/2006/relationships" r:embed="rId1"/>
        <a:stretch>
          <a:fillRect/>
        </a:stretch>
      </xdr:blipFill>
      <xdr:spPr>
        <a:xfrm>
          <a:off x="352425" y="276225"/>
          <a:ext cx="1514475" cy="770944"/>
        </a:xfrm>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twoCellAnchor>
    <xdr:from>
      <xdr:col>8</xdr:col>
      <xdr:colOff>9526</xdr:colOff>
      <xdr:row>142</xdr:row>
      <xdr:rowOff>9525</xdr:rowOff>
    </xdr:from>
    <xdr:to>
      <xdr:col>14</xdr:col>
      <xdr:colOff>1</xdr:colOff>
      <xdr:row>164</xdr:row>
      <xdr:rowOff>9525</xdr:rowOff>
    </xdr:to>
    <xdr:graphicFrame macro="">
      <xdr:nvGraphicFramePr>
        <xdr:cNvPr id="3" name="Chart 2">
          <a:extLst>
            <a:ext uri="{FF2B5EF4-FFF2-40B4-BE49-F238E27FC236}">
              <a16:creationId xmlns:a16="http://schemas.microsoft.com/office/drawing/2014/main" id="{8BE5DAF4-7C81-44C3-88A2-013B293429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19050</xdr:colOff>
      <xdr:row>165</xdr:row>
      <xdr:rowOff>7327</xdr:rowOff>
    </xdr:from>
    <xdr:to>
      <xdr:col>14</xdr:col>
      <xdr:colOff>3174</xdr:colOff>
      <xdr:row>187</xdr:row>
      <xdr:rowOff>0</xdr:rowOff>
    </xdr:to>
    <xdr:graphicFrame macro="">
      <xdr:nvGraphicFramePr>
        <xdr:cNvPr id="4" name="Chart 3">
          <a:extLst>
            <a:ext uri="{FF2B5EF4-FFF2-40B4-BE49-F238E27FC236}">
              <a16:creationId xmlns:a16="http://schemas.microsoft.com/office/drawing/2014/main" id="{5B5E7178-0069-4CC3-8B45-2C334035534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0</xdr:col>
      <xdr:colOff>265043</xdr:colOff>
      <xdr:row>0</xdr:row>
      <xdr:rowOff>76200</xdr:rowOff>
    </xdr:from>
    <xdr:to>
      <xdr:col>0</xdr:col>
      <xdr:colOff>265043</xdr:colOff>
      <xdr:row>6</xdr:row>
      <xdr:rowOff>3147</xdr:rowOff>
    </xdr:to>
    <xdr:pic>
      <xdr:nvPicPr>
        <xdr:cNvPr id="5" name="Picture 4">
          <a:extLst>
            <a:ext uri="{FF2B5EF4-FFF2-40B4-BE49-F238E27FC236}">
              <a16:creationId xmlns:a16="http://schemas.microsoft.com/office/drawing/2014/main" id="{E1F9DB87-76FA-46BD-89EF-5C982ACBF1C5}"/>
            </a:ext>
          </a:extLst>
        </xdr:cNvPr>
        <xdr:cNvPicPr>
          <a:picLocks noChangeAspect="1"/>
        </xdr:cNvPicPr>
      </xdr:nvPicPr>
      <xdr:blipFill>
        <a:blip xmlns:r="http://schemas.openxmlformats.org/officeDocument/2006/relationships" r:embed="rId3"/>
        <a:stretch>
          <a:fillRect/>
        </a:stretch>
      </xdr:blipFill>
      <xdr:spPr>
        <a:xfrm>
          <a:off x="276225" y="76200"/>
          <a:ext cx="0" cy="1174722"/>
        </a:xfrm>
        <a:prstGeom prst="rect">
          <a:avLst/>
        </a:prstGeom>
      </xdr:spPr>
    </xdr:pic>
    <xdr:clientData/>
  </xdr:twoCellAnchor>
  <xdr:twoCellAnchor>
    <xdr:from>
      <xdr:col>7</xdr:col>
      <xdr:colOff>215900</xdr:colOff>
      <xdr:row>165</xdr:row>
      <xdr:rowOff>19050</xdr:rowOff>
    </xdr:from>
    <xdr:to>
      <xdr:col>12</xdr:col>
      <xdr:colOff>492125</xdr:colOff>
      <xdr:row>166</xdr:row>
      <xdr:rowOff>133350</xdr:rowOff>
    </xdr:to>
    <xdr:sp macro="" textlink="">
      <xdr:nvSpPr>
        <xdr:cNvPr id="6" name="TextBox 5">
          <a:extLst>
            <a:ext uri="{FF2B5EF4-FFF2-40B4-BE49-F238E27FC236}">
              <a16:creationId xmlns:a16="http://schemas.microsoft.com/office/drawing/2014/main" id="{2659FE41-D52E-4BDD-84AD-C542F764977F}"/>
            </a:ext>
          </a:extLst>
        </xdr:cNvPr>
        <xdr:cNvSpPr txBox="1"/>
      </xdr:nvSpPr>
      <xdr:spPr>
        <a:xfrm>
          <a:off x="7035800" y="29498925"/>
          <a:ext cx="5133975" cy="3143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Affordable Rent supported housing/housing for older people</a:t>
          </a:r>
        </a:p>
      </xdr:txBody>
    </xdr:sp>
    <xdr:clientData/>
  </xdr:twoCellAnchor>
  <xdr:twoCellAnchor>
    <xdr:from>
      <xdr:col>8</xdr:col>
      <xdr:colOff>20634</xdr:colOff>
      <xdr:row>49</xdr:row>
      <xdr:rowOff>0</xdr:rowOff>
    </xdr:from>
    <xdr:to>
      <xdr:col>14</xdr:col>
      <xdr:colOff>0</xdr:colOff>
      <xdr:row>72</xdr:row>
      <xdr:rowOff>0</xdr:rowOff>
    </xdr:to>
    <xdr:graphicFrame macro="">
      <xdr:nvGraphicFramePr>
        <xdr:cNvPr id="7" name="Chart 6">
          <a:extLst>
            <a:ext uri="{FF2B5EF4-FFF2-40B4-BE49-F238E27FC236}">
              <a16:creationId xmlns:a16="http://schemas.microsoft.com/office/drawing/2014/main" id="{CB049B98-5E11-4882-93FD-0EF3311E8B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19050</xdr:colOff>
      <xdr:row>73</xdr:row>
      <xdr:rowOff>2196</xdr:rowOff>
    </xdr:from>
    <xdr:to>
      <xdr:col>14</xdr:col>
      <xdr:colOff>0</xdr:colOff>
      <xdr:row>95</xdr:row>
      <xdr:rowOff>0</xdr:rowOff>
    </xdr:to>
    <xdr:graphicFrame macro="">
      <xdr:nvGraphicFramePr>
        <xdr:cNvPr id="8" name="Chart 7">
          <a:extLst>
            <a:ext uri="{FF2B5EF4-FFF2-40B4-BE49-F238E27FC236}">
              <a16:creationId xmlns:a16="http://schemas.microsoft.com/office/drawing/2014/main" id="{5675E789-D47D-458B-9684-ADB4FF4801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215900</xdr:colOff>
      <xdr:row>49</xdr:row>
      <xdr:rowOff>6350</xdr:rowOff>
    </xdr:from>
    <xdr:to>
      <xdr:col>9</xdr:col>
      <xdr:colOff>330200</xdr:colOff>
      <xdr:row>50</xdr:row>
      <xdr:rowOff>57150</xdr:rowOff>
    </xdr:to>
    <xdr:sp macro="" textlink="">
      <xdr:nvSpPr>
        <xdr:cNvPr id="9" name="TextBox 8">
          <a:extLst>
            <a:ext uri="{FF2B5EF4-FFF2-40B4-BE49-F238E27FC236}">
              <a16:creationId xmlns:a16="http://schemas.microsoft.com/office/drawing/2014/main" id="{205C467D-F44A-46F7-B11D-8D9BB8A0552C}"/>
            </a:ext>
          </a:extLst>
        </xdr:cNvPr>
        <xdr:cNvSpPr txBox="1"/>
      </xdr:nvSpPr>
      <xdr:spPr>
        <a:xfrm>
          <a:off x="7035800" y="9588500"/>
          <a:ext cx="2428875" cy="2508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General needs (social rent)</a:t>
          </a:r>
        </a:p>
      </xdr:txBody>
    </xdr:sp>
    <xdr:clientData/>
  </xdr:twoCellAnchor>
  <xdr:twoCellAnchor>
    <xdr:from>
      <xdr:col>8</xdr:col>
      <xdr:colOff>9524</xdr:colOff>
      <xdr:row>73</xdr:row>
      <xdr:rowOff>0</xdr:rowOff>
    </xdr:from>
    <xdr:to>
      <xdr:col>12</xdr:col>
      <xdr:colOff>209549</xdr:colOff>
      <xdr:row>74</xdr:row>
      <xdr:rowOff>101600</xdr:rowOff>
    </xdr:to>
    <xdr:sp macro="" textlink="">
      <xdr:nvSpPr>
        <xdr:cNvPr id="10" name="TextBox 9">
          <a:extLst>
            <a:ext uri="{FF2B5EF4-FFF2-40B4-BE49-F238E27FC236}">
              <a16:creationId xmlns:a16="http://schemas.microsoft.com/office/drawing/2014/main" id="{9921A534-F310-4B32-9AA5-E9F6E424C42C}"/>
            </a:ext>
          </a:extLst>
        </xdr:cNvPr>
        <xdr:cNvSpPr txBox="1"/>
      </xdr:nvSpPr>
      <xdr:spPr>
        <a:xfrm>
          <a:off x="7048499" y="13687425"/>
          <a:ext cx="4838700" cy="301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59468D"/>
              </a:solidFill>
              <a:latin typeface="Arial" panose="020B0604020202020204" pitchFamily="34" charset="0"/>
              <a:cs typeface="Arial" panose="020B0604020202020204" pitchFamily="34" charset="0"/>
            </a:rPr>
            <a:t>Supported housing/housing for older people (social rent)</a:t>
          </a:r>
        </a:p>
      </xdr:txBody>
    </xdr:sp>
    <xdr:clientData/>
  </xdr:twoCellAnchor>
  <xdr:twoCellAnchor>
    <xdr:from>
      <xdr:col>8</xdr:col>
      <xdr:colOff>19050</xdr:colOff>
      <xdr:row>96</xdr:row>
      <xdr:rowOff>0</xdr:rowOff>
    </xdr:from>
    <xdr:to>
      <xdr:col>14</xdr:col>
      <xdr:colOff>0</xdr:colOff>
      <xdr:row>118</xdr:row>
      <xdr:rowOff>0</xdr:rowOff>
    </xdr:to>
    <xdr:graphicFrame macro="">
      <xdr:nvGraphicFramePr>
        <xdr:cNvPr id="11" name="Chart 10">
          <a:extLst>
            <a:ext uri="{FF2B5EF4-FFF2-40B4-BE49-F238E27FC236}">
              <a16:creationId xmlns:a16="http://schemas.microsoft.com/office/drawing/2014/main" id="{632D7F86-6343-4E3E-89D5-AC1F627EE7E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6349</xdr:colOff>
      <xdr:row>119</xdr:row>
      <xdr:rowOff>6350</xdr:rowOff>
    </xdr:from>
    <xdr:to>
      <xdr:col>13</xdr:col>
      <xdr:colOff>847724</xdr:colOff>
      <xdr:row>141</xdr:row>
      <xdr:rowOff>0</xdr:rowOff>
    </xdr:to>
    <xdr:graphicFrame macro="">
      <xdr:nvGraphicFramePr>
        <xdr:cNvPr id="12" name="Chart 11">
          <a:extLst>
            <a:ext uri="{FF2B5EF4-FFF2-40B4-BE49-F238E27FC236}">
              <a16:creationId xmlns:a16="http://schemas.microsoft.com/office/drawing/2014/main" id="{69E8B543-6CAF-4EEF-B934-1801338D8DC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8</xdr:col>
      <xdr:colOff>19050</xdr:colOff>
      <xdr:row>188</xdr:row>
      <xdr:rowOff>9525</xdr:rowOff>
    </xdr:from>
    <xdr:to>
      <xdr:col>14</xdr:col>
      <xdr:colOff>0</xdr:colOff>
      <xdr:row>210</xdr:row>
      <xdr:rowOff>9525</xdr:rowOff>
    </xdr:to>
    <xdr:graphicFrame macro="">
      <xdr:nvGraphicFramePr>
        <xdr:cNvPr id="13" name="Chart 12">
          <a:extLst>
            <a:ext uri="{FF2B5EF4-FFF2-40B4-BE49-F238E27FC236}">
              <a16:creationId xmlns:a16="http://schemas.microsoft.com/office/drawing/2014/main" id="{C7C3E865-345C-4D3E-977E-286F247863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8</xdr:col>
      <xdr:colOff>12699</xdr:colOff>
      <xdr:row>211</xdr:row>
      <xdr:rowOff>3174</xdr:rowOff>
    </xdr:from>
    <xdr:to>
      <xdr:col>14</xdr:col>
      <xdr:colOff>0</xdr:colOff>
      <xdr:row>233</xdr:row>
      <xdr:rowOff>3174</xdr:rowOff>
    </xdr:to>
    <xdr:graphicFrame macro="">
      <xdr:nvGraphicFramePr>
        <xdr:cNvPr id="14" name="Chart 13">
          <a:extLst>
            <a:ext uri="{FF2B5EF4-FFF2-40B4-BE49-F238E27FC236}">
              <a16:creationId xmlns:a16="http://schemas.microsoft.com/office/drawing/2014/main" id="{B6157C69-7057-43D3-92E7-F6600EF48F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xdr:col>
      <xdr:colOff>161925</xdr:colOff>
      <xdr:row>0</xdr:row>
      <xdr:rowOff>311150</xdr:rowOff>
    </xdr:from>
    <xdr:to>
      <xdr:col>2</xdr:col>
      <xdr:colOff>104775</xdr:colOff>
      <xdr:row>5</xdr:row>
      <xdr:rowOff>68572</xdr:rowOff>
    </xdr:to>
    <xdr:pic>
      <xdr:nvPicPr>
        <xdr:cNvPr id="15" name="Picture 14">
          <a:extLst>
            <a:ext uri="{FF2B5EF4-FFF2-40B4-BE49-F238E27FC236}">
              <a16:creationId xmlns:a16="http://schemas.microsoft.com/office/drawing/2014/main" id="{6B6E1CF2-2478-40CD-8C7B-0F8BD7B9373C}"/>
            </a:ext>
          </a:extLst>
        </xdr:cNvPr>
        <xdr:cNvPicPr>
          <a:picLocks noChangeAspect="1"/>
        </xdr:cNvPicPr>
      </xdr:nvPicPr>
      <xdr:blipFill>
        <a:blip xmlns:r="http://schemas.openxmlformats.org/officeDocument/2006/relationships" r:embed="rId3"/>
        <a:stretch>
          <a:fillRect/>
        </a:stretch>
      </xdr:blipFill>
      <xdr:spPr>
        <a:xfrm>
          <a:off x="438150" y="311150"/>
          <a:ext cx="1530350" cy="833747"/>
        </a:xfrm>
        <a:prstGeom prst="rect">
          <a:avLst/>
        </a:prstGeom>
      </xdr:spPr>
    </xdr:pic>
    <xdr:clientData/>
  </xdr:twoCellAnchor>
  <xdr:twoCellAnchor>
    <xdr:from>
      <xdr:col>8</xdr:col>
      <xdr:colOff>22224</xdr:colOff>
      <xdr:row>28</xdr:row>
      <xdr:rowOff>0</xdr:rowOff>
    </xdr:from>
    <xdr:to>
      <xdr:col>14</xdr:col>
      <xdr:colOff>0</xdr:colOff>
      <xdr:row>47</xdr:row>
      <xdr:rowOff>171452</xdr:rowOff>
    </xdr:to>
    <xdr:graphicFrame macro="">
      <xdr:nvGraphicFramePr>
        <xdr:cNvPr id="16" name="Chart 15">
          <a:extLst>
            <a:ext uri="{FF2B5EF4-FFF2-40B4-BE49-F238E27FC236}">
              <a16:creationId xmlns:a16="http://schemas.microsoft.com/office/drawing/2014/main" id="{CA09B94A-E59D-49E2-B044-5E27FB844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8</xdr:col>
      <xdr:colOff>19050</xdr:colOff>
      <xdr:row>7</xdr:row>
      <xdr:rowOff>0</xdr:rowOff>
    </xdr:from>
    <xdr:to>
      <xdr:col>14</xdr:col>
      <xdr:colOff>0</xdr:colOff>
      <xdr:row>27</xdr:row>
      <xdr:rowOff>0</xdr:rowOff>
    </xdr:to>
    <xdr:graphicFrame macro="">
      <xdr:nvGraphicFramePr>
        <xdr:cNvPr id="2" name="Chart 16">
          <a:extLst>
            <a:ext uri="{FF2B5EF4-FFF2-40B4-BE49-F238E27FC236}">
              <a16:creationId xmlns:a16="http://schemas.microsoft.com/office/drawing/2014/main" id="{AAFD0757-3C81-40A9-9EDF-148BB9CD9625}"/>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cdr:x>
      <cdr:y>0.00256</cdr:y>
    </cdr:from>
    <cdr:to>
      <cdr:x>0.80201</cdr:x>
      <cdr:y>0.06394</cdr:y>
    </cdr:to>
    <cdr:sp macro="" textlink="">
      <cdr:nvSpPr>
        <cdr:cNvPr id="3" name="TextBox 17">
          <a:extLst xmlns:a="http://schemas.openxmlformats.org/drawingml/2006/main">
            <a:ext uri="{FF2B5EF4-FFF2-40B4-BE49-F238E27FC236}">
              <a16:creationId xmlns:a16="http://schemas.microsoft.com/office/drawing/2014/main" id="{FBD1EEE7-96E9-4434-98A4-BD88A8B95D9B}"/>
            </a:ext>
          </a:extLst>
        </cdr:cNvPr>
        <cdr:cNvSpPr txBox="1"/>
      </cdr:nvSpPr>
      <cdr:spPr>
        <a:xfrm xmlns:a="http://schemas.openxmlformats.org/drawingml/2006/main">
          <a:off x="0" y="9526"/>
          <a:ext cx="5080031" cy="228600"/>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r>
            <a:rPr lang="en-GB" sz="1200" b="1">
              <a:solidFill>
                <a:srgbClr val="59468D"/>
              </a:solidFill>
              <a:latin typeface="Arial" panose="020B0604020202020204" pitchFamily="34" charset="0"/>
              <a:cs typeface="Arial" panose="020B0604020202020204" pitchFamily="34" charset="0"/>
            </a:rPr>
            <a:t>Affordable Rent General Needs</a:t>
          </a:r>
        </a:p>
      </cdr:txBody>
    </cdr:sp>
  </cdr:relSizeAnchor>
</c:userShapes>
</file>

<file path=xl/drawings/drawing6.xml><?xml version="1.0" encoding="utf-8"?>
<c:userShapes xmlns:c="http://schemas.openxmlformats.org/drawingml/2006/chart">
  <cdr:relSizeAnchor xmlns:cdr="http://schemas.openxmlformats.org/drawingml/2006/chartDrawing">
    <cdr:from>
      <cdr:x>0</cdr:x>
      <cdr:y>0</cdr:y>
    </cdr:from>
    <cdr:to>
      <cdr:x>0.4663</cdr:x>
      <cdr:y>0.0913</cdr:y>
    </cdr:to>
    <cdr:sp macro="" textlink="">
      <cdr:nvSpPr>
        <cdr:cNvPr id="2" name="TextBox 1">
          <a:extLst xmlns:a="http://schemas.openxmlformats.org/drawingml/2006/main">
            <a:ext uri="{FF2B5EF4-FFF2-40B4-BE49-F238E27FC236}">
              <a16:creationId xmlns:a16="http://schemas.microsoft.com/office/drawing/2014/main" id="{0BE11B46-56D7-4D9F-AB9D-2CB6A59B91A0}"/>
            </a:ext>
          </a:extLst>
        </cdr:cNvPr>
        <cdr:cNvSpPr txBox="1"/>
      </cdr:nvSpPr>
      <cdr:spPr>
        <a:xfrm xmlns:a="http://schemas.openxmlformats.org/drawingml/2006/main">
          <a:off x="0" y="0"/>
          <a:ext cx="2944719" cy="341765"/>
        </a:xfrm>
        <a:prstGeom xmlns:a="http://schemas.openxmlformats.org/drawingml/2006/main" prst="rect">
          <a:avLst/>
        </a:prstGeom>
      </cdr:spPr>
      <cdr:txBody>
        <a:bodyPr xmlns:a="http://schemas.openxmlformats.org/drawingml/2006/main" vertOverflow="clip" wrap="square" rtlCol="0" anchor="t"/>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General needs (social rent)</a:t>
          </a:r>
        </a:p>
      </cdr:txBody>
    </cdr:sp>
  </cdr:relSizeAnchor>
</c:userShapes>
</file>

<file path=xl/drawings/drawing7.xml><?xml version="1.0" encoding="utf-8"?>
<c:userShapes xmlns:c="http://schemas.openxmlformats.org/drawingml/2006/chart">
  <cdr:relSizeAnchor xmlns:cdr="http://schemas.openxmlformats.org/drawingml/2006/chartDrawing">
    <cdr:from>
      <cdr:x>0</cdr:x>
      <cdr:y>0</cdr:y>
    </cdr:from>
    <cdr:to>
      <cdr:x>0.74548</cdr:x>
      <cdr:y>0.09219</cdr:y>
    </cdr:to>
    <cdr:sp macro="" textlink="">
      <cdr:nvSpPr>
        <cdr:cNvPr id="2" name="TextBox 1">
          <a:extLst xmlns:a="http://schemas.openxmlformats.org/drawingml/2006/main">
            <a:ext uri="{FF2B5EF4-FFF2-40B4-BE49-F238E27FC236}">
              <a16:creationId xmlns:a16="http://schemas.microsoft.com/office/drawing/2014/main" id="{1EB4C6C0-1513-4F19-B236-AEEC3B436698}"/>
            </a:ext>
          </a:extLst>
        </cdr:cNvPr>
        <cdr:cNvSpPr txBox="1"/>
      </cdr:nvSpPr>
      <cdr:spPr>
        <a:xfrm xmlns:a="http://schemas.openxmlformats.org/drawingml/2006/main">
          <a:off x="0" y="0"/>
          <a:ext cx="4714874" cy="3524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Supported housing</a:t>
          </a:r>
          <a:r>
            <a:rPr lang="en-GB" sz="1200" b="1" baseline="0">
              <a:solidFill>
                <a:srgbClr val="59468D"/>
              </a:solidFill>
              <a:latin typeface="Arial" panose="020B0604020202020204" pitchFamily="34" charset="0"/>
              <a:cs typeface="Arial" panose="020B0604020202020204" pitchFamily="34" charset="0"/>
            </a:rPr>
            <a:t>/housing for older people (social rent)</a:t>
          </a:r>
          <a:endParaRPr lang="en-GB" sz="1200" b="1">
            <a:solidFill>
              <a:srgbClr val="59468D"/>
            </a:solidFill>
            <a:latin typeface="Arial" panose="020B0604020202020204" pitchFamily="34" charset="0"/>
            <a:cs typeface="Arial" panose="020B0604020202020204" pitchFamily="34" charset="0"/>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cdr:x>
      <cdr:y>0</cdr:y>
    </cdr:from>
    <cdr:to>
      <cdr:x>0.62961</cdr:x>
      <cdr:y>0.06549</cdr:y>
    </cdr:to>
    <cdr:sp macro="" textlink="">
      <cdr:nvSpPr>
        <cdr:cNvPr id="3" name="TextBox 2">
          <a:extLst xmlns:a="http://schemas.openxmlformats.org/drawingml/2006/main">
            <a:ext uri="{FF2B5EF4-FFF2-40B4-BE49-F238E27FC236}">
              <a16:creationId xmlns:a16="http://schemas.microsoft.com/office/drawing/2014/main" id="{62B58EB1-2106-4255-8D42-0C265D0F4FDF}"/>
            </a:ext>
          </a:extLst>
        </cdr:cNvPr>
        <cdr:cNvSpPr txBox="1"/>
      </cdr:nvSpPr>
      <cdr:spPr>
        <a:xfrm xmlns:a="http://schemas.openxmlformats.org/drawingml/2006/main">
          <a:off x="0" y="0"/>
          <a:ext cx="4010025" cy="24765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Affordable Rent</a:t>
          </a:r>
          <a:r>
            <a:rPr lang="en-GB" sz="1200" b="1" baseline="0">
              <a:solidFill>
                <a:srgbClr val="59468D"/>
              </a:solidFill>
              <a:latin typeface="Arial" panose="020B0604020202020204" pitchFamily="34" charset="0"/>
              <a:cs typeface="Arial" panose="020B0604020202020204" pitchFamily="34" charset="0"/>
            </a:rPr>
            <a:t> general needs</a:t>
          </a:r>
          <a:endParaRPr lang="en-GB" sz="1200" b="1">
            <a:solidFill>
              <a:srgbClr val="59468D"/>
            </a:solidFill>
            <a:latin typeface="Arial" panose="020B0604020202020204" pitchFamily="34" charset="0"/>
            <a:cs typeface="Arial" panose="020B0604020202020204" pitchFamily="34" charset="0"/>
          </a:endParaRPr>
        </a:p>
      </cdr:txBody>
    </cdr:sp>
  </cdr:relSizeAnchor>
</c:userShapes>
</file>

<file path=xl/drawings/drawing9.xml><?xml version="1.0" encoding="utf-8"?>
<c:userShapes xmlns:c="http://schemas.openxmlformats.org/drawingml/2006/chart">
  <cdr:relSizeAnchor xmlns:cdr="http://schemas.openxmlformats.org/drawingml/2006/chartDrawing">
    <cdr:from>
      <cdr:x>0.0015</cdr:x>
      <cdr:y>0</cdr:y>
    </cdr:from>
    <cdr:to>
      <cdr:x>0.7741</cdr:x>
      <cdr:y>0.06045</cdr:y>
    </cdr:to>
    <cdr:sp macro="" textlink="">
      <cdr:nvSpPr>
        <cdr:cNvPr id="2" name="TextBox 1">
          <a:extLst xmlns:a="http://schemas.openxmlformats.org/drawingml/2006/main">
            <a:ext uri="{FF2B5EF4-FFF2-40B4-BE49-F238E27FC236}">
              <a16:creationId xmlns:a16="http://schemas.microsoft.com/office/drawing/2014/main" id="{F9130BF4-C218-4059-B625-01B9978A70C7}"/>
            </a:ext>
          </a:extLst>
        </cdr:cNvPr>
        <cdr:cNvSpPr txBox="1"/>
      </cdr:nvSpPr>
      <cdr:spPr>
        <a:xfrm xmlns:a="http://schemas.openxmlformats.org/drawingml/2006/main">
          <a:off x="9487" y="0"/>
          <a:ext cx="4886364" cy="23319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l"/>
          <a:r>
            <a:rPr lang="en-GB" sz="1200" b="1">
              <a:solidFill>
                <a:srgbClr val="59468D"/>
              </a:solidFill>
              <a:latin typeface="Arial" panose="020B0604020202020204" pitchFamily="34" charset="0"/>
              <a:cs typeface="Arial" panose="020B0604020202020204" pitchFamily="34" charset="0"/>
            </a:rPr>
            <a:t>Affordable</a:t>
          </a:r>
          <a:r>
            <a:rPr lang="en-GB" sz="1200">
              <a:solidFill>
                <a:srgbClr val="59468D"/>
              </a:solidFill>
              <a:latin typeface="Arial" panose="020B0604020202020204" pitchFamily="34" charset="0"/>
              <a:cs typeface="Arial" panose="020B0604020202020204" pitchFamily="34" charset="0"/>
            </a:rPr>
            <a:t> </a:t>
          </a:r>
          <a:r>
            <a:rPr lang="en-GB" sz="1200" b="1">
              <a:solidFill>
                <a:srgbClr val="59468D"/>
              </a:solidFill>
              <a:latin typeface="Arial" panose="020B0604020202020204" pitchFamily="34" charset="0"/>
              <a:cs typeface="Arial" panose="020B0604020202020204" pitchFamily="34" charset="0"/>
            </a:rPr>
            <a:t>Rent supported housing/housing for older people</a:t>
          </a:r>
        </a:p>
      </cdr:txBody>
    </cdr:sp>
  </cdr:relSizeAnchor>
</c:userShape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97CB99B9-ED75-4D2D-B381-70E00FC2F87F}" name="FLAT_FILE" displayName="FLAT_FILE" ref="A1:O12160" totalsRowShown="0">
  <autoFilter ref="A1:O12160" xr:uid="{97CB99B9-ED75-4D2D-B381-70E00FC2F87F}"/>
  <sortState xmlns:xlrd2="http://schemas.microsoft.com/office/spreadsheetml/2017/richdata2" ref="A2:O12160">
    <sortCondition ref="A2:A12160"/>
    <sortCondition ref="B2:B12160"/>
    <sortCondition ref="C2:C12160"/>
  </sortState>
  <tableColumns count="15">
    <tableColumn id="1" xr3:uid="{3C942DA1-7E72-4E1B-B80A-178543F90A85}" name="LA_Code"/>
    <tableColumn id="2" xr3:uid="{8932C15F-C040-4D1A-8578-21EE8F642F7D}" name="LA_Name"/>
    <tableColumn id="3" xr3:uid="{CEB52719-FFF9-411F-8FFC-205AA60DC63B}" name="Region"/>
    <tableColumn id="4" xr3:uid="{6D7DCCC9-25F4-4C32-8303-A5C9636AF517}" name="Type"/>
    <tableColumn id="5" xr3:uid="{ADADFBD3-9428-4573-AE48-309BE469E36D}" name="Bedsize"/>
    <tableColumn id="6" xr3:uid="{0D13F77D-1AE8-4D19-9C3F-BF8E0739CFAA}" name="Concat"/>
    <tableColumn id="7" xr3:uid="{B5932C21-0F84-4A60-B695-457E707D88F1}" name="SDR_Own"/>
    <tableColumn id="8" xr3:uid="{EF0A7D90-93F6-441F-AD2D-3DEFAD29951F}" name="SDR_Rent_Collect"/>
    <tableColumn id="9" xr3:uid="{5AE8D022-2B6C-4E7D-8BB2-11E108321FC4}" name="SDR_AVRENT"/>
    <tableColumn id="10" xr3:uid="{981E9E21-B195-46E8-A15E-592B1477C2D2}" name="LADR_Own"/>
    <tableColumn id="11" xr3:uid="{1A9D77ED-9F4B-4F5D-85E4-6102B9CCF218}" name="LADR_Rent_Collect"/>
    <tableColumn id="12" xr3:uid="{30893B96-74DA-4B5B-8B27-D483CA452504}" name="LADR_AVRENT"/>
    <tableColumn id="13" xr3:uid="{9052D72A-BC94-40D6-B3F0-17D083DCEB97}" name="COMB_Own"/>
    <tableColumn id="14" xr3:uid="{62425D1E-AD14-4BB6-A005-7C90DA327281}" name="COMB_Rent_Collect"/>
    <tableColumn id="15" xr3:uid="{761F94FE-955E-4C6D-A34A-5329D7AF9572}" name="COMB_AVRent"/>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801353CF-1C4F-4BCF-9635-3F9A7C07680C}" name="LARP_COUNTS" displayName="LARP_COUNTS" ref="AA1:AB10" totalsRowShown="0">
  <autoFilter ref="AA1:AB10" xr:uid="{801353CF-1C4F-4BCF-9635-3F9A7C07680C}"/>
  <tableColumns count="2">
    <tableColumn id="1" xr3:uid="{C861B1C9-C1DA-4BDF-8BD0-C45D54C82BA2}" name="GOR"/>
    <tableColumn id="2" xr3:uid="{C7FF1A15-CF8D-42A9-9158-1A0C622DEA13}" name="LARP_Count"/>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A4C83436-9B1A-4A0F-8936-171A0BCEE8BB}" name="LA_REG_LOOKUP" displayName="LA_REG_LOOKUP" ref="AE1:AF297" totalsRowShown="0">
  <autoFilter ref="AE1:AF297" xr:uid="{A4C83436-9B1A-4A0F-8936-171A0BCEE8BB}"/>
  <tableColumns count="2">
    <tableColumn id="1" xr3:uid="{3CD34602-0711-48BD-97A7-3A6580138D54}" name="LA"/>
    <tableColumn id="2" xr3:uid="{57ECA6FA-E263-4D82-9BD5-A8AFDEAD24FE}" name="REG"/>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64EEF03-A77C-41C1-9615-5B960F75E77B}" name="LA_RP_COUNTS" displayName="LA_RP_COUNTS" ref="U1:V307" totalsRowShown="0">
  <autoFilter ref="U1:V307" xr:uid="{464EEF03-A77C-41C1-9615-5B960F75E77B}"/>
  <tableColumns count="2">
    <tableColumn id="1" xr3:uid="{3F3F1B40-87FC-48B5-9FBB-E7DE8F752380}" name="Area"/>
    <tableColumn id="2" xr3:uid="{D9FBC3D3-4912-4D47-B39B-BF2DE10F844C}" name="RP_Count_inc_LARPs"/>
  </tableColumns>
  <tableStyleInfo name="TableStyleMedium3"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5AA4D38A-C5F1-40E2-8C01-440E91BFDA86}" name="LARP_REG_LOOKUP" displayName="LARP_REG_LOOKUP" ref="AI1:AJ239" totalsRowShown="0">
  <autoFilter ref="AI1:AJ239" xr:uid="{5AA4D38A-C5F1-40E2-8C01-440E91BFDA86}"/>
  <tableColumns count="2">
    <tableColumn id="1" xr3:uid="{9773DF9A-3498-4D4F-94A4-445BF6613EDC}" name="Region"/>
    <tableColumn id="2" xr3:uid="{AD80070A-9BF9-4F43-95A5-A791A76EEBD6}" name="Organisation Name"/>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F1FBA131-01E9-4331-A49F-40584C03464C}" name="RP_Counts" displayName="RP_Counts" ref="AM1:AN307" totalsRowShown="0" headerRowDxfId="115" dataDxfId="114" tableBorderDxfId="113">
  <autoFilter ref="AM1:AN307" xr:uid="{F1FBA131-01E9-4331-A49F-40584C03464C}"/>
  <tableColumns count="2">
    <tableColumn id="1" xr3:uid="{14D62212-64CE-4597-8C6A-1F3ACF1DF225}" name="Area" dataDxfId="112"/>
    <tableColumn id="2" xr3:uid="{084AF5C2-6656-4895-B0CD-4B91D1197A48}" name="RP_count" dataDxfId="111"/>
  </tableColumns>
  <tableStyleInfo name="TableStyleMedium1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quiries@rsh.gov.uk?subject=RP%20Lookup%20tool%20meets%20some%20needs" TargetMode="External"/><Relationship Id="rId2" Type="http://schemas.openxmlformats.org/officeDocument/2006/relationships/hyperlink" Target="mailto:enquiries@rsh.gov.uk?subject=RP%20Lookup%20tool%20meets%20no%20needs" TargetMode="External"/><Relationship Id="rId1" Type="http://schemas.openxmlformats.org/officeDocument/2006/relationships/hyperlink" Target="mailto:NROSHenquiries@rsh.gov.uk" TargetMode="External"/><Relationship Id="rId6" Type="http://schemas.openxmlformats.org/officeDocument/2006/relationships/drawing" Target="../drawings/drawing1.xml"/><Relationship Id="rId5" Type="http://schemas.openxmlformats.org/officeDocument/2006/relationships/hyperlink" Target="mailto:enquiries@rsh.gov.uk?subject=RP%20Lookup%20tool%20meets%20all%20needs" TargetMode="External"/><Relationship Id="rId4" Type="http://schemas.openxmlformats.org/officeDocument/2006/relationships/hyperlink" Target="mailto:enquiries@rsh.gov.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hyperlink" Target="https://www.london.gov.uk/programmes-strategies/housing-and-land/homes-londoners-affordable-homes-programmes/homes-londoners-affordable-homes-programme-2021-2026"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hyperlink" Target="mailto:enquiries@rsh.gov.uk" TargetMode="Externa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7.xml.rels><?xml version="1.0" encoding="UTF-8" standalone="yes"?>
<Relationships xmlns="http://schemas.openxmlformats.org/package/2006/relationships"><Relationship Id="rId1" Type="http://schemas.openxmlformats.org/officeDocument/2006/relationships/table" Target="../tables/table1.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printerSettings" Target="../printerSettings/printerSettings4.bin"/><Relationship Id="rId6" Type="http://schemas.openxmlformats.org/officeDocument/2006/relationships/table" Target="../tables/table6.xml"/><Relationship Id="rId5" Type="http://schemas.openxmlformats.org/officeDocument/2006/relationships/table" Target="../tables/table5.xml"/><Relationship Id="rId4" Type="http://schemas.openxmlformats.org/officeDocument/2006/relationships/table" Target="../tables/table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894CC6-6FD1-4F3E-B513-A0C7822A9561}">
  <sheetPr codeName="Sheet1">
    <tabColor rgb="FF59468D"/>
  </sheetPr>
  <dimension ref="B1:V59"/>
  <sheetViews>
    <sheetView tabSelected="1" workbookViewId="0">
      <selection activeCell="B11" sqref="B11:K16"/>
    </sheetView>
  </sheetViews>
  <sheetFormatPr defaultColWidth="9.19921875" defaultRowHeight="12.75" x14ac:dyDescent="0.35"/>
  <cols>
    <col min="1" max="1" width="5" style="5" customWidth="1"/>
    <col min="2" max="2" width="8.46484375" style="5" customWidth="1"/>
    <col min="3" max="3" width="8.796875" style="5" customWidth="1"/>
    <col min="4" max="4" width="3.46484375" style="5" customWidth="1"/>
    <col min="5" max="5" width="103.53125" style="5" customWidth="1"/>
    <col min="6" max="12" width="8.796875" style="5" customWidth="1"/>
    <col min="13" max="13" width="26.796875" style="5" customWidth="1"/>
    <col min="14" max="15" width="8.796875" style="5" customWidth="1"/>
    <col min="16" max="16384" width="9.19921875" style="5"/>
  </cols>
  <sheetData>
    <row r="1" spans="2:22" ht="17.649999999999999" x14ac:dyDescent="0.5">
      <c r="B1" s="147"/>
      <c r="F1" s="428"/>
    </row>
    <row r="2" spans="2:22" ht="17.649999999999999" x14ac:dyDescent="0.5">
      <c r="B2" s="147"/>
      <c r="F2" s="428"/>
    </row>
    <row r="3" spans="2:22" ht="17.649999999999999" x14ac:dyDescent="0.5">
      <c r="B3" s="147"/>
    </row>
    <row r="4" spans="2:22" ht="17.649999999999999" x14ac:dyDescent="0.5">
      <c r="B4" s="147"/>
      <c r="L4" s="148"/>
      <c r="N4" s="149"/>
    </row>
    <row r="5" spans="2:22" ht="39" x14ac:dyDescent="0.5">
      <c r="B5" s="147"/>
      <c r="F5" s="289" t="s">
        <v>0</v>
      </c>
      <c r="G5" s="262"/>
      <c r="H5" s="290" t="s">
        <v>1</v>
      </c>
      <c r="I5" s="150"/>
      <c r="J5" s="291" t="s">
        <v>2</v>
      </c>
      <c r="K5" s="264"/>
      <c r="L5" s="148"/>
    </row>
    <row r="6" spans="2:22" ht="15" customHeight="1" x14ac:dyDescent="0.5">
      <c r="B6" s="147"/>
      <c r="F6" s="263" t="s">
        <v>3</v>
      </c>
      <c r="G6" s="263"/>
      <c r="H6" s="152" t="s">
        <v>4</v>
      </c>
      <c r="I6" s="148"/>
      <c r="J6" s="265" t="s">
        <v>5</v>
      </c>
      <c r="K6" s="264"/>
      <c r="L6" s="154"/>
    </row>
    <row r="7" spans="2:22" ht="15.75" customHeight="1" x14ac:dyDescent="0.5">
      <c r="B7" s="147"/>
      <c r="E7" s="154"/>
      <c r="F7" s="155"/>
      <c r="G7" s="151"/>
      <c r="H7" s="148"/>
      <c r="I7" s="152"/>
      <c r="J7" s="148"/>
      <c r="K7" s="153"/>
      <c r="L7" s="154"/>
    </row>
    <row r="8" spans="2:22" ht="15.75" customHeight="1" x14ac:dyDescent="0.5">
      <c r="B8" s="147"/>
    </row>
    <row r="9" spans="2:22" ht="50.55" customHeight="1" x14ac:dyDescent="0.95">
      <c r="B9" s="156" t="s">
        <v>6</v>
      </c>
    </row>
    <row r="10" spans="2:22" ht="15" customHeight="1" x14ac:dyDescent="0.4">
      <c r="C10" s="157"/>
      <c r="D10" s="157"/>
      <c r="E10" s="157"/>
      <c r="F10" s="157"/>
      <c r="G10" s="157"/>
      <c r="H10" s="157"/>
      <c r="I10" s="157"/>
      <c r="J10" s="157"/>
      <c r="K10" s="157"/>
      <c r="L10" s="157"/>
      <c r="M10" s="157"/>
    </row>
    <row r="11" spans="2:22" ht="15" customHeight="1" x14ac:dyDescent="0.35">
      <c r="B11" s="429" t="s">
        <v>7</v>
      </c>
      <c r="C11" s="430"/>
      <c r="D11" s="430"/>
      <c r="E11" s="430"/>
      <c r="F11" s="430"/>
      <c r="G11" s="430"/>
      <c r="H11" s="430"/>
      <c r="I11" s="430"/>
      <c r="J11" s="430"/>
      <c r="K11" s="430"/>
      <c r="V11" s="272"/>
    </row>
    <row r="12" spans="2:22" ht="15" customHeight="1" x14ac:dyDescent="0.35">
      <c r="B12" s="430"/>
      <c r="C12" s="430"/>
      <c r="D12" s="430"/>
      <c r="E12" s="430"/>
      <c r="F12" s="430"/>
      <c r="G12" s="430"/>
      <c r="H12" s="430"/>
      <c r="I12" s="430"/>
      <c r="J12" s="430"/>
      <c r="K12" s="430"/>
      <c r="V12" s="272"/>
    </row>
    <row r="13" spans="2:22" ht="15" customHeight="1" x14ac:dyDescent="0.35">
      <c r="B13" s="430"/>
      <c r="C13" s="430"/>
      <c r="D13" s="430"/>
      <c r="E13" s="430"/>
      <c r="F13" s="430"/>
      <c r="G13" s="430"/>
      <c r="H13" s="430"/>
      <c r="I13" s="430"/>
      <c r="J13" s="430"/>
      <c r="K13" s="430"/>
      <c r="V13" s="272"/>
    </row>
    <row r="14" spans="2:22" ht="15" customHeight="1" x14ac:dyDescent="0.35">
      <c r="B14" s="430"/>
      <c r="C14" s="430"/>
      <c r="D14" s="430"/>
      <c r="E14" s="430"/>
      <c r="F14" s="430"/>
      <c r="G14" s="430"/>
      <c r="H14" s="430"/>
      <c r="I14" s="430"/>
      <c r="J14" s="430"/>
      <c r="K14" s="430"/>
      <c r="V14" s="272"/>
    </row>
    <row r="15" spans="2:22" ht="15" customHeight="1" x14ac:dyDescent="0.35">
      <c r="B15" s="430"/>
      <c r="C15" s="430"/>
      <c r="D15" s="430"/>
      <c r="E15" s="430"/>
      <c r="F15" s="430"/>
      <c r="G15" s="430"/>
      <c r="H15" s="430"/>
      <c r="I15" s="430"/>
      <c r="J15" s="430"/>
      <c r="K15" s="430"/>
      <c r="V15" s="272"/>
    </row>
    <row r="16" spans="2:22" ht="21" customHeight="1" x14ac:dyDescent="0.35">
      <c r="B16" s="430"/>
      <c r="C16" s="430"/>
      <c r="D16" s="430"/>
      <c r="E16" s="430"/>
      <c r="F16" s="430"/>
      <c r="G16" s="430"/>
      <c r="H16" s="430"/>
      <c r="I16" s="430"/>
      <c r="J16" s="430"/>
      <c r="K16" s="430"/>
      <c r="V16" s="272"/>
    </row>
    <row r="17" spans="2:22" ht="15" customHeight="1" x14ac:dyDescent="0.35">
      <c r="B17" s="272"/>
      <c r="C17" s="272"/>
      <c r="D17" s="272"/>
      <c r="E17" s="272"/>
      <c r="F17" s="272"/>
      <c r="G17" s="272"/>
      <c r="H17" s="272"/>
      <c r="I17" s="272"/>
      <c r="J17" s="272"/>
      <c r="K17" s="272"/>
      <c r="V17" s="272"/>
    </row>
    <row r="18" spans="2:22" ht="22.5" x14ac:dyDescent="0.6">
      <c r="B18" s="431" t="s">
        <v>8</v>
      </c>
      <c r="C18" s="431"/>
      <c r="D18" s="431"/>
      <c r="E18" s="431"/>
      <c r="F18" s="431"/>
      <c r="G18" s="431"/>
      <c r="H18" s="431"/>
      <c r="I18" s="431"/>
      <c r="J18" s="431"/>
      <c r="K18" s="431"/>
      <c r="L18" s="160"/>
      <c r="M18" s="160"/>
    </row>
    <row r="19" spans="2:22" ht="15" customHeight="1" x14ac:dyDescent="0.35">
      <c r="B19" s="158"/>
      <c r="C19" s="158"/>
      <c r="D19" s="158"/>
      <c r="E19" s="158"/>
      <c r="F19" s="159"/>
      <c r="G19" s="159"/>
      <c r="H19" s="159"/>
      <c r="I19" s="159"/>
      <c r="J19" s="159"/>
      <c r="K19" s="160"/>
      <c r="L19" s="160"/>
      <c r="M19" s="160"/>
    </row>
    <row r="20" spans="2:22" ht="15" customHeight="1" x14ac:dyDescent="0.4">
      <c r="B20" s="161" t="s">
        <v>9</v>
      </c>
      <c r="C20" s="162"/>
      <c r="D20" s="162"/>
      <c r="E20" s="162" t="s">
        <v>10</v>
      </c>
      <c r="F20" s="157"/>
      <c r="G20" s="157"/>
      <c r="H20" s="157"/>
      <c r="I20" s="157"/>
      <c r="J20" s="157"/>
      <c r="K20" s="157"/>
    </row>
    <row r="21" spans="2:22" ht="15" customHeight="1" x14ac:dyDescent="0.35">
      <c r="B21" s="159"/>
      <c r="C21" s="159"/>
      <c r="D21" s="159"/>
      <c r="E21" s="159"/>
      <c r="F21" s="159"/>
      <c r="G21" s="159"/>
      <c r="H21" s="159"/>
      <c r="I21" s="159"/>
      <c r="J21" s="159"/>
      <c r="K21" s="160"/>
    </row>
    <row r="22" spans="2:22" ht="15" customHeight="1" x14ac:dyDescent="0.35">
      <c r="B22" s="426" t="s">
        <v>11</v>
      </c>
      <c r="C22" s="426"/>
      <c r="D22" s="426"/>
      <c r="E22" s="426"/>
      <c r="F22" s="159"/>
      <c r="G22" s="159"/>
      <c r="H22" s="159"/>
      <c r="I22" s="159"/>
      <c r="J22" s="159"/>
      <c r="K22" s="160"/>
    </row>
    <row r="23" spans="2:22" ht="15" customHeight="1" x14ac:dyDescent="0.35">
      <c r="B23" s="159"/>
      <c r="C23" s="159"/>
      <c r="D23" s="159"/>
      <c r="E23" s="159"/>
      <c r="F23" s="159"/>
      <c r="G23" s="159"/>
      <c r="H23" s="159"/>
      <c r="I23" s="159"/>
      <c r="J23" s="159"/>
      <c r="K23" s="160"/>
    </row>
    <row r="24" spans="2:22" ht="15" customHeight="1" x14ac:dyDescent="0.35">
      <c r="B24" s="426" t="s">
        <v>12</v>
      </c>
      <c r="C24" s="426"/>
      <c r="D24" s="426"/>
      <c r="E24" s="426"/>
      <c r="F24" s="159"/>
      <c r="G24" s="159"/>
      <c r="H24" s="159"/>
      <c r="I24" s="159"/>
      <c r="J24" s="159"/>
      <c r="K24" s="160"/>
    </row>
    <row r="25" spans="2:22" ht="15" customHeight="1" x14ac:dyDescent="0.35">
      <c r="B25" s="159"/>
      <c r="C25" s="159"/>
      <c r="D25" s="159"/>
      <c r="E25" s="159"/>
      <c r="F25" s="159"/>
      <c r="G25" s="159"/>
      <c r="H25" s="159"/>
      <c r="I25" s="159"/>
      <c r="J25" s="159"/>
      <c r="K25" s="160"/>
      <c r="M25" s="424"/>
      <c r="N25" s="425"/>
      <c r="O25" s="163"/>
      <c r="P25" s="164"/>
      <c r="Q25" s="164"/>
      <c r="R25" s="164"/>
    </row>
    <row r="26" spans="2:22" ht="15" customHeight="1" x14ac:dyDescent="0.35">
      <c r="B26" s="165">
        <v>1</v>
      </c>
      <c r="C26" s="159"/>
      <c r="D26" s="159"/>
      <c r="E26" s="194" t="s">
        <v>13</v>
      </c>
      <c r="F26" s="159"/>
      <c r="G26" s="159"/>
      <c r="H26" s="159"/>
      <c r="I26" s="159"/>
      <c r="J26" s="159"/>
      <c r="K26" s="160"/>
      <c r="L26" s="272"/>
      <c r="M26" s="1"/>
      <c r="N26" s="1"/>
      <c r="O26" s="166"/>
      <c r="P26" s="166"/>
      <c r="Q26" s="166"/>
      <c r="R26" s="166"/>
    </row>
    <row r="27" spans="2:22" ht="15" customHeight="1" x14ac:dyDescent="0.4">
      <c r="B27" s="165"/>
      <c r="C27" s="157"/>
      <c r="D27" s="157"/>
      <c r="E27" s="157"/>
      <c r="F27" s="157"/>
      <c r="G27" s="157"/>
      <c r="H27" s="157"/>
      <c r="I27" s="157"/>
      <c r="J27" s="157"/>
      <c r="K27" s="167"/>
      <c r="L27" s="272"/>
      <c r="M27" s="50"/>
      <c r="N27" s="1"/>
      <c r="O27" s="166"/>
      <c r="P27" s="166"/>
      <c r="Q27" s="166"/>
      <c r="R27" s="166"/>
    </row>
    <row r="28" spans="2:22" ht="15" customHeight="1" x14ac:dyDescent="0.35">
      <c r="B28" s="165">
        <v>2</v>
      </c>
      <c r="C28" s="159"/>
      <c r="D28" s="159"/>
      <c r="E28" s="194" t="s">
        <v>14</v>
      </c>
      <c r="F28" s="159"/>
      <c r="G28" s="159"/>
      <c r="H28" s="159"/>
      <c r="I28" s="168" t="s">
        <v>15</v>
      </c>
      <c r="J28" s="159"/>
      <c r="K28" s="160"/>
      <c r="L28" s="160"/>
      <c r="M28" s="1"/>
      <c r="N28" s="1"/>
      <c r="O28" s="166"/>
      <c r="P28" s="166"/>
      <c r="Q28" s="166"/>
      <c r="R28" s="166"/>
    </row>
    <row r="29" spans="2:22" ht="15" customHeight="1" x14ac:dyDescent="0.35">
      <c r="B29" s="165"/>
      <c r="C29" s="159"/>
      <c r="D29" s="159"/>
      <c r="E29" s="159"/>
      <c r="F29" s="159"/>
      <c r="G29" s="159"/>
      <c r="H29" s="159"/>
      <c r="I29" s="168"/>
      <c r="J29" s="159"/>
      <c r="K29" s="160"/>
      <c r="L29" s="160"/>
      <c r="M29" s="1"/>
      <c r="N29" s="1"/>
      <c r="O29" s="166"/>
      <c r="P29" s="166"/>
      <c r="Q29" s="166"/>
      <c r="R29" s="166"/>
    </row>
    <row r="30" spans="2:22" ht="15" customHeight="1" x14ac:dyDescent="0.35">
      <c r="B30" s="165">
        <v>3</v>
      </c>
      <c r="C30" s="159"/>
      <c r="D30" s="159"/>
      <c r="E30" s="271" t="s">
        <v>16</v>
      </c>
      <c r="F30" s="159"/>
      <c r="G30" s="159"/>
      <c r="H30" s="159"/>
      <c r="I30" s="168" t="s">
        <v>17</v>
      </c>
      <c r="J30" s="159"/>
      <c r="K30" s="160"/>
      <c r="L30" s="160"/>
      <c r="M30" s="1"/>
      <c r="N30" s="1"/>
      <c r="O30" s="166"/>
      <c r="P30" s="166"/>
      <c r="Q30" s="166"/>
      <c r="R30" s="166"/>
    </row>
    <row r="31" spans="2:22" ht="15" customHeight="1" x14ac:dyDescent="0.35">
      <c r="B31" s="165"/>
      <c r="C31" s="159"/>
      <c r="D31" s="159"/>
      <c r="E31" s="159"/>
      <c r="F31" s="159"/>
      <c r="G31" s="159"/>
      <c r="H31" s="159"/>
      <c r="I31" s="168"/>
      <c r="J31" s="159"/>
      <c r="K31" s="160"/>
      <c r="L31" s="160"/>
      <c r="M31" s="1"/>
      <c r="N31" s="1"/>
      <c r="O31" s="166"/>
      <c r="P31" s="166"/>
      <c r="Q31" s="166"/>
      <c r="R31" s="166"/>
    </row>
    <row r="32" spans="2:22" ht="15" customHeight="1" x14ac:dyDescent="0.35">
      <c r="B32" s="165">
        <v>4</v>
      </c>
      <c r="C32" s="159"/>
      <c r="D32" s="159"/>
      <c r="E32" s="194" t="s">
        <v>18</v>
      </c>
      <c r="F32" s="159"/>
      <c r="G32" s="159"/>
      <c r="H32" s="159"/>
      <c r="I32" s="168" t="s">
        <v>19</v>
      </c>
      <c r="J32" s="159"/>
      <c r="K32" s="160"/>
      <c r="L32" s="160"/>
      <c r="M32" s="1"/>
      <c r="N32" s="1"/>
      <c r="O32" s="169"/>
      <c r="P32" s="169"/>
      <c r="Q32" s="169"/>
      <c r="R32" s="169"/>
    </row>
    <row r="33" spans="2:18" ht="15" customHeight="1" x14ac:dyDescent="0.4">
      <c r="B33" s="165"/>
      <c r="C33" s="159"/>
      <c r="D33" s="159"/>
      <c r="E33" s="159"/>
      <c r="I33" s="170"/>
      <c r="M33" s="171"/>
      <c r="N33" s="1"/>
      <c r="O33" s="172"/>
      <c r="P33" s="172"/>
      <c r="Q33" s="172"/>
      <c r="R33" s="172"/>
    </row>
    <row r="34" spans="2:18" ht="15" customHeight="1" x14ac:dyDescent="0.35">
      <c r="B34" s="165">
        <v>5</v>
      </c>
      <c r="C34" s="159"/>
      <c r="D34" s="159"/>
      <c r="E34" s="271" t="s">
        <v>20</v>
      </c>
      <c r="F34" s="159"/>
      <c r="G34" s="159"/>
      <c r="I34" s="170" t="s">
        <v>21</v>
      </c>
      <c r="M34" s="160"/>
    </row>
    <row r="35" spans="2:18" ht="15" customHeight="1" x14ac:dyDescent="0.35">
      <c r="B35" s="165"/>
      <c r="C35" s="159"/>
      <c r="D35" s="159"/>
      <c r="E35" s="271"/>
      <c r="F35" s="159"/>
      <c r="G35" s="159"/>
      <c r="H35" s="159"/>
      <c r="I35" s="168"/>
      <c r="J35" s="159"/>
      <c r="K35" s="160"/>
      <c r="L35" s="160"/>
      <c r="M35" s="160"/>
    </row>
    <row r="36" spans="2:18" ht="15" customHeight="1" x14ac:dyDescent="0.35">
      <c r="B36" s="165">
        <v>6</v>
      </c>
      <c r="C36" s="159"/>
      <c r="D36" s="159"/>
      <c r="E36" s="194" t="s">
        <v>22</v>
      </c>
      <c r="F36" s="159"/>
      <c r="G36" s="159"/>
      <c r="H36" s="159"/>
      <c r="I36" s="168" t="s">
        <v>23</v>
      </c>
      <c r="J36" s="159"/>
      <c r="K36" s="160"/>
      <c r="L36" s="160"/>
      <c r="M36" s="160"/>
    </row>
    <row r="37" spans="2:18" ht="15" customHeight="1" x14ac:dyDescent="0.35">
      <c r="B37" s="165"/>
      <c r="C37" s="159"/>
      <c r="D37" s="159"/>
      <c r="E37" s="159"/>
      <c r="F37" s="159"/>
      <c r="G37" s="159"/>
      <c r="H37" s="159"/>
      <c r="I37" s="168"/>
      <c r="J37" s="159"/>
      <c r="K37" s="160"/>
      <c r="L37" s="160"/>
      <c r="M37" s="160"/>
    </row>
    <row r="38" spans="2:18" ht="15" customHeight="1" x14ac:dyDescent="0.35">
      <c r="B38" s="165">
        <v>7</v>
      </c>
      <c r="C38" s="159"/>
      <c r="D38" s="159"/>
      <c r="E38" s="271" t="s">
        <v>24</v>
      </c>
      <c r="F38" s="159"/>
      <c r="G38" s="159"/>
      <c r="H38" s="159"/>
      <c r="I38" s="168" t="s">
        <v>25</v>
      </c>
      <c r="J38" s="159"/>
      <c r="K38" s="160"/>
      <c r="L38" s="160"/>
      <c r="M38" s="160"/>
    </row>
    <row r="39" spans="2:18" ht="15" customHeight="1" x14ac:dyDescent="0.35">
      <c r="B39" s="165"/>
      <c r="C39" s="159"/>
      <c r="D39" s="159"/>
      <c r="E39" s="159"/>
      <c r="F39" s="159"/>
      <c r="G39" s="159"/>
      <c r="H39" s="159"/>
      <c r="I39" s="168"/>
      <c r="J39" s="159"/>
      <c r="K39" s="160"/>
      <c r="L39" s="160"/>
      <c r="M39" s="160"/>
    </row>
    <row r="40" spans="2:18" ht="15" customHeight="1" x14ac:dyDescent="0.35">
      <c r="B40" s="165">
        <v>8</v>
      </c>
      <c r="C40" s="159"/>
      <c r="D40" s="159"/>
      <c r="E40" s="271" t="s">
        <v>26</v>
      </c>
      <c r="F40" s="159"/>
      <c r="G40" s="159"/>
      <c r="H40" s="159"/>
      <c r="I40" s="168" t="s">
        <v>27</v>
      </c>
      <c r="J40" s="159"/>
      <c r="K40" s="160"/>
      <c r="L40" s="160"/>
      <c r="M40" s="160"/>
    </row>
    <row r="41" spans="2:18" ht="15" customHeight="1" x14ac:dyDescent="0.35">
      <c r="B41" s="165"/>
      <c r="C41" s="159"/>
      <c r="D41" s="159"/>
      <c r="E41" s="159"/>
      <c r="F41" s="159"/>
      <c r="G41" s="159"/>
      <c r="H41" s="159"/>
      <c r="I41" s="168"/>
      <c r="J41" s="159"/>
      <c r="K41" s="160"/>
      <c r="L41" s="160"/>
      <c r="M41" s="160"/>
    </row>
    <row r="42" spans="2:18" ht="15" customHeight="1" x14ac:dyDescent="0.35">
      <c r="B42" s="165">
        <v>9</v>
      </c>
      <c r="C42" s="159"/>
      <c r="D42" s="159"/>
      <c r="E42" s="271" t="s">
        <v>28</v>
      </c>
      <c r="F42" s="159"/>
      <c r="G42" s="159"/>
      <c r="H42" s="159"/>
      <c r="I42" s="168" t="s">
        <v>29</v>
      </c>
      <c r="J42" s="159"/>
      <c r="K42" s="160"/>
      <c r="L42" s="160"/>
      <c r="M42" s="160"/>
    </row>
    <row r="43" spans="2:18" ht="15" customHeight="1" x14ac:dyDescent="0.35">
      <c r="B43" s="165"/>
      <c r="C43" s="159"/>
      <c r="D43" s="159"/>
      <c r="E43" s="159"/>
      <c r="F43" s="159"/>
      <c r="G43" s="159"/>
      <c r="H43" s="159"/>
      <c r="I43" s="168"/>
      <c r="J43" s="159"/>
      <c r="K43" s="160"/>
      <c r="L43" s="160"/>
      <c r="M43" s="160"/>
    </row>
    <row r="44" spans="2:18" ht="15" customHeight="1" x14ac:dyDescent="0.35">
      <c r="B44" s="165">
        <v>10</v>
      </c>
      <c r="C44" s="159"/>
      <c r="D44" s="159"/>
      <c r="E44" s="271" t="s">
        <v>30</v>
      </c>
      <c r="F44" s="159"/>
      <c r="G44" s="159"/>
      <c r="H44" s="159"/>
      <c r="I44" s="168" t="s">
        <v>31</v>
      </c>
      <c r="J44" s="159"/>
      <c r="K44" s="160"/>
      <c r="L44" s="160"/>
      <c r="M44" s="160"/>
    </row>
    <row r="45" spans="2:18" ht="15" customHeight="1" x14ac:dyDescent="0.35">
      <c r="B45" s="165"/>
      <c r="C45" s="159"/>
      <c r="D45" s="159"/>
      <c r="E45" s="159"/>
      <c r="F45" s="159"/>
      <c r="G45" s="159"/>
      <c r="H45" s="159"/>
      <c r="I45" s="168"/>
      <c r="J45" s="159"/>
      <c r="K45" s="160"/>
      <c r="L45" s="160"/>
      <c r="M45" s="160"/>
    </row>
    <row r="46" spans="2:18" ht="15" customHeight="1" x14ac:dyDescent="0.35">
      <c r="B46" s="173"/>
      <c r="C46" s="159"/>
      <c r="D46" s="159"/>
      <c r="E46" s="159"/>
      <c r="F46" s="159"/>
      <c r="G46" s="159"/>
      <c r="H46" s="159"/>
      <c r="I46" s="159"/>
      <c r="J46" s="159"/>
      <c r="K46" s="160"/>
      <c r="L46" s="160"/>
      <c r="M46" s="160"/>
    </row>
    <row r="47" spans="2:18" ht="15" customHeight="1" x14ac:dyDescent="0.4">
      <c r="B47" s="426" t="s">
        <v>32</v>
      </c>
      <c r="C47" s="426"/>
      <c r="D47" s="426"/>
      <c r="E47" s="426"/>
      <c r="F47" s="167"/>
      <c r="H47" s="167"/>
      <c r="I47" s="167"/>
      <c r="J47" s="167"/>
      <c r="K47" s="167"/>
      <c r="L47" s="272"/>
      <c r="M47" s="272"/>
    </row>
    <row r="48" spans="2:18" ht="15" customHeight="1" x14ac:dyDescent="0.4">
      <c r="B48" s="174"/>
      <c r="C48" s="174"/>
      <c r="D48" s="174"/>
      <c r="E48" s="174"/>
      <c r="F48" s="174"/>
      <c r="G48" s="174"/>
      <c r="H48" s="174"/>
      <c r="I48" s="174"/>
      <c r="J48" s="174"/>
      <c r="K48" s="174"/>
    </row>
    <row r="49" spans="2:11" ht="15" customHeight="1" x14ac:dyDescent="0.4">
      <c r="B49" s="427" t="s">
        <v>33</v>
      </c>
      <c r="C49" s="427"/>
      <c r="D49" s="427"/>
      <c r="E49" s="427"/>
      <c r="F49" s="174"/>
      <c r="G49" s="174"/>
      <c r="H49" s="174"/>
      <c r="I49" s="174"/>
      <c r="J49" s="174"/>
      <c r="K49" s="174"/>
    </row>
    <row r="50" spans="2:11" ht="15" customHeight="1" x14ac:dyDescent="0.4">
      <c r="B50" s="175"/>
      <c r="C50" s="174"/>
      <c r="D50" s="174"/>
      <c r="E50" s="174"/>
      <c r="F50" s="174"/>
      <c r="G50" s="174"/>
      <c r="H50" s="174"/>
      <c r="I50" s="174"/>
      <c r="J50" s="174"/>
      <c r="K50" s="174"/>
    </row>
    <row r="51" spans="2:11" ht="15" customHeight="1" x14ac:dyDescent="0.4">
      <c r="B51" s="175"/>
      <c r="C51" s="176"/>
      <c r="D51" s="174"/>
      <c r="E51" s="174"/>
      <c r="F51" s="174"/>
      <c r="G51" s="174"/>
      <c r="H51" s="174"/>
      <c r="I51" s="174"/>
      <c r="J51" s="174"/>
      <c r="K51" s="174"/>
    </row>
    <row r="52" spans="2:11" ht="15" customHeight="1" x14ac:dyDescent="0.4">
      <c r="B52" s="174" t="s">
        <v>34</v>
      </c>
      <c r="C52" s="174" t="s">
        <v>35</v>
      </c>
      <c r="D52" s="174"/>
      <c r="E52" s="174"/>
      <c r="F52" s="174"/>
      <c r="G52" s="174"/>
      <c r="H52" s="174"/>
      <c r="I52" s="174"/>
      <c r="J52" s="174"/>
      <c r="K52" s="174"/>
    </row>
    <row r="53" spans="2:11" ht="15" customHeight="1" x14ac:dyDescent="0.4">
      <c r="B53" s="174"/>
      <c r="C53" s="174"/>
      <c r="D53" s="174"/>
      <c r="E53" s="174"/>
      <c r="F53" s="174"/>
      <c r="G53" s="174"/>
      <c r="H53" s="174"/>
      <c r="I53" s="174"/>
      <c r="J53" s="174"/>
      <c r="K53" s="174"/>
    </row>
    <row r="54" spans="2:11" ht="15" customHeight="1" x14ac:dyDescent="0.4">
      <c r="B54" s="174" t="s">
        <v>36</v>
      </c>
      <c r="C54" s="174"/>
      <c r="D54" s="174"/>
      <c r="E54" s="174"/>
      <c r="F54" s="174"/>
      <c r="G54" s="174"/>
      <c r="H54" s="174"/>
      <c r="I54" s="174"/>
      <c r="J54" s="174"/>
      <c r="K54" s="174"/>
    </row>
    <row r="55" spans="2:11" ht="15" x14ac:dyDescent="0.4">
      <c r="B55" s="174" t="s">
        <v>37</v>
      </c>
    </row>
    <row r="56" spans="2:11" ht="15" x14ac:dyDescent="0.4">
      <c r="B56" s="174" t="s">
        <v>38</v>
      </c>
      <c r="C56" s="176" t="s">
        <v>39</v>
      </c>
    </row>
    <row r="57" spans="2:11" ht="15" x14ac:dyDescent="0.4">
      <c r="B57" s="174"/>
    </row>
    <row r="58" spans="2:11" ht="15" x14ac:dyDescent="0.4">
      <c r="B58" s="174" t="s">
        <v>40</v>
      </c>
    </row>
    <row r="59" spans="2:11" ht="15" x14ac:dyDescent="0.4">
      <c r="B59" s="174" t="s">
        <v>41</v>
      </c>
    </row>
  </sheetData>
  <sheetProtection algorithmName="SHA-512" hashValue="P47NWzEg56mHiWg9GFNDwsCnhEeVzdXjH8VTYVIS/i6CiKqci5fSJbBfwZ8EvCT4TVFUVd7RZBlQ4uNyXd4TSA==" saltValue="VmZNMdUKZ/BjgaQNYksp3Q==" spinCount="100000" sheet="1" objects="1" scenarios="1"/>
  <mergeCells count="8">
    <mergeCell ref="M25:N25"/>
    <mergeCell ref="B47:E47"/>
    <mergeCell ref="B49:E49"/>
    <mergeCell ref="F1:F2"/>
    <mergeCell ref="B11:K16"/>
    <mergeCell ref="B18:K18"/>
    <mergeCell ref="B22:E22"/>
    <mergeCell ref="B24:E24"/>
  </mergeCells>
  <hyperlinks>
    <hyperlink ref="C51" r:id="rId1" display="NROSHenquiries@rsh.gov.uk " xr:uid="{74D346CB-2A99-4344-A4D6-A682BCABDC20}"/>
    <hyperlink ref="E30" location="'Area Summary'!A72" display="General needs (social rent) - Average weekly net rent (£ per week) and units" xr:uid="{5F82C2FE-5CEC-4F25-AC4C-D9E9FF15971F}"/>
    <hyperlink ref="E32" location="'Area Summary'!A95" display="Supported housing / housing for older people (social rent) - Average weekly net rent (£ per week) and units" xr:uid="{8AB1FE7A-1963-44B8-9F34-1DBDDAD72F0E}"/>
    <hyperlink ref="E34" location="'Area Summary'!A118" display="General needs (social rent) - Average weekly net rent (£ per week) and units by unit size" xr:uid="{4A185104-5FC6-4F46-8259-4219F324B127}"/>
    <hyperlink ref="E36" location="'Area Summary'!A141" display="Supported housing / housing for older people (social rent) - Average weekly net rent (£ per week) and units by unit size" xr:uid="{697EAC9B-20EE-41F6-B48C-DFD11DC36DC0}"/>
    <hyperlink ref="E38" location="'Area Summary'!A164" display="Affordable Rent general needs - Average weekly gross rent (£ per week) and units" xr:uid="{817CB85A-9C41-4860-95E8-91766C9854BA}"/>
    <hyperlink ref="E40" location="'Area Summary'!A187" display="Affordable Rent supported housing / housing for older people - Average weekly gross rent (£ per week) and units" xr:uid="{931D637B-F318-4DAC-8F73-625816D3D7AF}"/>
    <hyperlink ref="E42" location="'Area Summary'!A210" display="Affordable Rent general needs - Average weekly gross rent (£ per week) and units by unit size" xr:uid="{D6CA65A4-C4E3-4DC2-829A-2CD649A7C925}"/>
    <hyperlink ref="E26" location="'Area Summary'!A8" display="Total social units by provision type (numbers)" xr:uid="{8F072250-3C41-49E2-8799-0953BF54217E}"/>
    <hyperlink ref="J5" r:id="rId2" xr:uid="{E34828D1-C627-4B53-BCC5-FE25E4CA5715}"/>
    <hyperlink ref="B22" location="Glossary!A1" display="Glossary" xr:uid="{D907C0D6-4BBE-48D5-865B-25EFD6CEC530}"/>
    <hyperlink ref="B24" location="'PRP Summary'!A1" display="PRP summary" xr:uid="{4C67A918-6E35-4D15-9DB7-1493D7792230}"/>
    <hyperlink ref="B47:E47" location="'LARPs and PRPs in region'!A1" display="LARPs and PRPs in region" xr:uid="{A3A7D6F2-E760-4FEA-B597-B46DC419DE49}"/>
    <hyperlink ref="B49:E49" location="'How to use the search function'!A1" display="How to use the search function" xr:uid="{394747B0-0BBD-48F7-8DAF-33BF4D0785F2}"/>
    <hyperlink ref="H5" r:id="rId3" xr:uid="{CE7E3185-50DF-4AEF-ACD4-6D077913D8ED}"/>
    <hyperlink ref="B24:E24" location="'Area Summary'!E3" display="Area Summary" xr:uid="{B0D632B8-B68B-4FB6-B7CD-BA657E493B57}"/>
    <hyperlink ref="E28" location="'Area Summary'!A48" display="Total social units by provision type (percentages)" xr:uid="{4EA99101-65EB-4CD7-ABB3-7011321968A9}"/>
    <hyperlink ref="E44" location="'Area Summary'!A233" display="Affordable Rent supported housing / housing for older people - Average weekly gross rent (£ per week) and units by unit size" xr:uid="{05802A87-9314-47D9-B463-C8DE0391F9B8}"/>
    <hyperlink ref="C56" r:id="rId4" xr:uid="{FF96387B-36AC-485A-92A2-A3447466475E}"/>
    <hyperlink ref="B22:E22" location="Glossary!B8" display="Glossary" xr:uid="{19EEF9A9-C086-4C27-92F8-B9732C1A1A5E}"/>
    <hyperlink ref="F5" r:id="rId5" xr:uid="{E437B6A9-B003-409F-878B-C04AAFADF13F}"/>
  </hyperlinks>
  <pageMargins left="0.7" right="0.7" top="0.75" bottom="0.75" header="0.3" footer="0.3"/>
  <headerFooter>
    <oddHeader>&amp;C&amp;"Calibri"&amp;10&amp;K000000 OFFICIAL&amp;1#_x000D_</oddHeader>
    <oddFooter>&amp;C_x000D_&amp;1#&amp;"Calibri"&amp;10&amp;K000000 OFFICIAL</oddFooter>
  </headerFooter>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11E19-71AE-4DD3-9769-BD12C6EF68F5}">
  <sheetPr codeName="Sheet13">
    <tabColor rgb="FFFFC000"/>
  </sheetPr>
  <dimension ref="A1:F1406"/>
  <sheetViews>
    <sheetView topLeftCell="A22" workbookViewId="0">
      <selection activeCell="B98" sqref="B98"/>
    </sheetView>
  </sheetViews>
  <sheetFormatPr defaultColWidth="8.73046875" defaultRowHeight="12.75" x14ac:dyDescent="0.35"/>
  <cols>
    <col min="1" max="1" width="16.796875" customWidth="1"/>
    <col min="2" max="2" width="67.796875" customWidth="1"/>
    <col min="4" max="4" width="14.796875" style="5" customWidth="1"/>
    <col min="5" max="5" width="78.73046875" customWidth="1"/>
  </cols>
  <sheetData>
    <row r="1" spans="1:6" ht="13.15" x14ac:dyDescent="0.4">
      <c r="A1" s="184" t="s">
        <v>15839</v>
      </c>
      <c r="B1" s="185" t="s">
        <v>15840</v>
      </c>
      <c r="D1" s="186" t="s">
        <v>15841</v>
      </c>
      <c r="E1" s="187" t="s">
        <v>15842</v>
      </c>
      <c r="F1" s="188"/>
    </row>
    <row r="2" spans="1:6" x14ac:dyDescent="0.35">
      <c r="A2" s="189">
        <f>IF(ISNUMBER(SEARCH('Area Summary'!$E$3,B2)),MAX(A$1:$B1)+1,0)</f>
        <v>1</v>
      </c>
      <c r="B2" s="284" t="s">
        <v>8903</v>
      </c>
      <c r="D2" s="191" t="str" cm="1">
        <f t="array" aca="1" ref="D2:D307" ca="1">OFFSET($E$2,,,COUNTIF($E$2:$E$325,"?*"))</f>
        <v>Adur</v>
      </c>
      <c r="E2" s="192" t="str">
        <f>IFERROR(VLOOKUP(ROWS($E$2:E2),$A$2:$B$307,2,0),"")</f>
        <v>Adur</v>
      </c>
    </row>
    <row r="3" spans="1:6" x14ac:dyDescent="0.35">
      <c r="A3" s="189">
        <f>IF(ISNUMBER(SEARCH('Area Summary'!$E$3,B3)),MAX(A$1:$B2)+1,0)</f>
        <v>2</v>
      </c>
      <c r="B3" s="284" t="s">
        <v>3126</v>
      </c>
      <c r="D3" s="5" t="str">
        <f ca="1"/>
        <v>Amber Valley</v>
      </c>
      <c r="E3" s="192" t="str">
        <f>IFERROR(VLOOKUP(ROWS($E$2:E3),$A$2:$B$307,2,0),"")</f>
        <v>Amber Valley</v>
      </c>
    </row>
    <row r="4" spans="1:6" x14ac:dyDescent="0.35">
      <c r="A4" s="189">
        <f>IF(ISNUMBER(SEARCH('Area Summary'!$E$3,B4)),MAX(A$1:$B3)+1,0)</f>
        <v>3</v>
      </c>
      <c r="B4" s="284" t="s">
        <v>8945</v>
      </c>
      <c r="D4" s="5" t="str">
        <f ca="1"/>
        <v>Arun</v>
      </c>
      <c r="E4" s="192" t="str">
        <f>IFERROR(VLOOKUP(ROWS($E$2:E4),$A$2:$B$307,2,0),"")</f>
        <v>Arun</v>
      </c>
    </row>
    <row r="5" spans="1:6" x14ac:dyDescent="0.35">
      <c r="A5" s="189">
        <f>IF(ISNUMBER(SEARCH('Area Summary'!$E$3,B5)),MAX(A$1:$B4)+1,0)</f>
        <v>4</v>
      </c>
      <c r="B5" s="284" t="s">
        <v>7293</v>
      </c>
      <c r="D5" s="5" t="str">
        <f ca="1"/>
        <v>Ashfield</v>
      </c>
      <c r="E5" s="192" t="str">
        <f>IFERROR(VLOOKUP(ROWS($E$2:E5),$A$2:$B$307,2,0),"")</f>
        <v>Ashfield</v>
      </c>
    </row>
    <row r="6" spans="1:6" x14ac:dyDescent="0.35">
      <c r="A6" s="189">
        <f>IF(ISNUMBER(SEARCH('Area Summary'!$E$3,B6)),MAX(A$1:$B5)+1,0)</f>
        <v>5</v>
      </c>
      <c r="B6" s="284" t="s">
        <v>5426</v>
      </c>
      <c r="D6" s="5" t="str">
        <f ca="1"/>
        <v>Ashford</v>
      </c>
      <c r="E6" s="192" t="str">
        <f>IFERROR(VLOOKUP(ROWS($E$2:E6),$A$2:$B$307,2,0),"")</f>
        <v>Ashford</v>
      </c>
    </row>
    <row r="7" spans="1:6" x14ac:dyDescent="0.35">
      <c r="A7" s="189">
        <f>IF(ISNUMBER(SEARCH('Area Summary'!$E$3,B7)),MAX(A$1:$B6)+1,0)</f>
        <v>6</v>
      </c>
      <c r="B7" s="284" t="s">
        <v>8120</v>
      </c>
      <c r="D7" s="5" t="str">
        <f ca="1"/>
        <v>Babergh</v>
      </c>
      <c r="E7" s="192" t="str">
        <f>IFERROR(VLOOKUP(ROWS($E$2:E7),$A$2:$B$307,2,0),"")</f>
        <v>Babergh</v>
      </c>
    </row>
    <row r="8" spans="1:6" x14ac:dyDescent="0.35">
      <c r="A8" s="189">
        <f>IF(ISNUMBER(SEARCH('Area Summary'!$E$3,B8)),MAX(A$1:$B7)+1,0)</f>
        <v>7</v>
      </c>
      <c r="B8" s="284" t="s">
        <v>11230</v>
      </c>
      <c r="D8" s="5" t="str">
        <f ca="1"/>
        <v>Barking and Dagenham</v>
      </c>
      <c r="E8" s="192" t="str">
        <f>IFERROR(VLOOKUP(ROWS($E$2:E8),$A$2:$B$307,2,0),"")</f>
        <v>Barking and Dagenham</v>
      </c>
    </row>
    <row r="9" spans="1:6" x14ac:dyDescent="0.35">
      <c r="A9" s="189">
        <f>IF(ISNUMBER(SEARCH('Area Summary'!$E$3,B9)),MAX(A$1:$B8)+1,0)</f>
        <v>8</v>
      </c>
      <c r="B9" s="284" t="s">
        <v>11272</v>
      </c>
      <c r="D9" s="5" t="str">
        <f ca="1"/>
        <v>Barnet</v>
      </c>
      <c r="E9" s="192" t="str">
        <f>IFERROR(VLOOKUP(ROWS($E$2:E9),$A$2:$B$307,2,0),"")</f>
        <v>Barnet</v>
      </c>
    </row>
    <row r="10" spans="1:6" x14ac:dyDescent="0.35">
      <c r="A10" s="189">
        <f>IF(ISNUMBER(SEARCH('Area Summary'!$E$3,B10)),MAX(A$1:$B9)+1,0)</f>
        <v>9</v>
      </c>
      <c r="B10" s="284" t="s">
        <v>10309</v>
      </c>
      <c r="D10" s="5" t="str">
        <f ca="1"/>
        <v>Barnsley</v>
      </c>
      <c r="E10" s="192" t="str">
        <f>IFERROR(VLOOKUP(ROWS($E$2:E10),$A$2:$B$307,2,0),"")</f>
        <v>Barnsley</v>
      </c>
    </row>
    <row r="11" spans="1:6" x14ac:dyDescent="0.35">
      <c r="A11" s="189">
        <f>IF(ISNUMBER(SEARCH('Area Summary'!$E$3,B11)),MAX(A$1:$B10)+1,0)</f>
        <v>10</v>
      </c>
      <c r="B11" s="284" t="s">
        <v>4004</v>
      </c>
      <c r="D11" s="5" t="str">
        <f ca="1"/>
        <v>Basildon</v>
      </c>
      <c r="E11" s="192" t="str">
        <f>IFERROR(VLOOKUP(ROWS($E$2:E11),$A$2:$B$307,2,0),"")</f>
        <v>Basildon</v>
      </c>
    </row>
    <row r="12" spans="1:6" x14ac:dyDescent="0.35">
      <c r="A12" s="189">
        <f>IF(ISNUMBER(SEARCH('Area Summary'!$E$3,B12)),MAX(A$1:$B11)+1,0)</f>
        <v>11</v>
      </c>
      <c r="B12" s="284" t="s">
        <v>4740</v>
      </c>
      <c r="D12" s="5" t="str">
        <f ca="1"/>
        <v>Basingstoke and Deane</v>
      </c>
      <c r="E12" s="192" t="str">
        <f>IFERROR(VLOOKUP(ROWS($E$2:E12),$A$2:$B$307,2,0),"")</f>
        <v>Basingstoke and Deane</v>
      </c>
    </row>
    <row r="13" spans="1:6" x14ac:dyDescent="0.35">
      <c r="A13" s="189">
        <f>IF(ISNUMBER(SEARCH('Area Summary'!$E$3,B13)),MAX(A$1:$B12)+1,0)</f>
        <v>12</v>
      </c>
      <c r="B13" s="284" t="s">
        <v>7335</v>
      </c>
      <c r="D13" s="5" t="str">
        <f ca="1"/>
        <v>Bassetlaw</v>
      </c>
      <c r="E13" s="192" t="str">
        <f>IFERROR(VLOOKUP(ROWS($E$2:E13),$A$2:$B$307,2,0),"")</f>
        <v>Bassetlaw</v>
      </c>
    </row>
    <row r="14" spans="1:6" x14ac:dyDescent="0.35">
      <c r="A14" s="189">
        <f>IF(ISNUMBER(SEARCH('Area Summary'!$E$3,B14)),MAX(A$1:$B13)+1,0)</f>
        <v>13</v>
      </c>
      <c r="B14" s="284" t="s">
        <v>1183</v>
      </c>
      <c r="D14" s="5" t="str">
        <f ca="1"/>
        <v>Bath and North East Somerset</v>
      </c>
      <c r="E14" s="192" t="str">
        <f>IFERROR(VLOOKUP(ROWS($E$2:E14),$A$2:$B$307,2,0),"")</f>
        <v>Bath and North East Somerset</v>
      </c>
    </row>
    <row r="15" spans="1:6" x14ac:dyDescent="0.35">
      <c r="A15" s="189">
        <f>IF(ISNUMBER(SEARCH('Area Summary'!$E$3,B15)),MAX(A$1:$B14)+1,0)</f>
        <v>14</v>
      </c>
      <c r="B15" s="284" t="s">
        <v>2422</v>
      </c>
      <c r="D15" s="5" t="str">
        <f ca="1"/>
        <v>Bedford</v>
      </c>
      <c r="E15" s="192" t="str">
        <f>IFERROR(VLOOKUP(ROWS($E$2:E15),$A$2:$B$307,2,0),"")</f>
        <v>Bedford</v>
      </c>
    </row>
    <row r="16" spans="1:6" x14ac:dyDescent="0.35">
      <c r="A16" s="189">
        <f>IF(ISNUMBER(SEARCH('Area Summary'!$E$3,B16)),MAX(A$1:$B15)+1,0)</f>
        <v>15</v>
      </c>
      <c r="B16" s="284" t="s">
        <v>11314</v>
      </c>
      <c r="D16" s="5" t="str">
        <f ca="1"/>
        <v>Bexley</v>
      </c>
      <c r="E16" s="192" t="str">
        <f>IFERROR(VLOOKUP(ROWS($E$2:E16),$A$2:$B$307,2,0),"")</f>
        <v>Bexley</v>
      </c>
    </row>
    <row r="17" spans="1:5" x14ac:dyDescent="0.35">
      <c r="A17" s="189">
        <f>IF(ISNUMBER(SEARCH('Area Summary'!$E$3,B17)),MAX(A$1:$B16)+1,0)</f>
        <v>16</v>
      </c>
      <c r="B17" s="284" t="s">
        <v>10644</v>
      </c>
      <c r="D17" s="5" t="str">
        <f ca="1"/>
        <v>Birmingham</v>
      </c>
      <c r="E17" s="192" t="str">
        <f>IFERROR(VLOOKUP(ROWS($E$2:E17),$A$2:$B$307,2,0),"")</f>
        <v>Birmingham</v>
      </c>
    </row>
    <row r="18" spans="1:5" x14ac:dyDescent="0.35">
      <c r="A18" s="189">
        <f>IF(ISNUMBER(SEARCH('Area Summary'!$E$3,B18)),MAX(A$1:$B17)+1,0)</f>
        <v>17</v>
      </c>
      <c r="B18" s="284" t="s">
        <v>6412</v>
      </c>
      <c r="D18" s="5" t="str">
        <f ca="1"/>
        <v>Blaby</v>
      </c>
      <c r="E18" s="192" t="str">
        <f>IFERROR(VLOOKUP(ROWS($E$2:E18),$A$2:$B$307,2,0),"")</f>
        <v>Blaby</v>
      </c>
    </row>
    <row r="19" spans="1:5" x14ac:dyDescent="0.35">
      <c r="A19" s="189">
        <f>IF(ISNUMBER(SEARCH('Area Summary'!$E$3,B19)),MAX(A$1:$B18)+1,0)</f>
        <v>18</v>
      </c>
      <c r="B19" s="284" t="s">
        <v>603</v>
      </c>
      <c r="D19" s="5" t="str">
        <f ca="1"/>
        <v>Blackburn with Darwen</v>
      </c>
      <c r="E19" s="192" t="str">
        <f>IFERROR(VLOOKUP(ROWS($E$2:E19),$A$2:$B$307,2,0),"")</f>
        <v>Blackburn with Darwen</v>
      </c>
    </row>
    <row r="20" spans="1:5" x14ac:dyDescent="0.35">
      <c r="A20" s="189">
        <f>IF(ISNUMBER(SEARCH('Area Summary'!$E$3,B20)),MAX(A$1:$B19)+1,0)</f>
        <v>19</v>
      </c>
      <c r="B20" s="284" t="s">
        <v>645</v>
      </c>
      <c r="D20" s="5" t="str">
        <f ca="1"/>
        <v>Blackpool</v>
      </c>
      <c r="E20" s="192" t="str">
        <f>IFERROR(VLOOKUP(ROWS($E$2:E20),$A$2:$B$307,2,0),"")</f>
        <v>Blackpool</v>
      </c>
    </row>
    <row r="21" spans="1:5" x14ac:dyDescent="0.35">
      <c r="A21" s="189">
        <f>IF(ISNUMBER(SEARCH('Area Summary'!$E$3,B21)),MAX(A$1:$B20)+1,0)</f>
        <v>20</v>
      </c>
      <c r="B21" s="284" t="s">
        <v>3168</v>
      </c>
      <c r="D21" s="5" t="str">
        <f ca="1"/>
        <v>Bolsover</v>
      </c>
      <c r="E21" s="192" t="str">
        <f>IFERROR(VLOOKUP(ROWS($E$2:E21),$A$2:$B$307,2,0),"")</f>
        <v>Bolsover</v>
      </c>
    </row>
    <row r="22" spans="1:5" x14ac:dyDescent="0.35">
      <c r="A22" s="189">
        <f>IF(ISNUMBER(SEARCH('Area Summary'!$E$3,B22)),MAX(A$1:$B21)+1,0)</f>
        <v>21</v>
      </c>
      <c r="B22" s="284" t="s">
        <v>9685</v>
      </c>
      <c r="D22" s="5" t="str">
        <f ca="1"/>
        <v>Bolton</v>
      </c>
      <c r="E22" s="192" t="str">
        <f>IFERROR(VLOOKUP(ROWS($E$2:E22),$A$2:$B$307,2,0),"")</f>
        <v>Bolton</v>
      </c>
    </row>
    <row r="23" spans="1:5" x14ac:dyDescent="0.35">
      <c r="A23" s="189">
        <f>IF(ISNUMBER(SEARCH('Area Summary'!$E$3,B23)),MAX(A$1:$B22)+1,0)</f>
        <v>22</v>
      </c>
      <c r="B23" s="284" t="s">
        <v>6706</v>
      </c>
      <c r="D23" s="5" t="str">
        <f ca="1"/>
        <v>Boston</v>
      </c>
      <c r="E23" s="192" t="str">
        <f>IFERROR(VLOOKUP(ROWS($E$2:E23),$A$2:$B$307,2,0),"")</f>
        <v>Boston</v>
      </c>
    </row>
    <row r="24" spans="1:5" x14ac:dyDescent="0.35">
      <c r="A24" s="189">
        <f>IF(ISNUMBER(SEARCH('Area Summary'!$E$3,B24)),MAX(A$1:$B23)+1,0)</f>
        <v>23</v>
      </c>
      <c r="B24" s="284" t="s">
        <v>2548</v>
      </c>
      <c r="D24" s="5" t="str">
        <f ca="1"/>
        <v>Bournemouth Christchurch and Poole</v>
      </c>
      <c r="E24" s="192" t="str">
        <f>IFERROR(VLOOKUP(ROWS($E$2:E24),$A$2:$B$307,2,0),"")</f>
        <v>Bournemouth Christchurch and Poole</v>
      </c>
    </row>
    <row r="25" spans="1:5" x14ac:dyDescent="0.35">
      <c r="A25" s="189">
        <f>IF(ISNUMBER(SEARCH('Area Summary'!$E$3,B25)),MAX(A$1:$B24)+1,0)</f>
        <v>24</v>
      </c>
      <c r="B25" s="284" t="s">
        <v>1686</v>
      </c>
      <c r="D25" s="5" t="str">
        <f ca="1"/>
        <v>Bracknell Forest</v>
      </c>
      <c r="E25" s="192" t="str">
        <f>IFERROR(VLOOKUP(ROWS($E$2:E25),$A$2:$B$307,2,0),"")</f>
        <v>Bracknell Forest</v>
      </c>
    </row>
    <row r="26" spans="1:5" x14ac:dyDescent="0.35">
      <c r="A26" s="189">
        <f>IF(ISNUMBER(SEARCH('Area Summary'!$E$3,B26)),MAX(A$1:$B25)+1,0)</f>
        <v>25</v>
      </c>
      <c r="B26" s="284" t="s">
        <v>10936</v>
      </c>
      <c r="D26" s="5" t="str">
        <f ca="1"/>
        <v>Bradford</v>
      </c>
      <c r="E26" s="192" t="str">
        <f>IFERROR(VLOOKUP(ROWS($E$2:E26),$A$2:$B$307,2,0),"")</f>
        <v>Bradford</v>
      </c>
    </row>
    <row r="27" spans="1:5" x14ac:dyDescent="0.35">
      <c r="A27" s="189">
        <f>IF(ISNUMBER(SEARCH('Area Summary'!$E$3,B27)),MAX(A$1:$B26)+1,0)</f>
        <v>26</v>
      </c>
      <c r="B27" s="284" t="s">
        <v>4046</v>
      </c>
      <c r="D27" s="5" t="str">
        <f ca="1"/>
        <v>Braintree</v>
      </c>
      <c r="E27" s="192" t="str">
        <f>IFERROR(VLOOKUP(ROWS($E$2:E27),$A$2:$B$307,2,0),"")</f>
        <v>Braintree</v>
      </c>
    </row>
    <row r="28" spans="1:5" x14ac:dyDescent="0.35">
      <c r="A28" s="189">
        <f>IF(ISNUMBER(SEARCH('Area Summary'!$E$3,B28)),MAX(A$1:$B27)+1,0)</f>
        <v>27</v>
      </c>
      <c r="B28" s="284" t="s">
        <v>6999</v>
      </c>
      <c r="D28" s="5" t="str">
        <f ca="1"/>
        <v>Breckland</v>
      </c>
      <c r="E28" s="192" t="str">
        <f>IFERROR(VLOOKUP(ROWS($E$2:E28),$A$2:$B$307,2,0),"")</f>
        <v>Breckland</v>
      </c>
    </row>
    <row r="29" spans="1:5" x14ac:dyDescent="0.35">
      <c r="A29" s="189">
        <f>IF(ISNUMBER(SEARCH('Area Summary'!$E$3,B29)),MAX(A$1:$B28)+1,0)</f>
        <v>28</v>
      </c>
      <c r="B29" s="284" t="s">
        <v>11356</v>
      </c>
      <c r="D29" s="5" t="str">
        <f ca="1"/>
        <v>Brent</v>
      </c>
      <c r="E29" s="192" t="str">
        <f>IFERROR(VLOOKUP(ROWS($E$2:E29),$A$2:$B$307,2,0),"")</f>
        <v>Brent</v>
      </c>
    </row>
    <row r="30" spans="1:5" x14ac:dyDescent="0.35">
      <c r="A30" s="189">
        <f>IF(ISNUMBER(SEARCH('Area Summary'!$E$3,B30)),MAX(A$1:$B29)+1,0)</f>
        <v>29</v>
      </c>
      <c r="B30" s="284" t="s">
        <v>4088</v>
      </c>
      <c r="D30" s="5" t="str">
        <f ca="1"/>
        <v>Brentwood</v>
      </c>
      <c r="E30" s="192" t="str">
        <f>IFERROR(VLOOKUP(ROWS($E$2:E30),$A$2:$B$307,2,0),"")</f>
        <v>Brentwood</v>
      </c>
    </row>
    <row r="31" spans="1:5" x14ac:dyDescent="0.35">
      <c r="A31" s="189">
        <f>IF(ISNUMBER(SEARCH('Area Summary'!$E$3,B31)),MAX(A$1:$B30)+1,0)</f>
        <v>30</v>
      </c>
      <c r="B31" s="284" t="s">
        <v>1969</v>
      </c>
      <c r="D31" s="5" t="str">
        <f ca="1"/>
        <v>Brighton and Hove</v>
      </c>
      <c r="E31" s="192" t="str">
        <f>IFERROR(VLOOKUP(ROWS($E$2:E31),$A$2:$B$307,2,0),"")</f>
        <v>Brighton and Hove</v>
      </c>
    </row>
    <row r="32" spans="1:5" x14ac:dyDescent="0.35">
      <c r="A32" s="189">
        <f>IF(ISNUMBER(SEARCH('Area Summary'!$E$3,B32)),MAX(A$1:$B31)+1,0)</f>
        <v>31</v>
      </c>
      <c r="B32" s="284" t="s">
        <v>1226</v>
      </c>
      <c r="D32" s="5" t="str">
        <f ca="1"/>
        <v>Bristol, City of</v>
      </c>
      <c r="E32" s="192" t="str">
        <f>IFERROR(VLOOKUP(ROWS($E$2:E32),$A$2:$B$307,2,0),"")</f>
        <v>Bristol, City of</v>
      </c>
    </row>
    <row r="33" spans="1:5" x14ac:dyDescent="0.35">
      <c r="A33" s="189">
        <f>IF(ISNUMBER(SEARCH('Area Summary'!$E$3,B33)),MAX(A$1:$B32)+1,0)</f>
        <v>32</v>
      </c>
      <c r="B33" s="284" t="s">
        <v>7041</v>
      </c>
      <c r="D33" s="5" t="str">
        <f ca="1"/>
        <v>Broadland</v>
      </c>
      <c r="E33" s="192" t="str">
        <f>IFERROR(VLOOKUP(ROWS($E$2:E33),$A$2:$B$307,2,0),"")</f>
        <v>Broadland</v>
      </c>
    </row>
    <row r="34" spans="1:5" x14ac:dyDescent="0.35">
      <c r="A34" s="189">
        <f>IF(ISNUMBER(SEARCH('Area Summary'!$E$3,B34)),MAX(A$1:$B33)+1,0)</f>
        <v>33</v>
      </c>
      <c r="B34" s="284" t="s">
        <v>11398</v>
      </c>
      <c r="D34" s="5" t="str">
        <f ca="1"/>
        <v>Bromley</v>
      </c>
      <c r="E34" s="192" t="str">
        <f>IFERROR(VLOOKUP(ROWS($E$2:E34),$A$2:$B$307,2,0),"")</f>
        <v>Bromley</v>
      </c>
    </row>
    <row r="35" spans="1:5" x14ac:dyDescent="0.35">
      <c r="A35" s="189">
        <f>IF(ISNUMBER(SEARCH('Area Summary'!$E$3,B35)),MAX(A$1:$B34)+1,0)</f>
        <v>34</v>
      </c>
      <c r="B35" s="284" t="s">
        <v>9196</v>
      </c>
      <c r="D35" s="5" t="str">
        <f ca="1"/>
        <v>Bromsgrove</v>
      </c>
      <c r="E35" s="192" t="str">
        <f>IFERROR(VLOOKUP(ROWS($E$2:E35),$A$2:$B$307,2,0),"")</f>
        <v>Bromsgrove</v>
      </c>
    </row>
    <row r="36" spans="1:5" x14ac:dyDescent="0.35">
      <c r="A36" s="189">
        <f>IF(ISNUMBER(SEARCH('Area Summary'!$E$3,B36)),MAX(A$1:$B35)+1,0)</f>
        <v>35</v>
      </c>
      <c r="B36" s="284" t="s">
        <v>5192</v>
      </c>
      <c r="D36" s="5" t="str">
        <f ca="1"/>
        <v>Broxbourne</v>
      </c>
      <c r="E36" s="192" t="str">
        <f>IFERROR(VLOOKUP(ROWS($E$2:E36),$A$2:$B$307,2,0),"")</f>
        <v>Broxbourne</v>
      </c>
    </row>
    <row r="37" spans="1:5" x14ac:dyDescent="0.35">
      <c r="A37" s="189">
        <f>IF(ISNUMBER(SEARCH('Area Summary'!$E$3,B37)),MAX(A$1:$B36)+1,0)</f>
        <v>36</v>
      </c>
      <c r="B37" s="284" t="s">
        <v>7377</v>
      </c>
      <c r="D37" s="5" t="str">
        <f ca="1"/>
        <v>Broxtowe</v>
      </c>
      <c r="E37" s="192" t="str">
        <f>IFERROR(VLOOKUP(ROWS($E$2:E37),$A$2:$B$307,2,0),"")</f>
        <v>Broxtowe</v>
      </c>
    </row>
    <row r="38" spans="1:5" x14ac:dyDescent="0.35">
      <c r="A38" s="189">
        <f>IF(ISNUMBER(SEARCH('Area Summary'!$E$3,B38)),MAX(A$1:$B37)+1,0)</f>
        <v>37</v>
      </c>
      <c r="B38" s="284" t="s">
        <v>2632</v>
      </c>
      <c r="D38" s="5" t="str">
        <f ca="1"/>
        <v>Buckinghamshire</v>
      </c>
      <c r="E38" s="192" t="str">
        <f>IFERROR(VLOOKUP(ROWS($E$2:E38),$A$2:$B$307,2,0),"")</f>
        <v>Buckinghamshire</v>
      </c>
    </row>
    <row r="39" spans="1:5" x14ac:dyDescent="0.35">
      <c r="A39" s="189">
        <f>IF(ISNUMBER(SEARCH('Area Summary'!$E$3,B39)),MAX(A$1:$B38)+1,0)</f>
        <v>38</v>
      </c>
      <c r="B39" s="284" t="s">
        <v>5918</v>
      </c>
      <c r="D39" s="5" t="str">
        <f ca="1"/>
        <v>Burnley</v>
      </c>
      <c r="E39" s="192" t="str">
        <f>IFERROR(VLOOKUP(ROWS($E$2:E39),$A$2:$B$307,2,0),"")</f>
        <v>Burnley</v>
      </c>
    </row>
    <row r="40" spans="1:5" x14ac:dyDescent="0.35">
      <c r="A40" s="189">
        <f>IF(ISNUMBER(SEARCH('Area Summary'!$E$3,B40)),MAX(A$1:$B39)+1,0)</f>
        <v>39</v>
      </c>
      <c r="B40" s="284" t="s">
        <v>9727</v>
      </c>
      <c r="D40" s="5" t="str">
        <f ca="1"/>
        <v>Bury</v>
      </c>
      <c r="E40" s="192" t="str">
        <f>IFERROR(VLOOKUP(ROWS($E$2:E40),$A$2:$B$307,2,0),"")</f>
        <v>Bury</v>
      </c>
    </row>
    <row r="41" spans="1:5" x14ac:dyDescent="0.35">
      <c r="A41" s="189">
        <f>IF(ISNUMBER(SEARCH('Area Summary'!$E$3,B41)),MAX(A$1:$B40)+1,0)</f>
        <v>40</v>
      </c>
      <c r="B41" s="284" t="s">
        <v>10978</v>
      </c>
      <c r="D41" s="5" t="str">
        <f ca="1"/>
        <v>Calderdale</v>
      </c>
      <c r="E41" s="192" t="str">
        <f>IFERROR(VLOOKUP(ROWS($E$2:E41),$A$2:$B$307,2,0),"")</f>
        <v>Calderdale</v>
      </c>
    </row>
    <row r="42" spans="1:5" x14ac:dyDescent="0.35">
      <c r="A42" s="189">
        <f>IF(ISNUMBER(SEARCH('Area Summary'!$E$3,B42)),MAX(A$1:$B41)+1,0)</f>
        <v>41</v>
      </c>
      <c r="B42" s="284" t="s">
        <v>2924</v>
      </c>
      <c r="D42" s="5" t="str">
        <f ca="1"/>
        <v>Cambridge</v>
      </c>
      <c r="E42" s="192" t="str">
        <f>IFERROR(VLOOKUP(ROWS($E$2:E42),$A$2:$B$307,2,0),"")</f>
        <v>Cambridge</v>
      </c>
    </row>
    <row r="43" spans="1:5" x14ac:dyDescent="0.35">
      <c r="A43" s="189">
        <f>IF(ISNUMBER(SEARCH('Area Summary'!$E$3,B43)),MAX(A$1:$B42)+1,0)</f>
        <v>42</v>
      </c>
      <c r="B43" s="284" t="s">
        <v>11440</v>
      </c>
      <c r="D43" s="5" t="str">
        <f ca="1"/>
        <v>Camden</v>
      </c>
      <c r="E43" s="192" t="str">
        <f>IFERROR(VLOOKUP(ROWS($E$2:E43),$A$2:$B$307,2,0),"")</f>
        <v>Camden</v>
      </c>
    </row>
    <row r="44" spans="1:5" x14ac:dyDescent="0.35">
      <c r="A44" s="189">
        <f>IF(ISNUMBER(SEARCH('Area Summary'!$E$3,B44)),MAX(A$1:$B43)+1,0)</f>
        <v>43</v>
      </c>
      <c r="B44" s="284" t="s">
        <v>7795</v>
      </c>
      <c r="D44" s="5" t="str">
        <f ca="1"/>
        <v>Cannock Chase</v>
      </c>
      <c r="E44" s="192" t="str">
        <f>IFERROR(VLOOKUP(ROWS($E$2:E44),$A$2:$B$307,2,0),"")</f>
        <v>Cannock Chase</v>
      </c>
    </row>
    <row r="45" spans="1:5" x14ac:dyDescent="0.35">
      <c r="A45" s="189">
        <f>IF(ISNUMBER(SEARCH('Area Summary'!$E$3,B45)),MAX(A$1:$B44)+1,0)</f>
        <v>44</v>
      </c>
      <c r="B45" s="284" t="s">
        <v>5468</v>
      </c>
      <c r="D45" s="5" t="str">
        <f ca="1"/>
        <v>Canterbury</v>
      </c>
      <c r="E45" s="192" t="str">
        <f>IFERROR(VLOOKUP(ROWS($E$2:E45),$A$2:$B$307,2,0),"")</f>
        <v>Canterbury</v>
      </c>
    </row>
    <row r="46" spans="1:5" x14ac:dyDescent="0.35">
      <c r="A46" s="189">
        <f>IF(ISNUMBER(SEARCH('Area Summary'!$E$3,B46)),MAX(A$1:$B45)+1,0)</f>
        <v>45</v>
      </c>
      <c r="B46" s="284" t="s">
        <v>4130</v>
      </c>
      <c r="D46" s="5" t="str">
        <f ca="1"/>
        <v>Castle Point</v>
      </c>
      <c r="E46" s="192" t="str">
        <f>IFERROR(VLOOKUP(ROWS($E$2:E46),$A$2:$B$307,2,0),"")</f>
        <v>Castle Point</v>
      </c>
    </row>
    <row r="47" spans="1:5" x14ac:dyDescent="0.35">
      <c r="A47" s="189">
        <f>IF(ISNUMBER(SEARCH('Area Summary'!$E$3,B47)),MAX(A$1:$B46)+1,0)</f>
        <v>46</v>
      </c>
      <c r="B47" s="284" t="s">
        <v>2464</v>
      </c>
      <c r="D47" s="5" t="str">
        <f ca="1"/>
        <v>Central Bedfordshire</v>
      </c>
      <c r="E47" s="192" t="str">
        <f>IFERROR(VLOOKUP(ROWS($E$2:E47),$A$2:$B$307,2,0),"")</f>
        <v>Central Bedfordshire</v>
      </c>
    </row>
    <row r="48" spans="1:5" x14ac:dyDescent="0.35">
      <c r="A48" s="189">
        <f>IF(ISNUMBER(SEARCH('Area Summary'!$E$3,B48)),MAX(A$1:$B47)+1,0)</f>
        <v>47</v>
      </c>
      <c r="B48" s="284" t="s">
        <v>6454</v>
      </c>
      <c r="D48" s="5" t="str">
        <f ca="1"/>
        <v>Charnwood</v>
      </c>
      <c r="E48" s="192" t="str">
        <f>IFERROR(VLOOKUP(ROWS($E$2:E48),$A$2:$B$307,2,0),"")</f>
        <v>Charnwood</v>
      </c>
    </row>
    <row r="49" spans="1:5" x14ac:dyDescent="0.35">
      <c r="A49" s="189">
        <f>IF(ISNUMBER(SEARCH('Area Summary'!$E$3,B49)),MAX(A$1:$B48)+1,0)</f>
        <v>48</v>
      </c>
      <c r="B49" s="284" t="s">
        <v>4172</v>
      </c>
      <c r="D49" s="5" t="str">
        <f ca="1"/>
        <v>Chelmsford</v>
      </c>
      <c r="E49" s="192" t="str">
        <f>IFERROR(VLOOKUP(ROWS($E$2:E49),$A$2:$B$307,2,0),"")</f>
        <v>Chelmsford</v>
      </c>
    </row>
    <row r="50" spans="1:5" x14ac:dyDescent="0.35">
      <c r="A50" s="189">
        <f>IF(ISNUMBER(SEARCH('Area Summary'!$E$3,B50)),MAX(A$1:$B49)+1,0)</f>
        <v>49</v>
      </c>
      <c r="B50" s="284" t="s">
        <v>4498</v>
      </c>
      <c r="D50" s="5" t="str">
        <f ca="1"/>
        <v>Cheltenham</v>
      </c>
      <c r="E50" s="192" t="str">
        <f>IFERROR(VLOOKUP(ROWS($E$2:E50),$A$2:$B$307,2,0),"")</f>
        <v>Cheltenham</v>
      </c>
    </row>
    <row r="51" spans="1:5" x14ac:dyDescent="0.35">
      <c r="A51" s="189">
        <f>IF(ISNUMBER(SEARCH('Area Summary'!$E$3,B51)),MAX(A$1:$B50)+1,0)</f>
        <v>50</v>
      </c>
      <c r="B51" s="284" t="s">
        <v>7587</v>
      </c>
      <c r="D51" s="5" t="str">
        <f ca="1"/>
        <v>Cherwell</v>
      </c>
      <c r="E51" s="192" t="str">
        <f>IFERROR(VLOOKUP(ROWS($E$2:E51),$A$2:$B$307,2,0),"")</f>
        <v>Cherwell</v>
      </c>
    </row>
    <row r="52" spans="1:5" x14ac:dyDescent="0.35">
      <c r="A52" s="189">
        <f>IF(ISNUMBER(SEARCH('Area Summary'!$E$3,B52)),MAX(A$1:$B51)+1,0)</f>
        <v>51</v>
      </c>
      <c r="B52" s="284" t="s">
        <v>2179</v>
      </c>
      <c r="D52" s="5" t="str">
        <f ca="1"/>
        <v>Cheshire East</v>
      </c>
      <c r="E52" s="192" t="str">
        <f>IFERROR(VLOOKUP(ROWS($E$2:E52),$A$2:$B$307,2,0),"")</f>
        <v>Cheshire East</v>
      </c>
    </row>
    <row r="53" spans="1:5" x14ac:dyDescent="0.35">
      <c r="A53" s="189">
        <f>IF(ISNUMBER(SEARCH('Area Summary'!$E$3,B53)),MAX(A$1:$B52)+1,0)</f>
        <v>52</v>
      </c>
      <c r="B53" s="284" t="s">
        <v>2221</v>
      </c>
      <c r="D53" s="5" t="str">
        <f ca="1"/>
        <v>Cheshire West and Chester</v>
      </c>
      <c r="E53" s="192" t="str">
        <f>IFERROR(VLOOKUP(ROWS($E$2:E53),$A$2:$B$307,2,0),"")</f>
        <v>Cheshire West and Chester</v>
      </c>
    </row>
    <row r="54" spans="1:5" x14ac:dyDescent="0.35">
      <c r="A54" s="189">
        <f>IF(ISNUMBER(SEARCH('Area Summary'!$E$3,B54)),MAX(A$1:$B53)+1,0)</f>
        <v>53</v>
      </c>
      <c r="B54" s="284" t="s">
        <v>3210</v>
      </c>
      <c r="D54" s="5" t="str">
        <f ca="1"/>
        <v>Chesterfield</v>
      </c>
      <c r="E54" s="192" t="str">
        <f>IFERROR(VLOOKUP(ROWS($E$2:E54),$A$2:$B$307,2,0),"")</f>
        <v>Chesterfield</v>
      </c>
    </row>
    <row r="55" spans="1:5" x14ac:dyDescent="0.35">
      <c r="A55" s="189">
        <f>IF(ISNUMBER(SEARCH('Area Summary'!$E$3,B55)),MAX(A$1:$B54)+1,0)</f>
        <v>54</v>
      </c>
      <c r="B55" s="284" t="s">
        <v>8987</v>
      </c>
      <c r="D55" s="5" t="str">
        <f ca="1"/>
        <v>Chichester</v>
      </c>
      <c r="E55" s="192" t="str">
        <f>IFERROR(VLOOKUP(ROWS($E$2:E55),$A$2:$B$307,2,0),"")</f>
        <v>Chichester</v>
      </c>
    </row>
    <row r="56" spans="1:5" x14ac:dyDescent="0.35">
      <c r="A56" s="189">
        <f>IF(ISNUMBER(SEARCH('Area Summary'!$E$3,B56)),MAX(A$1:$B55)+1,0)</f>
        <v>55</v>
      </c>
      <c r="B56" s="284" t="s">
        <v>5960</v>
      </c>
      <c r="D56" s="5" t="str">
        <f ca="1"/>
        <v>Chorley</v>
      </c>
      <c r="E56" s="192" t="str">
        <f>IFERROR(VLOOKUP(ROWS($E$2:E56),$A$2:$B$307,2,0),"")</f>
        <v>Chorley</v>
      </c>
    </row>
    <row r="57" spans="1:5" x14ac:dyDescent="0.35">
      <c r="A57" s="189">
        <f>IF(ISNUMBER(SEARCH('Area Summary'!$E$3,B57)),MAX(A$1:$B56)+1,0)</f>
        <v>56</v>
      </c>
      <c r="B57" s="284" t="s">
        <v>11187</v>
      </c>
      <c r="D57" s="5" t="str">
        <f ca="1"/>
        <v>City of London</v>
      </c>
      <c r="E57" s="192" t="str">
        <f>IFERROR(VLOOKUP(ROWS($E$2:E57),$A$2:$B$307,2,0),"")</f>
        <v>City of London</v>
      </c>
    </row>
    <row r="58" spans="1:5" x14ac:dyDescent="0.35">
      <c r="A58" s="189">
        <f>IF(ISNUMBER(SEARCH('Area Summary'!$E$3,B58)),MAX(A$1:$B57)+1,0)</f>
        <v>57</v>
      </c>
      <c r="B58" s="284" t="s">
        <v>4214</v>
      </c>
      <c r="D58" s="5" t="str">
        <f ca="1"/>
        <v>Colchester</v>
      </c>
      <c r="E58" s="192" t="str">
        <f>IFERROR(VLOOKUP(ROWS($E$2:E58),$A$2:$B$307,2,0),"")</f>
        <v>Colchester</v>
      </c>
    </row>
    <row r="59" spans="1:5" x14ac:dyDescent="0.35">
      <c r="A59" s="189">
        <f>IF(ISNUMBER(SEARCH('Area Summary'!$E$3,B59)),MAX(A$1:$B58)+1,0)</f>
        <v>58</v>
      </c>
      <c r="B59" s="284" t="s">
        <v>2305</v>
      </c>
      <c r="D59" s="5" t="str">
        <f ca="1"/>
        <v>Cornwall</v>
      </c>
      <c r="E59" s="192" t="str">
        <f>IFERROR(VLOOKUP(ROWS($E$2:E59),$A$2:$B$307,2,0),"")</f>
        <v>Cornwall</v>
      </c>
    </row>
    <row r="60" spans="1:5" x14ac:dyDescent="0.35">
      <c r="A60" s="189">
        <f>IF(ISNUMBER(SEARCH('Area Summary'!$E$3,B60)),MAX(A$1:$B59)+1,0)</f>
        <v>59</v>
      </c>
      <c r="B60" s="284" t="s">
        <v>4540</v>
      </c>
      <c r="D60" s="5" t="str">
        <f ca="1"/>
        <v>Cotswold</v>
      </c>
      <c r="E60" s="192" t="str">
        <f>IFERROR(VLOOKUP(ROWS($E$2:E60),$A$2:$B$307,2,0),"")</f>
        <v>Cotswold</v>
      </c>
    </row>
    <row r="61" spans="1:5" x14ac:dyDescent="0.35">
      <c r="A61" s="189">
        <f>IF(ISNUMBER(SEARCH('Area Summary'!$E$3,B61)),MAX(A$1:$B60)+1,0)</f>
        <v>60</v>
      </c>
      <c r="B61" s="284" t="s">
        <v>2137</v>
      </c>
      <c r="D61" s="5" t="str">
        <f ca="1"/>
        <v>County Durham</v>
      </c>
      <c r="E61" s="192" t="str">
        <f>IFERROR(VLOOKUP(ROWS($E$2:E61),$A$2:$B$307,2,0),"")</f>
        <v>County Durham</v>
      </c>
    </row>
    <row r="62" spans="1:5" x14ac:dyDescent="0.35">
      <c r="A62" s="189">
        <f>IF(ISNUMBER(SEARCH('Area Summary'!$E$3,B62)),MAX(A$1:$B61)+1,0)</f>
        <v>61</v>
      </c>
      <c r="B62" s="284" t="s">
        <v>10686</v>
      </c>
      <c r="D62" s="5" t="str">
        <f ca="1"/>
        <v>Coventry</v>
      </c>
      <c r="E62" s="192" t="str">
        <f>IFERROR(VLOOKUP(ROWS($E$2:E62),$A$2:$B$307,2,0),"")</f>
        <v>Coventry</v>
      </c>
    </row>
    <row r="63" spans="1:5" x14ac:dyDescent="0.35">
      <c r="A63" s="189">
        <f>IF(ISNUMBER(SEARCH('Area Summary'!$E$3,B63)),MAX(A$1:$B62)+1,0)</f>
        <v>62</v>
      </c>
      <c r="B63" s="284" t="s">
        <v>9029</v>
      </c>
      <c r="D63" s="5" t="str">
        <f ca="1"/>
        <v>Crawley</v>
      </c>
      <c r="E63" s="192" t="str">
        <f>IFERROR(VLOOKUP(ROWS($E$2:E63),$A$2:$B$307,2,0),"")</f>
        <v>Crawley</v>
      </c>
    </row>
    <row r="64" spans="1:5" x14ac:dyDescent="0.35">
      <c r="A64" s="189">
        <f>IF(ISNUMBER(SEARCH('Area Summary'!$E$3,B64)),MAX(A$1:$B63)+1,0)</f>
        <v>63</v>
      </c>
      <c r="B64" s="284" t="s">
        <v>11482</v>
      </c>
      <c r="D64" s="5" t="str">
        <f ca="1"/>
        <v>Croydon</v>
      </c>
      <c r="E64" s="192" t="str">
        <f>IFERROR(VLOOKUP(ROWS($E$2:E64),$A$2:$B$307,2,0),"")</f>
        <v>Croydon</v>
      </c>
    </row>
    <row r="65" spans="1:5" x14ac:dyDescent="0.35">
      <c r="A65" s="189">
        <f>IF(ISNUMBER(SEARCH('Area Summary'!$E$3,B65)),MAX(A$1:$B64)+1,0)</f>
        <v>64</v>
      </c>
      <c r="B65" s="284" t="s">
        <v>2757</v>
      </c>
      <c r="D65" s="5" t="str">
        <f ca="1"/>
        <v>Cumberland</v>
      </c>
      <c r="E65" s="192" t="str">
        <f>IFERROR(VLOOKUP(ROWS($E$2:E65),$A$2:$B$307,2,0),"")</f>
        <v>Cumberland</v>
      </c>
    </row>
    <row r="66" spans="1:5" x14ac:dyDescent="0.35">
      <c r="A66" s="189">
        <f>IF(ISNUMBER(SEARCH('Area Summary'!$E$3,B66)),MAX(A$1:$B65)+1,0)</f>
        <v>65</v>
      </c>
      <c r="B66" s="284" t="s">
        <v>5226</v>
      </c>
      <c r="D66" s="5" t="str">
        <f ca="1"/>
        <v>Dacorum</v>
      </c>
      <c r="E66" s="192" t="str">
        <f>IFERROR(VLOOKUP(ROWS($E$2:E66),$A$2:$B$307,2,0),"")</f>
        <v>Dacorum</v>
      </c>
    </row>
    <row r="67" spans="1:5" x14ac:dyDescent="0.35">
      <c r="A67" s="189">
        <f>IF(ISNUMBER(SEARCH('Area Summary'!$E$3,B67)),MAX(A$1:$B66)+1,0)</f>
        <v>66</v>
      </c>
      <c r="B67" s="284" t="s">
        <v>477</v>
      </c>
      <c r="D67" s="5" t="str">
        <f ca="1"/>
        <v>Darlington</v>
      </c>
      <c r="E67" s="192" t="str">
        <f>IFERROR(VLOOKUP(ROWS($E$2:E67),$A$2:$B$307,2,0),"")</f>
        <v>Darlington</v>
      </c>
    </row>
    <row r="68" spans="1:5" x14ac:dyDescent="0.35">
      <c r="A68" s="189">
        <f>IF(ISNUMBER(SEARCH('Area Summary'!$E$3,B68)),MAX(A$1:$B67)+1,0)</f>
        <v>67</v>
      </c>
      <c r="B68" s="284" t="s">
        <v>5510</v>
      </c>
      <c r="D68" s="5" t="str">
        <f ca="1"/>
        <v>Dartford</v>
      </c>
      <c r="E68" s="192" t="str">
        <f>IFERROR(VLOOKUP(ROWS($E$2:E68),$A$2:$B$307,2,0),"")</f>
        <v>Dartford</v>
      </c>
    </row>
    <row r="69" spans="1:5" x14ac:dyDescent="0.35">
      <c r="A69" s="189">
        <f>IF(ISNUMBER(SEARCH('Area Summary'!$E$3,B69)),MAX(A$1:$B68)+1,0)</f>
        <v>68</v>
      </c>
      <c r="B69" s="284" t="s">
        <v>897</v>
      </c>
      <c r="D69" s="5" t="str">
        <f ca="1"/>
        <v>Derby</v>
      </c>
      <c r="E69" s="192" t="str">
        <f>IFERROR(VLOOKUP(ROWS($E$2:E69),$A$2:$B$307,2,0),"")</f>
        <v>Derby</v>
      </c>
    </row>
    <row r="70" spans="1:5" x14ac:dyDescent="0.35">
      <c r="A70" s="189">
        <f>IF(ISNUMBER(SEARCH('Area Summary'!$E$3,B70)),MAX(A$1:$B69)+1,0)</f>
        <v>69</v>
      </c>
      <c r="B70" s="284" t="s">
        <v>3252</v>
      </c>
      <c r="D70" s="5" t="str">
        <f ca="1"/>
        <v>Derbyshire Dales</v>
      </c>
      <c r="E70" s="192" t="str">
        <f>IFERROR(VLOOKUP(ROWS($E$2:E70),$A$2:$B$307,2,0),"")</f>
        <v>Derbyshire Dales</v>
      </c>
    </row>
    <row r="71" spans="1:5" x14ac:dyDescent="0.35">
      <c r="A71" s="189">
        <f>IF(ISNUMBER(SEARCH('Area Summary'!$E$3,B71)),MAX(A$1:$B70)+1,0)</f>
        <v>70</v>
      </c>
      <c r="B71" s="284" t="s">
        <v>10351</v>
      </c>
      <c r="D71" s="5" t="str">
        <f ca="1"/>
        <v>Doncaster</v>
      </c>
      <c r="E71" s="192" t="str">
        <f>IFERROR(VLOOKUP(ROWS($E$2:E71),$A$2:$B$307,2,0),"")</f>
        <v>Doncaster</v>
      </c>
    </row>
    <row r="72" spans="1:5" x14ac:dyDescent="0.35">
      <c r="A72" s="189">
        <f>IF(ISNUMBER(SEARCH('Area Summary'!$E$3,B72)),MAX(A$1:$B71)+1,0)</f>
        <v>71</v>
      </c>
      <c r="B72" s="284" t="s">
        <v>2590</v>
      </c>
      <c r="D72" s="5" t="str">
        <f ca="1"/>
        <v>Dorset</v>
      </c>
      <c r="E72" s="192" t="str">
        <f>IFERROR(VLOOKUP(ROWS($E$2:E72),$A$2:$B$307,2,0),"")</f>
        <v>Dorset</v>
      </c>
    </row>
    <row r="73" spans="1:5" x14ac:dyDescent="0.35">
      <c r="A73" s="189">
        <f>IF(ISNUMBER(SEARCH('Area Summary'!$E$3,B73)),MAX(A$1:$B72)+1,0)</f>
        <v>72</v>
      </c>
      <c r="B73" s="284" t="s">
        <v>5552</v>
      </c>
      <c r="D73" s="5" t="str">
        <f ca="1"/>
        <v>Dover</v>
      </c>
      <c r="E73" s="192" t="str">
        <f>IFERROR(VLOOKUP(ROWS($E$2:E73),$A$2:$B$307,2,0),"")</f>
        <v>Dover</v>
      </c>
    </row>
    <row r="74" spans="1:5" x14ac:dyDescent="0.35">
      <c r="A74" s="189">
        <f>IF(ISNUMBER(SEARCH('Area Summary'!$E$3,B74)),MAX(A$1:$B73)+1,0)</f>
        <v>73</v>
      </c>
      <c r="B74" s="284" t="s">
        <v>10728</v>
      </c>
      <c r="D74" s="5" t="str">
        <f ca="1"/>
        <v>Dudley</v>
      </c>
      <c r="E74" s="192" t="str">
        <f>IFERROR(VLOOKUP(ROWS($E$2:E74),$A$2:$B$307,2,0),"")</f>
        <v>Dudley</v>
      </c>
    </row>
    <row r="75" spans="1:5" x14ac:dyDescent="0.35">
      <c r="A75" s="189">
        <f>IF(ISNUMBER(SEARCH('Area Summary'!$E$3,B75)),MAX(A$1:$B74)+1,0)</f>
        <v>74</v>
      </c>
      <c r="B75" s="284" t="s">
        <v>11524</v>
      </c>
      <c r="D75" s="5" t="str">
        <f ca="1"/>
        <v>Ealing</v>
      </c>
      <c r="E75" s="192" t="str">
        <f>IFERROR(VLOOKUP(ROWS($E$2:E75),$A$2:$B$307,2,0),"")</f>
        <v>Ealing</v>
      </c>
    </row>
    <row r="76" spans="1:5" x14ac:dyDescent="0.35">
      <c r="A76" s="189">
        <f>IF(ISNUMBER(SEARCH('Area Summary'!$E$3,B76)),MAX(A$1:$B75)+1,0)</f>
        <v>75</v>
      </c>
      <c r="B76" s="284" t="s">
        <v>2966</v>
      </c>
      <c r="D76" s="5" t="str">
        <f ca="1"/>
        <v>East Cambridgeshire</v>
      </c>
      <c r="E76" s="192" t="str">
        <f>IFERROR(VLOOKUP(ROWS($E$2:E76),$A$2:$B$307,2,0),"")</f>
        <v>East Cambridgeshire</v>
      </c>
    </row>
    <row r="77" spans="1:5" x14ac:dyDescent="0.35">
      <c r="A77" s="189">
        <f>IF(ISNUMBER(SEARCH('Area Summary'!$E$3,B77)),MAX(A$1:$B76)+1,0)</f>
        <v>76</v>
      </c>
      <c r="B77" s="284" t="s">
        <v>3462</v>
      </c>
      <c r="D77" s="5" t="str">
        <f ca="1"/>
        <v>East Devon</v>
      </c>
      <c r="E77" s="192" t="str">
        <f>IFERROR(VLOOKUP(ROWS($E$2:E77),$A$2:$B$307,2,0),"")</f>
        <v>East Devon</v>
      </c>
    </row>
    <row r="78" spans="1:5" x14ac:dyDescent="0.35">
      <c r="A78" s="189">
        <f>IF(ISNUMBER(SEARCH('Area Summary'!$E$3,B78)),MAX(A$1:$B77)+1,0)</f>
        <v>77</v>
      </c>
      <c r="B78" s="284" t="s">
        <v>4782</v>
      </c>
      <c r="D78" s="5" t="str">
        <f ca="1"/>
        <v>East Hampshire</v>
      </c>
      <c r="E78" s="192" t="str">
        <f>IFERROR(VLOOKUP(ROWS($E$2:E78),$A$2:$B$307,2,0),"")</f>
        <v>East Hampshire</v>
      </c>
    </row>
    <row r="79" spans="1:5" x14ac:dyDescent="0.35">
      <c r="A79" s="189">
        <f>IF(ISNUMBER(SEARCH('Area Summary'!$E$3,B79)),MAX(A$1:$B78)+1,0)</f>
        <v>78</v>
      </c>
      <c r="B79" s="284" t="s">
        <v>9519</v>
      </c>
      <c r="D79" s="5" t="str">
        <f ca="1"/>
        <v>East Hertfordshire</v>
      </c>
      <c r="E79" s="192" t="str">
        <f>IFERROR(VLOOKUP(ROWS($E$2:E79),$A$2:$B$307,2,0),"")</f>
        <v>East Hertfordshire</v>
      </c>
    </row>
    <row r="80" spans="1:5" x14ac:dyDescent="0.35">
      <c r="A80" s="189">
        <f>IF(ISNUMBER(SEARCH('Area Summary'!$E$3,B80)),MAX(A$1:$B79)+1,0)</f>
        <v>79</v>
      </c>
      <c r="B80" s="284" t="s">
        <v>6748</v>
      </c>
      <c r="D80" s="5" t="str">
        <f ca="1"/>
        <v>East Lindsey</v>
      </c>
      <c r="E80" s="192" t="str">
        <f>IFERROR(VLOOKUP(ROWS($E$2:E80),$A$2:$B$307,2,0),"")</f>
        <v>East Lindsey</v>
      </c>
    </row>
    <row r="81" spans="1:5" x14ac:dyDescent="0.35">
      <c r="A81" s="189">
        <f>IF(ISNUMBER(SEARCH('Area Summary'!$E$3,B81)),MAX(A$1:$B80)+1,0)</f>
        <v>80</v>
      </c>
      <c r="B81" s="284" t="s">
        <v>730</v>
      </c>
      <c r="D81" s="5" t="str">
        <f ca="1"/>
        <v>East Riding of Yorkshire</v>
      </c>
      <c r="E81" s="192" t="str">
        <f>IFERROR(VLOOKUP(ROWS($E$2:E81),$A$2:$B$307,2,0),"")</f>
        <v>East Riding of Yorkshire</v>
      </c>
    </row>
    <row r="82" spans="1:5" x14ac:dyDescent="0.35">
      <c r="A82" s="189">
        <f>IF(ISNUMBER(SEARCH('Area Summary'!$E$3,B82)),MAX(A$1:$B81)+1,0)</f>
        <v>81</v>
      </c>
      <c r="B82" s="284" t="s">
        <v>7837</v>
      </c>
      <c r="D82" s="5" t="str">
        <f ca="1"/>
        <v>East Staffordshire</v>
      </c>
      <c r="E82" s="192" t="str">
        <f>IFERROR(VLOOKUP(ROWS($E$2:E82),$A$2:$B$307,2,0),"")</f>
        <v>East Staffordshire</v>
      </c>
    </row>
    <row r="83" spans="1:5" x14ac:dyDescent="0.35">
      <c r="A83" s="189">
        <f>IF(ISNUMBER(SEARCH('Area Summary'!$E$3,B83)),MAX(A$1:$B82)+1,0)</f>
        <v>82</v>
      </c>
      <c r="B83" s="284" t="s">
        <v>9602</v>
      </c>
      <c r="D83" s="5" t="str">
        <f ca="1"/>
        <v>East Suffolk</v>
      </c>
      <c r="E83" s="192" t="str">
        <f>IFERROR(VLOOKUP(ROWS($E$2:E83),$A$2:$B$307,2,0),"")</f>
        <v>East Suffolk</v>
      </c>
    </row>
    <row r="84" spans="1:5" x14ac:dyDescent="0.35">
      <c r="A84" s="189">
        <f>IF(ISNUMBER(SEARCH('Area Summary'!$E$3,B84)),MAX(A$1:$B83)+1,0)</f>
        <v>83</v>
      </c>
      <c r="B84" s="284" t="s">
        <v>3795</v>
      </c>
      <c r="D84" s="5" t="str">
        <f ca="1"/>
        <v>Eastbourne</v>
      </c>
      <c r="E84" s="192" t="str">
        <f>IFERROR(VLOOKUP(ROWS($E$2:E84),$A$2:$B$307,2,0),"")</f>
        <v>Eastbourne</v>
      </c>
    </row>
    <row r="85" spans="1:5" x14ac:dyDescent="0.35">
      <c r="A85" s="189">
        <f>IF(ISNUMBER(SEARCH('Area Summary'!$E$3,B85)),MAX(A$1:$B84)+1,0)</f>
        <v>84</v>
      </c>
      <c r="B85" s="284" t="s">
        <v>4824</v>
      </c>
      <c r="D85" s="5" t="str">
        <f ca="1"/>
        <v>Eastleigh</v>
      </c>
      <c r="E85" s="192" t="str">
        <f>IFERROR(VLOOKUP(ROWS($E$2:E85),$A$2:$B$307,2,0),"")</f>
        <v>Eastleigh</v>
      </c>
    </row>
    <row r="86" spans="1:5" x14ac:dyDescent="0.35">
      <c r="A86" s="189">
        <f>IF(ISNUMBER(SEARCH('Area Summary'!$E$3,B86)),MAX(A$1:$B85)+1,0)</f>
        <v>85</v>
      </c>
      <c r="B86" s="284" t="s">
        <v>8246</v>
      </c>
      <c r="D86" s="5" t="str">
        <f ca="1"/>
        <v>Elmbridge</v>
      </c>
      <c r="E86" s="192" t="str">
        <f>IFERROR(VLOOKUP(ROWS($E$2:E86),$A$2:$B$307,2,0),"")</f>
        <v>Elmbridge</v>
      </c>
    </row>
    <row r="87" spans="1:5" x14ac:dyDescent="0.35">
      <c r="A87" s="189">
        <f>IF(ISNUMBER(SEARCH('Area Summary'!$E$3,B87)),MAX(A$1:$B86)+1,0)</f>
        <v>86</v>
      </c>
      <c r="B87" s="284" t="s">
        <v>11566</v>
      </c>
      <c r="D87" s="5" t="str">
        <f ca="1"/>
        <v>Enfield</v>
      </c>
      <c r="E87" s="192" t="str">
        <f>IFERROR(VLOOKUP(ROWS($E$2:E87),$A$2:$B$307,2,0),"")</f>
        <v>Enfield</v>
      </c>
    </row>
    <row r="88" spans="1:5" x14ac:dyDescent="0.35">
      <c r="A88" s="189">
        <f>IF(ISNUMBER(SEARCH('Area Summary'!$E$3,B88)),MAX(A$1:$B87)+1,0)</f>
        <v>87</v>
      </c>
      <c r="B88" s="284" t="s">
        <v>4256</v>
      </c>
      <c r="D88" s="5" t="str">
        <f ca="1"/>
        <v>Epping Forest</v>
      </c>
      <c r="E88" s="192" t="str">
        <f>IFERROR(VLOOKUP(ROWS($E$2:E88),$A$2:$B$307,2,0),"")</f>
        <v>Epping Forest</v>
      </c>
    </row>
    <row r="89" spans="1:5" x14ac:dyDescent="0.35">
      <c r="A89" s="189">
        <f>IF(ISNUMBER(SEARCH('Area Summary'!$E$3,B89)),MAX(A$1:$B88)+1,0)</f>
        <v>88</v>
      </c>
      <c r="B89" s="284" t="s">
        <v>8288</v>
      </c>
      <c r="D89" s="5" t="str">
        <f ca="1"/>
        <v>Epsom and Ewell</v>
      </c>
      <c r="E89" s="192" t="str">
        <f>IFERROR(VLOOKUP(ROWS($E$2:E89),$A$2:$B$307,2,0),"")</f>
        <v>Epsom and Ewell</v>
      </c>
    </row>
    <row r="90" spans="1:5" x14ac:dyDescent="0.35">
      <c r="A90" s="189">
        <f>IF(ISNUMBER(SEARCH('Area Summary'!$E$3,B90)),MAX(A$1:$B89)+1,0)</f>
        <v>89</v>
      </c>
      <c r="B90" s="284" t="s">
        <v>3294</v>
      </c>
      <c r="D90" s="5" t="str">
        <f ca="1"/>
        <v>Erewash</v>
      </c>
      <c r="E90" s="192" t="str">
        <f>IFERROR(VLOOKUP(ROWS($E$2:E90),$A$2:$B$307,2,0),"")</f>
        <v>Erewash</v>
      </c>
    </row>
    <row r="91" spans="1:5" x14ac:dyDescent="0.35">
      <c r="A91" s="189">
        <f>IF(ISNUMBER(SEARCH('Area Summary'!$E$3,B91)),MAX(A$1:$B90)+1,0)</f>
        <v>90</v>
      </c>
      <c r="B91" s="284" t="s">
        <v>3504</v>
      </c>
      <c r="D91" s="5" t="str">
        <f ca="1"/>
        <v>Exeter</v>
      </c>
      <c r="E91" s="192" t="str">
        <f>IFERROR(VLOOKUP(ROWS($E$2:E91),$A$2:$B$307,2,0),"")</f>
        <v>Exeter</v>
      </c>
    </row>
    <row r="92" spans="1:5" x14ac:dyDescent="0.35">
      <c r="A92" s="189">
        <f>IF(ISNUMBER(SEARCH('Area Summary'!$E$3,B92)),MAX(A$1:$B91)+1,0)</f>
        <v>91</v>
      </c>
      <c r="B92" s="284" t="s">
        <v>4866</v>
      </c>
      <c r="D92" s="5" t="str">
        <f ca="1"/>
        <v>Fareham</v>
      </c>
      <c r="E92" s="192" t="str">
        <f>IFERROR(VLOOKUP(ROWS($E$2:E92),$A$2:$B$307,2,0),"")</f>
        <v>Fareham</v>
      </c>
    </row>
    <row r="93" spans="1:5" x14ac:dyDescent="0.35">
      <c r="A93" s="189">
        <f>IF(ISNUMBER(SEARCH('Area Summary'!$E$3,B93)),MAX(A$1:$B92)+1,0)</f>
        <v>92</v>
      </c>
      <c r="B93" s="284" t="s">
        <v>3000</v>
      </c>
      <c r="D93" s="5" t="str">
        <f ca="1"/>
        <v>Fenland</v>
      </c>
      <c r="E93" s="192" t="str">
        <f>IFERROR(VLOOKUP(ROWS($E$2:E93),$A$2:$B$307,2,0),"")</f>
        <v>Fenland</v>
      </c>
    </row>
    <row r="94" spans="1:5" x14ac:dyDescent="0.35">
      <c r="A94" s="189">
        <f>IF(ISNUMBER(SEARCH('Area Summary'!$E$3,B94)),MAX(A$1:$B93)+1,0)</f>
        <v>93</v>
      </c>
      <c r="B94" s="284" t="s">
        <v>5720</v>
      </c>
      <c r="D94" s="5" t="str">
        <f ca="1"/>
        <v>Folkestone and Hythe</v>
      </c>
      <c r="E94" s="192" t="str">
        <f>IFERROR(VLOOKUP(ROWS($E$2:E94),$A$2:$B$307,2,0),"")</f>
        <v>Folkestone and Hythe</v>
      </c>
    </row>
    <row r="95" spans="1:5" x14ac:dyDescent="0.35">
      <c r="A95" s="189">
        <f>IF(ISNUMBER(SEARCH('Area Summary'!$E$3,B95)),MAX(A$1:$B94)+1,0)</f>
        <v>94</v>
      </c>
      <c r="B95" s="284" t="s">
        <v>4574</v>
      </c>
      <c r="D95" s="5" t="str">
        <f ca="1"/>
        <v>Forest of Dean</v>
      </c>
      <c r="E95" s="192" t="str">
        <f>IFERROR(VLOOKUP(ROWS($E$2:E95),$A$2:$B$307,2,0),"")</f>
        <v>Forest of Dean</v>
      </c>
    </row>
    <row r="96" spans="1:5" x14ac:dyDescent="0.35">
      <c r="A96" s="189">
        <f>IF(ISNUMBER(SEARCH('Area Summary'!$E$3,B96)),MAX(A$1:$B95)+1,0)</f>
        <v>95</v>
      </c>
      <c r="B96" s="284" t="s">
        <v>6002</v>
      </c>
      <c r="D96" s="5" t="str">
        <f ca="1"/>
        <v>Fylde</v>
      </c>
      <c r="E96" s="192" t="str">
        <f>IFERROR(VLOOKUP(ROWS($E$2:E96),$A$2:$B$307,2,0),"")</f>
        <v>Fylde</v>
      </c>
    </row>
    <row r="97" spans="1:5" x14ac:dyDescent="0.35">
      <c r="A97" s="189">
        <f>IF(ISNUMBER(SEARCH('Area Summary'!$E$3,B97)),MAX(A$1:$B96)+1,0)</f>
        <v>96</v>
      </c>
      <c r="B97" s="284" t="s">
        <v>11145</v>
      </c>
      <c r="D97" s="5" t="str">
        <f ca="1"/>
        <v>Gateshead</v>
      </c>
      <c r="E97" s="192" t="str">
        <f>IFERROR(VLOOKUP(ROWS($E$2:E97),$A$2:$B$307,2,0),"")</f>
        <v>Gateshead</v>
      </c>
    </row>
    <row r="98" spans="1:5" x14ac:dyDescent="0.35">
      <c r="A98" s="189">
        <f>IF(ISNUMBER(SEARCH('Area Summary'!$E$3,B98)),MAX(A$1:$B97)+1,0)</f>
        <v>97</v>
      </c>
      <c r="B98" s="284" t="s">
        <v>7419</v>
      </c>
      <c r="D98" s="5" t="str">
        <f ca="1"/>
        <v>Gedling</v>
      </c>
      <c r="E98" s="192" t="str">
        <f>IFERROR(VLOOKUP(ROWS($E$2:E98),$A$2:$B$307,2,0),"")</f>
        <v>Gedling</v>
      </c>
    </row>
    <row r="99" spans="1:5" x14ac:dyDescent="0.35">
      <c r="A99" s="189">
        <f>IF(ISNUMBER(SEARCH('Area Summary'!$E$3,B99)),MAX(A$1:$B98)+1,0)</f>
        <v>98</v>
      </c>
      <c r="B99" s="284" t="s">
        <v>4616</v>
      </c>
      <c r="D99" s="5" t="str">
        <f ca="1"/>
        <v>Gloucester</v>
      </c>
      <c r="E99" s="192" t="str">
        <f>IFERROR(VLOOKUP(ROWS($E$2:E99),$A$2:$B$307,2,0),"")</f>
        <v>Gloucester</v>
      </c>
    </row>
    <row r="100" spans="1:5" x14ac:dyDescent="0.35">
      <c r="A100" s="189">
        <f>IF(ISNUMBER(SEARCH('Area Summary'!$E$3,B100)),MAX(A$1:$B99)+1,0)</f>
        <v>99</v>
      </c>
      <c r="B100" s="284" t="s">
        <v>4908</v>
      </c>
      <c r="D100" s="5" t="str">
        <f ca="1"/>
        <v>Gosport</v>
      </c>
      <c r="E100" s="192" t="str">
        <f>IFERROR(VLOOKUP(ROWS($E$2:E100),$A$2:$B$307,2,0),"")</f>
        <v>Gosport</v>
      </c>
    </row>
    <row r="101" spans="1:5" x14ac:dyDescent="0.35">
      <c r="A101" s="189">
        <f>IF(ISNUMBER(SEARCH('Area Summary'!$E$3,B101)),MAX(A$1:$B100)+1,0)</f>
        <v>100</v>
      </c>
      <c r="B101" s="284" t="s">
        <v>5594</v>
      </c>
      <c r="D101" s="5" t="str">
        <f ca="1"/>
        <v>Gravesham</v>
      </c>
      <c r="E101" s="192" t="str">
        <f>IFERROR(VLOOKUP(ROWS($E$2:E101),$A$2:$B$307,2,0),"")</f>
        <v>Gravesham</v>
      </c>
    </row>
    <row r="102" spans="1:5" x14ac:dyDescent="0.35">
      <c r="A102" s="189">
        <f>IF(ISNUMBER(SEARCH('Area Summary'!$E$3,B102)),MAX(A$1:$B101)+1,0)</f>
        <v>101</v>
      </c>
      <c r="B102" s="284" t="s">
        <v>7083</v>
      </c>
      <c r="D102" s="5" t="str">
        <f ca="1"/>
        <v>Great Yarmouth</v>
      </c>
      <c r="E102" s="192" t="str">
        <f>IFERROR(VLOOKUP(ROWS($E$2:E102),$A$2:$B$307,2,0),"")</f>
        <v>Great Yarmouth</v>
      </c>
    </row>
    <row r="103" spans="1:5" x14ac:dyDescent="0.35">
      <c r="A103" s="189">
        <f>IF(ISNUMBER(SEARCH('Area Summary'!$E$3,B103)),MAX(A$1:$B102)+1,0)</f>
        <v>102</v>
      </c>
      <c r="B103" s="284" t="s">
        <v>11608</v>
      </c>
      <c r="D103" s="5" t="str">
        <f ca="1"/>
        <v>Greenwich</v>
      </c>
      <c r="E103" s="192" t="str">
        <f>IFERROR(VLOOKUP(ROWS($E$2:E103),$A$2:$B$307,2,0),"")</f>
        <v>Greenwich</v>
      </c>
    </row>
    <row r="104" spans="1:5" x14ac:dyDescent="0.35">
      <c r="A104" s="189">
        <f>IF(ISNUMBER(SEARCH('Area Summary'!$E$3,B104)),MAX(A$1:$B103)+1,0)</f>
        <v>103</v>
      </c>
      <c r="B104" s="284" t="s">
        <v>8330</v>
      </c>
      <c r="D104" s="5" t="str">
        <f ca="1"/>
        <v>Guildford</v>
      </c>
      <c r="E104" s="192" t="str">
        <f>IFERROR(VLOOKUP(ROWS($E$2:E104),$A$2:$B$307,2,0),"")</f>
        <v>Guildford</v>
      </c>
    </row>
    <row r="105" spans="1:5" x14ac:dyDescent="0.35">
      <c r="A105" s="189">
        <f>IF(ISNUMBER(SEARCH('Area Summary'!$E$3,B105)),MAX(A$1:$B104)+1,0)</f>
        <v>104</v>
      </c>
      <c r="B105" s="284" t="s">
        <v>11650</v>
      </c>
      <c r="D105" s="5" t="str">
        <f ca="1"/>
        <v>Hackney</v>
      </c>
      <c r="E105" s="192" t="str">
        <f>IFERROR(VLOOKUP(ROWS($E$2:E105),$A$2:$B$307,2,0),"")</f>
        <v>Hackney</v>
      </c>
    </row>
    <row r="106" spans="1:5" x14ac:dyDescent="0.35">
      <c r="A106" s="189">
        <f>IF(ISNUMBER(SEARCH('Area Summary'!$E$3,B106)),MAX(A$1:$B105)+1,0)</f>
        <v>105</v>
      </c>
      <c r="B106" s="284" t="s">
        <v>519</v>
      </c>
      <c r="D106" s="5" t="str">
        <f ca="1"/>
        <v>Halton</v>
      </c>
      <c r="E106" s="192" t="str">
        <f>IFERROR(VLOOKUP(ROWS($E$2:E106),$A$2:$B$307,2,0),"")</f>
        <v>Halton</v>
      </c>
    </row>
    <row r="107" spans="1:5" x14ac:dyDescent="0.35">
      <c r="A107" s="189">
        <f>IF(ISNUMBER(SEARCH('Area Summary'!$E$3,B107)),MAX(A$1:$B106)+1,0)</f>
        <v>106</v>
      </c>
      <c r="B107" s="284" t="s">
        <v>11692</v>
      </c>
      <c r="D107" s="5" t="str">
        <f ca="1"/>
        <v>Hammersmith and Fulham</v>
      </c>
      <c r="E107" s="192" t="str">
        <f>IFERROR(VLOOKUP(ROWS($E$2:E107),$A$2:$B$307,2,0),"")</f>
        <v>Hammersmith and Fulham</v>
      </c>
    </row>
    <row r="108" spans="1:5" x14ac:dyDescent="0.35">
      <c r="A108" s="189">
        <f>IF(ISNUMBER(SEARCH('Area Summary'!$E$3,B108)),MAX(A$1:$B107)+1,0)</f>
        <v>107</v>
      </c>
      <c r="B108" s="284" t="s">
        <v>6496</v>
      </c>
      <c r="D108" s="5" t="str">
        <f ca="1"/>
        <v>Harborough</v>
      </c>
      <c r="E108" s="192" t="str">
        <f>IFERROR(VLOOKUP(ROWS($E$2:E108),$A$2:$B$307,2,0),"")</f>
        <v>Harborough</v>
      </c>
    </row>
    <row r="109" spans="1:5" x14ac:dyDescent="0.35">
      <c r="A109" s="189">
        <f>IF(ISNUMBER(SEARCH('Area Summary'!$E$3,B109)),MAX(A$1:$B108)+1,0)</f>
        <v>108</v>
      </c>
      <c r="B109" s="284" t="s">
        <v>11734</v>
      </c>
      <c r="D109" s="5" t="str">
        <f ca="1"/>
        <v>Haringey</v>
      </c>
      <c r="E109" s="192" t="str">
        <f>IFERROR(VLOOKUP(ROWS($E$2:E109),$A$2:$B$307,2,0),"")</f>
        <v>Haringey</v>
      </c>
    </row>
    <row r="110" spans="1:5" x14ac:dyDescent="0.35">
      <c r="A110" s="189">
        <f>IF(ISNUMBER(SEARCH('Area Summary'!$E$3,B110)),MAX(A$1:$B109)+1,0)</f>
        <v>109</v>
      </c>
      <c r="B110" s="284" t="s">
        <v>4298</v>
      </c>
      <c r="D110" s="5" t="str">
        <f ca="1"/>
        <v>Harlow</v>
      </c>
      <c r="E110" s="192" t="str">
        <f>IFERROR(VLOOKUP(ROWS($E$2:E110),$A$2:$B$307,2,0),"")</f>
        <v>Harlow</v>
      </c>
    </row>
    <row r="111" spans="1:5" x14ac:dyDescent="0.35">
      <c r="A111" s="189">
        <f>IF(ISNUMBER(SEARCH('Area Summary'!$E$3,B111)),MAX(A$1:$B110)+1,0)</f>
        <v>110</v>
      </c>
      <c r="B111" s="284" t="s">
        <v>11776</v>
      </c>
      <c r="D111" s="5" t="str">
        <f ca="1"/>
        <v>Harrow</v>
      </c>
      <c r="E111" s="192" t="str">
        <f>IFERROR(VLOOKUP(ROWS($E$2:E111),$A$2:$B$307,2,0),"")</f>
        <v>Harrow</v>
      </c>
    </row>
    <row r="112" spans="1:5" x14ac:dyDescent="0.35">
      <c r="A112" s="189">
        <f>IF(ISNUMBER(SEARCH('Area Summary'!$E$3,B112)),MAX(A$1:$B111)+1,0)</f>
        <v>111</v>
      </c>
      <c r="B112" s="284" t="s">
        <v>4950</v>
      </c>
      <c r="D112" s="5" t="str">
        <f ca="1"/>
        <v>Hart</v>
      </c>
      <c r="E112" s="192" t="str">
        <f>IFERROR(VLOOKUP(ROWS($E$2:E112),$A$2:$B$307,2,0),"")</f>
        <v>Hart</v>
      </c>
    </row>
    <row r="113" spans="1:5" x14ac:dyDescent="0.35">
      <c r="A113" s="189">
        <f>IF(ISNUMBER(SEARCH('Area Summary'!$E$3,B113)),MAX(A$1:$B112)+1,0)</f>
        <v>112</v>
      </c>
      <c r="B113" s="284" t="s">
        <v>291</v>
      </c>
      <c r="D113" s="5" t="str">
        <f ca="1"/>
        <v>Hartlepool</v>
      </c>
      <c r="E113" s="192" t="str">
        <f>IFERROR(VLOOKUP(ROWS($E$2:E113),$A$2:$B$307,2,0),"")</f>
        <v>Hartlepool</v>
      </c>
    </row>
    <row r="114" spans="1:5" x14ac:dyDescent="0.35">
      <c r="A114" s="189">
        <f>IF(ISNUMBER(SEARCH('Area Summary'!$E$3,B114)),MAX(A$1:$B113)+1,0)</f>
        <v>113</v>
      </c>
      <c r="B114" s="284" t="s">
        <v>3837</v>
      </c>
      <c r="D114" s="5" t="str">
        <f ca="1"/>
        <v>Hastings</v>
      </c>
      <c r="E114" s="192" t="str">
        <f>IFERROR(VLOOKUP(ROWS($E$2:E114),$A$2:$B$307,2,0),"")</f>
        <v>Hastings</v>
      </c>
    </row>
    <row r="115" spans="1:5" x14ac:dyDescent="0.35">
      <c r="A115" s="189">
        <f>IF(ISNUMBER(SEARCH('Area Summary'!$E$3,B115)),MAX(A$1:$B114)+1,0)</f>
        <v>114</v>
      </c>
      <c r="B115" s="284" t="s">
        <v>4984</v>
      </c>
      <c r="D115" s="5" t="str">
        <f ca="1"/>
        <v>Havant</v>
      </c>
      <c r="E115" s="192" t="str">
        <f>IFERROR(VLOOKUP(ROWS($E$2:E115),$A$2:$B$307,2,0),"")</f>
        <v>Havant</v>
      </c>
    </row>
    <row r="116" spans="1:5" x14ac:dyDescent="0.35">
      <c r="A116" s="189">
        <f>IF(ISNUMBER(SEARCH('Area Summary'!$E$3,B116)),MAX(A$1:$B115)+1,0)</f>
        <v>115</v>
      </c>
      <c r="B116" s="284" t="s">
        <v>11818</v>
      </c>
      <c r="D116" s="5" t="str">
        <f ca="1"/>
        <v>Havering</v>
      </c>
      <c r="E116" s="192" t="str">
        <f>IFERROR(VLOOKUP(ROWS($E$2:E116),$A$2:$B$307,2,0),"")</f>
        <v>Havering</v>
      </c>
    </row>
    <row r="117" spans="1:5" x14ac:dyDescent="0.35">
      <c r="A117" s="189">
        <f>IF(ISNUMBER(SEARCH('Area Summary'!$E$3,B117)),MAX(A$1:$B116)+1,0)</f>
        <v>116</v>
      </c>
      <c r="B117" s="284" t="s">
        <v>1058</v>
      </c>
      <c r="D117" s="5" t="str">
        <f ca="1"/>
        <v>Herefordshire, County of</v>
      </c>
      <c r="E117" s="192" t="str">
        <f>IFERROR(VLOOKUP(ROWS($E$2:E117),$A$2:$B$307,2,0),"")</f>
        <v>Herefordshire, County of</v>
      </c>
    </row>
    <row r="118" spans="1:5" x14ac:dyDescent="0.35">
      <c r="A118" s="189">
        <f>IF(ISNUMBER(SEARCH('Area Summary'!$E$3,B118)),MAX(A$1:$B117)+1,0)</f>
        <v>117</v>
      </c>
      <c r="B118" s="284" t="s">
        <v>5268</v>
      </c>
      <c r="D118" s="5" t="str">
        <f ca="1"/>
        <v>Hertsmere</v>
      </c>
      <c r="E118" s="192" t="str">
        <f>IFERROR(VLOOKUP(ROWS($E$2:E118),$A$2:$B$307,2,0),"")</f>
        <v>Hertsmere</v>
      </c>
    </row>
    <row r="119" spans="1:5" x14ac:dyDescent="0.35">
      <c r="A119" s="189">
        <f>IF(ISNUMBER(SEARCH('Area Summary'!$E$3,B119)),MAX(A$1:$B118)+1,0)</f>
        <v>118</v>
      </c>
      <c r="B119" s="284" t="s">
        <v>3336</v>
      </c>
      <c r="D119" s="5" t="str">
        <f ca="1"/>
        <v>High Peak</v>
      </c>
      <c r="E119" s="192" t="str">
        <f>IFERROR(VLOOKUP(ROWS($E$2:E119),$A$2:$B$307,2,0),"")</f>
        <v>High Peak</v>
      </c>
    </row>
    <row r="120" spans="1:5" x14ac:dyDescent="0.35">
      <c r="A120" s="189">
        <f>IF(ISNUMBER(SEARCH('Area Summary'!$E$3,B120)),MAX(A$1:$B119)+1,0)</f>
        <v>119</v>
      </c>
      <c r="B120" s="284" t="s">
        <v>11860</v>
      </c>
      <c r="D120" s="5" t="str">
        <f ca="1"/>
        <v>Hillingdon</v>
      </c>
      <c r="E120" s="192" t="str">
        <f>IFERROR(VLOOKUP(ROWS($E$2:E120),$A$2:$B$307,2,0),"")</f>
        <v>Hillingdon</v>
      </c>
    </row>
    <row r="121" spans="1:5" x14ac:dyDescent="0.35">
      <c r="A121" s="189">
        <f>IF(ISNUMBER(SEARCH('Area Summary'!$E$3,B121)),MAX(A$1:$B120)+1,0)</f>
        <v>120</v>
      </c>
      <c r="B121" s="284" t="s">
        <v>6538</v>
      </c>
      <c r="D121" s="5" t="str">
        <f ca="1"/>
        <v>Hinckley and Bosworth</v>
      </c>
      <c r="E121" s="192" t="str">
        <f>IFERROR(VLOOKUP(ROWS($E$2:E121),$A$2:$B$307,2,0),"")</f>
        <v>Hinckley and Bosworth</v>
      </c>
    </row>
    <row r="122" spans="1:5" x14ac:dyDescent="0.35">
      <c r="A122" s="189">
        <f>IF(ISNUMBER(SEARCH('Area Summary'!$E$3,B122)),MAX(A$1:$B121)+1,0)</f>
        <v>121</v>
      </c>
      <c r="B122" s="284" t="s">
        <v>9071</v>
      </c>
      <c r="D122" s="5" t="str">
        <f ca="1"/>
        <v>Horsham</v>
      </c>
      <c r="E122" s="192" t="str">
        <f>IFERROR(VLOOKUP(ROWS($E$2:E122),$A$2:$B$307,2,0),"")</f>
        <v>Horsham</v>
      </c>
    </row>
    <row r="123" spans="1:5" x14ac:dyDescent="0.35">
      <c r="A123" s="189">
        <f>IF(ISNUMBER(SEARCH('Area Summary'!$E$3,B123)),MAX(A$1:$B122)+1,0)</f>
        <v>122</v>
      </c>
      <c r="B123" s="284" t="s">
        <v>11902</v>
      </c>
      <c r="D123" s="5" t="str">
        <f ca="1"/>
        <v>Hounslow</v>
      </c>
      <c r="E123" s="192" t="str">
        <f>IFERROR(VLOOKUP(ROWS($E$2:E123),$A$2:$B$307,2,0),"")</f>
        <v>Hounslow</v>
      </c>
    </row>
    <row r="124" spans="1:5" x14ac:dyDescent="0.35">
      <c r="A124" s="189">
        <f>IF(ISNUMBER(SEARCH('Area Summary'!$E$3,B124)),MAX(A$1:$B123)+1,0)</f>
        <v>123</v>
      </c>
      <c r="B124" s="284" t="s">
        <v>3042</v>
      </c>
      <c r="D124" s="5" t="str">
        <f ca="1"/>
        <v>Huntingdonshire</v>
      </c>
      <c r="E124" s="192" t="str">
        <f>IFERROR(VLOOKUP(ROWS($E$2:E124),$A$2:$B$307,2,0),"")</f>
        <v>Huntingdonshire</v>
      </c>
    </row>
    <row r="125" spans="1:5" x14ac:dyDescent="0.35">
      <c r="A125" s="189">
        <f>IF(ISNUMBER(SEARCH('Area Summary'!$E$3,B125)),MAX(A$1:$B124)+1,0)</f>
        <v>124</v>
      </c>
      <c r="B125" s="284" t="s">
        <v>6036</v>
      </c>
      <c r="D125" s="5" t="str">
        <f ca="1"/>
        <v>Hyndburn</v>
      </c>
      <c r="E125" s="192" t="str">
        <f>IFERROR(VLOOKUP(ROWS($E$2:E125),$A$2:$B$307,2,0),"")</f>
        <v>Hyndburn</v>
      </c>
    </row>
    <row r="126" spans="1:5" x14ac:dyDescent="0.35">
      <c r="A126" s="189">
        <f>IF(ISNUMBER(SEARCH('Area Summary'!$E$3,B126)),MAX(A$1:$B125)+1,0)</f>
        <v>125</v>
      </c>
      <c r="B126" s="284" t="s">
        <v>8162</v>
      </c>
      <c r="D126" s="5" t="str">
        <f ca="1"/>
        <v>Ipswich</v>
      </c>
      <c r="E126" s="192" t="str">
        <f>IFERROR(VLOOKUP(ROWS($E$2:E126),$A$2:$B$307,2,0),"")</f>
        <v>Ipswich</v>
      </c>
    </row>
    <row r="127" spans="1:5" x14ac:dyDescent="0.35">
      <c r="A127" s="189">
        <f>IF(ISNUMBER(SEARCH('Area Summary'!$E$3,B127)),MAX(A$1:$B126)+1,0)</f>
        <v>126</v>
      </c>
      <c r="B127" s="284" t="s">
        <v>2095</v>
      </c>
      <c r="D127" s="5" t="str">
        <f ca="1"/>
        <v>Isle of Wight</v>
      </c>
      <c r="E127" s="192" t="str">
        <f>IFERROR(VLOOKUP(ROWS($E$2:E127),$A$2:$B$307,2,0),"")</f>
        <v>Isle of Wight</v>
      </c>
    </row>
    <row r="128" spans="1:5" x14ac:dyDescent="0.35">
      <c r="A128" s="189">
        <f>IF(ISNUMBER(SEARCH('Area Summary'!$E$3,B128)),MAX(A$1:$B127)+1,0)</f>
        <v>127</v>
      </c>
      <c r="B128" s="284" t="s">
        <v>2347</v>
      </c>
      <c r="D128" s="5" t="str">
        <f ca="1"/>
        <v>Isles of Scilly</v>
      </c>
      <c r="E128" s="192" t="str">
        <f>IFERROR(VLOOKUP(ROWS($E$2:E128),$A$2:$B$307,2,0),"")</f>
        <v>Isles of Scilly</v>
      </c>
    </row>
    <row r="129" spans="1:5" x14ac:dyDescent="0.35">
      <c r="A129" s="189">
        <f>IF(ISNUMBER(SEARCH('Area Summary'!$E$3,B129)),MAX(A$1:$B128)+1,0)</f>
        <v>128</v>
      </c>
      <c r="B129" s="284" t="s">
        <v>11944</v>
      </c>
      <c r="D129" s="5" t="str">
        <f ca="1"/>
        <v>Islington</v>
      </c>
      <c r="E129" s="192" t="str">
        <f>IFERROR(VLOOKUP(ROWS($E$2:E129),$A$2:$B$307,2,0),"")</f>
        <v>Islington</v>
      </c>
    </row>
    <row r="130" spans="1:5" x14ac:dyDescent="0.35">
      <c r="A130" s="189">
        <f>IF(ISNUMBER(SEARCH('Area Summary'!$E$3,B130)),MAX(A$1:$B129)+1,0)</f>
        <v>129</v>
      </c>
      <c r="B130" s="284" t="s">
        <v>11986</v>
      </c>
      <c r="D130" s="5" t="str">
        <f ca="1"/>
        <v>Kensington and Chelsea</v>
      </c>
      <c r="E130" s="192" t="str">
        <f>IFERROR(VLOOKUP(ROWS($E$2:E130),$A$2:$B$307,2,0),"")</f>
        <v>Kensington and Chelsea</v>
      </c>
    </row>
    <row r="131" spans="1:5" x14ac:dyDescent="0.35">
      <c r="A131" s="189">
        <f>IF(ISNUMBER(SEARCH('Area Summary'!$E$3,B131)),MAX(A$1:$B130)+1,0)</f>
        <v>130</v>
      </c>
      <c r="B131" s="284" t="s">
        <v>7125</v>
      </c>
      <c r="D131" s="5" t="str">
        <f ca="1"/>
        <v>King's Lynn and West Norfolk</v>
      </c>
      <c r="E131" s="192" t="str">
        <f>IFERROR(VLOOKUP(ROWS($E$2:E131),$A$2:$B$307,2,0),"")</f>
        <v>King's Lynn and West Norfolk</v>
      </c>
    </row>
    <row r="132" spans="1:5" x14ac:dyDescent="0.35">
      <c r="A132" s="189">
        <f>IF(ISNUMBER(SEARCH('Area Summary'!$E$3,B132)),MAX(A$1:$B131)+1,0)</f>
        <v>131</v>
      </c>
      <c r="B132" s="284" t="s">
        <v>687</v>
      </c>
      <c r="D132" s="5" t="str">
        <f ca="1"/>
        <v>Kingston upon Hull, City of</v>
      </c>
      <c r="E132" s="192" t="str">
        <f>IFERROR(VLOOKUP(ROWS($E$2:E132),$A$2:$B$307,2,0),"")</f>
        <v>Kingston upon Hull, City of</v>
      </c>
    </row>
    <row r="133" spans="1:5" x14ac:dyDescent="0.35">
      <c r="A133" s="189">
        <f>IF(ISNUMBER(SEARCH('Area Summary'!$E$3,B133)),MAX(A$1:$B132)+1,0)</f>
        <v>132</v>
      </c>
      <c r="B133" s="284" t="s">
        <v>12028</v>
      </c>
      <c r="D133" s="5" t="str">
        <f ca="1"/>
        <v>Kingston upon Thames</v>
      </c>
      <c r="E133" s="192" t="str">
        <f>IFERROR(VLOOKUP(ROWS($E$2:E133),$A$2:$B$307,2,0),"")</f>
        <v>Kingston upon Thames</v>
      </c>
    </row>
    <row r="134" spans="1:5" x14ac:dyDescent="0.35">
      <c r="A134" s="189">
        <f>IF(ISNUMBER(SEARCH('Area Summary'!$E$3,B134)),MAX(A$1:$B133)+1,0)</f>
        <v>133</v>
      </c>
      <c r="B134" s="284" t="s">
        <v>11020</v>
      </c>
      <c r="D134" s="5" t="str">
        <f ca="1"/>
        <v>Kirklees</v>
      </c>
      <c r="E134" s="192" t="str">
        <f>IFERROR(VLOOKUP(ROWS($E$2:E134),$A$2:$B$307,2,0),"")</f>
        <v>Kirklees</v>
      </c>
    </row>
    <row r="135" spans="1:5" x14ac:dyDescent="0.35">
      <c r="A135" s="189">
        <f>IF(ISNUMBER(SEARCH('Area Summary'!$E$3,B135)),MAX(A$1:$B134)+1,0)</f>
        <v>134</v>
      </c>
      <c r="B135" s="284" t="s">
        <v>10101</v>
      </c>
      <c r="D135" s="5" t="str">
        <f ca="1"/>
        <v>Knowsley</v>
      </c>
      <c r="E135" s="192" t="str">
        <f>IFERROR(VLOOKUP(ROWS($E$2:E135),$A$2:$B$307,2,0),"")</f>
        <v>Knowsley</v>
      </c>
    </row>
    <row r="136" spans="1:5" x14ac:dyDescent="0.35">
      <c r="A136" s="189">
        <f>IF(ISNUMBER(SEARCH('Area Summary'!$E$3,B136)),MAX(A$1:$B135)+1,0)</f>
        <v>135</v>
      </c>
      <c r="B136" s="284" t="s">
        <v>12072</v>
      </c>
      <c r="D136" s="5" t="str">
        <f ca="1"/>
        <v>Lambeth</v>
      </c>
      <c r="E136" s="192" t="str">
        <f>IFERROR(VLOOKUP(ROWS($E$2:E136),$A$2:$B$307,2,0),"")</f>
        <v>Lambeth</v>
      </c>
    </row>
    <row r="137" spans="1:5" x14ac:dyDescent="0.35">
      <c r="A137" s="189">
        <f>IF(ISNUMBER(SEARCH('Area Summary'!$E$3,B137)),MAX(A$1:$B136)+1,0)</f>
        <v>136</v>
      </c>
      <c r="B137" s="284" t="s">
        <v>6078</v>
      </c>
      <c r="D137" s="5" t="str">
        <f ca="1"/>
        <v>Lancaster</v>
      </c>
      <c r="E137" s="192" t="str">
        <f>IFERROR(VLOOKUP(ROWS($E$2:E137),$A$2:$B$307,2,0),"")</f>
        <v>Lancaster</v>
      </c>
    </row>
    <row r="138" spans="1:5" x14ac:dyDescent="0.35">
      <c r="A138" s="189">
        <f>IF(ISNUMBER(SEARCH('Area Summary'!$E$3,B138)),MAX(A$1:$B137)+1,0)</f>
        <v>137</v>
      </c>
      <c r="B138" s="284" t="s">
        <v>11062</v>
      </c>
      <c r="D138" s="5" t="str">
        <f ca="1"/>
        <v>Leeds</v>
      </c>
      <c r="E138" s="192" t="str">
        <f>IFERROR(VLOOKUP(ROWS($E$2:E138),$A$2:$B$307,2,0),"")</f>
        <v>Leeds</v>
      </c>
    </row>
    <row r="139" spans="1:5" x14ac:dyDescent="0.35">
      <c r="A139" s="189">
        <f>IF(ISNUMBER(SEARCH('Area Summary'!$E$3,B139)),MAX(A$1:$B138)+1,0)</f>
        <v>138</v>
      </c>
      <c r="B139" s="284" t="s">
        <v>940</v>
      </c>
      <c r="D139" s="5" t="str">
        <f ca="1"/>
        <v>Leicester</v>
      </c>
      <c r="E139" s="192" t="str">
        <f>IFERROR(VLOOKUP(ROWS($E$2:E139),$A$2:$B$307,2,0),"")</f>
        <v>Leicester</v>
      </c>
    </row>
    <row r="140" spans="1:5" x14ac:dyDescent="0.35">
      <c r="A140" s="189">
        <f>IF(ISNUMBER(SEARCH('Area Summary'!$E$3,B140)),MAX(A$1:$B139)+1,0)</f>
        <v>139</v>
      </c>
      <c r="B140" s="284" t="s">
        <v>3879</v>
      </c>
      <c r="D140" s="5" t="str">
        <f ca="1"/>
        <v>Lewes</v>
      </c>
      <c r="E140" s="192" t="str">
        <f>IFERROR(VLOOKUP(ROWS($E$2:E140),$A$2:$B$307,2,0),"")</f>
        <v>Lewes</v>
      </c>
    </row>
    <row r="141" spans="1:5" x14ac:dyDescent="0.35">
      <c r="A141" s="189">
        <f>IF(ISNUMBER(SEARCH('Area Summary'!$E$3,B141)),MAX(A$1:$B140)+1,0)</f>
        <v>140</v>
      </c>
      <c r="B141" s="284" t="s">
        <v>12114</v>
      </c>
      <c r="D141" s="5" t="str">
        <f ca="1"/>
        <v>Lewisham</v>
      </c>
      <c r="E141" s="192" t="str">
        <f>IFERROR(VLOOKUP(ROWS($E$2:E141),$A$2:$B$307,2,0),"")</f>
        <v>Lewisham</v>
      </c>
    </row>
    <row r="142" spans="1:5" x14ac:dyDescent="0.35">
      <c r="A142" s="189">
        <f>IF(ISNUMBER(SEARCH('Area Summary'!$E$3,B142)),MAX(A$1:$B141)+1,0)</f>
        <v>141</v>
      </c>
      <c r="B142" s="284" t="s">
        <v>7871</v>
      </c>
      <c r="D142" s="5" t="str">
        <f ca="1"/>
        <v>Lichfield</v>
      </c>
      <c r="E142" s="192" t="str">
        <f>IFERROR(VLOOKUP(ROWS($E$2:E142),$A$2:$B$307,2,0),"")</f>
        <v>Lichfield</v>
      </c>
    </row>
    <row r="143" spans="1:5" x14ac:dyDescent="0.35">
      <c r="A143" s="189">
        <f>IF(ISNUMBER(SEARCH('Area Summary'!$E$3,B143)),MAX(A$1:$B142)+1,0)</f>
        <v>142</v>
      </c>
      <c r="B143" s="284" t="s">
        <v>6790</v>
      </c>
      <c r="D143" s="5" t="str">
        <f ca="1"/>
        <v>Lincoln</v>
      </c>
      <c r="E143" s="192" t="str">
        <f>IFERROR(VLOOKUP(ROWS($E$2:E143),$A$2:$B$307,2,0),"")</f>
        <v>Lincoln</v>
      </c>
    </row>
    <row r="144" spans="1:5" x14ac:dyDescent="0.35">
      <c r="A144" s="189">
        <f>IF(ISNUMBER(SEARCH('Area Summary'!$E$3,B144)),MAX(A$1:$B143)+1,0)</f>
        <v>143</v>
      </c>
      <c r="B144" s="284" t="s">
        <v>10143</v>
      </c>
      <c r="D144" s="5" t="str">
        <f ca="1"/>
        <v>Liverpool</v>
      </c>
      <c r="E144" s="192" t="str">
        <f>IFERROR(VLOOKUP(ROWS($E$2:E144),$A$2:$B$307,2,0),"")</f>
        <v>Liverpool</v>
      </c>
    </row>
    <row r="145" spans="1:5" x14ac:dyDescent="0.35">
      <c r="A145" s="189">
        <f>IF(ISNUMBER(SEARCH('Area Summary'!$E$3,B145)),MAX(A$1:$B144)+1,0)</f>
        <v>144</v>
      </c>
      <c r="B145" s="284" t="s">
        <v>1519</v>
      </c>
      <c r="D145" s="5" t="str">
        <f ca="1"/>
        <v>Luton</v>
      </c>
      <c r="E145" s="192" t="str">
        <f>IFERROR(VLOOKUP(ROWS($E$2:E145),$A$2:$B$307,2,0),"")</f>
        <v>Luton</v>
      </c>
    </row>
    <row r="146" spans="1:5" x14ac:dyDescent="0.35">
      <c r="A146" s="189">
        <f>IF(ISNUMBER(SEARCH('Area Summary'!$E$3,B146)),MAX(A$1:$B145)+1,0)</f>
        <v>145</v>
      </c>
      <c r="B146" s="284" t="s">
        <v>5636</v>
      </c>
      <c r="D146" s="5" t="str">
        <f ca="1"/>
        <v>Maidstone</v>
      </c>
      <c r="E146" s="192" t="str">
        <f>IFERROR(VLOOKUP(ROWS($E$2:E146),$A$2:$B$307,2,0),"")</f>
        <v>Maidstone</v>
      </c>
    </row>
    <row r="147" spans="1:5" x14ac:dyDescent="0.35">
      <c r="A147" s="189">
        <f>IF(ISNUMBER(SEARCH('Area Summary'!$E$3,B147)),MAX(A$1:$B146)+1,0)</f>
        <v>146</v>
      </c>
      <c r="B147" s="284" t="s">
        <v>4340</v>
      </c>
      <c r="D147" s="5" t="str">
        <f ca="1"/>
        <v>Maldon</v>
      </c>
      <c r="E147" s="192" t="str">
        <f>IFERROR(VLOOKUP(ROWS($E$2:E147),$A$2:$B$307,2,0),"")</f>
        <v>Maldon</v>
      </c>
    </row>
    <row r="148" spans="1:5" x14ac:dyDescent="0.35">
      <c r="A148" s="189">
        <f>IF(ISNUMBER(SEARCH('Area Summary'!$E$3,B148)),MAX(A$1:$B147)+1,0)</f>
        <v>147</v>
      </c>
      <c r="B148" s="284" t="s">
        <v>9230</v>
      </c>
      <c r="D148" s="5" t="str">
        <f ca="1"/>
        <v>Malvern Hills</v>
      </c>
      <c r="E148" s="192" t="str">
        <f>IFERROR(VLOOKUP(ROWS($E$2:E148),$A$2:$B$307,2,0),"")</f>
        <v>Malvern Hills</v>
      </c>
    </row>
    <row r="149" spans="1:5" x14ac:dyDescent="0.35">
      <c r="A149" s="189">
        <f>IF(ISNUMBER(SEARCH('Area Summary'!$E$3,B149)),MAX(A$1:$B148)+1,0)</f>
        <v>148</v>
      </c>
      <c r="B149" s="284" t="s">
        <v>9769</v>
      </c>
      <c r="D149" s="5" t="str">
        <f ca="1"/>
        <v>Manchester</v>
      </c>
      <c r="E149" s="192" t="str">
        <f>IFERROR(VLOOKUP(ROWS($E$2:E149),$A$2:$B$307,2,0),"")</f>
        <v>Manchester</v>
      </c>
    </row>
    <row r="150" spans="1:5" x14ac:dyDescent="0.35">
      <c r="A150" s="189">
        <f>IF(ISNUMBER(SEARCH('Area Summary'!$E$3,B150)),MAX(A$1:$B149)+1,0)</f>
        <v>149</v>
      </c>
      <c r="B150" s="284" t="s">
        <v>7461</v>
      </c>
      <c r="D150" s="5" t="str">
        <f ca="1"/>
        <v>Mansfield</v>
      </c>
      <c r="E150" s="192" t="str">
        <f>IFERROR(VLOOKUP(ROWS($E$2:E150),$A$2:$B$307,2,0),"")</f>
        <v>Mansfield</v>
      </c>
    </row>
    <row r="151" spans="1:5" x14ac:dyDescent="0.35">
      <c r="A151" s="189">
        <f>IF(ISNUMBER(SEARCH('Area Summary'!$E$3,B151)),MAX(A$1:$B150)+1,0)</f>
        <v>150</v>
      </c>
      <c r="B151" s="284" t="s">
        <v>1643</v>
      </c>
      <c r="D151" s="5" t="str">
        <f ca="1"/>
        <v>Medway</v>
      </c>
      <c r="E151" s="192" t="str">
        <f>IFERROR(VLOOKUP(ROWS($E$2:E151),$A$2:$B$307,2,0),"")</f>
        <v>Medway</v>
      </c>
    </row>
    <row r="152" spans="1:5" x14ac:dyDescent="0.35">
      <c r="A152" s="189">
        <f>IF(ISNUMBER(SEARCH('Area Summary'!$E$3,B152)),MAX(A$1:$B151)+1,0)</f>
        <v>151</v>
      </c>
      <c r="B152" s="284" t="s">
        <v>6580</v>
      </c>
      <c r="D152" s="5" t="str">
        <f ca="1"/>
        <v>Melton</v>
      </c>
      <c r="E152" s="192" t="str">
        <f>IFERROR(VLOOKUP(ROWS($E$2:E152),$A$2:$B$307,2,0),"")</f>
        <v>Melton</v>
      </c>
    </row>
    <row r="153" spans="1:5" x14ac:dyDescent="0.35">
      <c r="A153" s="189">
        <f>IF(ISNUMBER(SEARCH('Area Summary'!$E$3,B153)),MAX(A$1:$B152)+1,0)</f>
        <v>152</v>
      </c>
      <c r="B153" s="284" t="s">
        <v>12156</v>
      </c>
      <c r="D153" s="5" t="str">
        <f ca="1"/>
        <v>Merton</v>
      </c>
      <c r="E153" s="192" t="str">
        <f>IFERROR(VLOOKUP(ROWS($E$2:E153),$A$2:$B$307,2,0),"")</f>
        <v>Merton</v>
      </c>
    </row>
    <row r="154" spans="1:5" x14ac:dyDescent="0.35">
      <c r="A154" s="189">
        <f>IF(ISNUMBER(SEARCH('Area Summary'!$E$3,B154)),MAX(A$1:$B153)+1,0)</f>
        <v>153</v>
      </c>
      <c r="B154" s="284" t="s">
        <v>3546</v>
      </c>
      <c r="D154" s="5" t="str">
        <f ca="1"/>
        <v>Mid Devon</v>
      </c>
      <c r="E154" s="192" t="str">
        <f>IFERROR(VLOOKUP(ROWS($E$2:E154),$A$2:$B$307,2,0),"")</f>
        <v>Mid Devon</v>
      </c>
    </row>
    <row r="155" spans="1:5" x14ac:dyDescent="0.35">
      <c r="A155" s="189">
        <f>IF(ISNUMBER(SEARCH('Area Summary'!$E$3,B155)),MAX(A$1:$B154)+1,0)</f>
        <v>154</v>
      </c>
      <c r="B155" s="284" t="s">
        <v>8204</v>
      </c>
      <c r="D155" s="5" t="str">
        <f ca="1"/>
        <v>Mid Suffolk</v>
      </c>
      <c r="E155" s="192" t="str">
        <f>IFERROR(VLOOKUP(ROWS($E$2:E155),$A$2:$B$307,2,0),"")</f>
        <v>Mid Suffolk</v>
      </c>
    </row>
    <row r="156" spans="1:5" x14ac:dyDescent="0.35">
      <c r="A156" s="189">
        <f>IF(ISNUMBER(SEARCH('Area Summary'!$E$3,B156)),MAX(A$1:$B155)+1,0)</f>
        <v>155</v>
      </c>
      <c r="B156" s="284" t="s">
        <v>9113</v>
      </c>
      <c r="D156" s="5" t="str">
        <f ca="1"/>
        <v>Mid Sussex</v>
      </c>
      <c r="E156" s="192" t="str">
        <f>IFERROR(VLOOKUP(ROWS($E$2:E156),$A$2:$B$307,2,0),"")</f>
        <v>Mid Sussex</v>
      </c>
    </row>
    <row r="157" spans="1:5" x14ac:dyDescent="0.35">
      <c r="A157" s="189">
        <f>IF(ISNUMBER(SEARCH('Area Summary'!$E$3,B157)),MAX(A$1:$B156)+1,0)</f>
        <v>156</v>
      </c>
      <c r="B157" s="284" t="s">
        <v>352</v>
      </c>
      <c r="D157" s="5" t="str">
        <f ca="1"/>
        <v>Middlesbrough</v>
      </c>
      <c r="E157" s="192" t="str">
        <f>IFERROR(VLOOKUP(ROWS($E$2:E157),$A$2:$B$307,2,0),"")</f>
        <v>Middlesbrough</v>
      </c>
    </row>
    <row r="158" spans="1:5" x14ac:dyDescent="0.35">
      <c r="A158" s="189">
        <f>IF(ISNUMBER(SEARCH('Area Summary'!$E$3,B158)),MAX(A$1:$B157)+1,0)</f>
        <v>157</v>
      </c>
      <c r="B158" s="284" t="s">
        <v>1927</v>
      </c>
      <c r="D158" s="5" t="str">
        <f ca="1"/>
        <v>Milton Keynes</v>
      </c>
      <c r="E158" s="192" t="str">
        <f>IFERROR(VLOOKUP(ROWS($E$2:E158),$A$2:$B$307,2,0),"")</f>
        <v>Milton Keynes</v>
      </c>
    </row>
    <row r="159" spans="1:5" x14ac:dyDescent="0.35">
      <c r="A159" s="189">
        <f>IF(ISNUMBER(SEARCH('Area Summary'!$E$3,B159)),MAX(A$1:$B158)+1,0)</f>
        <v>158</v>
      </c>
      <c r="B159" s="284" t="s">
        <v>8372</v>
      </c>
      <c r="D159" s="5" t="str">
        <f ca="1"/>
        <v>Mole Valley</v>
      </c>
      <c r="E159" s="192" t="str">
        <f>IFERROR(VLOOKUP(ROWS($E$2:E159),$A$2:$B$307,2,0),"")</f>
        <v>Mole Valley</v>
      </c>
    </row>
    <row r="160" spans="1:5" x14ac:dyDescent="0.35">
      <c r="A160" s="189">
        <f>IF(ISNUMBER(SEARCH('Area Summary'!$E$3,B160)),MAX(A$1:$B159)+1,0)</f>
        <v>159</v>
      </c>
      <c r="B160" s="284" t="s">
        <v>5026</v>
      </c>
      <c r="D160" s="5" t="str">
        <f ca="1"/>
        <v>New Forest</v>
      </c>
      <c r="E160" s="192" t="str">
        <f>IFERROR(VLOOKUP(ROWS($E$2:E160),$A$2:$B$307,2,0),"")</f>
        <v>New Forest</v>
      </c>
    </row>
    <row r="161" spans="1:5" x14ac:dyDescent="0.35">
      <c r="A161" s="189">
        <f>IF(ISNUMBER(SEARCH('Area Summary'!$E$3,B161)),MAX(A$1:$B160)+1,0)</f>
        <v>160</v>
      </c>
      <c r="B161" s="284" t="s">
        <v>7503</v>
      </c>
      <c r="D161" s="5" t="str">
        <f ca="1"/>
        <v>Newark and Sherwood</v>
      </c>
      <c r="E161" s="192" t="str">
        <f>IFERROR(VLOOKUP(ROWS($E$2:E161),$A$2:$B$307,2,0),"")</f>
        <v>Newark and Sherwood</v>
      </c>
    </row>
    <row r="162" spans="1:5" x14ac:dyDescent="0.35">
      <c r="A162" s="189">
        <f>IF(ISNUMBER(SEARCH('Area Summary'!$E$3,B162)),MAX(A$1:$B161)+1,0)</f>
        <v>161</v>
      </c>
      <c r="B162" s="284" t="s">
        <v>10477</v>
      </c>
      <c r="D162" s="5" t="str">
        <f ca="1"/>
        <v>Newcastle upon Tyne</v>
      </c>
      <c r="E162" s="192" t="str">
        <f>IFERROR(VLOOKUP(ROWS($E$2:E162),$A$2:$B$307,2,0),"")</f>
        <v>Newcastle upon Tyne</v>
      </c>
    </row>
    <row r="163" spans="1:5" x14ac:dyDescent="0.35">
      <c r="A163" s="189">
        <f>IF(ISNUMBER(SEARCH('Area Summary'!$E$3,B163)),MAX(A$1:$B162)+1,0)</f>
        <v>162</v>
      </c>
      <c r="B163" s="284" t="s">
        <v>7913</v>
      </c>
      <c r="D163" s="5" t="str">
        <f ca="1"/>
        <v>Newcastle-under-Lyme</v>
      </c>
      <c r="E163" s="192" t="str">
        <f>IFERROR(VLOOKUP(ROWS($E$2:E163),$A$2:$B$307,2,0),"")</f>
        <v>Newcastle-under-Lyme</v>
      </c>
    </row>
    <row r="164" spans="1:5" x14ac:dyDescent="0.35">
      <c r="A164" s="189">
        <f>IF(ISNUMBER(SEARCH('Area Summary'!$E$3,B164)),MAX(A$1:$B163)+1,0)</f>
        <v>163</v>
      </c>
      <c r="B164" s="284" t="s">
        <v>12198</v>
      </c>
      <c r="D164" s="5" t="str">
        <f ca="1"/>
        <v>Newham</v>
      </c>
      <c r="E164" s="192" t="str">
        <f>IFERROR(VLOOKUP(ROWS($E$2:E164),$A$2:$B$307,2,0),"")</f>
        <v>Newham</v>
      </c>
    </row>
    <row r="165" spans="1:5" x14ac:dyDescent="0.35">
      <c r="A165" s="189">
        <f>IF(ISNUMBER(SEARCH('Area Summary'!$E$3,B165)),MAX(A$1:$B164)+1,0)</f>
        <v>164</v>
      </c>
      <c r="B165" s="284" t="s">
        <v>3588</v>
      </c>
      <c r="D165" s="5" t="str">
        <f ca="1"/>
        <v>North Devon</v>
      </c>
      <c r="E165" s="192" t="str">
        <f>IFERROR(VLOOKUP(ROWS($E$2:E165),$A$2:$B$307,2,0),"")</f>
        <v>North Devon</v>
      </c>
    </row>
    <row r="166" spans="1:5" x14ac:dyDescent="0.35">
      <c r="A166" s="189">
        <f>IF(ISNUMBER(SEARCH('Area Summary'!$E$3,B166)),MAX(A$1:$B165)+1,0)</f>
        <v>165</v>
      </c>
      <c r="B166" s="284" t="s">
        <v>3378</v>
      </c>
      <c r="D166" s="5" t="str">
        <f ca="1"/>
        <v>North East Derbyshire</v>
      </c>
      <c r="E166" s="192" t="str">
        <f>IFERROR(VLOOKUP(ROWS($E$2:E166),$A$2:$B$307,2,0),"")</f>
        <v>North East Derbyshire</v>
      </c>
    </row>
    <row r="167" spans="1:5" x14ac:dyDescent="0.35">
      <c r="A167" s="189">
        <f>IF(ISNUMBER(SEARCH('Area Summary'!$E$3,B167)),MAX(A$1:$B166)+1,0)</f>
        <v>166</v>
      </c>
      <c r="B167" s="284" t="s">
        <v>772</v>
      </c>
      <c r="D167" s="5" t="str">
        <f ca="1"/>
        <v>North East Lincolnshire</v>
      </c>
      <c r="E167" s="192" t="str">
        <f>IFERROR(VLOOKUP(ROWS($E$2:E167),$A$2:$B$307,2,0),"")</f>
        <v>North East Lincolnshire</v>
      </c>
    </row>
    <row r="168" spans="1:5" x14ac:dyDescent="0.35">
      <c r="A168" s="189">
        <f>IF(ISNUMBER(SEARCH('Area Summary'!$E$3,B168)),MAX(A$1:$B167)+1,0)</f>
        <v>167</v>
      </c>
      <c r="B168" s="284" t="s">
        <v>5310</v>
      </c>
      <c r="D168" s="5" t="str">
        <f ca="1"/>
        <v>North Hertfordshire</v>
      </c>
      <c r="E168" s="192" t="str">
        <f>IFERROR(VLOOKUP(ROWS($E$2:E168),$A$2:$B$307,2,0),"")</f>
        <v>North Hertfordshire</v>
      </c>
    </row>
    <row r="169" spans="1:5" x14ac:dyDescent="0.35">
      <c r="A169" s="189">
        <f>IF(ISNUMBER(SEARCH('Area Summary'!$E$3,B169)),MAX(A$1:$B168)+1,0)</f>
        <v>168</v>
      </c>
      <c r="B169" s="284" t="s">
        <v>6832</v>
      </c>
      <c r="D169" s="5" t="str">
        <f ca="1"/>
        <v>North Kesteven</v>
      </c>
      <c r="E169" s="192" t="str">
        <f>IFERROR(VLOOKUP(ROWS($E$2:E169),$A$2:$B$307,2,0),"")</f>
        <v>North Kesteven</v>
      </c>
    </row>
    <row r="170" spans="1:5" x14ac:dyDescent="0.35">
      <c r="A170" s="189">
        <f>IF(ISNUMBER(SEARCH('Area Summary'!$E$3,B170)),MAX(A$1:$B169)+1,0)</f>
        <v>169</v>
      </c>
      <c r="B170" s="284" t="s">
        <v>814</v>
      </c>
      <c r="D170" s="5" t="str">
        <f ca="1"/>
        <v>North Lincolnshire</v>
      </c>
      <c r="E170" s="192" t="str">
        <f>IFERROR(VLOOKUP(ROWS($E$2:E170),$A$2:$B$307,2,0),"")</f>
        <v>North Lincolnshire</v>
      </c>
    </row>
    <row r="171" spans="1:5" x14ac:dyDescent="0.35">
      <c r="A171" s="189">
        <f>IF(ISNUMBER(SEARCH('Area Summary'!$E$3,B171)),MAX(A$1:$B170)+1,0)</f>
        <v>170</v>
      </c>
      <c r="B171" s="284" t="s">
        <v>7167</v>
      </c>
      <c r="D171" s="5" t="str">
        <f ca="1"/>
        <v>North Norfolk</v>
      </c>
      <c r="E171" s="192" t="str">
        <f>IFERROR(VLOOKUP(ROWS($E$2:E171),$A$2:$B$307,2,0),"")</f>
        <v>North Norfolk</v>
      </c>
    </row>
    <row r="172" spans="1:5" x14ac:dyDescent="0.35">
      <c r="A172" s="189">
        <f>IF(ISNUMBER(SEARCH('Area Summary'!$E$3,B172)),MAX(A$1:$B171)+1,0)</f>
        <v>171</v>
      </c>
      <c r="B172" s="284" t="s">
        <v>2674</v>
      </c>
      <c r="D172" s="5" t="str">
        <f ca="1"/>
        <v>North Northamptonshire</v>
      </c>
      <c r="E172" s="192" t="str">
        <f>IFERROR(VLOOKUP(ROWS($E$2:E172),$A$2:$B$307,2,0),"")</f>
        <v>North Northamptonshire</v>
      </c>
    </row>
    <row r="173" spans="1:5" x14ac:dyDescent="0.35">
      <c r="A173" s="189">
        <f>IF(ISNUMBER(SEARCH('Area Summary'!$E$3,B173)),MAX(A$1:$B172)+1,0)</f>
        <v>172</v>
      </c>
      <c r="B173" s="284" t="s">
        <v>1268</v>
      </c>
      <c r="D173" s="5" t="str">
        <f ca="1"/>
        <v>North Somerset</v>
      </c>
      <c r="E173" s="192" t="str">
        <f>IFERROR(VLOOKUP(ROWS($E$2:E173),$A$2:$B$307,2,0),"")</f>
        <v>North Somerset</v>
      </c>
    </row>
    <row r="174" spans="1:5" x14ac:dyDescent="0.35">
      <c r="A174" s="189">
        <f>IF(ISNUMBER(SEARCH('Area Summary'!$E$3,B174)),MAX(A$1:$B173)+1,0)</f>
        <v>173</v>
      </c>
      <c r="B174" s="284" t="s">
        <v>10519</v>
      </c>
      <c r="D174" s="5" t="str">
        <f ca="1"/>
        <v>North Tyneside</v>
      </c>
      <c r="E174" s="192" t="str">
        <f>IFERROR(VLOOKUP(ROWS($E$2:E174),$A$2:$B$307,2,0),"")</f>
        <v>North Tyneside</v>
      </c>
    </row>
    <row r="175" spans="1:5" x14ac:dyDescent="0.35">
      <c r="A175" s="189">
        <f>IF(ISNUMBER(SEARCH('Area Summary'!$E$3,B175)),MAX(A$1:$B174)+1,0)</f>
        <v>174</v>
      </c>
      <c r="B175" s="284" t="s">
        <v>8695</v>
      </c>
      <c r="D175" s="5" t="str">
        <f ca="1"/>
        <v>North Warwickshire</v>
      </c>
      <c r="E175" s="192" t="str">
        <f>IFERROR(VLOOKUP(ROWS($E$2:E175),$A$2:$B$307,2,0),"")</f>
        <v>North Warwickshire</v>
      </c>
    </row>
    <row r="176" spans="1:5" x14ac:dyDescent="0.35">
      <c r="A176" s="189">
        <f>IF(ISNUMBER(SEARCH('Area Summary'!$E$3,B176)),MAX(A$1:$B175)+1,0)</f>
        <v>175</v>
      </c>
      <c r="B176" s="284" t="s">
        <v>6622</v>
      </c>
      <c r="D176" s="5" t="str">
        <f ca="1"/>
        <v>North West Leicestershire</v>
      </c>
      <c r="E176" s="192" t="str">
        <f>IFERROR(VLOOKUP(ROWS($E$2:E176),$A$2:$B$307,2,0),"")</f>
        <v>North West Leicestershire</v>
      </c>
    </row>
    <row r="177" spans="1:5" x14ac:dyDescent="0.35">
      <c r="A177" s="189">
        <f>IF(ISNUMBER(SEARCH('Area Summary'!$E$3,B177)),MAX(A$1:$B176)+1,0)</f>
        <v>176</v>
      </c>
      <c r="B177" s="284" t="s">
        <v>2840</v>
      </c>
      <c r="D177" s="5" t="str">
        <f ca="1"/>
        <v>North Yorkshire</v>
      </c>
      <c r="E177" s="192" t="str">
        <f>IFERROR(VLOOKUP(ROWS($E$2:E177),$A$2:$B$307,2,0),"")</f>
        <v>North Yorkshire</v>
      </c>
    </row>
    <row r="178" spans="1:5" x14ac:dyDescent="0.35">
      <c r="A178" s="189">
        <f>IF(ISNUMBER(SEARCH('Area Summary'!$E$3,B178)),MAX(A$1:$B177)+1,0)</f>
        <v>177</v>
      </c>
      <c r="B178" s="284" t="s">
        <v>2506</v>
      </c>
      <c r="D178" s="5" t="str">
        <f ca="1"/>
        <v>Northumberland</v>
      </c>
      <c r="E178" s="192" t="str">
        <f>IFERROR(VLOOKUP(ROWS($E$2:E178),$A$2:$B$307,2,0),"")</f>
        <v>Northumberland</v>
      </c>
    </row>
    <row r="179" spans="1:5" x14ac:dyDescent="0.35">
      <c r="A179" s="189">
        <f>IF(ISNUMBER(SEARCH('Area Summary'!$E$3,B179)),MAX(A$1:$B178)+1,0)</f>
        <v>178</v>
      </c>
      <c r="B179" s="284" t="s">
        <v>7209</v>
      </c>
      <c r="D179" s="5" t="str">
        <f ca="1"/>
        <v>Norwich</v>
      </c>
      <c r="E179" s="192" t="str">
        <f>IFERROR(VLOOKUP(ROWS($E$2:E179),$A$2:$B$307,2,0),"")</f>
        <v>Norwich</v>
      </c>
    </row>
    <row r="180" spans="1:5" x14ac:dyDescent="0.35">
      <c r="A180" s="189">
        <f>IF(ISNUMBER(SEARCH('Area Summary'!$E$3,B180)),MAX(A$1:$B179)+1,0)</f>
        <v>179</v>
      </c>
      <c r="B180" s="284" t="s">
        <v>1016</v>
      </c>
      <c r="D180" s="5" t="str">
        <f ca="1"/>
        <v>Nottingham</v>
      </c>
      <c r="E180" s="192" t="str">
        <f>IFERROR(VLOOKUP(ROWS($E$2:E180),$A$2:$B$307,2,0),"")</f>
        <v>Nottingham</v>
      </c>
    </row>
    <row r="181" spans="1:5" x14ac:dyDescent="0.35">
      <c r="A181" s="189">
        <f>IF(ISNUMBER(SEARCH('Area Summary'!$E$3,B181)),MAX(A$1:$B180)+1,0)</f>
        <v>180</v>
      </c>
      <c r="B181" s="284" t="s">
        <v>8737</v>
      </c>
      <c r="D181" s="5" t="str">
        <f ca="1"/>
        <v>Nuneaton and Bedworth</v>
      </c>
      <c r="E181" s="192" t="str">
        <f>IFERROR(VLOOKUP(ROWS($E$2:E181),$A$2:$B$307,2,0),"")</f>
        <v>Nuneaton and Bedworth</v>
      </c>
    </row>
    <row r="182" spans="1:5" x14ac:dyDescent="0.35">
      <c r="A182" s="189">
        <f>IF(ISNUMBER(SEARCH('Area Summary'!$E$3,B182)),MAX(A$1:$B181)+1,0)</f>
        <v>181</v>
      </c>
      <c r="B182" s="284" t="s">
        <v>6664</v>
      </c>
      <c r="D182" s="5" t="str">
        <f ca="1"/>
        <v>Oadby and Wigston</v>
      </c>
      <c r="E182" s="192" t="str">
        <f>IFERROR(VLOOKUP(ROWS($E$2:E182),$A$2:$B$307,2,0),"")</f>
        <v>Oadby and Wigston</v>
      </c>
    </row>
    <row r="183" spans="1:5" x14ac:dyDescent="0.35">
      <c r="A183" s="189">
        <f>IF(ISNUMBER(SEARCH('Area Summary'!$E$3,B183)),MAX(A$1:$B182)+1,0)</f>
        <v>182</v>
      </c>
      <c r="B183" s="284" t="s">
        <v>9811</v>
      </c>
      <c r="D183" s="5" t="str">
        <f ca="1"/>
        <v>Oldham</v>
      </c>
      <c r="E183" s="192" t="str">
        <f>IFERROR(VLOOKUP(ROWS($E$2:E183),$A$2:$B$307,2,0),"")</f>
        <v>Oldham</v>
      </c>
    </row>
    <row r="184" spans="1:5" x14ac:dyDescent="0.35">
      <c r="A184" s="189">
        <f>IF(ISNUMBER(SEARCH('Area Summary'!$E$3,B184)),MAX(A$1:$B183)+1,0)</f>
        <v>183</v>
      </c>
      <c r="B184" s="284" t="s">
        <v>7629</v>
      </c>
      <c r="D184" s="5" t="str">
        <f ca="1"/>
        <v>Oxford</v>
      </c>
      <c r="E184" s="192" t="str">
        <f>IFERROR(VLOOKUP(ROWS($E$2:E184),$A$2:$B$307,2,0),"")</f>
        <v>Oxford</v>
      </c>
    </row>
    <row r="185" spans="1:5" x14ac:dyDescent="0.35">
      <c r="A185" s="189">
        <f>IF(ISNUMBER(SEARCH('Area Summary'!$E$3,B185)),MAX(A$1:$B184)+1,0)</f>
        <v>184</v>
      </c>
      <c r="B185" s="284" t="s">
        <v>6120</v>
      </c>
      <c r="D185" s="5" t="str">
        <f ca="1"/>
        <v>Pendle</v>
      </c>
      <c r="E185" s="192" t="str">
        <f>IFERROR(VLOOKUP(ROWS($E$2:E185),$A$2:$B$307,2,0),"")</f>
        <v>Pendle</v>
      </c>
    </row>
    <row r="186" spans="1:5" x14ac:dyDescent="0.35">
      <c r="A186" s="189">
        <f>IF(ISNUMBER(SEARCH('Area Summary'!$E$3,B186)),MAX(A$1:$B185)+1,0)</f>
        <v>185</v>
      </c>
      <c r="B186" s="284" t="s">
        <v>1476</v>
      </c>
      <c r="D186" s="5" t="str">
        <f ca="1"/>
        <v>Peterborough</v>
      </c>
      <c r="E186" s="192" t="str">
        <f>IFERROR(VLOOKUP(ROWS($E$2:E186),$A$2:$B$307,2,0),"")</f>
        <v>Peterborough</v>
      </c>
    </row>
    <row r="187" spans="1:5" x14ac:dyDescent="0.35">
      <c r="A187" s="189">
        <f>IF(ISNUMBER(SEARCH('Area Summary'!$E$3,B187)),MAX(A$1:$B186)+1,0)</f>
        <v>186</v>
      </c>
      <c r="B187" s="284" t="s">
        <v>1352</v>
      </c>
      <c r="D187" s="5" t="str">
        <f ca="1"/>
        <v>Plymouth</v>
      </c>
      <c r="E187" s="192" t="str">
        <f>IFERROR(VLOOKUP(ROWS($E$2:E187),$A$2:$B$307,2,0),"")</f>
        <v>Plymouth</v>
      </c>
    </row>
    <row r="188" spans="1:5" x14ac:dyDescent="0.35">
      <c r="A188" s="189">
        <f>IF(ISNUMBER(SEARCH('Area Summary'!$E$3,B188)),MAX(A$1:$B187)+1,0)</f>
        <v>187</v>
      </c>
      <c r="B188" s="284" t="s">
        <v>2011</v>
      </c>
      <c r="D188" s="5" t="str">
        <f ca="1"/>
        <v>Portsmouth</v>
      </c>
      <c r="E188" s="192" t="str">
        <f>IFERROR(VLOOKUP(ROWS($E$2:E188),$A$2:$B$307,2,0),"")</f>
        <v>Portsmouth</v>
      </c>
    </row>
    <row r="189" spans="1:5" x14ac:dyDescent="0.35">
      <c r="A189" s="189">
        <f>IF(ISNUMBER(SEARCH('Area Summary'!$E$3,B189)),MAX(A$1:$B188)+1,0)</f>
        <v>188</v>
      </c>
      <c r="B189" s="284" t="s">
        <v>6162</v>
      </c>
      <c r="D189" s="5" t="str">
        <f ca="1"/>
        <v>Preston</v>
      </c>
      <c r="E189" s="192" t="str">
        <f>IFERROR(VLOOKUP(ROWS($E$2:E189),$A$2:$B$307,2,0),"")</f>
        <v>Preston</v>
      </c>
    </row>
    <row r="190" spans="1:5" x14ac:dyDescent="0.35">
      <c r="A190" s="189">
        <f>IF(ISNUMBER(SEARCH('Area Summary'!$E$3,B190)),MAX(A$1:$B189)+1,0)</f>
        <v>189</v>
      </c>
      <c r="B190" s="284" t="s">
        <v>1761</v>
      </c>
      <c r="D190" s="5" t="str">
        <f ca="1"/>
        <v>Reading</v>
      </c>
      <c r="E190" s="192" t="str">
        <f>IFERROR(VLOOKUP(ROWS($E$2:E190),$A$2:$B$307,2,0),"")</f>
        <v>Reading</v>
      </c>
    </row>
    <row r="191" spans="1:5" x14ac:dyDescent="0.35">
      <c r="A191" s="189">
        <f>IF(ISNUMBER(SEARCH('Area Summary'!$E$3,B191)),MAX(A$1:$B190)+1,0)</f>
        <v>190</v>
      </c>
      <c r="B191" s="284" t="s">
        <v>12240</v>
      </c>
      <c r="D191" s="5" t="str">
        <f ca="1"/>
        <v>Redbridge</v>
      </c>
      <c r="E191" s="192" t="str">
        <f>IFERROR(VLOOKUP(ROWS($E$2:E191),$A$2:$B$307,2,0),"")</f>
        <v>Redbridge</v>
      </c>
    </row>
    <row r="192" spans="1:5" x14ac:dyDescent="0.35">
      <c r="A192" s="189">
        <f>IF(ISNUMBER(SEARCH('Area Summary'!$E$3,B192)),MAX(A$1:$B191)+1,0)</f>
        <v>191</v>
      </c>
      <c r="B192" s="284" t="s">
        <v>394</v>
      </c>
      <c r="D192" s="5" t="str">
        <f ca="1"/>
        <v>Redcar and Cleveland</v>
      </c>
      <c r="E192" s="192" t="str">
        <f>IFERROR(VLOOKUP(ROWS($E$2:E192),$A$2:$B$307,2,0),"")</f>
        <v>Redcar and Cleveland</v>
      </c>
    </row>
    <row r="193" spans="1:5" x14ac:dyDescent="0.35">
      <c r="A193" s="189">
        <f>IF(ISNUMBER(SEARCH('Area Summary'!$E$3,B193)),MAX(A$1:$B192)+1,0)</f>
        <v>192</v>
      </c>
      <c r="B193" s="284" t="s">
        <v>9272</v>
      </c>
      <c r="D193" s="5" t="str">
        <f ca="1"/>
        <v>Redditch</v>
      </c>
      <c r="E193" s="192" t="str">
        <f>IFERROR(VLOOKUP(ROWS($E$2:E193),$A$2:$B$307,2,0),"")</f>
        <v>Redditch</v>
      </c>
    </row>
    <row r="194" spans="1:5" x14ac:dyDescent="0.35">
      <c r="A194" s="189">
        <f>IF(ISNUMBER(SEARCH('Area Summary'!$E$3,B194)),MAX(A$1:$B193)+1,0)</f>
        <v>193</v>
      </c>
      <c r="B194" s="284" t="s">
        <v>8414</v>
      </c>
      <c r="D194" s="5" t="str">
        <f ca="1"/>
        <v>Reigate and Banstead</v>
      </c>
      <c r="E194" s="192" t="str">
        <f>IFERROR(VLOOKUP(ROWS($E$2:E194),$A$2:$B$307,2,0),"")</f>
        <v>Reigate and Banstead</v>
      </c>
    </row>
    <row r="195" spans="1:5" x14ac:dyDescent="0.35">
      <c r="A195" s="189">
        <f>IF(ISNUMBER(SEARCH('Area Summary'!$E$3,B195)),MAX(A$1:$B194)+1,0)</f>
        <v>194</v>
      </c>
      <c r="B195" s="284" t="s">
        <v>6204</v>
      </c>
      <c r="D195" s="5" t="str">
        <f ca="1"/>
        <v>Ribble Valley</v>
      </c>
      <c r="E195" s="192" t="str">
        <f>IFERROR(VLOOKUP(ROWS($E$2:E195),$A$2:$B$307,2,0),"")</f>
        <v>Ribble Valley</v>
      </c>
    </row>
    <row r="196" spans="1:5" x14ac:dyDescent="0.35">
      <c r="A196" s="189">
        <f>IF(ISNUMBER(SEARCH('Area Summary'!$E$3,B196)),MAX(A$1:$B195)+1,0)</f>
        <v>195</v>
      </c>
      <c r="B196" s="284" t="s">
        <v>12282</v>
      </c>
      <c r="D196" s="5" t="str">
        <f ca="1"/>
        <v>Richmond upon Thames</v>
      </c>
      <c r="E196" s="192" t="str">
        <f>IFERROR(VLOOKUP(ROWS($E$2:E196),$A$2:$B$307,2,0),"")</f>
        <v>Richmond upon Thames</v>
      </c>
    </row>
    <row r="197" spans="1:5" x14ac:dyDescent="0.35">
      <c r="A197" s="189">
        <f>IF(ISNUMBER(SEARCH('Area Summary'!$E$3,B197)),MAX(A$1:$B196)+1,0)</f>
        <v>196</v>
      </c>
      <c r="B197" s="284" t="s">
        <v>9853</v>
      </c>
      <c r="D197" s="5" t="str">
        <f ca="1"/>
        <v>Rochdale</v>
      </c>
      <c r="E197" s="192" t="str">
        <f>IFERROR(VLOOKUP(ROWS($E$2:E197),$A$2:$B$307,2,0),"")</f>
        <v>Rochdale</v>
      </c>
    </row>
    <row r="198" spans="1:5" x14ac:dyDescent="0.35">
      <c r="A198" s="189">
        <f>IF(ISNUMBER(SEARCH('Area Summary'!$E$3,B198)),MAX(A$1:$B197)+1,0)</f>
        <v>197</v>
      </c>
      <c r="B198" s="284" t="s">
        <v>4382</v>
      </c>
      <c r="D198" s="5" t="str">
        <f ca="1"/>
        <v>Rochford</v>
      </c>
      <c r="E198" s="192" t="str">
        <f>IFERROR(VLOOKUP(ROWS($E$2:E198),$A$2:$B$307,2,0),"")</f>
        <v>Rochford</v>
      </c>
    </row>
    <row r="199" spans="1:5" x14ac:dyDescent="0.35">
      <c r="A199" s="189">
        <f>IF(ISNUMBER(SEARCH('Area Summary'!$E$3,B199)),MAX(A$1:$B198)+1,0)</f>
        <v>198</v>
      </c>
      <c r="B199" s="284" t="s">
        <v>6246</v>
      </c>
      <c r="D199" s="5" t="str">
        <f ca="1"/>
        <v>Rossendale</v>
      </c>
      <c r="E199" s="192" t="str">
        <f>IFERROR(VLOOKUP(ROWS($E$2:E199),$A$2:$B$307,2,0),"")</f>
        <v>Rossendale</v>
      </c>
    </row>
    <row r="200" spans="1:5" x14ac:dyDescent="0.35">
      <c r="A200" s="189">
        <f>IF(ISNUMBER(SEARCH('Area Summary'!$E$3,B200)),MAX(A$1:$B199)+1,0)</f>
        <v>199</v>
      </c>
      <c r="B200" s="284" t="s">
        <v>3921</v>
      </c>
      <c r="D200" s="5" t="str">
        <f ca="1"/>
        <v>Rother</v>
      </c>
      <c r="E200" s="192" t="str">
        <f>IFERROR(VLOOKUP(ROWS($E$2:E200),$A$2:$B$307,2,0),"")</f>
        <v>Rother</v>
      </c>
    </row>
    <row r="201" spans="1:5" x14ac:dyDescent="0.35">
      <c r="A201" s="189">
        <f>IF(ISNUMBER(SEARCH('Area Summary'!$E$3,B201)),MAX(A$1:$B200)+1,0)</f>
        <v>200</v>
      </c>
      <c r="B201" s="284" t="s">
        <v>10393</v>
      </c>
      <c r="D201" s="5" t="str">
        <f ca="1"/>
        <v>Rotherham</v>
      </c>
      <c r="E201" s="192" t="str">
        <f>IFERROR(VLOOKUP(ROWS($E$2:E201),$A$2:$B$307,2,0),"")</f>
        <v>Rotherham</v>
      </c>
    </row>
    <row r="202" spans="1:5" x14ac:dyDescent="0.35">
      <c r="A202" s="189">
        <f>IF(ISNUMBER(SEARCH('Area Summary'!$E$3,B202)),MAX(A$1:$B201)+1,0)</f>
        <v>201</v>
      </c>
      <c r="B202" s="284" t="s">
        <v>8779</v>
      </c>
      <c r="D202" s="5" t="str">
        <f ca="1"/>
        <v>Rugby</v>
      </c>
      <c r="E202" s="192" t="str">
        <f>IFERROR(VLOOKUP(ROWS($E$2:E202),$A$2:$B$307,2,0),"")</f>
        <v>Rugby</v>
      </c>
    </row>
    <row r="203" spans="1:5" x14ac:dyDescent="0.35">
      <c r="A203" s="189">
        <f>IF(ISNUMBER(SEARCH('Area Summary'!$E$3,B203)),MAX(A$1:$B202)+1,0)</f>
        <v>202</v>
      </c>
      <c r="B203" s="284" t="s">
        <v>8456</v>
      </c>
      <c r="D203" s="5" t="str">
        <f ca="1"/>
        <v>Runnymede</v>
      </c>
      <c r="E203" s="192" t="str">
        <f>IFERROR(VLOOKUP(ROWS($E$2:E203),$A$2:$B$307,2,0),"")</f>
        <v>Runnymede</v>
      </c>
    </row>
    <row r="204" spans="1:5" x14ac:dyDescent="0.35">
      <c r="A204" s="189">
        <f>IF(ISNUMBER(SEARCH('Area Summary'!$E$3,B204)),MAX(A$1:$B203)+1,0)</f>
        <v>203</v>
      </c>
      <c r="B204" s="284" t="s">
        <v>7545</v>
      </c>
      <c r="D204" s="5" t="str">
        <f ca="1"/>
        <v>Rushcliffe</v>
      </c>
      <c r="E204" s="192" t="str">
        <f>IFERROR(VLOOKUP(ROWS($E$2:E204),$A$2:$B$307,2,0),"")</f>
        <v>Rushcliffe</v>
      </c>
    </row>
    <row r="205" spans="1:5" x14ac:dyDescent="0.35">
      <c r="A205" s="189">
        <f>IF(ISNUMBER(SEARCH('Area Summary'!$E$3,B205)),MAX(A$1:$B204)+1,0)</f>
        <v>204</v>
      </c>
      <c r="B205" s="284" t="s">
        <v>5068</v>
      </c>
      <c r="D205" s="5" t="str">
        <f ca="1"/>
        <v>Rushmoor</v>
      </c>
      <c r="E205" s="192" t="str">
        <f>IFERROR(VLOOKUP(ROWS($E$2:E205),$A$2:$B$307,2,0),"")</f>
        <v>Rushmoor</v>
      </c>
    </row>
    <row r="206" spans="1:5" x14ac:dyDescent="0.35">
      <c r="A206" s="189">
        <f>IF(ISNUMBER(SEARCH('Area Summary'!$E$3,B206)),MAX(A$1:$B205)+1,0)</f>
        <v>205</v>
      </c>
      <c r="B206" s="284" t="s">
        <v>982</v>
      </c>
      <c r="D206" s="5" t="str">
        <f ca="1"/>
        <v>Rutland</v>
      </c>
      <c r="E206" s="192" t="str">
        <f>IFERROR(VLOOKUP(ROWS($E$2:E206),$A$2:$B$307,2,0),"")</f>
        <v>Rutland</v>
      </c>
    </row>
    <row r="207" spans="1:5" x14ac:dyDescent="0.35">
      <c r="A207" s="189">
        <f>IF(ISNUMBER(SEARCH('Area Summary'!$E$3,B207)),MAX(A$1:$B206)+1,0)</f>
        <v>206</v>
      </c>
      <c r="B207" s="284" t="s">
        <v>9895</v>
      </c>
      <c r="D207" s="5" t="str">
        <f ca="1"/>
        <v>Salford</v>
      </c>
      <c r="E207" s="192" t="str">
        <f>IFERROR(VLOOKUP(ROWS($E$2:E207),$A$2:$B$307,2,0),"")</f>
        <v>Salford</v>
      </c>
    </row>
    <row r="208" spans="1:5" x14ac:dyDescent="0.35">
      <c r="A208" s="189">
        <f>IF(ISNUMBER(SEARCH('Area Summary'!$E$3,B208)),MAX(A$1:$B207)+1,0)</f>
        <v>207</v>
      </c>
      <c r="B208" s="284" t="s">
        <v>10770</v>
      </c>
      <c r="D208" s="5" t="str">
        <f ca="1"/>
        <v>Sandwell</v>
      </c>
      <c r="E208" s="192" t="str">
        <f>IFERROR(VLOOKUP(ROWS($E$2:E208),$A$2:$B$307,2,0),"")</f>
        <v>Sandwell</v>
      </c>
    </row>
    <row r="209" spans="1:5" x14ac:dyDescent="0.35">
      <c r="A209" s="189">
        <f>IF(ISNUMBER(SEARCH('Area Summary'!$E$3,B209)),MAX(A$1:$B208)+1,0)</f>
        <v>208</v>
      </c>
      <c r="B209" s="284" t="s">
        <v>10226</v>
      </c>
      <c r="D209" s="5" t="str">
        <f ca="1"/>
        <v>Sefton</v>
      </c>
      <c r="E209" s="192" t="str">
        <f>IFERROR(VLOOKUP(ROWS($E$2:E209),$A$2:$B$307,2,0),"")</f>
        <v>Sefton</v>
      </c>
    </row>
    <row r="210" spans="1:5" x14ac:dyDescent="0.35">
      <c r="A210" s="189">
        <f>IF(ISNUMBER(SEARCH('Area Summary'!$E$3,B210)),MAX(A$1:$B209)+1,0)</f>
        <v>209</v>
      </c>
      <c r="B210" s="284" t="s">
        <v>5678</v>
      </c>
      <c r="D210" s="5" t="str">
        <f ca="1"/>
        <v>Sevenoaks</v>
      </c>
      <c r="E210" s="192" t="str">
        <f>IFERROR(VLOOKUP(ROWS($E$2:E210),$A$2:$B$307,2,0),"")</f>
        <v>Sevenoaks</v>
      </c>
    </row>
    <row r="211" spans="1:5" x14ac:dyDescent="0.35">
      <c r="A211" s="189">
        <f>IF(ISNUMBER(SEARCH('Area Summary'!$E$3,B211)),MAX(A$1:$B210)+1,0)</f>
        <v>210</v>
      </c>
      <c r="B211" s="284" t="s">
        <v>10435</v>
      </c>
      <c r="D211" s="5" t="str">
        <f ca="1"/>
        <v>Sheffield</v>
      </c>
      <c r="E211" s="192" t="str">
        <f>IFERROR(VLOOKUP(ROWS($E$2:E211),$A$2:$B$307,2,0),"")</f>
        <v>Sheffield</v>
      </c>
    </row>
    <row r="212" spans="1:5" x14ac:dyDescent="0.35">
      <c r="A212" s="189">
        <f>IF(ISNUMBER(SEARCH('Area Summary'!$E$3,B212)),MAX(A$1:$B211)+1,0)</f>
        <v>211</v>
      </c>
      <c r="B212" s="284" t="s">
        <v>2263</v>
      </c>
      <c r="D212" s="5" t="str">
        <f ca="1"/>
        <v>Shropshire</v>
      </c>
      <c r="E212" s="192" t="str">
        <f>IFERROR(VLOOKUP(ROWS($E$2:E212),$A$2:$B$307,2,0),"")</f>
        <v>Shropshire</v>
      </c>
    </row>
    <row r="213" spans="1:5" x14ac:dyDescent="0.35">
      <c r="A213" s="189">
        <f>IF(ISNUMBER(SEARCH('Area Summary'!$E$3,B213)),MAX(A$1:$B212)+1,0)</f>
        <v>212</v>
      </c>
      <c r="B213" s="284" t="s">
        <v>1803</v>
      </c>
      <c r="D213" s="5" t="str">
        <f ca="1"/>
        <v>Slough</v>
      </c>
      <c r="E213" s="192" t="str">
        <f>IFERROR(VLOOKUP(ROWS($E$2:E213),$A$2:$B$307,2,0),"")</f>
        <v>Slough</v>
      </c>
    </row>
    <row r="214" spans="1:5" x14ac:dyDescent="0.35">
      <c r="A214" s="189">
        <f>IF(ISNUMBER(SEARCH('Area Summary'!$E$3,B214)),MAX(A$1:$B213)+1,0)</f>
        <v>213</v>
      </c>
      <c r="B214" s="284" t="s">
        <v>10812</v>
      </c>
      <c r="D214" s="5" t="str">
        <f ca="1"/>
        <v>Solihull</v>
      </c>
      <c r="E214" s="192" t="str">
        <f>IFERROR(VLOOKUP(ROWS($E$2:E214),$A$2:$B$307,2,0),"")</f>
        <v>Solihull</v>
      </c>
    </row>
    <row r="215" spans="1:5" x14ac:dyDescent="0.35">
      <c r="A215" s="189">
        <f>IF(ISNUMBER(SEARCH('Area Summary'!$E$3,B215)),MAX(A$1:$B214)+1,0)</f>
        <v>214</v>
      </c>
      <c r="B215" s="284" t="s">
        <v>2882</v>
      </c>
      <c r="D215" s="5" t="str">
        <f ca="1"/>
        <v>Somerset</v>
      </c>
      <c r="E215" s="192" t="str">
        <f>IFERROR(VLOOKUP(ROWS($E$2:E215),$A$2:$B$307,2,0),"")</f>
        <v>Somerset</v>
      </c>
    </row>
    <row r="216" spans="1:5" x14ac:dyDescent="0.35">
      <c r="A216" s="189">
        <f>IF(ISNUMBER(SEARCH('Area Summary'!$E$3,B216)),MAX(A$1:$B215)+1,0)</f>
        <v>215</v>
      </c>
      <c r="B216" s="284" t="s">
        <v>3084</v>
      </c>
      <c r="D216" s="5" t="str">
        <f ca="1"/>
        <v>South Cambridgeshire</v>
      </c>
      <c r="E216" s="192" t="str">
        <f>IFERROR(VLOOKUP(ROWS($E$2:E216),$A$2:$B$307,2,0),"")</f>
        <v>South Cambridgeshire</v>
      </c>
    </row>
    <row r="217" spans="1:5" x14ac:dyDescent="0.35">
      <c r="A217" s="189">
        <f>IF(ISNUMBER(SEARCH('Area Summary'!$E$3,B217)),MAX(A$1:$B216)+1,0)</f>
        <v>216</v>
      </c>
      <c r="B217" s="284" t="s">
        <v>3420</v>
      </c>
      <c r="D217" s="5" t="str">
        <f ca="1"/>
        <v>South Derbyshire</v>
      </c>
      <c r="E217" s="192" t="str">
        <f>IFERROR(VLOOKUP(ROWS($E$2:E217),$A$2:$B$307,2,0),"")</f>
        <v>South Derbyshire</v>
      </c>
    </row>
    <row r="218" spans="1:5" x14ac:dyDescent="0.35">
      <c r="A218" s="189">
        <f>IF(ISNUMBER(SEARCH('Area Summary'!$E$3,B218)),MAX(A$1:$B217)+1,0)</f>
        <v>217</v>
      </c>
      <c r="B218" s="284" t="s">
        <v>1310</v>
      </c>
      <c r="D218" s="5" t="str">
        <f ca="1"/>
        <v>South Gloucestershire</v>
      </c>
      <c r="E218" s="192" t="str">
        <f>IFERROR(VLOOKUP(ROWS($E$2:E218),$A$2:$B$307,2,0),"")</f>
        <v>South Gloucestershire</v>
      </c>
    </row>
    <row r="219" spans="1:5" x14ac:dyDescent="0.35">
      <c r="A219" s="189">
        <f>IF(ISNUMBER(SEARCH('Area Summary'!$E$3,B219)),MAX(A$1:$B218)+1,0)</f>
        <v>218</v>
      </c>
      <c r="B219" s="284" t="s">
        <v>3630</v>
      </c>
      <c r="D219" s="5" t="str">
        <f ca="1"/>
        <v>South Hams</v>
      </c>
      <c r="E219" s="192" t="str">
        <f>IFERROR(VLOOKUP(ROWS($E$2:E219),$A$2:$B$307,2,0),"")</f>
        <v>South Hams</v>
      </c>
    </row>
    <row r="220" spans="1:5" x14ac:dyDescent="0.35">
      <c r="A220" s="189">
        <f>IF(ISNUMBER(SEARCH('Area Summary'!$E$3,B220)),MAX(A$1:$B219)+1,0)</f>
        <v>219</v>
      </c>
      <c r="B220" s="284" t="s">
        <v>6874</v>
      </c>
      <c r="D220" s="5" t="str">
        <f ca="1"/>
        <v>South Holland</v>
      </c>
      <c r="E220" s="192" t="str">
        <f>IFERROR(VLOOKUP(ROWS($E$2:E220),$A$2:$B$307,2,0),"")</f>
        <v>South Holland</v>
      </c>
    </row>
    <row r="221" spans="1:5" x14ac:dyDescent="0.35">
      <c r="A221" s="189">
        <f>IF(ISNUMBER(SEARCH('Area Summary'!$E$3,B221)),MAX(A$1:$B220)+1,0)</f>
        <v>220</v>
      </c>
      <c r="B221" s="284" t="s">
        <v>6916</v>
      </c>
      <c r="D221" s="5" t="str">
        <f ca="1"/>
        <v>South Kesteven</v>
      </c>
      <c r="E221" s="192" t="str">
        <f>IFERROR(VLOOKUP(ROWS($E$2:E221),$A$2:$B$307,2,0),"")</f>
        <v>South Kesteven</v>
      </c>
    </row>
    <row r="222" spans="1:5" x14ac:dyDescent="0.35">
      <c r="A222" s="189">
        <f>IF(ISNUMBER(SEARCH('Area Summary'!$E$3,B222)),MAX(A$1:$B221)+1,0)</f>
        <v>221</v>
      </c>
      <c r="B222" s="284" t="s">
        <v>7251</v>
      </c>
      <c r="D222" s="5" t="str">
        <f ca="1"/>
        <v>South Norfolk</v>
      </c>
      <c r="E222" s="192" t="str">
        <f>IFERROR(VLOOKUP(ROWS($E$2:E222),$A$2:$B$307,2,0),"")</f>
        <v>South Norfolk</v>
      </c>
    </row>
    <row r="223" spans="1:5" x14ac:dyDescent="0.35">
      <c r="A223" s="189">
        <f>IF(ISNUMBER(SEARCH('Area Summary'!$E$3,B223)),MAX(A$1:$B222)+1,0)</f>
        <v>222</v>
      </c>
      <c r="B223" s="284" t="s">
        <v>7671</v>
      </c>
      <c r="D223" s="5" t="str">
        <f ca="1"/>
        <v>South Oxfordshire</v>
      </c>
      <c r="E223" s="192" t="str">
        <f>IFERROR(VLOOKUP(ROWS($E$2:E223),$A$2:$B$307,2,0),"")</f>
        <v>South Oxfordshire</v>
      </c>
    </row>
    <row r="224" spans="1:5" x14ac:dyDescent="0.35">
      <c r="A224" s="189">
        <f>IF(ISNUMBER(SEARCH('Area Summary'!$E$3,B224)),MAX(A$1:$B223)+1,0)</f>
        <v>223</v>
      </c>
      <c r="B224" s="284" t="s">
        <v>6288</v>
      </c>
      <c r="D224" s="5" t="str">
        <f ca="1"/>
        <v>South Ribble</v>
      </c>
      <c r="E224" s="192" t="str">
        <f>IFERROR(VLOOKUP(ROWS($E$2:E224),$A$2:$B$307,2,0),"")</f>
        <v>South Ribble</v>
      </c>
    </row>
    <row r="225" spans="1:5" x14ac:dyDescent="0.35">
      <c r="A225" s="189">
        <f>IF(ISNUMBER(SEARCH('Area Summary'!$E$3,B225)),MAX(A$1:$B224)+1,0)</f>
        <v>224</v>
      </c>
      <c r="B225" s="284" t="s">
        <v>7955</v>
      </c>
      <c r="D225" s="5" t="str">
        <f ca="1"/>
        <v>South Staffordshire</v>
      </c>
      <c r="E225" s="192" t="str">
        <f>IFERROR(VLOOKUP(ROWS($E$2:E225),$A$2:$B$307,2,0),"")</f>
        <v>South Staffordshire</v>
      </c>
    </row>
    <row r="226" spans="1:5" x14ac:dyDescent="0.35">
      <c r="A226" s="189">
        <f>IF(ISNUMBER(SEARCH('Area Summary'!$E$3,B226)),MAX(A$1:$B225)+1,0)</f>
        <v>225</v>
      </c>
      <c r="B226" s="284" t="s">
        <v>10561</v>
      </c>
      <c r="D226" s="5" t="str">
        <f ca="1"/>
        <v>South Tyneside</v>
      </c>
      <c r="E226" s="192" t="str">
        <f>IFERROR(VLOOKUP(ROWS($E$2:E226),$A$2:$B$307,2,0),"")</f>
        <v>South Tyneside</v>
      </c>
    </row>
    <row r="227" spans="1:5" x14ac:dyDescent="0.35">
      <c r="A227" s="189">
        <f>IF(ISNUMBER(SEARCH('Area Summary'!$E$3,B227)),MAX(A$1:$B226)+1,0)</f>
        <v>226</v>
      </c>
      <c r="B227" s="284" t="s">
        <v>2053</v>
      </c>
      <c r="D227" s="5" t="str">
        <f ca="1"/>
        <v>Southampton</v>
      </c>
      <c r="E227" s="192" t="str">
        <f>IFERROR(VLOOKUP(ROWS($E$2:E227),$A$2:$B$307,2,0),"")</f>
        <v>Southampton</v>
      </c>
    </row>
    <row r="228" spans="1:5" x14ac:dyDescent="0.35">
      <c r="A228" s="189">
        <f>IF(ISNUMBER(SEARCH('Area Summary'!$E$3,B228)),MAX(A$1:$B227)+1,0)</f>
        <v>227</v>
      </c>
      <c r="B228" s="284" t="s">
        <v>156</v>
      </c>
      <c r="D228" s="5" t="str">
        <f ca="1"/>
        <v>Southend-on-Sea</v>
      </c>
      <c r="E228" s="192" t="str">
        <f>IFERROR(VLOOKUP(ROWS($E$2:E228),$A$2:$B$307,2,0),"")</f>
        <v>Southend-on-Sea</v>
      </c>
    </row>
    <row r="229" spans="1:5" x14ac:dyDescent="0.35">
      <c r="A229" s="189">
        <f>IF(ISNUMBER(SEARCH('Area Summary'!$E$3,B229)),MAX(A$1:$B228)+1,0)</f>
        <v>228</v>
      </c>
      <c r="B229" s="284" t="s">
        <v>157</v>
      </c>
      <c r="D229" s="5" t="str">
        <f ca="1"/>
        <v>Southwark</v>
      </c>
      <c r="E229" s="192" t="str">
        <f>IFERROR(VLOOKUP(ROWS($E$2:E229),$A$2:$B$307,2,0),"")</f>
        <v>Southwark</v>
      </c>
    </row>
    <row r="230" spans="1:5" x14ac:dyDescent="0.35">
      <c r="A230" s="189">
        <f>IF(ISNUMBER(SEARCH('Area Summary'!$E$3,B230)),MAX(A$1:$B229)+1,0)</f>
        <v>229</v>
      </c>
      <c r="B230" s="284" t="s">
        <v>158</v>
      </c>
      <c r="D230" s="5" t="str">
        <f ca="1"/>
        <v>Spelthorne</v>
      </c>
      <c r="E230" s="192" t="str">
        <f>IFERROR(VLOOKUP(ROWS($E$2:E230),$A$2:$B$307,2,0),"")</f>
        <v>Spelthorne</v>
      </c>
    </row>
    <row r="231" spans="1:5" x14ac:dyDescent="0.35">
      <c r="A231" s="189">
        <f>IF(ISNUMBER(SEARCH('Area Summary'!$E$3,B231)),MAX(A$1:$B230)+1,0)</f>
        <v>230</v>
      </c>
      <c r="B231" s="284" t="s">
        <v>159</v>
      </c>
      <c r="D231" s="5" t="str">
        <f ca="1"/>
        <v>St Albans</v>
      </c>
      <c r="E231" s="192" t="str">
        <f>IFERROR(VLOOKUP(ROWS($E$2:E231),$A$2:$B$307,2,0),"")</f>
        <v>St Albans</v>
      </c>
    </row>
    <row r="232" spans="1:5" x14ac:dyDescent="0.35">
      <c r="A232" s="189">
        <f>IF(ISNUMBER(SEARCH('Area Summary'!$E$3,B232)),MAX(A$1:$B231)+1,0)</f>
        <v>231</v>
      </c>
      <c r="B232" s="284" t="s">
        <v>160</v>
      </c>
      <c r="D232" s="5" t="str">
        <f ca="1"/>
        <v>St. Helens</v>
      </c>
      <c r="E232" s="192" t="str">
        <f>IFERROR(VLOOKUP(ROWS($E$2:E232),$A$2:$B$307,2,0),"")</f>
        <v>St. Helens</v>
      </c>
    </row>
    <row r="233" spans="1:5" x14ac:dyDescent="0.35">
      <c r="A233" s="189">
        <f>IF(ISNUMBER(SEARCH('Area Summary'!$E$3,B233)),MAX(A$1:$B232)+1,0)</f>
        <v>232</v>
      </c>
      <c r="B233" s="284" t="s">
        <v>161</v>
      </c>
      <c r="D233" s="5" t="str">
        <f ca="1"/>
        <v>Stafford</v>
      </c>
      <c r="E233" s="192" t="str">
        <f>IFERROR(VLOOKUP(ROWS($E$2:E233),$A$2:$B$307,2,0),"")</f>
        <v>Stafford</v>
      </c>
    </row>
    <row r="234" spans="1:5" x14ac:dyDescent="0.35">
      <c r="A234" s="189">
        <f>IF(ISNUMBER(SEARCH('Area Summary'!$E$3,B234)),MAX(A$1:$B233)+1,0)</f>
        <v>233</v>
      </c>
      <c r="B234" s="284" t="s">
        <v>162</v>
      </c>
      <c r="D234" s="5" t="str">
        <f ca="1"/>
        <v>Staffordshire Moorlands</v>
      </c>
      <c r="E234" s="192" t="str">
        <f>IFERROR(VLOOKUP(ROWS($E$2:E234),$A$2:$B$307,2,0),"")</f>
        <v>Staffordshire Moorlands</v>
      </c>
    </row>
    <row r="235" spans="1:5" x14ac:dyDescent="0.35">
      <c r="A235" s="189">
        <f>IF(ISNUMBER(SEARCH('Area Summary'!$E$3,B235)),MAX(A$1:$B234)+1,0)</f>
        <v>234</v>
      </c>
      <c r="B235" s="284" t="s">
        <v>163</v>
      </c>
      <c r="D235" s="5" t="str">
        <f ca="1"/>
        <v>Stevenage</v>
      </c>
      <c r="E235" s="192" t="str">
        <f>IFERROR(VLOOKUP(ROWS($E$2:E235),$A$2:$B$307,2,0),"")</f>
        <v>Stevenage</v>
      </c>
    </row>
    <row r="236" spans="1:5" x14ac:dyDescent="0.35">
      <c r="A236" s="189">
        <f>IF(ISNUMBER(SEARCH('Area Summary'!$E$3,B236)),MAX(A$1:$B235)+1,0)</f>
        <v>235</v>
      </c>
      <c r="B236" s="284" t="s">
        <v>164</v>
      </c>
      <c r="D236" s="5" t="str">
        <f ca="1"/>
        <v>Stockport</v>
      </c>
      <c r="E236" s="192" t="str">
        <f>IFERROR(VLOOKUP(ROWS($E$2:E236),$A$2:$B$307,2,0),"")</f>
        <v>Stockport</v>
      </c>
    </row>
    <row r="237" spans="1:5" x14ac:dyDescent="0.35">
      <c r="A237" s="189">
        <f>IF(ISNUMBER(SEARCH('Area Summary'!$E$3,B237)),MAX(A$1:$B236)+1,0)</f>
        <v>236</v>
      </c>
      <c r="B237" s="284" t="s">
        <v>165</v>
      </c>
      <c r="D237" s="5" t="str">
        <f ca="1"/>
        <v>Stockton-on-Tees</v>
      </c>
      <c r="E237" s="192" t="str">
        <f>IFERROR(VLOOKUP(ROWS($E$2:E237),$A$2:$B$307,2,0),"")</f>
        <v>Stockton-on-Tees</v>
      </c>
    </row>
    <row r="238" spans="1:5" x14ac:dyDescent="0.35">
      <c r="A238" s="189">
        <f>IF(ISNUMBER(SEARCH('Area Summary'!$E$3,B238)),MAX(A$1:$B237)+1,0)</f>
        <v>237</v>
      </c>
      <c r="B238" s="284" t="s">
        <v>166</v>
      </c>
      <c r="D238" s="5" t="str">
        <f ca="1"/>
        <v>Stoke-on-Trent</v>
      </c>
      <c r="E238" s="192" t="str">
        <f>IFERROR(VLOOKUP(ROWS($E$2:E238),$A$2:$B$307,2,0),"")</f>
        <v>Stoke-on-Trent</v>
      </c>
    </row>
    <row r="239" spans="1:5" x14ac:dyDescent="0.35">
      <c r="A239" s="189">
        <f>IF(ISNUMBER(SEARCH('Area Summary'!$E$3,B239)),MAX(A$1:$B238)+1,0)</f>
        <v>238</v>
      </c>
      <c r="B239" s="284" t="s">
        <v>167</v>
      </c>
      <c r="D239" s="5" t="str">
        <f ca="1"/>
        <v>Stratford-on-Avon</v>
      </c>
      <c r="E239" s="192" t="str">
        <f>IFERROR(VLOOKUP(ROWS($E$2:E239),$A$2:$B$307,2,0),"")</f>
        <v>Stratford-on-Avon</v>
      </c>
    </row>
    <row r="240" spans="1:5" x14ac:dyDescent="0.35">
      <c r="A240" s="189">
        <f>IF(ISNUMBER(SEARCH('Area Summary'!$E$3,B240)),MAX(A$1:$B239)+1,0)</f>
        <v>239</v>
      </c>
      <c r="B240" s="284" t="s">
        <v>168</v>
      </c>
      <c r="D240" s="5" t="str">
        <f ca="1"/>
        <v>Stroud</v>
      </c>
      <c r="E240" s="192" t="str">
        <f>IFERROR(VLOOKUP(ROWS($E$2:E240),$A$2:$B$307,2,0),"")</f>
        <v>Stroud</v>
      </c>
    </row>
    <row r="241" spans="1:5" x14ac:dyDescent="0.35">
      <c r="A241" s="189">
        <f>IF(ISNUMBER(SEARCH('Area Summary'!$E$3,B241)),MAX(A$1:$B240)+1,0)</f>
        <v>240</v>
      </c>
      <c r="B241" s="284" t="s">
        <v>169</v>
      </c>
      <c r="D241" s="5" t="str">
        <f ca="1"/>
        <v>Sunderland</v>
      </c>
      <c r="E241" s="192" t="str">
        <f>IFERROR(VLOOKUP(ROWS($E$2:E241),$A$2:$B$307,2,0),"")</f>
        <v>Sunderland</v>
      </c>
    </row>
    <row r="242" spans="1:5" x14ac:dyDescent="0.35">
      <c r="A242" s="189">
        <f>IF(ISNUMBER(SEARCH('Area Summary'!$E$3,B242)),MAX(A$1:$B241)+1,0)</f>
        <v>241</v>
      </c>
      <c r="B242" s="284" t="s">
        <v>170</v>
      </c>
      <c r="D242" s="5" t="str">
        <f ca="1"/>
        <v>Surrey Heath</v>
      </c>
      <c r="E242" s="192" t="str">
        <f>IFERROR(VLOOKUP(ROWS($E$2:E242),$A$2:$B$307,2,0),"")</f>
        <v>Surrey Heath</v>
      </c>
    </row>
    <row r="243" spans="1:5" x14ac:dyDescent="0.35">
      <c r="A243" s="189">
        <f>IF(ISNUMBER(SEARCH('Area Summary'!$E$3,B243)),MAX(A$1:$B242)+1,0)</f>
        <v>242</v>
      </c>
      <c r="B243" s="284" t="s">
        <v>171</v>
      </c>
      <c r="D243" s="5" t="str">
        <f ca="1"/>
        <v>Sutton</v>
      </c>
      <c r="E243" s="192" t="str">
        <f>IFERROR(VLOOKUP(ROWS($E$2:E243),$A$2:$B$307,2,0),"")</f>
        <v>Sutton</v>
      </c>
    </row>
    <row r="244" spans="1:5" x14ac:dyDescent="0.35">
      <c r="A244" s="189">
        <f>IF(ISNUMBER(SEARCH('Area Summary'!$E$3,B244)),MAX(A$1:$B243)+1,0)</f>
        <v>243</v>
      </c>
      <c r="B244" s="284" t="s">
        <v>172</v>
      </c>
      <c r="D244" s="5" t="str">
        <f ca="1"/>
        <v>Swale</v>
      </c>
      <c r="E244" s="192" t="str">
        <f>IFERROR(VLOOKUP(ROWS($E$2:E244),$A$2:$B$307,2,0),"")</f>
        <v>Swale</v>
      </c>
    </row>
    <row r="245" spans="1:5" x14ac:dyDescent="0.35">
      <c r="A245" s="189">
        <f>IF(ISNUMBER(SEARCH('Area Summary'!$E$3,B245)),MAX(A$1:$B244)+1,0)</f>
        <v>244</v>
      </c>
      <c r="B245" s="284" t="s">
        <v>173</v>
      </c>
      <c r="D245" s="5" t="str">
        <f ca="1"/>
        <v>Swindon</v>
      </c>
      <c r="E245" s="192" t="str">
        <f>IFERROR(VLOOKUP(ROWS($E$2:E245),$A$2:$B$307,2,0),"")</f>
        <v>Swindon</v>
      </c>
    </row>
    <row r="246" spans="1:5" x14ac:dyDescent="0.35">
      <c r="A246" s="189">
        <f>IF(ISNUMBER(SEARCH('Area Summary'!$E$3,B246)),MAX(A$1:$B245)+1,0)</f>
        <v>245</v>
      </c>
      <c r="B246" s="284" t="s">
        <v>174</v>
      </c>
      <c r="D246" s="5" t="str">
        <f ca="1"/>
        <v>Tameside</v>
      </c>
      <c r="E246" s="192" t="str">
        <f>IFERROR(VLOOKUP(ROWS($E$2:E246),$A$2:$B$307,2,0),"")</f>
        <v>Tameside</v>
      </c>
    </row>
    <row r="247" spans="1:5" x14ac:dyDescent="0.35">
      <c r="A247" s="189">
        <f>IF(ISNUMBER(SEARCH('Area Summary'!$E$3,B247)),MAX(A$1:$B246)+1,0)</f>
        <v>246</v>
      </c>
      <c r="B247" s="284" t="s">
        <v>175</v>
      </c>
      <c r="D247" s="5" t="str">
        <f ca="1"/>
        <v>Tamworth</v>
      </c>
      <c r="E247" s="192" t="str">
        <f>IFERROR(VLOOKUP(ROWS($E$2:E247),$A$2:$B$307,2,0),"")</f>
        <v>Tamworth</v>
      </c>
    </row>
    <row r="248" spans="1:5" x14ac:dyDescent="0.35">
      <c r="A248" s="189">
        <f>IF(ISNUMBER(SEARCH('Area Summary'!$E$3,B248)),MAX(A$1:$B247)+1,0)</f>
        <v>247</v>
      </c>
      <c r="B248" s="284" t="s">
        <v>176</v>
      </c>
      <c r="D248" s="5" t="str">
        <f ca="1"/>
        <v>Tandridge</v>
      </c>
      <c r="E248" s="192" t="str">
        <f>IFERROR(VLOOKUP(ROWS($E$2:E248),$A$2:$B$307,2,0),"")</f>
        <v>Tandridge</v>
      </c>
    </row>
    <row r="249" spans="1:5" x14ac:dyDescent="0.35">
      <c r="A249" s="189">
        <f>IF(ISNUMBER(SEARCH('Area Summary'!$E$3,B249)),MAX(A$1:$B248)+1,0)</f>
        <v>248</v>
      </c>
      <c r="B249" s="284" t="s">
        <v>177</v>
      </c>
      <c r="D249" s="5" t="str">
        <f ca="1"/>
        <v>Teignbridge</v>
      </c>
      <c r="E249" s="192" t="str">
        <f>IFERROR(VLOOKUP(ROWS($E$2:E249),$A$2:$B$307,2,0),"")</f>
        <v>Teignbridge</v>
      </c>
    </row>
    <row r="250" spans="1:5" x14ac:dyDescent="0.35">
      <c r="A250" s="189">
        <f>IF(ISNUMBER(SEARCH('Area Summary'!$E$3,B250)),MAX(A$1:$B249)+1,0)</f>
        <v>249</v>
      </c>
      <c r="B250" s="284" t="s">
        <v>178</v>
      </c>
      <c r="D250" s="5" t="str">
        <f ca="1"/>
        <v>Telford and Wrekin</v>
      </c>
      <c r="E250" s="192" t="str">
        <f>IFERROR(VLOOKUP(ROWS($E$2:E250),$A$2:$B$307,2,0),"")</f>
        <v>Telford and Wrekin</v>
      </c>
    </row>
    <row r="251" spans="1:5" x14ac:dyDescent="0.35">
      <c r="A251" s="189">
        <f>IF(ISNUMBER(SEARCH('Area Summary'!$E$3,B251)),MAX(A$1:$B250)+1,0)</f>
        <v>250</v>
      </c>
      <c r="B251" s="284" t="s">
        <v>179</v>
      </c>
      <c r="D251" s="5" t="str">
        <f ca="1"/>
        <v>Tendring</v>
      </c>
      <c r="E251" s="192" t="str">
        <f>IFERROR(VLOOKUP(ROWS($E$2:E251),$A$2:$B$307,2,0),"")</f>
        <v>Tendring</v>
      </c>
    </row>
    <row r="252" spans="1:5" x14ac:dyDescent="0.35">
      <c r="A252" s="189">
        <f>IF(ISNUMBER(SEARCH('Area Summary'!$E$3,B252)),MAX(A$1:$B251)+1,0)</f>
        <v>251</v>
      </c>
      <c r="B252" s="284" t="s">
        <v>180</v>
      </c>
      <c r="D252" s="5" t="str">
        <f ca="1"/>
        <v>Test Valley</v>
      </c>
      <c r="E252" s="192" t="str">
        <f>IFERROR(VLOOKUP(ROWS($E$2:E252),$A$2:$B$307,2,0),"")</f>
        <v>Test Valley</v>
      </c>
    </row>
    <row r="253" spans="1:5" x14ac:dyDescent="0.35">
      <c r="A253" s="189">
        <f>IF(ISNUMBER(SEARCH('Area Summary'!$E$3,B253)),MAX(A$1:$B252)+1,0)</f>
        <v>252</v>
      </c>
      <c r="B253" s="284" t="s">
        <v>181</v>
      </c>
      <c r="D253" s="5" t="str">
        <f ca="1"/>
        <v>Tewkesbury</v>
      </c>
      <c r="E253" s="192" t="str">
        <f>IFERROR(VLOOKUP(ROWS($E$2:E253),$A$2:$B$307,2,0),"")</f>
        <v>Tewkesbury</v>
      </c>
    </row>
    <row r="254" spans="1:5" x14ac:dyDescent="0.35">
      <c r="A254" s="189">
        <f>IF(ISNUMBER(SEARCH('Area Summary'!$E$3,B254)),MAX(A$1:$B253)+1,0)</f>
        <v>253</v>
      </c>
      <c r="B254" s="284" t="s">
        <v>182</v>
      </c>
      <c r="D254" s="5" t="str">
        <f ca="1"/>
        <v>Thanet</v>
      </c>
      <c r="E254" s="192" t="str">
        <f>IFERROR(VLOOKUP(ROWS($E$2:E254),$A$2:$B$307,2,0),"")</f>
        <v>Thanet</v>
      </c>
    </row>
    <row r="255" spans="1:5" x14ac:dyDescent="0.35">
      <c r="A255" s="189">
        <f>IF(ISNUMBER(SEARCH('Area Summary'!$E$3,B255)),MAX(A$1:$B254)+1,0)</f>
        <v>254</v>
      </c>
      <c r="B255" s="284" t="s">
        <v>183</v>
      </c>
      <c r="D255" s="5" t="str">
        <f ca="1"/>
        <v>Three Rivers</v>
      </c>
      <c r="E255" s="192" t="str">
        <f>IFERROR(VLOOKUP(ROWS($E$2:E255),$A$2:$B$307,2,0),"")</f>
        <v>Three Rivers</v>
      </c>
    </row>
    <row r="256" spans="1:5" x14ac:dyDescent="0.35">
      <c r="A256" s="189">
        <f>IF(ISNUMBER(SEARCH('Area Summary'!$E$3,B256)),MAX(A$1:$B255)+1,0)</f>
        <v>255</v>
      </c>
      <c r="B256" s="284" t="s">
        <v>184</v>
      </c>
      <c r="D256" s="5" t="str">
        <f ca="1"/>
        <v>Thurrock</v>
      </c>
      <c r="E256" s="192" t="str">
        <f>IFERROR(VLOOKUP(ROWS($E$2:E256),$A$2:$B$307,2,0),"")</f>
        <v>Thurrock</v>
      </c>
    </row>
    <row r="257" spans="1:5" x14ac:dyDescent="0.35">
      <c r="A257" s="189">
        <f>IF(ISNUMBER(SEARCH('Area Summary'!$E$3,B257)),MAX(A$1:$B256)+1,0)</f>
        <v>256</v>
      </c>
      <c r="B257" s="284" t="s">
        <v>185</v>
      </c>
      <c r="D257" s="5" t="str">
        <f ca="1"/>
        <v>Tonbridge and Malling</v>
      </c>
      <c r="E257" s="192" t="str">
        <f>IFERROR(VLOOKUP(ROWS($E$2:E257),$A$2:$B$307,2,0),"")</f>
        <v>Tonbridge and Malling</v>
      </c>
    </row>
    <row r="258" spans="1:5" x14ac:dyDescent="0.35">
      <c r="A258" s="189">
        <f>IF(ISNUMBER(SEARCH('Area Summary'!$E$3,B258)),MAX(A$1:$B257)+1,0)</f>
        <v>257</v>
      </c>
      <c r="B258" s="284" t="s">
        <v>186</v>
      </c>
      <c r="D258" s="5" t="str">
        <f ca="1"/>
        <v>Torbay</v>
      </c>
      <c r="E258" s="192" t="str">
        <f>IFERROR(VLOOKUP(ROWS($E$2:E258),$A$2:$B$307,2,0),"")</f>
        <v>Torbay</v>
      </c>
    </row>
    <row r="259" spans="1:5" x14ac:dyDescent="0.35">
      <c r="A259" s="189">
        <f>IF(ISNUMBER(SEARCH('Area Summary'!$E$3,B259)),MAX(A$1:$B258)+1,0)</f>
        <v>258</v>
      </c>
      <c r="B259" s="284" t="s">
        <v>187</v>
      </c>
      <c r="D259" s="5" t="str">
        <f ca="1"/>
        <v>Torridge</v>
      </c>
      <c r="E259" s="192" t="str">
        <f>IFERROR(VLOOKUP(ROWS($E$2:E259),$A$2:$B$307,2,0),"")</f>
        <v>Torridge</v>
      </c>
    </row>
    <row r="260" spans="1:5" x14ac:dyDescent="0.35">
      <c r="A260" s="189">
        <f>IF(ISNUMBER(SEARCH('Area Summary'!$E$3,B260)),MAX(A$1:$B259)+1,0)</f>
        <v>259</v>
      </c>
      <c r="B260" s="284" t="s">
        <v>188</v>
      </c>
      <c r="D260" s="5" t="str">
        <f ca="1"/>
        <v>Tower Hamlets</v>
      </c>
      <c r="E260" s="192" t="str">
        <f>IFERROR(VLOOKUP(ROWS($E$2:E260),$A$2:$B$307,2,0),"")</f>
        <v>Tower Hamlets</v>
      </c>
    </row>
    <row r="261" spans="1:5" x14ac:dyDescent="0.35">
      <c r="A261" s="189">
        <f>IF(ISNUMBER(SEARCH('Area Summary'!$E$3,B261)),MAX(A$1:$B260)+1,0)</f>
        <v>260</v>
      </c>
      <c r="B261" s="284" t="s">
        <v>189</v>
      </c>
      <c r="D261" s="5" t="str">
        <f ca="1"/>
        <v>Trafford</v>
      </c>
      <c r="E261" s="192" t="str">
        <f>IFERROR(VLOOKUP(ROWS($E$2:E261),$A$2:$B$307,2,0),"")</f>
        <v>Trafford</v>
      </c>
    </row>
    <row r="262" spans="1:5" x14ac:dyDescent="0.35">
      <c r="A262" s="189">
        <f>IF(ISNUMBER(SEARCH('Area Summary'!$E$3,B262)),MAX(A$1:$B261)+1,0)</f>
        <v>261</v>
      </c>
      <c r="B262" s="284" t="s">
        <v>190</v>
      </c>
      <c r="D262" s="5" t="str">
        <f ca="1"/>
        <v>Tunbridge Wells</v>
      </c>
      <c r="E262" s="192" t="str">
        <f>IFERROR(VLOOKUP(ROWS($E$2:E262),$A$2:$B$307,2,0),"")</f>
        <v>Tunbridge Wells</v>
      </c>
    </row>
    <row r="263" spans="1:5" x14ac:dyDescent="0.35">
      <c r="A263" s="189">
        <f>IF(ISNUMBER(SEARCH('Area Summary'!$E$3,B263)),MAX(A$1:$B262)+1,0)</f>
        <v>262</v>
      </c>
      <c r="B263" s="284" t="s">
        <v>191</v>
      </c>
      <c r="D263" s="5" t="str">
        <f ca="1"/>
        <v>Uttlesford</v>
      </c>
      <c r="E263" s="192" t="str">
        <f>IFERROR(VLOOKUP(ROWS($E$2:E263),$A$2:$B$307,2,0),"")</f>
        <v>Uttlesford</v>
      </c>
    </row>
    <row r="264" spans="1:5" x14ac:dyDescent="0.35">
      <c r="A264" s="189">
        <f>IF(ISNUMBER(SEARCH('Area Summary'!$E$3,B264)),MAX(A$1:$B263)+1,0)</f>
        <v>263</v>
      </c>
      <c r="B264" s="284" t="s">
        <v>192</v>
      </c>
      <c r="D264" s="5" t="str">
        <f ca="1"/>
        <v>Vale of White Horse</v>
      </c>
      <c r="E264" s="192" t="str">
        <f>IFERROR(VLOOKUP(ROWS($E$2:E264),$A$2:$B$307,2,0),"")</f>
        <v>Vale of White Horse</v>
      </c>
    </row>
    <row r="265" spans="1:5" x14ac:dyDescent="0.35">
      <c r="A265" s="189">
        <f>IF(ISNUMBER(SEARCH('Area Summary'!$E$3,B265)),MAX(A$1:$B264)+1,0)</f>
        <v>264</v>
      </c>
      <c r="B265" s="284" t="s">
        <v>193</v>
      </c>
      <c r="D265" s="5" t="str">
        <f ca="1"/>
        <v>Wakefield</v>
      </c>
      <c r="E265" s="192" t="str">
        <f>IFERROR(VLOOKUP(ROWS($E$2:E265),$A$2:$B$307,2,0),"")</f>
        <v>Wakefield</v>
      </c>
    </row>
    <row r="266" spans="1:5" x14ac:dyDescent="0.35">
      <c r="A266" s="189">
        <f>IF(ISNUMBER(SEARCH('Area Summary'!$E$3,B266)),MAX(A$1:$B265)+1,0)</f>
        <v>265</v>
      </c>
      <c r="B266" s="284" t="s">
        <v>194</v>
      </c>
      <c r="D266" s="5" t="str">
        <f ca="1"/>
        <v>Walsall</v>
      </c>
      <c r="E266" s="192" t="str">
        <f>IFERROR(VLOOKUP(ROWS($E$2:E266),$A$2:$B$307,2,0),"")</f>
        <v>Walsall</v>
      </c>
    </row>
    <row r="267" spans="1:5" x14ac:dyDescent="0.35">
      <c r="A267" s="189">
        <f>IF(ISNUMBER(SEARCH('Area Summary'!$E$3,B267)),MAX(A$1:$B266)+1,0)</f>
        <v>266</v>
      </c>
      <c r="B267" s="284" t="s">
        <v>195</v>
      </c>
      <c r="D267" s="5" t="str">
        <f ca="1"/>
        <v>Waltham Forest</v>
      </c>
      <c r="E267" s="192" t="str">
        <f>IFERROR(VLOOKUP(ROWS($E$2:E267),$A$2:$B$307,2,0),"")</f>
        <v>Waltham Forest</v>
      </c>
    </row>
    <row r="268" spans="1:5" x14ac:dyDescent="0.35">
      <c r="A268" s="189">
        <f>IF(ISNUMBER(SEARCH('Area Summary'!$E$3,B268)),MAX(A$1:$B267)+1,0)</f>
        <v>267</v>
      </c>
      <c r="B268" s="284" t="s">
        <v>196</v>
      </c>
      <c r="D268" s="5" t="str">
        <f ca="1"/>
        <v>Wandsworth</v>
      </c>
      <c r="E268" s="192" t="str">
        <f>IFERROR(VLOOKUP(ROWS($E$2:E268),$A$2:$B$307,2,0),"")</f>
        <v>Wandsworth</v>
      </c>
    </row>
    <row r="269" spans="1:5" x14ac:dyDescent="0.35">
      <c r="A269" s="189">
        <f>IF(ISNUMBER(SEARCH('Area Summary'!$E$3,B269)),MAX(A$1:$B268)+1,0)</f>
        <v>268</v>
      </c>
      <c r="B269" s="284" t="s">
        <v>197</v>
      </c>
      <c r="D269" s="5" t="str">
        <f ca="1"/>
        <v>Warrington</v>
      </c>
      <c r="E269" s="192" t="str">
        <f>IFERROR(VLOOKUP(ROWS($E$2:E269),$A$2:$B$307,2,0),"")</f>
        <v>Warrington</v>
      </c>
    </row>
    <row r="270" spans="1:5" x14ac:dyDescent="0.35">
      <c r="A270" s="189">
        <f>IF(ISNUMBER(SEARCH('Area Summary'!$E$3,B270)),MAX(A$1:$B269)+1,0)</f>
        <v>269</v>
      </c>
      <c r="B270" s="284" t="s">
        <v>198</v>
      </c>
      <c r="D270" s="5" t="str">
        <f ca="1"/>
        <v>Warwick</v>
      </c>
      <c r="E270" s="192" t="str">
        <f>IFERROR(VLOOKUP(ROWS($E$2:E270),$A$2:$B$307,2,0),"")</f>
        <v>Warwick</v>
      </c>
    </row>
    <row r="271" spans="1:5" x14ac:dyDescent="0.35">
      <c r="A271" s="189">
        <f>IF(ISNUMBER(SEARCH('Area Summary'!$E$3,B271)),MAX(A$1:$B270)+1,0)</f>
        <v>270</v>
      </c>
      <c r="B271" s="284" t="s">
        <v>199</v>
      </c>
      <c r="D271" s="5" t="str">
        <f ca="1"/>
        <v>Watford</v>
      </c>
      <c r="E271" s="192" t="str">
        <f>IFERROR(VLOOKUP(ROWS($E$2:E271),$A$2:$B$307,2,0),"")</f>
        <v>Watford</v>
      </c>
    </row>
    <row r="272" spans="1:5" x14ac:dyDescent="0.35">
      <c r="A272" s="189">
        <f>IF(ISNUMBER(SEARCH('Area Summary'!$E$3,B272)),MAX(A$1:$B271)+1,0)</f>
        <v>271</v>
      </c>
      <c r="B272" s="284" t="s">
        <v>200</v>
      </c>
      <c r="D272" s="5" t="str">
        <f ca="1"/>
        <v>Waverley</v>
      </c>
      <c r="E272" s="192" t="str">
        <f>IFERROR(VLOOKUP(ROWS($E$2:E272),$A$2:$B$307,2,0),"")</f>
        <v>Waverley</v>
      </c>
    </row>
    <row r="273" spans="1:5" x14ac:dyDescent="0.35">
      <c r="A273" s="189">
        <f>IF(ISNUMBER(SEARCH('Area Summary'!$E$3,B273)),MAX(A$1:$B272)+1,0)</f>
        <v>272</v>
      </c>
      <c r="B273" s="284" t="s">
        <v>201</v>
      </c>
      <c r="D273" s="5" t="str">
        <f ca="1"/>
        <v>Wealden</v>
      </c>
      <c r="E273" s="192" t="str">
        <f>IFERROR(VLOOKUP(ROWS($E$2:E273),$A$2:$B$307,2,0),"")</f>
        <v>Wealden</v>
      </c>
    </row>
    <row r="274" spans="1:5" x14ac:dyDescent="0.35">
      <c r="A274" s="189">
        <f>IF(ISNUMBER(SEARCH('Area Summary'!$E$3,B274)),MAX(A$1:$B273)+1,0)</f>
        <v>273</v>
      </c>
      <c r="B274" s="284" t="s">
        <v>202</v>
      </c>
      <c r="D274" s="5" t="str">
        <f ca="1"/>
        <v>Welwyn Hatfield</v>
      </c>
      <c r="E274" s="192" t="str">
        <f>IFERROR(VLOOKUP(ROWS($E$2:E274),$A$2:$B$307,2,0),"")</f>
        <v>Welwyn Hatfield</v>
      </c>
    </row>
    <row r="275" spans="1:5" x14ac:dyDescent="0.35">
      <c r="A275" s="189">
        <f>IF(ISNUMBER(SEARCH('Area Summary'!$E$3,B275)),MAX(A$1:$B274)+1,0)</f>
        <v>274</v>
      </c>
      <c r="B275" s="284" t="s">
        <v>203</v>
      </c>
      <c r="D275" s="5" t="str">
        <f ca="1"/>
        <v>West Berkshire</v>
      </c>
      <c r="E275" s="192" t="str">
        <f>IFERROR(VLOOKUP(ROWS($E$2:E275),$A$2:$B$307,2,0),"")</f>
        <v>West Berkshire</v>
      </c>
    </row>
    <row r="276" spans="1:5" x14ac:dyDescent="0.35">
      <c r="A276" s="189">
        <f>IF(ISNUMBER(SEARCH('Area Summary'!$E$3,B276)),MAX(A$1:$B275)+1,0)</f>
        <v>275</v>
      </c>
      <c r="B276" s="284" t="s">
        <v>204</v>
      </c>
      <c r="D276" s="5" t="str">
        <f ca="1"/>
        <v>West Devon</v>
      </c>
      <c r="E276" s="192" t="str">
        <f>IFERROR(VLOOKUP(ROWS($E$2:E276),$A$2:$B$307,2,0),"")</f>
        <v>West Devon</v>
      </c>
    </row>
    <row r="277" spans="1:5" x14ac:dyDescent="0.35">
      <c r="A277" s="189">
        <f>IF(ISNUMBER(SEARCH('Area Summary'!$E$3,B277)),MAX(A$1:$B276)+1,0)</f>
        <v>276</v>
      </c>
      <c r="B277" s="284" t="s">
        <v>205</v>
      </c>
      <c r="D277" s="5" t="str">
        <f ca="1"/>
        <v>West Lancashire</v>
      </c>
      <c r="E277" s="192" t="str">
        <f>IFERROR(VLOOKUP(ROWS($E$2:E277),$A$2:$B$307,2,0),"")</f>
        <v>West Lancashire</v>
      </c>
    </row>
    <row r="278" spans="1:5" x14ac:dyDescent="0.35">
      <c r="A278" s="189">
        <f>IF(ISNUMBER(SEARCH('Area Summary'!$E$3,B278)),MAX(A$1:$B277)+1,0)</f>
        <v>277</v>
      </c>
      <c r="B278" s="284" t="s">
        <v>206</v>
      </c>
      <c r="D278" s="5" t="str">
        <f ca="1"/>
        <v>West Lindsey</v>
      </c>
      <c r="E278" s="192" t="str">
        <f>IFERROR(VLOOKUP(ROWS($E$2:E278),$A$2:$B$307,2,0),"")</f>
        <v>West Lindsey</v>
      </c>
    </row>
    <row r="279" spans="1:5" x14ac:dyDescent="0.35">
      <c r="A279" s="189">
        <f>IF(ISNUMBER(SEARCH('Area Summary'!$E$3,B279)),MAX(A$1:$B278)+1,0)</f>
        <v>278</v>
      </c>
      <c r="B279" s="284" t="s">
        <v>207</v>
      </c>
      <c r="D279" s="5" t="str">
        <f ca="1"/>
        <v>West Northamptonshire</v>
      </c>
      <c r="E279" s="192" t="str">
        <f>IFERROR(VLOOKUP(ROWS($E$2:E279),$A$2:$B$307,2,0),"")</f>
        <v>West Northamptonshire</v>
      </c>
    </row>
    <row r="280" spans="1:5" x14ac:dyDescent="0.35">
      <c r="A280" s="189">
        <f>IF(ISNUMBER(SEARCH('Area Summary'!$E$3,B280)),MAX(A$1:$B279)+1,0)</f>
        <v>279</v>
      </c>
      <c r="B280" s="284" t="s">
        <v>208</v>
      </c>
      <c r="D280" s="5" t="str">
        <f ca="1"/>
        <v>West Oxfordshire</v>
      </c>
      <c r="E280" s="192" t="str">
        <f>IFERROR(VLOOKUP(ROWS($E$2:E280),$A$2:$B$307,2,0),"")</f>
        <v>West Oxfordshire</v>
      </c>
    </row>
    <row r="281" spans="1:5" x14ac:dyDescent="0.35">
      <c r="A281" s="189">
        <f>IF(ISNUMBER(SEARCH('Area Summary'!$E$3,B281)),MAX(A$1:$B280)+1,0)</f>
        <v>280</v>
      </c>
      <c r="B281" s="284" t="s">
        <v>209</v>
      </c>
      <c r="D281" s="5" t="str">
        <f ca="1"/>
        <v>West Suffolk</v>
      </c>
      <c r="E281" s="192" t="str">
        <f>IFERROR(VLOOKUP(ROWS($E$2:E281),$A$2:$B$307,2,0),"")</f>
        <v>West Suffolk</v>
      </c>
    </row>
    <row r="282" spans="1:5" x14ac:dyDescent="0.35">
      <c r="A282" s="189">
        <f>IF(ISNUMBER(SEARCH('Area Summary'!$E$3,B282)),MAX(A$1:$B281)+1,0)</f>
        <v>281</v>
      </c>
      <c r="B282" s="284" t="s">
        <v>210</v>
      </c>
      <c r="D282" s="5" t="str">
        <f ca="1"/>
        <v>Westminster</v>
      </c>
      <c r="E282" s="192" t="str">
        <f>IFERROR(VLOOKUP(ROWS($E$2:E282),$A$2:$B$307,2,0),"")</f>
        <v>Westminster</v>
      </c>
    </row>
    <row r="283" spans="1:5" x14ac:dyDescent="0.35">
      <c r="A283" s="189">
        <f>IF(ISNUMBER(SEARCH('Area Summary'!$E$3,B283)),MAX(A$1:$B282)+1,0)</f>
        <v>282</v>
      </c>
      <c r="B283" s="284" t="s">
        <v>211</v>
      </c>
      <c r="D283" s="5" t="str">
        <f ca="1"/>
        <v>Westmorland and Furness</v>
      </c>
      <c r="E283" s="192" t="str">
        <f>IFERROR(VLOOKUP(ROWS($E$2:E283),$A$2:$B$307,2,0),"")</f>
        <v>Westmorland and Furness</v>
      </c>
    </row>
    <row r="284" spans="1:5" x14ac:dyDescent="0.35">
      <c r="A284" s="189">
        <f>IF(ISNUMBER(SEARCH('Area Summary'!$E$3,B284)),MAX(A$1:$B283)+1,0)</f>
        <v>283</v>
      </c>
      <c r="B284" s="284" t="s">
        <v>212</v>
      </c>
      <c r="D284" s="5" t="str">
        <f ca="1"/>
        <v>Wigan</v>
      </c>
      <c r="E284" s="192" t="str">
        <f>IFERROR(VLOOKUP(ROWS($E$2:E284),$A$2:$B$307,2,0),"")</f>
        <v>Wigan</v>
      </c>
    </row>
    <row r="285" spans="1:5" x14ac:dyDescent="0.35">
      <c r="A285" s="189">
        <f>IF(ISNUMBER(SEARCH('Area Summary'!$E$3,B285)),MAX(A$1:$B284)+1,0)</f>
        <v>284</v>
      </c>
      <c r="B285" s="284" t="s">
        <v>213</v>
      </c>
      <c r="D285" s="5" t="str">
        <f ca="1"/>
        <v>Wiltshire</v>
      </c>
      <c r="E285" s="192" t="str">
        <f>IFERROR(VLOOKUP(ROWS($E$2:E285),$A$2:$B$307,2,0),"")</f>
        <v>Wiltshire</v>
      </c>
    </row>
    <row r="286" spans="1:5" x14ac:dyDescent="0.35">
      <c r="A286" s="189">
        <f>IF(ISNUMBER(SEARCH('Area Summary'!$E$3,B286)),MAX(A$1:$B285)+1,0)</f>
        <v>285</v>
      </c>
      <c r="B286" s="284" t="s">
        <v>214</v>
      </c>
      <c r="D286" s="5" t="str">
        <f ca="1"/>
        <v>Winchester</v>
      </c>
      <c r="E286" s="192" t="str">
        <f>IFERROR(VLOOKUP(ROWS($E$2:E286),$A$2:$B$307,2,0),"")</f>
        <v>Winchester</v>
      </c>
    </row>
    <row r="287" spans="1:5" x14ac:dyDescent="0.35">
      <c r="A287" s="189">
        <f>IF(ISNUMBER(SEARCH('Area Summary'!$E$3,B287)),MAX(A$1:$B286)+1,0)</f>
        <v>286</v>
      </c>
      <c r="B287" s="284" t="s">
        <v>215</v>
      </c>
      <c r="D287" s="5" t="str">
        <f ca="1"/>
        <v>Windsor and Maidenhead</v>
      </c>
      <c r="E287" s="192" t="str">
        <f>IFERROR(VLOOKUP(ROWS($E$2:E287),$A$2:$B$307,2,0),"")</f>
        <v>Windsor and Maidenhead</v>
      </c>
    </row>
    <row r="288" spans="1:5" x14ac:dyDescent="0.35">
      <c r="A288" s="189">
        <f>IF(ISNUMBER(SEARCH('Area Summary'!$E$3,B288)),MAX(A$1:$B287)+1,0)</f>
        <v>287</v>
      </c>
      <c r="B288" s="284" t="s">
        <v>216</v>
      </c>
      <c r="D288" s="5" t="str">
        <f ca="1"/>
        <v>Wirral</v>
      </c>
      <c r="E288" s="192" t="str">
        <f>IFERROR(VLOOKUP(ROWS($E$2:E288),$A$2:$B$307,2,0),"")</f>
        <v>Wirral</v>
      </c>
    </row>
    <row r="289" spans="1:5" x14ac:dyDescent="0.35">
      <c r="A289" s="189">
        <f>IF(ISNUMBER(SEARCH('Area Summary'!$E$3,B289)),MAX(A$1:$B288)+1,0)</f>
        <v>288</v>
      </c>
      <c r="B289" s="284" t="s">
        <v>217</v>
      </c>
      <c r="D289" s="5" t="str">
        <f ca="1"/>
        <v>Woking</v>
      </c>
      <c r="E289" s="192" t="str">
        <f>IFERROR(VLOOKUP(ROWS($E$2:E289),$A$2:$B$307,2,0),"")</f>
        <v>Woking</v>
      </c>
    </row>
    <row r="290" spans="1:5" x14ac:dyDescent="0.35">
      <c r="A290" s="189">
        <f>IF(ISNUMBER(SEARCH('Area Summary'!$E$3,B290)),MAX(A$1:$B289)+1,0)</f>
        <v>289</v>
      </c>
      <c r="B290" s="284" t="s">
        <v>218</v>
      </c>
      <c r="D290" s="5" t="str">
        <f ca="1"/>
        <v>Wokingham</v>
      </c>
      <c r="E290" s="192" t="str">
        <f>IFERROR(VLOOKUP(ROWS($E$2:E290),$A$2:$B$307,2,0),"")</f>
        <v>Wokingham</v>
      </c>
    </row>
    <row r="291" spans="1:5" x14ac:dyDescent="0.35">
      <c r="A291" s="189">
        <f>IF(ISNUMBER(SEARCH('Area Summary'!$E$3,B291)),MAX(A$1:$B290)+1,0)</f>
        <v>290</v>
      </c>
      <c r="B291" s="284" t="s">
        <v>219</v>
      </c>
      <c r="D291" s="5" t="str">
        <f ca="1"/>
        <v>Wolverhampton</v>
      </c>
      <c r="E291" s="192" t="str">
        <f>IFERROR(VLOOKUP(ROWS($E$2:E291),$A$2:$B$307,2,0),"")</f>
        <v>Wolverhampton</v>
      </c>
    </row>
    <row r="292" spans="1:5" x14ac:dyDescent="0.35">
      <c r="A292" s="189">
        <f>IF(ISNUMBER(SEARCH('Area Summary'!$E$3,B292)),MAX(A$1:$B291)+1,0)</f>
        <v>291</v>
      </c>
      <c r="B292" s="284" t="s">
        <v>220</v>
      </c>
      <c r="D292" s="5" t="str">
        <f ca="1"/>
        <v>Worcester</v>
      </c>
      <c r="E292" s="192" t="str">
        <f>IFERROR(VLOOKUP(ROWS($E$2:E292),$A$2:$B$307,2,0),"")</f>
        <v>Worcester</v>
      </c>
    </row>
    <row r="293" spans="1:5" x14ac:dyDescent="0.35">
      <c r="A293" s="189">
        <f>IF(ISNUMBER(SEARCH('Area Summary'!$E$3,B293)),MAX(A$1:$B292)+1,0)</f>
        <v>292</v>
      </c>
      <c r="B293" s="284" t="s">
        <v>221</v>
      </c>
      <c r="D293" s="5" t="str">
        <f ca="1"/>
        <v>Worthing</v>
      </c>
      <c r="E293" s="192" t="str">
        <f>IFERROR(VLOOKUP(ROWS($E$2:E293),$A$2:$B$307,2,0),"")</f>
        <v>Worthing</v>
      </c>
    </row>
    <row r="294" spans="1:5" x14ac:dyDescent="0.35">
      <c r="A294" s="189">
        <f>IF(ISNUMBER(SEARCH('Area Summary'!$E$3,B294)),MAX(A$1:$B293)+1,0)</f>
        <v>293</v>
      </c>
      <c r="B294" s="284" t="s">
        <v>222</v>
      </c>
      <c r="D294" s="5" t="str">
        <f ca="1"/>
        <v>Wychavon</v>
      </c>
      <c r="E294" s="192" t="str">
        <f>IFERROR(VLOOKUP(ROWS($E$2:E294),$A$2:$B$307,2,0),"")</f>
        <v>Wychavon</v>
      </c>
    </row>
    <row r="295" spans="1:5" x14ac:dyDescent="0.35">
      <c r="A295" s="189">
        <f>IF(ISNUMBER(SEARCH('Area Summary'!$E$3,B295)),MAX(A$1:$B294)+1,0)</f>
        <v>294</v>
      </c>
      <c r="B295" s="284" t="s">
        <v>223</v>
      </c>
      <c r="D295" s="5" t="str">
        <f ca="1"/>
        <v>Wyre</v>
      </c>
      <c r="E295" s="192" t="str">
        <f>IFERROR(VLOOKUP(ROWS($E$2:E295),$A$2:$B$307,2,0),"")</f>
        <v>Wyre</v>
      </c>
    </row>
    <row r="296" spans="1:5" x14ac:dyDescent="0.35">
      <c r="A296" s="189">
        <f>IF(ISNUMBER(SEARCH('Area Summary'!$E$3,B296)),MAX(A$1:$B295)+1,0)</f>
        <v>295</v>
      </c>
      <c r="B296" s="284" t="s">
        <v>224</v>
      </c>
      <c r="D296" s="5" t="str">
        <f ca="1"/>
        <v>Wyre Forest</v>
      </c>
      <c r="E296" s="192" t="str">
        <f>IFERROR(VLOOKUP(ROWS($E$2:E296),$A$2:$B$307,2,0),"")</f>
        <v>Wyre Forest</v>
      </c>
    </row>
    <row r="297" spans="1:5" x14ac:dyDescent="0.35">
      <c r="A297" s="189">
        <f>IF(ISNUMBER(SEARCH('Area Summary'!$E$3,B297)),MAX(A$1:$B296)+1,0)</f>
        <v>296</v>
      </c>
      <c r="B297" s="284" t="s">
        <v>225</v>
      </c>
      <c r="D297" s="5" t="str">
        <f ca="1"/>
        <v>York</v>
      </c>
      <c r="E297" s="192" t="str">
        <f>IFERROR(VLOOKUP(ROWS($E$2:E297),$A$2:$B$307,2,0),"")</f>
        <v>York</v>
      </c>
    </row>
    <row r="298" spans="1:5" x14ac:dyDescent="0.35">
      <c r="A298" s="189">
        <f>IF(ISNUMBER(SEARCH('Area Summary'!$E$3,B298)),MAX(A$1:$B297)+1,0)</f>
        <v>297</v>
      </c>
      <c r="B298" s="284" t="s">
        <v>109</v>
      </c>
      <c r="D298" s="5" t="str">
        <f ca="1"/>
        <v>England</v>
      </c>
      <c r="E298" s="192" t="str">
        <f>IFERROR(VLOOKUP(ROWS($E$2:E298),$A$2:$B$307,2,0),"")</f>
        <v>England</v>
      </c>
    </row>
    <row r="299" spans="1:5" x14ac:dyDescent="0.35">
      <c r="A299" s="189">
        <f>IF(ISNUMBER(SEARCH('Area Summary'!$E$3,B299)),MAX(A$1:$B298)+1,0)</f>
        <v>298</v>
      </c>
      <c r="B299" s="284" t="s">
        <v>898</v>
      </c>
      <c r="D299" s="5" t="str">
        <f ca="1"/>
        <v>East Midlands</v>
      </c>
      <c r="E299" s="192" t="str">
        <f>IFERROR(VLOOKUP(ROWS($E$2:E299),$A$2:$B$307,2,0),"")</f>
        <v>East Midlands</v>
      </c>
    </row>
    <row r="300" spans="1:5" x14ac:dyDescent="0.35">
      <c r="A300" s="189">
        <f>IF(ISNUMBER(SEARCH('Area Summary'!$E$3,B300)),MAX(A$1:$B299)+1,0)</f>
        <v>299</v>
      </c>
      <c r="B300" s="284" t="s">
        <v>1477</v>
      </c>
      <c r="D300" s="5" t="str">
        <f ca="1"/>
        <v>East of England</v>
      </c>
      <c r="E300" s="192" t="str">
        <f>IFERROR(VLOOKUP(ROWS($E$2:E300),$A$2:$B$307,2,0),"")</f>
        <v>East of England</v>
      </c>
    </row>
    <row r="301" spans="1:5" x14ac:dyDescent="0.35">
      <c r="A301" s="189">
        <f>IF(ISNUMBER(SEARCH('Area Summary'!$E$3,B301)),MAX(A$1:$B300)+1,0)</f>
        <v>300</v>
      </c>
      <c r="B301" s="284" t="s">
        <v>11188</v>
      </c>
      <c r="D301" s="5" t="str">
        <f ca="1"/>
        <v>London</v>
      </c>
      <c r="E301" s="192" t="str">
        <f>IFERROR(VLOOKUP(ROWS($E$2:E301),$A$2:$B$307,2,0),"")</f>
        <v>London</v>
      </c>
    </row>
    <row r="302" spans="1:5" x14ac:dyDescent="0.35">
      <c r="A302" s="189">
        <f>IF(ISNUMBER(SEARCH('Area Summary'!$E$3,B302)),MAX(A$1:$B301)+1,0)</f>
        <v>301</v>
      </c>
      <c r="B302" s="284" t="s">
        <v>292</v>
      </c>
      <c r="D302" s="5" t="str">
        <f ca="1"/>
        <v>North East</v>
      </c>
      <c r="E302" s="192" t="str">
        <f>IFERROR(VLOOKUP(ROWS($E$2:E302),$A$2:$B$307,2,0),"")</f>
        <v>North East</v>
      </c>
    </row>
    <row r="303" spans="1:5" x14ac:dyDescent="0.35">
      <c r="A303" s="189">
        <f>IF(ISNUMBER(SEARCH('Area Summary'!$E$3,B303)),MAX(A$1:$B302)+1,0)</f>
        <v>302</v>
      </c>
      <c r="B303" s="284" t="s">
        <v>520</v>
      </c>
      <c r="D303" s="5" t="str">
        <f ca="1"/>
        <v>North West</v>
      </c>
      <c r="E303" s="192" t="str">
        <f>IFERROR(VLOOKUP(ROWS($E$2:E303),$A$2:$B$307,2,0),"")</f>
        <v>North West</v>
      </c>
    </row>
    <row r="304" spans="1:5" x14ac:dyDescent="0.35">
      <c r="A304" s="189">
        <f>IF(ISNUMBER(SEARCH('Area Summary'!$E$3,B304)),MAX(A$1:$B303)+1,0)</f>
        <v>303</v>
      </c>
      <c r="B304" s="284" t="s">
        <v>1644</v>
      </c>
      <c r="D304" s="5" t="str">
        <f ca="1"/>
        <v>South East</v>
      </c>
      <c r="E304" s="192" t="str">
        <f>IFERROR(VLOOKUP(ROWS($E$2:E304),$A$2:$B$307,2,0),"")</f>
        <v>South East</v>
      </c>
    </row>
    <row r="305" spans="1:5" x14ac:dyDescent="0.35">
      <c r="A305" s="189">
        <f>IF(ISNUMBER(SEARCH('Area Summary'!$E$3,B305)),MAX(A$1:$B304)+1,0)</f>
        <v>304</v>
      </c>
      <c r="B305" s="284" t="s">
        <v>1184</v>
      </c>
      <c r="D305" s="5" t="str">
        <f ca="1"/>
        <v>South West</v>
      </c>
      <c r="E305" s="192" t="str">
        <f>IFERROR(VLOOKUP(ROWS($E$2:E305),$A$2:$B$307,2,0),"")</f>
        <v>South West</v>
      </c>
    </row>
    <row r="306" spans="1:5" x14ac:dyDescent="0.35">
      <c r="A306" s="189">
        <f>IF(ISNUMBER(SEARCH('Area Summary'!$E$3,B306)),MAX(A$1:$B305)+1,0)</f>
        <v>305</v>
      </c>
      <c r="B306" s="284" t="s">
        <v>1059</v>
      </c>
      <c r="D306" s="5" t="str">
        <f ca="1"/>
        <v>West Midlands</v>
      </c>
      <c r="E306" s="192" t="str">
        <f>IFERROR(VLOOKUP(ROWS($E$2:E306),$A$2:$B$307,2,0),"")</f>
        <v>West Midlands</v>
      </c>
    </row>
    <row r="307" spans="1:5" x14ac:dyDescent="0.35">
      <c r="A307" s="189">
        <f>IF(ISNUMBER(SEARCH('Area Summary'!$E$3,B307)),MAX(A$1:$B306)+1,0)</f>
        <v>306</v>
      </c>
      <c r="B307" s="284" t="s">
        <v>688</v>
      </c>
      <c r="D307" s="5" t="str">
        <f ca="1"/>
        <v>Yorkshire and the Humber</v>
      </c>
      <c r="E307" s="192" t="str">
        <f>IFERROR(VLOOKUP(ROWS($E$2:E307),$A$2:$B$307,2,0),"")</f>
        <v>Yorkshire and the Humber</v>
      </c>
    </row>
    <row r="308" spans="1:5" x14ac:dyDescent="0.35">
      <c r="A308" s="189"/>
      <c r="B308" s="284"/>
      <c r="E308" s="192"/>
    </row>
    <row r="309" spans="1:5" x14ac:dyDescent="0.35">
      <c r="A309" s="189"/>
      <c r="B309" s="284"/>
      <c r="E309" s="192"/>
    </row>
    <row r="310" spans="1:5" x14ac:dyDescent="0.35">
      <c r="A310" s="189"/>
      <c r="B310" s="284"/>
      <c r="E310" s="192"/>
    </row>
    <row r="311" spans="1:5" x14ac:dyDescent="0.35">
      <c r="A311" s="189"/>
      <c r="E311" s="192"/>
    </row>
    <row r="312" spans="1:5" x14ac:dyDescent="0.35">
      <c r="A312" s="189"/>
      <c r="E312" s="192"/>
    </row>
    <row r="313" spans="1:5" x14ac:dyDescent="0.35">
      <c r="A313" s="189"/>
      <c r="E313" s="192"/>
    </row>
    <row r="314" spans="1:5" x14ac:dyDescent="0.35">
      <c r="A314" s="189"/>
      <c r="E314" s="192"/>
    </row>
    <row r="315" spans="1:5" x14ac:dyDescent="0.35">
      <c r="A315" s="189"/>
      <c r="E315" s="192"/>
    </row>
    <row r="316" spans="1:5" x14ac:dyDescent="0.35">
      <c r="A316" s="189"/>
      <c r="E316" s="192"/>
    </row>
    <row r="317" spans="1:5" x14ac:dyDescent="0.35">
      <c r="A317" s="189"/>
      <c r="E317" s="192"/>
    </row>
    <row r="318" spans="1:5" x14ac:dyDescent="0.35">
      <c r="A318" s="189"/>
      <c r="E318" s="192"/>
    </row>
    <row r="319" spans="1:5" x14ac:dyDescent="0.35">
      <c r="A319" s="189"/>
      <c r="E319" s="192"/>
    </row>
    <row r="320" spans="1:5" x14ac:dyDescent="0.35">
      <c r="A320" s="189"/>
      <c r="E320" s="192"/>
    </row>
    <row r="321" spans="1:5" x14ac:dyDescent="0.35">
      <c r="A321" s="189"/>
      <c r="B321" s="190"/>
      <c r="E321" s="192"/>
    </row>
    <row r="322" spans="1:5" x14ac:dyDescent="0.35">
      <c r="A322" s="189"/>
      <c r="B322" s="190"/>
      <c r="E322" s="192"/>
    </row>
    <row r="323" spans="1:5" x14ac:dyDescent="0.35">
      <c r="A323" s="189"/>
      <c r="B323" s="190"/>
      <c r="E323" s="192"/>
    </row>
    <row r="324" spans="1:5" x14ac:dyDescent="0.35">
      <c r="A324" s="189"/>
      <c r="B324" s="190"/>
      <c r="E324" s="192"/>
    </row>
    <row r="325" spans="1:5" x14ac:dyDescent="0.35">
      <c r="A325" s="189"/>
      <c r="B325" s="190"/>
      <c r="E325" s="192"/>
    </row>
    <row r="326" spans="1:5" x14ac:dyDescent="0.35">
      <c r="A326" s="189"/>
      <c r="B326" s="190"/>
      <c r="E326" s="192"/>
    </row>
    <row r="327" spans="1:5" x14ac:dyDescent="0.35">
      <c r="A327" s="189"/>
      <c r="B327" s="190"/>
      <c r="E327" s="192"/>
    </row>
    <row r="328" spans="1:5" x14ac:dyDescent="0.35">
      <c r="A328" s="189"/>
      <c r="B328" s="190"/>
      <c r="E328" s="192"/>
    </row>
    <row r="329" spans="1:5" x14ac:dyDescent="0.35">
      <c r="A329" s="189"/>
      <c r="B329" s="190"/>
      <c r="E329" s="192"/>
    </row>
    <row r="330" spans="1:5" x14ac:dyDescent="0.35">
      <c r="A330" s="189"/>
      <c r="B330" s="190"/>
      <c r="E330" s="192"/>
    </row>
    <row r="331" spans="1:5" x14ac:dyDescent="0.35">
      <c r="A331" s="189"/>
      <c r="B331" s="190"/>
      <c r="E331" s="192"/>
    </row>
    <row r="332" spans="1:5" x14ac:dyDescent="0.35">
      <c r="A332" s="189"/>
      <c r="B332" s="190"/>
      <c r="E332" s="192"/>
    </row>
    <row r="333" spans="1:5" x14ac:dyDescent="0.35">
      <c r="A333" s="189"/>
      <c r="B333" s="190"/>
      <c r="E333" s="192"/>
    </row>
    <row r="334" spans="1:5" x14ac:dyDescent="0.35">
      <c r="A334" s="189"/>
      <c r="B334" s="190"/>
      <c r="E334" s="192"/>
    </row>
    <row r="335" spans="1:5" x14ac:dyDescent="0.35">
      <c r="A335" s="189"/>
      <c r="B335" s="190"/>
      <c r="E335" s="192"/>
    </row>
    <row r="336" spans="1:5" x14ac:dyDescent="0.35">
      <c r="A336" s="189"/>
      <c r="B336" s="190"/>
      <c r="E336" s="192"/>
    </row>
    <row r="337" spans="1:5" x14ac:dyDescent="0.35">
      <c r="A337" s="189"/>
      <c r="B337" s="190"/>
      <c r="E337" s="192"/>
    </row>
    <row r="338" spans="1:5" x14ac:dyDescent="0.35">
      <c r="A338" s="189"/>
      <c r="B338" s="190"/>
      <c r="E338" s="192"/>
    </row>
    <row r="339" spans="1:5" x14ac:dyDescent="0.35">
      <c r="A339" s="189"/>
      <c r="B339" s="190"/>
      <c r="E339" s="192"/>
    </row>
    <row r="340" spans="1:5" x14ac:dyDescent="0.35">
      <c r="A340" s="189"/>
      <c r="B340" s="190"/>
      <c r="E340" s="192"/>
    </row>
    <row r="341" spans="1:5" x14ac:dyDescent="0.35">
      <c r="A341" s="189"/>
      <c r="B341" s="190"/>
      <c r="E341" s="192"/>
    </row>
    <row r="342" spans="1:5" x14ac:dyDescent="0.35">
      <c r="A342" s="189"/>
      <c r="B342" s="190"/>
      <c r="E342" s="192"/>
    </row>
    <row r="343" spans="1:5" x14ac:dyDescent="0.35">
      <c r="A343" s="189"/>
      <c r="B343" s="190"/>
      <c r="E343" s="192"/>
    </row>
    <row r="344" spans="1:5" x14ac:dyDescent="0.35">
      <c r="A344" s="189"/>
      <c r="B344" s="190"/>
      <c r="E344" s="192"/>
    </row>
    <row r="345" spans="1:5" x14ac:dyDescent="0.35">
      <c r="A345" s="189"/>
      <c r="B345" s="190"/>
      <c r="E345" s="192"/>
    </row>
    <row r="346" spans="1:5" x14ac:dyDescent="0.35">
      <c r="A346" s="189"/>
      <c r="B346" s="190"/>
      <c r="E346" s="192"/>
    </row>
    <row r="347" spans="1:5" x14ac:dyDescent="0.35">
      <c r="A347" s="189"/>
      <c r="B347" s="190"/>
      <c r="E347" s="192"/>
    </row>
    <row r="348" spans="1:5" x14ac:dyDescent="0.35">
      <c r="A348" s="189"/>
      <c r="B348" s="190"/>
      <c r="E348" s="192"/>
    </row>
    <row r="349" spans="1:5" x14ac:dyDescent="0.35">
      <c r="A349" s="189"/>
      <c r="B349" s="190"/>
      <c r="E349" s="192"/>
    </row>
    <row r="350" spans="1:5" x14ac:dyDescent="0.35">
      <c r="A350" s="189"/>
      <c r="B350" s="190"/>
      <c r="E350" s="192"/>
    </row>
    <row r="351" spans="1:5" x14ac:dyDescent="0.35">
      <c r="A351" s="189"/>
      <c r="B351" s="190"/>
      <c r="E351" s="192"/>
    </row>
    <row r="352" spans="1:5" x14ac:dyDescent="0.35">
      <c r="A352" s="189"/>
      <c r="B352" s="190"/>
      <c r="E352" s="192"/>
    </row>
    <row r="353" spans="1:5" x14ac:dyDescent="0.35">
      <c r="A353" s="189"/>
      <c r="B353" s="190"/>
      <c r="E353" s="192"/>
    </row>
    <row r="354" spans="1:5" x14ac:dyDescent="0.35">
      <c r="A354" s="189"/>
      <c r="B354" s="190"/>
      <c r="E354" s="192"/>
    </row>
    <row r="355" spans="1:5" x14ac:dyDescent="0.35">
      <c r="A355" s="189"/>
      <c r="B355" s="190"/>
      <c r="E355" s="192"/>
    </row>
    <row r="356" spans="1:5" x14ac:dyDescent="0.35">
      <c r="A356" s="189"/>
      <c r="B356" s="190"/>
      <c r="E356" s="192"/>
    </row>
    <row r="357" spans="1:5" x14ac:dyDescent="0.35">
      <c r="A357" s="189"/>
      <c r="B357" s="190"/>
      <c r="E357" s="192"/>
    </row>
    <row r="358" spans="1:5" x14ac:dyDescent="0.35">
      <c r="A358" s="189"/>
      <c r="B358" s="190"/>
      <c r="E358" s="192"/>
    </row>
    <row r="359" spans="1:5" x14ac:dyDescent="0.35">
      <c r="A359" s="189"/>
      <c r="B359" s="190"/>
      <c r="E359" s="192"/>
    </row>
    <row r="360" spans="1:5" x14ac:dyDescent="0.35">
      <c r="A360" s="189"/>
      <c r="B360" s="190"/>
      <c r="E360" s="192"/>
    </row>
    <row r="361" spans="1:5" x14ac:dyDescent="0.35">
      <c r="A361" s="189"/>
      <c r="B361" s="190"/>
      <c r="E361" s="192"/>
    </row>
    <row r="362" spans="1:5" x14ac:dyDescent="0.35">
      <c r="A362" s="189"/>
      <c r="B362" s="190"/>
      <c r="E362" s="192"/>
    </row>
    <row r="363" spans="1:5" x14ac:dyDescent="0.35">
      <c r="A363" s="189"/>
      <c r="B363" s="190"/>
      <c r="E363" s="192"/>
    </row>
    <row r="364" spans="1:5" x14ac:dyDescent="0.35">
      <c r="A364" s="189"/>
      <c r="B364" s="190"/>
      <c r="E364" s="192"/>
    </row>
    <row r="365" spans="1:5" x14ac:dyDescent="0.35">
      <c r="A365" s="189"/>
      <c r="B365" s="190"/>
      <c r="E365" s="192"/>
    </row>
    <row r="366" spans="1:5" x14ac:dyDescent="0.35">
      <c r="A366" s="189"/>
      <c r="B366" s="190"/>
      <c r="E366" s="192"/>
    </row>
    <row r="367" spans="1:5" x14ac:dyDescent="0.35">
      <c r="A367" s="189"/>
      <c r="B367" s="190"/>
      <c r="E367" s="192"/>
    </row>
    <row r="368" spans="1:5" x14ac:dyDescent="0.35">
      <c r="A368" s="189"/>
      <c r="B368" s="190"/>
      <c r="E368" s="192"/>
    </row>
    <row r="369" spans="1:5" x14ac:dyDescent="0.35">
      <c r="A369" s="189"/>
      <c r="B369" s="190"/>
      <c r="E369" s="192"/>
    </row>
    <row r="370" spans="1:5" x14ac:dyDescent="0.35">
      <c r="A370" s="189"/>
      <c r="B370" s="190"/>
      <c r="E370" s="192"/>
    </row>
    <row r="371" spans="1:5" x14ac:dyDescent="0.35">
      <c r="A371" s="189"/>
      <c r="B371" s="190"/>
      <c r="E371" s="192"/>
    </row>
    <row r="372" spans="1:5" x14ac:dyDescent="0.35">
      <c r="A372" s="189"/>
      <c r="B372" s="190"/>
      <c r="E372" s="192"/>
    </row>
    <row r="373" spans="1:5" x14ac:dyDescent="0.35">
      <c r="A373" s="189"/>
      <c r="B373" s="190"/>
      <c r="E373" s="192"/>
    </row>
    <row r="374" spans="1:5" x14ac:dyDescent="0.35">
      <c r="A374" s="189"/>
      <c r="B374" s="190"/>
      <c r="E374" s="192"/>
    </row>
    <row r="375" spans="1:5" x14ac:dyDescent="0.35">
      <c r="A375" s="189"/>
      <c r="B375" s="190"/>
      <c r="E375" s="192"/>
    </row>
    <row r="376" spans="1:5" x14ac:dyDescent="0.35">
      <c r="A376" s="189"/>
      <c r="B376" s="190"/>
      <c r="E376" s="192"/>
    </row>
    <row r="377" spans="1:5" x14ac:dyDescent="0.35">
      <c r="A377" s="189"/>
      <c r="B377" s="190"/>
      <c r="E377" s="192"/>
    </row>
    <row r="378" spans="1:5" x14ac:dyDescent="0.35">
      <c r="A378" s="189"/>
      <c r="B378" s="190"/>
      <c r="E378" s="192"/>
    </row>
    <row r="379" spans="1:5" x14ac:dyDescent="0.35">
      <c r="A379" s="189"/>
      <c r="B379" s="190"/>
      <c r="E379" s="192"/>
    </row>
    <row r="380" spans="1:5" x14ac:dyDescent="0.35">
      <c r="A380" s="189"/>
      <c r="B380" s="190"/>
      <c r="E380" s="192"/>
    </row>
    <row r="381" spans="1:5" x14ac:dyDescent="0.35">
      <c r="A381" s="189"/>
      <c r="B381" s="190"/>
      <c r="E381" s="192"/>
    </row>
    <row r="382" spans="1:5" x14ac:dyDescent="0.35">
      <c r="A382" s="189"/>
      <c r="B382" s="190"/>
      <c r="E382" s="192"/>
    </row>
    <row r="383" spans="1:5" x14ac:dyDescent="0.35">
      <c r="A383" s="189"/>
      <c r="B383" s="190"/>
      <c r="E383" s="192"/>
    </row>
    <row r="384" spans="1:5" x14ac:dyDescent="0.35">
      <c r="A384" s="189"/>
      <c r="B384" s="190"/>
      <c r="E384" s="192"/>
    </row>
    <row r="385" spans="1:5" x14ac:dyDescent="0.35">
      <c r="A385" s="189"/>
      <c r="B385" s="190"/>
      <c r="E385" s="192"/>
    </row>
    <row r="386" spans="1:5" x14ac:dyDescent="0.35">
      <c r="A386" s="189"/>
      <c r="B386" s="190"/>
      <c r="E386" s="192"/>
    </row>
    <row r="387" spans="1:5" x14ac:dyDescent="0.35">
      <c r="A387" s="189"/>
      <c r="B387" s="190"/>
      <c r="E387" s="192"/>
    </row>
    <row r="388" spans="1:5" x14ac:dyDescent="0.35">
      <c r="A388" s="189"/>
      <c r="B388" s="190"/>
      <c r="E388" s="192"/>
    </row>
    <row r="389" spans="1:5" x14ac:dyDescent="0.35">
      <c r="A389" s="189"/>
      <c r="B389" s="190"/>
      <c r="E389" s="192"/>
    </row>
    <row r="390" spans="1:5" x14ac:dyDescent="0.35">
      <c r="A390" s="189"/>
      <c r="B390" s="190"/>
      <c r="E390" s="192"/>
    </row>
    <row r="391" spans="1:5" x14ac:dyDescent="0.35">
      <c r="A391" s="189"/>
      <c r="B391" s="190"/>
      <c r="E391" s="192"/>
    </row>
    <row r="392" spans="1:5" x14ac:dyDescent="0.35">
      <c r="A392" s="189"/>
      <c r="B392" s="190"/>
      <c r="E392" s="192"/>
    </row>
    <row r="393" spans="1:5" x14ac:dyDescent="0.35">
      <c r="A393" s="189"/>
      <c r="B393" s="190"/>
      <c r="E393" s="192"/>
    </row>
    <row r="394" spans="1:5" x14ac:dyDescent="0.35">
      <c r="A394" s="189"/>
      <c r="B394" s="190"/>
      <c r="E394" s="192"/>
    </row>
    <row r="395" spans="1:5" x14ac:dyDescent="0.35">
      <c r="A395" s="189"/>
      <c r="B395" s="190"/>
      <c r="E395" s="192"/>
    </row>
    <row r="396" spans="1:5" x14ac:dyDescent="0.35">
      <c r="A396" s="189"/>
      <c r="B396" s="190"/>
      <c r="E396" s="192"/>
    </row>
    <row r="397" spans="1:5" x14ac:dyDescent="0.35">
      <c r="A397" s="189"/>
      <c r="B397" s="190"/>
      <c r="E397" s="192"/>
    </row>
    <row r="398" spans="1:5" x14ac:dyDescent="0.35">
      <c r="A398" s="189"/>
      <c r="B398" s="190"/>
      <c r="E398" s="192"/>
    </row>
    <row r="399" spans="1:5" x14ac:dyDescent="0.35">
      <c r="A399" s="189"/>
      <c r="B399" s="190"/>
      <c r="E399" s="192"/>
    </row>
    <row r="400" spans="1:5" x14ac:dyDescent="0.35">
      <c r="A400" s="189"/>
      <c r="B400" s="190"/>
      <c r="E400" s="192"/>
    </row>
    <row r="401" spans="1:5" x14ac:dyDescent="0.35">
      <c r="A401" s="189"/>
      <c r="B401" s="190"/>
      <c r="E401" s="192"/>
    </row>
    <row r="402" spans="1:5" x14ac:dyDescent="0.35">
      <c r="A402" s="189"/>
      <c r="B402" s="190"/>
      <c r="E402" s="192"/>
    </row>
    <row r="403" spans="1:5" x14ac:dyDescent="0.35">
      <c r="A403" s="189"/>
      <c r="B403" s="190"/>
      <c r="E403" s="192"/>
    </row>
    <row r="404" spans="1:5" x14ac:dyDescent="0.35">
      <c r="A404" s="189"/>
      <c r="B404" s="190"/>
      <c r="E404" s="192"/>
    </row>
    <row r="405" spans="1:5" x14ac:dyDescent="0.35">
      <c r="A405" s="189"/>
      <c r="B405" s="190"/>
      <c r="E405" s="192"/>
    </row>
    <row r="406" spans="1:5" x14ac:dyDescent="0.35">
      <c r="A406" s="189"/>
      <c r="B406" s="190"/>
      <c r="E406" s="192"/>
    </row>
    <row r="407" spans="1:5" x14ac:dyDescent="0.35">
      <c r="A407" s="189"/>
      <c r="B407" s="190"/>
      <c r="E407" s="192"/>
    </row>
    <row r="408" spans="1:5" x14ac:dyDescent="0.35">
      <c r="A408" s="189"/>
      <c r="B408" s="190"/>
      <c r="E408" s="192"/>
    </row>
    <row r="409" spans="1:5" x14ac:dyDescent="0.35">
      <c r="A409" s="189"/>
      <c r="B409" s="190"/>
      <c r="E409" s="192"/>
    </row>
    <row r="410" spans="1:5" x14ac:dyDescent="0.35">
      <c r="A410" s="189"/>
      <c r="B410" s="190"/>
      <c r="E410" s="192"/>
    </row>
    <row r="411" spans="1:5" x14ac:dyDescent="0.35">
      <c r="A411" s="189"/>
      <c r="B411" s="190"/>
      <c r="E411" s="192"/>
    </row>
    <row r="412" spans="1:5" x14ac:dyDescent="0.35">
      <c r="A412" s="189"/>
      <c r="B412" s="190"/>
      <c r="E412" s="192"/>
    </row>
    <row r="413" spans="1:5" x14ac:dyDescent="0.35">
      <c r="A413" s="189"/>
      <c r="B413" s="190"/>
      <c r="E413" s="192"/>
    </row>
    <row r="414" spans="1:5" x14ac:dyDescent="0.35">
      <c r="A414" s="189"/>
      <c r="B414" s="190"/>
      <c r="E414" s="192"/>
    </row>
    <row r="415" spans="1:5" x14ac:dyDescent="0.35">
      <c r="A415" s="189"/>
      <c r="B415" s="190"/>
      <c r="E415" s="192"/>
    </row>
    <row r="416" spans="1:5" x14ac:dyDescent="0.35">
      <c r="A416" s="189"/>
      <c r="B416" s="190"/>
      <c r="E416" s="192"/>
    </row>
    <row r="417" spans="1:5" x14ac:dyDescent="0.35">
      <c r="A417" s="189"/>
      <c r="B417" s="190"/>
      <c r="E417" s="192"/>
    </row>
    <row r="418" spans="1:5" x14ac:dyDescent="0.35">
      <c r="A418" s="189"/>
      <c r="B418" s="190"/>
      <c r="E418" s="192"/>
    </row>
    <row r="419" spans="1:5" x14ac:dyDescent="0.35">
      <c r="A419" s="189"/>
      <c r="B419" s="190"/>
      <c r="E419" s="192"/>
    </row>
    <row r="420" spans="1:5" x14ac:dyDescent="0.35">
      <c r="A420" s="189"/>
      <c r="B420" s="190"/>
      <c r="E420" s="192"/>
    </row>
    <row r="421" spans="1:5" x14ac:dyDescent="0.35">
      <c r="A421" s="189"/>
      <c r="B421" s="190"/>
      <c r="E421" s="192"/>
    </row>
    <row r="422" spans="1:5" x14ac:dyDescent="0.35">
      <c r="A422" s="189"/>
      <c r="B422" s="190"/>
      <c r="E422" s="192"/>
    </row>
    <row r="423" spans="1:5" x14ac:dyDescent="0.35">
      <c r="A423" s="189"/>
      <c r="B423" s="190"/>
      <c r="E423" s="192"/>
    </row>
    <row r="424" spans="1:5" x14ac:dyDescent="0.35">
      <c r="A424" s="189"/>
      <c r="B424" s="190"/>
      <c r="E424" s="192"/>
    </row>
    <row r="425" spans="1:5" x14ac:dyDescent="0.35">
      <c r="A425" s="189"/>
      <c r="B425" s="190"/>
      <c r="E425" s="192"/>
    </row>
    <row r="426" spans="1:5" x14ac:dyDescent="0.35">
      <c r="A426" s="189"/>
      <c r="B426" s="190"/>
      <c r="E426" s="192"/>
    </row>
    <row r="427" spans="1:5" x14ac:dyDescent="0.35">
      <c r="A427" s="189"/>
      <c r="B427" s="190"/>
      <c r="E427" s="192"/>
    </row>
    <row r="428" spans="1:5" x14ac:dyDescent="0.35">
      <c r="A428" s="189"/>
      <c r="B428" s="190"/>
      <c r="E428" s="192"/>
    </row>
    <row r="429" spans="1:5" x14ac:dyDescent="0.35">
      <c r="A429" s="189"/>
      <c r="B429" s="190"/>
      <c r="E429" s="192"/>
    </row>
    <row r="430" spans="1:5" x14ac:dyDescent="0.35">
      <c r="A430" s="189"/>
      <c r="B430" s="190"/>
      <c r="E430" s="192"/>
    </row>
    <row r="431" spans="1:5" x14ac:dyDescent="0.35">
      <c r="A431" s="189"/>
      <c r="B431" s="190"/>
      <c r="E431" s="192"/>
    </row>
    <row r="432" spans="1:5" x14ac:dyDescent="0.35">
      <c r="A432" s="189"/>
      <c r="B432" s="190"/>
      <c r="E432" s="192"/>
    </row>
    <row r="433" spans="1:5" x14ac:dyDescent="0.35">
      <c r="A433" s="189"/>
      <c r="B433" s="190"/>
      <c r="E433" s="192"/>
    </row>
    <row r="434" spans="1:5" x14ac:dyDescent="0.35">
      <c r="A434" s="189"/>
      <c r="B434" s="190"/>
      <c r="E434" s="192"/>
    </row>
    <row r="435" spans="1:5" x14ac:dyDescent="0.35">
      <c r="A435" s="189"/>
      <c r="B435" s="190"/>
      <c r="E435" s="192"/>
    </row>
    <row r="436" spans="1:5" x14ac:dyDescent="0.35">
      <c r="A436" s="189"/>
      <c r="B436" s="190"/>
      <c r="E436" s="192"/>
    </row>
    <row r="437" spans="1:5" x14ac:dyDescent="0.35">
      <c r="A437" s="189"/>
      <c r="B437" s="190"/>
      <c r="E437" s="192"/>
    </row>
    <row r="438" spans="1:5" x14ac:dyDescent="0.35">
      <c r="A438" s="189"/>
      <c r="B438" s="190"/>
      <c r="E438" s="192"/>
    </row>
    <row r="439" spans="1:5" x14ac:dyDescent="0.35">
      <c r="A439" s="189"/>
      <c r="B439" s="190"/>
      <c r="E439" s="192"/>
    </row>
    <row r="440" spans="1:5" x14ac:dyDescent="0.35">
      <c r="A440" s="189"/>
      <c r="B440" s="190"/>
      <c r="E440" s="192"/>
    </row>
    <row r="441" spans="1:5" x14ac:dyDescent="0.35">
      <c r="A441" s="189"/>
      <c r="B441" s="190"/>
      <c r="E441" s="192"/>
    </row>
    <row r="442" spans="1:5" x14ac:dyDescent="0.35">
      <c r="A442" s="189"/>
      <c r="B442" s="190"/>
      <c r="E442" s="192"/>
    </row>
    <row r="443" spans="1:5" x14ac:dyDescent="0.35">
      <c r="A443" s="189"/>
      <c r="B443" s="190"/>
      <c r="E443" s="192"/>
    </row>
    <row r="444" spans="1:5" x14ac:dyDescent="0.35">
      <c r="A444" s="189"/>
      <c r="B444" s="190"/>
      <c r="E444" s="192"/>
    </row>
    <row r="445" spans="1:5" x14ac:dyDescent="0.35">
      <c r="A445" s="189"/>
      <c r="B445" s="190"/>
      <c r="E445" s="192"/>
    </row>
    <row r="446" spans="1:5" x14ac:dyDescent="0.35">
      <c r="A446" s="189"/>
      <c r="B446" s="190"/>
      <c r="E446" s="192"/>
    </row>
    <row r="447" spans="1:5" x14ac:dyDescent="0.35">
      <c r="A447" s="189"/>
      <c r="B447" s="190"/>
      <c r="E447" s="192"/>
    </row>
    <row r="448" spans="1:5" x14ac:dyDescent="0.35">
      <c r="A448" s="189"/>
      <c r="B448" s="190"/>
      <c r="E448" s="192"/>
    </row>
    <row r="449" spans="1:5" x14ac:dyDescent="0.35">
      <c r="A449" s="189"/>
      <c r="B449" s="190"/>
      <c r="E449" s="192"/>
    </row>
    <row r="450" spans="1:5" x14ac:dyDescent="0.35">
      <c r="A450" s="189"/>
      <c r="B450" s="190"/>
      <c r="E450" s="192"/>
    </row>
    <row r="451" spans="1:5" x14ac:dyDescent="0.35">
      <c r="A451" s="189"/>
      <c r="B451" s="190"/>
      <c r="E451" s="192"/>
    </row>
    <row r="452" spans="1:5" x14ac:dyDescent="0.35">
      <c r="A452" s="189"/>
      <c r="B452" s="190"/>
      <c r="E452" s="192"/>
    </row>
    <row r="453" spans="1:5" x14ac:dyDescent="0.35">
      <c r="A453" s="189"/>
      <c r="B453" s="190"/>
      <c r="E453" s="192"/>
    </row>
    <row r="454" spans="1:5" x14ac:dyDescent="0.35">
      <c r="A454" s="189"/>
      <c r="B454" s="190"/>
      <c r="E454" s="192"/>
    </row>
    <row r="455" spans="1:5" x14ac:dyDescent="0.35">
      <c r="A455" s="189"/>
      <c r="B455" s="190"/>
      <c r="E455" s="192"/>
    </row>
    <row r="456" spans="1:5" x14ac:dyDescent="0.35">
      <c r="A456" s="189"/>
      <c r="B456" s="190"/>
      <c r="E456" s="192"/>
    </row>
    <row r="457" spans="1:5" x14ac:dyDescent="0.35">
      <c r="A457" s="189"/>
      <c r="B457" s="190"/>
      <c r="E457" s="192"/>
    </row>
    <row r="458" spans="1:5" x14ac:dyDescent="0.35">
      <c r="A458" s="189"/>
      <c r="B458" s="190"/>
      <c r="E458" s="192"/>
    </row>
    <row r="459" spans="1:5" x14ac:dyDescent="0.35">
      <c r="A459" s="189"/>
      <c r="B459" s="190"/>
      <c r="E459" s="192"/>
    </row>
    <row r="460" spans="1:5" x14ac:dyDescent="0.35">
      <c r="A460" s="189"/>
      <c r="B460" s="190"/>
      <c r="E460" s="192"/>
    </row>
    <row r="461" spans="1:5" x14ac:dyDescent="0.35">
      <c r="A461" s="189"/>
      <c r="B461" s="190"/>
      <c r="E461" s="192"/>
    </row>
    <row r="462" spans="1:5" x14ac:dyDescent="0.35">
      <c r="A462" s="189"/>
      <c r="B462" s="190"/>
      <c r="E462" s="192"/>
    </row>
    <row r="463" spans="1:5" x14ac:dyDescent="0.35">
      <c r="A463" s="189"/>
      <c r="B463" s="190"/>
      <c r="E463" s="192"/>
    </row>
    <row r="464" spans="1:5" x14ac:dyDescent="0.35">
      <c r="A464" s="189"/>
      <c r="B464" s="190"/>
      <c r="E464" s="192"/>
    </row>
    <row r="465" spans="1:5" x14ac:dyDescent="0.35">
      <c r="A465" s="189"/>
      <c r="B465" s="190"/>
      <c r="E465" s="192"/>
    </row>
    <row r="466" spans="1:5" x14ac:dyDescent="0.35">
      <c r="A466" s="189"/>
      <c r="B466" s="190"/>
      <c r="E466" s="192"/>
    </row>
    <row r="467" spans="1:5" x14ac:dyDescent="0.35">
      <c r="A467" s="189"/>
      <c r="B467" s="190"/>
      <c r="E467" s="192"/>
    </row>
    <row r="468" spans="1:5" x14ac:dyDescent="0.35">
      <c r="A468" s="189"/>
      <c r="B468" s="190"/>
      <c r="E468" s="192"/>
    </row>
    <row r="469" spans="1:5" x14ac:dyDescent="0.35">
      <c r="A469" s="189"/>
      <c r="B469" s="190"/>
      <c r="E469" s="192"/>
    </row>
    <row r="470" spans="1:5" x14ac:dyDescent="0.35">
      <c r="A470" s="189"/>
      <c r="B470" s="190"/>
      <c r="E470" s="192"/>
    </row>
    <row r="471" spans="1:5" x14ac:dyDescent="0.35">
      <c r="A471" s="189"/>
      <c r="B471" s="190"/>
      <c r="E471" s="192"/>
    </row>
    <row r="472" spans="1:5" x14ac:dyDescent="0.35">
      <c r="A472" s="189"/>
      <c r="B472" s="190"/>
      <c r="E472" s="192"/>
    </row>
    <row r="473" spans="1:5" x14ac:dyDescent="0.35">
      <c r="A473" s="189"/>
      <c r="B473" s="190"/>
      <c r="E473" s="192"/>
    </row>
    <row r="474" spans="1:5" x14ac:dyDescent="0.35">
      <c r="A474" s="189"/>
      <c r="B474" s="190"/>
      <c r="E474" s="192"/>
    </row>
    <row r="475" spans="1:5" x14ac:dyDescent="0.35">
      <c r="A475" s="189"/>
      <c r="B475" s="190"/>
      <c r="E475" s="192"/>
    </row>
    <row r="476" spans="1:5" x14ac:dyDescent="0.35">
      <c r="A476" s="189"/>
      <c r="B476" s="190"/>
      <c r="E476" s="192"/>
    </row>
    <row r="477" spans="1:5" x14ac:dyDescent="0.35">
      <c r="A477" s="189"/>
      <c r="B477" s="190"/>
      <c r="E477" s="192"/>
    </row>
    <row r="478" spans="1:5" x14ac:dyDescent="0.35">
      <c r="A478" s="189"/>
      <c r="B478" s="190"/>
      <c r="E478" s="192"/>
    </row>
    <row r="479" spans="1:5" x14ac:dyDescent="0.35">
      <c r="A479" s="189"/>
      <c r="B479" s="190"/>
      <c r="E479" s="192"/>
    </row>
    <row r="480" spans="1:5" x14ac:dyDescent="0.35">
      <c r="A480" s="189"/>
      <c r="B480" s="190"/>
      <c r="E480" s="192"/>
    </row>
    <row r="481" spans="1:5" x14ac:dyDescent="0.35">
      <c r="A481" s="189"/>
      <c r="B481" s="190"/>
      <c r="E481" s="192"/>
    </row>
    <row r="482" spans="1:5" x14ac:dyDescent="0.35">
      <c r="A482" s="189"/>
      <c r="B482" s="190"/>
      <c r="E482" s="192"/>
    </row>
    <row r="483" spans="1:5" x14ac:dyDescent="0.35">
      <c r="A483" s="189"/>
      <c r="B483" s="190"/>
      <c r="E483" s="192"/>
    </row>
    <row r="484" spans="1:5" x14ac:dyDescent="0.35">
      <c r="A484" s="189"/>
      <c r="B484" s="190"/>
      <c r="E484" s="192"/>
    </row>
    <row r="485" spans="1:5" x14ac:dyDescent="0.35">
      <c r="A485" s="189"/>
      <c r="B485" s="190"/>
      <c r="E485" s="192"/>
    </row>
    <row r="486" spans="1:5" x14ac:dyDescent="0.35">
      <c r="A486" s="189"/>
      <c r="B486" s="190"/>
      <c r="E486" s="192"/>
    </row>
    <row r="487" spans="1:5" x14ac:dyDescent="0.35">
      <c r="A487" s="189"/>
      <c r="B487" s="190"/>
      <c r="E487" s="192"/>
    </row>
    <row r="488" spans="1:5" x14ac:dyDescent="0.35">
      <c r="A488" s="189"/>
      <c r="B488" s="190"/>
      <c r="E488" s="192"/>
    </row>
    <row r="489" spans="1:5" x14ac:dyDescent="0.35">
      <c r="A489" s="189"/>
      <c r="B489" s="190"/>
      <c r="E489" s="192"/>
    </row>
    <row r="490" spans="1:5" x14ac:dyDescent="0.35">
      <c r="A490" s="189"/>
      <c r="B490" s="190"/>
      <c r="E490" s="192"/>
    </row>
    <row r="491" spans="1:5" x14ac:dyDescent="0.35">
      <c r="A491" s="189"/>
      <c r="B491" s="190"/>
      <c r="E491" s="192"/>
    </row>
    <row r="492" spans="1:5" x14ac:dyDescent="0.35">
      <c r="A492" s="189"/>
      <c r="B492" s="190"/>
      <c r="E492" s="192"/>
    </row>
    <row r="493" spans="1:5" x14ac:dyDescent="0.35">
      <c r="A493" s="189"/>
      <c r="B493" s="190"/>
      <c r="E493" s="192"/>
    </row>
    <row r="494" spans="1:5" x14ac:dyDescent="0.35">
      <c r="A494" s="189"/>
      <c r="B494" s="190"/>
      <c r="E494" s="192"/>
    </row>
    <row r="495" spans="1:5" x14ac:dyDescent="0.35">
      <c r="A495" s="189"/>
      <c r="B495" s="190"/>
      <c r="E495" s="192"/>
    </row>
    <row r="496" spans="1:5" x14ac:dyDescent="0.35">
      <c r="A496" s="189"/>
      <c r="B496" s="190"/>
      <c r="E496" s="192"/>
    </row>
    <row r="497" spans="1:5" x14ac:dyDescent="0.35">
      <c r="A497" s="189"/>
      <c r="B497" s="190"/>
      <c r="E497" s="192"/>
    </row>
    <row r="498" spans="1:5" x14ac:dyDescent="0.35">
      <c r="A498" s="189"/>
      <c r="B498" s="190"/>
      <c r="E498" s="192"/>
    </row>
    <row r="499" spans="1:5" x14ac:dyDescent="0.35">
      <c r="A499" s="189"/>
      <c r="B499" s="190"/>
      <c r="E499" s="192"/>
    </row>
    <row r="500" spans="1:5" x14ac:dyDescent="0.35">
      <c r="A500" s="189"/>
      <c r="B500" s="190"/>
      <c r="E500" s="192"/>
    </row>
    <row r="501" spans="1:5" x14ac:dyDescent="0.35">
      <c r="A501" s="189"/>
      <c r="B501" s="190"/>
      <c r="E501" s="192"/>
    </row>
    <row r="502" spans="1:5" x14ac:dyDescent="0.35">
      <c r="A502" s="189"/>
      <c r="B502" s="190"/>
      <c r="E502" s="192"/>
    </row>
    <row r="503" spans="1:5" x14ac:dyDescent="0.35">
      <c r="A503" s="189"/>
      <c r="B503" s="190"/>
      <c r="E503" s="192"/>
    </row>
    <row r="504" spans="1:5" x14ac:dyDescent="0.35">
      <c r="A504" s="189"/>
      <c r="B504" s="190"/>
      <c r="E504" s="192"/>
    </row>
    <row r="505" spans="1:5" x14ac:dyDescent="0.35">
      <c r="A505" s="189"/>
      <c r="B505" s="190"/>
      <c r="E505" s="192"/>
    </row>
    <row r="506" spans="1:5" x14ac:dyDescent="0.35">
      <c r="A506" s="189"/>
      <c r="B506" s="190"/>
      <c r="E506" s="192"/>
    </row>
    <row r="507" spans="1:5" x14ac:dyDescent="0.35">
      <c r="A507" s="189"/>
      <c r="B507" s="190"/>
      <c r="E507" s="192"/>
    </row>
    <row r="508" spans="1:5" x14ac:dyDescent="0.35">
      <c r="A508" s="189"/>
      <c r="B508" s="190"/>
      <c r="E508" s="192"/>
    </row>
    <row r="509" spans="1:5" x14ac:dyDescent="0.35">
      <c r="A509" s="189"/>
      <c r="B509" s="190"/>
      <c r="E509" s="192"/>
    </row>
    <row r="510" spans="1:5" x14ac:dyDescent="0.35">
      <c r="A510" s="189"/>
      <c r="B510" s="190"/>
      <c r="E510" s="192"/>
    </row>
    <row r="511" spans="1:5" x14ac:dyDescent="0.35">
      <c r="A511" s="189"/>
      <c r="B511" s="190"/>
      <c r="E511" s="192"/>
    </row>
    <row r="512" spans="1:5" x14ac:dyDescent="0.35">
      <c r="A512" s="189"/>
      <c r="B512" s="190"/>
      <c r="E512" s="192"/>
    </row>
    <row r="513" spans="1:5" x14ac:dyDescent="0.35">
      <c r="A513" s="189"/>
      <c r="B513" s="190"/>
      <c r="E513" s="192"/>
    </row>
    <row r="514" spans="1:5" x14ac:dyDescent="0.35">
      <c r="A514" s="189"/>
      <c r="B514" s="190"/>
      <c r="E514" s="192"/>
    </row>
    <row r="515" spans="1:5" x14ac:dyDescent="0.35">
      <c r="A515" s="189"/>
      <c r="B515" s="190"/>
      <c r="E515" s="192"/>
    </row>
    <row r="516" spans="1:5" x14ac:dyDescent="0.35">
      <c r="A516" s="189"/>
      <c r="B516" s="190"/>
      <c r="E516" s="192"/>
    </row>
    <row r="517" spans="1:5" x14ac:dyDescent="0.35">
      <c r="A517" s="189"/>
      <c r="B517" s="190"/>
      <c r="E517" s="192"/>
    </row>
    <row r="518" spans="1:5" x14ac:dyDescent="0.35">
      <c r="A518" s="189"/>
      <c r="B518" s="190"/>
      <c r="E518" s="192"/>
    </row>
    <row r="519" spans="1:5" x14ac:dyDescent="0.35">
      <c r="A519" s="189"/>
      <c r="B519" s="190"/>
      <c r="E519" s="192"/>
    </row>
    <row r="520" spans="1:5" x14ac:dyDescent="0.35">
      <c r="A520" s="189"/>
      <c r="B520" s="190"/>
      <c r="E520" s="192"/>
    </row>
    <row r="521" spans="1:5" x14ac:dyDescent="0.35">
      <c r="A521" s="189"/>
      <c r="B521" s="190"/>
      <c r="E521" s="192"/>
    </row>
    <row r="522" spans="1:5" x14ac:dyDescent="0.35">
      <c r="A522" s="189"/>
      <c r="B522" s="190"/>
      <c r="E522" s="192"/>
    </row>
    <row r="523" spans="1:5" x14ac:dyDescent="0.35">
      <c r="A523" s="189"/>
      <c r="B523" s="190"/>
      <c r="E523" s="192"/>
    </row>
    <row r="524" spans="1:5" x14ac:dyDescent="0.35">
      <c r="A524" s="189"/>
      <c r="B524" s="190"/>
      <c r="E524" s="192"/>
    </row>
    <row r="525" spans="1:5" x14ac:dyDescent="0.35">
      <c r="A525" s="189"/>
      <c r="B525" s="190"/>
      <c r="E525" s="192"/>
    </row>
    <row r="526" spans="1:5" x14ac:dyDescent="0.35">
      <c r="A526" s="189"/>
      <c r="B526" s="190"/>
      <c r="E526" s="192"/>
    </row>
    <row r="527" spans="1:5" x14ac:dyDescent="0.35">
      <c r="A527" s="189"/>
      <c r="B527" s="190"/>
      <c r="E527" s="192"/>
    </row>
    <row r="528" spans="1:5" x14ac:dyDescent="0.35">
      <c r="A528" s="189"/>
      <c r="B528" s="190"/>
      <c r="E528" s="192"/>
    </row>
    <row r="529" spans="1:5" x14ac:dyDescent="0.35">
      <c r="A529" s="189"/>
      <c r="B529" s="190"/>
      <c r="E529" s="192"/>
    </row>
    <row r="530" spans="1:5" x14ac:dyDescent="0.35">
      <c r="A530" s="189"/>
      <c r="B530" s="190"/>
      <c r="E530" s="192"/>
    </row>
    <row r="531" spans="1:5" x14ac:dyDescent="0.35">
      <c r="A531" s="189"/>
      <c r="B531" s="190"/>
      <c r="E531" s="192"/>
    </row>
    <row r="532" spans="1:5" x14ac:dyDescent="0.35">
      <c r="A532" s="189"/>
      <c r="B532" s="190"/>
      <c r="E532" s="192"/>
    </row>
    <row r="533" spans="1:5" x14ac:dyDescent="0.35">
      <c r="A533" s="189"/>
      <c r="B533" s="190"/>
      <c r="E533" s="192"/>
    </row>
    <row r="534" spans="1:5" x14ac:dyDescent="0.35">
      <c r="A534" s="189"/>
      <c r="B534" s="190"/>
      <c r="E534" s="192"/>
    </row>
    <row r="535" spans="1:5" x14ac:dyDescent="0.35">
      <c r="A535" s="189"/>
      <c r="B535" s="190"/>
      <c r="E535" s="192"/>
    </row>
    <row r="536" spans="1:5" x14ac:dyDescent="0.35">
      <c r="A536" s="189"/>
      <c r="B536" s="190"/>
      <c r="E536" s="192"/>
    </row>
    <row r="537" spans="1:5" x14ac:dyDescent="0.35">
      <c r="A537" s="189"/>
      <c r="B537" s="190"/>
      <c r="E537" s="192"/>
    </row>
    <row r="538" spans="1:5" x14ac:dyDescent="0.35">
      <c r="A538" s="189"/>
      <c r="B538" s="190"/>
      <c r="E538" s="192"/>
    </row>
    <row r="539" spans="1:5" x14ac:dyDescent="0.35">
      <c r="A539" s="189"/>
      <c r="B539" s="190"/>
      <c r="E539" s="192"/>
    </row>
    <row r="540" spans="1:5" x14ac:dyDescent="0.35">
      <c r="A540" s="189"/>
      <c r="B540" s="190"/>
      <c r="E540" s="192"/>
    </row>
    <row r="541" spans="1:5" x14ac:dyDescent="0.35">
      <c r="A541" s="189"/>
      <c r="B541" s="190"/>
      <c r="E541" s="192"/>
    </row>
    <row r="542" spans="1:5" x14ac:dyDescent="0.35">
      <c r="A542" s="189"/>
      <c r="B542" s="190"/>
      <c r="E542" s="192"/>
    </row>
    <row r="543" spans="1:5" x14ac:dyDescent="0.35">
      <c r="A543" s="189"/>
      <c r="B543" s="190"/>
      <c r="E543" s="192"/>
    </row>
    <row r="544" spans="1:5" x14ac:dyDescent="0.35">
      <c r="A544" s="189"/>
      <c r="B544" s="190"/>
      <c r="E544" s="192"/>
    </row>
    <row r="545" spans="1:5" x14ac:dyDescent="0.35">
      <c r="A545" s="189"/>
      <c r="B545" s="190"/>
      <c r="E545" s="192"/>
    </row>
    <row r="546" spans="1:5" x14ac:dyDescent="0.35">
      <c r="A546" s="189"/>
      <c r="B546" s="190"/>
      <c r="E546" s="192"/>
    </row>
    <row r="547" spans="1:5" x14ac:dyDescent="0.35">
      <c r="A547" s="189"/>
      <c r="B547" s="190"/>
      <c r="E547" s="192"/>
    </row>
    <row r="548" spans="1:5" x14ac:dyDescent="0.35">
      <c r="A548" s="189"/>
      <c r="B548" s="190"/>
      <c r="E548" s="192"/>
    </row>
    <row r="549" spans="1:5" x14ac:dyDescent="0.35">
      <c r="A549" s="189"/>
      <c r="B549" s="190"/>
      <c r="E549" s="192"/>
    </row>
    <row r="550" spans="1:5" x14ac:dyDescent="0.35">
      <c r="A550" s="189"/>
      <c r="B550" s="190"/>
      <c r="E550" s="192"/>
    </row>
    <row r="551" spans="1:5" x14ac:dyDescent="0.35">
      <c r="A551" s="189"/>
      <c r="B551" s="190"/>
      <c r="E551" s="192"/>
    </row>
    <row r="552" spans="1:5" x14ac:dyDescent="0.35">
      <c r="A552" s="189"/>
      <c r="B552" s="190"/>
      <c r="E552" s="192"/>
    </row>
    <row r="553" spans="1:5" x14ac:dyDescent="0.35">
      <c r="A553" s="189"/>
      <c r="B553" s="190"/>
      <c r="E553" s="192"/>
    </row>
    <row r="554" spans="1:5" x14ac:dyDescent="0.35">
      <c r="A554" s="189"/>
      <c r="B554" s="190"/>
      <c r="E554" s="192"/>
    </row>
    <row r="555" spans="1:5" x14ac:dyDescent="0.35">
      <c r="A555" s="189"/>
      <c r="B555" s="190"/>
      <c r="E555" s="192"/>
    </row>
    <row r="556" spans="1:5" x14ac:dyDescent="0.35">
      <c r="A556" s="189"/>
      <c r="B556" s="190"/>
      <c r="E556" s="192"/>
    </row>
    <row r="557" spans="1:5" x14ac:dyDescent="0.35">
      <c r="A557" s="189"/>
      <c r="B557" s="190"/>
      <c r="E557" s="192"/>
    </row>
    <row r="558" spans="1:5" x14ac:dyDescent="0.35">
      <c r="A558" s="189"/>
      <c r="B558" s="190"/>
      <c r="E558" s="192"/>
    </row>
    <row r="559" spans="1:5" x14ac:dyDescent="0.35">
      <c r="A559" s="189"/>
      <c r="B559" s="190"/>
      <c r="E559" s="192"/>
    </row>
    <row r="560" spans="1:5" x14ac:dyDescent="0.35">
      <c r="A560" s="189"/>
      <c r="B560" s="190"/>
      <c r="E560" s="192"/>
    </row>
    <row r="561" spans="1:5" x14ac:dyDescent="0.35">
      <c r="A561" s="189"/>
      <c r="B561" s="190"/>
      <c r="E561" s="192"/>
    </row>
    <row r="562" spans="1:5" x14ac:dyDescent="0.35">
      <c r="A562" s="189"/>
      <c r="B562" s="190"/>
      <c r="E562" s="192"/>
    </row>
    <row r="563" spans="1:5" x14ac:dyDescent="0.35">
      <c r="A563" s="189"/>
      <c r="B563" s="190"/>
      <c r="E563" s="192"/>
    </row>
    <row r="564" spans="1:5" x14ac:dyDescent="0.35">
      <c r="A564" s="189"/>
      <c r="B564" s="190"/>
      <c r="E564" s="192"/>
    </row>
    <row r="565" spans="1:5" x14ac:dyDescent="0.35">
      <c r="A565" s="189"/>
      <c r="B565" s="190"/>
      <c r="E565" s="192"/>
    </row>
    <row r="566" spans="1:5" x14ac:dyDescent="0.35">
      <c r="A566" s="189"/>
      <c r="B566" s="190"/>
      <c r="E566" s="192"/>
    </row>
    <row r="567" spans="1:5" x14ac:dyDescent="0.35">
      <c r="A567" s="189"/>
      <c r="B567" s="190"/>
      <c r="E567" s="192"/>
    </row>
    <row r="568" spans="1:5" x14ac:dyDescent="0.35">
      <c r="A568" s="189"/>
      <c r="B568" s="190"/>
      <c r="E568" s="192"/>
    </row>
    <row r="569" spans="1:5" x14ac:dyDescent="0.35">
      <c r="A569" s="189"/>
      <c r="B569" s="190"/>
      <c r="E569" s="192"/>
    </row>
    <row r="570" spans="1:5" x14ac:dyDescent="0.35">
      <c r="A570" s="189"/>
      <c r="B570" s="190"/>
      <c r="E570" s="192"/>
    </row>
    <row r="571" spans="1:5" x14ac:dyDescent="0.35">
      <c r="A571" s="189"/>
      <c r="B571" s="190"/>
      <c r="E571" s="192"/>
    </row>
    <row r="572" spans="1:5" x14ac:dyDescent="0.35">
      <c r="A572" s="189"/>
      <c r="B572" s="190"/>
      <c r="E572" s="192"/>
    </row>
    <row r="573" spans="1:5" x14ac:dyDescent="0.35">
      <c r="A573" s="189"/>
      <c r="B573" s="190"/>
      <c r="E573" s="192"/>
    </row>
    <row r="574" spans="1:5" x14ac:dyDescent="0.35">
      <c r="A574" s="189"/>
      <c r="B574" s="190"/>
      <c r="E574" s="192"/>
    </row>
    <row r="575" spans="1:5" x14ac:dyDescent="0.35">
      <c r="A575" s="189"/>
      <c r="B575" s="190"/>
      <c r="E575" s="192"/>
    </row>
    <row r="576" spans="1:5" x14ac:dyDescent="0.35">
      <c r="A576" s="189"/>
      <c r="B576" s="190"/>
      <c r="E576" s="192"/>
    </row>
    <row r="577" spans="1:5" x14ac:dyDescent="0.35">
      <c r="A577" s="189"/>
      <c r="B577" s="190"/>
      <c r="E577" s="192"/>
    </row>
    <row r="578" spans="1:5" x14ac:dyDescent="0.35">
      <c r="A578" s="189"/>
      <c r="B578" s="190"/>
      <c r="E578" s="192"/>
    </row>
    <row r="579" spans="1:5" x14ac:dyDescent="0.35">
      <c r="A579" s="189"/>
      <c r="B579" s="190"/>
      <c r="E579" s="192"/>
    </row>
    <row r="580" spans="1:5" x14ac:dyDescent="0.35">
      <c r="A580" s="189"/>
      <c r="B580" s="190"/>
      <c r="E580" s="192"/>
    </row>
    <row r="581" spans="1:5" x14ac:dyDescent="0.35">
      <c r="A581" s="189"/>
      <c r="B581" s="190"/>
      <c r="E581" s="192"/>
    </row>
    <row r="582" spans="1:5" x14ac:dyDescent="0.35">
      <c r="A582" s="189"/>
      <c r="B582" s="190"/>
      <c r="E582" s="192"/>
    </row>
    <row r="583" spans="1:5" x14ac:dyDescent="0.35">
      <c r="A583" s="189"/>
      <c r="B583" s="190"/>
      <c r="E583" s="192"/>
    </row>
    <row r="584" spans="1:5" x14ac:dyDescent="0.35">
      <c r="A584" s="189"/>
      <c r="B584" s="190"/>
      <c r="E584" s="192"/>
    </row>
    <row r="585" spans="1:5" x14ac:dyDescent="0.35">
      <c r="A585" s="189"/>
      <c r="B585" s="190"/>
      <c r="E585" s="192"/>
    </row>
    <row r="586" spans="1:5" x14ac:dyDescent="0.35">
      <c r="A586" s="189"/>
      <c r="B586" s="190"/>
      <c r="E586" s="192"/>
    </row>
    <row r="587" spans="1:5" x14ac:dyDescent="0.35">
      <c r="A587" s="189"/>
      <c r="B587" s="190"/>
      <c r="E587" s="192"/>
    </row>
    <row r="588" spans="1:5" x14ac:dyDescent="0.35">
      <c r="A588" s="189"/>
      <c r="B588" s="190"/>
      <c r="E588" s="192"/>
    </row>
    <row r="589" spans="1:5" x14ac:dyDescent="0.35">
      <c r="A589" s="189"/>
      <c r="B589" s="190"/>
      <c r="E589" s="192"/>
    </row>
    <row r="590" spans="1:5" x14ac:dyDescent="0.35">
      <c r="A590" s="189"/>
      <c r="B590" s="190"/>
      <c r="E590" s="192"/>
    </row>
    <row r="591" spans="1:5" x14ac:dyDescent="0.35">
      <c r="A591" s="189"/>
      <c r="B591" s="190"/>
      <c r="E591" s="192"/>
    </row>
    <row r="592" spans="1:5" x14ac:dyDescent="0.35">
      <c r="A592" s="189"/>
      <c r="B592" s="190"/>
      <c r="E592" s="192"/>
    </row>
    <row r="593" spans="1:5" x14ac:dyDescent="0.35">
      <c r="A593" s="189"/>
      <c r="B593" s="190"/>
      <c r="E593" s="192"/>
    </row>
    <row r="594" spans="1:5" x14ac:dyDescent="0.35">
      <c r="A594" s="189"/>
      <c r="B594" s="190"/>
      <c r="E594" s="192"/>
    </row>
    <row r="595" spans="1:5" x14ac:dyDescent="0.35">
      <c r="A595" s="189"/>
      <c r="B595" s="190"/>
      <c r="E595" s="192"/>
    </row>
    <row r="596" spans="1:5" x14ac:dyDescent="0.35">
      <c r="A596" s="189"/>
      <c r="B596" s="190"/>
      <c r="E596" s="192"/>
    </row>
    <row r="597" spans="1:5" x14ac:dyDescent="0.35">
      <c r="A597" s="189"/>
      <c r="B597" s="190"/>
      <c r="E597" s="192"/>
    </row>
    <row r="598" spans="1:5" x14ac:dyDescent="0.35">
      <c r="A598" s="189"/>
      <c r="B598" s="190"/>
      <c r="E598" s="192"/>
    </row>
    <row r="599" spans="1:5" x14ac:dyDescent="0.35">
      <c r="A599" s="189"/>
      <c r="B599" s="190"/>
      <c r="E599" s="192"/>
    </row>
    <row r="600" spans="1:5" x14ac:dyDescent="0.35">
      <c r="A600" s="189"/>
      <c r="B600" s="190"/>
      <c r="E600" s="192"/>
    </row>
    <row r="601" spans="1:5" x14ac:dyDescent="0.35">
      <c r="A601" s="189"/>
      <c r="B601" s="190"/>
      <c r="E601" s="192"/>
    </row>
    <row r="602" spans="1:5" x14ac:dyDescent="0.35">
      <c r="A602" s="189"/>
      <c r="B602" s="190"/>
      <c r="E602" s="192"/>
    </row>
    <row r="603" spans="1:5" x14ac:dyDescent="0.35">
      <c r="A603" s="189"/>
      <c r="B603" s="190"/>
      <c r="E603" s="192"/>
    </row>
    <row r="604" spans="1:5" x14ac:dyDescent="0.35">
      <c r="A604" s="189"/>
      <c r="B604" s="190"/>
      <c r="E604" s="192"/>
    </row>
    <row r="605" spans="1:5" x14ac:dyDescent="0.35">
      <c r="A605" s="189"/>
      <c r="B605" s="190"/>
      <c r="E605" s="192"/>
    </row>
    <row r="606" spans="1:5" x14ac:dyDescent="0.35">
      <c r="A606" s="189"/>
      <c r="B606" s="190"/>
      <c r="E606" s="192"/>
    </row>
    <row r="607" spans="1:5" x14ac:dyDescent="0.35">
      <c r="A607" s="189"/>
      <c r="B607" s="190"/>
      <c r="E607" s="192"/>
    </row>
    <row r="608" spans="1:5" x14ac:dyDescent="0.35">
      <c r="A608" s="189"/>
      <c r="B608" s="190"/>
      <c r="E608" s="192"/>
    </row>
    <row r="609" spans="1:5" x14ac:dyDescent="0.35">
      <c r="A609" s="189"/>
      <c r="B609" s="190"/>
      <c r="E609" s="192"/>
    </row>
    <row r="610" spans="1:5" x14ac:dyDescent="0.35">
      <c r="A610" s="189"/>
      <c r="B610" s="190"/>
      <c r="E610" s="192"/>
    </row>
    <row r="611" spans="1:5" x14ac:dyDescent="0.35">
      <c r="A611" s="189"/>
      <c r="B611" s="190"/>
      <c r="E611" s="192"/>
    </row>
    <row r="612" spans="1:5" x14ac:dyDescent="0.35">
      <c r="A612" s="189"/>
      <c r="B612" s="190"/>
      <c r="E612" s="192"/>
    </row>
    <row r="613" spans="1:5" x14ac:dyDescent="0.35">
      <c r="A613" s="189"/>
      <c r="B613" s="190"/>
      <c r="E613" s="192"/>
    </row>
    <row r="614" spans="1:5" x14ac:dyDescent="0.35">
      <c r="A614" s="189"/>
      <c r="B614" s="190"/>
      <c r="E614" s="192"/>
    </row>
    <row r="615" spans="1:5" x14ac:dyDescent="0.35">
      <c r="A615" s="189"/>
      <c r="B615" s="190"/>
      <c r="E615" s="192"/>
    </row>
    <row r="616" spans="1:5" x14ac:dyDescent="0.35">
      <c r="A616" s="189"/>
      <c r="B616" s="190"/>
      <c r="E616" s="192"/>
    </row>
    <row r="617" spans="1:5" x14ac:dyDescent="0.35">
      <c r="A617" s="189"/>
      <c r="B617" s="190"/>
      <c r="E617" s="192"/>
    </row>
    <row r="618" spans="1:5" x14ac:dyDescent="0.35">
      <c r="A618" s="189"/>
      <c r="B618" s="190"/>
      <c r="E618" s="192"/>
    </row>
    <row r="619" spans="1:5" x14ac:dyDescent="0.35">
      <c r="A619" s="189"/>
      <c r="B619" s="190"/>
      <c r="E619" s="192"/>
    </row>
    <row r="620" spans="1:5" x14ac:dyDescent="0.35">
      <c r="A620" s="189"/>
      <c r="B620" s="190"/>
      <c r="E620" s="192"/>
    </row>
    <row r="621" spans="1:5" x14ac:dyDescent="0.35">
      <c r="A621" s="189"/>
      <c r="B621" s="190"/>
      <c r="E621" s="192"/>
    </row>
    <row r="622" spans="1:5" x14ac:dyDescent="0.35">
      <c r="A622" s="189"/>
      <c r="B622" s="190"/>
      <c r="E622" s="192"/>
    </row>
    <row r="623" spans="1:5" x14ac:dyDescent="0.35">
      <c r="A623" s="189"/>
      <c r="B623" s="190"/>
      <c r="E623" s="192"/>
    </row>
    <row r="624" spans="1:5" x14ac:dyDescent="0.35">
      <c r="A624" s="189"/>
      <c r="B624" s="190"/>
      <c r="E624" s="192"/>
    </row>
    <row r="625" spans="1:5" x14ac:dyDescent="0.35">
      <c r="A625" s="189"/>
      <c r="B625" s="190"/>
      <c r="E625" s="192"/>
    </row>
    <row r="626" spans="1:5" x14ac:dyDescent="0.35">
      <c r="A626" s="189"/>
      <c r="B626" s="190"/>
      <c r="E626" s="192"/>
    </row>
    <row r="627" spans="1:5" x14ac:dyDescent="0.35">
      <c r="A627" s="189"/>
      <c r="B627" s="190"/>
      <c r="E627" s="192"/>
    </row>
    <row r="628" spans="1:5" x14ac:dyDescent="0.35">
      <c r="A628" s="189"/>
      <c r="B628" s="190"/>
      <c r="E628" s="192"/>
    </row>
    <row r="629" spans="1:5" x14ac:dyDescent="0.35">
      <c r="A629" s="189"/>
      <c r="B629" s="190"/>
      <c r="E629" s="192"/>
    </row>
    <row r="630" spans="1:5" x14ac:dyDescent="0.35">
      <c r="A630" s="189"/>
      <c r="B630" s="190"/>
      <c r="E630" s="192"/>
    </row>
    <row r="631" spans="1:5" x14ac:dyDescent="0.35">
      <c r="A631" s="189"/>
      <c r="B631" s="190"/>
      <c r="E631" s="192"/>
    </row>
    <row r="632" spans="1:5" x14ac:dyDescent="0.35">
      <c r="A632" s="189"/>
      <c r="B632" s="190"/>
      <c r="E632" s="192"/>
    </row>
    <row r="633" spans="1:5" x14ac:dyDescent="0.35">
      <c r="A633" s="189"/>
      <c r="B633" s="190"/>
      <c r="E633" s="192"/>
    </row>
    <row r="634" spans="1:5" x14ac:dyDescent="0.35">
      <c r="A634" s="189"/>
      <c r="B634" s="190"/>
      <c r="E634" s="192"/>
    </row>
    <row r="635" spans="1:5" x14ac:dyDescent="0.35">
      <c r="A635" s="189"/>
      <c r="B635" s="190"/>
      <c r="E635" s="192"/>
    </row>
    <row r="636" spans="1:5" x14ac:dyDescent="0.35">
      <c r="A636" s="189"/>
      <c r="B636" s="190"/>
      <c r="E636" s="192"/>
    </row>
    <row r="637" spans="1:5" x14ac:dyDescent="0.35">
      <c r="A637" s="189"/>
      <c r="B637" s="190"/>
      <c r="E637" s="192"/>
    </row>
    <row r="638" spans="1:5" x14ac:dyDescent="0.35">
      <c r="A638" s="189"/>
      <c r="B638" s="190"/>
      <c r="E638" s="192"/>
    </row>
    <row r="639" spans="1:5" x14ac:dyDescent="0.35">
      <c r="A639" s="189"/>
      <c r="B639" s="190"/>
      <c r="E639" s="192"/>
    </row>
    <row r="640" spans="1:5" x14ac:dyDescent="0.35">
      <c r="A640" s="189"/>
      <c r="B640" s="190"/>
      <c r="E640" s="192"/>
    </row>
    <row r="641" spans="1:5" x14ac:dyDescent="0.35">
      <c r="A641" s="189"/>
      <c r="B641" s="190"/>
      <c r="E641" s="192"/>
    </row>
    <row r="642" spans="1:5" x14ac:dyDescent="0.35">
      <c r="A642" s="189"/>
      <c r="B642" s="190"/>
      <c r="E642" s="192"/>
    </row>
    <row r="643" spans="1:5" x14ac:dyDescent="0.35">
      <c r="A643" s="189"/>
      <c r="B643" s="190"/>
      <c r="E643" s="192"/>
    </row>
    <row r="644" spans="1:5" x14ac:dyDescent="0.35">
      <c r="A644" s="189"/>
      <c r="B644" s="190"/>
      <c r="E644" s="192"/>
    </row>
    <row r="645" spans="1:5" x14ac:dyDescent="0.35">
      <c r="A645" s="189"/>
      <c r="B645" s="190"/>
      <c r="E645" s="192"/>
    </row>
    <row r="646" spans="1:5" x14ac:dyDescent="0.35">
      <c r="A646" s="189"/>
      <c r="B646" s="190"/>
      <c r="E646" s="192"/>
    </row>
    <row r="647" spans="1:5" x14ac:dyDescent="0.35">
      <c r="A647" s="189"/>
      <c r="B647" s="190"/>
      <c r="E647" s="192"/>
    </row>
    <row r="648" spans="1:5" x14ac:dyDescent="0.35">
      <c r="A648" s="189"/>
      <c r="B648" s="190"/>
      <c r="E648" s="192"/>
    </row>
    <row r="649" spans="1:5" x14ac:dyDescent="0.35">
      <c r="A649" s="189"/>
      <c r="B649" s="190"/>
      <c r="E649" s="192"/>
    </row>
    <row r="650" spans="1:5" x14ac:dyDescent="0.35">
      <c r="A650" s="189"/>
      <c r="B650" s="190"/>
      <c r="E650" s="192"/>
    </row>
    <row r="651" spans="1:5" x14ac:dyDescent="0.35">
      <c r="A651" s="189"/>
      <c r="B651" s="190"/>
      <c r="E651" s="192"/>
    </row>
    <row r="652" spans="1:5" x14ac:dyDescent="0.35">
      <c r="A652" s="189"/>
      <c r="B652" s="190"/>
      <c r="E652" s="192"/>
    </row>
    <row r="653" spans="1:5" x14ac:dyDescent="0.35">
      <c r="A653" s="189"/>
      <c r="B653" s="190"/>
      <c r="E653" s="192"/>
    </row>
    <row r="654" spans="1:5" x14ac:dyDescent="0.35">
      <c r="A654" s="189"/>
      <c r="B654" s="190"/>
      <c r="E654" s="192"/>
    </row>
    <row r="655" spans="1:5" x14ac:dyDescent="0.35">
      <c r="A655" s="189"/>
      <c r="B655" s="190"/>
      <c r="E655" s="192"/>
    </row>
    <row r="656" spans="1:5" x14ac:dyDescent="0.35">
      <c r="A656" s="189"/>
      <c r="B656" s="190"/>
      <c r="E656" s="192"/>
    </row>
    <row r="657" spans="1:5" x14ac:dyDescent="0.35">
      <c r="A657" s="189"/>
      <c r="B657" s="190"/>
      <c r="E657" s="192"/>
    </row>
    <row r="658" spans="1:5" x14ac:dyDescent="0.35">
      <c r="A658" s="189"/>
      <c r="B658" s="190"/>
      <c r="E658" s="192"/>
    </row>
    <row r="659" spans="1:5" x14ac:dyDescent="0.35">
      <c r="A659" s="189"/>
      <c r="B659" s="190"/>
      <c r="E659" s="192"/>
    </row>
    <row r="660" spans="1:5" x14ac:dyDescent="0.35">
      <c r="A660" s="189"/>
      <c r="B660" s="190"/>
      <c r="E660" s="192"/>
    </row>
    <row r="661" spans="1:5" x14ac:dyDescent="0.35">
      <c r="A661" s="189"/>
      <c r="B661" s="190"/>
      <c r="E661" s="192"/>
    </row>
    <row r="662" spans="1:5" x14ac:dyDescent="0.35">
      <c r="A662" s="189"/>
      <c r="B662" s="190"/>
      <c r="E662" s="192"/>
    </row>
    <row r="663" spans="1:5" x14ac:dyDescent="0.35">
      <c r="A663" s="189"/>
      <c r="B663" s="190"/>
      <c r="E663" s="192"/>
    </row>
    <row r="664" spans="1:5" x14ac:dyDescent="0.35">
      <c r="A664" s="189"/>
      <c r="B664" s="190"/>
      <c r="E664" s="192"/>
    </row>
    <row r="665" spans="1:5" x14ac:dyDescent="0.35">
      <c r="A665" s="189"/>
      <c r="B665" s="190"/>
      <c r="E665" s="192"/>
    </row>
    <row r="666" spans="1:5" x14ac:dyDescent="0.35">
      <c r="A666" s="189"/>
      <c r="B666" s="190"/>
      <c r="E666" s="192"/>
    </row>
    <row r="667" spans="1:5" x14ac:dyDescent="0.35">
      <c r="A667" s="189"/>
      <c r="B667" s="190"/>
      <c r="E667" s="192"/>
    </row>
    <row r="668" spans="1:5" x14ac:dyDescent="0.35">
      <c r="A668" s="189"/>
      <c r="B668" s="190"/>
      <c r="E668" s="192"/>
    </row>
    <row r="669" spans="1:5" x14ac:dyDescent="0.35">
      <c r="A669" s="189"/>
      <c r="B669" s="190"/>
      <c r="E669" s="192"/>
    </row>
    <row r="670" spans="1:5" x14ac:dyDescent="0.35">
      <c r="A670" s="189"/>
      <c r="B670" s="190"/>
      <c r="E670" s="192"/>
    </row>
    <row r="671" spans="1:5" x14ac:dyDescent="0.35">
      <c r="A671" s="189"/>
      <c r="B671" s="190"/>
      <c r="E671" s="192"/>
    </row>
    <row r="672" spans="1:5" x14ac:dyDescent="0.35">
      <c r="A672" s="189"/>
      <c r="B672" s="190"/>
      <c r="E672" s="192"/>
    </row>
    <row r="673" spans="1:5" x14ac:dyDescent="0.35">
      <c r="A673" s="189"/>
      <c r="B673" s="190"/>
      <c r="E673" s="192"/>
    </row>
    <row r="674" spans="1:5" x14ac:dyDescent="0.35">
      <c r="A674" s="189"/>
      <c r="B674" s="190"/>
      <c r="E674" s="192"/>
    </row>
    <row r="675" spans="1:5" x14ac:dyDescent="0.35">
      <c r="A675" s="189"/>
      <c r="B675" s="190"/>
      <c r="E675" s="192"/>
    </row>
    <row r="676" spans="1:5" x14ac:dyDescent="0.35">
      <c r="A676" s="189"/>
      <c r="B676" s="190"/>
      <c r="E676" s="192"/>
    </row>
    <row r="677" spans="1:5" x14ac:dyDescent="0.35">
      <c r="A677" s="189"/>
      <c r="B677" s="190"/>
      <c r="E677" s="192"/>
    </row>
    <row r="678" spans="1:5" x14ac:dyDescent="0.35">
      <c r="A678" s="189"/>
      <c r="B678" s="190"/>
      <c r="E678" s="192"/>
    </row>
    <row r="679" spans="1:5" x14ac:dyDescent="0.35">
      <c r="A679" s="189"/>
      <c r="B679" s="190"/>
      <c r="E679" s="192"/>
    </row>
    <row r="680" spans="1:5" x14ac:dyDescent="0.35">
      <c r="A680" s="189"/>
      <c r="B680" s="190"/>
      <c r="E680" s="192"/>
    </row>
    <row r="681" spans="1:5" x14ac:dyDescent="0.35">
      <c r="A681" s="189"/>
      <c r="B681" s="190"/>
      <c r="E681" s="192"/>
    </row>
    <row r="682" spans="1:5" x14ac:dyDescent="0.35">
      <c r="A682" s="189"/>
      <c r="B682" s="190"/>
      <c r="E682" s="192"/>
    </row>
    <row r="683" spans="1:5" x14ac:dyDescent="0.35">
      <c r="A683" s="189"/>
      <c r="B683" s="190"/>
      <c r="E683" s="192"/>
    </row>
    <row r="684" spans="1:5" x14ac:dyDescent="0.35">
      <c r="A684" s="189"/>
      <c r="B684" s="190"/>
      <c r="E684" s="192"/>
    </row>
    <row r="685" spans="1:5" x14ac:dyDescent="0.35">
      <c r="A685" s="189"/>
      <c r="B685" s="190"/>
      <c r="E685" s="192"/>
    </row>
    <row r="686" spans="1:5" x14ac:dyDescent="0.35">
      <c r="A686" s="189"/>
      <c r="B686" s="190"/>
      <c r="E686" s="192"/>
    </row>
    <row r="687" spans="1:5" x14ac:dyDescent="0.35">
      <c r="A687" s="189"/>
      <c r="B687" s="190"/>
      <c r="E687" s="192"/>
    </row>
    <row r="688" spans="1:5" x14ac:dyDescent="0.35">
      <c r="A688" s="189"/>
      <c r="B688" s="190"/>
      <c r="E688" s="192"/>
    </row>
    <row r="689" spans="1:5" x14ac:dyDescent="0.35">
      <c r="A689" s="189"/>
      <c r="B689" s="190"/>
      <c r="E689" s="192"/>
    </row>
    <row r="690" spans="1:5" x14ac:dyDescent="0.35">
      <c r="A690" s="189"/>
      <c r="B690" s="190"/>
      <c r="E690" s="192"/>
    </row>
    <row r="691" spans="1:5" x14ac:dyDescent="0.35">
      <c r="A691" s="189"/>
      <c r="B691" s="190"/>
      <c r="E691" s="192"/>
    </row>
    <row r="692" spans="1:5" x14ac:dyDescent="0.35">
      <c r="A692" s="189"/>
      <c r="B692" s="190"/>
      <c r="E692" s="192"/>
    </row>
    <row r="693" spans="1:5" x14ac:dyDescent="0.35">
      <c r="A693" s="189"/>
      <c r="B693" s="190"/>
      <c r="E693" s="192"/>
    </row>
    <row r="694" spans="1:5" x14ac:dyDescent="0.35">
      <c r="A694" s="189"/>
      <c r="B694" s="190"/>
      <c r="E694" s="192"/>
    </row>
    <row r="695" spans="1:5" x14ac:dyDescent="0.35">
      <c r="A695" s="189"/>
      <c r="B695" s="190"/>
      <c r="E695" s="192"/>
    </row>
    <row r="696" spans="1:5" x14ac:dyDescent="0.35">
      <c r="A696" s="189"/>
      <c r="B696" s="190"/>
      <c r="E696" s="192"/>
    </row>
    <row r="697" spans="1:5" x14ac:dyDescent="0.35">
      <c r="A697" s="189"/>
      <c r="B697" s="190"/>
      <c r="E697" s="192"/>
    </row>
    <row r="698" spans="1:5" x14ac:dyDescent="0.35">
      <c r="A698" s="189"/>
      <c r="B698" s="190"/>
      <c r="E698" s="192"/>
    </row>
    <row r="699" spans="1:5" x14ac:dyDescent="0.35">
      <c r="A699" s="189"/>
      <c r="B699" s="190"/>
      <c r="E699" s="192"/>
    </row>
    <row r="700" spans="1:5" x14ac:dyDescent="0.35">
      <c r="A700" s="189"/>
      <c r="B700" s="190"/>
      <c r="E700" s="192"/>
    </row>
    <row r="701" spans="1:5" x14ac:dyDescent="0.35">
      <c r="A701" s="189"/>
      <c r="B701" s="190"/>
      <c r="E701" s="192"/>
    </row>
    <row r="702" spans="1:5" x14ac:dyDescent="0.35">
      <c r="A702" s="189"/>
      <c r="B702" s="190"/>
      <c r="E702" s="192"/>
    </row>
    <row r="703" spans="1:5" x14ac:dyDescent="0.35">
      <c r="A703" s="189"/>
      <c r="B703" s="190"/>
      <c r="E703" s="192"/>
    </row>
    <row r="704" spans="1:5" x14ac:dyDescent="0.35">
      <c r="A704" s="189"/>
      <c r="B704" s="190"/>
      <c r="E704" s="192"/>
    </row>
    <row r="705" spans="1:5" x14ac:dyDescent="0.35">
      <c r="A705" s="189"/>
      <c r="B705" s="190"/>
      <c r="E705" s="192"/>
    </row>
    <row r="706" spans="1:5" x14ac:dyDescent="0.35">
      <c r="A706" s="189"/>
      <c r="B706" s="190"/>
      <c r="E706" s="192"/>
    </row>
    <row r="707" spans="1:5" x14ac:dyDescent="0.35">
      <c r="A707" s="189"/>
      <c r="B707" s="190"/>
      <c r="E707" s="192"/>
    </row>
    <row r="708" spans="1:5" x14ac:dyDescent="0.35">
      <c r="A708" s="189"/>
      <c r="B708" s="190"/>
      <c r="E708" s="192"/>
    </row>
    <row r="709" spans="1:5" x14ac:dyDescent="0.35">
      <c r="A709" s="189"/>
      <c r="B709" s="190"/>
      <c r="E709" s="192"/>
    </row>
    <row r="710" spans="1:5" x14ac:dyDescent="0.35">
      <c r="A710" s="189"/>
      <c r="B710" s="190"/>
      <c r="E710" s="192"/>
    </row>
    <row r="711" spans="1:5" x14ac:dyDescent="0.35">
      <c r="A711" s="189"/>
      <c r="B711" s="190"/>
      <c r="E711" s="192"/>
    </row>
    <row r="712" spans="1:5" x14ac:dyDescent="0.35">
      <c r="A712" s="189"/>
      <c r="B712" s="190"/>
      <c r="E712" s="192"/>
    </row>
    <row r="713" spans="1:5" x14ac:dyDescent="0.35">
      <c r="A713" s="189"/>
      <c r="B713" s="190"/>
      <c r="E713" s="192"/>
    </row>
    <row r="714" spans="1:5" x14ac:dyDescent="0.35">
      <c r="A714" s="189"/>
      <c r="B714" s="190"/>
      <c r="E714" s="192"/>
    </row>
    <row r="715" spans="1:5" x14ac:dyDescent="0.35">
      <c r="A715" s="189"/>
      <c r="B715" s="190"/>
      <c r="E715" s="192"/>
    </row>
    <row r="716" spans="1:5" x14ac:dyDescent="0.35">
      <c r="A716" s="189"/>
      <c r="B716" s="190"/>
      <c r="E716" s="192"/>
    </row>
    <row r="717" spans="1:5" x14ac:dyDescent="0.35">
      <c r="A717" s="189"/>
      <c r="B717" s="190"/>
      <c r="E717" s="192"/>
    </row>
    <row r="718" spans="1:5" x14ac:dyDescent="0.35">
      <c r="A718" s="189"/>
      <c r="B718" s="190"/>
      <c r="E718" s="192"/>
    </row>
    <row r="719" spans="1:5" x14ac:dyDescent="0.35">
      <c r="A719" s="189"/>
      <c r="B719" s="190"/>
      <c r="E719" s="192"/>
    </row>
    <row r="720" spans="1:5" x14ac:dyDescent="0.35">
      <c r="A720" s="189"/>
      <c r="B720" s="190"/>
      <c r="E720" s="192"/>
    </row>
    <row r="721" spans="1:5" x14ac:dyDescent="0.35">
      <c r="A721" s="189"/>
      <c r="B721" s="190"/>
      <c r="E721" s="192"/>
    </row>
    <row r="722" spans="1:5" x14ac:dyDescent="0.35">
      <c r="A722" s="189"/>
      <c r="B722" s="190"/>
      <c r="E722" s="192"/>
    </row>
    <row r="723" spans="1:5" x14ac:dyDescent="0.35">
      <c r="A723" s="189"/>
      <c r="B723" s="190"/>
      <c r="E723" s="192"/>
    </row>
    <row r="724" spans="1:5" x14ac:dyDescent="0.35">
      <c r="A724" s="189"/>
      <c r="B724" s="190"/>
      <c r="E724" s="192"/>
    </row>
    <row r="725" spans="1:5" x14ac:dyDescent="0.35">
      <c r="A725" s="189"/>
      <c r="B725" s="190"/>
      <c r="E725" s="192"/>
    </row>
    <row r="726" spans="1:5" x14ac:dyDescent="0.35">
      <c r="A726" s="189"/>
      <c r="B726" s="190"/>
      <c r="E726" s="192"/>
    </row>
    <row r="727" spans="1:5" x14ac:dyDescent="0.35">
      <c r="A727" s="189"/>
      <c r="B727" s="190"/>
      <c r="E727" s="192"/>
    </row>
    <row r="728" spans="1:5" x14ac:dyDescent="0.35">
      <c r="A728" s="189"/>
      <c r="B728" s="190"/>
      <c r="E728" s="192"/>
    </row>
    <row r="729" spans="1:5" x14ac:dyDescent="0.35">
      <c r="A729" s="189"/>
      <c r="B729" s="190"/>
      <c r="E729" s="192"/>
    </row>
    <row r="730" spans="1:5" x14ac:dyDescent="0.35">
      <c r="A730" s="189"/>
      <c r="B730" s="190"/>
      <c r="E730" s="192"/>
    </row>
    <row r="731" spans="1:5" x14ac:dyDescent="0.35">
      <c r="A731" s="189"/>
      <c r="B731" s="190"/>
      <c r="E731" s="192"/>
    </row>
    <row r="732" spans="1:5" x14ac:dyDescent="0.35">
      <c r="A732" s="189"/>
      <c r="B732" s="190"/>
      <c r="E732" s="192"/>
    </row>
    <row r="733" spans="1:5" x14ac:dyDescent="0.35">
      <c r="A733" s="189"/>
      <c r="B733" s="190"/>
      <c r="E733" s="192"/>
    </row>
    <row r="734" spans="1:5" x14ac:dyDescent="0.35">
      <c r="A734" s="189"/>
      <c r="B734" s="190"/>
      <c r="E734" s="192"/>
    </row>
    <row r="735" spans="1:5" x14ac:dyDescent="0.35">
      <c r="A735" s="189"/>
      <c r="B735" s="190"/>
      <c r="E735" s="192"/>
    </row>
    <row r="736" spans="1:5" x14ac:dyDescent="0.35">
      <c r="A736" s="189"/>
      <c r="B736" s="190"/>
      <c r="E736" s="192"/>
    </row>
    <row r="737" spans="1:5" x14ac:dyDescent="0.35">
      <c r="A737" s="189"/>
      <c r="B737" s="190"/>
      <c r="E737" s="192"/>
    </row>
    <row r="738" spans="1:5" x14ac:dyDescent="0.35">
      <c r="A738" s="189"/>
      <c r="B738" s="190"/>
      <c r="E738" s="192"/>
    </row>
    <row r="739" spans="1:5" x14ac:dyDescent="0.35">
      <c r="A739" s="189"/>
      <c r="B739" s="190"/>
      <c r="E739" s="192"/>
    </row>
    <row r="740" spans="1:5" x14ac:dyDescent="0.35">
      <c r="A740" s="189"/>
      <c r="B740" s="190"/>
      <c r="E740" s="192"/>
    </row>
    <row r="741" spans="1:5" x14ac:dyDescent="0.35">
      <c r="A741" s="189"/>
      <c r="B741" s="190"/>
      <c r="E741" s="192"/>
    </row>
    <row r="742" spans="1:5" x14ac:dyDescent="0.35">
      <c r="A742" s="189"/>
      <c r="B742" s="190"/>
      <c r="E742" s="192"/>
    </row>
    <row r="743" spans="1:5" x14ac:dyDescent="0.35">
      <c r="A743" s="189"/>
      <c r="B743" s="190"/>
      <c r="E743" s="192"/>
    </row>
    <row r="744" spans="1:5" x14ac:dyDescent="0.35">
      <c r="A744" s="189"/>
      <c r="B744" s="190"/>
      <c r="E744" s="192"/>
    </row>
    <row r="745" spans="1:5" x14ac:dyDescent="0.35">
      <c r="A745" s="189"/>
      <c r="B745" s="190"/>
      <c r="E745" s="192"/>
    </row>
    <row r="746" spans="1:5" x14ac:dyDescent="0.35">
      <c r="A746" s="189"/>
      <c r="B746" s="190"/>
      <c r="E746" s="192"/>
    </row>
    <row r="747" spans="1:5" x14ac:dyDescent="0.35">
      <c r="A747" s="189"/>
      <c r="B747" s="190"/>
      <c r="E747" s="192"/>
    </row>
    <row r="748" spans="1:5" x14ac:dyDescent="0.35">
      <c r="A748" s="189"/>
      <c r="B748" s="190"/>
      <c r="E748" s="192"/>
    </row>
    <row r="749" spans="1:5" x14ac:dyDescent="0.35">
      <c r="A749" s="189"/>
      <c r="B749" s="190"/>
      <c r="E749" s="192"/>
    </row>
    <row r="750" spans="1:5" x14ac:dyDescent="0.35">
      <c r="A750" s="189"/>
      <c r="B750" s="190"/>
      <c r="E750" s="192"/>
    </row>
    <row r="751" spans="1:5" x14ac:dyDescent="0.35">
      <c r="A751" s="189"/>
      <c r="B751" s="190"/>
      <c r="E751" s="192"/>
    </row>
    <row r="752" spans="1:5" x14ac:dyDescent="0.35">
      <c r="A752" s="189"/>
      <c r="B752" s="190"/>
      <c r="E752" s="192"/>
    </row>
    <row r="753" spans="1:5" x14ac:dyDescent="0.35">
      <c r="A753" s="189"/>
      <c r="B753" s="190"/>
      <c r="E753" s="192"/>
    </row>
    <row r="754" spans="1:5" x14ac:dyDescent="0.35">
      <c r="A754" s="189"/>
      <c r="B754" s="190"/>
      <c r="E754" s="192"/>
    </row>
    <row r="755" spans="1:5" x14ac:dyDescent="0.35">
      <c r="A755" s="189"/>
      <c r="B755" s="190"/>
      <c r="E755" s="192"/>
    </row>
    <row r="756" spans="1:5" x14ac:dyDescent="0.35">
      <c r="A756" s="189"/>
      <c r="B756" s="190"/>
      <c r="E756" s="192"/>
    </row>
    <row r="757" spans="1:5" x14ac:dyDescent="0.35">
      <c r="A757" s="189"/>
      <c r="B757" s="190"/>
      <c r="E757" s="192"/>
    </row>
    <row r="758" spans="1:5" x14ac:dyDescent="0.35">
      <c r="A758" s="189"/>
      <c r="B758" s="190"/>
      <c r="E758" s="192"/>
    </row>
    <row r="759" spans="1:5" x14ac:dyDescent="0.35">
      <c r="A759" s="189"/>
      <c r="B759" s="190"/>
      <c r="E759" s="192"/>
    </row>
    <row r="760" spans="1:5" x14ac:dyDescent="0.35">
      <c r="A760" s="189"/>
      <c r="B760" s="190"/>
      <c r="E760" s="192"/>
    </row>
    <row r="761" spans="1:5" x14ac:dyDescent="0.35">
      <c r="A761" s="189"/>
      <c r="B761" s="190"/>
      <c r="E761" s="192"/>
    </row>
    <row r="762" spans="1:5" x14ac:dyDescent="0.35">
      <c r="A762" s="189"/>
      <c r="B762" s="190"/>
      <c r="E762" s="192"/>
    </row>
    <row r="763" spans="1:5" x14ac:dyDescent="0.35">
      <c r="A763" s="189"/>
      <c r="B763" s="190"/>
      <c r="E763" s="192"/>
    </row>
    <row r="764" spans="1:5" x14ac:dyDescent="0.35">
      <c r="A764" s="189"/>
      <c r="B764" s="190"/>
      <c r="E764" s="192"/>
    </row>
    <row r="765" spans="1:5" x14ac:dyDescent="0.35">
      <c r="A765" s="189"/>
      <c r="B765" s="190"/>
      <c r="E765" s="192"/>
    </row>
    <row r="766" spans="1:5" x14ac:dyDescent="0.35">
      <c r="A766" s="189"/>
      <c r="B766" s="190"/>
      <c r="E766" s="192"/>
    </row>
    <row r="767" spans="1:5" x14ac:dyDescent="0.35">
      <c r="A767" s="189"/>
      <c r="B767" s="190"/>
      <c r="E767" s="192"/>
    </row>
    <row r="768" spans="1:5" x14ac:dyDescent="0.35">
      <c r="A768" s="189"/>
      <c r="B768" s="190"/>
      <c r="E768" s="192"/>
    </row>
    <row r="769" spans="1:5" x14ac:dyDescent="0.35">
      <c r="A769" s="189"/>
      <c r="B769" s="190"/>
      <c r="E769" s="192"/>
    </row>
    <row r="770" spans="1:5" x14ac:dyDescent="0.35">
      <c r="A770" s="189"/>
      <c r="B770" s="190"/>
      <c r="E770" s="192"/>
    </row>
    <row r="771" spans="1:5" x14ac:dyDescent="0.35">
      <c r="A771" s="189"/>
      <c r="B771" s="190"/>
      <c r="E771" s="192"/>
    </row>
    <row r="772" spans="1:5" x14ac:dyDescent="0.35">
      <c r="A772" s="189"/>
      <c r="B772" s="190"/>
      <c r="E772" s="192"/>
    </row>
    <row r="773" spans="1:5" x14ac:dyDescent="0.35">
      <c r="A773" s="189"/>
      <c r="B773" s="190"/>
      <c r="E773" s="192"/>
    </row>
    <row r="774" spans="1:5" x14ac:dyDescent="0.35">
      <c r="A774" s="189"/>
      <c r="B774" s="190"/>
      <c r="E774" s="192"/>
    </row>
    <row r="775" spans="1:5" x14ac:dyDescent="0.35">
      <c r="A775" s="189"/>
      <c r="B775" s="190"/>
      <c r="E775" s="192"/>
    </row>
    <row r="776" spans="1:5" x14ac:dyDescent="0.35">
      <c r="A776" s="189"/>
      <c r="B776" s="190"/>
      <c r="E776" s="192"/>
    </row>
    <row r="777" spans="1:5" x14ac:dyDescent="0.35">
      <c r="A777" s="189"/>
      <c r="B777" s="190"/>
      <c r="E777" s="192"/>
    </row>
    <row r="778" spans="1:5" x14ac:dyDescent="0.35">
      <c r="A778" s="189"/>
      <c r="B778" s="190"/>
      <c r="E778" s="192"/>
    </row>
    <row r="779" spans="1:5" x14ac:dyDescent="0.35">
      <c r="A779" s="189"/>
      <c r="B779" s="190"/>
      <c r="E779" s="192"/>
    </row>
    <row r="780" spans="1:5" x14ac:dyDescent="0.35">
      <c r="A780" s="189"/>
      <c r="B780" s="190"/>
      <c r="E780" s="192"/>
    </row>
    <row r="781" spans="1:5" x14ac:dyDescent="0.35">
      <c r="A781" s="189"/>
      <c r="B781" s="190"/>
      <c r="E781" s="192"/>
    </row>
    <row r="782" spans="1:5" x14ac:dyDescent="0.35">
      <c r="A782" s="189"/>
      <c r="B782" s="190"/>
      <c r="E782" s="192"/>
    </row>
    <row r="783" spans="1:5" x14ac:dyDescent="0.35">
      <c r="A783" s="189"/>
      <c r="B783" s="190"/>
      <c r="E783" s="192"/>
    </row>
    <row r="784" spans="1:5" x14ac:dyDescent="0.35">
      <c r="A784" s="189"/>
      <c r="B784" s="190"/>
      <c r="E784" s="192"/>
    </row>
    <row r="785" spans="1:5" x14ac:dyDescent="0.35">
      <c r="A785" s="189"/>
      <c r="B785" s="190"/>
      <c r="E785" s="192"/>
    </row>
    <row r="786" spans="1:5" x14ac:dyDescent="0.35">
      <c r="A786" s="189"/>
      <c r="B786" s="190"/>
      <c r="E786" s="192"/>
    </row>
    <row r="787" spans="1:5" x14ac:dyDescent="0.35">
      <c r="A787" s="189"/>
      <c r="B787" s="190"/>
      <c r="E787" s="192"/>
    </row>
    <row r="788" spans="1:5" x14ac:dyDescent="0.35">
      <c r="A788" s="189"/>
      <c r="B788" s="190"/>
      <c r="E788" s="192"/>
    </row>
    <row r="789" spans="1:5" x14ac:dyDescent="0.35">
      <c r="A789" s="189"/>
      <c r="B789" s="190"/>
      <c r="E789" s="192"/>
    </row>
    <row r="790" spans="1:5" x14ac:dyDescent="0.35">
      <c r="A790" s="189"/>
      <c r="B790" s="190"/>
      <c r="E790" s="192"/>
    </row>
    <row r="791" spans="1:5" x14ac:dyDescent="0.35">
      <c r="A791" s="189"/>
      <c r="B791" s="190"/>
      <c r="E791" s="192"/>
    </row>
    <row r="792" spans="1:5" x14ac:dyDescent="0.35">
      <c r="A792" s="189"/>
      <c r="B792" s="190"/>
      <c r="E792" s="192"/>
    </row>
    <row r="793" spans="1:5" x14ac:dyDescent="0.35">
      <c r="A793" s="189"/>
      <c r="B793" s="190"/>
      <c r="E793" s="192"/>
    </row>
    <row r="794" spans="1:5" x14ac:dyDescent="0.35">
      <c r="A794" s="189"/>
      <c r="B794" s="190"/>
      <c r="E794" s="192"/>
    </row>
    <row r="795" spans="1:5" x14ac:dyDescent="0.35">
      <c r="A795" s="189"/>
      <c r="B795" s="190"/>
      <c r="E795" s="192"/>
    </row>
    <row r="796" spans="1:5" x14ac:dyDescent="0.35">
      <c r="A796" s="189"/>
      <c r="B796" s="190"/>
      <c r="E796" s="192"/>
    </row>
    <row r="797" spans="1:5" x14ac:dyDescent="0.35">
      <c r="A797" s="189"/>
      <c r="B797" s="190"/>
      <c r="E797" s="192"/>
    </row>
    <row r="798" spans="1:5" x14ac:dyDescent="0.35">
      <c r="A798" s="189"/>
      <c r="B798" s="190"/>
      <c r="E798" s="192"/>
    </row>
    <row r="799" spans="1:5" x14ac:dyDescent="0.35">
      <c r="A799" s="189"/>
      <c r="B799" s="190"/>
      <c r="E799" s="192"/>
    </row>
    <row r="800" spans="1:5" x14ac:dyDescent="0.35">
      <c r="A800" s="189"/>
      <c r="B800" s="190"/>
      <c r="E800" s="192"/>
    </row>
    <row r="801" spans="1:5" x14ac:dyDescent="0.35">
      <c r="A801" s="189"/>
      <c r="B801" s="190"/>
      <c r="E801" s="192"/>
    </row>
    <row r="802" spans="1:5" x14ac:dyDescent="0.35">
      <c r="A802" s="189"/>
      <c r="B802" s="190"/>
      <c r="E802" s="192"/>
    </row>
    <row r="803" spans="1:5" x14ac:dyDescent="0.35">
      <c r="A803" s="189"/>
      <c r="B803" s="190"/>
      <c r="E803" s="192"/>
    </row>
    <row r="804" spans="1:5" x14ac:dyDescent="0.35">
      <c r="A804" s="189"/>
      <c r="B804" s="190"/>
      <c r="E804" s="192"/>
    </row>
    <row r="805" spans="1:5" x14ac:dyDescent="0.35">
      <c r="A805" s="189"/>
      <c r="B805" s="190"/>
      <c r="E805" s="192"/>
    </row>
    <row r="806" spans="1:5" x14ac:dyDescent="0.35">
      <c r="A806" s="189"/>
      <c r="B806" s="190"/>
      <c r="E806" s="192"/>
    </row>
    <row r="807" spans="1:5" x14ac:dyDescent="0.35">
      <c r="A807" s="189"/>
      <c r="B807" s="190"/>
      <c r="E807" s="192"/>
    </row>
    <row r="808" spans="1:5" x14ac:dyDescent="0.35">
      <c r="A808" s="189"/>
      <c r="B808" s="190"/>
      <c r="E808" s="192"/>
    </row>
    <row r="809" spans="1:5" x14ac:dyDescent="0.35">
      <c r="A809" s="189"/>
      <c r="B809" s="190"/>
      <c r="E809" s="192"/>
    </row>
    <row r="810" spans="1:5" x14ac:dyDescent="0.35">
      <c r="A810" s="189"/>
      <c r="B810" s="190"/>
      <c r="E810" s="192"/>
    </row>
    <row r="811" spans="1:5" x14ac:dyDescent="0.35">
      <c r="A811" s="189"/>
      <c r="B811" s="190"/>
      <c r="E811" s="192"/>
    </row>
    <row r="812" spans="1:5" x14ac:dyDescent="0.35">
      <c r="A812" s="189"/>
      <c r="B812" s="190"/>
      <c r="E812" s="192"/>
    </row>
    <row r="813" spans="1:5" x14ac:dyDescent="0.35">
      <c r="A813" s="189"/>
      <c r="B813" s="190"/>
      <c r="E813" s="192"/>
    </row>
    <row r="814" spans="1:5" x14ac:dyDescent="0.35">
      <c r="A814" s="189"/>
      <c r="B814" s="190"/>
      <c r="E814" s="192"/>
    </row>
    <row r="815" spans="1:5" x14ac:dyDescent="0.35">
      <c r="A815" s="189"/>
      <c r="B815" s="190"/>
      <c r="E815" s="192"/>
    </row>
    <row r="816" spans="1:5" x14ac:dyDescent="0.35">
      <c r="A816" s="189"/>
      <c r="B816" s="190"/>
      <c r="E816" s="192"/>
    </row>
    <row r="817" spans="1:5" x14ac:dyDescent="0.35">
      <c r="A817" s="189"/>
      <c r="B817" s="190"/>
      <c r="E817" s="192"/>
    </row>
    <row r="818" spans="1:5" x14ac:dyDescent="0.35">
      <c r="A818" s="189"/>
      <c r="B818" s="190"/>
      <c r="E818" s="192"/>
    </row>
    <row r="819" spans="1:5" x14ac:dyDescent="0.35">
      <c r="A819" s="189"/>
      <c r="B819" s="190"/>
      <c r="E819" s="192"/>
    </row>
    <row r="820" spans="1:5" x14ac:dyDescent="0.35">
      <c r="A820" s="189"/>
      <c r="B820" s="190"/>
      <c r="E820" s="192"/>
    </row>
    <row r="821" spans="1:5" x14ac:dyDescent="0.35">
      <c r="A821" s="189"/>
      <c r="B821" s="190"/>
      <c r="E821" s="192"/>
    </row>
    <row r="822" spans="1:5" x14ac:dyDescent="0.35">
      <c r="A822" s="189"/>
      <c r="B822" s="190"/>
      <c r="E822" s="192"/>
    </row>
    <row r="823" spans="1:5" x14ac:dyDescent="0.35">
      <c r="A823" s="189"/>
      <c r="B823" s="190"/>
      <c r="E823" s="192"/>
    </row>
    <row r="824" spans="1:5" x14ac:dyDescent="0.35">
      <c r="A824" s="189"/>
      <c r="B824" s="190"/>
      <c r="E824" s="192"/>
    </row>
    <row r="825" spans="1:5" x14ac:dyDescent="0.35">
      <c r="A825" s="189"/>
      <c r="B825" s="190"/>
      <c r="E825" s="192"/>
    </row>
    <row r="826" spans="1:5" x14ac:dyDescent="0.35">
      <c r="A826" s="189"/>
      <c r="B826" s="190"/>
      <c r="E826" s="192"/>
    </row>
    <row r="827" spans="1:5" x14ac:dyDescent="0.35">
      <c r="A827" s="189"/>
      <c r="B827" s="190"/>
      <c r="E827" s="192"/>
    </row>
    <row r="828" spans="1:5" x14ac:dyDescent="0.35">
      <c r="A828" s="189"/>
      <c r="B828" s="190"/>
      <c r="E828" s="192"/>
    </row>
    <row r="829" spans="1:5" x14ac:dyDescent="0.35">
      <c r="A829" s="189"/>
      <c r="B829" s="190"/>
      <c r="E829" s="192"/>
    </row>
    <row r="830" spans="1:5" x14ac:dyDescent="0.35">
      <c r="A830" s="189"/>
      <c r="B830" s="190"/>
      <c r="E830" s="192"/>
    </row>
    <row r="831" spans="1:5" x14ac:dyDescent="0.35">
      <c r="A831" s="189"/>
      <c r="B831" s="190"/>
      <c r="E831" s="192"/>
    </row>
    <row r="832" spans="1:5" x14ac:dyDescent="0.35">
      <c r="A832" s="189"/>
      <c r="B832" s="190"/>
      <c r="E832" s="192"/>
    </row>
    <row r="833" spans="1:5" x14ac:dyDescent="0.35">
      <c r="A833" s="189"/>
      <c r="B833" s="190"/>
      <c r="E833" s="192"/>
    </row>
    <row r="834" spans="1:5" x14ac:dyDescent="0.35">
      <c r="A834" s="189"/>
      <c r="B834" s="190"/>
      <c r="E834" s="192"/>
    </row>
    <row r="835" spans="1:5" x14ac:dyDescent="0.35">
      <c r="A835" s="189"/>
      <c r="B835" s="190"/>
      <c r="E835" s="192"/>
    </row>
    <row r="836" spans="1:5" x14ac:dyDescent="0.35">
      <c r="A836" s="189"/>
      <c r="B836" s="190"/>
      <c r="E836" s="192"/>
    </row>
    <row r="837" spans="1:5" x14ac:dyDescent="0.35">
      <c r="A837" s="189"/>
      <c r="B837" s="190"/>
      <c r="E837" s="192"/>
    </row>
    <row r="838" spans="1:5" x14ac:dyDescent="0.35">
      <c r="A838" s="189"/>
      <c r="B838" s="190"/>
      <c r="E838" s="192"/>
    </row>
    <row r="839" spans="1:5" x14ac:dyDescent="0.35">
      <c r="A839" s="189"/>
      <c r="B839" s="190"/>
      <c r="E839" s="192"/>
    </row>
    <row r="840" spans="1:5" x14ac:dyDescent="0.35">
      <c r="A840" s="189"/>
      <c r="B840" s="190"/>
      <c r="E840" s="192"/>
    </row>
    <row r="841" spans="1:5" x14ac:dyDescent="0.35">
      <c r="A841" s="189"/>
      <c r="B841" s="190"/>
      <c r="E841" s="192"/>
    </row>
    <row r="842" spans="1:5" x14ac:dyDescent="0.35">
      <c r="A842" s="189"/>
      <c r="B842" s="190"/>
      <c r="E842" s="192"/>
    </row>
    <row r="843" spans="1:5" x14ac:dyDescent="0.35">
      <c r="A843" s="189"/>
      <c r="B843" s="190"/>
      <c r="E843" s="192"/>
    </row>
    <row r="844" spans="1:5" x14ac:dyDescent="0.35">
      <c r="A844" s="189"/>
      <c r="B844" s="190"/>
      <c r="E844" s="192"/>
    </row>
    <row r="845" spans="1:5" x14ac:dyDescent="0.35">
      <c r="A845" s="189"/>
      <c r="B845" s="190"/>
      <c r="E845" s="192"/>
    </row>
    <row r="846" spans="1:5" x14ac:dyDescent="0.35">
      <c r="A846" s="189"/>
      <c r="B846" s="190"/>
      <c r="E846" s="192"/>
    </row>
    <row r="847" spans="1:5" x14ac:dyDescent="0.35">
      <c r="A847" s="189"/>
      <c r="B847" s="190"/>
      <c r="E847" s="192"/>
    </row>
    <row r="848" spans="1:5" x14ac:dyDescent="0.35">
      <c r="A848" s="189"/>
      <c r="B848" s="190"/>
      <c r="E848" s="192"/>
    </row>
    <row r="849" spans="1:5" x14ac:dyDescent="0.35">
      <c r="A849" s="189"/>
      <c r="B849" s="190"/>
      <c r="E849" s="192"/>
    </row>
    <row r="850" spans="1:5" x14ac:dyDescent="0.35">
      <c r="A850" s="189"/>
      <c r="B850" s="190"/>
      <c r="E850" s="192"/>
    </row>
    <row r="851" spans="1:5" x14ac:dyDescent="0.35">
      <c r="A851" s="189"/>
      <c r="B851" s="190"/>
      <c r="E851" s="192"/>
    </row>
    <row r="852" spans="1:5" x14ac:dyDescent="0.35">
      <c r="A852" s="189"/>
      <c r="B852" s="190"/>
      <c r="E852" s="192"/>
    </row>
    <row r="853" spans="1:5" x14ac:dyDescent="0.35">
      <c r="A853" s="189"/>
      <c r="B853" s="190"/>
      <c r="E853" s="192"/>
    </row>
    <row r="854" spans="1:5" x14ac:dyDescent="0.35">
      <c r="A854" s="189"/>
      <c r="B854" s="190"/>
      <c r="E854" s="192"/>
    </row>
    <row r="855" spans="1:5" x14ac:dyDescent="0.35">
      <c r="A855" s="189"/>
      <c r="B855" s="190"/>
      <c r="E855" s="192"/>
    </row>
    <row r="856" spans="1:5" x14ac:dyDescent="0.35">
      <c r="A856" s="189"/>
      <c r="B856" s="190"/>
      <c r="E856" s="192"/>
    </row>
    <row r="857" spans="1:5" x14ac:dyDescent="0.35">
      <c r="A857" s="189"/>
      <c r="B857" s="190"/>
      <c r="E857" s="192"/>
    </row>
    <row r="858" spans="1:5" x14ac:dyDescent="0.35">
      <c r="A858" s="189"/>
      <c r="B858" s="190"/>
      <c r="E858" s="192"/>
    </row>
    <row r="859" spans="1:5" x14ac:dyDescent="0.35">
      <c r="A859" s="189"/>
      <c r="B859" s="190"/>
      <c r="E859" s="192"/>
    </row>
    <row r="860" spans="1:5" x14ac:dyDescent="0.35">
      <c r="A860" s="189"/>
      <c r="B860" s="190"/>
      <c r="E860" s="192"/>
    </row>
    <row r="861" spans="1:5" x14ac:dyDescent="0.35">
      <c r="A861" s="189"/>
      <c r="B861" s="190"/>
      <c r="E861" s="192"/>
    </row>
    <row r="862" spans="1:5" x14ac:dyDescent="0.35">
      <c r="A862" s="189"/>
      <c r="B862" s="190"/>
      <c r="E862" s="192"/>
    </row>
    <row r="863" spans="1:5" x14ac:dyDescent="0.35">
      <c r="A863" s="189"/>
      <c r="B863" s="190"/>
      <c r="E863" s="192"/>
    </row>
    <row r="864" spans="1:5" x14ac:dyDescent="0.35">
      <c r="A864" s="189"/>
      <c r="B864" s="190"/>
      <c r="E864" s="192"/>
    </row>
    <row r="865" spans="1:5" x14ac:dyDescent="0.35">
      <c r="A865" s="189"/>
      <c r="B865" s="190"/>
      <c r="E865" s="192"/>
    </row>
    <row r="866" spans="1:5" x14ac:dyDescent="0.35">
      <c r="A866" s="189"/>
      <c r="B866" s="190"/>
      <c r="E866" s="192"/>
    </row>
    <row r="867" spans="1:5" x14ac:dyDescent="0.35">
      <c r="A867" s="189"/>
      <c r="B867" s="190"/>
      <c r="E867" s="192"/>
    </row>
    <row r="868" spans="1:5" x14ac:dyDescent="0.35">
      <c r="A868" s="189"/>
      <c r="B868" s="190"/>
      <c r="E868" s="192"/>
    </row>
    <row r="869" spans="1:5" x14ac:dyDescent="0.35">
      <c r="A869" s="189"/>
      <c r="B869" s="190"/>
      <c r="E869" s="192"/>
    </row>
    <row r="870" spans="1:5" x14ac:dyDescent="0.35">
      <c r="A870" s="189"/>
      <c r="B870" s="190"/>
      <c r="E870" s="192"/>
    </row>
    <row r="871" spans="1:5" x14ac:dyDescent="0.35">
      <c r="A871" s="189"/>
      <c r="B871" s="190"/>
      <c r="E871" s="192"/>
    </row>
    <row r="872" spans="1:5" x14ac:dyDescent="0.35">
      <c r="A872" s="189"/>
      <c r="B872" s="190"/>
      <c r="E872" s="192"/>
    </row>
    <row r="873" spans="1:5" x14ac:dyDescent="0.35">
      <c r="A873" s="189"/>
      <c r="B873" s="190"/>
      <c r="E873" s="192"/>
    </row>
    <row r="874" spans="1:5" x14ac:dyDescent="0.35">
      <c r="A874" s="189"/>
      <c r="B874" s="190"/>
      <c r="E874" s="192"/>
    </row>
    <row r="875" spans="1:5" x14ac:dyDescent="0.35">
      <c r="A875" s="189"/>
      <c r="B875" s="190"/>
      <c r="E875" s="192"/>
    </row>
    <row r="876" spans="1:5" x14ac:dyDescent="0.35">
      <c r="A876" s="189"/>
      <c r="B876" s="190"/>
      <c r="E876" s="192"/>
    </row>
    <row r="877" spans="1:5" x14ac:dyDescent="0.35">
      <c r="A877" s="189"/>
      <c r="B877" s="190"/>
      <c r="E877" s="192"/>
    </row>
    <row r="878" spans="1:5" x14ac:dyDescent="0.35">
      <c r="A878" s="189"/>
      <c r="B878" s="190"/>
      <c r="E878" s="192"/>
    </row>
    <row r="879" spans="1:5" x14ac:dyDescent="0.35">
      <c r="A879" s="189"/>
      <c r="B879" s="190"/>
      <c r="E879" s="192"/>
    </row>
    <row r="880" spans="1:5" x14ac:dyDescent="0.35">
      <c r="A880" s="189"/>
      <c r="B880" s="190"/>
      <c r="E880" s="192"/>
    </row>
    <row r="881" spans="1:5" x14ac:dyDescent="0.35">
      <c r="A881" s="189"/>
      <c r="B881" s="190"/>
      <c r="E881" s="192"/>
    </row>
    <row r="882" spans="1:5" x14ac:dyDescent="0.35">
      <c r="A882" s="189"/>
      <c r="B882" s="190"/>
      <c r="E882" s="192"/>
    </row>
    <row r="883" spans="1:5" x14ac:dyDescent="0.35">
      <c r="A883" s="189"/>
      <c r="B883" s="190"/>
      <c r="E883" s="192"/>
    </row>
    <row r="884" spans="1:5" x14ac:dyDescent="0.35">
      <c r="A884" s="189"/>
      <c r="B884" s="190"/>
      <c r="E884" s="192"/>
    </row>
    <row r="885" spans="1:5" x14ac:dyDescent="0.35">
      <c r="A885" s="189"/>
      <c r="B885" s="190"/>
      <c r="E885" s="192"/>
    </row>
    <row r="886" spans="1:5" x14ac:dyDescent="0.35">
      <c r="A886" s="189"/>
      <c r="B886" s="190"/>
      <c r="E886" s="192"/>
    </row>
    <row r="887" spans="1:5" x14ac:dyDescent="0.35">
      <c r="A887" s="189"/>
      <c r="B887" s="190"/>
      <c r="E887" s="192"/>
    </row>
    <row r="888" spans="1:5" x14ac:dyDescent="0.35">
      <c r="A888" s="189"/>
      <c r="B888" s="190"/>
      <c r="E888" s="192"/>
    </row>
    <row r="889" spans="1:5" x14ac:dyDescent="0.35">
      <c r="A889" s="189"/>
      <c r="B889" s="190"/>
      <c r="E889" s="192"/>
    </row>
    <row r="890" spans="1:5" x14ac:dyDescent="0.35">
      <c r="A890" s="189"/>
      <c r="B890" s="190"/>
      <c r="E890" s="192"/>
    </row>
    <row r="891" spans="1:5" x14ac:dyDescent="0.35">
      <c r="A891" s="189"/>
      <c r="B891" s="190"/>
      <c r="E891" s="192"/>
    </row>
    <row r="892" spans="1:5" x14ac:dyDescent="0.35">
      <c r="A892" s="189"/>
      <c r="B892" s="190"/>
      <c r="E892" s="192"/>
    </row>
    <row r="893" spans="1:5" x14ac:dyDescent="0.35">
      <c r="A893" s="189"/>
      <c r="B893" s="190"/>
      <c r="E893" s="192"/>
    </row>
    <row r="894" spans="1:5" x14ac:dyDescent="0.35">
      <c r="A894" s="189"/>
      <c r="B894" s="190"/>
      <c r="E894" s="192"/>
    </row>
    <row r="895" spans="1:5" x14ac:dyDescent="0.35">
      <c r="A895" s="189"/>
      <c r="B895" s="190"/>
      <c r="E895" s="192"/>
    </row>
    <row r="896" spans="1:5" x14ac:dyDescent="0.35">
      <c r="A896" s="189"/>
      <c r="B896" s="190"/>
      <c r="E896" s="192"/>
    </row>
    <row r="897" spans="1:5" x14ac:dyDescent="0.35">
      <c r="A897" s="189"/>
      <c r="B897" s="190"/>
      <c r="E897" s="192"/>
    </row>
    <row r="898" spans="1:5" x14ac:dyDescent="0.35">
      <c r="A898" s="189"/>
      <c r="B898" s="190"/>
      <c r="E898" s="192"/>
    </row>
    <row r="899" spans="1:5" x14ac:dyDescent="0.35">
      <c r="A899" s="189"/>
      <c r="B899" s="190"/>
      <c r="E899" s="192"/>
    </row>
    <row r="900" spans="1:5" x14ac:dyDescent="0.35">
      <c r="A900" s="189"/>
      <c r="B900" s="190"/>
      <c r="E900" s="192"/>
    </row>
    <row r="901" spans="1:5" x14ac:dyDescent="0.35">
      <c r="A901" s="189"/>
      <c r="B901" s="190"/>
      <c r="E901" s="192"/>
    </row>
    <row r="902" spans="1:5" x14ac:dyDescent="0.35">
      <c r="A902" s="189"/>
      <c r="B902" s="190"/>
      <c r="E902" s="192"/>
    </row>
    <row r="903" spans="1:5" x14ac:dyDescent="0.35">
      <c r="A903" s="189"/>
      <c r="B903" s="190"/>
      <c r="E903" s="192"/>
    </row>
    <row r="904" spans="1:5" x14ac:dyDescent="0.35">
      <c r="A904" s="189"/>
      <c r="B904" s="190"/>
      <c r="E904" s="192"/>
    </row>
    <row r="905" spans="1:5" x14ac:dyDescent="0.35">
      <c r="A905" s="189"/>
      <c r="B905" s="190"/>
      <c r="E905" s="192"/>
    </row>
    <row r="906" spans="1:5" x14ac:dyDescent="0.35">
      <c r="A906" s="189"/>
      <c r="B906" s="190"/>
      <c r="E906" s="192"/>
    </row>
    <row r="907" spans="1:5" x14ac:dyDescent="0.35">
      <c r="A907" s="189"/>
      <c r="B907" s="190"/>
      <c r="E907" s="192"/>
    </row>
    <row r="908" spans="1:5" x14ac:dyDescent="0.35">
      <c r="A908" s="189"/>
      <c r="B908" s="190"/>
      <c r="E908" s="192"/>
    </row>
    <row r="909" spans="1:5" x14ac:dyDescent="0.35">
      <c r="A909" s="189"/>
      <c r="B909" s="190"/>
      <c r="E909" s="192"/>
    </row>
    <row r="910" spans="1:5" x14ac:dyDescent="0.35">
      <c r="A910" s="189"/>
      <c r="B910" s="190"/>
      <c r="E910" s="192"/>
    </row>
    <row r="911" spans="1:5" x14ac:dyDescent="0.35">
      <c r="A911" s="189"/>
      <c r="B911" s="190"/>
      <c r="E911" s="192"/>
    </row>
    <row r="912" spans="1:5" x14ac:dyDescent="0.35">
      <c r="A912" s="189"/>
      <c r="B912" s="190"/>
      <c r="E912" s="192"/>
    </row>
    <row r="913" spans="1:5" x14ac:dyDescent="0.35">
      <c r="A913" s="189"/>
      <c r="B913" s="190"/>
      <c r="E913" s="192"/>
    </row>
    <row r="914" spans="1:5" x14ac:dyDescent="0.35">
      <c r="A914" s="189"/>
      <c r="B914" s="190"/>
      <c r="E914" s="192"/>
    </row>
    <row r="915" spans="1:5" x14ac:dyDescent="0.35">
      <c r="A915" s="189"/>
      <c r="B915" s="190"/>
      <c r="E915" s="192"/>
    </row>
    <row r="916" spans="1:5" x14ac:dyDescent="0.35">
      <c r="A916" s="189"/>
      <c r="B916" s="190"/>
      <c r="E916" s="192"/>
    </row>
    <row r="917" spans="1:5" x14ac:dyDescent="0.35">
      <c r="A917" s="189"/>
      <c r="B917" s="190"/>
      <c r="E917" s="192"/>
    </row>
    <row r="918" spans="1:5" x14ac:dyDescent="0.35">
      <c r="A918" s="189"/>
      <c r="B918" s="190"/>
      <c r="E918" s="192"/>
    </row>
    <row r="919" spans="1:5" x14ac:dyDescent="0.35">
      <c r="A919" s="189"/>
      <c r="B919" s="190"/>
      <c r="E919" s="192"/>
    </row>
    <row r="920" spans="1:5" x14ac:dyDescent="0.35">
      <c r="A920" s="189"/>
      <c r="B920" s="190"/>
      <c r="E920" s="192"/>
    </row>
    <row r="921" spans="1:5" x14ac:dyDescent="0.35">
      <c r="A921" s="189"/>
      <c r="B921" s="190"/>
      <c r="E921" s="192"/>
    </row>
    <row r="922" spans="1:5" x14ac:dyDescent="0.35">
      <c r="A922" s="189"/>
      <c r="B922" s="190"/>
      <c r="E922" s="192"/>
    </row>
    <row r="923" spans="1:5" x14ac:dyDescent="0.35">
      <c r="A923" s="189"/>
      <c r="B923" s="190"/>
      <c r="E923" s="192"/>
    </row>
    <row r="924" spans="1:5" x14ac:dyDescent="0.35">
      <c r="A924" s="189"/>
      <c r="B924" s="190"/>
      <c r="E924" s="192"/>
    </row>
    <row r="925" spans="1:5" x14ac:dyDescent="0.35">
      <c r="A925" s="189"/>
      <c r="B925" s="190"/>
      <c r="E925" s="192"/>
    </row>
    <row r="926" spans="1:5" x14ac:dyDescent="0.35">
      <c r="A926" s="189"/>
      <c r="B926" s="190"/>
      <c r="E926" s="192"/>
    </row>
    <row r="927" spans="1:5" x14ac:dyDescent="0.35">
      <c r="A927" s="189"/>
      <c r="B927" s="190"/>
      <c r="E927" s="192"/>
    </row>
    <row r="928" spans="1:5" x14ac:dyDescent="0.35">
      <c r="A928" s="189"/>
      <c r="B928" s="190"/>
      <c r="E928" s="192"/>
    </row>
    <row r="929" spans="1:5" x14ac:dyDescent="0.35">
      <c r="A929" s="189"/>
      <c r="B929" s="190"/>
      <c r="E929" s="192"/>
    </row>
    <row r="930" spans="1:5" x14ac:dyDescent="0.35">
      <c r="A930" s="189"/>
      <c r="B930" s="190"/>
      <c r="E930" s="192"/>
    </row>
    <row r="931" spans="1:5" x14ac:dyDescent="0.35">
      <c r="A931" s="189"/>
      <c r="B931" s="190"/>
      <c r="E931" s="192"/>
    </row>
    <row r="932" spans="1:5" x14ac:dyDescent="0.35">
      <c r="A932" s="189"/>
      <c r="B932" s="190"/>
      <c r="E932" s="192"/>
    </row>
    <row r="933" spans="1:5" x14ac:dyDescent="0.35">
      <c r="A933" s="189"/>
      <c r="B933" s="190"/>
      <c r="E933" s="192"/>
    </row>
    <row r="934" spans="1:5" x14ac:dyDescent="0.35">
      <c r="A934" s="189"/>
      <c r="B934" s="190"/>
      <c r="E934" s="192"/>
    </row>
    <row r="935" spans="1:5" x14ac:dyDescent="0.35">
      <c r="A935" s="189"/>
      <c r="B935" s="190"/>
      <c r="E935" s="192"/>
    </row>
    <row r="936" spans="1:5" x14ac:dyDescent="0.35">
      <c r="A936" s="189"/>
      <c r="B936" s="190"/>
      <c r="E936" s="192"/>
    </row>
    <row r="937" spans="1:5" x14ac:dyDescent="0.35">
      <c r="A937" s="189"/>
      <c r="B937" s="190"/>
      <c r="E937" s="192"/>
    </row>
    <row r="938" spans="1:5" x14ac:dyDescent="0.35">
      <c r="A938" s="189"/>
      <c r="B938" s="190"/>
      <c r="E938" s="192"/>
    </row>
    <row r="939" spans="1:5" x14ac:dyDescent="0.35">
      <c r="A939" s="189"/>
      <c r="B939" s="190"/>
      <c r="E939" s="192"/>
    </row>
    <row r="940" spans="1:5" x14ac:dyDescent="0.35">
      <c r="A940" s="189"/>
      <c r="B940" s="190"/>
      <c r="E940" s="192"/>
    </row>
    <row r="941" spans="1:5" x14ac:dyDescent="0.35">
      <c r="A941" s="189"/>
      <c r="B941" s="190"/>
      <c r="E941" s="192"/>
    </row>
    <row r="942" spans="1:5" x14ac:dyDescent="0.35">
      <c r="A942" s="189"/>
      <c r="B942" s="190"/>
      <c r="E942" s="192"/>
    </row>
    <row r="943" spans="1:5" x14ac:dyDescent="0.35">
      <c r="A943" s="189"/>
      <c r="B943" s="190"/>
      <c r="E943" s="192"/>
    </row>
    <row r="944" spans="1:5" x14ac:dyDescent="0.35">
      <c r="A944" s="189"/>
      <c r="B944" s="190"/>
      <c r="E944" s="192"/>
    </row>
    <row r="945" spans="1:5" x14ac:dyDescent="0.35">
      <c r="A945" s="189"/>
      <c r="B945" s="190"/>
      <c r="E945" s="192"/>
    </row>
    <row r="946" spans="1:5" x14ac:dyDescent="0.35">
      <c r="A946" s="189"/>
      <c r="B946" s="190"/>
      <c r="E946" s="192"/>
    </row>
    <row r="947" spans="1:5" x14ac:dyDescent="0.35">
      <c r="A947" s="189"/>
      <c r="B947" s="190"/>
      <c r="E947" s="192"/>
    </row>
    <row r="948" spans="1:5" x14ac:dyDescent="0.35">
      <c r="A948" s="189"/>
      <c r="B948" s="190"/>
      <c r="E948" s="192"/>
    </row>
    <row r="949" spans="1:5" x14ac:dyDescent="0.35">
      <c r="A949" s="189"/>
      <c r="B949" s="190"/>
      <c r="E949" s="192"/>
    </row>
    <row r="950" spans="1:5" x14ac:dyDescent="0.35">
      <c r="A950" s="189"/>
      <c r="B950" s="190"/>
      <c r="E950" s="192"/>
    </row>
    <row r="951" spans="1:5" x14ac:dyDescent="0.35">
      <c r="A951" s="189"/>
      <c r="B951" s="190"/>
      <c r="E951" s="192"/>
    </row>
    <row r="952" spans="1:5" x14ac:dyDescent="0.35">
      <c r="A952" s="189"/>
      <c r="B952" s="190"/>
      <c r="E952" s="192"/>
    </row>
    <row r="953" spans="1:5" x14ac:dyDescent="0.35">
      <c r="A953" s="189"/>
      <c r="B953" s="190"/>
      <c r="E953" s="192"/>
    </row>
    <row r="954" spans="1:5" x14ac:dyDescent="0.35">
      <c r="A954" s="189"/>
      <c r="B954" s="190"/>
      <c r="E954" s="192"/>
    </row>
    <row r="955" spans="1:5" x14ac:dyDescent="0.35">
      <c r="A955" s="189"/>
      <c r="B955" s="190"/>
      <c r="E955" s="192"/>
    </row>
    <row r="956" spans="1:5" x14ac:dyDescent="0.35">
      <c r="A956" s="189"/>
      <c r="B956" s="190"/>
      <c r="E956" s="192"/>
    </row>
    <row r="957" spans="1:5" x14ac:dyDescent="0.35">
      <c r="A957" s="189"/>
      <c r="B957" s="190"/>
      <c r="E957" s="192"/>
    </row>
    <row r="958" spans="1:5" x14ac:dyDescent="0.35">
      <c r="A958" s="189"/>
      <c r="B958" s="190"/>
      <c r="E958" s="192"/>
    </row>
    <row r="959" spans="1:5" x14ac:dyDescent="0.35">
      <c r="A959" s="189"/>
      <c r="B959" s="190"/>
      <c r="E959" s="192"/>
    </row>
    <row r="960" spans="1:5" x14ac:dyDescent="0.35">
      <c r="A960" s="189"/>
      <c r="B960" s="190"/>
      <c r="E960" s="192"/>
    </row>
    <row r="961" spans="1:5" x14ac:dyDescent="0.35">
      <c r="A961" s="189"/>
      <c r="B961" s="190"/>
      <c r="E961" s="192"/>
    </row>
    <row r="962" spans="1:5" x14ac:dyDescent="0.35">
      <c r="A962" s="189"/>
      <c r="B962" s="190"/>
      <c r="E962" s="192"/>
    </row>
    <row r="963" spans="1:5" x14ac:dyDescent="0.35">
      <c r="A963" s="189"/>
      <c r="B963" s="190"/>
      <c r="E963" s="192"/>
    </row>
    <row r="964" spans="1:5" x14ac:dyDescent="0.35">
      <c r="A964" s="189"/>
      <c r="B964" s="190"/>
      <c r="E964" s="192"/>
    </row>
    <row r="965" spans="1:5" x14ac:dyDescent="0.35">
      <c r="A965" s="189"/>
      <c r="B965" s="190"/>
      <c r="E965" s="192"/>
    </row>
    <row r="966" spans="1:5" x14ac:dyDescent="0.35">
      <c r="A966" s="189"/>
      <c r="B966" s="190"/>
      <c r="E966" s="192"/>
    </row>
    <row r="967" spans="1:5" x14ac:dyDescent="0.35">
      <c r="A967" s="189"/>
      <c r="B967" s="190"/>
      <c r="E967" s="192"/>
    </row>
    <row r="968" spans="1:5" x14ac:dyDescent="0.35">
      <c r="A968" s="189"/>
      <c r="B968" s="190"/>
      <c r="E968" s="192"/>
    </row>
    <row r="969" spans="1:5" x14ac:dyDescent="0.35">
      <c r="A969" s="189"/>
      <c r="B969" s="190"/>
      <c r="E969" s="192"/>
    </row>
    <row r="970" spans="1:5" x14ac:dyDescent="0.35">
      <c r="A970" s="189"/>
      <c r="B970" s="190"/>
      <c r="E970" s="192"/>
    </row>
    <row r="971" spans="1:5" x14ac:dyDescent="0.35">
      <c r="A971" s="189"/>
      <c r="B971" s="190"/>
      <c r="E971" s="192"/>
    </row>
    <row r="972" spans="1:5" x14ac:dyDescent="0.35">
      <c r="A972" s="189"/>
      <c r="B972" s="190"/>
      <c r="E972" s="192"/>
    </row>
    <row r="973" spans="1:5" x14ac:dyDescent="0.35">
      <c r="A973" s="189"/>
      <c r="B973" s="190"/>
      <c r="E973" s="192"/>
    </row>
    <row r="974" spans="1:5" x14ac:dyDescent="0.35">
      <c r="A974" s="189"/>
      <c r="B974" s="190"/>
      <c r="E974" s="192"/>
    </row>
    <row r="975" spans="1:5" x14ac:dyDescent="0.35">
      <c r="A975" s="189"/>
      <c r="B975" s="190"/>
      <c r="E975" s="192"/>
    </row>
    <row r="976" spans="1:5" x14ac:dyDescent="0.35">
      <c r="A976" s="189"/>
      <c r="B976" s="190"/>
      <c r="E976" s="192"/>
    </row>
    <row r="977" spans="1:5" x14ac:dyDescent="0.35">
      <c r="A977" s="189"/>
      <c r="B977" s="190"/>
      <c r="E977" s="192"/>
    </row>
    <row r="978" spans="1:5" x14ac:dyDescent="0.35">
      <c r="A978" s="189"/>
      <c r="B978" s="190"/>
      <c r="E978" s="192"/>
    </row>
    <row r="979" spans="1:5" x14ac:dyDescent="0.35">
      <c r="A979" s="189"/>
      <c r="B979" s="190"/>
      <c r="E979" s="192"/>
    </row>
    <row r="980" spans="1:5" x14ac:dyDescent="0.35">
      <c r="A980" s="189"/>
      <c r="B980" s="190"/>
      <c r="E980" s="192"/>
    </row>
    <row r="981" spans="1:5" x14ac:dyDescent="0.35">
      <c r="A981" s="189"/>
      <c r="B981" s="190"/>
      <c r="E981" s="192"/>
    </row>
    <row r="982" spans="1:5" x14ac:dyDescent="0.35">
      <c r="A982" s="189"/>
      <c r="B982" s="190"/>
      <c r="E982" s="192"/>
    </row>
    <row r="983" spans="1:5" x14ac:dyDescent="0.35">
      <c r="A983" s="189"/>
      <c r="B983" s="190"/>
      <c r="E983" s="192"/>
    </row>
    <row r="984" spans="1:5" x14ac:dyDescent="0.35">
      <c r="A984" s="189"/>
      <c r="B984" s="190"/>
      <c r="E984" s="192"/>
    </row>
    <row r="985" spans="1:5" x14ac:dyDescent="0.35">
      <c r="A985" s="189"/>
      <c r="B985" s="190"/>
      <c r="E985" s="192"/>
    </row>
    <row r="986" spans="1:5" x14ac:dyDescent="0.35">
      <c r="A986" s="189"/>
      <c r="B986" s="190"/>
      <c r="E986" s="192"/>
    </row>
    <row r="987" spans="1:5" x14ac:dyDescent="0.35">
      <c r="A987" s="189"/>
      <c r="B987" s="190"/>
      <c r="E987" s="192"/>
    </row>
    <row r="988" spans="1:5" x14ac:dyDescent="0.35">
      <c r="A988" s="189"/>
      <c r="B988" s="190"/>
      <c r="E988" s="192"/>
    </row>
    <row r="989" spans="1:5" x14ac:dyDescent="0.35">
      <c r="A989" s="189"/>
      <c r="B989" s="190"/>
      <c r="E989" s="192"/>
    </row>
    <row r="990" spans="1:5" x14ac:dyDescent="0.35">
      <c r="A990" s="189"/>
      <c r="B990" s="190"/>
      <c r="E990" s="192"/>
    </row>
    <row r="991" spans="1:5" x14ac:dyDescent="0.35">
      <c r="A991" s="189"/>
      <c r="B991" s="190"/>
      <c r="E991" s="192"/>
    </row>
    <row r="992" spans="1:5" x14ac:dyDescent="0.35">
      <c r="A992" s="189"/>
      <c r="B992" s="190"/>
      <c r="E992" s="192"/>
    </row>
    <row r="993" spans="1:5" x14ac:dyDescent="0.35">
      <c r="A993" s="189"/>
      <c r="B993" s="190"/>
      <c r="E993" s="192"/>
    </row>
    <row r="994" spans="1:5" x14ac:dyDescent="0.35">
      <c r="A994" s="189"/>
      <c r="B994" s="190"/>
      <c r="E994" s="192"/>
    </row>
    <row r="995" spans="1:5" x14ac:dyDescent="0.35">
      <c r="A995" s="189"/>
      <c r="B995" s="190"/>
      <c r="E995" s="192"/>
    </row>
    <row r="996" spans="1:5" x14ac:dyDescent="0.35">
      <c r="A996" s="189"/>
      <c r="B996" s="190"/>
      <c r="E996" s="192"/>
    </row>
    <row r="997" spans="1:5" x14ac:dyDescent="0.35">
      <c r="A997" s="189"/>
      <c r="B997" s="190"/>
      <c r="E997" s="192"/>
    </row>
    <row r="998" spans="1:5" x14ac:dyDescent="0.35">
      <c r="A998" s="189"/>
      <c r="B998" s="190"/>
      <c r="E998" s="192"/>
    </row>
    <row r="999" spans="1:5" x14ac:dyDescent="0.35">
      <c r="A999" s="189"/>
      <c r="B999" s="190"/>
      <c r="E999" s="192"/>
    </row>
    <row r="1000" spans="1:5" x14ac:dyDescent="0.35">
      <c r="A1000" s="189"/>
      <c r="B1000" s="190"/>
      <c r="E1000" s="192"/>
    </row>
    <row r="1001" spans="1:5" x14ac:dyDescent="0.35">
      <c r="A1001" s="189"/>
      <c r="B1001" s="190"/>
      <c r="E1001" s="192"/>
    </row>
    <row r="1002" spans="1:5" x14ac:dyDescent="0.35">
      <c r="A1002" s="189"/>
      <c r="B1002" s="190"/>
      <c r="E1002" s="192"/>
    </row>
    <row r="1003" spans="1:5" x14ac:dyDescent="0.35">
      <c r="A1003" s="189"/>
      <c r="B1003" s="190"/>
      <c r="E1003" s="192"/>
    </row>
    <row r="1004" spans="1:5" x14ac:dyDescent="0.35">
      <c r="A1004" s="189"/>
      <c r="B1004" s="190"/>
      <c r="E1004" s="192"/>
    </row>
    <row r="1005" spans="1:5" x14ac:dyDescent="0.35">
      <c r="A1005" s="189"/>
      <c r="B1005" s="190"/>
      <c r="E1005" s="192"/>
    </row>
    <row r="1006" spans="1:5" x14ac:dyDescent="0.35">
      <c r="A1006" s="189"/>
      <c r="B1006" s="190"/>
      <c r="E1006" s="192"/>
    </row>
    <row r="1007" spans="1:5" x14ac:dyDescent="0.35">
      <c r="A1007" s="189"/>
      <c r="B1007" s="190"/>
      <c r="E1007" s="192"/>
    </row>
    <row r="1008" spans="1:5" x14ac:dyDescent="0.35">
      <c r="A1008" s="189"/>
      <c r="B1008" s="190"/>
      <c r="E1008" s="192"/>
    </row>
    <row r="1009" spans="1:5" x14ac:dyDescent="0.35">
      <c r="A1009" s="189"/>
      <c r="B1009" s="190"/>
      <c r="E1009" s="192"/>
    </row>
    <row r="1010" spans="1:5" x14ac:dyDescent="0.35">
      <c r="A1010" s="189"/>
      <c r="B1010" s="190"/>
      <c r="E1010" s="192"/>
    </row>
    <row r="1011" spans="1:5" x14ac:dyDescent="0.35">
      <c r="A1011" s="189"/>
      <c r="B1011" s="190"/>
      <c r="E1011" s="192"/>
    </row>
    <row r="1012" spans="1:5" x14ac:dyDescent="0.35">
      <c r="A1012" s="189"/>
      <c r="B1012" s="190"/>
      <c r="E1012" s="192"/>
    </row>
    <row r="1013" spans="1:5" x14ac:dyDescent="0.35">
      <c r="A1013" s="189"/>
      <c r="B1013" s="190"/>
      <c r="E1013" s="192"/>
    </row>
    <row r="1014" spans="1:5" x14ac:dyDescent="0.35">
      <c r="A1014" s="189"/>
      <c r="B1014" s="190"/>
      <c r="E1014" s="192"/>
    </row>
    <row r="1015" spans="1:5" x14ac:dyDescent="0.35">
      <c r="A1015" s="189"/>
      <c r="B1015" s="190"/>
      <c r="E1015" s="192"/>
    </row>
    <row r="1016" spans="1:5" x14ac:dyDescent="0.35">
      <c r="A1016" s="189"/>
      <c r="B1016" s="190"/>
      <c r="E1016" s="192"/>
    </row>
    <row r="1017" spans="1:5" x14ac:dyDescent="0.35">
      <c r="A1017" s="189"/>
      <c r="B1017" s="190"/>
      <c r="E1017" s="192"/>
    </row>
    <row r="1018" spans="1:5" x14ac:dyDescent="0.35">
      <c r="A1018" s="189"/>
      <c r="B1018" s="190"/>
      <c r="E1018" s="192"/>
    </row>
    <row r="1019" spans="1:5" x14ac:dyDescent="0.35">
      <c r="A1019" s="189"/>
      <c r="B1019" s="190"/>
      <c r="E1019" s="192"/>
    </row>
    <row r="1020" spans="1:5" x14ac:dyDescent="0.35">
      <c r="A1020" s="189"/>
      <c r="B1020" s="190"/>
      <c r="E1020" s="192"/>
    </row>
    <row r="1021" spans="1:5" x14ac:dyDescent="0.35">
      <c r="A1021" s="189"/>
      <c r="B1021" s="190"/>
      <c r="E1021" s="192"/>
    </row>
    <row r="1022" spans="1:5" x14ac:dyDescent="0.35">
      <c r="A1022" s="189"/>
      <c r="B1022" s="190"/>
      <c r="E1022" s="192"/>
    </row>
    <row r="1023" spans="1:5" x14ac:dyDescent="0.35">
      <c r="A1023" s="189"/>
      <c r="B1023" s="190"/>
      <c r="E1023" s="192"/>
    </row>
    <row r="1024" spans="1:5" x14ac:dyDescent="0.35">
      <c r="A1024" s="189"/>
      <c r="B1024" s="190"/>
      <c r="E1024" s="192"/>
    </row>
    <row r="1025" spans="1:5" x14ac:dyDescent="0.35">
      <c r="A1025" s="189"/>
      <c r="B1025" s="190"/>
      <c r="E1025" s="192"/>
    </row>
    <row r="1026" spans="1:5" x14ac:dyDescent="0.35">
      <c r="A1026" s="189"/>
      <c r="B1026" s="190"/>
      <c r="E1026" s="192"/>
    </row>
    <row r="1027" spans="1:5" x14ac:dyDescent="0.35">
      <c r="A1027" s="189"/>
      <c r="B1027" s="190"/>
      <c r="E1027" s="192"/>
    </row>
    <row r="1028" spans="1:5" x14ac:dyDescent="0.35">
      <c r="A1028" s="189"/>
      <c r="B1028" s="190"/>
      <c r="E1028" s="192"/>
    </row>
    <row r="1029" spans="1:5" x14ac:dyDescent="0.35">
      <c r="A1029" s="189"/>
      <c r="B1029" s="190"/>
      <c r="E1029" s="192"/>
    </row>
    <row r="1030" spans="1:5" x14ac:dyDescent="0.35">
      <c r="A1030" s="189"/>
      <c r="B1030" s="190"/>
      <c r="E1030" s="192"/>
    </row>
    <row r="1031" spans="1:5" x14ac:dyDescent="0.35">
      <c r="A1031" s="189"/>
      <c r="B1031" s="190"/>
      <c r="E1031" s="192"/>
    </row>
    <row r="1032" spans="1:5" x14ac:dyDescent="0.35">
      <c r="A1032" s="189"/>
      <c r="B1032" s="190"/>
      <c r="E1032" s="192"/>
    </row>
    <row r="1033" spans="1:5" x14ac:dyDescent="0.35">
      <c r="A1033" s="189"/>
      <c r="B1033" s="190"/>
      <c r="E1033" s="192"/>
    </row>
    <row r="1034" spans="1:5" x14ac:dyDescent="0.35">
      <c r="A1034" s="189"/>
      <c r="B1034" s="190"/>
      <c r="E1034" s="192"/>
    </row>
    <row r="1035" spans="1:5" x14ac:dyDescent="0.35">
      <c r="A1035" s="189"/>
      <c r="B1035" s="190"/>
      <c r="E1035" s="192"/>
    </row>
    <row r="1036" spans="1:5" x14ac:dyDescent="0.35">
      <c r="A1036" s="189"/>
      <c r="B1036" s="190"/>
      <c r="E1036" s="192"/>
    </row>
    <row r="1037" spans="1:5" x14ac:dyDescent="0.35">
      <c r="A1037" s="189"/>
      <c r="B1037" s="190"/>
      <c r="E1037" s="192"/>
    </row>
    <row r="1038" spans="1:5" x14ac:dyDescent="0.35">
      <c r="A1038" s="189"/>
      <c r="B1038" s="190"/>
      <c r="E1038" s="192"/>
    </row>
    <row r="1039" spans="1:5" x14ac:dyDescent="0.35">
      <c r="A1039" s="189"/>
      <c r="B1039" s="190"/>
      <c r="E1039" s="192"/>
    </row>
    <row r="1040" spans="1:5" x14ac:dyDescent="0.35">
      <c r="A1040" s="189"/>
      <c r="B1040" s="190"/>
      <c r="E1040" s="192"/>
    </row>
    <row r="1041" spans="1:5" x14ac:dyDescent="0.35">
      <c r="A1041" s="189"/>
      <c r="B1041" s="190"/>
      <c r="E1041" s="192"/>
    </row>
    <row r="1042" spans="1:5" x14ac:dyDescent="0.35">
      <c r="A1042" s="189"/>
      <c r="B1042" s="190"/>
      <c r="E1042" s="192"/>
    </row>
    <row r="1043" spans="1:5" x14ac:dyDescent="0.35">
      <c r="A1043" s="189"/>
      <c r="B1043" s="190"/>
      <c r="E1043" s="192"/>
    </row>
    <row r="1044" spans="1:5" x14ac:dyDescent="0.35">
      <c r="A1044" s="189"/>
      <c r="B1044" s="190"/>
      <c r="E1044" s="192"/>
    </row>
    <row r="1045" spans="1:5" x14ac:dyDescent="0.35">
      <c r="A1045" s="189"/>
      <c r="B1045" s="190"/>
      <c r="E1045" s="192"/>
    </row>
    <row r="1046" spans="1:5" x14ac:dyDescent="0.35">
      <c r="A1046" s="189"/>
      <c r="B1046" s="190"/>
      <c r="E1046" s="192"/>
    </row>
    <row r="1047" spans="1:5" x14ac:dyDescent="0.35">
      <c r="A1047" s="189"/>
      <c r="B1047" s="190"/>
      <c r="E1047" s="192"/>
    </row>
    <row r="1048" spans="1:5" x14ac:dyDescent="0.35">
      <c r="A1048" s="189"/>
      <c r="B1048" s="190"/>
      <c r="E1048" s="192"/>
    </row>
    <row r="1049" spans="1:5" x14ac:dyDescent="0.35">
      <c r="A1049" s="189"/>
      <c r="B1049" s="190"/>
      <c r="E1049" s="192"/>
    </row>
    <row r="1050" spans="1:5" x14ac:dyDescent="0.35">
      <c r="A1050" s="189"/>
      <c r="B1050" s="190"/>
      <c r="E1050" s="192"/>
    </row>
    <row r="1051" spans="1:5" x14ac:dyDescent="0.35">
      <c r="A1051" s="189"/>
      <c r="B1051" s="190"/>
      <c r="E1051" s="192"/>
    </row>
    <row r="1052" spans="1:5" x14ac:dyDescent="0.35">
      <c r="A1052" s="189"/>
      <c r="B1052" s="190"/>
      <c r="E1052" s="192"/>
    </row>
    <row r="1053" spans="1:5" x14ac:dyDescent="0.35">
      <c r="A1053" s="189"/>
      <c r="B1053" s="190"/>
      <c r="E1053" s="192"/>
    </row>
    <row r="1054" spans="1:5" x14ac:dyDescent="0.35">
      <c r="A1054" s="189"/>
      <c r="B1054" s="190"/>
      <c r="E1054" s="192"/>
    </row>
    <row r="1055" spans="1:5" x14ac:dyDescent="0.35">
      <c r="A1055" s="189"/>
      <c r="B1055" s="190"/>
      <c r="E1055" s="192"/>
    </row>
    <row r="1056" spans="1:5" x14ac:dyDescent="0.35">
      <c r="A1056" s="189"/>
      <c r="B1056" s="190"/>
      <c r="E1056" s="192"/>
    </row>
    <row r="1057" spans="1:5" x14ac:dyDescent="0.35">
      <c r="A1057" s="189"/>
      <c r="B1057" s="190"/>
      <c r="E1057" s="192"/>
    </row>
    <row r="1058" spans="1:5" x14ac:dyDescent="0.35">
      <c r="A1058" s="189"/>
      <c r="B1058" s="190"/>
      <c r="E1058" s="192"/>
    </row>
    <row r="1059" spans="1:5" x14ac:dyDescent="0.35">
      <c r="A1059" s="189"/>
      <c r="B1059" s="190"/>
      <c r="E1059" s="192"/>
    </row>
    <row r="1060" spans="1:5" x14ac:dyDescent="0.35">
      <c r="A1060" s="189"/>
      <c r="B1060" s="190"/>
      <c r="E1060" s="192"/>
    </row>
    <row r="1061" spans="1:5" x14ac:dyDescent="0.35">
      <c r="A1061" s="189"/>
      <c r="B1061" s="190"/>
      <c r="E1061" s="192"/>
    </row>
    <row r="1062" spans="1:5" x14ac:dyDescent="0.35">
      <c r="A1062" s="189"/>
      <c r="B1062" s="190"/>
      <c r="E1062" s="192"/>
    </row>
    <row r="1063" spans="1:5" x14ac:dyDescent="0.35">
      <c r="A1063" s="189"/>
      <c r="B1063" s="190"/>
      <c r="E1063" s="192"/>
    </row>
    <row r="1064" spans="1:5" x14ac:dyDescent="0.35">
      <c r="A1064" s="189"/>
      <c r="B1064" s="190"/>
      <c r="E1064" s="192"/>
    </row>
    <row r="1065" spans="1:5" x14ac:dyDescent="0.35">
      <c r="A1065" s="189"/>
      <c r="B1065" s="190"/>
      <c r="E1065" s="192"/>
    </row>
    <row r="1066" spans="1:5" x14ac:dyDescent="0.35">
      <c r="A1066" s="189"/>
      <c r="B1066" s="190"/>
      <c r="E1066" s="192"/>
    </row>
    <row r="1067" spans="1:5" x14ac:dyDescent="0.35">
      <c r="A1067" s="189"/>
      <c r="B1067" s="190"/>
      <c r="E1067" s="192"/>
    </row>
    <row r="1068" spans="1:5" x14ac:dyDescent="0.35">
      <c r="A1068" s="189"/>
      <c r="B1068" s="190"/>
      <c r="E1068" s="192"/>
    </row>
    <row r="1069" spans="1:5" x14ac:dyDescent="0.35">
      <c r="A1069" s="189"/>
      <c r="B1069" s="190"/>
      <c r="E1069" s="192"/>
    </row>
    <row r="1070" spans="1:5" x14ac:dyDescent="0.35">
      <c r="A1070" s="189"/>
      <c r="B1070" s="190"/>
      <c r="E1070" s="192"/>
    </row>
    <row r="1071" spans="1:5" x14ac:dyDescent="0.35">
      <c r="A1071" s="189"/>
      <c r="B1071" s="190"/>
      <c r="E1071" s="192"/>
    </row>
    <row r="1072" spans="1:5" x14ac:dyDescent="0.35">
      <c r="A1072" s="189"/>
      <c r="B1072" s="190"/>
      <c r="E1072" s="192"/>
    </row>
    <row r="1073" spans="1:5" x14ac:dyDescent="0.35">
      <c r="A1073" s="189"/>
      <c r="B1073" s="190"/>
      <c r="E1073" s="192"/>
    </row>
    <row r="1074" spans="1:5" x14ac:dyDescent="0.35">
      <c r="A1074" s="189"/>
      <c r="B1074" s="190"/>
      <c r="E1074" s="192"/>
    </row>
    <row r="1075" spans="1:5" x14ac:dyDescent="0.35">
      <c r="A1075" s="189"/>
      <c r="B1075" s="190"/>
      <c r="E1075" s="192"/>
    </row>
    <row r="1076" spans="1:5" x14ac:dyDescent="0.35">
      <c r="A1076" s="189"/>
      <c r="B1076" s="190"/>
      <c r="E1076" s="192"/>
    </row>
    <row r="1077" spans="1:5" x14ac:dyDescent="0.35">
      <c r="A1077" s="189"/>
      <c r="B1077" s="190"/>
      <c r="E1077" s="192"/>
    </row>
    <row r="1078" spans="1:5" x14ac:dyDescent="0.35">
      <c r="A1078" s="189"/>
      <c r="B1078" s="190"/>
      <c r="E1078" s="192"/>
    </row>
    <row r="1079" spans="1:5" x14ac:dyDescent="0.35">
      <c r="A1079" s="189"/>
      <c r="B1079" s="190"/>
      <c r="E1079" s="192"/>
    </row>
    <row r="1080" spans="1:5" x14ac:dyDescent="0.35">
      <c r="A1080" s="189"/>
      <c r="B1080" s="190"/>
      <c r="E1080" s="192"/>
    </row>
    <row r="1081" spans="1:5" x14ac:dyDescent="0.35">
      <c r="A1081" s="189"/>
      <c r="B1081" s="190"/>
      <c r="E1081" s="192"/>
    </row>
    <row r="1082" spans="1:5" x14ac:dyDescent="0.35">
      <c r="A1082" s="189"/>
      <c r="B1082" s="190"/>
      <c r="E1082" s="192"/>
    </row>
    <row r="1083" spans="1:5" x14ac:dyDescent="0.35">
      <c r="A1083" s="189"/>
      <c r="B1083" s="190"/>
      <c r="E1083" s="192"/>
    </row>
    <row r="1084" spans="1:5" x14ac:dyDescent="0.35">
      <c r="A1084" s="189"/>
      <c r="B1084" s="190"/>
      <c r="E1084" s="192"/>
    </row>
    <row r="1085" spans="1:5" x14ac:dyDescent="0.35">
      <c r="A1085" s="189"/>
      <c r="B1085" s="190"/>
      <c r="E1085" s="192"/>
    </row>
    <row r="1086" spans="1:5" x14ac:dyDescent="0.35">
      <c r="A1086" s="189"/>
      <c r="B1086" s="190"/>
      <c r="E1086" s="192"/>
    </row>
    <row r="1087" spans="1:5" x14ac:dyDescent="0.35">
      <c r="A1087" s="189"/>
      <c r="B1087" s="190"/>
      <c r="E1087" s="192"/>
    </row>
    <row r="1088" spans="1:5" x14ac:dyDescent="0.35">
      <c r="A1088" s="189"/>
      <c r="B1088" s="190"/>
      <c r="E1088" s="192"/>
    </row>
    <row r="1089" spans="1:5" x14ac:dyDescent="0.35">
      <c r="A1089" s="189"/>
      <c r="B1089" s="190"/>
      <c r="E1089" s="192"/>
    </row>
    <row r="1090" spans="1:5" x14ac:dyDescent="0.35">
      <c r="A1090" s="189"/>
      <c r="B1090" s="190"/>
      <c r="E1090" s="192"/>
    </row>
    <row r="1091" spans="1:5" x14ac:dyDescent="0.35">
      <c r="A1091" s="189"/>
      <c r="B1091" s="190"/>
      <c r="E1091" s="192"/>
    </row>
    <row r="1092" spans="1:5" x14ac:dyDescent="0.35">
      <c r="A1092" s="189"/>
      <c r="B1092" s="190"/>
      <c r="E1092" s="192"/>
    </row>
    <row r="1093" spans="1:5" x14ac:dyDescent="0.35">
      <c r="A1093" s="189"/>
      <c r="B1093" s="190"/>
      <c r="E1093" s="192"/>
    </row>
    <row r="1094" spans="1:5" x14ac:dyDescent="0.35">
      <c r="A1094" s="189"/>
      <c r="B1094" s="190"/>
      <c r="E1094" s="192"/>
    </row>
    <row r="1095" spans="1:5" x14ac:dyDescent="0.35">
      <c r="A1095" s="189"/>
      <c r="B1095" s="190"/>
      <c r="E1095" s="192"/>
    </row>
    <row r="1096" spans="1:5" x14ac:dyDescent="0.35">
      <c r="A1096" s="189"/>
      <c r="B1096" s="190"/>
      <c r="E1096" s="192"/>
    </row>
    <row r="1097" spans="1:5" x14ac:dyDescent="0.35">
      <c r="A1097" s="189"/>
      <c r="B1097" s="190"/>
      <c r="E1097" s="192"/>
    </row>
    <row r="1098" spans="1:5" x14ac:dyDescent="0.35">
      <c r="A1098" s="189"/>
      <c r="B1098" s="190"/>
      <c r="E1098" s="192"/>
    </row>
    <row r="1099" spans="1:5" x14ac:dyDescent="0.35">
      <c r="A1099" s="189"/>
      <c r="B1099" s="190"/>
      <c r="E1099" s="192"/>
    </row>
    <row r="1100" spans="1:5" x14ac:dyDescent="0.35">
      <c r="A1100" s="189"/>
      <c r="B1100" s="190"/>
      <c r="E1100" s="192"/>
    </row>
    <row r="1101" spans="1:5" x14ac:dyDescent="0.35">
      <c r="A1101" s="189"/>
      <c r="B1101" s="190"/>
      <c r="E1101" s="192"/>
    </row>
    <row r="1102" spans="1:5" x14ac:dyDescent="0.35">
      <c r="A1102" s="189"/>
      <c r="B1102" s="190"/>
      <c r="E1102" s="192"/>
    </row>
    <row r="1103" spans="1:5" x14ac:dyDescent="0.35">
      <c r="A1103" s="189"/>
      <c r="B1103" s="190"/>
      <c r="E1103" s="192"/>
    </row>
    <row r="1104" spans="1:5" x14ac:dyDescent="0.35">
      <c r="A1104" s="189"/>
      <c r="B1104" s="190"/>
      <c r="E1104" s="192"/>
    </row>
    <row r="1105" spans="1:5" x14ac:dyDescent="0.35">
      <c r="A1105" s="189"/>
      <c r="B1105" s="190"/>
      <c r="E1105" s="192"/>
    </row>
    <row r="1106" spans="1:5" x14ac:dyDescent="0.35">
      <c r="A1106" s="189"/>
      <c r="B1106" s="190"/>
      <c r="E1106" s="192"/>
    </row>
    <row r="1107" spans="1:5" x14ac:dyDescent="0.35">
      <c r="A1107" s="189"/>
      <c r="B1107" s="190"/>
      <c r="E1107" s="192"/>
    </row>
    <row r="1108" spans="1:5" x14ac:dyDescent="0.35">
      <c r="A1108" s="189"/>
      <c r="B1108" s="190"/>
      <c r="E1108" s="192"/>
    </row>
    <row r="1109" spans="1:5" x14ac:dyDescent="0.35">
      <c r="A1109" s="189"/>
      <c r="B1109" s="190"/>
      <c r="E1109" s="192"/>
    </row>
    <row r="1110" spans="1:5" x14ac:dyDescent="0.35">
      <c r="A1110" s="189"/>
      <c r="B1110" s="190"/>
      <c r="E1110" s="192"/>
    </row>
    <row r="1111" spans="1:5" x14ac:dyDescent="0.35">
      <c r="A1111" s="189"/>
      <c r="B1111" s="190"/>
      <c r="E1111" s="192"/>
    </row>
    <row r="1112" spans="1:5" x14ac:dyDescent="0.35">
      <c r="A1112" s="189"/>
      <c r="B1112" s="190"/>
      <c r="E1112" s="192"/>
    </row>
    <row r="1113" spans="1:5" x14ac:dyDescent="0.35">
      <c r="A1113" s="189"/>
      <c r="B1113" s="190"/>
      <c r="E1113" s="192"/>
    </row>
    <row r="1114" spans="1:5" x14ac:dyDescent="0.35">
      <c r="A1114" s="189"/>
      <c r="B1114" s="190"/>
      <c r="E1114" s="192"/>
    </row>
    <row r="1115" spans="1:5" x14ac:dyDescent="0.35">
      <c r="A1115" s="189"/>
      <c r="B1115" s="190"/>
      <c r="E1115" s="192"/>
    </row>
    <row r="1116" spans="1:5" x14ac:dyDescent="0.35">
      <c r="A1116" s="189"/>
      <c r="B1116" s="190"/>
      <c r="E1116" s="192"/>
    </row>
    <row r="1117" spans="1:5" x14ac:dyDescent="0.35">
      <c r="A1117" s="189"/>
      <c r="B1117" s="190"/>
      <c r="E1117" s="192"/>
    </row>
    <row r="1118" spans="1:5" x14ac:dyDescent="0.35">
      <c r="A1118" s="189"/>
      <c r="B1118" s="190"/>
      <c r="E1118" s="192"/>
    </row>
    <row r="1119" spans="1:5" x14ac:dyDescent="0.35">
      <c r="A1119" s="189"/>
      <c r="B1119" s="190"/>
      <c r="E1119" s="192"/>
    </row>
    <row r="1120" spans="1:5" x14ac:dyDescent="0.35">
      <c r="A1120" s="189"/>
      <c r="B1120" s="190"/>
      <c r="E1120" s="192"/>
    </row>
    <row r="1121" spans="1:5" x14ac:dyDescent="0.35">
      <c r="A1121" s="189"/>
      <c r="B1121" s="190"/>
      <c r="E1121" s="192"/>
    </row>
    <row r="1122" spans="1:5" x14ac:dyDescent="0.35">
      <c r="A1122" s="189"/>
      <c r="B1122" s="190"/>
      <c r="E1122" s="192"/>
    </row>
    <row r="1123" spans="1:5" x14ac:dyDescent="0.35">
      <c r="A1123" s="189"/>
      <c r="B1123" s="190"/>
      <c r="E1123" s="192"/>
    </row>
    <row r="1124" spans="1:5" x14ac:dyDescent="0.35">
      <c r="A1124" s="189"/>
      <c r="B1124" s="190"/>
      <c r="E1124" s="192"/>
    </row>
    <row r="1125" spans="1:5" x14ac:dyDescent="0.35">
      <c r="A1125" s="189"/>
      <c r="B1125" s="190"/>
      <c r="E1125" s="192"/>
    </row>
    <row r="1126" spans="1:5" x14ac:dyDescent="0.35">
      <c r="A1126" s="189"/>
      <c r="B1126" s="190"/>
      <c r="E1126" s="192"/>
    </row>
    <row r="1127" spans="1:5" x14ac:dyDescent="0.35">
      <c r="A1127" s="189"/>
      <c r="B1127" s="190"/>
      <c r="E1127" s="192"/>
    </row>
    <row r="1128" spans="1:5" x14ac:dyDescent="0.35">
      <c r="A1128" s="189"/>
      <c r="B1128" s="190"/>
      <c r="E1128" s="192"/>
    </row>
    <row r="1129" spans="1:5" x14ac:dyDescent="0.35">
      <c r="A1129" s="189"/>
      <c r="B1129" s="190"/>
      <c r="E1129" s="192"/>
    </row>
    <row r="1130" spans="1:5" x14ac:dyDescent="0.35">
      <c r="A1130" s="189"/>
      <c r="B1130" s="190"/>
      <c r="E1130" s="192"/>
    </row>
    <row r="1131" spans="1:5" x14ac:dyDescent="0.35">
      <c r="A1131" s="189"/>
      <c r="B1131" s="190"/>
      <c r="E1131" s="192"/>
    </row>
    <row r="1132" spans="1:5" x14ac:dyDescent="0.35">
      <c r="A1132" s="189"/>
      <c r="B1132" s="190"/>
      <c r="E1132" s="192"/>
    </row>
    <row r="1133" spans="1:5" x14ac:dyDescent="0.35">
      <c r="A1133" s="189"/>
      <c r="B1133" s="190"/>
      <c r="E1133" s="192"/>
    </row>
    <row r="1134" spans="1:5" x14ac:dyDescent="0.35">
      <c r="A1134" s="189"/>
      <c r="B1134" s="190"/>
      <c r="E1134" s="192"/>
    </row>
    <row r="1135" spans="1:5" x14ac:dyDescent="0.35">
      <c r="A1135" s="189"/>
      <c r="B1135" s="190"/>
      <c r="E1135" s="192"/>
    </row>
    <row r="1136" spans="1:5" x14ac:dyDescent="0.35">
      <c r="A1136" s="189"/>
      <c r="B1136" s="190"/>
      <c r="E1136" s="192"/>
    </row>
    <row r="1137" spans="1:5" x14ac:dyDescent="0.35">
      <c r="A1137" s="189"/>
      <c r="B1137" s="190"/>
      <c r="E1137" s="192"/>
    </row>
    <row r="1138" spans="1:5" x14ac:dyDescent="0.35">
      <c r="A1138" s="189"/>
      <c r="B1138" s="190"/>
      <c r="E1138" s="192"/>
    </row>
    <row r="1139" spans="1:5" x14ac:dyDescent="0.35">
      <c r="A1139" s="189"/>
      <c r="B1139" s="190"/>
      <c r="E1139" s="192"/>
    </row>
    <row r="1140" spans="1:5" x14ac:dyDescent="0.35">
      <c r="A1140" s="189"/>
      <c r="B1140" s="190"/>
      <c r="E1140" s="192"/>
    </row>
    <row r="1141" spans="1:5" x14ac:dyDescent="0.35">
      <c r="A1141" s="189"/>
      <c r="B1141" s="190"/>
      <c r="E1141" s="192"/>
    </row>
    <row r="1142" spans="1:5" x14ac:dyDescent="0.35">
      <c r="A1142" s="189"/>
      <c r="B1142" s="190"/>
      <c r="E1142" s="192"/>
    </row>
    <row r="1143" spans="1:5" x14ac:dyDescent="0.35">
      <c r="A1143" s="189"/>
      <c r="B1143" s="190"/>
      <c r="E1143" s="192"/>
    </row>
    <row r="1144" spans="1:5" x14ac:dyDescent="0.35">
      <c r="A1144" s="189"/>
      <c r="B1144" s="190"/>
      <c r="E1144" s="192"/>
    </row>
    <row r="1145" spans="1:5" x14ac:dyDescent="0.35">
      <c r="A1145" s="189"/>
      <c r="B1145" s="190"/>
      <c r="E1145" s="192"/>
    </row>
    <row r="1146" spans="1:5" x14ac:dyDescent="0.35">
      <c r="A1146" s="189"/>
      <c r="B1146" s="190"/>
      <c r="E1146" s="192"/>
    </row>
    <row r="1147" spans="1:5" x14ac:dyDescent="0.35">
      <c r="A1147" s="189"/>
      <c r="B1147" s="190"/>
      <c r="E1147" s="192"/>
    </row>
    <row r="1148" spans="1:5" x14ac:dyDescent="0.35">
      <c r="A1148" s="189"/>
      <c r="B1148" s="190"/>
      <c r="E1148" s="192"/>
    </row>
    <row r="1149" spans="1:5" x14ac:dyDescent="0.35">
      <c r="A1149" s="189"/>
      <c r="B1149" s="190"/>
      <c r="E1149" s="192"/>
    </row>
    <row r="1150" spans="1:5" x14ac:dyDescent="0.35">
      <c r="A1150" s="189"/>
      <c r="B1150" s="190"/>
      <c r="E1150" s="192"/>
    </row>
    <row r="1151" spans="1:5" x14ac:dyDescent="0.35">
      <c r="A1151" s="189"/>
      <c r="B1151" s="190"/>
      <c r="E1151" s="192"/>
    </row>
    <row r="1152" spans="1:5" x14ac:dyDescent="0.35">
      <c r="A1152" s="189"/>
      <c r="B1152" s="190"/>
      <c r="E1152" s="192"/>
    </row>
    <row r="1153" spans="1:5" x14ac:dyDescent="0.35">
      <c r="A1153" s="189"/>
      <c r="B1153" s="190"/>
      <c r="E1153" s="192"/>
    </row>
    <row r="1154" spans="1:5" x14ac:dyDescent="0.35">
      <c r="A1154" s="189"/>
      <c r="B1154" s="190"/>
      <c r="E1154" s="192"/>
    </row>
    <row r="1155" spans="1:5" x14ac:dyDescent="0.35">
      <c r="A1155" s="189"/>
      <c r="B1155" s="190"/>
      <c r="E1155" s="192"/>
    </row>
    <row r="1156" spans="1:5" x14ac:dyDescent="0.35">
      <c r="A1156" s="189"/>
      <c r="B1156" s="190"/>
      <c r="E1156" s="192"/>
    </row>
    <row r="1157" spans="1:5" x14ac:dyDescent="0.35">
      <c r="A1157" s="189"/>
      <c r="B1157" s="190"/>
      <c r="E1157" s="192"/>
    </row>
    <row r="1158" spans="1:5" x14ac:dyDescent="0.35">
      <c r="A1158" s="189"/>
      <c r="B1158" s="190"/>
      <c r="E1158" s="192"/>
    </row>
    <row r="1159" spans="1:5" x14ac:dyDescent="0.35">
      <c r="A1159" s="189"/>
      <c r="B1159" s="190"/>
      <c r="E1159" s="192"/>
    </row>
    <row r="1160" spans="1:5" x14ac:dyDescent="0.35">
      <c r="A1160" s="189"/>
      <c r="B1160" s="190"/>
      <c r="E1160" s="192"/>
    </row>
    <row r="1161" spans="1:5" x14ac:dyDescent="0.35">
      <c r="A1161" s="189"/>
      <c r="B1161" s="190"/>
      <c r="E1161" s="192"/>
    </row>
    <row r="1162" spans="1:5" x14ac:dyDescent="0.35">
      <c r="A1162" s="189"/>
      <c r="B1162" s="190"/>
      <c r="E1162" s="192"/>
    </row>
    <row r="1163" spans="1:5" x14ac:dyDescent="0.35">
      <c r="A1163" s="189"/>
      <c r="B1163" s="190"/>
      <c r="E1163" s="192"/>
    </row>
    <row r="1164" spans="1:5" x14ac:dyDescent="0.35">
      <c r="A1164" s="189"/>
      <c r="B1164" s="190"/>
      <c r="E1164" s="192"/>
    </row>
    <row r="1165" spans="1:5" x14ac:dyDescent="0.35">
      <c r="A1165" s="189"/>
      <c r="B1165" s="190"/>
      <c r="E1165" s="192"/>
    </row>
    <row r="1166" spans="1:5" x14ac:dyDescent="0.35">
      <c r="A1166" s="189"/>
      <c r="B1166" s="190"/>
      <c r="E1166" s="192"/>
    </row>
    <row r="1167" spans="1:5" x14ac:dyDescent="0.35">
      <c r="A1167" s="189"/>
      <c r="B1167" s="190"/>
      <c r="E1167" s="192"/>
    </row>
    <row r="1168" spans="1:5" x14ac:dyDescent="0.35">
      <c r="A1168" s="189"/>
      <c r="B1168" s="190"/>
      <c r="E1168" s="192"/>
    </row>
    <row r="1169" spans="1:5" x14ac:dyDescent="0.35">
      <c r="A1169" s="189"/>
      <c r="B1169" s="190"/>
      <c r="E1169" s="192"/>
    </row>
    <row r="1170" spans="1:5" x14ac:dyDescent="0.35">
      <c r="A1170" s="189"/>
      <c r="B1170" s="190"/>
      <c r="E1170" s="192"/>
    </row>
    <row r="1171" spans="1:5" x14ac:dyDescent="0.35">
      <c r="A1171" s="189"/>
      <c r="B1171" s="190"/>
      <c r="E1171" s="192"/>
    </row>
    <row r="1172" spans="1:5" x14ac:dyDescent="0.35">
      <c r="A1172" s="189"/>
      <c r="B1172" s="190"/>
      <c r="E1172" s="192"/>
    </row>
    <row r="1173" spans="1:5" x14ac:dyDescent="0.35">
      <c r="A1173" s="189"/>
      <c r="B1173" s="190"/>
      <c r="E1173" s="192"/>
    </row>
    <row r="1174" spans="1:5" x14ac:dyDescent="0.35">
      <c r="A1174" s="189"/>
      <c r="B1174" s="190"/>
      <c r="E1174" s="192"/>
    </row>
    <row r="1175" spans="1:5" x14ac:dyDescent="0.35">
      <c r="A1175" s="189"/>
      <c r="B1175" s="190"/>
      <c r="E1175" s="192"/>
    </row>
    <row r="1176" spans="1:5" x14ac:dyDescent="0.35">
      <c r="A1176" s="189"/>
      <c r="B1176" s="190"/>
      <c r="E1176" s="192"/>
    </row>
    <row r="1177" spans="1:5" x14ac:dyDescent="0.35">
      <c r="A1177" s="189"/>
      <c r="B1177" s="190"/>
      <c r="E1177" s="192"/>
    </row>
    <row r="1178" spans="1:5" x14ac:dyDescent="0.35">
      <c r="A1178" s="189"/>
      <c r="B1178" s="190"/>
      <c r="E1178" s="192"/>
    </row>
    <row r="1179" spans="1:5" x14ac:dyDescent="0.35">
      <c r="A1179" s="189"/>
      <c r="B1179" s="190"/>
      <c r="E1179" s="192"/>
    </row>
    <row r="1180" spans="1:5" x14ac:dyDescent="0.35">
      <c r="A1180" s="189"/>
      <c r="B1180" s="190"/>
      <c r="E1180" s="192"/>
    </row>
    <row r="1181" spans="1:5" x14ac:dyDescent="0.35">
      <c r="A1181" s="189"/>
      <c r="B1181" s="190"/>
      <c r="E1181" s="192"/>
    </row>
    <row r="1182" spans="1:5" x14ac:dyDescent="0.35">
      <c r="A1182" s="189"/>
      <c r="B1182" s="190"/>
      <c r="E1182" s="192"/>
    </row>
    <row r="1183" spans="1:5" x14ac:dyDescent="0.35">
      <c r="A1183" s="189"/>
      <c r="B1183" s="190"/>
      <c r="E1183" s="192"/>
    </row>
    <row r="1184" spans="1:5" x14ac:dyDescent="0.35">
      <c r="A1184" s="189"/>
      <c r="B1184" s="190"/>
      <c r="E1184" s="192"/>
    </row>
    <row r="1185" spans="1:5" x14ac:dyDescent="0.35">
      <c r="A1185" s="189"/>
      <c r="B1185" s="190"/>
      <c r="E1185" s="192"/>
    </row>
    <row r="1186" spans="1:5" x14ac:dyDescent="0.35">
      <c r="A1186" s="189"/>
      <c r="B1186" s="190"/>
      <c r="E1186" s="192"/>
    </row>
    <row r="1187" spans="1:5" x14ac:dyDescent="0.35">
      <c r="A1187" s="189"/>
      <c r="B1187" s="190"/>
      <c r="E1187" s="192"/>
    </row>
    <row r="1188" spans="1:5" x14ac:dyDescent="0.35">
      <c r="A1188" s="189"/>
      <c r="B1188" s="190"/>
      <c r="E1188" s="192"/>
    </row>
    <row r="1189" spans="1:5" x14ac:dyDescent="0.35">
      <c r="A1189" s="189"/>
      <c r="B1189" s="190"/>
      <c r="E1189" s="192"/>
    </row>
    <row r="1190" spans="1:5" x14ac:dyDescent="0.35">
      <c r="A1190" s="189"/>
      <c r="B1190" s="190"/>
      <c r="E1190" s="192"/>
    </row>
    <row r="1191" spans="1:5" x14ac:dyDescent="0.35">
      <c r="A1191" s="189"/>
      <c r="B1191" s="190"/>
      <c r="E1191" s="192"/>
    </row>
    <row r="1192" spans="1:5" x14ac:dyDescent="0.35">
      <c r="A1192" s="189"/>
      <c r="B1192" s="190"/>
      <c r="E1192" s="192"/>
    </row>
    <row r="1193" spans="1:5" x14ac:dyDescent="0.35">
      <c r="A1193" s="189"/>
      <c r="B1193" s="190"/>
      <c r="E1193" s="192"/>
    </row>
    <row r="1194" spans="1:5" x14ac:dyDescent="0.35">
      <c r="A1194" s="189"/>
      <c r="B1194" s="190"/>
      <c r="E1194" s="192"/>
    </row>
    <row r="1195" spans="1:5" x14ac:dyDescent="0.35">
      <c r="A1195" s="189"/>
      <c r="B1195" s="190"/>
      <c r="E1195" s="192"/>
    </row>
    <row r="1196" spans="1:5" x14ac:dyDescent="0.35">
      <c r="A1196" s="189"/>
      <c r="B1196" s="190"/>
      <c r="E1196" s="192"/>
    </row>
    <row r="1197" spans="1:5" x14ac:dyDescent="0.35">
      <c r="A1197" s="189"/>
      <c r="B1197" s="190"/>
      <c r="E1197" s="192"/>
    </row>
    <row r="1198" spans="1:5" x14ac:dyDescent="0.35">
      <c r="A1198" s="189"/>
      <c r="B1198" s="190"/>
      <c r="E1198" s="192"/>
    </row>
    <row r="1199" spans="1:5" x14ac:dyDescent="0.35">
      <c r="A1199" s="189"/>
      <c r="B1199" s="190"/>
      <c r="E1199" s="192"/>
    </row>
    <row r="1200" spans="1:5" x14ac:dyDescent="0.35">
      <c r="A1200" s="189"/>
      <c r="B1200" s="190"/>
      <c r="E1200" s="192"/>
    </row>
    <row r="1201" spans="1:5" x14ac:dyDescent="0.35">
      <c r="A1201" s="189"/>
      <c r="B1201" s="190"/>
      <c r="E1201" s="192"/>
    </row>
    <row r="1202" spans="1:5" x14ac:dyDescent="0.35">
      <c r="A1202" s="189"/>
      <c r="B1202" s="190"/>
      <c r="E1202" s="192"/>
    </row>
    <row r="1203" spans="1:5" x14ac:dyDescent="0.35">
      <c r="A1203" s="189"/>
      <c r="B1203" s="190"/>
      <c r="E1203" s="192"/>
    </row>
    <row r="1204" spans="1:5" x14ac:dyDescent="0.35">
      <c r="A1204" s="189"/>
      <c r="B1204" s="190"/>
      <c r="E1204" s="192"/>
    </row>
    <row r="1205" spans="1:5" x14ac:dyDescent="0.35">
      <c r="A1205" s="189"/>
      <c r="B1205" s="190"/>
      <c r="E1205" s="192"/>
    </row>
    <row r="1206" spans="1:5" x14ac:dyDescent="0.35">
      <c r="A1206" s="189"/>
      <c r="B1206" s="190"/>
      <c r="E1206" s="192"/>
    </row>
    <row r="1207" spans="1:5" x14ac:dyDescent="0.35">
      <c r="A1207" s="189"/>
      <c r="B1207" s="190"/>
      <c r="E1207" s="192"/>
    </row>
    <row r="1208" spans="1:5" x14ac:dyDescent="0.35">
      <c r="A1208" s="189"/>
      <c r="B1208" s="190"/>
      <c r="E1208" s="192"/>
    </row>
    <row r="1209" spans="1:5" x14ac:dyDescent="0.35">
      <c r="A1209" s="189"/>
      <c r="B1209" s="190"/>
      <c r="E1209" s="192"/>
    </row>
    <row r="1210" spans="1:5" x14ac:dyDescent="0.35">
      <c r="A1210" s="189"/>
      <c r="B1210" s="190"/>
      <c r="E1210" s="192"/>
    </row>
    <row r="1211" spans="1:5" x14ac:dyDescent="0.35">
      <c r="A1211" s="189"/>
      <c r="B1211" s="190"/>
      <c r="E1211" s="192"/>
    </row>
    <row r="1212" spans="1:5" x14ac:dyDescent="0.35">
      <c r="A1212" s="189"/>
      <c r="B1212" s="190"/>
      <c r="E1212" s="192"/>
    </row>
    <row r="1213" spans="1:5" x14ac:dyDescent="0.35">
      <c r="A1213" s="189"/>
      <c r="B1213" s="190"/>
      <c r="E1213" s="192"/>
    </row>
    <row r="1214" spans="1:5" x14ac:dyDescent="0.35">
      <c r="A1214" s="189"/>
      <c r="B1214" s="190"/>
      <c r="E1214" s="192"/>
    </row>
    <row r="1215" spans="1:5" x14ac:dyDescent="0.35">
      <c r="A1215" s="189"/>
      <c r="B1215" s="190"/>
      <c r="E1215" s="192"/>
    </row>
    <row r="1216" spans="1:5" x14ac:dyDescent="0.35">
      <c r="A1216" s="189"/>
      <c r="B1216" s="190"/>
      <c r="E1216" s="192"/>
    </row>
    <row r="1217" spans="1:5" x14ac:dyDescent="0.35">
      <c r="A1217" s="189"/>
      <c r="B1217" s="190"/>
      <c r="E1217" s="192"/>
    </row>
    <row r="1218" spans="1:5" x14ac:dyDescent="0.35">
      <c r="A1218" s="189"/>
      <c r="B1218" s="190"/>
      <c r="E1218" s="192"/>
    </row>
    <row r="1219" spans="1:5" x14ac:dyDescent="0.35">
      <c r="A1219" s="189"/>
      <c r="B1219" s="190"/>
      <c r="E1219" s="192"/>
    </row>
    <row r="1220" spans="1:5" x14ac:dyDescent="0.35">
      <c r="A1220" s="189"/>
      <c r="B1220" s="190"/>
      <c r="E1220" s="192"/>
    </row>
    <row r="1221" spans="1:5" x14ac:dyDescent="0.35">
      <c r="A1221" s="189"/>
      <c r="B1221" s="190"/>
      <c r="E1221" s="192"/>
    </row>
    <row r="1222" spans="1:5" x14ac:dyDescent="0.35">
      <c r="A1222" s="189"/>
      <c r="B1222" s="190"/>
      <c r="E1222" s="192"/>
    </row>
    <row r="1223" spans="1:5" x14ac:dyDescent="0.35">
      <c r="A1223" s="189"/>
      <c r="B1223" s="190"/>
      <c r="E1223" s="192"/>
    </row>
    <row r="1224" spans="1:5" x14ac:dyDescent="0.35">
      <c r="A1224" s="189"/>
      <c r="B1224" s="190"/>
      <c r="E1224" s="192"/>
    </row>
    <row r="1225" spans="1:5" x14ac:dyDescent="0.35">
      <c r="A1225" s="189"/>
      <c r="B1225" s="190"/>
      <c r="E1225" s="192"/>
    </row>
    <row r="1226" spans="1:5" x14ac:dyDescent="0.35">
      <c r="A1226" s="189"/>
      <c r="B1226" s="190"/>
      <c r="E1226" s="192"/>
    </row>
    <row r="1227" spans="1:5" x14ac:dyDescent="0.35">
      <c r="A1227" s="189"/>
      <c r="B1227" s="190"/>
      <c r="E1227" s="192"/>
    </row>
    <row r="1228" spans="1:5" x14ac:dyDescent="0.35">
      <c r="A1228" s="189"/>
      <c r="B1228" s="190"/>
      <c r="E1228" s="192"/>
    </row>
    <row r="1229" spans="1:5" x14ac:dyDescent="0.35">
      <c r="A1229" s="189"/>
      <c r="B1229" s="190"/>
      <c r="E1229" s="192"/>
    </row>
    <row r="1230" spans="1:5" x14ac:dyDescent="0.35">
      <c r="A1230" s="189"/>
      <c r="B1230" s="190"/>
      <c r="E1230" s="192"/>
    </row>
    <row r="1231" spans="1:5" x14ac:dyDescent="0.35">
      <c r="A1231" s="189"/>
      <c r="B1231" s="190"/>
      <c r="E1231" s="192"/>
    </row>
    <row r="1232" spans="1:5" x14ac:dyDescent="0.35">
      <c r="A1232" s="189"/>
      <c r="B1232" s="190"/>
      <c r="E1232" s="192"/>
    </row>
    <row r="1233" spans="1:5" x14ac:dyDescent="0.35">
      <c r="A1233" s="189"/>
      <c r="B1233" s="190"/>
      <c r="E1233" s="192"/>
    </row>
    <row r="1234" spans="1:5" x14ac:dyDescent="0.35">
      <c r="A1234" s="189"/>
      <c r="B1234" s="190"/>
      <c r="E1234" s="192"/>
    </row>
    <row r="1235" spans="1:5" x14ac:dyDescent="0.35">
      <c r="A1235" s="189"/>
      <c r="B1235" s="190"/>
      <c r="E1235" s="192"/>
    </row>
    <row r="1236" spans="1:5" x14ac:dyDescent="0.35">
      <c r="A1236" s="189"/>
      <c r="B1236" s="190"/>
      <c r="E1236" s="192"/>
    </row>
    <row r="1237" spans="1:5" x14ac:dyDescent="0.35">
      <c r="A1237" s="189"/>
      <c r="B1237" s="190"/>
      <c r="E1237" s="192"/>
    </row>
    <row r="1238" spans="1:5" x14ac:dyDescent="0.35">
      <c r="A1238" s="189"/>
      <c r="B1238" s="190"/>
      <c r="E1238" s="192"/>
    </row>
    <row r="1239" spans="1:5" x14ac:dyDescent="0.35">
      <c r="A1239" s="189"/>
      <c r="B1239" s="190"/>
      <c r="E1239" s="192"/>
    </row>
    <row r="1240" spans="1:5" x14ac:dyDescent="0.35">
      <c r="A1240" s="189"/>
      <c r="B1240" s="190"/>
      <c r="E1240" s="192"/>
    </row>
    <row r="1241" spans="1:5" x14ac:dyDescent="0.35">
      <c r="A1241" s="189"/>
      <c r="B1241" s="190"/>
      <c r="E1241" s="192"/>
    </row>
    <row r="1242" spans="1:5" x14ac:dyDescent="0.35">
      <c r="A1242" s="189"/>
      <c r="B1242" s="190"/>
      <c r="E1242" s="192"/>
    </row>
    <row r="1243" spans="1:5" x14ac:dyDescent="0.35">
      <c r="A1243" s="189"/>
      <c r="B1243" s="190"/>
      <c r="E1243" s="192"/>
    </row>
    <row r="1244" spans="1:5" x14ac:dyDescent="0.35">
      <c r="A1244" s="189"/>
      <c r="B1244" s="190"/>
      <c r="E1244" s="192"/>
    </row>
    <row r="1245" spans="1:5" x14ac:dyDescent="0.35">
      <c r="A1245" s="189"/>
      <c r="B1245" s="190"/>
      <c r="E1245" s="192"/>
    </row>
    <row r="1246" spans="1:5" x14ac:dyDescent="0.35">
      <c r="A1246" s="189"/>
      <c r="B1246" s="190"/>
      <c r="E1246" s="192"/>
    </row>
    <row r="1247" spans="1:5" x14ac:dyDescent="0.35">
      <c r="A1247" s="189"/>
      <c r="B1247" s="190"/>
      <c r="E1247" s="192"/>
    </row>
    <row r="1248" spans="1:5" x14ac:dyDescent="0.35">
      <c r="A1248" s="189"/>
      <c r="B1248" s="190"/>
      <c r="E1248" s="192"/>
    </row>
    <row r="1249" spans="1:5" x14ac:dyDescent="0.35">
      <c r="A1249" s="189"/>
      <c r="B1249" s="190"/>
      <c r="E1249" s="192"/>
    </row>
    <row r="1250" spans="1:5" x14ac:dyDescent="0.35">
      <c r="A1250" s="189"/>
      <c r="B1250" s="190"/>
      <c r="E1250" s="192"/>
    </row>
    <row r="1251" spans="1:5" x14ac:dyDescent="0.35">
      <c r="A1251" s="189"/>
      <c r="B1251" s="190"/>
      <c r="E1251" s="192"/>
    </row>
    <row r="1252" spans="1:5" x14ac:dyDescent="0.35">
      <c r="A1252" s="189"/>
      <c r="B1252" s="190"/>
      <c r="E1252" s="192"/>
    </row>
    <row r="1253" spans="1:5" x14ac:dyDescent="0.35">
      <c r="A1253" s="189"/>
      <c r="B1253" s="190"/>
      <c r="E1253" s="192"/>
    </row>
    <row r="1254" spans="1:5" x14ac:dyDescent="0.35">
      <c r="A1254" s="189"/>
      <c r="B1254" s="190"/>
      <c r="E1254" s="192"/>
    </row>
    <row r="1255" spans="1:5" x14ac:dyDescent="0.35">
      <c r="A1255" s="189"/>
      <c r="B1255" s="190"/>
      <c r="E1255" s="192"/>
    </row>
    <row r="1256" spans="1:5" x14ac:dyDescent="0.35">
      <c r="A1256" s="189"/>
      <c r="B1256" s="190"/>
      <c r="E1256" s="192"/>
    </row>
    <row r="1257" spans="1:5" x14ac:dyDescent="0.35">
      <c r="A1257" s="189"/>
      <c r="B1257" s="190"/>
      <c r="E1257" s="192"/>
    </row>
    <row r="1258" spans="1:5" x14ac:dyDescent="0.35">
      <c r="A1258" s="189"/>
      <c r="B1258" s="190"/>
      <c r="E1258" s="192"/>
    </row>
    <row r="1259" spans="1:5" x14ac:dyDescent="0.35">
      <c r="A1259" s="189"/>
      <c r="B1259" s="190"/>
      <c r="E1259" s="192"/>
    </row>
    <row r="1260" spans="1:5" x14ac:dyDescent="0.35">
      <c r="A1260" s="189"/>
      <c r="B1260" s="190"/>
      <c r="E1260" s="192"/>
    </row>
    <row r="1261" spans="1:5" x14ac:dyDescent="0.35">
      <c r="A1261" s="189"/>
      <c r="B1261" s="190"/>
      <c r="E1261" s="192"/>
    </row>
    <row r="1262" spans="1:5" x14ac:dyDescent="0.35">
      <c r="A1262" s="189"/>
      <c r="B1262" s="190"/>
      <c r="E1262" s="192"/>
    </row>
    <row r="1263" spans="1:5" x14ac:dyDescent="0.35">
      <c r="A1263" s="189"/>
      <c r="B1263" s="190"/>
      <c r="E1263" s="192"/>
    </row>
    <row r="1264" spans="1:5" x14ac:dyDescent="0.35">
      <c r="A1264" s="189"/>
      <c r="B1264" s="190"/>
      <c r="E1264" s="192"/>
    </row>
    <row r="1265" spans="1:5" x14ac:dyDescent="0.35">
      <c r="A1265" s="189"/>
      <c r="B1265" s="190"/>
      <c r="E1265" s="192"/>
    </row>
    <row r="1266" spans="1:5" x14ac:dyDescent="0.35">
      <c r="A1266" s="189"/>
      <c r="B1266" s="190"/>
      <c r="E1266" s="192"/>
    </row>
    <row r="1267" spans="1:5" x14ac:dyDescent="0.35">
      <c r="A1267" s="189"/>
      <c r="B1267" s="190"/>
      <c r="E1267" s="192"/>
    </row>
    <row r="1268" spans="1:5" x14ac:dyDescent="0.35">
      <c r="A1268" s="189"/>
      <c r="B1268" s="190"/>
      <c r="E1268" s="192"/>
    </row>
    <row r="1269" spans="1:5" x14ac:dyDescent="0.35">
      <c r="A1269" s="189"/>
      <c r="B1269" s="190"/>
      <c r="E1269" s="192"/>
    </row>
    <row r="1270" spans="1:5" x14ac:dyDescent="0.35">
      <c r="A1270" s="189"/>
      <c r="B1270" s="190"/>
      <c r="E1270" s="192"/>
    </row>
    <row r="1271" spans="1:5" x14ac:dyDescent="0.35">
      <c r="A1271" s="189"/>
      <c r="B1271" s="190"/>
      <c r="E1271" s="192"/>
    </row>
    <row r="1272" spans="1:5" x14ac:dyDescent="0.35">
      <c r="A1272" s="189"/>
      <c r="B1272" s="190"/>
      <c r="E1272" s="192"/>
    </row>
    <row r="1273" spans="1:5" x14ac:dyDescent="0.35">
      <c r="A1273" s="189"/>
      <c r="B1273" s="190"/>
      <c r="E1273" s="192"/>
    </row>
    <row r="1274" spans="1:5" x14ac:dyDescent="0.35">
      <c r="A1274" s="189"/>
      <c r="B1274" s="190"/>
      <c r="E1274" s="192"/>
    </row>
    <row r="1275" spans="1:5" x14ac:dyDescent="0.35">
      <c r="A1275" s="189"/>
      <c r="B1275" s="190"/>
      <c r="E1275" s="192"/>
    </row>
    <row r="1276" spans="1:5" x14ac:dyDescent="0.35">
      <c r="A1276" s="189"/>
      <c r="B1276" s="190"/>
      <c r="E1276" s="192"/>
    </row>
    <row r="1277" spans="1:5" x14ac:dyDescent="0.35">
      <c r="A1277" s="189"/>
      <c r="B1277" s="190"/>
      <c r="E1277" s="192"/>
    </row>
    <row r="1278" spans="1:5" x14ac:dyDescent="0.35">
      <c r="A1278" s="189"/>
      <c r="B1278" s="190"/>
      <c r="E1278" s="192"/>
    </row>
    <row r="1279" spans="1:5" x14ac:dyDescent="0.35">
      <c r="A1279" s="189"/>
      <c r="B1279" s="190"/>
      <c r="E1279" s="192"/>
    </row>
    <row r="1280" spans="1:5" x14ac:dyDescent="0.35">
      <c r="A1280" s="189"/>
      <c r="B1280" s="190"/>
      <c r="E1280" s="192"/>
    </row>
    <row r="1281" spans="1:5" x14ac:dyDescent="0.35">
      <c r="A1281" s="189"/>
      <c r="B1281" s="190"/>
      <c r="E1281" s="192"/>
    </row>
    <row r="1282" spans="1:5" x14ac:dyDescent="0.35">
      <c r="A1282" s="189"/>
      <c r="B1282" s="190"/>
      <c r="E1282" s="192"/>
    </row>
    <row r="1283" spans="1:5" x14ac:dyDescent="0.35">
      <c r="A1283" s="189"/>
      <c r="B1283" s="190"/>
      <c r="E1283" s="192"/>
    </row>
    <row r="1284" spans="1:5" x14ac:dyDescent="0.35">
      <c r="A1284" s="189"/>
      <c r="B1284" s="190"/>
      <c r="E1284" s="192"/>
    </row>
    <row r="1285" spans="1:5" x14ac:dyDescent="0.35">
      <c r="A1285" s="189"/>
      <c r="B1285" s="190"/>
      <c r="E1285" s="192"/>
    </row>
    <row r="1286" spans="1:5" x14ac:dyDescent="0.35">
      <c r="A1286" s="189"/>
      <c r="B1286" s="190"/>
      <c r="E1286" s="192"/>
    </row>
    <row r="1287" spans="1:5" x14ac:dyDescent="0.35">
      <c r="A1287" s="189"/>
      <c r="B1287" s="190"/>
      <c r="E1287" s="192"/>
    </row>
    <row r="1288" spans="1:5" x14ac:dyDescent="0.35">
      <c r="A1288" s="189"/>
      <c r="B1288" s="190"/>
      <c r="E1288" s="192"/>
    </row>
    <row r="1289" spans="1:5" x14ac:dyDescent="0.35">
      <c r="A1289" s="189"/>
      <c r="B1289" s="190"/>
      <c r="E1289" s="192"/>
    </row>
    <row r="1290" spans="1:5" x14ac:dyDescent="0.35">
      <c r="A1290" s="189"/>
      <c r="B1290" s="190"/>
      <c r="E1290" s="192"/>
    </row>
    <row r="1291" spans="1:5" x14ac:dyDescent="0.35">
      <c r="A1291" s="189"/>
      <c r="B1291" s="190"/>
      <c r="E1291" s="192"/>
    </row>
    <row r="1292" spans="1:5" x14ac:dyDescent="0.35">
      <c r="A1292" s="189"/>
      <c r="B1292" s="190"/>
      <c r="E1292" s="192"/>
    </row>
    <row r="1293" spans="1:5" x14ac:dyDescent="0.35">
      <c r="A1293" s="189"/>
      <c r="B1293" s="190"/>
      <c r="E1293" s="192"/>
    </row>
    <row r="1294" spans="1:5" x14ac:dyDescent="0.35">
      <c r="A1294" s="189"/>
      <c r="B1294" s="190"/>
      <c r="E1294" s="192"/>
    </row>
    <row r="1295" spans="1:5" x14ac:dyDescent="0.35">
      <c r="A1295" s="189"/>
      <c r="B1295" s="190"/>
      <c r="E1295" s="192"/>
    </row>
    <row r="1296" spans="1:5" x14ac:dyDescent="0.35">
      <c r="A1296" s="189"/>
      <c r="B1296" s="190"/>
      <c r="E1296" s="192"/>
    </row>
    <row r="1297" spans="1:5" x14ac:dyDescent="0.35">
      <c r="A1297" s="189"/>
      <c r="B1297" s="190"/>
      <c r="E1297" s="192"/>
    </row>
    <row r="1298" spans="1:5" x14ac:dyDescent="0.35">
      <c r="A1298" s="189"/>
      <c r="B1298" s="190"/>
      <c r="E1298" s="192"/>
    </row>
    <row r="1299" spans="1:5" x14ac:dyDescent="0.35">
      <c r="A1299" s="189"/>
      <c r="B1299" s="190"/>
      <c r="E1299" s="192"/>
    </row>
    <row r="1300" spans="1:5" x14ac:dyDescent="0.35">
      <c r="A1300" s="189"/>
      <c r="B1300" s="190"/>
      <c r="E1300" s="192"/>
    </row>
    <row r="1301" spans="1:5" x14ac:dyDescent="0.35">
      <c r="A1301" s="189"/>
      <c r="B1301" s="190"/>
      <c r="E1301" s="192"/>
    </row>
    <row r="1302" spans="1:5" x14ac:dyDescent="0.35">
      <c r="A1302" s="189"/>
      <c r="B1302" s="190"/>
      <c r="E1302" s="192"/>
    </row>
    <row r="1303" spans="1:5" x14ac:dyDescent="0.35">
      <c r="A1303" s="189"/>
      <c r="B1303" s="190"/>
      <c r="E1303" s="192"/>
    </row>
    <row r="1304" spans="1:5" x14ac:dyDescent="0.35">
      <c r="A1304" s="189"/>
      <c r="B1304" s="190"/>
      <c r="E1304" s="192"/>
    </row>
    <row r="1305" spans="1:5" x14ac:dyDescent="0.35">
      <c r="A1305" s="189"/>
      <c r="B1305" s="190"/>
      <c r="E1305" s="192"/>
    </row>
    <row r="1306" spans="1:5" x14ac:dyDescent="0.35">
      <c r="A1306" s="189"/>
      <c r="B1306" s="190"/>
      <c r="E1306" s="192"/>
    </row>
    <row r="1307" spans="1:5" x14ac:dyDescent="0.35">
      <c r="A1307" s="189"/>
      <c r="B1307" s="190"/>
      <c r="E1307" s="192"/>
    </row>
    <row r="1308" spans="1:5" x14ac:dyDescent="0.35">
      <c r="A1308" s="189"/>
      <c r="B1308" s="190"/>
      <c r="E1308" s="192"/>
    </row>
    <row r="1309" spans="1:5" x14ac:dyDescent="0.35">
      <c r="A1309" s="189"/>
      <c r="B1309" s="190"/>
      <c r="E1309" s="192"/>
    </row>
    <row r="1310" spans="1:5" x14ac:dyDescent="0.35">
      <c r="A1310" s="189"/>
      <c r="B1310" s="190"/>
      <c r="E1310" s="192"/>
    </row>
    <row r="1311" spans="1:5" x14ac:dyDescent="0.35">
      <c r="A1311" s="189"/>
      <c r="B1311" s="190"/>
      <c r="E1311" s="192"/>
    </row>
    <row r="1312" spans="1:5" x14ac:dyDescent="0.35">
      <c r="A1312" s="189"/>
      <c r="B1312" s="190"/>
      <c r="E1312" s="192"/>
    </row>
    <row r="1313" spans="1:5" x14ac:dyDescent="0.35">
      <c r="A1313" s="189"/>
      <c r="B1313" s="190"/>
      <c r="E1313" s="192"/>
    </row>
    <row r="1314" spans="1:5" x14ac:dyDescent="0.35">
      <c r="A1314" s="189"/>
      <c r="B1314" s="190"/>
      <c r="E1314" s="192"/>
    </row>
    <row r="1315" spans="1:5" x14ac:dyDescent="0.35">
      <c r="A1315" s="189"/>
      <c r="B1315" s="190"/>
      <c r="E1315" s="192"/>
    </row>
    <row r="1316" spans="1:5" x14ac:dyDescent="0.35">
      <c r="A1316" s="189"/>
      <c r="B1316" s="190"/>
      <c r="E1316" s="192"/>
    </row>
    <row r="1317" spans="1:5" x14ac:dyDescent="0.35">
      <c r="A1317" s="189"/>
      <c r="B1317" s="190"/>
      <c r="E1317" s="192"/>
    </row>
    <row r="1318" spans="1:5" x14ac:dyDescent="0.35">
      <c r="A1318" s="189"/>
      <c r="B1318" s="190"/>
      <c r="E1318" s="192"/>
    </row>
    <row r="1319" spans="1:5" x14ac:dyDescent="0.35">
      <c r="A1319" s="189"/>
      <c r="B1319" s="190"/>
      <c r="E1319" s="192"/>
    </row>
    <row r="1320" spans="1:5" x14ac:dyDescent="0.35">
      <c r="A1320" s="189"/>
      <c r="B1320" s="190"/>
      <c r="E1320" s="192"/>
    </row>
    <row r="1321" spans="1:5" x14ac:dyDescent="0.35">
      <c r="A1321" s="189"/>
      <c r="B1321" s="190"/>
      <c r="E1321" s="192"/>
    </row>
    <row r="1322" spans="1:5" x14ac:dyDescent="0.35">
      <c r="A1322" s="189"/>
      <c r="B1322" s="190"/>
      <c r="E1322" s="192"/>
    </row>
    <row r="1323" spans="1:5" x14ac:dyDescent="0.35">
      <c r="A1323" s="189"/>
      <c r="B1323" s="190"/>
      <c r="E1323" s="192"/>
    </row>
    <row r="1324" spans="1:5" x14ac:dyDescent="0.35">
      <c r="A1324" s="189"/>
      <c r="B1324" s="190"/>
      <c r="E1324" s="192"/>
    </row>
    <row r="1325" spans="1:5" x14ac:dyDescent="0.35">
      <c r="A1325" s="189"/>
      <c r="B1325" s="190"/>
      <c r="E1325" s="192"/>
    </row>
    <row r="1326" spans="1:5" x14ac:dyDescent="0.35">
      <c r="A1326" s="189"/>
      <c r="B1326" s="190"/>
      <c r="E1326" s="192"/>
    </row>
    <row r="1327" spans="1:5" x14ac:dyDescent="0.35">
      <c r="A1327" s="189"/>
      <c r="B1327" s="190"/>
      <c r="E1327" s="192"/>
    </row>
    <row r="1328" spans="1:5" x14ac:dyDescent="0.35">
      <c r="A1328" s="189"/>
      <c r="B1328" s="190"/>
      <c r="E1328" s="192"/>
    </row>
    <row r="1329" spans="1:5" x14ac:dyDescent="0.35">
      <c r="A1329" s="189"/>
      <c r="B1329" s="190"/>
      <c r="E1329" s="192"/>
    </row>
    <row r="1330" spans="1:5" x14ac:dyDescent="0.35">
      <c r="A1330" s="189"/>
      <c r="B1330" s="190"/>
      <c r="E1330" s="192"/>
    </row>
    <row r="1331" spans="1:5" x14ac:dyDescent="0.35">
      <c r="A1331" s="189"/>
      <c r="B1331" s="190"/>
      <c r="E1331" s="192"/>
    </row>
    <row r="1332" spans="1:5" x14ac:dyDescent="0.35">
      <c r="A1332" s="189"/>
      <c r="B1332" s="190"/>
      <c r="E1332" s="192"/>
    </row>
    <row r="1333" spans="1:5" x14ac:dyDescent="0.35">
      <c r="A1333" s="189"/>
      <c r="B1333" s="190"/>
      <c r="E1333" s="192"/>
    </row>
    <row r="1334" spans="1:5" x14ac:dyDescent="0.35">
      <c r="A1334" s="189"/>
      <c r="B1334" s="190"/>
      <c r="E1334" s="192"/>
    </row>
    <row r="1335" spans="1:5" x14ac:dyDescent="0.35">
      <c r="A1335" s="189"/>
      <c r="B1335" s="190"/>
      <c r="E1335" s="192"/>
    </row>
    <row r="1336" spans="1:5" x14ac:dyDescent="0.35">
      <c r="A1336" s="189"/>
      <c r="B1336" s="190"/>
      <c r="E1336" s="192"/>
    </row>
    <row r="1337" spans="1:5" x14ac:dyDescent="0.35">
      <c r="A1337" s="189"/>
      <c r="B1337" s="190"/>
      <c r="E1337" s="192"/>
    </row>
    <row r="1338" spans="1:5" x14ac:dyDescent="0.35">
      <c r="A1338" s="189"/>
      <c r="B1338" s="190"/>
      <c r="E1338" s="192"/>
    </row>
    <row r="1339" spans="1:5" x14ac:dyDescent="0.35">
      <c r="A1339" s="189"/>
      <c r="B1339" s="190"/>
      <c r="E1339" s="192"/>
    </row>
    <row r="1340" spans="1:5" x14ac:dyDescent="0.35">
      <c r="A1340" s="189"/>
      <c r="B1340" s="190"/>
      <c r="E1340" s="192"/>
    </row>
    <row r="1341" spans="1:5" x14ac:dyDescent="0.35">
      <c r="A1341" s="189"/>
      <c r="B1341" s="190"/>
      <c r="E1341" s="192"/>
    </row>
    <row r="1342" spans="1:5" x14ac:dyDescent="0.35">
      <c r="A1342" s="189"/>
      <c r="B1342" s="190"/>
      <c r="E1342" s="192"/>
    </row>
    <row r="1343" spans="1:5" x14ac:dyDescent="0.35">
      <c r="A1343" s="189"/>
      <c r="B1343" s="190"/>
      <c r="E1343" s="192"/>
    </row>
    <row r="1344" spans="1:5" x14ac:dyDescent="0.35">
      <c r="A1344" s="189"/>
      <c r="B1344" s="190"/>
      <c r="E1344" s="192"/>
    </row>
    <row r="1345" spans="1:5" x14ac:dyDescent="0.35">
      <c r="A1345" s="189"/>
      <c r="B1345" s="190"/>
      <c r="E1345" s="192"/>
    </row>
    <row r="1346" spans="1:5" x14ac:dyDescent="0.35">
      <c r="A1346" s="189"/>
      <c r="B1346" s="190"/>
      <c r="E1346" s="192"/>
    </row>
    <row r="1347" spans="1:5" x14ac:dyDescent="0.35">
      <c r="A1347" s="189"/>
      <c r="B1347" s="190"/>
      <c r="E1347" s="192"/>
    </row>
    <row r="1348" spans="1:5" x14ac:dyDescent="0.35">
      <c r="A1348" s="189"/>
      <c r="B1348" s="190"/>
      <c r="E1348" s="192"/>
    </row>
    <row r="1349" spans="1:5" x14ac:dyDescent="0.35">
      <c r="A1349" s="189"/>
      <c r="B1349" s="190"/>
      <c r="E1349" s="192"/>
    </row>
    <row r="1350" spans="1:5" x14ac:dyDescent="0.35">
      <c r="A1350" s="189"/>
      <c r="B1350" s="190"/>
      <c r="E1350" s="192"/>
    </row>
    <row r="1351" spans="1:5" x14ac:dyDescent="0.35">
      <c r="A1351" s="189"/>
      <c r="B1351" s="190"/>
      <c r="E1351" s="192"/>
    </row>
    <row r="1352" spans="1:5" x14ac:dyDescent="0.35">
      <c r="A1352" s="189"/>
      <c r="B1352" s="190"/>
      <c r="E1352" s="192"/>
    </row>
    <row r="1353" spans="1:5" x14ac:dyDescent="0.35">
      <c r="A1353" s="189"/>
      <c r="B1353" s="190"/>
      <c r="E1353" s="192"/>
    </row>
    <row r="1354" spans="1:5" x14ac:dyDescent="0.35">
      <c r="A1354" s="189"/>
      <c r="B1354" s="190"/>
      <c r="E1354" s="192"/>
    </row>
    <row r="1355" spans="1:5" x14ac:dyDescent="0.35">
      <c r="A1355" s="189"/>
      <c r="B1355" s="190"/>
      <c r="E1355" s="192"/>
    </row>
    <row r="1356" spans="1:5" x14ac:dyDescent="0.35">
      <c r="A1356" s="189"/>
      <c r="B1356" s="190"/>
      <c r="E1356" s="192"/>
    </row>
    <row r="1357" spans="1:5" x14ac:dyDescent="0.35">
      <c r="A1357" s="189"/>
      <c r="B1357" s="190"/>
      <c r="E1357" s="192"/>
    </row>
    <row r="1358" spans="1:5" x14ac:dyDescent="0.35">
      <c r="A1358" s="189"/>
      <c r="B1358" s="190"/>
      <c r="E1358" s="192"/>
    </row>
    <row r="1359" spans="1:5" x14ac:dyDescent="0.35">
      <c r="A1359" s="189"/>
      <c r="B1359" s="190"/>
      <c r="E1359" s="192"/>
    </row>
    <row r="1360" spans="1:5" x14ac:dyDescent="0.35">
      <c r="A1360" s="189"/>
      <c r="B1360" s="190"/>
      <c r="E1360" s="192"/>
    </row>
    <row r="1361" spans="1:5" x14ac:dyDescent="0.35">
      <c r="A1361" s="189"/>
      <c r="B1361" s="190"/>
      <c r="E1361" s="192"/>
    </row>
    <row r="1362" spans="1:5" x14ac:dyDescent="0.35">
      <c r="A1362" s="189"/>
      <c r="B1362" s="190"/>
      <c r="E1362" s="192"/>
    </row>
    <row r="1363" spans="1:5" x14ac:dyDescent="0.35">
      <c r="A1363" s="189"/>
      <c r="B1363" s="190"/>
      <c r="E1363" s="192"/>
    </row>
    <row r="1364" spans="1:5" x14ac:dyDescent="0.35">
      <c r="A1364" s="189"/>
      <c r="B1364" s="190"/>
      <c r="E1364" s="192"/>
    </row>
    <row r="1365" spans="1:5" x14ac:dyDescent="0.35">
      <c r="A1365" s="189"/>
      <c r="B1365" s="190"/>
      <c r="E1365" s="192"/>
    </row>
    <row r="1366" spans="1:5" x14ac:dyDescent="0.35">
      <c r="A1366" s="189"/>
      <c r="B1366" s="190"/>
      <c r="E1366" s="192"/>
    </row>
    <row r="1367" spans="1:5" x14ac:dyDescent="0.35">
      <c r="A1367" s="189"/>
      <c r="B1367" s="190"/>
      <c r="E1367" s="192"/>
    </row>
    <row r="1368" spans="1:5" x14ac:dyDescent="0.35">
      <c r="A1368" s="189"/>
      <c r="B1368" s="190"/>
      <c r="E1368" s="192"/>
    </row>
    <row r="1369" spans="1:5" x14ac:dyDescent="0.35">
      <c r="A1369" s="189"/>
      <c r="B1369" s="190"/>
      <c r="E1369" s="192"/>
    </row>
    <row r="1370" spans="1:5" x14ac:dyDescent="0.35">
      <c r="A1370" s="189"/>
      <c r="B1370" s="190"/>
      <c r="E1370" s="192"/>
    </row>
    <row r="1371" spans="1:5" x14ac:dyDescent="0.35">
      <c r="A1371" s="189"/>
      <c r="B1371" s="190"/>
      <c r="E1371" s="192"/>
    </row>
    <row r="1372" spans="1:5" x14ac:dyDescent="0.35">
      <c r="A1372" s="189"/>
      <c r="B1372" s="190"/>
      <c r="E1372" s="192"/>
    </row>
    <row r="1373" spans="1:5" x14ac:dyDescent="0.35">
      <c r="A1373" s="189"/>
      <c r="B1373" s="190"/>
      <c r="E1373" s="192"/>
    </row>
    <row r="1374" spans="1:5" x14ac:dyDescent="0.35">
      <c r="A1374" s="189"/>
      <c r="B1374" s="190"/>
      <c r="E1374" s="192"/>
    </row>
    <row r="1375" spans="1:5" x14ac:dyDescent="0.35">
      <c r="A1375" s="189"/>
      <c r="B1375" s="190"/>
      <c r="E1375" s="192"/>
    </row>
    <row r="1376" spans="1:5" x14ac:dyDescent="0.35">
      <c r="A1376" s="189"/>
      <c r="B1376" s="190"/>
      <c r="E1376" s="192"/>
    </row>
    <row r="1377" spans="1:5" x14ac:dyDescent="0.35">
      <c r="A1377" s="189"/>
      <c r="B1377" s="190"/>
      <c r="E1377" s="192"/>
    </row>
    <row r="1378" spans="1:5" x14ac:dyDescent="0.35">
      <c r="A1378" s="189"/>
      <c r="B1378" s="190"/>
      <c r="E1378" s="192"/>
    </row>
    <row r="1379" spans="1:5" x14ac:dyDescent="0.35">
      <c r="A1379" s="189"/>
      <c r="B1379" s="190"/>
      <c r="E1379" s="192"/>
    </row>
    <row r="1380" spans="1:5" x14ac:dyDescent="0.35">
      <c r="A1380" s="189"/>
      <c r="B1380" s="190"/>
      <c r="E1380" s="192"/>
    </row>
    <row r="1381" spans="1:5" x14ac:dyDescent="0.35">
      <c r="A1381" s="189"/>
      <c r="B1381" s="190"/>
      <c r="E1381" s="192"/>
    </row>
    <row r="1382" spans="1:5" x14ac:dyDescent="0.35">
      <c r="A1382" s="189"/>
      <c r="B1382" s="190"/>
      <c r="E1382" s="192"/>
    </row>
    <row r="1383" spans="1:5" x14ac:dyDescent="0.35">
      <c r="A1383" s="189"/>
      <c r="B1383" s="190"/>
      <c r="E1383" s="192"/>
    </row>
    <row r="1384" spans="1:5" x14ac:dyDescent="0.35">
      <c r="A1384" s="189"/>
      <c r="B1384" s="190"/>
      <c r="E1384" s="192"/>
    </row>
    <row r="1385" spans="1:5" x14ac:dyDescent="0.35">
      <c r="A1385" s="189"/>
      <c r="B1385" s="190"/>
      <c r="E1385" s="192"/>
    </row>
    <row r="1386" spans="1:5" x14ac:dyDescent="0.35">
      <c r="A1386" s="189"/>
      <c r="B1386" s="190"/>
      <c r="E1386" s="192"/>
    </row>
    <row r="1387" spans="1:5" x14ac:dyDescent="0.35">
      <c r="A1387" s="189"/>
      <c r="B1387" s="190"/>
      <c r="E1387" s="192"/>
    </row>
    <row r="1388" spans="1:5" x14ac:dyDescent="0.35">
      <c r="A1388" s="189"/>
      <c r="B1388" s="190"/>
      <c r="E1388" s="192"/>
    </row>
    <row r="1389" spans="1:5" x14ac:dyDescent="0.35">
      <c r="A1389" s="189"/>
      <c r="B1389" s="190"/>
      <c r="E1389" s="192"/>
    </row>
    <row r="1390" spans="1:5" x14ac:dyDescent="0.35">
      <c r="A1390" s="189"/>
      <c r="B1390" s="190"/>
      <c r="E1390" s="192"/>
    </row>
    <row r="1391" spans="1:5" x14ac:dyDescent="0.35">
      <c r="A1391" s="189"/>
      <c r="B1391" s="190"/>
      <c r="E1391" s="192"/>
    </row>
    <row r="1392" spans="1:5" x14ac:dyDescent="0.35">
      <c r="A1392" s="189"/>
      <c r="B1392" s="190"/>
      <c r="E1392" s="192"/>
    </row>
    <row r="1393" spans="1:5" x14ac:dyDescent="0.35">
      <c r="A1393" s="189"/>
      <c r="B1393" s="190"/>
      <c r="E1393" s="192"/>
    </row>
    <row r="1394" spans="1:5" x14ac:dyDescent="0.35">
      <c r="A1394" s="189"/>
      <c r="B1394" s="190"/>
      <c r="E1394" s="192"/>
    </row>
    <row r="1395" spans="1:5" x14ac:dyDescent="0.35">
      <c r="A1395" s="189"/>
      <c r="B1395" s="190"/>
      <c r="E1395" s="192"/>
    </row>
    <row r="1396" spans="1:5" x14ac:dyDescent="0.35">
      <c r="A1396" s="189"/>
      <c r="B1396" s="190"/>
      <c r="E1396" s="192"/>
    </row>
    <row r="1397" spans="1:5" x14ac:dyDescent="0.35">
      <c r="A1397" s="189"/>
      <c r="B1397" s="190"/>
      <c r="E1397" s="192"/>
    </row>
    <row r="1398" spans="1:5" x14ac:dyDescent="0.35">
      <c r="A1398" s="189"/>
      <c r="B1398" s="190"/>
      <c r="E1398" s="192"/>
    </row>
    <row r="1399" spans="1:5" x14ac:dyDescent="0.35">
      <c r="A1399" s="189"/>
      <c r="B1399" s="190"/>
      <c r="E1399" s="192"/>
    </row>
    <row r="1400" spans="1:5" x14ac:dyDescent="0.35">
      <c r="A1400" s="189"/>
      <c r="B1400" s="190"/>
      <c r="E1400" s="192"/>
    </row>
    <row r="1401" spans="1:5" x14ac:dyDescent="0.35">
      <c r="A1401" s="189"/>
      <c r="B1401" s="190"/>
      <c r="E1401" s="192"/>
    </row>
    <row r="1402" spans="1:5" x14ac:dyDescent="0.35">
      <c r="A1402" s="189"/>
      <c r="E1402" s="192"/>
    </row>
    <row r="1403" spans="1:5" x14ac:dyDescent="0.35">
      <c r="A1403" s="189"/>
      <c r="E1403" s="192"/>
    </row>
    <row r="1404" spans="1:5" x14ac:dyDescent="0.35">
      <c r="A1404" s="189"/>
      <c r="E1404" s="192"/>
    </row>
    <row r="1405" spans="1:5" x14ac:dyDescent="0.35">
      <c r="A1405" s="189"/>
      <c r="E1405" s="192"/>
    </row>
    <row r="1406" spans="1:5" x14ac:dyDescent="0.35">
      <c r="A1406" s="189"/>
      <c r="E1406" s="192"/>
    </row>
  </sheetData>
  <pageMargins left="0.7" right="0.7" top="0.75" bottom="0.75" header="0.3" footer="0.3"/>
  <pageSetup orientation="portrait" r:id="rId1"/>
  <headerFooter>
    <oddHeader>&amp;C&amp;"Calibri"&amp;10&amp;K000000 OFFICIAL&amp;1#_x000D_</oddHeader>
    <oddFooter>&amp;C_x000D_&amp;1#&amp;"Calibri"&amp;10&amp;K000000 OFFICIAL</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92D050"/>
  </sheetPr>
  <dimension ref="A1:M12274"/>
  <sheetViews>
    <sheetView zoomScale="80" zoomScaleNormal="80" workbookViewId="0">
      <pane ySplit="1" topLeftCell="A2" activePane="bottomLeft" state="frozen"/>
      <selection pane="bottomLeft" activeCell="A2" sqref="A2"/>
    </sheetView>
  </sheetViews>
  <sheetFormatPr defaultColWidth="8.796875" defaultRowHeight="14.25" x14ac:dyDescent="0.45"/>
  <cols>
    <col min="1" max="1" width="50" style="142" customWidth="1"/>
    <col min="2" max="5" width="8.796875" style="142"/>
    <col min="6" max="6" width="32.796875" style="142" bestFit="1" customWidth="1"/>
    <col min="7" max="7" width="10.53125" style="142" customWidth="1"/>
    <col min="8" max="8" width="98" style="142" bestFit="1" customWidth="1"/>
    <col min="9" max="13" width="11.53125" style="142" customWidth="1"/>
    <col min="14" max="16384" width="8.796875" style="142"/>
  </cols>
  <sheetData>
    <row r="1" spans="1:13" s="399" customFormat="1" ht="42.75" x14ac:dyDescent="0.45">
      <c r="A1" s="183" t="s">
        <v>14407</v>
      </c>
      <c r="B1" s="183" t="s">
        <v>14406</v>
      </c>
      <c r="C1" s="183" t="s">
        <v>15843</v>
      </c>
      <c r="D1" s="183" t="s">
        <v>15844</v>
      </c>
      <c r="E1" s="183" t="s">
        <v>15845</v>
      </c>
      <c r="F1" s="183" t="s">
        <v>15846</v>
      </c>
      <c r="G1" s="183" t="s">
        <v>275</v>
      </c>
      <c r="H1" s="183" t="s">
        <v>280</v>
      </c>
      <c r="I1" s="183" t="s">
        <v>14408</v>
      </c>
      <c r="J1" s="183" t="s">
        <v>14409</v>
      </c>
      <c r="K1" s="183" t="s">
        <v>14410</v>
      </c>
      <c r="L1" s="183" t="s">
        <v>14411</v>
      </c>
      <c r="M1" s="183" t="s">
        <v>14412</v>
      </c>
    </row>
    <row r="2" spans="1:13" x14ac:dyDescent="0.45">
      <c r="A2" s="142" t="s">
        <v>13000</v>
      </c>
      <c r="B2" s="142" t="s">
        <v>14610</v>
      </c>
      <c r="C2" s="142" t="s">
        <v>15847</v>
      </c>
      <c r="D2" s="142" t="s">
        <v>15848</v>
      </c>
      <c r="E2" s="142" t="s">
        <v>15849</v>
      </c>
      <c r="F2" s="142" t="s">
        <v>8903</v>
      </c>
      <c r="G2" s="142" t="s">
        <v>8902</v>
      </c>
      <c r="H2" s="142" t="s">
        <v>15850</v>
      </c>
      <c r="I2" s="142">
        <v>192</v>
      </c>
      <c r="J2" s="142">
        <v>173</v>
      </c>
      <c r="K2" s="142">
        <v>0</v>
      </c>
      <c r="L2" s="142">
        <v>0</v>
      </c>
      <c r="M2" s="142">
        <v>19</v>
      </c>
    </row>
    <row r="3" spans="1:13" x14ac:dyDescent="0.45">
      <c r="A3" s="142" t="s">
        <v>13001</v>
      </c>
      <c r="B3" s="142" t="s">
        <v>15506</v>
      </c>
      <c r="C3" s="142" t="s">
        <v>15847</v>
      </c>
      <c r="D3" s="142" t="s">
        <v>15848</v>
      </c>
      <c r="E3" s="142" t="s">
        <v>15849</v>
      </c>
      <c r="F3" s="142" t="s">
        <v>8903</v>
      </c>
      <c r="G3" s="142" t="s">
        <v>8902</v>
      </c>
      <c r="H3" s="142" t="s">
        <v>15851</v>
      </c>
      <c r="I3" s="142">
        <v>7</v>
      </c>
      <c r="J3" s="142">
        <v>7</v>
      </c>
      <c r="K3" s="142">
        <v>0</v>
      </c>
      <c r="L3" s="142">
        <v>0</v>
      </c>
      <c r="M3" s="142">
        <v>0</v>
      </c>
    </row>
    <row r="4" spans="1:13" x14ac:dyDescent="0.45">
      <c r="A4" s="142" t="s">
        <v>13002</v>
      </c>
      <c r="B4" s="142" t="s">
        <v>15376</v>
      </c>
      <c r="C4" s="142" t="s">
        <v>15847</v>
      </c>
      <c r="D4" s="142" t="s">
        <v>15848</v>
      </c>
      <c r="E4" s="142" t="s">
        <v>15849</v>
      </c>
      <c r="F4" s="142" t="s">
        <v>8903</v>
      </c>
      <c r="G4" s="142" t="s">
        <v>8902</v>
      </c>
      <c r="H4" s="142" t="s">
        <v>15852</v>
      </c>
      <c r="I4" s="142">
        <v>4</v>
      </c>
      <c r="J4" s="142">
        <v>0</v>
      </c>
      <c r="K4" s="142">
        <v>0</v>
      </c>
      <c r="L4" s="142">
        <v>4</v>
      </c>
      <c r="M4" s="142">
        <v>0</v>
      </c>
    </row>
    <row r="5" spans="1:13" x14ac:dyDescent="0.45">
      <c r="A5" s="142" t="s">
        <v>13003</v>
      </c>
      <c r="B5" s="142" t="s">
        <v>15245</v>
      </c>
      <c r="C5" s="142" t="s">
        <v>15847</v>
      </c>
      <c r="D5" s="142" t="s">
        <v>15848</v>
      </c>
      <c r="E5" s="142" t="s">
        <v>15849</v>
      </c>
      <c r="F5" s="142" t="s">
        <v>8903</v>
      </c>
      <c r="G5" s="142" t="s">
        <v>8902</v>
      </c>
      <c r="H5" s="142" t="s">
        <v>15853</v>
      </c>
      <c r="I5" s="142">
        <v>51</v>
      </c>
      <c r="J5" s="142">
        <v>0</v>
      </c>
      <c r="K5" s="142">
        <v>0</v>
      </c>
      <c r="L5" s="142">
        <v>51</v>
      </c>
      <c r="M5" s="142">
        <v>0</v>
      </c>
    </row>
    <row r="6" spans="1:13" x14ac:dyDescent="0.45">
      <c r="A6" s="142" t="s">
        <v>13004</v>
      </c>
      <c r="B6" s="142" t="s">
        <v>15492</v>
      </c>
      <c r="C6" s="142" t="s">
        <v>15847</v>
      </c>
      <c r="D6" s="142" t="s">
        <v>15848</v>
      </c>
      <c r="E6" s="142" t="s">
        <v>15849</v>
      </c>
      <c r="F6" s="142" t="s">
        <v>8903</v>
      </c>
      <c r="G6" s="142" t="s">
        <v>8902</v>
      </c>
      <c r="H6" s="142" t="s">
        <v>15854</v>
      </c>
      <c r="I6" s="142">
        <v>175</v>
      </c>
      <c r="J6" s="142">
        <v>109</v>
      </c>
      <c r="K6" s="142">
        <v>0</v>
      </c>
      <c r="L6" s="142">
        <v>12</v>
      </c>
      <c r="M6" s="142">
        <v>54</v>
      </c>
    </row>
    <row r="7" spans="1:13" x14ac:dyDescent="0.45">
      <c r="A7" s="142" t="s">
        <v>13005</v>
      </c>
      <c r="B7" s="142" t="s">
        <v>15475</v>
      </c>
      <c r="C7" s="142" t="s">
        <v>15847</v>
      </c>
      <c r="D7" s="142" t="s">
        <v>15848</v>
      </c>
      <c r="E7" s="142" t="s">
        <v>15849</v>
      </c>
      <c r="F7" s="142" t="s">
        <v>8903</v>
      </c>
      <c r="G7" s="142" t="s">
        <v>8902</v>
      </c>
      <c r="H7" s="142" t="s">
        <v>15855</v>
      </c>
      <c r="I7" s="142">
        <v>1</v>
      </c>
      <c r="J7" s="142">
        <v>0</v>
      </c>
      <c r="K7" s="142">
        <v>0</v>
      </c>
      <c r="L7" s="142">
        <v>0</v>
      </c>
      <c r="M7" s="142">
        <v>1</v>
      </c>
    </row>
    <row r="8" spans="1:13" x14ac:dyDescent="0.45">
      <c r="A8" s="142" t="s">
        <v>13006</v>
      </c>
      <c r="B8" s="142" t="s">
        <v>15288</v>
      </c>
      <c r="C8" s="142" t="s">
        <v>15847</v>
      </c>
      <c r="D8" s="142" t="s">
        <v>15848</v>
      </c>
      <c r="E8" s="142" t="s">
        <v>15849</v>
      </c>
      <c r="F8" s="142" t="s">
        <v>8903</v>
      </c>
      <c r="G8" s="142" t="s">
        <v>8902</v>
      </c>
      <c r="H8" s="142" t="s">
        <v>15856</v>
      </c>
      <c r="I8" s="142">
        <v>1</v>
      </c>
      <c r="J8" s="142">
        <v>0</v>
      </c>
      <c r="K8" s="142">
        <v>0</v>
      </c>
      <c r="L8" s="142">
        <v>0</v>
      </c>
      <c r="M8" s="142">
        <v>1</v>
      </c>
    </row>
    <row r="9" spans="1:13" x14ac:dyDescent="0.45">
      <c r="A9" s="142" t="s">
        <v>13007</v>
      </c>
      <c r="B9" s="142" t="s">
        <v>15262</v>
      </c>
      <c r="C9" s="142" t="s">
        <v>15847</v>
      </c>
      <c r="D9" s="142" t="s">
        <v>15848</v>
      </c>
      <c r="E9" s="142" t="s">
        <v>15849</v>
      </c>
      <c r="F9" s="142" t="s">
        <v>8903</v>
      </c>
      <c r="G9" s="142" t="s">
        <v>8902</v>
      </c>
      <c r="H9" s="142" t="s">
        <v>15857</v>
      </c>
      <c r="I9" s="142">
        <v>1</v>
      </c>
      <c r="J9" s="142">
        <v>1</v>
      </c>
      <c r="K9" s="142">
        <v>0</v>
      </c>
      <c r="L9" s="142">
        <v>0</v>
      </c>
      <c r="M9" s="142">
        <v>0</v>
      </c>
    </row>
    <row r="10" spans="1:13" x14ac:dyDescent="0.45">
      <c r="A10" s="142" t="s">
        <v>13008</v>
      </c>
      <c r="B10" s="142" t="s">
        <v>15411</v>
      </c>
      <c r="C10" s="142" t="s">
        <v>15847</v>
      </c>
      <c r="D10" s="142" t="s">
        <v>15848</v>
      </c>
      <c r="E10" s="142" t="s">
        <v>15849</v>
      </c>
      <c r="F10" s="142" t="s">
        <v>8903</v>
      </c>
      <c r="G10" s="142" t="s">
        <v>8902</v>
      </c>
      <c r="H10" s="142" t="s">
        <v>15858</v>
      </c>
      <c r="I10" s="142">
        <v>3</v>
      </c>
      <c r="J10" s="142">
        <v>0</v>
      </c>
      <c r="K10" s="142">
        <v>0</v>
      </c>
      <c r="L10" s="142">
        <v>0</v>
      </c>
      <c r="M10" s="142">
        <v>3</v>
      </c>
    </row>
    <row r="11" spans="1:13" x14ac:dyDescent="0.45">
      <c r="A11" s="142" t="s">
        <v>13009</v>
      </c>
      <c r="B11" s="142" t="s">
        <v>15256</v>
      </c>
      <c r="C11" s="142" t="s">
        <v>15847</v>
      </c>
      <c r="D11" s="142" t="s">
        <v>15848</v>
      </c>
      <c r="E11" s="142" t="s">
        <v>15849</v>
      </c>
      <c r="F11" s="142" t="s">
        <v>8903</v>
      </c>
      <c r="G11" s="142" t="s">
        <v>8902</v>
      </c>
      <c r="H11" s="142" t="s">
        <v>15859</v>
      </c>
      <c r="I11" s="142">
        <v>25</v>
      </c>
      <c r="J11" s="142">
        <v>0</v>
      </c>
      <c r="K11" s="142">
        <v>0</v>
      </c>
      <c r="L11" s="142">
        <v>25</v>
      </c>
      <c r="M11" s="142">
        <v>0</v>
      </c>
    </row>
    <row r="12" spans="1:13" x14ac:dyDescent="0.45">
      <c r="A12" s="142" t="s">
        <v>13010</v>
      </c>
      <c r="B12" s="142" t="s">
        <v>15349</v>
      </c>
      <c r="C12" s="142" t="s">
        <v>15860</v>
      </c>
      <c r="D12" s="142" t="s">
        <v>15861</v>
      </c>
      <c r="E12" s="142" t="s">
        <v>15849</v>
      </c>
      <c r="F12" s="142" t="s">
        <v>8903</v>
      </c>
      <c r="G12" s="142" t="s">
        <v>8902</v>
      </c>
      <c r="H12" s="142" t="s">
        <v>15862</v>
      </c>
      <c r="I12" s="142">
        <v>8</v>
      </c>
      <c r="J12" s="142">
        <v>0</v>
      </c>
      <c r="K12" s="142">
        <v>0</v>
      </c>
      <c r="L12" s="142">
        <v>8</v>
      </c>
      <c r="M12" s="142">
        <v>0</v>
      </c>
    </row>
    <row r="13" spans="1:13" x14ac:dyDescent="0.45">
      <c r="A13" s="142" t="s">
        <v>13011</v>
      </c>
      <c r="B13" s="142" t="s">
        <v>14695</v>
      </c>
      <c r="C13" s="142" t="s">
        <v>15847</v>
      </c>
      <c r="D13" s="142" t="s">
        <v>15848</v>
      </c>
      <c r="E13" s="142" t="s">
        <v>15849</v>
      </c>
      <c r="F13" s="142" t="s">
        <v>8903</v>
      </c>
      <c r="G13" s="142" t="s">
        <v>8902</v>
      </c>
      <c r="H13" s="142" t="s">
        <v>15863</v>
      </c>
      <c r="I13" s="142">
        <v>319</v>
      </c>
      <c r="J13" s="142">
        <v>160</v>
      </c>
      <c r="K13" s="142">
        <v>0</v>
      </c>
      <c r="L13" s="142">
        <v>87</v>
      </c>
      <c r="M13" s="142">
        <v>72</v>
      </c>
    </row>
    <row r="14" spans="1:13" x14ac:dyDescent="0.45">
      <c r="A14" s="142" t="s">
        <v>13012</v>
      </c>
      <c r="B14" s="142" t="s">
        <v>15337</v>
      </c>
      <c r="C14" s="142" t="s">
        <v>15847</v>
      </c>
      <c r="D14" s="142" t="s">
        <v>15848</v>
      </c>
      <c r="E14" s="142" t="s">
        <v>15849</v>
      </c>
      <c r="F14" s="142" t="s">
        <v>8903</v>
      </c>
      <c r="G14" s="142" t="s">
        <v>8902</v>
      </c>
      <c r="H14" s="142" t="s">
        <v>15864</v>
      </c>
      <c r="I14" s="142">
        <v>41</v>
      </c>
      <c r="J14" s="142">
        <v>38</v>
      </c>
      <c r="K14" s="142">
        <v>0</v>
      </c>
      <c r="L14" s="142">
        <v>0</v>
      </c>
      <c r="M14" s="142">
        <v>3</v>
      </c>
    </row>
    <row r="15" spans="1:13" x14ac:dyDescent="0.45">
      <c r="A15" s="142" t="s">
        <v>13013</v>
      </c>
      <c r="B15" s="142" t="s">
        <v>15347</v>
      </c>
      <c r="C15" s="142" t="s">
        <v>15860</v>
      </c>
      <c r="D15" s="142" t="s">
        <v>15861</v>
      </c>
      <c r="E15" s="142" t="s">
        <v>15849</v>
      </c>
      <c r="F15" s="142" t="s">
        <v>8903</v>
      </c>
      <c r="G15" s="142" t="s">
        <v>8902</v>
      </c>
      <c r="H15" s="142" t="s">
        <v>15865</v>
      </c>
      <c r="I15" s="142">
        <v>21</v>
      </c>
      <c r="J15" s="142">
        <v>21</v>
      </c>
      <c r="K15" s="142">
        <v>0</v>
      </c>
      <c r="L15" s="142">
        <v>0</v>
      </c>
      <c r="M15" s="142">
        <v>0</v>
      </c>
    </row>
    <row r="16" spans="1:13" x14ac:dyDescent="0.45">
      <c r="A16" s="142" t="s">
        <v>13014</v>
      </c>
      <c r="B16" s="142" t="s">
        <v>14505</v>
      </c>
      <c r="C16" s="142" t="s">
        <v>15847</v>
      </c>
      <c r="D16" s="142" t="s">
        <v>15848</v>
      </c>
      <c r="E16" s="142" t="s">
        <v>15849</v>
      </c>
      <c r="F16" s="142" t="s">
        <v>8903</v>
      </c>
      <c r="G16" s="142" t="s">
        <v>8902</v>
      </c>
      <c r="H16" s="142" t="s">
        <v>15866</v>
      </c>
      <c r="I16" s="142">
        <v>224</v>
      </c>
      <c r="J16" s="142">
        <v>224</v>
      </c>
      <c r="K16" s="142">
        <v>0</v>
      </c>
      <c r="L16" s="142">
        <v>0</v>
      </c>
      <c r="M16" s="142">
        <v>0</v>
      </c>
    </row>
    <row r="17" spans="1:13" x14ac:dyDescent="0.45">
      <c r="A17" s="142" t="s">
        <v>13015</v>
      </c>
      <c r="B17" s="142" t="s">
        <v>14596</v>
      </c>
      <c r="C17" s="142" t="s">
        <v>15847</v>
      </c>
      <c r="D17" s="142" t="s">
        <v>15848</v>
      </c>
      <c r="E17" s="142" t="s">
        <v>15849</v>
      </c>
      <c r="F17" s="142" t="s">
        <v>8903</v>
      </c>
      <c r="G17" s="142" t="s">
        <v>8902</v>
      </c>
      <c r="H17" s="142" t="s">
        <v>15867</v>
      </c>
      <c r="I17" s="142">
        <v>92</v>
      </c>
      <c r="J17" s="142">
        <v>75</v>
      </c>
      <c r="K17" s="142">
        <v>0</v>
      </c>
      <c r="L17" s="142">
        <v>0</v>
      </c>
      <c r="M17" s="142">
        <v>17</v>
      </c>
    </row>
    <row r="18" spans="1:13" x14ac:dyDescent="0.45">
      <c r="A18" s="142" t="s">
        <v>13016</v>
      </c>
      <c r="B18" s="142" t="s">
        <v>14535</v>
      </c>
      <c r="C18" s="142" t="s">
        <v>15860</v>
      </c>
      <c r="D18" s="142" t="s">
        <v>15861</v>
      </c>
      <c r="E18" s="142" t="s">
        <v>15849</v>
      </c>
      <c r="F18" s="142" t="s">
        <v>8903</v>
      </c>
      <c r="G18" s="142" t="s">
        <v>8902</v>
      </c>
      <c r="H18" s="142" t="s">
        <v>15868</v>
      </c>
      <c r="I18" s="142">
        <v>4</v>
      </c>
      <c r="J18" s="142">
        <v>0</v>
      </c>
      <c r="K18" s="142">
        <v>0</v>
      </c>
      <c r="L18" s="142">
        <v>4</v>
      </c>
      <c r="M18" s="142">
        <v>0</v>
      </c>
    </row>
    <row r="19" spans="1:13" x14ac:dyDescent="0.45">
      <c r="A19" s="142" t="s">
        <v>13017</v>
      </c>
      <c r="B19" s="142" t="s">
        <v>15580</v>
      </c>
      <c r="C19" s="142" t="s">
        <v>15847</v>
      </c>
      <c r="D19" s="142" t="s">
        <v>15848</v>
      </c>
      <c r="E19" s="142" t="s">
        <v>15849</v>
      </c>
      <c r="F19" s="142" t="s">
        <v>8903</v>
      </c>
      <c r="G19" s="142" t="s">
        <v>8902</v>
      </c>
      <c r="H19" s="142" t="s">
        <v>15869</v>
      </c>
      <c r="I19" s="142">
        <v>132</v>
      </c>
      <c r="J19" s="142">
        <v>120</v>
      </c>
      <c r="K19" s="142">
        <v>0</v>
      </c>
      <c r="L19" s="142">
        <v>0</v>
      </c>
      <c r="M19" s="142">
        <v>12</v>
      </c>
    </row>
    <row r="20" spans="1:13" x14ac:dyDescent="0.45">
      <c r="A20" s="142" t="s">
        <v>13019</v>
      </c>
      <c r="B20" s="142" t="s">
        <v>14457</v>
      </c>
      <c r="C20" s="142" t="s">
        <v>15860</v>
      </c>
      <c r="D20" s="142" t="s">
        <v>15861</v>
      </c>
      <c r="E20" s="142" t="s">
        <v>15849</v>
      </c>
      <c r="F20" s="142" t="s">
        <v>3126</v>
      </c>
      <c r="G20" s="142" t="s">
        <v>3125</v>
      </c>
      <c r="H20" s="142" t="s">
        <v>15870</v>
      </c>
      <c r="I20" s="142">
        <v>4</v>
      </c>
      <c r="J20" s="142">
        <v>0</v>
      </c>
      <c r="K20" s="142">
        <v>0</v>
      </c>
      <c r="L20" s="142">
        <v>4</v>
      </c>
      <c r="M20" s="142">
        <v>0</v>
      </c>
    </row>
    <row r="21" spans="1:13" x14ac:dyDescent="0.45">
      <c r="A21" s="142" t="s">
        <v>13020</v>
      </c>
      <c r="B21" s="142" t="s">
        <v>15523</v>
      </c>
      <c r="C21" s="142" t="s">
        <v>15860</v>
      </c>
      <c r="D21" s="142" t="s">
        <v>15861</v>
      </c>
      <c r="E21" s="142" t="s">
        <v>15849</v>
      </c>
      <c r="F21" s="142" t="s">
        <v>3126</v>
      </c>
      <c r="G21" s="142" t="s">
        <v>3125</v>
      </c>
      <c r="H21" s="142" t="s">
        <v>15871</v>
      </c>
      <c r="I21" s="142">
        <v>10</v>
      </c>
      <c r="J21" s="142">
        <v>0</v>
      </c>
      <c r="K21" s="142">
        <v>0</v>
      </c>
      <c r="L21" s="142">
        <v>10</v>
      </c>
      <c r="M21" s="142">
        <v>0</v>
      </c>
    </row>
    <row r="22" spans="1:13" x14ac:dyDescent="0.45">
      <c r="A22" s="142" t="s">
        <v>13021</v>
      </c>
      <c r="B22" s="142" t="s">
        <v>15501</v>
      </c>
      <c r="C22" s="142" t="s">
        <v>15847</v>
      </c>
      <c r="D22" s="142" t="s">
        <v>15848</v>
      </c>
      <c r="E22" s="142" t="s">
        <v>15849</v>
      </c>
      <c r="F22" s="142" t="s">
        <v>3126</v>
      </c>
      <c r="G22" s="142" t="s">
        <v>3125</v>
      </c>
      <c r="H22" s="142" t="s">
        <v>15872</v>
      </c>
      <c r="I22" s="142">
        <v>1</v>
      </c>
      <c r="J22" s="142">
        <v>0</v>
      </c>
      <c r="K22" s="142">
        <v>0</v>
      </c>
      <c r="L22" s="142">
        <v>0</v>
      </c>
      <c r="M22" s="142">
        <v>1</v>
      </c>
    </row>
    <row r="23" spans="1:13" x14ac:dyDescent="0.45">
      <c r="A23" s="142" t="s">
        <v>13022</v>
      </c>
      <c r="B23" s="142" t="s">
        <v>14634</v>
      </c>
      <c r="C23" s="142" t="s">
        <v>15847</v>
      </c>
      <c r="D23" s="142" t="s">
        <v>15848</v>
      </c>
      <c r="E23" s="142" t="s">
        <v>15849</v>
      </c>
      <c r="F23" s="142" t="s">
        <v>3126</v>
      </c>
      <c r="G23" s="142" t="s">
        <v>3125</v>
      </c>
      <c r="H23" s="142" t="s">
        <v>15873</v>
      </c>
      <c r="I23" s="142">
        <v>35</v>
      </c>
      <c r="J23" s="142">
        <v>34</v>
      </c>
      <c r="K23" s="142">
        <v>0</v>
      </c>
      <c r="L23" s="142">
        <v>0</v>
      </c>
      <c r="M23" s="142">
        <v>1</v>
      </c>
    </row>
    <row r="24" spans="1:13" x14ac:dyDescent="0.45">
      <c r="A24" s="142" t="s">
        <v>13023</v>
      </c>
      <c r="B24" s="142" t="s">
        <v>15571</v>
      </c>
      <c r="C24" s="142" t="s">
        <v>15847</v>
      </c>
      <c r="D24" s="142" t="s">
        <v>15848</v>
      </c>
      <c r="E24" s="142" t="s">
        <v>15849</v>
      </c>
      <c r="F24" s="142" t="s">
        <v>3126</v>
      </c>
      <c r="G24" s="142" t="s">
        <v>3125</v>
      </c>
      <c r="H24" s="142" t="s">
        <v>15874</v>
      </c>
      <c r="I24" s="142">
        <v>48</v>
      </c>
      <c r="J24" s="142">
        <v>0</v>
      </c>
      <c r="K24" s="142">
        <v>0</v>
      </c>
      <c r="L24" s="142">
        <v>48</v>
      </c>
      <c r="M24" s="142">
        <v>0</v>
      </c>
    </row>
    <row r="25" spans="1:13" x14ac:dyDescent="0.45">
      <c r="A25" s="142" t="s">
        <v>13024</v>
      </c>
      <c r="B25" s="142" t="s">
        <v>14538</v>
      </c>
      <c r="C25" s="142" t="s">
        <v>15847</v>
      </c>
      <c r="D25" s="142" t="s">
        <v>15848</v>
      </c>
      <c r="E25" s="142" t="s">
        <v>15849</v>
      </c>
      <c r="F25" s="142" t="s">
        <v>3126</v>
      </c>
      <c r="G25" s="142" t="s">
        <v>3125</v>
      </c>
      <c r="H25" s="142" t="s">
        <v>15875</v>
      </c>
      <c r="I25" s="142">
        <v>147</v>
      </c>
      <c r="J25" s="142">
        <v>108</v>
      </c>
      <c r="K25" s="142">
        <v>0</v>
      </c>
      <c r="L25" s="142">
        <v>0</v>
      </c>
      <c r="M25" s="142">
        <v>39</v>
      </c>
    </row>
    <row r="26" spans="1:13" x14ac:dyDescent="0.45">
      <c r="A26" s="142" t="s">
        <v>13025</v>
      </c>
      <c r="B26" s="142" t="s">
        <v>15579</v>
      </c>
      <c r="C26" s="142" t="s">
        <v>15847</v>
      </c>
      <c r="D26" s="142" t="s">
        <v>15848</v>
      </c>
      <c r="E26" s="142" t="s">
        <v>15849</v>
      </c>
      <c r="F26" s="142" t="s">
        <v>3126</v>
      </c>
      <c r="G26" s="142" t="s">
        <v>3125</v>
      </c>
      <c r="H26" s="142" t="s">
        <v>15876</v>
      </c>
      <c r="I26" s="142">
        <v>11</v>
      </c>
      <c r="J26" s="142">
        <v>0</v>
      </c>
      <c r="K26" s="142">
        <v>0</v>
      </c>
      <c r="L26" s="142">
        <v>11</v>
      </c>
      <c r="M26" s="142">
        <v>0</v>
      </c>
    </row>
    <row r="27" spans="1:13" x14ac:dyDescent="0.45">
      <c r="A27" s="142" t="s">
        <v>13026</v>
      </c>
      <c r="B27" s="142" t="s">
        <v>15447</v>
      </c>
      <c r="C27" s="142" t="s">
        <v>15847</v>
      </c>
      <c r="D27" s="142" t="s">
        <v>15848</v>
      </c>
      <c r="E27" s="142" t="s">
        <v>15849</v>
      </c>
      <c r="F27" s="142" t="s">
        <v>3126</v>
      </c>
      <c r="G27" s="142" t="s">
        <v>3125</v>
      </c>
      <c r="H27" s="142" t="s">
        <v>15877</v>
      </c>
      <c r="I27" s="142">
        <v>5983</v>
      </c>
      <c r="J27" s="142">
        <v>3579</v>
      </c>
      <c r="K27" s="142">
        <v>0</v>
      </c>
      <c r="L27" s="142">
        <v>2205</v>
      </c>
      <c r="M27" s="142">
        <v>199</v>
      </c>
    </row>
    <row r="28" spans="1:13" x14ac:dyDescent="0.45">
      <c r="A28" s="142" t="s">
        <v>13027</v>
      </c>
      <c r="B28" s="142" t="s">
        <v>14562</v>
      </c>
      <c r="C28" s="142" t="s">
        <v>15847</v>
      </c>
      <c r="D28" s="142" t="s">
        <v>15848</v>
      </c>
      <c r="E28" s="142" t="s">
        <v>15849</v>
      </c>
      <c r="F28" s="142" t="s">
        <v>3126</v>
      </c>
      <c r="G28" s="142" t="s">
        <v>3125</v>
      </c>
      <c r="H28" s="142" t="s">
        <v>15878</v>
      </c>
      <c r="I28" s="142">
        <v>20</v>
      </c>
      <c r="J28" s="142">
        <v>0</v>
      </c>
      <c r="K28" s="142">
        <v>0</v>
      </c>
      <c r="L28" s="142">
        <v>20</v>
      </c>
      <c r="M28" s="142">
        <v>0</v>
      </c>
    </row>
    <row r="29" spans="1:13" x14ac:dyDescent="0.45">
      <c r="A29" s="142" t="s">
        <v>13028</v>
      </c>
      <c r="B29" s="142" t="s">
        <v>14462</v>
      </c>
      <c r="C29" s="142" t="s">
        <v>15847</v>
      </c>
      <c r="D29" s="142" t="s">
        <v>15848</v>
      </c>
      <c r="E29" s="142" t="s">
        <v>15849</v>
      </c>
      <c r="F29" s="142" t="s">
        <v>3126</v>
      </c>
      <c r="G29" s="142" t="s">
        <v>3125</v>
      </c>
      <c r="H29" s="142" t="s">
        <v>15879</v>
      </c>
      <c r="I29" s="142">
        <v>5</v>
      </c>
      <c r="J29" s="142">
        <v>0</v>
      </c>
      <c r="K29" s="142">
        <v>0</v>
      </c>
      <c r="L29" s="142">
        <v>0</v>
      </c>
      <c r="M29" s="142">
        <v>5</v>
      </c>
    </row>
    <row r="30" spans="1:13" x14ac:dyDescent="0.45">
      <c r="A30" s="142" t="s">
        <v>13002</v>
      </c>
      <c r="B30" s="142" t="s">
        <v>15376</v>
      </c>
      <c r="C30" s="142" t="s">
        <v>15847</v>
      </c>
      <c r="D30" s="142" t="s">
        <v>15848</v>
      </c>
      <c r="E30" s="142" t="s">
        <v>15849</v>
      </c>
      <c r="F30" s="142" t="s">
        <v>3126</v>
      </c>
      <c r="G30" s="142" t="s">
        <v>3125</v>
      </c>
      <c r="H30" s="142" t="s">
        <v>15880</v>
      </c>
      <c r="I30" s="142">
        <v>6</v>
      </c>
      <c r="J30" s="142">
        <v>0</v>
      </c>
      <c r="K30" s="142">
        <v>0</v>
      </c>
      <c r="L30" s="142">
        <v>6</v>
      </c>
      <c r="M30" s="142">
        <v>0</v>
      </c>
    </row>
    <row r="31" spans="1:13" x14ac:dyDescent="0.45">
      <c r="A31" s="142" t="s">
        <v>13029</v>
      </c>
      <c r="B31" s="142" t="s">
        <v>14665</v>
      </c>
      <c r="C31" s="142" t="s">
        <v>15847</v>
      </c>
      <c r="D31" s="142" t="s">
        <v>15848</v>
      </c>
      <c r="E31" s="142" t="s">
        <v>15849</v>
      </c>
      <c r="F31" s="142" t="s">
        <v>3126</v>
      </c>
      <c r="G31" s="142" t="s">
        <v>3125</v>
      </c>
      <c r="H31" s="142" t="s">
        <v>15881</v>
      </c>
      <c r="I31" s="142">
        <v>10</v>
      </c>
      <c r="J31" s="142">
        <v>0</v>
      </c>
      <c r="K31" s="142">
        <v>0</v>
      </c>
      <c r="L31" s="142">
        <v>0</v>
      </c>
      <c r="M31" s="142">
        <v>10</v>
      </c>
    </row>
    <row r="32" spans="1:13" x14ac:dyDescent="0.45">
      <c r="A32" s="142" t="s">
        <v>13006</v>
      </c>
      <c r="B32" s="142" t="s">
        <v>15288</v>
      </c>
      <c r="C32" s="142" t="s">
        <v>15847</v>
      </c>
      <c r="D32" s="142" t="s">
        <v>15848</v>
      </c>
      <c r="E32" s="142" t="s">
        <v>15849</v>
      </c>
      <c r="F32" s="142" t="s">
        <v>3126</v>
      </c>
      <c r="G32" s="142" t="s">
        <v>3125</v>
      </c>
      <c r="H32" s="142" t="s">
        <v>15882</v>
      </c>
      <c r="I32" s="142">
        <v>126</v>
      </c>
      <c r="J32" s="142">
        <v>103</v>
      </c>
      <c r="K32" s="142">
        <v>0</v>
      </c>
      <c r="L32" s="142">
        <v>23</v>
      </c>
      <c r="M32" s="142">
        <v>0</v>
      </c>
    </row>
    <row r="33" spans="1:13" x14ac:dyDescent="0.45">
      <c r="A33" s="142" t="s">
        <v>13030</v>
      </c>
      <c r="B33" s="142" t="s">
        <v>14572</v>
      </c>
      <c r="C33" s="142" t="s">
        <v>15847</v>
      </c>
      <c r="D33" s="142" t="s">
        <v>15848</v>
      </c>
      <c r="E33" s="142" t="s">
        <v>15849</v>
      </c>
      <c r="F33" s="142" t="s">
        <v>3126</v>
      </c>
      <c r="G33" s="142" t="s">
        <v>3125</v>
      </c>
      <c r="H33" s="142" t="s">
        <v>15883</v>
      </c>
      <c r="I33" s="142">
        <v>403</v>
      </c>
      <c r="J33" s="142">
        <v>284</v>
      </c>
      <c r="K33" s="142">
        <v>0</v>
      </c>
      <c r="L33" s="142">
        <v>19</v>
      </c>
      <c r="M33" s="142">
        <v>100</v>
      </c>
    </row>
    <row r="34" spans="1:13" x14ac:dyDescent="0.45">
      <c r="A34" s="142" t="s">
        <v>13031</v>
      </c>
      <c r="B34" s="142" t="s">
        <v>14620</v>
      </c>
      <c r="C34" s="142" t="s">
        <v>15860</v>
      </c>
      <c r="D34" s="142" t="s">
        <v>15861</v>
      </c>
      <c r="E34" s="142" t="s">
        <v>15849</v>
      </c>
      <c r="F34" s="142" t="s">
        <v>3126</v>
      </c>
      <c r="G34" s="142" t="s">
        <v>3125</v>
      </c>
      <c r="H34" s="142" t="s">
        <v>15884</v>
      </c>
      <c r="I34" s="142">
        <v>4</v>
      </c>
      <c r="J34" s="142">
        <v>0</v>
      </c>
      <c r="K34" s="142">
        <v>0</v>
      </c>
      <c r="L34" s="142">
        <v>4</v>
      </c>
      <c r="M34" s="142">
        <v>0</v>
      </c>
    </row>
    <row r="35" spans="1:13" x14ac:dyDescent="0.45">
      <c r="A35" s="142" t="s">
        <v>13032</v>
      </c>
      <c r="B35" s="142" t="s">
        <v>14532</v>
      </c>
      <c r="C35" s="142" t="s">
        <v>15860</v>
      </c>
      <c r="D35" s="142" t="s">
        <v>15861</v>
      </c>
      <c r="E35" s="142" t="s">
        <v>15849</v>
      </c>
      <c r="F35" s="142" t="s">
        <v>3126</v>
      </c>
      <c r="G35" s="142" t="s">
        <v>3125</v>
      </c>
      <c r="H35" s="142" t="s">
        <v>15885</v>
      </c>
      <c r="I35" s="142">
        <v>6</v>
      </c>
      <c r="J35" s="142">
        <v>0</v>
      </c>
      <c r="K35" s="142">
        <v>0</v>
      </c>
      <c r="L35" s="142">
        <v>6</v>
      </c>
      <c r="M35" s="142">
        <v>0</v>
      </c>
    </row>
    <row r="36" spans="1:13" x14ac:dyDescent="0.45">
      <c r="A36" s="142" t="s">
        <v>13033</v>
      </c>
      <c r="B36" s="142" t="s">
        <v>15276</v>
      </c>
      <c r="C36" s="142" t="s">
        <v>15847</v>
      </c>
      <c r="D36" s="142" t="s">
        <v>15848</v>
      </c>
      <c r="E36" s="142" t="s">
        <v>15849</v>
      </c>
      <c r="F36" s="142" t="s">
        <v>3126</v>
      </c>
      <c r="G36" s="142" t="s">
        <v>3125</v>
      </c>
      <c r="H36" s="142" t="s">
        <v>15886</v>
      </c>
      <c r="I36" s="142">
        <v>35</v>
      </c>
      <c r="J36" s="142">
        <v>33</v>
      </c>
      <c r="K36" s="142">
        <v>0</v>
      </c>
      <c r="L36" s="142">
        <v>0</v>
      </c>
      <c r="M36" s="142">
        <v>2</v>
      </c>
    </row>
    <row r="37" spans="1:13" x14ac:dyDescent="0.45">
      <c r="A37" s="142" t="s">
        <v>13034</v>
      </c>
      <c r="B37" s="142" t="s">
        <v>15562</v>
      </c>
      <c r="C37" s="142" t="s">
        <v>15847</v>
      </c>
      <c r="D37" s="142" t="s">
        <v>15848</v>
      </c>
      <c r="E37" s="142" t="s">
        <v>15849</v>
      </c>
      <c r="F37" s="142" t="s">
        <v>3126</v>
      </c>
      <c r="G37" s="142" t="s">
        <v>3125</v>
      </c>
      <c r="H37" s="142" t="s">
        <v>15887</v>
      </c>
      <c r="I37" s="142">
        <v>589</v>
      </c>
      <c r="J37" s="142">
        <v>471</v>
      </c>
      <c r="K37" s="142">
        <v>0</v>
      </c>
      <c r="L37" s="142">
        <v>90</v>
      </c>
      <c r="M37" s="142">
        <v>28</v>
      </c>
    </row>
    <row r="38" spans="1:13" x14ac:dyDescent="0.45">
      <c r="A38" s="142" t="s">
        <v>13035</v>
      </c>
      <c r="B38" s="142" t="s">
        <v>14648</v>
      </c>
      <c r="C38" s="142" t="s">
        <v>15847</v>
      </c>
      <c r="D38" s="142" t="s">
        <v>15848</v>
      </c>
      <c r="E38" s="142" t="s">
        <v>15849</v>
      </c>
      <c r="F38" s="142" t="s">
        <v>3126</v>
      </c>
      <c r="G38" s="142" t="s">
        <v>3125</v>
      </c>
      <c r="H38" s="142" t="s">
        <v>15888</v>
      </c>
      <c r="I38" s="142">
        <v>75</v>
      </c>
      <c r="J38" s="142">
        <v>64</v>
      </c>
      <c r="K38" s="142">
        <v>0</v>
      </c>
      <c r="L38" s="142">
        <v>0</v>
      </c>
      <c r="M38" s="142">
        <v>11</v>
      </c>
    </row>
    <row r="39" spans="1:13" x14ac:dyDescent="0.45">
      <c r="A39" s="142" t="s">
        <v>13036</v>
      </c>
      <c r="B39" s="142" t="s">
        <v>15567</v>
      </c>
      <c r="C39" s="142" t="s">
        <v>15847</v>
      </c>
      <c r="D39" s="142" t="s">
        <v>15848</v>
      </c>
      <c r="E39" s="142" t="s">
        <v>15849</v>
      </c>
      <c r="F39" s="142" t="s">
        <v>3126</v>
      </c>
      <c r="G39" s="142" t="s">
        <v>3125</v>
      </c>
      <c r="H39" s="142" t="s">
        <v>15889</v>
      </c>
      <c r="I39" s="142">
        <v>10</v>
      </c>
      <c r="J39" s="142">
        <v>0</v>
      </c>
      <c r="K39" s="142">
        <v>0</v>
      </c>
      <c r="L39" s="142">
        <v>10</v>
      </c>
      <c r="M39" s="142">
        <v>0</v>
      </c>
    </row>
    <row r="40" spans="1:13" x14ac:dyDescent="0.45">
      <c r="A40" s="142" t="s">
        <v>13037</v>
      </c>
      <c r="B40" s="142" t="s">
        <v>14519</v>
      </c>
      <c r="C40" s="142" t="s">
        <v>15847</v>
      </c>
      <c r="D40" s="142" t="s">
        <v>15848</v>
      </c>
      <c r="E40" s="142" t="s">
        <v>15849</v>
      </c>
      <c r="F40" s="142" t="s">
        <v>3126</v>
      </c>
      <c r="G40" s="142" t="s">
        <v>3125</v>
      </c>
      <c r="H40" s="142" t="s">
        <v>15890</v>
      </c>
      <c r="I40" s="142">
        <v>3</v>
      </c>
      <c r="J40" s="142">
        <v>0</v>
      </c>
      <c r="K40" s="142">
        <v>0</v>
      </c>
      <c r="L40" s="142">
        <v>3</v>
      </c>
      <c r="M40" s="142">
        <v>0</v>
      </c>
    </row>
    <row r="41" spans="1:13" x14ac:dyDescent="0.45">
      <c r="A41" s="142" t="s">
        <v>13038</v>
      </c>
      <c r="B41" s="142" t="s">
        <v>14646</v>
      </c>
      <c r="C41" s="142" t="s">
        <v>15847</v>
      </c>
      <c r="D41" s="142" t="s">
        <v>15848</v>
      </c>
      <c r="E41" s="142" t="s">
        <v>15849</v>
      </c>
      <c r="F41" s="142" t="s">
        <v>3126</v>
      </c>
      <c r="G41" s="142" t="s">
        <v>3125</v>
      </c>
      <c r="H41" s="142" t="s">
        <v>15891</v>
      </c>
      <c r="I41" s="142">
        <v>21</v>
      </c>
      <c r="J41" s="142">
        <v>11</v>
      </c>
      <c r="K41" s="142">
        <v>0</v>
      </c>
      <c r="L41" s="142">
        <v>0</v>
      </c>
      <c r="M41" s="142">
        <v>10</v>
      </c>
    </row>
    <row r="42" spans="1:13" x14ac:dyDescent="0.45">
      <c r="A42" s="142" t="s">
        <v>13039</v>
      </c>
      <c r="B42" s="142" t="s">
        <v>14647</v>
      </c>
      <c r="C42" s="142" t="s">
        <v>15847</v>
      </c>
      <c r="D42" s="142" t="s">
        <v>15848</v>
      </c>
      <c r="E42" s="142" t="s">
        <v>15849</v>
      </c>
      <c r="F42" s="142" t="s">
        <v>3126</v>
      </c>
      <c r="G42" s="142" t="s">
        <v>3125</v>
      </c>
      <c r="H42" s="142" t="s">
        <v>15892</v>
      </c>
      <c r="I42" s="142">
        <v>17</v>
      </c>
      <c r="J42" s="142">
        <v>17</v>
      </c>
      <c r="K42" s="142">
        <v>0</v>
      </c>
      <c r="L42" s="142">
        <v>0</v>
      </c>
      <c r="M42" s="142">
        <v>0</v>
      </c>
    </row>
    <row r="43" spans="1:13" x14ac:dyDescent="0.45">
      <c r="A43" s="142" t="s">
        <v>13040</v>
      </c>
      <c r="B43" s="142" t="s">
        <v>14752</v>
      </c>
      <c r="C43" s="142" t="s">
        <v>15860</v>
      </c>
      <c r="D43" s="142" t="s">
        <v>15861</v>
      </c>
      <c r="E43" s="142" t="s">
        <v>15849</v>
      </c>
      <c r="F43" s="142" t="s">
        <v>3126</v>
      </c>
      <c r="G43" s="142" t="s">
        <v>3125</v>
      </c>
      <c r="H43" s="142" t="s">
        <v>15893</v>
      </c>
      <c r="I43" s="142">
        <v>8</v>
      </c>
      <c r="J43" s="142">
        <v>0</v>
      </c>
      <c r="K43" s="142">
        <v>0</v>
      </c>
      <c r="L43" s="142">
        <v>8</v>
      </c>
      <c r="M43" s="142">
        <v>0</v>
      </c>
    </row>
    <row r="44" spans="1:13" x14ac:dyDescent="0.45">
      <c r="A44" s="142" t="s">
        <v>13041</v>
      </c>
      <c r="B44" s="142" t="s">
        <v>14441</v>
      </c>
      <c r="C44" s="142" t="s">
        <v>15847</v>
      </c>
      <c r="D44" s="142" t="s">
        <v>15848</v>
      </c>
      <c r="E44" s="142" t="s">
        <v>15849</v>
      </c>
      <c r="F44" s="142" t="s">
        <v>3126</v>
      </c>
      <c r="G44" s="142" t="s">
        <v>3125</v>
      </c>
      <c r="H44" s="142" t="s">
        <v>15894</v>
      </c>
      <c r="I44" s="142">
        <v>2</v>
      </c>
      <c r="J44" s="142">
        <v>0</v>
      </c>
      <c r="K44" s="142">
        <v>0</v>
      </c>
      <c r="L44" s="142">
        <v>0</v>
      </c>
      <c r="M44" s="142">
        <v>2</v>
      </c>
    </row>
    <row r="45" spans="1:13" x14ac:dyDescent="0.45">
      <c r="A45" s="142" t="s">
        <v>13012</v>
      </c>
      <c r="B45" s="142" t="s">
        <v>15337</v>
      </c>
      <c r="C45" s="142" t="s">
        <v>15847</v>
      </c>
      <c r="D45" s="142" t="s">
        <v>15848</v>
      </c>
      <c r="E45" s="142" t="s">
        <v>15849</v>
      </c>
      <c r="F45" s="142" t="s">
        <v>3126</v>
      </c>
      <c r="G45" s="142" t="s">
        <v>3125</v>
      </c>
      <c r="H45" s="142" t="s">
        <v>15895</v>
      </c>
      <c r="I45" s="142">
        <v>9</v>
      </c>
      <c r="J45" s="142">
        <v>9</v>
      </c>
      <c r="K45" s="142">
        <v>0</v>
      </c>
      <c r="L45" s="142">
        <v>0</v>
      </c>
      <c r="M45" s="142">
        <v>0</v>
      </c>
    </row>
    <row r="46" spans="1:13" x14ac:dyDescent="0.45">
      <c r="A46" s="142" t="s">
        <v>13014</v>
      </c>
      <c r="B46" s="142" t="s">
        <v>14505</v>
      </c>
      <c r="C46" s="142" t="s">
        <v>15847</v>
      </c>
      <c r="D46" s="142" t="s">
        <v>15848</v>
      </c>
      <c r="E46" s="142" t="s">
        <v>15849</v>
      </c>
      <c r="F46" s="142" t="s">
        <v>3126</v>
      </c>
      <c r="G46" s="142" t="s">
        <v>3125</v>
      </c>
      <c r="H46" s="142" t="s">
        <v>15896</v>
      </c>
      <c r="I46" s="142">
        <v>425</v>
      </c>
      <c r="J46" s="142">
        <v>329</v>
      </c>
      <c r="K46" s="142">
        <v>0</v>
      </c>
      <c r="L46" s="142">
        <v>95</v>
      </c>
      <c r="M46" s="142">
        <v>1</v>
      </c>
    </row>
    <row r="47" spans="1:13" x14ac:dyDescent="0.45">
      <c r="A47" s="142" t="s">
        <v>13042</v>
      </c>
      <c r="B47" s="142" t="s">
        <v>15489</v>
      </c>
      <c r="C47" s="142" t="s">
        <v>15847</v>
      </c>
      <c r="D47" s="142" t="s">
        <v>15848</v>
      </c>
      <c r="E47" s="142" t="s">
        <v>15849</v>
      </c>
      <c r="F47" s="142" t="s">
        <v>3126</v>
      </c>
      <c r="G47" s="142" t="s">
        <v>3125</v>
      </c>
      <c r="H47" s="142" t="s">
        <v>15897</v>
      </c>
      <c r="I47" s="142">
        <v>46</v>
      </c>
      <c r="J47" s="142">
        <v>21</v>
      </c>
      <c r="K47" s="142">
        <v>0</v>
      </c>
      <c r="L47" s="142">
        <v>25</v>
      </c>
      <c r="M47" s="142">
        <v>0</v>
      </c>
    </row>
    <row r="48" spans="1:13" x14ac:dyDescent="0.45">
      <c r="A48" s="142" t="s">
        <v>13043</v>
      </c>
      <c r="B48" s="142" t="s">
        <v>14857</v>
      </c>
      <c r="C48" s="142" t="s">
        <v>15860</v>
      </c>
      <c r="D48" s="142" t="s">
        <v>15861</v>
      </c>
      <c r="E48" s="142" t="s">
        <v>15849</v>
      </c>
      <c r="F48" s="142" t="s">
        <v>3126</v>
      </c>
      <c r="G48" s="142" t="s">
        <v>3125</v>
      </c>
      <c r="H48" s="142" t="s">
        <v>15898</v>
      </c>
      <c r="I48" s="142">
        <v>6</v>
      </c>
      <c r="J48" s="142">
        <v>6</v>
      </c>
      <c r="K48" s="142">
        <v>0</v>
      </c>
      <c r="L48" s="142">
        <v>0</v>
      </c>
      <c r="M48" s="142">
        <v>0</v>
      </c>
    </row>
    <row r="49" spans="1:13" x14ac:dyDescent="0.45">
      <c r="A49" s="142" t="s">
        <v>13044</v>
      </c>
      <c r="B49" s="142" t="s">
        <v>15221</v>
      </c>
      <c r="C49" s="142" t="s">
        <v>15860</v>
      </c>
      <c r="D49" s="142" t="s">
        <v>15861</v>
      </c>
      <c r="E49" s="142" t="s">
        <v>15849</v>
      </c>
      <c r="F49" s="142" t="s">
        <v>3126</v>
      </c>
      <c r="G49" s="142" t="s">
        <v>3125</v>
      </c>
      <c r="H49" s="142" t="s">
        <v>15899</v>
      </c>
      <c r="I49" s="142">
        <v>19</v>
      </c>
      <c r="J49" s="142">
        <v>0</v>
      </c>
      <c r="K49" s="142">
        <v>0</v>
      </c>
      <c r="L49" s="142">
        <v>19</v>
      </c>
      <c r="M49" s="142">
        <v>0</v>
      </c>
    </row>
    <row r="50" spans="1:13" x14ac:dyDescent="0.45">
      <c r="A50" s="142" t="s">
        <v>13046</v>
      </c>
      <c r="B50" s="142" t="s">
        <v>15537</v>
      </c>
      <c r="C50" s="142" t="s">
        <v>15860</v>
      </c>
      <c r="D50" s="142" t="s">
        <v>15861</v>
      </c>
      <c r="E50" s="142" t="s">
        <v>15849</v>
      </c>
      <c r="F50" s="142" t="s">
        <v>8945</v>
      </c>
      <c r="G50" s="142" t="s">
        <v>8944</v>
      </c>
      <c r="H50" s="142" t="s">
        <v>15900</v>
      </c>
      <c r="I50" s="142">
        <v>6</v>
      </c>
      <c r="J50" s="142">
        <v>0</v>
      </c>
      <c r="K50" s="142">
        <v>0</v>
      </c>
      <c r="L50" s="142">
        <v>6</v>
      </c>
      <c r="M50" s="142">
        <v>0</v>
      </c>
    </row>
    <row r="51" spans="1:13" x14ac:dyDescent="0.45">
      <c r="A51" s="142" t="s">
        <v>13023</v>
      </c>
      <c r="B51" s="142" t="s">
        <v>15571</v>
      </c>
      <c r="C51" s="142" t="s">
        <v>15847</v>
      </c>
      <c r="D51" s="142" t="s">
        <v>15848</v>
      </c>
      <c r="E51" s="142" t="s">
        <v>15849</v>
      </c>
      <c r="F51" s="142" t="s">
        <v>8945</v>
      </c>
      <c r="G51" s="142" t="s">
        <v>8944</v>
      </c>
      <c r="H51" s="142" t="s">
        <v>15901</v>
      </c>
      <c r="I51" s="142">
        <v>33</v>
      </c>
      <c r="J51" s="142">
        <v>0</v>
      </c>
      <c r="K51" s="142">
        <v>0</v>
      </c>
      <c r="L51" s="142">
        <v>33</v>
      </c>
      <c r="M51" s="142">
        <v>0</v>
      </c>
    </row>
    <row r="52" spans="1:13" x14ac:dyDescent="0.45">
      <c r="A52" s="142" t="s">
        <v>13047</v>
      </c>
      <c r="B52" s="142" t="s">
        <v>14616</v>
      </c>
      <c r="C52" s="142" t="s">
        <v>15847</v>
      </c>
      <c r="D52" s="142" t="s">
        <v>15848</v>
      </c>
      <c r="E52" s="142" t="s">
        <v>15849</v>
      </c>
      <c r="F52" s="142" t="s">
        <v>8945</v>
      </c>
      <c r="G52" s="142" t="s">
        <v>8944</v>
      </c>
      <c r="H52" s="142" t="s">
        <v>15902</v>
      </c>
      <c r="I52" s="142">
        <v>48</v>
      </c>
      <c r="J52" s="142">
        <v>6</v>
      </c>
      <c r="K52" s="142">
        <v>0</v>
      </c>
      <c r="L52" s="142">
        <v>0</v>
      </c>
      <c r="M52" s="142">
        <v>42</v>
      </c>
    </row>
    <row r="53" spans="1:13" x14ac:dyDescent="0.45">
      <c r="A53" s="142" t="s">
        <v>13048</v>
      </c>
      <c r="B53" s="142" t="s">
        <v>14479</v>
      </c>
      <c r="C53" s="142" t="s">
        <v>15847</v>
      </c>
      <c r="D53" s="142" t="s">
        <v>15848</v>
      </c>
      <c r="E53" s="142" t="s">
        <v>15849</v>
      </c>
      <c r="F53" s="142" t="s">
        <v>8945</v>
      </c>
      <c r="G53" s="142" t="s">
        <v>8944</v>
      </c>
      <c r="H53" s="142" t="s">
        <v>15903</v>
      </c>
      <c r="I53" s="142">
        <v>78</v>
      </c>
      <c r="J53" s="142">
        <v>40</v>
      </c>
      <c r="K53" s="142">
        <v>0</v>
      </c>
      <c r="L53" s="142">
        <v>0</v>
      </c>
      <c r="M53" s="142">
        <v>38</v>
      </c>
    </row>
    <row r="54" spans="1:13" x14ac:dyDescent="0.45">
      <c r="A54" s="142" t="s">
        <v>13000</v>
      </c>
      <c r="B54" s="142" t="s">
        <v>14610</v>
      </c>
      <c r="C54" s="142" t="s">
        <v>15847</v>
      </c>
      <c r="D54" s="142" t="s">
        <v>15848</v>
      </c>
      <c r="E54" s="142" t="s">
        <v>15849</v>
      </c>
      <c r="F54" s="142" t="s">
        <v>8945</v>
      </c>
      <c r="G54" s="142" t="s">
        <v>8944</v>
      </c>
      <c r="H54" s="142" t="s">
        <v>15904</v>
      </c>
      <c r="I54" s="142">
        <v>537</v>
      </c>
      <c r="J54" s="142">
        <v>348</v>
      </c>
      <c r="K54" s="142">
        <v>0</v>
      </c>
      <c r="L54" s="142">
        <v>42</v>
      </c>
      <c r="M54" s="142">
        <v>147</v>
      </c>
    </row>
    <row r="55" spans="1:13" x14ac:dyDescent="0.45">
      <c r="A55" s="142" t="s">
        <v>13049</v>
      </c>
      <c r="B55" s="142" t="s">
        <v>14534</v>
      </c>
      <c r="C55" s="142" t="s">
        <v>15860</v>
      </c>
      <c r="D55" s="142" t="s">
        <v>15861</v>
      </c>
      <c r="E55" s="142" t="s">
        <v>15849</v>
      </c>
      <c r="F55" s="142" t="s">
        <v>8945</v>
      </c>
      <c r="G55" s="142" t="s">
        <v>8944</v>
      </c>
      <c r="H55" s="142" t="s">
        <v>15905</v>
      </c>
      <c r="I55" s="142">
        <v>6</v>
      </c>
      <c r="J55" s="142">
        <v>0</v>
      </c>
      <c r="K55" s="142">
        <v>0</v>
      </c>
      <c r="L55" s="142">
        <v>6</v>
      </c>
      <c r="M55" s="142">
        <v>0</v>
      </c>
    </row>
    <row r="56" spans="1:13" x14ac:dyDescent="0.45">
      <c r="A56" s="142" t="s">
        <v>13027</v>
      </c>
      <c r="B56" s="142" t="s">
        <v>14562</v>
      </c>
      <c r="C56" s="142" t="s">
        <v>15847</v>
      </c>
      <c r="D56" s="142" t="s">
        <v>15848</v>
      </c>
      <c r="E56" s="142" t="s">
        <v>15849</v>
      </c>
      <c r="F56" s="142" t="s">
        <v>8945</v>
      </c>
      <c r="G56" s="142" t="s">
        <v>8944</v>
      </c>
      <c r="H56" s="142" t="s">
        <v>15906</v>
      </c>
      <c r="I56" s="142">
        <v>6</v>
      </c>
      <c r="J56" s="142">
        <v>0</v>
      </c>
      <c r="K56" s="142">
        <v>0</v>
      </c>
      <c r="L56" s="142">
        <v>6</v>
      </c>
      <c r="M56" s="142">
        <v>0</v>
      </c>
    </row>
    <row r="57" spans="1:13" x14ac:dyDescent="0.45">
      <c r="A57" s="142" t="s">
        <v>13050</v>
      </c>
      <c r="B57" s="142" t="s">
        <v>15237</v>
      </c>
      <c r="C57" s="142" t="s">
        <v>15847</v>
      </c>
      <c r="D57" s="142" t="s">
        <v>15848</v>
      </c>
      <c r="E57" s="142" t="s">
        <v>15849</v>
      </c>
      <c r="F57" s="142" t="s">
        <v>8945</v>
      </c>
      <c r="G57" s="142" t="s">
        <v>8944</v>
      </c>
      <c r="H57" s="142" t="s">
        <v>15907</v>
      </c>
      <c r="I57" s="142">
        <v>38</v>
      </c>
      <c r="J57" s="142">
        <v>38</v>
      </c>
      <c r="K57" s="142">
        <v>0</v>
      </c>
      <c r="L57" s="142">
        <v>0</v>
      </c>
      <c r="M57" s="142">
        <v>0</v>
      </c>
    </row>
    <row r="58" spans="1:13" x14ac:dyDescent="0.45">
      <c r="A58" s="142" t="s">
        <v>13028</v>
      </c>
      <c r="B58" s="142" t="s">
        <v>14462</v>
      </c>
      <c r="C58" s="142" t="s">
        <v>15847</v>
      </c>
      <c r="D58" s="142" t="s">
        <v>15848</v>
      </c>
      <c r="E58" s="142" t="s">
        <v>15849</v>
      </c>
      <c r="F58" s="142" t="s">
        <v>8945</v>
      </c>
      <c r="G58" s="142" t="s">
        <v>8944</v>
      </c>
      <c r="H58" s="142" t="s">
        <v>15908</v>
      </c>
      <c r="I58" s="142">
        <v>33</v>
      </c>
      <c r="J58" s="142">
        <v>0</v>
      </c>
      <c r="K58" s="142">
        <v>0</v>
      </c>
      <c r="L58" s="142">
        <v>0</v>
      </c>
      <c r="M58" s="142">
        <v>33</v>
      </c>
    </row>
    <row r="59" spans="1:13" x14ac:dyDescent="0.45">
      <c r="A59" s="142" t="s">
        <v>13002</v>
      </c>
      <c r="B59" s="142" t="s">
        <v>15376</v>
      </c>
      <c r="C59" s="142" t="s">
        <v>15847</v>
      </c>
      <c r="D59" s="142" t="s">
        <v>15848</v>
      </c>
      <c r="E59" s="142" t="s">
        <v>15849</v>
      </c>
      <c r="F59" s="142" t="s">
        <v>8945</v>
      </c>
      <c r="G59" s="142" t="s">
        <v>8944</v>
      </c>
      <c r="H59" s="142" t="s">
        <v>15909</v>
      </c>
      <c r="I59" s="142">
        <v>141</v>
      </c>
      <c r="J59" s="142">
        <v>90</v>
      </c>
      <c r="K59" s="142">
        <v>0</v>
      </c>
      <c r="L59" s="142">
        <v>27</v>
      </c>
      <c r="M59" s="142">
        <v>24</v>
      </c>
    </row>
    <row r="60" spans="1:13" x14ac:dyDescent="0.45">
      <c r="A60" s="142" t="s">
        <v>13003</v>
      </c>
      <c r="B60" s="142" t="s">
        <v>15245</v>
      </c>
      <c r="C60" s="142" t="s">
        <v>15847</v>
      </c>
      <c r="D60" s="142" t="s">
        <v>15848</v>
      </c>
      <c r="E60" s="142" t="s">
        <v>15849</v>
      </c>
      <c r="F60" s="142" t="s">
        <v>8945</v>
      </c>
      <c r="G60" s="142" t="s">
        <v>8944</v>
      </c>
      <c r="H60" s="142" t="s">
        <v>15910</v>
      </c>
      <c r="I60" s="142">
        <v>60</v>
      </c>
      <c r="J60" s="142">
        <v>0</v>
      </c>
      <c r="K60" s="142">
        <v>0</v>
      </c>
      <c r="L60" s="142">
        <v>36</v>
      </c>
      <c r="M60" s="142">
        <v>24</v>
      </c>
    </row>
    <row r="61" spans="1:13" x14ac:dyDescent="0.45">
      <c r="A61" s="142" t="s">
        <v>13004</v>
      </c>
      <c r="B61" s="142" t="s">
        <v>15492</v>
      </c>
      <c r="C61" s="142" t="s">
        <v>15847</v>
      </c>
      <c r="D61" s="142" t="s">
        <v>15848</v>
      </c>
      <c r="E61" s="142" t="s">
        <v>15849</v>
      </c>
      <c r="F61" s="142" t="s">
        <v>8945</v>
      </c>
      <c r="G61" s="142" t="s">
        <v>8944</v>
      </c>
      <c r="H61" s="142" t="s">
        <v>15911</v>
      </c>
      <c r="I61" s="142">
        <v>480</v>
      </c>
      <c r="J61" s="142">
        <v>354</v>
      </c>
      <c r="K61" s="142">
        <v>1</v>
      </c>
      <c r="L61" s="142">
        <v>3</v>
      </c>
      <c r="M61" s="142">
        <v>122</v>
      </c>
    </row>
    <row r="62" spans="1:13" x14ac:dyDescent="0.45">
      <c r="A62" s="142" t="s">
        <v>13051</v>
      </c>
      <c r="B62" s="142" t="s">
        <v>14509</v>
      </c>
      <c r="C62" s="142" t="s">
        <v>15860</v>
      </c>
      <c r="D62" s="142" t="s">
        <v>15861</v>
      </c>
      <c r="E62" s="142" t="s">
        <v>15849</v>
      </c>
      <c r="F62" s="142" t="s">
        <v>8945</v>
      </c>
      <c r="G62" s="142" t="s">
        <v>8944</v>
      </c>
      <c r="H62" s="142" t="s">
        <v>15912</v>
      </c>
      <c r="I62" s="142">
        <v>4</v>
      </c>
      <c r="J62" s="142">
        <v>0</v>
      </c>
      <c r="K62" s="142">
        <v>0</v>
      </c>
      <c r="L62" s="142">
        <v>4</v>
      </c>
      <c r="M62" s="142">
        <v>0</v>
      </c>
    </row>
    <row r="63" spans="1:13" x14ac:dyDescent="0.45">
      <c r="A63" s="142" t="s">
        <v>13052</v>
      </c>
      <c r="B63" s="142" t="s">
        <v>15318</v>
      </c>
      <c r="C63" s="142" t="s">
        <v>15860</v>
      </c>
      <c r="D63" s="142" t="s">
        <v>15861</v>
      </c>
      <c r="E63" s="142" t="s">
        <v>15849</v>
      </c>
      <c r="F63" s="142" t="s">
        <v>8945</v>
      </c>
      <c r="G63" s="142" t="s">
        <v>8944</v>
      </c>
      <c r="H63" s="142" t="s">
        <v>15913</v>
      </c>
      <c r="I63" s="142">
        <v>93</v>
      </c>
      <c r="J63" s="142">
        <v>2</v>
      </c>
      <c r="K63" s="142">
        <v>0</v>
      </c>
      <c r="L63" s="142">
        <v>91</v>
      </c>
      <c r="M63" s="142">
        <v>0</v>
      </c>
    </row>
    <row r="64" spans="1:13" x14ac:dyDescent="0.45">
      <c r="A64" s="142" t="s">
        <v>13005</v>
      </c>
      <c r="B64" s="142" t="s">
        <v>15475</v>
      </c>
      <c r="C64" s="142" t="s">
        <v>15847</v>
      </c>
      <c r="D64" s="142" t="s">
        <v>15848</v>
      </c>
      <c r="E64" s="142" t="s">
        <v>15849</v>
      </c>
      <c r="F64" s="142" t="s">
        <v>8945</v>
      </c>
      <c r="G64" s="142" t="s">
        <v>8944</v>
      </c>
      <c r="H64" s="142" t="s">
        <v>15914</v>
      </c>
      <c r="I64" s="142">
        <v>2</v>
      </c>
      <c r="J64" s="142">
        <v>0</v>
      </c>
      <c r="K64" s="142">
        <v>0</v>
      </c>
      <c r="L64" s="142">
        <v>0</v>
      </c>
      <c r="M64" s="142">
        <v>2</v>
      </c>
    </row>
    <row r="65" spans="1:13" x14ac:dyDescent="0.45">
      <c r="A65" s="142" t="s">
        <v>13029</v>
      </c>
      <c r="B65" s="142" t="s">
        <v>14665</v>
      </c>
      <c r="C65" s="142" t="s">
        <v>15847</v>
      </c>
      <c r="D65" s="142" t="s">
        <v>15848</v>
      </c>
      <c r="E65" s="142" t="s">
        <v>15849</v>
      </c>
      <c r="F65" s="142" t="s">
        <v>8945</v>
      </c>
      <c r="G65" s="142" t="s">
        <v>8944</v>
      </c>
      <c r="H65" s="142" t="s">
        <v>15915</v>
      </c>
      <c r="I65" s="142">
        <v>39</v>
      </c>
      <c r="J65" s="142">
        <v>0</v>
      </c>
      <c r="K65" s="142">
        <v>0</v>
      </c>
      <c r="L65" s="142">
        <v>0</v>
      </c>
      <c r="M65" s="142">
        <v>39</v>
      </c>
    </row>
    <row r="66" spans="1:13" x14ac:dyDescent="0.45">
      <c r="A66" s="142" t="s">
        <v>13053</v>
      </c>
      <c r="B66" s="142" t="s">
        <v>15436</v>
      </c>
      <c r="C66" s="142" t="s">
        <v>15847</v>
      </c>
      <c r="D66" s="142" t="s">
        <v>15848</v>
      </c>
      <c r="E66" s="142" t="s">
        <v>15849</v>
      </c>
      <c r="F66" s="142" t="s">
        <v>8945</v>
      </c>
      <c r="G66" s="142" t="s">
        <v>8944</v>
      </c>
      <c r="H66" s="142" t="s">
        <v>15916</v>
      </c>
      <c r="I66" s="142">
        <v>117</v>
      </c>
      <c r="J66" s="142">
        <v>81</v>
      </c>
      <c r="K66" s="142">
        <v>0</v>
      </c>
      <c r="L66" s="142">
        <v>32</v>
      </c>
      <c r="M66" s="142">
        <v>4</v>
      </c>
    </row>
    <row r="67" spans="1:13" x14ac:dyDescent="0.45">
      <c r="A67" s="142" t="s">
        <v>13007</v>
      </c>
      <c r="B67" s="142" t="s">
        <v>15262</v>
      </c>
      <c r="C67" s="142" t="s">
        <v>15847</v>
      </c>
      <c r="D67" s="142" t="s">
        <v>15848</v>
      </c>
      <c r="E67" s="142" t="s">
        <v>15849</v>
      </c>
      <c r="F67" s="142" t="s">
        <v>8945</v>
      </c>
      <c r="G67" s="142" t="s">
        <v>8944</v>
      </c>
      <c r="H67" s="142" t="s">
        <v>15917</v>
      </c>
      <c r="I67" s="142">
        <v>1</v>
      </c>
      <c r="J67" s="142">
        <v>0</v>
      </c>
      <c r="K67" s="142">
        <v>0</v>
      </c>
      <c r="L67" s="142">
        <v>0</v>
      </c>
      <c r="M67" s="142">
        <v>1</v>
      </c>
    </row>
    <row r="68" spans="1:13" x14ac:dyDescent="0.45">
      <c r="A68" s="142" t="s">
        <v>13054</v>
      </c>
      <c r="B68" s="142" t="s">
        <v>15604</v>
      </c>
      <c r="C68" s="142" t="s">
        <v>15847</v>
      </c>
      <c r="D68" s="142" t="s">
        <v>15848</v>
      </c>
      <c r="E68" s="142" t="s">
        <v>15849</v>
      </c>
      <c r="F68" s="142" t="s">
        <v>8945</v>
      </c>
      <c r="G68" s="142" t="s">
        <v>8944</v>
      </c>
      <c r="H68" s="142" t="s">
        <v>15918</v>
      </c>
      <c r="I68" s="142">
        <v>1</v>
      </c>
      <c r="J68" s="142">
        <v>0</v>
      </c>
      <c r="K68" s="142">
        <v>0</v>
      </c>
      <c r="L68" s="142">
        <v>0</v>
      </c>
      <c r="M68" s="142">
        <v>1</v>
      </c>
    </row>
    <row r="69" spans="1:13" x14ac:dyDescent="0.45">
      <c r="A69" s="142" t="s">
        <v>13055</v>
      </c>
      <c r="B69" s="142" t="s">
        <v>14595</v>
      </c>
      <c r="C69" s="142" t="s">
        <v>15847</v>
      </c>
      <c r="D69" s="142" t="s">
        <v>15848</v>
      </c>
      <c r="E69" s="142" t="s">
        <v>15849</v>
      </c>
      <c r="F69" s="142" t="s">
        <v>8945</v>
      </c>
      <c r="G69" s="142" t="s">
        <v>8944</v>
      </c>
      <c r="H69" s="142" t="s">
        <v>15919</v>
      </c>
      <c r="I69" s="142">
        <v>18</v>
      </c>
      <c r="J69" s="142">
        <v>11</v>
      </c>
      <c r="K69" s="142">
        <v>0</v>
      </c>
      <c r="L69" s="142">
        <v>0</v>
      </c>
      <c r="M69" s="142">
        <v>7</v>
      </c>
    </row>
    <row r="70" spans="1:13" x14ac:dyDescent="0.45">
      <c r="A70" s="142" t="s">
        <v>13033</v>
      </c>
      <c r="B70" s="142" t="s">
        <v>15276</v>
      </c>
      <c r="C70" s="142" t="s">
        <v>15847</v>
      </c>
      <c r="D70" s="142" t="s">
        <v>15848</v>
      </c>
      <c r="E70" s="142" t="s">
        <v>15849</v>
      </c>
      <c r="F70" s="142" t="s">
        <v>8945</v>
      </c>
      <c r="G70" s="142" t="s">
        <v>8944</v>
      </c>
      <c r="H70" s="142" t="s">
        <v>15920</v>
      </c>
      <c r="I70" s="142">
        <v>409</v>
      </c>
      <c r="J70" s="142">
        <v>405</v>
      </c>
      <c r="K70" s="142">
        <v>0</v>
      </c>
      <c r="L70" s="142">
        <v>0</v>
      </c>
      <c r="M70" s="142">
        <v>4</v>
      </c>
    </row>
    <row r="71" spans="1:13" x14ac:dyDescent="0.45">
      <c r="A71" s="142" t="s">
        <v>13038</v>
      </c>
      <c r="B71" s="142" t="s">
        <v>14646</v>
      </c>
      <c r="C71" s="142" t="s">
        <v>15847</v>
      </c>
      <c r="D71" s="142" t="s">
        <v>15848</v>
      </c>
      <c r="E71" s="142" t="s">
        <v>15849</v>
      </c>
      <c r="F71" s="142" t="s">
        <v>8945</v>
      </c>
      <c r="G71" s="142" t="s">
        <v>8944</v>
      </c>
      <c r="H71" s="142" t="s">
        <v>15921</v>
      </c>
      <c r="I71" s="142">
        <v>118</v>
      </c>
      <c r="J71" s="142">
        <v>68</v>
      </c>
      <c r="K71" s="142">
        <v>0</v>
      </c>
      <c r="L71" s="142">
        <v>0</v>
      </c>
      <c r="M71" s="142">
        <v>50</v>
      </c>
    </row>
    <row r="72" spans="1:13" x14ac:dyDescent="0.45">
      <c r="A72" s="142" t="s">
        <v>13039</v>
      </c>
      <c r="B72" s="142" t="s">
        <v>14647</v>
      </c>
      <c r="C72" s="142" t="s">
        <v>15847</v>
      </c>
      <c r="D72" s="142" t="s">
        <v>15848</v>
      </c>
      <c r="E72" s="142" t="s">
        <v>15849</v>
      </c>
      <c r="F72" s="142" t="s">
        <v>8945</v>
      </c>
      <c r="G72" s="142" t="s">
        <v>8944</v>
      </c>
      <c r="H72" s="142" t="s">
        <v>15922</v>
      </c>
      <c r="I72" s="142">
        <v>36</v>
      </c>
      <c r="J72" s="142">
        <v>36</v>
      </c>
      <c r="K72" s="142">
        <v>0</v>
      </c>
      <c r="L72" s="142">
        <v>0</v>
      </c>
      <c r="M72" s="142">
        <v>0</v>
      </c>
    </row>
    <row r="73" spans="1:13" x14ac:dyDescent="0.45">
      <c r="A73" s="142" t="s">
        <v>13009</v>
      </c>
      <c r="B73" s="142" t="s">
        <v>15256</v>
      </c>
      <c r="C73" s="142" t="s">
        <v>15847</v>
      </c>
      <c r="D73" s="142" t="s">
        <v>15848</v>
      </c>
      <c r="E73" s="142" t="s">
        <v>15849</v>
      </c>
      <c r="F73" s="142" t="s">
        <v>8945</v>
      </c>
      <c r="G73" s="142" t="s">
        <v>8944</v>
      </c>
      <c r="H73" s="142" t="s">
        <v>15923</v>
      </c>
      <c r="I73" s="142">
        <v>174</v>
      </c>
      <c r="J73" s="142">
        <v>143</v>
      </c>
      <c r="K73" s="142">
        <v>0</v>
      </c>
      <c r="L73" s="142">
        <v>31</v>
      </c>
      <c r="M73" s="142">
        <v>0</v>
      </c>
    </row>
    <row r="74" spans="1:13" x14ac:dyDescent="0.45">
      <c r="A74" s="142" t="s">
        <v>13056</v>
      </c>
      <c r="B74" s="142" t="s">
        <v>15435</v>
      </c>
      <c r="C74" s="142" t="s">
        <v>15847</v>
      </c>
      <c r="D74" s="142" t="s">
        <v>15848</v>
      </c>
      <c r="E74" s="142" t="s">
        <v>15849</v>
      </c>
      <c r="F74" s="142" t="s">
        <v>8945</v>
      </c>
      <c r="G74" s="142" t="s">
        <v>8944</v>
      </c>
      <c r="H74" s="142" t="s">
        <v>15924</v>
      </c>
      <c r="I74" s="142">
        <v>240</v>
      </c>
      <c r="J74" s="142">
        <v>46</v>
      </c>
      <c r="K74" s="142">
        <v>0</v>
      </c>
      <c r="L74" s="142">
        <v>111</v>
      </c>
      <c r="M74" s="142">
        <v>83</v>
      </c>
    </row>
    <row r="75" spans="1:13" x14ac:dyDescent="0.45">
      <c r="A75" s="142" t="s">
        <v>13010</v>
      </c>
      <c r="B75" s="142" t="s">
        <v>15349</v>
      </c>
      <c r="C75" s="142" t="s">
        <v>15860</v>
      </c>
      <c r="D75" s="142" t="s">
        <v>15861</v>
      </c>
      <c r="E75" s="142" t="s">
        <v>15849</v>
      </c>
      <c r="F75" s="142" t="s">
        <v>8945</v>
      </c>
      <c r="G75" s="142" t="s">
        <v>8944</v>
      </c>
      <c r="H75" s="142" t="s">
        <v>15925</v>
      </c>
      <c r="I75" s="142">
        <v>2</v>
      </c>
      <c r="J75" s="142">
        <v>0</v>
      </c>
      <c r="K75" s="142">
        <v>0</v>
      </c>
      <c r="L75" s="142">
        <v>2</v>
      </c>
      <c r="M75" s="142">
        <v>0</v>
      </c>
    </row>
    <row r="76" spans="1:13" x14ac:dyDescent="0.45">
      <c r="A76" s="142" t="s">
        <v>13057</v>
      </c>
      <c r="B76" s="142" t="s">
        <v>15528</v>
      </c>
      <c r="C76" s="142" t="s">
        <v>15860</v>
      </c>
      <c r="D76" s="142" t="s">
        <v>15861</v>
      </c>
      <c r="E76" s="142" t="s">
        <v>15849</v>
      </c>
      <c r="F76" s="142" t="s">
        <v>8945</v>
      </c>
      <c r="G76" s="142" t="s">
        <v>8944</v>
      </c>
      <c r="H76" s="142" t="s">
        <v>15926</v>
      </c>
      <c r="I76" s="142">
        <v>51</v>
      </c>
      <c r="J76" s="142">
        <v>51</v>
      </c>
      <c r="K76" s="142">
        <v>0</v>
      </c>
      <c r="L76" s="142">
        <v>0</v>
      </c>
      <c r="M76" s="142">
        <v>0</v>
      </c>
    </row>
    <row r="77" spans="1:13" x14ac:dyDescent="0.45">
      <c r="A77" s="142" t="s">
        <v>13011</v>
      </c>
      <c r="B77" s="142" t="s">
        <v>14695</v>
      </c>
      <c r="C77" s="142" t="s">
        <v>15847</v>
      </c>
      <c r="D77" s="142" t="s">
        <v>15848</v>
      </c>
      <c r="E77" s="142" t="s">
        <v>15849</v>
      </c>
      <c r="F77" s="142" t="s">
        <v>8945</v>
      </c>
      <c r="G77" s="142" t="s">
        <v>8944</v>
      </c>
      <c r="H77" s="142" t="s">
        <v>15927</v>
      </c>
      <c r="I77" s="142">
        <v>1364</v>
      </c>
      <c r="J77" s="142">
        <v>992</v>
      </c>
      <c r="K77" s="142">
        <v>0</v>
      </c>
      <c r="L77" s="142">
        <v>98</v>
      </c>
      <c r="M77" s="142">
        <v>274</v>
      </c>
    </row>
    <row r="78" spans="1:13" x14ac:dyDescent="0.45">
      <c r="A78" s="142" t="s">
        <v>13058</v>
      </c>
      <c r="B78" s="142" t="s">
        <v>14584</v>
      </c>
      <c r="C78" s="142" t="s">
        <v>15847</v>
      </c>
      <c r="D78" s="142" t="s">
        <v>15848</v>
      </c>
      <c r="E78" s="142" t="s">
        <v>15849</v>
      </c>
      <c r="F78" s="142" t="s">
        <v>8945</v>
      </c>
      <c r="G78" s="142" t="s">
        <v>8944</v>
      </c>
      <c r="H78" s="142" t="s">
        <v>15928</v>
      </c>
      <c r="I78" s="142">
        <v>68</v>
      </c>
      <c r="J78" s="142">
        <v>33</v>
      </c>
      <c r="K78" s="142">
        <v>0</v>
      </c>
      <c r="L78" s="142">
        <v>0</v>
      </c>
      <c r="M78" s="142">
        <v>35</v>
      </c>
    </row>
    <row r="79" spans="1:13" x14ac:dyDescent="0.45">
      <c r="A79" s="142" t="s">
        <v>13041</v>
      </c>
      <c r="B79" s="142" t="s">
        <v>14441</v>
      </c>
      <c r="C79" s="142" t="s">
        <v>15847</v>
      </c>
      <c r="D79" s="142" t="s">
        <v>15848</v>
      </c>
      <c r="E79" s="142" t="s">
        <v>15849</v>
      </c>
      <c r="F79" s="142" t="s">
        <v>8945</v>
      </c>
      <c r="G79" s="142" t="s">
        <v>8944</v>
      </c>
      <c r="H79" s="142" t="s">
        <v>15929</v>
      </c>
      <c r="I79" s="142">
        <v>24</v>
      </c>
      <c r="J79" s="142">
        <v>0</v>
      </c>
      <c r="K79" s="142">
        <v>0</v>
      </c>
      <c r="L79" s="142">
        <v>0</v>
      </c>
      <c r="M79" s="142">
        <v>24</v>
      </c>
    </row>
    <row r="80" spans="1:13" x14ac:dyDescent="0.45">
      <c r="A80" s="142" t="s">
        <v>13059</v>
      </c>
      <c r="B80" s="142" t="s">
        <v>14513</v>
      </c>
      <c r="C80" s="142" t="s">
        <v>15860</v>
      </c>
      <c r="D80" s="142" t="s">
        <v>15861</v>
      </c>
      <c r="E80" s="142" t="s">
        <v>15849</v>
      </c>
      <c r="F80" s="142" t="s">
        <v>8945</v>
      </c>
      <c r="G80" s="142" t="s">
        <v>8944</v>
      </c>
      <c r="H80" s="142" t="s">
        <v>15930</v>
      </c>
      <c r="I80" s="142">
        <v>64</v>
      </c>
      <c r="J80" s="142">
        <v>0</v>
      </c>
      <c r="K80" s="142">
        <v>0</v>
      </c>
      <c r="L80" s="142">
        <v>64</v>
      </c>
      <c r="M80" s="142">
        <v>0</v>
      </c>
    </row>
    <row r="81" spans="1:13" x14ac:dyDescent="0.45">
      <c r="A81" s="142" t="s">
        <v>13012</v>
      </c>
      <c r="B81" s="142" t="s">
        <v>15337</v>
      </c>
      <c r="C81" s="142" t="s">
        <v>15847</v>
      </c>
      <c r="D81" s="142" t="s">
        <v>15848</v>
      </c>
      <c r="E81" s="142" t="s">
        <v>15849</v>
      </c>
      <c r="F81" s="142" t="s">
        <v>8945</v>
      </c>
      <c r="G81" s="142" t="s">
        <v>8944</v>
      </c>
      <c r="H81" s="142" t="s">
        <v>15931</v>
      </c>
      <c r="I81" s="142">
        <v>199</v>
      </c>
      <c r="J81" s="142">
        <v>168</v>
      </c>
      <c r="K81" s="142">
        <v>0</v>
      </c>
      <c r="L81" s="142">
        <v>0</v>
      </c>
      <c r="M81" s="142">
        <v>31</v>
      </c>
    </row>
    <row r="82" spans="1:13" x14ac:dyDescent="0.45">
      <c r="A82" s="142" t="s">
        <v>13060</v>
      </c>
      <c r="B82" s="142" t="s">
        <v>14470</v>
      </c>
      <c r="C82" s="142" t="s">
        <v>15847</v>
      </c>
      <c r="D82" s="142" t="s">
        <v>15848</v>
      </c>
      <c r="E82" s="142" t="s">
        <v>15849</v>
      </c>
      <c r="F82" s="142" t="s">
        <v>8945</v>
      </c>
      <c r="G82" s="142" t="s">
        <v>8944</v>
      </c>
      <c r="H82" s="142" t="s">
        <v>15932</v>
      </c>
      <c r="I82" s="142">
        <v>32</v>
      </c>
      <c r="J82" s="142">
        <v>24</v>
      </c>
      <c r="K82" s="142">
        <v>0</v>
      </c>
      <c r="L82" s="142">
        <v>0</v>
      </c>
      <c r="M82" s="142">
        <v>8</v>
      </c>
    </row>
    <row r="83" spans="1:13" x14ac:dyDescent="0.45">
      <c r="A83" s="142" t="s">
        <v>13014</v>
      </c>
      <c r="B83" s="142" t="s">
        <v>14505</v>
      </c>
      <c r="C83" s="142" t="s">
        <v>15847</v>
      </c>
      <c r="D83" s="142" t="s">
        <v>15848</v>
      </c>
      <c r="E83" s="142" t="s">
        <v>15849</v>
      </c>
      <c r="F83" s="142" t="s">
        <v>8945</v>
      </c>
      <c r="G83" s="142" t="s">
        <v>8944</v>
      </c>
      <c r="H83" s="142" t="s">
        <v>15933</v>
      </c>
      <c r="I83" s="142">
        <v>162</v>
      </c>
      <c r="J83" s="142">
        <v>135</v>
      </c>
      <c r="K83" s="142">
        <v>0</v>
      </c>
      <c r="L83" s="142">
        <v>0</v>
      </c>
      <c r="M83" s="142">
        <v>27</v>
      </c>
    </row>
    <row r="84" spans="1:13" x14ac:dyDescent="0.45">
      <c r="A84" s="142" t="s">
        <v>13061</v>
      </c>
      <c r="B84" s="142" t="s">
        <v>15184</v>
      </c>
      <c r="C84" s="142" t="s">
        <v>15860</v>
      </c>
      <c r="D84" s="142" t="s">
        <v>15861</v>
      </c>
      <c r="E84" s="142" t="s">
        <v>15849</v>
      </c>
      <c r="F84" s="142" t="s">
        <v>8945</v>
      </c>
      <c r="G84" s="142" t="s">
        <v>8944</v>
      </c>
      <c r="H84" s="142" t="s">
        <v>15934</v>
      </c>
      <c r="I84" s="142">
        <v>10</v>
      </c>
      <c r="J84" s="142">
        <v>0</v>
      </c>
      <c r="K84" s="142">
        <v>0</v>
      </c>
      <c r="L84" s="142">
        <v>10</v>
      </c>
      <c r="M84" s="142">
        <v>0</v>
      </c>
    </row>
    <row r="85" spans="1:13" x14ac:dyDescent="0.45">
      <c r="A85" s="142" t="s">
        <v>13015</v>
      </c>
      <c r="B85" s="142" t="s">
        <v>14596</v>
      </c>
      <c r="C85" s="142" t="s">
        <v>15847</v>
      </c>
      <c r="D85" s="142" t="s">
        <v>15848</v>
      </c>
      <c r="E85" s="142" t="s">
        <v>15849</v>
      </c>
      <c r="F85" s="142" t="s">
        <v>8945</v>
      </c>
      <c r="G85" s="142" t="s">
        <v>8944</v>
      </c>
      <c r="H85" s="142" t="s">
        <v>15935</v>
      </c>
      <c r="I85" s="142">
        <v>156</v>
      </c>
      <c r="J85" s="142">
        <v>123</v>
      </c>
      <c r="K85" s="142">
        <v>0</v>
      </c>
      <c r="L85" s="142">
        <v>0</v>
      </c>
      <c r="M85" s="142">
        <v>33</v>
      </c>
    </row>
    <row r="86" spans="1:13" x14ac:dyDescent="0.45">
      <c r="A86" s="142" t="s">
        <v>13062</v>
      </c>
      <c r="B86" s="142" t="s">
        <v>15259</v>
      </c>
      <c r="C86" s="142" t="s">
        <v>15847</v>
      </c>
      <c r="D86" s="142" t="s">
        <v>15848</v>
      </c>
      <c r="E86" s="142" t="s">
        <v>15849</v>
      </c>
      <c r="F86" s="142" t="s">
        <v>8945</v>
      </c>
      <c r="G86" s="142" t="s">
        <v>8944</v>
      </c>
      <c r="H86" s="142" t="s">
        <v>15936</v>
      </c>
      <c r="I86" s="142">
        <v>1</v>
      </c>
      <c r="J86" s="142">
        <v>0</v>
      </c>
      <c r="K86" s="142">
        <v>0</v>
      </c>
      <c r="L86" s="142">
        <v>0</v>
      </c>
      <c r="M86" s="142">
        <v>1</v>
      </c>
    </row>
    <row r="87" spans="1:13" x14ac:dyDescent="0.45">
      <c r="A87" s="142" t="s">
        <v>13017</v>
      </c>
      <c r="B87" s="142" t="s">
        <v>15580</v>
      </c>
      <c r="C87" s="142" t="s">
        <v>15847</v>
      </c>
      <c r="D87" s="142" t="s">
        <v>15848</v>
      </c>
      <c r="E87" s="142" t="s">
        <v>15849</v>
      </c>
      <c r="F87" s="142" t="s">
        <v>8945</v>
      </c>
      <c r="G87" s="142" t="s">
        <v>8944</v>
      </c>
      <c r="H87" s="142" t="s">
        <v>15937</v>
      </c>
      <c r="I87" s="142">
        <v>625</v>
      </c>
      <c r="J87" s="142">
        <v>496</v>
      </c>
      <c r="K87" s="142">
        <v>0</v>
      </c>
      <c r="L87" s="142">
        <v>0</v>
      </c>
      <c r="M87" s="142">
        <v>129</v>
      </c>
    </row>
    <row r="88" spans="1:13" x14ac:dyDescent="0.45">
      <c r="A88" s="142" t="s">
        <v>13064</v>
      </c>
      <c r="B88" s="142" t="s">
        <v>15428</v>
      </c>
      <c r="C88" s="142" t="s">
        <v>15847</v>
      </c>
      <c r="D88" s="142" t="s">
        <v>15848</v>
      </c>
      <c r="E88" s="142" t="s">
        <v>15849</v>
      </c>
      <c r="F88" s="142" t="s">
        <v>7293</v>
      </c>
      <c r="G88" s="142" t="s">
        <v>7292</v>
      </c>
      <c r="H88" s="142" t="s">
        <v>15938</v>
      </c>
      <c r="I88" s="142">
        <v>64</v>
      </c>
      <c r="J88" s="142">
        <v>64</v>
      </c>
      <c r="K88" s="142">
        <v>0</v>
      </c>
      <c r="L88" s="142">
        <v>0</v>
      </c>
      <c r="M88" s="142">
        <v>0</v>
      </c>
    </row>
    <row r="89" spans="1:13" x14ac:dyDescent="0.45">
      <c r="A89" s="142" t="s">
        <v>13021</v>
      </c>
      <c r="B89" s="142" t="s">
        <v>15501</v>
      </c>
      <c r="C89" s="142" t="s">
        <v>15847</v>
      </c>
      <c r="D89" s="142" t="s">
        <v>15848</v>
      </c>
      <c r="E89" s="142" t="s">
        <v>15849</v>
      </c>
      <c r="F89" s="142" t="s">
        <v>7293</v>
      </c>
      <c r="G89" s="142" t="s">
        <v>7292</v>
      </c>
      <c r="H89" s="142" t="s">
        <v>15939</v>
      </c>
      <c r="I89" s="142">
        <v>1</v>
      </c>
      <c r="J89" s="142">
        <v>0</v>
      </c>
      <c r="K89" s="142">
        <v>0</v>
      </c>
      <c r="L89" s="142">
        <v>0</v>
      </c>
      <c r="M89" s="142">
        <v>1</v>
      </c>
    </row>
    <row r="90" spans="1:13" x14ac:dyDescent="0.45">
      <c r="A90" s="142" t="s">
        <v>13023</v>
      </c>
      <c r="B90" s="142" t="s">
        <v>15571</v>
      </c>
      <c r="C90" s="142" t="s">
        <v>15847</v>
      </c>
      <c r="D90" s="142" t="s">
        <v>15848</v>
      </c>
      <c r="E90" s="142" t="s">
        <v>15849</v>
      </c>
      <c r="F90" s="142" t="s">
        <v>7293</v>
      </c>
      <c r="G90" s="142" t="s">
        <v>7292</v>
      </c>
      <c r="H90" s="142" t="s">
        <v>15940</v>
      </c>
      <c r="I90" s="142">
        <v>37</v>
      </c>
      <c r="J90" s="142">
        <v>0</v>
      </c>
      <c r="K90" s="142">
        <v>0</v>
      </c>
      <c r="L90" s="142">
        <v>37</v>
      </c>
      <c r="M90" s="142">
        <v>0</v>
      </c>
    </row>
    <row r="91" spans="1:13" x14ac:dyDescent="0.45">
      <c r="A91" s="142" t="s">
        <v>13065</v>
      </c>
      <c r="B91" s="142" t="s">
        <v>14497</v>
      </c>
      <c r="C91" s="142" t="s">
        <v>15847</v>
      </c>
      <c r="D91" s="142" t="s">
        <v>15848</v>
      </c>
      <c r="E91" s="142" t="s">
        <v>15849</v>
      </c>
      <c r="F91" s="142" t="s">
        <v>7293</v>
      </c>
      <c r="G91" s="142" t="s">
        <v>7292</v>
      </c>
      <c r="H91" s="142" t="s">
        <v>15941</v>
      </c>
      <c r="I91" s="142">
        <v>4</v>
      </c>
      <c r="J91" s="142">
        <v>0</v>
      </c>
      <c r="K91" s="142">
        <v>0</v>
      </c>
      <c r="L91" s="142">
        <v>4</v>
      </c>
      <c r="M91" s="142">
        <v>0</v>
      </c>
    </row>
    <row r="92" spans="1:13" x14ac:dyDescent="0.45">
      <c r="A92" s="142" t="s">
        <v>13024</v>
      </c>
      <c r="B92" s="142" t="s">
        <v>14538</v>
      </c>
      <c r="C92" s="142" t="s">
        <v>15847</v>
      </c>
      <c r="D92" s="142" t="s">
        <v>15848</v>
      </c>
      <c r="E92" s="142" t="s">
        <v>15849</v>
      </c>
      <c r="F92" s="142" t="s">
        <v>7293</v>
      </c>
      <c r="G92" s="142" t="s">
        <v>7292</v>
      </c>
      <c r="H92" s="142" t="s">
        <v>15942</v>
      </c>
      <c r="I92" s="142">
        <v>795</v>
      </c>
      <c r="J92" s="142">
        <v>593</v>
      </c>
      <c r="K92" s="142">
        <v>0</v>
      </c>
      <c r="L92" s="142">
        <v>67</v>
      </c>
      <c r="M92" s="142">
        <v>135</v>
      </c>
    </row>
    <row r="93" spans="1:13" x14ac:dyDescent="0.45">
      <c r="A93" s="142" t="s">
        <v>13025</v>
      </c>
      <c r="B93" s="142" t="s">
        <v>15579</v>
      </c>
      <c r="C93" s="142" t="s">
        <v>15847</v>
      </c>
      <c r="D93" s="142" t="s">
        <v>15848</v>
      </c>
      <c r="E93" s="142" t="s">
        <v>15849</v>
      </c>
      <c r="F93" s="142" t="s">
        <v>7293</v>
      </c>
      <c r="G93" s="142" t="s">
        <v>7292</v>
      </c>
      <c r="H93" s="142" t="s">
        <v>15943</v>
      </c>
      <c r="I93" s="142">
        <v>42</v>
      </c>
      <c r="J93" s="142">
        <v>0</v>
      </c>
      <c r="K93" s="142">
        <v>0</v>
      </c>
      <c r="L93" s="142">
        <v>42</v>
      </c>
      <c r="M93" s="142">
        <v>0</v>
      </c>
    </row>
    <row r="94" spans="1:13" x14ac:dyDescent="0.45">
      <c r="A94" s="142" t="s">
        <v>13026</v>
      </c>
      <c r="B94" s="142" t="s">
        <v>15447</v>
      </c>
      <c r="C94" s="142" t="s">
        <v>15847</v>
      </c>
      <c r="D94" s="142" t="s">
        <v>15848</v>
      </c>
      <c r="E94" s="142" t="s">
        <v>15849</v>
      </c>
      <c r="F94" s="142" t="s">
        <v>7293</v>
      </c>
      <c r="G94" s="142" t="s">
        <v>7292</v>
      </c>
      <c r="H94" s="142" t="s">
        <v>15944</v>
      </c>
      <c r="I94" s="142">
        <v>5</v>
      </c>
      <c r="J94" s="142">
        <v>5</v>
      </c>
      <c r="K94" s="142">
        <v>0</v>
      </c>
      <c r="L94" s="142">
        <v>0</v>
      </c>
      <c r="M94" s="142">
        <v>0</v>
      </c>
    </row>
    <row r="95" spans="1:13" x14ac:dyDescent="0.45">
      <c r="A95" s="142" t="s">
        <v>13027</v>
      </c>
      <c r="B95" s="142" t="s">
        <v>14562</v>
      </c>
      <c r="C95" s="142" t="s">
        <v>15847</v>
      </c>
      <c r="D95" s="142" t="s">
        <v>15848</v>
      </c>
      <c r="E95" s="142" t="s">
        <v>15849</v>
      </c>
      <c r="F95" s="142" t="s">
        <v>7293</v>
      </c>
      <c r="G95" s="142" t="s">
        <v>7292</v>
      </c>
      <c r="H95" s="142" t="s">
        <v>15945</v>
      </c>
      <c r="I95" s="142">
        <v>44</v>
      </c>
      <c r="J95" s="142">
        <v>0</v>
      </c>
      <c r="K95" s="142">
        <v>0</v>
      </c>
      <c r="L95" s="142">
        <v>44</v>
      </c>
      <c r="M95" s="142">
        <v>0</v>
      </c>
    </row>
    <row r="96" spans="1:13" x14ac:dyDescent="0.45">
      <c r="A96" s="142" t="s">
        <v>13028</v>
      </c>
      <c r="B96" s="142" t="s">
        <v>14462</v>
      </c>
      <c r="C96" s="142" t="s">
        <v>15847</v>
      </c>
      <c r="D96" s="142" t="s">
        <v>15848</v>
      </c>
      <c r="E96" s="142" t="s">
        <v>15849</v>
      </c>
      <c r="F96" s="142" t="s">
        <v>7293</v>
      </c>
      <c r="G96" s="142" t="s">
        <v>7292</v>
      </c>
      <c r="H96" s="142" t="s">
        <v>15946</v>
      </c>
      <c r="I96" s="142">
        <v>18</v>
      </c>
      <c r="J96" s="142">
        <v>0</v>
      </c>
      <c r="K96" s="142">
        <v>0</v>
      </c>
      <c r="L96" s="142">
        <v>0</v>
      </c>
      <c r="M96" s="142">
        <v>18</v>
      </c>
    </row>
    <row r="97" spans="1:13" x14ac:dyDescent="0.45">
      <c r="A97" s="142" t="s">
        <v>13003</v>
      </c>
      <c r="B97" s="142" t="s">
        <v>15245</v>
      </c>
      <c r="C97" s="142" t="s">
        <v>15847</v>
      </c>
      <c r="D97" s="142" t="s">
        <v>15848</v>
      </c>
      <c r="E97" s="142" t="s">
        <v>15849</v>
      </c>
      <c r="F97" s="142" t="s">
        <v>7293</v>
      </c>
      <c r="G97" s="142" t="s">
        <v>7292</v>
      </c>
      <c r="H97" s="142" t="s">
        <v>15947</v>
      </c>
      <c r="I97" s="142">
        <v>69</v>
      </c>
      <c r="J97" s="142">
        <v>0</v>
      </c>
      <c r="K97" s="142">
        <v>0</v>
      </c>
      <c r="L97" s="142">
        <v>69</v>
      </c>
      <c r="M97" s="142">
        <v>0</v>
      </c>
    </row>
    <row r="98" spans="1:13" x14ac:dyDescent="0.45">
      <c r="A98" s="142" t="s">
        <v>13066</v>
      </c>
      <c r="B98" s="142" t="s">
        <v>14459</v>
      </c>
      <c r="C98" s="142" t="s">
        <v>15847</v>
      </c>
      <c r="D98" s="142" t="s">
        <v>15848</v>
      </c>
      <c r="E98" s="142" t="s">
        <v>15849</v>
      </c>
      <c r="F98" s="142" t="s">
        <v>7293</v>
      </c>
      <c r="G98" s="142" t="s">
        <v>7292</v>
      </c>
      <c r="H98" s="142" t="s">
        <v>15948</v>
      </c>
      <c r="I98" s="142">
        <v>15</v>
      </c>
      <c r="J98" s="142">
        <v>0</v>
      </c>
      <c r="K98" s="142">
        <v>0</v>
      </c>
      <c r="L98" s="142">
        <v>15</v>
      </c>
      <c r="M98" s="142">
        <v>0</v>
      </c>
    </row>
    <row r="99" spans="1:13" x14ac:dyDescent="0.45">
      <c r="A99" s="142" t="s">
        <v>13067</v>
      </c>
      <c r="B99" s="142" t="s">
        <v>15480</v>
      </c>
      <c r="C99" s="142" t="s">
        <v>15847</v>
      </c>
      <c r="D99" s="142" t="s">
        <v>15848</v>
      </c>
      <c r="E99" s="142" t="s">
        <v>15849</v>
      </c>
      <c r="F99" s="142" t="s">
        <v>7293</v>
      </c>
      <c r="G99" s="142" t="s">
        <v>7292</v>
      </c>
      <c r="H99" s="142" t="s">
        <v>15949</v>
      </c>
      <c r="I99" s="142">
        <v>66</v>
      </c>
      <c r="J99" s="142">
        <v>37</v>
      </c>
      <c r="K99" s="142">
        <v>0</v>
      </c>
      <c r="L99" s="142">
        <v>0</v>
      </c>
      <c r="M99" s="142">
        <v>29</v>
      </c>
    </row>
    <row r="100" spans="1:13" x14ac:dyDescent="0.45">
      <c r="A100" s="142" t="s">
        <v>13005</v>
      </c>
      <c r="B100" s="142" t="s">
        <v>15475</v>
      </c>
      <c r="C100" s="142" t="s">
        <v>15847</v>
      </c>
      <c r="D100" s="142" t="s">
        <v>15848</v>
      </c>
      <c r="E100" s="142" t="s">
        <v>15849</v>
      </c>
      <c r="F100" s="142" t="s">
        <v>7293</v>
      </c>
      <c r="G100" s="142" t="s">
        <v>7292</v>
      </c>
      <c r="H100" s="142" t="s">
        <v>15950</v>
      </c>
      <c r="I100" s="142">
        <v>5</v>
      </c>
      <c r="J100" s="142">
        <v>0</v>
      </c>
      <c r="K100" s="142">
        <v>0</v>
      </c>
      <c r="L100" s="142">
        <v>0</v>
      </c>
      <c r="M100" s="142">
        <v>5</v>
      </c>
    </row>
    <row r="101" spans="1:13" x14ac:dyDescent="0.45">
      <c r="A101" s="142" t="s">
        <v>13029</v>
      </c>
      <c r="B101" s="142" t="s">
        <v>14665</v>
      </c>
      <c r="C101" s="142" t="s">
        <v>15847</v>
      </c>
      <c r="D101" s="142" t="s">
        <v>15848</v>
      </c>
      <c r="E101" s="142" t="s">
        <v>15849</v>
      </c>
      <c r="F101" s="142" t="s">
        <v>7293</v>
      </c>
      <c r="G101" s="142" t="s">
        <v>7292</v>
      </c>
      <c r="H101" s="142" t="s">
        <v>15951</v>
      </c>
      <c r="I101" s="142">
        <v>27</v>
      </c>
      <c r="J101" s="142">
        <v>0</v>
      </c>
      <c r="K101" s="142">
        <v>0</v>
      </c>
      <c r="L101" s="142">
        <v>0</v>
      </c>
      <c r="M101" s="142">
        <v>27</v>
      </c>
    </row>
    <row r="102" spans="1:13" x14ac:dyDescent="0.45">
      <c r="A102" s="142" t="s">
        <v>13006</v>
      </c>
      <c r="B102" s="142" t="s">
        <v>15288</v>
      </c>
      <c r="C102" s="142" t="s">
        <v>15847</v>
      </c>
      <c r="D102" s="142" t="s">
        <v>15848</v>
      </c>
      <c r="E102" s="142" t="s">
        <v>15849</v>
      </c>
      <c r="F102" s="142" t="s">
        <v>7293</v>
      </c>
      <c r="G102" s="142" t="s">
        <v>7292</v>
      </c>
      <c r="H102" s="142" t="s">
        <v>15952</v>
      </c>
      <c r="I102" s="142">
        <v>232</v>
      </c>
      <c r="J102" s="142">
        <v>114</v>
      </c>
      <c r="K102" s="142">
        <v>0</v>
      </c>
      <c r="L102" s="142">
        <v>107</v>
      </c>
      <c r="M102" s="142">
        <v>11</v>
      </c>
    </row>
    <row r="103" spans="1:13" x14ac:dyDescent="0.45">
      <c r="A103" s="142" t="s">
        <v>13030</v>
      </c>
      <c r="B103" s="142" t="s">
        <v>14572</v>
      </c>
      <c r="C103" s="142" t="s">
        <v>15847</v>
      </c>
      <c r="D103" s="142" t="s">
        <v>15848</v>
      </c>
      <c r="E103" s="142" t="s">
        <v>15849</v>
      </c>
      <c r="F103" s="142" t="s">
        <v>7293</v>
      </c>
      <c r="G103" s="142" t="s">
        <v>7292</v>
      </c>
      <c r="H103" s="142" t="s">
        <v>15953</v>
      </c>
      <c r="I103" s="142">
        <v>20</v>
      </c>
      <c r="J103" s="142">
        <v>7</v>
      </c>
      <c r="K103" s="142">
        <v>0</v>
      </c>
      <c r="L103" s="142">
        <v>12</v>
      </c>
      <c r="M103" s="142">
        <v>1</v>
      </c>
    </row>
    <row r="104" spans="1:13" x14ac:dyDescent="0.45">
      <c r="A104" s="142" t="s">
        <v>13068</v>
      </c>
      <c r="B104" s="142" t="s">
        <v>15468</v>
      </c>
      <c r="C104" s="142" t="s">
        <v>15847</v>
      </c>
      <c r="D104" s="142" t="s">
        <v>15848</v>
      </c>
      <c r="E104" s="142" t="s">
        <v>15849</v>
      </c>
      <c r="F104" s="142" t="s">
        <v>7293</v>
      </c>
      <c r="G104" s="142" t="s">
        <v>7292</v>
      </c>
      <c r="H104" s="142" t="s">
        <v>15954</v>
      </c>
      <c r="I104" s="142">
        <v>7</v>
      </c>
      <c r="J104" s="142">
        <v>7</v>
      </c>
      <c r="K104" s="142">
        <v>0</v>
      </c>
      <c r="L104" s="142">
        <v>0</v>
      </c>
      <c r="M104" s="142">
        <v>0</v>
      </c>
    </row>
    <row r="105" spans="1:13" x14ac:dyDescent="0.45">
      <c r="A105" s="142" t="s">
        <v>13031</v>
      </c>
      <c r="B105" s="142" t="s">
        <v>14620</v>
      </c>
      <c r="C105" s="142" t="s">
        <v>15860</v>
      </c>
      <c r="D105" s="142" t="s">
        <v>15861</v>
      </c>
      <c r="E105" s="142" t="s">
        <v>15849</v>
      </c>
      <c r="F105" s="142" t="s">
        <v>7293</v>
      </c>
      <c r="G105" s="142" t="s">
        <v>7292</v>
      </c>
      <c r="H105" s="142" t="s">
        <v>15955</v>
      </c>
      <c r="I105" s="142">
        <v>1</v>
      </c>
      <c r="J105" s="142">
        <v>0</v>
      </c>
      <c r="K105" s="142">
        <v>0</v>
      </c>
      <c r="L105" s="142">
        <v>1</v>
      </c>
      <c r="M105" s="142">
        <v>0</v>
      </c>
    </row>
    <row r="106" spans="1:13" x14ac:dyDescent="0.45">
      <c r="A106" s="142" t="s">
        <v>13055</v>
      </c>
      <c r="B106" s="142" t="s">
        <v>14595</v>
      </c>
      <c r="C106" s="142" t="s">
        <v>15847</v>
      </c>
      <c r="D106" s="142" t="s">
        <v>15848</v>
      </c>
      <c r="E106" s="142" t="s">
        <v>15849</v>
      </c>
      <c r="F106" s="142" t="s">
        <v>7293</v>
      </c>
      <c r="G106" s="142" t="s">
        <v>7292</v>
      </c>
      <c r="H106" s="142" t="s">
        <v>15956</v>
      </c>
      <c r="I106" s="142">
        <v>8</v>
      </c>
      <c r="J106" s="142">
        <v>8</v>
      </c>
      <c r="K106" s="142">
        <v>0</v>
      </c>
      <c r="L106" s="142">
        <v>0</v>
      </c>
      <c r="M106" s="142">
        <v>0</v>
      </c>
    </row>
    <row r="107" spans="1:13" x14ac:dyDescent="0.45">
      <c r="A107" s="142" t="s">
        <v>13069</v>
      </c>
      <c r="B107" s="142" t="s">
        <v>14630</v>
      </c>
      <c r="C107" s="142" t="s">
        <v>15860</v>
      </c>
      <c r="D107" s="142" t="s">
        <v>15861</v>
      </c>
      <c r="E107" s="142" t="s">
        <v>15849</v>
      </c>
      <c r="F107" s="142" t="s">
        <v>7293</v>
      </c>
      <c r="G107" s="142" t="s">
        <v>7292</v>
      </c>
      <c r="H107" s="142" t="s">
        <v>15957</v>
      </c>
      <c r="I107" s="142">
        <v>5</v>
      </c>
      <c r="J107" s="142">
        <v>5</v>
      </c>
      <c r="K107" s="142">
        <v>0</v>
      </c>
      <c r="L107" s="142">
        <v>0</v>
      </c>
      <c r="M107" s="142">
        <v>0</v>
      </c>
    </row>
    <row r="108" spans="1:13" x14ac:dyDescent="0.45">
      <c r="A108" s="142" t="s">
        <v>13033</v>
      </c>
      <c r="B108" s="142" t="s">
        <v>15276</v>
      </c>
      <c r="C108" s="142" t="s">
        <v>15847</v>
      </c>
      <c r="D108" s="142" t="s">
        <v>15848</v>
      </c>
      <c r="E108" s="142" t="s">
        <v>15849</v>
      </c>
      <c r="F108" s="142" t="s">
        <v>7293</v>
      </c>
      <c r="G108" s="142" t="s">
        <v>7292</v>
      </c>
      <c r="H108" s="142" t="s">
        <v>15958</v>
      </c>
      <c r="I108" s="142">
        <v>218</v>
      </c>
      <c r="J108" s="142">
        <v>213</v>
      </c>
      <c r="K108" s="142">
        <v>0</v>
      </c>
      <c r="L108" s="142">
        <v>0</v>
      </c>
      <c r="M108" s="142">
        <v>5</v>
      </c>
    </row>
    <row r="109" spans="1:13" x14ac:dyDescent="0.45">
      <c r="A109" s="142" t="s">
        <v>13034</v>
      </c>
      <c r="B109" s="142" t="s">
        <v>15562</v>
      </c>
      <c r="C109" s="142" t="s">
        <v>15847</v>
      </c>
      <c r="D109" s="142" t="s">
        <v>15848</v>
      </c>
      <c r="E109" s="142" t="s">
        <v>15849</v>
      </c>
      <c r="F109" s="142" t="s">
        <v>7293</v>
      </c>
      <c r="G109" s="142" t="s">
        <v>7292</v>
      </c>
      <c r="H109" s="142" t="s">
        <v>15959</v>
      </c>
      <c r="I109" s="142">
        <v>442</v>
      </c>
      <c r="J109" s="142">
        <v>439</v>
      </c>
      <c r="K109" s="142">
        <v>0</v>
      </c>
      <c r="L109" s="142">
        <v>3</v>
      </c>
      <c r="M109" s="142">
        <v>0</v>
      </c>
    </row>
    <row r="110" spans="1:13" x14ac:dyDescent="0.45">
      <c r="A110" s="142" t="s">
        <v>13035</v>
      </c>
      <c r="B110" s="142" t="s">
        <v>14648</v>
      </c>
      <c r="C110" s="142" t="s">
        <v>15847</v>
      </c>
      <c r="D110" s="142" t="s">
        <v>15848</v>
      </c>
      <c r="E110" s="142" t="s">
        <v>15849</v>
      </c>
      <c r="F110" s="142" t="s">
        <v>7293</v>
      </c>
      <c r="G110" s="142" t="s">
        <v>7292</v>
      </c>
      <c r="H110" s="142" t="s">
        <v>15960</v>
      </c>
      <c r="I110" s="142">
        <v>125</v>
      </c>
      <c r="J110" s="142">
        <v>111</v>
      </c>
      <c r="K110" s="142">
        <v>0</v>
      </c>
      <c r="L110" s="142">
        <v>0</v>
      </c>
      <c r="M110" s="142">
        <v>14</v>
      </c>
    </row>
    <row r="111" spans="1:13" x14ac:dyDescent="0.45">
      <c r="A111" s="142" t="s">
        <v>13036</v>
      </c>
      <c r="B111" s="142" t="s">
        <v>15567</v>
      </c>
      <c r="C111" s="142" t="s">
        <v>15847</v>
      </c>
      <c r="D111" s="142" t="s">
        <v>15848</v>
      </c>
      <c r="E111" s="142" t="s">
        <v>15849</v>
      </c>
      <c r="F111" s="142" t="s">
        <v>7293</v>
      </c>
      <c r="G111" s="142" t="s">
        <v>7292</v>
      </c>
      <c r="H111" s="142" t="s">
        <v>15961</v>
      </c>
      <c r="I111" s="142">
        <v>26</v>
      </c>
      <c r="J111" s="142">
        <v>0</v>
      </c>
      <c r="K111" s="142">
        <v>0</v>
      </c>
      <c r="L111" s="142">
        <v>26</v>
      </c>
      <c r="M111" s="142">
        <v>0</v>
      </c>
    </row>
    <row r="112" spans="1:13" x14ac:dyDescent="0.45">
      <c r="A112" s="142" t="s">
        <v>13009</v>
      </c>
      <c r="B112" s="142" t="s">
        <v>15256</v>
      </c>
      <c r="C112" s="142" t="s">
        <v>15847</v>
      </c>
      <c r="D112" s="142" t="s">
        <v>15848</v>
      </c>
      <c r="E112" s="142" t="s">
        <v>15849</v>
      </c>
      <c r="F112" s="142" t="s">
        <v>7293</v>
      </c>
      <c r="G112" s="142" t="s">
        <v>7292</v>
      </c>
      <c r="H112" s="142" t="s">
        <v>15962</v>
      </c>
      <c r="I112" s="142">
        <v>84</v>
      </c>
      <c r="J112" s="142">
        <v>51</v>
      </c>
      <c r="K112" s="142">
        <v>0</v>
      </c>
      <c r="L112" s="142">
        <v>33</v>
      </c>
      <c r="M112" s="142">
        <v>0</v>
      </c>
    </row>
    <row r="113" spans="1:13" x14ac:dyDescent="0.45">
      <c r="A113" s="142" t="s">
        <v>13012</v>
      </c>
      <c r="B113" s="142" t="s">
        <v>15337</v>
      </c>
      <c r="C113" s="142" t="s">
        <v>15847</v>
      </c>
      <c r="D113" s="142" t="s">
        <v>15848</v>
      </c>
      <c r="E113" s="142" t="s">
        <v>15849</v>
      </c>
      <c r="F113" s="142" t="s">
        <v>7293</v>
      </c>
      <c r="G113" s="142" t="s">
        <v>7292</v>
      </c>
      <c r="H113" s="142" t="s">
        <v>15963</v>
      </c>
      <c r="I113" s="142">
        <v>37</v>
      </c>
      <c r="J113" s="142">
        <v>36</v>
      </c>
      <c r="K113" s="142">
        <v>0</v>
      </c>
      <c r="L113" s="142">
        <v>0</v>
      </c>
      <c r="M113" s="142">
        <v>1</v>
      </c>
    </row>
    <row r="114" spans="1:13" x14ac:dyDescent="0.45">
      <c r="A114" s="142" t="s">
        <v>13042</v>
      </c>
      <c r="B114" s="142" t="s">
        <v>15489</v>
      </c>
      <c r="C114" s="142" t="s">
        <v>15847</v>
      </c>
      <c r="D114" s="142" t="s">
        <v>15848</v>
      </c>
      <c r="E114" s="142" t="s">
        <v>15849</v>
      </c>
      <c r="F114" s="142" t="s">
        <v>7293</v>
      </c>
      <c r="G114" s="142" t="s">
        <v>7292</v>
      </c>
      <c r="H114" s="142" t="s">
        <v>15964</v>
      </c>
      <c r="I114" s="142">
        <v>25</v>
      </c>
      <c r="J114" s="142">
        <v>2</v>
      </c>
      <c r="K114" s="142">
        <v>0</v>
      </c>
      <c r="L114" s="142">
        <v>23</v>
      </c>
      <c r="M114" s="142">
        <v>0</v>
      </c>
    </row>
    <row r="115" spans="1:13" x14ac:dyDescent="0.45">
      <c r="A115" s="142" t="s">
        <v>13070</v>
      </c>
      <c r="B115" s="142" t="s">
        <v>15394</v>
      </c>
      <c r="C115" s="142" t="s">
        <v>15847</v>
      </c>
      <c r="D115" s="142" t="s">
        <v>15848</v>
      </c>
      <c r="E115" s="142" t="s">
        <v>15849</v>
      </c>
      <c r="F115" s="142" t="s">
        <v>7293</v>
      </c>
      <c r="G115" s="142" t="s">
        <v>7292</v>
      </c>
      <c r="H115" s="142" t="s">
        <v>15965</v>
      </c>
      <c r="I115" s="142">
        <v>34</v>
      </c>
      <c r="J115" s="142">
        <v>34</v>
      </c>
      <c r="K115" s="142">
        <v>0</v>
      </c>
      <c r="L115" s="142">
        <v>0</v>
      </c>
      <c r="M115" s="142">
        <v>0</v>
      </c>
    </row>
    <row r="116" spans="1:13" x14ac:dyDescent="0.45">
      <c r="A116" s="142" t="s">
        <v>13072</v>
      </c>
      <c r="B116" s="142" t="s">
        <v>15530</v>
      </c>
      <c r="C116" s="142" t="s">
        <v>15847</v>
      </c>
      <c r="D116" s="142" t="s">
        <v>15848</v>
      </c>
      <c r="E116" s="142" t="s">
        <v>15849</v>
      </c>
      <c r="F116" s="142" t="s">
        <v>5426</v>
      </c>
      <c r="G116" s="142" t="s">
        <v>5425</v>
      </c>
      <c r="H116" s="142" t="s">
        <v>15966</v>
      </c>
      <c r="I116" s="142">
        <v>179</v>
      </c>
      <c r="J116" s="142">
        <v>179</v>
      </c>
      <c r="K116" s="142">
        <v>0</v>
      </c>
      <c r="L116" s="142">
        <v>0</v>
      </c>
      <c r="M116" s="142">
        <v>0</v>
      </c>
    </row>
    <row r="117" spans="1:13" x14ac:dyDescent="0.45">
      <c r="A117" s="142" t="s">
        <v>13021</v>
      </c>
      <c r="B117" s="142" t="s">
        <v>15501</v>
      </c>
      <c r="C117" s="142" t="s">
        <v>15847</v>
      </c>
      <c r="D117" s="142" t="s">
        <v>15848</v>
      </c>
      <c r="E117" s="142" t="s">
        <v>15849</v>
      </c>
      <c r="F117" s="142" t="s">
        <v>5426</v>
      </c>
      <c r="G117" s="142" t="s">
        <v>5425</v>
      </c>
      <c r="H117" s="142" t="s">
        <v>15967</v>
      </c>
      <c r="I117" s="142">
        <v>4</v>
      </c>
      <c r="J117" s="142">
        <v>0</v>
      </c>
      <c r="K117" s="142">
        <v>0</v>
      </c>
      <c r="L117" s="142">
        <v>0</v>
      </c>
      <c r="M117" s="142">
        <v>4</v>
      </c>
    </row>
    <row r="118" spans="1:13" x14ac:dyDescent="0.45">
      <c r="A118" s="142" t="s">
        <v>13023</v>
      </c>
      <c r="B118" s="142" t="s">
        <v>15571</v>
      </c>
      <c r="C118" s="142" t="s">
        <v>15847</v>
      </c>
      <c r="D118" s="142" t="s">
        <v>15848</v>
      </c>
      <c r="E118" s="142" t="s">
        <v>15849</v>
      </c>
      <c r="F118" s="142" t="s">
        <v>5426</v>
      </c>
      <c r="G118" s="142" t="s">
        <v>5425</v>
      </c>
      <c r="H118" s="142" t="s">
        <v>15968</v>
      </c>
      <c r="I118" s="142">
        <v>12</v>
      </c>
      <c r="J118" s="142">
        <v>0</v>
      </c>
      <c r="K118" s="142">
        <v>0</v>
      </c>
      <c r="L118" s="142">
        <v>0</v>
      </c>
      <c r="M118" s="142">
        <v>12</v>
      </c>
    </row>
    <row r="119" spans="1:13" x14ac:dyDescent="0.45">
      <c r="A119" s="142" t="s">
        <v>13073</v>
      </c>
      <c r="B119" s="142" t="s">
        <v>15126</v>
      </c>
      <c r="C119" s="142" t="s">
        <v>15860</v>
      </c>
      <c r="D119" s="142" t="s">
        <v>15861</v>
      </c>
      <c r="E119" s="142" t="s">
        <v>15849</v>
      </c>
      <c r="F119" s="142" t="s">
        <v>5426</v>
      </c>
      <c r="G119" s="142" t="s">
        <v>5425</v>
      </c>
      <c r="H119" s="142" t="s">
        <v>15969</v>
      </c>
      <c r="I119" s="142">
        <v>40</v>
      </c>
      <c r="J119" s="142">
        <v>40</v>
      </c>
      <c r="K119" s="142">
        <v>0</v>
      </c>
      <c r="L119" s="142">
        <v>0</v>
      </c>
      <c r="M119" s="142">
        <v>0</v>
      </c>
    </row>
    <row r="120" spans="1:13" x14ac:dyDescent="0.45">
      <c r="A120" s="142" t="s">
        <v>13000</v>
      </c>
      <c r="B120" s="142" t="s">
        <v>14610</v>
      </c>
      <c r="C120" s="142" t="s">
        <v>15847</v>
      </c>
      <c r="D120" s="142" t="s">
        <v>15848</v>
      </c>
      <c r="E120" s="142" t="s">
        <v>15849</v>
      </c>
      <c r="F120" s="142" t="s">
        <v>5426</v>
      </c>
      <c r="G120" s="142" t="s">
        <v>5425</v>
      </c>
      <c r="H120" s="142" t="s">
        <v>15970</v>
      </c>
      <c r="I120" s="142">
        <v>406</v>
      </c>
      <c r="J120" s="142">
        <v>314</v>
      </c>
      <c r="K120" s="142">
        <v>0</v>
      </c>
      <c r="L120" s="142">
        <v>31</v>
      </c>
      <c r="M120" s="142">
        <v>61</v>
      </c>
    </row>
    <row r="121" spans="1:13" x14ac:dyDescent="0.45">
      <c r="A121" s="142" t="s">
        <v>13074</v>
      </c>
      <c r="B121" s="142" t="s">
        <v>15405</v>
      </c>
      <c r="C121" s="142" t="s">
        <v>15847</v>
      </c>
      <c r="D121" s="142" t="s">
        <v>15848</v>
      </c>
      <c r="E121" s="142" t="s">
        <v>15849</v>
      </c>
      <c r="F121" s="142" t="s">
        <v>5426</v>
      </c>
      <c r="G121" s="142" t="s">
        <v>5425</v>
      </c>
      <c r="H121" s="142" t="s">
        <v>15971</v>
      </c>
      <c r="I121" s="142">
        <v>188</v>
      </c>
      <c r="J121" s="142">
        <v>138</v>
      </c>
      <c r="K121" s="142">
        <v>0</v>
      </c>
      <c r="L121" s="142">
        <v>0</v>
      </c>
      <c r="M121" s="142">
        <v>50</v>
      </c>
    </row>
    <row r="122" spans="1:13" x14ac:dyDescent="0.45">
      <c r="A122" s="142" t="s">
        <v>13075</v>
      </c>
      <c r="B122" s="142" t="s">
        <v>15598</v>
      </c>
      <c r="C122" s="142" t="s">
        <v>15847</v>
      </c>
      <c r="D122" s="142" t="s">
        <v>15848</v>
      </c>
      <c r="E122" s="142" t="s">
        <v>15849</v>
      </c>
      <c r="F122" s="142" t="s">
        <v>5426</v>
      </c>
      <c r="G122" s="142" t="s">
        <v>5425</v>
      </c>
      <c r="H122" s="142" t="s">
        <v>15972</v>
      </c>
      <c r="I122" s="142">
        <v>150</v>
      </c>
      <c r="J122" s="142">
        <v>83</v>
      </c>
      <c r="K122" s="142">
        <v>0</v>
      </c>
      <c r="L122" s="142">
        <v>0</v>
      </c>
      <c r="M122" s="142">
        <v>67</v>
      </c>
    </row>
    <row r="123" spans="1:13" x14ac:dyDescent="0.45">
      <c r="A123" s="142" t="s">
        <v>13028</v>
      </c>
      <c r="B123" s="142" t="s">
        <v>14462</v>
      </c>
      <c r="C123" s="142" t="s">
        <v>15847</v>
      </c>
      <c r="D123" s="142" t="s">
        <v>15848</v>
      </c>
      <c r="E123" s="142" t="s">
        <v>15849</v>
      </c>
      <c r="F123" s="142" t="s">
        <v>5426</v>
      </c>
      <c r="G123" s="142" t="s">
        <v>5425</v>
      </c>
      <c r="H123" s="142" t="s">
        <v>15973</v>
      </c>
      <c r="I123" s="142">
        <v>19</v>
      </c>
      <c r="J123" s="142">
        <v>0</v>
      </c>
      <c r="K123" s="142">
        <v>0</v>
      </c>
      <c r="L123" s="142">
        <v>0</v>
      </c>
      <c r="M123" s="142">
        <v>19</v>
      </c>
    </row>
    <row r="124" spans="1:13" x14ac:dyDescent="0.45">
      <c r="A124" s="142" t="s">
        <v>13002</v>
      </c>
      <c r="B124" s="142" t="s">
        <v>15376</v>
      </c>
      <c r="C124" s="142" t="s">
        <v>15847</v>
      </c>
      <c r="D124" s="142" t="s">
        <v>15848</v>
      </c>
      <c r="E124" s="142" t="s">
        <v>15849</v>
      </c>
      <c r="F124" s="142" t="s">
        <v>5426</v>
      </c>
      <c r="G124" s="142" t="s">
        <v>5425</v>
      </c>
      <c r="H124" s="142" t="s">
        <v>15974</v>
      </c>
      <c r="I124" s="142">
        <v>17</v>
      </c>
      <c r="J124" s="142">
        <v>0</v>
      </c>
      <c r="K124" s="142">
        <v>0</v>
      </c>
      <c r="L124" s="142">
        <v>17</v>
      </c>
      <c r="M124" s="142">
        <v>0</v>
      </c>
    </row>
    <row r="125" spans="1:13" x14ac:dyDescent="0.45">
      <c r="A125" s="142" t="s">
        <v>13003</v>
      </c>
      <c r="B125" s="142" t="s">
        <v>15245</v>
      </c>
      <c r="C125" s="142" t="s">
        <v>15847</v>
      </c>
      <c r="D125" s="142" t="s">
        <v>15848</v>
      </c>
      <c r="E125" s="142" t="s">
        <v>15849</v>
      </c>
      <c r="F125" s="142" t="s">
        <v>5426</v>
      </c>
      <c r="G125" s="142" t="s">
        <v>5425</v>
      </c>
      <c r="H125" s="142" t="s">
        <v>15975</v>
      </c>
      <c r="I125" s="142">
        <v>131</v>
      </c>
      <c r="J125" s="142">
        <v>0</v>
      </c>
      <c r="K125" s="142">
        <v>0</v>
      </c>
      <c r="L125" s="142">
        <v>82</v>
      </c>
      <c r="M125" s="142">
        <v>49</v>
      </c>
    </row>
    <row r="126" spans="1:13" x14ac:dyDescent="0.45">
      <c r="A126" s="142" t="s">
        <v>13004</v>
      </c>
      <c r="B126" s="142" t="s">
        <v>15492</v>
      </c>
      <c r="C126" s="142" t="s">
        <v>15847</v>
      </c>
      <c r="D126" s="142" t="s">
        <v>15848</v>
      </c>
      <c r="E126" s="142" t="s">
        <v>15849</v>
      </c>
      <c r="F126" s="142" t="s">
        <v>5426</v>
      </c>
      <c r="G126" s="142" t="s">
        <v>5425</v>
      </c>
      <c r="H126" s="142" t="s">
        <v>15976</v>
      </c>
      <c r="I126" s="142">
        <v>168</v>
      </c>
      <c r="J126" s="142">
        <v>102</v>
      </c>
      <c r="K126" s="142">
        <v>0</v>
      </c>
      <c r="L126" s="142">
        <v>0</v>
      </c>
      <c r="M126" s="142">
        <v>66</v>
      </c>
    </row>
    <row r="127" spans="1:13" x14ac:dyDescent="0.45">
      <c r="A127" s="142" t="s">
        <v>13066</v>
      </c>
      <c r="B127" s="142" t="s">
        <v>14459</v>
      </c>
      <c r="C127" s="142" t="s">
        <v>15847</v>
      </c>
      <c r="D127" s="142" t="s">
        <v>15848</v>
      </c>
      <c r="E127" s="142" t="s">
        <v>15849</v>
      </c>
      <c r="F127" s="142" t="s">
        <v>5426</v>
      </c>
      <c r="G127" s="142" t="s">
        <v>5425</v>
      </c>
      <c r="H127" s="142" t="s">
        <v>15977</v>
      </c>
      <c r="I127" s="142">
        <v>4</v>
      </c>
      <c r="J127" s="142">
        <v>0</v>
      </c>
      <c r="K127" s="142">
        <v>0</v>
      </c>
      <c r="L127" s="142">
        <v>4</v>
      </c>
      <c r="M127" s="142">
        <v>0</v>
      </c>
    </row>
    <row r="128" spans="1:13" x14ac:dyDescent="0.45">
      <c r="A128" s="142" t="s">
        <v>13076</v>
      </c>
      <c r="B128" s="142" t="s">
        <v>14636</v>
      </c>
      <c r="C128" s="142" t="s">
        <v>15847</v>
      </c>
      <c r="D128" s="142" t="s">
        <v>15848</v>
      </c>
      <c r="E128" s="142" t="s">
        <v>15849</v>
      </c>
      <c r="F128" s="142" t="s">
        <v>5426</v>
      </c>
      <c r="G128" s="142" t="s">
        <v>5425</v>
      </c>
      <c r="H128" s="142" t="s">
        <v>15978</v>
      </c>
      <c r="I128" s="142">
        <v>32</v>
      </c>
      <c r="J128" s="142">
        <v>8</v>
      </c>
      <c r="K128" s="142">
        <v>0</v>
      </c>
      <c r="L128" s="142">
        <v>0</v>
      </c>
      <c r="M128" s="142">
        <v>24</v>
      </c>
    </row>
    <row r="129" spans="1:13" x14ac:dyDescent="0.45">
      <c r="A129" s="142" t="s">
        <v>13029</v>
      </c>
      <c r="B129" s="142" t="s">
        <v>14665</v>
      </c>
      <c r="C129" s="142" t="s">
        <v>15847</v>
      </c>
      <c r="D129" s="142" t="s">
        <v>15848</v>
      </c>
      <c r="E129" s="142" t="s">
        <v>15849</v>
      </c>
      <c r="F129" s="142" t="s">
        <v>5426</v>
      </c>
      <c r="G129" s="142" t="s">
        <v>5425</v>
      </c>
      <c r="H129" s="142" t="s">
        <v>15979</v>
      </c>
      <c r="I129" s="142">
        <v>19</v>
      </c>
      <c r="J129" s="142">
        <v>0</v>
      </c>
      <c r="K129" s="142">
        <v>0</v>
      </c>
      <c r="L129" s="142">
        <v>0</v>
      </c>
      <c r="M129" s="142">
        <v>19</v>
      </c>
    </row>
    <row r="130" spans="1:13" x14ac:dyDescent="0.45">
      <c r="A130" s="142" t="s">
        <v>13007</v>
      </c>
      <c r="B130" s="142" t="s">
        <v>15262</v>
      </c>
      <c r="C130" s="142" t="s">
        <v>15847</v>
      </c>
      <c r="D130" s="142" t="s">
        <v>15848</v>
      </c>
      <c r="E130" s="142" t="s">
        <v>15849</v>
      </c>
      <c r="F130" s="142" t="s">
        <v>5426</v>
      </c>
      <c r="G130" s="142" t="s">
        <v>5425</v>
      </c>
      <c r="H130" s="142" t="s">
        <v>15980</v>
      </c>
      <c r="I130" s="142">
        <v>653</v>
      </c>
      <c r="J130" s="142">
        <v>427</v>
      </c>
      <c r="K130" s="142">
        <v>0</v>
      </c>
      <c r="L130" s="142">
        <v>7</v>
      </c>
      <c r="M130" s="142">
        <v>219</v>
      </c>
    </row>
    <row r="131" spans="1:13" x14ac:dyDescent="0.45">
      <c r="A131" s="142" t="s">
        <v>13008</v>
      </c>
      <c r="B131" s="142" t="s">
        <v>15411</v>
      </c>
      <c r="C131" s="142" t="s">
        <v>15847</v>
      </c>
      <c r="D131" s="142" t="s">
        <v>15848</v>
      </c>
      <c r="E131" s="142" t="s">
        <v>15849</v>
      </c>
      <c r="F131" s="142" t="s">
        <v>5426</v>
      </c>
      <c r="G131" s="142" t="s">
        <v>5425</v>
      </c>
      <c r="H131" s="142" t="s">
        <v>15981</v>
      </c>
      <c r="I131" s="142">
        <v>77</v>
      </c>
      <c r="J131" s="142">
        <v>0</v>
      </c>
      <c r="K131" s="142">
        <v>0</v>
      </c>
      <c r="L131" s="142">
        <v>0</v>
      </c>
      <c r="M131" s="142">
        <v>77</v>
      </c>
    </row>
    <row r="132" spans="1:13" x14ac:dyDescent="0.45">
      <c r="A132" s="142" t="s">
        <v>13077</v>
      </c>
      <c r="B132" s="142" t="s">
        <v>15407</v>
      </c>
      <c r="C132" s="142" t="s">
        <v>15847</v>
      </c>
      <c r="D132" s="142" t="s">
        <v>15848</v>
      </c>
      <c r="E132" s="142" t="s">
        <v>15849</v>
      </c>
      <c r="F132" s="142" t="s">
        <v>5426</v>
      </c>
      <c r="G132" s="142" t="s">
        <v>5425</v>
      </c>
      <c r="H132" s="142" t="s">
        <v>15982</v>
      </c>
      <c r="I132" s="142">
        <v>130</v>
      </c>
      <c r="J132" s="142">
        <v>79</v>
      </c>
      <c r="K132" s="142">
        <v>0</v>
      </c>
      <c r="L132" s="142">
        <v>51</v>
      </c>
      <c r="M132" s="142">
        <v>0</v>
      </c>
    </row>
    <row r="133" spans="1:13" x14ac:dyDescent="0.45">
      <c r="A133" s="142" t="s">
        <v>13033</v>
      </c>
      <c r="B133" s="142" t="s">
        <v>15276</v>
      </c>
      <c r="C133" s="142" t="s">
        <v>15847</v>
      </c>
      <c r="D133" s="142" t="s">
        <v>15848</v>
      </c>
      <c r="E133" s="142" t="s">
        <v>15849</v>
      </c>
      <c r="F133" s="142" t="s">
        <v>5426</v>
      </c>
      <c r="G133" s="142" t="s">
        <v>5425</v>
      </c>
      <c r="H133" s="142" t="s">
        <v>15983</v>
      </c>
      <c r="I133" s="142">
        <v>120</v>
      </c>
      <c r="J133" s="142">
        <v>66</v>
      </c>
      <c r="K133" s="142">
        <v>0</v>
      </c>
      <c r="L133" s="142">
        <v>0</v>
      </c>
      <c r="M133" s="142">
        <v>54</v>
      </c>
    </row>
    <row r="134" spans="1:13" x14ac:dyDescent="0.45">
      <c r="A134" s="142" t="s">
        <v>13034</v>
      </c>
      <c r="B134" s="142" t="s">
        <v>15562</v>
      </c>
      <c r="C134" s="142" t="s">
        <v>15847</v>
      </c>
      <c r="D134" s="142" t="s">
        <v>15848</v>
      </c>
      <c r="E134" s="142" t="s">
        <v>15849</v>
      </c>
      <c r="F134" s="142" t="s">
        <v>5426</v>
      </c>
      <c r="G134" s="142" t="s">
        <v>5425</v>
      </c>
      <c r="H134" s="142" t="s">
        <v>15984</v>
      </c>
      <c r="I134" s="142">
        <v>11</v>
      </c>
      <c r="J134" s="142">
        <v>0</v>
      </c>
      <c r="K134" s="142">
        <v>0</v>
      </c>
      <c r="L134" s="142">
        <v>11</v>
      </c>
      <c r="M134" s="142">
        <v>0</v>
      </c>
    </row>
    <row r="135" spans="1:13" x14ac:dyDescent="0.45">
      <c r="A135" s="142" t="s">
        <v>13037</v>
      </c>
      <c r="B135" s="142" t="s">
        <v>14519</v>
      </c>
      <c r="C135" s="142" t="s">
        <v>15847</v>
      </c>
      <c r="D135" s="142" t="s">
        <v>15848</v>
      </c>
      <c r="E135" s="142" t="s">
        <v>15849</v>
      </c>
      <c r="F135" s="142" t="s">
        <v>5426</v>
      </c>
      <c r="G135" s="142" t="s">
        <v>5425</v>
      </c>
      <c r="H135" s="142" t="s">
        <v>15985</v>
      </c>
      <c r="I135" s="142">
        <v>1</v>
      </c>
      <c r="J135" s="142">
        <v>0</v>
      </c>
      <c r="K135" s="142">
        <v>0</v>
      </c>
      <c r="L135" s="142">
        <v>1</v>
      </c>
      <c r="M135" s="142">
        <v>0</v>
      </c>
    </row>
    <row r="136" spans="1:13" x14ac:dyDescent="0.45">
      <c r="A136" s="142" t="s">
        <v>13038</v>
      </c>
      <c r="B136" s="142" t="s">
        <v>14646</v>
      </c>
      <c r="C136" s="142" t="s">
        <v>15847</v>
      </c>
      <c r="D136" s="142" t="s">
        <v>15848</v>
      </c>
      <c r="E136" s="142" t="s">
        <v>15849</v>
      </c>
      <c r="F136" s="142" t="s">
        <v>5426</v>
      </c>
      <c r="G136" s="142" t="s">
        <v>5425</v>
      </c>
      <c r="H136" s="142" t="s">
        <v>15986</v>
      </c>
      <c r="I136" s="142">
        <v>44</v>
      </c>
      <c r="J136" s="142">
        <v>0</v>
      </c>
      <c r="K136" s="142">
        <v>0</v>
      </c>
      <c r="L136" s="142">
        <v>0</v>
      </c>
      <c r="M136" s="142">
        <v>44</v>
      </c>
    </row>
    <row r="137" spans="1:13" x14ac:dyDescent="0.45">
      <c r="A137" s="142" t="s">
        <v>13039</v>
      </c>
      <c r="B137" s="142" t="s">
        <v>14647</v>
      </c>
      <c r="C137" s="142" t="s">
        <v>15847</v>
      </c>
      <c r="D137" s="142" t="s">
        <v>15848</v>
      </c>
      <c r="E137" s="142" t="s">
        <v>15849</v>
      </c>
      <c r="F137" s="142" t="s">
        <v>5426</v>
      </c>
      <c r="G137" s="142" t="s">
        <v>5425</v>
      </c>
      <c r="H137" s="142" t="s">
        <v>15987</v>
      </c>
      <c r="I137" s="142">
        <v>61</v>
      </c>
      <c r="J137" s="142">
        <v>61</v>
      </c>
      <c r="K137" s="142">
        <v>0</v>
      </c>
      <c r="L137" s="142">
        <v>0</v>
      </c>
      <c r="M137" s="142">
        <v>0</v>
      </c>
    </row>
    <row r="138" spans="1:13" x14ac:dyDescent="0.45">
      <c r="A138" s="142" t="s">
        <v>13078</v>
      </c>
      <c r="B138" s="142" t="s">
        <v>15540</v>
      </c>
      <c r="C138" s="142" t="s">
        <v>15847</v>
      </c>
      <c r="D138" s="142" t="s">
        <v>15848</v>
      </c>
      <c r="E138" s="142" t="s">
        <v>15849</v>
      </c>
      <c r="F138" s="142" t="s">
        <v>5426</v>
      </c>
      <c r="G138" s="142" t="s">
        <v>5425</v>
      </c>
      <c r="H138" s="142" t="s">
        <v>15988</v>
      </c>
      <c r="I138" s="142">
        <v>71</v>
      </c>
      <c r="J138" s="142">
        <v>71</v>
      </c>
      <c r="K138" s="142">
        <v>0</v>
      </c>
      <c r="L138" s="142">
        <v>0</v>
      </c>
      <c r="M138" s="142">
        <v>0</v>
      </c>
    </row>
    <row r="139" spans="1:13" x14ac:dyDescent="0.45">
      <c r="A139" s="142" t="s">
        <v>13009</v>
      </c>
      <c r="B139" s="142" t="s">
        <v>15256</v>
      </c>
      <c r="C139" s="142" t="s">
        <v>15847</v>
      </c>
      <c r="D139" s="142" t="s">
        <v>15848</v>
      </c>
      <c r="E139" s="142" t="s">
        <v>15849</v>
      </c>
      <c r="F139" s="142" t="s">
        <v>5426</v>
      </c>
      <c r="G139" s="142" t="s">
        <v>5425</v>
      </c>
      <c r="H139" s="142" t="s">
        <v>15989</v>
      </c>
      <c r="I139" s="142">
        <v>99</v>
      </c>
      <c r="J139" s="142">
        <v>70</v>
      </c>
      <c r="K139" s="142">
        <v>0</v>
      </c>
      <c r="L139" s="142">
        <v>16</v>
      </c>
      <c r="M139" s="142">
        <v>13</v>
      </c>
    </row>
    <row r="140" spans="1:13" x14ac:dyDescent="0.45">
      <c r="A140" s="142" t="s">
        <v>13011</v>
      </c>
      <c r="B140" s="142" t="s">
        <v>14695</v>
      </c>
      <c r="C140" s="142" t="s">
        <v>15847</v>
      </c>
      <c r="D140" s="142" t="s">
        <v>15848</v>
      </c>
      <c r="E140" s="142" t="s">
        <v>15849</v>
      </c>
      <c r="F140" s="142" t="s">
        <v>5426</v>
      </c>
      <c r="G140" s="142" t="s">
        <v>5425</v>
      </c>
      <c r="H140" s="142" t="s">
        <v>15990</v>
      </c>
      <c r="I140" s="142">
        <v>532</v>
      </c>
      <c r="J140" s="142">
        <v>437</v>
      </c>
      <c r="K140" s="142">
        <v>0</v>
      </c>
      <c r="L140" s="142">
        <v>50</v>
      </c>
      <c r="M140" s="142">
        <v>45</v>
      </c>
    </row>
    <row r="141" spans="1:13" x14ac:dyDescent="0.45">
      <c r="A141" s="142" t="s">
        <v>13041</v>
      </c>
      <c r="B141" s="142" t="s">
        <v>14441</v>
      </c>
      <c r="C141" s="142" t="s">
        <v>15847</v>
      </c>
      <c r="D141" s="142" t="s">
        <v>15848</v>
      </c>
      <c r="E141" s="142" t="s">
        <v>15849</v>
      </c>
      <c r="F141" s="142" t="s">
        <v>5426</v>
      </c>
      <c r="G141" s="142" t="s">
        <v>5425</v>
      </c>
      <c r="H141" s="142" t="s">
        <v>15991</v>
      </c>
      <c r="I141" s="142">
        <v>27</v>
      </c>
      <c r="J141" s="142">
        <v>0</v>
      </c>
      <c r="K141" s="142">
        <v>0</v>
      </c>
      <c r="L141" s="142">
        <v>0</v>
      </c>
      <c r="M141" s="142">
        <v>27</v>
      </c>
    </row>
    <row r="142" spans="1:13" x14ac:dyDescent="0.45">
      <c r="A142" s="142" t="s">
        <v>13014</v>
      </c>
      <c r="B142" s="142" t="s">
        <v>14505</v>
      </c>
      <c r="C142" s="142" t="s">
        <v>15847</v>
      </c>
      <c r="D142" s="142" t="s">
        <v>15848</v>
      </c>
      <c r="E142" s="142" t="s">
        <v>15849</v>
      </c>
      <c r="F142" s="142" t="s">
        <v>5426</v>
      </c>
      <c r="G142" s="142" t="s">
        <v>5425</v>
      </c>
      <c r="H142" s="142" t="s">
        <v>15992</v>
      </c>
      <c r="I142" s="142">
        <v>1</v>
      </c>
      <c r="J142" s="142">
        <v>0</v>
      </c>
      <c r="K142" s="142">
        <v>0</v>
      </c>
      <c r="L142" s="142">
        <v>0</v>
      </c>
      <c r="M142" s="142">
        <v>1</v>
      </c>
    </row>
    <row r="143" spans="1:13" x14ac:dyDescent="0.45">
      <c r="A143" s="142" t="s">
        <v>13042</v>
      </c>
      <c r="B143" s="142" t="s">
        <v>15489</v>
      </c>
      <c r="C143" s="142" t="s">
        <v>15847</v>
      </c>
      <c r="D143" s="142" t="s">
        <v>15848</v>
      </c>
      <c r="E143" s="142" t="s">
        <v>15849</v>
      </c>
      <c r="F143" s="142" t="s">
        <v>5426</v>
      </c>
      <c r="G143" s="142" t="s">
        <v>5425</v>
      </c>
      <c r="H143" s="142" t="s">
        <v>15993</v>
      </c>
      <c r="I143" s="142">
        <v>12</v>
      </c>
      <c r="J143" s="142">
        <v>8</v>
      </c>
      <c r="K143" s="142">
        <v>0</v>
      </c>
      <c r="L143" s="142">
        <v>0</v>
      </c>
      <c r="M143" s="142">
        <v>4</v>
      </c>
    </row>
    <row r="144" spans="1:13" x14ac:dyDescent="0.45">
      <c r="A144" s="142" t="s">
        <v>13079</v>
      </c>
      <c r="B144" s="142" t="s">
        <v>15431</v>
      </c>
      <c r="C144" s="142" t="s">
        <v>15847</v>
      </c>
      <c r="D144" s="142" t="s">
        <v>15848</v>
      </c>
      <c r="E144" s="142" t="s">
        <v>15849</v>
      </c>
      <c r="F144" s="142" t="s">
        <v>5426</v>
      </c>
      <c r="G144" s="142" t="s">
        <v>5425</v>
      </c>
      <c r="H144" s="142" t="s">
        <v>15994</v>
      </c>
      <c r="I144" s="142">
        <v>123</v>
      </c>
      <c r="J144" s="142">
        <v>80</v>
      </c>
      <c r="K144" s="142">
        <v>0</v>
      </c>
      <c r="L144" s="142">
        <v>0</v>
      </c>
      <c r="M144" s="142">
        <v>43</v>
      </c>
    </row>
    <row r="145" spans="1:13" x14ac:dyDescent="0.45">
      <c r="A145" s="142" t="s">
        <v>13080</v>
      </c>
      <c r="B145" s="142" t="s">
        <v>15553</v>
      </c>
      <c r="C145" s="142" t="s">
        <v>15847</v>
      </c>
      <c r="D145" s="142" t="s">
        <v>15848</v>
      </c>
      <c r="E145" s="142" t="s">
        <v>15849</v>
      </c>
      <c r="F145" s="142" t="s">
        <v>5426</v>
      </c>
      <c r="G145" s="142" t="s">
        <v>5425</v>
      </c>
      <c r="H145" s="142" t="s">
        <v>15995</v>
      </c>
      <c r="I145" s="142">
        <v>600</v>
      </c>
      <c r="J145" s="142">
        <v>341</v>
      </c>
      <c r="K145" s="142">
        <v>0</v>
      </c>
      <c r="L145" s="142">
        <v>100</v>
      </c>
      <c r="M145" s="142">
        <v>159</v>
      </c>
    </row>
    <row r="146" spans="1:13" x14ac:dyDescent="0.45">
      <c r="A146" s="142" t="s">
        <v>13023</v>
      </c>
      <c r="B146" s="142" t="s">
        <v>15571</v>
      </c>
      <c r="C146" s="142" t="s">
        <v>15847</v>
      </c>
      <c r="D146" s="142" t="s">
        <v>15848</v>
      </c>
      <c r="E146" s="142" t="s">
        <v>15849</v>
      </c>
      <c r="F146" s="142" t="s">
        <v>8120</v>
      </c>
      <c r="G146" s="142" t="s">
        <v>8119</v>
      </c>
      <c r="H146" s="142" t="s">
        <v>15996</v>
      </c>
      <c r="I146" s="142">
        <v>40</v>
      </c>
      <c r="J146" s="142">
        <v>8</v>
      </c>
      <c r="K146" s="142">
        <v>0</v>
      </c>
      <c r="L146" s="142">
        <v>32</v>
      </c>
      <c r="M146" s="142">
        <v>0</v>
      </c>
    </row>
    <row r="147" spans="1:13" x14ac:dyDescent="0.45">
      <c r="A147" s="142" t="s">
        <v>13082</v>
      </c>
      <c r="B147" s="142" t="s">
        <v>14478</v>
      </c>
      <c r="C147" s="142" t="s">
        <v>15860</v>
      </c>
      <c r="D147" s="142" t="s">
        <v>15861</v>
      </c>
      <c r="E147" s="142" t="s">
        <v>15849</v>
      </c>
      <c r="F147" s="142" t="s">
        <v>8120</v>
      </c>
      <c r="G147" s="142" t="s">
        <v>8119</v>
      </c>
      <c r="H147" s="142" t="s">
        <v>15997</v>
      </c>
      <c r="I147" s="142">
        <v>6</v>
      </c>
      <c r="J147" s="142">
        <v>0</v>
      </c>
      <c r="K147" s="142">
        <v>0</v>
      </c>
      <c r="L147" s="142">
        <v>6</v>
      </c>
      <c r="M147" s="142">
        <v>0</v>
      </c>
    </row>
    <row r="148" spans="1:13" x14ac:dyDescent="0.45">
      <c r="A148" s="142" t="s">
        <v>13083</v>
      </c>
      <c r="B148" s="142" t="s">
        <v>15440</v>
      </c>
      <c r="C148" s="142" t="s">
        <v>15847</v>
      </c>
      <c r="D148" s="142" t="s">
        <v>15848</v>
      </c>
      <c r="E148" s="142" t="s">
        <v>15849</v>
      </c>
      <c r="F148" s="142" t="s">
        <v>8120</v>
      </c>
      <c r="G148" s="142" t="s">
        <v>8119</v>
      </c>
      <c r="H148" s="142" t="s">
        <v>15998</v>
      </c>
      <c r="I148" s="142">
        <v>35</v>
      </c>
      <c r="J148" s="142">
        <v>25</v>
      </c>
      <c r="K148" s="142">
        <v>0</v>
      </c>
      <c r="L148" s="142">
        <v>0</v>
      </c>
      <c r="M148" s="142">
        <v>10</v>
      </c>
    </row>
    <row r="149" spans="1:13" x14ac:dyDescent="0.45">
      <c r="A149" s="142" t="s">
        <v>13084</v>
      </c>
      <c r="B149" s="142" t="s">
        <v>15471</v>
      </c>
      <c r="C149" s="142" t="s">
        <v>15847</v>
      </c>
      <c r="D149" s="142" t="s">
        <v>15848</v>
      </c>
      <c r="E149" s="142" t="s">
        <v>15849</v>
      </c>
      <c r="F149" s="142" t="s">
        <v>8120</v>
      </c>
      <c r="G149" s="142" t="s">
        <v>8119</v>
      </c>
      <c r="H149" s="142" t="s">
        <v>15999</v>
      </c>
      <c r="I149" s="142">
        <v>382</v>
      </c>
      <c r="J149" s="142">
        <v>295</v>
      </c>
      <c r="K149" s="142">
        <v>0</v>
      </c>
      <c r="L149" s="142">
        <v>0</v>
      </c>
      <c r="M149" s="142">
        <v>87</v>
      </c>
    </row>
    <row r="150" spans="1:13" x14ac:dyDescent="0.45">
      <c r="A150" s="142" t="s">
        <v>13085</v>
      </c>
      <c r="B150" s="142" t="s">
        <v>14460</v>
      </c>
      <c r="C150" s="142" t="s">
        <v>15860</v>
      </c>
      <c r="D150" s="142" t="s">
        <v>15861</v>
      </c>
      <c r="E150" s="142" t="s">
        <v>15849</v>
      </c>
      <c r="F150" s="142" t="s">
        <v>8120</v>
      </c>
      <c r="G150" s="142" t="s">
        <v>8119</v>
      </c>
      <c r="H150" s="142" t="s">
        <v>16000</v>
      </c>
      <c r="I150" s="142">
        <v>1</v>
      </c>
      <c r="J150" s="142">
        <v>0</v>
      </c>
      <c r="K150" s="142">
        <v>0</v>
      </c>
      <c r="L150" s="142">
        <v>1</v>
      </c>
      <c r="M150" s="142">
        <v>0</v>
      </c>
    </row>
    <row r="151" spans="1:13" x14ac:dyDescent="0.45">
      <c r="A151" s="142" t="s">
        <v>13086</v>
      </c>
      <c r="B151" s="142" t="s">
        <v>15380</v>
      </c>
      <c r="C151" s="142" t="s">
        <v>15847</v>
      </c>
      <c r="D151" s="142" t="s">
        <v>15848</v>
      </c>
      <c r="E151" s="142" t="s">
        <v>15849</v>
      </c>
      <c r="F151" s="142" t="s">
        <v>8120</v>
      </c>
      <c r="G151" s="142" t="s">
        <v>8119</v>
      </c>
      <c r="H151" s="142" t="s">
        <v>16001</v>
      </c>
      <c r="I151" s="142">
        <v>1</v>
      </c>
      <c r="J151" s="142">
        <v>0</v>
      </c>
      <c r="K151" s="142">
        <v>0</v>
      </c>
      <c r="L151" s="142">
        <v>0</v>
      </c>
      <c r="M151" s="142">
        <v>1</v>
      </c>
    </row>
    <row r="152" spans="1:13" x14ac:dyDescent="0.45">
      <c r="A152" s="142" t="s">
        <v>13087</v>
      </c>
      <c r="B152" s="142" t="s">
        <v>14452</v>
      </c>
      <c r="C152" s="142" t="s">
        <v>15847</v>
      </c>
      <c r="D152" s="142" t="s">
        <v>15848</v>
      </c>
      <c r="E152" s="142" t="s">
        <v>15849</v>
      </c>
      <c r="F152" s="142" t="s">
        <v>8120</v>
      </c>
      <c r="G152" s="142" t="s">
        <v>8119</v>
      </c>
      <c r="H152" s="142" t="s">
        <v>16002</v>
      </c>
      <c r="I152" s="142">
        <v>980</v>
      </c>
      <c r="J152" s="142">
        <v>862</v>
      </c>
      <c r="K152" s="142">
        <v>0</v>
      </c>
      <c r="L152" s="142">
        <v>9</v>
      </c>
      <c r="M152" s="142">
        <v>109</v>
      </c>
    </row>
    <row r="153" spans="1:13" x14ac:dyDescent="0.45">
      <c r="A153" s="142" t="s">
        <v>13027</v>
      </c>
      <c r="B153" s="142" t="s">
        <v>14562</v>
      </c>
      <c r="C153" s="142" t="s">
        <v>15847</v>
      </c>
      <c r="D153" s="142" t="s">
        <v>15848</v>
      </c>
      <c r="E153" s="142" t="s">
        <v>15849</v>
      </c>
      <c r="F153" s="142" t="s">
        <v>8120</v>
      </c>
      <c r="G153" s="142" t="s">
        <v>8119</v>
      </c>
      <c r="H153" s="142" t="s">
        <v>16003</v>
      </c>
      <c r="I153" s="142">
        <v>10</v>
      </c>
      <c r="J153" s="142">
        <v>0</v>
      </c>
      <c r="K153" s="142">
        <v>0</v>
      </c>
      <c r="L153" s="142">
        <v>10</v>
      </c>
      <c r="M153" s="142">
        <v>0</v>
      </c>
    </row>
    <row r="154" spans="1:13" x14ac:dyDescent="0.45">
      <c r="A154" s="142" t="s">
        <v>13088</v>
      </c>
      <c r="B154" s="142" t="s">
        <v>14775</v>
      </c>
      <c r="C154" s="142" t="s">
        <v>15860</v>
      </c>
      <c r="D154" s="142" t="s">
        <v>15861</v>
      </c>
      <c r="E154" s="142" t="s">
        <v>15849</v>
      </c>
      <c r="F154" s="142" t="s">
        <v>8120</v>
      </c>
      <c r="G154" s="142" t="s">
        <v>8119</v>
      </c>
      <c r="H154" s="142" t="s">
        <v>16004</v>
      </c>
      <c r="I154" s="142">
        <v>31</v>
      </c>
      <c r="J154" s="142">
        <v>31</v>
      </c>
      <c r="K154" s="142">
        <v>0</v>
      </c>
      <c r="L154" s="142">
        <v>0</v>
      </c>
      <c r="M154" s="142">
        <v>0</v>
      </c>
    </row>
    <row r="155" spans="1:13" x14ac:dyDescent="0.45">
      <c r="A155" s="142" t="s">
        <v>13050</v>
      </c>
      <c r="B155" s="142" t="s">
        <v>15237</v>
      </c>
      <c r="C155" s="142" t="s">
        <v>15847</v>
      </c>
      <c r="D155" s="142" t="s">
        <v>15848</v>
      </c>
      <c r="E155" s="142" t="s">
        <v>15849</v>
      </c>
      <c r="F155" s="142" t="s">
        <v>8120</v>
      </c>
      <c r="G155" s="142" t="s">
        <v>8119</v>
      </c>
      <c r="H155" s="142" t="s">
        <v>16005</v>
      </c>
      <c r="I155" s="142">
        <v>120</v>
      </c>
      <c r="J155" s="142">
        <v>102</v>
      </c>
      <c r="K155" s="142">
        <v>0</v>
      </c>
      <c r="L155" s="142">
        <v>0</v>
      </c>
      <c r="M155" s="142">
        <v>18</v>
      </c>
    </row>
    <row r="156" spans="1:13" x14ac:dyDescent="0.45">
      <c r="A156" s="142" t="s">
        <v>13028</v>
      </c>
      <c r="B156" s="142" t="s">
        <v>14462</v>
      </c>
      <c r="C156" s="142" t="s">
        <v>15847</v>
      </c>
      <c r="D156" s="142" t="s">
        <v>15848</v>
      </c>
      <c r="E156" s="142" t="s">
        <v>15849</v>
      </c>
      <c r="F156" s="142" t="s">
        <v>8120</v>
      </c>
      <c r="G156" s="142" t="s">
        <v>8119</v>
      </c>
      <c r="H156" s="142" t="s">
        <v>16006</v>
      </c>
      <c r="I156" s="142">
        <v>8</v>
      </c>
      <c r="J156" s="142">
        <v>0</v>
      </c>
      <c r="K156" s="142">
        <v>0</v>
      </c>
      <c r="L156" s="142">
        <v>0</v>
      </c>
      <c r="M156" s="142">
        <v>8</v>
      </c>
    </row>
    <row r="157" spans="1:13" x14ac:dyDescent="0.45">
      <c r="A157" s="142" t="s">
        <v>13003</v>
      </c>
      <c r="B157" s="142" t="s">
        <v>15245</v>
      </c>
      <c r="C157" s="142" t="s">
        <v>15847</v>
      </c>
      <c r="D157" s="142" t="s">
        <v>15848</v>
      </c>
      <c r="E157" s="142" t="s">
        <v>15849</v>
      </c>
      <c r="F157" s="142" t="s">
        <v>8120</v>
      </c>
      <c r="G157" s="142" t="s">
        <v>8119</v>
      </c>
      <c r="H157" s="142" t="s">
        <v>16007</v>
      </c>
      <c r="I157" s="142">
        <v>38</v>
      </c>
      <c r="J157" s="142">
        <v>0</v>
      </c>
      <c r="K157" s="142">
        <v>0</v>
      </c>
      <c r="L157" s="142">
        <v>38</v>
      </c>
      <c r="M157" s="142">
        <v>0</v>
      </c>
    </row>
    <row r="158" spans="1:13" x14ac:dyDescent="0.45">
      <c r="A158" s="142" t="s">
        <v>13066</v>
      </c>
      <c r="B158" s="142" t="s">
        <v>14459</v>
      </c>
      <c r="C158" s="142" t="s">
        <v>15847</v>
      </c>
      <c r="D158" s="142" t="s">
        <v>15848</v>
      </c>
      <c r="E158" s="142" t="s">
        <v>15849</v>
      </c>
      <c r="F158" s="142" t="s">
        <v>8120</v>
      </c>
      <c r="G158" s="142" t="s">
        <v>8119</v>
      </c>
      <c r="H158" s="142" t="s">
        <v>16008</v>
      </c>
      <c r="I158" s="142">
        <v>20</v>
      </c>
      <c r="J158" s="142">
        <v>0</v>
      </c>
      <c r="K158" s="142">
        <v>0</v>
      </c>
      <c r="L158" s="142">
        <v>20</v>
      </c>
      <c r="M158" s="142">
        <v>0</v>
      </c>
    </row>
    <row r="159" spans="1:13" x14ac:dyDescent="0.45">
      <c r="A159" s="142" t="s">
        <v>13006</v>
      </c>
      <c r="B159" s="142" t="s">
        <v>15288</v>
      </c>
      <c r="C159" s="142" t="s">
        <v>15847</v>
      </c>
      <c r="D159" s="142" t="s">
        <v>15848</v>
      </c>
      <c r="E159" s="142" t="s">
        <v>15849</v>
      </c>
      <c r="F159" s="142" t="s">
        <v>8120</v>
      </c>
      <c r="G159" s="142" t="s">
        <v>8119</v>
      </c>
      <c r="H159" s="142" t="s">
        <v>16009</v>
      </c>
      <c r="I159" s="142">
        <v>6</v>
      </c>
      <c r="J159" s="142">
        <v>0</v>
      </c>
      <c r="K159" s="142">
        <v>0</v>
      </c>
      <c r="L159" s="142">
        <v>6</v>
      </c>
      <c r="M159" s="142">
        <v>0</v>
      </c>
    </row>
    <row r="160" spans="1:13" x14ac:dyDescent="0.45">
      <c r="A160" s="142" t="s">
        <v>13008</v>
      </c>
      <c r="B160" s="142" t="s">
        <v>15411</v>
      </c>
      <c r="C160" s="142" t="s">
        <v>15847</v>
      </c>
      <c r="D160" s="142" t="s">
        <v>15848</v>
      </c>
      <c r="E160" s="142" t="s">
        <v>15849</v>
      </c>
      <c r="F160" s="142" t="s">
        <v>8120</v>
      </c>
      <c r="G160" s="142" t="s">
        <v>8119</v>
      </c>
      <c r="H160" s="142" t="s">
        <v>16010</v>
      </c>
      <c r="I160" s="142">
        <v>1</v>
      </c>
      <c r="J160" s="142">
        <v>1</v>
      </c>
      <c r="K160" s="142">
        <v>0</v>
      </c>
      <c r="L160" s="142">
        <v>0</v>
      </c>
      <c r="M160" s="142">
        <v>0</v>
      </c>
    </row>
    <row r="161" spans="1:13" x14ac:dyDescent="0.45">
      <c r="A161" s="142" t="s">
        <v>13077</v>
      </c>
      <c r="B161" s="142" t="s">
        <v>15407</v>
      </c>
      <c r="C161" s="142" t="s">
        <v>15847</v>
      </c>
      <c r="D161" s="142" t="s">
        <v>15848</v>
      </c>
      <c r="E161" s="142" t="s">
        <v>15849</v>
      </c>
      <c r="F161" s="142" t="s">
        <v>8120</v>
      </c>
      <c r="G161" s="142" t="s">
        <v>8119</v>
      </c>
      <c r="H161" s="142" t="s">
        <v>16011</v>
      </c>
      <c r="I161" s="142">
        <v>212</v>
      </c>
      <c r="J161" s="142">
        <v>198</v>
      </c>
      <c r="K161" s="142">
        <v>0</v>
      </c>
      <c r="L161" s="142">
        <v>14</v>
      </c>
      <c r="M161" s="142">
        <v>0</v>
      </c>
    </row>
    <row r="162" spans="1:13" x14ac:dyDescent="0.45">
      <c r="A162" s="142" t="s">
        <v>13089</v>
      </c>
      <c r="B162" s="142" t="s">
        <v>15240</v>
      </c>
      <c r="C162" s="142" t="s">
        <v>15847</v>
      </c>
      <c r="D162" s="142" t="s">
        <v>15848</v>
      </c>
      <c r="E162" s="142" t="s">
        <v>15849</v>
      </c>
      <c r="F162" s="142" t="s">
        <v>8120</v>
      </c>
      <c r="G162" s="142" t="s">
        <v>8119</v>
      </c>
      <c r="H162" s="142" t="s">
        <v>16012</v>
      </c>
      <c r="I162" s="142">
        <v>510</v>
      </c>
      <c r="J162" s="142">
        <v>425</v>
      </c>
      <c r="K162" s="142">
        <v>0</v>
      </c>
      <c r="L162" s="142">
        <v>33</v>
      </c>
      <c r="M162" s="142">
        <v>52</v>
      </c>
    </row>
    <row r="163" spans="1:13" x14ac:dyDescent="0.45">
      <c r="A163" s="142" t="s">
        <v>13036</v>
      </c>
      <c r="B163" s="142" t="s">
        <v>15567</v>
      </c>
      <c r="C163" s="142" t="s">
        <v>15847</v>
      </c>
      <c r="D163" s="142" t="s">
        <v>15848</v>
      </c>
      <c r="E163" s="142" t="s">
        <v>15849</v>
      </c>
      <c r="F163" s="142" t="s">
        <v>8120</v>
      </c>
      <c r="G163" s="142" t="s">
        <v>8119</v>
      </c>
      <c r="H163" s="142" t="s">
        <v>16013</v>
      </c>
      <c r="I163" s="142">
        <v>3</v>
      </c>
      <c r="J163" s="142">
        <v>0</v>
      </c>
      <c r="K163" s="142">
        <v>0</v>
      </c>
      <c r="L163" s="142">
        <v>3</v>
      </c>
      <c r="M163" s="142">
        <v>0</v>
      </c>
    </row>
    <row r="164" spans="1:13" x14ac:dyDescent="0.45">
      <c r="A164" s="142" t="s">
        <v>13037</v>
      </c>
      <c r="B164" s="142" t="s">
        <v>14519</v>
      </c>
      <c r="C164" s="142" t="s">
        <v>15847</v>
      </c>
      <c r="D164" s="142" t="s">
        <v>15848</v>
      </c>
      <c r="E164" s="142" t="s">
        <v>15849</v>
      </c>
      <c r="F164" s="142" t="s">
        <v>8120</v>
      </c>
      <c r="G164" s="142" t="s">
        <v>8119</v>
      </c>
      <c r="H164" s="142" t="s">
        <v>16014</v>
      </c>
      <c r="I164" s="142">
        <v>5</v>
      </c>
      <c r="J164" s="142">
        <v>0</v>
      </c>
      <c r="K164" s="142">
        <v>0</v>
      </c>
      <c r="L164" s="142">
        <v>5</v>
      </c>
      <c r="M164" s="142">
        <v>0</v>
      </c>
    </row>
    <row r="165" spans="1:13" x14ac:dyDescent="0.45">
      <c r="A165" s="142" t="s">
        <v>13090</v>
      </c>
      <c r="B165" s="142" t="s">
        <v>15600</v>
      </c>
      <c r="C165" s="142" t="s">
        <v>15847</v>
      </c>
      <c r="D165" s="142" t="s">
        <v>15848</v>
      </c>
      <c r="E165" s="142" t="s">
        <v>15849</v>
      </c>
      <c r="F165" s="142" t="s">
        <v>8120</v>
      </c>
      <c r="G165" s="142" t="s">
        <v>8119</v>
      </c>
      <c r="H165" s="142" t="s">
        <v>16015</v>
      </c>
      <c r="I165" s="142">
        <v>3</v>
      </c>
      <c r="J165" s="142">
        <v>0</v>
      </c>
      <c r="K165" s="142">
        <v>0</v>
      </c>
      <c r="L165" s="142">
        <v>0</v>
      </c>
      <c r="M165" s="142">
        <v>3</v>
      </c>
    </row>
    <row r="166" spans="1:13" x14ac:dyDescent="0.45">
      <c r="A166" s="142" t="s">
        <v>13038</v>
      </c>
      <c r="B166" s="142" t="s">
        <v>14646</v>
      </c>
      <c r="C166" s="142" t="s">
        <v>15847</v>
      </c>
      <c r="D166" s="142" t="s">
        <v>15848</v>
      </c>
      <c r="E166" s="142" t="s">
        <v>15849</v>
      </c>
      <c r="F166" s="142" t="s">
        <v>8120</v>
      </c>
      <c r="G166" s="142" t="s">
        <v>8119</v>
      </c>
      <c r="H166" s="142" t="s">
        <v>16016</v>
      </c>
      <c r="I166" s="142">
        <v>129</v>
      </c>
      <c r="J166" s="142">
        <v>76</v>
      </c>
      <c r="K166" s="142">
        <v>0</v>
      </c>
      <c r="L166" s="142">
        <v>0</v>
      </c>
      <c r="M166" s="142">
        <v>53</v>
      </c>
    </row>
    <row r="167" spans="1:13" x14ac:dyDescent="0.45">
      <c r="A167" s="142" t="s">
        <v>13039</v>
      </c>
      <c r="B167" s="142" t="s">
        <v>14647</v>
      </c>
      <c r="C167" s="142" t="s">
        <v>15847</v>
      </c>
      <c r="D167" s="142" t="s">
        <v>15848</v>
      </c>
      <c r="E167" s="142" t="s">
        <v>15849</v>
      </c>
      <c r="F167" s="142" t="s">
        <v>8120</v>
      </c>
      <c r="G167" s="142" t="s">
        <v>8119</v>
      </c>
      <c r="H167" s="142" t="s">
        <v>16017</v>
      </c>
      <c r="I167" s="142">
        <v>4</v>
      </c>
      <c r="J167" s="142">
        <v>4</v>
      </c>
      <c r="K167" s="142">
        <v>0</v>
      </c>
      <c r="L167" s="142">
        <v>0</v>
      </c>
      <c r="M167" s="142">
        <v>0</v>
      </c>
    </row>
    <row r="168" spans="1:13" x14ac:dyDescent="0.45">
      <c r="A168" s="142" t="s">
        <v>13091</v>
      </c>
      <c r="B168" s="142" t="s">
        <v>14473</v>
      </c>
      <c r="C168" s="142" t="s">
        <v>15847</v>
      </c>
      <c r="D168" s="142" t="s">
        <v>15848</v>
      </c>
      <c r="E168" s="142" t="s">
        <v>15849</v>
      </c>
      <c r="F168" s="142" t="s">
        <v>8120</v>
      </c>
      <c r="G168" s="142" t="s">
        <v>8119</v>
      </c>
      <c r="H168" s="142" t="s">
        <v>16018</v>
      </c>
      <c r="I168" s="142">
        <v>26</v>
      </c>
      <c r="J168" s="142">
        <v>0</v>
      </c>
      <c r="K168" s="142">
        <v>0</v>
      </c>
      <c r="L168" s="142">
        <v>26</v>
      </c>
      <c r="M168" s="142">
        <v>0</v>
      </c>
    </row>
    <row r="169" spans="1:13" x14ac:dyDescent="0.45">
      <c r="A169" s="142" t="s">
        <v>13009</v>
      </c>
      <c r="B169" s="142" t="s">
        <v>15256</v>
      </c>
      <c r="C169" s="142" t="s">
        <v>15847</v>
      </c>
      <c r="D169" s="142" t="s">
        <v>15848</v>
      </c>
      <c r="E169" s="142" t="s">
        <v>15849</v>
      </c>
      <c r="F169" s="142" t="s">
        <v>8120</v>
      </c>
      <c r="G169" s="142" t="s">
        <v>8119</v>
      </c>
      <c r="H169" s="142" t="s">
        <v>16019</v>
      </c>
      <c r="I169" s="142">
        <v>161</v>
      </c>
      <c r="J169" s="142">
        <v>161</v>
      </c>
      <c r="K169" s="142">
        <v>0</v>
      </c>
      <c r="L169" s="142">
        <v>0</v>
      </c>
      <c r="M169" s="142">
        <v>0</v>
      </c>
    </row>
    <row r="170" spans="1:13" x14ac:dyDescent="0.45">
      <c r="A170" s="142" t="s">
        <v>13092</v>
      </c>
      <c r="B170" s="142" t="s">
        <v>14656</v>
      </c>
      <c r="C170" s="142" t="s">
        <v>15860</v>
      </c>
      <c r="D170" s="142" t="s">
        <v>15861</v>
      </c>
      <c r="E170" s="142" t="s">
        <v>15849</v>
      </c>
      <c r="F170" s="142" t="s">
        <v>8120</v>
      </c>
      <c r="G170" s="142" t="s">
        <v>8119</v>
      </c>
      <c r="H170" s="142" t="s">
        <v>16020</v>
      </c>
      <c r="I170" s="142">
        <v>35</v>
      </c>
      <c r="J170" s="142">
        <v>35</v>
      </c>
      <c r="K170" s="142">
        <v>0</v>
      </c>
      <c r="L170" s="142">
        <v>0</v>
      </c>
      <c r="M170" s="142">
        <v>0</v>
      </c>
    </row>
    <row r="171" spans="1:13" x14ac:dyDescent="0.45">
      <c r="A171" s="142" t="s">
        <v>13093</v>
      </c>
      <c r="B171" s="142" t="s">
        <v>14483</v>
      </c>
      <c r="C171" s="142" t="s">
        <v>15860</v>
      </c>
      <c r="D171" s="142" t="s">
        <v>15861</v>
      </c>
      <c r="E171" s="142" t="s">
        <v>15849</v>
      </c>
      <c r="F171" s="142" t="s">
        <v>8120</v>
      </c>
      <c r="G171" s="142" t="s">
        <v>8119</v>
      </c>
      <c r="H171" s="142" t="s">
        <v>16021</v>
      </c>
      <c r="I171" s="142">
        <v>15</v>
      </c>
      <c r="J171" s="142">
        <v>0</v>
      </c>
      <c r="K171" s="142">
        <v>0</v>
      </c>
      <c r="L171" s="142">
        <v>15</v>
      </c>
      <c r="M171" s="142">
        <v>0</v>
      </c>
    </row>
    <row r="172" spans="1:13" x14ac:dyDescent="0.45">
      <c r="A172" s="142" t="s">
        <v>13094</v>
      </c>
      <c r="B172" s="142" t="s">
        <v>15542</v>
      </c>
      <c r="C172" s="142" t="s">
        <v>15860</v>
      </c>
      <c r="D172" s="142" t="s">
        <v>15861</v>
      </c>
      <c r="E172" s="142" t="s">
        <v>15849</v>
      </c>
      <c r="F172" s="142" t="s">
        <v>8120</v>
      </c>
      <c r="G172" s="142" t="s">
        <v>8119</v>
      </c>
      <c r="H172" s="142" t="s">
        <v>16022</v>
      </c>
      <c r="I172" s="142">
        <v>12</v>
      </c>
      <c r="J172" s="142">
        <v>0</v>
      </c>
      <c r="K172" s="142">
        <v>0</v>
      </c>
      <c r="L172" s="142">
        <v>12</v>
      </c>
      <c r="M172" s="142">
        <v>0</v>
      </c>
    </row>
    <row r="173" spans="1:13" x14ac:dyDescent="0.45">
      <c r="A173" s="142" t="s">
        <v>13095</v>
      </c>
      <c r="B173" s="142" t="s">
        <v>15592</v>
      </c>
      <c r="C173" s="142" t="s">
        <v>15847</v>
      </c>
      <c r="D173" s="142" t="s">
        <v>15848</v>
      </c>
      <c r="E173" s="142" t="s">
        <v>15849</v>
      </c>
      <c r="F173" s="142" t="s">
        <v>8120</v>
      </c>
      <c r="G173" s="142" t="s">
        <v>8119</v>
      </c>
      <c r="H173" s="142" t="s">
        <v>16023</v>
      </c>
      <c r="I173" s="142">
        <v>146</v>
      </c>
      <c r="J173" s="142">
        <v>110</v>
      </c>
      <c r="K173" s="142">
        <v>0</v>
      </c>
      <c r="L173" s="142">
        <v>0</v>
      </c>
      <c r="M173" s="142">
        <v>36</v>
      </c>
    </row>
    <row r="174" spans="1:13" x14ac:dyDescent="0.45">
      <c r="A174" s="142" t="s">
        <v>13096</v>
      </c>
      <c r="B174" s="142" t="s">
        <v>15478</v>
      </c>
      <c r="C174" s="142" t="s">
        <v>15847</v>
      </c>
      <c r="D174" s="142" t="s">
        <v>15848</v>
      </c>
      <c r="E174" s="142" t="s">
        <v>15849</v>
      </c>
      <c r="F174" s="142" t="s">
        <v>8120</v>
      </c>
      <c r="G174" s="142" t="s">
        <v>8119</v>
      </c>
      <c r="H174" s="142" t="s">
        <v>16024</v>
      </c>
      <c r="I174" s="142">
        <v>1</v>
      </c>
      <c r="J174" s="142">
        <v>0</v>
      </c>
      <c r="K174" s="142">
        <v>0</v>
      </c>
      <c r="L174" s="142">
        <v>0</v>
      </c>
      <c r="M174" s="142">
        <v>1</v>
      </c>
    </row>
    <row r="175" spans="1:13" x14ac:dyDescent="0.45">
      <c r="A175" s="142" t="s">
        <v>13023</v>
      </c>
      <c r="B175" s="142" t="s">
        <v>15571</v>
      </c>
      <c r="C175" s="142" t="s">
        <v>15847</v>
      </c>
      <c r="D175" s="142" t="s">
        <v>15848</v>
      </c>
      <c r="E175" s="142" t="s">
        <v>15849</v>
      </c>
      <c r="F175" s="142" t="s">
        <v>11230</v>
      </c>
      <c r="G175" s="142" t="s">
        <v>11229</v>
      </c>
      <c r="H175" s="142" t="s">
        <v>16025</v>
      </c>
      <c r="I175" s="142">
        <v>176</v>
      </c>
      <c r="J175" s="142">
        <v>0</v>
      </c>
      <c r="K175" s="142">
        <v>0</v>
      </c>
      <c r="L175" s="142">
        <v>176</v>
      </c>
      <c r="M175" s="142">
        <v>0</v>
      </c>
    </row>
    <row r="176" spans="1:13" x14ac:dyDescent="0.45">
      <c r="A176" s="142" t="s">
        <v>13000</v>
      </c>
      <c r="B176" s="142" t="s">
        <v>14610</v>
      </c>
      <c r="C176" s="142" t="s">
        <v>15847</v>
      </c>
      <c r="D176" s="142" t="s">
        <v>15848</v>
      </c>
      <c r="E176" s="142" t="s">
        <v>15849</v>
      </c>
      <c r="F176" s="142" t="s">
        <v>11230</v>
      </c>
      <c r="G176" s="142" t="s">
        <v>11229</v>
      </c>
      <c r="H176" s="142" t="s">
        <v>16026</v>
      </c>
      <c r="I176" s="142">
        <v>1057</v>
      </c>
      <c r="J176" s="142">
        <v>783</v>
      </c>
      <c r="K176" s="142">
        <v>0</v>
      </c>
      <c r="L176" s="142">
        <v>52</v>
      </c>
      <c r="M176" s="142">
        <v>222</v>
      </c>
    </row>
    <row r="177" spans="1:13" x14ac:dyDescent="0.45">
      <c r="A177" s="142" t="s">
        <v>13098</v>
      </c>
      <c r="B177" s="142" t="s">
        <v>14528</v>
      </c>
      <c r="C177" s="142" t="s">
        <v>15860</v>
      </c>
      <c r="D177" s="142" t="s">
        <v>15861</v>
      </c>
      <c r="E177" s="142" t="s">
        <v>15849</v>
      </c>
      <c r="F177" s="142" t="s">
        <v>11230</v>
      </c>
      <c r="G177" s="142" t="s">
        <v>11229</v>
      </c>
      <c r="H177" s="142" t="s">
        <v>16027</v>
      </c>
      <c r="I177" s="142">
        <v>44</v>
      </c>
      <c r="J177" s="142">
        <v>44</v>
      </c>
      <c r="K177" s="142">
        <v>0</v>
      </c>
      <c r="L177" s="142">
        <v>0</v>
      </c>
      <c r="M177" s="142">
        <v>0</v>
      </c>
    </row>
    <row r="178" spans="1:13" x14ac:dyDescent="0.45">
      <c r="A178" s="142" t="s">
        <v>13099</v>
      </c>
      <c r="B178" s="142" t="s">
        <v>14547</v>
      </c>
      <c r="C178" s="142" t="s">
        <v>15860</v>
      </c>
      <c r="D178" s="142" t="s">
        <v>15861</v>
      </c>
      <c r="E178" s="142" t="s">
        <v>15849</v>
      </c>
      <c r="F178" s="142" t="s">
        <v>11230</v>
      </c>
      <c r="G178" s="142" t="s">
        <v>11229</v>
      </c>
      <c r="H178" s="142" t="s">
        <v>16028</v>
      </c>
      <c r="I178" s="142">
        <v>11</v>
      </c>
      <c r="J178" s="142">
        <v>0</v>
      </c>
      <c r="K178" s="142">
        <v>0</v>
      </c>
      <c r="L178" s="142">
        <v>11</v>
      </c>
      <c r="M178" s="142">
        <v>0</v>
      </c>
    </row>
    <row r="179" spans="1:13" x14ac:dyDescent="0.45">
      <c r="A179" s="142" t="s">
        <v>13086</v>
      </c>
      <c r="B179" s="142" t="s">
        <v>15380</v>
      </c>
      <c r="C179" s="142" t="s">
        <v>15847</v>
      </c>
      <c r="D179" s="142" t="s">
        <v>15848</v>
      </c>
      <c r="E179" s="142" t="s">
        <v>15849</v>
      </c>
      <c r="F179" s="142" t="s">
        <v>11230</v>
      </c>
      <c r="G179" s="142" t="s">
        <v>11229</v>
      </c>
      <c r="H179" s="142" t="s">
        <v>16029</v>
      </c>
      <c r="I179" s="142">
        <v>154</v>
      </c>
      <c r="J179" s="142">
        <v>114</v>
      </c>
      <c r="K179" s="142">
        <v>0</v>
      </c>
      <c r="L179" s="142">
        <v>0</v>
      </c>
      <c r="M179" s="142">
        <v>40</v>
      </c>
    </row>
    <row r="180" spans="1:13" x14ac:dyDescent="0.45">
      <c r="A180" s="142" t="s">
        <v>13002</v>
      </c>
      <c r="B180" s="142" t="s">
        <v>15376</v>
      </c>
      <c r="C180" s="142" t="s">
        <v>15847</v>
      </c>
      <c r="D180" s="142" t="s">
        <v>15848</v>
      </c>
      <c r="E180" s="142" t="s">
        <v>15849</v>
      </c>
      <c r="F180" s="142" t="s">
        <v>11230</v>
      </c>
      <c r="G180" s="142" t="s">
        <v>11229</v>
      </c>
      <c r="H180" s="142" t="s">
        <v>16030</v>
      </c>
      <c r="I180" s="142">
        <v>240</v>
      </c>
      <c r="J180" s="142">
        <v>165</v>
      </c>
      <c r="K180" s="142">
        <v>0</v>
      </c>
      <c r="L180" s="142">
        <v>15</v>
      </c>
      <c r="M180" s="142">
        <v>60</v>
      </c>
    </row>
    <row r="181" spans="1:13" x14ac:dyDescent="0.45">
      <c r="A181" s="142" t="s">
        <v>13100</v>
      </c>
      <c r="B181" s="142" t="s">
        <v>15603</v>
      </c>
      <c r="C181" s="142" t="s">
        <v>15847</v>
      </c>
      <c r="D181" s="142" t="s">
        <v>15848</v>
      </c>
      <c r="E181" s="142" t="s">
        <v>15849</v>
      </c>
      <c r="F181" s="142" t="s">
        <v>11230</v>
      </c>
      <c r="G181" s="142" t="s">
        <v>11229</v>
      </c>
      <c r="H181" s="142" t="s">
        <v>16031</v>
      </c>
      <c r="I181" s="142">
        <v>194</v>
      </c>
      <c r="J181" s="142">
        <v>194</v>
      </c>
      <c r="K181" s="142">
        <v>0</v>
      </c>
      <c r="L181" s="142">
        <v>0</v>
      </c>
      <c r="M181" s="142">
        <v>0</v>
      </c>
    </row>
    <row r="182" spans="1:13" x14ac:dyDescent="0.45">
      <c r="A182" s="142" t="s">
        <v>13005</v>
      </c>
      <c r="B182" s="142" t="s">
        <v>15475</v>
      </c>
      <c r="C182" s="142" t="s">
        <v>15847</v>
      </c>
      <c r="D182" s="142" t="s">
        <v>15848</v>
      </c>
      <c r="E182" s="142" t="s">
        <v>15849</v>
      </c>
      <c r="F182" s="142" t="s">
        <v>11230</v>
      </c>
      <c r="G182" s="142" t="s">
        <v>11229</v>
      </c>
      <c r="H182" s="142" t="s">
        <v>16032</v>
      </c>
      <c r="I182" s="142">
        <v>3176</v>
      </c>
      <c r="J182" s="142">
        <v>2214</v>
      </c>
      <c r="K182" s="142">
        <v>0</v>
      </c>
      <c r="L182" s="142">
        <v>205</v>
      </c>
      <c r="M182" s="142">
        <v>757</v>
      </c>
    </row>
    <row r="183" spans="1:13" x14ac:dyDescent="0.45">
      <c r="A183" s="142" t="s">
        <v>13101</v>
      </c>
      <c r="B183" s="142" t="s">
        <v>15491</v>
      </c>
      <c r="C183" s="142" t="s">
        <v>15847</v>
      </c>
      <c r="D183" s="142" t="s">
        <v>15848</v>
      </c>
      <c r="E183" s="142" t="s">
        <v>15849</v>
      </c>
      <c r="F183" s="142" t="s">
        <v>11230</v>
      </c>
      <c r="G183" s="142" t="s">
        <v>11229</v>
      </c>
      <c r="H183" s="142" t="s">
        <v>16033</v>
      </c>
      <c r="I183" s="142">
        <v>47</v>
      </c>
      <c r="J183" s="142">
        <v>0</v>
      </c>
      <c r="K183" s="142">
        <v>0</v>
      </c>
      <c r="L183" s="142">
        <v>47</v>
      </c>
      <c r="M183" s="142">
        <v>0</v>
      </c>
    </row>
    <row r="184" spans="1:13" x14ac:dyDescent="0.45">
      <c r="A184" s="142" t="s">
        <v>13006</v>
      </c>
      <c r="B184" s="142" t="s">
        <v>15288</v>
      </c>
      <c r="C184" s="142" t="s">
        <v>15847</v>
      </c>
      <c r="D184" s="142" t="s">
        <v>15848</v>
      </c>
      <c r="E184" s="142" t="s">
        <v>15849</v>
      </c>
      <c r="F184" s="142" t="s">
        <v>11230</v>
      </c>
      <c r="G184" s="142" t="s">
        <v>11229</v>
      </c>
      <c r="H184" s="142" t="s">
        <v>16034</v>
      </c>
      <c r="I184" s="142">
        <v>242</v>
      </c>
      <c r="J184" s="142">
        <v>153</v>
      </c>
      <c r="K184" s="142">
        <v>0</v>
      </c>
      <c r="L184" s="142">
        <v>0</v>
      </c>
      <c r="M184" s="142">
        <v>89</v>
      </c>
    </row>
    <row r="185" spans="1:13" x14ac:dyDescent="0.45">
      <c r="A185" s="142" t="s">
        <v>13007</v>
      </c>
      <c r="B185" s="142" t="s">
        <v>15262</v>
      </c>
      <c r="C185" s="142" t="s">
        <v>15847</v>
      </c>
      <c r="D185" s="142" t="s">
        <v>15848</v>
      </c>
      <c r="E185" s="142" t="s">
        <v>15849</v>
      </c>
      <c r="F185" s="142" t="s">
        <v>11230</v>
      </c>
      <c r="G185" s="142" t="s">
        <v>11229</v>
      </c>
      <c r="H185" s="142" t="s">
        <v>16035</v>
      </c>
      <c r="I185" s="142">
        <v>3</v>
      </c>
      <c r="J185" s="142">
        <v>0</v>
      </c>
      <c r="K185" s="142">
        <v>0</v>
      </c>
      <c r="L185" s="142">
        <v>0</v>
      </c>
      <c r="M185" s="142">
        <v>3</v>
      </c>
    </row>
    <row r="186" spans="1:13" x14ac:dyDescent="0.45">
      <c r="A186" s="142" t="s">
        <v>13102</v>
      </c>
      <c r="B186" s="142" t="s">
        <v>15235</v>
      </c>
      <c r="C186" s="142" t="s">
        <v>15847</v>
      </c>
      <c r="D186" s="142" t="s">
        <v>15848</v>
      </c>
      <c r="E186" s="142" t="s">
        <v>15849</v>
      </c>
      <c r="F186" s="142" t="s">
        <v>11230</v>
      </c>
      <c r="G186" s="142" t="s">
        <v>11229</v>
      </c>
      <c r="H186" s="142" t="s">
        <v>16036</v>
      </c>
      <c r="I186" s="142">
        <v>9</v>
      </c>
      <c r="J186" s="142">
        <v>1</v>
      </c>
      <c r="K186" s="142">
        <v>0</v>
      </c>
      <c r="L186" s="142">
        <v>0</v>
      </c>
      <c r="M186" s="142">
        <v>8</v>
      </c>
    </row>
    <row r="187" spans="1:13" x14ac:dyDescent="0.45">
      <c r="A187" s="142" t="s">
        <v>13103</v>
      </c>
      <c r="B187" s="142" t="s">
        <v>14623</v>
      </c>
      <c r="C187" s="142" t="s">
        <v>15847</v>
      </c>
      <c r="D187" s="142" t="s">
        <v>15848</v>
      </c>
      <c r="E187" s="142" t="s">
        <v>15849</v>
      </c>
      <c r="F187" s="142" t="s">
        <v>11230</v>
      </c>
      <c r="G187" s="142" t="s">
        <v>11229</v>
      </c>
      <c r="H187" s="142" t="s">
        <v>16037</v>
      </c>
      <c r="I187" s="142">
        <v>600</v>
      </c>
      <c r="J187" s="142">
        <v>408</v>
      </c>
      <c r="K187" s="142">
        <v>0</v>
      </c>
      <c r="L187" s="142">
        <v>120</v>
      </c>
      <c r="M187" s="142">
        <v>72</v>
      </c>
    </row>
    <row r="188" spans="1:13" x14ac:dyDescent="0.45">
      <c r="A188" s="142" t="s">
        <v>13054</v>
      </c>
      <c r="B188" s="142" t="s">
        <v>15604</v>
      </c>
      <c r="C188" s="142" t="s">
        <v>15847</v>
      </c>
      <c r="D188" s="142" t="s">
        <v>15848</v>
      </c>
      <c r="E188" s="142" t="s">
        <v>15849</v>
      </c>
      <c r="F188" s="142" t="s">
        <v>11230</v>
      </c>
      <c r="G188" s="142" t="s">
        <v>11229</v>
      </c>
      <c r="H188" s="142" t="s">
        <v>16038</v>
      </c>
      <c r="I188" s="142">
        <v>9</v>
      </c>
      <c r="J188" s="142">
        <v>0</v>
      </c>
      <c r="K188" s="142">
        <v>0</v>
      </c>
      <c r="L188" s="142">
        <v>0</v>
      </c>
      <c r="M188" s="142">
        <v>9</v>
      </c>
    </row>
    <row r="189" spans="1:13" x14ac:dyDescent="0.45">
      <c r="A189" s="142" t="s">
        <v>13055</v>
      </c>
      <c r="B189" s="142" t="s">
        <v>14595</v>
      </c>
      <c r="C189" s="142" t="s">
        <v>15847</v>
      </c>
      <c r="D189" s="142" t="s">
        <v>15848</v>
      </c>
      <c r="E189" s="142" t="s">
        <v>15849</v>
      </c>
      <c r="F189" s="142" t="s">
        <v>11230</v>
      </c>
      <c r="G189" s="142" t="s">
        <v>11229</v>
      </c>
      <c r="H189" s="142" t="s">
        <v>16039</v>
      </c>
      <c r="I189" s="142">
        <v>15</v>
      </c>
      <c r="J189" s="142">
        <v>15</v>
      </c>
      <c r="K189" s="142">
        <v>0</v>
      </c>
      <c r="L189" s="142">
        <v>0</v>
      </c>
      <c r="M189" s="142">
        <v>0</v>
      </c>
    </row>
    <row r="190" spans="1:13" x14ac:dyDescent="0.45">
      <c r="A190" s="142" t="s">
        <v>13104</v>
      </c>
      <c r="B190" s="142" t="s">
        <v>14622</v>
      </c>
      <c r="C190" s="142" t="s">
        <v>15847</v>
      </c>
      <c r="D190" s="142" t="s">
        <v>15848</v>
      </c>
      <c r="E190" s="142" t="s">
        <v>15849</v>
      </c>
      <c r="F190" s="142" t="s">
        <v>11230</v>
      </c>
      <c r="G190" s="142" t="s">
        <v>11229</v>
      </c>
      <c r="H190" s="142" t="s">
        <v>16040</v>
      </c>
      <c r="I190" s="142">
        <v>142</v>
      </c>
      <c r="J190" s="142">
        <v>142</v>
      </c>
      <c r="K190" s="142">
        <v>0</v>
      </c>
      <c r="L190" s="142">
        <v>0</v>
      </c>
      <c r="M190" s="142">
        <v>0</v>
      </c>
    </row>
    <row r="191" spans="1:13" x14ac:dyDescent="0.45">
      <c r="A191" s="142" t="s">
        <v>13034</v>
      </c>
      <c r="B191" s="142" t="s">
        <v>15562</v>
      </c>
      <c r="C191" s="142" t="s">
        <v>15847</v>
      </c>
      <c r="D191" s="142" t="s">
        <v>15848</v>
      </c>
      <c r="E191" s="142" t="s">
        <v>15849</v>
      </c>
      <c r="F191" s="142" t="s">
        <v>11230</v>
      </c>
      <c r="G191" s="142" t="s">
        <v>11229</v>
      </c>
      <c r="H191" s="142" t="s">
        <v>16041</v>
      </c>
      <c r="I191" s="142">
        <v>1</v>
      </c>
      <c r="J191" s="142">
        <v>0</v>
      </c>
      <c r="K191" s="142">
        <v>0</v>
      </c>
      <c r="L191" s="142">
        <v>0</v>
      </c>
      <c r="M191" s="142">
        <v>1</v>
      </c>
    </row>
    <row r="192" spans="1:13" x14ac:dyDescent="0.45">
      <c r="A192" s="142" t="s">
        <v>13105</v>
      </c>
      <c r="B192" s="142" t="s">
        <v>14654</v>
      </c>
      <c r="C192" s="142" t="s">
        <v>15847</v>
      </c>
      <c r="D192" s="142" t="s">
        <v>15848</v>
      </c>
      <c r="E192" s="142" t="s">
        <v>15849</v>
      </c>
      <c r="F192" s="142" t="s">
        <v>11230</v>
      </c>
      <c r="G192" s="142" t="s">
        <v>11229</v>
      </c>
      <c r="H192" s="142" t="s">
        <v>16042</v>
      </c>
      <c r="I192" s="142">
        <v>108</v>
      </c>
      <c r="J192" s="142">
        <v>0</v>
      </c>
      <c r="K192" s="142">
        <v>0</v>
      </c>
      <c r="L192" s="142">
        <v>0</v>
      </c>
      <c r="M192" s="142">
        <v>108</v>
      </c>
    </row>
    <row r="193" spans="1:13" x14ac:dyDescent="0.45">
      <c r="A193" s="142" t="s">
        <v>13038</v>
      </c>
      <c r="B193" s="142" t="s">
        <v>14646</v>
      </c>
      <c r="C193" s="142" t="s">
        <v>15847</v>
      </c>
      <c r="D193" s="142" t="s">
        <v>15848</v>
      </c>
      <c r="E193" s="142" t="s">
        <v>15849</v>
      </c>
      <c r="F193" s="142" t="s">
        <v>11230</v>
      </c>
      <c r="G193" s="142" t="s">
        <v>11229</v>
      </c>
      <c r="H193" s="142" t="s">
        <v>16043</v>
      </c>
      <c r="I193" s="142">
        <v>146</v>
      </c>
      <c r="J193" s="142">
        <v>97</v>
      </c>
      <c r="K193" s="142">
        <v>0</v>
      </c>
      <c r="L193" s="142">
        <v>0</v>
      </c>
      <c r="M193" s="142">
        <v>49</v>
      </c>
    </row>
    <row r="194" spans="1:13" x14ac:dyDescent="0.45">
      <c r="A194" s="142" t="s">
        <v>13009</v>
      </c>
      <c r="B194" s="142" t="s">
        <v>15256</v>
      </c>
      <c r="C194" s="142" t="s">
        <v>15847</v>
      </c>
      <c r="D194" s="142" t="s">
        <v>15848</v>
      </c>
      <c r="E194" s="142" t="s">
        <v>15849</v>
      </c>
      <c r="F194" s="142" t="s">
        <v>11230</v>
      </c>
      <c r="G194" s="142" t="s">
        <v>11229</v>
      </c>
      <c r="H194" s="142" t="s">
        <v>16044</v>
      </c>
      <c r="I194" s="142">
        <v>8</v>
      </c>
      <c r="J194" s="142">
        <v>8</v>
      </c>
      <c r="K194" s="142">
        <v>0</v>
      </c>
      <c r="L194" s="142">
        <v>0</v>
      </c>
      <c r="M194" s="142">
        <v>0</v>
      </c>
    </row>
    <row r="195" spans="1:13" x14ac:dyDescent="0.45">
      <c r="A195" s="142" t="s">
        <v>13057</v>
      </c>
      <c r="B195" s="142" t="s">
        <v>15528</v>
      </c>
      <c r="C195" s="142" t="s">
        <v>15860</v>
      </c>
      <c r="D195" s="142" t="s">
        <v>15861</v>
      </c>
      <c r="E195" s="142" t="s">
        <v>15849</v>
      </c>
      <c r="F195" s="142" t="s">
        <v>11230</v>
      </c>
      <c r="G195" s="142" t="s">
        <v>11229</v>
      </c>
      <c r="H195" s="142" t="s">
        <v>16045</v>
      </c>
      <c r="I195" s="142">
        <v>9</v>
      </c>
      <c r="J195" s="142">
        <v>9</v>
      </c>
      <c r="K195" s="142">
        <v>0</v>
      </c>
      <c r="L195" s="142">
        <v>0</v>
      </c>
      <c r="M195" s="142">
        <v>0</v>
      </c>
    </row>
    <row r="196" spans="1:13" x14ac:dyDescent="0.45">
      <c r="A196" s="142" t="s">
        <v>13011</v>
      </c>
      <c r="B196" s="142" t="s">
        <v>14695</v>
      </c>
      <c r="C196" s="142" t="s">
        <v>15847</v>
      </c>
      <c r="D196" s="142" t="s">
        <v>15848</v>
      </c>
      <c r="E196" s="142" t="s">
        <v>15849</v>
      </c>
      <c r="F196" s="142" t="s">
        <v>11230</v>
      </c>
      <c r="G196" s="142" t="s">
        <v>11229</v>
      </c>
      <c r="H196" s="142" t="s">
        <v>16046</v>
      </c>
      <c r="I196" s="142">
        <v>717</v>
      </c>
      <c r="J196" s="142">
        <v>586</v>
      </c>
      <c r="K196" s="142">
        <v>0</v>
      </c>
      <c r="L196" s="142">
        <v>0</v>
      </c>
      <c r="M196" s="142">
        <v>131</v>
      </c>
    </row>
    <row r="197" spans="1:13" x14ac:dyDescent="0.45">
      <c r="A197" s="142" t="s">
        <v>13058</v>
      </c>
      <c r="B197" s="142" t="s">
        <v>14584</v>
      </c>
      <c r="C197" s="142" t="s">
        <v>15847</v>
      </c>
      <c r="D197" s="142" t="s">
        <v>15848</v>
      </c>
      <c r="E197" s="142" t="s">
        <v>15849</v>
      </c>
      <c r="F197" s="142" t="s">
        <v>11230</v>
      </c>
      <c r="G197" s="142" t="s">
        <v>11229</v>
      </c>
      <c r="H197" s="142" t="s">
        <v>16047</v>
      </c>
      <c r="I197" s="142">
        <v>32</v>
      </c>
      <c r="J197" s="142">
        <v>31</v>
      </c>
      <c r="K197" s="142">
        <v>0</v>
      </c>
      <c r="L197" s="142">
        <v>0</v>
      </c>
      <c r="M197" s="142">
        <v>1</v>
      </c>
    </row>
    <row r="198" spans="1:13" x14ac:dyDescent="0.45">
      <c r="A198" s="142" t="s">
        <v>13106</v>
      </c>
      <c r="B198" s="142" t="s">
        <v>15414</v>
      </c>
      <c r="C198" s="142" t="s">
        <v>15847</v>
      </c>
      <c r="D198" s="142" t="s">
        <v>15848</v>
      </c>
      <c r="E198" s="142" t="s">
        <v>15849</v>
      </c>
      <c r="F198" s="142" t="s">
        <v>11230</v>
      </c>
      <c r="G198" s="142" t="s">
        <v>11229</v>
      </c>
      <c r="H198" s="142" t="s">
        <v>16048</v>
      </c>
      <c r="I198" s="142">
        <v>9</v>
      </c>
      <c r="J198" s="142">
        <v>9</v>
      </c>
      <c r="K198" s="142">
        <v>0</v>
      </c>
      <c r="L198" s="142">
        <v>0</v>
      </c>
      <c r="M198" s="142">
        <v>0</v>
      </c>
    </row>
    <row r="199" spans="1:13" x14ac:dyDescent="0.45">
      <c r="A199" s="142" t="s">
        <v>13107</v>
      </c>
      <c r="B199" s="142" t="s">
        <v>14522</v>
      </c>
      <c r="C199" s="142" t="s">
        <v>15860</v>
      </c>
      <c r="D199" s="142" t="s">
        <v>15861</v>
      </c>
      <c r="E199" s="142" t="s">
        <v>15849</v>
      </c>
      <c r="F199" s="142" t="s">
        <v>11230</v>
      </c>
      <c r="G199" s="142" t="s">
        <v>11229</v>
      </c>
      <c r="H199" s="142" t="s">
        <v>16049</v>
      </c>
      <c r="I199" s="142">
        <v>33</v>
      </c>
      <c r="J199" s="142">
        <v>0</v>
      </c>
      <c r="K199" s="142">
        <v>0</v>
      </c>
      <c r="L199" s="142">
        <v>33</v>
      </c>
      <c r="M199" s="142">
        <v>0</v>
      </c>
    </row>
    <row r="200" spans="1:13" x14ac:dyDescent="0.45">
      <c r="A200" s="142" t="s">
        <v>13042</v>
      </c>
      <c r="B200" s="142" t="s">
        <v>15489</v>
      </c>
      <c r="C200" s="142" t="s">
        <v>15847</v>
      </c>
      <c r="D200" s="142" t="s">
        <v>15848</v>
      </c>
      <c r="E200" s="142" t="s">
        <v>15849</v>
      </c>
      <c r="F200" s="142" t="s">
        <v>11230</v>
      </c>
      <c r="G200" s="142" t="s">
        <v>11229</v>
      </c>
      <c r="H200" s="142" t="s">
        <v>16050</v>
      </c>
      <c r="I200" s="142">
        <v>33</v>
      </c>
      <c r="J200" s="142">
        <v>0</v>
      </c>
      <c r="K200" s="142">
        <v>0</v>
      </c>
      <c r="L200" s="142">
        <v>28</v>
      </c>
      <c r="M200" s="142">
        <v>5</v>
      </c>
    </row>
    <row r="201" spans="1:13" x14ac:dyDescent="0.45">
      <c r="A201" s="142" t="s">
        <v>13108</v>
      </c>
      <c r="B201" s="142" t="s">
        <v>15485</v>
      </c>
      <c r="C201" s="142" t="s">
        <v>15860</v>
      </c>
      <c r="D201" s="142" t="s">
        <v>15861</v>
      </c>
      <c r="E201" s="142" t="s">
        <v>15849</v>
      </c>
      <c r="F201" s="142" t="s">
        <v>11230</v>
      </c>
      <c r="G201" s="142" t="s">
        <v>11229</v>
      </c>
      <c r="H201" s="142" t="s">
        <v>16051</v>
      </c>
      <c r="I201" s="142">
        <v>191</v>
      </c>
      <c r="J201" s="142">
        <v>43</v>
      </c>
      <c r="K201" s="142">
        <v>0</v>
      </c>
      <c r="L201" s="142">
        <v>148</v>
      </c>
      <c r="M201" s="142">
        <v>0</v>
      </c>
    </row>
    <row r="202" spans="1:13" x14ac:dyDescent="0.45">
      <c r="A202" s="142" t="s">
        <v>13110</v>
      </c>
      <c r="B202" s="142" t="s">
        <v>15502</v>
      </c>
      <c r="C202" s="142" t="s">
        <v>15847</v>
      </c>
      <c r="D202" s="142" t="s">
        <v>15848</v>
      </c>
      <c r="E202" s="142" t="s">
        <v>15849</v>
      </c>
      <c r="F202" s="142" t="s">
        <v>11272</v>
      </c>
      <c r="G202" s="142" t="s">
        <v>11271</v>
      </c>
      <c r="H202" s="142" t="s">
        <v>16052</v>
      </c>
      <c r="I202" s="142">
        <v>57</v>
      </c>
      <c r="J202" s="142">
        <v>48</v>
      </c>
      <c r="K202" s="142">
        <v>0</v>
      </c>
      <c r="L202" s="142">
        <v>0</v>
      </c>
      <c r="M202" s="142">
        <v>9</v>
      </c>
    </row>
    <row r="203" spans="1:13" x14ac:dyDescent="0.45">
      <c r="A203" s="142" t="s">
        <v>13111</v>
      </c>
      <c r="B203" s="142" t="s">
        <v>15546</v>
      </c>
      <c r="C203" s="142" t="s">
        <v>15860</v>
      </c>
      <c r="D203" s="142" t="s">
        <v>15861</v>
      </c>
      <c r="E203" s="142" t="s">
        <v>15849</v>
      </c>
      <c r="F203" s="142" t="s">
        <v>11272</v>
      </c>
      <c r="G203" s="142" t="s">
        <v>11271</v>
      </c>
      <c r="H203" s="142" t="s">
        <v>16053</v>
      </c>
      <c r="I203" s="142">
        <v>25</v>
      </c>
      <c r="J203" s="142">
        <v>25</v>
      </c>
      <c r="K203" s="142">
        <v>0</v>
      </c>
      <c r="L203" s="142">
        <v>0</v>
      </c>
      <c r="M203" s="142">
        <v>0</v>
      </c>
    </row>
    <row r="204" spans="1:13" x14ac:dyDescent="0.45">
      <c r="A204" s="142" t="s">
        <v>13023</v>
      </c>
      <c r="B204" s="142" t="s">
        <v>15571</v>
      </c>
      <c r="C204" s="142" t="s">
        <v>15847</v>
      </c>
      <c r="D204" s="142" t="s">
        <v>15848</v>
      </c>
      <c r="E204" s="142" t="s">
        <v>15849</v>
      </c>
      <c r="F204" s="142" t="s">
        <v>11272</v>
      </c>
      <c r="G204" s="142" t="s">
        <v>11271</v>
      </c>
      <c r="H204" s="142" t="s">
        <v>16054</v>
      </c>
      <c r="I204" s="142">
        <v>83</v>
      </c>
      <c r="J204" s="142">
        <v>0</v>
      </c>
      <c r="K204" s="142">
        <v>0</v>
      </c>
      <c r="L204" s="142">
        <v>83</v>
      </c>
      <c r="M204" s="142">
        <v>0</v>
      </c>
    </row>
    <row r="205" spans="1:13" x14ac:dyDescent="0.45">
      <c r="A205" s="142" t="s">
        <v>13112</v>
      </c>
      <c r="B205" s="142" t="s">
        <v>15552</v>
      </c>
      <c r="C205" s="142" t="s">
        <v>15860</v>
      </c>
      <c r="D205" s="142" t="s">
        <v>15861</v>
      </c>
      <c r="E205" s="142" t="s">
        <v>15849</v>
      </c>
      <c r="F205" s="142" t="s">
        <v>11272</v>
      </c>
      <c r="G205" s="142" t="s">
        <v>11271</v>
      </c>
      <c r="H205" s="142" t="s">
        <v>16055</v>
      </c>
      <c r="I205" s="142">
        <v>47</v>
      </c>
      <c r="J205" s="142">
        <v>47</v>
      </c>
      <c r="K205" s="142">
        <v>0</v>
      </c>
      <c r="L205" s="142">
        <v>0</v>
      </c>
      <c r="M205" s="142">
        <v>0</v>
      </c>
    </row>
    <row r="206" spans="1:13" x14ac:dyDescent="0.45">
      <c r="A206" s="142" t="s">
        <v>13113</v>
      </c>
      <c r="B206" s="142" t="s">
        <v>14503</v>
      </c>
      <c r="C206" s="142" t="s">
        <v>15860</v>
      </c>
      <c r="D206" s="142" t="s">
        <v>15861</v>
      </c>
      <c r="E206" s="142" t="s">
        <v>15849</v>
      </c>
      <c r="F206" s="142" t="s">
        <v>11272</v>
      </c>
      <c r="G206" s="142" t="s">
        <v>11271</v>
      </c>
      <c r="H206" s="142" t="s">
        <v>16056</v>
      </c>
      <c r="I206" s="142">
        <v>33</v>
      </c>
      <c r="J206" s="142">
        <v>0</v>
      </c>
      <c r="K206" s="142">
        <v>0</v>
      </c>
      <c r="L206" s="142">
        <v>33</v>
      </c>
      <c r="M206" s="142">
        <v>0</v>
      </c>
    </row>
    <row r="207" spans="1:13" x14ac:dyDescent="0.45">
      <c r="A207" s="142" t="s">
        <v>13114</v>
      </c>
      <c r="B207" s="142" t="s">
        <v>15328</v>
      </c>
      <c r="C207" s="142" t="s">
        <v>15860</v>
      </c>
      <c r="D207" s="142" t="s">
        <v>15861</v>
      </c>
      <c r="E207" s="142" t="s">
        <v>15849</v>
      </c>
      <c r="F207" s="142" t="s">
        <v>11272</v>
      </c>
      <c r="G207" s="142" t="s">
        <v>11271</v>
      </c>
      <c r="H207" s="142" t="s">
        <v>16057</v>
      </c>
      <c r="I207" s="142">
        <v>51</v>
      </c>
      <c r="J207" s="142">
        <v>1</v>
      </c>
      <c r="K207" s="142">
        <v>0</v>
      </c>
      <c r="L207" s="142">
        <v>50</v>
      </c>
      <c r="M207" s="142">
        <v>0</v>
      </c>
    </row>
    <row r="208" spans="1:13" x14ac:dyDescent="0.45">
      <c r="A208" s="142" t="s">
        <v>13115</v>
      </c>
      <c r="B208" s="142" t="s">
        <v>14508</v>
      </c>
      <c r="C208" s="142" t="s">
        <v>15860</v>
      </c>
      <c r="D208" s="142" t="s">
        <v>15861</v>
      </c>
      <c r="E208" s="142" t="s">
        <v>15849</v>
      </c>
      <c r="F208" s="142" t="s">
        <v>11272</v>
      </c>
      <c r="G208" s="142" t="s">
        <v>11271</v>
      </c>
      <c r="H208" s="142" t="s">
        <v>16058</v>
      </c>
      <c r="I208" s="142">
        <v>13</v>
      </c>
      <c r="J208" s="142">
        <v>0</v>
      </c>
      <c r="K208" s="142">
        <v>0</v>
      </c>
      <c r="L208" s="142">
        <v>13</v>
      </c>
      <c r="M208" s="142">
        <v>0</v>
      </c>
    </row>
    <row r="209" spans="1:13" x14ac:dyDescent="0.45">
      <c r="A209" s="142" t="s">
        <v>13116</v>
      </c>
      <c r="B209" s="142" t="s">
        <v>15510</v>
      </c>
      <c r="C209" s="142" t="s">
        <v>15847</v>
      </c>
      <c r="D209" s="142" t="s">
        <v>15848</v>
      </c>
      <c r="E209" s="142" t="s">
        <v>15849</v>
      </c>
      <c r="F209" s="142" t="s">
        <v>11272</v>
      </c>
      <c r="G209" s="142" t="s">
        <v>11271</v>
      </c>
      <c r="H209" s="142" t="s">
        <v>16059</v>
      </c>
      <c r="I209" s="142">
        <v>178</v>
      </c>
      <c r="J209" s="142">
        <v>135</v>
      </c>
      <c r="K209" s="142">
        <v>0</v>
      </c>
      <c r="L209" s="142">
        <v>43</v>
      </c>
      <c r="M209" s="142">
        <v>0</v>
      </c>
    </row>
    <row r="210" spans="1:13" x14ac:dyDescent="0.45">
      <c r="A210" s="142" t="s">
        <v>13000</v>
      </c>
      <c r="B210" s="142" t="s">
        <v>14610</v>
      </c>
      <c r="C210" s="142" t="s">
        <v>15847</v>
      </c>
      <c r="D210" s="142" t="s">
        <v>15848</v>
      </c>
      <c r="E210" s="142" t="s">
        <v>15849</v>
      </c>
      <c r="F210" s="142" t="s">
        <v>11272</v>
      </c>
      <c r="G210" s="142" t="s">
        <v>11271</v>
      </c>
      <c r="H210" s="142" t="s">
        <v>16060</v>
      </c>
      <c r="I210" s="142">
        <v>354</v>
      </c>
      <c r="J210" s="142">
        <v>320</v>
      </c>
      <c r="K210" s="142">
        <v>0</v>
      </c>
      <c r="L210" s="142">
        <v>0</v>
      </c>
      <c r="M210" s="142">
        <v>34</v>
      </c>
    </row>
    <row r="211" spans="1:13" x14ac:dyDescent="0.45">
      <c r="A211" s="142" t="s">
        <v>13117</v>
      </c>
      <c r="B211" s="142" t="s">
        <v>14544</v>
      </c>
      <c r="C211" s="142" t="s">
        <v>15860</v>
      </c>
      <c r="D211" s="142" t="s">
        <v>15861</v>
      </c>
      <c r="E211" s="142" t="s">
        <v>15849</v>
      </c>
      <c r="F211" s="142" t="s">
        <v>11272</v>
      </c>
      <c r="G211" s="142" t="s">
        <v>11271</v>
      </c>
      <c r="H211" s="142" t="s">
        <v>16061</v>
      </c>
      <c r="I211" s="142">
        <v>11</v>
      </c>
      <c r="J211" s="142">
        <v>0</v>
      </c>
      <c r="K211" s="142">
        <v>11</v>
      </c>
      <c r="L211" s="142">
        <v>0</v>
      </c>
      <c r="M211" s="142">
        <v>0</v>
      </c>
    </row>
    <row r="212" spans="1:13" x14ac:dyDescent="0.45">
      <c r="A212" s="142" t="s">
        <v>13118</v>
      </c>
      <c r="B212" s="142" t="s">
        <v>14929</v>
      </c>
      <c r="C212" s="142" t="s">
        <v>15860</v>
      </c>
      <c r="D212" s="142" t="s">
        <v>15861</v>
      </c>
      <c r="E212" s="142" t="s">
        <v>15849</v>
      </c>
      <c r="F212" s="142" t="s">
        <v>11272</v>
      </c>
      <c r="G212" s="142" t="s">
        <v>11271</v>
      </c>
      <c r="H212" s="142" t="s">
        <v>16062</v>
      </c>
      <c r="I212" s="142">
        <v>23</v>
      </c>
      <c r="J212" s="142">
        <v>23</v>
      </c>
      <c r="K212" s="142">
        <v>0</v>
      </c>
      <c r="L212" s="142">
        <v>0</v>
      </c>
      <c r="M212" s="142">
        <v>0</v>
      </c>
    </row>
    <row r="213" spans="1:13" x14ac:dyDescent="0.45">
      <c r="A213" s="142" t="s">
        <v>13119</v>
      </c>
      <c r="B213" s="142" t="s">
        <v>14451</v>
      </c>
      <c r="C213" s="142" t="s">
        <v>15860</v>
      </c>
      <c r="D213" s="142" t="s">
        <v>15861</v>
      </c>
      <c r="E213" s="142" t="s">
        <v>15849</v>
      </c>
      <c r="F213" s="142" t="s">
        <v>11272</v>
      </c>
      <c r="G213" s="142" t="s">
        <v>11271</v>
      </c>
      <c r="H213" s="142" t="s">
        <v>16063</v>
      </c>
      <c r="I213" s="142">
        <v>18</v>
      </c>
      <c r="J213" s="142">
        <v>0</v>
      </c>
      <c r="K213" s="142">
        <v>0</v>
      </c>
      <c r="L213" s="142">
        <v>18</v>
      </c>
      <c r="M213" s="142">
        <v>0</v>
      </c>
    </row>
    <row r="214" spans="1:13" x14ac:dyDescent="0.45">
      <c r="A214" s="142" t="s">
        <v>13120</v>
      </c>
      <c r="B214" s="142" t="s">
        <v>14549</v>
      </c>
      <c r="C214" s="142" t="s">
        <v>15860</v>
      </c>
      <c r="D214" s="142" t="s">
        <v>15861</v>
      </c>
      <c r="E214" s="142" t="s">
        <v>15849</v>
      </c>
      <c r="F214" s="142" t="s">
        <v>11272</v>
      </c>
      <c r="G214" s="142" t="s">
        <v>11271</v>
      </c>
      <c r="H214" s="142" t="s">
        <v>16064</v>
      </c>
      <c r="I214" s="142">
        <v>22</v>
      </c>
      <c r="J214" s="142">
        <v>22</v>
      </c>
      <c r="K214" s="142">
        <v>0</v>
      </c>
      <c r="L214" s="142">
        <v>0</v>
      </c>
      <c r="M214" s="142">
        <v>0</v>
      </c>
    </row>
    <row r="215" spans="1:13" x14ac:dyDescent="0.45">
      <c r="A215" s="142" t="s">
        <v>13121</v>
      </c>
      <c r="B215" s="142" t="s">
        <v>14761</v>
      </c>
      <c r="C215" s="142" t="s">
        <v>15860</v>
      </c>
      <c r="D215" s="142" t="s">
        <v>15861</v>
      </c>
      <c r="E215" s="142" t="s">
        <v>15849</v>
      </c>
      <c r="F215" s="142" t="s">
        <v>11272</v>
      </c>
      <c r="G215" s="142" t="s">
        <v>11271</v>
      </c>
      <c r="H215" s="142" t="s">
        <v>16065</v>
      </c>
      <c r="I215" s="142">
        <v>78</v>
      </c>
      <c r="J215" s="142">
        <v>0</v>
      </c>
      <c r="K215" s="142">
        <v>0</v>
      </c>
      <c r="L215" s="142">
        <v>78</v>
      </c>
      <c r="M215" s="142">
        <v>0</v>
      </c>
    </row>
    <row r="216" spans="1:13" x14ac:dyDescent="0.45">
      <c r="A216" s="142" t="s">
        <v>13085</v>
      </c>
      <c r="B216" s="142" t="s">
        <v>14460</v>
      </c>
      <c r="C216" s="142" t="s">
        <v>15860</v>
      </c>
      <c r="D216" s="142" t="s">
        <v>15861</v>
      </c>
      <c r="E216" s="142" t="s">
        <v>15849</v>
      </c>
      <c r="F216" s="142" t="s">
        <v>11272</v>
      </c>
      <c r="G216" s="142" t="s">
        <v>11271</v>
      </c>
      <c r="H216" s="142" t="s">
        <v>16066</v>
      </c>
      <c r="I216" s="142">
        <v>1</v>
      </c>
      <c r="J216" s="142">
        <v>0</v>
      </c>
      <c r="K216" s="142">
        <v>0</v>
      </c>
      <c r="L216" s="142">
        <v>1</v>
      </c>
      <c r="M216" s="142">
        <v>0</v>
      </c>
    </row>
    <row r="217" spans="1:13" x14ac:dyDescent="0.45">
      <c r="A217" s="142" t="s">
        <v>13099</v>
      </c>
      <c r="B217" s="142" t="s">
        <v>14547</v>
      </c>
      <c r="C217" s="142" t="s">
        <v>15860</v>
      </c>
      <c r="D217" s="142" t="s">
        <v>15861</v>
      </c>
      <c r="E217" s="142" t="s">
        <v>15849</v>
      </c>
      <c r="F217" s="142" t="s">
        <v>11272</v>
      </c>
      <c r="G217" s="142" t="s">
        <v>11271</v>
      </c>
      <c r="H217" s="142" t="s">
        <v>16067</v>
      </c>
      <c r="I217" s="142">
        <v>41</v>
      </c>
      <c r="J217" s="142">
        <v>0</v>
      </c>
      <c r="K217" s="142">
        <v>0</v>
      </c>
      <c r="L217" s="142">
        <v>41</v>
      </c>
      <c r="M217" s="142">
        <v>0</v>
      </c>
    </row>
    <row r="218" spans="1:13" x14ac:dyDescent="0.45">
      <c r="A218" s="142" t="s">
        <v>13122</v>
      </c>
      <c r="B218" s="142" t="s">
        <v>14425</v>
      </c>
      <c r="C218" s="142" t="s">
        <v>15860</v>
      </c>
      <c r="D218" s="142" t="s">
        <v>15861</v>
      </c>
      <c r="E218" s="142" t="s">
        <v>15849</v>
      </c>
      <c r="F218" s="142" t="s">
        <v>11272</v>
      </c>
      <c r="G218" s="142" t="s">
        <v>11271</v>
      </c>
      <c r="H218" s="142" t="s">
        <v>16068</v>
      </c>
      <c r="I218" s="142">
        <v>11</v>
      </c>
      <c r="J218" s="142">
        <v>11</v>
      </c>
      <c r="K218" s="142">
        <v>0</v>
      </c>
      <c r="L218" s="142">
        <v>0</v>
      </c>
      <c r="M218" s="142">
        <v>0</v>
      </c>
    </row>
    <row r="219" spans="1:13" x14ac:dyDescent="0.45">
      <c r="A219" s="142" t="s">
        <v>13027</v>
      </c>
      <c r="B219" s="142" t="s">
        <v>14562</v>
      </c>
      <c r="C219" s="142" t="s">
        <v>15847</v>
      </c>
      <c r="D219" s="142" t="s">
        <v>15848</v>
      </c>
      <c r="E219" s="142" t="s">
        <v>15849</v>
      </c>
      <c r="F219" s="142" t="s">
        <v>11272</v>
      </c>
      <c r="G219" s="142" t="s">
        <v>11271</v>
      </c>
      <c r="H219" s="142" t="s">
        <v>16069</v>
      </c>
      <c r="I219" s="142">
        <v>8</v>
      </c>
      <c r="J219" s="142">
        <v>0</v>
      </c>
      <c r="K219" s="142">
        <v>0</v>
      </c>
      <c r="L219" s="142">
        <v>8</v>
      </c>
      <c r="M219" s="142">
        <v>0</v>
      </c>
    </row>
    <row r="220" spans="1:13" x14ac:dyDescent="0.45">
      <c r="A220" s="142" t="s">
        <v>13001</v>
      </c>
      <c r="B220" s="142" t="s">
        <v>15506</v>
      </c>
      <c r="C220" s="142" t="s">
        <v>15847</v>
      </c>
      <c r="D220" s="142" t="s">
        <v>15848</v>
      </c>
      <c r="E220" s="142" t="s">
        <v>15849</v>
      </c>
      <c r="F220" s="142" t="s">
        <v>11272</v>
      </c>
      <c r="G220" s="142" t="s">
        <v>11271</v>
      </c>
      <c r="H220" s="142" t="s">
        <v>16070</v>
      </c>
      <c r="I220" s="142">
        <v>154</v>
      </c>
      <c r="J220" s="142">
        <v>125</v>
      </c>
      <c r="K220" s="142">
        <v>0</v>
      </c>
      <c r="L220" s="142">
        <v>29</v>
      </c>
      <c r="M220" s="142">
        <v>0</v>
      </c>
    </row>
    <row r="221" spans="1:13" x14ac:dyDescent="0.45">
      <c r="A221" s="142" t="s">
        <v>13123</v>
      </c>
      <c r="B221" s="142" t="s">
        <v>15521</v>
      </c>
      <c r="C221" s="142" t="s">
        <v>15860</v>
      </c>
      <c r="D221" s="142" t="s">
        <v>15861</v>
      </c>
      <c r="E221" s="142" t="s">
        <v>15849</v>
      </c>
      <c r="F221" s="142" t="s">
        <v>11272</v>
      </c>
      <c r="G221" s="142" t="s">
        <v>11271</v>
      </c>
      <c r="H221" s="142" t="s">
        <v>16071</v>
      </c>
      <c r="I221" s="142">
        <v>1</v>
      </c>
      <c r="J221" s="142">
        <v>1</v>
      </c>
      <c r="K221" s="142">
        <v>0</v>
      </c>
      <c r="L221" s="142">
        <v>0</v>
      </c>
      <c r="M221" s="142">
        <v>0</v>
      </c>
    </row>
    <row r="222" spans="1:13" x14ac:dyDescent="0.45">
      <c r="A222" s="142" t="s">
        <v>13002</v>
      </c>
      <c r="B222" s="142" t="s">
        <v>15376</v>
      </c>
      <c r="C222" s="142" t="s">
        <v>15847</v>
      </c>
      <c r="D222" s="142" t="s">
        <v>15848</v>
      </c>
      <c r="E222" s="142" t="s">
        <v>15849</v>
      </c>
      <c r="F222" s="142" t="s">
        <v>11272</v>
      </c>
      <c r="G222" s="142" t="s">
        <v>11271</v>
      </c>
      <c r="H222" s="142" t="s">
        <v>16072</v>
      </c>
      <c r="I222" s="142">
        <v>658</v>
      </c>
      <c r="J222" s="142">
        <v>597</v>
      </c>
      <c r="K222" s="142">
        <v>0</v>
      </c>
      <c r="L222" s="142">
        <v>41</v>
      </c>
      <c r="M222" s="142">
        <v>20</v>
      </c>
    </row>
    <row r="223" spans="1:13" x14ac:dyDescent="0.45">
      <c r="A223" s="142" t="s">
        <v>13066</v>
      </c>
      <c r="B223" s="142" t="s">
        <v>14459</v>
      </c>
      <c r="C223" s="142" t="s">
        <v>15847</v>
      </c>
      <c r="D223" s="142" t="s">
        <v>15848</v>
      </c>
      <c r="E223" s="142" t="s">
        <v>15849</v>
      </c>
      <c r="F223" s="142" t="s">
        <v>11272</v>
      </c>
      <c r="G223" s="142" t="s">
        <v>11271</v>
      </c>
      <c r="H223" s="142" t="s">
        <v>16073</v>
      </c>
      <c r="I223" s="142">
        <v>14</v>
      </c>
      <c r="J223" s="142">
        <v>0</v>
      </c>
      <c r="K223" s="142">
        <v>0</v>
      </c>
      <c r="L223" s="142">
        <v>14</v>
      </c>
      <c r="M223" s="142">
        <v>0</v>
      </c>
    </row>
    <row r="224" spans="1:13" x14ac:dyDescent="0.45">
      <c r="A224" s="142" t="s">
        <v>13124</v>
      </c>
      <c r="B224" s="142" t="s">
        <v>15554</v>
      </c>
      <c r="C224" s="142" t="s">
        <v>15860</v>
      </c>
      <c r="D224" s="142" t="s">
        <v>15861</v>
      </c>
      <c r="E224" s="142" t="s">
        <v>15849</v>
      </c>
      <c r="F224" s="142" t="s">
        <v>11272</v>
      </c>
      <c r="G224" s="142" t="s">
        <v>11271</v>
      </c>
      <c r="H224" s="142" t="s">
        <v>16074</v>
      </c>
      <c r="I224" s="142">
        <v>13</v>
      </c>
      <c r="J224" s="142">
        <v>13</v>
      </c>
      <c r="K224" s="142">
        <v>0</v>
      </c>
      <c r="L224" s="142">
        <v>0</v>
      </c>
      <c r="M224" s="142">
        <v>0</v>
      </c>
    </row>
    <row r="225" spans="1:13" x14ac:dyDescent="0.45">
      <c r="A225" s="142" t="s">
        <v>13125</v>
      </c>
      <c r="B225" s="142" t="s">
        <v>15515</v>
      </c>
      <c r="C225" s="142" t="s">
        <v>15860</v>
      </c>
      <c r="D225" s="142" t="s">
        <v>15861</v>
      </c>
      <c r="E225" s="142" t="s">
        <v>15849</v>
      </c>
      <c r="F225" s="142" t="s">
        <v>11272</v>
      </c>
      <c r="G225" s="142" t="s">
        <v>11271</v>
      </c>
      <c r="H225" s="142" t="s">
        <v>16075</v>
      </c>
      <c r="I225" s="142">
        <v>221</v>
      </c>
      <c r="J225" s="142">
        <v>4</v>
      </c>
      <c r="K225" s="142">
        <v>0</v>
      </c>
      <c r="L225" s="142">
        <v>217</v>
      </c>
      <c r="M225" s="142">
        <v>0</v>
      </c>
    </row>
    <row r="226" spans="1:13" x14ac:dyDescent="0.45">
      <c r="A226" s="142" t="s">
        <v>13126</v>
      </c>
      <c r="B226" s="142" t="s">
        <v>14817</v>
      </c>
      <c r="C226" s="142" t="s">
        <v>15860</v>
      </c>
      <c r="D226" s="142" t="s">
        <v>15861</v>
      </c>
      <c r="E226" s="142" t="s">
        <v>15849</v>
      </c>
      <c r="F226" s="142" t="s">
        <v>11272</v>
      </c>
      <c r="G226" s="142" t="s">
        <v>11271</v>
      </c>
      <c r="H226" s="142" t="s">
        <v>16076</v>
      </c>
      <c r="I226" s="142">
        <v>10</v>
      </c>
      <c r="J226" s="142">
        <v>0</v>
      </c>
      <c r="K226" s="142">
        <v>0</v>
      </c>
      <c r="L226" s="142">
        <v>10</v>
      </c>
      <c r="M226" s="142">
        <v>0</v>
      </c>
    </row>
    <row r="227" spans="1:13" x14ac:dyDescent="0.45">
      <c r="A227" s="142" t="s">
        <v>13127</v>
      </c>
      <c r="B227" s="142" t="s">
        <v>15549</v>
      </c>
      <c r="C227" s="142" t="s">
        <v>15847</v>
      </c>
      <c r="D227" s="142" t="s">
        <v>15848</v>
      </c>
      <c r="E227" s="142" t="s">
        <v>15849</v>
      </c>
      <c r="F227" s="142" t="s">
        <v>11272</v>
      </c>
      <c r="G227" s="142" t="s">
        <v>11271</v>
      </c>
      <c r="H227" s="142" t="s">
        <v>16077</v>
      </c>
      <c r="I227" s="142">
        <v>9</v>
      </c>
      <c r="J227" s="142">
        <v>9</v>
      </c>
      <c r="K227" s="142">
        <v>0</v>
      </c>
      <c r="L227" s="142">
        <v>0</v>
      </c>
      <c r="M227" s="142">
        <v>0</v>
      </c>
    </row>
    <row r="228" spans="1:13" x14ac:dyDescent="0.45">
      <c r="A228" s="142" t="s">
        <v>13128</v>
      </c>
      <c r="B228" s="142" t="s">
        <v>14782</v>
      </c>
      <c r="C228" s="142" t="s">
        <v>15860</v>
      </c>
      <c r="D228" s="142" t="s">
        <v>15861</v>
      </c>
      <c r="E228" s="142" t="s">
        <v>15849</v>
      </c>
      <c r="F228" s="142" t="s">
        <v>11272</v>
      </c>
      <c r="G228" s="142" t="s">
        <v>11271</v>
      </c>
      <c r="H228" s="142" t="s">
        <v>16078</v>
      </c>
      <c r="I228" s="142">
        <v>19</v>
      </c>
      <c r="J228" s="142">
        <v>0</v>
      </c>
      <c r="K228" s="142">
        <v>0</v>
      </c>
      <c r="L228" s="142">
        <v>19</v>
      </c>
      <c r="M228" s="142">
        <v>0</v>
      </c>
    </row>
    <row r="229" spans="1:13" x14ac:dyDescent="0.45">
      <c r="A229" s="142" t="s">
        <v>13005</v>
      </c>
      <c r="B229" s="142" t="s">
        <v>15475</v>
      </c>
      <c r="C229" s="142" t="s">
        <v>15847</v>
      </c>
      <c r="D229" s="142" t="s">
        <v>15848</v>
      </c>
      <c r="E229" s="142" t="s">
        <v>15849</v>
      </c>
      <c r="F229" s="142" t="s">
        <v>11272</v>
      </c>
      <c r="G229" s="142" t="s">
        <v>11271</v>
      </c>
      <c r="H229" s="142" t="s">
        <v>16079</v>
      </c>
      <c r="I229" s="142">
        <v>791</v>
      </c>
      <c r="J229" s="142">
        <v>588</v>
      </c>
      <c r="K229" s="142">
        <v>0</v>
      </c>
      <c r="L229" s="142">
        <v>0</v>
      </c>
      <c r="M229" s="142">
        <v>203</v>
      </c>
    </row>
    <row r="230" spans="1:13" x14ac:dyDescent="0.45">
      <c r="A230" s="142" t="s">
        <v>13006</v>
      </c>
      <c r="B230" s="142" t="s">
        <v>15288</v>
      </c>
      <c r="C230" s="142" t="s">
        <v>15847</v>
      </c>
      <c r="D230" s="142" t="s">
        <v>15848</v>
      </c>
      <c r="E230" s="142" t="s">
        <v>15849</v>
      </c>
      <c r="F230" s="142" t="s">
        <v>11272</v>
      </c>
      <c r="G230" s="142" t="s">
        <v>11271</v>
      </c>
      <c r="H230" s="142" t="s">
        <v>16080</v>
      </c>
      <c r="I230" s="142">
        <v>1001</v>
      </c>
      <c r="J230" s="142">
        <v>811</v>
      </c>
      <c r="K230" s="142">
        <v>0</v>
      </c>
      <c r="L230" s="142">
        <v>74</v>
      </c>
      <c r="M230" s="142">
        <v>116</v>
      </c>
    </row>
    <row r="231" spans="1:13" x14ac:dyDescent="0.45">
      <c r="A231" s="142" t="s">
        <v>13103</v>
      </c>
      <c r="B231" s="142" t="s">
        <v>14623</v>
      </c>
      <c r="C231" s="142" t="s">
        <v>15847</v>
      </c>
      <c r="D231" s="142" t="s">
        <v>15848</v>
      </c>
      <c r="E231" s="142" t="s">
        <v>15849</v>
      </c>
      <c r="F231" s="142" t="s">
        <v>11272</v>
      </c>
      <c r="G231" s="142" t="s">
        <v>11271</v>
      </c>
      <c r="H231" s="142" t="s">
        <v>16081</v>
      </c>
      <c r="I231" s="142">
        <v>2854</v>
      </c>
      <c r="J231" s="142">
        <v>2417</v>
      </c>
      <c r="K231" s="142">
        <v>2</v>
      </c>
      <c r="L231" s="142">
        <v>114</v>
      </c>
      <c r="M231" s="142">
        <v>321</v>
      </c>
    </row>
    <row r="232" spans="1:13" x14ac:dyDescent="0.45">
      <c r="A232" s="142" t="s">
        <v>13054</v>
      </c>
      <c r="B232" s="142" t="s">
        <v>15604</v>
      </c>
      <c r="C232" s="142" t="s">
        <v>15847</v>
      </c>
      <c r="D232" s="142" t="s">
        <v>15848</v>
      </c>
      <c r="E232" s="142" t="s">
        <v>15849</v>
      </c>
      <c r="F232" s="142" t="s">
        <v>11272</v>
      </c>
      <c r="G232" s="142" t="s">
        <v>11271</v>
      </c>
      <c r="H232" s="142" t="s">
        <v>16082</v>
      </c>
      <c r="I232" s="142">
        <v>245</v>
      </c>
      <c r="J232" s="142">
        <v>0</v>
      </c>
      <c r="K232" s="142">
        <v>0</v>
      </c>
      <c r="L232" s="142">
        <v>0</v>
      </c>
      <c r="M232" s="142">
        <v>245</v>
      </c>
    </row>
    <row r="233" spans="1:13" x14ac:dyDescent="0.45">
      <c r="A233" s="142" t="s">
        <v>13129</v>
      </c>
      <c r="B233" s="142" t="s">
        <v>15284</v>
      </c>
      <c r="C233" s="142" t="s">
        <v>15847</v>
      </c>
      <c r="D233" s="142" t="s">
        <v>15848</v>
      </c>
      <c r="E233" s="142" t="s">
        <v>15849</v>
      </c>
      <c r="F233" s="142" t="s">
        <v>11272</v>
      </c>
      <c r="G233" s="142" t="s">
        <v>11271</v>
      </c>
      <c r="H233" s="142" t="s">
        <v>16083</v>
      </c>
      <c r="I233" s="142">
        <v>7</v>
      </c>
      <c r="J233" s="142">
        <v>7</v>
      </c>
      <c r="K233" s="142">
        <v>0</v>
      </c>
      <c r="L233" s="142">
        <v>0</v>
      </c>
      <c r="M233" s="142">
        <v>0</v>
      </c>
    </row>
    <row r="234" spans="1:13" x14ac:dyDescent="0.45">
      <c r="A234" s="142" t="s">
        <v>13130</v>
      </c>
      <c r="B234" s="142" t="s">
        <v>15391</v>
      </c>
      <c r="C234" s="142" t="s">
        <v>15860</v>
      </c>
      <c r="D234" s="142" t="s">
        <v>15861</v>
      </c>
      <c r="E234" s="142" t="s">
        <v>15849</v>
      </c>
      <c r="F234" s="142" t="s">
        <v>11272</v>
      </c>
      <c r="G234" s="142" t="s">
        <v>11271</v>
      </c>
      <c r="H234" s="142" t="s">
        <v>16084</v>
      </c>
      <c r="I234" s="142">
        <v>31</v>
      </c>
      <c r="J234" s="142">
        <v>31</v>
      </c>
      <c r="K234" s="142">
        <v>0</v>
      </c>
      <c r="L234" s="142">
        <v>0</v>
      </c>
      <c r="M234" s="142">
        <v>0</v>
      </c>
    </row>
    <row r="235" spans="1:13" x14ac:dyDescent="0.45">
      <c r="A235" s="142" t="s">
        <v>13131</v>
      </c>
      <c r="B235" s="142" t="s">
        <v>15233</v>
      </c>
      <c r="C235" s="142" t="s">
        <v>15860</v>
      </c>
      <c r="D235" s="142" t="s">
        <v>15861</v>
      </c>
      <c r="E235" s="142" t="s">
        <v>15849</v>
      </c>
      <c r="F235" s="142" t="s">
        <v>11272</v>
      </c>
      <c r="G235" s="142" t="s">
        <v>11271</v>
      </c>
      <c r="H235" s="142" t="s">
        <v>16085</v>
      </c>
      <c r="I235" s="142">
        <v>6</v>
      </c>
      <c r="J235" s="142">
        <v>0</v>
      </c>
      <c r="K235" s="142">
        <v>0</v>
      </c>
      <c r="L235" s="142">
        <v>6</v>
      </c>
      <c r="M235" s="142">
        <v>0</v>
      </c>
    </row>
    <row r="236" spans="1:13" x14ac:dyDescent="0.45">
      <c r="A236" s="142" t="s">
        <v>13132</v>
      </c>
      <c r="B236" s="142" t="s">
        <v>15323</v>
      </c>
      <c r="C236" s="142" t="s">
        <v>15860</v>
      </c>
      <c r="D236" s="142" t="s">
        <v>15861</v>
      </c>
      <c r="E236" s="142" t="s">
        <v>15849</v>
      </c>
      <c r="F236" s="142" t="s">
        <v>11272</v>
      </c>
      <c r="G236" s="142" t="s">
        <v>11271</v>
      </c>
      <c r="H236" s="142" t="s">
        <v>16086</v>
      </c>
      <c r="I236" s="142">
        <v>61</v>
      </c>
      <c r="J236" s="142">
        <v>0</v>
      </c>
      <c r="K236" s="142">
        <v>0</v>
      </c>
      <c r="L236" s="142">
        <v>61</v>
      </c>
      <c r="M236" s="142">
        <v>0</v>
      </c>
    </row>
    <row r="237" spans="1:13" x14ac:dyDescent="0.45">
      <c r="A237" s="142" t="s">
        <v>13133</v>
      </c>
      <c r="B237" s="142" t="s">
        <v>15291</v>
      </c>
      <c r="C237" s="142" t="s">
        <v>15847</v>
      </c>
      <c r="D237" s="142" t="s">
        <v>15848</v>
      </c>
      <c r="E237" s="142" t="s">
        <v>15849</v>
      </c>
      <c r="F237" s="142" t="s">
        <v>11272</v>
      </c>
      <c r="G237" s="142" t="s">
        <v>11271</v>
      </c>
      <c r="H237" s="142" t="s">
        <v>16087</v>
      </c>
      <c r="I237" s="142">
        <v>362</v>
      </c>
      <c r="J237" s="142">
        <v>202</v>
      </c>
      <c r="K237" s="142">
        <v>0</v>
      </c>
      <c r="L237" s="142">
        <v>44</v>
      </c>
      <c r="M237" s="142">
        <v>116</v>
      </c>
    </row>
    <row r="238" spans="1:13" x14ac:dyDescent="0.45">
      <c r="A238" s="142" t="s">
        <v>13134</v>
      </c>
      <c r="B238" s="142" t="s">
        <v>15533</v>
      </c>
      <c r="C238" s="142" t="s">
        <v>15860</v>
      </c>
      <c r="D238" s="142" t="s">
        <v>15861</v>
      </c>
      <c r="E238" s="142" t="s">
        <v>15849</v>
      </c>
      <c r="F238" s="142" t="s">
        <v>11272</v>
      </c>
      <c r="G238" s="142" t="s">
        <v>11271</v>
      </c>
      <c r="H238" s="142" t="s">
        <v>16088</v>
      </c>
      <c r="I238" s="142">
        <v>11</v>
      </c>
      <c r="J238" s="142">
        <v>0</v>
      </c>
      <c r="K238" s="142">
        <v>0</v>
      </c>
      <c r="L238" s="142">
        <v>11</v>
      </c>
      <c r="M238" s="142">
        <v>0</v>
      </c>
    </row>
    <row r="239" spans="1:13" x14ac:dyDescent="0.45">
      <c r="A239" s="142" t="s">
        <v>13135</v>
      </c>
      <c r="B239" s="142" t="s">
        <v>15575</v>
      </c>
      <c r="C239" s="142" t="s">
        <v>15847</v>
      </c>
      <c r="D239" s="142" t="s">
        <v>15848</v>
      </c>
      <c r="E239" s="142" t="s">
        <v>15849</v>
      </c>
      <c r="F239" s="142" t="s">
        <v>11272</v>
      </c>
      <c r="G239" s="142" t="s">
        <v>11271</v>
      </c>
      <c r="H239" s="142" t="s">
        <v>16089</v>
      </c>
      <c r="I239" s="142">
        <v>25</v>
      </c>
      <c r="J239" s="142">
        <v>25</v>
      </c>
      <c r="K239" s="142">
        <v>0</v>
      </c>
      <c r="L239" s="142">
        <v>0</v>
      </c>
      <c r="M239" s="142">
        <v>0</v>
      </c>
    </row>
    <row r="240" spans="1:13" x14ac:dyDescent="0.45">
      <c r="A240" s="142" t="s">
        <v>13055</v>
      </c>
      <c r="B240" s="142" t="s">
        <v>14595</v>
      </c>
      <c r="C240" s="142" t="s">
        <v>15847</v>
      </c>
      <c r="D240" s="142" t="s">
        <v>15848</v>
      </c>
      <c r="E240" s="142" t="s">
        <v>15849</v>
      </c>
      <c r="F240" s="142" t="s">
        <v>11272</v>
      </c>
      <c r="G240" s="142" t="s">
        <v>11271</v>
      </c>
      <c r="H240" s="142" t="s">
        <v>16090</v>
      </c>
      <c r="I240" s="142">
        <v>52</v>
      </c>
      <c r="J240" s="142">
        <v>16</v>
      </c>
      <c r="K240" s="142">
        <v>0</v>
      </c>
      <c r="L240" s="142">
        <v>36</v>
      </c>
      <c r="M240" s="142">
        <v>0</v>
      </c>
    </row>
    <row r="241" spans="1:13" x14ac:dyDescent="0.45">
      <c r="A241" s="142" t="s">
        <v>13104</v>
      </c>
      <c r="B241" s="142" t="s">
        <v>14622</v>
      </c>
      <c r="C241" s="142" t="s">
        <v>15847</v>
      </c>
      <c r="D241" s="142" t="s">
        <v>15848</v>
      </c>
      <c r="E241" s="142" t="s">
        <v>15849</v>
      </c>
      <c r="F241" s="142" t="s">
        <v>11272</v>
      </c>
      <c r="G241" s="142" t="s">
        <v>11271</v>
      </c>
      <c r="H241" s="142" t="s">
        <v>16091</v>
      </c>
      <c r="I241" s="142">
        <v>1718</v>
      </c>
      <c r="J241" s="142">
        <v>1402</v>
      </c>
      <c r="K241" s="142">
        <v>0</v>
      </c>
      <c r="L241" s="142">
        <v>59</v>
      </c>
      <c r="M241" s="142">
        <v>257</v>
      </c>
    </row>
    <row r="242" spans="1:13" x14ac:dyDescent="0.45">
      <c r="A242" s="142" t="s">
        <v>13033</v>
      </c>
      <c r="B242" s="142" t="s">
        <v>15276</v>
      </c>
      <c r="C242" s="142" t="s">
        <v>15847</v>
      </c>
      <c r="D242" s="142" t="s">
        <v>15848</v>
      </c>
      <c r="E242" s="142" t="s">
        <v>15849</v>
      </c>
      <c r="F242" s="142" t="s">
        <v>11272</v>
      </c>
      <c r="G242" s="142" t="s">
        <v>11271</v>
      </c>
      <c r="H242" s="142" t="s">
        <v>16092</v>
      </c>
      <c r="I242" s="142">
        <v>15</v>
      </c>
      <c r="J242" s="142">
        <v>8</v>
      </c>
      <c r="K242" s="142">
        <v>0</v>
      </c>
      <c r="L242" s="142">
        <v>0</v>
      </c>
      <c r="M242" s="142">
        <v>7</v>
      </c>
    </row>
    <row r="243" spans="1:13" x14ac:dyDescent="0.45">
      <c r="A243" s="142" t="s">
        <v>13037</v>
      </c>
      <c r="B243" s="142" t="s">
        <v>14519</v>
      </c>
      <c r="C243" s="142" t="s">
        <v>15847</v>
      </c>
      <c r="D243" s="142" t="s">
        <v>15848</v>
      </c>
      <c r="E243" s="142" t="s">
        <v>15849</v>
      </c>
      <c r="F243" s="142" t="s">
        <v>11272</v>
      </c>
      <c r="G243" s="142" t="s">
        <v>11271</v>
      </c>
      <c r="H243" s="142" t="s">
        <v>16093</v>
      </c>
      <c r="I243" s="142">
        <v>2</v>
      </c>
      <c r="J243" s="142">
        <v>0</v>
      </c>
      <c r="K243" s="142">
        <v>0</v>
      </c>
      <c r="L243" s="142">
        <v>2</v>
      </c>
      <c r="M243" s="142">
        <v>0</v>
      </c>
    </row>
    <row r="244" spans="1:13" x14ac:dyDescent="0.45">
      <c r="A244" s="142" t="s">
        <v>13136</v>
      </c>
      <c r="B244" s="142" t="s">
        <v>15445</v>
      </c>
      <c r="C244" s="142" t="s">
        <v>15860</v>
      </c>
      <c r="D244" s="142" t="s">
        <v>15861</v>
      </c>
      <c r="E244" s="142" t="s">
        <v>15849</v>
      </c>
      <c r="F244" s="142" t="s">
        <v>11272</v>
      </c>
      <c r="G244" s="142" t="s">
        <v>11271</v>
      </c>
      <c r="H244" s="142" t="s">
        <v>16094</v>
      </c>
      <c r="I244" s="142">
        <v>82</v>
      </c>
      <c r="J244" s="142">
        <v>0</v>
      </c>
      <c r="K244" s="142">
        <v>0</v>
      </c>
      <c r="L244" s="142">
        <v>82</v>
      </c>
      <c r="M244" s="142">
        <v>0</v>
      </c>
    </row>
    <row r="245" spans="1:13" x14ac:dyDescent="0.45">
      <c r="A245" s="142" t="s">
        <v>13038</v>
      </c>
      <c r="B245" s="142" t="s">
        <v>14646</v>
      </c>
      <c r="C245" s="142" t="s">
        <v>15847</v>
      </c>
      <c r="D245" s="142" t="s">
        <v>15848</v>
      </c>
      <c r="E245" s="142" t="s">
        <v>15849</v>
      </c>
      <c r="F245" s="142" t="s">
        <v>11272</v>
      </c>
      <c r="G245" s="142" t="s">
        <v>11271</v>
      </c>
      <c r="H245" s="142" t="s">
        <v>16095</v>
      </c>
      <c r="I245" s="142">
        <v>60</v>
      </c>
      <c r="J245" s="142">
        <v>0</v>
      </c>
      <c r="K245" s="142">
        <v>0</v>
      </c>
      <c r="L245" s="142">
        <v>0</v>
      </c>
      <c r="M245" s="142">
        <v>60</v>
      </c>
    </row>
    <row r="246" spans="1:13" x14ac:dyDescent="0.45">
      <c r="A246" s="142" t="s">
        <v>13039</v>
      </c>
      <c r="B246" s="142" t="s">
        <v>14647</v>
      </c>
      <c r="C246" s="142" t="s">
        <v>15847</v>
      </c>
      <c r="D246" s="142" t="s">
        <v>15848</v>
      </c>
      <c r="E246" s="142" t="s">
        <v>15849</v>
      </c>
      <c r="F246" s="142" t="s">
        <v>11272</v>
      </c>
      <c r="G246" s="142" t="s">
        <v>11271</v>
      </c>
      <c r="H246" s="142" t="s">
        <v>16096</v>
      </c>
      <c r="I246" s="142">
        <v>83</v>
      </c>
      <c r="J246" s="142">
        <v>83</v>
      </c>
      <c r="K246" s="142">
        <v>0</v>
      </c>
      <c r="L246" s="142">
        <v>0</v>
      </c>
      <c r="M246" s="142">
        <v>0</v>
      </c>
    </row>
    <row r="247" spans="1:13" x14ac:dyDescent="0.45">
      <c r="A247" s="142" t="s">
        <v>13078</v>
      </c>
      <c r="B247" s="142" t="s">
        <v>15540</v>
      </c>
      <c r="C247" s="142" t="s">
        <v>15847</v>
      </c>
      <c r="D247" s="142" t="s">
        <v>15848</v>
      </c>
      <c r="E247" s="142" t="s">
        <v>15849</v>
      </c>
      <c r="F247" s="142" t="s">
        <v>11272</v>
      </c>
      <c r="G247" s="142" t="s">
        <v>11271</v>
      </c>
      <c r="H247" s="142" t="s">
        <v>16097</v>
      </c>
      <c r="I247" s="142">
        <v>108</v>
      </c>
      <c r="J247" s="142">
        <v>60</v>
      </c>
      <c r="K247" s="142">
        <v>0</v>
      </c>
      <c r="L247" s="142">
        <v>48</v>
      </c>
      <c r="M247" s="142">
        <v>0</v>
      </c>
    </row>
    <row r="248" spans="1:13" x14ac:dyDescent="0.45">
      <c r="A248" s="142" t="s">
        <v>13091</v>
      </c>
      <c r="B248" s="142" t="s">
        <v>14473</v>
      </c>
      <c r="C248" s="142" t="s">
        <v>15847</v>
      </c>
      <c r="D248" s="142" t="s">
        <v>15848</v>
      </c>
      <c r="E248" s="142" t="s">
        <v>15849</v>
      </c>
      <c r="F248" s="142" t="s">
        <v>11272</v>
      </c>
      <c r="G248" s="142" t="s">
        <v>11271</v>
      </c>
      <c r="H248" s="142" t="s">
        <v>16098</v>
      </c>
      <c r="I248" s="142">
        <v>90</v>
      </c>
      <c r="J248" s="142">
        <v>58</v>
      </c>
      <c r="K248" s="142">
        <v>0</v>
      </c>
      <c r="L248" s="142">
        <v>0</v>
      </c>
      <c r="M248" s="142">
        <v>32</v>
      </c>
    </row>
    <row r="249" spans="1:13" x14ac:dyDescent="0.45">
      <c r="A249" s="142" t="s">
        <v>13009</v>
      </c>
      <c r="B249" s="142" t="s">
        <v>15256</v>
      </c>
      <c r="C249" s="142" t="s">
        <v>15847</v>
      </c>
      <c r="D249" s="142" t="s">
        <v>15848</v>
      </c>
      <c r="E249" s="142" t="s">
        <v>15849</v>
      </c>
      <c r="F249" s="142" t="s">
        <v>11272</v>
      </c>
      <c r="G249" s="142" t="s">
        <v>11271</v>
      </c>
      <c r="H249" s="142" t="s">
        <v>16099</v>
      </c>
      <c r="I249" s="142">
        <v>259</v>
      </c>
      <c r="J249" s="142">
        <v>97</v>
      </c>
      <c r="K249" s="142">
        <v>0</v>
      </c>
      <c r="L249" s="142">
        <v>158</v>
      </c>
      <c r="M249" s="142">
        <v>4</v>
      </c>
    </row>
    <row r="250" spans="1:13" x14ac:dyDescent="0.45">
      <c r="A250" s="142" t="s">
        <v>13011</v>
      </c>
      <c r="B250" s="142" t="s">
        <v>14695</v>
      </c>
      <c r="C250" s="142" t="s">
        <v>15847</v>
      </c>
      <c r="D250" s="142" t="s">
        <v>15848</v>
      </c>
      <c r="E250" s="142" t="s">
        <v>15849</v>
      </c>
      <c r="F250" s="142" t="s">
        <v>11272</v>
      </c>
      <c r="G250" s="142" t="s">
        <v>11271</v>
      </c>
      <c r="H250" s="142" t="s">
        <v>16100</v>
      </c>
      <c r="I250" s="142">
        <v>345</v>
      </c>
      <c r="J250" s="142">
        <v>280</v>
      </c>
      <c r="K250" s="142">
        <v>0</v>
      </c>
      <c r="L250" s="142">
        <v>32</v>
      </c>
      <c r="M250" s="142">
        <v>33</v>
      </c>
    </row>
    <row r="251" spans="1:13" x14ac:dyDescent="0.45">
      <c r="A251" s="142" t="s">
        <v>13058</v>
      </c>
      <c r="B251" s="142" t="s">
        <v>14584</v>
      </c>
      <c r="C251" s="142" t="s">
        <v>15847</v>
      </c>
      <c r="D251" s="142" t="s">
        <v>15848</v>
      </c>
      <c r="E251" s="142" t="s">
        <v>15849</v>
      </c>
      <c r="F251" s="142" t="s">
        <v>11272</v>
      </c>
      <c r="G251" s="142" t="s">
        <v>11271</v>
      </c>
      <c r="H251" s="142" t="s">
        <v>16101</v>
      </c>
      <c r="I251" s="142">
        <v>728</v>
      </c>
      <c r="J251" s="142">
        <v>390</v>
      </c>
      <c r="K251" s="142">
        <v>5</v>
      </c>
      <c r="L251" s="142">
        <v>121</v>
      </c>
      <c r="M251" s="142">
        <v>212</v>
      </c>
    </row>
    <row r="252" spans="1:13" x14ac:dyDescent="0.45">
      <c r="A252" s="142" t="s">
        <v>13137</v>
      </c>
      <c r="B252" s="142" t="s">
        <v>14690</v>
      </c>
      <c r="C252" s="142" t="s">
        <v>15860</v>
      </c>
      <c r="D252" s="142" t="s">
        <v>15861</v>
      </c>
      <c r="E252" s="142" t="s">
        <v>15849</v>
      </c>
      <c r="F252" s="142" t="s">
        <v>11272</v>
      </c>
      <c r="G252" s="142" t="s">
        <v>11271</v>
      </c>
      <c r="H252" s="142" t="s">
        <v>16102</v>
      </c>
      <c r="I252" s="142">
        <v>8</v>
      </c>
      <c r="J252" s="142">
        <v>8</v>
      </c>
      <c r="K252" s="142">
        <v>0</v>
      </c>
      <c r="L252" s="142">
        <v>0</v>
      </c>
      <c r="M252" s="142">
        <v>0</v>
      </c>
    </row>
    <row r="253" spans="1:13" x14ac:dyDescent="0.45">
      <c r="A253" s="142" t="s">
        <v>13138</v>
      </c>
      <c r="B253" s="142" t="s">
        <v>14590</v>
      </c>
      <c r="C253" s="142" t="s">
        <v>15860</v>
      </c>
      <c r="D253" s="142" t="s">
        <v>15861</v>
      </c>
      <c r="E253" s="142" t="s">
        <v>15849</v>
      </c>
      <c r="F253" s="142" t="s">
        <v>11272</v>
      </c>
      <c r="G253" s="142" t="s">
        <v>11271</v>
      </c>
      <c r="H253" s="142" t="s">
        <v>16103</v>
      </c>
      <c r="I253" s="142">
        <v>504</v>
      </c>
      <c r="J253" s="142">
        <v>504</v>
      </c>
      <c r="K253" s="142">
        <v>0</v>
      </c>
      <c r="L253" s="142">
        <v>0</v>
      </c>
      <c r="M253" s="142">
        <v>0</v>
      </c>
    </row>
    <row r="254" spans="1:13" x14ac:dyDescent="0.45">
      <c r="A254" s="142" t="s">
        <v>13139</v>
      </c>
      <c r="B254" s="142" t="s">
        <v>14946</v>
      </c>
      <c r="C254" s="142" t="s">
        <v>15860</v>
      </c>
      <c r="D254" s="142" t="s">
        <v>15861</v>
      </c>
      <c r="E254" s="142" t="s">
        <v>15849</v>
      </c>
      <c r="F254" s="142" t="s">
        <v>11272</v>
      </c>
      <c r="G254" s="142" t="s">
        <v>11271</v>
      </c>
      <c r="H254" s="142" t="s">
        <v>16104</v>
      </c>
      <c r="I254" s="142">
        <v>38</v>
      </c>
      <c r="J254" s="142">
        <v>38</v>
      </c>
      <c r="K254" s="142">
        <v>0</v>
      </c>
      <c r="L254" s="142">
        <v>0</v>
      </c>
      <c r="M254" s="142">
        <v>0</v>
      </c>
    </row>
    <row r="255" spans="1:13" x14ac:dyDescent="0.45">
      <c r="A255" s="142" t="s">
        <v>13140</v>
      </c>
      <c r="B255" s="142" t="s">
        <v>14713</v>
      </c>
      <c r="C255" s="142" t="s">
        <v>15860</v>
      </c>
      <c r="D255" s="142" t="s">
        <v>15861</v>
      </c>
      <c r="E255" s="142" t="s">
        <v>15849</v>
      </c>
      <c r="F255" s="142" t="s">
        <v>11272</v>
      </c>
      <c r="G255" s="142" t="s">
        <v>11271</v>
      </c>
      <c r="H255" s="142" t="s">
        <v>16105</v>
      </c>
      <c r="I255" s="142">
        <v>173</v>
      </c>
      <c r="J255" s="142">
        <v>0</v>
      </c>
      <c r="K255" s="142">
        <v>0</v>
      </c>
      <c r="L255" s="142">
        <v>173</v>
      </c>
      <c r="M255" s="142">
        <v>0</v>
      </c>
    </row>
    <row r="256" spans="1:13" x14ac:dyDescent="0.45">
      <c r="A256" s="142" t="s">
        <v>13014</v>
      </c>
      <c r="B256" s="142" t="s">
        <v>14505</v>
      </c>
      <c r="C256" s="142" t="s">
        <v>15847</v>
      </c>
      <c r="D256" s="142" t="s">
        <v>15848</v>
      </c>
      <c r="E256" s="142" t="s">
        <v>15849</v>
      </c>
      <c r="F256" s="142" t="s">
        <v>11272</v>
      </c>
      <c r="G256" s="142" t="s">
        <v>11271</v>
      </c>
      <c r="H256" s="142" t="s">
        <v>16106</v>
      </c>
      <c r="I256" s="142">
        <v>3</v>
      </c>
      <c r="J256" s="142">
        <v>0</v>
      </c>
      <c r="K256" s="142">
        <v>0</v>
      </c>
      <c r="L256" s="142">
        <v>2</v>
      </c>
      <c r="M256" s="142">
        <v>1</v>
      </c>
    </row>
    <row r="257" spans="1:13" x14ac:dyDescent="0.45">
      <c r="A257" s="142" t="s">
        <v>13141</v>
      </c>
      <c r="B257" s="142" t="s">
        <v>15258</v>
      </c>
      <c r="C257" s="142" t="s">
        <v>15847</v>
      </c>
      <c r="D257" s="142" t="s">
        <v>15848</v>
      </c>
      <c r="E257" s="142" t="s">
        <v>15849</v>
      </c>
      <c r="F257" s="142" t="s">
        <v>11272</v>
      </c>
      <c r="G257" s="142" t="s">
        <v>11271</v>
      </c>
      <c r="H257" s="142" t="s">
        <v>16107</v>
      </c>
      <c r="I257" s="142">
        <v>78</v>
      </c>
      <c r="J257" s="142">
        <v>51</v>
      </c>
      <c r="K257" s="142">
        <v>0</v>
      </c>
      <c r="L257" s="142">
        <v>0</v>
      </c>
      <c r="M257" s="142">
        <v>27</v>
      </c>
    </row>
    <row r="258" spans="1:13" x14ac:dyDescent="0.45">
      <c r="A258" s="142" t="s">
        <v>13042</v>
      </c>
      <c r="B258" s="142" t="s">
        <v>15489</v>
      </c>
      <c r="C258" s="142" t="s">
        <v>15847</v>
      </c>
      <c r="D258" s="142" t="s">
        <v>15848</v>
      </c>
      <c r="E258" s="142" t="s">
        <v>15849</v>
      </c>
      <c r="F258" s="142" t="s">
        <v>11272</v>
      </c>
      <c r="G258" s="142" t="s">
        <v>11271</v>
      </c>
      <c r="H258" s="142" t="s">
        <v>16108</v>
      </c>
      <c r="I258" s="142">
        <v>157</v>
      </c>
      <c r="J258" s="142">
        <v>97</v>
      </c>
      <c r="K258" s="142">
        <v>0</v>
      </c>
      <c r="L258" s="142">
        <v>21</v>
      </c>
      <c r="M258" s="142">
        <v>39</v>
      </c>
    </row>
    <row r="259" spans="1:13" x14ac:dyDescent="0.45">
      <c r="A259" s="142" t="s">
        <v>13142</v>
      </c>
      <c r="B259" s="142" t="s">
        <v>15469</v>
      </c>
      <c r="C259" s="142" t="s">
        <v>15847</v>
      </c>
      <c r="D259" s="142" t="s">
        <v>15848</v>
      </c>
      <c r="E259" s="142" t="s">
        <v>15849</v>
      </c>
      <c r="F259" s="142" t="s">
        <v>11272</v>
      </c>
      <c r="G259" s="142" t="s">
        <v>11271</v>
      </c>
      <c r="H259" s="142" t="s">
        <v>16109</v>
      </c>
      <c r="I259" s="142">
        <v>141</v>
      </c>
      <c r="J259" s="142">
        <v>98</v>
      </c>
      <c r="K259" s="142">
        <v>0</v>
      </c>
      <c r="L259" s="142">
        <v>43</v>
      </c>
      <c r="M259" s="142">
        <v>0</v>
      </c>
    </row>
    <row r="260" spans="1:13" x14ac:dyDescent="0.45">
      <c r="A260" s="142" t="s">
        <v>13143</v>
      </c>
      <c r="B260" s="142" t="s">
        <v>15504</v>
      </c>
      <c r="C260" s="142" t="s">
        <v>15860</v>
      </c>
      <c r="D260" s="142" t="s">
        <v>15861</v>
      </c>
      <c r="E260" s="142" t="s">
        <v>15849</v>
      </c>
      <c r="F260" s="142" t="s">
        <v>11272</v>
      </c>
      <c r="G260" s="142" t="s">
        <v>11271</v>
      </c>
      <c r="H260" s="142" t="s">
        <v>16110</v>
      </c>
      <c r="I260" s="142">
        <v>65</v>
      </c>
      <c r="J260" s="142">
        <v>0</v>
      </c>
      <c r="K260" s="142">
        <v>0</v>
      </c>
      <c r="L260" s="142">
        <v>65</v>
      </c>
      <c r="M260" s="142">
        <v>0</v>
      </c>
    </row>
    <row r="261" spans="1:13" x14ac:dyDescent="0.45">
      <c r="A261" s="142" t="s">
        <v>13016</v>
      </c>
      <c r="B261" s="142" t="s">
        <v>14535</v>
      </c>
      <c r="C261" s="142" t="s">
        <v>15860</v>
      </c>
      <c r="D261" s="142" t="s">
        <v>15861</v>
      </c>
      <c r="E261" s="142" t="s">
        <v>15849</v>
      </c>
      <c r="F261" s="142" t="s">
        <v>11272</v>
      </c>
      <c r="G261" s="142" t="s">
        <v>11271</v>
      </c>
      <c r="H261" s="142" t="s">
        <v>16111</v>
      </c>
      <c r="I261" s="142">
        <v>26</v>
      </c>
      <c r="J261" s="142">
        <v>0</v>
      </c>
      <c r="K261" s="142">
        <v>0</v>
      </c>
      <c r="L261" s="142">
        <v>26</v>
      </c>
      <c r="M261" s="142">
        <v>0</v>
      </c>
    </row>
    <row r="262" spans="1:13" x14ac:dyDescent="0.45">
      <c r="A262" s="142" t="s">
        <v>13144</v>
      </c>
      <c r="B262" s="142" t="s">
        <v>14464</v>
      </c>
      <c r="C262" s="142" t="s">
        <v>15860</v>
      </c>
      <c r="D262" s="142" t="s">
        <v>15861</v>
      </c>
      <c r="E262" s="142" t="s">
        <v>15849</v>
      </c>
      <c r="F262" s="142" t="s">
        <v>11272</v>
      </c>
      <c r="G262" s="142" t="s">
        <v>11271</v>
      </c>
      <c r="H262" s="142" t="s">
        <v>16112</v>
      </c>
      <c r="I262" s="142">
        <v>22</v>
      </c>
      <c r="J262" s="142">
        <v>0</v>
      </c>
      <c r="K262" s="142">
        <v>0</v>
      </c>
      <c r="L262" s="142">
        <v>22</v>
      </c>
      <c r="M262" s="142">
        <v>0</v>
      </c>
    </row>
    <row r="263" spans="1:13" x14ac:dyDescent="0.45">
      <c r="A263" s="142" t="s">
        <v>13146</v>
      </c>
      <c r="B263" s="142" t="s">
        <v>15310</v>
      </c>
      <c r="C263" s="142" t="s">
        <v>15847</v>
      </c>
      <c r="D263" s="142" t="s">
        <v>15848</v>
      </c>
      <c r="E263" s="142" t="s">
        <v>15849</v>
      </c>
      <c r="F263" s="142" t="s">
        <v>10309</v>
      </c>
      <c r="G263" s="142" t="s">
        <v>10308</v>
      </c>
      <c r="H263" s="142" t="s">
        <v>16113</v>
      </c>
      <c r="I263" s="142">
        <v>224</v>
      </c>
      <c r="J263" s="142">
        <v>210</v>
      </c>
      <c r="K263" s="142">
        <v>0</v>
      </c>
      <c r="L263" s="142">
        <v>0</v>
      </c>
      <c r="M263" s="142">
        <v>14</v>
      </c>
    </row>
    <row r="264" spans="1:13" x14ac:dyDescent="0.45">
      <c r="A264" s="142" t="s">
        <v>13064</v>
      </c>
      <c r="B264" s="142" t="s">
        <v>15428</v>
      </c>
      <c r="C264" s="142" t="s">
        <v>15847</v>
      </c>
      <c r="D264" s="142" t="s">
        <v>15848</v>
      </c>
      <c r="E264" s="142" t="s">
        <v>15849</v>
      </c>
      <c r="F264" s="142" t="s">
        <v>10309</v>
      </c>
      <c r="G264" s="142" t="s">
        <v>10308</v>
      </c>
      <c r="H264" s="142" t="s">
        <v>16114</v>
      </c>
      <c r="I264" s="142">
        <v>39</v>
      </c>
      <c r="J264" s="142">
        <v>16</v>
      </c>
      <c r="K264" s="142">
        <v>0</v>
      </c>
      <c r="L264" s="142">
        <v>0</v>
      </c>
      <c r="M264" s="142">
        <v>23</v>
      </c>
    </row>
    <row r="265" spans="1:13" x14ac:dyDescent="0.45">
      <c r="A265" s="142" t="s">
        <v>13019</v>
      </c>
      <c r="B265" s="142" t="s">
        <v>14457</v>
      </c>
      <c r="C265" s="142" t="s">
        <v>15860</v>
      </c>
      <c r="D265" s="142" t="s">
        <v>15861</v>
      </c>
      <c r="E265" s="142" t="s">
        <v>15849</v>
      </c>
      <c r="F265" s="142" t="s">
        <v>10309</v>
      </c>
      <c r="G265" s="142" t="s">
        <v>10308</v>
      </c>
      <c r="H265" s="142" t="s">
        <v>16115</v>
      </c>
      <c r="I265" s="142">
        <v>2</v>
      </c>
      <c r="J265" s="142">
        <v>2</v>
      </c>
      <c r="K265" s="142">
        <v>0</v>
      </c>
      <c r="L265" s="142">
        <v>0</v>
      </c>
      <c r="M265" s="142">
        <v>0</v>
      </c>
    </row>
    <row r="266" spans="1:13" x14ac:dyDescent="0.45">
      <c r="A266" s="142" t="s">
        <v>13023</v>
      </c>
      <c r="B266" s="142" t="s">
        <v>15571</v>
      </c>
      <c r="C266" s="142" t="s">
        <v>15847</v>
      </c>
      <c r="D266" s="142" t="s">
        <v>15848</v>
      </c>
      <c r="E266" s="142" t="s">
        <v>15849</v>
      </c>
      <c r="F266" s="142" t="s">
        <v>10309</v>
      </c>
      <c r="G266" s="142" t="s">
        <v>10308</v>
      </c>
      <c r="H266" s="142" t="s">
        <v>16116</v>
      </c>
      <c r="I266" s="142">
        <v>30</v>
      </c>
      <c r="J266" s="142">
        <v>0</v>
      </c>
      <c r="K266" s="142">
        <v>0</v>
      </c>
      <c r="L266" s="142">
        <v>30</v>
      </c>
      <c r="M266" s="142">
        <v>0</v>
      </c>
    </row>
    <row r="267" spans="1:13" x14ac:dyDescent="0.45">
      <c r="A267" s="142" t="s">
        <v>13147</v>
      </c>
      <c r="B267" s="142" t="s">
        <v>14529</v>
      </c>
      <c r="C267" s="142" t="s">
        <v>15860</v>
      </c>
      <c r="D267" s="142" t="s">
        <v>15861</v>
      </c>
      <c r="E267" s="142" t="s">
        <v>15849</v>
      </c>
      <c r="F267" s="142" t="s">
        <v>10309</v>
      </c>
      <c r="G267" s="142" t="s">
        <v>10308</v>
      </c>
      <c r="H267" s="142" t="s">
        <v>16117</v>
      </c>
      <c r="I267" s="142">
        <v>7</v>
      </c>
      <c r="J267" s="142">
        <v>7</v>
      </c>
      <c r="K267" s="142">
        <v>0</v>
      </c>
      <c r="L267" s="142">
        <v>0</v>
      </c>
      <c r="M267" s="142">
        <v>0</v>
      </c>
    </row>
    <row r="268" spans="1:13" x14ac:dyDescent="0.45">
      <c r="A268" s="142" t="s">
        <v>13027</v>
      </c>
      <c r="B268" s="142" t="s">
        <v>14562</v>
      </c>
      <c r="C268" s="142" t="s">
        <v>15847</v>
      </c>
      <c r="D268" s="142" t="s">
        <v>15848</v>
      </c>
      <c r="E268" s="142" t="s">
        <v>15849</v>
      </c>
      <c r="F268" s="142" t="s">
        <v>10309</v>
      </c>
      <c r="G268" s="142" t="s">
        <v>10308</v>
      </c>
      <c r="H268" s="142" t="s">
        <v>16118</v>
      </c>
      <c r="I268" s="142">
        <v>3</v>
      </c>
      <c r="J268" s="142">
        <v>0</v>
      </c>
      <c r="K268" s="142">
        <v>0</v>
      </c>
      <c r="L268" s="142">
        <v>3</v>
      </c>
      <c r="M268" s="142">
        <v>0</v>
      </c>
    </row>
    <row r="269" spans="1:13" x14ac:dyDescent="0.45">
      <c r="A269" s="142" t="s">
        <v>13148</v>
      </c>
      <c r="B269" s="142" t="s">
        <v>15314</v>
      </c>
      <c r="C269" s="142" t="s">
        <v>15847</v>
      </c>
      <c r="D269" s="142" t="s">
        <v>15848</v>
      </c>
      <c r="E269" s="142" t="s">
        <v>15849</v>
      </c>
      <c r="F269" s="142" t="s">
        <v>10309</v>
      </c>
      <c r="G269" s="142" t="s">
        <v>10308</v>
      </c>
      <c r="H269" s="142" t="s">
        <v>16119</v>
      </c>
      <c r="I269" s="142">
        <v>342</v>
      </c>
      <c r="J269" s="142">
        <v>206</v>
      </c>
      <c r="K269" s="142">
        <v>0</v>
      </c>
      <c r="L269" s="142">
        <v>34</v>
      </c>
      <c r="M269" s="142">
        <v>102</v>
      </c>
    </row>
    <row r="270" spans="1:13" x14ac:dyDescent="0.45">
      <c r="A270" s="142" t="s">
        <v>13001</v>
      </c>
      <c r="B270" s="142" t="s">
        <v>15506</v>
      </c>
      <c r="C270" s="142" t="s">
        <v>15847</v>
      </c>
      <c r="D270" s="142" t="s">
        <v>15848</v>
      </c>
      <c r="E270" s="142" t="s">
        <v>15849</v>
      </c>
      <c r="F270" s="142" t="s">
        <v>10309</v>
      </c>
      <c r="G270" s="142" t="s">
        <v>10308</v>
      </c>
      <c r="H270" s="142" t="s">
        <v>16120</v>
      </c>
      <c r="I270" s="142">
        <v>59</v>
      </c>
      <c r="J270" s="142">
        <v>51</v>
      </c>
      <c r="K270" s="142">
        <v>0</v>
      </c>
      <c r="L270" s="142">
        <v>8</v>
      </c>
      <c r="M270" s="142">
        <v>0</v>
      </c>
    </row>
    <row r="271" spans="1:13" x14ac:dyDescent="0.45">
      <c r="A271" s="142" t="s">
        <v>13149</v>
      </c>
      <c r="B271" s="142" t="s">
        <v>14458</v>
      </c>
      <c r="C271" s="142" t="s">
        <v>15860</v>
      </c>
      <c r="D271" s="142" t="s">
        <v>15861</v>
      </c>
      <c r="E271" s="142" t="s">
        <v>15849</v>
      </c>
      <c r="F271" s="142" t="s">
        <v>10309</v>
      </c>
      <c r="G271" s="142" t="s">
        <v>10308</v>
      </c>
      <c r="H271" s="142" t="s">
        <v>16121</v>
      </c>
      <c r="I271" s="142">
        <v>1</v>
      </c>
      <c r="J271" s="142">
        <v>0</v>
      </c>
      <c r="K271" s="142">
        <v>0</v>
      </c>
      <c r="L271" s="142">
        <v>1</v>
      </c>
      <c r="M271" s="142">
        <v>0</v>
      </c>
    </row>
    <row r="272" spans="1:13" x14ac:dyDescent="0.45">
      <c r="A272" s="142" t="s">
        <v>13028</v>
      </c>
      <c r="B272" s="142" t="s">
        <v>14462</v>
      </c>
      <c r="C272" s="142" t="s">
        <v>15847</v>
      </c>
      <c r="D272" s="142" t="s">
        <v>15848</v>
      </c>
      <c r="E272" s="142" t="s">
        <v>15849</v>
      </c>
      <c r="F272" s="142" t="s">
        <v>10309</v>
      </c>
      <c r="G272" s="142" t="s">
        <v>10308</v>
      </c>
      <c r="H272" s="142" t="s">
        <v>16122</v>
      </c>
      <c r="I272" s="142">
        <v>54</v>
      </c>
      <c r="J272" s="142">
        <v>0</v>
      </c>
      <c r="K272" s="142">
        <v>0</v>
      </c>
      <c r="L272" s="142">
        <v>0</v>
      </c>
      <c r="M272" s="142">
        <v>54</v>
      </c>
    </row>
    <row r="273" spans="1:13" x14ac:dyDescent="0.45">
      <c r="A273" s="142" t="s">
        <v>13150</v>
      </c>
      <c r="B273" s="142" t="s">
        <v>14539</v>
      </c>
      <c r="C273" s="142" t="s">
        <v>15860</v>
      </c>
      <c r="D273" s="142" t="s">
        <v>15861</v>
      </c>
      <c r="E273" s="142" t="s">
        <v>15849</v>
      </c>
      <c r="F273" s="142" t="s">
        <v>10309</v>
      </c>
      <c r="G273" s="142" t="s">
        <v>10308</v>
      </c>
      <c r="H273" s="142" t="s">
        <v>16123</v>
      </c>
      <c r="I273" s="142">
        <v>14</v>
      </c>
      <c r="J273" s="142">
        <v>0</v>
      </c>
      <c r="K273" s="142">
        <v>0</v>
      </c>
      <c r="L273" s="142">
        <v>14</v>
      </c>
      <c r="M273" s="142">
        <v>0</v>
      </c>
    </row>
    <row r="274" spans="1:13" x14ac:dyDescent="0.45">
      <c r="A274" s="142" t="s">
        <v>13002</v>
      </c>
      <c r="B274" s="142" t="s">
        <v>15376</v>
      </c>
      <c r="C274" s="142" t="s">
        <v>15847</v>
      </c>
      <c r="D274" s="142" t="s">
        <v>15848</v>
      </c>
      <c r="E274" s="142" t="s">
        <v>15849</v>
      </c>
      <c r="F274" s="142" t="s">
        <v>10309</v>
      </c>
      <c r="G274" s="142" t="s">
        <v>10308</v>
      </c>
      <c r="H274" s="142" t="s">
        <v>16124</v>
      </c>
      <c r="I274" s="142">
        <v>6</v>
      </c>
      <c r="J274" s="142">
        <v>0</v>
      </c>
      <c r="K274" s="142">
        <v>0</v>
      </c>
      <c r="L274" s="142">
        <v>6</v>
      </c>
      <c r="M274" s="142">
        <v>0</v>
      </c>
    </row>
    <row r="275" spans="1:13" x14ac:dyDescent="0.45">
      <c r="A275" s="142" t="s">
        <v>13066</v>
      </c>
      <c r="B275" s="142" t="s">
        <v>14459</v>
      </c>
      <c r="C275" s="142" t="s">
        <v>15847</v>
      </c>
      <c r="D275" s="142" t="s">
        <v>15848</v>
      </c>
      <c r="E275" s="142" t="s">
        <v>15849</v>
      </c>
      <c r="F275" s="142" t="s">
        <v>10309</v>
      </c>
      <c r="G275" s="142" t="s">
        <v>10308</v>
      </c>
      <c r="H275" s="142" t="s">
        <v>16125</v>
      </c>
      <c r="I275" s="142">
        <v>16</v>
      </c>
      <c r="J275" s="142">
        <v>3</v>
      </c>
      <c r="K275" s="142">
        <v>0</v>
      </c>
      <c r="L275" s="142">
        <v>13</v>
      </c>
      <c r="M275" s="142">
        <v>0</v>
      </c>
    </row>
    <row r="276" spans="1:13" x14ac:dyDescent="0.45">
      <c r="A276" s="142" t="s">
        <v>13151</v>
      </c>
      <c r="B276" s="142" t="s">
        <v>14512</v>
      </c>
      <c r="C276" s="142" t="s">
        <v>15860</v>
      </c>
      <c r="D276" s="142" t="s">
        <v>15861</v>
      </c>
      <c r="E276" s="142" t="s">
        <v>15849</v>
      </c>
      <c r="F276" s="142" t="s">
        <v>10309</v>
      </c>
      <c r="G276" s="142" t="s">
        <v>10308</v>
      </c>
      <c r="H276" s="142" t="s">
        <v>16126</v>
      </c>
      <c r="I276" s="142">
        <v>3</v>
      </c>
      <c r="J276" s="142">
        <v>3</v>
      </c>
      <c r="K276" s="142">
        <v>0</v>
      </c>
      <c r="L276" s="142">
        <v>0</v>
      </c>
      <c r="M276" s="142">
        <v>0</v>
      </c>
    </row>
    <row r="277" spans="1:13" x14ac:dyDescent="0.45">
      <c r="A277" s="142" t="s">
        <v>13076</v>
      </c>
      <c r="B277" s="142" t="s">
        <v>14636</v>
      </c>
      <c r="C277" s="142" t="s">
        <v>15847</v>
      </c>
      <c r="D277" s="142" t="s">
        <v>15848</v>
      </c>
      <c r="E277" s="142" t="s">
        <v>15849</v>
      </c>
      <c r="F277" s="142" t="s">
        <v>10309</v>
      </c>
      <c r="G277" s="142" t="s">
        <v>10308</v>
      </c>
      <c r="H277" s="142" t="s">
        <v>16127</v>
      </c>
      <c r="I277" s="142">
        <v>14</v>
      </c>
      <c r="J277" s="142">
        <v>0</v>
      </c>
      <c r="K277" s="142">
        <v>0</v>
      </c>
      <c r="L277" s="142">
        <v>0</v>
      </c>
      <c r="M277" s="142">
        <v>14</v>
      </c>
    </row>
    <row r="278" spans="1:13" x14ac:dyDescent="0.45">
      <c r="A278" s="142" t="s">
        <v>13033</v>
      </c>
      <c r="B278" s="142" t="s">
        <v>15276</v>
      </c>
      <c r="C278" s="142" t="s">
        <v>15847</v>
      </c>
      <c r="D278" s="142" t="s">
        <v>15848</v>
      </c>
      <c r="E278" s="142" t="s">
        <v>15849</v>
      </c>
      <c r="F278" s="142" t="s">
        <v>10309</v>
      </c>
      <c r="G278" s="142" t="s">
        <v>10308</v>
      </c>
      <c r="H278" s="142" t="s">
        <v>16128</v>
      </c>
      <c r="I278" s="142">
        <v>26</v>
      </c>
      <c r="J278" s="142">
        <v>26</v>
      </c>
      <c r="K278" s="142">
        <v>0</v>
      </c>
      <c r="L278" s="142">
        <v>0</v>
      </c>
      <c r="M278" s="142">
        <v>0</v>
      </c>
    </row>
    <row r="279" spans="1:13" x14ac:dyDescent="0.45">
      <c r="A279" s="142" t="s">
        <v>13037</v>
      </c>
      <c r="B279" s="142" t="s">
        <v>14519</v>
      </c>
      <c r="C279" s="142" t="s">
        <v>15847</v>
      </c>
      <c r="D279" s="142" t="s">
        <v>15848</v>
      </c>
      <c r="E279" s="142" t="s">
        <v>15849</v>
      </c>
      <c r="F279" s="142" t="s">
        <v>10309</v>
      </c>
      <c r="G279" s="142" t="s">
        <v>10308</v>
      </c>
      <c r="H279" s="142" t="s">
        <v>16129</v>
      </c>
      <c r="I279" s="142">
        <v>7</v>
      </c>
      <c r="J279" s="142">
        <v>0</v>
      </c>
      <c r="K279" s="142">
        <v>0</v>
      </c>
      <c r="L279" s="142">
        <v>7</v>
      </c>
      <c r="M279" s="142">
        <v>0</v>
      </c>
    </row>
    <row r="280" spans="1:13" x14ac:dyDescent="0.45">
      <c r="A280" s="142" t="s">
        <v>13038</v>
      </c>
      <c r="B280" s="142" t="s">
        <v>14646</v>
      </c>
      <c r="C280" s="142" t="s">
        <v>15847</v>
      </c>
      <c r="D280" s="142" t="s">
        <v>15848</v>
      </c>
      <c r="E280" s="142" t="s">
        <v>15849</v>
      </c>
      <c r="F280" s="142" t="s">
        <v>10309</v>
      </c>
      <c r="G280" s="142" t="s">
        <v>10308</v>
      </c>
      <c r="H280" s="142" t="s">
        <v>16130</v>
      </c>
      <c r="I280" s="142">
        <v>4</v>
      </c>
      <c r="J280" s="142">
        <v>0</v>
      </c>
      <c r="K280" s="142">
        <v>0</v>
      </c>
      <c r="L280" s="142">
        <v>0</v>
      </c>
      <c r="M280" s="142">
        <v>4</v>
      </c>
    </row>
    <row r="281" spans="1:13" x14ac:dyDescent="0.45">
      <c r="A281" s="142" t="s">
        <v>13091</v>
      </c>
      <c r="B281" s="142" t="s">
        <v>14473</v>
      </c>
      <c r="C281" s="142" t="s">
        <v>15847</v>
      </c>
      <c r="D281" s="142" t="s">
        <v>15848</v>
      </c>
      <c r="E281" s="142" t="s">
        <v>15849</v>
      </c>
      <c r="F281" s="142" t="s">
        <v>10309</v>
      </c>
      <c r="G281" s="142" t="s">
        <v>10308</v>
      </c>
      <c r="H281" s="142" t="s">
        <v>16131</v>
      </c>
      <c r="I281" s="142">
        <v>56</v>
      </c>
      <c r="J281" s="142">
        <v>56</v>
      </c>
      <c r="K281" s="142">
        <v>0</v>
      </c>
      <c r="L281" s="142">
        <v>0</v>
      </c>
      <c r="M281" s="142">
        <v>0</v>
      </c>
    </row>
    <row r="282" spans="1:13" x14ac:dyDescent="0.45">
      <c r="A282" s="142" t="s">
        <v>13009</v>
      </c>
      <c r="B282" s="142" t="s">
        <v>15256</v>
      </c>
      <c r="C282" s="142" t="s">
        <v>15847</v>
      </c>
      <c r="D282" s="142" t="s">
        <v>15848</v>
      </c>
      <c r="E282" s="142" t="s">
        <v>15849</v>
      </c>
      <c r="F282" s="142" t="s">
        <v>10309</v>
      </c>
      <c r="G282" s="142" t="s">
        <v>10308</v>
      </c>
      <c r="H282" s="142" t="s">
        <v>16132</v>
      </c>
      <c r="I282" s="142">
        <v>44</v>
      </c>
      <c r="J282" s="142">
        <v>35</v>
      </c>
      <c r="K282" s="142">
        <v>0</v>
      </c>
      <c r="L282" s="142">
        <v>9</v>
      </c>
      <c r="M282" s="142">
        <v>0</v>
      </c>
    </row>
    <row r="283" spans="1:13" x14ac:dyDescent="0.45">
      <c r="A283" s="142" t="s">
        <v>13152</v>
      </c>
      <c r="B283" s="142" t="s">
        <v>15249</v>
      </c>
      <c r="C283" s="142" t="s">
        <v>15847</v>
      </c>
      <c r="D283" s="142" t="s">
        <v>15848</v>
      </c>
      <c r="E283" s="142" t="s">
        <v>15849</v>
      </c>
      <c r="F283" s="142" t="s">
        <v>10309</v>
      </c>
      <c r="G283" s="142" t="s">
        <v>10308</v>
      </c>
      <c r="H283" s="142" t="s">
        <v>16133</v>
      </c>
      <c r="I283" s="142">
        <v>416</v>
      </c>
      <c r="J283" s="142">
        <v>224</v>
      </c>
      <c r="K283" s="142">
        <v>0</v>
      </c>
      <c r="L283" s="142">
        <v>154</v>
      </c>
      <c r="M283" s="142">
        <v>38</v>
      </c>
    </row>
    <row r="284" spans="1:13" x14ac:dyDescent="0.45">
      <c r="A284" s="142" t="s">
        <v>13153</v>
      </c>
      <c r="B284" s="142" t="s">
        <v>14469</v>
      </c>
      <c r="C284" s="142" t="s">
        <v>15860</v>
      </c>
      <c r="D284" s="142" t="s">
        <v>15861</v>
      </c>
      <c r="E284" s="142" t="s">
        <v>15849</v>
      </c>
      <c r="F284" s="142" t="s">
        <v>10309</v>
      </c>
      <c r="G284" s="142" t="s">
        <v>10308</v>
      </c>
      <c r="H284" s="142" t="s">
        <v>16134</v>
      </c>
      <c r="I284" s="142">
        <v>9</v>
      </c>
      <c r="J284" s="142">
        <v>0</v>
      </c>
      <c r="K284" s="142">
        <v>0</v>
      </c>
      <c r="L284" s="142">
        <v>9</v>
      </c>
      <c r="M284" s="142">
        <v>0</v>
      </c>
    </row>
    <row r="285" spans="1:13" x14ac:dyDescent="0.45">
      <c r="A285" s="142" t="s">
        <v>13014</v>
      </c>
      <c r="B285" s="142" t="s">
        <v>14505</v>
      </c>
      <c r="C285" s="142" t="s">
        <v>15847</v>
      </c>
      <c r="D285" s="142" t="s">
        <v>15848</v>
      </c>
      <c r="E285" s="142" t="s">
        <v>15849</v>
      </c>
      <c r="F285" s="142" t="s">
        <v>10309</v>
      </c>
      <c r="G285" s="142" t="s">
        <v>10308</v>
      </c>
      <c r="H285" s="142" t="s">
        <v>16135</v>
      </c>
      <c r="I285" s="142">
        <v>559</v>
      </c>
      <c r="J285" s="142">
        <v>184</v>
      </c>
      <c r="K285" s="142">
        <v>0</v>
      </c>
      <c r="L285" s="142">
        <v>321</v>
      </c>
      <c r="M285" s="142">
        <v>54</v>
      </c>
    </row>
    <row r="286" spans="1:13" x14ac:dyDescent="0.45">
      <c r="A286" s="142" t="s">
        <v>13042</v>
      </c>
      <c r="B286" s="142" t="s">
        <v>15489</v>
      </c>
      <c r="C286" s="142" t="s">
        <v>15847</v>
      </c>
      <c r="D286" s="142" t="s">
        <v>15848</v>
      </c>
      <c r="E286" s="142" t="s">
        <v>15849</v>
      </c>
      <c r="F286" s="142" t="s">
        <v>10309</v>
      </c>
      <c r="G286" s="142" t="s">
        <v>10308</v>
      </c>
      <c r="H286" s="142" t="s">
        <v>16136</v>
      </c>
      <c r="I286" s="142">
        <v>74</v>
      </c>
      <c r="J286" s="142">
        <v>0</v>
      </c>
      <c r="K286" s="142">
        <v>0</v>
      </c>
      <c r="L286" s="142">
        <v>74</v>
      </c>
      <c r="M286" s="142">
        <v>0</v>
      </c>
    </row>
    <row r="287" spans="1:13" x14ac:dyDescent="0.45">
      <c r="A287" s="142" t="s">
        <v>13154</v>
      </c>
      <c r="B287" s="142" t="s">
        <v>15415</v>
      </c>
      <c r="C287" s="142" t="s">
        <v>15847</v>
      </c>
      <c r="D287" s="142" t="s">
        <v>15848</v>
      </c>
      <c r="E287" s="142" t="s">
        <v>15849</v>
      </c>
      <c r="F287" s="142" t="s">
        <v>10309</v>
      </c>
      <c r="G287" s="142" t="s">
        <v>10308</v>
      </c>
      <c r="H287" s="142" t="s">
        <v>16137</v>
      </c>
      <c r="I287" s="142">
        <v>1236</v>
      </c>
      <c r="J287" s="142">
        <v>995</v>
      </c>
      <c r="K287" s="142">
        <v>0</v>
      </c>
      <c r="L287" s="142">
        <v>112</v>
      </c>
      <c r="M287" s="142">
        <v>129</v>
      </c>
    </row>
    <row r="288" spans="1:13" x14ac:dyDescent="0.45">
      <c r="A288" s="142" t="s">
        <v>13155</v>
      </c>
      <c r="B288" s="142" t="s">
        <v>15455</v>
      </c>
      <c r="C288" s="142" t="s">
        <v>15847</v>
      </c>
      <c r="D288" s="142" t="s">
        <v>15848</v>
      </c>
      <c r="E288" s="142" t="s">
        <v>15849</v>
      </c>
      <c r="F288" s="142" t="s">
        <v>10309</v>
      </c>
      <c r="G288" s="142" t="s">
        <v>10308</v>
      </c>
      <c r="H288" s="142" t="s">
        <v>16138</v>
      </c>
      <c r="I288" s="142">
        <v>201</v>
      </c>
      <c r="J288" s="142">
        <v>119</v>
      </c>
      <c r="K288" s="142">
        <v>0</v>
      </c>
      <c r="L288" s="142">
        <v>0</v>
      </c>
      <c r="M288" s="142">
        <v>82</v>
      </c>
    </row>
    <row r="289" spans="1:13" x14ac:dyDescent="0.45">
      <c r="A289" s="142" t="s">
        <v>13156</v>
      </c>
      <c r="B289" s="142" t="s">
        <v>14493</v>
      </c>
      <c r="C289" s="142" t="s">
        <v>15860</v>
      </c>
      <c r="D289" s="142" t="s">
        <v>15861</v>
      </c>
      <c r="E289" s="142" t="s">
        <v>15849</v>
      </c>
      <c r="F289" s="142" t="s">
        <v>10309</v>
      </c>
      <c r="G289" s="142" t="s">
        <v>10308</v>
      </c>
      <c r="H289" s="142" t="s">
        <v>16139</v>
      </c>
      <c r="I289" s="142">
        <v>14</v>
      </c>
      <c r="J289" s="142">
        <v>0</v>
      </c>
      <c r="K289" s="142">
        <v>0</v>
      </c>
      <c r="L289" s="142">
        <v>14</v>
      </c>
      <c r="M289" s="142">
        <v>0</v>
      </c>
    </row>
    <row r="290" spans="1:13" x14ac:dyDescent="0.45">
      <c r="A290" s="142" t="s">
        <v>13157</v>
      </c>
      <c r="B290" s="142" t="s">
        <v>15477</v>
      </c>
      <c r="C290" s="142" t="s">
        <v>15847</v>
      </c>
      <c r="D290" s="142" t="s">
        <v>15848</v>
      </c>
      <c r="E290" s="142" t="s">
        <v>15849</v>
      </c>
      <c r="F290" s="142" t="s">
        <v>10309</v>
      </c>
      <c r="G290" s="142" t="s">
        <v>10308</v>
      </c>
      <c r="H290" s="142" t="s">
        <v>16140</v>
      </c>
      <c r="I290" s="142">
        <v>1285</v>
      </c>
      <c r="J290" s="142">
        <v>1095</v>
      </c>
      <c r="K290" s="142">
        <v>0</v>
      </c>
      <c r="L290" s="142">
        <v>154</v>
      </c>
      <c r="M290" s="142">
        <v>36</v>
      </c>
    </row>
    <row r="291" spans="1:13" x14ac:dyDescent="0.45">
      <c r="A291" s="142" t="s">
        <v>13021</v>
      </c>
      <c r="B291" s="142" t="s">
        <v>15501</v>
      </c>
      <c r="C291" s="142" t="s">
        <v>15847</v>
      </c>
      <c r="D291" s="142" t="s">
        <v>15848</v>
      </c>
      <c r="E291" s="142" t="s">
        <v>15849</v>
      </c>
      <c r="F291" s="142" t="s">
        <v>4004</v>
      </c>
      <c r="G291" s="142" t="s">
        <v>4003</v>
      </c>
      <c r="H291" s="142" t="s">
        <v>16141</v>
      </c>
      <c r="I291" s="142">
        <v>3</v>
      </c>
      <c r="J291" s="142">
        <v>0</v>
      </c>
      <c r="K291" s="142">
        <v>0</v>
      </c>
      <c r="L291" s="142">
        <v>0</v>
      </c>
      <c r="M291" s="142">
        <v>3</v>
      </c>
    </row>
    <row r="292" spans="1:13" x14ac:dyDescent="0.45">
      <c r="A292" s="142" t="s">
        <v>13023</v>
      </c>
      <c r="B292" s="142" t="s">
        <v>15571</v>
      </c>
      <c r="C292" s="142" t="s">
        <v>15847</v>
      </c>
      <c r="D292" s="142" t="s">
        <v>15848</v>
      </c>
      <c r="E292" s="142" t="s">
        <v>15849</v>
      </c>
      <c r="F292" s="142" t="s">
        <v>4004</v>
      </c>
      <c r="G292" s="142" t="s">
        <v>4003</v>
      </c>
      <c r="H292" s="142" t="s">
        <v>16142</v>
      </c>
      <c r="I292" s="142">
        <v>94</v>
      </c>
      <c r="J292" s="142">
        <v>15</v>
      </c>
      <c r="K292" s="142">
        <v>0</v>
      </c>
      <c r="L292" s="142">
        <v>79</v>
      </c>
      <c r="M292" s="142">
        <v>0</v>
      </c>
    </row>
    <row r="293" spans="1:13" x14ac:dyDescent="0.45">
      <c r="A293" s="142" t="s">
        <v>13083</v>
      </c>
      <c r="B293" s="142" t="s">
        <v>15440</v>
      </c>
      <c r="C293" s="142" t="s">
        <v>15847</v>
      </c>
      <c r="D293" s="142" t="s">
        <v>15848</v>
      </c>
      <c r="E293" s="142" t="s">
        <v>15849</v>
      </c>
      <c r="F293" s="142" t="s">
        <v>4004</v>
      </c>
      <c r="G293" s="142" t="s">
        <v>4003</v>
      </c>
      <c r="H293" s="142" t="s">
        <v>16143</v>
      </c>
      <c r="I293" s="142">
        <v>68</v>
      </c>
      <c r="J293" s="142">
        <v>67</v>
      </c>
      <c r="K293" s="142">
        <v>0</v>
      </c>
      <c r="L293" s="142">
        <v>0</v>
      </c>
      <c r="M293" s="142">
        <v>1</v>
      </c>
    </row>
    <row r="294" spans="1:13" x14ac:dyDescent="0.45">
      <c r="A294" s="142" t="s">
        <v>13159</v>
      </c>
      <c r="B294" s="142" t="s">
        <v>14521</v>
      </c>
      <c r="C294" s="142" t="s">
        <v>15860</v>
      </c>
      <c r="D294" s="142" t="s">
        <v>15861</v>
      </c>
      <c r="E294" s="142" t="s">
        <v>15849</v>
      </c>
      <c r="F294" s="142" t="s">
        <v>4004</v>
      </c>
      <c r="G294" s="142" t="s">
        <v>4003</v>
      </c>
      <c r="H294" s="142" t="s">
        <v>16144</v>
      </c>
      <c r="I294" s="142">
        <v>7</v>
      </c>
      <c r="J294" s="142">
        <v>0</v>
      </c>
      <c r="K294" s="142">
        <v>0</v>
      </c>
      <c r="L294" s="142">
        <v>7</v>
      </c>
      <c r="M294" s="142">
        <v>0</v>
      </c>
    </row>
    <row r="295" spans="1:13" x14ac:dyDescent="0.45">
      <c r="A295" s="142" t="s">
        <v>13000</v>
      </c>
      <c r="B295" s="142" t="s">
        <v>14610</v>
      </c>
      <c r="C295" s="142" t="s">
        <v>15847</v>
      </c>
      <c r="D295" s="142" t="s">
        <v>15848</v>
      </c>
      <c r="E295" s="142" t="s">
        <v>15849</v>
      </c>
      <c r="F295" s="142" t="s">
        <v>4004</v>
      </c>
      <c r="G295" s="142" t="s">
        <v>4003</v>
      </c>
      <c r="H295" s="142" t="s">
        <v>16145</v>
      </c>
      <c r="I295" s="142">
        <v>780</v>
      </c>
      <c r="J295" s="142">
        <v>705</v>
      </c>
      <c r="K295" s="142">
        <v>0</v>
      </c>
      <c r="L295" s="142">
        <v>0</v>
      </c>
      <c r="M295" s="142">
        <v>75</v>
      </c>
    </row>
    <row r="296" spans="1:13" x14ac:dyDescent="0.45">
      <c r="A296" s="142" t="s">
        <v>13085</v>
      </c>
      <c r="B296" s="142" t="s">
        <v>14460</v>
      </c>
      <c r="C296" s="142" t="s">
        <v>15860</v>
      </c>
      <c r="D296" s="142" t="s">
        <v>15861</v>
      </c>
      <c r="E296" s="142" t="s">
        <v>15849</v>
      </c>
      <c r="F296" s="142" t="s">
        <v>4004</v>
      </c>
      <c r="G296" s="142" t="s">
        <v>4003</v>
      </c>
      <c r="H296" s="142" t="s">
        <v>16146</v>
      </c>
      <c r="I296" s="142">
        <v>4</v>
      </c>
      <c r="J296" s="142">
        <v>0</v>
      </c>
      <c r="K296" s="142">
        <v>0</v>
      </c>
      <c r="L296" s="142">
        <v>4</v>
      </c>
      <c r="M296" s="142">
        <v>0</v>
      </c>
    </row>
    <row r="297" spans="1:13" x14ac:dyDescent="0.45">
      <c r="A297" s="142" t="s">
        <v>13086</v>
      </c>
      <c r="B297" s="142" t="s">
        <v>15380</v>
      </c>
      <c r="C297" s="142" t="s">
        <v>15847</v>
      </c>
      <c r="D297" s="142" t="s">
        <v>15848</v>
      </c>
      <c r="E297" s="142" t="s">
        <v>15849</v>
      </c>
      <c r="F297" s="142" t="s">
        <v>4004</v>
      </c>
      <c r="G297" s="142" t="s">
        <v>4003</v>
      </c>
      <c r="H297" s="142" t="s">
        <v>16147</v>
      </c>
      <c r="I297" s="142">
        <v>154</v>
      </c>
      <c r="J297" s="142">
        <v>138</v>
      </c>
      <c r="K297" s="142">
        <v>0</v>
      </c>
      <c r="L297" s="142">
        <v>15</v>
      </c>
      <c r="M297" s="142">
        <v>1</v>
      </c>
    </row>
    <row r="298" spans="1:13" x14ac:dyDescent="0.45">
      <c r="A298" s="142" t="s">
        <v>13160</v>
      </c>
      <c r="B298" s="142" t="s">
        <v>14525</v>
      </c>
      <c r="C298" s="142" t="s">
        <v>15847</v>
      </c>
      <c r="D298" s="142" t="s">
        <v>15848</v>
      </c>
      <c r="E298" s="142" t="s">
        <v>15849</v>
      </c>
      <c r="F298" s="142" t="s">
        <v>4004</v>
      </c>
      <c r="G298" s="142" t="s">
        <v>4003</v>
      </c>
      <c r="H298" s="142" t="s">
        <v>16148</v>
      </c>
      <c r="I298" s="142">
        <v>17</v>
      </c>
      <c r="J298" s="142">
        <v>0</v>
      </c>
      <c r="K298" s="142">
        <v>0</v>
      </c>
      <c r="L298" s="142">
        <v>17</v>
      </c>
      <c r="M298" s="142">
        <v>0</v>
      </c>
    </row>
    <row r="299" spans="1:13" x14ac:dyDescent="0.45">
      <c r="A299" s="142" t="s">
        <v>13002</v>
      </c>
      <c r="B299" s="142" t="s">
        <v>15376</v>
      </c>
      <c r="C299" s="142" t="s">
        <v>15847</v>
      </c>
      <c r="D299" s="142" t="s">
        <v>15848</v>
      </c>
      <c r="E299" s="142" t="s">
        <v>15849</v>
      </c>
      <c r="F299" s="142" t="s">
        <v>4004</v>
      </c>
      <c r="G299" s="142" t="s">
        <v>4003</v>
      </c>
      <c r="H299" s="142" t="s">
        <v>16149</v>
      </c>
      <c r="I299" s="142">
        <v>4</v>
      </c>
      <c r="J299" s="142">
        <v>0</v>
      </c>
      <c r="K299" s="142">
        <v>0</v>
      </c>
      <c r="L299" s="142">
        <v>4</v>
      </c>
      <c r="M299" s="142">
        <v>0</v>
      </c>
    </row>
    <row r="300" spans="1:13" x14ac:dyDescent="0.45">
      <c r="A300" s="142" t="s">
        <v>13003</v>
      </c>
      <c r="B300" s="142" t="s">
        <v>15245</v>
      </c>
      <c r="C300" s="142" t="s">
        <v>15847</v>
      </c>
      <c r="D300" s="142" t="s">
        <v>15848</v>
      </c>
      <c r="E300" s="142" t="s">
        <v>15849</v>
      </c>
      <c r="F300" s="142" t="s">
        <v>4004</v>
      </c>
      <c r="G300" s="142" t="s">
        <v>4003</v>
      </c>
      <c r="H300" s="142" t="s">
        <v>16150</v>
      </c>
      <c r="I300" s="142">
        <v>84</v>
      </c>
      <c r="J300" s="142">
        <v>0</v>
      </c>
      <c r="K300" s="142">
        <v>0</v>
      </c>
      <c r="L300" s="142">
        <v>84</v>
      </c>
      <c r="M300" s="142">
        <v>0</v>
      </c>
    </row>
    <row r="301" spans="1:13" x14ac:dyDescent="0.45">
      <c r="A301" s="142" t="s">
        <v>13161</v>
      </c>
      <c r="B301" s="142" t="s">
        <v>14728</v>
      </c>
      <c r="C301" s="142" t="s">
        <v>15860</v>
      </c>
      <c r="D301" s="142" t="s">
        <v>15861</v>
      </c>
      <c r="E301" s="142" t="s">
        <v>15849</v>
      </c>
      <c r="F301" s="142" t="s">
        <v>4004</v>
      </c>
      <c r="G301" s="142" t="s">
        <v>4003</v>
      </c>
      <c r="H301" s="142" t="s">
        <v>16151</v>
      </c>
      <c r="I301" s="142">
        <v>12</v>
      </c>
      <c r="J301" s="142">
        <v>0</v>
      </c>
      <c r="K301" s="142">
        <v>0</v>
      </c>
      <c r="L301" s="142">
        <v>12</v>
      </c>
      <c r="M301" s="142">
        <v>0</v>
      </c>
    </row>
    <row r="302" spans="1:13" x14ac:dyDescent="0.45">
      <c r="A302" s="142" t="s">
        <v>13100</v>
      </c>
      <c r="B302" s="142" t="s">
        <v>15603</v>
      </c>
      <c r="C302" s="142" t="s">
        <v>15847</v>
      </c>
      <c r="D302" s="142" t="s">
        <v>15848</v>
      </c>
      <c r="E302" s="142" t="s">
        <v>15849</v>
      </c>
      <c r="F302" s="142" t="s">
        <v>4004</v>
      </c>
      <c r="G302" s="142" t="s">
        <v>4003</v>
      </c>
      <c r="H302" s="142" t="s">
        <v>16152</v>
      </c>
      <c r="I302" s="142">
        <v>73</v>
      </c>
      <c r="J302" s="142">
        <v>73</v>
      </c>
      <c r="K302" s="142">
        <v>0</v>
      </c>
      <c r="L302" s="142">
        <v>0</v>
      </c>
      <c r="M302" s="142">
        <v>0</v>
      </c>
    </row>
    <row r="303" spans="1:13" x14ac:dyDescent="0.45">
      <c r="A303" s="142" t="s">
        <v>13005</v>
      </c>
      <c r="B303" s="142" t="s">
        <v>15475</v>
      </c>
      <c r="C303" s="142" t="s">
        <v>15847</v>
      </c>
      <c r="D303" s="142" t="s">
        <v>15848</v>
      </c>
      <c r="E303" s="142" t="s">
        <v>15849</v>
      </c>
      <c r="F303" s="142" t="s">
        <v>4004</v>
      </c>
      <c r="G303" s="142" t="s">
        <v>4003</v>
      </c>
      <c r="H303" s="142" t="s">
        <v>16153</v>
      </c>
      <c r="I303" s="142">
        <v>349</v>
      </c>
      <c r="J303" s="142">
        <v>307</v>
      </c>
      <c r="K303" s="142">
        <v>0</v>
      </c>
      <c r="L303" s="142">
        <v>0</v>
      </c>
      <c r="M303" s="142">
        <v>42</v>
      </c>
    </row>
    <row r="304" spans="1:13" x14ac:dyDescent="0.45">
      <c r="A304" s="142" t="s">
        <v>13101</v>
      </c>
      <c r="B304" s="142" t="s">
        <v>15491</v>
      </c>
      <c r="C304" s="142" t="s">
        <v>15847</v>
      </c>
      <c r="D304" s="142" t="s">
        <v>15848</v>
      </c>
      <c r="E304" s="142" t="s">
        <v>15849</v>
      </c>
      <c r="F304" s="142" t="s">
        <v>4004</v>
      </c>
      <c r="G304" s="142" t="s">
        <v>4003</v>
      </c>
      <c r="H304" s="142" t="s">
        <v>16154</v>
      </c>
      <c r="I304" s="142">
        <v>4</v>
      </c>
      <c r="J304" s="142">
        <v>0</v>
      </c>
      <c r="K304" s="142">
        <v>0</v>
      </c>
      <c r="L304" s="142">
        <v>4</v>
      </c>
      <c r="M304" s="142">
        <v>0</v>
      </c>
    </row>
    <row r="305" spans="1:13" x14ac:dyDescent="0.45">
      <c r="A305" s="142" t="s">
        <v>13029</v>
      </c>
      <c r="B305" s="142" t="s">
        <v>14665</v>
      </c>
      <c r="C305" s="142" t="s">
        <v>15847</v>
      </c>
      <c r="D305" s="142" t="s">
        <v>15848</v>
      </c>
      <c r="E305" s="142" t="s">
        <v>15849</v>
      </c>
      <c r="F305" s="142" t="s">
        <v>4004</v>
      </c>
      <c r="G305" s="142" t="s">
        <v>4003</v>
      </c>
      <c r="H305" s="142" t="s">
        <v>16155</v>
      </c>
      <c r="I305" s="142">
        <v>19</v>
      </c>
      <c r="J305" s="142">
        <v>0</v>
      </c>
      <c r="K305" s="142">
        <v>0</v>
      </c>
      <c r="L305" s="142">
        <v>0</v>
      </c>
      <c r="M305" s="142">
        <v>19</v>
      </c>
    </row>
    <row r="306" spans="1:13" x14ac:dyDescent="0.45">
      <c r="A306" s="142" t="s">
        <v>13006</v>
      </c>
      <c r="B306" s="142" t="s">
        <v>15288</v>
      </c>
      <c r="C306" s="142" t="s">
        <v>15847</v>
      </c>
      <c r="D306" s="142" t="s">
        <v>15848</v>
      </c>
      <c r="E306" s="142" t="s">
        <v>15849</v>
      </c>
      <c r="F306" s="142" t="s">
        <v>4004</v>
      </c>
      <c r="G306" s="142" t="s">
        <v>4003</v>
      </c>
      <c r="H306" s="142" t="s">
        <v>16156</v>
      </c>
      <c r="I306" s="142">
        <v>28</v>
      </c>
      <c r="J306" s="142">
        <v>1</v>
      </c>
      <c r="K306" s="142">
        <v>0</v>
      </c>
      <c r="L306" s="142">
        <v>26</v>
      </c>
      <c r="M306" s="142">
        <v>1</v>
      </c>
    </row>
    <row r="307" spans="1:13" x14ac:dyDescent="0.45">
      <c r="A307" s="142" t="s">
        <v>13007</v>
      </c>
      <c r="B307" s="142" t="s">
        <v>15262</v>
      </c>
      <c r="C307" s="142" t="s">
        <v>15847</v>
      </c>
      <c r="D307" s="142" t="s">
        <v>15848</v>
      </c>
      <c r="E307" s="142" t="s">
        <v>15849</v>
      </c>
      <c r="F307" s="142" t="s">
        <v>4004</v>
      </c>
      <c r="G307" s="142" t="s">
        <v>4003</v>
      </c>
      <c r="H307" s="142" t="s">
        <v>16157</v>
      </c>
      <c r="I307" s="142">
        <v>366</v>
      </c>
      <c r="J307" s="142">
        <v>225</v>
      </c>
      <c r="K307" s="142">
        <v>0</v>
      </c>
      <c r="L307" s="142">
        <v>4</v>
      </c>
      <c r="M307" s="142">
        <v>137</v>
      </c>
    </row>
    <row r="308" spans="1:13" x14ac:dyDescent="0.45">
      <c r="A308" s="142" t="s">
        <v>13162</v>
      </c>
      <c r="B308" s="142" t="s">
        <v>14545</v>
      </c>
      <c r="C308" s="142" t="s">
        <v>15860</v>
      </c>
      <c r="D308" s="142" t="s">
        <v>15861</v>
      </c>
      <c r="E308" s="142" t="s">
        <v>15849</v>
      </c>
      <c r="F308" s="142" t="s">
        <v>4004</v>
      </c>
      <c r="G308" s="142" t="s">
        <v>4003</v>
      </c>
      <c r="H308" s="142" t="s">
        <v>16158</v>
      </c>
      <c r="I308" s="142">
        <v>3</v>
      </c>
      <c r="J308" s="142">
        <v>0</v>
      </c>
      <c r="K308" s="142">
        <v>0</v>
      </c>
      <c r="L308" s="142">
        <v>3</v>
      </c>
      <c r="M308" s="142">
        <v>0</v>
      </c>
    </row>
    <row r="309" spans="1:13" x14ac:dyDescent="0.45">
      <c r="A309" s="142" t="s">
        <v>13103</v>
      </c>
      <c r="B309" s="142" t="s">
        <v>14623</v>
      </c>
      <c r="C309" s="142" t="s">
        <v>15847</v>
      </c>
      <c r="D309" s="142" t="s">
        <v>15848</v>
      </c>
      <c r="E309" s="142" t="s">
        <v>15849</v>
      </c>
      <c r="F309" s="142" t="s">
        <v>4004</v>
      </c>
      <c r="G309" s="142" t="s">
        <v>4003</v>
      </c>
      <c r="H309" s="142" t="s">
        <v>16159</v>
      </c>
      <c r="I309" s="142">
        <v>368</v>
      </c>
      <c r="J309" s="142">
        <v>153</v>
      </c>
      <c r="K309" s="142">
        <v>0</v>
      </c>
      <c r="L309" s="142">
        <v>32</v>
      </c>
      <c r="M309" s="142">
        <v>183</v>
      </c>
    </row>
    <row r="310" spans="1:13" x14ac:dyDescent="0.45">
      <c r="A310" s="142" t="s">
        <v>13008</v>
      </c>
      <c r="B310" s="142" t="s">
        <v>15411</v>
      </c>
      <c r="C310" s="142" t="s">
        <v>15847</v>
      </c>
      <c r="D310" s="142" t="s">
        <v>15848</v>
      </c>
      <c r="E310" s="142" t="s">
        <v>15849</v>
      </c>
      <c r="F310" s="142" t="s">
        <v>4004</v>
      </c>
      <c r="G310" s="142" t="s">
        <v>4003</v>
      </c>
      <c r="H310" s="142" t="s">
        <v>16160</v>
      </c>
      <c r="I310" s="142">
        <v>144</v>
      </c>
      <c r="J310" s="142">
        <v>0</v>
      </c>
      <c r="K310" s="142">
        <v>0</v>
      </c>
      <c r="L310" s="142">
        <v>0</v>
      </c>
      <c r="M310" s="142">
        <v>144</v>
      </c>
    </row>
    <row r="311" spans="1:13" x14ac:dyDescent="0.45">
      <c r="A311" s="142" t="s">
        <v>13104</v>
      </c>
      <c r="B311" s="142" t="s">
        <v>14622</v>
      </c>
      <c r="C311" s="142" t="s">
        <v>15847</v>
      </c>
      <c r="D311" s="142" t="s">
        <v>15848</v>
      </c>
      <c r="E311" s="142" t="s">
        <v>15849</v>
      </c>
      <c r="F311" s="142" t="s">
        <v>4004</v>
      </c>
      <c r="G311" s="142" t="s">
        <v>4003</v>
      </c>
      <c r="H311" s="142" t="s">
        <v>16161</v>
      </c>
      <c r="I311" s="142">
        <v>611</v>
      </c>
      <c r="J311" s="142">
        <v>502</v>
      </c>
      <c r="K311" s="142">
        <v>0</v>
      </c>
      <c r="L311" s="142">
        <v>51</v>
      </c>
      <c r="M311" s="142">
        <v>58</v>
      </c>
    </row>
    <row r="312" spans="1:13" x14ac:dyDescent="0.45">
      <c r="A312" s="142" t="s">
        <v>13033</v>
      </c>
      <c r="B312" s="142" t="s">
        <v>15276</v>
      </c>
      <c r="C312" s="142" t="s">
        <v>15847</v>
      </c>
      <c r="D312" s="142" t="s">
        <v>15848</v>
      </c>
      <c r="E312" s="142" t="s">
        <v>15849</v>
      </c>
      <c r="F312" s="142" t="s">
        <v>4004</v>
      </c>
      <c r="G312" s="142" t="s">
        <v>4003</v>
      </c>
      <c r="H312" s="142" t="s">
        <v>16162</v>
      </c>
      <c r="I312" s="142">
        <v>2</v>
      </c>
      <c r="J312" s="142">
        <v>2</v>
      </c>
      <c r="K312" s="142">
        <v>0</v>
      </c>
      <c r="L312" s="142">
        <v>0</v>
      </c>
      <c r="M312" s="142">
        <v>0</v>
      </c>
    </row>
    <row r="313" spans="1:13" x14ac:dyDescent="0.45">
      <c r="A313" s="142" t="s">
        <v>13105</v>
      </c>
      <c r="B313" s="142" t="s">
        <v>14654</v>
      </c>
      <c r="C313" s="142" t="s">
        <v>15847</v>
      </c>
      <c r="D313" s="142" t="s">
        <v>15848</v>
      </c>
      <c r="E313" s="142" t="s">
        <v>15849</v>
      </c>
      <c r="F313" s="142" t="s">
        <v>4004</v>
      </c>
      <c r="G313" s="142" t="s">
        <v>4003</v>
      </c>
      <c r="H313" s="142" t="s">
        <v>16163</v>
      </c>
      <c r="I313" s="142">
        <v>19</v>
      </c>
      <c r="J313" s="142">
        <v>0</v>
      </c>
      <c r="K313" s="142">
        <v>0</v>
      </c>
      <c r="L313" s="142">
        <v>0</v>
      </c>
      <c r="M313" s="142">
        <v>19</v>
      </c>
    </row>
    <row r="314" spans="1:13" x14ac:dyDescent="0.45">
      <c r="A314" s="142" t="s">
        <v>13078</v>
      </c>
      <c r="B314" s="142" t="s">
        <v>15540</v>
      </c>
      <c r="C314" s="142" t="s">
        <v>15847</v>
      </c>
      <c r="D314" s="142" t="s">
        <v>15848</v>
      </c>
      <c r="E314" s="142" t="s">
        <v>15849</v>
      </c>
      <c r="F314" s="142" t="s">
        <v>4004</v>
      </c>
      <c r="G314" s="142" t="s">
        <v>4003</v>
      </c>
      <c r="H314" s="142" t="s">
        <v>16164</v>
      </c>
      <c r="I314" s="142">
        <v>17</v>
      </c>
      <c r="J314" s="142">
        <v>17</v>
      </c>
      <c r="K314" s="142">
        <v>0</v>
      </c>
      <c r="L314" s="142">
        <v>0</v>
      </c>
      <c r="M314" s="142">
        <v>0</v>
      </c>
    </row>
    <row r="315" spans="1:13" x14ac:dyDescent="0.45">
      <c r="A315" s="142" t="s">
        <v>13009</v>
      </c>
      <c r="B315" s="142" t="s">
        <v>15256</v>
      </c>
      <c r="C315" s="142" t="s">
        <v>15847</v>
      </c>
      <c r="D315" s="142" t="s">
        <v>15848</v>
      </c>
      <c r="E315" s="142" t="s">
        <v>15849</v>
      </c>
      <c r="F315" s="142" t="s">
        <v>4004</v>
      </c>
      <c r="G315" s="142" t="s">
        <v>4003</v>
      </c>
      <c r="H315" s="142" t="s">
        <v>16165</v>
      </c>
      <c r="I315" s="142">
        <v>65</v>
      </c>
      <c r="J315" s="142">
        <v>0</v>
      </c>
      <c r="K315" s="142">
        <v>0</v>
      </c>
      <c r="L315" s="142">
        <v>53</v>
      </c>
      <c r="M315" s="142">
        <v>12</v>
      </c>
    </row>
    <row r="316" spans="1:13" x14ac:dyDescent="0.45">
      <c r="A316" s="142" t="s">
        <v>13106</v>
      </c>
      <c r="B316" s="142" t="s">
        <v>15414</v>
      </c>
      <c r="C316" s="142" t="s">
        <v>15847</v>
      </c>
      <c r="D316" s="142" t="s">
        <v>15848</v>
      </c>
      <c r="E316" s="142" t="s">
        <v>15849</v>
      </c>
      <c r="F316" s="142" t="s">
        <v>4004</v>
      </c>
      <c r="G316" s="142" t="s">
        <v>4003</v>
      </c>
      <c r="H316" s="142" t="s">
        <v>16166</v>
      </c>
      <c r="I316" s="142">
        <v>3050</v>
      </c>
      <c r="J316" s="142">
        <v>2930</v>
      </c>
      <c r="K316" s="142">
        <v>0</v>
      </c>
      <c r="L316" s="142">
        <v>94</v>
      </c>
      <c r="M316" s="142">
        <v>26</v>
      </c>
    </row>
    <row r="317" spans="1:13" x14ac:dyDescent="0.45">
      <c r="A317" s="142" t="s">
        <v>13163</v>
      </c>
      <c r="B317" s="142" t="s">
        <v>15149</v>
      </c>
      <c r="C317" s="142" t="s">
        <v>15860</v>
      </c>
      <c r="D317" s="142" t="s">
        <v>15861</v>
      </c>
      <c r="E317" s="142" t="s">
        <v>15849</v>
      </c>
      <c r="F317" s="142" t="s">
        <v>4004</v>
      </c>
      <c r="G317" s="142" t="s">
        <v>4003</v>
      </c>
      <c r="H317" s="142" t="s">
        <v>16167</v>
      </c>
      <c r="I317" s="142">
        <v>23</v>
      </c>
      <c r="J317" s="142">
        <v>0</v>
      </c>
      <c r="K317" s="142">
        <v>0</v>
      </c>
      <c r="L317" s="142">
        <v>23</v>
      </c>
      <c r="M317" s="142">
        <v>0</v>
      </c>
    </row>
    <row r="318" spans="1:13" x14ac:dyDescent="0.45">
      <c r="A318" s="142" t="s">
        <v>13164</v>
      </c>
      <c r="B318" s="142" t="s">
        <v>15168</v>
      </c>
      <c r="C318" s="142" t="s">
        <v>15860</v>
      </c>
      <c r="D318" s="142" t="s">
        <v>15861</v>
      </c>
      <c r="E318" s="142" t="s">
        <v>15849</v>
      </c>
      <c r="F318" s="142" t="s">
        <v>4004</v>
      </c>
      <c r="G318" s="142" t="s">
        <v>4003</v>
      </c>
      <c r="H318" s="142" t="s">
        <v>16168</v>
      </c>
      <c r="I318" s="142">
        <v>10</v>
      </c>
      <c r="J318" s="142">
        <v>0</v>
      </c>
      <c r="K318" s="142">
        <v>0</v>
      </c>
      <c r="L318" s="142">
        <v>10</v>
      </c>
      <c r="M318" s="142">
        <v>0</v>
      </c>
    </row>
    <row r="319" spans="1:13" x14ac:dyDescent="0.45">
      <c r="A319" s="142" t="s">
        <v>13014</v>
      </c>
      <c r="B319" s="142" t="s">
        <v>14505</v>
      </c>
      <c r="C319" s="142" t="s">
        <v>15847</v>
      </c>
      <c r="D319" s="142" t="s">
        <v>15848</v>
      </c>
      <c r="E319" s="142" t="s">
        <v>15849</v>
      </c>
      <c r="F319" s="142" t="s">
        <v>4004</v>
      </c>
      <c r="G319" s="142" t="s">
        <v>4003</v>
      </c>
      <c r="H319" s="142" t="s">
        <v>16169</v>
      </c>
      <c r="I319" s="142">
        <v>233</v>
      </c>
      <c r="J319" s="142">
        <v>185</v>
      </c>
      <c r="K319" s="142">
        <v>0</v>
      </c>
      <c r="L319" s="142">
        <v>48</v>
      </c>
      <c r="M319" s="142">
        <v>0</v>
      </c>
    </row>
    <row r="320" spans="1:13" x14ac:dyDescent="0.45">
      <c r="A320" s="142" t="s">
        <v>13165</v>
      </c>
      <c r="B320" s="142" t="s">
        <v>15525</v>
      </c>
      <c r="C320" s="142" t="s">
        <v>15860</v>
      </c>
      <c r="D320" s="142" t="s">
        <v>15861</v>
      </c>
      <c r="E320" s="142" t="s">
        <v>15849</v>
      </c>
      <c r="F320" s="142" t="s">
        <v>4004</v>
      </c>
      <c r="G320" s="142" t="s">
        <v>4003</v>
      </c>
      <c r="H320" s="142" t="s">
        <v>16170</v>
      </c>
      <c r="I320" s="142">
        <v>4</v>
      </c>
      <c r="J320" s="142">
        <v>0</v>
      </c>
      <c r="K320" s="142">
        <v>0</v>
      </c>
      <c r="L320" s="142">
        <v>4</v>
      </c>
      <c r="M320" s="142">
        <v>0</v>
      </c>
    </row>
    <row r="321" spans="1:13" x14ac:dyDescent="0.45">
      <c r="A321" s="142" t="s">
        <v>13166</v>
      </c>
      <c r="B321" s="142" t="s">
        <v>15576</v>
      </c>
      <c r="C321" s="142" t="s">
        <v>15847</v>
      </c>
      <c r="D321" s="142" t="s">
        <v>15848</v>
      </c>
      <c r="E321" s="142" t="s">
        <v>15849</v>
      </c>
      <c r="F321" s="142" t="s">
        <v>4740</v>
      </c>
      <c r="G321" s="142" t="s">
        <v>4739</v>
      </c>
      <c r="H321" s="142" t="s">
        <v>16171</v>
      </c>
      <c r="I321" s="142">
        <v>37</v>
      </c>
      <c r="J321" s="142">
        <v>37</v>
      </c>
      <c r="K321" s="142">
        <v>0</v>
      </c>
      <c r="L321" s="142">
        <v>0</v>
      </c>
      <c r="M321" s="142">
        <v>0</v>
      </c>
    </row>
    <row r="322" spans="1:13" x14ac:dyDescent="0.45">
      <c r="A322" s="142" t="s">
        <v>13046</v>
      </c>
      <c r="B322" s="142" t="s">
        <v>15537</v>
      </c>
      <c r="C322" s="142" t="s">
        <v>15860</v>
      </c>
      <c r="D322" s="142" t="s">
        <v>15861</v>
      </c>
      <c r="E322" s="142" t="s">
        <v>15849</v>
      </c>
      <c r="F322" s="142" t="s">
        <v>4740</v>
      </c>
      <c r="G322" s="142" t="s">
        <v>4739</v>
      </c>
      <c r="H322" s="142" t="s">
        <v>16172</v>
      </c>
      <c r="I322" s="142">
        <v>2</v>
      </c>
      <c r="J322" s="142">
        <v>0</v>
      </c>
      <c r="K322" s="142">
        <v>0</v>
      </c>
      <c r="L322" s="142">
        <v>2</v>
      </c>
      <c r="M322" s="142">
        <v>0</v>
      </c>
    </row>
    <row r="323" spans="1:13" x14ac:dyDescent="0.45">
      <c r="A323" s="142" t="s">
        <v>13167</v>
      </c>
      <c r="B323" s="142" t="s">
        <v>15418</v>
      </c>
      <c r="C323" s="142" t="s">
        <v>15847</v>
      </c>
      <c r="D323" s="142" t="s">
        <v>15848</v>
      </c>
      <c r="E323" s="142" t="s">
        <v>15849</v>
      </c>
      <c r="F323" s="142" t="s">
        <v>4740</v>
      </c>
      <c r="G323" s="142" t="s">
        <v>4739</v>
      </c>
      <c r="H323" s="142" t="s">
        <v>16173</v>
      </c>
      <c r="I323" s="142">
        <v>43</v>
      </c>
      <c r="J323" s="142">
        <v>43</v>
      </c>
      <c r="K323" s="142">
        <v>0</v>
      </c>
      <c r="L323" s="142">
        <v>0</v>
      </c>
      <c r="M323" s="142">
        <v>0</v>
      </c>
    </row>
    <row r="324" spans="1:13" x14ac:dyDescent="0.45">
      <c r="A324" s="142" t="s">
        <v>13021</v>
      </c>
      <c r="B324" s="142" t="s">
        <v>15501</v>
      </c>
      <c r="C324" s="142" t="s">
        <v>15847</v>
      </c>
      <c r="D324" s="142" t="s">
        <v>15848</v>
      </c>
      <c r="E324" s="142" t="s">
        <v>15849</v>
      </c>
      <c r="F324" s="142" t="s">
        <v>4740</v>
      </c>
      <c r="G324" s="142" t="s">
        <v>4739</v>
      </c>
      <c r="H324" s="142" t="s">
        <v>16174</v>
      </c>
      <c r="I324" s="142">
        <v>22</v>
      </c>
      <c r="J324" s="142">
        <v>3</v>
      </c>
      <c r="K324" s="142">
        <v>0</v>
      </c>
      <c r="L324" s="142">
        <v>10</v>
      </c>
      <c r="M324" s="142">
        <v>9</v>
      </c>
    </row>
    <row r="325" spans="1:13" x14ac:dyDescent="0.45">
      <c r="A325" s="142" t="s">
        <v>13023</v>
      </c>
      <c r="B325" s="142" t="s">
        <v>15571</v>
      </c>
      <c r="C325" s="142" t="s">
        <v>15847</v>
      </c>
      <c r="D325" s="142" t="s">
        <v>15848</v>
      </c>
      <c r="E325" s="142" t="s">
        <v>15849</v>
      </c>
      <c r="F325" s="142" t="s">
        <v>4740</v>
      </c>
      <c r="G325" s="142" t="s">
        <v>4739</v>
      </c>
      <c r="H325" s="142" t="s">
        <v>16175</v>
      </c>
      <c r="I325" s="142">
        <v>143</v>
      </c>
      <c r="J325" s="142">
        <v>0</v>
      </c>
      <c r="K325" s="142">
        <v>0</v>
      </c>
      <c r="L325" s="142">
        <v>143</v>
      </c>
      <c r="M325" s="142">
        <v>0</v>
      </c>
    </row>
    <row r="326" spans="1:13" x14ac:dyDescent="0.45">
      <c r="A326" s="142" t="s">
        <v>13048</v>
      </c>
      <c r="B326" s="142" t="s">
        <v>14479</v>
      </c>
      <c r="C326" s="142" t="s">
        <v>15847</v>
      </c>
      <c r="D326" s="142" t="s">
        <v>15848</v>
      </c>
      <c r="E326" s="142" t="s">
        <v>15849</v>
      </c>
      <c r="F326" s="142" t="s">
        <v>4740</v>
      </c>
      <c r="G326" s="142" t="s">
        <v>4739</v>
      </c>
      <c r="H326" s="142" t="s">
        <v>16176</v>
      </c>
      <c r="I326" s="142">
        <v>176</v>
      </c>
      <c r="J326" s="142">
        <v>105</v>
      </c>
      <c r="K326" s="142">
        <v>0</v>
      </c>
      <c r="L326" s="142">
        <v>0</v>
      </c>
      <c r="M326" s="142">
        <v>71</v>
      </c>
    </row>
    <row r="327" spans="1:13" x14ac:dyDescent="0.45">
      <c r="A327" s="142" t="s">
        <v>13000</v>
      </c>
      <c r="B327" s="142" t="s">
        <v>14610</v>
      </c>
      <c r="C327" s="142" t="s">
        <v>15847</v>
      </c>
      <c r="D327" s="142" t="s">
        <v>15848</v>
      </c>
      <c r="E327" s="142" t="s">
        <v>15849</v>
      </c>
      <c r="F327" s="142" t="s">
        <v>4740</v>
      </c>
      <c r="G327" s="142" t="s">
        <v>4739</v>
      </c>
      <c r="H327" s="142" t="s">
        <v>16177</v>
      </c>
      <c r="I327" s="142">
        <v>1039</v>
      </c>
      <c r="J327" s="142">
        <v>902</v>
      </c>
      <c r="K327" s="142">
        <v>0</v>
      </c>
      <c r="L327" s="142">
        <v>54</v>
      </c>
      <c r="M327" s="142">
        <v>83</v>
      </c>
    </row>
    <row r="328" spans="1:13" x14ac:dyDescent="0.45">
      <c r="A328" s="142" t="s">
        <v>13074</v>
      </c>
      <c r="B328" s="142" t="s">
        <v>15405</v>
      </c>
      <c r="C328" s="142" t="s">
        <v>15847</v>
      </c>
      <c r="D328" s="142" t="s">
        <v>15848</v>
      </c>
      <c r="E328" s="142" t="s">
        <v>15849</v>
      </c>
      <c r="F328" s="142" t="s">
        <v>4740</v>
      </c>
      <c r="G328" s="142" t="s">
        <v>4739</v>
      </c>
      <c r="H328" s="142" t="s">
        <v>16178</v>
      </c>
      <c r="I328" s="142">
        <v>32</v>
      </c>
      <c r="J328" s="142">
        <v>16</v>
      </c>
      <c r="K328" s="142">
        <v>0</v>
      </c>
      <c r="L328" s="142">
        <v>0</v>
      </c>
      <c r="M328" s="142">
        <v>16</v>
      </c>
    </row>
    <row r="329" spans="1:13" x14ac:dyDescent="0.45">
      <c r="A329" s="142" t="s">
        <v>13168</v>
      </c>
      <c r="B329" s="142" t="s">
        <v>14486</v>
      </c>
      <c r="C329" s="142" t="s">
        <v>15860</v>
      </c>
      <c r="D329" s="142" t="s">
        <v>15861</v>
      </c>
      <c r="E329" s="142" t="s">
        <v>15849</v>
      </c>
      <c r="F329" s="142" t="s">
        <v>4740</v>
      </c>
      <c r="G329" s="142" t="s">
        <v>4739</v>
      </c>
      <c r="H329" s="142" t="s">
        <v>16179</v>
      </c>
      <c r="I329" s="142">
        <v>1</v>
      </c>
      <c r="J329" s="142">
        <v>0</v>
      </c>
      <c r="K329" s="142">
        <v>0</v>
      </c>
      <c r="L329" s="142">
        <v>1</v>
      </c>
      <c r="M329" s="142">
        <v>0</v>
      </c>
    </row>
    <row r="330" spans="1:13" x14ac:dyDescent="0.45">
      <c r="A330" s="142" t="s">
        <v>13027</v>
      </c>
      <c r="B330" s="142" t="s">
        <v>14562</v>
      </c>
      <c r="C330" s="142" t="s">
        <v>15847</v>
      </c>
      <c r="D330" s="142" t="s">
        <v>15848</v>
      </c>
      <c r="E330" s="142" t="s">
        <v>15849</v>
      </c>
      <c r="F330" s="142" t="s">
        <v>4740</v>
      </c>
      <c r="G330" s="142" t="s">
        <v>4739</v>
      </c>
      <c r="H330" s="142" t="s">
        <v>16180</v>
      </c>
      <c r="I330" s="142">
        <v>43</v>
      </c>
      <c r="J330" s="142">
        <v>0</v>
      </c>
      <c r="K330" s="142">
        <v>0</v>
      </c>
      <c r="L330" s="142">
        <v>43</v>
      </c>
      <c r="M330" s="142">
        <v>0</v>
      </c>
    </row>
    <row r="331" spans="1:13" x14ac:dyDescent="0.45">
      <c r="A331" s="142" t="s">
        <v>13050</v>
      </c>
      <c r="B331" s="142" t="s">
        <v>15237</v>
      </c>
      <c r="C331" s="142" t="s">
        <v>15847</v>
      </c>
      <c r="D331" s="142" t="s">
        <v>15848</v>
      </c>
      <c r="E331" s="142" t="s">
        <v>15849</v>
      </c>
      <c r="F331" s="142" t="s">
        <v>4740</v>
      </c>
      <c r="G331" s="142" t="s">
        <v>4739</v>
      </c>
      <c r="H331" s="142" t="s">
        <v>16181</v>
      </c>
      <c r="I331" s="142">
        <v>18</v>
      </c>
      <c r="J331" s="142">
        <v>13</v>
      </c>
      <c r="K331" s="142">
        <v>0</v>
      </c>
      <c r="L331" s="142">
        <v>0</v>
      </c>
      <c r="M331" s="142">
        <v>5</v>
      </c>
    </row>
    <row r="332" spans="1:13" x14ac:dyDescent="0.45">
      <c r="A332" s="142" t="s">
        <v>13028</v>
      </c>
      <c r="B332" s="142" t="s">
        <v>14462</v>
      </c>
      <c r="C332" s="142" t="s">
        <v>15847</v>
      </c>
      <c r="D332" s="142" t="s">
        <v>15848</v>
      </c>
      <c r="E332" s="142" t="s">
        <v>15849</v>
      </c>
      <c r="F332" s="142" t="s">
        <v>4740</v>
      </c>
      <c r="G332" s="142" t="s">
        <v>4739</v>
      </c>
      <c r="H332" s="142" t="s">
        <v>16182</v>
      </c>
      <c r="I332" s="142">
        <v>19</v>
      </c>
      <c r="J332" s="142">
        <v>0</v>
      </c>
      <c r="K332" s="142">
        <v>0</v>
      </c>
      <c r="L332" s="142">
        <v>0</v>
      </c>
      <c r="M332" s="142">
        <v>19</v>
      </c>
    </row>
    <row r="333" spans="1:13" x14ac:dyDescent="0.45">
      <c r="A333" s="142" t="s">
        <v>13002</v>
      </c>
      <c r="B333" s="142" t="s">
        <v>15376</v>
      </c>
      <c r="C333" s="142" t="s">
        <v>15847</v>
      </c>
      <c r="D333" s="142" t="s">
        <v>15848</v>
      </c>
      <c r="E333" s="142" t="s">
        <v>15849</v>
      </c>
      <c r="F333" s="142" t="s">
        <v>4740</v>
      </c>
      <c r="G333" s="142" t="s">
        <v>4739</v>
      </c>
      <c r="H333" s="142" t="s">
        <v>16183</v>
      </c>
      <c r="I333" s="142">
        <v>240</v>
      </c>
      <c r="J333" s="142">
        <v>151</v>
      </c>
      <c r="K333" s="142">
        <v>0</v>
      </c>
      <c r="L333" s="142">
        <v>69</v>
      </c>
      <c r="M333" s="142">
        <v>20</v>
      </c>
    </row>
    <row r="334" spans="1:13" x14ac:dyDescent="0.45">
      <c r="A334" s="142" t="s">
        <v>13003</v>
      </c>
      <c r="B334" s="142" t="s">
        <v>15245</v>
      </c>
      <c r="C334" s="142" t="s">
        <v>15847</v>
      </c>
      <c r="D334" s="142" t="s">
        <v>15848</v>
      </c>
      <c r="E334" s="142" t="s">
        <v>15849</v>
      </c>
      <c r="F334" s="142" t="s">
        <v>4740</v>
      </c>
      <c r="G334" s="142" t="s">
        <v>4739</v>
      </c>
      <c r="H334" s="142" t="s">
        <v>16184</v>
      </c>
      <c r="I334" s="142">
        <v>42</v>
      </c>
      <c r="J334" s="142">
        <v>0</v>
      </c>
      <c r="K334" s="142">
        <v>0</v>
      </c>
      <c r="L334" s="142">
        <v>42</v>
      </c>
      <c r="M334" s="142">
        <v>0</v>
      </c>
    </row>
    <row r="335" spans="1:13" x14ac:dyDescent="0.45">
      <c r="A335" s="142" t="s">
        <v>13169</v>
      </c>
      <c r="B335" s="142" t="s">
        <v>15408</v>
      </c>
      <c r="C335" s="142" t="s">
        <v>15847</v>
      </c>
      <c r="D335" s="142" t="s">
        <v>15848</v>
      </c>
      <c r="E335" s="142" t="s">
        <v>15849</v>
      </c>
      <c r="F335" s="142" t="s">
        <v>4740</v>
      </c>
      <c r="G335" s="142" t="s">
        <v>4739</v>
      </c>
      <c r="H335" s="142" t="s">
        <v>16185</v>
      </c>
      <c r="I335" s="142">
        <v>39</v>
      </c>
      <c r="J335" s="142">
        <v>29</v>
      </c>
      <c r="K335" s="142">
        <v>0</v>
      </c>
      <c r="L335" s="142">
        <v>0</v>
      </c>
      <c r="M335" s="142">
        <v>10</v>
      </c>
    </row>
    <row r="336" spans="1:13" x14ac:dyDescent="0.45">
      <c r="A336" s="142" t="s">
        <v>13170</v>
      </c>
      <c r="B336" s="142" t="s">
        <v>15486</v>
      </c>
      <c r="C336" s="142" t="s">
        <v>15860</v>
      </c>
      <c r="D336" s="142" t="s">
        <v>15861</v>
      </c>
      <c r="E336" s="142" t="s">
        <v>15849</v>
      </c>
      <c r="F336" s="142" t="s">
        <v>4740</v>
      </c>
      <c r="G336" s="142" t="s">
        <v>4739</v>
      </c>
      <c r="H336" s="142" t="s">
        <v>16186</v>
      </c>
      <c r="I336" s="142">
        <v>4</v>
      </c>
      <c r="J336" s="142">
        <v>0</v>
      </c>
      <c r="K336" s="142">
        <v>0</v>
      </c>
      <c r="L336" s="142">
        <v>4</v>
      </c>
      <c r="M336" s="142">
        <v>0</v>
      </c>
    </row>
    <row r="337" spans="1:13" x14ac:dyDescent="0.45">
      <c r="A337" s="142" t="s">
        <v>13005</v>
      </c>
      <c r="B337" s="142" t="s">
        <v>15475</v>
      </c>
      <c r="C337" s="142" t="s">
        <v>15847</v>
      </c>
      <c r="D337" s="142" t="s">
        <v>15848</v>
      </c>
      <c r="E337" s="142" t="s">
        <v>15849</v>
      </c>
      <c r="F337" s="142" t="s">
        <v>4740</v>
      </c>
      <c r="G337" s="142" t="s">
        <v>4739</v>
      </c>
      <c r="H337" s="142" t="s">
        <v>16187</v>
      </c>
      <c r="I337" s="142">
        <v>27</v>
      </c>
      <c r="J337" s="142">
        <v>0</v>
      </c>
      <c r="K337" s="142">
        <v>0</v>
      </c>
      <c r="L337" s="142">
        <v>27</v>
      </c>
      <c r="M337" s="142">
        <v>0</v>
      </c>
    </row>
    <row r="338" spans="1:13" x14ac:dyDescent="0.45">
      <c r="A338" s="142" t="s">
        <v>13006</v>
      </c>
      <c r="B338" s="142" t="s">
        <v>15288</v>
      </c>
      <c r="C338" s="142" t="s">
        <v>15847</v>
      </c>
      <c r="D338" s="142" t="s">
        <v>15848</v>
      </c>
      <c r="E338" s="142" t="s">
        <v>15849</v>
      </c>
      <c r="F338" s="142" t="s">
        <v>4740</v>
      </c>
      <c r="G338" s="142" t="s">
        <v>4739</v>
      </c>
      <c r="H338" s="142" t="s">
        <v>16188</v>
      </c>
      <c r="I338" s="142">
        <v>27</v>
      </c>
      <c r="J338" s="142">
        <v>19</v>
      </c>
      <c r="K338" s="142">
        <v>0</v>
      </c>
      <c r="L338" s="142">
        <v>0</v>
      </c>
      <c r="M338" s="142">
        <v>8</v>
      </c>
    </row>
    <row r="339" spans="1:13" x14ac:dyDescent="0.45">
      <c r="A339" s="142" t="s">
        <v>13007</v>
      </c>
      <c r="B339" s="142" t="s">
        <v>15262</v>
      </c>
      <c r="C339" s="142" t="s">
        <v>15847</v>
      </c>
      <c r="D339" s="142" t="s">
        <v>15848</v>
      </c>
      <c r="E339" s="142" t="s">
        <v>15849</v>
      </c>
      <c r="F339" s="142" t="s">
        <v>4740</v>
      </c>
      <c r="G339" s="142" t="s">
        <v>4739</v>
      </c>
      <c r="H339" s="142" t="s">
        <v>16189</v>
      </c>
      <c r="I339" s="142">
        <v>6</v>
      </c>
      <c r="J339" s="142">
        <v>0</v>
      </c>
      <c r="K339" s="142">
        <v>0</v>
      </c>
      <c r="L339" s="142">
        <v>0</v>
      </c>
      <c r="M339" s="142">
        <v>6</v>
      </c>
    </row>
    <row r="340" spans="1:13" x14ac:dyDescent="0.45">
      <c r="A340" s="142" t="s">
        <v>13033</v>
      </c>
      <c r="B340" s="142" t="s">
        <v>15276</v>
      </c>
      <c r="C340" s="142" t="s">
        <v>15847</v>
      </c>
      <c r="D340" s="142" t="s">
        <v>15848</v>
      </c>
      <c r="E340" s="142" t="s">
        <v>15849</v>
      </c>
      <c r="F340" s="142" t="s">
        <v>4740</v>
      </c>
      <c r="G340" s="142" t="s">
        <v>4739</v>
      </c>
      <c r="H340" s="142" t="s">
        <v>16190</v>
      </c>
      <c r="I340" s="142">
        <v>41</v>
      </c>
      <c r="J340" s="142">
        <v>41</v>
      </c>
      <c r="K340" s="142">
        <v>0</v>
      </c>
      <c r="L340" s="142">
        <v>0</v>
      </c>
      <c r="M340" s="142">
        <v>0</v>
      </c>
    </row>
    <row r="341" spans="1:13" x14ac:dyDescent="0.45">
      <c r="A341" s="142" t="s">
        <v>13171</v>
      </c>
      <c r="B341" s="142" t="s">
        <v>14523</v>
      </c>
      <c r="C341" s="142" t="s">
        <v>15860</v>
      </c>
      <c r="D341" s="142" t="s">
        <v>15861</v>
      </c>
      <c r="E341" s="142" t="s">
        <v>15849</v>
      </c>
      <c r="F341" s="142" t="s">
        <v>4740</v>
      </c>
      <c r="G341" s="142" t="s">
        <v>4739</v>
      </c>
      <c r="H341" s="142" t="s">
        <v>16191</v>
      </c>
      <c r="I341" s="142">
        <v>10</v>
      </c>
      <c r="J341" s="142">
        <v>10</v>
      </c>
      <c r="K341" s="142">
        <v>0</v>
      </c>
      <c r="L341" s="142">
        <v>0</v>
      </c>
      <c r="M341" s="142">
        <v>0</v>
      </c>
    </row>
    <row r="342" spans="1:13" x14ac:dyDescent="0.45">
      <c r="A342" s="142" t="s">
        <v>13038</v>
      </c>
      <c r="B342" s="142" t="s">
        <v>14646</v>
      </c>
      <c r="C342" s="142" t="s">
        <v>15847</v>
      </c>
      <c r="D342" s="142" t="s">
        <v>15848</v>
      </c>
      <c r="E342" s="142" t="s">
        <v>15849</v>
      </c>
      <c r="F342" s="142" t="s">
        <v>4740</v>
      </c>
      <c r="G342" s="142" t="s">
        <v>4739</v>
      </c>
      <c r="H342" s="142" t="s">
        <v>16192</v>
      </c>
      <c r="I342" s="142">
        <v>36</v>
      </c>
      <c r="J342" s="142">
        <v>23</v>
      </c>
      <c r="K342" s="142">
        <v>0</v>
      </c>
      <c r="L342" s="142">
        <v>0</v>
      </c>
      <c r="M342" s="142">
        <v>13</v>
      </c>
    </row>
    <row r="343" spans="1:13" x14ac:dyDescent="0.45">
      <c r="A343" s="142" t="s">
        <v>13039</v>
      </c>
      <c r="B343" s="142" t="s">
        <v>14647</v>
      </c>
      <c r="C343" s="142" t="s">
        <v>15847</v>
      </c>
      <c r="D343" s="142" t="s">
        <v>15848</v>
      </c>
      <c r="E343" s="142" t="s">
        <v>15849</v>
      </c>
      <c r="F343" s="142" t="s">
        <v>4740</v>
      </c>
      <c r="G343" s="142" t="s">
        <v>4739</v>
      </c>
      <c r="H343" s="142" t="s">
        <v>16193</v>
      </c>
      <c r="I343" s="142">
        <v>79</v>
      </c>
      <c r="J343" s="142">
        <v>79</v>
      </c>
      <c r="K343" s="142">
        <v>0</v>
      </c>
      <c r="L343" s="142">
        <v>0</v>
      </c>
      <c r="M343" s="142">
        <v>0</v>
      </c>
    </row>
    <row r="344" spans="1:13" x14ac:dyDescent="0.45">
      <c r="A344" s="142" t="s">
        <v>13009</v>
      </c>
      <c r="B344" s="142" t="s">
        <v>15256</v>
      </c>
      <c r="C344" s="142" t="s">
        <v>15847</v>
      </c>
      <c r="D344" s="142" t="s">
        <v>15848</v>
      </c>
      <c r="E344" s="142" t="s">
        <v>15849</v>
      </c>
      <c r="F344" s="142" t="s">
        <v>4740</v>
      </c>
      <c r="G344" s="142" t="s">
        <v>4739</v>
      </c>
      <c r="H344" s="142" t="s">
        <v>16194</v>
      </c>
      <c r="I344" s="142">
        <v>140</v>
      </c>
      <c r="J344" s="142">
        <v>127</v>
      </c>
      <c r="K344" s="142">
        <v>0</v>
      </c>
      <c r="L344" s="142">
        <v>4</v>
      </c>
      <c r="M344" s="142">
        <v>9</v>
      </c>
    </row>
    <row r="345" spans="1:13" x14ac:dyDescent="0.45">
      <c r="A345" s="142" t="s">
        <v>13056</v>
      </c>
      <c r="B345" s="142" t="s">
        <v>15435</v>
      </c>
      <c r="C345" s="142" t="s">
        <v>15847</v>
      </c>
      <c r="D345" s="142" t="s">
        <v>15848</v>
      </c>
      <c r="E345" s="142" t="s">
        <v>15849</v>
      </c>
      <c r="F345" s="142" t="s">
        <v>4740</v>
      </c>
      <c r="G345" s="142" t="s">
        <v>4739</v>
      </c>
      <c r="H345" s="142" t="s">
        <v>16195</v>
      </c>
      <c r="I345" s="142">
        <v>64</v>
      </c>
      <c r="J345" s="142">
        <v>0</v>
      </c>
      <c r="K345" s="142">
        <v>0</v>
      </c>
      <c r="L345" s="142">
        <v>34</v>
      </c>
      <c r="M345" s="142">
        <v>30</v>
      </c>
    </row>
    <row r="346" spans="1:13" x14ac:dyDescent="0.45">
      <c r="A346" s="142" t="s">
        <v>13172</v>
      </c>
      <c r="B346" s="142" t="s">
        <v>14785</v>
      </c>
      <c r="C346" s="142" t="s">
        <v>15860</v>
      </c>
      <c r="D346" s="142" t="s">
        <v>15861</v>
      </c>
      <c r="E346" s="142" t="s">
        <v>15849</v>
      </c>
      <c r="F346" s="142" t="s">
        <v>4740</v>
      </c>
      <c r="G346" s="142" t="s">
        <v>4739</v>
      </c>
      <c r="H346" s="142" t="s">
        <v>16196</v>
      </c>
      <c r="I346" s="142">
        <v>52</v>
      </c>
      <c r="J346" s="142">
        <v>0</v>
      </c>
      <c r="K346" s="142">
        <v>0</v>
      </c>
      <c r="L346" s="142">
        <v>52</v>
      </c>
      <c r="M346" s="142">
        <v>0</v>
      </c>
    </row>
    <row r="347" spans="1:13" x14ac:dyDescent="0.45">
      <c r="A347" s="142" t="s">
        <v>13011</v>
      </c>
      <c r="B347" s="142" t="s">
        <v>14695</v>
      </c>
      <c r="C347" s="142" t="s">
        <v>15847</v>
      </c>
      <c r="D347" s="142" t="s">
        <v>15848</v>
      </c>
      <c r="E347" s="142" t="s">
        <v>15849</v>
      </c>
      <c r="F347" s="142" t="s">
        <v>4740</v>
      </c>
      <c r="G347" s="142" t="s">
        <v>4739</v>
      </c>
      <c r="H347" s="142" t="s">
        <v>16197</v>
      </c>
      <c r="I347" s="142">
        <v>451</v>
      </c>
      <c r="J347" s="142">
        <v>138</v>
      </c>
      <c r="K347" s="142">
        <v>312</v>
      </c>
      <c r="L347" s="142">
        <v>0</v>
      </c>
      <c r="M347" s="142">
        <v>1</v>
      </c>
    </row>
    <row r="348" spans="1:13" x14ac:dyDescent="0.45">
      <c r="A348" s="142" t="s">
        <v>13058</v>
      </c>
      <c r="B348" s="142" t="s">
        <v>14584</v>
      </c>
      <c r="C348" s="142" t="s">
        <v>15847</v>
      </c>
      <c r="D348" s="142" t="s">
        <v>15848</v>
      </c>
      <c r="E348" s="142" t="s">
        <v>15849</v>
      </c>
      <c r="F348" s="142" t="s">
        <v>4740</v>
      </c>
      <c r="G348" s="142" t="s">
        <v>4739</v>
      </c>
      <c r="H348" s="142" t="s">
        <v>16198</v>
      </c>
      <c r="I348" s="142">
        <v>6166</v>
      </c>
      <c r="J348" s="142">
        <v>5232</v>
      </c>
      <c r="K348" s="142">
        <v>0</v>
      </c>
      <c r="L348" s="142">
        <v>393</v>
      </c>
      <c r="M348" s="142">
        <v>541</v>
      </c>
    </row>
    <row r="349" spans="1:13" x14ac:dyDescent="0.45">
      <c r="A349" s="142" t="s">
        <v>13041</v>
      </c>
      <c r="B349" s="142" t="s">
        <v>14441</v>
      </c>
      <c r="C349" s="142" t="s">
        <v>15847</v>
      </c>
      <c r="D349" s="142" t="s">
        <v>15848</v>
      </c>
      <c r="E349" s="142" t="s">
        <v>15849</v>
      </c>
      <c r="F349" s="142" t="s">
        <v>4740</v>
      </c>
      <c r="G349" s="142" t="s">
        <v>4739</v>
      </c>
      <c r="H349" s="142" t="s">
        <v>16199</v>
      </c>
      <c r="I349" s="142">
        <v>32</v>
      </c>
      <c r="J349" s="142">
        <v>0</v>
      </c>
      <c r="K349" s="142">
        <v>0</v>
      </c>
      <c r="L349" s="142">
        <v>0</v>
      </c>
      <c r="M349" s="142">
        <v>32</v>
      </c>
    </row>
    <row r="350" spans="1:13" x14ac:dyDescent="0.45">
      <c r="A350" s="142" t="s">
        <v>13012</v>
      </c>
      <c r="B350" s="142" t="s">
        <v>15337</v>
      </c>
      <c r="C350" s="142" t="s">
        <v>15847</v>
      </c>
      <c r="D350" s="142" t="s">
        <v>15848</v>
      </c>
      <c r="E350" s="142" t="s">
        <v>15849</v>
      </c>
      <c r="F350" s="142" t="s">
        <v>4740</v>
      </c>
      <c r="G350" s="142" t="s">
        <v>4739</v>
      </c>
      <c r="H350" s="142" t="s">
        <v>16200</v>
      </c>
      <c r="I350" s="142">
        <v>390</v>
      </c>
      <c r="J350" s="142">
        <v>350</v>
      </c>
      <c r="K350" s="142">
        <v>0</v>
      </c>
      <c r="L350" s="142">
        <v>38</v>
      </c>
      <c r="M350" s="142">
        <v>2</v>
      </c>
    </row>
    <row r="351" spans="1:13" x14ac:dyDescent="0.45">
      <c r="A351" s="142" t="s">
        <v>13014</v>
      </c>
      <c r="B351" s="142" t="s">
        <v>14505</v>
      </c>
      <c r="C351" s="142" t="s">
        <v>15847</v>
      </c>
      <c r="D351" s="142" t="s">
        <v>15848</v>
      </c>
      <c r="E351" s="142" t="s">
        <v>15849</v>
      </c>
      <c r="F351" s="142" t="s">
        <v>4740</v>
      </c>
      <c r="G351" s="142" t="s">
        <v>4739</v>
      </c>
      <c r="H351" s="142" t="s">
        <v>16201</v>
      </c>
      <c r="I351" s="142">
        <v>452</v>
      </c>
      <c r="J351" s="142">
        <v>389</v>
      </c>
      <c r="K351" s="142">
        <v>0</v>
      </c>
      <c r="L351" s="142">
        <v>6</v>
      </c>
      <c r="M351" s="142">
        <v>57</v>
      </c>
    </row>
    <row r="352" spans="1:13" x14ac:dyDescent="0.45">
      <c r="A352" s="142" t="s">
        <v>13173</v>
      </c>
      <c r="B352" s="142" t="s">
        <v>15590</v>
      </c>
      <c r="C352" s="142" t="s">
        <v>15860</v>
      </c>
      <c r="D352" s="142" t="s">
        <v>15861</v>
      </c>
      <c r="E352" s="142" t="s">
        <v>15849</v>
      </c>
      <c r="F352" s="142" t="s">
        <v>4740</v>
      </c>
      <c r="G352" s="142" t="s">
        <v>4739</v>
      </c>
      <c r="H352" s="142" t="s">
        <v>16202</v>
      </c>
      <c r="I352" s="142">
        <v>7</v>
      </c>
      <c r="J352" s="142">
        <v>0</v>
      </c>
      <c r="K352" s="142">
        <v>0</v>
      </c>
      <c r="L352" s="142">
        <v>7</v>
      </c>
      <c r="M352" s="142">
        <v>0</v>
      </c>
    </row>
    <row r="353" spans="1:13" x14ac:dyDescent="0.45">
      <c r="A353" s="142" t="s">
        <v>13174</v>
      </c>
      <c r="B353" s="142" t="s">
        <v>15280</v>
      </c>
      <c r="C353" s="142" t="s">
        <v>15847</v>
      </c>
      <c r="D353" s="142" t="s">
        <v>15848</v>
      </c>
      <c r="E353" s="142" t="s">
        <v>15849</v>
      </c>
      <c r="F353" s="142" t="s">
        <v>4740</v>
      </c>
      <c r="G353" s="142" t="s">
        <v>4739</v>
      </c>
      <c r="H353" s="142" t="s">
        <v>16203</v>
      </c>
      <c r="I353" s="142">
        <v>228</v>
      </c>
      <c r="J353" s="142">
        <v>161</v>
      </c>
      <c r="K353" s="142">
        <v>0</v>
      </c>
      <c r="L353" s="142">
        <v>5</v>
      </c>
      <c r="M353" s="142">
        <v>62</v>
      </c>
    </row>
    <row r="354" spans="1:13" x14ac:dyDescent="0.45">
      <c r="A354" s="142" t="s">
        <v>13175</v>
      </c>
      <c r="B354" s="142" t="s">
        <v>15561</v>
      </c>
      <c r="C354" s="142" t="s">
        <v>15860</v>
      </c>
      <c r="D354" s="142" t="s">
        <v>15861</v>
      </c>
      <c r="E354" s="142" t="s">
        <v>15849</v>
      </c>
      <c r="F354" s="142" t="s">
        <v>4740</v>
      </c>
      <c r="G354" s="142" t="s">
        <v>4739</v>
      </c>
      <c r="H354" s="142" t="s">
        <v>16204</v>
      </c>
      <c r="I354" s="142">
        <v>5</v>
      </c>
      <c r="J354" s="142">
        <v>0</v>
      </c>
      <c r="K354" s="142">
        <v>0</v>
      </c>
      <c r="L354" s="142">
        <v>5</v>
      </c>
      <c r="M354" s="142">
        <v>0</v>
      </c>
    </row>
    <row r="355" spans="1:13" x14ac:dyDescent="0.45">
      <c r="A355" s="142" t="s">
        <v>13015</v>
      </c>
      <c r="B355" s="142" t="s">
        <v>14596</v>
      </c>
      <c r="C355" s="142" t="s">
        <v>15847</v>
      </c>
      <c r="D355" s="142" t="s">
        <v>15848</v>
      </c>
      <c r="E355" s="142" t="s">
        <v>15849</v>
      </c>
      <c r="F355" s="142" t="s">
        <v>4740</v>
      </c>
      <c r="G355" s="142" t="s">
        <v>4739</v>
      </c>
      <c r="H355" s="142" t="s">
        <v>16205</v>
      </c>
      <c r="I355" s="142">
        <v>6838</v>
      </c>
      <c r="J355" s="142">
        <v>5799</v>
      </c>
      <c r="K355" s="142">
        <v>0</v>
      </c>
      <c r="L355" s="142">
        <v>255</v>
      </c>
      <c r="M355" s="142">
        <v>784</v>
      </c>
    </row>
    <row r="356" spans="1:13" x14ac:dyDescent="0.45">
      <c r="A356" s="142" t="s">
        <v>13176</v>
      </c>
      <c r="B356" s="142" t="s">
        <v>14619</v>
      </c>
      <c r="C356" s="142" t="s">
        <v>15860</v>
      </c>
      <c r="D356" s="142" t="s">
        <v>15861</v>
      </c>
      <c r="E356" s="142" t="s">
        <v>15849</v>
      </c>
      <c r="F356" s="142" t="s">
        <v>4740</v>
      </c>
      <c r="G356" s="142" t="s">
        <v>4739</v>
      </c>
      <c r="H356" s="142" t="s">
        <v>16206</v>
      </c>
      <c r="I356" s="142">
        <v>83</v>
      </c>
      <c r="J356" s="142">
        <v>3</v>
      </c>
      <c r="K356" s="142">
        <v>0</v>
      </c>
      <c r="L356" s="142">
        <v>80</v>
      </c>
      <c r="M356" s="142">
        <v>0</v>
      </c>
    </row>
    <row r="357" spans="1:13" x14ac:dyDescent="0.45">
      <c r="A357" s="142" t="s">
        <v>13064</v>
      </c>
      <c r="B357" s="142" t="s">
        <v>15428</v>
      </c>
      <c r="C357" s="142" t="s">
        <v>15847</v>
      </c>
      <c r="D357" s="142" t="s">
        <v>15848</v>
      </c>
      <c r="E357" s="142" t="s">
        <v>15849</v>
      </c>
      <c r="F357" s="142" t="s">
        <v>7335</v>
      </c>
      <c r="G357" s="142" t="s">
        <v>7334</v>
      </c>
      <c r="H357" s="142" t="s">
        <v>16207</v>
      </c>
      <c r="I357" s="142">
        <v>282</v>
      </c>
      <c r="J357" s="142">
        <v>208</v>
      </c>
      <c r="K357" s="142">
        <v>0</v>
      </c>
      <c r="L357" s="142">
        <v>0</v>
      </c>
      <c r="M357" s="142">
        <v>74</v>
      </c>
    </row>
    <row r="358" spans="1:13" x14ac:dyDescent="0.45">
      <c r="A358" s="142" t="s">
        <v>13021</v>
      </c>
      <c r="B358" s="142" t="s">
        <v>15501</v>
      </c>
      <c r="C358" s="142" t="s">
        <v>15847</v>
      </c>
      <c r="D358" s="142" t="s">
        <v>15848</v>
      </c>
      <c r="E358" s="142" t="s">
        <v>15849</v>
      </c>
      <c r="F358" s="142" t="s">
        <v>7335</v>
      </c>
      <c r="G358" s="142" t="s">
        <v>7334</v>
      </c>
      <c r="H358" s="142" t="s">
        <v>16208</v>
      </c>
      <c r="I358" s="142">
        <v>6</v>
      </c>
      <c r="J358" s="142">
        <v>0</v>
      </c>
      <c r="K358" s="142">
        <v>0</v>
      </c>
      <c r="L358" s="142">
        <v>4</v>
      </c>
      <c r="M358" s="142">
        <v>2</v>
      </c>
    </row>
    <row r="359" spans="1:13" x14ac:dyDescent="0.45">
      <c r="A359" s="142" t="s">
        <v>13022</v>
      </c>
      <c r="B359" s="142" t="s">
        <v>14634</v>
      </c>
      <c r="C359" s="142" t="s">
        <v>15847</v>
      </c>
      <c r="D359" s="142" t="s">
        <v>15848</v>
      </c>
      <c r="E359" s="142" t="s">
        <v>15849</v>
      </c>
      <c r="F359" s="142" t="s">
        <v>7335</v>
      </c>
      <c r="G359" s="142" t="s">
        <v>7334</v>
      </c>
      <c r="H359" s="142" t="s">
        <v>16209</v>
      </c>
      <c r="I359" s="142">
        <v>282</v>
      </c>
      <c r="J359" s="142">
        <v>273</v>
      </c>
      <c r="K359" s="142">
        <v>0</v>
      </c>
      <c r="L359" s="142">
        <v>0</v>
      </c>
      <c r="M359" s="142">
        <v>9</v>
      </c>
    </row>
    <row r="360" spans="1:13" x14ac:dyDescent="0.45">
      <c r="A360" s="142" t="s">
        <v>13023</v>
      </c>
      <c r="B360" s="142" t="s">
        <v>15571</v>
      </c>
      <c r="C360" s="142" t="s">
        <v>15847</v>
      </c>
      <c r="D360" s="142" t="s">
        <v>15848</v>
      </c>
      <c r="E360" s="142" t="s">
        <v>15849</v>
      </c>
      <c r="F360" s="142" t="s">
        <v>7335</v>
      </c>
      <c r="G360" s="142" t="s">
        <v>7334</v>
      </c>
      <c r="H360" s="142" t="s">
        <v>16210</v>
      </c>
      <c r="I360" s="142">
        <v>100</v>
      </c>
      <c r="J360" s="142">
        <v>0</v>
      </c>
      <c r="K360" s="142">
        <v>0</v>
      </c>
      <c r="L360" s="142">
        <v>100</v>
      </c>
      <c r="M360" s="142">
        <v>0</v>
      </c>
    </row>
    <row r="361" spans="1:13" x14ac:dyDescent="0.45">
      <c r="A361" s="142" t="s">
        <v>13147</v>
      </c>
      <c r="B361" s="142" t="s">
        <v>14529</v>
      </c>
      <c r="C361" s="142" t="s">
        <v>15860</v>
      </c>
      <c r="D361" s="142" t="s">
        <v>15861</v>
      </c>
      <c r="E361" s="142" t="s">
        <v>15849</v>
      </c>
      <c r="F361" s="142" t="s">
        <v>7335</v>
      </c>
      <c r="G361" s="142" t="s">
        <v>7334</v>
      </c>
      <c r="H361" s="142" t="s">
        <v>16211</v>
      </c>
      <c r="I361" s="142">
        <v>7</v>
      </c>
      <c r="J361" s="142">
        <v>7</v>
      </c>
      <c r="K361" s="142">
        <v>0</v>
      </c>
      <c r="L361" s="142">
        <v>0</v>
      </c>
      <c r="M361" s="142">
        <v>0</v>
      </c>
    </row>
    <row r="362" spans="1:13" x14ac:dyDescent="0.45">
      <c r="A362" s="142" t="s">
        <v>13065</v>
      </c>
      <c r="B362" s="142" t="s">
        <v>14497</v>
      </c>
      <c r="C362" s="142" t="s">
        <v>15847</v>
      </c>
      <c r="D362" s="142" t="s">
        <v>15848</v>
      </c>
      <c r="E362" s="142" t="s">
        <v>15849</v>
      </c>
      <c r="F362" s="142" t="s">
        <v>7335</v>
      </c>
      <c r="G362" s="142" t="s">
        <v>7334</v>
      </c>
      <c r="H362" s="142" t="s">
        <v>16212</v>
      </c>
      <c r="I362" s="142">
        <v>6</v>
      </c>
      <c r="J362" s="142">
        <v>0</v>
      </c>
      <c r="K362" s="142">
        <v>0</v>
      </c>
      <c r="L362" s="142">
        <v>6</v>
      </c>
      <c r="M362" s="142">
        <v>0</v>
      </c>
    </row>
    <row r="363" spans="1:13" x14ac:dyDescent="0.45">
      <c r="A363" s="142" t="s">
        <v>13024</v>
      </c>
      <c r="B363" s="142" t="s">
        <v>14538</v>
      </c>
      <c r="C363" s="142" t="s">
        <v>15847</v>
      </c>
      <c r="D363" s="142" t="s">
        <v>15848</v>
      </c>
      <c r="E363" s="142" t="s">
        <v>15849</v>
      </c>
      <c r="F363" s="142" t="s">
        <v>7335</v>
      </c>
      <c r="G363" s="142" t="s">
        <v>7334</v>
      </c>
      <c r="H363" s="142" t="s">
        <v>16213</v>
      </c>
      <c r="I363" s="142">
        <v>29</v>
      </c>
      <c r="J363" s="142">
        <v>21</v>
      </c>
      <c r="K363" s="142">
        <v>0</v>
      </c>
      <c r="L363" s="142">
        <v>0</v>
      </c>
      <c r="M363" s="142">
        <v>8</v>
      </c>
    </row>
    <row r="364" spans="1:13" x14ac:dyDescent="0.45">
      <c r="A364" s="142" t="s">
        <v>13025</v>
      </c>
      <c r="B364" s="142" t="s">
        <v>15579</v>
      </c>
      <c r="C364" s="142" t="s">
        <v>15847</v>
      </c>
      <c r="D364" s="142" t="s">
        <v>15848</v>
      </c>
      <c r="E364" s="142" t="s">
        <v>15849</v>
      </c>
      <c r="F364" s="142" t="s">
        <v>7335</v>
      </c>
      <c r="G364" s="142" t="s">
        <v>7334</v>
      </c>
      <c r="H364" s="142" t="s">
        <v>16214</v>
      </c>
      <c r="I364" s="142">
        <v>50</v>
      </c>
      <c r="J364" s="142">
        <v>0</v>
      </c>
      <c r="K364" s="142">
        <v>0</v>
      </c>
      <c r="L364" s="142">
        <v>50</v>
      </c>
      <c r="M364" s="142">
        <v>0</v>
      </c>
    </row>
    <row r="365" spans="1:13" x14ac:dyDescent="0.45">
      <c r="A365" s="142" t="s">
        <v>13027</v>
      </c>
      <c r="B365" s="142" t="s">
        <v>14562</v>
      </c>
      <c r="C365" s="142" t="s">
        <v>15847</v>
      </c>
      <c r="D365" s="142" t="s">
        <v>15848</v>
      </c>
      <c r="E365" s="142" t="s">
        <v>15849</v>
      </c>
      <c r="F365" s="142" t="s">
        <v>7335</v>
      </c>
      <c r="G365" s="142" t="s">
        <v>7334</v>
      </c>
      <c r="H365" s="142" t="s">
        <v>16215</v>
      </c>
      <c r="I365" s="142">
        <v>28</v>
      </c>
      <c r="J365" s="142">
        <v>0</v>
      </c>
      <c r="K365" s="142">
        <v>0</v>
      </c>
      <c r="L365" s="142">
        <v>28</v>
      </c>
      <c r="M365" s="142">
        <v>0</v>
      </c>
    </row>
    <row r="366" spans="1:13" x14ac:dyDescent="0.45">
      <c r="A366" s="142" t="s">
        <v>13028</v>
      </c>
      <c r="B366" s="142" t="s">
        <v>14462</v>
      </c>
      <c r="C366" s="142" t="s">
        <v>15847</v>
      </c>
      <c r="D366" s="142" t="s">
        <v>15848</v>
      </c>
      <c r="E366" s="142" t="s">
        <v>15849</v>
      </c>
      <c r="F366" s="142" t="s">
        <v>7335</v>
      </c>
      <c r="G366" s="142" t="s">
        <v>7334</v>
      </c>
      <c r="H366" s="142" t="s">
        <v>16216</v>
      </c>
      <c r="I366" s="142">
        <v>54</v>
      </c>
      <c r="J366" s="142">
        <v>0</v>
      </c>
      <c r="K366" s="142">
        <v>0</v>
      </c>
      <c r="L366" s="142">
        <v>0</v>
      </c>
      <c r="M366" s="142">
        <v>54</v>
      </c>
    </row>
    <row r="367" spans="1:13" x14ac:dyDescent="0.45">
      <c r="A367" s="142" t="s">
        <v>13178</v>
      </c>
      <c r="B367" s="142" t="s">
        <v>14683</v>
      </c>
      <c r="C367" s="142" t="s">
        <v>15847</v>
      </c>
      <c r="D367" s="142" t="s">
        <v>15848</v>
      </c>
      <c r="E367" s="142" t="s">
        <v>15849</v>
      </c>
      <c r="F367" s="142" t="s">
        <v>7335</v>
      </c>
      <c r="G367" s="142" t="s">
        <v>7334</v>
      </c>
      <c r="H367" s="142" t="s">
        <v>16217</v>
      </c>
      <c r="I367" s="142">
        <v>4</v>
      </c>
      <c r="J367" s="142">
        <v>4</v>
      </c>
      <c r="K367" s="142">
        <v>0</v>
      </c>
      <c r="L367" s="142">
        <v>0</v>
      </c>
      <c r="M367" s="142">
        <v>0</v>
      </c>
    </row>
    <row r="368" spans="1:13" x14ac:dyDescent="0.45">
      <c r="A368" s="142" t="s">
        <v>13076</v>
      </c>
      <c r="B368" s="142" t="s">
        <v>14636</v>
      </c>
      <c r="C368" s="142" t="s">
        <v>15847</v>
      </c>
      <c r="D368" s="142" t="s">
        <v>15848</v>
      </c>
      <c r="E368" s="142" t="s">
        <v>15849</v>
      </c>
      <c r="F368" s="142" t="s">
        <v>7335</v>
      </c>
      <c r="G368" s="142" t="s">
        <v>7334</v>
      </c>
      <c r="H368" s="142" t="s">
        <v>16218</v>
      </c>
      <c r="I368" s="142">
        <v>6</v>
      </c>
      <c r="J368" s="142">
        <v>0</v>
      </c>
      <c r="K368" s="142">
        <v>0</v>
      </c>
      <c r="L368" s="142">
        <v>0</v>
      </c>
      <c r="M368" s="142">
        <v>6</v>
      </c>
    </row>
    <row r="369" spans="1:13" x14ac:dyDescent="0.45">
      <c r="A369" s="142" t="s">
        <v>13029</v>
      </c>
      <c r="B369" s="142" t="s">
        <v>14665</v>
      </c>
      <c r="C369" s="142" t="s">
        <v>15847</v>
      </c>
      <c r="D369" s="142" t="s">
        <v>15848</v>
      </c>
      <c r="E369" s="142" t="s">
        <v>15849</v>
      </c>
      <c r="F369" s="142" t="s">
        <v>7335</v>
      </c>
      <c r="G369" s="142" t="s">
        <v>7334</v>
      </c>
      <c r="H369" s="142" t="s">
        <v>16219</v>
      </c>
      <c r="I369" s="142">
        <v>22</v>
      </c>
      <c r="J369" s="142">
        <v>0</v>
      </c>
      <c r="K369" s="142">
        <v>0</v>
      </c>
      <c r="L369" s="142">
        <v>0</v>
      </c>
      <c r="M369" s="142">
        <v>22</v>
      </c>
    </row>
    <row r="370" spans="1:13" x14ac:dyDescent="0.45">
      <c r="A370" s="142" t="s">
        <v>13006</v>
      </c>
      <c r="B370" s="142" t="s">
        <v>15288</v>
      </c>
      <c r="C370" s="142" t="s">
        <v>15847</v>
      </c>
      <c r="D370" s="142" t="s">
        <v>15848</v>
      </c>
      <c r="E370" s="142" t="s">
        <v>15849</v>
      </c>
      <c r="F370" s="142" t="s">
        <v>7335</v>
      </c>
      <c r="G370" s="142" t="s">
        <v>7334</v>
      </c>
      <c r="H370" s="142" t="s">
        <v>16220</v>
      </c>
      <c r="I370" s="142">
        <v>21</v>
      </c>
      <c r="J370" s="142">
        <v>5</v>
      </c>
      <c r="K370" s="142">
        <v>0</v>
      </c>
      <c r="L370" s="142">
        <v>16</v>
      </c>
      <c r="M370" s="142">
        <v>0</v>
      </c>
    </row>
    <row r="371" spans="1:13" x14ac:dyDescent="0.45">
      <c r="A371" s="142" t="s">
        <v>13162</v>
      </c>
      <c r="B371" s="142" t="s">
        <v>14545</v>
      </c>
      <c r="C371" s="142" t="s">
        <v>15860</v>
      </c>
      <c r="D371" s="142" t="s">
        <v>15861</v>
      </c>
      <c r="E371" s="142" t="s">
        <v>15849</v>
      </c>
      <c r="F371" s="142" t="s">
        <v>7335</v>
      </c>
      <c r="G371" s="142" t="s">
        <v>7334</v>
      </c>
      <c r="H371" s="142" t="s">
        <v>16221</v>
      </c>
      <c r="I371" s="142">
        <v>1</v>
      </c>
      <c r="J371" s="142">
        <v>0</v>
      </c>
      <c r="K371" s="142">
        <v>0</v>
      </c>
      <c r="L371" s="142">
        <v>1</v>
      </c>
      <c r="M371" s="142">
        <v>0</v>
      </c>
    </row>
    <row r="372" spans="1:13" x14ac:dyDescent="0.45">
      <c r="A372" s="142" t="s">
        <v>13030</v>
      </c>
      <c r="B372" s="142" t="s">
        <v>14572</v>
      </c>
      <c r="C372" s="142" t="s">
        <v>15847</v>
      </c>
      <c r="D372" s="142" t="s">
        <v>15848</v>
      </c>
      <c r="E372" s="142" t="s">
        <v>15849</v>
      </c>
      <c r="F372" s="142" t="s">
        <v>7335</v>
      </c>
      <c r="G372" s="142" t="s">
        <v>7334</v>
      </c>
      <c r="H372" s="142" t="s">
        <v>16222</v>
      </c>
      <c r="I372" s="142">
        <v>345</v>
      </c>
      <c r="J372" s="142">
        <v>291</v>
      </c>
      <c r="K372" s="142">
        <v>0</v>
      </c>
      <c r="L372" s="142">
        <v>53</v>
      </c>
      <c r="M372" s="142">
        <v>1</v>
      </c>
    </row>
    <row r="373" spans="1:13" x14ac:dyDescent="0.45">
      <c r="A373" s="142" t="s">
        <v>13068</v>
      </c>
      <c r="B373" s="142" t="s">
        <v>15468</v>
      </c>
      <c r="C373" s="142" t="s">
        <v>15847</v>
      </c>
      <c r="D373" s="142" t="s">
        <v>15848</v>
      </c>
      <c r="E373" s="142" t="s">
        <v>15849</v>
      </c>
      <c r="F373" s="142" t="s">
        <v>7335</v>
      </c>
      <c r="G373" s="142" t="s">
        <v>7334</v>
      </c>
      <c r="H373" s="142" t="s">
        <v>16223</v>
      </c>
      <c r="I373" s="142">
        <v>54</v>
      </c>
      <c r="J373" s="142">
        <v>52</v>
      </c>
      <c r="K373" s="142">
        <v>0</v>
      </c>
      <c r="L373" s="142">
        <v>0</v>
      </c>
      <c r="M373" s="142">
        <v>2</v>
      </c>
    </row>
    <row r="374" spans="1:13" x14ac:dyDescent="0.45">
      <c r="A374" s="142" t="s">
        <v>13033</v>
      </c>
      <c r="B374" s="142" t="s">
        <v>15276</v>
      </c>
      <c r="C374" s="142" t="s">
        <v>15847</v>
      </c>
      <c r="D374" s="142" t="s">
        <v>15848</v>
      </c>
      <c r="E374" s="142" t="s">
        <v>15849</v>
      </c>
      <c r="F374" s="142" t="s">
        <v>7335</v>
      </c>
      <c r="G374" s="142" t="s">
        <v>7334</v>
      </c>
      <c r="H374" s="142" t="s">
        <v>16224</v>
      </c>
      <c r="I374" s="142">
        <v>111</v>
      </c>
      <c r="J374" s="142">
        <v>111</v>
      </c>
      <c r="K374" s="142">
        <v>0</v>
      </c>
      <c r="L374" s="142">
        <v>0</v>
      </c>
      <c r="M374" s="142">
        <v>0</v>
      </c>
    </row>
    <row r="375" spans="1:13" x14ac:dyDescent="0.45">
      <c r="A375" s="142" t="s">
        <v>13034</v>
      </c>
      <c r="B375" s="142" t="s">
        <v>15562</v>
      </c>
      <c r="C375" s="142" t="s">
        <v>15847</v>
      </c>
      <c r="D375" s="142" t="s">
        <v>15848</v>
      </c>
      <c r="E375" s="142" t="s">
        <v>15849</v>
      </c>
      <c r="F375" s="142" t="s">
        <v>7335</v>
      </c>
      <c r="G375" s="142" t="s">
        <v>7334</v>
      </c>
      <c r="H375" s="142" t="s">
        <v>16225</v>
      </c>
      <c r="I375" s="142">
        <v>112</v>
      </c>
      <c r="J375" s="142">
        <v>112</v>
      </c>
      <c r="K375" s="142">
        <v>0</v>
      </c>
      <c r="L375" s="142">
        <v>0</v>
      </c>
      <c r="M375" s="142">
        <v>0</v>
      </c>
    </row>
    <row r="376" spans="1:13" x14ac:dyDescent="0.45">
      <c r="A376" s="142" t="s">
        <v>13035</v>
      </c>
      <c r="B376" s="142" t="s">
        <v>14648</v>
      </c>
      <c r="C376" s="142" t="s">
        <v>15847</v>
      </c>
      <c r="D376" s="142" t="s">
        <v>15848</v>
      </c>
      <c r="E376" s="142" t="s">
        <v>15849</v>
      </c>
      <c r="F376" s="142" t="s">
        <v>7335</v>
      </c>
      <c r="G376" s="142" t="s">
        <v>7334</v>
      </c>
      <c r="H376" s="142" t="s">
        <v>16226</v>
      </c>
      <c r="I376" s="142">
        <v>83</v>
      </c>
      <c r="J376" s="142">
        <v>55</v>
      </c>
      <c r="K376" s="142">
        <v>0</v>
      </c>
      <c r="L376" s="142">
        <v>0</v>
      </c>
      <c r="M376" s="142">
        <v>28</v>
      </c>
    </row>
    <row r="377" spans="1:13" x14ac:dyDescent="0.45">
      <c r="A377" s="142" t="s">
        <v>13036</v>
      </c>
      <c r="B377" s="142" t="s">
        <v>15567</v>
      </c>
      <c r="C377" s="142" t="s">
        <v>15847</v>
      </c>
      <c r="D377" s="142" t="s">
        <v>15848</v>
      </c>
      <c r="E377" s="142" t="s">
        <v>15849</v>
      </c>
      <c r="F377" s="142" t="s">
        <v>7335</v>
      </c>
      <c r="G377" s="142" t="s">
        <v>7334</v>
      </c>
      <c r="H377" s="142" t="s">
        <v>16227</v>
      </c>
      <c r="I377" s="142">
        <v>104</v>
      </c>
      <c r="J377" s="142">
        <v>0</v>
      </c>
      <c r="K377" s="142">
        <v>0</v>
      </c>
      <c r="L377" s="142">
        <v>104</v>
      </c>
      <c r="M377" s="142">
        <v>0</v>
      </c>
    </row>
    <row r="378" spans="1:13" x14ac:dyDescent="0.45">
      <c r="A378" s="142" t="s">
        <v>13105</v>
      </c>
      <c r="B378" s="142" t="s">
        <v>14654</v>
      </c>
      <c r="C378" s="142" t="s">
        <v>15847</v>
      </c>
      <c r="D378" s="142" t="s">
        <v>15848</v>
      </c>
      <c r="E378" s="142" t="s">
        <v>15849</v>
      </c>
      <c r="F378" s="142" t="s">
        <v>7335</v>
      </c>
      <c r="G378" s="142" t="s">
        <v>7334</v>
      </c>
      <c r="H378" s="142" t="s">
        <v>16228</v>
      </c>
      <c r="I378" s="142">
        <v>11</v>
      </c>
      <c r="J378" s="142">
        <v>0</v>
      </c>
      <c r="K378" s="142">
        <v>0</v>
      </c>
      <c r="L378" s="142">
        <v>0</v>
      </c>
      <c r="M378" s="142">
        <v>11</v>
      </c>
    </row>
    <row r="379" spans="1:13" x14ac:dyDescent="0.45">
      <c r="A379" s="142" t="s">
        <v>13179</v>
      </c>
      <c r="B379" s="142" t="s">
        <v>14704</v>
      </c>
      <c r="C379" s="142" t="s">
        <v>15860</v>
      </c>
      <c r="D379" s="142" t="s">
        <v>15861</v>
      </c>
      <c r="E379" s="142" t="s">
        <v>15849</v>
      </c>
      <c r="F379" s="142" t="s">
        <v>7335</v>
      </c>
      <c r="G379" s="142" t="s">
        <v>7334</v>
      </c>
      <c r="H379" s="142" t="s">
        <v>16229</v>
      </c>
      <c r="I379" s="142">
        <v>18</v>
      </c>
      <c r="J379" s="142">
        <v>18</v>
      </c>
      <c r="K379" s="142">
        <v>0</v>
      </c>
      <c r="L379" s="142">
        <v>0</v>
      </c>
      <c r="M379" s="142">
        <v>0</v>
      </c>
    </row>
    <row r="380" spans="1:13" x14ac:dyDescent="0.45">
      <c r="A380" s="142" t="s">
        <v>13038</v>
      </c>
      <c r="B380" s="142" t="s">
        <v>14646</v>
      </c>
      <c r="C380" s="142" t="s">
        <v>15847</v>
      </c>
      <c r="D380" s="142" t="s">
        <v>15848</v>
      </c>
      <c r="E380" s="142" t="s">
        <v>15849</v>
      </c>
      <c r="F380" s="142" t="s">
        <v>7335</v>
      </c>
      <c r="G380" s="142" t="s">
        <v>7334</v>
      </c>
      <c r="H380" s="142" t="s">
        <v>16230</v>
      </c>
      <c r="I380" s="142">
        <v>34</v>
      </c>
      <c r="J380" s="142">
        <v>23</v>
      </c>
      <c r="K380" s="142">
        <v>0</v>
      </c>
      <c r="L380" s="142">
        <v>0</v>
      </c>
      <c r="M380" s="142">
        <v>11</v>
      </c>
    </row>
    <row r="381" spans="1:13" x14ac:dyDescent="0.45">
      <c r="A381" s="142" t="s">
        <v>13039</v>
      </c>
      <c r="B381" s="142" t="s">
        <v>14647</v>
      </c>
      <c r="C381" s="142" t="s">
        <v>15847</v>
      </c>
      <c r="D381" s="142" t="s">
        <v>15848</v>
      </c>
      <c r="E381" s="142" t="s">
        <v>15849</v>
      </c>
      <c r="F381" s="142" t="s">
        <v>7335</v>
      </c>
      <c r="G381" s="142" t="s">
        <v>7334</v>
      </c>
      <c r="H381" s="142" t="s">
        <v>16231</v>
      </c>
      <c r="I381" s="142">
        <v>5</v>
      </c>
      <c r="J381" s="142">
        <v>5</v>
      </c>
      <c r="K381" s="142">
        <v>0</v>
      </c>
      <c r="L381" s="142">
        <v>0</v>
      </c>
      <c r="M381" s="142">
        <v>0</v>
      </c>
    </row>
    <row r="382" spans="1:13" x14ac:dyDescent="0.45">
      <c r="A382" s="142" t="s">
        <v>13091</v>
      </c>
      <c r="B382" s="142" t="s">
        <v>14473</v>
      </c>
      <c r="C382" s="142" t="s">
        <v>15847</v>
      </c>
      <c r="D382" s="142" t="s">
        <v>15848</v>
      </c>
      <c r="E382" s="142" t="s">
        <v>15849</v>
      </c>
      <c r="F382" s="142" t="s">
        <v>7335</v>
      </c>
      <c r="G382" s="142" t="s">
        <v>7334</v>
      </c>
      <c r="H382" s="142" t="s">
        <v>16232</v>
      </c>
      <c r="I382" s="142">
        <v>29</v>
      </c>
      <c r="J382" s="142">
        <v>8</v>
      </c>
      <c r="K382" s="142">
        <v>0</v>
      </c>
      <c r="L382" s="142">
        <v>0</v>
      </c>
      <c r="M382" s="142">
        <v>21</v>
      </c>
    </row>
    <row r="383" spans="1:13" x14ac:dyDescent="0.45">
      <c r="A383" s="142" t="s">
        <v>13009</v>
      </c>
      <c r="B383" s="142" t="s">
        <v>15256</v>
      </c>
      <c r="C383" s="142" t="s">
        <v>15847</v>
      </c>
      <c r="D383" s="142" t="s">
        <v>15848</v>
      </c>
      <c r="E383" s="142" t="s">
        <v>15849</v>
      </c>
      <c r="F383" s="142" t="s">
        <v>7335</v>
      </c>
      <c r="G383" s="142" t="s">
        <v>7334</v>
      </c>
      <c r="H383" s="142" t="s">
        <v>16233</v>
      </c>
      <c r="I383" s="142">
        <v>11</v>
      </c>
      <c r="J383" s="142">
        <v>11</v>
      </c>
      <c r="K383" s="142">
        <v>0</v>
      </c>
      <c r="L383" s="142">
        <v>0</v>
      </c>
      <c r="M383" s="142">
        <v>0</v>
      </c>
    </row>
    <row r="384" spans="1:13" x14ac:dyDescent="0.45">
      <c r="A384" s="142" t="s">
        <v>13180</v>
      </c>
      <c r="B384" s="142" t="s">
        <v>14811</v>
      </c>
      <c r="C384" s="142" t="s">
        <v>15860</v>
      </c>
      <c r="D384" s="142" t="s">
        <v>15861</v>
      </c>
      <c r="E384" s="142" t="s">
        <v>15849</v>
      </c>
      <c r="F384" s="142" t="s">
        <v>7335</v>
      </c>
      <c r="G384" s="142" t="s">
        <v>7334</v>
      </c>
      <c r="H384" s="142" t="s">
        <v>16234</v>
      </c>
      <c r="I384" s="142">
        <v>46</v>
      </c>
      <c r="J384" s="142">
        <v>0</v>
      </c>
      <c r="K384" s="142">
        <v>0</v>
      </c>
      <c r="L384" s="142">
        <v>46</v>
      </c>
      <c r="M384" s="142">
        <v>0</v>
      </c>
    </row>
    <row r="385" spans="1:13" x14ac:dyDescent="0.45">
      <c r="A385" s="142" t="s">
        <v>13152</v>
      </c>
      <c r="B385" s="142" t="s">
        <v>15249</v>
      </c>
      <c r="C385" s="142" t="s">
        <v>15847</v>
      </c>
      <c r="D385" s="142" t="s">
        <v>15848</v>
      </c>
      <c r="E385" s="142" t="s">
        <v>15849</v>
      </c>
      <c r="F385" s="142" t="s">
        <v>7335</v>
      </c>
      <c r="G385" s="142" t="s">
        <v>7334</v>
      </c>
      <c r="H385" s="142" t="s">
        <v>16235</v>
      </c>
      <c r="I385" s="142">
        <v>16</v>
      </c>
      <c r="J385" s="142">
        <v>14</v>
      </c>
      <c r="K385" s="142">
        <v>0</v>
      </c>
      <c r="L385" s="142">
        <v>0</v>
      </c>
      <c r="M385" s="142">
        <v>2</v>
      </c>
    </row>
    <row r="386" spans="1:13" x14ac:dyDescent="0.45">
      <c r="A386" s="142" t="s">
        <v>13012</v>
      </c>
      <c r="B386" s="142" t="s">
        <v>15337</v>
      </c>
      <c r="C386" s="142" t="s">
        <v>15847</v>
      </c>
      <c r="D386" s="142" t="s">
        <v>15848</v>
      </c>
      <c r="E386" s="142" t="s">
        <v>15849</v>
      </c>
      <c r="F386" s="142" t="s">
        <v>7335</v>
      </c>
      <c r="G386" s="142" t="s">
        <v>7334</v>
      </c>
      <c r="H386" s="142" t="s">
        <v>16236</v>
      </c>
      <c r="I386" s="142">
        <v>19</v>
      </c>
      <c r="J386" s="142">
        <v>19</v>
      </c>
      <c r="K386" s="142">
        <v>0</v>
      </c>
      <c r="L386" s="142">
        <v>0</v>
      </c>
      <c r="M386" s="142">
        <v>0</v>
      </c>
    </row>
    <row r="387" spans="1:13" x14ac:dyDescent="0.45">
      <c r="A387" s="142" t="s">
        <v>13014</v>
      </c>
      <c r="B387" s="142" t="s">
        <v>14505</v>
      </c>
      <c r="C387" s="142" t="s">
        <v>15847</v>
      </c>
      <c r="D387" s="142" t="s">
        <v>15848</v>
      </c>
      <c r="E387" s="142" t="s">
        <v>15849</v>
      </c>
      <c r="F387" s="142" t="s">
        <v>7335</v>
      </c>
      <c r="G387" s="142" t="s">
        <v>7334</v>
      </c>
      <c r="H387" s="142" t="s">
        <v>16237</v>
      </c>
      <c r="I387" s="142">
        <v>72</v>
      </c>
      <c r="J387" s="142">
        <v>72</v>
      </c>
      <c r="K387" s="142">
        <v>0</v>
      </c>
      <c r="L387" s="142">
        <v>0</v>
      </c>
      <c r="M387" s="142">
        <v>0</v>
      </c>
    </row>
    <row r="388" spans="1:13" x14ac:dyDescent="0.45">
      <c r="A388" s="142" t="s">
        <v>13154</v>
      </c>
      <c r="B388" s="142" t="s">
        <v>15415</v>
      </c>
      <c r="C388" s="142" t="s">
        <v>15847</v>
      </c>
      <c r="D388" s="142" t="s">
        <v>15848</v>
      </c>
      <c r="E388" s="142" t="s">
        <v>15849</v>
      </c>
      <c r="F388" s="142" t="s">
        <v>7335</v>
      </c>
      <c r="G388" s="142" t="s">
        <v>7334</v>
      </c>
      <c r="H388" s="142" t="s">
        <v>16238</v>
      </c>
      <c r="I388" s="142">
        <v>224</v>
      </c>
      <c r="J388" s="142">
        <v>156</v>
      </c>
      <c r="K388" s="142">
        <v>0</v>
      </c>
      <c r="L388" s="142">
        <v>11</v>
      </c>
      <c r="M388" s="142">
        <v>57</v>
      </c>
    </row>
    <row r="389" spans="1:13" x14ac:dyDescent="0.45">
      <c r="A389" s="142" t="s">
        <v>13155</v>
      </c>
      <c r="B389" s="142" t="s">
        <v>15455</v>
      </c>
      <c r="C389" s="142" t="s">
        <v>15847</v>
      </c>
      <c r="D389" s="142" t="s">
        <v>15848</v>
      </c>
      <c r="E389" s="142" t="s">
        <v>15849</v>
      </c>
      <c r="F389" s="142" t="s">
        <v>7335</v>
      </c>
      <c r="G389" s="142" t="s">
        <v>7334</v>
      </c>
      <c r="H389" s="142" t="s">
        <v>16239</v>
      </c>
      <c r="I389" s="142">
        <v>17</v>
      </c>
      <c r="J389" s="142">
        <v>15</v>
      </c>
      <c r="K389" s="142">
        <v>0</v>
      </c>
      <c r="L389" s="142">
        <v>0</v>
      </c>
      <c r="M389" s="142">
        <v>2</v>
      </c>
    </row>
    <row r="390" spans="1:13" x14ac:dyDescent="0.45">
      <c r="A390" s="142" t="s">
        <v>13182</v>
      </c>
      <c r="B390" s="142" t="s">
        <v>15140</v>
      </c>
      <c r="C390" s="142" t="s">
        <v>15860</v>
      </c>
      <c r="D390" s="142" t="s">
        <v>15861</v>
      </c>
      <c r="E390" s="142" t="s">
        <v>15849</v>
      </c>
      <c r="F390" s="142" t="s">
        <v>1183</v>
      </c>
      <c r="G390" s="142" t="s">
        <v>1182</v>
      </c>
      <c r="H390" s="142" t="s">
        <v>16240</v>
      </c>
      <c r="I390" s="142">
        <v>14</v>
      </c>
      <c r="J390" s="142">
        <v>0</v>
      </c>
      <c r="K390" s="142">
        <v>0</v>
      </c>
      <c r="L390" s="142">
        <v>14</v>
      </c>
      <c r="M390" s="142">
        <v>0</v>
      </c>
    </row>
    <row r="391" spans="1:13" x14ac:dyDescent="0.45">
      <c r="A391" s="142" t="s">
        <v>13167</v>
      </c>
      <c r="B391" s="142" t="s">
        <v>15418</v>
      </c>
      <c r="C391" s="142" t="s">
        <v>15847</v>
      </c>
      <c r="D391" s="142" t="s">
        <v>15848</v>
      </c>
      <c r="E391" s="142" t="s">
        <v>15849</v>
      </c>
      <c r="F391" s="142" t="s">
        <v>1183</v>
      </c>
      <c r="G391" s="142" t="s">
        <v>1182</v>
      </c>
      <c r="H391" s="142" t="s">
        <v>16241</v>
      </c>
      <c r="I391" s="142">
        <v>42</v>
      </c>
      <c r="J391" s="142">
        <v>15</v>
      </c>
      <c r="K391" s="142">
        <v>0</v>
      </c>
      <c r="L391" s="142">
        <v>0</v>
      </c>
      <c r="M391" s="142">
        <v>27</v>
      </c>
    </row>
    <row r="392" spans="1:13" x14ac:dyDescent="0.45">
      <c r="A392" s="142" t="s">
        <v>13021</v>
      </c>
      <c r="B392" s="142" t="s">
        <v>15501</v>
      </c>
      <c r="C392" s="142" t="s">
        <v>15847</v>
      </c>
      <c r="D392" s="142" t="s">
        <v>15848</v>
      </c>
      <c r="E392" s="142" t="s">
        <v>15849</v>
      </c>
      <c r="F392" s="142" t="s">
        <v>1183</v>
      </c>
      <c r="G392" s="142" t="s">
        <v>1182</v>
      </c>
      <c r="H392" s="142" t="s">
        <v>16242</v>
      </c>
      <c r="I392" s="142">
        <v>21</v>
      </c>
      <c r="J392" s="142">
        <v>0</v>
      </c>
      <c r="K392" s="142">
        <v>0</v>
      </c>
      <c r="L392" s="142">
        <v>6</v>
      </c>
      <c r="M392" s="142">
        <v>15</v>
      </c>
    </row>
    <row r="393" spans="1:13" x14ac:dyDescent="0.45">
      <c r="A393" s="142" t="s">
        <v>13023</v>
      </c>
      <c r="B393" s="142" t="s">
        <v>15571</v>
      </c>
      <c r="C393" s="142" t="s">
        <v>15847</v>
      </c>
      <c r="D393" s="142" t="s">
        <v>15848</v>
      </c>
      <c r="E393" s="142" t="s">
        <v>15849</v>
      </c>
      <c r="F393" s="142" t="s">
        <v>1183</v>
      </c>
      <c r="G393" s="142" t="s">
        <v>1182</v>
      </c>
      <c r="H393" s="142" t="s">
        <v>16243</v>
      </c>
      <c r="I393" s="142">
        <v>139</v>
      </c>
      <c r="J393" s="142">
        <v>0</v>
      </c>
      <c r="K393" s="142">
        <v>0</v>
      </c>
      <c r="L393" s="142">
        <v>96</v>
      </c>
      <c r="M393" s="142">
        <v>43</v>
      </c>
    </row>
    <row r="394" spans="1:13" x14ac:dyDescent="0.45">
      <c r="A394" s="142" t="s">
        <v>13048</v>
      </c>
      <c r="B394" s="142" t="s">
        <v>14479</v>
      </c>
      <c r="C394" s="142" t="s">
        <v>15847</v>
      </c>
      <c r="D394" s="142" t="s">
        <v>15848</v>
      </c>
      <c r="E394" s="142" t="s">
        <v>15849</v>
      </c>
      <c r="F394" s="142" t="s">
        <v>1183</v>
      </c>
      <c r="G394" s="142" t="s">
        <v>1182</v>
      </c>
      <c r="H394" s="142" t="s">
        <v>16244</v>
      </c>
      <c r="I394" s="142">
        <v>194</v>
      </c>
      <c r="J394" s="142">
        <v>136</v>
      </c>
      <c r="K394" s="142">
        <v>0</v>
      </c>
      <c r="L394" s="142">
        <v>18</v>
      </c>
      <c r="M394" s="142">
        <v>40</v>
      </c>
    </row>
    <row r="395" spans="1:13" x14ac:dyDescent="0.45">
      <c r="A395" s="142" t="s">
        <v>13183</v>
      </c>
      <c r="B395" s="142" t="s">
        <v>15226</v>
      </c>
      <c r="C395" s="142" t="s">
        <v>15860</v>
      </c>
      <c r="D395" s="142" t="s">
        <v>15861</v>
      </c>
      <c r="E395" s="142" t="s">
        <v>15849</v>
      </c>
      <c r="F395" s="142" t="s">
        <v>1183</v>
      </c>
      <c r="G395" s="142" t="s">
        <v>1182</v>
      </c>
      <c r="H395" s="142" t="s">
        <v>16245</v>
      </c>
      <c r="I395" s="142">
        <v>12</v>
      </c>
      <c r="J395" s="142">
        <v>0</v>
      </c>
      <c r="K395" s="142">
        <v>0</v>
      </c>
      <c r="L395" s="142">
        <v>12</v>
      </c>
      <c r="M395" s="142">
        <v>0</v>
      </c>
    </row>
    <row r="396" spans="1:13" x14ac:dyDescent="0.45">
      <c r="A396" s="142" t="s">
        <v>13184</v>
      </c>
      <c r="B396" s="142" t="s">
        <v>15392</v>
      </c>
      <c r="C396" s="142" t="s">
        <v>15847</v>
      </c>
      <c r="D396" s="142" t="s">
        <v>15848</v>
      </c>
      <c r="E396" s="142" t="s">
        <v>15849</v>
      </c>
      <c r="F396" s="142" t="s">
        <v>1183</v>
      </c>
      <c r="G396" s="142" t="s">
        <v>1182</v>
      </c>
      <c r="H396" s="142" t="s">
        <v>16246</v>
      </c>
      <c r="I396" s="142">
        <v>34</v>
      </c>
      <c r="J396" s="142">
        <v>14</v>
      </c>
      <c r="K396" s="142">
        <v>0</v>
      </c>
      <c r="L396" s="142">
        <v>20</v>
      </c>
      <c r="M396" s="142">
        <v>0</v>
      </c>
    </row>
    <row r="397" spans="1:13" x14ac:dyDescent="0.45">
      <c r="A397" s="142" t="s">
        <v>13185</v>
      </c>
      <c r="B397" s="142" t="s">
        <v>15589</v>
      </c>
      <c r="C397" s="142" t="s">
        <v>15860</v>
      </c>
      <c r="D397" s="142" t="s">
        <v>15861</v>
      </c>
      <c r="E397" s="142" t="s">
        <v>15849</v>
      </c>
      <c r="F397" s="142" t="s">
        <v>1183</v>
      </c>
      <c r="G397" s="142" t="s">
        <v>1182</v>
      </c>
      <c r="H397" s="142" t="s">
        <v>16247</v>
      </c>
      <c r="I397" s="142">
        <v>1</v>
      </c>
      <c r="J397" s="142">
        <v>1</v>
      </c>
      <c r="K397" s="142">
        <v>0</v>
      </c>
      <c r="L397" s="142">
        <v>0</v>
      </c>
      <c r="M397" s="142">
        <v>0</v>
      </c>
    </row>
    <row r="398" spans="1:13" x14ac:dyDescent="0.45">
      <c r="A398" s="142" t="s">
        <v>13186</v>
      </c>
      <c r="B398" s="142" t="s">
        <v>15581</v>
      </c>
      <c r="C398" s="142" t="s">
        <v>15847</v>
      </c>
      <c r="D398" s="142" t="s">
        <v>15848</v>
      </c>
      <c r="E398" s="142" t="s">
        <v>15849</v>
      </c>
      <c r="F398" s="142" t="s">
        <v>1183</v>
      </c>
      <c r="G398" s="142" t="s">
        <v>1182</v>
      </c>
      <c r="H398" s="142" t="s">
        <v>16248</v>
      </c>
      <c r="I398" s="142">
        <v>9724</v>
      </c>
      <c r="J398" s="142">
        <v>7524</v>
      </c>
      <c r="K398" s="142">
        <v>0</v>
      </c>
      <c r="L398" s="142">
        <v>1859</v>
      </c>
      <c r="M398" s="142">
        <v>341</v>
      </c>
    </row>
    <row r="399" spans="1:13" x14ac:dyDescent="0.45">
      <c r="A399" s="142" t="s">
        <v>13119</v>
      </c>
      <c r="B399" s="142" t="s">
        <v>14451</v>
      </c>
      <c r="C399" s="142" t="s">
        <v>15860</v>
      </c>
      <c r="D399" s="142" t="s">
        <v>15861</v>
      </c>
      <c r="E399" s="142" t="s">
        <v>15849</v>
      </c>
      <c r="F399" s="142" t="s">
        <v>1183</v>
      </c>
      <c r="G399" s="142" t="s">
        <v>1182</v>
      </c>
      <c r="H399" s="142" t="s">
        <v>16249</v>
      </c>
      <c r="I399" s="142">
        <v>28</v>
      </c>
      <c r="J399" s="142">
        <v>0</v>
      </c>
      <c r="K399" s="142">
        <v>0</v>
      </c>
      <c r="L399" s="142">
        <v>28</v>
      </c>
      <c r="M399" s="142">
        <v>0</v>
      </c>
    </row>
    <row r="400" spans="1:13" x14ac:dyDescent="0.45">
      <c r="A400" s="142" t="s">
        <v>13187</v>
      </c>
      <c r="B400" s="142" t="s">
        <v>15518</v>
      </c>
      <c r="C400" s="142" t="s">
        <v>15860</v>
      </c>
      <c r="D400" s="142" t="s">
        <v>15861</v>
      </c>
      <c r="E400" s="142" t="s">
        <v>15849</v>
      </c>
      <c r="F400" s="142" t="s">
        <v>1183</v>
      </c>
      <c r="G400" s="142" t="s">
        <v>1182</v>
      </c>
      <c r="H400" s="142" t="s">
        <v>16250</v>
      </c>
      <c r="I400" s="142">
        <v>13</v>
      </c>
      <c r="J400" s="142">
        <v>13</v>
      </c>
      <c r="K400" s="142">
        <v>0</v>
      </c>
      <c r="L400" s="142">
        <v>0</v>
      </c>
      <c r="M400" s="142">
        <v>0</v>
      </c>
    </row>
    <row r="401" spans="1:13" x14ac:dyDescent="0.45">
      <c r="A401" s="142" t="s">
        <v>13074</v>
      </c>
      <c r="B401" s="142" t="s">
        <v>15405</v>
      </c>
      <c r="C401" s="142" t="s">
        <v>15847</v>
      </c>
      <c r="D401" s="142" t="s">
        <v>15848</v>
      </c>
      <c r="E401" s="142" t="s">
        <v>15849</v>
      </c>
      <c r="F401" s="142" t="s">
        <v>1183</v>
      </c>
      <c r="G401" s="142" t="s">
        <v>1182</v>
      </c>
      <c r="H401" s="142" t="s">
        <v>16251</v>
      </c>
      <c r="I401" s="142">
        <v>24</v>
      </c>
      <c r="J401" s="142">
        <v>17</v>
      </c>
      <c r="K401" s="142">
        <v>0</v>
      </c>
      <c r="L401" s="142">
        <v>0</v>
      </c>
      <c r="M401" s="142">
        <v>7</v>
      </c>
    </row>
    <row r="402" spans="1:13" x14ac:dyDescent="0.45">
      <c r="A402" s="142" t="s">
        <v>13188</v>
      </c>
      <c r="B402" s="142" t="s">
        <v>15382</v>
      </c>
      <c r="C402" s="142" t="s">
        <v>15860</v>
      </c>
      <c r="D402" s="142" t="s">
        <v>15861</v>
      </c>
      <c r="E402" s="142" t="s">
        <v>15849</v>
      </c>
      <c r="F402" s="142" t="s">
        <v>1183</v>
      </c>
      <c r="G402" s="142" t="s">
        <v>1182</v>
      </c>
      <c r="H402" s="142" t="s">
        <v>16252</v>
      </c>
      <c r="I402" s="142">
        <v>6</v>
      </c>
      <c r="J402" s="142">
        <v>0</v>
      </c>
      <c r="K402" s="142">
        <v>0</v>
      </c>
      <c r="L402" s="142">
        <v>6</v>
      </c>
      <c r="M402" s="142">
        <v>0</v>
      </c>
    </row>
    <row r="403" spans="1:13" x14ac:dyDescent="0.45">
      <c r="A403" s="142" t="s">
        <v>13027</v>
      </c>
      <c r="B403" s="142" t="s">
        <v>14562</v>
      </c>
      <c r="C403" s="142" t="s">
        <v>15847</v>
      </c>
      <c r="D403" s="142" t="s">
        <v>15848</v>
      </c>
      <c r="E403" s="142" t="s">
        <v>15849</v>
      </c>
      <c r="F403" s="142" t="s">
        <v>1183</v>
      </c>
      <c r="G403" s="142" t="s">
        <v>1182</v>
      </c>
      <c r="H403" s="142" t="s">
        <v>16253</v>
      </c>
      <c r="I403" s="142">
        <v>7</v>
      </c>
      <c r="J403" s="142">
        <v>0</v>
      </c>
      <c r="K403" s="142">
        <v>0</v>
      </c>
      <c r="L403" s="142">
        <v>7</v>
      </c>
      <c r="M403" s="142">
        <v>0</v>
      </c>
    </row>
    <row r="404" spans="1:13" x14ac:dyDescent="0.45">
      <c r="A404" s="142" t="s">
        <v>13189</v>
      </c>
      <c r="B404" s="142" t="s">
        <v>15370</v>
      </c>
      <c r="C404" s="142" t="s">
        <v>15860</v>
      </c>
      <c r="D404" s="142" t="s">
        <v>15861</v>
      </c>
      <c r="E404" s="142" t="s">
        <v>15849</v>
      </c>
      <c r="F404" s="142" t="s">
        <v>1183</v>
      </c>
      <c r="G404" s="142" t="s">
        <v>1182</v>
      </c>
      <c r="H404" s="142" t="s">
        <v>16254</v>
      </c>
      <c r="I404" s="142">
        <v>143</v>
      </c>
      <c r="J404" s="142">
        <v>36</v>
      </c>
      <c r="K404" s="142">
        <v>0</v>
      </c>
      <c r="L404" s="142">
        <v>107</v>
      </c>
      <c r="M404" s="142">
        <v>0</v>
      </c>
    </row>
    <row r="405" spans="1:13" x14ac:dyDescent="0.45">
      <c r="A405" s="142" t="s">
        <v>13028</v>
      </c>
      <c r="B405" s="142" t="s">
        <v>14462</v>
      </c>
      <c r="C405" s="142" t="s">
        <v>15847</v>
      </c>
      <c r="D405" s="142" t="s">
        <v>15848</v>
      </c>
      <c r="E405" s="142" t="s">
        <v>15849</v>
      </c>
      <c r="F405" s="142" t="s">
        <v>1183</v>
      </c>
      <c r="G405" s="142" t="s">
        <v>1182</v>
      </c>
      <c r="H405" s="142" t="s">
        <v>16255</v>
      </c>
      <c r="I405" s="142">
        <v>39</v>
      </c>
      <c r="J405" s="142">
        <v>0</v>
      </c>
      <c r="K405" s="142">
        <v>0</v>
      </c>
      <c r="L405" s="142">
        <v>0</v>
      </c>
      <c r="M405" s="142">
        <v>39</v>
      </c>
    </row>
    <row r="406" spans="1:13" x14ac:dyDescent="0.45">
      <c r="A406" s="142" t="s">
        <v>13002</v>
      </c>
      <c r="B406" s="142" t="s">
        <v>15376</v>
      </c>
      <c r="C406" s="142" t="s">
        <v>15847</v>
      </c>
      <c r="D406" s="142" t="s">
        <v>15848</v>
      </c>
      <c r="E406" s="142" t="s">
        <v>15849</v>
      </c>
      <c r="F406" s="142" t="s">
        <v>1183</v>
      </c>
      <c r="G406" s="142" t="s">
        <v>1182</v>
      </c>
      <c r="H406" s="142" t="s">
        <v>16256</v>
      </c>
      <c r="I406" s="142">
        <v>19</v>
      </c>
      <c r="J406" s="142">
        <v>0</v>
      </c>
      <c r="K406" s="142">
        <v>0</v>
      </c>
      <c r="L406" s="142">
        <v>19</v>
      </c>
      <c r="M406" s="142">
        <v>0</v>
      </c>
    </row>
    <row r="407" spans="1:13" x14ac:dyDescent="0.45">
      <c r="A407" s="142" t="s">
        <v>13170</v>
      </c>
      <c r="B407" s="142" t="s">
        <v>15486</v>
      </c>
      <c r="C407" s="142" t="s">
        <v>15860</v>
      </c>
      <c r="D407" s="142" t="s">
        <v>15861</v>
      </c>
      <c r="E407" s="142" t="s">
        <v>15849</v>
      </c>
      <c r="F407" s="142" t="s">
        <v>1183</v>
      </c>
      <c r="G407" s="142" t="s">
        <v>1182</v>
      </c>
      <c r="H407" s="142" t="s">
        <v>16257</v>
      </c>
      <c r="I407" s="142">
        <v>93</v>
      </c>
      <c r="J407" s="142">
        <v>0</v>
      </c>
      <c r="K407" s="142">
        <v>0</v>
      </c>
      <c r="L407" s="142">
        <v>93</v>
      </c>
      <c r="M407" s="142">
        <v>0</v>
      </c>
    </row>
    <row r="408" spans="1:13" x14ac:dyDescent="0.45">
      <c r="A408" s="142" t="s">
        <v>13190</v>
      </c>
      <c r="B408" s="142" t="s">
        <v>14617</v>
      </c>
      <c r="C408" s="142" t="s">
        <v>15847</v>
      </c>
      <c r="D408" s="142" t="s">
        <v>15848</v>
      </c>
      <c r="E408" s="142" t="s">
        <v>15849</v>
      </c>
      <c r="F408" s="142" t="s">
        <v>1183</v>
      </c>
      <c r="G408" s="142" t="s">
        <v>1182</v>
      </c>
      <c r="H408" s="142" t="s">
        <v>16258</v>
      </c>
      <c r="I408" s="142">
        <v>904</v>
      </c>
      <c r="J408" s="142">
        <v>706</v>
      </c>
      <c r="K408" s="142">
        <v>0</v>
      </c>
      <c r="L408" s="142">
        <v>108</v>
      </c>
      <c r="M408" s="142">
        <v>90</v>
      </c>
    </row>
    <row r="409" spans="1:13" x14ac:dyDescent="0.45">
      <c r="A409" s="142" t="s">
        <v>13191</v>
      </c>
      <c r="B409" s="142" t="s">
        <v>15467</v>
      </c>
      <c r="C409" s="142" t="s">
        <v>15847</v>
      </c>
      <c r="D409" s="142" t="s">
        <v>15848</v>
      </c>
      <c r="E409" s="142" t="s">
        <v>15849</v>
      </c>
      <c r="F409" s="142" t="s">
        <v>1183</v>
      </c>
      <c r="G409" s="142" t="s">
        <v>1182</v>
      </c>
      <c r="H409" s="142" t="s">
        <v>16259</v>
      </c>
      <c r="I409" s="142">
        <v>211</v>
      </c>
      <c r="J409" s="142">
        <v>156</v>
      </c>
      <c r="K409" s="142">
        <v>0</v>
      </c>
      <c r="L409" s="142">
        <v>5</v>
      </c>
      <c r="M409" s="142">
        <v>50</v>
      </c>
    </row>
    <row r="410" spans="1:13" x14ac:dyDescent="0.45">
      <c r="A410" s="142" t="s">
        <v>13192</v>
      </c>
      <c r="B410" s="142" t="s">
        <v>15539</v>
      </c>
      <c r="C410" s="142" t="s">
        <v>15860</v>
      </c>
      <c r="D410" s="142" t="s">
        <v>15861</v>
      </c>
      <c r="E410" s="142" t="s">
        <v>15849</v>
      </c>
      <c r="F410" s="142" t="s">
        <v>1183</v>
      </c>
      <c r="G410" s="142" t="s">
        <v>1182</v>
      </c>
      <c r="H410" s="142" t="s">
        <v>16260</v>
      </c>
      <c r="I410" s="142">
        <v>37</v>
      </c>
      <c r="J410" s="142">
        <v>0</v>
      </c>
      <c r="K410" s="142">
        <v>0</v>
      </c>
      <c r="L410" s="142">
        <v>37</v>
      </c>
      <c r="M410" s="142">
        <v>0</v>
      </c>
    </row>
    <row r="411" spans="1:13" x14ac:dyDescent="0.45">
      <c r="A411" s="142" t="s">
        <v>13193</v>
      </c>
      <c r="B411" s="142" t="s">
        <v>15461</v>
      </c>
      <c r="C411" s="142" t="s">
        <v>15847</v>
      </c>
      <c r="D411" s="142" t="s">
        <v>15848</v>
      </c>
      <c r="E411" s="142" t="s">
        <v>15849</v>
      </c>
      <c r="F411" s="142" t="s">
        <v>1183</v>
      </c>
      <c r="G411" s="142" t="s">
        <v>1182</v>
      </c>
      <c r="H411" s="142" t="s">
        <v>16261</v>
      </c>
      <c r="I411" s="142">
        <v>68</v>
      </c>
      <c r="J411" s="142">
        <v>37</v>
      </c>
      <c r="K411" s="142">
        <v>0</v>
      </c>
      <c r="L411" s="142">
        <v>0</v>
      </c>
      <c r="M411" s="142">
        <v>31</v>
      </c>
    </row>
    <row r="412" spans="1:13" x14ac:dyDescent="0.45">
      <c r="A412" s="142" t="s">
        <v>13033</v>
      </c>
      <c r="B412" s="142" t="s">
        <v>15276</v>
      </c>
      <c r="C412" s="142" t="s">
        <v>15847</v>
      </c>
      <c r="D412" s="142" t="s">
        <v>15848</v>
      </c>
      <c r="E412" s="142" t="s">
        <v>15849</v>
      </c>
      <c r="F412" s="142" t="s">
        <v>1183</v>
      </c>
      <c r="G412" s="142" t="s">
        <v>1182</v>
      </c>
      <c r="H412" s="142" t="s">
        <v>16262</v>
      </c>
      <c r="I412" s="142">
        <v>1</v>
      </c>
      <c r="J412" s="142">
        <v>1</v>
      </c>
      <c r="K412" s="142">
        <v>0</v>
      </c>
      <c r="L412" s="142">
        <v>0</v>
      </c>
      <c r="M412" s="142">
        <v>0</v>
      </c>
    </row>
    <row r="413" spans="1:13" x14ac:dyDescent="0.45">
      <c r="A413" s="142" t="s">
        <v>13034</v>
      </c>
      <c r="B413" s="142" t="s">
        <v>15562</v>
      </c>
      <c r="C413" s="142" t="s">
        <v>15847</v>
      </c>
      <c r="D413" s="142" t="s">
        <v>15848</v>
      </c>
      <c r="E413" s="142" t="s">
        <v>15849</v>
      </c>
      <c r="F413" s="142" t="s">
        <v>1183</v>
      </c>
      <c r="G413" s="142" t="s">
        <v>1182</v>
      </c>
      <c r="H413" s="142" t="s">
        <v>16263</v>
      </c>
      <c r="I413" s="142">
        <v>85</v>
      </c>
      <c r="J413" s="142">
        <v>39</v>
      </c>
      <c r="K413" s="142">
        <v>0</v>
      </c>
      <c r="L413" s="142">
        <v>46</v>
      </c>
      <c r="M413" s="142">
        <v>0</v>
      </c>
    </row>
    <row r="414" spans="1:13" x14ac:dyDescent="0.45">
      <c r="A414" s="142" t="s">
        <v>13038</v>
      </c>
      <c r="B414" s="142" t="s">
        <v>14646</v>
      </c>
      <c r="C414" s="142" t="s">
        <v>15847</v>
      </c>
      <c r="D414" s="142" t="s">
        <v>15848</v>
      </c>
      <c r="E414" s="142" t="s">
        <v>15849</v>
      </c>
      <c r="F414" s="142" t="s">
        <v>1183</v>
      </c>
      <c r="G414" s="142" t="s">
        <v>1182</v>
      </c>
      <c r="H414" s="142" t="s">
        <v>16264</v>
      </c>
      <c r="I414" s="142">
        <v>24</v>
      </c>
      <c r="J414" s="142">
        <v>0</v>
      </c>
      <c r="K414" s="142">
        <v>0</v>
      </c>
      <c r="L414" s="142">
        <v>0</v>
      </c>
      <c r="M414" s="142">
        <v>24</v>
      </c>
    </row>
    <row r="415" spans="1:13" x14ac:dyDescent="0.45">
      <c r="A415" s="142" t="s">
        <v>13009</v>
      </c>
      <c r="B415" s="142" t="s">
        <v>15256</v>
      </c>
      <c r="C415" s="142" t="s">
        <v>15847</v>
      </c>
      <c r="D415" s="142" t="s">
        <v>15848</v>
      </c>
      <c r="E415" s="142" t="s">
        <v>15849</v>
      </c>
      <c r="F415" s="142" t="s">
        <v>1183</v>
      </c>
      <c r="G415" s="142" t="s">
        <v>1182</v>
      </c>
      <c r="H415" s="142" t="s">
        <v>16265</v>
      </c>
      <c r="I415" s="142">
        <v>92</v>
      </c>
      <c r="J415" s="142">
        <v>70</v>
      </c>
      <c r="K415" s="142">
        <v>0</v>
      </c>
      <c r="L415" s="142">
        <v>22</v>
      </c>
      <c r="M415" s="142">
        <v>0</v>
      </c>
    </row>
    <row r="416" spans="1:13" x14ac:dyDescent="0.45">
      <c r="A416" s="142" t="s">
        <v>13194</v>
      </c>
      <c r="B416" s="142" t="s">
        <v>15572</v>
      </c>
      <c r="C416" s="142" t="s">
        <v>15847</v>
      </c>
      <c r="D416" s="142" t="s">
        <v>15848</v>
      </c>
      <c r="E416" s="142" t="s">
        <v>15849</v>
      </c>
      <c r="F416" s="142" t="s">
        <v>1183</v>
      </c>
      <c r="G416" s="142" t="s">
        <v>1182</v>
      </c>
      <c r="H416" s="142" t="s">
        <v>16266</v>
      </c>
      <c r="I416" s="142">
        <v>107</v>
      </c>
      <c r="J416" s="142">
        <v>79</v>
      </c>
      <c r="K416" s="142">
        <v>0</v>
      </c>
      <c r="L416" s="142">
        <v>0</v>
      </c>
      <c r="M416" s="142">
        <v>28</v>
      </c>
    </row>
    <row r="417" spans="1:13" x14ac:dyDescent="0.45">
      <c r="A417" s="142" t="s">
        <v>13058</v>
      </c>
      <c r="B417" s="142" t="s">
        <v>14584</v>
      </c>
      <c r="C417" s="142" t="s">
        <v>15847</v>
      </c>
      <c r="D417" s="142" t="s">
        <v>15848</v>
      </c>
      <c r="E417" s="142" t="s">
        <v>15849</v>
      </c>
      <c r="F417" s="142" t="s">
        <v>1183</v>
      </c>
      <c r="G417" s="142" t="s">
        <v>1182</v>
      </c>
      <c r="H417" s="142" t="s">
        <v>16267</v>
      </c>
      <c r="I417" s="142">
        <v>357</v>
      </c>
      <c r="J417" s="142">
        <v>284</v>
      </c>
      <c r="K417" s="142">
        <v>0</v>
      </c>
      <c r="L417" s="142">
        <v>0</v>
      </c>
      <c r="M417" s="142">
        <v>73</v>
      </c>
    </row>
    <row r="418" spans="1:13" x14ac:dyDescent="0.45">
      <c r="A418" s="142" t="s">
        <v>13012</v>
      </c>
      <c r="B418" s="142" t="s">
        <v>15337</v>
      </c>
      <c r="C418" s="142" t="s">
        <v>15847</v>
      </c>
      <c r="D418" s="142" t="s">
        <v>15848</v>
      </c>
      <c r="E418" s="142" t="s">
        <v>15849</v>
      </c>
      <c r="F418" s="142" t="s">
        <v>1183</v>
      </c>
      <c r="G418" s="142" t="s">
        <v>1182</v>
      </c>
      <c r="H418" s="142" t="s">
        <v>16268</v>
      </c>
      <c r="I418" s="142">
        <v>1</v>
      </c>
      <c r="J418" s="142">
        <v>0</v>
      </c>
      <c r="K418" s="142">
        <v>0</v>
      </c>
      <c r="L418" s="142">
        <v>0</v>
      </c>
      <c r="M418" s="142">
        <v>1</v>
      </c>
    </row>
    <row r="419" spans="1:13" x14ac:dyDescent="0.45">
      <c r="A419" s="142" t="s">
        <v>13014</v>
      </c>
      <c r="B419" s="142" t="s">
        <v>14505</v>
      </c>
      <c r="C419" s="142" t="s">
        <v>15847</v>
      </c>
      <c r="D419" s="142" t="s">
        <v>15848</v>
      </c>
      <c r="E419" s="142" t="s">
        <v>15849</v>
      </c>
      <c r="F419" s="142" t="s">
        <v>1183</v>
      </c>
      <c r="G419" s="142" t="s">
        <v>1182</v>
      </c>
      <c r="H419" s="142" t="s">
        <v>16269</v>
      </c>
      <c r="I419" s="142">
        <v>304</v>
      </c>
      <c r="J419" s="142">
        <v>179</v>
      </c>
      <c r="K419" s="142">
        <v>0</v>
      </c>
      <c r="L419" s="142">
        <v>107</v>
      </c>
      <c r="M419" s="142">
        <v>18</v>
      </c>
    </row>
    <row r="420" spans="1:13" x14ac:dyDescent="0.45">
      <c r="A420" s="142" t="s">
        <v>13042</v>
      </c>
      <c r="B420" s="142" t="s">
        <v>15489</v>
      </c>
      <c r="C420" s="142" t="s">
        <v>15847</v>
      </c>
      <c r="D420" s="142" t="s">
        <v>15848</v>
      </c>
      <c r="E420" s="142" t="s">
        <v>15849</v>
      </c>
      <c r="F420" s="142" t="s">
        <v>1183</v>
      </c>
      <c r="G420" s="142" t="s">
        <v>1182</v>
      </c>
      <c r="H420" s="142" t="s">
        <v>16270</v>
      </c>
      <c r="I420" s="142">
        <v>19</v>
      </c>
      <c r="J420" s="142">
        <v>0</v>
      </c>
      <c r="K420" s="142">
        <v>0</v>
      </c>
      <c r="L420" s="142">
        <v>19</v>
      </c>
      <c r="M420" s="142">
        <v>0</v>
      </c>
    </row>
    <row r="421" spans="1:13" x14ac:dyDescent="0.45">
      <c r="A421" s="142" t="s">
        <v>13079</v>
      </c>
      <c r="B421" s="142" t="s">
        <v>15431</v>
      </c>
      <c r="C421" s="142" t="s">
        <v>15847</v>
      </c>
      <c r="D421" s="142" t="s">
        <v>15848</v>
      </c>
      <c r="E421" s="142" t="s">
        <v>15849</v>
      </c>
      <c r="F421" s="142" t="s">
        <v>1183</v>
      </c>
      <c r="G421" s="142" t="s">
        <v>1182</v>
      </c>
      <c r="H421" s="142" t="s">
        <v>16271</v>
      </c>
      <c r="I421" s="142">
        <v>1</v>
      </c>
      <c r="J421" s="142">
        <v>0</v>
      </c>
      <c r="K421" s="142">
        <v>0</v>
      </c>
      <c r="L421" s="142">
        <v>0</v>
      </c>
      <c r="M421" s="142">
        <v>1</v>
      </c>
    </row>
    <row r="422" spans="1:13" x14ac:dyDescent="0.45">
      <c r="A422" s="142" t="s">
        <v>13195</v>
      </c>
      <c r="B422" s="142" t="s">
        <v>15381</v>
      </c>
      <c r="C422" s="142" t="s">
        <v>15860</v>
      </c>
      <c r="D422" s="142" t="s">
        <v>15861</v>
      </c>
      <c r="E422" s="142" t="s">
        <v>15849</v>
      </c>
      <c r="F422" s="142" t="s">
        <v>1183</v>
      </c>
      <c r="G422" s="142" t="s">
        <v>1182</v>
      </c>
      <c r="H422" s="142" t="s">
        <v>16272</v>
      </c>
      <c r="I422" s="142">
        <v>17</v>
      </c>
      <c r="J422" s="142">
        <v>17</v>
      </c>
      <c r="K422" s="142">
        <v>0</v>
      </c>
      <c r="L422" s="142">
        <v>0</v>
      </c>
      <c r="M422" s="142">
        <v>0</v>
      </c>
    </row>
    <row r="423" spans="1:13" x14ac:dyDescent="0.45">
      <c r="A423" s="142" t="s">
        <v>13072</v>
      </c>
      <c r="B423" s="142" t="s">
        <v>15530</v>
      </c>
      <c r="C423" s="142" t="s">
        <v>15847</v>
      </c>
      <c r="D423" s="142" t="s">
        <v>15848</v>
      </c>
      <c r="E423" s="142" t="s">
        <v>15849</v>
      </c>
      <c r="F423" s="142" t="s">
        <v>2422</v>
      </c>
      <c r="G423" s="142" t="s">
        <v>2421</v>
      </c>
      <c r="H423" s="142" t="s">
        <v>16273</v>
      </c>
      <c r="I423" s="142">
        <v>244</v>
      </c>
      <c r="J423" s="142">
        <v>145</v>
      </c>
      <c r="K423" s="142">
        <v>0</v>
      </c>
      <c r="L423" s="142">
        <v>0</v>
      </c>
      <c r="M423" s="142">
        <v>99</v>
      </c>
    </row>
    <row r="424" spans="1:13" x14ac:dyDescent="0.45">
      <c r="A424" s="142" t="s">
        <v>13022</v>
      </c>
      <c r="B424" s="142" t="s">
        <v>14634</v>
      </c>
      <c r="C424" s="142" t="s">
        <v>15847</v>
      </c>
      <c r="D424" s="142" t="s">
        <v>15848</v>
      </c>
      <c r="E424" s="142" t="s">
        <v>15849</v>
      </c>
      <c r="F424" s="142" t="s">
        <v>2422</v>
      </c>
      <c r="G424" s="142" t="s">
        <v>2421</v>
      </c>
      <c r="H424" s="142" t="s">
        <v>16274</v>
      </c>
      <c r="I424" s="142">
        <v>252</v>
      </c>
      <c r="J424" s="142">
        <v>109</v>
      </c>
      <c r="K424" s="142">
        <v>0</v>
      </c>
      <c r="L424" s="142">
        <v>56</v>
      </c>
      <c r="M424" s="142">
        <v>87</v>
      </c>
    </row>
    <row r="425" spans="1:13" x14ac:dyDescent="0.45">
      <c r="A425" s="142" t="s">
        <v>13023</v>
      </c>
      <c r="B425" s="142" t="s">
        <v>15571</v>
      </c>
      <c r="C425" s="142" t="s">
        <v>15847</v>
      </c>
      <c r="D425" s="142" t="s">
        <v>15848</v>
      </c>
      <c r="E425" s="142" t="s">
        <v>15849</v>
      </c>
      <c r="F425" s="142" t="s">
        <v>2422</v>
      </c>
      <c r="G425" s="142" t="s">
        <v>2421</v>
      </c>
      <c r="H425" s="142" t="s">
        <v>16275</v>
      </c>
      <c r="I425" s="142">
        <v>146</v>
      </c>
      <c r="J425" s="142">
        <v>0</v>
      </c>
      <c r="K425" s="142">
        <v>0</v>
      </c>
      <c r="L425" s="142">
        <v>146</v>
      </c>
      <c r="M425" s="142">
        <v>0</v>
      </c>
    </row>
    <row r="426" spans="1:13" x14ac:dyDescent="0.45">
      <c r="A426" s="142" t="s">
        <v>13082</v>
      </c>
      <c r="B426" s="142" t="s">
        <v>14478</v>
      </c>
      <c r="C426" s="142" t="s">
        <v>15860</v>
      </c>
      <c r="D426" s="142" t="s">
        <v>15861</v>
      </c>
      <c r="E426" s="142" t="s">
        <v>15849</v>
      </c>
      <c r="F426" s="142" t="s">
        <v>2422</v>
      </c>
      <c r="G426" s="142" t="s">
        <v>2421</v>
      </c>
      <c r="H426" s="142" t="s">
        <v>16276</v>
      </c>
      <c r="I426" s="142">
        <v>29</v>
      </c>
      <c r="J426" s="142">
        <v>0</v>
      </c>
      <c r="K426" s="142">
        <v>0</v>
      </c>
      <c r="L426" s="142">
        <v>29</v>
      </c>
      <c r="M426" s="142">
        <v>0</v>
      </c>
    </row>
    <row r="427" spans="1:13" x14ac:dyDescent="0.45">
      <c r="A427" s="142" t="s">
        <v>13197</v>
      </c>
      <c r="B427" s="142" t="s">
        <v>15526</v>
      </c>
      <c r="C427" s="142" t="s">
        <v>15860</v>
      </c>
      <c r="D427" s="142" t="s">
        <v>15861</v>
      </c>
      <c r="E427" s="142" t="s">
        <v>15849</v>
      </c>
      <c r="F427" s="142" t="s">
        <v>2422</v>
      </c>
      <c r="G427" s="142" t="s">
        <v>2421</v>
      </c>
      <c r="H427" s="142" t="s">
        <v>16277</v>
      </c>
      <c r="I427" s="142">
        <v>166</v>
      </c>
      <c r="J427" s="142">
        <v>63</v>
      </c>
      <c r="K427" s="142">
        <v>0</v>
      </c>
      <c r="L427" s="142">
        <v>103</v>
      </c>
      <c r="M427" s="142">
        <v>0</v>
      </c>
    </row>
    <row r="428" spans="1:13" x14ac:dyDescent="0.45">
      <c r="A428" s="142" t="s">
        <v>13000</v>
      </c>
      <c r="B428" s="142" t="s">
        <v>14610</v>
      </c>
      <c r="C428" s="142" t="s">
        <v>15847</v>
      </c>
      <c r="D428" s="142" t="s">
        <v>15848</v>
      </c>
      <c r="E428" s="142" t="s">
        <v>15849</v>
      </c>
      <c r="F428" s="142" t="s">
        <v>2422</v>
      </c>
      <c r="G428" s="142" t="s">
        <v>2421</v>
      </c>
      <c r="H428" s="142" t="s">
        <v>16278</v>
      </c>
      <c r="I428" s="142">
        <v>167</v>
      </c>
      <c r="J428" s="142">
        <v>166</v>
      </c>
      <c r="K428" s="142">
        <v>0</v>
      </c>
      <c r="L428" s="142">
        <v>0</v>
      </c>
      <c r="M428" s="142">
        <v>1</v>
      </c>
    </row>
    <row r="429" spans="1:13" x14ac:dyDescent="0.45">
      <c r="A429" s="142" t="s">
        <v>13198</v>
      </c>
      <c r="B429" s="142" t="s">
        <v>15602</v>
      </c>
      <c r="C429" s="142" t="s">
        <v>15847</v>
      </c>
      <c r="D429" s="142" t="s">
        <v>15848</v>
      </c>
      <c r="E429" s="142" t="s">
        <v>15849</v>
      </c>
      <c r="F429" s="142" t="s">
        <v>2422</v>
      </c>
      <c r="G429" s="142" t="s">
        <v>2421</v>
      </c>
      <c r="H429" s="142" t="s">
        <v>16279</v>
      </c>
      <c r="I429" s="142">
        <v>252</v>
      </c>
      <c r="J429" s="142">
        <v>168</v>
      </c>
      <c r="K429" s="142">
        <v>0</v>
      </c>
      <c r="L429" s="142">
        <v>0</v>
      </c>
      <c r="M429" s="142">
        <v>84</v>
      </c>
    </row>
    <row r="430" spans="1:13" x14ac:dyDescent="0.45">
      <c r="A430" s="142" t="s">
        <v>13119</v>
      </c>
      <c r="B430" s="142" t="s">
        <v>14451</v>
      </c>
      <c r="C430" s="142" t="s">
        <v>15860</v>
      </c>
      <c r="D430" s="142" t="s">
        <v>15861</v>
      </c>
      <c r="E430" s="142" t="s">
        <v>15849</v>
      </c>
      <c r="F430" s="142" t="s">
        <v>2422</v>
      </c>
      <c r="G430" s="142" t="s">
        <v>2421</v>
      </c>
      <c r="H430" s="142" t="s">
        <v>16280</v>
      </c>
      <c r="I430" s="142">
        <v>21</v>
      </c>
      <c r="J430" s="142">
        <v>0</v>
      </c>
      <c r="K430" s="142">
        <v>0</v>
      </c>
      <c r="L430" s="142">
        <v>21</v>
      </c>
      <c r="M430" s="142">
        <v>0</v>
      </c>
    </row>
    <row r="431" spans="1:13" x14ac:dyDescent="0.45">
      <c r="A431" s="142" t="s">
        <v>13049</v>
      </c>
      <c r="B431" s="142" t="s">
        <v>14534</v>
      </c>
      <c r="C431" s="142" t="s">
        <v>15860</v>
      </c>
      <c r="D431" s="142" t="s">
        <v>15861</v>
      </c>
      <c r="E431" s="142" t="s">
        <v>15849</v>
      </c>
      <c r="F431" s="142" t="s">
        <v>2422</v>
      </c>
      <c r="G431" s="142" t="s">
        <v>2421</v>
      </c>
      <c r="H431" s="142" t="s">
        <v>16281</v>
      </c>
      <c r="I431" s="142">
        <v>8</v>
      </c>
      <c r="J431" s="142">
        <v>0</v>
      </c>
      <c r="K431" s="142">
        <v>0</v>
      </c>
      <c r="L431" s="142">
        <v>8</v>
      </c>
      <c r="M431" s="142">
        <v>0</v>
      </c>
    </row>
    <row r="432" spans="1:13" x14ac:dyDescent="0.45">
      <c r="A432" s="142" t="s">
        <v>13027</v>
      </c>
      <c r="B432" s="142" t="s">
        <v>14562</v>
      </c>
      <c r="C432" s="142" t="s">
        <v>15847</v>
      </c>
      <c r="D432" s="142" t="s">
        <v>15848</v>
      </c>
      <c r="E432" s="142" t="s">
        <v>15849</v>
      </c>
      <c r="F432" s="142" t="s">
        <v>2422</v>
      </c>
      <c r="G432" s="142" t="s">
        <v>2421</v>
      </c>
      <c r="H432" s="142" t="s">
        <v>16282</v>
      </c>
      <c r="I432" s="142">
        <v>14</v>
      </c>
      <c r="J432" s="142">
        <v>0</v>
      </c>
      <c r="K432" s="142">
        <v>0</v>
      </c>
      <c r="L432" s="142">
        <v>14</v>
      </c>
      <c r="M432" s="142">
        <v>0</v>
      </c>
    </row>
    <row r="433" spans="1:13" x14ac:dyDescent="0.45">
      <c r="A433" s="142" t="s">
        <v>13050</v>
      </c>
      <c r="B433" s="142" t="s">
        <v>15237</v>
      </c>
      <c r="C433" s="142" t="s">
        <v>15847</v>
      </c>
      <c r="D433" s="142" t="s">
        <v>15848</v>
      </c>
      <c r="E433" s="142" t="s">
        <v>15849</v>
      </c>
      <c r="F433" s="142" t="s">
        <v>2422</v>
      </c>
      <c r="G433" s="142" t="s">
        <v>2421</v>
      </c>
      <c r="H433" s="142" t="s">
        <v>16283</v>
      </c>
      <c r="I433" s="142">
        <v>58</v>
      </c>
      <c r="J433" s="142">
        <v>53</v>
      </c>
      <c r="K433" s="142">
        <v>0</v>
      </c>
      <c r="L433" s="142">
        <v>0</v>
      </c>
      <c r="M433" s="142">
        <v>5</v>
      </c>
    </row>
    <row r="434" spans="1:13" x14ac:dyDescent="0.45">
      <c r="A434" s="142" t="s">
        <v>13028</v>
      </c>
      <c r="B434" s="142" t="s">
        <v>14462</v>
      </c>
      <c r="C434" s="142" t="s">
        <v>15847</v>
      </c>
      <c r="D434" s="142" t="s">
        <v>15848</v>
      </c>
      <c r="E434" s="142" t="s">
        <v>15849</v>
      </c>
      <c r="F434" s="142" t="s">
        <v>2422</v>
      </c>
      <c r="G434" s="142" t="s">
        <v>2421</v>
      </c>
      <c r="H434" s="142" t="s">
        <v>16284</v>
      </c>
      <c r="I434" s="142">
        <v>39</v>
      </c>
      <c r="J434" s="142">
        <v>0</v>
      </c>
      <c r="K434" s="142">
        <v>0</v>
      </c>
      <c r="L434" s="142">
        <v>0</v>
      </c>
      <c r="M434" s="142">
        <v>39</v>
      </c>
    </row>
    <row r="435" spans="1:13" x14ac:dyDescent="0.45">
      <c r="A435" s="142" t="s">
        <v>13199</v>
      </c>
      <c r="B435" s="142" t="s">
        <v>15362</v>
      </c>
      <c r="C435" s="142" t="s">
        <v>15847</v>
      </c>
      <c r="D435" s="142" t="s">
        <v>15848</v>
      </c>
      <c r="E435" s="142" t="s">
        <v>15849</v>
      </c>
      <c r="F435" s="142" t="s">
        <v>2422</v>
      </c>
      <c r="G435" s="142" t="s">
        <v>2421</v>
      </c>
      <c r="H435" s="142" t="s">
        <v>16285</v>
      </c>
      <c r="I435" s="142">
        <v>65</v>
      </c>
      <c r="J435" s="142">
        <v>55</v>
      </c>
      <c r="K435" s="142">
        <v>0</v>
      </c>
      <c r="L435" s="142">
        <v>0</v>
      </c>
      <c r="M435" s="142">
        <v>10</v>
      </c>
    </row>
    <row r="436" spans="1:13" x14ac:dyDescent="0.45">
      <c r="A436" s="142" t="s">
        <v>13003</v>
      </c>
      <c r="B436" s="142" t="s">
        <v>15245</v>
      </c>
      <c r="C436" s="142" t="s">
        <v>15847</v>
      </c>
      <c r="D436" s="142" t="s">
        <v>15848</v>
      </c>
      <c r="E436" s="142" t="s">
        <v>15849</v>
      </c>
      <c r="F436" s="142" t="s">
        <v>2422</v>
      </c>
      <c r="G436" s="142" t="s">
        <v>2421</v>
      </c>
      <c r="H436" s="142" t="s">
        <v>16286</v>
      </c>
      <c r="I436" s="142">
        <v>62</v>
      </c>
      <c r="J436" s="142">
        <v>0</v>
      </c>
      <c r="K436" s="142">
        <v>0</v>
      </c>
      <c r="L436" s="142">
        <v>62</v>
      </c>
      <c r="M436" s="142">
        <v>0</v>
      </c>
    </row>
    <row r="437" spans="1:13" x14ac:dyDescent="0.45">
      <c r="A437" s="142" t="s">
        <v>13200</v>
      </c>
      <c r="B437" s="142" t="s">
        <v>15214</v>
      </c>
      <c r="C437" s="142" t="s">
        <v>15860</v>
      </c>
      <c r="D437" s="142" t="s">
        <v>15861</v>
      </c>
      <c r="E437" s="142" t="s">
        <v>15849</v>
      </c>
      <c r="F437" s="142" t="s">
        <v>2422</v>
      </c>
      <c r="G437" s="142" t="s">
        <v>2421</v>
      </c>
      <c r="H437" s="142" t="s">
        <v>16287</v>
      </c>
      <c r="I437" s="142">
        <v>51</v>
      </c>
      <c r="J437" s="142">
        <v>0</v>
      </c>
      <c r="K437" s="142">
        <v>0</v>
      </c>
      <c r="L437" s="142">
        <v>51</v>
      </c>
      <c r="M437" s="142">
        <v>0</v>
      </c>
    </row>
    <row r="438" spans="1:13" x14ac:dyDescent="0.45">
      <c r="A438" s="142" t="s">
        <v>13066</v>
      </c>
      <c r="B438" s="142" t="s">
        <v>14459</v>
      </c>
      <c r="C438" s="142" t="s">
        <v>15847</v>
      </c>
      <c r="D438" s="142" t="s">
        <v>15848</v>
      </c>
      <c r="E438" s="142" t="s">
        <v>15849</v>
      </c>
      <c r="F438" s="142" t="s">
        <v>2422</v>
      </c>
      <c r="G438" s="142" t="s">
        <v>2421</v>
      </c>
      <c r="H438" s="142" t="s">
        <v>16288</v>
      </c>
      <c r="I438" s="142">
        <v>32</v>
      </c>
      <c r="J438" s="142">
        <v>0</v>
      </c>
      <c r="K438" s="142">
        <v>0</v>
      </c>
      <c r="L438" s="142">
        <v>32</v>
      </c>
      <c r="M438" s="142">
        <v>0</v>
      </c>
    </row>
    <row r="439" spans="1:13" x14ac:dyDescent="0.45">
      <c r="A439" s="142" t="s">
        <v>13201</v>
      </c>
      <c r="B439" s="142" t="s">
        <v>14481</v>
      </c>
      <c r="C439" s="142" t="s">
        <v>15860</v>
      </c>
      <c r="D439" s="142" t="s">
        <v>15861</v>
      </c>
      <c r="E439" s="142" t="s">
        <v>15849</v>
      </c>
      <c r="F439" s="142" t="s">
        <v>2422</v>
      </c>
      <c r="G439" s="142" t="s">
        <v>2421</v>
      </c>
      <c r="H439" s="142" t="s">
        <v>16289</v>
      </c>
      <c r="I439" s="142">
        <v>12</v>
      </c>
      <c r="J439" s="142">
        <v>0</v>
      </c>
      <c r="K439" s="142">
        <v>0</v>
      </c>
      <c r="L439" s="142">
        <v>12</v>
      </c>
      <c r="M439" s="142">
        <v>0</v>
      </c>
    </row>
    <row r="440" spans="1:13" x14ac:dyDescent="0.45">
      <c r="A440" s="142" t="s">
        <v>13005</v>
      </c>
      <c r="B440" s="142" t="s">
        <v>15475</v>
      </c>
      <c r="C440" s="142" t="s">
        <v>15847</v>
      </c>
      <c r="D440" s="142" t="s">
        <v>15848</v>
      </c>
      <c r="E440" s="142" t="s">
        <v>15849</v>
      </c>
      <c r="F440" s="142" t="s">
        <v>2422</v>
      </c>
      <c r="G440" s="142" t="s">
        <v>2421</v>
      </c>
      <c r="H440" s="142" t="s">
        <v>16290</v>
      </c>
      <c r="I440" s="142">
        <v>300</v>
      </c>
      <c r="J440" s="142">
        <v>184</v>
      </c>
      <c r="K440" s="142">
        <v>0</v>
      </c>
      <c r="L440" s="142">
        <v>0</v>
      </c>
      <c r="M440" s="142">
        <v>116</v>
      </c>
    </row>
    <row r="441" spans="1:13" x14ac:dyDescent="0.45">
      <c r="A441" s="142" t="s">
        <v>13202</v>
      </c>
      <c r="B441" s="142" t="s">
        <v>15390</v>
      </c>
      <c r="C441" s="142" t="s">
        <v>15847</v>
      </c>
      <c r="D441" s="142" t="s">
        <v>15848</v>
      </c>
      <c r="E441" s="142" t="s">
        <v>15849</v>
      </c>
      <c r="F441" s="142" t="s">
        <v>2422</v>
      </c>
      <c r="G441" s="142" t="s">
        <v>2421</v>
      </c>
      <c r="H441" s="142" t="s">
        <v>16291</v>
      </c>
      <c r="I441" s="142">
        <v>42</v>
      </c>
      <c r="J441" s="142">
        <v>0</v>
      </c>
      <c r="K441" s="142">
        <v>0</v>
      </c>
      <c r="L441" s="142">
        <v>0</v>
      </c>
      <c r="M441" s="142">
        <v>42</v>
      </c>
    </row>
    <row r="442" spans="1:13" x14ac:dyDescent="0.45">
      <c r="A442" s="142" t="s">
        <v>13006</v>
      </c>
      <c r="B442" s="142" t="s">
        <v>15288</v>
      </c>
      <c r="C442" s="142" t="s">
        <v>15847</v>
      </c>
      <c r="D442" s="142" t="s">
        <v>15848</v>
      </c>
      <c r="E442" s="142" t="s">
        <v>15849</v>
      </c>
      <c r="F442" s="142" t="s">
        <v>2422</v>
      </c>
      <c r="G442" s="142" t="s">
        <v>2421</v>
      </c>
      <c r="H442" s="142" t="s">
        <v>16292</v>
      </c>
      <c r="I442" s="142">
        <v>24</v>
      </c>
      <c r="J442" s="142">
        <v>24</v>
      </c>
      <c r="K442" s="142">
        <v>0</v>
      </c>
      <c r="L442" s="142">
        <v>0</v>
      </c>
      <c r="M442" s="142">
        <v>0</v>
      </c>
    </row>
    <row r="443" spans="1:13" x14ac:dyDescent="0.45">
      <c r="A443" s="142" t="s">
        <v>13007</v>
      </c>
      <c r="B443" s="142" t="s">
        <v>15262</v>
      </c>
      <c r="C443" s="142" t="s">
        <v>15847</v>
      </c>
      <c r="D443" s="142" t="s">
        <v>15848</v>
      </c>
      <c r="E443" s="142" t="s">
        <v>15849</v>
      </c>
      <c r="F443" s="142" t="s">
        <v>2422</v>
      </c>
      <c r="G443" s="142" t="s">
        <v>2421</v>
      </c>
      <c r="H443" s="142" t="s">
        <v>16293</v>
      </c>
      <c r="I443" s="142">
        <v>1</v>
      </c>
      <c r="J443" s="142">
        <v>0</v>
      </c>
      <c r="K443" s="142">
        <v>0</v>
      </c>
      <c r="L443" s="142">
        <v>0</v>
      </c>
      <c r="M443" s="142">
        <v>1</v>
      </c>
    </row>
    <row r="444" spans="1:13" x14ac:dyDescent="0.45">
      <c r="A444" s="142" t="s">
        <v>13103</v>
      </c>
      <c r="B444" s="142" t="s">
        <v>14623</v>
      </c>
      <c r="C444" s="142" t="s">
        <v>15847</v>
      </c>
      <c r="D444" s="142" t="s">
        <v>15848</v>
      </c>
      <c r="E444" s="142" t="s">
        <v>15849</v>
      </c>
      <c r="F444" s="142" t="s">
        <v>2422</v>
      </c>
      <c r="G444" s="142" t="s">
        <v>2421</v>
      </c>
      <c r="H444" s="142" t="s">
        <v>16294</v>
      </c>
      <c r="I444" s="142">
        <v>116</v>
      </c>
      <c r="J444" s="142">
        <v>93</v>
      </c>
      <c r="K444" s="142">
        <v>0</v>
      </c>
      <c r="L444" s="142">
        <v>0</v>
      </c>
      <c r="M444" s="142">
        <v>23</v>
      </c>
    </row>
    <row r="445" spans="1:13" x14ac:dyDescent="0.45">
      <c r="A445" s="142" t="s">
        <v>13008</v>
      </c>
      <c r="B445" s="142" t="s">
        <v>15411</v>
      </c>
      <c r="C445" s="142" t="s">
        <v>15847</v>
      </c>
      <c r="D445" s="142" t="s">
        <v>15848</v>
      </c>
      <c r="E445" s="142" t="s">
        <v>15849</v>
      </c>
      <c r="F445" s="142" t="s">
        <v>2422</v>
      </c>
      <c r="G445" s="142" t="s">
        <v>2421</v>
      </c>
      <c r="H445" s="142" t="s">
        <v>16295</v>
      </c>
      <c r="I445" s="142">
        <v>91</v>
      </c>
      <c r="J445" s="142">
        <v>0</v>
      </c>
      <c r="K445" s="142">
        <v>0</v>
      </c>
      <c r="L445" s="142">
        <v>0</v>
      </c>
      <c r="M445" s="142">
        <v>91</v>
      </c>
    </row>
    <row r="446" spans="1:13" x14ac:dyDescent="0.45">
      <c r="A446" s="142" t="s">
        <v>13077</v>
      </c>
      <c r="B446" s="142" t="s">
        <v>15407</v>
      </c>
      <c r="C446" s="142" t="s">
        <v>15847</v>
      </c>
      <c r="D446" s="142" t="s">
        <v>15848</v>
      </c>
      <c r="E446" s="142" t="s">
        <v>15849</v>
      </c>
      <c r="F446" s="142" t="s">
        <v>2422</v>
      </c>
      <c r="G446" s="142" t="s">
        <v>2421</v>
      </c>
      <c r="H446" s="142" t="s">
        <v>16296</v>
      </c>
      <c r="I446" s="142">
        <v>228</v>
      </c>
      <c r="J446" s="142">
        <v>177</v>
      </c>
      <c r="K446" s="142">
        <v>0</v>
      </c>
      <c r="L446" s="142">
        <v>51</v>
      </c>
      <c r="M446" s="142">
        <v>0</v>
      </c>
    </row>
    <row r="447" spans="1:13" x14ac:dyDescent="0.45">
      <c r="A447" s="142" t="s">
        <v>13135</v>
      </c>
      <c r="B447" s="142" t="s">
        <v>15575</v>
      </c>
      <c r="C447" s="142" t="s">
        <v>15847</v>
      </c>
      <c r="D447" s="142" t="s">
        <v>15848</v>
      </c>
      <c r="E447" s="142" t="s">
        <v>15849</v>
      </c>
      <c r="F447" s="142" t="s">
        <v>2422</v>
      </c>
      <c r="G447" s="142" t="s">
        <v>2421</v>
      </c>
      <c r="H447" s="142" t="s">
        <v>16297</v>
      </c>
      <c r="I447" s="142">
        <v>242</v>
      </c>
      <c r="J447" s="142">
        <v>146</v>
      </c>
      <c r="K447" s="142">
        <v>0</v>
      </c>
      <c r="L447" s="142">
        <v>0</v>
      </c>
      <c r="M447" s="142">
        <v>96</v>
      </c>
    </row>
    <row r="448" spans="1:13" x14ac:dyDescent="0.45">
      <c r="A448" s="142" t="s">
        <v>13104</v>
      </c>
      <c r="B448" s="142" t="s">
        <v>14622</v>
      </c>
      <c r="C448" s="142" t="s">
        <v>15847</v>
      </c>
      <c r="D448" s="142" t="s">
        <v>15848</v>
      </c>
      <c r="E448" s="142" t="s">
        <v>15849</v>
      </c>
      <c r="F448" s="142" t="s">
        <v>2422</v>
      </c>
      <c r="G448" s="142" t="s">
        <v>2421</v>
      </c>
      <c r="H448" s="142" t="s">
        <v>16298</v>
      </c>
      <c r="I448" s="142">
        <v>918</v>
      </c>
      <c r="J448" s="142">
        <v>650</v>
      </c>
      <c r="K448" s="142">
        <v>0</v>
      </c>
      <c r="L448" s="142">
        <v>100</v>
      </c>
      <c r="M448" s="142">
        <v>168</v>
      </c>
    </row>
    <row r="449" spans="1:13" x14ac:dyDescent="0.45">
      <c r="A449" s="142" t="s">
        <v>13033</v>
      </c>
      <c r="B449" s="142" t="s">
        <v>15276</v>
      </c>
      <c r="C449" s="142" t="s">
        <v>15847</v>
      </c>
      <c r="D449" s="142" t="s">
        <v>15848</v>
      </c>
      <c r="E449" s="142" t="s">
        <v>15849</v>
      </c>
      <c r="F449" s="142" t="s">
        <v>2422</v>
      </c>
      <c r="G449" s="142" t="s">
        <v>2421</v>
      </c>
      <c r="H449" s="142" t="s">
        <v>16299</v>
      </c>
      <c r="I449" s="142">
        <v>478</v>
      </c>
      <c r="J449" s="142">
        <v>469</v>
      </c>
      <c r="K449" s="142">
        <v>0</v>
      </c>
      <c r="L449" s="142">
        <v>9</v>
      </c>
      <c r="M449" s="142">
        <v>0</v>
      </c>
    </row>
    <row r="450" spans="1:13" x14ac:dyDescent="0.45">
      <c r="A450" s="142" t="s">
        <v>13034</v>
      </c>
      <c r="B450" s="142" t="s">
        <v>15562</v>
      </c>
      <c r="C450" s="142" t="s">
        <v>15847</v>
      </c>
      <c r="D450" s="142" t="s">
        <v>15848</v>
      </c>
      <c r="E450" s="142" t="s">
        <v>15849</v>
      </c>
      <c r="F450" s="142" t="s">
        <v>2422</v>
      </c>
      <c r="G450" s="142" t="s">
        <v>2421</v>
      </c>
      <c r="H450" s="142" t="s">
        <v>16300</v>
      </c>
      <c r="I450" s="142">
        <v>14</v>
      </c>
      <c r="J450" s="142">
        <v>0</v>
      </c>
      <c r="K450" s="142">
        <v>0</v>
      </c>
      <c r="L450" s="142">
        <v>14</v>
      </c>
      <c r="M450" s="142">
        <v>0</v>
      </c>
    </row>
    <row r="451" spans="1:13" x14ac:dyDescent="0.45">
      <c r="A451" s="142" t="s">
        <v>13038</v>
      </c>
      <c r="B451" s="142" t="s">
        <v>14646</v>
      </c>
      <c r="C451" s="142" t="s">
        <v>15847</v>
      </c>
      <c r="D451" s="142" t="s">
        <v>15848</v>
      </c>
      <c r="E451" s="142" t="s">
        <v>15849</v>
      </c>
      <c r="F451" s="142" t="s">
        <v>2422</v>
      </c>
      <c r="G451" s="142" t="s">
        <v>2421</v>
      </c>
      <c r="H451" s="142" t="s">
        <v>16301</v>
      </c>
      <c r="I451" s="142">
        <v>16</v>
      </c>
      <c r="J451" s="142">
        <v>11</v>
      </c>
      <c r="K451" s="142">
        <v>0</v>
      </c>
      <c r="L451" s="142">
        <v>0</v>
      </c>
      <c r="M451" s="142">
        <v>5</v>
      </c>
    </row>
    <row r="452" spans="1:13" x14ac:dyDescent="0.45">
      <c r="A452" s="142" t="s">
        <v>13039</v>
      </c>
      <c r="B452" s="142" t="s">
        <v>14647</v>
      </c>
      <c r="C452" s="142" t="s">
        <v>15847</v>
      </c>
      <c r="D452" s="142" t="s">
        <v>15848</v>
      </c>
      <c r="E452" s="142" t="s">
        <v>15849</v>
      </c>
      <c r="F452" s="142" t="s">
        <v>2422</v>
      </c>
      <c r="G452" s="142" t="s">
        <v>2421</v>
      </c>
      <c r="H452" s="142" t="s">
        <v>16302</v>
      </c>
      <c r="I452" s="142">
        <v>32</v>
      </c>
      <c r="J452" s="142">
        <v>32</v>
      </c>
      <c r="K452" s="142">
        <v>0</v>
      </c>
      <c r="L452" s="142">
        <v>0</v>
      </c>
      <c r="M452" s="142">
        <v>0</v>
      </c>
    </row>
    <row r="453" spans="1:13" x14ac:dyDescent="0.45">
      <c r="A453" s="142" t="s">
        <v>13203</v>
      </c>
      <c r="B453" s="142" t="s">
        <v>15446</v>
      </c>
      <c r="C453" s="142" t="s">
        <v>15847</v>
      </c>
      <c r="D453" s="142" t="s">
        <v>15848</v>
      </c>
      <c r="E453" s="142" t="s">
        <v>15849</v>
      </c>
      <c r="F453" s="142" t="s">
        <v>2422</v>
      </c>
      <c r="G453" s="142" t="s">
        <v>2421</v>
      </c>
      <c r="H453" s="142" t="s">
        <v>16303</v>
      </c>
      <c r="I453" s="142">
        <v>80</v>
      </c>
      <c r="J453" s="142">
        <v>57</v>
      </c>
      <c r="K453" s="142">
        <v>0</v>
      </c>
      <c r="L453" s="142">
        <v>0</v>
      </c>
      <c r="M453" s="142">
        <v>23</v>
      </c>
    </row>
    <row r="454" spans="1:13" x14ac:dyDescent="0.45">
      <c r="A454" s="142" t="s">
        <v>13041</v>
      </c>
      <c r="B454" s="142" t="s">
        <v>14441</v>
      </c>
      <c r="C454" s="142" t="s">
        <v>15847</v>
      </c>
      <c r="D454" s="142" t="s">
        <v>15848</v>
      </c>
      <c r="E454" s="142" t="s">
        <v>15849</v>
      </c>
      <c r="F454" s="142" t="s">
        <v>2422</v>
      </c>
      <c r="G454" s="142" t="s">
        <v>2421</v>
      </c>
      <c r="H454" s="142" t="s">
        <v>16304</v>
      </c>
      <c r="I454" s="142">
        <v>39</v>
      </c>
      <c r="J454" s="142">
        <v>0</v>
      </c>
      <c r="K454" s="142">
        <v>0</v>
      </c>
      <c r="L454" s="142">
        <v>0</v>
      </c>
      <c r="M454" s="142">
        <v>39</v>
      </c>
    </row>
    <row r="455" spans="1:13" x14ac:dyDescent="0.45">
      <c r="A455" s="142" t="s">
        <v>13204</v>
      </c>
      <c r="B455" s="142" t="s">
        <v>14831</v>
      </c>
      <c r="C455" s="142" t="s">
        <v>15860</v>
      </c>
      <c r="D455" s="142" t="s">
        <v>15861</v>
      </c>
      <c r="E455" s="142" t="s">
        <v>15849</v>
      </c>
      <c r="F455" s="142" t="s">
        <v>2422</v>
      </c>
      <c r="G455" s="142" t="s">
        <v>2421</v>
      </c>
      <c r="H455" s="142" t="s">
        <v>16305</v>
      </c>
      <c r="I455" s="142">
        <v>20</v>
      </c>
      <c r="J455" s="142">
        <v>20</v>
      </c>
      <c r="K455" s="142">
        <v>0</v>
      </c>
      <c r="L455" s="142">
        <v>0</v>
      </c>
      <c r="M455" s="142">
        <v>0</v>
      </c>
    </row>
    <row r="456" spans="1:13" x14ac:dyDescent="0.45">
      <c r="A456" s="142" t="s">
        <v>13205</v>
      </c>
      <c r="B456" s="142" t="s">
        <v>14496</v>
      </c>
      <c r="C456" s="142" t="s">
        <v>15847</v>
      </c>
      <c r="D456" s="142" t="s">
        <v>15848</v>
      </c>
      <c r="E456" s="142" t="s">
        <v>15849</v>
      </c>
      <c r="F456" s="142" t="s">
        <v>2422</v>
      </c>
      <c r="G456" s="142" t="s">
        <v>2421</v>
      </c>
      <c r="H456" s="142" t="s">
        <v>16306</v>
      </c>
      <c r="I456" s="142">
        <v>80</v>
      </c>
      <c r="J456" s="142">
        <v>76</v>
      </c>
      <c r="K456" s="142">
        <v>0</v>
      </c>
      <c r="L456" s="142">
        <v>0</v>
      </c>
      <c r="M456" s="142">
        <v>4</v>
      </c>
    </row>
    <row r="457" spans="1:13" x14ac:dyDescent="0.45">
      <c r="A457" s="142" t="s">
        <v>13012</v>
      </c>
      <c r="B457" s="142" t="s">
        <v>15337</v>
      </c>
      <c r="C457" s="142" t="s">
        <v>15847</v>
      </c>
      <c r="D457" s="142" t="s">
        <v>15848</v>
      </c>
      <c r="E457" s="142" t="s">
        <v>15849</v>
      </c>
      <c r="F457" s="142" t="s">
        <v>2422</v>
      </c>
      <c r="G457" s="142" t="s">
        <v>2421</v>
      </c>
      <c r="H457" s="142" t="s">
        <v>16307</v>
      </c>
      <c r="I457" s="142">
        <v>1383</v>
      </c>
      <c r="J457" s="142">
        <v>1110</v>
      </c>
      <c r="K457" s="142">
        <v>0</v>
      </c>
      <c r="L457" s="142">
        <v>207</v>
      </c>
      <c r="M457" s="142">
        <v>66</v>
      </c>
    </row>
    <row r="458" spans="1:13" x14ac:dyDescent="0.45">
      <c r="A458" s="142" t="s">
        <v>13138</v>
      </c>
      <c r="B458" s="142" t="s">
        <v>14590</v>
      </c>
      <c r="C458" s="142" t="s">
        <v>15860</v>
      </c>
      <c r="D458" s="142" t="s">
        <v>15861</v>
      </c>
      <c r="E458" s="142" t="s">
        <v>15849</v>
      </c>
      <c r="F458" s="142" t="s">
        <v>2422</v>
      </c>
      <c r="G458" s="142" t="s">
        <v>2421</v>
      </c>
      <c r="H458" s="142" t="s">
        <v>16308</v>
      </c>
      <c r="I458" s="142">
        <v>24</v>
      </c>
      <c r="J458" s="142">
        <v>24</v>
      </c>
      <c r="K458" s="142">
        <v>0</v>
      </c>
      <c r="L458" s="142">
        <v>0</v>
      </c>
      <c r="M458" s="142">
        <v>0</v>
      </c>
    </row>
    <row r="459" spans="1:13" x14ac:dyDescent="0.45">
      <c r="A459" s="142" t="s">
        <v>13206</v>
      </c>
      <c r="B459" s="142" t="s">
        <v>14489</v>
      </c>
      <c r="C459" s="142" t="s">
        <v>15860</v>
      </c>
      <c r="D459" s="142" t="s">
        <v>15861</v>
      </c>
      <c r="E459" s="142" t="s">
        <v>15849</v>
      </c>
      <c r="F459" s="142" t="s">
        <v>2422</v>
      </c>
      <c r="G459" s="142" t="s">
        <v>2421</v>
      </c>
      <c r="H459" s="142" t="s">
        <v>16309</v>
      </c>
      <c r="I459" s="142">
        <v>46</v>
      </c>
      <c r="J459" s="142">
        <v>0</v>
      </c>
      <c r="K459" s="142">
        <v>0</v>
      </c>
      <c r="L459" s="142">
        <v>46</v>
      </c>
      <c r="M459" s="142">
        <v>0</v>
      </c>
    </row>
    <row r="460" spans="1:13" x14ac:dyDescent="0.45">
      <c r="A460" s="142" t="s">
        <v>13014</v>
      </c>
      <c r="B460" s="142" t="s">
        <v>14505</v>
      </c>
      <c r="C460" s="142" t="s">
        <v>15847</v>
      </c>
      <c r="D460" s="142" t="s">
        <v>15848</v>
      </c>
      <c r="E460" s="142" t="s">
        <v>15849</v>
      </c>
      <c r="F460" s="142" t="s">
        <v>2422</v>
      </c>
      <c r="G460" s="142" t="s">
        <v>2421</v>
      </c>
      <c r="H460" s="142" t="s">
        <v>16310</v>
      </c>
      <c r="I460" s="142">
        <v>211</v>
      </c>
      <c r="J460" s="142">
        <v>173</v>
      </c>
      <c r="K460" s="142">
        <v>0</v>
      </c>
      <c r="L460" s="142">
        <v>0</v>
      </c>
      <c r="M460" s="142">
        <v>38</v>
      </c>
    </row>
    <row r="461" spans="1:13" x14ac:dyDescent="0.45">
      <c r="A461" s="142" t="s">
        <v>13165</v>
      </c>
      <c r="B461" s="142" t="s">
        <v>15525</v>
      </c>
      <c r="C461" s="142" t="s">
        <v>15860</v>
      </c>
      <c r="D461" s="142" t="s">
        <v>15861</v>
      </c>
      <c r="E461" s="142" t="s">
        <v>15849</v>
      </c>
      <c r="F461" s="142" t="s">
        <v>2422</v>
      </c>
      <c r="G461" s="142" t="s">
        <v>2421</v>
      </c>
      <c r="H461" s="142" t="s">
        <v>16311</v>
      </c>
      <c r="I461" s="142">
        <v>14</v>
      </c>
      <c r="J461" s="142">
        <v>0</v>
      </c>
      <c r="K461" s="142">
        <v>0</v>
      </c>
      <c r="L461" s="142">
        <v>14</v>
      </c>
      <c r="M461" s="142">
        <v>0</v>
      </c>
    </row>
    <row r="462" spans="1:13" x14ac:dyDescent="0.45">
      <c r="A462" s="142" t="s">
        <v>13042</v>
      </c>
      <c r="B462" s="142" t="s">
        <v>15489</v>
      </c>
      <c r="C462" s="142" t="s">
        <v>15847</v>
      </c>
      <c r="D462" s="142" t="s">
        <v>15848</v>
      </c>
      <c r="E462" s="142" t="s">
        <v>15849</v>
      </c>
      <c r="F462" s="142" t="s">
        <v>2422</v>
      </c>
      <c r="G462" s="142" t="s">
        <v>2421</v>
      </c>
      <c r="H462" s="142" t="s">
        <v>16312</v>
      </c>
      <c r="I462" s="142">
        <v>29</v>
      </c>
      <c r="J462" s="142">
        <v>0</v>
      </c>
      <c r="K462" s="142">
        <v>0</v>
      </c>
      <c r="L462" s="142">
        <v>29</v>
      </c>
      <c r="M462" s="142">
        <v>0</v>
      </c>
    </row>
    <row r="463" spans="1:13" x14ac:dyDescent="0.45">
      <c r="A463" s="142" t="s">
        <v>13207</v>
      </c>
      <c r="B463" s="142" t="s">
        <v>15558</v>
      </c>
      <c r="C463" s="142" t="s">
        <v>15847</v>
      </c>
      <c r="D463" s="142" t="s">
        <v>15848</v>
      </c>
      <c r="E463" s="142" t="s">
        <v>15849</v>
      </c>
      <c r="F463" s="142" t="s">
        <v>2422</v>
      </c>
      <c r="G463" s="142" t="s">
        <v>2421</v>
      </c>
      <c r="H463" s="142" t="s">
        <v>16313</v>
      </c>
      <c r="I463" s="142">
        <v>8593</v>
      </c>
      <c r="J463" s="142">
        <v>7387</v>
      </c>
      <c r="K463" s="142">
        <v>66</v>
      </c>
      <c r="L463" s="142">
        <v>562</v>
      </c>
      <c r="M463" s="142">
        <v>578</v>
      </c>
    </row>
    <row r="464" spans="1:13" x14ac:dyDescent="0.45">
      <c r="A464" s="142" t="s">
        <v>13110</v>
      </c>
      <c r="B464" s="142" t="s">
        <v>15502</v>
      </c>
      <c r="C464" s="142" t="s">
        <v>15847</v>
      </c>
      <c r="D464" s="142" t="s">
        <v>15848</v>
      </c>
      <c r="E464" s="142" t="s">
        <v>15849</v>
      </c>
      <c r="F464" s="142" t="s">
        <v>11314</v>
      </c>
      <c r="G464" s="142" t="s">
        <v>11313</v>
      </c>
      <c r="H464" s="142" t="s">
        <v>16314</v>
      </c>
      <c r="I464" s="142">
        <v>72</v>
      </c>
      <c r="J464" s="142">
        <v>43</v>
      </c>
      <c r="K464" s="142">
        <v>0</v>
      </c>
      <c r="L464" s="142">
        <v>12</v>
      </c>
      <c r="M464" s="142">
        <v>17</v>
      </c>
    </row>
    <row r="465" spans="1:13" x14ac:dyDescent="0.45">
      <c r="A465" s="142" t="s">
        <v>13021</v>
      </c>
      <c r="B465" s="142" t="s">
        <v>15501</v>
      </c>
      <c r="C465" s="142" t="s">
        <v>15847</v>
      </c>
      <c r="D465" s="142" t="s">
        <v>15848</v>
      </c>
      <c r="E465" s="142" t="s">
        <v>15849</v>
      </c>
      <c r="F465" s="142" t="s">
        <v>11314</v>
      </c>
      <c r="G465" s="142" t="s">
        <v>11313</v>
      </c>
      <c r="H465" s="142" t="s">
        <v>16315</v>
      </c>
      <c r="I465" s="142">
        <v>2</v>
      </c>
      <c r="J465" s="142">
        <v>0</v>
      </c>
      <c r="K465" s="142">
        <v>0</v>
      </c>
      <c r="L465" s="142">
        <v>2</v>
      </c>
      <c r="M465" s="142">
        <v>0</v>
      </c>
    </row>
    <row r="466" spans="1:13" x14ac:dyDescent="0.45">
      <c r="A466" s="142" t="s">
        <v>13023</v>
      </c>
      <c r="B466" s="142" t="s">
        <v>15571</v>
      </c>
      <c r="C466" s="142" t="s">
        <v>15847</v>
      </c>
      <c r="D466" s="142" t="s">
        <v>15848</v>
      </c>
      <c r="E466" s="142" t="s">
        <v>15849</v>
      </c>
      <c r="F466" s="142" t="s">
        <v>11314</v>
      </c>
      <c r="G466" s="142" t="s">
        <v>11313</v>
      </c>
      <c r="H466" s="142" t="s">
        <v>16316</v>
      </c>
      <c r="I466" s="142">
        <v>96</v>
      </c>
      <c r="J466" s="142">
        <v>0</v>
      </c>
      <c r="K466" s="142">
        <v>0</v>
      </c>
      <c r="L466" s="142">
        <v>96</v>
      </c>
      <c r="M466" s="142">
        <v>0</v>
      </c>
    </row>
    <row r="467" spans="1:13" x14ac:dyDescent="0.45">
      <c r="A467" s="142" t="s">
        <v>13209</v>
      </c>
      <c r="B467" s="142" t="s">
        <v>14842</v>
      </c>
      <c r="C467" s="142" t="s">
        <v>15860</v>
      </c>
      <c r="D467" s="142" t="s">
        <v>15861</v>
      </c>
      <c r="E467" s="142" t="s">
        <v>15849</v>
      </c>
      <c r="F467" s="142" t="s">
        <v>11314</v>
      </c>
      <c r="G467" s="142" t="s">
        <v>11313</v>
      </c>
      <c r="H467" s="142" t="s">
        <v>16317</v>
      </c>
      <c r="I467" s="142">
        <v>12</v>
      </c>
      <c r="J467" s="142">
        <v>12</v>
      </c>
      <c r="K467" s="142">
        <v>0</v>
      </c>
      <c r="L467" s="142">
        <v>0</v>
      </c>
      <c r="M467" s="142">
        <v>0</v>
      </c>
    </row>
    <row r="468" spans="1:13" x14ac:dyDescent="0.45">
      <c r="A468" s="142" t="s">
        <v>13210</v>
      </c>
      <c r="B468" s="142" t="s">
        <v>14446</v>
      </c>
      <c r="C468" s="142" t="s">
        <v>15860</v>
      </c>
      <c r="D468" s="142" t="s">
        <v>15861</v>
      </c>
      <c r="E468" s="142" t="s">
        <v>15849</v>
      </c>
      <c r="F468" s="142" t="s">
        <v>11314</v>
      </c>
      <c r="G468" s="142" t="s">
        <v>11313</v>
      </c>
      <c r="H468" s="142" t="s">
        <v>16318</v>
      </c>
      <c r="I468" s="142">
        <v>50</v>
      </c>
      <c r="J468" s="142">
        <v>0</v>
      </c>
      <c r="K468" s="142">
        <v>50</v>
      </c>
      <c r="L468" s="142">
        <v>0</v>
      </c>
      <c r="M468" s="142">
        <v>0</v>
      </c>
    </row>
    <row r="469" spans="1:13" x14ac:dyDescent="0.45">
      <c r="A469" s="142" t="s">
        <v>13211</v>
      </c>
      <c r="B469" s="142" t="s">
        <v>15341</v>
      </c>
      <c r="C469" s="142" t="s">
        <v>15860</v>
      </c>
      <c r="D469" s="142" t="s">
        <v>15861</v>
      </c>
      <c r="E469" s="142" t="s">
        <v>15849</v>
      </c>
      <c r="F469" s="142" t="s">
        <v>11314</v>
      </c>
      <c r="G469" s="142" t="s">
        <v>11313</v>
      </c>
      <c r="H469" s="142" t="s">
        <v>16319</v>
      </c>
      <c r="I469" s="142">
        <v>103</v>
      </c>
      <c r="J469" s="142">
        <v>1</v>
      </c>
      <c r="K469" s="142">
        <v>0</v>
      </c>
      <c r="L469" s="142">
        <v>102</v>
      </c>
      <c r="M469" s="142">
        <v>0</v>
      </c>
    </row>
    <row r="470" spans="1:13" x14ac:dyDescent="0.45">
      <c r="A470" s="142" t="s">
        <v>13159</v>
      </c>
      <c r="B470" s="142" t="s">
        <v>14521</v>
      </c>
      <c r="C470" s="142" t="s">
        <v>15860</v>
      </c>
      <c r="D470" s="142" t="s">
        <v>15861</v>
      </c>
      <c r="E470" s="142" t="s">
        <v>15849</v>
      </c>
      <c r="F470" s="142" t="s">
        <v>11314</v>
      </c>
      <c r="G470" s="142" t="s">
        <v>11313</v>
      </c>
      <c r="H470" s="142" t="s">
        <v>16320</v>
      </c>
      <c r="I470" s="142">
        <v>5</v>
      </c>
      <c r="J470" s="142">
        <v>0</v>
      </c>
      <c r="K470" s="142">
        <v>0</v>
      </c>
      <c r="L470" s="142">
        <v>5</v>
      </c>
      <c r="M470" s="142">
        <v>0</v>
      </c>
    </row>
    <row r="471" spans="1:13" x14ac:dyDescent="0.45">
      <c r="A471" s="142" t="s">
        <v>13000</v>
      </c>
      <c r="B471" s="142" t="s">
        <v>14610</v>
      </c>
      <c r="C471" s="142" t="s">
        <v>15847</v>
      </c>
      <c r="D471" s="142" t="s">
        <v>15848</v>
      </c>
      <c r="E471" s="142" t="s">
        <v>15849</v>
      </c>
      <c r="F471" s="142" t="s">
        <v>11314</v>
      </c>
      <c r="G471" s="142" t="s">
        <v>11313</v>
      </c>
      <c r="H471" s="142" t="s">
        <v>16321</v>
      </c>
      <c r="I471" s="142">
        <v>12</v>
      </c>
      <c r="J471" s="142">
        <v>12</v>
      </c>
      <c r="K471" s="142">
        <v>0</v>
      </c>
      <c r="L471" s="142">
        <v>0</v>
      </c>
      <c r="M471" s="142">
        <v>0</v>
      </c>
    </row>
    <row r="472" spans="1:13" x14ac:dyDescent="0.45">
      <c r="A472" s="142" t="s">
        <v>13212</v>
      </c>
      <c r="B472" s="142" t="s">
        <v>15497</v>
      </c>
      <c r="C472" s="142" t="s">
        <v>15860</v>
      </c>
      <c r="D472" s="142" t="s">
        <v>15861</v>
      </c>
      <c r="E472" s="142" t="s">
        <v>15849</v>
      </c>
      <c r="F472" s="142" t="s">
        <v>11314</v>
      </c>
      <c r="G472" s="142" t="s">
        <v>11313</v>
      </c>
      <c r="H472" s="142" t="s">
        <v>16322</v>
      </c>
      <c r="I472" s="142">
        <v>138</v>
      </c>
      <c r="J472" s="142">
        <v>138</v>
      </c>
      <c r="K472" s="142">
        <v>0</v>
      </c>
      <c r="L472" s="142">
        <v>0</v>
      </c>
      <c r="M472" s="142">
        <v>0</v>
      </c>
    </row>
    <row r="473" spans="1:13" x14ac:dyDescent="0.45">
      <c r="A473" s="142" t="s">
        <v>13213</v>
      </c>
      <c r="B473" s="142" t="s">
        <v>15017</v>
      </c>
      <c r="C473" s="142" t="s">
        <v>15860</v>
      </c>
      <c r="D473" s="142" t="s">
        <v>15861</v>
      </c>
      <c r="E473" s="142" t="s">
        <v>15849</v>
      </c>
      <c r="F473" s="142" t="s">
        <v>11314</v>
      </c>
      <c r="G473" s="142" t="s">
        <v>11313</v>
      </c>
      <c r="H473" s="142" t="s">
        <v>16323</v>
      </c>
      <c r="I473" s="142">
        <v>90</v>
      </c>
      <c r="J473" s="142">
        <v>90</v>
      </c>
      <c r="K473" s="142">
        <v>0</v>
      </c>
      <c r="L473" s="142">
        <v>0</v>
      </c>
      <c r="M473" s="142">
        <v>0</v>
      </c>
    </row>
    <row r="474" spans="1:13" x14ac:dyDescent="0.45">
      <c r="A474" s="142" t="s">
        <v>13098</v>
      </c>
      <c r="B474" s="142" t="s">
        <v>14528</v>
      </c>
      <c r="C474" s="142" t="s">
        <v>15860</v>
      </c>
      <c r="D474" s="142" t="s">
        <v>15861</v>
      </c>
      <c r="E474" s="142" t="s">
        <v>15849</v>
      </c>
      <c r="F474" s="142" t="s">
        <v>11314</v>
      </c>
      <c r="G474" s="142" t="s">
        <v>11313</v>
      </c>
      <c r="H474" s="142" t="s">
        <v>16324</v>
      </c>
      <c r="I474" s="142">
        <v>61</v>
      </c>
      <c r="J474" s="142">
        <v>61</v>
      </c>
      <c r="K474" s="142">
        <v>0</v>
      </c>
      <c r="L474" s="142">
        <v>0</v>
      </c>
      <c r="M474" s="142">
        <v>0</v>
      </c>
    </row>
    <row r="475" spans="1:13" x14ac:dyDescent="0.45">
      <c r="A475" s="142" t="s">
        <v>13120</v>
      </c>
      <c r="B475" s="142" t="s">
        <v>14549</v>
      </c>
      <c r="C475" s="142" t="s">
        <v>15860</v>
      </c>
      <c r="D475" s="142" t="s">
        <v>15861</v>
      </c>
      <c r="E475" s="142" t="s">
        <v>15849</v>
      </c>
      <c r="F475" s="142" t="s">
        <v>11314</v>
      </c>
      <c r="G475" s="142" t="s">
        <v>11313</v>
      </c>
      <c r="H475" s="142" t="s">
        <v>16325</v>
      </c>
      <c r="I475" s="142">
        <v>51</v>
      </c>
      <c r="J475" s="142">
        <v>51</v>
      </c>
      <c r="K475" s="142">
        <v>0</v>
      </c>
      <c r="L475" s="142">
        <v>0</v>
      </c>
      <c r="M475" s="142">
        <v>0</v>
      </c>
    </row>
    <row r="476" spans="1:13" x14ac:dyDescent="0.45">
      <c r="A476" s="142" t="s">
        <v>13027</v>
      </c>
      <c r="B476" s="142" t="s">
        <v>14562</v>
      </c>
      <c r="C476" s="142" t="s">
        <v>15847</v>
      </c>
      <c r="D476" s="142" t="s">
        <v>15848</v>
      </c>
      <c r="E476" s="142" t="s">
        <v>15849</v>
      </c>
      <c r="F476" s="142" t="s">
        <v>11314</v>
      </c>
      <c r="G476" s="142" t="s">
        <v>11313</v>
      </c>
      <c r="H476" s="142" t="s">
        <v>16326</v>
      </c>
      <c r="I476" s="142">
        <v>1</v>
      </c>
      <c r="J476" s="142">
        <v>0</v>
      </c>
      <c r="K476" s="142">
        <v>0</v>
      </c>
      <c r="L476" s="142">
        <v>1</v>
      </c>
      <c r="M476" s="142">
        <v>0</v>
      </c>
    </row>
    <row r="477" spans="1:13" x14ac:dyDescent="0.45">
      <c r="A477" s="142" t="s">
        <v>13001</v>
      </c>
      <c r="B477" s="142" t="s">
        <v>15506</v>
      </c>
      <c r="C477" s="142" t="s">
        <v>15847</v>
      </c>
      <c r="D477" s="142" t="s">
        <v>15848</v>
      </c>
      <c r="E477" s="142" t="s">
        <v>15849</v>
      </c>
      <c r="F477" s="142" t="s">
        <v>11314</v>
      </c>
      <c r="G477" s="142" t="s">
        <v>11313</v>
      </c>
      <c r="H477" s="142" t="s">
        <v>16327</v>
      </c>
      <c r="I477" s="142">
        <v>5</v>
      </c>
      <c r="J477" s="142">
        <v>5</v>
      </c>
      <c r="K477" s="142">
        <v>0</v>
      </c>
      <c r="L477" s="142">
        <v>0</v>
      </c>
      <c r="M477" s="142">
        <v>0</v>
      </c>
    </row>
    <row r="478" spans="1:13" x14ac:dyDescent="0.45">
      <c r="A478" s="142" t="s">
        <v>13214</v>
      </c>
      <c r="B478" s="142" t="s">
        <v>15109</v>
      </c>
      <c r="C478" s="142" t="s">
        <v>15860</v>
      </c>
      <c r="D478" s="142" t="s">
        <v>15861</v>
      </c>
      <c r="E478" s="142" t="s">
        <v>15849</v>
      </c>
      <c r="F478" s="142" t="s">
        <v>11314</v>
      </c>
      <c r="G478" s="142" t="s">
        <v>11313</v>
      </c>
      <c r="H478" s="142" t="s">
        <v>16328</v>
      </c>
      <c r="I478" s="142">
        <v>76</v>
      </c>
      <c r="J478" s="142">
        <v>76</v>
      </c>
      <c r="K478" s="142">
        <v>0</v>
      </c>
      <c r="L478" s="142">
        <v>0</v>
      </c>
      <c r="M478" s="142">
        <v>0</v>
      </c>
    </row>
    <row r="479" spans="1:13" x14ac:dyDescent="0.45">
      <c r="A479" s="142" t="s">
        <v>13215</v>
      </c>
      <c r="B479" s="142" t="s">
        <v>15334</v>
      </c>
      <c r="C479" s="142" t="s">
        <v>15847</v>
      </c>
      <c r="D479" s="142" t="s">
        <v>15848</v>
      </c>
      <c r="E479" s="142" t="s">
        <v>15849</v>
      </c>
      <c r="F479" s="142" t="s">
        <v>11314</v>
      </c>
      <c r="G479" s="142" t="s">
        <v>11313</v>
      </c>
      <c r="H479" s="142" t="s">
        <v>16329</v>
      </c>
      <c r="I479" s="142">
        <v>454</v>
      </c>
      <c r="J479" s="142">
        <v>353</v>
      </c>
      <c r="K479" s="142">
        <v>0</v>
      </c>
      <c r="L479" s="142">
        <v>12</v>
      </c>
      <c r="M479" s="142">
        <v>89</v>
      </c>
    </row>
    <row r="480" spans="1:13" x14ac:dyDescent="0.45">
      <c r="A480" s="142" t="s">
        <v>13003</v>
      </c>
      <c r="B480" s="142" t="s">
        <v>15245</v>
      </c>
      <c r="C480" s="142" t="s">
        <v>15847</v>
      </c>
      <c r="D480" s="142" t="s">
        <v>15848</v>
      </c>
      <c r="E480" s="142" t="s">
        <v>15849</v>
      </c>
      <c r="F480" s="142" t="s">
        <v>11314</v>
      </c>
      <c r="G480" s="142" t="s">
        <v>11313</v>
      </c>
      <c r="H480" s="142" t="s">
        <v>16330</v>
      </c>
      <c r="I480" s="142">
        <v>139</v>
      </c>
      <c r="J480" s="142">
        <v>0</v>
      </c>
      <c r="K480" s="142">
        <v>0</v>
      </c>
      <c r="L480" s="142">
        <v>139</v>
      </c>
      <c r="M480" s="142">
        <v>0</v>
      </c>
    </row>
    <row r="481" spans="1:13" x14ac:dyDescent="0.45">
      <c r="A481" s="142" t="s">
        <v>13004</v>
      </c>
      <c r="B481" s="142" t="s">
        <v>15492</v>
      </c>
      <c r="C481" s="142" t="s">
        <v>15847</v>
      </c>
      <c r="D481" s="142" t="s">
        <v>15848</v>
      </c>
      <c r="E481" s="142" t="s">
        <v>15849</v>
      </c>
      <c r="F481" s="142" t="s">
        <v>11314</v>
      </c>
      <c r="G481" s="142" t="s">
        <v>11313</v>
      </c>
      <c r="H481" s="142" t="s">
        <v>16331</v>
      </c>
      <c r="I481" s="142">
        <v>644</v>
      </c>
      <c r="J481" s="142">
        <v>461</v>
      </c>
      <c r="K481" s="142">
        <v>3</v>
      </c>
      <c r="L481" s="142">
        <v>68</v>
      </c>
      <c r="M481" s="142">
        <v>112</v>
      </c>
    </row>
    <row r="482" spans="1:13" x14ac:dyDescent="0.45">
      <c r="A482" s="142" t="s">
        <v>13216</v>
      </c>
      <c r="B482" s="142" t="s">
        <v>15353</v>
      </c>
      <c r="C482" s="142" t="s">
        <v>15860</v>
      </c>
      <c r="D482" s="142" t="s">
        <v>15861</v>
      </c>
      <c r="E482" s="142" t="s">
        <v>15849</v>
      </c>
      <c r="F482" s="142" t="s">
        <v>11314</v>
      </c>
      <c r="G482" s="142" t="s">
        <v>11313</v>
      </c>
      <c r="H482" s="142" t="s">
        <v>16332</v>
      </c>
      <c r="I482" s="142">
        <v>99</v>
      </c>
      <c r="J482" s="142">
        <v>48</v>
      </c>
      <c r="K482" s="142">
        <v>0</v>
      </c>
      <c r="L482" s="142">
        <v>51</v>
      </c>
      <c r="M482" s="142">
        <v>0</v>
      </c>
    </row>
    <row r="483" spans="1:13" x14ac:dyDescent="0.45">
      <c r="A483" s="142" t="s">
        <v>13005</v>
      </c>
      <c r="B483" s="142" t="s">
        <v>15475</v>
      </c>
      <c r="C483" s="142" t="s">
        <v>15847</v>
      </c>
      <c r="D483" s="142" t="s">
        <v>15848</v>
      </c>
      <c r="E483" s="142" t="s">
        <v>15849</v>
      </c>
      <c r="F483" s="142" t="s">
        <v>11314</v>
      </c>
      <c r="G483" s="142" t="s">
        <v>11313</v>
      </c>
      <c r="H483" s="142" t="s">
        <v>16333</v>
      </c>
      <c r="I483" s="142">
        <v>5044</v>
      </c>
      <c r="J483" s="142">
        <v>4039</v>
      </c>
      <c r="K483" s="142">
        <v>2</v>
      </c>
      <c r="L483" s="142">
        <v>490</v>
      </c>
      <c r="M483" s="142">
        <v>513</v>
      </c>
    </row>
    <row r="484" spans="1:13" x14ac:dyDescent="0.45">
      <c r="A484" s="142" t="s">
        <v>13029</v>
      </c>
      <c r="B484" s="142" t="s">
        <v>14665</v>
      </c>
      <c r="C484" s="142" t="s">
        <v>15847</v>
      </c>
      <c r="D484" s="142" t="s">
        <v>15848</v>
      </c>
      <c r="E484" s="142" t="s">
        <v>15849</v>
      </c>
      <c r="F484" s="142" t="s">
        <v>11314</v>
      </c>
      <c r="G484" s="142" t="s">
        <v>11313</v>
      </c>
      <c r="H484" s="142" t="s">
        <v>16334</v>
      </c>
      <c r="I484" s="142">
        <v>21</v>
      </c>
      <c r="J484" s="142">
        <v>0</v>
      </c>
      <c r="K484" s="142">
        <v>0</v>
      </c>
      <c r="L484" s="142">
        <v>0</v>
      </c>
      <c r="M484" s="142">
        <v>21</v>
      </c>
    </row>
    <row r="485" spans="1:13" x14ac:dyDescent="0.45">
      <c r="A485" s="142" t="s">
        <v>13007</v>
      </c>
      <c r="B485" s="142" t="s">
        <v>15262</v>
      </c>
      <c r="C485" s="142" t="s">
        <v>15847</v>
      </c>
      <c r="D485" s="142" t="s">
        <v>15848</v>
      </c>
      <c r="E485" s="142" t="s">
        <v>15849</v>
      </c>
      <c r="F485" s="142" t="s">
        <v>11314</v>
      </c>
      <c r="G485" s="142" t="s">
        <v>11313</v>
      </c>
      <c r="H485" s="142" t="s">
        <v>16335</v>
      </c>
      <c r="I485" s="142">
        <v>625</v>
      </c>
      <c r="J485" s="142">
        <v>240</v>
      </c>
      <c r="K485" s="142">
        <v>0</v>
      </c>
      <c r="L485" s="142">
        <v>240</v>
      </c>
      <c r="M485" s="142">
        <v>145</v>
      </c>
    </row>
    <row r="486" spans="1:13" x14ac:dyDescent="0.45">
      <c r="A486" s="142" t="s">
        <v>13217</v>
      </c>
      <c r="B486" s="142" t="s">
        <v>14578</v>
      </c>
      <c r="C486" s="142" t="s">
        <v>15860</v>
      </c>
      <c r="D486" s="142" t="s">
        <v>15861</v>
      </c>
      <c r="E486" s="142" t="s">
        <v>15849</v>
      </c>
      <c r="F486" s="142" t="s">
        <v>11314</v>
      </c>
      <c r="G486" s="142" t="s">
        <v>11313</v>
      </c>
      <c r="H486" s="142" t="s">
        <v>16336</v>
      </c>
      <c r="I486" s="142">
        <v>23</v>
      </c>
      <c r="J486" s="142">
        <v>23</v>
      </c>
      <c r="K486" s="142">
        <v>0</v>
      </c>
      <c r="L486" s="142">
        <v>0</v>
      </c>
      <c r="M486" s="142">
        <v>0</v>
      </c>
    </row>
    <row r="487" spans="1:13" x14ac:dyDescent="0.45">
      <c r="A487" s="142" t="s">
        <v>13103</v>
      </c>
      <c r="B487" s="142" t="s">
        <v>14623</v>
      </c>
      <c r="C487" s="142" t="s">
        <v>15847</v>
      </c>
      <c r="D487" s="142" t="s">
        <v>15848</v>
      </c>
      <c r="E487" s="142" t="s">
        <v>15849</v>
      </c>
      <c r="F487" s="142" t="s">
        <v>11314</v>
      </c>
      <c r="G487" s="142" t="s">
        <v>11313</v>
      </c>
      <c r="H487" s="142" t="s">
        <v>16337</v>
      </c>
      <c r="I487" s="142">
        <v>63</v>
      </c>
      <c r="J487" s="142">
        <v>63</v>
      </c>
      <c r="K487" s="142">
        <v>0</v>
      </c>
      <c r="L487" s="142">
        <v>0</v>
      </c>
      <c r="M487" s="142">
        <v>0</v>
      </c>
    </row>
    <row r="488" spans="1:13" x14ac:dyDescent="0.45">
      <c r="A488" s="142" t="s">
        <v>13008</v>
      </c>
      <c r="B488" s="142" t="s">
        <v>15411</v>
      </c>
      <c r="C488" s="142" t="s">
        <v>15847</v>
      </c>
      <c r="D488" s="142" t="s">
        <v>15848</v>
      </c>
      <c r="E488" s="142" t="s">
        <v>15849</v>
      </c>
      <c r="F488" s="142" t="s">
        <v>11314</v>
      </c>
      <c r="G488" s="142" t="s">
        <v>11313</v>
      </c>
      <c r="H488" s="142" t="s">
        <v>16338</v>
      </c>
      <c r="I488" s="142">
        <v>327</v>
      </c>
      <c r="J488" s="142">
        <v>0</v>
      </c>
      <c r="K488" s="142">
        <v>0</v>
      </c>
      <c r="L488" s="142">
        <v>0</v>
      </c>
      <c r="M488" s="142">
        <v>327</v>
      </c>
    </row>
    <row r="489" spans="1:13" x14ac:dyDescent="0.45">
      <c r="A489" s="142" t="s">
        <v>13077</v>
      </c>
      <c r="B489" s="142" t="s">
        <v>15407</v>
      </c>
      <c r="C489" s="142" t="s">
        <v>15847</v>
      </c>
      <c r="D489" s="142" t="s">
        <v>15848</v>
      </c>
      <c r="E489" s="142" t="s">
        <v>15849</v>
      </c>
      <c r="F489" s="142" t="s">
        <v>11314</v>
      </c>
      <c r="G489" s="142" t="s">
        <v>11313</v>
      </c>
      <c r="H489" s="142" t="s">
        <v>16339</v>
      </c>
      <c r="I489" s="142">
        <v>3965</v>
      </c>
      <c r="J489" s="142">
        <v>3711</v>
      </c>
      <c r="K489" s="142">
        <v>0</v>
      </c>
      <c r="L489" s="142">
        <v>250</v>
      </c>
      <c r="M489" s="142">
        <v>4</v>
      </c>
    </row>
    <row r="490" spans="1:13" x14ac:dyDescent="0.45">
      <c r="A490" s="142" t="s">
        <v>13055</v>
      </c>
      <c r="B490" s="142" t="s">
        <v>14595</v>
      </c>
      <c r="C490" s="142" t="s">
        <v>15847</v>
      </c>
      <c r="D490" s="142" t="s">
        <v>15848</v>
      </c>
      <c r="E490" s="142" t="s">
        <v>15849</v>
      </c>
      <c r="F490" s="142" t="s">
        <v>11314</v>
      </c>
      <c r="G490" s="142" t="s">
        <v>11313</v>
      </c>
      <c r="H490" s="142" t="s">
        <v>16340</v>
      </c>
      <c r="I490" s="142">
        <v>11</v>
      </c>
      <c r="J490" s="142">
        <v>7</v>
      </c>
      <c r="K490" s="142">
        <v>0</v>
      </c>
      <c r="L490" s="142">
        <v>0</v>
      </c>
      <c r="M490" s="142">
        <v>4</v>
      </c>
    </row>
    <row r="491" spans="1:13" x14ac:dyDescent="0.45">
      <c r="A491" s="142" t="s">
        <v>13104</v>
      </c>
      <c r="B491" s="142" t="s">
        <v>14622</v>
      </c>
      <c r="C491" s="142" t="s">
        <v>15847</v>
      </c>
      <c r="D491" s="142" t="s">
        <v>15848</v>
      </c>
      <c r="E491" s="142" t="s">
        <v>15849</v>
      </c>
      <c r="F491" s="142" t="s">
        <v>11314</v>
      </c>
      <c r="G491" s="142" t="s">
        <v>11313</v>
      </c>
      <c r="H491" s="142" t="s">
        <v>16341</v>
      </c>
      <c r="I491" s="142">
        <v>2859</v>
      </c>
      <c r="J491" s="142">
        <v>2624</v>
      </c>
      <c r="K491" s="142">
        <v>0</v>
      </c>
      <c r="L491" s="142">
        <v>0</v>
      </c>
      <c r="M491" s="142">
        <v>235</v>
      </c>
    </row>
    <row r="492" spans="1:13" x14ac:dyDescent="0.45">
      <c r="A492" s="142" t="s">
        <v>13218</v>
      </c>
      <c r="B492" s="142" t="s">
        <v>15316</v>
      </c>
      <c r="C492" s="142" t="s">
        <v>15860</v>
      </c>
      <c r="D492" s="142" t="s">
        <v>15861</v>
      </c>
      <c r="E492" s="142" t="s">
        <v>15849</v>
      </c>
      <c r="F492" s="142" t="s">
        <v>11314</v>
      </c>
      <c r="G492" s="142" t="s">
        <v>11313</v>
      </c>
      <c r="H492" s="142" t="s">
        <v>16342</v>
      </c>
      <c r="I492" s="142">
        <v>143</v>
      </c>
      <c r="J492" s="142">
        <v>138</v>
      </c>
      <c r="K492" s="142">
        <v>0</v>
      </c>
      <c r="L492" s="142">
        <v>5</v>
      </c>
      <c r="M492" s="142">
        <v>0</v>
      </c>
    </row>
    <row r="493" spans="1:13" x14ac:dyDescent="0.45">
      <c r="A493" s="142" t="s">
        <v>13219</v>
      </c>
      <c r="B493" s="142" t="s">
        <v>15095</v>
      </c>
      <c r="C493" s="142" t="s">
        <v>15860</v>
      </c>
      <c r="D493" s="142" t="s">
        <v>15861</v>
      </c>
      <c r="E493" s="142" t="s">
        <v>15849</v>
      </c>
      <c r="F493" s="142" t="s">
        <v>11314</v>
      </c>
      <c r="G493" s="142" t="s">
        <v>11313</v>
      </c>
      <c r="H493" s="142" t="s">
        <v>16343</v>
      </c>
      <c r="I493" s="142">
        <v>24</v>
      </c>
      <c r="J493" s="142">
        <v>24</v>
      </c>
      <c r="K493" s="142">
        <v>0</v>
      </c>
      <c r="L493" s="142">
        <v>0</v>
      </c>
      <c r="M493" s="142">
        <v>0</v>
      </c>
    </row>
    <row r="494" spans="1:13" x14ac:dyDescent="0.45">
      <c r="A494" s="142" t="s">
        <v>13033</v>
      </c>
      <c r="B494" s="142" t="s">
        <v>15276</v>
      </c>
      <c r="C494" s="142" t="s">
        <v>15847</v>
      </c>
      <c r="D494" s="142" t="s">
        <v>15848</v>
      </c>
      <c r="E494" s="142" t="s">
        <v>15849</v>
      </c>
      <c r="F494" s="142" t="s">
        <v>11314</v>
      </c>
      <c r="G494" s="142" t="s">
        <v>11313</v>
      </c>
      <c r="H494" s="142" t="s">
        <v>16344</v>
      </c>
      <c r="I494" s="142">
        <v>1</v>
      </c>
      <c r="J494" s="142">
        <v>1</v>
      </c>
      <c r="K494" s="142">
        <v>0</v>
      </c>
      <c r="L494" s="142">
        <v>0</v>
      </c>
      <c r="M494" s="142">
        <v>0</v>
      </c>
    </row>
    <row r="495" spans="1:13" x14ac:dyDescent="0.45">
      <c r="A495" s="142" t="s">
        <v>13037</v>
      </c>
      <c r="B495" s="142" t="s">
        <v>14519</v>
      </c>
      <c r="C495" s="142" t="s">
        <v>15847</v>
      </c>
      <c r="D495" s="142" t="s">
        <v>15848</v>
      </c>
      <c r="E495" s="142" t="s">
        <v>15849</v>
      </c>
      <c r="F495" s="142" t="s">
        <v>11314</v>
      </c>
      <c r="G495" s="142" t="s">
        <v>11313</v>
      </c>
      <c r="H495" s="142" t="s">
        <v>16345</v>
      </c>
      <c r="I495" s="142">
        <v>10</v>
      </c>
      <c r="J495" s="142">
        <v>0</v>
      </c>
      <c r="K495" s="142">
        <v>0</v>
      </c>
      <c r="L495" s="142">
        <v>10</v>
      </c>
      <c r="M495" s="142">
        <v>0</v>
      </c>
    </row>
    <row r="496" spans="1:13" x14ac:dyDescent="0.45">
      <c r="A496" s="142" t="s">
        <v>13009</v>
      </c>
      <c r="B496" s="142" t="s">
        <v>15256</v>
      </c>
      <c r="C496" s="142" t="s">
        <v>15847</v>
      </c>
      <c r="D496" s="142" t="s">
        <v>15848</v>
      </c>
      <c r="E496" s="142" t="s">
        <v>15849</v>
      </c>
      <c r="F496" s="142" t="s">
        <v>11314</v>
      </c>
      <c r="G496" s="142" t="s">
        <v>11313</v>
      </c>
      <c r="H496" s="142" t="s">
        <v>16346</v>
      </c>
      <c r="I496" s="142">
        <v>1</v>
      </c>
      <c r="J496" s="142">
        <v>0</v>
      </c>
      <c r="K496" s="142">
        <v>0</v>
      </c>
      <c r="L496" s="142">
        <v>0</v>
      </c>
      <c r="M496" s="142">
        <v>1</v>
      </c>
    </row>
    <row r="497" spans="1:13" x14ac:dyDescent="0.45">
      <c r="A497" s="142" t="s">
        <v>13011</v>
      </c>
      <c r="B497" s="142" t="s">
        <v>14695</v>
      </c>
      <c r="C497" s="142" t="s">
        <v>15847</v>
      </c>
      <c r="D497" s="142" t="s">
        <v>15848</v>
      </c>
      <c r="E497" s="142" t="s">
        <v>15849</v>
      </c>
      <c r="F497" s="142" t="s">
        <v>11314</v>
      </c>
      <c r="G497" s="142" t="s">
        <v>11313</v>
      </c>
      <c r="H497" s="142" t="s">
        <v>16347</v>
      </c>
      <c r="I497" s="142">
        <v>20</v>
      </c>
      <c r="J497" s="142">
        <v>5</v>
      </c>
      <c r="K497" s="142">
        <v>0</v>
      </c>
      <c r="L497" s="142">
        <v>6</v>
      </c>
      <c r="M497" s="142">
        <v>9</v>
      </c>
    </row>
    <row r="498" spans="1:13" x14ac:dyDescent="0.45">
      <c r="A498" s="142" t="s">
        <v>13220</v>
      </c>
      <c r="B498" s="142" t="s">
        <v>15505</v>
      </c>
      <c r="C498" s="142" t="s">
        <v>15860</v>
      </c>
      <c r="D498" s="142" t="s">
        <v>15861</v>
      </c>
      <c r="E498" s="142" t="s">
        <v>15849</v>
      </c>
      <c r="F498" s="142" t="s">
        <v>11314</v>
      </c>
      <c r="G498" s="142" t="s">
        <v>11313</v>
      </c>
      <c r="H498" s="142" t="s">
        <v>16348</v>
      </c>
      <c r="I498" s="142">
        <v>22</v>
      </c>
      <c r="J498" s="142">
        <v>22</v>
      </c>
      <c r="K498" s="142">
        <v>0</v>
      </c>
      <c r="L498" s="142">
        <v>0</v>
      </c>
      <c r="M498" s="142">
        <v>0</v>
      </c>
    </row>
    <row r="499" spans="1:13" x14ac:dyDescent="0.45">
      <c r="A499" s="142" t="s">
        <v>13042</v>
      </c>
      <c r="B499" s="142" t="s">
        <v>15489</v>
      </c>
      <c r="C499" s="142" t="s">
        <v>15847</v>
      </c>
      <c r="D499" s="142" t="s">
        <v>15848</v>
      </c>
      <c r="E499" s="142" t="s">
        <v>15849</v>
      </c>
      <c r="F499" s="142" t="s">
        <v>11314</v>
      </c>
      <c r="G499" s="142" t="s">
        <v>11313</v>
      </c>
      <c r="H499" s="142" t="s">
        <v>16349</v>
      </c>
      <c r="I499" s="142">
        <v>137</v>
      </c>
      <c r="J499" s="142">
        <v>136</v>
      </c>
      <c r="K499" s="142">
        <v>0</v>
      </c>
      <c r="L499" s="142">
        <v>0</v>
      </c>
      <c r="M499" s="142">
        <v>1</v>
      </c>
    </row>
    <row r="500" spans="1:13" x14ac:dyDescent="0.45">
      <c r="A500" s="142" t="s">
        <v>13221</v>
      </c>
      <c r="B500" s="142" t="s">
        <v>15110</v>
      </c>
      <c r="C500" s="142" t="s">
        <v>15860</v>
      </c>
      <c r="D500" s="142" t="s">
        <v>15861</v>
      </c>
      <c r="E500" s="142" t="s">
        <v>15849</v>
      </c>
      <c r="F500" s="142" t="s">
        <v>11314</v>
      </c>
      <c r="G500" s="142" t="s">
        <v>11313</v>
      </c>
      <c r="H500" s="142" t="s">
        <v>16350</v>
      </c>
      <c r="I500" s="142">
        <v>32</v>
      </c>
      <c r="J500" s="142">
        <v>32</v>
      </c>
      <c r="K500" s="142">
        <v>0</v>
      </c>
      <c r="L500" s="142">
        <v>0</v>
      </c>
      <c r="M500" s="142">
        <v>0</v>
      </c>
    </row>
    <row r="501" spans="1:13" x14ac:dyDescent="0.45">
      <c r="A501" s="142" t="s">
        <v>13222</v>
      </c>
      <c r="B501" s="142" t="s">
        <v>14449</v>
      </c>
      <c r="C501" s="142" t="s">
        <v>15860</v>
      </c>
      <c r="D501" s="142" t="s">
        <v>15861</v>
      </c>
      <c r="E501" s="142" t="s">
        <v>15849</v>
      </c>
      <c r="F501" s="142" t="s">
        <v>11314</v>
      </c>
      <c r="G501" s="142" t="s">
        <v>11313</v>
      </c>
      <c r="H501" s="142" t="s">
        <v>16351</v>
      </c>
      <c r="I501" s="142">
        <v>11</v>
      </c>
      <c r="J501" s="142">
        <v>0</v>
      </c>
      <c r="K501" s="142">
        <v>0</v>
      </c>
      <c r="L501" s="142">
        <v>11</v>
      </c>
      <c r="M501" s="142">
        <v>0</v>
      </c>
    </row>
    <row r="502" spans="1:13" x14ac:dyDescent="0.45">
      <c r="A502" s="142" t="s">
        <v>13062</v>
      </c>
      <c r="B502" s="142" t="s">
        <v>15259</v>
      </c>
      <c r="C502" s="142" t="s">
        <v>15847</v>
      </c>
      <c r="D502" s="142" t="s">
        <v>15848</v>
      </c>
      <c r="E502" s="142" t="s">
        <v>15849</v>
      </c>
      <c r="F502" s="142" t="s">
        <v>11314</v>
      </c>
      <c r="G502" s="142" t="s">
        <v>11313</v>
      </c>
      <c r="H502" s="142" t="s">
        <v>16352</v>
      </c>
      <c r="I502" s="142">
        <v>1</v>
      </c>
      <c r="J502" s="142">
        <v>0</v>
      </c>
      <c r="K502" s="142">
        <v>0</v>
      </c>
      <c r="L502" s="142">
        <v>0</v>
      </c>
      <c r="M502" s="142">
        <v>1</v>
      </c>
    </row>
    <row r="503" spans="1:13" x14ac:dyDescent="0.45">
      <c r="A503" s="142" t="s">
        <v>13223</v>
      </c>
      <c r="B503" s="142" t="s">
        <v>15018</v>
      </c>
      <c r="C503" s="142" t="s">
        <v>15860</v>
      </c>
      <c r="D503" s="142" t="s">
        <v>15861</v>
      </c>
      <c r="E503" s="142" t="s">
        <v>15849</v>
      </c>
      <c r="F503" s="142" t="s">
        <v>11314</v>
      </c>
      <c r="G503" s="142" t="s">
        <v>11313</v>
      </c>
      <c r="H503" s="142" t="s">
        <v>16353</v>
      </c>
      <c r="I503" s="142">
        <v>83</v>
      </c>
      <c r="J503" s="142">
        <v>83</v>
      </c>
      <c r="K503" s="142">
        <v>0</v>
      </c>
      <c r="L503" s="142">
        <v>0</v>
      </c>
      <c r="M503" s="142">
        <v>0</v>
      </c>
    </row>
    <row r="504" spans="1:13" x14ac:dyDescent="0.45">
      <c r="A504" s="142" t="s">
        <v>13225</v>
      </c>
      <c r="B504" s="142" t="s">
        <v>15054</v>
      </c>
      <c r="C504" s="142" t="s">
        <v>15860</v>
      </c>
      <c r="D504" s="142" t="s">
        <v>15861</v>
      </c>
      <c r="E504" s="142" t="s">
        <v>15849</v>
      </c>
      <c r="F504" s="142" t="s">
        <v>10644</v>
      </c>
      <c r="G504" s="142" t="s">
        <v>10643</v>
      </c>
      <c r="H504" s="142" t="s">
        <v>16354</v>
      </c>
      <c r="I504" s="142">
        <v>49</v>
      </c>
      <c r="J504" s="142">
        <v>49</v>
      </c>
      <c r="K504" s="142">
        <v>0</v>
      </c>
      <c r="L504" s="142">
        <v>0</v>
      </c>
      <c r="M504" s="142">
        <v>0</v>
      </c>
    </row>
    <row r="505" spans="1:13" x14ac:dyDescent="0.45">
      <c r="A505" s="142" t="s">
        <v>13020</v>
      </c>
      <c r="B505" s="142" t="s">
        <v>15523</v>
      </c>
      <c r="C505" s="142" t="s">
        <v>15860</v>
      </c>
      <c r="D505" s="142" t="s">
        <v>15861</v>
      </c>
      <c r="E505" s="142" t="s">
        <v>15849</v>
      </c>
      <c r="F505" s="142" t="s">
        <v>10644</v>
      </c>
      <c r="G505" s="142" t="s">
        <v>10643</v>
      </c>
      <c r="H505" s="142" t="s">
        <v>16355</v>
      </c>
      <c r="I505" s="142">
        <v>246</v>
      </c>
      <c r="J505" s="142">
        <v>0</v>
      </c>
      <c r="K505" s="142">
        <v>84</v>
      </c>
      <c r="L505" s="142">
        <v>162</v>
      </c>
      <c r="M505" s="142">
        <v>0</v>
      </c>
    </row>
    <row r="506" spans="1:13" x14ac:dyDescent="0.45">
      <c r="A506" s="142" t="s">
        <v>13021</v>
      </c>
      <c r="B506" s="142" t="s">
        <v>15501</v>
      </c>
      <c r="C506" s="142" t="s">
        <v>15847</v>
      </c>
      <c r="D506" s="142" t="s">
        <v>15848</v>
      </c>
      <c r="E506" s="142" t="s">
        <v>15849</v>
      </c>
      <c r="F506" s="142" t="s">
        <v>10644</v>
      </c>
      <c r="G506" s="142" t="s">
        <v>10643</v>
      </c>
      <c r="H506" s="142" t="s">
        <v>16356</v>
      </c>
      <c r="I506" s="142">
        <v>37</v>
      </c>
      <c r="J506" s="142">
        <v>0</v>
      </c>
      <c r="K506" s="142">
        <v>0</v>
      </c>
      <c r="L506" s="142">
        <v>22</v>
      </c>
      <c r="M506" s="142">
        <v>15</v>
      </c>
    </row>
    <row r="507" spans="1:13" x14ac:dyDescent="0.45">
      <c r="A507" s="142" t="s">
        <v>13022</v>
      </c>
      <c r="B507" s="142" t="s">
        <v>14634</v>
      </c>
      <c r="C507" s="142" t="s">
        <v>15847</v>
      </c>
      <c r="D507" s="142" t="s">
        <v>15848</v>
      </c>
      <c r="E507" s="142" t="s">
        <v>15849</v>
      </c>
      <c r="F507" s="142" t="s">
        <v>10644</v>
      </c>
      <c r="G507" s="142" t="s">
        <v>10643</v>
      </c>
      <c r="H507" s="142" t="s">
        <v>16357</v>
      </c>
      <c r="I507" s="142">
        <v>1406</v>
      </c>
      <c r="J507" s="142">
        <v>1280</v>
      </c>
      <c r="K507" s="142">
        <v>0</v>
      </c>
      <c r="L507" s="142">
        <v>59</v>
      </c>
      <c r="M507" s="142">
        <v>67</v>
      </c>
    </row>
    <row r="508" spans="1:13" x14ac:dyDescent="0.45">
      <c r="A508" s="142" t="s">
        <v>13023</v>
      </c>
      <c r="B508" s="142" t="s">
        <v>15571</v>
      </c>
      <c r="C508" s="142" t="s">
        <v>15847</v>
      </c>
      <c r="D508" s="142" t="s">
        <v>15848</v>
      </c>
      <c r="E508" s="142" t="s">
        <v>15849</v>
      </c>
      <c r="F508" s="142" t="s">
        <v>10644</v>
      </c>
      <c r="G508" s="142" t="s">
        <v>10643</v>
      </c>
      <c r="H508" s="142" t="s">
        <v>16358</v>
      </c>
      <c r="I508" s="142">
        <v>1005</v>
      </c>
      <c r="J508" s="142">
        <v>0</v>
      </c>
      <c r="K508" s="142">
        <v>0</v>
      </c>
      <c r="L508" s="142">
        <v>898</v>
      </c>
      <c r="M508" s="142">
        <v>107</v>
      </c>
    </row>
    <row r="509" spans="1:13" x14ac:dyDescent="0.45">
      <c r="A509" s="142" t="s">
        <v>13113</v>
      </c>
      <c r="B509" s="142" t="s">
        <v>14503</v>
      </c>
      <c r="C509" s="142" t="s">
        <v>15860</v>
      </c>
      <c r="D509" s="142" t="s">
        <v>15861</v>
      </c>
      <c r="E509" s="142" t="s">
        <v>15849</v>
      </c>
      <c r="F509" s="142" t="s">
        <v>10644</v>
      </c>
      <c r="G509" s="142" t="s">
        <v>10643</v>
      </c>
      <c r="H509" s="142" t="s">
        <v>16359</v>
      </c>
      <c r="I509" s="142">
        <v>64</v>
      </c>
      <c r="J509" s="142">
        <v>0</v>
      </c>
      <c r="K509" s="142">
        <v>0</v>
      </c>
      <c r="L509" s="142">
        <v>64</v>
      </c>
      <c r="M509" s="142">
        <v>0</v>
      </c>
    </row>
    <row r="510" spans="1:13" x14ac:dyDescent="0.45">
      <c r="A510" s="142" t="s">
        <v>13226</v>
      </c>
      <c r="B510" s="142" t="s">
        <v>14495</v>
      </c>
      <c r="C510" s="142" t="s">
        <v>15860</v>
      </c>
      <c r="D510" s="142" t="s">
        <v>15861</v>
      </c>
      <c r="E510" s="142" t="s">
        <v>15849</v>
      </c>
      <c r="F510" s="142" t="s">
        <v>10644</v>
      </c>
      <c r="G510" s="142" t="s">
        <v>10643</v>
      </c>
      <c r="H510" s="142" t="s">
        <v>16360</v>
      </c>
      <c r="I510" s="142">
        <v>277</v>
      </c>
      <c r="J510" s="142">
        <v>0</v>
      </c>
      <c r="K510" s="142">
        <v>277</v>
      </c>
      <c r="L510" s="142">
        <v>0</v>
      </c>
      <c r="M510" s="142">
        <v>0</v>
      </c>
    </row>
    <row r="511" spans="1:13" x14ac:dyDescent="0.45">
      <c r="A511" s="142" t="s">
        <v>13082</v>
      </c>
      <c r="B511" s="142" t="s">
        <v>14478</v>
      </c>
      <c r="C511" s="142" t="s">
        <v>15860</v>
      </c>
      <c r="D511" s="142" t="s">
        <v>15861</v>
      </c>
      <c r="E511" s="142" t="s">
        <v>15849</v>
      </c>
      <c r="F511" s="142" t="s">
        <v>10644</v>
      </c>
      <c r="G511" s="142" t="s">
        <v>10643</v>
      </c>
      <c r="H511" s="142" t="s">
        <v>16361</v>
      </c>
      <c r="I511" s="142">
        <v>29</v>
      </c>
      <c r="J511" s="142">
        <v>0</v>
      </c>
      <c r="K511" s="142">
        <v>0</v>
      </c>
      <c r="L511" s="142">
        <v>29</v>
      </c>
      <c r="M511" s="142">
        <v>0</v>
      </c>
    </row>
    <row r="512" spans="1:13" x14ac:dyDescent="0.45">
      <c r="A512" s="142" t="s">
        <v>13227</v>
      </c>
      <c r="B512" s="142" t="s">
        <v>14962</v>
      </c>
      <c r="C512" s="142" t="s">
        <v>15860</v>
      </c>
      <c r="D512" s="142" t="s">
        <v>15861</v>
      </c>
      <c r="E512" s="142" t="s">
        <v>15849</v>
      </c>
      <c r="F512" s="142" t="s">
        <v>10644</v>
      </c>
      <c r="G512" s="142" t="s">
        <v>10643</v>
      </c>
      <c r="H512" s="142" t="s">
        <v>16362</v>
      </c>
      <c r="I512" s="142">
        <v>77</v>
      </c>
      <c r="J512" s="142">
        <v>77</v>
      </c>
      <c r="K512" s="142">
        <v>0</v>
      </c>
      <c r="L512" s="142">
        <v>0</v>
      </c>
      <c r="M512" s="142">
        <v>0</v>
      </c>
    </row>
    <row r="513" spans="1:13" x14ac:dyDescent="0.45">
      <c r="A513" s="142" t="s">
        <v>13228</v>
      </c>
      <c r="B513" s="142" t="s">
        <v>15324</v>
      </c>
      <c r="C513" s="142" t="s">
        <v>15860</v>
      </c>
      <c r="D513" s="142" t="s">
        <v>15861</v>
      </c>
      <c r="E513" s="142" t="s">
        <v>15849</v>
      </c>
      <c r="F513" s="142" t="s">
        <v>10644</v>
      </c>
      <c r="G513" s="142" t="s">
        <v>10643</v>
      </c>
      <c r="H513" s="142" t="s">
        <v>16363</v>
      </c>
      <c r="I513" s="142">
        <v>217</v>
      </c>
      <c r="J513" s="142">
        <v>217</v>
      </c>
      <c r="K513" s="142">
        <v>0</v>
      </c>
      <c r="L513" s="142">
        <v>0</v>
      </c>
      <c r="M513" s="142">
        <v>0</v>
      </c>
    </row>
    <row r="514" spans="1:13" x14ac:dyDescent="0.45">
      <c r="A514" s="142" t="s">
        <v>13229</v>
      </c>
      <c r="B514" s="142" t="s">
        <v>15375</v>
      </c>
      <c r="C514" s="142" t="s">
        <v>15860</v>
      </c>
      <c r="D514" s="142" t="s">
        <v>15861</v>
      </c>
      <c r="E514" s="142" t="s">
        <v>15849</v>
      </c>
      <c r="F514" s="142" t="s">
        <v>10644</v>
      </c>
      <c r="G514" s="142" t="s">
        <v>10643</v>
      </c>
      <c r="H514" s="142" t="s">
        <v>16364</v>
      </c>
      <c r="I514" s="142">
        <v>42</v>
      </c>
      <c r="J514" s="142">
        <v>8</v>
      </c>
      <c r="K514" s="142">
        <v>0</v>
      </c>
      <c r="L514" s="142">
        <v>34</v>
      </c>
      <c r="M514" s="142">
        <v>0</v>
      </c>
    </row>
    <row r="515" spans="1:13" x14ac:dyDescent="0.45">
      <c r="A515" s="142" t="s">
        <v>13114</v>
      </c>
      <c r="B515" s="142" t="s">
        <v>15328</v>
      </c>
      <c r="C515" s="142" t="s">
        <v>15860</v>
      </c>
      <c r="D515" s="142" t="s">
        <v>15861</v>
      </c>
      <c r="E515" s="142" t="s">
        <v>15849</v>
      </c>
      <c r="F515" s="142" t="s">
        <v>10644</v>
      </c>
      <c r="G515" s="142" t="s">
        <v>10643</v>
      </c>
      <c r="H515" s="142" t="s">
        <v>16365</v>
      </c>
      <c r="I515" s="142">
        <v>11</v>
      </c>
      <c r="J515" s="142">
        <v>0</v>
      </c>
      <c r="K515" s="142">
        <v>0</v>
      </c>
      <c r="L515" s="142">
        <v>11</v>
      </c>
      <c r="M515" s="142">
        <v>0</v>
      </c>
    </row>
    <row r="516" spans="1:13" x14ac:dyDescent="0.45">
      <c r="A516" s="142" t="s">
        <v>13230</v>
      </c>
      <c r="B516" s="142" t="s">
        <v>15339</v>
      </c>
      <c r="C516" s="142" t="s">
        <v>15847</v>
      </c>
      <c r="D516" s="142" t="s">
        <v>15848</v>
      </c>
      <c r="E516" s="142" t="s">
        <v>15849</v>
      </c>
      <c r="F516" s="142" t="s">
        <v>10644</v>
      </c>
      <c r="G516" s="142" t="s">
        <v>10643</v>
      </c>
      <c r="H516" s="142" t="s">
        <v>16366</v>
      </c>
      <c r="I516" s="142">
        <v>86</v>
      </c>
      <c r="J516" s="142">
        <v>55</v>
      </c>
      <c r="K516" s="142">
        <v>0</v>
      </c>
      <c r="L516" s="142">
        <v>0</v>
      </c>
      <c r="M516" s="142">
        <v>31</v>
      </c>
    </row>
    <row r="517" spans="1:13" x14ac:dyDescent="0.45">
      <c r="A517" s="142" t="s">
        <v>13231</v>
      </c>
      <c r="B517" s="142" t="s">
        <v>15050</v>
      </c>
      <c r="C517" s="142" t="s">
        <v>15860</v>
      </c>
      <c r="D517" s="142" t="s">
        <v>15861</v>
      </c>
      <c r="E517" s="142" t="s">
        <v>15849</v>
      </c>
      <c r="F517" s="142" t="s">
        <v>10644</v>
      </c>
      <c r="G517" s="142" t="s">
        <v>10643</v>
      </c>
      <c r="H517" s="142" t="s">
        <v>16367</v>
      </c>
      <c r="I517" s="142">
        <v>34</v>
      </c>
      <c r="J517" s="142">
        <v>34</v>
      </c>
      <c r="K517" s="142">
        <v>0</v>
      </c>
      <c r="L517" s="142">
        <v>0</v>
      </c>
      <c r="M517" s="142">
        <v>0</v>
      </c>
    </row>
    <row r="518" spans="1:13" x14ac:dyDescent="0.45">
      <c r="A518" s="142" t="s">
        <v>13232</v>
      </c>
      <c r="B518" s="142" t="s">
        <v>15283</v>
      </c>
      <c r="C518" s="142" t="s">
        <v>15847</v>
      </c>
      <c r="D518" s="142" t="s">
        <v>15848</v>
      </c>
      <c r="E518" s="142" t="s">
        <v>15849</v>
      </c>
      <c r="F518" s="142" t="s">
        <v>10644</v>
      </c>
      <c r="G518" s="142" t="s">
        <v>10643</v>
      </c>
      <c r="H518" s="142" t="s">
        <v>16368</v>
      </c>
      <c r="I518" s="142">
        <v>2619</v>
      </c>
      <c r="J518" s="142">
        <v>2328</v>
      </c>
      <c r="K518" s="142">
        <v>0</v>
      </c>
      <c r="L518" s="142">
        <v>212</v>
      </c>
      <c r="M518" s="142">
        <v>79</v>
      </c>
    </row>
    <row r="519" spans="1:13" x14ac:dyDescent="0.45">
      <c r="A519" s="142" t="s">
        <v>13233</v>
      </c>
      <c r="B519" s="142" t="s">
        <v>14942</v>
      </c>
      <c r="C519" s="142" t="s">
        <v>15860</v>
      </c>
      <c r="D519" s="142" t="s">
        <v>15861</v>
      </c>
      <c r="E519" s="142" t="s">
        <v>15849</v>
      </c>
      <c r="F519" s="142" t="s">
        <v>10644</v>
      </c>
      <c r="G519" s="142" t="s">
        <v>10643</v>
      </c>
      <c r="H519" s="142" t="s">
        <v>16369</v>
      </c>
      <c r="I519" s="142">
        <v>313</v>
      </c>
      <c r="J519" s="142">
        <v>313</v>
      </c>
      <c r="K519" s="142">
        <v>0</v>
      </c>
      <c r="L519" s="142">
        <v>0</v>
      </c>
      <c r="M519" s="142">
        <v>0</v>
      </c>
    </row>
    <row r="520" spans="1:13" x14ac:dyDescent="0.45">
      <c r="A520" s="142" t="s">
        <v>13234</v>
      </c>
      <c r="B520" s="142" t="s">
        <v>15425</v>
      </c>
      <c r="C520" s="142" t="s">
        <v>15860</v>
      </c>
      <c r="D520" s="142" t="s">
        <v>15861</v>
      </c>
      <c r="E520" s="142" t="s">
        <v>15849</v>
      </c>
      <c r="F520" s="142" t="s">
        <v>10644</v>
      </c>
      <c r="G520" s="142" t="s">
        <v>10643</v>
      </c>
      <c r="H520" s="142" t="s">
        <v>16370</v>
      </c>
      <c r="I520" s="142">
        <v>142</v>
      </c>
      <c r="J520" s="142">
        <v>0</v>
      </c>
      <c r="K520" s="142">
        <v>0</v>
      </c>
      <c r="L520" s="142">
        <v>142</v>
      </c>
      <c r="M520" s="142">
        <v>0</v>
      </c>
    </row>
    <row r="521" spans="1:13" x14ac:dyDescent="0.45">
      <c r="A521" s="142" t="s">
        <v>13235</v>
      </c>
      <c r="B521" s="142" t="s">
        <v>14573</v>
      </c>
      <c r="C521" s="142" t="s">
        <v>15847</v>
      </c>
      <c r="D521" s="142" t="s">
        <v>15848</v>
      </c>
      <c r="E521" s="142" t="s">
        <v>15849</v>
      </c>
      <c r="F521" s="142" t="s">
        <v>10644</v>
      </c>
      <c r="G521" s="142" t="s">
        <v>10643</v>
      </c>
      <c r="H521" s="142" t="s">
        <v>16371</v>
      </c>
      <c r="I521" s="142">
        <v>2269</v>
      </c>
      <c r="J521" s="142">
        <v>1883</v>
      </c>
      <c r="K521" s="142">
        <v>0</v>
      </c>
      <c r="L521" s="142">
        <v>45</v>
      </c>
      <c r="M521" s="142">
        <v>341</v>
      </c>
    </row>
    <row r="522" spans="1:13" x14ac:dyDescent="0.45">
      <c r="A522" s="142" t="s">
        <v>13236</v>
      </c>
      <c r="B522" s="142" t="s">
        <v>15601</v>
      </c>
      <c r="C522" s="142" t="s">
        <v>15847</v>
      </c>
      <c r="D522" s="142" t="s">
        <v>15848</v>
      </c>
      <c r="E522" s="142" t="s">
        <v>15849</v>
      </c>
      <c r="F522" s="142" t="s">
        <v>10644</v>
      </c>
      <c r="G522" s="142" t="s">
        <v>10643</v>
      </c>
      <c r="H522" s="142" t="s">
        <v>16372</v>
      </c>
      <c r="I522" s="142">
        <v>14</v>
      </c>
      <c r="J522" s="142">
        <v>9</v>
      </c>
      <c r="K522" s="142">
        <v>0</v>
      </c>
      <c r="L522" s="142">
        <v>0</v>
      </c>
      <c r="M522" s="142">
        <v>5</v>
      </c>
    </row>
    <row r="523" spans="1:13" x14ac:dyDescent="0.45">
      <c r="A523" s="142" t="s">
        <v>13237</v>
      </c>
      <c r="B523" s="142" t="s">
        <v>14643</v>
      </c>
      <c r="C523" s="142" t="s">
        <v>15847</v>
      </c>
      <c r="D523" s="142" t="s">
        <v>15848</v>
      </c>
      <c r="E523" s="142" t="s">
        <v>15849</v>
      </c>
      <c r="F523" s="142" t="s">
        <v>10644</v>
      </c>
      <c r="G523" s="142" t="s">
        <v>10643</v>
      </c>
      <c r="H523" s="142" t="s">
        <v>16373</v>
      </c>
      <c r="I523" s="142">
        <v>5720</v>
      </c>
      <c r="J523" s="142">
        <v>5101</v>
      </c>
      <c r="K523" s="142">
        <v>0</v>
      </c>
      <c r="L523" s="142">
        <v>214</v>
      </c>
      <c r="M523" s="142">
        <v>405</v>
      </c>
    </row>
    <row r="524" spans="1:13" x14ac:dyDescent="0.45">
      <c r="A524" s="142" t="s">
        <v>13000</v>
      </c>
      <c r="B524" s="142" t="s">
        <v>14610</v>
      </c>
      <c r="C524" s="142" t="s">
        <v>15847</v>
      </c>
      <c r="D524" s="142" t="s">
        <v>15848</v>
      </c>
      <c r="E524" s="142" t="s">
        <v>15849</v>
      </c>
      <c r="F524" s="142" t="s">
        <v>10644</v>
      </c>
      <c r="G524" s="142" t="s">
        <v>10643</v>
      </c>
      <c r="H524" s="142" t="s">
        <v>16374</v>
      </c>
      <c r="I524" s="142">
        <v>2139</v>
      </c>
      <c r="J524" s="142">
        <v>1599</v>
      </c>
      <c r="K524" s="142">
        <v>0</v>
      </c>
      <c r="L524" s="142">
        <v>179</v>
      </c>
      <c r="M524" s="142">
        <v>361</v>
      </c>
    </row>
    <row r="525" spans="1:13" x14ac:dyDescent="0.45">
      <c r="A525" s="142" t="s">
        <v>13238</v>
      </c>
      <c r="B525" s="142" t="s">
        <v>14477</v>
      </c>
      <c r="C525" s="142" t="s">
        <v>15860</v>
      </c>
      <c r="D525" s="142" t="s">
        <v>15861</v>
      </c>
      <c r="E525" s="142" t="s">
        <v>15849</v>
      </c>
      <c r="F525" s="142" t="s">
        <v>10644</v>
      </c>
      <c r="G525" s="142" t="s">
        <v>10643</v>
      </c>
      <c r="H525" s="142" t="s">
        <v>16375</v>
      </c>
      <c r="I525" s="142">
        <v>12</v>
      </c>
      <c r="J525" s="142">
        <v>0</v>
      </c>
      <c r="K525" s="142">
        <v>0</v>
      </c>
      <c r="L525" s="142">
        <v>12</v>
      </c>
      <c r="M525" s="142">
        <v>0</v>
      </c>
    </row>
    <row r="526" spans="1:13" x14ac:dyDescent="0.45">
      <c r="A526" s="142" t="s">
        <v>13119</v>
      </c>
      <c r="B526" s="142" t="s">
        <v>14451</v>
      </c>
      <c r="C526" s="142" t="s">
        <v>15860</v>
      </c>
      <c r="D526" s="142" t="s">
        <v>15861</v>
      </c>
      <c r="E526" s="142" t="s">
        <v>15849</v>
      </c>
      <c r="F526" s="142" t="s">
        <v>10644</v>
      </c>
      <c r="G526" s="142" t="s">
        <v>10643</v>
      </c>
      <c r="H526" s="142" t="s">
        <v>16376</v>
      </c>
      <c r="I526" s="142">
        <v>6</v>
      </c>
      <c r="J526" s="142">
        <v>0</v>
      </c>
      <c r="K526" s="142">
        <v>0</v>
      </c>
      <c r="L526" s="142">
        <v>6</v>
      </c>
      <c r="M526" s="142">
        <v>0</v>
      </c>
    </row>
    <row r="527" spans="1:13" x14ac:dyDescent="0.45">
      <c r="A527" s="142" t="s">
        <v>13239</v>
      </c>
      <c r="B527" s="142" t="s">
        <v>14463</v>
      </c>
      <c r="C527" s="142" t="s">
        <v>15860</v>
      </c>
      <c r="D527" s="142" t="s">
        <v>15861</v>
      </c>
      <c r="E527" s="142" t="s">
        <v>15849</v>
      </c>
      <c r="F527" s="142" t="s">
        <v>10644</v>
      </c>
      <c r="G527" s="142" t="s">
        <v>10643</v>
      </c>
      <c r="H527" s="142" t="s">
        <v>16377</v>
      </c>
      <c r="I527" s="142">
        <v>417</v>
      </c>
      <c r="J527" s="142">
        <v>66</v>
      </c>
      <c r="K527" s="142">
        <v>351</v>
      </c>
      <c r="L527" s="142">
        <v>0</v>
      </c>
      <c r="M527" s="142">
        <v>0</v>
      </c>
    </row>
    <row r="528" spans="1:13" x14ac:dyDescent="0.45">
      <c r="A528" s="142" t="s">
        <v>13187</v>
      </c>
      <c r="B528" s="142" t="s">
        <v>15518</v>
      </c>
      <c r="C528" s="142" t="s">
        <v>15860</v>
      </c>
      <c r="D528" s="142" t="s">
        <v>15861</v>
      </c>
      <c r="E528" s="142" t="s">
        <v>15849</v>
      </c>
      <c r="F528" s="142" t="s">
        <v>10644</v>
      </c>
      <c r="G528" s="142" t="s">
        <v>10643</v>
      </c>
      <c r="H528" s="142" t="s">
        <v>16378</v>
      </c>
      <c r="I528" s="142">
        <v>48</v>
      </c>
      <c r="J528" s="142">
        <v>48</v>
      </c>
      <c r="K528" s="142">
        <v>0</v>
      </c>
      <c r="L528" s="142">
        <v>0</v>
      </c>
      <c r="M528" s="142">
        <v>0</v>
      </c>
    </row>
    <row r="529" spans="1:13" x14ac:dyDescent="0.45">
      <c r="A529" s="142" t="s">
        <v>13240</v>
      </c>
      <c r="B529" s="142" t="s">
        <v>14824</v>
      </c>
      <c r="C529" s="142" t="s">
        <v>15860</v>
      </c>
      <c r="D529" s="142" t="s">
        <v>15861</v>
      </c>
      <c r="E529" s="142" t="s">
        <v>15849</v>
      </c>
      <c r="F529" s="142" t="s">
        <v>10644</v>
      </c>
      <c r="G529" s="142" t="s">
        <v>10643</v>
      </c>
      <c r="H529" s="142" t="s">
        <v>16379</v>
      </c>
      <c r="I529" s="142">
        <v>32</v>
      </c>
      <c r="J529" s="142">
        <v>0</v>
      </c>
      <c r="K529" s="142">
        <v>0</v>
      </c>
      <c r="L529" s="142">
        <v>32</v>
      </c>
      <c r="M529" s="142">
        <v>0</v>
      </c>
    </row>
    <row r="530" spans="1:13" x14ac:dyDescent="0.45">
      <c r="A530" s="142" t="s">
        <v>13099</v>
      </c>
      <c r="B530" s="142" t="s">
        <v>14547</v>
      </c>
      <c r="C530" s="142" t="s">
        <v>15860</v>
      </c>
      <c r="D530" s="142" t="s">
        <v>15861</v>
      </c>
      <c r="E530" s="142" t="s">
        <v>15849</v>
      </c>
      <c r="F530" s="142" t="s">
        <v>10644</v>
      </c>
      <c r="G530" s="142" t="s">
        <v>10643</v>
      </c>
      <c r="H530" s="142" t="s">
        <v>16380</v>
      </c>
      <c r="I530" s="142">
        <v>9</v>
      </c>
      <c r="J530" s="142">
        <v>0</v>
      </c>
      <c r="K530" s="142">
        <v>0</v>
      </c>
      <c r="L530" s="142">
        <v>9</v>
      </c>
      <c r="M530" s="142">
        <v>0</v>
      </c>
    </row>
    <row r="531" spans="1:13" x14ac:dyDescent="0.45">
      <c r="A531" s="142" t="s">
        <v>13241</v>
      </c>
      <c r="B531" s="142" t="s">
        <v>14537</v>
      </c>
      <c r="C531" s="142" t="s">
        <v>15860</v>
      </c>
      <c r="D531" s="142" t="s">
        <v>15861</v>
      </c>
      <c r="E531" s="142" t="s">
        <v>15849</v>
      </c>
      <c r="F531" s="142" t="s">
        <v>10644</v>
      </c>
      <c r="G531" s="142" t="s">
        <v>10643</v>
      </c>
      <c r="H531" s="142" t="s">
        <v>16381</v>
      </c>
      <c r="I531" s="142">
        <v>1</v>
      </c>
      <c r="J531" s="142">
        <v>1</v>
      </c>
      <c r="K531" s="142">
        <v>0</v>
      </c>
      <c r="L531" s="142">
        <v>0</v>
      </c>
      <c r="M531" s="142">
        <v>0</v>
      </c>
    </row>
    <row r="532" spans="1:13" x14ac:dyDescent="0.45">
      <c r="A532" s="142" t="s">
        <v>13049</v>
      </c>
      <c r="B532" s="142" t="s">
        <v>14534</v>
      </c>
      <c r="C532" s="142" t="s">
        <v>15860</v>
      </c>
      <c r="D532" s="142" t="s">
        <v>15861</v>
      </c>
      <c r="E532" s="142" t="s">
        <v>15849</v>
      </c>
      <c r="F532" s="142" t="s">
        <v>10644</v>
      </c>
      <c r="G532" s="142" t="s">
        <v>10643</v>
      </c>
      <c r="H532" s="142" t="s">
        <v>16382</v>
      </c>
      <c r="I532" s="142">
        <v>7</v>
      </c>
      <c r="J532" s="142">
        <v>0</v>
      </c>
      <c r="K532" s="142">
        <v>0</v>
      </c>
      <c r="L532" s="142">
        <v>7</v>
      </c>
      <c r="M532" s="142">
        <v>0</v>
      </c>
    </row>
    <row r="533" spans="1:13" x14ac:dyDescent="0.45">
      <c r="A533" s="142" t="s">
        <v>13168</v>
      </c>
      <c r="B533" s="142" t="s">
        <v>14486</v>
      </c>
      <c r="C533" s="142" t="s">
        <v>15860</v>
      </c>
      <c r="D533" s="142" t="s">
        <v>15861</v>
      </c>
      <c r="E533" s="142" t="s">
        <v>15849</v>
      </c>
      <c r="F533" s="142" t="s">
        <v>10644</v>
      </c>
      <c r="G533" s="142" t="s">
        <v>10643</v>
      </c>
      <c r="H533" s="142" t="s">
        <v>16383</v>
      </c>
      <c r="I533" s="142">
        <v>1</v>
      </c>
      <c r="J533" s="142">
        <v>0</v>
      </c>
      <c r="K533" s="142">
        <v>0</v>
      </c>
      <c r="L533" s="142">
        <v>1</v>
      </c>
      <c r="M533" s="142">
        <v>0</v>
      </c>
    </row>
    <row r="534" spans="1:13" x14ac:dyDescent="0.45">
      <c r="A534" s="142" t="s">
        <v>13242</v>
      </c>
      <c r="B534" s="142" t="s">
        <v>14851</v>
      </c>
      <c r="C534" s="142" t="s">
        <v>15860</v>
      </c>
      <c r="D534" s="142" t="s">
        <v>15861</v>
      </c>
      <c r="E534" s="142" t="s">
        <v>15849</v>
      </c>
      <c r="F534" s="142" t="s">
        <v>10644</v>
      </c>
      <c r="G534" s="142" t="s">
        <v>10643</v>
      </c>
      <c r="H534" s="142" t="s">
        <v>16384</v>
      </c>
      <c r="I534" s="142">
        <v>33</v>
      </c>
      <c r="J534" s="142">
        <v>0</v>
      </c>
      <c r="K534" s="142">
        <v>0</v>
      </c>
      <c r="L534" s="142">
        <v>33</v>
      </c>
      <c r="M534" s="142">
        <v>0</v>
      </c>
    </row>
    <row r="535" spans="1:13" x14ac:dyDescent="0.45">
      <c r="A535" s="142" t="s">
        <v>13027</v>
      </c>
      <c r="B535" s="142" t="s">
        <v>14562</v>
      </c>
      <c r="C535" s="142" t="s">
        <v>15847</v>
      </c>
      <c r="D535" s="142" t="s">
        <v>15848</v>
      </c>
      <c r="E535" s="142" t="s">
        <v>15849</v>
      </c>
      <c r="F535" s="142" t="s">
        <v>10644</v>
      </c>
      <c r="G535" s="142" t="s">
        <v>10643</v>
      </c>
      <c r="H535" s="142" t="s">
        <v>16385</v>
      </c>
      <c r="I535" s="142">
        <v>52</v>
      </c>
      <c r="J535" s="142">
        <v>0</v>
      </c>
      <c r="K535" s="142">
        <v>0</v>
      </c>
      <c r="L535" s="142">
        <v>52</v>
      </c>
      <c r="M535" s="142">
        <v>0</v>
      </c>
    </row>
    <row r="536" spans="1:13" x14ac:dyDescent="0.45">
      <c r="A536" s="142" t="s">
        <v>13243</v>
      </c>
      <c r="B536" s="142" t="s">
        <v>15560</v>
      </c>
      <c r="C536" s="142" t="s">
        <v>15847</v>
      </c>
      <c r="D536" s="142" t="s">
        <v>15848</v>
      </c>
      <c r="E536" s="142" t="s">
        <v>15849</v>
      </c>
      <c r="F536" s="142" t="s">
        <v>10644</v>
      </c>
      <c r="G536" s="142" t="s">
        <v>10643</v>
      </c>
      <c r="H536" s="142" t="s">
        <v>16386</v>
      </c>
      <c r="I536" s="142">
        <v>2046</v>
      </c>
      <c r="J536" s="142">
        <v>1685</v>
      </c>
      <c r="K536" s="142">
        <v>0</v>
      </c>
      <c r="L536" s="142">
        <v>341</v>
      </c>
      <c r="M536" s="142">
        <v>20</v>
      </c>
    </row>
    <row r="537" spans="1:13" x14ac:dyDescent="0.45">
      <c r="A537" s="142" t="s">
        <v>13001</v>
      </c>
      <c r="B537" s="142" t="s">
        <v>15506</v>
      </c>
      <c r="C537" s="142" t="s">
        <v>15847</v>
      </c>
      <c r="D537" s="142" t="s">
        <v>15848</v>
      </c>
      <c r="E537" s="142" t="s">
        <v>15849</v>
      </c>
      <c r="F537" s="142" t="s">
        <v>10644</v>
      </c>
      <c r="G537" s="142" t="s">
        <v>10643</v>
      </c>
      <c r="H537" s="142" t="s">
        <v>16387</v>
      </c>
      <c r="I537" s="142">
        <v>51</v>
      </c>
      <c r="J537" s="142">
        <v>24</v>
      </c>
      <c r="K537" s="142">
        <v>0</v>
      </c>
      <c r="L537" s="142">
        <v>27</v>
      </c>
      <c r="M537" s="142">
        <v>0</v>
      </c>
    </row>
    <row r="538" spans="1:13" x14ac:dyDescent="0.45">
      <c r="A538" s="142" t="s">
        <v>13149</v>
      </c>
      <c r="B538" s="142" t="s">
        <v>14458</v>
      </c>
      <c r="C538" s="142" t="s">
        <v>15860</v>
      </c>
      <c r="D538" s="142" t="s">
        <v>15861</v>
      </c>
      <c r="E538" s="142" t="s">
        <v>15849</v>
      </c>
      <c r="F538" s="142" t="s">
        <v>10644</v>
      </c>
      <c r="G538" s="142" t="s">
        <v>10643</v>
      </c>
      <c r="H538" s="142" t="s">
        <v>16388</v>
      </c>
      <c r="I538" s="142">
        <v>14</v>
      </c>
      <c r="J538" s="142">
        <v>0</v>
      </c>
      <c r="K538" s="142">
        <v>0</v>
      </c>
      <c r="L538" s="142">
        <v>14</v>
      </c>
      <c r="M538" s="142">
        <v>0</v>
      </c>
    </row>
    <row r="539" spans="1:13" x14ac:dyDescent="0.45">
      <c r="A539" s="142" t="s">
        <v>13244</v>
      </c>
      <c r="B539" s="142" t="s">
        <v>14546</v>
      </c>
      <c r="C539" s="142" t="s">
        <v>15860</v>
      </c>
      <c r="D539" s="142" t="s">
        <v>15861</v>
      </c>
      <c r="E539" s="142" t="s">
        <v>15849</v>
      </c>
      <c r="F539" s="142" t="s">
        <v>10644</v>
      </c>
      <c r="G539" s="142" t="s">
        <v>10643</v>
      </c>
      <c r="H539" s="142" t="s">
        <v>16389</v>
      </c>
      <c r="I539" s="142">
        <v>301</v>
      </c>
      <c r="J539" s="142">
        <v>85</v>
      </c>
      <c r="K539" s="142">
        <v>0</v>
      </c>
      <c r="L539" s="142">
        <v>216</v>
      </c>
      <c r="M539" s="142">
        <v>0</v>
      </c>
    </row>
    <row r="540" spans="1:13" x14ac:dyDescent="0.45">
      <c r="A540" s="142" t="s">
        <v>13245</v>
      </c>
      <c r="B540" s="142" t="s">
        <v>14455</v>
      </c>
      <c r="C540" s="142" t="s">
        <v>15860</v>
      </c>
      <c r="D540" s="142" t="s">
        <v>15861</v>
      </c>
      <c r="E540" s="142" t="s">
        <v>15849</v>
      </c>
      <c r="F540" s="142" t="s">
        <v>10644</v>
      </c>
      <c r="G540" s="142" t="s">
        <v>10643</v>
      </c>
      <c r="H540" s="142" t="s">
        <v>16390</v>
      </c>
      <c r="I540" s="142">
        <v>594</v>
      </c>
      <c r="J540" s="142">
        <v>0</v>
      </c>
      <c r="K540" s="142">
        <v>4</v>
      </c>
      <c r="L540" s="142">
        <v>590</v>
      </c>
      <c r="M540" s="142">
        <v>0</v>
      </c>
    </row>
    <row r="541" spans="1:13" x14ac:dyDescent="0.45">
      <c r="A541" s="142" t="s">
        <v>13028</v>
      </c>
      <c r="B541" s="142" t="s">
        <v>14462</v>
      </c>
      <c r="C541" s="142" t="s">
        <v>15847</v>
      </c>
      <c r="D541" s="142" t="s">
        <v>15848</v>
      </c>
      <c r="E541" s="142" t="s">
        <v>15849</v>
      </c>
      <c r="F541" s="142" t="s">
        <v>10644</v>
      </c>
      <c r="G541" s="142" t="s">
        <v>10643</v>
      </c>
      <c r="H541" s="142" t="s">
        <v>16391</v>
      </c>
      <c r="I541" s="142">
        <v>51</v>
      </c>
      <c r="J541" s="142">
        <v>0</v>
      </c>
      <c r="K541" s="142">
        <v>0</v>
      </c>
      <c r="L541" s="142">
        <v>0</v>
      </c>
      <c r="M541" s="142">
        <v>51</v>
      </c>
    </row>
    <row r="542" spans="1:13" x14ac:dyDescent="0.45">
      <c r="A542" s="142" t="s">
        <v>13246</v>
      </c>
      <c r="B542" s="142" t="s">
        <v>14948</v>
      </c>
      <c r="C542" s="142" t="s">
        <v>15860</v>
      </c>
      <c r="D542" s="142" t="s">
        <v>15861</v>
      </c>
      <c r="E542" s="142" t="s">
        <v>15849</v>
      </c>
      <c r="F542" s="142" t="s">
        <v>10644</v>
      </c>
      <c r="G542" s="142" t="s">
        <v>10643</v>
      </c>
      <c r="H542" s="142" t="s">
        <v>16392</v>
      </c>
      <c r="I542" s="142">
        <v>58</v>
      </c>
      <c r="J542" s="142">
        <v>58</v>
      </c>
      <c r="K542" s="142">
        <v>0</v>
      </c>
      <c r="L542" s="142">
        <v>0</v>
      </c>
      <c r="M542" s="142">
        <v>0</v>
      </c>
    </row>
    <row r="543" spans="1:13" x14ac:dyDescent="0.45">
      <c r="A543" s="142" t="s">
        <v>13002</v>
      </c>
      <c r="B543" s="142" t="s">
        <v>15376</v>
      </c>
      <c r="C543" s="142" t="s">
        <v>15847</v>
      </c>
      <c r="D543" s="142" t="s">
        <v>15848</v>
      </c>
      <c r="E543" s="142" t="s">
        <v>15849</v>
      </c>
      <c r="F543" s="142" t="s">
        <v>10644</v>
      </c>
      <c r="G543" s="142" t="s">
        <v>10643</v>
      </c>
      <c r="H543" s="142" t="s">
        <v>16393</v>
      </c>
      <c r="I543" s="142">
        <v>50</v>
      </c>
      <c r="J543" s="142">
        <v>0</v>
      </c>
      <c r="K543" s="142">
        <v>0</v>
      </c>
      <c r="L543" s="142">
        <v>50</v>
      </c>
      <c r="M543" s="142">
        <v>0</v>
      </c>
    </row>
    <row r="544" spans="1:13" x14ac:dyDescent="0.45">
      <c r="A544" s="142" t="s">
        <v>13003</v>
      </c>
      <c r="B544" s="142" t="s">
        <v>15245</v>
      </c>
      <c r="C544" s="142" t="s">
        <v>15847</v>
      </c>
      <c r="D544" s="142" t="s">
        <v>15848</v>
      </c>
      <c r="E544" s="142" t="s">
        <v>15849</v>
      </c>
      <c r="F544" s="142" t="s">
        <v>10644</v>
      </c>
      <c r="G544" s="142" t="s">
        <v>10643</v>
      </c>
      <c r="H544" s="142" t="s">
        <v>16394</v>
      </c>
      <c r="I544" s="142">
        <v>512</v>
      </c>
      <c r="J544" s="142">
        <v>0</v>
      </c>
      <c r="K544" s="142">
        <v>0</v>
      </c>
      <c r="L544" s="142">
        <v>428</v>
      </c>
      <c r="M544" s="142">
        <v>84</v>
      </c>
    </row>
    <row r="545" spans="1:13" x14ac:dyDescent="0.45">
      <c r="A545" s="142" t="s">
        <v>13066</v>
      </c>
      <c r="B545" s="142" t="s">
        <v>14459</v>
      </c>
      <c r="C545" s="142" t="s">
        <v>15847</v>
      </c>
      <c r="D545" s="142" t="s">
        <v>15848</v>
      </c>
      <c r="E545" s="142" t="s">
        <v>15849</v>
      </c>
      <c r="F545" s="142" t="s">
        <v>10644</v>
      </c>
      <c r="G545" s="142" t="s">
        <v>10643</v>
      </c>
      <c r="H545" s="142" t="s">
        <v>16395</v>
      </c>
      <c r="I545" s="142">
        <v>101</v>
      </c>
      <c r="J545" s="142">
        <v>2</v>
      </c>
      <c r="K545" s="142">
        <v>0</v>
      </c>
      <c r="L545" s="142">
        <v>99</v>
      </c>
      <c r="M545" s="142">
        <v>0</v>
      </c>
    </row>
    <row r="546" spans="1:13" x14ac:dyDescent="0.45">
      <c r="A546" s="142" t="s">
        <v>13178</v>
      </c>
      <c r="B546" s="142" t="s">
        <v>14683</v>
      </c>
      <c r="C546" s="142" t="s">
        <v>15847</v>
      </c>
      <c r="D546" s="142" t="s">
        <v>15848</v>
      </c>
      <c r="E546" s="142" t="s">
        <v>15849</v>
      </c>
      <c r="F546" s="142" t="s">
        <v>10644</v>
      </c>
      <c r="G546" s="142" t="s">
        <v>10643</v>
      </c>
      <c r="H546" s="142" t="s">
        <v>16396</v>
      </c>
      <c r="I546" s="142">
        <v>328</v>
      </c>
      <c r="J546" s="142">
        <v>328</v>
      </c>
      <c r="K546" s="142">
        <v>0</v>
      </c>
      <c r="L546" s="142">
        <v>0</v>
      </c>
      <c r="M546" s="142">
        <v>0</v>
      </c>
    </row>
    <row r="547" spans="1:13" x14ac:dyDescent="0.45">
      <c r="A547" s="142" t="s">
        <v>13076</v>
      </c>
      <c r="B547" s="142" t="s">
        <v>14636</v>
      </c>
      <c r="C547" s="142" t="s">
        <v>15847</v>
      </c>
      <c r="D547" s="142" t="s">
        <v>15848</v>
      </c>
      <c r="E547" s="142" t="s">
        <v>15849</v>
      </c>
      <c r="F547" s="142" t="s">
        <v>10644</v>
      </c>
      <c r="G547" s="142" t="s">
        <v>10643</v>
      </c>
      <c r="H547" s="142" t="s">
        <v>16397</v>
      </c>
      <c r="I547" s="142">
        <v>118</v>
      </c>
      <c r="J547" s="142">
        <v>58</v>
      </c>
      <c r="K547" s="142">
        <v>0</v>
      </c>
      <c r="L547" s="142">
        <v>0</v>
      </c>
      <c r="M547" s="142">
        <v>60</v>
      </c>
    </row>
    <row r="548" spans="1:13" x14ac:dyDescent="0.45">
      <c r="A548" s="142" t="s">
        <v>13247</v>
      </c>
      <c r="B548" s="142" t="s">
        <v>14787</v>
      </c>
      <c r="C548" s="142" t="s">
        <v>15860</v>
      </c>
      <c r="D548" s="142" t="s">
        <v>15861</v>
      </c>
      <c r="E548" s="142" t="s">
        <v>15849</v>
      </c>
      <c r="F548" s="142" t="s">
        <v>10644</v>
      </c>
      <c r="G548" s="142" t="s">
        <v>10643</v>
      </c>
      <c r="H548" s="142" t="s">
        <v>16398</v>
      </c>
      <c r="I548" s="142">
        <v>186</v>
      </c>
      <c r="J548" s="142">
        <v>0</v>
      </c>
      <c r="K548" s="142">
        <v>0</v>
      </c>
      <c r="L548" s="142">
        <v>186</v>
      </c>
      <c r="M548" s="142">
        <v>0</v>
      </c>
    </row>
    <row r="549" spans="1:13" x14ac:dyDescent="0.45">
      <c r="A549" s="142" t="s">
        <v>13248</v>
      </c>
      <c r="B549" s="142" t="s">
        <v>15463</v>
      </c>
      <c r="C549" s="142" t="s">
        <v>15847</v>
      </c>
      <c r="D549" s="142" t="s">
        <v>15848</v>
      </c>
      <c r="E549" s="142" t="s">
        <v>15849</v>
      </c>
      <c r="F549" s="142" t="s">
        <v>10644</v>
      </c>
      <c r="G549" s="142" t="s">
        <v>10643</v>
      </c>
      <c r="H549" s="142" t="s">
        <v>16399</v>
      </c>
      <c r="I549" s="142">
        <v>11590</v>
      </c>
      <c r="J549" s="142">
        <v>10878</v>
      </c>
      <c r="K549" s="142">
        <v>0</v>
      </c>
      <c r="L549" s="142">
        <v>279</v>
      </c>
      <c r="M549" s="142">
        <v>433</v>
      </c>
    </row>
    <row r="550" spans="1:13" x14ac:dyDescent="0.45">
      <c r="A550" s="142" t="s">
        <v>13249</v>
      </c>
      <c r="B550" s="142" t="s">
        <v>14602</v>
      </c>
      <c r="C550" s="142" t="s">
        <v>15847</v>
      </c>
      <c r="D550" s="142" t="s">
        <v>15848</v>
      </c>
      <c r="E550" s="142" t="s">
        <v>15849</v>
      </c>
      <c r="F550" s="142" t="s">
        <v>10644</v>
      </c>
      <c r="G550" s="142" t="s">
        <v>10643</v>
      </c>
      <c r="H550" s="142" t="s">
        <v>16400</v>
      </c>
      <c r="I550" s="142">
        <v>2</v>
      </c>
      <c r="J550" s="142">
        <v>2</v>
      </c>
      <c r="K550" s="142">
        <v>0</v>
      </c>
      <c r="L550" s="142">
        <v>0</v>
      </c>
      <c r="M550" s="142">
        <v>0</v>
      </c>
    </row>
    <row r="551" spans="1:13" x14ac:dyDescent="0.45">
      <c r="A551" s="142" t="s">
        <v>13250</v>
      </c>
      <c r="B551" s="142" t="s">
        <v>15395</v>
      </c>
      <c r="C551" s="142" t="s">
        <v>15847</v>
      </c>
      <c r="D551" s="142" t="s">
        <v>15848</v>
      </c>
      <c r="E551" s="142" t="s">
        <v>15849</v>
      </c>
      <c r="F551" s="142" t="s">
        <v>10644</v>
      </c>
      <c r="G551" s="142" t="s">
        <v>10643</v>
      </c>
      <c r="H551" s="142" t="s">
        <v>16401</v>
      </c>
      <c r="I551" s="142">
        <v>543</v>
      </c>
      <c r="J551" s="142">
        <v>434</v>
      </c>
      <c r="K551" s="142">
        <v>0</v>
      </c>
      <c r="L551" s="142">
        <v>106</v>
      </c>
      <c r="M551" s="142">
        <v>3</v>
      </c>
    </row>
    <row r="552" spans="1:13" x14ac:dyDescent="0.45">
      <c r="A552" s="142" t="s">
        <v>13033</v>
      </c>
      <c r="B552" s="142" t="s">
        <v>15276</v>
      </c>
      <c r="C552" s="142" t="s">
        <v>15847</v>
      </c>
      <c r="D552" s="142" t="s">
        <v>15848</v>
      </c>
      <c r="E552" s="142" t="s">
        <v>15849</v>
      </c>
      <c r="F552" s="142" t="s">
        <v>10644</v>
      </c>
      <c r="G552" s="142" t="s">
        <v>10643</v>
      </c>
      <c r="H552" s="142" t="s">
        <v>16402</v>
      </c>
      <c r="I552" s="142">
        <v>76</v>
      </c>
      <c r="J552" s="142">
        <v>72</v>
      </c>
      <c r="K552" s="142">
        <v>0</v>
      </c>
      <c r="L552" s="142">
        <v>0</v>
      </c>
      <c r="M552" s="142">
        <v>4</v>
      </c>
    </row>
    <row r="553" spans="1:13" x14ac:dyDescent="0.45">
      <c r="A553" s="142" t="s">
        <v>13034</v>
      </c>
      <c r="B553" s="142" t="s">
        <v>15562</v>
      </c>
      <c r="C553" s="142" t="s">
        <v>15847</v>
      </c>
      <c r="D553" s="142" t="s">
        <v>15848</v>
      </c>
      <c r="E553" s="142" t="s">
        <v>15849</v>
      </c>
      <c r="F553" s="142" t="s">
        <v>10644</v>
      </c>
      <c r="G553" s="142" t="s">
        <v>10643</v>
      </c>
      <c r="H553" s="142" t="s">
        <v>16403</v>
      </c>
      <c r="I553" s="142">
        <v>5</v>
      </c>
      <c r="J553" s="142">
        <v>0</v>
      </c>
      <c r="K553" s="142">
        <v>0</v>
      </c>
      <c r="L553" s="142">
        <v>0</v>
      </c>
      <c r="M553" s="142">
        <v>5</v>
      </c>
    </row>
    <row r="554" spans="1:13" x14ac:dyDescent="0.45">
      <c r="A554" s="142" t="s">
        <v>13035</v>
      </c>
      <c r="B554" s="142" t="s">
        <v>14648</v>
      </c>
      <c r="C554" s="142" t="s">
        <v>15847</v>
      </c>
      <c r="D554" s="142" t="s">
        <v>15848</v>
      </c>
      <c r="E554" s="142" t="s">
        <v>15849</v>
      </c>
      <c r="F554" s="142" t="s">
        <v>10644</v>
      </c>
      <c r="G554" s="142" t="s">
        <v>10643</v>
      </c>
      <c r="H554" s="142" t="s">
        <v>16404</v>
      </c>
      <c r="I554" s="142">
        <v>2703</v>
      </c>
      <c r="J554" s="142">
        <v>1904</v>
      </c>
      <c r="K554" s="142">
        <v>0</v>
      </c>
      <c r="L554" s="142">
        <v>217</v>
      </c>
      <c r="M554" s="142">
        <v>582</v>
      </c>
    </row>
    <row r="555" spans="1:13" x14ac:dyDescent="0.45">
      <c r="A555" s="142" t="s">
        <v>13036</v>
      </c>
      <c r="B555" s="142" t="s">
        <v>15567</v>
      </c>
      <c r="C555" s="142" t="s">
        <v>15847</v>
      </c>
      <c r="D555" s="142" t="s">
        <v>15848</v>
      </c>
      <c r="E555" s="142" t="s">
        <v>15849</v>
      </c>
      <c r="F555" s="142" t="s">
        <v>10644</v>
      </c>
      <c r="G555" s="142" t="s">
        <v>10643</v>
      </c>
      <c r="H555" s="142" t="s">
        <v>16405</v>
      </c>
      <c r="I555" s="142">
        <v>10</v>
      </c>
      <c r="J555" s="142">
        <v>0</v>
      </c>
      <c r="K555" s="142">
        <v>0</v>
      </c>
      <c r="L555" s="142">
        <v>9</v>
      </c>
      <c r="M555" s="142">
        <v>1</v>
      </c>
    </row>
    <row r="556" spans="1:13" x14ac:dyDescent="0.45">
      <c r="A556" s="142" t="s">
        <v>13105</v>
      </c>
      <c r="B556" s="142" t="s">
        <v>14654</v>
      </c>
      <c r="C556" s="142" t="s">
        <v>15847</v>
      </c>
      <c r="D556" s="142" t="s">
        <v>15848</v>
      </c>
      <c r="E556" s="142" t="s">
        <v>15849</v>
      </c>
      <c r="F556" s="142" t="s">
        <v>10644</v>
      </c>
      <c r="G556" s="142" t="s">
        <v>10643</v>
      </c>
      <c r="H556" s="142" t="s">
        <v>16406</v>
      </c>
      <c r="I556" s="142">
        <v>10</v>
      </c>
      <c r="J556" s="142">
        <v>0</v>
      </c>
      <c r="K556" s="142">
        <v>0</v>
      </c>
      <c r="L556" s="142">
        <v>0</v>
      </c>
      <c r="M556" s="142">
        <v>10</v>
      </c>
    </row>
    <row r="557" spans="1:13" x14ac:dyDescent="0.45">
      <c r="A557" s="142" t="s">
        <v>13251</v>
      </c>
      <c r="B557" s="142" t="s">
        <v>14542</v>
      </c>
      <c r="C557" s="142" t="s">
        <v>15860</v>
      </c>
      <c r="D557" s="142" t="s">
        <v>15861</v>
      </c>
      <c r="E557" s="142" t="s">
        <v>15849</v>
      </c>
      <c r="F557" s="142" t="s">
        <v>10644</v>
      </c>
      <c r="G557" s="142" t="s">
        <v>10643</v>
      </c>
      <c r="H557" s="142" t="s">
        <v>16407</v>
      </c>
      <c r="I557" s="142">
        <v>15</v>
      </c>
      <c r="J557" s="142">
        <v>0</v>
      </c>
      <c r="K557" s="142">
        <v>15</v>
      </c>
      <c r="L557" s="142">
        <v>0</v>
      </c>
      <c r="M557" s="142">
        <v>0</v>
      </c>
    </row>
    <row r="558" spans="1:13" x14ac:dyDescent="0.45">
      <c r="A558" s="142" t="s">
        <v>13038</v>
      </c>
      <c r="B558" s="142" t="s">
        <v>14646</v>
      </c>
      <c r="C558" s="142" t="s">
        <v>15847</v>
      </c>
      <c r="D558" s="142" t="s">
        <v>15848</v>
      </c>
      <c r="E558" s="142" t="s">
        <v>15849</v>
      </c>
      <c r="F558" s="142" t="s">
        <v>10644</v>
      </c>
      <c r="G558" s="142" t="s">
        <v>10643</v>
      </c>
      <c r="H558" s="142" t="s">
        <v>16408</v>
      </c>
      <c r="I558" s="142">
        <v>5</v>
      </c>
      <c r="J558" s="142">
        <v>0</v>
      </c>
      <c r="K558" s="142">
        <v>0</v>
      </c>
      <c r="L558" s="142">
        <v>0</v>
      </c>
      <c r="M558" s="142">
        <v>5</v>
      </c>
    </row>
    <row r="559" spans="1:13" x14ac:dyDescent="0.45">
      <c r="A559" s="142" t="s">
        <v>13039</v>
      </c>
      <c r="B559" s="142" t="s">
        <v>14647</v>
      </c>
      <c r="C559" s="142" t="s">
        <v>15847</v>
      </c>
      <c r="D559" s="142" t="s">
        <v>15848</v>
      </c>
      <c r="E559" s="142" t="s">
        <v>15849</v>
      </c>
      <c r="F559" s="142" t="s">
        <v>10644</v>
      </c>
      <c r="G559" s="142" t="s">
        <v>10643</v>
      </c>
      <c r="H559" s="142" t="s">
        <v>16409</v>
      </c>
      <c r="I559" s="142">
        <v>28</v>
      </c>
      <c r="J559" s="142">
        <v>28</v>
      </c>
      <c r="K559" s="142">
        <v>0</v>
      </c>
      <c r="L559" s="142">
        <v>0</v>
      </c>
      <c r="M559" s="142">
        <v>0</v>
      </c>
    </row>
    <row r="560" spans="1:13" x14ac:dyDescent="0.45">
      <c r="A560" s="142" t="s">
        <v>13078</v>
      </c>
      <c r="B560" s="142" t="s">
        <v>15540</v>
      </c>
      <c r="C560" s="142" t="s">
        <v>15847</v>
      </c>
      <c r="D560" s="142" t="s">
        <v>15848</v>
      </c>
      <c r="E560" s="142" t="s">
        <v>15849</v>
      </c>
      <c r="F560" s="142" t="s">
        <v>10644</v>
      </c>
      <c r="G560" s="142" t="s">
        <v>10643</v>
      </c>
      <c r="H560" s="142" t="s">
        <v>16410</v>
      </c>
      <c r="I560" s="142">
        <v>19</v>
      </c>
      <c r="J560" s="142">
        <v>0</v>
      </c>
      <c r="K560" s="142">
        <v>0</v>
      </c>
      <c r="L560" s="142">
        <v>19</v>
      </c>
      <c r="M560" s="142">
        <v>0</v>
      </c>
    </row>
    <row r="561" spans="1:13" x14ac:dyDescent="0.45">
      <c r="A561" s="142" t="s">
        <v>13091</v>
      </c>
      <c r="B561" s="142" t="s">
        <v>14473</v>
      </c>
      <c r="C561" s="142" t="s">
        <v>15847</v>
      </c>
      <c r="D561" s="142" t="s">
        <v>15848</v>
      </c>
      <c r="E561" s="142" t="s">
        <v>15849</v>
      </c>
      <c r="F561" s="142" t="s">
        <v>10644</v>
      </c>
      <c r="G561" s="142" t="s">
        <v>10643</v>
      </c>
      <c r="H561" s="142" t="s">
        <v>16411</v>
      </c>
      <c r="I561" s="142">
        <v>56</v>
      </c>
      <c r="J561" s="142">
        <v>39</v>
      </c>
      <c r="K561" s="142">
        <v>0</v>
      </c>
      <c r="L561" s="142">
        <v>0</v>
      </c>
      <c r="M561" s="142">
        <v>17</v>
      </c>
    </row>
    <row r="562" spans="1:13" x14ac:dyDescent="0.45">
      <c r="A562" s="142" t="s">
        <v>13009</v>
      </c>
      <c r="B562" s="142" t="s">
        <v>15256</v>
      </c>
      <c r="C562" s="142" t="s">
        <v>15847</v>
      </c>
      <c r="D562" s="142" t="s">
        <v>15848</v>
      </c>
      <c r="E562" s="142" t="s">
        <v>15849</v>
      </c>
      <c r="F562" s="142" t="s">
        <v>10644</v>
      </c>
      <c r="G562" s="142" t="s">
        <v>10643</v>
      </c>
      <c r="H562" s="142" t="s">
        <v>16412</v>
      </c>
      <c r="I562" s="142">
        <v>1823</v>
      </c>
      <c r="J562" s="142">
        <v>1162</v>
      </c>
      <c r="K562" s="142">
        <v>0</v>
      </c>
      <c r="L562" s="142">
        <v>340</v>
      </c>
      <c r="M562" s="142">
        <v>321</v>
      </c>
    </row>
    <row r="563" spans="1:13" x14ac:dyDescent="0.45">
      <c r="A563" s="142" t="s">
        <v>13252</v>
      </c>
      <c r="B563" s="142" t="s">
        <v>14995</v>
      </c>
      <c r="C563" s="142" t="s">
        <v>15860</v>
      </c>
      <c r="D563" s="142" t="s">
        <v>15861</v>
      </c>
      <c r="E563" s="142" t="s">
        <v>15849</v>
      </c>
      <c r="F563" s="142" t="s">
        <v>10644</v>
      </c>
      <c r="G563" s="142" t="s">
        <v>10643</v>
      </c>
      <c r="H563" s="142" t="s">
        <v>16413</v>
      </c>
      <c r="I563" s="142">
        <v>74</v>
      </c>
      <c r="J563" s="142">
        <v>74</v>
      </c>
      <c r="K563" s="142">
        <v>0</v>
      </c>
      <c r="L563" s="142">
        <v>0</v>
      </c>
      <c r="M563" s="142">
        <v>0</v>
      </c>
    </row>
    <row r="564" spans="1:13" x14ac:dyDescent="0.45">
      <c r="A564" s="142" t="s">
        <v>13253</v>
      </c>
      <c r="B564" s="142" t="s">
        <v>14742</v>
      </c>
      <c r="C564" s="142" t="s">
        <v>15860</v>
      </c>
      <c r="D564" s="142" t="s">
        <v>15861</v>
      </c>
      <c r="E564" s="142" t="s">
        <v>15849</v>
      </c>
      <c r="F564" s="142" t="s">
        <v>10644</v>
      </c>
      <c r="G564" s="142" t="s">
        <v>10643</v>
      </c>
      <c r="H564" s="142" t="s">
        <v>16414</v>
      </c>
      <c r="I564" s="142">
        <v>36</v>
      </c>
      <c r="J564" s="142">
        <v>0</v>
      </c>
      <c r="K564" s="142">
        <v>0</v>
      </c>
      <c r="L564" s="142">
        <v>36</v>
      </c>
      <c r="M564" s="142">
        <v>0</v>
      </c>
    </row>
    <row r="565" spans="1:13" x14ac:dyDescent="0.45">
      <c r="A565" s="142" t="s">
        <v>13254</v>
      </c>
      <c r="B565" s="142" t="s">
        <v>14969</v>
      </c>
      <c r="C565" s="142" t="s">
        <v>15860</v>
      </c>
      <c r="D565" s="142" t="s">
        <v>15861</v>
      </c>
      <c r="E565" s="142" t="s">
        <v>15849</v>
      </c>
      <c r="F565" s="142" t="s">
        <v>10644</v>
      </c>
      <c r="G565" s="142" t="s">
        <v>10643</v>
      </c>
      <c r="H565" s="142" t="s">
        <v>16415</v>
      </c>
      <c r="I565" s="142">
        <v>47</v>
      </c>
      <c r="J565" s="142">
        <v>47</v>
      </c>
      <c r="K565" s="142">
        <v>0</v>
      </c>
      <c r="L565" s="142">
        <v>0</v>
      </c>
      <c r="M565" s="142">
        <v>0</v>
      </c>
    </row>
    <row r="566" spans="1:13" x14ac:dyDescent="0.45">
      <c r="A566" s="142" t="s">
        <v>13255</v>
      </c>
      <c r="B566" s="142" t="s">
        <v>15024</v>
      </c>
      <c r="C566" s="142" t="s">
        <v>15860</v>
      </c>
      <c r="D566" s="142" t="s">
        <v>15861</v>
      </c>
      <c r="E566" s="142" t="s">
        <v>15849</v>
      </c>
      <c r="F566" s="142" t="s">
        <v>10644</v>
      </c>
      <c r="G566" s="142" t="s">
        <v>10643</v>
      </c>
      <c r="H566" s="142" t="s">
        <v>16416</v>
      </c>
      <c r="I566" s="142">
        <v>33</v>
      </c>
      <c r="J566" s="142">
        <v>33</v>
      </c>
      <c r="K566" s="142">
        <v>0</v>
      </c>
      <c r="L566" s="142">
        <v>0</v>
      </c>
      <c r="M566" s="142">
        <v>0</v>
      </c>
    </row>
    <row r="567" spans="1:13" x14ac:dyDescent="0.45">
      <c r="A567" s="142" t="s">
        <v>13011</v>
      </c>
      <c r="B567" s="142" t="s">
        <v>14695</v>
      </c>
      <c r="C567" s="142" t="s">
        <v>15847</v>
      </c>
      <c r="D567" s="142" t="s">
        <v>15848</v>
      </c>
      <c r="E567" s="142" t="s">
        <v>15849</v>
      </c>
      <c r="F567" s="142" t="s">
        <v>10644</v>
      </c>
      <c r="G567" s="142" t="s">
        <v>10643</v>
      </c>
      <c r="H567" s="142" t="s">
        <v>16417</v>
      </c>
      <c r="I567" s="142">
        <v>1112</v>
      </c>
      <c r="J567" s="142">
        <v>394</v>
      </c>
      <c r="K567" s="142">
        <v>0</v>
      </c>
      <c r="L567" s="142">
        <v>694</v>
      </c>
      <c r="M567" s="142">
        <v>24</v>
      </c>
    </row>
    <row r="568" spans="1:13" x14ac:dyDescent="0.45">
      <c r="A568" s="142" t="s">
        <v>13256</v>
      </c>
      <c r="B568" s="142" t="s">
        <v>15229</v>
      </c>
      <c r="C568" s="142" t="s">
        <v>15860</v>
      </c>
      <c r="D568" s="142" t="s">
        <v>15861</v>
      </c>
      <c r="E568" s="142" t="s">
        <v>15849</v>
      </c>
      <c r="F568" s="142" t="s">
        <v>10644</v>
      </c>
      <c r="G568" s="142" t="s">
        <v>10643</v>
      </c>
      <c r="H568" s="142" t="s">
        <v>16418</v>
      </c>
      <c r="I568" s="142">
        <v>123</v>
      </c>
      <c r="J568" s="142">
        <v>0</v>
      </c>
      <c r="K568" s="142">
        <v>0</v>
      </c>
      <c r="L568" s="142">
        <v>123</v>
      </c>
      <c r="M568" s="142">
        <v>0</v>
      </c>
    </row>
    <row r="569" spans="1:13" x14ac:dyDescent="0.45">
      <c r="A569" s="142" t="s">
        <v>13257</v>
      </c>
      <c r="B569" s="142" t="s">
        <v>15219</v>
      </c>
      <c r="C569" s="142" t="s">
        <v>15860</v>
      </c>
      <c r="D569" s="142" t="s">
        <v>15861</v>
      </c>
      <c r="E569" s="142" t="s">
        <v>15849</v>
      </c>
      <c r="F569" s="142" t="s">
        <v>10644</v>
      </c>
      <c r="G569" s="142" t="s">
        <v>10643</v>
      </c>
      <c r="H569" s="142" t="s">
        <v>16419</v>
      </c>
      <c r="I569" s="142">
        <v>443</v>
      </c>
      <c r="J569" s="142">
        <v>8</v>
      </c>
      <c r="K569" s="142">
        <v>92</v>
      </c>
      <c r="L569" s="142">
        <v>343</v>
      </c>
      <c r="M569" s="142">
        <v>0</v>
      </c>
    </row>
    <row r="570" spans="1:13" x14ac:dyDescent="0.45">
      <c r="A570" s="142" t="s">
        <v>13258</v>
      </c>
      <c r="B570" s="142" t="s">
        <v>15379</v>
      </c>
      <c r="C570" s="142" t="s">
        <v>15860</v>
      </c>
      <c r="D570" s="142" t="s">
        <v>15861</v>
      </c>
      <c r="E570" s="142" t="s">
        <v>15849</v>
      </c>
      <c r="F570" s="142" t="s">
        <v>10644</v>
      </c>
      <c r="G570" s="142" t="s">
        <v>10643</v>
      </c>
      <c r="H570" s="142" t="s">
        <v>16420</v>
      </c>
      <c r="I570" s="142">
        <v>498</v>
      </c>
      <c r="J570" s="142">
        <v>64</v>
      </c>
      <c r="K570" s="142">
        <v>0</v>
      </c>
      <c r="L570" s="142">
        <v>434</v>
      </c>
      <c r="M570" s="142">
        <v>0</v>
      </c>
    </row>
    <row r="571" spans="1:13" x14ac:dyDescent="0.45">
      <c r="A571" s="142" t="s">
        <v>13012</v>
      </c>
      <c r="B571" s="142" t="s">
        <v>15337</v>
      </c>
      <c r="C571" s="142" t="s">
        <v>15847</v>
      </c>
      <c r="D571" s="142" t="s">
        <v>15848</v>
      </c>
      <c r="E571" s="142" t="s">
        <v>15849</v>
      </c>
      <c r="F571" s="142" t="s">
        <v>10644</v>
      </c>
      <c r="G571" s="142" t="s">
        <v>10643</v>
      </c>
      <c r="H571" s="142" t="s">
        <v>16421</v>
      </c>
      <c r="I571" s="142">
        <v>2</v>
      </c>
      <c r="J571" s="142">
        <v>1</v>
      </c>
      <c r="K571" s="142">
        <v>0</v>
      </c>
      <c r="L571" s="142">
        <v>0</v>
      </c>
      <c r="M571" s="142">
        <v>1</v>
      </c>
    </row>
    <row r="572" spans="1:13" x14ac:dyDescent="0.45">
      <c r="A572" s="142" t="s">
        <v>13259</v>
      </c>
      <c r="B572" s="142" t="s">
        <v>14475</v>
      </c>
      <c r="C572" s="142" t="s">
        <v>15847</v>
      </c>
      <c r="D572" s="142" t="s">
        <v>15848</v>
      </c>
      <c r="E572" s="142" t="s">
        <v>15849</v>
      </c>
      <c r="F572" s="142" t="s">
        <v>10644</v>
      </c>
      <c r="G572" s="142" t="s">
        <v>10643</v>
      </c>
      <c r="H572" s="142" t="s">
        <v>16422</v>
      </c>
      <c r="I572" s="142">
        <v>1684</v>
      </c>
      <c r="J572" s="142">
        <v>0</v>
      </c>
      <c r="K572" s="142">
        <v>0</v>
      </c>
      <c r="L572" s="142">
        <v>1684</v>
      </c>
      <c r="M572" s="142">
        <v>0</v>
      </c>
    </row>
    <row r="573" spans="1:13" x14ac:dyDescent="0.45">
      <c r="A573" s="142" t="s">
        <v>13220</v>
      </c>
      <c r="B573" s="142" t="s">
        <v>15505</v>
      </c>
      <c r="C573" s="142" t="s">
        <v>15860</v>
      </c>
      <c r="D573" s="142" t="s">
        <v>15861</v>
      </c>
      <c r="E573" s="142" t="s">
        <v>15849</v>
      </c>
      <c r="F573" s="142" t="s">
        <v>10644</v>
      </c>
      <c r="G573" s="142" t="s">
        <v>10643</v>
      </c>
      <c r="H573" s="142" t="s">
        <v>16423</v>
      </c>
      <c r="I573" s="142">
        <v>41</v>
      </c>
      <c r="J573" s="142">
        <v>0</v>
      </c>
      <c r="K573" s="142">
        <v>0</v>
      </c>
      <c r="L573" s="142">
        <v>41</v>
      </c>
      <c r="M573" s="142">
        <v>0</v>
      </c>
    </row>
    <row r="574" spans="1:13" x14ac:dyDescent="0.45">
      <c r="A574" s="142" t="s">
        <v>13206</v>
      </c>
      <c r="B574" s="142" t="s">
        <v>14489</v>
      </c>
      <c r="C574" s="142" t="s">
        <v>15860</v>
      </c>
      <c r="D574" s="142" t="s">
        <v>15861</v>
      </c>
      <c r="E574" s="142" t="s">
        <v>15849</v>
      </c>
      <c r="F574" s="142" t="s">
        <v>10644</v>
      </c>
      <c r="G574" s="142" t="s">
        <v>10643</v>
      </c>
      <c r="H574" s="142" t="s">
        <v>16424</v>
      </c>
      <c r="I574" s="142">
        <v>348</v>
      </c>
      <c r="J574" s="142">
        <v>0</v>
      </c>
      <c r="K574" s="142">
        <v>0</v>
      </c>
      <c r="L574" s="142">
        <v>348</v>
      </c>
      <c r="M574" s="142">
        <v>0</v>
      </c>
    </row>
    <row r="575" spans="1:13" x14ac:dyDescent="0.45">
      <c r="A575" s="142" t="s">
        <v>13260</v>
      </c>
      <c r="B575" s="142" t="s">
        <v>14839</v>
      </c>
      <c r="C575" s="142" t="s">
        <v>15860</v>
      </c>
      <c r="D575" s="142" t="s">
        <v>15861</v>
      </c>
      <c r="E575" s="142" t="s">
        <v>15849</v>
      </c>
      <c r="F575" s="142" t="s">
        <v>10644</v>
      </c>
      <c r="G575" s="142" t="s">
        <v>10643</v>
      </c>
      <c r="H575" s="142" t="s">
        <v>16425</v>
      </c>
      <c r="I575" s="142">
        <v>38</v>
      </c>
      <c r="J575" s="142">
        <v>0</v>
      </c>
      <c r="K575" s="142">
        <v>0</v>
      </c>
      <c r="L575" s="142">
        <v>38</v>
      </c>
      <c r="M575" s="142">
        <v>0</v>
      </c>
    </row>
    <row r="576" spans="1:13" x14ac:dyDescent="0.45">
      <c r="A576" s="142" t="s">
        <v>13261</v>
      </c>
      <c r="B576" s="142" t="s">
        <v>14791</v>
      </c>
      <c r="C576" s="142" t="s">
        <v>15860</v>
      </c>
      <c r="D576" s="142" t="s">
        <v>15861</v>
      </c>
      <c r="E576" s="142" t="s">
        <v>15849</v>
      </c>
      <c r="F576" s="142" t="s">
        <v>10644</v>
      </c>
      <c r="G576" s="142" t="s">
        <v>10643</v>
      </c>
      <c r="H576" s="142" t="s">
        <v>16426</v>
      </c>
      <c r="I576" s="142">
        <v>31</v>
      </c>
      <c r="J576" s="142">
        <v>0</v>
      </c>
      <c r="K576" s="142">
        <v>0</v>
      </c>
      <c r="L576" s="142">
        <v>31</v>
      </c>
      <c r="M576" s="142">
        <v>0</v>
      </c>
    </row>
    <row r="577" spans="1:13" x14ac:dyDescent="0.45">
      <c r="A577" s="142" t="s">
        <v>13262</v>
      </c>
      <c r="B577" s="142" t="s">
        <v>15410</v>
      </c>
      <c r="C577" s="142" t="s">
        <v>15847</v>
      </c>
      <c r="D577" s="142" t="s">
        <v>15848</v>
      </c>
      <c r="E577" s="142" t="s">
        <v>15849</v>
      </c>
      <c r="F577" s="142" t="s">
        <v>10644</v>
      </c>
      <c r="G577" s="142" t="s">
        <v>10643</v>
      </c>
      <c r="H577" s="142" t="s">
        <v>16427</v>
      </c>
      <c r="I577" s="142">
        <v>2456</v>
      </c>
      <c r="J577" s="142">
        <v>2282</v>
      </c>
      <c r="K577" s="142">
        <v>0</v>
      </c>
      <c r="L577" s="142">
        <v>128</v>
      </c>
      <c r="M577" s="142">
        <v>46</v>
      </c>
    </row>
    <row r="578" spans="1:13" x14ac:dyDescent="0.45">
      <c r="A578" s="142" t="s">
        <v>13042</v>
      </c>
      <c r="B578" s="142" t="s">
        <v>15489</v>
      </c>
      <c r="C578" s="142" t="s">
        <v>15847</v>
      </c>
      <c r="D578" s="142" t="s">
        <v>15848</v>
      </c>
      <c r="E578" s="142" t="s">
        <v>15849</v>
      </c>
      <c r="F578" s="142" t="s">
        <v>10644</v>
      </c>
      <c r="G578" s="142" t="s">
        <v>10643</v>
      </c>
      <c r="H578" s="142" t="s">
        <v>16428</v>
      </c>
      <c r="I578" s="142">
        <v>98</v>
      </c>
      <c r="J578" s="142">
        <v>0</v>
      </c>
      <c r="K578" s="142">
        <v>0</v>
      </c>
      <c r="L578" s="142">
        <v>98</v>
      </c>
      <c r="M578" s="142">
        <v>0</v>
      </c>
    </row>
    <row r="579" spans="1:13" x14ac:dyDescent="0.45">
      <c r="A579" s="142" t="s">
        <v>13263</v>
      </c>
      <c r="B579" s="142" t="s">
        <v>14976</v>
      </c>
      <c r="C579" s="142" t="s">
        <v>15860</v>
      </c>
      <c r="D579" s="142" t="s">
        <v>15861</v>
      </c>
      <c r="E579" s="142" t="s">
        <v>15849</v>
      </c>
      <c r="F579" s="142" t="s">
        <v>10644</v>
      </c>
      <c r="G579" s="142" t="s">
        <v>10643</v>
      </c>
      <c r="H579" s="142" t="s">
        <v>16429</v>
      </c>
      <c r="I579" s="142">
        <v>90</v>
      </c>
      <c r="J579" s="142">
        <v>90</v>
      </c>
      <c r="K579" s="142">
        <v>0</v>
      </c>
      <c r="L579" s="142">
        <v>0</v>
      </c>
      <c r="M579" s="142">
        <v>0</v>
      </c>
    </row>
    <row r="580" spans="1:13" x14ac:dyDescent="0.45">
      <c r="A580" s="142" t="s">
        <v>13264</v>
      </c>
      <c r="B580" s="142" t="s">
        <v>15302</v>
      </c>
      <c r="C580" s="142" t="s">
        <v>15847</v>
      </c>
      <c r="D580" s="142" t="s">
        <v>15848</v>
      </c>
      <c r="E580" s="142" t="s">
        <v>15849</v>
      </c>
      <c r="F580" s="142" t="s">
        <v>10644</v>
      </c>
      <c r="G580" s="142" t="s">
        <v>10643</v>
      </c>
      <c r="H580" s="142" t="s">
        <v>16430</v>
      </c>
      <c r="I580" s="142">
        <v>1985</v>
      </c>
      <c r="J580" s="142">
        <v>1153</v>
      </c>
      <c r="K580" s="142">
        <v>0</v>
      </c>
      <c r="L580" s="142">
        <v>783</v>
      </c>
      <c r="M580" s="142">
        <v>49</v>
      </c>
    </row>
    <row r="581" spans="1:13" x14ac:dyDescent="0.45">
      <c r="A581" s="142" t="s">
        <v>13222</v>
      </c>
      <c r="B581" s="142" t="s">
        <v>14449</v>
      </c>
      <c r="C581" s="142" t="s">
        <v>15860</v>
      </c>
      <c r="D581" s="142" t="s">
        <v>15861</v>
      </c>
      <c r="E581" s="142" t="s">
        <v>15849</v>
      </c>
      <c r="F581" s="142" t="s">
        <v>10644</v>
      </c>
      <c r="G581" s="142" t="s">
        <v>10643</v>
      </c>
      <c r="H581" s="142" t="s">
        <v>16431</v>
      </c>
      <c r="I581" s="142">
        <v>11</v>
      </c>
      <c r="J581" s="142">
        <v>0</v>
      </c>
      <c r="K581" s="142">
        <v>0</v>
      </c>
      <c r="L581" s="142">
        <v>11</v>
      </c>
      <c r="M581" s="142">
        <v>0</v>
      </c>
    </row>
    <row r="582" spans="1:13" x14ac:dyDescent="0.45">
      <c r="A582" s="142" t="s">
        <v>13265</v>
      </c>
      <c r="B582" s="142" t="s">
        <v>14453</v>
      </c>
      <c r="C582" s="142" t="s">
        <v>15860</v>
      </c>
      <c r="D582" s="142" t="s">
        <v>15861</v>
      </c>
      <c r="E582" s="142" t="s">
        <v>15849</v>
      </c>
      <c r="F582" s="142" t="s">
        <v>10644</v>
      </c>
      <c r="G582" s="142" t="s">
        <v>10643</v>
      </c>
      <c r="H582" s="142" t="s">
        <v>16432</v>
      </c>
      <c r="I582" s="142">
        <v>650</v>
      </c>
      <c r="J582" s="142">
        <v>0</v>
      </c>
      <c r="K582" s="142">
        <v>0</v>
      </c>
      <c r="L582" s="142">
        <v>650</v>
      </c>
      <c r="M582" s="142">
        <v>0</v>
      </c>
    </row>
    <row r="583" spans="1:13" x14ac:dyDescent="0.45">
      <c r="A583" s="142" t="s">
        <v>13266</v>
      </c>
      <c r="B583" s="142" t="s">
        <v>14968</v>
      </c>
      <c r="C583" s="142" t="s">
        <v>15860</v>
      </c>
      <c r="D583" s="142" t="s">
        <v>15861</v>
      </c>
      <c r="E583" s="142" t="s">
        <v>15849</v>
      </c>
      <c r="F583" s="142" t="s">
        <v>10644</v>
      </c>
      <c r="G583" s="142" t="s">
        <v>10643</v>
      </c>
      <c r="H583" s="142" t="s">
        <v>16433</v>
      </c>
      <c r="I583" s="142">
        <v>136</v>
      </c>
      <c r="J583" s="142">
        <v>136</v>
      </c>
      <c r="K583" s="142">
        <v>0</v>
      </c>
      <c r="L583" s="142">
        <v>0</v>
      </c>
      <c r="M583" s="142">
        <v>0</v>
      </c>
    </row>
    <row r="584" spans="1:13" x14ac:dyDescent="0.45">
      <c r="A584" s="142" t="s">
        <v>13267</v>
      </c>
      <c r="B584" s="142" t="s">
        <v>15451</v>
      </c>
      <c r="C584" s="142" t="s">
        <v>15847</v>
      </c>
      <c r="D584" s="142" t="s">
        <v>15848</v>
      </c>
      <c r="E584" s="142" t="s">
        <v>15849</v>
      </c>
      <c r="F584" s="142" t="s">
        <v>10644</v>
      </c>
      <c r="G584" s="142" t="s">
        <v>10643</v>
      </c>
      <c r="H584" s="142" t="s">
        <v>16434</v>
      </c>
      <c r="I584" s="142">
        <v>57</v>
      </c>
      <c r="J584" s="142">
        <v>36</v>
      </c>
      <c r="K584" s="142">
        <v>0</v>
      </c>
      <c r="L584" s="142">
        <v>0</v>
      </c>
      <c r="M584" s="142">
        <v>21</v>
      </c>
    </row>
    <row r="585" spans="1:13" x14ac:dyDescent="0.45">
      <c r="A585" s="142" t="s">
        <v>13016</v>
      </c>
      <c r="B585" s="142" t="s">
        <v>14535</v>
      </c>
      <c r="C585" s="142" t="s">
        <v>15860</v>
      </c>
      <c r="D585" s="142" t="s">
        <v>15861</v>
      </c>
      <c r="E585" s="142" t="s">
        <v>15849</v>
      </c>
      <c r="F585" s="142" t="s">
        <v>10644</v>
      </c>
      <c r="G585" s="142" t="s">
        <v>10643</v>
      </c>
      <c r="H585" s="142" t="s">
        <v>16435</v>
      </c>
      <c r="I585" s="142">
        <v>9</v>
      </c>
      <c r="J585" s="142">
        <v>0</v>
      </c>
      <c r="K585" s="142">
        <v>0</v>
      </c>
      <c r="L585" s="142">
        <v>9</v>
      </c>
      <c r="M585" s="142">
        <v>0</v>
      </c>
    </row>
    <row r="586" spans="1:13" x14ac:dyDescent="0.45">
      <c r="A586" s="142" t="s">
        <v>13144</v>
      </c>
      <c r="B586" s="142" t="s">
        <v>14464</v>
      </c>
      <c r="C586" s="142" t="s">
        <v>15860</v>
      </c>
      <c r="D586" s="142" t="s">
        <v>15861</v>
      </c>
      <c r="E586" s="142" t="s">
        <v>15849</v>
      </c>
      <c r="F586" s="142" t="s">
        <v>10644</v>
      </c>
      <c r="G586" s="142" t="s">
        <v>10643</v>
      </c>
      <c r="H586" s="142" t="s">
        <v>16436</v>
      </c>
      <c r="I586" s="142">
        <v>3</v>
      </c>
      <c r="J586" s="142">
        <v>0</v>
      </c>
      <c r="K586" s="142">
        <v>0</v>
      </c>
      <c r="L586" s="142">
        <v>3</v>
      </c>
      <c r="M586" s="142">
        <v>0</v>
      </c>
    </row>
    <row r="587" spans="1:13" x14ac:dyDescent="0.45">
      <c r="A587" s="142" t="s">
        <v>13268</v>
      </c>
      <c r="B587" s="142" t="s">
        <v>14676</v>
      </c>
      <c r="C587" s="142" t="s">
        <v>15860</v>
      </c>
      <c r="D587" s="142" t="s">
        <v>15861</v>
      </c>
      <c r="E587" s="142" t="s">
        <v>15849</v>
      </c>
      <c r="F587" s="142" t="s">
        <v>10644</v>
      </c>
      <c r="G587" s="142" t="s">
        <v>10643</v>
      </c>
      <c r="H587" s="142" t="s">
        <v>16437</v>
      </c>
      <c r="I587" s="142">
        <v>12</v>
      </c>
      <c r="J587" s="142">
        <v>12</v>
      </c>
      <c r="K587" s="142">
        <v>0</v>
      </c>
      <c r="L587" s="142">
        <v>0</v>
      </c>
      <c r="M587" s="142">
        <v>0</v>
      </c>
    </row>
    <row r="588" spans="1:13" x14ac:dyDescent="0.45">
      <c r="A588" s="142" t="s">
        <v>13269</v>
      </c>
      <c r="B588" s="142" t="s">
        <v>14794</v>
      </c>
      <c r="C588" s="142" t="s">
        <v>15860</v>
      </c>
      <c r="D588" s="142" t="s">
        <v>15861</v>
      </c>
      <c r="E588" s="142" t="s">
        <v>15849</v>
      </c>
      <c r="F588" s="142" t="s">
        <v>10644</v>
      </c>
      <c r="G588" s="142" t="s">
        <v>10643</v>
      </c>
      <c r="H588" s="142" t="s">
        <v>16438</v>
      </c>
      <c r="I588" s="142">
        <v>196</v>
      </c>
      <c r="J588" s="142">
        <v>0</v>
      </c>
      <c r="K588" s="142">
        <v>0</v>
      </c>
      <c r="L588" s="142">
        <v>196</v>
      </c>
      <c r="M588" s="142">
        <v>0</v>
      </c>
    </row>
    <row r="589" spans="1:13" x14ac:dyDescent="0.45">
      <c r="A589" s="142" t="s">
        <v>13021</v>
      </c>
      <c r="B589" s="142" t="s">
        <v>15501</v>
      </c>
      <c r="C589" s="142" t="s">
        <v>15847</v>
      </c>
      <c r="D589" s="142" t="s">
        <v>15848</v>
      </c>
      <c r="E589" s="142" t="s">
        <v>15849</v>
      </c>
      <c r="F589" s="142" t="s">
        <v>6412</v>
      </c>
      <c r="G589" s="142" t="s">
        <v>6411</v>
      </c>
      <c r="H589" s="142" t="s">
        <v>16439</v>
      </c>
      <c r="I589" s="142">
        <v>42</v>
      </c>
      <c r="J589" s="142">
        <v>0</v>
      </c>
      <c r="K589" s="142">
        <v>0</v>
      </c>
      <c r="L589" s="142">
        <v>35</v>
      </c>
      <c r="M589" s="142">
        <v>7</v>
      </c>
    </row>
    <row r="590" spans="1:13" x14ac:dyDescent="0.45">
      <c r="A590" s="142" t="s">
        <v>13022</v>
      </c>
      <c r="B590" s="142" t="s">
        <v>14634</v>
      </c>
      <c r="C590" s="142" t="s">
        <v>15847</v>
      </c>
      <c r="D590" s="142" t="s">
        <v>15848</v>
      </c>
      <c r="E590" s="142" t="s">
        <v>15849</v>
      </c>
      <c r="F590" s="142" t="s">
        <v>6412</v>
      </c>
      <c r="G590" s="142" t="s">
        <v>6411</v>
      </c>
      <c r="H590" s="142" t="s">
        <v>16440</v>
      </c>
      <c r="I590" s="142">
        <v>53</v>
      </c>
      <c r="J590" s="142">
        <v>51</v>
      </c>
      <c r="K590" s="142">
        <v>0</v>
      </c>
      <c r="L590" s="142">
        <v>0</v>
      </c>
      <c r="M590" s="142">
        <v>2</v>
      </c>
    </row>
    <row r="591" spans="1:13" x14ac:dyDescent="0.45">
      <c r="A591" s="142" t="s">
        <v>13023</v>
      </c>
      <c r="B591" s="142" t="s">
        <v>15571</v>
      </c>
      <c r="C591" s="142" t="s">
        <v>15847</v>
      </c>
      <c r="D591" s="142" t="s">
        <v>15848</v>
      </c>
      <c r="E591" s="142" t="s">
        <v>15849</v>
      </c>
      <c r="F591" s="142" t="s">
        <v>6412</v>
      </c>
      <c r="G591" s="142" t="s">
        <v>6411</v>
      </c>
      <c r="H591" s="142" t="s">
        <v>16441</v>
      </c>
      <c r="I591" s="142">
        <v>90</v>
      </c>
      <c r="J591" s="142">
        <v>0</v>
      </c>
      <c r="K591" s="142">
        <v>0</v>
      </c>
      <c r="L591" s="142">
        <v>90</v>
      </c>
      <c r="M591" s="142">
        <v>0</v>
      </c>
    </row>
    <row r="592" spans="1:13" x14ac:dyDescent="0.45">
      <c r="A592" s="142" t="s">
        <v>13238</v>
      </c>
      <c r="B592" s="142" t="s">
        <v>14477</v>
      </c>
      <c r="C592" s="142" t="s">
        <v>15860</v>
      </c>
      <c r="D592" s="142" t="s">
        <v>15861</v>
      </c>
      <c r="E592" s="142" t="s">
        <v>15849</v>
      </c>
      <c r="F592" s="142" t="s">
        <v>6412</v>
      </c>
      <c r="G592" s="142" t="s">
        <v>6411</v>
      </c>
      <c r="H592" s="142" t="s">
        <v>16442</v>
      </c>
      <c r="I592" s="142">
        <v>5</v>
      </c>
      <c r="J592" s="142">
        <v>0</v>
      </c>
      <c r="K592" s="142">
        <v>0</v>
      </c>
      <c r="L592" s="142">
        <v>5</v>
      </c>
      <c r="M592" s="142">
        <v>0</v>
      </c>
    </row>
    <row r="593" spans="1:13" x14ac:dyDescent="0.45">
      <c r="A593" s="142" t="s">
        <v>13024</v>
      </c>
      <c r="B593" s="142" t="s">
        <v>14538</v>
      </c>
      <c r="C593" s="142" t="s">
        <v>15847</v>
      </c>
      <c r="D593" s="142" t="s">
        <v>15848</v>
      </c>
      <c r="E593" s="142" t="s">
        <v>15849</v>
      </c>
      <c r="F593" s="142" t="s">
        <v>6412</v>
      </c>
      <c r="G593" s="142" t="s">
        <v>6411</v>
      </c>
      <c r="H593" s="142" t="s">
        <v>16443</v>
      </c>
      <c r="I593" s="142">
        <v>2852</v>
      </c>
      <c r="J593" s="142">
        <v>1268</v>
      </c>
      <c r="K593" s="142">
        <v>0</v>
      </c>
      <c r="L593" s="142">
        <v>1358</v>
      </c>
      <c r="M593" s="142">
        <v>226</v>
      </c>
    </row>
    <row r="594" spans="1:13" x14ac:dyDescent="0.45">
      <c r="A594" s="142" t="s">
        <v>13074</v>
      </c>
      <c r="B594" s="142" t="s">
        <v>15405</v>
      </c>
      <c r="C594" s="142" t="s">
        <v>15847</v>
      </c>
      <c r="D594" s="142" t="s">
        <v>15848</v>
      </c>
      <c r="E594" s="142" t="s">
        <v>15849</v>
      </c>
      <c r="F594" s="142" t="s">
        <v>6412</v>
      </c>
      <c r="G594" s="142" t="s">
        <v>6411</v>
      </c>
      <c r="H594" s="142" t="s">
        <v>16444</v>
      </c>
      <c r="I594" s="142">
        <v>9</v>
      </c>
      <c r="J594" s="142">
        <v>9</v>
      </c>
      <c r="K594" s="142">
        <v>0</v>
      </c>
      <c r="L594" s="142">
        <v>0</v>
      </c>
      <c r="M594" s="142">
        <v>0</v>
      </c>
    </row>
    <row r="595" spans="1:13" x14ac:dyDescent="0.45">
      <c r="A595" s="142" t="s">
        <v>13026</v>
      </c>
      <c r="B595" s="142" t="s">
        <v>15447</v>
      </c>
      <c r="C595" s="142" t="s">
        <v>15847</v>
      </c>
      <c r="D595" s="142" t="s">
        <v>15848</v>
      </c>
      <c r="E595" s="142" t="s">
        <v>15849</v>
      </c>
      <c r="F595" s="142" t="s">
        <v>6412</v>
      </c>
      <c r="G595" s="142" t="s">
        <v>6411</v>
      </c>
      <c r="H595" s="142" t="s">
        <v>16445</v>
      </c>
      <c r="I595" s="142">
        <v>7</v>
      </c>
      <c r="J595" s="142">
        <v>5</v>
      </c>
      <c r="K595" s="142">
        <v>0</v>
      </c>
      <c r="L595" s="142">
        <v>0</v>
      </c>
      <c r="M595" s="142">
        <v>2</v>
      </c>
    </row>
    <row r="596" spans="1:13" x14ac:dyDescent="0.45">
      <c r="A596" s="142" t="s">
        <v>13271</v>
      </c>
      <c r="B596" s="142" t="s">
        <v>15470</v>
      </c>
      <c r="C596" s="142" t="s">
        <v>15847</v>
      </c>
      <c r="D596" s="142" t="s">
        <v>15848</v>
      </c>
      <c r="E596" s="142" t="s">
        <v>15849</v>
      </c>
      <c r="F596" s="142" t="s">
        <v>6412</v>
      </c>
      <c r="G596" s="142" t="s">
        <v>6411</v>
      </c>
      <c r="H596" s="142" t="s">
        <v>16446</v>
      </c>
      <c r="I596" s="142">
        <v>5</v>
      </c>
      <c r="J596" s="142">
        <v>5</v>
      </c>
      <c r="K596" s="142">
        <v>0</v>
      </c>
      <c r="L596" s="142">
        <v>0</v>
      </c>
      <c r="M596" s="142">
        <v>0</v>
      </c>
    </row>
    <row r="597" spans="1:13" x14ac:dyDescent="0.45">
      <c r="A597" s="142" t="s">
        <v>13149</v>
      </c>
      <c r="B597" s="142" t="s">
        <v>14458</v>
      </c>
      <c r="C597" s="142" t="s">
        <v>15860</v>
      </c>
      <c r="D597" s="142" t="s">
        <v>15861</v>
      </c>
      <c r="E597" s="142" t="s">
        <v>15849</v>
      </c>
      <c r="F597" s="142" t="s">
        <v>6412</v>
      </c>
      <c r="G597" s="142" t="s">
        <v>6411</v>
      </c>
      <c r="H597" s="142" t="s">
        <v>16447</v>
      </c>
      <c r="I597" s="142">
        <v>4</v>
      </c>
      <c r="J597" s="142">
        <v>0</v>
      </c>
      <c r="K597" s="142">
        <v>0</v>
      </c>
      <c r="L597" s="142">
        <v>4</v>
      </c>
      <c r="M597" s="142">
        <v>0</v>
      </c>
    </row>
    <row r="598" spans="1:13" x14ac:dyDescent="0.45">
      <c r="A598" s="142" t="s">
        <v>13029</v>
      </c>
      <c r="B598" s="142" t="s">
        <v>14665</v>
      </c>
      <c r="C598" s="142" t="s">
        <v>15847</v>
      </c>
      <c r="D598" s="142" t="s">
        <v>15848</v>
      </c>
      <c r="E598" s="142" t="s">
        <v>15849</v>
      </c>
      <c r="F598" s="142" t="s">
        <v>6412</v>
      </c>
      <c r="G598" s="142" t="s">
        <v>6411</v>
      </c>
      <c r="H598" s="142" t="s">
        <v>16448</v>
      </c>
      <c r="I598" s="142">
        <v>4</v>
      </c>
      <c r="J598" s="142">
        <v>0</v>
      </c>
      <c r="K598" s="142">
        <v>0</v>
      </c>
      <c r="L598" s="142">
        <v>0</v>
      </c>
      <c r="M598" s="142">
        <v>4</v>
      </c>
    </row>
    <row r="599" spans="1:13" x14ac:dyDescent="0.45">
      <c r="A599" s="142" t="s">
        <v>13248</v>
      </c>
      <c r="B599" s="142" t="s">
        <v>15463</v>
      </c>
      <c r="C599" s="142" t="s">
        <v>15847</v>
      </c>
      <c r="D599" s="142" t="s">
        <v>15848</v>
      </c>
      <c r="E599" s="142" t="s">
        <v>15849</v>
      </c>
      <c r="F599" s="142" t="s">
        <v>6412</v>
      </c>
      <c r="G599" s="142" t="s">
        <v>6411</v>
      </c>
      <c r="H599" s="142" t="s">
        <v>16449</v>
      </c>
      <c r="I599" s="142">
        <v>203</v>
      </c>
      <c r="J599" s="142">
        <v>148</v>
      </c>
      <c r="K599" s="142">
        <v>0</v>
      </c>
      <c r="L599" s="142">
        <v>0</v>
      </c>
      <c r="M599" s="142">
        <v>55</v>
      </c>
    </row>
    <row r="600" spans="1:13" x14ac:dyDescent="0.45">
      <c r="A600" s="142" t="s">
        <v>13272</v>
      </c>
      <c r="B600" s="142" t="s">
        <v>14467</v>
      </c>
      <c r="C600" s="142" t="s">
        <v>15860</v>
      </c>
      <c r="D600" s="142" t="s">
        <v>15861</v>
      </c>
      <c r="E600" s="142" t="s">
        <v>15849</v>
      </c>
      <c r="F600" s="142" t="s">
        <v>6412</v>
      </c>
      <c r="G600" s="142" t="s">
        <v>6411</v>
      </c>
      <c r="H600" s="142" t="s">
        <v>16450</v>
      </c>
      <c r="I600" s="142">
        <v>15</v>
      </c>
      <c r="J600" s="142">
        <v>0</v>
      </c>
      <c r="K600" s="142">
        <v>0</v>
      </c>
      <c r="L600" s="142">
        <v>15</v>
      </c>
      <c r="M600" s="142">
        <v>0</v>
      </c>
    </row>
    <row r="601" spans="1:13" x14ac:dyDescent="0.45">
      <c r="A601" s="142" t="s">
        <v>13030</v>
      </c>
      <c r="B601" s="142" t="s">
        <v>14572</v>
      </c>
      <c r="C601" s="142" t="s">
        <v>15847</v>
      </c>
      <c r="D601" s="142" t="s">
        <v>15848</v>
      </c>
      <c r="E601" s="142" t="s">
        <v>15849</v>
      </c>
      <c r="F601" s="142" t="s">
        <v>6412</v>
      </c>
      <c r="G601" s="142" t="s">
        <v>6411</v>
      </c>
      <c r="H601" s="142" t="s">
        <v>16451</v>
      </c>
      <c r="I601" s="142">
        <v>142</v>
      </c>
      <c r="J601" s="142">
        <v>118</v>
      </c>
      <c r="K601" s="142">
        <v>0</v>
      </c>
      <c r="L601" s="142">
        <v>0</v>
      </c>
      <c r="M601" s="142">
        <v>24</v>
      </c>
    </row>
    <row r="602" spans="1:13" x14ac:dyDescent="0.45">
      <c r="A602" s="142" t="s">
        <v>13077</v>
      </c>
      <c r="B602" s="142" t="s">
        <v>15407</v>
      </c>
      <c r="C602" s="142" t="s">
        <v>15847</v>
      </c>
      <c r="D602" s="142" t="s">
        <v>15848</v>
      </c>
      <c r="E602" s="142" t="s">
        <v>15849</v>
      </c>
      <c r="F602" s="142" t="s">
        <v>6412</v>
      </c>
      <c r="G602" s="142" t="s">
        <v>6411</v>
      </c>
      <c r="H602" s="142" t="s">
        <v>16452</v>
      </c>
      <c r="I602" s="142">
        <v>144</v>
      </c>
      <c r="J602" s="142">
        <v>144</v>
      </c>
      <c r="K602" s="142">
        <v>0</v>
      </c>
      <c r="L602" s="142">
        <v>0</v>
      </c>
      <c r="M602" s="142">
        <v>0</v>
      </c>
    </row>
    <row r="603" spans="1:13" x14ac:dyDescent="0.45">
      <c r="A603" s="142" t="s">
        <v>13055</v>
      </c>
      <c r="B603" s="142" t="s">
        <v>14595</v>
      </c>
      <c r="C603" s="142" t="s">
        <v>15847</v>
      </c>
      <c r="D603" s="142" t="s">
        <v>15848</v>
      </c>
      <c r="E603" s="142" t="s">
        <v>15849</v>
      </c>
      <c r="F603" s="142" t="s">
        <v>6412</v>
      </c>
      <c r="G603" s="142" t="s">
        <v>6411</v>
      </c>
      <c r="H603" s="142" t="s">
        <v>16453</v>
      </c>
      <c r="I603" s="142">
        <v>89</v>
      </c>
      <c r="J603" s="142">
        <v>82</v>
      </c>
      <c r="K603" s="142">
        <v>0</v>
      </c>
      <c r="L603" s="142">
        <v>0</v>
      </c>
      <c r="M603" s="142">
        <v>7</v>
      </c>
    </row>
    <row r="604" spans="1:13" x14ac:dyDescent="0.45">
      <c r="A604" s="142" t="s">
        <v>13033</v>
      </c>
      <c r="B604" s="142" t="s">
        <v>15276</v>
      </c>
      <c r="C604" s="142" t="s">
        <v>15847</v>
      </c>
      <c r="D604" s="142" t="s">
        <v>15848</v>
      </c>
      <c r="E604" s="142" t="s">
        <v>15849</v>
      </c>
      <c r="F604" s="142" t="s">
        <v>6412</v>
      </c>
      <c r="G604" s="142" t="s">
        <v>6411</v>
      </c>
      <c r="H604" s="142" t="s">
        <v>16454</v>
      </c>
      <c r="I604" s="142">
        <v>1</v>
      </c>
      <c r="J604" s="142">
        <v>1</v>
      </c>
      <c r="K604" s="142">
        <v>0</v>
      </c>
      <c r="L604" s="142">
        <v>0</v>
      </c>
      <c r="M604" s="142">
        <v>0</v>
      </c>
    </row>
    <row r="605" spans="1:13" x14ac:dyDescent="0.45">
      <c r="A605" s="142" t="s">
        <v>13034</v>
      </c>
      <c r="B605" s="142" t="s">
        <v>15562</v>
      </c>
      <c r="C605" s="142" t="s">
        <v>15847</v>
      </c>
      <c r="D605" s="142" t="s">
        <v>15848</v>
      </c>
      <c r="E605" s="142" t="s">
        <v>15849</v>
      </c>
      <c r="F605" s="142" t="s">
        <v>6412</v>
      </c>
      <c r="G605" s="142" t="s">
        <v>6411</v>
      </c>
      <c r="H605" s="142" t="s">
        <v>16455</v>
      </c>
      <c r="I605" s="142">
        <v>77</v>
      </c>
      <c r="J605" s="142">
        <v>67</v>
      </c>
      <c r="K605" s="142">
        <v>0</v>
      </c>
      <c r="L605" s="142">
        <v>0</v>
      </c>
      <c r="M605" s="142">
        <v>10</v>
      </c>
    </row>
    <row r="606" spans="1:13" x14ac:dyDescent="0.45">
      <c r="A606" s="142" t="s">
        <v>13035</v>
      </c>
      <c r="B606" s="142" t="s">
        <v>14648</v>
      </c>
      <c r="C606" s="142" t="s">
        <v>15847</v>
      </c>
      <c r="D606" s="142" t="s">
        <v>15848</v>
      </c>
      <c r="E606" s="142" t="s">
        <v>15849</v>
      </c>
      <c r="F606" s="142" t="s">
        <v>6412</v>
      </c>
      <c r="G606" s="142" t="s">
        <v>6411</v>
      </c>
      <c r="H606" s="142" t="s">
        <v>16456</v>
      </c>
      <c r="I606" s="142">
        <v>437</v>
      </c>
      <c r="J606" s="142">
        <v>347</v>
      </c>
      <c r="K606" s="142">
        <v>0</v>
      </c>
      <c r="L606" s="142">
        <v>0</v>
      </c>
      <c r="M606" s="142">
        <v>90</v>
      </c>
    </row>
    <row r="607" spans="1:13" x14ac:dyDescent="0.45">
      <c r="A607" s="142" t="s">
        <v>13036</v>
      </c>
      <c r="B607" s="142" t="s">
        <v>15567</v>
      </c>
      <c r="C607" s="142" t="s">
        <v>15847</v>
      </c>
      <c r="D607" s="142" t="s">
        <v>15848</v>
      </c>
      <c r="E607" s="142" t="s">
        <v>15849</v>
      </c>
      <c r="F607" s="142" t="s">
        <v>6412</v>
      </c>
      <c r="G607" s="142" t="s">
        <v>6411</v>
      </c>
      <c r="H607" s="142" t="s">
        <v>16457</v>
      </c>
      <c r="I607" s="142">
        <v>7</v>
      </c>
      <c r="J607" s="142">
        <v>0</v>
      </c>
      <c r="K607" s="142">
        <v>0</v>
      </c>
      <c r="L607" s="142">
        <v>7</v>
      </c>
      <c r="M607" s="142">
        <v>0</v>
      </c>
    </row>
    <row r="608" spans="1:13" x14ac:dyDescent="0.45">
      <c r="A608" s="142" t="s">
        <v>13009</v>
      </c>
      <c r="B608" s="142" t="s">
        <v>15256</v>
      </c>
      <c r="C608" s="142" t="s">
        <v>15847</v>
      </c>
      <c r="D608" s="142" t="s">
        <v>15848</v>
      </c>
      <c r="E608" s="142" t="s">
        <v>15849</v>
      </c>
      <c r="F608" s="142" t="s">
        <v>6412</v>
      </c>
      <c r="G608" s="142" t="s">
        <v>6411</v>
      </c>
      <c r="H608" s="142" t="s">
        <v>16458</v>
      </c>
      <c r="I608" s="142">
        <v>3</v>
      </c>
      <c r="J608" s="142">
        <v>2</v>
      </c>
      <c r="K608" s="142">
        <v>0</v>
      </c>
      <c r="L608" s="142">
        <v>0</v>
      </c>
      <c r="M608" s="142">
        <v>1</v>
      </c>
    </row>
    <row r="609" spans="1:13" x14ac:dyDescent="0.45">
      <c r="A609" s="142" t="s">
        <v>13012</v>
      </c>
      <c r="B609" s="142" t="s">
        <v>15337</v>
      </c>
      <c r="C609" s="142" t="s">
        <v>15847</v>
      </c>
      <c r="D609" s="142" t="s">
        <v>15848</v>
      </c>
      <c r="E609" s="142" t="s">
        <v>15849</v>
      </c>
      <c r="F609" s="142" t="s">
        <v>6412</v>
      </c>
      <c r="G609" s="142" t="s">
        <v>6411</v>
      </c>
      <c r="H609" s="142" t="s">
        <v>16459</v>
      </c>
      <c r="I609" s="142">
        <v>167</v>
      </c>
      <c r="J609" s="142">
        <v>138</v>
      </c>
      <c r="K609" s="142">
        <v>0</v>
      </c>
      <c r="L609" s="142">
        <v>0</v>
      </c>
      <c r="M609" s="142">
        <v>29</v>
      </c>
    </row>
    <row r="610" spans="1:13" x14ac:dyDescent="0.45">
      <c r="A610" s="142" t="s">
        <v>13042</v>
      </c>
      <c r="B610" s="142" t="s">
        <v>15489</v>
      </c>
      <c r="C610" s="142" t="s">
        <v>15847</v>
      </c>
      <c r="D610" s="142" t="s">
        <v>15848</v>
      </c>
      <c r="E610" s="142" t="s">
        <v>15849</v>
      </c>
      <c r="F610" s="142" t="s">
        <v>6412</v>
      </c>
      <c r="G610" s="142" t="s">
        <v>6411</v>
      </c>
      <c r="H610" s="142" t="s">
        <v>16460</v>
      </c>
      <c r="I610" s="142">
        <v>59</v>
      </c>
      <c r="J610" s="142">
        <v>39</v>
      </c>
      <c r="K610" s="142">
        <v>0</v>
      </c>
      <c r="L610" s="142">
        <v>0</v>
      </c>
      <c r="M610" s="142">
        <v>20</v>
      </c>
    </row>
    <row r="611" spans="1:13" x14ac:dyDescent="0.45">
      <c r="A611" s="142" t="s">
        <v>13020</v>
      </c>
      <c r="B611" s="142" t="s">
        <v>15523</v>
      </c>
      <c r="C611" s="142" t="s">
        <v>15860</v>
      </c>
      <c r="D611" s="142" t="s">
        <v>15861</v>
      </c>
      <c r="E611" s="142" t="s">
        <v>15849</v>
      </c>
      <c r="F611" s="142" t="s">
        <v>603</v>
      </c>
      <c r="G611" s="142" t="s">
        <v>602</v>
      </c>
      <c r="H611" s="142" t="s">
        <v>16461</v>
      </c>
      <c r="I611" s="142">
        <v>10</v>
      </c>
      <c r="J611" s="142">
        <v>0</v>
      </c>
      <c r="K611" s="142">
        <v>0</v>
      </c>
      <c r="L611" s="142">
        <v>10</v>
      </c>
      <c r="M611" s="142">
        <v>0</v>
      </c>
    </row>
    <row r="612" spans="1:13" x14ac:dyDescent="0.45">
      <c r="A612" s="142" t="s">
        <v>13023</v>
      </c>
      <c r="B612" s="142" t="s">
        <v>15571</v>
      </c>
      <c r="C612" s="142" t="s">
        <v>15847</v>
      </c>
      <c r="D612" s="142" t="s">
        <v>15848</v>
      </c>
      <c r="E612" s="142" t="s">
        <v>15849</v>
      </c>
      <c r="F612" s="142" t="s">
        <v>603</v>
      </c>
      <c r="G612" s="142" t="s">
        <v>602</v>
      </c>
      <c r="H612" s="142" t="s">
        <v>16462</v>
      </c>
      <c r="I612" s="142">
        <v>246</v>
      </c>
      <c r="J612" s="142">
        <v>0</v>
      </c>
      <c r="K612" s="142">
        <v>0</v>
      </c>
      <c r="L612" s="142">
        <v>234</v>
      </c>
      <c r="M612" s="142">
        <v>12</v>
      </c>
    </row>
    <row r="613" spans="1:13" x14ac:dyDescent="0.45">
      <c r="A613" s="142" t="s">
        <v>13113</v>
      </c>
      <c r="B613" s="142" t="s">
        <v>14503</v>
      </c>
      <c r="C613" s="142" t="s">
        <v>15860</v>
      </c>
      <c r="D613" s="142" t="s">
        <v>15861</v>
      </c>
      <c r="E613" s="142" t="s">
        <v>15849</v>
      </c>
      <c r="F613" s="142" t="s">
        <v>603</v>
      </c>
      <c r="G613" s="142" t="s">
        <v>602</v>
      </c>
      <c r="H613" s="142" t="s">
        <v>16463</v>
      </c>
      <c r="I613" s="142">
        <v>8</v>
      </c>
      <c r="J613" s="142">
        <v>8</v>
      </c>
      <c r="K613" s="142">
        <v>0</v>
      </c>
      <c r="L613" s="142">
        <v>0</v>
      </c>
      <c r="M613" s="142">
        <v>0</v>
      </c>
    </row>
    <row r="614" spans="1:13" x14ac:dyDescent="0.45">
      <c r="A614" s="142" t="s">
        <v>13082</v>
      </c>
      <c r="B614" s="142" t="s">
        <v>14478</v>
      </c>
      <c r="C614" s="142" t="s">
        <v>15860</v>
      </c>
      <c r="D614" s="142" t="s">
        <v>15861</v>
      </c>
      <c r="E614" s="142" t="s">
        <v>15849</v>
      </c>
      <c r="F614" s="142" t="s">
        <v>603</v>
      </c>
      <c r="G614" s="142" t="s">
        <v>602</v>
      </c>
      <c r="H614" s="142" t="s">
        <v>16464</v>
      </c>
      <c r="I614" s="142">
        <v>100</v>
      </c>
      <c r="J614" s="142">
        <v>0</v>
      </c>
      <c r="K614" s="142">
        <v>0</v>
      </c>
      <c r="L614" s="142">
        <v>100</v>
      </c>
      <c r="M614" s="142">
        <v>0</v>
      </c>
    </row>
    <row r="615" spans="1:13" x14ac:dyDescent="0.45">
      <c r="A615" s="142" t="s">
        <v>13273</v>
      </c>
      <c r="B615" s="142" t="s">
        <v>14465</v>
      </c>
      <c r="C615" s="142" t="s">
        <v>15860</v>
      </c>
      <c r="D615" s="142" t="s">
        <v>15861</v>
      </c>
      <c r="E615" s="142" t="s">
        <v>15849</v>
      </c>
      <c r="F615" s="142" t="s">
        <v>603</v>
      </c>
      <c r="G615" s="142" t="s">
        <v>602</v>
      </c>
      <c r="H615" s="142" t="s">
        <v>16465</v>
      </c>
      <c r="I615" s="142">
        <v>4</v>
      </c>
      <c r="J615" s="142">
        <v>0</v>
      </c>
      <c r="K615" s="142">
        <v>0</v>
      </c>
      <c r="L615" s="142">
        <v>4</v>
      </c>
      <c r="M615" s="142">
        <v>0</v>
      </c>
    </row>
    <row r="616" spans="1:13" x14ac:dyDescent="0.45">
      <c r="A616" s="142" t="s">
        <v>13085</v>
      </c>
      <c r="B616" s="142" t="s">
        <v>14460</v>
      </c>
      <c r="C616" s="142" t="s">
        <v>15860</v>
      </c>
      <c r="D616" s="142" t="s">
        <v>15861</v>
      </c>
      <c r="E616" s="142" t="s">
        <v>15849</v>
      </c>
      <c r="F616" s="142" t="s">
        <v>603</v>
      </c>
      <c r="G616" s="142" t="s">
        <v>602</v>
      </c>
      <c r="H616" s="142" t="s">
        <v>16466</v>
      </c>
      <c r="I616" s="142">
        <v>8</v>
      </c>
      <c r="J616" s="142">
        <v>0</v>
      </c>
      <c r="K616" s="142">
        <v>0</v>
      </c>
      <c r="L616" s="142">
        <v>8</v>
      </c>
      <c r="M616" s="142">
        <v>0</v>
      </c>
    </row>
    <row r="617" spans="1:13" x14ac:dyDescent="0.45">
      <c r="A617" s="142" t="s">
        <v>13027</v>
      </c>
      <c r="B617" s="142" t="s">
        <v>14562</v>
      </c>
      <c r="C617" s="142" t="s">
        <v>15847</v>
      </c>
      <c r="D617" s="142" t="s">
        <v>15848</v>
      </c>
      <c r="E617" s="142" t="s">
        <v>15849</v>
      </c>
      <c r="F617" s="142" t="s">
        <v>603</v>
      </c>
      <c r="G617" s="142" t="s">
        <v>602</v>
      </c>
      <c r="H617" s="142" t="s">
        <v>16467</v>
      </c>
      <c r="I617" s="142">
        <v>1</v>
      </c>
      <c r="J617" s="142">
        <v>0</v>
      </c>
      <c r="K617" s="142">
        <v>0</v>
      </c>
      <c r="L617" s="142">
        <v>1</v>
      </c>
      <c r="M617" s="142">
        <v>0</v>
      </c>
    </row>
    <row r="618" spans="1:13" x14ac:dyDescent="0.45">
      <c r="A618" s="142" t="s">
        <v>13148</v>
      </c>
      <c r="B618" s="142" t="s">
        <v>15314</v>
      </c>
      <c r="C618" s="142" t="s">
        <v>15847</v>
      </c>
      <c r="D618" s="142" t="s">
        <v>15848</v>
      </c>
      <c r="E618" s="142" t="s">
        <v>15849</v>
      </c>
      <c r="F618" s="142" t="s">
        <v>603</v>
      </c>
      <c r="G618" s="142" t="s">
        <v>602</v>
      </c>
      <c r="H618" s="142" t="s">
        <v>16468</v>
      </c>
      <c r="I618" s="142">
        <v>1100</v>
      </c>
      <c r="J618" s="142">
        <v>1033</v>
      </c>
      <c r="K618" s="142">
        <v>0</v>
      </c>
      <c r="L618" s="142">
        <v>22</v>
      </c>
      <c r="M618" s="142">
        <v>45</v>
      </c>
    </row>
    <row r="619" spans="1:13" x14ac:dyDescent="0.45">
      <c r="A619" s="142" t="s">
        <v>13149</v>
      </c>
      <c r="B619" s="142" t="s">
        <v>14458</v>
      </c>
      <c r="C619" s="142" t="s">
        <v>15860</v>
      </c>
      <c r="D619" s="142" t="s">
        <v>15861</v>
      </c>
      <c r="E619" s="142" t="s">
        <v>15849</v>
      </c>
      <c r="F619" s="142" t="s">
        <v>603</v>
      </c>
      <c r="G619" s="142" t="s">
        <v>602</v>
      </c>
      <c r="H619" s="142" t="s">
        <v>16469</v>
      </c>
      <c r="I619" s="142">
        <v>15</v>
      </c>
      <c r="J619" s="142">
        <v>0</v>
      </c>
      <c r="K619" s="142">
        <v>0</v>
      </c>
      <c r="L619" s="142">
        <v>15</v>
      </c>
      <c r="M619" s="142">
        <v>0</v>
      </c>
    </row>
    <row r="620" spans="1:13" x14ac:dyDescent="0.45">
      <c r="A620" s="142" t="s">
        <v>13028</v>
      </c>
      <c r="B620" s="142" t="s">
        <v>14462</v>
      </c>
      <c r="C620" s="142" t="s">
        <v>15847</v>
      </c>
      <c r="D620" s="142" t="s">
        <v>15848</v>
      </c>
      <c r="E620" s="142" t="s">
        <v>15849</v>
      </c>
      <c r="F620" s="142" t="s">
        <v>603</v>
      </c>
      <c r="G620" s="142" t="s">
        <v>602</v>
      </c>
      <c r="H620" s="142" t="s">
        <v>16470</v>
      </c>
      <c r="I620" s="142">
        <v>6</v>
      </c>
      <c r="J620" s="142">
        <v>0</v>
      </c>
      <c r="K620" s="142">
        <v>0</v>
      </c>
      <c r="L620" s="142">
        <v>0</v>
      </c>
      <c r="M620" s="142">
        <v>6</v>
      </c>
    </row>
    <row r="621" spans="1:13" x14ac:dyDescent="0.45">
      <c r="A621" s="142" t="s">
        <v>13003</v>
      </c>
      <c r="B621" s="142" t="s">
        <v>15245</v>
      </c>
      <c r="C621" s="142" t="s">
        <v>15847</v>
      </c>
      <c r="D621" s="142" t="s">
        <v>15848</v>
      </c>
      <c r="E621" s="142" t="s">
        <v>15849</v>
      </c>
      <c r="F621" s="142" t="s">
        <v>603</v>
      </c>
      <c r="G621" s="142" t="s">
        <v>602</v>
      </c>
      <c r="H621" s="142" t="s">
        <v>16471</v>
      </c>
      <c r="I621" s="142">
        <v>181</v>
      </c>
      <c r="J621" s="142">
        <v>0</v>
      </c>
      <c r="K621" s="142">
        <v>0</v>
      </c>
      <c r="L621" s="142">
        <v>169</v>
      </c>
      <c r="M621" s="142">
        <v>12</v>
      </c>
    </row>
    <row r="622" spans="1:13" x14ac:dyDescent="0.45">
      <c r="A622" s="142" t="s">
        <v>13066</v>
      </c>
      <c r="B622" s="142" t="s">
        <v>14459</v>
      </c>
      <c r="C622" s="142" t="s">
        <v>15847</v>
      </c>
      <c r="D622" s="142" t="s">
        <v>15848</v>
      </c>
      <c r="E622" s="142" t="s">
        <v>15849</v>
      </c>
      <c r="F622" s="142" t="s">
        <v>603</v>
      </c>
      <c r="G622" s="142" t="s">
        <v>602</v>
      </c>
      <c r="H622" s="142" t="s">
        <v>16472</v>
      </c>
      <c r="I622" s="142">
        <v>106</v>
      </c>
      <c r="J622" s="142">
        <v>0</v>
      </c>
      <c r="K622" s="142">
        <v>0</v>
      </c>
      <c r="L622" s="142">
        <v>106</v>
      </c>
      <c r="M622" s="142">
        <v>0</v>
      </c>
    </row>
    <row r="623" spans="1:13" x14ac:dyDescent="0.45">
      <c r="A623" s="142" t="s">
        <v>13274</v>
      </c>
      <c r="B623" s="142" t="s">
        <v>14608</v>
      </c>
      <c r="C623" s="142" t="s">
        <v>15860</v>
      </c>
      <c r="D623" s="142" t="s">
        <v>15861</v>
      </c>
      <c r="E623" s="142" t="s">
        <v>15849</v>
      </c>
      <c r="F623" s="142" t="s">
        <v>603</v>
      </c>
      <c r="G623" s="142" t="s">
        <v>602</v>
      </c>
      <c r="H623" s="142" t="s">
        <v>16473</v>
      </c>
      <c r="I623" s="142">
        <v>1</v>
      </c>
      <c r="J623" s="142">
        <v>0</v>
      </c>
      <c r="K623" s="142">
        <v>0</v>
      </c>
      <c r="L623" s="142">
        <v>1</v>
      </c>
      <c r="M623" s="142">
        <v>0</v>
      </c>
    </row>
    <row r="624" spans="1:13" x14ac:dyDescent="0.45">
      <c r="A624" s="142" t="s">
        <v>13275</v>
      </c>
      <c r="B624" s="142" t="s">
        <v>14854</v>
      </c>
      <c r="C624" s="142" t="s">
        <v>15860</v>
      </c>
      <c r="D624" s="142" t="s">
        <v>15861</v>
      </c>
      <c r="E624" s="142" t="s">
        <v>15849</v>
      </c>
      <c r="F624" s="142" t="s">
        <v>603</v>
      </c>
      <c r="G624" s="142" t="s">
        <v>602</v>
      </c>
      <c r="H624" s="142" t="s">
        <v>16474</v>
      </c>
      <c r="I624" s="142">
        <v>8</v>
      </c>
      <c r="J624" s="142">
        <v>0</v>
      </c>
      <c r="K624" s="142">
        <v>0</v>
      </c>
      <c r="L624" s="142">
        <v>8</v>
      </c>
      <c r="M624" s="142">
        <v>0</v>
      </c>
    </row>
    <row r="625" spans="1:13" x14ac:dyDescent="0.45">
      <c r="A625" s="142" t="s">
        <v>13029</v>
      </c>
      <c r="B625" s="142" t="s">
        <v>14665</v>
      </c>
      <c r="C625" s="142" t="s">
        <v>15847</v>
      </c>
      <c r="D625" s="142" t="s">
        <v>15848</v>
      </c>
      <c r="E625" s="142" t="s">
        <v>15849</v>
      </c>
      <c r="F625" s="142" t="s">
        <v>603</v>
      </c>
      <c r="G625" s="142" t="s">
        <v>602</v>
      </c>
      <c r="H625" s="142" t="s">
        <v>16475</v>
      </c>
      <c r="I625" s="142">
        <v>21</v>
      </c>
      <c r="J625" s="142">
        <v>0</v>
      </c>
      <c r="K625" s="142">
        <v>0</v>
      </c>
      <c r="L625" s="142">
        <v>0</v>
      </c>
      <c r="M625" s="142">
        <v>21</v>
      </c>
    </row>
    <row r="626" spans="1:13" x14ac:dyDescent="0.45">
      <c r="A626" s="142" t="s">
        <v>13249</v>
      </c>
      <c r="B626" s="142" t="s">
        <v>14602</v>
      </c>
      <c r="C626" s="142" t="s">
        <v>15847</v>
      </c>
      <c r="D626" s="142" t="s">
        <v>15848</v>
      </c>
      <c r="E626" s="142" t="s">
        <v>15849</v>
      </c>
      <c r="F626" s="142" t="s">
        <v>603</v>
      </c>
      <c r="G626" s="142" t="s">
        <v>602</v>
      </c>
      <c r="H626" s="142" t="s">
        <v>16476</v>
      </c>
      <c r="I626" s="142">
        <v>63</v>
      </c>
      <c r="J626" s="142">
        <v>15</v>
      </c>
      <c r="K626" s="142">
        <v>0</v>
      </c>
      <c r="L626" s="142">
        <v>46</v>
      </c>
      <c r="M626" s="142">
        <v>2</v>
      </c>
    </row>
    <row r="627" spans="1:13" x14ac:dyDescent="0.45">
      <c r="A627" s="142" t="s">
        <v>13276</v>
      </c>
      <c r="B627" s="142" t="s">
        <v>15498</v>
      </c>
      <c r="C627" s="142" t="s">
        <v>15847</v>
      </c>
      <c r="D627" s="142" t="s">
        <v>15848</v>
      </c>
      <c r="E627" s="142" t="s">
        <v>15849</v>
      </c>
      <c r="F627" s="142" t="s">
        <v>603</v>
      </c>
      <c r="G627" s="142" t="s">
        <v>602</v>
      </c>
      <c r="H627" s="142" t="s">
        <v>16477</v>
      </c>
      <c r="I627" s="142">
        <v>299</v>
      </c>
      <c r="J627" s="142">
        <v>222</v>
      </c>
      <c r="K627" s="142">
        <v>0</v>
      </c>
      <c r="L627" s="142">
        <v>77</v>
      </c>
      <c r="M627" s="142">
        <v>0</v>
      </c>
    </row>
    <row r="628" spans="1:13" x14ac:dyDescent="0.45">
      <c r="A628" s="142" t="s">
        <v>13032</v>
      </c>
      <c r="B628" s="142" t="s">
        <v>14532</v>
      </c>
      <c r="C628" s="142" t="s">
        <v>15860</v>
      </c>
      <c r="D628" s="142" t="s">
        <v>15861</v>
      </c>
      <c r="E628" s="142" t="s">
        <v>15849</v>
      </c>
      <c r="F628" s="142" t="s">
        <v>603</v>
      </c>
      <c r="G628" s="142" t="s">
        <v>602</v>
      </c>
      <c r="H628" s="142" t="s">
        <v>16478</v>
      </c>
      <c r="I628" s="142">
        <v>4</v>
      </c>
      <c r="J628" s="142">
        <v>1</v>
      </c>
      <c r="K628" s="142">
        <v>0</v>
      </c>
      <c r="L628" s="142">
        <v>3</v>
      </c>
      <c r="M628" s="142">
        <v>0</v>
      </c>
    </row>
    <row r="629" spans="1:13" x14ac:dyDescent="0.45">
      <c r="A629" s="142" t="s">
        <v>13033</v>
      </c>
      <c r="B629" s="142" t="s">
        <v>15276</v>
      </c>
      <c r="C629" s="142" t="s">
        <v>15847</v>
      </c>
      <c r="D629" s="142" t="s">
        <v>15848</v>
      </c>
      <c r="E629" s="142" t="s">
        <v>15849</v>
      </c>
      <c r="F629" s="142" t="s">
        <v>603</v>
      </c>
      <c r="G629" s="142" t="s">
        <v>602</v>
      </c>
      <c r="H629" s="142" t="s">
        <v>16479</v>
      </c>
      <c r="I629" s="142">
        <v>1045</v>
      </c>
      <c r="J629" s="142">
        <v>730</v>
      </c>
      <c r="K629" s="142">
        <v>0</v>
      </c>
      <c r="L629" s="142">
        <v>268</v>
      </c>
      <c r="M629" s="142">
        <v>47</v>
      </c>
    </row>
    <row r="630" spans="1:13" x14ac:dyDescent="0.45">
      <c r="A630" s="142" t="s">
        <v>13034</v>
      </c>
      <c r="B630" s="142" t="s">
        <v>15562</v>
      </c>
      <c r="C630" s="142" t="s">
        <v>15847</v>
      </c>
      <c r="D630" s="142" t="s">
        <v>15848</v>
      </c>
      <c r="E630" s="142" t="s">
        <v>15849</v>
      </c>
      <c r="F630" s="142" t="s">
        <v>603</v>
      </c>
      <c r="G630" s="142" t="s">
        <v>602</v>
      </c>
      <c r="H630" s="142" t="s">
        <v>16480</v>
      </c>
      <c r="I630" s="142">
        <v>82</v>
      </c>
      <c r="J630" s="142">
        <v>0</v>
      </c>
      <c r="K630" s="142">
        <v>0</v>
      </c>
      <c r="L630" s="142">
        <v>82</v>
      </c>
      <c r="M630" s="142">
        <v>0</v>
      </c>
    </row>
    <row r="631" spans="1:13" x14ac:dyDescent="0.45">
      <c r="A631" s="142" t="s">
        <v>13036</v>
      </c>
      <c r="B631" s="142" t="s">
        <v>15567</v>
      </c>
      <c r="C631" s="142" t="s">
        <v>15847</v>
      </c>
      <c r="D631" s="142" t="s">
        <v>15848</v>
      </c>
      <c r="E631" s="142" t="s">
        <v>15849</v>
      </c>
      <c r="F631" s="142" t="s">
        <v>603</v>
      </c>
      <c r="G631" s="142" t="s">
        <v>602</v>
      </c>
      <c r="H631" s="142" t="s">
        <v>16481</v>
      </c>
      <c r="I631" s="142">
        <v>76</v>
      </c>
      <c r="J631" s="142">
        <v>0</v>
      </c>
      <c r="K631" s="142">
        <v>0</v>
      </c>
      <c r="L631" s="142">
        <v>76</v>
      </c>
      <c r="M631" s="142">
        <v>0</v>
      </c>
    </row>
    <row r="632" spans="1:13" x14ac:dyDescent="0.45">
      <c r="A632" s="142" t="s">
        <v>13277</v>
      </c>
      <c r="B632" s="142" t="s">
        <v>14454</v>
      </c>
      <c r="C632" s="142" t="s">
        <v>15847</v>
      </c>
      <c r="D632" s="142" t="s">
        <v>15848</v>
      </c>
      <c r="E632" s="142" t="s">
        <v>15849</v>
      </c>
      <c r="F632" s="142" t="s">
        <v>603</v>
      </c>
      <c r="G632" s="142" t="s">
        <v>602</v>
      </c>
      <c r="H632" s="142" t="s">
        <v>16482</v>
      </c>
      <c r="I632" s="142">
        <v>9</v>
      </c>
      <c r="J632" s="142">
        <v>0</v>
      </c>
      <c r="K632" s="142">
        <v>0</v>
      </c>
      <c r="L632" s="142">
        <v>9</v>
      </c>
      <c r="M632" s="142">
        <v>0</v>
      </c>
    </row>
    <row r="633" spans="1:13" x14ac:dyDescent="0.45">
      <c r="A633" s="142" t="s">
        <v>13038</v>
      </c>
      <c r="B633" s="142" t="s">
        <v>14646</v>
      </c>
      <c r="C633" s="142" t="s">
        <v>15847</v>
      </c>
      <c r="D633" s="142" t="s">
        <v>15848</v>
      </c>
      <c r="E633" s="142" t="s">
        <v>15849</v>
      </c>
      <c r="F633" s="142" t="s">
        <v>603</v>
      </c>
      <c r="G633" s="142" t="s">
        <v>602</v>
      </c>
      <c r="H633" s="142" t="s">
        <v>16483</v>
      </c>
      <c r="I633" s="142">
        <v>2</v>
      </c>
      <c r="J633" s="142">
        <v>0</v>
      </c>
      <c r="K633" s="142">
        <v>0</v>
      </c>
      <c r="L633" s="142">
        <v>0</v>
      </c>
      <c r="M633" s="142">
        <v>2</v>
      </c>
    </row>
    <row r="634" spans="1:13" x14ac:dyDescent="0.45">
      <c r="A634" s="142" t="s">
        <v>13078</v>
      </c>
      <c r="B634" s="142" t="s">
        <v>15540</v>
      </c>
      <c r="C634" s="142" t="s">
        <v>15847</v>
      </c>
      <c r="D634" s="142" t="s">
        <v>15848</v>
      </c>
      <c r="E634" s="142" t="s">
        <v>15849</v>
      </c>
      <c r="F634" s="142" t="s">
        <v>603</v>
      </c>
      <c r="G634" s="142" t="s">
        <v>602</v>
      </c>
      <c r="H634" s="142" t="s">
        <v>16484</v>
      </c>
      <c r="I634" s="142">
        <v>80</v>
      </c>
      <c r="J634" s="142">
        <v>25</v>
      </c>
      <c r="K634" s="142">
        <v>0</v>
      </c>
      <c r="L634" s="142">
        <v>55</v>
      </c>
      <c r="M634" s="142">
        <v>0</v>
      </c>
    </row>
    <row r="635" spans="1:13" x14ac:dyDescent="0.45">
      <c r="A635" s="142" t="s">
        <v>13009</v>
      </c>
      <c r="B635" s="142" t="s">
        <v>15256</v>
      </c>
      <c r="C635" s="142" t="s">
        <v>15847</v>
      </c>
      <c r="D635" s="142" t="s">
        <v>15848</v>
      </c>
      <c r="E635" s="142" t="s">
        <v>15849</v>
      </c>
      <c r="F635" s="142" t="s">
        <v>603</v>
      </c>
      <c r="G635" s="142" t="s">
        <v>602</v>
      </c>
      <c r="H635" s="142" t="s">
        <v>16485</v>
      </c>
      <c r="I635" s="142">
        <v>10</v>
      </c>
      <c r="J635" s="142">
        <v>0</v>
      </c>
      <c r="K635" s="142">
        <v>0</v>
      </c>
      <c r="L635" s="142">
        <v>10</v>
      </c>
      <c r="M635" s="142">
        <v>0</v>
      </c>
    </row>
    <row r="636" spans="1:13" x14ac:dyDescent="0.45">
      <c r="A636" s="142" t="s">
        <v>13014</v>
      </c>
      <c r="B636" s="142" t="s">
        <v>14505</v>
      </c>
      <c r="C636" s="142" t="s">
        <v>15847</v>
      </c>
      <c r="D636" s="142" t="s">
        <v>15848</v>
      </c>
      <c r="E636" s="142" t="s">
        <v>15849</v>
      </c>
      <c r="F636" s="142" t="s">
        <v>603</v>
      </c>
      <c r="G636" s="142" t="s">
        <v>602</v>
      </c>
      <c r="H636" s="142" t="s">
        <v>16486</v>
      </c>
      <c r="I636" s="142">
        <v>748</v>
      </c>
      <c r="J636" s="142">
        <v>603</v>
      </c>
      <c r="K636" s="142">
        <v>0</v>
      </c>
      <c r="L636" s="142">
        <v>127</v>
      </c>
      <c r="M636" s="142">
        <v>18</v>
      </c>
    </row>
    <row r="637" spans="1:13" x14ac:dyDescent="0.45">
      <c r="A637" s="142" t="s">
        <v>13154</v>
      </c>
      <c r="B637" s="142" t="s">
        <v>15415</v>
      </c>
      <c r="C637" s="142" t="s">
        <v>15847</v>
      </c>
      <c r="D637" s="142" t="s">
        <v>15848</v>
      </c>
      <c r="E637" s="142" t="s">
        <v>15849</v>
      </c>
      <c r="F637" s="142" t="s">
        <v>603</v>
      </c>
      <c r="G637" s="142" t="s">
        <v>602</v>
      </c>
      <c r="H637" s="142" t="s">
        <v>16487</v>
      </c>
      <c r="I637" s="142">
        <v>7633</v>
      </c>
      <c r="J637" s="142">
        <v>7409</v>
      </c>
      <c r="K637" s="142">
        <v>0</v>
      </c>
      <c r="L637" s="142">
        <v>125</v>
      </c>
      <c r="M637" s="142">
        <v>99</v>
      </c>
    </row>
    <row r="638" spans="1:13" x14ac:dyDescent="0.45">
      <c r="A638" s="142" t="s">
        <v>13222</v>
      </c>
      <c r="B638" s="142" t="s">
        <v>14449</v>
      </c>
      <c r="C638" s="142" t="s">
        <v>15860</v>
      </c>
      <c r="D638" s="142" t="s">
        <v>15861</v>
      </c>
      <c r="E638" s="142" t="s">
        <v>15849</v>
      </c>
      <c r="F638" s="142" t="s">
        <v>603</v>
      </c>
      <c r="G638" s="142" t="s">
        <v>602</v>
      </c>
      <c r="H638" s="142" t="s">
        <v>16488</v>
      </c>
      <c r="I638" s="142">
        <v>6</v>
      </c>
      <c r="J638" s="142">
        <v>0</v>
      </c>
      <c r="K638" s="142">
        <v>0</v>
      </c>
      <c r="L638" s="142">
        <v>6</v>
      </c>
      <c r="M638" s="142">
        <v>0</v>
      </c>
    </row>
    <row r="639" spans="1:13" x14ac:dyDescent="0.45">
      <c r="A639" s="142" t="s">
        <v>13023</v>
      </c>
      <c r="B639" s="142" t="s">
        <v>15571</v>
      </c>
      <c r="C639" s="142" t="s">
        <v>15847</v>
      </c>
      <c r="D639" s="142" t="s">
        <v>15848</v>
      </c>
      <c r="E639" s="142" t="s">
        <v>15849</v>
      </c>
      <c r="F639" s="142" t="s">
        <v>645</v>
      </c>
      <c r="G639" s="142" t="s">
        <v>644</v>
      </c>
      <c r="H639" s="142" t="s">
        <v>16489</v>
      </c>
      <c r="I639" s="142">
        <v>32</v>
      </c>
      <c r="J639" s="142">
        <v>0</v>
      </c>
      <c r="K639" s="142">
        <v>0</v>
      </c>
      <c r="L639" s="142">
        <v>32</v>
      </c>
      <c r="M639" s="142">
        <v>0</v>
      </c>
    </row>
    <row r="640" spans="1:13" x14ac:dyDescent="0.45">
      <c r="A640" s="142" t="s">
        <v>13113</v>
      </c>
      <c r="B640" s="142" t="s">
        <v>14503</v>
      </c>
      <c r="C640" s="142" t="s">
        <v>15860</v>
      </c>
      <c r="D640" s="142" t="s">
        <v>15861</v>
      </c>
      <c r="E640" s="142" t="s">
        <v>15849</v>
      </c>
      <c r="F640" s="142" t="s">
        <v>645</v>
      </c>
      <c r="G640" s="142" t="s">
        <v>644</v>
      </c>
      <c r="H640" s="142" t="s">
        <v>16490</v>
      </c>
      <c r="I640" s="142">
        <v>6</v>
      </c>
      <c r="J640" s="142">
        <v>6</v>
      </c>
      <c r="K640" s="142">
        <v>0</v>
      </c>
      <c r="L640" s="142">
        <v>0</v>
      </c>
      <c r="M640" s="142">
        <v>0</v>
      </c>
    </row>
    <row r="641" spans="1:13" x14ac:dyDescent="0.45">
      <c r="A641" s="142" t="s">
        <v>13279</v>
      </c>
      <c r="B641" s="142" t="s">
        <v>14507</v>
      </c>
      <c r="C641" s="142" t="s">
        <v>15860</v>
      </c>
      <c r="D641" s="142" t="s">
        <v>15861</v>
      </c>
      <c r="E641" s="142" t="s">
        <v>15849</v>
      </c>
      <c r="F641" s="142" t="s">
        <v>645</v>
      </c>
      <c r="G641" s="142" t="s">
        <v>644</v>
      </c>
      <c r="H641" s="142" t="s">
        <v>16491</v>
      </c>
      <c r="I641" s="142">
        <v>39</v>
      </c>
      <c r="J641" s="142">
        <v>0</v>
      </c>
      <c r="K641" s="142">
        <v>0</v>
      </c>
      <c r="L641" s="142">
        <v>39</v>
      </c>
      <c r="M641" s="142">
        <v>0</v>
      </c>
    </row>
    <row r="642" spans="1:13" x14ac:dyDescent="0.45">
      <c r="A642" s="142" t="s">
        <v>13065</v>
      </c>
      <c r="B642" s="142" t="s">
        <v>14497</v>
      </c>
      <c r="C642" s="142" t="s">
        <v>15847</v>
      </c>
      <c r="D642" s="142" t="s">
        <v>15848</v>
      </c>
      <c r="E642" s="142" t="s">
        <v>15849</v>
      </c>
      <c r="F642" s="142" t="s">
        <v>645</v>
      </c>
      <c r="G642" s="142" t="s">
        <v>644</v>
      </c>
      <c r="H642" s="142" t="s">
        <v>16492</v>
      </c>
      <c r="I642" s="142">
        <v>31</v>
      </c>
      <c r="J642" s="142">
        <v>0</v>
      </c>
      <c r="K642" s="142">
        <v>0</v>
      </c>
      <c r="L642" s="142">
        <v>31</v>
      </c>
      <c r="M642" s="142">
        <v>0</v>
      </c>
    </row>
    <row r="643" spans="1:13" x14ac:dyDescent="0.45">
      <c r="A643" s="142" t="s">
        <v>13280</v>
      </c>
      <c r="B643" s="142" t="s">
        <v>15460</v>
      </c>
      <c r="C643" s="142" t="s">
        <v>15847</v>
      </c>
      <c r="D643" s="142" t="s">
        <v>15848</v>
      </c>
      <c r="E643" s="142" t="s">
        <v>15849</v>
      </c>
      <c r="F643" s="142" t="s">
        <v>645</v>
      </c>
      <c r="G643" s="142" t="s">
        <v>644</v>
      </c>
      <c r="H643" s="142" t="s">
        <v>16493</v>
      </c>
      <c r="I643" s="142">
        <v>77</v>
      </c>
      <c r="J643" s="142">
        <v>71</v>
      </c>
      <c r="K643" s="142">
        <v>0</v>
      </c>
      <c r="L643" s="142">
        <v>6</v>
      </c>
      <c r="M643" s="142">
        <v>0</v>
      </c>
    </row>
    <row r="644" spans="1:13" x14ac:dyDescent="0.45">
      <c r="A644" s="142" t="s">
        <v>13238</v>
      </c>
      <c r="B644" s="142" t="s">
        <v>14477</v>
      </c>
      <c r="C644" s="142" t="s">
        <v>15860</v>
      </c>
      <c r="D644" s="142" t="s">
        <v>15861</v>
      </c>
      <c r="E644" s="142" t="s">
        <v>15849</v>
      </c>
      <c r="F644" s="142" t="s">
        <v>645</v>
      </c>
      <c r="G644" s="142" t="s">
        <v>644</v>
      </c>
      <c r="H644" s="142" t="s">
        <v>16494</v>
      </c>
      <c r="I644" s="142">
        <v>8</v>
      </c>
      <c r="J644" s="142">
        <v>0</v>
      </c>
      <c r="K644" s="142">
        <v>0</v>
      </c>
      <c r="L644" s="142">
        <v>8</v>
      </c>
      <c r="M644" s="142">
        <v>0</v>
      </c>
    </row>
    <row r="645" spans="1:13" x14ac:dyDescent="0.45">
      <c r="A645" s="142" t="s">
        <v>13085</v>
      </c>
      <c r="B645" s="142" t="s">
        <v>14460</v>
      </c>
      <c r="C645" s="142" t="s">
        <v>15860</v>
      </c>
      <c r="D645" s="142" t="s">
        <v>15861</v>
      </c>
      <c r="E645" s="142" t="s">
        <v>15849</v>
      </c>
      <c r="F645" s="142" t="s">
        <v>645</v>
      </c>
      <c r="G645" s="142" t="s">
        <v>644</v>
      </c>
      <c r="H645" s="142" t="s">
        <v>16495</v>
      </c>
      <c r="I645" s="142">
        <v>2</v>
      </c>
      <c r="J645" s="142">
        <v>0</v>
      </c>
      <c r="K645" s="142">
        <v>0</v>
      </c>
      <c r="L645" s="142">
        <v>2</v>
      </c>
      <c r="M645" s="142">
        <v>0</v>
      </c>
    </row>
    <row r="646" spans="1:13" x14ac:dyDescent="0.45">
      <c r="A646" s="142" t="s">
        <v>13281</v>
      </c>
      <c r="B646" s="142" t="s">
        <v>14694</v>
      </c>
      <c r="C646" s="142" t="s">
        <v>15860</v>
      </c>
      <c r="D646" s="142" t="s">
        <v>15861</v>
      </c>
      <c r="E646" s="142" t="s">
        <v>15849</v>
      </c>
      <c r="F646" s="142" t="s">
        <v>645</v>
      </c>
      <c r="G646" s="142" t="s">
        <v>644</v>
      </c>
      <c r="H646" s="142" t="s">
        <v>16496</v>
      </c>
      <c r="I646" s="142">
        <v>12</v>
      </c>
      <c r="J646" s="142">
        <v>12</v>
      </c>
      <c r="K646" s="142">
        <v>0</v>
      </c>
      <c r="L646" s="142">
        <v>0</v>
      </c>
      <c r="M646" s="142">
        <v>0</v>
      </c>
    </row>
    <row r="647" spans="1:13" x14ac:dyDescent="0.45">
      <c r="A647" s="142" t="s">
        <v>13148</v>
      </c>
      <c r="B647" s="142" t="s">
        <v>15314</v>
      </c>
      <c r="C647" s="142" t="s">
        <v>15847</v>
      </c>
      <c r="D647" s="142" t="s">
        <v>15848</v>
      </c>
      <c r="E647" s="142" t="s">
        <v>15849</v>
      </c>
      <c r="F647" s="142" t="s">
        <v>645</v>
      </c>
      <c r="G647" s="142" t="s">
        <v>644</v>
      </c>
      <c r="H647" s="142" t="s">
        <v>16497</v>
      </c>
      <c r="I647" s="142">
        <v>1225</v>
      </c>
      <c r="J647" s="142">
        <v>914</v>
      </c>
      <c r="K647" s="142">
        <v>0</v>
      </c>
      <c r="L647" s="142">
        <v>257</v>
      </c>
      <c r="M647" s="142">
        <v>54</v>
      </c>
    </row>
    <row r="648" spans="1:13" x14ac:dyDescent="0.45">
      <c r="A648" s="142" t="s">
        <v>13149</v>
      </c>
      <c r="B648" s="142" t="s">
        <v>14458</v>
      </c>
      <c r="C648" s="142" t="s">
        <v>15860</v>
      </c>
      <c r="D648" s="142" t="s">
        <v>15861</v>
      </c>
      <c r="E648" s="142" t="s">
        <v>15849</v>
      </c>
      <c r="F648" s="142" t="s">
        <v>645</v>
      </c>
      <c r="G648" s="142" t="s">
        <v>644</v>
      </c>
      <c r="H648" s="142" t="s">
        <v>16498</v>
      </c>
      <c r="I648" s="142">
        <v>37</v>
      </c>
      <c r="J648" s="142">
        <v>0</v>
      </c>
      <c r="K648" s="142">
        <v>0</v>
      </c>
      <c r="L648" s="142">
        <v>37</v>
      </c>
      <c r="M648" s="142">
        <v>0</v>
      </c>
    </row>
    <row r="649" spans="1:13" x14ac:dyDescent="0.45">
      <c r="A649" s="142" t="s">
        <v>13028</v>
      </c>
      <c r="B649" s="142" t="s">
        <v>14462</v>
      </c>
      <c r="C649" s="142" t="s">
        <v>15847</v>
      </c>
      <c r="D649" s="142" t="s">
        <v>15848</v>
      </c>
      <c r="E649" s="142" t="s">
        <v>15849</v>
      </c>
      <c r="F649" s="142" t="s">
        <v>645</v>
      </c>
      <c r="G649" s="142" t="s">
        <v>644</v>
      </c>
      <c r="H649" s="142" t="s">
        <v>16499</v>
      </c>
      <c r="I649" s="142">
        <v>29</v>
      </c>
      <c r="J649" s="142">
        <v>0</v>
      </c>
      <c r="K649" s="142">
        <v>0</v>
      </c>
      <c r="L649" s="142">
        <v>0</v>
      </c>
      <c r="M649" s="142">
        <v>29</v>
      </c>
    </row>
    <row r="650" spans="1:13" x14ac:dyDescent="0.45">
      <c r="A650" s="142" t="s">
        <v>13002</v>
      </c>
      <c r="B650" s="142" t="s">
        <v>15376</v>
      </c>
      <c r="C650" s="142" t="s">
        <v>15847</v>
      </c>
      <c r="D650" s="142" t="s">
        <v>15848</v>
      </c>
      <c r="E650" s="142" t="s">
        <v>15849</v>
      </c>
      <c r="F650" s="142" t="s">
        <v>645</v>
      </c>
      <c r="G650" s="142" t="s">
        <v>644</v>
      </c>
      <c r="H650" s="142" t="s">
        <v>16500</v>
      </c>
      <c r="I650" s="142">
        <v>12</v>
      </c>
      <c r="J650" s="142">
        <v>0</v>
      </c>
      <c r="K650" s="142">
        <v>0</v>
      </c>
      <c r="L650" s="142">
        <v>12</v>
      </c>
      <c r="M650" s="142">
        <v>0</v>
      </c>
    </row>
    <row r="651" spans="1:13" x14ac:dyDescent="0.45">
      <c r="A651" s="142" t="s">
        <v>13003</v>
      </c>
      <c r="B651" s="142" t="s">
        <v>15245</v>
      </c>
      <c r="C651" s="142" t="s">
        <v>15847</v>
      </c>
      <c r="D651" s="142" t="s">
        <v>15848</v>
      </c>
      <c r="E651" s="142" t="s">
        <v>15849</v>
      </c>
      <c r="F651" s="142" t="s">
        <v>645</v>
      </c>
      <c r="G651" s="142" t="s">
        <v>644</v>
      </c>
      <c r="H651" s="142" t="s">
        <v>16501</v>
      </c>
      <c r="I651" s="142">
        <v>34</v>
      </c>
      <c r="J651" s="142">
        <v>0</v>
      </c>
      <c r="K651" s="142">
        <v>0</v>
      </c>
      <c r="L651" s="142">
        <v>34</v>
      </c>
      <c r="M651" s="142">
        <v>0</v>
      </c>
    </row>
    <row r="652" spans="1:13" x14ac:dyDescent="0.45">
      <c r="A652" s="142" t="s">
        <v>13066</v>
      </c>
      <c r="B652" s="142" t="s">
        <v>14459</v>
      </c>
      <c r="C652" s="142" t="s">
        <v>15847</v>
      </c>
      <c r="D652" s="142" t="s">
        <v>15848</v>
      </c>
      <c r="E652" s="142" t="s">
        <v>15849</v>
      </c>
      <c r="F652" s="142" t="s">
        <v>645</v>
      </c>
      <c r="G652" s="142" t="s">
        <v>644</v>
      </c>
      <c r="H652" s="142" t="s">
        <v>16502</v>
      </c>
      <c r="I652" s="142">
        <v>18</v>
      </c>
      <c r="J652" s="142">
        <v>0</v>
      </c>
      <c r="K652" s="142">
        <v>0</v>
      </c>
      <c r="L652" s="142">
        <v>18</v>
      </c>
      <c r="M652" s="142">
        <v>0</v>
      </c>
    </row>
    <row r="653" spans="1:13" x14ac:dyDescent="0.45">
      <c r="A653" s="142" t="s">
        <v>13282</v>
      </c>
      <c r="B653" s="142" t="s">
        <v>14661</v>
      </c>
      <c r="C653" s="142" t="s">
        <v>15860</v>
      </c>
      <c r="D653" s="142" t="s">
        <v>15861</v>
      </c>
      <c r="E653" s="142" t="s">
        <v>15849</v>
      </c>
      <c r="F653" s="142" t="s">
        <v>645</v>
      </c>
      <c r="G653" s="142" t="s">
        <v>644</v>
      </c>
      <c r="H653" s="142" t="s">
        <v>16503</v>
      </c>
      <c r="I653" s="142">
        <v>80</v>
      </c>
      <c r="J653" s="142">
        <v>80</v>
      </c>
      <c r="K653" s="142">
        <v>0</v>
      </c>
      <c r="L653" s="142">
        <v>0</v>
      </c>
      <c r="M653" s="142">
        <v>0</v>
      </c>
    </row>
    <row r="654" spans="1:13" x14ac:dyDescent="0.45">
      <c r="A654" s="142" t="s">
        <v>13283</v>
      </c>
      <c r="B654" s="142" t="s">
        <v>15264</v>
      </c>
      <c r="C654" s="142" t="s">
        <v>15860</v>
      </c>
      <c r="D654" s="142" t="s">
        <v>15861</v>
      </c>
      <c r="E654" s="142" t="s">
        <v>15849</v>
      </c>
      <c r="F654" s="142" t="s">
        <v>645</v>
      </c>
      <c r="G654" s="142" t="s">
        <v>644</v>
      </c>
      <c r="H654" s="142" t="s">
        <v>16504</v>
      </c>
      <c r="I654" s="142">
        <v>51</v>
      </c>
      <c r="J654" s="142">
        <v>51</v>
      </c>
      <c r="K654" s="142">
        <v>0</v>
      </c>
      <c r="L654" s="142">
        <v>0</v>
      </c>
      <c r="M654" s="142">
        <v>0</v>
      </c>
    </row>
    <row r="655" spans="1:13" x14ac:dyDescent="0.45">
      <c r="A655" s="142" t="s">
        <v>13284</v>
      </c>
      <c r="B655" s="142" t="s">
        <v>15364</v>
      </c>
      <c r="C655" s="142" t="s">
        <v>15847</v>
      </c>
      <c r="D655" s="142" t="s">
        <v>15848</v>
      </c>
      <c r="E655" s="142" t="s">
        <v>15849</v>
      </c>
      <c r="F655" s="142" t="s">
        <v>645</v>
      </c>
      <c r="G655" s="142" t="s">
        <v>644</v>
      </c>
      <c r="H655" s="142" t="s">
        <v>16505</v>
      </c>
      <c r="I655" s="142">
        <v>430</v>
      </c>
      <c r="J655" s="142">
        <v>408</v>
      </c>
      <c r="K655" s="142">
        <v>0</v>
      </c>
      <c r="L655" s="142">
        <v>13</v>
      </c>
      <c r="M655" s="142">
        <v>9</v>
      </c>
    </row>
    <row r="656" spans="1:13" x14ac:dyDescent="0.45">
      <c r="A656" s="142" t="s">
        <v>13033</v>
      </c>
      <c r="B656" s="142" t="s">
        <v>15276</v>
      </c>
      <c r="C656" s="142" t="s">
        <v>15847</v>
      </c>
      <c r="D656" s="142" t="s">
        <v>15848</v>
      </c>
      <c r="E656" s="142" t="s">
        <v>15849</v>
      </c>
      <c r="F656" s="142" t="s">
        <v>645</v>
      </c>
      <c r="G656" s="142" t="s">
        <v>644</v>
      </c>
      <c r="H656" s="142" t="s">
        <v>16506</v>
      </c>
      <c r="I656" s="142">
        <v>326</v>
      </c>
      <c r="J656" s="142">
        <v>275</v>
      </c>
      <c r="K656" s="142">
        <v>0</v>
      </c>
      <c r="L656" s="142">
        <v>11</v>
      </c>
      <c r="M656" s="142">
        <v>40</v>
      </c>
    </row>
    <row r="657" spans="1:13" x14ac:dyDescent="0.45">
      <c r="A657" s="142" t="s">
        <v>13034</v>
      </c>
      <c r="B657" s="142" t="s">
        <v>15562</v>
      </c>
      <c r="C657" s="142" t="s">
        <v>15847</v>
      </c>
      <c r="D657" s="142" t="s">
        <v>15848</v>
      </c>
      <c r="E657" s="142" t="s">
        <v>15849</v>
      </c>
      <c r="F657" s="142" t="s">
        <v>645</v>
      </c>
      <c r="G657" s="142" t="s">
        <v>644</v>
      </c>
      <c r="H657" s="142" t="s">
        <v>16507</v>
      </c>
      <c r="I657" s="142">
        <v>37</v>
      </c>
      <c r="J657" s="142">
        <v>0</v>
      </c>
      <c r="K657" s="142">
        <v>0</v>
      </c>
      <c r="L657" s="142">
        <v>37</v>
      </c>
      <c r="M657" s="142">
        <v>0</v>
      </c>
    </row>
    <row r="658" spans="1:13" x14ac:dyDescent="0.45">
      <c r="A658" s="142" t="s">
        <v>13036</v>
      </c>
      <c r="B658" s="142" t="s">
        <v>15567</v>
      </c>
      <c r="C658" s="142" t="s">
        <v>15847</v>
      </c>
      <c r="D658" s="142" t="s">
        <v>15848</v>
      </c>
      <c r="E658" s="142" t="s">
        <v>15849</v>
      </c>
      <c r="F658" s="142" t="s">
        <v>645</v>
      </c>
      <c r="G658" s="142" t="s">
        <v>644</v>
      </c>
      <c r="H658" s="142" t="s">
        <v>16508</v>
      </c>
      <c r="I658" s="142">
        <v>97</v>
      </c>
      <c r="J658" s="142">
        <v>38</v>
      </c>
      <c r="K658" s="142">
        <v>0</v>
      </c>
      <c r="L658" s="142">
        <v>50</v>
      </c>
      <c r="M658" s="142">
        <v>9</v>
      </c>
    </row>
    <row r="659" spans="1:13" x14ac:dyDescent="0.45">
      <c r="A659" s="142" t="s">
        <v>13277</v>
      </c>
      <c r="B659" s="142" t="s">
        <v>14454</v>
      </c>
      <c r="C659" s="142" t="s">
        <v>15847</v>
      </c>
      <c r="D659" s="142" t="s">
        <v>15848</v>
      </c>
      <c r="E659" s="142" t="s">
        <v>15849</v>
      </c>
      <c r="F659" s="142" t="s">
        <v>645</v>
      </c>
      <c r="G659" s="142" t="s">
        <v>644</v>
      </c>
      <c r="H659" s="142" t="s">
        <v>16509</v>
      </c>
      <c r="I659" s="142">
        <v>22</v>
      </c>
      <c r="J659" s="142">
        <v>0</v>
      </c>
      <c r="K659" s="142">
        <v>0</v>
      </c>
      <c r="L659" s="142">
        <v>22</v>
      </c>
      <c r="M659" s="142">
        <v>0</v>
      </c>
    </row>
    <row r="660" spans="1:13" x14ac:dyDescent="0.45">
      <c r="A660" s="142" t="s">
        <v>13078</v>
      </c>
      <c r="B660" s="142" t="s">
        <v>15540</v>
      </c>
      <c r="C660" s="142" t="s">
        <v>15847</v>
      </c>
      <c r="D660" s="142" t="s">
        <v>15848</v>
      </c>
      <c r="E660" s="142" t="s">
        <v>15849</v>
      </c>
      <c r="F660" s="142" t="s">
        <v>645</v>
      </c>
      <c r="G660" s="142" t="s">
        <v>644</v>
      </c>
      <c r="H660" s="142" t="s">
        <v>16510</v>
      </c>
      <c r="I660" s="142">
        <v>24</v>
      </c>
      <c r="J660" s="142">
        <v>24</v>
      </c>
      <c r="K660" s="142">
        <v>0</v>
      </c>
      <c r="L660" s="142">
        <v>0</v>
      </c>
      <c r="M660" s="142">
        <v>0</v>
      </c>
    </row>
    <row r="661" spans="1:13" x14ac:dyDescent="0.45">
      <c r="A661" s="142" t="s">
        <v>13285</v>
      </c>
      <c r="B661" s="142" t="s">
        <v>15158</v>
      </c>
      <c r="C661" s="142" t="s">
        <v>15860</v>
      </c>
      <c r="D661" s="142" t="s">
        <v>15861</v>
      </c>
      <c r="E661" s="142" t="s">
        <v>15849</v>
      </c>
      <c r="F661" s="142" t="s">
        <v>645</v>
      </c>
      <c r="G661" s="142" t="s">
        <v>644</v>
      </c>
      <c r="H661" s="142" t="s">
        <v>16511</v>
      </c>
      <c r="I661" s="142">
        <v>22</v>
      </c>
      <c r="J661" s="142">
        <v>0</v>
      </c>
      <c r="K661" s="142">
        <v>0</v>
      </c>
      <c r="L661" s="142">
        <v>22</v>
      </c>
      <c r="M661" s="142">
        <v>0</v>
      </c>
    </row>
    <row r="662" spans="1:13" x14ac:dyDescent="0.45">
      <c r="A662" s="142" t="s">
        <v>13014</v>
      </c>
      <c r="B662" s="142" t="s">
        <v>14505</v>
      </c>
      <c r="C662" s="142" t="s">
        <v>15847</v>
      </c>
      <c r="D662" s="142" t="s">
        <v>15848</v>
      </c>
      <c r="E662" s="142" t="s">
        <v>15849</v>
      </c>
      <c r="F662" s="142" t="s">
        <v>645</v>
      </c>
      <c r="G662" s="142" t="s">
        <v>644</v>
      </c>
      <c r="H662" s="142" t="s">
        <v>16512</v>
      </c>
      <c r="I662" s="142">
        <v>1</v>
      </c>
      <c r="J662" s="142">
        <v>0</v>
      </c>
      <c r="K662" s="142">
        <v>0</v>
      </c>
      <c r="L662" s="142">
        <v>0</v>
      </c>
      <c r="M662" s="142">
        <v>1</v>
      </c>
    </row>
    <row r="663" spans="1:13" x14ac:dyDescent="0.45">
      <c r="A663" s="142" t="s">
        <v>13286</v>
      </c>
      <c r="B663" s="142" t="s">
        <v>15342</v>
      </c>
      <c r="C663" s="142" t="s">
        <v>15847</v>
      </c>
      <c r="D663" s="142" t="s">
        <v>15848</v>
      </c>
      <c r="E663" s="142" t="s">
        <v>15849</v>
      </c>
      <c r="F663" s="142" t="s">
        <v>645</v>
      </c>
      <c r="G663" s="142" t="s">
        <v>644</v>
      </c>
      <c r="H663" s="142" t="s">
        <v>16513</v>
      </c>
      <c r="I663" s="142">
        <v>5</v>
      </c>
      <c r="J663" s="142">
        <v>0</v>
      </c>
      <c r="K663" s="142">
        <v>0</v>
      </c>
      <c r="L663" s="142">
        <v>5</v>
      </c>
      <c r="M663" s="142">
        <v>0</v>
      </c>
    </row>
    <row r="664" spans="1:13" x14ac:dyDescent="0.45">
      <c r="A664" s="142" t="s">
        <v>13064</v>
      </c>
      <c r="B664" s="142" t="s">
        <v>15428</v>
      </c>
      <c r="C664" s="142" t="s">
        <v>15847</v>
      </c>
      <c r="D664" s="142" t="s">
        <v>15848</v>
      </c>
      <c r="E664" s="142" t="s">
        <v>15849</v>
      </c>
      <c r="F664" s="142" t="s">
        <v>3168</v>
      </c>
      <c r="G664" s="142" t="s">
        <v>3167</v>
      </c>
      <c r="H664" s="142" t="s">
        <v>16514</v>
      </c>
      <c r="I664" s="142">
        <v>120</v>
      </c>
      <c r="J664" s="142">
        <v>118</v>
      </c>
      <c r="K664" s="142">
        <v>0</v>
      </c>
      <c r="L664" s="142">
        <v>0</v>
      </c>
      <c r="M664" s="142">
        <v>2</v>
      </c>
    </row>
    <row r="665" spans="1:13" x14ac:dyDescent="0.45">
      <c r="A665" s="142" t="s">
        <v>13019</v>
      </c>
      <c r="B665" s="142" t="s">
        <v>14457</v>
      </c>
      <c r="C665" s="142" t="s">
        <v>15860</v>
      </c>
      <c r="D665" s="142" t="s">
        <v>15861</v>
      </c>
      <c r="E665" s="142" t="s">
        <v>15849</v>
      </c>
      <c r="F665" s="142" t="s">
        <v>3168</v>
      </c>
      <c r="G665" s="142" t="s">
        <v>3167</v>
      </c>
      <c r="H665" s="142" t="s">
        <v>16515</v>
      </c>
      <c r="I665" s="142">
        <v>51</v>
      </c>
      <c r="J665" s="142">
        <v>51</v>
      </c>
      <c r="K665" s="142">
        <v>0</v>
      </c>
      <c r="L665" s="142">
        <v>0</v>
      </c>
      <c r="M665" s="142">
        <v>0</v>
      </c>
    </row>
    <row r="666" spans="1:13" x14ac:dyDescent="0.45">
      <c r="A666" s="142" t="s">
        <v>13065</v>
      </c>
      <c r="B666" s="142" t="s">
        <v>14497</v>
      </c>
      <c r="C666" s="142" t="s">
        <v>15847</v>
      </c>
      <c r="D666" s="142" t="s">
        <v>15848</v>
      </c>
      <c r="E666" s="142" t="s">
        <v>15849</v>
      </c>
      <c r="F666" s="142" t="s">
        <v>3168</v>
      </c>
      <c r="G666" s="142" t="s">
        <v>3167</v>
      </c>
      <c r="H666" s="142" t="s">
        <v>16516</v>
      </c>
      <c r="I666" s="142">
        <v>17</v>
      </c>
      <c r="J666" s="142">
        <v>0</v>
      </c>
      <c r="K666" s="142">
        <v>0</v>
      </c>
      <c r="L666" s="142">
        <v>17</v>
      </c>
      <c r="M666" s="142">
        <v>0</v>
      </c>
    </row>
    <row r="667" spans="1:13" x14ac:dyDescent="0.45">
      <c r="A667" s="142" t="s">
        <v>13273</v>
      </c>
      <c r="B667" s="142" t="s">
        <v>14465</v>
      </c>
      <c r="C667" s="142" t="s">
        <v>15860</v>
      </c>
      <c r="D667" s="142" t="s">
        <v>15861</v>
      </c>
      <c r="E667" s="142" t="s">
        <v>15849</v>
      </c>
      <c r="F667" s="142" t="s">
        <v>3168</v>
      </c>
      <c r="G667" s="142" t="s">
        <v>3167</v>
      </c>
      <c r="H667" s="142" t="s">
        <v>16517</v>
      </c>
      <c r="I667" s="142">
        <v>16</v>
      </c>
      <c r="J667" s="142">
        <v>0</v>
      </c>
      <c r="K667" s="142">
        <v>0</v>
      </c>
      <c r="L667" s="142">
        <v>16</v>
      </c>
      <c r="M667" s="142">
        <v>0</v>
      </c>
    </row>
    <row r="668" spans="1:13" x14ac:dyDescent="0.45">
      <c r="A668" s="142" t="s">
        <v>13024</v>
      </c>
      <c r="B668" s="142" t="s">
        <v>14538</v>
      </c>
      <c r="C668" s="142" t="s">
        <v>15847</v>
      </c>
      <c r="D668" s="142" t="s">
        <v>15848</v>
      </c>
      <c r="E668" s="142" t="s">
        <v>15849</v>
      </c>
      <c r="F668" s="142" t="s">
        <v>3168</v>
      </c>
      <c r="G668" s="142" t="s">
        <v>3167</v>
      </c>
      <c r="H668" s="142" t="s">
        <v>16518</v>
      </c>
      <c r="I668" s="142">
        <v>53</v>
      </c>
      <c r="J668" s="142">
        <v>35</v>
      </c>
      <c r="K668" s="142">
        <v>0</v>
      </c>
      <c r="L668" s="142">
        <v>10</v>
      </c>
      <c r="M668" s="142">
        <v>8</v>
      </c>
    </row>
    <row r="669" spans="1:13" x14ac:dyDescent="0.45">
      <c r="A669" s="142" t="s">
        <v>13099</v>
      </c>
      <c r="B669" s="142" t="s">
        <v>14547</v>
      </c>
      <c r="C669" s="142" t="s">
        <v>15860</v>
      </c>
      <c r="D669" s="142" t="s">
        <v>15861</v>
      </c>
      <c r="E669" s="142" t="s">
        <v>15849</v>
      </c>
      <c r="F669" s="142" t="s">
        <v>3168</v>
      </c>
      <c r="G669" s="142" t="s">
        <v>3167</v>
      </c>
      <c r="H669" s="142" t="s">
        <v>16519</v>
      </c>
      <c r="I669" s="142">
        <v>2</v>
      </c>
      <c r="J669" s="142">
        <v>0</v>
      </c>
      <c r="K669" s="142">
        <v>0</v>
      </c>
      <c r="L669" s="142">
        <v>2</v>
      </c>
      <c r="M669" s="142">
        <v>0</v>
      </c>
    </row>
    <row r="670" spans="1:13" x14ac:dyDescent="0.45">
      <c r="A670" s="142" t="s">
        <v>13025</v>
      </c>
      <c r="B670" s="142" t="s">
        <v>15579</v>
      </c>
      <c r="C670" s="142" t="s">
        <v>15847</v>
      </c>
      <c r="D670" s="142" t="s">
        <v>15848</v>
      </c>
      <c r="E670" s="142" t="s">
        <v>15849</v>
      </c>
      <c r="F670" s="142" t="s">
        <v>3168</v>
      </c>
      <c r="G670" s="142" t="s">
        <v>3167</v>
      </c>
      <c r="H670" s="142" t="s">
        <v>16520</v>
      </c>
      <c r="I670" s="142">
        <v>2</v>
      </c>
      <c r="J670" s="142">
        <v>0</v>
      </c>
      <c r="K670" s="142">
        <v>0</v>
      </c>
      <c r="L670" s="142">
        <v>2</v>
      </c>
      <c r="M670" s="142">
        <v>0</v>
      </c>
    </row>
    <row r="671" spans="1:13" x14ac:dyDescent="0.45">
      <c r="A671" s="142" t="s">
        <v>13026</v>
      </c>
      <c r="B671" s="142" t="s">
        <v>15447</v>
      </c>
      <c r="C671" s="142" t="s">
        <v>15847</v>
      </c>
      <c r="D671" s="142" t="s">
        <v>15848</v>
      </c>
      <c r="E671" s="142" t="s">
        <v>15849</v>
      </c>
      <c r="F671" s="142" t="s">
        <v>3168</v>
      </c>
      <c r="G671" s="142" t="s">
        <v>3167</v>
      </c>
      <c r="H671" s="142" t="s">
        <v>16521</v>
      </c>
      <c r="I671" s="142">
        <v>54</v>
      </c>
      <c r="J671" s="142">
        <v>46</v>
      </c>
      <c r="K671" s="142">
        <v>0</v>
      </c>
      <c r="L671" s="142">
        <v>5</v>
      </c>
      <c r="M671" s="142">
        <v>3</v>
      </c>
    </row>
    <row r="672" spans="1:13" x14ac:dyDescent="0.45">
      <c r="A672" s="142" t="s">
        <v>13027</v>
      </c>
      <c r="B672" s="142" t="s">
        <v>14562</v>
      </c>
      <c r="C672" s="142" t="s">
        <v>15847</v>
      </c>
      <c r="D672" s="142" t="s">
        <v>15848</v>
      </c>
      <c r="E672" s="142" t="s">
        <v>15849</v>
      </c>
      <c r="F672" s="142" t="s">
        <v>3168</v>
      </c>
      <c r="G672" s="142" t="s">
        <v>3167</v>
      </c>
      <c r="H672" s="142" t="s">
        <v>16522</v>
      </c>
      <c r="I672" s="142">
        <v>3</v>
      </c>
      <c r="J672" s="142">
        <v>0</v>
      </c>
      <c r="K672" s="142">
        <v>0</v>
      </c>
      <c r="L672" s="142">
        <v>3</v>
      </c>
      <c r="M672" s="142">
        <v>0</v>
      </c>
    </row>
    <row r="673" spans="1:13" x14ac:dyDescent="0.45">
      <c r="A673" s="142" t="s">
        <v>13028</v>
      </c>
      <c r="B673" s="142" t="s">
        <v>14462</v>
      </c>
      <c r="C673" s="142" t="s">
        <v>15847</v>
      </c>
      <c r="D673" s="142" t="s">
        <v>15848</v>
      </c>
      <c r="E673" s="142" t="s">
        <v>15849</v>
      </c>
      <c r="F673" s="142" t="s">
        <v>3168</v>
      </c>
      <c r="G673" s="142" t="s">
        <v>3167</v>
      </c>
      <c r="H673" s="142" t="s">
        <v>16523</v>
      </c>
      <c r="I673" s="142">
        <v>40</v>
      </c>
      <c r="J673" s="142">
        <v>0</v>
      </c>
      <c r="K673" s="142">
        <v>0</v>
      </c>
      <c r="L673" s="142">
        <v>0</v>
      </c>
      <c r="M673" s="142">
        <v>40</v>
      </c>
    </row>
    <row r="674" spans="1:13" x14ac:dyDescent="0.45">
      <c r="A674" s="142" t="s">
        <v>13002</v>
      </c>
      <c r="B674" s="142" t="s">
        <v>15376</v>
      </c>
      <c r="C674" s="142" t="s">
        <v>15847</v>
      </c>
      <c r="D674" s="142" t="s">
        <v>15848</v>
      </c>
      <c r="E674" s="142" t="s">
        <v>15849</v>
      </c>
      <c r="F674" s="142" t="s">
        <v>3168</v>
      </c>
      <c r="G674" s="142" t="s">
        <v>3167</v>
      </c>
      <c r="H674" s="142" t="s">
        <v>16524</v>
      </c>
      <c r="I674" s="142">
        <v>13</v>
      </c>
      <c r="J674" s="142">
        <v>13</v>
      </c>
      <c r="K674" s="142">
        <v>0</v>
      </c>
      <c r="L674" s="142">
        <v>0</v>
      </c>
      <c r="M674" s="142">
        <v>0</v>
      </c>
    </row>
    <row r="675" spans="1:13" x14ac:dyDescent="0.45">
      <c r="A675" s="142" t="s">
        <v>13003</v>
      </c>
      <c r="B675" s="142" t="s">
        <v>15245</v>
      </c>
      <c r="C675" s="142" t="s">
        <v>15847</v>
      </c>
      <c r="D675" s="142" t="s">
        <v>15848</v>
      </c>
      <c r="E675" s="142" t="s">
        <v>15849</v>
      </c>
      <c r="F675" s="142" t="s">
        <v>3168</v>
      </c>
      <c r="G675" s="142" t="s">
        <v>3167</v>
      </c>
      <c r="H675" s="142" t="s">
        <v>16525</v>
      </c>
      <c r="I675" s="142">
        <v>40</v>
      </c>
      <c r="J675" s="142">
        <v>0</v>
      </c>
      <c r="K675" s="142">
        <v>0</v>
      </c>
      <c r="L675" s="142">
        <v>40</v>
      </c>
      <c r="M675" s="142">
        <v>0</v>
      </c>
    </row>
    <row r="676" spans="1:13" x14ac:dyDescent="0.45">
      <c r="A676" s="142" t="s">
        <v>13066</v>
      </c>
      <c r="B676" s="142" t="s">
        <v>14459</v>
      </c>
      <c r="C676" s="142" t="s">
        <v>15847</v>
      </c>
      <c r="D676" s="142" t="s">
        <v>15848</v>
      </c>
      <c r="E676" s="142" t="s">
        <v>15849</v>
      </c>
      <c r="F676" s="142" t="s">
        <v>3168</v>
      </c>
      <c r="G676" s="142" t="s">
        <v>3167</v>
      </c>
      <c r="H676" s="142" t="s">
        <v>16526</v>
      </c>
      <c r="I676" s="142">
        <v>16</v>
      </c>
      <c r="J676" s="142">
        <v>0</v>
      </c>
      <c r="K676" s="142">
        <v>0</v>
      </c>
      <c r="L676" s="142">
        <v>16</v>
      </c>
      <c r="M676" s="142">
        <v>0</v>
      </c>
    </row>
    <row r="677" spans="1:13" x14ac:dyDescent="0.45">
      <c r="A677" s="142" t="s">
        <v>13029</v>
      </c>
      <c r="B677" s="142" t="s">
        <v>14665</v>
      </c>
      <c r="C677" s="142" t="s">
        <v>15847</v>
      </c>
      <c r="D677" s="142" t="s">
        <v>15848</v>
      </c>
      <c r="E677" s="142" t="s">
        <v>15849</v>
      </c>
      <c r="F677" s="142" t="s">
        <v>3168</v>
      </c>
      <c r="G677" s="142" t="s">
        <v>3167</v>
      </c>
      <c r="H677" s="142" t="s">
        <v>16527</v>
      </c>
      <c r="I677" s="142">
        <v>13</v>
      </c>
      <c r="J677" s="142">
        <v>0</v>
      </c>
      <c r="K677" s="142">
        <v>0</v>
      </c>
      <c r="L677" s="142">
        <v>0</v>
      </c>
      <c r="M677" s="142">
        <v>13</v>
      </c>
    </row>
    <row r="678" spans="1:13" x14ac:dyDescent="0.45">
      <c r="A678" s="142" t="s">
        <v>13055</v>
      </c>
      <c r="B678" s="142" t="s">
        <v>14595</v>
      </c>
      <c r="C678" s="142" t="s">
        <v>15847</v>
      </c>
      <c r="D678" s="142" t="s">
        <v>15848</v>
      </c>
      <c r="E678" s="142" t="s">
        <v>15849</v>
      </c>
      <c r="F678" s="142" t="s">
        <v>3168</v>
      </c>
      <c r="G678" s="142" t="s">
        <v>3167</v>
      </c>
      <c r="H678" s="142" t="s">
        <v>16528</v>
      </c>
      <c r="I678" s="142">
        <v>1</v>
      </c>
      <c r="J678" s="142">
        <v>1</v>
      </c>
      <c r="K678" s="142">
        <v>0</v>
      </c>
      <c r="L678" s="142">
        <v>0</v>
      </c>
      <c r="M678" s="142">
        <v>0</v>
      </c>
    </row>
    <row r="679" spans="1:13" x14ac:dyDescent="0.45">
      <c r="A679" s="142" t="s">
        <v>13033</v>
      </c>
      <c r="B679" s="142" t="s">
        <v>15276</v>
      </c>
      <c r="C679" s="142" t="s">
        <v>15847</v>
      </c>
      <c r="D679" s="142" t="s">
        <v>15848</v>
      </c>
      <c r="E679" s="142" t="s">
        <v>15849</v>
      </c>
      <c r="F679" s="142" t="s">
        <v>3168</v>
      </c>
      <c r="G679" s="142" t="s">
        <v>3167</v>
      </c>
      <c r="H679" s="142" t="s">
        <v>16529</v>
      </c>
      <c r="I679" s="142">
        <v>14</v>
      </c>
      <c r="J679" s="142">
        <v>14</v>
      </c>
      <c r="K679" s="142">
        <v>0</v>
      </c>
      <c r="L679" s="142">
        <v>0</v>
      </c>
      <c r="M679" s="142">
        <v>0</v>
      </c>
    </row>
    <row r="680" spans="1:13" x14ac:dyDescent="0.45">
      <c r="A680" s="142" t="s">
        <v>13034</v>
      </c>
      <c r="B680" s="142" t="s">
        <v>15562</v>
      </c>
      <c r="C680" s="142" t="s">
        <v>15847</v>
      </c>
      <c r="D680" s="142" t="s">
        <v>15848</v>
      </c>
      <c r="E680" s="142" t="s">
        <v>15849</v>
      </c>
      <c r="F680" s="142" t="s">
        <v>3168</v>
      </c>
      <c r="G680" s="142" t="s">
        <v>3167</v>
      </c>
      <c r="H680" s="142" t="s">
        <v>16530</v>
      </c>
      <c r="I680" s="142">
        <v>210</v>
      </c>
      <c r="J680" s="142">
        <v>146</v>
      </c>
      <c r="K680" s="142">
        <v>0</v>
      </c>
      <c r="L680" s="142">
        <v>64</v>
      </c>
      <c r="M680" s="142">
        <v>0</v>
      </c>
    </row>
    <row r="681" spans="1:13" x14ac:dyDescent="0.45">
      <c r="A681" s="142" t="s">
        <v>13035</v>
      </c>
      <c r="B681" s="142" t="s">
        <v>14648</v>
      </c>
      <c r="C681" s="142" t="s">
        <v>15847</v>
      </c>
      <c r="D681" s="142" t="s">
        <v>15848</v>
      </c>
      <c r="E681" s="142" t="s">
        <v>15849</v>
      </c>
      <c r="F681" s="142" t="s">
        <v>3168</v>
      </c>
      <c r="G681" s="142" t="s">
        <v>3167</v>
      </c>
      <c r="H681" s="142" t="s">
        <v>16531</v>
      </c>
      <c r="I681" s="142">
        <v>26</v>
      </c>
      <c r="J681" s="142">
        <v>22</v>
      </c>
      <c r="K681" s="142">
        <v>0</v>
      </c>
      <c r="L681" s="142">
        <v>0</v>
      </c>
      <c r="M681" s="142">
        <v>4</v>
      </c>
    </row>
    <row r="682" spans="1:13" x14ac:dyDescent="0.45">
      <c r="A682" s="142" t="s">
        <v>13036</v>
      </c>
      <c r="B682" s="142" t="s">
        <v>15567</v>
      </c>
      <c r="C682" s="142" t="s">
        <v>15847</v>
      </c>
      <c r="D682" s="142" t="s">
        <v>15848</v>
      </c>
      <c r="E682" s="142" t="s">
        <v>15849</v>
      </c>
      <c r="F682" s="142" t="s">
        <v>3168</v>
      </c>
      <c r="G682" s="142" t="s">
        <v>3167</v>
      </c>
      <c r="H682" s="142" t="s">
        <v>16532</v>
      </c>
      <c r="I682" s="142">
        <v>8</v>
      </c>
      <c r="J682" s="142">
        <v>0</v>
      </c>
      <c r="K682" s="142">
        <v>0</v>
      </c>
      <c r="L682" s="142">
        <v>8</v>
      </c>
      <c r="M682" s="142">
        <v>0</v>
      </c>
    </row>
    <row r="683" spans="1:13" x14ac:dyDescent="0.45">
      <c r="A683" s="142" t="s">
        <v>13105</v>
      </c>
      <c r="B683" s="142" t="s">
        <v>14654</v>
      </c>
      <c r="C683" s="142" t="s">
        <v>15847</v>
      </c>
      <c r="D683" s="142" t="s">
        <v>15848</v>
      </c>
      <c r="E683" s="142" t="s">
        <v>15849</v>
      </c>
      <c r="F683" s="142" t="s">
        <v>3168</v>
      </c>
      <c r="G683" s="142" t="s">
        <v>3167</v>
      </c>
      <c r="H683" s="142" t="s">
        <v>16533</v>
      </c>
      <c r="I683" s="142">
        <v>7</v>
      </c>
      <c r="J683" s="142">
        <v>0</v>
      </c>
      <c r="K683" s="142">
        <v>0</v>
      </c>
      <c r="L683" s="142">
        <v>0</v>
      </c>
      <c r="M683" s="142">
        <v>7</v>
      </c>
    </row>
    <row r="684" spans="1:13" x14ac:dyDescent="0.45">
      <c r="A684" s="142" t="s">
        <v>13179</v>
      </c>
      <c r="B684" s="142" t="s">
        <v>14704</v>
      </c>
      <c r="C684" s="142" t="s">
        <v>15860</v>
      </c>
      <c r="D684" s="142" t="s">
        <v>15861</v>
      </c>
      <c r="E684" s="142" t="s">
        <v>15849</v>
      </c>
      <c r="F684" s="142" t="s">
        <v>3168</v>
      </c>
      <c r="G684" s="142" t="s">
        <v>3167</v>
      </c>
      <c r="H684" s="142" t="s">
        <v>16534</v>
      </c>
      <c r="I684" s="142">
        <v>14</v>
      </c>
      <c r="J684" s="142">
        <v>14</v>
      </c>
      <c r="K684" s="142">
        <v>0</v>
      </c>
      <c r="L684" s="142">
        <v>0</v>
      </c>
      <c r="M684" s="142">
        <v>0</v>
      </c>
    </row>
    <row r="685" spans="1:13" x14ac:dyDescent="0.45">
      <c r="A685" s="142" t="s">
        <v>13038</v>
      </c>
      <c r="B685" s="142" t="s">
        <v>14646</v>
      </c>
      <c r="C685" s="142" t="s">
        <v>15847</v>
      </c>
      <c r="D685" s="142" t="s">
        <v>15848</v>
      </c>
      <c r="E685" s="142" t="s">
        <v>15849</v>
      </c>
      <c r="F685" s="142" t="s">
        <v>3168</v>
      </c>
      <c r="G685" s="142" t="s">
        <v>3167</v>
      </c>
      <c r="H685" s="142" t="s">
        <v>16535</v>
      </c>
      <c r="I685" s="142">
        <v>8</v>
      </c>
      <c r="J685" s="142">
        <v>0</v>
      </c>
      <c r="K685" s="142">
        <v>0</v>
      </c>
      <c r="L685" s="142">
        <v>0</v>
      </c>
      <c r="M685" s="142">
        <v>8</v>
      </c>
    </row>
    <row r="686" spans="1:13" x14ac:dyDescent="0.45">
      <c r="A686" s="142" t="s">
        <v>13092</v>
      </c>
      <c r="B686" s="142" t="s">
        <v>14656</v>
      </c>
      <c r="C686" s="142" t="s">
        <v>15860</v>
      </c>
      <c r="D686" s="142" t="s">
        <v>15861</v>
      </c>
      <c r="E686" s="142" t="s">
        <v>15849</v>
      </c>
      <c r="F686" s="142" t="s">
        <v>3168</v>
      </c>
      <c r="G686" s="142" t="s">
        <v>3167</v>
      </c>
      <c r="H686" s="142" t="s">
        <v>16536</v>
      </c>
      <c r="I686" s="142">
        <v>6</v>
      </c>
      <c r="J686" s="142">
        <v>6</v>
      </c>
      <c r="K686" s="142">
        <v>0</v>
      </c>
      <c r="L686" s="142">
        <v>0</v>
      </c>
      <c r="M686" s="142">
        <v>0</v>
      </c>
    </row>
    <row r="687" spans="1:13" x14ac:dyDescent="0.45">
      <c r="A687" s="142" t="s">
        <v>13152</v>
      </c>
      <c r="B687" s="142" t="s">
        <v>15249</v>
      </c>
      <c r="C687" s="142" t="s">
        <v>15847</v>
      </c>
      <c r="D687" s="142" t="s">
        <v>15848</v>
      </c>
      <c r="E687" s="142" t="s">
        <v>15849</v>
      </c>
      <c r="F687" s="142" t="s">
        <v>3168</v>
      </c>
      <c r="G687" s="142" t="s">
        <v>3167</v>
      </c>
      <c r="H687" s="142" t="s">
        <v>16537</v>
      </c>
      <c r="I687" s="142">
        <v>29</v>
      </c>
      <c r="J687" s="142">
        <v>19</v>
      </c>
      <c r="K687" s="142">
        <v>0</v>
      </c>
      <c r="L687" s="142">
        <v>0</v>
      </c>
      <c r="M687" s="142">
        <v>10</v>
      </c>
    </row>
    <row r="688" spans="1:13" x14ac:dyDescent="0.45">
      <c r="A688" s="142" t="s">
        <v>13014</v>
      </c>
      <c r="B688" s="142" t="s">
        <v>14505</v>
      </c>
      <c r="C688" s="142" t="s">
        <v>15847</v>
      </c>
      <c r="D688" s="142" t="s">
        <v>15848</v>
      </c>
      <c r="E688" s="142" t="s">
        <v>15849</v>
      </c>
      <c r="F688" s="142" t="s">
        <v>3168</v>
      </c>
      <c r="G688" s="142" t="s">
        <v>3167</v>
      </c>
      <c r="H688" s="142" t="s">
        <v>16538</v>
      </c>
      <c r="I688" s="142">
        <v>515</v>
      </c>
      <c r="J688" s="142">
        <v>315</v>
      </c>
      <c r="K688" s="142">
        <v>0</v>
      </c>
      <c r="L688" s="142">
        <v>172</v>
      </c>
      <c r="M688" s="142">
        <v>28</v>
      </c>
    </row>
    <row r="689" spans="1:13" x14ac:dyDescent="0.45">
      <c r="A689" s="142" t="s">
        <v>13042</v>
      </c>
      <c r="B689" s="142" t="s">
        <v>15489</v>
      </c>
      <c r="C689" s="142" t="s">
        <v>15847</v>
      </c>
      <c r="D689" s="142" t="s">
        <v>15848</v>
      </c>
      <c r="E689" s="142" t="s">
        <v>15849</v>
      </c>
      <c r="F689" s="142" t="s">
        <v>3168</v>
      </c>
      <c r="G689" s="142" t="s">
        <v>3167</v>
      </c>
      <c r="H689" s="142" t="s">
        <v>16539</v>
      </c>
      <c r="I689" s="142">
        <v>13</v>
      </c>
      <c r="J689" s="142">
        <v>1</v>
      </c>
      <c r="K689" s="142">
        <v>0</v>
      </c>
      <c r="L689" s="142">
        <v>12</v>
      </c>
      <c r="M689" s="142">
        <v>0</v>
      </c>
    </row>
    <row r="690" spans="1:13" x14ac:dyDescent="0.45">
      <c r="A690" s="142" t="s">
        <v>13154</v>
      </c>
      <c r="B690" s="142" t="s">
        <v>15415</v>
      </c>
      <c r="C690" s="142" t="s">
        <v>15847</v>
      </c>
      <c r="D690" s="142" t="s">
        <v>15848</v>
      </c>
      <c r="E690" s="142" t="s">
        <v>15849</v>
      </c>
      <c r="F690" s="142" t="s">
        <v>3168</v>
      </c>
      <c r="G690" s="142" t="s">
        <v>3167</v>
      </c>
      <c r="H690" s="142" t="s">
        <v>16540</v>
      </c>
      <c r="I690" s="142">
        <v>8</v>
      </c>
      <c r="J690" s="142">
        <v>8</v>
      </c>
      <c r="K690" s="142">
        <v>0</v>
      </c>
      <c r="L690" s="142">
        <v>0</v>
      </c>
      <c r="M690" s="142">
        <v>0</v>
      </c>
    </row>
    <row r="691" spans="1:13" x14ac:dyDescent="0.45">
      <c r="A691" s="142" t="s">
        <v>13264</v>
      </c>
      <c r="B691" s="142" t="s">
        <v>15302</v>
      </c>
      <c r="C691" s="142" t="s">
        <v>15847</v>
      </c>
      <c r="D691" s="142" t="s">
        <v>15848</v>
      </c>
      <c r="E691" s="142" t="s">
        <v>15849</v>
      </c>
      <c r="F691" s="142" t="s">
        <v>3168</v>
      </c>
      <c r="G691" s="142" t="s">
        <v>3167</v>
      </c>
      <c r="H691" s="142" t="s">
        <v>16541</v>
      </c>
      <c r="I691" s="142">
        <v>39</v>
      </c>
      <c r="J691" s="142">
        <v>39</v>
      </c>
      <c r="K691" s="142">
        <v>0</v>
      </c>
      <c r="L691" s="142">
        <v>0</v>
      </c>
      <c r="M691" s="142">
        <v>0</v>
      </c>
    </row>
    <row r="692" spans="1:13" x14ac:dyDescent="0.45">
      <c r="A692" s="142" t="s">
        <v>13020</v>
      </c>
      <c r="B692" s="142" t="s">
        <v>15523</v>
      </c>
      <c r="C692" s="142" t="s">
        <v>15860</v>
      </c>
      <c r="D692" s="142" t="s">
        <v>15861</v>
      </c>
      <c r="E692" s="142" t="s">
        <v>15849</v>
      </c>
      <c r="F692" s="142" t="s">
        <v>9685</v>
      </c>
      <c r="G692" s="142" t="s">
        <v>9684</v>
      </c>
      <c r="H692" s="142" t="s">
        <v>16542</v>
      </c>
      <c r="I692" s="142">
        <v>17</v>
      </c>
      <c r="J692" s="142">
        <v>0</v>
      </c>
      <c r="K692" s="142">
        <v>0</v>
      </c>
      <c r="L692" s="142">
        <v>17</v>
      </c>
      <c r="M692" s="142">
        <v>0</v>
      </c>
    </row>
    <row r="693" spans="1:13" x14ac:dyDescent="0.45">
      <c r="A693" s="142" t="s">
        <v>13023</v>
      </c>
      <c r="B693" s="142" t="s">
        <v>15571</v>
      </c>
      <c r="C693" s="142" t="s">
        <v>15847</v>
      </c>
      <c r="D693" s="142" t="s">
        <v>15848</v>
      </c>
      <c r="E693" s="142" t="s">
        <v>15849</v>
      </c>
      <c r="F693" s="142" t="s">
        <v>9685</v>
      </c>
      <c r="G693" s="142" t="s">
        <v>9684</v>
      </c>
      <c r="H693" s="142" t="s">
        <v>16543</v>
      </c>
      <c r="I693" s="142">
        <v>732</v>
      </c>
      <c r="J693" s="142">
        <v>0</v>
      </c>
      <c r="K693" s="142">
        <v>0</v>
      </c>
      <c r="L693" s="142">
        <v>726</v>
      </c>
      <c r="M693" s="142">
        <v>6</v>
      </c>
    </row>
    <row r="694" spans="1:13" x14ac:dyDescent="0.45">
      <c r="A694" s="142" t="s">
        <v>13113</v>
      </c>
      <c r="B694" s="142" t="s">
        <v>14503</v>
      </c>
      <c r="C694" s="142" t="s">
        <v>15860</v>
      </c>
      <c r="D694" s="142" t="s">
        <v>15861</v>
      </c>
      <c r="E694" s="142" t="s">
        <v>15849</v>
      </c>
      <c r="F694" s="142" t="s">
        <v>9685</v>
      </c>
      <c r="G694" s="142" t="s">
        <v>9684</v>
      </c>
      <c r="H694" s="142" t="s">
        <v>16544</v>
      </c>
      <c r="I694" s="142">
        <v>7</v>
      </c>
      <c r="J694" s="142">
        <v>7</v>
      </c>
      <c r="K694" s="142">
        <v>0</v>
      </c>
      <c r="L694" s="142">
        <v>0</v>
      </c>
      <c r="M694" s="142">
        <v>0</v>
      </c>
    </row>
    <row r="695" spans="1:13" x14ac:dyDescent="0.45">
      <c r="A695" s="142" t="s">
        <v>13288</v>
      </c>
      <c r="B695" s="142" t="s">
        <v>14444</v>
      </c>
      <c r="C695" s="142" t="s">
        <v>15860</v>
      </c>
      <c r="D695" s="142" t="s">
        <v>15861</v>
      </c>
      <c r="E695" s="142" t="s">
        <v>15849</v>
      </c>
      <c r="F695" s="142" t="s">
        <v>9685</v>
      </c>
      <c r="G695" s="142" t="s">
        <v>9684</v>
      </c>
      <c r="H695" s="142" t="s">
        <v>16545</v>
      </c>
      <c r="I695" s="142">
        <v>40</v>
      </c>
      <c r="J695" s="142">
        <v>40</v>
      </c>
      <c r="K695" s="142">
        <v>0</v>
      </c>
      <c r="L695" s="142">
        <v>0</v>
      </c>
      <c r="M695" s="142">
        <v>0</v>
      </c>
    </row>
    <row r="696" spans="1:13" x14ac:dyDescent="0.45">
      <c r="A696" s="142" t="s">
        <v>13289</v>
      </c>
      <c r="B696" s="142" t="s">
        <v>14423</v>
      </c>
      <c r="C696" s="142" t="s">
        <v>15847</v>
      </c>
      <c r="D696" s="142" t="s">
        <v>15848</v>
      </c>
      <c r="E696" s="142" t="s">
        <v>15849</v>
      </c>
      <c r="F696" s="142" t="s">
        <v>9685</v>
      </c>
      <c r="G696" s="142" t="s">
        <v>9684</v>
      </c>
      <c r="H696" s="142" t="s">
        <v>16546</v>
      </c>
      <c r="I696" s="142">
        <v>17551</v>
      </c>
      <c r="J696" s="142">
        <v>15096</v>
      </c>
      <c r="K696" s="142">
        <v>8</v>
      </c>
      <c r="L696" s="142">
        <v>2354</v>
      </c>
      <c r="M696" s="142">
        <v>93</v>
      </c>
    </row>
    <row r="697" spans="1:13" x14ac:dyDescent="0.45">
      <c r="A697" s="142" t="s">
        <v>13273</v>
      </c>
      <c r="B697" s="142" t="s">
        <v>14465</v>
      </c>
      <c r="C697" s="142" t="s">
        <v>15860</v>
      </c>
      <c r="D697" s="142" t="s">
        <v>15861</v>
      </c>
      <c r="E697" s="142" t="s">
        <v>15849</v>
      </c>
      <c r="F697" s="142" t="s">
        <v>9685</v>
      </c>
      <c r="G697" s="142" t="s">
        <v>9684</v>
      </c>
      <c r="H697" s="142" t="s">
        <v>16547</v>
      </c>
      <c r="I697" s="142">
        <v>1</v>
      </c>
      <c r="J697" s="142">
        <v>0</v>
      </c>
      <c r="K697" s="142">
        <v>0</v>
      </c>
      <c r="L697" s="142">
        <v>1</v>
      </c>
      <c r="M697" s="142">
        <v>0</v>
      </c>
    </row>
    <row r="698" spans="1:13" x14ac:dyDescent="0.45">
      <c r="A698" s="142" t="s">
        <v>13000</v>
      </c>
      <c r="B698" s="142" t="s">
        <v>14610</v>
      </c>
      <c r="C698" s="142" t="s">
        <v>15847</v>
      </c>
      <c r="D698" s="142" t="s">
        <v>15848</v>
      </c>
      <c r="E698" s="142" t="s">
        <v>15849</v>
      </c>
      <c r="F698" s="142" t="s">
        <v>9685</v>
      </c>
      <c r="G698" s="142" t="s">
        <v>9684</v>
      </c>
      <c r="H698" s="142" t="s">
        <v>16548</v>
      </c>
      <c r="I698" s="142">
        <v>576</v>
      </c>
      <c r="J698" s="142">
        <v>576</v>
      </c>
      <c r="K698" s="142">
        <v>0</v>
      </c>
      <c r="L698" s="142">
        <v>0</v>
      </c>
      <c r="M698" s="142">
        <v>0</v>
      </c>
    </row>
    <row r="699" spans="1:13" x14ac:dyDescent="0.45">
      <c r="A699" s="142" t="s">
        <v>13148</v>
      </c>
      <c r="B699" s="142" t="s">
        <v>15314</v>
      </c>
      <c r="C699" s="142" t="s">
        <v>15847</v>
      </c>
      <c r="D699" s="142" t="s">
        <v>15848</v>
      </c>
      <c r="E699" s="142" t="s">
        <v>15849</v>
      </c>
      <c r="F699" s="142" t="s">
        <v>9685</v>
      </c>
      <c r="G699" s="142" t="s">
        <v>9684</v>
      </c>
      <c r="H699" s="142" t="s">
        <v>16549</v>
      </c>
      <c r="I699" s="142">
        <v>835</v>
      </c>
      <c r="J699" s="142">
        <v>661</v>
      </c>
      <c r="K699" s="142">
        <v>0</v>
      </c>
      <c r="L699" s="142">
        <v>145</v>
      </c>
      <c r="M699" s="142">
        <v>29</v>
      </c>
    </row>
    <row r="700" spans="1:13" x14ac:dyDescent="0.45">
      <c r="A700" s="142" t="s">
        <v>13149</v>
      </c>
      <c r="B700" s="142" t="s">
        <v>14458</v>
      </c>
      <c r="C700" s="142" t="s">
        <v>15860</v>
      </c>
      <c r="D700" s="142" t="s">
        <v>15861</v>
      </c>
      <c r="E700" s="142" t="s">
        <v>15849</v>
      </c>
      <c r="F700" s="142" t="s">
        <v>9685</v>
      </c>
      <c r="G700" s="142" t="s">
        <v>9684</v>
      </c>
      <c r="H700" s="142" t="s">
        <v>16550</v>
      </c>
      <c r="I700" s="142">
        <v>19</v>
      </c>
      <c r="J700" s="142">
        <v>0</v>
      </c>
      <c r="K700" s="142">
        <v>0</v>
      </c>
      <c r="L700" s="142">
        <v>19</v>
      </c>
      <c r="M700" s="142">
        <v>0</v>
      </c>
    </row>
    <row r="701" spans="1:13" x14ac:dyDescent="0.45">
      <c r="A701" s="142" t="s">
        <v>13160</v>
      </c>
      <c r="B701" s="142" t="s">
        <v>14525</v>
      </c>
      <c r="C701" s="142" t="s">
        <v>15847</v>
      </c>
      <c r="D701" s="142" t="s">
        <v>15848</v>
      </c>
      <c r="E701" s="142" t="s">
        <v>15849</v>
      </c>
      <c r="F701" s="142" t="s">
        <v>9685</v>
      </c>
      <c r="G701" s="142" t="s">
        <v>9684</v>
      </c>
      <c r="H701" s="142" t="s">
        <v>16551</v>
      </c>
      <c r="I701" s="142">
        <v>37</v>
      </c>
      <c r="J701" s="142">
        <v>0</v>
      </c>
      <c r="K701" s="142">
        <v>0</v>
      </c>
      <c r="L701" s="142">
        <v>37</v>
      </c>
      <c r="M701" s="142">
        <v>0</v>
      </c>
    </row>
    <row r="702" spans="1:13" x14ac:dyDescent="0.45">
      <c r="A702" s="142" t="s">
        <v>13066</v>
      </c>
      <c r="B702" s="142" t="s">
        <v>14459</v>
      </c>
      <c r="C702" s="142" t="s">
        <v>15847</v>
      </c>
      <c r="D702" s="142" t="s">
        <v>15848</v>
      </c>
      <c r="E702" s="142" t="s">
        <v>15849</v>
      </c>
      <c r="F702" s="142" t="s">
        <v>9685</v>
      </c>
      <c r="G702" s="142" t="s">
        <v>9684</v>
      </c>
      <c r="H702" s="142" t="s">
        <v>16552</v>
      </c>
      <c r="I702" s="142">
        <v>63</v>
      </c>
      <c r="J702" s="142">
        <v>0</v>
      </c>
      <c r="K702" s="142">
        <v>0</v>
      </c>
      <c r="L702" s="142">
        <v>63</v>
      </c>
      <c r="M702" s="142">
        <v>0</v>
      </c>
    </row>
    <row r="703" spans="1:13" x14ac:dyDescent="0.45">
      <c r="A703" s="142" t="s">
        <v>13290</v>
      </c>
      <c r="B703" s="142" t="s">
        <v>15246</v>
      </c>
      <c r="C703" s="142" t="s">
        <v>15847</v>
      </c>
      <c r="D703" s="142" t="s">
        <v>15848</v>
      </c>
      <c r="E703" s="142" t="s">
        <v>15849</v>
      </c>
      <c r="F703" s="142" t="s">
        <v>9685</v>
      </c>
      <c r="G703" s="142" t="s">
        <v>9684</v>
      </c>
      <c r="H703" s="142" t="s">
        <v>16553</v>
      </c>
      <c r="I703" s="142">
        <v>1330</v>
      </c>
      <c r="J703" s="142">
        <v>1189</v>
      </c>
      <c r="K703" s="142">
        <v>0</v>
      </c>
      <c r="L703" s="142">
        <v>99</v>
      </c>
      <c r="M703" s="142">
        <v>42</v>
      </c>
    </row>
    <row r="704" spans="1:13" x14ac:dyDescent="0.45">
      <c r="A704" s="142" t="s">
        <v>13291</v>
      </c>
      <c r="B704" s="142" t="s">
        <v>15495</v>
      </c>
      <c r="C704" s="142" t="s">
        <v>15847</v>
      </c>
      <c r="D704" s="142" t="s">
        <v>15848</v>
      </c>
      <c r="E704" s="142" t="s">
        <v>15849</v>
      </c>
      <c r="F704" s="142" t="s">
        <v>9685</v>
      </c>
      <c r="G704" s="142" t="s">
        <v>9684</v>
      </c>
      <c r="H704" s="142" t="s">
        <v>16554</v>
      </c>
      <c r="I704" s="142">
        <v>32</v>
      </c>
      <c r="J704" s="142">
        <v>13</v>
      </c>
      <c r="K704" s="142">
        <v>0</v>
      </c>
      <c r="L704" s="142">
        <v>0</v>
      </c>
      <c r="M704" s="142">
        <v>19</v>
      </c>
    </row>
    <row r="705" spans="1:13" x14ac:dyDescent="0.45">
      <c r="A705" s="142" t="s">
        <v>13249</v>
      </c>
      <c r="B705" s="142" t="s">
        <v>14602</v>
      </c>
      <c r="C705" s="142" t="s">
        <v>15847</v>
      </c>
      <c r="D705" s="142" t="s">
        <v>15848</v>
      </c>
      <c r="E705" s="142" t="s">
        <v>15849</v>
      </c>
      <c r="F705" s="142" t="s">
        <v>9685</v>
      </c>
      <c r="G705" s="142" t="s">
        <v>9684</v>
      </c>
      <c r="H705" s="142" t="s">
        <v>16555</v>
      </c>
      <c r="I705" s="142">
        <v>744</v>
      </c>
      <c r="J705" s="142">
        <v>557</v>
      </c>
      <c r="K705" s="142">
        <v>0</v>
      </c>
      <c r="L705" s="142">
        <v>159</v>
      </c>
      <c r="M705" s="142">
        <v>28</v>
      </c>
    </row>
    <row r="706" spans="1:13" x14ac:dyDescent="0.45">
      <c r="A706" s="142" t="s">
        <v>13292</v>
      </c>
      <c r="B706" s="142" t="s">
        <v>14543</v>
      </c>
      <c r="C706" s="142" t="s">
        <v>15860</v>
      </c>
      <c r="D706" s="142" t="s">
        <v>15861</v>
      </c>
      <c r="E706" s="142" t="s">
        <v>15849</v>
      </c>
      <c r="F706" s="142" t="s">
        <v>9685</v>
      </c>
      <c r="G706" s="142" t="s">
        <v>9684</v>
      </c>
      <c r="H706" s="142" t="s">
        <v>16556</v>
      </c>
      <c r="I706" s="142">
        <v>3</v>
      </c>
      <c r="J706" s="142">
        <v>3</v>
      </c>
      <c r="K706" s="142">
        <v>0</v>
      </c>
      <c r="L706" s="142">
        <v>0</v>
      </c>
      <c r="M706" s="142">
        <v>0</v>
      </c>
    </row>
    <row r="707" spans="1:13" x14ac:dyDescent="0.45">
      <c r="A707" s="142" t="s">
        <v>13276</v>
      </c>
      <c r="B707" s="142" t="s">
        <v>15498</v>
      </c>
      <c r="C707" s="142" t="s">
        <v>15847</v>
      </c>
      <c r="D707" s="142" t="s">
        <v>15848</v>
      </c>
      <c r="E707" s="142" t="s">
        <v>15849</v>
      </c>
      <c r="F707" s="142" t="s">
        <v>9685</v>
      </c>
      <c r="G707" s="142" t="s">
        <v>9684</v>
      </c>
      <c r="H707" s="142" t="s">
        <v>16557</v>
      </c>
      <c r="I707" s="142">
        <v>2024</v>
      </c>
      <c r="J707" s="142">
        <v>1507</v>
      </c>
      <c r="K707" s="142">
        <v>0</v>
      </c>
      <c r="L707" s="142">
        <v>393</v>
      </c>
      <c r="M707" s="142">
        <v>124</v>
      </c>
    </row>
    <row r="708" spans="1:13" x14ac:dyDescent="0.45">
      <c r="A708" s="142" t="s">
        <v>13033</v>
      </c>
      <c r="B708" s="142" t="s">
        <v>15276</v>
      </c>
      <c r="C708" s="142" t="s">
        <v>15847</v>
      </c>
      <c r="D708" s="142" t="s">
        <v>15848</v>
      </c>
      <c r="E708" s="142" t="s">
        <v>15849</v>
      </c>
      <c r="F708" s="142" t="s">
        <v>9685</v>
      </c>
      <c r="G708" s="142" t="s">
        <v>9684</v>
      </c>
      <c r="H708" s="142" t="s">
        <v>16558</v>
      </c>
      <c r="I708" s="142">
        <v>1237</v>
      </c>
      <c r="J708" s="142">
        <v>1031</v>
      </c>
      <c r="K708" s="142">
        <v>1</v>
      </c>
      <c r="L708" s="142">
        <v>150</v>
      </c>
      <c r="M708" s="142">
        <v>55</v>
      </c>
    </row>
    <row r="709" spans="1:13" x14ac:dyDescent="0.45">
      <c r="A709" s="142" t="s">
        <v>13034</v>
      </c>
      <c r="B709" s="142" t="s">
        <v>15562</v>
      </c>
      <c r="C709" s="142" t="s">
        <v>15847</v>
      </c>
      <c r="D709" s="142" t="s">
        <v>15848</v>
      </c>
      <c r="E709" s="142" t="s">
        <v>15849</v>
      </c>
      <c r="F709" s="142" t="s">
        <v>9685</v>
      </c>
      <c r="G709" s="142" t="s">
        <v>9684</v>
      </c>
      <c r="H709" s="142" t="s">
        <v>16559</v>
      </c>
      <c r="I709" s="142">
        <v>128</v>
      </c>
      <c r="J709" s="142">
        <v>6</v>
      </c>
      <c r="K709" s="142">
        <v>0</v>
      </c>
      <c r="L709" s="142">
        <v>119</v>
      </c>
      <c r="M709" s="142">
        <v>3</v>
      </c>
    </row>
    <row r="710" spans="1:13" x14ac:dyDescent="0.45">
      <c r="A710" s="142" t="s">
        <v>13171</v>
      </c>
      <c r="B710" s="142" t="s">
        <v>14523</v>
      </c>
      <c r="C710" s="142" t="s">
        <v>15860</v>
      </c>
      <c r="D710" s="142" t="s">
        <v>15861</v>
      </c>
      <c r="E710" s="142" t="s">
        <v>15849</v>
      </c>
      <c r="F710" s="142" t="s">
        <v>9685</v>
      </c>
      <c r="G710" s="142" t="s">
        <v>9684</v>
      </c>
      <c r="H710" s="142" t="s">
        <v>16560</v>
      </c>
      <c r="I710" s="142">
        <v>24</v>
      </c>
      <c r="J710" s="142">
        <v>0</v>
      </c>
      <c r="K710" s="142">
        <v>0</v>
      </c>
      <c r="L710" s="142">
        <v>24</v>
      </c>
      <c r="M710" s="142">
        <v>0</v>
      </c>
    </row>
    <row r="711" spans="1:13" x14ac:dyDescent="0.45">
      <c r="A711" s="142" t="s">
        <v>13036</v>
      </c>
      <c r="B711" s="142" t="s">
        <v>15567</v>
      </c>
      <c r="C711" s="142" t="s">
        <v>15847</v>
      </c>
      <c r="D711" s="142" t="s">
        <v>15848</v>
      </c>
      <c r="E711" s="142" t="s">
        <v>15849</v>
      </c>
      <c r="F711" s="142" t="s">
        <v>9685</v>
      </c>
      <c r="G711" s="142" t="s">
        <v>9684</v>
      </c>
      <c r="H711" s="142" t="s">
        <v>16561</v>
      </c>
      <c r="I711" s="142">
        <v>14</v>
      </c>
      <c r="J711" s="142">
        <v>0</v>
      </c>
      <c r="K711" s="142">
        <v>0</v>
      </c>
      <c r="L711" s="142">
        <v>14</v>
      </c>
      <c r="M711" s="142">
        <v>0</v>
      </c>
    </row>
    <row r="712" spans="1:13" x14ac:dyDescent="0.45">
      <c r="A712" s="142" t="s">
        <v>13078</v>
      </c>
      <c r="B712" s="142" t="s">
        <v>15540</v>
      </c>
      <c r="C712" s="142" t="s">
        <v>15847</v>
      </c>
      <c r="D712" s="142" t="s">
        <v>15848</v>
      </c>
      <c r="E712" s="142" t="s">
        <v>15849</v>
      </c>
      <c r="F712" s="142" t="s">
        <v>9685</v>
      </c>
      <c r="G712" s="142" t="s">
        <v>9684</v>
      </c>
      <c r="H712" s="142" t="s">
        <v>16562</v>
      </c>
      <c r="I712" s="142">
        <v>93</v>
      </c>
      <c r="J712" s="142">
        <v>57</v>
      </c>
      <c r="K712" s="142">
        <v>0</v>
      </c>
      <c r="L712" s="142">
        <v>36</v>
      </c>
      <c r="M712" s="142">
        <v>0</v>
      </c>
    </row>
    <row r="713" spans="1:13" x14ac:dyDescent="0.45">
      <c r="A713" s="142" t="s">
        <v>13009</v>
      </c>
      <c r="B713" s="142" t="s">
        <v>15256</v>
      </c>
      <c r="C713" s="142" t="s">
        <v>15847</v>
      </c>
      <c r="D713" s="142" t="s">
        <v>15848</v>
      </c>
      <c r="E713" s="142" t="s">
        <v>15849</v>
      </c>
      <c r="F713" s="142" t="s">
        <v>9685</v>
      </c>
      <c r="G713" s="142" t="s">
        <v>9684</v>
      </c>
      <c r="H713" s="142" t="s">
        <v>16563</v>
      </c>
      <c r="I713" s="142">
        <v>68</v>
      </c>
      <c r="J713" s="142">
        <v>50</v>
      </c>
      <c r="K713" s="142">
        <v>0</v>
      </c>
      <c r="L713" s="142">
        <v>18</v>
      </c>
      <c r="M713" s="142">
        <v>0</v>
      </c>
    </row>
    <row r="714" spans="1:13" x14ac:dyDescent="0.45">
      <c r="A714" s="142" t="s">
        <v>13293</v>
      </c>
      <c r="B714" s="142" t="s">
        <v>15053</v>
      </c>
      <c r="C714" s="142" t="s">
        <v>15860</v>
      </c>
      <c r="D714" s="142" t="s">
        <v>15861</v>
      </c>
      <c r="E714" s="142" t="s">
        <v>15849</v>
      </c>
      <c r="F714" s="142" t="s">
        <v>9685</v>
      </c>
      <c r="G714" s="142" t="s">
        <v>9684</v>
      </c>
      <c r="H714" s="142" t="s">
        <v>16564</v>
      </c>
      <c r="I714" s="142">
        <v>28</v>
      </c>
      <c r="J714" s="142">
        <v>28</v>
      </c>
      <c r="K714" s="142">
        <v>0</v>
      </c>
      <c r="L714" s="142">
        <v>0</v>
      </c>
      <c r="M714" s="142">
        <v>0</v>
      </c>
    </row>
    <row r="715" spans="1:13" x14ac:dyDescent="0.45">
      <c r="A715" s="142" t="s">
        <v>13014</v>
      </c>
      <c r="B715" s="142" t="s">
        <v>14505</v>
      </c>
      <c r="C715" s="142" t="s">
        <v>15847</v>
      </c>
      <c r="D715" s="142" t="s">
        <v>15848</v>
      </c>
      <c r="E715" s="142" t="s">
        <v>15849</v>
      </c>
      <c r="F715" s="142" t="s">
        <v>9685</v>
      </c>
      <c r="G715" s="142" t="s">
        <v>9684</v>
      </c>
      <c r="H715" s="142" t="s">
        <v>16565</v>
      </c>
      <c r="I715" s="142">
        <v>198</v>
      </c>
      <c r="J715" s="142">
        <v>156</v>
      </c>
      <c r="K715" s="142">
        <v>0</v>
      </c>
      <c r="L715" s="142">
        <v>28</v>
      </c>
      <c r="M715" s="142">
        <v>14</v>
      </c>
    </row>
    <row r="716" spans="1:13" x14ac:dyDescent="0.45">
      <c r="A716" s="142" t="s">
        <v>13042</v>
      </c>
      <c r="B716" s="142" t="s">
        <v>15489</v>
      </c>
      <c r="C716" s="142" t="s">
        <v>15847</v>
      </c>
      <c r="D716" s="142" t="s">
        <v>15848</v>
      </c>
      <c r="E716" s="142" t="s">
        <v>15849</v>
      </c>
      <c r="F716" s="142" t="s">
        <v>9685</v>
      </c>
      <c r="G716" s="142" t="s">
        <v>9684</v>
      </c>
      <c r="H716" s="142" t="s">
        <v>16566</v>
      </c>
      <c r="I716" s="142">
        <v>16</v>
      </c>
      <c r="J716" s="142">
        <v>0</v>
      </c>
      <c r="K716" s="142">
        <v>0</v>
      </c>
      <c r="L716" s="142">
        <v>16</v>
      </c>
      <c r="M716" s="142">
        <v>0</v>
      </c>
    </row>
    <row r="717" spans="1:13" x14ac:dyDescent="0.45">
      <c r="A717" s="142" t="s">
        <v>13286</v>
      </c>
      <c r="B717" s="142" t="s">
        <v>15342</v>
      </c>
      <c r="C717" s="142" t="s">
        <v>15847</v>
      </c>
      <c r="D717" s="142" t="s">
        <v>15848</v>
      </c>
      <c r="E717" s="142" t="s">
        <v>15849</v>
      </c>
      <c r="F717" s="142" t="s">
        <v>9685</v>
      </c>
      <c r="G717" s="142" t="s">
        <v>9684</v>
      </c>
      <c r="H717" s="142" t="s">
        <v>16567</v>
      </c>
      <c r="I717" s="142">
        <v>387</v>
      </c>
      <c r="J717" s="142">
        <v>202</v>
      </c>
      <c r="K717" s="142">
        <v>0</v>
      </c>
      <c r="L717" s="142">
        <v>0</v>
      </c>
      <c r="M717" s="142">
        <v>185</v>
      </c>
    </row>
    <row r="718" spans="1:13" x14ac:dyDescent="0.45">
      <c r="A718" s="142" t="s">
        <v>13072</v>
      </c>
      <c r="B718" s="142" t="s">
        <v>15530</v>
      </c>
      <c r="C718" s="142" t="s">
        <v>15847</v>
      </c>
      <c r="D718" s="142" t="s">
        <v>15848</v>
      </c>
      <c r="E718" s="142" t="s">
        <v>15849</v>
      </c>
      <c r="F718" s="142" t="s">
        <v>6706</v>
      </c>
      <c r="G718" s="142" t="s">
        <v>6705</v>
      </c>
      <c r="H718" s="142" t="s">
        <v>16568</v>
      </c>
      <c r="I718" s="142">
        <v>14</v>
      </c>
      <c r="J718" s="142">
        <v>14</v>
      </c>
      <c r="K718" s="142">
        <v>0</v>
      </c>
      <c r="L718" s="142">
        <v>0</v>
      </c>
      <c r="M718" s="142">
        <v>0</v>
      </c>
    </row>
    <row r="719" spans="1:13" x14ac:dyDescent="0.45">
      <c r="A719" s="142" t="s">
        <v>13021</v>
      </c>
      <c r="B719" s="142" t="s">
        <v>15501</v>
      </c>
      <c r="C719" s="142" t="s">
        <v>15847</v>
      </c>
      <c r="D719" s="142" t="s">
        <v>15848</v>
      </c>
      <c r="E719" s="142" t="s">
        <v>15849</v>
      </c>
      <c r="F719" s="142" t="s">
        <v>6706</v>
      </c>
      <c r="G719" s="142" t="s">
        <v>6705</v>
      </c>
      <c r="H719" s="142" t="s">
        <v>16569</v>
      </c>
      <c r="I719" s="142">
        <v>51</v>
      </c>
      <c r="J719" s="142">
        <v>0</v>
      </c>
      <c r="K719" s="142">
        <v>0</v>
      </c>
      <c r="L719" s="142">
        <v>48</v>
      </c>
      <c r="M719" s="142">
        <v>3</v>
      </c>
    </row>
    <row r="720" spans="1:13" x14ac:dyDescent="0.45">
      <c r="A720" s="142" t="s">
        <v>13022</v>
      </c>
      <c r="B720" s="142" t="s">
        <v>14634</v>
      </c>
      <c r="C720" s="142" t="s">
        <v>15847</v>
      </c>
      <c r="D720" s="142" t="s">
        <v>15848</v>
      </c>
      <c r="E720" s="142" t="s">
        <v>15849</v>
      </c>
      <c r="F720" s="142" t="s">
        <v>6706</v>
      </c>
      <c r="G720" s="142" t="s">
        <v>6705</v>
      </c>
      <c r="H720" s="142" t="s">
        <v>16570</v>
      </c>
      <c r="I720" s="142">
        <v>806</v>
      </c>
      <c r="J720" s="142">
        <v>590</v>
      </c>
      <c r="K720" s="142">
        <v>0</v>
      </c>
      <c r="L720" s="142">
        <v>0</v>
      </c>
      <c r="M720" s="142">
        <v>216</v>
      </c>
    </row>
    <row r="721" spans="1:13" x14ac:dyDescent="0.45">
      <c r="A721" s="142" t="s">
        <v>13085</v>
      </c>
      <c r="B721" s="142" t="s">
        <v>14460</v>
      </c>
      <c r="C721" s="142" t="s">
        <v>15860</v>
      </c>
      <c r="D721" s="142" t="s">
        <v>15861</v>
      </c>
      <c r="E721" s="142" t="s">
        <v>15849</v>
      </c>
      <c r="F721" s="142" t="s">
        <v>6706</v>
      </c>
      <c r="G721" s="142" t="s">
        <v>6705</v>
      </c>
      <c r="H721" s="142" t="s">
        <v>16571</v>
      </c>
      <c r="I721" s="142">
        <v>9</v>
      </c>
      <c r="J721" s="142">
        <v>0</v>
      </c>
      <c r="K721" s="142">
        <v>0</v>
      </c>
      <c r="L721" s="142">
        <v>9</v>
      </c>
      <c r="M721" s="142">
        <v>0</v>
      </c>
    </row>
    <row r="722" spans="1:13" x14ac:dyDescent="0.45">
      <c r="A722" s="142" t="s">
        <v>13025</v>
      </c>
      <c r="B722" s="142" t="s">
        <v>15579</v>
      </c>
      <c r="C722" s="142" t="s">
        <v>15847</v>
      </c>
      <c r="D722" s="142" t="s">
        <v>15848</v>
      </c>
      <c r="E722" s="142" t="s">
        <v>15849</v>
      </c>
      <c r="F722" s="142" t="s">
        <v>6706</v>
      </c>
      <c r="G722" s="142" t="s">
        <v>6705</v>
      </c>
      <c r="H722" s="142" t="s">
        <v>16572</v>
      </c>
      <c r="I722" s="142">
        <v>38</v>
      </c>
      <c r="J722" s="142">
        <v>0</v>
      </c>
      <c r="K722" s="142">
        <v>0</v>
      </c>
      <c r="L722" s="142">
        <v>38</v>
      </c>
      <c r="M722" s="142">
        <v>0</v>
      </c>
    </row>
    <row r="723" spans="1:13" x14ac:dyDescent="0.45">
      <c r="A723" s="142" t="s">
        <v>13027</v>
      </c>
      <c r="B723" s="142" t="s">
        <v>14562</v>
      </c>
      <c r="C723" s="142" t="s">
        <v>15847</v>
      </c>
      <c r="D723" s="142" t="s">
        <v>15848</v>
      </c>
      <c r="E723" s="142" t="s">
        <v>15849</v>
      </c>
      <c r="F723" s="142" t="s">
        <v>6706</v>
      </c>
      <c r="G723" s="142" t="s">
        <v>6705</v>
      </c>
      <c r="H723" s="142" t="s">
        <v>16573</v>
      </c>
      <c r="I723" s="142">
        <v>14</v>
      </c>
      <c r="J723" s="142">
        <v>0</v>
      </c>
      <c r="K723" s="142">
        <v>0</v>
      </c>
      <c r="L723" s="142">
        <v>14</v>
      </c>
      <c r="M723" s="142">
        <v>0</v>
      </c>
    </row>
    <row r="724" spans="1:13" x14ac:dyDescent="0.45">
      <c r="A724" s="142" t="s">
        <v>13028</v>
      </c>
      <c r="B724" s="142" t="s">
        <v>14462</v>
      </c>
      <c r="C724" s="142" t="s">
        <v>15847</v>
      </c>
      <c r="D724" s="142" t="s">
        <v>15848</v>
      </c>
      <c r="E724" s="142" t="s">
        <v>15849</v>
      </c>
      <c r="F724" s="142" t="s">
        <v>6706</v>
      </c>
      <c r="G724" s="142" t="s">
        <v>6705</v>
      </c>
      <c r="H724" s="142" t="s">
        <v>16574</v>
      </c>
      <c r="I724" s="142">
        <v>20</v>
      </c>
      <c r="J724" s="142">
        <v>0</v>
      </c>
      <c r="K724" s="142">
        <v>0</v>
      </c>
      <c r="L724" s="142">
        <v>0</v>
      </c>
      <c r="M724" s="142">
        <v>20</v>
      </c>
    </row>
    <row r="725" spans="1:13" x14ac:dyDescent="0.45">
      <c r="A725" s="142" t="s">
        <v>13003</v>
      </c>
      <c r="B725" s="142" t="s">
        <v>15245</v>
      </c>
      <c r="C725" s="142" t="s">
        <v>15847</v>
      </c>
      <c r="D725" s="142" t="s">
        <v>15848</v>
      </c>
      <c r="E725" s="142" t="s">
        <v>15849</v>
      </c>
      <c r="F725" s="142" t="s">
        <v>6706</v>
      </c>
      <c r="G725" s="142" t="s">
        <v>6705</v>
      </c>
      <c r="H725" s="142" t="s">
        <v>16575</v>
      </c>
      <c r="I725" s="142">
        <v>74</v>
      </c>
      <c r="J725" s="142">
        <v>0</v>
      </c>
      <c r="K725" s="142">
        <v>0</v>
      </c>
      <c r="L725" s="142">
        <v>74</v>
      </c>
      <c r="M725" s="142">
        <v>0</v>
      </c>
    </row>
    <row r="726" spans="1:13" x14ac:dyDescent="0.45">
      <c r="A726" s="142" t="s">
        <v>13295</v>
      </c>
      <c r="B726" s="142" t="s">
        <v>14621</v>
      </c>
      <c r="C726" s="142" t="s">
        <v>15847</v>
      </c>
      <c r="D726" s="142" t="s">
        <v>15848</v>
      </c>
      <c r="E726" s="142" t="s">
        <v>15849</v>
      </c>
      <c r="F726" s="142" t="s">
        <v>6706</v>
      </c>
      <c r="G726" s="142" t="s">
        <v>6705</v>
      </c>
      <c r="H726" s="142" t="s">
        <v>16576</v>
      </c>
      <c r="I726" s="142">
        <v>4609</v>
      </c>
      <c r="J726" s="142">
        <v>3691</v>
      </c>
      <c r="K726" s="142">
        <v>0</v>
      </c>
      <c r="L726" s="142">
        <v>822</v>
      </c>
      <c r="M726" s="142">
        <v>96</v>
      </c>
    </row>
    <row r="727" spans="1:13" x14ac:dyDescent="0.45">
      <c r="A727" s="142" t="s">
        <v>13296</v>
      </c>
      <c r="B727" s="142" t="s">
        <v>15387</v>
      </c>
      <c r="C727" s="142" t="s">
        <v>15860</v>
      </c>
      <c r="D727" s="142" t="s">
        <v>15861</v>
      </c>
      <c r="E727" s="142" t="s">
        <v>15849</v>
      </c>
      <c r="F727" s="142" t="s">
        <v>6706</v>
      </c>
      <c r="G727" s="142" t="s">
        <v>6705</v>
      </c>
      <c r="H727" s="142" t="s">
        <v>16577</v>
      </c>
      <c r="I727" s="142">
        <v>37</v>
      </c>
      <c r="J727" s="142">
        <v>37</v>
      </c>
      <c r="K727" s="142">
        <v>0</v>
      </c>
      <c r="L727" s="142">
        <v>0</v>
      </c>
      <c r="M727" s="142">
        <v>0</v>
      </c>
    </row>
    <row r="728" spans="1:13" x14ac:dyDescent="0.45">
      <c r="A728" s="142" t="s">
        <v>13005</v>
      </c>
      <c r="B728" s="142" t="s">
        <v>15475</v>
      </c>
      <c r="C728" s="142" t="s">
        <v>15847</v>
      </c>
      <c r="D728" s="142" t="s">
        <v>15848</v>
      </c>
      <c r="E728" s="142" t="s">
        <v>15849</v>
      </c>
      <c r="F728" s="142" t="s">
        <v>6706</v>
      </c>
      <c r="G728" s="142" t="s">
        <v>6705</v>
      </c>
      <c r="H728" s="142" t="s">
        <v>16578</v>
      </c>
      <c r="I728" s="142">
        <v>1</v>
      </c>
      <c r="J728" s="142">
        <v>0</v>
      </c>
      <c r="K728" s="142">
        <v>0</v>
      </c>
      <c r="L728" s="142">
        <v>0</v>
      </c>
      <c r="M728" s="142">
        <v>1</v>
      </c>
    </row>
    <row r="729" spans="1:13" x14ac:dyDescent="0.45">
      <c r="A729" s="142" t="s">
        <v>13162</v>
      </c>
      <c r="B729" s="142" t="s">
        <v>14545</v>
      </c>
      <c r="C729" s="142" t="s">
        <v>15860</v>
      </c>
      <c r="D729" s="142" t="s">
        <v>15861</v>
      </c>
      <c r="E729" s="142" t="s">
        <v>15849</v>
      </c>
      <c r="F729" s="142" t="s">
        <v>6706</v>
      </c>
      <c r="G729" s="142" t="s">
        <v>6705</v>
      </c>
      <c r="H729" s="142" t="s">
        <v>16579</v>
      </c>
      <c r="I729" s="142">
        <v>9</v>
      </c>
      <c r="J729" s="142">
        <v>0</v>
      </c>
      <c r="K729" s="142">
        <v>0</v>
      </c>
      <c r="L729" s="142">
        <v>9</v>
      </c>
      <c r="M729" s="142">
        <v>0</v>
      </c>
    </row>
    <row r="730" spans="1:13" x14ac:dyDescent="0.45">
      <c r="A730" s="142" t="s">
        <v>13035</v>
      </c>
      <c r="B730" s="142" t="s">
        <v>14648</v>
      </c>
      <c r="C730" s="142" t="s">
        <v>15847</v>
      </c>
      <c r="D730" s="142" t="s">
        <v>15848</v>
      </c>
      <c r="E730" s="142" t="s">
        <v>15849</v>
      </c>
      <c r="F730" s="142" t="s">
        <v>6706</v>
      </c>
      <c r="G730" s="142" t="s">
        <v>6705</v>
      </c>
      <c r="H730" s="142" t="s">
        <v>16580</v>
      </c>
      <c r="I730" s="142">
        <v>839</v>
      </c>
      <c r="J730" s="142">
        <v>673</v>
      </c>
      <c r="K730" s="142">
        <v>0</v>
      </c>
      <c r="L730" s="142">
        <v>12</v>
      </c>
      <c r="M730" s="142">
        <v>154</v>
      </c>
    </row>
    <row r="731" spans="1:13" x14ac:dyDescent="0.45">
      <c r="A731" s="142" t="s">
        <v>13036</v>
      </c>
      <c r="B731" s="142" t="s">
        <v>15567</v>
      </c>
      <c r="C731" s="142" t="s">
        <v>15847</v>
      </c>
      <c r="D731" s="142" t="s">
        <v>15848</v>
      </c>
      <c r="E731" s="142" t="s">
        <v>15849</v>
      </c>
      <c r="F731" s="142" t="s">
        <v>6706</v>
      </c>
      <c r="G731" s="142" t="s">
        <v>6705</v>
      </c>
      <c r="H731" s="142" t="s">
        <v>16581</v>
      </c>
      <c r="I731" s="142">
        <v>28</v>
      </c>
      <c r="J731" s="142">
        <v>0</v>
      </c>
      <c r="K731" s="142">
        <v>0</v>
      </c>
      <c r="L731" s="142">
        <v>28</v>
      </c>
      <c r="M731" s="142">
        <v>0</v>
      </c>
    </row>
    <row r="732" spans="1:13" x14ac:dyDescent="0.45">
      <c r="A732" s="142" t="s">
        <v>13297</v>
      </c>
      <c r="B732" s="142" t="s">
        <v>14766</v>
      </c>
      <c r="C732" s="142" t="s">
        <v>15860</v>
      </c>
      <c r="D732" s="142" t="s">
        <v>15861</v>
      </c>
      <c r="E732" s="142" t="s">
        <v>15849</v>
      </c>
      <c r="F732" s="142" t="s">
        <v>6706</v>
      </c>
      <c r="G732" s="142" t="s">
        <v>6705</v>
      </c>
      <c r="H732" s="142" t="s">
        <v>16582</v>
      </c>
      <c r="I732" s="142">
        <v>10</v>
      </c>
      <c r="J732" s="142">
        <v>0</v>
      </c>
      <c r="K732" s="142">
        <v>0</v>
      </c>
      <c r="L732" s="142">
        <v>10</v>
      </c>
      <c r="M732" s="142">
        <v>0</v>
      </c>
    </row>
    <row r="733" spans="1:13" x14ac:dyDescent="0.45">
      <c r="A733" s="142" t="s">
        <v>13299</v>
      </c>
      <c r="B733" s="142" t="s">
        <v>15176</v>
      </c>
      <c r="C733" s="142" t="s">
        <v>15860</v>
      </c>
      <c r="D733" s="142" t="s">
        <v>15861</v>
      </c>
      <c r="E733" s="142" t="s">
        <v>15849</v>
      </c>
      <c r="F733" s="142" t="s">
        <v>2548</v>
      </c>
      <c r="G733" s="142" t="s">
        <v>2547</v>
      </c>
      <c r="H733" s="142" t="s">
        <v>16583</v>
      </c>
      <c r="I733" s="142">
        <v>39</v>
      </c>
      <c r="J733" s="142">
        <v>0</v>
      </c>
      <c r="K733" s="142">
        <v>0</v>
      </c>
      <c r="L733" s="142">
        <v>39</v>
      </c>
      <c r="M733" s="142">
        <v>0</v>
      </c>
    </row>
    <row r="734" spans="1:13" x14ac:dyDescent="0.45">
      <c r="A734" s="142" t="s">
        <v>13046</v>
      </c>
      <c r="B734" s="142" t="s">
        <v>15537</v>
      </c>
      <c r="C734" s="142" t="s">
        <v>15860</v>
      </c>
      <c r="D734" s="142" t="s">
        <v>15861</v>
      </c>
      <c r="E734" s="142" t="s">
        <v>15849</v>
      </c>
      <c r="F734" s="142" t="s">
        <v>2548</v>
      </c>
      <c r="G734" s="142" t="s">
        <v>2547</v>
      </c>
      <c r="H734" s="142" t="s">
        <v>16584</v>
      </c>
      <c r="I734" s="142">
        <v>100</v>
      </c>
      <c r="J734" s="142">
        <v>79</v>
      </c>
      <c r="K734" s="142">
        <v>0</v>
      </c>
      <c r="L734" s="142">
        <v>21</v>
      </c>
      <c r="M734" s="142">
        <v>0</v>
      </c>
    </row>
    <row r="735" spans="1:13" x14ac:dyDescent="0.45">
      <c r="A735" s="142" t="s">
        <v>13167</v>
      </c>
      <c r="B735" s="142" t="s">
        <v>15418</v>
      </c>
      <c r="C735" s="142" t="s">
        <v>15847</v>
      </c>
      <c r="D735" s="142" t="s">
        <v>15848</v>
      </c>
      <c r="E735" s="142" t="s">
        <v>15849</v>
      </c>
      <c r="F735" s="142" t="s">
        <v>2548</v>
      </c>
      <c r="G735" s="142" t="s">
        <v>2547</v>
      </c>
      <c r="H735" s="142" t="s">
        <v>16585</v>
      </c>
      <c r="I735" s="142">
        <v>198</v>
      </c>
      <c r="J735" s="142">
        <v>126</v>
      </c>
      <c r="K735" s="142">
        <v>0</v>
      </c>
      <c r="L735" s="142">
        <v>39</v>
      </c>
      <c r="M735" s="142">
        <v>33</v>
      </c>
    </row>
    <row r="736" spans="1:13" x14ac:dyDescent="0.45">
      <c r="A736" s="142" t="s">
        <v>13021</v>
      </c>
      <c r="B736" s="142" t="s">
        <v>15501</v>
      </c>
      <c r="C736" s="142" t="s">
        <v>15847</v>
      </c>
      <c r="D736" s="142" t="s">
        <v>15848</v>
      </c>
      <c r="E736" s="142" t="s">
        <v>15849</v>
      </c>
      <c r="F736" s="142" t="s">
        <v>2548</v>
      </c>
      <c r="G736" s="142" t="s">
        <v>2547</v>
      </c>
      <c r="H736" s="142" t="s">
        <v>16586</v>
      </c>
      <c r="I736" s="142">
        <v>45</v>
      </c>
      <c r="J736" s="142">
        <v>0</v>
      </c>
      <c r="K736" s="142">
        <v>0</v>
      </c>
      <c r="L736" s="142">
        <v>21</v>
      </c>
      <c r="M736" s="142">
        <v>24</v>
      </c>
    </row>
    <row r="737" spans="1:13" x14ac:dyDescent="0.45">
      <c r="A737" s="142" t="s">
        <v>13023</v>
      </c>
      <c r="B737" s="142" t="s">
        <v>15571</v>
      </c>
      <c r="C737" s="142" t="s">
        <v>15847</v>
      </c>
      <c r="D737" s="142" t="s">
        <v>15848</v>
      </c>
      <c r="E737" s="142" t="s">
        <v>15849</v>
      </c>
      <c r="F737" s="142" t="s">
        <v>2548</v>
      </c>
      <c r="G737" s="142" t="s">
        <v>2547</v>
      </c>
      <c r="H737" s="142" t="s">
        <v>16587</v>
      </c>
      <c r="I737" s="142">
        <v>222</v>
      </c>
      <c r="J737" s="142">
        <v>0</v>
      </c>
      <c r="K737" s="142">
        <v>0</v>
      </c>
      <c r="L737" s="142">
        <v>186</v>
      </c>
      <c r="M737" s="142">
        <v>36</v>
      </c>
    </row>
    <row r="738" spans="1:13" x14ac:dyDescent="0.45">
      <c r="A738" s="142" t="s">
        <v>13048</v>
      </c>
      <c r="B738" s="142" t="s">
        <v>14479</v>
      </c>
      <c r="C738" s="142" t="s">
        <v>15847</v>
      </c>
      <c r="D738" s="142" t="s">
        <v>15848</v>
      </c>
      <c r="E738" s="142" t="s">
        <v>15849</v>
      </c>
      <c r="F738" s="142" t="s">
        <v>2548</v>
      </c>
      <c r="G738" s="142" t="s">
        <v>2547</v>
      </c>
      <c r="H738" s="142" t="s">
        <v>16588</v>
      </c>
      <c r="I738" s="142">
        <v>22</v>
      </c>
      <c r="J738" s="142">
        <v>20</v>
      </c>
      <c r="K738" s="142">
        <v>0</v>
      </c>
      <c r="L738" s="142">
        <v>0</v>
      </c>
      <c r="M738" s="142">
        <v>2</v>
      </c>
    </row>
    <row r="739" spans="1:13" x14ac:dyDescent="0.45">
      <c r="A739" s="142" t="s">
        <v>13065</v>
      </c>
      <c r="B739" s="142" t="s">
        <v>14497</v>
      </c>
      <c r="C739" s="142" t="s">
        <v>15847</v>
      </c>
      <c r="D739" s="142" t="s">
        <v>15848</v>
      </c>
      <c r="E739" s="142" t="s">
        <v>15849</v>
      </c>
      <c r="F739" s="142" t="s">
        <v>2548</v>
      </c>
      <c r="G739" s="142" t="s">
        <v>2547</v>
      </c>
      <c r="H739" s="142" t="s">
        <v>16589</v>
      </c>
      <c r="I739" s="142">
        <v>43</v>
      </c>
      <c r="J739" s="142">
        <v>0</v>
      </c>
      <c r="K739" s="142">
        <v>0</v>
      </c>
      <c r="L739" s="142">
        <v>43</v>
      </c>
      <c r="M739" s="142">
        <v>0</v>
      </c>
    </row>
    <row r="740" spans="1:13" x14ac:dyDescent="0.45">
      <c r="A740" s="142" t="s">
        <v>13300</v>
      </c>
      <c r="B740" s="142" t="s">
        <v>15306</v>
      </c>
      <c r="C740" s="142" t="s">
        <v>15860</v>
      </c>
      <c r="D740" s="142" t="s">
        <v>15861</v>
      </c>
      <c r="E740" s="142" t="s">
        <v>15849</v>
      </c>
      <c r="F740" s="142" t="s">
        <v>2548</v>
      </c>
      <c r="G740" s="142" t="s">
        <v>2547</v>
      </c>
      <c r="H740" s="142" t="s">
        <v>16590</v>
      </c>
      <c r="I740" s="142">
        <v>21</v>
      </c>
      <c r="J740" s="142">
        <v>10</v>
      </c>
      <c r="K740" s="142">
        <v>0</v>
      </c>
      <c r="L740" s="142">
        <v>11</v>
      </c>
      <c r="M740" s="142">
        <v>0</v>
      </c>
    </row>
    <row r="741" spans="1:13" x14ac:dyDescent="0.45">
      <c r="A741" s="142" t="s">
        <v>13301</v>
      </c>
      <c r="B741" s="142" t="s">
        <v>15496</v>
      </c>
      <c r="C741" s="142" t="s">
        <v>15847</v>
      </c>
      <c r="D741" s="142" t="s">
        <v>15848</v>
      </c>
      <c r="E741" s="142" t="s">
        <v>15849</v>
      </c>
      <c r="F741" s="142" t="s">
        <v>2548</v>
      </c>
      <c r="G741" s="142" t="s">
        <v>2547</v>
      </c>
      <c r="H741" s="142" t="s">
        <v>16591</v>
      </c>
      <c r="I741" s="142">
        <v>574</v>
      </c>
      <c r="J741" s="142">
        <v>261</v>
      </c>
      <c r="K741" s="142">
        <v>12</v>
      </c>
      <c r="L741" s="142">
        <v>300</v>
      </c>
      <c r="M741" s="142">
        <v>1</v>
      </c>
    </row>
    <row r="742" spans="1:13" x14ac:dyDescent="0.45">
      <c r="A742" s="142" t="s">
        <v>13302</v>
      </c>
      <c r="B742" s="142" t="s">
        <v>15227</v>
      </c>
      <c r="C742" s="142" t="s">
        <v>15860</v>
      </c>
      <c r="D742" s="142" t="s">
        <v>15861</v>
      </c>
      <c r="E742" s="142" t="s">
        <v>15849</v>
      </c>
      <c r="F742" s="142" t="s">
        <v>2548</v>
      </c>
      <c r="G742" s="142" t="s">
        <v>2547</v>
      </c>
      <c r="H742" s="142" t="s">
        <v>16592</v>
      </c>
      <c r="I742" s="142">
        <v>114</v>
      </c>
      <c r="J742" s="142">
        <v>0</v>
      </c>
      <c r="K742" s="142">
        <v>0</v>
      </c>
      <c r="L742" s="142">
        <v>114</v>
      </c>
      <c r="M742" s="142">
        <v>0</v>
      </c>
    </row>
    <row r="743" spans="1:13" x14ac:dyDescent="0.45">
      <c r="A743" s="142" t="s">
        <v>13000</v>
      </c>
      <c r="B743" s="142" t="s">
        <v>14610</v>
      </c>
      <c r="C743" s="142" t="s">
        <v>15847</v>
      </c>
      <c r="D743" s="142" t="s">
        <v>15848</v>
      </c>
      <c r="E743" s="142" t="s">
        <v>15849</v>
      </c>
      <c r="F743" s="142" t="s">
        <v>2548</v>
      </c>
      <c r="G743" s="142" t="s">
        <v>2547</v>
      </c>
      <c r="H743" s="142" t="s">
        <v>16593</v>
      </c>
      <c r="I743" s="142">
        <v>14</v>
      </c>
      <c r="J743" s="142">
        <v>14</v>
      </c>
      <c r="K743" s="142">
        <v>0</v>
      </c>
      <c r="L743" s="142">
        <v>0</v>
      </c>
      <c r="M743" s="142">
        <v>0</v>
      </c>
    </row>
    <row r="744" spans="1:13" x14ac:dyDescent="0.45">
      <c r="A744" s="142" t="s">
        <v>13303</v>
      </c>
      <c r="B744" s="142" t="s">
        <v>15274</v>
      </c>
      <c r="C744" s="142" t="s">
        <v>15860</v>
      </c>
      <c r="D744" s="142" t="s">
        <v>15861</v>
      </c>
      <c r="E744" s="142" t="s">
        <v>15849</v>
      </c>
      <c r="F744" s="142" t="s">
        <v>2548</v>
      </c>
      <c r="G744" s="142" t="s">
        <v>2547</v>
      </c>
      <c r="H744" s="142" t="s">
        <v>16594</v>
      </c>
      <c r="I744" s="142">
        <v>97</v>
      </c>
      <c r="J744" s="142">
        <v>0</v>
      </c>
      <c r="K744" s="142">
        <v>0</v>
      </c>
      <c r="L744" s="142">
        <v>97</v>
      </c>
      <c r="M744" s="142">
        <v>0</v>
      </c>
    </row>
    <row r="745" spans="1:13" x14ac:dyDescent="0.45">
      <c r="A745" s="142" t="s">
        <v>13049</v>
      </c>
      <c r="B745" s="142" t="s">
        <v>14534</v>
      </c>
      <c r="C745" s="142" t="s">
        <v>15860</v>
      </c>
      <c r="D745" s="142" t="s">
        <v>15861</v>
      </c>
      <c r="E745" s="142" t="s">
        <v>15849</v>
      </c>
      <c r="F745" s="142" t="s">
        <v>2548</v>
      </c>
      <c r="G745" s="142" t="s">
        <v>2547</v>
      </c>
      <c r="H745" s="142" t="s">
        <v>16595</v>
      </c>
      <c r="I745" s="142">
        <v>66</v>
      </c>
      <c r="J745" s="142">
        <v>0</v>
      </c>
      <c r="K745" s="142">
        <v>0</v>
      </c>
      <c r="L745" s="142">
        <v>66</v>
      </c>
      <c r="M745" s="142">
        <v>0</v>
      </c>
    </row>
    <row r="746" spans="1:13" x14ac:dyDescent="0.45">
      <c r="A746" s="142" t="s">
        <v>13027</v>
      </c>
      <c r="B746" s="142" t="s">
        <v>14562</v>
      </c>
      <c r="C746" s="142" t="s">
        <v>15847</v>
      </c>
      <c r="D746" s="142" t="s">
        <v>15848</v>
      </c>
      <c r="E746" s="142" t="s">
        <v>15849</v>
      </c>
      <c r="F746" s="142" t="s">
        <v>2548</v>
      </c>
      <c r="G746" s="142" t="s">
        <v>2547</v>
      </c>
      <c r="H746" s="142" t="s">
        <v>16596</v>
      </c>
      <c r="I746" s="142">
        <v>4</v>
      </c>
      <c r="J746" s="142">
        <v>0</v>
      </c>
      <c r="K746" s="142">
        <v>0</v>
      </c>
      <c r="L746" s="142">
        <v>4</v>
      </c>
      <c r="M746" s="142">
        <v>0</v>
      </c>
    </row>
    <row r="747" spans="1:13" x14ac:dyDescent="0.45">
      <c r="A747" s="142" t="s">
        <v>13028</v>
      </c>
      <c r="B747" s="142" t="s">
        <v>14462</v>
      </c>
      <c r="C747" s="142" t="s">
        <v>15847</v>
      </c>
      <c r="D747" s="142" t="s">
        <v>15848</v>
      </c>
      <c r="E747" s="142" t="s">
        <v>15849</v>
      </c>
      <c r="F747" s="142" t="s">
        <v>2548</v>
      </c>
      <c r="G747" s="142" t="s">
        <v>2547</v>
      </c>
      <c r="H747" s="142" t="s">
        <v>16597</v>
      </c>
      <c r="I747" s="142">
        <v>48</v>
      </c>
      <c r="J747" s="142">
        <v>0</v>
      </c>
      <c r="K747" s="142">
        <v>0</v>
      </c>
      <c r="L747" s="142">
        <v>0</v>
      </c>
      <c r="M747" s="142">
        <v>48</v>
      </c>
    </row>
    <row r="748" spans="1:13" x14ac:dyDescent="0.45">
      <c r="A748" s="142" t="s">
        <v>13003</v>
      </c>
      <c r="B748" s="142" t="s">
        <v>15245</v>
      </c>
      <c r="C748" s="142" t="s">
        <v>15847</v>
      </c>
      <c r="D748" s="142" t="s">
        <v>15848</v>
      </c>
      <c r="E748" s="142" t="s">
        <v>15849</v>
      </c>
      <c r="F748" s="142" t="s">
        <v>2548</v>
      </c>
      <c r="G748" s="142" t="s">
        <v>2547</v>
      </c>
      <c r="H748" s="142" t="s">
        <v>16598</v>
      </c>
      <c r="I748" s="142">
        <v>60</v>
      </c>
      <c r="J748" s="142">
        <v>0</v>
      </c>
      <c r="K748" s="142">
        <v>0</v>
      </c>
      <c r="L748" s="142">
        <v>60</v>
      </c>
      <c r="M748" s="142">
        <v>0</v>
      </c>
    </row>
    <row r="749" spans="1:13" x14ac:dyDescent="0.45">
      <c r="A749" s="142" t="s">
        <v>13066</v>
      </c>
      <c r="B749" s="142" t="s">
        <v>14459</v>
      </c>
      <c r="C749" s="142" t="s">
        <v>15847</v>
      </c>
      <c r="D749" s="142" t="s">
        <v>15848</v>
      </c>
      <c r="E749" s="142" t="s">
        <v>15849</v>
      </c>
      <c r="F749" s="142" t="s">
        <v>2548</v>
      </c>
      <c r="G749" s="142" t="s">
        <v>2547</v>
      </c>
      <c r="H749" s="142" t="s">
        <v>16599</v>
      </c>
      <c r="I749" s="142">
        <v>64</v>
      </c>
      <c r="J749" s="142">
        <v>0</v>
      </c>
      <c r="K749" s="142">
        <v>0</v>
      </c>
      <c r="L749" s="142">
        <v>64</v>
      </c>
      <c r="M749" s="142">
        <v>0</v>
      </c>
    </row>
    <row r="750" spans="1:13" x14ac:dyDescent="0.45">
      <c r="A750" s="142" t="s">
        <v>13201</v>
      </c>
      <c r="B750" s="142" t="s">
        <v>14481</v>
      </c>
      <c r="C750" s="142" t="s">
        <v>15860</v>
      </c>
      <c r="D750" s="142" t="s">
        <v>15861</v>
      </c>
      <c r="E750" s="142" t="s">
        <v>15849</v>
      </c>
      <c r="F750" s="142" t="s">
        <v>2548</v>
      </c>
      <c r="G750" s="142" t="s">
        <v>2547</v>
      </c>
      <c r="H750" s="142" t="s">
        <v>16600</v>
      </c>
      <c r="I750" s="142">
        <v>13</v>
      </c>
      <c r="J750" s="142">
        <v>0</v>
      </c>
      <c r="K750" s="142">
        <v>0</v>
      </c>
      <c r="L750" s="142">
        <v>13</v>
      </c>
      <c r="M750" s="142">
        <v>0</v>
      </c>
    </row>
    <row r="751" spans="1:13" x14ac:dyDescent="0.45">
      <c r="A751" s="142" t="s">
        <v>13007</v>
      </c>
      <c r="B751" s="142" t="s">
        <v>15262</v>
      </c>
      <c r="C751" s="142" t="s">
        <v>15847</v>
      </c>
      <c r="D751" s="142" t="s">
        <v>15848</v>
      </c>
      <c r="E751" s="142" t="s">
        <v>15849</v>
      </c>
      <c r="F751" s="142" t="s">
        <v>2548</v>
      </c>
      <c r="G751" s="142" t="s">
        <v>2547</v>
      </c>
      <c r="H751" s="142" t="s">
        <v>16601</v>
      </c>
      <c r="I751" s="142">
        <v>5</v>
      </c>
      <c r="J751" s="142">
        <v>0</v>
      </c>
      <c r="K751" s="142">
        <v>0</v>
      </c>
      <c r="L751" s="142">
        <v>0</v>
      </c>
      <c r="M751" s="142">
        <v>5</v>
      </c>
    </row>
    <row r="752" spans="1:13" x14ac:dyDescent="0.45">
      <c r="A752" s="142" t="s">
        <v>13054</v>
      </c>
      <c r="B752" s="142" t="s">
        <v>15604</v>
      </c>
      <c r="C752" s="142" t="s">
        <v>15847</v>
      </c>
      <c r="D752" s="142" t="s">
        <v>15848</v>
      </c>
      <c r="E752" s="142" t="s">
        <v>15849</v>
      </c>
      <c r="F752" s="142" t="s">
        <v>2548</v>
      </c>
      <c r="G752" s="142" t="s">
        <v>2547</v>
      </c>
      <c r="H752" s="142" t="s">
        <v>16602</v>
      </c>
      <c r="I752" s="142">
        <v>2</v>
      </c>
      <c r="J752" s="142">
        <v>0</v>
      </c>
      <c r="K752" s="142">
        <v>0</v>
      </c>
      <c r="L752" s="142">
        <v>0</v>
      </c>
      <c r="M752" s="142">
        <v>2</v>
      </c>
    </row>
    <row r="753" spans="1:13" x14ac:dyDescent="0.45">
      <c r="A753" s="142" t="s">
        <v>13033</v>
      </c>
      <c r="B753" s="142" t="s">
        <v>15276</v>
      </c>
      <c r="C753" s="142" t="s">
        <v>15847</v>
      </c>
      <c r="D753" s="142" t="s">
        <v>15848</v>
      </c>
      <c r="E753" s="142" t="s">
        <v>15849</v>
      </c>
      <c r="F753" s="142" t="s">
        <v>2548</v>
      </c>
      <c r="G753" s="142" t="s">
        <v>2547</v>
      </c>
      <c r="H753" s="142" t="s">
        <v>16603</v>
      </c>
      <c r="I753" s="142">
        <v>86</v>
      </c>
      <c r="J753" s="142">
        <v>83</v>
      </c>
      <c r="K753" s="142">
        <v>0</v>
      </c>
      <c r="L753" s="142">
        <v>0</v>
      </c>
      <c r="M753" s="142">
        <v>3</v>
      </c>
    </row>
    <row r="754" spans="1:13" x14ac:dyDescent="0.45">
      <c r="A754" s="142" t="s">
        <v>13304</v>
      </c>
      <c r="B754" s="142" t="s">
        <v>15366</v>
      </c>
      <c r="C754" s="142" t="s">
        <v>15860</v>
      </c>
      <c r="D754" s="142" t="s">
        <v>15861</v>
      </c>
      <c r="E754" s="142" t="s">
        <v>15849</v>
      </c>
      <c r="F754" s="142" t="s">
        <v>2548</v>
      </c>
      <c r="G754" s="142" t="s">
        <v>2547</v>
      </c>
      <c r="H754" s="142" t="s">
        <v>16604</v>
      </c>
      <c r="I754" s="142">
        <v>12</v>
      </c>
      <c r="J754" s="142">
        <v>12</v>
      </c>
      <c r="K754" s="142">
        <v>0</v>
      </c>
      <c r="L754" s="142">
        <v>0</v>
      </c>
      <c r="M754" s="142">
        <v>0</v>
      </c>
    </row>
    <row r="755" spans="1:13" x14ac:dyDescent="0.45">
      <c r="A755" s="142" t="s">
        <v>13037</v>
      </c>
      <c r="B755" s="142" t="s">
        <v>14519</v>
      </c>
      <c r="C755" s="142" t="s">
        <v>15847</v>
      </c>
      <c r="D755" s="142" t="s">
        <v>15848</v>
      </c>
      <c r="E755" s="142" t="s">
        <v>15849</v>
      </c>
      <c r="F755" s="142" t="s">
        <v>2548</v>
      </c>
      <c r="G755" s="142" t="s">
        <v>2547</v>
      </c>
      <c r="H755" s="142" t="s">
        <v>16605</v>
      </c>
      <c r="I755" s="142">
        <v>7</v>
      </c>
      <c r="J755" s="142">
        <v>0</v>
      </c>
      <c r="K755" s="142">
        <v>0</v>
      </c>
      <c r="L755" s="142">
        <v>7</v>
      </c>
      <c r="M755" s="142">
        <v>0</v>
      </c>
    </row>
    <row r="756" spans="1:13" x14ac:dyDescent="0.45">
      <c r="A756" s="142" t="s">
        <v>13038</v>
      </c>
      <c r="B756" s="142" t="s">
        <v>14646</v>
      </c>
      <c r="C756" s="142" t="s">
        <v>15847</v>
      </c>
      <c r="D756" s="142" t="s">
        <v>15848</v>
      </c>
      <c r="E756" s="142" t="s">
        <v>15849</v>
      </c>
      <c r="F756" s="142" t="s">
        <v>2548</v>
      </c>
      <c r="G756" s="142" t="s">
        <v>2547</v>
      </c>
      <c r="H756" s="142" t="s">
        <v>16606</v>
      </c>
      <c r="I756" s="142">
        <v>32</v>
      </c>
      <c r="J756" s="142">
        <v>19</v>
      </c>
      <c r="K756" s="142">
        <v>0</v>
      </c>
      <c r="L756" s="142">
        <v>0</v>
      </c>
      <c r="M756" s="142">
        <v>13</v>
      </c>
    </row>
    <row r="757" spans="1:13" x14ac:dyDescent="0.45">
      <c r="A757" s="142" t="s">
        <v>13039</v>
      </c>
      <c r="B757" s="142" t="s">
        <v>14647</v>
      </c>
      <c r="C757" s="142" t="s">
        <v>15847</v>
      </c>
      <c r="D757" s="142" t="s">
        <v>15848</v>
      </c>
      <c r="E757" s="142" t="s">
        <v>15849</v>
      </c>
      <c r="F757" s="142" t="s">
        <v>2548</v>
      </c>
      <c r="G757" s="142" t="s">
        <v>2547</v>
      </c>
      <c r="H757" s="142" t="s">
        <v>16607</v>
      </c>
      <c r="I757" s="142">
        <v>38</v>
      </c>
      <c r="J757" s="142">
        <v>38</v>
      </c>
      <c r="K757" s="142">
        <v>0</v>
      </c>
      <c r="L757" s="142">
        <v>0</v>
      </c>
      <c r="M757" s="142">
        <v>0</v>
      </c>
    </row>
    <row r="758" spans="1:13" x14ac:dyDescent="0.45">
      <c r="A758" s="142" t="s">
        <v>13078</v>
      </c>
      <c r="B758" s="142" t="s">
        <v>15540</v>
      </c>
      <c r="C758" s="142" t="s">
        <v>15847</v>
      </c>
      <c r="D758" s="142" t="s">
        <v>15848</v>
      </c>
      <c r="E758" s="142" t="s">
        <v>15849</v>
      </c>
      <c r="F758" s="142" t="s">
        <v>2548</v>
      </c>
      <c r="G758" s="142" t="s">
        <v>2547</v>
      </c>
      <c r="H758" s="142" t="s">
        <v>16608</v>
      </c>
      <c r="I758" s="142">
        <v>11</v>
      </c>
      <c r="J758" s="142">
        <v>11</v>
      </c>
      <c r="K758" s="142">
        <v>0</v>
      </c>
      <c r="L758" s="142">
        <v>0</v>
      </c>
      <c r="M758" s="142">
        <v>0</v>
      </c>
    </row>
    <row r="759" spans="1:13" x14ac:dyDescent="0.45">
      <c r="A759" s="142" t="s">
        <v>13009</v>
      </c>
      <c r="B759" s="142" t="s">
        <v>15256</v>
      </c>
      <c r="C759" s="142" t="s">
        <v>15847</v>
      </c>
      <c r="D759" s="142" t="s">
        <v>15848</v>
      </c>
      <c r="E759" s="142" t="s">
        <v>15849</v>
      </c>
      <c r="F759" s="142" t="s">
        <v>2548</v>
      </c>
      <c r="G759" s="142" t="s">
        <v>2547</v>
      </c>
      <c r="H759" s="142" t="s">
        <v>16609</v>
      </c>
      <c r="I759" s="142">
        <v>179</v>
      </c>
      <c r="J759" s="142">
        <v>13</v>
      </c>
      <c r="K759" s="142">
        <v>0</v>
      </c>
      <c r="L759" s="142">
        <v>166</v>
      </c>
      <c r="M759" s="142">
        <v>0</v>
      </c>
    </row>
    <row r="760" spans="1:13" x14ac:dyDescent="0.45">
      <c r="A760" s="142" t="s">
        <v>13305</v>
      </c>
      <c r="B760" s="142" t="s">
        <v>15503</v>
      </c>
      <c r="C760" s="142" t="s">
        <v>15860</v>
      </c>
      <c r="D760" s="142" t="s">
        <v>15861</v>
      </c>
      <c r="E760" s="142" t="s">
        <v>15849</v>
      </c>
      <c r="F760" s="142" t="s">
        <v>2548</v>
      </c>
      <c r="G760" s="142" t="s">
        <v>2547</v>
      </c>
      <c r="H760" s="142" t="s">
        <v>16610</v>
      </c>
      <c r="I760" s="142">
        <v>374</v>
      </c>
      <c r="J760" s="142">
        <v>342</v>
      </c>
      <c r="K760" s="142">
        <v>0</v>
      </c>
      <c r="L760" s="142">
        <v>32</v>
      </c>
      <c r="M760" s="142">
        <v>0</v>
      </c>
    </row>
    <row r="761" spans="1:13" x14ac:dyDescent="0.45">
      <c r="A761" s="142" t="s">
        <v>13058</v>
      </c>
      <c r="B761" s="142" t="s">
        <v>14584</v>
      </c>
      <c r="C761" s="142" t="s">
        <v>15847</v>
      </c>
      <c r="D761" s="142" t="s">
        <v>15848</v>
      </c>
      <c r="E761" s="142" t="s">
        <v>15849</v>
      </c>
      <c r="F761" s="142" t="s">
        <v>2548</v>
      </c>
      <c r="G761" s="142" t="s">
        <v>2547</v>
      </c>
      <c r="H761" s="142" t="s">
        <v>16611</v>
      </c>
      <c r="I761" s="142">
        <v>5270</v>
      </c>
      <c r="J761" s="142">
        <v>4377</v>
      </c>
      <c r="K761" s="142">
        <v>1</v>
      </c>
      <c r="L761" s="142">
        <v>321</v>
      </c>
      <c r="M761" s="142">
        <v>571</v>
      </c>
    </row>
    <row r="762" spans="1:13" x14ac:dyDescent="0.45">
      <c r="A762" s="142" t="s">
        <v>13041</v>
      </c>
      <c r="B762" s="142" t="s">
        <v>14441</v>
      </c>
      <c r="C762" s="142" t="s">
        <v>15847</v>
      </c>
      <c r="D762" s="142" t="s">
        <v>15848</v>
      </c>
      <c r="E762" s="142" t="s">
        <v>15849</v>
      </c>
      <c r="F762" s="142" t="s">
        <v>2548</v>
      </c>
      <c r="G762" s="142" t="s">
        <v>2547</v>
      </c>
      <c r="H762" s="142" t="s">
        <v>16612</v>
      </c>
      <c r="I762" s="142">
        <v>24</v>
      </c>
      <c r="J762" s="142">
        <v>0</v>
      </c>
      <c r="K762" s="142">
        <v>0</v>
      </c>
      <c r="L762" s="142">
        <v>0</v>
      </c>
      <c r="M762" s="142">
        <v>24</v>
      </c>
    </row>
    <row r="763" spans="1:13" x14ac:dyDescent="0.45">
      <c r="A763" s="142" t="s">
        <v>13306</v>
      </c>
      <c r="B763" s="142" t="s">
        <v>15500</v>
      </c>
      <c r="C763" s="142" t="s">
        <v>15847</v>
      </c>
      <c r="D763" s="142" t="s">
        <v>15848</v>
      </c>
      <c r="E763" s="142" t="s">
        <v>15849</v>
      </c>
      <c r="F763" s="142" t="s">
        <v>2548</v>
      </c>
      <c r="G763" s="142" t="s">
        <v>2547</v>
      </c>
      <c r="H763" s="142" t="s">
        <v>16613</v>
      </c>
      <c r="I763" s="142">
        <v>10</v>
      </c>
      <c r="J763" s="142">
        <v>0</v>
      </c>
      <c r="K763" s="142">
        <v>0</v>
      </c>
      <c r="L763" s="142">
        <v>10</v>
      </c>
      <c r="M763" s="142">
        <v>0</v>
      </c>
    </row>
    <row r="764" spans="1:13" x14ac:dyDescent="0.45">
      <c r="A764" s="142" t="s">
        <v>13205</v>
      </c>
      <c r="B764" s="142" t="s">
        <v>14496</v>
      </c>
      <c r="C764" s="142" t="s">
        <v>15847</v>
      </c>
      <c r="D764" s="142" t="s">
        <v>15848</v>
      </c>
      <c r="E764" s="142" t="s">
        <v>15849</v>
      </c>
      <c r="F764" s="142" t="s">
        <v>2548</v>
      </c>
      <c r="G764" s="142" t="s">
        <v>2547</v>
      </c>
      <c r="H764" s="142" t="s">
        <v>16614</v>
      </c>
      <c r="I764" s="142">
        <v>182</v>
      </c>
      <c r="J764" s="142">
        <v>108</v>
      </c>
      <c r="K764" s="142">
        <v>0</v>
      </c>
      <c r="L764" s="142">
        <v>67</v>
      </c>
      <c r="M764" s="142">
        <v>7</v>
      </c>
    </row>
    <row r="765" spans="1:13" x14ac:dyDescent="0.45">
      <c r="A765" s="142" t="s">
        <v>13012</v>
      </c>
      <c r="B765" s="142" t="s">
        <v>15337</v>
      </c>
      <c r="C765" s="142" t="s">
        <v>15847</v>
      </c>
      <c r="D765" s="142" t="s">
        <v>15848</v>
      </c>
      <c r="E765" s="142" t="s">
        <v>15849</v>
      </c>
      <c r="F765" s="142" t="s">
        <v>2548</v>
      </c>
      <c r="G765" s="142" t="s">
        <v>2547</v>
      </c>
      <c r="H765" s="142" t="s">
        <v>16615</v>
      </c>
      <c r="I765" s="142">
        <v>1008</v>
      </c>
      <c r="J765" s="142">
        <v>699</v>
      </c>
      <c r="K765" s="142">
        <v>0</v>
      </c>
      <c r="L765" s="142">
        <v>208</v>
      </c>
      <c r="M765" s="142">
        <v>101</v>
      </c>
    </row>
    <row r="766" spans="1:13" x14ac:dyDescent="0.45">
      <c r="A766" s="142" t="s">
        <v>13060</v>
      </c>
      <c r="B766" s="142" t="s">
        <v>14470</v>
      </c>
      <c r="C766" s="142" t="s">
        <v>15847</v>
      </c>
      <c r="D766" s="142" t="s">
        <v>15848</v>
      </c>
      <c r="E766" s="142" t="s">
        <v>15849</v>
      </c>
      <c r="F766" s="142" t="s">
        <v>2548</v>
      </c>
      <c r="G766" s="142" t="s">
        <v>2547</v>
      </c>
      <c r="H766" s="142" t="s">
        <v>16616</v>
      </c>
      <c r="I766" s="142">
        <v>541</v>
      </c>
      <c r="J766" s="142">
        <v>304</v>
      </c>
      <c r="K766" s="142">
        <v>0</v>
      </c>
      <c r="L766" s="142">
        <v>224</v>
      </c>
      <c r="M766" s="142">
        <v>13</v>
      </c>
    </row>
    <row r="767" spans="1:13" x14ac:dyDescent="0.45">
      <c r="A767" s="142" t="s">
        <v>13014</v>
      </c>
      <c r="B767" s="142" t="s">
        <v>14505</v>
      </c>
      <c r="C767" s="142" t="s">
        <v>15847</v>
      </c>
      <c r="D767" s="142" t="s">
        <v>15848</v>
      </c>
      <c r="E767" s="142" t="s">
        <v>15849</v>
      </c>
      <c r="F767" s="142" t="s">
        <v>2548</v>
      </c>
      <c r="G767" s="142" t="s">
        <v>2547</v>
      </c>
      <c r="H767" s="142" t="s">
        <v>16617</v>
      </c>
      <c r="I767" s="142">
        <v>1</v>
      </c>
      <c r="J767" s="142">
        <v>0</v>
      </c>
      <c r="K767" s="142">
        <v>0</v>
      </c>
      <c r="L767" s="142">
        <v>0</v>
      </c>
      <c r="M767" s="142">
        <v>1</v>
      </c>
    </row>
    <row r="768" spans="1:13" x14ac:dyDescent="0.45">
      <c r="A768" s="142" t="s">
        <v>13174</v>
      </c>
      <c r="B768" s="142" t="s">
        <v>15280</v>
      </c>
      <c r="C768" s="142" t="s">
        <v>15847</v>
      </c>
      <c r="D768" s="142" t="s">
        <v>15848</v>
      </c>
      <c r="E768" s="142" t="s">
        <v>15849</v>
      </c>
      <c r="F768" s="142" t="s">
        <v>2548</v>
      </c>
      <c r="G768" s="142" t="s">
        <v>2547</v>
      </c>
      <c r="H768" s="142" t="s">
        <v>16618</v>
      </c>
      <c r="I768" s="142">
        <v>546</v>
      </c>
      <c r="J768" s="142">
        <v>417</v>
      </c>
      <c r="K768" s="142">
        <v>0</v>
      </c>
      <c r="L768" s="142">
        <v>0</v>
      </c>
      <c r="M768" s="142">
        <v>129</v>
      </c>
    </row>
    <row r="769" spans="1:13" x14ac:dyDescent="0.45">
      <c r="A769" s="142" t="s">
        <v>13079</v>
      </c>
      <c r="B769" s="142" t="s">
        <v>15431</v>
      </c>
      <c r="C769" s="142" t="s">
        <v>15847</v>
      </c>
      <c r="D769" s="142" t="s">
        <v>15848</v>
      </c>
      <c r="E769" s="142" t="s">
        <v>15849</v>
      </c>
      <c r="F769" s="142" t="s">
        <v>2548</v>
      </c>
      <c r="G769" s="142" t="s">
        <v>2547</v>
      </c>
      <c r="H769" s="142" t="s">
        <v>16619</v>
      </c>
      <c r="I769" s="142">
        <v>1</v>
      </c>
      <c r="J769" s="142">
        <v>0</v>
      </c>
      <c r="K769" s="142">
        <v>0</v>
      </c>
      <c r="L769" s="142">
        <v>0</v>
      </c>
      <c r="M769" s="142">
        <v>1</v>
      </c>
    </row>
    <row r="770" spans="1:13" x14ac:dyDescent="0.45">
      <c r="A770" s="142" t="s">
        <v>13307</v>
      </c>
      <c r="B770" s="142" t="s">
        <v>14732</v>
      </c>
      <c r="C770" s="142" t="s">
        <v>15860</v>
      </c>
      <c r="D770" s="142" t="s">
        <v>15861</v>
      </c>
      <c r="E770" s="142" t="s">
        <v>15849</v>
      </c>
      <c r="F770" s="142" t="s">
        <v>2548</v>
      </c>
      <c r="G770" s="142" t="s">
        <v>2547</v>
      </c>
      <c r="H770" s="142" t="s">
        <v>16620</v>
      </c>
      <c r="I770" s="142">
        <v>22</v>
      </c>
      <c r="J770" s="142">
        <v>0</v>
      </c>
      <c r="K770" s="142">
        <v>0</v>
      </c>
      <c r="L770" s="142">
        <v>22</v>
      </c>
      <c r="M770" s="142">
        <v>0</v>
      </c>
    </row>
    <row r="771" spans="1:13" x14ac:dyDescent="0.45">
      <c r="A771" s="142" t="s">
        <v>13016</v>
      </c>
      <c r="B771" s="142" t="s">
        <v>14535</v>
      </c>
      <c r="C771" s="142" t="s">
        <v>15860</v>
      </c>
      <c r="D771" s="142" t="s">
        <v>15861</v>
      </c>
      <c r="E771" s="142" t="s">
        <v>15849</v>
      </c>
      <c r="F771" s="142" t="s">
        <v>2548</v>
      </c>
      <c r="G771" s="142" t="s">
        <v>2547</v>
      </c>
      <c r="H771" s="142" t="s">
        <v>16621</v>
      </c>
      <c r="I771" s="142">
        <v>28</v>
      </c>
      <c r="J771" s="142">
        <v>0</v>
      </c>
      <c r="K771" s="142">
        <v>0</v>
      </c>
      <c r="L771" s="142">
        <v>28</v>
      </c>
      <c r="M771" s="142">
        <v>0</v>
      </c>
    </row>
    <row r="772" spans="1:13" x14ac:dyDescent="0.45">
      <c r="A772" s="142" t="s">
        <v>13144</v>
      </c>
      <c r="B772" s="142" t="s">
        <v>14464</v>
      </c>
      <c r="C772" s="142" t="s">
        <v>15860</v>
      </c>
      <c r="D772" s="142" t="s">
        <v>15861</v>
      </c>
      <c r="E772" s="142" t="s">
        <v>15849</v>
      </c>
      <c r="F772" s="142" t="s">
        <v>2548</v>
      </c>
      <c r="G772" s="142" t="s">
        <v>2547</v>
      </c>
      <c r="H772" s="142" t="s">
        <v>16622</v>
      </c>
      <c r="I772" s="142">
        <v>15</v>
      </c>
      <c r="J772" s="142">
        <v>0</v>
      </c>
      <c r="K772" s="142">
        <v>0</v>
      </c>
      <c r="L772" s="142">
        <v>15</v>
      </c>
      <c r="M772" s="142">
        <v>0</v>
      </c>
    </row>
    <row r="773" spans="1:13" x14ac:dyDescent="0.45">
      <c r="A773" s="142" t="s">
        <v>13308</v>
      </c>
      <c r="B773" s="142" t="s">
        <v>15608</v>
      </c>
      <c r="C773" s="142" t="s">
        <v>15847</v>
      </c>
      <c r="D773" s="142" t="s">
        <v>15848</v>
      </c>
      <c r="E773" s="142" t="s">
        <v>15849</v>
      </c>
      <c r="F773" s="142" t="s">
        <v>1686</v>
      </c>
      <c r="G773" s="142" t="s">
        <v>1685</v>
      </c>
      <c r="H773" s="142" t="s">
        <v>16623</v>
      </c>
      <c r="I773" s="142">
        <v>1</v>
      </c>
      <c r="J773" s="142">
        <v>0</v>
      </c>
      <c r="K773" s="142">
        <v>0</v>
      </c>
      <c r="L773" s="142">
        <v>0</v>
      </c>
      <c r="M773" s="142">
        <v>1</v>
      </c>
    </row>
    <row r="774" spans="1:13" x14ac:dyDescent="0.45">
      <c r="A774" s="142" t="s">
        <v>13166</v>
      </c>
      <c r="B774" s="142" t="s">
        <v>15576</v>
      </c>
      <c r="C774" s="142" t="s">
        <v>15847</v>
      </c>
      <c r="D774" s="142" t="s">
        <v>15848</v>
      </c>
      <c r="E774" s="142" t="s">
        <v>15849</v>
      </c>
      <c r="F774" s="142" t="s">
        <v>1686</v>
      </c>
      <c r="G774" s="142" t="s">
        <v>1685</v>
      </c>
      <c r="H774" s="142" t="s">
        <v>16624</v>
      </c>
      <c r="I774" s="142">
        <v>59</v>
      </c>
      <c r="J774" s="142">
        <v>59</v>
      </c>
      <c r="K774" s="142">
        <v>0</v>
      </c>
      <c r="L774" s="142">
        <v>0</v>
      </c>
      <c r="M774" s="142">
        <v>0</v>
      </c>
    </row>
    <row r="775" spans="1:13" x14ac:dyDescent="0.45">
      <c r="A775" s="142" t="s">
        <v>13046</v>
      </c>
      <c r="B775" s="142" t="s">
        <v>15537</v>
      </c>
      <c r="C775" s="142" t="s">
        <v>15860</v>
      </c>
      <c r="D775" s="142" t="s">
        <v>15861</v>
      </c>
      <c r="E775" s="142" t="s">
        <v>15849</v>
      </c>
      <c r="F775" s="142" t="s">
        <v>1686</v>
      </c>
      <c r="G775" s="142" t="s">
        <v>1685</v>
      </c>
      <c r="H775" s="142" t="s">
        <v>16625</v>
      </c>
      <c r="I775" s="142">
        <v>32</v>
      </c>
      <c r="J775" s="142">
        <v>8</v>
      </c>
      <c r="K775" s="142">
        <v>0</v>
      </c>
      <c r="L775" s="142">
        <v>24</v>
      </c>
      <c r="M775" s="142">
        <v>0</v>
      </c>
    </row>
    <row r="776" spans="1:13" x14ac:dyDescent="0.45">
      <c r="A776" s="142" t="s">
        <v>13167</v>
      </c>
      <c r="B776" s="142" t="s">
        <v>15418</v>
      </c>
      <c r="C776" s="142" t="s">
        <v>15847</v>
      </c>
      <c r="D776" s="142" t="s">
        <v>15848</v>
      </c>
      <c r="E776" s="142" t="s">
        <v>15849</v>
      </c>
      <c r="F776" s="142" t="s">
        <v>1686</v>
      </c>
      <c r="G776" s="142" t="s">
        <v>1685</v>
      </c>
      <c r="H776" s="142" t="s">
        <v>16626</v>
      </c>
      <c r="I776" s="142">
        <v>6422</v>
      </c>
      <c r="J776" s="142">
        <v>5747</v>
      </c>
      <c r="K776" s="142">
        <v>0</v>
      </c>
      <c r="L776" s="142">
        <v>454</v>
      </c>
      <c r="M776" s="142">
        <v>221</v>
      </c>
    </row>
    <row r="777" spans="1:13" x14ac:dyDescent="0.45">
      <c r="A777" s="142" t="s">
        <v>13072</v>
      </c>
      <c r="B777" s="142" t="s">
        <v>15530</v>
      </c>
      <c r="C777" s="142" t="s">
        <v>15847</v>
      </c>
      <c r="D777" s="142" t="s">
        <v>15848</v>
      </c>
      <c r="E777" s="142" t="s">
        <v>15849</v>
      </c>
      <c r="F777" s="142" t="s">
        <v>1686</v>
      </c>
      <c r="G777" s="142" t="s">
        <v>1685</v>
      </c>
      <c r="H777" s="142" t="s">
        <v>16627</v>
      </c>
      <c r="I777" s="142">
        <v>21</v>
      </c>
      <c r="J777" s="142">
        <v>20</v>
      </c>
      <c r="K777" s="142">
        <v>0</v>
      </c>
      <c r="L777" s="142">
        <v>0</v>
      </c>
      <c r="M777" s="142">
        <v>1</v>
      </c>
    </row>
    <row r="778" spans="1:13" x14ac:dyDescent="0.45">
      <c r="A778" s="142" t="s">
        <v>13021</v>
      </c>
      <c r="B778" s="142" t="s">
        <v>15501</v>
      </c>
      <c r="C778" s="142" t="s">
        <v>15847</v>
      </c>
      <c r="D778" s="142" t="s">
        <v>15848</v>
      </c>
      <c r="E778" s="142" t="s">
        <v>15849</v>
      </c>
      <c r="F778" s="142" t="s">
        <v>1686</v>
      </c>
      <c r="G778" s="142" t="s">
        <v>1685</v>
      </c>
      <c r="H778" s="142" t="s">
        <v>16628</v>
      </c>
      <c r="I778" s="142">
        <v>14</v>
      </c>
      <c r="J778" s="142">
        <v>0</v>
      </c>
      <c r="K778" s="142">
        <v>0</v>
      </c>
      <c r="L778" s="142">
        <v>11</v>
      </c>
      <c r="M778" s="142">
        <v>3</v>
      </c>
    </row>
    <row r="779" spans="1:13" x14ac:dyDescent="0.45">
      <c r="A779" s="142" t="s">
        <v>13023</v>
      </c>
      <c r="B779" s="142" t="s">
        <v>15571</v>
      </c>
      <c r="C779" s="142" t="s">
        <v>15847</v>
      </c>
      <c r="D779" s="142" t="s">
        <v>15848</v>
      </c>
      <c r="E779" s="142" t="s">
        <v>15849</v>
      </c>
      <c r="F779" s="142" t="s">
        <v>1686</v>
      </c>
      <c r="G779" s="142" t="s">
        <v>1685</v>
      </c>
      <c r="H779" s="142" t="s">
        <v>16629</v>
      </c>
      <c r="I779" s="142">
        <v>41</v>
      </c>
      <c r="J779" s="142">
        <v>0</v>
      </c>
      <c r="K779" s="142">
        <v>0</v>
      </c>
      <c r="L779" s="142">
        <v>41</v>
      </c>
      <c r="M779" s="142">
        <v>0</v>
      </c>
    </row>
    <row r="780" spans="1:13" x14ac:dyDescent="0.45">
      <c r="A780" s="142" t="s">
        <v>13000</v>
      </c>
      <c r="B780" s="142" t="s">
        <v>14610</v>
      </c>
      <c r="C780" s="142" t="s">
        <v>15847</v>
      </c>
      <c r="D780" s="142" t="s">
        <v>15848</v>
      </c>
      <c r="E780" s="142" t="s">
        <v>15849</v>
      </c>
      <c r="F780" s="142" t="s">
        <v>1686</v>
      </c>
      <c r="G780" s="142" t="s">
        <v>1685</v>
      </c>
      <c r="H780" s="142" t="s">
        <v>16630</v>
      </c>
      <c r="I780" s="142">
        <v>260</v>
      </c>
      <c r="J780" s="142">
        <v>211</v>
      </c>
      <c r="K780" s="142">
        <v>0</v>
      </c>
      <c r="L780" s="142">
        <v>0</v>
      </c>
      <c r="M780" s="142">
        <v>49</v>
      </c>
    </row>
    <row r="781" spans="1:13" x14ac:dyDescent="0.45">
      <c r="A781" s="142" t="s">
        <v>13309</v>
      </c>
      <c r="B781" s="142" t="s">
        <v>14597</v>
      </c>
      <c r="C781" s="142" t="s">
        <v>15860</v>
      </c>
      <c r="D781" s="142" t="s">
        <v>15861</v>
      </c>
      <c r="E781" s="142" t="s">
        <v>15849</v>
      </c>
      <c r="F781" s="142" t="s">
        <v>1686</v>
      </c>
      <c r="G781" s="142" t="s">
        <v>1685</v>
      </c>
      <c r="H781" s="142" t="s">
        <v>16631</v>
      </c>
      <c r="I781" s="142">
        <v>4</v>
      </c>
      <c r="J781" s="142">
        <v>4</v>
      </c>
      <c r="K781" s="142">
        <v>0</v>
      </c>
      <c r="L781" s="142">
        <v>0</v>
      </c>
      <c r="M781" s="142">
        <v>0</v>
      </c>
    </row>
    <row r="782" spans="1:13" x14ac:dyDescent="0.45">
      <c r="A782" s="142" t="s">
        <v>13310</v>
      </c>
      <c r="B782" s="142" t="s">
        <v>14558</v>
      </c>
      <c r="C782" s="142" t="s">
        <v>15860</v>
      </c>
      <c r="D782" s="142" t="s">
        <v>15861</v>
      </c>
      <c r="E782" s="142" t="s">
        <v>15849</v>
      </c>
      <c r="F782" s="142" t="s">
        <v>1686</v>
      </c>
      <c r="G782" s="142" t="s">
        <v>1685</v>
      </c>
      <c r="H782" s="142" t="s">
        <v>16632</v>
      </c>
      <c r="I782" s="142">
        <v>5</v>
      </c>
      <c r="J782" s="142">
        <v>0</v>
      </c>
      <c r="K782" s="142">
        <v>0</v>
      </c>
      <c r="L782" s="142">
        <v>5</v>
      </c>
      <c r="M782" s="142">
        <v>0</v>
      </c>
    </row>
    <row r="783" spans="1:13" x14ac:dyDescent="0.45">
      <c r="A783" s="142" t="s">
        <v>13168</v>
      </c>
      <c r="B783" s="142" t="s">
        <v>14486</v>
      </c>
      <c r="C783" s="142" t="s">
        <v>15860</v>
      </c>
      <c r="D783" s="142" t="s">
        <v>15861</v>
      </c>
      <c r="E783" s="142" t="s">
        <v>15849</v>
      </c>
      <c r="F783" s="142" t="s">
        <v>1686</v>
      </c>
      <c r="G783" s="142" t="s">
        <v>1685</v>
      </c>
      <c r="H783" s="142" t="s">
        <v>16633</v>
      </c>
      <c r="I783" s="142">
        <v>2</v>
      </c>
      <c r="J783" s="142">
        <v>0</v>
      </c>
      <c r="K783" s="142">
        <v>0</v>
      </c>
      <c r="L783" s="142">
        <v>2</v>
      </c>
      <c r="M783" s="142">
        <v>0</v>
      </c>
    </row>
    <row r="784" spans="1:13" x14ac:dyDescent="0.45">
      <c r="A784" s="142" t="s">
        <v>13028</v>
      </c>
      <c r="B784" s="142" t="s">
        <v>14462</v>
      </c>
      <c r="C784" s="142" t="s">
        <v>15847</v>
      </c>
      <c r="D784" s="142" t="s">
        <v>15848</v>
      </c>
      <c r="E784" s="142" t="s">
        <v>15849</v>
      </c>
      <c r="F784" s="142" t="s">
        <v>1686</v>
      </c>
      <c r="G784" s="142" t="s">
        <v>1685</v>
      </c>
      <c r="H784" s="142" t="s">
        <v>16634</v>
      </c>
      <c r="I784" s="142">
        <v>35</v>
      </c>
      <c r="J784" s="142">
        <v>0</v>
      </c>
      <c r="K784" s="142">
        <v>0</v>
      </c>
      <c r="L784" s="142">
        <v>0</v>
      </c>
      <c r="M784" s="142">
        <v>35</v>
      </c>
    </row>
    <row r="785" spans="1:13" x14ac:dyDescent="0.45">
      <c r="A785" s="142" t="s">
        <v>13002</v>
      </c>
      <c r="B785" s="142" t="s">
        <v>15376</v>
      </c>
      <c r="C785" s="142" t="s">
        <v>15847</v>
      </c>
      <c r="D785" s="142" t="s">
        <v>15848</v>
      </c>
      <c r="E785" s="142" t="s">
        <v>15849</v>
      </c>
      <c r="F785" s="142" t="s">
        <v>1686</v>
      </c>
      <c r="G785" s="142" t="s">
        <v>1685</v>
      </c>
      <c r="H785" s="142" t="s">
        <v>16635</v>
      </c>
      <c r="I785" s="142">
        <v>302</v>
      </c>
      <c r="J785" s="142">
        <v>159</v>
      </c>
      <c r="K785" s="142">
        <v>0</v>
      </c>
      <c r="L785" s="142">
        <v>6</v>
      </c>
      <c r="M785" s="142">
        <v>137</v>
      </c>
    </row>
    <row r="786" spans="1:13" x14ac:dyDescent="0.45">
      <c r="A786" s="142" t="s">
        <v>13003</v>
      </c>
      <c r="B786" s="142" t="s">
        <v>15245</v>
      </c>
      <c r="C786" s="142" t="s">
        <v>15847</v>
      </c>
      <c r="D786" s="142" t="s">
        <v>15848</v>
      </c>
      <c r="E786" s="142" t="s">
        <v>15849</v>
      </c>
      <c r="F786" s="142" t="s">
        <v>1686</v>
      </c>
      <c r="G786" s="142" t="s">
        <v>1685</v>
      </c>
      <c r="H786" s="142" t="s">
        <v>16636</v>
      </c>
      <c r="I786" s="142">
        <v>69</v>
      </c>
      <c r="J786" s="142">
        <v>0</v>
      </c>
      <c r="K786" s="142">
        <v>0</v>
      </c>
      <c r="L786" s="142">
        <v>69</v>
      </c>
      <c r="M786" s="142">
        <v>0</v>
      </c>
    </row>
    <row r="787" spans="1:13" x14ac:dyDescent="0.45">
      <c r="A787" s="142" t="s">
        <v>13169</v>
      </c>
      <c r="B787" s="142" t="s">
        <v>15408</v>
      </c>
      <c r="C787" s="142" t="s">
        <v>15847</v>
      </c>
      <c r="D787" s="142" t="s">
        <v>15848</v>
      </c>
      <c r="E787" s="142" t="s">
        <v>15849</v>
      </c>
      <c r="F787" s="142" t="s">
        <v>1686</v>
      </c>
      <c r="G787" s="142" t="s">
        <v>1685</v>
      </c>
      <c r="H787" s="142" t="s">
        <v>16637</v>
      </c>
      <c r="I787" s="142">
        <v>74</v>
      </c>
      <c r="J787" s="142">
        <v>56</v>
      </c>
      <c r="K787" s="142">
        <v>0</v>
      </c>
      <c r="L787" s="142">
        <v>0</v>
      </c>
      <c r="M787" s="142">
        <v>18</v>
      </c>
    </row>
    <row r="788" spans="1:13" x14ac:dyDescent="0.45">
      <c r="A788" s="142" t="s">
        <v>13051</v>
      </c>
      <c r="B788" s="142" t="s">
        <v>14509</v>
      </c>
      <c r="C788" s="142" t="s">
        <v>15860</v>
      </c>
      <c r="D788" s="142" t="s">
        <v>15861</v>
      </c>
      <c r="E788" s="142" t="s">
        <v>15849</v>
      </c>
      <c r="F788" s="142" t="s">
        <v>1686</v>
      </c>
      <c r="G788" s="142" t="s">
        <v>1685</v>
      </c>
      <c r="H788" s="142" t="s">
        <v>16638</v>
      </c>
      <c r="I788" s="142">
        <v>7</v>
      </c>
      <c r="J788" s="142">
        <v>0</v>
      </c>
      <c r="K788" s="142">
        <v>0</v>
      </c>
      <c r="L788" s="142">
        <v>7</v>
      </c>
      <c r="M788" s="142">
        <v>0</v>
      </c>
    </row>
    <row r="789" spans="1:13" x14ac:dyDescent="0.45">
      <c r="A789" s="142" t="s">
        <v>13005</v>
      </c>
      <c r="B789" s="142" t="s">
        <v>15475</v>
      </c>
      <c r="C789" s="142" t="s">
        <v>15847</v>
      </c>
      <c r="D789" s="142" t="s">
        <v>15848</v>
      </c>
      <c r="E789" s="142" t="s">
        <v>15849</v>
      </c>
      <c r="F789" s="142" t="s">
        <v>1686</v>
      </c>
      <c r="G789" s="142" t="s">
        <v>1685</v>
      </c>
      <c r="H789" s="142" t="s">
        <v>16639</v>
      </c>
      <c r="I789" s="142">
        <v>237</v>
      </c>
      <c r="J789" s="142">
        <v>226</v>
      </c>
      <c r="K789" s="142">
        <v>0</v>
      </c>
      <c r="L789" s="142">
        <v>0</v>
      </c>
      <c r="M789" s="142">
        <v>11</v>
      </c>
    </row>
    <row r="790" spans="1:13" x14ac:dyDescent="0.45">
      <c r="A790" s="142" t="s">
        <v>13101</v>
      </c>
      <c r="B790" s="142" t="s">
        <v>15491</v>
      </c>
      <c r="C790" s="142" t="s">
        <v>15847</v>
      </c>
      <c r="D790" s="142" t="s">
        <v>15848</v>
      </c>
      <c r="E790" s="142" t="s">
        <v>15849</v>
      </c>
      <c r="F790" s="142" t="s">
        <v>1686</v>
      </c>
      <c r="G790" s="142" t="s">
        <v>1685</v>
      </c>
      <c r="H790" s="142" t="s">
        <v>16640</v>
      </c>
      <c r="I790" s="142">
        <v>83</v>
      </c>
      <c r="J790" s="142">
        <v>0</v>
      </c>
      <c r="K790" s="142">
        <v>0</v>
      </c>
      <c r="L790" s="142">
        <v>83</v>
      </c>
      <c r="M790" s="142">
        <v>0</v>
      </c>
    </row>
    <row r="791" spans="1:13" x14ac:dyDescent="0.45">
      <c r="A791" s="142" t="s">
        <v>13029</v>
      </c>
      <c r="B791" s="142" t="s">
        <v>14665</v>
      </c>
      <c r="C791" s="142" t="s">
        <v>15847</v>
      </c>
      <c r="D791" s="142" t="s">
        <v>15848</v>
      </c>
      <c r="E791" s="142" t="s">
        <v>15849</v>
      </c>
      <c r="F791" s="142" t="s">
        <v>1686</v>
      </c>
      <c r="G791" s="142" t="s">
        <v>1685</v>
      </c>
      <c r="H791" s="142" t="s">
        <v>16641</v>
      </c>
      <c r="I791" s="142">
        <v>7</v>
      </c>
      <c r="J791" s="142">
        <v>0</v>
      </c>
      <c r="K791" s="142">
        <v>0</v>
      </c>
      <c r="L791" s="142">
        <v>0</v>
      </c>
      <c r="M791" s="142">
        <v>7</v>
      </c>
    </row>
    <row r="792" spans="1:13" x14ac:dyDescent="0.45">
      <c r="A792" s="142" t="s">
        <v>13006</v>
      </c>
      <c r="B792" s="142" t="s">
        <v>15288</v>
      </c>
      <c r="C792" s="142" t="s">
        <v>15847</v>
      </c>
      <c r="D792" s="142" t="s">
        <v>15848</v>
      </c>
      <c r="E792" s="142" t="s">
        <v>15849</v>
      </c>
      <c r="F792" s="142" t="s">
        <v>1686</v>
      </c>
      <c r="G792" s="142" t="s">
        <v>1685</v>
      </c>
      <c r="H792" s="142" t="s">
        <v>16642</v>
      </c>
      <c r="I792" s="142">
        <v>697</v>
      </c>
      <c r="J792" s="142">
        <v>387</v>
      </c>
      <c r="K792" s="142">
        <v>0</v>
      </c>
      <c r="L792" s="142">
        <v>0</v>
      </c>
      <c r="M792" s="142">
        <v>310</v>
      </c>
    </row>
    <row r="793" spans="1:13" x14ac:dyDescent="0.45">
      <c r="A793" s="142" t="s">
        <v>13007</v>
      </c>
      <c r="B793" s="142" t="s">
        <v>15262</v>
      </c>
      <c r="C793" s="142" t="s">
        <v>15847</v>
      </c>
      <c r="D793" s="142" t="s">
        <v>15848</v>
      </c>
      <c r="E793" s="142" t="s">
        <v>15849</v>
      </c>
      <c r="F793" s="142" t="s">
        <v>1686</v>
      </c>
      <c r="G793" s="142" t="s">
        <v>1685</v>
      </c>
      <c r="H793" s="142" t="s">
        <v>16643</v>
      </c>
      <c r="I793" s="142">
        <v>2</v>
      </c>
      <c r="J793" s="142">
        <v>0</v>
      </c>
      <c r="K793" s="142">
        <v>0</v>
      </c>
      <c r="L793" s="142">
        <v>0</v>
      </c>
      <c r="M793" s="142">
        <v>2</v>
      </c>
    </row>
    <row r="794" spans="1:13" x14ac:dyDescent="0.45">
      <c r="A794" s="142" t="s">
        <v>13054</v>
      </c>
      <c r="B794" s="142" t="s">
        <v>15604</v>
      </c>
      <c r="C794" s="142" t="s">
        <v>15847</v>
      </c>
      <c r="D794" s="142" t="s">
        <v>15848</v>
      </c>
      <c r="E794" s="142" t="s">
        <v>15849</v>
      </c>
      <c r="F794" s="142" t="s">
        <v>1686</v>
      </c>
      <c r="G794" s="142" t="s">
        <v>1685</v>
      </c>
      <c r="H794" s="142" t="s">
        <v>16644</v>
      </c>
      <c r="I794" s="142">
        <v>2</v>
      </c>
      <c r="J794" s="142">
        <v>0</v>
      </c>
      <c r="K794" s="142">
        <v>0</v>
      </c>
      <c r="L794" s="142">
        <v>0</v>
      </c>
      <c r="M794" s="142">
        <v>2</v>
      </c>
    </row>
    <row r="795" spans="1:13" x14ac:dyDescent="0.45">
      <c r="A795" s="142" t="s">
        <v>13069</v>
      </c>
      <c r="B795" s="142" t="s">
        <v>14630</v>
      </c>
      <c r="C795" s="142" t="s">
        <v>15860</v>
      </c>
      <c r="D795" s="142" t="s">
        <v>15861</v>
      </c>
      <c r="E795" s="142" t="s">
        <v>15849</v>
      </c>
      <c r="F795" s="142" t="s">
        <v>1686</v>
      </c>
      <c r="G795" s="142" t="s">
        <v>1685</v>
      </c>
      <c r="H795" s="142" t="s">
        <v>16645</v>
      </c>
      <c r="I795" s="142">
        <v>18</v>
      </c>
      <c r="J795" s="142">
        <v>18</v>
      </c>
      <c r="K795" s="142">
        <v>0</v>
      </c>
      <c r="L795" s="142">
        <v>0</v>
      </c>
      <c r="M795" s="142">
        <v>0</v>
      </c>
    </row>
    <row r="796" spans="1:13" x14ac:dyDescent="0.45">
      <c r="A796" s="142" t="s">
        <v>13104</v>
      </c>
      <c r="B796" s="142" t="s">
        <v>14622</v>
      </c>
      <c r="C796" s="142" t="s">
        <v>15847</v>
      </c>
      <c r="D796" s="142" t="s">
        <v>15848</v>
      </c>
      <c r="E796" s="142" t="s">
        <v>15849</v>
      </c>
      <c r="F796" s="142" t="s">
        <v>1686</v>
      </c>
      <c r="G796" s="142" t="s">
        <v>1685</v>
      </c>
      <c r="H796" s="142" t="s">
        <v>16646</v>
      </c>
      <c r="I796" s="142">
        <v>3</v>
      </c>
      <c r="J796" s="142">
        <v>0</v>
      </c>
      <c r="K796" s="142">
        <v>0</v>
      </c>
      <c r="L796" s="142">
        <v>0</v>
      </c>
      <c r="M796" s="142">
        <v>3</v>
      </c>
    </row>
    <row r="797" spans="1:13" x14ac:dyDescent="0.45">
      <c r="A797" s="142" t="s">
        <v>13034</v>
      </c>
      <c r="B797" s="142" t="s">
        <v>15562</v>
      </c>
      <c r="C797" s="142" t="s">
        <v>15847</v>
      </c>
      <c r="D797" s="142" t="s">
        <v>15848</v>
      </c>
      <c r="E797" s="142" t="s">
        <v>15849</v>
      </c>
      <c r="F797" s="142" t="s">
        <v>1686</v>
      </c>
      <c r="G797" s="142" t="s">
        <v>1685</v>
      </c>
      <c r="H797" s="142" t="s">
        <v>16647</v>
      </c>
      <c r="I797" s="142">
        <v>7</v>
      </c>
      <c r="J797" s="142">
        <v>0</v>
      </c>
      <c r="K797" s="142">
        <v>0</v>
      </c>
      <c r="L797" s="142">
        <v>7</v>
      </c>
      <c r="M797" s="142">
        <v>0</v>
      </c>
    </row>
    <row r="798" spans="1:13" x14ac:dyDescent="0.45">
      <c r="A798" s="142" t="s">
        <v>13038</v>
      </c>
      <c r="B798" s="142" t="s">
        <v>14646</v>
      </c>
      <c r="C798" s="142" t="s">
        <v>15847</v>
      </c>
      <c r="D798" s="142" t="s">
        <v>15848</v>
      </c>
      <c r="E798" s="142" t="s">
        <v>15849</v>
      </c>
      <c r="F798" s="142" t="s">
        <v>1686</v>
      </c>
      <c r="G798" s="142" t="s">
        <v>1685</v>
      </c>
      <c r="H798" s="142" t="s">
        <v>16648</v>
      </c>
      <c r="I798" s="142">
        <v>8</v>
      </c>
      <c r="J798" s="142">
        <v>4</v>
      </c>
      <c r="K798" s="142">
        <v>0</v>
      </c>
      <c r="L798" s="142">
        <v>0</v>
      </c>
      <c r="M798" s="142">
        <v>4</v>
      </c>
    </row>
    <row r="799" spans="1:13" x14ac:dyDescent="0.45">
      <c r="A799" s="142" t="s">
        <v>13039</v>
      </c>
      <c r="B799" s="142" t="s">
        <v>14647</v>
      </c>
      <c r="C799" s="142" t="s">
        <v>15847</v>
      </c>
      <c r="D799" s="142" t="s">
        <v>15848</v>
      </c>
      <c r="E799" s="142" t="s">
        <v>15849</v>
      </c>
      <c r="F799" s="142" t="s">
        <v>1686</v>
      </c>
      <c r="G799" s="142" t="s">
        <v>1685</v>
      </c>
      <c r="H799" s="142" t="s">
        <v>16649</v>
      </c>
      <c r="I799" s="142">
        <v>21</v>
      </c>
      <c r="J799" s="142">
        <v>21</v>
      </c>
      <c r="K799" s="142">
        <v>0</v>
      </c>
      <c r="L799" s="142">
        <v>0</v>
      </c>
      <c r="M799" s="142">
        <v>0</v>
      </c>
    </row>
    <row r="800" spans="1:13" x14ac:dyDescent="0.45">
      <c r="A800" s="142" t="s">
        <v>13011</v>
      </c>
      <c r="B800" s="142" t="s">
        <v>14695</v>
      </c>
      <c r="C800" s="142" t="s">
        <v>15847</v>
      </c>
      <c r="D800" s="142" t="s">
        <v>15848</v>
      </c>
      <c r="E800" s="142" t="s">
        <v>15849</v>
      </c>
      <c r="F800" s="142" t="s">
        <v>1686</v>
      </c>
      <c r="G800" s="142" t="s">
        <v>1685</v>
      </c>
      <c r="H800" s="142" t="s">
        <v>16650</v>
      </c>
      <c r="I800" s="142">
        <v>422</v>
      </c>
      <c r="J800" s="142">
        <v>372</v>
      </c>
      <c r="K800" s="142">
        <v>0</v>
      </c>
      <c r="L800" s="142">
        <v>40</v>
      </c>
      <c r="M800" s="142">
        <v>10</v>
      </c>
    </row>
    <row r="801" spans="1:13" x14ac:dyDescent="0.45">
      <c r="A801" s="142" t="s">
        <v>13058</v>
      </c>
      <c r="B801" s="142" t="s">
        <v>14584</v>
      </c>
      <c r="C801" s="142" t="s">
        <v>15847</v>
      </c>
      <c r="D801" s="142" t="s">
        <v>15848</v>
      </c>
      <c r="E801" s="142" t="s">
        <v>15849</v>
      </c>
      <c r="F801" s="142" t="s">
        <v>1686</v>
      </c>
      <c r="G801" s="142" t="s">
        <v>1685</v>
      </c>
      <c r="H801" s="142" t="s">
        <v>16651</v>
      </c>
      <c r="I801" s="142">
        <v>76</v>
      </c>
      <c r="J801" s="142">
        <v>47</v>
      </c>
      <c r="K801" s="142">
        <v>0</v>
      </c>
      <c r="L801" s="142">
        <v>8</v>
      </c>
      <c r="M801" s="142">
        <v>21</v>
      </c>
    </row>
    <row r="802" spans="1:13" x14ac:dyDescent="0.45">
      <c r="A802" s="142" t="s">
        <v>13041</v>
      </c>
      <c r="B802" s="142" t="s">
        <v>14441</v>
      </c>
      <c r="C802" s="142" t="s">
        <v>15847</v>
      </c>
      <c r="D802" s="142" t="s">
        <v>15848</v>
      </c>
      <c r="E802" s="142" t="s">
        <v>15849</v>
      </c>
      <c r="F802" s="142" t="s">
        <v>1686</v>
      </c>
      <c r="G802" s="142" t="s">
        <v>1685</v>
      </c>
      <c r="H802" s="142" t="s">
        <v>16652</v>
      </c>
      <c r="I802" s="142">
        <v>7</v>
      </c>
      <c r="J802" s="142">
        <v>0</v>
      </c>
      <c r="K802" s="142">
        <v>0</v>
      </c>
      <c r="L802" s="142">
        <v>0</v>
      </c>
      <c r="M802" s="142">
        <v>7</v>
      </c>
    </row>
    <row r="803" spans="1:13" x14ac:dyDescent="0.45">
      <c r="A803" s="142" t="s">
        <v>13012</v>
      </c>
      <c r="B803" s="142" t="s">
        <v>15337</v>
      </c>
      <c r="C803" s="142" t="s">
        <v>15847</v>
      </c>
      <c r="D803" s="142" t="s">
        <v>15848</v>
      </c>
      <c r="E803" s="142" t="s">
        <v>15849</v>
      </c>
      <c r="F803" s="142" t="s">
        <v>1686</v>
      </c>
      <c r="G803" s="142" t="s">
        <v>1685</v>
      </c>
      <c r="H803" s="142" t="s">
        <v>16653</v>
      </c>
      <c r="I803" s="142">
        <v>47</v>
      </c>
      <c r="J803" s="142">
        <v>35</v>
      </c>
      <c r="K803" s="142">
        <v>0</v>
      </c>
      <c r="L803" s="142">
        <v>0</v>
      </c>
      <c r="M803" s="142">
        <v>12</v>
      </c>
    </row>
    <row r="804" spans="1:13" x14ac:dyDescent="0.45">
      <c r="A804" s="142" t="s">
        <v>13060</v>
      </c>
      <c r="B804" s="142" t="s">
        <v>14470</v>
      </c>
      <c r="C804" s="142" t="s">
        <v>15847</v>
      </c>
      <c r="D804" s="142" t="s">
        <v>15848</v>
      </c>
      <c r="E804" s="142" t="s">
        <v>15849</v>
      </c>
      <c r="F804" s="142" t="s">
        <v>1686</v>
      </c>
      <c r="G804" s="142" t="s">
        <v>1685</v>
      </c>
      <c r="H804" s="142" t="s">
        <v>16654</v>
      </c>
      <c r="I804" s="142">
        <v>13</v>
      </c>
      <c r="J804" s="142">
        <v>9</v>
      </c>
      <c r="K804" s="142">
        <v>0</v>
      </c>
      <c r="L804" s="142">
        <v>0</v>
      </c>
      <c r="M804" s="142">
        <v>4</v>
      </c>
    </row>
    <row r="805" spans="1:13" x14ac:dyDescent="0.45">
      <c r="A805" s="142" t="s">
        <v>13014</v>
      </c>
      <c r="B805" s="142" t="s">
        <v>14505</v>
      </c>
      <c r="C805" s="142" t="s">
        <v>15847</v>
      </c>
      <c r="D805" s="142" t="s">
        <v>15848</v>
      </c>
      <c r="E805" s="142" t="s">
        <v>15849</v>
      </c>
      <c r="F805" s="142" t="s">
        <v>1686</v>
      </c>
      <c r="G805" s="142" t="s">
        <v>1685</v>
      </c>
      <c r="H805" s="142" t="s">
        <v>16655</v>
      </c>
      <c r="I805" s="142">
        <v>1</v>
      </c>
      <c r="J805" s="142">
        <v>0</v>
      </c>
      <c r="K805" s="142">
        <v>0</v>
      </c>
      <c r="L805" s="142">
        <v>0</v>
      </c>
      <c r="M805" s="142">
        <v>1</v>
      </c>
    </row>
    <row r="806" spans="1:13" x14ac:dyDescent="0.45">
      <c r="A806" s="142" t="s">
        <v>13174</v>
      </c>
      <c r="B806" s="142" t="s">
        <v>15280</v>
      </c>
      <c r="C806" s="142" t="s">
        <v>15847</v>
      </c>
      <c r="D806" s="142" t="s">
        <v>15848</v>
      </c>
      <c r="E806" s="142" t="s">
        <v>15849</v>
      </c>
      <c r="F806" s="142" t="s">
        <v>1686</v>
      </c>
      <c r="G806" s="142" t="s">
        <v>1685</v>
      </c>
      <c r="H806" s="142" t="s">
        <v>16656</v>
      </c>
      <c r="I806" s="142">
        <v>26</v>
      </c>
      <c r="J806" s="142">
        <v>25</v>
      </c>
      <c r="K806" s="142">
        <v>0</v>
      </c>
      <c r="L806" s="142">
        <v>0</v>
      </c>
      <c r="M806" s="142">
        <v>1</v>
      </c>
    </row>
    <row r="807" spans="1:13" x14ac:dyDescent="0.45">
      <c r="A807" s="142" t="s">
        <v>13015</v>
      </c>
      <c r="B807" s="142" t="s">
        <v>14596</v>
      </c>
      <c r="C807" s="142" t="s">
        <v>15847</v>
      </c>
      <c r="D807" s="142" t="s">
        <v>15848</v>
      </c>
      <c r="E807" s="142" t="s">
        <v>15849</v>
      </c>
      <c r="F807" s="142" t="s">
        <v>1686</v>
      </c>
      <c r="G807" s="142" t="s">
        <v>1685</v>
      </c>
      <c r="H807" s="142" t="s">
        <v>16657</v>
      </c>
      <c r="I807" s="142">
        <v>44</v>
      </c>
      <c r="J807" s="142">
        <v>31</v>
      </c>
      <c r="K807" s="142">
        <v>0</v>
      </c>
      <c r="L807" s="142">
        <v>0</v>
      </c>
      <c r="M807" s="142">
        <v>13</v>
      </c>
    </row>
    <row r="808" spans="1:13" x14ac:dyDescent="0.45">
      <c r="A808" s="142" t="s">
        <v>13312</v>
      </c>
      <c r="B808" s="142" t="s">
        <v>14640</v>
      </c>
      <c r="C808" s="142" t="s">
        <v>15860</v>
      </c>
      <c r="D808" s="142" t="s">
        <v>15861</v>
      </c>
      <c r="E808" s="142" t="s">
        <v>15849</v>
      </c>
      <c r="F808" s="142" t="s">
        <v>10936</v>
      </c>
      <c r="G808" s="142" t="s">
        <v>10935</v>
      </c>
      <c r="H808" s="142" t="s">
        <v>16658</v>
      </c>
      <c r="I808" s="142">
        <v>131</v>
      </c>
      <c r="J808" s="142">
        <v>0</v>
      </c>
      <c r="K808" s="142">
        <v>0</v>
      </c>
      <c r="L808" s="142">
        <v>131</v>
      </c>
      <c r="M808" s="142">
        <v>0</v>
      </c>
    </row>
    <row r="809" spans="1:13" x14ac:dyDescent="0.45">
      <c r="A809" s="142" t="s">
        <v>13072</v>
      </c>
      <c r="B809" s="142" t="s">
        <v>15530</v>
      </c>
      <c r="C809" s="142" t="s">
        <v>15847</v>
      </c>
      <c r="D809" s="142" t="s">
        <v>15848</v>
      </c>
      <c r="E809" s="142" t="s">
        <v>15849</v>
      </c>
      <c r="F809" s="142" t="s">
        <v>10936</v>
      </c>
      <c r="G809" s="142" t="s">
        <v>10935</v>
      </c>
      <c r="H809" s="142" t="s">
        <v>16659</v>
      </c>
      <c r="I809" s="142">
        <v>2083</v>
      </c>
      <c r="J809" s="142">
        <v>1812</v>
      </c>
      <c r="K809" s="142">
        <v>0</v>
      </c>
      <c r="L809" s="142">
        <v>202</v>
      </c>
      <c r="M809" s="142">
        <v>69</v>
      </c>
    </row>
    <row r="810" spans="1:13" x14ac:dyDescent="0.45">
      <c r="A810" s="142" t="s">
        <v>13023</v>
      </c>
      <c r="B810" s="142" t="s">
        <v>15571</v>
      </c>
      <c r="C810" s="142" t="s">
        <v>15847</v>
      </c>
      <c r="D810" s="142" t="s">
        <v>15848</v>
      </c>
      <c r="E810" s="142" t="s">
        <v>15849</v>
      </c>
      <c r="F810" s="142" t="s">
        <v>10936</v>
      </c>
      <c r="G810" s="142" t="s">
        <v>10935</v>
      </c>
      <c r="H810" s="142" t="s">
        <v>16660</v>
      </c>
      <c r="I810" s="142">
        <v>1356</v>
      </c>
      <c r="J810" s="142">
        <v>0</v>
      </c>
      <c r="K810" s="142">
        <v>0</v>
      </c>
      <c r="L810" s="142">
        <v>1222</v>
      </c>
      <c r="M810" s="142">
        <v>134</v>
      </c>
    </row>
    <row r="811" spans="1:13" x14ac:dyDescent="0.45">
      <c r="A811" s="142" t="s">
        <v>13113</v>
      </c>
      <c r="B811" s="142" t="s">
        <v>14503</v>
      </c>
      <c r="C811" s="142" t="s">
        <v>15860</v>
      </c>
      <c r="D811" s="142" t="s">
        <v>15861</v>
      </c>
      <c r="E811" s="142" t="s">
        <v>15849</v>
      </c>
      <c r="F811" s="142" t="s">
        <v>10936</v>
      </c>
      <c r="G811" s="142" t="s">
        <v>10935</v>
      </c>
      <c r="H811" s="142" t="s">
        <v>16661</v>
      </c>
      <c r="I811" s="142">
        <v>8</v>
      </c>
      <c r="J811" s="142">
        <v>8</v>
      </c>
      <c r="K811" s="142">
        <v>0</v>
      </c>
      <c r="L811" s="142">
        <v>0</v>
      </c>
      <c r="M811" s="142">
        <v>0</v>
      </c>
    </row>
    <row r="812" spans="1:13" x14ac:dyDescent="0.45">
      <c r="A812" s="142" t="s">
        <v>13082</v>
      </c>
      <c r="B812" s="142" t="s">
        <v>14478</v>
      </c>
      <c r="C812" s="142" t="s">
        <v>15860</v>
      </c>
      <c r="D812" s="142" t="s">
        <v>15861</v>
      </c>
      <c r="E812" s="142" t="s">
        <v>15849</v>
      </c>
      <c r="F812" s="142" t="s">
        <v>10936</v>
      </c>
      <c r="G812" s="142" t="s">
        <v>10935</v>
      </c>
      <c r="H812" s="142" t="s">
        <v>16662</v>
      </c>
      <c r="I812" s="142">
        <v>3</v>
      </c>
      <c r="J812" s="142">
        <v>0</v>
      </c>
      <c r="K812" s="142">
        <v>0</v>
      </c>
      <c r="L812" s="142">
        <v>3</v>
      </c>
      <c r="M812" s="142">
        <v>0</v>
      </c>
    </row>
    <row r="813" spans="1:13" x14ac:dyDescent="0.45">
      <c r="A813" s="142" t="s">
        <v>13065</v>
      </c>
      <c r="B813" s="142" t="s">
        <v>14497</v>
      </c>
      <c r="C813" s="142" t="s">
        <v>15847</v>
      </c>
      <c r="D813" s="142" t="s">
        <v>15848</v>
      </c>
      <c r="E813" s="142" t="s">
        <v>15849</v>
      </c>
      <c r="F813" s="142" t="s">
        <v>10936</v>
      </c>
      <c r="G813" s="142" t="s">
        <v>10935</v>
      </c>
      <c r="H813" s="142" t="s">
        <v>16663</v>
      </c>
      <c r="I813" s="142">
        <v>104</v>
      </c>
      <c r="J813" s="142">
        <v>0</v>
      </c>
      <c r="K813" s="142">
        <v>0</v>
      </c>
      <c r="L813" s="142">
        <v>104</v>
      </c>
      <c r="M813" s="142">
        <v>0</v>
      </c>
    </row>
    <row r="814" spans="1:13" x14ac:dyDescent="0.45">
      <c r="A814" s="142" t="s">
        <v>13313</v>
      </c>
      <c r="B814" s="142" t="s">
        <v>14605</v>
      </c>
      <c r="C814" s="142" t="s">
        <v>15860</v>
      </c>
      <c r="D814" s="142" t="s">
        <v>15861</v>
      </c>
      <c r="E814" s="142" t="s">
        <v>15849</v>
      </c>
      <c r="F814" s="142" t="s">
        <v>10936</v>
      </c>
      <c r="G814" s="142" t="s">
        <v>10935</v>
      </c>
      <c r="H814" s="142" t="s">
        <v>16664</v>
      </c>
      <c r="I814" s="142">
        <v>118</v>
      </c>
      <c r="J814" s="142">
        <v>0</v>
      </c>
      <c r="K814" s="142">
        <v>0</v>
      </c>
      <c r="L814" s="142">
        <v>118</v>
      </c>
      <c r="M814" s="142">
        <v>0</v>
      </c>
    </row>
    <row r="815" spans="1:13" x14ac:dyDescent="0.45">
      <c r="A815" s="142" t="s">
        <v>13314</v>
      </c>
      <c r="B815" s="142" t="s">
        <v>14673</v>
      </c>
      <c r="C815" s="142" t="s">
        <v>15860</v>
      </c>
      <c r="D815" s="142" t="s">
        <v>15861</v>
      </c>
      <c r="E815" s="142" t="s">
        <v>15849</v>
      </c>
      <c r="F815" s="142" t="s">
        <v>10936</v>
      </c>
      <c r="G815" s="142" t="s">
        <v>10935</v>
      </c>
      <c r="H815" s="142" t="s">
        <v>16665</v>
      </c>
      <c r="I815" s="142">
        <v>10</v>
      </c>
      <c r="J815" s="142">
        <v>0</v>
      </c>
      <c r="K815" s="142">
        <v>0</v>
      </c>
      <c r="L815" s="142">
        <v>10</v>
      </c>
      <c r="M815" s="142">
        <v>0</v>
      </c>
    </row>
    <row r="816" spans="1:13" x14ac:dyDescent="0.45">
      <c r="A816" s="142" t="s">
        <v>13315</v>
      </c>
      <c r="B816" s="142" t="s">
        <v>14511</v>
      </c>
      <c r="C816" s="142" t="s">
        <v>15860</v>
      </c>
      <c r="D816" s="142" t="s">
        <v>15861</v>
      </c>
      <c r="E816" s="142" t="s">
        <v>15849</v>
      </c>
      <c r="F816" s="142" t="s">
        <v>10936</v>
      </c>
      <c r="G816" s="142" t="s">
        <v>10935</v>
      </c>
      <c r="H816" s="142" t="s">
        <v>16666</v>
      </c>
      <c r="I816" s="142">
        <v>6</v>
      </c>
      <c r="J816" s="142">
        <v>0</v>
      </c>
      <c r="K816" s="142">
        <v>6</v>
      </c>
      <c r="L816" s="142">
        <v>0</v>
      </c>
      <c r="M816" s="142">
        <v>0</v>
      </c>
    </row>
    <row r="817" spans="1:13" x14ac:dyDescent="0.45">
      <c r="A817" s="142" t="s">
        <v>13316</v>
      </c>
      <c r="B817" s="142" t="s">
        <v>14897</v>
      </c>
      <c r="C817" s="142" t="s">
        <v>15860</v>
      </c>
      <c r="D817" s="142" t="s">
        <v>15861</v>
      </c>
      <c r="E817" s="142" t="s">
        <v>15849</v>
      </c>
      <c r="F817" s="142" t="s">
        <v>10936</v>
      </c>
      <c r="G817" s="142" t="s">
        <v>10935</v>
      </c>
      <c r="H817" s="142" t="s">
        <v>16667</v>
      </c>
      <c r="I817" s="142">
        <v>6</v>
      </c>
      <c r="J817" s="142">
        <v>0</v>
      </c>
      <c r="K817" s="142">
        <v>0</v>
      </c>
      <c r="L817" s="142">
        <v>6</v>
      </c>
      <c r="M817" s="142">
        <v>0</v>
      </c>
    </row>
    <row r="818" spans="1:13" x14ac:dyDescent="0.45">
      <c r="A818" s="142" t="s">
        <v>13317</v>
      </c>
      <c r="B818" s="142" t="s">
        <v>14879</v>
      </c>
      <c r="C818" s="142" t="s">
        <v>15860</v>
      </c>
      <c r="D818" s="142" t="s">
        <v>15861</v>
      </c>
      <c r="E818" s="142" t="s">
        <v>15849</v>
      </c>
      <c r="F818" s="142" t="s">
        <v>10936</v>
      </c>
      <c r="G818" s="142" t="s">
        <v>10935</v>
      </c>
      <c r="H818" s="142" t="s">
        <v>16668</v>
      </c>
      <c r="I818" s="142">
        <v>6</v>
      </c>
      <c r="J818" s="142">
        <v>0</v>
      </c>
      <c r="K818" s="142">
        <v>0</v>
      </c>
      <c r="L818" s="142">
        <v>6</v>
      </c>
      <c r="M818" s="142">
        <v>0</v>
      </c>
    </row>
    <row r="819" spans="1:13" x14ac:dyDescent="0.45">
      <c r="A819" s="142" t="s">
        <v>13273</v>
      </c>
      <c r="B819" s="142" t="s">
        <v>14465</v>
      </c>
      <c r="C819" s="142" t="s">
        <v>15860</v>
      </c>
      <c r="D819" s="142" t="s">
        <v>15861</v>
      </c>
      <c r="E819" s="142" t="s">
        <v>15849</v>
      </c>
      <c r="F819" s="142" t="s">
        <v>10936</v>
      </c>
      <c r="G819" s="142" t="s">
        <v>10935</v>
      </c>
      <c r="H819" s="142" t="s">
        <v>16669</v>
      </c>
      <c r="I819" s="142">
        <v>49</v>
      </c>
      <c r="J819" s="142">
        <v>0</v>
      </c>
      <c r="K819" s="142">
        <v>0</v>
      </c>
      <c r="L819" s="142">
        <v>49</v>
      </c>
      <c r="M819" s="142">
        <v>0</v>
      </c>
    </row>
    <row r="820" spans="1:13" x14ac:dyDescent="0.45">
      <c r="A820" s="142" t="s">
        <v>13318</v>
      </c>
      <c r="B820" s="142" t="s">
        <v>15172</v>
      </c>
      <c r="C820" s="142" t="s">
        <v>15860</v>
      </c>
      <c r="D820" s="142" t="s">
        <v>15861</v>
      </c>
      <c r="E820" s="142" t="s">
        <v>15849</v>
      </c>
      <c r="F820" s="142" t="s">
        <v>10936</v>
      </c>
      <c r="G820" s="142" t="s">
        <v>10935</v>
      </c>
      <c r="H820" s="142" t="s">
        <v>16670</v>
      </c>
      <c r="I820" s="142">
        <v>17</v>
      </c>
      <c r="J820" s="142">
        <v>0</v>
      </c>
      <c r="K820" s="142">
        <v>0</v>
      </c>
      <c r="L820" s="142">
        <v>17</v>
      </c>
      <c r="M820" s="142">
        <v>0</v>
      </c>
    </row>
    <row r="821" spans="1:13" x14ac:dyDescent="0.45">
      <c r="A821" s="142" t="s">
        <v>13319</v>
      </c>
      <c r="B821" s="142" t="s">
        <v>14906</v>
      </c>
      <c r="C821" s="142" t="s">
        <v>15860</v>
      </c>
      <c r="D821" s="142" t="s">
        <v>15861</v>
      </c>
      <c r="E821" s="142" t="s">
        <v>15849</v>
      </c>
      <c r="F821" s="142" t="s">
        <v>10936</v>
      </c>
      <c r="G821" s="142" t="s">
        <v>10935</v>
      </c>
      <c r="H821" s="142" t="s">
        <v>16671</v>
      </c>
      <c r="I821" s="142">
        <v>7</v>
      </c>
      <c r="J821" s="142">
        <v>0</v>
      </c>
      <c r="K821" s="142">
        <v>0</v>
      </c>
      <c r="L821" s="142">
        <v>7</v>
      </c>
      <c r="M821" s="142">
        <v>0</v>
      </c>
    </row>
    <row r="822" spans="1:13" x14ac:dyDescent="0.45">
      <c r="A822" s="142" t="s">
        <v>13320</v>
      </c>
      <c r="B822" s="142" t="s">
        <v>14575</v>
      </c>
      <c r="C822" s="142" t="s">
        <v>15860</v>
      </c>
      <c r="D822" s="142" t="s">
        <v>15861</v>
      </c>
      <c r="E822" s="142" t="s">
        <v>15849</v>
      </c>
      <c r="F822" s="142" t="s">
        <v>10936</v>
      </c>
      <c r="G822" s="142" t="s">
        <v>10935</v>
      </c>
      <c r="H822" s="142" t="s">
        <v>16672</v>
      </c>
      <c r="I822" s="142">
        <v>422</v>
      </c>
      <c r="J822" s="142">
        <v>0</v>
      </c>
      <c r="K822" s="142">
        <v>0</v>
      </c>
      <c r="L822" s="142">
        <v>422</v>
      </c>
      <c r="M822" s="142">
        <v>0</v>
      </c>
    </row>
    <row r="823" spans="1:13" x14ac:dyDescent="0.45">
      <c r="A823" s="142" t="s">
        <v>13000</v>
      </c>
      <c r="B823" s="142" t="s">
        <v>14610</v>
      </c>
      <c r="C823" s="142" t="s">
        <v>15847</v>
      </c>
      <c r="D823" s="142" t="s">
        <v>15848</v>
      </c>
      <c r="E823" s="142" t="s">
        <v>15849</v>
      </c>
      <c r="F823" s="142" t="s">
        <v>10936</v>
      </c>
      <c r="G823" s="142" t="s">
        <v>10935</v>
      </c>
      <c r="H823" s="142" t="s">
        <v>16673</v>
      </c>
      <c r="I823" s="142">
        <v>626</v>
      </c>
      <c r="J823" s="142">
        <v>619</v>
      </c>
      <c r="K823" s="142">
        <v>0</v>
      </c>
      <c r="L823" s="142">
        <v>0</v>
      </c>
      <c r="M823" s="142">
        <v>7</v>
      </c>
    </row>
    <row r="824" spans="1:13" x14ac:dyDescent="0.45">
      <c r="A824" s="142" t="s">
        <v>13321</v>
      </c>
      <c r="B824" s="142" t="s">
        <v>15367</v>
      </c>
      <c r="C824" s="142" t="s">
        <v>15847</v>
      </c>
      <c r="D824" s="142" t="s">
        <v>15848</v>
      </c>
      <c r="E824" s="142" t="s">
        <v>15849</v>
      </c>
      <c r="F824" s="142" t="s">
        <v>10936</v>
      </c>
      <c r="G824" s="142" t="s">
        <v>10935</v>
      </c>
      <c r="H824" s="142" t="s">
        <v>16674</v>
      </c>
      <c r="I824" s="142">
        <v>55</v>
      </c>
      <c r="J824" s="142">
        <v>37</v>
      </c>
      <c r="K824" s="142">
        <v>0</v>
      </c>
      <c r="L824" s="142">
        <v>0</v>
      </c>
      <c r="M824" s="142">
        <v>18</v>
      </c>
    </row>
    <row r="825" spans="1:13" x14ac:dyDescent="0.45">
      <c r="A825" s="142" t="s">
        <v>13238</v>
      </c>
      <c r="B825" s="142" t="s">
        <v>14477</v>
      </c>
      <c r="C825" s="142" t="s">
        <v>15860</v>
      </c>
      <c r="D825" s="142" t="s">
        <v>15861</v>
      </c>
      <c r="E825" s="142" t="s">
        <v>15849</v>
      </c>
      <c r="F825" s="142" t="s">
        <v>10936</v>
      </c>
      <c r="G825" s="142" t="s">
        <v>10935</v>
      </c>
      <c r="H825" s="142" t="s">
        <v>16675</v>
      </c>
      <c r="I825" s="142">
        <v>13</v>
      </c>
      <c r="J825" s="142">
        <v>0</v>
      </c>
      <c r="K825" s="142">
        <v>0</v>
      </c>
      <c r="L825" s="142">
        <v>13</v>
      </c>
      <c r="M825" s="142">
        <v>0</v>
      </c>
    </row>
    <row r="826" spans="1:13" x14ac:dyDescent="0.45">
      <c r="A826" s="142" t="s">
        <v>13099</v>
      </c>
      <c r="B826" s="142" t="s">
        <v>14547</v>
      </c>
      <c r="C826" s="142" t="s">
        <v>15860</v>
      </c>
      <c r="D826" s="142" t="s">
        <v>15861</v>
      </c>
      <c r="E826" s="142" t="s">
        <v>15849</v>
      </c>
      <c r="F826" s="142" t="s">
        <v>10936</v>
      </c>
      <c r="G826" s="142" t="s">
        <v>10935</v>
      </c>
      <c r="H826" s="142" t="s">
        <v>16676</v>
      </c>
      <c r="I826" s="142">
        <v>24</v>
      </c>
      <c r="J826" s="142">
        <v>0</v>
      </c>
      <c r="K826" s="142">
        <v>0</v>
      </c>
      <c r="L826" s="142">
        <v>24</v>
      </c>
      <c r="M826" s="142">
        <v>0</v>
      </c>
    </row>
    <row r="827" spans="1:13" x14ac:dyDescent="0.45">
      <c r="A827" s="142" t="s">
        <v>13322</v>
      </c>
      <c r="B827" s="142" t="s">
        <v>14922</v>
      </c>
      <c r="C827" s="142" t="s">
        <v>15860</v>
      </c>
      <c r="D827" s="142" t="s">
        <v>15861</v>
      </c>
      <c r="E827" s="142" t="s">
        <v>15849</v>
      </c>
      <c r="F827" s="142" t="s">
        <v>10936</v>
      </c>
      <c r="G827" s="142" t="s">
        <v>10935</v>
      </c>
      <c r="H827" s="142" t="s">
        <v>16677</v>
      </c>
      <c r="I827" s="142">
        <v>8</v>
      </c>
      <c r="J827" s="142">
        <v>8</v>
      </c>
      <c r="K827" s="142">
        <v>0</v>
      </c>
      <c r="L827" s="142">
        <v>0</v>
      </c>
      <c r="M827" s="142">
        <v>0</v>
      </c>
    </row>
    <row r="828" spans="1:13" x14ac:dyDescent="0.45">
      <c r="A828" s="142" t="s">
        <v>13148</v>
      </c>
      <c r="B828" s="142" t="s">
        <v>15314</v>
      </c>
      <c r="C828" s="142" t="s">
        <v>15847</v>
      </c>
      <c r="D828" s="142" t="s">
        <v>15848</v>
      </c>
      <c r="E828" s="142" t="s">
        <v>15849</v>
      </c>
      <c r="F828" s="142" t="s">
        <v>10936</v>
      </c>
      <c r="G828" s="142" t="s">
        <v>10935</v>
      </c>
      <c r="H828" s="142" t="s">
        <v>16678</v>
      </c>
      <c r="I828" s="142">
        <v>30</v>
      </c>
      <c r="J828" s="142">
        <v>30</v>
      </c>
      <c r="K828" s="142">
        <v>0</v>
      </c>
      <c r="L828" s="142">
        <v>0</v>
      </c>
      <c r="M828" s="142">
        <v>0</v>
      </c>
    </row>
    <row r="829" spans="1:13" x14ac:dyDescent="0.45">
      <c r="A829" s="142" t="s">
        <v>13001</v>
      </c>
      <c r="B829" s="142" t="s">
        <v>15506</v>
      </c>
      <c r="C829" s="142" t="s">
        <v>15847</v>
      </c>
      <c r="D829" s="142" t="s">
        <v>15848</v>
      </c>
      <c r="E829" s="142" t="s">
        <v>15849</v>
      </c>
      <c r="F829" s="142" t="s">
        <v>10936</v>
      </c>
      <c r="G829" s="142" t="s">
        <v>10935</v>
      </c>
      <c r="H829" s="142" t="s">
        <v>16679</v>
      </c>
      <c r="I829" s="142">
        <v>103</v>
      </c>
      <c r="J829" s="142">
        <v>55</v>
      </c>
      <c r="K829" s="142">
        <v>0</v>
      </c>
      <c r="L829" s="142">
        <v>48</v>
      </c>
      <c r="M829" s="142">
        <v>0</v>
      </c>
    </row>
    <row r="830" spans="1:13" x14ac:dyDescent="0.45">
      <c r="A830" s="142" t="s">
        <v>13149</v>
      </c>
      <c r="B830" s="142" t="s">
        <v>14458</v>
      </c>
      <c r="C830" s="142" t="s">
        <v>15860</v>
      </c>
      <c r="D830" s="142" t="s">
        <v>15861</v>
      </c>
      <c r="E830" s="142" t="s">
        <v>15849</v>
      </c>
      <c r="F830" s="142" t="s">
        <v>10936</v>
      </c>
      <c r="G830" s="142" t="s">
        <v>10935</v>
      </c>
      <c r="H830" s="142" t="s">
        <v>16680</v>
      </c>
      <c r="I830" s="142">
        <v>5</v>
      </c>
      <c r="J830" s="142">
        <v>0</v>
      </c>
      <c r="K830" s="142">
        <v>0</v>
      </c>
      <c r="L830" s="142">
        <v>5</v>
      </c>
      <c r="M830" s="142">
        <v>0</v>
      </c>
    </row>
    <row r="831" spans="1:13" x14ac:dyDescent="0.45">
      <c r="A831" s="142" t="s">
        <v>13028</v>
      </c>
      <c r="B831" s="142" t="s">
        <v>14462</v>
      </c>
      <c r="C831" s="142" t="s">
        <v>15847</v>
      </c>
      <c r="D831" s="142" t="s">
        <v>15848</v>
      </c>
      <c r="E831" s="142" t="s">
        <v>15849</v>
      </c>
      <c r="F831" s="142" t="s">
        <v>10936</v>
      </c>
      <c r="G831" s="142" t="s">
        <v>10935</v>
      </c>
      <c r="H831" s="142" t="s">
        <v>16681</v>
      </c>
      <c r="I831" s="142">
        <v>58</v>
      </c>
      <c r="J831" s="142">
        <v>0</v>
      </c>
      <c r="K831" s="142">
        <v>0</v>
      </c>
      <c r="L831" s="142">
        <v>0</v>
      </c>
      <c r="M831" s="142">
        <v>58</v>
      </c>
    </row>
    <row r="832" spans="1:13" x14ac:dyDescent="0.45">
      <c r="A832" s="142" t="s">
        <v>13160</v>
      </c>
      <c r="B832" s="142" t="s">
        <v>14525</v>
      </c>
      <c r="C832" s="142" t="s">
        <v>15847</v>
      </c>
      <c r="D832" s="142" t="s">
        <v>15848</v>
      </c>
      <c r="E832" s="142" t="s">
        <v>15849</v>
      </c>
      <c r="F832" s="142" t="s">
        <v>10936</v>
      </c>
      <c r="G832" s="142" t="s">
        <v>10935</v>
      </c>
      <c r="H832" s="142" t="s">
        <v>16682</v>
      </c>
      <c r="I832" s="142">
        <v>55</v>
      </c>
      <c r="J832" s="142">
        <v>0</v>
      </c>
      <c r="K832" s="142">
        <v>0</v>
      </c>
      <c r="L832" s="142">
        <v>55</v>
      </c>
      <c r="M832" s="142">
        <v>0</v>
      </c>
    </row>
    <row r="833" spans="1:13" x14ac:dyDescent="0.45">
      <c r="A833" s="142" t="s">
        <v>13002</v>
      </c>
      <c r="B833" s="142" t="s">
        <v>15376</v>
      </c>
      <c r="C833" s="142" t="s">
        <v>15847</v>
      </c>
      <c r="D833" s="142" t="s">
        <v>15848</v>
      </c>
      <c r="E833" s="142" t="s">
        <v>15849</v>
      </c>
      <c r="F833" s="142" t="s">
        <v>10936</v>
      </c>
      <c r="G833" s="142" t="s">
        <v>10935</v>
      </c>
      <c r="H833" s="142" t="s">
        <v>16683</v>
      </c>
      <c r="I833" s="142">
        <v>871</v>
      </c>
      <c r="J833" s="142">
        <v>801</v>
      </c>
      <c r="K833" s="142">
        <v>0</v>
      </c>
      <c r="L833" s="142">
        <v>24</v>
      </c>
      <c r="M833" s="142">
        <v>46</v>
      </c>
    </row>
    <row r="834" spans="1:13" x14ac:dyDescent="0.45">
      <c r="A834" s="142" t="s">
        <v>13003</v>
      </c>
      <c r="B834" s="142" t="s">
        <v>15245</v>
      </c>
      <c r="C834" s="142" t="s">
        <v>15847</v>
      </c>
      <c r="D834" s="142" t="s">
        <v>15848</v>
      </c>
      <c r="E834" s="142" t="s">
        <v>15849</v>
      </c>
      <c r="F834" s="142" t="s">
        <v>10936</v>
      </c>
      <c r="G834" s="142" t="s">
        <v>10935</v>
      </c>
      <c r="H834" s="142" t="s">
        <v>16684</v>
      </c>
      <c r="I834" s="142">
        <v>528</v>
      </c>
      <c r="J834" s="142">
        <v>0</v>
      </c>
      <c r="K834" s="142">
        <v>0</v>
      </c>
      <c r="L834" s="142">
        <v>522</v>
      </c>
      <c r="M834" s="142">
        <v>6</v>
      </c>
    </row>
    <row r="835" spans="1:13" x14ac:dyDescent="0.45">
      <c r="A835" s="142" t="s">
        <v>13066</v>
      </c>
      <c r="B835" s="142" t="s">
        <v>14459</v>
      </c>
      <c r="C835" s="142" t="s">
        <v>15847</v>
      </c>
      <c r="D835" s="142" t="s">
        <v>15848</v>
      </c>
      <c r="E835" s="142" t="s">
        <v>15849</v>
      </c>
      <c r="F835" s="142" t="s">
        <v>10936</v>
      </c>
      <c r="G835" s="142" t="s">
        <v>10935</v>
      </c>
      <c r="H835" s="142" t="s">
        <v>16685</v>
      </c>
      <c r="I835" s="142">
        <v>43</v>
      </c>
      <c r="J835" s="142">
        <v>0</v>
      </c>
      <c r="K835" s="142">
        <v>0</v>
      </c>
      <c r="L835" s="142">
        <v>43</v>
      </c>
      <c r="M835" s="142">
        <v>0</v>
      </c>
    </row>
    <row r="836" spans="1:13" x14ac:dyDescent="0.45">
      <c r="A836" s="142" t="s">
        <v>13323</v>
      </c>
      <c r="B836" s="142" t="s">
        <v>15466</v>
      </c>
      <c r="C836" s="142" t="s">
        <v>15847</v>
      </c>
      <c r="D836" s="142" t="s">
        <v>15848</v>
      </c>
      <c r="E836" s="142" t="s">
        <v>15849</v>
      </c>
      <c r="F836" s="142" t="s">
        <v>10936</v>
      </c>
      <c r="G836" s="142" t="s">
        <v>10935</v>
      </c>
      <c r="H836" s="142" t="s">
        <v>16686</v>
      </c>
      <c r="I836" s="142">
        <v>19796</v>
      </c>
      <c r="J836" s="142">
        <v>18929</v>
      </c>
      <c r="K836" s="142">
        <v>0</v>
      </c>
      <c r="L836" s="142">
        <v>744</v>
      </c>
      <c r="M836" s="142">
        <v>123</v>
      </c>
    </row>
    <row r="837" spans="1:13" x14ac:dyDescent="0.45">
      <c r="A837" s="142" t="s">
        <v>13201</v>
      </c>
      <c r="B837" s="142" t="s">
        <v>14481</v>
      </c>
      <c r="C837" s="142" t="s">
        <v>15860</v>
      </c>
      <c r="D837" s="142" t="s">
        <v>15861</v>
      </c>
      <c r="E837" s="142" t="s">
        <v>15849</v>
      </c>
      <c r="F837" s="142" t="s">
        <v>10936</v>
      </c>
      <c r="G837" s="142" t="s">
        <v>10935</v>
      </c>
      <c r="H837" s="142" t="s">
        <v>16687</v>
      </c>
      <c r="I837" s="142">
        <v>41</v>
      </c>
      <c r="J837" s="142">
        <v>0</v>
      </c>
      <c r="K837" s="142">
        <v>0</v>
      </c>
      <c r="L837" s="142">
        <v>41</v>
      </c>
      <c r="M837" s="142">
        <v>0</v>
      </c>
    </row>
    <row r="838" spans="1:13" x14ac:dyDescent="0.45">
      <c r="A838" s="142" t="s">
        <v>13076</v>
      </c>
      <c r="B838" s="142" t="s">
        <v>14636</v>
      </c>
      <c r="C838" s="142" t="s">
        <v>15847</v>
      </c>
      <c r="D838" s="142" t="s">
        <v>15848</v>
      </c>
      <c r="E838" s="142" t="s">
        <v>15849</v>
      </c>
      <c r="F838" s="142" t="s">
        <v>10936</v>
      </c>
      <c r="G838" s="142" t="s">
        <v>10935</v>
      </c>
      <c r="H838" s="142" t="s">
        <v>16688</v>
      </c>
      <c r="I838" s="142">
        <v>3</v>
      </c>
      <c r="J838" s="142">
        <v>0</v>
      </c>
      <c r="K838" s="142">
        <v>0</v>
      </c>
      <c r="L838" s="142">
        <v>0</v>
      </c>
      <c r="M838" s="142">
        <v>3</v>
      </c>
    </row>
    <row r="839" spans="1:13" x14ac:dyDescent="0.45">
      <c r="A839" s="142" t="s">
        <v>13274</v>
      </c>
      <c r="B839" s="142" t="s">
        <v>14608</v>
      </c>
      <c r="C839" s="142" t="s">
        <v>15860</v>
      </c>
      <c r="D839" s="142" t="s">
        <v>15861</v>
      </c>
      <c r="E839" s="142" t="s">
        <v>15849</v>
      </c>
      <c r="F839" s="142" t="s">
        <v>10936</v>
      </c>
      <c r="G839" s="142" t="s">
        <v>10935</v>
      </c>
      <c r="H839" s="142" t="s">
        <v>16689</v>
      </c>
      <c r="I839" s="142">
        <v>3</v>
      </c>
      <c r="J839" s="142">
        <v>0</v>
      </c>
      <c r="K839" s="142">
        <v>0</v>
      </c>
      <c r="L839" s="142">
        <v>3</v>
      </c>
      <c r="M839" s="142">
        <v>0</v>
      </c>
    </row>
    <row r="840" spans="1:13" x14ac:dyDescent="0.45">
      <c r="A840" s="142" t="s">
        <v>13029</v>
      </c>
      <c r="B840" s="142" t="s">
        <v>14665</v>
      </c>
      <c r="C840" s="142" t="s">
        <v>15847</v>
      </c>
      <c r="D840" s="142" t="s">
        <v>15848</v>
      </c>
      <c r="E840" s="142" t="s">
        <v>15849</v>
      </c>
      <c r="F840" s="142" t="s">
        <v>10936</v>
      </c>
      <c r="G840" s="142" t="s">
        <v>10935</v>
      </c>
      <c r="H840" s="142" t="s">
        <v>16690</v>
      </c>
      <c r="I840" s="142">
        <v>8</v>
      </c>
      <c r="J840" s="142">
        <v>0</v>
      </c>
      <c r="K840" s="142">
        <v>0</v>
      </c>
      <c r="L840" s="142">
        <v>0</v>
      </c>
      <c r="M840" s="142">
        <v>8</v>
      </c>
    </row>
    <row r="841" spans="1:13" x14ac:dyDescent="0.45">
      <c r="A841" s="142" t="s">
        <v>13202</v>
      </c>
      <c r="B841" s="142" t="s">
        <v>15390</v>
      </c>
      <c r="C841" s="142" t="s">
        <v>15847</v>
      </c>
      <c r="D841" s="142" t="s">
        <v>15848</v>
      </c>
      <c r="E841" s="142" t="s">
        <v>15849</v>
      </c>
      <c r="F841" s="142" t="s">
        <v>10936</v>
      </c>
      <c r="G841" s="142" t="s">
        <v>10935</v>
      </c>
      <c r="H841" s="142" t="s">
        <v>16691</v>
      </c>
      <c r="I841" s="142">
        <v>1382</v>
      </c>
      <c r="J841" s="142">
        <v>1382</v>
      </c>
      <c r="K841" s="142">
        <v>0</v>
      </c>
      <c r="L841" s="142">
        <v>0</v>
      </c>
      <c r="M841" s="142">
        <v>0</v>
      </c>
    </row>
    <row r="842" spans="1:13" x14ac:dyDescent="0.45">
      <c r="A842" s="142" t="s">
        <v>13192</v>
      </c>
      <c r="B842" s="142" t="s">
        <v>15539</v>
      </c>
      <c r="C842" s="142" t="s">
        <v>15860</v>
      </c>
      <c r="D842" s="142" t="s">
        <v>15861</v>
      </c>
      <c r="E842" s="142" t="s">
        <v>15849</v>
      </c>
      <c r="F842" s="142" t="s">
        <v>10936</v>
      </c>
      <c r="G842" s="142" t="s">
        <v>10935</v>
      </c>
      <c r="H842" s="142" t="s">
        <v>16692</v>
      </c>
      <c r="I842" s="142">
        <v>46</v>
      </c>
      <c r="J842" s="142">
        <v>0</v>
      </c>
      <c r="K842" s="142">
        <v>0</v>
      </c>
      <c r="L842" s="142">
        <v>46</v>
      </c>
      <c r="M842" s="142">
        <v>0</v>
      </c>
    </row>
    <row r="843" spans="1:13" x14ac:dyDescent="0.45">
      <c r="A843" s="142" t="s">
        <v>13284</v>
      </c>
      <c r="B843" s="142" t="s">
        <v>15364</v>
      </c>
      <c r="C843" s="142" t="s">
        <v>15847</v>
      </c>
      <c r="D843" s="142" t="s">
        <v>15848</v>
      </c>
      <c r="E843" s="142" t="s">
        <v>15849</v>
      </c>
      <c r="F843" s="142" t="s">
        <v>10936</v>
      </c>
      <c r="G843" s="142" t="s">
        <v>10935</v>
      </c>
      <c r="H843" s="142" t="s">
        <v>16693</v>
      </c>
      <c r="I843" s="142">
        <v>48</v>
      </c>
      <c r="J843" s="142">
        <v>48</v>
      </c>
      <c r="K843" s="142">
        <v>0</v>
      </c>
      <c r="L843" s="142">
        <v>0</v>
      </c>
      <c r="M843" s="142">
        <v>0</v>
      </c>
    </row>
    <row r="844" spans="1:13" x14ac:dyDescent="0.45">
      <c r="A844" s="142" t="s">
        <v>13054</v>
      </c>
      <c r="B844" s="142" t="s">
        <v>15604</v>
      </c>
      <c r="C844" s="142" t="s">
        <v>15847</v>
      </c>
      <c r="D844" s="142" t="s">
        <v>15848</v>
      </c>
      <c r="E844" s="142" t="s">
        <v>15849</v>
      </c>
      <c r="F844" s="142" t="s">
        <v>10936</v>
      </c>
      <c r="G844" s="142" t="s">
        <v>10935</v>
      </c>
      <c r="H844" s="142" t="s">
        <v>16694</v>
      </c>
      <c r="I844" s="142">
        <v>1</v>
      </c>
      <c r="J844" s="142">
        <v>0</v>
      </c>
      <c r="K844" s="142">
        <v>0</v>
      </c>
      <c r="L844" s="142">
        <v>0</v>
      </c>
      <c r="M844" s="142">
        <v>1</v>
      </c>
    </row>
    <row r="845" spans="1:13" x14ac:dyDescent="0.45">
      <c r="A845" s="142" t="s">
        <v>13033</v>
      </c>
      <c r="B845" s="142" t="s">
        <v>15276</v>
      </c>
      <c r="C845" s="142" t="s">
        <v>15847</v>
      </c>
      <c r="D845" s="142" t="s">
        <v>15848</v>
      </c>
      <c r="E845" s="142" t="s">
        <v>15849</v>
      </c>
      <c r="F845" s="142" t="s">
        <v>10936</v>
      </c>
      <c r="G845" s="142" t="s">
        <v>10935</v>
      </c>
      <c r="H845" s="142" t="s">
        <v>16695</v>
      </c>
      <c r="I845" s="142">
        <v>1446</v>
      </c>
      <c r="J845" s="142">
        <v>1128</v>
      </c>
      <c r="K845" s="142">
        <v>0</v>
      </c>
      <c r="L845" s="142">
        <v>42</v>
      </c>
      <c r="M845" s="142">
        <v>276</v>
      </c>
    </row>
    <row r="846" spans="1:13" x14ac:dyDescent="0.45">
      <c r="A846" s="142" t="s">
        <v>13034</v>
      </c>
      <c r="B846" s="142" t="s">
        <v>15562</v>
      </c>
      <c r="C846" s="142" t="s">
        <v>15847</v>
      </c>
      <c r="D846" s="142" t="s">
        <v>15848</v>
      </c>
      <c r="E846" s="142" t="s">
        <v>15849</v>
      </c>
      <c r="F846" s="142" t="s">
        <v>10936</v>
      </c>
      <c r="G846" s="142" t="s">
        <v>10935</v>
      </c>
      <c r="H846" s="142" t="s">
        <v>16696</v>
      </c>
      <c r="I846" s="142">
        <v>65</v>
      </c>
      <c r="J846" s="142">
        <v>3</v>
      </c>
      <c r="K846" s="142">
        <v>0</v>
      </c>
      <c r="L846" s="142">
        <v>62</v>
      </c>
      <c r="M846" s="142">
        <v>0</v>
      </c>
    </row>
    <row r="847" spans="1:13" x14ac:dyDescent="0.45">
      <c r="A847" s="142" t="s">
        <v>13171</v>
      </c>
      <c r="B847" s="142" t="s">
        <v>14523</v>
      </c>
      <c r="C847" s="142" t="s">
        <v>15860</v>
      </c>
      <c r="D847" s="142" t="s">
        <v>15861</v>
      </c>
      <c r="E847" s="142" t="s">
        <v>15849</v>
      </c>
      <c r="F847" s="142" t="s">
        <v>10936</v>
      </c>
      <c r="G847" s="142" t="s">
        <v>10935</v>
      </c>
      <c r="H847" s="142" t="s">
        <v>16697</v>
      </c>
      <c r="I847" s="142">
        <v>69</v>
      </c>
      <c r="J847" s="142">
        <v>0</v>
      </c>
      <c r="K847" s="142">
        <v>0</v>
      </c>
      <c r="L847" s="142">
        <v>69</v>
      </c>
      <c r="M847" s="142">
        <v>0</v>
      </c>
    </row>
    <row r="848" spans="1:13" x14ac:dyDescent="0.45">
      <c r="A848" s="142" t="s">
        <v>13036</v>
      </c>
      <c r="B848" s="142" t="s">
        <v>15567</v>
      </c>
      <c r="C848" s="142" t="s">
        <v>15847</v>
      </c>
      <c r="D848" s="142" t="s">
        <v>15848</v>
      </c>
      <c r="E848" s="142" t="s">
        <v>15849</v>
      </c>
      <c r="F848" s="142" t="s">
        <v>10936</v>
      </c>
      <c r="G848" s="142" t="s">
        <v>10935</v>
      </c>
      <c r="H848" s="142" t="s">
        <v>16698</v>
      </c>
      <c r="I848" s="142">
        <v>23</v>
      </c>
      <c r="J848" s="142">
        <v>0</v>
      </c>
      <c r="K848" s="142">
        <v>0</v>
      </c>
      <c r="L848" s="142">
        <v>23</v>
      </c>
      <c r="M848" s="142">
        <v>0</v>
      </c>
    </row>
    <row r="849" spans="1:13" x14ac:dyDescent="0.45">
      <c r="A849" s="142" t="s">
        <v>13038</v>
      </c>
      <c r="B849" s="142" t="s">
        <v>14646</v>
      </c>
      <c r="C849" s="142" t="s">
        <v>15847</v>
      </c>
      <c r="D849" s="142" t="s">
        <v>15848</v>
      </c>
      <c r="E849" s="142" t="s">
        <v>15849</v>
      </c>
      <c r="F849" s="142" t="s">
        <v>10936</v>
      </c>
      <c r="G849" s="142" t="s">
        <v>10935</v>
      </c>
      <c r="H849" s="142" t="s">
        <v>16699</v>
      </c>
      <c r="I849" s="142">
        <v>82</v>
      </c>
      <c r="J849" s="142">
        <v>82</v>
      </c>
      <c r="K849" s="142">
        <v>0</v>
      </c>
      <c r="L849" s="142">
        <v>0</v>
      </c>
      <c r="M849" s="142">
        <v>0</v>
      </c>
    </row>
    <row r="850" spans="1:13" x14ac:dyDescent="0.45">
      <c r="A850" s="142" t="s">
        <v>13091</v>
      </c>
      <c r="B850" s="142" t="s">
        <v>14473</v>
      </c>
      <c r="C850" s="142" t="s">
        <v>15847</v>
      </c>
      <c r="D850" s="142" t="s">
        <v>15848</v>
      </c>
      <c r="E850" s="142" t="s">
        <v>15849</v>
      </c>
      <c r="F850" s="142" t="s">
        <v>10936</v>
      </c>
      <c r="G850" s="142" t="s">
        <v>10935</v>
      </c>
      <c r="H850" s="142" t="s">
        <v>16700</v>
      </c>
      <c r="I850" s="142">
        <v>86</v>
      </c>
      <c r="J850" s="142">
        <v>0</v>
      </c>
      <c r="K850" s="142">
        <v>0</v>
      </c>
      <c r="L850" s="142">
        <v>86</v>
      </c>
      <c r="M850" s="142">
        <v>0</v>
      </c>
    </row>
    <row r="851" spans="1:13" x14ac:dyDescent="0.45">
      <c r="A851" s="142" t="s">
        <v>13009</v>
      </c>
      <c r="B851" s="142" t="s">
        <v>15256</v>
      </c>
      <c r="C851" s="142" t="s">
        <v>15847</v>
      </c>
      <c r="D851" s="142" t="s">
        <v>15848</v>
      </c>
      <c r="E851" s="142" t="s">
        <v>15849</v>
      </c>
      <c r="F851" s="142" t="s">
        <v>10936</v>
      </c>
      <c r="G851" s="142" t="s">
        <v>10935</v>
      </c>
      <c r="H851" s="142" t="s">
        <v>16701</v>
      </c>
      <c r="I851" s="142">
        <v>114</v>
      </c>
      <c r="J851" s="142">
        <v>36</v>
      </c>
      <c r="K851" s="142">
        <v>0</v>
      </c>
      <c r="L851" s="142">
        <v>50</v>
      </c>
      <c r="M851" s="142">
        <v>28</v>
      </c>
    </row>
    <row r="852" spans="1:13" x14ac:dyDescent="0.45">
      <c r="A852" s="142" t="s">
        <v>13012</v>
      </c>
      <c r="B852" s="142" t="s">
        <v>15337</v>
      </c>
      <c r="C852" s="142" t="s">
        <v>15847</v>
      </c>
      <c r="D852" s="142" t="s">
        <v>15848</v>
      </c>
      <c r="E852" s="142" t="s">
        <v>15849</v>
      </c>
      <c r="F852" s="142" t="s">
        <v>10936</v>
      </c>
      <c r="G852" s="142" t="s">
        <v>10935</v>
      </c>
      <c r="H852" s="142" t="s">
        <v>16702</v>
      </c>
      <c r="I852" s="142">
        <v>54</v>
      </c>
      <c r="J852" s="142">
        <v>54</v>
      </c>
      <c r="K852" s="142">
        <v>0</v>
      </c>
      <c r="L852" s="142">
        <v>0</v>
      </c>
      <c r="M852" s="142">
        <v>0</v>
      </c>
    </row>
    <row r="853" spans="1:13" x14ac:dyDescent="0.45">
      <c r="A853" s="142" t="s">
        <v>13285</v>
      </c>
      <c r="B853" s="142" t="s">
        <v>15158</v>
      </c>
      <c r="C853" s="142" t="s">
        <v>15860</v>
      </c>
      <c r="D853" s="142" t="s">
        <v>15861</v>
      </c>
      <c r="E853" s="142" t="s">
        <v>15849</v>
      </c>
      <c r="F853" s="142" t="s">
        <v>10936</v>
      </c>
      <c r="G853" s="142" t="s">
        <v>10935</v>
      </c>
      <c r="H853" s="142" t="s">
        <v>16703</v>
      </c>
      <c r="I853" s="142">
        <v>4</v>
      </c>
      <c r="J853" s="142">
        <v>0</v>
      </c>
      <c r="K853" s="142">
        <v>0</v>
      </c>
      <c r="L853" s="142">
        <v>4</v>
      </c>
      <c r="M853" s="142">
        <v>0</v>
      </c>
    </row>
    <row r="854" spans="1:13" x14ac:dyDescent="0.45">
      <c r="A854" s="142" t="s">
        <v>13014</v>
      </c>
      <c r="B854" s="142" t="s">
        <v>14505</v>
      </c>
      <c r="C854" s="142" t="s">
        <v>15847</v>
      </c>
      <c r="D854" s="142" t="s">
        <v>15848</v>
      </c>
      <c r="E854" s="142" t="s">
        <v>15849</v>
      </c>
      <c r="F854" s="142" t="s">
        <v>10936</v>
      </c>
      <c r="G854" s="142" t="s">
        <v>10935</v>
      </c>
      <c r="H854" s="142" t="s">
        <v>16704</v>
      </c>
      <c r="I854" s="142">
        <v>1</v>
      </c>
      <c r="J854" s="142">
        <v>0</v>
      </c>
      <c r="K854" s="142">
        <v>0</v>
      </c>
      <c r="L854" s="142">
        <v>0</v>
      </c>
      <c r="M854" s="142">
        <v>1</v>
      </c>
    </row>
    <row r="855" spans="1:13" x14ac:dyDescent="0.45">
      <c r="A855" s="142" t="s">
        <v>13042</v>
      </c>
      <c r="B855" s="142" t="s">
        <v>15489</v>
      </c>
      <c r="C855" s="142" t="s">
        <v>15847</v>
      </c>
      <c r="D855" s="142" t="s">
        <v>15848</v>
      </c>
      <c r="E855" s="142" t="s">
        <v>15849</v>
      </c>
      <c r="F855" s="142" t="s">
        <v>10936</v>
      </c>
      <c r="G855" s="142" t="s">
        <v>10935</v>
      </c>
      <c r="H855" s="142" t="s">
        <v>16705</v>
      </c>
      <c r="I855" s="142">
        <v>82</v>
      </c>
      <c r="J855" s="142">
        <v>20</v>
      </c>
      <c r="K855" s="142">
        <v>0</v>
      </c>
      <c r="L855" s="142">
        <v>62</v>
      </c>
      <c r="M855" s="142">
        <v>0</v>
      </c>
    </row>
    <row r="856" spans="1:13" x14ac:dyDescent="0.45">
      <c r="A856" s="142" t="s">
        <v>13096</v>
      </c>
      <c r="B856" s="142" t="s">
        <v>15478</v>
      </c>
      <c r="C856" s="142" t="s">
        <v>15847</v>
      </c>
      <c r="D856" s="142" t="s">
        <v>15848</v>
      </c>
      <c r="E856" s="142" t="s">
        <v>15849</v>
      </c>
      <c r="F856" s="142" t="s">
        <v>10936</v>
      </c>
      <c r="G856" s="142" t="s">
        <v>10935</v>
      </c>
      <c r="H856" s="142" t="s">
        <v>16706</v>
      </c>
      <c r="I856" s="142">
        <v>10</v>
      </c>
      <c r="J856" s="142">
        <v>10</v>
      </c>
      <c r="K856" s="142">
        <v>0</v>
      </c>
      <c r="L856" s="142">
        <v>0</v>
      </c>
      <c r="M856" s="142">
        <v>0</v>
      </c>
    </row>
    <row r="857" spans="1:13" x14ac:dyDescent="0.45">
      <c r="A857" s="142" t="s">
        <v>13154</v>
      </c>
      <c r="B857" s="142" t="s">
        <v>15415</v>
      </c>
      <c r="C857" s="142" t="s">
        <v>15847</v>
      </c>
      <c r="D857" s="142" t="s">
        <v>15848</v>
      </c>
      <c r="E857" s="142" t="s">
        <v>15849</v>
      </c>
      <c r="F857" s="142" t="s">
        <v>10936</v>
      </c>
      <c r="G857" s="142" t="s">
        <v>10935</v>
      </c>
      <c r="H857" s="142" t="s">
        <v>16707</v>
      </c>
      <c r="I857" s="142">
        <v>84</v>
      </c>
      <c r="J857" s="142">
        <v>72</v>
      </c>
      <c r="K857" s="142">
        <v>0</v>
      </c>
      <c r="L857" s="142">
        <v>0</v>
      </c>
      <c r="M857" s="142">
        <v>12</v>
      </c>
    </row>
    <row r="858" spans="1:13" x14ac:dyDescent="0.45">
      <c r="A858" s="142" t="s">
        <v>13155</v>
      </c>
      <c r="B858" s="142" t="s">
        <v>15455</v>
      </c>
      <c r="C858" s="142" t="s">
        <v>15847</v>
      </c>
      <c r="D858" s="142" t="s">
        <v>15848</v>
      </c>
      <c r="E858" s="142" t="s">
        <v>15849</v>
      </c>
      <c r="F858" s="142" t="s">
        <v>10936</v>
      </c>
      <c r="G858" s="142" t="s">
        <v>10935</v>
      </c>
      <c r="H858" s="142" t="s">
        <v>16708</v>
      </c>
      <c r="I858" s="142">
        <v>59</v>
      </c>
      <c r="J858" s="142">
        <v>6</v>
      </c>
      <c r="K858" s="142">
        <v>0</v>
      </c>
      <c r="L858" s="142">
        <v>0</v>
      </c>
      <c r="M858" s="142">
        <v>53</v>
      </c>
    </row>
    <row r="859" spans="1:13" x14ac:dyDescent="0.45">
      <c r="A859" s="142" t="s">
        <v>13156</v>
      </c>
      <c r="B859" s="142" t="s">
        <v>14493</v>
      </c>
      <c r="C859" s="142" t="s">
        <v>15860</v>
      </c>
      <c r="D859" s="142" t="s">
        <v>15861</v>
      </c>
      <c r="E859" s="142" t="s">
        <v>15849</v>
      </c>
      <c r="F859" s="142" t="s">
        <v>10936</v>
      </c>
      <c r="G859" s="142" t="s">
        <v>10935</v>
      </c>
      <c r="H859" s="142" t="s">
        <v>16709</v>
      </c>
      <c r="I859" s="142">
        <v>18</v>
      </c>
      <c r="J859" s="142">
        <v>0</v>
      </c>
      <c r="K859" s="142">
        <v>0</v>
      </c>
      <c r="L859" s="142">
        <v>18</v>
      </c>
      <c r="M859" s="142">
        <v>0</v>
      </c>
    </row>
    <row r="860" spans="1:13" x14ac:dyDescent="0.45">
      <c r="A860" s="142" t="s">
        <v>13016</v>
      </c>
      <c r="B860" s="142" t="s">
        <v>14535</v>
      </c>
      <c r="C860" s="142" t="s">
        <v>15860</v>
      </c>
      <c r="D860" s="142" t="s">
        <v>15861</v>
      </c>
      <c r="E860" s="142" t="s">
        <v>15849</v>
      </c>
      <c r="F860" s="142" t="s">
        <v>10936</v>
      </c>
      <c r="G860" s="142" t="s">
        <v>10935</v>
      </c>
      <c r="H860" s="142" t="s">
        <v>16710</v>
      </c>
      <c r="I860" s="142">
        <v>39</v>
      </c>
      <c r="J860" s="142">
        <v>0</v>
      </c>
      <c r="K860" s="142">
        <v>0</v>
      </c>
      <c r="L860" s="142">
        <v>39</v>
      </c>
      <c r="M860" s="142">
        <v>0</v>
      </c>
    </row>
    <row r="861" spans="1:13" x14ac:dyDescent="0.45">
      <c r="A861" s="142" t="s">
        <v>13144</v>
      </c>
      <c r="B861" s="142" t="s">
        <v>14464</v>
      </c>
      <c r="C861" s="142" t="s">
        <v>15860</v>
      </c>
      <c r="D861" s="142" t="s">
        <v>15861</v>
      </c>
      <c r="E861" s="142" t="s">
        <v>15849</v>
      </c>
      <c r="F861" s="142" t="s">
        <v>10936</v>
      </c>
      <c r="G861" s="142" t="s">
        <v>10935</v>
      </c>
      <c r="H861" s="142" t="s">
        <v>16711</v>
      </c>
      <c r="I861" s="142">
        <v>13</v>
      </c>
      <c r="J861" s="142">
        <v>0</v>
      </c>
      <c r="K861" s="142">
        <v>0</v>
      </c>
      <c r="L861" s="142">
        <v>13</v>
      </c>
      <c r="M861" s="142">
        <v>0</v>
      </c>
    </row>
    <row r="862" spans="1:13" x14ac:dyDescent="0.45">
      <c r="A862" s="142" t="s">
        <v>13157</v>
      </c>
      <c r="B862" s="142" t="s">
        <v>15477</v>
      </c>
      <c r="C862" s="142" t="s">
        <v>15847</v>
      </c>
      <c r="D862" s="142" t="s">
        <v>15848</v>
      </c>
      <c r="E862" s="142" t="s">
        <v>15849</v>
      </c>
      <c r="F862" s="142" t="s">
        <v>10936</v>
      </c>
      <c r="G862" s="142" t="s">
        <v>10935</v>
      </c>
      <c r="H862" s="142" t="s">
        <v>16712</v>
      </c>
      <c r="I862" s="142">
        <v>2252</v>
      </c>
      <c r="J862" s="142">
        <v>1876</v>
      </c>
      <c r="K862" s="142">
        <v>0</v>
      </c>
      <c r="L862" s="142">
        <v>243</v>
      </c>
      <c r="M862" s="142">
        <v>133</v>
      </c>
    </row>
    <row r="863" spans="1:13" x14ac:dyDescent="0.45">
      <c r="A863" s="142" t="s">
        <v>13286</v>
      </c>
      <c r="B863" s="142" t="s">
        <v>15342</v>
      </c>
      <c r="C863" s="142" t="s">
        <v>15847</v>
      </c>
      <c r="D863" s="142" t="s">
        <v>15848</v>
      </c>
      <c r="E863" s="142" t="s">
        <v>15849</v>
      </c>
      <c r="F863" s="142" t="s">
        <v>10936</v>
      </c>
      <c r="G863" s="142" t="s">
        <v>10935</v>
      </c>
      <c r="H863" s="142" t="s">
        <v>16713</v>
      </c>
      <c r="I863" s="142">
        <v>155</v>
      </c>
      <c r="J863" s="142">
        <v>93</v>
      </c>
      <c r="K863" s="142">
        <v>0</v>
      </c>
      <c r="L863" s="142">
        <v>33</v>
      </c>
      <c r="M863" s="142">
        <v>29</v>
      </c>
    </row>
    <row r="864" spans="1:13" x14ac:dyDescent="0.45">
      <c r="A864" s="142" t="s">
        <v>13324</v>
      </c>
      <c r="B864" s="142" t="s">
        <v>15142</v>
      </c>
      <c r="C864" s="142" t="s">
        <v>15860</v>
      </c>
      <c r="D864" s="142" t="s">
        <v>15861</v>
      </c>
      <c r="E864" s="142" t="s">
        <v>15849</v>
      </c>
      <c r="F864" s="142" t="s">
        <v>4046</v>
      </c>
      <c r="G864" s="142" t="s">
        <v>4045</v>
      </c>
      <c r="H864" s="142" t="s">
        <v>16714</v>
      </c>
      <c r="I864" s="142">
        <v>103</v>
      </c>
      <c r="J864" s="142">
        <v>0</v>
      </c>
      <c r="K864" s="142">
        <v>0</v>
      </c>
      <c r="L864" s="142">
        <v>103</v>
      </c>
      <c r="M864" s="142">
        <v>0</v>
      </c>
    </row>
    <row r="865" spans="1:13" x14ac:dyDescent="0.45">
      <c r="A865" s="142" t="s">
        <v>13023</v>
      </c>
      <c r="B865" s="142" t="s">
        <v>15571</v>
      </c>
      <c r="C865" s="142" t="s">
        <v>15847</v>
      </c>
      <c r="D865" s="142" t="s">
        <v>15848</v>
      </c>
      <c r="E865" s="142" t="s">
        <v>15849</v>
      </c>
      <c r="F865" s="142" t="s">
        <v>4046</v>
      </c>
      <c r="G865" s="142" t="s">
        <v>4045</v>
      </c>
      <c r="H865" s="142" t="s">
        <v>16715</v>
      </c>
      <c r="I865" s="142">
        <v>136</v>
      </c>
      <c r="J865" s="142">
        <v>0</v>
      </c>
      <c r="K865" s="142">
        <v>0</v>
      </c>
      <c r="L865" s="142">
        <v>136</v>
      </c>
      <c r="M865" s="142">
        <v>0</v>
      </c>
    </row>
    <row r="866" spans="1:13" x14ac:dyDescent="0.45">
      <c r="A866" s="142" t="s">
        <v>13082</v>
      </c>
      <c r="B866" s="142" t="s">
        <v>14478</v>
      </c>
      <c r="C866" s="142" t="s">
        <v>15860</v>
      </c>
      <c r="D866" s="142" t="s">
        <v>15861</v>
      </c>
      <c r="E866" s="142" t="s">
        <v>15849</v>
      </c>
      <c r="F866" s="142" t="s">
        <v>4046</v>
      </c>
      <c r="G866" s="142" t="s">
        <v>4045</v>
      </c>
      <c r="H866" s="142" t="s">
        <v>16716</v>
      </c>
      <c r="I866" s="142">
        <v>12</v>
      </c>
      <c r="J866" s="142">
        <v>0</v>
      </c>
      <c r="K866" s="142">
        <v>0</v>
      </c>
      <c r="L866" s="142">
        <v>12</v>
      </c>
      <c r="M866" s="142">
        <v>0</v>
      </c>
    </row>
    <row r="867" spans="1:13" x14ac:dyDescent="0.45">
      <c r="A867" s="142" t="s">
        <v>13083</v>
      </c>
      <c r="B867" s="142" t="s">
        <v>15440</v>
      </c>
      <c r="C867" s="142" t="s">
        <v>15847</v>
      </c>
      <c r="D867" s="142" t="s">
        <v>15848</v>
      </c>
      <c r="E867" s="142" t="s">
        <v>15849</v>
      </c>
      <c r="F867" s="142" t="s">
        <v>4046</v>
      </c>
      <c r="G867" s="142" t="s">
        <v>4045</v>
      </c>
      <c r="H867" s="142" t="s">
        <v>16717</v>
      </c>
      <c r="I867" s="142">
        <v>397</v>
      </c>
      <c r="J867" s="142">
        <v>359</v>
      </c>
      <c r="K867" s="142">
        <v>0</v>
      </c>
      <c r="L867" s="142">
        <v>0</v>
      </c>
      <c r="M867" s="142">
        <v>38</v>
      </c>
    </row>
    <row r="868" spans="1:13" x14ac:dyDescent="0.45">
      <c r="A868" s="142" t="s">
        <v>13000</v>
      </c>
      <c r="B868" s="142" t="s">
        <v>14610</v>
      </c>
      <c r="C868" s="142" t="s">
        <v>15847</v>
      </c>
      <c r="D868" s="142" t="s">
        <v>15848</v>
      </c>
      <c r="E868" s="142" t="s">
        <v>15849</v>
      </c>
      <c r="F868" s="142" t="s">
        <v>4046</v>
      </c>
      <c r="G868" s="142" t="s">
        <v>4045</v>
      </c>
      <c r="H868" s="142" t="s">
        <v>16718</v>
      </c>
      <c r="I868" s="142">
        <v>762</v>
      </c>
      <c r="J868" s="142">
        <v>623</v>
      </c>
      <c r="K868" s="142">
        <v>0</v>
      </c>
      <c r="L868" s="142">
        <v>25</v>
      </c>
      <c r="M868" s="142">
        <v>114</v>
      </c>
    </row>
    <row r="869" spans="1:13" x14ac:dyDescent="0.45">
      <c r="A869" s="142" t="s">
        <v>13325</v>
      </c>
      <c r="B869" s="142" t="s">
        <v>14820</v>
      </c>
      <c r="C869" s="142" t="s">
        <v>15860</v>
      </c>
      <c r="D869" s="142" t="s">
        <v>15861</v>
      </c>
      <c r="E869" s="142" t="s">
        <v>15849</v>
      </c>
      <c r="F869" s="142" t="s">
        <v>4046</v>
      </c>
      <c r="G869" s="142" t="s">
        <v>4045</v>
      </c>
      <c r="H869" s="142" t="s">
        <v>16719</v>
      </c>
      <c r="I869" s="142">
        <v>8</v>
      </c>
      <c r="J869" s="142">
        <v>8</v>
      </c>
      <c r="K869" s="142">
        <v>0</v>
      </c>
      <c r="L869" s="142">
        <v>0</v>
      </c>
      <c r="M869" s="142">
        <v>0</v>
      </c>
    </row>
    <row r="870" spans="1:13" x14ac:dyDescent="0.45">
      <c r="A870" s="142" t="s">
        <v>13084</v>
      </c>
      <c r="B870" s="142" t="s">
        <v>15471</v>
      </c>
      <c r="C870" s="142" t="s">
        <v>15847</v>
      </c>
      <c r="D870" s="142" t="s">
        <v>15848</v>
      </c>
      <c r="E870" s="142" t="s">
        <v>15849</v>
      </c>
      <c r="F870" s="142" t="s">
        <v>4046</v>
      </c>
      <c r="G870" s="142" t="s">
        <v>4045</v>
      </c>
      <c r="H870" s="142" t="s">
        <v>16720</v>
      </c>
      <c r="I870" s="142">
        <v>8828</v>
      </c>
      <c r="J870" s="142">
        <v>8060</v>
      </c>
      <c r="K870" s="142">
        <v>0</v>
      </c>
      <c r="L870" s="142">
        <v>428</v>
      </c>
      <c r="M870" s="142">
        <v>340</v>
      </c>
    </row>
    <row r="871" spans="1:13" x14ac:dyDescent="0.45">
      <c r="A871" s="142" t="s">
        <v>13074</v>
      </c>
      <c r="B871" s="142" t="s">
        <v>15405</v>
      </c>
      <c r="C871" s="142" t="s">
        <v>15847</v>
      </c>
      <c r="D871" s="142" t="s">
        <v>15848</v>
      </c>
      <c r="E871" s="142" t="s">
        <v>15849</v>
      </c>
      <c r="F871" s="142" t="s">
        <v>4046</v>
      </c>
      <c r="G871" s="142" t="s">
        <v>4045</v>
      </c>
      <c r="H871" s="142" t="s">
        <v>16721</v>
      </c>
      <c r="I871" s="142">
        <v>12</v>
      </c>
      <c r="J871" s="142">
        <v>11</v>
      </c>
      <c r="K871" s="142">
        <v>0</v>
      </c>
      <c r="L871" s="142">
        <v>0</v>
      </c>
      <c r="M871" s="142">
        <v>1</v>
      </c>
    </row>
    <row r="872" spans="1:13" x14ac:dyDescent="0.45">
      <c r="A872" s="142" t="s">
        <v>13086</v>
      </c>
      <c r="B872" s="142" t="s">
        <v>15380</v>
      </c>
      <c r="C872" s="142" t="s">
        <v>15847</v>
      </c>
      <c r="D872" s="142" t="s">
        <v>15848</v>
      </c>
      <c r="E872" s="142" t="s">
        <v>15849</v>
      </c>
      <c r="F872" s="142" t="s">
        <v>4046</v>
      </c>
      <c r="G872" s="142" t="s">
        <v>4045</v>
      </c>
      <c r="H872" s="142" t="s">
        <v>16722</v>
      </c>
      <c r="I872" s="142">
        <v>4</v>
      </c>
      <c r="J872" s="142">
        <v>0</v>
      </c>
      <c r="K872" s="142">
        <v>0</v>
      </c>
      <c r="L872" s="142">
        <v>0</v>
      </c>
      <c r="M872" s="142">
        <v>4</v>
      </c>
    </row>
    <row r="873" spans="1:13" x14ac:dyDescent="0.45">
      <c r="A873" s="142" t="s">
        <v>13087</v>
      </c>
      <c r="B873" s="142" t="s">
        <v>14452</v>
      </c>
      <c r="C873" s="142" t="s">
        <v>15847</v>
      </c>
      <c r="D873" s="142" t="s">
        <v>15848</v>
      </c>
      <c r="E873" s="142" t="s">
        <v>15849</v>
      </c>
      <c r="F873" s="142" t="s">
        <v>4046</v>
      </c>
      <c r="G873" s="142" t="s">
        <v>4045</v>
      </c>
      <c r="H873" s="142" t="s">
        <v>16723</v>
      </c>
      <c r="I873" s="142">
        <v>483</v>
      </c>
      <c r="J873" s="142">
        <v>413</v>
      </c>
      <c r="K873" s="142">
        <v>0</v>
      </c>
      <c r="L873" s="142">
        <v>8</v>
      </c>
      <c r="M873" s="142">
        <v>62</v>
      </c>
    </row>
    <row r="874" spans="1:13" x14ac:dyDescent="0.45">
      <c r="A874" s="142" t="s">
        <v>13027</v>
      </c>
      <c r="B874" s="142" t="s">
        <v>14562</v>
      </c>
      <c r="C874" s="142" t="s">
        <v>15847</v>
      </c>
      <c r="D874" s="142" t="s">
        <v>15848</v>
      </c>
      <c r="E874" s="142" t="s">
        <v>15849</v>
      </c>
      <c r="F874" s="142" t="s">
        <v>4046</v>
      </c>
      <c r="G874" s="142" t="s">
        <v>4045</v>
      </c>
      <c r="H874" s="142" t="s">
        <v>16724</v>
      </c>
      <c r="I874" s="142">
        <v>1</v>
      </c>
      <c r="J874" s="142">
        <v>0</v>
      </c>
      <c r="K874" s="142">
        <v>0</v>
      </c>
      <c r="L874" s="142">
        <v>1</v>
      </c>
      <c r="M874" s="142">
        <v>0</v>
      </c>
    </row>
    <row r="875" spans="1:13" x14ac:dyDescent="0.45">
      <c r="A875" s="142" t="s">
        <v>13001</v>
      </c>
      <c r="B875" s="142" t="s">
        <v>15506</v>
      </c>
      <c r="C875" s="142" t="s">
        <v>15847</v>
      </c>
      <c r="D875" s="142" t="s">
        <v>15848</v>
      </c>
      <c r="E875" s="142" t="s">
        <v>15849</v>
      </c>
      <c r="F875" s="142" t="s">
        <v>4046</v>
      </c>
      <c r="G875" s="142" t="s">
        <v>4045</v>
      </c>
      <c r="H875" s="142" t="s">
        <v>16725</v>
      </c>
      <c r="I875" s="142">
        <v>22</v>
      </c>
      <c r="J875" s="142">
        <v>13</v>
      </c>
      <c r="K875" s="142">
        <v>0</v>
      </c>
      <c r="L875" s="142">
        <v>9</v>
      </c>
      <c r="M875" s="142">
        <v>0</v>
      </c>
    </row>
    <row r="876" spans="1:13" x14ac:dyDescent="0.45">
      <c r="A876" s="142" t="s">
        <v>13050</v>
      </c>
      <c r="B876" s="142" t="s">
        <v>15237</v>
      </c>
      <c r="C876" s="142" t="s">
        <v>15847</v>
      </c>
      <c r="D876" s="142" t="s">
        <v>15848</v>
      </c>
      <c r="E876" s="142" t="s">
        <v>15849</v>
      </c>
      <c r="F876" s="142" t="s">
        <v>4046</v>
      </c>
      <c r="G876" s="142" t="s">
        <v>4045</v>
      </c>
      <c r="H876" s="142" t="s">
        <v>16726</v>
      </c>
      <c r="I876" s="142">
        <v>57</v>
      </c>
      <c r="J876" s="142">
        <v>48</v>
      </c>
      <c r="K876" s="142">
        <v>0</v>
      </c>
      <c r="L876" s="142">
        <v>0</v>
      </c>
      <c r="M876" s="142">
        <v>9</v>
      </c>
    </row>
    <row r="877" spans="1:13" x14ac:dyDescent="0.45">
      <c r="A877" s="142" t="s">
        <v>13028</v>
      </c>
      <c r="B877" s="142" t="s">
        <v>14462</v>
      </c>
      <c r="C877" s="142" t="s">
        <v>15847</v>
      </c>
      <c r="D877" s="142" t="s">
        <v>15848</v>
      </c>
      <c r="E877" s="142" t="s">
        <v>15849</v>
      </c>
      <c r="F877" s="142" t="s">
        <v>4046</v>
      </c>
      <c r="G877" s="142" t="s">
        <v>4045</v>
      </c>
      <c r="H877" s="142" t="s">
        <v>16727</v>
      </c>
      <c r="I877" s="142">
        <v>10</v>
      </c>
      <c r="J877" s="142">
        <v>0</v>
      </c>
      <c r="K877" s="142">
        <v>0</v>
      </c>
      <c r="L877" s="142">
        <v>0</v>
      </c>
      <c r="M877" s="142">
        <v>10</v>
      </c>
    </row>
    <row r="878" spans="1:13" x14ac:dyDescent="0.45">
      <c r="A878" s="142" t="s">
        <v>13002</v>
      </c>
      <c r="B878" s="142" t="s">
        <v>15376</v>
      </c>
      <c r="C878" s="142" t="s">
        <v>15847</v>
      </c>
      <c r="D878" s="142" t="s">
        <v>15848</v>
      </c>
      <c r="E878" s="142" t="s">
        <v>15849</v>
      </c>
      <c r="F878" s="142" t="s">
        <v>4046</v>
      </c>
      <c r="G878" s="142" t="s">
        <v>4045</v>
      </c>
      <c r="H878" s="142" t="s">
        <v>16728</v>
      </c>
      <c r="I878" s="142">
        <v>356</v>
      </c>
      <c r="J878" s="142">
        <v>309</v>
      </c>
      <c r="K878" s="142">
        <v>0</v>
      </c>
      <c r="L878" s="142">
        <v>0</v>
      </c>
      <c r="M878" s="142">
        <v>47</v>
      </c>
    </row>
    <row r="879" spans="1:13" x14ac:dyDescent="0.45">
      <c r="A879" s="142" t="s">
        <v>13003</v>
      </c>
      <c r="B879" s="142" t="s">
        <v>15245</v>
      </c>
      <c r="C879" s="142" t="s">
        <v>15847</v>
      </c>
      <c r="D879" s="142" t="s">
        <v>15848</v>
      </c>
      <c r="E879" s="142" t="s">
        <v>15849</v>
      </c>
      <c r="F879" s="142" t="s">
        <v>4046</v>
      </c>
      <c r="G879" s="142" t="s">
        <v>4045</v>
      </c>
      <c r="H879" s="142" t="s">
        <v>16729</v>
      </c>
      <c r="I879" s="142">
        <v>26</v>
      </c>
      <c r="J879" s="142">
        <v>0</v>
      </c>
      <c r="K879" s="142">
        <v>0</v>
      </c>
      <c r="L879" s="142">
        <v>26</v>
      </c>
      <c r="M879" s="142">
        <v>0</v>
      </c>
    </row>
    <row r="880" spans="1:13" x14ac:dyDescent="0.45">
      <c r="A880" s="142" t="s">
        <v>13178</v>
      </c>
      <c r="B880" s="142" t="s">
        <v>14683</v>
      </c>
      <c r="C880" s="142" t="s">
        <v>15847</v>
      </c>
      <c r="D880" s="142" t="s">
        <v>15848</v>
      </c>
      <c r="E880" s="142" t="s">
        <v>15849</v>
      </c>
      <c r="F880" s="142" t="s">
        <v>4046</v>
      </c>
      <c r="G880" s="142" t="s">
        <v>4045</v>
      </c>
      <c r="H880" s="142" t="s">
        <v>16730</v>
      </c>
      <c r="I880" s="142">
        <v>20</v>
      </c>
      <c r="J880" s="142">
        <v>20</v>
      </c>
      <c r="K880" s="142">
        <v>0</v>
      </c>
      <c r="L880" s="142">
        <v>0</v>
      </c>
      <c r="M880" s="142">
        <v>0</v>
      </c>
    </row>
    <row r="881" spans="1:13" x14ac:dyDescent="0.45">
      <c r="A881" s="142" t="s">
        <v>13076</v>
      </c>
      <c r="B881" s="142" t="s">
        <v>14636</v>
      </c>
      <c r="C881" s="142" t="s">
        <v>15847</v>
      </c>
      <c r="D881" s="142" t="s">
        <v>15848</v>
      </c>
      <c r="E881" s="142" t="s">
        <v>15849</v>
      </c>
      <c r="F881" s="142" t="s">
        <v>4046</v>
      </c>
      <c r="G881" s="142" t="s">
        <v>4045</v>
      </c>
      <c r="H881" s="142" t="s">
        <v>16731</v>
      </c>
      <c r="I881" s="142">
        <v>17</v>
      </c>
      <c r="J881" s="142">
        <v>0</v>
      </c>
      <c r="K881" s="142">
        <v>0</v>
      </c>
      <c r="L881" s="142">
        <v>0</v>
      </c>
      <c r="M881" s="142">
        <v>17</v>
      </c>
    </row>
    <row r="882" spans="1:13" x14ac:dyDescent="0.45">
      <c r="A882" s="142" t="s">
        <v>13100</v>
      </c>
      <c r="B882" s="142" t="s">
        <v>15603</v>
      </c>
      <c r="C882" s="142" t="s">
        <v>15847</v>
      </c>
      <c r="D882" s="142" t="s">
        <v>15848</v>
      </c>
      <c r="E882" s="142" t="s">
        <v>15849</v>
      </c>
      <c r="F882" s="142" t="s">
        <v>4046</v>
      </c>
      <c r="G882" s="142" t="s">
        <v>4045</v>
      </c>
      <c r="H882" s="142" t="s">
        <v>16732</v>
      </c>
      <c r="I882" s="142">
        <v>6</v>
      </c>
      <c r="J882" s="142">
        <v>6</v>
      </c>
      <c r="K882" s="142">
        <v>0</v>
      </c>
      <c r="L882" s="142">
        <v>0</v>
      </c>
      <c r="M882" s="142">
        <v>0</v>
      </c>
    </row>
    <row r="883" spans="1:13" x14ac:dyDescent="0.45">
      <c r="A883" s="142" t="s">
        <v>13005</v>
      </c>
      <c r="B883" s="142" t="s">
        <v>15475</v>
      </c>
      <c r="C883" s="142" t="s">
        <v>15847</v>
      </c>
      <c r="D883" s="142" t="s">
        <v>15848</v>
      </c>
      <c r="E883" s="142" t="s">
        <v>15849</v>
      </c>
      <c r="F883" s="142" t="s">
        <v>4046</v>
      </c>
      <c r="G883" s="142" t="s">
        <v>4045</v>
      </c>
      <c r="H883" s="142" t="s">
        <v>16733</v>
      </c>
      <c r="I883" s="142">
        <v>7</v>
      </c>
      <c r="J883" s="142">
        <v>0</v>
      </c>
      <c r="K883" s="142">
        <v>0</v>
      </c>
      <c r="L883" s="142">
        <v>0</v>
      </c>
      <c r="M883" s="142">
        <v>7</v>
      </c>
    </row>
    <row r="884" spans="1:13" x14ac:dyDescent="0.45">
      <c r="A884" s="142" t="s">
        <v>13029</v>
      </c>
      <c r="B884" s="142" t="s">
        <v>14665</v>
      </c>
      <c r="C884" s="142" t="s">
        <v>15847</v>
      </c>
      <c r="D884" s="142" t="s">
        <v>15848</v>
      </c>
      <c r="E884" s="142" t="s">
        <v>15849</v>
      </c>
      <c r="F884" s="142" t="s">
        <v>4046</v>
      </c>
      <c r="G884" s="142" t="s">
        <v>4045</v>
      </c>
      <c r="H884" s="142" t="s">
        <v>16734</v>
      </c>
      <c r="I884" s="142">
        <v>21</v>
      </c>
      <c r="J884" s="142">
        <v>0</v>
      </c>
      <c r="K884" s="142">
        <v>0</v>
      </c>
      <c r="L884" s="142">
        <v>0</v>
      </c>
      <c r="M884" s="142">
        <v>21</v>
      </c>
    </row>
    <row r="885" spans="1:13" x14ac:dyDescent="0.45">
      <c r="A885" s="142" t="s">
        <v>13006</v>
      </c>
      <c r="B885" s="142" t="s">
        <v>15288</v>
      </c>
      <c r="C885" s="142" t="s">
        <v>15847</v>
      </c>
      <c r="D885" s="142" t="s">
        <v>15848</v>
      </c>
      <c r="E885" s="142" t="s">
        <v>15849</v>
      </c>
      <c r="F885" s="142" t="s">
        <v>4046</v>
      </c>
      <c r="G885" s="142" t="s">
        <v>4045</v>
      </c>
      <c r="H885" s="142" t="s">
        <v>16735</v>
      </c>
      <c r="I885" s="142">
        <v>5</v>
      </c>
      <c r="J885" s="142">
        <v>0</v>
      </c>
      <c r="K885" s="142">
        <v>0</v>
      </c>
      <c r="L885" s="142">
        <v>5</v>
      </c>
      <c r="M885" s="142">
        <v>0</v>
      </c>
    </row>
    <row r="886" spans="1:13" x14ac:dyDescent="0.45">
      <c r="A886" s="142" t="s">
        <v>13007</v>
      </c>
      <c r="B886" s="142" t="s">
        <v>15262</v>
      </c>
      <c r="C886" s="142" t="s">
        <v>15847</v>
      </c>
      <c r="D886" s="142" t="s">
        <v>15848</v>
      </c>
      <c r="E886" s="142" t="s">
        <v>15849</v>
      </c>
      <c r="F886" s="142" t="s">
        <v>4046</v>
      </c>
      <c r="G886" s="142" t="s">
        <v>4045</v>
      </c>
      <c r="H886" s="142" t="s">
        <v>16736</v>
      </c>
      <c r="I886" s="142">
        <v>74</v>
      </c>
      <c r="J886" s="142">
        <v>55</v>
      </c>
      <c r="K886" s="142">
        <v>0</v>
      </c>
      <c r="L886" s="142">
        <v>0</v>
      </c>
      <c r="M886" s="142">
        <v>19</v>
      </c>
    </row>
    <row r="887" spans="1:13" x14ac:dyDescent="0.45">
      <c r="A887" s="142" t="s">
        <v>13162</v>
      </c>
      <c r="B887" s="142" t="s">
        <v>14545</v>
      </c>
      <c r="C887" s="142" t="s">
        <v>15860</v>
      </c>
      <c r="D887" s="142" t="s">
        <v>15861</v>
      </c>
      <c r="E887" s="142" t="s">
        <v>15849</v>
      </c>
      <c r="F887" s="142" t="s">
        <v>4046</v>
      </c>
      <c r="G887" s="142" t="s">
        <v>4045</v>
      </c>
      <c r="H887" s="142" t="s">
        <v>16737</v>
      </c>
      <c r="I887" s="142">
        <v>6</v>
      </c>
      <c r="J887" s="142">
        <v>0</v>
      </c>
      <c r="K887" s="142">
        <v>0</v>
      </c>
      <c r="L887" s="142">
        <v>6</v>
      </c>
      <c r="M887" s="142">
        <v>0</v>
      </c>
    </row>
    <row r="888" spans="1:13" x14ac:dyDescent="0.45">
      <c r="A888" s="142" t="s">
        <v>13008</v>
      </c>
      <c r="B888" s="142" t="s">
        <v>15411</v>
      </c>
      <c r="C888" s="142" t="s">
        <v>15847</v>
      </c>
      <c r="D888" s="142" t="s">
        <v>15848</v>
      </c>
      <c r="E888" s="142" t="s">
        <v>15849</v>
      </c>
      <c r="F888" s="142" t="s">
        <v>4046</v>
      </c>
      <c r="G888" s="142" t="s">
        <v>4045</v>
      </c>
      <c r="H888" s="142" t="s">
        <v>16738</v>
      </c>
      <c r="I888" s="142">
        <v>15</v>
      </c>
      <c r="J888" s="142">
        <v>0</v>
      </c>
      <c r="K888" s="142">
        <v>0</v>
      </c>
      <c r="L888" s="142">
        <v>0</v>
      </c>
      <c r="M888" s="142">
        <v>15</v>
      </c>
    </row>
    <row r="889" spans="1:13" x14ac:dyDescent="0.45">
      <c r="A889" s="142" t="s">
        <v>13104</v>
      </c>
      <c r="B889" s="142" t="s">
        <v>14622</v>
      </c>
      <c r="C889" s="142" t="s">
        <v>15847</v>
      </c>
      <c r="D889" s="142" t="s">
        <v>15848</v>
      </c>
      <c r="E889" s="142" t="s">
        <v>15849</v>
      </c>
      <c r="F889" s="142" t="s">
        <v>4046</v>
      </c>
      <c r="G889" s="142" t="s">
        <v>4045</v>
      </c>
      <c r="H889" s="142" t="s">
        <v>16739</v>
      </c>
      <c r="I889" s="142">
        <v>187</v>
      </c>
      <c r="J889" s="142">
        <v>57</v>
      </c>
      <c r="K889" s="142">
        <v>0</v>
      </c>
      <c r="L889" s="142">
        <v>124</v>
      </c>
      <c r="M889" s="142">
        <v>6</v>
      </c>
    </row>
    <row r="890" spans="1:13" x14ac:dyDescent="0.45">
      <c r="A890" s="142" t="s">
        <v>13033</v>
      </c>
      <c r="B890" s="142" t="s">
        <v>15276</v>
      </c>
      <c r="C890" s="142" t="s">
        <v>15847</v>
      </c>
      <c r="D890" s="142" t="s">
        <v>15848</v>
      </c>
      <c r="E890" s="142" t="s">
        <v>15849</v>
      </c>
      <c r="F890" s="142" t="s">
        <v>4046</v>
      </c>
      <c r="G890" s="142" t="s">
        <v>4045</v>
      </c>
      <c r="H890" s="142" t="s">
        <v>16740</v>
      </c>
      <c r="I890" s="142">
        <v>11</v>
      </c>
      <c r="J890" s="142">
        <v>11</v>
      </c>
      <c r="K890" s="142">
        <v>0</v>
      </c>
      <c r="L890" s="142">
        <v>0</v>
      </c>
      <c r="M890" s="142">
        <v>0</v>
      </c>
    </row>
    <row r="891" spans="1:13" x14ac:dyDescent="0.45">
      <c r="A891" s="142" t="s">
        <v>13034</v>
      </c>
      <c r="B891" s="142" t="s">
        <v>15562</v>
      </c>
      <c r="C891" s="142" t="s">
        <v>15847</v>
      </c>
      <c r="D891" s="142" t="s">
        <v>15848</v>
      </c>
      <c r="E891" s="142" t="s">
        <v>15849</v>
      </c>
      <c r="F891" s="142" t="s">
        <v>4046</v>
      </c>
      <c r="G891" s="142" t="s">
        <v>4045</v>
      </c>
      <c r="H891" s="142" t="s">
        <v>16741</v>
      </c>
      <c r="I891" s="142">
        <v>6</v>
      </c>
      <c r="J891" s="142">
        <v>0</v>
      </c>
      <c r="K891" s="142">
        <v>0</v>
      </c>
      <c r="L891" s="142">
        <v>2</v>
      </c>
      <c r="M891" s="142">
        <v>4</v>
      </c>
    </row>
    <row r="892" spans="1:13" x14ac:dyDescent="0.45">
      <c r="A892" s="142" t="s">
        <v>13037</v>
      </c>
      <c r="B892" s="142" t="s">
        <v>14519</v>
      </c>
      <c r="C892" s="142" t="s">
        <v>15847</v>
      </c>
      <c r="D892" s="142" t="s">
        <v>15848</v>
      </c>
      <c r="E892" s="142" t="s">
        <v>15849</v>
      </c>
      <c r="F892" s="142" t="s">
        <v>4046</v>
      </c>
      <c r="G892" s="142" t="s">
        <v>4045</v>
      </c>
      <c r="H892" s="142" t="s">
        <v>16742</v>
      </c>
      <c r="I892" s="142">
        <v>8</v>
      </c>
      <c r="J892" s="142">
        <v>0</v>
      </c>
      <c r="K892" s="142">
        <v>0</v>
      </c>
      <c r="L892" s="142">
        <v>8</v>
      </c>
      <c r="M892" s="142">
        <v>0</v>
      </c>
    </row>
    <row r="893" spans="1:13" x14ac:dyDescent="0.45">
      <c r="A893" s="142" t="s">
        <v>13090</v>
      </c>
      <c r="B893" s="142" t="s">
        <v>15600</v>
      </c>
      <c r="C893" s="142" t="s">
        <v>15847</v>
      </c>
      <c r="D893" s="142" t="s">
        <v>15848</v>
      </c>
      <c r="E893" s="142" t="s">
        <v>15849</v>
      </c>
      <c r="F893" s="142" t="s">
        <v>4046</v>
      </c>
      <c r="G893" s="142" t="s">
        <v>4045</v>
      </c>
      <c r="H893" s="142" t="s">
        <v>16743</v>
      </c>
      <c r="I893" s="142">
        <v>2</v>
      </c>
      <c r="J893" s="142">
        <v>0</v>
      </c>
      <c r="K893" s="142">
        <v>0</v>
      </c>
      <c r="L893" s="142">
        <v>0</v>
      </c>
      <c r="M893" s="142">
        <v>2</v>
      </c>
    </row>
    <row r="894" spans="1:13" x14ac:dyDescent="0.45">
      <c r="A894" s="142" t="s">
        <v>13038</v>
      </c>
      <c r="B894" s="142" t="s">
        <v>14646</v>
      </c>
      <c r="C894" s="142" t="s">
        <v>15847</v>
      </c>
      <c r="D894" s="142" t="s">
        <v>15848</v>
      </c>
      <c r="E894" s="142" t="s">
        <v>15849</v>
      </c>
      <c r="F894" s="142" t="s">
        <v>4046</v>
      </c>
      <c r="G894" s="142" t="s">
        <v>4045</v>
      </c>
      <c r="H894" s="142" t="s">
        <v>16744</v>
      </c>
      <c r="I894" s="142">
        <v>264</v>
      </c>
      <c r="J894" s="142">
        <v>182</v>
      </c>
      <c r="K894" s="142">
        <v>0</v>
      </c>
      <c r="L894" s="142">
        <v>0</v>
      </c>
      <c r="M894" s="142">
        <v>82</v>
      </c>
    </row>
    <row r="895" spans="1:13" x14ac:dyDescent="0.45">
      <c r="A895" s="142" t="s">
        <v>13039</v>
      </c>
      <c r="B895" s="142" t="s">
        <v>14647</v>
      </c>
      <c r="C895" s="142" t="s">
        <v>15847</v>
      </c>
      <c r="D895" s="142" t="s">
        <v>15848</v>
      </c>
      <c r="E895" s="142" t="s">
        <v>15849</v>
      </c>
      <c r="F895" s="142" t="s">
        <v>4046</v>
      </c>
      <c r="G895" s="142" t="s">
        <v>4045</v>
      </c>
      <c r="H895" s="142" t="s">
        <v>16745</v>
      </c>
      <c r="I895" s="142">
        <v>80</v>
      </c>
      <c r="J895" s="142">
        <v>80</v>
      </c>
      <c r="K895" s="142">
        <v>0</v>
      </c>
      <c r="L895" s="142">
        <v>0</v>
      </c>
      <c r="M895" s="142">
        <v>0</v>
      </c>
    </row>
    <row r="896" spans="1:13" x14ac:dyDescent="0.45">
      <c r="A896" s="142" t="s">
        <v>13078</v>
      </c>
      <c r="B896" s="142" t="s">
        <v>15540</v>
      </c>
      <c r="C896" s="142" t="s">
        <v>15847</v>
      </c>
      <c r="D896" s="142" t="s">
        <v>15848</v>
      </c>
      <c r="E896" s="142" t="s">
        <v>15849</v>
      </c>
      <c r="F896" s="142" t="s">
        <v>4046</v>
      </c>
      <c r="G896" s="142" t="s">
        <v>4045</v>
      </c>
      <c r="H896" s="142" t="s">
        <v>16746</v>
      </c>
      <c r="I896" s="142">
        <v>93</v>
      </c>
      <c r="J896" s="142">
        <v>44</v>
      </c>
      <c r="K896" s="142">
        <v>0</v>
      </c>
      <c r="L896" s="142">
        <v>49</v>
      </c>
      <c r="M896" s="142">
        <v>0</v>
      </c>
    </row>
    <row r="897" spans="1:13" x14ac:dyDescent="0.45">
      <c r="A897" s="142" t="s">
        <v>13091</v>
      </c>
      <c r="B897" s="142" t="s">
        <v>14473</v>
      </c>
      <c r="C897" s="142" t="s">
        <v>15847</v>
      </c>
      <c r="D897" s="142" t="s">
        <v>15848</v>
      </c>
      <c r="E897" s="142" t="s">
        <v>15849</v>
      </c>
      <c r="F897" s="142" t="s">
        <v>4046</v>
      </c>
      <c r="G897" s="142" t="s">
        <v>4045</v>
      </c>
      <c r="H897" s="142" t="s">
        <v>16747</v>
      </c>
      <c r="I897" s="142">
        <v>169</v>
      </c>
      <c r="J897" s="142">
        <v>115</v>
      </c>
      <c r="K897" s="142">
        <v>0</v>
      </c>
      <c r="L897" s="142">
        <v>14</v>
      </c>
      <c r="M897" s="142">
        <v>40</v>
      </c>
    </row>
    <row r="898" spans="1:13" x14ac:dyDescent="0.45">
      <c r="A898" s="142" t="s">
        <v>13009</v>
      </c>
      <c r="B898" s="142" t="s">
        <v>15256</v>
      </c>
      <c r="C898" s="142" t="s">
        <v>15847</v>
      </c>
      <c r="D898" s="142" t="s">
        <v>15848</v>
      </c>
      <c r="E898" s="142" t="s">
        <v>15849</v>
      </c>
      <c r="F898" s="142" t="s">
        <v>4046</v>
      </c>
      <c r="G898" s="142" t="s">
        <v>4045</v>
      </c>
      <c r="H898" s="142" t="s">
        <v>16748</v>
      </c>
      <c r="I898" s="142">
        <v>169</v>
      </c>
      <c r="J898" s="142">
        <v>139</v>
      </c>
      <c r="K898" s="142">
        <v>0</v>
      </c>
      <c r="L898" s="142">
        <v>29</v>
      </c>
      <c r="M898" s="142">
        <v>1</v>
      </c>
    </row>
    <row r="899" spans="1:13" x14ac:dyDescent="0.45">
      <c r="A899" s="142" t="s">
        <v>13041</v>
      </c>
      <c r="B899" s="142" t="s">
        <v>14441</v>
      </c>
      <c r="C899" s="142" t="s">
        <v>15847</v>
      </c>
      <c r="D899" s="142" t="s">
        <v>15848</v>
      </c>
      <c r="E899" s="142" t="s">
        <v>15849</v>
      </c>
      <c r="F899" s="142" t="s">
        <v>4046</v>
      </c>
      <c r="G899" s="142" t="s">
        <v>4045</v>
      </c>
      <c r="H899" s="142" t="s">
        <v>16749</v>
      </c>
      <c r="I899" s="142">
        <v>26</v>
      </c>
      <c r="J899" s="142">
        <v>0</v>
      </c>
      <c r="K899" s="142">
        <v>0</v>
      </c>
      <c r="L899" s="142">
        <v>0</v>
      </c>
      <c r="M899" s="142">
        <v>26</v>
      </c>
    </row>
    <row r="900" spans="1:13" x14ac:dyDescent="0.45">
      <c r="A900" s="142" t="s">
        <v>13106</v>
      </c>
      <c r="B900" s="142" t="s">
        <v>15414</v>
      </c>
      <c r="C900" s="142" t="s">
        <v>15847</v>
      </c>
      <c r="D900" s="142" t="s">
        <v>15848</v>
      </c>
      <c r="E900" s="142" t="s">
        <v>15849</v>
      </c>
      <c r="F900" s="142" t="s">
        <v>4046</v>
      </c>
      <c r="G900" s="142" t="s">
        <v>4045</v>
      </c>
      <c r="H900" s="142" t="s">
        <v>16750</v>
      </c>
      <c r="I900" s="142">
        <v>202</v>
      </c>
      <c r="J900" s="142">
        <v>201</v>
      </c>
      <c r="K900" s="142">
        <v>0</v>
      </c>
      <c r="L900" s="142">
        <v>0</v>
      </c>
      <c r="M900" s="142">
        <v>1</v>
      </c>
    </row>
    <row r="901" spans="1:13" x14ac:dyDescent="0.45">
      <c r="A901" s="142" t="s">
        <v>13014</v>
      </c>
      <c r="B901" s="142" t="s">
        <v>14505</v>
      </c>
      <c r="C901" s="142" t="s">
        <v>15847</v>
      </c>
      <c r="D901" s="142" t="s">
        <v>15848</v>
      </c>
      <c r="E901" s="142" t="s">
        <v>15849</v>
      </c>
      <c r="F901" s="142" t="s">
        <v>4046</v>
      </c>
      <c r="G901" s="142" t="s">
        <v>4045</v>
      </c>
      <c r="H901" s="142" t="s">
        <v>16751</v>
      </c>
      <c r="I901" s="142">
        <v>6</v>
      </c>
      <c r="J901" s="142">
        <v>6</v>
      </c>
      <c r="K901" s="142">
        <v>0</v>
      </c>
      <c r="L901" s="142">
        <v>0</v>
      </c>
      <c r="M901" s="142">
        <v>0</v>
      </c>
    </row>
    <row r="902" spans="1:13" x14ac:dyDescent="0.45">
      <c r="A902" s="142" t="s">
        <v>13095</v>
      </c>
      <c r="B902" s="142" t="s">
        <v>15592</v>
      </c>
      <c r="C902" s="142" t="s">
        <v>15847</v>
      </c>
      <c r="D902" s="142" t="s">
        <v>15848</v>
      </c>
      <c r="E902" s="142" t="s">
        <v>15849</v>
      </c>
      <c r="F902" s="142" t="s">
        <v>4046</v>
      </c>
      <c r="G902" s="142" t="s">
        <v>4045</v>
      </c>
      <c r="H902" s="142" t="s">
        <v>16752</v>
      </c>
      <c r="I902" s="142">
        <v>12</v>
      </c>
      <c r="J902" s="142">
        <v>10</v>
      </c>
      <c r="K902" s="142">
        <v>0</v>
      </c>
      <c r="L902" s="142">
        <v>0</v>
      </c>
      <c r="M902" s="142">
        <v>2</v>
      </c>
    </row>
    <row r="903" spans="1:13" x14ac:dyDescent="0.45">
      <c r="A903" s="142" t="s">
        <v>13326</v>
      </c>
      <c r="B903" s="142" t="s">
        <v>14916</v>
      </c>
      <c r="C903" s="142" t="s">
        <v>15860</v>
      </c>
      <c r="D903" s="142" t="s">
        <v>15861</v>
      </c>
      <c r="E903" s="142" t="s">
        <v>15849</v>
      </c>
      <c r="F903" s="142" t="s">
        <v>4046</v>
      </c>
      <c r="G903" s="142" t="s">
        <v>4045</v>
      </c>
      <c r="H903" s="142" t="s">
        <v>16753</v>
      </c>
      <c r="I903" s="142">
        <v>27</v>
      </c>
      <c r="J903" s="142">
        <v>0</v>
      </c>
      <c r="K903" s="142">
        <v>0</v>
      </c>
      <c r="L903" s="142">
        <v>27</v>
      </c>
      <c r="M903" s="142">
        <v>0</v>
      </c>
    </row>
    <row r="904" spans="1:13" x14ac:dyDescent="0.45">
      <c r="A904" s="142" t="s">
        <v>13327</v>
      </c>
      <c r="B904" s="142" t="s">
        <v>14730</v>
      </c>
      <c r="C904" s="142" t="s">
        <v>15860</v>
      </c>
      <c r="D904" s="142" t="s">
        <v>15861</v>
      </c>
      <c r="E904" s="142" t="s">
        <v>15849</v>
      </c>
      <c r="F904" s="142" t="s">
        <v>4046</v>
      </c>
      <c r="G904" s="142" t="s">
        <v>4045</v>
      </c>
      <c r="H904" s="142" t="s">
        <v>16754</v>
      </c>
      <c r="I904" s="142">
        <v>4</v>
      </c>
      <c r="J904" s="142">
        <v>4</v>
      </c>
      <c r="K904" s="142">
        <v>0</v>
      </c>
      <c r="L904" s="142">
        <v>0</v>
      </c>
      <c r="M904" s="142">
        <v>0</v>
      </c>
    </row>
    <row r="905" spans="1:13" x14ac:dyDescent="0.45">
      <c r="A905" s="142" t="s">
        <v>13328</v>
      </c>
      <c r="B905" s="142" t="s">
        <v>15304</v>
      </c>
      <c r="C905" s="142" t="s">
        <v>15860</v>
      </c>
      <c r="D905" s="142" t="s">
        <v>15861</v>
      </c>
      <c r="E905" s="142" t="s">
        <v>15849</v>
      </c>
      <c r="F905" s="142" t="s">
        <v>4046</v>
      </c>
      <c r="G905" s="142" t="s">
        <v>4045</v>
      </c>
      <c r="H905" s="142" t="s">
        <v>16755</v>
      </c>
      <c r="I905" s="142">
        <v>41</v>
      </c>
      <c r="J905" s="142">
        <v>0</v>
      </c>
      <c r="K905" s="142">
        <v>0</v>
      </c>
      <c r="L905" s="142">
        <v>41</v>
      </c>
      <c r="M905" s="142">
        <v>0</v>
      </c>
    </row>
    <row r="906" spans="1:13" x14ac:dyDescent="0.45">
      <c r="A906" s="142" t="s">
        <v>13023</v>
      </c>
      <c r="B906" s="142" t="s">
        <v>15571</v>
      </c>
      <c r="C906" s="142" t="s">
        <v>15847</v>
      </c>
      <c r="D906" s="142" t="s">
        <v>15848</v>
      </c>
      <c r="E906" s="142" t="s">
        <v>15849</v>
      </c>
      <c r="F906" s="142" t="s">
        <v>6999</v>
      </c>
      <c r="G906" s="142" t="s">
        <v>6998</v>
      </c>
      <c r="H906" s="142" t="s">
        <v>16756</v>
      </c>
      <c r="I906" s="142">
        <v>83</v>
      </c>
      <c r="J906" s="142">
        <v>0</v>
      </c>
      <c r="K906" s="142">
        <v>0</v>
      </c>
      <c r="L906" s="142">
        <v>83</v>
      </c>
      <c r="M906" s="142">
        <v>0</v>
      </c>
    </row>
    <row r="907" spans="1:13" x14ac:dyDescent="0.45">
      <c r="A907" s="142" t="s">
        <v>13330</v>
      </c>
      <c r="B907" s="142" t="s">
        <v>15239</v>
      </c>
      <c r="C907" s="142" t="s">
        <v>15847</v>
      </c>
      <c r="D907" s="142" t="s">
        <v>15848</v>
      </c>
      <c r="E907" s="142" t="s">
        <v>15849</v>
      </c>
      <c r="F907" s="142" t="s">
        <v>6999</v>
      </c>
      <c r="G907" s="142" t="s">
        <v>6998</v>
      </c>
      <c r="H907" s="142" t="s">
        <v>16757</v>
      </c>
      <c r="I907" s="142">
        <v>619</v>
      </c>
      <c r="J907" s="142">
        <v>504</v>
      </c>
      <c r="K907" s="142">
        <v>0</v>
      </c>
      <c r="L907" s="142">
        <v>53</v>
      </c>
      <c r="M907" s="142">
        <v>62</v>
      </c>
    </row>
    <row r="908" spans="1:13" x14ac:dyDescent="0.45">
      <c r="A908" s="142" t="s">
        <v>13000</v>
      </c>
      <c r="B908" s="142" t="s">
        <v>14610</v>
      </c>
      <c r="C908" s="142" t="s">
        <v>15847</v>
      </c>
      <c r="D908" s="142" t="s">
        <v>15848</v>
      </c>
      <c r="E908" s="142" t="s">
        <v>15849</v>
      </c>
      <c r="F908" s="142" t="s">
        <v>6999</v>
      </c>
      <c r="G908" s="142" t="s">
        <v>6998</v>
      </c>
      <c r="H908" s="142" t="s">
        <v>16758</v>
      </c>
      <c r="I908" s="142">
        <v>196</v>
      </c>
      <c r="J908" s="142">
        <v>121</v>
      </c>
      <c r="K908" s="142">
        <v>0</v>
      </c>
      <c r="L908" s="142">
        <v>24</v>
      </c>
      <c r="M908" s="142">
        <v>51</v>
      </c>
    </row>
    <row r="909" spans="1:13" x14ac:dyDescent="0.45">
      <c r="A909" s="142" t="s">
        <v>13085</v>
      </c>
      <c r="B909" s="142" t="s">
        <v>14460</v>
      </c>
      <c r="C909" s="142" t="s">
        <v>15860</v>
      </c>
      <c r="D909" s="142" t="s">
        <v>15861</v>
      </c>
      <c r="E909" s="142" t="s">
        <v>15849</v>
      </c>
      <c r="F909" s="142" t="s">
        <v>6999</v>
      </c>
      <c r="G909" s="142" t="s">
        <v>6998</v>
      </c>
      <c r="H909" s="142" t="s">
        <v>16759</v>
      </c>
      <c r="I909" s="142">
        <v>1</v>
      </c>
      <c r="J909" s="142">
        <v>0</v>
      </c>
      <c r="K909" s="142">
        <v>0</v>
      </c>
      <c r="L909" s="142">
        <v>1</v>
      </c>
      <c r="M909" s="142">
        <v>0</v>
      </c>
    </row>
    <row r="910" spans="1:13" x14ac:dyDescent="0.45">
      <c r="A910" s="142" t="s">
        <v>13087</v>
      </c>
      <c r="B910" s="142" t="s">
        <v>14452</v>
      </c>
      <c r="C910" s="142" t="s">
        <v>15847</v>
      </c>
      <c r="D910" s="142" t="s">
        <v>15848</v>
      </c>
      <c r="E910" s="142" t="s">
        <v>15849</v>
      </c>
      <c r="F910" s="142" t="s">
        <v>6999</v>
      </c>
      <c r="G910" s="142" t="s">
        <v>6998</v>
      </c>
      <c r="H910" s="142" t="s">
        <v>16760</v>
      </c>
      <c r="I910" s="142">
        <v>6749</v>
      </c>
      <c r="J910" s="142">
        <v>6505</v>
      </c>
      <c r="K910" s="142">
        <v>0</v>
      </c>
      <c r="L910" s="142">
        <v>78</v>
      </c>
      <c r="M910" s="142">
        <v>166</v>
      </c>
    </row>
    <row r="911" spans="1:13" x14ac:dyDescent="0.45">
      <c r="A911" s="142" t="s">
        <v>13001</v>
      </c>
      <c r="B911" s="142" t="s">
        <v>15506</v>
      </c>
      <c r="C911" s="142" t="s">
        <v>15847</v>
      </c>
      <c r="D911" s="142" t="s">
        <v>15848</v>
      </c>
      <c r="E911" s="142" t="s">
        <v>15849</v>
      </c>
      <c r="F911" s="142" t="s">
        <v>6999</v>
      </c>
      <c r="G911" s="142" t="s">
        <v>6998</v>
      </c>
      <c r="H911" s="142" t="s">
        <v>16761</v>
      </c>
      <c r="I911" s="142">
        <v>9</v>
      </c>
      <c r="J911" s="142">
        <v>9</v>
      </c>
      <c r="K911" s="142">
        <v>0</v>
      </c>
      <c r="L911" s="142">
        <v>0</v>
      </c>
      <c r="M911" s="142">
        <v>0</v>
      </c>
    </row>
    <row r="912" spans="1:13" x14ac:dyDescent="0.45">
      <c r="A912" s="142" t="s">
        <v>13050</v>
      </c>
      <c r="B912" s="142" t="s">
        <v>15237</v>
      </c>
      <c r="C912" s="142" t="s">
        <v>15847</v>
      </c>
      <c r="D912" s="142" t="s">
        <v>15848</v>
      </c>
      <c r="E912" s="142" t="s">
        <v>15849</v>
      </c>
      <c r="F912" s="142" t="s">
        <v>6999</v>
      </c>
      <c r="G912" s="142" t="s">
        <v>6998</v>
      </c>
      <c r="H912" s="142" t="s">
        <v>16762</v>
      </c>
      <c r="I912" s="142">
        <v>120</v>
      </c>
      <c r="J912" s="142">
        <v>105</v>
      </c>
      <c r="K912" s="142">
        <v>0</v>
      </c>
      <c r="L912" s="142">
        <v>0</v>
      </c>
      <c r="M912" s="142">
        <v>15</v>
      </c>
    </row>
    <row r="913" spans="1:13" x14ac:dyDescent="0.45">
      <c r="A913" s="142" t="s">
        <v>13003</v>
      </c>
      <c r="B913" s="142" t="s">
        <v>15245</v>
      </c>
      <c r="C913" s="142" t="s">
        <v>15847</v>
      </c>
      <c r="D913" s="142" t="s">
        <v>15848</v>
      </c>
      <c r="E913" s="142" t="s">
        <v>15849</v>
      </c>
      <c r="F913" s="142" t="s">
        <v>6999</v>
      </c>
      <c r="G913" s="142" t="s">
        <v>6998</v>
      </c>
      <c r="H913" s="142" t="s">
        <v>16763</v>
      </c>
      <c r="I913" s="142">
        <v>114</v>
      </c>
      <c r="J913" s="142">
        <v>0</v>
      </c>
      <c r="K913" s="142">
        <v>0</v>
      </c>
      <c r="L913" s="142">
        <v>114</v>
      </c>
      <c r="M913" s="142">
        <v>0</v>
      </c>
    </row>
    <row r="914" spans="1:13" x14ac:dyDescent="0.45">
      <c r="A914" s="142" t="s">
        <v>13076</v>
      </c>
      <c r="B914" s="142" t="s">
        <v>14636</v>
      </c>
      <c r="C914" s="142" t="s">
        <v>15847</v>
      </c>
      <c r="D914" s="142" t="s">
        <v>15848</v>
      </c>
      <c r="E914" s="142" t="s">
        <v>15849</v>
      </c>
      <c r="F914" s="142" t="s">
        <v>6999</v>
      </c>
      <c r="G914" s="142" t="s">
        <v>6998</v>
      </c>
      <c r="H914" s="142" t="s">
        <v>16764</v>
      </c>
      <c r="I914" s="142">
        <v>64</v>
      </c>
      <c r="J914" s="142">
        <v>33</v>
      </c>
      <c r="K914" s="142">
        <v>0</v>
      </c>
      <c r="L914" s="142">
        <v>0</v>
      </c>
      <c r="M914" s="142">
        <v>31</v>
      </c>
    </row>
    <row r="915" spans="1:13" x14ac:dyDescent="0.45">
      <c r="A915" s="142" t="s">
        <v>13331</v>
      </c>
      <c r="B915" s="142" t="s">
        <v>14682</v>
      </c>
      <c r="C915" s="142" t="s">
        <v>15860</v>
      </c>
      <c r="D915" s="142" t="s">
        <v>15861</v>
      </c>
      <c r="E915" s="142" t="s">
        <v>15849</v>
      </c>
      <c r="F915" s="142" t="s">
        <v>6999</v>
      </c>
      <c r="G915" s="142" t="s">
        <v>6998</v>
      </c>
      <c r="H915" s="142" t="s">
        <v>16765</v>
      </c>
      <c r="I915" s="142">
        <v>20</v>
      </c>
      <c r="J915" s="142">
        <v>20</v>
      </c>
      <c r="K915" s="142">
        <v>0</v>
      </c>
      <c r="L915" s="142">
        <v>0</v>
      </c>
      <c r="M915" s="142">
        <v>0</v>
      </c>
    </row>
    <row r="916" spans="1:13" x14ac:dyDescent="0.45">
      <c r="A916" s="142" t="s">
        <v>13029</v>
      </c>
      <c r="B916" s="142" t="s">
        <v>14665</v>
      </c>
      <c r="C916" s="142" t="s">
        <v>15847</v>
      </c>
      <c r="D916" s="142" t="s">
        <v>15848</v>
      </c>
      <c r="E916" s="142" t="s">
        <v>15849</v>
      </c>
      <c r="F916" s="142" t="s">
        <v>6999</v>
      </c>
      <c r="G916" s="142" t="s">
        <v>6998</v>
      </c>
      <c r="H916" s="142" t="s">
        <v>16766</v>
      </c>
      <c r="I916" s="142">
        <v>27</v>
      </c>
      <c r="J916" s="142">
        <v>0</v>
      </c>
      <c r="K916" s="142">
        <v>0</v>
      </c>
      <c r="L916" s="142">
        <v>0</v>
      </c>
      <c r="M916" s="142">
        <v>27</v>
      </c>
    </row>
    <row r="917" spans="1:13" x14ac:dyDescent="0.45">
      <c r="A917" s="142" t="s">
        <v>13284</v>
      </c>
      <c r="B917" s="142" t="s">
        <v>15364</v>
      </c>
      <c r="C917" s="142" t="s">
        <v>15847</v>
      </c>
      <c r="D917" s="142" t="s">
        <v>15848</v>
      </c>
      <c r="E917" s="142" t="s">
        <v>15849</v>
      </c>
      <c r="F917" s="142" t="s">
        <v>6999</v>
      </c>
      <c r="G917" s="142" t="s">
        <v>6998</v>
      </c>
      <c r="H917" s="142" t="s">
        <v>16767</v>
      </c>
      <c r="I917" s="142">
        <v>9</v>
      </c>
      <c r="J917" s="142">
        <v>0</v>
      </c>
      <c r="K917" s="142">
        <v>0</v>
      </c>
      <c r="L917" s="142">
        <v>9</v>
      </c>
      <c r="M917" s="142">
        <v>0</v>
      </c>
    </row>
    <row r="918" spans="1:13" x14ac:dyDescent="0.45">
      <c r="A918" s="142" t="s">
        <v>13008</v>
      </c>
      <c r="B918" s="142" t="s">
        <v>15411</v>
      </c>
      <c r="C918" s="142" t="s">
        <v>15847</v>
      </c>
      <c r="D918" s="142" t="s">
        <v>15848</v>
      </c>
      <c r="E918" s="142" t="s">
        <v>15849</v>
      </c>
      <c r="F918" s="142" t="s">
        <v>6999</v>
      </c>
      <c r="G918" s="142" t="s">
        <v>6998</v>
      </c>
      <c r="H918" s="142" t="s">
        <v>16768</v>
      </c>
      <c r="I918" s="142">
        <v>153</v>
      </c>
      <c r="J918" s="142">
        <v>0</v>
      </c>
      <c r="K918" s="142">
        <v>0</v>
      </c>
      <c r="L918" s="142">
        <v>0</v>
      </c>
      <c r="M918" s="142">
        <v>153</v>
      </c>
    </row>
    <row r="919" spans="1:13" x14ac:dyDescent="0.45">
      <c r="A919" s="142" t="s">
        <v>13077</v>
      </c>
      <c r="B919" s="142" t="s">
        <v>15407</v>
      </c>
      <c r="C919" s="142" t="s">
        <v>15847</v>
      </c>
      <c r="D919" s="142" t="s">
        <v>15848</v>
      </c>
      <c r="E919" s="142" t="s">
        <v>15849</v>
      </c>
      <c r="F919" s="142" t="s">
        <v>6999</v>
      </c>
      <c r="G919" s="142" t="s">
        <v>6998</v>
      </c>
      <c r="H919" s="142" t="s">
        <v>16769</v>
      </c>
      <c r="I919" s="142">
        <v>499</v>
      </c>
      <c r="J919" s="142">
        <v>427</v>
      </c>
      <c r="K919" s="142">
        <v>0</v>
      </c>
      <c r="L919" s="142">
        <v>68</v>
      </c>
      <c r="M919" s="142">
        <v>4</v>
      </c>
    </row>
    <row r="920" spans="1:13" x14ac:dyDescent="0.45">
      <c r="A920" s="142" t="s">
        <v>13089</v>
      </c>
      <c r="B920" s="142" t="s">
        <v>15240</v>
      </c>
      <c r="C920" s="142" t="s">
        <v>15847</v>
      </c>
      <c r="D920" s="142" t="s">
        <v>15848</v>
      </c>
      <c r="E920" s="142" t="s">
        <v>15849</v>
      </c>
      <c r="F920" s="142" t="s">
        <v>6999</v>
      </c>
      <c r="G920" s="142" t="s">
        <v>6998</v>
      </c>
      <c r="H920" s="142" t="s">
        <v>16770</v>
      </c>
      <c r="I920" s="142">
        <v>32</v>
      </c>
      <c r="J920" s="142">
        <v>32</v>
      </c>
      <c r="K920" s="142">
        <v>0</v>
      </c>
      <c r="L920" s="142">
        <v>0</v>
      </c>
      <c r="M920" s="142">
        <v>0</v>
      </c>
    </row>
    <row r="921" spans="1:13" x14ac:dyDescent="0.45">
      <c r="A921" s="142" t="s">
        <v>13033</v>
      </c>
      <c r="B921" s="142" t="s">
        <v>15276</v>
      </c>
      <c r="C921" s="142" t="s">
        <v>15847</v>
      </c>
      <c r="D921" s="142" t="s">
        <v>15848</v>
      </c>
      <c r="E921" s="142" t="s">
        <v>15849</v>
      </c>
      <c r="F921" s="142" t="s">
        <v>6999</v>
      </c>
      <c r="G921" s="142" t="s">
        <v>6998</v>
      </c>
      <c r="H921" s="142" t="s">
        <v>16771</v>
      </c>
      <c r="I921" s="142">
        <v>158</v>
      </c>
      <c r="J921" s="142">
        <v>93</v>
      </c>
      <c r="K921" s="142">
        <v>0</v>
      </c>
      <c r="L921" s="142">
        <v>12</v>
      </c>
      <c r="M921" s="142">
        <v>53</v>
      </c>
    </row>
    <row r="922" spans="1:13" x14ac:dyDescent="0.45">
      <c r="A922" s="142" t="s">
        <v>13034</v>
      </c>
      <c r="B922" s="142" t="s">
        <v>15562</v>
      </c>
      <c r="C922" s="142" t="s">
        <v>15847</v>
      </c>
      <c r="D922" s="142" t="s">
        <v>15848</v>
      </c>
      <c r="E922" s="142" t="s">
        <v>15849</v>
      </c>
      <c r="F922" s="142" t="s">
        <v>6999</v>
      </c>
      <c r="G922" s="142" t="s">
        <v>6998</v>
      </c>
      <c r="H922" s="142" t="s">
        <v>16772</v>
      </c>
      <c r="I922" s="142">
        <v>195</v>
      </c>
      <c r="J922" s="142">
        <v>172</v>
      </c>
      <c r="K922" s="142">
        <v>0</v>
      </c>
      <c r="L922" s="142">
        <v>0</v>
      </c>
      <c r="M922" s="142">
        <v>23</v>
      </c>
    </row>
    <row r="923" spans="1:13" x14ac:dyDescent="0.45">
      <c r="A923" s="142" t="s">
        <v>13036</v>
      </c>
      <c r="B923" s="142" t="s">
        <v>15567</v>
      </c>
      <c r="C923" s="142" t="s">
        <v>15847</v>
      </c>
      <c r="D923" s="142" t="s">
        <v>15848</v>
      </c>
      <c r="E923" s="142" t="s">
        <v>15849</v>
      </c>
      <c r="F923" s="142" t="s">
        <v>6999</v>
      </c>
      <c r="G923" s="142" t="s">
        <v>6998</v>
      </c>
      <c r="H923" s="142" t="s">
        <v>16773</v>
      </c>
      <c r="I923" s="142">
        <v>6</v>
      </c>
      <c r="J923" s="142">
        <v>0</v>
      </c>
      <c r="K923" s="142">
        <v>0</v>
      </c>
      <c r="L923" s="142">
        <v>6</v>
      </c>
      <c r="M923" s="142">
        <v>0</v>
      </c>
    </row>
    <row r="924" spans="1:13" x14ac:dyDescent="0.45">
      <c r="A924" s="142" t="s">
        <v>13090</v>
      </c>
      <c r="B924" s="142" t="s">
        <v>15600</v>
      </c>
      <c r="C924" s="142" t="s">
        <v>15847</v>
      </c>
      <c r="D924" s="142" t="s">
        <v>15848</v>
      </c>
      <c r="E924" s="142" t="s">
        <v>15849</v>
      </c>
      <c r="F924" s="142" t="s">
        <v>6999</v>
      </c>
      <c r="G924" s="142" t="s">
        <v>6998</v>
      </c>
      <c r="H924" s="142" t="s">
        <v>16774</v>
      </c>
      <c r="I924" s="142">
        <v>410</v>
      </c>
      <c r="J924" s="142">
        <v>337</v>
      </c>
      <c r="K924" s="142">
        <v>0</v>
      </c>
      <c r="L924" s="142">
        <v>0</v>
      </c>
      <c r="M924" s="142">
        <v>73</v>
      </c>
    </row>
    <row r="925" spans="1:13" x14ac:dyDescent="0.45">
      <c r="A925" s="142" t="s">
        <v>13038</v>
      </c>
      <c r="B925" s="142" t="s">
        <v>14646</v>
      </c>
      <c r="C925" s="142" t="s">
        <v>15847</v>
      </c>
      <c r="D925" s="142" t="s">
        <v>15848</v>
      </c>
      <c r="E925" s="142" t="s">
        <v>15849</v>
      </c>
      <c r="F925" s="142" t="s">
        <v>6999</v>
      </c>
      <c r="G925" s="142" t="s">
        <v>6998</v>
      </c>
      <c r="H925" s="142" t="s">
        <v>16775</v>
      </c>
      <c r="I925" s="142">
        <v>39</v>
      </c>
      <c r="J925" s="142">
        <v>2</v>
      </c>
      <c r="K925" s="142">
        <v>0</v>
      </c>
      <c r="L925" s="142">
        <v>0</v>
      </c>
      <c r="M925" s="142">
        <v>37</v>
      </c>
    </row>
    <row r="926" spans="1:13" x14ac:dyDescent="0.45">
      <c r="A926" s="142" t="s">
        <v>13039</v>
      </c>
      <c r="B926" s="142" t="s">
        <v>14647</v>
      </c>
      <c r="C926" s="142" t="s">
        <v>15847</v>
      </c>
      <c r="D926" s="142" t="s">
        <v>15848</v>
      </c>
      <c r="E926" s="142" t="s">
        <v>15849</v>
      </c>
      <c r="F926" s="142" t="s">
        <v>6999</v>
      </c>
      <c r="G926" s="142" t="s">
        <v>6998</v>
      </c>
      <c r="H926" s="142" t="s">
        <v>16776</v>
      </c>
      <c r="I926" s="142">
        <v>67</v>
      </c>
      <c r="J926" s="142">
        <v>67</v>
      </c>
      <c r="K926" s="142">
        <v>0</v>
      </c>
      <c r="L926" s="142">
        <v>0</v>
      </c>
      <c r="M926" s="142">
        <v>0</v>
      </c>
    </row>
    <row r="927" spans="1:13" x14ac:dyDescent="0.45">
      <c r="A927" s="142" t="s">
        <v>13091</v>
      </c>
      <c r="B927" s="142" t="s">
        <v>14473</v>
      </c>
      <c r="C927" s="142" t="s">
        <v>15847</v>
      </c>
      <c r="D927" s="142" t="s">
        <v>15848</v>
      </c>
      <c r="E927" s="142" t="s">
        <v>15849</v>
      </c>
      <c r="F927" s="142" t="s">
        <v>6999</v>
      </c>
      <c r="G927" s="142" t="s">
        <v>6998</v>
      </c>
      <c r="H927" s="142" t="s">
        <v>16777</v>
      </c>
      <c r="I927" s="142">
        <v>48</v>
      </c>
      <c r="J927" s="142">
        <v>0</v>
      </c>
      <c r="K927" s="142">
        <v>0</v>
      </c>
      <c r="L927" s="142">
        <v>48</v>
      </c>
      <c r="M927" s="142">
        <v>0</v>
      </c>
    </row>
    <row r="928" spans="1:13" x14ac:dyDescent="0.45">
      <c r="A928" s="142" t="s">
        <v>13009</v>
      </c>
      <c r="B928" s="142" t="s">
        <v>15256</v>
      </c>
      <c r="C928" s="142" t="s">
        <v>15847</v>
      </c>
      <c r="D928" s="142" t="s">
        <v>15848</v>
      </c>
      <c r="E928" s="142" t="s">
        <v>15849</v>
      </c>
      <c r="F928" s="142" t="s">
        <v>6999</v>
      </c>
      <c r="G928" s="142" t="s">
        <v>6998</v>
      </c>
      <c r="H928" s="142" t="s">
        <v>16778</v>
      </c>
      <c r="I928" s="142">
        <v>10</v>
      </c>
      <c r="J928" s="142">
        <v>10</v>
      </c>
      <c r="K928" s="142">
        <v>0</v>
      </c>
      <c r="L928" s="142">
        <v>0</v>
      </c>
      <c r="M928" s="142">
        <v>0</v>
      </c>
    </row>
    <row r="929" spans="1:13" x14ac:dyDescent="0.45">
      <c r="A929" s="142" t="s">
        <v>13092</v>
      </c>
      <c r="B929" s="142" t="s">
        <v>14656</v>
      </c>
      <c r="C929" s="142" t="s">
        <v>15860</v>
      </c>
      <c r="D929" s="142" t="s">
        <v>15861</v>
      </c>
      <c r="E929" s="142" t="s">
        <v>15849</v>
      </c>
      <c r="F929" s="142" t="s">
        <v>6999</v>
      </c>
      <c r="G929" s="142" t="s">
        <v>6998</v>
      </c>
      <c r="H929" s="142" t="s">
        <v>16779</v>
      </c>
      <c r="I929" s="142">
        <v>18</v>
      </c>
      <c r="J929" s="142">
        <v>18</v>
      </c>
      <c r="K929" s="142">
        <v>0</v>
      </c>
      <c r="L929" s="142">
        <v>0</v>
      </c>
      <c r="M929" s="142">
        <v>0</v>
      </c>
    </row>
    <row r="930" spans="1:13" x14ac:dyDescent="0.45">
      <c r="A930" s="142" t="s">
        <v>13093</v>
      </c>
      <c r="B930" s="142" t="s">
        <v>14483</v>
      </c>
      <c r="C930" s="142" t="s">
        <v>15860</v>
      </c>
      <c r="D930" s="142" t="s">
        <v>15861</v>
      </c>
      <c r="E930" s="142" t="s">
        <v>15849</v>
      </c>
      <c r="F930" s="142" t="s">
        <v>6999</v>
      </c>
      <c r="G930" s="142" t="s">
        <v>6998</v>
      </c>
      <c r="H930" s="142" t="s">
        <v>16780</v>
      </c>
      <c r="I930" s="142">
        <v>33</v>
      </c>
      <c r="J930" s="142">
        <v>0</v>
      </c>
      <c r="K930" s="142">
        <v>0</v>
      </c>
      <c r="L930" s="142">
        <v>33</v>
      </c>
      <c r="M930" s="142">
        <v>0</v>
      </c>
    </row>
    <row r="931" spans="1:13" x14ac:dyDescent="0.45">
      <c r="A931" s="142" t="s">
        <v>13041</v>
      </c>
      <c r="B931" s="142" t="s">
        <v>14441</v>
      </c>
      <c r="C931" s="142" t="s">
        <v>15847</v>
      </c>
      <c r="D931" s="142" t="s">
        <v>15848</v>
      </c>
      <c r="E931" s="142" t="s">
        <v>15849</v>
      </c>
      <c r="F931" s="142" t="s">
        <v>6999</v>
      </c>
      <c r="G931" s="142" t="s">
        <v>6998</v>
      </c>
      <c r="H931" s="142" t="s">
        <v>16781</v>
      </c>
      <c r="I931" s="142">
        <v>10</v>
      </c>
      <c r="J931" s="142">
        <v>0</v>
      </c>
      <c r="K931" s="142">
        <v>0</v>
      </c>
      <c r="L931" s="142">
        <v>0</v>
      </c>
      <c r="M931" s="142">
        <v>10</v>
      </c>
    </row>
    <row r="932" spans="1:13" x14ac:dyDescent="0.45">
      <c r="A932" s="142" t="s">
        <v>13095</v>
      </c>
      <c r="B932" s="142" t="s">
        <v>15592</v>
      </c>
      <c r="C932" s="142" t="s">
        <v>15847</v>
      </c>
      <c r="D932" s="142" t="s">
        <v>15848</v>
      </c>
      <c r="E932" s="142" t="s">
        <v>15849</v>
      </c>
      <c r="F932" s="142" t="s">
        <v>6999</v>
      </c>
      <c r="G932" s="142" t="s">
        <v>6998</v>
      </c>
      <c r="H932" s="142" t="s">
        <v>16782</v>
      </c>
      <c r="I932" s="142">
        <v>193</v>
      </c>
      <c r="J932" s="142">
        <v>164</v>
      </c>
      <c r="K932" s="142">
        <v>0</v>
      </c>
      <c r="L932" s="142">
        <v>0</v>
      </c>
      <c r="M932" s="142">
        <v>29</v>
      </c>
    </row>
    <row r="933" spans="1:13" x14ac:dyDescent="0.45">
      <c r="A933" s="142" t="s">
        <v>13165</v>
      </c>
      <c r="B933" s="142" t="s">
        <v>15525</v>
      </c>
      <c r="C933" s="142" t="s">
        <v>15860</v>
      </c>
      <c r="D933" s="142" t="s">
        <v>15861</v>
      </c>
      <c r="E933" s="142" t="s">
        <v>15849</v>
      </c>
      <c r="F933" s="142" t="s">
        <v>6999</v>
      </c>
      <c r="G933" s="142" t="s">
        <v>6998</v>
      </c>
      <c r="H933" s="142" t="s">
        <v>16783</v>
      </c>
      <c r="I933" s="142">
        <v>13</v>
      </c>
      <c r="J933" s="142">
        <v>0</v>
      </c>
      <c r="K933" s="142">
        <v>0</v>
      </c>
      <c r="L933" s="142">
        <v>13</v>
      </c>
      <c r="M933" s="142">
        <v>0</v>
      </c>
    </row>
    <row r="934" spans="1:13" x14ac:dyDescent="0.45">
      <c r="A934" s="142" t="s">
        <v>13332</v>
      </c>
      <c r="B934" s="142" t="s">
        <v>14612</v>
      </c>
      <c r="C934" s="142" t="s">
        <v>15860</v>
      </c>
      <c r="D934" s="142" t="s">
        <v>15861</v>
      </c>
      <c r="E934" s="142" t="s">
        <v>15849</v>
      </c>
      <c r="F934" s="142" t="s">
        <v>6999</v>
      </c>
      <c r="G934" s="142" t="s">
        <v>6998</v>
      </c>
      <c r="H934" s="142" t="s">
        <v>16784</v>
      </c>
      <c r="I934" s="142">
        <v>10</v>
      </c>
      <c r="J934" s="142">
        <v>10</v>
      </c>
      <c r="K934" s="142">
        <v>0</v>
      </c>
      <c r="L934" s="142">
        <v>0</v>
      </c>
      <c r="M934" s="142">
        <v>0</v>
      </c>
    </row>
    <row r="935" spans="1:13" x14ac:dyDescent="0.45">
      <c r="A935" s="142" t="s">
        <v>13110</v>
      </c>
      <c r="B935" s="142" t="s">
        <v>15502</v>
      </c>
      <c r="C935" s="142" t="s">
        <v>15847</v>
      </c>
      <c r="D935" s="142" t="s">
        <v>15848</v>
      </c>
      <c r="E935" s="142" t="s">
        <v>15849</v>
      </c>
      <c r="F935" s="142" t="s">
        <v>11356</v>
      </c>
      <c r="G935" s="142" t="s">
        <v>11355</v>
      </c>
      <c r="H935" s="142" t="s">
        <v>16785</v>
      </c>
      <c r="I935" s="142">
        <v>169</v>
      </c>
      <c r="J935" s="142">
        <v>129</v>
      </c>
      <c r="K935" s="142">
        <v>0</v>
      </c>
      <c r="L935" s="142">
        <v>31</v>
      </c>
      <c r="M935" s="142">
        <v>9</v>
      </c>
    </row>
    <row r="936" spans="1:13" x14ac:dyDescent="0.45">
      <c r="A936" s="142" t="s">
        <v>13112</v>
      </c>
      <c r="B936" s="142" t="s">
        <v>15552</v>
      </c>
      <c r="C936" s="142" t="s">
        <v>15860</v>
      </c>
      <c r="D936" s="142" t="s">
        <v>15861</v>
      </c>
      <c r="E936" s="142" t="s">
        <v>15849</v>
      </c>
      <c r="F936" s="142" t="s">
        <v>11356</v>
      </c>
      <c r="G936" s="142" t="s">
        <v>11355</v>
      </c>
      <c r="H936" s="142" t="s">
        <v>16786</v>
      </c>
      <c r="I936" s="142">
        <v>20</v>
      </c>
      <c r="J936" s="142">
        <v>20</v>
      </c>
      <c r="K936" s="142">
        <v>0</v>
      </c>
      <c r="L936" s="142">
        <v>0</v>
      </c>
      <c r="M936" s="142">
        <v>0</v>
      </c>
    </row>
    <row r="937" spans="1:13" x14ac:dyDescent="0.45">
      <c r="A937" s="142" t="s">
        <v>13334</v>
      </c>
      <c r="B937" s="142" t="s">
        <v>15016</v>
      </c>
      <c r="C937" s="142" t="s">
        <v>15860</v>
      </c>
      <c r="D937" s="142" t="s">
        <v>15861</v>
      </c>
      <c r="E937" s="142" t="s">
        <v>15849</v>
      </c>
      <c r="F937" s="142" t="s">
        <v>11356</v>
      </c>
      <c r="G937" s="142" t="s">
        <v>11355</v>
      </c>
      <c r="H937" s="142" t="s">
        <v>16787</v>
      </c>
      <c r="I937" s="142">
        <v>65</v>
      </c>
      <c r="J937" s="142">
        <v>65</v>
      </c>
      <c r="K937" s="142">
        <v>0</v>
      </c>
      <c r="L937" s="142">
        <v>0</v>
      </c>
      <c r="M937" s="142">
        <v>0</v>
      </c>
    </row>
    <row r="938" spans="1:13" x14ac:dyDescent="0.45">
      <c r="A938" s="142" t="s">
        <v>13082</v>
      </c>
      <c r="B938" s="142" t="s">
        <v>14478</v>
      </c>
      <c r="C938" s="142" t="s">
        <v>15860</v>
      </c>
      <c r="D938" s="142" t="s">
        <v>15861</v>
      </c>
      <c r="E938" s="142" t="s">
        <v>15849</v>
      </c>
      <c r="F938" s="142" t="s">
        <v>11356</v>
      </c>
      <c r="G938" s="142" t="s">
        <v>11355</v>
      </c>
      <c r="H938" s="142" t="s">
        <v>16788</v>
      </c>
      <c r="I938" s="142">
        <v>12</v>
      </c>
      <c r="J938" s="142">
        <v>0</v>
      </c>
      <c r="K938" s="142">
        <v>0</v>
      </c>
      <c r="L938" s="142">
        <v>12</v>
      </c>
      <c r="M938" s="142">
        <v>0</v>
      </c>
    </row>
    <row r="939" spans="1:13" x14ac:dyDescent="0.45">
      <c r="A939" s="142" t="s">
        <v>13318</v>
      </c>
      <c r="B939" s="142" t="s">
        <v>15172</v>
      </c>
      <c r="C939" s="142" t="s">
        <v>15860</v>
      </c>
      <c r="D939" s="142" t="s">
        <v>15861</v>
      </c>
      <c r="E939" s="142" t="s">
        <v>15849</v>
      </c>
      <c r="F939" s="142" t="s">
        <v>11356</v>
      </c>
      <c r="G939" s="142" t="s">
        <v>11355</v>
      </c>
      <c r="H939" s="142" t="s">
        <v>16789</v>
      </c>
      <c r="I939" s="142">
        <v>5</v>
      </c>
      <c r="J939" s="142">
        <v>1</v>
      </c>
      <c r="K939" s="142">
        <v>4</v>
      </c>
      <c r="L939" s="142">
        <v>0</v>
      </c>
      <c r="M939" s="142">
        <v>0</v>
      </c>
    </row>
    <row r="940" spans="1:13" x14ac:dyDescent="0.45">
      <c r="A940" s="142" t="s">
        <v>13000</v>
      </c>
      <c r="B940" s="142" t="s">
        <v>14610</v>
      </c>
      <c r="C940" s="142" t="s">
        <v>15847</v>
      </c>
      <c r="D940" s="142" t="s">
        <v>15848</v>
      </c>
      <c r="E940" s="142" t="s">
        <v>15849</v>
      </c>
      <c r="F940" s="142" t="s">
        <v>11356</v>
      </c>
      <c r="G940" s="142" t="s">
        <v>11355</v>
      </c>
      <c r="H940" s="142" t="s">
        <v>16790</v>
      </c>
      <c r="I940" s="142">
        <v>532</v>
      </c>
      <c r="J940" s="142">
        <v>173</v>
      </c>
      <c r="K940" s="142">
        <v>0</v>
      </c>
      <c r="L940" s="142">
        <v>0</v>
      </c>
      <c r="M940" s="142">
        <v>359</v>
      </c>
    </row>
    <row r="941" spans="1:13" x14ac:dyDescent="0.45">
      <c r="A941" s="142" t="s">
        <v>13117</v>
      </c>
      <c r="B941" s="142" t="s">
        <v>14544</v>
      </c>
      <c r="C941" s="142" t="s">
        <v>15860</v>
      </c>
      <c r="D941" s="142" t="s">
        <v>15861</v>
      </c>
      <c r="E941" s="142" t="s">
        <v>15849</v>
      </c>
      <c r="F941" s="142" t="s">
        <v>11356</v>
      </c>
      <c r="G941" s="142" t="s">
        <v>11355</v>
      </c>
      <c r="H941" s="142" t="s">
        <v>16791</v>
      </c>
      <c r="I941" s="142">
        <v>5</v>
      </c>
      <c r="J941" s="142">
        <v>0</v>
      </c>
      <c r="K941" s="142">
        <v>5</v>
      </c>
      <c r="L941" s="142">
        <v>0</v>
      </c>
      <c r="M941" s="142">
        <v>0</v>
      </c>
    </row>
    <row r="942" spans="1:13" x14ac:dyDescent="0.45">
      <c r="A942" s="142" t="s">
        <v>13335</v>
      </c>
      <c r="B942" s="142" t="s">
        <v>14986</v>
      </c>
      <c r="C942" s="142" t="s">
        <v>15860</v>
      </c>
      <c r="D942" s="142" t="s">
        <v>15861</v>
      </c>
      <c r="E942" s="142" t="s">
        <v>15849</v>
      </c>
      <c r="F942" s="142" t="s">
        <v>11356</v>
      </c>
      <c r="G942" s="142" t="s">
        <v>11355</v>
      </c>
      <c r="H942" s="142" t="s">
        <v>16792</v>
      </c>
      <c r="I942" s="142">
        <v>53</v>
      </c>
      <c r="J942" s="142">
        <v>53</v>
      </c>
      <c r="K942" s="142">
        <v>0</v>
      </c>
      <c r="L942" s="142">
        <v>0</v>
      </c>
      <c r="M942" s="142">
        <v>0</v>
      </c>
    </row>
    <row r="943" spans="1:13" x14ac:dyDescent="0.45">
      <c r="A943" s="142" t="s">
        <v>13119</v>
      </c>
      <c r="B943" s="142" t="s">
        <v>14451</v>
      </c>
      <c r="C943" s="142" t="s">
        <v>15860</v>
      </c>
      <c r="D943" s="142" t="s">
        <v>15861</v>
      </c>
      <c r="E943" s="142" t="s">
        <v>15849</v>
      </c>
      <c r="F943" s="142" t="s">
        <v>11356</v>
      </c>
      <c r="G943" s="142" t="s">
        <v>11355</v>
      </c>
      <c r="H943" s="142" t="s">
        <v>16793</v>
      </c>
      <c r="I943" s="142">
        <v>10</v>
      </c>
      <c r="J943" s="142">
        <v>0</v>
      </c>
      <c r="K943" s="142">
        <v>0</v>
      </c>
      <c r="L943" s="142">
        <v>10</v>
      </c>
      <c r="M943" s="142">
        <v>0</v>
      </c>
    </row>
    <row r="944" spans="1:13" x14ac:dyDescent="0.45">
      <c r="A944" s="142" t="s">
        <v>13122</v>
      </c>
      <c r="B944" s="142" t="s">
        <v>14425</v>
      </c>
      <c r="C944" s="142" t="s">
        <v>15860</v>
      </c>
      <c r="D944" s="142" t="s">
        <v>15861</v>
      </c>
      <c r="E944" s="142" t="s">
        <v>15849</v>
      </c>
      <c r="F944" s="142" t="s">
        <v>11356</v>
      </c>
      <c r="G944" s="142" t="s">
        <v>11355</v>
      </c>
      <c r="H944" s="142" t="s">
        <v>16794</v>
      </c>
      <c r="I944" s="142">
        <v>183</v>
      </c>
      <c r="J944" s="142">
        <v>183</v>
      </c>
      <c r="K944" s="142">
        <v>0</v>
      </c>
      <c r="L944" s="142">
        <v>0</v>
      </c>
      <c r="M944" s="142">
        <v>0</v>
      </c>
    </row>
    <row r="945" spans="1:13" x14ac:dyDescent="0.45">
      <c r="A945" s="142" t="s">
        <v>13027</v>
      </c>
      <c r="B945" s="142" t="s">
        <v>14562</v>
      </c>
      <c r="C945" s="142" t="s">
        <v>15847</v>
      </c>
      <c r="D945" s="142" t="s">
        <v>15848</v>
      </c>
      <c r="E945" s="142" t="s">
        <v>15849</v>
      </c>
      <c r="F945" s="142" t="s">
        <v>11356</v>
      </c>
      <c r="G945" s="142" t="s">
        <v>11355</v>
      </c>
      <c r="H945" s="142" t="s">
        <v>16795</v>
      </c>
      <c r="I945" s="142">
        <v>12</v>
      </c>
      <c r="J945" s="142">
        <v>0</v>
      </c>
      <c r="K945" s="142">
        <v>0</v>
      </c>
      <c r="L945" s="142">
        <v>12</v>
      </c>
      <c r="M945" s="142">
        <v>0</v>
      </c>
    </row>
    <row r="946" spans="1:13" x14ac:dyDescent="0.45">
      <c r="A946" s="142" t="s">
        <v>13001</v>
      </c>
      <c r="B946" s="142" t="s">
        <v>15506</v>
      </c>
      <c r="C946" s="142" t="s">
        <v>15847</v>
      </c>
      <c r="D946" s="142" t="s">
        <v>15848</v>
      </c>
      <c r="E946" s="142" t="s">
        <v>15849</v>
      </c>
      <c r="F946" s="142" t="s">
        <v>11356</v>
      </c>
      <c r="G946" s="142" t="s">
        <v>11355</v>
      </c>
      <c r="H946" s="142" t="s">
        <v>16796</v>
      </c>
      <c r="I946" s="142">
        <v>4</v>
      </c>
      <c r="J946" s="142">
        <v>0</v>
      </c>
      <c r="K946" s="142">
        <v>0</v>
      </c>
      <c r="L946" s="142">
        <v>4</v>
      </c>
      <c r="M946" s="142">
        <v>0</v>
      </c>
    </row>
    <row r="947" spans="1:13" x14ac:dyDescent="0.45">
      <c r="A947" s="142" t="s">
        <v>13050</v>
      </c>
      <c r="B947" s="142" t="s">
        <v>15237</v>
      </c>
      <c r="C947" s="142" t="s">
        <v>15847</v>
      </c>
      <c r="D947" s="142" t="s">
        <v>15848</v>
      </c>
      <c r="E947" s="142" t="s">
        <v>15849</v>
      </c>
      <c r="F947" s="142" t="s">
        <v>11356</v>
      </c>
      <c r="G947" s="142" t="s">
        <v>11355</v>
      </c>
      <c r="H947" s="142" t="s">
        <v>16797</v>
      </c>
      <c r="I947" s="142">
        <v>16</v>
      </c>
      <c r="J947" s="142">
        <v>16</v>
      </c>
      <c r="K947" s="142">
        <v>0</v>
      </c>
      <c r="L947" s="142">
        <v>0</v>
      </c>
      <c r="M947" s="142">
        <v>0</v>
      </c>
    </row>
    <row r="948" spans="1:13" x14ac:dyDescent="0.45">
      <c r="A948" s="142" t="s">
        <v>13336</v>
      </c>
      <c r="B948" s="142" t="s">
        <v>15456</v>
      </c>
      <c r="C948" s="142" t="s">
        <v>15860</v>
      </c>
      <c r="D948" s="142" t="s">
        <v>15861</v>
      </c>
      <c r="E948" s="142" t="s">
        <v>15849</v>
      </c>
      <c r="F948" s="142" t="s">
        <v>11356</v>
      </c>
      <c r="G948" s="142" t="s">
        <v>11355</v>
      </c>
      <c r="H948" s="142" t="s">
        <v>16798</v>
      </c>
      <c r="I948" s="142">
        <v>723</v>
      </c>
      <c r="J948" s="142">
        <v>720</v>
      </c>
      <c r="K948" s="142">
        <v>0</v>
      </c>
      <c r="L948" s="142">
        <v>3</v>
      </c>
      <c r="M948" s="142">
        <v>0</v>
      </c>
    </row>
    <row r="949" spans="1:13" x14ac:dyDescent="0.45">
      <c r="A949" s="142" t="s">
        <v>13002</v>
      </c>
      <c r="B949" s="142" t="s">
        <v>15376</v>
      </c>
      <c r="C949" s="142" t="s">
        <v>15847</v>
      </c>
      <c r="D949" s="142" t="s">
        <v>15848</v>
      </c>
      <c r="E949" s="142" t="s">
        <v>15849</v>
      </c>
      <c r="F949" s="142" t="s">
        <v>11356</v>
      </c>
      <c r="G949" s="142" t="s">
        <v>11355</v>
      </c>
      <c r="H949" s="142" t="s">
        <v>16799</v>
      </c>
      <c r="I949" s="142">
        <v>211</v>
      </c>
      <c r="J949" s="142">
        <v>86</v>
      </c>
      <c r="K949" s="142">
        <v>0</v>
      </c>
      <c r="L949" s="142">
        <v>0</v>
      </c>
      <c r="M949" s="142">
        <v>125</v>
      </c>
    </row>
    <row r="950" spans="1:13" x14ac:dyDescent="0.45">
      <c r="A950" s="142" t="s">
        <v>13337</v>
      </c>
      <c r="B950" s="142" t="s">
        <v>15301</v>
      </c>
      <c r="C950" s="142" t="s">
        <v>15860</v>
      </c>
      <c r="D950" s="142" t="s">
        <v>15861</v>
      </c>
      <c r="E950" s="142" t="s">
        <v>15849</v>
      </c>
      <c r="F950" s="142" t="s">
        <v>11356</v>
      </c>
      <c r="G950" s="142" t="s">
        <v>11355</v>
      </c>
      <c r="H950" s="142" t="s">
        <v>16800</v>
      </c>
      <c r="I950" s="142">
        <v>8</v>
      </c>
      <c r="J950" s="142">
        <v>8</v>
      </c>
      <c r="K950" s="142">
        <v>0</v>
      </c>
      <c r="L950" s="142">
        <v>0</v>
      </c>
      <c r="M950" s="142">
        <v>0</v>
      </c>
    </row>
    <row r="951" spans="1:13" x14ac:dyDescent="0.45">
      <c r="A951" s="142" t="s">
        <v>13004</v>
      </c>
      <c r="B951" s="142" t="s">
        <v>15492</v>
      </c>
      <c r="C951" s="142" t="s">
        <v>15847</v>
      </c>
      <c r="D951" s="142" t="s">
        <v>15848</v>
      </c>
      <c r="E951" s="142" t="s">
        <v>15849</v>
      </c>
      <c r="F951" s="142" t="s">
        <v>11356</v>
      </c>
      <c r="G951" s="142" t="s">
        <v>11355</v>
      </c>
      <c r="H951" s="142" t="s">
        <v>16801</v>
      </c>
      <c r="I951" s="142">
        <v>691</v>
      </c>
      <c r="J951" s="142">
        <v>572</v>
      </c>
      <c r="K951" s="142">
        <v>0</v>
      </c>
      <c r="L951" s="142">
        <v>0</v>
      </c>
      <c r="M951" s="142">
        <v>119</v>
      </c>
    </row>
    <row r="952" spans="1:13" x14ac:dyDescent="0.45">
      <c r="A952" s="142" t="s">
        <v>13066</v>
      </c>
      <c r="B952" s="142" t="s">
        <v>14459</v>
      </c>
      <c r="C952" s="142" t="s">
        <v>15847</v>
      </c>
      <c r="D952" s="142" t="s">
        <v>15848</v>
      </c>
      <c r="E952" s="142" t="s">
        <v>15849</v>
      </c>
      <c r="F952" s="142" t="s">
        <v>11356</v>
      </c>
      <c r="G952" s="142" t="s">
        <v>11355</v>
      </c>
      <c r="H952" s="142" t="s">
        <v>16802</v>
      </c>
      <c r="I952" s="142">
        <v>7</v>
      </c>
      <c r="J952" s="142">
        <v>0</v>
      </c>
      <c r="K952" s="142">
        <v>0</v>
      </c>
      <c r="L952" s="142">
        <v>7</v>
      </c>
      <c r="M952" s="142">
        <v>0</v>
      </c>
    </row>
    <row r="953" spans="1:13" x14ac:dyDescent="0.45">
      <c r="A953" s="142" t="s">
        <v>13124</v>
      </c>
      <c r="B953" s="142" t="s">
        <v>15554</v>
      </c>
      <c r="C953" s="142" t="s">
        <v>15860</v>
      </c>
      <c r="D953" s="142" t="s">
        <v>15861</v>
      </c>
      <c r="E953" s="142" t="s">
        <v>15849</v>
      </c>
      <c r="F953" s="142" t="s">
        <v>11356</v>
      </c>
      <c r="G953" s="142" t="s">
        <v>11355</v>
      </c>
      <c r="H953" s="142" t="s">
        <v>16803</v>
      </c>
      <c r="I953" s="142">
        <v>313</v>
      </c>
      <c r="J953" s="142">
        <v>262</v>
      </c>
      <c r="K953" s="142">
        <v>0</v>
      </c>
      <c r="L953" s="142">
        <v>51</v>
      </c>
      <c r="M953" s="142">
        <v>0</v>
      </c>
    </row>
    <row r="954" spans="1:13" x14ac:dyDescent="0.45">
      <c r="A954" s="142" t="s">
        <v>13125</v>
      </c>
      <c r="B954" s="142" t="s">
        <v>15515</v>
      </c>
      <c r="C954" s="142" t="s">
        <v>15860</v>
      </c>
      <c r="D954" s="142" t="s">
        <v>15861</v>
      </c>
      <c r="E954" s="142" t="s">
        <v>15849</v>
      </c>
      <c r="F954" s="142" t="s">
        <v>11356</v>
      </c>
      <c r="G954" s="142" t="s">
        <v>11355</v>
      </c>
      <c r="H954" s="142" t="s">
        <v>16804</v>
      </c>
      <c r="I954" s="142">
        <v>63</v>
      </c>
      <c r="J954" s="142">
        <v>0</v>
      </c>
      <c r="K954" s="142">
        <v>0</v>
      </c>
      <c r="L954" s="142">
        <v>63</v>
      </c>
      <c r="M954" s="142">
        <v>0</v>
      </c>
    </row>
    <row r="955" spans="1:13" x14ac:dyDescent="0.45">
      <c r="A955" s="142" t="s">
        <v>13127</v>
      </c>
      <c r="B955" s="142" t="s">
        <v>15549</v>
      </c>
      <c r="C955" s="142" t="s">
        <v>15847</v>
      </c>
      <c r="D955" s="142" t="s">
        <v>15848</v>
      </c>
      <c r="E955" s="142" t="s">
        <v>15849</v>
      </c>
      <c r="F955" s="142" t="s">
        <v>11356</v>
      </c>
      <c r="G955" s="142" t="s">
        <v>11355</v>
      </c>
      <c r="H955" s="142" t="s">
        <v>16805</v>
      </c>
      <c r="I955" s="142">
        <v>191</v>
      </c>
      <c r="J955" s="142">
        <v>181</v>
      </c>
      <c r="K955" s="142">
        <v>0</v>
      </c>
      <c r="L955" s="142">
        <v>0</v>
      </c>
      <c r="M955" s="142">
        <v>10</v>
      </c>
    </row>
    <row r="956" spans="1:13" x14ac:dyDescent="0.45">
      <c r="A956" s="142" t="s">
        <v>13338</v>
      </c>
      <c r="B956" s="142" t="s">
        <v>14985</v>
      </c>
      <c r="C956" s="142" t="s">
        <v>15860</v>
      </c>
      <c r="D956" s="142" t="s">
        <v>15861</v>
      </c>
      <c r="E956" s="142" t="s">
        <v>15849</v>
      </c>
      <c r="F956" s="142" t="s">
        <v>11356</v>
      </c>
      <c r="G956" s="142" t="s">
        <v>11355</v>
      </c>
      <c r="H956" s="142" t="s">
        <v>16806</v>
      </c>
      <c r="I956" s="142">
        <v>37</v>
      </c>
      <c r="J956" s="142">
        <v>37</v>
      </c>
      <c r="K956" s="142">
        <v>0</v>
      </c>
      <c r="L956" s="142">
        <v>0</v>
      </c>
      <c r="M956" s="142">
        <v>0</v>
      </c>
    </row>
    <row r="957" spans="1:13" x14ac:dyDescent="0.45">
      <c r="A957" s="142" t="s">
        <v>13201</v>
      </c>
      <c r="B957" s="142" t="s">
        <v>14481</v>
      </c>
      <c r="C957" s="142" t="s">
        <v>15860</v>
      </c>
      <c r="D957" s="142" t="s">
        <v>15861</v>
      </c>
      <c r="E957" s="142" t="s">
        <v>15849</v>
      </c>
      <c r="F957" s="142" t="s">
        <v>11356</v>
      </c>
      <c r="G957" s="142" t="s">
        <v>11355</v>
      </c>
      <c r="H957" s="142" t="s">
        <v>16807</v>
      </c>
      <c r="I957" s="142">
        <v>27</v>
      </c>
      <c r="J957" s="142">
        <v>0</v>
      </c>
      <c r="K957" s="142">
        <v>0</v>
      </c>
      <c r="L957" s="142">
        <v>27</v>
      </c>
      <c r="M957" s="142">
        <v>0</v>
      </c>
    </row>
    <row r="958" spans="1:13" x14ac:dyDescent="0.45">
      <c r="A958" s="142" t="s">
        <v>13178</v>
      </c>
      <c r="B958" s="142" t="s">
        <v>14683</v>
      </c>
      <c r="C958" s="142" t="s">
        <v>15847</v>
      </c>
      <c r="D958" s="142" t="s">
        <v>15848</v>
      </c>
      <c r="E958" s="142" t="s">
        <v>15849</v>
      </c>
      <c r="F958" s="142" t="s">
        <v>11356</v>
      </c>
      <c r="G958" s="142" t="s">
        <v>11355</v>
      </c>
      <c r="H958" s="142" t="s">
        <v>16808</v>
      </c>
      <c r="I958" s="142">
        <v>114</v>
      </c>
      <c r="J958" s="142">
        <v>114</v>
      </c>
      <c r="K958" s="142">
        <v>0</v>
      </c>
      <c r="L958" s="142">
        <v>0</v>
      </c>
      <c r="M958" s="142">
        <v>0</v>
      </c>
    </row>
    <row r="959" spans="1:13" x14ac:dyDescent="0.45">
      <c r="A959" s="142" t="s">
        <v>13076</v>
      </c>
      <c r="B959" s="142" t="s">
        <v>14636</v>
      </c>
      <c r="C959" s="142" t="s">
        <v>15847</v>
      </c>
      <c r="D959" s="142" t="s">
        <v>15848</v>
      </c>
      <c r="E959" s="142" t="s">
        <v>15849</v>
      </c>
      <c r="F959" s="142" t="s">
        <v>11356</v>
      </c>
      <c r="G959" s="142" t="s">
        <v>11355</v>
      </c>
      <c r="H959" s="142" t="s">
        <v>16809</v>
      </c>
      <c r="I959" s="142">
        <v>99</v>
      </c>
      <c r="J959" s="142">
        <v>99</v>
      </c>
      <c r="K959" s="142">
        <v>0</v>
      </c>
      <c r="L959" s="142">
        <v>0</v>
      </c>
      <c r="M959" s="142">
        <v>0</v>
      </c>
    </row>
    <row r="960" spans="1:13" x14ac:dyDescent="0.45">
      <c r="A960" s="142" t="s">
        <v>13005</v>
      </c>
      <c r="B960" s="142" t="s">
        <v>15475</v>
      </c>
      <c r="C960" s="142" t="s">
        <v>15847</v>
      </c>
      <c r="D960" s="142" t="s">
        <v>15848</v>
      </c>
      <c r="E960" s="142" t="s">
        <v>15849</v>
      </c>
      <c r="F960" s="142" t="s">
        <v>11356</v>
      </c>
      <c r="G960" s="142" t="s">
        <v>11355</v>
      </c>
      <c r="H960" s="142" t="s">
        <v>16810</v>
      </c>
      <c r="I960" s="142">
        <v>1387</v>
      </c>
      <c r="J960" s="142">
        <v>1192</v>
      </c>
      <c r="K960" s="142">
        <v>0</v>
      </c>
      <c r="L960" s="142">
        <v>23</v>
      </c>
      <c r="M960" s="142">
        <v>172</v>
      </c>
    </row>
    <row r="961" spans="1:13" x14ac:dyDescent="0.45">
      <c r="A961" s="142" t="s">
        <v>13029</v>
      </c>
      <c r="B961" s="142" t="s">
        <v>14665</v>
      </c>
      <c r="C961" s="142" t="s">
        <v>15847</v>
      </c>
      <c r="D961" s="142" t="s">
        <v>15848</v>
      </c>
      <c r="E961" s="142" t="s">
        <v>15849</v>
      </c>
      <c r="F961" s="142" t="s">
        <v>11356</v>
      </c>
      <c r="G961" s="142" t="s">
        <v>11355</v>
      </c>
      <c r="H961" s="142" t="s">
        <v>16811</v>
      </c>
      <c r="I961" s="142">
        <v>47</v>
      </c>
      <c r="J961" s="142">
        <v>0</v>
      </c>
      <c r="K961" s="142">
        <v>0</v>
      </c>
      <c r="L961" s="142">
        <v>0</v>
      </c>
      <c r="M961" s="142">
        <v>47</v>
      </c>
    </row>
    <row r="962" spans="1:13" x14ac:dyDescent="0.45">
      <c r="A962" s="142" t="s">
        <v>13339</v>
      </c>
      <c r="B962" s="142" t="s">
        <v>14666</v>
      </c>
      <c r="C962" s="142" t="s">
        <v>15860</v>
      </c>
      <c r="D962" s="142" t="s">
        <v>15861</v>
      </c>
      <c r="E962" s="142" t="s">
        <v>15849</v>
      </c>
      <c r="F962" s="142" t="s">
        <v>11356</v>
      </c>
      <c r="G962" s="142" t="s">
        <v>11355</v>
      </c>
      <c r="H962" s="142" t="s">
        <v>16812</v>
      </c>
      <c r="I962" s="142">
        <v>9</v>
      </c>
      <c r="J962" s="142">
        <v>9</v>
      </c>
      <c r="K962" s="142">
        <v>0</v>
      </c>
      <c r="L962" s="142">
        <v>0</v>
      </c>
      <c r="M962" s="142">
        <v>0</v>
      </c>
    </row>
    <row r="963" spans="1:13" x14ac:dyDescent="0.45">
      <c r="A963" s="142" t="s">
        <v>13192</v>
      </c>
      <c r="B963" s="142" t="s">
        <v>15539</v>
      </c>
      <c r="C963" s="142" t="s">
        <v>15860</v>
      </c>
      <c r="D963" s="142" t="s">
        <v>15861</v>
      </c>
      <c r="E963" s="142" t="s">
        <v>15849</v>
      </c>
      <c r="F963" s="142" t="s">
        <v>11356</v>
      </c>
      <c r="G963" s="142" t="s">
        <v>11355</v>
      </c>
      <c r="H963" s="142" t="s">
        <v>16813</v>
      </c>
      <c r="I963" s="142">
        <v>17</v>
      </c>
      <c r="J963" s="142">
        <v>0</v>
      </c>
      <c r="K963" s="142">
        <v>0</v>
      </c>
      <c r="L963" s="142">
        <v>17</v>
      </c>
      <c r="M963" s="142">
        <v>0</v>
      </c>
    </row>
    <row r="964" spans="1:13" x14ac:dyDescent="0.45">
      <c r="A964" s="142" t="s">
        <v>13006</v>
      </c>
      <c r="B964" s="142" t="s">
        <v>15288</v>
      </c>
      <c r="C964" s="142" t="s">
        <v>15847</v>
      </c>
      <c r="D964" s="142" t="s">
        <v>15848</v>
      </c>
      <c r="E964" s="142" t="s">
        <v>15849</v>
      </c>
      <c r="F964" s="142" t="s">
        <v>11356</v>
      </c>
      <c r="G964" s="142" t="s">
        <v>11355</v>
      </c>
      <c r="H964" s="142" t="s">
        <v>16814</v>
      </c>
      <c r="I964" s="142">
        <v>1970</v>
      </c>
      <c r="J964" s="142">
        <v>1754</v>
      </c>
      <c r="K964" s="142">
        <v>0</v>
      </c>
      <c r="L964" s="142">
        <v>7</v>
      </c>
      <c r="M964" s="142">
        <v>209</v>
      </c>
    </row>
    <row r="965" spans="1:13" x14ac:dyDescent="0.45">
      <c r="A965" s="142" t="s">
        <v>13103</v>
      </c>
      <c r="B965" s="142" t="s">
        <v>14623</v>
      </c>
      <c r="C965" s="142" t="s">
        <v>15847</v>
      </c>
      <c r="D965" s="142" t="s">
        <v>15848</v>
      </c>
      <c r="E965" s="142" t="s">
        <v>15849</v>
      </c>
      <c r="F965" s="142" t="s">
        <v>11356</v>
      </c>
      <c r="G965" s="142" t="s">
        <v>11355</v>
      </c>
      <c r="H965" s="142" t="s">
        <v>16815</v>
      </c>
      <c r="I965" s="142">
        <v>4127</v>
      </c>
      <c r="J965" s="142">
        <v>3487</v>
      </c>
      <c r="K965" s="142">
        <v>15</v>
      </c>
      <c r="L965" s="142">
        <v>315</v>
      </c>
      <c r="M965" s="142">
        <v>310</v>
      </c>
    </row>
    <row r="966" spans="1:13" x14ac:dyDescent="0.45">
      <c r="A966" s="142" t="s">
        <v>13054</v>
      </c>
      <c r="B966" s="142" t="s">
        <v>15604</v>
      </c>
      <c r="C966" s="142" t="s">
        <v>15847</v>
      </c>
      <c r="D966" s="142" t="s">
        <v>15848</v>
      </c>
      <c r="E966" s="142" t="s">
        <v>15849</v>
      </c>
      <c r="F966" s="142" t="s">
        <v>11356</v>
      </c>
      <c r="G966" s="142" t="s">
        <v>11355</v>
      </c>
      <c r="H966" s="142" t="s">
        <v>16816</v>
      </c>
      <c r="I966" s="142">
        <v>108</v>
      </c>
      <c r="J966" s="142">
        <v>0</v>
      </c>
      <c r="K966" s="142">
        <v>0</v>
      </c>
      <c r="L966" s="142">
        <v>0</v>
      </c>
      <c r="M966" s="142">
        <v>108</v>
      </c>
    </row>
    <row r="967" spans="1:13" x14ac:dyDescent="0.45">
      <c r="A967" s="142" t="s">
        <v>13340</v>
      </c>
      <c r="B967" s="142" t="s">
        <v>14499</v>
      </c>
      <c r="C967" s="142" t="s">
        <v>15860</v>
      </c>
      <c r="D967" s="142" t="s">
        <v>15861</v>
      </c>
      <c r="E967" s="142" t="s">
        <v>15849</v>
      </c>
      <c r="F967" s="142" t="s">
        <v>11356</v>
      </c>
      <c r="G967" s="142" t="s">
        <v>11355</v>
      </c>
      <c r="H967" s="142" t="s">
        <v>16817</v>
      </c>
      <c r="I967" s="142">
        <v>1</v>
      </c>
      <c r="J967" s="142">
        <v>1</v>
      </c>
      <c r="K967" s="142">
        <v>0</v>
      </c>
      <c r="L967" s="142">
        <v>0</v>
      </c>
      <c r="M967" s="142">
        <v>0</v>
      </c>
    </row>
    <row r="968" spans="1:13" x14ac:dyDescent="0.45">
      <c r="A968" s="142" t="s">
        <v>13129</v>
      </c>
      <c r="B968" s="142" t="s">
        <v>15284</v>
      </c>
      <c r="C968" s="142" t="s">
        <v>15847</v>
      </c>
      <c r="D968" s="142" t="s">
        <v>15848</v>
      </c>
      <c r="E968" s="142" t="s">
        <v>15849</v>
      </c>
      <c r="F968" s="142" t="s">
        <v>11356</v>
      </c>
      <c r="G968" s="142" t="s">
        <v>11355</v>
      </c>
      <c r="H968" s="142" t="s">
        <v>16818</v>
      </c>
      <c r="I968" s="142">
        <v>636</v>
      </c>
      <c r="J968" s="142">
        <v>467</v>
      </c>
      <c r="K968" s="142">
        <v>0</v>
      </c>
      <c r="L968" s="142">
        <v>23</v>
      </c>
      <c r="M968" s="142">
        <v>146</v>
      </c>
    </row>
    <row r="969" spans="1:13" x14ac:dyDescent="0.45">
      <c r="A969" s="142" t="s">
        <v>13130</v>
      </c>
      <c r="B969" s="142" t="s">
        <v>15391</v>
      </c>
      <c r="C969" s="142" t="s">
        <v>15860</v>
      </c>
      <c r="D969" s="142" t="s">
        <v>15861</v>
      </c>
      <c r="E969" s="142" t="s">
        <v>15849</v>
      </c>
      <c r="F969" s="142" t="s">
        <v>11356</v>
      </c>
      <c r="G969" s="142" t="s">
        <v>11355</v>
      </c>
      <c r="H969" s="142" t="s">
        <v>16819</v>
      </c>
      <c r="I969" s="142">
        <v>15</v>
      </c>
      <c r="J969" s="142">
        <v>15</v>
      </c>
      <c r="K969" s="142">
        <v>0</v>
      </c>
      <c r="L969" s="142">
        <v>0</v>
      </c>
      <c r="M969" s="142">
        <v>0</v>
      </c>
    </row>
    <row r="970" spans="1:13" x14ac:dyDescent="0.45">
      <c r="A970" s="142" t="s">
        <v>13341</v>
      </c>
      <c r="B970" s="142" t="s">
        <v>14530</v>
      </c>
      <c r="C970" s="142" t="s">
        <v>15860</v>
      </c>
      <c r="D970" s="142" t="s">
        <v>15861</v>
      </c>
      <c r="E970" s="142" t="s">
        <v>15849</v>
      </c>
      <c r="F970" s="142" t="s">
        <v>11356</v>
      </c>
      <c r="G970" s="142" t="s">
        <v>11355</v>
      </c>
      <c r="H970" s="142" t="s">
        <v>16820</v>
      </c>
      <c r="I970" s="142">
        <v>2</v>
      </c>
      <c r="J970" s="142">
        <v>2</v>
      </c>
      <c r="K970" s="142">
        <v>0</v>
      </c>
      <c r="L970" s="142">
        <v>0</v>
      </c>
      <c r="M970" s="142">
        <v>0</v>
      </c>
    </row>
    <row r="971" spans="1:13" x14ac:dyDescent="0.45">
      <c r="A971" s="142" t="s">
        <v>13133</v>
      </c>
      <c r="B971" s="142" t="s">
        <v>15291</v>
      </c>
      <c r="C971" s="142" t="s">
        <v>15847</v>
      </c>
      <c r="D971" s="142" t="s">
        <v>15848</v>
      </c>
      <c r="E971" s="142" t="s">
        <v>15849</v>
      </c>
      <c r="F971" s="142" t="s">
        <v>11356</v>
      </c>
      <c r="G971" s="142" t="s">
        <v>11355</v>
      </c>
      <c r="H971" s="142" t="s">
        <v>16821</v>
      </c>
      <c r="I971" s="142">
        <v>364</v>
      </c>
      <c r="J971" s="142">
        <v>333</v>
      </c>
      <c r="K971" s="142">
        <v>0</v>
      </c>
      <c r="L971" s="142">
        <v>0</v>
      </c>
      <c r="M971" s="142">
        <v>31</v>
      </c>
    </row>
    <row r="972" spans="1:13" x14ac:dyDescent="0.45">
      <c r="A972" s="142" t="s">
        <v>13135</v>
      </c>
      <c r="B972" s="142" t="s">
        <v>15575</v>
      </c>
      <c r="C972" s="142" t="s">
        <v>15847</v>
      </c>
      <c r="D972" s="142" t="s">
        <v>15848</v>
      </c>
      <c r="E972" s="142" t="s">
        <v>15849</v>
      </c>
      <c r="F972" s="142" t="s">
        <v>11356</v>
      </c>
      <c r="G972" s="142" t="s">
        <v>11355</v>
      </c>
      <c r="H972" s="142" t="s">
        <v>16822</v>
      </c>
      <c r="I972" s="142">
        <v>69</v>
      </c>
      <c r="J972" s="142">
        <v>40</v>
      </c>
      <c r="K972" s="142">
        <v>0</v>
      </c>
      <c r="L972" s="142">
        <v>0</v>
      </c>
      <c r="M972" s="142">
        <v>29</v>
      </c>
    </row>
    <row r="973" spans="1:13" x14ac:dyDescent="0.45">
      <c r="A973" s="142" t="s">
        <v>13055</v>
      </c>
      <c r="B973" s="142" t="s">
        <v>14595</v>
      </c>
      <c r="C973" s="142" t="s">
        <v>15847</v>
      </c>
      <c r="D973" s="142" t="s">
        <v>15848</v>
      </c>
      <c r="E973" s="142" t="s">
        <v>15849</v>
      </c>
      <c r="F973" s="142" t="s">
        <v>11356</v>
      </c>
      <c r="G973" s="142" t="s">
        <v>11355</v>
      </c>
      <c r="H973" s="142" t="s">
        <v>16823</v>
      </c>
      <c r="I973" s="142">
        <v>427</v>
      </c>
      <c r="J973" s="142">
        <v>297</v>
      </c>
      <c r="K973" s="142">
        <v>0</v>
      </c>
      <c r="L973" s="142">
        <v>112</v>
      </c>
      <c r="M973" s="142">
        <v>18</v>
      </c>
    </row>
    <row r="974" spans="1:13" x14ac:dyDescent="0.45">
      <c r="A974" s="142" t="s">
        <v>13069</v>
      </c>
      <c r="B974" s="142" t="s">
        <v>14630</v>
      </c>
      <c r="C974" s="142" t="s">
        <v>15860</v>
      </c>
      <c r="D974" s="142" t="s">
        <v>15861</v>
      </c>
      <c r="E974" s="142" t="s">
        <v>15849</v>
      </c>
      <c r="F974" s="142" t="s">
        <v>11356</v>
      </c>
      <c r="G974" s="142" t="s">
        <v>11355</v>
      </c>
      <c r="H974" s="142" t="s">
        <v>16824</v>
      </c>
      <c r="I974" s="142">
        <v>3</v>
      </c>
      <c r="J974" s="142">
        <v>3</v>
      </c>
      <c r="K974" s="142">
        <v>0</v>
      </c>
      <c r="L974" s="142">
        <v>0</v>
      </c>
      <c r="M974" s="142">
        <v>0</v>
      </c>
    </row>
    <row r="975" spans="1:13" x14ac:dyDescent="0.45">
      <c r="A975" s="142" t="s">
        <v>13104</v>
      </c>
      <c r="B975" s="142" t="s">
        <v>14622</v>
      </c>
      <c r="C975" s="142" t="s">
        <v>15847</v>
      </c>
      <c r="D975" s="142" t="s">
        <v>15848</v>
      </c>
      <c r="E975" s="142" t="s">
        <v>15849</v>
      </c>
      <c r="F975" s="142" t="s">
        <v>11356</v>
      </c>
      <c r="G975" s="142" t="s">
        <v>11355</v>
      </c>
      <c r="H975" s="142" t="s">
        <v>16825</v>
      </c>
      <c r="I975" s="142">
        <v>2990</v>
      </c>
      <c r="J975" s="142">
        <v>2520</v>
      </c>
      <c r="K975" s="142">
        <v>89</v>
      </c>
      <c r="L975" s="142">
        <v>57</v>
      </c>
      <c r="M975" s="142">
        <v>324</v>
      </c>
    </row>
    <row r="976" spans="1:13" x14ac:dyDescent="0.45">
      <c r="A976" s="142" t="s">
        <v>13342</v>
      </c>
      <c r="B976" s="142" t="s">
        <v>15040</v>
      </c>
      <c r="C976" s="142" t="s">
        <v>15860</v>
      </c>
      <c r="D976" s="142" t="s">
        <v>15861</v>
      </c>
      <c r="E976" s="142" t="s">
        <v>15849</v>
      </c>
      <c r="F976" s="142" t="s">
        <v>11356</v>
      </c>
      <c r="G976" s="142" t="s">
        <v>11355</v>
      </c>
      <c r="H976" s="142" t="s">
        <v>16826</v>
      </c>
      <c r="I976" s="142">
        <v>2</v>
      </c>
      <c r="J976" s="142">
        <v>2</v>
      </c>
      <c r="K976" s="142">
        <v>0</v>
      </c>
      <c r="L976" s="142">
        <v>0</v>
      </c>
      <c r="M976" s="142">
        <v>0</v>
      </c>
    </row>
    <row r="977" spans="1:13" x14ac:dyDescent="0.45">
      <c r="A977" s="142" t="s">
        <v>13037</v>
      </c>
      <c r="B977" s="142" t="s">
        <v>14519</v>
      </c>
      <c r="C977" s="142" t="s">
        <v>15847</v>
      </c>
      <c r="D977" s="142" t="s">
        <v>15848</v>
      </c>
      <c r="E977" s="142" t="s">
        <v>15849</v>
      </c>
      <c r="F977" s="142" t="s">
        <v>11356</v>
      </c>
      <c r="G977" s="142" t="s">
        <v>11355</v>
      </c>
      <c r="H977" s="142" t="s">
        <v>16827</v>
      </c>
      <c r="I977" s="142">
        <v>6</v>
      </c>
      <c r="J977" s="142">
        <v>0</v>
      </c>
      <c r="K977" s="142">
        <v>0</v>
      </c>
      <c r="L977" s="142">
        <v>6</v>
      </c>
      <c r="M977" s="142">
        <v>0</v>
      </c>
    </row>
    <row r="978" spans="1:13" x14ac:dyDescent="0.45">
      <c r="A978" s="142" t="s">
        <v>13009</v>
      </c>
      <c r="B978" s="142" t="s">
        <v>15256</v>
      </c>
      <c r="C978" s="142" t="s">
        <v>15847</v>
      </c>
      <c r="D978" s="142" t="s">
        <v>15848</v>
      </c>
      <c r="E978" s="142" t="s">
        <v>15849</v>
      </c>
      <c r="F978" s="142" t="s">
        <v>11356</v>
      </c>
      <c r="G978" s="142" t="s">
        <v>11355</v>
      </c>
      <c r="H978" s="142" t="s">
        <v>16828</v>
      </c>
      <c r="I978" s="142">
        <v>24</v>
      </c>
      <c r="J978" s="142">
        <v>0</v>
      </c>
      <c r="K978" s="142">
        <v>0</v>
      </c>
      <c r="L978" s="142">
        <v>24</v>
      </c>
      <c r="M978" s="142">
        <v>0</v>
      </c>
    </row>
    <row r="979" spans="1:13" x14ac:dyDescent="0.45">
      <c r="A979" s="142" t="s">
        <v>13343</v>
      </c>
      <c r="B979" s="142" t="s">
        <v>15161</v>
      </c>
      <c r="C979" s="142" t="s">
        <v>15860</v>
      </c>
      <c r="D979" s="142" t="s">
        <v>15861</v>
      </c>
      <c r="E979" s="142" t="s">
        <v>15849</v>
      </c>
      <c r="F979" s="142" t="s">
        <v>11356</v>
      </c>
      <c r="G979" s="142" t="s">
        <v>11355</v>
      </c>
      <c r="H979" s="142" t="s">
        <v>16829</v>
      </c>
      <c r="I979" s="142">
        <v>25</v>
      </c>
      <c r="J979" s="142">
        <v>25</v>
      </c>
      <c r="K979" s="142">
        <v>0</v>
      </c>
      <c r="L979" s="142">
        <v>0</v>
      </c>
      <c r="M979" s="142">
        <v>0</v>
      </c>
    </row>
    <row r="980" spans="1:13" x14ac:dyDescent="0.45">
      <c r="A980" s="142" t="s">
        <v>13011</v>
      </c>
      <c r="B980" s="142" t="s">
        <v>14695</v>
      </c>
      <c r="C980" s="142" t="s">
        <v>15847</v>
      </c>
      <c r="D980" s="142" t="s">
        <v>15848</v>
      </c>
      <c r="E980" s="142" t="s">
        <v>15849</v>
      </c>
      <c r="F980" s="142" t="s">
        <v>11356</v>
      </c>
      <c r="G980" s="142" t="s">
        <v>11355</v>
      </c>
      <c r="H980" s="142" t="s">
        <v>16830</v>
      </c>
      <c r="I980" s="142">
        <v>4</v>
      </c>
      <c r="J980" s="142">
        <v>2</v>
      </c>
      <c r="K980" s="142">
        <v>0</v>
      </c>
      <c r="L980" s="142">
        <v>0</v>
      </c>
      <c r="M980" s="142">
        <v>2</v>
      </c>
    </row>
    <row r="981" spans="1:13" x14ac:dyDescent="0.45">
      <c r="A981" s="142" t="s">
        <v>13058</v>
      </c>
      <c r="B981" s="142" t="s">
        <v>14584</v>
      </c>
      <c r="C981" s="142" t="s">
        <v>15847</v>
      </c>
      <c r="D981" s="142" t="s">
        <v>15848</v>
      </c>
      <c r="E981" s="142" t="s">
        <v>15849</v>
      </c>
      <c r="F981" s="142" t="s">
        <v>11356</v>
      </c>
      <c r="G981" s="142" t="s">
        <v>11355</v>
      </c>
      <c r="H981" s="142" t="s">
        <v>16831</v>
      </c>
      <c r="I981" s="142">
        <v>5643</v>
      </c>
      <c r="J981" s="142">
        <v>3559</v>
      </c>
      <c r="K981" s="142">
        <v>615</v>
      </c>
      <c r="L981" s="142">
        <v>918</v>
      </c>
      <c r="M981" s="142">
        <v>551</v>
      </c>
    </row>
    <row r="982" spans="1:13" x14ac:dyDescent="0.45">
      <c r="A982" s="142" t="s">
        <v>13306</v>
      </c>
      <c r="B982" s="142" t="s">
        <v>15500</v>
      </c>
      <c r="C982" s="142" t="s">
        <v>15847</v>
      </c>
      <c r="D982" s="142" t="s">
        <v>15848</v>
      </c>
      <c r="E982" s="142" t="s">
        <v>15849</v>
      </c>
      <c r="F982" s="142" t="s">
        <v>11356</v>
      </c>
      <c r="G982" s="142" t="s">
        <v>11355</v>
      </c>
      <c r="H982" s="142" t="s">
        <v>16832</v>
      </c>
      <c r="I982" s="142">
        <v>142</v>
      </c>
      <c r="J982" s="142">
        <v>0</v>
      </c>
      <c r="K982" s="142">
        <v>0</v>
      </c>
      <c r="L982" s="142">
        <v>142</v>
      </c>
      <c r="M982" s="142">
        <v>0</v>
      </c>
    </row>
    <row r="983" spans="1:13" x14ac:dyDescent="0.45">
      <c r="A983" s="142" t="s">
        <v>13138</v>
      </c>
      <c r="B983" s="142" t="s">
        <v>14590</v>
      </c>
      <c r="C983" s="142" t="s">
        <v>15860</v>
      </c>
      <c r="D983" s="142" t="s">
        <v>15861</v>
      </c>
      <c r="E983" s="142" t="s">
        <v>15849</v>
      </c>
      <c r="F983" s="142" t="s">
        <v>11356</v>
      </c>
      <c r="G983" s="142" t="s">
        <v>11355</v>
      </c>
      <c r="H983" s="142" t="s">
        <v>16833</v>
      </c>
      <c r="I983" s="142">
        <v>10</v>
      </c>
      <c r="J983" s="142">
        <v>10</v>
      </c>
      <c r="K983" s="142">
        <v>0</v>
      </c>
      <c r="L983" s="142">
        <v>0</v>
      </c>
      <c r="M983" s="142">
        <v>0</v>
      </c>
    </row>
    <row r="984" spans="1:13" x14ac:dyDescent="0.45">
      <c r="A984" s="142" t="s">
        <v>13344</v>
      </c>
      <c r="B984" s="142" t="s">
        <v>15448</v>
      </c>
      <c r="C984" s="142" t="s">
        <v>15860</v>
      </c>
      <c r="D984" s="142" t="s">
        <v>15861</v>
      </c>
      <c r="E984" s="142" t="s">
        <v>15849</v>
      </c>
      <c r="F984" s="142" t="s">
        <v>11356</v>
      </c>
      <c r="G984" s="142" t="s">
        <v>11355</v>
      </c>
      <c r="H984" s="142" t="s">
        <v>16834</v>
      </c>
      <c r="I984" s="142">
        <v>90</v>
      </c>
      <c r="J984" s="142">
        <v>90</v>
      </c>
      <c r="K984" s="142">
        <v>0</v>
      </c>
      <c r="L984" s="142">
        <v>0</v>
      </c>
      <c r="M984" s="142">
        <v>0</v>
      </c>
    </row>
    <row r="985" spans="1:13" x14ac:dyDescent="0.45">
      <c r="A985" s="142" t="s">
        <v>13220</v>
      </c>
      <c r="B985" s="142" t="s">
        <v>15505</v>
      </c>
      <c r="C985" s="142" t="s">
        <v>15860</v>
      </c>
      <c r="D985" s="142" t="s">
        <v>15861</v>
      </c>
      <c r="E985" s="142" t="s">
        <v>15849</v>
      </c>
      <c r="F985" s="142" t="s">
        <v>11356</v>
      </c>
      <c r="G985" s="142" t="s">
        <v>11355</v>
      </c>
      <c r="H985" s="142" t="s">
        <v>16835</v>
      </c>
      <c r="I985" s="142">
        <v>49</v>
      </c>
      <c r="J985" s="142">
        <v>49</v>
      </c>
      <c r="K985" s="142">
        <v>0</v>
      </c>
      <c r="L985" s="142">
        <v>0</v>
      </c>
      <c r="M985" s="142">
        <v>0</v>
      </c>
    </row>
    <row r="986" spans="1:13" x14ac:dyDescent="0.45">
      <c r="A986" s="142" t="s">
        <v>13014</v>
      </c>
      <c r="B986" s="142" t="s">
        <v>14505</v>
      </c>
      <c r="C986" s="142" t="s">
        <v>15847</v>
      </c>
      <c r="D986" s="142" t="s">
        <v>15848</v>
      </c>
      <c r="E986" s="142" t="s">
        <v>15849</v>
      </c>
      <c r="F986" s="142" t="s">
        <v>11356</v>
      </c>
      <c r="G986" s="142" t="s">
        <v>11355</v>
      </c>
      <c r="H986" s="142" t="s">
        <v>16836</v>
      </c>
      <c r="I986" s="142">
        <v>134</v>
      </c>
      <c r="J986" s="142">
        <v>77</v>
      </c>
      <c r="K986" s="142">
        <v>0</v>
      </c>
      <c r="L986" s="142">
        <v>0</v>
      </c>
      <c r="M986" s="142">
        <v>57</v>
      </c>
    </row>
    <row r="987" spans="1:13" x14ac:dyDescent="0.45">
      <c r="A987" s="142" t="s">
        <v>13042</v>
      </c>
      <c r="B987" s="142" t="s">
        <v>15489</v>
      </c>
      <c r="C987" s="142" t="s">
        <v>15847</v>
      </c>
      <c r="D987" s="142" t="s">
        <v>15848</v>
      </c>
      <c r="E987" s="142" t="s">
        <v>15849</v>
      </c>
      <c r="F987" s="142" t="s">
        <v>11356</v>
      </c>
      <c r="G987" s="142" t="s">
        <v>11355</v>
      </c>
      <c r="H987" s="142" t="s">
        <v>16837</v>
      </c>
      <c r="I987" s="142">
        <v>162</v>
      </c>
      <c r="J987" s="142">
        <v>1</v>
      </c>
      <c r="K987" s="142">
        <v>0</v>
      </c>
      <c r="L987" s="142">
        <v>161</v>
      </c>
      <c r="M987" s="142">
        <v>0</v>
      </c>
    </row>
    <row r="988" spans="1:13" x14ac:dyDescent="0.45">
      <c r="A988" s="142" t="s">
        <v>13345</v>
      </c>
      <c r="B988" s="142" t="s">
        <v>14957</v>
      </c>
      <c r="C988" s="142" t="s">
        <v>15860</v>
      </c>
      <c r="D988" s="142" t="s">
        <v>15861</v>
      </c>
      <c r="E988" s="142" t="s">
        <v>15849</v>
      </c>
      <c r="F988" s="142" t="s">
        <v>11356</v>
      </c>
      <c r="G988" s="142" t="s">
        <v>11355</v>
      </c>
      <c r="H988" s="142" t="s">
        <v>16838</v>
      </c>
      <c r="I988" s="142">
        <v>4</v>
      </c>
      <c r="J988" s="142">
        <v>4</v>
      </c>
      <c r="K988" s="142">
        <v>0</v>
      </c>
      <c r="L988" s="142">
        <v>0</v>
      </c>
      <c r="M988" s="142">
        <v>0</v>
      </c>
    </row>
    <row r="989" spans="1:13" x14ac:dyDescent="0.45">
      <c r="A989" s="142" t="s">
        <v>13016</v>
      </c>
      <c r="B989" s="142" t="s">
        <v>14535</v>
      </c>
      <c r="C989" s="142" t="s">
        <v>15860</v>
      </c>
      <c r="D989" s="142" t="s">
        <v>15861</v>
      </c>
      <c r="E989" s="142" t="s">
        <v>15849</v>
      </c>
      <c r="F989" s="142" t="s">
        <v>11356</v>
      </c>
      <c r="G989" s="142" t="s">
        <v>11355</v>
      </c>
      <c r="H989" s="142" t="s">
        <v>16839</v>
      </c>
      <c r="I989" s="142">
        <v>18</v>
      </c>
      <c r="J989" s="142">
        <v>0</v>
      </c>
      <c r="K989" s="142">
        <v>0</v>
      </c>
      <c r="L989" s="142">
        <v>18</v>
      </c>
      <c r="M989" s="142">
        <v>0</v>
      </c>
    </row>
    <row r="990" spans="1:13" x14ac:dyDescent="0.45">
      <c r="A990" s="142" t="s">
        <v>13346</v>
      </c>
      <c r="B990" s="142" t="s">
        <v>15046</v>
      </c>
      <c r="C990" s="142" t="s">
        <v>15860</v>
      </c>
      <c r="D990" s="142" t="s">
        <v>15861</v>
      </c>
      <c r="E990" s="142" t="s">
        <v>15849</v>
      </c>
      <c r="F990" s="142" t="s">
        <v>11356</v>
      </c>
      <c r="G990" s="142" t="s">
        <v>11355</v>
      </c>
      <c r="H990" s="142" t="s">
        <v>16840</v>
      </c>
      <c r="I990" s="142">
        <v>18</v>
      </c>
      <c r="J990" s="142">
        <v>18</v>
      </c>
      <c r="K990" s="142">
        <v>0</v>
      </c>
      <c r="L990" s="142">
        <v>0</v>
      </c>
      <c r="M990" s="142">
        <v>0</v>
      </c>
    </row>
    <row r="991" spans="1:13" x14ac:dyDescent="0.45">
      <c r="A991" s="142" t="s">
        <v>13286</v>
      </c>
      <c r="B991" s="142" t="s">
        <v>15342</v>
      </c>
      <c r="C991" s="142" t="s">
        <v>15847</v>
      </c>
      <c r="D991" s="142" t="s">
        <v>15848</v>
      </c>
      <c r="E991" s="142" t="s">
        <v>15849</v>
      </c>
      <c r="F991" s="142" t="s">
        <v>11356</v>
      </c>
      <c r="G991" s="142" t="s">
        <v>11355</v>
      </c>
      <c r="H991" s="142" t="s">
        <v>16841</v>
      </c>
      <c r="I991" s="142">
        <v>1</v>
      </c>
      <c r="J991" s="142">
        <v>0</v>
      </c>
      <c r="K991" s="142">
        <v>0</v>
      </c>
      <c r="L991" s="142">
        <v>0</v>
      </c>
      <c r="M991" s="142">
        <v>1</v>
      </c>
    </row>
    <row r="992" spans="1:13" x14ac:dyDescent="0.45">
      <c r="A992" s="142" t="s">
        <v>13023</v>
      </c>
      <c r="B992" s="142" t="s">
        <v>15571</v>
      </c>
      <c r="C992" s="142" t="s">
        <v>15847</v>
      </c>
      <c r="D992" s="142" t="s">
        <v>15848</v>
      </c>
      <c r="E992" s="142" t="s">
        <v>15849</v>
      </c>
      <c r="F992" s="142" t="s">
        <v>4088</v>
      </c>
      <c r="G992" s="142" t="s">
        <v>4087</v>
      </c>
      <c r="H992" s="142" t="s">
        <v>16842</v>
      </c>
      <c r="I992" s="142">
        <v>96</v>
      </c>
      <c r="J992" s="142">
        <v>0</v>
      </c>
      <c r="K992" s="142">
        <v>0</v>
      </c>
      <c r="L992" s="142">
        <v>96</v>
      </c>
      <c r="M992" s="142">
        <v>0</v>
      </c>
    </row>
    <row r="993" spans="1:13" x14ac:dyDescent="0.45">
      <c r="A993" s="142" t="s">
        <v>13348</v>
      </c>
      <c r="B993" s="142" t="s">
        <v>15458</v>
      </c>
      <c r="C993" s="142" t="s">
        <v>15847</v>
      </c>
      <c r="D993" s="142" t="s">
        <v>15848</v>
      </c>
      <c r="E993" s="142" t="s">
        <v>15849</v>
      </c>
      <c r="F993" s="142" t="s">
        <v>4088</v>
      </c>
      <c r="G993" s="142" t="s">
        <v>4087</v>
      </c>
      <c r="H993" s="142" t="s">
        <v>16843</v>
      </c>
      <c r="I993" s="142">
        <v>24</v>
      </c>
      <c r="J993" s="142">
        <v>6</v>
      </c>
      <c r="K993" s="142">
        <v>0</v>
      </c>
      <c r="L993" s="142">
        <v>0</v>
      </c>
      <c r="M993" s="142">
        <v>18</v>
      </c>
    </row>
    <row r="994" spans="1:13" x14ac:dyDescent="0.45">
      <c r="A994" s="142" t="s">
        <v>13349</v>
      </c>
      <c r="B994" s="142" t="s">
        <v>15319</v>
      </c>
      <c r="C994" s="142" t="s">
        <v>15860</v>
      </c>
      <c r="D994" s="142" t="s">
        <v>15861</v>
      </c>
      <c r="E994" s="142" t="s">
        <v>15849</v>
      </c>
      <c r="F994" s="142" t="s">
        <v>4088</v>
      </c>
      <c r="G994" s="142" t="s">
        <v>4087</v>
      </c>
      <c r="H994" s="142" t="s">
        <v>16844</v>
      </c>
      <c r="I994" s="142">
        <v>142</v>
      </c>
      <c r="J994" s="142">
        <v>135</v>
      </c>
      <c r="K994" s="142">
        <v>7</v>
      </c>
      <c r="L994" s="142">
        <v>0</v>
      </c>
      <c r="M994" s="142">
        <v>0</v>
      </c>
    </row>
    <row r="995" spans="1:13" x14ac:dyDescent="0.45">
      <c r="A995" s="142" t="s">
        <v>13083</v>
      </c>
      <c r="B995" s="142" t="s">
        <v>15440</v>
      </c>
      <c r="C995" s="142" t="s">
        <v>15847</v>
      </c>
      <c r="D995" s="142" t="s">
        <v>15848</v>
      </c>
      <c r="E995" s="142" t="s">
        <v>15849</v>
      </c>
      <c r="F995" s="142" t="s">
        <v>4088</v>
      </c>
      <c r="G995" s="142" t="s">
        <v>4087</v>
      </c>
      <c r="H995" s="142" t="s">
        <v>16845</v>
      </c>
      <c r="I995" s="142">
        <v>151</v>
      </c>
      <c r="J995" s="142">
        <v>123</v>
      </c>
      <c r="K995" s="142">
        <v>0</v>
      </c>
      <c r="L995" s="142">
        <v>0</v>
      </c>
      <c r="M995" s="142">
        <v>28</v>
      </c>
    </row>
    <row r="996" spans="1:13" x14ac:dyDescent="0.45">
      <c r="A996" s="142" t="s">
        <v>13000</v>
      </c>
      <c r="B996" s="142" t="s">
        <v>14610</v>
      </c>
      <c r="C996" s="142" t="s">
        <v>15847</v>
      </c>
      <c r="D996" s="142" t="s">
        <v>15848</v>
      </c>
      <c r="E996" s="142" t="s">
        <v>15849</v>
      </c>
      <c r="F996" s="142" t="s">
        <v>4088</v>
      </c>
      <c r="G996" s="142" t="s">
        <v>4087</v>
      </c>
      <c r="H996" s="142" t="s">
        <v>16846</v>
      </c>
      <c r="I996" s="142">
        <v>202</v>
      </c>
      <c r="J996" s="142">
        <v>124</v>
      </c>
      <c r="K996" s="142">
        <v>0</v>
      </c>
      <c r="L996" s="142">
        <v>0</v>
      </c>
      <c r="M996" s="142">
        <v>78</v>
      </c>
    </row>
    <row r="997" spans="1:13" x14ac:dyDescent="0.45">
      <c r="A997" s="142" t="s">
        <v>13086</v>
      </c>
      <c r="B997" s="142" t="s">
        <v>15380</v>
      </c>
      <c r="C997" s="142" t="s">
        <v>15847</v>
      </c>
      <c r="D997" s="142" t="s">
        <v>15848</v>
      </c>
      <c r="E997" s="142" t="s">
        <v>15849</v>
      </c>
      <c r="F997" s="142" t="s">
        <v>4088</v>
      </c>
      <c r="G997" s="142" t="s">
        <v>4087</v>
      </c>
      <c r="H997" s="142" t="s">
        <v>16847</v>
      </c>
      <c r="I997" s="142">
        <v>130</v>
      </c>
      <c r="J997" s="142">
        <v>111</v>
      </c>
      <c r="K997" s="142">
        <v>0</v>
      </c>
      <c r="L997" s="142">
        <v>5</v>
      </c>
      <c r="M997" s="142">
        <v>14</v>
      </c>
    </row>
    <row r="998" spans="1:13" x14ac:dyDescent="0.45">
      <c r="A998" s="142" t="s">
        <v>13350</v>
      </c>
      <c r="B998" s="142" t="s">
        <v>15272</v>
      </c>
      <c r="C998" s="142" t="s">
        <v>15847</v>
      </c>
      <c r="D998" s="142" t="s">
        <v>15848</v>
      </c>
      <c r="E998" s="142" t="s">
        <v>15849</v>
      </c>
      <c r="F998" s="142" t="s">
        <v>4088</v>
      </c>
      <c r="G998" s="142" t="s">
        <v>4087</v>
      </c>
      <c r="H998" s="142" t="s">
        <v>16848</v>
      </c>
      <c r="I998" s="142">
        <v>1</v>
      </c>
      <c r="J998" s="142">
        <v>0</v>
      </c>
      <c r="K998" s="142">
        <v>0</v>
      </c>
      <c r="L998" s="142">
        <v>0</v>
      </c>
      <c r="M998" s="142">
        <v>1</v>
      </c>
    </row>
    <row r="999" spans="1:13" x14ac:dyDescent="0.45">
      <c r="A999" s="142" t="s">
        <v>13028</v>
      </c>
      <c r="B999" s="142" t="s">
        <v>14462</v>
      </c>
      <c r="C999" s="142" t="s">
        <v>15847</v>
      </c>
      <c r="D999" s="142" t="s">
        <v>15848</v>
      </c>
      <c r="E999" s="142" t="s">
        <v>15849</v>
      </c>
      <c r="F999" s="142" t="s">
        <v>4088</v>
      </c>
      <c r="G999" s="142" t="s">
        <v>4087</v>
      </c>
      <c r="H999" s="142" t="s">
        <v>16849</v>
      </c>
      <c r="I999" s="142">
        <v>14</v>
      </c>
      <c r="J999" s="142">
        <v>0</v>
      </c>
      <c r="K999" s="142">
        <v>0</v>
      </c>
      <c r="L999" s="142">
        <v>0</v>
      </c>
      <c r="M999" s="142">
        <v>14</v>
      </c>
    </row>
    <row r="1000" spans="1:13" x14ac:dyDescent="0.45">
      <c r="A1000" s="142" t="s">
        <v>13002</v>
      </c>
      <c r="B1000" s="142" t="s">
        <v>15376</v>
      </c>
      <c r="C1000" s="142" t="s">
        <v>15847</v>
      </c>
      <c r="D1000" s="142" t="s">
        <v>15848</v>
      </c>
      <c r="E1000" s="142" t="s">
        <v>15849</v>
      </c>
      <c r="F1000" s="142" t="s">
        <v>4088</v>
      </c>
      <c r="G1000" s="142" t="s">
        <v>4087</v>
      </c>
      <c r="H1000" s="142" t="s">
        <v>16850</v>
      </c>
      <c r="I1000" s="142">
        <v>7</v>
      </c>
      <c r="J1000" s="142">
        <v>7</v>
      </c>
      <c r="K1000" s="142">
        <v>0</v>
      </c>
      <c r="L1000" s="142">
        <v>0</v>
      </c>
      <c r="M1000" s="142">
        <v>0</v>
      </c>
    </row>
    <row r="1001" spans="1:13" x14ac:dyDescent="0.45">
      <c r="A1001" s="142" t="s">
        <v>13076</v>
      </c>
      <c r="B1001" s="142" t="s">
        <v>14636</v>
      </c>
      <c r="C1001" s="142" t="s">
        <v>15847</v>
      </c>
      <c r="D1001" s="142" t="s">
        <v>15848</v>
      </c>
      <c r="E1001" s="142" t="s">
        <v>15849</v>
      </c>
      <c r="F1001" s="142" t="s">
        <v>4088</v>
      </c>
      <c r="G1001" s="142" t="s">
        <v>4087</v>
      </c>
      <c r="H1001" s="142" t="s">
        <v>16851</v>
      </c>
      <c r="I1001" s="142">
        <v>30</v>
      </c>
      <c r="J1001" s="142">
        <v>0</v>
      </c>
      <c r="K1001" s="142">
        <v>0</v>
      </c>
      <c r="L1001" s="142">
        <v>0</v>
      </c>
      <c r="M1001" s="142">
        <v>30</v>
      </c>
    </row>
    <row r="1002" spans="1:13" x14ac:dyDescent="0.45">
      <c r="A1002" s="142" t="s">
        <v>13005</v>
      </c>
      <c r="B1002" s="142" t="s">
        <v>15475</v>
      </c>
      <c r="C1002" s="142" t="s">
        <v>15847</v>
      </c>
      <c r="D1002" s="142" t="s">
        <v>15848</v>
      </c>
      <c r="E1002" s="142" t="s">
        <v>15849</v>
      </c>
      <c r="F1002" s="142" t="s">
        <v>4088</v>
      </c>
      <c r="G1002" s="142" t="s">
        <v>4087</v>
      </c>
      <c r="H1002" s="142" t="s">
        <v>16852</v>
      </c>
      <c r="I1002" s="142">
        <v>217</v>
      </c>
      <c r="J1002" s="142">
        <v>169</v>
      </c>
      <c r="K1002" s="142">
        <v>0</v>
      </c>
      <c r="L1002" s="142">
        <v>26</v>
      </c>
      <c r="M1002" s="142">
        <v>22</v>
      </c>
    </row>
    <row r="1003" spans="1:13" x14ac:dyDescent="0.45">
      <c r="A1003" s="142" t="s">
        <v>13007</v>
      </c>
      <c r="B1003" s="142" t="s">
        <v>15262</v>
      </c>
      <c r="C1003" s="142" t="s">
        <v>15847</v>
      </c>
      <c r="D1003" s="142" t="s">
        <v>15848</v>
      </c>
      <c r="E1003" s="142" t="s">
        <v>15849</v>
      </c>
      <c r="F1003" s="142" t="s">
        <v>4088</v>
      </c>
      <c r="G1003" s="142" t="s">
        <v>4087</v>
      </c>
      <c r="H1003" s="142" t="s">
        <v>16853</v>
      </c>
      <c r="I1003" s="142">
        <v>20</v>
      </c>
      <c r="J1003" s="142">
        <v>10</v>
      </c>
      <c r="K1003" s="142">
        <v>0</v>
      </c>
      <c r="L1003" s="142">
        <v>0</v>
      </c>
      <c r="M1003" s="142">
        <v>10</v>
      </c>
    </row>
    <row r="1004" spans="1:13" x14ac:dyDescent="0.45">
      <c r="A1004" s="142" t="s">
        <v>13103</v>
      </c>
      <c r="B1004" s="142" t="s">
        <v>14623</v>
      </c>
      <c r="C1004" s="142" t="s">
        <v>15847</v>
      </c>
      <c r="D1004" s="142" t="s">
        <v>15848</v>
      </c>
      <c r="E1004" s="142" t="s">
        <v>15849</v>
      </c>
      <c r="F1004" s="142" t="s">
        <v>4088</v>
      </c>
      <c r="G1004" s="142" t="s">
        <v>4087</v>
      </c>
      <c r="H1004" s="142" t="s">
        <v>16854</v>
      </c>
      <c r="I1004" s="142">
        <v>72</v>
      </c>
      <c r="J1004" s="142">
        <v>40</v>
      </c>
      <c r="K1004" s="142">
        <v>0</v>
      </c>
      <c r="L1004" s="142">
        <v>30</v>
      </c>
      <c r="M1004" s="142">
        <v>2</v>
      </c>
    </row>
    <row r="1005" spans="1:13" x14ac:dyDescent="0.45">
      <c r="A1005" s="142" t="s">
        <v>13008</v>
      </c>
      <c r="B1005" s="142" t="s">
        <v>15411</v>
      </c>
      <c r="C1005" s="142" t="s">
        <v>15847</v>
      </c>
      <c r="D1005" s="142" t="s">
        <v>15848</v>
      </c>
      <c r="E1005" s="142" t="s">
        <v>15849</v>
      </c>
      <c r="F1005" s="142" t="s">
        <v>4088</v>
      </c>
      <c r="G1005" s="142" t="s">
        <v>4087</v>
      </c>
      <c r="H1005" s="142" t="s">
        <v>16855</v>
      </c>
      <c r="I1005" s="142">
        <v>7</v>
      </c>
      <c r="J1005" s="142">
        <v>0</v>
      </c>
      <c r="K1005" s="142">
        <v>0</v>
      </c>
      <c r="L1005" s="142">
        <v>0</v>
      </c>
      <c r="M1005" s="142">
        <v>7</v>
      </c>
    </row>
    <row r="1006" spans="1:13" x14ac:dyDescent="0.45">
      <c r="A1006" s="142" t="s">
        <v>13104</v>
      </c>
      <c r="B1006" s="142" t="s">
        <v>14622</v>
      </c>
      <c r="C1006" s="142" t="s">
        <v>15847</v>
      </c>
      <c r="D1006" s="142" t="s">
        <v>15848</v>
      </c>
      <c r="E1006" s="142" t="s">
        <v>15849</v>
      </c>
      <c r="F1006" s="142" t="s">
        <v>4088</v>
      </c>
      <c r="G1006" s="142" t="s">
        <v>4087</v>
      </c>
      <c r="H1006" s="142" t="s">
        <v>16856</v>
      </c>
      <c r="I1006" s="142">
        <v>9</v>
      </c>
      <c r="J1006" s="142">
        <v>0</v>
      </c>
      <c r="K1006" s="142">
        <v>0</v>
      </c>
      <c r="L1006" s="142">
        <v>8</v>
      </c>
      <c r="M1006" s="142">
        <v>1</v>
      </c>
    </row>
    <row r="1007" spans="1:13" x14ac:dyDescent="0.45">
      <c r="A1007" s="142" t="s">
        <v>13090</v>
      </c>
      <c r="B1007" s="142" t="s">
        <v>15600</v>
      </c>
      <c r="C1007" s="142" t="s">
        <v>15847</v>
      </c>
      <c r="D1007" s="142" t="s">
        <v>15848</v>
      </c>
      <c r="E1007" s="142" t="s">
        <v>15849</v>
      </c>
      <c r="F1007" s="142" t="s">
        <v>4088</v>
      </c>
      <c r="G1007" s="142" t="s">
        <v>4087</v>
      </c>
      <c r="H1007" s="142" t="s">
        <v>16857</v>
      </c>
      <c r="I1007" s="142">
        <v>2</v>
      </c>
      <c r="J1007" s="142">
        <v>0</v>
      </c>
      <c r="K1007" s="142">
        <v>0</v>
      </c>
      <c r="L1007" s="142">
        <v>0</v>
      </c>
      <c r="M1007" s="142">
        <v>2</v>
      </c>
    </row>
    <row r="1008" spans="1:13" x14ac:dyDescent="0.45">
      <c r="A1008" s="142" t="s">
        <v>13039</v>
      </c>
      <c r="B1008" s="142" t="s">
        <v>14647</v>
      </c>
      <c r="C1008" s="142" t="s">
        <v>15847</v>
      </c>
      <c r="D1008" s="142" t="s">
        <v>15848</v>
      </c>
      <c r="E1008" s="142" t="s">
        <v>15849</v>
      </c>
      <c r="F1008" s="142" t="s">
        <v>4088</v>
      </c>
      <c r="G1008" s="142" t="s">
        <v>4087</v>
      </c>
      <c r="H1008" s="142" t="s">
        <v>16858</v>
      </c>
      <c r="I1008" s="142">
        <v>16</v>
      </c>
      <c r="J1008" s="142">
        <v>16</v>
      </c>
      <c r="K1008" s="142">
        <v>0</v>
      </c>
      <c r="L1008" s="142">
        <v>0</v>
      </c>
      <c r="M1008" s="142">
        <v>0</v>
      </c>
    </row>
    <row r="1009" spans="1:13" x14ac:dyDescent="0.45">
      <c r="A1009" s="142" t="s">
        <v>13078</v>
      </c>
      <c r="B1009" s="142" t="s">
        <v>15540</v>
      </c>
      <c r="C1009" s="142" t="s">
        <v>15847</v>
      </c>
      <c r="D1009" s="142" t="s">
        <v>15848</v>
      </c>
      <c r="E1009" s="142" t="s">
        <v>15849</v>
      </c>
      <c r="F1009" s="142" t="s">
        <v>4088</v>
      </c>
      <c r="G1009" s="142" t="s">
        <v>4087</v>
      </c>
      <c r="H1009" s="142" t="s">
        <v>16859</v>
      </c>
      <c r="I1009" s="142">
        <v>23</v>
      </c>
      <c r="J1009" s="142">
        <v>22</v>
      </c>
      <c r="K1009" s="142">
        <v>1</v>
      </c>
      <c r="L1009" s="142">
        <v>0</v>
      </c>
      <c r="M1009" s="142">
        <v>0</v>
      </c>
    </row>
    <row r="1010" spans="1:13" x14ac:dyDescent="0.45">
      <c r="A1010" s="142" t="s">
        <v>13009</v>
      </c>
      <c r="B1010" s="142" t="s">
        <v>15256</v>
      </c>
      <c r="C1010" s="142" t="s">
        <v>15847</v>
      </c>
      <c r="D1010" s="142" t="s">
        <v>15848</v>
      </c>
      <c r="E1010" s="142" t="s">
        <v>15849</v>
      </c>
      <c r="F1010" s="142" t="s">
        <v>4088</v>
      </c>
      <c r="G1010" s="142" t="s">
        <v>4087</v>
      </c>
      <c r="H1010" s="142" t="s">
        <v>16860</v>
      </c>
      <c r="I1010" s="142">
        <v>17</v>
      </c>
      <c r="J1010" s="142">
        <v>6</v>
      </c>
      <c r="K1010" s="142">
        <v>0</v>
      </c>
      <c r="L1010" s="142">
        <v>11</v>
      </c>
      <c r="M1010" s="142">
        <v>0</v>
      </c>
    </row>
    <row r="1011" spans="1:13" x14ac:dyDescent="0.45">
      <c r="A1011" s="142" t="s">
        <v>13041</v>
      </c>
      <c r="B1011" s="142" t="s">
        <v>14441</v>
      </c>
      <c r="C1011" s="142" t="s">
        <v>15847</v>
      </c>
      <c r="D1011" s="142" t="s">
        <v>15848</v>
      </c>
      <c r="E1011" s="142" t="s">
        <v>15849</v>
      </c>
      <c r="F1011" s="142" t="s">
        <v>4088</v>
      </c>
      <c r="G1011" s="142" t="s">
        <v>4087</v>
      </c>
      <c r="H1011" s="142" t="s">
        <v>16861</v>
      </c>
      <c r="I1011" s="142">
        <v>2</v>
      </c>
      <c r="J1011" s="142">
        <v>0</v>
      </c>
      <c r="K1011" s="142">
        <v>0</v>
      </c>
      <c r="L1011" s="142">
        <v>0</v>
      </c>
      <c r="M1011" s="142">
        <v>2</v>
      </c>
    </row>
    <row r="1012" spans="1:13" x14ac:dyDescent="0.45">
      <c r="A1012" s="142" t="s">
        <v>13106</v>
      </c>
      <c r="B1012" s="142" t="s">
        <v>15414</v>
      </c>
      <c r="C1012" s="142" t="s">
        <v>15847</v>
      </c>
      <c r="D1012" s="142" t="s">
        <v>15848</v>
      </c>
      <c r="E1012" s="142" t="s">
        <v>15849</v>
      </c>
      <c r="F1012" s="142" t="s">
        <v>4088</v>
      </c>
      <c r="G1012" s="142" t="s">
        <v>4087</v>
      </c>
      <c r="H1012" s="142" t="s">
        <v>16862</v>
      </c>
      <c r="I1012" s="142">
        <v>63</v>
      </c>
      <c r="J1012" s="142">
        <v>15</v>
      </c>
      <c r="K1012" s="142">
        <v>0</v>
      </c>
      <c r="L1012" s="142">
        <v>48</v>
      </c>
      <c r="M1012" s="142">
        <v>0</v>
      </c>
    </row>
    <row r="1013" spans="1:13" x14ac:dyDescent="0.45">
      <c r="A1013" s="142" t="s">
        <v>13351</v>
      </c>
      <c r="B1013" s="142" t="s">
        <v>14883</v>
      </c>
      <c r="C1013" s="142" t="s">
        <v>15860</v>
      </c>
      <c r="D1013" s="142" t="s">
        <v>15861</v>
      </c>
      <c r="E1013" s="142" t="s">
        <v>15849</v>
      </c>
      <c r="F1013" s="142" t="s">
        <v>4088</v>
      </c>
      <c r="G1013" s="142" t="s">
        <v>4087</v>
      </c>
      <c r="H1013" s="142" t="s">
        <v>16863</v>
      </c>
      <c r="I1013" s="142">
        <v>6</v>
      </c>
      <c r="J1013" s="142">
        <v>6</v>
      </c>
      <c r="K1013" s="142">
        <v>0</v>
      </c>
      <c r="L1013" s="142">
        <v>0</v>
      </c>
      <c r="M1013" s="142">
        <v>0</v>
      </c>
    </row>
    <row r="1014" spans="1:13" x14ac:dyDescent="0.45">
      <c r="A1014" s="142" t="s">
        <v>13108</v>
      </c>
      <c r="B1014" s="142" t="s">
        <v>15485</v>
      </c>
      <c r="C1014" s="142" t="s">
        <v>15860</v>
      </c>
      <c r="D1014" s="142" t="s">
        <v>15861</v>
      </c>
      <c r="E1014" s="142" t="s">
        <v>15849</v>
      </c>
      <c r="F1014" s="142" t="s">
        <v>4088</v>
      </c>
      <c r="G1014" s="142" t="s">
        <v>4087</v>
      </c>
      <c r="H1014" s="142" t="s">
        <v>16864</v>
      </c>
      <c r="I1014" s="142">
        <v>40</v>
      </c>
      <c r="J1014" s="142">
        <v>0</v>
      </c>
      <c r="K1014" s="142">
        <v>0</v>
      </c>
      <c r="L1014" s="142">
        <v>40</v>
      </c>
      <c r="M1014" s="142">
        <v>0</v>
      </c>
    </row>
    <row r="1015" spans="1:13" x14ac:dyDescent="0.45">
      <c r="A1015" s="142" t="s">
        <v>13353</v>
      </c>
      <c r="B1015" s="142" t="s">
        <v>15145</v>
      </c>
      <c r="C1015" s="142" t="s">
        <v>15860</v>
      </c>
      <c r="D1015" s="142" t="s">
        <v>15861</v>
      </c>
      <c r="E1015" s="142" t="s">
        <v>15849</v>
      </c>
      <c r="F1015" s="142" t="s">
        <v>1969</v>
      </c>
      <c r="G1015" s="142" t="s">
        <v>1968</v>
      </c>
      <c r="H1015" s="142" t="s">
        <v>16865</v>
      </c>
      <c r="I1015" s="142">
        <v>18</v>
      </c>
      <c r="J1015" s="142">
        <v>2</v>
      </c>
      <c r="K1015" s="142">
        <v>0</v>
      </c>
      <c r="L1015" s="142">
        <v>16</v>
      </c>
      <c r="M1015" s="142">
        <v>0</v>
      </c>
    </row>
    <row r="1016" spans="1:13" x14ac:dyDescent="0.45">
      <c r="A1016" s="142" t="s">
        <v>13023</v>
      </c>
      <c r="B1016" s="142" t="s">
        <v>15571</v>
      </c>
      <c r="C1016" s="142" t="s">
        <v>15847</v>
      </c>
      <c r="D1016" s="142" t="s">
        <v>15848</v>
      </c>
      <c r="E1016" s="142" t="s">
        <v>15849</v>
      </c>
      <c r="F1016" s="142" t="s">
        <v>1969</v>
      </c>
      <c r="G1016" s="142" t="s">
        <v>1968</v>
      </c>
      <c r="H1016" s="142" t="s">
        <v>16866</v>
      </c>
      <c r="I1016" s="142">
        <v>321</v>
      </c>
      <c r="J1016" s="142">
        <v>0</v>
      </c>
      <c r="K1016" s="142">
        <v>0</v>
      </c>
      <c r="L1016" s="142">
        <v>296</v>
      </c>
      <c r="M1016" s="142">
        <v>25</v>
      </c>
    </row>
    <row r="1017" spans="1:13" x14ac:dyDescent="0.45">
      <c r="A1017" s="142" t="s">
        <v>13082</v>
      </c>
      <c r="B1017" s="142" t="s">
        <v>14478</v>
      </c>
      <c r="C1017" s="142" t="s">
        <v>15860</v>
      </c>
      <c r="D1017" s="142" t="s">
        <v>15861</v>
      </c>
      <c r="E1017" s="142" t="s">
        <v>15849</v>
      </c>
      <c r="F1017" s="142" t="s">
        <v>1969</v>
      </c>
      <c r="G1017" s="142" t="s">
        <v>1968</v>
      </c>
      <c r="H1017" s="142" t="s">
        <v>16867</v>
      </c>
      <c r="I1017" s="142">
        <v>6</v>
      </c>
      <c r="J1017" s="142">
        <v>0</v>
      </c>
      <c r="K1017" s="142">
        <v>0</v>
      </c>
      <c r="L1017" s="142">
        <v>6</v>
      </c>
      <c r="M1017" s="142">
        <v>0</v>
      </c>
    </row>
    <row r="1018" spans="1:13" x14ac:dyDescent="0.45">
      <c r="A1018" s="142" t="s">
        <v>13354</v>
      </c>
      <c r="B1018" s="142" t="s">
        <v>15170</v>
      </c>
      <c r="C1018" s="142" t="s">
        <v>15860</v>
      </c>
      <c r="D1018" s="142" t="s">
        <v>15861</v>
      </c>
      <c r="E1018" s="142" t="s">
        <v>15849</v>
      </c>
      <c r="F1018" s="142" t="s">
        <v>1969</v>
      </c>
      <c r="G1018" s="142" t="s">
        <v>1968</v>
      </c>
      <c r="H1018" s="142" t="s">
        <v>16868</v>
      </c>
      <c r="I1018" s="142">
        <v>318</v>
      </c>
      <c r="J1018" s="142">
        <v>235</v>
      </c>
      <c r="K1018" s="142">
        <v>0</v>
      </c>
      <c r="L1018" s="142">
        <v>83</v>
      </c>
      <c r="M1018" s="142">
        <v>0</v>
      </c>
    </row>
    <row r="1019" spans="1:13" x14ac:dyDescent="0.45">
      <c r="A1019" s="142" t="s">
        <v>13065</v>
      </c>
      <c r="B1019" s="142" t="s">
        <v>14497</v>
      </c>
      <c r="C1019" s="142" t="s">
        <v>15847</v>
      </c>
      <c r="D1019" s="142" t="s">
        <v>15848</v>
      </c>
      <c r="E1019" s="142" t="s">
        <v>15849</v>
      </c>
      <c r="F1019" s="142" t="s">
        <v>1969</v>
      </c>
      <c r="G1019" s="142" t="s">
        <v>1968</v>
      </c>
      <c r="H1019" s="142" t="s">
        <v>16869</v>
      </c>
      <c r="I1019" s="142">
        <v>25</v>
      </c>
      <c r="J1019" s="142">
        <v>0</v>
      </c>
      <c r="K1019" s="142">
        <v>0</v>
      </c>
      <c r="L1019" s="142">
        <v>25</v>
      </c>
      <c r="M1019" s="142">
        <v>0</v>
      </c>
    </row>
    <row r="1020" spans="1:13" x14ac:dyDescent="0.45">
      <c r="A1020" s="142" t="s">
        <v>13355</v>
      </c>
      <c r="B1020" s="142" t="s">
        <v>15281</v>
      </c>
      <c r="C1020" s="142" t="s">
        <v>15860</v>
      </c>
      <c r="D1020" s="142" t="s">
        <v>15861</v>
      </c>
      <c r="E1020" s="142" t="s">
        <v>15849</v>
      </c>
      <c r="F1020" s="142" t="s">
        <v>1969</v>
      </c>
      <c r="G1020" s="142" t="s">
        <v>1968</v>
      </c>
      <c r="H1020" s="142" t="s">
        <v>16870</v>
      </c>
      <c r="I1020" s="142">
        <v>135</v>
      </c>
      <c r="J1020" s="142">
        <v>135</v>
      </c>
      <c r="K1020" s="142">
        <v>0</v>
      </c>
      <c r="L1020" s="142">
        <v>0</v>
      </c>
      <c r="M1020" s="142">
        <v>0</v>
      </c>
    </row>
    <row r="1021" spans="1:13" x14ac:dyDescent="0.45">
      <c r="A1021" s="142" t="s">
        <v>13356</v>
      </c>
      <c r="B1021" s="142" t="s">
        <v>15212</v>
      </c>
      <c r="C1021" s="142" t="s">
        <v>15860</v>
      </c>
      <c r="D1021" s="142" t="s">
        <v>15861</v>
      </c>
      <c r="E1021" s="142" t="s">
        <v>15849</v>
      </c>
      <c r="F1021" s="142" t="s">
        <v>1969</v>
      </c>
      <c r="G1021" s="142" t="s">
        <v>1968</v>
      </c>
      <c r="H1021" s="142" t="s">
        <v>16871</v>
      </c>
      <c r="I1021" s="142">
        <v>302</v>
      </c>
      <c r="J1021" s="142">
        <v>0</v>
      </c>
      <c r="K1021" s="142">
        <v>0</v>
      </c>
      <c r="L1021" s="142">
        <v>302</v>
      </c>
      <c r="M1021" s="142">
        <v>0</v>
      </c>
    </row>
    <row r="1022" spans="1:13" x14ac:dyDescent="0.45">
      <c r="A1022" s="142" t="s">
        <v>13357</v>
      </c>
      <c r="B1022" s="142" t="s">
        <v>14773</v>
      </c>
      <c r="C1022" s="142" t="s">
        <v>15860</v>
      </c>
      <c r="D1022" s="142" t="s">
        <v>15861</v>
      </c>
      <c r="E1022" s="142" t="s">
        <v>15849</v>
      </c>
      <c r="F1022" s="142" t="s">
        <v>1969</v>
      </c>
      <c r="G1022" s="142" t="s">
        <v>1968</v>
      </c>
      <c r="H1022" s="142" t="s">
        <v>16872</v>
      </c>
      <c r="I1022" s="142">
        <v>12</v>
      </c>
      <c r="J1022" s="142">
        <v>0</v>
      </c>
      <c r="K1022" s="142">
        <v>0</v>
      </c>
      <c r="L1022" s="142">
        <v>12</v>
      </c>
      <c r="M1022" s="142">
        <v>0</v>
      </c>
    </row>
    <row r="1023" spans="1:13" x14ac:dyDescent="0.45">
      <c r="A1023" s="142" t="s">
        <v>13358</v>
      </c>
      <c r="B1023" s="142" t="s">
        <v>15385</v>
      </c>
      <c r="C1023" s="142" t="s">
        <v>15860</v>
      </c>
      <c r="D1023" s="142" t="s">
        <v>15861</v>
      </c>
      <c r="E1023" s="142" t="s">
        <v>15849</v>
      </c>
      <c r="F1023" s="142" t="s">
        <v>1969</v>
      </c>
      <c r="G1023" s="142" t="s">
        <v>1968</v>
      </c>
      <c r="H1023" s="142" t="s">
        <v>16873</v>
      </c>
      <c r="I1023" s="142">
        <v>32</v>
      </c>
      <c r="J1023" s="142">
        <v>21</v>
      </c>
      <c r="K1023" s="142">
        <v>11</v>
      </c>
      <c r="L1023" s="142">
        <v>0</v>
      </c>
      <c r="M1023" s="142">
        <v>0</v>
      </c>
    </row>
    <row r="1024" spans="1:13" x14ac:dyDescent="0.45">
      <c r="A1024" s="142" t="s">
        <v>13000</v>
      </c>
      <c r="B1024" s="142" t="s">
        <v>14610</v>
      </c>
      <c r="C1024" s="142" t="s">
        <v>15847</v>
      </c>
      <c r="D1024" s="142" t="s">
        <v>15848</v>
      </c>
      <c r="E1024" s="142" t="s">
        <v>15849</v>
      </c>
      <c r="F1024" s="142" t="s">
        <v>1969</v>
      </c>
      <c r="G1024" s="142" t="s">
        <v>1968</v>
      </c>
      <c r="H1024" s="142" t="s">
        <v>16874</v>
      </c>
      <c r="I1024" s="142">
        <v>1265</v>
      </c>
      <c r="J1024" s="142">
        <v>956</v>
      </c>
      <c r="K1024" s="142">
        <v>0</v>
      </c>
      <c r="L1024" s="142">
        <v>72</v>
      </c>
      <c r="M1024" s="142">
        <v>237</v>
      </c>
    </row>
    <row r="1025" spans="1:13" x14ac:dyDescent="0.45">
      <c r="A1025" s="142" t="s">
        <v>13119</v>
      </c>
      <c r="B1025" s="142" t="s">
        <v>14451</v>
      </c>
      <c r="C1025" s="142" t="s">
        <v>15860</v>
      </c>
      <c r="D1025" s="142" t="s">
        <v>15861</v>
      </c>
      <c r="E1025" s="142" t="s">
        <v>15849</v>
      </c>
      <c r="F1025" s="142" t="s">
        <v>1969</v>
      </c>
      <c r="G1025" s="142" t="s">
        <v>1968</v>
      </c>
      <c r="H1025" s="142" t="s">
        <v>16875</v>
      </c>
      <c r="I1025" s="142">
        <v>2</v>
      </c>
      <c r="J1025" s="142">
        <v>0</v>
      </c>
      <c r="K1025" s="142">
        <v>0</v>
      </c>
      <c r="L1025" s="142">
        <v>2</v>
      </c>
      <c r="M1025" s="142">
        <v>0</v>
      </c>
    </row>
    <row r="1026" spans="1:13" x14ac:dyDescent="0.45">
      <c r="A1026" s="142" t="s">
        <v>13049</v>
      </c>
      <c r="B1026" s="142" t="s">
        <v>14534</v>
      </c>
      <c r="C1026" s="142" t="s">
        <v>15860</v>
      </c>
      <c r="D1026" s="142" t="s">
        <v>15861</v>
      </c>
      <c r="E1026" s="142" t="s">
        <v>15849</v>
      </c>
      <c r="F1026" s="142" t="s">
        <v>1969</v>
      </c>
      <c r="G1026" s="142" t="s">
        <v>1968</v>
      </c>
      <c r="H1026" s="142" t="s">
        <v>16876</v>
      </c>
      <c r="I1026" s="142">
        <v>19</v>
      </c>
      <c r="J1026" s="142">
        <v>0</v>
      </c>
      <c r="K1026" s="142">
        <v>0</v>
      </c>
      <c r="L1026" s="142">
        <v>19</v>
      </c>
      <c r="M1026" s="142">
        <v>0</v>
      </c>
    </row>
    <row r="1027" spans="1:13" x14ac:dyDescent="0.45">
      <c r="A1027" s="142" t="s">
        <v>13027</v>
      </c>
      <c r="B1027" s="142" t="s">
        <v>14562</v>
      </c>
      <c r="C1027" s="142" t="s">
        <v>15847</v>
      </c>
      <c r="D1027" s="142" t="s">
        <v>15848</v>
      </c>
      <c r="E1027" s="142" t="s">
        <v>15849</v>
      </c>
      <c r="F1027" s="142" t="s">
        <v>1969</v>
      </c>
      <c r="G1027" s="142" t="s">
        <v>1968</v>
      </c>
      <c r="H1027" s="142" t="s">
        <v>16877</v>
      </c>
      <c r="I1027" s="142">
        <v>23</v>
      </c>
      <c r="J1027" s="142">
        <v>0</v>
      </c>
      <c r="K1027" s="142">
        <v>0</v>
      </c>
      <c r="L1027" s="142">
        <v>23</v>
      </c>
      <c r="M1027" s="142">
        <v>0</v>
      </c>
    </row>
    <row r="1028" spans="1:13" x14ac:dyDescent="0.45">
      <c r="A1028" s="142" t="s">
        <v>13359</v>
      </c>
      <c r="B1028" s="142" t="s">
        <v>14671</v>
      </c>
      <c r="C1028" s="142" t="s">
        <v>15860</v>
      </c>
      <c r="D1028" s="142" t="s">
        <v>15861</v>
      </c>
      <c r="E1028" s="142" t="s">
        <v>15849</v>
      </c>
      <c r="F1028" s="142" t="s">
        <v>1969</v>
      </c>
      <c r="G1028" s="142" t="s">
        <v>1968</v>
      </c>
      <c r="H1028" s="142" t="s">
        <v>16878</v>
      </c>
      <c r="I1028" s="142">
        <v>10</v>
      </c>
      <c r="J1028" s="142">
        <v>10</v>
      </c>
      <c r="K1028" s="142">
        <v>0</v>
      </c>
      <c r="L1028" s="142">
        <v>0</v>
      </c>
      <c r="M1028" s="142">
        <v>0</v>
      </c>
    </row>
    <row r="1029" spans="1:13" x14ac:dyDescent="0.45">
      <c r="A1029" s="142" t="s">
        <v>13002</v>
      </c>
      <c r="B1029" s="142" t="s">
        <v>15376</v>
      </c>
      <c r="C1029" s="142" t="s">
        <v>15847</v>
      </c>
      <c r="D1029" s="142" t="s">
        <v>15848</v>
      </c>
      <c r="E1029" s="142" t="s">
        <v>15849</v>
      </c>
      <c r="F1029" s="142" t="s">
        <v>1969</v>
      </c>
      <c r="G1029" s="142" t="s">
        <v>1968</v>
      </c>
      <c r="H1029" s="142" t="s">
        <v>16879</v>
      </c>
      <c r="I1029" s="142">
        <v>6</v>
      </c>
      <c r="J1029" s="142">
        <v>0</v>
      </c>
      <c r="K1029" s="142">
        <v>0</v>
      </c>
      <c r="L1029" s="142">
        <v>6</v>
      </c>
      <c r="M1029" s="142">
        <v>0</v>
      </c>
    </row>
    <row r="1030" spans="1:13" x14ac:dyDescent="0.45">
      <c r="A1030" s="142" t="s">
        <v>13004</v>
      </c>
      <c r="B1030" s="142" t="s">
        <v>15492</v>
      </c>
      <c r="C1030" s="142" t="s">
        <v>15847</v>
      </c>
      <c r="D1030" s="142" t="s">
        <v>15848</v>
      </c>
      <c r="E1030" s="142" t="s">
        <v>15849</v>
      </c>
      <c r="F1030" s="142" t="s">
        <v>1969</v>
      </c>
      <c r="G1030" s="142" t="s">
        <v>1968</v>
      </c>
      <c r="H1030" s="142" t="s">
        <v>16880</v>
      </c>
      <c r="I1030" s="142">
        <v>1365</v>
      </c>
      <c r="J1030" s="142">
        <v>859</v>
      </c>
      <c r="K1030" s="142">
        <v>0</v>
      </c>
      <c r="L1030" s="142">
        <v>108</v>
      </c>
      <c r="M1030" s="142">
        <v>398</v>
      </c>
    </row>
    <row r="1031" spans="1:13" x14ac:dyDescent="0.45">
      <c r="A1031" s="142" t="s">
        <v>13125</v>
      </c>
      <c r="B1031" s="142" t="s">
        <v>15515</v>
      </c>
      <c r="C1031" s="142" t="s">
        <v>15860</v>
      </c>
      <c r="D1031" s="142" t="s">
        <v>15861</v>
      </c>
      <c r="E1031" s="142" t="s">
        <v>15849</v>
      </c>
      <c r="F1031" s="142" t="s">
        <v>1969</v>
      </c>
      <c r="G1031" s="142" t="s">
        <v>1968</v>
      </c>
      <c r="H1031" s="142" t="s">
        <v>16881</v>
      </c>
      <c r="I1031" s="142">
        <v>19</v>
      </c>
      <c r="J1031" s="142">
        <v>0</v>
      </c>
      <c r="K1031" s="142">
        <v>0</v>
      </c>
      <c r="L1031" s="142">
        <v>19</v>
      </c>
      <c r="M1031" s="142">
        <v>0</v>
      </c>
    </row>
    <row r="1032" spans="1:13" x14ac:dyDescent="0.45">
      <c r="A1032" s="142" t="s">
        <v>13178</v>
      </c>
      <c r="B1032" s="142" t="s">
        <v>14683</v>
      </c>
      <c r="C1032" s="142" t="s">
        <v>15847</v>
      </c>
      <c r="D1032" s="142" t="s">
        <v>15848</v>
      </c>
      <c r="E1032" s="142" t="s">
        <v>15849</v>
      </c>
      <c r="F1032" s="142" t="s">
        <v>1969</v>
      </c>
      <c r="G1032" s="142" t="s">
        <v>1968</v>
      </c>
      <c r="H1032" s="142" t="s">
        <v>16882</v>
      </c>
      <c r="I1032" s="142">
        <v>18</v>
      </c>
      <c r="J1032" s="142">
        <v>18</v>
      </c>
      <c r="K1032" s="142">
        <v>0</v>
      </c>
      <c r="L1032" s="142">
        <v>0</v>
      </c>
      <c r="M1032" s="142">
        <v>0</v>
      </c>
    </row>
    <row r="1033" spans="1:13" x14ac:dyDescent="0.45">
      <c r="A1033" s="142" t="s">
        <v>13076</v>
      </c>
      <c r="B1033" s="142" t="s">
        <v>14636</v>
      </c>
      <c r="C1033" s="142" t="s">
        <v>15847</v>
      </c>
      <c r="D1033" s="142" t="s">
        <v>15848</v>
      </c>
      <c r="E1033" s="142" t="s">
        <v>15849</v>
      </c>
      <c r="F1033" s="142" t="s">
        <v>1969</v>
      </c>
      <c r="G1033" s="142" t="s">
        <v>1968</v>
      </c>
      <c r="H1033" s="142" t="s">
        <v>16883</v>
      </c>
      <c r="I1033" s="142">
        <v>15</v>
      </c>
      <c r="J1033" s="142">
        <v>0</v>
      </c>
      <c r="K1033" s="142">
        <v>0</v>
      </c>
      <c r="L1033" s="142">
        <v>0</v>
      </c>
      <c r="M1033" s="142">
        <v>15</v>
      </c>
    </row>
    <row r="1034" spans="1:13" x14ac:dyDescent="0.45">
      <c r="A1034" s="142" t="s">
        <v>13005</v>
      </c>
      <c r="B1034" s="142" t="s">
        <v>15475</v>
      </c>
      <c r="C1034" s="142" t="s">
        <v>15847</v>
      </c>
      <c r="D1034" s="142" t="s">
        <v>15848</v>
      </c>
      <c r="E1034" s="142" t="s">
        <v>15849</v>
      </c>
      <c r="F1034" s="142" t="s">
        <v>1969</v>
      </c>
      <c r="G1034" s="142" t="s">
        <v>1968</v>
      </c>
      <c r="H1034" s="142" t="s">
        <v>16884</v>
      </c>
      <c r="I1034" s="142">
        <v>8</v>
      </c>
      <c r="J1034" s="142">
        <v>0</v>
      </c>
      <c r="K1034" s="142">
        <v>0</v>
      </c>
      <c r="L1034" s="142">
        <v>0</v>
      </c>
      <c r="M1034" s="142">
        <v>8</v>
      </c>
    </row>
    <row r="1035" spans="1:13" x14ac:dyDescent="0.45">
      <c r="A1035" s="142" t="s">
        <v>13029</v>
      </c>
      <c r="B1035" s="142" t="s">
        <v>14665</v>
      </c>
      <c r="C1035" s="142" t="s">
        <v>15847</v>
      </c>
      <c r="D1035" s="142" t="s">
        <v>15848</v>
      </c>
      <c r="E1035" s="142" t="s">
        <v>15849</v>
      </c>
      <c r="F1035" s="142" t="s">
        <v>1969</v>
      </c>
      <c r="G1035" s="142" t="s">
        <v>1968</v>
      </c>
      <c r="H1035" s="142" t="s">
        <v>16885</v>
      </c>
      <c r="I1035" s="142">
        <v>44</v>
      </c>
      <c r="J1035" s="142">
        <v>0</v>
      </c>
      <c r="K1035" s="142">
        <v>0</v>
      </c>
      <c r="L1035" s="142">
        <v>0</v>
      </c>
      <c r="M1035" s="142">
        <v>44</v>
      </c>
    </row>
    <row r="1036" spans="1:13" x14ac:dyDescent="0.45">
      <c r="A1036" s="142" t="s">
        <v>13006</v>
      </c>
      <c r="B1036" s="142" t="s">
        <v>15288</v>
      </c>
      <c r="C1036" s="142" t="s">
        <v>15847</v>
      </c>
      <c r="D1036" s="142" t="s">
        <v>15848</v>
      </c>
      <c r="E1036" s="142" t="s">
        <v>15849</v>
      </c>
      <c r="F1036" s="142" t="s">
        <v>1969</v>
      </c>
      <c r="G1036" s="142" t="s">
        <v>1968</v>
      </c>
      <c r="H1036" s="142" t="s">
        <v>16886</v>
      </c>
      <c r="I1036" s="142">
        <v>48</v>
      </c>
      <c r="J1036" s="142">
        <v>4</v>
      </c>
      <c r="K1036" s="142">
        <v>44</v>
      </c>
      <c r="L1036" s="142">
        <v>0</v>
      </c>
      <c r="M1036" s="142">
        <v>0</v>
      </c>
    </row>
    <row r="1037" spans="1:13" x14ac:dyDescent="0.45">
      <c r="A1037" s="142" t="s">
        <v>13007</v>
      </c>
      <c r="B1037" s="142" t="s">
        <v>15262</v>
      </c>
      <c r="C1037" s="142" t="s">
        <v>15847</v>
      </c>
      <c r="D1037" s="142" t="s">
        <v>15848</v>
      </c>
      <c r="E1037" s="142" t="s">
        <v>15849</v>
      </c>
      <c r="F1037" s="142" t="s">
        <v>1969</v>
      </c>
      <c r="G1037" s="142" t="s">
        <v>1968</v>
      </c>
      <c r="H1037" s="142" t="s">
        <v>16887</v>
      </c>
      <c r="I1037" s="142">
        <v>351</v>
      </c>
      <c r="J1037" s="142">
        <v>200</v>
      </c>
      <c r="K1037" s="142">
        <v>0</v>
      </c>
      <c r="L1037" s="142">
        <v>55</v>
      </c>
      <c r="M1037" s="142">
        <v>96</v>
      </c>
    </row>
    <row r="1038" spans="1:13" x14ac:dyDescent="0.45">
      <c r="A1038" s="142" t="s">
        <v>13054</v>
      </c>
      <c r="B1038" s="142" t="s">
        <v>15604</v>
      </c>
      <c r="C1038" s="142" t="s">
        <v>15847</v>
      </c>
      <c r="D1038" s="142" t="s">
        <v>15848</v>
      </c>
      <c r="E1038" s="142" t="s">
        <v>15849</v>
      </c>
      <c r="F1038" s="142" t="s">
        <v>1969</v>
      </c>
      <c r="G1038" s="142" t="s">
        <v>1968</v>
      </c>
      <c r="H1038" s="142" t="s">
        <v>16888</v>
      </c>
      <c r="I1038" s="142">
        <v>1</v>
      </c>
      <c r="J1038" s="142">
        <v>0</v>
      </c>
      <c r="K1038" s="142">
        <v>0</v>
      </c>
      <c r="L1038" s="142">
        <v>0</v>
      </c>
      <c r="M1038" s="142">
        <v>1</v>
      </c>
    </row>
    <row r="1039" spans="1:13" x14ac:dyDescent="0.45">
      <c r="A1039" s="142" t="s">
        <v>13008</v>
      </c>
      <c r="B1039" s="142" t="s">
        <v>15411</v>
      </c>
      <c r="C1039" s="142" t="s">
        <v>15847</v>
      </c>
      <c r="D1039" s="142" t="s">
        <v>15848</v>
      </c>
      <c r="E1039" s="142" t="s">
        <v>15849</v>
      </c>
      <c r="F1039" s="142" t="s">
        <v>1969</v>
      </c>
      <c r="G1039" s="142" t="s">
        <v>1968</v>
      </c>
      <c r="H1039" s="142" t="s">
        <v>16889</v>
      </c>
      <c r="I1039" s="142">
        <v>43</v>
      </c>
      <c r="J1039" s="142">
        <v>0</v>
      </c>
      <c r="K1039" s="142">
        <v>0</v>
      </c>
      <c r="L1039" s="142">
        <v>0</v>
      </c>
      <c r="M1039" s="142">
        <v>43</v>
      </c>
    </row>
    <row r="1040" spans="1:13" x14ac:dyDescent="0.45">
      <c r="A1040" s="142" t="s">
        <v>13077</v>
      </c>
      <c r="B1040" s="142" t="s">
        <v>15407</v>
      </c>
      <c r="C1040" s="142" t="s">
        <v>15847</v>
      </c>
      <c r="D1040" s="142" t="s">
        <v>15848</v>
      </c>
      <c r="E1040" s="142" t="s">
        <v>15849</v>
      </c>
      <c r="F1040" s="142" t="s">
        <v>1969</v>
      </c>
      <c r="G1040" s="142" t="s">
        <v>1968</v>
      </c>
      <c r="H1040" s="142" t="s">
        <v>16890</v>
      </c>
      <c r="I1040" s="142">
        <v>218</v>
      </c>
      <c r="J1040" s="142">
        <v>214</v>
      </c>
      <c r="K1040" s="142">
        <v>0</v>
      </c>
      <c r="L1040" s="142">
        <v>4</v>
      </c>
      <c r="M1040" s="142">
        <v>0</v>
      </c>
    </row>
    <row r="1041" spans="1:13" x14ac:dyDescent="0.45">
      <c r="A1041" s="142" t="s">
        <v>13133</v>
      </c>
      <c r="B1041" s="142" t="s">
        <v>15291</v>
      </c>
      <c r="C1041" s="142" t="s">
        <v>15847</v>
      </c>
      <c r="D1041" s="142" t="s">
        <v>15848</v>
      </c>
      <c r="E1041" s="142" t="s">
        <v>15849</v>
      </c>
      <c r="F1041" s="142" t="s">
        <v>1969</v>
      </c>
      <c r="G1041" s="142" t="s">
        <v>1968</v>
      </c>
      <c r="H1041" s="142" t="s">
        <v>16891</v>
      </c>
      <c r="I1041" s="142">
        <v>1</v>
      </c>
      <c r="J1041" s="142">
        <v>0</v>
      </c>
      <c r="K1041" s="142">
        <v>0</v>
      </c>
      <c r="L1041" s="142">
        <v>0</v>
      </c>
      <c r="M1041" s="142">
        <v>1</v>
      </c>
    </row>
    <row r="1042" spans="1:13" x14ac:dyDescent="0.45">
      <c r="A1042" s="142" t="s">
        <v>13033</v>
      </c>
      <c r="B1042" s="142" t="s">
        <v>15276</v>
      </c>
      <c r="C1042" s="142" t="s">
        <v>15847</v>
      </c>
      <c r="D1042" s="142" t="s">
        <v>15848</v>
      </c>
      <c r="E1042" s="142" t="s">
        <v>15849</v>
      </c>
      <c r="F1042" s="142" t="s">
        <v>1969</v>
      </c>
      <c r="G1042" s="142" t="s">
        <v>1968</v>
      </c>
      <c r="H1042" s="142" t="s">
        <v>16892</v>
      </c>
      <c r="I1042" s="142">
        <v>71</v>
      </c>
      <c r="J1042" s="142">
        <v>71</v>
      </c>
      <c r="K1042" s="142">
        <v>0</v>
      </c>
      <c r="L1042" s="142">
        <v>0</v>
      </c>
      <c r="M1042" s="142">
        <v>0</v>
      </c>
    </row>
    <row r="1043" spans="1:13" x14ac:dyDescent="0.45">
      <c r="A1043" s="142" t="s">
        <v>13360</v>
      </c>
      <c r="B1043" s="142" t="s">
        <v>15236</v>
      </c>
      <c r="C1043" s="142" t="s">
        <v>15860</v>
      </c>
      <c r="D1043" s="142" t="s">
        <v>15861</v>
      </c>
      <c r="E1043" s="142" t="s">
        <v>15849</v>
      </c>
      <c r="F1043" s="142" t="s">
        <v>1969</v>
      </c>
      <c r="G1043" s="142" t="s">
        <v>1968</v>
      </c>
      <c r="H1043" s="142" t="s">
        <v>16893</v>
      </c>
      <c r="I1043" s="142">
        <v>44</v>
      </c>
      <c r="J1043" s="142">
        <v>0</v>
      </c>
      <c r="K1043" s="142">
        <v>0</v>
      </c>
      <c r="L1043" s="142">
        <v>44</v>
      </c>
      <c r="M1043" s="142">
        <v>0</v>
      </c>
    </row>
    <row r="1044" spans="1:13" x14ac:dyDescent="0.45">
      <c r="A1044" s="142" t="s">
        <v>13037</v>
      </c>
      <c r="B1044" s="142" t="s">
        <v>14519</v>
      </c>
      <c r="C1044" s="142" t="s">
        <v>15847</v>
      </c>
      <c r="D1044" s="142" t="s">
        <v>15848</v>
      </c>
      <c r="E1044" s="142" t="s">
        <v>15849</v>
      </c>
      <c r="F1044" s="142" t="s">
        <v>1969</v>
      </c>
      <c r="G1044" s="142" t="s">
        <v>1968</v>
      </c>
      <c r="H1044" s="142" t="s">
        <v>16894</v>
      </c>
      <c r="I1044" s="142">
        <v>16</v>
      </c>
      <c r="J1044" s="142">
        <v>0</v>
      </c>
      <c r="K1044" s="142">
        <v>0</v>
      </c>
      <c r="L1044" s="142">
        <v>16</v>
      </c>
      <c r="M1044" s="142">
        <v>0</v>
      </c>
    </row>
    <row r="1045" spans="1:13" x14ac:dyDescent="0.45">
      <c r="A1045" s="142" t="s">
        <v>13091</v>
      </c>
      <c r="B1045" s="142" t="s">
        <v>14473</v>
      </c>
      <c r="C1045" s="142" t="s">
        <v>15847</v>
      </c>
      <c r="D1045" s="142" t="s">
        <v>15848</v>
      </c>
      <c r="E1045" s="142" t="s">
        <v>15849</v>
      </c>
      <c r="F1045" s="142" t="s">
        <v>1969</v>
      </c>
      <c r="G1045" s="142" t="s">
        <v>1968</v>
      </c>
      <c r="H1045" s="142" t="s">
        <v>16895</v>
      </c>
      <c r="I1045" s="142">
        <v>16</v>
      </c>
      <c r="J1045" s="142">
        <v>1</v>
      </c>
      <c r="K1045" s="142">
        <v>0</v>
      </c>
      <c r="L1045" s="142">
        <v>15</v>
      </c>
      <c r="M1045" s="142">
        <v>0</v>
      </c>
    </row>
    <row r="1046" spans="1:13" x14ac:dyDescent="0.45">
      <c r="A1046" s="142" t="s">
        <v>13009</v>
      </c>
      <c r="B1046" s="142" t="s">
        <v>15256</v>
      </c>
      <c r="C1046" s="142" t="s">
        <v>15847</v>
      </c>
      <c r="D1046" s="142" t="s">
        <v>15848</v>
      </c>
      <c r="E1046" s="142" t="s">
        <v>15849</v>
      </c>
      <c r="F1046" s="142" t="s">
        <v>1969</v>
      </c>
      <c r="G1046" s="142" t="s">
        <v>1968</v>
      </c>
      <c r="H1046" s="142" t="s">
        <v>16896</v>
      </c>
      <c r="I1046" s="142">
        <v>647</v>
      </c>
      <c r="J1046" s="142">
        <v>383</v>
      </c>
      <c r="K1046" s="142">
        <v>0</v>
      </c>
      <c r="L1046" s="142">
        <v>247</v>
      </c>
      <c r="M1046" s="142">
        <v>17</v>
      </c>
    </row>
    <row r="1047" spans="1:13" x14ac:dyDescent="0.45">
      <c r="A1047" s="142" t="s">
        <v>13056</v>
      </c>
      <c r="B1047" s="142" t="s">
        <v>15435</v>
      </c>
      <c r="C1047" s="142" t="s">
        <v>15847</v>
      </c>
      <c r="D1047" s="142" t="s">
        <v>15848</v>
      </c>
      <c r="E1047" s="142" t="s">
        <v>15849</v>
      </c>
      <c r="F1047" s="142" t="s">
        <v>1969</v>
      </c>
      <c r="G1047" s="142" t="s">
        <v>1968</v>
      </c>
      <c r="H1047" s="142" t="s">
        <v>16897</v>
      </c>
      <c r="I1047" s="142">
        <v>30</v>
      </c>
      <c r="J1047" s="142">
        <v>17</v>
      </c>
      <c r="K1047" s="142">
        <v>0</v>
      </c>
      <c r="L1047" s="142">
        <v>13</v>
      </c>
      <c r="M1047" s="142">
        <v>0</v>
      </c>
    </row>
    <row r="1048" spans="1:13" x14ac:dyDescent="0.45">
      <c r="A1048" s="142" t="s">
        <v>13010</v>
      </c>
      <c r="B1048" s="142" t="s">
        <v>15349</v>
      </c>
      <c r="C1048" s="142" t="s">
        <v>15860</v>
      </c>
      <c r="D1048" s="142" t="s">
        <v>15861</v>
      </c>
      <c r="E1048" s="142" t="s">
        <v>15849</v>
      </c>
      <c r="F1048" s="142" t="s">
        <v>1969</v>
      </c>
      <c r="G1048" s="142" t="s">
        <v>1968</v>
      </c>
      <c r="H1048" s="142" t="s">
        <v>16898</v>
      </c>
      <c r="I1048" s="142">
        <v>160</v>
      </c>
      <c r="J1048" s="142">
        <v>0</v>
      </c>
      <c r="K1048" s="142">
        <v>0</v>
      </c>
      <c r="L1048" s="142">
        <v>160</v>
      </c>
      <c r="M1048" s="142">
        <v>0</v>
      </c>
    </row>
    <row r="1049" spans="1:13" x14ac:dyDescent="0.45">
      <c r="A1049" s="142" t="s">
        <v>13011</v>
      </c>
      <c r="B1049" s="142" t="s">
        <v>14695</v>
      </c>
      <c r="C1049" s="142" t="s">
        <v>15847</v>
      </c>
      <c r="D1049" s="142" t="s">
        <v>15848</v>
      </c>
      <c r="E1049" s="142" t="s">
        <v>15849</v>
      </c>
      <c r="F1049" s="142" t="s">
        <v>1969</v>
      </c>
      <c r="G1049" s="142" t="s">
        <v>1968</v>
      </c>
      <c r="H1049" s="142" t="s">
        <v>16899</v>
      </c>
      <c r="I1049" s="142">
        <v>1640</v>
      </c>
      <c r="J1049" s="142">
        <v>1098</v>
      </c>
      <c r="K1049" s="142">
        <v>0</v>
      </c>
      <c r="L1049" s="142">
        <v>180</v>
      </c>
      <c r="M1049" s="142">
        <v>362</v>
      </c>
    </row>
    <row r="1050" spans="1:13" x14ac:dyDescent="0.45">
      <c r="A1050" s="142" t="s">
        <v>13041</v>
      </c>
      <c r="B1050" s="142" t="s">
        <v>14441</v>
      </c>
      <c r="C1050" s="142" t="s">
        <v>15847</v>
      </c>
      <c r="D1050" s="142" t="s">
        <v>15848</v>
      </c>
      <c r="E1050" s="142" t="s">
        <v>15849</v>
      </c>
      <c r="F1050" s="142" t="s">
        <v>1969</v>
      </c>
      <c r="G1050" s="142" t="s">
        <v>1968</v>
      </c>
      <c r="H1050" s="142" t="s">
        <v>16900</v>
      </c>
      <c r="I1050" s="142">
        <v>7</v>
      </c>
      <c r="J1050" s="142">
        <v>0</v>
      </c>
      <c r="K1050" s="142">
        <v>0</v>
      </c>
      <c r="L1050" s="142">
        <v>0</v>
      </c>
      <c r="M1050" s="142">
        <v>7</v>
      </c>
    </row>
    <row r="1051" spans="1:13" x14ac:dyDescent="0.45">
      <c r="A1051" s="142" t="s">
        <v>13306</v>
      </c>
      <c r="B1051" s="142" t="s">
        <v>15500</v>
      </c>
      <c r="C1051" s="142" t="s">
        <v>15847</v>
      </c>
      <c r="D1051" s="142" t="s">
        <v>15848</v>
      </c>
      <c r="E1051" s="142" t="s">
        <v>15849</v>
      </c>
      <c r="F1051" s="142" t="s">
        <v>1969</v>
      </c>
      <c r="G1051" s="142" t="s">
        <v>1968</v>
      </c>
      <c r="H1051" s="142" t="s">
        <v>16901</v>
      </c>
      <c r="I1051" s="142">
        <v>31</v>
      </c>
      <c r="J1051" s="142">
        <v>23</v>
      </c>
      <c r="K1051" s="142">
        <v>8</v>
      </c>
      <c r="L1051" s="142">
        <v>0</v>
      </c>
      <c r="M1051" s="142">
        <v>0</v>
      </c>
    </row>
    <row r="1052" spans="1:13" x14ac:dyDescent="0.45">
      <c r="A1052" s="142" t="s">
        <v>13012</v>
      </c>
      <c r="B1052" s="142" t="s">
        <v>15337</v>
      </c>
      <c r="C1052" s="142" t="s">
        <v>15847</v>
      </c>
      <c r="D1052" s="142" t="s">
        <v>15848</v>
      </c>
      <c r="E1052" s="142" t="s">
        <v>15849</v>
      </c>
      <c r="F1052" s="142" t="s">
        <v>1969</v>
      </c>
      <c r="G1052" s="142" t="s">
        <v>1968</v>
      </c>
      <c r="H1052" s="142" t="s">
        <v>16902</v>
      </c>
      <c r="I1052" s="142">
        <v>84</v>
      </c>
      <c r="J1052" s="142">
        <v>46</v>
      </c>
      <c r="K1052" s="142">
        <v>0</v>
      </c>
      <c r="L1052" s="142">
        <v>29</v>
      </c>
      <c r="M1052" s="142">
        <v>9</v>
      </c>
    </row>
    <row r="1053" spans="1:13" x14ac:dyDescent="0.45">
      <c r="A1053" s="142" t="s">
        <v>13361</v>
      </c>
      <c r="B1053" s="142" t="s">
        <v>15493</v>
      </c>
      <c r="C1053" s="142" t="s">
        <v>15860</v>
      </c>
      <c r="D1053" s="142" t="s">
        <v>15861</v>
      </c>
      <c r="E1053" s="142" t="s">
        <v>15849</v>
      </c>
      <c r="F1053" s="142" t="s">
        <v>1969</v>
      </c>
      <c r="G1053" s="142" t="s">
        <v>1968</v>
      </c>
      <c r="H1053" s="142" t="s">
        <v>16903</v>
      </c>
      <c r="I1053" s="142">
        <v>61</v>
      </c>
      <c r="J1053" s="142">
        <v>0</v>
      </c>
      <c r="K1053" s="142">
        <v>0</v>
      </c>
      <c r="L1053" s="142">
        <v>61</v>
      </c>
      <c r="M1053" s="142">
        <v>0</v>
      </c>
    </row>
    <row r="1054" spans="1:13" x14ac:dyDescent="0.45">
      <c r="A1054" s="142" t="s">
        <v>13362</v>
      </c>
      <c r="B1054" s="142" t="s">
        <v>15532</v>
      </c>
      <c r="C1054" s="142" t="s">
        <v>15860</v>
      </c>
      <c r="D1054" s="142" t="s">
        <v>15861</v>
      </c>
      <c r="E1054" s="142" t="s">
        <v>15849</v>
      </c>
      <c r="F1054" s="142" t="s">
        <v>1969</v>
      </c>
      <c r="G1054" s="142" t="s">
        <v>1968</v>
      </c>
      <c r="H1054" s="142" t="s">
        <v>16904</v>
      </c>
      <c r="I1054" s="142">
        <v>14</v>
      </c>
      <c r="J1054" s="142">
        <v>14</v>
      </c>
      <c r="K1054" s="142">
        <v>0</v>
      </c>
      <c r="L1054" s="142">
        <v>0</v>
      </c>
      <c r="M1054" s="142">
        <v>0</v>
      </c>
    </row>
    <row r="1055" spans="1:13" x14ac:dyDescent="0.45">
      <c r="A1055" s="142" t="s">
        <v>13220</v>
      </c>
      <c r="B1055" s="142" t="s">
        <v>15505</v>
      </c>
      <c r="C1055" s="142" t="s">
        <v>15860</v>
      </c>
      <c r="D1055" s="142" t="s">
        <v>15861</v>
      </c>
      <c r="E1055" s="142" t="s">
        <v>15849</v>
      </c>
      <c r="F1055" s="142" t="s">
        <v>1969</v>
      </c>
      <c r="G1055" s="142" t="s">
        <v>1968</v>
      </c>
      <c r="H1055" s="142" t="s">
        <v>16905</v>
      </c>
      <c r="I1055" s="142">
        <v>27</v>
      </c>
      <c r="J1055" s="142">
        <v>0</v>
      </c>
      <c r="K1055" s="142">
        <v>0</v>
      </c>
      <c r="L1055" s="142">
        <v>27</v>
      </c>
      <c r="M1055" s="142">
        <v>0</v>
      </c>
    </row>
    <row r="1056" spans="1:13" x14ac:dyDescent="0.45">
      <c r="A1056" s="142" t="s">
        <v>13013</v>
      </c>
      <c r="B1056" s="142" t="s">
        <v>15347</v>
      </c>
      <c r="C1056" s="142" t="s">
        <v>15860</v>
      </c>
      <c r="D1056" s="142" t="s">
        <v>15861</v>
      </c>
      <c r="E1056" s="142" t="s">
        <v>15849</v>
      </c>
      <c r="F1056" s="142" t="s">
        <v>1969</v>
      </c>
      <c r="G1056" s="142" t="s">
        <v>1968</v>
      </c>
      <c r="H1056" s="142" t="s">
        <v>16906</v>
      </c>
      <c r="I1056" s="142">
        <v>15</v>
      </c>
      <c r="J1056" s="142">
        <v>15</v>
      </c>
      <c r="K1056" s="142">
        <v>0</v>
      </c>
      <c r="L1056" s="142">
        <v>0</v>
      </c>
      <c r="M1056" s="142">
        <v>0</v>
      </c>
    </row>
    <row r="1057" spans="1:13" x14ac:dyDescent="0.45">
      <c r="A1057" s="142" t="s">
        <v>13014</v>
      </c>
      <c r="B1057" s="142" t="s">
        <v>14505</v>
      </c>
      <c r="C1057" s="142" t="s">
        <v>15847</v>
      </c>
      <c r="D1057" s="142" t="s">
        <v>15848</v>
      </c>
      <c r="E1057" s="142" t="s">
        <v>15849</v>
      </c>
      <c r="F1057" s="142" t="s">
        <v>1969</v>
      </c>
      <c r="G1057" s="142" t="s">
        <v>1968</v>
      </c>
      <c r="H1057" s="142" t="s">
        <v>16907</v>
      </c>
      <c r="I1057" s="142">
        <v>653</v>
      </c>
      <c r="J1057" s="142">
        <v>547</v>
      </c>
      <c r="K1057" s="142">
        <v>0</v>
      </c>
      <c r="L1057" s="142">
        <v>19</v>
      </c>
      <c r="M1057" s="142">
        <v>87</v>
      </c>
    </row>
    <row r="1058" spans="1:13" x14ac:dyDescent="0.45">
      <c r="A1058" s="142" t="s">
        <v>13042</v>
      </c>
      <c r="B1058" s="142" t="s">
        <v>15489</v>
      </c>
      <c r="C1058" s="142" t="s">
        <v>15847</v>
      </c>
      <c r="D1058" s="142" t="s">
        <v>15848</v>
      </c>
      <c r="E1058" s="142" t="s">
        <v>15849</v>
      </c>
      <c r="F1058" s="142" t="s">
        <v>1969</v>
      </c>
      <c r="G1058" s="142" t="s">
        <v>1968</v>
      </c>
      <c r="H1058" s="142" t="s">
        <v>16908</v>
      </c>
      <c r="I1058" s="142">
        <v>33</v>
      </c>
      <c r="J1058" s="142">
        <v>0</v>
      </c>
      <c r="K1058" s="142">
        <v>0</v>
      </c>
      <c r="L1058" s="142">
        <v>33</v>
      </c>
      <c r="M1058" s="142">
        <v>0</v>
      </c>
    </row>
    <row r="1059" spans="1:13" x14ac:dyDescent="0.45">
      <c r="A1059" s="142" t="s">
        <v>13363</v>
      </c>
      <c r="B1059" s="142" t="s">
        <v>14980</v>
      </c>
      <c r="C1059" s="142" t="s">
        <v>15860</v>
      </c>
      <c r="D1059" s="142" t="s">
        <v>15861</v>
      </c>
      <c r="E1059" s="142" t="s">
        <v>15849</v>
      </c>
      <c r="F1059" s="142" t="s">
        <v>1969</v>
      </c>
      <c r="G1059" s="142" t="s">
        <v>1968</v>
      </c>
      <c r="H1059" s="142" t="s">
        <v>16909</v>
      </c>
      <c r="I1059" s="142">
        <v>66</v>
      </c>
      <c r="J1059" s="142">
        <v>12</v>
      </c>
      <c r="K1059" s="142">
        <v>54</v>
      </c>
      <c r="L1059" s="142">
        <v>0</v>
      </c>
      <c r="M1059" s="142">
        <v>0</v>
      </c>
    </row>
    <row r="1060" spans="1:13" x14ac:dyDescent="0.45">
      <c r="A1060" s="142" t="s">
        <v>13016</v>
      </c>
      <c r="B1060" s="142" t="s">
        <v>14535</v>
      </c>
      <c r="C1060" s="142" t="s">
        <v>15860</v>
      </c>
      <c r="D1060" s="142" t="s">
        <v>15861</v>
      </c>
      <c r="E1060" s="142" t="s">
        <v>15849</v>
      </c>
      <c r="F1060" s="142" t="s">
        <v>1969</v>
      </c>
      <c r="G1060" s="142" t="s">
        <v>1968</v>
      </c>
      <c r="H1060" s="142" t="s">
        <v>16910</v>
      </c>
      <c r="I1060" s="142">
        <v>7</v>
      </c>
      <c r="J1060" s="142">
        <v>0</v>
      </c>
      <c r="K1060" s="142">
        <v>0</v>
      </c>
      <c r="L1060" s="142">
        <v>7</v>
      </c>
      <c r="M1060" s="142">
        <v>0</v>
      </c>
    </row>
    <row r="1061" spans="1:13" x14ac:dyDescent="0.45">
      <c r="A1061" s="142" t="s">
        <v>13017</v>
      </c>
      <c r="B1061" s="142" t="s">
        <v>15580</v>
      </c>
      <c r="C1061" s="142" t="s">
        <v>15847</v>
      </c>
      <c r="D1061" s="142" t="s">
        <v>15848</v>
      </c>
      <c r="E1061" s="142" t="s">
        <v>15849</v>
      </c>
      <c r="F1061" s="142" t="s">
        <v>1969</v>
      </c>
      <c r="G1061" s="142" t="s">
        <v>1968</v>
      </c>
      <c r="H1061" s="142" t="s">
        <v>16911</v>
      </c>
      <c r="I1061" s="142">
        <v>27</v>
      </c>
      <c r="J1061" s="142">
        <v>27</v>
      </c>
      <c r="K1061" s="142">
        <v>0</v>
      </c>
      <c r="L1061" s="142">
        <v>0</v>
      </c>
      <c r="M1061" s="142">
        <v>0</v>
      </c>
    </row>
    <row r="1062" spans="1:13" x14ac:dyDescent="0.45">
      <c r="A1062" s="142" t="s">
        <v>13364</v>
      </c>
      <c r="B1062" s="142" t="s">
        <v>14448</v>
      </c>
      <c r="C1062" s="142" t="s">
        <v>15860</v>
      </c>
      <c r="D1062" s="142" t="s">
        <v>15861</v>
      </c>
      <c r="E1062" s="142" t="s">
        <v>15849</v>
      </c>
      <c r="F1062" s="142" t="s">
        <v>1969</v>
      </c>
      <c r="G1062" s="142" t="s">
        <v>1968</v>
      </c>
      <c r="H1062" s="142" t="s">
        <v>16912</v>
      </c>
      <c r="I1062" s="142">
        <v>12</v>
      </c>
      <c r="J1062" s="142">
        <v>0</v>
      </c>
      <c r="K1062" s="142">
        <v>0</v>
      </c>
      <c r="L1062" s="142">
        <v>12</v>
      </c>
      <c r="M1062" s="142">
        <v>0</v>
      </c>
    </row>
    <row r="1063" spans="1:13" x14ac:dyDescent="0.45">
      <c r="A1063" s="142" t="s">
        <v>13182</v>
      </c>
      <c r="B1063" s="142" t="s">
        <v>15140</v>
      </c>
      <c r="C1063" s="142" t="s">
        <v>15860</v>
      </c>
      <c r="D1063" s="142" t="s">
        <v>15861</v>
      </c>
      <c r="E1063" s="142" t="s">
        <v>15849</v>
      </c>
      <c r="F1063" s="142" t="s">
        <v>1226</v>
      </c>
      <c r="G1063" s="142" t="s">
        <v>1225</v>
      </c>
      <c r="H1063" s="142" t="s">
        <v>16913</v>
      </c>
      <c r="I1063" s="142">
        <v>42</v>
      </c>
      <c r="J1063" s="142">
        <v>0</v>
      </c>
      <c r="K1063" s="142">
        <v>0</v>
      </c>
      <c r="L1063" s="142">
        <v>42</v>
      </c>
      <c r="M1063" s="142">
        <v>0</v>
      </c>
    </row>
    <row r="1064" spans="1:13" x14ac:dyDescent="0.45">
      <c r="A1064" s="142" t="s">
        <v>13167</v>
      </c>
      <c r="B1064" s="142" t="s">
        <v>15418</v>
      </c>
      <c r="C1064" s="142" t="s">
        <v>15847</v>
      </c>
      <c r="D1064" s="142" t="s">
        <v>15848</v>
      </c>
      <c r="E1064" s="142" t="s">
        <v>15849</v>
      </c>
      <c r="F1064" s="142" t="s">
        <v>1226</v>
      </c>
      <c r="G1064" s="142" t="s">
        <v>1225</v>
      </c>
      <c r="H1064" s="142" t="s">
        <v>16914</v>
      </c>
      <c r="I1064" s="142">
        <v>316</v>
      </c>
      <c r="J1064" s="142">
        <v>182</v>
      </c>
      <c r="K1064" s="142">
        <v>0</v>
      </c>
      <c r="L1064" s="142">
        <v>0</v>
      </c>
      <c r="M1064" s="142">
        <v>134</v>
      </c>
    </row>
    <row r="1065" spans="1:13" x14ac:dyDescent="0.45">
      <c r="A1065" s="142" t="s">
        <v>13021</v>
      </c>
      <c r="B1065" s="142" t="s">
        <v>15501</v>
      </c>
      <c r="C1065" s="142" t="s">
        <v>15847</v>
      </c>
      <c r="D1065" s="142" t="s">
        <v>15848</v>
      </c>
      <c r="E1065" s="142" t="s">
        <v>15849</v>
      </c>
      <c r="F1065" s="142" t="s">
        <v>1226</v>
      </c>
      <c r="G1065" s="142" t="s">
        <v>1225</v>
      </c>
      <c r="H1065" s="142" t="s">
        <v>16915</v>
      </c>
      <c r="I1065" s="142">
        <v>40</v>
      </c>
      <c r="J1065" s="142">
        <v>0</v>
      </c>
      <c r="K1065" s="142">
        <v>0</v>
      </c>
      <c r="L1065" s="142">
        <v>29</v>
      </c>
      <c r="M1065" s="142">
        <v>11</v>
      </c>
    </row>
    <row r="1066" spans="1:13" x14ac:dyDescent="0.45">
      <c r="A1066" s="142" t="s">
        <v>13023</v>
      </c>
      <c r="B1066" s="142" t="s">
        <v>15571</v>
      </c>
      <c r="C1066" s="142" t="s">
        <v>15847</v>
      </c>
      <c r="D1066" s="142" t="s">
        <v>15848</v>
      </c>
      <c r="E1066" s="142" t="s">
        <v>15849</v>
      </c>
      <c r="F1066" s="142" t="s">
        <v>1226</v>
      </c>
      <c r="G1066" s="142" t="s">
        <v>1225</v>
      </c>
      <c r="H1066" s="142" t="s">
        <v>16916</v>
      </c>
      <c r="I1066" s="142">
        <v>163</v>
      </c>
      <c r="J1066" s="142">
        <v>0</v>
      </c>
      <c r="K1066" s="142">
        <v>0</v>
      </c>
      <c r="L1066" s="142">
        <v>122</v>
      </c>
      <c r="M1066" s="142">
        <v>41</v>
      </c>
    </row>
    <row r="1067" spans="1:13" x14ac:dyDescent="0.45">
      <c r="A1067" s="142" t="s">
        <v>13226</v>
      </c>
      <c r="B1067" s="142" t="s">
        <v>14495</v>
      </c>
      <c r="C1067" s="142" t="s">
        <v>15860</v>
      </c>
      <c r="D1067" s="142" t="s">
        <v>15861</v>
      </c>
      <c r="E1067" s="142" t="s">
        <v>15849</v>
      </c>
      <c r="F1067" s="142" t="s">
        <v>1226</v>
      </c>
      <c r="G1067" s="142" t="s">
        <v>1225</v>
      </c>
      <c r="H1067" s="142" t="s">
        <v>16917</v>
      </c>
      <c r="I1067" s="142">
        <v>230</v>
      </c>
      <c r="J1067" s="142">
        <v>22</v>
      </c>
      <c r="K1067" s="142">
        <v>208</v>
      </c>
      <c r="L1067" s="142">
        <v>0</v>
      </c>
      <c r="M1067" s="142">
        <v>0</v>
      </c>
    </row>
    <row r="1068" spans="1:13" x14ac:dyDescent="0.45">
      <c r="A1068" s="142" t="s">
        <v>13048</v>
      </c>
      <c r="B1068" s="142" t="s">
        <v>14479</v>
      </c>
      <c r="C1068" s="142" t="s">
        <v>15847</v>
      </c>
      <c r="D1068" s="142" t="s">
        <v>15848</v>
      </c>
      <c r="E1068" s="142" t="s">
        <v>15849</v>
      </c>
      <c r="F1068" s="142" t="s">
        <v>1226</v>
      </c>
      <c r="G1068" s="142" t="s">
        <v>1225</v>
      </c>
      <c r="H1068" s="142" t="s">
        <v>16918</v>
      </c>
      <c r="I1068" s="142">
        <v>85</v>
      </c>
      <c r="J1068" s="142">
        <v>22</v>
      </c>
      <c r="K1068" s="142">
        <v>0</v>
      </c>
      <c r="L1068" s="142">
        <v>0</v>
      </c>
      <c r="M1068" s="142">
        <v>63</v>
      </c>
    </row>
    <row r="1069" spans="1:13" x14ac:dyDescent="0.45">
      <c r="A1069" s="142" t="s">
        <v>13065</v>
      </c>
      <c r="B1069" s="142" t="s">
        <v>14497</v>
      </c>
      <c r="C1069" s="142" t="s">
        <v>15847</v>
      </c>
      <c r="D1069" s="142" t="s">
        <v>15848</v>
      </c>
      <c r="E1069" s="142" t="s">
        <v>15849</v>
      </c>
      <c r="F1069" s="142" t="s">
        <v>1226</v>
      </c>
      <c r="G1069" s="142" t="s">
        <v>1225</v>
      </c>
      <c r="H1069" s="142" t="s">
        <v>16919</v>
      </c>
      <c r="I1069" s="142">
        <v>4</v>
      </c>
      <c r="J1069" s="142">
        <v>0</v>
      </c>
      <c r="K1069" s="142">
        <v>0</v>
      </c>
      <c r="L1069" s="142">
        <v>4</v>
      </c>
      <c r="M1069" s="142">
        <v>0</v>
      </c>
    </row>
    <row r="1070" spans="1:13" x14ac:dyDescent="0.45">
      <c r="A1070" s="142" t="s">
        <v>13366</v>
      </c>
      <c r="B1070" s="142" t="s">
        <v>14853</v>
      </c>
      <c r="C1070" s="142" t="s">
        <v>15860</v>
      </c>
      <c r="D1070" s="142" t="s">
        <v>15861</v>
      </c>
      <c r="E1070" s="142" t="s">
        <v>15849</v>
      </c>
      <c r="F1070" s="142" t="s">
        <v>1226</v>
      </c>
      <c r="G1070" s="142" t="s">
        <v>1225</v>
      </c>
      <c r="H1070" s="142" t="s">
        <v>16920</v>
      </c>
      <c r="I1070" s="142">
        <v>10</v>
      </c>
      <c r="J1070" s="142">
        <v>10</v>
      </c>
      <c r="K1070" s="142">
        <v>0</v>
      </c>
      <c r="L1070" s="142">
        <v>0</v>
      </c>
      <c r="M1070" s="142">
        <v>0</v>
      </c>
    </row>
    <row r="1071" spans="1:13" x14ac:dyDescent="0.45">
      <c r="A1071" s="142" t="s">
        <v>13184</v>
      </c>
      <c r="B1071" s="142" t="s">
        <v>15392</v>
      </c>
      <c r="C1071" s="142" t="s">
        <v>15847</v>
      </c>
      <c r="D1071" s="142" t="s">
        <v>15848</v>
      </c>
      <c r="E1071" s="142" t="s">
        <v>15849</v>
      </c>
      <c r="F1071" s="142" t="s">
        <v>1226</v>
      </c>
      <c r="G1071" s="142" t="s">
        <v>1225</v>
      </c>
      <c r="H1071" s="142" t="s">
        <v>16921</v>
      </c>
      <c r="I1071" s="142">
        <v>2665</v>
      </c>
      <c r="J1071" s="142">
        <v>2381</v>
      </c>
      <c r="K1071" s="142">
        <v>0</v>
      </c>
      <c r="L1071" s="142">
        <v>155</v>
      </c>
      <c r="M1071" s="142">
        <v>129</v>
      </c>
    </row>
    <row r="1072" spans="1:13" x14ac:dyDescent="0.45">
      <c r="A1072" s="142" t="s">
        <v>13367</v>
      </c>
      <c r="B1072" s="142" t="s">
        <v>14561</v>
      </c>
      <c r="C1072" s="142" t="s">
        <v>15860</v>
      </c>
      <c r="D1072" s="142" t="s">
        <v>15861</v>
      </c>
      <c r="E1072" s="142" t="s">
        <v>15849</v>
      </c>
      <c r="F1072" s="142" t="s">
        <v>1226</v>
      </c>
      <c r="G1072" s="142" t="s">
        <v>1225</v>
      </c>
      <c r="H1072" s="142" t="s">
        <v>16922</v>
      </c>
      <c r="I1072" s="142">
        <v>5</v>
      </c>
      <c r="J1072" s="142">
        <v>5</v>
      </c>
      <c r="K1072" s="142">
        <v>0</v>
      </c>
      <c r="L1072" s="142">
        <v>0</v>
      </c>
      <c r="M1072" s="142">
        <v>0</v>
      </c>
    </row>
    <row r="1073" spans="1:13" x14ac:dyDescent="0.45">
      <c r="A1073" s="142" t="s">
        <v>13368</v>
      </c>
      <c r="B1073" s="142" t="s">
        <v>14927</v>
      </c>
      <c r="C1073" s="142" t="s">
        <v>15860</v>
      </c>
      <c r="D1073" s="142" t="s">
        <v>15861</v>
      </c>
      <c r="E1073" s="142" t="s">
        <v>15849</v>
      </c>
      <c r="F1073" s="142" t="s">
        <v>1226</v>
      </c>
      <c r="G1073" s="142" t="s">
        <v>1225</v>
      </c>
      <c r="H1073" s="142" t="s">
        <v>16923</v>
      </c>
      <c r="I1073" s="142">
        <v>22</v>
      </c>
      <c r="J1073" s="142">
        <v>0</v>
      </c>
      <c r="K1073" s="142">
        <v>0</v>
      </c>
      <c r="L1073" s="142">
        <v>22</v>
      </c>
      <c r="M1073" s="142">
        <v>0</v>
      </c>
    </row>
    <row r="1074" spans="1:13" x14ac:dyDescent="0.45">
      <c r="A1074" s="142" t="s">
        <v>13235</v>
      </c>
      <c r="B1074" s="142" t="s">
        <v>14573</v>
      </c>
      <c r="C1074" s="142" t="s">
        <v>15847</v>
      </c>
      <c r="D1074" s="142" t="s">
        <v>15848</v>
      </c>
      <c r="E1074" s="142" t="s">
        <v>15849</v>
      </c>
      <c r="F1074" s="142" t="s">
        <v>1226</v>
      </c>
      <c r="G1074" s="142" t="s">
        <v>1225</v>
      </c>
      <c r="H1074" s="142" t="s">
        <v>16924</v>
      </c>
      <c r="I1074" s="142">
        <v>21</v>
      </c>
      <c r="J1074" s="142">
        <v>16</v>
      </c>
      <c r="K1074" s="142">
        <v>0</v>
      </c>
      <c r="L1074" s="142">
        <v>0</v>
      </c>
      <c r="M1074" s="142">
        <v>5</v>
      </c>
    </row>
    <row r="1075" spans="1:13" x14ac:dyDescent="0.45">
      <c r="A1075" s="142" t="s">
        <v>13369</v>
      </c>
      <c r="B1075" s="142" t="s">
        <v>15499</v>
      </c>
      <c r="C1075" s="142" t="s">
        <v>15847</v>
      </c>
      <c r="D1075" s="142" t="s">
        <v>15848</v>
      </c>
      <c r="E1075" s="142" t="s">
        <v>15849</v>
      </c>
      <c r="F1075" s="142" t="s">
        <v>1226</v>
      </c>
      <c r="G1075" s="142" t="s">
        <v>1225</v>
      </c>
      <c r="H1075" s="142" t="s">
        <v>16925</v>
      </c>
      <c r="I1075" s="142">
        <v>1124</v>
      </c>
      <c r="J1075" s="142">
        <v>4</v>
      </c>
      <c r="K1075" s="142">
        <v>0</v>
      </c>
      <c r="L1075" s="142">
        <v>1096</v>
      </c>
      <c r="M1075" s="142">
        <v>24</v>
      </c>
    </row>
    <row r="1076" spans="1:13" x14ac:dyDescent="0.45">
      <c r="A1076" s="142" t="s">
        <v>13000</v>
      </c>
      <c r="B1076" s="142" t="s">
        <v>14610</v>
      </c>
      <c r="C1076" s="142" t="s">
        <v>15847</v>
      </c>
      <c r="D1076" s="142" t="s">
        <v>15848</v>
      </c>
      <c r="E1076" s="142" t="s">
        <v>15849</v>
      </c>
      <c r="F1076" s="142" t="s">
        <v>1226</v>
      </c>
      <c r="G1076" s="142" t="s">
        <v>1225</v>
      </c>
      <c r="H1076" s="142" t="s">
        <v>16926</v>
      </c>
      <c r="I1076" s="142">
        <v>369</v>
      </c>
      <c r="J1076" s="142">
        <v>308</v>
      </c>
      <c r="K1076" s="142">
        <v>0</v>
      </c>
      <c r="L1076" s="142">
        <v>47</v>
      </c>
      <c r="M1076" s="142">
        <v>14</v>
      </c>
    </row>
    <row r="1077" spans="1:13" x14ac:dyDescent="0.45">
      <c r="A1077" s="142" t="s">
        <v>13186</v>
      </c>
      <c r="B1077" s="142" t="s">
        <v>15581</v>
      </c>
      <c r="C1077" s="142" t="s">
        <v>15847</v>
      </c>
      <c r="D1077" s="142" t="s">
        <v>15848</v>
      </c>
      <c r="E1077" s="142" t="s">
        <v>15849</v>
      </c>
      <c r="F1077" s="142" t="s">
        <v>1226</v>
      </c>
      <c r="G1077" s="142" t="s">
        <v>1225</v>
      </c>
      <c r="H1077" s="142" t="s">
        <v>16927</v>
      </c>
      <c r="I1077" s="142">
        <v>1148</v>
      </c>
      <c r="J1077" s="142">
        <v>914</v>
      </c>
      <c r="K1077" s="142">
        <v>0</v>
      </c>
      <c r="L1077" s="142">
        <v>90</v>
      </c>
      <c r="M1077" s="142">
        <v>144</v>
      </c>
    </row>
    <row r="1078" spans="1:13" x14ac:dyDescent="0.45">
      <c r="A1078" s="142" t="s">
        <v>13119</v>
      </c>
      <c r="B1078" s="142" t="s">
        <v>14451</v>
      </c>
      <c r="C1078" s="142" t="s">
        <v>15860</v>
      </c>
      <c r="D1078" s="142" t="s">
        <v>15861</v>
      </c>
      <c r="E1078" s="142" t="s">
        <v>15849</v>
      </c>
      <c r="F1078" s="142" t="s">
        <v>1226</v>
      </c>
      <c r="G1078" s="142" t="s">
        <v>1225</v>
      </c>
      <c r="H1078" s="142" t="s">
        <v>16928</v>
      </c>
      <c r="I1078" s="142">
        <v>8</v>
      </c>
      <c r="J1078" s="142">
        <v>0</v>
      </c>
      <c r="K1078" s="142">
        <v>0</v>
      </c>
      <c r="L1078" s="142">
        <v>8</v>
      </c>
      <c r="M1078" s="142">
        <v>0</v>
      </c>
    </row>
    <row r="1079" spans="1:13" x14ac:dyDescent="0.45">
      <c r="A1079" s="142" t="s">
        <v>13187</v>
      </c>
      <c r="B1079" s="142" t="s">
        <v>15518</v>
      </c>
      <c r="C1079" s="142" t="s">
        <v>15860</v>
      </c>
      <c r="D1079" s="142" t="s">
        <v>15861</v>
      </c>
      <c r="E1079" s="142" t="s">
        <v>15849</v>
      </c>
      <c r="F1079" s="142" t="s">
        <v>1226</v>
      </c>
      <c r="G1079" s="142" t="s">
        <v>1225</v>
      </c>
      <c r="H1079" s="142" t="s">
        <v>16929</v>
      </c>
      <c r="I1079" s="142">
        <v>353</v>
      </c>
      <c r="J1079" s="142">
        <v>210</v>
      </c>
      <c r="K1079" s="142">
        <v>3</v>
      </c>
      <c r="L1079" s="142">
        <v>140</v>
      </c>
      <c r="M1079" s="142">
        <v>0</v>
      </c>
    </row>
    <row r="1080" spans="1:13" x14ac:dyDescent="0.45">
      <c r="A1080" s="142" t="s">
        <v>13168</v>
      </c>
      <c r="B1080" s="142" t="s">
        <v>14486</v>
      </c>
      <c r="C1080" s="142" t="s">
        <v>15860</v>
      </c>
      <c r="D1080" s="142" t="s">
        <v>15861</v>
      </c>
      <c r="E1080" s="142" t="s">
        <v>15849</v>
      </c>
      <c r="F1080" s="142" t="s">
        <v>1226</v>
      </c>
      <c r="G1080" s="142" t="s">
        <v>1225</v>
      </c>
      <c r="H1080" s="142" t="s">
        <v>16930</v>
      </c>
      <c r="I1080" s="142">
        <v>5</v>
      </c>
      <c r="J1080" s="142">
        <v>0</v>
      </c>
      <c r="K1080" s="142">
        <v>0</v>
      </c>
      <c r="L1080" s="142">
        <v>5</v>
      </c>
      <c r="M1080" s="142">
        <v>0</v>
      </c>
    </row>
    <row r="1081" spans="1:13" x14ac:dyDescent="0.45">
      <c r="A1081" s="142" t="s">
        <v>13027</v>
      </c>
      <c r="B1081" s="142" t="s">
        <v>14562</v>
      </c>
      <c r="C1081" s="142" t="s">
        <v>15847</v>
      </c>
      <c r="D1081" s="142" t="s">
        <v>15848</v>
      </c>
      <c r="E1081" s="142" t="s">
        <v>15849</v>
      </c>
      <c r="F1081" s="142" t="s">
        <v>1226</v>
      </c>
      <c r="G1081" s="142" t="s">
        <v>1225</v>
      </c>
      <c r="H1081" s="142" t="s">
        <v>16931</v>
      </c>
      <c r="I1081" s="142">
        <v>2</v>
      </c>
      <c r="J1081" s="142">
        <v>0</v>
      </c>
      <c r="K1081" s="142">
        <v>0</v>
      </c>
      <c r="L1081" s="142">
        <v>2</v>
      </c>
      <c r="M1081" s="142">
        <v>0</v>
      </c>
    </row>
    <row r="1082" spans="1:13" x14ac:dyDescent="0.45">
      <c r="A1082" s="142" t="s">
        <v>13243</v>
      </c>
      <c r="B1082" s="142" t="s">
        <v>15560</v>
      </c>
      <c r="C1082" s="142" t="s">
        <v>15847</v>
      </c>
      <c r="D1082" s="142" t="s">
        <v>15848</v>
      </c>
      <c r="E1082" s="142" t="s">
        <v>15849</v>
      </c>
      <c r="F1082" s="142" t="s">
        <v>1226</v>
      </c>
      <c r="G1082" s="142" t="s">
        <v>1225</v>
      </c>
      <c r="H1082" s="142" t="s">
        <v>16932</v>
      </c>
      <c r="I1082" s="142">
        <v>9</v>
      </c>
      <c r="J1082" s="142">
        <v>7</v>
      </c>
      <c r="K1082" s="142">
        <v>0</v>
      </c>
      <c r="L1082" s="142">
        <v>0</v>
      </c>
      <c r="M1082" s="142">
        <v>2</v>
      </c>
    </row>
    <row r="1083" spans="1:13" x14ac:dyDescent="0.45">
      <c r="A1083" s="142" t="s">
        <v>13189</v>
      </c>
      <c r="B1083" s="142" t="s">
        <v>15370</v>
      </c>
      <c r="C1083" s="142" t="s">
        <v>15860</v>
      </c>
      <c r="D1083" s="142" t="s">
        <v>15861</v>
      </c>
      <c r="E1083" s="142" t="s">
        <v>15849</v>
      </c>
      <c r="F1083" s="142" t="s">
        <v>1226</v>
      </c>
      <c r="G1083" s="142" t="s">
        <v>1225</v>
      </c>
      <c r="H1083" s="142" t="s">
        <v>16933</v>
      </c>
      <c r="I1083" s="142">
        <v>203</v>
      </c>
      <c r="J1083" s="142">
        <v>48</v>
      </c>
      <c r="K1083" s="142">
        <v>0</v>
      </c>
      <c r="L1083" s="142">
        <v>155</v>
      </c>
      <c r="M1083" s="142">
        <v>0</v>
      </c>
    </row>
    <row r="1084" spans="1:13" x14ac:dyDescent="0.45">
      <c r="A1084" s="142" t="s">
        <v>13001</v>
      </c>
      <c r="B1084" s="142" t="s">
        <v>15506</v>
      </c>
      <c r="C1084" s="142" t="s">
        <v>15847</v>
      </c>
      <c r="D1084" s="142" t="s">
        <v>15848</v>
      </c>
      <c r="E1084" s="142" t="s">
        <v>15849</v>
      </c>
      <c r="F1084" s="142" t="s">
        <v>1226</v>
      </c>
      <c r="G1084" s="142" t="s">
        <v>1225</v>
      </c>
      <c r="H1084" s="142" t="s">
        <v>16934</v>
      </c>
      <c r="I1084" s="142">
        <v>154</v>
      </c>
      <c r="J1084" s="142">
        <v>112</v>
      </c>
      <c r="K1084" s="142">
        <v>0</v>
      </c>
      <c r="L1084" s="142">
        <v>42</v>
      </c>
      <c r="M1084" s="142">
        <v>0</v>
      </c>
    </row>
    <row r="1085" spans="1:13" x14ac:dyDescent="0.45">
      <c r="A1085" s="142" t="s">
        <v>13028</v>
      </c>
      <c r="B1085" s="142" t="s">
        <v>14462</v>
      </c>
      <c r="C1085" s="142" t="s">
        <v>15847</v>
      </c>
      <c r="D1085" s="142" t="s">
        <v>15848</v>
      </c>
      <c r="E1085" s="142" t="s">
        <v>15849</v>
      </c>
      <c r="F1085" s="142" t="s">
        <v>1226</v>
      </c>
      <c r="G1085" s="142" t="s">
        <v>1225</v>
      </c>
      <c r="H1085" s="142" t="s">
        <v>16935</v>
      </c>
      <c r="I1085" s="142">
        <v>85</v>
      </c>
      <c r="J1085" s="142">
        <v>0</v>
      </c>
      <c r="K1085" s="142">
        <v>0</v>
      </c>
      <c r="L1085" s="142">
        <v>0</v>
      </c>
      <c r="M1085" s="142">
        <v>85</v>
      </c>
    </row>
    <row r="1086" spans="1:13" x14ac:dyDescent="0.45">
      <c r="A1086" s="142" t="s">
        <v>13002</v>
      </c>
      <c r="B1086" s="142" t="s">
        <v>15376</v>
      </c>
      <c r="C1086" s="142" t="s">
        <v>15847</v>
      </c>
      <c r="D1086" s="142" t="s">
        <v>15848</v>
      </c>
      <c r="E1086" s="142" t="s">
        <v>15849</v>
      </c>
      <c r="F1086" s="142" t="s">
        <v>1226</v>
      </c>
      <c r="G1086" s="142" t="s">
        <v>1225</v>
      </c>
      <c r="H1086" s="142" t="s">
        <v>16936</v>
      </c>
      <c r="I1086" s="142">
        <v>18</v>
      </c>
      <c r="J1086" s="142">
        <v>0</v>
      </c>
      <c r="K1086" s="142">
        <v>0</v>
      </c>
      <c r="L1086" s="142">
        <v>18</v>
      </c>
      <c r="M1086" s="142">
        <v>0</v>
      </c>
    </row>
    <row r="1087" spans="1:13" x14ac:dyDescent="0.45">
      <c r="A1087" s="142" t="s">
        <v>13003</v>
      </c>
      <c r="B1087" s="142" t="s">
        <v>15245</v>
      </c>
      <c r="C1087" s="142" t="s">
        <v>15847</v>
      </c>
      <c r="D1087" s="142" t="s">
        <v>15848</v>
      </c>
      <c r="E1087" s="142" t="s">
        <v>15849</v>
      </c>
      <c r="F1087" s="142" t="s">
        <v>1226</v>
      </c>
      <c r="G1087" s="142" t="s">
        <v>1225</v>
      </c>
      <c r="H1087" s="142" t="s">
        <v>16937</v>
      </c>
      <c r="I1087" s="142">
        <v>212</v>
      </c>
      <c r="J1087" s="142">
        <v>0</v>
      </c>
      <c r="K1087" s="142">
        <v>0</v>
      </c>
      <c r="L1087" s="142">
        <v>202</v>
      </c>
      <c r="M1087" s="142">
        <v>10</v>
      </c>
    </row>
    <row r="1088" spans="1:13" x14ac:dyDescent="0.45">
      <c r="A1088" s="142" t="s">
        <v>13066</v>
      </c>
      <c r="B1088" s="142" t="s">
        <v>14459</v>
      </c>
      <c r="C1088" s="142" t="s">
        <v>15847</v>
      </c>
      <c r="D1088" s="142" t="s">
        <v>15848</v>
      </c>
      <c r="E1088" s="142" t="s">
        <v>15849</v>
      </c>
      <c r="F1088" s="142" t="s">
        <v>1226</v>
      </c>
      <c r="G1088" s="142" t="s">
        <v>1225</v>
      </c>
      <c r="H1088" s="142" t="s">
        <v>16938</v>
      </c>
      <c r="I1088" s="142">
        <v>7</v>
      </c>
      <c r="J1088" s="142">
        <v>0</v>
      </c>
      <c r="K1088" s="142">
        <v>0</v>
      </c>
      <c r="L1088" s="142">
        <v>7</v>
      </c>
      <c r="M1088" s="142">
        <v>0</v>
      </c>
    </row>
    <row r="1089" spans="1:13" x14ac:dyDescent="0.45">
      <c r="A1089" s="142" t="s">
        <v>13170</v>
      </c>
      <c r="B1089" s="142" t="s">
        <v>15486</v>
      </c>
      <c r="C1089" s="142" t="s">
        <v>15860</v>
      </c>
      <c r="D1089" s="142" t="s">
        <v>15861</v>
      </c>
      <c r="E1089" s="142" t="s">
        <v>15849</v>
      </c>
      <c r="F1089" s="142" t="s">
        <v>1226</v>
      </c>
      <c r="G1089" s="142" t="s">
        <v>1225</v>
      </c>
      <c r="H1089" s="142" t="s">
        <v>16939</v>
      </c>
      <c r="I1089" s="142">
        <v>3</v>
      </c>
      <c r="J1089" s="142">
        <v>0</v>
      </c>
      <c r="K1089" s="142">
        <v>0</v>
      </c>
      <c r="L1089" s="142">
        <v>3</v>
      </c>
      <c r="M1089" s="142">
        <v>0</v>
      </c>
    </row>
    <row r="1090" spans="1:13" x14ac:dyDescent="0.45">
      <c r="A1090" s="142" t="s">
        <v>13370</v>
      </c>
      <c r="B1090" s="142" t="s">
        <v>15344</v>
      </c>
      <c r="C1090" s="142" t="s">
        <v>15860</v>
      </c>
      <c r="D1090" s="142" t="s">
        <v>15861</v>
      </c>
      <c r="E1090" s="142" t="s">
        <v>15849</v>
      </c>
      <c r="F1090" s="142" t="s">
        <v>1226</v>
      </c>
      <c r="G1090" s="142" t="s">
        <v>1225</v>
      </c>
      <c r="H1090" s="142" t="s">
        <v>16940</v>
      </c>
      <c r="I1090" s="142">
        <v>28</v>
      </c>
      <c r="J1090" s="142">
        <v>28</v>
      </c>
      <c r="K1090" s="142">
        <v>0</v>
      </c>
      <c r="L1090" s="142">
        <v>0</v>
      </c>
      <c r="M1090" s="142">
        <v>0</v>
      </c>
    </row>
    <row r="1091" spans="1:13" x14ac:dyDescent="0.45">
      <c r="A1091" s="142" t="s">
        <v>13190</v>
      </c>
      <c r="B1091" s="142" t="s">
        <v>14617</v>
      </c>
      <c r="C1091" s="142" t="s">
        <v>15847</v>
      </c>
      <c r="D1091" s="142" t="s">
        <v>15848</v>
      </c>
      <c r="E1091" s="142" t="s">
        <v>15849</v>
      </c>
      <c r="F1091" s="142" t="s">
        <v>1226</v>
      </c>
      <c r="G1091" s="142" t="s">
        <v>1225</v>
      </c>
      <c r="H1091" s="142" t="s">
        <v>16941</v>
      </c>
      <c r="I1091" s="142">
        <v>2511</v>
      </c>
      <c r="J1091" s="142">
        <v>1764</v>
      </c>
      <c r="K1091" s="142">
        <v>0</v>
      </c>
      <c r="L1091" s="142">
        <v>420</v>
      </c>
      <c r="M1091" s="142">
        <v>327</v>
      </c>
    </row>
    <row r="1092" spans="1:13" x14ac:dyDescent="0.45">
      <c r="A1092" s="142" t="s">
        <v>13029</v>
      </c>
      <c r="B1092" s="142" t="s">
        <v>14665</v>
      </c>
      <c r="C1092" s="142" t="s">
        <v>15847</v>
      </c>
      <c r="D1092" s="142" t="s">
        <v>15848</v>
      </c>
      <c r="E1092" s="142" t="s">
        <v>15849</v>
      </c>
      <c r="F1092" s="142" t="s">
        <v>1226</v>
      </c>
      <c r="G1092" s="142" t="s">
        <v>1225</v>
      </c>
      <c r="H1092" s="142" t="s">
        <v>16942</v>
      </c>
      <c r="I1092" s="142">
        <v>13</v>
      </c>
      <c r="J1092" s="142">
        <v>0</v>
      </c>
      <c r="K1092" s="142">
        <v>0</v>
      </c>
      <c r="L1092" s="142">
        <v>0</v>
      </c>
      <c r="M1092" s="142">
        <v>13</v>
      </c>
    </row>
    <row r="1093" spans="1:13" x14ac:dyDescent="0.45">
      <c r="A1093" s="142" t="s">
        <v>13191</v>
      </c>
      <c r="B1093" s="142" t="s">
        <v>15467</v>
      </c>
      <c r="C1093" s="142" t="s">
        <v>15847</v>
      </c>
      <c r="D1093" s="142" t="s">
        <v>15848</v>
      </c>
      <c r="E1093" s="142" t="s">
        <v>15849</v>
      </c>
      <c r="F1093" s="142" t="s">
        <v>1226</v>
      </c>
      <c r="G1093" s="142" t="s">
        <v>1225</v>
      </c>
      <c r="H1093" s="142" t="s">
        <v>16943</v>
      </c>
      <c r="I1093" s="142">
        <v>287</v>
      </c>
      <c r="J1093" s="142">
        <v>226</v>
      </c>
      <c r="K1093" s="142">
        <v>0</v>
      </c>
      <c r="L1093" s="142">
        <v>0</v>
      </c>
      <c r="M1093" s="142">
        <v>61</v>
      </c>
    </row>
    <row r="1094" spans="1:13" x14ac:dyDescent="0.45">
      <c r="A1094" s="142" t="s">
        <v>13007</v>
      </c>
      <c r="B1094" s="142" t="s">
        <v>15262</v>
      </c>
      <c r="C1094" s="142" t="s">
        <v>15847</v>
      </c>
      <c r="D1094" s="142" t="s">
        <v>15848</v>
      </c>
      <c r="E1094" s="142" t="s">
        <v>15849</v>
      </c>
      <c r="F1094" s="142" t="s">
        <v>1226</v>
      </c>
      <c r="G1094" s="142" t="s">
        <v>1225</v>
      </c>
      <c r="H1094" s="142" t="s">
        <v>16944</v>
      </c>
      <c r="I1094" s="142">
        <v>3</v>
      </c>
      <c r="J1094" s="142">
        <v>0</v>
      </c>
      <c r="K1094" s="142">
        <v>0</v>
      </c>
      <c r="L1094" s="142">
        <v>0</v>
      </c>
      <c r="M1094" s="142">
        <v>3</v>
      </c>
    </row>
    <row r="1095" spans="1:13" x14ac:dyDescent="0.45">
      <c r="A1095" s="142" t="s">
        <v>13193</v>
      </c>
      <c r="B1095" s="142" t="s">
        <v>15461</v>
      </c>
      <c r="C1095" s="142" t="s">
        <v>15847</v>
      </c>
      <c r="D1095" s="142" t="s">
        <v>15848</v>
      </c>
      <c r="E1095" s="142" t="s">
        <v>15849</v>
      </c>
      <c r="F1095" s="142" t="s">
        <v>1226</v>
      </c>
      <c r="G1095" s="142" t="s">
        <v>1225</v>
      </c>
      <c r="H1095" s="142" t="s">
        <v>16945</v>
      </c>
      <c r="I1095" s="142">
        <v>49</v>
      </c>
      <c r="J1095" s="142">
        <v>47</v>
      </c>
      <c r="K1095" s="142">
        <v>0</v>
      </c>
      <c r="L1095" s="142">
        <v>0</v>
      </c>
      <c r="M1095" s="142">
        <v>2</v>
      </c>
    </row>
    <row r="1096" spans="1:13" x14ac:dyDescent="0.45">
      <c r="A1096" s="142" t="s">
        <v>13371</v>
      </c>
      <c r="B1096" s="142" t="s">
        <v>14709</v>
      </c>
      <c r="C1096" s="142" t="s">
        <v>15860</v>
      </c>
      <c r="D1096" s="142" t="s">
        <v>15861</v>
      </c>
      <c r="E1096" s="142" t="s">
        <v>15849</v>
      </c>
      <c r="F1096" s="142" t="s">
        <v>1226</v>
      </c>
      <c r="G1096" s="142" t="s">
        <v>1225</v>
      </c>
      <c r="H1096" s="142" t="s">
        <v>16946</v>
      </c>
      <c r="I1096" s="142">
        <v>117</v>
      </c>
      <c r="J1096" s="142">
        <v>5</v>
      </c>
      <c r="K1096" s="142">
        <v>0</v>
      </c>
      <c r="L1096" s="142">
        <v>112</v>
      </c>
      <c r="M1096" s="142">
        <v>0</v>
      </c>
    </row>
    <row r="1097" spans="1:13" x14ac:dyDescent="0.45">
      <c r="A1097" s="142" t="s">
        <v>13033</v>
      </c>
      <c r="B1097" s="142" t="s">
        <v>15276</v>
      </c>
      <c r="C1097" s="142" t="s">
        <v>15847</v>
      </c>
      <c r="D1097" s="142" t="s">
        <v>15848</v>
      </c>
      <c r="E1097" s="142" t="s">
        <v>15849</v>
      </c>
      <c r="F1097" s="142" t="s">
        <v>1226</v>
      </c>
      <c r="G1097" s="142" t="s">
        <v>1225</v>
      </c>
      <c r="H1097" s="142" t="s">
        <v>16947</v>
      </c>
      <c r="I1097" s="142">
        <v>286</v>
      </c>
      <c r="J1097" s="142">
        <v>129</v>
      </c>
      <c r="K1097" s="142">
        <v>0</v>
      </c>
      <c r="L1097" s="142">
        <v>37</v>
      </c>
      <c r="M1097" s="142">
        <v>120</v>
      </c>
    </row>
    <row r="1098" spans="1:13" x14ac:dyDescent="0.45">
      <c r="A1098" s="142" t="s">
        <v>13034</v>
      </c>
      <c r="B1098" s="142" t="s">
        <v>15562</v>
      </c>
      <c r="C1098" s="142" t="s">
        <v>15847</v>
      </c>
      <c r="D1098" s="142" t="s">
        <v>15848</v>
      </c>
      <c r="E1098" s="142" t="s">
        <v>15849</v>
      </c>
      <c r="F1098" s="142" t="s">
        <v>1226</v>
      </c>
      <c r="G1098" s="142" t="s">
        <v>1225</v>
      </c>
      <c r="H1098" s="142" t="s">
        <v>16948</v>
      </c>
      <c r="I1098" s="142">
        <v>1881</v>
      </c>
      <c r="J1098" s="142">
        <v>1500</v>
      </c>
      <c r="K1098" s="142">
        <v>0</v>
      </c>
      <c r="L1098" s="142">
        <v>348</v>
      </c>
      <c r="M1098" s="142">
        <v>33</v>
      </c>
    </row>
    <row r="1099" spans="1:13" x14ac:dyDescent="0.45">
      <c r="A1099" s="142" t="s">
        <v>13038</v>
      </c>
      <c r="B1099" s="142" t="s">
        <v>14646</v>
      </c>
      <c r="C1099" s="142" t="s">
        <v>15847</v>
      </c>
      <c r="D1099" s="142" t="s">
        <v>15848</v>
      </c>
      <c r="E1099" s="142" t="s">
        <v>15849</v>
      </c>
      <c r="F1099" s="142" t="s">
        <v>1226</v>
      </c>
      <c r="G1099" s="142" t="s">
        <v>1225</v>
      </c>
      <c r="H1099" s="142" t="s">
        <v>16949</v>
      </c>
      <c r="I1099" s="142">
        <v>2</v>
      </c>
      <c r="J1099" s="142">
        <v>0</v>
      </c>
      <c r="K1099" s="142">
        <v>0</v>
      </c>
      <c r="L1099" s="142">
        <v>0</v>
      </c>
      <c r="M1099" s="142">
        <v>2</v>
      </c>
    </row>
    <row r="1100" spans="1:13" x14ac:dyDescent="0.45">
      <c r="A1100" s="142" t="s">
        <v>13078</v>
      </c>
      <c r="B1100" s="142" t="s">
        <v>15540</v>
      </c>
      <c r="C1100" s="142" t="s">
        <v>15847</v>
      </c>
      <c r="D1100" s="142" t="s">
        <v>15848</v>
      </c>
      <c r="E1100" s="142" t="s">
        <v>15849</v>
      </c>
      <c r="F1100" s="142" t="s">
        <v>1226</v>
      </c>
      <c r="G1100" s="142" t="s">
        <v>1225</v>
      </c>
      <c r="H1100" s="142" t="s">
        <v>16950</v>
      </c>
      <c r="I1100" s="142">
        <v>93</v>
      </c>
      <c r="J1100" s="142">
        <v>0</v>
      </c>
      <c r="K1100" s="142">
        <v>0</v>
      </c>
      <c r="L1100" s="142">
        <v>93</v>
      </c>
      <c r="M1100" s="142">
        <v>0</v>
      </c>
    </row>
    <row r="1101" spans="1:13" x14ac:dyDescent="0.45">
      <c r="A1101" s="142" t="s">
        <v>13009</v>
      </c>
      <c r="B1101" s="142" t="s">
        <v>15256</v>
      </c>
      <c r="C1101" s="142" t="s">
        <v>15847</v>
      </c>
      <c r="D1101" s="142" t="s">
        <v>15848</v>
      </c>
      <c r="E1101" s="142" t="s">
        <v>15849</v>
      </c>
      <c r="F1101" s="142" t="s">
        <v>1226</v>
      </c>
      <c r="G1101" s="142" t="s">
        <v>1225</v>
      </c>
      <c r="H1101" s="142" t="s">
        <v>16951</v>
      </c>
      <c r="I1101" s="142">
        <v>53</v>
      </c>
      <c r="J1101" s="142">
        <v>31</v>
      </c>
      <c r="K1101" s="142">
        <v>0</v>
      </c>
      <c r="L1101" s="142">
        <v>22</v>
      </c>
      <c r="M1101" s="142">
        <v>0</v>
      </c>
    </row>
    <row r="1102" spans="1:13" x14ac:dyDescent="0.45">
      <c r="A1102" s="142" t="s">
        <v>13372</v>
      </c>
      <c r="B1102" s="142" t="s">
        <v>15010</v>
      </c>
      <c r="C1102" s="142" t="s">
        <v>15860</v>
      </c>
      <c r="D1102" s="142" t="s">
        <v>15861</v>
      </c>
      <c r="E1102" s="142" t="s">
        <v>15849</v>
      </c>
      <c r="F1102" s="142" t="s">
        <v>1226</v>
      </c>
      <c r="G1102" s="142" t="s">
        <v>1225</v>
      </c>
      <c r="H1102" s="142" t="s">
        <v>16952</v>
      </c>
      <c r="I1102" s="142">
        <v>17</v>
      </c>
      <c r="J1102" s="142">
        <v>13</v>
      </c>
      <c r="K1102" s="142">
        <v>4</v>
      </c>
      <c r="L1102" s="142">
        <v>0</v>
      </c>
      <c r="M1102" s="142">
        <v>0</v>
      </c>
    </row>
    <row r="1103" spans="1:13" x14ac:dyDescent="0.45">
      <c r="A1103" s="142" t="s">
        <v>13373</v>
      </c>
      <c r="B1103" s="142" t="s">
        <v>15400</v>
      </c>
      <c r="C1103" s="142" t="s">
        <v>15860</v>
      </c>
      <c r="D1103" s="142" t="s">
        <v>15861</v>
      </c>
      <c r="E1103" s="142" t="s">
        <v>15849</v>
      </c>
      <c r="F1103" s="142" t="s">
        <v>1226</v>
      </c>
      <c r="G1103" s="142" t="s">
        <v>1225</v>
      </c>
      <c r="H1103" s="142" t="s">
        <v>16953</v>
      </c>
      <c r="I1103" s="142">
        <v>2</v>
      </c>
      <c r="J1103" s="142">
        <v>2</v>
      </c>
      <c r="K1103" s="142">
        <v>0</v>
      </c>
      <c r="L1103" s="142">
        <v>0</v>
      </c>
      <c r="M1103" s="142">
        <v>0</v>
      </c>
    </row>
    <row r="1104" spans="1:13" x14ac:dyDescent="0.45">
      <c r="A1104" s="142" t="s">
        <v>13058</v>
      </c>
      <c r="B1104" s="142" t="s">
        <v>14584</v>
      </c>
      <c r="C1104" s="142" t="s">
        <v>15847</v>
      </c>
      <c r="D1104" s="142" t="s">
        <v>15848</v>
      </c>
      <c r="E1104" s="142" t="s">
        <v>15849</v>
      </c>
      <c r="F1104" s="142" t="s">
        <v>1226</v>
      </c>
      <c r="G1104" s="142" t="s">
        <v>1225</v>
      </c>
      <c r="H1104" s="142" t="s">
        <v>16954</v>
      </c>
      <c r="I1104" s="142">
        <v>1543</v>
      </c>
      <c r="J1104" s="142">
        <v>1035</v>
      </c>
      <c r="K1104" s="142">
        <v>0</v>
      </c>
      <c r="L1104" s="142">
        <v>24</v>
      </c>
      <c r="M1104" s="142">
        <v>484</v>
      </c>
    </row>
    <row r="1105" spans="1:13" x14ac:dyDescent="0.45">
      <c r="A1105" s="142" t="s">
        <v>13306</v>
      </c>
      <c r="B1105" s="142" t="s">
        <v>15500</v>
      </c>
      <c r="C1105" s="142" t="s">
        <v>15847</v>
      </c>
      <c r="D1105" s="142" t="s">
        <v>15848</v>
      </c>
      <c r="E1105" s="142" t="s">
        <v>15849</v>
      </c>
      <c r="F1105" s="142" t="s">
        <v>1226</v>
      </c>
      <c r="G1105" s="142" t="s">
        <v>1225</v>
      </c>
      <c r="H1105" s="142" t="s">
        <v>16955</v>
      </c>
      <c r="I1105" s="142">
        <v>91</v>
      </c>
      <c r="J1105" s="142">
        <v>0</v>
      </c>
      <c r="K1105" s="142">
        <v>0</v>
      </c>
      <c r="L1105" s="142">
        <v>91</v>
      </c>
      <c r="M1105" s="142">
        <v>0</v>
      </c>
    </row>
    <row r="1106" spans="1:13" x14ac:dyDescent="0.45">
      <c r="A1106" s="142" t="s">
        <v>13205</v>
      </c>
      <c r="B1106" s="142" t="s">
        <v>14496</v>
      </c>
      <c r="C1106" s="142" t="s">
        <v>15847</v>
      </c>
      <c r="D1106" s="142" t="s">
        <v>15848</v>
      </c>
      <c r="E1106" s="142" t="s">
        <v>15849</v>
      </c>
      <c r="F1106" s="142" t="s">
        <v>1226</v>
      </c>
      <c r="G1106" s="142" t="s">
        <v>1225</v>
      </c>
      <c r="H1106" s="142" t="s">
        <v>16956</v>
      </c>
      <c r="I1106" s="142">
        <v>37</v>
      </c>
      <c r="J1106" s="142">
        <v>37</v>
      </c>
      <c r="K1106" s="142">
        <v>0</v>
      </c>
      <c r="L1106" s="142">
        <v>0</v>
      </c>
      <c r="M1106" s="142">
        <v>0</v>
      </c>
    </row>
    <row r="1107" spans="1:13" x14ac:dyDescent="0.45">
      <c r="A1107" s="142" t="s">
        <v>13012</v>
      </c>
      <c r="B1107" s="142" t="s">
        <v>15337</v>
      </c>
      <c r="C1107" s="142" t="s">
        <v>15847</v>
      </c>
      <c r="D1107" s="142" t="s">
        <v>15848</v>
      </c>
      <c r="E1107" s="142" t="s">
        <v>15849</v>
      </c>
      <c r="F1107" s="142" t="s">
        <v>1226</v>
      </c>
      <c r="G1107" s="142" t="s">
        <v>1225</v>
      </c>
      <c r="H1107" s="142" t="s">
        <v>16957</v>
      </c>
      <c r="I1107" s="142">
        <v>240</v>
      </c>
      <c r="J1107" s="142">
        <v>141</v>
      </c>
      <c r="K1107" s="142">
        <v>0</v>
      </c>
      <c r="L1107" s="142">
        <v>71</v>
      </c>
      <c r="M1107" s="142">
        <v>28</v>
      </c>
    </row>
    <row r="1108" spans="1:13" x14ac:dyDescent="0.45">
      <c r="A1108" s="142" t="s">
        <v>13206</v>
      </c>
      <c r="B1108" s="142" t="s">
        <v>14489</v>
      </c>
      <c r="C1108" s="142" t="s">
        <v>15860</v>
      </c>
      <c r="D1108" s="142" t="s">
        <v>15861</v>
      </c>
      <c r="E1108" s="142" t="s">
        <v>15849</v>
      </c>
      <c r="F1108" s="142" t="s">
        <v>1226</v>
      </c>
      <c r="G1108" s="142" t="s">
        <v>1225</v>
      </c>
      <c r="H1108" s="142" t="s">
        <v>16958</v>
      </c>
      <c r="I1108" s="142">
        <v>40</v>
      </c>
      <c r="J1108" s="142">
        <v>0</v>
      </c>
      <c r="K1108" s="142">
        <v>0</v>
      </c>
      <c r="L1108" s="142">
        <v>40</v>
      </c>
      <c r="M1108" s="142">
        <v>0</v>
      </c>
    </row>
    <row r="1109" spans="1:13" x14ac:dyDescent="0.45">
      <c r="A1109" s="142" t="s">
        <v>13014</v>
      </c>
      <c r="B1109" s="142" t="s">
        <v>14505</v>
      </c>
      <c r="C1109" s="142" t="s">
        <v>15847</v>
      </c>
      <c r="D1109" s="142" t="s">
        <v>15848</v>
      </c>
      <c r="E1109" s="142" t="s">
        <v>15849</v>
      </c>
      <c r="F1109" s="142" t="s">
        <v>1226</v>
      </c>
      <c r="G1109" s="142" t="s">
        <v>1225</v>
      </c>
      <c r="H1109" s="142" t="s">
        <v>16959</v>
      </c>
      <c r="I1109" s="142">
        <v>616</v>
      </c>
      <c r="J1109" s="142">
        <v>432</v>
      </c>
      <c r="K1109" s="142">
        <v>0</v>
      </c>
      <c r="L1109" s="142">
        <v>134</v>
      </c>
      <c r="M1109" s="142">
        <v>50</v>
      </c>
    </row>
    <row r="1110" spans="1:13" x14ac:dyDescent="0.45">
      <c r="A1110" s="142" t="s">
        <v>13042</v>
      </c>
      <c r="B1110" s="142" t="s">
        <v>15489</v>
      </c>
      <c r="C1110" s="142" t="s">
        <v>15847</v>
      </c>
      <c r="D1110" s="142" t="s">
        <v>15848</v>
      </c>
      <c r="E1110" s="142" t="s">
        <v>15849</v>
      </c>
      <c r="F1110" s="142" t="s">
        <v>1226</v>
      </c>
      <c r="G1110" s="142" t="s">
        <v>1225</v>
      </c>
      <c r="H1110" s="142" t="s">
        <v>16960</v>
      </c>
      <c r="I1110" s="142">
        <v>64</v>
      </c>
      <c r="J1110" s="142">
        <v>0</v>
      </c>
      <c r="K1110" s="142">
        <v>0</v>
      </c>
      <c r="L1110" s="142">
        <v>64</v>
      </c>
      <c r="M1110" s="142">
        <v>0</v>
      </c>
    </row>
    <row r="1111" spans="1:13" x14ac:dyDescent="0.45">
      <c r="A1111" s="142" t="s">
        <v>13374</v>
      </c>
      <c r="B1111" s="142" t="s">
        <v>14877</v>
      </c>
      <c r="C1111" s="142" t="s">
        <v>15860</v>
      </c>
      <c r="D1111" s="142" t="s">
        <v>15861</v>
      </c>
      <c r="E1111" s="142" t="s">
        <v>15849</v>
      </c>
      <c r="F1111" s="142" t="s">
        <v>1226</v>
      </c>
      <c r="G1111" s="142" t="s">
        <v>1225</v>
      </c>
      <c r="H1111" s="142" t="s">
        <v>16961</v>
      </c>
      <c r="I1111" s="142">
        <v>12</v>
      </c>
      <c r="J1111" s="142">
        <v>12</v>
      </c>
      <c r="K1111" s="142">
        <v>0</v>
      </c>
      <c r="L1111" s="142">
        <v>0</v>
      </c>
      <c r="M1111" s="142">
        <v>0</v>
      </c>
    </row>
    <row r="1112" spans="1:13" x14ac:dyDescent="0.45">
      <c r="A1112" s="142" t="s">
        <v>13174</v>
      </c>
      <c r="B1112" s="142" t="s">
        <v>15280</v>
      </c>
      <c r="C1112" s="142" t="s">
        <v>15847</v>
      </c>
      <c r="D1112" s="142" t="s">
        <v>15848</v>
      </c>
      <c r="E1112" s="142" t="s">
        <v>15849</v>
      </c>
      <c r="F1112" s="142" t="s">
        <v>1226</v>
      </c>
      <c r="G1112" s="142" t="s">
        <v>1225</v>
      </c>
      <c r="H1112" s="142" t="s">
        <v>16962</v>
      </c>
      <c r="I1112" s="142">
        <v>37</v>
      </c>
      <c r="J1112" s="142">
        <v>17</v>
      </c>
      <c r="K1112" s="142">
        <v>0</v>
      </c>
      <c r="L1112" s="142">
        <v>0</v>
      </c>
      <c r="M1112" s="142">
        <v>20</v>
      </c>
    </row>
    <row r="1113" spans="1:13" x14ac:dyDescent="0.45">
      <c r="A1113" s="142" t="s">
        <v>13375</v>
      </c>
      <c r="B1113" s="142" t="s">
        <v>15538</v>
      </c>
      <c r="C1113" s="142" t="s">
        <v>15860</v>
      </c>
      <c r="D1113" s="142" t="s">
        <v>15861</v>
      </c>
      <c r="E1113" s="142" t="s">
        <v>15849</v>
      </c>
      <c r="F1113" s="142" t="s">
        <v>1226</v>
      </c>
      <c r="G1113" s="142" t="s">
        <v>1225</v>
      </c>
      <c r="H1113" s="142" t="s">
        <v>16963</v>
      </c>
      <c r="I1113" s="142">
        <v>18</v>
      </c>
      <c r="J1113" s="142">
        <v>0</v>
      </c>
      <c r="K1113" s="142">
        <v>0</v>
      </c>
      <c r="L1113" s="142">
        <v>18</v>
      </c>
      <c r="M1113" s="142">
        <v>0</v>
      </c>
    </row>
    <row r="1114" spans="1:13" x14ac:dyDescent="0.45">
      <c r="A1114" s="142" t="s">
        <v>13021</v>
      </c>
      <c r="B1114" s="142" t="s">
        <v>15501</v>
      </c>
      <c r="C1114" s="142" t="s">
        <v>15847</v>
      </c>
      <c r="D1114" s="142" t="s">
        <v>15848</v>
      </c>
      <c r="E1114" s="142" t="s">
        <v>15849</v>
      </c>
      <c r="F1114" s="142" t="s">
        <v>7041</v>
      </c>
      <c r="G1114" s="142" t="s">
        <v>7040</v>
      </c>
      <c r="H1114" s="142" t="s">
        <v>16964</v>
      </c>
      <c r="I1114" s="142">
        <v>1</v>
      </c>
      <c r="J1114" s="142">
        <v>0</v>
      </c>
      <c r="K1114" s="142">
        <v>0</v>
      </c>
      <c r="L1114" s="142">
        <v>0</v>
      </c>
      <c r="M1114" s="142">
        <v>1</v>
      </c>
    </row>
    <row r="1115" spans="1:13" x14ac:dyDescent="0.45">
      <c r="A1115" s="142" t="s">
        <v>13330</v>
      </c>
      <c r="B1115" s="142" t="s">
        <v>15239</v>
      </c>
      <c r="C1115" s="142" t="s">
        <v>15847</v>
      </c>
      <c r="D1115" s="142" t="s">
        <v>15848</v>
      </c>
      <c r="E1115" s="142" t="s">
        <v>15849</v>
      </c>
      <c r="F1115" s="142" t="s">
        <v>7041</v>
      </c>
      <c r="G1115" s="142" t="s">
        <v>7040</v>
      </c>
      <c r="H1115" s="142" t="s">
        <v>16965</v>
      </c>
      <c r="I1115" s="142">
        <v>371</v>
      </c>
      <c r="J1115" s="142">
        <v>298</v>
      </c>
      <c r="K1115" s="142">
        <v>0</v>
      </c>
      <c r="L1115" s="142">
        <v>5</v>
      </c>
      <c r="M1115" s="142">
        <v>68</v>
      </c>
    </row>
    <row r="1116" spans="1:13" x14ac:dyDescent="0.45">
      <c r="A1116" s="142" t="s">
        <v>13000</v>
      </c>
      <c r="B1116" s="142" t="s">
        <v>14610</v>
      </c>
      <c r="C1116" s="142" t="s">
        <v>15847</v>
      </c>
      <c r="D1116" s="142" t="s">
        <v>15848</v>
      </c>
      <c r="E1116" s="142" t="s">
        <v>15849</v>
      </c>
      <c r="F1116" s="142" t="s">
        <v>7041</v>
      </c>
      <c r="G1116" s="142" t="s">
        <v>7040</v>
      </c>
      <c r="H1116" s="142" t="s">
        <v>16966</v>
      </c>
      <c r="I1116" s="142">
        <v>4037</v>
      </c>
      <c r="J1116" s="142">
        <v>3334</v>
      </c>
      <c r="K1116" s="142">
        <v>0</v>
      </c>
      <c r="L1116" s="142">
        <v>552</v>
      </c>
      <c r="M1116" s="142">
        <v>151</v>
      </c>
    </row>
    <row r="1117" spans="1:13" x14ac:dyDescent="0.45">
      <c r="A1117" s="142" t="s">
        <v>13084</v>
      </c>
      <c r="B1117" s="142" t="s">
        <v>15471</v>
      </c>
      <c r="C1117" s="142" t="s">
        <v>15847</v>
      </c>
      <c r="D1117" s="142" t="s">
        <v>15848</v>
      </c>
      <c r="E1117" s="142" t="s">
        <v>15849</v>
      </c>
      <c r="F1117" s="142" t="s">
        <v>7041</v>
      </c>
      <c r="G1117" s="142" t="s">
        <v>7040</v>
      </c>
      <c r="H1117" s="142" t="s">
        <v>16967</v>
      </c>
      <c r="I1117" s="142">
        <v>34</v>
      </c>
      <c r="J1117" s="142">
        <v>27</v>
      </c>
      <c r="K1117" s="142">
        <v>0</v>
      </c>
      <c r="L1117" s="142">
        <v>0</v>
      </c>
      <c r="M1117" s="142">
        <v>7</v>
      </c>
    </row>
    <row r="1118" spans="1:13" x14ac:dyDescent="0.45">
      <c r="A1118" s="142" t="s">
        <v>13087</v>
      </c>
      <c r="B1118" s="142" t="s">
        <v>14452</v>
      </c>
      <c r="C1118" s="142" t="s">
        <v>15847</v>
      </c>
      <c r="D1118" s="142" t="s">
        <v>15848</v>
      </c>
      <c r="E1118" s="142" t="s">
        <v>15849</v>
      </c>
      <c r="F1118" s="142" t="s">
        <v>7041</v>
      </c>
      <c r="G1118" s="142" t="s">
        <v>7040</v>
      </c>
      <c r="H1118" s="142" t="s">
        <v>16968</v>
      </c>
      <c r="I1118" s="142">
        <v>1104</v>
      </c>
      <c r="J1118" s="142">
        <v>870</v>
      </c>
      <c r="K1118" s="142">
        <v>0</v>
      </c>
      <c r="L1118" s="142">
        <v>8</v>
      </c>
      <c r="M1118" s="142">
        <v>226</v>
      </c>
    </row>
    <row r="1119" spans="1:13" x14ac:dyDescent="0.45">
      <c r="A1119" s="142" t="s">
        <v>13027</v>
      </c>
      <c r="B1119" s="142" t="s">
        <v>14562</v>
      </c>
      <c r="C1119" s="142" t="s">
        <v>15847</v>
      </c>
      <c r="D1119" s="142" t="s">
        <v>15848</v>
      </c>
      <c r="E1119" s="142" t="s">
        <v>15849</v>
      </c>
      <c r="F1119" s="142" t="s">
        <v>7041</v>
      </c>
      <c r="G1119" s="142" t="s">
        <v>7040</v>
      </c>
      <c r="H1119" s="142" t="s">
        <v>16969</v>
      </c>
      <c r="I1119" s="142">
        <v>6</v>
      </c>
      <c r="J1119" s="142">
        <v>0</v>
      </c>
      <c r="K1119" s="142">
        <v>0</v>
      </c>
      <c r="L1119" s="142">
        <v>6</v>
      </c>
      <c r="M1119" s="142">
        <v>0</v>
      </c>
    </row>
    <row r="1120" spans="1:13" x14ac:dyDescent="0.45">
      <c r="A1120" s="142" t="s">
        <v>13002</v>
      </c>
      <c r="B1120" s="142" t="s">
        <v>15376</v>
      </c>
      <c r="C1120" s="142" t="s">
        <v>15847</v>
      </c>
      <c r="D1120" s="142" t="s">
        <v>15848</v>
      </c>
      <c r="E1120" s="142" t="s">
        <v>15849</v>
      </c>
      <c r="F1120" s="142" t="s">
        <v>7041</v>
      </c>
      <c r="G1120" s="142" t="s">
        <v>7040</v>
      </c>
      <c r="H1120" s="142" t="s">
        <v>16970</v>
      </c>
      <c r="I1120" s="142">
        <v>2</v>
      </c>
      <c r="J1120" s="142">
        <v>0</v>
      </c>
      <c r="K1120" s="142">
        <v>0</v>
      </c>
      <c r="L1120" s="142">
        <v>2</v>
      </c>
      <c r="M1120" s="142">
        <v>0</v>
      </c>
    </row>
    <row r="1121" spans="1:13" x14ac:dyDescent="0.45">
      <c r="A1121" s="142" t="s">
        <v>13003</v>
      </c>
      <c r="B1121" s="142" t="s">
        <v>15245</v>
      </c>
      <c r="C1121" s="142" t="s">
        <v>15847</v>
      </c>
      <c r="D1121" s="142" t="s">
        <v>15848</v>
      </c>
      <c r="E1121" s="142" t="s">
        <v>15849</v>
      </c>
      <c r="F1121" s="142" t="s">
        <v>7041</v>
      </c>
      <c r="G1121" s="142" t="s">
        <v>7040</v>
      </c>
      <c r="H1121" s="142" t="s">
        <v>16971</v>
      </c>
      <c r="I1121" s="142">
        <v>67</v>
      </c>
      <c r="J1121" s="142">
        <v>0</v>
      </c>
      <c r="K1121" s="142">
        <v>0</v>
      </c>
      <c r="L1121" s="142">
        <v>63</v>
      </c>
      <c r="M1121" s="142">
        <v>4</v>
      </c>
    </row>
    <row r="1122" spans="1:13" x14ac:dyDescent="0.45">
      <c r="A1122" s="142" t="s">
        <v>13178</v>
      </c>
      <c r="B1122" s="142" t="s">
        <v>14683</v>
      </c>
      <c r="C1122" s="142" t="s">
        <v>15847</v>
      </c>
      <c r="D1122" s="142" t="s">
        <v>15848</v>
      </c>
      <c r="E1122" s="142" t="s">
        <v>15849</v>
      </c>
      <c r="F1122" s="142" t="s">
        <v>7041</v>
      </c>
      <c r="G1122" s="142" t="s">
        <v>7040</v>
      </c>
      <c r="H1122" s="142" t="s">
        <v>16972</v>
      </c>
      <c r="I1122" s="142">
        <v>28</v>
      </c>
      <c r="J1122" s="142">
        <v>28</v>
      </c>
      <c r="K1122" s="142">
        <v>0</v>
      </c>
      <c r="L1122" s="142">
        <v>0</v>
      </c>
      <c r="M1122" s="142">
        <v>0</v>
      </c>
    </row>
    <row r="1123" spans="1:13" x14ac:dyDescent="0.45">
      <c r="A1123" s="142" t="s">
        <v>13076</v>
      </c>
      <c r="B1123" s="142" t="s">
        <v>14636</v>
      </c>
      <c r="C1123" s="142" t="s">
        <v>15847</v>
      </c>
      <c r="D1123" s="142" t="s">
        <v>15848</v>
      </c>
      <c r="E1123" s="142" t="s">
        <v>15849</v>
      </c>
      <c r="F1123" s="142" t="s">
        <v>7041</v>
      </c>
      <c r="G1123" s="142" t="s">
        <v>7040</v>
      </c>
      <c r="H1123" s="142" t="s">
        <v>16973</v>
      </c>
      <c r="I1123" s="142">
        <v>209</v>
      </c>
      <c r="J1123" s="142">
        <v>50</v>
      </c>
      <c r="K1123" s="142">
        <v>0</v>
      </c>
      <c r="L1123" s="142">
        <v>0</v>
      </c>
      <c r="M1123" s="142">
        <v>159</v>
      </c>
    </row>
    <row r="1124" spans="1:13" x14ac:dyDescent="0.45">
      <c r="A1124" s="142" t="s">
        <v>13331</v>
      </c>
      <c r="B1124" s="142" t="s">
        <v>14682</v>
      </c>
      <c r="C1124" s="142" t="s">
        <v>15860</v>
      </c>
      <c r="D1124" s="142" t="s">
        <v>15861</v>
      </c>
      <c r="E1124" s="142" t="s">
        <v>15849</v>
      </c>
      <c r="F1124" s="142" t="s">
        <v>7041</v>
      </c>
      <c r="G1124" s="142" t="s">
        <v>7040</v>
      </c>
      <c r="H1124" s="142" t="s">
        <v>16974</v>
      </c>
      <c r="I1124" s="142">
        <v>13</v>
      </c>
      <c r="J1124" s="142">
        <v>13</v>
      </c>
      <c r="K1124" s="142">
        <v>0</v>
      </c>
      <c r="L1124" s="142">
        <v>0</v>
      </c>
      <c r="M1124" s="142">
        <v>0</v>
      </c>
    </row>
    <row r="1125" spans="1:13" x14ac:dyDescent="0.45">
      <c r="A1125" s="142" t="s">
        <v>13029</v>
      </c>
      <c r="B1125" s="142" t="s">
        <v>14665</v>
      </c>
      <c r="C1125" s="142" t="s">
        <v>15847</v>
      </c>
      <c r="D1125" s="142" t="s">
        <v>15848</v>
      </c>
      <c r="E1125" s="142" t="s">
        <v>15849</v>
      </c>
      <c r="F1125" s="142" t="s">
        <v>7041</v>
      </c>
      <c r="G1125" s="142" t="s">
        <v>7040</v>
      </c>
      <c r="H1125" s="142" t="s">
        <v>16975</v>
      </c>
      <c r="I1125" s="142">
        <v>9</v>
      </c>
      <c r="J1125" s="142">
        <v>0</v>
      </c>
      <c r="K1125" s="142">
        <v>0</v>
      </c>
      <c r="L1125" s="142">
        <v>0</v>
      </c>
      <c r="M1125" s="142">
        <v>9</v>
      </c>
    </row>
    <row r="1126" spans="1:13" x14ac:dyDescent="0.45">
      <c r="A1126" s="142" t="s">
        <v>13008</v>
      </c>
      <c r="B1126" s="142" t="s">
        <v>15411</v>
      </c>
      <c r="C1126" s="142" t="s">
        <v>15847</v>
      </c>
      <c r="D1126" s="142" t="s">
        <v>15848</v>
      </c>
      <c r="E1126" s="142" t="s">
        <v>15849</v>
      </c>
      <c r="F1126" s="142" t="s">
        <v>7041</v>
      </c>
      <c r="G1126" s="142" t="s">
        <v>7040</v>
      </c>
      <c r="H1126" s="142" t="s">
        <v>16976</v>
      </c>
      <c r="I1126" s="142">
        <v>160</v>
      </c>
      <c r="J1126" s="142">
        <v>0</v>
      </c>
      <c r="K1126" s="142">
        <v>0</v>
      </c>
      <c r="L1126" s="142">
        <v>0</v>
      </c>
      <c r="M1126" s="142">
        <v>160</v>
      </c>
    </row>
    <row r="1127" spans="1:13" x14ac:dyDescent="0.45">
      <c r="A1127" s="142" t="s">
        <v>13077</v>
      </c>
      <c r="B1127" s="142" t="s">
        <v>15407</v>
      </c>
      <c r="C1127" s="142" t="s">
        <v>15847</v>
      </c>
      <c r="D1127" s="142" t="s">
        <v>15848</v>
      </c>
      <c r="E1127" s="142" t="s">
        <v>15849</v>
      </c>
      <c r="F1127" s="142" t="s">
        <v>7041</v>
      </c>
      <c r="G1127" s="142" t="s">
        <v>7040</v>
      </c>
      <c r="H1127" s="142" t="s">
        <v>16977</v>
      </c>
      <c r="I1127" s="142">
        <v>350</v>
      </c>
      <c r="J1127" s="142">
        <v>350</v>
      </c>
      <c r="K1127" s="142">
        <v>0</v>
      </c>
      <c r="L1127" s="142">
        <v>0</v>
      </c>
      <c r="M1127" s="142">
        <v>0</v>
      </c>
    </row>
    <row r="1128" spans="1:13" x14ac:dyDescent="0.45">
      <c r="A1128" s="142" t="s">
        <v>13033</v>
      </c>
      <c r="B1128" s="142" t="s">
        <v>15276</v>
      </c>
      <c r="C1128" s="142" t="s">
        <v>15847</v>
      </c>
      <c r="D1128" s="142" t="s">
        <v>15848</v>
      </c>
      <c r="E1128" s="142" t="s">
        <v>15849</v>
      </c>
      <c r="F1128" s="142" t="s">
        <v>7041</v>
      </c>
      <c r="G1128" s="142" t="s">
        <v>7040</v>
      </c>
      <c r="H1128" s="142" t="s">
        <v>16978</v>
      </c>
      <c r="I1128" s="142">
        <v>3</v>
      </c>
      <c r="J1128" s="142">
        <v>0</v>
      </c>
      <c r="K1128" s="142">
        <v>0</v>
      </c>
      <c r="L1128" s="142">
        <v>3</v>
      </c>
      <c r="M1128" s="142">
        <v>0</v>
      </c>
    </row>
    <row r="1129" spans="1:13" x14ac:dyDescent="0.45">
      <c r="A1129" s="142" t="s">
        <v>13034</v>
      </c>
      <c r="B1129" s="142" t="s">
        <v>15562</v>
      </c>
      <c r="C1129" s="142" t="s">
        <v>15847</v>
      </c>
      <c r="D1129" s="142" t="s">
        <v>15848</v>
      </c>
      <c r="E1129" s="142" t="s">
        <v>15849</v>
      </c>
      <c r="F1129" s="142" t="s">
        <v>7041</v>
      </c>
      <c r="G1129" s="142" t="s">
        <v>7040</v>
      </c>
      <c r="H1129" s="142" t="s">
        <v>16979</v>
      </c>
      <c r="I1129" s="142">
        <v>45</v>
      </c>
      <c r="J1129" s="142">
        <v>42</v>
      </c>
      <c r="K1129" s="142">
        <v>0</v>
      </c>
      <c r="L1129" s="142">
        <v>0</v>
      </c>
      <c r="M1129" s="142">
        <v>3</v>
      </c>
    </row>
    <row r="1130" spans="1:13" x14ac:dyDescent="0.45">
      <c r="A1130" s="142" t="s">
        <v>13036</v>
      </c>
      <c r="B1130" s="142" t="s">
        <v>15567</v>
      </c>
      <c r="C1130" s="142" t="s">
        <v>15847</v>
      </c>
      <c r="D1130" s="142" t="s">
        <v>15848</v>
      </c>
      <c r="E1130" s="142" t="s">
        <v>15849</v>
      </c>
      <c r="F1130" s="142" t="s">
        <v>7041</v>
      </c>
      <c r="G1130" s="142" t="s">
        <v>7040</v>
      </c>
      <c r="H1130" s="142" t="s">
        <v>16980</v>
      </c>
      <c r="I1130" s="142">
        <v>25</v>
      </c>
      <c r="J1130" s="142">
        <v>0</v>
      </c>
      <c r="K1130" s="142">
        <v>0</v>
      </c>
      <c r="L1130" s="142">
        <v>25</v>
      </c>
      <c r="M1130" s="142">
        <v>0</v>
      </c>
    </row>
    <row r="1131" spans="1:13" x14ac:dyDescent="0.45">
      <c r="A1131" s="142" t="s">
        <v>13090</v>
      </c>
      <c r="B1131" s="142" t="s">
        <v>15600</v>
      </c>
      <c r="C1131" s="142" t="s">
        <v>15847</v>
      </c>
      <c r="D1131" s="142" t="s">
        <v>15848</v>
      </c>
      <c r="E1131" s="142" t="s">
        <v>15849</v>
      </c>
      <c r="F1131" s="142" t="s">
        <v>7041</v>
      </c>
      <c r="G1131" s="142" t="s">
        <v>7040</v>
      </c>
      <c r="H1131" s="142" t="s">
        <v>16981</v>
      </c>
      <c r="I1131" s="142">
        <v>437</v>
      </c>
      <c r="J1131" s="142">
        <v>327</v>
      </c>
      <c r="K1131" s="142">
        <v>0</v>
      </c>
      <c r="L1131" s="142">
        <v>67</v>
      </c>
      <c r="M1131" s="142">
        <v>43</v>
      </c>
    </row>
    <row r="1132" spans="1:13" x14ac:dyDescent="0.45">
      <c r="A1132" s="142" t="s">
        <v>13038</v>
      </c>
      <c r="B1132" s="142" t="s">
        <v>14646</v>
      </c>
      <c r="C1132" s="142" t="s">
        <v>15847</v>
      </c>
      <c r="D1132" s="142" t="s">
        <v>15848</v>
      </c>
      <c r="E1132" s="142" t="s">
        <v>15849</v>
      </c>
      <c r="F1132" s="142" t="s">
        <v>7041</v>
      </c>
      <c r="G1132" s="142" t="s">
        <v>7040</v>
      </c>
      <c r="H1132" s="142" t="s">
        <v>16982</v>
      </c>
      <c r="I1132" s="142">
        <v>93</v>
      </c>
      <c r="J1132" s="142">
        <v>41</v>
      </c>
      <c r="K1132" s="142">
        <v>0</v>
      </c>
      <c r="L1132" s="142">
        <v>0</v>
      </c>
      <c r="M1132" s="142">
        <v>52</v>
      </c>
    </row>
    <row r="1133" spans="1:13" x14ac:dyDescent="0.45">
      <c r="A1133" s="142" t="s">
        <v>13039</v>
      </c>
      <c r="B1133" s="142" t="s">
        <v>14647</v>
      </c>
      <c r="C1133" s="142" t="s">
        <v>15847</v>
      </c>
      <c r="D1133" s="142" t="s">
        <v>15848</v>
      </c>
      <c r="E1133" s="142" t="s">
        <v>15849</v>
      </c>
      <c r="F1133" s="142" t="s">
        <v>7041</v>
      </c>
      <c r="G1133" s="142" t="s">
        <v>7040</v>
      </c>
      <c r="H1133" s="142" t="s">
        <v>16983</v>
      </c>
      <c r="I1133" s="142">
        <v>76</v>
      </c>
      <c r="J1133" s="142">
        <v>76</v>
      </c>
      <c r="K1133" s="142">
        <v>0</v>
      </c>
      <c r="L1133" s="142">
        <v>0</v>
      </c>
      <c r="M1133" s="142">
        <v>0</v>
      </c>
    </row>
    <row r="1134" spans="1:13" x14ac:dyDescent="0.45">
      <c r="A1134" s="142" t="s">
        <v>13091</v>
      </c>
      <c r="B1134" s="142" t="s">
        <v>14473</v>
      </c>
      <c r="C1134" s="142" t="s">
        <v>15847</v>
      </c>
      <c r="D1134" s="142" t="s">
        <v>15848</v>
      </c>
      <c r="E1134" s="142" t="s">
        <v>15849</v>
      </c>
      <c r="F1134" s="142" t="s">
        <v>7041</v>
      </c>
      <c r="G1134" s="142" t="s">
        <v>7040</v>
      </c>
      <c r="H1134" s="142" t="s">
        <v>16984</v>
      </c>
      <c r="I1134" s="142">
        <v>24</v>
      </c>
      <c r="J1134" s="142">
        <v>0</v>
      </c>
      <c r="K1134" s="142">
        <v>0</v>
      </c>
      <c r="L1134" s="142">
        <v>24</v>
      </c>
      <c r="M1134" s="142">
        <v>0</v>
      </c>
    </row>
    <row r="1135" spans="1:13" x14ac:dyDescent="0.45">
      <c r="A1135" s="142" t="s">
        <v>13041</v>
      </c>
      <c r="B1135" s="142" t="s">
        <v>14441</v>
      </c>
      <c r="C1135" s="142" t="s">
        <v>15847</v>
      </c>
      <c r="D1135" s="142" t="s">
        <v>15848</v>
      </c>
      <c r="E1135" s="142" t="s">
        <v>15849</v>
      </c>
      <c r="F1135" s="142" t="s">
        <v>7041</v>
      </c>
      <c r="G1135" s="142" t="s">
        <v>7040</v>
      </c>
      <c r="H1135" s="142" t="s">
        <v>16985</v>
      </c>
      <c r="I1135" s="142">
        <v>35</v>
      </c>
      <c r="J1135" s="142">
        <v>0</v>
      </c>
      <c r="K1135" s="142">
        <v>0</v>
      </c>
      <c r="L1135" s="142">
        <v>0</v>
      </c>
      <c r="M1135" s="142">
        <v>35</v>
      </c>
    </row>
    <row r="1136" spans="1:13" x14ac:dyDescent="0.45">
      <c r="A1136" s="142" t="s">
        <v>13014</v>
      </c>
      <c r="B1136" s="142" t="s">
        <v>14505</v>
      </c>
      <c r="C1136" s="142" t="s">
        <v>15847</v>
      </c>
      <c r="D1136" s="142" t="s">
        <v>15848</v>
      </c>
      <c r="E1136" s="142" t="s">
        <v>15849</v>
      </c>
      <c r="F1136" s="142" t="s">
        <v>7041</v>
      </c>
      <c r="G1136" s="142" t="s">
        <v>7040</v>
      </c>
      <c r="H1136" s="142" t="s">
        <v>16986</v>
      </c>
      <c r="I1136" s="142">
        <v>1</v>
      </c>
      <c r="J1136" s="142">
        <v>0</v>
      </c>
      <c r="K1136" s="142">
        <v>0</v>
      </c>
      <c r="L1136" s="142">
        <v>0</v>
      </c>
      <c r="M1136" s="142">
        <v>1</v>
      </c>
    </row>
    <row r="1137" spans="1:13" x14ac:dyDescent="0.45">
      <c r="A1137" s="142" t="s">
        <v>13165</v>
      </c>
      <c r="B1137" s="142" t="s">
        <v>15525</v>
      </c>
      <c r="C1137" s="142" t="s">
        <v>15860</v>
      </c>
      <c r="D1137" s="142" t="s">
        <v>15861</v>
      </c>
      <c r="E1137" s="142" t="s">
        <v>15849</v>
      </c>
      <c r="F1137" s="142" t="s">
        <v>7041</v>
      </c>
      <c r="G1137" s="142" t="s">
        <v>7040</v>
      </c>
      <c r="H1137" s="142" t="s">
        <v>16987</v>
      </c>
      <c r="I1137" s="142">
        <v>2</v>
      </c>
      <c r="J1137" s="142">
        <v>0</v>
      </c>
      <c r="K1137" s="142">
        <v>0</v>
      </c>
      <c r="L1137" s="142">
        <v>2</v>
      </c>
      <c r="M1137" s="142">
        <v>0</v>
      </c>
    </row>
    <row r="1138" spans="1:13" x14ac:dyDescent="0.45">
      <c r="A1138" s="142" t="s">
        <v>13332</v>
      </c>
      <c r="B1138" s="142" t="s">
        <v>14612</v>
      </c>
      <c r="C1138" s="142" t="s">
        <v>15860</v>
      </c>
      <c r="D1138" s="142" t="s">
        <v>15861</v>
      </c>
      <c r="E1138" s="142" t="s">
        <v>15849</v>
      </c>
      <c r="F1138" s="142" t="s">
        <v>7041</v>
      </c>
      <c r="G1138" s="142" t="s">
        <v>7040</v>
      </c>
      <c r="H1138" s="142" t="s">
        <v>16988</v>
      </c>
      <c r="I1138" s="142">
        <v>32</v>
      </c>
      <c r="J1138" s="142">
        <v>32</v>
      </c>
      <c r="K1138" s="142">
        <v>0</v>
      </c>
      <c r="L1138" s="142">
        <v>0</v>
      </c>
      <c r="M1138" s="142">
        <v>0</v>
      </c>
    </row>
    <row r="1139" spans="1:13" x14ac:dyDescent="0.45">
      <c r="A1139" s="142" t="s">
        <v>13110</v>
      </c>
      <c r="B1139" s="142" t="s">
        <v>15502</v>
      </c>
      <c r="C1139" s="142" t="s">
        <v>15847</v>
      </c>
      <c r="D1139" s="142" t="s">
        <v>15848</v>
      </c>
      <c r="E1139" s="142" t="s">
        <v>15849</v>
      </c>
      <c r="F1139" s="142" t="s">
        <v>11398</v>
      </c>
      <c r="G1139" s="142" t="s">
        <v>11397</v>
      </c>
      <c r="H1139" s="142" t="s">
        <v>16989</v>
      </c>
      <c r="I1139" s="142">
        <v>1135</v>
      </c>
      <c r="J1139" s="142">
        <v>903</v>
      </c>
      <c r="K1139" s="142">
        <v>0</v>
      </c>
      <c r="L1139" s="142">
        <v>182</v>
      </c>
      <c r="M1139" s="142">
        <v>50</v>
      </c>
    </row>
    <row r="1140" spans="1:13" x14ac:dyDescent="0.45">
      <c r="A1140" s="142" t="s">
        <v>13072</v>
      </c>
      <c r="B1140" s="142" t="s">
        <v>15530</v>
      </c>
      <c r="C1140" s="142" t="s">
        <v>15847</v>
      </c>
      <c r="D1140" s="142" t="s">
        <v>15848</v>
      </c>
      <c r="E1140" s="142" t="s">
        <v>15849</v>
      </c>
      <c r="F1140" s="142" t="s">
        <v>11398</v>
      </c>
      <c r="G1140" s="142" t="s">
        <v>11397</v>
      </c>
      <c r="H1140" s="142" t="s">
        <v>16990</v>
      </c>
      <c r="I1140" s="142">
        <v>37</v>
      </c>
      <c r="J1140" s="142">
        <v>0</v>
      </c>
      <c r="K1140" s="142">
        <v>0</v>
      </c>
      <c r="L1140" s="142">
        <v>0</v>
      </c>
      <c r="M1140" s="142">
        <v>37</v>
      </c>
    </row>
    <row r="1141" spans="1:13" x14ac:dyDescent="0.45">
      <c r="A1141" s="142" t="s">
        <v>13021</v>
      </c>
      <c r="B1141" s="142" t="s">
        <v>15501</v>
      </c>
      <c r="C1141" s="142" t="s">
        <v>15847</v>
      </c>
      <c r="D1141" s="142" t="s">
        <v>15848</v>
      </c>
      <c r="E1141" s="142" t="s">
        <v>15849</v>
      </c>
      <c r="F1141" s="142" t="s">
        <v>11398</v>
      </c>
      <c r="G1141" s="142" t="s">
        <v>11397</v>
      </c>
      <c r="H1141" s="142" t="s">
        <v>16991</v>
      </c>
      <c r="I1141" s="142">
        <v>3</v>
      </c>
      <c r="J1141" s="142">
        <v>0</v>
      </c>
      <c r="K1141" s="142">
        <v>0</v>
      </c>
      <c r="L1141" s="142">
        <v>3</v>
      </c>
      <c r="M1141" s="142">
        <v>0</v>
      </c>
    </row>
    <row r="1142" spans="1:13" x14ac:dyDescent="0.45">
      <c r="A1142" s="142" t="s">
        <v>13378</v>
      </c>
      <c r="B1142" s="142" t="s">
        <v>15424</v>
      </c>
      <c r="C1142" s="142" t="s">
        <v>15860</v>
      </c>
      <c r="D1142" s="142" t="s">
        <v>15861</v>
      </c>
      <c r="E1142" s="142" t="s">
        <v>15849</v>
      </c>
      <c r="F1142" s="142" t="s">
        <v>11398</v>
      </c>
      <c r="G1142" s="142" t="s">
        <v>11397</v>
      </c>
      <c r="H1142" s="142" t="s">
        <v>16992</v>
      </c>
      <c r="I1142" s="142">
        <v>1</v>
      </c>
      <c r="J1142" s="142">
        <v>1</v>
      </c>
      <c r="K1142" s="142">
        <v>0</v>
      </c>
      <c r="L1142" s="142">
        <v>0</v>
      </c>
      <c r="M1142" s="142">
        <v>0</v>
      </c>
    </row>
    <row r="1143" spans="1:13" x14ac:dyDescent="0.45">
      <c r="A1143" s="142" t="s">
        <v>13023</v>
      </c>
      <c r="B1143" s="142" t="s">
        <v>15571</v>
      </c>
      <c r="C1143" s="142" t="s">
        <v>15847</v>
      </c>
      <c r="D1143" s="142" t="s">
        <v>15848</v>
      </c>
      <c r="E1143" s="142" t="s">
        <v>15849</v>
      </c>
      <c r="F1143" s="142" t="s">
        <v>11398</v>
      </c>
      <c r="G1143" s="142" t="s">
        <v>11397</v>
      </c>
      <c r="H1143" s="142" t="s">
        <v>16993</v>
      </c>
      <c r="I1143" s="142">
        <v>221</v>
      </c>
      <c r="J1143" s="142">
        <v>0</v>
      </c>
      <c r="K1143" s="142">
        <v>0</v>
      </c>
      <c r="L1143" s="142">
        <v>221</v>
      </c>
      <c r="M1143" s="142">
        <v>0</v>
      </c>
    </row>
    <row r="1144" spans="1:13" x14ac:dyDescent="0.45">
      <c r="A1144" s="142" t="s">
        <v>13379</v>
      </c>
      <c r="B1144" s="142" t="s">
        <v>14972</v>
      </c>
      <c r="C1144" s="142" t="s">
        <v>15860</v>
      </c>
      <c r="D1144" s="142" t="s">
        <v>15861</v>
      </c>
      <c r="E1144" s="142" t="s">
        <v>15849</v>
      </c>
      <c r="F1144" s="142" t="s">
        <v>11398</v>
      </c>
      <c r="G1144" s="142" t="s">
        <v>11397</v>
      </c>
      <c r="H1144" s="142" t="s">
        <v>16994</v>
      </c>
      <c r="I1144" s="142">
        <v>49</v>
      </c>
      <c r="J1144" s="142">
        <v>49</v>
      </c>
      <c r="K1144" s="142">
        <v>0</v>
      </c>
      <c r="L1144" s="142">
        <v>0</v>
      </c>
      <c r="M1144" s="142">
        <v>0</v>
      </c>
    </row>
    <row r="1145" spans="1:13" x14ac:dyDescent="0.45">
      <c r="A1145" s="142" t="s">
        <v>13065</v>
      </c>
      <c r="B1145" s="142" t="s">
        <v>14497</v>
      </c>
      <c r="C1145" s="142" t="s">
        <v>15847</v>
      </c>
      <c r="D1145" s="142" t="s">
        <v>15848</v>
      </c>
      <c r="E1145" s="142" t="s">
        <v>15849</v>
      </c>
      <c r="F1145" s="142" t="s">
        <v>11398</v>
      </c>
      <c r="G1145" s="142" t="s">
        <v>11397</v>
      </c>
      <c r="H1145" s="142" t="s">
        <v>16995</v>
      </c>
      <c r="I1145" s="142">
        <v>9</v>
      </c>
      <c r="J1145" s="142">
        <v>0</v>
      </c>
      <c r="K1145" s="142">
        <v>0</v>
      </c>
      <c r="L1145" s="142">
        <v>9</v>
      </c>
      <c r="M1145" s="142">
        <v>0</v>
      </c>
    </row>
    <row r="1146" spans="1:13" x14ac:dyDescent="0.45">
      <c r="A1146" s="142" t="s">
        <v>13114</v>
      </c>
      <c r="B1146" s="142" t="s">
        <v>15328</v>
      </c>
      <c r="C1146" s="142" t="s">
        <v>15860</v>
      </c>
      <c r="D1146" s="142" t="s">
        <v>15861</v>
      </c>
      <c r="E1146" s="142" t="s">
        <v>15849</v>
      </c>
      <c r="F1146" s="142" t="s">
        <v>11398</v>
      </c>
      <c r="G1146" s="142" t="s">
        <v>11397</v>
      </c>
      <c r="H1146" s="142" t="s">
        <v>16996</v>
      </c>
      <c r="I1146" s="142">
        <v>4</v>
      </c>
      <c r="J1146" s="142">
        <v>0</v>
      </c>
      <c r="K1146" s="142">
        <v>0</v>
      </c>
      <c r="L1146" s="142">
        <v>4</v>
      </c>
      <c r="M1146" s="142">
        <v>0</v>
      </c>
    </row>
    <row r="1147" spans="1:13" x14ac:dyDescent="0.45">
      <c r="A1147" s="142" t="s">
        <v>13380</v>
      </c>
      <c r="B1147" s="142" t="s">
        <v>14677</v>
      </c>
      <c r="C1147" s="142" t="s">
        <v>15860</v>
      </c>
      <c r="D1147" s="142" t="s">
        <v>15861</v>
      </c>
      <c r="E1147" s="142" t="s">
        <v>15849</v>
      </c>
      <c r="F1147" s="142" t="s">
        <v>11398</v>
      </c>
      <c r="G1147" s="142" t="s">
        <v>11397</v>
      </c>
      <c r="H1147" s="142" t="s">
        <v>16997</v>
      </c>
      <c r="I1147" s="142">
        <v>8</v>
      </c>
      <c r="J1147" s="142">
        <v>0</v>
      </c>
      <c r="K1147" s="142">
        <v>0</v>
      </c>
      <c r="L1147" s="142">
        <v>8</v>
      </c>
      <c r="M1147" s="142">
        <v>0</v>
      </c>
    </row>
    <row r="1148" spans="1:13" x14ac:dyDescent="0.45">
      <c r="A1148" s="142" t="s">
        <v>13381</v>
      </c>
      <c r="B1148" s="142" t="s">
        <v>14721</v>
      </c>
      <c r="C1148" s="142" t="s">
        <v>15860</v>
      </c>
      <c r="D1148" s="142" t="s">
        <v>15861</v>
      </c>
      <c r="E1148" s="142" t="s">
        <v>15849</v>
      </c>
      <c r="F1148" s="142" t="s">
        <v>11398</v>
      </c>
      <c r="G1148" s="142" t="s">
        <v>11397</v>
      </c>
      <c r="H1148" s="142" t="s">
        <v>16998</v>
      </c>
      <c r="I1148" s="142">
        <v>39</v>
      </c>
      <c r="J1148" s="142">
        <v>0</v>
      </c>
      <c r="K1148" s="142">
        <v>0</v>
      </c>
      <c r="L1148" s="142">
        <v>39</v>
      </c>
      <c r="M1148" s="142">
        <v>0</v>
      </c>
    </row>
    <row r="1149" spans="1:13" x14ac:dyDescent="0.45">
      <c r="A1149" s="142" t="s">
        <v>13382</v>
      </c>
      <c r="B1149" s="142" t="s">
        <v>15243</v>
      </c>
      <c r="C1149" s="142" t="s">
        <v>15860</v>
      </c>
      <c r="D1149" s="142" t="s">
        <v>15861</v>
      </c>
      <c r="E1149" s="142" t="s">
        <v>15849</v>
      </c>
      <c r="F1149" s="142" t="s">
        <v>11398</v>
      </c>
      <c r="G1149" s="142" t="s">
        <v>11397</v>
      </c>
      <c r="H1149" s="142" t="s">
        <v>16999</v>
      </c>
      <c r="I1149" s="142">
        <v>49</v>
      </c>
      <c r="J1149" s="142">
        <v>49</v>
      </c>
      <c r="K1149" s="142">
        <v>0</v>
      </c>
      <c r="L1149" s="142">
        <v>0</v>
      </c>
      <c r="M1149" s="142">
        <v>0</v>
      </c>
    </row>
    <row r="1150" spans="1:13" x14ac:dyDescent="0.45">
      <c r="A1150" s="142" t="s">
        <v>13358</v>
      </c>
      <c r="B1150" s="142" t="s">
        <v>15385</v>
      </c>
      <c r="C1150" s="142" t="s">
        <v>15860</v>
      </c>
      <c r="D1150" s="142" t="s">
        <v>15861</v>
      </c>
      <c r="E1150" s="142" t="s">
        <v>15849</v>
      </c>
      <c r="F1150" s="142" t="s">
        <v>11398</v>
      </c>
      <c r="G1150" s="142" t="s">
        <v>11397</v>
      </c>
      <c r="H1150" s="142" t="s">
        <v>17000</v>
      </c>
      <c r="I1150" s="142">
        <v>19</v>
      </c>
      <c r="J1150" s="142">
        <v>12</v>
      </c>
      <c r="K1150" s="142">
        <v>7</v>
      </c>
      <c r="L1150" s="142">
        <v>0</v>
      </c>
      <c r="M1150" s="142">
        <v>0</v>
      </c>
    </row>
    <row r="1151" spans="1:13" x14ac:dyDescent="0.45">
      <c r="A1151" s="142" t="s">
        <v>13211</v>
      </c>
      <c r="B1151" s="142" t="s">
        <v>15341</v>
      </c>
      <c r="C1151" s="142" t="s">
        <v>15860</v>
      </c>
      <c r="D1151" s="142" t="s">
        <v>15861</v>
      </c>
      <c r="E1151" s="142" t="s">
        <v>15849</v>
      </c>
      <c r="F1151" s="142" t="s">
        <v>11398</v>
      </c>
      <c r="G1151" s="142" t="s">
        <v>11397</v>
      </c>
      <c r="H1151" s="142" t="s">
        <v>17001</v>
      </c>
      <c r="I1151" s="142">
        <v>78</v>
      </c>
      <c r="J1151" s="142">
        <v>4</v>
      </c>
      <c r="K1151" s="142">
        <v>0</v>
      </c>
      <c r="L1151" s="142">
        <v>74</v>
      </c>
      <c r="M1151" s="142">
        <v>0</v>
      </c>
    </row>
    <row r="1152" spans="1:13" x14ac:dyDescent="0.45">
      <c r="A1152" s="142" t="s">
        <v>13000</v>
      </c>
      <c r="B1152" s="142" t="s">
        <v>14610</v>
      </c>
      <c r="C1152" s="142" t="s">
        <v>15847</v>
      </c>
      <c r="D1152" s="142" t="s">
        <v>15848</v>
      </c>
      <c r="E1152" s="142" t="s">
        <v>15849</v>
      </c>
      <c r="F1152" s="142" t="s">
        <v>11398</v>
      </c>
      <c r="G1152" s="142" t="s">
        <v>11397</v>
      </c>
      <c r="H1152" s="142" t="s">
        <v>17002</v>
      </c>
      <c r="I1152" s="142">
        <v>11589</v>
      </c>
      <c r="J1152" s="142">
        <v>10375</v>
      </c>
      <c r="K1152" s="142">
        <v>98</v>
      </c>
      <c r="L1152" s="142">
        <v>907</v>
      </c>
      <c r="M1152" s="142">
        <v>209</v>
      </c>
    </row>
    <row r="1153" spans="1:13" x14ac:dyDescent="0.45">
      <c r="A1153" s="142" t="s">
        <v>13098</v>
      </c>
      <c r="B1153" s="142" t="s">
        <v>14528</v>
      </c>
      <c r="C1153" s="142" t="s">
        <v>15860</v>
      </c>
      <c r="D1153" s="142" t="s">
        <v>15861</v>
      </c>
      <c r="E1153" s="142" t="s">
        <v>15849</v>
      </c>
      <c r="F1153" s="142" t="s">
        <v>11398</v>
      </c>
      <c r="G1153" s="142" t="s">
        <v>11397</v>
      </c>
      <c r="H1153" s="142" t="s">
        <v>17003</v>
      </c>
      <c r="I1153" s="142">
        <v>15</v>
      </c>
      <c r="J1153" s="142">
        <v>15</v>
      </c>
      <c r="K1153" s="142">
        <v>0</v>
      </c>
      <c r="L1153" s="142">
        <v>0</v>
      </c>
      <c r="M1153" s="142">
        <v>0</v>
      </c>
    </row>
    <row r="1154" spans="1:13" x14ac:dyDescent="0.45">
      <c r="A1154" s="142" t="s">
        <v>13383</v>
      </c>
      <c r="B1154" s="142" t="s">
        <v>15507</v>
      </c>
      <c r="C1154" s="142" t="s">
        <v>15847</v>
      </c>
      <c r="D1154" s="142" t="s">
        <v>15848</v>
      </c>
      <c r="E1154" s="142" t="s">
        <v>15849</v>
      </c>
      <c r="F1154" s="142" t="s">
        <v>11398</v>
      </c>
      <c r="G1154" s="142" t="s">
        <v>11397</v>
      </c>
      <c r="H1154" s="142" t="s">
        <v>17004</v>
      </c>
      <c r="I1154" s="142">
        <v>48</v>
      </c>
      <c r="J1154" s="142">
        <v>40</v>
      </c>
      <c r="K1154" s="142">
        <v>0</v>
      </c>
      <c r="L1154" s="142">
        <v>0</v>
      </c>
      <c r="M1154" s="142">
        <v>8</v>
      </c>
    </row>
    <row r="1155" spans="1:13" x14ac:dyDescent="0.45">
      <c r="A1155" s="142" t="s">
        <v>13384</v>
      </c>
      <c r="B1155" s="142" t="s">
        <v>15563</v>
      </c>
      <c r="C1155" s="142" t="s">
        <v>15860</v>
      </c>
      <c r="D1155" s="142" t="s">
        <v>15861</v>
      </c>
      <c r="E1155" s="142" t="s">
        <v>15849</v>
      </c>
      <c r="F1155" s="142" t="s">
        <v>11398</v>
      </c>
      <c r="G1155" s="142" t="s">
        <v>11397</v>
      </c>
      <c r="H1155" s="142" t="s">
        <v>17005</v>
      </c>
      <c r="I1155" s="142">
        <v>31</v>
      </c>
      <c r="J1155" s="142">
        <v>31</v>
      </c>
      <c r="K1155" s="142">
        <v>0</v>
      </c>
      <c r="L1155" s="142">
        <v>0</v>
      </c>
      <c r="M1155" s="142">
        <v>0</v>
      </c>
    </row>
    <row r="1156" spans="1:13" x14ac:dyDescent="0.45">
      <c r="A1156" s="142" t="s">
        <v>13385</v>
      </c>
      <c r="B1156" s="142" t="s">
        <v>15277</v>
      </c>
      <c r="C1156" s="142" t="s">
        <v>15860</v>
      </c>
      <c r="D1156" s="142" t="s">
        <v>15861</v>
      </c>
      <c r="E1156" s="142" t="s">
        <v>15849</v>
      </c>
      <c r="F1156" s="142" t="s">
        <v>11398</v>
      </c>
      <c r="G1156" s="142" t="s">
        <v>11397</v>
      </c>
      <c r="H1156" s="142" t="s">
        <v>17006</v>
      </c>
      <c r="I1156" s="142">
        <v>141</v>
      </c>
      <c r="J1156" s="142">
        <v>0</v>
      </c>
      <c r="K1156" s="142">
        <v>0</v>
      </c>
      <c r="L1156" s="142">
        <v>141</v>
      </c>
      <c r="M1156" s="142">
        <v>0</v>
      </c>
    </row>
    <row r="1157" spans="1:13" x14ac:dyDescent="0.45">
      <c r="A1157" s="142" t="s">
        <v>13027</v>
      </c>
      <c r="B1157" s="142" t="s">
        <v>14562</v>
      </c>
      <c r="C1157" s="142" t="s">
        <v>15847</v>
      </c>
      <c r="D1157" s="142" t="s">
        <v>15848</v>
      </c>
      <c r="E1157" s="142" t="s">
        <v>15849</v>
      </c>
      <c r="F1157" s="142" t="s">
        <v>11398</v>
      </c>
      <c r="G1157" s="142" t="s">
        <v>11397</v>
      </c>
      <c r="H1157" s="142" t="s">
        <v>17007</v>
      </c>
      <c r="I1157" s="142">
        <v>12</v>
      </c>
      <c r="J1157" s="142">
        <v>0</v>
      </c>
      <c r="K1157" s="142">
        <v>0</v>
      </c>
      <c r="L1157" s="142">
        <v>12</v>
      </c>
      <c r="M1157" s="142">
        <v>0</v>
      </c>
    </row>
    <row r="1158" spans="1:13" x14ac:dyDescent="0.45">
      <c r="A1158" s="142" t="s">
        <v>13001</v>
      </c>
      <c r="B1158" s="142" t="s">
        <v>15506</v>
      </c>
      <c r="C1158" s="142" t="s">
        <v>15847</v>
      </c>
      <c r="D1158" s="142" t="s">
        <v>15848</v>
      </c>
      <c r="E1158" s="142" t="s">
        <v>15849</v>
      </c>
      <c r="F1158" s="142" t="s">
        <v>11398</v>
      </c>
      <c r="G1158" s="142" t="s">
        <v>11397</v>
      </c>
      <c r="H1158" s="142" t="s">
        <v>17008</v>
      </c>
      <c r="I1158" s="142">
        <v>3</v>
      </c>
      <c r="J1158" s="142">
        <v>3</v>
      </c>
      <c r="K1158" s="142">
        <v>0</v>
      </c>
      <c r="L1158" s="142">
        <v>0</v>
      </c>
      <c r="M1158" s="142">
        <v>0</v>
      </c>
    </row>
    <row r="1159" spans="1:13" x14ac:dyDescent="0.45">
      <c r="A1159" s="142" t="s">
        <v>13215</v>
      </c>
      <c r="B1159" s="142" t="s">
        <v>15334</v>
      </c>
      <c r="C1159" s="142" t="s">
        <v>15847</v>
      </c>
      <c r="D1159" s="142" t="s">
        <v>15848</v>
      </c>
      <c r="E1159" s="142" t="s">
        <v>15849</v>
      </c>
      <c r="F1159" s="142" t="s">
        <v>11398</v>
      </c>
      <c r="G1159" s="142" t="s">
        <v>11397</v>
      </c>
      <c r="H1159" s="142" t="s">
        <v>17009</v>
      </c>
      <c r="I1159" s="142">
        <v>10</v>
      </c>
      <c r="J1159" s="142">
        <v>6</v>
      </c>
      <c r="K1159" s="142">
        <v>0</v>
      </c>
      <c r="L1159" s="142">
        <v>4</v>
      </c>
      <c r="M1159" s="142">
        <v>0</v>
      </c>
    </row>
    <row r="1160" spans="1:13" x14ac:dyDescent="0.45">
      <c r="A1160" s="142" t="s">
        <v>13002</v>
      </c>
      <c r="B1160" s="142" t="s">
        <v>15376</v>
      </c>
      <c r="C1160" s="142" t="s">
        <v>15847</v>
      </c>
      <c r="D1160" s="142" t="s">
        <v>15848</v>
      </c>
      <c r="E1160" s="142" t="s">
        <v>15849</v>
      </c>
      <c r="F1160" s="142" t="s">
        <v>11398</v>
      </c>
      <c r="G1160" s="142" t="s">
        <v>11397</v>
      </c>
      <c r="H1160" s="142" t="s">
        <v>17010</v>
      </c>
      <c r="I1160" s="142">
        <v>59</v>
      </c>
      <c r="J1160" s="142">
        <v>42</v>
      </c>
      <c r="K1160" s="142">
        <v>0</v>
      </c>
      <c r="L1160" s="142">
        <v>17</v>
      </c>
      <c r="M1160" s="142">
        <v>0</v>
      </c>
    </row>
    <row r="1161" spans="1:13" x14ac:dyDescent="0.45">
      <c r="A1161" s="142" t="s">
        <v>13003</v>
      </c>
      <c r="B1161" s="142" t="s">
        <v>15245</v>
      </c>
      <c r="C1161" s="142" t="s">
        <v>15847</v>
      </c>
      <c r="D1161" s="142" t="s">
        <v>15848</v>
      </c>
      <c r="E1161" s="142" t="s">
        <v>15849</v>
      </c>
      <c r="F1161" s="142" t="s">
        <v>11398</v>
      </c>
      <c r="G1161" s="142" t="s">
        <v>11397</v>
      </c>
      <c r="H1161" s="142" t="s">
        <v>17011</v>
      </c>
      <c r="I1161" s="142">
        <v>45</v>
      </c>
      <c r="J1161" s="142">
        <v>0</v>
      </c>
      <c r="K1161" s="142">
        <v>0</v>
      </c>
      <c r="L1161" s="142">
        <v>45</v>
      </c>
      <c r="M1161" s="142">
        <v>0</v>
      </c>
    </row>
    <row r="1162" spans="1:13" x14ac:dyDescent="0.45">
      <c r="A1162" s="142" t="s">
        <v>13004</v>
      </c>
      <c r="B1162" s="142" t="s">
        <v>15492</v>
      </c>
      <c r="C1162" s="142" t="s">
        <v>15847</v>
      </c>
      <c r="D1162" s="142" t="s">
        <v>15848</v>
      </c>
      <c r="E1162" s="142" t="s">
        <v>15849</v>
      </c>
      <c r="F1162" s="142" t="s">
        <v>11398</v>
      </c>
      <c r="G1162" s="142" t="s">
        <v>11397</v>
      </c>
      <c r="H1162" s="142" t="s">
        <v>17012</v>
      </c>
      <c r="I1162" s="142">
        <v>1302</v>
      </c>
      <c r="J1162" s="142">
        <v>1077</v>
      </c>
      <c r="K1162" s="142">
        <v>3</v>
      </c>
      <c r="L1162" s="142">
        <v>128</v>
      </c>
      <c r="M1162" s="142">
        <v>94</v>
      </c>
    </row>
    <row r="1163" spans="1:13" x14ac:dyDescent="0.45">
      <c r="A1163" s="142" t="s">
        <v>13216</v>
      </c>
      <c r="B1163" s="142" t="s">
        <v>15353</v>
      </c>
      <c r="C1163" s="142" t="s">
        <v>15860</v>
      </c>
      <c r="D1163" s="142" t="s">
        <v>15861</v>
      </c>
      <c r="E1163" s="142" t="s">
        <v>15849</v>
      </c>
      <c r="F1163" s="142" t="s">
        <v>11398</v>
      </c>
      <c r="G1163" s="142" t="s">
        <v>11397</v>
      </c>
      <c r="H1163" s="142" t="s">
        <v>17013</v>
      </c>
      <c r="I1163" s="142">
        <v>488</v>
      </c>
      <c r="J1163" s="142">
        <v>358</v>
      </c>
      <c r="K1163" s="142">
        <v>0</v>
      </c>
      <c r="L1163" s="142">
        <v>130</v>
      </c>
      <c r="M1163" s="142">
        <v>0</v>
      </c>
    </row>
    <row r="1164" spans="1:13" x14ac:dyDescent="0.45">
      <c r="A1164" s="142" t="s">
        <v>13178</v>
      </c>
      <c r="B1164" s="142" t="s">
        <v>14683</v>
      </c>
      <c r="C1164" s="142" t="s">
        <v>15847</v>
      </c>
      <c r="D1164" s="142" t="s">
        <v>15848</v>
      </c>
      <c r="E1164" s="142" t="s">
        <v>15849</v>
      </c>
      <c r="F1164" s="142" t="s">
        <v>11398</v>
      </c>
      <c r="G1164" s="142" t="s">
        <v>11397</v>
      </c>
      <c r="H1164" s="142" t="s">
        <v>17014</v>
      </c>
      <c r="I1164" s="142">
        <v>7</v>
      </c>
      <c r="J1164" s="142">
        <v>7</v>
      </c>
      <c r="K1164" s="142">
        <v>0</v>
      </c>
      <c r="L1164" s="142">
        <v>0</v>
      </c>
      <c r="M1164" s="142">
        <v>0</v>
      </c>
    </row>
    <row r="1165" spans="1:13" x14ac:dyDescent="0.45">
      <c r="A1165" s="142" t="s">
        <v>13076</v>
      </c>
      <c r="B1165" s="142" t="s">
        <v>14636</v>
      </c>
      <c r="C1165" s="142" t="s">
        <v>15847</v>
      </c>
      <c r="D1165" s="142" t="s">
        <v>15848</v>
      </c>
      <c r="E1165" s="142" t="s">
        <v>15849</v>
      </c>
      <c r="F1165" s="142" t="s">
        <v>11398</v>
      </c>
      <c r="G1165" s="142" t="s">
        <v>11397</v>
      </c>
      <c r="H1165" s="142" t="s">
        <v>17015</v>
      </c>
      <c r="I1165" s="142">
        <v>5</v>
      </c>
      <c r="J1165" s="142">
        <v>0</v>
      </c>
      <c r="K1165" s="142">
        <v>0</v>
      </c>
      <c r="L1165" s="142">
        <v>0</v>
      </c>
      <c r="M1165" s="142">
        <v>5</v>
      </c>
    </row>
    <row r="1166" spans="1:13" x14ac:dyDescent="0.45">
      <c r="A1166" s="142" t="s">
        <v>13005</v>
      </c>
      <c r="B1166" s="142" t="s">
        <v>15475</v>
      </c>
      <c r="C1166" s="142" t="s">
        <v>15847</v>
      </c>
      <c r="D1166" s="142" t="s">
        <v>15848</v>
      </c>
      <c r="E1166" s="142" t="s">
        <v>15849</v>
      </c>
      <c r="F1166" s="142" t="s">
        <v>11398</v>
      </c>
      <c r="G1166" s="142" t="s">
        <v>11397</v>
      </c>
      <c r="H1166" s="142" t="s">
        <v>17016</v>
      </c>
      <c r="I1166" s="142">
        <v>1030</v>
      </c>
      <c r="J1166" s="142">
        <v>669</v>
      </c>
      <c r="K1166" s="142">
        <v>0</v>
      </c>
      <c r="L1166" s="142">
        <v>8</v>
      </c>
      <c r="M1166" s="142">
        <v>353</v>
      </c>
    </row>
    <row r="1167" spans="1:13" x14ac:dyDescent="0.45">
      <c r="A1167" s="142" t="s">
        <v>13101</v>
      </c>
      <c r="B1167" s="142" t="s">
        <v>15491</v>
      </c>
      <c r="C1167" s="142" t="s">
        <v>15847</v>
      </c>
      <c r="D1167" s="142" t="s">
        <v>15848</v>
      </c>
      <c r="E1167" s="142" t="s">
        <v>15849</v>
      </c>
      <c r="F1167" s="142" t="s">
        <v>11398</v>
      </c>
      <c r="G1167" s="142" t="s">
        <v>11397</v>
      </c>
      <c r="H1167" s="142" t="s">
        <v>17017</v>
      </c>
      <c r="I1167" s="142">
        <v>31</v>
      </c>
      <c r="J1167" s="142">
        <v>0</v>
      </c>
      <c r="K1167" s="142">
        <v>0</v>
      </c>
      <c r="L1167" s="142">
        <v>31</v>
      </c>
      <c r="M1167" s="142">
        <v>0</v>
      </c>
    </row>
    <row r="1168" spans="1:13" x14ac:dyDescent="0.45">
      <c r="A1168" s="142" t="s">
        <v>13029</v>
      </c>
      <c r="B1168" s="142" t="s">
        <v>14665</v>
      </c>
      <c r="C1168" s="142" t="s">
        <v>15847</v>
      </c>
      <c r="D1168" s="142" t="s">
        <v>15848</v>
      </c>
      <c r="E1168" s="142" t="s">
        <v>15849</v>
      </c>
      <c r="F1168" s="142" t="s">
        <v>11398</v>
      </c>
      <c r="G1168" s="142" t="s">
        <v>11397</v>
      </c>
      <c r="H1168" s="142" t="s">
        <v>17018</v>
      </c>
      <c r="I1168" s="142">
        <v>15</v>
      </c>
      <c r="J1168" s="142">
        <v>0</v>
      </c>
      <c r="K1168" s="142">
        <v>0</v>
      </c>
      <c r="L1168" s="142">
        <v>0</v>
      </c>
      <c r="M1168" s="142">
        <v>15</v>
      </c>
    </row>
    <row r="1169" spans="1:13" x14ac:dyDescent="0.45">
      <c r="A1169" s="142" t="s">
        <v>13006</v>
      </c>
      <c r="B1169" s="142" t="s">
        <v>15288</v>
      </c>
      <c r="C1169" s="142" t="s">
        <v>15847</v>
      </c>
      <c r="D1169" s="142" t="s">
        <v>15848</v>
      </c>
      <c r="E1169" s="142" t="s">
        <v>15849</v>
      </c>
      <c r="F1169" s="142" t="s">
        <v>11398</v>
      </c>
      <c r="G1169" s="142" t="s">
        <v>11397</v>
      </c>
      <c r="H1169" s="142" t="s">
        <v>17019</v>
      </c>
      <c r="I1169" s="142">
        <v>68</v>
      </c>
      <c r="J1169" s="142">
        <v>0</v>
      </c>
      <c r="K1169" s="142">
        <v>0</v>
      </c>
      <c r="L1169" s="142">
        <v>0</v>
      </c>
      <c r="M1169" s="142">
        <v>68</v>
      </c>
    </row>
    <row r="1170" spans="1:13" x14ac:dyDescent="0.45">
      <c r="A1170" s="142" t="s">
        <v>13007</v>
      </c>
      <c r="B1170" s="142" t="s">
        <v>15262</v>
      </c>
      <c r="C1170" s="142" t="s">
        <v>15847</v>
      </c>
      <c r="D1170" s="142" t="s">
        <v>15848</v>
      </c>
      <c r="E1170" s="142" t="s">
        <v>15849</v>
      </c>
      <c r="F1170" s="142" t="s">
        <v>11398</v>
      </c>
      <c r="G1170" s="142" t="s">
        <v>11397</v>
      </c>
      <c r="H1170" s="142" t="s">
        <v>17020</v>
      </c>
      <c r="I1170" s="142">
        <v>512</v>
      </c>
      <c r="J1170" s="142">
        <v>312</v>
      </c>
      <c r="K1170" s="142">
        <v>0</v>
      </c>
      <c r="L1170" s="142">
        <v>60</v>
      </c>
      <c r="M1170" s="142">
        <v>140</v>
      </c>
    </row>
    <row r="1171" spans="1:13" x14ac:dyDescent="0.45">
      <c r="A1171" s="142" t="s">
        <v>13103</v>
      </c>
      <c r="B1171" s="142" t="s">
        <v>14623</v>
      </c>
      <c r="C1171" s="142" t="s">
        <v>15847</v>
      </c>
      <c r="D1171" s="142" t="s">
        <v>15848</v>
      </c>
      <c r="E1171" s="142" t="s">
        <v>15849</v>
      </c>
      <c r="F1171" s="142" t="s">
        <v>11398</v>
      </c>
      <c r="G1171" s="142" t="s">
        <v>11397</v>
      </c>
      <c r="H1171" s="142" t="s">
        <v>17021</v>
      </c>
      <c r="I1171" s="142">
        <v>26</v>
      </c>
      <c r="J1171" s="142">
        <v>26</v>
      </c>
      <c r="K1171" s="142">
        <v>0</v>
      </c>
      <c r="L1171" s="142">
        <v>0</v>
      </c>
      <c r="M1171" s="142">
        <v>0</v>
      </c>
    </row>
    <row r="1172" spans="1:13" x14ac:dyDescent="0.45">
      <c r="A1172" s="142" t="s">
        <v>13054</v>
      </c>
      <c r="B1172" s="142" t="s">
        <v>15604</v>
      </c>
      <c r="C1172" s="142" t="s">
        <v>15847</v>
      </c>
      <c r="D1172" s="142" t="s">
        <v>15848</v>
      </c>
      <c r="E1172" s="142" t="s">
        <v>15849</v>
      </c>
      <c r="F1172" s="142" t="s">
        <v>11398</v>
      </c>
      <c r="G1172" s="142" t="s">
        <v>11397</v>
      </c>
      <c r="H1172" s="142" t="s">
        <v>17022</v>
      </c>
      <c r="I1172" s="142">
        <v>3</v>
      </c>
      <c r="J1172" s="142">
        <v>0</v>
      </c>
      <c r="K1172" s="142">
        <v>0</v>
      </c>
      <c r="L1172" s="142">
        <v>0</v>
      </c>
      <c r="M1172" s="142">
        <v>3</v>
      </c>
    </row>
    <row r="1173" spans="1:13" x14ac:dyDescent="0.45">
      <c r="A1173" s="142" t="s">
        <v>13340</v>
      </c>
      <c r="B1173" s="142" t="s">
        <v>14499</v>
      </c>
      <c r="C1173" s="142" t="s">
        <v>15860</v>
      </c>
      <c r="D1173" s="142" t="s">
        <v>15861</v>
      </c>
      <c r="E1173" s="142" t="s">
        <v>15849</v>
      </c>
      <c r="F1173" s="142" t="s">
        <v>11398</v>
      </c>
      <c r="G1173" s="142" t="s">
        <v>11397</v>
      </c>
      <c r="H1173" s="142" t="s">
        <v>17023</v>
      </c>
      <c r="I1173" s="142">
        <v>3</v>
      </c>
      <c r="J1173" s="142">
        <v>3</v>
      </c>
      <c r="K1173" s="142">
        <v>0</v>
      </c>
      <c r="L1173" s="142">
        <v>0</v>
      </c>
      <c r="M1173" s="142">
        <v>0</v>
      </c>
    </row>
    <row r="1174" spans="1:13" x14ac:dyDescent="0.45">
      <c r="A1174" s="142" t="s">
        <v>13008</v>
      </c>
      <c r="B1174" s="142" t="s">
        <v>15411</v>
      </c>
      <c r="C1174" s="142" t="s">
        <v>15847</v>
      </c>
      <c r="D1174" s="142" t="s">
        <v>15848</v>
      </c>
      <c r="E1174" s="142" t="s">
        <v>15849</v>
      </c>
      <c r="F1174" s="142" t="s">
        <v>11398</v>
      </c>
      <c r="G1174" s="142" t="s">
        <v>11397</v>
      </c>
      <c r="H1174" s="142" t="s">
        <v>17024</v>
      </c>
      <c r="I1174" s="142">
        <v>13</v>
      </c>
      <c r="J1174" s="142">
        <v>0</v>
      </c>
      <c r="K1174" s="142">
        <v>0</v>
      </c>
      <c r="L1174" s="142">
        <v>0</v>
      </c>
      <c r="M1174" s="142">
        <v>13</v>
      </c>
    </row>
    <row r="1175" spans="1:13" x14ac:dyDescent="0.45">
      <c r="A1175" s="142" t="s">
        <v>13104</v>
      </c>
      <c r="B1175" s="142" t="s">
        <v>14622</v>
      </c>
      <c r="C1175" s="142" t="s">
        <v>15847</v>
      </c>
      <c r="D1175" s="142" t="s">
        <v>15848</v>
      </c>
      <c r="E1175" s="142" t="s">
        <v>15849</v>
      </c>
      <c r="F1175" s="142" t="s">
        <v>11398</v>
      </c>
      <c r="G1175" s="142" t="s">
        <v>11397</v>
      </c>
      <c r="H1175" s="142" t="s">
        <v>17025</v>
      </c>
      <c r="I1175" s="142">
        <v>107</v>
      </c>
      <c r="J1175" s="142">
        <v>99</v>
      </c>
      <c r="K1175" s="142">
        <v>0</v>
      </c>
      <c r="L1175" s="142">
        <v>0</v>
      </c>
      <c r="M1175" s="142">
        <v>8</v>
      </c>
    </row>
    <row r="1176" spans="1:13" x14ac:dyDescent="0.45">
      <c r="A1176" s="142" t="s">
        <v>13218</v>
      </c>
      <c r="B1176" s="142" t="s">
        <v>15316</v>
      </c>
      <c r="C1176" s="142" t="s">
        <v>15860</v>
      </c>
      <c r="D1176" s="142" t="s">
        <v>15861</v>
      </c>
      <c r="E1176" s="142" t="s">
        <v>15849</v>
      </c>
      <c r="F1176" s="142" t="s">
        <v>11398</v>
      </c>
      <c r="G1176" s="142" t="s">
        <v>11397</v>
      </c>
      <c r="H1176" s="142" t="s">
        <v>17026</v>
      </c>
      <c r="I1176" s="142">
        <v>288</v>
      </c>
      <c r="J1176" s="142">
        <v>275</v>
      </c>
      <c r="K1176" s="142">
        <v>0</v>
      </c>
      <c r="L1176" s="142">
        <v>13</v>
      </c>
      <c r="M1176" s="142">
        <v>0</v>
      </c>
    </row>
    <row r="1177" spans="1:13" x14ac:dyDescent="0.45">
      <c r="A1177" s="142" t="s">
        <v>13386</v>
      </c>
      <c r="B1177" s="142" t="s">
        <v>15472</v>
      </c>
      <c r="C1177" s="142" t="s">
        <v>15847</v>
      </c>
      <c r="D1177" s="142" t="s">
        <v>15848</v>
      </c>
      <c r="E1177" s="142" t="s">
        <v>15849</v>
      </c>
      <c r="F1177" s="142" t="s">
        <v>11398</v>
      </c>
      <c r="G1177" s="142" t="s">
        <v>11397</v>
      </c>
      <c r="H1177" s="142" t="s">
        <v>17027</v>
      </c>
      <c r="I1177" s="142">
        <v>33</v>
      </c>
      <c r="J1177" s="142">
        <v>25</v>
      </c>
      <c r="K1177" s="142">
        <v>0</v>
      </c>
      <c r="L1177" s="142">
        <v>0</v>
      </c>
      <c r="M1177" s="142">
        <v>8</v>
      </c>
    </row>
    <row r="1178" spans="1:13" x14ac:dyDescent="0.45">
      <c r="A1178" s="142" t="s">
        <v>13387</v>
      </c>
      <c r="B1178" s="142" t="s">
        <v>15211</v>
      </c>
      <c r="C1178" s="142" t="s">
        <v>15860</v>
      </c>
      <c r="D1178" s="142" t="s">
        <v>15861</v>
      </c>
      <c r="E1178" s="142" t="s">
        <v>15849</v>
      </c>
      <c r="F1178" s="142" t="s">
        <v>11398</v>
      </c>
      <c r="G1178" s="142" t="s">
        <v>11397</v>
      </c>
      <c r="H1178" s="142" t="s">
        <v>17028</v>
      </c>
      <c r="I1178" s="142">
        <v>8</v>
      </c>
      <c r="J1178" s="142">
        <v>0</v>
      </c>
      <c r="K1178" s="142">
        <v>0</v>
      </c>
      <c r="L1178" s="142">
        <v>8</v>
      </c>
      <c r="M1178" s="142">
        <v>0</v>
      </c>
    </row>
    <row r="1179" spans="1:13" x14ac:dyDescent="0.45">
      <c r="A1179" s="142" t="s">
        <v>13388</v>
      </c>
      <c r="B1179" s="142" t="s">
        <v>14484</v>
      </c>
      <c r="C1179" s="142" t="s">
        <v>15860</v>
      </c>
      <c r="D1179" s="142" t="s">
        <v>15861</v>
      </c>
      <c r="E1179" s="142" t="s">
        <v>15849</v>
      </c>
      <c r="F1179" s="142" t="s">
        <v>11398</v>
      </c>
      <c r="G1179" s="142" t="s">
        <v>11397</v>
      </c>
      <c r="H1179" s="142" t="s">
        <v>17029</v>
      </c>
      <c r="I1179" s="142">
        <v>421</v>
      </c>
      <c r="J1179" s="142">
        <v>421</v>
      </c>
      <c r="K1179" s="142">
        <v>0</v>
      </c>
      <c r="L1179" s="142">
        <v>0</v>
      </c>
      <c r="M1179" s="142">
        <v>0</v>
      </c>
    </row>
    <row r="1180" spans="1:13" x14ac:dyDescent="0.45">
      <c r="A1180" s="142" t="s">
        <v>13389</v>
      </c>
      <c r="B1180" s="142" t="s">
        <v>15361</v>
      </c>
      <c r="C1180" s="142" t="s">
        <v>15860</v>
      </c>
      <c r="D1180" s="142" t="s">
        <v>15861</v>
      </c>
      <c r="E1180" s="142" t="s">
        <v>15849</v>
      </c>
      <c r="F1180" s="142" t="s">
        <v>11398</v>
      </c>
      <c r="G1180" s="142" t="s">
        <v>11397</v>
      </c>
      <c r="H1180" s="142" t="s">
        <v>17030</v>
      </c>
      <c r="I1180" s="142">
        <v>195</v>
      </c>
      <c r="J1180" s="142">
        <v>134</v>
      </c>
      <c r="K1180" s="142">
        <v>0</v>
      </c>
      <c r="L1180" s="142">
        <v>61</v>
      </c>
      <c r="M1180" s="142">
        <v>0</v>
      </c>
    </row>
    <row r="1181" spans="1:13" x14ac:dyDescent="0.45">
      <c r="A1181" s="142" t="s">
        <v>13037</v>
      </c>
      <c r="B1181" s="142" t="s">
        <v>14519</v>
      </c>
      <c r="C1181" s="142" t="s">
        <v>15847</v>
      </c>
      <c r="D1181" s="142" t="s">
        <v>15848</v>
      </c>
      <c r="E1181" s="142" t="s">
        <v>15849</v>
      </c>
      <c r="F1181" s="142" t="s">
        <v>11398</v>
      </c>
      <c r="G1181" s="142" t="s">
        <v>11397</v>
      </c>
      <c r="H1181" s="142" t="s">
        <v>17031</v>
      </c>
      <c r="I1181" s="142">
        <v>17</v>
      </c>
      <c r="J1181" s="142">
        <v>0</v>
      </c>
      <c r="K1181" s="142">
        <v>0</v>
      </c>
      <c r="L1181" s="142">
        <v>17</v>
      </c>
      <c r="M1181" s="142">
        <v>0</v>
      </c>
    </row>
    <row r="1182" spans="1:13" x14ac:dyDescent="0.45">
      <c r="A1182" s="142" t="s">
        <v>13038</v>
      </c>
      <c r="B1182" s="142" t="s">
        <v>14646</v>
      </c>
      <c r="C1182" s="142" t="s">
        <v>15847</v>
      </c>
      <c r="D1182" s="142" t="s">
        <v>15848</v>
      </c>
      <c r="E1182" s="142" t="s">
        <v>15849</v>
      </c>
      <c r="F1182" s="142" t="s">
        <v>11398</v>
      </c>
      <c r="G1182" s="142" t="s">
        <v>11397</v>
      </c>
      <c r="H1182" s="142" t="s">
        <v>17032</v>
      </c>
      <c r="I1182" s="142">
        <v>11</v>
      </c>
      <c r="J1182" s="142">
        <v>0</v>
      </c>
      <c r="K1182" s="142">
        <v>0</v>
      </c>
      <c r="L1182" s="142">
        <v>0</v>
      </c>
      <c r="M1182" s="142">
        <v>11</v>
      </c>
    </row>
    <row r="1183" spans="1:13" x14ac:dyDescent="0.45">
      <c r="A1183" s="142" t="s">
        <v>13039</v>
      </c>
      <c r="B1183" s="142" t="s">
        <v>14647</v>
      </c>
      <c r="C1183" s="142" t="s">
        <v>15847</v>
      </c>
      <c r="D1183" s="142" t="s">
        <v>15848</v>
      </c>
      <c r="E1183" s="142" t="s">
        <v>15849</v>
      </c>
      <c r="F1183" s="142" t="s">
        <v>11398</v>
      </c>
      <c r="G1183" s="142" t="s">
        <v>11397</v>
      </c>
      <c r="H1183" s="142" t="s">
        <v>17033</v>
      </c>
      <c r="I1183" s="142">
        <v>40</v>
      </c>
      <c r="J1183" s="142">
        <v>40</v>
      </c>
      <c r="K1183" s="142">
        <v>0</v>
      </c>
      <c r="L1183" s="142">
        <v>0</v>
      </c>
      <c r="M1183" s="142">
        <v>0</v>
      </c>
    </row>
    <row r="1184" spans="1:13" x14ac:dyDescent="0.45">
      <c r="A1184" s="142" t="s">
        <v>13009</v>
      </c>
      <c r="B1184" s="142" t="s">
        <v>15256</v>
      </c>
      <c r="C1184" s="142" t="s">
        <v>15847</v>
      </c>
      <c r="D1184" s="142" t="s">
        <v>15848</v>
      </c>
      <c r="E1184" s="142" t="s">
        <v>15849</v>
      </c>
      <c r="F1184" s="142" t="s">
        <v>11398</v>
      </c>
      <c r="G1184" s="142" t="s">
        <v>11397</v>
      </c>
      <c r="H1184" s="142" t="s">
        <v>17034</v>
      </c>
      <c r="I1184" s="142">
        <v>265</v>
      </c>
      <c r="J1184" s="142">
        <v>140</v>
      </c>
      <c r="K1184" s="142">
        <v>0</v>
      </c>
      <c r="L1184" s="142">
        <v>120</v>
      </c>
      <c r="M1184" s="142">
        <v>5</v>
      </c>
    </row>
    <row r="1185" spans="1:13" x14ac:dyDescent="0.45">
      <c r="A1185" s="142" t="s">
        <v>13011</v>
      </c>
      <c r="B1185" s="142" t="s">
        <v>14695</v>
      </c>
      <c r="C1185" s="142" t="s">
        <v>15847</v>
      </c>
      <c r="D1185" s="142" t="s">
        <v>15848</v>
      </c>
      <c r="E1185" s="142" t="s">
        <v>15849</v>
      </c>
      <c r="F1185" s="142" t="s">
        <v>11398</v>
      </c>
      <c r="G1185" s="142" t="s">
        <v>11397</v>
      </c>
      <c r="H1185" s="142" t="s">
        <v>17035</v>
      </c>
      <c r="I1185" s="142">
        <v>1427</v>
      </c>
      <c r="J1185" s="142">
        <v>1119</v>
      </c>
      <c r="K1185" s="142">
        <v>0</v>
      </c>
      <c r="L1185" s="142">
        <v>170</v>
      </c>
      <c r="M1185" s="142">
        <v>138</v>
      </c>
    </row>
    <row r="1186" spans="1:13" x14ac:dyDescent="0.45">
      <c r="A1186" s="142" t="s">
        <v>13390</v>
      </c>
      <c r="B1186" s="142" t="s">
        <v>15194</v>
      </c>
      <c r="C1186" s="142" t="s">
        <v>15860</v>
      </c>
      <c r="D1186" s="142" t="s">
        <v>15861</v>
      </c>
      <c r="E1186" s="142" t="s">
        <v>15849</v>
      </c>
      <c r="F1186" s="142" t="s">
        <v>11398</v>
      </c>
      <c r="G1186" s="142" t="s">
        <v>11397</v>
      </c>
      <c r="H1186" s="142" t="s">
        <v>17036</v>
      </c>
      <c r="I1186" s="142">
        <v>15</v>
      </c>
      <c r="J1186" s="142">
        <v>0</v>
      </c>
      <c r="K1186" s="142">
        <v>0</v>
      </c>
      <c r="L1186" s="142">
        <v>15</v>
      </c>
      <c r="M1186" s="142">
        <v>0</v>
      </c>
    </row>
    <row r="1187" spans="1:13" x14ac:dyDescent="0.45">
      <c r="A1187" s="142" t="s">
        <v>13391</v>
      </c>
      <c r="B1187" s="142" t="s">
        <v>15205</v>
      </c>
      <c r="C1187" s="142" t="s">
        <v>15860</v>
      </c>
      <c r="D1187" s="142" t="s">
        <v>15861</v>
      </c>
      <c r="E1187" s="142" t="s">
        <v>15849</v>
      </c>
      <c r="F1187" s="142" t="s">
        <v>11398</v>
      </c>
      <c r="G1187" s="142" t="s">
        <v>11397</v>
      </c>
      <c r="H1187" s="142" t="s">
        <v>17037</v>
      </c>
      <c r="I1187" s="142">
        <v>7</v>
      </c>
      <c r="J1187" s="142">
        <v>0</v>
      </c>
      <c r="K1187" s="142">
        <v>0</v>
      </c>
      <c r="L1187" s="142">
        <v>7</v>
      </c>
      <c r="M1187" s="142">
        <v>0</v>
      </c>
    </row>
    <row r="1188" spans="1:13" x14ac:dyDescent="0.45">
      <c r="A1188" s="142" t="s">
        <v>13014</v>
      </c>
      <c r="B1188" s="142" t="s">
        <v>14505</v>
      </c>
      <c r="C1188" s="142" t="s">
        <v>15847</v>
      </c>
      <c r="D1188" s="142" t="s">
        <v>15848</v>
      </c>
      <c r="E1188" s="142" t="s">
        <v>15849</v>
      </c>
      <c r="F1188" s="142" t="s">
        <v>11398</v>
      </c>
      <c r="G1188" s="142" t="s">
        <v>11397</v>
      </c>
      <c r="H1188" s="142" t="s">
        <v>17038</v>
      </c>
      <c r="I1188" s="142">
        <v>18</v>
      </c>
      <c r="J1188" s="142">
        <v>0</v>
      </c>
      <c r="K1188" s="142">
        <v>0</v>
      </c>
      <c r="L1188" s="142">
        <v>18</v>
      </c>
      <c r="M1188" s="142">
        <v>0</v>
      </c>
    </row>
    <row r="1189" spans="1:13" x14ac:dyDescent="0.45">
      <c r="A1189" s="142" t="s">
        <v>13042</v>
      </c>
      <c r="B1189" s="142" t="s">
        <v>15489</v>
      </c>
      <c r="C1189" s="142" t="s">
        <v>15847</v>
      </c>
      <c r="D1189" s="142" t="s">
        <v>15848</v>
      </c>
      <c r="E1189" s="142" t="s">
        <v>15849</v>
      </c>
      <c r="F1189" s="142" t="s">
        <v>11398</v>
      </c>
      <c r="G1189" s="142" t="s">
        <v>11397</v>
      </c>
      <c r="H1189" s="142" t="s">
        <v>17039</v>
      </c>
      <c r="I1189" s="142">
        <v>523</v>
      </c>
      <c r="J1189" s="142">
        <v>433</v>
      </c>
      <c r="K1189" s="142">
        <v>0</v>
      </c>
      <c r="L1189" s="142">
        <v>81</v>
      </c>
      <c r="M1189" s="142">
        <v>9</v>
      </c>
    </row>
    <row r="1190" spans="1:13" x14ac:dyDescent="0.45">
      <c r="A1190" s="142" t="s">
        <v>13062</v>
      </c>
      <c r="B1190" s="142" t="s">
        <v>15259</v>
      </c>
      <c r="C1190" s="142" t="s">
        <v>15847</v>
      </c>
      <c r="D1190" s="142" t="s">
        <v>15848</v>
      </c>
      <c r="E1190" s="142" t="s">
        <v>15849</v>
      </c>
      <c r="F1190" s="142" t="s">
        <v>11398</v>
      </c>
      <c r="G1190" s="142" t="s">
        <v>11397</v>
      </c>
      <c r="H1190" s="142" t="s">
        <v>17040</v>
      </c>
      <c r="I1190" s="142">
        <v>78</v>
      </c>
      <c r="J1190" s="142">
        <v>76</v>
      </c>
      <c r="K1190" s="142">
        <v>0</v>
      </c>
      <c r="L1190" s="142">
        <v>0</v>
      </c>
      <c r="M1190" s="142">
        <v>2</v>
      </c>
    </row>
    <row r="1191" spans="1:13" x14ac:dyDescent="0.45">
      <c r="A1191" s="142" t="s">
        <v>13392</v>
      </c>
      <c r="B1191" s="142" t="s">
        <v>14443</v>
      </c>
      <c r="C1191" s="142" t="s">
        <v>15860</v>
      </c>
      <c r="D1191" s="142" t="s">
        <v>15861</v>
      </c>
      <c r="E1191" s="142" t="s">
        <v>15849</v>
      </c>
      <c r="F1191" s="142" t="s">
        <v>11398</v>
      </c>
      <c r="G1191" s="142" t="s">
        <v>11397</v>
      </c>
      <c r="H1191" s="142" t="s">
        <v>17041</v>
      </c>
      <c r="I1191" s="142">
        <v>1</v>
      </c>
      <c r="J1191" s="142">
        <v>1</v>
      </c>
      <c r="K1191" s="142">
        <v>0</v>
      </c>
      <c r="L1191" s="142">
        <v>0</v>
      </c>
      <c r="M1191" s="142">
        <v>0</v>
      </c>
    </row>
    <row r="1192" spans="1:13" x14ac:dyDescent="0.45">
      <c r="A1192" s="142" t="s">
        <v>13021</v>
      </c>
      <c r="B1192" s="142" t="s">
        <v>15501</v>
      </c>
      <c r="C1192" s="142" t="s">
        <v>15847</v>
      </c>
      <c r="D1192" s="142" t="s">
        <v>15848</v>
      </c>
      <c r="E1192" s="142" t="s">
        <v>15849</v>
      </c>
      <c r="F1192" s="142" t="s">
        <v>9196</v>
      </c>
      <c r="G1192" s="142" t="s">
        <v>9195</v>
      </c>
      <c r="H1192" s="142" t="s">
        <v>17042</v>
      </c>
      <c r="I1192" s="142">
        <v>1</v>
      </c>
      <c r="J1192" s="142">
        <v>0</v>
      </c>
      <c r="K1192" s="142">
        <v>0</v>
      </c>
      <c r="L1192" s="142">
        <v>0</v>
      </c>
      <c r="M1192" s="142">
        <v>1</v>
      </c>
    </row>
    <row r="1193" spans="1:13" x14ac:dyDescent="0.45">
      <c r="A1193" s="142" t="s">
        <v>13022</v>
      </c>
      <c r="B1193" s="142" t="s">
        <v>14634</v>
      </c>
      <c r="C1193" s="142" t="s">
        <v>15847</v>
      </c>
      <c r="D1193" s="142" t="s">
        <v>15848</v>
      </c>
      <c r="E1193" s="142" t="s">
        <v>15849</v>
      </c>
      <c r="F1193" s="142" t="s">
        <v>9196</v>
      </c>
      <c r="G1193" s="142" t="s">
        <v>9195</v>
      </c>
      <c r="H1193" s="142" t="s">
        <v>17043</v>
      </c>
      <c r="I1193" s="142">
        <v>6</v>
      </c>
      <c r="J1193" s="142">
        <v>0</v>
      </c>
      <c r="K1193" s="142">
        <v>0</v>
      </c>
      <c r="L1193" s="142">
        <v>6</v>
      </c>
      <c r="M1193" s="142">
        <v>0</v>
      </c>
    </row>
    <row r="1194" spans="1:13" x14ac:dyDescent="0.45">
      <c r="A1194" s="142" t="s">
        <v>13235</v>
      </c>
      <c r="B1194" s="142" t="s">
        <v>14573</v>
      </c>
      <c r="C1194" s="142" t="s">
        <v>15847</v>
      </c>
      <c r="D1194" s="142" t="s">
        <v>15848</v>
      </c>
      <c r="E1194" s="142" t="s">
        <v>15849</v>
      </c>
      <c r="F1194" s="142" t="s">
        <v>9196</v>
      </c>
      <c r="G1194" s="142" t="s">
        <v>9195</v>
      </c>
      <c r="H1194" s="142" t="s">
        <v>17044</v>
      </c>
      <c r="I1194" s="142">
        <v>346</v>
      </c>
      <c r="J1194" s="142">
        <v>283</v>
      </c>
      <c r="K1194" s="142">
        <v>0</v>
      </c>
      <c r="L1194" s="142">
        <v>14</v>
      </c>
      <c r="M1194" s="142">
        <v>49</v>
      </c>
    </row>
    <row r="1195" spans="1:13" x14ac:dyDescent="0.45">
      <c r="A1195" s="142" t="s">
        <v>13236</v>
      </c>
      <c r="B1195" s="142" t="s">
        <v>15601</v>
      </c>
      <c r="C1195" s="142" t="s">
        <v>15847</v>
      </c>
      <c r="D1195" s="142" t="s">
        <v>15848</v>
      </c>
      <c r="E1195" s="142" t="s">
        <v>15849</v>
      </c>
      <c r="F1195" s="142" t="s">
        <v>9196</v>
      </c>
      <c r="G1195" s="142" t="s">
        <v>9195</v>
      </c>
      <c r="H1195" s="142" t="s">
        <v>17045</v>
      </c>
      <c r="I1195" s="142">
        <v>3756</v>
      </c>
      <c r="J1195" s="142">
        <v>2637</v>
      </c>
      <c r="K1195" s="142">
        <v>0</v>
      </c>
      <c r="L1195" s="142">
        <v>918</v>
      </c>
      <c r="M1195" s="142">
        <v>201</v>
      </c>
    </row>
    <row r="1196" spans="1:13" x14ac:dyDescent="0.45">
      <c r="A1196" s="142" t="s">
        <v>13393</v>
      </c>
      <c r="B1196" s="142" t="s">
        <v>14756</v>
      </c>
      <c r="C1196" s="142" t="s">
        <v>15860</v>
      </c>
      <c r="D1196" s="142" t="s">
        <v>15861</v>
      </c>
      <c r="E1196" s="142" t="s">
        <v>15849</v>
      </c>
      <c r="F1196" s="142" t="s">
        <v>9196</v>
      </c>
      <c r="G1196" s="142" t="s">
        <v>9195</v>
      </c>
      <c r="H1196" s="142" t="s">
        <v>17046</v>
      </c>
      <c r="I1196" s="142">
        <v>42</v>
      </c>
      <c r="J1196" s="142">
        <v>0</v>
      </c>
      <c r="K1196" s="142">
        <v>0</v>
      </c>
      <c r="L1196" s="142">
        <v>42</v>
      </c>
      <c r="M1196" s="142">
        <v>0</v>
      </c>
    </row>
    <row r="1197" spans="1:13" x14ac:dyDescent="0.45">
      <c r="A1197" s="142" t="s">
        <v>13237</v>
      </c>
      <c r="B1197" s="142" t="s">
        <v>14643</v>
      </c>
      <c r="C1197" s="142" t="s">
        <v>15847</v>
      </c>
      <c r="D1197" s="142" t="s">
        <v>15848</v>
      </c>
      <c r="E1197" s="142" t="s">
        <v>15849</v>
      </c>
      <c r="F1197" s="142" t="s">
        <v>9196</v>
      </c>
      <c r="G1197" s="142" t="s">
        <v>9195</v>
      </c>
      <c r="H1197" s="142" t="s">
        <v>17047</v>
      </c>
      <c r="I1197" s="142">
        <v>264</v>
      </c>
      <c r="J1197" s="142">
        <v>169</v>
      </c>
      <c r="K1197" s="142">
        <v>0</v>
      </c>
      <c r="L1197" s="142">
        <v>31</v>
      </c>
      <c r="M1197" s="142">
        <v>64</v>
      </c>
    </row>
    <row r="1198" spans="1:13" x14ac:dyDescent="0.45">
      <c r="A1198" s="142" t="s">
        <v>13000</v>
      </c>
      <c r="B1198" s="142" t="s">
        <v>14610</v>
      </c>
      <c r="C1198" s="142" t="s">
        <v>15847</v>
      </c>
      <c r="D1198" s="142" t="s">
        <v>15848</v>
      </c>
      <c r="E1198" s="142" t="s">
        <v>15849</v>
      </c>
      <c r="F1198" s="142" t="s">
        <v>9196</v>
      </c>
      <c r="G1198" s="142" t="s">
        <v>9195</v>
      </c>
      <c r="H1198" s="142" t="s">
        <v>17048</v>
      </c>
      <c r="I1198" s="142">
        <v>2</v>
      </c>
      <c r="J1198" s="142">
        <v>1</v>
      </c>
      <c r="K1198" s="142">
        <v>0</v>
      </c>
      <c r="L1198" s="142">
        <v>0</v>
      </c>
      <c r="M1198" s="142">
        <v>1</v>
      </c>
    </row>
    <row r="1199" spans="1:13" x14ac:dyDescent="0.45">
      <c r="A1199" s="142" t="s">
        <v>13099</v>
      </c>
      <c r="B1199" s="142" t="s">
        <v>14547</v>
      </c>
      <c r="C1199" s="142" t="s">
        <v>15860</v>
      </c>
      <c r="D1199" s="142" t="s">
        <v>15861</v>
      </c>
      <c r="E1199" s="142" t="s">
        <v>15849</v>
      </c>
      <c r="F1199" s="142" t="s">
        <v>9196</v>
      </c>
      <c r="G1199" s="142" t="s">
        <v>9195</v>
      </c>
      <c r="H1199" s="142" t="s">
        <v>17049</v>
      </c>
      <c r="I1199" s="142">
        <v>1</v>
      </c>
      <c r="J1199" s="142">
        <v>0</v>
      </c>
      <c r="K1199" s="142">
        <v>0</v>
      </c>
      <c r="L1199" s="142">
        <v>1</v>
      </c>
      <c r="M1199" s="142">
        <v>0</v>
      </c>
    </row>
    <row r="1200" spans="1:13" x14ac:dyDescent="0.45">
      <c r="A1200" s="142" t="s">
        <v>13027</v>
      </c>
      <c r="B1200" s="142" t="s">
        <v>14562</v>
      </c>
      <c r="C1200" s="142" t="s">
        <v>15847</v>
      </c>
      <c r="D1200" s="142" t="s">
        <v>15848</v>
      </c>
      <c r="E1200" s="142" t="s">
        <v>15849</v>
      </c>
      <c r="F1200" s="142" t="s">
        <v>9196</v>
      </c>
      <c r="G1200" s="142" t="s">
        <v>9195</v>
      </c>
      <c r="H1200" s="142" t="s">
        <v>17050</v>
      </c>
      <c r="I1200" s="142">
        <v>1</v>
      </c>
      <c r="J1200" s="142">
        <v>0</v>
      </c>
      <c r="K1200" s="142">
        <v>0</v>
      </c>
      <c r="L1200" s="142">
        <v>1</v>
      </c>
      <c r="M1200" s="142">
        <v>0</v>
      </c>
    </row>
    <row r="1201" spans="1:13" x14ac:dyDescent="0.45">
      <c r="A1201" s="142" t="s">
        <v>13243</v>
      </c>
      <c r="B1201" s="142" t="s">
        <v>15560</v>
      </c>
      <c r="C1201" s="142" t="s">
        <v>15847</v>
      </c>
      <c r="D1201" s="142" t="s">
        <v>15848</v>
      </c>
      <c r="E1201" s="142" t="s">
        <v>15849</v>
      </c>
      <c r="F1201" s="142" t="s">
        <v>9196</v>
      </c>
      <c r="G1201" s="142" t="s">
        <v>9195</v>
      </c>
      <c r="H1201" s="142" t="s">
        <v>17051</v>
      </c>
      <c r="I1201" s="142">
        <v>18</v>
      </c>
      <c r="J1201" s="142">
        <v>0</v>
      </c>
      <c r="K1201" s="142">
        <v>0</v>
      </c>
      <c r="L1201" s="142">
        <v>18</v>
      </c>
      <c r="M1201" s="142">
        <v>0</v>
      </c>
    </row>
    <row r="1202" spans="1:13" x14ac:dyDescent="0.45">
      <c r="A1202" s="142" t="s">
        <v>13149</v>
      </c>
      <c r="B1202" s="142" t="s">
        <v>14458</v>
      </c>
      <c r="C1202" s="142" t="s">
        <v>15860</v>
      </c>
      <c r="D1202" s="142" t="s">
        <v>15861</v>
      </c>
      <c r="E1202" s="142" t="s">
        <v>15849</v>
      </c>
      <c r="F1202" s="142" t="s">
        <v>9196</v>
      </c>
      <c r="G1202" s="142" t="s">
        <v>9195</v>
      </c>
      <c r="H1202" s="142" t="s">
        <v>17052</v>
      </c>
      <c r="I1202" s="142">
        <v>1</v>
      </c>
      <c r="J1202" s="142">
        <v>0</v>
      </c>
      <c r="K1202" s="142">
        <v>0</v>
      </c>
      <c r="L1202" s="142">
        <v>1</v>
      </c>
      <c r="M1202" s="142">
        <v>0</v>
      </c>
    </row>
    <row r="1203" spans="1:13" x14ac:dyDescent="0.45">
      <c r="A1203" s="142" t="s">
        <v>13003</v>
      </c>
      <c r="B1203" s="142" t="s">
        <v>15245</v>
      </c>
      <c r="C1203" s="142" t="s">
        <v>15847</v>
      </c>
      <c r="D1203" s="142" t="s">
        <v>15848</v>
      </c>
      <c r="E1203" s="142" t="s">
        <v>15849</v>
      </c>
      <c r="F1203" s="142" t="s">
        <v>9196</v>
      </c>
      <c r="G1203" s="142" t="s">
        <v>9195</v>
      </c>
      <c r="H1203" s="142" t="s">
        <v>17053</v>
      </c>
      <c r="I1203" s="142">
        <v>51</v>
      </c>
      <c r="J1203" s="142">
        <v>0</v>
      </c>
      <c r="K1203" s="142">
        <v>0</v>
      </c>
      <c r="L1203" s="142">
        <v>51</v>
      </c>
      <c r="M1203" s="142">
        <v>0</v>
      </c>
    </row>
    <row r="1204" spans="1:13" x14ac:dyDescent="0.45">
      <c r="A1204" s="142" t="s">
        <v>13066</v>
      </c>
      <c r="B1204" s="142" t="s">
        <v>14459</v>
      </c>
      <c r="C1204" s="142" t="s">
        <v>15847</v>
      </c>
      <c r="D1204" s="142" t="s">
        <v>15848</v>
      </c>
      <c r="E1204" s="142" t="s">
        <v>15849</v>
      </c>
      <c r="F1204" s="142" t="s">
        <v>9196</v>
      </c>
      <c r="G1204" s="142" t="s">
        <v>9195</v>
      </c>
      <c r="H1204" s="142" t="s">
        <v>17054</v>
      </c>
      <c r="I1204" s="142">
        <v>2</v>
      </c>
      <c r="J1204" s="142">
        <v>0</v>
      </c>
      <c r="K1204" s="142">
        <v>0</v>
      </c>
      <c r="L1204" s="142">
        <v>2</v>
      </c>
      <c r="M1204" s="142">
        <v>0</v>
      </c>
    </row>
    <row r="1205" spans="1:13" x14ac:dyDescent="0.45">
      <c r="A1205" s="142" t="s">
        <v>13248</v>
      </c>
      <c r="B1205" s="142" t="s">
        <v>15463</v>
      </c>
      <c r="C1205" s="142" t="s">
        <v>15847</v>
      </c>
      <c r="D1205" s="142" t="s">
        <v>15848</v>
      </c>
      <c r="E1205" s="142" t="s">
        <v>15849</v>
      </c>
      <c r="F1205" s="142" t="s">
        <v>9196</v>
      </c>
      <c r="G1205" s="142" t="s">
        <v>9195</v>
      </c>
      <c r="H1205" s="142" t="s">
        <v>17055</v>
      </c>
      <c r="I1205" s="142">
        <v>129</v>
      </c>
      <c r="J1205" s="142">
        <v>119</v>
      </c>
      <c r="K1205" s="142">
        <v>0</v>
      </c>
      <c r="L1205" s="142">
        <v>0</v>
      </c>
      <c r="M1205" s="142">
        <v>10</v>
      </c>
    </row>
    <row r="1206" spans="1:13" x14ac:dyDescent="0.45">
      <c r="A1206" s="142" t="s">
        <v>13035</v>
      </c>
      <c r="B1206" s="142" t="s">
        <v>14648</v>
      </c>
      <c r="C1206" s="142" t="s">
        <v>15847</v>
      </c>
      <c r="D1206" s="142" t="s">
        <v>15848</v>
      </c>
      <c r="E1206" s="142" t="s">
        <v>15849</v>
      </c>
      <c r="F1206" s="142" t="s">
        <v>9196</v>
      </c>
      <c r="G1206" s="142" t="s">
        <v>9195</v>
      </c>
      <c r="H1206" s="142" t="s">
        <v>17056</v>
      </c>
      <c r="I1206" s="142">
        <v>266</v>
      </c>
      <c r="J1206" s="142">
        <v>185</v>
      </c>
      <c r="K1206" s="142">
        <v>0</v>
      </c>
      <c r="L1206" s="142">
        <v>0</v>
      </c>
      <c r="M1206" s="142">
        <v>81</v>
      </c>
    </row>
    <row r="1207" spans="1:13" x14ac:dyDescent="0.45">
      <c r="A1207" s="142" t="s">
        <v>13036</v>
      </c>
      <c r="B1207" s="142" t="s">
        <v>15567</v>
      </c>
      <c r="C1207" s="142" t="s">
        <v>15847</v>
      </c>
      <c r="D1207" s="142" t="s">
        <v>15848</v>
      </c>
      <c r="E1207" s="142" t="s">
        <v>15849</v>
      </c>
      <c r="F1207" s="142" t="s">
        <v>9196</v>
      </c>
      <c r="G1207" s="142" t="s">
        <v>9195</v>
      </c>
      <c r="H1207" s="142" t="s">
        <v>17057</v>
      </c>
      <c r="I1207" s="142">
        <v>1</v>
      </c>
      <c r="J1207" s="142">
        <v>0</v>
      </c>
      <c r="K1207" s="142">
        <v>0</v>
      </c>
      <c r="L1207" s="142">
        <v>1</v>
      </c>
      <c r="M1207" s="142">
        <v>0</v>
      </c>
    </row>
    <row r="1208" spans="1:13" x14ac:dyDescent="0.45">
      <c r="A1208" s="142" t="s">
        <v>13394</v>
      </c>
      <c r="B1208" s="142" t="s">
        <v>15569</v>
      </c>
      <c r="C1208" s="142" t="s">
        <v>15847</v>
      </c>
      <c r="D1208" s="142" t="s">
        <v>15848</v>
      </c>
      <c r="E1208" s="142" t="s">
        <v>15849</v>
      </c>
      <c r="F1208" s="142" t="s">
        <v>9196</v>
      </c>
      <c r="G1208" s="142" t="s">
        <v>9195</v>
      </c>
      <c r="H1208" s="142" t="s">
        <v>17058</v>
      </c>
      <c r="I1208" s="142">
        <v>17</v>
      </c>
      <c r="J1208" s="142">
        <v>14</v>
      </c>
      <c r="K1208" s="142">
        <v>0</v>
      </c>
      <c r="L1208" s="142">
        <v>3</v>
      </c>
      <c r="M1208" s="142">
        <v>0</v>
      </c>
    </row>
    <row r="1209" spans="1:13" x14ac:dyDescent="0.45">
      <c r="A1209" s="142" t="s">
        <v>13011</v>
      </c>
      <c r="B1209" s="142" t="s">
        <v>14695</v>
      </c>
      <c r="C1209" s="142" t="s">
        <v>15847</v>
      </c>
      <c r="D1209" s="142" t="s">
        <v>15848</v>
      </c>
      <c r="E1209" s="142" t="s">
        <v>15849</v>
      </c>
      <c r="F1209" s="142" t="s">
        <v>9196</v>
      </c>
      <c r="G1209" s="142" t="s">
        <v>9195</v>
      </c>
      <c r="H1209" s="142" t="s">
        <v>17059</v>
      </c>
      <c r="I1209" s="142">
        <v>51</v>
      </c>
      <c r="J1209" s="142">
        <v>51</v>
      </c>
      <c r="K1209" s="142">
        <v>0</v>
      </c>
      <c r="L1209" s="142">
        <v>0</v>
      </c>
      <c r="M1209" s="142">
        <v>0</v>
      </c>
    </row>
    <row r="1210" spans="1:13" x14ac:dyDescent="0.45">
      <c r="A1210" s="142" t="s">
        <v>13012</v>
      </c>
      <c r="B1210" s="142" t="s">
        <v>15337</v>
      </c>
      <c r="C1210" s="142" t="s">
        <v>15847</v>
      </c>
      <c r="D1210" s="142" t="s">
        <v>15848</v>
      </c>
      <c r="E1210" s="142" t="s">
        <v>15849</v>
      </c>
      <c r="F1210" s="142" t="s">
        <v>9196</v>
      </c>
      <c r="G1210" s="142" t="s">
        <v>9195</v>
      </c>
      <c r="H1210" s="142" t="s">
        <v>17060</v>
      </c>
      <c r="I1210" s="142">
        <v>92</v>
      </c>
      <c r="J1210" s="142">
        <v>62</v>
      </c>
      <c r="K1210" s="142">
        <v>0</v>
      </c>
      <c r="L1210" s="142">
        <v>0</v>
      </c>
      <c r="M1210" s="142">
        <v>30</v>
      </c>
    </row>
    <row r="1211" spans="1:13" x14ac:dyDescent="0.45">
      <c r="A1211" s="142" t="s">
        <v>13267</v>
      </c>
      <c r="B1211" s="142" t="s">
        <v>15451</v>
      </c>
      <c r="C1211" s="142" t="s">
        <v>15847</v>
      </c>
      <c r="D1211" s="142" t="s">
        <v>15848</v>
      </c>
      <c r="E1211" s="142" t="s">
        <v>15849</v>
      </c>
      <c r="F1211" s="142" t="s">
        <v>9196</v>
      </c>
      <c r="G1211" s="142" t="s">
        <v>9195</v>
      </c>
      <c r="H1211" s="142" t="s">
        <v>17061</v>
      </c>
      <c r="I1211" s="142">
        <v>21</v>
      </c>
      <c r="J1211" s="142">
        <v>21</v>
      </c>
      <c r="K1211" s="142">
        <v>0</v>
      </c>
      <c r="L1211" s="142">
        <v>0</v>
      </c>
      <c r="M1211" s="142">
        <v>0</v>
      </c>
    </row>
    <row r="1212" spans="1:13" x14ac:dyDescent="0.45">
      <c r="A1212" s="142" t="s">
        <v>13022</v>
      </c>
      <c r="B1212" s="142" t="s">
        <v>14634</v>
      </c>
      <c r="C1212" s="142" t="s">
        <v>15847</v>
      </c>
      <c r="D1212" s="142" t="s">
        <v>15848</v>
      </c>
      <c r="E1212" s="142" t="s">
        <v>15849</v>
      </c>
      <c r="F1212" s="142" t="s">
        <v>5192</v>
      </c>
      <c r="G1212" s="142" t="s">
        <v>5191</v>
      </c>
      <c r="H1212" s="142" t="s">
        <v>17062</v>
      </c>
      <c r="I1212" s="142">
        <v>1</v>
      </c>
      <c r="J1212" s="142">
        <v>0</v>
      </c>
      <c r="K1212" s="142">
        <v>0</v>
      </c>
      <c r="L1212" s="142">
        <v>1</v>
      </c>
      <c r="M1212" s="142">
        <v>0</v>
      </c>
    </row>
    <row r="1213" spans="1:13" x14ac:dyDescent="0.45">
      <c r="A1213" s="142" t="s">
        <v>13023</v>
      </c>
      <c r="B1213" s="142" t="s">
        <v>15571</v>
      </c>
      <c r="C1213" s="142" t="s">
        <v>15847</v>
      </c>
      <c r="D1213" s="142" t="s">
        <v>15848</v>
      </c>
      <c r="E1213" s="142" t="s">
        <v>15849</v>
      </c>
      <c r="F1213" s="142" t="s">
        <v>5192</v>
      </c>
      <c r="G1213" s="142" t="s">
        <v>5191</v>
      </c>
      <c r="H1213" s="142" t="s">
        <v>17063</v>
      </c>
      <c r="I1213" s="142">
        <v>88</v>
      </c>
      <c r="J1213" s="142">
        <v>0</v>
      </c>
      <c r="K1213" s="142">
        <v>0</v>
      </c>
      <c r="L1213" s="142">
        <v>88</v>
      </c>
      <c r="M1213" s="142">
        <v>0</v>
      </c>
    </row>
    <row r="1214" spans="1:13" x14ac:dyDescent="0.45">
      <c r="A1214" s="142" t="s">
        <v>13348</v>
      </c>
      <c r="B1214" s="142" t="s">
        <v>15458</v>
      </c>
      <c r="C1214" s="142" t="s">
        <v>15847</v>
      </c>
      <c r="D1214" s="142" t="s">
        <v>15848</v>
      </c>
      <c r="E1214" s="142" t="s">
        <v>15849</v>
      </c>
      <c r="F1214" s="142" t="s">
        <v>5192</v>
      </c>
      <c r="G1214" s="142" t="s">
        <v>5191</v>
      </c>
      <c r="H1214" s="142" t="s">
        <v>17064</v>
      </c>
      <c r="I1214" s="142">
        <v>4143</v>
      </c>
      <c r="J1214" s="142">
        <v>3573</v>
      </c>
      <c r="K1214" s="142">
        <v>0</v>
      </c>
      <c r="L1214" s="142">
        <v>275</v>
      </c>
      <c r="M1214" s="142">
        <v>295</v>
      </c>
    </row>
    <row r="1215" spans="1:13" x14ac:dyDescent="0.45">
      <c r="A1215" s="142" t="s">
        <v>13000</v>
      </c>
      <c r="B1215" s="142" t="s">
        <v>14610</v>
      </c>
      <c r="C1215" s="142" t="s">
        <v>15847</v>
      </c>
      <c r="D1215" s="142" t="s">
        <v>15848</v>
      </c>
      <c r="E1215" s="142" t="s">
        <v>15849</v>
      </c>
      <c r="F1215" s="142" t="s">
        <v>5192</v>
      </c>
      <c r="G1215" s="142" t="s">
        <v>5191</v>
      </c>
      <c r="H1215" s="142" t="s">
        <v>17065</v>
      </c>
      <c r="I1215" s="142">
        <v>1</v>
      </c>
      <c r="J1215" s="142">
        <v>0</v>
      </c>
      <c r="K1215" s="142">
        <v>0</v>
      </c>
      <c r="L1215" s="142">
        <v>0</v>
      </c>
      <c r="M1215" s="142">
        <v>1</v>
      </c>
    </row>
    <row r="1216" spans="1:13" x14ac:dyDescent="0.45">
      <c r="A1216" s="142" t="s">
        <v>13050</v>
      </c>
      <c r="B1216" s="142" t="s">
        <v>15237</v>
      </c>
      <c r="C1216" s="142" t="s">
        <v>15847</v>
      </c>
      <c r="D1216" s="142" t="s">
        <v>15848</v>
      </c>
      <c r="E1216" s="142" t="s">
        <v>15849</v>
      </c>
      <c r="F1216" s="142" t="s">
        <v>5192</v>
      </c>
      <c r="G1216" s="142" t="s">
        <v>5191</v>
      </c>
      <c r="H1216" s="142" t="s">
        <v>17066</v>
      </c>
      <c r="I1216" s="142">
        <v>51</v>
      </c>
      <c r="J1216" s="142">
        <v>51</v>
      </c>
      <c r="K1216" s="142">
        <v>0</v>
      </c>
      <c r="L1216" s="142">
        <v>0</v>
      </c>
      <c r="M1216" s="142">
        <v>0</v>
      </c>
    </row>
    <row r="1217" spans="1:13" x14ac:dyDescent="0.45">
      <c r="A1217" s="142" t="s">
        <v>13199</v>
      </c>
      <c r="B1217" s="142" t="s">
        <v>15362</v>
      </c>
      <c r="C1217" s="142" t="s">
        <v>15847</v>
      </c>
      <c r="D1217" s="142" t="s">
        <v>15848</v>
      </c>
      <c r="E1217" s="142" t="s">
        <v>15849</v>
      </c>
      <c r="F1217" s="142" t="s">
        <v>5192</v>
      </c>
      <c r="G1217" s="142" t="s">
        <v>5191</v>
      </c>
      <c r="H1217" s="142" t="s">
        <v>17067</v>
      </c>
      <c r="I1217" s="142">
        <v>126</v>
      </c>
      <c r="J1217" s="142">
        <v>90</v>
      </c>
      <c r="K1217" s="142">
        <v>0</v>
      </c>
      <c r="L1217" s="142">
        <v>26</v>
      </c>
      <c r="M1217" s="142">
        <v>10</v>
      </c>
    </row>
    <row r="1218" spans="1:13" x14ac:dyDescent="0.45">
      <c r="A1218" s="142" t="s">
        <v>13002</v>
      </c>
      <c r="B1218" s="142" t="s">
        <v>15376</v>
      </c>
      <c r="C1218" s="142" t="s">
        <v>15847</v>
      </c>
      <c r="D1218" s="142" t="s">
        <v>15848</v>
      </c>
      <c r="E1218" s="142" t="s">
        <v>15849</v>
      </c>
      <c r="F1218" s="142" t="s">
        <v>5192</v>
      </c>
      <c r="G1218" s="142" t="s">
        <v>5191</v>
      </c>
      <c r="H1218" s="142" t="s">
        <v>17068</v>
      </c>
      <c r="I1218" s="142">
        <v>42</v>
      </c>
      <c r="J1218" s="142">
        <v>39</v>
      </c>
      <c r="K1218" s="142">
        <v>0</v>
      </c>
      <c r="L1218" s="142">
        <v>0</v>
      </c>
      <c r="M1218" s="142">
        <v>3</v>
      </c>
    </row>
    <row r="1219" spans="1:13" x14ac:dyDescent="0.45">
      <c r="A1219" s="142" t="s">
        <v>13169</v>
      </c>
      <c r="B1219" s="142" t="s">
        <v>15408</v>
      </c>
      <c r="C1219" s="142" t="s">
        <v>15847</v>
      </c>
      <c r="D1219" s="142" t="s">
        <v>15848</v>
      </c>
      <c r="E1219" s="142" t="s">
        <v>15849</v>
      </c>
      <c r="F1219" s="142" t="s">
        <v>5192</v>
      </c>
      <c r="G1219" s="142" t="s">
        <v>5191</v>
      </c>
      <c r="H1219" s="142" t="s">
        <v>17069</v>
      </c>
      <c r="I1219" s="142">
        <v>10</v>
      </c>
      <c r="J1219" s="142">
        <v>0</v>
      </c>
      <c r="K1219" s="142">
        <v>0</v>
      </c>
      <c r="L1219" s="142">
        <v>0</v>
      </c>
      <c r="M1219" s="142">
        <v>10</v>
      </c>
    </row>
    <row r="1220" spans="1:13" x14ac:dyDescent="0.45">
      <c r="A1220" s="142" t="s">
        <v>13005</v>
      </c>
      <c r="B1220" s="142" t="s">
        <v>15475</v>
      </c>
      <c r="C1220" s="142" t="s">
        <v>15847</v>
      </c>
      <c r="D1220" s="142" t="s">
        <v>15848</v>
      </c>
      <c r="E1220" s="142" t="s">
        <v>15849</v>
      </c>
      <c r="F1220" s="142" t="s">
        <v>5192</v>
      </c>
      <c r="G1220" s="142" t="s">
        <v>5191</v>
      </c>
      <c r="H1220" s="142" t="s">
        <v>17070</v>
      </c>
      <c r="I1220" s="142">
        <v>6</v>
      </c>
      <c r="J1220" s="142">
        <v>0</v>
      </c>
      <c r="K1220" s="142">
        <v>0</v>
      </c>
      <c r="L1220" s="142">
        <v>0</v>
      </c>
      <c r="M1220" s="142">
        <v>6</v>
      </c>
    </row>
    <row r="1221" spans="1:13" x14ac:dyDescent="0.45">
      <c r="A1221" s="142" t="s">
        <v>13006</v>
      </c>
      <c r="B1221" s="142" t="s">
        <v>15288</v>
      </c>
      <c r="C1221" s="142" t="s">
        <v>15847</v>
      </c>
      <c r="D1221" s="142" t="s">
        <v>15848</v>
      </c>
      <c r="E1221" s="142" t="s">
        <v>15849</v>
      </c>
      <c r="F1221" s="142" t="s">
        <v>5192</v>
      </c>
      <c r="G1221" s="142" t="s">
        <v>5191</v>
      </c>
      <c r="H1221" s="142" t="s">
        <v>17071</v>
      </c>
      <c r="I1221" s="142">
        <v>264</v>
      </c>
      <c r="J1221" s="142">
        <v>208</v>
      </c>
      <c r="K1221" s="142">
        <v>0</v>
      </c>
      <c r="L1221" s="142">
        <v>8</v>
      </c>
      <c r="M1221" s="142">
        <v>48</v>
      </c>
    </row>
    <row r="1222" spans="1:13" x14ac:dyDescent="0.45">
      <c r="A1222" s="142" t="s">
        <v>13103</v>
      </c>
      <c r="B1222" s="142" t="s">
        <v>14623</v>
      </c>
      <c r="C1222" s="142" t="s">
        <v>15847</v>
      </c>
      <c r="D1222" s="142" t="s">
        <v>15848</v>
      </c>
      <c r="E1222" s="142" t="s">
        <v>15849</v>
      </c>
      <c r="F1222" s="142" t="s">
        <v>5192</v>
      </c>
      <c r="G1222" s="142" t="s">
        <v>5191</v>
      </c>
      <c r="H1222" s="142" t="s">
        <v>17072</v>
      </c>
      <c r="I1222" s="142">
        <v>7</v>
      </c>
      <c r="J1222" s="142">
        <v>0</v>
      </c>
      <c r="K1222" s="142">
        <v>0</v>
      </c>
      <c r="L1222" s="142">
        <v>0</v>
      </c>
      <c r="M1222" s="142">
        <v>7</v>
      </c>
    </row>
    <row r="1223" spans="1:13" x14ac:dyDescent="0.45">
      <c r="A1223" s="142" t="s">
        <v>13054</v>
      </c>
      <c r="B1223" s="142" t="s">
        <v>15604</v>
      </c>
      <c r="C1223" s="142" t="s">
        <v>15847</v>
      </c>
      <c r="D1223" s="142" t="s">
        <v>15848</v>
      </c>
      <c r="E1223" s="142" t="s">
        <v>15849</v>
      </c>
      <c r="F1223" s="142" t="s">
        <v>5192</v>
      </c>
      <c r="G1223" s="142" t="s">
        <v>5191</v>
      </c>
      <c r="H1223" s="142" t="s">
        <v>17073</v>
      </c>
      <c r="I1223" s="142">
        <v>1</v>
      </c>
      <c r="J1223" s="142">
        <v>0</v>
      </c>
      <c r="K1223" s="142">
        <v>0</v>
      </c>
      <c r="L1223" s="142">
        <v>0</v>
      </c>
      <c r="M1223" s="142">
        <v>1</v>
      </c>
    </row>
    <row r="1224" spans="1:13" x14ac:dyDescent="0.45">
      <c r="A1224" s="142" t="s">
        <v>13131</v>
      </c>
      <c r="B1224" s="142" t="s">
        <v>15233</v>
      </c>
      <c r="C1224" s="142" t="s">
        <v>15860</v>
      </c>
      <c r="D1224" s="142" t="s">
        <v>15861</v>
      </c>
      <c r="E1224" s="142" t="s">
        <v>15849</v>
      </c>
      <c r="F1224" s="142" t="s">
        <v>5192</v>
      </c>
      <c r="G1224" s="142" t="s">
        <v>5191</v>
      </c>
      <c r="H1224" s="142" t="s">
        <v>17074</v>
      </c>
      <c r="I1224" s="142">
        <v>4</v>
      </c>
      <c r="J1224" s="142">
        <v>0</v>
      </c>
      <c r="K1224" s="142">
        <v>0</v>
      </c>
      <c r="L1224" s="142">
        <v>4</v>
      </c>
      <c r="M1224" s="142">
        <v>0</v>
      </c>
    </row>
    <row r="1225" spans="1:13" x14ac:dyDescent="0.45">
      <c r="A1225" s="142" t="s">
        <v>13135</v>
      </c>
      <c r="B1225" s="142" t="s">
        <v>15575</v>
      </c>
      <c r="C1225" s="142" t="s">
        <v>15847</v>
      </c>
      <c r="D1225" s="142" t="s">
        <v>15848</v>
      </c>
      <c r="E1225" s="142" t="s">
        <v>15849</v>
      </c>
      <c r="F1225" s="142" t="s">
        <v>5192</v>
      </c>
      <c r="G1225" s="142" t="s">
        <v>5191</v>
      </c>
      <c r="H1225" s="142" t="s">
        <v>17075</v>
      </c>
      <c r="I1225" s="142">
        <v>392</v>
      </c>
      <c r="J1225" s="142">
        <v>344</v>
      </c>
      <c r="K1225" s="142">
        <v>0</v>
      </c>
      <c r="L1225" s="142">
        <v>0</v>
      </c>
      <c r="M1225" s="142">
        <v>48</v>
      </c>
    </row>
    <row r="1226" spans="1:13" x14ac:dyDescent="0.45">
      <c r="A1226" s="142" t="s">
        <v>13104</v>
      </c>
      <c r="B1226" s="142" t="s">
        <v>14622</v>
      </c>
      <c r="C1226" s="142" t="s">
        <v>15847</v>
      </c>
      <c r="D1226" s="142" t="s">
        <v>15848</v>
      </c>
      <c r="E1226" s="142" t="s">
        <v>15849</v>
      </c>
      <c r="F1226" s="142" t="s">
        <v>5192</v>
      </c>
      <c r="G1226" s="142" t="s">
        <v>5191</v>
      </c>
      <c r="H1226" s="142" t="s">
        <v>17076</v>
      </c>
      <c r="I1226" s="142">
        <v>813</v>
      </c>
      <c r="J1226" s="142">
        <v>646</v>
      </c>
      <c r="K1226" s="142">
        <v>0</v>
      </c>
      <c r="L1226" s="142">
        <v>82</v>
      </c>
      <c r="M1226" s="142">
        <v>85</v>
      </c>
    </row>
    <row r="1227" spans="1:13" x14ac:dyDescent="0.45">
      <c r="A1227" s="142" t="s">
        <v>13009</v>
      </c>
      <c r="B1227" s="142" t="s">
        <v>15256</v>
      </c>
      <c r="C1227" s="142" t="s">
        <v>15847</v>
      </c>
      <c r="D1227" s="142" t="s">
        <v>15848</v>
      </c>
      <c r="E1227" s="142" t="s">
        <v>15849</v>
      </c>
      <c r="F1227" s="142" t="s">
        <v>5192</v>
      </c>
      <c r="G1227" s="142" t="s">
        <v>5191</v>
      </c>
      <c r="H1227" s="142" t="s">
        <v>17077</v>
      </c>
      <c r="I1227" s="142">
        <v>145</v>
      </c>
      <c r="J1227" s="142">
        <v>135</v>
      </c>
      <c r="K1227" s="142">
        <v>0</v>
      </c>
      <c r="L1227" s="142">
        <v>7</v>
      </c>
      <c r="M1227" s="142">
        <v>3</v>
      </c>
    </row>
    <row r="1228" spans="1:13" x14ac:dyDescent="0.45">
      <c r="A1228" s="142" t="s">
        <v>13203</v>
      </c>
      <c r="B1228" s="142" t="s">
        <v>15446</v>
      </c>
      <c r="C1228" s="142" t="s">
        <v>15847</v>
      </c>
      <c r="D1228" s="142" t="s">
        <v>15848</v>
      </c>
      <c r="E1228" s="142" t="s">
        <v>15849</v>
      </c>
      <c r="F1228" s="142" t="s">
        <v>5192</v>
      </c>
      <c r="G1228" s="142" t="s">
        <v>5191</v>
      </c>
      <c r="H1228" s="142" t="s">
        <v>17078</v>
      </c>
      <c r="I1228" s="142">
        <v>54</v>
      </c>
      <c r="J1228" s="142">
        <v>35</v>
      </c>
      <c r="K1228" s="142">
        <v>0</v>
      </c>
      <c r="L1228" s="142">
        <v>0</v>
      </c>
      <c r="M1228" s="142">
        <v>19</v>
      </c>
    </row>
    <row r="1229" spans="1:13" x14ac:dyDescent="0.45">
      <c r="A1229" s="142" t="s">
        <v>13011</v>
      </c>
      <c r="B1229" s="142" t="s">
        <v>14695</v>
      </c>
      <c r="C1229" s="142" t="s">
        <v>15847</v>
      </c>
      <c r="D1229" s="142" t="s">
        <v>15848</v>
      </c>
      <c r="E1229" s="142" t="s">
        <v>15849</v>
      </c>
      <c r="F1229" s="142" t="s">
        <v>5192</v>
      </c>
      <c r="G1229" s="142" t="s">
        <v>5191</v>
      </c>
      <c r="H1229" s="142" t="s">
        <v>17079</v>
      </c>
      <c r="I1229" s="142">
        <v>2</v>
      </c>
      <c r="J1229" s="142">
        <v>0</v>
      </c>
      <c r="K1229" s="142">
        <v>0</v>
      </c>
      <c r="L1229" s="142">
        <v>0</v>
      </c>
      <c r="M1229" s="142">
        <v>2</v>
      </c>
    </row>
    <row r="1230" spans="1:13" x14ac:dyDescent="0.45">
      <c r="A1230" s="142" t="s">
        <v>13395</v>
      </c>
      <c r="B1230" s="142" t="s">
        <v>15476</v>
      </c>
      <c r="C1230" s="142" t="s">
        <v>15847</v>
      </c>
      <c r="D1230" s="142" t="s">
        <v>15848</v>
      </c>
      <c r="E1230" s="142" t="s">
        <v>15849</v>
      </c>
      <c r="F1230" s="142" t="s">
        <v>5192</v>
      </c>
      <c r="G1230" s="142" t="s">
        <v>5191</v>
      </c>
      <c r="H1230" s="142" t="s">
        <v>17080</v>
      </c>
      <c r="I1230" s="142">
        <v>4</v>
      </c>
      <c r="J1230" s="142">
        <v>0</v>
      </c>
      <c r="K1230" s="142">
        <v>0</v>
      </c>
      <c r="L1230" s="142">
        <v>0</v>
      </c>
      <c r="M1230" s="142">
        <v>4</v>
      </c>
    </row>
    <row r="1231" spans="1:13" x14ac:dyDescent="0.45">
      <c r="A1231" s="142" t="s">
        <v>13072</v>
      </c>
      <c r="B1231" s="142" t="s">
        <v>15530</v>
      </c>
      <c r="C1231" s="142" t="s">
        <v>15847</v>
      </c>
      <c r="D1231" s="142" t="s">
        <v>15848</v>
      </c>
      <c r="E1231" s="142" t="s">
        <v>15849</v>
      </c>
      <c r="F1231" s="142" t="s">
        <v>7377</v>
      </c>
      <c r="G1231" s="142" t="s">
        <v>7376</v>
      </c>
      <c r="H1231" s="142" t="s">
        <v>17081</v>
      </c>
      <c r="I1231" s="142">
        <v>55</v>
      </c>
      <c r="J1231" s="142">
        <v>55</v>
      </c>
      <c r="K1231" s="142">
        <v>0</v>
      </c>
      <c r="L1231" s="142">
        <v>0</v>
      </c>
      <c r="M1231" s="142">
        <v>0</v>
      </c>
    </row>
    <row r="1232" spans="1:13" x14ac:dyDescent="0.45">
      <c r="A1232" s="142" t="s">
        <v>13021</v>
      </c>
      <c r="B1232" s="142" t="s">
        <v>15501</v>
      </c>
      <c r="C1232" s="142" t="s">
        <v>15847</v>
      </c>
      <c r="D1232" s="142" t="s">
        <v>15848</v>
      </c>
      <c r="E1232" s="142" t="s">
        <v>15849</v>
      </c>
      <c r="F1232" s="142" t="s">
        <v>7377</v>
      </c>
      <c r="G1232" s="142" t="s">
        <v>7376</v>
      </c>
      <c r="H1232" s="142" t="s">
        <v>17082</v>
      </c>
      <c r="I1232" s="142">
        <v>1</v>
      </c>
      <c r="J1232" s="142">
        <v>0</v>
      </c>
      <c r="K1232" s="142">
        <v>0</v>
      </c>
      <c r="L1232" s="142">
        <v>0</v>
      </c>
      <c r="M1232" s="142">
        <v>1</v>
      </c>
    </row>
    <row r="1233" spans="1:13" x14ac:dyDescent="0.45">
      <c r="A1233" s="142" t="s">
        <v>13022</v>
      </c>
      <c r="B1233" s="142" t="s">
        <v>14634</v>
      </c>
      <c r="C1233" s="142" t="s">
        <v>15847</v>
      </c>
      <c r="D1233" s="142" t="s">
        <v>15848</v>
      </c>
      <c r="E1233" s="142" t="s">
        <v>15849</v>
      </c>
      <c r="F1233" s="142" t="s">
        <v>7377</v>
      </c>
      <c r="G1233" s="142" t="s">
        <v>7376</v>
      </c>
      <c r="H1233" s="142" t="s">
        <v>17083</v>
      </c>
      <c r="I1233" s="142">
        <v>94</v>
      </c>
      <c r="J1233" s="142">
        <v>92</v>
      </c>
      <c r="K1233" s="142">
        <v>0</v>
      </c>
      <c r="L1233" s="142">
        <v>0</v>
      </c>
      <c r="M1233" s="142">
        <v>2</v>
      </c>
    </row>
    <row r="1234" spans="1:13" x14ac:dyDescent="0.45">
      <c r="A1234" s="142" t="s">
        <v>13023</v>
      </c>
      <c r="B1234" s="142" t="s">
        <v>15571</v>
      </c>
      <c r="C1234" s="142" t="s">
        <v>15847</v>
      </c>
      <c r="D1234" s="142" t="s">
        <v>15848</v>
      </c>
      <c r="E1234" s="142" t="s">
        <v>15849</v>
      </c>
      <c r="F1234" s="142" t="s">
        <v>7377</v>
      </c>
      <c r="G1234" s="142" t="s">
        <v>7376</v>
      </c>
      <c r="H1234" s="142" t="s">
        <v>17084</v>
      </c>
      <c r="I1234" s="142">
        <v>37</v>
      </c>
      <c r="J1234" s="142">
        <v>0</v>
      </c>
      <c r="K1234" s="142">
        <v>0</v>
      </c>
      <c r="L1234" s="142">
        <v>37</v>
      </c>
      <c r="M1234" s="142">
        <v>0</v>
      </c>
    </row>
    <row r="1235" spans="1:13" x14ac:dyDescent="0.45">
      <c r="A1235" s="142" t="s">
        <v>13024</v>
      </c>
      <c r="B1235" s="142" t="s">
        <v>14538</v>
      </c>
      <c r="C1235" s="142" t="s">
        <v>15847</v>
      </c>
      <c r="D1235" s="142" t="s">
        <v>15848</v>
      </c>
      <c r="E1235" s="142" t="s">
        <v>15849</v>
      </c>
      <c r="F1235" s="142" t="s">
        <v>7377</v>
      </c>
      <c r="G1235" s="142" t="s">
        <v>7376</v>
      </c>
      <c r="H1235" s="142" t="s">
        <v>17085</v>
      </c>
      <c r="I1235" s="142">
        <v>127</v>
      </c>
      <c r="J1235" s="142">
        <v>86</v>
      </c>
      <c r="K1235" s="142">
        <v>0</v>
      </c>
      <c r="L1235" s="142">
        <v>0</v>
      </c>
      <c r="M1235" s="142">
        <v>41</v>
      </c>
    </row>
    <row r="1236" spans="1:13" x14ac:dyDescent="0.45">
      <c r="A1236" s="142" t="s">
        <v>13025</v>
      </c>
      <c r="B1236" s="142" t="s">
        <v>15579</v>
      </c>
      <c r="C1236" s="142" t="s">
        <v>15847</v>
      </c>
      <c r="D1236" s="142" t="s">
        <v>15848</v>
      </c>
      <c r="E1236" s="142" t="s">
        <v>15849</v>
      </c>
      <c r="F1236" s="142" t="s">
        <v>7377</v>
      </c>
      <c r="G1236" s="142" t="s">
        <v>7376</v>
      </c>
      <c r="H1236" s="142" t="s">
        <v>17086</v>
      </c>
      <c r="I1236" s="142">
        <v>48</v>
      </c>
      <c r="J1236" s="142">
        <v>0</v>
      </c>
      <c r="K1236" s="142">
        <v>0</v>
      </c>
      <c r="L1236" s="142">
        <v>48</v>
      </c>
      <c r="M1236" s="142">
        <v>0</v>
      </c>
    </row>
    <row r="1237" spans="1:13" x14ac:dyDescent="0.45">
      <c r="A1237" s="142" t="s">
        <v>13026</v>
      </c>
      <c r="B1237" s="142" t="s">
        <v>15447</v>
      </c>
      <c r="C1237" s="142" t="s">
        <v>15847</v>
      </c>
      <c r="D1237" s="142" t="s">
        <v>15848</v>
      </c>
      <c r="E1237" s="142" t="s">
        <v>15849</v>
      </c>
      <c r="F1237" s="142" t="s">
        <v>7377</v>
      </c>
      <c r="G1237" s="142" t="s">
        <v>7376</v>
      </c>
      <c r="H1237" s="142" t="s">
        <v>17087</v>
      </c>
      <c r="I1237" s="142">
        <v>74</v>
      </c>
      <c r="J1237" s="142">
        <v>49</v>
      </c>
      <c r="K1237" s="142">
        <v>0</v>
      </c>
      <c r="L1237" s="142">
        <v>0</v>
      </c>
      <c r="M1237" s="142">
        <v>25</v>
      </c>
    </row>
    <row r="1238" spans="1:13" x14ac:dyDescent="0.45">
      <c r="A1238" s="142" t="s">
        <v>13271</v>
      </c>
      <c r="B1238" s="142" t="s">
        <v>15470</v>
      </c>
      <c r="C1238" s="142" t="s">
        <v>15847</v>
      </c>
      <c r="D1238" s="142" t="s">
        <v>15848</v>
      </c>
      <c r="E1238" s="142" t="s">
        <v>15849</v>
      </c>
      <c r="F1238" s="142" t="s">
        <v>7377</v>
      </c>
      <c r="G1238" s="142" t="s">
        <v>7376</v>
      </c>
      <c r="H1238" s="142" t="s">
        <v>17088</v>
      </c>
      <c r="I1238" s="142">
        <v>17</v>
      </c>
      <c r="J1238" s="142">
        <v>15</v>
      </c>
      <c r="K1238" s="142">
        <v>0</v>
      </c>
      <c r="L1238" s="142">
        <v>0</v>
      </c>
      <c r="M1238" s="142">
        <v>2</v>
      </c>
    </row>
    <row r="1239" spans="1:13" x14ac:dyDescent="0.45">
      <c r="A1239" s="142" t="s">
        <v>13027</v>
      </c>
      <c r="B1239" s="142" t="s">
        <v>14562</v>
      </c>
      <c r="C1239" s="142" t="s">
        <v>15847</v>
      </c>
      <c r="D1239" s="142" t="s">
        <v>15848</v>
      </c>
      <c r="E1239" s="142" t="s">
        <v>15849</v>
      </c>
      <c r="F1239" s="142" t="s">
        <v>7377</v>
      </c>
      <c r="G1239" s="142" t="s">
        <v>7376</v>
      </c>
      <c r="H1239" s="142" t="s">
        <v>17089</v>
      </c>
      <c r="I1239" s="142">
        <v>14</v>
      </c>
      <c r="J1239" s="142">
        <v>0</v>
      </c>
      <c r="K1239" s="142">
        <v>0</v>
      </c>
      <c r="L1239" s="142">
        <v>14</v>
      </c>
      <c r="M1239" s="142">
        <v>0</v>
      </c>
    </row>
    <row r="1240" spans="1:13" x14ac:dyDescent="0.45">
      <c r="A1240" s="142" t="s">
        <v>13028</v>
      </c>
      <c r="B1240" s="142" t="s">
        <v>14462</v>
      </c>
      <c r="C1240" s="142" t="s">
        <v>15847</v>
      </c>
      <c r="D1240" s="142" t="s">
        <v>15848</v>
      </c>
      <c r="E1240" s="142" t="s">
        <v>15849</v>
      </c>
      <c r="F1240" s="142" t="s">
        <v>7377</v>
      </c>
      <c r="G1240" s="142" t="s">
        <v>7376</v>
      </c>
      <c r="H1240" s="142" t="s">
        <v>17090</v>
      </c>
      <c r="I1240" s="142">
        <v>3</v>
      </c>
      <c r="J1240" s="142">
        <v>0</v>
      </c>
      <c r="K1240" s="142">
        <v>0</v>
      </c>
      <c r="L1240" s="142">
        <v>0</v>
      </c>
      <c r="M1240" s="142">
        <v>3</v>
      </c>
    </row>
    <row r="1241" spans="1:13" x14ac:dyDescent="0.45">
      <c r="A1241" s="142" t="s">
        <v>13067</v>
      </c>
      <c r="B1241" s="142" t="s">
        <v>15480</v>
      </c>
      <c r="C1241" s="142" t="s">
        <v>15847</v>
      </c>
      <c r="D1241" s="142" t="s">
        <v>15848</v>
      </c>
      <c r="E1241" s="142" t="s">
        <v>15849</v>
      </c>
      <c r="F1241" s="142" t="s">
        <v>7377</v>
      </c>
      <c r="G1241" s="142" t="s">
        <v>7376</v>
      </c>
      <c r="H1241" s="142" t="s">
        <v>17091</v>
      </c>
      <c r="I1241" s="142">
        <v>9</v>
      </c>
      <c r="J1241" s="142">
        <v>9</v>
      </c>
      <c r="K1241" s="142">
        <v>0</v>
      </c>
      <c r="L1241" s="142">
        <v>0</v>
      </c>
      <c r="M1241" s="142">
        <v>0</v>
      </c>
    </row>
    <row r="1242" spans="1:13" x14ac:dyDescent="0.45">
      <c r="A1242" s="142" t="s">
        <v>13006</v>
      </c>
      <c r="B1242" s="142" t="s">
        <v>15288</v>
      </c>
      <c r="C1242" s="142" t="s">
        <v>15847</v>
      </c>
      <c r="D1242" s="142" t="s">
        <v>15848</v>
      </c>
      <c r="E1242" s="142" t="s">
        <v>15849</v>
      </c>
      <c r="F1242" s="142" t="s">
        <v>7377</v>
      </c>
      <c r="G1242" s="142" t="s">
        <v>7376</v>
      </c>
      <c r="H1242" s="142" t="s">
        <v>17092</v>
      </c>
      <c r="I1242" s="142">
        <v>20</v>
      </c>
      <c r="J1242" s="142">
        <v>10</v>
      </c>
      <c r="K1242" s="142">
        <v>0</v>
      </c>
      <c r="L1242" s="142">
        <v>8</v>
      </c>
      <c r="M1242" s="142">
        <v>2</v>
      </c>
    </row>
    <row r="1243" spans="1:13" x14ac:dyDescent="0.45">
      <c r="A1243" s="142" t="s">
        <v>13248</v>
      </c>
      <c r="B1243" s="142" t="s">
        <v>15463</v>
      </c>
      <c r="C1243" s="142" t="s">
        <v>15847</v>
      </c>
      <c r="D1243" s="142" t="s">
        <v>15848</v>
      </c>
      <c r="E1243" s="142" t="s">
        <v>15849</v>
      </c>
      <c r="F1243" s="142" t="s">
        <v>7377</v>
      </c>
      <c r="G1243" s="142" t="s">
        <v>7376</v>
      </c>
      <c r="H1243" s="142" t="s">
        <v>17093</v>
      </c>
      <c r="I1243" s="142">
        <v>3</v>
      </c>
      <c r="J1243" s="142">
        <v>0</v>
      </c>
      <c r="K1243" s="142">
        <v>0</v>
      </c>
      <c r="L1243" s="142">
        <v>0</v>
      </c>
      <c r="M1243" s="142">
        <v>3</v>
      </c>
    </row>
    <row r="1244" spans="1:13" x14ac:dyDescent="0.45">
      <c r="A1244" s="142" t="s">
        <v>13030</v>
      </c>
      <c r="B1244" s="142" t="s">
        <v>14572</v>
      </c>
      <c r="C1244" s="142" t="s">
        <v>15847</v>
      </c>
      <c r="D1244" s="142" t="s">
        <v>15848</v>
      </c>
      <c r="E1244" s="142" t="s">
        <v>15849</v>
      </c>
      <c r="F1244" s="142" t="s">
        <v>7377</v>
      </c>
      <c r="G1244" s="142" t="s">
        <v>7376</v>
      </c>
      <c r="H1244" s="142" t="s">
        <v>17094</v>
      </c>
      <c r="I1244" s="142">
        <v>232</v>
      </c>
      <c r="J1244" s="142">
        <v>181</v>
      </c>
      <c r="K1244" s="142">
        <v>0</v>
      </c>
      <c r="L1244" s="142">
        <v>32</v>
      </c>
      <c r="M1244" s="142">
        <v>19</v>
      </c>
    </row>
    <row r="1245" spans="1:13" x14ac:dyDescent="0.45">
      <c r="A1245" s="142" t="s">
        <v>13055</v>
      </c>
      <c r="B1245" s="142" t="s">
        <v>14595</v>
      </c>
      <c r="C1245" s="142" t="s">
        <v>15847</v>
      </c>
      <c r="D1245" s="142" t="s">
        <v>15848</v>
      </c>
      <c r="E1245" s="142" t="s">
        <v>15849</v>
      </c>
      <c r="F1245" s="142" t="s">
        <v>7377</v>
      </c>
      <c r="G1245" s="142" t="s">
        <v>7376</v>
      </c>
      <c r="H1245" s="142" t="s">
        <v>17095</v>
      </c>
      <c r="I1245" s="142">
        <v>212</v>
      </c>
      <c r="J1245" s="142">
        <v>140</v>
      </c>
      <c r="K1245" s="142">
        <v>0</v>
      </c>
      <c r="L1245" s="142">
        <v>71</v>
      </c>
      <c r="M1245" s="142">
        <v>1</v>
      </c>
    </row>
    <row r="1246" spans="1:13" x14ac:dyDescent="0.45">
      <c r="A1246" s="142" t="s">
        <v>13033</v>
      </c>
      <c r="B1246" s="142" t="s">
        <v>15276</v>
      </c>
      <c r="C1246" s="142" t="s">
        <v>15847</v>
      </c>
      <c r="D1246" s="142" t="s">
        <v>15848</v>
      </c>
      <c r="E1246" s="142" t="s">
        <v>15849</v>
      </c>
      <c r="F1246" s="142" t="s">
        <v>7377</v>
      </c>
      <c r="G1246" s="142" t="s">
        <v>7376</v>
      </c>
      <c r="H1246" s="142" t="s">
        <v>17096</v>
      </c>
      <c r="I1246" s="142">
        <v>75</v>
      </c>
      <c r="J1246" s="142">
        <v>70</v>
      </c>
      <c r="K1246" s="142">
        <v>0</v>
      </c>
      <c r="L1246" s="142">
        <v>0</v>
      </c>
      <c r="M1246" s="142">
        <v>5</v>
      </c>
    </row>
    <row r="1247" spans="1:13" x14ac:dyDescent="0.45">
      <c r="A1247" s="142" t="s">
        <v>13034</v>
      </c>
      <c r="B1247" s="142" t="s">
        <v>15562</v>
      </c>
      <c r="C1247" s="142" t="s">
        <v>15847</v>
      </c>
      <c r="D1247" s="142" t="s">
        <v>15848</v>
      </c>
      <c r="E1247" s="142" t="s">
        <v>15849</v>
      </c>
      <c r="F1247" s="142" t="s">
        <v>7377</v>
      </c>
      <c r="G1247" s="142" t="s">
        <v>7376</v>
      </c>
      <c r="H1247" s="142" t="s">
        <v>17097</v>
      </c>
      <c r="I1247" s="142">
        <v>434</v>
      </c>
      <c r="J1247" s="142">
        <v>425</v>
      </c>
      <c r="K1247" s="142">
        <v>0</v>
      </c>
      <c r="L1247" s="142">
        <v>0</v>
      </c>
      <c r="M1247" s="142">
        <v>9</v>
      </c>
    </row>
    <row r="1248" spans="1:13" x14ac:dyDescent="0.45">
      <c r="A1248" s="142" t="s">
        <v>13035</v>
      </c>
      <c r="B1248" s="142" t="s">
        <v>14648</v>
      </c>
      <c r="C1248" s="142" t="s">
        <v>15847</v>
      </c>
      <c r="D1248" s="142" t="s">
        <v>15848</v>
      </c>
      <c r="E1248" s="142" t="s">
        <v>15849</v>
      </c>
      <c r="F1248" s="142" t="s">
        <v>7377</v>
      </c>
      <c r="G1248" s="142" t="s">
        <v>7376</v>
      </c>
      <c r="H1248" s="142" t="s">
        <v>17098</v>
      </c>
      <c r="I1248" s="142">
        <v>118</v>
      </c>
      <c r="J1248" s="142">
        <v>88</v>
      </c>
      <c r="K1248" s="142">
        <v>0</v>
      </c>
      <c r="L1248" s="142">
        <v>0</v>
      </c>
      <c r="M1248" s="142">
        <v>30</v>
      </c>
    </row>
    <row r="1249" spans="1:13" x14ac:dyDescent="0.45">
      <c r="A1249" s="142" t="s">
        <v>13036</v>
      </c>
      <c r="B1249" s="142" t="s">
        <v>15567</v>
      </c>
      <c r="C1249" s="142" t="s">
        <v>15847</v>
      </c>
      <c r="D1249" s="142" t="s">
        <v>15848</v>
      </c>
      <c r="E1249" s="142" t="s">
        <v>15849</v>
      </c>
      <c r="F1249" s="142" t="s">
        <v>7377</v>
      </c>
      <c r="G1249" s="142" t="s">
        <v>7376</v>
      </c>
      <c r="H1249" s="142" t="s">
        <v>17099</v>
      </c>
      <c r="I1249" s="142">
        <v>30</v>
      </c>
      <c r="J1249" s="142">
        <v>0</v>
      </c>
      <c r="K1249" s="142">
        <v>0</v>
      </c>
      <c r="L1249" s="142">
        <v>30</v>
      </c>
      <c r="M1249" s="142">
        <v>0</v>
      </c>
    </row>
    <row r="1250" spans="1:13" x14ac:dyDescent="0.45">
      <c r="A1250" s="142" t="s">
        <v>13070</v>
      </c>
      <c r="B1250" s="142" t="s">
        <v>15394</v>
      </c>
      <c r="C1250" s="142" t="s">
        <v>15847</v>
      </c>
      <c r="D1250" s="142" t="s">
        <v>15848</v>
      </c>
      <c r="E1250" s="142" t="s">
        <v>15849</v>
      </c>
      <c r="F1250" s="142" t="s">
        <v>7377</v>
      </c>
      <c r="G1250" s="142" t="s">
        <v>7376</v>
      </c>
      <c r="H1250" s="142" t="s">
        <v>17100</v>
      </c>
      <c r="I1250" s="142">
        <v>4</v>
      </c>
      <c r="J1250" s="142">
        <v>4</v>
      </c>
      <c r="K1250" s="142">
        <v>0</v>
      </c>
      <c r="L1250" s="142">
        <v>0</v>
      </c>
      <c r="M1250" s="142">
        <v>0</v>
      </c>
    </row>
    <row r="1251" spans="1:13" x14ac:dyDescent="0.45">
      <c r="A1251" s="142" t="s">
        <v>13308</v>
      </c>
      <c r="B1251" s="142" t="s">
        <v>15608</v>
      </c>
      <c r="C1251" s="142" t="s">
        <v>15847</v>
      </c>
      <c r="D1251" s="142" t="s">
        <v>15848</v>
      </c>
      <c r="E1251" s="142" t="s">
        <v>15849</v>
      </c>
      <c r="F1251" s="142" t="s">
        <v>2632</v>
      </c>
      <c r="G1251" s="142" t="s">
        <v>2631</v>
      </c>
      <c r="H1251" s="142" t="s">
        <v>17101</v>
      </c>
      <c r="I1251" s="142">
        <v>1</v>
      </c>
      <c r="J1251" s="142">
        <v>0</v>
      </c>
      <c r="K1251" s="142">
        <v>0</v>
      </c>
      <c r="L1251" s="142">
        <v>0</v>
      </c>
      <c r="M1251" s="142">
        <v>1</v>
      </c>
    </row>
    <row r="1252" spans="1:13" x14ac:dyDescent="0.45">
      <c r="A1252" s="142" t="s">
        <v>13166</v>
      </c>
      <c r="B1252" s="142" t="s">
        <v>15576</v>
      </c>
      <c r="C1252" s="142" t="s">
        <v>15847</v>
      </c>
      <c r="D1252" s="142" t="s">
        <v>15848</v>
      </c>
      <c r="E1252" s="142" t="s">
        <v>15849</v>
      </c>
      <c r="F1252" s="142" t="s">
        <v>2632</v>
      </c>
      <c r="G1252" s="142" t="s">
        <v>2631</v>
      </c>
      <c r="H1252" s="142" t="s">
        <v>17102</v>
      </c>
      <c r="I1252" s="142">
        <v>7</v>
      </c>
      <c r="J1252" s="142">
        <v>7</v>
      </c>
      <c r="K1252" s="142">
        <v>0</v>
      </c>
      <c r="L1252" s="142">
        <v>0</v>
      </c>
      <c r="M1252" s="142">
        <v>0</v>
      </c>
    </row>
    <row r="1253" spans="1:13" x14ac:dyDescent="0.45">
      <c r="A1253" s="142" t="s">
        <v>13046</v>
      </c>
      <c r="B1253" s="142" t="s">
        <v>15537</v>
      </c>
      <c r="C1253" s="142" t="s">
        <v>15860</v>
      </c>
      <c r="D1253" s="142" t="s">
        <v>15861</v>
      </c>
      <c r="E1253" s="142" t="s">
        <v>15849</v>
      </c>
      <c r="F1253" s="142" t="s">
        <v>2632</v>
      </c>
      <c r="G1253" s="142" t="s">
        <v>2631</v>
      </c>
      <c r="H1253" s="142" t="s">
        <v>17103</v>
      </c>
      <c r="I1253" s="142">
        <v>6</v>
      </c>
      <c r="J1253" s="142">
        <v>0</v>
      </c>
      <c r="K1253" s="142">
        <v>0</v>
      </c>
      <c r="L1253" s="142">
        <v>6</v>
      </c>
      <c r="M1253" s="142">
        <v>0</v>
      </c>
    </row>
    <row r="1254" spans="1:13" x14ac:dyDescent="0.45">
      <c r="A1254" s="142" t="s">
        <v>13167</v>
      </c>
      <c r="B1254" s="142" t="s">
        <v>15418</v>
      </c>
      <c r="C1254" s="142" t="s">
        <v>15847</v>
      </c>
      <c r="D1254" s="142" t="s">
        <v>15848</v>
      </c>
      <c r="E1254" s="142" t="s">
        <v>15849</v>
      </c>
      <c r="F1254" s="142" t="s">
        <v>2632</v>
      </c>
      <c r="G1254" s="142" t="s">
        <v>2631</v>
      </c>
      <c r="H1254" s="142" t="s">
        <v>17104</v>
      </c>
      <c r="I1254" s="142">
        <v>57</v>
      </c>
      <c r="J1254" s="142">
        <v>44</v>
      </c>
      <c r="K1254" s="142">
        <v>0</v>
      </c>
      <c r="L1254" s="142">
        <v>0</v>
      </c>
      <c r="M1254" s="142">
        <v>13</v>
      </c>
    </row>
    <row r="1255" spans="1:13" x14ac:dyDescent="0.45">
      <c r="A1255" s="142" t="s">
        <v>13021</v>
      </c>
      <c r="B1255" s="142" t="s">
        <v>15501</v>
      </c>
      <c r="C1255" s="142" t="s">
        <v>15847</v>
      </c>
      <c r="D1255" s="142" t="s">
        <v>15848</v>
      </c>
      <c r="E1255" s="142" t="s">
        <v>15849</v>
      </c>
      <c r="F1255" s="142" t="s">
        <v>2632</v>
      </c>
      <c r="G1255" s="142" t="s">
        <v>2631</v>
      </c>
      <c r="H1255" s="142" t="s">
        <v>17105</v>
      </c>
      <c r="I1255" s="142">
        <v>45</v>
      </c>
      <c r="J1255" s="142">
        <v>0</v>
      </c>
      <c r="K1255" s="142">
        <v>0</v>
      </c>
      <c r="L1255" s="142">
        <v>31</v>
      </c>
      <c r="M1255" s="142">
        <v>14</v>
      </c>
    </row>
    <row r="1256" spans="1:13" x14ac:dyDescent="0.45">
      <c r="A1256" s="142" t="s">
        <v>13022</v>
      </c>
      <c r="B1256" s="142" t="s">
        <v>14634</v>
      </c>
      <c r="C1256" s="142" t="s">
        <v>15847</v>
      </c>
      <c r="D1256" s="142" t="s">
        <v>15848</v>
      </c>
      <c r="E1256" s="142" t="s">
        <v>15849</v>
      </c>
      <c r="F1256" s="142" t="s">
        <v>2632</v>
      </c>
      <c r="G1256" s="142" t="s">
        <v>2631</v>
      </c>
      <c r="H1256" s="142" t="s">
        <v>17106</v>
      </c>
      <c r="I1256" s="142">
        <v>70</v>
      </c>
      <c r="J1256" s="142">
        <v>0</v>
      </c>
      <c r="K1256" s="142">
        <v>0</v>
      </c>
      <c r="L1256" s="142">
        <v>70</v>
      </c>
      <c r="M1256" s="142">
        <v>0</v>
      </c>
    </row>
    <row r="1257" spans="1:13" x14ac:dyDescent="0.45">
      <c r="A1257" s="142" t="s">
        <v>13023</v>
      </c>
      <c r="B1257" s="142" t="s">
        <v>15571</v>
      </c>
      <c r="C1257" s="142" t="s">
        <v>15847</v>
      </c>
      <c r="D1257" s="142" t="s">
        <v>15848</v>
      </c>
      <c r="E1257" s="142" t="s">
        <v>15849</v>
      </c>
      <c r="F1257" s="142" t="s">
        <v>2632</v>
      </c>
      <c r="G1257" s="142" t="s">
        <v>2631</v>
      </c>
      <c r="H1257" s="142" t="s">
        <v>17107</v>
      </c>
      <c r="I1257" s="142">
        <v>271</v>
      </c>
      <c r="J1257" s="142">
        <v>0</v>
      </c>
      <c r="K1257" s="142">
        <v>0</v>
      </c>
      <c r="L1257" s="142">
        <v>271</v>
      </c>
      <c r="M1257" s="142">
        <v>0</v>
      </c>
    </row>
    <row r="1258" spans="1:13" x14ac:dyDescent="0.45">
      <c r="A1258" s="142" t="s">
        <v>13235</v>
      </c>
      <c r="B1258" s="142" t="s">
        <v>14573</v>
      </c>
      <c r="C1258" s="142" t="s">
        <v>15847</v>
      </c>
      <c r="D1258" s="142" t="s">
        <v>15848</v>
      </c>
      <c r="E1258" s="142" t="s">
        <v>15849</v>
      </c>
      <c r="F1258" s="142" t="s">
        <v>2632</v>
      </c>
      <c r="G1258" s="142" t="s">
        <v>2631</v>
      </c>
      <c r="H1258" s="142" t="s">
        <v>17108</v>
      </c>
      <c r="I1258" s="142">
        <v>408</v>
      </c>
      <c r="J1258" s="142">
        <v>230</v>
      </c>
      <c r="K1258" s="142">
        <v>0</v>
      </c>
      <c r="L1258" s="142">
        <v>105</v>
      </c>
      <c r="M1258" s="142">
        <v>73</v>
      </c>
    </row>
    <row r="1259" spans="1:13" x14ac:dyDescent="0.45">
      <c r="A1259" s="142" t="s">
        <v>13000</v>
      </c>
      <c r="B1259" s="142" t="s">
        <v>14610</v>
      </c>
      <c r="C1259" s="142" t="s">
        <v>15847</v>
      </c>
      <c r="D1259" s="142" t="s">
        <v>15848</v>
      </c>
      <c r="E1259" s="142" t="s">
        <v>15849</v>
      </c>
      <c r="F1259" s="142" t="s">
        <v>2632</v>
      </c>
      <c r="G1259" s="142" t="s">
        <v>2631</v>
      </c>
      <c r="H1259" s="142" t="s">
        <v>17109</v>
      </c>
      <c r="I1259" s="142">
        <v>82</v>
      </c>
      <c r="J1259" s="142">
        <v>17</v>
      </c>
      <c r="K1259" s="142">
        <v>0</v>
      </c>
      <c r="L1259" s="142">
        <v>0</v>
      </c>
      <c r="M1259" s="142">
        <v>65</v>
      </c>
    </row>
    <row r="1260" spans="1:13" x14ac:dyDescent="0.45">
      <c r="A1260" s="142" t="s">
        <v>13119</v>
      </c>
      <c r="B1260" s="142" t="s">
        <v>14451</v>
      </c>
      <c r="C1260" s="142" t="s">
        <v>15860</v>
      </c>
      <c r="D1260" s="142" t="s">
        <v>15861</v>
      </c>
      <c r="E1260" s="142" t="s">
        <v>15849</v>
      </c>
      <c r="F1260" s="142" t="s">
        <v>2632</v>
      </c>
      <c r="G1260" s="142" t="s">
        <v>2631</v>
      </c>
      <c r="H1260" s="142" t="s">
        <v>17110</v>
      </c>
      <c r="I1260" s="142">
        <v>7</v>
      </c>
      <c r="J1260" s="142">
        <v>0</v>
      </c>
      <c r="K1260" s="142">
        <v>0</v>
      </c>
      <c r="L1260" s="142">
        <v>7</v>
      </c>
      <c r="M1260" s="142">
        <v>0</v>
      </c>
    </row>
    <row r="1261" spans="1:13" x14ac:dyDescent="0.45">
      <c r="A1261" s="142" t="s">
        <v>13074</v>
      </c>
      <c r="B1261" s="142" t="s">
        <v>15405</v>
      </c>
      <c r="C1261" s="142" t="s">
        <v>15847</v>
      </c>
      <c r="D1261" s="142" t="s">
        <v>15848</v>
      </c>
      <c r="E1261" s="142" t="s">
        <v>15849</v>
      </c>
      <c r="F1261" s="142" t="s">
        <v>2632</v>
      </c>
      <c r="G1261" s="142" t="s">
        <v>2631</v>
      </c>
      <c r="H1261" s="142" t="s">
        <v>17111</v>
      </c>
      <c r="I1261" s="142">
        <v>37</v>
      </c>
      <c r="J1261" s="142">
        <v>28</v>
      </c>
      <c r="K1261" s="142">
        <v>0</v>
      </c>
      <c r="L1261" s="142">
        <v>0</v>
      </c>
      <c r="M1261" s="142">
        <v>9</v>
      </c>
    </row>
    <row r="1262" spans="1:13" x14ac:dyDescent="0.45">
      <c r="A1262" s="142" t="s">
        <v>13397</v>
      </c>
      <c r="B1262" s="142" t="s">
        <v>15465</v>
      </c>
      <c r="C1262" s="142" t="s">
        <v>15847</v>
      </c>
      <c r="D1262" s="142" t="s">
        <v>15848</v>
      </c>
      <c r="E1262" s="142" t="s">
        <v>15849</v>
      </c>
      <c r="F1262" s="142" t="s">
        <v>2632</v>
      </c>
      <c r="G1262" s="142" t="s">
        <v>2631</v>
      </c>
      <c r="H1262" s="142" t="s">
        <v>17112</v>
      </c>
      <c r="I1262" s="142">
        <v>8534</v>
      </c>
      <c r="J1262" s="142">
        <v>7533</v>
      </c>
      <c r="K1262" s="142">
        <v>0</v>
      </c>
      <c r="L1262" s="142">
        <v>645</v>
      </c>
      <c r="M1262" s="142">
        <v>356</v>
      </c>
    </row>
    <row r="1263" spans="1:13" x14ac:dyDescent="0.45">
      <c r="A1263" s="142" t="s">
        <v>13027</v>
      </c>
      <c r="B1263" s="142" t="s">
        <v>14562</v>
      </c>
      <c r="C1263" s="142" t="s">
        <v>15847</v>
      </c>
      <c r="D1263" s="142" t="s">
        <v>15848</v>
      </c>
      <c r="E1263" s="142" t="s">
        <v>15849</v>
      </c>
      <c r="F1263" s="142" t="s">
        <v>2632</v>
      </c>
      <c r="G1263" s="142" t="s">
        <v>2631</v>
      </c>
      <c r="H1263" s="142" t="s">
        <v>17113</v>
      </c>
      <c r="I1263" s="142">
        <v>53</v>
      </c>
      <c r="J1263" s="142">
        <v>0</v>
      </c>
      <c r="K1263" s="142">
        <v>0</v>
      </c>
      <c r="L1263" s="142">
        <v>53</v>
      </c>
      <c r="M1263" s="142">
        <v>0</v>
      </c>
    </row>
    <row r="1264" spans="1:13" x14ac:dyDescent="0.45">
      <c r="A1264" s="142" t="s">
        <v>13243</v>
      </c>
      <c r="B1264" s="142" t="s">
        <v>15560</v>
      </c>
      <c r="C1264" s="142" t="s">
        <v>15847</v>
      </c>
      <c r="D1264" s="142" t="s">
        <v>15848</v>
      </c>
      <c r="E1264" s="142" t="s">
        <v>15849</v>
      </c>
      <c r="F1264" s="142" t="s">
        <v>2632</v>
      </c>
      <c r="G1264" s="142" t="s">
        <v>2631</v>
      </c>
      <c r="H1264" s="142" t="s">
        <v>17114</v>
      </c>
      <c r="I1264" s="142">
        <v>2</v>
      </c>
      <c r="J1264" s="142">
        <v>2</v>
      </c>
      <c r="K1264" s="142">
        <v>0</v>
      </c>
      <c r="L1264" s="142">
        <v>0</v>
      </c>
      <c r="M1264" s="142">
        <v>0</v>
      </c>
    </row>
    <row r="1265" spans="1:13" x14ac:dyDescent="0.45">
      <c r="A1265" s="142" t="s">
        <v>13398</v>
      </c>
      <c r="B1265" s="142" t="s">
        <v>15297</v>
      </c>
      <c r="C1265" s="142" t="s">
        <v>15860</v>
      </c>
      <c r="D1265" s="142" t="s">
        <v>15861</v>
      </c>
      <c r="E1265" s="142" t="s">
        <v>15849</v>
      </c>
      <c r="F1265" s="142" t="s">
        <v>2632</v>
      </c>
      <c r="G1265" s="142" t="s">
        <v>2631</v>
      </c>
      <c r="H1265" s="142" t="s">
        <v>17115</v>
      </c>
      <c r="I1265" s="142">
        <v>15</v>
      </c>
      <c r="J1265" s="142">
        <v>15</v>
      </c>
      <c r="K1265" s="142">
        <v>0</v>
      </c>
      <c r="L1265" s="142">
        <v>0</v>
      </c>
      <c r="M1265" s="142">
        <v>0</v>
      </c>
    </row>
    <row r="1266" spans="1:13" x14ac:dyDescent="0.45">
      <c r="A1266" s="142" t="s">
        <v>13050</v>
      </c>
      <c r="B1266" s="142" t="s">
        <v>15237</v>
      </c>
      <c r="C1266" s="142" t="s">
        <v>15847</v>
      </c>
      <c r="D1266" s="142" t="s">
        <v>15848</v>
      </c>
      <c r="E1266" s="142" t="s">
        <v>15849</v>
      </c>
      <c r="F1266" s="142" t="s">
        <v>2632</v>
      </c>
      <c r="G1266" s="142" t="s">
        <v>2631</v>
      </c>
      <c r="H1266" s="142" t="s">
        <v>17116</v>
      </c>
      <c r="I1266" s="142">
        <v>309</v>
      </c>
      <c r="J1266" s="142">
        <v>235</v>
      </c>
      <c r="K1266" s="142">
        <v>0</v>
      </c>
      <c r="L1266" s="142">
        <v>0</v>
      </c>
      <c r="M1266" s="142">
        <v>74</v>
      </c>
    </row>
    <row r="1267" spans="1:13" x14ac:dyDescent="0.45">
      <c r="A1267" s="142" t="s">
        <v>13028</v>
      </c>
      <c r="B1267" s="142" t="s">
        <v>14462</v>
      </c>
      <c r="C1267" s="142" t="s">
        <v>15847</v>
      </c>
      <c r="D1267" s="142" t="s">
        <v>15848</v>
      </c>
      <c r="E1267" s="142" t="s">
        <v>15849</v>
      </c>
      <c r="F1267" s="142" t="s">
        <v>2632</v>
      </c>
      <c r="G1267" s="142" t="s">
        <v>2631</v>
      </c>
      <c r="H1267" s="142" t="s">
        <v>17117</v>
      </c>
      <c r="I1267" s="142">
        <v>109</v>
      </c>
      <c r="J1267" s="142">
        <v>0</v>
      </c>
      <c r="K1267" s="142">
        <v>0</v>
      </c>
      <c r="L1267" s="142">
        <v>0</v>
      </c>
      <c r="M1267" s="142">
        <v>109</v>
      </c>
    </row>
    <row r="1268" spans="1:13" x14ac:dyDescent="0.45">
      <c r="A1268" s="142" t="s">
        <v>13199</v>
      </c>
      <c r="B1268" s="142" t="s">
        <v>15362</v>
      </c>
      <c r="C1268" s="142" t="s">
        <v>15847</v>
      </c>
      <c r="D1268" s="142" t="s">
        <v>15848</v>
      </c>
      <c r="E1268" s="142" t="s">
        <v>15849</v>
      </c>
      <c r="F1268" s="142" t="s">
        <v>2632</v>
      </c>
      <c r="G1268" s="142" t="s">
        <v>2631</v>
      </c>
      <c r="H1268" s="142" t="s">
        <v>17118</v>
      </c>
      <c r="I1268" s="142">
        <v>1494</v>
      </c>
      <c r="J1268" s="142">
        <v>1067</v>
      </c>
      <c r="K1268" s="142">
        <v>0</v>
      </c>
      <c r="L1268" s="142">
        <v>143</v>
      </c>
      <c r="M1268" s="142">
        <v>284</v>
      </c>
    </row>
    <row r="1269" spans="1:13" x14ac:dyDescent="0.45">
      <c r="A1269" s="142" t="s">
        <v>13399</v>
      </c>
      <c r="B1269" s="142" t="s">
        <v>15404</v>
      </c>
      <c r="C1269" s="142" t="s">
        <v>15860</v>
      </c>
      <c r="D1269" s="142" t="s">
        <v>15861</v>
      </c>
      <c r="E1269" s="142" t="s">
        <v>15849</v>
      </c>
      <c r="F1269" s="142" t="s">
        <v>2632</v>
      </c>
      <c r="G1269" s="142" t="s">
        <v>2631</v>
      </c>
      <c r="H1269" s="142" t="s">
        <v>17119</v>
      </c>
      <c r="I1269" s="142">
        <v>29</v>
      </c>
      <c r="J1269" s="142">
        <v>29</v>
      </c>
      <c r="K1269" s="142">
        <v>0</v>
      </c>
      <c r="L1269" s="142">
        <v>0</v>
      </c>
      <c r="M1269" s="142">
        <v>0</v>
      </c>
    </row>
    <row r="1270" spans="1:13" x14ac:dyDescent="0.45">
      <c r="A1270" s="142" t="s">
        <v>13002</v>
      </c>
      <c r="B1270" s="142" t="s">
        <v>15376</v>
      </c>
      <c r="C1270" s="142" t="s">
        <v>15847</v>
      </c>
      <c r="D1270" s="142" t="s">
        <v>15848</v>
      </c>
      <c r="E1270" s="142" t="s">
        <v>15849</v>
      </c>
      <c r="F1270" s="142" t="s">
        <v>2632</v>
      </c>
      <c r="G1270" s="142" t="s">
        <v>2631</v>
      </c>
      <c r="H1270" s="142" t="s">
        <v>17120</v>
      </c>
      <c r="I1270" s="142">
        <v>359</v>
      </c>
      <c r="J1270" s="142">
        <v>322</v>
      </c>
      <c r="K1270" s="142">
        <v>0</v>
      </c>
      <c r="L1270" s="142">
        <v>0</v>
      </c>
      <c r="M1270" s="142">
        <v>37</v>
      </c>
    </row>
    <row r="1271" spans="1:13" x14ac:dyDescent="0.45">
      <c r="A1271" s="142" t="s">
        <v>13003</v>
      </c>
      <c r="B1271" s="142" t="s">
        <v>15245</v>
      </c>
      <c r="C1271" s="142" t="s">
        <v>15847</v>
      </c>
      <c r="D1271" s="142" t="s">
        <v>15848</v>
      </c>
      <c r="E1271" s="142" t="s">
        <v>15849</v>
      </c>
      <c r="F1271" s="142" t="s">
        <v>2632</v>
      </c>
      <c r="G1271" s="142" t="s">
        <v>2631</v>
      </c>
      <c r="H1271" s="142" t="s">
        <v>17121</v>
      </c>
      <c r="I1271" s="142">
        <v>67</v>
      </c>
      <c r="J1271" s="142">
        <v>0</v>
      </c>
      <c r="K1271" s="142">
        <v>0</v>
      </c>
      <c r="L1271" s="142">
        <v>67</v>
      </c>
      <c r="M1271" s="142">
        <v>0</v>
      </c>
    </row>
    <row r="1272" spans="1:13" x14ac:dyDescent="0.45">
      <c r="A1272" s="142" t="s">
        <v>13169</v>
      </c>
      <c r="B1272" s="142" t="s">
        <v>15408</v>
      </c>
      <c r="C1272" s="142" t="s">
        <v>15847</v>
      </c>
      <c r="D1272" s="142" t="s">
        <v>15848</v>
      </c>
      <c r="E1272" s="142" t="s">
        <v>15849</v>
      </c>
      <c r="F1272" s="142" t="s">
        <v>2632</v>
      </c>
      <c r="G1272" s="142" t="s">
        <v>2631</v>
      </c>
      <c r="H1272" s="142" t="s">
        <v>17122</v>
      </c>
      <c r="I1272" s="142">
        <v>827</v>
      </c>
      <c r="J1272" s="142">
        <v>521</v>
      </c>
      <c r="K1272" s="142">
        <v>0</v>
      </c>
      <c r="L1272" s="142">
        <v>137</v>
      </c>
      <c r="M1272" s="142">
        <v>169</v>
      </c>
    </row>
    <row r="1273" spans="1:13" x14ac:dyDescent="0.45">
      <c r="A1273" s="142" t="s">
        <v>13051</v>
      </c>
      <c r="B1273" s="142" t="s">
        <v>14509</v>
      </c>
      <c r="C1273" s="142" t="s">
        <v>15860</v>
      </c>
      <c r="D1273" s="142" t="s">
        <v>15861</v>
      </c>
      <c r="E1273" s="142" t="s">
        <v>15849</v>
      </c>
      <c r="F1273" s="142" t="s">
        <v>2632</v>
      </c>
      <c r="G1273" s="142" t="s">
        <v>2631</v>
      </c>
      <c r="H1273" s="142" t="s">
        <v>17123</v>
      </c>
      <c r="I1273" s="142">
        <v>4</v>
      </c>
      <c r="J1273" s="142">
        <v>0</v>
      </c>
      <c r="K1273" s="142">
        <v>0</v>
      </c>
      <c r="L1273" s="142">
        <v>4</v>
      </c>
      <c r="M1273" s="142">
        <v>0</v>
      </c>
    </row>
    <row r="1274" spans="1:13" x14ac:dyDescent="0.45">
      <c r="A1274" s="142" t="s">
        <v>13005</v>
      </c>
      <c r="B1274" s="142" t="s">
        <v>15475</v>
      </c>
      <c r="C1274" s="142" t="s">
        <v>15847</v>
      </c>
      <c r="D1274" s="142" t="s">
        <v>15848</v>
      </c>
      <c r="E1274" s="142" t="s">
        <v>15849</v>
      </c>
      <c r="F1274" s="142" t="s">
        <v>2632</v>
      </c>
      <c r="G1274" s="142" t="s">
        <v>2631</v>
      </c>
      <c r="H1274" s="142" t="s">
        <v>17124</v>
      </c>
      <c r="I1274" s="142">
        <v>3105</v>
      </c>
      <c r="J1274" s="142">
        <v>2710</v>
      </c>
      <c r="K1274" s="142">
        <v>0</v>
      </c>
      <c r="L1274" s="142">
        <v>272</v>
      </c>
      <c r="M1274" s="142">
        <v>123</v>
      </c>
    </row>
    <row r="1275" spans="1:13" x14ac:dyDescent="0.45">
      <c r="A1275" s="142" t="s">
        <v>13400</v>
      </c>
      <c r="B1275" s="142" t="s">
        <v>15278</v>
      </c>
      <c r="C1275" s="142" t="s">
        <v>15860</v>
      </c>
      <c r="D1275" s="142" t="s">
        <v>15861</v>
      </c>
      <c r="E1275" s="142" t="s">
        <v>15849</v>
      </c>
      <c r="F1275" s="142" t="s">
        <v>2632</v>
      </c>
      <c r="G1275" s="142" t="s">
        <v>2631</v>
      </c>
      <c r="H1275" s="142" t="s">
        <v>17125</v>
      </c>
      <c r="I1275" s="142">
        <v>33</v>
      </c>
      <c r="J1275" s="142">
        <v>0</v>
      </c>
      <c r="K1275" s="142">
        <v>0</v>
      </c>
      <c r="L1275" s="142">
        <v>33</v>
      </c>
      <c r="M1275" s="142">
        <v>0</v>
      </c>
    </row>
    <row r="1276" spans="1:13" x14ac:dyDescent="0.45">
      <c r="A1276" s="142" t="s">
        <v>13006</v>
      </c>
      <c r="B1276" s="142" t="s">
        <v>15288</v>
      </c>
      <c r="C1276" s="142" t="s">
        <v>15847</v>
      </c>
      <c r="D1276" s="142" t="s">
        <v>15848</v>
      </c>
      <c r="E1276" s="142" t="s">
        <v>15849</v>
      </c>
      <c r="F1276" s="142" t="s">
        <v>2632</v>
      </c>
      <c r="G1276" s="142" t="s">
        <v>2631</v>
      </c>
      <c r="H1276" s="142" t="s">
        <v>17126</v>
      </c>
      <c r="I1276" s="142">
        <v>1033</v>
      </c>
      <c r="J1276" s="142">
        <v>682</v>
      </c>
      <c r="K1276" s="142">
        <v>144</v>
      </c>
      <c r="L1276" s="142">
        <v>0</v>
      </c>
      <c r="M1276" s="142">
        <v>207</v>
      </c>
    </row>
    <row r="1277" spans="1:13" x14ac:dyDescent="0.45">
      <c r="A1277" s="142" t="s">
        <v>13007</v>
      </c>
      <c r="B1277" s="142" t="s">
        <v>15262</v>
      </c>
      <c r="C1277" s="142" t="s">
        <v>15847</v>
      </c>
      <c r="D1277" s="142" t="s">
        <v>15848</v>
      </c>
      <c r="E1277" s="142" t="s">
        <v>15849</v>
      </c>
      <c r="F1277" s="142" t="s">
        <v>2632</v>
      </c>
      <c r="G1277" s="142" t="s">
        <v>2631</v>
      </c>
      <c r="H1277" s="142" t="s">
        <v>17127</v>
      </c>
      <c r="I1277" s="142">
        <v>5</v>
      </c>
      <c r="J1277" s="142">
        <v>0</v>
      </c>
      <c r="K1277" s="142">
        <v>0</v>
      </c>
      <c r="L1277" s="142">
        <v>0</v>
      </c>
      <c r="M1277" s="142">
        <v>5</v>
      </c>
    </row>
    <row r="1278" spans="1:13" x14ac:dyDescent="0.45">
      <c r="A1278" s="142" t="s">
        <v>13054</v>
      </c>
      <c r="B1278" s="142" t="s">
        <v>15604</v>
      </c>
      <c r="C1278" s="142" t="s">
        <v>15847</v>
      </c>
      <c r="D1278" s="142" t="s">
        <v>15848</v>
      </c>
      <c r="E1278" s="142" t="s">
        <v>15849</v>
      </c>
      <c r="F1278" s="142" t="s">
        <v>2632</v>
      </c>
      <c r="G1278" s="142" t="s">
        <v>2631</v>
      </c>
      <c r="H1278" s="142" t="s">
        <v>17128</v>
      </c>
      <c r="I1278" s="142">
        <v>90</v>
      </c>
      <c r="J1278" s="142">
        <v>0</v>
      </c>
      <c r="K1278" s="142">
        <v>0</v>
      </c>
      <c r="L1278" s="142">
        <v>0</v>
      </c>
      <c r="M1278" s="142">
        <v>90</v>
      </c>
    </row>
    <row r="1279" spans="1:13" x14ac:dyDescent="0.45">
      <c r="A1279" s="142" t="s">
        <v>13131</v>
      </c>
      <c r="B1279" s="142" t="s">
        <v>15233</v>
      </c>
      <c r="C1279" s="142" t="s">
        <v>15860</v>
      </c>
      <c r="D1279" s="142" t="s">
        <v>15861</v>
      </c>
      <c r="E1279" s="142" t="s">
        <v>15849</v>
      </c>
      <c r="F1279" s="142" t="s">
        <v>2632</v>
      </c>
      <c r="G1279" s="142" t="s">
        <v>2631</v>
      </c>
      <c r="H1279" s="142" t="s">
        <v>17129</v>
      </c>
      <c r="I1279" s="142">
        <v>141</v>
      </c>
      <c r="J1279" s="142">
        <v>0</v>
      </c>
      <c r="K1279" s="142">
        <v>0</v>
      </c>
      <c r="L1279" s="142">
        <v>141</v>
      </c>
      <c r="M1279" s="142">
        <v>0</v>
      </c>
    </row>
    <row r="1280" spans="1:13" x14ac:dyDescent="0.45">
      <c r="A1280" s="142" t="s">
        <v>13008</v>
      </c>
      <c r="B1280" s="142" t="s">
        <v>15411</v>
      </c>
      <c r="C1280" s="142" t="s">
        <v>15847</v>
      </c>
      <c r="D1280" s="142" t="s">
        <v>15848</v>
      </c>
      <c r="E1280" s="142" t="s">
        <v>15849</v>
      </c>
      <c r="F1280" s="142" t="s">
        <v>2632</v>
      </c>
      <c r="G1280" s="142" t="s">
        <v>2631</v>
      </c>
      <c r="H1280" s="142" t="s">
        <v>17130</v>
      </c>
      <c r="I1280" s="142">
        <v>3</v>
      </c>
      <c r="J1280" s="142">
        <v>0</v>
      </c>
      <c r="K1280" s="142">
        <v>0</v>
      </c>
      <c r="L1280" s="142">
        <v>0</v>
      </c>
      <c r="M1280" s="142">
        <v>3</v>
      </c>
    </row>
    <row r="1281" spans="1:13" x14ac:dyDescent="0.45">
      <c r="A1281" s="142" t="s">
        <v>13135</v>
      </c>
      <c r="B1281" s="142" t="s">
        <v>15575</v>
      </c>
      <c r="C1281" s="142" t="s">
        <v>15847</v>
      </c>
      <c r="D1281" s="142" t="s">
        <v>15848</v>
      </c>
      <c r="E1281" s="142" t="s">
        <v>15849</v>
      </c>
      <c r="F1281" s="142" t="s">
        <v>2632</v>
      </c>
      <c r="G1281" s="142" t="s">
        <v>2631</v>
      </c>
      <c r="H1281" s="142" t="s">
        <v>17131</v>
      </c>
      <c r="I1281" s="142">
        <v>7056</v>
      </c>
      <c r="J1281" s="142">
        <v>6499</v>
      </c>
      <c r="K1281" s="142">
        <v>3</v>
      </c>
      <c r="L1281" s="142">
        <v>78</v>
      </c>
      <c r="M1281" s="142">
        <v>476</v>
      </c>
    </row>
    <row r="1282" spans="1:13" x14ac:dyDescent="0.45">
      <c r="A1282" s="142" t="s">
        <v>13055</v>
      </c>
      <c r="B1282" s="142" t="s">
        <v>14595</v>
      </c>
      <c r="C1282" s="142" t="s">
        <v>15847</v>
      </c>
      <c r="D1282" s="142" t="s">
        <v>15848</v>
      </c>
      <c r="E1282" s="142" t="s">
        <v>15849</v>
      </c>
      <c r="F1282" s="142" t="s">
        <v>2632</v>
      </c>
      <c r="G1282" s="142" t="s">
        <v>2631</v>
      </c>
      <c r="H1282" s="142" t="s">
        <v>17132</v>
      </c>
      <c r="I1282" s="142">
        <v>24</v>
      </c>
      <c r="J1282" s="142">
        <v>24</v>
      </c>
      <c r="K1282" s="142">
        <v>0</v>
      </c>
      <c r="L1282" s="142">
        <v>0</v>
      </c>
      <c r="M1282" s="142">
        <v>0</v>
      </c>
    </row>
    <row r="1283" spans="1:13" x14ac:dyDescent="0.45">
      <c r="A1283" s="142" t="s">
        <v>13104</v>
      </c>
      <c r="B1283" s="142" t="s">
        <v>14622</v>
      </c>
      <c r="C1283" s="142" t="s">
        <v>15847</v>
      </c>
      <c r="D1283" s="142" t="s">
        <v>15848</v>
      </c>
      <c r="E1283" s="142" t="s">
        <v>15849</v>
      </c>
      <c r="F1283" s="142" t="s">
        <v>2632</v>
      </c>
      <c r="G1283" s="142" t="s">
        <v>2631</v>
      </c>
      <c r="H1283" s="142" t="s">
        <v>17133</v>
      </c>
      <c r="I1283" s="142">
        <v>1224</v>
      </c>
      <c r="J1283" s="142">
        <v>863</v>
      </c>
      <c r="K1283" s="142">
        <v>0</v>
      </c>
      <c r="L1283" s="142">
        <v>0</v>
      </c>
      <c r="M1283" s="142">
        <v>361</v>
      </c>
    </row>
    <row r="1284" spans="1:13" x14ac:dyDescent="0.45">
      <c r="A1284" s="142" t="s">
        <v>13033</v>
      </c>
      <c r="B1284" s="142" t="s">
        <v>15276</v>
      </c>
      <c r="C1284" s="142" t="s">
        <v>15847</v>
      </c>
      <c r="D1284" s="142" t="s">
        <v>15848</v>
      </c>
      <c r="E1284" s="142" t="s">
        <v>15849</v>
      </c>
      <c r="F1284" s="142" t="s">
        <v>2632</v>
      </c>
      <c r="G1284" s="142" t="s">
        <v>2631</v>
      </c>
      <c r="H1284" s="142" t="s">
        <v>17134</v>
      </c>
      <c r="I1284" s="142">
        <v>91</v>
      </c>
      <c r="J1284" s="142">
        <v>81</v>
      </c>
      <c r="K1284" s="142">
        <v>0</v>
      </c>
      <c r="L1284" s="142">
        <v>0</v>
      </c>
      <c r="M1284" s="142">
        <v>10</v>
      </c>
    </row>
    <row r="1285" spans="1:13" x14ac:dyDescent="0.45">
      <c r="A1285" s="142" t="s">
        <v>13034</v>
      </c>
      <c r="B1285" s="142" t="s">
        <v>15562</v>
      </c>
      <c r="C1285" s="142" t="s">
        <v>15847</v>
      </c>
      <c r="D1285" s="142" t="s">
        <v>15848</v>
      </c>
      <c r="E1285" s="142" t="s">
        <v>15849</v>
      </c>
      <c r="F1285" s="142" t="s">
        <v>2632</v>
      </c>
      <c r="G1285" s="142" t="s">
        <v>2631</v>
      </c>
      <c r="H1285" s="142" t="s">
        <v>17135</v>
      </c>
      <c r="I1285" s="142">
        <v>10</v>
      </c>
      <c r="J1285" s="142">
        <v>0</v>
      </c>
      <c r="K1285" s="142">
        <v>0</v>
      </c>
      <c r="L1285" s="142">
        <v>10</v>
      </c>
      <c r="M1285" s="142">
        <v>0</v>
      </c>
    </row>
    <row r="1286" spans="1:13" x14ac:dyDescent="0.45">
      <c r="A1286" s="142" t="s">
        <v>13036</v>
      </c>
      <c r="B1286" s="142" t="s">
        <v>15567</v>
      </c>
      <c r="C1286" s="142" t="s">
        <v>15847</v>
      </c>
      <c r="D1286" s="142" t="s">
        <v>15848</v>
      </c>
      <c r="E1286" s="142" t="s">
        <v>15849</v>
      </c>
      <c r="F1286" s="142" t="s">
        <v>2632</v>
      </c>
      <c r="G1286" s="142" t="s">
        <v>2631</v>
      </c>
      <c r="H1286" s="142" t="s">
        <v>17136</v>
      </c>
      <c r="I1286" s="142">
        <v>18</v>
      </c>
      <c r="J1286" s="142">
        <v>0</v>
      </c>
      <c r="K1286" s="142">
        <v>0</v>
      </c>
      <c r="L1286" s="142">
        <v>18</v>
      </c>
      <c r="M1286" s="142">
        <v>0</v>
      </c>
    </row>
    <row r="1287" spans="1:13" x14ac:dyDescent="0.45">
      <c r="A1287" s="142" t="s">
        <v>13401</v>
      </c>
      <c r="B1287" s="142" t="s">
        <v>14471</v>
      </c>
      <c r="C1287" s="142" t="s">
        <v>15847</v>
      </c>
      <c r="D1287" s="142" t="s">
        <v>15848</v>
      </c>
      <c r="E1287" s="142" t="s">
        <v>15849</v>
      </c>
      <c r="F1287" s="142" t="s">
        <v>2632</v>
      </c>
      <c r="G1287" s="142" t="s">
        <v>2631</v>
      </c>
      <c r="H1287" s="142" t="s">
        <v>17137</v>
      </c>
      <c r="I1287" s="142">
        <v>5367</v>
      </c>
      <c r="J1287" s="142">
        <v>3618</v>
      </c>
      <c r="K1287" s="142">
        <v>0</v>
      </c>
      <c r="L1287" s="142">
        <v>1693</v>
      </c>
      <c r="M1287" s="142">
        <v>56</v>
      </c>
    </row>
    <row r="1288" spans="1:13" x14ac:dyDescent="0.45">
      <c r="A1288" s="142" t="s">
        <v>13037</v>
      </c>
      <c r="B1288" s="142" t="s">
        <v>14519</v>
      </c>
      <c r="C1288" s="142" t="s">
        <v>15847</v>
      </c>
      <c r="D1288" s="142" t="s">
        <v>15848</v>
      </c>
      <c r="E1288" s="142" t="s">
        <v>15849</v>
      </c>
      <c r="F1288" s="142" t="s">
        <v>2632</v>
      </c>
      <c r="G1288" s="142" t="s">
        <v>2631</v>
      </c>
      <c r="H1288" s="142" t="s">
        <v>17138</v>
      </c>
      <c r="I1288" s="142">
        <v>3</v>
      </c>
      <c r="J1288" s="142">
        <v>0</v>
      </c>
      <c r="K1288" s="142">
        <v>0</v>
      </c>
      <c r="L1288" s="142">
        <v>3</v>
      </c>
      <c r="M1288" s="142">
        <v>0</v>
      </c>
    </row>
    <row r="1289" spans="1:13" x14ac:dyDescent="0.45">
      <c r="A1289" s="142" t="s">
        <v>13402</v>
      </c>
      <c r="B1289" s="142" t="s">
        <v>14629</v>
      </c>
      <c r="C1289" s="142" t="s">
        <v>15860</v>
      </c>
      <c r="D1289" s="142" t="s">
        <v>15861</v>
      </c>
      <c r="E1289" s="142" t="s">
        <v>15849</v>
      </c>
      <c r="F1289" s="142" t="s">
        <v>2632</v>
      </c>
      <c r="G1289" s="142" t="s">
        <v>2631</v>
      </c>
      <c r="H1289" s="142" t="s">
        <v>17139</v>
      </c>
      <c r="I1289" s="142">
        <v>10</v>
      </c>
      <c r="J1289" s="142">
        <v>10</v>
      </c>
      <c r="K1289" s="142">
        <v>0</v>
      </c>
      <c r="L1289" s="142">
        <v>0</v>
      </c>
      <c r="M1289" s="142">
        <v>0</v>
      </c>
    </row>
    <row r="1290" spans="1:13" x14ac:dyDescent="0.45">
      <c r="A1290" s="142" t="s">
        <v>13038</v>
      </c>
      <c r="B1290" s="142" t="s">
        <v>14646</v>
      </c>
      <c r="C1290" s="142" t="s">
        <v>15847</v>
      </c>
      <c r="D1290" s="142" t="s">
        <v>15848</v>
      </c>
      <c r="E1290" s="142" t="s">
        <v>15849</v>
      </c>
      <c r="F1290" s="142" t="s">
        <v>2632</v>
      </c>
      <c r="G1290" s="142" t="s">
        <v>2631</v>
      </c>
      <c r="H1290" s="142" t="s">
        <v>17140</v>
      </c>
      <c r="I1290" s="142">
        <v>123</v>
      </c>
      <c r="J1290" s="142">
        <v>72</v>
      </c>
      <c r="K1290" s="142">
        <v>0</v>
      </c>
      <c r="L1290" s="142">
        <v>0</v>
      </c>
      <c r="M1290" s="142">
        <v>51</v>
      </c>
    </row>
    <row r="1291" spans="1:13" x14ac:dyDescent="0.45">
      <c r="A1291" s="142" t="s">
        <v>13039</v>
      </c>
      <c r="B1291" s="142" t="s">
        <v>14647</v>
      </c>
      <c r="C1291" s="142" t="s">
        <v>15847</v>
      </c>
      <c r="D1291" s="142" t="s">
        <v>15848</v>
      </c>
      <c r="E1291" s="142" t="s">
        <v>15849</v>
      </c>
      <c r="F1291" s="142" t="s">
        <v>2632</v>
      </c>
      <c r="G1291" s="142" t="s">
        <v>2631</v>
      </c>
      <c r="H1291" s="142" t="s">
        <v>17141</v>
      </c>
      <c r="I1291" s="142">
        <v>118</v>
      </c>
      <c r="J1291" s="142">
        <v>118</v>
      </c>
      <c r="K1291" s="142">
        <v>0</v>
      </c>
      <c r="L1291" s="142">
        <v>0</v>
      </c>
      <c r="M1291" s="142">
        <v>0</v>
      </c>
    </row>
    <row r="1292" spans="1:13" x14ac:dyDescent="0.45">
      <c r="A1292" s="142" t="s">
        <v>13078</v>
      </c>
      <c r="B1292" s="142" t="s">
        <v>15540</v>
      </c>
      <c r="C1292" s="142" t="s">
        <v>15847</v>
      </c>
      <c r="D1292" s="142" t="s">
        <v>15848</v>
      </c>
      <c r="E1292" s="142" t="s">
        <v>15849</v>
      </c>
      <c r="F1292" s="142" t="s">
        <v>2632</v>
      </c>
      <c r="G1292" s="142" t="s">
        <v>2631</v>
      </c>
      <c r="H1292" s="142" t="s">
        <v>17142</v>
      </c>
      <c r="I1292" s="142">
        <v>7</v>
      </c>
      <c r="J1292" s="142">
        <v>7</v>
      </c>
      <c r="K1292" s="142">
        <v>0</v>
      </c>
      <c r="L1292" s="142">
        <v>0</v>
      </c>
      <c r="M1292" s="142">
        <v>0</v>
      </c>
    </row>
    <row r="1293" spans="1:13" x14ac:dyDescent="0.45">
      <c r="A1293" s="142" t="s">
        <v>13091</v>
      </c>
      <c r="B1293" s="142" t="s">
        <v>14473</v>
      </c>
      <c r="C1293" s="142" t="s">
        <v>15847</v>
      </c>
      <c r="D1293" s="142" t="s">
        <v>15848</v>
      </c>
      <c r="E1293" s="142" t="s">
        <v>15849</v>
      </c>
      <c r="F1293" s="142" t="s">
        <v>2632</v>
      </c>
      <c r="G1293" s="142" t="s">
        <v>2631</v>
      </c>
      <c r="H1293" s="142" t="s">
        <v>17143</v>
      </c>
      <c r="I1293" s="142">
        <v>24</v>
      </c>
      <c r="J1293" s="142">
        <v>18</v>
      </c>
      <c r="K1293" s="142">
        <v>0</v>
      </c>
      <c r="L1293" s="142">
        <v>0</v>
      </c>
      <c r="M1293" s="142">
        <v>6</v>
      </c>
    </row>
    <row r="1294" spans="1:13" x14ac:dyDescent="0.45">
      <c r="A1294" s="142" t="s">
        <v>13009</v>
      </c>
      <c r="B1294" s="142" t="s">
        <v>15256</v>
      </c>
      <c r="C1294" s="142" t="s">
        <v>15847</v>
      </c>
      <c r="D1294" s="142" t="s">
        <v>15848</v>
      </c>
      <c r="E1294" s="142" t="s">
        <v>15849</v>
      </c>
      <c r="F1294" s="142" t="s">
        <v>2632</v>
      </c>
      <c r="G1294" s="142" t="s">
        <v>2631</v>
      </c>
      <c r="H1294" s="142" t="s">
        <v>17144</v>
      </c>
      <c r="I1294" s="142">
        <v>135</v>
      </c>
      <c r="J1294" s="142">
        <v>68</v>
      </c>
      <c r="K1294" s="142">
        <v>0</v>
      </c>
      <c r="L1294" s="142">
        <v>67</v>
      </c>
      <c r="M1294" s="142">
        <v>0</v>
      </c>
    </row>
    <row r="1295" spans="1:13" x14ac:dyDescent="0.45">
      <c r="A1295" s="142" t="s">
        <v>13403</v>
      </c>
      <c r="B1295" s="142" t="s">
        <v>15412</v>
      </c>
      <c r="C1295" s="142" t="s">
        <v>15847</v>
      </c>
      <c r="D1295" s="142" t="s">
        <v>15848</v>
      </c>
      <c r="E1295" s="142" t="s">
        <v>15849</v>
      </c>
      <c r="F1295" s="142" t="s">
        <v>2632</v>
      </c>
      <c r="G1295" s="142" t="s">
        <v>2631</v>
      </c>
      <c r="H1295" s="142" t="s">
        <v>17145</v>
      </c>
      <c r="I1295" s="142">
        <v>41</v>
      </c>
      <c r="J1295" s="142">
        <v>27</v>
      </c>
      <c r="K1295" s="142">
        <v>0</v>
      </c>
      <c r="L1295" s="142">
        <v>0</v>
      </c>
      <c r="M1295" s="142">
        <v>14</v>
      </c>
    </row>
    <row r="1296" spans="1:13" x14ac:dyDescent="0.45">
      <c r="A1296" s="142" t="s">
        <v>13011</v>
      </c>
      <c r="B1296" s="142" t="s">
        <v>14695</v>
      </c>
      <c r="C1296" s="142" t="s">
        <v>15847</v>
      </c>
      <c r="D1296" s="142" t="s">
        <v>15848</v>
      </c>
      <c r="E1296" s="142" t="s">
        <v>15849</v>
      </c>
      <c r="F1296" s="142" t="s">
        <v>2632</v>
      </c>
      <c r="G1296" s="142" t="s">
        <v>2631</v>
      </c>
      <c r="H1296" s="142" t="s">
        <v>17146</v>
      </c>
      <c r="I1296" s="142">
        <v>1</v>
      </c>
      <c r="J1296" s="142">
        <v>0</v>
      </c>
      <c r="K1296" s="142">
        <v>0</v>
      </c>
      <c r="L1296" s="142">
        <v>0</v>
      </c>
      <c r="M1296" s="142">
        <v>1</v>
      </c>
    </row>
    <row r="1297" spans="1:13" x14ac:dyDescent="0.45">
      <c r="A1297" s="142" t="s">
        <v>13058</v>
      </c>
      <c r="B1297" s="142" t="s">
        <v>14584</v>
      </c>
      <c r="C1297" s="142" t="s">
        <v>15847</v>
      </c>
      <c r="D1297" s="142" t="s">
        <v>15848</v>
      </c>
      <c r="E1297" s="142" t="s">
        <v>15849</v>
      </c>
      <c r="F1297" s="142" t="s">
        <v>2632</v>
      </c>
      <c r="G1297" s="142" t="s">
        <v>2631</v>
      </c>
      <c r="H1297" s="142" t="s">
        <v>17147</v>
      </c>
      <c r="I1297" s="142">
        <v>96</v>
      </c>
      <c r="J1297" s="142">
        <v>0</v>
      </c>
      <c r="K1297" s="142">
        <v>0</v>
      </c>
      <c r="L1297" s="142">
        <v>0</v>
      </c>
      <c r="M1297" s="142">
        <v>96</v>
      </c>
    </row>
    <row r="1298" spans="1:13" x14ac:dyDescent="0.45">
      <c r="A1298" s="142" t="s">
        <v>13041</v>
      </c>
      <c r="B1298" s="142" t="s">
        <v>14441</v>
      </c>
      <c r="C1298" s="142" t="s">
        <v>15847</v>
      </c>
      <c r="D1298" s="142" t="s">
        <v>15848</v>
      </c>
      <c r="E1298" s="142" t="s">
        <v>15849</v>
      </c>
      <c r="F1298" s="142" t="s">
        <v>2632</v>
      </c>
      <c r="G1298" s="142" t="s">
        <v>2631</v>
      </c>
      <c r="H1298" s="142" t="s">
        <v>17148</v>
      </c>
      <c r="I1298" s="142">
        <v>34</v>
      </c>
      <c r="J1298" s="142">
        <v>0</v>
      </c>
      <c r="K1298" s="142">
        <v>0</v>
      </c>
      <c r="L1298" s="142">
        <v>0</v>
      </c>
      <c r="M1298" s="142">
        <v>34</v>
      </c>
    </row>
    <row r="1299" spans="1:13" x14ac:dyDescent="0.45">
      <c r="A1299" s="142" t="s">
        <v>13012</v>
      </c>
      <c r="B1299" s="142" t="s">
        <v>15337</v>
      </c>
      <c r="C1299" s="142" t="s">
        <v>15847</v>
      </c>
      <c r="D1299" s="142" t="s">
        <v>15848</v>
      </c>
      <c r="E1299" s="142" t="s">
        <v>15849</v>
      </c>
      <c r="F1299" s="142" t="s">
        <v>2632</v>
      </c>
      <c r="G1299" s="142" t="s">
        <v>2631</v>
      </c>
      <c r="H1299" s="142" t="s">
        <v>17149</v>
      </c>
      <c r="I1299" s="142">
        <v>2</v>
      </c>
      <c r="J1299" s="142">
        <v>0</v>
      </c>
      <c r="K1299" s="142">
        <v>0</v>
      </c>
      <c r="L1299" s="142">
        <v>0</v>
      </c>
      <c r="M1299" s="142">
        <v>2</v>
      </c>
    </row>
    <row r="1300" spans="1:13" x14ac:dyDescent="0.45">
      <c r="A1300" s="142" t="s">
        <v>13404</v>
      </c>
      <c r="B1300" s="142" t="s">
        <v>15333</v>
      </c>
      <c r="C1300" s="142" t="s">
        <v>15860</v>
      </c>
      <c r="D1300" s="142" t="s">
        <v>15861</v>
      </c>
      <c r="E1300" s="142" t="s">
        <v>15849</v>
      </c>
      <c r="F1300" s="142" t="s">
        <v>2632</v>
      </c>
      <c r="G1300" s="142" t="s">
        <v>2631</v>
      </c>
      <c r="H1300" s="142" t="s">
        <v>17150</v>
      </c>
      <c r="I1300" s="142">
        <v>24</v>
      </c>
      <c r="J1300" s="142">
        <v>0</v>
      </c>
      <c r="K1300" s="142">
        <v>0</v>
      </c>
      <c r="L1300" s="142">
        <v>24</v>
      </c>
      <c r="M1300" s="142">
        <v>0</v>
      </c>
    </row>
    <row r="1301" spans="1:13" x14ac:dyDescent="0.45">
      <c r="A1301" s="142" t="s">
        <v>13405</v>
      </c>
      <c r="B1301" s="142" t="s">
        <v>15166</v>
      </c>
      <c r="C1301" s="142" t="s">
        <v>15860</v>
      </c>
      <c r="D1301" s="142" t="s">
        <v>15861</v>
      </c>
      <c r="E1301" s="142" t="s">
        <v>15849</v>
      </c>
      <c r="F1301" s="142" t="s">
        <v>2632</v>
      </c>
      <c r="G1301" s="142" t="s">
        <v>2631</v>
      </c>
      <c r="H1301" s="142" t="s">
        <v>17151</v>
      </c>
      <c r="I1301" s="142">
        <v>11</v>
      </c>
      <c r="J1301" s="142">
        <v>0</v>
      </c>
      <c r="K1301" s="142">
        <v>0</v>
      </c>
      <c r="L1301" s="142">
        <v>11</v>
      </c>
      <c r="M1301" s="142">
        <v>0</v>
      </c>
    </row>
    <row r="1302" spans="1:13" x14ac:dyDescent="0.45">
      <c r="A1302" s="142" t="s">
        <v>13206</v>
      </c>
      <c r="B1302" s="142" t="s">
        <v>14489</v>
      </c>
      <c r="C1302" s="142" t="s">
        <v>15860</v>
      </c>
      <c r="D1302" s="142" t="s">
        <v>15861</v>
      </c>
      <c r="E1302" s="142" t="s">
        <v>15849</v>
      </c>
      <c r="F1302" s="142" t="s">
        <v>2632</v>
      </c>
      <c r="G1302" s="142" t="s">
        <v>2631</v>
      </c>
      <c r="H1302" s="142" t="s">
        <v>17152</v>
      </c>
      <c r="I1302" s="142">
        <v>59</v>
      </c>
      <c r="J1302" s="142">
        <v>0</v>
      </c>
      <c r="K1302" s="142">
        <v>0</v>
      </c>
      <c r="L1302" s="142">
        <v>59</v>
      </c>
      <c r="M1302" s="142">
        <v>0</v>
      </c>
    </row>
    <row r="1303" spans="1:13" x14ac:dyDescent="0.45">
      <c r="A1303" s="142" t="s">
        <v>13014</v>
      </c>
      <c r="B1303" s="142" t="s">
        <v>14505</v>
      </c>
      <c r="C1303" s="142" t="s">
        <v>15847</v>
      </c>
      <c r="D1303" s="142" t="s">
        <v>15848</v>
      </c>
      <c r="E1303" s="142" t="s">
        <v>15849</v>
      </c>
      <c r="F1303" s="142" t="s">
        <v>2632</v>
      </c>
      <c r="G1303" s="142" t="s">
        <v>2631</v>
      </c>
      <c r="H1303" s="142" t="s">
        <v>17153</v>
      </c>
      <c r="I1303" s="142">
        <v>698</v>
      </c>
      <c r="J1303" s="142">
        <v>593</v>
      </c>
      <c r="K1303" s="142">
        <v>0</v>
      </c>
      <c r="L1303" s="142">
        <v>39</v>
      </c>
      <c r="M1303" s="142">
        <v>66</v>
      </c>
    </row>
    <row r="1304" spans="1:13" x14ac:dyDescent="0.45">
      <c r="A1304" s="142" t="s">
        <v>13042</v>
      </c>
      <c r="B1304" s="142" t="s">
        <v>15489</v>
      </c>
      <c r="C1304" s="142" t="s">
        <v>15847</v>
      </c>
      <c r="D1304" s="142" t="s">
        <v>15848</v>
      </c>
      <c r="E1304" s="142" t="s">
        <v>15849</v>
      </c>
      <c r="F1304" s="142" t="s">
        <v>2632</v>
      </c>
      <c r="G1304" s="142" t="s">
        <v>2631</v>
      </c>
      <c r="H1304" s="142" t="s">
        <v>17154</v>
      </c>
      <c r="I1304" s="142">
        <v>84</v>
      </c>
      <c r="J1304" s="142">
        <v>1</v>
      </c>
      <c r="K1304" s="142">
        <v>0</v>
      </c>
      <c r="L1304" s="142">
        <v>70</v>
      </c>
      <c r="M1304" s="142">
        <v>13</v>
      </c>
    </row>
    <row r="1305" spans="1:13" x14ac:dyDescent="0.45">
      <c r="A1305" s="142" t="s">
        <v>13174</v>
      </c>
      <c r="B1305" s="142" t="s">
        <v>15280</v>
      </c>
      <c r="C1305" s="142" t="s">
        <v>15847</v>
      </c>
      <c r="D1305" s="142" t="s">
        <v>15848</v>
      </c>
      <c r="E1305" s="142" t="s">
        <v>15849</v>
      </c>
      <c r="F1305" s="142" t="s">
        <v>2632</v>
      </c>
      <c r="G1305" s="142" t="s">
        <v>2631</v>
      </c>
      <c r="H1305" s="142" t="s">
        <v>17155</v>
      </c>
      <c r="I1305" s="142">
        <v>103</v>
      </c>
      <c r="J1305" s="142">
        <v>74</v>
      </c>
      <c r="K1305" s="142">
        <v>0</v>
      </c>
      <c r="L1305" s="142">
        <v>0</v>
      </c>
      <c r="M1305" s="142">
        <v>29</v>
      </c>
    </row>
    <row r="1306" spans="1:13" x14ac:dyDescent="0.45">
      <c r="A1306" s="142" t="s">
        <v>13395</v>
      </c>
      <c r="B1306" s="142" t="s">
        <v>15476</v>
      </c>
      <c r="C1306" s="142" t="s">
        <v>15847</v>
      </c>
      <c r="D1306" s="142" t="s">
        <v>15848</v>
      </c>
      <c r="E1306" s="142" t="s">
        <v>15849</v>
      </c>
      <c r="F1306" s="142" t="s">
        <v>2632</v>
      </c>
      <c r="G1306" s="142" t="s">
        <v>2631</v>
      </c>
      <c r="H1306" s="142" t="s">
        <v>17156</v>
      </c>
      <c r="I1306" s="142">
        <v>621</v>
      </c>
      <c r="J1306" s="142">
        <v>473</v>
      </c>
      <c r="K1306" s="142">
        <v>0</v>
      </c>
      <c r="L1306" s="142">
        <v>0</v>
      </c>
      <c r="M1306" s="142">
        <v>148</v>
      </c>
    </row>
    <row r="1307" spans="1:13" x14ac:dyDescent="0.45">
      <c r="A1307" s="142" t="s">
        <v>13222</v>
      </c>
      <c r="B1307" s="142" t="s">
        <v>14449</v>
      </c>
      <c r="C1307" s="142" t="s">
        <v>15860</v>
      </c>
      <c r="D1307" s="142" t="s">
        <v>15861</v>
      </c>
      <c r="E1307" s="142" t="s">
        <v>15849</v>
      </c>
      <c r="F1307" s="142" t="s">
        <v>2632</v>
      </c>
      <c r="G1307" s="142" t="s">
        <v>2631</v>
      </c>
      <c r="H1307" s="142" t="s">
        <v>17157</v>
      </c>
      <c r="I1307" s="142">
        <v>6</v>
      </c>
      <c r="J1307" s="142">
        <v>0</v>
      </c>
      <c r="K1307" s="142">
        <v>0</v>
      </c>
      <c r="L1307" s="142">
        <v>6</v>
      </c>
      <c r="M1307" s="142">
        <v>0</v>
      </c>
    </row>
    <row r="1308" spans="1:13" x14ac:dyDescent="0.45">
      <c r="A1308" s="142" t="s">
        <v>13016</v>
      </c>
      <c r="B1308" s="142" t="s">
        <v>14535</v>
      </c>
      <c r="C1308" s="142" t="s">
        <v>15860</v>
      </c>
      <c r="D1308" s="142" t="s">
        <v>15861</v>
      </c>
      <c r="E1308" s="142" t="s">
        <v>15849</v>
      </c>
      <c r="F1308" s="142" t="s">
        <v>2632</v>
      </c>
      <c r="G1308" s="142" t="s">
        <v>2631</v>
      </c>
      <c r="H1308" s="142" t="s">
        <v>17158</v>
      </c>
      <c r="I1308" s="142">
        <v>9</v>
      </c>
      <c r="J1308" s="142">
        <v>0</v>
      </c>
      <c r="K1308" s="142">
        <v>0</v>
      </c>
      <c r="L1308" s="142">
        <v>9</v>
      </c>
      <c r="M1308" s="142">
        <v>0</v>
      </c>
    </row>
    <row r="1309" spans="1:13" x14ac:dyDescent="0.45">
      <c r="A1309" s="142" t="s">
        <v>13144</v>
      </c>
      <c r="B1309" s="142" t="s">
        <v>14464</v>
      </c>
      <c r="C1309" s="142" t="s">
        <v>15860</v>
      </c>
      <c r="D1309" s="142" t="s">
        <v>15861</v>
      </c>
      <c r="E1309" s="142" t="s">
        <v>15849</v>
      </c>
      <c r="F1309" s="142" t="s">
        <v>2632</v>
      </c>
      <c r="G1309" s="142" t="s">
        <v>2631</v>
      </c>
      <c r="H1309" s="142" t="s">
        <v>17159</v>
      </c>
      <c r="I1309" s="142">
        <v>2</v>
      </c>
      <c r="J1309" s="142">
        <v>0</v>
      </c>
      <c r="K1309" s="142">
        <v>0</v>
      </c>
      <c r="L1309" s="142">
        <v>2</v>
      </c>
      <c r="M1309" s="142">
        <v>0</v>
      </c>
    </row>
    <row r="1310" spans="1:13" x14ac:dyDescent="0.45">
      <c r="A1310" s="142" t="s">
        <v>13207</v>
      </c>
      <c r="B1310" s="142" t="s">
        <v>15558</v>
      </c>
      <c r="C1310" s="142" t="s">
        <v>15847</v>
      </c>
      <c r="D1310" s="142" t="s">
        <v>15848</v>
      </c>
      <c r="E1310" s="142" t="s">
        <v>15849</v>
      </c>
      <c r="F1310" s="142" t="s">
        <v>2632</v>
      </c>
      <c r="G1310" s="142" t="s">
        <v>2631</v>
      </c>
      <c r="H1310" s="142" t="s">
        <v>17160</v>
      </c>
      <c r="I1310" s="142">
        <v>87</v>
      </c>
      <c r="J1310" s="142">
        <v>66</v>
      </c>
      <c r="K1310" s="142">
        <v>0</v>
      </c>
      <c r="L1310" s="142">
        <v>0</v>
      </c>
      <c r="M1310" s="142">
        <v>21</v>
      </c>
    </row>
    <row r="1311" spans="1:13" x14ac:dyDescent="0.45">
      <c r="A1311" s="142" t="s">
        <v>13312</v>
      </c>
      <c r="B1311" s="142" t="s">
        <v>14640</v>
      </c>
      <c r="C1311" s="142" t="s">
        <v>15860</v>
      </c>
      <c r="D1311" s="142" t="s">
        <v>15861</v>
      </c>
      <c r="E1311" s="142" t="s">
        <v>15849</v>
      </c>
      <c r="F1311" s="142" t="s">
        <v>5918</v>
      </c>
      <c r="G1311" s="142" t="s">
        <v>5917</v>
      </c>
      <c r="H1311" s="142" t="s">
        <v>17161</v>
      </c>
      <c r="I1311" s="142">
        <v>22</v>
      </c>
      <c r="J1311" s="142">
        <v>22</v>
      </c>
      <c r="K1311" s="142">
        <v>0</v>
      </c>
      <c r="L1311" s="142">
        <v>0</v>
      </c>
      <c r="M1311" s="142">
        <v>0</v>
      </c>
    </row>
    <row r="1312" spans="1:13" x14ac:dyDescent="0.45">
      <c r="A1312" s="142" t="s">
        <v>13072</v>
      </c>
      <c r="B1312" s="142" t="s">
        <v>15530</v>
      </c>
      <c r="C1312" s="142" t="s">
        <v>15847</v>
      </c>
      <c r="D1312" s="142" t="s">
        <v>15848</v>
      </c>
      <c r="E1312" s="142" t="s">
        <v>15849</v>
      </c>
      <c r="F1312" s="142" t="s">
        <v>5918</v>
      </c>
      <c r="G1312" s="142" t="s">
        <v>5917</v>
      </c>
      <c r="H1312" s="142" t="s">
        <v>17162</v>
      </c>
      <c r="I1312" s="142">
        <v>579</v>
      </c>
      <c r="J1312" s="142">
        <v>471</v>
      </c>
      <c r="K1312" s="142">
        <v>0</v>
      </c>
      <c r="L1312" s="142">
        <v>71</v>
      </c>
      <c r="M1312" s="142">
        <v>37</v>
      </c>
    </row>
    <row r="1313" spans="1:13" x14ac:dyDescent="0.45">
      <c r="A1313" s="142" t="s">
        <v>13023</v>
      </c>
      <c r="B1313" s="142" t="s">
        <v>15571</v>
      </c>
      <c r="C1313" s="142" t="s">
        <v>15847</v>
      </c>
      <c r="D1313" s="142" t="s">
        <v>15848</v>
      </c>
      <c r="E1313" s="142" t="s">
        <v>15849</v>
      </c>
      <c r="F1313" s="142" t="s">
        <v>5918</v>
      </c>
      <c r="G1313" s="142" t="s">
        <v>5917</v>
      </c>
      <c r="H1313" s="142" t="s">
        <v>17163</v>
      </c>
      <c r="I1313" s="142">
        <v>166</v>
      </c>
      <c r="J1313" s="142">
        <v>0</v>
      </c>
      <c r="K1313" s="142">
        <v>0</v>
      </c>
      <c r="L1313" s="142">
        <v>166</v>
      </c>
      <c r="M1313" s="142">
        <v>0</v>
      </c>
    </row>
    <row r="1314" spans="1:13" x14ac:dyDescent="0.45">
      <c r="A1314" s="142" t="s">
        <v>13407</v>
      </c>
      <c r="B1314" s="142" t="s">
        <v>15432</v>
      </c>
      <c r="C1314" s="142" t="s">
        <v>15847</v>
      </c>
      <c r="D1314" s="142" t="s">
        <v>15848</v>
      </c>
      <c r="E1314" s="142" t="s">
        <v>15849</v>
      </c>
      <c r="F1314" s="142" t="s">
        <v>5918</v>
      </c>
      <c r="G1314" s="142" t="s">
        <v>5917</v>
      </c>
      <c r="H1314" s="142" t="s">
        <v>17164</v>
      </c>
      <c r="I1314" s="142">
        <v>5020</v>
      </c>
      <c r="J1314" s="142">
        <v>3698</v>
      </c>
      <c r="K1314" s="142">
        <v>0</v>
      </c>
      <c r="L1314" s="142">
        <v>1322</v>
      </c>
      <c r="M1314" s="142">
        <v>0</v>
      </c>
    </row>
    <row r="1315" spans="1:13" x14ac:dyDescent="0.45">
      <c r="A1315" s="142" t="s">
        <v>13273</v>
      </c>
      <c r="B1315" s="142" t="s">
        <v>14465</v>
      </c>
      <c r="C1315" s="142" t="s">
        <v>15860</v>
      </c>
      <c r="D1315" s="142" t="s">
        <v>15861</v>
      </c>
      <c r="E1315" s="142" t="s">
        <v>15849</v>
      </c>
      <c r="F1315" s="142" t="s">
        <v>5918</v>
      </c>
      <c r="G1315" s="142" t="s">
        <v>5917</v>
      </c>
      <c r="H1315" s="142" t="s">
        <v>17165</v>
      </c>
      <c r="I1315" s="142">
        <v>12</v>
      </c>
      <c r="J1315" s="142">
        <v>0</v>
      </c>
      <c r="K1315" s="142">
        <v>0</v>
      </c>
      <c r="L1315" s="142">
        <v>12</v>
      </c>
      <c r="M1315" s="142">
        <v>0</v>
      </c>
    </row>
    <row r="1316" spans="1:13" x14ac:dyDescent="0.45">
      <c r="A1316" s="142" t="s">
        <v>13408</v>
      </c>
      <c r="B1316" s="142" t="s">
        <v>14693</v>
      </c>
      <c r="C1316" s="142" t="s">
        <v>15860</v>
      </c>
      <c r="D1316" s="142" t="s">
        <v>15861</v>
      </c>
      <c r="E1316" s="142" t="s">
        <v>15849</v>
      </c>
      <c r="F1316" s="142" t="s">
        <v>5918</v>
      </c>
      <c r="G1316" s="142" t="s">
        <v>5917</v>
      </c>
      <c r="H1316" s="142" t="s">
        <v>17166</v>
      </c>
      <c r="I1316" s="142">
        <v>11</v>
      </c>
      <c r="J1316" s="142">
        <v>11</v>
      </c>
      <c r="K1316" s="142">
        <v>0</v>
      </c>
      <c r="L1316" s="142">
        <v>0</v>
      </c>
      <c r="M1316" s="142">
        <v>0</v>
      </c>
    </row>
    <row r="1317" spans="1:13" x14ac:dyDescent="0.45">
      <c r="A1317" s="142" t="s">
        <v>13238</v>
      </c>
      <c r="B1317" s="142" t="s">
        <v>14477</v>
      </c>
      <c r="C1317" s="142" t="s">
        <v>15860</v>
      </c>
      <c r="D1317" s="142" t="s">
        <v>15861</v>
      </c>
      <c r="E1317" s="142" t="s">
        <v>15849</v>
      </c>
      <c r="F1317" s="142" t="s">
        <v>5918</v>
      </c>
      <c r="G1317" s="142" t="s">
        <v>5917</v>
      </c>
      <c r="H1317" s="142" t="s">
        <v>17167</v>
      </c>
      <c r="I1317" s="142">
        <v>22</v>
      </c>
      <c r="J1317" s="142">
        <v>0</v>
      </c>
      <c r="K1317" s="142">
        <v>0</v>
      </c>
      <c r="L1317" s="142">
        <v>22</v>
      </c>
      <c r="M1317" s="142">
        <v>0</v>
      </c>
    </row>
    <row r="1318" spans="1:13" x14ac:dyDescent="0.45">
      <c r="A1318" s="142" t="s">
        <v>13085</v>
      </c>
      <c r="B1318" s="142" t="s">
        <v>14460</v>
      </c>
      <c r="C1318" s="142" t="s">
        <v>15860</v>
      </c>
      <c r="D1318" s="142" t="s">
        <v>15861</v>
      </c>
      <c r="E1318" s="142" t="s">
        <v>15849</v>
      </c>
      <c r="F1318" s="142" t="s">
        <v>5918</v>
      </c>
      <c r="G1318" s="142" t="s">
        <v>5917</v>
      </c>
      <c r="H1318" s="142" t="s">
        <v>17168</v>
      </c>
      <c r="I1318" s="142">
        <v>27</v>
      </c>
      <c r="J1318" s="142">
        <v>0</v>
      </c>
      <c r="K1318" s="142">
        <v>0</v>
      </c>
      <c r="L1318" s="142">
        <v>27</v>
      </c>
      <c r="M1318" s="142">
        <v>0</v>
      </c>
    </row>
    <row r="1319" spans="1:13" x14ac:dyDescent="0.45">
      <c r="A1319" s="142" t="s">
        <v>13049</v>
      </c>
      <c r="B1319" s="142" t="s">
        <v>14534</v>
      </c>
      <c r="C1319" s="142" t="s">
        <v>15860</v>
      </c>
      <c r="D1319" s="142" t="s">
        <v>15861</v>
      </c>
      <c r="E1319" s="142" t="s">
        <v>15849</v>
      </c>
      <c r="F1319" s="142" t="s">
        <v>5918</v>
      </c>
      <c r="G1319" s="142" t="s">
        <v>5917</v>
      </c>
      <c r="H1319" s="142" t="s">
        <v>17169</v>
      </c>
      <c r="I1319" s="142">
        <v>11</v>
      </c>
      <c r="J1319" s="142">
        <v>0</v>
      </c>
      <c r="K1319" s="142">
        <v>0</v>
      </c>
      <c r="L1319" s="142">
        <v>11</v>
      </c>
      <c r="M1319" s="142">
        <v>0</v>
      </c>
    </row>
    <row r="1320" spans="1:13" x14ac:dyDescent="0.45">
      <c r="A1320" s="142" t="s">
        <v>13148</v>
      </c>
      <c r="B1320" s="142" t="s">
        <v>15314</v>
      </c>
      <c r="C1320" s="142" t="s">
        <v>15847</v>
      </c>
      <c r="D1320" s="142" t="s">
        <v>15848</v>
      </c>
      <c r="E1320" s="142" t="s">
        <v>15849</v>
      </c>
      <c r="F1320" s="142" t="s">
        <v>5918</v>
      </c>
      <c r="G1320" s="142" t="s">
        <v>5917</v>
      </c>
      <c r="H1320" s="142" t="s">
        <v>17170</v>
      </c>
      <c r="I1320" s="142">
        <v>121</v>
      </c>
      <c r="J1320" s="142">
        <v>119</v>
      </c>
      <c r="K1320" s="142">
        <v>0</v>
      </c>
      <c r="L1320" s="142">
        <v>0</v>
      </c>
      <c r="M1320" s="142">
        <v>2</v>
      </c>
    </row>
    <row r="1321" spans="1:13" x14ac:dyDescent="0.45">
      <c r="A1321" s="142" t="s">
        <v>13149</v>
      </c>
      <c r="B1321" s="142" t="s">
        <v>14458</v>
      </c>
      <c r="C1321" s="142" t="s">
        <v>15860</v>
      </c>
      <c r="D1321" s="142" t="s">
        <v>15861</v>
      </c>
      <c r="E1321" s="142" t="s">
        <v>15849</v>
      </c>
      <c r="F1321" s="142" t="s">
        <v>5918</v>
      </c>
      <c r="G1321" s="142" t="s">
        <v>5917</v>
      </c>
      <c r="H1321" s="142" t="s">
        <v>17171</v>
      </c>
      <c r="I1321" s="142">
        <v>5</v>
      </c>
      <c r="J1321" s="142">
        <v>0</v>
      </c>
      <c r="K1321" s="142">
        <v>0</v>
      </c>
      <c r="L1321" s="142">
        <v>5</v>
      </c>
      <c r="M1321" s="142">
        <v>0</v>
      </c>
    </row>
    <row r="1322" spans="1:13" x14ac:dyDescent="0.45">
      <c r="A1322" s="142" t="s">
        <v>13028</v>
      </c>
      <c r="B1322" s="142" t="s">
        <v>14462</v>
      </c>
      <c r="C1322" s="142" t="s">
        <v>15847</v>
      </c>
      <c r="D1322" s="142" t="s">
        <v>15848</v>
      </c>
      <c r="E1322" s="142" t="s">
        <v>15849</v>
      </c>
      <c r="F1322" s="142" t="s">
        <v>5918</v>
      </c>
      <c r="G1322" s="142" t="s">
        <v>5917</v>
      </c>
      <c r="H1322" s="142" t="s">
        <v>17172</v>
      </c>
      <c r="I1322" s="142">
        <v>12</v>
      </c>
      <c r="J1322" s="142">
        <v>0</v>
      </c>
      <c r="K1322" s="142">
        <v>0</v>
      </c>
      <c r="L1322" s="142">
        <v>0</v>
      </c>
      <c r="M1322" s="142">
        <v>12</v>
      </c>
    </row>
    <row r="1323" spans="1:13" x14ac:dyDescent="0.45">
      <c r="A1323" s="142" t="s">
        <v>13003</v>
      </c>
      <c r="B1323" s="142" t="s">
        <v>15245</v>
      </c>
      <c r="C1323" s="142" t="s">
        <v>15847</v>
      </c>
      <c r="D1323" s="142" t="s">
        <v>15848</v>
      </c>
      <c r="E1323" s="142" t="s">
        <v>15849</v>
      </c>
      <c r="F1323" s="142" t="s">
        <v>5918</v>
      </c>
      <c r="G1323" s="142" t="s">
        <v>5917</v>
      </c>
      <c r="H1323" s="142" t="s">
        <v>17173</v>
      </c>
      <c r="I1323" s="142">
        <v>115</v>
      </c>
      <c r="J1323" s="142">
        <v>0</v>
      </c>
      <c r="K1323" s="142">
        <v>0</v>
      </c>
      <c r="L1323" s="142">
        <v>115</v>
      </c>
      <c r="M1323" s="142">
        <v>0</v>
      </c>
    </row>
    <row r="1324" spans="1:13" x14ac:dyDescent="0.45">
      <c r="A1324" s="142" t="s">
        <v>13066</v>
      </c>
      <c r="B1324" s="142" t="s">
        <v>14459</v>
      </c>
      <c r="C1324" s="142" t="s">
        <v>15847</v>
      </c>
      <c r="D1324" s="142" t="s">
        <v>15848</v>
      </c>
      <c r="E1324" s="142" t="s">
        <v>15849</v>
      </c>
      <c r="F1324" s="142" t="s">
        <v>5918</v>
      </c>
      <c r="G1324" s="142" t="s">
        <v>5917</v>
      </c>
      <c r="H1324" s="142" t="s">
        <v>17174</v>
      </c>
      <c r="I1324" s="142">
        <v>12</v>
      </c>
      <c r="J1324" s="142">
        <v>0</v>
      </c>
      <c r="K1324" s="142">
        <v>0</v>
      </c>
      <c r="L1324" s="142">
        <v>12</v>
      </c>
      <c r="M1324" s="142">
        <v>0</v>
      </c>
    </row>
    <row r="1325" spans="1:13" x14ac:dyDescent="0.45">
      <c r="A1325" s="142" t="s">
        <v>13284</v>
      </c>
      <c r="B1325" s="142" t="s">
        <v>15364</v>
      </c>
      <c r="C1325" s="142" t="s">
        <v>15847</v>
      </c>
      <c r="D1325" s="142" t="s">
        <v>15848</v>
      </c>
      <c r="E1325" s="142" t="s">
        <v>15849</v>
      </c>
      <c r="F1325" s="142" t="s">
        <v>5918</v>
      </c>
      <c r="G1325" s="142" t="s">
        <v>5917</v>
      </c>
      <c r="H1325" s="142" t="s">
        <v>17175</v>
      </c>
      <c r="I1325" s="142">
        <v>99</v>
      </c>
      <c r="J1325" s="142">
        <v>99</v>
      </c>
      <c r="K1325" s="142">
        <v>0</v>
      </c>
      <c r="L1325" s="142">
        <v>0</v>
      </c>
      <c r="M1325" s="142">
        <v>0</v>
      </c>
    </row>
    <row r="1326" spans="1:13" x14ac:dyDescent="0.45">
      <c r="A1326" s="142" t="s">
        <v>13292</v>
      </c>
      <c r="B1326" s="142" t="s">
        <v>14543</v>
      </c>
      <c r="C1326" s="142" t="s">
        <v>15860</v>
      </c>
      <c r="D1326" s="142" t="s">
        <v>15861</v>
      </c>
      <c r="E1326" s="142" t="s">
        <v>15849</v>
      </c>
      <c r="F1326" s="142" t="s">
        <v>5918</v>
      </c>
      <c r="G1326" s="142" t="s">
        <v>5917</v>
      </c>
      <c r="H1326" s="142" t="s">
        <v>17176</v>
      </c>
      <c r="I1326" s="142">
        <v>1</v>
      </c>
      <c r="J1326" s="142">
        <v>1</v>
      </c>
      <c r="K1326" s="142">
        <v>0</v>
      </c>
      <c r="L1326" s="142">
        <v>0</v>
      </c>
      <c r="M1326" s="142">
        <v>0</v>
      </c>
    </row>
    <row r="1327" spans="1:13" x14ac:dyDescent="0.45">
      <c r="A1327" s="142" t="s">
        <v>13276</v>
      </c>
      <c r="B1327" s="142" t="s">
        <v>15498</v>
      </c>
      <c r="C1327" s="142" t="s">
        <v>15847</v>
      </c>
      <c r="D1327" s="142" t="s">
        <v>15848</v>
      </c>
      <c r="E1327" s="142" t="s">
        <v>15849</v>
      </c>
      <c r="F1327" s="142" t="s">
        <v>5918</v>
      </c>
      <c r="G1327" s="142" t="s">
        <v>5917</v>
      </c>
      <c r="H1327" s="142" t="s">
        <v>17177</v>
      </c>
      <c r="I1327" s="142">
        <v>2</v>
      </c>
      <c r="J1327" s="142">
        <v>0</v>
      </c>
      <c r="K1327" s="142">
        <v>0</v>
      </c>
      <c r="L1327" s="142">
        <v>2</v>
      </c>
      <c r="M1327" s="142">
        <v>0</v>
      </c>
    </row>
    <row r="1328" spans="1:13" x14ac:dyDescent="0.45">
      <c r="A1328" s="142" t="s">
        <v>13033</v>
      </c>
      <c r="B1328" s="142" t="s">
        <v>15276</v>
      </c>
      <c r="C1328" s="142" t="s">
        <v>15847</v>
      </c>
      <c r="D1328" s="142" t="s">
        <v>15848</v>
      </c>
      <c r="E1328" s="142" t="s">
        <v>15849</v>
      </c>
      <c r="F1328" s="142" t="s">
        <v>5918</v>
      </c>
      <c r="G1328" s="142" t="s">
        <v>5917</v>
      </c>
      <c r="H1328" s="142" t="s">
        <v>17178</v>
      </c>
      <c r="I1328" s="142">
        <v>133</v>
      </c>
      <c r="J1328" s="142">
        <v>123</v>
      </c>
      <c r="K1328" s="142">
        <v>0</v>
      </c>
      <c r="L1328" s="142">
        <v>10</v>
      </c>
      <c r="M1328" s="142">
        <v>0</v>
      </c>
    </row>
    <row r="1329" spans="1:13" x14ac:dyDescent="0.45">
      <c r="A1329" s="142" t="s">
        <v>13034</v>
      </c>
      <c r="B1329" s="142" t="s">
        <v>15562</v>
      </c>
      <c r="C1329" s="142" t="s">
        <v>15847</v>
      </c>
      <c r="D1329" s="142" t="s">
        <v>15848</v>
      </c>
      <c r="E1329" s="142" t="s">
        <v>15849</v>
      </c>
      <c r="F1329" s="142" t="s">
        <v>5918</v>
      </c>
      <c r="G1329" s="142" t="s">
        <v>5917</v>
      </c>
      <c r="H1329" s="142" t="s">
        <v>17179</v>
      </c>
      <c r="I1329" s="142">
        <v>2</v>
      </c>
      <c r="J1329" s="142">
        <v>0</v>
      </c>
      <c r="K1329" s="142">
        <v>0</v>
      </c>
      <c r="L1329" s="142">
        <v>2</v>
      </c>
      <c r="M1329" s="142">
        <v>0</v>
      </c>
    </row>
    <row r="1330" spans="1:13" x14ac:dyDescent="0.45">
      <c r="A1330" s="142" t="s">
        <v>13036</v>
      </c>
      <c r="B1330" s="142" t="s">
        <v>15567</v>
      </c>
      <c r="C1330" s="142" t="s">
        <v>15847</v>
      </c>
      <c r="D1330" s="142" t="s">
        <v>15848</v>
      </c>
      <c r="E1330" s="142" t="s">
        <v>15849</v>
      </c>
      <c r="F1330" s="142" t="s">
        <v>5918</v>
      </c>
      <c r="G1330" s="142" t="s">
        <v>5917</v>
      </c>
      <c r="H1330" s="142" t="s">
        <v>17180</v>
      </c>
      <c r="I1330" s="142">
        <v>13</v>
      </c>
      <c r="J1330" s="142">
        <v>1</v>
      </c>
      <c r="K1330" s="142">
        <v>0</v>
      </c>
      <c r="L1330" s="142">
        <v>11</v>
      </c>
      <c r="M1330" s="142">
        <v>1</v>
      </c>
    </row>
    <row r="1331" spans="1:13" x14ac:dyDescent="0.45">
      <c r="A1331" s="142" t="s">
        <v>13277</v>
      </c>
      <c r="B1331" s="142" t="s">
        <v>14454</v>
      </c>
      <c r="C1331" s="142" t="s">
        <v>15847</v>
      </c>
      <c r="D1331" s="142" t="s">
        <v>15848</v>
      </c>
      <c r="E1331" s="142" t="s">
        <v>15849</v>
      </c>
      <c r="F1331" s="142" t="s">
        <v>5918</v>
      </c>
      <c r="G1331" s="142" t="s">
        <v>5917</v>
      </c>
      <c r="H1331" s="142" t="s">
        <v>17181</v>
      </c>
      <c r="I1331" s="142">
        <v>32</v>
      </c>
      <c r="J1331" s="142">
        <v>0</v>
      </c>
      <c r="K1331" s="142">
        <v>0</v>
      </c>
      <c r="L1331" s="142">
        <v>32</v>
      </c>
      <c r="M1331" s="142">
        <v>0</v>
      </c>
    </row>
    <row r="1332" spans="1:13" x14ac:dyDescent="0.45">
      <c r="A1332" s="142" t="s">
        <v>13091</v>
      </c>
      <c r="B1332" s="142" t="s">
        <v>14473</v>
      </c>
      <c r="C1332" s="142" t="s">
        <v>15847</v>
      </c>
      <c r="D1332" s="142" t="s">
        <v>15848</v>
      </c>
      <c r="E1332" s="142" t="s">
        <v>15849</v>
      </c>
      <c r="F1332" s="142" t="s">
        <v>5918</v>
      </c>
      <c r="G1332" s="142" t="s">
        <v>5917</v>
      </c>
      <c r="H1332" s="142" t="s">
        <v>17182</v>
      </c>
      <c r="I1332" s="142">
        <v>2</v>
      </c>
      <c r="J1332" s="142">
        <v>0</v>
      </c>
      <c r="K1332" s="142">
        <v>0</v>
      </c>
      <c r="L1332" s="142">
        <v>2</v>
      </c>
      <c r="M1332" s="142">
        <v>0</v>
      </c>
    </row>
    <row r="1333" spans="1:13" x14ac:dyDescent="0.45">
      <c r="A1333" s="142" t="s">
        <v>13154</v>
      </c>
      <c r="B1333" s="142" t="s">
        <v>15415</v>
      </c>
      <c r="C1333" s="142" t="s">
        <v>15847</v>
      </c>
      <c r="D1333" s="142" t="s">
        <v>15848</v>
      </c>
      <c r="E1333" s="142" t="s">
        <v>15849</v>
      </c>
      <c r="F1333" s="142" t="s">
        <v>5918</v>
      </c>
      <c r="G1333" s="142" t="s">
        <v>5917</v>
      </c>
      <c r="H1333" s="142" t="s">
        <v>17183</v>
      </c>
      <c r="I1333" s="142">
        <v>24</v>
      </c>
      <c r="J1333" s="142">
        <v>0</v>
      </c>
      <c r="K1333" s="142">
        <v>0</v>
      </c>
      <c r="L1333" s="142">
        <v>0</v>
      </c>
      <c r="M1333" s="142">
        <v>24</v>
      </c>
    </row>
    <row r="1334" spans="1:13" x14ac:dyDescent="0.45">
      <c r="A1334" s="142" t="s">
        <v>13286</v>
      </c>
      <c r="B1334" s="142" t="s">
        <v>15342</v>
      </c>
      <c r="C1334" s="142" t="s">
        <v>15847</v>
      </c>
      <c r="D1334" s="142" t="s">
        <v>15848</v>
      </c>
      <c r="E1334" s="142" t="s">
        <v>15849</v>
      </c>
      <c r="F1334" s="142" t="s">
        <v>5918</v>
      </c>
      <c r="G1334" s="142" t="s">
        <v>5917</v>
      </c>
      <c r="H1334" s="142" t="s">
        <v>17184</v>
      </c>
      <c r="I1334" s="142">
        <v>194</v>
      </c>
      <c r="J1334" s="142">
        <v>181</v>
      </c>
      <c r="K1334" s="142">
        <v>0</v>
      </c>
      <c r="L1334" s="142">
        <v>10</v>
      </c>
      <c r="M1334" s="142">
        <v>3</v>
      </c>
    </row>
    <row r="1335" spans="1:13" x14ac:dyDescent="0.45">
      <c r="A1335" s="142" t="s">
        <v>13020</v>
      </c>
      <c r="B1335" s="142" t="s">
        <v>15523</v>
      </c>
      <c r="C1335" s="142" t="s">
        <v>15860</v>
      </c>
      <c r="D1335" s="142" t="s">
        <v>15861</v>
      </c>
      <c r="E1335" s="142" t="s">
        <v>15849</v>
      </c>
      <c r="F1335" s="142" t="s">
        <v>9727</v>
      </c>
      <c r="G1335" s="142" t="s">
        <v>9726</v>
      </c>
      <c r="H1335" s="142" t="s">
        <v>17185</v>
      </c>
      <c r="I1335" s="142">
        <v>89</v>
      </c>
      <c r="J1335" s="142">
        <v>0</v>
      </c>
      <c r="K1335" s="142">
        <v>0</v>
      </c>
      <c r="L1335" s="142">
        <v>89</v>
      </c>
      <c r="M1335" s="142">
        <v>0</v>
      </c>
    </row>
    <row r="1336" spans="1:13" x14ac:dyDescent="0.45">
      <c r="A1336" s="142" t="s">
        <v>13410</v>
      </c>
      <c r="B1336" s="142" t="s">
        <v>15311</v>
      </c>
      <c r="C1336" s="142" t="s">
        <v>15860</v>
      </c>
      <c r="D1336" s="142" t="s">
        <v>15861</v>
      </c>
      <c r="E1336" s="142" t="s">
        <v>15849</v>
      </c>
      <c r="F1336" s="142" t="s">
        <v>9727</v>
      </c>
      <c r="G1336" s="142" t="s">
        <v>9726</v>
      </c>
      <c r="H1336" s="142" t="s">
        <v>17186</v>
      </c>
      <c r="I1336" s="142">
        <v>32</v>
      </c>
      <c r="J1336" s="142">
        <v>0</v>
      </c>
      <c r="K1336" s="142">
        <v>0</v>
      </c>
      <c r="L1336" s="142">
        <v>32</v>
      </c>
      <c r="M1336" s="142">
        <v>0</v>
      </c>
    </row>
    <row r="1337" spans="1:13" x14ac:dyDescent="0.45">
      <c r="A1337" s="142" t="s">
        <v>13023</v>
      </c>
      <c r="B1337" s="142" t="s">
        <v>15571</v>
      </c>
      <c r="C1337" s="142" t="s">
        <v>15847</v>
      </c>
      <c r="D1337" s="142" t="s">
        <v>15848</v>
      </c>
      <c r="E1337" s="142" t="s">
        <v>15849</v>
      </c>
      <c r="F1337" s="142" t="s">
        <v>9727</v>
      </c>
      <c r="G1337" s="142" t="s">
        <v>9726</v>
      </c>
      <c r="H1337" s="142" t="s">
        <v>17187</v>
      </c>
      <c r="I1337" s="142">
        <v>68</v>
      </c>
      <c r="J1337" s="142">
        <v>0</v>
      </c>
      <c r="K1337" s="142">
        <v>0</v>
      </c>
      <c r="L1337" s="142">
        <v>68</v>
      </c>
      <c r="M1337" s="142">
        <v>0</v>
      </c>
    </row>
    <row r="1338" spans="1:13" x14ac:dyDescent="0.45">
      <c r="A1338" s="142" t="s">
        <v>13289</v>
      </c>
      <c r="B1338" s="142" t="s">
        <v>14423</v>
      </c>
      <c r="C1338" s="142" t="s">
        <v>15847</v>
      </c>
      <c r="D1338" s="142" t="s">
        <v>15848</v>
      </c>
      <c r="E1338" s="142" t="s">
        <v>15849</v>
      </c>
      <c r="F1338" s="142" t="s">
        <v>9727</v>
      </c>
      <c r="G1338" s="142" t="s">
        <v>9726</v>
      </c>
      <c r="H1338" s="142" t="s">
        <v>17188</v>
      </c>
      <c r="I1338" s="142">
        <v>81</v>
      </c>
      <c r="J1338" s="142">
        <v>81</v>
      </c>
      <c r="K1338" s="142">
        <v>0</v>
      </c>
      <c r="L1338" s="142">
        <v>0</v>
      </c>
      <c r="M1338" s="142">
        <v>0</v>
      </c>
    </row>
    <row r="1339" spans="1:13" x14ac:dyDescent="0.45">
      <c r="A1339" s="142" t="s">
        <v>13407</v>
      </c>
      <c r="B1339" s="142" t="s">
        <v>15432</v>
      </c>
      <c r="C1339" s="142" t="s">
        <v>15847</v>
      </c>
      <c r="D1339" s="142" t="s">
        <v>15848</v>
      </c>
      <c r="E1339" s="142" t="s">
        <v>15849</v>
      </c>
      <c r="F1339" s="142" t="s">
        <v>9727</v>
      </c>
      <c r="G1339" s="142" t="s">
        <v>9726</v>
      </c>
      <c r="H1339" s="142" t="s">
        <v>17189</v>
      </c>
      <c r="I1339" s="142">
        <v>14</v>
      </c>
      <c r="J1339" s="142">
        <v>0</v>
      </c>
      <c r="K1339" s="142">
        <v>0</v>
      </c>
      <c r="L1339" s="142">
        <v>14</v>
      </c>
      <c r="M1339" s="142">
        <v>0</v>
      </c>
    </row>
    <row r="1340" spans="1:13" x14ac:dyDescent="0.45">
      <c r="A1340" s="142" t="s">
        <v>13238</v>
      </c>
      <c r="B1340" s="142" t="s">
        <v>14477</v>
      </c>
      <c r="C1340" s="142" t="s">
        <v>15860</v>
      </c>
      <c r="D1340" s="142" t="s">
        <v>15861</v>
      </c>
      <c r="E1340" s="142" t="s">
        <v>15849</v>
      </c>
      <c r="F1340" s="142" t="s">
        <v>9727</v>
      </c>
      <c r="G1340" s="142" t="s">
        <v>9726</v>
      </c>
      <c r="H1340" s="142" t="s">
        <v>17190</v>
      </c>
      <c r="I1340" s="142">
        <v>43</v>
      </c>
      <c r="J1340" s="142">
        <v>0</v>
      </c>
      <c r="K1340" s="142">
        <v>0</v>
      </c>
      <c r="L1340" s="142">
        <v>43</v>
      </c>
      <c r="M1340" s="142">
        <v>0</v>
      </c>
    </row>
    <row r="1341" spans="1:13" x14ac:dyDescent="0.45">
      <c r="A1341" s="142" t="s">
        <v>13085</v>
      </c>
      <c r="B1341" s="142" t="s">
        <v>14460</v>
      </c>
      <c r="C1341" s="142" t="s">
        <v>15860</v>
      </c>
      <c r="D1341" s="142" t="s">
        <v>15861</v>
      </c>
      <c r="E1341" s="142" t="s">
        <v>15849</v>
      </c>
      <c r="F1341" s="142" t="s">
        <v>9727</v>
      </c>
      <c r="G1341" s="142" t="s">
        <v>9726</v>
      </c>
      <c r="H1341" s="142" t="s">
        <v>17191</v>
      </c>
      <c r="I1341" s="142">
        <v>23</v>
      </c>
      <c r="J1341" s="142">
        <v>0</v>
      </c>
      <c r="K1341" s="142">
        <v>0</v>
      </c>
      <c r="L1341" s="142">
        <v>23</v>
      </c>
      <c r="M1341" s="142">
        <v>0</v>
      </c>
    </row>
    <row r="1342" spans="1:13" x14ac:dyDescent="0.45">
      <c r="A1342" s="142" t="s">
        <v>13099</v>
      </c>
      <c r="B1342" s="142" t="s">
        <v>14547</v>
      </c>
      <c r="C1342" s="142" t="s">
        <v>15860</v>
      </c>
      <c r="D1342" s="142" t="s">
        <v>15861</v>
      </c>
      <c r="E1342" s="142" t="s">
        <v>15849</v>
      </c>
      <c r="F1342" s="142" t="s">
        <v>9727</v>
      </c>
      <c r="G1342" s="142" t="s">
        <v>9726</v>
      </c>
      <c r="H1342" s="142" t="s">
        <v>17192</v>
      </c>
      <c r="I1342" s="142">
        <v>24</v>
      </c>
      <c r="J1342" s="142">
        <v>0</v>
      </c>
      <c r="K1342" s="142">
        <v>0</v>
      </c>
      <c r="L1342" s="142">
        <v>24</v>
      </c>
      <c r="M1342" s="142">
        <v>0</v>
      </c>
    </row>
    <row r="1343" spans="1:13" x14ac:dyDescent="0.45">
      <c r="A1343" s="142" t="s">
        <v>13411</v>
      </c>
      <c r="B1343" s="142" t="s">
        <v>15183</v>
      </c>
      <c r="C1343" s="142" t="s">
        <v>15860</v>
      </c>
      <c r="D1343" s="142" t="s">
        <v>15861</v>
      </c>
      <c r="E1343" s="142" t="s">
        <v>15849</v>
      </c>
      <c r="F1343" s="142" t="s">
        <v>9727</v>
      </c>
      <c r="G1343" s="142" t="s">
        <v>9726</v>
      </c>
      <c r="H1343" s="142" t="s">
        <v>17193</v>
      </c>
      <c r="I1343" s="142">
        <v>33</v>
      </c>
      <c r="J1343" s="142">
        <v>0</v>
      </c>
      <c r="K1343" s="142">
        <v>0</v>
      </c>
      <c r="L1343" s="142">
        <v>33</v>
      </c>
      <c r="M1343" s="142">
        <v>0</v>
      </c>
    </row>
    <row r="1344" spans="1:13" x14ac:dyDescent="0.45">
      <c r="A1344" s="142" t="s">
        <v>13027</v>
      </c>
      <c r="B1344" s="142" t="s">
        <v>14562</v>
      </c>
      <c r="C1344" s="142" t="s">
        <v>15847</v>
      </c>
      <c r="D1344" s="142" t="s">
        <v>15848</v>
      </c>
      <c r="E1344" s="142" t="s">
        <v>15849</v>
      </c>
      <c r="F1344" s="142" t="s">
        <v>9727</v>
      </c>
      <c r="G1344" s="142" t="s">
        <v>9726</v>
      </c>
      <c r="H1344" s="142" t="s">
        <v>17194</v>
      </c>
      <c r="I1344" s="142">
        <v>6</v>
      </c>
      <c r="J1344" s="142">
        <v>0</v>
      </c>
      <c r="K1344" s="142">
        <v>0</v>
      </c>
      <c r="L1344" s="142">
        <v>6</v>
      </c>
      <c r="M1344" s="142">
        <v>0</v>
      </c>
    </row>
    <row r="1345" spans="1:13" x14ac:dyDescent="0.45">
      <c r="A1345" s="142" t="s">
        <v>13148</v>
      </c>
      <c r="B1345" s="142" t="s">
        <v>15314</v>
      </c>
      <c r="C1345" s="142" t="s">
        <v>15847</v>
      </c>
      <c r="D1345" s="142" t="s">
        <v>15848</v>
      </c>
      <c r="E1345" s="142" t="s">
        <v>15849</v>
      </c>
      <c r="F1345" s="142" t="s">
        <v>9727</v>
      </c>
      <c r="G1345" s="142" t="s">
        <v>9726</v>
      </c>
      <c r="H1345" s="142" t="s">
        <v>17195</v>
      </c>
      <c r="I1345" s="142">
        <v>695</v>
      </c>
      <c r="J1345" s="142">
        <v>558</v>
      </c>
      <c r="K1345" s="142">
        <v>0</v>
      </c>
      <c r="L1345" s="142">
        <v>64</v>
      </c>
      <c r="M1345" s="142">
        <v>73</v>
      </c>
    </row>
    <row r="1346" spans="1:13" x14ac:dyDescent="0.45">
      <c r="A1346" s="142" t="s">
        <v>13149</v>
      </c>
      <c r="B1346" s="142" t="s">
        <v>14458</v>
      </c>
      <c r="C1346" s="142" t="s">
        <v>15860</v>
      </c>
      <c r="D1346" s="142" t="s">
        <v>15861</v>
      </c>
      <c r="E1346" s="142" t="s">
        <v>15849</v>
      </c>
      <c r="F1346" s="142" t="s">
        <v>9727</v>
      </c>
      <c r="G1346" s="142" t="s">
        <v>9726</v>
      </c>
      <c r="H1346" s="142" t="s">
        <v>17196</v>
      </c>
      <c r="I1346" s="142">
        <v>6</v>
      </c>
      <c r="J1346" s="142">
        <v>0</v>
      </c>
      <c r="K1346" s="142">
        <v>0</v>
      </c>
      <c r="L1346" s="142">
        <v>6</v>
      </c>
      <c r="M1346" s="142">
        <v>0</v>
      </c>
    </row>
    <row r="1347" spans="1:13" x14ac:dyDescent="0.45">
      <c r="A1347" s="142" t="s">
        <v>13003</v>
      </c>
      <c r="B1347" s="142" t="s">
        <v>15245</v>
      </c>
      <c r="C1347" s="142" t="s">
        <v>15847</v>
      </c>
      <c r="D1347" s="142" t="s">
        <v>15848</v>
      </c>
      <c r="E1347" s="142" t="s">
        <v>15849</v>
      </c>
      <c r="F1347" s="142" t="s">
        <v>9727</v>
      </c>
      <c r="G1347" s="142" t="s">
        <v>9726</v>
      </c>
      <c r="H1347" s="142" t="s">
        <v>17197</v>
      </c>
      <c r="I1347" s="142">
        <v>33</v>
      </c>
      <c r="J1347" s="142">
        <v>0</v>
      </c>
      <c r="K1347" s="142">
        <v>0</v>
      </c>
      <c r="L1347" s="142">
        <v>33</v>
      </c>
      <c r="M1347" s="142">
        <v>0</v>
      </c>
    </row>
    <row r="1348" spans="1:13" x14ac:dyDescent="0.45">
      <c r="A1348" s="142" t="s">
        <v>13066</v>
      </c>
      <c r="B1348" s="142" t="s">
        <v>14459</v>
      </c>
      <c r="C1348" s="142" t="s">
        <v>15847</v>
      </c>
      <c r="D1348" s="142" t="s">
        <v>15848</v>
      </c>
      <c r="E1348" s="142" t="s">
        <v>15849</v>
      </c>
      <c r="F1348" s="142" t="s">
        <v>9727</v>
      </c>
      <c r="G1348" s="142" t="s">
        <v>9726</v>
      </c>
      <c r="H1348" s="142" t="s">
        <v>17198</v>
      </c>
      <c r="I1348" s="142">
        <v>47</v>
      </c>
      <c r="J1348" s="142">
        <v>0</v>
      </c>
      <c r="K1348" s="142">
        <v>0</v>
      </c>
      <c r="L1348" s="142">
        <v>47</v>
      </c>
      <c r="M1348" s="142">
        <v>0</v>
      </c>
    </row>
    <row r="1349" spans="1:13" x14ac:dyDescent="0.45">
      <c r="A1349" s="142" t="s">
        <v>13290</v>
      </c>
      <c r="B1349" s="142" t="s">
        <v>15246</v>
      </c>
      <c r="C1349" s="142" t="s">
        <v>15847</v>
      </c>
      <c r="D1349" s="142" t="s">
        <v>15848</v>
      </c>
      <c r="E1349" s="142" t="s">
        <v>15849</v>
      </c>
      <c r="F1349" s="142" t="s">
        <v>9727</v>
      </c>
      <c r="G1349" s="142" t="s">
        <v>9726</v>
      </c>
      <c r="H1349" s="142" t="s">
        <v>17199</v>
      </c>
      <c r="I1349" s="142">
        <v>1056</v>
      </c>
      <c r="J1349" s="142">
        <v>866</v>
      </c>
      <c r="K1349" s="142">
        <v>0</v>
      </c>
      <c r="L1349" s="142">
        <v>161</v>
      </c>
      <c r="M1349" s="142">
        <v>29</v>
      </c>
    </row>
    <row r="1350" spans="1:13" x14ac:dyDescent="0.45">
      <c r="A1350" s="142" t="s">
        <v>13291</v>
      </c>
      <c r="B1350" s="142" t="s">
        <v>15495</v>
      </c>
      <c r="C1350" s="142" t="s">
        <v>15847</v>
      </c>
      <c r="D1350" s="142" t="s">
        <v>15848</v>
      </c>
      <c r="E1350" s="142" t="s">
        <v>15849</v>
      </c>
      <c r="F1350" s="142" t="s">
        <v>9727</v>
      </c>
      <c r="G1350" s="142" t="s">
        <v>9726</v>
      </c>
      <c r="H1350" s="142" t="s">
        <v>17200</v>
      </c>
      <c r="I1350" s="142">
        <v>155</v>
      </c>
      <c r="J1350" s="142">
        <v>123</v>
      </c>
      <c r="K1350" s="142">
        <v>0</v>
      </c>
      <c r="L1350" s="142">
        <v>19</v>
      </c>
      <c r="M1350" s="142">
        <v>13</v>
      </c>
    </row>
    <row r="1351" spans="1:13" x14ac:dyDescent="0.45">
      <c r="A1351" s="142" t="s">
        <v>13412</v>
      </c>
      <c r="B1351" s="142" t="s">
        <v>15587</v>
      </c>
      <c r="C1351" s="142" t="s">
        <v>15847</v>
      </c>
      <c r="D1351" s="142" t="s">
        <v>15848</v>
      </c>
      <c r="E1351" s="142" t="s">
        <v>15849</v>
      </c>
      <c r="F1351" s="142" t="s">
        <v>9727</v>
      </c>
      <c r="G1351" s="142" t="s">
        <v>9726</v>
      </c>
      <c r="H1351" s="142" t="s">
        <v>17201</v>
      </c>
      <c r="I1351" s="142">
        <v>36</v>
      </c>
      <c r="J1351" s="142">
        <v>36</v>
      </c>
      <c r="K1351" s="142">
        <v>0</v>
      </c>
      <c r="L1351" s="142">
        <v>0</v>
      </c>
      <c r="M1351" s="142">
        <v>0</v>
      </c>
    </row>
    <row r="1352" spans="1:13" x14ac:dyDescent="0.45">
      <c r="A1352" s="142" t="s">
        <v>13413</v>
      </c>
      <c r="B1352" s="142" t="s">
        <v>15343</v>
      </c>
      <c r="C1352" s="142" t="s">
        <v>15860</v>
      </c>
      <c r="D1352" s="142" t="s">
        <v>15861</v>
      </c>
      <c r="E1352" s="142" t="s">
        <v>15849</v>
      </c>
      <c r="F1352" s="142" t="s">
        <v>9727</v>
      </c>
      <c r="G1352" s="142" t="s">
        <v>9726</v>
      </c>
      <c r="H1352" s="142" t="s">
        <v>17202</v>
      </c>
      <c r="I1352" s="142">
        <v>3</v>
      </c>
      <c r="J1352" s="142">
        <v>3</v>
      </c>
      <c r="K1352" s="142">
        <v>0</v>
      </c>
      <c r="L1352" s="142">
        <v>0</v>
      </c>
      <c r="M1352" s="142">
        <v>0</v>
      </c>
    </row>
    <row r="1353" spans="1:13" x14ac:dyDescent="0.45">
      <c r="A1353" s="142" t="s">
        <v>13249</v>
      </c>
      <c r="B1353" s="142" t="s">
        <v>14602</v>
      </c>
      <c r="C1353" s="142" t="s">
        <v>15847</v>
      </c>
      <c r="D1353" s="142" t="s">
        <v>15848</v>
      </c>
      <c r="E1353" s="142" t="s">
        <v>15849</v>
      </c>
      <c r="F1353" s="142" t="s">
        <v>9727</v>
      </c>
      <c r="G1353" s="142" t="s">
        <v>9726</v>
      </c>
      <c r="H1353" s="142" t="s">
        <v>17203</v>
      </c>
      <c r="I1353" s="142">
        <v>165</v>
      </c>
      <c r="J1353" s="142">
        <v>117</v>
      </c>
      <c r="K1353" s="142">
        <v>0</v>
      </c>
      <c r="L1353" s="142">
        <v>26</v>
      </c>
      <c r="M1353" s="142">
        <v>22</v>
      </c>
    </row>
    <row r="1354" spans="1:13" x14ac:dyDescent="0.45">
      <c r="A1354" s="142" t="s">
        <v>13284</v>
      </c>
      <c r="B1354" s="142" t="s">
        <v>15364</v>
      </c>
      <c r="C1354" s="142" t="s">
        <v>15847</v>
      </c>
      <c r="D1354" s="142" t="s">
        <v>15848</v>
      </c>
      <c r="E1354" s="142" t="s">
        <v>15849</v>
      </c>
      <c r="F1354" s="142" t="s">
        <v>9727</v>
      </c>
      <c r="G1354" s="142" t="s">
        <v>9726</v>
      </c>
      <c r="H1354" s="142" t="s">
        <v>17204</v>
      </c>
      <c r="I1354" s="142">
        <v>66</v>
      </c>
      <c r="J1354" s="142">
        <v>0</v>
      </c>
      <c r="K1354" s="142">
        <v>0</v>
      </c>
      <c r="L1354" s="142">
        <v>66</v>
      </c>
      <c r="M1354" s="142">
        <v>0</v>
      </c>
    </row>
    <row r="1355" spans="1:13" x14ac:dyDescent="0.45">
      <c r="A1355" s="142" t="s">
        <v>13276</v>
      </c>
      <c r="B1355" s="142" t="s">
        <v>15498</v>
      </c>
      <c r="C1355" s="142" t="s">
        <v>15847</v>
      </c>
      <c r="D1355" s="142" t="s">
        <v>15848</v>
      </c>
      <c r="E1355" s="142" t="s">
        <v>15849</v>
      </c>
      <c r="F1355" s="142" t="s">
        <v>9727</v>
      </c>
      <c r="G1355" s="142" t="s">
        <v>9726</v>
      </c>
      <c r="H1355" s="142" t="s">
        <v>17205</v>
      </c>
      <c r="I1355" s="142">
        <v>1284</v>
      </c>
      <c r="J1355" s="142">
        <v>1200</v>
      </c>
      <c r="K1355" s="142">
        <v>0</v>
      </c>
      <c r="L1355" s="142">
        <v>31</v>
      </c>
      <c r="M1355" s="142">
        <v>53</v>
      </c>
    </row>
    <row r="1356" spans="1:13" x14ac:dyDescent="0.45">
      <c r="A1356" s="142" t="s">
        <v>13032</v>
      </c>
      <c r="B1356" s="142" t="s">
        <v>14532</v>
      </c>
      <c r="C1356" s="142" t="s">
        <v>15860</v>
      </c>
      <c r="D1356" s="142" t="s">
        <v>15861</v>
      </c>
      <c r="E1356" s="142" t="s">
        <v>15849</v>
      </c>
      <c r="F1356" s="142" t="s">
        <v>9727</v>
      </c>
      <c r="G1356" s="142" t="s">
        <v>9726</v>
      </c>
      <c r="H1356" s="142" t="s">
        <v>17206</v>
      </c>
      <c r="I1356" s="142">
        <v>5</v>
      </c>
      <c r="J1356" s="142">
        <v>0</v>
      </c>
      <c r="K1356" s="142">
        <v>0</v>
      </c>
      <c r="L1356" s="142">
        <v>5</v>
      </c>
      <c r="M1356" s="142">
        <v>0</v>
      </c>
    </row>
    <row r="1357" spans="1:13" x14ac:dyDescent="0.45">
      <c r="A1357" s="142" t="s">
        <v>13033</v>
      </c>
      <c r="B1357" s="142" t="s">
        <v>15276</v>
      </c>
      <c r="C1357" s="142" t="s">
        <v>15847</v>
      </c>
      <c r="D1357" s="142" t="s">
        <v>15848</v>
      </c>
      <c r="E1357" s="142" t="s">
        <v>15849</v>
      </c>
      <c r="F1357" s="142" t="s">
        <v>9727</v>
      </c>
      <c r="G1357" s="142" t="s">
        <v>9726</v>
      </c>
      <c r="H1357" s="142" t="s">
        <v>17207</v>
      </c>
      <c r="I1357" s="142">
        <v>426</v>
      </c>
      <c r="J1357" s="142">
        <v>356</v>
      </c>
      <c r="K1357" s="142">
        <v>0</v>
      </c>
      <c r="L1357" s="142">
        <v>62</v>
      </c>
      <c r="M1357" s="142">
        <v>8</v>
      </c>
    </row>
    <row r="1358" spans="1:13" x14ac:dyDescent="0.45">
      <c r="A1358" s="142" t="s">
        <v>13034</v>
      </c>
      <c r="B1358" s="142" t="s">
        <v>15562</v>
      </c>
      <c r="C1358" s="142" t="s">
        <v>15847</v>
      </c>
      <c r="D1358" s="142" t="s">
        <v>15848</v>
      </c>
      <c r="E1358" s="142" t="s">
        <v>15849</v>
      </c>
      <c r="F1358" s="142" t="s">
        <v>9727</v>
      </c>
      <c r="G1358" s="142" t="s">
        <v>9726</v>
      </c>
      <c r="H1358" s="142" t="s">
        <v>17208</v>
      </c>
      <c r="I1358" s="142">
        <v>43</v>
      </c>
      <c r="J1358" s="142">
        <v>0</v>
      </c>
      <c r="K1358" s="142">
        <v>0</v>
      </c>
      <c r="L1358" s="142">
        <v>43</v>
      </c>
      <c r="M1358" s="142">
        <v>0</v>
      </c>
    </row>
    <row r="1359" spans="1:13" x14ac:dyDescent="0.45">
      <c r="A1359" s="142" t="s">
        <v>13414</v>
      </c>
      <c r="B1359" s="142" t="s">
        <v>15360</v>
      </c>
      <c r="C1359" s="142" t="s">
        <v>15860</v>
      </c>
      <c r="D1359" s="142" t="s">
        <v>15861</v>
      </c>
      <c r="E1359" s="142" t="s">
        <v>15849</v>
      </c>
      <c r="F1359" s="142" t="s">
        <v>9727</v>
      </c>
      <c r="G1359" s="142" t="s">
        <v>9726</v>
      </c>
      <c r="H1359" s="142" t="s">
        <v>17209</v>
      </c>
      <c r="I1359" s="142">
        <v>188</v>
      </c>
      <c r="J1359" s="142">
        <v>188</v>
      </c>
      <c r="K1359" s="142">
        <v>0</v>
      </c>
      <c r="L1359" s="142">
        <v>0</v>
      </c>
      <c r="M1359" s="142">
        <v>0</v>
      </c>
    </row>
    <row r="1360" spans="1:13" x14ac:dyDescent="0.45">
      <c r="A1360" s="142" t="s">
        <v>13036</v>
      </c>
      <c r="B1360" s="142" t="s">
        <v>15567</v>
      </c>
      <c r="C1360" s="142" t="s">
        <v>15847</v>
      </c>
      <c r="D1360" s="142" t="s">
        <v>15848</v>
      </c>
      <c r="E1360" s="142" t="s">
        <v>15849</v>
      </c>
      <c r="F1360" s="142" t="s">
        <v>9727</v>
      </c>
      <c r="G1360" s="142" t="s">
        <v>9726</v>
      </c>
      <c r="H1360" s="142" t="s">
        <v>17210</v>
      </c>
      <c r="I1360" s="142">
        <v>6</v>
      </c>
      <c r="J1360" s="142">
        <v>0</v>
      </c>
      <c r="K1360" s="142">
        <v>0</v>
      </c>
      <c r="L1360" s="142">
        <v>6</v>
      </c>
      <c r="M1360" s="142">
        <v>0</v>
      </c>
    </row>
    <row r="1361" spans="1:13" x14ac:dyDescent="0.45">
      <c r="A1361" s="142" t="s">
        <v>13277</v>
      </c>
      <c r="B1361" s="142" t="s">
        <v>14454</v>
      </c>
      <c r="C1361" s="142" t="s">
        <v>15847</v>
      </c>
      <c r="D1361" s="142" t="s">
        <v>15848</v>
      </c>
      <c r="E1361" s="142" t="s">
        <v>15849</v>
      </c>
      <c r="F1361" s="142" t="s">
        <v>9727</v>
      </c>
      <c r="G1361" s="142" t="s">
        <v>9726</v>
      </c>
      <c r="H1361" s="142" t="s">
        <v>17211</v>
      </c>
      <c r="I1361" s="142">
        <v>65</v>
      </c>
      <c r="J1361" s="142">
        <v>0</v>
      </c>
      <c r="K1361" s="142">
        <v>0</v>
      </c>
      <c r="L1361" s="142">
        <v>65</v>
      </c>
      <c r="M1361" s="142">
        <v>0</v>
      </c>
    </row>
    <row r="1362" spans="1:13" x14ac:dyDescent="0.45">
      <c r="A1362" s="142" t="s">
        <v>13037</v>
      </c>
      <c r="B1362" s="142" t="s">
        <v>14519</v>
      </c>
      <c r="C1362" s="142" t="s">
        <v>15847</v>
      </c>
      <c r="D1362" s="142" t="s">
        <v>15848</v>
      </c>
      <c r="E1362" s="142" t="s">
        <v>15849</v>
      </c>
      <c r="F1362" s="142" t="s">
        <v>9727</v>
      </c>
      <c r="G1362" s="142" t="s">
        <v>9726</v>
      </c>
      <c r="H1362" s="142" t="s">
        <v>17212</v>
      </c>
      <c r="I1362" s="142">
        <v>1</v>
      </c>
      <c r="J1362" s="142">
        <v>0</v>
      </c>
      <c r="K1362" s="142">
        <v>0</v>
      </c>
      <c r="L1362" s="142">
        <v>1</v>
      </c>
      <c r="M1362" s="142">
        <v>0</v>
      </c>
    </row>
    <row r="1363" spans="1:13" x14ac:dyDescent="0.45">
      <c r="A1363" s="142" t="s">
        <v>13009</v>
      </c>
      <c r="B1363" s="142" t="s">
        <v>15256</v>
      </c>
      <c r="C1363" s="142" t="s">
        <v>15847</v>
      </c>
      <c r="D1363" s="142" t="s">
        <v>15848</v>
      </c>
      <c r="E1363" s="142" t="s">
        <v>15849</v>
      </c>
      <c r="F1363" s="142" t="s">
        <v>9727</v>
      </c>
      <c r="G1363" s="142" t="s">
        <v>9726</v>
      </c>
      <c r="H1363" s="142" t="s">
        <v>17213</v>
      </c>
      <c r="I1363" s="142">
        <v>199</v>
      </c>
      <c r="J1363" s="142">
        <v>116</v>
      </c>
      <c r="K1363" s="142">
        <v>0</v>
      </c>
      <c r="L1363" s="142">
        <v>83</v>
      </c>
      <c r="M1363" s="142">
        <v>0</v>
      </c>
    </row>
    <row r="1364" spans="1:13" x14ac:dyDescent="0.45">
      <c r="A1364" s="142" t="s">
        <v>13415</v>
      </c>
      <c r="B1364" s="142" t="s">
        <v>14435</v>
      </c>
      <c r="C1364" s="142" t="s">
        <v>15860</v>
      </c>
      <c r="D1364" s="142" t="s">
        <v>15861</v>
      </c>
      <c r="E1364" s="142" t="s">
        <v>15849</v>
      </c>
      <c r="F1364" s="142" t="s">
        <v>9727</v>
      </c>
      <c r="G1364" s="142" t="s">
        <v>9726</v>
      </c>
      <c r="H1364" s="142" t="s">
        <v>17214</v>
      </c>
      <c r="I1364" s="142">
        <v>103</v>
      </c>
      <c r="J1364" s="142">
        <v>63</v>
      </c>
      <c r="K1364" s="142">
        <v>0</v>
      </c>
      <c r="L1364" s="142">
        <v>40</v>
      </c>
      <c r="M1364" s="142">
        <v>0</v>
      </c>
    </row>
    <row r="1365" spans="1:13" x14ac:dyDescent="0.45">
      <c r="A1365" s="142" t="s">
        <v>13014</v>
      </c>
      <c r="B1365" s="142" t="s">
        <v>14505</v>
      </c>
      <c r="C1365" s="142" t="s">
        <v>15847</v>
      </c>
      <c r="D1365" s="142" t="s">
        <v>15848</v>
      </c>
      <c r="E1365" s="142" t="s">
        <v>15849</v>
      </c>
      <c r="F1365" s="142" t="s">
        <v>9727</v>
      </c>
      <c r="G1365" s="142" t="s">
        <v>9726</v>
      </c>
      <c r="H1365" s="142" t="s">
        <v>17215</v>
      </c>
      <c r="I1365" s="142">
        <v>241</v>
      </c>
      <c r="J1365" s="142">
        <v>196</v>
      </c>
      <c r="K1365" s="142">
        <v>0</v>
      </c>
      <c r="L1365" s="142">
        <v>37</v>
      </c>
      <c r="M1365" s="142">
        <v>8</v>
      </c>
    </row>
    <row r="1366" spans="1:13" x14ac:dyDescent="0.45">
      <c r="A1366" s="142" t="s">
        <v>13042</v>
      </c>
      <c r="B1366" s="142" t="s">
        <v>15489</v>
      </c>
      <c r="C1366" s="142" t="s">
        <v>15847</v>
      </c>
      <c r="D1366" s="142" t="s">
        <v>15848</v>
      </c>
      <c r="E1366" s="142" t="s">
        <v>15849</v>
      </c>
      <c r="F1366" s="142" t="s">
        <v>9727</v>
      </c>
      <c r="G1366" s="142" t="s">
        <v>9726</v>
      </c>
      <c r="H1366" s="142" t="s">
        <v>17216</v>
      </c>
      <c r="I1366" s="142">
        <v>1</v>
      </c>
      <c r="J1366" s="142">
        <v>1</v>
      </c>
      <c r="K1366" s="142">
        <v>0</v>
      </c>
      <c r="L1366" s="142">
        <v>0</v>
      </c>
      <c r="M1366" s="142">
        <v>0</v>
      </c>
    </row>
    <row r="1367" spans="1:13" x14ac:dyDescent="0.45">
      <c r="A1367" s="142" t="s">
        <v>13416</v>
      </c>
      <c r="B1367" s="142" t="s">
        <v>15225</v>
      </c>
      <c r="C1367" s="142" t="s">
        <v>15860</v>
      </c>
      <c r="D1367" s="142" t="s">
        <v>15861</v>
      </c>
      <c r="E1367" s="142" t="s">
        <v>15849</v>
      </c>
      <c r="F1367" s="142" t="s">
        <v>9727</v>
      </c>
      <c r="G1367" s="142" t="s">
        <v>9726</v>
      </c>
      <c r="H1367" s="142" t="s">
        <v>17217</v>
      </c>
      <c r="I1367" s="142">
        <v>26</v>
      </c>
      <c r="J1367" s="142">
        <v>0</v>
      </c>
      <c r="K1367" s="142">
        <v>0</v>
      </c>
      <c r="L1367" s="142">
        <v>26</v>
      </c>
      <c r="M1367" s="142">
        <v>0</v>
      </c>
    </row>
    <row r="1368" spans="1:13" x14ac:dyDescent="0.45">
      <c r="A1368" s="142" t="s">
        <v>13286</v>
      </c>
      <c r="B1368" s="142" t="s">
        <v>15342</v>
      </c>
      <c r="C1368" s="142" t="s">
        <v>15847</v>
      </c>
      <c r="D1368" s="142" t="s">
        <v>15848</v>
      </c>
      <c r="E1368" s="142" t="s">
        <v>15849</v>
      </c>
      <c r="F1368" s="142" t="s">
        <v>9727</v>
      </c>
      <c r="G1368" s="142" t="s">
        <v>9726</v>
      </c>
      <c r="H1368" s="142" t="s">
        <v>17218</v>
      </c>
      <c r="I1368" s="142">
        <v>64</v>
      </c>
      <c r="J1368" s="142">
        <v>58</v>
      </c>
      <c r="K1368" s="142">
        <v>0</v>
      </c>
      <c r="L1368" s="142">
        <v>6</v>
      </c>
      <c r="M1368" s="142">
        <v>0</v>
      </c>
    </row>
    <row r="1369" spans="1:13" x14ac:dyDescent="0.45">
      <c r="A1369" s="142" t="s">
        <v>13312</v>
      </c>
      <c r="B1369" s="142" t="s">
        <v>14640</v>
      </c>
      <c r="C1369" s="142" t="s">
        <v>15860</v>
      </c>
      <c r="D1369" s="142" t="s">
        <v>15861</v>
      </c>
      <c r="E1369" s="142" t="s">
        <v>15849</v>
      </c>
      <c r="F1369" s="142" t="s">
        <v>10978</v>
      </c>
      <c r="G1369" s="142" t="s">
        <v>10977</v>
      </c>
      <c r="H1369" s="142" t="s">
        <v>17219</v>
      </c>
      <c r="I1369" s="142">
        <v>12</v>
      </c>
      <c r="J1369" s="142">
        <v>0</v>
      </c>
      <c r="K1369" s="142">
        <v>0</v>
      </c>
      <c r="L1369" s="142">
        <v>12</v>
      </c>
      <c r="M1369" s="142">
        <v>0</v>
      </c>
    </row>
    <row r="1370" spans="1:13" x14ac:dyDescent="0.45">
      <c r="A1370" s="142" t="s">
        <v>13072</v>
      </c>
      <c r="B1370" s="142" t="s">
        <v>15530</v>
      </c>
      <c r="C1370" s="142" t="s">
        <v>15847</v>
      </c>
      <c r="D1370" s="142" t="s">
        <v>15848</v>
      </c>
      <c r="E1370" s="142" t="s">
        <v>15849</v>
      </c>
      <c r="F1370" s="142" t="s">
        <v>10978</v>
      </c>
      <c r="G1370" s="142" t="s">
        <v>10977</v>
      </c>
      <c r="H1370" s="142" t="s">
        <v>17220</v>
      </c>
      <c r="I1370" s="142">
        <v>207</v>
      </c>
      <c r="J1370" s="142">
        <v>200</v>
      </c>
      <c r="K1370" s="142">
        <v>0</v>
      </c>
      <c r="L1370" s="142">
        <v>0</v>
      </c>
      <c r="M1370" s="142">
        <v>7</v>
      </c>
    </row>
    <row r="1371" spans="1:13" x14ac:dyDescent="0.45">
      <c r="A1371" s="142" t="s">
        <v>13023</v>
      </c>
      <c r="B1371" s="142" t="s">
        <v>15571</v>
      </c>
      <c r="C1371" s="142" t="s">
        <v>15847</v>
      </c>
      <c r="D1371" s="142" t="s">
        <v>15848</v>
      </c>
      <c r="E1371" s="142" t="s">
        <v>15849</v>
      </c>
      <c r="F1371" s="142" t="s">
        <v>10978</v>
      </c>
      <c r="G1371" s="142" t="s">
        <v>10977</v>
      </c>
      <c r="H1371" s="142" t="s">
        <v>17221</v>
      </c>
      <c r="I1371" s="142">
        <v>208</v>
      </c>
      <c r="J1371" s="142">
        <v>0</v>
      </c>
      <c r="K1371" s="142">
        <v>0</v>
      </c>
      <c r="L1371" s="142">
        <v>208</v>
      </c>
      <c r="M1371" s="142">
        <v>0</v>
      </c>
    </row>
    <row r="1372" spans="1:13" x14ac:dyDescent="0.45">
      <c r="A1372" s="142" t="s">
        <v>13113</v>
      </c>
      <c r="B1372" s="142" t="s">
        <v>14503</v>
      </c>
      <c r="C1372" s="142" t="s">
        <v>15860</v>
      </c>
      <c r="D1372" s="142" t="s">
        <v>15861</v>
      </c>
      <c r="E1372" s="142" t="s">
        <v>15849</v>
      </c>
      <c r="F1372" s="142" t="s">
        <v>10978</v>
      </c>
      <c r="G1372" s="142" t="s">
        <v>10977</v>
      </c>
      <c r="H1372" s="142" t="s">
        <v>17222</v>
      </c>
      <c r="I1372" s="142">
        <v>2</v>
      </c>
      <c r="J1372" s="142">
        <v>2</v>
      </c>
      <c r="K1372" s="142">
        <v>0</v>
      </c>
      <c r="L1372" s="142">
        <v>0</v>
      </c>
      <c r="M1372" s="142">
        <v>0</v>
      </c>
    </row>
    <row r="1373" spans="1:13" x14ac:dyDescent="0.45">
      <c r="A1373" s="142" t="s">
        <v>13147</v>
      </c>
      <c r="B1373" s="142" t="s">
        <v>14529</v>
      </c>
      <c r="C1373" s="142" t="s">
        <v>15860</v>
      </c>
      <c r="D1373" s="142" t="s">
        <v>15861</v>
      </c>
      <c r="E1373" s="142" t="s">
        <v>15849</v>
      </c>
      <c r="F1373" s="142" t="s">
        <v>10978</v>
      </c>
      <c r="G1373" s="142" t="s">
        <v>10977</v>
      </c>
      <c r="H1373" s="142" t="s">
        <v>17223</v>
      </c>
      <c r="I1373" s="142">
        <v>1</v>
      </c>
      <c r="J1373" s="142">
        <v>1</v>
      </c>
      <c r="K1373" s="142">
        <v>0</v>
      </c>
      <c r="L1373" s="142">
        <v>0</v>
      </c>
      <c r="M1373" s="142">
        <v>0</v>
      </c>
    </row>
    <row r="1374" spans="1:13" x14ac:dyDescent="0.45">
      <c r="A1374" s="142" t="s">
        <v>13065</v>
      </c>
      <c r="B1374" s="142" t="s">
        <v>14497</v>
      </c>
      <c r="C1374" s="142" t="s">
        <v>15847</v>
      </c>
      <c r="D1374" s="142" t="s">
        <v>15848</v>
      </c>
      <c r="E1374" s="142" t="s">
        <v>15849</v>
      </c>
      <c r="F1374" s="142" t="s">
        <v>10978</v>
      </c>
      <c r="G1374" s="142" t="s">
        <v>10977</v>
      </c>
      <c r="H1374" s="142" t="s">
        <v>17224</v>
      </c>
      <c r="I1374" s="142">
        <v>11</v>
      </c>
      <c r="J1374" s="142">
        <v>0</v>
      </c>
      <c r="K1374" s="142">
        <v>0</v>
      </c>
      <c r="L1374" s="142">
        <v>11</v>
      </c>
      <c r="M1374" s="142">
        <v>0</v>
      </c>
    </row>
    <row r="1375" spans="1:13" x14ac:dyDescent="0.45">
      <c r="A1375" s="142" t="s">
        <v>13417</v>
      </c>
      <c r="B1375" s="142" t="s">
        <v>14626</v>
      </c>
      <c r="C1375" s="142" t="s">
        <v>15860</v>
      </c>
      <c r="D1375" s="142" t="s">
        <v>15861</v>
      </c>
      <c r="E1375" s="142" t="s">
        <v>15849</v>
      </c>
      <c r="F1375" s="142" t="s">
        <v>10978</v>
      </c>
      <c r="G1375" s="142" t="s">
        <v>10977</v>
      </c>
      <c r="H1375" s="142" t="s">
        <v>17225</v>
      </c>
      <c r="I1375" s="142">
        <v>8</v>
      </c>
      <c r="J1375" s="142">
        <v>8</v>
      </c>
      <c r="K1375" s="142">
        <v>0</v>
      </c>
      <c r="L1375" s="142">
        <v>0</v>
      </c>
      <c r="M1375" s="142">
        <v>0</v>
      </c>
    </row>
    <row r="1376" spans="1:13" x14ac:dyDescent="0.45">
      <c r="A1376" s="142" t="s">
        <v>13418</v>
      </c>
      <c r="B1376" s="142" t="s">
        <v>14885</v>
      </c>
      <c r="C1376" s="142" t="s">
        <v>15860</v>
      </c>
      <c r="D1376" s="142" t="s">
        <v>15861</v>
      </c>
      <c r="E1376" s="142" t="s">
        <v>15849</v>
      </c>
      <c r="F1376" s="142" t="s">
        <v>10978</v>
      </c>
      <c r="G1376" s="142" t="s">
        <v>10977</v>
      </c>
      <c r="H1376" s="142" t="s">
        <v>17226</v>
      </c>
      <c r="I1376" s="142">
        <v>4</v>
      </c>
      <c r="J1376" s="142">
        <v>0</v>
      </c>
      <c r="K1376" s="142">
        <v>0</v>
      </c>
      <c r="L1376" s="142">
        <v>4</v>
      </c>
      <c r="M1376" s="142">
        <v>0</v>
      </c>
    </row>
    <row r="1377" spans="1:13" x14ac:dyDescent="0.45">
      <c r="A1377" s="142" t="s">
        <v>13320</v>
      </c>
      <c r="B1377" s="142" t="s">
        <v>14575</v>
      </c>
      <c r="C1377" s="142" t="s">
        <v>15860</v>
      </c>
      <c r="D1377" s="142" t="s">
        <v>15861</v>
      </c>
      <c r="E1377" s="142" t="s">
        <v>15849</v>
      </c>
      <c r="F1377" s="142" t="s">
        <v>10978</v>
      </c>
      <c r="G1377" s="142" t="s">
        <v>10977</v>
      </c>
      <c r="H1377" s="142" t="s">
        <v>17227</v>
      </c>
      <c r="I1377" s="142">
        <v>75</v>
      </c>
      <c r="J1377" s="142">
        <v>0</v>
      </c>
      <c r="K1377" s="142">
        <v>0</v>
      </c>
      <c r="L1377" s="142">
        <v>75</v>
      </c>
      <c r="M1377" s="142">
        <v>0</v>
      </c>
    </row>
    <row r="1378" spans="1:13" x14ac:dyDescent="0.45">
      <c r="A1378" s="142" t="s">
        <v>13321</v>
      </c>
      <c r="B1378" s="142" t="s">
        <v>15367</v>
      </c>
      <c r="C1378" s="142" t="s">
        <v>15847</v>
      </c>
      <c r="D1378" s="142" t="s">
        <v>15848</v>
      </c>
      <c r="E1378" s="142" t="s">
        <v>15849</v>
      </c>
      <c r="F1378" s="142" t="s">
        <v>10978</v>
      </c>
      <c r="G1378" s="142" t="s">
        <v>10977</v>
      </c>
      <c r="H1378" s="142" t="s">
        <v>17228</v>
      </c>
      <c r="I1378" s="142">
        <v>220</v>
      </c>
      <c r="J1378" s="142">
        <v>148</v>
      </c>
      <c r="K1378" s="142">
        <v>0</v>
      </c>
      <c r="L1378" s="142">
        <v>70</v>
      </c>
      <c r="M1378" s="142">
        <v>2</v>
      </c>
    </row>
    <row r="1379" spans="1:13" x14ac:dyDescent="0.45">
      <c r="A1379" s="142" t="s">
        <v>13238</v>
      </c>
      <c r="B1379" s="142" t="s">
        <v>14477</v>
      </c>
      <c r="C1379" s="142" t="s">
        <v>15860</v>
      </c>
      <c r="D1379" s="142" t="s">
        <v>15861</v>
      </c>
      <c r="E1379" s="142" t="s">
        <v>15849</v>
      </c>
      <c r="F1379" s="142" t="s">
        <v>10978</v>
      </c>
      <c r="G1379" s="142" t="s">
        <v>10977</v>
      </c>
      <c r="H1379" s="142" t="s">
        <v>17229</v>
      </c>
      <c r="I1379" s="142">
        <v>7</v>
      </c>
      <c r="J1379" s="142">
        <v>0</v>
      </c>
      <c r="K1379" s="142">
        <v>0</v>
      </c>
      <c r="L1379" s="142">
        <v>7</v>
      </c>
      <c r="M1379" s="142">
        <v>0</v>
      </c>
    </row>
    <row r="1380" spans="1:13" x14ac:dyDescent="0.45">
      <c r="A1380" s="142" t="s">
        <v>13419</v>
      </c>
      <c r="B1380" s="142" t="s">
        <v>14746</v>
      </c>
      <c r="C1380" s="142" t="s">
        <v>15860</v>
      </c>
      <c r="D1380" s="142" t="s">
        <v>15861</v>
      </c>
      <c r="E1380" s="142" t="s">
        <v>15849</v>
      </c>
      <c r="F1380" s="142" t="s">
        <v>10978</v>
      </c>
      <c r="G1380" s="142" t="s">
        <v>10977</v>
      </c>
      <c r="H1380" s="142" t="s">
        <v>17230</v>
      </c>
      <c r="I1380" s="142">
        <v>21</v>
      </c>
      <c r="J1380" s="142">
        <v>21</v>
      </c>
      <c r="K1380" s="142">
        <v>0</v>
      </c>
      <c r="L1380" s="142">
        <v>0</v>
      </c>
      <c r="M1380" s="142">
        <v>0</v>
      </c>
    </row>
    <row r="1381" spans="1:13" x14ac:dyDescent="0.45">
      <c r="A1381" s="142" t="s">
        <v>13027</v>
      </c>
      <c r="B1381" s="142" t="s">
        <v>14562</v>
      </c>
      <c r="C1381" s="142" t="s">
        <v>15847</v>
      </c>
      <c r="D1381" s="142" t="s">
        <v>15848</v>
      </c>
      <c r="E1381" s="142" t="s">
        <v>15849</v>
      </c>
      <c r="F1381" s="142" t="s">
        <v>10978</v>
      </c>
      <c r="G1381" s="142" t="s">
        <v>10977</v>
      </c>
      <c r="H1381" s="142" t="s">
        <v>17231</v>
      </c>
      <c r="I1381" s="142">
        <v>34</v>
      </c>
      <c r="J1381" s="142">
        <v>0</v>
      </c>
      <c r="K1381" s="142">
        <v>0</v>
      </c>
      <c r="L1381" s="142">
        <v>34</v>
      </c>
      <c r="M1381" s="142">
        <v>0</v>
      </c>
    </row>
    <row r="1382" spans="1:13" x14ac:dyDescent="0.45">
      <c r="A1382" s="142" t="s">
        <v>13028</v>
      </c>
      <c r="B1382" s="142" t="s">
        <v>14462</v>
      </c>
      <c r="C1382" s="142" t="s">
        <v>15847</v>
      </c>
      <c r="D1382" s="142" t="s">
        <v>15848</v>
      </c>
      <c r="E1382" s="142" t="s">
        <v>15849</v>
      </c>
      <c r="F1382" s="142" t="s">
        <v>10978</v>
      </c>
      <c r="G1382" s="142" t="s">
        <v>10977</v>
      </c>
      <c r="H1382" s="142" t="s">
        <v>17232</v>
      </c>
      <c r="I1382" s="142">
        <v>6</v>
      </c>
      <c r="J1382" s="142">
        <v>0</v>
      </c>
      <c r="K1382" s="142">
        <v>0</v>
      </c>
      <c r="L1382" s="142">
        <v>0</v>
      </c>
      <c r="M1382" s="142">
        <v>6</v>
      </c>
    </row>
    <row r="1383" spans="1:13" x14ac:dyDescent="0.45">
      <c r="A1383" s="142" t="s">
        <v>13150</v>
      </c>
      <c r="B1383" s="142" t="s">
        <v>14539</v>
      </c>
      <c r="C1383" s="142" t="s">
        <v>15860</v>
      </c>
      <c r="D1383" s="142" t="s">
        <v>15861</v>
      </c>
      <c r="E1383" s="142" t="s">
        <v>15849</v>
      </c>
      <c r="F1383" s="142" t="s">
        <v>10978</v>
      </c>
      <c r="G1383" s="142" t="s">
        <v>10977</v>
      </c>
      <c r="H1383" s="142" t="s">
        <v>17233</v>
      </c>
      <c r="I1383" s="142">
        <v>59</v>
      </c>
      <c r="J1383" s="142">
        <v>0</v>
      </c>
      <c r="K1383" s="142">
        <v>0</v>
      </c>
      <c r="L1383" s="142">
        <v>59</v>
      </c>
      <c r="M1383" s="142">
        <v>0</v>
      </c>
    </row>
    <row r="1384" spans="1:13" x14ac:dyDescent="0.45">
      <c r="A1384" s="142" t="s">
        <v>13160</v>
      </c>
      <c r="B1384" s="142" t="s">
        <v>14525</v>
      </c>
      <c r="C1384" s="142" t="s">
        <v>15847</v>
      </c>
      <c r="D1384" s="142" t="s">
        <v>15848</v>
      </c>
      <c r="E1384" s="142" t="s">
        <v>15849</v>
      </c>
      <c r="F1384" s="142" t="s">
        <v>10978</v>
      </c>
      <c r="G1384" s="142" t="s">
        <v>10977</v>
      </c>
      <c r="H1384" s="142" t="s">
        <v>17234</v>
      </c>
      <c r="I1384" s="142">
        <v>24</v>
      </c>
      <c r="J1384" s="142">
        <v>0</v>
      </c>
      <c r="K1384" s="142">
        <v>0</v>
      </c>
      <c r="L1384" s="142">
        <v>24</v>
      </c>
      <c r="M1384" s="142">
        <v>0</v>
      </c>
    </row>
    <row r="1385" spans="1:13" x14ac:dyDescent="0.45">
      <c r="A1385" s="142" t="s">
        <v>13002</v>
      </c>
      <c r="B1385" s="142" t="s">
        <v>15376</v>
      </c>
      <c r="C1385" s="142" t="s">
        <v>15847</v>
      </c>
      <c r="D1385" s="142" t="s">
        <v>15848</v>
      </c>
      <c r="E1385" s="142" t="s">
        <v>15849</v>
      </c>
      <c r="F1385" s="142" t="s">
        <v>10978</v>
      </c>
      <c r="G1385" s="142" t="s">
        <v>10977</v>
      </c>
      <c r="H1385" s="142" t="s">
        <v>17235</v>
      </c>
      <c r="I1385" s="142">
        <v>573</v>
      </c>
      <c r="J1385" s="142">
        <v>485</v>
      </c>
      <c r="K1385" s="142">
        <v>0</v>
      </c>
      <c r="L1385" s="142">
        <v>83</v>
      </c>
      <c r="M1385" s="142">
        <v>5</v>
      </c>
    </row>
    <row r="1386" spans="1:13" x14ac:dyDescent="0.45">
      <c r="A1386" s="142" t="s">
        <v>13003</v>
      </c>
      <c r="B1386" s="142" t="s">
        <v>15245</v>
      </c>
      <c r="C1386" s="142" t="s">
        <v>15847</v>
      </c>
      <c r="D1386" s="142" t="s">
        <v>15848</v>
      </c>
      <c r="E1386" s="142" t="s">
        <v>15849</v>
      </c>
      <c r="F1386" s="142" t="s">
        <v>10978</v>
      </c>
      <c r="G1386" s="142" t="s">
        <v>10977</v>
      </c>
      <c r="H1386" s="142" t="s">
        <v>17236</v>
      </c>
      <c r="I1386" s="142">
        <v>131</v>
      </c>
      <c r="J1386" s="142">
        <v>0</v>
      </c>
      <c r="K1386" s="142">
        <v>0</v>
      </c>
      <c r="L1386" s="142">
        <v>131</v>
      </c>
      <c r="M1386" s="142">
        <v>0</v>
      </c>
    </row>
    <row r="1387" spans="1:13" x14ac:dyDescent="0.45">
      <c r="A1387" s="142" t="s">
        <v>13420</v>
      </c>
      <c r="B1387" s="142" t="s">
        <v>14576</v>
      </c>
      <c r="C1387" s="142" t="s">
        <v>15860</v>
      </c>
      <c r="D1387" s="142" t="s">
        <v>15861</v>
      </c>
      <c r="E1387" s="142" t="s">
        <v>15849</v>
      </c>
      <c r="F1387" s="142" t="s">
        <v>10978</v>
      </c>
      <c r="G1387" s="142" t="s">
        <v>10977</v>
      </c>
      <c r="H1387" s="142" t="s">
        <v>17237</v>
      </c>
      <c r="I1387" s="142">
        <v>5</v>
      </c>
      <c r="J1387" s="142">
        <v>0</v>
      </c>
      <c r="K1387" s="142">
        <v>0</v>
      </c>
      <c r="L1387" s="142">
        <v>5</v>
      </c>
      <c r="M1387" s="142">
        <v>0</v>
      </c>
    </row>
    <row r="1388" spans="1:13" x14ac:dyDescent="0.45">
      <c r="A1388" s="142" t="s">
        <v>13066</v>
      </c>
      <c r="B1388" s="142" t="s">
        <v>14459</v>
      </c>
      <c r="C1388" s="142" t="s">
        <v>15847</v>
      </c>
      <c r="D1388" s="142" t="s">
        <v>15848</v>
      </c>
      <c r="E1388" s="142" t="s">
        <v>15849</v>
      </c>
      <c r="F1388" s="142" t="s">
        <v>10978</v>
      </c>
      <c r="G1388" s="142" t="s">
        <v>10977</v>
      </c>
      <c r="H1388" s="142" t="s">
        <v>17238</v>
      </c>
      <c r="I1388" s="142">
        <v>42</v>
      </c>
      <c r="J1388" s="142">
        <v>0</v>
      </c>
      <c r="K1388" s="142">
        <v>0</v>
      </c>
      <c r="L1388" s="142">
        <v>42</v>
      </c>
      <c r="M1388" s="142">
        <v>0</v>
      </c>
    </row>
    <row r="1389" spans="1:13" x14ac:dyDescent="0.45">
      <c r="A1389" s="142" t="s">
        <v>13421</v>
      </c>
      <c r="B1389" s="142" t="s">
        <v>14764</v>
      </c>
      <c r="C1389" s="142" t="s">
        <v>15860</v>
      </c>
      <c r="D1389" s="142" t="s">
        <v>15861</v>
      </c>
      <c r="E1389" s="142" t="s">
        <v>15849</v>
      </c>
      <c r="F1389" s="142" t="s">
        <v>10978</v>
      </c>
      <c r="G1389" s="142" t="s">
        <v>10977</v>
      </c>
      <c r="H1389" s="142" t="s">
        <v>17239</v>
      </c>
      <c r="I1389" s="142">
        <v>32</v>
      </c>
      <c r="J1389" s="142">
        <v>0</v>
      </c>
      <c r="K1389" s="142">
        <v>0</v>
      </c>
      <c r="L1389" s="142">
        <v>32</v>
      </c>
      <c r="M1389" s="142">
        <v>0</v>
      </c>
    </row>
    <row r="1390" spans="1:13" x14ac:dyDescent="0.45">
      <c r="A1390" s="142" t="s">
        <v>13249</v>
      </c>
      <c r="B1390" s="142" t="s">
        <v>14602</v>
      </c>
      <c r="C1390" s="142" t="s">
        <v>15847</v>
      </c>
      <c r="D1390" s="142" t="s">
        <v>15848</v>
      </c>
      <c r="E1390" s="142" t="s">
        <v>15849</v>
      </c>
      <c r="F1390" s="142" t="s">
        <v>10978</v>
      </c>
      <c r="G1390" s="142" t="s">
        <v>10977</v>
      </c>
      <c r="H1390" s="142" t="s">
        <v>17240</v>
      </c>
      <c r="I1390" s="142">
        <v>158</v>
      </c>
      <c r="J1390" s="142">
        <v>119</v>
      </c>
      <c r="K1390" s="142">
        <v>0</v>
      </c>
      <c r="L1390" s="142">
        <v>26</v>
      </c>
      <c r="M1390" s="142">
        <v>13</v>
      </c>
    </row>
    <row r="1391" spans="1:13" x14ac:dyDescent="0.45">
      <c r="A1391" s="142" t="s">
        <v>13033</v>
      </c>
      <c r="B1391" s="142" t="s">
        <v>15276</v>
      </c>
      <c r="C1391" s="142" t="s">
        <v>15847</v>
      </c>
      <c r="D1391" s="142" t="s">
        <v>15848</v>
      </c>
      <c r="E1391" s="142" t="s">
        <v>15849</v>
      </c>
      <c r="F1391" s="142" t="s">
        <v>10978</v>
      </c>
      <c r="G1391" s="142" t="s">
        <v>10977</v>
      </c>
      <c r="H1391" s="142" t="s">
        <v>17241</v>
      </c>
      <c r="I1391" s="142">
        <v>518</v>
      </c>
      <c r="J1391" s="142">
        <v>341</v>
      </c>
      <c r="K1391" s="142">
        <v>0</v>
      </c>
      <c r="L1391" s="142">
        <v>104</v>
      </c>
      <c r="M1391" s="142">
        <v>73</v>
      </c>
    </row>
    <row r="1392" spans="1:13" x14ac:dyDescent="0.45">
      <c r="A1392" s="142" t="s">
        <v>13034</v>
      </c>
      <c r="B1392" s="142" t="s">
        <v>15562</v>
      </c>
      <c r="C1392" s="142" t="s">
        <v>15847</v>
      </c>
      <c r="D1392" s="142" t="s">
        <v>15848</v>
      </c>
      <c r="E1392" s="142" t="s">
        <v>15849</v>
      </c>
      <c r="F1392" s="142" t="s">
        <v>10978</v>
      </c>
      <c r="G1392" s="142" t="s">
        <v>10977</v>
      </c>
      <c r="H1392" s="142" t="s">
        <v>17242</v>
      </c>
      <c r="I1392" s="142">
        <v>29</v>
      </c>
      <c r="J1392" s="142">
        <v>0</v>
      </c>
      <c r="K1392" s="142">
        <v>0</v>
      </c>
      <c r="L1392" s="142">
        <v>29</v>
      </c>
      <c r="M1392" s="142">
        <v>0</v>
      </c>
    </row>
    <row r="1393" spans="1:13" x14ac:dyDescent="0.45">
      <c r="A1393" s="142" t="s">
        <v>13091</v>
      </c>
      <c r="B1393" s="142" t="s">
        <v>14473</v>
      </c>
      <c r="C1393" s="142" t="s">
        <v>15847</v>
      </c>
      <c r="D1393" s="142" t="s">
        <v>15848</v>
      </c>
      <c r="E1393" s="142" t="s">
        <v>15849</v>
      </c>
      <c r="F1393" s="142" t="s">
        <v>10978</v>
      </c>
      <c r="G1393" s="142" t="s">
        <v>10977</v>
      </c>
      <c r="H1393" s="142" t="s">
        <v>17243</v>
      </c>
      <c r="I1393" s="142">
        <v>5</v>
      </c>
      <c r="J1393" s="142">
        <v>0</v>
      </c>
      <c r="K1393" s="142">
        <v>0</v>
      </c>
      <c r="L1393" s="142">
        <v>5</v>
      </c>
      <c r="M1393" s="142">
        <v>0</v>
      </c>
    </row>
    <row r="1394" spans="1:13" x14ac:dyDescent="0.45">
      <c r="A1394" s="142" t="s">
        <v>13009</v>
      </c>
      <c r="B1394" s="142" t="s">
        <v>15256</v>
      </c>
      <c r="C1394" s="142" t="s">
        <v>15847</v>
      </c>
      <c r="D1394" s="142" t="s">
        <v>15848</v>
      </c>
      <c r="E1394" s="142" t="s">
        <v>15849</v>
      </c>
      <c r="F1394" s="142" t="s">
        <v>10978</v>
      </c>
      <c r="G1394" s="142" t="s">
        <v>10977</v>
      </c>
      <c r="H1394" s="142" t="s">
        <v>17244</v>
      </c>
      <c r="I1394" s="142">
        <v>481</v>
      </c>
      <c r="J1394" s="142">
        <v>440</v>
      </c>
      <c r="K1394" s="142">
        <v>0</v>
      </c>
      <c r="L1394" s="142">
        <v>26</v>
      </c>
      <c r="M1394" s="142">
        <v>15</v>
      </c>
    </row>
    <row r="1395" spans="1:13" x14ac:dyDescent="0.45">
      <c r="A1395" s="142" t="s">
        <v>13012</v>
      </c>
      <c r="B1395" s="142" t="s">
        <v>15337</v>
      </c>
      <c r="C1395" s="142" t="s">
        <v>15847</v>
      </c>
      <c r="D1395" s="142" t="s">
        <v>15848</v>
      </c>
      <c r="E1395" s="142" t="s">
        <v>15849</v>
      </c>
      <c r="F1395" s="142" t="s">
        <v>10978</v>
      </c>
      <c r="G1395" s="142" t="s">
        <v>10977</v>
      </c>
      <c r="H1395" s="142" t="s">
        <v>17245</v>
      </c>
      <c r="I1395" s="142">
        <v>575</v>
      </c>
      <c r="J1395" s="142">
        <v>485</v>
      </c>
      <c r="K1395" s="142">
        <v>0</v>
      </c>
      <c r="L1395" s="142">
        <v>85</v>
      </c>
      <c r="M1395" s="142">
        <v>5</v>
      </c>
    </row>
    <row r="1396" spans="1:13" x14ac:dyDescent="0.45">
      <c r="A1396" s="142" t="s">
        <v>13285</v>
      </c>
      <c r="B1396" s="142" t="s">
        <v>15158</v>
      </c>
      <c r="C1396" s="142" t="s">
        <v>15860</v>
      </c>
      <c r="D1396" s="142" t="s">
        <v>15861</v>
      </c>
      <c r="E1396" s="142" t="s">
        <v>15849</v>
      </c>
      <c r="F1396" s="142" t="s">
        <v>10978</v>
      </c>
      <c r="G1396" s="142" t="s">
        <v>10977</v>
      </c>
      <c r="H1396" s="142" t="s">
        <v>17246</v>
      </c>
      <c r="I1396" s="142">
        <v>22</v>
      </c>
      <c r="J1396" s="142">
        <v>0</v>
      </c>
      <c r="K1396" s="142">
        <v>0</v>
      </c>
      <c r="L1396" s="142">
        <v>22</v>
      </c>
      <c r="M1396" s="142">
        <v>0</v>
      </c>
    </row>
    <row r="1397" spans="1:13" x14ac:dyDescent="0.45">
      <c r="A1397" s="142" t="s">
        <v>13014</v>
      </c>
      <c r="B1397" s="142" t="s">
        <v>14505</v>
      </c>
      <c r="C1397" s="142" t="s">
        <v>15847</v>
      </c>
      <c r="D1397" s="142" t="s">
        <v>15848</v>
      </c>
      <c r="E1397" s="142" t="s">
        <v>15849</v>
      </c>
      <c r="F1397" s="142" t="s">
        <v>10978</v>
      </c>
      <c r="G1397" s="142" t="s">
        <v>10977</v>
      </c>
      <c r="H1397" s="142" t="s">
        <v>17247</v>
      </c>
      <c r="I1397" s="142">
        <v>1</v>
      </c>
      <c r="J1397" s="142">
        <v>0</v>
      </c>
      <c r="K1397" s="142">
        <v>0</v>
      </c>
      <c r="L1397" s="142">
        <v>0</v>
      </c>
      <c r="M1397" s="142">
        <v>1</v>
      </c>
    </row>
    <row r="1398" spans="1:13" x14ac:dyDescent="0.45">
      <c r="A1398" s="142" t="s">
        <v>13042</v>
      </c>
      <c r="B1398" s="142" t="s">
        <v>15489</v>
      </c>
      <c r="C1398" s="142" t="s">
        <v>15847</v>
      </c>
      <c r="D1398" s="142" t="s">
        <v>15848</v>
      </c>
      <c r="E1398" s="142" t="s">
        <v>15849</v>
      </c>
      <c r="F1398" s="142" t="s">
        <v>10978</v>
      </c>
      <c r="G1398" s="142" t="s">
        <v>10977</v>
      </c>
      <c r="H1398" s="142" t="s">
        <v>17248</v>
      </c>
      <c r="I1398" s="142">
        <v>19</v>
      </c>
      <c r="J1398" s="142">
        <v>0</v>
      </c>
      <c r="K1398" s="142">
        <v>0</v>
      </c>
      <c r="L1398" s="142">
        <v>19</v>
      </c>
      <c r="M1398" s="142">
        <v>0</v>
      </c>
    </row>
    <row r="1399" spans="1:13" x14ac:dyDescent="0.45">
      <c r="A1399" s="142" t="s">
        <v>13422</v>
      </c>
      <c r="B1399" s="142" t="s">
        <v>14936</v>
      </c>
      <c r="C1399" s="142" t="s">
        <v>15860</v>
      </c>
      <c r="D1399" s="142" t="s">
        <v>15861</v>
      </c>
      <c r="E1399" s="142" t="s">
        <v>15849</v>
      </c>
      <c r="F1399" s="142" t="s">
        <v>10978</v>
      </c>
      <c r="G1399" s="142" t="s">
        <v>10977</v>
      </c>
      <c r="H1399" s="142" t="s">
        <v>17249</v>
      </c>
      <c r="I1399" s="142">
        <v>4</v>
      </c>
      <c r="J1399" s="142">
        <v>0</v>
      </c>
      <c r="K1399" s="142">
        <v>0</v>
      </c>
      <c r="L1399" s="142">
        <v>4</v>
      </c>
      <c r="M1399" s="142">
        <v>0</v>
      </c>
    </row>
    <row r="1400" spans="1:13" x14ac:dyDescent="0.45">
      <c r="A1400" s="142" t="s">
        <v>13154</v>
      </c>
      <c r="B1400" s="142" t="s">
        <v>15415</v>
      </c>
      <c r="C1400" s="142" t="s">
        <v>15847</v>
      </c>
      <c r="D1400" s="142" t="s">
        <v>15848</v>
      </c>
      <c r="E1400" s="142" t="s">
        <v>15849</v>
      </c>
      <c r="F1400" s="142" t="s">
        <v>10978</v>
      </c>
      <c r="G1400" s="142" t="s">
        <v>10977</v>
      </c>
      <c r="H1400" s="142" t="s">
        <v>17250</v>
      </c>
      <c r="I1400" s="142">
        <v>10246</v>
      </c>
      <c r="J1400" s="142">
        <v>9974</v>
      </c>
      <c r="K1400" s="142">
        <v>0</v>
      </c>
      <c r="L1400" s="142">
        <v>163</v>
      </c>
      <c r="M1400" s="142">
        <v>109</v>
      </c>
    </row>
    <row r="1401" spans="1:13" x14ac:dyDescent="0.45">
      <c r="A1401" s="142" t="s">
        <v>13157</v>
      </c>
      <c r="B1401" s="142" t="s">
        <v>15477</v>
      </c>
      <c r="C1401" s="142" t="s">
        <v>15847</v>
      </c>
      <c r="D1401" s="142" t="s">
        <v>15848</v>
      </c>
      <c r="E1401" s="142" t="s">
        <v>15849</v>
      </c>
      <c r="F1401" s="142" t="s">
        <v>10978</v>
      </c>
      <c r="G1401" s="142" t="s">
        <v>10977</v>
      </c>
      <c r="H1401" s="142" t="s">
        <v>17251</v>
      </c>
      <c r="I1401" s="142">
        <v>657</v>
      </c>
      <c r="J1401" s="142">
        <v>530</v>
      </c>
      <c r="K1401" s="142">
        <v>0</v>
      </c>
      <c r="L1401" s="142">
        <v>51</v>
      </c>
      <c r="M1401" s="142">
        <v>76</v>
      </c>
    </row>
    <row r="1402" spans="1:13" x14ac:dyDescent="0.45">
      <c r="A1402" s="142" t="s">
        <v>13286</v>
      </c>
      <c r="B1402" s="142" t="s">
        <v>15342</v>
      </c>
      <c r="C1402" s="142" t="s">
        <v>15847</v>
      </c>
      <c r="D1402" s="142" t="s">
        <v>15848</v>
      </c>
      <c r="E1402" s="142" t="s">
        <v>15849</v>
      </c>
      <c r="F1402" s="142" t="s">
        <v>10978</v>
      </c>
      <c r="G1402" s="142" t="s">
        <v>10977</v>
      </c>
      <c r="H1402" s="142" t="s">
        <v>17252</v>
      </c>
      <c r="I1402" s="142">
        <v>63</v>
      </c>
      <c r="J1402" s="142">
        <v>10</v>
      </c>
      <c r="K1402" s="142">
        <v>0</v>
      </c>
      <c r="L1402" s="142">
        <v>52</v>
      </c>
      <c r="M1402" s="142">
        <v>1</v>
      </c>
    </row>
    <row r="1403" spans="1:13" x14ac:dyDescent="0.45">
      <c r="A1403" s="142" t="s">
        <v>13023</v>
      </c>
      <c r="B1403" s="142" t="s">
        <v>15571</v>
      </c>
      <c r="C1403" s="142" t="s">
        <v>15847</v>
      </c>
      <c r="D1403" s="142" t="s">
        <v>15848</v>
      </c>
      <c r="E1403" s="142" t="s">
        <v>15849</v>
      </c>
      <c r="F1403" s="142" t="s">
        <v>2924</v>
      </c>
      <c r="G1403" s="142" t="s">
        <v>2923</v>
      </c>
      <c r="H1403" s="142" t="s">
        <v>17253</v>
      </c>
      <c r="I1403" s="142">
        <v>71</v>
      </c>
      <c r="J1403" s="142">
        <v>0</v>
      </c>
      <c r="K1403" s="142">
        <v>0</v>
      </c>
      <c r="L1403" s="142">
        <v>71</v>
      </c>
      <c r="M1403" s="142">
        <v>0</v>
      </c>
    </row>
    <row r="1404" spans="1:13" x14ac:dyDescent="0.45">
      <c r="A1404" s="142" t="s">
        <v>13424</v>
      </c>
      <c r="B1404" s="142" t="s">
        <v>14949</v>
      </c>
      <c r="C1404" s="142" t="s">
        <v>15860</v>
      </c>
      <c r="D1404" s="142" t="s">
        <v>15861</v>
      </c>
      <c r="E1404" s="142" t="s">
        <v>15849</v>
      </c>
      <c r="F1404" s="142" t="s">
        <v>2924</v>
      </c>
      <c r="G1404" s="142" t="s">
        <v>2923</v>
      </c>
      <c r="H1404" s="142" t="s">
        <v>17254</v>
      </c>
      <c r="I1404" s="142">
        <v>84</v>
      </c>
      <c r="J1404" s="142">
        <v>9</v>
      </c>
      <c r="K1404" s="142">
        <v>75</v>
      </c>
      <c r="L1404" s="142">
        <v>0</v>
      </c>
      <c r="M1404" s="142">
        <v>0</v>
      </c>
    </row>
    <row r="1405" spans="1:13" x14ac:dyDescent="0.45">
      <c r="A1405" s="142" t="s">
        <v>13425</v>
      </c>
      <c r="B1405" s="142" t="s">
        <v>14814</v>
      </c>
      <c r="C1405" s="142" t="s">
        <v>15860</v>
      </c>
      <c r="D1405" s="142" t="s">
        <v>15861</v>
      </c>
      <c r="E1405" s="142" t="s">
        <v>15849</v>
      </c>
      <c r="F1405" s="142" t="s">
        <v>2924</v>
      </c>
      <c r="G1405" s="142" t="s">
        <v>2923</v>
      </c>
      <c r="H1405" s="142" t="s">
        <v>17255</v>
      </c>
      <c r="I1405" s="142">
        <v>2</v>
      </c>
      <c r="J1405" s="142">
        <v>2</v>
      </c>
      <c r="K1405" s="142">
        <v>0</v>
      </c>
      <c r="L1405" s="142">
        <v>0</v>
      </c>
      <c r="M1405" s="142">
        <v>0</v>
      </c>
    </row>
    <row r="1406" spans="1:13" x14ac:dyDescent="0.45">
      <c r="A1406" s="142" t="s">
        <v>13000</v>
      </c>
      <c r="B1406" s="142" t="s">
        <v>14610</v>
      </c>
      <c r="C1406" s="142" t="s">
        <v>15847</v>
      </c>
      <c r="D1406" s="142" t="s">
        <v>15848</v>
      </c>
      <c r="E1406" s="142" t="s">
        <v>15849</v>
      </c>
      <c r="F1406" s="142" t="s">
        <v>2924</v>
      </c>
      <c r="G1406" s="142" t="s">
        <v>2923</v>
      </c>
      <c r="H1406" s="142" t="s">
        <v>17256</v>
      </c>
      <c r="I1406" s="142">
        <v>302</v>
      </c>
      <c r="J1406" s="142">
        <v>255</v>
      </c>
      <c r="K1406" s="142">
        <v>0</v>
      </c>
      <c r="L1406" s="142">
        <v>0</v>
      </c>
      <c r="M1406" s="142">
        <v>47</v>
      </c>
    </row>
    <row r="1407" spans="1:13" x14ac:dyDescent="0.45">
      <c r="A1407" s="142" t="s">
        <v>13085</v>
      </c>
      <c r="B1407" s="142" t="s">
        <v>14460</v>
      </c>
      <c r="C1407" s="142" t="s">
        <v>15860</v>
      </c>
      <c r="D1407" s="142" t="s">
        <v>15861</v>
      </c>
      <c r="E1407" s="142" t="s">
        <v>15849</v>
      </c>
      <c r="F1407" s="142" t="s">
        <v>2924</v>
      </c>
      <c r="G1407" s="142" t="s">
        <v>2923</v>
      </c>
      <c r="H1407" s="142" t="s">
        <v>17257</v>
      </c>
      <c r="I1407" s="142">
        <v>4</v>
      </c>
      <c r="J1407" s="142">
        <v>0</v>
      </c>
      <c r="K1407" s="142">
        <v>0</v>
      </c>
      <c r="L1407" s="142">
        <v>4</v>
      </c>
      <c r="M1407" s="142">
        <v>0</v>
      </c>
    </row>
    <row r="1408" spans="1:13" x14ac:dyDescent="0.45">
      <c r="A1408" s="142" t="s">
        <v>13087</v>
      </c>
      <c r="B1408" s="142" t="s">
        <v>14452</v>
      </c>
      <c r="C1408" s="142" t="s">
        <v>15847</v>
      </c>
      <c r="D1408" s="142" t="s">
        <v>15848</v>
      </c>
      <c r="E1408" s="142" t="s">
        <v>15849</v>
      </c>
      <c r="F1408" s="142" t="s">
        <v>2924</v>
      </c>
      <c r="G1408" s="142" t="s">
        <v>2923</v>
      </c>
      <c r="H1408" s="142" t="s">
        <v>17258</v>
      </c>
      <c r="I1408" s="142">
        <v>147</v>
      </c>
      <c r="J1408" s="142">
        <v>110</v>
      </c>
      <c r="K1408" s="142">
        <v>0</v>
      </c>
      <c r="L1408" s="142">
        <v>0</v>
      </c>
      <c r="M1408" s="142">
        <v>37</v>
      </c>
    </row>
    <row r="1409" spans="1:13" x14ac:dyDescent="0.45">
      <c r="A1409" s="142" t="s">
        <v>13026</v>
      </c>
      <c r="B1409" s="142" t="s">
        <v>15447</v>
      </c>
      <c r="C1409" s="142" t="s">
        <v>15847</v>
      </c>
      <c r="D1409" s="142" t="s">
        <v>15848</v>
      </c>
      <c r="E1409" s="142" t="s">
        <v>15849</v>
      </c>
      <c r="F1409" s="142" t="s">
        <v>2924</v>
      </c>
      <c r="G1409" s="142" t="s">
        <v>2923</v>
      </c>
      <c r="H1409" s="142" t="s">
        <v>17259</v>
      </c>
      <c r="I1409" s="142">
        <v>6</v>
      </c>
      <c r="J1409" s="142">
        <v>3</v>
      </c>
      <c r="K1409" s="142">
        <v>0</v>
      </c>
      <c r="L1409" s="142">
        <v>0</v>
      </c>
      <c r="M1409" s="142">
        <v>3</v>
      </c>
    </row>
    <row r="1410" spans="1:13" x14ac:dyDescent="0.45">
      <c r="A1410" s="142" t="s">
        <v>13050</v>
      </c>
      <c r="B1410" s="142" t="s">
        <v>15237</v>
      </c>
      <c r="C1410" s="142" t="s">
        <v>15847</v>
      </c>
      <c r="D1410" s="142" t="s">
        <v>15848</v>
      </c>
      <c r="E1410" s="142" t="s">
        <v>15849</v>
      </c>
      <c r="F1410" s="142" t="s">
        <v>2924</v>
      </c>
      <c r="G1410" s="142" t="s">
        <v>2923</v>
      </c>
      <c r="H1410" s="142" t="s">
        <v>17260</v>
      </c>
      <c r="I1410" s="142">
        <v>6</v>
      </c>
      <c r="J1410" s="142">
        <v>4</v>
      </c>
      <c r="K1410" s="142">
        <v>0</v>
      </c>
      <c r="L1410" s="142">
        <v>0</v>
      </c>
      <c r="M1410" s="142">
        <v>2</v>
      </c>
    </row>
    <row r="1411" spans="1:13" x14ac:dyDescent="0.45">
      <c r="A1411" s="142" t="s">
        <v>13028</v>
      </c>
      <c r="B1411" s="142" t="s">
        <v>14462</v>
      </c>
      <c r="C1411" s="142" t="s">
        <v>15847</v>
      </c>
      <c r="D1411" s="142" t="s">
        <v>15848</v>
      </c>
      <c r="E1411" s="142" t="s">
        <v>15849</v>
      </c>
      <c r="F1411" s="142" t="s">
        <v>2924</v>
      </c>
      <c r="G1411" s="142" t="s">
        <v>2923</v>
      </c>
      <c r="H1411" s="142" t="s">
        <v>17261</v>
      </c>
      <c r="I1411" s="142">
        <v>14</v>
      </c>
      <c r="J1411" s="142">
        <v>0</v>
      </c>
      <c r="K1411" s="142">
        <v>0</v>
      </c>
      <c r="L1411" s="142">
        <v>0</v>
      </c>
      <c r="M1411" s="142">
        <v>14</v>
      </c>
    </row>
    <row r="1412" spans="1:13" x14ac:dyDescent="0.45">
      <c r="A1412" s="142" t="s">
        <v>13003</v>
      </c>
      <c r="B1412" s="142" t="s">
        <v>15245</v>
      </c>
      <c r="C1412" s="142" t="s">
        <v>15847</v>
      </c>
      <c r="D1412" s="142" t="s">
        <v>15848</v>
      </c>
      <c r="E1412" s="142" t="s">
        <v>15849</v>
      </c>
      <c r="F1412" s="142" t="s">
        <v>2924</v>
      </c>
      <c r="G1412" s="142" t="s">
        <v>2923</v>
      </c>
      <c r="H1412" s="142" t="s">
        <v>17262</v>
      </c>
      <c r="I1412" s="142">
        <v>81</v>
      </c>
      <c r="J1412" s="142">
        <v>0</v>
      </c>
      <c r="K1412" s="142">
        <v>0</v>
      </c>
      <c r="L1412" s="142">
        <v>81</v>
      </c>
      <c r="M1412" s="142">
        <v>0</v>
      </c>
    </row>
    <row r="1413" spans="1:13" x14ac:dyDescent="0.45">
      <c r="A1413" s="142" t="s">
        <v>13426</v>
      </c>
      <c r="B1413" s="142" t="s">
        <v>15285</v>
      </c>
      <c r="C1413" s="142" t="s">
        <v>15847</v>
      </c>
      <c r="D1413" s="142" t="s">
        <v>15848</v>
      </c>
      <c r="E1413" s="142" t="s">
        <v>15849</v>
      </c>
      <c r="F1413" s="142" t="s">
        <v>2924</v>
      </c>
      <c r="G1413" s="142" t="s">
        <v>2923</v>
      </c>
      <c r="H1413" s="142" t="s">
        <v>17263</v>
      </c>
      <c r="I1413" s="142">
        <v>913</v>
      </c>
      <c r="J1413" s="142">
        <v>869</v>
      </c>
      <c r="K1413" s="142">
        <v>13</v>
      </c>
      <c r="L1413" s="142">
        <v>0</v>
      </c>
      <c r="M1413" s="142">
        <v>31</v>
      </c>
    </row>
    <row r="1414" spans="1:13" x14ac:dyDescent="0.45">
      <c r="A1414" s="142" t="s">
        <v>13005</v>
      </c>
      <c r="B1414" s="142" t="s">
        <v>15475</v>
      </c>
      <c r="C1414" s="142" t="s">
        <v>15847</v>
      </c>
      <c r="D1414" s="142" t="s">
        <v>15848</v>
      </c>
      <c r="E1414" s="142" t="s">
        <v>15849</v>
      </c>
      <c r="F1414" s="142" t="s">
        <v>2924</v>
      </c>
      <c r="G1414" s="142" t="s">
        <v>2923</v>
      </c>
      <c r="H1414" s="142" t="s">
        <v>17264</v>
      </c>
      <c r="I1414" s="142">
        <v>251</v>
      </c>
      <c r="J1414" s="142">
        <v>201</v>
      </c>
      <c r="K1414" s="142">
        <v>0</v>
      </c>
      <c r="L1414" s="142">
        <v>0</v>
      </c>
      <c r="M1414" s="142">
        <v>50</v>
      </c>
    </row>
    <row r="1415" spans="1:13" x14ac:dyDescent="0.45">
      <c r="A1415" s="142" t="s">
        <v>13006</v>
      </c>
      <c r="B1415" s="142" t="s">
        <v>15288</v>
      </c>
      <c r="C1415" s="142" t="s">
        <v>15847</v>
      </c>
      <c r="D1415" s="142" t="s">
        <v>15848</v>
      </c>
      <c r="E1415" s="142" t="s">
        <v>15849</v>
      </c>
      <c r="F1415" s="142" t="s">
        <v>2924</v>
      </c>
      <c r="G1415" s="142" t="s">
        <v>2923</v>
      </c>
      <c r="H1415" s="142" t="s">
        <v>17265</v>
      </c>
      <c r="I1415" s="142">
        <v>806</v>
      </c>
      <c r="J1415" s="142">
        <v>661</v>
      </c>
      <c r="K1415" s="142">
        <v>0</v>
      </c>
      <c r="L1415" s="142">
        <v>129</v>
      </c>
      <c r="M1415" s="142">
        <v>16</v>
      </c>
    </row>
    <row r="1416" spans="1:13" x14ac:dyDescent="0.45">
      <c r="A1416" s="142" t="s">
        <v>13008</v>
      </c>
      <c r="B1416" s="142" t="s">
        <v>15411</v>
      </c>
      <c r="C1416" s="142" t="s">
        <v>15847</v>
      </c>
      <c r="D1416" s="142" t="s">
        <v>15848</v>
      </c>
      <c r="E1416" s="142" t="s">
        <v>15849</v>
      </c>
      <c r="F1416" s="142" t="s">
        <v>2924</v>
      </c>
      <c r="G1416" s="142" t="s">
        <v>2923</v>
      </c>
      <c r="H1416" s="142" t="s">
        <v>17266</v>
      </c>
      <c r="I1416" s="142">
        <v>7</v>
      </c>
      <c r="J1416" s="142">
        <v>0</v>
      </c>
      <c r="K1416" s="142">
        <v>0</v>
      </c>
      <c r="L1416" s="142">
        <v>0</v>
      </c>
      <c r="M1416" s="142">
        <v>7</v>
      </c>
    </row>
    <row r="1417" spans="1:13" x14ac:dyDescent="0.45">
      <c r="A1417" s="142" t="s">
        <v>13133</v>
      </c>
      <c r="B1417" s="142" t="s">
        <v>15291</v>
      </c>
      <c r="C1417" s="142" t="s">
        <v>15847</v>
      </c>
      <c r="D1417" s="142" t="s">
        <v>15848</v>
      </c>
      <c r="E1417" s="142" t="s">
        <v>15849</v>
      </c>
      <c r="F1417" s="142" t="s">
        <v>2924</v>
      </c>
      <c r="G1417" s="142" t="s">
        <v>2923</v>
      </c>
      <c r="H1417" s="142" t="s">
        <v>17267</v>
      </c>
      <c r="I1417" s="142">
        <v>56</v>
      </c>
      <c r="J1417" s="142">
        <v>12</v>
      </c>
      <c r="K1417" s="142">
        <v>0</v>
      </c>
      <c r="L1417" s="142">
        <v>44</v>
      </c>
      <c r="M1417" s="142">
        <v>0</v>
      </c>
    </row>
    <row r="1418" spans="1:13" x14ac:dyDescent="0.45">
      <c r="A1418" s="142" t="s">
        <v>13089</v>
      </c>
      <c r="B1418" s="142" t="s">
        <v>15240</v>
      </c>
      <c r="C1418" s="142" t="s">
        <v>15847</v>
      </c>
      <c r="D1418" s="142" t="s">
        <v>15848</v>
      </c>
      <c r="E1418" s="142" t="s">
        <v>15849</v>
      </c>
      <c r="F1418" s="142" t="s">
        <v>2924</v>
      </c>
      <c r="G1418" s="142" t="s">
        <v>2923</v>
      </c>
      <c r="H1418" s="142" t="s">
        <v>17268</v>
      </c>
      <c r="I1418" s="142">
        <v>15</v>
      </c>
      <c r="J1418" s="142">
        <v>0</v>
      </c>
      <c r="K1418" s="142">
        <v>0</v>
      </c>
      <c r="L1418" s="142">
        <v>15</v>
      </c>
      <c r="M1418" s="142">
        <v>0</v>
      </c>
    </row>
    <row r="1419" spans="1:13" x14ac:dyDescent="0.45">
      <c r="A1419" s="142" t="s">
        <v>13427</v>
      </c>
      <c r="B1419" s="142" t="s">
        <v>15019</v>
      </c>
      <c r="C1419" s="142" t="s">
        <v>15860</v>
      </c>
      <c r="D1419" s="142" t="s">
        <v>15861</v>
      </c>
      <c r="E1419" s="142" t="s">
        <v>15849</v>
      </c>
      <c r="F1419" s="142" t="s">
        <v>2924</v>
      </c>
      <c r="G1419" s="142" t="s">
        <v>2923</v>
      </c>
      <c r="H1419" s="142" t="s">
        <v>17269</v>
      </c>
      <c r="I1419" s="142">
        <v>11</v>
      </c>
      <c r="J1419" s="142">
        <v>0</v>
      </c>
      <c r="K1419" s="142">
        <v>11</v>
      </c>
      <c r="L1419" s="142">
        <v>0</v>
      </c>
      <c r="M1419" s="142">
        <v>0</v>
      </c>
    </row>
    <row r="1420" spans="1:13" x14ac:dyDescent="0.45">
      <c r="A1420" s="142" t="s">
        <v>13104</v>
      </c>
      <c r="B1420" s="142" t="s">
        <v>14622</v>
      </c>
      <c r="C1420" s="142" t="s">
        <v>15847</v>
      </c>
      <c r="D1420" s="142" t="s">
        <v>15848</v>
      </c>
      <c r="E1420" s="142" t="s">
        <v>15849</v>
      </c>
      <c r="F1420" s="142" t="s">
        <v>2924</v>
      </c>
      <c r="G1420" s="142" t="s">
        <v>2923</v>
      </c>
      <c r="H1420" s="142" t="s">
        <v>17270</v>
      </c>
      <c r="I1420" s="142">
        <v>167</v>
      </c>
      <c r="J1420" s="142">
        <v>92</v>
      </c>
      <c r="K1420" s="142">
        <v>0</v>
      </c>
      <c r="L1420" s="142">
        <v>21</v>
      </c>
      <c r="M1420" s="142">
        <v>54</v>
      </c>
    </row>
    <row r="1421" spans="1:13" x14ac:dyDescent="0.45">
      <c r="A1421" s="142" t="s">
        <v>13034</v>
      </c>
      <c r="B1421" s="142" t="s">
        <v>15562</v>
      </c>
      <c r="C1421" s="142" t="s">
        <v>15847</v>
      </c>
      <c r="D1421" s="142" t="s">
        <v>15848</v>
      </c>
      <c r="E1421" s="142" t="s">
        <v>15849</v>
      </c>
      <c r="F1421" s="142" t="s">
        <v>2924</v>
      </c>
      <c r="G1421" s="142" t="s">
        <v>2923</v>
      </c>
      <c r="H1421" s="142" t="s">
        <v>17271</v>
      </c>
      <c r="I1421" s="142">
        <v>242</v>
      </c>
      <c r="J1421" s="142">
        <v>207</v>
      </c>
      <c r="K1421" s="142">
        <v>0</v>
      </c>
      <c r="L1421" s="142">
        <v>0</v>
      </c>
      <c r="M1421" s="142">
        <v>35</v>
      </c>
    </row>
    <row r="1422" spans="1:13" x14ac:dyDescent="0.45">
      <c r="A1422" s="142" t="s">
        <v>13039</v>
      </c>
      <c r="B1422" s="142" t="s">
        <v>14647</v>
      </c>
      <c r="C1422" s="142" t="s">
        <v>15847</v>
      </c>
      <c r="D1422" s="142" t="s">
        <v>15848</v>
      </c>
      <c r="E1422" s="142" t="s">
        <v>15849</v>
      </c>
      <c r="F1422" s="142" t="s">
        <v>2924</v>
      </c>
      <c r="G1422" s="142" t="s">
        <v>2923</v>
      </c>
      <c r="H1422" s="142" t="s">
        <v>17272</v>
      </c>
      <c r="I1422" s="142">
        <v>7</v>
      </c>
      <c r="J1422" s="142">
        <v>7</v>
      </c>
      <c r="K1422" s="142">
        <v>0</v>
      </c>
      <c r="L1422" s="142">
        <v>0</v>
      </c>
      <c r="M1422" s="142">
        <v>0</v>
      </c>
    </row>
    <row r="1423" spans="1:13" x14ac:dyDescent="0.45">
      <c r="A1423" s="142" t="s">
        <v>13091</v>
      </c>
      <c r="B1423" s="142" t="s">
        <v>14473</v>
      </c>
      <c r="C1423" s="142" t="s">
        <v>15847</v>
      </c>
      <c r="D1423" s="142" t="s">
        <v>15848</v>
      </c>
      <c r="E1423" s="142" t="s">
        <v>15849</v>
      </c>
      <c r="F1423" s="142" t="s">
        <v>2924</v>
      </c>
      <c r="G1423" s="142" t="s">
        <v>2923</v>
      </c>
      <c r="H1423" s="142" t="s">
        <v>17273</v>
      </c>
      <c r="I1423" s="142">
        <v>8</v>
      </c>
      <c r="J1423" s="142">
        <v>7</v>
      </c>
      <c r="K1423" s="142">
        <v>0</v>
      </c>
      <c r="L1423" s="142">
        <v>0</v>
      </c>
      <c r="M1423" s="142">
        <v>1</v>
      </c>
    </row>
    <row r="1424" spans="1:13" x14ac:dyDescent="0.45">
      <c r="A1424" s="142" t="s">
        <v>13009</v>
      </c>
      <c r="B1424" s="142" t="s">
        <v>15256</v>
      </c>
      <c r="C1424" s="142" t="s">
        <v>15847</v>
      </c>
      <c r="D1424" s="142" t="s">
        <v>15848</v>
      </c>
      <c r="E1424" s="142" t="s">
        <v>15849</v>
      </c>
      <c r="F1424" s="142" t="s">
        <v>2924</v>
      </c>
      <c r="G1424" s="142" t="s">
        <v>2923</v>
      </c>
      <c r="H1424" s="142" t="s">
        <v>17274</v>
      </c>
      <c r="I1424" s="142">
        <v>504</v>
      </c>
      <c r="J1424" s="142">
        <v>8</v>
      </c>
      <c r="K1424" s="142">
        <v>496</v>
      </c>
      <c r="L1424" s="142">
        <v>0</v>
      </c>
      <c r="M1424" s="142">
        <v>0</v>
      </c>
    </row>
    <row r="1425" spans="1:13" x14ac:dyDescent="0.45">
      <c r="A1425" s="142" t="s">
        <v>13041</v>
      </c>
      <c r="B1425" s="142" t="s">
        <v>14441</v>
      </c>
      <c r="C1425" s="142" t="s">
        <v>15847</v>
      </c>
      <c r="D1425" s="142" t="s">
        <v>15848</v>
      </c>
      <c r="E1425" s="142" t="s">
        <v>15849</v>
      </c>
      <c r="F1425" s="142" t="s">
        <v>2924</v>
      </c>
      <c r="G1425" s="142" t="s">
        <v>2923</v>
      </c>
      <c r="H1425" s="142" t="s">
        <v>17275</v>
      </c>
      <c r="I1425" s="142">
        <v>12</v>
      </c>
      <c r="J1425" s="142">
        <v>0</v>
      </c>
      <c r="K1425" s="142">
        <v>0</v>
      </c>
      <c r="L1425" s="142">
        <v>0</v>
      </c>
      <c r="M1425" s="142">
        <v>12</v>
      </c>
    </row>
    <row r="1426" spans="1:13" x14ac:dyDescent="0.45">
      <c r="A1426" s="142" t="s">
        <v>13012</v>
      </c>
      <c r="B1426" s="142" t="s">
        <v>15337</v>
      </c>
      <c r="C1426" s="142" t="s">
        <v>15847</v>
      </c>
      <c r="D1426" s="142" t="s">
        <v>15848</v>
      </c>
      <c r="E1426" s="142" t="s">
        <v>15849</v>
      </c>
      <c r="F1426" s="142" t="s">
        <v>2924</v>
      </c>
      <c r="G1426" s="142" t="s">
        <v>2923</v>
      </c>
      <c r="H1426" s="142" t="s">
        <v>17276</v>
      </c>
      <c r="I1426" s="142">
        <v>28</v>
      </c>
      <c r="J1426" s="142">
        <v>1</v>
      </c>
      <c r="K1426" s="142">
        <v>0</v>
      </c>
      <c r="L1426" s="142">
        <v>27</v>
      </c>
      <c r="M1426" s="142">
        <v>0</v>
      </c>
    </row>
    <row r="1427" spans="1:13" x14ac:dyDescent="0.45">
      <c r="A1427" s="142" t="s">
        <v>13428</v>
      </c>
      <c r="B1427" s="142" t="s">
        <v>15303</v>
      </c>
      <c r="C1427" s="142" t="s">
        <v>15847</v>
      </c>
      <c r="D1427" s="142" t="s">
        <v>15848</v>
      </c>
      <c r="E1427" s="142" t="s">
        <v>15849</v>
      </c>
      <c r="F1427" s="142" t="s">
        <v>2924</v>
      </c>
      <c r="G1427" s="142" t="s">
        <v>2923</v>
      </c>
      <c r="H1427" s="142" t="s">
        <v>17277</v>
      </c>
      <c r="I1427" s="142">
        <v>883</v>
      </c>
      <c r="J1427" s="142">
        <v>586</v>
      </c>
      <c r="K1427" s="142">
        <v>2</v>
      </c>
      <c r="L1427" s="142">
        <v>267</v>
      </c>
      <c r="M1427" s="142">
        <v>28</v>
      </c>
    </row>
    <row r="1428" spans="1:13" x14ac:dyDescent="0.45">
      <c r="A1428" s="142" t="s">
        <v>13429</v>
      </c>
      <c r="B1428" s="142" t="s">
        <v>14899</v>
      </c>
      <c r="C1428" s="142" t="s">
        <v>15860</v>
      </c>
      <c r="D1428" s="142" t="s">
        <v>15861</v>
      </c>
      <c r="E1428" s="142" t="s">
        <v>15849</v>
      </c>
      <c r="F1428" s="142" t="s">
        <v>2924</v>
      </c>
      <c r="G1428" s="142" t="s">
        <v>2923</v>
      </c>
      <c r="H1428" s="142" t="s">
        <v>17278</v>
      </c>
      <c r="I1428" s="142">
        <v>6</v>
      </c>
      <c r="J1428" s="142">
        <v>6</v>
      </c>
      <c r="K1428" s="142">
        <v>0</v>
      </c>
      <c r="L1428" s="142">
        <v>0</v>
      </c>
      <c r="M1428" s="142">
        <v>0</v>
      </c>
    </row>
    <row r="1429" spans="1:13" x14ac:dyDescent="0.45">
      <c r="A1429" s="142" t="s">
        <v>13165</v>
      </c>
      <c r="B1429" s="142" t="s">
        <v>15525</v>
      </c>
      <c r="C1429" s="142" t="s">
        <v>15860</v>
      </c>
      <c r="D1429" s="142" t="s">
        <v>15861</v>
      </c>
      <c r="E1429" s="142" t="s">
        <v>15849</v>
      </c>
      <c r="F1429" s="142" t="s">
        <v>2924</v>
      </c>
      <c r="G1429" s="142" t="s">
        <v>2923</v>
      </c>
      <c r="H1429" s="142" t="s">
        <v>17279</v>
      </c>
      <c r="I1429" s="142">
        <v>14</v>
      </c>
      <c r="J1429" s="142">
        <v>0</v>
      </c>
      <c r="K1429" s="142">
        <v>0</v>
      </c>
      <c r="L1429" s="142">
        <v>14</v>
      </c>
      <c r="M1429" s="142">
        <v>0</v>
      </c>
    </row>
    <row r="1430" spans="1:13" x14ac:dyDescent="0.45">
      <c r="A1430" s="142" t="s">
        <v>13042</v>
      </c>
      <c r="B1430" s="142" t="s">
        <v>15489</v>
      </c>
      <c r="C1430" s="142" t="s">
        <v>15847</v>
      </c>
      <c r="D1430" s="142" t="s">
        <v>15848</v>
      </c>
      <c r="E1430" s="142" t="s">
        <v>15849</v>
      </c>
      <c r="F1430" s="142" t="s">
        <v>2924</v>
      </c>
      <c r="G1430" s="142" t="s">
        <v>2923</v>
      </c>
      <c r="H1430" s="142" t="s">
        <v>17280</v>
      </c>
      <c r="I1430" s="142">
        <v>132</v>
      </c>
      <c r="J1430" s="142">
        <v>41</v>
      </c>
      <c r="K1430" s="142">
        <v>0</v>
      </c>
      <c r="L1430" s="142">
        <v>91</v>
      </c>
      <c r="M1430" s="142">
        <v>0</v>
      </c>
    </row>
    <row r="1431" spans="1:13" x14ac:dyDescent="0.45">
      <c r="A1431" s="142" t="s">
        <v>13430</v>
      </c>
      <c r="B1431" s="142" t="s">
        <v>14715</v>
      </c>
      <c r="C1431" s="142" t="s">
        <v>15860</v>
      </c>
      <c r="D1431" s="142" t="s">
        <v>15861</v>
      </c>
      <c r="E1431" s="142" t="s">
        <v>15849</v>
      </c>
      <c r="F1431" s="142" t="s">
        <v>2924</v>
      </c>
      <c r="G1431" s="142" t="s">
        <v>2923</v>
      </c>
      <c r="H1431" s="142" t="s">
        <v>17281</v>
      </c>
      <c r="I1431" s="142">
        <v>6</v>
      </c>
      <c r="J1431" s="142">
        <v>6</v>
      </c>
      <c r="K1431" s="142">
        <v>0</v>
      </c>
      <c r="L1431" s="142">
        <v>0</v>
      </c>
      <c r="M1431" s="142">
        <v>0</v>
      </c>
    </row>
    <row r="1432" spans="1:13" x14ac:dyDescent="0.45">
      <c r="A1432" s="142" t="s">
        <v>13416</v>
      </c>
      <c r="B1432" s="142" t="s">
        <v>15225</v>
      </c>
      <c r="C1432" s="142" t="s">
        <v>15860</v>
      </c>
      <c r="D1432" s="142" t="s">
        <v>15861</v>
      </c>
      <c r="E1432" s="142" t="s">
        <v>15849</v>
      </c>
      <c r="F1432" s="142" t="s">
        <v>2924</v>
      </c>
      <c r="G1432" s="142" t="s">
        <v>2923</v>
      </c>
      <c r="H1432" s="142" t="s">
        <v>17282</v>
      </c>
      <c r="I1432" s="142">
        <v>80</v>
      </c>
      <c r="J1432" s="142">
        <v>0</v>
      </c>
      <c r="K1432" s="142">
        <v>0</v>
      </c>
      <c r="L1432" s="142">
        <v>80</v>
      </c>
      <c r="M1432" s="142">
        <v>0</v>
      </c>
    </row>
    <row r="1433" spans="1:13" x14ac:dyDescent="0.45">
      <c r="A1433" s="142" t="s">
        <v>13207</v>
      </c>
      <c r="B1433" s="142" t="s">
        <v>15558</v>
      </c>
      <c r="C1433" s="142" t="s">
        <v>15847</v>
      </c>
      <c r="D1433" s="142" t="s">
        <v>15848</v>
      </c>
      <c r="E1433" s="142" t="s">
        <v>15849</v>
      </c>
      <c r="F1433" s="142" t="s">
        <v>2924</v>
      </c>
      <c r="G1433" s="142" t="s">
        <v>2923</v>
      </c>
      <c r="H1433" s="142" t="s">
        <v>17283</v>
      </c>
      <c r="I1433" s="142">
        <v>1234</v>
      </c>
      <c r="J1433" s="142">
        <v>858</v>
      </c>
      <c r="K1433" s="142">
        <v>0</v>
      </c>
      <c r="L1433" s="142">
        <v>60</v>
      </c>
      <c r="M1433" s="142">
        <v>316</v>
      </c>
    </row>
    <row r="1434" spans="1:13" x14ac:dyDescent="0.45">
      <c r="A1434" s="142" t="s">
        <v>13110</v>
      </c>
      <c r="B1434" s="142" t="s">
        <v>15502</v>
      </c>
      <c r="C1434" s="142" t="s">
        <v>15847</v>
      </c>
      <c r="D1434" s="142" t="s">
        <v>15848</v>
      </c>
      <c r="E1434" s="142" t="s">
        <v>15849</v>
      </c>
      <c r="F1434" s="142" t="s">
        <v>11440</v>
      </c>
      <c r="G1434" s="142" t="s">
        <v>11439</v>
      </c>
      <c r="H1434" s="142" t="s">
        <v>17284</v>
      </c>
      <c r="I1434" s="142">
        <v>240</v>
      </c>
      <c r="J1434" s="142">
        <v>201</v>
      </c>
      <c r="K1434" s="142">
        <v>0</v>
      </c>
      <c r="L1434" s="142">
        <v>0</v>
      </c>
      <c r="M1434" s="142">
        <v>39</v>
      </c>
    </row>
    <row r="1435" spans="1:13" x14ac:dyDescent="0.45">
      <c r="A1435" s="142" t="s">
        <v>13308</v>
      </c>
      <c r="B1435" s="142" t="s">
        <v>15608</v>
      </c>
      <c r="C1435" s="142" t="s">
        <v>15847</v>
      </c>
      <c r="D1435" s="142" t="s">
        <v>15848</v>
      </c>
      <c r="E1435" s="142" t="s">
        <v>15849</v>
      </c>
      <c r="F1435" s="142" t="s">
        <v>11440</v>
      </c>
      <c r="G1435" s="142" t="s">
        <v>11439</v>
      </c>
      <c r="H1435" s="142" t="s">
        <v>17285</v>
      </c>
      <c r="I1435" s="142">
        <v>9</v>
      </c>
      <c r="J1435" s="142">
        <v>0</v>
      </c>
      <c r="K1435" s="142">
        <v>0</v>
      </c>
      <c r="L1435" s="142">
        <v>0</v>
      </c>
      <c r="M1435" s="142">
        <v>9</v>
      </c>
    </row>
    <row r="1436" spans="1:13" x14ac:dyDescent="0.45">
      <c r="A1436" s="142" t="s">
        <v>13432</v>
      </c>
      <c r="B1436" s="142" t="s">
        <v>15052</v>
      </c>
      <c r="C1436" s="142" t="s">
        <v>15860</v>
      </c>
      <c r="D1436" s="142" t="s">
        <v>15861</v>
      </c>
      <c r="E1436" s="142" t="s">
        <v>15849</v>
      </c>
      <c r="F1436" s="142" t="s">
        <v>11440</v>
      </c>
      <c r="G1436" s="142" t="s">
        <v>11439</v>
      </c>
      <c r="H1436" s="142" t="s">
        <v>17286</v>
      </c>
      <c r="I1436" s="142">
        <v>44</v>
      </c>
      <c r="J1436" s="142">
        <v>44</v>
      </c>
      <c r="K1436" s="142">
        <v>0</v>
      </c>
      <c r="L1436" s="142">
        <v>0</v>
      </c>
      <c r="M1436" s="142">
        <v>0</v>
      </c>
    </row>
    <row r="1437" spans="1:13" x14ac:dyDescent="0.45">
      <c r="A1437" s="142" t="s">
        <v>13112</v>
      </c>
      <c r="B1437" s="142" t="s">
        <v>15552</v>
      </c>
      <c r="C1437" s="142" t="s">
        <v>15860</v>
      </c>
      <c r="D1437" s="142" t="s">
        <v>15861</v>
      </c>
      <c r="E1437" s="142" t="s">
        <v>15849</v>
      </c>
      <c r="F1437" s="142" t="s">
        <v>11440</v>
      </c>
      <c r="G1437" s="142" t="s">
        <v>11439</v>
      </c>
      <c r="H1437" s="142" t="s">
        <v>17287</v>
      </c>
      <c r="I1437" s="142">
        <v>59</v>
      </c>
      <c r="J1437" s="142">
        <v>59</v>
      </c>
      <c r="K1437" s="142">
        <v>0</v>
      </c>
      <c r="L1437" s="142">
        <v>0</v>
      </c>
      <c r="M1437" s="142">
        <v>0</v>
      </c>
    </row>
    <row r="1438" spans="1:13" x14ac:dyDescent="0.45">
      <c r="A1438" s="142" t="s">
        <v>13433</v>
      </c>
      <c r="B1438" s="142" t="s">
        <v>15167</v>
      </c>
      <c r="C1438" s="142" t="s">
        <v>15847</v>
      </c>
      <c r="D1438" s="142" t="s">
        <v>15848</v>
      </c>
      <c r="E1438" s="142" t="s">
        <v>15849</v>
      </c>
      <c r="F1438" s="142" t="s">
        <v>11440</v>
      </c>
      <c r="G1438" s="142" t="s">
        <v>11439</v>
      </c>
      <c r="H1438" s="142" t="s">
        <v>17288</v>
      </c>
      <c r="I1438" s="142">
        <v>572</v>
      </c>
      <c r="J1438" s="142">
        <v>81</v>
      </c>
      <c r="K1438" s="142">
        <v>0</v>
      </c>
      <c r="L1438" s="142">
        <v>491</v>
      </c>
      <c r="M1438" s="142">
        <v>0</v>
      </c>
    </row>
    <row r="1439" spans="1:13" x14ac:dyDescent="0.45">
      <c r="A1439" s="142" t="s">
        <v>13318</v>
      </c>
      <c r="B1439" s="142" t="s">
        <v>15172</v>
      </c>
      <c r="C1439" s="142" t="s">
        <v>15860</v>
      </c>
      <c r="D1439" s="142" t="s">
        <v>15861</v>
      </c>
      <c r="E1439" s="142" t="s">
        <v>15849</v>
      </c>
      <c r="F1439" s="142" t="s">
        <v>11440</v>
      </c>
      <c r="G1439" s="142" t="s">
        <v>11439</v>
      </c>
      <c r="H1439" s="142" t="s">
        <v>17289</v>
      </c>
      <c r="I1439" s="142">
        <v>36</v>
      </c>
      <c r="J1439" s="142">
        <v>0</v>
      </c>
      <c r="K1439" s="142">
        <v>0</v>
      </c>
      <c r="L1439" s="142">
        <v>36</v>
      </c>
      <c r="M1439" s="142">
        <v>0</v>
      </c>
    </row>
    <row r="1440" spans="1:13" x14ac:dyDescent="0.45">
      <c r="A1440" s="142" t="s">
        <v>13000</v>
      </c>
      <c r="B1440" s="142" t="s">
        <v>14610</v>
      </c>
      <c r="C1440" s="142" t="s">
        <v>15847</v>
      </c>
      <c r="D1440" s="142" t="s">
        <v>15848</v>
      </c>
      <c r="E1440" s="142" t="s">
        <v>15849</v>
      </c>
      <c r="F1440" s="142" t="s">
        <v>11440</v>
      </c>
      <c r="G1440" s="142" t="s">
        <v>11439</v>
      </c>
      <c r="H1440" s="142" t="s">
        <v>17290</v>
      </c>
      <c r="I1440" s="142">
        <v>1250</v>
      </c>
      <c r="J1440" s="142">
        <v>1007</v>
      </c>
      <c r="K1440" s="142">
        <v>14</v>
      </c>
      <c r="L1440" s="142">
        <v>209</v>
      </c>
      <c r="M1440" s="142">
        <v>20</v>
      </c>
    </row>
    <row r="1441" spans="1:13" x14ac:dyDescent="0.45">
      <c r="A1441" s="142" t="s">
        <v>13212</v>
      </c>
      <c r="B1441" s="142" t="s">
        <v>15497</v>
      </c>
      <c r="C1441" s="142" t="s">
        <v>15860</v>
      </c>
      <c r="D1441" s="142" t="s">
        <v>15861</v>
      </c>
      <c r="E1441" s="142" t="s">
        <v>15849</v>
      </c>
      <c r="F1441" s="142" t="s">
        <v>11440</v>
      </c>
      <c r="G1441" s="142" t="s">
        <v>11439</v>
      </c>
      <c r="H1441" s="142" t="s">
        <v>17291</v>
      </c>
      <c r="I1441" s="142">
        <v>32</v>
      </c>
      <c r="J1441" s="142">
        <v>32</v>
      </c>
      <c r="K1441" s="142">
        <v>0</v>
      </c>
      <c r="L1441" s="142">
        <v>0</v>
      </c>
      <c r="M1441" s="142">
        <v>0</v>
      </c>
    </row>
    <row r="1442" spans="1:13" x14ac:dyDescent="0.45">
      <c r="A1442" s="142" t="s">
        <v>13434</v>
      </c>
      <c r="B1442" s="142" t="s">
        <v>14938</v>
      </c>
      <c r="C1442" s="142" t="s">
        <v>15860</v>
      </c>
      <c r="D1442" s="142" t="s">
        <v>15861</v>
      </c>
      <c r="E1442" s="142" t="s">
        <v>15849</v>
      </c>
      <c r="F1442" s="142" t="s">
        <v>11440</v>
      </c>
      <c r="G1442" s="142" t="s">
        <v>11439</v>
      </c>
      <c r="H1442" s="142" t="s">
        <v>17292</v>
      </c>
      <c r="I1442" s="142">
        <v>158</v>
      </c>
      <c r="J1442" s="142">
        <v>115</v>
      </c>
      <c r="K1442" s="142">
        <v>43</v>
      </c>
      <c r="L1442" s="142">
        <v>0</v>
      </c>
      <c r="M1442" s="142">
        <v>0</v>
      </c>
    </row>
    <row r="1443" spans="1:13" x14ac:dyDescent="0.45">
      <c r="A1443" s="142" t="s">
        <v>13001</v>
      </c>
      <c r="B1443" s="142" t="s">
        <v>15506</v>
      </c>
      <c r="C1443" s="142" t="s">
        <v>15847</v>
      </c>
      <c r="D1443" s="142" t="s">
        <v>15848</v>
      </c>
      <c r="E1443" s="142" t="s">
        <v>15849</v>
      </c>
      <c r="F1443" s="142" t="s">
        <v>11440</v>
      </c>
      <c r="G1443" s="142" t="s">
        <v>11439</v>
      </c>
      <c r="H1443" s="142" t="s">
        <v>17293</v>
      </c>
      <c r="I1443" s="142">
        <v>2</v>
      </c>
      <c r="J1443" s="142">
        <v>0</v>
      </c>
      <c r="K1443" s="142">
        <v>0</v>
      </c>
      <c r="L1443" s="142">
        <v>2</v>
      </c>
      <c r="M1443" s="142">
        <v>0</v>
      </c>
    </row>
    <row r="1444" spans="1:13" x14ac:dyDescent="0.45">
      <c r="A1444" s="142" t="s">
        <v>13435</v>
      </c>
      <c r="B1444" s="142" t="s">
        <v>14935</v>
      </c>
      <c r="C1444" s="142" t="s">
        <v>15860</v>
      </c>
      <c r="D1444" s="142" t="s">
        <v>15861</v>
      </c>
      <c r="E1444" s="142" t="s">
        <v>15849</v>
      </c>
      <c r="F1444" s="142" t="s">
        <v>11440</v>
      </c>
      <c r="G1444" s="142" t="s">
        <v>11439</v>
      </c>
      <c r="H1444" s="142" t="s">
        <v>17294</v>
      </c>
      <c r="I1444" s="142">
        <v>6</v>
      </c>
      <c r="J1444" s="142">
        <v>0</v>
      </c>
      <c r="K1444" s="142">
        <v>0</v>
      </c>
      <c r="L1444" s="142">
        <v>6</v>
      </c>
      <c r="M1444" s="142">
        <v>0</v>
      </c>
    </row>
    <row r="1445" spans="1:13" x14ac:dyDescent="0.45">
      <c r="A1445" s="142" t="s">
        <v>13436</v>
      </c>
      <c r="B1445" s="142" t="s">
        <v>14953</v>
      </c>
      <c r="C1445" s="142" t="s">
        <v>15860</v>
      </c>
      <c r="D1445" s="142" t="s">
        <v>15861</v>
      </c>
      <c r="E1445" s="142" t="s">
        <v>15849</v>
      </c>
      <c r="F1445" s="142" t="s">
        <v>11440</v>
      </c>
      <c r="G1445" s="142" t="s">
        <v>11439</v>
      </c>
      <c r="H1445" s="142" t="s">
        <v>17295</v>
      </c>
      <c r="I1445" s="142">
        <v>58</v>
      </c>
      <c r="J1445" s="142">
        <v>58</v>
      </c>
      <c r="K1445" s="142">
        <v>0</v>
      </c>
      <c r="L1445" s="142">
        <v>0</v>
      </c>
      <c r="M1445" s="142">
        <v>0</v>
      </c>
    </row>
    <row r="1446" spans="1:13" x14ac:dyDescent="0.45">
      <c r="A1446" s="142" t="s">
        <v>13337</v>
      </c>
      <c r="B1446" s="142" t="s">
        <v>15301</v>
      </c>
      <c r="C1446" s="142" t="s">
        <v>15860</v>
      </c>
      <c r="D1446" s="142" t="s">
        <v>15861</v>
      </c>
      <c r="E1446" s="142" t="s">
        <v>15849</v>
      </c>
      <c r="F1446" s="142" t="s">
        <v>11440</v>
      </c>
      <c r="G1446" s="142" t="s">
        <v>11439</v>
      </c>
      <c r="H1446" s="142" t="s">
        <v>17296</v>
      </c>
      <c r="I1446" s="142">
        <v>10</v>
      </c>
      <c r="J1446" s="142">
        <v>10</v>
      </c>
      <c r="K1446" s="142">
        <v>0</v>
      </c>
      <c r="L1446" s="142">
        <v>0</v>
      </c>
      <c r="M1446" s="142">
        <v>0</v>
      </c>
    </row>
    <row r="1447" spans="1:13" x14ac:dyDescent="0.45">
      <c r="A1447" s="142" t="s">
        <v>13124</v>
      </c>
      <c r="B1447" s="142" t="s">
        <v>15554</v>
      </c>
      <c r="C1447" s="142" t="s">
        <v>15860</v>
      </c>
      <c r="D1447" s="142" t="s">
        <v>15861</v>
      </c>
      <c r="E1447" s="142" t="s">
        <v>15849</v>
      </c>
      <c r="F1447" s="142" t="s">
        <v>11440</v>
      </c>
      <c r="G1447" s="142" t="s">
        <v>11439</v>
      </c>
      <c r="H1447" s="142" t="s">
        <v>17297</v>
      </c>
      <c r="I1447" s="142">
        <v>119</v>
      </c>
      <c r="J1447" s="142">
        <v>119</v>
      </c>
      <c r="K1447" s="142">
        <v>0</v>
      </c>
      <c r="L1447" s="142">
        <v>0</v>
      </c>
      <c r="M1447" s="142">
        <v>0</v>
      </c>
    </row>
    <row r="1448" spans="1:13" x14ac:dyDescent="0.45">
      <c r="A1448" s="142" t="s">
        <v>13437</v>
      </c>
      <c r="B1448" s="142" t="s">
        <v>15268</v>
      </c>
      <c r="C1448" s="142" t="s">
        <v>15847</v>
      </c>
      <c r="D1448" s="142" t="s">
        <v>15848</v>
      </c>
      <c r="E1448" s="142" t="s">
        <v>15849</v>
      </c>
      <c r="F1448" s="142" t="s">
        <v>11440</v>
      </c>
      <c r="G1448" s="142" t="s">
        <v>11439</v>
      </c>
      <c r="H1448" s="142" t="s">
        <v>17298</v>
      </c>
      <c r="I1448" s="142">
        <v>30</v>
      </c>
      <c r="J1448" s="142">
        <v>30</v>
      </c>
      <c r="K1448" s="142">
        <v>0</v>
      </c>
      <c r="L1448" s="142">
        <v>0</v>
      </c>
      <c r="M1448" s="142">
        <v>0</v>
      </c>
    </row>
    <row r="1449" spans="1:13" x14ac:dyDescent="0.45">
      <c r="A1449" s="142" t="s">
        <v>13005</v>
      </c>
      <c r="B1449" s="142" t="s">
        <v>15475</v>
      </c>
      <c r="C1449" s="142" t="s">
        <v>15847</v>
      </c>
      <c r="D1449" s="142" t="s">
        <v>15848</v>
      </c>
      <c r="E1449" s="142" t="s">
        <v>15849</v>
      </c>
      <c r="F1449" s="142" t="s">
        <v>11440</v>
      </c>
      <c r="G1449" s="142" t="s">
        <v>11439</v>
      </c>
      <c r="H1449" s="142" t="s">
        <v>17299</v>
      </c>
      <c r="I1449" s="142">
        <v>41</v>
      </c>
      <c r="J1449" s="142">
        <v>40</v>
      </c>
      <c r="K1449" s="142">
        <v>0</v>
      </c>
      <c r="L1449" s="142">
        <v>0</v>
      </c>
      <c r="M1449" s="142">
        <v>1</v>
      </c>
    </row>
    <row r="1450" spans="1:13" x14ac:dyDescent="0.45">
      <c r="A1450" s="142" t="s">
        <v>13102</v>
      </c>
      <c r="B1450" s="142" t="s">
        <v>15235</v>
      </c>
      <c r="C1450" s="142" t="s">
        <v>15847</v>
      </c>
      <c r="D1450" s="142" t="s">
        <v>15848</v>
      </c>
      <c r="E1450" s="142" t="s">
        <v>15849</v>
      </c>
      <c r="F1450" s="142" t="s">
        <v>11440</v>
      </c>
      <c r="G1450" s="142" t="s">
        <v>11439</v>
      </c>
      <c r="H1450" s="142" t="s">
        <v>17300</v>
      </c>
      <c r="I1450" s="142">
        <v>623</v>
      </c>
      <c r="J1450" s="142">
        <v>312</v>
      </c>
      <c r="K1450" s="142">
        <v>241</v>
      </c>
      <c r="L1450" s="142">
        <v>35</v>
      </c>
      <c r="M1450" s="142">
        <v>35</v>
      </c>
    </row>
    <row r="1451" spans="1:13" x14ac:dyDescent="0.45">
      <c r="A1451" s="142" t="s">
        <v>13438</v>
      </c>
      <c r="B1451" s="142" t="s">
        <v>15008</v>
      </c>
      <c r="C1451" s="142" t="s">
        <v>15860</v>
      </c>
      <c r="D1451" s="142" t="s">
        <v>15861</v>
      </c>
      <c r="E1451" s="142" t="s">
        <v>15849</v>
      </c>
      <c r="F1451" s="142" t="s">
        <v>11440</v>
      </c>
      <c r="G1451" s="142" t="s">
        <v>11439</v>
      </c>
      <c r="H1451" s="142" t="s">
        <v>17301</v>
      </c>
      <c r="I1451" s="142">
        <v>106</v>
      </c>
      <c r="J1451" s="142">
        <v>106</v>
      </c>
      <c r="K1451" s="142">
        <v>0</v>
      </c>
      <c r="L1451" s="142">
        <v>0</v>
      </c>
      <c r="M1451" s="142">
        <v>0</v>
      </c>
    </row>
    <row r="1452" spans="1:13" x14ac:dyDescent="0.45">
      <c r="A1452" s="142" t="s">
        <v>13103</v>
      </c>
      <c r="B1452" s="142" t="s">
        <v>14623</v>
      </c>
      <c r="C1452" s="142" t="s">
        <v>15847</v>
      </c>
      <c r="D1452" s="142" t="s">
        <v>15848</v>
      </c>
      <c r="E1452" s="142" t="s">
        <v>15849</v>
      </c>
      <c r="F1452" s="142" t="s">
        <v>11440</v>
      </c>
      <c r="G1452" s="142" t="s">
        <v>11439</v>
      </c>
      <c r="H1452" s="142" t="s">
        <v>17302</v>
      </c>
      <c r="I1452" s="142">
        <v>1727</v>
      </c>
      <c r="J1452" s="142">
        <v>1287</v>
      </c>
      <c r="K1452" s="142">
        <v>188</v>
      </c>
      <c r="L1452" s="142">
        <v>199</v>
      </c>
      <c r="M1452" s="142">
        <v>53</v>
      </c>
    </row>
    <row r="1453" spans="1:13" x14ac:dyDescent="0.45">
      <c r="A1453" s="142" t="s">
        <v>13054</v>
      </c>
      <c r="B1453" s="142" t="s">
        <v>15604</v>
      </c>
      <c r="C1453" s="142" t="s">
        <v>15847</v>
      </c>
      <c r="D1453" s="142" t="s">
        <v>15848</v>
      </c>
      <c r="E1453" s="142" t="s">
        <v>15849</v>
      </c>
      <c r="F1453" s="142" t="s">
        <v>11440</v>
      </c>
      <c r="G1453" s="142" t="s">
        <v>11439</v>
      </c>
      <c r="H1453" s="142" t="s">
        <v>17303</v>
      </c>
      <c r="I1453" s="142">
        <v>114</v>
      </c>
      <c r="J1453" s="142">
        <v>0</v>
      </c>
      <c r="K1453" s="142">
        <v>0</v>
      </c>
      <c r="L1453" s="142">
        <v>0</v>
      </c>
      <c r="M1453" s="142">
        <v>114</v>
      </c>
    </row>
    <row r="1454" spans="1:13" x14ac:dyDescent="0.45">
      <c r="A1454" s="142" t="s">
        <v>13129</v>
      </c>
      <c r="B1454" s="142" t="s">
        <v>15284</v>
      </c>
      <c r="C1454" s="142" t="s">
        <v>15847</v>
      </c>
      <c r="D1454" s="142" t="s">
        <v>15848</v>
      </c>
      <c r="E1454" s="142" t="s">
        <v>15849</v>
      </c>
      <c r="F1454" s="142" t="s">
        <v>11440</v>
      </c>
      <c r="G1454" s="142" t="s">
        <v>11439</v>
      </c>
      <c r="H1454" s="142" t="s">
        <v>17304</v>
      </c>
      <c r="I1454" s="142">
        <v>89</v>
      </c>
      <c r="J1454" s="142">
        <v>75</v>
      </c>
      <c r="K1454" s="142">
        <v>4</v>
      </c>
      <c r="L1454" s="142">
        <v>0</v>
      </c>
      <c r="M1454" s="142">
        <v>10</v>
      </c>
    </row>
    <row r="1455" spans="1:13" x14ac:dyDescent="0.45">
      <c r="A1455" s="142" t="s">
        <v>13130</v>
      </c>
      <c r="B1455" s="142" t="s">
        <v>15391</v>
      </c>
      <c r="C1455" s="142" t="s">
        <v>15860</v>
      </c>
      <c r="D1455" s="142" t="s">
        <v>15861</v>
      </c>
      <c r="E1455" s="142" t="s">
        <v>15849</v>
      </c>
      <c r="F1455" s="142" t="s">
        <v>11440</v>
      </c>
      <c r="G1455" s="142" t="s">
        <v>11439</v>
      </c>
      <c r="H1455" s="142" t="s">
        <v>17305</v>
      </c>
      <c r="I1455" s="142">
        <v>110</v>
      </c>
      <c r="J1455" s="142">
        <v>110</v>
      </c>
      <c r="K1455" s="142">
        <v>0</v>
      </c>
      <c r="L1455" s="142">
        <v>0</v>
      </c>
      <c r="M1455" s="142">
        <v>0</v>
      </c>
    </row>
    <row r="1456" spans="1:13" x14ac:dyDescent="0.45">
      <c r="A1456" s="142" t="s">
        <v>13341</v>
      </c>
      <c r="B1456" s="142" t="s">
        <v>14530</v>
      </c>
      <c r="C1456" s="142" t="s">
        <v>15860</v>
      </c>
      <c r="D1456" s="142" t="s">
        <v>15861</v>
      </c>
      <c r="E1456" s="142" t="s">
        <v>15849</v>
      </c>
      <c r="F1456" s="142" t="s">
        <v>11440</v>
      </c>
      <c r="G1456" s="142" t="s">
        <v>11439</v>
      </c>
      <c r="H1456" s="142" t="s">
        <v>17306</v>
      </c>
      <c r="I1456" s="142">
        <v>292</v>
      </c>
      <c r="J1456" s="142">
        <v>287</v>
      </c>
      <c r="K1456" s="142">
        <v>0</v>
      </c>
      <c r="L1456" s="142">
        <v>5</v>
      </c>
      <c r="M1456" s="142">
        <v>0</v>
      </c>
    </row>
    <row r="1457" spans="1:13" x14ac:dyDescent="0.45">
      <c r="A1457" s="142" t="s">
        <v>13133</v>
      </c>
      <c r="B1457" s="142" t="s">
        <v>15291</v>
      </c>
      <c r="C1457" s="142" t="s">
        <v>15847</v>
      </c>
      <c r="D1457" s="142" t="s">
        <v>15848</v>
      </c>
      <c r="E1457" s="142" t="s">
        <v>15849</v>
      </c>
      <c r="F1457" s="142" t="s">
        <v>11440</v>
      </c>
      <c r="G1457" s="142" t="s">
        <v>11439</v>
      </c>
      <c r="H1457" s="142" t="s">
        <v>17307</v>
      </c>
      <c r="I1457" s="142">
        <v>2454</v>
      </c>
      <c r="J1457" s="142">
        <v>1967</v>
      </c>
      <c r="K1457" s="142">
        <v>0</v>
      </c>
      <c r="L1457" s="142">
        <v>379</v>
      </c>
      <c r="M1457" s="142">
        <v>108</v>
      </c>
    </row>
    <row r="1458" spans="1:13" x14ac:dyDescent="0.45">
      <c r="A1458" s="142" t="s">
        <v>13055</v>
      </c>
      <c r="B1458" s="142" t="s">
        <v>14595</v>
      </c>
      <c r="C1458" s="142" t="s">
        <v>15847</v>
      </c>
      <c r="D1458" s="142" t="s">
        <v>15848</v>
      </c>
      <c r="E1458" s="142" t="s">
        <v>15849</v>
      </c>
      <c r="F1458" s="142" t="s">
        <v>11440</v>
      </c>
      <c r="G1458" s="142" t="s">
        <v>11439</v>
      </c>
      <c r="H1458" s="142" t="s">
        <v>17308</v>
      </c>
      <c r="I1458" s="142">
        <v>90</v>
      </c>
      <c r="J1458" s="142">
        <v>62</v>
      </c>
      <c r="K1458" s="142">
        <v>0</v>
      </c>
      <c r="L1458" s="142">
        <v>28</v>
      </c>
      <c r="M1458" s="142">
        <v>0</v>
      </c>
    </row>
    <row r="1459" spans="1:13" x14ac:dyDescent="0.45">
      <c r="A1459" s="142" t="s">
        <v>13104</v>
      </c>
      <c r="B1459" s="142" t="s">
        <v>14622</v>
      </c>
      <c r="C1459" s="142" t="s">
        <v>15847</v>
      </c>
      <c r="D1459" s="142" t="s">
        <v>15848</v>
      </c>
      <c r="E1459" s="142" t="s">
        <v>15849</v>
      </c>
      <c r="F1459" s="142" t="s">
        <v>11440</v>
      </c>
      <c r="G1459" s="142" t="s">
        <v>11439</v>
      </c>
      <c r="H1459" s="142" t="s">
        <v>17309</v>
      </c>
      <c r="I1459" s="142">
        <v>689</v>
      </c>
      <c r="J1459" s="142">
        <v>663</v>
      </c>
      <c r="K1459" s="142">
        <v>0</v>
      </c>
      <c r="L1459" s="142">
        <v>24</v>
      </c>
      <c r="M1459" s="142">
        <v>2</v>
      </c>
    </row>
    <row r="1460" spans="1:13" x14ac:dyDescent="0.45">
      <c r="A1460" s="142" t="s">
        <v>13033</v>
      </c>
      <c r="B1460" s="142" t="s">
        <v>15276</v>
      </c>
      <c r="C1460" s="142" t="s">
        <v>15847</v>
      </c>
      <c r="D1460" s="142" t="s">
        <v>15848</v>
      </c>
      <c r="E1460" s="142" t="s">
        <v>15849</v>
      </c>
      <c r="F1460" s="142" t="s">
        <v>11440</v>
      </c>
      <c r="G1460" s="142" t="s">
        <v>11439</v>
      </c>
      <c r="H1460" s="142" t="s">
        <v>17310</v>
      </c>
      <c r="I1460" s="142">
        <v>30</v>
      </c>
      <c r="J1460" s="142">
        <v>0</v>
      </c>
      <c r="K1460" s="142">
        <v>0</v>
      </c>
      <c r="L1460" s="142">
        <v>0</v>
      </c>
      <c r="M1460" s="142">
        <v>30</v>
      </c>
    </row>
    <row r="1461" spans="1:13" x14ac:dyDescent="0.45">
      <c r="A1461" s="142" t="s">
        <v>13078</v>
      </c>
      <c r="B1461" s="142" t="s">
        <v>15540</v>
      </c>
      <c r="C1461" s="142" t="s">
        <v>15847</v>
      </c>
      <c r="D1461" s="142" t="s">
        <v>15848</v>
      </c>
      <c r="E1461" s="142" t="s">
        <v>15849</v>
      </c>
      <c r="F1461" s="142" t="s">
        <v>11440</v>
      </c>
      <c r="G1461" s="142" t="s">
        <v>11439</v>
      </c>
      <c r="H1461" s="142" t="s">
        <v>17311</v>
      </c>
      <c r="I1461" s="142">
        <v>49</v>
      </c>
      <c r="J1461" s="142">
        <v>1</v>
      </c>
      <c r="K1461" s="142">
        <v>0</v>
      </c>
      <c r="L1461" s="142">
        <v>48</v>
      </c>
      <c r="M1461" s="142">
        <v>0</v>
      </c>
    </row>
    <row r="1462" spans="1:13" x14ac:dyDescent="0.45">
      <c r="A1462" s="142" t="s">
        <v>13009</v>
      </c>
      <c r="B1462" s="142" t="s">
        <v>15256</v>
      </c>
      <c r="C1462" s="142" t="s">
        <v>15847</v>
      </c>
      <c r="D1462" s="142" t="s">
        <v>15848</v>
      </c>
      <c r="E1462" s="142" t="s">
        <v>15849</v>
      </c>
      <c r="F1462" s="142" t="s">
        <v>11440</v>
      </c>
      <c r="G1462" s="142" t="s">
        <v>11439</v>
      </c>
      <c r="H1462" s="142" t="s">
        <v>17312</v>
      </c>
      <c r="I1462" s="142">
        <v>12</v>
      </c>
      <c r="J1462" s="142">
        <v>12</v>
      </c>
      <c r="K1462" s="142">
        <v>0</v>
      </c>
      <c r="L1462" s="142">
        <v>0</v>
      </c>
      <c r="M1462" s="142">
        <v>0</v>
      </c>
    </row>
    <row r="1463" spans="1:13" x14ac:dyDescent="0.45">
      <c r="A1463" s="142" t="s">
        <v>13343</v>
      </c>
      <c r="B1463" s="142" t="s">
        <v>15161</v>
      </c>
      <c r="C1463" s="142" t="s">
        <v>15860</v>
      </c>
      <c r="D1463" s="142" t="s">
        <v>15861</v>
      </c>
      <c r="E1463" s="142" t="s">
        <v>15849</v>
      </c>
      <c r="F1463" s="142" t="s">
        <v>11440</v>
      </c>
      <c r="G1463" s="142" t="s">
        <v>11439</v>
      </c>
      <c r="H1463" s="142" t="s">
        <v>17313</v>
      </c>
      <c r="I1463" s="142">
        <v>136</v>
      </c>
      <c r="J1463" s="142">
        <v>68</v>
      </c>
      <c r="K1463" s="142">
        <v>8</v>
      </c>
      <c r="L1463" s="142">
        <v>60</v>
      </c>
      <c r="M1463" s="142">
        <v>0</v>
      </c>
    </row>
    <row r="1464" spans="1:13" x14ac:dyDescent="0.45">
      <c r="A1464" s="142" t="s">
        <v>13439</v>
      </c>
      <c r="B1464" s="142" t="s">
        <v>14974</v>
      </c>
      <c r="C1464" s="142" t="s">
        <v>15860</v>
      </c>
      <c r="D1464" s="142" t="s">
        <v>15861</v>
      </c>
      <c r="E1464" s="142" t="s">
        <v>15849</v>
      </c>
      <c r="F1464" s="142" t="s">
        <v>11440</v>
      </c>
      <c r="G1464" s="142" t="s">
        <v>11439</v>
      </c>
      <c r="H1464" s="142" t="s">
        <v>17314</v>
      </c>
      <c r="I1464" s="142">
        <v>3</v>
      </c>
      <c r="J1464" s="142">
        <v>3</v>
      </c>
      <c r="K1464" s="142">
        <v>0</v>
      </c>
      <c r="L1464" s="142">
        <v>0</v>
      </c>
      <c r="M1464" s="142">
        <v>0</v>
      </c>
    </row>
    <row r="1465" spans="1:13" x14ac:dyDescent="0.45">
      <c r="A1465" s="142" t="s">
        <v>13440</v>
      </c>
      <c r="B1465" s="142" t="s">
        <v>15522</v>
      </c>
      <c r="C1465" s="142" t="s">
        <v>15860</v>
      </c>
      <c r="D1465" s="142" t="s">
        <v>15861</v>
      </c>
      <c r="E1465" s="142" t="s">
        <v>15849</v>
      </c>
      <c r="F1465" s="142" t="s">
        <v>11440</v>
      </c>
      <c r="G1465" s="142" t="s">
        <v>11439</v>
      </c>
      <c r="H1465" s="142" t="s">
        <v>17315</v>
      </c>
      <c r="I1465" s="142">
        <v>211</v>
      </c>
      <c r="J1465" s="142">
        <v>211</v>
      </c>
      <c r="K1465" s="142">
        <v>0</v>
      </c>
      <c r="L1465" s="142">
        <v>0</v>
      </c>
      <c r="M1465" s="142">
        <v>0</v>
      </c>
    </row>
    <row r="1466" spans="1:13" x14ac:dyDescent="0.45">
      <c r="A1466" s="142" t="s">
        <v>13441</v>
      </c>
      <c r="B1466" s="142" t="s">
        <v>15031</v>
      </c>
      <c r="C1466" s="142" t="s">
        <v>15860</v>
      </c>
      <c r="D1466" s="142" t="s">
        <v>15861</v>
      </c>
      <c r="E1466" s="142" t="s">
        <v>15849</v>
      </c>
      <c r="F1466" s="142" t="s">
        <v>11440</v>
      </c>
      <c r="G1466" s="142" t="s">
        <v>11439</v>
      </c>
      <c r="H1466" s="142" t="s">
        <v>17316</v>
      </c>
      <c r="I1466" s="142">
        <v>29</v>
      </c>
      <c r="J1466" s="142">
        <v>26</v>
      </c>
      <c r="K1466" s="142">
        <v>0</v>
      </c>
      <c r="L1466" s="142">
        <v>3</v>
      </c>
      <c r="M1466" s="142">
        <v>0</v>
      </c>
    </row>
    <row r="1467" spans="1:13" x14ac:dyDescent="0.45">
      <c r="A1467" s="142" t="s">
        <v>13011</v>
      </c>
      <c r="B1467" s="142" t="s">
        <v>14695</v>
      </c>
      <c r="C1467" s="142" t="s">
        <v>15847</v>
      </c>
      <c r="D1467" s="142" t="s">
        <v>15848</v>
      </c>
      <c r="E1467" s="142" t="s">
        <v>15849</v>
      </c>
      <c r="F1467" s="142" t="s">
        <v>11440</v>
      </c>
      <c r="G1467" s="142" t="s">
        <v>11439</v>
      </c>
      <c r="H1467" s="142" t="s">
        <v>17317</v>
      </c>
      <c r="I1467" s="142">
        <v>20</v>
      </c>
      <c r="J1467" s="142">
        <v>15</v>
      </c>
      <c r="K1467" s="142">
        <v>3</v>
      </c>
      <c r="L1467" s="142">
        <v>0</v>
      </c>
      <c r="M1467" s="142">
        <v>2</v>
      </c>
    </row>
    <row r="1468" spans="1:13" x14ac:dyDescent="0.45">
      <c r="A1468" s="142" t="s">
        <v>13058</v>
      </c>
      <c r="B1468" s="142" t="s">
        <v>14584</v>
      </c>
      <c r="C1468" s="142" t="s">
        <v>15847</v>
      </c>
      <c r="D1468" s="142" t="s">
        <v>15848</v>
      </c>
      <c r="E1468" s="142" t="s">
        <v>15849</v>
      </c>
      <c r="F1468" s="142" t="s">
        <v>11440</v>
      </c>
      <c r="G1468" s="142" t="s">
        <v>11439</v>
      </c>
      <c r="H1468" s="142" t="s">
        <v>17318</v>
      </c>
      <c r="I1468" s="142">
        <v>91</v>
      </c>
      <c r="J1468" s="142">
        <v>91</v>
      </c>
      <c r="K1468" s="142">
        <v>0</v>
      </c>
      <c r="L1468" s="142">
        <v>0</v>
      </c>
      <c r="M1468" s="142">
        <v>0</v>
      </c>
    </row>
    <row r="1469" spans="1:13" x14ac:dyDescent="0.45">
      <c r="A1469" s="142" t="s">
        <v>13442</v>
      </c>
      <c r="B1469" s="142" t="s">
        <v>15606</v>
      </c>
      <c r="C1469" s="142" t="s">
        <v>15860</v>
      </c>
      <c r="D1469" s="142" t="s">
        <v>15861</v>
      </c>
      <c r="E1469" s="142" t="s">
        <v>15849</v>
      </c>
      <c r="F1469" s="142" t="s">
        <v>11440</v>
      </c>
      <c r="G1469" s="142" t="s">
        <v>11439</v>
      </c>
      <c r="H1469" s="142" t="s">
        <v>17319</v>
      </c>
      <c r="I1469" s="142">
        <v>1</v>
      </c>
      <c r="J1469" s="142">
        <v>1</v>
      </c>
      <c r="K1469" s="142">
        <v>0</v>
      </c>
      <c r="L1469" s="142">
        <v>0</v>
      </c>
      <c r="M1469" s="142">
        <v>0</v>
      </c>
    </row>
    <row r="1470" spans="1:13" x14ac:dyDescent="0.45">
      <c r="A1470" s="142" t="s">
        <v>13443</v>
      </c>
      <c r="B1470" s="142" t="s">
        <v>15531</v>
      </c>
      <c r="C1470" s="142" t="s">
        <v>15860</v>
      </c>
      <c r="D1470" s="142" t="s">
        <v>15861</v>
      </c>
      <c r="E1470" s="142" t="s">
        <v>15849</v>
      </c>
      <c r="F1470" s="142" t="s">
        <v>11440</v>
      </c>
      <c r="G1470" s="142" t="s">
        <v>11439</v>
      </c>
      <c r="H1470" s="142" t="s">
        <v>17320</v>
      </c>
      <c r="I1470" s="142">
        <v>15</v>
      </c>
      <c r="J1470" s="142">
        <v>0</v>
      </c>
      <c r="K1470" s="142">
        <v>0</v>
      </c>
      <c r="L1470" s="142">
        <v>15</v>
      </c>
      <c r="M1470" s="142">
        <v>0</v>
      </c>
    </row>
    <row r="1471" spans="1:13" x14ac:dyDescent="0.45">
      <c r="A1471" s="142" t="s">
        <v>13306</v>
      </c>
      <c r="B1471" s="142" t="s">
        <v>15500</v>
      </c>
      <c r="C1471" s="142" t="s">
        <v>15847</v>
      </c>
      <c r="D1471" s="142" t="s">
        <v>15848</v>
      </c>
      <c r="E1471" s="142" t="s">
        <v>15849</v>
      </c>
      <c r="F1471" s="142" t="s">
        <v>11440</v>
      </c>
      <c r="G1471" s="142" t="s">
        <v>11439</v>
      </c>
      <c r="H1471" s="142" t="s">
        <v>17321</v>
      </c>
      <c r="I1471" s="142">
        <v>208</v>
      </c>
      <c r="J1471" s="142">
        <v>0</v>
      </c>
      <c r="K1471" s="142">
        <v>0</v>
      </c>
      <c r="L1471" s="142">
        <v>208</v>
      </c>
      <c r="M1471" s="142">
        <v>0</v>
      </c>
    </row>
    <row r="1472" spans="1:13" x14ac:dyDescent="0.45">
      <c r="A1472" s="142" t="s">
        <v>13138</v>
      </c>
      <c r="B1472" s="142" t="s">
        <v>14590</v>
      </c>
      <c r="C1472" s="142" t="s">
        <v>15860</v>
      </c>
      <c r="D1472" s="142" t="s">
        <v>15861</v>
      </c>
      <c r="E1472" s="142" t="s">
        <v>15849</v>
      </c>
      <c r="F1472" s="142" t="s">
        <v>11440</v>
      </c>
      <c r="G1472" s="142" t="s">
        <v>11439</v>
      </c>
      <c r="H1472" s="142" t="s">
        <v>17322</v>
      </c>
      <c r="I1472" s="142">
        <v>1</v>
      </c>
      <c r="J1472" s="142">
        <v>1</v>
      </c>
      <c r="K1472" s="142">
        <v>0</v>
      </c>
      <c r="L1472" s="142">
        <v>0</v>
      </c>
      <c r="M1472" s="142">
        <v>0</v>
      </c>
    </row>
    <row r="1473" spans="1:13" x14ac:dyDescent="0.45">
      <c r="A1473" s="142" t="s">
        <v>13014</v>
      </c>
      <c r="B1473" s="142" t="s">
        <v>14505</v>
      </c>
      <c r="C1473" s="142" t="s">
        <v>15847</v>
      </c>
      <c r="D1473" s="142" t="s">
        <v>15848</v>
      </c>
      <c r="E1473" s="142" t="s">
        <v>15849</v>
      </c>
      <c r="F1473" s="142" t="s">
        <v>11440</v>
      </c>
      <c r="G1473" s="142" t="s">
        <v>11439</v>
      </c>
      <c r="H1473" s="142" t="s">
        <v>17323</v>
      </c>
      <c r="I1473" s="142">
        <v>36</v>
      </c>
      <c r="J1473" s="142">
        <v>36</v>
      </c>
      <c r="K1473" s="142">
        <v>0</v>
      </c>
      <c r="L1473" s="142">
        <v>0</v>
      </c>
      <c r="M1473" s="142">
        <v>0</v>
      </c>
    </row>
    <row r="1474" spans="1:13" x14ac:dyDescent="0.45">
      <c r="A1474" s="142" t="s">
        <v>13141</v>
      </c>
      <c r="B1474" s="142" t="s">
        <v>15258</v>
      </c>
      <c r="C1474" s="142" t="s">
        <v>15847</v>
      </c>
      <c r="D1474" s="142" t="s">
        <v>15848</v>
      </c>
      <c r="E1474" s="142" t="s">
        <v>15849</v>
      </c>
      <c r="F1474" s="142" t="s">
        <v>11440</v>
      </c>
      <c r="G1474" s="142" t="s">
        <v>11439</v>
      </c>
      <c r="H1474" s="142" t="s">
        <v>17324</v>
      </c>
      <c r="I1474" s="142">
        <v>4</v>
      </c>
      <c r="J1474" s="142">
        <v>4</v>
      </c>
      <c r="K1474" s="142">
        <v>0</v>
      </c>
      <c r="L1474" s="142">
        <v>0</v>
      </c>
      <c r="M1474" s="142">
        <v>0</v>
      </c>
    </row>
    <row r="1475" spans="1:13" x14ac:dyDescent="0.45">
      <c r="A1475" s="142" t="s">
        <v>13042</v>
      </c>
      <c r="B1475" s="142" t="s">
        <v>15489</v>
      </c>
      <c r="C1475" s="142" t="s">
        <v>15847</v>
      </c>
      <c r="D1475" s="142" t="s">
        <v>15848</v>
      </c>
      <c r="E1475" s="142" t="s">
        <v>15849</v>
      </c>
      <c r="F1475" s="142" t="s">
        <v>11440</v>
      </c>
      <c r="G1475" s="142" t="s">
        <v>11439</v>
      </c>
      <c r="H1475" s="142" t="s">
        <v>17325</v>
      </c>
      <c r="I1475" s="142">
        <v>2775</v>
      </c>
      <c r="J1475" s="142">
        <v>2089</v>
      </c>
      <c r="K1475" s="142">
        <v>1</v>
      </c>
      <c r="L1475" s="142">
        <v>551</v>
      </c>
      <c r="M1475" s="142">
        <v>134</v>
      </c>
    </row>
    <row r="1476" spans="1:13" x14ac:dyDescent="0.45">
      <c r="A1476" s="142" t="s">
        <v>13345</v>
      </c>
      <c r="B1476" s="142" t="s">
        <v>14957</v>
      </c>
      <c r="C1476" s="142" t="s">
        <v>15860</v>
      </c>
      <c r="D1476" s="142" t="s">
        <v>15861</v>
      </c>
      <c r="E1476" s="142" t="s">
        <v>15849</v>
      </c>
      <c r="F1476" s="142" t="s">
        <v>11440</v>
      </c>
      <c r="G1476" s="142" t="s">
        <v>11439</v>
      </c>
      <c r="H1476" s="142" t="s">
        <v>17326</v>
      </c>
      <c r="I1476" s="142">
        <v>67</v>
      </c>
      <c r="J1476" s="142">
        <v>67</v>
      </c>
      <c r="K1476" s="142">
        <v>0</v>
      </c>
      <c r="L1476" s="142">
        <v>0</v>
      </c>
      <c r="M1476" s="142">
        <v>0</v>
      </c>
    </row>
    <row r="1477" spans="1:13" x14ac:dyDescent="0.45">
      <c r="A1477" s="142" t="s">
        <v>13444</v>
      </c>
      <c r="B1477" s="142" t="s">
        <v>15335</v>
      </c>
      <c r="C1477" s="142" t="s">
        <v>15860</v>
      </c>
      <c r="D1477" s="142" t="s">
        <v>15861</v>
      </c>
      <c r="E1477" s="142" t="s">
        <v>15849</v>
      </c>
      <c r="F1477" s="142" t="s">
        <v>11440</v>
      </c>
      <c r="G1477" s="142" t="s">
        <v>11439</v>
      </c>
      <c r="H1477" s="142" t="s">
        <v>17327</v>
      </c>
      <c r="I1477" s="142">
        <v>19</v>
      </c>
      <c r="J1477" s="142">
        <v>19</v>
      </c>
      <c r="K1477" s="142">
        <v>0</v>
      </c>
      <c r="L1477" s="142">
        <v>0</v>
      </c>
      <c r="M1477" s="142">
        <v>0</v>
      </c>
    </row>
    <row r="1478" spans="1:13" x14ac:dyDescent="0.45">
      <c r="A1478" s="142" t="s">
        <v>13020</v>
      </c>
      <c r="B1478" s="142" t="s">
        <v>15523</v>
      </c>
      <c r="C1478" s="142" t="s">
        <v>15860</v>
      </c>
      <c r="D1478" s="142" t="s">
        <v>15861</v>
      </c>
      <c r="E1478" s="142" t="s">
        <v>15849</v>
      </c>
      <c r="F1478" s="142" t="s">
        <v>7795</v>
      </c>
      <c r="G1478" s="142" t="s">
        <v>7794</v>
      </c>
      <c r="H1478" s="142" t="s">
        <v>17328</v>
      </c>
      <c r="I1478" s="142">
        <v>6</v>
      </c>
      <c r="J1478" s="142">
        <v>0</v>
      </c>
      <c r="K1478" s="142">
        <v>0</v>
      </c>
      <c r="L1478" s="142">
        <v>6</v>
      </c>
      <c r="M1478" s="142">
        <v>0</v>
      </c>
    </row>
    <row r="1479" spans="1:13" x14ac:dyDescent="0.45">
      <c r="A1479" s="142" t="s">
        <v>13021</v>
      </c>
      <c r="B1479" s="142" t="s">
        <v>15501</v>
      </c>
      <c r="C1479" s="142" t="s">
        <v>15847</v>
      </c>
      <c r="D1479" s="142" t="s">
        <v>15848</v>
      </c>
      <c r="E1479" s="142" t="s">
        <v>15849</v>
      </c>
      <c r="F1479" s="142" t="s">
        <v>7795</v>
      </c>
      <c r="G1479" s="142" t="s">
        <v>7794</v>
      </c>
      <c r="H1479" s="142" t="s">
        <v>17329</v>
      </c>
      <c r="I1479" s="142">
        <v>1</v>
      </c>
      <c r="J1479" s="142">
        <v>0</v>
      </c>
      <c r="K1479" s="142">
        <v>0</v>
      </c>
      <c r="L1479" s="142">
        <v>0</v>
      </c>
      <c r="M1479" s="142">
        <v>1</v>
      </c>
    </row>
    <row r="1480" spans="1:13" x14ac:dyDescent="0.45">
      <c r="A1480" s="142" t="s">
        <v>13022</v>
      </c>
      <c r="B1480" s="142" t="s">
        <v>14634</v>
      </c>
      <c r="C1480" s="142" t="s">
        <v>15847</v>
      </c>
      <c r="D1480" s="142" t="s">
        <v>15848</v>
      </c>
      <c r="E1480" s="142" t="s">
        <v>15849</v>
      </c>
      <c r="F1480" s="142" t="s">
        <v>7795</v>
      </c>
      <c r="G1480" s="142" t="s">
        <v>7794</v>
      </c>
      <c r="H1480" s="142" t="s">
        <v>17330</v>
      </c>
      <c r="I1480" s="142">
        <v>1</v>
      </c>
      <c r="J1480" s="142">
        <v>0</v>
      </c>
      <c r="K1480" s="142">
        <v>0</v>
      </c>
      <c r="L1480" s="142">
        <v>0</v>
      </c>
      <c r="M1480" s="142">
        <v>1</v>
      </c>
    </row>
    <row r="1481" spans="1:13" x14ac:dyDescent="0.45">
      <c r="A1481" s="142" t="s">
        <v>13023</v>
      </c>
      <c r="B1481" s="142" t="s">
        <v>15571</v>
      </c>
      <c r="C1481" s="142" t="s">
        <v>15847</v>
      </c>
      <c r="D1481" s="142" t="s">
        <v>15848</v>
      </c>
      <c r="E1481" s="142" t="s">
        <v>15849</v>
      </c>
      <c r="F1481" s="142" t="s">
        <v>7795</v>
      </c>
      <c r="G1481" s="142" t="s">
        <v>7794</v>
      </c>
      <c r="H1481" s="142" t="s">
        <v>17331</v>
      </c>
      <c r="I1481" s="142">
        <v>29</v>
      </c>
      <c r="J1481" s="142">
        <v>0</v>
      </c>
      <c r="K1481" s="142">
        <v>0</v>
      </c>
      <c r="L1481" s="142">
        <v>29</v>
      </c>
      <c r="M1481" s="142">
        <v>0</v>
      </c>
    </row>
    <row r="1482" spans="1:13" x14ac:dyDescent="0.45">
      <c r="A1482" s="142" t="s">
        <v>13446</v>
      </c>
      <c r="B1482" s="142" t="s">
        <v>15430</v>
      </c>
      <c r="C1482" s="142" t="s">
        <v>15847</v>
      </c>
      <c r="D1482" s="142" t="s">
        <v>15848</v>
      </c>
      <c r="E1482" s="142" t="s">
        <v>15849</v>
      </c>
      <c r="F1482" s="142" t="s">
        <v>7795</v>
      </c>
      <c r="G1482" s="142" t="s">
        <v>7794</v>
      </c>
      <c r="H1482" s="142" t="s">
        <v>17332</v>
      </c>
      <c r="I1482" s="142">
        <v>39</v>
      </c>
      <c r="J1482" s="142">
        <v>30</v>
      </c>
      <c r="K1482" s="142">
        <v>0</v>
      </c>
      <c r="L1482" s="142">
        <v>0</v>
      </c>
      <c r="M1482" s="142">
        <v>9</v>
      </c>
    </row>
    <row r="1483" spans="1:13" x14ac:dyDescent="0.45">
      <c r="A1483" s="142" t="s">
        <v>13065</v>
      </c>
      <c r="B1483" s="142" t="s">
        <v>14497</v>
      </c>
      <c r="C1483" s="142" t="s">
        <v>15847</v>
      </c>
      <c r="D1483" s="142" t="s">
        <v>15848</v>
      </c>
      <c r="E1483" s="142" t="s">
        <v>15849</v>
      </c>
      <c r="F1483" s="142" t="s">
        <v>7795</v>
      </c>
      <c r="G1483" s="142" t="s">
        <v>7794</v>
      </c>
      <c r="H1483" s="142" t="s">
        <v>17333</v>
      </c>
      <c r="I1483" s="142">
        <v>9</v>
      </c>
      <c r="J1483" s="142">
        <v>0</v>
      </c>
      <c r="K1483" s="142">
        <v>0</v>
      </c>
      <c r="L1483" s="142">
        <v>9</v>
      </c>
      <c r="M1483" s="142">
        <v>0</v>
      </c>
    </row>
    <row r="1484" spans="1:13" x14ac:dyDescent="0.45">
      <c r="A1484" s="142" t="s">
        <v>13447</v>
      </c>
      <c r="B1484" s="142" t="s">
        <v>14674</v>
      </c>
      <c r="C1484" s="142" t="s">
        <v>15860</v>
      </c>
      <c r="D1484" s="142" t="s">
        <v>15861</v>
      </c>
      <c r="E1484" s="142" t="s">
        <v>15849</v>
      </c>
      <c r="F1484" s="142" t="s">
        <v>7795</v>
      </c>
      <c r="G1484" s="142" t="s">
        <v>7794</v>
      </c>
      <c r="H1484" s="142" t="s">
        <v>17334</v>
      </c>
      <c r="I1484" s="142">
        <v>1</v>
      </c>
      <c r="J1484" s="142">
        <v>1</v>
      </c>
      <c r="K1484" s="142">
        <v>0</v>
      </c>
      <c r="L1484" s="142">
        <v>0</v>
      </c>
      <c r="M1484" s="142">
        <v>0</v>
      </c>
    </row>
    <row r="1485" spans="1:13" x14ac:dyDescent="0.45">
      <c r="A1485" s="142" t="s">
        <v>13235</v>
      </c>
      <c r="B1485" s="142" t="s">
        <v>14573</v>
      </c>
      <c r="C1485" s="142" t="s">
        <v>15847</v>
      </c>
      <c r="D1485" s="142" t="s">
        <v>15848</v>
      </c>
      <c r="E1485" s="142" t="s">
        <v>15849</v>
      </c>
      <c r="F1485" s="142" t="s">
        <v>7795</v>
      </c>
      <c r="G1485" s="142" t="s">
        <v>7794</v>
      </c>
      <c r="H1485" s="142" t="s">
        <v>17335</v>
      </c>
      <c r="I1485" s="142">
        <v>435</v>
      </c>
      <c r="J1485" s="142">
        <v>388</v>
      </c>
      <c r="K1485" s="142">
        <v>0</v>
      </c>
      <c r="L1485" s="142">
        <v>0</v>
      </c>
      <c r="M1485" s="142">
        <v>47</v>
      </c>
    </row>
    <row r="1486" spans="1:13" x14ac:dyDescent="0.45">
      <c r="A1486" s="142" t="s">
        <v>13237</v>
      </c>
      <c r="B1486" s="142" t="s">
        <v>14643</v>
      </c>
      <c r="C1486" s="142" t="s">
        <v>15847</v>
      </c>
      <c r="D1486" s="142" t="s">
        <v>15848</v>
      </c>
      <c r="E1486" s="142" t="s">
        <v>15849</v>
      </c>
      <c r="F1486" s="142" t="s">
        <v>7795</v>
      </c>
      <c r="G1486" s="142" t="s">
        <v>7794</v>
      </c>
      <c r="H1486" s="142" t="s">
        <v>17336</v>
      </c>
      <c r="I1486" s="142">
        <v>1</v>
      </c>
      <c r="J1486" s="142">
        <v>1</v>
      </c>
      <c r="K1486" s="142">
        <v>0</v>
      </c>
      <c r="L1486" s="142">
        <v>0</v>
      </c>
      <c r="M1486" s="142">
        <v>0</v>
      </c>
    </row>
    <row r="1487" spans="1:13" x14ac:dyDescent="0.45">
      <c r="A1487" s="142" t="s">
        <v>13000</v>
      </c>
      <c r="B1487" s="142" t="s">
        <v>14610</v>
      </c>
      <c r="C1487" s="142" t="s">
        <v>15847</v>
      </c>
      <c r="D1487" s="142" t="s">
        <v>15848</v>
      </c>
      <c r="E1487" s="142" t="s">
        <v>15849</v>
      </c>
      <c r="F1487" s="142" t="s">
        <v>7795</v>
      </c>
      <c r="G1487" s="142" t="s">
        <v>7794</v>
      </c>
      <c r="H1487" s="142" t="s">
        <v>17337</v>
      </c>
      <c r="I1487" s="142">
        <v>1</v>
      </c>
      <c r="J1487" s="142">
        <v>0</v>
      </c>
      <c r="K1487" s="142">
        <v>0</v>
      </c>
      <c r="L1487" s="142">
        <v>0</v>
      </c>
      <c r="M1487" s="142">
        <v>1</v>
      </c>
    </row>
    <row r="1488" spans="1:13" x14ac:dyDescent="0.45">
      <c r="A1488" s="142" t="s">
        <v>13243</v>
      </c>
      <c r="B1488" s="142" t="s">
        <v>15560</v>
      </c>
      <c r="C1488" s="142" t="s">
        <v>15847</v>
      </c>
      <c r="D1488" s="142" t="s">
        <v>15848</v>
      </c>
      <c r="E1488" s="142" t="s">
        <v>15849</v>
      </c>
      <c r="F1488" s="142" t="s">
        <v>7795</v>
      </c>
      <c r="G1488" s="142" t="s">
        <v>7794</v>
      </c>
      <c r="H1488" s="142" t="s">
        <v>17338</v>
      </c>
      <c r="I1488" s="142">
        <v>91</v>
      </c>
      <c r="J1488" s="142">
        <v>66</v>
      </c>
      <c r="K1488" s="142">
        <v>0</v>
      </c>
      <c r="L1488" s="142">
        <v>16</v>
      </c>
      <c r="M1488" s="142">
        <v>9</v>
      </c>
    </row>
    <row r="1489" spans="1:13" x14ac:dyDescent="0.45">
      <c r="A1489" s="142" t="s">
        <v>13028</v>
      </c>
      <c r="B1489" s="142" t="s">
        <v>14462</v>
      </c>
      <c r="C1489" s="142" t="s">
        <v>15847</v>
      </c>
      <c r="D1489" s="142" t="s">
        <v>15848</v>
      </c>
      <c r="E1489" s="142" t="s">
        <v>15849</v>
      </c>
      <c r="F1489" s="142" t="s">
        <v>7795</v>
      </c>
      <c r="G1489" s="142" t="s">
        <v>7794</v>
      </c>
      <c r="H1489" s="142" t="s">
        <v>17339</v>
      </c>
      <c r="I1489" s="142">
        <v>15</v>
      </c>
      <c r="J1489" s="142">
        <v>0</v>
      </c>
      <c r="K1489" s="142">
        <v>0</v>
      </c>
      <c r="L1489" s="142">
        <v>0</v>
      </c>
      <c r="M1489" s="142">
        <v>15</v>
      </c>
    </row>
    <row r="1490" spans="1:13" x14ac:dyDescent="0.45">
      <c r="A1490" s="142" t="s">
        <v>13448</v>
      </c>
      <c r="B1490" s="142" t="s">
        <v>15574</v>
      </c>
      <c r="C1490" s="142" t="s">
        <v>15847</v>
      </c>
      <c r="D1490" s="142" t="s">
        <v>15848</v>
      </c>
      <c r="E1490" s="142" t="s">
        <v>15849</v>
      </c>
      <c r="F1490" s="142" t="s">
        <v>7795</v>
      </c>
      <c r="G1490" s="142" t="s">
        <v>7794</v>
      </c>
      <c r="H1490" s="142" t="s">
        <v>17340</v>
      </c>
      <c r="I1490" s="142">
        <v>271</v>
      </c>
      <c r="J1490" s="142">
        <v>139</v>
      </c>
      <c r="K1490" s="142">
        <v>0</v>
      </c>
      <c r="L1490" s="142">
        <v>80</v>
      </c>
      <c r="M1490" s="142">
        <v>52</v>
      </c>
    </row>
    <row r="1491" spans="1:13" x14ac:dyDescent="0.45">
      <c r="A1491" s="142" t="s">
        <v>13003</v>
      </c>
      <c r="B1491" s="142" t="s">
        <v>15245</v>
      </c>
      <c r="C1491" s="142" t="s">
        <v>15847</v>
      </c>
      <c r="D1491" s="142" t="s">
        <v>15848</v>
      </c>
      <c r="E1491" s="142" t="s">
        <v>15849</v>
      </c>
      <c r="F1491" s="142" t="s">
        <v>7795</v>
      </c>
      <c r="G1491" s="142" t="s">
        <v>7794</v>
      </c>
      <c r="H1491" s="142" t="s">
        <v>17341</v>
      </c>
      <c r="I1491" s="142">
        <v>71</v>
      </c>
      <c r="J1491" s="142">
        <v>0</v>
      </c>
      <c r="K1491" s="142">
        <v>0</v>
      </c>
      <c r="L1491" s="142">
        <v>71</v>
      </c>
      <c r="M1491" s="142">
        <v>0</v>
      </c>
    </row>
    <row r="1492" spans="1:13" x14ac:dyDescent="0.45">
      <c r="A1492" s="142" t="s">
        <v>13066</v>
      </c>
      <c r="B1492" s="142" t="s">
        <v>14459</v>
      </c>
      <c r="C1492" s="142" t="s">
        <v>15847</v>
      </c>
      <c r="D1492" s="142" t="s">
        <v>15848</v>
      </c>
      <c r="E1492" s="142" t="s">
        <v>15849</v>
      </c>
      <c r="F1492" s="142" t="s">
        <v>7795</v>
      </c>
      <c r="G1492" s="142" t="s">
        <v>7794</v>
      </c>
      <c r="H1492" s="142" t="s">
        <v>17342</v>
      </c>
      <c r="I1492" s="142">
        <v>35</v>
      </c>
      <c r="J1492" s="142">
        <v>0</v>
      </c>
      <c r="K1492" s="142">
        <v>0</v>
      </c>
      <c r="L1492" s="142">
        <v>35</v>
      </c>
      <c r="M1492" s="142">
        <v>0</v>
      </c>
    </row>
    <row r="1493" spans="1:13" x14ac:dyDescent="0.45">
      <c r="A1493" s="142" t="s">
        <v>13400</v>
      </c>
      <c r="B1493" s="142" t="s">
        <v>15278</v>
      </c>
      <c r="C1493" s="142" t="s">
        <v>15860</v>
      </c>
      <c r="D1493" s="142" t="s">
        <v>15861</v>
      </c>
      <c r="E1493" s="142" t="s">
        <v>15849</v>
      </c>
      <c r="F1493" s="142" t="s">
        <v>7795</v>
      </c>
      <c r="G1493" s="142" t="s">
        <v>7794</v>
      </c>
      <c r="H1493" s="142" t="s">
        <v>17343</v>
      </c>
      <c r="I1493" s="142">
        <v>35</v>
      </c>
      <c r="J1493" s="142">
        <v>0</v>
      </c>
      <c r="K1493" s="142">
        <v>0</v>
      </c>
      <c r="L1493" s="142">
        <v>35</v>
      </c>
      <c r="M1493" s="142">
        <v>0</v>
      </c>
    </row>
    <row r="1494" spans="1:13" x14ac:dyDescent="0.45">
      <c r="A1494" s="142" t="s">
        <v>13248</v>
      </c>
      <c r="B1494" s="142" t="s">
        <v>15463</v>
      </c>
      <c r="C1494" s="142" t="s">
        <v>15847</v>
      </c>
      <c r="D1494" s="142" t="s">
        <v>15848</v>
      </c>
      <c r="E1494" s="142" t="s">
        <v>15849</v>
      </c>
      <c r="F1494" s="142" t="s">
        <v>7795</v>
      </c>
      <c r="G1494" s="142" t="s">
        <v>7794</v>
      </c>
      <c r="H1494" s="142" t="s">
        <v>17344</v>
      </c>
      <c r="I1494" s="142">
        <v>447</v>
      </c>
      <c r="J1494" s="142">
        <v>334</v>
      </c>
      <c r="K1494" s="142">
        <v>2</v>
      </c>
      <c r="L1494" s="142">
        <v>100</v>
      </c>
      <c r="M1494" s="142">
        <v>11</v>
      </c>
    </row>
    <row r="1495" spans="1:13" x14ac:dyDescent="0.45">
      <c r="A1495" s="142" t="s">
        <v>13008</v>
      </c>
      <c r="B1495" s="142" t="s">
        <v>15411</v>
      </c>
      <c r="C1495" s="142" t="s">
        <v>15847</v>
      </c>
      <c r="D1495" s="142" t="s">
        <v>15848</v>
      </c>
      <c r="E1495" s="142" t="s">
        <v>15849</v>
      </c>
      <c r="F1495" s="142" t="s">
        <v>7795</v>
      </c>
      <c r="G1495" s="142" t="s">
        <v>7794</v>
      </c>
      <c r="H1495" s="142" t="s">
        <v>17345</v>
      </c>
      <c r="I1495" s="142">
        <v>6</v>
      </c>
      <c r="J1495" s="142">
        <v>0</v>
      </c>
      <c r="K1495" s="142">
        <v>0</v>
      </c>
      <c r="L1495" s="142">
        <v>0</v>
      </c>
      <c r="M1495" s="142">
        <v>6</v>
      </c>
    </row>
    <row r="1496" spans="1:13" x14ac:dyDescent="0.45">
      <c r="A1496" s="142" t="s">
        <v>13077</v>
      </c>
      <c r="B1496" s="142" t="s">
        <v>15407</v>
      </c>
      <c r="C1496" s="142" t="s">
        <v>15847</v>
      </c>
      <c r="D1496" s="142" t="s">
        <v>15848</v>
      </c>
      <c r="E1496" s="142" t="s">
        <v>15849</v>
      </c>
      <c r="F1496" s="142" t="s">
        <v>7795</v>
      </c>
      <c r="G1496" s="142" t="s">
        <v>7794</v>
      </c>
      <c r="H1496" s="142" t="s">
        <v>17346</v>
      </c>
      <c r="I1496" s="142">
        <v>8</v>
      </c>
      <c r="J1496" s="142">
        <v>8</v>
      </c>
      <c r="K1496" s="142">
        <v>0</v>
      </c>
      <c r="L1496" s="142">
        <v>0</v>
      </c>
      <c r="M1496" s="142">
        <v>0</v>
      </c>
    </row>
    <row r="1497" spans="1:13" x14ac:dyDescent="0.45">
      <c r="A1497" s="142" t="s">
        <v>13035</v>
      </c>
      <c r="B1497" s="142" t="s">
        <v>14648</v>
      </c>
      <c r="C1497" s="142" t="s">
        <v>15847</v>
      </c>
      <c r="D1497" s="142" t="s">
        <v>15848</v>
      </c>
      <c r="E1497" s="142" t="s">
        <v>15849</v>
      </c>
      <c r="F1497" s="142" t="s">
        <v>7795</v>
      </c>
      <c r="G1497" s="142" t="s">
        <v>7794</v>
      </c>
      <c r="H1497" s="142" t="s">
        <v>17347</v>
      </c>
      <c r="I1497" s="142">
        <v>328</v>
      </c>
      <c r="J1497" s="142">
        <v>257</v>
      </c>
      <c r="K1497" s="142">
        <v>0</v>
      </c>
      <c r="L1497" s="142">
        <v>0</v>
      </c>
      <c r="M1497" s="142">
        <v>71</v>
      </c>
    </row>
    <row r="1498" spans="1:13" x14ac:dyDescent="0.45">
      <c r="A1498" s="142" t="s">
        <v>13038</v>
      </c>
      <c r="B1498" s="142" t="s">
        <v>14646</v>
      </c>
      <c r="C1498" s="142" t="s">
        <v>15847</v>
      </c>
      <c r="D1498" s="142" t="s">
        <v>15848</v>
      </c>
      <c r="E1498" s="142" t="s">
        <v>15849</v>
      </c>
      <c r="F1498" s="142" t="s">
        <v>7795</v>
      </c>
      <c r="G1498" s="142" t="s">
        <v>7794</v>
      </c>
      <c r="H1498" s="142" t="s">
        <v>17348</v>
      </c>
      <c r="I1498" s="142">
        <v>14</v>
      </c>
      <c r="J1498" s="142">
        <v>10</v>
      </c>
      <c r="K1498" s="142">
        <v>0</v>
      </c>
      <c r="L1498" s="142">
        <v>0</v>
      </c>
      <c r="M1498" s="142">
        <v>4</v>
      </c>
    </row>
    <row r="1499" spans="1:13" x14ac:dyDescent="0.45">
      <c r="A1499" s="142" t="s">
        <v>13009</v>
      </c>
      <c r="B1499" s="142" t="s">
        <v>15256</v>
      </c>
      <c r="C1499" s="142" t="s">
        <v>15847</v>
      </c>
      <c r="D1499" s="142" t="s">
        <v>15848</v>
      </c>
      <c r="E1499" s="142" t="s">
        <v>15849</v>
      </c>
      <c r="F1499" s="142" t="s">
        <v>7795</v>
      </c>
      <c r="G1499" s="142" t="s">
        <v>7794</v>
      </c>
      <c r="H1499" s="142" t="s">
        <v>17349</v>
      </c>
      <c r="I1499" s="142">
        <v>285</v>
      </c>
      <c r="J1499" s="142">
        <v>264</v>
      </c>
      <c r="K1499" s="142">
        <v>0</v>
      </c>
      <c r="L1499" s="142">
        <v>6</v>
      </c>
      <c r="M1499" s="142">
        <v>15</v>
      </c>
    </row>
    <row r="1500" spans="1:13" x14ac:dyDescent="0.45">
      <c r="A1500" s="142" t="s">
        <v>13449</v>
      </c>
      <c r="B1500" s="142" t="s">
        <v>14913</v>
      </c>
      <c r="C1500" s="142" t="s">
        <v>15860</v>
      </c>
      <c r="D1500" s="142" t="s">
        <v>15861</v>
      </c>
      <c r="E1500" s="142" t="s">
        <v>15849</v>
      </c>
      <c r="F1500" s="142" t="s">
        <v>7795</v>
      </c>
      <c r="G1500" s="142" t="s">
        <v>7794</v>
      </c>
      <c r="H1500" s="142" t="s">
        <v>17350</v>
      </c>
      <c r="I1500" s="142">
        <v>11</v>
      </c>
      <c r="J1500" s="142">
        <v>11</v>
      </c>
      <c r="K1500" s="142">
        <v>0</v>
      </c>
      <c r="L1500" s="142">
        <v>0</v>
      </c>
      <c r="M1500" s="142">
        <v>0</v>
      </c>
    </row>
    <row r="1501" spans="1:13" x14ac:dyDescent="0.45">
      <c r="A1501" s="142" t="s">
        <v>13450</v>
      </c>
      <c r="B1501" s="142" t="s">
        <v>14813</v>
      </c>
      <c r="C1501" s="142" t="s">
        <v>15860</v>
      </c>
      <c r="D1501" s="142" t="s">
        <v>15861</v>
      </c>
      <c r="E1501" s="142" t="s">
        <v>15849</v>
      </c>
      <c r="F1501" s="142" t="s">
        <v>7795</v>
      </c>
      <c r="G1501" s="142" t="s">
        <v>7794</v>
      </c>
      <c r="H1501" s="142" t="s">
        <v>17351</v>
      </c>
      <c r="I1501" s="142">
        <v>47</v>
      </c>
      <c r="J1501" s="142">
        <v>11</v>
      </c>
      <c r="K1501" s="142">
        <v>0</v>
      </c>
      <c r="L1501" s="142">
        <v>36</v>
      </c>
      <c r="M1501" s="142">
        <v>0</v>
      </c>
    </row>
    <row r="1502" spans="1:13" x14ac:dyDescent="0.45">
      <c r="A1502" s="142" t="s">
        <v>13451</v>
      </c>
      <c r="B1502" s="142" t="s">
        <v>15582</v>
      </c>
      <c r="C1502" s="142" t="s">
        <v>15847</v>
      </c>
      <c r="D1502" s="142" t="s">
        <v>15848</v>
      </c>
      <c r="E1502" s="142" t="s">
        <v>15849</v>
      </c>
      <c r="F1502" s="142" t="s">
        <v>7795</v>
      </c>
      <c r="G1502" s="142" t="s">
        <v>7794</v>
      </c>
      <c r="H1502" s="142" t="s">
        <v>17352</v>
      </c>
      <c r="I1502" s="142">
        <v>278</v>
      </c>
      <c r="J1502" s="142">
        <v>208</v>
      </c>
      <c r="K1502" s="142">
        <v>0</v>
      </c>
      <c r="L1502" s="142">
        <v>63</v>
      </c>
      <c r="M1502" s="142">
        <v>7</v>
      </c>
    </row>
    <row r="1503" spans="1:13" x14ac:dyDescent="0.45">
      <c r="A1503" s="142" t="s">
        <v>13264</v>
      </c>
      <c r="B1503" s="142" t="s">
        <v>15302</v>
      </c>
      <c r="C1503" s="142" t="s">
        <v>15847</v>
      </c>
      <c r="D1503" s="142" t="s">
        <v>15848</v>
      </c>
      <c r="E1503" s="142" t="s">
        <v>15849</v>
      </c>
      <c r="F1503" s="142" t="s">
        <v>7795</v>
      </c>
      <c r="G1503" s="142" t="s">
        <v>7794</v>
      </c>
      <c r="H1503" s="142" t="s">
        <v>17353</v>
      </c>
      <c r="I1503" s="142">
        <v>10</v>
      </c>
      <c r="J1503" s="142">
        <v>10</v>
      </c>
      <c r="K1503" s="142">
        <v>0</v>
      </c>
      <c r="L1503" s="142">
        <v>0</v>
      </c>
      <c r="M1503" s="142">
        <v>0</v>
      </c>
    </row>
    <row r="1504" spans="1:13" x14ac:dyDescent="0.45">
      <c r="A1504" s="142" t="s">
        <v>13267</v>
      </c>
      <c r="B1504" s="142" t="s">
        <v>15451</v>
      </c>
      <c r="C1504" s="142" t="s">
        <v>15847</v>
      </c>
      <c r="D1504" s="142" t="s">
        <v>15848</v>
      </c>
      <c r="E1504" s="142" t="s">
        <v>15849</v>
      </c>
      <c r="F1504" s="142" t="s">
        <v>7795</v>
      </c>
      <c r="G1504" s="142" t="s">
        <v>7794</v>
      </c>
      <c r="H1504" s="142" t="s">
        <v>17354</v>
      </c>
      <c r="I1504" s="142">
        <v>435</v>
      </c>
      <c r="J1504" s="142">
        <v>364</v>
      </c>
      <c r="K1504" s="142">
        <v>0</v>
      </c>
      <c r="L1504" s="142">
        <v>0</v>
      </c>
      <c r="M1504" s="142">
        <v>71</v>
      </c>
    </row>
    <row r="1505" spans="1:13" x14ac:dyDescent="0.45">
      <c r="A1505" s="142" t="s">
        <v>13021</v>
      </c>
      <c r="B1505" s="142" t="s">
        <v>15501</v>
      </c>
      <c r="C1505" s="142" t="s">
        <v>15847</v>
      </c>
      <c r="D1505" s="142" t="s">
        <v>15848</v>
      </c>
      <c r="E1505" s="142" t="s">
        <v>15849</v>
      </c>
      <c r="F1505" s="142" t="s">
        <v>5468</v>
      </c>
      <c r="G1505" s="142" t="s">
        <v>5467</v>
      </c>
      <c r="H1505" s="142" t="s">
        <v>17355</v>
      </c>
      <c r="I1505" s="142">
        <v>2</v>
      </c>
      <c r="J1505" s="142">
        <v>0</v>
      </c>
      <c r="K1505" s="142">
        <v>0</v>
      </c>
      <c r="L1505" s="142">
        <v>0</v>
      </c>
      <c r="M1505" s="142">
        <v>2</v>
      </c>
    </row>
    <row r="1506" spans="1:13" x14ac:dyDescent="0.45">
      <c r="A1506" s="142" t="s">
        <v>13023</v>
      </c>
      <c r="B1506" s="142" t="s">
        <v>15571</v>
      </c>
      <c r="C1506" s="142" t="s">
        <v>15847</v>
      </c>
      <c r="D1506" s="142" t="s">
        <v>15848</v>
      </c>
      <c r="E1506" s="142" t="s">
        <v>15849</v>
      </c>
      <c r="F1506" s="142" t="s">
        <v>5468</v>
      </c>
      <c r="G1506" s="142" t="s">
        <v>5467</v>
      </c>
      <c r="H1506" s="142" t="s">
        <v>17356</v>
      </c>
      <c r="I1506" s="142">
        <v>166</v>
      </c>
      <c r="J1506" s="142">
        <v>0</v>
      </c>
      <c r="K1506" s="142">
        <v>0</v>
      </c>
      <c r="L1506" s="142">
        <v>166</v>
      </c>
      <c r="M1506" s="142">
        <v>0</v>
      </c>
    </row>
    <row r="1507" spans="1:13" x14ac:dyDescent="0.45">
      <c r="A1507" s="142" t="s">
        <v>13212</v>
      </c>
      <c r="B1507" s="142" t="s">
        <v>15497</v>
      </c>
      <c r="C1507" s="142" t="s">
        <v>15860</v>
      </c>
      <c r="D1507" s="142" t="s">
        <v>15861</v>
      </c>
      <c r="E1507" s="142" t="s">
        <v>15849</v>
      </c>
      <c r="F1507" s="142" t="s">
        <v>5468</v>
      </c>
      <c r="G1507" s="142" t="s">
        <v>5467</v>
      </c>
      <c r="H1507" s="142" t="s">
        <v>17357</v>
      </c>
      <c r="I1507" s="142">
        <v>21</v>
      </c>
      <c r="J1507" s="142">
        <v>21</v>
      </c>
      <c r="K1507" s="142">
        <v>0</v>
      </c>
      <c r="L1507" s="142">
        <v>0</v>
      </c>
      <c r="M1507" s="142">
        <v>0</v>
      </c>
    </row>
    <row r="1508" spans="1:13" x14ac:dyDescent="0.45">
      <c r="A1508" s="142" t="s">
        <v>13049</v>
      </c>
      <c r="B1508" s="142" t="s">
        <v>14534</v>
      </c>
      <c r="C1508" s="142" t="s">
        <v>15860</v>
      </c>
      <c r="D1508" s="142" t="s">
        <v>15861</v>
      </c>
      <c r="E1508" s="142" t="s">
        <v>15849</v>
      </c>
      <c r="F1508" s="142" t="s">
        <v>5468</v>
      </c>
      <c r="G1508" s="142" t="s">
        <v>5467</v>
      </c>
      <c r="H1508" s="142" t="s">
        <v>17358</v>
      </c>
      <c r="I1508" s="142">
        <v>5</v>
      </c>
      <c r="J1508" s="142">
        <v>0</v>
      </c>
      <c r="K1508" s="142">
        <v>0</v>
      </c>
      <c r="L1508" s="142">
        <v>5</v>
      </c>
      <c r="M1508" s="142">
        <v>0</v>
      </c>
    </row>
    <row r="1509" spans="1:13" x14ac:dyDescent="0.45">
      <c r="A1509" s="142" t="s">
        <v>13453</v>
      </c>
      <c r="B1509" s="142" t="s">
        <v>15111</v>
      </c>
      <c r="C1509" s="142" t="s">
        <v>15860</v>
      </c>
      <c r="D1509" s="142" t="s">
        <v>15861</v>
      </c>
      <c r="E1509" s="142" t="s">
        <v>15849</v>
      </c>
      <c r="F1509" s="142" t="s">
        <v>5468</v>
      </c>
      <c r="G1509" s="142" t="s">
        <v>5467</v>
      </c>
      <c r="H1509" s="142" t="s">
        <v>17359</v>
      </c>
      <c r="I1509" s="142">
        <v>59</v>
      </c>
      <c r="J1509" s="142">
        <v>59</v>
      </c>
      <c r="K1509" s="142">
        <v>0</v>
      </c>
      <c r="L1509" s="142">
        <v>0</v>
      </c>
      <c r="M1509" s="142">
        <v>0</v>
      </c>
    </row>
    <row r="1510" spans="1:13" x14ac:dyDescent="0.45">
      <c r="A1510" s="142" t="s">
        <v>13454</v>
      </c>
      <c r="B1510" s="142" t="s">
        <v>15127</v>
      </c>
      <c r="C1510" s="142" t="s">
        <v>15860</v>
      </c>
      <c r="D1510" s="142" t="s">
        <v>15861</v>
      </c>
      <c r="E1510" s="142" t="s">
        <v>15849</v>
      </c>
      <c r="F1510" s="142" t="s">
        <v>5468</v>
      </c>
      <c r="G1510" s="142" t="s">
        <v>5467</v>
      </c>
      <c r="H1510" s="142" t="s">
        <v>17360</v>
      </c>
      <c r="I1510" s="142">
        <v>35</v>
      </c>
      <c r="J1510" s="142">
        <v>35</v>
      </c>
      <c r="K1510" s="142">
        <v>0</v>
      </c>
      <c r="L1510" s="142">
        <v>0</v>
      </c>
      <c r="M1510" s="142">
        <v>0</v>
      </c>
    </row>
    <row r="1511" spans="1:13" x14ac:dyDescent="0.45">
      <c r="A1511" s="142" t="s">
        <v>13027</v>
      </c>
      <c r="B1511" s="142" t="s">
        <v>14562</v>
      </c>
      <c r="C1511" s="142" t="s">
        <v>15847</v>
      </c>
      <c r="D1511" s="142" t="s">
        <v>15848</v>
      </c>
      <c r="E1511" s="142" t="s">
        <v>15849</v>
      </c>
      <c r="F1511" s="142" t="s">
        <v>5468</v>
      </c>
      <c r="G1511" s="142" t="s">
        <v>5467</v>
      </c>
      <c r="H1511" s="142" t="s">
        <v>17361</v>
      </c>
      <c r="I1511" s="142">
        <v>4</v>
      </c>
      <c r="J1511" s="142">
        <v>0</v>
      </c>
      <c r="K1511" s="142">
        <v>0</v>
      </c>
      <c r="L1511" s="142">
        <v>4</v>
      </c>
      <c r="M1511" s="142">
        <v>0</v>
      </c>
    </row>
    <row r="1512" spans="1:13" x14ac:dyDescent="0.45">
      <c r="A1512" s="142" t="s">
        <v>13075</v>
      </c>
      <c r="B1512" s="142" t="s">
        <v>15598</v>
      </c>
      <c r="C1512" s="142" t="s">
        <v>15847</v>
      </c>
      <c r="D1512" s="142" t="s">
        <v>15848</v>
      </c>
      <c r="E1512" s="142" t="s">
        <v>15849</v>
      </c>
      <c r="F1512" s="142" t="s">
        <v>5468</v>
      </c>
      <c r="G1512" s="142" t="s">
        <v>5467</v>
      </c>
      <c r="H1512" s="142" t="s">
        <v>17362</v>
      </c>
      <c r="I1512" s="142">
        <v>136</v>
      </c>
      <c r="J1512" s="142">
        <v>86</v>
      </c>
      <c r="K1512" s="142">
        <v>0</v>
      </c>
      <c r="L1512" s="142">
        <v>0</v>
      </c>
      <c r="M1512" s="142">
        <v>50</v>
      </c>
    </row>
    <row r="1513" spans="1:13" x14ac:dyDescent="0.45">
      <c r="A1513" s="142" t="s">
        <v>13028</v>
      </c>
      <c r="B1513" s="142" t="s">
        <v>14462</v>
      </c>
      <c r="C1513" s="142" t="s">
        <v>15847</v>
      </c>
      <c r="D1513" s="142" t="s">
        <v>15848</v>
      </c>
      <c r="E1513" s="142" t="s">
        <v>15849</v>
      </c>
      <c r="F1513" s="142" t="s">
        <v>5468</v>
      </c>
      <c r="G1513" s="142" t="s">
        <v>5467</v>
      </c>
      <c r="H1513" s="142" t="s">
        <v>17363</v>
      </c>
      <c r="I1513" s="142">
        <v>22</v>
      </c>
      <c r="J1513" s="142">
        <v>0</v>
      </c>
      <c r="K1513" s="142">
        <v>0</v>
      </c>
      <c r="L1513" s="142">
        <v>0</v>
      </c>
      <c r="M1513" s="142">
        <v>22</v>
      </c>
    </row>
    <row r="1514" spans="1:13" x14ac:dyDescent="0.45">
      <c r="A1514" s="142" t="s">
        <v>13160</v>
      </c>
      <c r="B1514" s="142" t="s">
        <v>14525</v>
      </c>
      <c r="C1514" s="142" t="s">
        <v>15847</v>
      </c>
      <c r="D1514" s="142" t="s">
        <v>15848</v>
      </c>
      <c r="E1514" s="142" t="s">
        <v>15849</v>
      </c>
      <c r="F1514" s="142" t="s">
        <v>5468</v>
      </c>
      <c r="G1514" s="142" t="s">
        <v>5467</v>
      </c>
      <c r="H1514" s="142" t="s">
        <v>17364</v>
      </c>
      <c r="I1514" s="142">
        <v>5</v>
      </c>
      <c r="J1514" s="142">
        <v>0</v>
      </c>
      <c r="K1514" s="142">
        <v>0</v>
      </c>
      <c r="L1514" s="142">
        <v>5</v>
      </c>
      <c r="M1514" s="142">
        <v>0</v>
      </c>
    </row>
    <row r="1515" spans="1:13" x14ac:dyDescent="0.45">
      <c r="A1515" s="142" t="s">
        <v>13002</v>
      </c>
      <c r="B1515" s="142" t="s">
        <v>15376</v>
      </c>
      <c r="C1515" s="142" t="s">
        <v>15847</v>
      </c>
      <c r="D1515" s="142" t="s">
        <v>15848</v>
      </c>
      <c r="E1515" s="142" t="s">
        <v>15849</v>
      </c>
      <c r="F1515" s="142" t="s">
        <v>5468</v>
      </c>
      <c r="G1515" s="142" t="s">
        <v>5467</v>
      </c>
      <c r="H1515" s="142" t="s">
        <v>17365</v>
      </c>
      <c r="I1515" s="142">
        <v>35</v>
      </c>
      <c r="J1515" s="142">
        <v>20</v>
      </c>
      <c r="K1515" s="142">
        <v>0</v>
      </c>
      <c r="L1515" s="142">
        <v>15</v>
      </c>
      <c r="M1515" s="142">
        <v>0</v>
      </c>
    </row>
    <row r="1516" spans="1:13" x14ac:dyDescent="0.45">
      <c r="A1516" s="142" t="s">
        <v>13003</v>
      </c>
      <c r="B1516" s="142" t="s">
        <v>15245</v>
      </c>
      <c r="C1516" s="142" t="s">
        <v>15847</v>
      </c>
      <c r="D1516" s="142" t="s">
        <v>15848</v>
      </c>
      <c r="E1516" s="142" t="s">
        <v>15849</v>
      </c>
      <c r="F1516" s="142" t="s">
        <v>5468</v>
      </c>
      <c r="G1516" s="142" t="s">
        <v>5467</v>
      </c>
      <c r="H1516" s="142" t="s">
        <v>17366</v>
      </c>
      <c r="I1516" s="142">
        <v>86</v>
      </c>
      <c r="J1516" s="142">
        <v>0</v>
      </c>
      <c r="K1516" s="142">
        <v>0</v>
      </c>
      <c r="L1516" s="142">
        <v>86</v>
      </c>
      <c r="M1516" s="142">
        <v>0</v>
      </c>
    </row>
    <row r="1517" spans="1:13" x14ac:dyDescent="0.45">
      <c r="A1517" s="142" t="s">
        <v>13004</v>
      </c>
      <c r="B1517" s="142" t="s">
        <v>15492</v>
      </c>
      <c r="C1517" s="142" t="s">
        <v>15847</v>
      </c>
      <c r="D1517" s="142" t="s">
        <v>15848</v>
      </c>
      <c r="E1517" s="142" t="s">
        <v>15849</v>
      </c>
      <c r="F1517" s="142" t="s">
        <v>5468</v>
      </c>
      <c r="G1517" s="142" t="s">
        <v>5467</v>
      </c>
      <c r="H1517" s="142" t="s">
        <v>17367</v>
      </c>
      <c r="I1517" s="142">
        <v>615</v>
      </c>
      <c r="J1517" s="142">
        <v>366</v>
      </c>
      <c r="K1517" s="142">
        <v>0</v>
      </c>
      <c r="L1517" s="142">
        <v>47</v>
      </c>
      <c r="M1517" s="142">
        <v>202</v>
      </c>
    </row>
    <row r="1518" spans="1:13" x14ac:dyDescent="0.45">
      <c r="A1518" s="142" t="s">
        <v>13066</v>
      </c>
      <c r="B1518" s="142" t="s">
        <v>14459</v>
      </c>
      <c r="C1518" s="142" t="s">
        <v>15847</v>
      </c>
      <c r="D1518" s="142" t="s">
        <v>15848</v>
      </c>
      <c r="E1518" s="142" t="s">
        <v>15849</v>
      </c>
      <c r="F1518" s="142" t="s">
        <v>5468</v>
      </c>
      <c r="G1518" s="142" t="s">
        <v>5467</v>
      </c>
      <c r="H1518" s="142" t="s">
        <v>17368</v>
      </c>
      <c r="I1518" s="142">
        <v>32</v>
      </c>
      <c r="J1518" s="142">
        <v>0</v>
      </c>
      <c r="K1518" s="142">
        <v>0</v>
      </c>
      <c r="L1518" s="142">
        <v>32</v>
      </c>
      <c r="M1518" s="142">
        <v>0</v>
      </c>
    </row>
    <row r="1519" spans="1:13" x14ac:dyDescent="0.45">
      <c r="A1519" s="142" t="s">
        <v>13005</v>
      </c>
      <c r="B1519" s="142" t="s">
        <v>15475</v>
      </c>
      <c r="C1519" s="142" t="s">
        <v>15847</v>
      </c>
      <c r="D1519" s="142" t="s">
        <v>15848</v>
      </c>
      <c r="E1519" s="142" t="s">
        <v>15849</v>
      </c>
      <c r="F1519" s="142" t="s">
        <v>5468</v>
      </c>
      <c r="G1519" s="142" t="s">
        <v>5467</v>
      </c>
      <c r="H1519" s="142" t="s">
        <v>17369</v>
      </c>
      <c r="I1519" s="142">
        <v>4</v>
      </c>
      <c r="J1519" s="142">
        <v>0</v>
      </c>
      <c r="K1519" s="142">
        <v>0</v>
      </c>
      <c r="L1519" s="142">
        <v>0</v>
      </c>
      <c r="M1519" s="142">
        <v>4</v>
      </c>
    </row>
    <row r="1520" spans="1:13" x14ac:dyDescent="0.45">
      <c r="A1520" s="142" t="s">
        <v>13029</v>
      </c>
      <c r="B1520" s="142" t="s">
        <v>14665</v>
      </c>
      <c r="C1520" s="142" t="s">
        <v>15847</v>
      </c>
      <c r="D1520" s="142" t="s">
        <v>15848</v>
      </c>
      <c r="E1520" s="142" t="s">
        <v>15849</v>
      </c>
      <c r="F1520" s="142" t="s">
        <v>5468</v>
      </c>
      <c r="G1520" s="142" t="s">
        <v>5467</v>
      </c>
      <c r="H1520" s="142" t="s">
        <v>17370</v>
      </c>
      <c r="I1520" s="142">
        <v>92</v>
      </c>
      <c r="J1520" s="142">
        <v>0</v>
      </c>
      <c r="K1520" s="142">
        <v>0</v>
      </c>
      <c r="L1520" s="142">
        <v>0</v>
      </c>
      <c r="M1520" s="142">
        <v>92</v>
      </c>
    </row>
    <row r="1521" spans="1:13" x14ac:dyDescent="0.45">
      <c r="A1521" s="142" t="s">
        <v>13007</v>
      </c>
      <c r="B1521" s="142" t="s">
        <v>15262</v>
      </c>
      <c r="C1521" s="142" t="s">
        <v>15847</v>
      </c>
      <c r="D1521" s="142" t="s">
        <v>15848</v>
      </c>
      <c r="E1521" s="142" t="s">
        <v>15849</v>
      </c>
      <c r="F1521" s="142" t="s">
        <v>5468</v>
      </c>
      <c r="G1521" s="142" t="s">
        <v>5467</v>
      </c>
      <c r="H1521" s="142" t="s">
        <v>17371</v>
      </c>
      <c r="I1521" s="142">
        <v>649</v>
      </c>
      <c r="J1521" s="142">
        <v>384</v>
      </c>
      <c r="K1521" s="142">
        <v>0</v>
      </c>
      <c r="L1521" s="142">
        <v>35</v>
      </c>
      <c r="M1521" s="142">
        <v>230</v>
      </c>
    </row>
    <row r="1522" spans="1:13" x14ac:dyDescent="0.45">
      <c r="A1522" s="142" t="s">
        <v>13008</v>
      </c>
      <c r="B1522" s="142" t="s">
        <v>15411</v>
      </c>
      <c r="C1522" s="142" t="s">
        <v>15847</v>
      </c>
      <c r="D1522" s="142" t="s">
        <v>15848</v>
      </c>
      <c r="E1522" s="142" t="s">
        <v>15849</v>
      </c>
      <c r="F1522" s="142" t="s">
        <v>5468</v>
      </c>
      <c r="G1522" s="142" t="s">
        <v>5467</v>
      </c>
      <c r="H1522" s="142" t="s">
        <v>17372</v>
      </c>
      <c r="I1522" s="142">
        <v>111</v>
      </c>
      <c r="J1522" s="142">
        <v>7</v>
      </c>
      <c r="K1522" s="142">
        <v>0</v>
      </c>
      <c r="L1522" s="142">
        <v>0</v>
      </c>
      <c r="M1522" s="142">
        <v>104</v>
      </c>
    </row>
    <row r="1523" spans="1:13" x14ac:dyDescent="0.45">
      <c r="A1523" s="142" t="s">
        <v>13077</v>
      </c>
      <c r="B1523" s="142" t="s">
        <v>15407</v>
      </c>
      <c r="C1523" s="142" t="s">
        <v>15847</v>
      </c>
      <c r="D1523" s="142" t="s">
        <v>15848</v>
      </c>
      <c r="E1523" s="142" t="s">
        <v>15849</v>
      </c>
      <c r="F1523" s="142" t="s">
        <v>5468</v>
      </c>
      <c r="G1523" s="142" t="s">
        <v>5467</v>
      </c>
      <c r="H1523" s="142" t="s">
        <v>17373</v>
      </c>
      <c r="I1523" s="142">
        <v>143</v>
      </c>
      <c r="J1523" s="142">
        <v>143</v>
      </c>
      <c r="K1523" s="142">
        <v>0</v>
      </c>
      <c r="L1523" s="142">
        <v>0</v>
      </c>
      <c r="M1523" s="142">
        <v>0</v>
      </c>
    </row>
    <row r="1524" spans="1:13" x14ac:dyDescent="0.45">
      <c r="A1524" s="142" t="s">
        <v>13455</v>
      </c>
      <c r="B1524" s="142" t="s">
        <v>15120</v>
      </c>
      <c r="C1524" s="142" t="s">
        <v>15860</v>
      </c>
      <c r="D1524" s="142" t="s">
        <v>15861</v>
      </c>
      <c r="E1524" s="142" t="s">
        <v>15849</v>
      </c>
      <c r="F1524" s="142" t="s">
        <v>5468</v>
      </c>
      <c r="G1524" s="142" t="s">
        <v>5467</v>
      </c>
      <c r="H1524" s="142" t="s">
        <v>17374</v>
      </c>
      <c r="I1524" s="142">
        <v>25</v>
      </c>
      <c r="J1524" s="142">
        <v>25</v>
      </c>
      <c r="K1524" s="142">
        <v>0</v>
      </c>
      <c r="L1524" s="142">
        <v>0</v>
      </c>
      <c r="M1524" s="142">
        <v>0</v>
      </c>
    </row>
    <row r="1525" spans="1:13" x14ac:dyDescent="0.45">
      <c r="A1525" s="142" t="s">
        <v>13033</v>
      </c>
      <c r="B1525" s="142" t="s">
        <v>15276</v>
      </c>
      <c r="C1525" s="142" t="s">
        <v>15847</v>
      </c>
      <c r="D1525" s="142" t="s">
        <v>15848</v>
      </c>
      <c r="E1525" s="142" t="s">
        <v>15849</v>
      </c>
      <c r="F1525" s="142" t="s">
        <v>5468</v>
      </c>
      <c r="G1525" s="142" t="s">
        <v>5467</v>
      </c>
      <c r="H1525" s="142" t="s">
        <v>17375</v>
      </c>
      <c r="I1525" s="142">
        <v>147</v>
      </c>
      <c r="J1525" s="142">
        <v>138</v>
      </c>
      <c r="K1525" s="142">
        <v>0</v>
      </c>
      <c r="L1525" s="142">
        <v>0</v>
      </c>
      <c r="M1525" s="142">
        <v>9</v>
      </c>
    </row>
    <row r="1526" spans="1:13" x14ac:dyDescent="0.45">
      <c r="A1526" s="142" t="s">
        <v>13034</v>
      </c>
      <c r="B1526" s="142" t="s">
        <v>15562</v>
      </c>
      <c r="C1526" s="142" t="s">
        <v>15847</v>
      </c>
      <c r="D1526" s="142" t="s">
        <v>15848</v>
      </c>
      <c r="E1526" s="142" t="s">
        <v>15849</v>
      </c>
      <c r="F1526" s="142" t="s">
        <v>5468</v>
      </c>
      <c r="G1526" s="142" t="s">
        <v>5467</v>
      </c>
      <c r="H1526" s="142" t="s">
        <v>17376</v>
      </c>
      <c r="I1526" s="142">
        <v>2</v>
      </c>
      <c r="J1526" s="142">
        <v>0</v>
      </c>
      <c r="K1526" s="142">
        <v>0</v>
      </c>
      <c r="L1526" s="142">
        <v>2</v>
      </c>
      <c r="M1526" s="142">
        <v>0</v>
      </c>
    </row>
    <row r="1527" spans="1:13" x14ac:dyDescent="0.45">
      <c r="A1527" s="142" t="s">
        <v>13009</v>
      </c>
      <c r="B1527" s="142" t="s">
        <v>15256</v>
      </c>
      <c r="C1527" s="142" t="s">
        <v>15847</v>
      </c>
      <c r="D1527" s="142" t="s">
        <v>15848</v>
      </c>
      <c r="E1527" s="142" t="s">
        <v>15849</v>
      </c>
      <c r="F1527" s="142" t="s">
        <v>5468</v>
      </c>
      <c r="G1527" s="142" t="s">
        <v>5467</v>
      </c>
      <c r="H1527" s="142" t="s">
        <v>17377</v>
      </c>
      <c r="I1527" s="142">
        <v>585</v>
      </c>
      <c r="J1527" s="142">
        <v>445</v>
      </c>
      <c r="K1527" s="142">
        <v>0</v>
      </c>
      <c r="L1527" s="142">
        <v>86</v>
      </c>
      <c r="M1527" s="142">
        <v>54</v>
      </c>
    </row>
    <row r="1528" spans="1:13" x14ac:dyDescent="0.45">
      <c r="A1528" s="142" t="s">
        <v>13011</v>
      </c>
      <c r="B1528" s="142" t="s">
        <v>14695</v>
      </c>
      <c r="C1528" s="142" t="s">
        <v>15847</v>
      </c>
      <c r="D1528" s="142" t="s">
        <v>15848</v>
      </c>
      <c r="E1528" s="142" t="s">
        <v>15849</v>
      </c>
      <c r="F1528" s="142" t="s">
        <v>5468</v>
      </c>
      <c r="G1528" s="142" t="s">
        <v>5467</v>
      </c>
      <c r="H1528" s="142" t="s">
        <v>17378</v>
      </c>
      <c r="I1528" s="142">
        <v>398</v>
      </c>
      <c r="J1528" s="142">
        <v>316</v>
      </c>
      <c r="K1528" s="142">
        <v>0</v>
      </c>
      <c r="L1528" s="142">
        <v>46</v>
      </c>
      <c r="M1528" s="142">
        <v>36</v>
      </c>
    </row>
    <row r="1529" spans="1:13" x14ac:dyDescent="0.45">
      <c r="A1529" s="142" t="s">
        <v>13106</v>
      </c>
      <c r="B1529" s="142" t="s">
        <v>15414</v>
      </c>
      <c r="C1529" s="142" t="s">
        <v>15847</v>
      </c>
      <c r="D1529" s="142" t="s">
        <v>15848</v>
      </c>
      <c r="E1529" s="142" t="s">
        <v>15849</v>
      </c>
      <c r="F1529" s="142" t="s">
        <v>5468</v>
      </c>
      <c r="G1529" s="142" t="s">
        <v>5467</v>
      </c>
      <c r="H1529" s="142" t="s">
        <v>17379</v>
      </c>
      <c r="I1529" s="142">
        <v>1</v>
      </c>
      <c r="J1529" s="142">
        <v>0</v>
      </c>
      <c r="K1529" s="142">
        <v>0</v>
      </c>
      <c r="L1529" s="142">
        <v>0</v>
      </c>
      <c r="M1529" s="142">
        <v>1</v>
      </c>
    </row>
    <row r="1530" spans="1:13" x14ac:dyDescent="0.45">
      <c r="A1530" s="142" t="s">
        <v>13456</v>
      </c>
      <c r="B1530" s="142" t="s">
        <v>14895</v>
      </c>
      <c r="C1530" s="142" t="s">
        <v>15860</v>
      </c>
      <c r="D1530" s="142" t="s">
        <v>15861</v>
      </c>
      <c r="E1530" s="142" t="s">
        <v>15849</v>
      </c>
      <c r="F1530" s="142" t="s">
        <v>5468</v>
      </c>
      <c r="G1530" s="142" t="s">
        <v>5467</v>
      </c>
      <c r="H1530" s="142" t="s">
        <v>17380</v>
      </c>
      <c r="I1530" s="142">
        <v>6</v>
      </c>
      <c r="J1530" s="142">
        <v>6</v>
      </c>
      <c r="K1530" s="142">
        <v>0</v>
      </c>
      <c r="L1530" s="142">
        <v>0</v>
      </c>
      <c r="M1530" s="142">
        <v>0</v>
      </c>
    </row>
    <row r="1531" spans="1:13" x14ac:dyDescent="0.45">
      <c r="A1531" s="142" t="s">
        <v>13042</v>
      </c>
      <c r="B1531" s="142" t="s">
        <v>15489</v>
      </c>
      <c r="C1531" s="142" t="s">
        <v>15847</v>
      </c>
      <c r="D1531" s="142" t="s">
        <v>15848</v>
      </c>
      <c r="E1531" s="142" t="s">
        <v>15849</v>
      </c>
      <c r="F1531" s="142" t="s">
        <v>5468</v>
      </c>
      <c r="G1531" s="142" t="s">
        <v>5467</v>
      </c>
      <c r="H1531" s="142" t="s">
        <v>17381</v>
      </c>
      <c r="I1531" s="142">
        <v>34</v>
      </c>
      <c r="J1531" s="142">
        <v>20</v>
      </c>
      <c r="K1531" s="142">
        <v>0</v>
      </c>
      <c r="L1531" s="142">
        <v>14</v>
      </c>
      <c r="M1531" s="142">
        <v>0</v>
      </c>
    </row>
    <row r="1532" spans="1:13" x14ac:dyDescent="0.45">
      <c r="A1532" s="142" t="s">
        <v>13079</v>
      </c>
      <c r="B1532" s="142" t="s">
        <v>15431</v>
      </c>
      <c r="C1532" s="142" t="s">
        <v>15847</v>
      </c>
      <c r="D1532" s="142" t="s">
        <v>15848</v>
      </c>
      <c r="E1532" s="142" t="s">
        <v>15849</v>
      </c>
      <c r="F1532" s="142" t="s">
        <v>5468</v>
      </c>
      <c r="G1532" s="142" t="s">
        <v>5467</v>
      </c>
      <c r="H1532" s="142" t="s">
        <v>17382</v>
      </c>
      <c r="I1532" s="142">
        <v>547</v>
      </c>
      <c r="J1532" s="142">
        <v>406</v>
      </c>
      <c r="K1532" s="142">
        <v>0</v>
      </c>
      <c r="L1532" s="142">
        <v>12</v>
      </c>
      <c r="M1532" s="142">
        <v>129</v>
      </c>
    </row>
    <row r="1533" spans="1:13" x14ac:dyDescent="0.45">
      <c r="A1533" s="142" t="s">
        <v>13457</v>
      </c>
      <c r="B1533" s="142" t="s">
        <v>15114</v>
      </c>
      <c r="C1533" s="142" t="s">
        <v>15860</v>
      </c>
      <c r="D1533" s="142" t="s">
        <v>15861</v>
      </c>
      <c r="E1533" s="142" t="s">
        <v>15849</v>
      </c>
      <c r="F1533" s="142" t="s">
        <v>5468</v>
      </c>
      <c r="G1533" s="142" t="s">
        <v>5467</v>
      </c>
      <c r="H1533" s="142" t="s">
        <v>17383</v>
      </c>
      <c r="I1533" s="142">
        <v>40</v>
      </c>
      <c r="J1533" s="142">
        <v>40</v>
      </c>
      <c r="K1533" s="142">
        <v>0</v>
      </c>
      <c r="L1533" s="142">
        <v>0</v>
      </c>
      <c r="M1533" s="142">
        <v>0</v>
      </c>
    </row>
    <row r="1534" spans="1:13" x14ac:dyDescent="0.45">
      <c r="A1534" s="142" t="s">
        <v>13080</v>
      </c>
      <c r="B1534" s="142" t="s">
        <v>15553</v>
      </c>
      <c r="C1534" s="142" t="s">
        <v>15847</v>
      </c>
      <c r="D1534" s="142" t="s">
        <v>15848</v>
      </c>
      <c r="E1534" s="142" t="s">
        <v>15849</v>
      </c>
      <c r="F1534" s="142" t="s">
        <v>5468</v>
      </c>
      <c r="G1534" s="142" t="s">
        <v>5467</v>
      </c>
      <c r="H1534" s="142" t="s">
        <v>17384</v>
      </c>
      <c r="I1534" s="142">
        <v>44</v>
      </c>
      <c r="J1534" s="142">
        <v>18</v>
      </c>
      <c r="K1534" s="142">
        <v>0</v>
      </c>
      <c r="L1534" s="142">
        <v>0</v>
      </c>
      <c r="M1534" s="142">
        <v>26</v>
      </c>
    </row>
    <row r="1535" spans="1:13" x14ac:dyDescent="0.45">
      <c r="A1535" s="142" t="s">
        <v>13016</v>
      </c>
      <c r="B1535" s="142" t="s">
        <v>14535</v>
      </c>
      <c r="C1535" s="142" t="s">
        <v>15860</v>
      </c>
      <c r="D1535" s="142" t="s">
        <v>15861</v>
      </c>
      <c r="E1535" s="142" t="s">
        <v>15849</v>
      </c>
      <c r="F1535" s="142" t="s">
        <v>5468</v>
      </c>
      <c r="G1535" s="142" t="s">
        <v>5467</v>
      </c>
      <c r="H1535" s="142" t="s">
        <v>17385</v>
      </c>
      <c r="I1535" s="142">
        <v>11</v>
      </c>
      <c r="J1535" s="142">
        <v>0</v>
      </c>
      <c r="K1535" s="142">
        <v>0</v>
      </c>
      <c r="L1535" s="142">
        <v>11</v>
      </c>
      <c r="M1535" s="142">
        <v>0</v>
      </c>
    </row>
    <row r="1536" spans="1:13" x14ac:dyDescent="0.45">
      <c r="A1536" s="142" t="s">
        <v>13021</v>
      </c>
      <c r="B1536" s="142" t="s">
        <v>15501</v>
      </c>
      <c r="C1536" s="142" t="s">
        <v>15847</v>
      </c>
      <c r="D1536" s="142" t="s">
        <v>15848</v>
      </c>
      <c r="E1536" s="142" t="s">
        <v>15849</v>
      </c>
      <c r="F1536" s="142" t="s">
        <v>4130</v>
      </c>
      <c r="G1536" s="142" t="s">
        <v>4129</v>
      </c>
      <c r="H1536" s="142" t="s">
        <v>17386</v>
      </c>
      <c r="I1536" s="142">
        <v>12</v>
      </c>
      <c r="J1536" s="142">
        <v>0</v>
      </c>
      <c r="K1536" s="142">
        <v>0</v>
      </c>
      <c r="L1536" s="142">
        <v>12</v>
      </c>
      <c r="M1536" s="142">
        <v>0</v>
      </c>
    </row>
    <row r="1537" spans="1:13" x14ac:dyDescent="0.45">
      <c r="A1537" s="142" t="s">
        <v>13023</v>
      </c>
      <c r="B1537" s="142" t="s">
        <v>15571</v>
      </c>
      <c r="C1537" s="142" t="s">
        <v>15847</v>
      </c>
      <c r="D1537" s="142" t="s">
        <v>15848</v>
      </c>
      <c r="E1537" s="142" t="s">
        <v>15849</v>
      </c>
      <c r="F1537" s="142" t="s">
        <v>4130</v>
      </c>
      <c r="G1537" s="142" t="s">
        <v>4129</v>
      </c>
      <c r="H1537" s="142" t="s">
        <v>17387</v>
      </c>
      <c r="I1537" s="142">
        <v>48</v>
      </c>
      <c r="J1537" s="142">
        <v>0</v>
      </c>
      <c r="K1537" s="142">
        <v>0</v>
      </c>
      <c r="L1537" s="142">
        <v>48</v>
      </c>
      <c r="M1537" s="142">
        <v>0</v>
      </c>
    </row>
    <row r="1538" spans="1:13" x14ac:dyDescent="0.45">
      <c r="A1538" s="142" t="s">
        <v>13083</v>
      </c>
      <c r="B1538" s="142" t="s">
        <v>15440</v>
      </c>
      <c r="C1538" s="142" t="s">
        <v>15847</v>
      </c>
      <c r="D1538" s="142" t="s">
        <v>15848</v>
      </c>
      <c r="E1538" s="142" t="s">
        <v>15849</v>
      </c>
      <c r="F1538" s="142" t="s">
        <v>4130</v>
      </c>
      <c r="G1538" s="142" t="s">
        <v>4129</v>
      </c>
      <c r="H1538" s="142" t="s">
        <v>17388</v>
      </c>
      <c r="I1538" s="142">
        <v>17</v>
      </c>
      <c r="J1538" s="142">
        <v>11</v>
      </c>
      <c r="K1538" s="142">
        <v>0</v>
      </c>
      <c r="L1538" s="142">
        <v>6</v>
      </c>
      <c r="M1538" s="142">
        <v>0</v>
      </c>
    </row>
    <row r="1539" spans="1:13" x14ac:dyDescent="0.45">
      <c r="A1539" s="142" t="s">
        <v>13086</v>
      </c>
      <c r="B1539" s="142" t="s">
        <v>15380</v>
      </c>
      <c r="C1539" s="142" t="s">
        <v>15847</v>
      </c>
      <c r="D1539" s="142" t="s">
        <v>15848</v>
      </c>
      <c r="E1539" s="142" t="s">
        <v>15849</v>
      </c>
      <c r="F1539" s="142" t="s">
        <v>4130</v>
      </c>
      <c r="G1539" s="142" t="s">
        <v>4129</v>
      </c>
      <c r="H1539" s="142" t="s">
        <v>17389</v>
      </c>
      <c r="I1539" s="142">
        <v>149</v>
      </c>
      <c r="J1539" s="142">
        <v>112</v>
      </c>
      <c r="K1539" s="142">
        <v>0</v>
      </c>
      <c r="L1539" s="142">
        <v>12</v>
      </c>
      <c r="M1539" s="142">
        <v>25</v>
      </c>
    </row>
    <row r="1540" spans="1:13" x14ac:dyDescent="0.45">
      <c r="A1540" s="142" t="s">
        <v>13002</v>
      </c>
      <c r="B1540" s="142" t="s">
        <v>15376</v>
      </c>
      <c r="C1540" s="142" t="s">
        <v>15847</v>
      </c>
      <c r="D1540" s="142" t="s">
        <v>15848</v>
      </c>
      <c r="E1540" s="142" t="s">
        <v>15849</v>
      </c>
      <c r="F1540" s="142" t="s">
        <v>4130</v>
      </c>
      <c r="G1540" s="142" t="s">
        <v>4129</v>
      </c>
      <c r="H1540" s="142" t="s">
        <v>17390</v>
      </c>
      <c r="I1540" s="142">
        <v>132</v>
      </c>
      <c r="J1540" s="142">
        <v>132</v>
      </c>
      <c r="K1540" s="142">
        <v>0</v>
      </c>
      <c r="L1540" s="142">
        <v>0</v>
      </c>
      <c r="M1540" s="142">
        <v>0</v>
      </c>
    </row>
    <row r="1541" spans="1:13" x14ac:dyDescent="0.45">
      <c r="A1541" s="142" t="s">
        <v>13066</v>
      </c>
      <c r="B1541" s="142" t="s">
        <v>14459</v>
      </c>
      <c r="C1541" s="142" t="s">
        <v>15847</v>
      </c>
      <c r="D1541" s="142" t="s">
        <v>15848</v>
      </c>
      <c r="E1541" s="142" t="s">
        <v>15849</v>
      </c>
      <c r="F1541" s="142" t="s">
        <v>4130</v>
      </c>
      <c r="G1541" s="142" t="s">
        <v>4129</v>
      </c>
      <c r="H1541" s="142" t="s">
        <v>17391</v>
      </c>
      <c r="I1541" s="142">
        <v>3</v>
      </c>
      <c r="J1541" s="142">
        <v>0</v>
      </c>
      <c r="K1541" s="142">
        <v>0</v>
      </c>
      <c r="L1541" s="142">
        <v>3</v>
      </c>
      <c r="M1541" s="142">
        <v>0</v>
      </c>
    </row>
    <row r="1542" spans="1:13" x14ac:dyDescent="0.45">
      <c r="A1542" s="142" t="s">
        <v>13100</v>
      </c>
      <c r="B1542" s="142" t="s">
        <v>15603</v>
      </c>
      <c r="C1542" s="142" t="s">
        <v>15847</v>
      </c>
      <c r="D1542" s="142" t="s">
        <v>15848</v>
      </c>
      <c r="E1542" s="142" t="s">
        <v>15849</v>
      </c>
      <c r="F1542" s="142" t="s">
        <v>4130</v>
      </c>
      <c r="G1542" s="142" t="s">
        <v>4129</v>
      </c>
      <c r="H1542" s="142" t="s">
        <v>17392</v>
      </c>
      <c r="I1542" s="142">
        <v>5</v>
      </c>
      <c r="J1542" s="142">
        <v>5</v>
      </c>
      <c r="K1542" s="142">
        <v>0</v>
      </c>
      <c r="L1542" s="142">
        <v>0</v>
      </c>
      <c r="M1542" s="142">
        <v>0</v>
      </c>
    </row>
    <row r="1543" spans="1:13" x14ac:dyDescent="0.45">
      <c r="A1543" s="142" t="s">
        <v>13005</v>
      </c>
      <c r="B1543" s="142" t="s">
        <v>15475</v>
      </c>
      <c r="C1543" s="142" t="s">
        <v>15847</v>
      </c>
      <c r="D1543" s="142" t="s">
        <v>15848</v>
      </c>
      <c r="E1543" s="142" t="s">
        <v>15849</v>
      </c>
      <c r="F1543" s="142" t="s">
        <v>4130</v>
      </c>
      <c r="G1543" s="142" t="s">
        <v>4129</v>
      </c>
      <c r="H1543" s="142" t="s">
        <v>17393</v>
      </c>
      <c r="I1543" s="142">
        <v>1</v>
      </c>
      <c r="J1543" s="142">
        <v>0</v>
      </c>
      <c r="K1543" s="142">
        <v>0</v>
      </c>
      <c r="L1543" s="142">
        <v>0</v>
      </c>
      <c r="M1543" s="142">
        <v>1</v>
      </c>
    </row>
    <row r="1544" spans="1:13" x14ac:dyDescent="0.45">
      <c r="A1544" s="142" t="s">
        <v>13007</v>
      </c>
      <c r="B1544" s="142" t="s">
        <v>15262</v>
      </c>
      <c r="C1544" s="142" t="s">
        <v>15847</v>
      </c>
      <c r="D1544" s="142" t="s">
        <v>15848</v>
      </c>
      <c r="E1544" s="142" t="s">
        <v>15849</v>
      </c>
      <c r="F1544" s="142" t="s">
        <v>4130</v>
      </c>
      <c r="G1544" s="142" t="s">
        <v>4129</v>
      </c>
      <c r="H1544" s="142" t="s">
        <v>17394</v>
      </c>
      <c r="I1544" s="142">
        <v>146</v>
      </c>
      <c r="J1544" s="142">
        <v>102</v>
      </c>
      <c r="K1544" s="142">
        <v>0</v>
      </c>
      <c r="L1544" s="142">
        <v>6</v>
      </c>
      <c r="M1544" s="142">
        <v>38</v>
      </c>
    </row>
    <row r="1545" spans="1:13" x14ac:dyDescent="0.45">
      <c r="A1545" s="142" t="s">
        <v>13162</v>
      </c>
      <c r="B1545" s="142" t="s">
        <v>14545</v>
      </c>
      <c r="C1545" s="142" t="s">
        <v>15860</v>
      </c>
      <c r="D1545" s="142" t="s">
        <v>15861</v>
      </c>
      <c r="E1545" s="142" t="s">
        <v>15849</v>
      </c>
      <c r="F1545" s="142" t="s">
        <v>4130</v>
      </c>
      <c r="G1545" s="142" t="s">
        <v>4129</v>
      </c>
      <c r="H1545" s="142" t="s">
        <v>17395</v>
      </c>
      <c r="I1545" s="142">
        <v>1</v>
      </c>
      <c r="J1545" s="142">
        <v>0</v>
      </c>
      <c r="K1545" s="142">
        <v>0</v>
      </c>
      <c r="L1545" s="142">
        <v>1</v>
      </c>
      <c r="M1545" s="142">
        <v>0</v>
      </c>
    </row>
    <row r="1546" spans="1:13" x14ac:dyDescent="0.45">
      <c r="A1546" s="142" t="s">
        <v>13103</v>
      </c>
      <c r="B1546" s="142" t="s">
        <v>14623</v>
      </c>
      <c r="C1546" s="142" t="s">
        <v>15847</v>
      </c>
      <c r="D1546" s="142" t="s">
        <v>15848</v>
      </c>
      <c r="E1546" s="142" t="s">
        <v>15849</v>
      </c>
      <c r="F1546" s="142" t="s">
        <v>4130</v>
      </c>
      <c r="G1546" s="142" t="s">
        <v>4129</v>
      </c>
      <c r="H1546" s="142" t="s">
        <v>17396</v>
      </c>
      <c r="I1546" s="142">
        <v>22</v>
      </c>
      <c r="J1546" s="142">
        <v>19</v>
      </c>
      <c r="K1546" s="142">
        <v>0</v>
      </c>
      <c r="L1546" s="142">
        <v>0</v>
      </c>
      <c r="M1546" s="142">
        <v>3</v>
      </c>
    </row>
    <row r="1547" spans="1:13" x14ac:dyDescent="0.45">
      <c r="A1547" s="142" t="s">
        <v>13054</v>
      </c>
      <c r="B1547" s="142" t="s">
        <v>15604</v>
      </c>
      <c r="C1547" s="142" t="s">
        <v>15847</v>
      </c>
      <c r="D1547" s="142" t="s">
        <v>15848</v>
      </c>
      <c r="E1547" s="142" t="s">
        <v>15849</v>
      </c>
      <c r="F1547" s="142" t="s">
        <v>4130</v>
      </c>
      <c r="G1547" s="142" t="s">
        <v>4129</v>
      </c>
      <c r="H1547" s="142" t="s">
        <v>17397</v>
      </c>
      <c r="I1547" s="142">
        <v>1</v>
      </c>
      <c r="J1547" s="142">
        <v>0</v>
      </c>
      <c r="K1547" s="142">
        <v>0</v>
      </c>
      <c r="L1547" s="142">
        <v>0</v>
      </c>
      <c r="M1547" s="142">
        <v>1</v>
      </c>
    </row>
    <row r="1548" spans="1:13" x14ac:dyDescent="0.45">
      <c r="A1548" s="142" t="s">
        <v>13008</v>
      </c>
      <c r="B1548" s="142" t="s">
        <v>15411</v>
      </c>
      <c r="C1548" s="142" t="s">
        <v>15847</v>
      </c>
      <c r="D1548" s="142" t="s">
        <v>15848</v>
      </c>
      <c r="E1548" s="142" t="s">
        <v>15849</v>
      </c>
      <c r="F1548" s="142" t="s">
        <v>4130</v>
      </c>
      <c r="G1548" s="142" t="s">
        <v>4129</v>
      </c>
      <c r="H1548" s="142" t="s">
        <v>17398</v>
      </c>
      <c r="I1548" s="142">
        <v>8</v>
      </c>
      <c r="J1548" s="142">
        <v>0</v>
      </c>
      <c r="K1548" s="142">
        <v>0</v>
      </c>
      <c r="L1548" s="142">
        <v>0</v>
      </c>
      <c r="M1548" s="142">
        <v>8</v>
      </c>
    </row>
    <row r="1549" spans="1:13" x14ac:dyDescent="0.45">
      <c r="A1549" s="142" t="s">
        <v>13133</v>
      </c>
      <c r="B1549" s="142" t="s">
        <v>15291</v>
      </c>
      <c r="C1549" s="142" t="s">
        <v>15847</v>
      </c>
      <c r="D1549" s="142" t="s">
        <v>15848</v>
      </c>
      <c r="E1549" s="142" t="s">
        <v>15849</v>
      </c>
      <c r="F1549" s="142" t="s">
        <v>4130</v>
      </c>
      <c r="G1549" s="142" t="s">
        <v>4129</v>
      </c>
      <c r="H1549" s="142" t="s">
        <v>17399</v>
      </c>
      <c r="I1549" s="142">
        <v>1</v>
      </c>
      <c r="J1549" s="142">
        <v>0</v>
      </c>
      <c r="K1549" s="142">
        <v>0</v>
      </c>
      <c r="L1549" s="142">
        <v>0</v>
      </c>
      <c r="M1549" s="142">
        <v>1</v>
      </c>
    </row>
    <row r="1550" spans="1:13" x14ac:dyDescent="0.45">
      <c r="A1550" s="142" t="s">
        <v>13459</v>
      </c>
      <c r="B1550" s="142" t="s">
        <v>14657</v>
      </c>
      <c r="C1550" s="142" t="s">
        <v>15860</v>
      </c>
      <c r="D1550" s="142" t="s">
        <v>15861</v>
      </c>
      <c r="E1550" s="142" t="s">
        <v>15849</v>
      </c>
      <c r="F1550" s="142" t="s">
        <v>4130</v>
      </c>
      <c r="G1550" s="142" t="s">
        <v>4129</v>
      </c>
      <c r="H1550" s="142" t="s">
        <v>17400</v>
      </c>
      <c r="I1550" s="142">
        <v>7</v>
      </c>
      <c r="J1550" s="142">
        <v>7</v>
      </c>
      <c r="K1550" s="142">
        <v>0</v>
      </c>
      <c r="L1550" s="142">
        <v>0</v>
      </c>
      <c r="M1550" s="142">
        <v>0</v>
      </c>
    </row>
    <row r="1551" spans="1:13" x14ac:dyDescent="0.45">
      <c r="A1551" s="142" t="s">
        <v>13104</v>
      </c>
      <c r="B1551" s="142" t="s">
        <v>14622</v>
      </c>
      <c r="C1551" s="142" t="s">
        <v>15847</v>
      </c>
      <c r="D1551" s="142" t="s">
        <v>15848</v>
      </c>
      <c r="E1551" s="142" t="s">
        <v>15849</v>
      </c>
      <c r="F1551" s="142" t="s">
        <v>4130</v>
      </c>
      <c r="G1551" s="142" t="s">
        <v>4129</v>
      </c>
      <c r="H1551" s="142" t="s">
        <v>17401</v>
      </c>
      <c r="I1551" s="142">
        <v>32</v>
      </c>
      <c r="J1551" s="142">
        <v>16</v>
      </c>
      <c r="K1551" s="142">
        <v>0</v>
      </c>
      <c r="L1551" s="142">
        <v>16</v>
      </c>
      <c r="M1551" s="142">
        <v>0</v>
      </c>
    </row>
    <row r="1552" spans="1:13" x14ac:dyDescent="0.45">
      <c r="A1552" s="142" t="s">
        <v>13033</v>
      </c>
      <c r="B1552" s="142" t="s">
        <v>15276</v>
      </c>
      <c r="C1552" s="142" t="s">
        <v>15847</v>
      </c>
      <c r="D1552" s="142" t="s">
        <v>15848</v>
      </c>
      <c r="E1552" s="142" t="s">
        <v>15849</v>
      </c>
      <c r="F1552" s="142" t="s">
        <v>4130</v>
      </c>
      <c r="G1552" s="142" t="s">
        <v>4129</v>
      </c>
      <c r="H1552" s="142" t="s">
        <v>17402</v>
      </c>
      <c r="I1552" s="142">
        <v>12</v>
      </c>
      <c r="J1552" s="142">
        <v>5</v>
      </c>
      <c r="K1552" s="142">
        <v>0</v>
      </c>
      <c r="L1552" s="142">
        <v>0</v>
      </c>
      <c r="M1552" s="142">
        <v>7</v>
      </c>
    </row>
    <row r="1553" spans="1:13" x14ac:dyDescent="0.45">
      <c r="A1553" s="142" t="s">
        <v>13090</v>
      </c>
      <c r="B1553" s="142" t="s">
        <v>15600</v>
      </c>
      <c r="C1553" s="142" t="s">
        <v>15847</v>
      </c>
      <c r="D1553" s="142" t="s">
        <v>15848</v>
      </c>
      <c r="E1553" s="142" t="s">
        <v>15849</v>
      </c>
      <c r="F1553" s="142" t="s">
        <v>4130</v>
      </c>
      <c r="G1553" s="142" t="s">
        <v>4129</v>
      </c>
      <c r="H1553" s="142" t="s">
        <v>17403</v>
      </c>
      <c r="I1553" s="142">
        <v>2</v>
      </c>
      <c r="J1553" s="142">
        <v>0</v>
      </c>
      <c r="K1553" s="142">
        <v>0</v>
      </c>
      <c r="L1553" s="142">
        <v>0</v>
      </c>
      <c r="M1553" s="142">
        <v>2</v>
      </c>
    </row>
    <row r="1554" spans="1:13" x14ac:dyDescent="0.45">
      <c r="A1554" s="142" t="s">
        <v>13011</v>
      </c>
      <c r="B1554" s="142" t="s">
        <v>14695</v>
      </c>
      <c r="C1554" s="142" t="s">
        <v>15847</v>
      </c>
      <c r="D1554" s="142" t="s">
        <v>15848</v>
      </c>
      <c r="E1554" s="142" t="s">
        <v>15849</v>
      </c>
      <c r="F1554" s="142" t="s">
        <v>4130</v>
      </c>
      <c r="G1554" s="142" t="s">
        <v>4129</v>
      </c>
      <c r="H1554" s="142" t="s">
        <v>17404</v>
      </c>
      <c r="I1554" s="142">
        <v>1</v>
      </c>
      <c r="J1554" s="142">
        <v>0</v>
      </c>
      <c r="K1554" s="142">
        <v>0</v>
      </c>
      <c r="L1554" s="142">
        <v>0</v>
      </c>
      <c r="M1554" s="142">
        <v>1</v>
      </c>
    </row>
    <row r="1555" spans="1:13" x14ac:dyDescent="0.45">
      <c r="A1555" s="142" t="s">
        <v>13106</v>
      </c>
      <c r="B1555" s="142" t="s">
        <v>15414</v>
      </c>
      <c r="C1555" s="142" t="s">
        <v>15847</v>
      </c>
      <c r="D1555" s="142" t="s">
        <v>15848</v>
      </c>
      <c r="E1555" s="142" t="s">
        <v>15849</v>
      </c>
      <c r="F1555" s="142" t="s">
        <v>4130</v>
      </c>
      <c r="G1555" s="142" t="s">
        <v>4129</v>
      </c>
      <c r="H1555" s="142" t="s">
        <v>17405</v>
      </c>
      <c r="I1555" s="142">
        <v>50</v>
      </c>
      <c r="J1555" s="142">
        <v>48</v>
      </c>
      <c r="K1555" s="142">
        <v>0</v>
      </c>
      <c r="L1555" s="142">
        <v>2</v>
      </c>
      <c r="M1555" s="142">
        <v>0</v>
      </c>
    </row>
    <row r="1556" spans="1:13" x14ac:dyDescent="0.45">
      <c r="A1556" s="142" t="s">
        <v>13460</v>
      </c>
      <c r="B1556" s="142" t="s">
        <v>15163</v>
      </c>
      <c r="C1556" s="142" t="s">
        <v>15860</v>
      </c>
      <c r="D1556" s="142" t="s">
        <v>15861</v>
      </c>
      <c r="E1556" s="142" t="s">
        <v>15849</v>
      </c>
      <c r="F1556" s="142" t="s">
        <v>4130</v>
      </c>
      <c r="G1556" s="142" t="s">
        <v>4129</v>
      </c>
      <c r="H1556" s="142" t="s">
        <v>17406</v>
      </c>
      <c r="I1556" s="142">
        <v>11</v>
      </c>
      <c r="J1556" s="142">
        <v>0</v>
      </c>
      <c r="K1556" s="142">
        <v>0</v>
      </c>
      <c r="L1556" s="142">
        <v>11</v>
      </c>
      <c r="M1556" s="142">
        <v>0</v>
      </c>
    </row>
    <row r="1557" spans="1:13" x14ac:dyDescent="0.45">
      <c r="A1557" s="142" t="s">
        <v>13141</v>
      </c>
      <c r="B1557" s="142" t="s">
        <v>15258</v>
      </c>
      <c r="C1557" s="142" t="s">
        <v>15847</v>
      </c>
      <c r="D1557" s="142" t="s">
        <v>15848</v>
      </c>
      <c r="E1557" s="142" t="s">
        <v>15849</v>
      </c>
      <c r="F1557" s="142" t="s">
        <v>4130</v>
      </c>
      <c r="G1557" s="142" t="s">
        <v>4129</v>
      </c>
      <c r="H1557" s="142" t="s">
        <v>17407</v>
      </c>
      <c r="I1557" s="142">
        <v>5</v>
      </c>
      <c r="J1557" s="142">
        <v>5</v>
      </c>
      <c r="K1557" s="142">
        <v>0</v>
      </c>
      <c r="L1557" s="142">
        <v>0</v>
      </c>
      <c r="M1557" s="142">
        <v>0</v>
      </c>
    </row>
    <row r="1558" spans="1:13" x14ac:dyDescent="0.45">
      <c r="A1558" s="142" t="s">
        <v>13165</v>
      </c>
      <c r="B1558" s="142" t="s">
        <v>15525</v>
      </c>
      <c r="C1558" s="142" t="s">
        <v>15860</v>
      </c>
      <c r="D1558" s="142" t="s">
        <v>15861</v>
      </c>
      <c r="E1558" s="142" t="s">
        <v>15849</v>
      </c>
      <c r="F1558" s="142" t="s">
        <v>4130</v>
      </c>
      <c r="G1558" s="142" t="s">
        <v>4129</v>
      </c>
      <c r="H1558" s="142" t="s">
        <v>17408</v>
      </c>
      <c r="I1558" s="142">
        <v>4</v>
      </c>
      <c r="J1558" s="142">
        <v>0</v>
      </c>
      <c r="K1558" s="142">
        <v>0</v>
      </c>
      <c r="L1558" s="142">
        <v>4</v>
      </c>
      <c r="M1558" s="142">
        <v>0</v>
      </c>
    </row>
    <row r="1559" spans="1:13" x14ac:dyDescent="0.45">
      <c r="A1559" s="142" t="s">
        <v>13042</v>
      </c>
      <c r="B1559" s="142" t="s">
        <v>15489</v>
      </c>
      <c r="C1559" s="142" t="s">
        <v>15847</v>
      </c>
      <c r="D1559" s="142" t="s">
        <v>15848</v>
      </c>
      <c r="E1559" s="142" t="s">
        <v>15849</v>
      </c>
      <c r="F1559" s="142" t="s">
        <v>4130</v>
      </c>
      <c r="G1559" s="142" t="s">
        <v>4129</v>
      </c>
      <c r="H1559" s="142" t="s">
        <v>17409</v>
      </c>
      <c r="I1559" s="142">
        <v>2</v>
      </c>
      <c r="J1559" s="142">
        <v>0</v>
      </c>
      <c r="K1559" s="142">
        <v>0</v>
      </c>
      <c r="L1559" s="142">
        <v>0</v>
      </c>
      <c r="M1559" s="142">
        <v>2</v>
      </c>
    </row>
    <row r="1560" spans="1:13" x14ac:dyDescent="0.45">
      <c r="A1560" s="142" t="s">
        <v>13072</v>
      </c>
      <c r="B1560" s="142" t="s">
        <v>15530</v>
      </c>
      <c r="C1560" s="142" t="s">
        <v>15847</v>
      </c>
      <c r="D1560" s="142" t="s">
        <v>15848</v>
      </c>
      <c r="E1560" s="142" t="s">
        <v>15849</v>
      </c>
      <c r="F1560" s="142" t="s">
        <v>2464</v>
      </c>
      <c r="G1560" s="142" t="s">
        <v>2463</v>
      </c>
      <c r="H1560" s="142" t="s">
        <v>17410</v>
      </c>
      <c r="I1560" s="142">
        <v>45</v>
      </c>
      <c r="J1560" s="142">
        <v>15</v>
      </c>
      <c r="K1560" s="142">
        <v>0</v>
      </c>
      <c r="L1560" s="142">
        <v>0</v>
      </c>
      <c r="M1560" s="142">
        <v>30</v>
      </c>
    </row>
    <row r="1561" spans="1:13" x14ac:dyDescent="0.45">
      <c r="A1561" s="142" t="s">
        <v>13021</v>
      </c>
      <c r="B1561" s="142" t="s">
        <v>15501</v>
      </c>
      <c r="C1561" s="142" t="s">
        <v>15847</v>
      </c>
      <c r="D1561" s="142" t="s">
        <v>15848</v>
      </c>
      <c r="E1561" s="142" t="s">
        <v>15849</v>
      </c>
      <c r="F1561" s="142" t="s">
        <v>2464</v>
      </c>
      <c r="G1561" s="142" t="s">
        <v>2463</v>
      </c>
      <c r="H1561" s="142" t="s">
        <v>17411</v>
      </c>
      <c r="I1561" s="142">
        <v>5</v>
      </c>
      <c r="J1561" s="142">
        <v>0</v>
      </c>
      <c r="K1561" s="142">
        <v>0</v>
      </c>
      <c r="L1561" s="142">
        <v>0</v>
      </c>
      <c r="M1561" s="142">
        <v>5</v>
      </c>
    </row>
    <row r="1562" spans="1:13" x14ac:dyDescent="0.45">
      <c r="A1562" s="142" t="s">
        <v>13022</v>
      </c>
      <c r="B1562" s="142" t="s">
        <v>14634</v>
      </c>
      <c r="C1562" s="142" t="s">
        <v>15847</v>
      </c>
      <c r="D1562" s="142" t="s">
        <v>15848</v>
      </c>
      <c r="E1562" s="142" t="s">
        <v>15849</v>
      </c>
      <c r="F1562" s="142" t="s">
        <v>2464</v>
      </c>
      <c r="G1562" s="142" t="s">
        <v>2463</v>
      </c>
      <c r="H1562" s="142" t="s">
        <v>17412</v>
      </c>
      <c r="I1562" s="142">
        <v>6947</v>
      </c>
      <c r="J1562" s="142">
        <v>5894</v>
      </c>
      <c r="K1562" s="142">
        <v>0</v>
      </c>
      <c r="L1562" s="142">
        <v>606</v>
      </c>
      <c r="M1562" s="142">
        <v>447</v>
      </c>
    </row>
    <row r="1563" spans="1:13" x14ac:dyDescent="0.45">
      <c r="A1563" s="142" t="s">
        <v>13023</v>
      </c>
      <c r="B1563" s="142" t="s">
        <v>15571</v>
      </c>
      <c r="C1563" s="142" t="s">
        <v>15847</v>
      </c>
      <c r="D1563" s="142" t="s">
        <v>15848</v>
      </c>
      <c r="E1563" s="142" t="s">
        <v>15849</v>
      </c>
      <c r="F1563" s="142" t="s">
        <v>2464</v>
      </c>
      <c r="G1563" s="142" t="s">
        <v>2463</v>
      </c>
      <c r="H1563" s="142" t="s">
        <v>17413</v>
      </c>
      <c r="I1563" s="142">
        <v>112</v>
      </c>
      <c r="J1563" s="142">
        <v>0</v>
      </c>
      <c r="K1563" s="142">
        <v>0</v>
      </c>
      <c r="L1563" s="142">
        <v>112</v>
      </c>
      <c r="M1563" s="142">
        <v>0</v>
      </c>
    </row>
    <row r="1564" spans="1:13" x14ac:dyDescent="0.45">
      <c r="A1564" s="142" t="s">
        <v>13000</v>
      </c>
      <c r="B1564" s="142" t="s">
        <v>14610</v>
      </c>
      <c r="C1564" s="142" t="s">
        <v>15847</v>
      </c>
      <c r="D1564" s="142" t="s">
        <v>15848</v>
      </c>
      <c r="E1564" s="142" t="s">
        <v>15849</v>
      </c>
      <c r="F1564" s="142" t="s">
        <v>2464</v>
      </c>
      <c r="G1564" s="142" t="s">
        <v>2463</v>
      </c>
      <c r="H1564" s="142" t="s">
        <v>17414</v>
      </c>
      <c r="I1564" s="142">
        <v>15</v>
      </c>
      <c r="J1564" s="142">
        <v>0</v>
      </c>
      <c r="K1564" s="142">
        <v>0</v>
      </c>
      <c r="L1564" s="142">
        <v>0</v>
      </c>
      <c r="M1564" s="142">
        <v>15</v>
      </c>
    </row>
    <row r="1565" spans="1:13" x14ac:dyDescent="0.45">
      <c r="A1565" s="142" t="s">
        <v>13198</v>
      </c>
      <c r="B1565" s="142" t="s">
        <v>15602</v>
      </c>
      <c r="C1565" s="142" t="s">
        <v>15847</v>
      </c>
      <c r="D1565" s="142" t="s">
        <v>15848</v>
      </c>
      <c r="E1565" s="142" t="s">
        <v>15849</v>
      </c>
      <c r="F1565" s="142" t="s">
        <v>2464</v>
      </c>
      <c r="G1565" s="142" t="s">
        <v>2463</v>
      </c>
      <c r="H1565" s="142" t="s">
        <v>17415</v>
      </c>
      <c r="I1565" s="142">
        <v>80</v>
      </c>
      <c r="J1565" s="142">
        <v>44</v>
      </c>
      <c r="K1565" s="142">
        <v>0</v>
      </c>
      <c r="L1565" s="142">
        <v>0</v>
      </c>
      <c r="M1565" s="142">
        <v>36</v>
      </c>
    </row>
    <row r="1566" spans="1:13" x14ac:dyDescent="0.45">
      <c r="A1566" s="142" t="s">
        <v>13119</v>
      </c>
      <c r="B1566" s="142" t="s">
        <v>14451</v>
      </c>
      <c r="C1566" s="142" t="s">
        <v>15860</v>
      </c>
      <c r="D1566" s="142" t="s">
        <v>15861</v>
      </c>
      <c r="E1566" s="142" t="s">
        <v>15849</v>
      </c>
      <c r="F1566" s="142" t="s">
        <v>2464</v>
      </c>
      <c r="G1566" s="142" t="s">
        <v>2463</v>
      </c>
      <c r="H1566" s="142" t="s">
        <v>17416</v>
      </c>
      <c r="I1566" s="142">
        <v>13</v>
      </c>
      <c r="J1566" s="142">
        <v>0</v>
      </c>
      <c r="K1566" s="142">
        <v>0</v>
      </c>
      <c r="L1566" s="142">
        <v>13</v>
      </c>
      <c r="M1566" s="142">
        <v>0</v>
      </c>
    </row>
    <row r="1567" spans="1:13" x14ac:dyDescent="0.45">
      <c r="A1567" s="142" t="s">
        <v>13397</v>
      </c>
      <c r="B1567" s="142" t="s">
        <v>15465</v>
      </c>
      <c r="C1567" s="142" t="s">
        <v>15847</v>
      </c>
      <c r="D1567" s="142" t="s">
        <v>15848</v>
      </c>
      <c r="E1567" s="142" t="s">
        <v>15849</v>
      </c>
      <c r="F1567" s="142" t="s">
        <v>2464</v>
      </c>
      <c r="G1567" s="142" t="s">
        <v>2463</v>
      </c>
      <c r="H1567" s="142" t="s">
        <v>17417</v>
      </c>
      <c r="I1567" s="142">
        <v>45</v>
      </c>
      <c r="J1567" s="142">
        <v>23</v>
      </c>
      <c r="K1567" s="142">
        <v>0</v>
      </c>
      <c r="L1567" s="142">
        <v>0</v>
      </c>
      <c r="M1567" s="142">
        <v>22</v>
      </c>
    </row>
    <row r="1568" spans="1:13" x14ac:dyDescent="0.45">
      <c r="A1568" s="142" t="s">
        <v>13462</v>
      </c>
      <c r="B1568" s="142" t="s">
        <v>14653</v>
      </c>
      <c r="C1568" s="142" t="s">
        <v>15847</v>
      </c>
      <c r="D1568" s="142" t="s">
        <v>15848</v>
      </c>
      <c r="E1568" s="142" t="s">
        <v>15849</v>
      </c>
      <c r="F1568" s="142" t="s">
        <v>2464</v>
      </c>
      <c r="G1568" s="142" t="s">
        <v>2463</v>
      </c>
      <c r="H1568" s="142" t="s">
        <v>17418</v>
      </c>
      <c r="I1568" s="142">
        <v>540</v>
      </c>
      <c r="J1568" s="142">
        <v>410</v>
      </c>
      <c r="K1568" s="142">
        <v>0</v>
      </c>
      <c r="L1568" s="142">
        <v>0</v>
      </c>
      <c r="M1568" s="142">
        <v>130</v>
      </c>
    </row>
    <row r="1569" spans="1:13" x14ac:dyDescent="0.45">
      <c r="A1569" s="142" t="s">
        <v>13027</v>
      </c>
      <c r="B1569" s="142" t="s">
        <v>14562</v>
      </c>
      <c r="C1569" s="142" t="s">
        <v>15847</v>
      </c>
      <c r="D1569" s="142" t="s">
        <v>15848</v>
      </c>
      <c r="E1569" s="142" t="s">
        <v>15849</v>
      </c>
      <c r="F1569" s="142" t="s">
        <v>2464</v>
      </c>
      <c r="G1569" s="142" t="s">
        <v>2463</v>
      </c>
      <c r="H1569" s="142" t="s">
        <v>17419</v>
      </c>
      <c r="I1569" s="142">
        <v>22</v>
      </c>
      <c r="J1569" s="142">
        <v>0</v>
      </c>
      <c r="K1569" s="142">
        <v>0</v>
      </c>
      <c r="L1569" s="142">
        <v>22</v>
      </c>
      <c r="M1569" s="142">
        <v>0</v>
      </c>
    </row>
    <row r="1570" spans="1:13" x14ac:dyDescent="0.45">
      <c r="A1570" s="142" t="s">
        <v>13001</v>
      </c>
      <c r="B1570" s="142" t="s">
        <v>15506</v>
      </c>
      <c r="C1570" s="142" t="s">
        <v>15847</v>
      </c>
      <c r="D1570" s="142" t="s">
        <v>15848</v>
      </c>
      <c r="E1570" s="142" t="s">
        <v>15849</v>
      </c>
      <c r="F1570" s="142" t="s">
        <v>2464</v>
      </c>
      <c r="G1570" s="142" t="s">
        <v>2463</v>
      </c>
      <c r="H1570" s="142" t="s">
        <v>17420</v>
      </c>
      <c r="I1570" s="142">
        <v>46</v>
      </c>
      <c r="J1570" s="142">
        <v>46</v>
      </c>
      <c r="K1570" s="142">
        <v>0</v>
      </c>
      <c r="L1570" s="142">
        <v>0</v>
      </c>
      <c r="M1570" s="142">
        <v>0</v>
      </c>
    </row>
    <row r="1571" spans="1:13" x14ac:dyDescent="0.45">
      <c r="A1571" s="142" t="s">
        <v>13028</v>
      </c>
      <c r="B1571" s="142" t="s">
        <v>14462</v>
      </c>
      <c r="C1571" s="142" t="s">
        <v>15847</v>
      </c>
      <c r="D1571" s="142" t="s">
        <v>15848</v>
      </c>
      <c r="E1571" s="142" t="s">
        <v>15849</v>
      </c>
      <c r="F1571" s="142" t="s">
        <v>2464</v>
      </c>
      <c r="G1571" s="142" t="s">
        <v>2463</v>
      </c>
      <c r="H1571" s="142" t="s">
        <v>17421</v>
      </c>
      <c r="I1571" s="142">
        <v>82</v>
      </c>
      <c r="J1571" s="142">
        <v>0</v>
      </c>
      <c r="K1571" s="142">
        <v>0</v>
      </c>
      <c r="L1571" s="142">
        <v>0</v>
      </c>
      <c r="M1571" s="142">
        <v>82</v>
      </c>
    </row>
    <row r="1572" spans="1:13" x14ac:dyDescent="0.45">
      <c r="A1572" s="142" t="s">
        <v>13199</v>
      </c>
      <c r="B1572" s="142" t="s">
        <v>15362</v>
      </c>
      <c r="C1572" s="142" t="s">
        <v>15847</v>
      </c>
      <c r="D1572" s="142" t="s">
        <v>15848</v>
      </c>
      <c r="E1572" s="142" t="s">
        <v>15849</v>
      </c>
      <c r="F1572" s="142" t="s">
        <v>2464</v>
      </c>
      <c r="G1572" s="142" t="s">
        <v>2463</v>
      </c>
      <c r="H1572" s="142" t="s">
        <v>17422</v>
      </c>
      <c r="I1572" s="142">
        <v>855</v>
      </c>
      <c r="J1572" s="142">
        <v>594</v>
      </c>
      <c r="K1572" s="142">
        <v>0</v>
      </c>
      <c r="L1572" s="142">
        <v>0</v>
      </c>
      <c r="M1572" s="142">
        <v>261</v>
      </c>
    </row>
    <row r="1573" spans="1:13" x14ac:dyDescent="0.45">
      <c r="A1573" s="142" t="s">
        <v>13002</v>
      </c>
      <c r="B1573" s="142" t="s">
        <v>15376</v>
      </c>
      <c r="C1573" s="142" t="s">
        <v>15847</v>
      </c>
      <c r="D1573" s="142" t="s">
        <v>15848</v>
      </c>
      <c r="E1573" s="142" t="s">
        <v>15849</v>
      </c>
      <c r="F1573" s="142" t="s">
        <v>2464</v>
      </c>
      <c r="G1573" s="142" t="s">
        <v>2463</v>
      </c>
      <c r="H1573" s="142" t="s">
        <v>17423</v>
      </c>
      <c r="I1573" s="142">
        <v>75</v>
      </c>
      <c r="J1573" s="142">
        <v>0</v>
      </c>
      <c r="K1573" s="142">
        <v>0</v>
      </c>
      <c r="L1573" s="142">
        <v>75</v>
      </c>
      <c r="M1573" s="142">
        <v>0</v>
      </c>
    </row>
    <row r="1574" spans="1:13" x14ac:dyDescent="0.45">
      <c r="A1574" s="142" t="s">
        <v>13003</v>
      </c>
      <c r="B1574" s="142" t="s">
        <v>15245</v>
      </c>
      <c r="C1574" s="142" t="s">
        <v>15847</v>
      </c>
      <c r="D1574" s="142" t="s">
        <v>15848</v>
      </c>
      <c r="E1574" s="142" t="s">
        <v>15849</v>
      </c>
      <c r="F1574" s="142" t="s">
        <v>2464</v>
      </c>
      <c r="G1574" s="142" t="s">
        <v>2463</v>
      </c>
      <c r="H1574" s="142" t="s">
        <v>17424</v>
      </c>
      <c r="I1574" s="142">
        <v>112</v>
      </c>
      <c r="J1574" s="142">
        <v>0</v>
      </c>
      <c r="K1574" s="142">
        <v>0</v>
      </c>
      <c r="L1574" s="142">
        <v>112</v>
      </c>
      <c r="M1574" s="142">
        <v>0</v>
      </c>
    </row>
    <row r="1575" spans="1:13" x14ac:dyDescent="0.45">
      <c r="A1575" s="142" t="s">
        <v>13066</v>
      </c>
      <c r="B1575" s="142" t="s">
        <v>14459</v>
      </c>
      <c r="C1575" s="142" t="s">
        <v>15847</v>
      </c>
      <c r="D1575" s="142" t="s">
        <v>15848</v>
      </c>
      <c r="E1575" s="142" t="s">
        <v>15849</v>
      </c>
      <c r="F1575" s="142" t="s">
        <v>2464</v>
      </c>
      <c r="G1575" s="142" t="s">
        <v>2463</v>
      </c>
      <c r="H1575" s="142" t="s">
        <v>17425</v>
      </c>
      <c r="I1575" s="142">
        <v>42</v>
      </c>
      <c r="J1575" s="142">
        <v>0</v>
      </c>
      <c r="K1575" s="142">
        <v>0</v>
      </c>
      <c r="L1575" s="142">
        <v>42</v>
      </c>
      <c r="M1575" s="142">
        <v>0</v>
      </c>
    </row>
    <row r="1576" spans="1:13" x14ac:dyDescent="0.45">
      <c r="A1576" s="142" t="s">
        <v>13201</v>
      </c>
      <c r="B1576" s="142" t="s">
        <v>14481</v>
      </c>
      <c r="C1576" s="142" t="s">
        <v>15860</v>
      </c>
      <c r="D1576" s="142" t="s">
        <v>15861</v>
      </c>
      <c r="E1576" s="142" t="s">
        <v>15849</v>
      </c>
      <c r="F1576" s="142" t="s">
        <v>2464</v>
      </c>
      <c r="G1576" s="142" t="s">
        <v>2463</v>
      </c>
      <c r="H1576" s="142" t="s">
        <v>17426</v>
      </c>
      <c r="I1576" s="142">
        <v>3</v>
      </c>
      <c r="J1576" s="142">
        <v>0</v>
      </c>
      <c r="K1576" s="142">
        <v>0</v>
      </c>
      <c r="L1576" s="142">
        <v>3</v>
      </c>
      <c r="M1576" s="142">
        <v>0</v>
      </c>
    </row>
    <row r="1577" spans="1:13" x14ac:dyDescent="0.45">
      <c r="A1577" s="142" t="s">
        <v>13076</v>
      </c>
      <c r="B1577" s="142" t="s">
        <v>14636</v>
      </c>
      <c r="C1577" s="142" t="s">
        <v>15847</v>
      </c>
      <c r="D1577" s="142" t="s">
        <v>15848</v>
      </c>
      <c r="E1577" s="142" t="s">
        <v>15849</v>
      </c>
      <c r="F1577" s="142" t="s">
        <v>2464</v>
      </c>
      <c r="G1577" s="142" t="s">
        <v>2463</v>
      </c>
      <c r="H1577" s="142" t="s">
        <v>17427</v>
      </c>
      <c r="I1577" s="142">
        <v>23</v>
      </c>
      <c r="J1577" s="142">
        <v>0</v>
      </c>
      <c r="K1577" s="142">
        <v>0</v>
      </c>
      <c r="L1577" s="142">
        <v>0</v>
      </c>
      <c r="M1577" s="142">
        <v>23</v>
      </c>
    </row>
    <row r="1578" spans="1:13" x14ac:dyDescent="0.45">
      <c r="A1578" s="142" t="s">
        <v>13005</v>
      </c>
      <c r="B1578" s="142" t="s">
        <v>15475</v>
      </c>
      <c r="C1578" s="142" t="s">
        <v>15847</v>
      </c>
      <c r="D1578" s="142" t="s">
        <v>15848</v>
      </c>
      <c r="E1578" s="142" t="s">
        <v>15849</v>
      </c>
      <c r="F1578" s="142" t="s">
        <v>2464</v>
      </c>
      <c r="G1578" s="142" t="s">
        <v>2463</v>
      </c>
      <c r="H1578" s="142" t="s">
        <v>17428</v>
      </c>
      <c r="I1578" s="142">
        <v>2</v>
      </c>
      <c r="J1578" s="142">
        <v>0</v>
      </c>
      <c r="K1578" s="142">
        <v>0</v>
      </c>
      <c r="L1578" s="142">
        <v>0</v>
      </c>
      <c r="M1578" s="142">
        <v>2</v>
      </c>
    </row>
    <row r="1579" spans="1:13" x14ac:dyDescent="0.45">
      <c r="A1579" s="142" t="s">
        <v>13463</v>
      </c>
      <c r="B1579" s="142" t="s">
        <v>15330</v>
      </c>
      <c r="C1579" s="142" t="s">
        <v>15860</v>
      </c>
      <c r="D1579" s="142" t="s">
        <v>15861</v>
      </c>
      <c r="E1579" s="142" t="s">
        <v>15849</v>
      </c>
      <c r="F1579" s="142" t="s">
        <v>2464</v>
      </c>
      <c r="G1579" s="142" t="s">
        <v>2463</v>
      </c>
      <c r="H1579" s="142" t="s">
        <v>17429</v>
      </c>
      <c r="I1579" s="142">
        <v>76</v>
      </c>
      <c r="J1579" s="142">
        <v>76</v>
      </c>
      <c r="K1579" s="142">
        <v>0</v>
      </c>
      <c r="L1579" s="142">
        <v>0</v>
      </c>
      <c r="M1579" s="142">
        <v>0</v>
      </c>
    </row>
    <row r="1580" spans="1:13" x14ac:dyDescent="0.45">
      <c r="A1580" s="142" t="s">
        <v>13054</v>
      </c>
      <c r="B1580" s="142" t="s">
        <v>15604</v>
      </c>
      <c r="C1580" s="142" t="s">
        <v>15847</v>
      </c>
      <c r="D1580" s="142" t="s">
        <v>15848</v>
      </c>
      <c r="E1580" s="142" t="s">
        <v>15849</v>
      </c>
      <c r="F1580" s="142" t="s">
        <v>2464</v>
      </c>
      <c r="G1580" s="142" t="s">
        <v>2463</v>
      </c>
      <c r="H1580" s="142" t="s">
        <v>17430</v>
      </c>
      <c r="I1580" s="142">
        <v>2</v>
      </c>
      <c r="J1580" s="142">
        <v>0</v>
      </c>
      <c r="K1580" s="142">
        <v>0</v>
      </c>
      <c r="L1580" s="142">
        <v>0</v>
      </c>
      <c r="M1580" s="142">
        <v>2</v>
      </c>
    </row>
    <row r="1581" spans="1:13" x14ac:dyDescent="0.45">
      <c r="A1581" s="142" t="s">
        <v>13008</v>
      </c>
      <c r="B1581" s="142" t="s">
        <v>15411</v>
      </c>
      <c r="C1581" s="142" t="s">
        <v>15847</v>
      </c>
      <c r="D1581" s="142" t="s">
        <v>15848</v>
      </c>
      <c r="E1581" s="142" t="s">
        <v>15849</v>
      </c>
      <c r="F1581" s="142" t="s">
        <v>2464</v>
      </c>
      <c r="G1581" s="142" t="s">
        <v>2463</v>
      </c>
      <c r="H1581" s="142" t="s">
        <v>17431</v>
      </c>
      <c r="I1581" s="142">
        <v>29</v>
      </c>
      <c r="J1581" s="142">
        <v>0</v>
      </c>
      <c r="K1581" s="142">
        <v>0</v>
      </c>
      <c r="L1581" s="142">
        <v>0</v>
      </c>
      <c r="M1581" s="142">
        <v>29</v>
      </c>
    </row>
    <row r="1582" spans="1:13" x14ac:dyDescent="0.45">
      <c r="A1582" s="142" t="s">
        <v>13077</v>
      </c>
      <c r="B1582" s="142" t="s">
        <v>15407</v>
      </c>
      <c r="C1582" s="142" t="s">
        <v>15847</v>
      </c>
      <c r="D1582" s="142" t="s">
        <v>15848</v>
      </c>
      <c r="E1582" s="142" t="s">
        <v>15849</v>
      </c>
      <c r="F1582" s="142" t="s">
        <v>2464</v>
      </c>
      <c r="G1582" s="142" t="s">
        <v>2463</v>
      </c>
      <c r="H1582" s="142" t="s">
        <v>17432</v>
      </c>
      <c r="I1582" s="142">
        <v>61</v>
      </c>
      <c r="J1582" s="142">
        <v>59</v>
      </c>
      <c r="K1582" s="142">
        <v>0</v>
      </c>
      <c r="L1582" s="142">
        <v>0</v>
      </c>
      <c r="M1582" s="142">
        <v>2</v>
      </c>
    </row>
    <row r="1583" spans="1:13" x14ac:dyDescent="0.45">
      <c r="A1583" s="142" t="s">
        <v>13135</v>
      </c>
      <c r="B1583" s="142" t="s">
        <v>15575</v>
      </c>
      <c r="C1583" s="142" t="s">
        <v>15847</v>
      </c>
      <c r="D1583" s="142" t="s">
        <v>15848</v>
      </c>
      <c r="E1583" s="142" t="s">
        <v>15849</v>
      </c>
      <c r="F1583" s="142" t="s">
        <v>2464</v>
      </c>
      <c r="G1583" s="142" t="s">
        <v>2463</v>
      </c>
      <c r="H1583" s="142" t="s">
        <v>17433</v>
      </c>
      <c r="I1583" s="142">
        <v>925</v>
      </c>
      <c r="J1583" s="142">
        <v>615</v>
      </c>
      <c r="K1583" s="142">
        <v>0</v>
      </c>
      <c r="L1583" s="142">
        <v>7</v>
      </c>
      <c r="M1583" s="142">
        <v>303</v>
      </c>
    </row>
    <row r="1584" spans="1:13" x14ac:dyDescent="0.45">
      <c r="A1584" s="142" t="s">
        <v>13104</v>
      </c>
      <c r="B1584" s="142" t="s">
        <v>14622</v>
      </c>
      <c r="C1584" s="142" t="s">
        <v>15847</v>
      </c>
      <c r="D1584" s="142" t="s">
        <v>15848</v>
      </c>
      <c r="E1584" s="142" t="s">
        <v>15849</v>
      </c>
      <c r="F1584" s="142" t="s">
        <v>2464</v>
      </c>
      <c r="G1584" s="142" t="s">
        <v>2463</v>
      </c>
      <c r="H1584" s="142" t="s">
        <v>17434</v>
      </c>
      <c r="I1584" s="142">
        <v>1755</v>
      </c>
      <c r="J1584" s="142">
        <v>1115</v>
      </c>
      <c r="K1584" s="142">
        <v>0</v>
      </c>
      <c r="L1584" s="142">
        <v>116</v>
      </c>
      <c r="M1584" s="142">
        <v>524</v>
      </c>
    </row>
    <row r="1585" spans="1:13" x14ac:dyDescent="0.45">
      <c r="A1585" s="142" t="s">
        <v>13033</v>
      </c>
      <c r="B1585" s="142" t="s">
        <v>15276</v>
      </c>
      <c r="C1585" s="142" t="s">
        <v>15847</v>
      </c>
      <c r="D1585" s="142" t="s">
        <v>15848</v>
      </c>
      <c r="E1585" s="142" t="s">
        <v>15849</v>
      </c>
      <c r="F1585" s="142" t="s">
        <v>2464</v>
      </c>
      <c r="G1585" s="142" t="s">
        <v>2463</v>
      </c>
      <c r="H1585" s="142" t="s">
        <v>17435</v>
      </c>
      <c r="I1585" s="142">
        <v>67</v>
      </c>
      <c r="J1585" s="142">
        <v>61</v>
      </c>
      <c r="K1585" s="142">
        <v>0</v>
      </c>
      <c r="L1585" s="142">
        <v>0</v>
      </c>
      <c r="M1585" s="142">
        <v>6</v>
      </c>
    </row>
    <row r="1586" spans="1:13" x14ac:dyDescent="0.45">
      <c r="A1586" s="142" t="s">
        <v>13034</v>
      </c>
      <c r="B1586" s="142" t="s">
        <v>15562</v>
      </c>
      <c r="C1586" s="142" t="s">
        <v>15847</v>
      </c>
      <c r="D1586" s="142" t="s">
        <v>15848</v>
      </c>
      <c r="E1586" s="142" t="s">
        <v>15849</v>
      </c>
      <c r="F1586" s="142" t="s">
        <v>2464</v>
      </c>
      <c r="G1586" s="142" t="s">
        <v>2463</v>
      </c>
      <c r="H1586" s="142" t="s">
        <v>17436</v>
      </c>
      <c r="I1586" s="142">
        <v>36</v>
      </c>
      <c r="J1586" s="142">
        <v>2</v>
      </c>
      <c r="K1586" s="142">
        <v>0</v>
      </c>
      <c r="L1586" s="142">
        <v>34</v>
      </c>
      <c r="M1586" s="142">
        <v>0</v>
      </c>
    </row>
    <row r="1587" spans="1:13" x14ac:dyDescent="0.45">
      <c r="A1587" s="142" t="s">
        <v>13037</v>
      </c>
      <c r="B1587" s="142" t="s">
        <v>14519</v>
      </c>
      <c r="C1587" s="142" t="s">
        <v>15847</v>
      </c>
      <c r="D1587" s="142" t="s">
        <v>15848</v>
      </c>
      <c r="E1587" s="142" t="s">
        <v>15849</v>
      </c>
      <c r="F1587" s="142" t="s">
        <v>2464</v>
      </c>
      <c r="G1587" s="142" t="s">
        <v>2463</v>
      </c>
      <c r="H1587" s="142" t="s">
        <v>17437</v>
      </c>
      <c r="I1587" s="142">
        <v>8</v>
      </c>
      <c r="J1587" s="142">
        <v>0</v>
      </c>
      <c r="K1587" s="142">
        <v>0</v>
      </c>
      <c r="L1587" s="142">
        <v>8</v>
      </c>
      <c r="M1587" s="142">
        <v>0</v>
      </c>
    </row>
    <row r="1588" spans="1:13" x14ac:dyDescent="0.45">
      <c r="A1588" s="142" t="s">
        <v>13038</v>
      </c>
      <c r="B1588" s="142" t="s">
        <v>14646</v>
      </c>
      <c r="C1588" s="142" t="s">
        <v>15847</v>
      </c>
      <c r="D1588" s="142" t="s">
        <v>15848</v>
      </c>
      <c r="E1588" s="142" t="s">
        <v>15849</v>
      </c>
      <c r="F1588" s="142" t="s">
        <v>2464</v>
      </c>
      <c r="G1588" s="142" t="s">
        <v>2463</v>
      </c>
      <c r="H1588" s="142" t="s">
        <v>17438</v>
      </c>
      <c r="I1588" s="142">
        <v>340</v>
      </c>
      <c r="J1588" s="142">
        <v>99</v>
      </c>
      <c r="K1588" s="142">
        <v>0</v>
      </c>
      <c r="L1588" s="142">
        <v>0</v>
      </c>
      <c r="M1588" s="142">
        <v>241</v>
      </c>
    </row>
    <row r="1589" spans="1:13" x14ac:dyDescent="0.45">
      <c r="A1589" s="142" t="s">
        <v>13039</v>
      </c>
      <c r="B1589" s="142" t="s">
        <v>14647</v>
      </c>
      <c r="C1589" s="142" t="s">
        <v>15847</v>
      </c>
      <c r="D1589" s="142" t="s">
        <v>15848</v>
      </c>
      <c r="E1589" s="142" t="s">
        <v>15849</v>
      </c>
      <c r="F1589" s="142" t="s">
        <v>2464</v>
      </c>
      <c r="G1589" s="142" t="s">
        <v>2463</v>
      </c>
      <c r="H1589" s="142" t="s">
        <v>17439</v>
      </c>
      <c r="I1589" s="142">
        <v>285</v>
      </c>
      <c r="J1589" s="142">
        <v>285</v>
      </c>
      <c r="K1589" s="142">
        <v>0</v>
      </c>
      <c r="L1589" s="142">
        <v>0</v>
      </c>
      <c r="M1589" s="142">
        <v>0</v>
      </c>
    </row>
    <row r="1590" spans="1:13" x14ac:dyDescent="0.45">
      <c r="A1590" s="142" t="s">
        <v>13203</v>
      </c>
      <c r="B1590" s="142" t="s">
        <v>15446</v>
      </c>
      <c r="C1590" s="142" t="s">
        <v>15847</v>
      </c>
      <c r="D1590" s="142" t="s">
        <v>15848</v>
      </c>
      <c r="E1590" s="142" t="s">
        <v>15849</v>
      </c>
      <c r="F1590" s="142" t="s">
        <v>2464</v>
      </c>
      <c r="G1590" s="142" t="s">
        <v>2463</v>
      </c>
      <c r="H1590" s="142" t="s">
        <v>17440</v>
      </c>
      <c r="I1590" s="142">
        <v>693</v>
      </c>
      <c r="J1590" s="142">
        <v>372</v>
      </c>
      <c r="K1590" s="142">
        <v>0</v>
      </c>
      <c r="L1590" s="142">
        <v>0</v>
      </c>
      <c r="M1590" s="142">
        <v>321</v>
      </c>
    </row>
    <row r="1591" spans="1:13" x14ac:dyDescent="0.45">
      <c r="A1591" s="142" t="s">
        <v>13092</v>
      </c>
      <c r="B1591" s="142" t="s">
        <v>14656</v>
      </c>
      <c r="C1591" s="142" t="s">
        <v>15860</v>
      </c>
      <c r="D1591" s="142" t="s">
        <v>15861</v>
      </c>
      <c r="E1591" s="142" t="s">
        <v>15849</v>
      </c>
      <c r="F1591" s="142" t="s">
        <v>2464</v>
      </c>
      <c r="G1591" s="142" t="s">
        <v>2463</v>
      </c>
      <c r="H1591" s="142" t="s">
        <v>17441</v>
      </c>
      <c r="I1591" s="142">
        <v>4</v>
      </c>
      <c r="J1591" s="142">
        <v>4</v>
      </c>
      <c r="K1591" s="142">
        <v>0</v>
      </c>
      <c r="L1591" s="142">
        <v>0</v>
      </c>
      <c r="M1591" s="142">
        <v>0</v>
      </c>
    </row>
    <row r="1592" spans="1:13" x14ac:dyDescent="0.45">
      <c r="A1592" s="142" t="s">
        <v>13058</v>
      </c>
      <c r="B1592" s="142" t="s">
        <v>14584</v>
      </c>
      <c r="C1592" s="142" t="s">
        <v>15847</v>
      </c>
      <c r="D1592" s="142" t="s">
        <v>15848</v>
      </c>
      <c r="E1592" s="142" t="s">
        <v>15849</v>
      </c>
      <c r="F1592" s="142" t="s">
        <v>2464</v>
      </c>
      <c r="G1592" s="142" t="s">
        <v>2463</v>
      </c>
      <c r="H1592" s="142" t="s">
        <v>17442</v>
      </c>
      <c r="I1592" s="142">
        <v>98</v>
      </c>
      <c r="J1592" s="142">
        <v>84</v>
      </c>
      <c r="K1592" s="142">
        <v>0</v>
      </c>
      <c r="L1592" s="142">
        <v>0</v>
      </c>
      <c r="M1592" s="142">
        <v>14</v>
      </c>
    </row>
    <row r="1593" spans="1:13" x14ac:dyDescent="0.45">
      <c r="A1593" s="142" t="s">
        <v>13041</v>
      </c>
      <c r="B1593" s="142" t="s">
        <v>14441</v>
      </c>
      <c r="C1593" s="142" t="s">
        <v>15847</v>
      </c>
      <c r="D1593" s="142" t="s">
        <v>15848</v>
      </c>
      <c r="E1593" s="142" t="s">
        <v>15849</v>
      </c>
      <c r="F1593" s="142" t="s">
        <v>2464</v>
      </c>
      <c r="G1593" s="142" t="s">
        <v>2463</v>
      </c>
      <c r="H1593" s="142" t="s">
        <v>17443</v>
      </c>
      <c r="I1593" s="142">
        <v>177</v>
      </c>
      <c r="J1593" s="142">
        <v>0</v>
      </c>
      <c r="K1593" s="142">
        <v>0</v>
      </c>
      <c r="L1593" s="142">
        <v>0</v>
      </c>
      <c r="M1593" s="142">
        <v>177</v>
      </c>
    </row>
    <row r="1594" spans="1:13" x14ac:dyDescent="0.45">
      <c r="A1594" s="142" t="s">
        <v>13205</v>
      </c>
      <c r="B1594" s="142" t="s">
        <v>14496</v>
      </c>
      <c r="C1594" s="142" t="s">
        <v>15847</v>
      </c>
      <c r="D1594" s="142" t="s">
        <v>15848</v>
      </c>
      <c r="E1594" s="142" t="s">
        <v>15849</v>
      </c>
      <c r="F1594" s="142" t="s">
        <v>2464</v>
      </c>
      <c r="G1594" s="142" t="s">
        <v>2463</v>
      </c>
      <c r="H1594" s="142" t="s">
        <v>17444</v>
      </c>
      <c r="I1594" s="142">
        <v>20</v>
      </c>
      <c r="J1594" s="142">
        <v>20</v>
      </c>
      <c r="K1594" s="142">
        <v>0</v>
      </c>
      <c r="L1594" s="142">
        <v>0</v>
      </c>
      <c r="M1594" s="142">
        <v>0</v>
      </c>
    </row>
    <row r="1595" spans="1:13" x14ac:dyDescent="0.45">
      <c r="A1595" s="142" t="s">
        <v>13012</v>
      </c>
      <c r="B1595" s="142" t="s">
        <v>15337</v>
      </c>
      <c r="C1595" s="142" t="s">
        <v>15847</v>
      </c>
      <c r="D1595" s="142" t="s">
        <v>15848</v>
      </c>
      <c r="E1595" s="142" t="s">
        <v>15849</v>
      </c>
      <c r="F1595" s="142" t="s">
        <v>2464</v>
      </c>
      <c r="G1595" s="142" t="s">
        <v>2463</v>
      </c>
      <c r="H1595" s="142" t="s">
        <v>17445</v>
      </c>
      <c r="I1595" s="142">
        <v>1367</v>
      </c>
      <c r="J1595" s="142">
        <v>1197</v>
      </c>
      <c r="K1595" s="142">
        <v>0</v>
      </c>
      <c r="L1595" s="142">
        <v>1</v>
      </c>
      <c r="M1595" s="142">
        <v>169</v>
      </c>
    </row>
    <row r="1596" spans="1:13" x14ac:dyDescent="0.45">
      <c r="A1596" s="142" t="s">
        <v>13138</v>
      </c>
      <c r="B1596" s="142" t="s">
        <v>14590</v>
      </c>
      <c r="C1596" s="142" t="s">
        <v>15860</v>
      </c>
      <c r="D1596" s="142" t="s">
        <v>15861</v>
      </c>
      <c r="E1596" s="142" t="s">
        <v>15849</v>
      </c>
      <c r="F1596" s="142" t="s">
        <v>2464</v>
      </c>
      <c r="G1596" s="142" t="s">
        <v>2463</v>
      </c>
      <c r="H1596" s="142" t="s">
        <v>17446</v>
      </c>
      <c r="I1596" s="142">
        <v>1</v>
      </c>
      <c r="J1596" s="142">
        <v>1</v>
      </c>
      <c r="K1596" s="142">
        <v>0</v>
      </c>
      <c r="L1596" s="142">
        <v>0</v>
      </c>
      <c r="M1596" s="142">
        <v>0</v>
      </c>
    </row>
    <row r="1597" spans="1:13" x14ac:dyDescent="0.45">
      <c r="A1597" s="142" t="s">
        <v>13014</v>
      </c>
      <c r="B1597" s="142" t="s">
        <v>14505</v>
      </c>
      <c r="C1597" s="142" t="s">
        <v>15847</v>
      </c>
      <c r="D1597" s="142" t="s">
        <v>15848</v>
      </c>
      <c r="E1597" s="142" t="s">
        <v>15849</v>
      </c>
      <c r="F1597" s="142" t="s">
        <v>2464</v>
      </c>
      <c r="G1597" s="142" t="s">
        <v>2463</v>
      </c>
      <c r="H1597" s="142" t="s">
        <v>17447</v>
      </c>
      <c r="I1597" s="142">
        <v>237</v>
      </c>
      <c r="J1597" s="142">
        <v>169</v>
      </c>
      <c r="K1597" s="142">
        <v>0</v>
      </c>
      <c r="L1597" s="142">
        <v>0</v>
      </c>
      <c r="M1597" s="142">
        <v>68</v>
      </c>
    </row>
    <row r="1598" spans="1:13" x14ac:dyDescent="0.45">
      <c r="A1598" s="142" t="s">
        <v>13042</v>
      </c>
      <c r="B1598" s="142" t="s">
        <v>15489</v>
      </c>
      <c r="C1598" s="142" t="s">
        <v>15847</v>
      </c>
      <c r="D1598" s="142" t="s">
        <v>15848</v>
      </c>
      <c r="E1598" s="142" t="s">
        <v>15849</v>
      </c>
      <c r="F1598" s="142" t="s">
        <v>2464</v>
      </c>
      <c r="G1598" s="142" t="s">
        <v>2463</v>
      </c>
      <c r="H1598" s="142" t="s">
        <v>17448</v>
      </c>
      <c r="I1598" s="142">
        <v>8</v>
      </c>
      <c r="J1598" s="142">
        <v>0</v>
      </c>
      <c r="K1598" s="142">
        <v>0</v>
      </c>
      <c r="L1598" s="142">
        <v>8</v>
      </c>
      <c r="M1598" s="142">
        <v>0</v>
      </c>
    </row>
    <row r="1599" spans="1:13" x14ac:dyDescent="0.45">
      <c r="A1599" s="142" t="s">
        <v>13395</v>
      </c>
      <c r="B1599" s="142" t="s">
        <v>15476</v>
      </c>
      <c r="C1599" s="142" t="s">
        <v>15847</v>
      </c>
      <c r="D1599" s="142" t="s">
        <v>15848</v>
      </c>
      <c r="E1599" s="142" t="s">
        <v>15849</v>
      </c>
      <c r="F1599" s="142" t="s">
        <v>2464</v>
      </c>
      <c r="G1599" s="142" t="s">
        <v>2463</v>
      </c>
      <c r="H1599" s="142" t="s">
        <v>17449</v>
      </c>
      <c r="I1599" s="142">
        <v>118</v>
      </c>
      <c r="J1599" s="142">
        <v>45</v>
      </c>
      <c r="K1599" s="142">
        <v>0</v>
      </c>
      <c r="L1599" s="142">
        <v>0</v>
      </c>
      <c r="M1599" s="142">
        <v>73</v>
      </c>
    </row>
    <row r="1600" spans="1:13" x14ac:dyDescent="0.45">
      <c r="A1600" s="142" t="s">
        <v>13464</v>
      </c>
      <c r="B1600" s="142" t="s">
        <v>14755</v>
      </c>
      <c r="C1600" s="142" t="s">
        <v>15860</v>
      </c>
      <c r="D1600" s="142" t="s">
        <v>15861</v>
      </c>
      <c r="E1600" s="142" t="s">
        <v>15849</v>
      </c>
      <c r="F1600" s="142" t="s">
        <v>2464</v>
      </c>
      <c r="G1600" s="142" t="s">
        <v>2463</v>
      </c>
      <c r="H1600" s="142" t="s">
        <v>17450</v>
      </c>
      <c r="I1600" s="142">
        <v>4</v>
      </c>
      <c r="J1600" s="142">
        <v>0</v>
      </c>
      <c r="K1600" s="142">
        <v>0</v>
      </c>
      <c r="L1600" s="142">
        <v>4</v>
      </c>
      <c r="M1600" s="142">
        <v>0</v>
      </c>
    </row>
    <row r="1601" spans="1:13" x14ac:dyDescent="0.45">
      <c r="A1601" s="142" t="s">
        <v>13207</v>
      </c>
      <c r="B1601" s="142" t="s">
        <v>15558</v>
      </c>
      <c r="C1601" s="142" t="s">
        <v>15847</v>
      </c>
      <c r="D1601" s="142" t="s">
        <v>15848</v>
      </c>
      <c r="E1601" s="142" t="s">
        <v>15849</v>
      </c>
      <c r="F1601" s="142" t="s">
        <v>2464</v>
      </c>
      <c r="G1601" s="142" t="s">
        <v>2463</v>
      </c>
      <c r="H1601" s="142" t="s">
        <v>17451</v>
      </c>
      <c r="I1601" s="142">
        <v>823</v>
      </c>
      <c r="J1601" s="142">
        <v>564</v>
      </c>
      <c r="K1601" s="142">
        <v>0</v>
      </c>
      <c r="L1601" s="142">
        <v>0</v>
      </c>
      <c r="M1601" s="142">
        <v>259</v>
      </c>
    </row>
    <row r="1602" spans="1:13" x14ac:dyDescent="0.45">
      <c r="A1602" s="142" t="s">
        <v>13020</v>
      </c>
      <c r="B1602" s="142" t="s">
        <v>15523</v>
      </c>
      <c r="C1602" s="142" t="s">
        <v>15860</v>
      </c>
      <c r="D1602" s="142" t="s">
        <v>15861</v>
      </c>
      <c r="E1602" s="142" t="s">
        <v>15849</v>
      </c>
      <c r="F1602" s="142" t="s">
        <v>6454</v>
      </c>
      <c r="G1602" s="142" t="s">
        <v>6453</v>
      </c>
      <c r="H1602" s="142" t="s">
        <v>17452</v>
      </c>
      <c r="I1602" s="142">
        <v>2</v>
      </c>
      <c r="J1602" s="142">
        <v>0</v>
      </c>
      <c r="K1602" s="142">
        <v>2</v>
      </c>
      <c r="L1602" s="142">
        <v>0</v>
      </c>
      <c r="M1602" s="142">
        <v>0</v>
      </c>
    </row>
    <row r="1603" spans="1:13" x14ac:dyDescent="0.45">
      <c r="A1603" s="142" t="s">
        <v>13021</v>
      </c>
      <c r="B1603" s="142" t="s">
        <v>15501</v>
      </c>
      <c r="C1603" s="142" t="s">
        <v>15847</v>
      </c>
      <c r="D1603" s="142" t="s">
        <v>15848</v>
      </c>
      <c r="E1603" s="142" t="s">
        <v>15849</v>
      </c>
      <c r="F1603" s="142" t="s">
        <v>6454</v>
      </c>
      <c r="G1603" s="142" t="s">
        <v>6453</v>
      </c>
      <c r="H1603" s="142" t="s">
        <v>17453</v>
      </c>
      <c r="I1603" s="142">
        <v>56</v>
      </c>
      <c r="J1603" s="142">
        <v>0</v>
      </c>
      <c r="K1603" s="142">
        <v>0</v>
      </c>
      <c r="L1603" s="142">
        <v>44</v>
      </c>
      <c r="M1603" s="142">
        <v>12</v>
      </c>
    </row>
    <row r="1604" spans="1:13" x14ac:dyDescent="0.45">
      <c r="A1604" s="142" t="s">
        <v>13022</v>
      </c>
      <c r="B1604" s="142" t="s">
        <v>14634</v>
      </c>
      <c r="C1604" s="142" t="s">
        <v>15847</v>
      </c>
      <c r="D1604" s="142" t="s">
        <v>15848</v>
      </c>
      <c r="E1604" s="142" t="s">
        <v>15849</v>
      </c>
      <c r="F1604" s="142" t="s">
        <v>6454</v>
      </c>
      <c r="G1604" s="142" t="s">
        <v>6453</v>
      </c>
      <c r="H1604" s="142" t="s">
        <v>17454</v>
      </c>
      <c r="I1604" s="142">
        <v>690</v>
      </c>
      <c r="J1604" s="142">
        <v>603</v>
      </c>
      <c r="K1604" s="142">
        <v>0</v>
      </c>
      <c r="L1604" s="142">
        <v>4</v>
      </c>
      <c r="M1604" s="142">
        <v>83</v>
      </c>
    </row>
    <row r="1605" spans="1:13" x14ac:dyDescent="0.45">
      <c r="A1605" s="142" t="s">
        <v>13023</v>
      </c>
      <c r="B1605" s="142" t="s">
        <v>15571</v>
      </c>
      <c r="C1605" s="142" t="s">
        <v>15847</v>
      </c>
      <c r="D1605" s="142" t="s">
        <v>15848</v>
      </c>
      <c r="E1605" s="142" t="s">
        <v>15849</v>
      </c>
      <c r="F1605" s="142" t="s">
        <v>6454</v>
      </c>
      <c r="G1605" s="142" t="s">
        <v>6453</v>
      </c>
      <c r="H1605" s="142" t="s">
        <v>17455</v>
      </c>
      <c r="I1605" s="142">
        <v>58</v>
      </c>
      <c r="J1605" s="142">
        <v>0</v>
      </c>
      <c r="K1605" s="142">
        <v>0</v>
      </c>
      <c r="L1605" s="142">
        <v>58</v>
      </c>
      <c r="M1605" s="142">
        <v>0</v>
      </c>
    </row>
    <row r="1606" spans="1:13" x14ac:dyDescent="0.45">
      <c r="A1606" s="142" t="s">
        <v>13115</v>
      </c>
      <c r="B1606" s="142" t="s">
        <v>14508</v>
      </c>
      <c r="C1606" s="142" t="s">
        <v>15860</v>
      </c>
      <c r="D1606" s="142" t="s">
        <v>15861</v>
      </c>
      <c r="E1606" s="142" t="s">
        <v>15849</v>
      </c>
      <c r="F1606" s="142" t="s">
        <v>6454</v>
      </c>
      <c r="G1606" s="142" t="s">
        <v>6453</v>
      </c>
      <c r="H1606" s="142" t="s">
        <v>17456</v>
      </c>
      <c r="I1606" s="142">
        <v>16</v>
      </c>
      <c r="J1606" s="142">
        <v>0</v>
      </c>
      <c r="K1606" s="142">
        <v>0</v>
      </c>
      <c r="L1606" s="142">
        <v>16</v>
      </c>
      <c r="M1606" s="142">
        <v>0</v>
      </c>
    </row>
    <row r="1607" spans="1:13" x14ac:dyDescent="0.45">
      <c r="A1607" s="142" t="s">
        <v>13024</v>
      </c>
      <c r="B1607" s="142" t="s">
        <v>14538</v>
      </c>
      <c r="C1607" s="142" t="s">
        <v>15847</v>
      </c>
      <c r="D1607" s="142" t="s">
        <v>15848</v>
      </c>
      <c r="E1607" s="142" t="s">
        <v>15849</v>
      </c>
      <c r="F1607" s="142" t="s">
        <v>6454</v>
      </c>
      <c r="G1607" s="142" t="s">
        <v>6453</v>
      </c>
      <c r="H1607" s="142" t="s">
        <v>17457</v>
      </c>
      <c r="I1607" s="142">
        <v>976</v>
      </c>
      <c r="J1607" s="142">
        <v>683</v>
      </c>
      <c r="K1607" s="142">
        <v>0</v>
      </c>
      <c r="L1607" s="142">
        <v>156</v>
      </c>
      <c r="M1607" s="142">
        <v>137</v>
      </c>
    </row>
    <row r="1608" spans="1:13" x14ac:dyDescent="0.45">
      <c r="A1608" s="142" t="s">
        <v>13085</v>
      </c>
      <c r="B1608" s="142" t="s">
        <v>14460</v>
      </c>
      <c r="C1608" s="142" t="s">
        <v>15860</v>
      </c>
      <c r="D1608" s="142" t="s">
        <v>15861</v>
      </c>
      <c r="E1608" s="142" t="s">
        <v>15849</v>
      </c>
      <c r="F1608" s="142" t="s">
        <v>6454</v>
      </c>
      <c r="G1608" s="142" t="s">
        <v>6453</v>
      </c>
      <c r="H1608" s="142" t="s">
        <v>17458</v>
      </c>
      <c r="I1608" s="142">
        <v>5</v>
      </c>
      <c r="J1608" s="142">
        <v>0</v>
      </c>
      <c r="K1608" s="142">
        <v>0</v>
      </c>
      <c r="L1608" s="142">
        <v>5</v>
      </c>
      <c r="M1608" s="142">
        <v>0</v>
      </c>
    </row>
    <row r="1609" spans="1:13" x14ac:dyDescent="0.45">
      <c r="A1609" s="142" t="s">
        <v>13099</v>
      </c>
      <c r="B1609" s="142" t="s">
        <v>14547</v>
      </c>
      <c r="C1609" s="142" t="s">
        <v>15860</v>
      </c>
      <c r="D1609" s="142" t="s">
        <v>15861</v>
      </c>
      <c r="E1609" s="142" t="s">
        <v>15849</v>
      </c>
      <c r="F1609" s="142" t="s">
        <v>6454</v>
      </c>
      <c r="G1609" s="142" t="s">
        <v>6453</v>
      </c>
      <c r="H1609" s="142" t="s">
        <v>17459</v>
      </c>
      <c r="I1609" s="142">
        <v>4</v>
      </c>
      <c r="J1609" s="142">
        <v>0</v>
      </c>
      <c r="K1609" s="142">
        <v>0</v>
      </c>
      <c r="L1609" s="142">
        <v>4</v>
      </c>
      <c r="M1609" s="142">
        <v>0</v>
      </c>
    </row>
    <row r="1610" spans="1:13" x14ac:dyDescent="0.45">
      <c r="A1610" s="142" t="s">
        <v>13049</v>
      </c>
      <c r="B1610" s="142" t="s">
        <v>14534</v>
      </c>
      <c r="C1610" s="142" t="s">
        <v>15860</v>
      </c>
      <c r="D1610" s="142" t="s">
        <v>15861</v>
      </c>
      <c r="E1610" s="142" t="s">
        <v>15849</v>
      </c>
      <c r="F1610" s="142" t="s">
        <v>6454</v>
      </c>
      <c r="G1610" s="142" t="s">
        <v>6453</v>
      </c>
      <c r="H1610" s="142" t="s">
        <v>17460</v>
      </c>
      <c r="I1610" s="142">
        <v>3</v>
      </c>
      <c r="J1610" s="142">
        <v>0</v>
      </c>
      <c r="K1610" s="142">
        <v>0</v>
      </c>
      <c r="L1610" s="142">
        <v>3</v>
      </c>
      <c r="M1610" s="142">
        <v>0</v>
      </c>
    </row>
    <row r="1611" spans="1:13" x14ac:dyDescent="0.45">
      <c r="A1611" s="142" t="s">
        <v>13027</v>
      </c>
      <c r="B1611" s="142" t="s">
        <v>14562</v>
      </c>
      <c r="C1611" s="142" t="s">
        <v>15847</v>
      </c>
      <c r="D1611" s="142" t="s">
        <v>15848</v>
      </c>
      <c r="E1611" s="142" t="s">
        <v>15849</v>
      </c>
      <c r="F1611" s="142" t="s">
        <v>6454</v>
      </c>
      <c r="G1611" s="142" t="s">
        <v>6453</v>
      </c>
      <c r="H1611" s="142" t="s">
        <v>17461</v>
      </c>
      <c r="I1611" s="142">
        <v>18</v>
      </c>
      <c r="J1611" s="142">
        <v>0</v>
      </c>
      <c r="K1611" s="142">
        <v>0</v>
      </c>
      <c r="L1611" s="142">
        <v>18</v>
      </c>
      <c r="M1611" s="142">
        <v>0</v>
      </c>
    </row>
    <row r="1612" spans="1:13" x14ac:dyDescent="0.45">
      <c r="A1612" s="142" t="s">
        <v>13148</v>
      </c>
      <c r="B1612" s="142" t="s">
        <v>15314</v>
      </c>
      <c r="C1612" s="142" t="s">
        <v>15847</v>
      </c>
      <c r="D1612" s="142" t="s">
        <v>15848</v>
      </c>
      <c r="E1612" s="142" t="s">
        <v>15849</v>
      </c>
      <c r="F1612" s="142" t="s">
        <v>6454</v>
      </c>
      <c r="G1612" s="142" t="s">
        <v>6453</v>
      </c>
      <c r="H1612" s="142" t="s">
        <v>17462</v>
      </c>
      <c r="I1612" s="142">
        <v>1</v>
      </c>
      <c r="J1612" s="142">
        <v>0</v>
      </c>
      <c r="K1612" s="142">
        <v>0</v>
      </c>
      <c r="L1612" s="142">
        <v>0</v>
      </c>
      <c r="M1612" s="142">
        <v>1</v>
      </c>
    </row>
    <row r="1613" spans="1:13" x14ac:dyDescent="0.45">
      <c r="A1613" s="142" t="s">
        <v>13149</v>
      </c>
      <c r="B1613" s="142" t="s">
        <v>14458</v>
      </c>
      <c r="C1613" s="142" t="s">
        <v>15860</v>
      </c>
      <c r="D1613" s="142" t="s">
        <v>15861</v>
      </c>
      <c r="E1613" s="142" t="s">
        <v>15849</v>
      </c>
      <c r="F1613" s="142" t="s">
        <v>6454</v>
      </c>
      <c r="G1613" s="142" t="s">
        <v>6453</v>
      </c>
      <c r="H1613" s="142" t="s">
        <v>17463</v>
      </c>
      <c r="I1613" s="142">
        <v>9</v>
      </c>
      <c r="J1613" s="142">
        <v>0</v>
      </c>
      <c r="K1613" s="142">
        <v>0</v>
      </c>
      <c r="L1613" s="142">
        <v>9</v>
      </c>
      <c r="M1613" s="142">
        <v>0</v>
      </c>
    </row>
    <row r="1614" spans="1:13" x14ac:dyDescent="0.45">
      <c r="A1614" s="142" t="s">
        <v>13028</v>
      </c>
      <c r="B1614" s="142" t="s">
        <v>14462</v>
      </c>
      <c r="C1614" s="142" t="s">
        <v>15847</v>
      </c>
      <c r="D1614" s="142" t="s">
        <v>15848</v>
      </c>
      <c r="E1614" s="142" t="s">
        <v>15849</v>
      </c>
      <c r="F1614" s="142" t="s">
        <v>6454</v>
      </c>
      <c r="G1614" s="142" t="s">
        <v>6453</v>
      </c>
      <c r="H1614" s="142" t="s">
        <v>17464</v>
      </c>
      <c r="I1614" s="142">
        <v>10</v>
      </c>
      <c r="J1614" s="142">
        <v>0</v>
      </c>
      <c r="K1614" s="142">
        <v>0</v>
      </c>
      <c r="L1614" s="142">
        <v>0</v>
      </c>
      <c r="M1614" s="142">
        <v>10</v>
      </c>
    </row>
    <row r="1615" spans="1:13" x14ac:dyDescent="0.45">
      <c r="A1615" s="142" t="s">
        <v>13003</v>
      </c>
      <c r="B1615" s="142" t="s">
        <v>15245</v>
      </c>
      <c r="C1615" s="142" t="s">
        <v>15847</v>
      </c>
      <c r="D1615" s="142" t="s">
        <v>15848</v>
      </c>
      <c r="E1615" s="142" t="s">
        <v>15849</v>
      </c>
      <c r="F1615" s="142" t="s">
        <v>6454</v>
      </c>
      <c r="G1615" s="142" t="s">
        <v>6453</v>
      </c>
      <c r="H1615" s="142" t="s">
        <v>17465</v>
      </c>
      <c r="I1615" s="142">
        <v>79</v>
      </c>
      <c r="J1615" s="142">
        <v>0</v>
      </c>
      <c r="K1615" s="142">
        <v>0</v>
      </c>
      <c r="L1615" s="142">
        <v>79</v>
      </c>
      <c r="M1615" s="142">
        <v>0</v>
      </c>
    </row>
    <row r="1616" spans="1:13" x14ac:dyDescent="0.45">
      <c r="A1616" s="142" t="s">
        <v>13066</v>
      </c>
      <c r="B1616" s="142" t="s">
        <v>14459</v>
      </c>
      <c r="C1616" s="142" t="s">
        <v>15847</v>
      </c>
      <c r="D1616" s="142" t="s">
        <v>15848</v>
      </c>
      <c r="E1616" s="142" t="s">
        <v>15849</v>
      </c>
      <c r="F1616" s="142" t="s">
        <v>6454</v>
      </c>
      <c r="G1616" s="142" t="s">
        <v>6453</v>
      </c>
      <c r="H1616" s="142" t="s">
        <v>17466</v>
      </c>
      <c r="I1616" s="142">
        <v>27</v>
      </c>
      <c r="J1616" s="142">
        <v>0</v>
      </c>
      <c r="K1616" s="142">
        <v>0</v>
      </c>
      <c r="L1616" s="142">
        <v>27</v>
      </c>
      <c r="M1616" s="142">
        <v>0</v>
      </c>
    </row>
    <row r="1617" spans="1:13" x14ac:dyDescent="0.45">
      <c r="A1617" s="142" t="s">
        <v>13029</v>
      </c>
      <c r="B1617" s="142" t="s">
        <v>14665</v>
      </c>
      <c r="C1617" s="142" t="s">
        <v>15847</v>
      </c>
      <c r="D1617" s="142" t="s">
        <v>15848</v>
      </c>
      <c r="E1617" s="142" t="s">
        <v>15849</v>
      </c>
      <c r="F1617" s="142" t="s">
        <v>6454</v>
      </c>
      <c r="G1617" s="142" t="s">
        <v>6453</v>
      </c>
      <c r="H1617" s="142" t="s">
        <v>17467</v>
      </c>
      <c r="I1617" s="142">
        <v>2</v>
      </c>
      <c r="J1617" s="142">
        <v>0</v>
      </c>
      <c r="K1617" s="142">
        <v>0</v>
      </c>
      <c r="L1617" s="142">
        <v>0</v>
      </c>
      <c r="M1617" s="142">
        <v>2</v>
      </c>
    </row>
    <row r="1618" spans="1:13" x14ac:dyDescent="0.45">
      <c r="A1618" s="142" t="s">
        <v>13006</v>
      </c>
      <c r="B1618" s="142" t="s">
        <v>15288</v>
      </c>
      <c r="C1618" s="142" t="s">
        <v>15847</v>
      </c>
      <c r="D1618" s="142" t="s">
        <v>15848</v>
      </c>
      <c r="E1618" s="142" t="s">
        <v>15849</v>
      </c>
      <c r="F1618" s="142" t="s">
        <v>6454</v>
      </c>
      <c r="G1618" s="142" t="s">
        <v>6453</v>
      </c>
      <c r="H1618" s="142" t="s">
        <v>17468</v>
      </c>
      <c r="I1618" s="142">
        <v>136</v>
      </c>
      <c r="J1618" s="142">
        <v>86</v>
      </c>
      <c r="K1618" s="142">
        <v>0</v>
      </c>
      <c r="L1618" s="142">
        <v>18</v>
      </c>
      <c r="M1618" s="142">
        <v>32</v>
      </c>
    </row>
    <row r="1619" spans="1:13" x14ac:dyDescent="0.45">
      <c r="A1619" s="142" t="s">
        <v>13248</v>
      </c>
      <c r="B1619" s="142" t="s">
        <v>15463</v>
      </c>
      <c r="C1619" s="142" t="s">
        <v>15847</v>
      </c>
      <c r="D1619" s="142" t="s">
        <v>15848</v>
      </c>
      <c r="E1619" s="142" t="s">
        <v>15849</v>
      </c>
      <c r="F1619" s="142" t="s">
        <v>6454</v>
      </c>
      <c r="G1619" s="142" t="s">
        <v>6453</v>
      </c>
      <c r="H1619" s="142" t="s">
        <v>17469</v>
      </c>
      <c r="I1619" s="142">
        <v>356</v>
      </c>
      <c r="J1619" s="142">
        <v>239</v>
      </c>
      <c r="K1619" s="142">
        <v>0</v>
      </c>
      <c r="L1619" s="142">
        <v>10</v>
      </c>
      <c r="M1619" s="142">
        <v>107</v>
      </c>
    </row>
    <row r="1620" spans="1:13" x14ac:dyDescent="0.45">
      <c r="A1620" s="142" t="s">
        <v>13030</v>
      </c>
      <c r="B1620" s="142" t="s">
        <v>14572</v>
      </c>
      <c r="C1620" s="142" t="s">
        <v>15847</v>
      </c>
      <c r="D1620" s="142" t="s">
        <v>15848</v>
      </c>
      <c r="E1620" s="142" t="s">
        <v>15849</v>
      </c>
      <c r="F1620" s="142" t="s">
        <v>6454</v>
      </c>
      <c r="G1620" s="142" t="s">
        <v>6453</v>
      </c>
      <c r="H1620" s="142" t="s">
        <v>17470</v>
      </c>
      <c r="I1620" s="142">
        <v>687</v>
      </c>
      <c r="J1620" s="142">
        <v>511</v>
      </c>
      <c r="K1620" s="142">
        <v>0</v>
      </c>
      <c r="L1620" s="142">
        <v>71</v>
      </c>
      <c r="M1620" s="142">
        <v>105</v>
      </c>
    </row>
    <row r="1621" spans="1:13" x14ac:dyDescent="0.45">
      <c r="A1621" s="142" t="s">
        <v>13055</v>
      </c>
      <c r="B1621" s="142" t="s">
        <v>14595</v>
      </c>
      <c r="C1621" s="142" t="s">
        <v>15847</v>
      </c>
      <c r="D1621" s="142" t="s">
        <v>15848</v>
      </c>
      <c r="E1621" s="142" t="s">
        <v>15849</v>
      </c>
      <c r="F1621" s="142" t="s">
        <v>6454</v>
      </c>
      <c r="G1621" s="142" t="s">
        <v>6453</v>
      </c>
      <c r="H1621" s="142" t="s">
        <v>17471</v>
      </c>
      <c r="I1621" s="142">
        <v>274</v>
      </c>
      <c r="J1621" s="142">
        <v>225</v>
      </c>
      <c r="K1621" s="142">
        <v>0</v>
      </c>
      <c r="L1621" s="142">
        <v>3</v>
      </c>
      <c r="M1621" s="142">
        <v>46</v>
      </c>
    </row>
    <row r="1622" spans="1:13" x14ac:dyDescent="0.45">
      <c r="A1622" s="142" t="s">
        <v>13033</v>
      </c>
      <c r="B1622" s="142" t="s">
        <v>15276</v>
      </c>
      <c r="C1622" s="142" t="s">
        <v>15847</v>
      </c>
      <c r="D1622" s="142" t="s">
        <v>15848</v>
      </c>
      <c r="E1622" s="142" t="s">
        <v>15849</v>
      </c>
      <c r="F1622" s="142" t="s">
        <v>6454</v>
      </c>
      <c r="G1622" s="142" t="s">
        <v>6453</v>
      </c>
      <c r="H1622" s="142" t="s">
        <v>17472</v>
      </c>
      <c r="I1622" s="142">
        <v>41</v>
      </c>
      <c r="J1622" s="142">
        <v>3</v>
      </c>
      <c r="K1622" s="142">
        <v>0</v>
      </c>
      <c r="L1622" s="142">
        <v>38</v>
      </c>
      <c r="M1622" s="142">
        <v>0</v>
      </c>
    </row>
    <row r="1623" spans="1:13" x14ac:dyDescent="0.45">
      <c r="A1623" s="142" t="s">
        <v>13034</v>
      </c>
      <c r="B1623" s="142" t="s">
        <v>15562</v>
      </c>
      <c r="C1623" s="142" t="s">
        <v>15847</v>
      </c>
      <c r="D1623" s="142" t="s">
        <v>15848</v>
      </c>
      <c r="E1623" s="142" t="s">
        <v>15849</v>
      </c>
      <c r="F1623" s="142" t="s">
        <v>6454</v>
      </c>
      <c r="G1623" s="142" t="s">
        <v>6453</v>
      </c>
      <c r="H1623" s="142" t="s">
        <v>17473</v>
      </c>
      <c r="I1623" s="142">
        <v>109</v>
      </c>
      <c r="J1623" s="142">
        <v>106</v>
      </c>
      <c r="K1623" s="142">
        <v>0</v>
      </c>
      <c r="L1623" s="142">
        <v>0</v>
      </c>
      <c r="M1623" s="142">
        <v>3</v>
      </c>
    </row>
    <row r="1624" spans="1:13" x14ac:dyDescent="0.45">
      <c r="A1624" s="142" t="s">
        <v>13035</v>
      </c>
      <c r="B1624" s="142" t="s">
        <v>14648</v>
      </c>
      <c r="C1624" s="142" t="s">
        <v>15847</v>
      </c>
      <c r="D1624" s="142" t="s">
        <v>15848</v>
      </c>
      <c r="E1624" s="142" t="s">
        <v>15849</v>
      </c>
      <c r="F1624" s="142" t="s">
        <v>6454</v>
      </c>
      <c r="G1624" s="142" t="s">
        <v>6453</v>
      </c>
      <c r="H1624" s="142" t="s">
        <v>17474</v>
      </c>
      <c r="I1624" s="142">
        <v>569</v>
      </c>
      <c r="J1624" s="142">
        <v>475</v>
      </c>
      <c r="K1624" s="142">
        <v>0</v>
      </c>
      <c r="L1624" s="142">
        <v>0</v>
      </c>
      <c r="M1624" s="142">
        <v>94</v>
      </c>
    </row>
    <row r="1625" spans="1:13" x14ac:dyDescent="0.45">
      <c r="A1625" s="142" t="s">
        <v>13036</v>
      </c>
      <c r="B1625" s="142" t="s">
        <v>15567</v>
      </c>
      <c r="C1625" s="142" t="s">
        <v>15847</v>
      </c>
      <c r="D1625" s="142" t="s">
        <v>15848</v>
      </c>
      <c r="E1625" s="142" t="s">
        <v>15849</v>
      </c>
      <c r="F1625" s="142" t="s">
        <v>6454</v>
      </c>
      <c r="G1625" s="142" t="s">
        <v>6453</v>
      </c>
      <c r="H1625" s="142" t="s">
        <v>17475</v>
      </c>
      <c r="I1625" s="142">
        <v>12</v>
      </c>
      <c r="J1625" s="142">
        <v>0</v>
      </c>
      <c r="K1625" s="142">
        <v>0</v>
      </c>
      <c r="L1625" s="142">
        <v>12</v>
      </c>
      <c r="M1625" s="142">
        <v>0</v>
      </c>
    </row>
    <row r="1626" spans="1:13" x14ac:dyDescent="0.45">
      <c r="A1626" s="142" t="s">
        <v>13037</v>
      </c>
      <c r="B1626" s="142" t="s">
        <v>14519</v>
      </c>
      <c r="C1626" s="142" t="s">
        <v>15847</v>
      </c>
      <c r="D1626" s="142" t="s">
        <v>15848</v>
      </c>
      <c r="E1626" s="142" t="s">
        <v>15849</v>
      </c>
      <c r="F1626" s="142" t="s">
        <v>6454</v>
      </c>
      <c r="G1626" s="142" t="s">
        <v>6453</v>
      </c>
      <c r="H1626" s="142" t="s">
        <v>17476</v>
      </c>
      <c r="I1626" s="142">
        <v>1</v>
      </c>
      <c r="J1626" s="142">
        <v>0</v>
      </c>
      <c r="K1626" s="142">
        <v>0</v>
      </c>
      <c r="L1626" s="142">
        <v>1</v>
      </c>
      <c r="M1626" s="142">
        <v>0</v>
      </c>
    </row>
    <row r="1627" spans="1:13" x14ac:dyDescent="0.45">
      <c r="A1627" s="142" t="s">
        <v>13039</v>
      </c>
      <c r="B1627" s="142" t="s">
        <v>14647</v>
      </c>
      <c r="C1627" s="142" t="s">
        <v>15847</v>
      </c>
      <c r="D1627" s="142" t="s">
        <v>15848</v>
      </c>
      <c r="E1627" s="142" t="s">
        <v>15849</v>
      </c>
      <c r="F1627" s="142" t="s">
        <v>6454</v>
      </c>
      <c r="G1627" s="142" t="s">
        <v>6453</v>
      </c>
      <c r="H1627" s="142" t="s">
        <v>17477</v>
      </c>
      <c r="I1627" s="142">
        <v>6</v>
      </c>
      <c r="J1627" s="142">
        <v>6</v>
      </c>
      <c r="K1627" s="142">
        <v>0</v>
      </c>
      <c r="L1627" s="142">
        <v>0</v>
      </c>
      <c r="M1627" s="142">
        <v>0</v>
      </c>
    </row>
    <row r="1628" spans="1:13" x14ac:dyDescent="0.45">
      <c r="A1628" s="142" t="s">
        <v>13041</v>
      </c>
      <c r="B1628" s="142" t="s">
        <v>14441</v>
      </c>
      <c r="C1628" s="142" t="s">
        <v>15847</v>
      </c>
      <c r="D1628" s="142" t="s">
        <v>15848</v>
      </c>
      <c r="E1628" s="142" t="s">
        <v>15849</v>
      </c>
      <c r="F1628" s="142" t="s">
        <v>6454</v>
      </c>
      <c r="G1628" s="142" t="s">
        <v>6453</v>
      </c>
      <c r="H1628" s="142" t="s">
        <v>17478</v>
      </c>
      <c r="I1628" s="142">
        <v>3</v>
      </c>
      <c r="J1628" s="142">
        <v>0</v>
      </c>
      <c r="K1628" s="142">
        <v>0</v>
      </c>
      <c r="L1628" s="142">
        <v>0</v>
      </c>
      <c r="M1628" s="142">
        <v>3</v>
      </c>
    </row>
    <row r="1629" spans="1:13" x14ac:dyDescent="0.45">
      <c r="A1629" s="142" t="s">
        <v>13205</v>
      </c>
      <c r="B1629" s="142" t="s">
        <v>14496</v>
      </c>
      <c r="C1629" s="142" t="s">
        <v>15847</v>
      </c>
      <c r="D1629" s="142" t="s">
        <v>15848</v>
      </c>
      <c r="E1629" s="142" t="s">
        <v>15849</v>
      </c>
      <c r="F1629" s="142" t="s">
        <v>6454</v>
      </c>
      <c r="G1629" s="142" t="s">
        <v>6453</v>
      </c>
      <c r="H1629" s="142" t="s">
        <v>17479</v>
      </c>
      <c r="I1629" s="142">
        <v>146</v>
      </c>
      <c r="J1629" s="142">
        <v>146</v>
      </c>
      <c r="K1629" s="142">
        <v>0</v>
      </c>
      <c r="L1629" s="142">
        <v>0</v>
      </c>
      <c r="M1629" s="142">
        <v>0</v>
      </c>
    </row>
    <row r="1630" spans="1:13" x14ac:dyDescent="0.45">
      <c r="A1630" s="142" t="s">
        <v>13012</v>
      </c>
      <c r="B1630" s="142" t="s">
        <v>15337</v>
      </c>
      <c r="C1630" s="142" t="s">
        <v>15847</v>
      </c>
      <c r="D1630" s="142" t="s">
        <v>15848</v>
      </c>
      <c r="E1630" s="142" t="s">
        <v>15849</v>
      </c>
      <c r="F1630" s="142" t="s">
        <v>6454</v>
      </c>
      <c r="G1630" s="142" t="s">
        <v>6453</v>
      </c>
      <c r="H1630" s="142" t="s">
        <v>17480</v>
      </c>
      <c r="I1630" s="142">
        <v>285</v>
      </c>
      <c r="J1630" s="142">
        <v>227</v>
      </c>
      <c r="K1630" s="142">
        <v>0</v>
      </c>
      <c r="L1630" s="142">
        <v>0</v>
      </c>
      <c r="M1630" s="142">
        <v>58</v>
      </c>
    </row>
    <row r="1631" spans="1:13" x14ac:dyDescent="0.45">
      <c r="A1631" s="142" t="s">
        <v>13285</v>
      </c>
      <c r="B1631" s="142" t="s">
        <v>15158</v>
      </c>
      <c r="C1631" s="142" t="s">
        <v>15860</v>
      </c>
      <c r="D1631" s="142" t="s">
        <v>15861</v>
      </c>
      <c r="E1631" s="142" t="s">
        <v>15849</v>
      </c>
      <c r="F1631" s="142" t="s">
        <v>6454</v>
      </c>
      <c r="G1631" s="142" t="s">
        <v>6453</v>
      </c>
      <c r="H1631" s="142" t="s">
        <v>17481</v>
      </c>
      <c r="I1631" s="142">
        <v>14</v>
      </c>
      <c r="J1631" s="142">
        <v>0</v>
      </c>
      <c r="K1631" s="142">
        <v>0</v>
      </c>
      <c r="L1631" s="142">
        <v>14</v>
      </c>
      <c r="M1631" s="142">
        <v>0</v>
      </c>
    </row>
    <row r="1632" spans="1:13" x14ac:dyDescent="0.45">
      <c r="A1632" s="142" t="s">
        <v>13466</v>
      </c>
      <c r="B1632" s="142" t="s">
        <v>14910</v>
      </c>
      <c r="C1632" s="142" t="s">
        <v>15860</v>
      </c>
      <c r="D1632" s="142" t="s">
        <v>15861</v>
      </c>
      <c r="E1632" s="142" t="s">
        <v>15849</v>
      </c>
      <c r="F1632" s="142" t="s">
        <v>6454</v>
      </c>
      <c r="G1632" s="142" t="s">
        <v>6453</v>
      </c>
      <c r="H1632" s="142" t="s">
        <v>17482</v>
      </c>
      <c r="I1632" s="142">
        <v>8</v>
      </c>
      <c r="J1632" s="142">
        <v>0</v>
      </c>
      <c r="K1632" s="142">
        <v>0</v>
      </c>
      <c r="L1632" s="142">
        <v>8</v>
      </c>
      <c r="M1632" s="142">
        <v>0</v>
      </c>
    </row>
    <row r="1633" spans="1:13" x14ac:dyDescent="0.45">
      <c r="A1633" s="142" t="s">
        <v>13467</v>
      </c>
      <c r="B1633" s="142" t="s">
        <v>14585</v>
      </c>
      <c r="C1633" s="142" t="s">
        <v>15860</v>
      </c>
      <c r="D1633" s="142" t="s">
        <v>15861</v>
      </c>
      <c r="E1633" s="142" t="s">
        <v>15849</v>
      </c>
      <c r="F1633" s="142" t="s">
        <v>6454</v>
      </c>
      <c r="G1633" s="142" t="s">
        <v>6453</v>
      </c>
      <c r="H1633" s="142" t="s">
        <v>17483</v>
      </c>
      <c r="I1633" s="142">
        <v>123</v>
      </c>
      <c r="J1633" s="142">
        <v>0</v>
      </c>
      <c r="K1633" s="142">
        <v>3</v>
      </c>
      <c r="L1633" s="142">
        <v>120</v>
      </c>
      <c r="M1633" s="142">
        <v>0</v>
      </c>
    </row>
    <row r="1634" spans="1:13" x14ac:dyDescent="0.45">
      <c r="A1634" s="142" t="s">
        <v>13042</v>
      </c>
      <c r="B1634" s="142" t="s">
        <v>15489</v>
      </c>
      <c r="C1634" s="142" t="s">
        <v>15847</v>
      </c>
      <c r="D1634" s="142" t="s">
        <v>15848</v>
      </c>
      <c r="E1634" s="142" t="s">
        <v>15849</v>
      </c>
      <c r="F1634" s="142" t="s">
        <v>6454</v>
      </c>
      <c r="G1634" s="142" t="s">
        <v>6453</v>
      </c>
      <c r="H1634" s="142" t="s">
        <v>17484</v>
      </c>
      <c r="I1634" s="142">
        <v>430</v>
      </c>
      <c r="J1634" s="142">
        <v>329</v>
      </c>
      <c r="K1634" s="142">
        <v>0</v>
      </c>
      <c r="L1634" s="142">
        <v>0</v>
      </c>
      <c r="M1634" s="142">
        <v>101</v>
      </c>
    </row>
    <row r="1635" spans="1:13" x14ac:dyDescent="0.45">
      <c r="A1635" s="142" t="s">
        <v>13222</v>
      </c>
      <c r="B1635" s="142" t="s">
        <v>14449</v>
      </c>
      <c r="C1635" s="142" t="s">
        <v>15860</v>
      </c>
      <c r="D1635" s="142" t="s">
        <v>15861</v>
      </c>
      <c r="E1635" s="142" t="s">
        <v>15849</v>
      </c>
      <c r="F1635" s="142" t="s">
        <v>6454</v>
      </c>
      <c r="G1635" s="142" t="s">
        <v>6453</v>
      </c>
      <c r="H1635" s="142" t="s">
        <v>17485</v>
      </c>
      <c r="I1635" s="142">
        <v>1</v>
      </c>
      <c r="J1635" s="142">
        <v>0</v>
      </c>
      <c r="K1635" s="142">
        <v>0</v>
      </c>
      <c r="L1635" s="142">
        <v>1</v>
      </c>
      <c r="M1635" s="142">
        <v>0</v>
      </c>
    </row>
    <row r="1636" spans="1:13" x14ac:dyDescent="0.45">
      <c r="A1636" s="142" t="s">
        <v>13070</v>
      </c>
      <c r="B1636" s="142" t="s">
        <v>15394</v>
      </c>
      <c r="C1636" s="142" t="s">
        <v>15847</v>
      </c>
      <c r="D1636" s="142" t="s">
        <v>15848</v>
      </c>
      <c r="E1636" s="142" t="s">
        <v>15849</v>
      </c>
      <c r="F1636" s="142" t="s">
        <v>6454</v>
      </c>
      <c r="G1636" s="142" t="s">
        <v>6453</v>
      </c>
      <c r="H1636" s="142" t="s">
        <v>17486</v>
      </c>
      <c r="I1636" s="142">
        <v>12</v>
      </c>
      <c r="J1636" s="142">
        <v>12</v>
      </c>
      <c r="K1636" s="142">
        <v>0</v>
      </c>
      <c r="L1636" s="142">
        <v>0</v>
      </c>
      <c r="M1636" s="142">
        <v>0</v>
      </c>
    </row>
    <row r="1637" spans="1:13" x14ac:dyDescent="0.45">
      <c r="A1637" s="142" t="s">
        <v>13021</v>
      </c>
      <c r="B1637" s="142" t="s">
        <v>15501</v>
      </c>
      <c r="C1637" s="142" t="s">
        <v>15847</v>
      </c>
      <c r="D1637" s="142" t="s">
        <v>15848</v>
      </c>
      <c r="E1637" s="142" t="s">
        <v>15849</v>
      </c>
      <c r="F1637" s="142" t="s">
        <v>4172</v>
      </c>
      <c r="G1637" s="142" t="s">
        <v>4171</v>
      </c>
      <c r="H1637" s="142" t="s">
        <v>17487</v>
      </c>
      <c r="I1637" s="142">
        <v>2</v>
      </c>
      <c r="J1637" s="142">
        <v>0</v>
      </c>
      <c r="K1637" s="142">
        <v>0</v>
      </c>
      <c r="L1637" s="142">
        <v>0</v>
      </c>
      <c r="M1637" s="142">
        <v>2</v>
      </c>
    </row>
    <row r="1638" spans="1:13" x14ac:dyDescent="0.45">
      <c r="A1638" s="142" t="s">
        <v>13288</v>
      </c>
      <c r="B1638" s="142" t="s">
        <v>14444</v>
      </c>
      <c r="C1638" s="142" t="s">
        <v>15860</v>
      </c>
      <c r="D1638" s="142" t="s">
        <v>15861</v>
      </c>
      <c r="E1638" s="142" t="s">
        <v>15849</v>
      </c>
      <c r="F1638" s="142" t="s">
        <v>4172</v>
      </c>
      <c r="G1638" s="142" t="s">
        <v>4171</v>
      </c>
      <c r="H1638" s="142" t="s">
        <v>17488</v>
      </c>
      <c r="I1638" s="142">
        <v>44</v>
      </c>
      <c r="J1638" s="142">
        <v>0</v>
      </c>
      <c r="K1638" s="142">
        <v>0</v>
      </c>
      <c r="L1638" s="142">
        <v>44</v>
      </c>
      <c r="M1638" s="142">
        <v>0</v>
      </c>
    </row>
    <row r="1639" spans="1:13" x14ac:dyDescent="0.45">
      <c r="A1639" s="142" t="s">
        <v>13083</v>
      </c>
      <c r="B1639" s="142" t="s">
        <v>15440</v>
      </c>
      <c r="C1639" s="142" t="s">
        <v>15847</v>
      </c>
      <c r="D1639" s="142" t="s">
        <v>15848</v>
      </c>
      <c r="E1639" s="142" t="s">
        <v>15849</v>
      </c>
      <c r="F1639" s="142" t="s">
        <v>4172</v>
      </c>
      <c r="G1639" s="142" t="s">
        <v>4171</v>
      </c>
      <c r="H1639" s="142" t="s">
        <v>17489</v>
      </c>
      <c r="I1639" s="142">
        <v>7442</v>
      </c>
      <c r="J1639" s="142">
        <v>7080</v>
      </c>
      <c r="K1639" s="142">
        <v>0</v>
      </c>
      <c r="L1639" s="142">
        <v>30</v>
      </c>
      <c r="M1639" s="142">
        <v>332</v>
      </c>
    </row>
    <row r="1640" spans="1:13" x14ac:dyDescent="0.45">
      <c r="A1640" s="142" t="s">
        <v>13000</v>
      </c>
      <c r="B1640" s="142" t="s">
        <v>14610</v>
      </c>
      <c r="C1640" s="142" t="s">
        <v>15847</v>
      </c>
      <c r="D1640" s="142" t="s">
        <v>15848</v>
      </c>
      <c r="E1640" s="142" t="s">
        <v>15849</v>
      </c>
      <c r="F1640" s="142" t="s">
        <v>4172</v>
      </c>
      <c r="G1640" s="142" t="s">
        <v>4171</v>
      </c>
      <c r="H1640" s="142" t="s">
        <v>17490</v>
      </c>
      <c r="I1640" s="142">
        <v>779</v>
      </c>
      <c r="J1640" s="142">
        <v>714</v>
      </c>
      <c r="K1640" s="142">
        <v>0</v>
      </c>
      <c r="L1640" s="142">
        <v>12</v>
      </c>
      <c r="M1640" s="142">
        <v>53</v>
      </c>
    </row>
    <row r="1641" spans="1:13" x14ac:dyDescent="0.45">
      <c r="A1641" s="142" t="s">
        <v>13084</v>
      </c>
      <c r="B1641" s="142" t="s">
        <v>15471</v>
      </c>
      <c r="C1641" s="142" t="s">
        <v>15847</v>
      </c>
      <c r="D1641" s="142" t="s">
        <v>15848</v>
      </c>
      <c r="E1641" s="142" t="s">
        <v>15849</v>
      </c>
      <c r="F1641" s="142" t="s">
        <v>4172</v>
      </c>
      <c r="G1641" s="142" t="s">
        <v>4171</v>
      </c>
      <c r="H1641" s="142" t="s">
        <v>17491</v>
      </c>
      <c r="I1641" s="142">
        <v>281</v>
      </c>
      <c r="J1641" s="142">
        <v>211</v>
      </c>
      <c r="K1641" s="142">
        <v>0</v>
      </c>
      <c r="L1641" s="142">
        <v>0</v>
      </c>
      <c r="M1641" s="142">
        <v>70</v>
      </c>
    </row>
    <row r="1642" spans="1:13" x14ac:dyDescent="0.45">
      <c r="A1642" s="142" t="s">
        <v>13074</v>
      </c>
      <c r="B1642" s="142" t="s">
        <v>15405</v>
      </c>
      <c r="C1642" s="142" t="s">
        <v>15847</v>
      </c>
      <c r="D1642" s="142" t="s">
        <v>15848</v>
      </c>
      <c r="E1642" s="142" t="s">
        <v>15849</v>
      </c>
      <c r="F1642" s="142" t="s">
        <v>4172</v>
      </c>
      <c r="G1642" s="142" t="s">
        <v>4171</v>
      </c>
      <c r="H1642" s="142" t="s">
        <v>17492</v>
      </c>
      <c r="I1642" s="142">
        <v>5</v>
      </c>
      <c r="J1642" s="142">
        <v>5</v>
      </c>
      <c r="K1642" s="142">
        <v>0</v>
      </c>
      <c r="L1642" s="142">
        <v>0</v>
      </c>
      <c r="M1642" s="142">
        <v>0</v>
      </c>
    </row>
    <row r="1643" spans="1:13" x14ac:dyDescent="0.45">
      <c r="A1643" s="142" t="s">
        <v>13086</v>
      </c>
      <c r="B1643" s="142" t="s">
        <v>15380</v>
      </c>
      <c r="C1643" s="142" t="s">
        <v>15847</v>
      </c>
      <c r="D1643" s="142" t="s">
        <v>15848</v>
      </c>
      <c r="E1643" s="142" t="s">
        <v>15849</v>
      </c>
      <c r="F1643" s="142" t="s">
        <v>4172</v>
      </c>
      <c r="G1643" s="142" t="s">
        <v>4171</v>
      </c>
      <c r="H1643" s="142" t="s">
        <v>17493</v>
      </c>
      <c r="I1643" s="142">
        <v>47</v>
      </c>
      <c r="J1643" s="142">
        <v>20</v>
      </c>
      <c r="K1643" s="142">
        <v>0</v>
      </c>
      <c r="L1643" s="142">
        <v>8</v>
      </c>
      <c r="M1643" s="142">
        <v>19</v>
      </c>
    </row>
    <row r="1644" spans="1:13" x14ac:dyDescent="0.45">
      <c r="A1644" s="142" t="s">
        <v>13027</v>
      </c>
      <c r="B1644" s="142" t="s">
        <v>14562</v>
      </c>
      <c r="C1644" s="142" t="s">
        <v>15847</v>
      </c>
      <c r="D1644" s="142" t="s">
        <v>15848</v>
      </c>
      <c r="E1644" s="142" t="s">
        <v>15849</v>
      </c>
      <c r="F1644" s="142" t="s">
        <v>4172</v>
      </c>
      <c r="G1644" s="142" t="s">
        <v>4171</v>
      </c>
      <c r="H1644" s="142" t="s">
        <v>17494</v>
      </c>
      <c r="I1644" s="142">
        <v>12</v>
      </c>
      <c r="J1644" s="142">
        <v>0</v>
      </c>
      <c r="K1644" s="142">
        <v>0</v>
      </c>
      <c r="L1644" s="142">
        <v>12</v>
      </c>
      <c r="M1644" s="142">
        <v>0</v>
      </c>
    </row>
    <row r="1645" spans="1:13" x14ac:dyDescent="0.45">
      <c r="A1645" s="142" t="s">
        <v>13001</v>
      </c>
      <c r="B1645" s="142" t="s">
        <v>15506</v>
      </c>
      <c r="C1645" s="142" t="s">
        <v>15847</v>
      </c>
      <c r="D1645" s="142" t="s">
        <v>15848</v>
      </c>
      <c r="E1645" s="142" t="s">
        <v>15849</v>
      </c>
      <c r="F1645" s="142" t="s">
        <v>4172</v>
      </c>
      <c r="G1645" s="142" t="s">
        <v>4171</v>
      </c>
      <c r="H1645" s="142" t="s">
        <v>17495</v>
      </c>
      <c r="I1645" s="142">
        <v>42</v>
      </c>
      <c r="J1645" s="142">
        <v>16</v>
      </c>
      <c r="K1645" s="142">
        <v>0</v>
      </c>
      <c r="L1645" s="142">
        <v>26</v>
      </c>
      <c r="M1645" s="142">
        <v>0</v>
      </c>
    </row>
    <row r="1646" spans="1:13" x14ac:dyDescent="0.45">
      <c r="A1646" s="142" t="s">
        <v>13050</v>
      </c>
      <c r="B1646" s="142" t="s">
        <v>15237</v>
      </c>
      <c r="C1646" s="142" t="s">
        <v>15847</v>
      </c>
      <c r="D1646" s="142" t="s">
        <v>15848</v>
      </c>
      <c r="E1646" s="142" t="s">
        <v>15849</v>
      </c>
      <c r="F1646" s="142" t="s">
        <v>4172</v>
      </c>
      <c r="G1646" s="142" t="s">
        <v>4171</v>
      </c>
      <c r="H1646" s="142" t="s">
        <v>17496</v>
      </c>
      <c r="I1646" s="142">
        <v>20</v>
      </c>
      <c r="J1646" s="142">
        <v>14</v>
      </c>
      <c r="K1646" s="142">
        <v>0</v>
      </c>
      <c r="L1646" s="142">
        <v>0</v>
      </c>
      <c r="M1646" s="142">
        <v>6</v>
      </c>
    </row>
    <row r="1647" spans="1:13" x14ac:dyDescent="0.45">
      <c r="A1647" s="142" t="s">
        <v>13028</v>
      </c>
      <c r="B1647" s="142" t="s">
        <v>14462</v>
      </c>
      <c r="C1647" s="142" t="s">
        <v>15847</v>
      </c>
      <c r="D1647" s="142" t="s">
        <v>15848</v>
      </c>
      <c r="E1647" s="142" t="s">
        <v>15849</v>
      </c>
      <c r="F1647" s="142" t="s">
        <v>4172</v>
      </c>
      <c r="G1647" s="142" t="s">
        <v>4171</v>
      </c>
      <c r="H1647" s="142" t="s">
        <v>17497</v>
      </c>
      <c r="I1647" s="142">
        <v>7</v>
      </c>
      <c r="J1647" s="142">
        <v>0</v>
      </c>
      <c r="K1647" s="142">
        <v>0</v>
      </c>
      <c r="L1647" s="142">
        <v>0</v>
      </c>
      <c r="M1647" s="142">
        <v>7</v>
      </c>
    </row>
    <row r="1648" spans="1:13" x14ac:dyDescent="0.45">
      <c r="A1648" s="142" t="s">
        <v>13160</v>
      </c>
      <c r="B1648" s="142" t="s">
        <v>14525</v>
      </c>
      <c r="C1648" s="142" t="s">
        <v>15847</v>
      </c>
      <c r="D1648" s="142" t="s">
        <v>15848</v>
      </c>
      <c r="E1648" s="142" t="s">
        <v>15849</v>
      </c>
      <c r="F1648" s="142" t="s">
        <v>4172</v>
      </c>
      <c r="G1648" s="142" t="s">
        <v>4171</v>
      </c>
      <c r="H1648" s="142" t="s">
        <v>17498</v>
      </c>
      <c r="I1648" s="142">
        <v>5</v>
      </c>
      <c r="J1648" s="142">
        <v>0</v>
      </c>
      <c r="K1648" s="142">
        <v>0</v>
      </c>
      <c r="L1648" s="142">
        <v>5</v>
      </c>
      <c r="M1648" s="142">
        <v>0</v>
      </c>
    </row>
    <row r="1649" spans="1:13" x14ac:dyDescent="0.45">
      <c r="A1649" s="142" t="s">
        <v>13002</v>
      </c>
      <c r="B1649" s="142" t="s">
        <v>15376</v>
      </c>
      <c r="C1649" s="142" t="s">
        <v>15847</v>
      </c>
      <c r="D1649" s="142" t="s">
        <v>15848</v>
      </c>
      <c r="E1649" s="142" t="s">
        <v>15849</v>
      </c>
      <c r="F1649" s="142" t="s">
        <v>4172</v>
      </c>
      <c r="G1649" s="142" t="s">
        <v>4171</v>
      </c>
      <c r="H1649" s="142" t="s">
        <v>17499</v>
      </c>
      <c r="I1649" s="142">
        <v>587</v>
      </c>
      <c r="J1649" s="142">
        <v>455</v>
      </c>
      <c r="K1649" s="142">
        <v>0</v>
      </c>
      <c r="L1649" s="142">
        <v>8</v>
      </c>
      <c r="M1649" s="142">
        <v>124</v>
      </c>
    </row>
    <row r="1650" spans="1:13" x14ac:dyDescent="0.45">
      <c r="A1650" s="142" t="s">
        <v>13178</v>
      </c>
      <c r="B1650" s="142" t="s">
        <v>14683</v>
      </c>
      <c r="C1650" s="142" t="s">
        <v>15847</v>
      </c>
      <c r="D1650" s="142" t="s">
        <v>15848</v>
      </c>
      <c r="E1650" s="142" t="s">
        <v>15849</v>
      </c>
      <c r="F1650" s="142" t="s">
        <v>4172</v>
      </c>
      <c r="G1650" s="142" t="s">
        <v>4171</v>
      </c>
      <c r="H1650" s="142" t="s">
        <v>17500</v>
      </c>
      <c r="I1650" s="142">
        <v>30</v>
      </c>
      <c r="J1650" s="142">
        <v>30</v>
      </c>
      <c r="K1650" s="142">
        <v>0</v>
      </c>
      <c r="L1650" s="142">
        <v>0</v>
      </c>
      <c r="M1650" s="142">
        <v>0</v>
      </c>
    </row>
    <row r="1651" spans="1:13" x14ac:dyDescent="0.45">
      <c r="A1651" s="142" t="s">
        <v>13076</v>
      </c>
      <c r="B1651" s="142" t="s">
        <v>14636</v>
      </c>
      <c r="C1651" s="142" t="s">
        <v>15847</v>
      </c>
      <c r="D1651" s="142" t="s">
        <v>15848</v>
      </c>
      <c r="E1651" s="142" t="s">
        <v>15849</v>
      </c>
      <c r="F1651" s="142" t="s">
        <v>4172</v>
      </c>
      <c r="G1651" s="142" t="s">
        <v>4171</v>
      </c>
      <c r="H1651" s="142" t="s">
        <v>17501</v>
      </c>
      <c r="I1651" s="142">
        <v>56</v>
      </c>
      <c r="J1651" s="142">
        <v>0</v>
      </c>
      <c r="K1651" s="142">
        <v>0</v>
      </c>
      <c r="L1651" s="142">
        <v>0</v>
      </c>
      <c r="M1651" s="142">
        <v>56</v>
      </c>
    </row>
    <row r="1652" spans="1:13" x14ac:dyDescent="0.45">
      <c r="A1652" s="142" t="s">
        <v>13005</v>
      </c>
      <c r="B1652" s="142" t="s">
        <v>15475</v>
      </c>
      <c r="C1652" s="142" t="s">
        <v>15847</v>
      </c>
      <c r="D1652" s="142" t="s">
        <v>15848</v>
      </c>
      <c r="E1652" s="142" t="s">
        <v>15849</v>
      </c>
      <c r="F1652" s="142" t="s">
        <v>4172</v>
      </c>
      <c r="G1652" s="142" t="s">
        <v>4171</v>
      </c>
      <c r="H1652" s="142" t="s">
        <v>17502</v>
      </c>
      <c r="I1652" s="142">
        <v>309</v>
      </c>
      <c r="J1652" s="142">
        <v>47</v>
      </c>
      <c r="K1652" s="142">
        <v>0</v>
      </c>
      <c r="L1652" s="142">
        <v>0</v>
      </c>
      <c r="M1652" s="142">
        <v>262</v>
      </c>
    </row>
    <row r="1653" spans="1:13" x14ac:dyDescent="0.45">
      <c r="A1653" s="142" t="s">
        <v>13029</v>
      </c>
      <c r="B1653" s="142" t="s">
        <v>14665</v>
      </c>
      <c r="C1653" s="142" t="s">
        <v>15847</v>
      </c>
      <c r="D1653" s="142" t="s">
        <v>15848</v>
      </c>
      <c r="E1653" s="142" t="s">
        <v>15849</v>
      </c>
      <c r="F1653" s="142" t="s">
        <v>4172</v>
      </c>
      <c r="G1653" s="142" t="s">
        <v>4171</v>
      </c>
      <c r="H1653" s="142" t="s">
        <v>17503</v>
      </c>
      <c r="I1653" s="142">
        <v>31</v>
      </c>
      <c r="J1653" s="142">
        <v>0</v>
      </c>
      <c r="K1653" s="142">
        <v>0</v>
      </c>
      <c r="L1653" s="142">
        <v>0</v>
      </c>
      <c r="M1653" s="142">
        <v>31</v>
      </c>
    </row>
    <row r="1654" spans="1:13" x14ac:dyDescent="0.45">
      <c r="A1654" s="142" t="s">
        <v>13400</v>
      </c>
      <c r="B1654" s="142" t="s">
        <v>15278</v>
      </c>
      <c r="C1654" s="142" t="s">
        <v>15860</v>
      </c>
      <c r="D1654" s="142" t="s">
        <v>15861</v>
      </c>
      <c r="E1654" s="142" t="s">
        <v>15849</v>
      </c>
      <c r="F1654" s="142" t="s">
        <v>4172</v>
      </c>
      <c r="G1654" s="142" t="s">
        <v>4171</v>
      </c>
      <c r="H1654" s="142" t="s">
        <v>17504</v>
      </c>
      <c r="I1654" s="142">
        <v>43</v>
      </c>
      <c r="J1654" s="142">
        <v>0</v>
      </c>
      <c r="K1654" s="142">
        <v>0</v>
      </c>
      <c r="L1654" s="142">
        <v>43</v>
      </c>
      <c r="M1654" s="142">
        <v>0</v>
      </c>
    </row>
    <row r="1655" spans="1:13" x14ac:dyDescent="0.45">
      <c r="A1655" s="142" t="s">
        <v>13006</v>
      </c>
      <c r="B1655" s="142" t="s">
        <v>15288</v>
      </c>
      <c r="C1655" s="142" t="s">
        <v>15847</v>
      </c>
      <c r="D1655" s="142" t="s">
        <v>15848</v>
      </c>
      <c r="E1655" s="142" t="s">
        <v>15849</v>
      </c>
      <c r="F1655" s="142" t="s">
        <v>4172</v>
      </c>
      <c r="G1655" s="142" t="s">
        <v>4171</v>
      </c>
      <c r="H1655" s="142" t="s">
        <v>17505</v>
      </c>
      <c r="I1655" s="142">
        <v>1</v>
      </c>
      <c r="J1655" s="142">
        <v>0</v>
      </c>
      <c r="K1655" s="142">
        <v>0</v>
      </c>
      <c r="L1655" s="142">
        <v>0</v>
      </c>
      <c r="M1655" s="142">
        <v>1</v>
      </c>
    </row>
    <row r="1656" spans="1:13" x14ac:dyDescent="0.45">
      <c r="A1656" s="142" t="s">
        <v>13007</v>
      </c>
      <c r="B1656" s="142" t="s">
        <v>15262</v>
      </c>
      <c r="C1656" s="142" t="s">
        <v>15847</v>
      </c>
      <c r="D1656" s="142" t="s">
        <v>15848</v>
      </c>
      <c r="E1656" s="142" t="s">
        <v>15849</v>
      </c>
      <c r="F1656" s="142" t="s">
        <v>4172</v>
      </c>
      <c r="G1656" s="142" t="s">
        <v>4171</v>
      </c>
      <c r="H1656" s="142" t="s">
        <v>17506</v>
      </c>
      <c r="I1656" s="142">
        <v>153</v>
      </c>
      <c r="J1656" s="142">
        <v>128</v>
      </c>
      <c r="K1656" s="142">
        <v>0</v>
      </c>
      <c r="L1656" s="142">
        <v>6</v>
      </c>
      <c r="M1656" s="142">
        <v>19</v>
      </c>
    </row>
    <row r="1657" spans="1:13" x14ac:dyDescent="0.45">
      <c r="A1657" s="142" t="s">
        <v>13162</v>
      </c>
      <c r="B1657" s="142" t="s">
        <v>14545</v>
      </c>
      <c r="C1657" s="142" t="s">
        <v>15860</v>
      </c>
      <c r="D1657" s="142" t="s">
        <v>15861</v>
      </c>
      <c r="E1657" s="142" t="s">
        <v>15849</v>
      </c>
      <c r="F1657" s="142" t="s">
        <v>4172</v>
      </c>
      <c r="G1657" s="142" t="s">
        <v>4171</v>
      </c>
      <c r="H1657" s="142" t="s">
        <v>17507</v>
      </c>
      <c r="I1657" s="142">
        <v>12</v>
      </c>
      <c r="J1657" s="142">
        <v>0</v>
      </c>
      <c r="K1657" s="142">
        <v>0</v>
      </c>
      <c r="L1657" s="142">
        <v>12</v>
      </c>
      <c r="M1657" s="142">
        <v>0</v>
      </c>
    </row>
    <row r="1658" spans="1:13" x14ac:dyDescent="0.45">
      <c r="A1658" s="142" t="s">
        <v>13103</v>
      </c>
      <c r="B1658" s="142" t="s">
        <v>14623</v>
      </c>
      <c r="C1658" s="142" t="s">
        <v>15847</v>
      </c>
      <c r="D1658" s="142" t="s">
        <v>15848</v>
      </c>
      <c r="E1658" s="142" t="s">
        <v>15849</v>
      </c>
      <c r="F1658" s="142" t="s">
        <v>4172</v>
      </c>
      <c r="G1658" s="142" t="s">
        <v>4171</v>
      </c>
      <c r="H1658" s="142" t="s">
        <v>17508</v>
      </c>
      <c r="I1658" s="142">
        <v>493</v>
      </c>
      <c r="J1658" s="142">
        <v>193</v>
      </c>
      <c r="K1658" s="142">
        <v>0</v>
      </c>
      <c r="L1658" s="142">
        <v>223</v>
      </c>
      <c r="M1658" s="142">
        <v>77</v>
      </c>
    </row>
    <row r="1659" spans="1:13" x14ac:dyDescent="0.45">
      <c r="A1659" s="142" t="s">
        <v>13054</v>
      </c>
      <c r="B1659" s="142" t="s">
        <v>15604</v>
      </c>
      <c r="C1659" s="142" t="s">
        <v>15847</v>
      </c>
      <c r="D1659" s="142" t="s">
        <v>15848</v>
      </c>
      <c r="E1659" s="142" t="s">
        <v>15849</v>
      </c>
      <c r="F1659" s="142" t="s">
        <v>4172</v>
      </c>
      <c r="G1659" s="142" t="s">
        <v>4171</v>
      </c>
      <c r="H1659" s="142" t="s">
        <v>17509</v>
      </c>
      <c r="I1659" s="142">
        <v>27</v>
      </c>
      <c r="J1659" s="142">
        <v>0</v>
      </c>
      <c r="K1659" s="142">
        <v>0</v>
      </c>
      <c r="L1659" s="142">
        <v>0</v>
      </c>
      <c r="M1659" s="142">
        <v>27</v>
      </c>
    </row>
    <row r="1660" spans="1:13" x14ac:dyDescent="0.45">
      <c r="A1660" s="142" t="s">
        <v>13008</v>
      </c>
      <c r="B1660" s="142" t="s">
        <v>15411</v>
      </c>
      <c r="C1660" s="142" t="s">
        <v>15847</v>
      </c>
      <c r="D1660" s="142" t="s">
        <v>15848</v>
      </c>
      <c r="E1660" s="142" t="s">
        <v>15849</v>
      </c>
      <c r="F1660" s="142" t="s">
        <v>4172</v>
      </c>
      <c r="G1660" s="142" t="s">
        <v>4171</v>
      </c>
      <c r="H1660" s="142" t="s">
        <v>17510</v>
      </c>
      <c r="I1660" s="142">
        <v>9</v>
      </c>
      <c r="J1660" s="142">
        <v>0</v>
      </c>
      <c r="K1660" s="142">
        <v>0</v>
      </c>
      <c r="L1660" s="142">
        <v>0</v>
      </c>
      <c r="M1660" s="142">
        <v>9</v>
      </c>
    </row>
    <row r="1661" spans="1:13" x14ac:dyDescent="0.45">
      <c r="A1661" s="142" t="s">
        <v>13133</v>
      </c>
      <c r="B1661" s="142" t="s">
        <v>15291</v>
      </c>
      <c r="C1661" s="142" t="s">
        <v>15847</v>
      </c>
      <c r="D1661" s="142" t="s">
        <v>15848</v>
      </c>
      <c r="E1661" s="142" t="s">
        <v>15849</v>
      </c>
      <c r="F1661" s="142" t="s">
        <v>4172</v>
      </c>
      <c r="G1661" s="142" t="s">
        <v>4171</v>
      </c>
      <c r="H1661" s="142" t="s">
        <v>17511</v>
      </c>
      <c r="I1661" s="142">
        <v>81</v>
      </c>
      <c r="J1661" s="142">
        <v>24</v>
      </c>
      <c r="K1661" s="142">
        <v>0</v>
      </c>
      <c r="L1661" s="142">
        <v>57</v>
      </c>
      <c r="M1661" s="142">
        <v>0</v>
      </c>
    </row>
    <row r="1662" spans="1:13" x14ac:dyDescent="0.45">
      <c r="A1662" s="142" t="s">
        <v>13104</v>
      </c>
      <c r="B1662" s="142" t="s">
        <v>14622</v>
      </c>
      <c r="C1662" s="142" t="s">
        <v>15847</v>
      </c>
      <c r="D1662" s="142" t="s">
        <v>15848</v>
      </c>
      <c r="E1662" s="142" t="s">
        <v>15849</v>
      </c>
      <c r="F1662" s="142" t="s">
        <v>4172</v>
      </c>
      <c r="G1662" s="142" t="s">
        <v>4171</v>
      </c>
      <c r="H1662" s="142" t="s">
        <v>17512</v>
      </c>
      <c r="I1662" s="142">
        <v>11</v>
      </c>
      <c r="J1662" s="142">
        <v>5</v>
      </c>
      <c r="K1662" s="142">
        <v>0</v>
      </c>
      <c r="L1662" s="142">
        <v>6</v>
      </c>
      <c r="M1662" s="142">
        <v>0</v>
      </c>
    </row>
    <row r="1663" spans="1:13" x14ac:dyDescent="0.45">
      <c r="A1663" s="142" t="s">
        <v>13090</v>
      </c>
      <c r="B1663" s="142" t="s">
        <v>15600</v>
      </c>
      <c r="C1663" s="142" t="s">
        <v>15847</v>
      </c>
      <c r="D1663" s="142" t="s">
        <v>15848</v>
      </c>
      <c r="E1663" s="142" t="s">
        <v>15849</v>
      </c>
      <c r="F1663" s="142" t="s">
        <v>4172</v>
      </c>
      <c r="G1663" s="142" t="s">
        <v>4171</v>
      </c>
      <c r="H1663" s="142" t="s">
        <v>17513</v>
      </c>
      <c r="I1663" s="142">
        <v>6</v>
      </c>
      <c r="J1663" s="142">
        <v>0</v>
      </c>
      <c r="K1663" s="142">
        <v>0</v>
      </c>
      <c r="L1663" s="142">
        <v>4</v>
      </c>
      <c r="M1663" s="142">
        <v>2</v>
      </c>
    </row>
    <row r="1664" spans="1:13" x14ac:dyDescent="0.45">
      <c r="A1664" s="142" t="s">
        <v>13038</v>
      </c>
      <c r="B1664" s="142" t="s">
        <v>14646</v>
      </c>
      <c r="C1664" s="142" t="s">
        <v>15847</v>
      </c>
      <c r="D1664" s="142" t="s">
        <v>15848</v>
      </c>
      <c r="E1664" s="142" t="s">
        <v>15849</v>
      </c>
      <c r="F1664" s="142" t="s">
        <v>4172</v>
      </c>
      <c r="G1664" s="142" t="s">
        <v>4171</v>
      </c>
      <c r="H1664" s="142" t="s">
        <v>17514</v>
      </c>
      <c r="I1664" s="142">
        <v>51</v>
      </c>
      <c r="J1664" s="142">
        <v>25</v>
      </c>
      <c r="K1664" s="142">
        <v>0</v>
      </c>
      <c r="L1664" s="142">
        <v>0</v>
      </c>
      <c r="M1664" s="142">
        <v>26</v>
      </c>
    </row>
    <row r="1665" spans="1:13" x14ac:dyDescent="0.45">
      <c r="A1665" s="142" t="s">
        <v>13039</v>
      </c>
      <c r="B1665" s="142" t="s">
        <v>14647</v>
      </c>
      <c r="C1665" s="142" t="s">
        <v>15847</v>
      </c>
      <c r="D1665" s="142" t="s">
        <v>15848</v>
      </c>
      <c r="E1665" s="142" t="s">
        <v>15849</v>
      </c>
      <c r="F1665" s="142" t="s">
        <v>4172</v>
      </c>
      <c r="G1665" s="142" t="s">
        <v>4171</v>
      </c>
      <c r="H1665" s="142" t="s">
        <v>17515</v>
      </c>
      <c r="I1665" s="142">
        <v>93</v>
      </c>
      <c r="J1665" s="142">
        <v>93</v>
      </c>
      <c r="K1665" s="142">
        <v>0</v>
      </c>
      <c r="L1665" s="142">
        <v>0</v>
      </c>
      <c r="M1665" s="142">
        <v>0</v>
      </c>
    </row>
    <row r="1666" spans="1:13" x14ac:dyDescent="0.45">
      <c r="A1666" s="142" t="s">
        <v>13009</v>
      </c>
      <c r="B1666" s="142" t="s">
        <v>15256</v>
      </c>
      <c r="C1666" s="142" t="s">
        <v>15847</v>
      </c>
      <c r="D1666" s="142" t="s">
        <v>15848</v>
      </c>
      <c r="E1666" s="142" t="s">
        <v>15849</v>
      </c>
      <c r="F1666" s="142" t="s">
        <v>4172</v>
      </c>
      <c r="G1666" s="142" t="s">
        <v>4171</v>
      </c>
      <c r="H1666" s="142" t="s">
        <v>17516</v>
      </c>
      <c r="I1666" s="142">
        <v>313</v>
      </c>
      <c r="J1666" s="142">
        <v>220</v>
      </c>
      <c r="K1666" s="142">
        <v>0</v>
      </c>
      <c r="L1666" s="142">
        <v>81</v>
      </c>
      <c r="M1666" s="142">
        <v>12</v>
      </c>
    </row>
    <row r="1667" spans="1:13" x14ac:dyDescent="0.45">
      <c r="A1667" s="142" t="s">
        <v>13041</v>
      </c>
      <c r="B1667" s="142" t="s">
        <v>14441</v>
      </c>
      <c r="C1667" s="142" t="s">
        <v>15847</v>
      </c>
      <c r="D1667" s="142" t="s">
        <v>15848</v>
      </c>
      <c r="E1667" s="142" t="s">
        <v>15849</v>
      </c>
      <c r="F1667" s="142" t="s">
        <v>4172</v>
      </c>
      <c r="G1667" s="142" t="s">
        <v>4171</v>
      </c>
      <c r="H1667" s="142" t="s">
        <v>17517</v>
      </c>
      <c r="I1667" s="142">
        <v>31</v>
      </c>
      <c r="J1667" s="142">
        <v>0</v>
      </c>
      <c r="K1667" s="142">
        <v>0</v>
      </c>
      <c r="L1667" s="142">
        <v>0</v>
      </c>
      <c r="M1667" s="142">
        <v>31</v>
      </c>
    </row>
    <row r="1668" spans="1:13" x14ac:dyDescent="0.45">
      <c r="A1668" s="142" t="s">
        <v>13106</v>
      </c>
      <c r="B1668" s="142" t="s">
        <v>15414</v>
      </c>
      <c r="C1668" s="142" t="s">
        <v>15847</v>
      </c>
      <c r="D1668" s="142" t="s">
        <v>15848</v>
      </c>
      <c r="E1668" s="142" t="s">
        <v>15849</v>
      </c>
      <c r="F1668" s="142" t="s">
        <v>4172</v>
      </c>
      <c r="G1668" s="142" t="s">
        <v>4171</v>
      </c>
      <c r="H1668" s="142" t="s">
        <v>17518</v>
      </c>
      <c r="I1668" s="142">
        <v>691</v>
      </c>
      <c r="J1668" s="142">
        <v>423</v>
      </c>
      <c r="K1668" s="142">
        <v>250</v>
      </c>
      <c r="L1668" s="142">
        <v>11</v>
      </c>
      <c r="M1668" s="142">
        <v>7</v>
      </c>
    </row>
    <row r="1669" spans="1:13" x14ac:dyDescent="0.45">
      <c r="A1669" s="142" t="s">
        <v>13014</v>
      </c>
      <c r="B1669" s="142" t="s">
        <v>14505</v>
      </c>
      <c r="C1669" s="142" t="s">
        <v>15847</v>
      </c>
      <c r="D1669" s="142" t="s">
        <v>15848</v>
      </c>
      <c r="E1669" s="142" t="s">
        <v>15849</v>
      </c>
      <c r="F1669" s="142" t="s">
        <v>4172</v>
      </c>
      <c r="G1669" s="142" t="s">
        <v>4171</v>
      </c>
      <c r="H1669" s="142" t="s">
        <v>17519</v>
      </c>
      <c r="I1669" s="142">
        <v>494</v>
      </c>
      <c r="J1669" s="142">
        <v>490</v>
      </c>
      <c r="K1669" s="142">
        <v>0</v>
      </c>
      <c r="L1669" s="142">
        <v>0</v>
      </c>
      <c r="M1669" s="142">
        <v>4</v>
      </c>
    </row>
    <row r="1670" spans="1:13" x14ac:dyDescent="0.45">
      <c r="A1670" s="142" t="s">
        <v>13469</v>
      </c>
      <c r="B1670" s="142" t="s">
        <v>14902</v>
      </c>
      <c r="C1670" s="142" t="s">
        <v>15860</v>
      </c>
      <c r="D1670" s="142" t="s">
        <v>15861</v>
      </c>
      <c r="E1670" s="142" t="s">
        <v>15849</v>
      </c>
      <c r="F1670" s="142" t="s">
        <v>4172</v>
      </c>
      <c r="G1670" s="142" t="s">
        <v>4171</v>
      </c>
      <c r="H1670" s="142" t="s">
        <v>17520</v>
      </c>
      <c r="I1670" s="142">
        <v>42</v>
      </c>
      <c r="J1670" s="142">
        <v>0</v>
      </c>
      <c r="K1670" s="142">
        <v>0</v>
      </c>
      <c r="L1670" s="142">
        <v>42</v>
      </c>
      <c r="M1670" s="142">
        <v>0</v>
      </c>
    </row>
    <row r="1671" spans="1:13" x14ac:dyDescent="0.45">
      <c r="A1671" s="142" t="s">
        <v>13299</v>
      </c>
      <c r="B1671" s="142" t="s">
        <v>15176</v>
      </c>
      <c r="C1671" s="142" t="s">
        <v>15860</v>
      </c>
      <c r="D1671" s="142" t="s">
        <v>15861</v>
      </c>
      <c r="E1671" s="142" t="s">
        <v>15849</v>
      </c>
      <c r="F1671" s="142" t="s">
        <v>4498</v>
      </c>
      <c r="G1671" s="142" t="s">
        <v>4497</v>
      </c>
      <c r="H1671" s="142" t="s">
        <v>17521</v>
      </c>
      <c r="I1671" s="142">
        <v>18</v>
      </c>
      <c r="J1671" s="142">
        <v>0</v>
      </c>
      <c r="K1671" s="142">
        <v>0</v>
      </c>
      <c r="L1671" s="142">
        <v>18</v>
      </c>
      <c r="M1671" s="142">
        <v>0</v>
      </c>
    </row>
    <row r="1672" spans="1:13" x14ac:dyDescent="0.45">
      <c r="A1672" s="142" t="s">
        <v>13021</v>
      </c>
      <c r="B1672" s="142" t="s">
        <v>15501</v>
      </c>
      <c r="C1672" s="142" t="s">
        <v>15847</v>
      </c>
      <c r="D1672" s="142" t="s">
        <v>15848</v>
      </c>
      <c r="E1672" s="142" t="s">
        <v>15849</v>
      </c>
      <c r="F1672" s="142" t="s">
        <v>4498</v>
      </c>
      <c r="G1672" s="142" t="s">
        <v>4497</v>
      </c>
      <c r="H1672" s="142" t="s">
        <v>17522</v>
      </c>
      <c r="I1672" s="142">
        <v>42</v>
      </c>
      <c r="J1672" s="142">
        <v>0</v>
      </c>
      <c r="K1672" s="142">
        <v>0</v>
      </c>
      <c r="L1672" s="142">
        <v>42</v>
      </c>
      <c r="M1672" s="142">
        <v>0</v>
      </c>
    </row>
    <row r="1673" spans="1:13" x14ac:dyDescent="0.45">
      <c r="A1673" s="142" t="s">
        <v>13023</v>
      </c>
      <c r="B1673" s="142" t="s">
        <v>15571</v>
      </c>
      <c r="C1673" s="142" t="s">
        <v>15847</v>
      </c>
      <c r="D1673" s="142" t="s">
        <v>15848</v>
      </c>
      <c r="E1673" s="142" t="s">
        <v>15849</v>
      </c>
      <c r="F1673" s="142" t="s">
        <v>4498</v>
      </c>
      <c r="G1673" s="142" t="s">
        <v>4497</v>
      </c>
      <c r="H1673" s="142" t="s">
        <v>17523</v>
      </c>
      <c r="I1673" s="142">
        <v>106</v>
      </c>
      <c r="J1673" s="142">
        <v>0</v>
      </c>
      <c r="K1673" s="142">
        <v>0</v>
      </c>
      <c r="L1673" s="142">
        <v>56</v>
      </c>
      <c r="M1673" s="142">
        <v>50</v>
      </c>
    </row>
    <row r="1674" spans="1:13" x14ac:dyDescent="0.45">
      <c r="A1674" s="142" t="s">
        <v>13082</v>
      </c>
      <c r="B1674" s="142" t="s">
        <v>14478</v>
      </c>
      <c r="C1674" s="142" t="s">
        <v>15860</v>
      </c>
      <c r="D1674" s="142" t="s">
        <v>15861</v>
      </c>
      <c r="E1674" s="142" t="s">
        <v>15849</v>
      </c>
      <c r="F1674" s="142" t="s">
        <v>4498</v>
      </c>
      <c r="G1674" s="142" t="s">
        <v>4497</v>
      </c>
      <c r="H1674" s="142" t="s">
        <v>17524</v>
      </c>
      <c r="I1674" s="142">
        <v>8</v>
      </c>
      <c r="J1674" s="142">
        <v>0</v>
      </c>
      <c r="K1674" s="142">
        <v>0</v>
      </c>
      <c r="L1674" s="142">
        <v>8</v>
      </c>
      <c r="M1674" s="142">
        <v>0</v>
      </c>
    </row>
    <row r="1675" spans="1:13" x14ac:dyDescent="0.45">
      <c r="A1675" s="142" t="s">
        <v>13065</v>
      </c>
      <c r="B1675" s="142" t="s">
        <v>14497</v>
      </c>
      <c r="C1675" s="142" t="s">
        <v>15847</v>
      </c>
      <c r="D1675" s="142" t="s">
        <v>15848</v>
      </c>
      <c r="E1675" s="142" t="s">
        <v>15849</v>
      </c>
      <c r="F1675" s="142" t="s">
        <v>4498</v>
      </c>
      <c r="G1675" s="142" t="s">
        <v>4497</v>
      </c>
      <c r="H1675" s="142" t="s">
        <v>17525</v>
      </c>
      <c r="I1675" s="142">
        <v>1</v>
      </c>
      <c r="J1675" s="142">
        <v>0</v>
      </c>
      <c r="K1675" s="142">
        <v>0</v>
      </c>
      <c r="L1675" s="142">
        <v>1</v>
      </c>
      <c r="M1675" s="142">
        <v>0</v>
      </c>
    </row>
    <row r="1676" spans="1:13" x14ac:dyDescent="0.45">
      <c r="A1676" s="142" t="s">
        <v>13235</v>
      </c>
      <c r="B1676" s="142" t="s">
        <v>14573</v>
      </c>
      <c r="C1676" s="142" t="s">
        <v>15847</v>
      </c>
      <c r="D1676" s="142" t="s">
        <v>15848</v>
      </c>
      <c r="E1676" s="142" t="s">
        <v>15849</v>
      </c>
      <c r="F1676" s="142" t="s">
        <v>4498</v>
      </c>
      <c r="G1676" s="142" t="s">
        <v>4497</v>
      </c>
      <c r="H1676" s="142" t="s">
        <v>17526</v>
      </c>
      <c r="I1676" s="142">
        <v>894</v>
      </c>
      <c r="J1676" s="142">
        <v>683</v>
      </c>
      <c r="K1676" s="142">
        <v>0</v>
      </c>
      <c r="L1676" s="142">
        <v>74</v>
      </c>
      <c r="M1676" s="142">
        <v>137</v>
      </c>
    </row>
    <row r="1677" spans="1:13" x14ac:dyDescent="0.45">
      <c r="A1677" s="142" t="s">
        <v>13471</v>
      </c>
      <c r="B1677" s="142" t="s">
        <v>14692</v>
      </c>
      <c r="C1677" s="142" t="s">
        <v>15860</v>
      </c>
      <c r="D1677" s="142" t="s">
        <v>15861</v>
      </c>
      <c r="E1677" s="142" t="s">
        <v>15849</v>
      </c>
      <c r="F1677" s="142" t="s">
        <v>4498</v>
      </c>
      <c r="G1677" s="142" t="s">
        <v>4497</v>
      </c>
      <c r="H1677" s="142" t="s">
        <v>17527</v>
      </c>
      <c r="I1677" s="142">
        <v>26</v>
      </c>
      <c r="J1677" s="142">
        <v>0</v>
      </c>
      <c r="K1677" s="142">
        <v>0</v>
      </c>
      <c r="L1677" s="142">
        <v>26</v>
      </c>
      <c r="M1677" s="142">
        <v>0</v>
      </c>
    </row>
    <row r="1678" spans="1:13" x14ac:dyDescent="0.45">
      <c r="A1678" s="142" t="s">
        <v>13472</v>
      </c>
      <c r="B1678" s="142" t="s">
        <v>14427</v>
      </c>
      <c r="C1678" s="142" t="s">
        <v>15860</v>
      </c>
      <c r="D1678" s="142" t="s">
        <v>15861</v>
      </c>
      <c r="E1678" s="142" t="s">
        <v>15849</v>
      </c>
      <c r="F1678" s="142" t="s">
        <v>4498</v>
      </c>
      <c r="G1678" s="142" t="s">
        <v>4497</v>
      </c>
      <c r="H1678" s="142" t="s">
        <v>17528</v>
      </c>
      <c r="I1678" s="142">
        <v>95</v>
      </c>
      <c r="J1678" s="142">
        <v>95</v>
      </c>
      <c r="K1678" s="142">
        <v>0</v>
      </c>
      <c r="L1678" s="142">
        <v>0</v>
      </c>
      <c r="M1678" s="142">
        <v>0</v>
      </c>
    </row>
    <row r="1679" spans="1:13" x14ac:dyDescent="0.45">
      <c r="A1679" s="142" t="s">
        <v>13473</v>
      </c>
      <c r="B1679" s="142" t="s">
        <v>15228</v>
      </c>
      <c r="C1679" s="142" t="s">
        <v>15860</v>
      </c>
      <c r="D1679" s="142" t="s">
        <v>15861</v>
      </c>
      <c r="E1679" s="142" t="s">
        <v>15849</v>
      </c>
      <c r="F1679" s="142" t="s">
        <v>4498</v>
      </c>
      <c r="G1679" s="142" t="s">
        <v>4497</v>
      </c>
      <c r="H1679" s="142" t="s">
        <v>17529</v>
      </c>
      <c r="I1679" s="142">
        <v>124</v>
      </c>
      <c r="J1679" s="142">
        <v>31</v>
      </c>
      <c r="K1679" s="142">
        <v>0</v>
      </c>
      <c r="L1679" s="142">
        <v>93</v>
      </c>
      <c r="M1679" s="142">
        <v>0</v>
      </c>
    </row>
    <row r="1680" spans="1:13" x14ac:dyDescent="0.45">
      <c r="A1680" s="142" t="s">
        <v>13474</v>
      </c>
      <c r="B1680" s="142" t="s">
        <v>15438</v>
      </c>
      <c r="C1680" s="142" t="s">
        <v>15847</v>
      </c>
      <c r="D1680" s="142" t="s">
        <v>15848</v>
      </c>
      <c r="E1680" s="142" t="s">
        <v>15849</v>
      </c>
      <c r="F1680" s="142" t="s">
        <v>4498</v>
      </c>
      <c r="G1680" s="142" t="s">
        <v>4497</v>
      </c>
      <c r="H1680" s="142" t="s">
        <v>17530</v>
      </c>
      <c r="I1680" s="142">
        <v>179</v>
      </c>
      <c r="J1680" s="142">
        <v>139</v>
      </c>
      <c r="K1680" s="142">
        <v>0</v>
      </c>
      <c r="L1680" s="142">
        <v>0</v>
      </c>
      <c r="M1680" s="142">
        <v>40</v>
      </c>
    </row>
    <row r="1681" spans="1:13" x14ac:dyDescent="0.45">
      <c r="A1681" s="142" t="s">
        <v>13187</v>
      </c>
      <c r="B1681" s="142" t="s">
        <v>15518</v>
      </c>
      <c r="C1681" s="142" t="s">
        <v>15860</v>
      </c>
      <c r="D1681" s="142" t="s">
        <v>15861</v>
      </c>
      <c r="E1681" s="142" t="s">
        <v>15849</v>
      </c>
      <c r="F1681" s="142" t="s">
        <v>4498</v>
      </c>
      <c r="G1681" s="142" t="s">
        <v>4497</v>
      </c>
      <c r="H1681" s="142" t="s">
        <v>17531</v>
      </c>
      <c r="I1681" s="142">
        <v>5</v>
      </c>
      <c r="J1681" s="142">
        <v>5</v>
      </c>
      <c r="K1681" s="142">
        <v>0</v>
      </c>
      <c r="L1681" s="142">
        <v>0</v>
      </c>
      <c r="M1681" s="142">
        <v>0</v>
      </c>
    </row>
    <row r="1682" spans="1:13" x14ac:dyDescent="0.45">
      <c r="A1682" s="142" t="s">
        <v>13168</v>
      </c>
      <c r="B1682" s="142" t="s">
        <v>14486</v>
      </c>
      <c r="C1682" s="142" t="s">
        <v>15860</v>
      </c>
      <c r="D1682" s="142" t="s">
        <v>15861</v>
      </c>
      <c r="E1682" s="142" t="s">
        <v>15849</v>
      </c>
      <c r="F1682" s="142" t="s">
        <v>4498</v>
      </c>
      <c r="G1682" s="142" t="s">
        <v>4497</v>
      </c>
      <c r="H1682" s="142" t="s">
        <v>17532</v>
      </c>
      <c r="I1682" s="142">
        <v>2</v>
      </c>
      <c r="J1682" s="142">
        <v>0</v>
      </c>
      <c r="K1682" s="142">
        <v>0</v>
      </c>
      <c r="L1682" s="142">
        <v>2</v>
      </c>
      <c r="M1682" s="142">
        <v>0</v>
      </c>
    </row>
    <row r="1683" spans="1:13" x14ac:dyDescent="0.45">
      <c r="A1683" s="142" t="s">
        <v>13475</v>
      </c>
      <c r="B1683" s="142" t="s">
        <v>14430</v>
      </c>
      <c r="C1683" s="142" t="s">
        <v>15847</v>
      </c>
      <c r="D1683" s="142" t="s">
        <v>15848</v>
      </c>
      <c r="E1683" s="142" t="s">
        <v>15849</v>
      </c>
      <c r="F1683" s="142" t="s">
        <v>4498</v>
      </c>
      <c r="G1683" s="142" t="s">
        <v>4497</v>
      </c>
      <c r="H1683" s="142" t="s">
        <v>17533</v>
      </c>
      <c r="I1683" s="142">
        <v>16</v>
      </c>
      <c r="J1683" s="142">
        <v>12</v>
      </c>
      <c r="K1683" s="142">
        <v>0</v>
      </c>
      <c r="L1683" s="142">
        <v>0</v>
      </c>
      <c r="M1683" s="142">
        <v>4</v>
      </c>
    </row>
    <row r="1684" spans="1:13" x14ac:dyDescent="0.45">
      <c r="A1684" s="142" t="s">
        <v>13243</v>
      </c>
      <c r="B1684" s="142" t="s">
        <v>15560</v>
      </c>
      <c r="C1684" s="142" t="s">
        <v>15847</v>
      </c>
      <c r="D1684" s="142" t="s">
        <v>15848</v>
      </c>
      <c r="E1684" s="142" t="s">
        <v>15849</v>
      </c>
      <c r="F1684" s="142" t="s">
        <v>4498</v>
      </c>
      <c r="G1684" s="142" t="s">
        <v>4497</v>
      </c>
      <c r="H1684" s="142" t="s">
        <v>17534</v>
      </c>
      <c r="I1684" s="142">
        <v>3</v>
      </c>
      <c r="J1684" s="142">
        <v>1</v>
      </c>
      <c r="K1684" s="142">
        <v>0</v>
      </c>
      <c r="L1684" s="142">
        <v>2</v>
      </c>
      <c r="M1684" s="142">
        <v>0</v>
      </c>
    </row>
    <row r="1685" spans="1:13" x14ac:dyDescent="0.45">
      <c r="A1685" s="142" t="s">
        <v>13028</v>
      </c>
      <c r="B1685" s="142" t="s">
        <v>14462</v>
      </c>
      <c r="C1685" s="142" t="s">
        <v>15847</v>
      </c>
      <c r="D1685" s="142" t="s">
        <v>15848</v>
      </c>
      <c r="E1685" s="142" t="s">
        <v>15849</v>
      </c>
      <c r="F1685" s="142" t="s">
        <v>4498</v>
      </c>
      <c r="G1685" s="142" t="s">
        <v>4497</v>
      </c>
      <c r="H1685" s="142" t="s">
        <v>17535</v>
      </c>
      <c r="I1685" s="142">
        <v>12</v>
      </c>
      <c r="J1685" s="142">
        <v>0</v>
      </c>
      <c r="K1685" s="142">
        <v>0</v>
      </c>
      <c r="L1685" s="142">
        <v>0</v>
      </c>
      <c r="M1685" s="142">
        <v>12</v>
      </c>
    </row>
    <row r="1686" spans="1:13" x14ac:dyDescent="0.45">
      <c r="A1686" s="142" t="s">
        <v>13160</v>
      </c>
      <c r="B1686" s="142" t="s">
        <v>14525</v>
      </c>
      <c r="C1686" s="142" t="s">
        <v>15847</v>
      </c>
      <c r="D1686" s="142" t="s">
        <v>15848</v>
      </c>
      <c r="E1686" s="142" t="s">
        <v>15849</v>
      </c>
      <c r="F1686" s="142" t="s">
        <v>4498</v>
      </c>
      <c r="G1686" s="142" t="s">
        <v>4497</v>
      </c>
      <c r="H1686" s="142" t="s">
        <v>17536</v>
      </c>
      <c r="I1686" s="142">
        <v>40</v>
      </c>
      <c r="J1686" s="142">
        <v>0</v>
      </c>
      <c r="K1686" s="142">
        <v>0</v>
      </c>
      <c r="L1686" s="142">
        <v>40</v>
      </c>
      <c r="M1686" s="142">
        <v>0</v>
      </c>
    </row>
    <row r="1687" spans="1:13" x14ac:dyDescent="0.45">
      <c r="A1687" s="142" t="s">
        <v>13002</v>
      </c>
      <c r="B1687" s="142" t="s">
        <v>15376</v>
      </c>
      <c r="C1687" s="142" t="s">
        <v>15847</v>
      </c>
      <c r="D1687" s="142" t="s">
        <v>15848</v>
      </c>
      <c r="E1687" s="142" t="s">
        <v>15849</v>
      </c>
      <c r="F1687" s="142" t="s">
        <v>4498</v>
      </c>
      <c r="G1687" s="142" t="s">
        <v>4497</v>
      </c>
      <c r="H1687" s="142" t="s">
        <v>17537</v>
      </c>
      <c r="I1687" s="142">
        <v>132</v>
      </c>
      <c r="J1687" s="142">
        <v>0</v>
      </c>
      <c r="K1687" s="142">
        <v>0</v>
      </c>
      <c r="L1687" s="142">
        <v>132</v>
      </c>
      <c r="M1687" s="142">
        <v>0</v>
      </c>
    </row>
    <row r="1688" spans="1:13" x14ac:dyDescent="0.45">
      <c r="A1688" s="142" t="s">
        <v>13003</v>
      </c>
      <c r="B1688" s="142" t="s">
        <v>15245</v>
      </c>
      <c r="C1688" s="142" t="s">
        <v>15847</v>
      </c>
      <c r="D1688" s="142" t="s">
        <v>15848</v>
      </c>
      <c r="E1688" s="142" t="s">
        <v>15849</v>
      </c>
      <c r="F1688" s="142" t="s">
        <v>4498</v>
      </c>
      <c r="G1688" s="142" t="s">
        <v>4497</v>
      </c>
      <c r="H1688" s="142" t="s">
        <v>17538</v>
      </c>
      <c r="I1688" s="142">
        <v>33</v>
      </c>
      <c r="J1688" s="142">
        <v>0</v>
      </c>
      <c r="K1688" s="142">
        <v>0</v>
      </c>
      <c r="L1688" s="142">
        <v>33</v>
      </c>
      <c r="M1688" s="142">
        <v>0</v>
      </c>
    </row>
    <row r="1689" spans="1:13" x14ac:dyDescent="0.45">
      <c r="A1689" s="142" t="s">
        <v>13201</v>
      </c>
      <c r="B1689" s="142" t="s">
        <v>14481</v>
      </c>
      <c r="C1689" s="142" t="s">
        <v>15860</v>
      </c>
      <c r="D1689" s="142" t="s">
        <v>15861</v>
      </c>
      <c r="E1689" s="142" t="s">
        <v>15849</v>
      </c>
      <c r="F1689" s="142" t="s">
        <v>4498</v>
      </c>
      <c r="G1689" s="142" t="s">
        <v>4497</v>
      </c>
      <c r="H1689" s="142" t="s">
        <v>17539</v>
      </c>
      <c r="I1689" s="142">
        <v>1</v>
      </c>
      <c r="J1689" s="142">
        <v>1</v>
      </c>
      <c r="K1689" s="142">
        <v>0</v>
      </c>
      <c r="L1689" s="142">
        <v>0</v>
      </c>
      <c r="M1689" s="142">
        <v>0</v>
      </c>
    </row>
    <row r="1690" spans="1:13" x14ac:dyDescent="0.45">
      <c r="A1690" s="142" t="s">
        <v>13190</v>
      </c>
      <c r="B1690" s="142" t="s">
        <v>14617</v>
      </c>
      <c r="C1690" s="142" t="s">
        <v>15847</v>
      </c>
      <c r="D1690" s="142" t="s">
        <v>15848</v>
      </c>
      <c r="E1690" s="142" t="s">
        <v>15849</v>
      </c>
      <c r="F1690" s="142" t="s">
        <v>4498</v>
      </c>
      <c r="G1690" s="142" t="s">
        <v>4497</v>
      </c>
      <c r="H1690" s="142" t="s">
        <v>17540</v>
      </c>
      <c r="I1690" s="142">
        <v>49</v>
      </c>
      <c r="J1690" s="142">
        <v>35</v>
      </c>
      <c r="K1690" s="142">
        <v>0</v>
      </c>
      <c r="L1690" s="142">
        <v>0</v>
      </c>
      <c r="M1690" s="142">
        <v>14</v>
      </c>
    </row>
    <row r="1691" spans="1:13" x14ac:dyDescent="0.45">
      <c r="A1691" s="142" t="s">
        <v>13191</v>
      </c>
      <c r="B1691" s="142" t="s">
        <v>15467</v>
      </c>
      <c r="C1691" s="142" t="s">
        <v>15847</v>
      </c>
      <c r="D1691" s="142" t="s">
        <v>15848</v>
      </c>
      <c r="E1691" s="142" t="s">
        <v>15849</v>
      </c>
      <c r="F1691" s="142" t="s">
        <v>4498</v>
      </c>
      <c r="G1691" s="142" t="s">
        <v>4497</v>
      </c>
      <c r="H1691" s="142" t="s">
        <v>17541</v>
      </c>
      <c r="I1691" s="142">
        <v>5</v>
      </c>
      <c r="J1691" s="142">
        <v>4</v>
      </c>
      <c r="K1691" s="142">
        <v>0</v>
      </c>
      <c r="L1691" s="142">
        <v>0</v>
      </c>
      <c r="M1691" s="142">
        <v>1</v>
      </c>
    </row>
    <row r="1692" spans="1:13" x14ac:dyDescent="0.45">
      <c r="A1692" s="142" t="s">
        <v>13035</v>
      </c>
      <c r="B1692" s="142" t="s">
        <v>14648</v>
      </c>
      <c r="C1692" s="142" t="s">
        <v>15847</v>
      </c>
      <c r="D1692" s="142" t="s">
        <v>15848</v>
      </c>
      <c r="E1692" s="142" t="s">
        <v>15849</v>
      </c>
      <c r="F1692" s="142" t="s">
        <v>4498</v>
      </c>
      <c r="G1692" s="142" t="s">
        <v>4497</v>
      </c>
      <c r="H1692" s="142" t="s">
        <v>17542</v>
      </c>
      <c r="I1692" s="142">
        <v>35</v>
      </c>
      <c r="J1692" s="142">
        <v>27</v>
      </c>
      <c r="K1692" s="142">
        <v>0</v>
      </c>
      <c r="L1692" s="142">
        <v>0</v>
      </c>
      <c r="M1692" s="142">
        <v>8</v>
      </c>
    </row>
    <row r="1693" spans="1:13" x14ac:dyDescent="0.45">
      <c r="A1693" s="142" t="s">
        <v>13394</v>
      </c>
      <c r="B1693" s="142" t="s">
        <v>15569</v>
      </c>
      <c r="C1693" s="142" t="s">
        <v>15847</v>
      </c>
      <c r="D1693" s="142" t="s">
        <v>15848</v>
      </c>
      <c r="E1693" s="142" t="s">
        <v>15849</v>
      </c>
      <c r="F1693" s="142" t="s">
        <v>4498</v>
      </c>
      <c r="G1693" s="142" t="s">
        <v>4497</v>
      </c>
      <c r="H1693" s="142" t="s">
        <v>17543</v>
      </c>
      <c r="I1693" s="142">
        <v>53</v>
      </c>
      <c r="J1693" s="142">
        <v>42</v>
      </c>
      <c r="K1693" s="142">
        <v>0</v>
      </c>
      <c r="L1693" s="142">
        <v>0</v>
      </c>
      <c r="M1693" s="142">
        <v>11</v>
      </c>
    </row>
    <row r="1694" spans="1:13" x14ac:dyDescent="0.45">
      <c r="A1694" s="142" t="s">
        <v>13038</v>
      </c>
      <c r="B1694" s="142" t="s">
        <v>14646</v>
      </c>
      <c r="C1694" s="142" t="s">
        <v>15847</v>
      </c>
      <c r="D1694" s="142" t="s">
        <v>15848</v>
      </c>
      <c r="E1694" s="142" t="s">
        <v>15849</v>
      </c>
      <c r="F1694" s="142" t="s">
        <v>4498</v>
      </c>
      <c r="G1694" s="142" t="s">
        <v>4497</v>
      </c>
      <c r="H1694" s="142" t="s">
        <v>17544</v>
      </c>
      <c r="I1694" s="142">
        <v>57</v>
      </c>
      <c r="J1694" s="142">
        <v>0</v>
      </c>
      <c r="K1694" s="142">
        <v>0</v>
      </c>
      <c r="L1694" s="142">
        <v>0</v>
      </c>
      <c r="M1694" s="142">
        <v>57</v>
      </c>
    </row>
    <row r="1695" spans="1:13" x14ac:dyDescent="0.45">
      <c r="A1695" s="142" t="s">
        <v>13078</v>
      </c>
      <c r="B1695" s="142" t="s">
        <v>15540</v>
      </c>
      <c r="C1695" s="142" t="s">
        <v>15847</v>
      </c>
      <c r="D1695" s="142" t="s">
        <v>15848</v>
      </c>
      <c r="E1695" s="142" t="s">
        <v>15849</v>
      </c>
      <c r="F1695" s="142" t="s">
        <v>4498</v>
      </c>
      <c r="G1695" s="142" t="s">
        <v>4497</v>
      </c>
      <c r="H1695" s="142" t="s">
        <v>17545</v>
      </c>
      <c r="I1695" s="142">
        <v>8</v>
      </c>
      <c r="J1695" s="142">
        <v>8</v>
      </c>
      <c r="K1695" s="142">
        <v>0</v>
      </c>
      <c r="L1695" s="142">
        <v>0</v>
      </c>
      <c r="M1695" s="142">
        <v>0</v>
      </c>
    </row>
    <row r="1696" spans="1:13" x14ac:dyDescent="0.45">
      <c r="A1696" s="142" t="s">
        <v>13091</v>
      </c>
      <c r="B1696" s="142" t="s">
        <v>14473</v>
      </c>
      <c r="C1696" s="142" t="s">
        <v>15847</v>
      </c>
      <c r="D1696" s="142" t="s">
        <v>15848</v>
      </c>
      <c r="E1696" s="142" t="s">
        <v>15849</v>
      </c>
      <c r="F1696" s="142" t="s">
        <v>4498</v>
      </c>
      <c r="G1696" s="142" t="s">
        <v>4497</v>
      </c>
      <c r="H1696" s="142" t="s">
        <v>17546</v>
      </c>
      <c r="I1696" s="142">
        <v>49</v>
      </c>
      <c r="J1696" s="142">
        <v>0</v>
      </c>
      <c r="K1696" s="142">
        <v>0</v>
      </c>
      <c r="L1696" s="142">
        <v>39</v>
      </c>
      <c r="M1696" s="142">
        <v>10</v>
      </c>
    </row>
    <row r="1697" spans="1:13" x14ac:dyDescent="0.45">
      <c r="A1697" s="142" t="s">
        <v>13009</v>
      </c>
      <c r="B1697" s="142" t="s">
        <v>15256</v>
      </c>
      <c r="C1697" s="142" t="s">
        <v>15847</v>
      </c>
      <c r="D1697" s="142" t="s">
        <v>15848</v>
      </c>
      <c r="E1697" s="142" t="s">
        <v>15849</v>
      </c>
      <c r="F1697" s="142" t="s">
        <v>4498</v>
      </c>
      <c r="G1697" s="142" t="s">
        <v>4497</v>
      </c>
      <c r="H1697" s="142" t="s">
        <v>17547</v>
      </c>
      <c r="I1697" s="142">
        <v>114</v>
      </c>
      <c r="J1697" s="142">
        <v>104</v>
      </c>
      <c r="K1697" s="142">
        <v>0</v>
      </c>
      <c r="L1697" s="142">
        <v>10</v>
      </c>
      <c r="M1697" s="142">
        <v>0</v>
      </c>
    </row>
    <row r="1698" spans="1:13" x14ac:dyDescent="0.45">
      <c r="A1698" s="142" t="s">
        <v>13058</v>
      </c>
      <c r="B1698" s="142" t="s">
        <v>14584</v>
      </c>
      <c r="C1698" s="142" t="s">
        <v>15847</v>
      </c>
      <c r="D1698" s="142" t="s">
        <v>15848</v>
      </c>
      <c r="E1698" s="142" t="s">
        <v>15849</v>
      </c>
      <c r="F1698" s="142" t="s">
        <v>4498</v>
      </c>
      <c r="G1698" s="142" t="s">
        <v>4497</v>
      </c>
      <c r="H1698" s="142" t="s">
        <v>17548</v>
      </c>
      <c r="I1698" s="142">
        <v>161</v>
      </c>
      <c r="J1698" s="142">
        <v>155</v>
      </c>
      <c r="K1698" s="142">
        <v>0</v>
      </c>
      <c r="L1698" s="142">
        <v>0</v>
      </c>
      <c r="M1698" s="142">
        <v>6</v>
      </c>
    </row>
    <row r="1699" spans="1:13" x14ac:dyDescent="0.45">
      <c r="A1699" s="142" t="s">
        <v>13041</v>
      </c>
      <c r="B1699" s="142" t="s">
        <v>14441</v>
      </c>
      <c r="C1699" s="142" t="s">
        <v>15847</v>
      </c>
      <c r="D1699" s="142" t="s">
        <v>15848</v>
      </c>
      <c r="E1699" s="142" t="s">
        <v>15849</v>
      </c>
      <c r="F1699" s="142" t="s">
        <v>4498</v>
      </c>
      <c r="G1699" s="142" t="s">
        <v>4497</v>
      </c>
      <c r="H1699" s="142" t="s">
        <v>17549</v>
      </c>
      <c r="I1699" s="142">
        <v>30</v>
      </c>
      <c r="J1699" s="142">
        <v>0</v>
      </c>
      <c r="K1699" s="142">
        <v>0</v>
      </c>
      <c r="L1699" s="142">
        <v>0</v>
      </c>
      <c r="M1699" s="142">
        <v>30</v>
      </c>
    </row>
    <row r="1700" spans="1:13" x14ac:dyDescent="0.45">
      <c r="A1700" s="142" t="s">
        <v>13014</v>
      </c>
      <c r="B1700" s="142" t="s">
        <v>14505</v>
      </c>
      <c r="C1700" s="142" t="s">
        <v>15847</v>
      </c>
      <c r="D1700" s="142" t="s">
        <v>15848</v>
      </c>
      <c r="E1700" s="142" t="s">
        <v>15849</v>
      </c>
      <c r="F1700" s="142" t="s">
        <v>4498</v>
      </c>
      <c r="G1700" s="142" t="s">
        <v>4497</v>
      </c>
      <c r="H1700" s="142" t="s">
        <v>17550</v>
      </c>
      <c r="I1700" s="142">
        <v>716</v>
      </c>
      <c r="J1700" s="142">
        <v>582</v>
      </c>
      <c r="K1700" s="142">
        <v>0</v>
      </c>
      <c r="L1700" s="142">
        <v>35</v>
      </c>
      <c r="M1700" s="142">
        <v>99</v>
      </c>
    </row>
    <row r="1701" spans="1:13" x14ac:dyDescent="0.45">
      <c r="A1701" s="142" t="s">
        <v>13042</v>
      </c>
      <c r="B1701" s="142" t="s">
        <v>15489</v>
      </c>
      <c r="C1701" s="142" t="s">
        <v>15847</v>
      </c>
      <c r="D1701" s="142" t="s">
        <v>15848</v>
      </c>
      <c r="E1701" s="142" t="s">
        <v>15849</v>
      </c>
      <c r="F1701" s="142" t="s">
        <v>4498</v>
      </c>
      <c r="G1701" s="142" t="s">
        <v>4497</v>
      </c>
      <c r="H1701" s="142" t="s">
        <v>17551</v>
      </c>
      <c r="I1701" s="142">
        <v>34</v>
      </c>
      <c r="J1701" s="142">
        <v>0</v>
      </c>
      <c r="K1701" s="142">
        <v>0</v>
      </c>
      <c r="L1701" s="142">
        <v>34</v>
      </c>
      <c r="M1701" s="142">
        <v>0</v>
      </c>
    </row>
    <row r="1702" spans="1:13" x14ac:dyDescent="0.45">
      <c r="A1702" s="142" t="s">
        <v>13110</v>
      </c>
      <c r="B1702" s="142" t="s">
        <v>15502</v>
      </c>
      <c r="C1702" s="142" t="s">
        <v>15847</v>
      </c>
      <c r="D1702" s="142" t="s">
        <v>15848</v>
      </c>
      <c r="E1702" s="142" t="s">
        <v>15849</v>
      </c>
      <c r="F1702" s="142" t="s">
        <v>7587</v>
      </c>
      <c r="G1702" s="142" t="s">
        <v>7586</v>
      </c>
      <c r="H1702" s="142" t="s">
        <v>17552</v>
      </c>
      <c r="I1702" s="142">
        <v>153</v>
      </c>
      <c r="J1702" s="142">
        <v>135</v>
      </c>
      <c r="K1702" s="142">
        <v>0</v>
      </c>
      <c r="L1702" s="142">
        <v>12</v>
      </c>
      <c r="M1702" s="142">
        <v>6</v>
      </c>
    </row>
    <row r="1703" spans="1:13" x14ac:dyDescent="0.45">
      <c r="A1703" s="142" t="s">
        <v>13166</v>
      </c>
      <c r="B1703" s="142" t="s">
        <v>15576</v>
      </c>
      <c r="C1703" s="142" t="s">
        <v>15847</v>
      </c>
      <c r="D1703" s="142" t="s">
        <v>15848</v>
      </c>
      <c r="E1703" s="142" t="s">
        <v>15849</v>
      </c>
      <c r="F1703" s="142" t="s">
        <v>7587</v>
      </c>
      <c r="G1703" s="142" t="s">
        <v>7586</v>
      </c>
      <c r="H1703" s="142" t="s">
        <v>17553</v>
      </c>
      <c r="I1703" s="142">
        <v>132</v>
      </c>
      <c r="J1703" s="142">
        <v>111</v>
      </c>
      <c r="K1703" s="142">
        <v>0</v>
      </c>
      <c r="L1703" s="142">
        <v>0</v>
      </c>
      <c r="M1703" s="142">
        <v>21</v>
      </c>
    </row>
    <row r="1704" spans="1:13" x14ac:dyDescent="0.45">
      <c r="A1704" s="142" t="s">
        <v>13046</v>
      </c>
      <c r="B1704" s="142" t="s">
        <v>15537</v>
      </c>
      <c r="C1704" s="142" t="s">
        <v>15860</v>
      </c>
      <c r="D1704" s="142" t="s">
        <v>15861</v>
      </c>
      <c r="E1704" s="142" t="s">
        <v>15849</v>
      </c>
      <c r="F1704" s="142" t="s">
        <v>7587</v>
      </c>
      <c r="G1704" s="142" t="s">
        <v>7586</v>
      </c>
      <c r="H1704" s="142" t="s">
        <v>17554</v>
      </c>
      <c r="I1704" s="142">
        <v>12</v>
      </c>
      <c r="J1704" s="142">
        <v>0</v>
      </c>
      <c r="K1704" s="142">
        <v>0</v>
      </c>
      <c r="L1704" s="142">
        <v>12</v>
      </c>
      <c r="M1704" s="142">
        <v>0</v>
      </c>
    </row>
    <row r="1705" spans="1:13" x14ac:dyDescent="0.45">
      <c r="A1705" s="142" t="s">
        <v>13021</v>
      </c>
      <c r="B1705" s="142" t="s">
        <v>15501</v>
      </c>
      <c r="C1705" s="142" t="s">
        <v>15847</v>
      </c>
      <c r="D1705" s="142" t="s">
        <v>15848</v>
      </c>
      <c r="E1705" s="142" t="s">
        <v>15849</v>
      </c>
      <c r="F1705" s="142" t="s">
        <v>7587</v>
      </c>
      <c r="G1705" s="142" t="s">
        <v>7586</v>
      </c>
      <c r="H1705" s="142" t="s">
        <v>17555</v>
      </c>
      <c r="I1705" s="142">
        <v>13</v>
      </c>
      <c r="J1705" s="142">
        <v>0</v>
      </c>
      <c r="K1705" s="142">
        <v>0</v>
      </c>
      <c r="L1705" s="142">
        <v>8</v>
      </c>
      <c r="M1705" s="142">
        <v>5</v>
      </c>
    </row>
    <row r="1706" spans="1:13" x14ac:dyDescent="0.45">
      <c r="A1706" s="142" t="s">
        <v>13022</v>
      </c>
      <c r="B1706" s="142" t="s">
        <v>14634</v>
      </c>
      <c r="C1706" s="142" t="s">
        <v>15847</v>
      </c>
      <c r="D1706" s="142" t="s">
        <v>15848</v>
      </c>
      <c r="E1706" s="142" t="s">
        <v>15849</v>
      </c>
      <c r="F1706" s="142" t="s">
        <v>7587</v>
      </c>
      <c r="G1706" s="142" t="s">
        <v>7586</v>
      </c>
      <c r="H1706" s="142" t="s">
        <v>17556</v>
      </c>
      <c r="I1706" s="142">
        <v>20</v>
      </c>
      <c r="J1706" s="142">
        <v>14</v>
      </c>
      <c r="K1706" s="142">
        <v>0</v>
      </c>
      <c r="L1706" s="142">
        <v>0</v>
      </c>
      <c r="M1706" s="142">
        <v>6</v>
      </c>
    </row>
    <row r="1707" spans="1:13" x14ac:dyDescent="0.45">
      <c r="A1707" s="142" t="s">
        <v>13023</v>
      </c>
      <c r="B1707" s="142" t="s">
        <v>15571</v>
      </c>
      <c r="C1707" s="142" t="s">
        <v>15847</v>
      </c>
      <c r="D1707" s="142" t="s">
        <v>15848</v>
      </c>
      <c r="E1707" s="142" t="s">
        <v>15849</v>
      </c>
      <c r="F1707" s="142" t="s">
        <v>7587</v>
      </c>
      <c r="G1707" s="142" t="s">
        <v>7586</v>
      </c>
      <c r="H1707" s="142" t="s">
        <v>17557</v>
      </c>
      <c r="I1707" s="142">
        <v>96</v>
      </c>
      <c r="J1707" s="142">
        <v>0</v>
      </c>
      <c r="K1707" s="142">
        <v>0</v>
      </c>
      <c r="L1707" s="142">
        <v>96</v>
      </c>
      <c r="M1707" s="142">
        <v>0</v>
      </c>
    </row>
    <row r="1708" spans="1:13" x14ac:dyDescent="0.45">
      <c r="A1708" s="142" t="s">
        <v>13477</v>
      </c>
      <c r="B1708" s="142" t="s">
        <v>15457</v>
      </c>
      <c r="C1708" s="142" t="s">
        <v>15860</v>
      </c>
      <c r="D1708" s="142" t="s">
        <v>15861</v>
      </c>
      <c r="E1708" s="142" t="s">
        <v>15849</v>
      </c>
      <c r="F1708" s="142" t="s">
        <v>7587</v>
      </c>
      <c r="G1708" s="142" t="s">
        <v>7586</v>
      </c>
      <c r="H1708" s="142" t="s">
        <v>17558</v>
      </c>
      <c r="I1708" s="142">
        <v>16</v>
      </c>
      <c r="J1708" s="142">
        <v>0</v>
      </c>
      <c r="K1708" s="142">
        <v>0</v>
      </c>
      <c r="L1708" s="142">
        <v>16</v>
      </c>
      <c r="M1708" s="142">
        <v>0</v>
      </c>
    </row>
    <row r="1709" spans="1:13" x14ac:dyDescent="0.45">
      <c r="A1709" s="142" t="s">
        <v>13235</v>
      </c>
      <c r="B1709" s="142" t="s">
        <v>14573</v>
      </c>
      <c r="C1709" s="142" t="s">
        <v>15847</v>
      </c>
      <c r="D1709" s="142" t="s">
        <v>15848</v>
      </c>
      <c r="E1709" s="142" t="s">
        <v>15849</v>
      </c>
      <c r="F1709" s="142" t="s">
        <v>7587</v>
      </c>
      <c r="G1709" s="142" t="s">
        <v>7586</v>
      </c>
      <c r="H1709" s="142" t="s">
        <v>17559</v>
      </c>
      <c r="I1709" s="142">
        <v>1162</v>
      </c>
      <c r="J1709" s="142">
        <v>850</v>
      </c>
      <c r="K1709" s="142">
        <v>0</v>
      </c>
      <c r="L1709" s="142">
        <v>55</v>
      </c>
      <c r="M1709" s="142">
        <v>257</v>
      </c>
    </row>
    <row r="1710" spans="1:13" x14ac:dyDescent="0.45">
      <c r="A1710" s="142" t="s">
        <v>13159</v>
      </c>
      <c r="B1710" s="142" t="s">
        <v>14521</v>
      </c>
      <c r="C1710" s="142" t="s">
        <v>15860</v>
      </c>
      <c r="D1710" s="142" t="s">
        <v>15861</v>
      </c>
      <c r="E1710" s="142" t="s">
        <v>15849</v>
      </c>
      <c r="F1710" s="142" t="s">
        <v>7587</v>
      </c>
      <c r="G1710" s="142" t="s">
        <v>7586</v>
      </c>
      <c r="H1710" s="142" t="s">
        <v>17560</v>
      </c>
      <c r="I1710" s="142">
        <v>4</v>
      </c>
      <c r="J1710" s="142">
        <v>0</v>
      </c>
      <c r="K1710" s="142">
        <v>0</v>
      </c>
      <c r="L1710" s="142">
        <v>4</v>
      </c>
      <c r="M1710" s="142">
        <v>0</v>
      </c>
    </row>
    <row r="1711" spans="1:13" x14ac:dyDescent="0.45">
      <c r="A1711" s="142" t="s">
        <v>13000</v>
      </c>
      <c r="B1711" s="142" t="s">
        <v>14610</v>
      </c>
      <c r="C1711" s="142" t="s">
        <v>15847</v>
      </c>
      <c r="D1711" s="142" t="s">
        <v>15848</v>
      </c>
      <c r="E1711" s="142" t="s">
        <v>15849</v>
      </c>
      <c r="F1711" s="142" t="s">
        <v>7587</v>
      </c>
      <c r="G1711" s="142" t="s">
        <v>7586</v>
      </c>
      <c r="H1711" s="142" t="s">
        <v>17561</v>
      </c>
      <c r="I1711" s="142">
        <v>105</v>
      </c>
      <c r="J1711" s="142">
        <v>69</v>
      </c>
      <c r="K1711" s="142">
        <v>0</v>
      </c>
      <c r="L1711" s="142">
        <v>0</v>
      </c>
      <c r="M1711" s="142">
        <v>36</v>
      </c>
    </row>
    <row r="1712" spans="1:13" x14ac:dyDescent="0.45">
      <c r="A1712" s="142" t="s">
        <v>13074</v>
      </c>
      <c r="B1712" s="142" t="s">
        <v>15405</v>
      </c>
      <c r="C1712" s="142" t="s">
        <v>15847</v>
      </c>
      <c r="D1712" s="142" t="s">
        <v>15848</v>
      </c>
      <c r="E1712" s="142" t="s">
        <v>15849</v>
      </c>
      <c r="F1712" s="142" t="s">
        <v>7587</v>
      </c>
      <c r="G1712" s="142" t="s">
        <v>7586</v>
      </c>
      <c r="H1712" s="142" t="s">
        <v>17562</v>
      </c>
      <c r="I1712" s="142">
        <v>6</v>
      </c>
      <c r="J1712" s="142">
        <v>4</v>
      </c>
      <c r="K1712" s="142">
        <v>0</v>
      </c>
      <c r="L1712" s="142">
        <v>0</v>
      </c>
      <c r="M1712" s="142">
        <v>2</v>
      </c>
    </row>
    <row r="1713" spans="1:13" x14ac:dyDescent="0.45">
      <c r="A1713" s="142" t="s">
        <v>13397</v>
      </c>
      <c r="B1713" s="142" t="s">
        <v>15465</v>
      </c>
      <c r="C1713" s="142" t="s">
        <v>15847</v>
      </c>
      <c r="D1713" s="142" t="s">
        <v>15848</v>
      </c>
      <c r="E1713" s="142" t="s">
        <v>15849</v>
      </c>
      <c r="F1713" s="142" t="s">
        <v>7587</v>
      </c>
      <c r="G1713" s="142" t="s">
        <v>7586</v>
      </c>
      <c r="H1713" s="142" t="s">
        <v>17563</v>
      </c>
      <c r="I1713" s="142">
        <v>12</v>
      </c>
      <c r="J1713" s="142">
        <v>7</v>
      </c>
      <c r="K1713" s="142">
        <v>0</v>
      </c>
      <c r="L1713" s="142">
        <v>0</v>
      </c>
      <c r="M1713" s="142">
        <v>5</v>
      </c>
    </row>
    <row r="1714" spans="1:13" x14ac:dyDescent="0.45">
      <c r="A1714" s="142" t="s">
        <v>13027</v>
      </c>
      <c r="B1714" s="142" t="s">
        <v>14562</v>
      </c>
      <c r="C1714" s="142" t="s">
        <v>15847</v>
      </c>
      <c r="D1714" s="142" t="s">
        <v>15848</v>
      </c>
      <c r="E1714" s="142" t="s">
        <v>15849</v>
      </c>
      <c r="F1714" s="142" t="s">
        <v>7587</v>
      </c>
      <c r="G1714" s="142" t="s">
        <v>7586</v>
      </c>
      <c r="H1714" s="142" t="s">
        <v>17564</v>
      </c>
      <c r="I1714" s="142">
        <v>21</v>
      </c>
      <c r="J1714" s="142">
        <v>0</v>
      </c>
      <c r="K1714" s="142">
        <v>0</v>
      </c>
      <c r="L1714" s="142">
        <v>21</v>
      </c>
      <c r="M1714" s="142">
        <v>0</v>
      </c>
    </row>
    <row r="1715" spans="1:13" x14ac:dyDescent="0.45">
      <c r="A1715" s="142" t="s">
        <v>13243</v>
      </c>
      <c r="B1715" s="142" t="s">
        <v>15560</v>
      </c>
      <c r="C1715" s="142" t="s">
        <v>15847</v>
      </c>
      <c r="D1715" s="142" t="s">
        <v>15848</v>
      </c>
      <c r="E1715" s="142" t="s">
        <v>15849</v>
      </c>
      <c r="F1715" s="142" t="s">
        <v>7587</v>
      </c>
      <c r="G1715" s="142" t="s">
        <v>7586</v>
      </c>
      <c r="H1715" s="142" t="s">
        <v>17565</v>
      </c>
      <c r="I1715" s="142">
        <v>456</v>
      </c>
      <c r="J1715" s="142">
        <v>376</v>
      </c>
      <c r="K1715" s="142">
        <v>0</v>
      </c>
      <c r="L1715" s="142">
        <v>22</v>
      </c>
      <c r="M1715" s="142">
        <v>58</v>
      </c>
    </row>
    <row r="1716" spans="1:13" x14ac:dyDescent="0.45">
      <c r="A1716" s="142" t="s">
        <v>13028</v>
      </c>
      <c r="B1716" s="142" t="s">
        <v>14462</v>
      </c>
      <c r="C1716" s="142" t="s">
        <v>15847</v>
      </c>
      <c r="D1716" s="142" t="s">
        <v>15848</v>
      </c>
      <c r="E1716" s="142" t="s">
        <v>15849</v>
      </c>
      <c r="F1716" s="142" t="s">
        <v>7587</v>
      </c>
      <c r="G1716" s="142" t="s">
        <v>7586</v>
      </c>
      <c r="H1716" s="142" t="s">
        <v>17566</v>
      </c>
      <c r="I1716" s="142">
        <v>38</v>
      </c>
      <c r="J1716" s="142">
        <v>0</v>
      </c>
      <c r="K1716" s="142">
        <v>0</v>
      </c>
      <c r="L1716" s="142">
        <v>0</v>
      </c>
      <c r="M1716" s="142">
        <v>38</v>
      </c>
    </row>
    <row r="1717" spans="1:13" x14ac:dyDescent="0.45">
      <c r="A1717" s="142" t="s">
        <v>13002</v>
      </c>
      <c r="B1717" s="142" t="s">
        <v>15376</v>
      </c>
      <c r="C1717" s="142" t="s">
        <v>15847</v>
      </c>
      <c r="D1717" s="142" t="s">
        <v>15848</v>
      </c>
      <c r="E1717" s="142" t="s">
        <v>15849</v>
      </c>
      <c r="F1717" s="142" t="s">
        <v>7587</v>
      </c>
      <c r="G1717" s="142" t="s">
        <v>7586</v>
      </c>
      <c r="H1717" s="142" t="s">
        <v>17567</v>
      </c>
      <c r="I1717" s="142">
        <v>9</v>
      </c>
      <c r="J1717" s="142">
        <v>0</v>
      </c>
      <c r="K1717" s="142">
        <v>0</v>
      </c>
      <c r="L1717" s="142">
        <v>9</v>
      </c>
      <c r="M1717" s="142">
        <v>0</v>
      </c>
    </row>
    <row r="1718" spans="1:13" x14ac:dyDescent="0.45">
      <c r="A1718" s="142" t="s">
        <v>13003</v>
      </c>
      <c r="B1718" s="142" t="s">
        <v>15245</v>
      </c>
      <c r="C1718" s="142" t="s">
        <v>15847</v>
      </c>
      <c r="D1718" s="142" t="s">
        <v>15848</v>
      </c>
      <c r="E1718" s="142" t="s">
        <v>15849</v>
      </c>
      <c r="F1718" s="142" t="s">
        <v>7587</v>
      </c>
      <c r="G1718" s="142" t="s">
        <v>7586</v>
      </c>
      <c r="H1718" s="142" t="s">
        <v>17568</v>
      </c>
      <c r="I1718" s="142">
        <v>221</v>
      </c>
      <c r="J1718" s="142">
        <v>0</v>
      </c>
      <c r="K1718" s="142">
        <v>0</v>
      </c>
      <c r="L1718" s="142">
        <v>199</v>
      </c>
      <c r="M1718" s="142">
        <v>22</v>
      </c>
    </row>
    <row r="1719" spans="1:13" x14ac:dyDescent="0.45">
      <c r="A1719" s="142" t="s">
        <v>13066</v>
      </c>
      <c r="B1719" s="142" t="s">
        <v>14459</v>
      </c>
      <c r="C1719" s="142" t="s">
        <v>15847</v>
      </c>
      <c r="D1719" s="142" t="s">
        <v>15848</v>
      </c>
      <c r="E1719" s="142" t="s">
        <v>15849</v>
      </c>
      <c r="F1719" s="142" t="s">
        <v>7587</v>
      </c>
      <c r="G1719" s="142" t="s">
        <v>7586</v>
      </c>
      <c r="H1719" s="142" t="s">
        <v>17569</v>
      </c>
      <c r="I1719" s="142">
        <v>3</v>
      </c>
      <c r="J1719" s="142">
        <v>0</v>
      </c>
      <c r="K1719" s="142">
        <v>0</v>
      </c>
      <c r="L1719" s="142">
        <v>3</v>
      </c>
      <c r="M1719" s="142">
        <v>0</v>
      </c>
    </row>
    <row r="1720" spans="1:13" x14ac:dyDescent="0.45">
      <c r="A1720" s="142" t="s">
        <v>13029</v>
      </c>
      <c r="B1720" s="142" t="s">
        <v>14665</v>
      </c>
      <c r="C1720" s="142" t="s">
        <v>15847</v>
      </c>
      <c r="D1720" s="142" t="s">
        <v>15848</v>
      </c>
      <c r="E1720" s="142" t="s">
        <v>15849</v>
      </c>
      <c r="F1720" s="142" t="s">
        <v>7587</v>
      </c>
      <c r="G1720" s="142" t="s">
        <v>7586</v>
      </c>
      <c r="H1720" s="142" t="s">
        <v>17570</v>
      </c>
      <c r="I1720" s="142">
        <v>9</v>
      </c>
      <c r="J1720" s="142">
        <v>0</v>
      </c>
      <c r="K1720" s="142">
        <v>0</v>
      </c>
      <c r="L1720" s="142">
        <v>0</v>
      </c>
      <c r="M1720" s="142">
        <v>9</v>
      </c>
    </row>
    <row r="1721" spans="1:13" x14ac:dyDescent="0.45">
      <c r="A1721" s="142" t="s">
        <v>13192</v>
      </c>
      <c r="B1721" s="142" t="s">
        <v>15539</v>
      </c>
      <c r="C1721" s="142" t="s">
        <v>15860</v>
      </c>
      <c r="D1721" s="142" t="s">
        <v>15861</v>
      </c>
      <c r="E1721" s="142" t="s">
        <v>15849</v>
      </c>
      <c r="F1721" s="142" t="s">
        <v>7587</v>
      </c>
      <c r="G1721" s="142" t="s">
        <v>7586</v>
      </c>
      <c r="H1721" s="142" t="s">
        <v>17571</v>
      </c>
      <c r="I1721" s="142">
        <v>23</v>
      </c>
      <c r="J1721" s="142">
        <v>0</v>
      </c>
      <c r="K1721" s="142">
        <v>0</v>
      </c>
      <c r="L1721" s="142">
        <v>23</v>
      </c>
      <c r="M1721" s="142">
        <v>0</v>
      </c>
    </row>
    <row r="1722" spans="1:13" x14ac:dyDescent="0.45">
      <c r="A1722" s="142" t="s">
        <v>13007</v>
      </c>
      <c r="B1722" s="142" t="s">
        <v>15262</v>
      </c>
      <c r="C1722" s="142" t="s">
        <v>15847</v>
      </c>
      <c r="D1722" s="142" t="s">
        <v>15848</v>
      </c>
      <c r="E1722" s="142" t="s">
        <v>15849</v>
      </c>
      <c r="F1722" s="142" t="s">
        <v>7587</v>
      </c>
      <c r="G1722" s="142" t="s">
        <v>7586</v>
      </c>
      <c r="H1722" s="142" t="s">
        <v>17572</v>
      </c>
      <c r="I1722" s="142">
        <v>1</v>
      </c>
      <c r="J1722" s="142">
        <v>0</v>
      </c>
      <c r="K1722" s="142">
        <v>0</v>
      </c>
      <c r="L1722" s="142">
        <v>0</v>
      </c>
      <c r="M1722" s="142">
        <v>1</v>
      </c>
    </row>
    <row r="1723" spans="1:13" x14ac:dyDescent="0.45">
      <c r="A1723" s="142" t="s">
        <v>13217</v>
      </c>
      <c r="B1723" s="142" t="s">
        <v>14578</v>
      </c>
      <c r="C1723" s="142" t="s">
        <v>15860</v>
      </c>
      <c r="D1723" s="142" t="s">
        <v>15861</v>
      </c>
      <c r="E1723" s="142" t="s">
        <v>15849</v>
      </c>
      <c r="F1723" s="142" t="s">
        <v>7587</v>
      </c>
      <c r="G1723" s="142" t="s">
        <v>7586</v>
      </c>
      <c r="H1723" s="142" t="s">
        <v>17573</v>
      </c>
      <c r="I1723" s="142">
        <v>2</v>
      </c>
      <c r="J1723" s="142">
        <v>2</v>
      </c>
      <c r="K1723" s="142">
        <v>0</v>
      </c>
      <c r="L1723" s="142">
        <v>0</v>
      </c>
      <c r="M1723" s="142">
        <v>0</v>
      </c>
    </row>
    <row r="1724" spans="1:13" x14ac:dyDescent="0.45">
      <c r="A1724" s="142" t="s">
        <v>13008</v>
      </c>
      <c r="B1724" s="142" t="s">
        <v>15411</v>
      </c>
      <c r="C1724" s="142" t="s">
        <v>15847</v>
      </c>
      <c r="D1724" s="142" t="s">
        <v>15848</v>
      </c>
      <c r="E1724" s="142" t="s">
        <v>15849</v>
      </c>
      <c r="F1724" s="142" t="s">
        <v>7587</v>
      </c>
      <c r="G1724" s="142" t="s">
        <v>7586</v>
      </c>
      <c r="H1724" s="142" t="s">
        <v>17574</v>
      </c>
      <c r="I1724" s="142">
        <v>29</v>
      </c>
      <c r="J1724" s="142">
        <v>0</v>
      </c>
      <c r="K1724" s="142">
        <v>0</v>
      </c>
      <c r="L1724" s="142">
        <v>0</v>
      </c>
      <c r="M1724" s="142">
        <v>29</v>
      </c>
    </row>
    <row r="1725" spans="1:13" x14ac:dyDescent="0.45">
      <c r="A1725" s="142" t="s">
        <v>13077</v>
      </c>
      <c r="B1725" s="142" t="s">
        <v>15407</v>
      </c>
      <c r="C1725" s="142" t="s">
        <v>15847</v>
      </c>
      <c r="D1725" s="142" t="s">
        <v>15848</v>
      </c>
      <c r="E1725" s="142" t="s">
        <v>15849</v>
      </c>
      <c r="F1725" s="142" t="s">
        <v>7587</v>
      </c>
      <c r="G1725" s="142" t="s">
        <v>7586</v>
      </c>
      <c r="H1725" s="142" t="s">
        <v>17575</v>
      </c>
      <c r="I1725" s="142">
        <v>16</v>
      </c>
      <c r="J1725" s="142">
        <v>16</v>
      </c>
      <c r="K1725" s="142">
        <v>0</v>
      </c>
      <c r="L1725" s="142">
        <v>0</v>
      </c>
      <c r="M1725" s="142">
        <v>0</v>
      </c>
    </row>
    <row r="1726" spans="1:13" x14ac:dyDescent="0.45">
      <c r="A1726" s="142" t="s">
        <v>13135</v>
      </c>
      <c r="B1726" s="142" t="s">
        <v>15575</v>
      </c>
      <c r="C1726" s="142" t="s">
        <v>15847</v>
      </c>
      <c r="D1726" s="142" t="s">
        <v>15848</v>
      </c>
      <c r="E1726" s="142" t="s">
        <v>15849</v>
      </c>
      <c r="F1726" s="142" t="s">
        <v>7587</v>
      </c>
      <c r="G1726" s="142" t="s">
        <v>7586</v>
      </c>
      <c r="H1726" s="142" t="s">
        <v>17576</v>
      </c>
      <c r="I1726" s="142">
        <v>831</v>
      </c>
      <c r="J1726" s="142">
        <v>601</v>
      </c>
      <c r="K1726" s="142">
        <v>0</v>
      </c>
      <c r="L1726" s="142">
        <v>8</v>
      </c>
      <c r="M1726" s="142">
        <v>222</v>
      </c>
    </row>
    <row r="1727" spans="1:13" x14ac:dyDescent="0.45">
      <c r="A1727" s="142" t="s">
        <v>13104</v>
      </c>
      <c r="B1727" s="142" t="s">
        <v>14622</v>
      </c>
      <c r="C1727" s="142" t="s">
        <v>15847</v>
      </c>
      <c r="D1727" s="142" t="s">
        <v>15848</v>
      </c>
      <c r="E1727" s="142" t="s">
        <v>15849</v>
      </c>
      <c r="F1727" s="142" t="s">
        <v>7587</v>
      </c>
      <c r="G1727" s="142" t="s">
        <v>7586</v>
      </c>
      <c r="H1727" s="142" t="s">
        <v>17577</v>
      </c>
      <c r="I1727" s="142">
        <v>196</v>
      </c>
      <c r="J1727" s="142">
        <v>119</v>
      </c>
      <c r="K1727" s="142">
        <v>0</v>
      </c>
      <c r="L1727" s="142">
        <v>0</v>
      </c>
      <c r="M1727" s="142">
        <v>77</v>
      </c>
    </row>
    <row r="1728" spans="1:13" x14ac:dyDescent="0.45">
      <c r="A1728" s="142" t="s">
        <v>13033</v>
      </c>
      <c r="B1728" s="142" t="s">
        <v>15276</v>
      </c>
      <c r="C1728" s="142" t="s">
        <v>15847</v>
      </c>
      <c r="D1728" s="142" t="s">
        <v>15848</v>
      </c>
      <c r="E1728" s="142" t="s">
        <v>15849</v>
      </c>
      <c r="F1728" s="142" t="s">
        <v>7587</v>
      </c>
      <c r="G1728" s="142" t="s">
        <v>7586</v>
      </c>
      <c r="H1728" s="142" t="s">
        <v>17578</v>
      </c>
      <c r="I1728" s="142">
        <v>21</v>
      </c>
      <c r="J1728" s="142">
        <v>11</v>
      </c>
      <c r="K1728" s="142">
        <v>0</v>
      </c>
      <c r="L1728" s="142">
        <v>0</v>
      </c>
      <c r="M1728" s="142">
        <v>10</v>
      </c>
    </row>
    <row r="1729" spans="1:13" x14ac:dyDescent="0.45">
      <c r="A1729" s="142" t="s">
        <v>13035</v>
      </c>
      <c r="B1729" s="142" t="s">
        <v>14648</v>
      </c>
      <c r="C1729" s="142" t="s">
        <v>15847</v>
      </c>
      <c r="D1729" s="142" t="s">
        <v>15848</v>
      </c>
      <c r="E1729" s="142" t="s">
        <v>15849</v>
      </c>
      <c r="F1729" s="142" t="s">
        <v>7587</v>
      </c>
      <c r="G1729" s="142" t="s">
        <v>7586</v>
      </c>
      <c r="H1729" s="142" t="s">
        <v>17579</v>
      </c>
      <c r="I1729" s="142">
        <v>269</v>
      </c>
      <c r="J1729" s="142">
        <v>173</v>
      </c>
      <c r="K1729" s="142">
        <v>0</v>
      </c>
      <c r="L1729" s="142">
        <v>0</v>
      </c>
      <c r="M1729" s="142">
        <v>96</v>
      </c>
    </row>
    <row r="1730" spans="1:13" x14ac:dyDescent="0.45">
      <c r="A1730" s="142" t="s">
        <v>13038</v>
      </c>
      <c r="B1730" s="142" t="s">
        <v>14646</v>
      </c>
      <c r="C1730" s="142" t="s">
        <v>15847</v>
      </c>
      <c r="D1730" s="142" t="s">
        <v>15848</v>
      </c>
      <c r="E1730" s="142" t="s">
        <v>15849</v>
      </c>
      <c r="F1730" s="142" t="s">
        <v>7587</v>
      </c>
      <c r="G1730" s="142" t="s">
        <v>7586</v>
      </c>
      <c r="H1730" s="142" t="s">
        <v>17580</v>
      </c>
      <c r="I1730" s="142">
        <v>38</v>
      </c>
      <c r="J1730" s="142">
        <v>11</v>
      </c>
      <c r="K1730" s="142">
        <v>0</v>
      </c>
      <c r="L1730" s="142">
        <v>0</v>
      </c>
      <c r="M1730" s="142">
        <v>27</v>
      </c>
    </row>
    <row r="1731" spans="1:13" x14ac:dyDescent="0.45">
      <c r="A1731" s="142" t="s">
        <v>13039</v>
      </c>
      <c r="B1731" s="142" t="s">
        <v>14647</v>
      </c>
      <c r="C1731" s="142" t="s">
        <v>15847</v>
      </c>
      <c r="D1731" s="142" t="s">
        <v>15848</v>
      </c>
      <c r="E1731" s="142" t="s">
        <v>15849</v>
      </c>
      <c r="F1731" s="142" t="s">
        <v>7587</v>
      </c>
      <c r="G1731" s="142" t="s">
        <v>7586</v>
      </c>
      <c r="H1731" s="142" t="s">
        <v>17581</v>
      </c>
      <c r="I1731" s="142">
        <v>77</v>
      </c>
      <c r="J1731" s="142">
        <v>77</v>
      </c>
      <c r="K1731" s="142">
        <v>0</v>
      </c>
      <c r="L1731" s="142">
        <v>0</v>
      </c>
      <c r="M1731" s="142">
        <v>0</v>
      </c>
    </row>
    <row r="1732" spans="1:13" x14ac:dyDescent="0.45">
      <c r="A1732" s="142" t="s">
        <v>13091</v>
      </c>
      <c r="B1732" s="142" t="s">
        <v>14473</v>
      </c>
      <c r="C1732" s="142" t="s">
        <v>15847</v>
      </c>
      <c r="D1732" s="142" t="s">
        <v>15848</v>
      </c>
      <c r="E1732" s="142" t="s">
        <v>15849</v>
      </c>
      <c r="F1732" s="142" t="s">
        <v>7587</v>
      </c>
      <c r="G1732" s="142" t="s">
        <v>7586</v>
      </c>
      <c r="H1732" s="142" t="s">
        <v>17582</v>
      </c>
      <c r="I1732" s="142">
        <v>235</v>
      </c>
      <c r="J1732" s="142">
        <v>111</v>
      </c>
      <c r="K1732" s="142">
        <v>0</v>
      </c>
      <c r="L1732" s="142">
        <v>54</v>
      </c>
      <c r="M1732" s="142">
        <v>70</v>
      </c>
    </row>
    <row r="1733" spans="1:13" x14ac:dyDescent="0.45">
      <c r="A1733" s="142" t="s">
        <v>13009</v>
      </c>
      <c r="B1733" s="142" t="s">
        <v>15256</v>
      </c>
      <c r="C1733" s="142" t="s">
        <v>15847</v>
      </c>
      <c r="D1733" s="142" t="s">
        <v>15848</v>
      </c>
      <c r="E1733" s="142" t="s">
        <v>15849</v>
      </c>
      <c r="F1733" s="142" t="s">
        <v>7587</v>
      </c>
      <c r="G1733" s="142" t="s">
        <v>7586</v>
      </c>
      <c r="H1733" s="142" t="s">
        <v>17583</v>
      </c>
      <c r="I1733" s="142">
        <v>5126</v>
      </c>
      <c r="J1733" s="142">
        <v>4041</v>
      </c>
      <c r="K1733" s="142">
        <v>5</v>
      </c>
      <c r="L1733" s="142">
        <v>1050</v>
      </c>
      <c r="M1733" s="142">
        <v>30</v>
      </c>
    </row>
    <row r="1734" spans="1:13" x14ac:dyDescent="0.45">
      <c r="A1734" s="142" t="s">
        <v>13092</v>
      </c>
      <c r="B1734" s="142" t="s">
        <v>14656</v>
      </c>
      <c r="C1734" s="142" t="s">
        <v>15860</v>
      </c>
      <c r="D1734" s="142" t="s">
        <v>15861</v>
      </c>
      <c r="E1734" s="142" t="s">
        <v>15849</v>
      </c>
      <c r="F1734" s="142" t="s">
        <v>7587</v>
      </c>
      <c r="G1734" s="142" t="s">
        <v>7586</v>
      </c>
      <c r="H1734" s="142" t="s">
        <v>17584</v>
      </c>
      <c r="I1734" s="142">
        <v>55</v>
      </c>
      <c r="J1734" s="142">
        <v>55</v>
      </c>
      <c r="K1734" s="142">
        <v>0</v>
      </c>
      <c r="L1734" s="142">
        <v>0</v>
      </c>
      <c r="M1734" s="142">
        <v>0</v>
      </c>
    </row>
    <row r="1735" spans="1:13" x14ac:dyDescent="0.45">
      <c r="A1735" s="142" t="s">
        <v>13403</v>
      </c>
      <c r="B1735" s="142" t="s">
        <v>15412</v>
      </c>
      <c r="C1735" s="142" t="s">
        <v>15847</v>
      </c>
      <c r="D1735" s="142" t="s">
        <v>15848</v>
      </c>
      <c r="E1735" s="142" t="s">
        <v>15849</v>
      </c>
      <c r="F1735" s="142" t="s">
        <v>7587</v>
      </c>
      <c r="G1735" s="142" t="s">
        <v>7586</v>
      </c>
      <c r="H1735" s="142" t="s">
        <v>17585</v>
      </c>
      <c r="I1735" s="142">
        <v>111</v>
      </c>
      <c r="J1735" s="142">
        <v>87</v>
      </c>
      <c r="K1735" s="142">
        <v>0</v>
      </c>
      <c r="L1735" s="142">
        <v>0</v>
      </c>
      <c r="M1735" s="142">
        <v>24</v>
      </c>
    </row>
    <row r="1736" spans="1:13" x14ac:dyDescent="0.45">
      <c r="A1736" s="142" t="s">
        <v>13058</v>
      </c>
      <c r="B1736" s="142" t="s">
        <v>14584</v>
      </c>
      <c r="C1736" s="142" t="s">
        <v>15847</v>
      </c>
      <c r="D1736" s="142" t="s">
        <v>15848</v>
      </c>
      <c r="E1736" s="142" t="s">
        <v>15849</v>
      </c>
      <c r="F1736" s="142" t="s">
        <v>7587</v>
      </c>
      <c r="G1736" s="142" t="s">
        <v>7586</v>
      </c>
      <c r="H1736" s="142" t="s">
        <v>17586</v>
      </c>
      <c r="I1736" s="142">
        <v>190</v>
      </c>
      <c r="J1736" s="142">
        <v>140</v>
      </c>
      <c r="K1736" s="142">
        <v>0</v>
      </c>
      <c r="L1736" s="142">
        <v>20</v>
      </c>
      <c r="M1736" s="142">
        <v>30</v>
      </c>
    </row>
    <row r="1737" spans="1:13" x14ac:dyDescent="0.45">
      <c r="A1737" s="142" t="s">
        <v>13041</v>
      </c>
      <c r="B1737" s="142" t="s">
        <v>14441</v>
      </c>
      <c r="C1737" s="142" t="s">
        <v>15847</v>
      </c>
      <c r="D1737" s="142" t="s">
        <v>15848</v>
      </c>
      <c r="E1737" s="142" t="s">
        <v>15849</v>
      </c>
      <c r="F1737" s="142" t="s">
        <v>7587</v>
      </c>
      <c r="G1737" s="142" t="s">
        <v>7586</v>
      </c>
      <c r="H1737" s="142" t="s">
        <v>17587</v>
      </c>
      <c r="I1737" s="142">
        <v>34</v>
      </c>
      <c r="J1737" s="142">
        <v>0</v>
      </c>
      <c r="K1737" s="142">
        <v>0</v>
      </c>
      <c r="L1737" s="142">
        <v>0</v>
      </c>
      <c r="M1737" s="142">
        <v>34</v>
      </c>
    </row>
    <row r="1738" spans="1:13" x14ac:dyDescent="0.45">
      <c r="A1738" s="142" t="s">
        <v>13205</v>
      </c>
      <c r="B1738" s="142" t="s">
        <v>14496</v>
      </c>
      <c r="C1738" s="142" t="s">
        <v>15847</v>
      </c>
      <c r="D1738" s="142" t="s">
        <v>15848</v>
      </c>
      <c r="E1738" s="142" t="s">
        <v>15849</v>
      </c>
      <c r="F1738" s="142" t="s">
        <v>7587</v>
      </c>
      <c r="G1738" s="142" t="s">
        <v>7586</v>
      </c>
      <c r="H1738" s="142" t="s">
        <v>17588</v>
      </c>
      <c r="I1738" s="142">
        <v>35</v>
      </c>
      <c r="J1738" s="142">
        <v>35</v>
      </c>
      <c r="K1738" s="142">
        <v>0</v>
      </c>
      <c r="L1738" s="142">
        <v>0</v>
      </c>
      <c r="M1738" s="142">
        <v>0</v>
      </c>
    </row>
    <row r="1739" spans="1:13" x14ac:dyDescent="0.45">
      <c r="A1739" s="142" t="s">
        <v>13012</v>
      </c>
      <c r="B1739" s="142" t="s">
        <v>15337</v>
      </c>
      <c r="C1739" s="142" t="s">
        <v>15847</v>
      </c>
      <c r="D1739" s="142" t="s">
        <v>15848</v>
      </c>
      <c r="E1739" s="142" t="s">
        <v>15849</v>
      </c>
      <c r="F1739" s="142" t="s">
        <v>7587</v>
      </c>
      <c r="G1739" s="142" t="s">
        <v>7586</v>
      </c>
      <c r="H1739" s="142" t="s">
        <v>17589</v>
      </c>
      <c r="I1739" s="142">
        <v>386</v>
      </c>
      <c r="J1739" s="142">
        <v>283</v>
      </c>
      <c r="K1739" s="142">
        <v>0</v>
      </c>
      <c r="L1739" s="142">
        <v>35</v>
      </c>
      <c r="M1739" s="142">
        <v>68</v>
      </c>
    </row>
    <row r="1740" spans="1:13" x14ac:dyDescent="0.45">
      <c r="A1740" s="142" t="s">
        <v>13060</v>
      </c>
      <c r="B1740" s="142" t="s">
        <v>14470</v>
      </c>
      <c r="C1740" s="142" t="s">
        <v>15847</v>
      </c>
      <c r="D1740" s="142" t="s">
        <v>15848</v>
      </c>
      <c r="E1740" s="142" t="s">
        <v>15849</v>
      </c>
      <c r="F1740" s="142" t="s">
        <v>7587</v>
      </c>
      <c r="G1740" s="142" t="s">
        <v>7586</v>
      </c>
      <c r="H1740" s="142" t="s">
        <v>17590</v>
      </c>
      <c r="I1740" s="142">
        <v>91</v>
      </c>
      <c r="J1740" s="142">
        <v>64</v>
      </c>
      <c r="K1740" s="142">
        <v>0</v>
      </c>
      <c r="L1740" s="142">
        <v>0</v>
      </c>
      <c r="M1740" s="142">
        <v>27</v>
      </c>
    </row>
    <row r="1741" spans="1:13" x14ac:dyDescent="0.45">
      <c r="A1741" s="142" t="s">
        <v>13014</v>
      </c>
      <c r="B1741" s="142" t="s">
        <v>14505</v>
      </c>
      <c r="C1741" s="142" t="s">
        <v>15847</v>
      </c>
      <c r="D1741" s="142" t="s">
        <v>15848</v>
      </c>
      <c r="E1741" s="142" t="s">
        <v>15849</v>
      </c>
      <c r="F1741" s="142" t="s">
        <v>7587</v>
      </c>
      <c r="G1741" s="142" t="s">
        <v>7586</v>
      </c>
      <c r="H1741" s="142" t="s">
        <v>17591</v>
      </c>
      <c r="I1741" s="142">
        <v>1</v>
      </c>
      <c r="J1741" s="142">
        <v>0</v>
      </c>
      <c r="K1741" s="142">
        <v>0</v>
      </c>
      <c r="L1741" s="142">
        <v>0</v>
      </c>
      <c r="M1741" s="142">
        <v>1</v>
      </c>
    </row>
    <row r="1742" spans="1:13" x14ac:dyDescent="0.45">
      <c r="A1742" s="142" t="s">
        <v>13395</v>
      </c>
      <c r="B1742" s="142" t="s">
        <v>15476</v>
      </c>
      <c r="C1742" s="142" t="s">
        <v>15847</v>
      </c>
      <c r="D1742" s="142" t="s">
        <v>15848</v>
      </c>
      <c r="E1742" s="142" t="s">
        <v>15849</v>
      </c>
      <c r="F1742" s="142" t="s">
        <v>7587</v>
      </c>
      <c r="G1742" s="142" t="s">
        <v>7586</v>
      </c>
      <c r="H1742" s="142" t="s">
        <v>17592</v>
      </c>
      <c r="I1742" s="142">
        <v>31</v>
      </c>
      <c r="J1742" s="142">
        <v>21</v>
      </c>
      <c r="K1742" s="142">
        <v>0</v>
      </c>
      <c r="L1742" s="142">
        <v>0</v>
      </c>
      <c r="M1742" s="142">
        <v>10</v>
      </c>
    </row>
    <row r="1743" spans="1:13" x14ac:dyDescent="0.45">
      <c r="A1743" s="142" t="s">
        <v>13478</v>
      </c>
      <c r="B1743" s="142" t="s">
        <v>14557</v>
      </c>
      <c r="C1743" s="142" t="s">
        <v>15860</v>
      </c>
      <c r="D1743" s="142" t="s">
        <v>15861</v>
      </c>
      <c r="E1743" s="142" t="s">
        <v>15849</v>
      </c>
      <c r="F1743" s="142" t="s">
        <v>7587</v>
      </c>
      <c r="G1743" s="142" t="s">
        <v>7586</v>
      </c>
      <c r="H1743" s="142" t="s">
        <v>17593</v>
      </c>
      <c r="I1743" s="142">
        <v>77</v>
      </c>
      <c r="J1743" s="142">
        <v>77</v>
      </c>
      <c r="K1743" s="142">
        <v>0</v>
      </c>
      <c r="L1743" s="142">
        <v>0</v>
      </c>
      <c r="M1743" s="142">
        <v>0</v>
      </c>
    </row>
    <row r="1744" spans="1:13" x14ac:dyDescent="0.45">
      <c r="A1744" s="142" t="s">
        <v>13207</v>
      </c>
      <c r="B1744" s="142" t="s">
        <v>15558</v>
      </c>
      <c r="C1744" s="142" t="s">
        <v>15847</v>
      </c>
      <c r="D1744" s="142" t="s">
        <v>15848</v>
      </c>
      <c r="E1744" s="142" t="s">
        <v>15849</v>
      </c>
      <c r="F1744" s="142" t="s">
        <v>7587</v>
      </c>
      <c r="G1744" s="142" t="s">
        <v>7586</v>
      </c>
      <c r="H1744" s="142" t="s">
        <v>17594</v>
      </c>
      <c r="I1744" s="142">
        <v>396</v>
      </c>
      <c r="J1744" s="142">
        <v>209</v>
      </c>
      <c r="K1744" s="142">
        <v>0</v>
      </c>
      <c r="L1744" s="142">
        <v>87</v>
      </c>
      <c r="M1744" s="142">
        <v>100</v>
      </c>
    </row>
    <row r="1745" spans="1:13" x14ac:dyDescent="0.45">
      <c r="A1745" s="142" t="s">
        <v>13020</v>
      </c>
      <c r="B1745" s="142" t="s">
        <v>15523</v>
      </c>
      <c r="C1745" s="142" t="s">
        <v>15860</v>
      </c>
      <c r="D1745" s="142" t="s">
        <v>15861</v>
      </c>
      <c r="E1745" s="142" t="s">
        <v>15849</v>
      </c>
      <c r="F1745" s="142" t="s">
        <v>2179</v>
      </c>
      <c r="G1745" s="142" t="s">
        <v>2178</v>
      </c>
      <c r="H1745" s="142" t="s">
        <v>17595</v>
      </c>
      <c r="I1745" s="142">
        <v>44</v>
      </c>
      <c r="J1745" s="142">
        <v>0</v>
      </c>
      <c r="K1745" s="142">
        <v>0</v>
      </c>
      <c r="L1745" s="142">
        <v>44</v>
      </c>
      <c r="M1745" s="142">
        <v>0</v>
      </c>
    </row>
    <row r="1746" spans="1:13" x14ac:dyDescent="0.45">
      <c r="A1746" s="142" t="s">
        <v>13410</v>
      </c>
      <c r="B1746" s="142" t="s">
        <v>15311</v>
      </c>
      <c r="C1746" s="142" t="s">
        <v>15860</v>
      </c>
      <c r="D1746" s="142" t="s">
        <v>15861</v>
      </c>
      <c r="E1746" s="142" t="s">
        <v>15849</v>
      </c>
      <c r="F1746" s="142" t="s">
        <v>2179</v>
      </c>
      <c r="G1746" s="142" t="s">
        <v>2178</v>
      </c>
      <c r="H1746" s="142" t="s">
        <v>17596</v>
      </c>
      <c r="I1746" s="142">
        <v>32</v>
      </c>
      <c r="J1746" s="142">
        <v>0</v>
      </c>
      <c r="K1746" s="142">
        <v>0</v>
      </c>
      <c r="L1746" s="142">
        <v>32</v>
      </c>
      <c r="M1746" s="142">
        <v>0</v>
      </c>
    </row>
    <row r="1747" spans="1:13" x14ac:dyDescent="0.45">
      <c r="A1747" s="142" t="s">
        <v>13023</v>
      </c>
      <c r="B1747" s="142" t="s">
        <v>15571</v>
      </c>
      <c r="C1747" s="142" t="s">
        <v>15847</v>
      </c>
      <c r="D1747" s="142" t="s">
        <v>15848</v>
      </c>
      <c r="E1747" s="142" t="s">
        <v>15849</v>
      </c>
      <c r="F1747" s="142" t="s">
        <v>2179</v>
      </c>
      <c r="G1747" s="142" t="s">
        <v>2178</v>
      </c>
      <c r="H1747" s="142" t="s">
        <v>17597</v>
      </c>
      <c r="I1747" s="142">
        <v>260</v>
      </c>
      <c r="J1747" s="142">
        <v>0</v>
      </c>
      <c r="K1747" s="142">
        <v>0</v>
      </c>
      <c r="L1747" s="142">
        <v>249</v>
      </c>
      <c r="M1747" s="142">
        <v>11</v>
      </c>
    </row>
    <row r="1748" spans="1:13" x14ac:dyDescent="0.45">
      <c r="A1748" s="142" t="s">
        <v>13113</v>
      </c>
      <c r="B1748" s="142" t="s">
        <v>14503</v>
      </c>
      <c r="C1748" s="142" t="s">
        <v>15860</v>
      </c>
      <c r="D1748" s="142" t="s">
        <v>15861</v>
      </c>
      <c r="E1748" s="142" t="s">
        <v>15849</v>
      </c>
      <c r="F1748" s="142" t="s">
        <v>2179</v>
      </c>
      <c r="G1748" s="142" t="s">
        <v>2178</v>
      </c>
      <c r="H1748" s="142" t="s">
        <v>17598</v>
      </c>
      <c r="I1748" s="142">
        <v>5</v>
      </c>
      <c r="J1748" s="142">
        <v>5</v>
      </c>
      <c r="K1748" s="142">
        <v>0</v>
      </c>
      <c r="L1748" s="142">
        <v>0</v>
      </c>
      <c r="M1748" s="142">
        <v>0</v>
      </c>
    </row>
    <row r="1749" spans="1:13" x14ac:dyDescent="0.45">
      <c r="A1749" s="142" t="s">
        <v>13446</v>
      </c>
      <c r="B1749" s="142" t="s">
        <v>15430</v>
      </c>
      <c r="C1749" s="142" t="s">
        <v>15847</v>
      </c>
      <c r="D1749" s="142" t="s">
        <v>15848</v>
      </c>
      <c r="E1749" s="142" t="s">
        <v>15849</v>
      </c>
      <c r="F1749" s="142" t="s">
        <v>2179</v>
      </c>
      <c r="G1749" s="142" t="s">
        <v>2178</v>
      </c>
      <c r="H1749" s="142" t="s">
        <v>17599</v>
      </c>
      <c r="I1749" s="142">
        <v>868</v>
      </c>
      <c r="J1749" s="142">
        <v>578</v>
      </c>
      <c r="K1749" s="142">
        <v>0</v>
      </c>
      <c r="L1749" s="142">
        <v>0</v>
      </c>
      <c r="M1749" s="142">
        <v>290</v>
      </c>
    </row>
    <row r="1750" spans="1:13" x14ac:dyDescent="0.45">
      <c r="A1750" s="142" t="s">
        <v>13082</v>
      </c>
      <c r="B1750" s="142" t="s">
        <v>14478</v>
      </c>
      <c r="C1750" s="142" t="s">
        <v>15860</v>
      </c>
      <c r="D1750" s="142" t="s">
        <v>15861</v>
      </c>
      <c r="E1750" s="142" t="s">
        <v>15849</v>
      </c>
      <c r="F1750" s="142" t="s">
        <v>2179</v>
      </c>
      <c r="G1750" s="142" t="s">
        <v>2178</v>
      </c>
      <c r="H1750" s="142" t="s">
        <v>17600</v>
      </c>
      <c r="I1750" s="142">
        <v>6</v>
      </c>
      <c r="J1750" s="142">
        <v>0</v>
      </c>
      <c r="K1750" s="142">
        <v>0</v>
      </c>
      <c r="L1750" s="142">
        <v>6</v>
      </c>
      <c r="M1750" s="142">
        <v>0</v>
      </c>
    </row>
    <row r="1751" spans="1:13" x14ac:dyDescent="0.45">
      <c r="A1751" s="142" t="s">
        <v>13065</v>
      </c>
      <c r="B1751" s="142" t="s">
        <v>14497</v>
      </c>
      <c r="C1751" s="142" t="s">
        <v>15847</v>
      </c>
      <c r="D1751" s="142" t="s">
        <v>15848</v>
      </c>
      <c r="E1751" s="142" t="s">
        <v>15849</v>
      </c>
      <c r="F1751" s="142" t="s">
        <v>2179</v>
      </c>
      <c r="G1751" s="142" t="s">
        <v>2178</v>
      </c>
      <c r="H1751" s="142" t="s">
        <v>17601</v>
      </c>
      <c r="I1751" s="142">
        <v>4</v>
      </c>
      <c r="J1751" s="142">
        <v>0</v>
      </c>
      <c r="K1751" s="142">
        <v>0</v>
      </c>
      <c r="L1751" s="142">
        <v>4</v>
      </c>
      <c r="M1751" s="142">
        <v>0</v>
      </c>
    </row>
    <row r="1752" spans="1:13" x14ac:dyDescent="0.45">
      <c r="A1752" s="142" t="s">
        <v>13115</v>
      </c>
      <c r="B1752" s="142" t="s">
        <v>14508</v>
      </c>
      <c r="C1752" s="142" t="s">
        <v>15860</v>
      </c>
      <c r="D1752" s="142" t="s">
        <v>15861</v>
      </c>
      <c r="E1752" s="142" t="s">
        <v>15849</v>
      </c>
      <c r="F1752" s="142" t="s">
        <v>2179</v>
      </c>
      <c r="G1752" s="142" t="s">
        <v>2178</v>
      </c>
      <c r="H1752" s="142" t="s">
        <v>17602</v>
      </c>
      <c r="I1752" s="142">
        <v>21</v>
      </c>
      <c r="J1752" s="142">
        <v>0</v>
      </c>
      <c r="K1752" s="142">
        <v>0</v>
      </c>
      <c r="L1752" s="142">
        <v>21</v>
      </c>
      <c r="M1752" s="142">
        <v>0</v>
      </c>
    </row>
    <row r="1753" spans="1:13" x14ac:dyDescent="0.45">
      <c r="A1753" s="142" t="s">
        <v>13289</v>
      </c>
      <c r="B1753" s="142" t="s">
        <v>14423</v>
      </c>
      <c r="C1753" s="142" t="s">
        <v>15847</v>
      </c>
      <c r="D1753" s="142" t="s">
        <v>15848</v>
      </c>
      <c r="E1753" s="142" t="s">
        <v>15849</v>
      </c>
      <c r="F1753" s="142" t="s">
        <v>2179</v>
      </c>
      <c r="G1753" s="142" t="s">
        <v>2178</v>
      </c>
      <c r="H1753" s="142" t="s">
        <v>17603</v>
      </c>
      <c r="I1753" s="142">
        <v>117</v>
      </c>
      <c r="J1753" s="142">
        <v>81</v>
      </c>
      <c r="K1753" s="142">
        <v>0</v>
      </c>
      <c r="L1753" s="142">
        <v>0</v>
      </c>
      <c r="M1753" s="142">
        <v>36</v>
      </c>
    </row>
    <row r="1754" spans="1:13" x14ac:dyDescent="0.45">
      <c r="A1754" s="142" t="s">
        <v>13479</v>
      </c>
      <c r="B1754" s="142" t="s">
        <v>14919</v>
      </c>
      <c r="C1754" s="142" t="s">
        <v>15860</v>
      </c>
      <c r="D1754" s="142" t="s">
        <v>15861</v>
      </c>
      <c r="E1754" s="142" t="s">
        <v>15849</v>
      </c>
      <c r="F1754" s="142" t="s">
        <v>2179</v>
      </c>
      <c r="G1754" s="142" t="s">
        <v>2178</v>
      </c>
      <c r="H1754" s="142" t="s">
        <v>17604</v>
      </c>
      <c r="I1754" s="142">
        <v>10</v>
      </c>
      <c r="J1754" s="142">
        <v>10</v>
      </c>
      <c r="K1754" s="142">
        <v>0</v>
      </c>
      <c r="L1754" s="142">
        <v>0</v>
      </c>
      <c r="M1754" s="142">
        <v>0</v>
      </c>
    </row>
    <row r="1755" spans="1:13" x14ac:dyDescent="0.45">
      <c r="A1755" s="142" t="s">
        <v>13480</v>
      </c>
      <c r="B1755" s="142" t="s">
        <v>14869</v>
      </c>
      <c r="C1755" s="142" t="s">
        <v>15860</v>
      </c>
      <c r="D1755" s="142" t="s">
        <v>15861</v>
      </c>
      <c r="E1755" s="142" t="s">
        <v>15849</v>
      </c>
      <c r="F1755" s="142" t="s">
        <v>2179</v>
      </c>
      <c r="G1755" s="142" t="s">
        <v>2178</v>
      </c>
      <c r="H1755" s="142" t="s">
        <v>17605</v>
      </c>
      <c r="I1755" s="142">
        <v>15</v>
      </c>
      <c r="J1755" s="142">
        <v>0</v>
      </c>
      <c r="K1755" s="142">
        <v>0</v>
      </c>
      <c r="L1755" s="142">
        <v>15</v>
      </c>
      <c r="M1755" s="142">
        <v>0</v>
      </c>
    </row>
    <row r="1756" spans="1:13" x14ac:dyDescent="0.45">
      <c r="A1756" s="142" t="s">
        <v>13481</v>
      </c>
      <c r="B1756" s="142" t="s">
        <v>15464</v>
      </c>
      <c r="C1756" s="142" t="s">
        <v>15847</v>
      </c>
      <c r="D1756" s="142" t="s">
        <v>15848</v>
      </c>
      <c r="E1756" s="142" t="s">
        <v>15849</v>
      </c>
      <c r="F1756" s="142" t="s">
        <v>2179</v>
      </c>
      <c r="G1756" s="142" t="s">
        <v>2178</v>
      </c>
      <c r="H1756" s="142" t="s">
        <v>17606</v>
      </c>
      <c r="I1756" s="142">
        <v>5054</v>
      </c>
      <c r="J1756" s="142">
        <v>3804</v>
      </c>
      <c r="K1756" s="142">
        <v>0</v>
      </c>
      <c r="L1756" s="142">
        <v>1158</v>
      </c>
      <c r="M1756" s="142">
        <v>92</v>
      </c>
    </row>
    <row r="1757" spans="1:13" x14ac:dyDescent="0.45">
      <c r="A1757" s="142" t="s">
        <v>13000</v>
      </c>
      <c r="B1757" s="142" t="s">
        <v>14610</v>
      </c>
      <c r="C1757" s="142" t="s">
        <v>15847</v>
      </c>
      <c r="D1757" s="142" t="s">
        <v>15848</v>
      </c>
      <c r="E1757" s="142" t="s">
        <v>15849</v>
      </c>
      <c r="F1757" s="142" t="s">
        <v>2179</v>
      </c>
      <c r="G1757" s="142" t="s">
        <v>2178</v>
      </c>
      <c r="H1757" s="142" t="s">
        <v>17607</v>
      </c>
      <c r="I1757" s="142">
        <v>150</v>
      </c>
      <c r="J1757" s="142">
        <v>98</v>
      </c>
      <c r="K1757" s="142">
        <v>0</v>
      </c>
      <c r="L1757" s="142">
        <v>0</v>
      </c>
      <c r="M1757" s="142">
        <v>52</v>
      </c>
    </row>
    <row r="1758" spans="1:13" x14ac:dyDescent="0.45">
      <c r="A1758" s="142" t="s">
        <v>13099</v>
      </c>
      <c r="B1758" s="142" t="s">
        <v>14547</v>
      </c>
      <c r="C1758" s="142" t="s">
        <v>15860</v>
      </c>
      <c r="D1758" s="142" t="s">
        <v>15861</v>
      </c>
      <c r="E1758" s="142" t="s">
        <v>15849</v>
      </c>
      <c r="F1758" s="142" t="s">
        <v>2179</v>
      </c>
      <c r="G1758" s="142" t="s">
        <v>2178</v>
      </c>
      <c r="H1758" s="142" t="s">
        <v>17608</v>
      </c>
      <c r="I1758" s="142">
        <v>8</v>
      </c>
      <c r="J1758" s="142">
        <v>0</v>
      </c>
      <c r="K1758" s="142">
        <v>0</v>
      </c>
      <c r="L1758" s="142">
        <v>8</v>
      </c>
      <c r="M1758" s="142">
        <v>0</v>
      </c>
    </row>
    <row r="1759" spans="1:13" x14ac:dyDescent="0.45">
      <c r="A1759" s="142" t="s">
        <v>13482</v>
      </c>
      <c r="B1759" s="142" t="s">
        <v>14905</v>
      </c>
      <c r="C1759" s="142" t="s">
        <v>15860</v>
      </c>
      <c r="D1759" s="142" t="s">
        <v>15861</v>
      </c>
      <c r="E1759" s="142" t="s">
        <v>15849</v>
      </c>
      <c r="F1759" s="142" t="s">
        <v>2179</v>
      </c>
      <c r="G1759" s="142" t="s">
        <v>2178</v>
      </c>
      <c r="H1759" s="142" t="s">
        <v>17609</v>
      </c>
      <c r="I1759" s="142">
        <v>7</v>
      </c>
      <c r="J1759" s="142">
        <v>0</v>
      </c>
      <c r="K1759" s="142">
        <v>0</v>
      </c>
      <c r="L1759" s="142">
        <v>7</v>
      </c>
      <c r="M1759" s="142">
        <v>0</v>
      </c>
    </row>
    <row r="1760" spans="1:13" x14ac:dyDescent="0.45">
      <c r="A1760" s="142" t="s">
        <v>13148</v>
      </c>
      <c r="B1760" s="142" t="s">
        <v>15314</v>
      </c>
      <c r="C1760" s="142" t="s">
        <v>15847</v>
      </c>
      <c r="D1760" s="142" t="s">
        <v>15848</v>
      </c>
      <c r="E1760" s="142" t="s">
        <v>15849</v>
      </c>
      <c r="F1760" s="142" t="s">
        <v>2179</v>
      </c>
      <c r="G1760" s="142" t="s">
        <v>2178</v>
      </c>
      <c r="H1760" s="142" t="s">
        <v>17610</v>
      </c>
      <c r="I1760" s="142">
        <v>950</v>
      </c>
      <c r="J1760" s="142">
        <v>710</v>
      </c>
      <c r="K1760" s="142">
        <v>0</v>
      </c>
      <c r="L1760" s="142">
        <v>0</v>
      </c>
      <c r="M1760" s="142">
        <v>240</v>
      </c>
    </row>
    <row r="1761" spans="1:13" x14ac:dyDescent="0.45">
      <c r="A1761" s="142" t="s">
        <v>13149</v>
      </c>
      <c r="B1761" s="142" t="s">
        <v>14458</v>
      </c>
      <c r="C1761" s="142" t="s">
        <v>15860</v>
      </c>
      <c r="D1761" s="142" t="s">
        <v>15861</v>
      </c>
      <c r="E1761" s="142" t="s">
        <v>15849</v>
      </c>
      <c r="F1761" s="142" t="s">
        <v>2179</v>
      </c>
      <c r="G1761" s="142" t="s">
        <v>2178</v>
      </c>
      <c r="H1761" s="142" t="s">
        <v>17611</v>
      </c>
      <c r="I1761" s="142">
        <v>16</v>
      </c>
      <c r="J1761" s="142">
        <v>0</v>
      </c>
      <c r="K1761" s="142">
        <v>0</v>
      </c>
      <c r="L1761" s="142">
        <v>16</v>
      </c>
      <c r="M1761" s="142">
        <v>0</v>
      </c>
    </row>
    <row r="1762" spans="1:13" x14ac:dyDescent="0.45">
      <c r="A1762" s="142" t="s">
        <v>13483</v>
      </c>
      <c r="B1762" s="142" t="s">
        <v>15459</v>
      </c>
      <c r="C1762" s="142" t="s">
        <v>15847</v>
      </c>
      <c r="D1762" s="142" t="s">
        <v>15848</v>
      </c>
      <c r="E1762" s="142" t="s">
        <v>15849</v>
      </c>
      <c r="F1762" s="142" t="s">
        <v>2179</v>
      </c>
      <c r="G1762" s="142" t="s">
        <v>2178</v>
      </c>
      <c r="H1762" s="142" t="s">
        <v>17612</v>
      </c>
      <c r="I1762" s="142">
        <v>128</v>
      </c>
      <c r="J1762" s="142">
        <v>63</v>
      </c>
      <c r="K1762" s="142">
        <v>0</v>
      </c>
      <c r="L1762" s="142">
        <v>0</v>
      </c>
      <c r="M1762" s="142">
        <v>65</v>
      </c>
    </row>
    <row r="1763" spans="1:13" x14ac:dyDescent="0.45">
      <c r="A1763" s="142" t="s">
        <v>13028</v>
      </c>
      <c r="B1763" s="142" t="s">
        <v>14462</v>
      </c>
      <c r="C1763" s="142" t="s">
        <v>15847</v>
      </c>
      <c r="D1763" s="142" t="s">
        <v>15848</v>
      </c>
      <c r="E1763" s="142" t="s">
        <v>15849</v>
      </c>
      <c r="F1763" s="142" t="s">
        <v>2179</v>
      </c>
      <c r="G1763" s="142" t="s">
        <v>2178</v>
      </c>
      <c r="H1763" s="142" t="s">
        <v>17613</v>
      </c>
      <c r="I1763" s="142">
        <v>187</v>
      </c>
      <c r="J1763" s="142">
        <v>0</v>
      </c>
      <c r="K1763" s="142">
        <v>0</v>
      </c>
      <c r="L1763" s="142">
        <v>0</v>
      </c>
      <c r="M1763" s="142">
        <v>187</v>
      </c>
    </row>
    <row r="1764" spans="1:13" x14ac:dyDescent="0.45">
      <c r="A1764" s="142" t="s">
        <v>13160</v>
      </c>
      <c r="B1764" s="142" t="s">
        <v>14525</v>
      </c>
      <c r="C1764" s="142" t="s">
        <v>15847</v>
      </c>
      <c r="D1764" s="142" t="s">
        <v>15848</v>
      </c>
      <c r="E1764" s="142" t="s">
        <v>15849</v>
      </c>
      <c r="F1764" s="142" t="s">
        <v>2179</v>
      </c>
      <c r="G1764" s="142" t="s">
        <v>2178</v>
      </c>
      <c r="H1764" s="142" t="s">
        <v>17614</v>
      </c>
      <c r="I1764" s="142">
        <v>59</v>
      </c>
      <c r="J1764" s="142">
        <v>0</v>
      </c>
      <c r="K1764" s="142">
        <v>0</v>
      </c>
      <c r="L1764" s="142">
        <v>59</v>
      </c>
      <c r="M1764" s="142">
        <v>0</v>
      </c>
    </row>
    <row r="1765" spans="1:13" x14ac:dyDescent="0.45">
      <c r="A1765" s="142" t="s">
        <v>13484</v>
      </c>
      <c r="B1765" s="142" t="s">
        <v>15536</v>
      </c>
      <c r="C1765" s="142" t="s">
        <v>15847</v>
      </c>
      <c r="D1765" s="142" t="s">
        <v>15848</v>
      </c>
      <c r="E1765" s="142" t="s">
        <v>15849</v>
      </c>
      <c r="F1765" s="142" t="s">
        <v>2179</v>
      </c>
      <c r="G1765" s="142" t="s">
        <v>2178</v>
      </c>
      <c r="H1765" s="142" t="s">
        <v>17615</v>
      </c>
      <c r="I1765" s="142">
        <v>100</v>
      </c>
      <c r="J1765" s="142">
        <v>54</v>
      </c>
      <c r="K1765" s="142">
        <v>0</v>
      </c>
      <c r="L1765" s="142">
        <v>0</v>
      </c>
      <c r="M1765" s="142">
        <v>46</v>
      </c>
    </row>
    <row r="1766" spans="1:13" x14ac:dyDescent="0.45">
      <c r="A1766" s="142" t="s">
        <v>13066</v>
      </c>
      <c r="B1766" s="142" t="s">
        <v>14459</v>
      </c>
      <c r="C1766" s="142" t="s">
        <v>15847</v>
      </c>
      <c r="D1766" s="142" t="s">
        <v>15848</v>
      </c>
      <c r="E1766" s="142" t="s">
        <v>15849</v>
      </c>
      <c r="F1766" s="142" t="s">
        <v>2179</v>
      </c>
      <c r="G1766" s="142" t="s">
        <v>2178</v>
      </c>
      <c r="H1766" s="142" t="s">
        <v>17616</v>
      </c>
      <c r="I1766" s="142">
        <v>90</v>
      </c>
      <c r="J1766" s="142">
        <v>0</v>
      </c>
      <c r="K1766" s="142">
        <v>0</v>
      </c>
      <c r="L1766" s="142">
        <v>90</v>
      </c>
      <c r="M1766" s="142">
        <v>0</v>
      </c>
    </row>
    <row r="1767" spans="1:13" x14ac:dyDescent="0.45">
      <c r="A1767" s="142" t="s">
        <v>13291</v>
      </c>
      <c r="B1767" s="142" t="s">
        <v>15495</v>
      </c>
      <c r="C1767" s="142" t="s">
        <v>15847</v>
      </c>
      <c r="D1767" s="142" t="s">
        <v>15848</v>
      </c>
      <c r="E1767" s="142" t="s">
        <v>15849</v>
      </c>
      <c r="F1767" s="142" t="s">
        <v>2179</v>
      </c>
      <c r="G1767" s="142" t="s">
        <v>2178</v>
      </c>
      <c r="H1767" s="142" t="s">
        <v>17617</v>
      </c>
      <c r="I1767" s="142">
        <v>343</v>
      </c>
      <c r="J1767" s="142">
        <v>306</v>
      </c>
      <c r="K1767" s="142">
        <v>0</v>
      </c>
      <c r="L1767" s="142">
        <v>7</v>
      </c>
      <c r="M1767" s="142">
        <v>30</v>
      </c>
    </row>
    <row r="1768" spans="1:13" x14ac:dyDescent="0.45">
      <c r="A1768" s="142" t="s">
        <v>13178</v>
      </c>
      <c r="B1768" s="142" t="s">
        <v>14683</v>
      </c>
      <c r="C1768" s="142" t="s">
        <v>15847</v>
      </c>
      <c r="D1768" s="142" t="s">
        <v>15848</v>
      </c>
      <c r="E1768" s="142" t="s">
        <v>15849</v>
      </c>
      <c r="F1768" s="142" t="s">
        <v>2179</v>
      </c>
      <c r="G1768" s="142" t="s">
        <v>2178</v>
      </c>
      <c r="H1768" s="142" t="s">
        <v>17618</v>
      </c>
      <c r="I1768" s="142">
        <v>6</v>
      </c>
      <c r="J1768" s="142">
        <v>6</v>
      </c>
      <c r="K1768" s="142">
        <v>0</v>
      </c>
      <c r="L1768" s="142">
        <v>0</v>
      </c>
      <c r="M1768" s="142">
        <v>0</v>
      </c>
    </row>
    <row r="1769" spans="1:13" x14ac:dyDescent="0.45">
      <c r="A1769" s="142" t="s">
        <v>13076</v>
      </c>
      <c r="B1769" s="142" t="s">
        <v>14636</v>
      </c>
      <c r="C1769" s="142" t="s">
        <v>15847</v>
      </c>
      <c r="D1769" s="142" t="s">
        <v>15848</v>
      </c>
      <c r="E1769" s="142" t="s">
        <v>15849</v>
      </c>
      <c r="F1769" s="142" t="s">
        <v>2179</v>
      </c>
      <c r="G1769" s="142" t="s">
        <v>2178</v>
      </c>
      <c r="H1769" s="142" t="s">
        <v>17619</v>
      </c>
      <c r="I1769" s="142">
        <v>3</v>
      </c>
      <c r="J1769" s="142">
        <v>0</v>
      </c>
      <c r="K1769" s="142">
        <v>0</v>
      </c>
      <c r="L1769" s="142">
        <v>0</v>
      </c>
      <c r="M1769" s="142">
        <v>3</v>
      </c>
    </row>
    <row r="1770" spans="1:13" x14ac:dyDescent="0.45">
      <c r="A1770" s="142" t="s">
        <v>13274</v>
      </c>
      <c r="B1770" s="142" t="s">
        <v>14608</v>
      </c>
      <c r="C1770" s="142" t="s">
        <v>15860</v>
      </c>
      <c r="D1770" s="142" t="s">
        <v>15861</v>
      </c>
      <c r="E1770" s="142" t="s">
        <v>15849</v>
      </c>
      <c r="F1770" s="142" t="s">
        <v>2179</v>
      </c>
      <c r="G1770" s="142" t="s">
        <v>2178</v>
      </c>
      <c r="H1770" s="142" t="s">
        <v>17620</v>
      </c>
      <c r="I1770" s="142">
        <v>5</v>
      </c>
      <c r="J1770" s="142">
        <v>0</v>
      </c>
      <c r="K1770" s="142">
        <v>0</v>
      </c>
      <c r="L1770" s="142">
        <v>5</v>
      </c>
      <c r="M1770" s="142">
        <v>0</v>
      </c>
    </row>
    <row r="1771" spans="1:13" x14ac:dyDescent="0.45">
      <c r="A1771" s="142" t="s">
        <v>13005</v>
      </c>
      <c r="B1771" s="142" t="s">
        <v>15475</v>
      </c>
      <c r="C1771" s="142" t="s">
        <v>15847</v>
      </c>
      <c r="D1771" s="142" t="s">
        <v>15848</v>
      </c>
      <c r="E1771" s="142" t="s">
        <v>15849</v>
      </c>
      <c r="F1771" s="142" t="s">
        <v>2179</v>
      </c>
      <c r="G1771" s="142" t="s">
        <v>2178</v>
      </c>
      <c r="H1771" s="142" t="s">
        <v>17621</v>
      </c>
      <c r="I1771" s="142">
        <v>47</v>
      </c>
      <c r="J1771" s="142">
        <v>19</v>
      </c>
      <c r="K1771" s="142">
        <v>0</v>
      </c>
      <c r="L1771" s="142">
        <v>0</v>
      </c>
      <c r="M1771" s="142">
        <v>28</v>
      </c>
    </row>
    <row r="1772" spans="1:13" x14ac:dyDescent="0.45">
      <c r="A1772" s="142" t="s">
        <v>13029</v>
      </c>
      <c r="B1772" s="142" t="s">
        <v>14665</v>
      </c>
      <c r="C1772" s="142" t="s">
        <v>15847</v>
      </c>
      <c r="D1772" s="142" t="s">
        <v>15848</v>
      </c>
      <c r="E1772" s="142" t="s">
        <v>15849</v>
      </c>
      <c r="F1772" s="142" t="s">
        <v>2179</v>
      </c>
      <c r="G1772" s="142" t="s">
        <v>2178</v>
      </c>
      <c r="H1772" s="142" t="s">
        <v>17622</v>
      </c>
      <c r="I1772" s="142">
        <v>27</v>
      </c>
      <c r="J1772" s="142">
        <v>0</v>
      </c>
      <c r="K1772" s="142">
        <v>0</v>
      </c>
      <c r="L1772" s="142">
        <v>0</v>
      </c>
      <c r="M1772" s="142">
        <v>27</v>
      </c>
    </row>
    <row r="1773" spans="1:13" x14ac:dyDescent="0.45">
      <c r="A1773" s="142" t="s">
        <v>13485</v>
      </c>
      <c r="B1773" s="142" t="s">
        <v>15454</v>
      </c>
      <c r="C1773" s="142" t="s">
        <v>15847</v>
      </c>
      <c r="D1773" s="142" t="s">
        <v>15848</v>
      </c>
      <c r="E1773" s="142" t="s">
        <v>15849</v>
      </c>
      <c r="F1773" s="142" t="s">
        <v>2179</v>
      </c>
      <c r="G1773" s="142" t="s">
        <v>2178</v>
      </c>
      <c r="H1773" s="142" t="s">
        <v>17623</v>
      </c>
      <c r="I1773" s="142">
        <v>92</v>
      </c>
      <c r="J1773" s="142">
        <v>61</v>
      </c>
      <c r="K1773" s="142">
        <v>0</v>
      </c>
      <c r="L1773" s="142">
        <v>2</v>
      </c>
      <c r="M1773" s="142">
        <v>29</v>
      </c>
    </row>
    <row r="1774" spans="1:13" x14ac:dyDescent="0.45">
      <c r="A1774" s="142" t="s">
        <v>13249</v>
      </c>
      <c r="B1774" s="142" t="s">
        <v>14602</v>
      </c>
      <c r="C1774" s="142" t="s">
        <v>15847</v>
      </c>
      <c r="D1774" s="142" t="s">
        <v>15848</v>
      </c>
      <c r="E1774" s="142" t="s">
        <v>15849</v>
      </c>
      <c r="F1774" s="142" t="s">
        <v>2179</v>
      </c>
      <c r="G1774" s="142" t="s">
        <v>2178</v>
      </c>
      <c r="H1774" s="142" t="s">
        <v>17624</v>
      </c>
      <c r="I1774" s="142">
        <v>17</v>
      </c>
      <c r="J1774" s="142">
        <v>7</v>
      </c>
      <c r="K1774" s="142">
        <v>0</v>
      </c>
      <c r="L1774" s="142">
        <v>0</v>
      </c>
      <c r="M1774" s="142">
        <v>10</v>
      </c>
    </row>
    <row r="1775" spans="1:13" x14ac:dyDescent="0.45">
      <c r="A1775" s="142" t="s">
        <v>13284</v>
      </c>
      <c r="B1775" s="142" t="s">
        <v>15364</v>
      </c>
      <c r="C1775" s="142" t="s">
        <v>15847</v>
      </c>
      <c r="D1775" s="142" t="s">
        <v>15848</v>
      </c>
      <c r="E1775" s="142" t="s">
        <v>15849</v>
      </c>
      <c r="F1775" s="142" t="s">
        <v>2179</v>
      </c>
      <c r="G1775" s="142" t="s">
        <v>2178</v>
      </c>
      <c r="H1775" s="142" t="s">
        <v>17625</v>
      </c>
      <c r="I1775" s="142">
        <v>461</v>
      </c>
      <c r="J1775" s="142">
        <v>400</v>
      </c>
      <c r="K1775" s="142">
        <v>0</v>
      </c>
      <c r="L1775" s="142">
        <v>23</v>
      </c>
      <c r="M1775" s="142">
        <v>38</v>
      </c>
    </row>
    <row r="1776" spans="1:13" x14ac:dyDescent="0.45">
      <c r="A1776" s="142" t="s">
        <v>13486</v>
      </c>
      <c r="B1776" s="142" t="s">
        <v>14563</v>
      </c>
      <c r="C1776" s="142" t="s">
        <v>15847</v>
      </c>
      <c r="D1776" s="142" t="s">
        <v>15848</v>
      </c>
      <c r="E1776" s="142" t="s">
        <v>15849</v>
      </c>
      <c r="F1776" s="142" t="s">
        <v>2179</v>
      </c>
      <c r="G1776" s="142" t="s">
        <v>2178</v>
      </c>
      <c r="H1776" s="142" t="s">
        <v>17626</v>
      </c>
      <c r="I1776" s="142">
        <v>141</v>
      </c>
      <c r="J1776" s="142">
        <v>104</v>
      </c>
      <c r="K1776" s="142">
        <v>0</v>
      </c>
      <c r="L1776" s="142">
        <v>0</v>
      </c>
      <c r="M1776" s="142">
        <v>37</v>
      </c>
    </row>
    <row r="1777" spans="1:13" x14ac:dyDescent="0.45">
      <c r="A1777" s="142" t="s">
        <v>13276</v>
      </c>
      <c r="B1777" s="142" t="s">
        <v>15498</v>
      </c>
      <c r="C1777" s="142" t="s">
        <v>15847</v>
      </c>
      <c r="D1777" s="142" t="s">
        <v>15848</v>
      </c>
      <c r="E1777" s="142" t="s">
        <v>15849</v>
      </c>
      <c r="F1777" s="142" t="s">
        <v>2179</v>
      </c>
      <c r="G1777" s="142" t="s">
        <v>2178</v>
      </c>
      <c r="H1777" s="142" t="s">
        <v>17627</v>
      </c>
      <c r="I1777" s="142">
        <v>1084</v>
      </c>
      <c r="J1777" s="142">
        <v>716</v>
      </c>
      <c r="K1777" s="142">
        <v>0</v>
      </c>
      <c r="L1777" s="142">
        <v>275</v>
      </c>
      <c r="M1777" s="142">
        <v>93</v>
      </c>
    </row>
    <row r="1778" spans="1:13" x14ac:dyDescent="0.45">
      <c r="A1778" s="142" t="s">
        <v>13032</v>
      </c>
      <c r="B1778" s="142" t="s">
        <v>14532</v>
      </c>
      <c r="C1778" s="142" t="s">
        <v>15860</v>
      </c>
      <c r="D1778" s="142" t="s">
        <v>15861</v>
      </c>
      <c r="E1778" s="142" t="s">
        <v>15849</v>
      </c>
      <c r="F1778" s="142" t="s">
        <v>2179</v>
      </c>
      <c r="G1778" s="142" t="s">
        <v>2178</v>
      </c>
      <c r="H1778" s="142" t="s">
        <v>17628</v>
      </c>
      <c r="I1778" s="142">
        <v>2</v>
      </c>
      <c r="J1778" s="142">
        <v>0</v>
      </c>
      <c r="K1778" s="142">
        <v>0</v>
      </c>
      <c r="L1778" s="142">
        <v>2</v>
      </c>
      <c r="M1778" s="142">
        <v>0</v>
      </c>
    </row>
    <row r="1779" spans="1:13" x14ac:dyDescent="0.45">
      <c r="A1779" s="142" t="s">
        <v>13033</v>
      </c>
      <c r="B1779" s="142" t="s">
        <v>15276</v>
      </c>
      <c r="C1779" s="142" t="s">
        <v>15847</v>
      </c>
      <c r="D1779" s="142" t="s">
        <v>15848</v>
      </c>
      <c r="E1779" s="142" t="s">
        <v>15849</v>
      </c>
      <c r="F1779" s="142" t="s">
        <v>2179</v>
      </c>
      <c r="G1779" s="142" t="s">
        <v>2178</v>
      </c>
      <c r="H1779" s="142" t="s">
        <v>17629</v>
      </c>
      <c r="I1779" s="142">
        <v>271</v>
      </c>
      <c r="J1779" s="142">
        <v>163</v>
      </c>
      <c r="K1779" s="142">
        <v>0</v>
      </c>
      <c r="L1779" s="142">
        <v>72</v>
      </c>
      <c r="M1779" s="142">
        <v>36</v>
      </c>
    </row>
    <row r="1780" spans="1:13" x14ac:dyDescent="0.45">
      <c r="A1780" s="142" t="s">
        <v>13034</v>
      </c>
      <c r="B1780" s="142" t="s">
        <v>15562</v>
      </c>
      <c r="C1780" s="142" t="s">
        <v>15847</v>
      </c>
      <c r="D1780" s="142" t="s">
        <v>15848</v>
      </c>
      <c r="E1780" s="142" t="s">
        <v>15849</v>
      </c>
      <c r="F1780" s="142" t="s">
        <v>2179</v>
      </c>
      <c r="G1780" s="142" t="s">
        <v>2178</v>
      </c>
      <c r="H1780" s="142" t="s">
        <v>17630</v>
      </c>
      <c r="I1780" s="142">
        <v>31</v>
      </c>
      <c r="J1780" s="142">
        <v>0</v>
      </c>
      <c r="K1780" s="142">
        <v>0</v>
      </c>
      <c r="L1780" s="142">
        <v>31</v>
      </c>
      <c r="M1780" s="142">
        <v>0</v>
      </c>
    </row>
    <row r="1781" spans="1:13" x14ac:dyDescent="0.45">
      <c r="A1781" s="142" t="s">
        <v>13035</v>
      </c>
      <c r="B1781" s="142" t="s">
        <v>14648</v>
      </c>
      <c r="C1781" s="142" t="s">
        <v>15847</v>
      </c>
      <c r="D1781" s="142" t="s">
        <v>15848</v>
      </c>
      <c r="E1781" s="142" t="s">
        <v>15849</v>
      </c>
      <c r="F1781" s="142" t="s">
        <v>2179</v>
      </c>
      <c r="G1781" s="142" t="s">
        <v>2178</v>
      </c>
      <c r="H1781" s="142" t="s">
        <v>17631</v>
      </c>
      <c r="I1781" s="142">
        <v>11</v>
      </c>
      <c r="J1781" s="142">
        <v>0</v>
      </c>
      <c r="K1781" s="142">
        <v>0</v>
      </c>
      <c r="L1781" s="142">
        <v>0</v>
      </c>
      <c r="M1781" s="142">
        <v>11</v>
      </c>
    </row>
    <row r="1782" spans="1:13" x14ac:dyDescent="0.45">
      <c r="A1782" s="142" t="s">
        <v>13171</v>
      </c>
      <c r="B1782" s="142" t="s">
        <v>14523</v>
      </c>
      <c r="C1782" s="142" t="s">
        <v>15860</v>
      </c>
      <c r="D1782" s="142" t="s">
        <v>15861</v>
      </c>
      <c r="E1782" s="142" t="s">
        <v>15849</v>
      </c>
      <c r="F1782" s="142" t="s">
        <v>2179</v>
      </c>
      <c r="G1782" s="142" t="s">
        <v>2178</v>
      </c>
      <c r="H1782" s="142" t="s">
        <v>17632</v>
      </c>
      <c r="I1782" s="142">
        <v>5</v>
      </c>
      <c r="J1782" s="142">
        <v>5</v>
      </c>
      <c r="K1782" s="142">
        <v>0</v>
      </c>
      <c r="L1782" s="142">
        <v>0</v>
      </c>
      <c r="M1782" s="142">
        <v>0</v>
      </c>
    </row>
    <row r="1783" spans="1:13" x14ac:dyDescent="0.45">
      <c r="A1783" s="142" t="s">
        <v>13487</v>
      </c>
      <c r="B1783" s="142" t="s">
        <v>15490</v>
      </c>
      <c r="C1783" s="142" t="s">
        <v>15847</v>
      </c>
      <c r="D1783" s="142" t="s">
        <v>15848</v>
      </c>
      <c r="E1783" s="142" t="s">
        <v>15849</v>
      </c>
      <c r="F1783" s="142" t="s">
        <v>2179</v>
      </c>
      <c r="G1783" s="142" t="s">
        <v>2178</v>
      </c>
      <c r="H1783" s="142" t="s">
        <v>17633</v>
      </c>
      <c r="I1783" s="142">
        <v>4725</v>
      </c>
      <c r="J1783" s="142">
        <v>4114</v>
      </c>
      <c r="K1783" s="142">
        <v>0</v>
      </c>
      <c r="L1783" s="142">
        <v>210</v>
      </c>
      <c r="M1783" s="142">
        <v>401</v>
      </c>
    </row>
    <row r="1784" spans="1:13" x14ac:dyDescent="0.45">
      <c r="A1784" s="142" t="s">
        <v>13036</v>
      </c>
      <c r="B1784" s="142" t="s">
        <v>15567</v>
      </c>
      <c r="C1784" s="142" t="s">
        <v>15847</v>
      </c>
      <c r="D1784" s="142" t="s">
        <v>15848</v>
      </c>
      <c r="E1784" s="142" t="s">
        <v>15849</v>
      </c>
      <c r="F1784" s="142" t="s">
        <v>2179</v>
      </c>
      <c r="G1784" s="142" t="s">
        <v>2178</v>
      </c>
      <c r="H1784" s="142" t="s">
        <v>17634</v>
      </c>
      <c r="I1784" s="142">
        <v>4</v>
      </c>
      <c r="J1784" s="142">
        <v>0</v>
      </c>
      <c r="K1784" s="142">
        <v>0</v>
      </c>
      <c r="L1784" s="142">
        <v>4</v>
      </c>
      <c r="M1784" s="142">
        <v>0</v>
      </c>
    </row>
    <row r="1785" spans="1:13" x14ac:dyDescent="0.45">
      <c r="A1785" s="142" t="s">
        <v>13277</v>
      </c>
      <c r="B1785" s="142" t="s">
        <v>14454</v>
      </c>
      <c r="C1785" s="142" t="s">
        <v>15847</v>
      </c>
      <c r="D1785" s="142" t="s">
        <v>15848</v>
      </c>
      <c r="E1785" s="142" t="s">
        <v>15849</v>
      </c>
      <c r="F1785" s="142" t="s">
        <v>2179</v>
      </c>
      <c r="G1785" s="142" t="s">
        <v>2178</v>
      </c>
      <c r="H1785" s="142" t="s">
        <v>17635</v>
      </c>
      <c r="I1785" s="142">
        <v>920</v>
      </c>
      <c r="J1785" s="142">
        <v>817</v>
      </c>
      <c r="K1785" s="142">
        <v>0</v>
      </c>
      <c r="L1785" s="142">
        <v>58</v>
      </c>
      <c r="M1785" s="142">
        <v>45</v>
      </c>
    </row>
    <row r="1786" spans="1:13" x14ac:dyDescent="0.45">
      <c r="A1786" s="142" t="s">
        <v>13037</v>
      </c>
      <c r="B1786" s="142" t="s">
        <v>14519</v>
      </c>
      <c r="C1786" s="142" t="s">
        <v>15847</v>
      </c>
      <c r="D1786" s="142" t="s">
        <v>15848</v>
      </c>
      <c r="E1786" s="142" t="s">
        <v>15849</v>
      </c>
      <c r="F1786" s="142" t="s">
        <v>2179</v>
      </c>
      <c r="G1786" s="142" t="s">
        <v>2178</v>
      </c>
      <c r="H1786" s="142" t="s">
        <v>17636</v>
      </c>
      <c r="I1786" s="142">
        <v>5</v>
      </c>
      <c r="J1786" s="142">
        <v>0</v>
      </c>
      <c r="K1786" s="142">
        <v>0</v>
      </c>
      <c r="L1786" s="142">
        <v>5</v>
      </c>
      <c r="M1786" s="142">
        <v>0</v>
      </c>
    </row>
    <row r="1787" spans="1:13" x14ac:dyDescent="0.45">
      <c r="A1787" s="142" t="s">
        <v>13038</v>
      </c>
      <c r="B1787" s="142" t="s">
        <v>14646</v>
      </c>
      <c r="C1787" s="142" t="s">
        <v>15847</v>
      </c>
      <c r="D1787" s="142" t="s">
        <v>15848</v>
      </c>
      <c r="E1787" s="142" t="s">
        <v>15849</v>
      </c>
      <c r="F1787" s="142" t="s">
        <v>2179</v>
      </c>
      <c r="G1787" s="142" t="s">
        <v>2178</v>
      </c>
      <c r="H1787" s="142" t="s">
        <v>17637</v>
      </c>
      <c r="I1787" s="142">
        <v>81</v>
      </c>
      <c r="J1787" s="142">
        <v>24</v>
      </c>
      <c r="K1787" s="142">
        <v>0</v>
      </c>
      <c r="L1787" s="142">
        <v>0</v>
      </c>
      <c r="M1787" s="142">
        <v>57</v>
      </c>
    </row>
    <row r="1788" spans="1:13" x14ac:dyDescent="0.45">
      <c r="A1788" s="142" t="s">
        <v>13039</v>
      </c>
      <c r="B1788" s="142" t="s">
        <v>14647</v>
      </c>
      <c r="C1788" s="142" t="s">
        <v>15847</v>
      </c>
      <c r="D1788" s="142" t="s">
        <v>15848</v>
      </c>
      <c r="E1788" s="142" t="s">
        <v>15849</v>
      </c>
      <c r="F1788" s="142" t="s">
        <v>2179</v>
      </c>
      <c r="G1788" s="142" t="s">
        <v>2178</v>
      </c>
      <c r="H1788" s="142" t="s">
        <v>17638</v>
      </c>
      <c r="I1788" s="142">
        <v>131</v>
      </c>
      <c r="J1788" s="142">
        <v>131</v>
      </c>
      <c r="K1788" s="142">
        <v>0</v>
      </c>
      <c r="L1788" s="142">
        <v>0</v>
      </c>
      <c r="M1788" s="142">
        <v>0</v>
      </c>
    </row>
    <row r="1789" spans="1:13" x14ac:dyDescent="0.45">
      <c r="A1789" s="142" t="s">
        <v>13091</v>
      </c>
      <c r="B1789" s="142" t="s">
        <v>14473</v>
      </c>
      <c r="C1789" s="142" t="s">
        <v>15847</v>
      </c>
      <c r="D1789" s="142" t="s">
        <v>15848</v>
      </c>
      <c r="E1789" s="142" t="s">
        <v>15849</v>
      </c>
      <c r="F1789" s="142" t="s">
        <v>2179</v>
      </c>
      <c r="G1789" s="142" t="s">
        <v>2178</v>
      </c>
      <c r="H1789" s="142" t="s">
        <v>17639</v>
      </c>
      <c r="I1789" s="142">
        <v>13</v>
      </c>
      <c r="J1789" s="142">
        <v>0</v>
      </c>
      <c r="K1789" s="142">
        <v>0</v>
      </c>
      <c r="L1789" s="142">
        <v>13</v>
      </c>
      <c r="M1789" s="142">
        <v>0</v>
      </c>
    </row>
    <row r="1790" spans="1:13" x14ac:dyDescent="0.45">
      <c r="A1790" s="142" t="s">
        <v>13009</v>
      </c>
      <c r="B1790" s="142" t="s">
        <v>15256</v>
      </c>
      <c r="C1790" s="142" t="s">
        <v>15847</v>
      </c>
      <c r="D1790" s="142" t="s">
        <v>15848</v>
      </c>
      <c r="E1790" s="142" t="s">
        <v>15849</v>
      </c>
      <c r="F1790" s="142" t="s">
        <v>2179</v>
      </c>
      <c r="G1790" s="142" t="s">
        <v>2178</v>
      </c>
      <c r="H1790" s="142" t="s">
        <v>17640</v>
      </c>
      <c r="I1790" s="142">
        <v>484</v>
      </c>
      <c r="J1790" s="142">
        <v>343</v>
      </c>
      <c r="K1790" s="142">
        <v>0</v>
      </c>
      <c r="L1790" s="142">
        <v>81</v>
      </c>
      <c r="M1790" s="142">
        <v>60</v>
      </c>
    </row>
    <row r="1791" spans="1:13" x14ac:dyDescent="0.45">
      <c r="A1791" s="142" t="s">
        <v>13488</v>
      </c>
      <c r="B1791" s="142" t="s">
        <v>14826</v>
      </c>
      <c r="C1791" s="142" t="s">
        <v>15860</v>
      </c>
      <c r="D1791" s="142" t="s">
        <v>15861</v>
      </c>
      <c r="E1791" s="142" t="s">
        <v>15849</v>
      </c>
      <c r="F1791" s="142" t="s">
        <v>2179</v>
      </c>
      <c r="G1791" s="142" t="s">
        <v>2178</v>
      </c>
      <c r="H1791" s="142" t="s">
        <v>17641</v>
      </c>
      <c r="I1791" s="142">
        <v>29</v>
      </c>
      <c r="J1791" s="142">
        <v>0</v>
      </c>
      <c r="K1791" s="142">
        <v>0</v>
      </c>
      <c r="L1791" s="142">
        <v>29</v>
      </c>
      <c r="M1791" s="142">
        <v>0</v>
      </c>
    </row>
    <row r="1792" spans="1:13" x14ac:dyDescent="0.45">
      <c r="A1792" s="142" t="s">
        <v>13489</v>
      </c>
      <c r="B1792" s="142" t="s">
        <v>15473</v>
      </c>
      <c r="C1792" s="142" t="s">
        <v>15847</v>
      </c>
      <c r="D1792" s="142" t="s">
        <v>15848</v>
      </c>
      <c r="E1792" s="142" t="s">
        <v>15849</v>
      </c>
      <c r="F1792" s="142" t="s">
        <v>2179</v>
      </c>
      <c r="G1792" s="142" t="s">
        <v>2178</v>
      </c>
      <c r="H1792" s="142" t="s">
        <v>17642</v>
      </c>
      <c r="I1792" s="142">
        <v>116</v>
      </c>
      <c r="J1792" s="142">
        <v>62</v>
      </c>
      <c r="K1792" s="142">
        <v>0</v>
      </c>
      <c r="L1792" s="142">
        <v>0</v>
      </c>
      <c r="M1792" s="142">
        <v>54</v>
      </c>
    </row>
    <row r="1793" spans="1:13" x14ac:dyDescent="0.45">
      <c r="A1793" s="142" t="s">
        <v>13041</v>
      </c>
      <c r="B1793" s="142" t="s">
        <v>14441</v>
      </c>
      <c r="C1793" s="142" t="s">
        <v>15847</v>
      </c>
      <c r="D1793" s="142" t="s">
        <v>15848</v>
      </c>
      <c r="E1793" s="142" t="s">
        <v>15849</v>
      </c>
      <c r="F1793" s="142" t="s">
        <v>2179</v>
      </c>
      <c r="G1793" s="142" t="s">
        <v>2178</v>
      </c>
      <c r="H1793" s="142" t="s">
        <v>17643</v>
      </c>
      <c r="I1793" s="142">
        <v>144</v>
      </c>
      <c r="J1793" s="142">
        <v>0</v>
      </c>
      <c r="K1793" s="142">
        <v>0</v>
      </c>
      <c r="L1793" s="142">
        <v>0</v>
      </c>
      <c r="M1793" s="142">
        <v>144</v>
      </c>
    </row>
    <row r="1794" spans="1:13" x14ac:dyDescent="0.45">
      <c r="A1794" s="142" t="s">
        <v>13490</v>
      </c>
      <c r="B1794" s="142" t="s">
        <v>14901</v>
      </c>
      <c r="C1794" s="142" t="s">
        <v>15860</v>
      </c>
      <c r="D1794" s="142" t="s">
        <v>15861</v>
      </c>
      <c r="E1794" s="142" t="s">
        <v>15849</v>
      </c>
      <c r="F1794" s="142" t="s">
        <v>2179</v>
      </c>
      <c r="G1794" s="142" t="s">
        <v>2178</v>
      </c>
      <c r="H1794" s="142" t="s">
        <v>17644</v>
      </c>
      <c r="I1794" s="142">
        <v>12</v>
      </c>
      <c r="J1794" s="142">
        <v>0</v>
      </c>
      <c r="K1794" s="142">
        <v>0</v>
      </c>
      <c r="L1794" s="142">
        <v>12</v>
      </c>
      <c r="M1794" s="142">
        <v>0</v>
      </c>
    </row>
    <row r="1795" spans="1:13" x14ac:dyDescent="0.45">
      <c r="A1795" s="142" t="s">
        <v>13491</v>
      </c>
      <c r="B1795" s="142" t="s">
        <v>14520</v>
      </c>
      <c r="C1795" s="142" t="s">
        <v>15860</v>
      </c>
      <c r="D1795" s="142" t="s">
        <v>15861</v>
      </c>
      <c r="E1795" s="142" t="s">
        <v>15849</v>
      </c>
      <c r="F1795" s="142" t="s">
        <v>2179</v>
      </c>
      <c r="G1795" s="142" t="s">
        <v>2178</v>
      </c>
      <c r="H1795" s="142" t="s">
        <v>17645</v>
      </c>
      <c r="I1795" s="142">
        <v>44</v>
      </c>
      <c r="J1795" s="142">
        <v>0</v>
      </c>
      <c r="K1795" s="142">
        <v>0</v>
      </c>
      <c r="L1795" s="142">
        <v>44</v>
      </c>
      <c r="M1795" s="142">
        <v>0</v>
      </c>
    </row>
    <row r="1796" spans="1:13" x14ac:dyDescent="0.45">
      <c r="A1796" s="142" t="s">
        <v>13014</v>
      </c>
      <c r="B1796" s="142" t="s">
        <v>14505</v>
      </c>
      <c r="C1796" s="142" t="s">
        <v>15847</v>
      </c>
      <c r="D1796" s="142" t="s">
        <v>15848</v>
      </c>
      <c r="E1796" s="142" t="s">
        <v>15849</v>
      </c>
      <c r="F1796" s="142" t="s">
        <v>2179</v>
      </c>
      <c r="G1796" s="142" t="s">
        <v>2178</v>
      </c>
      <c r="H1796" s="142" t="s">
        <v>17646</v>
      </c>
      <c r="I1796" s="142">
        <v>5499</v>
      </c>
      <c r="J1796" s="142">
        <v>4414</v>
      </c>
      <c r="K1796" s="142">
        <v>0</v>
      </c>
      <c r="L1796" s="142">
        <v>986</v>
      </c>
      <c r="M1796" s="142">
        <v>99</v>
      </c>
    </row>
    <row r="1797" spans="1:13" x14ac:dyDescent="0.45">
      <c r="A1797" s="142" t="s">
        <v>13492</v>
      </c>
      <c r="B1797" s="142" t="s">
        <v>14891</v>
      </c>
      <c r="C1797" s="142" t="s">
        <v>15860</v>
      </c>
      <c r="D1797" s="142" t="s">
        <v>15861</v>
      </c>
      <c r="E1797" s="142" t="s">
        <v>15849</v>
      </c>
      <c r="F1797" s="142" t="s">
        <v>2179</v>
      </c>
      <c r="G1797" s="142" t="s">
        <v>2178</v>
      </c>
      <c r="H1797" s="142" t="s">
        <v>17647</v>
      </c>
      <c r="I1797" s="142">
        <v>6</v>
      </c>
      <c r="J1797" s="142">
        <v>0</v>
      </c>
      <c r="K1797" s="142">
        <v>0</v>
      </c>
      <c r="L1797" s="142">
        <v>6</v>
      </c>
      <c r="M1797" s="142">
        <v>0</v>
      </c>
    </row>
    <row r="1798" spans="1:13" x14ac:dyDescent="0.45">
      <c r="A1798" s="142" t="s">
        <v>13042</v>
      </c>
      <c r="B1798" s="142" t="s">
        <v>15489</v>
      </c>
      <c r="C1798" s="142" t="s">
        <v>15847</v>
      </c>
      <c r="D1798" s="142" t="s">
        <v>15848</v>
      </c>
      <c r="E1798" s="142" t="s">
        <v>15849</v>
      </c>
      <c r="F1798" s="142" t="s">
        <v>2179</v>
      </c>
      <c r="G1798" s="142" t="s">
        <v>2178</v>
      </c>
      <c r="H1798" s="142" t="s">
        <v>17648</v>
      </c>
      <c r="I1798" s="142">
        <v>589</v>
      </c>
      <c r="J1798" s="142">
        <v>539</v>
      </c>
      <c r="K1798" s="142">
        <v>0</v>
      </c>
      <c r="L1798" s="142">
        <v>3</v>
      </c>
      <c r="M1798" s="142">
        <v>47</v>
      </c>
    </row>
    <row r="1799" spans="1:13" x14ac:dyDescent="0.45">
      <c r="A1799" s="142" t="s">
        <v>13493</v>
      </c>
      <c r="B1799" s="142" t="s">
        <v>14639</v>
      </c>
      <c r="C1799" s="142" t="s">
        <v>15847</v>
      </c>
      <c r="D1799" s="142" t="s">
        <v>15848</v>
      </c>
      <c r="E1799" s="142" t="s">
        <v>15849</v>
      </c>
      <c r="F1799" s="142" t="s">
        <v>2179</v>
      </c>
      <c r="G1799" s="142" t="s">
        <v>2178</v>
      </c>
      <c r="H1799" s="142" t="s">
        <v>17649</v>
      </c>
      <c r="I1799" s="142">
        <v>291</v>
      </c>
      <c r="J1799" s="142">
        <v>162</v>
      </c>
      <c r="K1799" s="142">
        <v>0</v>
      </c>
      <c r="L1799" s="142">
        <v>0</v>
      </c>
      <c r="M1799" s="142">
        <v>129</v>
      </c>
    </row>
    <row r="1800" spans="1:13" x14ac:dyDescent="0.45">
      <c r="A1800" s="142" t="s">
        <v>13494</v>
      </c>
      <c r="B1800" s="142" t="s">
        <v>15442</v>
      </c>
      <c r="C1800" s="142" t="s">
        <v>15847</v>
      </c>
      <c r="D1800" s="142" t="s">
        <v>15848</v>
      </c>
      <c r="E1800" s="142" t="s">
        <v>15849</v>
      </c>
      <c r="F1800" s="142" t="s">
        <v>2179</v>
      </c>
      <c r="G1800" s="142" t="s">
        <v>2178</v>
      </c>
      <c r="H1800" s="142" t="s">
        <v>17650</v>
      </c>
      <c r="I1800" s="142">
        <v>352</v>
      </c>
      <c r="J1800" s="142">
        <v>256</v>
      </c>
      <c r="K1800" s="142">
        <v>0</v>
      </c>
      <c r="L1800" s="142">
        <v>0</v>
      </c>
      <c r="M1800" s="142">
        <v>96</v>
      </c>
    </row>
    <row r="1801" spans="1:13" x14ac:dyDescent="0.45">
      <c r="A1801" s="142" t="s">
        <v>13495</v>
      </c>
      <c r="B1801" s="142" t="s">
        <v>15426</v>
      </c>
      <c r="C1801" s="142" t="s">
        <v>15847</v>
      </c>
      <c r="D1801" s="142" t="s">
        <v>15848</v>
      </c>
      <c r="E1801" s="142" t="s">
        <v>15849</v>
      </c>
      <c r="F1801" s="142" t="s">
        <v>2179</v>
      </c>
      <c r="G1801" s="142" t="s">
        <v>2178</v>
      </c>
      <c r="H1801" s="142" t="s">
        <v>17651</v>
      </c>
      <c r="I1801" s="142">
        <v>117</v>
      </c>
      <c r="J1801" s="142">
        <v>70</v>
      </c>
      <c r="K1801" s="142">
        <v>0</v>
      </c>
      <c r="L1801" s="142">
        <v>0</v>
      </c>
      <c r="M1801" s="142">
        <v>47</v>
      </c>
    </row>
    <row r="1802" spans="1:13" x14ac:dyDescent="0.45">
      <c r="A1802" s="142" t="s">
        <v>13496</v>
      </c>
      <c r="B1802" s="142" t="s">
        <v>15220</v>
      </c>
      <c r="C1802" s="142" t="s">
        <v>15860</v>
      </c>
      <c r="D1802" s="142" t="s">
        <v>15861</v>
      </c>
      <c r="E1802" s="142" t="s">
        <v>15849</v>
      </c>
      <c r="F1802" s="142" t="s">
        <v>2179</v>
      </c>
      <c r="G1802" s="142" t="s">
        <v>2178</v>
      </c>
      <c r="H1802" s="142" t="s">
        <v>17652</v>
      </c>
      <c r="I1802" s="142">
        <v>77</v>
      </c>
      <c r="J1802" s="142">
        <v>0</v>
      </c>
      <c r="K1802" s="142">
        <v>0</v>
      </c>
      <c r="L1802" s="142">
        <v>77</v>
      </c>
      <c r="M1802" s="142">
        <v>0</v>
      </c>
    </row>
    <row r="1803" spans="1:13" x14ac:dyDescent="0.45">
      <c r="A1803" s="142" t="s">
        <v>13286</v>
      </c>
      <c r="B1803" s="142" t="s">
        <v>15342</v>
      </c>
      <c r="C1803" s="142" t="s">
        <v>15847</v>
      </c>
      <c r="D1803" s="142" t="s">
        <v>15848</v>
      </c>
      <c r="E1803" s="142" t="s">
        <v>15849</v>
      </c>
      <c r="F1803" s="142" t="s">
        <v>2179</v>
      </c>
      <c r="G1803" s="142" t="s">
        <v>2178</v>
      </c>
      <c r="H1803" s="142" t="s">
        <v>17653</v>
      </c>
      <c r="I1803" s="142">
        <v>763</v>
      </c>
      <c r="J1803" s="142">
        <v>620</v>
      </c>
      <c r="K1803" s="142">
        <v>0</v>
      </c>
      <c r="L1803" s="142">
        <v>107</v>
      </c>
      <c r="M1803" s="142">
        <v>36</v>
      </c>
    </row>
    <row r="1804" spans="1:13" x14ac:dyDescent="0.45">
      <c r="A1804" s="142" t="s">
        <v>13410</v>
      </c>
      <c r="B1804" s="142" t="s">
        <v>15311</v>
      </c>
      <c r="C1804" s="142" t="s">
        <v>15860</v>
      </c>
      <c r="D1804" s="142" t="s">
        <v>15861</v>
      </c>
      <c r="E1804" s="142" t="s">
        <v>15849</v>
      </c>
      <c r="F1804" s="142" t="s">
        <v>2221</v>
      </c>
      <c r="G1804" s="142" t="s">
        <v>2220</v>
      </c>
      <c r="H1804" s="142" t="s">
        <v>17654</v>
      </c>
      <c r="I1804" s="142">
        <v>51</v>
      </c>
      <c r="J1804" s="142">
        <v>0</v>
      </c>
      <c r="K1804" s="142">
        <v>0</v>
      </c>
      <c r="L1804" s="142">
        <v>51</v>
      </c>
      <c r="M1804" s="142">
        <v>0</v>
      </c>
    </row>
    <row r="1805" spans="1:13" x14ac:dyDescent="0.45">
      <c r="A1805" s="142" t="s">
        <v>13023</v>
      </c>
      <c r="B1805" s="142" t="s">
        <v>15571</v>
      </c>
      <c r="C1805" s="142" t="s">
        <v>15847</v>
      </c>
      <c r="D1805" s="142" t="s">
        <v>15848</v>
      </c>
      <c r="E1805" s="142" t="s">
        <v>15849</v>
      </c>
      <c r="F1805" s="142" t="s">
        <v>2221</v>
      </c>
      <c r="G1805" s="142" t="s">
        <v>2220</v>
      </c>
      <c r="H1805" s="142" t="s">
        <v>17655</v>
      </c>
      <c r="I1805" s="142">
        <v>48</v>
      </c>
      <c r="J1805" s="142">
        <v>0</v>
      </c>
      <c r="K1805" s="142">
        <v>0</v>
      </c>
      <c r="L1805" s="142">
        <v>48</v>
      </c>
      <c r="M1805" s="142">
        <v>0</v>
      </c>
    </row>
    <row r="1806" spans="1:13" x14ac:dyDescent="0.45">
      <c r="A1806" s="142" t="s">
        <v>13446</v>
      </c>
      <c r="B1806" s="142" t="s">
        <v>15430</v>
      </c>
      <c r="C1806" s="142" t="s">
        <v>15847</v>
      </c>
      <c r="D1806" s="142" t="s">
        <v>15848</v>
      </c>
      <c r="E1806" s="142" t="s">
        <v>15849</v>
      </c>
      <c r="F1806" s="142" t="s">
        <v>2221</v>
      </c>
      <c r="G1806" s="142" t="s">
        <v>2220</v>
      </c>
      <c r="H1806" s="142" t="s">
        <v>17656</v>
      </c>
      <c r="I1806" s="142">
        <v>73</v>
      </c>
      <c r="J1806" s="142">
        <v>48</v>
      </c>
      <c r="K1806" s="142">
        <v>0</v>
      </c>
      <c r="L1806" s="142">
        <v>0</v>
      </c>
      <c r="M1806" s="142">
        <v>25</v>
      </c>
    </row>
    <row r="1807" spans="1:13" x14ac:dyDescent="0.45">
      <c r="A1807" s="142" t="s">
        <v>13082</v>
      </c>
      <c r="B1807" s="142" t="s">
        <v>14478</v>
      </c>
      <c r="C1807" s="142" t="s">
        <v>15860</v>
      </c>
      <c r="D1807" s="142" t="s">
        <v>15861</v>
      </c>
      <c r="E1807" s="142" t="s">
        <v>15849</v>
      </c>
      <c r="F1807" s="142" t="s">
        <v>2221</v>
      </c>
      <c r="G1807" s="142" t="s">
        <v>2220</v>
      </c>
      <c r="H1807" s="142" t="s">
        <v>17657</v>
      </c>
      <c r="I1807" s="142">
        <v>11</v>
      </c>
      <c r="J1807" s="142">
        <v>0</v>
      </c>
      <c r="K1807" s="142">
        <v>0</v>
      </c>
      <c r="L1807" s="142">
        <v>11</v>
      </c>
      <c r="M1807" s="142">
        <v>0</v>
      </c>
    </row>
    <row r="1808" spans="1:13" x14ac:dyDescent="0.45">
      <c r="A1808" s="142" t="s">
        <v>13065</v>
      </c>
      <c r="B1808" s="142" t="s">
        <v>14497</v>
      </c>
      <c r="C1808" s="142" t="s">
        <v>15847</v>
      </c>
      <c r="D1808" s="142" t="s">
        <v>15848</v>
      </c>
      <c r="E1808" s="142" t="s">
        <v>15849</v>
      </c>
      <c r="F1808" s="142" t="s">
        <v>2221</v>
      </c>
      <c r="G1808" s="142" t="s">
        <v>2220</v>
      </c>
      <c r="H1808" s="142" t="s">
        <v>17658</v>
      </c>
      <c r="I1808" s="142">
        <v>21</v>
      </c>
      <c r="J1808" s="142">
        <v>0</v>
      </c>
      <c r="K1808" s="142">
        <v>0</v>
      </c>
      <c r="L1808" s="142">
        <v>21</v>
      </c>
      <c r="M1808" s="142">
        <v>0</v>
      </c>
    </row>
    <row r="1809" spans="1:13" x14ac:dyDescent="0.45">
      <c r="A1809" s="142" t="s">
        <v>13498</v>
      </c>
      <c r="B1809" s="142" t="s">
        <v>15321</v>
      </c>
      <c r="C1809" s="142" t="s">
        <v>15860</v>
      </c>
      <c r="D1809" s="142" t="s">
        <v>15861</v>
      </c>
      <c r="E1809" s="142" t="s">
        <v>15849</v>
      </c>
      <c r="F1809" s="142" t="s">
        <v>2221</v>
      </c>
      <c r="G1809" s="142" t="s">
        <v>2220</v>
      </c>
      <c r="H1809" s="142" t="s">
        <v>17659</v>
      </c>
      <c r="I1809" s="142">
        <v>26</v>
      </c>
      <c r="J1809" s="142">
        <v>0</v>
      </c>
      <c r="K1809" s="142">
        <v>0</v>
      </c>
      <c r="L1809" s="142">
        <v>26</v>
      </c>
      <c r="M1809" s="142">
        <v>0</v>
      </c>
    </row>
    <row r="1810" spans="1:13" x14ac:dyDescent="0.45">
      <c r="A1810" s="142" t="s">
        <v>13481</v>
      </c>
      <c r="B1810" s="142" t="s">
        <v>15464</v>
      </c>
      <c r="C1810" s="142" t="s">
        <v>15847</v>
      </c>
      <c r="D1810" s="142" t="s">
        <v>15848</v>
      </c>
      <c r="E1810" s="142" t="s">
        <v>15849</v>
      </c>
      <c r="F1810" s="142" t="s">
        <v>2221</v>
      </c>
      <c r="G1810" s="142" t="s">
        <v>2220</v>
      </c>
      <c r="H1810" s="142" t="s">
        <v>17660</v>
      </c>
      <c r="I1810" s="142">
        <v>42</v>
      </c>
      <c r="J1810" s="142">
        <v>22</v>
      </c>
      <c r="K1810" s="142">
        <v>0</v>
      </c>
      <c r="L1810" s="142">
        <v>0</v>
      </c>
      <c r="M1810" s="142">
        <v>20</v>
      </c>
    </row>
    <row r="1811" spans="1:13" x14ac:dyDescent="0.45">
      <c r="A1811" s="142" t="s">
        <v>13000</v>
      </c>
      <c r="B1811" s="142" t="s">
        <v>14610</v>
      </c>
      <c r="C1811" s="142" t="s">
        <v>15847</v>
      </c>
      <c r="D1811" s="142" t="s">
        <v>15848</v>
      </c>
      <c r="E1811" s="142" t="s">
        <v>15849</v>
      </c>
      <c r="F1811" s="142" t="s">
        <v>2221</v>
      </c>
      <c r="G1811" s="142" t="s">
        <v>2220</v>
      </c>
      <c r="H1811" s="142" t="s">
        <v>17661</v>
      </c>
      <c r="I1811" s="142">
        <v>72</v>
      </c>
      <c r="J1811" s="142">
        <v>33</v>
      </c>
      <c r="K1811" s="142">
        <v>0</v>
      </c>
      <c r="L1811" s="142">
        <v>0</v>
      </c>
      <c r="M1811" s="142">
        <v>39</v>
      </c>
    </row>
    <row r="1812" spans="1:13" x14ac:dyDescent="0.45">
      <c r="A1812" s="142" t="s">
        <v>13085</v>
      </c>
      <c r="B1812" s="142" t="s">
        <v>14460</v>
      </c>
      <c r="C1812" s="142" t="s">
        <v>15860</v>
      </c>
      <c r="D1812" s="142" t="s">
        <v>15861</v>
      </c>
      <c r="E1812" s="142" t="s">
        <v>15849</v>
      </c>
      <c r="F1812" s="142" t="s">
        <v>2221</v>
      </c>
      <c r="G1812" s="142" t="s">
        <v>2220</v>
      </c>
      <c r="H1812" s="142" t="s">
        <v>17662</v>
      </c>
      <c r="I1812" s="142">
        <v>9</v>
      </c>
      <c r="J1812" s="142">
        <v>0</v>
      </c>
      <c r="K1812" s="142">
        <v>0</v>
      </c>
      <c r="L1812" s="142">
        <v>9</v>
      </c>
      <c r="M1812" s="142">
        <v>0</v>
      </c>
    </row>
    <row r="1813" spans="1:13" x14ac:dyDescent="0.45">
      <c r="A1813" s="142" t="s">
        <v>13099</v>
      </c>
      <c r="B1813" s="142" t="s">
        <v>14547</v>
      </c>
      <c r="C1813" s="142" t="s">
        <v>15860</v>
      </c>
      <c r="D1813" s="142" t="s">
        <v>15861</v>
      </c>
      <c r="E1813" s="142" t="s">
        <v>15849</v>
      </c>
      <c r="F1813" s="142" t="s">
        <v>2221</v>
      </c>
      <c r="G1813" s="142" t="s">
        <v>2220</v>
      </c>
      <c r="H1813" s="142" t="s">
        <v>17663</v>
      </c>
      <c r="I1813" s="142">
        <v>2</v>
      </c>
      <c r="J1813" s="142">
        <v>0</v>
      </c>
      <c r="K1813" s="142">
        <v>0</v>
      </c>
      <c r="L1813" s="142">
        <v>2</v>
      </c>
      <c r="M1813" s="142">
        <v>0</v>
      </c>
    </row>
    <row r="1814" spans="1:13" x14ac:dyDescent="0.45">
      <c r="A1814" s="142" t="s">
        <v>13074</v>
      </c>
      <c r="B1814" s="142" t="s">
        <v>15405</v>
      </c>
      <c r="C1814" s="142" t="s">
        <v>15847</v>
      </c>
      <c r="D1814" s="142" t="s">
        <v>15848</v>
      </c>
      <c r="E1814" s="142" t="s">
        <v>15849</v>
      </c>
      <c r="F1814" s="142" t="s">
        <v>2221</v>
      </c>
      <c r="G1814" s="142" t="s">
        <v>2220</v>
      </c>
      <c r="H1814" s="142" t="s">
        <v>17664</v>
      </c>
      <c r="I1814" s="142">
        <v>4</v>
      </c>
      <c r="J1814" s="142">
        <v>4</v>
      </c>
      <c r="K1814" s="142">
        <v>0</v>
      </c>
      <c r="L1814" s="142">
        <v>0</v>
      </c>
      <c r="M1814" s="142">
        <v>0</v>
      </c>
    </row>
    <row r="1815" spans="1:13" x14ac:dyDescent="0.45">
      <c r="A1815" s="142" t="s">
        <v>13168</v>
      </c>
      <c r="B1815" s="142" t="s">
        <v>14486</v>
      </c>
      <c r="C1815" s="142" t="s">
        <v>15860</v>
      </c>
      <c r="D1815" s="142" t="s">
        <v>15861</v>
      </c>
      <c r="E1815" s="142" t="s">
        <v>15849</v>
      </c>
      <c r="F1815" s="142" t="s">
        <v>2221</v>
      </c>
      <c r="G1815" s="142" t="s">
        <v>2220</v>
      </c>
      <c r="H1815" s="142" t="s">
        <v>17665</v>
      </c>
      <c r="I1815" s="142">
        <v>2</v>
      </c>
      <c r="J1815" s="142">
        <v>0</v>
      </c>
      <c r="K1815" s="142">
        <v>0</v>
      </c>
      <c r="L1815" s="142">
        <v>2</v>
      </c>
      <c r="M1815" s="142">
        <v>0</v>
      </c>
    </row>
    <row r="1816" spans="1:13" x14ac:dyDescent="0.45">
      <c r="A1816" s="142" t="s">
        <v>13499</v>
      </c>
      <c r="B1816" s="142" t="s">
        <v>15479</v>
      </c>
      <c r="C1816" s="142" t="s">
        <v>15847</v>
      </c>
      <c r="D1816" s="142" t="s">
        <v>15848</v>
      </c>
      <c r="E1816" s="142" t="s">
        <v>15849</v>
      </c>
      <c r="F1816" s="142" t="s">
        <v>2221</v>
      </c>
      <c r="G1816" s="142" t="s">
        <v>2220</v>
      </c>
      <c r="H1816" s="142" t="s">
        <v>17666</v>
      </c>
      <c r="I1816" s="142">
        <v>219</v>
      </c>
      <c r="J1816" s="142">
        <v>159</v>
      </c>
      <c r="K1816" s="142">
        <v>0</v>
      </c>
      <c r="L1816" s="142">
        <v>0</v>
      </c>
      <c r="M1816" s="142">
        <v>60</v>
      </c>
    </row>
    <row r="1817" spans="1:13" x14ac:dyDescent="0.45">
      <c r="A1817" s="142" t="s">
        <v>13500</v>
      </c>
      <c r="B1817" s="142" t="s">
        <v>15422</v>
      </c>
      <c r="C1817" s="142" t="s">
        <v>15847</v>
      </c>
      <c r="D1817" s="142" t="s">
        <v>15848</v>
      </c>
      <c r="E1817" s="142" t="s">
        <v>15849</v>
      </c>
      <c r="F1817" s="142" t="s">
        <v>2221</v>
      </c>
      <c r="G1817" s="142" t="s">
        <v>2220</v>
      </c>
      <c r="H1817" s="142" t="s">
        <v>17667</v>
      </c>
      <c r="I1817" s="142">
        <v>143</v>
      </c>
      <c r="J1817" s="142">
        <v>0</v>
      </c>
      <c r="K1817" s="142">
        <v>142</v>
      </c>
      <c r="L1817" s="142">
        <v>0</v>
      </c>
      <c r="M1817" s="142">
        <v>1</v>
      </c>
    </row>
    <row r="1818" spans="1:13" x14ac:dyDescent="0.45">
      <c r="A1818" s="142" t="s">
        <v>13027</v>
      </c>
      <c r="B1818" s="142" t="s">
        <v>14562</v>
      </c>
      <c r="C1818" s="142" t="s">
        <v>15847</v>
      </c>
      <c r="D1818" s="142" t="s">
        <v>15848</v>
      </c>
      <c r="E1818" s="142" t="s">
        <v>15849</v>
      </c>
      <c r="F1818" s="142" t="s">
        <v>2221</v>
      </c>
      <c r="G1818" s="142" t="s">
        <v>2220</v>
      </c>
      <c r="H1818" s="142" t="s">
        <v>17668</v>
      </c>
      <c r="I1818" s="142">
        <v>40</v>
      </c>
      <c r="J1818" s="142">
        <v>0</v>
      </c>
      <c r="K1818" s="142">
        <v>0</v>
      </c>
      <c r="L1818" s="142">
        <v>40</v>
      </c>
      <c r="M1818" s="142">
        <v>0</v>
      </c>
    </row>
    <row r="1819" spans="1:13" x14ac:dyDescent="0.45">
      <c r="A1819" s="142" t="s">
        <v>13148</v>
      </c>
      <c r="B1819" s="142" t="s">
        <v>15314</v>
      </c>
      <c r="C1819" s="142" t="s">
        <v>15847</v>
      </c>
      <c r="D1819" s="142" t="s">
        <v>15848</v>
      </c>
      <c r="E1819" s="142" t="s">
        <v>15849</v>
      </c>
      <c r="F1819" s="142" t="s">
        <v>2221</v>
      </c>
      <c r="G1819" s="142" t="s">
        <v>2220</v>
      </c>
      <c r="H1819" s="142" t="s">
        <v>17669</v>
      </c>
      <c r="I1819" s="142">
        <v>400</v>
      </c>
      <c r="J1819" s="142">
        <v>207</v>
      </c>
      <c r="K1819" s="142">
        <v>0</v>
      </c>
      <c r="L1819" s="142">
        <v>7</v>
      </c>
      <c r="M1819" s="142">
        <v>186</v>
      </c>
    </row>
    <row r="1820" spans="1:13" x14ac:dyDescent="0.45">
      <c r="A1820" s="142" t="s">
        <v>13501</v>
      </c>
      <c r="B1820" s="142" t="s">
        <v>14703</v>
      </c>
      <c r="C1820" s="142" t="s">
        <v>15860</v>
      </c>
      <c r="D1820" s="142" t="s">
        <v>15861</v>
      </c>
      <c r="E1820" s="142" t="s">
        <v>15849</v>
      </c>
      <c r="F1820" s="142" t="s">
        <v>2221</v>
      </c>
      <c r="G1820" s="142" t="s">
        <v>2220</v>
      </c>
      <c r="H1820" s="142" t="s">
        <v>17670</v>
      </c>
      <c r="I1820" s="142">
        <v>14</v>
      </c>
      <c r="J1820" s="142">
        <v>7</v>
      </c>
      <c r="K1820" s="142">
        <v>0</v>
      </c>
      <c r="L1820" s="142">
        <v>7</v>
      </c>
      <c r="M1820" s="142">
        <v>0</v>
      </c>
    </row>
    <row r="1821" spans="1:13" x14ac:dyDescent="0.45">
      <c r="A1821" s="142" t="s">
        <v>13149</v>
      </c>
      <c r="B1821" s="142" t="s">
        <v>14458</v>
      </c>
      <c r="C1821" s="142" t="s">
        <v>15860</v>
      </c>
      <c r="D1821" s="142" t="s">
        <v>15861</v>
      </c>
      <c r="E1821" s="142" t="s">
        <v>15849</v>
      </c>
      <c r="F1821" s="142" t="s">
        <v>2221</v>
      </c>
      <c r="G1821" s="142" t="s">
        <v>2220</v>
      </c>
      <c r="H1821" s="142" t="s">
        <v>17671</v>
      </c>
      <c r="I1821" s="142">
        <v>25</v>
      </c>
      <c r="J1821" s="142">
        <v>0</v>
      </c>
      <c r="K1821" s="142">
        <v>0</v>
      </c>
      <c r="L1821" s="142">
        <v>25</v>
      </c>
      <c r="M1821" s="142">
        <v>0</v>
      </c>
    </row>
    <row r="1822" spans="1:13" x14ac:dyDescent="0.45">
      <c r="A1822" s="142" t="s">
        <v>13483</v>
      </c>
      <c r="B1822" s="142" t="s">
        <v>15459</v>
      </c>
      <c r="C1822" s="142" t="s">
        <v>15847</v>
      </c>
      <c r="D1822" s="142" t="s">
        <v>15848</v>
      </c>
      <c r="E1822" s="142" t="s">
        <v>15849</v>
      </c>
      <c r="F1822" s="142" t="s">
        <v>2221</v>
      </c>
      <c r="G1822" s="142" t="s">
        <v>2220</v>
      </c>
      <c r="H1822" s="142" t="s">
        <v>17672</v>
      </c>
      <c r="I1822" s="142">
        <v>10</v>
      </c>
      <c r="J1822" s="142">
        <v>0</v>
      </c>
      <c r="K1822" s="142">
        <v>0</v>
      </c>
      <c r="L1822" s="142">
        <v>0</v>
      </c>
      <c r="M1822" s="142">
        <v>10</v>
      </c>
    </row>
    <row r="1823" spans="1:13" x14ac:dyDescent="0.45">
      <c r="A1823" s="142" t="s">
        <v>13028</v>
      </c>
      <c r="B1823" s="142" t="s">
        <v>14462</v>
      </c>
      <c r="C1823" s="142" t="s">
        <v>15847</v>
      </c>
      <c r="D1823" s="142" t="s">
        <v>15848</v>
      </c>
      <c r="E1823" s="142" t="s">
        <v>15849</v>
      </c>
      <c r="F1823" s="142" t="s">
        <v>2221</v>
      </c>
      <c r="G1823" s="142" t="s">
        <v>2220</v>
      </c>
      <c r="H1823" s="142" t="s">
        <v>17673</v>
      </c>
      <c r="I1823" s="142">
        <v>147</v>
      </c>
      <c r="J1823" s="142">
        <v>0</v>
      </c>
      <c r="K1823" s="142">
        <v>0</v>
      </c>
      <c r="L1823" s="142">
        <v>0</v>
      </c>
      <c r="M1823" s="142">
        <v>147</v>
      </c>
    </row>
    <row r="1824" spans="1:13" x14ac:dyDescent="0.45">
      <c r="A1824" s="142" t="s">
        <v>13160</v>
      </c>
      <c r="B1824" s="142" t="s">
        <v>14525</v>
      </c>
      <c r="C1824" s="142" t="s">
        <v>15847</v>
      </c>
      <c r="D1824" s="142" t="s">
        <v>15848</v>
      </c>
      <c r="E1824" s="142" t="s">
        <v>15849</v>
      </c>
      <c r="F1824" s="142" t="s">
        <v>2221</v>
      </c>
      <c r="G1824" s="142" t="s">
        <v>2220</v>
      </c>
      <c r="H1824" s="142" t="s">
        <v>17674</v>
      </c>
      <c r="I1824" s="142">
        <v>104</v>
      </c>
      <c r="J1824" s="142">
        <v>0</v>
      </c>
      <c r="K1824" s="142">
        <v>0</v>
      </c>
      <c r="L1824" s="142">
        <v>104</v>
      </c>
      <c r="M1824" s="142">
        <v>0</v>
      </c>
    </row>
    <row r="1825" spans="1:13" x14ac:dyDescent="0.45">
      <c r="A1825" s="142" t="s">
        <v>13002</v>
      </c>
      <c r="B1825" s="142" t="s">
        <v>15376</v>
      </c>
      <c r="C1825" s="142" t="s">
        <v>15847</v>
      </c>
      <c r="D1825" s="142" t="s">
        <v>15848</v>
      </c>
      <c r="E1825" s="142" t="s">
        <v>15849</v>
      </c>
      <c r="F1825" s="142" t="s">
        <v>2221</v>
      </c>
      <c r="G1825" s="142" t="s">
        <v>2220</v>
      </c>
      <c r="H1825" s="142" t="s">
        <v>17675</v>
      </c>
      <c r="I1825" s="142">
        <v>10</v>
      </c>
      <c r="J1825" s="142">
        <v>0</v>
      </c>
      <c r="K1825" s="142">
        <v>0</v>
      </c>
      <c r="L1825" s="142">
        <v>10</v>
      </c>
      <c r="M1825" s="142">
        <v>0</v>
      </c>
    </row>
    <row r="1826" spans="1:13" x14ac:dyDescent="0.45">
      <c r="A1826" s="142" t="s">
        <v>13003</v>
      </c>
      <c r="B1826" s="142" t="s">
        <v>15245</v>
      </c>
      <c r="C1826" s="142" t="s">
        <v>15847</v>
      </c>
      <c r="D1826" s="142" t="s">
        <v>15848</v>
      </c>
      <c r="E1826" s="142" t="s">
        <v>15849</v>
      </c>
      <c r="F1826" s="142" t="s">
        <v>2221</v>
      </c>
      <c r="G1826" s="142" t="s">
        <v>2220</v>
      </c>
      <c r="H1826" s="142" t="s">
        <v>17676</v>
      </c>
      <c r="I1826" s="142">
        <v>72</v>
      </c>
      <c r="J1826" s="142">
        <v>0</v>
      </c>
      <c r="K1826" s="142">
        <v>0</v>
      </c>
      <c r="L1826" s="142">
        <v>72</v>
      </c>
      <c r="M1826" s="142">
        <v>0</v>
      </c>
    </row>
    <row r="1827" spans="1:13" x14ac:dyDescent="0.45">
      <c r="A1827" s="142" t="s">
        <v>13066</v>
      </c>
      <c r="B1827" s="142" t="s">
        <v>14459</v>
      </c>
      <c r="C1827" s="142" t="s">
        <v>15847</v>
      </c>
      <c r="D1827" s="142" t="s">
        <v>15848</v>
      </c>
      <c r="E1827" s="142" t="s">
        <v>15849</v>
      </c>
      <c r="F1827" s="142" t="s">
        <v>2221</v>
      </c>
      <c r="G1827" s="142" t="s">
        <v>2220</v>
      </c>
      <c r="H1827" s="142" t="s">
        <v>17677</v>
      </c>
      <c r="I1827" s="142">
        <v>46</v>
      </c>
      <c r="J1827" s="142">
        <v>0</v>
      </c>
      <c r="K1827" s="142">
        <v>0</v>
      </c>
      <c r="L1827" s="142">
        <v>46</v>
      </c>
      <c r="M1827" s="142">
        <v>0</v>
      </c>
    </row>
    <row r="1828" spans="1:13" x14ac:dyDescent="0.45">
      <c r="A1828" s="142" t="s">
        <v>13291</v>
      </c>
      <c r="B1828" s="142" t="s">
        <v>15495</v>
      </c>
      <c r="C1828" s="142" t="s">
        <v>15847</v>
      </c>
      <c r="D1828" s="142" t="s">
        <v>15848</v>
      </c>
      <c r="E1828" s="142" t="s">
        <v>15849</v>
      </c>
      <c r="F1828" s="142" t="s">
        <v>2221</v>
      </c>
      <c r="G1828" s="142" t="s">
        <v>2220</v>
      </c>
      <c r="H1828" s="142" t="s">
        <v>17678</v>
      </c>
      <c r="I1828" s="142">
        <v>996</v>
      </c>
      <c r="J1828" s="142">
        <v>795</v>
      </c>
      <c r="K1828" s="142">
        <v>0</v>
      </c>
      <c r="L1828" s="142">
        <v>126</v>
      </c>
      <c r="M1828" s="142">
        <v>75</v>
      </c>
    </row>
    <row r="1829" spans="1:13" x14ac:dyDescent="0.45">
      <c r="A1829" s="142" t="s">
        <v>13274</v>
      </c>
      <c r="B1829" s="142" t="s">
        <v>14608</v>
      </c>
      <c r="C1829" s="142" t="s">
        <v>15860</v>
      </c>
      <c r="D1829" s="142" t="s">
        <v>15861</v>
      </c>
      <c r="E1829" s="142" t="s">
        <v>15849</v>
      </c>
      <c r="F1829" s="142" t="s">
        <v>2221</v>
      </c>
      <c r="G1829" s="142" t="s">
        <v>2220</v>
      </c>
      <c r="H1829" s="142" t="s">
        <v>17679</v>
      </c>
      <c r="I1829" s="142">
        <v>8</v>
      </c>
      <c r="J1829" s="142">
        <v>0</v>
      </c>
      <c r="K1829" s="142">
        <v>0</v>
      </c>
      <c r="L1829" s="142">
        <v>8</v>
      </c>
      <c r="M1829" s="142">
        <v>0</v>
      </c>
    </row>
    <row r="1830" spans="1:13" x14ac:dyDescent="0.45">
      <c r="A1830" s="142" t="s">
        <v>13005</v>
      </c>
      <c r="B1830" s="142" t="s">
        <v>15475</v>
      </c>
      <c r="C1830" s="142" t="s">
        <v>15847</v>
      </c>
      <c r="D1830" s="142" t="s">
        <v>15848</v>
      </c>
      <c r="E1830" s="142" t="s">
        <v>15849</v>
      </c>
      <c r="F1830" s="142" t="s">
        <v>2221</v>
      </c>
      <c r="G1830" s="142" t="s">
        <v>2220</v>
      </c>
      <c r="H1830" s="142" t="s">
        <v>17680</v>
      </c>
      <c r="I1830" s="142">
        <v>121</v>
      </c>
      <c r="J1830" s="142">
        <v>46</v>
      </c>
      <c r="K1830" s="142">
        <v>0</v>
      </c>
      <c r="L1830" s="142">
        <v>0</v>
      </c>
      <c r="M1830" s="142">
        <v>75</v>
      </c>
    </row>
    <row r="1831" spans="1:13" x14ac:dyDescent="0.45">
      <c r="A1831" s="142" t="s">
        <v>13485</v>
      </c>
      <c r="B1831" s="142" t="s">
        <v>15454</v>
      </c>
      <c r="C1831" s="142" t="s">
        <v>15847</v>
      </c>
      <c r="D1831" s="142" t="s">
        <v>15848</v>
      </c>
      <c r="E1831" s="142" t="s">
        <v>15849</v>
      </c>
      <c r="F1831" s="142" t="s">
        <v>2221</v>
      </c>
      <c r="G1831" s="142" t="s">
        <v>2220</v>
      </c>
      <c r="H1831" s="142" t="s">
        <v>17681</v>
      </c>
      <c r="I1831" s="142">
        <v>141</v>
      </c>
      <c r="J1831" s="142">
        <v>56</v>
      </c>
      <c r="K1831" s="142">
        <v>0</v>
      </c>
      <c r="L1831" s="142">
        <v>85</v>
      </c>
      <c r="M1831" s="142">
        <v>0</v>
      </c>
    </row>
    <row r="1832" spans="1:13" x14ac:dyDescent="0.45">
      <c r="A1832" s="142" t="s">
        <v>13284</v>
      </c>
      <c r="B1832" s="142" t="s">
        <v>15364</v>
      </c>
      <c r="C1832" s="142" t="s">
        <v>15847</v>
      </c>
      <c r="D1832" s="142" t="s">
        <v>15848</v>
      </c>
      <c r="E1832" s="142" t="s">
        <v>15849</v>
      </c>
      <c r="F1832" s="142" t="s">
        <v>2221</v>
      </c>
      <c r="G1832" s="142" t="s">
        <v>2220</v>
      </c>
      <c r="H1832" s="142" t="s">
        <v>17682</v>
      </c>
      <c r="I1832" s="142">
        <v>2137</v>
      </c>
      <c r="J1832" s="142">
        <v>1536</v>
      </c>
      <c r="K1832" s="142">
        <v>7</v>
      </c>
      <c r="L1832" s="142">
        <v>296</v>
      </c>
      <c r="M1832" s="142">
        <v>298</v>
      </c>
    </row>
    <row r="1833" spans="1:13" x14ac:dyDescent="0.45">
      <c r="A1833" s="142" t="s">
        <v>13486</v>
      </c>
      <c r="B1833" s="142" t="s">
        <v>14563</v>
      </c>
      <c r="C1833" s="142" t="s">
        <v>15847</v>
      </c>
      <c r="D1833" s="142" t="s">
        <v>15848</v>
      </c>
      <c r="E1833" s="142" t="s">
        <v>15849</v>
      </c>
      <c r="F1833" s="142" t="s">
        <v>2221</v>
      </c>
      <c r="G1833" s="142" t="s">
        <v>2220</v>
      </c>
      <c r="H1833" s="142" t="s">
        <v>17683</v>
      </c>
      <c r="I1833" s="142">
        <v>246</v>
      </c>
      <c r="J1833" s="142">
        <v>143</v>
      </c>
      <c r="K1833" s="142">
        <v>0</v>
      </c>
      <c r="L1833" s="142">
        <v>0</v>
      </c>
      <c r="M1833" s="142">
        <v>103</v>
      </c>
    </row>
    <row r="1834" spans="1:13" x14ac:dyDescent="0.45">
      <c r="A1834" s="142" t="s">
        <v>13276</v>
      </c>
      <c r="B1834" s="142" t="s">
        <v>15498</v>
      </c>
      <c r="C1834" s="142" t="s">
        <v>15847</v>
      </c>
      <c r="D1834" s="142" t="s">
        <v>15848</v>
      </c>
      <c r="E1834" s="142" t="s">
        <v>15849</v>
      </c>
      <c r="F1834" s="142" t="s">
        <v>2221</v>
      </c>
      <c r="G1834" s="142" t="s">
        <v>2220</v>
      </c>
      <c r="H1834" s="142" t="s">
        <v>17684</v>
      </c>
      <c r="I1834" s="142">
        <v>176</v>
      </c>
      <c r="J1834" s="142">
        <v>112</v>
      </c>
      <c r="K1834" s="142">
        <v>0</v>
      </c>
      <c r="L1834" s="142">
        <v>22</v>
      </c>
      <c r="M1834" s="142">
        <v>42</v>
      </c>
    </row>
    <row r="1835" spans="1:13" x14ac:dyDescent="0.45">
      <c r="A1835" s="142" t="s">
        <v>13033</v>
      </c>
      <c r="B1835" s="142" t="s">
        <v>15276</v>
      </c>
      <c r="C1835" s="142" t="s">
        <v>15847</v>
      </c>
      <c r="D1835" s="142" t="s">
        <v>15848</v>
      </c>
      <c r="E1835" s="142" t="s">
        <v>15849</v>
      </c>
      <c r="F1835" s="142" t="s">
        <v>2221</v>
      </c>
      <c r="G1835" s="142" t="s">
        <v>2220</v>
      </c>
      <c r="H1835" s="142" t="s">
        <v>17685</v>
      </c>
      <c r="I1835" s="142">
        <v>7</v>
      </c>
      <c r="J1835" s="142">
        <v>0</v>
      </c>
      <c r="K1835" s="142">
        <v>0</v>
      </c>
      <c r="L1835" s="142">
        <v>0</v>
      </c>
      <c r="M1835" s="142">
        <v>7</v>
      </c>
    </row>
    <row r="1836" spans="1:13" x14ac:dyDescent="0.45">
      <c r="A1836" s="142" t="s">
        <v>13034</v>
      </c>
      <c r="B1836" s="142" t="s">
        <v>15562</v>
      </c>
      <c r="C1836" s="142" t="s">
        <v>15847</v>
      </c>
      <c r="D1836" s="142" t="s">
        <v>15848</v>
      </c>
      <c r="E1836" s="142" t="s">
        <v>15849</v>
      </c>
      <c r="F1836" s="142" t="s">
        <v>2221</v>
      </c>
      <c r="G1836" s="142" t="s">
        <v>2220</v>
      </c>
      <c r="H1836" s="142" t="s">
        <v>17686</v>
      </c>
      <c r="I1836" s="142">
        <v>2</v>
      </c>
      <c r="J1836" s="142">
        <v>0</v>
      </c>
      <c r="K1836" s="142">
        <v>0</v>
      </c>
      <c r="L1836" s="142">
        <v>2</v>
      </c>
      <c r="M1836" s="142">
        <v>0</v>
      </c>
    </row>
    <row r="1837" spans="1:13" x14ac:dyDescent="0.45">
      <c r="A1837" s="142" t="s">
        <v>13171</v>
      </c>
      <c r="B1837" s="142" t="s">
        <v>14523</v>
      </c>
      <c r="C1837" s="142" t="s">
        <v>15860</v>
      </c>
      <c r="D1837" s="142" t="s">
        <v>15861</v>
      </c>
      <c r="E1837" s="142" t="s">
        <v>15849</v>
      </c>
      <c r="F1837" s="142" t="s">
        <v>2221</v>
      </c>
      <c r="G1837" s="142" t="s">
        <v>2220</v>
      </c>
      <c r="H1837" s="142" t="s">
        <v>17687</v>
      </c>
      <c r="I1837" s="142">
        <v>14</v>
      </c>
      <c r="J1837" s="142">
        <v>14</v>
      </c>
      <c r="K1837" s="142">
        <v>0</v>
      </c>
      <c r="L1837" s="142">
        <v>0</v>
      </c>
      <c r="M1837" s="142">
        <v>0</v>
      </c>
    </row>
    <row r="1838" spans="1:13" x14ac:dyDescent="0.45">
      <c r="A1838" s="142" t="s">
        <v>13487</v>
      </c>
      <c r="B1838" s="142" t="s">
        <v>15490</v>
      </c>
      <c r="C1838" s="142" t="s">
        <v>15847</v>
      </c>
      <c r="D1838" s="142" t="s">
        <v>15848</v>
      </c>
      <c r="E1838" s="142" t="s">
        <v>15849</v>
      </c>
      <c r="F1838" s="142" t="s">
        <v>2221</v>
      </c>
      <c r="G1838" s="142" t="s">
        <v>2220</v>
      </c>
      <c r="H1838" s="142" t="s">
        <v>17688</v>
      </c>
      <c r="I1838" s="142">
        <v>1011</v>
      </c>
      <c r="J1838" s="142">
        <v>683</v>
      </c>
      <c r="K1838" s="142">
        <v>0</v>
      </c>
      <c r="L1838" s="142">
        <v>39</v>
      </c>
      <c r="M1838" s="142">
        <v>289</v>
      </c>
    </row>
    <row r="1839" spans="1:13" x14ac:dyDescent="0.45">
      <c r="A1839" s="142" t="s">
        <v>13036</v>
      </c>
      <c r="B1839" s="142" t="s">
        <v>15567</v>
      </c>
      <c r="C1839" s="142" t="s">
        <v>15847</v>
      </c>
      <c r="D1839" s="142" t="s">
        <v>15848</v>
      </c>
      <c r="E1839" s="142" t="s">
        <v>15849</v>
      </c>
      <c r="F1839" s="142" t="s">
        <v>2221</v>
      </c>
      <c r="G1839" s="142" t="s">
        <v>2220</v>
      </c>
      <c r="H1839" s="142" t="s">
        <v>17689</v>
      </c>
      <c r="I1839" s="142">
        <v>10</v>
      </c>
      <c r="J1839" s="142">
        <v>0</v>
      </c>
      <c r="K1839" s="142">
        <v>0</v>
      </c>
      <c r="L1839" s="142">
        <v>10</v>
      </c>
      <c r="M1839" s="142">
        <v>0</v>
      </c>
    </row>
    <row r="1840" spans="1:13" x14ac:dyDescent="0.45">
      <c r="A1840" s="142" t="s">
        <v>13277</v>
      </c>
      <c r="B1840" s="142" t="s">
        <v>14454</v>
      </c>
      <c r="C1840" s="142" t="s">
        <v>15847</v>
      </c>
      <c r="D1840" s="142" t="s">
        <v>15848</v>
      </c>
      <c r="E1840" s="142" t="s">
        <v>15849</v>
      </c>
      <c r="F1840" s="142" t="s">
        <v>2221</v>
      </c>
      <c r="G1840" s="142" t="s">
        <v>2220</v>
      </c>
      <c r="H1840" s="142" t="s">
        <v>17690</v>
      </c>
      <c r="I1840" s="142">
        <v>37</v>
      </c>
      <c r="J1840" s="142">
        <v>13</v>
      </c>
      <c r="K1840" s="142">
        <v>0</v>
      </c>
      <c r="L1840" s="142">
        <v>0</v>
      </c>
      <c r="M1840" s="142">
        <v>24</v>
      </c>
    </row>
    <row r="1841" spans="1:13" x14ac:dyDescent="0.45">
      <c r="A1841" s="142" t="s">
        <v>13037</v>
      </c>
      <c r="B1841" s="142" t="s">
        <v>14519</v>
      </c>
      <c r="C1841" s="142" t="s">
        <v>15847</v>
      </c>
      <c r="D1841" s="142" t="s">
        <v>15848</v>
      </c>
      <c r="E1841" s="142" t="s">
        <v>15849</v>
      </c>
      <c r="F1841" s="142" t="s">
        <v>2221</v>
      </c>
      <c r="G1841" s="142" t="s">
        <v>2220</v>
      </c>
      <c r="H1841" s="142" t="s">
        <v>17691</v>
      </c>
      <c r="I1841" s="142">
        <v>23</v>
      </c>
      <c r="J1841" s="142">
        <v>0</v>
      </c>
      <c r="K1841" s="142">
        <v>0</v>
      </c>
      <c r="L1841" s="142">
        <v>23</v>
      </c>
      <c r="M1841" s="142">
        <v>0</v>
      </c>
    </row>
    <row r="1842" spans="1:13" x14ac:dyDescent="0.45">
      <c r="A1842" s="142" t="s">
        <v>13038</v>
      </c>
      <c r="B1842" s="142" t="s">
        <v>14646</v>
      </c>
      <c r="C1842" s="142" t="s">
        <v>15847</v>
      </c>
      <c r="D1842" s="142" t="s">
        <v>15848</v>
      </c>
      <c r="E1842" s="142" t="s">
        <v>15849</v>
      </c>
      <c r="F1842" s="142" t="s">
        <v>2221</v>
      </c>
      <c r="G1842" s="142" t="s">
        <v>2220</v>
      </c>
      <c r="H1842" s="142" t="s">
        <v>17692</v>
      </c>
      <c r="I1842" s="142">
        <v>152</v>
      </c>
      <c r="J1842" s="142">
        <v>84</v>
      </c>
      <c r="K1842" s="142">
        <v>0</v>
      </c>
      <c r="L1842" s="142">
        <v>0</v>
      </c>
      <c r="M1842" s="142">
        <v>68</v>
      </c>
    </row>
    <row r="1843" spans="1:13" x14ac:dyDescent="0.45">
      <c r="A1843" s="142" t="s">
        <v>13039</v>
      </c>
      <c r="B1843" s="142" t="s">
        <v>14647</v>
      </c>
      <c r="C1843" s="142" t="s">
        <v>15847</v>
      </c>
      <c r="D1843" s="142" t="s">
        <v>15848</v>
      </c>
      <c r="E1843" s="142" t="s">
        <v>15849</v>
      </c>
      <c r="F1843" s="142" t="s">
        <v>2221</v>
      </c>
      <c r="G1843" s="142" t="s">
        <v>2220</v>
      </c>
      <c r="H1843" s="142" t="s">
        <v>17693</v>
      </c>
      <c r="I1843" s="142">
        <v>80</v>
      </c>
      <c r="J1843" s="142">
        <v>80</v>
      </c>
      <c r="K1843" s="142">
        <v>0</v>
      </c>
      <c r="L1843" s="142">
        <v>0</v>
      </c>
      <c r="M1843" s="142">
        <v>0</v>
      </c>
    </row>
    <row r="1844" spans="1:13" x14ac:dyDescent="0.45">
      <c r="A1844" s="142" t="s">
        <v>13091</v>
      </c>
      <c r="B1844" s="142" t="s">
        <v>14473</v>
      </c>
      <c r="C1844" s="142" t="s">
        <v>15847</v>
      </c>
      <c r="D1844" s="142" t="s">
        <v>15848</v>
      </c>
      <c r="E1844" s="142" t="s">
        <v>15849</v>
      </c>
      <c r="F1844" s="142" t="s">
        <v>2221</v>
      </c>
      <c r="G1844" s="142" t="s">
        <v>2220</v>
      </c>
      <c r="H1844" s="142" t="s">
        <v>17694</v>
      </c>
      <c r="I1844" s="142">
        <v>155</v>
      </c>
      <c r="J1844" s="142">
        <v>92</v>
      </c>
      <c r="K1844" s="142">
        <v>0</v>
      </c>
      <c r="L1844" s="142">
        <v>20</v>
      </c>
      <c r="M1844" s="142">
        <v>43</v>
      </c>
    </row>
    <row r="1845" spans="1:13" x14ac:dyDescent="0.45">
      <c r="A1845" s="142" t="s">
        <v>13009</v>
      </c>
      <c r="B1845" s="142" t="s">
        <v>15256</v>
      </c>
      <c r="C1845" s="142" t="s">
        <v>15847</v>
      </c>
      <c r="D1845" s="142" t="s">
        <v>15848</v>
      </c>
      <c r="E1845" s="142" t="s">
        <v>15849</v>
      </c>
      <c r="F1845" s="142" t="s">
        <v>2221</v>
      </c>
      <c r="G1845" s="142" t="s">
        <v>2220</v>
      </c>
      <c r="H1845" s="142" t="s">
        <v>17695</v>
      </c>
      <c r="I1845" s="142">
        <v>6282</v>
      </c>
      <c r="J1845" s="142">
        <v>4418</v>
      </c>
      <c r="K1845" s="142">
        <v>0</v>
      </c>
      <c r="L1845" s="142">
        <v>1784</v>
      </c>
      <c r="M1845" s="142">
        <v>80</v>
      </c>
    </row>
    <row r="1846" spans="1:13" x14ac:dyDescent="0.45">
      <c r="A1846" s="142" t="s">
        <v>13502</v>
      </c>
      <c r="B1846" s="142" t="s">
        <v>15359</v>
      </c>
      <c r="C1846" s="142" t="s">
        <v>15860</v>
      </c>
      <c r="D1846" s="142" t="s">
        <v>15861</v>
      </c>
      <c r="E1846" s="142" t="s">
        <v>15849</v>
      </c>
      <c r="F1846" s="142" t="s">
        <v>2221</v>
      </c>
      <c r="G1846" s="142" t="s">
        <v>2220</v>
      </c>
      <c r="H1846" s="142" t="s">
        <v>17696</v>
      </c>
      <c r="I1846" s="142">
        <v>115</v>
      </c>
      <c r="J1846" s="142">
        <v>115</v>
      </c>
      <c r="K1846" s="142">
        <v>0</v>
      </c>
      <c r="L1846" s="142">
        <v>0</v>
      </c>
      <c r="M1846" s="142">
        <v>0</v>
      </c>
    </row>
    <row r="1847" spans="1:13" x14ac:dyDescent="0.45">
      <c r="A1847" s="142" t="s">
        <v>13041</v>
      </c>
      <c r="B1847" s="142" t="s">
        <v>14441</v>
      </c>
      <c r="C1847" s="142" t="s">
        <v>15847</v>
      </c>
      <c r="D1847" s="142" t="s">
        <v>15848</v>
      </c>
      <c r="E1847" s="142" t="s">
        <v>15849</v>
      </c>
      <c r="F1847" s="142" t="s">
        <v>2221</v>
      </c>
      <c r="G1847" s="142" t="s">
        <v>2220</v>
      </c>
      <c r="H1847" s="142" t="s">
        <v>17697</v>
      </c>
      <c r="I1847" s="142">
        <v>62</v>
      </c>
      <c r="J1847" s="142">
        <v>0</v>
      </c>
      <c r="K1847" s="142">
        <v>0</v>
      </c>
      <c r="L1847" s="142">
        <v>0</v>
      </c>
      <c r="M1847" s="142">
        <v>62</v>
      </c>
    </row>
    <row r="1848" spans="1:13" x14ac:dyDescent="0.45">
      <c r="A1848" s="142" t="s">
        <v>13503</v>
      </c>
      <c r="B1848" s="142" t="s">
        <v>15131</v>
      </c>
      <c r="C1848" s="142" t="s">
        <v>15860</v>
      </c>
      <c r="D1848" s="142" t="s">
        <v>15861</v>
      </c>
      <c r="E1848" s="142" t="s">
        <v>15849</v>
      </c>
      <c r="F1848" s="142" t="s">
        <v>2221</v>
      </c>
      <c r="G1848" s="142" t="s">
        <v>2220</v>
      </c>
      <c r="H1848" s="142" t="s">
        <v>17698</v>
      </c>
      <c r="I1848" s="142">
        <v>12</v>
      </c>
      <c r="J1848" s="142">
        <v>0</v>
      </c>
      <c r="K1848" s="142">
        <v>0</v>
      </c>
      <c r="L1848" s="142">
        <v>12</v>
      </c>
      <c r="M1848" s="142">
        <v>0</v>
      </c>
    </row>
    <row r="1849" spans="1:13" x14ac:dyDescent="0.45">
      <c r="A1849" s="142" t="s">
        <v>13504</v>
      </c>
      <c r="B1849" s="142" t="s">
        <v>15210</v>
      </c>
      <c r="C1849" s="142" t="s">
        <v>15860</v>
      </c>
      <c r="D1849" s="142" t="s">
        <v>15861</v>
      </c>
      <c r="E1849" s="142" t="s">
        <v>15849</v>
      </c>
      <c r="F1849" s="142" t="s">
        <v>2221</v>
      </c>
      <c r="G1849" s="142" t="s">
        <v>2220</v>
      </c>
      <c r="H1849" s="142" t="s">
        <v>17699</v>
      </c>
      <c r="I1849" s="142">
        <v>10</v>
      </c>
      <c r="J1849" s="142">
        <v>0</v>
      </c>
      <c r="K1849" s="142">
        <v>0</v>
      </c>
      <c r="L1849" s="142">
        <v>10</v>
      </c>
      <c r="M1849" s="142">
        <v>0</v>
      </c>
    </row>
    <row r="1850" spans="1:13" x14ac:dyDescent="0.45">
      <c r="A1850" s="142" t="s">
        <v>13014</v>
      </c>
      <c r="B1850" s="142" t="s">
        <v>14505</v>
      </c>
      <c r="C1850" s="142" t="s">
        <v>15847</v>
      </c>
      <c r="D1850" s="142" t="s">
        <v>15848</v>
      </c>
      <c r="E1850" s="142" t="s">
        <v>15849</v>
      </c>
      <c r="F1850" s="142" t="s">
        <v>2221</v>
      </c>
      <c r="G1850" s="142" t="s">
        <v>2220</v>
      </c>
      <c r="H1850" s="142" t="s">
        <v>17700</v>
      </c>
      <c r="I1850" s="142">
        <v>402</v>
      </c>
      <c r="J1850" s="142">
        <v>197</v>
      </c>
      <c r="K1850" s="142">
        <v>0</v>
      </c>
      <c r="L1850" s="142">
        <v>181</v>
      </c>
      <c r="M1850" s="142">
        <v>24</v>
      </c>
    </row>
    <row r="1851" spans="1:13" x14ac:dyDescent="0.45">
      <c r="A1851" s="142" t="s">
        <v>13042</v>
      </c>
      <c r="B1851" s="142" t="s">
        <v>15489</v>
      </c>
      <c r="C1851" s="142" t="s">
        <v>15847</v>
      </c>
      <c r="D1851" s="142" t="s">
        <v>15848</v>
      </c>
      <c r="E1851" s="142" t="s">
        <v>15849</v>
      </c>
      <c r="F1851" s="142" t="s">
        <v>2221</v>
      </c>
      <c r="G1851" s="142" t="s">
        <v>2220</v>
      </c>
      <c r="H1851" s="142" t="s">
        <v>17701</v>
      </c>
      <c r="I1851" s="142">
        <v>579</v>
      </c>
      <c r="J1851" s="142">
        <v>343</v>
      </c>
      <c r="K1851" s="142">
        <v>0</v>
      </c>
      <c r="L1851" s="142">
        <v>61</v>
      </c>
      <c r="M1851" s="142">
        <v>175</v>
      </c>
    </row>
    <row r="1852" spans="1:13" x14ac:dyDescent="0.45">
      <c r="A1852" s="142" t="s">
        <v>13493</v>
      </c>
      <c r="B1852" s="142" t="s">
        <v>14639</v>
      </c>
      <c r="C1852" s="142" t="s">
        <v>15847</v>
      </c>
      <c r="D1852" s="142" t="s">
        <v>15848</v>
      </c>
      <c r="E1852" s="142" t="s">
        <v>15849</v>
      </c>
      <c r="F1852" s="142" t="s">
        <v>2221</v>
      </c>
      <c r="G1852" s="142" t="s">
        <v>2220</v>
      </c>
      <c r="H1852" s="142" t="s">
        <v>17702</v>
      </c>
      <c r="I1852" s="142">
        <v>534</v>
      </c>
      <c r="J1852" s="142">
        <v>317</v>
      </c>
      <c r="K1852" s="142">
        <v>0</v>
      </c>
      <c r="L1852" s="142">
        <v>0</v>
      </c>
      <c r="M1852" s="142">
        <v>217</v>
      </c>
    </row>
    <row r="1853" spans="1:13" x14ac:dyDescent="0.45">
      <c r="A1853" s="142" t="s">
        <v>13156</v>
      </c>
      <c r="B1853" s="142" t="s">
        <v>14493</v>
      </c>
      <c r="C1853" s="142" t="s">
        <v>15860</v>
      </c>
      <c r="D1853" s="142" t="s">
        <v>15861</v>
      </c>
      <c r="E1853" s="142" t="s">
        <v>15849</v>
      </c>
      <c r="F1853" s="142" t="s">
        <v>2221</v>
      </c>
      <c r="G1853" s="142" t="s">
        <v>2220</v>
      </c>
      <c r="H1853" s="142" t="s">
        <v>17703</v>
      </c>
      <c r="I1853" s="142">
        <v>18</v>
      </c>
      <c r="J1853" s="142">
        <v>0</v>
      </c>
      <c r="K1853" s="142">
        <v>0</v>
      </c>
      <c r="L1853" s="142">
        <v>18</v>
      </c>
      <c r="M1853" s="142">
        <v>0</v>
      </c>
    </row>
    <row r="1854" spans="1:13" x14ac:dyDescent="0.45">
      <c r="A1854" s="142" t="s">
        <v>13494</v>
      </c>
      <c r="B1854" s="142" t="s">
        <v>15442</v>
      </c>
      <c r="C1854" s="142" t="s">
        <v>15847</v>
      </c>
      <c r="D1854" s="142" t="s">
        <v>15848</v>
      </c>
      <c r="E1854" s="142" t="s">
        <v>15849</v>
      </c>
      <c r="F1854" s="142" t="s">
        <v>2221</v>
      </c>
      <c r="G1854" s="142" t="s">
        <v>2220</v>
      </c>
      <c r="H1854" s="142" t="s">
        <v>17704</v>
      </c>
      <c r="I1854" s="142">
        <v>6145</v>
      </c>
      <c r="J1854" s="142">
        <v>5922</v>
      </c>
      <c r="K1854" s="142">
        <v>0</v>
      </c>
      <c r="L1854" s="142">
        <v>109</v>
      </c>
      <c r="M1854" s="142">
        <v>114</v>
      </c>
    </row>
    <row r="1855" spans="1:13" x14ac:dyDescent="0.45">
      <c r="A1855" s="142" t="s">
        <v>13505</v>
      </c>
      <c r="B1855" s="142" t="s">
        <v>15289</v>
      </c>
      <c r="C1855" s="142" t="s">
        <v>15860</v>
      </c>
      <c r="D1855" s="142" t="s">
        <v>15861</v>
      </c>
      <c r="E1855" s="142" t="s">
        <v>15849</v>
      </c>
      <c r="F1855" s="142" t="s">
        <v>2221</v>
      </c>
      <c r="G1855" s="142" t="s">
        <v>2220</v>
      </c>
      <c r="H1855" s="142" t="s">
        <v>17705</v>
      </c>
      <c r="I1855" s="142">
        <v>31</v>
      </c>
      <c r="J1855" s="142">
        <v>15</v>
      </c>
      <c r="K1855" s="142">
        <v>0</v>
      </c>
      <c r="L1855" s="142">
        <v>16</v>
      </c>
      <c r="M1855" s="142">
        <v>0</v>
      </c>
    </row>
    <row r="1856" spans="1:13" x14ac:dyDescent="0.45">
      <c r="A1856" s="142" t="s">
        <v>13286</v>
      </c>
      <c r="B1856" s="142" t="s">
        <v>15342</v>
      </c>
      <c r="C1856" s="142" t="s">
        <v>15847</v>
      </c>
      <c r="D1856" s="142" t="s">
        <v>15848</v>
      </c>
      <c r="E1856" s="142" t="s">
        <v>15849</v>
      </c>
      <c r="F1856" s="142" t="s">
        <v>2221</v>
      </c>
      <c r="G1856" s="142" t="s">
        <v>2220</v>
      </c>
      <c r="H1856" s="142" t="s">
        <v>17706</v>
      </c>
      <c r="I1856" s="142">
        <v>1331</v>
      </c>
      <c r="J1856" s="142">
        <v>527</v>
      </c>
      <c r="K1856" s="142">
        <v>0</v>
      </c>
      <c r="L1856" s="142">
        <v>371</v>
      </c>
      <c r="M1856" s="142">
        <v>433</v>
      </c>
    </row>
    <row r="1857" spans="1:13" x14ac:dyDescent="0.45">
      <c r="A1857" s="142" t="s">
        <v>13019</v>
      </c>
      <c r="B1857" s="142" t="s">
        <v>14457</v>
      </c>
      <c r="C1857" s="142" t="s">
        <v>15860</v>
      </c>
      <c r="D1857" s="142" t="s">
        <v>15861</v>
      </c>
      <c r="E1857" s="142" t="s">
        <v>15849</v>
      </c>
      <c r="F1857" s="142" t="s">
        <v>3210</v>
      </c>
      <c r="G1857" s="142" t="s">
        <v>3209</v>
      </c>
      <c r="H1857" s="142" t="s">
        <v>17707</v>
      </c>
      <c r="I1857" s="142">
        <v>37</v>
      </c>
      <c r="J1857" s="142">
        <v>11</v>
      </c>
      <c r="K1857" s="142">
        <v>0</v>
      </c>
      <c r="L1857" s="142">
        <v>26</v>
      </c>
      <c r="M1857" s="142">
        <v>0</v>
      </c>
    </row>
    <row r="1858" spans="1:13" x14ac:dyDescent="0.45">
      <c r="A1858" s="142" t="s">
        <v>13020</v>
      </c>
      <c r="B1858" s="142" t="s">
        <v>15523</v>
      </c>
      <c r="C1858" s="142" t="s">
        <v>15860</v>
      </c>
      <c r="D1858" s="142" t="s">
        <v>15861</v>
      </c>
      <c r="E1858" s="142" t="s">
        <v>15849</v>
      </c>
      <c r="F1858" s="142" t="s">
        <v>3210</v>
      </c>
      <c r="G1858" s="142" t="s">
        <v>3209</v>
      </c>
      <c r="H1858" s="142" t="s">
        <v>17708</v>
      </c>
      <c r="I1858" s="142">
        <v>32</v>
      </c>
      <c r="J1858" s="142">
        <v>0</v>
      </c>
      <c r="K1858" s="142">
        <v>0</v>
      </c>
      <c r="L1858" s="142">
        <v>32</v>
      </c>
      <c r="M1858" s="142">
        <v>0</v>
      </c>
    </row>
    <row r="1859" spans="1:13" x14ac:dyDescent="0.45">
      <c r="A1859" s="142" t="s">
        <v>13021</v>
      </c>
      <c r="B1859" s="142" t="s">
        <v>15501</v>
      </c>
      <c r="C1859" s="142" t="s">
        <v>15847</v>
      </c>
      <c r="D1859" s="142" t="s">
        <v>15848</v>
      </c>
      <c r="E1859" s="142" t="s">
        <v>15849</v>
      </c>
      <c r="F1859" s="142" t="s">
        <v>3210</v>
      </c>
      <c r="G1859" s="142" t="s">
        <v>3209</v>
      </c>
      <c r="H1859" s="142" t="s">
        <v>17709</v>
      </c>
      <c r="I1859" s="142">
        <v>1</v>
      </c>
      <c r="J1859" s="142">
        <v>0</v>
      </c>
      <c r="K1859" s="142">
        <v>0</v>
      </c>
      <c r="L1859" s="142">
        <v>0</v>
      </c>
      <c r="M1859" s="142">
        <v>1</v>
      </c>
    </row>
    <row r="1860" spans="1:13" x14ac:dyDescent="0.45">
      <c r="A1860" s="142" t="s">
        <v>13507</v>
      </c>
      <c r="B1860" s="142" t="s">
        <v>14515</v>
      </c>
      <c r="C1860" s="142" t="s">
        <v>15860</v>
      </c>
      <c r="D1860" s="142" t="s">
        <v>15861</v>
      </c>
      <c r="E1860" s="142" t="s">
        <v>15849</v>
      </c>
      <c r="F1860" s="142" t="s">
        <v>3210</v>
      </c>
      <c r="G1860" s="142" t="s">
        <v>3209</v>
      </c>
      <c r="H1860" s="142" t="s">
        <v>17710</v>
      </c>
      <c r="I1860" s="142">
        <v>93</v>
      </c>
      <c r="J1860" s="142">
        <v>93</v>
      </c>
      <c r="K1860" s="142">
        <v>0</v>
      </c>
      <c r="L1860" s="142">
        <v>0</v>
      </c>
      <c r="M1860" s="142">
        <v>0</v>
      </c>
    </row>
    <row r="1861" spans="1:13" x14ac:dyDescent="0.45">
      <c r="A1861" s="142" t="s">
        <v>13023</v>
      </c>
      <c r="B1861" s="142" t="s">
        <v>15571</v>
      </c>
      <c r="C1861" s="142" t="s">
        <v>15847</v>
      </c>
      <c r="D1861" s="142" t="s">
        <v>15848</v>
      </c>
      <c r="E1861" s="142" t="s">
        <v>15849</v>
      </c>
      <c r="F1861" s="142" t="s">
        <v>3210</v>
      </c>
      <c r="G1861" s="142" t="s">
        <v>3209</v>
      </c>
      <c r="H1861" s="142" t="s">
        <v>17711</v>
      </c>
      <c r="I1861" s="142">
        <v>25</v>
      </c>
      <c r="J1861" s="142">
        <v>0</v>
      </c>
      <c r="K1861" s="142">
        <v>0</v>
      </c>
      <c r="L1861" s="142">
        <v>25</v>
      </c>
      <c r="M1861" s="142">
        <v>0</v>
      </c>
    </row>
    <row r="1862" spans="1:13" x14ac:dyDescent="0.45">
      <c r="A1862" s="142" t="s">
        <v>13508</v>
      </c>
      <c r="B1862" s="142" t="s">
        <v>15513</v>
      </c>
      <c r="C1862" s="142" t="s">
        <v>15847</v>
      </c>
      <c r="D1862" s="142" t="s">
        <v>15848</v>
      </c>
      <c r="E1862" s="142" t="s">
        <v>15849</v>
      </c>
      <c r="F1862" s="142" t="s">
        <v>3210</v>
      </c>
      <c r="G1862" s="142" t="s">
        <v>3209</v>
      </c>
      <c r="H1862" s="142" t="s">
        <v>17712</v>
      </c>
      <c r="I1862" s="142">
        <v>20</v>
      </c>
      <c r="J1862" s="142">
        <v>14</v>
      </c>
      <c r="K1862" s="142">
        <v>0</v>
      </c>
      <c r="L1862" s="142">
        <v>0</v>
      </c>
      <c r="M1862" s="142">
        <v>6</v>
      </c>
    </row>
    <row r="1863" spans="1:13" x14ac:dyDescent="0.45">
      <c r="A1863" s="142" t="s">
        <v>13509</v>
      </c>
      <c r="B1863" s="142" t="s">
        <v>15564</v>
      </c>
      <c r="C1863" s="142" t="s">
        <v>15860</v>
      </c>
      <c r="D1863" s="142" t="s">
        <v>15861</v>
      </c>
      <c r="E1863" s="142" t="s">
        <v>15849</v>
      </c>
      <c r="F1863" s="142" t="s">
        <v>3210</v>
      </c>
      <c r="G1863" s="142" t="s">
        <v>3209</v>
      </c>
      <c r="H1863" s="142" t="s">
        <v>17713</v>
      </c>
      <c r="I1863" s="142">
        <v>33</v>
      </c>
      <c r="J1863" s="142">
        <v>0</v>
      </c>
      <c r="K1863" s="142">
        <v>0</v>
      </c>
      <c r="L1863" s="142">
        <v>33</v>
      </c>
      <c r="M1863" s="142">
        <v>0</v>
      </c>
    </row>
    <row r="1864" spans="1:13" x14ac:dyDescent="0.45">
      <c r="A1864" s="142" t="s">
        <v>13024</v>
      </c>
      <c r="B1864" s="142" t="s">
        <v>14538</v>
      </c>
      <c r="C1864" s="142" t="s">
        <v>15847</v>
      </c>
      <c r="D1864" s="142" t="s">
        <v>15848</v>
      </c>
      <c r="E1864" s="142" t="s">
        <v>15849</v>
      </c>
      <c r="F1864" s="142" t="s">
        <v>3210</v>
      </c>
      <c r="G1864" s="142" t="s">
        <v>3209</v>
      </c>
      <c r="H1864" s="142" t="s">
        <v>17714</v>
      </c>
      <c r="I1864" s="142">
        <v>83</v>
      </c>
      <c r="J1864" s="142">
        <v>37</v>
      </c>
      <c r="K1864" s="142">
        <v>0</v>
      </c>
      <c r="L1864" s="142">
        <v>42</v>
      </c>
      <c r="M1864" s="142">
        <v>4</v>
      </c>
    </row>
    <row r="1865" spans="1:13" x14ac:dyDescent="0.45">
      <c r="A1865" s="142" t="s">
        <v>13085</v>
      </c>
      <c r="B1865" s="142" t="s">
        <v>14460</v>
      </c>
      <c r="C1865" s="142" t="s">
        <v>15860</v>
      </c>
      <c r="D1865" s="142" t="s">
        <v>15861</v>
      </c>
      <c r="E1865" s="142" t="s">
        <v>15849</v>
      </c>
      <c r="F1865" s="142" t="s">
        <v>3210</v>
      </c>
      <c r="G1865" s="142" t="s">
        <v>3209</v>
      </c>
      <c r="H1865" s="142" t="s">
        <v>17715</v>
      </c>
      <c r="I1865" s="142">
        <v>1</v>
      </c>
      <c r="J1865" s="142">
        <v>0</v>
      </c>
      <c r="K1865" s="142">
        <v>0</v>
      </c>
      <c r="L1865" s="142">
        <v>1</v>
      </c>
      <c r="M1865" s="142">
        <v>0</v>
      </c>
    </row>
    <row r="1866" spans="1:13" x14ac:dyDescent="0.45">
      <c r="A1866" s="142" t="s">
        <v>13099</v>
      </c>
      <c r="B1866" s="142" t="s">
        <v>14547</v>
      </c>
      <c r="C1866" s="142" t="s">
        <v>15860</v>
      </c>
      <c r="D1866" s="142" t="s">
        <v>15861</v>
      </c>
      <c r="E1866" s="142" t="s">
        <v>15849</v>
      </c>
      <c r="F1866" s="142" t="s">
        <v>3210</v>
      </c>
      <c r="G1866" s="142" t="s">
        <v>3209</v>
      </c>
      <c r="H1866" s="142" t="s">
        <v>17716</v>
      </c>
      <c r="I1866" s="142">
        <v>1</v>
      </c>
      <c r="J1866" s="142">
        <v>0</v>
      </c>
      <c r="K1866" s="142">
        <v>0</v>
      </c>
      <c r="L1866" s="142">
        <v>1</v>
      </c>
      <c r="M1866" s="142">
        <v>0</v>
      </c>
    </row>
    <row r="1867" spans="1:13" x14ac:dyDescent="0.45">
      <c r="A1867" s="142" t="s">
        <v>13049</v>
      </c>
      <c r="B1867" s="142" t="s">
        <v>14534</v>
      </c>
      <c r="C1867" s="142" t="s">
        <v>15860</v>
      </c>
      <c r="D1867" s="142" t="s">
        <v>15861</v>
      </c>
      <c r="E1867" s="142" t="s">
        <v>15849</v>
      </c>
      <c r="F1867" s="142" t="s">
        <v>3210</v>
      </c>
      <c r="G1867" s="142" t="s">
        <v>3209</v>
      </c>
      <c r="H1867" s="142" t="s">
        <v>17717</v>
      </c>
      <c r="I1867" s="142">
        <v>3</v>
      </c>
      <c r="J1867" s="142">
        <v>0</v>
      </c>
      <c r="K1867" s="142">
        <v>0</v>
      </c>
      <c r="L1867" s="142">
        <v>3</v>
      </c>
      <c r="M1867" s="142">
        <v>0</v>
      </c>
    </row>
    <row r="1868" spans="1:13" x14ac:dyDescent="0.45">
      <c r="A1868" s="142" t="s">
        <v>13025</v>
      </c>
      <c r="B1868" s="142" t="s">
        <v>15579</v>
      </c>
      <c r="C1868" s="142" t="s">
        <v>15847</v>
      </c>
      <c r="D1868" s="142" t="s">
        <v>15848</v>
      </c>
      <c r="E1868" s="142" t="s">
        <v>15849</v>
      </c>
      <c r="F1868" s="142" t="s">
        <v>3210</v>
      </c>
      <c r="G1868" s="142" t="s">
        <v>3209</v>
      </c>
      <c r="H1868" s="142" t="s">
        <v>17718</v>
      </c>
      <c r="I1868" s="142">
        <v>6</v>
      </c>
      <c r="J1868" s="142">
        <v>0</v>
      </c>
      <c r="K1868" s="142">
        <v>0</v>
      </c>
      <c r="L1868" s="142">
        <v>6</v>
      </c>
      <c r="M1868" s="142">
        <v>0</v>
      </c>
    </row>
    <row r="1869" spans="1:13" x14ac:dyDescent="0.45">
      <c r="A1869" s="142" t="s">
        <v>13027</v>
      </c>
      <c r="B1869" s="142" t="s">
        <v>14562</v>
      </c>
      <c r="C1869" s="142" t="s">
        <v>15847</v>
      </c>
      <c r="D1869" s="142" t="s">
        <v>15848</v>
      </c>
      <c r="E1869" s="142" t="s">
        <v>15849</v>
      </c>
      <c r="F1869" s="142" t="s">
        <v>3210</v>
      </c>
      <c r="G1869" s="142" t="s">
        <v>3209</v>
      </c>
      <c r="H1869" s="142" t="s">
        <v>17719</v>
      </c>
      <c r="I1869" s="142">
        <v>9</v>
      </c>
      <c r="J1869" s="142">
        <v>0</v>
      </c>
      <c r="K1869" s="142">
        <v>0</v>
      </c>
      <c r="L1869" s="142">
        <v>9</v>
      </c>
      <c r="M1869" s="142">
        <v>0</v>
      </c>
    </row>
    <row r="1870" spans="1:13" x14ac:dyDescent="0.45">
      <c r="A1870" s="142" t="s">
        <v>13148</v>
      </c>
      <c r="B1870" s="142" t="s">
        <v>15314</v>
      </c>
      <c r="C1870" s="142" t="s">
        <v>15847</v>
      </c>
      <c r="D1870" s="142" t="s">
        <v>15848</v>
      </c>
      <c r="E1870" s="142" t="s">
        <v>15849</v>
      </c>
      <c r="F1870" s="142" t="s">
        <v>3210</v>
      </c>
      <c r="G1870" s="142" t="s">
        <v>3209</v>
      </c>
      <c r="H1870" s="142" t="s">
        <v>17720</v>
      </c>
      <c r="I1870" s="142">
        <v>21</v>
      </c>
      <c r="J1870" s="142">
        <v>19</v>
      </c>
      <c r="K1870" s="142">
        <v>0</v>
      </c>
      <c r="L1870" s="142">
        <v>0</v>
      </c>
      <c r="M1870" s="142">
        <v>2</v>
      </c>
    </row>
    <row r="1871" spans="1:13" x14ac:dyDescent="0.45">
      <c r="A1871" s="142" t="s">
        <v>13001</v>
      </c>
      <c r="B1871" s="142" t="s">
        <v>15506</v>
      </c>
      <c r="C1871" s="142" t="s">
        <v>15847</v>
      </c>
      <c r="D1871" s="142" t="s">
        <v>15848</v>
      </c>
      <c r="E1871" s="142" t="s">
        <v>15849</v>
      </c>
      <c r="F1871" s="142" t="s">
        <v>3210</v>
      </c>
      <c r="G1871" s="142" t="s">
        <v>3209</v>
      </c>
      <c r="H1871" s="142" t="s">
        <v>17721</v>
      </c>
      <c r="I1871" s="142">
        <v>33</v>
      </c>
      <c r="J1871" s="142">
        <v>16</v>
      </c>
      <c r="K1871" s="142">
        <v>0</v>
      </c>
      <c r="L1871" s="142">
        <v>17</v>
      </c>
      <c r="M1871" s="142">
        <v>0</v>
      </c>
    </row>
    <row r="1872" spans="1:13" x14ac:dyDescent="0.45">
      <c r="A1872" s="142" t="s">
        <v>13149</v>
      </c>
      <c r="B1872" s="142" t="s">
        <v>14458</v>
      </c>
      <c r="C1872" s="142" t="s">
        <v>15860</v>
      </c>
      <c r="D1872" s="142" t="s">
        <v>15861</v>
      </c>
      <c r="E1872" s="142" t="s">
        <v>15849</v>
      </c>
      <c r="F1872" s="142" t="s">
        <v>3210</v>
      </c>
      <c r="G1872" s="142" t="s">
        <v>3209</v>
      </c>
      <c r="H1872" s="142" t="s">
        <v>17722</v>
      </c>
      <c r="I1872" s="142">
        <v>15</v>
      </c>
      <c r="J1872" s="142">
        <v>0</v>
      </c>
      <c r="K1872" s="142">
        <v>0</v>
      </c>
      <c r="L1872" s="142">
        <v>15</v>
      </c>
      <c r="M1872" s="142">
        <v>0</v>
      </c>
    </row>
    <row r="1873" spans="1:13" x14ac:dyDescent="0.45">
      <c r="A1873" s="142" t="s">
        <v>13028</v>
      </c>
      <c r="B1873" s="142" t="s">
        <v>14462</v>
      </c>
      <c r="C1873" s="142" t="s">
        <v>15847</v>
      </c>
      <c r="D1873" s="142" t="s">
        <v>15848</v>
      </c>
      <c r="E1873" s="142" t="s">
        <v>15849</v>
      </c>
      <c r="F1873" s="142" t="s">
        <v>3210</v>
      </c>
      <c r="G1873" s="142" t="s">
        <v>3209</v>
      </c>
      <c r="H1873" s="142" t="s">
        <v>17723</v>
      </c>
      <c r="I1873" s="142">
        <v>11</v>
      </c>
      <c r="J1873" s="142">
        <v>0</v>
      </c>
      <c r="K1873" s="142">
        <v>0</v>
      </c>
      <c r="L1873" s="142">
        <v>0</v>
      </c>
      <c r="M1873" s="142">
        <v>11</v>
      </c>
    </row>
    <row r="1874" spans="1:13" x14ac:dyDescent="0.45">
      <c r="A1874" s="142" t="s">
        <v>13002</v>
      </c>
      <c r="B1874" s="142" t="s">
        <v>15376</v>
      </c>
      <c r="C1874" s="142" t="s">
        <v>15847</v>
      </c>
      <c r="D1874" s="142" t="s">
        <v>15848</v>
      </c>
      <c r="E1874" s="142" t="s">
        <v>15849</v>
      </c>
      <c r="F1874" s="142" t="s">
        <v>3210</v>
      </c>
      <c r="G1874" s="142" t="s">
        <v>3209</v>
      </c>
      <c r="H1874" s="142" t="s">
        <v>17724</v>
      </c>
      <c r="I1874" s="142">
        <v>9</v>
      </c>
      <c r="J1874" s="142">
        <v>0</v>
      </c>
      <c r="K1874" s="142">
        <v>0</v>
      </c>
      <c r="L1874" s="142">
        <v>9</v>
      </c>
      <c r="M1874" s="142">
        <v>0</v>
      </c>
    </row>
    <row r="1875" spans="1:13" x14ac:dyDescent="0.45">
      <c r="A1875" s="142" t="s">
        <v>13003</v>
      </c>
      <c r="B1875" s="142" t="s">
        <v>15245</v>
      </c>
      <c r="C1875" s="142" t="s">
        <v>15847</v>
      </c>
      <c r="D1875" s="142" t="s">
        <v>15848</v>
      </c>
      <c r="E1875" s="142" t="s">
        <v>15849</v>
      </c>
      <c r="F1875" s="142" t="s">
        <v>3210</v>
      </c>
      <c r="G1875" s="142" t="s">
        <v>3209</v>
      </c>
      <c r="H1875" s="142" t="s">
        <v>17725</v>
      </c>
      <c r="I1875" s="142">
        <v>30</v>
      </c>
      <c r="J1875" s="142">
        <v>0</v>
      </c>
      <c r="K1875" s="142">
        <v>0</v>
      </c>
      <c r="L1875" s="142">
        <v>30</v>
      </c>
      <c r="M1875" s="142">
        <v>0</v>
      </c>
    </row>
    <row r="1876" spans="1:13" x14ac:dyDescent="0.45">
      <c r="A1876" s="142" t="s">
        <v>13066</v>
      </c>
      <c r="B1876" s="142" t="s">
        <v>14459</v>
      </c>
      <c r="C1876" s="142" t="s">
        <v>15847</v>
      </c>
      <c r="D1876" s="142" t="s">
        <v>15848</v>
      </c>
      <c r="E1876" s="142" t="s">
        <v>15849</v>
      </c>
      <c r="F1876" s="142" t="s">
        <v>3210</v>
      </c>
      <c r="G1876" s="142" t="s">
        <v>3209</v>
      </c>
      <c r="H1876" s="142" t="s">
        <v>17726</v>
      </c>
      <c r="I1876" s="142">
        <v>42</v>
      </c>
      <c r="J1876" s="142">
        <v>0</v>
      </c>
      <c r="K1876" s="142">
        <v>0</v>
      </c>
      <c r="L1876" s="142">
        <v>42</v>
      </c>
      <c r="M1876" s="142">
        <v>0</v>
      </c>
    </row>
    <row r="1877" spans="1:13" x14ac:dyDescent="0.45">
      <c r="A1877" s="142" t="s">
        <v>13029</v>
      </c>
      <c r="B1877" s="142" t="s">
        <v>14665</v>
      </c>
      <c r="C1877" s="142" t="s">
        <v>15847</v>
      </c>
      <c r="D1877" s="142" t="s">
        <v>15848</v>
      </c>
      <c r="E1877" s="142" t="s">
        <v>15849</v>
      </c>
      <c r="F1877" s="142" t="s">
        <v>3210</v>
      </c>
      <c r="G1877" s="142" t="s">
        <v>3209</v>
      </c>
      <c r="H1877" s="142" t="s">
        <v>17727</v>
      </c>
      <c r="I1877" s="142">
        <v>18</v>
      </c>
      <c r="J1877" s="142">
        <v>0</v>
      </c>
      <c r="K1877" s="142">
        <v>0</v>
      </c>
      <c r="L1877" s="142">
        <v>0</v>
      </c>
      <c r="M1877" s="142">
        <v>18</v>
      </c>
    </row>
    <row r="1878" spans="1:13" x14ac:dyDescent="0.45">
      <c r="A1878" s="142" t="s">
        <v>13006</v>
      </c>
      <c r="B1878" s="142" t="s">
        <v>15288</v>
      </c>
      <c r="C1878" s="142" t="s">
        <v>15847</v>
      </c>
      <c r="D1878" s="142" t="s">
        <v>15848</v>
      </c>
      <c r="E1878" s="142" t="s">
        <v>15849</v>
      </c>
      <c r="F1878" s="142" t="s">
        <v>3210</v>
      </c>
      <c r="G1878" s="142" t="s">
        <v>3209</v>
      </c>
      <c r="H1878" s="142" t="s">
        <v>17728</v>
      </c>
      <c r="I1878" s="142">
        <v>1</v>
      </c>
      <c r="J1878" s="142">
        <v>0</v>
      </c>
      <c r="K1878" s="142">
        <v>0</v>
      </c>
      <c r="L1878" s="142">
        <v>0</v>
      </c>
      <c r="M1878" s="142">
        <v>1</v>
      </c>
    </row>
    <row r="1879" spans="1:13" x14ac:dyDescent="0.45">
      <c r="A1879" s="142" t="s">
        <v>13030</v>
      </c>
      <c r="B1879" s="142" t="s">
        <v>14572</v>
      </c>
      <c r="C1879" s="142" t="s">
        <v>15847</v>
      </c>
      <c r="D1879" s="142" t="s">
        <v>15848</v>
      </c>
      <c r="E1879" s="142" t="s">
        <v>15849</v>
      </c>
      <c r="F1879" s="142" t="s">
        <v>3210</v>
      </c>
      <c r="G1879" s="142" t="s">
        <v>3209</v>
      </c>
      <c r="H1879" s="142" t="s">
        <v>17729</v>
      </c>
      <c r="I1879" s="142">
        <v>45</v>
      </c>
      <c r="J1879" s="142">
        <v>28</v>
      </c>
      <c r="K1879" s="142">
        <v>0</v>
      </c>
      <c r="L1879" s="142">
        <v>0</v>
      </c>
      <c r="M1879" s="142">
        <v>17</v>
      </c>
    </row>
    <row r="1880" spans="1:13" x14ac:dyDescent="0.45">
      <c r="A1880" s="142" t="s">
        <v>13033</v>
      </c>
      <c r="B1880" s="142" t="s">
        <v>15276</v>
      </c>
      <c r="C1880" s="142" t="s">
        <v>15847</v>
      </c>
      <c r="D1880" s="142" t="s">
        <v>15848</v>
      </c>
      <c r="E1880" s="142" t="s">
        <v>15849</v>
      </c>
      <c r="F1880" s="142" t="s">
        <v>3210</v>
      </c>
      <c r="G1880" s="142" t="s">
        <v>3209</v>
      </c>
      <c r="H1880" s="142" t="s">
        <v>17730</v>
      </c>
      <c r="I1880" s="142">
        <v>2</v>
      </c>
      <c r="J1880" s="142">
        <v>2</v>
      </c>
      <c r="K1880" s="142">
        <v>0</v>
      </c>
      <c r="L1880" s="142">
        <v>0</v>
      </c>
      <c r="M1880" s="142">
        <v>0</v>
      </c>
    </row>
    <row r="1881" spans="1:13" x14ac:dyDescent="0.45">
      <c r="A1881" s="142" t="s">
        <v>13034</v>
      </c>
      <c r="B1881" s="142" t="s">
        <v>15562</v>
      </c>
      <c r="C1881" s="142" t="s">
        <v>15847</v>
      </c>
      <c r="D1881" s="142" t="s">
        <v>15848</v>
      </c>
      <c r="E1881" s="142" t="s">
        <v>15849</v>
      </c>
      <c r="F1881" s="142" t="s">
        <v>3210</v>
      </c>
      <c r="G1881" s="142" t="s">
        <v>3209</v>
      </c>
      <c r="H1881" s="142" t="s">
        <v>17731</v>
      </c>
      <c r="I1881" s="142">
        <v>164</v>
      </c>
      <c r="J1881" s="142">
        <v>42</v>
      </c>
      <c r="K1881" s="142">
        <v>0</v>
      </c>
      <c r="L1881" s="142">
        <v>121</v>
      </c>
      <c r="M1881" s="142">
        <v>1</v>
      </c>
    </row>
    <row r="1882" spans="1:13" x14ac:dyDescent="0.45">
      <c r="A1882" s="142" t="s">
        <v>13036</v>
      </c>
      <c r="B1882" s="142" t="s">
        <v>15567</v>
      </c>
      <c r="C1882" s="142" t="s">
        <v>15847</v>
      </c>
      <c r="D1882" s="142" t="s">
        <v>15848</v>
      </c>
      <c r="E1882" s="142" t="s">
        <v>15849</v>
      </c>
      <c r="F1882" s="142" t="s">
        <v>3210</v>
      </c>
      <c r="G1882" s="142" t="s">
        <v>3209</v>
      </c>
      <c r="H1882" s="142" t="s">
        <v>17732</v>
      </c>
      <c r="I1882" s="142">
        <v>5</v>
      </c>
      <c r="J1882" s="142">
        <v>0</v>
      </c>
      <c r="K1882" s="142">
        <v>0</v>
      </c>
      <c r="L1882" s="142">
        <v>5</v>
      </c>
      <c r="M1882" s="142">
        <v>0</v>
      </c>
    </row>
    <row r="1883" spans="1:13" x14ac:dyDescent="0.45">
      <c r="A1883" s="142" t="s">
        <v>13037</v>
      </c>
      <c r="B1883" s="142" t="s">
        <v>14519</v>
      </c>
      <c r="C1883" s="142" t="s">
        <v>15847</v>
      </c>
      <c r="D1883" s="142" t="s">
        <v>15848</v>
      </c>
      <c r="E1883" s="142" t="s">
        <v>15849</v>
      </c>
      <c r="F1883" s="142" t="s">
        <v>3210</v>
      </c>
      <c r="G1883" s="142" t="s">
        <v>3209</v>
      </c>
      <c r="H1883" s="142" t="s">
        <v>17733</v>
      </c>
      <c r="I1883" s="142">
        <v>3</v>
      </c>
      <c r="J1883" s="142">
        <v>0</v>
      </c>
      <c r="K1883" s="142">
        <v>0</v>
      </c>
      <c r="L1883" s="142">
        <v>3</v>
      </c>
      <c r="M1883" s="142">
        <v>0</v>
      </c>
    </row>
    <row r="1884" spans="1:13" x14ac:dyDescent="0.45">
      <c r="A1884" s="142" t="s">
        <v>13038</v>
      </c>
      <c r="B1884" s="142" t="s">
        <v>14646</v>
      </c>
      <c r="C1884" s="142" t="s">
        <v>15847</v>
      </c>
      <c r="D1884" s="142" t="s">
        <v>15848</v>
      </c>
      <c r="E1884" s="142" t="s">
        <v>15849</v>
      </c>
      <c r="F1884" s="142" t="s">
        <v>3210</v>
      </c>
      <c r="G1884" s="142" t="s">
        <v>3209</v>
      </c>
      <c r="H1884" s="142" t="s">
        <v>17734</v>
      </c>
      <c r="I1884" s="142">
        <v>100</v>
      </c>
      <c r="J1884" s="142">
        <v>32</v>
      </c>
      <c r="K1884" s="142">
        <v>0</v>
      </c>
      <c r="L1884" s="142">
        <v>0</v>
      </c>
      <c r="M1884" s="142">
        <v>68</v>
      </c>
    </row>
    <row r="1885" spans="1:13" x14ac:dyDescent="0.45">
      <c r="A1885" s="142" t="s">
        <v>13039</v>
      </c>
      <c r="B1885" s="142" t="s">
        <v>14647</v>
      </c>
      <c r="C1885" s="142" t="s">
        <v>15847</v>
      </c>
      <c r="D1885" s="142" t="s">
        <v>15848</v>
      </c>
      <c r="E1885" s="142" t="s">
        <v>15849</v>
      </c>
      <c r="F1885" s="142" t="s">
        <v>3210</v>
      </c>
      <c r="G1885" s="142" t="s">
        <v>3209</v>
      </c>
      <c r="H1885" s="142" t="s">
        <v>17735</v>
      </c>
      <c r="I1885" s="142">
        <v>15</v>
      </c>
      <c r="J1885" s="142">
        <v>15</v>
      </c>
      <c r="K1885" s="142">
        <v>0</v>
      </c>
      <c r="L1885" s="142">
        <v>0</v>
      </c>
      <c r="M1885" s="142">
        <v>0</v>
      </c>
    </row>
    <row r="1886" spans="1:13" x14ac:dyDescent="0.45">
      <c r="A1886" s="142" t="s">
        <v>13078</v>
      </c>
      <c r="B1886" s="142" t="s">
        <v>15540</v>
      </c>
      <c r="C1886" s="142" t="s">
        <v>15847</v>
      </c>
      <c r="D1886" s="142" t="s">
        <v>15848</v>
      </c>
      <c r="E1886" s="142" t="s">
        <v>15849</v>
      </c>
      <c r="F1886" s="142" t="s">
        <v>3210</v>
      </c>
      <c r="G1886" s="142" t="s">
        <v>3209</v>
      </c>
      <c r="H1886" s="142" t="s">
        <v>17736</v>
      </c>
      <c r="I1886" s="142">
        <v>18</v>
      </c>
      <c r="J1886" s="142">
        <v>0</v>
      </c>
      <c r="K1886" s="142">
        <v>0</v>
      </c>
      <c r="L1886" s="142">
        <v>18</v>
      </c>
      <c r="M1886" s="142">
        <v>0</v>
      </c>
    </row>
    <row r="1887" spans="1:13" x14ac:dyDescent="0.45">
      <c r="A1887" s="142" t="s">
        <v>13091</v>
      </c>
      <c r="B1887" s="142" t="s">
        <v>14473</v>
      </c>
      <c r="C1887" s="142" t="s">
        <v>15847</v>
      </c>
      <c r="D1887" s="142" t="s">
        <v>15848</v>
      </c>
      <c r="E1887" s="142" t="s">
        <v>15849</v>
      </c>
      <c r="F1887" s="142" t="s">
        <v>3210</v>
      </c>
      <c r="G1887" s="142" t="s">
        <v>3209</v>
      </c>
      <c r="H1887" s="142" t="s">
        <v>17737</v>
      </c>
      <c r="I1887" s="142">
        <v>48</v>
      </c>
      <c r="J1887" s="142">
        <v>42</v>
      </c>
      <c r="K1887" s="142">
        <v>0</v>
      </c>
      <c r="L1887" s="142">
        <v>0</v>
      </c>
      <c r="M1887" s="142">
        <v>6</v>
      </c>
    </row>
    <row r="1888" spans="1:13" x14ac:dyDescent="0.45">
      <c r="A1888" s="142" t="s">
        <v>13009</v>
      </c>
      <c r="B1888" s="142" t="s">
        <v>15256</v>
      </c>
      <c r="C1888" s="142" t="s">
        <v>15847</v>
      </c>
      <c r="D1888" s="142" t="s">
        <v>15848</v>
      </c>
      <c r="E1888" s="142" t="s">
        <v>15849</v>
      </c>
      <c r="F1888" s="142" t="s">
        <v>3210</v>
      </c>
      <c r="G1888" s="142" t="s">
        <v>3209</v>
      </c>
      <c r="H1888" s="142" t="s">
        <v>17738</v>
      </c>
      <c r="I1888" s="142">
        <v>36</v>
      </c>
      <c r="J1888" s="142">
        <v>0</v>
      </c>
      <c r="K1888" s="142">
        <v>0</v>
      </c>
      <c r="L1888" s="142">
        <v>36</v>
      </c>
      <c r="M1888" s="142">
        <v>0</v>
      </c>
    </row>
    <row r="1889" spans="1:13" x14ac:dyDescent="0.45">
      <c r="A1889" s="142" t="s">
        <v>13152</v>
      </c>
      <c r="B1889" s="142" t="s">
        <v>15249</v>
      </c>
      <c r="C1889" s="142" t="s">
        <v>15847</v>
      </c>
      <c r="D1889" s="142" t="s">
        <v>15848</v>
      </c>
      <c r="E1889" s="142" t="s">
        <v>15849</v>
      </c>
      <c r="F1889" s="142" t="s">
        <v>3210</v>
      </c>
      <c r="G1889" s="142" t="s">
        <v>3209</v>
      </c>
      <c r="H1889" s="142" t="s">
        <v>17739</v>
      </c>
      <c r="I1889" s="142">
        <v>177</v>
      </c>
      <c r="J1889" s="142">
        <v>153</v>
      </c>
      <c r="K1889" s="142">
        <v>0</v>
      </c>
      <c r="L1889" s="142">
        <v>4</v>
      </c>
      <c r="M1889" s="142">
        <v>20</v>
      </c>
    </row>
    <row r="1890" spans="1:13" x14ac:dyDescent="0.45">
      <c r="A1890" s="142" t="s">
        <v>13041</v>
      </c>
      <c r="B1890" s="142" t="s">
        <v>14441</v>
      </c>
      <c r="C1890" s="142" t="s">
        <v>15847</v>
      </c>
      <c r="D1890" s="142" t="s">
        <v>15848</v>
      </c>
      <c r="E1890" s="142" t="s">
        <v>15849</v>
      </c>
      <c r="F1890" s="142" t="s">
        <v>3210</v>
      </c>
      <c r="G1890" s="142" t="s">
        <v>3209</v>
      </c>
      <c r="H1890" s="142" t="s">
        <v>17740</v>
      </c>
      <c r="I1890" s="142">
        <v>11</v>
      </c>
      <c r="J1890" s="142">
        <v>0</v>
      </c>
      <c r="K1890" s="142">
        <v>0</v>
      </c>
      <c r="L1890" s="142">
        <v>0</v>
      </c>
      <c r="M1890" s="142">
        <v>11</v>
      </c>
    </row>
    <row r="1891" spans="1:13" x14ac:dyDescent="0.45">
      <c r="A1891" s="142" t="s">
        <v>13014</v>
      </c>
      <c r="B1891" s="142" t="s">
        <v>14505</v>
      </c>
      <c r="C1891" s="142" t="s">
        <v>15847</v>
      </c>
      <c r="D1891" s="142" t="s">
        <v>15848</v>
      </c>
      <c r="E1891" s="142" t="s">
        <v>15849</v>
      </c>
      <c r="F1891" s="142" t="s">
        <v>3210</v>
      </c>
      <c r="G1891" s="142" t="s">
        <v>3209</v>
      </c>
      <c r="H1891" s="142" t="s">
        <v>17741</v>
      </c>
      <c r="I1891" s="142">
        <v>613</v>
      </c>
      <c r="J1891" s="142">
        <v>327</v>
      </c>
      <c r="K1891" s="142">
        <v>0</v>
      </c>
      <c r="L1891" s="142">
        <v>245</v>
      </c>
      <c r="M1891" s="142">
        <v>41</v>
      </c>
    </row>
    <row r="1892" spans="1:13" x14ac:dyDescent="0.45">
      <c r="A1892" s="142" t="s">
        <v>13154</v>
      </c>
      <c r="B1892" s="142" t="s">
        <v>15415</v>
      </c>
      <c r="C1892" s="142" t="s">
        <v>15847</v>
      </c>
      <c r="D1892" s="142" t="s">
        <v>15848</v>
      </c>
      <c r="E1892" s="142" t="s">
        <v>15849</v>
      </c>
      <c r="F1892" s="142" t="s">
        <v>3210</v>
      </c>
      <c r="G1892" s="142" t="s">
        <v>3209</v>
      </c>
      <c r="H1892" s="142" t="s">
        <v>17742</v>
      </c>
      <c r="I1892" s="142">
        <v>126</v>
      </c>
      <c r="J1892" s="142">
        <v>112</v>
      </c>
      <c r="K1892" s="142">
        <v>0</v>
      </c>
      <c r="L1892" s="142">
        <v>0</v>
      </c>
      <c r="M1892" s="142">
        <v>14</v>
      </c>
    </row>
    <row r="1893" spans="1:13" x14ac:dyDescent="0.45">
      <c r="A1893" s="142" t="s">
        <v>13144</v>
      </c>
      <c r="B1893" s="142" t="s">
        <v>14464</v>
      </c>
      <c r="C1893" s="142" t="s">
        <v>15860</v>
      </c>
      <c r="D1893" s="142" t="s">
        <v>15861</v>
      </c>
      <c r="E1893" s="142" t="s">
        <v>15849</v>
      </c>
      <c r="F1893" s="142" t="s">
        <v>3210</v>
      </c>
      <c r="G1893" s="142" t="s">
        <v>3209</v>
      </c>
      <c r="H1893" s="142" t="s">
        <v>17743</v>
      </c>
      <c r="I1893" s="142">
        <v>4</v>
      </c>
      <c r="J1893" s="142">
        <v>0</v>
      </c>
      <c r="K1893" s="142">
        <v>0</v>
      </c>
      <c r="L1893" s="142">
        <v>4</v>
      </c>
      <c r="M1893" s="142">
        <v>0</v>
      </c>
    </row>
    <row r="1894" spans="1:13" x14ac:dyDescent="0.45">
      <c r="A1894" s="142" t="s">
        <v>13110</v>
      </c>
      <c r="B1894" s="142" t="s">
        <v>15502</v>
      </c>
      <c r="C1894" s="142" t="s">
        <v>15847</v>
      </c>
      <c r="D1894" s="142" t="s">
        <v>15848</v>
      </c>
      <c r="E1894" s="142" t="s">
        <v>15849</v>
      </c>
      <c r="F1894" s="142" t="s">
        <v>8987</v>
      </c>
      <c r="G1894" s="142" t="s">
        <v>8986</v>
      </c>
      <c r="H1894" s="142" t="s">
        <v>17744</v>
      </c>
      <c r="I1894" s="142">
        <v>459</v>
      </c>
      <c r="J1894" s="142">
        <v>420</v>
      </c>
      <c r="K1894" s="142">
        <v>0</v>
      </c>
      <c r="L1894" s="142">
        <v>3</v>
      </c>
      <c r="M1894" s="142">
        <v>36</v>
      </c>
    </row>
    <row r="1895" spans="1:13" x14ac:dyDescent="0.45">
      <c r="A1895" s="142" t="s">
        <v>13166</v>
      </c>
      <c r="B1895" s="142" t="s">
        <v>15576</v>
      </c>
      <c r="C1895" s="142" t="s">
        <v>15847</v>
      </c>
      <c r="D1895" s="142" t="s">
        <v>15848</v>
      </c>
      <c r="E1895" s="142" t="s">
        <v>15849</v>
      </c>
      <c r="F1895" s="142" t="s">
        <v>8987</v>
      </c>
      <c r="G1895" s="142" t="s">
        <v>8986</v>
      </c>
      <c r="H1895" s="142" t="s">
        <v>17745</v>
      </c>
      <c r="I1895" s="142">
        <v>20</v>
      </c>
      <c r="J1895" s="142">
        <v>14</v>
      </c>
      <c r="K1895" s="142">
        <v>0</v>
      </c>
      <c r="L1895" s="142">
        <v>0</v>
      </c>
      <c r="M1895" s="142">
        <v>6</v>
      </c>
    </row>
    <row r="1896" spans="1:13" x14ac:dyDescent="0.45">
      <c r="A1896" s="142" t="s">
        <v>13167</v>
      </c>
      <c r="B1896" s="142" t="s">
        <v>15418</v>
      </c>
      <c r="C1896" s="142" t="s">
        <v>15847</v>
      </c>
      <c r="D1896" s="142" t="s">
        <v>15848</v>
      </c>
      <c r="E1896" s="142" t="s">
        <v>15849</v>
      </c>
      <c r="F1896" s="142" t="s">
        <v>8987</v>
      </c>
      <c r="G1896" s="142" t="s">
        <v>8986</v>
      </c>
      <c r="H1896" s="142" t="s">
        <v>17746</v>
      </c>
      <c r="I1896" s="142">
        <v>161</v>
      </c>
      <c r="J1896" s="142">
        <v>145</v>
      </c>
      <c r="K1896" s="142">
        <v>0</v>
      </c>
      <c r="L1896" s="142">
        <v>0</v>
      </c>
      <c r="M1896" s="142">
        <v>16</v>
      </c>
    </row>
    <row r="1897" spans="1:13" x14ac:dyDescent="0.45">
      <c r="A1897" s="142" t="s">
        <v>13021</v>
      </c>
      <c r="B1897" s="142" t="s">
        <v>15501</v>
      </c>
      <c r="C1897" s="142" t="s">
        <v>15847</v>
      </c>
      <c r="D1897" s="142" t="s">
        <v>15848</v>
      </c>
      <c r="E1897" s="142" t="s">
        <v>15849</v>
      </c>
      <c r="F1897" s="142" t="s">
        <v>8987</v>
      </c>
      <c r="G1897" s="142" t="s">
        <v>8986</v>
      </c>
      <c r="H1897" s="142" t="s">
        <v>17747</v>
      </c>
      <c r="I1897" s="142">
        <v>1</v>
      </c>
      <c r="J1897" s="142">
        <v>0</v>
      </c>
      <c r="K1897" s="142">
        <v>0</v>
      </c>
      <c r="L1897" s="142">
        <v>0</v>
      </c>
      <c r="M1897" s="142">
        <v>1</v>
      </c>
    </row>
    <row r="1898" spans="1:13" x14ac:dyDescent="0.45">
      <c r="A1898" s="142" t="s">
        <v>13023</v>
      </c>
      <c r="B1898" s="142" t="s">
        <v>15571</v>
      </c>
      <c r="C1898" s="142" t="s">
        <v>15847</v>
      </c>
      <c r="D1898" s="142" t="s">
        <v>15848</v>
      </c>
      <c r="E1898" s="142" t="s">
        <v>15849</v>
      </c>
      <c r="F1898" s="142" t="s">
        <v>8987</v>
      </c>
      <c r="G1898" s="142" t="s">
        <v>8986</v>
      </c>
      <c r="H1898" s="142" t="s">
        <v>17748</v>
      </c>
      <c r="I1898" s="142">
        <v>123</v>
      </c>
      <c r="J1898" s="142">
        <v>5</v>
      </c>
      <c r="K1898" s="142">
        <v>0</v>
      </c>
      <c r="L1898" s="142">
        <v>118</v>
      </c>
      <c r="M1898" s="142">
        <v>0</v>
      </c>
    </row>
    <row r="1899" spans="1:13" x14ac:dyDescent="0.45">
      <c r="A1899" s="142" t="s">
        <v>13047</v>
      </c>
      <c r="B1899" s="142" t="s">
        <v>14616</v>
      </c>
      <c r="C1899" s="142" t="s">
        <v>15847</v>
      </c>
      <c r="D1899" s="142" t="s">
        <v>15848</v>
      </c>
      <c r="E1899" s="142" t="s">
        <v>15849</v>
      </c>
      <c r="F1899" s="142" t="s">
        <v>8987</v>
      </c>
      <c r="G1899" s="142" t="s">
        <v>8986</v>
      </c>
      <c r="H1899" s="142" t="s">
        <v>17749</v>
      </c>
      <c r="I1899" s="142">
        <v>36</v>
      </c>
      <c r="J1899" s="142">
        <v>27</v>
      </c>
      <c r="K1899" s="142">
        <v>0</v>
      </c>
      <c r="L1899" s="142">
        <v>0</v>
      </c>
      <c r="M1899" s="142">
        <v>9</v>
      </c>
    </row>
    <row r="1900" spans="1:13" x14ac:dyDescent="0.45">
      <c r="A1900" s="142" t="s">
        <v>13048</v>
      </c>
      <c r="B1900" s="142" t="s">
        <v>14479</v>
      </c>
      <c r="C1900" s="142" t="s">
        <v>15847</v>
      </c>
      <c r="D1900" s="142" t="s">
        <v>15848</v>
      </c>
      <c r="E1900" s="142" t="s">
        <v>15849</v>
      </c>
      <c r="F1900" s="142" t="s">
        <v>8987</v>
      </c>
      <c r="G1900" s="142" t="s">
        <v>8986</v>
      </c>
      <c r="H1900" s="142" t="s">
        <v>17750</v>
      </c>
      <c r="I1900" s="142">
        <v>42</v>
      </c>
      <c r="J1900" s="142">
        <v>28</v>
      </c>
      <c r="K1900" s="142">
        <v>0</v>
      </c>
      <c r="L1900" s="142">
        <v>0</v>
      </c>
      <c r="M1900" s="142">
        <v>14</v>
      </c>
    </row>
    <row r="1901" spans="1:13" x14ac:dyDescent="0.45">
      <c r="A1901" s="142" t="s">
        <v>13082</v>
      </c>
      <c r="B1901" s="142" t="s">
        <v>14478</v>
      </c>
      <c r="C1901" s="142" t="s">
        <v>15860</v>
      </c>
      <c r="D1901" s="142" t="s">
        <v>15861</v>
      </c>
      <c r="E1901" s="142" t="s">
        <v>15849</v>
      </c>
      <c r="F1901" s="142" t="s">
        <v>8987</v>
      </c>
      <c r="G1901" s="142" t="s">
        <v>8986</v>
      </c>
      <c r="H1901" s="142" t="s">
        <v>17751</v>
      </c>
      <c r="I1901" s="142">
        <v>11</v>
      </c>
      <c r="J1901" s="142">
        <v>0</v>
      </c>
      <c r="K1901" s="142">
        <v>0</v>
      </c>
      <c r="L1901" s="142">
        <v>11</v>
      </c>
      <c r="M1901" s="142">
        <v>0</v>
      </c>
    </row>
    <row r="1902" spans="1:13" x14ac:dyDescent="0.45">
      <c r="A1902" s="142" t="s">
        <v>13510</v>
      </c>
      <c r="B1902" s="142" t="s">
        <v>15322</v>
      </c>
      <c r="C1902" s="142" t="s">
        <v>15860</v>
      </c>
      <c r="D1902" s="142" t="s">
        <v>15861</v>
      </c>
      <c r="E1902" s="142" t="s">
        <v>15849</v>
      </c>
      <c r="F1902" s="142" t="s">
        <v>8987</v>
      </c>
      <c r="G1902" s="142" t="s">
        <v>8986</v>
      </c>
      <c r="H1902" s="142" t="s">
        <v>17752</v>
      </c>
      <c r="I1902" s="142">
        <v>101</v>
      </c>
      <c r="J1902" s="142">
        <v>0</v>
      </c>
      <c r="K1902" s="142">
        <v>0</v>
      </c>
      <c r="L1902" s="142">
        <v>101</v>
      </c>
      <c r="M1902" s="142">
        <v>0</v>
      </c>
    </row>
    <row r="1903" spans="1:13" x14ac:dyDescent="0.45">
      <c r="A1903" s="142" t="s">
        <v>13000</v>
      </c>
      <c r="B1903" s="142" t="s">
        <v>14610</v>
      </c>
      <c r="C1903" s="142" t="s">
        <v>15847</v>
      </c>
      <c r="D1903" s="142" t="s">
        <v>15848</v>
      </c>
      <c r="E1903" s="142" t="s">
        <v>15849</v>
      </c>
      <c r="F1903" s="142" t="s">
        <v>8987</v>
      </c>
      <c r="G1903" s="142" t="s">
        <v>8986</v>
      </c>
      <c r="H1903" s="142" t="s">
        <v>17753</v>
      </c>
      <c r="I1903" s="142">
        <v>1498</v>
      </c>
      <c r="J1903" s="142">
        <v>1110</v>
      </c>
      <c r="K1903" s="142">
        <v>0</v>
      </c>
      <c r="L1903" s="142">
        <v>68</v>
      </c>
      <c r="M1903" s="142">
        <v>320</v>
      </c>
    </row>
    <row r="1904" spans="1:13" x14ac:dyDescent="0.45">
      <c r="A1904" s="142" t="s">
        <v>13027</v>
      </c>
      <c r="B1904" s="142" t="s">
        <v>14562</v>
      </c>
      <c r="C1904" s="142" t="s">
        <v>15847</v>
      </c>
      <c r="D1904" s="142" t="s">
        <v>15848</v>
      </c>
      <c r="E1904" s="142" t="s">
        <v>15849</v>
      </c>
      <c r="F1904" s="142" t="s">
        <v>8987</v>
      </c>
      <c r="G1904" s="142" t="s">
        <v>8986</v>
      </c>
      <c r="H1904" s="142" t="s">
        <v>17754</v>
      </c>
      <c r="I1904" s="142">
        <v>8</v>
      </c>
      <c r="J1904" s="142">
        <v>0</v>
      </c>
      <c r="K1904" s="142">
        <v>0</v>
      </c>
      <c r="L1904" s="142">
        <v>8</v>
      </c>
      <c r="M1904" s="142">
        <v>0</v>
      </c>
    </row>
    <row r="1905" spans="1:13" x14ac:dyDescent="0.45">
      <c r="A1905" s="142" t="s">
        <v>13050</v>
      </c>
      <c r="B1905" s="142" t="s">
        <v>15237</v>
      </c>
      <c r="C1905" s="142" t="s">
        <v>15847</v>
      </c>
      <c r="D1905" s="142" t="s">
        <v>15848</v>
      </c>
      <c r="E1905" s="142" t="s">
        <v>15849</v>
      </c>
      <c r="F1905" s="142" t="s">
        <v>8987</v>
      </c>
      <c r="G1905" s="142" t="s">
        <v>8986</v>
      </c>
      <c r="H1905" s="142" t="s">
        <v>17755</v>
      </c>
      <c r="I1905" s="142">
        <v>168</v>
      </c>
      <c r="J1905" s="142">
        <v>104</v>
      </c>
      <c r="K1905" s="142">
        <v>0</v>
      </c>
      <c r="L1905" s="142">
        <v>0</v>
      </c>
      <c r="M1905" s="142">
        <v>64</v>
      </c>
    </row>
    <row r="1906" spans="1:13" x14ac:dyDescent="0.45">
      <c r="A1906" s="142" t="s">
        <v>13028</v>
      </c>
      <c r="B1906" s="142" t="s">
        <v>14462</v>
      </c>
      <c r="C1906" s="142" t="s">
        <v>15847</v>
      </c>
      <c r="D1906" s="142" t="s">
        <v>15848</v>
      </c>
      <c r="E1906" s="142" t="s">
        <v>15849</v>
      </c>
      <c r="F1906" s="142" t="s">
        <v>8987</v>
      </c>
      <c r="G1906" s="142" t="s">
        <v>8986</v>
      </c>
      <c r="H1906" s="142" t="s">
        <v>17756</v>
      </c>
      <c r="I1906" s="142">
        <v>7</v>
      </c>
      <c r="J1906" s="142">
        <v>0</v>
      </c>
      <c r="K1906" s="142">
        <v>0</v>
      </c>
      <c r="L1906" s="142">
        <v>0</v>
      </c>
      <c r="M1906" s="142">
        <v>7</v>
      </c>
    </row>
    <row r="1907" spans="1:13" x14ac:dyDescent="0.45">
      <c r="A1907" s="142" t="s">
        <v>13002</v>
      </c>
      <c r="B1907" s="142" t="s">
        <v>15376</v>
      </c>
      <c r="C1907" s="142" t="s">
        <v>15847</v>
      </c>
      <c r="D1907" s="142" t="s">
        <v>15848</v>
      </c>
      <c r="E1907" s="142" t="s">
        <v>15849</v>
      </c>
      <c r="F1907" s="142" t="s">
        <v>8987</v>
      </c>
      <c r="G1907" s="142" t="s">
        <v>8986</v>
      </c>
      <c r="H1907" s="142" t="s">
        <v>17757</v>
      </c>
      <c r="I1907" s="142">
        <v>363</v>
      </c>
      <c r="J1907" s="142">
        <v>305</v>
      </c>
      <c r="K1907" s="142">
        <v>0</v>
      </c>
      <c r="L1907" s="142">
        <v>47</v>
      </c>
      <c r="M1907" s="142">
        <v>11</v>
      </c>
    </row>
    <row r="1908" spans="1:13" x14ac:dyDescent="0.45">
      <c r="A1908" s="142" t="s">
        <v>13004</v>
      </c>
      <c r="B1908" s="142" t="s">
        <v>15492</v>
      </c>
      <c r="C1908" s="142" t="s">
        <v>15847</v>
      </c>
      <c r="D1908" s="142" t="s">
        <v>15848</v>
      </c>
      <c r="E1908" s="142" t="s">
        <v>15849</v>
      </c>
      <c r="F1908" s="142" t="s">
        <v>8987</v>
      </c>
      <c r="G1908" s="142" t="s">
        <v>8986</v>
      </c>
      <c r="H1908" s="142" t="s">
        <v>17758</v>
      </c>
      <c r="I1908" s="142">
        <v>187</v>
      </c>
      <c r="J1908" s="142">
        <v>140</v>
      </c>
      <c r="K1908" s="142">
        <v>0</v>
      </c>
      <c r="L1908" s="142">
        <v>24</v>
      </c>
      <c r="M1908" s="142">
        <v>23</v>
      </c>
    </row>
    <row r="1909" spans="1:13" x14ac:dyDescent="0.45">
      <c r="A1909" s="142" t="s">
        <v>13066</v>
      </c>
      <c r="B1909" s="142" t="s">
        <v>14459</v>
      </c>
      <c r="C1909" s="142" t="s">
        <v>15847</v>
      </c>
      <c r="D1909" s="142" t="s">
        <v>15848</v>
      </c>
      <c r="E1909" s="142" t="s">
        <v>15849</v>
      </c>
      <c r="F1909" s="142" t="s">
        <v>8987</v>
      </c>
      <c r="G1909" s="142" t="s">
        <v>8986</v>
      </c>
      <c r="H1909" s="142" t="s">
        <v>17759</v>
      </c>
      <c r="I1909" s="142">
        <v>18</v>
      </c>
      <c r="J1909" s="142">
        <v>0</v>
      </c>
      <c r="K1909" s="142">
        <v>0</v>
      </c>
      <c r="L1909" s="142">
        <v>18</v>
      </c>
      <c r="M1909" s="142">
        <v>0</v>
      </c>
    </row>
    <row r="1910" spans="1:13" x14ac:dyDescent="0.45">
      <c r="A1910" s="142" t="s">
        <v>13076</v>
      </c>
      <c r="B1910" s="142" t="s">
        <v>14636</v>
      </c>
      <c r="C1910" s="142" t="s">
        <v>15847</v>
      </c>
      <c r="D1910" s="142" t="s">
        <v>15848</v>
      </c>
      <c r="E1910" s="142" t="s">
        <v>15849</v>
      </c>
      <c r="F1910" s="142" t="s">
        <v>8987</v>
      </c>
      <c r="G1910" s="142" t="s">
        <v>8986</v>
      </c>
      <c r="H1910" s="142" t="s">
        <v>17760</v>
      </c>
      <c r="I1910" s="142">
        <v>14</v>
      </c>
      <c r="J1910" s="142">
        <v>0</v>
      </c>
      <c r="K1910" s="142">
        <v>0</v>
      </c>
      <c r="L1910" s="142">
        <v>0</v>
      </c>
      <c r="M1910" s="142">
        <v>14</v>
      </c>
    </row>
    <row r="1911" spans="1:13" x14ac:dyDescent="0.45">
      <c r="A1911" s="142" t="s">
        <v>13029</v>
      </c>
      <c r="B1911" s="142" t="s">
        <v>14665</v>
      </c>
      <c r="C1911" s="142" t="s">
        <v>15847</v>
      </c>
      <c r="D1911" s="142" t="s">
        <v>15848</v>
      </c>
      <c r="E1911" s="142" t="s">
        <v>15849</v>
      </c>
      <c r="F1911" s="142" t="s">
        <v>8987</v>
      </c>
      <c r="G1911" s="142" t="s">
        <v>8986</v>
      </c>
      <c r="H1911" s="142" t="s">
        <v>17761</v>
      </c>
      <c r="I1911" s="142">
        <v>58</v>
      </c>
      <c r="J1911" s="142">
        <v>0</v>
      </c>
      <c r="K1911" s="142">
        <v>0</v>
      </c>
      <c r="L1911" s="142">
        <v>0</v>
      </c>
      <c r="M1911" s="142">
        <v>58</v>
      </c>
    </row>
    <row r="1912" spans="1:13" x14ac:dyDescent="0.45">
      <c r="A1912" s="142" t="s">
        <v>13053</v>
      </c>
      <c r="B1912" s="142" t="s">
        <v>15436</v>
      </c>
      <c r="C1912" s="142" t="s">
        <v>15847</v>
      </c>
      <c r="D1912" s="142" t="s">
        <v>15848</v>
      </c>
      <c r="E1912" s="142" t="s">
        <v>15849</v>
      </c>
      <c r="F1912" s="142" t="s">
        <v>8987</v>
      </c>
      <c r="G1912" s="142" t="s">
        <v>8986</v>
      </c>
      <c r="H1912" s="142" t="s">
        <v>17762</v>
      </c>
      <c r="I1912" s="142">
        <v>5319</v>
      </c>
      <c r="J1912" s="142">
        <v>4810</v>
      </c>
      <c r="K1912" s="142">
        <v>0</v>
      </c>
      <c r="L1912" s="142">
        <v>390</v>
      </c>
      <c r="M1912" s="142">
        <v>119</v>
      </c>
    </row>
    <row r="1913" spans="1:13" x14ac:dyDescent="0.45">
      <c r="A1913" s="142" t="s">
        <v>13006</v>
      </c>
      <c r="B1913" s="142" t="s">
        <v>15288</v>
      </c>
      <c r="C1913" s="142" t="s">
        <v>15847</v>
      </c>
      <c r="D1913" s="142" t="s">
        <v>15848</v>
      </c>
      <c r="E1913" s="142" t="s">
        <v>15849</v>
      </c>
      <c r="F1913" s="142" t="s">
        <v>8987</v>
      </c>
      <c r="G1913" s="142" t="s">
        <v>8986</v>
      </c>
      <c r="H1913" s="142" t="s">
        <v>17763</v>
      </c>
      <c r="I1913" s="142">
        <v>3</v>
      </c>
      <c r="J1913" s="142">
        <v>0</v>
      </c>
      <c r="K1913" s="142">
        <v>0</v>
      </c>
      <c r="L1913" s="142">
        <v>0</v>
      </c>
      <c r="M1913" s="142">
        <v>3</v>
      </c>
    </row>
    <row r="1914" spans="1:13" x14ac:dyDescent="0.45">
      <c r="A1914" s="142" t="s">
        <v>13007</v>
      </c>
      <c r="B1914" s="142" t="s">
        <v>15262</v>
      </c>
      <c r="C1914" s="142" t="s">
        <v>15847</v>
      </c>
      <c r="D1914" s="142" t="s">
        <v>15848</v>
      </c>
      <c r="E1914" s="142" t="s">
        <v>15849</v>
      </c>
      <c r="F1914" s="142" t="s">
        <v>8987</v>
      </c>
      <c r="G1914" s="142" t="s">
        <v>8986</v>
      </c>
      <c r="H1914" s="142" t="s">
        <v>17764</v>
      </c>
      <c r="I1914" s="142">
        <v>2</v>
      </c>
      <c r="J1914" s="142">
        <v>0</v>
      </c>
      <c r="K1914" s="142">
        <v>0</v>
      </c>
      <c r="L1914" s="142">
        <v>0</v>
      </c>
      <c r="M1914" s="142">
        <v>2</v>
      </c>
    </row>
    <row r="1915" spans="1:13" x14ac:dyDescent="0.45">
      <c r="A1915" s="142" t="s">
        <v>13511</v>
      </c>
      <c r="B1915" s="142" t="s">
        <v>14804</v>
      </c>
      <c r="C1915" s="142" t="s">
        <v>15860</v>
      </c>
      <c r="D1915" s="142" t="s">
        <v>15861</v>
      </c>
      <c r="E1915" s="142" t="s">
        <v>15849</v>
      </c>
      <c r="F1915" s="142" t="s">
        <v>8987</v>
      </c>
      <c r="G1915" s="142" t="s">
        <v>8986</v>
      </c>
      <c r="H1915" s="142" t="s">
        <v>17765</v>
      </c>
      <c r="I1915" s="142">
        <v>7</v>
      </c>
      <c r="J1915" s="142">
        <v>0</v>
      </c>
      <c r="K1915" s="142">
        <v>0</v>
      </c>
      <c r="L1915" s="142">
        <v>7</v>
      </c>
      <c r="M1915" s="142">
        <v>0</v>
      </c>
    </row>
    <row r="1916" spans="1:13" x14ac:dyDescent="0.45">
      <c r="A1916" s="142" t="s">
        <v>13054</v>
      </c>
      <c r="B1916" s="142" t="s">
        <v>15604</v>
      </c>
      <c r="C1916" s="142" t="s">
        <v>15847</v>
      </c>
      <c r="D1916" s="142" t="s">
        <v>15848</v>
      </c>
      <c r="E1916" s="142" t="s">
        <v>15849</v>
      </c>
      <c r="F1916" s="142" t="s">
        <v>8987</v>
      </c>
      <c r="G1916" s="142" t="s">
        <v>8986</v>
      </c>
      <c r="H1916" s="142" t="s">
        <v>17766</v>
      </c>
      <c r="I1916" s="142">
        <v>1</v>
      </c>
      <c r="J1916" s="142">
        <v>0</v>
      </c>
      <c r="K1916" s="142">
        <v>0</v>
      </c>
      <c r="L1916" s="142">
        <v>0</v>
      </c>
      <c r="M1916" s="142">
        <v>1</v>
      </c>
    </row>
    <row r="1917" spans="1:13" x14ac:dyDescent="0.45">
      <c r="A1917" s="142" t="s">
        <v>13512</v>
      </c>
      <c r="B1917" s="142" t="s">
        <v>15255</v>
      </c>
      <c r="C1917" s="142" t="s">
        <v>15860</v>
      </c>
      <c r="D1917" s="142" t="s">
        <v>15861</v>
      </c>
      <c r="E1917" s="142" t="s">
        <v>15849</v>
      </c>
      <c r="F1917" s="142" t="s">
        <v>8987</v>
      </c>
      <c r="G1917" s="142" t="s">
        <v>8986</v>
      </c>
      <c r="H1917" s="142" t="s">
        <v>17767</v>
      </c>
      <c r="I1917" s="142">
        <v>24</v>
      </c>
      <c r="J1917" s="142">
        <v>8</v>
      </c>
      <c r="K1917" s="142">
        <v>0</v>
      </c>
      <c r="L1917" s="142">
        <v>16</v>
      </c>
      <c r="M1917" s="142">
        <v>0</v>
      </c>
    </row>
    <row r="1918" spans="1:13" x14ac:dyDescent="0.45">
      <c r="A1918" s="142" t="s">
        <v>13033</v>
      </c>
      <c r="B1918" s="142" t="s">
        <v>15276</v>
      </c>
      <c r="C1918" s="142" t="s">
        <v>15847</v>
      </c>
      <c r="D1918" s="142" t="s">
        <v>15848</v>
      </c>
      <c r="E1918" s="142" t="s">
        <v>15849</v>
      </c>
      <c r="F1918" s="142" t="s">
        <v>8987</v>
      </c>
      <c r="G1918" s="142" t="s">
        <v>8986</v>
      </c>
      <c r="H1918" s="142" t="s">
        <v>17768</v>
      </c>
      <c r="I1918" s="142">
        <v>65</v>
      </c>
      <c r="J1918" s="142">
        <v>64</v>
      </c>
      <c r="K1918" s="142">
        <v>0</v>
      </c>
      <c r="L1918" s="142">
        <v>1</v>
      </c>
      <c r="M1918" s="142">
        <v>0</v>
      </c>
    </row>
    <row r="1919" spans="1:13" x14ac:dyDescent="0.45">
      <c r="A1919" s="142" t="s">
        <v>13034</v>
      </c>
      <c r="B1919" s="142" t="s">
        <v>15562</v>
      </c>
      <c r="C1919" s="142" t="s">
        <v>15847</v>
      </c>
      <c r="D1919" s="142" t="s">
        <v>15848</v>
      </c>
      <c r="E1919" s="142" t="s">
        <v>15849</v>
      </c>
      <c r="F1919" s="142" t="s">
        <v>8987</v>
      </c>
      <c r="G1919" s="142" t="s">
        <v>8986</v>
      </c>
      <c r="H1919" s="142" t="s">
        <v>17769</v>
      </c>
      <c r="I1919" s="142">
        <v>39</v>
      </c>
      <c r="J1919" s="142">
        <v>0</v>
      </c>
      <c r="K1919" s="142">
        <v>0</v>
      </c>
      <c r="L1919" s="142">
        <v>39</v>
      </c>
      <c r="M1919" s="142">
        <v>0</v>
      </c>
    </row>
    <row r="1920" spans="1:13" x14ac:dyDescent="0.45">
      <c r="A1920" s="142" t="s">
        <v>13038</v>
      </c>
      <c r="B1920" s="142" t="s">
        <v>14646</v>
      </c>
      <c r="C1920" s="142" t="s">
        <v>15847</v>
      </c>
      <c r="D1920" s="142" t="s">
        <v>15848</v>
      </c>
      <c r="E1920" s="142" t="s">
        <v>15849</v>
      </c>
      <c r="F1920" s="142" t="s">
        <v>8987</v>
      </c>
      <c r="G1920" s="142" t="s">
        <v>8986</v>
      </c>
      <c r="H1920" s="142" t="s">
        <v>17770</v>
      </c>
      <c r="I1920" s="142">
        <v>72</v>
      </c>
      <c r="J1920" s="142">
        <v>26</v>
      </c>
      <c r="K1920" s="142">
        <v>0</v>
      </c>
      <c r="L1920" s="142">
        <v>0</v>
      </c>
      <c r="M1920" s="142">
        <v>46</v>
      </c>
    </row>
    <row r="1921" spans="1:13" x14ac:dyDescent="0.45">
      <c r="A1921" s="142" t="s">
        <v>13039</v>
      </c>
      <c r="B1921" s="142" t="s">
        <v>14647</v>
      </c>
      <c r="C1921" s="142" t="s">
        <v>15847</v>
      </c>
      <c r="D1921" s="142" t="s">
        <v>15848</v>
      </c>
      <c r="E1921" s="142" t="s">
        <v>15849</v>
      </c>
      <c r="F1921" s="142" t="s">
        <v>8987</v>
      </c>
      <c r="G1921" s="142" t="s">
        <v>8986</v>
      </c>
      <c r="H1921" s="142" t="s">
        <v>17771</v>
      </c>
      <c r="I1921" s="142">
        <v>63</v>
      </c>
      <c r="J1921" s="142">
        <v>63</v>
      </c>
      <c r="K1921" s="142">
        <v>0</v>
      </c>
      <c r="L1921" s="142">
        <v>0</v>
      </c>
      <c r="M1921" s="142">
        <v>0</v>
      </c>
    </row>
    <row r="1922" spans="1:13" x14ac:dyDescent="0.45">
      <c r="A1922" s="142" t="s">
        <v>13010</v>
      </c>
      <c r="B1922" s="142" t="s">
        <v>15349</v>
      </c>
      <c r="C1922" s="142" t="s">
        <v>15860</v>
      </c>
      <c r="D1922" s="142" t="s">
        <v>15861</v>
      </c>
      <c r="E1922" s="142" t="s">
        <v>15849</v>
      </c>
      <c r="F1922" s="142" t="s">
        <v>8987</v>
      </c>
      <c r="G1922" s="142" t="s">
        <v>8986</v>
      </c>
      <c r="H1922" s="142" t="s">
        <v>17772</v>
      </c>
      <c r="I1922" s="142">
        <v>40</v>
      </c>
      <c r="J1922" s="142">
        <v>0</v>
      </c>
      <c r="K1922" s="142">
        <v>0</v>
      </c>
      <c r="L1922" s="142">
        <v>40</v>
      </c>
      <c r="M1922" s="142">
        <v>0</v>
      </c>
    </row>
    <row r="1923" spans="1:13" x14ac:dyDescent="0.45">
      <c r="A1923" s="142" t="s">
        <v>13011</v>
      </c>
      <c r="B1923" s="142" t="s">
        <v>14695</v>
      </c>
      <c r="C1923" s="142" t="s">
        <v>15847</v>
      </c>
      <c r="D1923" s="142" t="s">
        <v>15848</v>
      </c>
      <c r="E1923" s="142" t="s">
        <v>15849</v>
      </c>
      <c r="F1923" s="142" t="s">
        <v>8987</v>
      </c>
      <c r="G1923" s="142" t="s">
        <v>8986</v>
      </c>
      <c r="H1923" s="142" t="s">
        <v>17773</v>
      </c>
      <c r="I1923" s="142">
        <v>51</v>
      </c>
      <c r="J1923" s="142">
        <v>34</v>
      </c>
      <c r="K1923" s="142">
        <v>0</v>
      </c>
      <c r="L1923" s="142">
        <v>0</v>
      </c>
      <c r="M1923" s="142">
        <v>17</v>
      </c>
    </row>
    <row r="1924" spans="1:13" x14ac:dyDescent="0.45">
      <c r="A1924" s="142" t="s">
        <v>13058</v>
      </c>
      <c r="B1924" s="142" t="s">
        <v>14584</v>
      </c>
      <c r="C1924" s="142" t="s">
        <v>15847</v>
      </c>
      <c r="D1924" s="142" t="s">
        <v>15848</v>
      </c>
      <c r="E1924" s="142" t="s">
        <v>15849</v>
      </c>
      <c r="F1924" s="142" t="s">
        <v>8987</v>
      </c>
      <c r="G1924" s="142" t="s">
        <v>8986</v>
      </c>
      <c r="H1924" s="142" t="s">
        <v>17774</v>
      </c>
      <c r="I1924" s="142">
        <v>11</v>
      </c>
      <c r="J1924" s="142">
        <v>3</v>
      </c>
      <c r="K1924" s="142">
        <v>0</v>
      </c>
      <c r="L1924" s="142">
        <v>0</v>
      </c>
      <c r="M1924" s="142">
        <v>8</v>
      </c>
    </row>
    <row r="1925" spans="1:13" x14ac:dyDescent="0.45">
      <c r="A1925" s="142" t="s">
        <v>13041</v>
      </c>
      <c r="B1925" s="142" t="s">
        <v>14441</v>
      </c>
      <c r="C1925" s="142" t="s">
        <v>15847</v>
      </c>
      <c r="D1925" s="142" t="s">
        <v>15848</v>
      </c>
      <c r="E1925" s="142" t="s">
        <v>15849</v>
      </c>
      <c r="F1925" s="142" t="s">
        <v>8987</v>
      </c>
      <c r="G1925" s="142" t="s">
        <v>8986</v>
      </c>
      <c r="H1925" s="142" t="s">
        <v>17775</v>
      </c>
      <c r="I1925" s="142">
        <v>23</v>
      </c>
      <c r="J1925" s="142">
        <v>0</v>
      </c>
      <c r="K1925" s="142">
        <v>0</v>
      </c>
      <c r="L1925" s="142">
        <v>0</v>
      </c>
      <c r="M1925" s="142">
        <v>23</v>
      </c>
    </row>
    <row r="1926" spans="1:13" x14ac:dyDescent="0.45">
      <c r="A1926" s="142" t="s">
        <v>13059</v>
      </c>
      <c r="B1926" s="142" t="s">
        <v>14513</v>
      </c>
      <c r="C1926" s="142" t="s">
        <v>15860</v>
      </c>
      <c r="D1926" s="142" t="s">
        <v>15861</v>
      </c>
      <c r="E1926" s="142" t="s">
        <v>15849</v>
      </c>
      <c r="F1926" s="142" t="s">
        <v>8987</v>
      </c>
      <c r="G1926" s="142" t="s">
        <v>8986</v>
      </c>
      <c r="H1926" s="142" t="s">
        <v>17776</v>
      </c>
      <c r="I1926" s="142">
        <v>43</v>
      </c>
      <c r="J1926" s="142">
        <v>0</v>
      </c>
      <c r="K1926" s="142">
        <v>0</v>
      </c>
      <c r="L1926" s="142">
        <v>43</v>
      </c>
      <c r="M1926" s="142">
        <v>0</v>
      </c>
    </row>
    <row r="1927" spans="1:13" x14ac:dyDescent="0.45">
      <c r="A1927" s="142" t="s">
        <v>13205</v>
      </c>
      <c r="B1927" s="142" t="s">
        <v>14496</v>
      </c>
      <c r="C1927" s="142" t="s">
        <v>15847</v>
      </c>
      <c r="D1927" s="142" t="s">
        <v>15848</v>
      </c>
      <c r="E1927" s="142" t="s">
        <v>15849</v>
      </c>
      <c r="F1927" s="142" t="s">
        <v>8987</v>
      </c>
      <c r="G1927" s="142" t="s">
        <v>8986</v>
      </c>
      <c r="H1927" s="142" t="s">
        <v>17777</v>
      </c>
      <c r="I1927" s="142">
        <v>16</v>
      </c>
      <c r="J1927" s="142">
        <v>14</v>
      </c>
      <c r="K1927" s="142">
        <v>0</v>
      </c>
      <c r="L1927" s="142">
        <v>0</v>
      </c>
      <c r="M1927" s="142">
        <v>2</v>
      </c>
    </row>
    <row r="1928" spans="1:13" x14ac:dyDescent="0.45">
      <c r="A1928" s="142" t="s">
        <v>13012</v>
      </c>
      <c r="B1928" s="142" t="s">
        <v>15337</v>
      </c>
      <c r="C1928" s="142" t="s">
        <v>15847</v>
      </c>
      <c r="D1928" s="142" t="s">
        <v>15848</v>
      </c>
      <c r="E1928" s="142" t="s">
        <v>15849</v>
      </c>
      <c r="F1928" s="142" t="s">
        <v>8987</v>
      </c>
      <c r="G1928" s="142" t="s">
        <v>8986</v>
      </c>
      <c r="H1928" s="142" t="s">
        <v>17778</v>
      </c>
      <c r="I1928" s="142">
        <v>215</v>
      </c>
      <c r="J1928" s="142">
        <v>182</v>
      </c>
      <c r="K1928" s="142">
        <v>0</v>
      </c>
      <c r="L1928" s="142">
        <v>0</v>
      </c>
      <c r="M1928" s="142">
        <v>33</v>
      </c>
    </row>
    <row r="1929" spans="1:13" x14ac:dyDescent="0.45">
      <c r="A1929" s="142" t="s">
        <v>13060</v>
      </c>
      <c r="B1929" s="142" t="s">
        <v>14470</v>
      </c>
      <c r="C1929" s="142" t="s">
        <v>15847</v>
      </c>
      <c r="D1929" s="142" t="s">
        <v>15848</v>
      </c>
      <c r="E1929" s="142" t="s">
        <v>15849</v>
      </c>
      <c r="F1929" s="142" t="s">
        <v>8987</v>
      </c>
      <c r="G1929" s="142" t="s">
        <v>8986</v>
      </c>
      <c r="H1929" s="142" t="s">
        <v>17779</v>
      </c>
      <c r="I1929" s="142">
        <v>197</v>
      </c>
      <c r="J1929" s="142">
        <v>121</v>
      </c>
      <c r="K1929" s="142">
        <v>0</v>
      </c>
      <c r="L1929" s="142">
        <v>0</v>
      </c>
      <c r="M1929" s="142">
        <v>76</v>
      </c>
    </row>
    <row r="1930" spans="1:13" x14ac:dyDescent="0.45">
      <c r="A1930" s="142" t="s">
        <v>13014</v>
      </c>
      <c r="B1930" s="142" t="s">
        <v>14505</v>
      </c>
      <c r="C1930" s="142" t="s">
        <v>15847</v>
      </c>
      <c r="D1930" s="142" t="s">
        <v>15848</v>
      </c>
      <c r="E1930" s="142" t="s">
        <v>15849</v>
      </c>
      <c r="F1930" s="142" t="s">
        <v>8987</v>
      </c>
      <c r="G1930" s="142" t="s">
        <v>8986</v>
      </c>
      <c r="H1930" s="142" t="s">
        <v>17780</v>
      </c>
      <c r="I1930" s="142">
        <v>31</v>
      </c>
      <c r="J1930" s="142">
        <v>28</v>
      </c>
      <c r="K1930" s="142">
        <v>0</v>
      </c>
      <c r="L1930" s="142">
        <v>0</v>
      </c>
      <c r="M1930" s="142">
        <v>3</v>
      </c>
    </row>
    <row r="1931" spans="1:13" x14ac:dyDescent="0.45">
      <c r="A1931" s="142" t="s">
        <v>13174</v>
      </c>
      <c r="B1931" s="142" t="s">
        <v>15280</v>
      </c>
      <c r="C1931" s="142" t="s">
        <v>15847</v>
      </c>
      <c r="D1931" s="142" t="s">
        <v>15848</v>
      </c>
      <c r="E1931" s="142" t="s">
        <v>15849</v>
      </c>
      <c r="F1931" s="142" t="s">
        <v>8987</v>
      </c>
      <c r="G1931" s="142" t="s">
        <v>8986</v>
      </c>
      <c r="H1931" s="142" t="s">
        <v>17781</v>
      </c>
      <c r="I1931" s="142">
        <v>125</v>
      </c>
      <c r="J1931" s="142">
        <v>43</v>
      </c>
      <c r="K1931" s="142">
        <v>0</v>
      </c>
      <c r="L1931" s="142">
        <v>0</v>
      </c>
      <c r="M1931" s="142">
        <v>82</v>
      </c>
    </row>
    <row r="1932" spans="1:13" x14ac:dyDescent="0.45">
      <c r="A1932" s="142" t="s">
        <v>13015</v>
      </c>
      <c r="B1932" s="142" t="s">
        <v>14596</v>
      </c>
      <c r="C1932" s="142" t="s">
        <v>15847</v>
      </c>
      <c r="D1932" s="142" t="s">
        <v>15848</v>
      </c>
      <c r="E1932" s="142" t="s">
        <v>15849</v>
      </c>
      <c r="F1932" s="142" t="s">
        <v>8987</v>
      </c>
      <c r="G1932" s="142" t="s">
        <v>8986</v>
      </c>
      <c r="H1932" s="142" t="s">
        <v>17782</v>
      </c>
      <c r="I1932" s="142">
        <v>349</v>
      </c>
      <c r="J1932" s="142">
        <v>216</v>
      </c>
      <c r="K1932" s="142">
        <v>0</v>
      </c>
      <c r="L1932" s="142">
        <v>0</v>
      </c>
      <c r="M1932" s="142">
        <v>133</v>
      </c>
    </row>
    <row r="1933" spans="1:13" x14ac:dyDescent="0.45">
      <c r="A1933" s="142" t="s">
        <v>13017</v>
      </c>
      <c r="B1933" s="142" t="s">
        <v>15580</v>
      </c>
      <c r="C1933" s="142" t="s">
        <v>15847</v>
      </c>
      <c r="D1933" s="142" t="s">
        <v>15848</v>
      </c>
      <c r="E1933" s="142" t="s">
        <v>15849</v>
      </c>
      <c r="F1933" s="142" t="s">
        <v>8987</v>
      </c>
      <c r="G1933" s="142" t="s">
        <v>8986</v>
      </c>
      <c r="H1933" s="142" t="s">
        <v>17783</v>
      </c>
      <c r="I1933" s="142">
        <v>43</v>
      </c>
      <c r="J1933" s="142">
        <v>32</v>
      </c>
      <c r="K1933" s="142">
        <v>0</v>
      </c>
      <c r="L1933" s="142">
        <v>0</v>
      </c>
      <c r="M1933" s="142">
        <v>11</v>
      </c>
    </row>
    <row r="1934" spans="1:13" x14ac:dyDescent="0.45">
      <c r="A1934" s="142" t="s">
        <v>13072</v>
      </c>
      <c r="B1934" s="142" t="s">
        <v>15530</v>
      </c>
      <c r="C1934" s="142" t="s">
        <v>15847</v>
      </c>
      <c r="D1934" s="142" t="s">
        <v>15848</v>
      </c>
      <c r="E1934" s="142" t="s">
        <v>15849</v>
      </c>
      <c r="F1934" s="142" t="s">
        <v>5960</v>
      </c>
      <c r="G1934" s="142" t="s">
        <v>5959</v>
      </c>
      <c r="H1934" s="142" t="s">
        <v>17784</v>
      </c>
      <c r="I1934" s="142">
        <v>590</v>
      </c>
      <c r="J1934" s="142">
        <v>509</v>
      </c>
      <c r="K1934" s="142">
        <v>0</v>
      </c>
      <c r="L1934" s="142">
        <v>54</v>
      </c>
      <c r="M1934" s="142">
        <v>27</v>
      </c>
    </row>
    <row r="1935" spans="1:13" x14ac:dyDescent="0.45">
      <c r="A1935" s="142" t="s">
        <v>13023</v>
      </c>
      <c r="B1935" s="142" t="s">
        <v>15571</v>
      </c>
      <c r="C1935" s="142" t="s">
        <v>15847</v>
      </c>
      <c r="D1935" s="142" t="s">
        <v>15848</v>
      </c>
      <c r="E1935" s="142" t="s">
        <v>15849</v>
      </c>
      <c r="F1935" s="142" t="s">
        <v>5960</v>
      </c>
      <c r="G1935" s="142" t="s">
        <v>5959</v>
      </c>
      <c r="H1935" s="142" t="s">
        <v>17785</v>
      </c>
      <c r="I1935" s="142">
        <v>61</v>
      </c>
      <c r="J1935" s="142">
        <v>0</v>
      </c>
      <c r="K1935" s="142">
        <v>0</v>
      </c>
      <c r="L1935" s="142">
        <v>61</v>
      </c>
      <c r="M1935" s="142">
        <v>0</v>
      </c>
    </row>
    <row r="1936" spans="1:13" x14ac:dyDescent="0.45">
      <c r="A1936" s="142" t="s">
        <v>13113</v>
      </c>
      <c r="B1936" s="142" t="s">
        <v>14503</v>
      </c>
      <c r="C1936" s="142" t="s">
        <v>15860</v>
      </c>
      <c r="D1936" s="142" t="s">
        <v>15861</v>
      </c>
      <c r="E1936" s="142" t="s">
        <v>15849</v>
      </c>
      <c r="F1936" s="142" t="s">
        <v>5960</v>
      </c>
      <c r="G1936" s="142" t="s">
        <v>5959</v>
      </c>
      <c r="H1936" s="142" t="s">
        <v>17786</v>
      </c>
      <c r="I1936" s="142">
        <v>7</v>
      </c>
      <c r="J1936" s="142">
        <v>7</v>
      </c>
      <c r="K1936" s="142">
        <v>0</v>
      </c>
      <c r="L1936" s="142">
        <v>0</v>
      </c>
      <c r="M1936" s="142">
        <v>0</v>
      </c>
    </row>
    <row r="1937" spans="1:13" x14ac:dyDescent="0.45">
      <c r="A1937" s="142" t="s">
        <v>13279</v>
      </c>
      <c r="B1937" s="142" t="s">
        <v>14507</v>
      </c>
      <c r="C1937" s="142" t="s">
        <v>15860</v>
      </c>
      <c r="D1937" s="142" t="s">
        <v>15861</v>
      </c>
      <c r="E1937" s="142" t="s">
        <v>15849</v>
      </c>
      <c r="F1937" s="142" t="s">
        <v>5960</v>
      </c>
      <c r="G1937" s="142" t="s">
        <v>5959</v>
      </c>
      <c r="H1937" s="142" t="s">
        <v>17787</v>
      </c>
      <c r="I1937" s="142">
        <v>1</v>
      </c>
      <c r="J1937" s="142">
        <v>0</v>
      </c>
      <c r="K1937" s="142">
        <v>0</v>
      </c>
      <c r="L1937" s="142">
        <v>1</v>
      </c>
      <c r="M1937" s="142">
        <v>0</v>
      </c>
    </row>
    <row r="1938" spans="1:13" x14ac:dyDescent="0.45">
      <c r="A1938" s="142" t="s">
        <v>13289</v>
      </c>
      <c r="B1938" s="142" t="s">
        <v>14423</v>
      </c>
      <c r="C1938" s="142" t="s">
        <v>15847</v>
      </c>
      <c r="D1938" s="142" t="s">
        <v>15848</v>
      </c>
      <c r="E1938" s="142" t="s">
        <v>15849</v>
      </c>
      <c r="F1938" s="142" t="s">
        <v>5960</v>
      </c>
      <c r="G1938" s="142" t="s">
        <v>5959</v>
      </c>
      <c r="H1938" s="142" t="s">
        <v>17788</v>
      </c>
      <c r="I1938" s="142">
        <v>33</v>
      </c>
      <c r="J1938" s="142">
        <v>24</v>
      </c>
      <c r="K1938" s="142">
        <v>0</v>
      </c>
      <c r="L1938" s="142">
        <v>0</v>
      </c>
      <c r="M1938" s="142">
        <v>9</v>
      </c>
    </row>
    <row r="1939" spans="1:13" x14ac:dyDescent="0.45">
      <c r="A1939" s="142" t="s">
        <v>13273</v>
      </c>
      <c r="B1939" s="142" t="s">
        <v>14465</v>
      </c>
      <c r="C1939" s="142" t="s">
        <v>15860</v>
      </c>
      <c r="D1939" s="142" t="s">
        <v>15861</v>
      </c>
      <c r="E1939" s="142" t="s">
        <v>15849</v>
      </c>
      <c r="F1939" s="142" t="s">
        <v>5960</v>
      </c>
      <c r="G1939" s="142" t="s">
        <v>5959</v>
      </c>
      <c r="H1939" s="142" t="s">
        <v>17789</v>
      </c>
      <c r="I1939" s="142">
        <v>34</v>
      </c>
      <c r="J1939" s="142">
        <v>0</v>
      </c>
      <c r="K1939" s="142">
        <v>0</v>
      </c>
      <c r="L1939" s="142">
        <v>34</v>
      </c>
      <c r="M1939" s="142">
        <v>0</v>
      </c>
    </row>
    <row r="1940" spans="1:13" x14ac:dyDescent="0.45">
      <c r="A1940" s="142" t="s">
        <v>13280</v>
      </c>
      <c r="B1940" s="142" t="s">
        <v>15460</v>
      </c>
      <c r="C1940" s="142" t="s">
        <v>15847</v>
      </c>
      <c r="D1940" s="142" t="s">
        <v>15848</v>
      </c>
      <c r="E1940" s="142" t="s">
        <v>15849</v>
      </c>
      <c r="F1940" s="142" t="s">
        <v>5960</v>
      </c>
      <c r="G1940" s="142" t="s">
        <v>5959</v>
      </c>
      <c r="H1940" s="142" t="s">
        <v>17790</v>
      </c>
      <c r="I1940" s="142">
        <v>6</v>
      </c>
      <c r="J1940" s="142">
        <v>6</v>
      </c>
      <c r="K1940" s="142">
        <v>0</v>
      </c>
      <c r="L1940" s="142">
        <v>0</v>
      </c>
      <c r="M1940" s="142">
        <v>0</v>
      </c>
    </row>
    <row r="1941" spans="1:13" x14ac:dyDescent="0.45">
      <c r="A1941" s="142" t="s">
        <v>13238</v>
      </c>
      <c r="B1941" s="142" t="s">
        <v>14477</v>
      </c>
      <c r="C1941" s="142" t="s">
        <v>15860</v>
      </c>
      <c r="D1941" s="142" t="s">
        <v>15861</v>
      </c>
      <c r="E1941" s="142" t="s">
        <v>15849</v>
      </c>
      <c r="F1941" s="142" t="s">
        <v>5960</v>
      </c>
      <c r="G1941" s="142" t="s">
        <v>5959</v>
      </c>
      <c r="H1941" s="142" t="s">
        <v>17791</v>
      </c>
      <c r="I1941" s="142">
        <v>16</v>
      </c>
      <c r="J1941" s="142">
        <v>0</v>
      </c>
      <c r="K1941" s="142">
        <v>0</v>
      </c>
      <c r="L1941" s="142">
        <v>16</v>
      </c>
      <c r="M1941" s="142">
        <v>0</v>
      </c>
    </row>
    <row r="1942" spans="1:13" x14ac:dyDescent="0.45">
      <c r="A1942" s="142" t="s">
        <v>13085</v>
      </c>
      <c r="B1942" s="142" t="s">
        <v>14460</v>
      </c>
      <c r="C1942" s="142" t="s">
        <v>15860</v>
      </c>
      <c r="D1942" s="142" t="s">
        <v>15861</v>
      </c>
      <c r="E1942" s="142" t="s">
        <v>15849</v>
      </c>
      <c r="F1942" s="142" t="s">
        <v>5960</v>
      </c>
      <c r="G1942" s="142" t="s">
        <v>5959</v>
      </c>
      <c r="H1942" s="142" t="s">
        <v>17792</v>
      </c>
      <c r="I1942" s="142">
        <v>21</v>
      </c>
      <c r="J1942" s="142">
        <v>0</v>
      </c>
      <c r="K1942" s="142">
        <v>0</v>
      </c>
      <c r="L1942" s="142">
        <v>21</v>
      </c>
      <c r="M1942" s="142">
        <v>0</v>
      </c>
    </row>
    <row r="1943" spans="1:13" x14ac:dyDescent="0.45">
      <c r="A1943" s="142" t="s">
        <v>13099</v>
      </c>
      <c r="B1943" s="142" t="s">
        <v>14547</v>
      </c>
      <c r="C1943" s="142" t="s">
        <v>15860</v>
      </c>
      <c r="D1943" s="142" t="s">
        <v>15861</v>
      </c>
      <c r="E1943" s="142" t="s">
        <v>15849</v>
      </c>
      <c r="F1943" s="142" t="s">
        <v>5960</v>
      </c>
      <c r="G1943" s="142" t="s">
        <v>5959</v>
      </c>
      <c r="H1943" s="142" t="s">
        <v>17793</v>
      </c>
      <c r="I1943" s="142">
        <v>13</v>
      </c>
      <c r="J1943" s="142">
        <v>0</v>
      </c>
      <c r="K1943" s="142">
        <v>0</v>
      </c>
      <c r="L1943" s="142">
        <v>13</v>
      </c>
      <c r="M1943" s="142">
        <v>0</v>
      </c>
    </row>
    <row r="1944" spans="1:13" x14ac:dyDescent="0.45">
      <c r="A1944" s="142" t="s">
        <v>13514</v>
      </c>
      <c r="B1944" s="142" t="s">
        <v>14921</v>
      </c>
      <c r="C1944" s="142" t="s">
        <v>15860</v>
      </c>
      <c r="D1944" s="142" t="s">
        <v>15861</v>
      </c>
      <c r="E1944" s="142" t="s">
        <v>15849</v>
      </c>
      <c r="F1944" s="142" t="s">
        <v>5960</v>
      </c>
      <c r="G1944" s="142" t="s">
        <v>5959</v>
      </c>
      <c r="H1944" s="142" t="s">
        <v>17794</v>
      </c>
      <c r="I1944" s="142">
        <v>5</v>
      </c>
      <c r="J1944" s="142">
        <v>5</v>
      </c>
      <c r="K1944" s="142">
        <v>0</v>
      </c>
      <c r="L1944" s="142">
        <v>0</v>
      </c>
      <c r="M1944" s="142">
        <v>0</v>
      </c>
    </row>
    <row r="1945" spans="1:13" x14ac:dyDescent="0.45">
      <c r="A1945" s="142" t="s">
        <v>13500</v>
      </c>
      <c r="B1945" s="142" t="s">
        <v>15422</v>
      </c>
      <c r="C1945" s="142" t="s">
        <v>15847</v>
      </c>
      <c r="D1945" s="142" t="s">
        <v>15848</v>
      </c>
      <c r="E1945" s="142" t="s">
        <v>15849</v>
      </c>
      <c r="F1945" s="142" t="s">
        <v>5960</v>
      </c>
      <c r="G1945" s="142" t="s">
        <v>5959</v>
      </c>
      <c r="H1945" s="142" t="s">
        <v>17795</v>
      </c>
      <c r="I1945" s="142">
        <v>9</v>
      </c>
      <c r="J1945" s="142">
        <v>0</v>
      </c>
      <c r="K1945" s="142">
        <v>9</v>
      </c>
      <c r="L1945" s="142">
        <v>0</v>
      </c>
      <c r="M1945" s="142">
        <v>0</v>
      </c>
    </row>
    <row r="1946" spans="1:13" x14ac:dyDescent="0.45">
      <c r="A1946" s="142" t="s">
        <v>13148</v>
      </c>
      <c r="B1946" s="142" t="s">
        <v>15314</v>
      </c>
      <c r="C1946" s="142" t="s">
        <v>15847</v>
      </c>
      <c r="D1946" s="142" t="s">
        <v>15848</v>
      </c>
      <c r="E1946" s="142" t="s">
        <v>15849</v>
      </c>
      <c r="F1946" s="142" t="s">
        <v>5960</v>
      </c>
      <c r="G1946" s="142" t="s">
        <v>5959</v>
      </c>
      <c r="H1946" s="142" t="s">
        <v>17796</v>
      </c>
      <c r="I1946" s="142">
        <v>14</v>
      </c>
      <c r="J1946" s="142">
        <v>1</v>
      </c>
      <c r="K1946" s="142">
        <v>0</v>
      </c>
      <c r="L1946" s="142">
        <v>0</v>
      </c>
      <c r="M1946" s="142">
        <v>13</v>
      </c>
    </row>
    <row r="1947" spans="1:13" x14ac:dyDescent="0.45">
      <c r="A1947" s="142" t="s">
        <v>13149</v>
      </c>
      <c r="B1947" s="142" t="s">
        <v>14458</v>
      </c>
      <c r="C1947" s="142" t="s">
        <v>15860</v>
      </c>
      <c r="D1947" s="142" t="s">
        <v>15861</v>
      </c>
      <c r="E1947" s="142" t="s">
        <v>15849</v>
      </c>
      <c r="F1947" s="142" t="s">
        <v>5960</v>
      </c>
      <c r="G1947" s="142" t="s">
        <v>5959</v>
      </c>
      <c r="H1947" s="142" t="s">
        <v>17797</v>
      </c>
      <c r="I1947" s="142">
        <v>56</v>
      </c>
      <c r="J1947" s="142">
        <v>0</v>
      </c>
      <c r="K1947" s="142">
        <v>0</v>
      </c>
      <c r="L1947" s="142">
        <v>56</v>
      </c>
      <c r="M1947" s="142">
        <v>0</v>
      </c>
    </row>
    <row r="1948" spans="1:13" x14ac:dyDescent="0.45">
      <c r="A1948" s="142" t="s">
        <v>13515</v>
      </c>
      <c r="B1948" s="142" t="s">
        <v>14552</v>
      </c>
      <c r="C1948" s="142" t="s">
        <v>15860</v>
      </c>
      <c r="D1948" s="142" t="s">
        <v>15861</v>
      </c>
      <c r="E1948" s="142" t="s">
        <v>15849</v>
      </c>
      <c r="F1948" s="142" t="s">
        <v>5960</v>
      </c>
      <c r="G1948" s="142" t="s">
        <v>5959</v>
      </c>
      <c r="H1948" s="142" t="s">
        <v>17798</v>
      </c>
      <c r="I1948" s="142">
        <v>2</v>
      </c>
      <c r="J1948" s="142">
        <v>0</v>
      </c>
      <c r="K1948" s="142">
        <v>0</v>
      </c>
      <c r="L1948" s="142">
        <v>2</v>
      </c>
      <c r="M1948" s="142">
        <v>0</v>
      </c>
    </row>
    <row r="1949" spans="1:13" x14ac:dyDescent="0.45">
      <c r="A1949" s="142" t="s">
        <v>13002</v>
      </c>
      <c r="B1949" s="142" t="s">
        <v>15376</v>
      </c>
      <c r="C1949" s="142" t="s">
        <v>15847</v>
      </c>
      <c r="D1949" s="142" t="s">
        <v>15848</v>
      </c>
      <c r="E1949" s="142" t="s">
        <v>15849</v>
      </c>
      <c r="F1949" s="142" t="s">
        <v>5960</v>
      </c>
      <c r="G1949" s="142" t="s">
        <v>5959</v>
      </c>
      <c r="H1949" s="142" t="s">
        <v>17799</v>
      </c>
      <c r="I1949" s="142">
        <v>16</v>
      </c>
      <c r="J1949" s="142">
        <v>0</v>
      </c>
      <c r="K1949" s="142">
        <v>0</v>
      </c>
      <c r="L1949" s="142">
        <v>16</v>
      </c>
      <c r="M1949" s="142">
        <v>0</v>
      </c>
    </row>
    <row r="1950" spans="1:13" x14ac:dyDescent="0.45">
      <c r="A1950" s="142" t="s">
        <v>13291</v>
      </c>
      <c r="B1950" s="142" t="s">
        <v>15495</v>
      </c>
      <c r="C1950" s="142" t="s">
        <v>15847</v>
      </c>
      <c r="D1950" s="142" t="s">
        <v>15848</v>
      </c>
      <c r="E1950" s="142" t="s">
        <v>15849</v>
      </c>
      <c r="F1950" s="142" t="s">
        <v>5960</v>
      </c>
      <c r="G1950" s="142" t="s">
        <v>5959</v>
      </c>
      <c r="H1950" s="142" t="s">
        <v>17800</v>
      </c>
      <c r="I1950" s="142">
        <v>3662</v>
      </c>
      <c r="J1950" s="142">
        <v>3143</v>
      </c>
      <c r="K1950" s="142">
        <v>0</v>
      </c>
      <c r="L1950" s="142">
        <v>408</v>
      </c>
      <c r="M1950" s="142">
        <v>111</v>
      </c>
    </row>
    <row r="1951" spans="1:13" x14ac:dyDescent="0.45">
      <c r="A1951" s="142" t="s">
        <v>13005</v>
      </c>
      <c r="B1951" s="142" t="s">
        <v>15475</v>
      </c>
      <c r="C1951" s="142" t="s">
        <v>15847</v>
      </c>
      <c r="D1951" s="142" t="s">
        <v>15848</v>
      </c>
      <c r="E1951" s="142" t="s">
        <v>15849</v>
      </c>
      <c r="F1951" s="142" t="s">
        <v>5960</v>
      </c>
      <c r="G1951" s="142" t="s">
        <v>5959</v>
      </c>
      <c r="H1951" s="142" t="s">
        <v>17801</v>
      </c>
      <c r="I1951" s="142">
        <v>70</v>
      </c>
      <c r="J1951" s="142">
        <v>21</v>
      </c>
      <c r="K1951" s="142">
        <v>0</v>
      </c>
      <c r="L1951" s="142">
        <v>0</v>
      </c>
      <c r="M1951" s="142">
        <v>49</v>
      </c>
    </row>
    <row r="1952" spans="1:13" x14ac:dyDescent="0.45">
      <c r="A1952" s="142" t="s">
        <v>13516</v>
      </c>
      <c r="B1952" s="142" t="s">
        <v>14461</v>
      </c>
      <c r="C1952" s="142" t="s">
        <v>15860</v>
      </c>
      <c r="D1952" s="142" t="s">
        <v>15861</v>
      </c>
      <c r="E1952" s="142" t="s">
        <v>15849</v>
      </c>
      <c r="F1952" s="142" t="s">
        <v>5960</v>
      </c>
      <c r="G1952" s="142" t="s">
        <v>5959</v>
      </c>
      <c r="H1952" s="142" t="s">
        <v>17802</v>
      </c>
      <c r="I1952" s="142">
        <v>43</v>
      </c>
      <c r="J1952" s="142">
        <v>0</v>
      </c>
      <c r="K1952" s="142">
        <v>0</v>
      </c>
      <c r="L1952" s="142">
        <v>43</v>
      </c>
      <c r="M1952" s="142">
        <v>0</v>
      </c>
    </row>
    <row r="1953" spans="1:13" x14ac:dyDescent="0.45">
      <c r="A1953" s="142" t="s">
        <v>13486</v>
      </c>
      <c r="B1953" s="142" t="s">
        <v>14563</v>
      </c>
      <c r="C1953" s="142" t="s">
        <v>15847</v>
      </c>
      <c r="D1953" s="142" t="s">
        <v>15848</v>
      </c>
      <c r="E1953" s="142" t="s">
        <v>15849</v>
      </c>
      <c r="F1953" s="142" t="s">
        <v>5960</v>
      </c>
      <c r="G1953" s="142" t="s">
        <v>5959</v>
      </c>
      <c r="H1953" s="142" t="s">
        <v>17803</v>
      </c>
      <c r="I1953" s="142">
        <v>50</v>
      </c>
      <c r="J1953" s="142">
        <v>25</v>
      </c>
      <c r="K1953" s="142">
        <v>0</v>
      </c>
      <c r="L1953" s="142">
        <v>0</v>
      </c>
      <c r="M1953" s="142">
        <v>25</v>
      </c>
    </row>
    <row r="1954" spans="1:13" x14ac:dyDescent="0.45">
      <c r="A1954" s="142" t="s">
        <v>13276</v>
      </c>
      <c r="B1954" s="142" t="s">
        <v>15498</v>
      </c>
      <c r="C1954" s="142" t="s">
        <v>15847</v>
      </c>
      <c r="D1954" s="142" t="s">
        <v>15848</v>
      </c>
      <c r="E1954" s="142" t="s">
        <v>15849</v>
      </c>
      <c r="F1954" s="142" t="s">
        <v>5960</v>
      </c>
      <c r="G1954" s="142" t="s">
        <v>5959</v>
      </c>
      <c r="H1954" s="142" t="s">
        <v>17804</v>
      </c>
      <c r="I1954" s="142">
        <v>217</v>
      </c>
      <c r="J1954" s="142">
        <v>198</v>
      </c>
      <c r="K1954" s="142">
        <v>0</v>
      </c>
      <c r="L1954" s="142">
        <v>0</v>
      </c>
      <c r="M1954" s="142">
        <v>19</v>
      </c>
    </row>
    <row r="1955" spans="1:13" x14ac:dyDescent="0.45">
      <c r="A1955" s="142" t="s">
        <v>13033</v>
      </c>
      <c r="B1955" s="142" t="s">
        <v>15276</v>
      </c>
      <c r="C1955" s="142" t="s">
        <v>15847</v>
      </c>
      <c r="D1955" s="142" t="s">
        <v>15848</v>
      </c>
      <c r="E1955" s="142" t="s">
        <v>15849</v>
      </c>
      <c r="F1955" s="142" t="s">
        <v>5960</v>
      </c>
      <c r="G1955" s="142" t="s">
        <v>5959</v>
      </c>
      <c r="H1955" s="142" t="s">
        <v>17805</v>
      </c>
      <c r="I1955" s="142">
        <v>2022</v>
      </c>
      <c r="J1955" s="142">
        <v>1837</v>
      </c>
      <c r="K1955" s="142">
        <v>0</v>
      </c>
      <c r="L1955" s="142">
        <v>133</v>
      </c>
      <c r="M1955" s="142">
        <v>52</v>
      </c>
    </row>
    <row r="1956" spans="1:13" x14ac:dyDescent="0.45">
      <c r="A1956" s="142" t="s">
        <v>13034</v>
      </c>
      <c r="B1956" s="142" t="s">
        <v>15562</v>
      </c>
      <c r="C1956" s="142" t="s">
        <v>15847</v>
      </c>
      <c r="D1956" s="142" t="s">
        <v>15848</v>
      </c>
      <c r="E1956" s="142" t="s">
        <v>15849</v>
      </c>
      <c r="F1956" s="142" t="s">
        <v>5960</v>
      </c>
      <c r="G1956" s="142" t="s">
        <v>5959</v>
      </c>
      <c r="H1956" s="142" t="s">
        <v>17806</v>
      </c>
      <c r="I1956" s="142">
        <v>78</v>
      </c>
      <c r="J1956" s="142">
        <v>2</v>
      </c>
      <c r="K1956" s="142">
        <v>0</v>
      </c>
      <c r="L1956" s="142">
        <v>76</v>
      </c>
      <c r="M1956" s="142">
        <v>0</v>
      </c>
    </row>
    <row r="1957" spans="1:13" x14ac:dyDescent="0.45">
      <c r="A1957" s="142" t="s">
        <v>13171</v>
      </c>
      <c r="B1957" s="142" t="s">
        <v>14523</v>
      </c>
      <c r="C1957" s="142" t="s">
        <v>15860</v>
      </c>
      <c r="D1957" s="142" t="s">
        <v>15861</v>
      </c>
      <c r="E1957" s="142" t="s">
        <v>15849</v>
      </c>
      <c r="F1957" s="142" t="s">
        <v>5960</v>
      </c>
      <c r="G1957" s="142" t="s">
        <v>5959</v>
      </c>
      <c r="H1957" s="142" t="s">
        <v>17807</v>
      </c>
      <c r="I1957" s="142">
        <v>72</v>
      </c>
      <c r="J1957" s="142">
        <v>72</v>
      </c>
      <c r="K1957" s="142">
        <v>0</v>
      </c>
      <c r="L1957" s="142">
        <v>0</v>
      </c>
      <c r="M1957" s="142">
        <v>0</v>
      </c>
    </row>
    <row r="1958" spans="1:13" x14ac:dyDescent="0.45">
      <c r="A1958" s="142" t="s">
        <v>13036</v>
      </c>
      <c r="B1958" s="142" t="s">
        <v>15567</v>
      </c>
      <c r="C1958" s="142" t="s">
        <v>15847</v>
      </c>
      <c r="D1958" s="142" t="s">
        <v>15848</v>
      </c>
      <c r="E1958" s="142" t="s">
        <v>15849</v>
      </c>
      <c r="F1958" s="142" t="s">
        <v>5960</v>
      </c>
      <c r="G1958" s="142" t="s">
        <v>5959</v>
      </c>
      <c r="H1958" s="142" t="s">
        <v>17808</v>
      </c>
      <c r="I1958" s="142">
        <v>389</v>
      </c>
      <c r="J1958" s="142">
        <v>263</v>
      </c>
      <c r="K1958" s="142">
        <v>0</v>
      </c>
      <c r="L1958" s="142">
        <v>92</v>
      </c>
      <c r="M1958" s="142">
        <v>34</v>
      </c>
    </row>
    <row r="1959" spans="1:13" x14ac:dyDescent="0.45">
      <c r="A1959" s="142" t="s">
        <v>13277</v>
      </c>
      <c r="B1959" s="142" t="s">
        <v>14454</v>
      </c>
      <c r="C1959" s="142" t="s">
        <v>15847</v>
      </c>
      <c r="D1959" s="142" t="s">
        <v>15848</v>
      </c>
      <c r="E1959" s="142" t="s">
        <v>15849</v>
      </c>
      <c r="F1959" s="142" t="s">
        <v>5960</v>
      </c>
      <c r="G1959" s="142" t="s">
        <v>5959</v>
      </c>
      <c r="H1959" s="142" t="s">
        <v>17809</v>
      </c>
      <c r="I1959" s="142">
        <v>7</v>
      </c>
      <c r="J1959" s="142">
        <v>0</v>
      </c>
      <c r="K1959" s="142">
        <v>0</v>
      </c>
      <c r="L1959" s="142">
        <v>7</v>
      </c>
      <c r="M1959" s="142">
        <v>0</v>
      </c>
    </row>
    <row r="1960" spans="1:13" x14ac:dyDescent="0.45">
      <c r="A1960" s="142" t="s">
        <v>13091</v>
      </c>
      <c r="B1960" s="142" t="s">
        <v>14473</v>
      </c>
      <c r="C1960" s="142" t="s">
        <v>15847</v>
      </c>
      <c r="D1960" s="142" t="s">
        <v>15848</v>
      </c>
      <c r="E1960" s="142" t="s">
        <v>15849</v>
      </c>
      <c r="F1960" s="142" t="s">
        <v>5960</v>
      </c>
      <c r="G1960" s="142" t="s">
        <v>5959</v>
      </c>
      <c r="H1960" s="142" t="s">
        <v>17810</v>
      </c>
      <c r="I1960" s="142">
        <v>4</v>
      </c>
      <c r="J1960" s="142">
        <v>0</v>
      </c>
      <c r="K1960" s="142">
        <v>0</v>
      </c>
      <c r="L1960" s="142">
        <v>4</v>
      </c>
      <c r="M1960" s="142">
        <v>0</v>
      </c>
    </row>
    <row r="1961" spans="1:13" x14ac:dyDescent="0.45">
      <c r="A1961" s="142" t="s">
        <v>13014</v>
      </c>
      <c r="B1961" s="142" t="s">
        <v>14505</v>
      </c>
      <c r="C1961" s="142" t="s">
        <v>15847</v>
      </c>
      <c r="D1961" s="142" t="s">
        <v>15848</v>
      </c>
      <c r="E1961" s="142" t="s">
        <v>15849</v>
      </c>
      <c r="F1961" s="142" t="s">
        <v>5960</v>
      </c>
      <c r="G1961" s="142" t="s">
        <v>5959</v>
      </c>
      <c r="H1961" s="142" t="s">
        <v>17811</v>
      </c>
      <c r="I1961" s="142">
        <v>1</v>
      </c>
      <c r="J1961" s="142">
        <v>0</v>
      </c>
      <c r="K1961" s="142">
        <v>0</v>
      </c>
      <c r="L1961" s="142">
        <v>0</v>
      </c>
      <c r="M1961" s="142">
        <v>1</v>
      </c>
    </row>
    <row r="1962" spans="1:13" x14ac:dyDescent="0.45">
      <c r="A1962" s="142" t="s">
        <v>13154</v>
      </c>
      <c r="B1962" s="142" t="s">
        <v>15415</v>
      </c>
      <c r="C1962" s="142" t="s">
        <v>15847</v>
      </c>
      <c r="D1962" s="142" t="s">
        <v>15848</v>
      </c>
      <c r="E1962" s="142" t="s">
        <v>15849</v>
      </c>
      <c r="F1962" s="142" t="s">
        <v>5960</v>
      </c>
      <c r="G1962" s="142" t="s">
        <v>5959</v>
      </c>
      <c r="H1962" s="142" t="s">
        <v>17812</v>
      </c>
      <c r="I1962" s="142">
        <v>35</v>
      </c>
      <c r="J1962" s="142">
        <v>0</v>
      </c>
      <c r="K1962" s="142">
        <v>0</v>
      </c>
      <c r="L1962" s="142">
        <v>0</v>
      </c>
      <c r="M1962" s="142">
        <v>35</v>
      </c>
    </row>
    <row r="1963" spans="1:13" x14ac:dyDescent="0.45">
      <c r="A1963" s="142" t="s">
        <v>13286</v>
      </c>
      <c r="B1963" s="142" t="s">
        <v>15342</v>
      </c>
      <c r="C1963" s="142" t="s">
        <v>15847</v>
      </c>
      <c r="D1963" s="142" t="s">
        <v>15848</v>
      </c>
      <c r="E1963" s="142" t="s">
        <v>15849</v>
      </c>
      <c r="F1963" s="142" t="s">
        <v>5960</v>
      </c>
      <c r="G1963" s="142" t="s">
        <v>5959</v>
      </c>
      <c r="H1963" s="142" t="s">
        <v>17813</v>
      </c>
      <c r="I1963" s="142">
        <v>46</v>
      </c>
      <c r="J1963" s="142">
        <v>23</v>
      </c>
      <c r="K1963" s="142">
        <v>0</v>
      </c>
      <c r="L1963" s="142">
        <v>12</v>
      </c>
      <c r="M1963" s="142">
        <v>11</v>
      </c>
    </row>
    <row r="1964" spans="1:13" x14ac:dyDescent="0.45">
      <c r="A1964" s="142" t="s">
        <v>13023</v>
      </c>
      <c r="B1964" s="142" t="s">
        <v>15571</v>
      </c>
      <c r="C1964" s="142" t="s">
        <v>15847</v>
      </c>
      <c r="D1964" s="142" t="s">
        <v>15848</v>
      </c>
      <c r="E1964" s="142" t="s">
        <v>15849</v>
      </c>
      <c r="F1964" s="142" t="s">
        <v>11187</v>
      </c>
      <c r="G1964" s="142" t="s">
        <v>11186</v>
      </c>
      <c r="H1964" s="142" t="s">
        <v>17814</v>
      </c>
      <c r="I1964" s="142">
        <v>19</v>
      </c>
      <c r="J1964" s="142">
        <v>0</v>
      </c>
      <c r="K1964" s="142">
        <v>0</v>
      </c>
      <c r="L1964" s="142">
        <v>19</v>
      </c>
      <c r="M1964" s="142">
        <v>0</v>
      </c>
    </row>
    <row r="1965" spans="1:13" x14ac:dyDescent="0.45">
      <c r="A1965" s="142" t="s">
        <v>13306</v>
      </c>
      <c r="B1965" s="142" t="s">
        <v>15500</v>
      </c>
      <c r="C1965" s="142" t="s">
        <v>15847</v>
      </c>
      <c r="D1965" s="142" t="s">
        <v>15848</v>
      </c>
      <c r="E1965" s="142" t="s">
        <v>15849</v>
      </c>
      <c r="F1965" s="142" t="s">
        <v>11187</v>
      </c>
      <c r="G1965" s="142" t="s">
        <v>11186</v>
      </c>
      <c r="H1965" s="142" t="s">
        <v>17815</v>
      </c>
      <c r="I1965" s="142">
        <v>17</v>
      </c>
      <c r="J1965" s="142">
        <v>0</v>
      </c>
      <c r="K1965" s="142">
        <v>0</v>
      </c>
      <c r="L1965" s="142">
        <v>17</v>
      </c>
      <c r="M1965" s="142">
        <v>0</v>
      </c>
    </row>
    <row r="1966" spans="1:13" x14ac:dyDescent="0.45">
      <c r="A1966" s="142" t="s">
        <v>13518</v>
      </c>
      <c r="B1966" s="142" t="s">
        <v>14797</v>
      </c>
      <c r="C1966" s="142" t="s">
        <v>15860</v>
      </c>
      <c r="D1966" s="142" t="s">
        <v>15861</v>
      </c>
      <c r="E1966" s="142" t="s">
        <v>15849</v>
      </c>
      <c r="F1966" s="142" t="s">
        <v>11187</v>
      </c>
      <c r="G1966" s="142" t="s">
        <v>11186</v>
      </c>
      <c r="H1966" s="142" t="s">
        <v>17816</v>
      </c>
      <c r="I1966" s="142">
        <v>43</v>
      </c>
      <c r="J1966" s="142">
        <v>0</v>
      </c>
      <c r="K1966" s="142">
        <v>0</v>
      </c>
      <c r="L1966" s="142">
        <v>43</v>
      </c>
      <c r="M1966" s="142">
        <v>0</v>
      </c>
    </row>
    <row r="1967" spans="1:13" x14ac:dyDescent="0.45">
      <c r="A1967" s="142" t="s">
        <v>13014</v>
      </c>
      <c r="B1967" s="142" t="s">
        <v>14505</v>
      </c>
      <c r="C1967" s="142" t="s">
        <v>15847</v>
      </c>
      <c r="D1967" s="142" t="s">
        <v>15848</v>
      </c>
      <c r="E1967" s="142" t="s">
        <v>15849</v>
      </c>
      <c r="F1967" s="142" t="s">
        <v>11187</v>
      </c>
      <c r="G1967" s="142" t="s">
        <v>11186</v>
      </c>
      <c r="H1967" s="142" t="s">
        <v>17817</v>
      </c>
      <c r="I1967" s="142">
        <v>194</v>
      </c>
      <c r="J1967" s="142">
        <v>194</v>
      </c>
      <c r="K1967" s="142">
        <v>0</v>
      </c>
      <c r="L1967" s="142">
        <v>0</v>
      </c>
      <c r="M1967" s="142">
        <v>0</v>
      </c>
    </row>
    <row r="1968" spans="1:13" x14ac:dyDescent="0.45">
      <c r="A1968" s="142" t="s">
        <v>13021</v>
      </c>
      <c r="B1968" s="142" t="s">
        <v>15501</v>
      </c>
      <c r="C1968" s="142" t="s">
        <v>15847</v>
      </c>
      <c r="D1968" s="142" t="s">
        <v>15848</v>
      </c>
      <c r="E1968" s="142" t="s">
        <v>15849</v>
      </c>
      <c r="F1968" s="142" t="s">
        <v>4214</v>
      </c>
      <c r="G1968" s="142" t="s">
        <v>4213</v>
      </c>
      <c r="H1968" s="142" t="s">
        <v>17818</v>
      </c>
      <c r="I1968" s="142">
        <v>5</v>
      </c>
      <c r="J1968" s="142">
        <v>0</v>
      </c>
      <c r="K1968" s="142">
        <v>0</v>
      </c>
      <c r="L1968" s="142">
        <v>0</v>
      </c>
      <c r="M1968" s="142">
        <v>5</v>
      </c>
    </row>
    <row r="1969" spans="1:13" x14ac:dyDescent="0.45">
      <c r="A1969" s="142" t="s">
        <v>13023</v>
      </c>
      <c r="B1969" s="142" t="s">
        <v>15571</v>
      </c>
      <c r="C1969" s="142" t="s">
        <v>15847</v>
      </c>
      <c r="D1969" s="142" t="s">
        <v>15848</v>
      </c>
      <c r="E1969" s="142" t="s">
        <v>15849</v>
      </c>
      <c r="F1969" s="142" t="s">
        <v>4214</v>
      </c>
      <c r="G1969" s="142" t="s">
        <v>4213</v>
      </c>
      <c r="H1969" s="142" t="s">
        <v>17819</v>
      </c>
      <c r="I1969" s="142">
        <v>47</v>
      </c>
      <c r="J1969" s="142">
        <v>0</v>
      </c>
      <c r="K1969" s="142">
        <v>0</v>
      </c>
      <c r="L1969" s="142">
        <v>47</v>
      </c>
      <c r="M1969" s="142">
        <v>0</v>
      </c>
    </row>
    <row r="1970" spans="1:13" x14ac:dyDescent="0.45">
      <c r="A1970" s="142" t="s">
        <v>13113</v>
      </c>
      <c r="B1970" s="142" t="s">
        <v>14503</v>
      </c>
      <c r="C1970" s="142" t="s">
        <v>15860</v>
      </c>
      <c r="D1970" s="142" t="s">
        <v>15861</v>
      </c>
      <c r="E1970" s="142" t="s">
        <v>15849</v>
      </c>
      <c r="F1970" s="142" t="s">
        <v>4214</v>
      </c>
      <c r="G1970" s="142" t="s">
        <v>4213</v>
      </c>
      <c r="H1970" s="142" t="s">
        <v>17820</v>
      </c>
      <c r="I1970" s="142">
        <v>1</v>
      </c>
      <c r="J1970" s="142">
        <v>0</v>
      </c>
      <c r="K1970" s="142">
        <v>0</v>
      </c>
      <c r="L1970" s="142">
        <v>1</v>
      </c>
      <c r="M1970" s="142">
        <v>0</v>
      </c>
    </row>
    <row r="1971" spans="1:13" x14ac:dyDescent="0.45">
      <c r="A1971" s="142" t="s">
        <v>13082</v>
      </c>
      <c r="B1971" s="142" t="s">
        <v>14478</v>
      </c>
      <c r="C1971" s="142" t="s">
        <v>15860</v>
      </c>
      <c r="D1971" s="142" t="s">
        <v>15861</v>
      </c>
      <c r="E1971" s="142" t="s">
        <v>15849</v>
      </c>
      <c r="F1971" s="142" t="s">
        <v>4214</v>
      </c>
      <c r="G1971" s="142" t="s">
        <v>4213</v>
      </c>
      <c r="H1971" s="142" t="s">
        <v>17821</v>
      </c>
      <c r="I1971" s="142">
        <v>3</v>
      </c>
      <c r="J1971" s="142">
        <v>0</v>
      </c>
      <c r="K1971" s="142">
        <v>0</v>
      </c>
      <c r="L1971" s="142">
        <v>3</v>
      </c>
      <c r="M1971" s="142">
        <v>0</v>
      </c>
    </row>
    <row r="1972" spans="1:13" x14ac:dyDescent="0.45">
      <c r="A1972" s="142" t="s">
        <v>13520</v>
      </c>
      <c r="B1972" s="142" t="s">
        <v>15524</v>
      </c>
      <c r="C1972" s="142" t="s">
        <v>15860</v>
      </c>
      <c r="D1972" s="142" t="s">
        <v>15861</v>
      </c>
      <c r="E1972" s="142" t="s">
        <v>15849</v>
      </c>
      <c r="F1972" s="142" t="s">
        <v>4214</v>
      </c>
      <c r="G1972" s="142" t="s">
        <v>4213</v>
      </c>
      <c r="H1972" s="142" t="s">
        <v>17822</v>
      </c>
      <c r="I1972" s="142">
        <v>69</v>
      </c>
      <c r="J1972" s="142">
        <v>0</v>
      </c>
      <c r="K1972" s="142">
        <v>0</v>
      </c>
      <c r="L1972" s="142">
        <v>69</v>
      </c>
      <c r="M1972" s="142">
        <v>0</v>
      </c>
    </row>
    <row r="1973" spans="1:13" x14ac:dyDescent="0.45">
      <c r="A1973" s="142" t="s">
        <v>13083</v>
      </c>
      <c r="B1973" s="142" t="s">
        <v>15440</v>
      </c>
      <c r="C1973" s="142" t="s">
        <v>15847</v>
      </c>
      <c r="D1973" s="142" t="s">
        <v>15848</v>
      </c>
      <c r="E1973" s="142" t="s">
        <v>15849</v>
      </c>
      <c r="F1973" s="142" t="s">
        <v>4214</v>
      </c>
      <c r="G1973" s="142" t="s">
        <v>4213</v>
      </c>
      <c r="H1973" s="142" t="s">
        <v>17823</v>
      </c>
      <c r="I1973" s="142">
        <v>561</v>
      </c>
      <c r="J1973" s="142">
        <v>530</v>
      </c>
      <c r="K1973" s="142">
        <v>0</v>
      </c>
      <c r="L1973" s="142">
        <v>0</v>
      </c>
      <c r="M1973" s="142">
        <v>31</v>
      </c>
    </row>
    <row r="1974" spans="1:13" x14ac:dyDescent="0.45">
      <c r="A1974" s="142" t="s">
        <v>13358</v>
      </c>
      <c r="B1974" s="142" t="s">
        <v>15385</v>
      </c>
      <c r="C1974" s="142" t="s">
        <v>15860</v>
      </c>
      <c r="D1974" s="142" t="s">
        <v>15861</v>
      </c>
      <c r="E1974" s="142" t="s">
        <v>15849</v>
      </c>
      <c r="F1974" s="142" t="s">
        <v>4214</v>
      </c>
      <c r="G1974" s="142" t="s">
        <v>4213</v>
      </c>
      <c r="H1974" s="142" t="s">
        <v>17824</v>
      </c>
      <c r="I1974" s="142">
        <v>5</v>
      </c>
      <c r="J1974" s="142">
        <v>5</v>
      </c>
      <c r="K1974" s="142">
        <v>0</v>
      </c>
      <c r="L1974" s="142">
        <v>0</v>
      </c>
      <c r="M1974" s="142">
        <v>0</v>
      </c>
    </row>
    <row r="1975" spans="1:13" x14ac:dyDescent="0.45">
      <c r="A1975" s="142" t="s">
        <v>13000</v>
      </c>
      <c r="B1975" s="142" t="s">
        <v>14610</v>
      </c>
      <c r="C1975" s="142" t="s">
        <v>15847</v>
      </c>
      <c r="D1975" s="142" t="s">
        <v>15848</v>
      </c>
      <c r="E1975" s="142" t="s">
        <v>15849</v>
      </c>
      <c r="F1975" s="142" t="s">
        <v>4214</v>
      </c>
      <c r="G1975" s="142" t="s">
        <v>4213</v>
      </c>
      <c r="H1975" s="142" t="s">
        <v>17825</v>
      </c>
      <c r="I1975" s="142">
        <v>45</v>
      </c>
      <c r="J1975" s="142">
        <v>21</v>
      </c>
      <c r="K1975" s="142">
        <v>0</v>
      </c>
      <c r="L1975" s="142">
        <v>22</v>
      </c>
      <c r="M1975" s="142">
        <v>2</v>
      </c>
    </row>
    <row r="1976" spans="1:13" x14ac:dyDescent="0.45">
      <c r="A1976" s="142" t="s">
        <v>13212</v>
      </c>
      <c r="B1976" s="142" t="s">
        <v>15497</v>
      </c>
      <c r="C1976" s="142" t="s">
        <v>15860</v>
      </c>
      <c r="D1976" s="142" t="s">
        <v>15861</v>
      </c>
      <c r="E1976" s="142" t="s">
        <v>15849</v>
      </c>
      <c r="F1976" s="142" t="s">
        <v>4214</v>
      </c>
      <c r="G1976" s="142" t="s">
        <v>4213</v>
      </c>
      <c r="H1976" s="142" t="s">
        <v>17826</v>
      </c>
      <c r="I1976" s="142">
        <v>56</v>
      </c>
      <c r="J1976" s="142">
        <v>56</v>
      </c>
      <c r="K1976" s="142">
        <v>0</v>
      </c>
      <c r="L1976" s="142">
        <v>0</v>
      </c>
      <c r="M1976" s="142">
        <v>0</v>
      </c>
    </row>
    <row r="1977" spans="1:13" x14ac:dyDescent="0.45">
      <c r="A1977" s="142" t="s">
        <v>13119</v>
      </c>
      <c r="B1977" s="142" t="s">
        <v>14451</v>
      </c>
      <c r="C1977" s="142" t="s">
        <v>15860</v>
      </c>
      <c r="D1977" s="142" t="s">
        <v>15861</v>
      </c>
      <c r="E1977" s="142" t="s">
        <v>15849</v>
      </c>
      <c r="F1977" s="142" t="s">
        <v>4214</v>
      </c>
      <c r="G1977" s="142" t="s">
        <v>4213</v>
      </c>
      <c r="H1977" s="142" t="s">
        <v>17827</v>
      </c>
      <c r="I1977" s="142">
        <v>4</v>
      </c>
      <c r="J1977" s="142">
        <v>0</v>
      </c>
      <c r="K1977" s="142">
        <v>0</v>
      </c>
      <c r="L1977" s="142">
        <v>4</v>
      </c>
      <c r="M1977" s="142">
        <v>0</v>
      </c>
    </row>
    <row r="1978" spans="1:13" x14ac:dyDescent="0.45">
      <c r="A1978" s="142" t="s">
        <v>13084</v>
      </c>
      <c r="B1978" s="142" t="s">
        <v>15471</v>
      </c>
      <c r="C1978" s="142" t="s">
        <v>15847</v>
      </c>
      <c r="D1978" s="142" t="s">
        <v>15848</v>
      </c>
      <c r="E1978" s="142" t="s">
        <v>15849</v>
      </c>
      <c r="F1978" s="142" t="s">
        <v>4214</v>
      </c>
      <c r="G1978" s="142" t="s">
        <v>4213</v>
      </c>
      <c r="H1978" s="142" t="s">
        <v>17828</v>
      </c>
      <c r="I1978" s="142">
        <v>1848</v>
      </c>
      <c r="J1978" s="142">
        <v>1518</v>
      </c>
      <c r="K1978" s="142">
        <v>0</v>
      </c>
      <c r="L1978" s="142">
        <v>149</v>
      </c>
      <c r="M1978" s="142">
        <v>181</v>
      </c>
    </row>
    <row r="1979" spans="1:13" x14ac:dyDescent="0.45">
      <c r="A1979" s="142" t="s">
        <v>13085</v>
      </c>
      <c r="B1979" s="142" t="s">
        <v>14460</v>
      </c>
      <c r="C1979" s="142" t="s">
        <v>15860</v>
      </c>
      <c r="D1979" s="142" t="s">
        <v>15861</v>
      </c>
      <c r="E1979" s="142" t="s">
        <v>15849</v>
      </c>
      <c r="F1979" s="142" t="s">
        <v>4214</v>
      </c>
      <c r="G1979" s="142" t="s">
        <v>4213</v>
      </c>
      <c r="H1979" s="142" t="s">
        <v>17829</v>
      </c>
      <c r="I1979" s="142">
        <v>2</v>
      </c>
      <c r="J1979" s="142">
        <v>0</v>
      </c>
      <c r="K1979" s="142">
        <v>0</v>
      </c>
      <c r="L1979" s="142">
        <v>2</v>
      </c>
      <c r="M1979" s="142">
        <v>0</v>
      </c>
    </row>
    <row r="1980" spans="1:13" x14ac:dyDescent="0.45">
      <c r="A1980" s="142" t="s">
        <v>13099</v>
      </c>
      <c r="B1980" s="142" t="s">
        <v>14547</v>
      </c>
      <c r="C1980" s="142" t="s">
        <v>15860</v>
      </c>
      <c r="D1980" s="142" t="s">
        <v>15861</v>
      </c>
      <c r="E1980" s="142" t="s">
        <v>15849</v>
      </c>
      <c r="F1980" s="142" t="s">
        <v>4214</v>
      </c>
      <c r="G1980" s="142" t="s">
        <v>4213</v>
      </c>
      <c r="H1980" s="142" t="s">
        <v>17830</v>
      </c>
      <c r="I1980" s="142">
        <v>13</v>
      </c>
      <c r="J1980" s="142">
        <v>0</v>
      </c>
      <c r="K1980" s="142">
        <v>0</v>
      </c>
      <c r="L1980" s="142">
        <v>13</v>
      </c>
      <c r="M1980" s="142">
        <v>0</v>
      </c>
    </row>
    <row r="1981" spans="1:13" x14ac:dyDescent="0.45">
      <c r="A1981" s="142" t="s">
        <v>13074</v>
      </c>
      <c r="B1981" s="142" t="s">
        <v>15405</v>
      </c>
      <c r="C1981" s="142" t="s">
        <v>15847</v>
      </c>
      <c r="D1981" s="142" t="s">
        <v>15848</v>
      </c>
      <c r="E1981" s="142" t="s">
        <v>15849</v>
      </c>
      <c r="F1981" s="142" t="s">
        <v>4214</v>
      </c>
      <c r="G1981" s="142" t="s">
        <v>4213</v>
      </c>
      <c r="H1981" s="142" t="s">
        <v>17831</v>
      </c>
      <c r="I1981" s="142">
        <v>17</v>
      </c>
      <c r="J1981" s="142">
        <v>12</v>
      </c>
      <c r="K1981" s="142">
        <v>0</v>
      </c>
      <c r="L1981" s="142">
        <v>0</v>
      </c>
      <c r="M1981" s="142">
        <v>5</v>
      </c>
    </row>
    <row r="1982" spans="1:13" x14ac:dyDescent="0.45">
      <c r="A1982" s="142" t="s">
        <v>13086</v>
      </c>
      <c r="B1982" s="142" t="s">
        <v>15380</v>
      </c>
      <c r="C1982" s="142" t="s">
        <v>15847</v>
      </c>
      <c r="D1982" s="142" t="s">
        <v>15848</v>
      </c>
      <c r="E1982" s="142" t="s">
        <v>15849</v>
      </c>
      <c r="F1982" s="142" t="s">
        <v>4214</v>
      </c>
      <c r="G1982" s="142" t="s">
        <v>4213</v>
      </c>
      <c r="H1982" s="142" t="s">
        <v>17832</v>
      </c>
      <c r="I1982" s="142">
        <v>280</v>
      </c>
      <c r="J1982" s="142">
        <v>236</v>
      </c>
      <c r="K1982" s="142">
        <v>0</v>
      </c>
      <c r="L1982" s="142">
        <v>8</v>
      </c>
      <c r="M1982" s="142">
        <v>36</v>
      </c>
    </row>
    <row r="1983" spans="1:13" x14ac:dyDescent="0.45">
      <c r="A1983" s="142" t="s">
        <v>13049</v>
      </c>
      <c r="B1983" s="142" t="s">
        <v>14534</v>
      </c>
      <c r="C1983" s="142" t="s">
        <v>15860</v>
      </c>
      <c r="D1983" s="142" t="s">
        <v>15861</v>
      </c>
      <c r="E1983" s="142" t="s">
        <v>15849</v>
      </c>
      <c r="F1983" s="142" t="s">
        <v>4214</v>
      </c>
      <c r="G1983" s="142" t="s">
        <v>4213</v>
      </c>
      <c r="H1983" s="142" t="s">
        <v>17833</v>
      </c>
      <c r="I1983" s="142">
        <v>20</v>
      </c>
      <c r="J1983" s="142">
        <v>0</v>
      </c>
      <c r="K1983" s="142">
        <v>0</v>
      </c>
      <c r="L1983" s="142">
        <v>20</v>
      </c>
      <c r="M1983" s="142">
        <v>0</v>
      </c>
    </row>
    <row r="1984" spans="1:13" x14ac:dyDescent="0.45">
      <c r="A1984" s="142" t="s">
        <v>13168</v>
      </c>
      <c r="B1984" s="142" t="s">
        <v>14486</v>
      </c>
      <c r="C1984" s="142" t="s">
        <v>15860</v>
      </c>
      <c r="D1984" s="142" t="s">
        <v>15861</v>
      </c>
      <c r="E1984" s="142" t="s">
        <v>15849</v>
      </c>
      <c r="F1984" s="142" t="s">
        <v>4214</v>
      </c>
      <c r="G1984" s="142" t="s">
        <v>4213</v>
      </c>
      <c r="H1984" s="142" t="s">
        <v>17834</v>
      </c>
      <c r="I1984" s="142">
        <v>15</v>
      </c>
      <c r="J1984" s="142">
        <v>0</v>
      </c>
      <c r="K1984" s="142">
        <v>0</v>
      </c>
      <c r="L1984" s="142">
        <v>15</v>
      </c>
      <c r="M1984" s="142">
        <v>0</v>
      </c>
    </row>
    <row r="1985" spans="1:13" x14ac:dyDescent="0.45">
      <c r="A1985" s="142" t="s">
        <v>13087</v>
      </c>
      <c r="B1985" s="142" t="s">
        <v>14452</v>
      </c>
      <c r="C1985" s="142" t="s">
        <v>15847</v>
      </c>
      <c r="D1985" s="142" t="s">
        <v>15848</v>
      </c>
      <c r="E1985" s="142" t="s">
        <v>15849</v>
      </c>
      <c r="F1985" s="142" t="s">
        <v>4214</v>
      </c>
      <c r="G1985" s="142" t="s">
        <v>4213</v>
      </c>
      <c r="H1985" s="142" t="s">
        <v>17835</v>
      </c>
      <c r="I1985" s="142">
        <v>390</v>
      </c>
      <c r="J1985" s="142">
        <v>343</v>
      </c>
      <c r="K1985" s="142">
        <v>0</v>
      </c>
      <c r="L1985" s="142">
        <v>0</v>
      </c>
      <c r="M1985" s="142">
        <v>47</v>
      </c>
    </row>
    <row r="1986" spans="1:13" x14ac:dyDescent="0.45">
      <c r="A1986" s="142" t="s">
        <v>13027</v>
      </c>
      <c r="B1986" s="142" t="s">
        <v>14562</v>
      </c>
      <c r="C1986" s="142" t="s">
        <v>15847</v>
      </c>
      <c r="D1986" s="142" t="s">
        <v>15848</v>
      </c>
      <c r="E1986" s="142" t="s">
        <v>15849</v>
      </c>
      <c r="F1986" s="142" t="s">
        <v>4214</v>
      </c>
      <c r="G1986" s="142" t="s">
        <v>4213</v>
      </c>
      <c r="H1986" s="142" t="s">
        <v>17836</v>
      </c>
      <c r="I1986" s="142">
        <v>8</v>
      </c>
      <c r="J1986" s="142">
        <v>0</v>
      </c>
      <c r="K1986" s="142">
        <v>0</v>
      </c>
      <c r="L1986" s="142">
        <v>8</v>
      </c>
      <c r="M1986" s="142">
        <v>0</v>
      </c>
    </row>
    <row r="1987" spans="1:13" x14ac:dyDescent="0.45">
      <c r="A1987" s="142" t="s">
        <v>13001</v>
      </c>
      <c r="B1987" s="142" t="s">
        <v>15506</v>
      </c>
      <c r="C1987" s="142" t="s">
        <v>15847</v>
      </c>
      <c r="D1987" s="142" t="s">
        <v>15848</v>
      </c>
      <c r="E1987" s="142" t="s">
        <v>15849</v>
      </c>
      <c r="F1987" s="142" t="s">
        <v>4214</v>
      </c>
      <c r="G1987" s="142" t="s">
        <v>4213</v>
      </c>
      <c r="H1987" s="142" t="s">
        <v>17837</v>
      </c>
      <c r="I1987" s="142">
        <v>30</v>
      </c>
      <c r="J1987" s="142">
        <v>24</v>
      </c>
      <c r="K1987" s="142">
        <v>0</v>
      </c>
      <c r="L1987" s="142">
        <v>6</v>
      </c>
      <c r="M1987" s="142">
        <v>0</v>
      </c>
    </row>
    <row r="1988" spans="1:13" x14ac:dyDescent="0.45">
      <c r="A1988" s="142" t="s">
        <v>13050</v>
      </c>
      <c r="B1988" s="142" t="s">
        <v>15237</v>
      </c>
      <c r="C1988" s="142" t="s">
        <v>15847</v>
      </c>
      <c r="D1988" s="142" t="s">
        <v>15848</v>
      </c>
      <c r="E1988" s="142" t="s">
        <v>15849</v>
      </c>
      <c r="F1988" s="142" t="s">
        <v>4214</v>
      </c>
      <c r="G1988" s="142" t="s">
        <v>4213</v>
      </c>
      <c r="H1988" s="142" t="s">
        <v>17838</v>
      </c>
      <c r="I1988" s="142">
        <v>12</v>
      </c>
      <c r="J1988" s="142">
        <v>9</v>
      </c>
      <c r="K1988" s="142">
        <v>0</v>
      </c>
      <c r="L1988" s="142">
        <v>0</v>
      </c>
      <c r="M1988" s="142">
        <v>3</v>
      </c>
    </row>
    <row r="1989" spans="1:13" x14ac:dyDescent="0.45">
      <c r="A1989" s="142" t="s">
        <v>13028</v>
      </c>
      <c r="B1989" s="142" t="s">
        <v>14462</v>
      </c>
      <c r="C1989" s="142" t="s">
        <v>15847</v>
      </c>
      <c r="D1989" s="142" t="s">
        <v>15848</v>
      </c>
      <c r="E1989" s="142" t="s">
        <v>15849</v>
      </c>
      <c r="F1989" s="142" t="s">
        <v>4214</v>
      </c>
      <c r="G1989" s="142" t="s">
        <v>4213</v>
      </c>
      <c r="H1989" s="142" t="s">
        <v>17839</v>
      </c>
      <c r="I1989" s="142">
        <v>1</v>
      </c>
      <c r="J1989" s="142">
        <v>0</v>
      </c>
      <c r="K1989" s="142">
        <v>0</v>
      </c>
      <c r="L1989" s="142">
        <v>0</v>
      </c>
      <c r="M1989" s="142">
        <v>1</v>
      </c>
    </row>
    <row r="1990" spans="1:13" x14ac:dyDescent="0.45">
      <c r="A1990" s="142" t="s">
        <v>13002</v>
      </c>
      <c r="B1990" s="142" t="s">
        <v>15376</v>
      </c>
      <c r="C1990" s="142" t="s">
        <v>15847</v>
      </c>
      <c r="D1990" s="142" t="s">
        <v>15848</v>
      </c>
      <c r="E1990" s="142" t="s">
        <v>15849</v>
      </c>
      <c r="F1990" s="142" t="s">
        <v>4214</v>
      </c>
      <c r="G1990" s="142" t="s">
        <v>4213</v>
      </c>
      <c r="H1990" s="142" t="s">
        <v>17840</v>
      </c>
      <c r="I1990" s="142">
        <v>91</v>
      </c>
      <c r="J1990" s="142">
        <v>83</v>
      </c>
      <c r="K1990" s="142">
        <v>0</v>
      </c>
      <c r="L1990" s="142">
        <v>0</v>
      </c>
      <c r="M1990" s="142">
        <v>8</v>
      </c>
    </row>
    <row r="1991" spans="1:13" x14ac:dyDescent="0.45">
      <c r="A1991" s="142" t="s">
        <v>13066</v>
      </c>
      <c r="B1991" s="142" t="s">
        <v>14459</v>
      </c>
      <c r="C1991" s="142" t="s">
        <v>15847</v>
      </c>
      <c r="D1991" s="142" t="s">
        <v>15848</v>
      </c>
      <c r="E1991" s="142" t="s">
        <v>15849</v>
      </c>
      <c r="F1991" s="142" t="s">
        <v>4214</v>
      </c>
      <c r="G1991" s="142" t="s">
        <v>4213</v>
      </c>
      <c r="H1991" s="142" t="s">
        <v>17841</v>
      </c>
      <c r="I1991" s="142">
        <v>30</v>
      </c>
      <c r="J1991" s="142">
        <v>0</v>
      </c>
      <c r="K1991" s="142">
        <v>0</v>
      </c>
      <c r="L1991" s="142">
        <v>30</v>
      </c>
      <c r="M1991" s="142">
        <v>0</v>
      </c>
    </row>
    <row r="1992" spans="1:13" x14ac:dyDescent="0.45">
      <c r="A1992" s="142" t="s">
        <v>13076</v>
      </c>
      <c r="B1992" s="142" t="s">
        <v>14636</v>
      </c>
      <c r="C1992" s="142" t="s">
        <v>15847</v>
      </c>
      <c r="D1992" s="142" t="s">
        <v>15848</v>
      </c>
      <c r="E1992" s="142" t="s">
        <v>15849</v>
      </c>
      <c r="F1992" s="142" t="s">
        <v>4214</v>
      </c>
      <c r="G1992" s="142" t="s">
        <v>4213</v>
      </c>
      <c r="H1992" s="142" t="s">
        <v>17842</v>
      </c>
      <c r="I1992" s="142">
        <v>13</v>
      </c>
      <c r="J1992" s="142">
        <v>0</v>
      </c>
      <c r="K1992" s="142">
        <v>0</v>
      </c>
      <c r="L1992" s="142">
        <v>0</v>
      </c>
      <c r="M1992" s="142">
        <v>13</v>
      </c>
    </row>
    <row r="1993" spans="1:13" x14ac:dyDescent="0.45">
      <c r="A1993" s="142" t="s">
        <v>13274</v>
      </c>
      <c r="B1993" s="142" t="s">
        <v>14608</v>
      </c>
      <c r="C1993" s="142" t="s">
        <v>15860</v>
      </c>
      <c r="D1993" s="142" t="s">
        <v>15861</v>
      </c>
      <c r="E1993" s="142" t="s">
        <v>15849</v>
      </c>
      <c r="F1993" s="142" t="s">
        <v>4214</v>
      </c>
      <c r="G1993" s="142" t="s">
        <v>4213</v>
      </c>
      <c r="H1993" s="142" t="s">
        <v>17843</v>
      </c>
      <c r="I1993" s="142">
        <v>1</v>
      </c>
      <c r="J1993" s="142">
        <v>0</v>
      </c>
      <c r="K1993" s="142">
        <v>0</v>
      </c>
      <c r="L1993" s="142">
        <v>1</v>
      </c>
      <c r="M1993" s="142">
        <v>0</v>
      </c>
    </row>
    <row r="1994" spans="1:13" x14ac:dyDescent="0.45">
      <c r="A1994" s="142" t="s">
        <v>13100</v>
      </c>
      <c r="B1994" s="142" t="s">
        <v>15603</v>
      </c>
      <c r="C1994" s="142" t="s">
        <v>15847</v>
      </c>
      <c r="D1994" s="142" t="s">
        <v>15848</v>
      </c>
      <c r="E1994" s="142" t="s">
        <v>15849</v>
      </c>
      <c r="F1994" s="142" t="s">
        <v>4214</v>
      </c>
      <c r="G1994" s="142" t="s">
        <v>4213</v>
      </c>
      <c r="H1994" s="142" t="s">
        <v>17844</v>
      </c>
      <c r="I1994" s="142">
        <v>14</v>
      </c>
      <c r="J1994" s="142">
        <v>14</v>
      </c>
      <c r="K1994" s="142">
        <v>0</v>
      </c>
      <c r="L1994" s="142">
        <v>0</v>
      </c>
      <c r="M1994" s="142">
        <v>0</v>
      </c>
    </row>
    <row r="1995" spans="1:13" x14ac:dyDescent="0.45">
      <c r="A1995" s="142" t="s">
        <v>13005</v>
      </c>
      <c r="B1995" s="142" t="s">
        <v>15475</v>
      </c>
      <c r="C1995" s="142" t="s">
        <v>15847</v>
      </c>
      <c r="D1995" s="142" t="s">
        <v>15848</v>
      </c>
      <c r="E1995" s="142" t="s">
        <v>15849</v>
      </c>
      <c r="F1995" s="142" t="s">
        <v>4214</v>
      </c>
      <c r="G1995" s="142" t="s">
        <v>4213</v>
      </c>
      <c r="H1995" s="142" t="s">
        <v>17845</v>
      </c>
      <c r="I1995" s="142">
        <v>51</v>
      </c>
      <c r="J1995" s="142">
        <v>43</v>
      </c>
      <c r="K1995" s="142">
        <v>0</v>
      </c>
      <c r="L1995" s="142">
        <v>4</v>
      </c>
      <c r="M1995" s="142">
        <v>4</v>
      </c>
    </row>
    <row r="1996" spans="1:13" x14ac:dyDescent="0.45">
      <c r="A1996" s="142" t="s">
        <v>13029</v>
      </c>
      <c r="B1996" s="142" t="s">
        <v>14665</v>
      </c>
      <c r="C1996" s="142" t="s">
        <v>15847</v>
      </c>
      <c r="D1996" s="142" t="s">
        <v>15848</v>
      </c>
      <c r="E1996" s="142" t="s">
        <v>15849</v>
      </c>
      <c r="F1996" s="142" t="s">
        <v>4214</v>
      </c>
      <c r="G1996" s="142" t="s">
        <v>4213</v>
      </c>
      <c r="H1996" s="142" t="s">
        <v>17846</v>
      </c>
      <c r="I1996" s="142">
        <v>5</v>
      </c>
      <c r="J1996" s="142">
        <v>0</v>
      </c>
      <c r="K1996" s="142">
        <v>0</v>
      </c>
      <c r="L1996" s="142">
        <v>0</v>
      </c>
      <c r="M1996" s="142">
        <v>5</v>
      </c>
    </row>
    <row r="1997" spans="1:13" x14ac:dyDescent="0.45">
      <c r="A1997" s="142" t="s">
        <v>13521</v>
      </c>
      <c r="B1997" s="142" t="s">
        <v>15320</v>
      </c>
      <c r="C1997" s="142" t="s">
        <v>15860</v>
      </c>
      <c r="D1997" s="142" t="s">
        <v>15861</v>
      </c>
      <c r="E1997" s="142" t="s">
        <v>15849</v>
      </c>
      <c r="F1997" s="142" t="s">
        <v>4214</v>
      </c>
      <c r="G1997" s="142" t="s">
        <v>4213</v>
      </c>
      <c r="H1997" s="142" t="s">
        <v>17847</v>
      </c>
      <c r="I1997" s="142">
        <v>43</v>
      </c>
      <c r="J1997" s="142">
        <v>0</v>
      </c>
      <c r="K1997" s="142">
        <v>0</v>
      </c>
      <c r="L1997" s="142">
        <v>43</v>
      </c>
      <c r="M1997" s="142">
        <v>0</v>
      </c>
    </row>
    <row r="1998" spans="1:13" x14ac:dyDescent="0.45">
      <c r="A1998" s="142" t="s">
        <v>13162</v>
      </c>
      <c r="B1998" s="142" t="s">
        <v>14545</v>
      </c>
      <c r="C1998" s="142" t="s">
        <v>15860</v>
      </c>
      <c r="D1998" s="142" t="s">
        <v>15861</v>
      </c>
      <c r="E1998" s="142" t="s">
        <v>15849</v>
      </c>
      <c r="F1998" s="142" t="s">
        <v>4214</v>
      </c>
      <c r="G1998" s="142" t="s">
        <v>4213</v>
      </c>
      <c r="H1998" s="142" t="s">
        <v>17848</v>
      </c>
      <c r="I1998" s="142">
        <v>13</v>
      </c>
      <c r="J1998" s="142">
        <v>0</v>
      </c>
      <c r="K1998" s="142">
        <v>0</v>
      </c>
      <c r="L1998" s="142">
        <v>13</v>
      </c>
      <c r="M1998" s="142">
        <v>0</v>
      </c>
    </row>
    <row r="1999" spans="1:13" x14ac:dyDescent="0.45">
      <c r="A1999" s="142" t="s">
        <v>13103</v>
      </c>
      <c r="B1999" s="142" t="s">
        <v>14623</v>
      </c>
      <c r="C1999" s="142" t="s">
        <v>15847</v>
      </c>
      <c r="D1999" s="142" t="s">
        <v>15848</v>
      </c>
      <c r="E1999" s="142" t="s">
        <v>15849</v>
      </c>
      <c r="F1999" s="142" t="s">
        <v>4214</v>
      </c>
      <c r="G1999" s="142" t="s">
        <v>4213</v>
      </c>
      <c r="H1999" s="142" t="s">
        <v>17849</v>
      </c>
      <c r="I1999" s="142">
        <v>336</v>
      </c>
      <c r="J1999" s="142">
        <v>279</v>
      </c>
      <c r="K1999" s="142">
        <v>0</v>
      </c>
      <c r="L1999" s="142">
        <v>48</v>
      </c>
      <c r="M1999" s="142">
        <v>9</v>
      </c>
    </row>
    <row r="2000" spans="1:13" x14ac:dyDescent="0.45">
      <c r="A2000" s="142" t="s">
        <v>13089</v>
      </c>
      <c r="B2000" s="142" t="s">
        <v>15240</v>
      </c>
      <c r="C2000" s="142" t="s">
        <v>15847</v>
      </c>
      <c r="D2000" s="142" t="s">
        <v>15848</v>
      </c>
      <c r="E2000" s="142" t="s">
        <v>15849</v>
      </c>
      <c r="F2000" s="142" t="s">
        <v>4214</v>
      </c>
      <c r="G2000" s="142" t="s">
        <v>4213</v>
      </c>
      <c r="H2000" s="142" t="s">
        <v>17850</v>
      </c>
      <c r="I2000" s="142">
        <v>5</v>
      </c>
      <c r="J2000" s="142">
        <v>0</v>
      </c>
      <c r="K2000" s="142">
        <v>0</v>
      </c>
      <c r="L2000" s="142">
        <v>5</v>
      </c>
      <c r="M2000" s="142">
        <v>0</v>
      </c>
    </row>
    <row r="2001" spans="1:13" x14ac:dyDescent="0.45">
      <c r="A2001" s="142" t="s">
        <v>13522</v>
      </c>
      <c r="B2001" s="142" t="s">
        <v>15398</v>
      </c>
      <c r="C2001" s="142" t="s">
        <v>15860</v>
      </c>
      <c r="D2001" s="142" t="s">
        <v>15861</v>
      </c>
      <c r="E2001" s="142" t="s">
        <v>15849</v>
      </c>
      <c r="F2001" s="142" t="s">
        <v>4214</v>
      </c>
      <c r="G2001" s="142" t="s">
        <v>4213</v>
      </c>
      <c r="H2001" s="142" t="s">
        <v>17851</v>
      </c>
      <c r="I2001" s="142">
        <v>8</v>
      </c>
      <c r="J2001" s="142">
        <v>8</v>
      </c>
      <c r="K2001" s="142">
        <v>0</v>
      </c>
      <c r="L2001" s="142">
        <v>0</v>
      </c>
      <c r="M2001" s="142">
        <v>0</v>
      </c>
    </row>
    <row r="2002" spans="1:13" x14ac:dyDescent="0.45">
      <c r="A2002" s="142" t="s">
        <v>13104</v>
      </c>
      <c r="B2002" s="142" t="s">
        <v>14622</v>
      </c>
      <c r="C2002" s="142" t="s">
        <v>15847</v>
      </c>
      <c r="D2002" s="142" t="s">
        <v>15848</v>
      </c>
      <c r="E2002" s="142" t="s">
        <v>15849</v>
      </c>
      <c r="F2002" s="142" t="s">
        <v>4214</v>
      </c>
      <c r="G2002" s="142" t="s">
        <v>4213</v>
      </c>
      <c r="H2002" s="142" t="s">
        <v>17852</v>
      </c>
      <c r="I2002" s="142">
        <v>420</v>
      </c>
      <c r="J2002" s="142">
        <v>240</v>
      </c>
      <c r="K2002" s="142">
        <v>0</v>
      </c>
      <c r="L2002" s="142">
        <v>177</v>
      </c>
      <c r="M2002" s="142">
        <v>3</v>
      </c>
    </row>
    <row r="2003" spans="1:13" x14ac:dyDescent="0.45">
      <c r="A2003" s="142" t="s">
        <v>13033</v>
      </c>
      <c r="B2003" s="142" t="s">
        <v>15276</v>
      </c>
      <c r="C2003" s="142" t="s">
        <v>15847</v>
      </c>
      <c r="D2003" s="142" t="s">
        <v>15848</v>
      </c>
      <c r="E2003" s="142" t="s">
        <v>15849</v>
      </c>
      <c r="F2003" s="142" t="s">
        <v>4214</v>
      </c>
      <c r="G2003" s="142" t="s">
        <v>4213</v>
      </c>
      <c r="H2003" s="142" t="s">
        <v>17853</v>
      </c>
      <c r="I2003" s="142">
        <v>160</v>
      </c>
      <c r="J2003" s="142">
        <v>151</v>
      </c>
      <c r="K2003" s="142">
        <v>0</v>
      </c>
      <c r="L2003" s="142">
        <v>3</v>
      </c>
      <c r="M2003" s="142">
        <v>6</v>
      </c>
    </row>
    <row r="2004" spans="1:13" x14ac:dyDescent="0.45">
      <c r="A2004" s="142" t="s">
        <v>13034</v>
      </c>
      <c r="B2004" s="142" t="s">
        <v>15562</v>
      </c>
      <c r="C2004" s="142" t="s">
        <v>15847</v>
      </c>
      <c r="D2004" s="142" t="s">
        <v>15848</v>
      </c>
      <c r="E2004" s="142" t="s">
        <v>15849</v>
      </c>
      <c r="F2004" s="142" t="s">
        <v>4214</v>
      </c>
      <c r="G2004" s="142" t="s">
        <v>4213</v>
      </c>
      <c r="H2004" s="142" t="s">
        <v>17854</v>
      </c>
      <c r="I2004" s="142">
        <v>6</v>
      </c>
      <c r="J2004" s="142">
        <v>0</v>
      </c>
      <c r="K2004" s="142">
        <v>0</v>
      </c>
      <c r="L2004" s="142">
        <v>6</v>
      </c>
      <c r="M2004" s="142">
        <v>0</v>
      </c>
    </row>
    <row r="2005" spans="1:13" x14ac:dyDescent="0.45">
      <c r="A2005" s="142" t="s">
        <v>13036</v>
      </c>
      <c r="B2005" s="142" t="s">
        <v>15567</v>
      </c>
      <c r="C2005" s="142" t="s">
        <v>15847</v>
      </c>
      <c r="D2005" s="142" t="s">
        <v>15848</v>
      </c>
      <c r="E2005" s="142" t="s">
        <v>15849</v>
      </c>
      <c r="F2005" s="142" t="s">
        <v>4214</v>
      </c>
      <c r="G2005" s="142" t="s">
        <v>4213</v>
      </c>
      <c r="H2005" s="142" t="s">
        <v>17855</v>
      </c>
      <c r="I2005" s="142">
        <v>19</v>
      </c>
      <c r="J2005" s="142">
        <v>0</v>
      </c>
      <c r="K2005" s="142">
        <v>0</v>
      </c>
      <c r="L2005" s="142">
        <v>19</v>
      </c>
      <c r="M2005" s="142">
        <v>0</v>
      </c>
    </row>
    <row r="2006" spans="1:13" x14ac:dyDescent="0.45">
      <c r="A2006" s="142" t="s">
        <v>13090</v>
      </c>
      <c r="B2006" s="142" t="s">
        <v>15600</v>
      </c>
      <c r="C2006" s="142" t="s">
        <v>15847</v>
      </c>
      <c r="D2006" s="142" t="s">
        <v>15848</v>
      </c>
      <c r="E2006" s="142" t="s">
        <v>15849</v>
      </c>
      <c r="F2006" s="142" t="s">
        <v>4214</v>
      </c>
      <c r="G2006" s="142" t="s">
        <v>4213</v>
      </c>
      <c r="H2006" s="142" t="s">
        <v>17856</v>
      </c>
      <c r="I2006" s="142">
        <v>4</v>
      </c>
      <c r="J2006" s="142">
        <v>0</v>
      </c>
      <c r="K2006" s="142">
        <v>0</v>
      </c>
      <c r="L2006" s="142">
        <v>0</v>
      </c>
      <c r="M2006" s="142">
        <v>4</v>
      </c>
    </row>
    <row r="2007" spans="1:13" x14ac:dyDescent="0.45">
      <c r="A2007" s="142" t="s">
        <v>13038</v>
      </c>
      <c r="B2007" s="142" t="s">
        <v>14646</v>
      </c>
      <c r="C2007" s="142" t="s">
        <v>15847</v>
      </c>
      <c r="D2007" s="142" t="s">
        <v>15848</v>
      </c>
      <c r="E2007" s="142" t="s">
        <v>15849</v>
      </c>
      <c r="F2007" s="142" t="s">
        <v>4214</v>
      </c>
      <c r="G2007" s="142" t="s">
        <v>4213</v>
      </c>
      <c r="H2007" s="142" t="s">
        <v>17857</v>
      </c>
      <c r="I2007" s="142">
        <v>130</v>
      </c>
      <c r="J2007" s="142">
        <v>98</v>
      </c>
      <c r="K2007" s="142">
        <v>0</v>
      </c>
      <c r="L2007" s="142">
        <v>0</v>
      </c>
      <c r="M2007" s="142">
        <v>32</v>
      </c>
    </row>
    <row r="2008" spans="1:13" x14ac:dyDescent="0.45">
      <c r="A2008" s="142" t="s">
        <v>13039</v>
      </c>
      <c r="B2008" s="142" t="s">
        <v>14647</v>
      </c>
      <c r="C2008" s="142" t="s">
        <v>15847</v>
      </c>
      <c r="D2008" s="142" t="s">
        <v>15848</v>
      </c>
      <c r="E2008" s="142" t="s">
        <v>15849</v>
      </c>
      <c r="F2008" s="142" t="s">
        <v>4214</v>
      </c>
      <c r="G2008" s="142" t="s">
        <v>4213</v>
      </c>
      <c r="H2008" s="142" t="s">
        <v>17858</v>
      </c>
      <c r="I2008" s="142">
        <v>16</v>
      </c>
      <c r="J2008" s="142">
        <v>16</v>
      </c>
      <c r="K2008" s="142">
        <v>0</v>
      </c>
      <c r="L2008" s="142">
        <v>0</v>
      </c>
      <c r="M2008" s="142">
        <v>0</v>
      </c>
    </row>
    <row r="2009" spans="1:13" x14ac:dyDescent="0.45">
      <c r="A2009" s="142" t="s">
        <v>13078</v>
      </c>
      <c r="B2009" s="142" t="s">
        <v>15540</v>
      </c>
      <c r="C2009" s="142" t="s">
        <v>15847</v>
      </c>
      <c r="D2009" s="142" t="s">
        <v>15848</v>
      </c>
      <c r="E2009" s="142" t="s">
        <v>15849</v>
      </c>
      <c r="F2009" s="142" t="s">
        <v>4214</v>
      </c>
      <c r="G2009" s="142" t="s">
        <v>4213</v>
      </c>
      <c r="H2009" s="142" t="s">
        <v>17859</v>
      </c>
      <c r="I2009" s="142">
        <v>23</v>
      </c>
      <c r="J2009" s="142">
        <v>23</v>
      </c>
      <c r="K2009" s="142">
        <v>0</v>
      </c>
      <c r="L2009" s="142">
        <v>0</v>
      </c>
      <c r="M2009" s="142">
        <v>0</v>
      </c>
    </row>
    <row r="2010" spans="1:13" x14ac:dyDescent="0.45">
      <c r="A2010" s="142" t="s">
        <v>13009</v>
      </c>
      <c r="B2010" s="142" t="s">
        <v>15256</v>
      </c>
      <c r="C2010" s="142" t="s">
        <v>15847</v>
      </c>
      <c r="D2010" s="142" t="s">
        <v>15848</v>
      </c>
      <c r="E2010" s="142" t="s">
        <v>15849</v>
      </c>
      <c r="F2010" s="142" t="s">
        <v>4214</v>
      </c>
      <c r="G2010" s="142" t="s">
        <v>4213</v>
      </c>
      <c r="H2010" s="142" t="s">
        <v>17860</v>
      </c>
      <c r="I2010" s="142">
        <v>381</v>
      </c>
      <c r="J2010" s="142">
        <v>281</v>
      </c>
      <c r="K2010" s="142">
        <v>0</v>
      </c>
      <c r="L2010" s="142">
        <v>84</v>
      </c>
      <c r="M2010" s="142">
        <v>16</v>
      </c>
    </row>
    <row r="2011" spans="1:13" x14ac:dyDescent="0.45">
      <c r="A2011" s="142" t="s">
        <v>13092</v>
      </c>
      <c r="B2011" s="142" t="s">
        <v>14656</v>
      </c>
      <c r="C2011" s="142" t="s">
        <v>15860</v>
      </c>
      <c r="D2011" s="142" t="s">
        <v>15861</v>
      </c>
      <c r="E2011" s="142" t="s">
        <v>15849</v>
      </c>
      <c r="F2011" s="142" t="s">
        <v>4214</v>
      </c>
      <c r="G2011" s="142" t="s">
        <v>4213</v>
      </c>
      <c r="H2011" s="142" t="s">
        <v>17861</v>
      </c>
      <c r="I2011" s="142">
        <v>10</v>
      </c>
      <c r="J2011" s="142">
        <v>10</v>
      </c>
      <c r="K2011" s="142">
        <v>0</v>
      </c>
      <c r="L2011" s="142">
        <v>0</v>
      </c>
      <c r="M2011" s="142">
        <v>0</v>
      </c>
    </row>
    <row r="2012" spans="1:13" x14ac:dyDescent="0.45">
      <c r="A2012" s="142" t="s">
        <v>13041</v>
      </c>
      <c r="B2012" s="142" t="s">
        <v>14441</v>
      </c>
      <c r="C2012" s="142" t="s">
        <v>15847</v>
      </c>
      <c r="D2012" s="142" t="s">
        <v>15848</v>
      </c>
      <c r="E2012" s="142" t="s">
        <v>15849</v>
      </c>
      <c r="F2012" s="142" t="s">
        <v>4214</v>
      </c>
      <c r="G2012" s="142" t="s">
        <v>4213</v>
      </c>
      <c r="H2012" s="142" t="s">
        <v>17862</v>
      </c>
      <c r="I2012" s="142">
        <v>1</v>
      </c>
      <c r="J2012" s="142">
        <v>0</v>
      </c>
      <c r="K2012" s="142">
        <v>0</v>
      </c>
      <c r="L2012" s="142">
        <v>0</v>
      </c>
      <c r="M2012" s="142">
        <v>1</v>
      </c>
    </row>
    <row r="2013" spans="1:13" x14ac:dyDescent="0.45">
      <c r="A2013" s="142" t="s">
        <v>13523</v>
      </c>
      <c r="B2013" s="142" t="s">
        <v>14697</v>
      </c>
      <c r="C2013" s="142" t="s">
        <v>15860</v>
      </c>
      <c r="D2013" s="142" t="s">
        <v>15861</v>
      </c>
      <c r="E2013" s="142" t="s">
        <v>15849</v>
      </c>
      <c r="F2013" s="142" t="s">
        <v>4214</v>
      </c>
      <c r="G2013" s="142" t="s">
        <v>4213</v>
      </c>
      <c r="H2013" s="142" t="s">
        <v>17863</v>
      </c>
      <c r="I2013" s="142">
        <v>6</v>
      </c>
      <c r="J2013" s="142">
        <v>6</v>
      </c>
      <c r="K2013" s="142">
        <v>0</v>
      </c>
      <c r="L2013" s="142">
        <v>0</v>
      </c>
      <c r="M2013" s="142">
        <v>0</v>
      </c>
    </row>
    <row r="2014" spans="1:13" x14ac:dyDescent="0.45">
      <c r="A2014" s="142" t="s">
        <v>13106</v>
      </c>
      <c r="B2014" s="142" t="s">
        <v>15414</v>
      </c>
      <c r="C2014" s="142" t="s">
        <v>15847</v>
      </c>
      <c r="D2014" s="142" t="s">
        <v>15848</v>
      </c>
      <c r="E2014" s="142" t="s">
        <v>15849</v>
      </c>
      <c r="F2014" s="142" t="s">
        <v>4214</v>
      </c>
      <c r="G2014" s="142" t="s">
        <v>4213</v>
      </c>
      <c r="H2014" s="142" t="s">
        <v>17864</v>
      </c>
      <c r="I2014" s="142">
        <v>269</v>
      </c>
      <c r="J2014" s="142">
        <v>133</v>
      </c>
      <c r="K2014" s="142">
        <v>135</v>
      </c>
      <c r="L2014" s="142">
        <v>1</v>
      </c>
      <c r="M2014" s="142">
        <v>0</v>
      </c>
    </row>
    <row r="2015" spans="1:13" x14ac:dyDescent="0.45">
      <c r="A2015" s="142" t="s">
        <v>13014</v>
      </c>
      <c r="B2015" s="142" t="s">
        <v>14505</v>
      </c>
      <c r="C2015" s="142" t="s">
        <v>15847</v>
      </c>
      <c r="D2015" s="142" t="s">
        <v>15848</v>
      </c>
      <c r="E2015" s="142" t="s">
        <v>15849</v>
      </c>
      <c r="F2015" s="142" t="s">
        <v>4214</v>
      </c>
      <c r="G2015" s="142" t="s">
        <v>4213</v>
      </c>
      <c r="H2015" s="142" t="s">
        <v>17865</v>
      </c>
      <c r="I2015" s="142">
        <v>467</v>
      </c>
      <c r="J2015" s="142">
        <v>467</v>
      </c>
      <c r="K2015" s="142">
        <v>0</v>
      </c>
      <c r="L2015" s="142">
        <v>0</v>
      </c>
      <c r="M2015" s="142">
        <v>0</v>
      </c>
    </row>
    <row r="2016" spans="1:13" x14ac:dyDescent="0.45">
      <c r="A2016" s="142" t="s">
        <v>13524</v>
      </c>
      <c r="B2016" s="142" t="s">
        <v>14691</v>
      </c>
      <c r="C2016" s="142" t="s">
        <v>15860</v>
      </c>
      <c r="D2016" s="142" t="s">
        <v>15861</v>
      </c>
      <c r="E2016" s="142" t="s">
        <v>15849</v>
      </c>
      <c r="F2016" s="142" t="s">
        <v>4214</v>
      </c>
      <c r="G2016" s="142" t="s">
        <v>4213</v>
      </c>
      <c r="H2016" s="142" t="s">
        <v>17866</v>
      </c>
      <c r="I2016" s="142">
        <v>16</v>
      </c>
      <c r="J2016" s="142">
        <v>16</v>
      </c>
      <c r="K2016" s="142">
        <v>0</v>
      </c>
      <c r="L2016" s="142">
        <v>0</v>
      </c>
      <c r="M2016" s="142">
        <v>0</v>
      </c>
    </row>
    <row r="2017" spans="1:13" x14ac:dyDescent="0.45">
      <c r="A2017" s="142" t="s">
        <v>13525</v>
      </c>
      <c r="B2017" s="142" t="s">
        <v>14827</v>
      </c>
      <c r="C2017" s="142" t="s">
        <v>15860</v>
      </c>
      <c r="D2017" s="142" t="s">
        <v>15861</v>
      </c>
      <c r="E2017" s="142" t="s">
        <v>15849</v>
      </c>
      <c r="F2017" s="142" t="s">
        <v>4214</v>
      </c>
      <c r="G2017" s="142" t="s">
        <v>4213</v>
      </c>
      <c r="H2017" s="142" t="s">
        <v>17867</v>
      </c>
      <c r="I2017" s="142">
        <v>14</v>
      </c>
      <c r="J2017" s="142">
        <v>0</v>
      </c>
      <c r="K2017" s="142">
        <v>0</v>
      </c>
      <c r="L2017" s="142">
        <v>14</v>
      </c>
      <c r="M2017" s="142">
        <v>0</v>
      </c>
    </row>
    <row r="2018" spans="1:13" x14ac:dyDescent="0.45">
      <c r="A2018" s="142" t="s">
        <v>13144</v>
      </c>
      <c r="B2018" s="142" t="s">
        <v>14464</v>
      </c>
      <c r="C2018" s="142" t="s">
        <v>15860</v>
      </c>
      <c r="D2018" s="142" t="s">
        <v>15861</v>
      </c>
      <c r="E2018" s="142" t="s">
        <v>15849</v>
      </c>
      <c r="F2018" s="142" t="s">
        <v>4214</v>
      </c>
      <c r="G2018" s="142" t="s">
        <v>4213</v>
      </c>
      <c r="H2018" s="142" t="s">
        <v>17868</v>
      </c>
      <c r="I2018" s="142">
        <v>4</v>
      </c>
      <c r="J2018" s="142">
        <v>0</v>
      </c>
      <c r="K2018" s="142">
        <v>0</v>
      </c>
      <c r="L2018" s="142">
        <v>4</v>
      </c>
      <c r="M2018" s="142">
        <v>0</v>
      </c>
    </row>
    <row r="2019" spans="1:13" x14ac:dyDescent="0.45">
      <c r="A2019" s="142" t="s">
        <v>13526</v>
      </c>
      <c r="B2019" s="142" t="s">
        <v>14583</v>
      </c>
      <c r="C2019" s="142" t="s">
        <v>15860</v>
      </c>
      <c r="D2019" s="142" t="s">
        <v>15861</v>
      </c>
      <c r="E2019" s="142" t="s">
        <v>15849</v>
      </c>
      <c r="F2019" s="142" t="s">
        <v>4214</v>
      </c>
      <c r="G2019" s="142" t="s">
        <v>4213</v>
      </c>
      <c r="H2019" s="142" t="s">
        <v>17869</v>
      </c>
      <c r="I2019" s="142">
        <v>43</v>
      </c>
      <c r="J2019" s="142">
        <v>0</v>
      </c>
      <c r="K2019" s="142">
        <v>0</v>
      </c>
      <c r="L2019" s="142">
        <v>43</v>
      </c>
      <c r="M2019" s="142">
        <v>0</v>
      </c>
    </row>
    <row r="2020" spans="1:13" x14ac:dyDescent="0.45">
      <c r="A2020" s="142" t="s">
        <v>13021</v>
      </c>
      <c r="B2020" s="142" t="s">
        <v>15501</v>
      </c>
      <c r="C2020" s="142" t="s">
        <v>15847</v>
      </c>
      <c r="D2020" s="142" t="s">
        <v>15848</v>
      </c>
      <c r="E2020" s="142" t="s">
        <v>15849</v>
      </c>
      <c r="F2020" s="142" t="s">
        <v>2305</v>
      </c>
      <c r="G2020" s="142" t="s">
        <v>2304</v>
      </c>
      <c r="H2020" s="142" t="s">
        <v>17870</v>
      </c>
      <c r="I2020" s="142">
        <v>231</v>
      </c>
      <c r="J2020" s="142">
        <v>0</v>
      </c>
      <c r="K2020" s="142">
        <v>0</v>
      </c>
      <c r="L2020" s="142">
        <v>161</v>
      </c>
      <c r="M2020" s="142">
        <v>70</v>
      </c>
    </row>
    <row r="2021" spans="1:13" x14ac:dyDescent="0.45">
      <c r="A2021" s="142" t="s">
        <v>13023</v>
      </c>
      <c r="B2021" s="142" t="s">
        <v>15571</v>
      </c>
      <c r="C2021" s="142" t="s">
        <v>15847</v>
      </c>
      <c r="D2021" s="142" t="s">
        <v>15848</v>
      </c>
      <c r="E2021" s="142" t="s">
        <v>15849</v>
      </c>
      <c r="F2021" s="142" t="s">
        <v>2305</v>
      </c>
      <c r="G2021" s="142" t="s">
        <v>2304</v>
      </c>
      <c r="H2021" s="142" t="s">
        <v>17871</v>
      </c>
      <c r="I2021" s="142">
        <v>294</v>
      </c>
      <c r="J2021" s="142">
        <v>0</v>
      </c>
      <c r="K2021" s="142">
        <v>0</v>
      </c>
      <c r="L2021" s="142">
        <v>294</v>
      </c>
      <c r="M2021" s="142">
        <v>0</v>
      </c>
    </row>
    <row r="2022" spans="1:13" x14ac:dyDescent="0.45">
      <c r="A2022" s="142" t="s">
        <v>13048</v>
      </c>
      <c r="B2022" s="142" t="s">
        <v>14479</v>
      </c>
      <c r="C2022" s="142" t="s">
        <v>15847</v>
      </c>
      <c r="D2022" s="142" t="s">
        <v>15848</v>
      </c>
      <c r="E2022" s="142" t="s">
        <v>15849</v>
      </c>
      <c r="F2022" s="142" t="s">
        <v>2305</v>
      </c>
      <c r="G2022" s="142" t="s">
        <v>2304</v>
      </c>
      <c r="H2022" s="142" t="s">
        <v>17872</v>
      </c>
      <c r="I2022" s="142">
        <v>472</v>
      </c>
      <c r="J2022" s="142">
        <v>245</v>
      </c>
      <c r="K2022" s="142">
        <v>0</v>
      </c>
      <c r="L2022" s="142">
        <v>48</v>
      </c>
      <c r="M2022" s="142">
        <v>179</v>
      </c>
    </row>
    <row r="2023" spans="1:13" x14ac:dyDescent="0.45">
      <c r="A2023" s="142" t="s">
        <v>13082</v>
      </c>
      <c r="B2023" s="142" t="s">
        <v>14478</v>
      </c>
      <c r="C2023" s="142" t="s">
        <v>15860</v>
      </c>
      <c r="D2023" s="142" t="s">
        <v>15861</v>
      </c>
      <c r="E2023" s="142" t="s">
        <v>15849</v>
      </c>
      <c r="F2023" s="142" t="s">
        <v>2305</v>
      </c>
      <c r="G2023" s="142" t="s">
        <v>2304</v>
      </c>
      <c r="H2023" s="142" t="s">
        <v>17873</v>
      </c>
      <c r="I2023" s="142">
        <v>2</v>
      </c>
      <c r="J2023" s="142">
        <v>0</v>
      </c>
      <c r="K2023" s="142">
        <v>0</v>
      </c>
      <c r="L2023" s="142">
        <v>2</v>
      </c>
      <c r="M2023" s="142">
        <v>0</v>
      </c>
    </row>
    <row r="2024" spans="1:13" x14ac:dyDescent="0.45">
      <c r="A2024" s="142" t="s">
        <v>13288</v>
      </c>
      <c r="B2024" s="142" t="s">
        <v>14444</v>
      </c>
      <c r="C2024" s="142" t="s">
        <v>15860</v>
      </c>
      <c r="D2024" s="142" t="s">
        <v>15861</v>
      </c>
      <c r="E2024" s="142" t="s">
        <v>15849</v>
      </c>
      <c r="F2024" s="142" t="s">
        <v>2305</v>
      </c>
      <c r="G2024" s="142" t="s">
        <v>2304</v>
      </c>
      <c r="H2024" s="142" t="s">
        <v>17874</v>
      </c>
      <c r="I2024" s="142">
        <v>12</v>
      </c>
      <c r="J2024" s="142">
        <v>0</v>
      </c>
      <c r="K2024" s="142">
        <v>0</v>
      </c>
      <c r="L2024" s="142">
        <v>12</v>
      </c>
      <c r="M2024" s="142">
        <v>0</v>
      </c>
    </row>
    <row r="2025" spans="1:13" x14ac:dyDescent="0.45">
      <c r="A2025" s="142" t="s">
        <v>13528</v>
      </c>
      <c r="B2025" s="142" t="s">
        <v>15218</v>
      </c>
      <c r="C2025" s="142" t="s">
        <v>15860</v>
      </c>
      <c r="D2025" s="142" t="s">
        <v>15861</v>
      </c>
      <c r="E2025" s="142" t="s">
        <v>15849</v>
      </c>
      <c r="F2025" s="142" t="s">
        <v>2305</v>
      </c>
      <c r="G2025" s="142" t="s">
        <v>2304</v>
      </c>
      <c r="H2025" s="142" t="s">
        <v>17875</v>
      </c>
      <c r="I2025" s="142">
        <v>38</v>
      </c>
      <c r="J2025" s="142">
        <v>0</v>
      </c>
      <c r="K2025" s="142">
        <v>0</v>
      </c>
      <c r="L2025" s="142">
        <v>38</v>
      </c>
      <c r="M2025" s="142">
        <v>0</v>
      </c>
    </row>
    <row r="2026" spans="1:13" x14ac:dyDescent="0.45">
      <c r="A2026" s="142" t="s">
        <v>13529</v>
      </c>
      <c r="B2026" s="142" t="s">
        <v>15578</v>
      </c>
      <c r="C2026" s="142" t="s">
        <v>15847</v>
      </c>
      <c r="D2026" s="142" t="s">
        <v>15848</v>
      </c>
      <c r="E2026" s="142" t="s">
        <v>15849</v>
      </c>
      <c r="F2026" s="142" t="s">
        <v>2305</v>
      </c>
      <c r="G2026" s="142" t="s">
        <v>2304</v>
      </c>
      <c r="H2026" s="142" t="s">
        <v>17876</v>
      </c>
      <c r="I2026" s="142">
        <v>5311</v>
      </c>
      <c r="J2026" s="142">
        <v>3700</v>
      </c>
      <c r="K2026" s="142">
        <v>0</v>
      </c>
      <c r="L2026" s="142">
        <v>957</v>
      </c>
      <c r="M2026" s="142">
        <v>654</v>
      </c>
    </row>
    <row r="2027" spans="1:13" x14ac:dyDescent="0.45">
      <c r="A2027" s="142" t="s">
        <v>13530</v>
      </c>
      <c r="B2027" s="142" t="s">
        <v>14651</v>
      </c>
      <c r="C2027" s="142" t="s">
        <v>15860</v>
      </c>
      <c r="D2027" s="142" t="s">
        <v>15861</v>
      </c>
      <c r="E2027" s="142" t="s">
        <v>15849</v>
      </c>
      <c r="F2027" s="142" t="s">
        <v>2305</v>
      </c>
      <c r="G2027" s="142" t="s">
        <v>2304</v>
      </c>
      <c r="H2027" s="142" t="s">
        <v>17877</v>
      </c>
      <c r="I2027" s="142">
        <v>7</v>
      </c>
      <c r="J2027" s="142">
        <v>7</v>
      </c>
      <c r="K2027" s="142">
        <v>0</v>
      </c>
      <c r="L2027" s="142">
        <v>0</v>
      </c>
      <c r="M2027" s="142">
        <v>0</v>
      </c>
    </row>
    <row r="2028" spans="1:13" x14ac:dyDescent="0.45">
      <c r="A2028" s="142" t="s">
        <v>13531</v>
      </c>
      <c r="B2028" s="142" t="s">
        <v>14426</v>
      </c>
      <c r="C2028" s="142" t="s">
        <v>15860</v>
      </c>
      <c r="D2028" s="142" t="s">
        <v>15861</v>
      </c>
      <c r="E2028" s="142" t="s">
        <v>15849</v>
      </c>
      <c r="F2028" s="142" t="s">
        <v>2305</v>
      </c>
      <c r="G2028" s="142" t="s">
        <v>2304</v>
      </c>
      <c r="H2028" s="142" t="s">
        <v>17878</v>
      </c>
      <c r="I2028" s="142">
        <v>56</v>
      </c>
      <c r="J2028" s="142">
        <v>56</v>
      </c>
      <c r="K2028" s="142">
        <v>0</v>
      </c>
      <c r="L2028" s="142">
        <v>0</v>
      </c>
      <c r="M2028" s="142">
        <v>0</v>
      </c>
    </row>
    <row r="2029" spans="1:13" x14ac:dyDescent="0.45">
      <c r="A2029" s="142" t="s">
        <v>13532</v>
      </c>
      <c r="B2029" s="142" t="s">
        <v>15383</v>
      </c>
      <c r="C2029" s="142" t="s">
        <v>15860</v>
      </c>
      <c r="D2029" s="142" t="s">
        <v>15861</v>
      </c>
      <c r="E2029" s="142" t="s">
        <v>15849</v>
      </c>
      <c r="F2029" s="142" t="s">
        <v>2305</v>
      </c>
      <c r="G2029" s="142" t="s">
        <v>2304</v>
      </c>
      <c r="H2029" s="142" t="s">
        <v>17879</v>
      </c>
      <c r="I2029" s="142">
        <v>327</v>
      </c>
      <c r="J2029" s="142">
        <v>327</v>
      </c>
      <c r="K2029" s="142">
        <v>0</v>
      </c>
      <c r="L2029" s="142">
        <v>0</v>
      </c>
      <c r="M2029" s="142">
        <v>0</v>
      </c>
    </row>
    <row r="2030" spans="1:13" x14ac:dyDescent="0.45">
      <c r="A2030" s="142" t="s">
        <v>13533</v>
      </c>
      <c r="B2030" s="142" t="s">
        <v>14868</v>
      </c>
      <c r="C2030" s="142" t="s">
        <v>15860</v>
      </c>
      <c r="D2030" s="142" t="s">
        <v>15861</v>
      </c>
      <c r="E2030" s="142" t="s">
        <v>15849</v>
      </c>
      <c r="F2030" s="142" t="s">
        <v>2305</v>
      </c>
      <c r="G2030" s="142" t="s">
        <v>2304</v>
      </c>
      <c r="H2030" s="142" t="s">
        <v>17880</v>
      </c>
      <c r="I2030" s="142">
        <v>21</v>
      </c>
      <c r="J2030" s="142">
        <v>0</v>
      </c>
      <c r="K2030" s="142">
        <v>0</v>
      </c>
      <c r="L2030" s="142">
        <v>21</v>
      </c>
      <c r="M2030" s="142">
        <v>0</v>
      </c>
    </row>
    <row r="2031" spans="1:13" x14ac:dyDescent="0.45">
      <c r="A2031" s="142" t="s">
        <v>13534</v>
      </c>
      <c r="B2031" s="142" t="s">
        <v>14855</v>
      </c>
      <c r="C2031" s="142" t="s">
        <v>15860</v>
      </c>
      <c r="D2031" s="142" t="s">
        <v>15861</v>
      </c>
      <c r="E2031" s="142" t="s">
        <v>15849</v>
      </c>
      <c r="F2031" s="142" t="s">
        <v>2305</v>
      </c>
      <c r="G2031" s="142" t="s">
        <v>2304</v>
      </c>
      <c r="H2031" s="142" t="s">
        <v>17881</v>
      </c>
      <c r="I2031" s="142">
        <v>3</v>
      </c>
      <c r="J2031" s="142">
        <v>0</v>
      </c>
      <c r="K2031" s="142">
        <v>0</v>
      </c>
      <c r="L2031" s="142">
        <v>3</v>
      </c>
      <c r="M2031" s="142">
        <v>0</v>
      </c>
    </row>
    <row r="2032" spans="1:13" x14ac:dyDescent="0.45">
      <c r="A2032" s="142" t="s">
        <v>13099</v>
      </c>
      <c r="B2032" s="142" t="s">
        <v>14547</v>
      </c>
      <c r="C2032" s="142" t="s">
        <v>15860</v>
      </c>
      <c r="D2032" s="142" t="s">
        <v>15861</v>
      </c>
      <c r="E2032" s="142" t="s">
        <v>15849</v>
      </c>
      <c r="F2032" s="142" t="s">
        <v>2305</v>
      </c>
      <c r="G2032" s="142" t="s">
        <v>2304</v>
      </c>
      <c r="H2032" s="142" t="s">
        <v>17882</v>
      </c>
      <c r="I2032" s="142">
        <v>12</v>
      </c>
      <c r="J2032" s="142">
        <v>0</v>
      </c>
      <c r="K2032" s="142">
        <v>0</v>
      </c>
      <c r="L2032" s="142">
        <v>12</v>
      </c>
      <c r="M2032" s="142">
        <v>0</v>
      </c>
    </row>
    <row r="2033" spans="1:13" x14ac:dyDescent="0.45">
      <c r="A2033" s="142" t="s">
        <v>13049</v>
      </c>
      <c r="B2033" s="142" t="s">
        <v>14534</v>
      </c>
      <c r="C2033" s="142" t="s">
        <v>15860</v>
      </c>
      <c r="D2033" s="142" t="s">
        <v>15861</v>
      </c>
      <c r="E2033" s="142" t="s">
        <v>15849</v>
      </c>
      <c r="F2033" s="142" t="s">
        <v>2305</v>
      </c>
      <c r="G2033" s="142" t="s">
        <v>2304</v>
      </c>
      <c r="H2033" s="142" t="s">
        <v>17883</v>
      </c>
      <c r="I2033" s="142">
        <v>3</v>
      </c>
      <c r="J2033" s="142">
        <v>0</v>
      </c>
      <c r="K2033" s="142">
        <v>0</v>
      </c>
      <c r="L2033" s="142">
        <v>3</v>
      </c>
      <c r="M2033" s="142">
        <v>0</v>
      </c>
    </row>
    <row r="2034" spans="1:13" x14ac:dyDescent="0.45">
      <c r="A2034" s="142" t="s">
        <v>13027</v>
      </c>
      <c r="B2034" s="142" t="s">
        <v>14562</v>
      </c>
      <c r="C2034" s="142" t="s">
        <v>15847</v>
      </c>
      <c r="D2034" s="142" t="s">
        <v>15848</v>
      </c>
      <c r="E2034" s="142" t="s">
        <v>15849</v>
      </c>
      <c r="F2034" s="142" t="s">
        <v>2305</v>
      </c>
      <c r="G2034" s="142" t="s">
        <v>2304</v>
      </c>
      <c r="H2034" s="142" t="s">
        <v>17884</v>
      </c>
      <c r="I2034" s="142">
        <v>90</v>
      </c>
      <c r="J2034" s="142">
        <v>0</v>
      </c>
      <c r="K2034" s="142">
        <v>0</v>
      </c>
      <c r="L2034" s="142">
        <v>90</v>
      </c>
      <c r="M2034" s="142">
        <v>0</v>
      </c>
    </row>
    <row r="2035" spans="1:13" x14ac:dyDescent="0.45">
      <c r="A2035" s="142" t="s">
        <v>13001</v>
      </c>
      <c r="B2035" s="142" t="s">
        <v>15506</v>
      </c>
      <c r="C2035" s="142" t="s">
        <v>15847</v>
      </c>
      <c r="D2035" s="142" t="s">
        <v>15848</v>
      </c>
      <c r="E2035" s="142" t="s">
        <v>15849</v>
      </c>
      <c r="F2035" s="142" t="s">
        <v>2305</v>
      </c>
      <c r="G2035" s="142" t="s">
        <v>2304</v>
      </c>
      <c r="H2035" s="142" t="s">
        <v>17885</v>
      </c>
      <c r="I2035" s="142">
        <v>99</v>
      </c>
      <c r="J2035" s="142">
        <v>96</v>
      </c>
      <c r="K2035" s="142">
        <v>0</v>
      </c>
      <c r="L2035" s="142">
        <v>3</v>
      </c>
      <c r="M2035" s="142">
        <v>0</v>
      </c>
    </row>
    <row r="2036" spans="1:13" x14ac:dyDescent="0.45">
      <c r="A2036" s="142" t="s">
        <v>13050</v>
      </c>
      <c r="B2036" s="142" t="s">
        <v>15237</v>
      </c>
      <c r="C2036" s="142" t="s">
        <v>15847</v>
      </c>
      <c r="D2036" s="142" t="s">
        <v>15848</v>
      </c>
      <c r="E2036" s="142" t="s">
        <v>15849</v>
      </c>
      <c r="F2036" s="142" t="s">
        <v>2305</v>
      </c>
      <c r="G2036" s="142" t="s">
        <v>2304</v>
      </c>
      <c r="H2036" s="142" t="s">
        <v>17886</v>
      </c>
      <c r="I2036" s="142">
        <v>40</v>
      </c>
      <c r="J2036" s="142">
        <v>33</v>
      </c>
      <c r="K2036" s="142">
        <v>0</v>
      </c>
      <c r="L2036" s="142">
        <v>0</v>
      </c>
      <c r="M2036" s="142">
        <v>7</v>
      </c>
    </row>
    <row r="2037" spans="1:13" x14ac:dyDescent="0.45">
      <c r="A2037" s="142" t="s">
        <v>13028</v>
      </c>
      <c r="B2037" s="142" t="s">
        <v>14462</v>
      </c>
      <c r="C2037" s="142" t="s">
        <v>15847</v>
      </c>
      <c r="D2037" s="142" t="s">
        <v>15848</v>
      </c>
      <c r="E2037" s="142" t="s">
        <v>15849</v>
      </c>
      <c r="F2037" s="142" t="s">
        <v>2305</v>
      </c>
      <c r="G2037" s="142" t="s">
        <v>2304</v>
      </c>
      <c r="H2037" s="142" t="s">
        <v>17887</v>
      </c>
      <c r="I2037" s="142">
        <v>72</v>
      </c>
      <c r="J2037" s="142">
        <v>0</v>
      </c>
      <c r="K2037" s="142">
        <v>0</v>
      </c>
      <c r="L2037" s="142">
        <v>0</v>
      </c>
      <c r="M2037" s="142">
        <v>72</v>
      </c>
    </row>
    <row r="2038" spans="1:13" x14ac:dyDescent="0.45">
      <c r="A2038" s="142" t="s">
        <v>13160</v>
      </c>
      <c r="B2038" s="142" t="s">
        <v>14525</v>
      </c>
      <c r="C2038" s="142" t="s">
        <v>15847</v>
      </c>
      <c r="D2038" s="142" t="s">
        <v>15848</v>
      </c>
      <c r="E2038" s="142" t="s">
        <v>15849</v>
      </c>
      <c r="F2038" s="142" t="s">
        <v>2305</v>
      </c>
      <c r="G2038" s="142" t="s">
        <v>2304</v>
      </c>
      <c r="H2038" s="142" t="s">
        <v>17888</v>
      </c>
      <c r="I2038" s="142">
        <v>6</v>
      </c>
      <c r="J2038" s="142">
        <v>0</v>
      </c>
      <c r="K2038" s="142">
        <v>0</v>
      </c>
      <c r="L2038" s="142">
        <v>6</v>
      </c>
      <c r="M2038" s="142">
        <v>0</v>
      </c>
    </row>
    <row r="2039" spans="1:13" x14ac:dyDescent="0.45">
      <c r="A2039" s="142" t="s">
        <v>13002</v>
      </c>
      <c r="B2039" s="142" t="s">
        <v>15376</v>
      </c>
      <c r="C2039" s="142" t="s">
        <v>15847</v>
      </c>
      <c r="D2039" s="142" t="s">
        <v>15848</v>
      </c>
      <c r="E2039" s="142" t="s">
        <v>15849</v>
      </c>
      <c r="F2039" s="142" t="s">
        <v>2305</v>
      </c>
      <c r="G2039" s="142" t="s">
        <v>2304</v>
      </c>
      <c r="H2039" s="142" t="s">
        <v>17889</v>
      </c>
      <c r="I2039" s="142">
        <v>97</v>
      </c>
      <c r="J2039" s="142">
        <v>15</v>
      </c>
      <c r="K2039" s="142">
        <v>0</v>
      </c>
      <c r="L2039" s="142">
        <v>82</v>
      </c>
      <c r="M2039" s="142">
        <v>0</v>
      </c>
    </row>
    <row r="2040" spans="1:13" x14ac:dyDescent="0.45">
      <c r="A2040" s="142" t="s">
        <v>13003</v>
      </c>
      <c r="B2040" s="142" t="s">
        <v>15245</v>
      </c>
      <c r="C2040" s="142" t="s">
        <v>15847</v>
      </c>
      <c r="D2040" s="142" t="s">
        <v>15848</v>
      </c>
      <c r="E2040" s="142" t="s">
        <v>15849</v>
      </c>
      <c r="F2040" s="142" t="s">
        <v>2305</v>
      </c>
      <c r="G2040" s="142" t="s">
        <v>2304</v>
      </c>
      <c r="H2040" s="142" t="s">
        <v>17890</v>
      </c>
      <c r="I2040" s="142">
        <v>33</v>
      </c>
      <c r="J2040" s="142">
        <v>0</v>
      </c>
      <c r="K2040" s="142">
        <v>0</v>
      </c>
      <c r="L2040" s="142">
        <v>33</v>
      </c>
      <c r="M2040" s="142">
        <v>0</v>
      </c>
    </row>
    <row r="2041" spans="1:13" x14ac:dyDescent="0.45">
      <c r="A2041" s="142" t="s">
        <v>13178</v>
      </c>
      <c r="B2041" s="142" t="s">
        <v>14683</v>
      </c>
      <c r="C2041" s="142" t="s">
        <v>15847</v>
      </c>
      <c r="D2041" s="142" t="s">
        <v>15848</v>
      </c>
      <c r="E2041" s="142" t="s">
        <v>15849</v>
      </c>
      <c r="F2041" s="142" t="s">
        <v>2305</v>
      </c>
      <c r="G2041" s="142" t="s">
        <v>2304</v>
      </c>
      <c r="H2041" s="142" t="s">
        <v>17891</v>
      </c>
      <c r="I2041" s="142">
        <v>20</v>
      </c>
      <c r="J2041" s="142">
        <v>20</v>
      </c>
      <c r="K2041" s="142">
        <v>0</v>
      </c>
      <c r="L2041" s="142">
        <v>0</v>
      </c>
      <c r="M2041" s="142">
        <v>0</v>
      </c>
    </row>
    <row r="2042" spans="1:13" x14ac:dyDescent="0.45">
      <c r="A2042" s="142" t="s">
        <v>13076</v>
      </c>
      <c r="B2042" s="142" t="s">
        <v>14636</v>
      </c>
      <c r="C2042" s="142" t="s">
        <v>15847</v>
      </c>
      <c r="D2042" s="142" t="s">
        <v>15848</v>
      </c>
      <c r="E2042" s="142" t="s">
        <v>15849</v>
      </c>
      <c r="F2042" s="142" t="s">
        <v>2305</v>
      </c>
      <c r="G2042" s="142" t="s">
        <v>2304</v>
      </c>
      <c r="H2042" s="142" t="s">
        <v>17892</v>
      </c>
      <c r="I2042" s="142">
        <v>56</v>
      </c>
      <c r="J2042" s="142">
        <v>31</v>
      </c>
      <c r="K2042" s="142">
        <v>0</v>
      </c>
      <c r="L2042" s="142">
        <v>0</v>
      </c>
      <c r="M2042" s="142">
        <v>25</v>
      </c>
    </row>
    <row r="2043" spans="1:13" x14ac:dyDescent="0.45">
      <c r="A2043" s="142" t="s">
        <v>13331</v>
      </c>
      <c r="B2043" s="142" t="s">
        <v>14682</v>
      </c>
      <c r="C2043" s="142" t="s">
        <v>15860</v>
      </c>
      <c r="D2043" s="142" t="s">
        <v>15861</v>
      </c>
      <c r="E2043" s="142" t="s">
        <v>15849</v>
      </c>
      <c r="F2043" s="142" t="s">
        <v>2305</v>
      </c>
      <c r="G2043" s="142" t="s">
        <v>2304</v>
      </c>
      <c r="H2043" s="142" t="s">
        <v>17893</v>
      </c>
      <c r="I2043" s="142">
        <v>10</v>
      </c>
      <c r="J2043" s="142">
        <v>10</v>
      </c>
      <c r="K2043" s="142">
        <v>0</v>
      </c>
      <c r="L2043" s="142">
        <v>0</v>
      </c>
      <c r="M2043" s="142">
        <v>0</v>
      </c>
    </row>
    <row r="2044" spans="1:13" x14ac:dyDescent="0.45">
      <c r="A2044" s="142" t="s">
        <v>13190</v>
      </c>
      <c r="B2044" s="142" t="s">
        <v>14617</v>
      </c>
      <c r="C2044" s="142" t="s">
        <v>15847</v>
      </c>
      <c r="D2044" s="142" t="s">
        <v>15848</v>
      </c>
      <c r="E2044" s="142" t="s">
        <v>15849</v>
      </c>
      <c r="F2044" s="142" t="s">
        <v>2305</v>
      </c>
      <c r="G2044" s="142" t="s">
        <v>2304</v>
      </c>
      <c r="H2044" s="142" t="s">
        <v>17894</v>
      </c>
      <c r="I2044" s="142">
        <v>9741</v>
      </c>
      <c r="J2044" s="142">
        <v>8008</v>
      </c>
      <c r="K2044" s="142">
        <v>0</v>
      </c>
      <c r="L2044" s="142">
        <v>677</v>
      </c>
      <c r="M2044" s="142">
        <v>1056</v>
      </c>
    </row>
    <row r="2045" spans="1:13" x14ac:dyDescent="0.45">
      <c r="A2045" s="142" t="s">
        <v>13029</v>
      </c>
      <c r="B2045" s="142" t="s">
        <v>14665</v>
      </c>
      <c r="C2045" s="142" t="s">
        <v>15847</v>
      </c>
      <c r="D2045" s="142" t="s">
        <v>15848</v>
      </c>
      <c r="E2045" s="142" t="s">
        <v>15849</v>
      </c>
      <c r="F2045" s="142" t="s">
        <v>2305</v>
      </c>
      <c r="G2045" s="142" t="s">
        <v>2304</v>
      </c>
      <c r="H2045" s="142" t="s">
        <v>17895</v>
      </c>
      <c r="I2045" s="142">
        <v>8</v>
      </c>
      <c r="J2045" s="142">
        <v>0</v>
      </c>
      <c r="K2045" s="142">
        <v>0</v>
      </c>
      <c r="L2045" s="142">
        <v>0</v>
      </c>
      <c r="M2045" s="142">
        <v>8</v>
      </c>
    </row>
    <row r="2046" spans="1:13" x14ac:dyDescent="0.45">
      <c r="A2046" s="142" t="s">
        <v>13007</v>
      </c>
      <c r="B2046" s="142" t="s">
        <v>15262</v>
      </c>
      <c r="C2046" s="142" t="s">
        <v>15847</v>
      </c>
      <c r="D2046" s="142" t="s">
        <v>15848</v>
      </c>
      <c r="E2046" s="142" t="s">
        <v>15849</v>
      </c>
      <c r="F2046" s="142" t="s">
        <v>2305</v>
      </c>
      <c r="G2046" s="142" t="s">
        <v>2304</v>
      </c>
      <c r="H2046" s="142" t="s">
        <v>17896</v>
      </c>
      <c r="I2046" s="142">
        <v>4</v>
      </c>
      <c r="J2046" s="142">
        <v>0</v>
      </c>
      <c r="K2046" s="142">
        <v>0</v>
      </c>
      <c r="L2046" s="142">
        <v>0</v>
      </c>
      <c r="M2046" s="142">
        <v>4</v>
      </c>
    </row>
    <row r="2047" spans="1:13" x14ac:dyDescent="0.45">
      <c r="A2047" s="142" t="s">
        <v>13054</v>
      </c>
      <c r="B2047" s="142" t="s">
        <v>15604</v>
      </c>
      <c r="C2047" s="142" t="s">
        <v>15847</v>
      </c>
      <c r="D2047" s="142" t="s">
        <v>15848</v>
      </c>
      <c r="E2047" s="142" t="s">
        <v>15849</v>
      </c>
      <c r="F2047" s="142" t="s">
        <v>2305</v>
      </c>
      <c r="G2047" s="142" t="s">
        <v>2304</v>
      </c>
      <c r="H2047" s="142" t="s">
        <v>17897</v>
      </c>
      <c r="I2047" s="142">
        <v>2</v>
      </c>
      <c r="J2047" s="142">
        <v>0</v>
      </c>
      <c r="K2047" s="142">
        <v>0</v>
      </c>
      <c r="L2047" s="142">
        <v>0</v>
      </c>
      <c r="M2047" s="142">
        <v>2</v>
      </c>
    </row>
    <row r="2048" spans="1:13" x14ac:dyDescent="0.45">
      <c r="A2048" s="142" t="s">
        <v>13535</v>
      </c>
      <c r="B2048" s="142" t="s">
        <v>15583</v>
      </c>
      <c r="C2048" s="142" t="s">
        <v>15847</v>
      </c>
      <c r="D2048" s="142" t="s">
        <v>15848</v>
      </c>
      <c r="E2048" s="142" t="s">
        <v>15849</v>
      </c>
      <c r="F2048" s="142" t="s">
        <v>2305</v>
      </c>
      <c r="G2048" s="142" t="s">
        <v>2304</v>
      </c>
      <c r="H2048" s="142" t="s">
        <v>17898</v>
      </c>
      <c r="I2048" s="142">
        <v>4414</v>
      </c>
      <c r="J2048" s="142">
        <v>3619</v>
      </c>
      <c r="K2048" s="142">
        <v>0</v>
      </c>
      <c r="L2048" s="142">
        <v>661</v>
      </c>
      <c r="M2048" s="142">
        <v>134</v>
      </c>
    </row>
    <row r="2049" spans="1:13" x14ac:dyDescent="0.45">
      <c r="A2049" s="142" t="s">
        <v>13033</v>
      </c>
      <c r="B2049" s="142" t="s">
        <v>15276</v>
      </c>
      <c r="C2049" s="142" t="s">
        <v>15847</v>
      </c>
      <c r="D2049" s="142" t="s">
        <v>15848</v>
      </c>
      <c r="E2049" s="142" t="s">
        <v>15849</v>
      </c>
      <c r="F2049" s="142" t="s">
        <v>2305</v>
      </c>
      <c r="G2049" s="142" t="s">
        <v>2304</v>
      </c>
      <c r="H2049" s="142" t="s">
        <v>17899</v>
      </c>
      <c r="I2049" s="142">
        <v>83</v>
      </c>
      <c r="J2049" s="142">
        <v>50</v>
      </c>
      <c r="K2049" s="142">
        <v>0</v>
      </c>
      <c r="L2049" s="142">
        <v>0</v>
      </c>
      <c r="M2049" s="142">
        <v>33</v>
      </c>
    </row>
    <row r="2050" spans="1:13" x14ac:dyDescent="0.45">
      <c r="A2050" s="142" t="s">
        <v>13034</v>
      </c>
      <c r="B2050" s="142" t="s">
        <v>15562</v>
      </c>
      <c r="C2050" s="142" t="s">
        <v>15847</v>
      </c>
      <c r="D2050" s="142" t="s">
        <v>15848</v>
      </c>
      <c r="E2050" s="142" t="s">
        <v>15849</v>
      </c>
      <c r="F2050" s="142" t="s">
        <v>2305</v>
      </c>
      <c r="G2050" s="142" t="s">
        <v>2304</v>
      </c>
      <c r="H2050" s="142" t="s">
        <v>17900</v>
      </c>
      <c r="I2050" s="142">
        <v>6</v>
      </c>
      <c r="J2050" s="142">
        <v>6</v>
      </c>
      <c r="K2050" s="142">
        <v>0</v>
      </c>
      <c r="L2050" s="142">
        <v>0</v>
      </c>
      <c r="M2050" s="142">
        <v>0</v>
      </c>
    </row>
    <row r="2051" spans="1:13" x14ac:dyDescent="0.45">
      <c r="A2051" s="142" t="s">
        <v>13536</v>
      </c>
      <c r="B2051" s="142" t="s">
        <v>15484</v>
      </c>
      <c r="C2051" s="142" t="s">
        <v>15847</v>
      </c>
      <c r="D2051" s="142" t="s">
        <v>15848</v>
      </c>
      <c r="E2051" s="142" t="s">
        <v>15849</v>
      </c>
      <c r="F2051" s="142" t="s">
        <v>2305</v>
      </c>
      <c r="G2051" s="142" t="s">
        <v>2304</v>
      </c>
      <c r="H2051" s="142" t="s">
        <v>17901</v>
      </c>
      <c r="I2051" s="142">
        <v>259</v>
      </c>
      <c r="J2051" s="142">
        <v>169</v>
      </c>
      <c r="K2051" s="142">
        <v>0</v>
      </c>
      <c r="L2051" s="142">
        <v>0</v>
      </c>
      <c r="M2051" s="142">
        <v>90</v>
      </c>
    </row>
    <row r="2052" spans="1:13" x14ac:dyDescent="0.45">
      <c r="A2052" s="142" t="s">
        <v>13036</v>
      </c>
      <c r="B2052" s="142" t="s">
        <v>15567</v>
      </c>
      <c r="C2052" s="142" t="s">
        <v>15847</v>
      </c>
      <c r="D2052" s="142" t="s">
        <v>15848</v>
      </c>
      <c r="E2052" s="142" t="s">
        <v>15849</v>
      </c>
      <c r="F2052" s="142" t="s">
        <v>2305</v>
      </c>
      <c r="G2052" s="142" t="s">
        <v>2304</v>
      </c>
      <c r="H2052" s="142" t="s">
        <v>17902</v>
      </c>
      <c r="I2052" s="142">
        <v>1</v>
      </c>
      <c r="J2052" s="142">
        <v>0</v>
      </c>
      <c r="K2052" s="142">
        <v>0</v>
      </c>
      <c r="L2052" s="142">
        <v>1</v>
      </c>
      <c r="M2052" s="142">
        <v>0</v>
      </c>
    </row>
    <row r="2053" spans="1:13" x14ac:dyDescent="0.45">
      <c r="A2053" s="142" t="s">
        <v>13105</v>
      </c>
      <c r="B2053" s="142" t="s">
        <v>14654</v>
      </c>
      <c r="C2053" s="142" t="s">
        <v>15847</v>
      </c>
      <c r="D2053" s="142" t="s">
        <v>15848</v>
      </c>
      <c r="E2053" s="142" t="s">
        <v>15849</v>
      </c>
      <c r="F2053" s="142" t="s">
        <v>2305</v>
      </c>
      <c r="G2053" s="142" t="s">
        <v>2304</v>
      </c>
      <c r="H2053" s="142" t="s">
        <v>17903</v>
      </c>
      <c r="I2053" s="142">
        <v>487</v>
      </c>
      <c r="J2053" s="142">
        <v>0</v>
      </c>
      <c r="K2053" s="142">
        <v>0</v>
      </c>
      <c r="L2053" s="142">
        <v>0</v>
      </c>
      <c r="M2053" s="142">
        <v>487</v>
      </c>
    </row>
    <row r="2054" spans="1:13" x14ac:dyDescent="0.45">
      <c r="A2054" s="142" t="s">
        <v>13038</v>
      </c>
      <c r="B2054" s="142" t="s">
        <v>14646</v>
      </c>
      <c r="C2054" s="142" t="s">
        <v>15847</v>
      </c>
      <c r="D2054" s="142" t="s">
        <v>15848</v>
      </c>
      <c r="E2054" s="142" t="s">
        <v>15849</v>
      </c>
      <c r="F2054" s="142" t="s">
        <v>2305</v>
      </c>
      <c r="G2054" s="142" t="s">
        <v>2304</v>
      </c>
      <c r="H2054" s="142" t="s">
        <v>17904</v>
      </c>
      <c r="I2054" s="142">
        <v>12</v>
      </c>
      <c r="J2054" s="142">
        <v>0</v>
      </c>
      <c r="K2054" s="142">
        <v>0</v>
      </c>
      <c r="L2054" s="142">
        <v>0</v>
      </c>
      <c r="M2054" s="142">
        <v>12</v>
      </c>
    </row>
    <row r="2055" spans="1:13" x14ac:dyDescent="0.45">
      <c r="A2055" s="142" t="s">
        <v>13078</v>
      </c>
      <c r="B2055" s="142" t="s">
        <v>15540</v>
      </c>
      <c r="C2055" s="142" t="s">
        <v>15847</v>
      </c>
      <c r="D2055" s="142" t="s">
        <v>15848</v>
      </c>
      <c r="E2055" s="142" t="s">
        <v>15849</v>
      </c>
      <c r="F2055" s="142" t="s">
        <v>2305</v>
      </c>
      <c r="G2055" s="142" t="s">
        <v>2304</v>
      </c>
      <c r="H2055" s="142" t="s">
        <v>17905</v>
      </c>
      <c r="I2055" s="142">
        <v>25</v>
      </c>
      <c r="J2055" s="142">
        <v>7</v>
      </c>
      <c r="K2055" s="142">
        <v>0</v>
      </c>
      <c r="L2055" s="142">
        <v>18</v>
      </c>
      <c r="M2055" s="142">
        <v>0</v>
      </c>
    </row>
    <row r="2056" spans="1:13" x14ac:dyDescent="0.45">
      <c r="A2056" s="142" t="s">
        <v>13091</v>
      </c>
      <c r="B2056" s="142" t="s">
        <v>14473</v>
      </c>
      <c r="C2056" s="142" t="s">
        <v>15847</v>
      </c>
      <c r="D2056" s="142" t="s">
        <v>15848</v>
      </c>
      <c r="E2056" s="142" t="s">
        <v>15849</v>
      </c>
      <c r="F2056" s="142" t="s">
        <v>2305</v>
      </c>
      <c r="G2056" s="142" t="s">
        <v>2304</v>
      </c>
      <c r="H2056" s="142" t="s">
        <v>17906</v>
      </c>
      <c r="I2056" s="142">
        <v>690</v>
      </c>
      <c r="J2056" s="142">
        <v>553</v>
      </c>
      <c r="K2056" s="142">
        <v>0</v>
      </c>
      <c r="L2056" s="142">
        <v>0</v>
      </c>
      <c r="M2056" s="142">
        <v>137</v>
      </c>
    </row>
    <row r="2057" spans="1:13" x14ac:dyDescent="0.45">
      <c r="A2057" s="142" t="s">
        <v>13009</v>
      </c>
      <c r="B2057" s="142" t="s">
        <v>15256</v>
      </c>
      <c r="C2057" s="142" t="s">
        <v>15847</v>
      </c>
      <c r="D2057" s="142" t="s">
        <v>15848</v>
      </c>
      <c r="E2057" s="142" t="s">
        <v>15849</v>
      </c>
      <c r="F2057" s="142" t="s">
        <v>2305</v>
      </c>
      <c r="G2057" s="142" t="s">
        <v>2304</v>
      </c>
      <c r="H2057" s="142" t="s">
        <v>17907</v>
      </c>
      <c r="I2057" s="142">
        <v>1098</v>
      </c>
      <c r="J2057" s="142">
        <v>989</v>
      </c>
      <c r="K2057" s="142">
        <v>0</v>
      </c>
      <c r="L2057" s="142">
        <v>85</v>
      </c>
      <c r="M2057" s="142">
        <v>24</v>
      </c>
    </row>
    <row r="2058" spans="1:13" x14ac:dyDescent="0.45">
      <c r="A2058" s="142" t="s">
        <v>13011</v>
      </c>
      <c r="B2058" s="142" t="s">
        <v>14695</v>
      </c>
      <c r="C2058" s="142" t="s">
        <v>15847</v>
      </c>
      <c r="D2058" s="142" t="s">
        <v>15848</v>
      </c>
      <c r="E2058" s="142" t="s">
        <v>15849</v>
      </c>
      <c r="F2058" s="142" t="s">
        <v>2305</v>
      </c>
      <c r="G2058" s="142" t="s">
        <v>2304</v>
      </c>
      <c r="H2058" s="142" t="s">
        <v>17908</v>
      </c>
      <c r="I2058" s="142">
        <v>3</v>
      </c>
      <c r="J2058" s="142">
        <v>0</v>
      </c>
      <c r="K2058" s="142">
        <v>0</v>
      </c>
      <c r="L2058" s="142">
        <v>0</v>
      </c>
      <c r="M2058" s="142">
        <v>3</v>
      </c>
    </row>
    <row r="2059" spans="1:13" x14ac:dyDescent="0.45">
      <c r="A2059" s="142" t="s">
        <v>13058</v>
      </c>
      <c r="B2059" s="142" t="s">
        <v>14584</v>
      </c>
      <c r="C2059" s="142" t="s">
        <v>15847</v>
      </c>
      <c r="D2059" s="142" t="s">
        <v>15848</v>
      </c>
      <c r="E2059" s="142" t="s">
        <v>15849</v>
      </c>
      <c r="F2059" s="142" t="s">
        <v>2305</v>
      </c>
      <c r="G2059" s="142" t="s">
        <v>2304</v>
      </c>
      <c r="H2059" s="142" t="s">
        <v>17909</v>
      </c>
      <c r="I2059" s="142">
        <v>24</v>
      </c>
      <c r="J2059" s="142">
        <v>0</v>
      </c>
      <c r="K2059" s="142">
        <v>0</v>
      </c>
      <c r="L2059" s="142">
        <v>0</v>
      </c>
      <c r="M2059" s="142">
        <v>24</v>
      </c>
    </row>
    <row r="2060" spans="1:13" x14ac:dyDescent="0.45">
      <c r="A2060" s="142" t="s">
        <v>13060</v>
      </c>
      <c r="B2060" s="142" t="s">
        <v>14470</v>
      </c>
      <c r="C2060" s="142" t="s">
        <v>15847</v>
      </c>
      <c r="D2060" s="142" t="s">
        <v>15848</v>
      </c>
      <c r="E2060" s="142" t="s">
        <v>15849</v>
      </c>
      <c r="F2060" s="142" t="s">
        <v>2305</v>
      </c>
      <c r="G2060" s="142" t="s">
        <v>2304</v>
      </c>
      <c r="H2060" s="142" t="s">
        <v>17910</v>
      </c>
      <c r="I2060" s="142">
        <v>128</v>
      </c>
      <c r="J2060" s="142">
        <v>67</v>
      </c>
      <c r="K2060" s="142">
        <v>0</v>
      </c>
      <c r="L2060" s="142">
        <v>0</v>
      </c>
      <c r="M2060" s="142">
        <v>61</v>
      </c>
    </row>
    <row r="2061" spans="1:13" x14ac:dyDescent="0.45">
      <c r="A2061" s="142" t="s">
        <v>13537</v>
      </c>
      <c r="B2061" s="142" t="s">
        <v>15146</v>
      </c>
      <c r="C2061" s="142" t="s">
        <v>15860</v>
      </c>
      <c r="D2061" s="142" t="s">
        <v>15861</v>
      </c>
      <c r="E2061" s="142" t="s">
        <v>15849</v>
      </c>
      <c r="F2061" s="142" t="s">
        <v>2305</v>
      </c>
      <c r="G2061" s="142" t="s">
        <v>2304</v>
      </c>
      <c r="H2061" s="142" t="s">
        <v>17911</v>
      </c>
      <c r="I2061" s="142">
        <v>8</v>
      </c>
      <c r="J2061" s="142">
        <v>0</v>
      </c>
      <c r="K2061" s="142">
        <v>0</v>
      </c>
      <c r="L2061" s="142">
        <v>8</v>
      </c>
      <c r="M2061" s="142">
        <v>0</v>
      </c>
    </row>
    <row r="2062" spans="1:13" x14ac:dyDescent="0.45">
      <c r="A2062" s="142" t="s">
        <v>13538</v>
      </c>
      <c r="B2062" s="142" t="s">
        <v>15179</v>
      </c>
      <c r="C2062" s="142" t="s">
        <v>15860</v>
      </c>
      <c r="D2062" s="142" t="s">
        <v>15861</v>
      </c>
      <c r="E2062" s="142" t="s">
        <v>15849</v>
      </c>
      <c r="F2062" s="142" t="s">
        <v>2305</v>
      </c>
      <c r="G2062" s="142" t="s">
        <v>2304</v>
      </c>
      <c r="H2062" s="142" t="s">
        <v>17912</v>
      </c>
      <c r="I2062" s="142">
        <v>13</v>
      </c>
      <c r="J2062" s="142">
        <v>0</v>
      </c>
      <c r="K2062" s="142">
        <v>0</v>
      </c>
      <c r="L2062" s="142">
        <v>13</v>
      </c>
      <c r="M2062" s="142">
        <v>0</v>
      </c>
    </row>
    <row r="2063" spans="1:13" x14ac:dyDescent="0.45">
      <c r="A2063" s="142" t="s">
        <v>13539</v>
      </c>
      <c r="B2063" s="142" t="s">
        <v>15200</v>
      </c>
      <c r="C2063" s="142" t="s">
        <v>15860</v>
      </c>
      <c r="D2063" s="142" t="s">
        <v>15861</v>
      </c>
      <c r="E2063" s="142" t="s">
        <v>15849</v>
      </c>
      <c r="F2063" s="142" t="s">
        <v>2305</v>
      </c>
      <c r="G2063" s="142" t="s">
        <v>2304</v>
      </c>
      <c r="H2063" s="142" t="s">
        <v>17913</v>
      </c>
      <c r="I2063" s="142">
        <v>9</v>
      </c>
      <c r="J2063" s="142">
        <v>0</v>
      </c>
      <c r="K2063" s="142">
        <v>0</v>
      </c>
      <c r="L2063" s="142">
        <v>9</v>
      </c>
      <c r="M2063" s="142">
        <v>0</v>
      </c>
    </row>
    <row r="2064" spans="1:13" x14ac:dyDescent="0.45">
      <c r="A2064" s="142" t="s">
        <v>13014</v>
      </c>
      <c r="B2064" s="142" t="s">
        <v>14505</v>
      </c>
      <c r="C2064" s="142" t="s">
        <v>15847</v>
      </c>
      <c r="D2064" s="142" t="s">
        <v>15848</v>
      </c>
      <c r="E2064" s="142" t="s">
        <v>15849</v>
      </c>
      <c r="F2064" s="142" t="s">
        <v>2305</v>
      </c>
      <c r="G2064" s="142" t="s">
        <v>2304</v>
      </c>
      <c r="H2064" s="142" t="s">
        <v>17914</v>
      </c>
      <c r="I2064" s="142">
        <v>974</v>
      </c>
      <c r="J2064" s="142">
        <v>854</v>
      </c>
      <c r="K2064" s="142">
        <v>0</v>
      </c>
      <c r="L2064" s="142">
        <v>52</v>
      </c>
      <c r="M2064" s="142">
        <v>68</v>
      </c>
    </row>
    <row r="2065" spans="1:13" x14ac:dyDescent="0.45">
      <c r="A2065" s="142" t="s">
        <v>13540</v>
      </c>
      <c r="B2065" s="142" t="s">
        <v>14663</v>
      </c>
      <c r="C2065" s="142" t="s">
        <v>15860</v>
      </c>
      <c r="D2065" s="142" t="s">
        <v>15861</v>
      </c>
      <c r="E2065" s="142" t="s">
        <v>15849</v>
      </c>
      <c r="F2065" s="142" t="s">
        <v>2305</v>
      </c>
      <c r="G2065" s="142" t="s">
        <v>2304</v>
      </c>
      <c r="H2065" s="142" t="s">
        <v>17915</v>
      </c>
      <c r="I2065" s="142">
        <v>3</v>
      </c>
      <c r="J2065" s="142">
        <v>3</v>
      </c>
      <c r="K2065" s="142">
        <v>0</v>
      </c>
      <c r="L2065" s="142">
        <v>0</v>
      </c>
      <c r="M2065" s="142">
        <v>0</v>
      </c>
    </row>
    <row r="2066" spans="1:13" x14ac:dyDescent="0.45">
      <c r="A2066" s="142" t="s">
        <v>13016</v>
      </c>
      <c r="B2066" s="142" t="s">
        <v>14535</v>
      </c>
      <c r="C2066" s="142" t="s">
        <v>15860</v>
      </c>
      <c r="D2066" s="142" t="s">
        <v>15861</v>
      </c>
      <c r="E2066" s="142" t="s">
        <v>15849</v>
      </c>
      <c r="F2066" s="142" t="s">
        <v>2305</v>
      </c>
      <c r="G2066" s="142" t="s">
        <v>2304</v>
      </c>
      <c r="H2066" s="142" t="s">
        <v>17916</v>
      </c>
      <c r="I2066" s="142">
        <v>5</v>
      </c>
      <c r="J2066" s="142">
        <v>0</v>
      </c>
      <c r="K2066" s="142">
        <v>0</v>
      </c>
      <c r="L2066" s="142">
        <v>5</v>
      </c>
      <c r="M2066" s="142">
        <v>0</v>
      </c>
    </row>
    <row r="2067" spans="1:13" x14ac:dyDescent="0.45">
      <c r="A2067" s="142" t="s">
        <v>13541</v>
      </c>
      <c r="B2067" s="142" t="s">
        <v>14579</v>
      </c>
      <c r="C2067" s="142" t="s">
        <v>15847</v>
      </c>
      <c r="D2067" s="142" t="s">
        <v>15848</v>
      </c>
      <c r="E2067" s="142" t="s">
        <v>15849</v>
      </c>
      <c r="F2067" s="142" t="s">
        <v>2305</v>
      </c>
      <c r="G2067" s="142" t="s">
        <v>2304</v>
      </c>
      <c r="H2067" s="142" t="s">
        <v>17917</v>
      </c>
      <c r="I2067" s="142">
        <v>1286</v>
      </c>
      <c r="J2067" s="142">
        <v>1069</v>
      </c>
      <c r="K2067" s="142">
        <v>0</v>
      </c>
      <c r="L2067" s="142">
        <v>62</v>
      </c>
      <c r="M2067" s="142">
        <v>155</v>
      </c>
    </row>
    <row r="2068" spans="1:13" x14ac:dyDescent="0.45">
      <c r="A2068" s="142" t="s">
        <v>13542</v>
      </c>
      <c r="B2068" s="142" t="s">
        <v>15368</v>
      </c>
      <c r="C2068" s="142" t="s">
        <v>15847</v>
      </c>
      <c r="D2068" s="142" t="s">
        <v>15848</v>
      </c>
      <c r="E2068" s="142" t="s">
        <v>15849</v>
      </c>
      <c r="F2068" s="142" t="s">
        <v>2305</v>
      </c>
      <c r="G2068" s="142" t="s">
        <v>2304</v>
      </c>
      <c r="H2068" s="142" t="s">
        <v>17918</v>
      </c>
      <c r="I2068" s="142">
        <v>53</v>
      </c>
      <c r="J2068" s="142">
        <v>51</v>
      </c>
      <c r="K2068" s="142">
        <v>0</v>
      </c>
      <c r="L2068" s="142">
        <v>0</v>
      </c>
      <c r="M2068" s="142">
        <v>2</v>
      </c>
    </row>
    <row r="2069" spans="1:13" x14ac:dyDescent="0.45">
      <c r="A2069" s="142" t="s">
        <v>13021</v>
      </c>
      <c r="B2069" s="142" t="s">
        <v>15501</v>
      </c>
      <c r="C2069" s="142" t="s">
        <v>15847</v>
      </c>
      <c r="D2069" s="142" t="s">
        <v>15848</v>
      </c>
      <c r="E2069" s="142" t="s">
        <v>15849</v>
      </c>
      <c r="F2069" s="142" t="s">
        <v>4540</v>
      </c>
      <c r="G2069" s="142" t="s">
        <v>4539</v>
      </c>
      <c r="H2069" s="142" t="s">
        <v>17919</v>
      </c>
      <c r="I2069" s="142">
        <v>21</v>
      </c>
      <c r="J2069" s="142">
        <v>0</v>
      </c>
      <c r="K2069" s="142">
        <v>0</v>
      </c>
      <c r="L2069" s="142">
        <v>20</v>
      </c>
      <c r="M2069" s="142">
        <v>1</v>
      </c>
    </row>
    <row r="2070" spans="1:13" x14ac:dyDescent="0.45">
      <c r="A2070" s="142" t="s">
        <v>13023</v>
      </c>
      <c r="B2070" s="142" t="s">
        <v>15571</v>
      </c>
      <c r="C2070" s="142" t="s">
        <v>15847</v>
      </c>
      <c r="D2070" s="142" t="s">
        <v>15848</v>
      </c>
      <c r="E2070" s="142" t="s">
        <v>15849</v>
      </c>
      <c r="F2070" s="142" t="s">
        <v>4540</v>
      </c>
      <c r="G2070" s="142" t="s">
        <v>4539</v>
      </c>
      <c r="H2070" s="142" t="s">
        <v>17920</v>
      </c>
      <c r="I2070" s="142">
        <v>90</v>
      </c>
      <c r="J2070" s="142">
        <v>7</v>
      </c>
      <c r="K2070" s="142">
        <v>0</v>
      </c>
      <c r="L2070" s="142">
        <v>83</v>
      </c>
      <c r="M2070" s="142">
        <v>0</v>
      </c>
    </row>
    <row r="2071" spans="1:13" x14ac:dyDescent="0.45">
      <c r="A2071" s="142" t="s">
        <v>13235</v>
      </c>
      <c r="B2071" s="142" t="s">
        <v>14573</v>
      </c>
      <c r="C2071" s="142" t="s">
        <v>15847</v>
      </c>
      <c r="D2071" s="142" t="s">
        <v>15848</v>
      </c>
      <c r="E2071" s="142" t="s">
        <v>15849</v>
      </c>
      <c r="F2071" s="142" t="s">
        <v>4540</v>
      </c>
      <c r="G2071" s="142" t="s">
        <v>4539</v>
      </c>
      <c r="H2071" s="142" t="s">
        <v>17921</v>
      </c>
      <c r="I2071" s="142">
        <v>4900</v>
      </c>
      <c r="J2071" s="142">
        <v>4180</v>
      </c>
      <c r="K2071" s="142">
        <v>0</v>
      </c>
      <c r="L2071" s="142">
        <v>375</v>
      </c>
      <c r="M2071" s="142">
        <v>345</v>
      </c>
    </row>
    <row r="2072" spans="1:13" x14ac:dyDescent="0.45">
      <c r="A2072" s="142" t="s">
        <v>13543</v>
      </c>
      <c r="B2072" s="142" t="s">
        <v>14642</v>
      </c>
      <c r="C2072" s="142" t="s">
        <v>15860</v>
      </c>
      <c r="D2072" s="142" t="s">
        <v>15861</v>
      </c>
      <c r="E2072" s="142" t="s">
        <v>15849</v>
      </c>
      <c r="F2072" s="142" t="s">
        <v>4540</v>
      </c>
      <c r="G2072" s="142" t="s">
        <v>4539</v>
      </c>
      <c r="H2072" s="142" t="s">
        <v>17922</v>
      </c>
      <c r="I2072" s="142">
        <v>15</v>
      </c>
      <c r="J2072" s="142">
        <v>15</v>
      </c>
      <c r="K2072" s="142">
        <v>0</v>
      </c>
      <c r="L2072" s="142">
        <v>0</v>
      </c>
      <c r="M2072" s="142">
        <v>0</v>
      </c>
    </row>
    <row r="2073" spans="1:13" x14ac:dyDescent="0.45">
      <c r="A2073" s="142" t="s">
        <v>13474</v>
      </c>
      <c r="B2073" s="142" t="s">
        <v>15438</v>
      </c>
      <c r="C2073" s="142" t="s">
        <v>15847</v>
      </c>
      <c r="D2073" s="142" t="s">
        <v>15848</v>
      </c>
      <c r="E2073" s="142" t="s">
        <v>15849</v>
      </c>
      <c r="F2073" s="142" t="s">
        <v>4540</v>
      </c>
      <c r="G2073" s="142" t="s">
        <v>4539</v>
      </c>
      <c r="H2073" s="142" t="s">
        <v>17923</v>
      </c>
      <c r="I2073" s="142">
        <v>457</v>
      </c>
      <c r="J2073" s="142">
        <v>354</v>
      </c>
      <c r="K2073" s="142">
        <v>0</v>
      </c>
      <c r="L2073" s="142">
        <v>0</v>
      </c>
      <c r="M2073" s="142">
        <v>103</v>
      </c>
    </row>
    <row r="2074" spans="1:13" x14ac:dyDescent="0.45">
      <c r="A2074" s="142" t="s">
        <v>13074</v>
      </c>
      <c r="B2074" s="142" t="s">
        <v>15405</v>
      </c>
      <c r="C2074" s="142" t="s">
        <v>15847</v>
      </c>
      <c r="D2074" s="142" t="s">
        <v>15848</v>
      </c>
      <c r="E2074" s="142" t="s">
        <v>15849</v>
      </c>
      <c r="F2074" s="142" t="s">
        <v>4540</v>
      </c>
      <c r="G2074" s="142" t="s">
        <v>4539</v>
      </c>
      <c r="H2074" s="142" t="s">
        <v>17924</v>
      </c>
      <c r="I2074" s="142">
        <v>79</v>
      </c>
      <c r="J2074" s="142">
        <v>72</v>
      </c>
      <c r="K2074" s="142">
        <v>0</v>
      </c>
      <c r="L2074" s="142">
        <v>0</v>
      </c>
      <c r="M2074" s="142">
        <v>7</v>
      </c>
    </row>
    <row r="2075" spans="1:13" x14ac:dyDescent="0.45">
      <c r="A2075" s="142" t="s">
        <v>13243</v>
      </c>
      <c r="B2075" s="142" t="s">
        <v>15560</v>
      </c>
      <c r="C2075" s="142" t="s">
        <v>15847</v>
      </c>
      <c r="D2075" s="142" t="s">
        <v>15848</v>
      </c>
      <c r="E2075" s="142" t="s">
        <v>15849</v>
      </c>
      <c r="F2075" s="142" t="s">
        <v>4540</v>
      </c>
      <c r="G2075" s="142" t="s">
        <v>4539</v>
      </c>
      <c r="H2075" s="142" t="s">
        <v>17925</v>
      </c>
      <c r="I2075" s="142">
        <v>28</v>
      </c>
      <c r="J2075" s="142">
        <v>16</v>
      </c>
      <c r="K2075" s="142">
        <v>0</v>
      </c>
      <c r="L2075" s="142">
        <v>1</v>
      </c>
      <c r="M2075" s="142">
        <v>11</v>
      </c>
    </row>
    <row r="2076" spans="1:13" x14ac:dyDescent="0.45">
      <c r="A2076" s="142" t="s">
        <v>13028</v>
      </c>
      <c r="B2076" s="142" t="s">
        <v>14462</v>
      </c>
      <c r="C2076" s="142" t="s">
        <v>15847</v>
      </c>
      <c r="D2076" s="142" t="s">
        <v>15848</v>
      </c>
      <c r="E2076" s="142" t="s">
        <v>15849</v>
      </c>
      <c r="F2076" s="142" t="s">
        <v>4540</v>
      </c>
      <c r="G2076" s="142" t="s">
        <v>4539</v>
      </c>
      <c r="H2076" s="142" t="s">
        <v>17926</v>
      </c>
      <c r="I2076" s="142">
        <v>20</v>
      </c>
      <c r="J2076" s="142">
        <v>0</v>
      </c>
      <c r="K2076" s="142">
        <v>0</v>
      </c>
      <c r="L2076" s="142">
        <v>0</v>
      </c>
      <c r="M2076" s="142">
        <v>20</v>
      </c>
    </row>
    <row r="2077" spans="1:13" x14ac:dyDescent="0.45">
      <c r="A2077" s="142" t="s">
        <v>13003</v>
      </c>
      <c r="B2077" s="142" t="s">
        <v>15245</v>
      </c>
      <c r="C2077" s="142" t="s">
        <v>15847</v>
      </c>
      <c r="D2077" s="142" t="s">
        <v>15848</v>
      </c>
      <c r="E2077" s="142" t="s">
        <v>15849</v>
      </c>
      <c r="F2077" s="142" t="s">
        <v>4540</v>
      </c>
      <c r="G2077" s="142" t="s">
        <v>4539</v>
      </c>
      <c r="H2077" s="142" t="s">
        <v>17927</v>
      </c>
      <c r="I2077" s="142">
        <v>60</v>
      </c>
      <c r="J2077" s="142">
        <v>0</v>
      </c>
      <c r="K2077" s="142">
        <v>0</v>
      </c>
      <c r="L2077" s="142">
        <v>60</v>
      </c>
      <c r="M2077" s="142">
        <v>0</v>
      </c>
    </row>
    <row r="2078" spans="1:13" x14ac:dyDescent="0.45">
      <c r="A2078" s="142" t="s">
        <v>13191</v>
      </c>
      <c r="B2078" s="142" t="s">
        <v>15467</v>
      </c>
      <c r="C2078" s="142" t="s">
        <v>15847</v>
      </c>
      <c r="D2078" s="142" t="s">
        <v>15848</v>
      </c>
      <c r="E2078" s="142" t="s">
        <v>15849</v>
      </c>
      <c r="F2078" s="142" t="s">
        <v>4540</v>
      </c>
      <c r="G2078" s="142" t="s">
        <v>4539</v>
      </c>
      <c r="H2078" s="142" t="s">
        <v>17928</v>
      </c>
      <c r="I2078" s="142">
        <v>63</v>
      </c>
      <c r="J2078" s="142">
        <v>36</v>
      </c>
      <c r="K2078" s="142">
        <v>0</v>
      </c>
      <c r="L2078" s="142">
        <v>0</v>
      </c>
      <c r="M2078" s="142">
        <v>27</v>
      </c>
    </row>
    <row r="2079" spans="1:13" x14ac:dyDescent="0.45">
      <c r="A2079" s="142" t="s">
        <v>13248</v>
      </c>
      <c r="B2079" s="142" t="s">
        <v>15463</v>
      </c>
      <c r="C2079" s="142" t="s">
        <v>15847</v>
      </c>
      <c r="D2079" s="142" t="s">
        <v>15848</v>
      </c>
      <c r="E2079" s="142" t="s">
        <v>15849</v>
      </c>
      <c r="F2079" s="142" t="s">
        <v>4540</v>
      </c>
      <c r="G2079" s="142" t="s">
        <v>4539</v>
      </c>
      <c r="H2079" s="142" t="s">
        <v>17929</v>
      </c>
      <c r="I2079" s="142">
        <v>20</v>
      </c>
      <c r="J2079" s="142">
        <v>0</v>
      </c>
      <c r="K2079" s="142">
        <v>0</v>
      </c>
      <c r="L2079" s="142">
        <v>0</v>
      </c>
      <c r="M2079" s="142">
        <v>20</v>
      </c>
    </row>
    <row r="2080" spans="1:13" x14ac:dyDescent="0.45">
      <c r="A2080" s="142" t="s">
        <v>13035</v>
      </c>
      <c r="B2080" s="142" t="s">
        <v>14648</v>
      </c>
      <c r="C2080" s="142" t="s">
        <v>15847</v>
      </c>
      <c r="D2080" s="142" t="s">
        <v>15848</v>
      </c>
      <c r="E2080" s="142" t="s">
        <v>15849</v>
      </c>
      <c r="F2080" s="142" t="s">
        <v>4540</v>
      </c>
      <c r="G2080" s="142" t="s">
        <v>4539</v>
      </c>
      <c r="H2080" s="142" t="s">
        <v>17930</v>
      </c>
      <c r="I2080" s="142">
        <v>125</v>
      </c>
      <c r="J2080" s="142">
        <v>106</v>
      </c>
      <c r="K2080" s="142">
        <v>0</v>
      </c>
      <c r="L2080" s="142">
        <v>0</v>
      </c>
      <c r="M2080" s="142">
        <v>19</v>
      </c>
    </row>
    <row r="2081" spans="1:13" x14ac:dyDescent="0.45">
      <c r="A2081" s="142" t="s">
        <v>13394</v>
      </c>
      <c r="B2081" s="142" t="s">
        <v>15569</v>
      </c>
      <c r="C2081" s="142" t="s">
        <v>15847</v>
      </c>
      <c r="D2081" s="142" t="s">
        <v>15848</v>
      </c>
      <c r="E2081" s="142" t="s">
        <v>15849</v>
      </c>
      <c r="F2081" s="142" t="s">
        <v>4540</v>
      </c>
      <c r="G2081" s="142" t="s">
        <v>4539</v>
      </c>
      <c r="H2081" s="142" t="s">
        <v>17931</v>
      </c>
      <c r="I2081" s="142">
        <v>50</v>
      </c>
      <c r="J2081" s="142">
        <v>42</v>
      </c>
      <c r="K2081" s="142">
        <v>0</v>
      </c>
      <c r="L2081" s="142">
        <v>8</v>
      </c>
      <c r="M2081" s="142">
        <v>0</v>
      </c>
    </row>
    <row r="2082" spans="1:13" x14ac:dyDescent="0.45">
      <c r="A2082" s="142" t="s">
        <v>13078</v>
      </c>
      <c r="B2082" s="142" t="s">
        <v>15540</v>
      </c>
      <c r="C2082" s="142" t="s">
        <v>15847</v>
      </c>
      <c r="D2082" s="142" t="s">
        <v>15848</v>
      </c>
      <c r="E2082" s="142" t="s">
        <v>15849</v>
      </c>
      <c r="F2082" s="142" t="s">
        <v>4540</v>
      </c>
      <c r="G2082" s="142" t="s">
        <v>4539</v>
      </c>
      <c r="H2082" s="142" t="s">
        <v>17932</v>
      </c>
      <c r="I2082" s="142">
        <v>14</v>
      </c>
      <c r="J2082" s="142">
        <v>14</v>
      </c>
      <c r="K2082" s="142">
        <v>0</v>
      </c>
      <c r="L2082" s="142">
        <v>0</v>
      </c>
      <c r="M2082" s="142">
        <v>0</v>
      </c>
    </row>
    <row r="2083" spans="1:13" x14ac:dyDescent="0.45">
      <c r="A2083" s="142" t="s">
        <v>13091</v>
      </c>
      <c r="B2083" s="142" t="s">
        <v>14473</v>
      </c>
      <c r="C2083" s="142" t="s">
        <v>15847</v>
      </c>
      <c r="D2083" s="142" t="s">
        <v>15848</v>
      </c>
      <c r="E2083" s="142" t="s">
        <v>15849</v>
      </c>
      <c r="F2083" s="142" t="s">
        <v>4540</v>
      </c>
      <c r="G2083" s="142" t="s">
        <v>4539</v>
      </c>
      <c r="H2083" s="142" t="s">
        <v>17933</v>
      </c>
      <c r="I2083" s="142">
        <v>2</v>
      </c>
      <c r="J2083" s="142">
        <v>0</v>
      </c>
      <c r="K2083" s="142">
        <v>0</v>
      </c>
      <c r="L2083" s="142">
        <v>0</v>
      </c>
      <c r="M2083" s="142">
        <v>2</v>
      </c>
    </row>
    <row r="2084" spans="1:13" x14ac:dyDescent="0.45">
      <c r="A2084" s="142" t="s">
        <v>13009</v>
      </c>
      <c r="B2084" s="142" t="s">
        <v>15256</v>
      </c>
      <c r="C2084" s="142" t="s">
        <v>15847</v>
      </c>
      <c r="D2084" s="142" t="s">
        <v>15848</v>
      </c>
      <c r="E2084" s="142" t="s">
        <v>15849</v>
      </c>
      <c r="F2084" s="142" t="s">
        <v>4540</v>
      </c>
      <c r="G2084" s="142" t="s">
        <v>4539</v>
      </c>
      <c r="H2084" s="142" t="s">
        <v>17934</v>
      </c>
      <c r="I2084" s="142">
        <v>16</v>
      </c>
      <c r="J2084" s="142">
        <v>16</v>
      </c>
      <c r="K2084" s="142">
        <v>0</v>
      </c>
      <c r="L2084" s="142">
        <v>0</v>
      </c>
      <c r="M2084" s="142">
        <v>0</v>
      </c>
    </row>
    <row r="2085" spans="1:13" x14ac:dyDescent="0.45">
      <c r="A2085" s="142" t="s">
        <v>13403</v>
      </c>
      <c r="B2085" s="142" t="s">
        <v>15412</v>
      </c>
      <c r="C2085" s="142" t="s">
        <v>15847</v>
      </c>
      <c r="D2085" s="142" t="s">
        <v>15848</v>
      </c>
      <c r="E2085" s="142" t="s">
        <v>15849</v>
      </c>
      <c r="F2085" s="142" t="s">
        <v>4540</v>
      </c>
      <c r="G2085" s="142" t="s">
        <v>4539</v>
      </c>
      <c r="H2085" s="142" t="s">
        <v>17935</v>
      </c>
      <c r="I2085" s="142">
        <v>2</v>
      </c>
      <c r="J2085" s="142">
        <v>0</v>
      </c>
      <c r="K2085" s="142">
        <v>0</v>
      </c>
      <c r="L2085" s="142">
        <v>0</v>
      </c>
      <c r="M2085" s="142">
        <v>2</v>
      </c>
    </row>
    <row r="2086" spans="1:13" x14ac:dyDescent="0.45">
      <c r="A2086" s="142" t="s">
        <v>13058</v>
      </c>
      <c r="B2086" s="142" t="s">
        <v>14584</v>
      </c>
      <c r="C2086" s="142" t="s">
        <v>15847</v>
      </c>
      <c r="D2086" s="142" t="s">
        <v>15848</v>
      </c>
      <c r="E2086" s="142" t="s">
        <v>15849</v>
      </c>
      <c r="F2086" s="142" t="s">
        <v>4540</v>
      </c>
      <c r="G2086" s="142" t="s">
        <v>4539</v>
      </c>
      <c r="H2086" s="142" t="s">
        <v>17936</v>
      </c>
      <c r="I2086" s="142">
        <v>447</v>
      </c>
      <c r="J2086" s="142">
        <v>374</v>
      </c>
      <c r="K2086" s="142">
        <v>0</v>
      </c>
      <c r="L2086" s="142">
        <v>0</v>
      </c>
      <c r="M2086" s="142">
        <v>73</v>
      </c>
    </row>
    <row r="2087" spans="1:13" x14ac:dyDescent="0.45">
      <c r="A2087" s="142" t="s">
        <v>13012</v>
      </c>
      <c r="B2087" s="142" t="s">
        <v>15337</v>
      </c>
      <c r="C2087" s="142" t="s">
        <v>15847</v>
      </c>
      <c r="D2087" s="142" t="s">
        <v>15848</v>
      </c>
      <c r="E2087" s="142" t="s">
        <v>15849</v>
      </c>
      <c r="F2087" s="142" t="s">
        <v>4540</v>
      </c>
      <c r="G2087" s="142" t="s">
        <v>4539</v>
      </c>
      <c r="H2087" s="142" t="s">
        <v>17937</v>
      </c>
      <c r="I2087" s="142">
        <v>340</v>
      </c>
      <c r="J2087" s="142">
        <v>301</v>
      </c>
      <c r="K2087" s="142">
        <v>0</v>
      </c>
      <c r="L2087" s="142">
        <v>0</v>
      </c>
      <c r="M2087" s="142">
        <v>39</v>
      </c>
    </row>
    <row r="2088" spans="1:13" x14ac:dyDescent="0.45">
      <c r="A2088" s="142" t="s">
        <v>13285</v>
      </c>
      <c r="B2088" s="142" t="s">
        <v>15158</v>
      </c>
      <c r="C2088" s="142" t="s">
        <v>15860</v>
      </c>
      <c r="D2088" s="142" t="s">
        <v>15861</v>
      </c>
      <c r="E2088" s="142" t="s">
        <v>15849</v>
      </c>
      <c r="F2088" s="142" t="s">
        <v>4540</v>
      </c>
      <c r="G2088" s="142" t="s">
        <v>4539</v>
      </c>
      <c r="H2088" s="142" t="s">
        <v>17938</v>
      </c>
      <c r="I2088" s="142">
        <v>8</v>
      </c>
      <c r="J2088" s="142">
        <v>0</v>
      </c>
      <c r="K2088" s="142">
        <v>0</v>
      </c>
      <c r="L2088" s="142">
        <v>8</v>
      </c>
      <c r="M2088" s="142">
        <v>0</v>
      </c>
    </row>
    <row r="2089" spans="1:13" x14ac:dyDescent="0.45">
      <c r="A2089" s="142" t="s">
        <v>13014</v>
      </c>
      <c r="B2089" s="142" t="s">
        <v>14505</v>
      </c>
      <c r="C2089" s="142" t="s">
        <v>15847</v>
      </c>
      <c r="D2089" s="142" t="s">
        <v>15848</v>
      </c>
      <c r="E2089" s="142" t="s">
        <v>15849</v>
      </c>
      <c r="F2089" s="142" t="s">
        <v>4540</v>
      </c>
      <c r="G2089" s="142" t="s">
        <v>4539</v>
      </c>
      <c r="H2089" s="142" t="s">
        <v>17939</v>
      </c>
      <c r="I2089" s="142">
        <v>285</v>
      </c>
      <c r="J2089" s="142">
        <v>148</v>
      </c>
      <c r="K2089" s="142">
        <v>0</v>
      </c>
      <c r="L2089" s="142">
        <v>0</v>
      </c>
      <c r="M2089" s="142">
        <v>137</v>
      </c>
    </row>
    <row r="2090" spans="1:13" x14ac:dyDescent="0.45">
      <c r="A2090" s="142" t="s">
        <v>13544</v>
      </c>
      <c r="B2090" s="142" t="s">
        <v>15450</v>
      </c>
      <c r="C2090" s="142" t="s">
        <v>15847</v>
      </c>
      <c r="D2090" s="142" t="s">
        <v>15848</v>
      </c>
      <c r="E2090" s="142" t="s">
        <v>15849</v>
      </c>
      <c r="F2090" s="142" t="s">
        <v>4540</v>
      </c>
      <c r="G2090" s="142" t="s">
        <v>4539</v>
      </c>
      <c r="H2090" s="142" t="s">
        <v>17940</v>
      </c>
      <c r="I2090" s="142">
        <v>45</v>
      </c>
      <c r="J2090" s="142">
        <v>31</v>
      </c>
      <c r="K2090" s="142">
        <v>0</v>
      </c>
      <c r="L2090" s="142">
        <v>0</v>
      </c>
      <c r="M2090" s="142">
        <v>14</v>
      </c>
    </row>
    <row r="2091" spans="1:13" x14ac:dyDescent="0.45">
      <c r="A2091" s="142" t="s">
        <v>13072</v>
      </c>
      <c r="B2091" s="142" t="s">
        <v>15530</v>
      </c>
      <c r="C2091" s="142" t="s">
        <v>15847</v>
      </c>
      <c r="D2091" s="142" t="s">
        <v>15848</v>
      </c>
      <c r="E2091" s="142" t="s">
        <v>15849</v>
      </c>
      <c r="F2091" s="142" t="s">
        <v>2137</v>
      </c>
      <c r="G2091" s="142" t="s">
        <v>2136</v>
      </c>
      <c r="H2091" s="142" t="s">
        <v>17941</v>
      </c>
      <c r="I2091" s="142">
        <v>690</v>
      </c>
      <c r="J2091" s="142">
        <v>647</v>
      </c>
      <c r="K2091" s="142">
        <v>0</v>
      </c>
      <c r="L2091" s="142">
        <v>37</v>
      </c>
      <c r="M2091" s="142">
        <v>6</v>
      </c>
    </row>
    <row r="2092" spans="1:13" x14ac:dyDescent="0.45">
      <c r="A2092" s="142" t="s">
        <v>13023</v>
      </c>
      <c r="B2092" s="142" t="s">
        <v>15571</v>
      </c>
      <c r="C2092" s="142" t="s">
        <v>15847</v>
      </c>
      <c r="D2092" s="142" t="s">
        <v>15848</v>
      </c>
      <c r="E2092" s="142" t="s">
        <v>15849</v>
      </c>
      <c r="F2092" s="142" t="s">
        <v>2137</v>
      </c>
      <c r="G2092" s="142" t="s">
        <v>2136</v>
      </c>
      <c r="H2092" s="142" t="s">
        <v>17942</v>
      </c>
      <c r="I2092" s="142">
        <v>540</v>
      </c>
      <c r="J2092" s="142">
        <v>0</v>
      </c>
      <c r="K2092" s="142">
        <v>0</v>
      </c>
      <c r="L2092" s="142">
        <v>527</v>
      </c>
      <c r="M2092" s="142">
        <v>13</v>
      </c>
    </row>
    <row r="2093" spans="1:13" x14ac:dyDescent="0.45">
      <c r="A2093" s="142" t="s">
        <v>13082</v>
      </c>
      <c r="B2093" s="142" t="s">
        <v>14478</v>
      </c>
      <c r="C2093" s="142" t="s">
        <v>15860</v>
      </c>
      <c r="D2093" s="142" t="s">
        <v>15861</v>
      </c>
      <c r="E2093" s="142" t="s">
        <v>15849</v>
      </c>
      <c r="F2093" s="142" t="s">
        <v>2137</v>
      </c>
      <c r="G2093" s="142" t="s">
        <v>2136</v>
      </c>
      <c r="H2093" s="142" t="s">
        <v>17943</v>
      </c>
      <c r="I2093" s="142">
        <v>101</v>
      </c>
      <c r="J2093" s="142">
        <v>0</v>
      </c>
      <c r="K2093" s="142">
        <v>0</v>
      </c>
      <c r="L2093" s="142">
        <v>101</v>
      </c>
      <c r="M2093" s="142">
        <v>0</v>
      </c>
    </row>
    <row r="2094" spans="1:13" x14ac:dyDescent="0.45">
      <c r="A2094" s="142" t="s">
        <v>13546</v>
      </c>
      <c r="B2094" s="142" t="s">
        <v>14641</v>
      </c>
      <c r="C2094" s="142" t="s">
        <v>15847</v>
      </c>
      <c r="D2094" s="142" t="s">
        <v>15848</v>
      </c>
      <c r="E2094" s="142" t="s">
        <v>15849</v>
      </c>
      <c r="F2094" s="142" t="s">
        <v>2137</v>
      </c>
      <c r="G2094" s="142" t="s">
        <v>2136</v>
      </c>
      <c r="H2094" s="142" t="s">
        <v>17944</v>
      </c>
      <c r="I2094" s="142">
        <v>18117</v>
      </c>
      <c r="J2094" s="142">
        <v>18100</v>
      </c>
      <c r="K2094" s="142">
        <v>0</v>
      </c>
      <c r="L2094" s="142">
        <v>0</v>
      </c>
      <c r="M2094" s="142">
        <v>17</v>
      </c>
    </row>
    <row r="2095" spans="1:13" x14ac:dyDescent="0.45">
      <c r="A2095" s="142" t="s">
        <v>13547</v>
      </c>
      <c r="B2095" s="142" t="s">
        <v>14613</v>
      </c>
      <c r="C2095" s="142" t="s">
        <v>15847</v>
      </c>
      <c r="D2095" s="142" t="s">
        <v>15848</v>
      </c>
      <c r="E2095" s="142" t="s">
        <v>15849</v>
      </c>
      <c r="F2095" s="142" t="s">
        <v>2137</v>
      </c>
      <c r="G2095" s="142" t="s">
        <v>2136</v>
      </c>
      <c r="H2095" s="142" t="s">
        <v>17945</v>
      </c>
      <c r="I2095" s="142">
        <v>1694</v>
      </c>
      <c r="J2095" s="142">
        <v>1108</v>
      </c>
      <c r="K2095" s="142">
        <v>0</v>
      </c>
      <c r="L2095" s="142">
        <v>539</v>
      </c>
      <c r="M2095" s="142">
        <v>47</v>
      </c>
    </row>
    <row r="2096" spans="1:13" x14ac:dyDescent="0.45">
      <c r="A2096" s="142" t="s">
        <v>13065</v>
      </c>
      <c r="B2096" s="142" t="s">
        <v>14497</v>
      </c>
      <c r="C2096" s="142" t="s">
        <v>15847</v>
      </c>
      <c r="D2096" s="142" t="s">
        <v>15848</v>
      </c>
      <c r="E2096" s="142" t="s">
        <v>15849</v>
      </c>
      <c r="F2096" s="142" t="s">
        <v>2137</v>
      </c>
      <c r="G2096" s="142" t="s">
        <v>2136</v>
      </c>
      <c r="H2096" s="142" t="s">
        <v>17946</v>
      </c>
      <c r="I2096" s="142">
        <v>20</v>
      </c>
      <c r="J2096" s="142">
        <v>0</v>
      </c>
      <c r="K2096" s="142">
        <v>0</v>
      </c>
      <c r="L2096" s="142">
        <v>20</v>
      </c>
      <c r="M2096" s="142">
        <v>0</v>
      </c>
    </row>
    <row r="2097" spans="1:13" x14ac:dyDescent="0.45">
      <c r="A2097" s="142" t="s">
        <v>13548</v>
      </c>
      <c r="B2097" s="142" t="s">
        <v>14894</v>
      </c>
      <c r="C2097" s="142" t="s">
        <v>15860</v>
      </c>
      <c r="D2097" s="142" t="s">
        <v>15861</v>
      </c>
      <c r="E2097" s="142" t="s">
        <v>15849</v>
      </c>
      <c r="F2097" s="142" t="s">
        <v>2137</v>
      </c>
      <c r="G2097" s="142" t="s">
        <v>2136</v>
      </c>
      <c r="H2097" s="142" t="s">
        <v>17947</v>
      </c>
      <c r="I2097" s="142">
        <v>12</v>
      </c>
      <c r="J2097" s="142">
        <v>12</v>
      </c>
      <c r="K2097" s="142">
        <v>0</v>
      </c>
      <c r="L2097" s="142">
        <v>0</v>
      </c>
      <c r="M2097" s="142">
        <v>0</v>
      </c>
    </row>
    <row r="2098" spans="1:13" x14ac:dyDescent="0.45">
      <c r="A2098" s="142" t="s">
        <v>13273</v>
      </c>
      <c r="B2098" s="142" t="s">
        <v>14465</v>
      </c>
      <c r="C2098" s="142" t="s">
        <v>15860</v>
      </c>
      <c r="D2098" s="142" t="s">
        <v>15861</v>
      </c>
      <c r="E2098" s="142" t="s">
        <v>15849</v>
      </c>
      <c r="F2098" s="142" t="s">
        <v>2137</v>
      </c>
      <c r="G2098" s="142" t="s">
        <v>2136</v>
      </c>
      <c r="H2098" s="142" t="s">
        <v>17948</v>
      </c>
      <c r="I2098" s="142">
        <v>5</v>
      </c>
      <c r="J2098" s="142">
        <v>0</v>
      </c>
      <c r="K2098" s="142">
        <v>0</v>
      </c>
      <c r="L2098" s="142">
        <v>5</v>
      </c>
      <c r="M2098" s="142">
        <v>0</v>
      </c>
    </row>
    <row r="2099" spans="1:13" x14ac:dyDescent="0.45">
      <c r="A2099" s="142" t="s">
        <v>13549</v>
      </c>
      <c r="B2099" s="142" t="s">
        <v>14603</v>
      </c>
      <c r="C2099" s="142" t="s">
        <v>15847</v>
      </c>
      <c r="D2099" s="142" t="s">
        <v>15848</v>
      </c>
      <c r="E2099" s="142" t="s">
        <v>15849</v>
      </c>
      <c r="F2099" s="142" t="s">
        <v>2137</v>
      </c>
      <c r="G2099" s="142" t="s">
        <v>2136</v>
      </c>
      <c r="H2099" s="142" t="s">
        <v>17949</v>
      </c>
      <c r="I2099" s="142">
        <v>112</v>
      </c>
      <c r="J2099" s="142">
        <v>102</v>
      </c>
      <c r="K2099" s="142">
        <v>0</v>
      </c>
      <c r="L2099" s="142">
        <v>0</v>
      </c>
      <c r="M2099" s="142">
        <v>10</v>
      </c>
    </row>
    <row r="2100" spans="1:13" x14ac:dyDescent="0.45">
      <c r="A2100" s="142" t="s">
        <v>13550</v>
      </c>
      <c r="B2100" s="142" t="s">
        <v>14650</v>
      </c>
      <c r="C2100" s="142" t="s">
        <v>15860</v>
      </c>
      <c r="D2100" s="142" t="s">
        <v>15861</v>
      </c>
      <c r="E2100" s="142" t="s">
        <v>15849</v>
      </c>
      <c r="F2100" s="142" t="s">
        <v>2137</v>
      </c>
      <c r="G2100" s="142" t="s">
        <v>2136</v>
      </c>
      <c r="H2100" s="142" t="s">
        <v>17950</v>
      </c>
      <c r="I2100" s="142">
        <v>17</v>
      </c>
      <c r="J2100" s="142">
        <v>6</v>
      </c>
      <c r="K2100" s="142">
        <v>0</v>
      </c>
      <c r="L2100" s="142">
        <v>11</v>
      </c>
      <c r="M2100" s="142">
        <v>0</v>
      </c>
    </row>
    <row r="2101" spans="1:13" x14ac:dyDescent="0.45">
      <c r="A2101" s="142" t="s">
        <v>13551</v>
      </c>
      <c r="B2101" s="142" t="s">
        <v>14669</v>
      </c>
      <c r="C2101" s="142" t="s">
        <v>15847</v>
      </c>
      <c r="D2101" s="142" t="s">
        <v>15848</v>
      </c>
      <c r="E2101" s="142" t="s">
        <v>15849</v>
      </c>
      <c r="F2101" s="142" t="s">
        <v>2137</v>
      </c>
      <c r="G2101" s="142" t="s">
        <v>2136</v>
      </c>
      <c r="H2101" s="142" t="s">
        <v>17951</v>
      </c>
      <c r="I2101" s="142">
        <v>1320</v>
      </c>
      <c r="J2101" s="142">
        <v>1282</v>
      </c>
      <c r="K2101" s="142">
        <v>0</v>
      </c>
      <c r="L2101" s="142">
        <v>35</v>
      </c>
      <c r="M2101" s="142">
        <v>3</v>
      </c>
    </row>
    <row r="2102" spans="1:13" x14ac:dyDescent="0.45">
      <c r="A2102" s="142" t="s">
        <v>13049</v>
      </c>
      <c r="B2102" s="142" t="s">
        <v>14534</v>
      </c>
      <c r="C2102" s="142" t="s">
        <v>15860</v>
      </c>
      <c r="D2102" s="142" t="s">
        <v>15861</v>
      </c>
      <c r="E2102" s="142" t="s">
        <v>15849</v>
      </c>
      <c r="F2102" s="142" t="s">
        <v>2137</v>
      </c>
      <c r="G2102" s="142" t="s">
        <v>2136</v>
      </c>
      <c r="H2102" s="142" t="s">
        <v>17952</v>
      </c>
      <c r="I2102" s="142">
        <v>143</v>
      </c>
      <c r="J2102" s="142">
        <v>0</v>
      </c>
      <c r="K2102" s="142">
        <v>0</v>
      </c>
      <c r="L2102" s="142">
        <v>143</v>
      </c>
      <c r="M2102" s="142">
        <v>0</v>
      </c>
    </row>
    <row r="2103" spans="1:13" x14ac:dyDescent="0.45">
      <c r="A2103" s="142" t="s">
        <v>13552</v>
      </c>
      <c r="B2103" s="142" t="s">
        <v>14476</v>
      </c>
      <c r="C2103" s="142" t="s">
        <v>15860</v>
      </c>
      <c r="D2103" s="142" t="s">
        <v>15861</v>
      </c>
      <c r="E2103" s="142" t="s">
        <v>15849</v>
      </c>
      <c r="F2103" s="142" t="s">
        <v>2137</v>
      </c>
      <c r="G2103" s="142" t="s">
        <v>2136</v>
      </c>
      <c r="H2103" s="142" t="s">
        <v>17953</v>
      </c>
      <c r="I2103" s="142">
        <v>28</v>
      </c>
      <c r="J2103" s="142">
        <v>0</v>
      </c>
      <c r="K2103" s="142">
        <v>0</v>
      </c>
      <c r="L2103" s="142">
        <v>28</v>
      </c>
      <c r="M2103" s="142">
        <v>0</v>
      </c>
    </row>
    <row r="2104" spans="1:13" x14ac:dyDescent="0.45">
      <c r="A2104" s="142" t="s">
        <v>13553</v>
      </c>
      <c r="B2104" s="142" t="s">
        <v>15439</v>
      </c>
      <c r="C2104" s="142" t="s">
        <v>15847</v>
      </c>
      <c r="D2104" s="142" t="s">
        <v>15848</v>
      </c>
      <c r="E2104" s="142" t="s">
        <v>15849</v>
      </c>
      <c r="F2104" s="142" t="s">
        <v>2137</v>
      </c>
      <c r="G2104" s="142" t="s">
        <v>2136</v>
      </c>
      <c r="H2104" s="142" t="s">
        <v>17954</v>
      </c>
      <c r="I2104" s="142">
        <v>7</v>
      </c>
      <c r="J2104" s="142">
        <v>7</v>
      </c>
      <c r="K2104" s="142">
        <v>0</v>
      </c>
      <c r="L2104" s="142">
        <v>0</v>
      </c>
      <c r="M2104" s="142">
        <v>0</v>
      </c>
    </row>
    <row r="2105" spans="1:13" x14ac:dyDescent="0.45">
      <c r="A2105" s="142" t="s">
        <v>13027</v>
      </c>
      <c r="B2105" s="142" t="s">
        <v>14562</v>
      </c>
      <c r="C2105" s="142" t="s">
        <v>15847</v>
      </c>
      <c r="D2105" s="142" t="s">
        <v>15848</v>
      </c>
      <c r="E2105" s="142" t="s">
        <v>15849</v>
      </c>
      <c r="F2105" s="142" t="s">
        <v>2137</v>
      </c>
      <c r="G2105" s="142" t="s">
        <v>2136</v>
      </c>
      <c r="H2105" s="142" t="s">
        <v>17955</v>
      </c>
      <c r="I2105" s="142">
        <v>2</v>
      </c>
      <c r="J2105" s="142">
        <v>0</v>
      </c>
      <c r="K2105" s="142">
        <v>0</v>
      </c>
      <c r="L2105" s="142">
        <v>2</v>
      </c>
      <c r="M2105" s="142">
        <v>0</v>
      </c>
    </row>
    <row r="2106" spans="1:13" x14ac:dyDescent="0.45">
      <c r="A2106" s="142" t="s">
        <v>13554</v>
      </c>
      <c r="B2106" s="142" t="s">
        <v>14518</v>
      </c>
      <c r="C2106" s="142" t="s">
        <v>15860</v>
      </c>
      <c r="D2106" s="142" t="s">
        <v>15861</v>
      </c>
      <c r="E2106" s="142" t="s">
        <v>15849</v>
      </c>
      <c r="F2106" s="142" t="s">
        <v>2137</v>
      </c>
      <c r="G2106" s="142" t="s">
        <v>2136</v>
      </c>
      <c r="H2106" s="142" t="s">
        <v>17956</v>
      </c>
      <c r="I2106" s="142">
        <v>17</v>
      </c>
      <c r="J2106" s="142">
        <v>17</v>
      </c>
      <c r="K2106" s="142">
        <v>0</v>
      </c>
      <c r="L2106" s="142">
        <v>0</v>
      </c>
      <c r="M2106" s="142">
        <v>0</v>
      </c>
    </row>
    <row r="2107" spans="1:13" x14ac:dyDescent="0.45">
      <c r="A2107" s="142" t="s">
        <v>13028</v>
      </c>
      <c r="B2107" s="142" t="s">
        <v>14462</v>
      </c>
      <c r="C2107" s="142" t="s">
        <v>15847</v>
      </c>
      <c r="D2107" s="142" t="s">
        <v>15848</v>
      </c>
      <c r="E2107" s="142" t="s">
        <v>15849</v>
      </c>
      <c r="F2107" s="142" t="s">
        <v>2137</v>
      </c>
      <c r="G2107" s="142" t="s">
        <v>2136</v>
      </c>
      <c r="H2107" s="142" t="s">
        <v>17957</v>
      </c>
      <c r="I2107" s="142">
        <v>143</v>
      </c>
      <c r="J2107" s="142">
        <v>0</v>
      </c>
      <c r="K2107" s="142">
        <v>0</v>
      </c>
      <c r="L2107" s="142">
        <v>0</v>
      </c>
      <c r="M2107" s="142">
        <v>143</v>
      </c>
    </row>
    <row r="2108" spans="1:13" x14ac:dyDescent="0.45">
      <c r="A2108" s="142" t="s">
        <v>13002</v>
      </c>
      <c r="B2108" s="142" t="s">
        <v>15376</v>
      </c>
      <c r="C2108" s="142" t="s">
        <v>15847</v>
      </c>
      <c r="D2108" s="142" t="s">
        <v>15848</v>
      </c>
      <c r="E2108" s="142" t="s">
        <v>15849</v>
      </c>
      <c r="F2108" s="142" t="s">
        <v>2137</v>
      </c>
      <c r="G2108" s="142" t="s">
        <v>2136</v>
      </c>
      <c r="H2108" s="142" t="s">
        <v>17958</v>
      </c>
      <c r="I2108" s="142">
        <v>3170</v>
      </c>
      <c r="J2108" s="142">
        <v>2755</v>
      </c>
      <c r="K2108" s="142">
        <v>0</v>
      </c>
      <c r="L2108" s="142">
        <v>377</v>
      </c>
      <c r="M2108" s="142">
        <v>38</v>
      </c>
    </row>
    <row r="2109" spans="1:13" x14ac:dyDescent="0.45">
      <c r="A2109" s="142" t="s">
        <v>13003</v>
      </c>
      <c r="B2109" s="142" t="s">
        <v>15245</v>
      </c>
      <c r="C2109" s="142" t="s">
        <v>15847</v>
      </c>
      <c r="D2109" s="142" t="s">
        <v>15848</v>
      </c>
      <c r="E2109" s="142" t="s">
        <v>15849</v>
      </c>
      <c r="F2109" s="142" t="s">
        <v>2137</v>
      </c>
      <c r="G2109" s="142" t="s">
        <v>2136</v>
      </c>
      <c r="H2109" s="142" t="s">
        <v>17959</v>
      </c>
      <c r="I2109" s="142">
        <v>127</v>
      </c>
      <c r="J2109" s="142">
        <v>1</v>
      </c>
      <c r="K2109" s="142">
        <v>0</v>
      </c>
      <c r="L2109" s="142">
        <v>126</v>
      </c>
      <c r="M2109" s="142">
        <v>0</v>
      </c>
    </row>
    <row r="2110" spans="1:13" x14ac:dyDescent="0.45">
      <c r="A2110" s="142" t="s">
        <v>13420</v>
      </c>
      <c r="B2110" s="142" t="s">
        <v>14576</v>
      </c>
      <c r="C2110" s="142" t="s">
        <v>15860</v>
      </c>
      <c r="D2110" s="142" t="s">
        <v>15861</v>
      </c>
      <c r="E2110" s="142" t="s">
        <v>15849</v>
      </c>
      <c r="F2110" s="142" t="s">
        <v>2137</v>
      </c>
      <c r="G2110" s="142" t="s">
        <v>2136</v>
      </c>
      <c r="H2110" s="142" t="s">
        <v>17960</v>
      </c>
      <c r="I2110" s="142">
        <v>64</v>
      </c>
      <c r="J2110" s="142">
        <v>0</v>
      </c>
      <c r="K2110" s="142">
        <v>0</v>
      </c>
      <c r="L2110" s="142">
        <v>64</v>
      </c>
      <c r="M2110" s="142">
        <v>0</v>
      </c>
    </row>
    <row r="2111" spans="1:13" x14ac:dyDescent="0.45">
      <c r="A2111" s="142" t="s">
        <v>13066</v>
      </c>
      <c r="B2111" s="142" t="s">
        <v>14459</v>
      </c>
      <c r="C2111" s="142" t="s">
        <v>15847</v>
      </c>
      <c r="D2111" s="142" t="s">
        <v>15848</v>
      </c>
      <c r="E2111" s="142" t="s">
        <v>15849</v>
      </c>
      <c r="F2111" s="142" t="s">
        <v>2137</v>
      </c>
      <c r="G2111" s="142" t="s">
        <v>2136</v>
      </c>
      <c r="H2111" s="142" t="s">
        <v>17961</v>
      </c>
      <c r="I2111" s="142">
        <v>67</v>
      </c>
      <c r="J2111" s="142">
        <v>0</v>
      </c>
      <c r="K2111" s="142">
        <v>0</v>
      </c>
      <c r="L2111" s="142">
        <v>67</v>
      </c>
      <c r="M2111" s="142">
        <v>0</v>
      </c>
    </row>
    <row r="2112" spans="1:13" x14ac:dyDescent="0.45">
      <c r="A2112" s="142" t="s">
        <v>13555</v>
      </c>
      <c r="B2112" s="142" t="s">
        <v>14798</v>
      </c>
      <c r="C2112" s="142" t="s">
        <v>15860</v>
      </c>
      <c r="D2112" s="142" t="s">
        <v>15861</v>
      </c>
      <c r="E2112" s="142" t="s">
        <v>15849</v>
      </c>
      <c r="F2112" s="142" t="s">
        <v>2137</v>
      </c>
      <c r="G2112" s="142" t="s">
        <v>2136</v>
      </c>
      <c r="H2112" s="142" t="s">
        <v>17962</v>
      </c>
      <c r="I2112" s="142">
        <v>5</v>
      </c>
      <c r="J2112" s="142">
        <v>5</v>
      </c>
      <c r="K2112" s="142">
        <v>0</v>
      </c>
      <c r="L2112" s="142">
        <v>0</v>
      </c>
      <c r="M2112" s="142">
        <v>0</v>
      </c>
    </row>
    <row r="2113" spans="1:13" x14ac:dyDescent="0.45">
      <c r="A2113" s="142" t="s">
        <v>13556</v>
      </c>
      <c r="B2113" s="142" t="s">
        <v>14762</v>
      </c>
      <c r="C2113" s="142" t="s">
        <v>15860</v>
      </c>
      <c r="D2113" s="142" t="s">
        <v>15861</v>
      </c>
      <c r="E2113" s="142" t="s">
        <v>15849</v>
      </c>
      <c r="F2113" s="142" t="s">
        <v>2137</v>
      </c>
      <c r="G2113" s="142" t="s">
        <v>2136</v>
      </c>
      <c r="H2113" s="142" t="s">
        <v>17963</v>
      </c>
      <c r="I2113" s="142">
        <v>47</v>
      </c>
      <c r="J2113" s="142">
        <v>0</v>
      </c>
      <c r="K2113" s="142">
        <v>0</v>
      </c>
      <c r="L2113" s="142">
        <v>47</v>
      </c>
      <c r="M2113" s="142">
        <v>0</v>
      </c>
    </row>
    <row r="2114" spans="1:13" x14ac:dyDescent="0.45">
      <c r="A2114" s="142" t="s">
        <v>13557</v>
      </c>
      <c r="B2114" s="142" t="s">
        <v>14592</v>
      </c>
      <c r="C2114" s="142" t="s">
        <v>15847</v>
      </c>
      <c r="D2114" s="142" t="s">
        <v>15848</v>
      </c>
      <c r="E2114" s="142" t="s">
        <v>15849</v>
      </c>
      <c r="F2114" s="142" t="s">
        <v>2137</v>
      </c>
      <c r="G2114" s="142" t="s">
        <v>2136</v>
      </c>
      <c r="H2114" s="142" t="s">
        <v>17964</v>
      </c>
      <c r="I2114" s="142">
        <v>11635</v>
      </c>
      <c r="J2114" s="142">
        <v>11208</v>
      </c>
      <c r="K2114" s="142">
        <v>0</v>
      </c>
      <c r="L2114" s="142">
        <v>384</v>
      </c>
      <c r="M2114" s="142">
        <v>43</v>
      </c>
    </row>
    <row r="2115" spans="1:13" x14ac:dyDescent="0.45">
      <c r="A2115" s="142" t="s">
        <v>13558</v>
      </c>
      <c r="B2115" s="142" t="s">
        <v>15483</v>
      </c>
      <c r="C2115" s="142" t="s">
        <v>15847</v>
      </c>
      <c r="D2115" s="142" t="s">
        <v>15848</v>
      </c>
      <c r="E2115" s="142" t="s">
        <v>15849</v>
      </c>
      <c r="F2115" s="142" t="s">
        <v>2137</v>
      </c>
      <c r="G2115" s="142" t="s">
        <v>2136</v>
      </c>
      <c r="H2115" s="142" t="s">
        <v>17965</v>
      </c>
      <c r="I2115" s="142">
        <v>8762</v>
      </c>
      <c r="J2115" s="142">
        <v>8754</v>
      </c>
      <c r="K2115" s="142">
        <v>0</v>
      </c>
      <c r="L2115" s="142">
        <v>0</v>
      </c>
      <c r="M2115" s="142">
        <v>8</v>
      </c>
    </row>
    <row r="2116" spans="1:13" x14ac:dyDescent="0.45">
      <c r="A2116" s="142" t="s">
        <v>13559</v>
      </c>
      <c r="B2116" s="142" t="s">
        <v>15494</v>
      </c>
      <c r="C2116" s="142" t="s">
        <v>15847</v>
      </c>
      <c r="D2116" s="142" t="s">
        <v>15848</v>
      </c>
      <c r="E2116" s="142" t="s">
        <v>15849</v>
      </c>
      <c r="F2116" s="142" t="s">
        <v>2137</v>
      </c>
      <c r="G2116" s="142" t="s">
        <v>2136</v>
      </c>
      <c r="H2116" s="142" t="s">
        <v>17966</v>
      </c>
      <c r="I2116" s="142">
        <v>949</v>
      </c>
      <c r="J2116" s="142">
        <v>926</v>
      </c>
      <c r="K2116" s="142">
        <v>0</v>
      </c>
      <c r="L2116" s="142">
        <v>21</v>
      </c>
      <c r="M2116" s="142">
        <v>2</v>
      </c>
    </row>
    <row r="2117" spans="1:13" x14ac:dyDescent="0.45">
      <c r="A2117" s="142" t="s">
        <v>13033</v>
      </c>
      <c r="B2117" s="142" t="s">
        <v>15276</v>
      </c>
      <c r="C2117" s="142" t="s">
        <v>15847</v>
      </c>
      <c r="D2117" s="142" t="s">
        <v>15848</v>
      </c>
      <c r="E2117" s="142" t="s">
        <v>15849</v>
      </c>
      <c r="F2117" s="142" t="s">
        <v>2137</v>
      </c>
      <c r="G2117" s="142" t="s">
        <v>2136</v>
      </c>
      <c r="H2117" s="142" t="s">
        <v>17967</v>
      </c>
      <c r="I2117" s="142">
        <v>251</v>
      </c>
      <c r="J2117" s="142">
        <v>241</v>
      </c>
      <c r="K2117" s="142">
        <v>0</v>
      </c>
      <c r="L2117" s="142">
        <v>1</v>
      </c>
      <c r="M2117" s="142">
        <v>9</v>
      </c>
    </row>
    <row r="2118" spans="1:13" x14ac:dyDescent="0.45">
      <c r="A2118" s="142" t="s">
        <v>13034</v>
      </c>
      <c r="B2118" s="142" t="s">
        <v>15562</v>
      </c>
      <c r="C2118" s="142" t="s">
        <v>15847</v>
      </c>
      <c r="D2118" s="142" t="s">
        <v>15848</v>
      </c>
      <c r="E2118" s="142" t="s">
        <v>15849</v>
      </c>
      <c r="F2118" s="142" t="s">
        <v>2137</v>
      </c>
      <c r="G2118" s="142" t="s">
        <v>2136</v>
      </c>
      <c r="H2118" s="142" t="s">
        <v>17968</v>
      </c>
      <c r="I2118" s="142">
        <v>12</v>
      </c>
      <c r="J2118" s="142">
        <v>0</v>
      </c>
      <c r="K2118" s="142">
        <v>0</v>
      </c>
      <c r="L2118" s="142">
        <v>12</v>
      </c>
      <c r="M2118" s="142">
        <v>0</v>
      </c>
    </row>
    <row r="2119" spans="1:13" x14ac:dyDescent="0.45">
      <c r="A2119" s="142" t="s">
        <v>13036</v>
      </c>
      <c r="B2119" s="142" t="s">
        <v>15567</v>
      </c>
      <c r="C2119" s="142" t="s">
        <v>15847</v>
      </c>
      <c r="D2119" s="142" t="s">
        <v>15848</v>
      </c>
      <c r="E2119" s="142" t="s">
        <v>15849</v>
      </c>
      <c r="F2119" s="142" t="s">
        <v>2137</v>
      </c>
      <c r="G2119" s="142" t="s">
        <v>2136</v>
      </c>
      <c r="H2119" s="142" t="s">
        <v>17969</v>
      </c>
      <c r="I2119" s="142">
        <v>14</v>
      </c>
      <c r="J2119" s="142">
        <v>0</v>
      </c>
      <c r="K2119" s="142">
        <v>0</v>
      </c>
      <c r="L2119" s="142">
        <v>14</v>
      </c>
      <c r="M2119" s="142">
        <v>0</v>
      </c>
    </row>
    <row r="2120" spans="1:13" x14ac:dyDescent="0.45">
      <c r="A2120" s="142" t="s">
        <v>13560</v>
      </c>
      <c r="B2120" s="142" t="s">
        <v>14778</v>
      </c>
      <c r="C2120" s="142" t="s">
        <v>15847</v>
      </c>
      <c r="D2120" s="142" t="s">
        <v>15848</v>
      </c>
      <c r="E2120" s="142" t="s">
        <v>15849</v>
      </c>
      <c r="F2120" s="142" t="s">
        <v>2137</v>
      </c>
      <c r="G2120" s="142" t="s">
        <v>2136</v>
      </c>
      <c r="H2120" s="142" t="s">
        <v>17970</v>
      </c>
      <c r="I2120" s="142">
        <v>102</v>
      </c>
      <c r="J2120" s="142">
        <v>8</v>
      </c>
      <c r="K2120" s="142">
        <v>0</v>
      </c>
      <c r="L2120" s="142">
        <v>94</v>
      </c>
      <c r="M2120" s="142">
        <v>0</v>
      </c>
    </row>
    <row r="2121" spans="1:13" x14ac:dyDescent="0.45">
      <c r="A2121" s="142" t="s">
        <v>13037</v>
      </c>
      <c r="B2121" s="142" t="s">
        <v>14519</v>
      </c>
      <c r="C2121" s="142" t="s">
        <v>15847</v>
      </c>
      <c r="D2121" s="142" t="s">
        <v>15848</v>
      </c>
      <c r="E2121" s="142" t="s">
        <v>15849</v>
      </c>
      <c r="F2121" s="142" t="s">
        <v>2137</v>
      </c>
      <c r="G2121" s="142" t="s">
        <v>2136</v>
      </c>
      <c r="H2121" s="142" t="s">
        <v>17971</v>
      </c>
      <c r="I2121" s="142">
        <v>115</v>
      </c>
      <c r="J2121" s="142">
        <v>0</v>
      </c>
      <c r="K2121" s="142">
        <v>0</v>
      </c>
      <c r="L2121" s="142">
        <v>115</v>
      </c>
      <c r="M2121" s="142">
        <v>0</v>
      </c>
    </row>
    <row r="2122" spans="1:13" x14ac:dyDescent="0.45">
      <c r="A2122" s="142" t="s">
        <v>13038</v>
      </c>
      <c r="B2122" s="142" t="s">
        <v>14646</v>
      </c>
      <c r="C2122" s="142" t="s">
        <v>15847</v>
      </c>
      <c r="D2122" s="142" t="s">
        <v>15848</v>
      </c>
      <c r="E2122" s="142" t="s">
        <v>15849</v>
      </c>
      <c r="F2122" s="142" t="s">
        <v>2137</v>
      </c>
      <c r="G2122" s="142" t="s">
        <v>2136</v>
      </c>
      <c r="H2122" s="142" t="s">
        <v>17972</v>
      </c>
      <c r="I2122" s="142">
        <v>11</v>
      </c>
      <c r="J2122" s="142">
        <v>0</v>
      </c>
      <c r="K2122" s="142">
        <v>0</v>
      </c>
      <c r="L2122" s="142">
        <v>0</v>
      </c>
      <c r="M2122" s="142">
        <v>11</v>
      </c>
    </row>
    <row r="2123" spans="1:13" x14ac:dyDescent="0.45">
      <c r="A2123" s="142" t="s">
        <v>13091</v>
      </c>
      <c r="B2123" s="142" t="s">
        <v>14473</v>
      </c>
      <c r="C2123" s="142" t="s">
        <v>15847</v>
      </c>
      <c r="D2123" s="142" t="s">
        <v>15848</v>
      </c>
      <c r="E2123" s="142" t="s">
        <v>15849</v>
      </c>
      <c r="F2123" s="142" t="s">
        <v>2137</v>
      </c>
      <c r="G2123" s="142" t="s">
        <v>2136</v>
      </c>
      <c r="H2123" s="142" t="s">
        <v>17973</v>
      </c>
      <c r="I2123" s="142">
        <v>20</v>
      </c>
      <c r="J2123" s="142">
        <v>0</v>
      </c>
      <c r="K2123" s="142">
        <v>0</v>
      </c>
      <c r="L2123" s="142">
        <v>20</v>
      </c>
      <c r="M2123" s="142">
        <v>0</v>
      </c>
    </row>
    <row r="2124" spans="1:13" x14ac:dyDescent="0.45">
      <c r="A2124" s="142" t="s">
        <v>13009</v>
      </c>
      <c r="B2124" s="142" t="s">
        <v>15256</v>
      </c>
      <c r="C2124" s="142" t="s">
        <v>15847</v>
      </c>
      <c r="D2124" s="142" t="s">
        <v>15848</v>
      </c>
      <c r="E2124" s="142" t="s">
        <v>15849</v>
      </c>
      <c r="F2124" s="142" t="s">
        <v>2137</v>
      </c>
      <c r="G2124" s="142" t="s">
        <v>2136</v>
      </c>
      <c r="H2124" s="142" t="s">
        <v>17974</v>
      </c>
      <c r="I2124" s="142">
        <v>129</v>
      </c>
      <c r="J2124" s="142">
        <v>70</v>
      </c>
      <c r="K2124" s="142">
        <v>0</v>
      </c>
      <c r="L2124" s="142">
        <v>44</v>
      </c>
      <c r="M2124" s="142">
        <v>15</v>
      </c>
    </row>
    <row r="2125" spans="1:13" x14ac:dyDescent="0.45">
      <c r="A2125" s="142" t="s">
        <v>13561</v>
      </c>
      <c r="B2125" s="142" t="s">
        <v>14865</v>
      </c>
      <c r="C2125" s="142" t="s">
        <v>15860</v>
      </c>
      <c r="D2125" s="142" t="s">
        <v>15861</v>
      </c>
      <c r="E2125" s="142" t="s">
        <v>15849</v>
      </c>
      <c r="F2125" s="142" t="s">
        <v>2137</v>
      </c>
      <c r="G2125" s="142" t="s">
        <v>2136</v>
      </c>
      <c r="H2125" s="142" t="s">
        <v>17975</v>
      </c>
      <c r="I2125" s="142">
        <v>25</v>
      </c>
      <c r="J2125" s="142">
        <v>0</v>
      </c>
      <c r="K2125" s="142">
        <v>0</v>
      </c>
      <c r="L2125" s="142">
        <v>25</v>
      </c>
      <c r="M2125" s="142">
        <v>0</v>
      </c>
    </row>
    <row r="2126" spans="1:13" x14ac:dyDescent="0.45">
      <c r="A2126" s="142" t="s">
        <v>13107</v>
      </c>
      <c r="B2126" s="142" t="s">
        <v>14522</v>
      </c>
      <c r="C2126" s="142" t="s">
        <v>15860</v>
      </c>
      <c r="D2126" s="142" t="s">
        <v>15861</v>
      </c>
      <c r="E2126" s="142" t="s">
        <v>15849</v>
      </c>
      <c r="F2126" s="142" t="s">
        <v>2137</v>
      </c>
      <c r="G2126" s="142" t="s">
        <v>2136</v>
      </c>
      <c r="H2126" s="142" t="s">
        <v>17976</v>
      </c>
      <c r="I2126" s="142">
        <v>130</v>
      </c>
      <c r="J2126" s="142">
        <v>3</v>
      </c>
      <c r="K2126" s="142">
        <v>0</v>
      </c>
      <c r="L2126" s="142">
        <v>127</v>
      </c>
      <c r="M2126" s="142">
        <v>0</v>
      </c>
    </row>
    <row r="2127" spans="1:13" x14ac:dyDescent="0.45">
      <c r="A2127" s="142" t="s">
        <v>13562</v>
      </c>
      <c r="B2127" s="142" t="s">
        <v>15482</v>
      </c>
      <c r="C2127" s="142" t="s">
        <v>15860</v>
      </c>
      <c r="D2127" s="142" t="s">
        <v>15861</v>
      </c>
      <c r="E2127" s="142" t="s">
        <v>15849</v>
      </c>
      <c r="F2127" s="142" t="s">
        <v>2137</v>
      </c>
      <c r="G2127" s="142" t="s">
        <v>2136</v>
      </c>
      <c r="H2127" s="142" t="s">
        <v>17977</v>
      </c>
      <c r="I2127" s="142">
        <v>13</v>
      </c>
      <c r="J2127" s="142">
        <v>0</v>
      </c>
      <c r="K2127" s="142">
        <v>0</v>
      </c>
      <c r="L2127" s="142">
        <v>13</v>
      </c>
      <c r="M2127" s="142">
        <v>0</v>
      </c>
    </row>
    <row r="2128" spans="1:13" x14ac:dyDescent="0.45">
      <c r="A2128" s="142" t="s">
        <v>13042</v>
      </c>
      <c r="B2128" s="142" t="s">
        <v>15489</v>
      </c>
      <c r="C2128" s="142" t="s">
        <v>15847</v>
      </c>
      <c r="D2128" s="142" t="s">
        <v>15848</v>
      </c>
      <c r="E2128" s="142" t="s">
        <v>15849</v>
      </c>
      <c r="F2128" s="142" t="s">
        <v>2137</v>
      </c>
      <c r="G2128" s="142" t="s">
        <v>2136</v>
      </c>
      <c r="H2128" s="142" t="s">
        <v>17978</v>
      </c>
      <c r="I2128" s="142">
        <v>455</v>
      </c>
      <c r="J2128" s="142">
        <v>305</v>
      </c>
      <c r="K2128" s="142">
        <v>0</v>
      </c>
      <c r="L2128" s="142">
        <v>93</v>
      </c>
      <c r="M2128" s="142">
        <v>57</v>
      </c>
    </row>
    <row r="2129" spans="1:13" x14ac:dyDescent="0.45">
      <c r="A2129" s="142" t="s">
        <v>13096</v>
      </c>
      <c r="B2129" s="142" t="s">
        <v>15478</v>
      </c>
      <c r="C2129" s="142" t="s">
        <v>15847</v>
      </c>
      <c r="D2129" s="142" t="s">
        <v>15848</v>
      </c>
      <c r="E2129" s="142" t="s">
        <v>15849</v>
      </c>
      <c r="F2129" s="142" t="s">
        <v>2137</v>
      </c>
      <c r="G2129" s="142" t="s">
        <v>2136</v>
      </c>
      <c r="H2129" s="142" t="s">
        <v>17979</v>
      </c>
      <c r="I2129" s="142">
        <v>555</v>
      </c>
      <c r="J2129" s="142">
        <v>387</v>
      </c>
      <c r="K2129" s="142">
        <v>0</v>
      </c>
      <c r="L2129" s="142">
        <v>64</v>
      </c>
      <c r="M2129" s="142">
        <v>104</v>
      </c>
    </row>
    <row r="2130" spans="1:13" x14ac:dyDescent="0.45">
      <c r="A2130" s="142" t="s">
        <v>13156</v>
      </c>
      <c r="B2130" s="142" t="s">
        <v>14493</v>
      </c>
      <c r="C2130" s="142" t="s">
        <v>15860</v>
      </c>
      <c r="D2130" s="142" t="s">
        <v>15861</v>
      </c>
      <c r="E2130" s="142" t="s">
        <v>15849</v>
      </c>
      <c r="F2130" s="142" t="s">
        <v>2137</v>
      </c>
      <c r="G2130" s="142" t="s">
        <v>2136</v>
      </c>
      <c r="H2130" s="142" t="s">
        <v>17980</v>
      </c>
      <c r="I2130" s="142">
        <v>16</v>
      </c>
      <c r="J2130" s="142">
        <v>1</v>
      </c>
      <c r="K2130" s="142">
        <v>0</v>
      </c>
      <c r="L2130" s="142">
        <v>15</v>
      </c>
      <c r="M2130" s="142">
        <v>0</v>
      </c>
    </row>
    <row r="2131" spans="1:13" x14ac:dyDescent="0.45">
      <c r="A2131" s="142" t="s">
        <v>13016</v>
      </c>
      <c r="B2131" s="142" t="s">
        <v>14535</v>
      </c>
      <c r="C2131" s="142" t="s">
        <v>15860</v>
      </c>
      <c r="D2131" s="142" t="s">
        <v>15861</v>
      </c>
      <c r="E2131" s="142" t="s">
        <v>15849</v>
      </c>
      <c r="F2131" s="142" t="s">
        <v>2137</v>
      </c>
      <c r="G2131" s="142" t="s">
        <v>2136</v>
      </c>
      <c r="H2131" s="142" t="s">
        <v>17981</v>
      </c>
      <c r="I2131" s="142">
        <v>14</v>
      </c>
      <c r="J2131" s="142">
        <v>0</v>
      </c>
      <c r="K2131" s="142">
        <v>0</v>
      </c>
      <c r="L2131" s="142">
        <v>14</v>
      </c>
      <c r="M2131" s="142">
        <v>0</v>
      </c>
    </row>
    <row r="2132" spans="1:13" x14ac:dyDescent="0.45">
      <c r="A2132" s="142" t="s">
        <v>13563</v>
      </c>
      <c r="B2132" s="142" t="s">
        <v>14738</v>
      </c>
      <c r="C2132" s="142" t="s">
        <v>15860</v>
      </c>
      <c r="D2132" s="142" t="s">
        <v>15861</v>
      </c>
      <c r="E2132" s="142" t="s">
        <v>15849</v>
      </c>
      <c r="F2132" s="142" t="s">
        <v>2137</v>
      </c>
      <c r="G2132" s="142" t="s">
        <v>2136</v>
      </c>
      <c r="H2132" s="142" t="s">
        <v>17982</v>
      </c>
      <c r="I2132" s="142">
        <v>7</v>
      </c>
      <c r="J2132" s="142">
        <v>7</v>
      </c>
      <c r="K2132" s="142">
        <v>0</v>
      </c>
      <c r="L2132" s="142">
        <v>0</v>
      </c>
      <c r="M2132" s="142">
        <v>0</v>
      </c>
    </row>
    <row r="2133" spans="1:13" x14ac:dyDescent="0.45">
      <c r="A2133" s="142" t="s">
        <v>13021</v>
      </c>
      <c r="B2133" s="142" t="s">
        <v>15501</v>
      </c>
      <c r="C2133" s="142" t="s">
        <v>15847</v>
      </c>
      <c r="D2133" s="142" t="s">
        <v>15848</v>
      </c>
      <c r="E2133" s="142" t="s">
        <v>15849</v>
      </c>
      <c r="F2133" s="142" t="s">
        <v>10686</v>
      </c>
      <c r="G2133" s="142" t="s">
        <v>10685</v>
      </c>
      <c r="H2133" s="142" t="s">
        <v>17983</v>
      </c>
      <c r="I2133" s="142">
        <v>14</v>
      </c>
      <c r="J2133" s="142">
        <v>0</v>
      </c>
      <c r="K2133" s="142">
        <v>0</v>
      </c>
      <c r="L2133" s="142">
        <v>0</v>
      </c>
      <c r="M2133" s="142">
        <v>14</v>
      </c>
    </row>
    <row r="2134" spans="1:13" x14ac:dyDescent="0.45">
      <c r="A2134" s="142" t="s">
        <v>13023</v>
      </c>
      <c r="B2134" s="142" t="s">
        <v>15571</v>
      </c>
      <c r="C2134" s="142" t="s">
        <v>15847</v>
      </c>
      <c r="D2134" s="142" t="s">
        <v>15848</v>
      </c>
      <c r="E2134" s="142" t="s">
        <v>15849</v>
      </c>
      <c r="F2134" s="142" t="s">
        <v>10686</v>
      </c>
      <c r="G2134" s="142" t="s">
        <v>10685</v>
      </c>
      <c r="H2134" s="142" t="s">
        <v>17984</v>
      </c>
      <c r="I2134" s="142">
        <v>184</v>
      </c>
      <c r="J2134" s="142">
        <v>0</v>
      </c>
      <c r="K2134" s="142">
        <v>0</v>
      </c>
      <c r="L2134" s="142">
        <v>184</v>
      </c>
      <c r="M2134" s="142">
        <v>0</v>
      </c>
    </row>
    <row r="2135" spans="1:13" x14ac:dyDescent="0.45">
      <c r="A2135" s="142" t="s">
        <v>13226</v>
      </c>
      <c r="B2135" s="142" t="s">
        <v>14495</v>
      </c>
      <c r="C2135" s="142" t="s">
        <v>15860</v>
      </c>
      <c r="D2135" s="142" t="s">
        <v>15861</v>
      </c>
      <c r="E2135" s="142" t="s">
        <v>15849</v>
      </c>
      <c r="F2135" s="142" t="s">
        <v>10686</v>
      </c>
      <c r="G2135" s="142" t="s">
        <v>10685</v>
      </c>
      <c r="H2135" s="142" t="s">
        <v>17985</v>
      </c>
      <c r="I2135" s="142">
        <v>156</v>
      </c>
      <c r="J2135" s="142">
        <v>0</v>
      </c>
      <c r="K2135" s="142">
        <v>156</v>
      </c>
      <c r="L2135" s="142">
        <v>0</v>
      </c>
      <c r="M2135" s="142">
        <v>0</v>
      </c>
    </row>
    <row r="2136" spans="1:13" x14ac:dyDescent="0.45">
      <c r="A2136" s="142" t="s">
        <v>13082</v>
      </c>
      <c r="B2136" s="142" t="s">
        <v>14478</v>
      </c>
      <c r="C2136" s="142" t="s">
        <v>15860</v>
      </c>
      <c r="D2136" s="142" t="s">
        <v>15861</v>
      </c>
      <c r="E2136" s="142" t="s">
        <v>15849</v>
      </c>
      <c r="F2136" s="142" t="s">
        <v>10686</v>
      </c>
      <c r="G2136" s="142" t="s">
        <v>10685</v>
      </c>
      <c r="H2136" s="142" t="s">
        <v>17986</v>
      </c>
      <c r="I2136" s="142">
        <v>15</v>
      </c>
      <c r="J2136" s="142">
        <v>0</v>
      </c>
      <c r="K2136" s="142">
        <v>0</v>
      </c>
      <c r="L2136" s="142">
        <v>15</v>
      </c>
      <c r="M2136" s="142">
        <v>0</v>
      </c>
    </row>
    <row r="2137" spans="1:13" x14ac:dyDescent="0.45">
      <c r="A2137" s="142" t="s">
        <v>13065</v>
      </c>
      <c r="B2137" s="142" t="s">
        <v>14497</v>
      </c>
      <c r="C2137" s="142" t="s">
        <v>15847</v>
      </c>
      <c r="D2137" s="142" t="s">
        <v>15848</v>
      </c>
      <c r="E2137" s="142" t="s">
        <v>15849</v>
      </c>
      <c r="F2137" s="142" t="s">
        <v>10686</v>
      </c>
      <c r="G2137" s="142" t="s">
        <v>10685</v>
      </c>
      <c r="H2137" s="142" t="s">
        <v>17987</v>
      </c>
      <c r="I2137" s="142">
        <v>9</v>
      </c>
      <c r="J2137" s="142">
        <v>0</v>
      </c>
      <c r="K2137" s="142">
        <v>0</v>
      </c>
      <c r="L2137" s="142">
        <v>9</v>
      </c>
      <c r="M2137" s="142">
        <v>0</v>
      </c>
    </row>
    <row r="2138" spans="1:13" x14ac:dyDescent="0.45">
      <c r="A2138" s="142" t="s">
        <v>13237</v>
      </c>
      <c r="B2138" s="142" t="s">
        <v>14643</v>
      </c>
      <c r="C2138" s="142" t="s">
        <v>15847</v>
      </c>
      <c r="D2138" s="142" t="s">
        <v>15848</v>
      </c>
      <c r="E2138" s="142" t="s">
        <v>15849</v>
      </c>
      <c r="F2138" s="142" t="s">
        <v>10686</v>
      </c>
      <c r="G2138" s="142" t="s">
        <v>10685</v>
      </c>
      <c r="H2138" s="142" t="s">
        <v>17988</v>
      </c>
      <c r="I2138" s="142">
        <v>16358</v>
      </c>
      <c r="J2138" s="142">
        <v>15647</v>
      </c>
      <c r="K2138" s="142">
        <v>0</v>
      </c>
      <c r="L2138" s="142">
        <v>568</v>
      </c>
      <c r="M2138" s="142">
        <v>143</v>
      </c>
    </row>
    <row r="2139" spans="1:13" x14ac:dyDescent="0.45">
      <c r="A2139" s="142" t="s">
        <v>13000</v>
      </c>
      <c r="B2139" s="142" t="s">
        <v>14610</v>
      </c>
      <c r="C2139" s="142" t="s">
        <v>15847</v>
      </c>
      <c r="D2139" s="142" t="s">
        <v>15848</v>
      </c>
      <c r="E2139" s="142" t="s">
        <v>15849</v>
      </c>
      <c r="F2139" s="142" t="s">
        <v>10686</v>
      </c>
      <c r="G2139" s="142" t="s">
        <v>10685</v>
      </c>
      <c r="H2139" s="142" t="s">
        <v>17989</v>
      </c>
      <c r="I2139" s="142">
        <v>533</v>
      </c>
      <c r="J2139" s="142">
        <v>482</v>
      </c>
      <c r="K2139" s="142">
        <v>0</v>
      </c>
      <c r="L2139" s="142">
        <v>1</v>
      </c>
      <c r="M2139" s="142">
        <v>50</v>
      </c>
    </row>
    <row r="2140" spans="1:13" x14ac:dyDescent="0.45">
      <c r="A2140" s="142" t="s">
        <v>13564</v>
      </c>
      <c r="B2140" s="142" t="s">
        <v>14736</v>
      </c>
      <c r="C2140" s="142" t="s">
        <v>15860</v>
      </c>
      <c r="D2140" s="142" t="s">
        <v>15861</v>
      </c>
      <c r="E2140" s="142" t="s">
        <v>15849</v>
      </c>
      <c r="F2140" s="142" t="s">
        <v>10686</v>
      </c>
      <c r="G2140" s="142" t="s">
        <v>10685</v>
      </c>
      <c r="H2140" s="142" t="s">
        <v>17990</v>
      </c>
      <c r="I2140" s="142">
        <v>119</v>
      </c>
      <c r="J2140" s="142">
        <v>0</v>
      </c>
      <c r="K2140" s="142">
        <v>0</v>
      </c>
      <c r="L2140" s="142">
        <v>119</v>
      </c>
      <c r="M2140" s="142">
        <v>0</v>
      </c>
    </row>
    <row r="2141" spans="1:13" x14ac:dyDescent="0.45">
      <c r="A2141" s="142" t="s">
        <v>13119</v>
      </c>
      <c r="B2141" s="142" t="s">
        <v>14451</v>
      </c>
      <c r="C2141" s="142" t="s">
        <v>15860</v>
      </c>
      <c r="D2141" s="142" t="s">
        <v>15861</v>
      </c>
      <c r="E2141" s="142" t="s">
        <v>15849</v>
      </c>
      <c r="F2141" s="142" t="s">
        <v>10686</v>
      </c>
      <c r="G2141" s="142" t="s">
        <v>10685</v>
      </c>
      <c r="H2141" s="142" t="s">
        <v>17991</v>
      </c>
      <c r="I2141" s="142">
        <v>7</v>
      </c>
      <c r="J2141" s="142">
        <v>0</v>
      </c>
      <c r="K2141" s="142">
        <v>0</v>
      </c>
      <c r="L2141" s="142">
        <v>7</v>
      </c>
      <c r="M2141" s="142">
        <v>0</v>
      </c>
    </row>
    <row r="2142" spans="1:13" x14ac:dyDescent="0.45">
      <c r="A2142" s="142" t="s">
        <v>13310</v>
      </c>
      <c r="B2142" s="142" t="s">
        <v>14558</v>
      </c>
      <c r="C2142" s="142" t="s">
        <v>15860</v>
      </c>
      <c r="D2142" s="142" t="s">
        <v>15861</v>
      </c>
      <c r="E2142" s="142" t="s">
        <v>15849</v>
      </c>
      <c r="F2142" s="142" t="s">
        <v>10686</v>
      </c>
      <c r="G2142" s="142" t="s">
        <v>10685</v>
      </c>
      <c r="H2142" s="142" t="s">
        <v>17992</v>
      </c>
      <c r="I2142" s="142">
        <v>8</v>
      </c>
      <c r="J2142" s="142">
        <v>0</v>
      </c>
      <c r="K2142" s="142">
        <v>0</v>
      </c>
      <c r="L2142" s="142">
        <v>8</v>
      </c>
      <c r="M2142" s="142">
        <v>0</v>
      </c>
    </row>
    <row r="2143" spans="1:13" x14ac:dyDescent="0.45">
      <c r="A2143" s="142" t="s">
        <v>13027</v>
      </c>
      <c r="B2143" s="142" t="s">
        <v>14562</v>
      </c>
      <c r="C2143" s="142" t="s">
        <v>15847</v>
      </c>
      <c r="D2143" s="142" t="s">
        <v>15848</v>
      </c>
      <c r="E2143" s="142" t="s">
        <v>15849</v>
      </c>
      <c r="F2143" s="142" t="s">
        <v>10686</v>
      </c>
      <c r="G2143" s="142" t="s">
        <v>10685</v>
      </c>
      <c r="H2143" s="142" t="s">
        <v>17993</v>
      </c>
      <c r="I2143" s="142">
        <v>6</v>
      </c>
      <c r="J2143" s="142">
        <v>0</v>
      </c>
      <c r="K2143" s="142">
        <v>0</v>
      </c>
      <c r="L2143" s="142">
        <v>6</v>
      </c>
      <c r="M2143" s="142">
        <v>0</v>
      </c>
    </row>
    <row r="2144" spans="1:13" x14ac:dyDescent="0.45">
      <c r="A2144" s="142" t="s">
        <v>13243</v>
      </c>
      <c r="B2144" s="142" t="s">
        <v>15560</v>
      </c>
      <c r="C2144" s="142" t="s">
        <v>15847</v>
      </c>
      <c r="D2144" s="142" t="s">
        <v>15848</v>
      </c>
      <c r="E2144" s="142" t="s">
        <v>15849</v>
      </c>
      <c r="F2144" s="142" t="s">
        <v>10686</v>
      </c>
      <c r="G2144" s="142" t="s">
        <v>10685</v>
      </c>
      <c r="H2144" s="142" t="s">
        <v>17994</v>
      </c>
      <c r="I2144" s="142">
        <v>606</v>
      </c>
      <c r="J2144" s="142">
        <v>478</v>
      </c>
      <c r="K2144" s="142">
        <v>0</v>
      </c>
      <c r="L2144" s="142">
        <v>115</v>
      </c>
      <c r="M2144" s="142">
        <v>13</v>
      </c>
    </row>
    <row r="2145" spans="1:13" x14ac:dyDescent="0.45">
      <c r="A2145" s="142" t="s">
        <v>13244</v>
      </c>
      <c r="B2145" s="142" t="s">
        <v>14546</v>
      </c>
      <c r="C2145" s="142" t="s">
        <v>15860</v>
      </c>
      <c r="D2145" s="142" t="s">
        <v>15861</v>
      </c>
      <c r="E2145" s="142" t="s">
        <v>15849</v>
      </c>
      <c r="F2145" s="142" t="s">
        <v>10686</v>
      </c>
      <c r="G2145" s="142" t="s">
        <v>10685</v>
      </c>
      <c r="H2145" s="142" t="s">
        <v>17995</v>
      </c>
      <c r="I2145" s="142">
        <v>49</v>
      </c>
      <c r="J2145" s="142">
        <v>8</v>
      </c>
      <c r="K2145" s="142">
        <v>0</v>
      </c>
      <c r="L2145" s="142">
        <v>41</v>
      </c>
      <c r="M2145" s="142">
        <v>0</v>
      </c>
    </row>
    <row r="2146" spans="1:13" x14ac:dyDescent="0.45">
      <c r="A2146" s="142" t="s">
        <v>13028</v>
      </c>
      <c r="B2146" s="142" t="s">
        <v>14462</v>
      </c>
      <c r="C2146" s="142" t="s">
        <v>15847</v>
      </c>
      <c r="D2146" s="142" t="s">
        <v>15848</v>
      </c>
      <c r="E2146" s="142" t="s">
        <v>15849</v>
      </c>
      <c r="F2146" s="142" t="s">
        <v>10686</v>
      </c>
      <c r="G2146" s="142" t="s">
        <v>10685</v>
      </c>
      <c r="H2146" s="142" t="s">
        <v>17996</v>
      </c>
      <c r="I2146" s="142">
        <v>11</v>
      </c>
      <c r="J2146" s="142">
        <v>0</v>
      </c>
      <c r="K2146" s="142">
        <v>0</v>
      </c>
      <c r="L2146" s="142">
        <v>0</v>
      </c>
      <c r="M2146" s="142">
        <v>11</v>
      </c>
    </row>
    <row r="2147" spans="1:13" x14ac:dyDescent="0.45">
      <c r="A2147" s="142" t="s">
        <v>13002</v>
      </c>
      <c r="B2147" s="142" t="s">
        <v>15376</v>
      </c>
      <c r="C2147" s="142" t="s">
        <v>15847</v>
      </c>
      <c r="D2147" s="142" t="s">
        <v>15848</v>
      </c>
      <c r="E2147" s="142" t="s">
        <v>15849</v>
      </c>
      <c r="F2147" s="142" t="s">
        <v>10686</v>
      </c>
      <c r="G2147" s="142" t="s">
        <v>10685</v>
      </c>
      <c r="H2147" s="142" t="s">
        <v>17997</v>
      </c>
      <c r="I2147" s="142">
        <v>6</v>
      </c>
      <c r="J2147" s="142">
        <v>0</v>
      </c>
      <c r="K2147" s="142">
        <v>0</v>
      </c>
      <c r="L2147" s="142">
        <v>6</v>
      </c>
      <c r="M2147" s="142">
        <v>0</v>
      </c>
    </row>
    <row r="2148" spans="1:13" x14ac:dyDescent="0.45">
      <c r="A2148" s="142" t="s">
        <v>13003</v>
      </c>
      <c r="B2148" s="142" t="s">
        <v>15245</v>
      </c>
      <c r="C2148" s="142" t="s">
        <v>15847</v>
      </c>
      <c r="D2148" s="142" t="s">
        <v>15848</v>
      </c>
      <c r="E2148" s="142" t="s">
        <v>15849</v>
      </c>
      <c r="F2148" s="142" t="s">
        <v>10686</v>
      </c>
      <c r="G2148" s="142" t="s">
        <v>10685</v>
      </c>
      <c r="H2148" s="142" t="s">
        <v>17998</v>
      </c>
      <c r="I2148" s="142">
        <v>118</v>
      </c>
      <c r="J2148" s="142">
        <v>0</v>
      </c>
      <c r="K2148" s="142">
        <v>0</v>
      </c>
      <c r="L2148" s="142">
        <v>118</v>
      </c>
      <c r="M2148" s="142">
        <v>0</v>
      </c>
    </row>
    <row r="2149" spans="1:13" x14ac:dyDescent="0.45">
      <c r="A2149" s="142" t="s">
        <v>13420</v>
      </c>
      <c r="B2149" s="142" t="s">
        <v>14576</v>
      </c>
      <c r="C2149" s="142" t="s">
        <v>15860</v>
      </c>
      <c r="D2149" s="142" t="s">
        <v>15861</v>
      </c>
      <c r="E2149" s="142" t="s">
        <v>15849</v>
      </c>
      <c r="F2149" s="142" t="s">
        <v>10686</v>
      </c>
      <c r="G2149" s="142" t="s">
        <v>10685</v>
      </c>
      <c r="H2149" s="142" t="s">
        <v>17999</v>
      </c>
      <c r="I2149" s="142">
        <v>3</v>
      </c>
      <c r="J2149" s="142">
        <v>0</v>
      </c>
      <c r="K2149" s="142">
        <v>0</v>
      </c>
      <c r="L2149" s="142">
        <v>3</v>
      </c>
      <c r="M2149" s="142">
        <v>0</v>
      </c>
    </row>
    <row r="2150" spans="1:13" x14ac:dyDescent="0.45">
      <c r="A2150" s="142" t="s">
        <v>13066</v>
      </c>
      <c r="B2150" s="142" t="s">
        <v>14459</v>
      </c>
      <c r="C2150" s="142" t="s">
        <v>15847</v>
      </c>
      <c r="D2150" s="142" t="s">
        <v>15848</v>
      </c>
      <c r="E2150" s="142" t="s">
        <v>15849</v>
      </c>
      <c r="F2150" s="142" t="s">
        <v>10686</v>
      </c>
      <c r="G2150" s="142" t="s">
        <v>10685</v>
      </c>
      <c r="H2150" s="142" t="s">
        <v>18000</v>
      </c>
      <c r="I2150" s="142">
        <v>104</v>
      </c>
      <c r="J2150" s="142">
        <v>0</v>
      </c>
      <c r="K2150" s="142">
        <v>0</v>
      </c>
      <c r="L2150" s="142">
        <v>104</v>
      </c>
      <c r="M2150" s="142">
        <v>0</v>
      </c>
    </row>
    <row r="2151" spans="1:13" x14ac:dyDescent="0.45">
      <c r="A2151" s="142" t="s">
        <v>13201</v>
      </c>
      <c r="B2151" s="142" t="s">
        <v>14481</v>
      </c>
      <c r="C2151" s="142" t="s">
        <v>15860</v>
      </c>
      <c r="D2151" s="142" t="s">
        <v>15861</v>
      </c>
      <c r="E2151" s="142" t="s">
        <v>15849</v>
      </c>
      <c r="F2151" s="142" t="s">
        <v>10686</v>
      </c>
      <c r="G2151" s="142" t="s">
        <v>10685</v>
      </c>
      <c r="H2151" s="142" t="s">
        <v>18001</v>
      </c>
      <c r="I2151" s="142">
        <v>39</v>
      </c>
      <c r="J2151" s="142">
        <v>0</v>
      </c>
      <c r="K2151" s="142">
        <v>0</v>
      </c>
      <c r="L2151" s="142">
        <v>39</v>
      </c>
      <c r="M2151" s="142">
        <v>0</v>
      </c>
    </row>
    <row r="2152" spans="1:13" x14ac:dyDescent="0.45">
      <c r="A2152" s="142" t="s">
        <v>13248</v>
      </c>
      <c r="B2152" s="142" t="s">
        <v>15463</v>
      </c>
      <c r="C2152" s="142" t="s">
        <v>15847</v>
      </c>
      <c r="D2152" s="142" t="s">
        <v>15848</v>
      </c>
      <c r="E2152" s="142" t="s">
        <v>15849</v>
      </c>
      <c r="F2152" s="142" t="s">
        <v>10686</v>
      </c>
      <c r="G2152" s="142" t="s">
        <v>10685</v>
      </c>
      <c r="H2152" s="142" t="s">
        <v>18002</v>
      </c>
      <c r="I2152" s="142">
        <v>3553</v>
      </c>
      <c r="J2152" s="142">
        <v>2821</v>
      </c>
      <c r="K2152" s="142">
        <v>0</v>
      </c>
      <c r="L2152" s="142">
        <v>538</v>
      </c>
      <c r="M2152" s="142">
        <v>194</v>
      </c>
    </row>
    <row r="2153" spans="1:13" x14ac:dyDescent="0.45">
      <c r="A2153" s="142" t="s">
        <v>13250</v>
      </c>
      <c r="B2153" s="142" t="s">
        <v>15395</v>
      </c>
      <c r="C2153" s="142" t="s">
        <v>15847</v>
      </c>
      <c r="D2153" s="142" t="s">
        <v>15848</v>
      </c>
      <c r="E2153" s="142" t="s">
        <v>15849</v>
      </c>
      <c r="F2153" s="142" t="s">
        <v>10686</v>
      </c>
      <c r="G2153" s="142" t="s">
        <v>10685</v>
      </c>
      <c r="H2153" s="142" t="s">
        <v>18003</v>
      </c>
      <c r="I2153" s="142">
        <v>32</v>
      </c>
      <c r="J2153" s="142">
        <v>27</v>
      </c>
      <c r="K2153" s="142">
        <v>0</v>
      </c>
      <c r="L2153" s="142">
        <v>5</v>
      </c>
      <c r="M2153" s="142">
        <v>0</v>
      </c>
    </row>
    <row r="2154" spans="1:13" x14ac:dyDescent="0.45">
      <c r="A2154" s="142" t="s">
        <v>13008</v>
      </c>
      <c r="B2154" s="142" t="s">
        <v>15411</v>
      </c>
      <c r="C2154" s="142" t="s">
        <v>15847</v>
      </c>
      <c r="D2154" s="142" t="s">
        <v>15848</v>
      </c>
      <c r="E2154" s="142" t="s">
        <v>15849</v>
      </c>
      <c r="F2154" s="142" t="s">
        <v>10686</v>
      </c>
      <c r="G2154" s="142" t="s">
        <v>10685</v>
      </c>
      <c r="H2154" s="142" t="s">
        <v>18004</v>
      </c>
      <c r="I2154" s="142">
        <v>147</v>
      </c>
      <c r="J2154" s="142">
        <v>33</v>
      </c>
      <c r="K2154" s="142">
        <v>0</v>
      </c>
      <c r="L2154" s="142">
        <v>0</v>
      </c>
      <c r="M2154" s="142">
        <v>114</v>
      </c>
    </row>
    <row r="2155" spans="1:13" x14ac:dyDescent="0.45">
      <c r="A2155" s="142" t="s">
        <v>13077</v>
      </c>
      <c r="B2155" s="142" t="s">
        <v>15407</v>
      </c>
      <c r="C2155" s="142" t="s">
        <v>15847</v>
      </c>
      <c r="D2155" s="142" t="s">
        <v>15848</v>
      </c>
      <c r="E2155" s="142" t="s">
        <v>15849</v>
      </c>
      <c r="F2155" s="142" t="s">
        <v>10686</v>
      </c>
      <c r="G2155" s="142" t="s">
        <v>10685</v>
      </c>
      <c r="H2155" s="142" t="s">
        <v>18005</v>
      </c>
      <c r="I2155" s="142">
        <v>1650</v>
      </c>
      <c r="J2155" s="142">
        <v>1367</v>
      </c>
      <c r="K2155" s="142">
        <v>0</v>
      </c>
      <c r="L2155" s="142">
        <v>283</v>
      </c>
      <c r="M2155" s="142">
        <v>0</v>
      </c>
    </row>
    <row r="2156" spans="1:13" x14ac:dyDescent="0.45">
      <c r="A2156" s="142" t="s">
        <v>13031</v>
      </c>
      <c r="B2156" s="142" t="s">
        <v>14620</v>
      </c>
      <c r="C2156" s="142" t="s">
        <v>15860</v>
      </c>
      <c r="D2156" s="142" t="s">
        <v>15861</v>
      </c>
      <c r="E2156" s="142" t="s">
        <v>15849</v>
      </c>
      <c r="F2156" s="142" t="s">
        <v>10686</v>
      </c>
      <c r="G2156" s="142" t="s">
        <v>10685</v>
      </c>
      <c r="H2156" s="142" t="s">
        <v>18006</v>
      </c>
      <c r="I2156" s="142">
        <v>33</v>
      </c>
      <c r="J2156" s="142">
        <v>0</v>
      </c>
      <c r="K2156" s="142">
        <v>0</v>
      </c>
      <c r="L2156" s="142">
        <v>33</v>
      </c>
      <c r="M2156" s="142">
        <v>0</v>
      </c>
    </row>
    <row r="2157" spans="1:13" x14ac:dyDescent="0.45">
      <c r="A2157" s="142" t="s">
        <v>13055</v>
      </c>
      <c r="B2157" s="142" t="s">
        <v>14595</v>
      </c>
      <c r="C2157" s="142" t="s">
        <v>15847</v>
      </c>
      <c r="D2157" s="142" t="s">
        <v>15848</v>
      </c>
      <c r="E2157" s="142" t="s">
        <v>15849</v>
      </c>
      <c r="F2157" s="142" t="s">
        <v>10686</v>
      </c>
      <c r="G2157" s="142" t="s">
        <v>10685</v>
      </c>
      <c r="H2157" s="142" t="s">
        <v>18007</v>
      </c>
      <c r="I2157" s="142">
        <v>84</v>
      </c>
      <c r="J2157" s="142">
        <v>71</v>
      </c>
      <c r="K2157" s="142">
        <v>0</v>
      </c>
      <c r="L2157" s="142">
        <v>13</v>
      </c>
      <c r="M2157" s="142">
        <v>0</v>
      </c>
    </row>
    <row r="2158" spans="1:13" x14ac:dyDescent="0.45">
      <c r="A2158" s="142" t="s">
        <v>13033</v>
      </c>
      <c r="B2158" s="142" t="s">
        <v>15276</v>
      </c>
      <c r="C2158" s="142" t="s">
        <v>15847</v>
      </c>
      <c r="D2158" s="142" t="s">
        <v>15848</v>
      </c>
      <c r="E2158" s="142" t="s">
        <v>15849</v>
      </c>
      <c r="F2158" s="142" t="s">
        <v>10686</v>
      </c>
      <c r="G2158" s="142" t="s">
        <v>10685</v>
      </c>
      <c r="H2158" s="142" t="s">
        <v>18008</v>
      </c>
      <c r="I2158" s="142">
        <v>7</v>
      </c>
      <c r="J2158" s="142">
        <v>0</v>
      </c>
      <c r="K2158" s="142">
        <v>0</v>
      </c>
      <c r="L2158" s="142">
        <v>0</v>
      </c>
      <c r="M2158" s="142">
        <v>7</v>
      </c>
    </row>
    <row r="2159" spans="1:13" x14ac:dyDescent="0.45">
      <c r="A2159" s="142" t="s">
        <v>13105</v>
      </c>
      <c r="B2159" s="142" t="s">
        <v>14654</v>
      </c>
      <c r="C2159" s="142" t="s">
        <v>15847</v>
      </c>
      <c r="D2159" s="142" t="s">
        <v>15848</v>
      </c>
      <c r="E2159" s="142" t="s">
        <v>15849</v>
      </c>
      <c r="F2159" s="142" t="s">
        <v>10686</v>
      </c>
      <c r="G2159" s="142" t="s">
        <v>10685</v>
      </c>
      <c r="H2159" s="142" t="s">
        <v>18009</v>
      </c>
      <c r="I2159" s="142">
        <v>9</v>
      </c>
      <c r="J2159" s="142">
        <v>0</v>
      </c>
      <c r="K2159" s="142">
        <v>0</v>
      </c>
      <c r="L2159" s="142">
        <v>0</v>
      </c>
      <c r="M2159" s="142">
        <v>9</v>
      </c>
    </row>
    <row r="2160" spans="1:13" x14ac:dyDescent="0.45">
      <c r="A2160" s="142" t="s">
        <v>13009</v>
      </c>
      <c r="B2160" s="142" t="s">
        <v>15256</v>
      </c>
      <c r="C2160" s="142" t="s">
        <v>15847</v>
      </c>
      <c r="D2160" s="142" t="s">
        <v>15848</v>
      </c>
      <c r="E2160" s="142" t="s">
        <v>15849</v>
      </c>
      <c r="F2160" s="142" t="s">
        <v>10686</v>
      </c>
      <c r="G2160" s="142" t="s">
        <v>10685</v>
      </c>
      <c r="H2160" s="142" t="s">
        <v>18010</v>
      </c>
      <c r="I2160" s="142">
        <v>9</v>
      </c>
      <c r="J2160" s="142">
        <v>0</v>
      </c>
      <c r="K2160" s="142">
        <v>0</v>
      </c>
      <c r="L2160" s="142">
        <v>9</v>
      </c>
      <c r="M2160" s="142">
        <v>0</v>
      </c>
    </row>
    <row r="2161" spans="1:13" x14ac:dyDescent="0.45">
      <c r="A2161" s="142" t="s">
        <v>13011</v>
      </c>
      <c r="B2161" s="142" t="s">
        <v>14695</v>
      </c>
      <c r="C2161" s="142" t="s">
        <v>15847</v>
      </c>
      <c r="D2161" s="142" t="s">
        <v>15848</v>
      </c>
      <c r="E2161" s="142" t="s">
        <v>15849</v>
      </c>
      <c r="F2161" s="142" t="s">
        <v>10686</v>
      </c>
      <c r="G2161" s="142" t="s">
        <v>10685</v>
      </c>
      <c r="H2161" s="142" t="s">
        <v>18011</v>
      </c>
      <c r="I2161" s="142">
        <v>101</v>
      </c>
      <c r="J2161" s="142">
        <v>76</v>
      </c>
      <c r="K2161" s="142">
        <v>0</v>
      </c>
      <c r="L2161" s="142">
        <v>0</v>
      </c>
      <c r="M2161" s="142">
        <v>25</v>
      </c>
    </row>
    <row r="2162" spans="1:13" x14ac:dyDescent="0.45">
      <c r="A2162" s="142" t="s">
        <v>13257</v>
      </c>
      <c r="B2162" s="142" t="s">
        <v>15219</v>
      </c>
      <c r="C2162" s="142" t="s">
        <v>15860</v>
      </c>
      <c r="D2162" s="142" t="s">
        <v>15861</v>
      </c>
      <c r="E2162" s="142" t="s">
        <v>15849</v>
      </c>
      <c r="F2162" s="142" t="s">
        <v>10686</v>
      </c>
      <c r="G2162" s="142" t="s">
        <v>10685</v>
      </c>
      <c r="H2162" s="142" t="s">
        <v>18012</v>
      </c>
      <c r="I2162" s="142">
        <v>51</v>
      </c>
      <c r="J2162" s="142">
        <v>0</v>
      </c>
      <c r="K2162" s="142">
        <v>0</v>
      </c>
      <c r="L2162" s="142">
        <v>51</v>
      </c>
      <c r="M2162" s="142">
        <v>0</v>
      </c>
    </row>
    <row r="2163" spans="1:13" x14ac:dyDescent="0.45">
      <c r="A2163" s="142" t="s">
        <v>13258</v>
      </c>
      <c r="B2163" s="142" t="s">
        <v>15379</v>
      </c>
      <c r="C2163" s="142" t="s">
        <v>15860</v>
      </c>
      <c r="D2163" s="142" t="s">
        <v>15861</v>
      </c>
      <c r="E2163" s="142" t="s">
        <v>15849</v>
      </c>
      <c r="F2163" s="142" t="s">
        <v>10686</v>
      </c>
      <c r="G2163" s="142" t="s">
        <v>10685</v>
      </c>
      <c r="H2163" s="142" t="s">
        <v>18013</v>
      </c>
      <c r="I2163" s="142">
        <v>20</v>
      </c>
      <c r="J2163" s="142">
        <v>0</v>
      </c>
      <c r="K2163" s="142">
        <v>0</v>
      </c>
      <c r="L2163" s="142">
        <v>20</v>
      </c>
      <c r="M2163" s="142">
        <v>0</v>
      </c>
    </row>
    <row r="2164" spans="1:13" x14ac:dyDescent="0.45">
      <c r="A2164" s="142" t="s">
        <v>13565</v>
      </c>
      <c r="B2164" s="142" t="s">
        <v>14987</v>
      </c>
      <c r="C2164" s="142" t="s">
        <v>15860</v>
      </c>
      <c r="D2164" s="142" t="s">
        <v>15861</v>
      </c>
      <c r="E2164" s="142" t="s">
        <v>15849</v>
      </c>
      <c r="F2164" s="142" t="s">
        <v>10686</v>
      </c>
      <c r="G2164" s="142" t="s">
        <v>10685</v>
      </c>
      <c r="H2164" s="142" t="s">
        <v>18014</v>
      </c>
      <c r="I2164" s="142">
        <v>69</v>
      </c>
      <c r="J2164" s="142">
        <v>69</v>
      </c>
      <c r="K2164" s="142">
        <v>0</v>
      </c>
      <c r="L2164" s="142">
        <v>0</v>
      </c>
      <c r="M2164" s="142">
        <v>0</v>
      </c>
    </row>
    <row r="2165" spans="1:13" x14ac:dyDescent="0.45">
      <c r="A2165" s="142" t="s">
        <v>13012</v>
      </c>
      <c r="B2165" s="142" t="s">
        <v>15337</v>
      </c>
      <c r="C2165" s="142" t="s">
        <v>15847</v>
      </c>
      <c r="D2165" s="142" t="s">
        <v>15848</v>
      </c>
      <c r="E2165" s="142" t="s">
        <v>15849</v>
      </c>
      <c r="F2165" s="142" t="s">
        <v>10686</v>
      </c>
      <c r="G2165" s="142" t="s">
        <v>10685</v>
      </c>
      <c r="H2165" s="142" t="s">
        <v>18015</v>
      </c>
      <c r="I2165" s="142">
        <v>1400</v>
      </c>
      <c r="J2165" s="142">
        <v>1111</v>
      </c>
      <c r="K2165" s="142">
        <v>0</v>
      </c>
      <c r="L2165" s="142">
        <v>131</v>
      </c>
      <c r="M2165" s="142">
        <v>158</v>
      </c>
    </row>
    <row r="2166" spans="1:13" x14ac:dyDescent="0.45">
      <c r="A2166" s="142" t="s">
        <v>13467</v>
      </c>
      <c r="B2166" s="142" t="s">
        <v>14585</v>
      </c>
      <c r="C2166" s="142" t="s">
        <v>15860</v>
      </c>
      <c r="D2166" s="142" t="s">
        <v>15861</v>
      </c>
      <c r="E2166" s="142" t="s">
        <v>15849</v>
      </c>
      <c r="F2166" s="142" t="s">
        <v>10686</v>
      </c>
      <c r="G2166" s="142" t="s">
        <v>10685</v>
      </c>
      <c r="H2166" s="142" t="s">
        <v>18016</v>
      </c>
      <c r="I2166" s="142">
        <v>39</v>
      </c>
      <c r="J2166" s="142">
        <v>0</v>
      </c>
      <c r="K2166" s="142">
        <v>0</v>
      </c>
      <c r="L2166" s="142">
        <v>39</v>
      </c>
      <c r="M2166" s="142">
        <v>0</v>
      </c>
    </row>
    <row r="2167" spans="1:13" x14ac:dyDescent="0.45">
      <c r="A2167" s="142" t="s">
        <v>13206</v>
      </c>
      <c r="B2167" s="142" t="s">
        <v>14489</v>
      </c>
      <c r="C2167" s="142" t="s">
        <v>15860</v>
      </c>
      <c r="D2167" s="142" t="s">
        <v>15861</v>
      </c>
      <c r="E2167" s="142" t="s">
        <v>15849</v>
      </c>
      <c r="F2167" s="142" t="s">
        <v>10686</v>
      </c>
      <c r="G2167" s="142" t="s">
        <v>10685</v>
      </c>
      <c r="H2167" s="142" t="s">
        <v>18017</v>
      </c>
      <c r="I2167" s="142">
        <v>94</v>
      </c>
      <c r="J2167" s="142">
        <v>0</v>
      </c>
      <c r="K2167" s="142">
        <v>0</v>
      </c>
      <c r="L2167" s="142">
        <v>94</v>
      </c>
      <c r="M2167" s="142">
        <v>0</v>
      </c>
    </row>
    <row r="2168" spans="1:13" x14ac:dyDescent="0.45">
      <c r="A2168" s="142" t="s">
        <v>13222</v>
      </c>
      <c r="B2168" s="142" t="s">
        <v>14449</v>
      </c>
      <c r="C2168" s="142" t="s">
        <v>15860</v>
      </c>
      <c r="D2168" s="142" t="s">
        <v>15861</v>
      </c>
      <c r="E2168" s="142" t="s">
        <v>15849</v>
      </c>
      <c r="F2168" s="142" t="s">
        <v>10686</v>
      </c>
      <c r="G2168" s="142" t="s">
        <v>10685</v>
      </c>
      <c r="H2168" s="142" t="s">
        <v>18018</v>
      </c>
      <c r="I2168" s="142">
        <v>8</v>
      </c>
      <c r="J2168" s="142">
        <v>0</v>
      </c>
      <c r="K2168" s="142">
        <v>0</v>
      </c>
      <c r="L2168" s="142">
        <v>8</v>
      </c>
      <c r="M2168" s="142">
        <v>0</v>
      </c>
    </row>
    <row r="2169" spans="1:13" x14ac:dyDescent="0.45">
      <c r="A2169" s="142" t="s">
        <v>13166</v>
      </c>
      <c r="B2169" s="142" t="s">
        <v>15576</v>
      </c>
      <c r="C2169" s="142" t="s">
        <v>15847</v>
      </c>
      <c r="D2169" s="142" t="s">
        <v>15848</v>
      </c>
      <c r="E2169" s="142" t="s">
        <v>15849</v>
      </c>
      <c r="F2169" s="142" t="s">
        <v>9029</v>
      </c>
      <c r="G2169" s="142" t="s">
        <v>9028</v>
      </c>
      <c r="H2169" s="142" t="s">
        <v>18019</v>
      </c>
      <c r="I2169" s="142">
        <v>124</v>
      </c>
      <c r="J2169" s="142">
        <v>84</v>
      </c>
      <c r="K2169" s="142">
        <v>0</v>
      </c>
      <c r="L2169" s="142">
        <v>0</v>
      </c>
      <c r="M2169" s="142">
        <v>40</v>
      </c>
    </row>
    <row r="2170" spans="1:13" x14ac:dyDescent="0.45">
      <c r="A2170" s="142" t="s">
        <v>13023</v>
      </c>
      <c r="B2170" s="142" t="s">
        <v>15571</v>
      </c>
      <c r="C2170" s="142" t="s">
        <v>15847</v>
      </c>
      <c r="D2170" s="142" t="s">
        <v>15848</v>
      </c>
      <c r="E2170" s="142" t="s">
        <v>15849</v>
      </c>
      <c r="F2170" s="142" t="s">
        <v>9029</v>
      </c>
      <c r="G2170" s="142" t="s">
        <v>9028</v>
      </c>
      <c r="H2170" s="142" t="s">
        <v>18020</v>
      </c>
      <c r="I2170" s="142">
        <v>71</v>
      </c>
      <c r="J2170" s="142">
        <v>0</v>
      </c>
      <c r="K2170" s="142">
        <v>0</v>
      </c>
      <c r="L2170" s="142">
        <v>71</v>
      </c>
      <c r="M2170" s="142">
        <v>0</v>
      </c>
    </row>
    <row r="2171" spans="1:13" x14ac:dyDescent="0.45">
      <c r="A2171" s="142" t="s">
        <v>13000</v>
      </c>
      <c r="B2171" s="142" t="s">
        <v>14610</v>
      </c>
      <c r="C2171" s="142" t="s">
        <v>15847</v>
      </c>
      <c r="D2171" s="142" t="s">
        <v>15848</v>
      </c>
      <c r="E2171" s="142" t="s">
        <v>15849</v>
      </c>
      <c r="F2171" s="142" t="s">
        <v>9029</v>
      </c>
      <c r="G2171" s="142" t="s">
        <v>9028</v>
      </c>
      <c r="H2171" s="142" t="s">
        <v>18021</v>
      </c>
      <c r="I2171" s="142">
        <v>131</v>
      </c>
      <c r="J2171" s="142">
        <v>114</v>
      </c>
      <c r="K2171" s="142">
        <v>0</v>
      </c>
      <c r="L2171" s="142">
        <v>0</v>
      </c>
      <c r="M2171" s="142">
        <v>17</v>
      </c>
    </row>
    <row r="2172" spans="1:13" x14ac:dyDescent="0.45">
      <c r="A2172" s="142" t="s">
        <v>13567</v>
      </c>
      <c r="B2172" s="142" t="s">
        <v>14687</v>
      </c>
      <c r="C2172" s="142" t="s">
        <v>15860</v>
      </c>
      <c r="D2172" s="142" t="s">
        <v>15861</v>
      </c>
      <c r="E2172" s="142" t="s">
        <v>15849</v>
      </c>
      <c r="F2172" s="142" t="s">
        <v>9029</v>
      </c>
      <c r="G2172" s="142" t="s">
        <v>9028</v>
      </c>
      <c r="H2172" s="142" t="s">
        <v>18022</v>
      </c>
      <c r="I2172" s="142">
        <v>10</v>
      </c>
      <c r="J2172" s="142">
        <v>0</v>
      </c>
      <c r="K2172" s="142">
        <v>0</v>
      </c>
      <c r="L2172" s="142">
        <v>10</v>
      </c>
      <c r="M2172" s="142">
        <v>0</v>
      </c>
    </row>
    <row r="2173" spans="1:13" x14ac:dyDescent="0.45">
      <c r="A2173" s="142" t="s">
        <v>13148</v>
      </c>
      <c r="B2173" s="142" t="s">
        <v>15314</v>
      </c>
      <c r="C2173" s="142" t="s">
        <v>15847</v>
      </c>
      <c r="D2173" s="142" t="s">
        <v>15848</v>
      </c>
      <c r="E2173" s="142" t="s">
        <v>15849</v>
      </c>
      <c r="F2173" s="142" t="s">
        <v>9029</v>
      </c>
      <c r="G2173" s="142" t="s">
        <v>9028</v>
      </c>
      <c r="H2173" s="142" t="s">
        <v>18023</v>
      </c>
      <c r="I2173" s="142">
        <v>1</v>
      </c>
      <c r="J2173" s="142">
        <v>0</v>
      </c>
      <c r="K2173" s="142">
        <v>0</v>
      </c>
      <c r="L2173" s="142">
        <v>0</v>
      </c>
      <c r="M2173" s="142">
        <v>1</v>
      </c>
    </row>
    <row r="2174" spans="1:13" x14ac:dyDescent="0.45">
      <c r="A2174" s="142" t="s">
        <v>13160</v>
      </c>
      <c r="B2174" s="142" t="s">
        <v>14525</v>
      </c>
      <c r="C2174" s="142" t="s">
        <v>15847</v>
      </c>
      <c r="D2174" s="142" t="s">
        <v>15848</v>
      </c>
      <c r="E2174" s="142" t="s">
        <v>15849</v>
      </c>
      <c r="F2174" s="142" t="s">
        <v>9029</v>
      </c>
      <c r="G2174" s="142" t="s">
        <v>9028</v>
      </c>
      <c r="H2174" s="142" t="s">
        <v>18024</v>
      </c>
      <c r="I2174" s="142">
        <v>8</v>
      </c>
      <c r="J2174" s="142">
        <v>0</v>
      </c>
      <c r="K2174" s="142">
        <v>0</v>
      </c>
      <c r="L2174" s="142">
        <v>8</v>
      </c>
      <c r="M2174" s="142">
        <v>0</v>
      </c>
    </row>
    <row r="2175" spans="1:13" x14ac:dyDescent="0.45">
      <c r="A2175" s="142" t="s">
        <v>13003</v>
      </c>
      <c r="B2175" s="142" t="s">
        <v>15245</v>
      </c>
      <c r="C2175" s="142" t="s">
        <v>15847</v>
      </c>
      <c r="D2175" s="142" t="s">
        <v>15848</v>
      </c>
      <c r="E2175" s="142" t="s">
        <v>15849</v>
      </c>
      <c r="F2175" s="142" t="s">
        <v>9029</v>
      </c>
      <c r="G2175" s="142" t="s">
        <v>9028</v>
      </c>
      <c r="H2175" s="142" t="s">
        <v>18025</v>
      </c>
      <c r="I2175" s="142">
        <v>104</v>
      </c>
      <c r="J2175" s="142">
        <v>0</v>
      </c>
      <c r="K2175" s="142">
        <v>0</v>
      </c>
      <c r="L2175" s="142">
        <v>104</v>
      </c>
      <c r="M2175" s="142">
        <v>0</v>
      </c>
    </row>
    <row r="2176" spans="1:13" x14ac:dyDescent="0.45">
      <c r="A2176" s="142" t="s">
        <v>13004</v>
      </c>
      <c r="B2176" s="142" t="s">
        <v>15492</v>
      </c>
      <c r="C2176" s="142" t="s">
        <v>15847</v>
      </c>
      <c r="D2176" s="142" t="s">
        <v>15848</v>
      </c>
      <c r="E2176" s="142" t="s">
        <v>15849</v>
      </c>
      <c r="F2176" s="142" t="s">
        <v>9029</v>
      </c>
      <c r="G2176" s="142" t="s">
        <v>9028</v>
      </c>
      <c r="H2176" s="142" t="s">
        <v>18026</v>
      </c>
      <c r="I2176" s="142">
        <v>390</v>
      </c>
      <c r="J2176" s="142">
        <v>350</v>
      </c>
      <c r="K2176" s="142">
        <v>0</v>
      </c>
      <c r="L2176" s="142">
        <v>0</v>
      </c>
      <c r="M2176" s="142">
        <v>40</v>
      </c>
    </row>
    <row r="2177" spans="1:13" x14ac:dyDescent="0.45">
      <c r="A2177" s="142" t="s">
        <v>13066</v>
      </c>
      <c r="B2177" s="142" t="s">
        <v>14459</v>
      </c>
      <c r="C2177" s="142" t="s">
        <v>15847</v>
      </c>
      <c r="D2177" s="142" t="s">
        <v>15848</v>
      </c>
      <c r="E2177" s="142" t="s">
        <v>15849</v>
      </c>
      <c r="F2177" s="142" t="s">
        <v>9029</v>
      </c>
      <c r="G2177" s="142" t="s">
        <v>9028</v>
      </c>
      <c r="H2177" s="142" t="s">
        <v>18027</v>
      </c>
      <c r="I2177" s="142">
        <v>7</v>
      </c>
      <c r="J2177" s="142">
        <v>0</v>
      </c>
      <c r="K2177" s="142">
        <v>0</v>
      </c>
      <c r="L2177" s="142">
        <v>7</v>
      </c>
      <c r="M2177" s="142">
        <v>0</v>
      </c>
    </row>
    <row r="2178" spans="1:13" x14ac:dyDescent="0.45">
      <c r="A2178" s="142" t="s">
        <v>13216</v>
      </c>
      <c r="B2178" s="142" t="s">
        <v>15353</v>
      </c>
      <c r="C2178" s="142" t="s">
        <v>15860</v>
      </c>
      <c r="D2178" s="142" t="s">
        <v>15861</v>
      </c>
      <c r="E2178" s="142" t="s">
        <v>15849</v>
      </c>
      <c r="F2178" s="142" t="s">
        <v>9029</v>
      </c>
      <c r="G2178" s="142" t="s">
        <v>9028</v>
      </c>
      <c r="H2178" s="142" t="s">
        <v>18028</v>
      </c>
      <c r="I2178" s="142">
        <v>67</v>
      </c>
      <c r="J2178" s="142">
        <v>29</v>
      </c>
      <c r="K2178" s="142">
        <v>0</v>
      </c>
      <c r="L2178" s="142">
        <v>38</v>
      </c>
      <c r="M2178" s="142">
        <v>0</v>
      </c>
    </row>
    <row r="2179" spans="1:13" x14ac:dyDescent="0.45">
      <c r="A2179" s="142" t="s">
        <v>13051</v>
      </c>
      <c r="B2179" s="142" t="s">
        <v>14509</v>
      </c>
      <c r="C2179" s="142" t="s">
        <v>15860</v>
      </c>
      <c r="D2179" s="142" t="s">
        <v>15861</v>
      </c>
      <c r="E2179" s="142" t="s">
        <v>15849</v>
      </c>
      <c r="F2179" s="142" t="s">
        <v>9029</v>
      </c>
      <c r="G2179" s="142" t="s">
        <v>9028</v>
      </c>
      <c r="H2179" s="142" t="s">
        <v>18029</v>
      </c>
      <c r="I2179" s="142">
        <v>6</v>
      </c>
      <c r="J2179" s="142">
        <v>0</v>
      </c>
      <c r="K2179" s="142">
        <v>0</v>
      </c>
      <c r="L2179" s="142">
        <v>6</v>
      </c>
      <c r="M2179" s="142">
        <v>0</v>
      </c>
    </row>
    <row r="2180" spans="1:13" x14ac:dyDescent="0.45">
      <c r="A2180" s="142" t="s">
        <v>13005</v>
      </c>
      <c r="B2180" s="142" t="s">
        <v>15475</v>
      </c>
      <c r="C2180" s="142" t="s">
        <v>15847</v>
      </c>
      <c r="D2180" s="142" t="s">
        <v>15848</v>
      </c>
      <c r="E2180" s="142" t="s">
        <v>15849</v>
      </c>
      <c r="F2180" s="142" t="s">
        <v>9029</v>
      </c>
      <c r="G2180" s="142" t="s">
        <v>9028</v>
      </c>
      <c r="H2180" s="142" t="s">
        <v>18030</v>
      </c>
      <c r="I2180" s="142">
        <v>247</v>
      </c>
      <c r="J2180" s="142">
        <v>241</v>
      </c>
      <c r="K2180" s="142">
        <v>0</v>
      </c>
      <c r="L2180" s="142">
        <v>0</v>
      </c>
      <c r="M2180" s="142">
        <v>6</v>
      </c>
    </row>
    <row r="2181" spans="1:13" x14ac:dyDescent="0.45">
      <c r="A2181" s="142" t="s">
        <v>13053</v>
      </c>
      <c r="B2181" s="142" t="s">
        <v>15436</v>
      </c>
      <c r="C2181" s="142" t="s">
        <v>15847</v>
      </c>
      <c r="D2181" s="142" t="s">
        <v>15848</v>
      </c>
      <c r="E2181" s="142" t="s">
        <v>15849</v>
      </c>
      <c r="F2181" s="142" t="s">
        <v>9029</v>
      </c>
      <c r="G2181" s="142" t="s">
        <v>9028</v>
      </c>
      <c r="H2181" s="142" t="s">
        <v>18031</v>
      </c>
      <c r="I2181" s="142">
        <v>29</v>
      </c>
      <c r="J2181" s="142">
        <v>19</v>
      </c>
      <c r="K2181" s="142">
        <v>0</v>
      </c>
      <c r="L2181" s="142">
        <v>0</v>
      </c>
      <c r="M2181" s="142">
        <v>10</v>
      </c>
    </row>
    <row r="2182" spans="1:13" x14ac:dyDescent="0.45">
      <c r="A2182" s="142" t="s">
        <v>13006</v>
      </c>
      <c r="B2182" s="142" t="s">
        <v>15288</v>
      </c>
      <c r="C2182" s="142" t="s">
        <v>15847</v>
      </c>
      <c r="D2182" s="142" t="s">
        <v>15848</v>
      </c>
      <c r="E2182" s="142" t="s">
        <v>15849</v>
      </c>
      <c r="F2182" s="142" t="s">
        <v>9029</v>
      </c>
      <c r="G2182" s="142" t="s">
        <v>9028</v>
      </c>
      <c r="H2182" s="142" t="s">
        <v>18032</v>
      </c>
      <c r="I2182" s="142">
        <v>4</v>
      </c>
      <c r="J2182" s="142">
        <v>0</v>
      </c>
      <c r="K2182" s="142">
        <v>0</v>
      </c>
      <c r="L2182" s="142">
        <v>0</v>
      </c>
      <c r="M2182" s="142">
        <v>4</v>
      </c>
    </row>
    <row r="2183" spans="1:13" x14ac:dyDescent="0.45">
      <c r="A2183" s="142" t="s">
        <v>13007</v>
      </c>
      <c r="B2183" s="142" t="s">
        <v>15262</v>
      </c>
      <c r="C2183" s="142" t="s">
        <v>15847</v>
      </c>
      <c r="D2183" s="142" t="s">
        <v>15848</v>
      </c>
      <c r="E2183" s="142" t="s">
        <v>15849</v>
      </c>
      <c r="F2183" s="142" t="s">
        <v>9029</v>
      </c>
      <c r="G2183" s="142" t="s">
        <v>9028</v>
      </c>
      <c r="H2183" s="142" t="s">
        <v>18033</v>
      </c>
      <c r="I2183" s="142">
        <v>536</v>
      </c>
      <c r="J2183" s="142">
        <v>392</v>
      </c>
      <c r="K2183" s="142">
        <v>0</v>
      </c>
      <c r="L2183" s="142">
        <v>0</v>
      </c>
      <c r="M2183" s="142">
        <v>144</v>
      </c>
    </row>
    <row r="2184" spans="1:13" x14ac:dyDescent="0.45">
      <c r="A2184" s="142" t="s">
        <v>13568</v>
      </c>
      <c r="B2184" s="142" t="s">
        <v>15242</v>
      </c>
      <c r="C2184" s="142" t="s">
        <v>15847</v>
      </c>
      <c r="D2184" s="142" t="s">
        <v>15848</v>
      </c>
      <c r="E2184" s="142" t="s">
        <v>15849</v>
      </c>
      <c r="F2184" s="142" t="s">
        <v>9029</v>
      </c>
      <c r="G2184" s="142" t="s">
        <v>9028</v>
      </c>
      <c r="H2184" s="142" t="s">
        <v>18034</v>
      </c>
      <c r="I2184" s="142">
        <v>44</v>
      </c>
      <c r="J2184" s="142">
        <v>29</v>
      </c>
      <c r="K2184" s="142">
        <v>0</v>
      </c>
      <c r="L2184" s="142">
        <v>0</v>
      </c>
      <c r="M2184" s="142">
        <v>15</v>
      </c>
    </row>
    <row r="2185" spans="1:13" x14ac:dyDescent="0.45">
      <c r="A2185" s="142" t="s">
        <v>13054</v>
      </c>
      <c r="B2185" s="142" t="s">
        <v>15604</v>
      </c>
      <c r="C2185" s="142" t="s">
        <v>15847</v>
      </c>
      <c r="D2185" s="142" t="s">
        <v>15848</v>
      </c>
      <c r="E2185" s="142" t="s">
        <v>15849</v>
      </c>
      <c r="F2185" s="142" t="s">
        <v>9029</v>
      </c>
      <c r="G2185" s="142" t="s">
        <v>9028</v>
      </c>
      <c r="H2185" s="142" t="s">
        <v>18035</v>
      </c>
      <c r="I2185" s="142">
        <v>1</v>
      </c>
      <c r="J2185" s="142">
        <v>0</v>
      </c>
      <c r="K2185" s="142">
        <v>0</v>
      </c>
      <c r="L2185" s="142">
        <v>0</v>
      </c>
      <c r="M2185" s="142">
        <v>1</v>
      </c>
    </row>
    <row r="2186" spans="1:13" x14ac:dyDescent="0.45">
      <c r="A2186" s="142" t="s">
        <v>13033</v>
      </c>
      <c r="B2186" s="142" t="s">
        <v>15276</v>
      </c>
      <c r="C2186" s="142" t="s">
        <v>15847</v>
      </c>
      <c r="D2186" s="142" t="s">
        <v>15848</v>
      </c>
      <c r="E2186" s="142" t="s">
        <v>15849</v>
      </c>
      <c r="F2186" s="142" t="s">
        <v>9029</v>
      </c>
      <c r="G2186" s="142" t="s">
        <v>9028</v>
      </c>
      <c r="H2186" s="142" t="s">
        <v>18036</v>
      </c>
      <c r="I2186" s="142">
        <v>24</v>
      </c>
      <c r="J2186" s="142">
        <v>0</v>
      </c>
      <c r="K2186" s="142">
        <v>0</v>
      </c>
      <c r="L2186" s="142">
        <v>0</v>
      </c>
      <c r="M2186" s="142">
        <v>24</v>
      </c>
    </row>
    <row r="2187" spans="1:13" x14ac:dyDescent="0.45">
      <c r="A2187" s="142" t="s">
        <v>13569</v>
      </c>
      <c r="B2187" s="142" t="s">
        <v>15441</v>
      </c>
      <c r="C2187" s="142" t="s">
        <v>15847</v>
      </c>
      <c r="D2187" s="142" t="s">
        <v>15848</v>
      </c>
      <c r="E2187" s="142" t="s">
        <v>15849</v>
      </c>
      <c r="F2187" s="142" t="s">
        <v>9029</v>
      </c>
      <c r="G2187" s="142" t="s">
        <v>9028</v>
      </c>
      <c r="H2187" s="142" t="s">
        <v>18037</v>
      </c>
      <c r="I2187" s="142">
        <v>222</v>
      </c>
      <c r="J2187" s="142">
        <v>181</v>
      </c>
      <c r="K2187" s="142">
        <v>0</v>
      </c>
      <c r="L2187" s="142">
        <v>0</v>
      </c>
      <c r="M2187" s="142">
        <v>41</v>
      </c>
    </row>
    <row r="2188" spans="1:13" x14ac:dyDescent="0.45">
      <c r="A2188" s="142" t="s">
        <v>13009</v>
      </c>
      <c r="B2188" s="142" t="s">
        <v>15256</v>
      </c>
      <c r="C2188" s="142" t="s">
        <v>15847</v>
      </c>
      <c r="D2188" s="142" t="s">
        <v>15848</v>
      </c>
      <c r="E2188" s="142" t="s">
        <v>15849</v>
      </c>
      <c r="F2188" s="142" t="s">
        <v>9029</v>
      </c>
      <c r="G2188" s="142" t="s">
        <v>9028</v>
      </c>
      <c r="H2188" s="142" t="s">
        <v>18038</v>
      </c>
      <c r="I2188" s="142">
        <v>2</v>
      </c>
      <c r="J2188" s="142">
        <v>2</v>
      </c>
      <c r="K2188" s="142">
        <v>0</v>
      </c>
      <c r="L2188" s="142">
        <v>0</v>
      </c>
      <c r="M2188" s="142">
        <v>0</v>
      </c>
    </row>
    <row r="2189" spans="1:13" x14ac:dyDescent="0.45">
      <c r="A2189" s="142" t="s">
        <v>13010</v>
      </c>
      <c r="B2189" s="142" t="s">
        <v>15349</v>
      </c>
      <c r="C2189" s="142" t="s">
        <v>15860</v>
      </c>
      <c r="D2189" s="142" t="s">
        <v>15861</v>
      </c>
      <c r="E2189" s="142" t="s">
        <v>15849</v>
      </c>
      <c r="F2189" s="142" t="s">
        <v>9029</v>
      </c>
      <c r="G2189" s="142" t="s">
        <v>9028</v>
      </c>
      <c r="H2189" s="142" t="s">
        <v>18039</v>
      </c>
      <c r="I2189" s="142">
        <v>19</v>
      </c>
      <c r="J2189" s="142">
        <v>0</v>
      </c>
      <c r="K2189" s="142">
        <v>0</v>
      </c>
      <c r="L2189" s="142">
        <v>19</v>
      </c>
      <c r="M2189" s="142">
        <v>0</v>
      </c>
    </row>
    <row r="2190" spans="1:13" x14ac:dyDescent="0.45">
      <c r="A2190" s="142" t="s">
        <v>13011</v>
      </c>
      <c r="B2190" s="142" t="s">
        <v>14695</v>
      </c>
      <c r="C2190" s="142" t="s">
        <v>15847</v>
      </c>
      <c r="D2190" s="142" t="s">
        <v>15848</v>
      </c>
      <c r="E2190" s="142" t="s">
        <v>15849</v>
      </c>
      <c r="F2190" s="142" t="s">
        <v>9029</v>
      </c>
      <c r="G2190" s="142" t="s">
        <v>9028</v>
      </c>
      <c r="H2190" s="142" t="s">
        <v>18040</v>
      </c>
      <c r="I2190" s="142">
        <v>297</v>
      </c>
      <c r="J2190" s="142">
        <v>230</v>
      </c>
      <c r="K2190" s="142">
        <v>0</v>
      </c>
      <c r="L2190" s="142">
        <v>0</v>
      </c>
      <c r="M2190" s="142">
        <v>67</v>
      </c>
    </row>
    <row r="2191" spans="1:13" x14ac:dyDescent="0.45">
      <c r="A2191" s="142" t="s">
        <v>13012</v>
      </c>
      <c r="B2191" s="142" t="s">
        <v>15337</v>
      </c>
      <c r="C2191" s="142" t="s">
        <v>15847</v>
      </c>
      <c r="D2191" s="142" t="s">
        <v>15848</v>
      </c>
      <c r="E2191" s="142" t="s">
        <v>15849</v>
      </c>
      <c r="F2191" s="142" t="s">
        <v>9029</v>
      </c>
      <c r="G2191" s="142" t="s">
        <v>9028</v>
      </c>
      <c r="H2191" s="142" t="s">
        <v>18041</v>
      </c>
      <c r="I2191" s="142">
        <v>47</v>
      </c>
      <c r="J2191" s="142">
        <v>43</v>
      </c>
      <c r="K2191" s="142">
        <v>0</v>
      </c>
      <c r="L2191" s="142">
        <v>0</v>
      </c>
      <c r="M2191" s="142">
        <v>4</v>
      </c>
    </row>
    <row r="2192" spans="1:13" x14ac:dyDescent="0.45">
      <c r="A2192" s="142" t="s">
        <v>13094</v>
      </c>
      <c r="B2192" s="142" t="s">
        <v>15542</v>
      </c>
      <c r="C2192" s="142" t="s">
        <v>15860</v>
      </c>
      <c r="D2192" s="142" t="s">
        <v>15861</v>
      </c>
      <c r="E2192" s="142" t="s">
        <v>15849</v>
      </c>
      <c r="F2192" s="142" t="s">
        <v>9029</v>
      </c>
      <c r="G2192" s="142" t="s">
        <v>9028</v>
      </c>
      <c r="H2192" s="142" t="s">
        <v>18042</v>
      </c>
      <c r="I2192" s="142">
        <v>6</v>
      </c>
      <c r="J2192" s="142">
        <v>0</v>
      </c>
      <c r="K2192" s="142">
        <v>0</v>
      </c>
      <c r="L2192" s="142">
        <v>6</v>
      </c>
      <c r="M2192" s="142">
        <v>0</v>
      </c>
    </row>
    <row r="2193" spans="1:13" x14ac:dyDescent="0.45">
      <c r="A2193" s="142" t="s">
        <v>13014</v>
      </c>
      <c r="B2193" s="142" t="s">
        <v>14505</v>
      </c>
      <c r="C2193" s="142" t="s">
        <v>15847</v>
      </c>
      <c r="D2193" s="142" t="s">
        <v>15848</v>
      </c>
      <c r="E2193" s="142" t="s">
        <v>15849</v>
      </c>
      <c r="F2193" s="142" t="s">
        <v>9029</v>
      </c>
      <c r="G2193" s="142" t="s">
        <v>9028</v>
      </c>
      <c r="H2193" s="142" t="s">
        <v>18043</v>
      </c>
      <c r="I2193" s="142">
        <v>476</v>
      </c>
      <c r="J2193" s="142">
        <v>430</v>
      </c>
      <c r="K2193" s="142">
        <v>0</v>
      </c>
      <c r="L2193" s="142">
        <v>38</v>
      </c>
      <c r="M2193" s="142">
        <v>8</v>
      </c>
    </row>
    <row r="2194" spans="1:13" x14ac:dyDescent="0.45">
      <c r="A2194" s="142" t="s">
        <v>13079</v>
      </c>
      <c r="B2194" s="142" t="s">
        <v>15431</v>
      </c>
      <c r="C2194" s="142" t="s">
        <v>15847</v>
      </c>
      <c r="D2194" s="142" t="s">
        <v>15848</v>
      </c>
      <c r="E2194" s="142" t="s">
        <v>15849</v>
      </c>
      <c r="F2194" s="142" t="s">
        <v>9029</v>
      </c>
      <c r="G2194" s="142" t="s">
        <v>9028</v>
      </c>
      <c r="H2194" s="142" t="s">
        <v>18044</v>
      </c>
      <c r="I2194" s="142">
        <v>107</v>
      </c>
      <c r="J2194" s="142">
        <v>102</v>
      </c>
      <c r="K2194" s="142">
        <v>0</v>
      </c>
      <c r="L2194" s="142">
        <v>0</v>
      </c>
      <c r="M2194" s="142">
        <v>5</v>
      </c>
    </row>
    <row r="2195" spans="1:13" x14ac:dyDescent="0.45">
      <c r="A2195" s="142" t="s">
        <v>13570</v>
      </c>
      <c r="B2195" s="142" t="s">
        <v>15181</v>
      </c>
      <c r="C2195" s="142" t="s">
        <v>15860</v>
      </c>
      <c r="D2195" s="142" t="s">
        <v>15861</v>
      </c>
      <c r="E2195" s="142" t="s">
        <v>15849</v>
      </c>
      <c r="F2195" s="142" t="s">
        <v>9029</v>
      </c>
      <c r="G2195" s="142" t="s">
        <v>9028</v>
      </c>
      <c r="H2195" s="142" t="s">
        <v>18045</v>
      </c>
      <c r="I2195" s="142">
        <v>62</v>
      </c>
      <c r="J2195" s="142">
        <v>0</v>
      </c>
      <c r="K2195" s="142">
        <v>0</v>
      </c>
      <c r="L2195" s="142">
        <v>62</v>
      </c>
      <c r="M2195" s="142">
        <v>0</v>
      </c>
    </row>
    <row r="2196" spans="1:13" x14ac:dyDescent="0.45">
      <c r="A2196" s="142" t="s">
        <v>13364</v>
      </c>
      <c r="B2196" s="142" t="s">
        <v>14448</v>
      </c>
      <c r="C2196" s="142" t="s">
        <v>15860</v>
      </c>
      <c r="D2196" s="142" t="s">
        <v>15861</v>
      </c>
      <c r="E2196" s="142" t="s">
        <v>15849</v>
      </c>
      <c r="F2196" s="142" t="s">
        <v>9029</v>
      </c>
      <c r="G2196" s="142" t="s">
        <v>9028</v>
      </c>
      <c r="H2196" s="142" t="s">
        <v>18046</v>
      </c>
      <c r="I2196" s="142">
        <v>76</v>
      </c>
      <c r="J2196" s="142">
        <v>10</v>
      </c>
      <c r="K2196" s="142">
        <v>0</v>
      </c>
      <c r="L2196" s="142">
        <v>66</v>
      </c>
      <c r="M2196" s="142">
        <v>0</v>
      </c>
    </row>
    <row r="2197" spans="1:13" x14ac:dyDescent="0.45">
      <c r="A2197" s="142" t="s">
        <v>13207</v>
      </c>
      <c r="B2197" s="142" t="s">
        <v>15558</v>
      </c>
      <c r="C2197" s="142" t="s">
        <v>15847</v>
      </c>
      <c r="D2197" s="142" t="s">
        <v>15848</v>
      </c>
      <c r="E2197" s="142" t="s">
        <v>15849</v>
      </c>
      <c r="F2197" s="142" t="s">
        <v>9029</v>
      </c>
      <c r="G2197" s="142" t="s">
        <v>9028</v>
      </c>
      <c r="H2197" s="142" t="s">
        <v>18047</v>
      </c>
      <c r="I2197" s="142">
        <v>1</v>
      </c>
      <c r="J2197" s="142">
        <v>0</v>
      </c>
      <c r="K2197" s="142">
        <v>0</v>
      </c>
      <c r="L2197" s="142">
        <v>0</v>
      </c>
      <c r="M2197" s="142">
        <v>1</v>
      </c>
    </row>
    <row r="2198" spans="1:13" x14ac:dyDescent="0.45">
      <c r="A2198" s="142" t="s">
        <v>13110</v>
      </c>
      <c r="B2198" s="142" t="s">
        <v>15502</v>
      </c>
      <c r="C2198" s="142" t="s">
        <v>15847</v>
      </c>
      <c r="D2198" s="142" t="s">
        <v>15848</v>
      </c>
      <c r="E2198" s="142" t="s">
        <v>15849</v>
      </c>
      <c r="F2198" s="142" t="s">
        <v>11482</v>
      </c>
      <c r="G2198" s="142" t="s">
        <v>11481</v>
      </c>
      <c r="H2198" s="142" t="s">
        <v>18048</v>
      </c>
      <c r="I2198" s="142">
        <v>250</v>
      </c>
      <c r="J2198" s="142">
        <v>214</v>
      </c>
      <c r="K2198" s="142">
        <v>0</v>
      </c>
      <c r="L2198" s="142">
        <v>2</v>
      </c>
      <c r="M2198" s="142">
        <v>34</v>
      </c>
    </row>
    <row r="2199" spans="1:13" x14ac:dyDescent="0.45">
      <c r="A2199" s="142" t="s">
        <v>13166</v>
      </c>
      <c r="B2199" s="142" t="s">
        <v>15576</v>
      </c>
      <c r="C2199" s="142" t="s">
        <v>15847</v>
      </c>
      <c r="D2199" s="142" t="s">
        <v>15848</v>
      </c>
      <c r="E2199" s="142" t="s">
        <v>15849</v>
      </c>
      <c r="F2199" s="142" t="s">
        <v>11482</v>
      </c>
      <c r="G2199" s="142" t="s">
        <v>11481</v>
      </c>
      <c r="H2199" s="142" t="s">
        <v>18049</v>
      </c>
      <c r="I2199" s="142">
        <v>7</v>
      </c>
      <c r="J2199" s="142">
        <v>7</v>
      </c>
      <c r="K2199" s="142">
        <v>0</v>
      </c>
      <c r="L2199" s="142">
        <v>0</v>
      </c>
      <c r="M2199" s="142">
        <v>0</v>
      </c>
    </row>
    <row r="2200" spans="1:13" x14ac:dyDescent="0.45">
      <c r="A2200" s="142" t="s">
        <v>13046</v>
      </c>
      <c r="B2200" s="142" t="s">
        <v>15537</v>
      </c>
      <c r="C2200" s="142" t="s">
        <v>15860</v>
      </c>
      <c r="D2200" s="142" t="s">
        <v>15861</v>
      </c>
      <c r="E2200" s="142" t="s">
        <v>15849</v>
      </c>
      <c r="F2200" s="142" t="s">
        <v>11482</v>
      </c>
      <c r="G2200" s="142" t="s">
        <v>11481</v>
      </c>
      <c r="H2200" s="142" t="s">
        <v>18050</v>
      </c>
      <c r="I2200" s="142">
        <v>12</v>
      </c>
      <c r="J2200" s="142">
        <v>0</v>
      </c>
      <c r="K2200" s="142">
        <v>0</v>
      </c>
      <c r="L2200" s="142">
        <v>12</v>
      </c>
      <c r="M2200" s="142">
        <v>0</v>
      </c>
    </row>
    <row r="2201" spans="1:13" x14ac:dyDescent="0.45">
      <c r="A2201" s="142" t="s">
        <v>13572</v>
      </c>
      <c r="B2201" s="142" t="s">
        <v>15543</v>
      </c>
      <c r="C2201" s="142" t="s">
        <v>15860</v>
      </c>
      <c r="D2201" s="142" t="s">
        <v>15861</v>
      </c>
      <c r="E2201" s="142" t="s">
        <v>15849</v>
      </c>
      <c r="F2201" s="142" t="s">
        <v>11482</v>
      </c>
      <c r="G2201" s="142" t="s">
        <v>11481</v>
      </c>
      <c r="H2201" s="142" t="s">
        <v>18051</v>
      </c>
      <c r="I2201" s="142">
        <v>16</v>
      </c>
      <c r="J2201" s="142">
        <v>9</v>
      </c>
      <c r="K2201" s="142">
        <v>7</v>
      </c>
      <c r="L2201" s="142">
        <v>0</v>
      </c>
      <c r="M2201" s="142">
        <v>0</v>
      </c>
    </row>
    <row r="2202" spans="1:13" x14ac:dyDescent="0.45">
      <c r="A2202" s="142" t="s">
        <v>13021</v>
      </c>
      <c r="B2202" s="142" t="s">
        <v>15501</v>
      </c>
      <c r="C2202" s="142" t="s">
        <v>15847</v>
      </c>
      <c r="D2202" s="142" t="s">
        <v>15848</v>
      </c>
      <c r="E2202" s="142" t="s">
        <v>15849</v>
      </c>
      <c r="F2202" s="142" t="s">
        <v>11482</v>
      </c>
      <c r="G2202" s="142" t="s">
        <v>11481</v>
      </c>
      <c r="H2202" s="142" t="s">
        <v>18052</v>
      </c>
      <c r="I2202" s="142">
        <v>7</v>
      </c>
      <c r="J2202" s="142">
        <v>0</v>
      </c>
      <c r="K2202" s="142">
        <v>0</v>
      </c>
      <c r="L2202" s="142">
        <v>7</v>
      </c>
      <c r="M2202" s="142">
        <v>0</v>
      </c>
    </row>
    <row r="2203" spans="1:13" x14ac:dyDescent="0.45">
      <c r="A2203" s="142" t="s">
        <v>13023</v>
      </c>
      <c r="B2203" s="142" t="s">
        <v>15571</v>
      </c>
      <c r="C2203" s="142" t="s">
        <v>15847</v>
      </c>
      <c r="D2203" s="142" t="s">
        <v>15848</v>
      </c>
      <c r="E2203" s="142" t="s">
        <v>15849</v>
      </c>
      <c r="F2203" s="142" t="s">
        <v>11482</v>
      </c>
      <c r="G2203" s="142" t="s">
        <v>11481</v>
      </c>
      <c r="H2203" s="142" t="s">
        <v>18053</v>
      </c>
      <c r="I2203" s="142">
        <v>210</v>
      </c>
      <c r="J2203" s="142">
        <v>0</v>
      </c>
      <c r="K2203" s="142">
        <v>0</v>
      </c>
      <c r="L2203" s="142">
        <v>210</v>
      </c>
      <c r="M2203" s="142">
        <v>0</v>
      </c>
    </row>
    <row r="2204" spans="1:13" x14ac:dyDescent="0.45">
      <c r="A2204" s="142" t="s">
        <v>13573</v>
      </c>
      <c r="B2204" s="142" t="s">
        <v>15104</v>
      </c>
      <c r="C2204" s="142" t="s">
        <v>15860</v>
      </c>
      <c r="D2204" s="142" t="s">
        <v>15861</v>
      </c>
      <c r="E2204" s="142" t="s">
        <v>15849</v>
      </c>
      <c r="F2204" s="142" t="s">
        <v>11482</v>
      </c>
      <c r="G2204" s="142" t="s">
        <v>11481</v>
      </c>
      <c r="H2204" s="142" t="s">
        <v>18054</v>
      </c>
      <c r="I2204" s="142">
        <v>5</v>
      </c>
      <c r="J2204" s="142">
        <v>5</v>
      </c>
      <c r="K2204" s="142">
        <v>0</v>
      </c>
      <c r="L2204" s="142">
        <v>0</v>
      </c>
      <c r="M2204" s="142">
        <v>0</v>
      </c>
    </row>
    <row r="2205" spans="1:13" x14ac:dyDescent="0.45">
      <c r="A2205" s="142" t="s">
        <v>13065</v>
      </c>
      <c r="B2205" s="142" t="s">
        <v>14497</v>
      </c>
      <c r="C2205" s="142" t="s">
        <v>15847</v>
      </c>
      <c r="D2205" s="142" t="s">
        <v>15848</v>
      </c>
      <c r="E2205" s="142" t="s">
        <v>15849</v>
      </c>
      <c r="F2205" s="142" t="s">
        <v>11482</v>
      </c>
      <c r="G2205" s="142" t="s">
        <v>11481</v>
      </c>
      <c r="H2205" s="142" t="s">
        <v>18055</v>
      </c>
      <c r="I2205" s="142">
        <v>18</v>
      </c>
      <c r="J2205" s="142">
        <v>0</v>
      </c>
      <c r="K2205" s="142">
        <v>0</v>
      </c>
      <c r="L2205" s="142">
        <v>18</v>
      </c>
      <c r="M2205" s="142">
        <v>0</v>
      </c>
    </row>
    <row r="2206" spans="1:13" x14ac:dyDescent="0.45">
      <c r="A2206" s="142" t="s">
        <v>13380</v>
      </c>
      <c r="B2206" s="142" t="s">
        <v>14677</v>
      </c>
      <c r="C2206" s="142" t="s">
        <v>15860</v>
      </c>
      <c r="D2206" s="142" t="s">
        <v>15861</v>
      </c>
      <c r="E2206" s="142" t="s">
        <v>15849</v>
      </c>
      <c r="F2206" s="142" t="s">
        <v>11482</v>
      </c>
      <c r="G2206" s="142" t="s">
        <v>11481</v>
      </c>
      <c r="H2206" s="142" t="s">
        <v>18056</v>
      </c>
      <c r="I2206" s="142">
        <v>19</v>
      </c>
      <c r="J2206" s="142">
        <v>0</v>
      </c>
      <c r="K2206" s="142">
        <v>0</v>
      </c>
      <c r="L2206" s="142">
        <v>19</v>
      </c>
      <c r="M2206" s="142">
        <v>0</v>
      </c>
    </row>
    <row r="2207" spans="1:13" x14ac:dyDescent="0.45">
      <c r="A2207" s="142" t="s">
        <v>13318</v>
      </c>
      <c r="B2207" s="142" t="s">
        <v>15172</v>
      </c>
      <c r="C2207" s="142" t="s">
        <v>15860</v>
      </c>
      <c r="D2207" s="142" t="s">
        <v>15861</v>
      </c>
      <c r="E2207" s="142" t="s">
        <v>15849</v>
      </c>
      <c r="F2207" s="142" t="s">
        <v>11482</v>
      </c>
      <c r="G2207" s="142" t="s">
        <v>11481</v>
      </c>
      <c r="H2207" s="142" t="s">
        <v>18057</v>
      </c>
      <c r="I2207" s="142">
        <v>31</v>
      </c>
      <c r="J2207" s="142">
        <v>3</v>
      </c>
      <c r="K2207" s="142">
        <v>28</v>
      </c>
      <c r="L2207" s="142">
        <v>0</v>
      </c>
      <c r="M2207" s="142">
        <v>0</v>
      </c>
    </row>
    <row r="2208" spans="1:13" x14ac:dyDescent="0.45">
      <c r="A2208" s="142" t="s">
        <v>13210</v>
      </c>
      <c r="B2208" s="142" t="s">
        <v>14446</v>
      </c>
      <c r="C2208" s="142" t="s">
        <v>15860</v>
      </c>
      <c r="D2208" s="142" t="s">
        <v>15861</v>
      </c>
      <c r="E2208" s="142" t="s">
        <v>15849</v>
      </c>
      <c r="F2208" s="142" t="s">
        <v>11482</v>
      </c>
      <c r="G2208" s="142" t="s">
        <v>11481</v>
      </c>
      <c r="H2208" s="142" t="s">
        <v>18058</v>
      </c>
      <c r="I2208" s="142">
        <v>43</v>
      </c>
      <c r="J2208" s="142">
        <v>0</v>
      </c>
      <c r="K2208" s="142">
        <v>31</v>
      </c>
      <c r="L2208" s="142">
        <v>12</v>
      </c>
      <c r="M2208" s="142">
        <v>0</v>
      </c>
    </row>
    <row r="2209" spans="1:13" x14ac:dyDescent="0.45">
      <c r="A2209" s="142" t="s">
        <v>13358</v>
      </c>
      <c r="B2209" s="142" t="s">
        <v>15385</v>
      </c>
      <c r="C2209" s="142" t="s">
        <v>15860</v>
      </c>
      <c r="D2209" s="142" t="s">
        <v>15861</v>
      </c>
      <c r="E2209" s="142" t="s">
        <v>15849</v>
      </c>
      <c r="F2209" s="142" t="s">
        <v>11482</v>
      </c>
      <c r="G2209" s="142" t="s">
        <v>11481</v>
      </c>
      <c r="H2209" s="142" t="s">
        <v>18059</v>
      </c>
      <c r="I2209" s="142">
        <v>2</v>
      </c>
      <c r="J2209" s="142">
        <v>2</v>
      </c>
      <c r="K2209" s="142">
        <v>0</v>
      </c>
      <c r="L2209" s="142">
        <v>0</v>
      </c>
      <c r="M2209" s="142">
        <v>0</v>
      </c>
    </row>
    <row r="2210" spans="1:13" x14ac:dyDescent="0.45">
      <c r="A2210" s="142" t="s">
        <v>13159</v>
      </c>
      <c r="B2210" s="142" t="s">
        <v>14521</v>
      </c>
      <c r="C2210" s="142" t="s">
        <v>15860</v>
      </c>
      <c r="D2210" s="142" t="s">
        <v>15861</v>
      </c>
      <c r="E2210" s="142" t="s">
        <v>15849</v>
      </c>
      <c r="F2210" s="142" t="s">
        <v>11482</v>
      </c>
      <c r="G2210" s="142" t="s">
        <v>11481</v>
      </c>
      <c r="H2210" s="142" t="s">
        <v>18060</v>
      </c>
      <c r="I2210" s="142">
        <v>5</v>
      </c>
      <c r="J2210" s="142">
        <v>0</v>
      </c>
      <c r="K2210" s="142">
        <v>0</v>
      </c>
      <c r="L2210" s="142">
        <v>5</v>
      </c>
      <c r="M2210" s="142">
        <v>0</v>
      </c>
    </row>
    <row r="2211" spans="1:13" x14ac:dyDescent="0.45">
      <c r="A2211" s="142" t="s">
        <v>13000</v>
      </c>
      <c r="B2211" s="142" t="s">
        <v>14610</v>
      </c>
      <c r="C2211" s="142" t="s">
        <v>15847</v>
      </c>
      <c r="D2211" s="142" t="s">
        <v>15848</v>
      </c>
      <c r="E2211" s="142" t="s">
        <v>15849</v>
      </c>
      <c r="F2211" s="142" t="s">
        <v>11482</v>
      </c>
      <c r="G2211" s="142" t="s">
        <v>11481</v>
      </c>
      <c r="H2211" s="142" t="s">
        <v>18061</v>
      </c>
      <c r="I2211" s="142">
        <v>1072</v>
      </c>
      <c r="J2211" s="142">
        <v>586</v>
      </c>
      <c r="K2211" s="142">
        <v>0</v>
      </c>
      <c r="L2211" s="142">
        <v>0</v>
      </c>
      <c r="M2211" s="142">
        <v>486</v>
      </c>
    </row>
    <row r="2212" spans="1:13" x14ac:dyDescent="0.45">
      <c r="A2212" s="142" t="s">
        <v>13098</v>
      </c>
      <c r="B2212" s="142" t="s">
        <v>14528</v>
      </c>
      <c r="C2212" s="142" t="s">
        <v>15860</v>
      </c>
      <c r="D2212" s="142" t="s">
        <v>15861</v>
      </c>
      <c r="E2212" s="142" t="s">
        <v>15849</v>
      </c>
      <c r="F2212" s="142" t="s">
        <v>11482</v>
      </c>
      <c r="G2212" s="142" t="s">
        <v>11481</v>
      </c>
      <c r="H2212" s="142" t="s">
        <v>18062</v>
      </c>
      <c r="I2212" s="142">
        <v>36</v>
      </c>
      <c r="J2212" s="142">
        <v>36</v>
      </c>
      <c r="K2212" s="142">
        <v>0</v>
      </c>
      <c r="L2212" s="142">
        <v>0</v>
      </c>
      <c r="M2212" s="142">
        <v>0</v>
      </c>
    </row>
    <row r="2213" spans="1:13" x14ac:dyDescent="0.45">
      <c r="A2213" s="142" t="s">
        <v>13383</v>
      </c>
      <c r="B2213" s="142" t="s">
        <v>15507</v>
      </c>
      <c r="C2213" s="142" t="s">
        <v>15847</v>
      </c>
      <c r="D2213" s="142" t="s">
        <v>15848</v>
      </c>
      <c r="E2213" s="142" t="s">
        <v>15849</v>
      </c>
      <c r="F2213" s="142" t="s">
        <v>11482</v>
      </c>
      <c r="G2213" s="142" t="s">
        <v>11481</v>
      </c>
      <c r="H2213" s="142" t="s">
        <v>18063</v>
      </c>
      <c r="I2213" s="142">
        <v>1196</v>
      </c>
      <c r="J2213" s="142">
        <v>867</v>
      </c>
      <c r="K2213" s="142">
        <v>0</v>
      </c>
      <c r="L2213" s="142">
        <v>279</v>
      </c>
      <c r="M2213" s="142">
        <v>50</v>
      </c>
    </row>
    <row r="2214" spans="1:13" x14ac:dyDescent="0.45">
      <c r="A2214" s="142" t="s">
        <v>13574</v>
      </c>
      <c r="B2214" s="142" t="s">
        <v>14553</v>
      </c>
      <c r="C2214" s="142" t="s">
        <v>15860</v>
      </c>
      <c r="D2214" s="142" t="s">
        <v>15861</v>
      </c>
      <c r="E2214" s="142" t="s">
        <v>15849</v>
      </c>
      <c r="F2214" s="142" t="s">
        <v>11482</v>
      </c>
      <c r="G2214" s="142" t="s">
        <v>11481</v>
      </c>
      <c r="H2214" s="142" t="s">
        <v>18064</v>
      </c>
      <c r="I2214" s="142">
        <v>10</v>
      </c>
      <c r="J2214" s="142">
        <v>0</v>
      </c>
      <c r="K2214" s="142">
        <v>0</v>
      </c>
      <c r="L2214" s="142">
        <v>10</v>
      </c>
      <c r="M2214" s="142">
        <v>0</v>
      </c>
    </row>
    <row r="2215" spans="1:13" x14ac:dyDescent="0.45">
      <c r="A2215" s="142" t="s">
        <v>13384</v>
      </c>
      <c r="B2215" s="142" t="s">
        <v>15563</v>
      </c>
      <c r="C2215" s="142" t="s">
        <v>15860</v>
      </c>
      <c r="D2215" s="142" t="s">
        <v>15861</v>
      </c>
      <c r="E2215" s="142" t="s">
        <v>15849</v>
      </c>
      <c r="F2215" s="142" t="s">
        <v>11482</v>
      </c>
      <c r="G2215" s="142" t="s">
        <v>11481</v>
      </c>
      <c r="H2215" s="142" t="s">
        <v>18065</v>
      </c>
      <c r="I2215" s="142">
        <v>79</v>
      </c>
      <c r="J2215" s="142">
        <v>79</v>
      </c>
      <c r="K2215" s="142">
        <v>0</v>
      </c>
      <c r="L2215" s="142">
        <v>0</v>
      </c>
      <c r="M2215" s="142">
        <v>0</v>
      </c>
    </row>
    <row r="2216" spans="1:13" x14ac:dyDescent="0.45">
      <c r="A2216" s="142" t="s">
        <v>13575</v>
      </c>
      <c r="B2216" s="142" t="s">
        <v>15377</v>
      </c>
      <c r="C2216" s="142" t="s">
        <v>15860</v>
      </c>
      <c r="D2216" s="142" t="s">
        <v>15861</v>
      </c>
      <c r="E2216" s="142" t="s">
        <v>15849</v>
      </c>
      <c r="F2216" s="142" t="s">
        <v>11482</v>
      </c>
      <c r="G2216" s="142" t="s">
        <v>11481</v>
      </c>
      <c r="H2216" s="142" t="s">
        <v>18066</v>
      </c>
      <c r="I2216" s="142">
        <v>210</v>
      </c>
      <c r="J2216" s="142">
        <v>17</v>
      </c>
      <c r="K2216" s="142">
        <v>0</v>
      </c>
      <c r="L2216" s="142">
        <v>193</v>
      </c>
      <c r="M2216" s="142">
        <v>0</v>
      </c>
    </row>
    <row r="2217" spans="1:13" x14ac:dyDescent="0.45">
      <c r="A2217" s="142" t="s">
        <v>13099</v>
      </c>
      <c r="B2217" s="142" t="s">
        <v>14547</v>
      </c>
      <c r="C2217" s="142" t="s">
        <v>15860</v>
      </c>
      <c r="D2217" s="142" t="s">
        <v>15861</v>
      </c>
      <c r="E2217" s="142" t="s">
        <v>15849</v>
      </c>
      <c r="F2217" s="142" t="s">
        <v>11482</v>
      </c>
      <c r="G2217" s="142" t="s">
        <v>11481</v>
      </c>
      <c r="H2217" s="142" t="s">
        <v>18067</v>
      </c>
      <c r="I2217" s="142">
        <v>5</v>
      </c>
      <c r="J2217" s="142">
        <v>0</v>
      </c>
      <c r="K2217" s="142">
        <v>0</v>
      </c>
      <c r="L2217" s="142">
        <v>5</v>
      </c>
      <c r="M2217" s="142">
        <v>0</v>
      </c>
    </row>
    <row r="2218" spans="1:13" x14ac:dyDescent="0.45">
      <c r="A2218" s="142" t="s">
        <v>13576</v>
      </c>
      <c r="B2218" s="142" t="s">
        <v>15232</v>
      </c>
      <c r="C2218" s="142" t="s">
        <v>15860</v>
      </c>
      <c r="D2218" s="142" t="s">
        <v>15861</v>
      </c>
      <c r="E2218" s="142" t="s">
        <v>15849</v>
      </c>
      <c r="F2218" s="142" t="s">
        <v>11482</v>
      </c>
      <c r="G2218" s="142" t="s">
        <v>11481</v>
      </c>
      <c r="H2218" s="142" t="s">
        <v>18068</v>
      </c>
      <c r="I2218" s="142">
        <v>291</v>
      </c>
      <c r="J2218" s="142">
        <v>0</v>
      </c>
      <c r="K2218" s="142">
        <v>0</v>
      </c>
      <c r="L2218" s="142">
        <v>291</v>
      </c>
      <c r="M2218" s="142">
        <v>0</v>
      </c>
    </row>
    <row r="2219" spans="1:13" x14ac:dyDescent="0.45">
      <c r="A2219" s="142" t="s">
        <v>13049</v>
      </c>
      <c r="B2219" s="142" t="s">
        <v>14534</v>
      </c>
      <c r="C2219" s="142" t="s">
        <v>15860</v>
      </c>
      <c r="D2219" s="142" t="s">
        <v>15861</v>
      </c>
      <c r="E2219" s="142" t="s">
        <v>15849</v>
      </c>
      <c r="F2219" s="142" t="s">
        <v>11482</v>
      </c>
      <c r="G2219" s="142" t="s">
        <v>11481</v>
      </c>
      <c r="H2219" s="142" t="s">
        <v>18069</v>
      </c>
      <c r="I2219" s="142">
        <v>9</v>
      </c>
      <c r="J2219" s="142">
        <v>0</v>
      </c>
      <c r="K2219" s="142">
        <v>0</v>
      </c>
      <c r="L2219" s="142">
        <v>9</v>
      </c>
      <c r="M2219" s="142">
        <v>0</v>
      </c>
    </row>
    <row r="2220" spans="1:13" x14ac:dyDescent="0.45">
      <c r="A2220" s="142" t="s">
        <v>13027</v>
      </c>
      <c r="B2220" s="142" t="s">
        <v>14562</v>
      </c>
      <c r="C2220" s="142" t="s">
        <v>15847</v>
      </c>
      <c r="D2220" s="142" t="s">
        <v>15848</v>
      </c>
      <c r="E2220" s="142" t="s">
        <v>15849</v>
      </c>
      <c r="F2220" s="142" t="s">
        <v>11482</v>
      </c>
      <c r="G2220" s="142" t="s">
        <v>11481</v>
      </c>
      <c r="H2220" s="142" t="s">
        <v>18070</v>
      </c>
      <c r="I2220" s="142">
        <v>10</v>
      </c>
      <c r="J2220" s="142">
        <v>0</v>
      </c>
      <c r="K2220" s="142">
        <v>0</v>
      </c>
      <c r="L2220" s="142">
        <v>10</v>
      </c>
      <c r="M2220" s="142">
        <v>0</v>
      </c>
    </row>
    <row r="2221" spans="1:13" x14ac:dyDescent="0.45">
      <c r="A2221" s="142" t="s">
        <v>13001</v>
      </c>
      <c r="B2221" s="142" t="s">
        <v>15506</v>
      </c>
      <c r="C2221" s="142" t="s">
        <v>15847</v>
      </c>
      <c r="D2221" s="142" t="s">
        <v>15848</v>
      </c>
      <c r="E2221" s="142" t="s">
        <v>15849</v>
      </c>
      <c r="F2221" s="142" t="s">
        <v>11482</v>
      </c>
      <c r="G2221" s="142" t="s">
        <v>11481</v>
      </c>
      <c r="H2221" s="142" t="s">
        <v>18071</v>
      </c>
      <c r="I2221" s="142">
        <v>5</v>
      </c>
      <c r="J2221" s="142">
        <v>2</v>
      </c>
      <c r="K2221" s="142">
        <v>0</v>
      </c>
      <c r="L2221" s="142">
        <v>3</v>
      </c>
      <c r="M2221" s="142">
        <v>0</v>
      </c>
    </row>
    <row r="2222" spans="1:13" x14ac:dyDescent="0.45">
      <c r="A2222" s="142" t="s">
        <v>13149</v>
      </c>
      <c r="B2222" s="142" t="s">
        <v>14458</v>
      </c>
      <c r="C2222" s="142" t="s">
        <v>15860</v>
      </c>
      <c r="D2222" s="142" t="s">
        <v>15861</v>
      </c>
      <c r="E2222" s="142" t="s">
        <v>15849</v>
      </c>
      <c r="F2222" s="142" t="s">
        <v>11482</v>
      </c>
      <c r="G2222" s="142" t="s">
        <v>11481</v>
      </c>
      <c r="H2222" s="142" t="s">
        <v>18072</v>
      </c>
      <c r="I2222" s="142">
        <v>7</v>
      </c>
      <c r="J2222" s="142">
        <v>0</v>
      </c>
      <c r="K2222" s="142">
        <v>0</v>
      </c>
      <c r="L2222" s="142">
        <v>7</v>
      </c>
      <c r="M2222" s="142">
        <v>0</v>
      </c>
    </row>
    <row r="2223" spans="1:13" x14ac:dyDescent="0.45">
      <c r="A2223" s="142" t="s">
        <v>13050</v>
      </c>
      <c r="B2223" s="142" t="s">
        <v>15237</v>
      </c>
      <c r="C2223" s="142" t="s">
        <v>15847</v>
      </c>
      <c r="D2223" s="142" t="s">
        <v>15848</v>
      </c>
      <c r="E2223" s="142" t="s">
        <v>15849</v>
      </c>
      <c r="F2223" s="142" t="s">
        <v>11482</v>
      </c>
      <c r="G2223" s="142" t="s">
        <v>11481</v>
      </c>
      <c r="H2223" s="142" t="s">
        <v>18073</v>
      </c>
      <c r="I2223" s="142">
        <v>89</v>
      </c>
      <c r="J2223" s="142">
        <v>88</v>
      </c>
      <c r="K2223" s="142">
        <v>0</v>
      </c>
      <c r="L2223" s="142">
        <v>0</v>
      </c>
      <c r="M2223" s="142">
        <v>1</v>
      </c>
    </row>
    <row r="2224" spans="1:13" x14ac:dyDescent="0.45">
      <c r="A2224" s="142" t="s">
        <v>13215</v>
      </c>
      <c r="B2224" s="142" t="s">
        <v>15334</v>
      </c>
      <c r="C2224" s="142" t="s">
        <v>15847</v>
      </c>
      <c r="D2224" s="142" t="s">
        <v>15848</v>
      </c>
      <c r="E2224" s="142" t="s">
        <v>15849</v>
      </c>
      <c r="F2224" s="142" t="s">
        <v>11482</v>
      </c>
      <c r="G2224" s="142" t="s">
        <v>11481</v>
      </c>
      <c r="H2224" s="142" t="s">
        <v>18074</v>
      </c>
      <c r="I2224" s="142">
        <v>424</v>
      </c>
      <c r="J2224" s="142">
        <v>331</v>
      </c>
      <c r="K2224" s="142">
        <v>0</v>
      </c>
      <c r="L2224" s="142">
        <v>0</v>
      </c>
      <c r="M2224" s="142">
        <v>93</v>
      </c>
    </row>
    <row r="2225" spans="1:13" x14ac:dyDescent="0.45">
      <c r="A2225" s="142" t="s">
        <v>13002</v>
      </c>
      <c r="B2225" s="142" t="s">
        <v>15376</v>
      </c>
      <c r="C2225" s="142" t="s">
        <v>15847</v>
      </c>
      <c r="D2225" s="142" t="s">
        <v>15848</v>
      </c>
      <c r="E2225" s="142" t="s">
        <v>15849</v>
      </c>
      <c r="F2225" s="142" t="s">
        <v>11482</v>
      </c>
      <c r="G2225" s="142" t="s">
        <v>11481</v>
      </c>
      <c r="H2225" s="142" t="s">
        <v>18075</v>
      </c>
      <c r="I2225" s="142">
        <v>616</v>
      </c>
      <c r="J2225" s="142">
        <v>554</v>
      </c>
      <c r="K2225" s="142">
        <v>0</v>
      </c>
      <c r="L2225" s="142">
        <v>4</v>
      </c>
      <c r="M2225" s="142">
        <v>58</v>
      </c>
    </row>
    <row r="2226" spans="1:13" x14ac:dyDescent="0.45">
      <c r="A2226" s="142" t="s">
        <v>13003</v>
      </c>
      <c r="B2226" s="142" t="s">
        <v>15245</v>
      </c>
      <c r="C2226" s="142" t="s">
        <v>15847</v>
      </c>
      <c r="D2226" s="142" t="s">
        <v>15848</v>
      </c>
      <c r="E2226" s="142" t="s">
        <v>15849</v>
      </c>
      <c r="F2226" s="142" t="s">
        <v>11482</v>
      </c>
      <c r="G2226" s="142" t="s">
        <v>11481</v>
      </c>
      <c r="H2226" s="142" t="s">
        <v>18076</v>
      </c>
      <c r="I2226" s="142">
        <v>42</v>
      </c>
      <c r="J2226" s="142">
        <v>0</v>
      </c>
      <c r="K2226" s="142">
        <v>0</v>
      </c>
      <c r="L2226" s="142">
        <v>42</v>
      </c>
      <c r="M2226" s="142">
        <v>0</v>
      </c>
    </row>
    <row r="2227" spans="1:13" x14ac:dyDescent="0.45">
      <c r="A2227" s="142" t="s">
        <v>13004</v>
      </c>
      <c r="B2227" s="142" t="s">
        <v>15492</v>
      </c>
      <c r="C2227" s="142" t="s">
        <v>15847</v>
      </c>
      <c r="D2227" s="142" t="s">
        <v>15848</v>
      </c>
      <c r="E2227" s="142" t="s">
        <v>15849</v>
      </c>
      <c r="F2227" s="142" t="s">
        <v>11482</v>
      </c>
      <c r="G2227" s="142" t="s">
        <v>11481</v>
      </c>
      <c r="H2227" s="142" t="s">
        <v>18077</v>
      </c>
      <c r="I2227" s="142">
        <v>1514</v>
      </c>
      <c r="J2227" s="142">
        <v>1339</v>
      </c>
      <c r="K2227" s="142">
        <v>0</v>
      </c>
      <c r="L2227" s="142">
        <v>116</v>
      </c>
      <c r="M2227" s="142">
        <v>59</v>
      </c>
    </row>
    <row r="2228" spans="1:13" x14ac:dyDescent="0.45">
      <c r="A2228" s="142" t="s">
        <v>13216</v>
      </c>
      <c r="B2228" s="142" t="s">
        <v>15353</v>
      </c>
      <c r="C2228" s="142" t="s">
        <v>15860</v>
      </c>
      <c r="D2228" s="142" t="s">
        <v>15861</v>
      </c>
      <c r="E2228" s="142" t="s">
        <v>15849</v>
      </c>
      <c r="F2228" s="142" t="s">
        <v>11482</v>
      </c>
      <c r="G2228" s="142" t="s">
        <v>11481</v>
      </c>
      <c r="H2228" s="142" t="s">
        <v>18078</v>
      </c>
      <c r="I2228" s="142">
        <v>24</v>
      </c>
      <c r="J2228" s="142">
        <v>24</v>
      </c>
      <c r="K2228" s="142">
        <v>0</v>
      </c>
      <c r="L2228" s="142">
        <v>0</v>
      </c>
      <c r="M2228" s="142">
        <v>0</v>
      </c>
    </row>
    <row r="2229" spans="1:13" x14ac:dyDescent="0.45">
      <c r="A2229" s="142" t="s">
        <v>13201</v>
      </c>
      <c r="B2229" s="142" t="s">
        <v>14481</v>
      </c>
      <c r="C2229" s="142" t="s">
        <v>15860</v>
      </c>
      <c r="D2229" s="142" t="s">
        <v>15861</v>
      </c>
      <c r="E2229" s="142" t="s">
        <v>15849</v>
      </c>
      <c r="F2229" s="142" t="s">
        <v>11482</v>
      </c>
      <c r="G2229" s="142" t="s">
        <v>11481</v>
      </c>
      <c r="H2229" s="142" t="s">
        <v>18079</v>
      </c>
      <c r="I2229" s="142">
        <v>44</v>
      </c>
      <c r="J2229" s="142">
        <v>0</v>
      </c>
      <c r="K2229" s="142">
        <v>0</v>
      </c>
      <c r="L2229" s="142">
        <v>44</v>
      </c>
      <c r="M2229" s="142">
        <v>0</v>
      </c>
    </row>
    <row r="2230" spans="1:13" x14ac:dyDescent="0.45">
      <c r="A2230" s="142" t="s">
        <v>13076</v>
      </c>
      <c r="B2230" s="142" t="s">
        <v>14636</v>
      </c>
      <c r="C2230" s="142" t="s">
        <v>15847</v>
      </c>
      <c r="D2230" s="142" t="s">
        <v>15848</v>
      </c>
      <c r="E2230" s="142" t="s">
        <v>15849</v>
      </c>
      <c r="F2230" s="142" t="s">
        <v>11482</v>
      </c>
      <c r="G2230" s="142" t="s">
        <v>11481</v>
      </c>
      <c r="H2230" s="142" t="s">
        <v>18080</v>
      </c>
      <c r="I2230" s="142">
        <v>49</v>
      </c>
      <c r="J2230" s="142">
        <v>0</v>
      </c>
      <c r="K2230" s="142">
        <v>0</v>
      </c>
      <c r="L2230" s="142">
        <v>0</v>
      </c>
      <c r="M2230" s="142">
        <v>49</v>
      </c>
    </row>
    <row r="2231" spans="1:13" x14ac:dyDescent="0.45">
      <c r="A2231" s="142" t="s">
        <v>13005</v>
      </c>
      <c r="B2231" s="142" t="s">
        <v>15475</v>
      </c>
      <c r="C2231" s="142" t="s">
        <v>15847</v>
      </c>
      <c r="D2231" s="142" t="s">
        <v>15848</v>
      </c>
      <c r="E2231" s="142" t="s">
        <v>15849</v>
      </c>
      <c r="F2231" s="142" t="s">
        <v>11482</v>
      </c>
      <c r="G2231" s="142" t="s">
        <v>11481</v>
      </c>
      <c r="H2231" s="142" t="s">
        <v>18081</v>
      </c>
      <c r="I2231" s="142">
        <v>2321</v>
      </c>
      <c r="J2231" s="142">
        <v>1706</v>
      </c>
      <c r="K2231" s="142">
        <v>0</v>
      </c>
      <c r="L2231" s="142">
        <v>51</v>
      </c>
      <c r="M2231" s="142">
        <v>564</v>
      </c>
    </row>
    <row r="2232" spans="1:13" x14ac:dyDescent="0.45">
      <c r="A2232" s="142" t="s">
        <v>13101</v>
      </c>
      <c r="B2232" s="142" t="s">
        <v>15491</v>
      </c>
      <c r="C2232" s="142" t="s">
        <v>15847</v>
      </c>
      <c r="D2232" s="142" t="s">
        <v>15848</v>
      </c>
      <c r="E2232" s="142" t="s">
        <v>15849</v>
      </c>
      <c r="F2232" s="142" t="s">
        <v>11482</v>
      </c>
      <c r="G2232" s="142" t="s">
        <v>11481</v>
      </c>
      <c r="H2232" s="142" t="s">
        <v>18082</v>
      </c>
      <c r="I2232" s="142">
        <v>6</v>
      </c>
      <c r="J2232" s="142">
        <v>0</v>
      </c>
      <c r="K2232" s="142">
        <v>0</v>
      </c>
      <c r="L2232" s="142">
        <v>6</v>
      </c>
      <c r="M2232" s="142">
        <v>0</v>
      </c>
    </row>
    <row r="2233" spans="1:13" x14ac:dyDescent="0.45">
      <c r="A2233" s="142" t="s">
        <v>13029</v>
      </c>
      <c r="B2233" s="142" t="s">
        <v>14665</v>
      </c>
      <c r="C2233" s="142" t="s">
        <v>15847</v>
      </c>
      <c r="D2233" s="142" t="s">
        <v>15848</v>
      </c>
      <c r="E2233" s="142" t="s">
        <v>15849</v>
      </c>
      <c r="F2233" s="142" t="s">
        <v>11482</v>
      </c>
      <c r="G2233" s="142" t="s">
        <v>11481</v>
      </c>
      <c r="H2233" s="142" t="s">
        <v>18083</v>
      </c>
      <c r="I2233" s="142">
        <v>13</v>
      </c>
      <c r="J2233" s="142">
        <v>0</v>
      </c>
      <c r="K2233" s="142">
        <v>0</v>
      </c>
      <c r="L2233" s="142">
        <v>0</v>
      </c>
      <c r="M2233" s="142">
        <v>13</v>
      </c>
    </row>
    <row r="2234" spans="1:13" x14ac:dyDescent="0.45">
      <c r="A2234" s="142" t="s">
        <v>13339</v>
      </c>
      <c r="B2234" s="142" t="s">
        <v>14666</v>
      </c>
      <c r="C2234" s="142" t="s">
        <v>15860</v>
      </c>
      <c r="D2234" s="142" t="s">
        <v>15861</v>
      </c>
      <c r="E2234" s="142" t="s">
        <v>15849</v>
      </c>
      <c r="F2234" s="142" t="s">
        <v>11482</v>
      </c>
      <c r="G2234" s="142" t="s">
        <v>11481</v>
      </c>
      <c r="H2234" s="142" t="s">
        <v>18084</v>
      </c>
      <c r="I2234" s="142">
        <v>19</v>
      </c>
      <c r="J2234" s="142">
        <v>19</v>
      </c>
      <c r="K2234" s="142">
        <v>0</v>
      </c>
      <c r="L2234" s="142">
        <v>0</v>
      </c>
      <c r="M2234" s="142">
        <v>0</v>
      </c>
    </row>
    <row r="2235" spans="1:13" x14ac:dyDescent="0.45">
      <c r="A2235" s="142" t="s">
        <v>13577</v>
      </c>
      <c r="B2235" s="142" t="s">
        <v>14442</v>
      </c>
      <c r="C2235" s="142" t="s">
        <v>15860</v>
      </c>
      <c r="D2235" s="142" t="s">
        <v>15861</v>
      </c>
      <c r="E2235" s="142" t="s">
        <v>15849</v>
      </c>
      <c r="F2235" s="142" t="s">
        <v>11482</v>
      </c>
      <c r="G2235" s="142" t="s">
        <v>11481</v>
      </c>
      <c r="H2235" s="142" t="s">
        <v>18085</v>
      </c>
      <c r="I2235" s="142">
        <v>2</v>
      </c>
      <c r="J2235" s="142">
        <v>2</v>
      </c>
      <c r="K2235" s="142">
        <v>0</v>
      </c>
      <c r="L2235" s="142">
        <v>0</v>
      </c>
      <c r="M2235" s="142">
        <v>0</v>
      </c>
    </row>
    <row r="2236" spans="1:13" x14ac:dyDescent="0.45">
      <c r="A2236" s="142" t="s">
        <v>13006</v>
      </c>
      <c r="B2236" s="142" t="s">
        <v>15288</v>
      </c>
      <c r="C2236" s="142" t="s">
        <v>15847</v>
      </c>
      <c r="D2236" s="142" t="s">
        <v>15848</v>
      </c>
      <c r="E2236" s="142" t="s">
        <v>15849</v>
      </c>
      <c r="F2236" s="142" t="s">
        <v>11482</v>
      </c>
      <c r="G2236" s="142" t="s">
        <v>11481</v>
      </c>
      <c r="H2236" s="142" t="s">
        <v>18086</v>
      </c>
      <c r="I2236" s="142">
        <v>50</v>
      </c>
      <c r="J2236" s="142">
        <v>47</v>
      </c>
      <c r="K2236" s="142">
        <v>0</v>
      </c>
      <c r="L2236" s="142">
        <v>0</v>
      </c>
      <c r="M2236" s="142">
        <v>3</v>
      </c>
    </row>
    <row r="2237" spans="1:13" x14ac:dyDescent="0.45">
      <c r="A2237" s="142" t="s">
        <v>13007</v>
      </c>
      <c r="B2237" s="142" t="s">
        <v>15262</v>
      </c>
      <c r="C2237" s="142" t="s">
        <v>15847</v>
      </c>
      <c r="D2237" s="142" t="s">
        <v>15848</v>
      </c>
      <c r="E2237" s="142" t="s">
        <v>15849</v>
      </c>
      <c r="F2237" s="142" t="s">
        <v>11482</v>
      </c>
      <c r="G2237" s="142" t="s">
        <v>11481</v>
      </c>
      <c r="H2237" s="142" t="s">
        <v>18087</v>
      </c>
      <c r="I2237" s="142">
        <v>581</v>
      </c>
      <c r="J2237" s="142">
        <v>444</v>
      </c>
      <c r="K2237" s="142">
        <v>0</v>
      </c>
      <c r="L2237" s="142">
        <v>33</v>
      </c>
      <c r="M2237" s="142">
        <v>104</v>
      </c>
    </row>
    <row r="2238" spans="1:13" x14ac:dyDescent="0.45">
      <c r="A2238" s="142" t="s">
        <v>13103</v>
      </c>
      <c r="B2238" s="142" t="s">
        <v>14623</v>
      </c>
      <c r="C2238" s="142" t="s">
        <v>15847</v>
      </c>
      <c r="D2238" s="142" t="s">
        <v>15848</v>
      </c>
      <c r="E2238" s="142" t="s">
        <v>15849</v>
      </c>
      <c r="F2238" s="142" t="s">
        <v>11482</v>
      </c>
      <c r="G2238" s="142" t="s">
        <v>11481</v>
      </c>
      <c r="H2238" s="142" t="s">
        <v>18088</v>
      </c>
      <c r="I2238" s="142">
        <v>635</v>
      </c>
      <c r="J2238" s="142">
        <v>598</v>
      </c>
      <c r="K2238" s="142">
        <v>0</v>
      </c>
      <c r="L2238" s="142">
        <v>26</v>
      </c>
      <c r="M2238" s="142">
        <v>11</v>
      </c>
    </row>
    <row r="2239" spans="1:13" x14ac:dyDescent="0.45">
      <c r="A2239" s="142" t="s">
        <v>13054</v>
      </c>
      <c r="B2239" s="142" t="s">
        <v>15604</v>
      </c>
      <c r="C2239" s="142" t="s">
        <v>15847</v>
      </c>
      <c r="D2239" s="142" t="s">
        <v>15848</v>
      </c>
      <c r="E2239" s="142" t="s">
        <v>15849</v>
      </c>
      <c r="F2239" s="142" t="s">
        <v>11482</v>
      </c>
      <c r="G2239" s="142" t="s">
        <v>11481</v>
      </c>
      <c r="H2239" s="142" t="s">
        <v>18089</v>
      </c>
      <c r="I2239" s="142">
        <v>51</v>
      </c>
      <c r="J2239" s="142">
        <v>0</v>
      </c>
      <c r="K2239" s="142">
        <v>0</v>
      </c>
      <c r="L2239" s="142">
        <v>0</v>
      </c>
      <c r="M2239" s="142">
        <v>51</v>
      </c>
    </row>
    <row r="2240" spans="1:13" x14ac:dyDescent="0.45">
      <c r="A2240" s="142" t="s">
        <v>13340</v>
      </c>
      <c r="B2240" s="142" t="s">
        <v>14499</v>
      </c>
      <c r="C2240" s="142" t="s">
        <v>15860</v>
      </c>
      <c r="D2240" s="142" t="s">
        <v>15861</v>
      </c>
      <c r="E2240" s="142" t="s">
        <v>15849</v>
      </c>
      <c r="F2240" s="142" t="s">
        <v>11482</v>
      </c>
      <c r="G2240" s="142" t="s">
        <v>11481</v>
      </c>
      <c r="H2240" s="142" t="s">
        <v>18090</v>
      </c>
      <c r="I2240" s="142">
        <v>3</v>
      </c>
      <c r="J2240" s="142">
        <v>3</v>
      </c>
      <c r="K2240" s="142">
        <v>0</v>
      </c>
      <c r="L2240" s="142">
        <v>0</v>
      </c>
      <c r="M2240" s="142">
        <v>0</v>
      </c>
    </row>
    <row r="2241" spans="1:13" x14ac:dyDescent="0.45">
      <c r="A2241" s="142" t="s">
        <v>13008</v>
      </c>
      <c r="B2241" s="142" t="s">
        <v>15411</v>
      </c>
      <c r="C2241" s="142" t="s">
        <v>15847</v>
      </c>
      <c r="D2241" s="142" t="s">
        <v>15848</v>
      </c>
      <c r="E2241" s="142" t="s">
        <v>15849</v>
      </c>
      <c r="F2241" s="142" t="s">
        <v>11482</v>
      </c>
      <c r="G2241" s="142" t="s">
        <v>11481</v>
      </c>
      <c r="H2241" s="142" t="s">
        <v>18091</v>
      </c>
      <c r="I2241" s="142">
        <v>18</v>
      </c>
      <c r="J2241" s="142">
        <v>0</v>
      </c>
      <c r="K2241" s="142">
        <v>0</v>
      </c>
      <c r="L2241" s="142">
        <v>0</v>
      </c>
      <c r="M2241" s="142">
        <v>18</v>
      </c>
    </row>
    <row r="2242" spans="1:13" x14ac:dyDescent="0.45">
      <c r="A2242" s="142" t="s">
        <v>13077</v>
      </c>
      <c r="B2242" s="142" t="s">
        <v>15407</v>
      </c>
      <c r="C2242" s="142" t="s">
        <v>15847</v>
      </c>
      <c r="D2242" s="142" t="s">
        <v>15848</v>
      </c>
      <c r="E2242" s="142" t="s">
        <v>15849</v>
      </c>
      <c r="F2242" s="142" t="s">
        <v>11482</v>
      </c>
      <c r="G2242" s="142" t="s">
        <v>11481</v>
      </c>
      <c r="H2242" s="142" t="s">
        <v>18092</v>
      </c>
      <c r="I2242" s="142">
        <v>176</v>
      </c>
      <c r="J2242" s="142">
        <v>176</v>
      </c>
      <c r="K2242" s="142">
        <v>0</v>
      </c>
      <c r="L2242" s="142">
        <v>0</v>
      </c>
      <c r="M2242" s="142">
        <v>0</v>
      </c>
    </row>
    <row r="2243" spans="1:13" x14ac:dyDescent="0.45">
      <c r="A2243" s="142" t="s">
        <v>13055</v>
      </c>
      <c r="B2243" s="142" t="s">
        <v>14595</v>
      </c>
      <c r="C2243" s="142" t="s">
        <v>15847</v>
      </c>
      <c r="D2243" s="142" t="s">
        <v>15848</v>
      </c>
      <c r="E2243" s="142" t="s">
        <v>15849</v>
      </c>
      <c r="F2243" s="142" t="s">
        <v>11482</v>
      </c>
      <c r="G2243" s="142" t="s">
        <v>11481</v>
      </c>
      <c r="H2243" s="142" t="s">
        <v>18093</v>
      </c>
      <c r="I2243" s="142">
        <v>328</v>
      </c>
      <c r="J2243" s="142">
        <v>162</v>
      </c>
      <c r="K2243" s="142">
        <v>0</v>
      </c>
      <c r="L2243" s="142">
        <v>0</v>
      </c>
      <c r="M2243" s="142">
        <v>166</v>
      </c>
    </row>
    <row r="2244" spans="1:13" x14ac:dyDescent="0.45">
      <c r="A2244" s="142" t="s">
        <v>13104</v>
      </c>
      <c r="B2244" s="142" t="s">
        <v>14622</v>
      </c>
      <c r="C2244" s="142" t="s">
        <v>15847</v>
      </c>
      <c r="D2244" s="142" t="s">
        <v>15848</v>
      </c>
      <c r="E2244" s="142" t="s">
        <v>15849</v>
      </c>
      <c r="F2244" s="142" t="s">
        <v>11482</v>
      </c>
      <c r="G2244" s="142" t="s">
        <v>11481</v>
      </c>
      <c r="H2244" s="142" t="s">
        <v>18094</v>
      </c>
      <c r="I2244" s="142">
        <v>489</v>
      </c>
      <c r="J2244" s="142">
        <v>395</v>
      </c>
      <c r="K2244" s="142">
        <v>0</v>
      </c>
      <c r="L2244" s="142">
        <v>22</v>
      </c>
      <c r="M2244" s="142">
        <v>72</v>
      </c>
    </row>
    <row r="2245" spans="1:13" x14ac:dyDescent="0.45">
      <c r="A2245" s="142" t="s">
        <v>13218</v>
      </c>
      <c r="B2245" s="142" t="s">
        <v>15316</v>
      </c>
      <c r="C2245" s="142" t="s">
        <v>15860</v>
      </c>
      <c r="D2245" s="142" t="s">
        <v>15861</v>
      </c>
      <c r="E2245" s="142" t="s">
        <v>15849</v>
      </c>
      <c r="F2245" s="142" t="s">
        <v>11482</v>
      </c>
      <c r="G2245" s="142" t="s">
        <v>11481</v>
      </c>
      <c r="H2245" s="142" t="s">
        <v>18095</v>
      </c>
      <c r="I2245" s="142">
        <v>1</v>
      </c>
      <c r="J2245" s="142">
        <v>1</v>
      </c>
      <c r="K2245" s="142">
        <v>0</v>
      </c>
      <c r="L2245" s="142">
        <v>0</v>
      </c>
      <c r="M2245" s="142">
        <v>0</v>
      </c>
    </row>
    <row r="2246" spans="1:13" x14ac:dyDescent="0.45">
      <c r="A2246" s="142" t="s">
        <v>13033</v>
      </c>
      <c r="B2246" s="142" t="s">
        <v>15276</v>
      </c>
      <c r="C2246" s="142" t="s">
        <v>15847</v>
      </c>
      <c r="D2246" s="142" t="s">
        <v>15848</v>
      </c>
      <c r="E2246" s="142" t="s">
        <v>15849</v>
      </c>
      <c r="F2246" s="142" t="s">
        <v>11482</v>
      </c>
      <c r="G2246" s="142" t="s">
        <v>11481</v>
      </c>
      <c r="H2246" s="142" t="s">
        <v>18096</v>
      </c>
      <c r="I2246" s="142">
        <v>30</v>
      </c>
      <c r="J2246" s="142">
        <v>15</v>
      </c>
      <c r="K2246" s="142">
        <v>0</v>
      </c>
      <c r="L2246" s="142">
        <v>0</v>
      </c>
      <c r="M2246" s="142">
        <v>15</v>
      </c>
    </row>
    <row r="2247" spans="1:13" x14ac:dyDescent="0.45">
      <c r="A2247" s="142" t="s">
        <v>13578</v>
      </c>
      <c r="B2247" s="142" t="s">
        <v>14488</v>
      </c>
      <c r="C2247" s="142" t="s">
        <v>15860</v>
      </c>
      <c r="D2247" s="142" t="s">
        <v>15861</v>
      </c>
      <c r="E2247" s="142" t="s">
        <v>15849</v>
      </c>
      <c r="F2247" s="142" t="s">
        <v>11482</v>
      </c>
      <c r="G2247" s="142" t="s">
        <v>11481</v>
      </c>
      <c r="H2247" s="142" t="s">
        <v>18097</v>
      </c>
      <c r="I2247" s="142">
        <v>105</v>
      </c>
      <c r="J2247" s="142">
        <v>0</v>
      </c>
      <c r="K2247" s="142">
        <v>0</v>
      </c>
      <c r="L2247" s="142">
        <v>105</v>
      </c>
      <c r="M2247" s="142">
        <v>0</v>
      </c>
    </row>
    <row r="2248" spans="1:13" x14ac:dyDescent="0.45">
      <c r="A2248" s="142" t="s">
        <v>13389</v>
      </c>
      <c r="B2248" s="142" t="s">
        <v>15361</v>
      </c>
      <c r="C2248" s="142" t="s">
        <v>15860</v>
      </c>
      <c r="D2248" s="142" t="s">
        <v>15861</v>
      </c>
      <c r="E2248" s="142" t="s">
        <v>15849</v>
      </c>
      <c r="F2248" s="142" t="s">
        <v>11482</v>
      </c>
      <c r="G2248" s="142" t="s">
        <v>11481</v>
      </c>
      <c r="H2248" s="142" t="s">
        <v>18098</v>
      </c>
      <c r="I2248" s="142">
        <v>95</v>
      </c>
      <c r="J2248" s="142">
        <v>95</v>
      </c>
      <c r="K2248" s="142">
        <v>0</v>
      </c>
      <c r="L2248" s="142">
        <v>0</v>
      </c>
      <c r="M2248" s="142">
        <v>0</v>
      </c>
    </row>
    <row r="2249" spans="1:13" x14ac:dyDescent="0.45">
      <c r="A2249" s="142" t="s">
        <v>13037</v>
      </c>
      <c r="B2249" s="142" t="s">
        <v>14519</v>
      </c>
      <c r="C2249" s="142" t="s">
        <v>15847</v>
      </c>
      <c r="D2249" s="142" t="s">
        <v>15848</v>
      </c>
      <c r="E2249" s="142" t="s">
        <v>15849</v>
      </c>
      <c r="F2249" s="142" t="s">
        <v>11482</v>
      </c>
      <c r="G2249" s="142" t="s">
        <v>11481</v>
      </c>
      <c r="H2249" s="142" t="s">
        <v>18099</v>
      </c>
      <c r="I2249" s="142">
        <v>5</v>
      </c>
      <c r="J2249" s="142">
        <v>0</v>
      </c>
      <c r="K2249" s="142">
        <v>0</v>
      </c>
      <c r="L2249" s="142">
        <v>5</v>
      </c>
      <c r="M2249" s="142">
        <v>0</v>
      </c>
    </row>
    <row r="2250" spans="1:13" x14ac:dyDescent="0.45">
      <c r="A2250" s="142" t="s">
        <v>13038</v>
      </c>
      <c r="B2250" s="142" t="s">
        <v>14646</v>
      </c>
      <c r="C2250" s="142" t="s">
        <v>15847</v>
      </c>
      <c r="D2250" s="142" t="s">
        <v>15848</v>
      </c>
      <c r="E2250" s="142" t="s">
        <v>15849</v>
      </c>
      <c r="F2250" s="142" t="s">
        <v>11482</v>
      </c>
      <c r="G2250" s="142" t="s">
        <v>11481</v>
      </c>
      <c r="H2250" s="142" t="s">
        <v>18100</v>
      </c>
      <c r="I2250" s="142">
        <v>3</v>
      </c>
      <c r="J2250" s="142">
        <v>0</v>
      </c>
      <c r="K2250" s="142">
        <v>0</v>
      </c>
      <c r="L2250" s="142">
        <v>0</v>
      </c>
      <c r="M2250" s="142">
        <v>3</v>
      </c>
    </row>
    <row r="2251" spans="1:13" x14ac:dyDescent="0.45">
      <c r="A2251" s="142" t="s">
        <v>13039</v>
      </c>
      <c r="B2251" s="142" t="s">
        <v>14647</v>
      </c>
      <c r="C2251" s="142" t="s">
        <v>15847</v>
      </c>
      <c r="D2251" s="142" t="s">
        <v>15848</v>
      </c>
      <c r="E2251" s="142" t="s">
        <v>15849</v>
      </c>
      <c r="F2251" s="142" t="s">
        <v>11482</v>
      </c>
      <c r="G2251" s="142" t="s">
        <v>11481</v>
      </c>
      <c r="H2251" s="142" t="s">
        <v>18101</v>
      </c>
      <c r="I2251" s="142">
        <v>5</v>
      </c>
      <c r="J2251" s="142">
        <v>5</v>
      </c>
      <c r="K2251" s="142">
        <v>0</v>
      </c>
      <c r="L2251" s="142">
        <v>0</v>
      </c>
      <c r="M2251" s="142">
        <v>0</v>
      </c>
    </row>
    <row r="2252" spans="1:13" x14ac:dyDescent="0.45">
      <c r="A2252" s="142" t="s">
        <v>13009</v>
      </c>
      <c r="B2252" s="142" t="s">
        <v>15256</v>
      </c>
      <c r="C2252" s="142" t="s">
        <v>15847</v>
      </c>
      <c r="D2252" s="142" t="s">
        <v>15848</v>
      </c>
      <c r="E2252" s="142" t="s">
        <v>15849</v>
      </c>
      <c r="F2252" s="142" t="s">
        <v>11482</v>
      </c>
      <c r="G2252" s="142" t="s">
        <v>11481</v>
      </c>
      <c r="H2252" s="142" t="s">
        <v>18102</v>
      </c>
      <c r="I2252" s="142">
        <v>91</v>
      </c>
      <c r="J2252" s="142">
        <v>13</v>
      </c>
      <c r="K2252" s="142">
        <v>0</v>
      </c>
      <c r="L2252" s="142">
        <v>78</v>
      </c>
      <c r="M2252" s="142">
        <v>0</v>
      </c>
    </row>
    <row r="2253" spans="1:13" x14ac:dyDescent="0.45">
      <c r="A2253" s="142" t="s">
        <v>13011</v>
      </c>
      <c r="B2253" s="142" t="s">
        <v>14695</v>
      </c>
      <c r="C2253" s="142" t="s">
        <v>15847</v>
      </c>
      <c r="D2253" s="142" t="s">
        <v>15848</v>
      </c>
      <c r="E2253" s="142" t="s">
        <v>15849</v>
      </c>
      <c r="F2253" s="142" t="s">
        <v>11482</v>
      </c>
      <c r="G2253" s="142" t="s">
        <v>11481</v>
      </c>
      <c r="H2253" s="142" t="s">
        <v>18103</v>
      </c>
      <c r="I2253" s="142">
        <v>3754</v>
      </c>
      <c r="J2253" s="142">
        <v>2742</v>
      </c>
      <c r="K2253" s="142">
        <v>0</v>
      </c>
      <c r="L2253" s="142">
        <v>175</v>
      </c>
      <c r="M2253" s="142">
        <v>837</v>
      </c>
    </row>
    <row r="2254" spans="1:13" x14ac:dyDescent="0.45">
      <c r="A2254" s="142" t="s">
        <v>13579</v>
      </c>
      <c r="B2254" s="142" t="s">
        <v>15160</v>
      </c>
      <c r="C2254" s="142" t="s">
        <v>15860</v>
      </c>
      <c r="D2254" s="142" t="s">
        <v>15861</v>
      </c>
      <c r="E2254" s="142" t="s">
        <v>15849</v>
      </c>
      <c r="F2254" s="142" t="s">
        <v>11482</v>
      </c>
      <c r="G2254" s="142" t="s">
        <v>11481</v>
      </c>
      <c r="H2254" s="142" t="s">
        <v>18104</v>
      </c>
      <c r="I2254" s="142">
        <v>11</v>
      </c>
      <c r="J2254" s="142">
        <v>0</v>
      </c>
      <c r="K2254" s="142">
        <v>0</v>
      </c>
      <c r="L2254" s="142">
        <v>11</v>
      </c>
      <c r="M2254" s="142">
        <v>0</v>
      </c>
    </row>
    <row r="2255" spans="1:13" x14ac:dyDescent="0.45">
      <c r="A2255" s="142" t="s">
        <v>13058</v>
      </c>
      <c r="B2255" s="142" t="s">
        <v>14584</v>
      </c>
      <c r="C2255" s="142" t="s">
        <v>15847</v>
      </c>
      <c r="D2255" s="142" t="s">
        <v>15848</v>
      </c>
      <c r="E2255" s="142" t="s">
        <v>15849</v>
      </c>
      <c r="F2255" s="142" t="s">
        <v>11482</v>
      </c>
      <c r="G2255" s="142" t="s">
        <v>11481</v>
      </c>
      <c r="H2255" s="142" t="s">
        <v>18105</v>
      </c>
      <c r="I2255" s="142">
        <v>1</v>
      </c>
      <c r="J2255" s="142">
        <v>0</v>
      </c>
      <c r="K2255" s="142">
        <v>0</v>
      </c>
      <c r="L2255" s="142">
        <v>0</v>
      </c>
      <c r="M2255" s="142">
        <v>1</v>
      </c>
    </row>
    <row r="2256" spans="1:13" x14ac:dyDescent="0.45">
      <c r="A2256" s="142" t="s">
        <v>13041</v>
      </c>
      <c r="B2256" s="142" t="s">
        <v>14441</v>
      </c>
      <c r="C2256" s="142" t="s">
        <v>15847</v>
      </c>
      <c r="D2256" s="142" t="s">
        <v>15848</v>
      </c>
      <c r="E2256" s="142" t="s">
        <v>15849</v>
      </c>
      <c r="F2256" s="142" t="s">
        <v>11482</v>
      </c>
      <c r="G2256" s="142" t="s">
        <v>11481</v>
      </c>
      <c r="H2256" s="142" t="s">
        <v>18106</v>
      </c>
      <c r="I2256" s="142">
        <v>4</v>
      </c>
      <c r="J2256" s="142">
        <v>0</v>
      </c>
      <c r="K2256" s="142">
        <v>0</v>
      </c>
      <c r="L2256" s="142">
        <v>0</v>
      </c>
      <c r="M2256" s="142">
        <v>4</v>
      </c>
    </row>
    <row r="2257" spans="1:13" x14ac:dyDescent="0.45">
      <c r="A2257" s="142" t="s">
        <v>13220</v>
      </c>
      <c r="B2257" s="142" t="s">
        <v>15505</v>
      </c>
      <c r="C2257" s="142" t="s">
        <v>15860</v>
      </c>
      <c r="D2257" s="142" t="s">
        <v>15861</v>
      </c>
      <c r="E2257" s="142" t="s">
        <v>15849</v>
      </c>
      <c r="F2257" s="142" t="s">
        <v>11482</v>
      </c>
      <c r="G2257" s="142" t="s">
        <v>11481</v>
      </c>
      <c r="H2257" s="142" t="s">
        <v>18107</v>
      </c>
      <c r="I2257" s="142">
        <v>96</v>
      </c>
      <c r="J2257" s="142">
        <v>34</v>
      </c>
      <c r="K2257" s="142">
        <v>0</v>
      </c>
      <c r="L2257" s="142">
        <v>62</v>
      </c>
      <c r="M2257" s="142">
        <v>0</v>
      </c>
    </row>
    <row r="2258" spans="1:13" x14ac:dyDescent="0.45">
      <c r="A2258" s="142" t="s">
        <v>13580</v>
      </c>
      <c r="B2258" s="142" t="s">
        <v>15152</v>
      </c>
      <c r="C2258" s="142" t="s">
        <v>15860</v>
      </c>
      <c r="D2258" s="142" t="s">
        <v>15861</v>
      </c>
      <c r="E2258" s="142" t="s">
        <v>15849</v>
      </c>
      <c r="F2258" s="142" t="s">
        <v>11482</v>
      </c>
      <c r="G2258" s="142" t="s">
        <v>11481</v>
      </c>
      <c r="H2258" s="142" t="s">
        <v>18108</v>
      </c>
      <c r="I2258" s="142">
        <v>9</v>
      </c>
      <c r="J2258" s="142">
        <v>0</v>
      </c>
      <c r="K2258" s="142">
        <v>0</v>
      </c>
      <c r="L2258" s="142">
        <v>9</v>
      </c>
      <c r="M2258" s="142">
        <v>0</v>
      </c>
    </row>
    <row r="2259" spans="1:13" x14ac:dyDescent="0.45">
      <c r="A2259" s="142" t="s">
        <v>13014</v>
      </c>
      <c r="B2259" s="142" t="s">
        <v>14505</v>
      </c>
      <c r="C2259" s="142" t="s">
        <v>15847</v>
      </c>
      <c r="D2259" s="142" t="s">
        <v>15848</v>
      </c>
      <c r="E2259" s="142" t="s">
        <v>15849</v>
      </c>
      <c r="F2259" s="142" t="s">
        <v>11482</v>
      </c>
      <c r="G2259" s="142" t="s">
        <v>11481</v>
      </c>
      <c r="H2259" s="142" t="s">
        <v>18109</v>
      </c>
      <c r="I2259" s="142">
        <v>138</v>
      </c>
      <c r="J2259" s="142">
        <v>112</v>
      </c>
      <c r="K2259" s="142">
        <v>0</v>
      </c>
      <c r="L2259" s="142">
        <v>26</v>
      </c>
      <c r="M2259" s="142">
        <v>0</v>
      </c>
    </row>
    <row r="2260" spans="1:13" x14ac:dyDescent="0.45">
      <c r="A2260" s="142" t="s">
        <v>13042</v>
      </c>
      <c r="B2260" s="142" t="s">
        <v>15489</v>
      </c>
      <c r="C2260" s="142" t="s">
        <v>15847</v>
      </c>
      <c r="D2260" s="142" t="s">
        <v>15848</v>
      </c>
      <c r="E2260" s="142" t="s">
        <v>15849</v>
      </c>
      <c r="F2260" s="142" t="s">
        <v>11482</v>
      </c>
      <c r="G2260" s="142" t="s">
        <v>11481</v>
      </c>
      <c r="H2260" s="142" t="s">
        <v>18110</v>
      </c>
      <c r="I2260" s="142">
        <v>64</v>
      </c>
      <c r="J2260" s="142">
        <v>64</v>
      </c>
      <c r="K2260" s="142">
        <v>0</v>
      </c>
      <c r="L2260" s="142">
        <v>0</v>
      </c>
      <c r="M2260" s="142">
        <v>0</v>
      </c>
    </row>
    <row r="2261" spans="1:13" x14ac:dyDescent="0.45">
      <c r="A2261" s="142" t="s">
        <v>13062</v>
      </c>
      <c r="B2261" s="142" t="s">
        <v>15259</v>
      </c>
      <c r="C2261" s="142" t="s">
        <v>15847</v>
      </c>
      <c r="D2261" s="142" t="s">
        <v>15848</v>
      </c>
      <c r="E2261" s="142" t="s">
        <v>15849</v>
      </c>
      <c r="F2261" s="142" t="s">
        <v>11482</v>
      </c>
      <c r="G2261" s="142" t="s">
        <v>11481</v>
      </c>
      <c r="H2261" s="142" t="s">
        <v>18111</v>
      </c>
      <c r="I2261" s="142">
        <v>1295</v>
      </c>
      <c r="J2261" s="142">
        <v>1169</v>
      </c>
      <c r="K2261" s="142">
        <v>5</v>
      </c>
      <c r="L2261" s="142">
        <v>0</v>
      </c>
      <c r="M2261" s="142">
        <v>121</v>
      </c>
    </row>
    <row r="2262" spans="1:13" x14ac:dyDescent="0.45">
      <c r="A2262" s="142" t="s">
        <v>13144</v>
      </c>
      <c r="B2262" s="142" t="s">
        <v>14464</v>
      </c>
      <c r="C2262" s="142" t="s">
        <v>15860</v>
      </c>
      <c r="D2262" s="142" t="s">
        <v>15861</v>
      </c>
      <c r="E2262" s="142" t="s">
        <v>15849</v>
      </c>
      <c r="F2262" s="142" t="s">
        <v>11482</v>
      </c>
      <c r="G2262" s="142" t="s">
        <v>11481</v>
      </c>
      <c r="H2262" s="142" t="s">
        <v>18112</v>
      </c>
      <c r="I2262" s="142">
        <v>1</v>
      </c>
      <c r="J2262" s="142">
        <v>1</v>
      </c>
      <c r="K2262" s="142">
        <v>0</v>
      </c>
      <c r="L2262" s="142">
        <v>0</v>
      </c>
      <c r="M2262" s="142">
        <v>0</v>
      </c>
    </row>
    <row r="2263" spans="1:13" x14ac:dyDescent="0.45">
      <c r="A2263" s="142" t="s">
        <v>13023</v>
      </c>
      <c r="B2263" s="142" t="s">
        <v>15571</v>
      </c>
      <c r="C2263" s="142" t="s">
        <v>15847</v>
      </c>
      <c r="D2263" s="142" t="s">
        <v>15848</v>
      </c>
      <c r="E2263" s="142" t="s">
        <v>15849</v>
      </c>
      <c r="F2263" s="142" t="s">
        <v>2757</v>
      </c>
      <c r="G2263" s="142" t="s">
        <v>2756</v>
      </c>
      <c r="H2263" s="142" t="s">
        <v>18113</v>
      </c>
      <c r="I2263" s="142">
        <v>306</v>
      </c>
      <c r="J2263" s="142">
        <v>0</v>
      </c>
      <c r="K2263" s="142">
        <v>0</v>
      </c>
      <c r="L2263" s="142">
        <v>306</v>
      </c>
      <c r="M2263" s="142">
        <v>0</v>
      </c>
    </row>
    <row r="2264" spans="1:13" x14ac:dyDescent="0.45">
      <c r="A2264" s="142" t="s">
        <v>13147</v>
      </c>
      <c r="B2264" s="142" t="s">
        <v>14529</v>
      </c>
      <c r="C2264" s="142" t="s">
        <v>15860</v>
      </c>
      <c r="D2264" s="142" t="s">
        <v>15861</v>
      </c>
      <c r="E2264" s="142" t="s">
        <v>15849</v>
      </c>
      <c r="F2264" s="142" t="s">
        <v>2757</v>
      </c>
      <c r="G2264" s="142" t="s">
        <v>2756</v>
      </c>
      <c r="H2264" s="142" t="s">
        <v>18114</v>
      </c>
      <c r="I2264" s="142">
        <v>4</v>
      </c>
      <c r="J2264" s="142">
        <v>4</v>
      </c>
      <c r="K2264" s="142">
        <v>0</v>
      </c>
      <c r="L2264" s="142">
        <v>0</v>
      </c>
      <c r="M2264" s="142">
        <v>0</v>
      </c>
    </row>
    <row r="2265" spans="1:13" x14ac:dyDescent="0.45">
      <c r="A2265" s="142" t="s">
        <v>13549</v>
      </c>
      <c r="B2265" s="142" t="s">
        <v>14603</v>
      </c>
      <c r="C2265" s="142" t="s">
        <v>15847</v>
      </c>
      <c r="D2265" s="142" t="s">
        <v>15848</v>
      </c>
      <c r="E2265" s="142" t="s">
        <v>15849</v>
      </c>
      <c r="F2265" s="142" t="s">
        <v>2757</v>
      </c>
      <c r="G2265" s="142" t="s">
        <v>2756</v>
      </c>
      <c r="H2265" s="142" t="s">
        <v>18115</v>
      </c>
      <c r="I2265" s="142">
        <v>4331</v>
      </c>
      <c r="J2265" s="142">
        <v>3833</v>
      </c>
      <c r="K2265" s="142">
        <v>0</v>
      </c>
      <c r="L2265" s="142">
        <v>310</v>
      </c>
      <c r="M2265" s="142">
        <v>188</v>
      </c>
    </row>
    <row r="2266" spans="1:13" x14ac:dyDescent="0.45">
      <c r="A2266" s="142" t="s">
        <v>13238</v>
      </c>
      <c r="B2266" s="142" t="s">
        <v>14477</v>
      </c>
      <c r="C2266" s="142" t="s">
        <v>15860</v>
      </c>
      <c r="D2266" s="142" t="s">
        <v>15861</v>
      </c>
      <c r="E2266" s="142" t="s">
        <v>15849</v>
      </c>
      <c r="F2266" s="142" t="s">
        <v>2757</v>
      </c>
      <c r="G2266" s="142" t="s">
        <v>2756</v>
      </c>
      <c r="H2266" s="142" t="s">
        <v>18116</v>
      </c>
      <c r="I2266" s="142">
        <v>11</v>
      </c>
      <c r="J2266" s="142">
        <v>0</v>
      </c>
      <c r="K2266" s="142">
        <v>0</v>
      </c>
      <c r="L2266" s="142">
        <v>11</v>
      </c>
      <c r="M2266" s="142">
        <v>0</v>
      </c>
    </row>
    <row r="2267" spans="1:13" x14ac:dyDescent="0.45">
      <c r="A2267" s="142" t="s">
        <v>13119</v>
      </c>
      <c r="B2267" s="142" t="s">
        <v>14451</v>
      </c>
      <c r="C2267" s="142" t="s">
        <v>15860</v>
      </c>
      <c r="D2267" s="142" t="s">
        <v>15861</v>
      </c>
      <c r="E2267" s="142" t="s">
        <v>15849</v>
      </c>
      <c r="F2267" s="142" t="s">
        <v>2757</v>
      </c>
      <c r="G2267" s="142" t="s">
        <v>2756</v>
      </c>
      <c r="H2267" s="142" t="s">
        <v>18117</v>
      </c>
      <c r="I2267" s="142">
        <v>18</v>
      </c>
      <c r="J2267" s="142">
        <v>0</v>
      </c>
      <c r="K2267" s="142">
        <v>0</v>
      </c>
      <c r="L2267" s="142">
        <v>18</v>
      </c>
      <c r="M2267" s="142">
        <v>0</v>
      </c>
    </row>
    <row r="2268" spans="1:13" x14ac:dyDescent="0.45">
      <c r="A2268" s="142" t="s">
        <v>13581</v>
      </c>
      <c r="B2268" s="142" t="s">
        <v>15413</v>
      </c>
      <c r="C2268" s="142" t="s">
        <v>15847</v>
      </c>
      <c r="D2268" s="142" t="s">
        <v>15848</v>
      </c>
      <c r="E2268" s="142" t="s">
        <v>15849</v>
      </c>
      <c r="F2268" s="142" t="s">
        <v>2757</v>
      </c>
      <c r="G2268" s="142" t="s">
        <v>2756</v>
      </c>
      <c r="H2268" s="142" t="s">
        <v>18118</v>
      </c>
      <c r="I2268" s="142">
        <v>108</v>
      </c>
      <c r="J2268" s="142">
        <v>47</v>
      </c>
      <c r="K2268" s="142">
        <v>0</v>
      </c>
      <c r="L2268" s="142">
        <v>30</v>
      </c>
      <c r="M2268" s="142">
        <v>31</v>
      </c>
    </row>
    <row r="2269" spans="1:13" x14ac:dyDescent="0.45">
      <c r="A2269" s="142" t="s">
        <v>13085</v>
      </c>
      <c r="B2269" s="142" t="s">
        <v>14460</v>
      </c>
      <c r="C2269" s="142" t="s">
        <v>15860</v>
      </c>
      <c r="D2269" s="142" t="s">
        <v>15861</v>
      </c>
      <c r="E2269" s="142" t="s">
        <v>15849</v>
      </c>
      <c r="F2269" s="142" t="s">
        <v>2757</v>
      </c>
      <c r="G2269" s="142" t="s">
        <v>2756</v>
      </c>
      <c r="H2269" s="142" t="s">
        <v>18119</v>
      </c>
      <c r="I2269" s="142">
        <v>11</v>
      </c>
      <c r="J2269" s="142">
        <v>0</v>
      </c>
      <c r="K2269" s="142">
        <v>0</v>
      </c>
      <c r="L2269" s="142">
        <v>11</v>
      </c>
      <c r="M2269" s="142">
        <v>0</v>
      </c>
    </row>
    <row r="2270" spans="1:13" x14ac:dyDescent="0.45">
      <c r="A2270" s="142" t="s">
        <v>13168</v>
      </c>
      <c r="B2270" s="142" t="s">
        <v>14486</v>
      </c>
      <c r="C2270" s="142" t="s">
        <v>15860</v>
      </c>
      <c r="D2270" s="142" t="s">
        <v>15861</v>
      </c>
      <c r="E2270" s="142" t="s">
        <v>15849</v>
      </c>
      <c r="F2270" s="142" t="s">
        <v>2757</v>
      </c>
      <c r="G2270" s="142" t="s">
        <v>2756</v>
      </c>
      <c r="H2270" s="142" t="s">
        <v>18120</v>
      </c>
      <c r="I2270" s="142">
        <v>1</v>
      </c>
      <c r="J2270" s="142">
        <v>0</v>
      </c>
      <c r="K2270" s="142">
        <v>0</v>
      </c>
      <c r="L2270" s="142">
        <v>1</v>
      </c>
      <c r="M2270" s="142">
        <v>0</v>
      </c>
    </row>
    <row r="2271" spans="1:13" x14ac:dyDescent="0.45">
      <c r="A2271" s="142" t="s">
        <v>13027</v>
      </c>
      <c r="B2271" s="142" t="s">
        <v>14562</v>
      </c>
      <c r="C2271" s="142" t="s">
        <v>15847</v>
      </c>
      <c r="D2271" s="142" t="s">
        <v>15848</v>
      </c>
      <c r="E2271" s="142" t="s">
        <v>15849</v>
      </c>
      <c r="F2271" s="142" t="s">
        <v>2757</v>
      </c>
      <c r="G2271" s="142" t="s">
        <v>2756</v>
      </c>
      <c r="H2271" s="142" t="s">
        <v>18121</v>
      </c>
      <c r="I2271" s="142">
        <v>13</v>
      </c>
      <c r="J2271" s="142">
        <v>0</v>
      </c>
      <c r="K2271" s="142">
        <v>0</v>
      </c>
      <c r="L2271" s="142">
        <v>13</v>
      </c>
      <c r="M2271" s="142">
        <v>0</v>
      </c>
    </row>
    <row r="2272" spans="1:13" x14ac:dyDescent="0.45">
      <c r="A2272" s="142" t="s">
        <v>13028</v>
      </c>
      <c r="B2272" s="142" t="s">
        <v>14462</v>
      </c>
      <c r="C2272" s="142" t="s">
        <v>15847</v>
      </c>
      <c r="D2272" s="142" t="s">
        <v>15848</v>
      </c>
      <c r="E2272" s="142" t="s">
        <v>15849</v>
      </c>
      <c r="F2272" s="142" t="s">
        <v>2757</v>
      </c>
      <c r="G2272" s="142" t="s">
        <v>2756</v>
      </c>
      <c r="H2272" s="142" t="s">
        <v>18122</v>
      </c>
      <c r="I2272" s="142">
        <v>66</v>
      </c>
      <c r="J2272" s="142">
        <v>0</v>
      </c>
      <c r="K2272" s="142">
        <v>0</v>
      </c>
      <c r="L2272" s="142">
        <v>0</v>
      </c>
      <c r="M2272" s="142">
        <v>66</v>
      </c>
    </row>
    <row r="2273" spans="1:13" x14ac:dyDescent="0.45">
      <c r="A2273" s="142" t="s">
        <v>13002</v>
      </c>
      <c r="B2273" s="142" t="s">
        <v>15376</v>
      </c>
      <c r="C2273" s="142" t="s">
        <v>15847</v>
      </c>
      <c r="D2273" s="142" t="s">
        <v>15848</v>
      </c>
      <c r="E2273" s="142" t="s">
        <v>15849</v>
      </c>
      <c r="F2273" s="142" t="s">
        <v>2757</v>
      </c>
      <c r="G2273" s="142" t="s">
        <v>2756</v>
      </c>
      <c r="H2273" s="142" t="s">
        <v>18123</v>
      </c>
      <c r="I2273" s="142">
        <v>9060</v>
      </c>
      <c r="J2273" s="142">
        <v>8612</v>
      </c>
      <c r="K2273" s="142">
        <v>0</v>
      </c>
      <c r="L2273" s="142">
        <v>310</v>
      </c>
      <c r="M2273" s="142">
        <v>138</v>
      </c>
    </row>
    <row r="2274" spans="1:13" x14ac:dyDescent="0.45">
      <c r="A2274" s="142" t="s">
        <v>13003</v>
      </c>
      <c r="B2274" s="142" t="s">
        <v>15245</v>
      </c>
      <c r="C2274" s="142" t="s">
        <v>15847</v>
      </c>
      <c r="D2274" s="142" t="s">
        <v>15848</v>
      </c>
      <c r="E2274" s="142" t="s">
        <v>15849</v>
      </c>
      <c r="F2274" s="142" t="s">
        <v>2757</v>
      </c>
      <c r="G2274" s="142" t="s">
        <v>2756</v>
      </c>
      <c r="H2274" s="142" t="s">
        <v>18124</v>
      </c>
      <c r="I2274" s="142">
        <v>70</v>
      </c>
      <c r="J2274" s="142">
        <v>0</v>
      </c>
      <c r="K2274" s="142">
        <v>0</v>
      </c>
      <c r="L2274" s="142">
        <v>70</v>
      </c>
      <c r="M2274" s="142">
        <v>0</v>
      </c>
    </row>
    <row r="2275" spans="1:13" x14ac:dyDescent="0.45">
      <c r="A2275" s="142" t="s">
        <v>13066</v>
      </c>
      <c r="B2275" s="142" t="s">
        <v>14459</v>
      </c>
      <c r="C2275" s="142" t="s">
        <v>15847</v>
      </c>
      <c r="D2275" s="142" t="s">
        <v>15848</v>
      </c>
      <c r="E2275" s="142" t="s">
        <v>15849</v>
      </c>
      <c r="F2275" s="142" t="s">
        <v>2757</v>
      </c>
      <c r="G2275" s="142" t="s">
        <v>2756</v>
      </c>
      <c r="H2275" s="142" t="s">
        <v>18125</v>
      </c>
      <c r="I2275" s="142">
        <v>52</v>
      </c>
      <c r="J2275" s="142">
        <v>0</v>
      </c>
      <c r="K2275" s="142">
        <v>0</v>
      </c>
      <c r="L2275" s="142">
        <v>52</v>
      </c>
      <c r="M2275" s="142">
        <v>0</v>
      </c>
    </row>
    <row r="2276" spans="1:13" x14ac:dyDescent="0.45">
      <c r="A2276" s="142" t="s">
        <v>13582</v>
      </c>
      <c r="B2276" s="142" t="s">
        <v>14770</v>
      </c>
      <c r="C2276" s="142" t="s">
        <v>15860</v>
      </c>
      <c r="D2276" s="142" t="s">
        <v>15861</v>
      </c>
      <c r="E2276" s="142" t="s">
        <v>15849</v>
      </c>
      <c r="F2276" s="142" t="s">
        <v>2757</v>
      </c>
      <c r="G2276" s="142" t="s">
        <v>2756</v>
      </c>
      <c r="H2276" s="142" t="s">
        <v>18126</v>
      </c>
      <c r="I2276" s="142">
        <v>10</v>
      </c>
      <c r="J2276" s="142">
        <v>10</v>
      </c>
      <c r="K2276" s="142">
        <v>0</v>
      </c>
      <c r="L2276" s="142">
        <v>0</v>
      </c>
      <c r="M2276" s="142">
        <v>0</v>
      </c>
    </row>
    <row r="2277" spans="1:13" x14ac:dyDescent="0.45">
      <c r="A2277" s="142" t="s">
        <v>13583</v>
      </c>
      <c r="B2277" s="142" t="s">
        <v>14492</v>
      </c>
      <c r="C2277" s="142" t="s">
        <v>15860</v>
      </c>
      <c r="D2277" s="142" t="s">
        <v>15861</v>
      </c>
      <c r="E2277" s="142" t="s">
        <v>15849</v>
      </c>
      <c r="F2277" s="142" t="s">
        <v>2757</v>
      </c>
      <c r="G2277" s="142" t="s">
        <v>2756</v>
      </c>
      <c r="H2277" s="142" t="s">
        <v>18127</v>
      </c>
      <c r="I2277" s="142">
        <v>25</v>
      </c>
      <c r="J2277" s="142">
        <v>25</v>
      </c>
      <c r="K2277" s="142">
        <v>0</v>
      </c>
      <c r="L2277" s="142">
        <v>0</v>
      </c>
      <c r="M2277" s="142">
        <v>0</v>
      </c>
    </row>
    <row r="2278" spans="1:13" x14ac:dyDescent="0.45">
      <c r="A2278" s="142" t="s">
        <v>13584</v>
      </c>
      <c r="B2278" s="142" t="s">
        <v>14917</v>
      </c>
      <c r="C2278" s="142" t="s">
        <v>15860</v>
      </c>
      <c r="D2278" s="142" t="s">
        <v>15861</v>
      </c>
      <c r="E2278" s="142" t="s">
        <v>15849</v>
      </c>
      <c r="F2278" s="142" t="s">
        <v>2757</v>
      </c>
      <c r="G2278" s="142" t="s">
        <v>2756</v>
      </c>
      <c r="H2278" s="142" t="s">
        <v>18128</v>
      </c>
      <c r="I2278" s="142">
        <v>6</v>
      </c>
      <c r="J2278" s="142">
        <v>0</v>
      </c>
      <c r="K2278" s="142">
        <v>0</v>
      </c>
      <c r="L2278" s="142">
        <v>6</v>
      </c>
      <c r="M2278" s="142">
        <v>0</v>
      </c>
    </row>
    <row r="2279" spans="1:13" x14ac:dyDescent="0.45">
      <c r="A2279" s="142" t="s">
        <v>13585</v>
      </c>
      <c r="B2279" s="142" t="s">
        <v>15529</v>
      </c>
      <c r="C2279" s="142" t="s">
        <v>15860</v>
      </c>
      <c r="D2279" s="142" t="s">
        <v>15861</v>
      </c>
      <c r="E2279" s="142" t="s">
        <v>15849</v>
      </c>
      <c r="F2279" s="142" t="s">
        <v>2757</v>
      </c>
      <c r="G2279" s="142" t="s">
        <v>2756</v>
      </c>
      <c r="H2279" s="142" t="s">
        <v>18129</v>
      </c>
      <c r="I2279" s="142">
        <v>67</v>
      </c>
      <c r="J2279" s="142">
        <v>67</v>
      </c>
      <c r="K2279" s="142">
        <v>0</v>
      </c>
      <c r="L2279" s="142">
        <v>0</v>
      </c>
      <c r="M2279" s="142">
        <v>0</v>
      </c>
    </row>
    <row r="2280" spans="1:13" x14ac:dyDescent="0.45">
      <c r="A2280" s="142" t="s">
        <v>13516</v>
      </c>
      <c r="B2280" s="142" t="s">
        <v>14461</v>
      </c>
      <c r="C2280" s="142" t="s">
        <v>15860</v>
      </c>
      <c r="D2280" s="142" t="s">
        <v>15861</v>
      </c>
      <c r="E2280" s="142" t="s">
        <v>15849</v>
      </c>
      <c r="F2280" s="142" t="s">
        <v>2757</v>
      </c>
      <c r="G2280" s="142" t="s">
        <v>2756</v>
      </c>
      <c r="H2280" s="142" t="s">
        <v>18130</v>
      </c>
      <c r="I2280" s="142">
        <v>39</v>
      </c>
      <c r="J2280" s="142">
        <v>0</v>
      </c>
      <c r="K2280" s="142">
        <v>0</v>
      </c>
      <c r="L2280" s="142">
        <v>39</v>
      </c>
      <c r="M2280" s="142">
        <v>0</v>
      </c>
    </row>
    <row r="2281" spans="1:13" x14ac:dyDescent="0.45">
      <c r="A2281" s="142" t="s">
        <v>13032</v>
      </c>
      <c r="B2281" s="142" t="s">
        <v>14532</v>
      </c>
      <c r="C2281" s="142" t="s">
        <v>15860</v>
      </c>
      <c r="D2281" s="142" t="s">
        <v>15861</v>
      </c>
      <c r="E2281" s="142" t="s">
        <v>15849</v>
      </c>
      <c r="F2281" s="142" t="s">
        <v>2757</v>
      </c>
      <c r="G2281" s="142" t="s">
        <v>2756</v>
      </c>
      <c r="H2281" s="142" t="s">
        <v>18131</v>
      </c>
      <c r="I2281" s="142">
        <v>32</v>
      </c>
      <c r="J2281" s="142">
        <v>0</v>
      </c>
      <c r="K2281" s="142">
        <v>0</v>
      </c>
      <c r="L2281" s="142">
        <v>32</v>
      </c>
      <c r="M2281" s="142">
        <v>0</v>
      </c>
    </row>
    <row r="2282" spans="1:13" x14ac:dyDescent="0.45">
      <c r="A2282" s="142" t="s">
        <v>13036</v>
      </c>
      <c r="B2282" s="142" t="s">
        <v>15567</v>
      </c>
      <c r="C2282" s="142" t="s">
        <v>15847</v>
      </c>
      <c r="D2282" s="142" t="s">
        <v>15848</v>
      </c>
      <c r="E2282" s="142" t="s">
        <v>15849</v>
      </c>
      <c r="F2282" s="142" t="s">
        <v>2757</v>
      </c>
      <c r="G2282" s="142" t="s">
        <v>2756</v>
      </c>
      <c r="H2282" s="142" t="s">
        <v>18132</v>
      </c>
      <c r="I2282" s="142">
        <v>9</v>
      </c>
      <c r="J2282" s="142">
        <v>0</v>
      </c>
      <c r="K2282" s="142">
        <v>0</v>
      </c>
      <c r="L2282" s="142">
        <v>6</v>
      </c>
      <c r="M2282" s="142">
        <v>3</v>
      </c>
    </row>
    <row r="2283" spans="1:13" x14ac:dyDescent="0.45">
      <c r="A2283" s="142" t="s">
        <v>13560</v>
      </c>
      <c r="B2283" s="142" t="s">
        <v>14778</v>
      </c>
      <c r="C2283" s="142" t="s">
        <v>15847</v>
      </c>
      <c r="D2283" s="142" t="s">
        <v>15848</v>
      </c>
      <c r="E2283" s="142" t="s">
        <v>15849</v>
      </c>
      <c r="F2283" s="142" t="s">
        <v>2757</v>
      </c>
      <c r="G2283" s="142" t="s">
        <v>2756</v>
      </c>
      <c r="H2283" s="142" t="s">
        <v>18133</v>
      </c>
      <c r="I2283" s="142">
        <v>2</v>
      </c>
      <c r="J2283" s="142">
        <v>0</v>
      </c>
      <c r="K2283" s="142">
        <v>0</v>
      </c>
      <c r="L2283" s="142">
        <v>2</v>
      </c>
      <c r="M2283" s="142">
        <v>0</v>
      </c>
    </row>
    <row r="2284" spans="1:13" x14ac:dyDescent="0.45">
      <c r="A2284" s="142" t="s">
        <v>13009</v>
      </c>
      <c r="B2284" s="142" t="s">
        <v>15256</v>
      </c>
      <c r="C2284" s="142" t="s">
        <v>15847</v>
      </c>
      <c r="D2284" s="142" t="s">
        <v>15848</v>
      </c>
      <c r="E2284" s="142" t="s">
        <v>15849</v>
      </c>
      <c r="F2284" s="142" t="s">
        <v>2757</v>
      </c>
      <c r="G2284" s="142" t="s">
        <v>2756</v>
      </c>
      <c r="H2284" s="142" t="s">
        <v>18134</v>
      </c>
      <c r="I2284" s="142">
        <v>11</v>
      </c>
      <c r="J2284" s="142">
        <v>0</v>
      </c>
      <c r="K2284" s="142">
        <v>0</v>
      </c>
      <c r="L2284" s="142">
        <v>11</v>
      </c>
      <c r="M2284" s="142">
        <v>0</v>
      </c>
    </row>
    <row r="2285" spans="1:13" x14ac:dyDescent="0.45">
      <c r="A2285" s="142" t="s">
        <v>13285</v>
      </c>
      <c r="B2285" s="142" t="s">
        <v>15158</v>
      </c>
      <c r="C2285" s="142" t="s">
        <v>15860</v>
      </c>
      <c r="D2285" s="142" t="s">
        <v>15861</v>
      </c>
      <c r="E2285" s="142" t="s">
        <v>15849</v>
      </c>
      <c r="F2285" s="142" t="s">
        <v>2757</v>
      </c>
      <c r="G2285" s="142" t="s">
        <v>2756</v>
      </c>
      <c r="H2285" s="142" t="s">
        <v>18135</v>
      </c>
      <c r="I2285" s="142">
        <v>23</v>
      </c>
      <c r="J2285" s="142">
        <v>0</v>
      </c>
      <c r="K2285" s="142">
        <v>0</v>
      </c>
      <c r="L2285" s="142">
        <v>23</v>
      </c>
      <c r="M2285" s="142">
        <v>0</v>
      </c>
    </row>
    <row r="2286" spans="1:13" x14ac:dyDescent="0.45">
      <c r="A2286" s="142" t="s">
        <v>13586</v>
      </c>
      <c r="B2286" s="142" t="s">
        <v>15143</v>
      </c>
      <c r="C2286" s="142" t="s">
        <v>15860</v>
      </c>
      <c r="D2286" s="142" t="s">
        <v>15861</v>
      </c>
      <c r="E2286" s="142" t="s">
        <v>15849</v>
      </c>
      <c r="F2286" s="142" t="s">
        <v>2757</v>
      </c>
      <c r="G2286" s="142" t="s">
        <v>2756</v>
      </c>
      <c r="H2286" s="142" t="s">
        <v>18136</v>
      </c>
      <c r="I2286" s="142">
        <v>20</v>
      </c>
      <c r="J2286" s="142">
        <v>0</v>
      </c>
      <c r="K2286" s="142">
        <v>0</v>
      </c>
      <c r="L2286" s="142">
        <v>20</v>
      </c>
      <c r="M2286" s="142">
        <v>0</v>
      </c>
    </row>
    <row r="2287" spans="1:13" x14ac:dyDescent="0.45">
      <c r="A2287" s="142" t="s">
        <v>13562</v>
      </c>
      <c r="B2287" s="142" t="s">
        <v>15482</v>
      </c>
      <c r="C2287" s="142" t="s">
        <v>15860</v>
      </c>
      <c r="D2287" s="142" t="s">
        <v>15861</v>
      </c>
      <c r="E2287" s="142" t="s">
        <v>15849</v>
      </c>
      <c r="F2287" s="142" t="s">
        <v>2757</v>
      </c>
      <c r="G2287" s="142" t="s">
        <v>2756</v>
      </c>
      <c r="H2287" s="142" t="s">
        <v>18137</v>
      </c>
      <c r="I2287" s="142">
        <v>27</v>
      </c>
      <c r="J2287" s="142">
        <v>0</v>
      </c>
      <c r="K2287" s="142">
        <v>0</v>
      </c>
      <c r="L2287" s="142">
        <v>27</v>
      </c>
      <c r="M2287" s="142">
        <v>0</v>
      </c>
    </row>
    <row r="2288" spans="1:13" x14ac:dyDescent="0.45">
      <c r="A2288" s="142" t="s">
        <v>13042</v>
      </c>
      <c r="B2288" s="142" t="s">
        <v>15489</v>
      </c>
      <c r="C2288" s="142" t="s">
        <v>15847</v>
      </c>
      <c r="D2288" s="142" t="s">
        <v>15848</v>
      </c>
      <c r="E2288" s="142" t="s">
        <v>15849</v>
      </c>
      <c r="F2288" s="142" t="s">
        <v>2757</v>
      </c>
      <c r="G2288" s="142" t="s">
        <v>2756</v>
      </c>
      <c r="H2288" s="142" t="s">
        <v>18138</v>
      </c>
      <c r="I2288" s="142">
        <v>8288</v>
      </c>
      <c r="J2288" s="142">
        <v>7923</v>
      </c>
      <c r="K2288" s="142">
        <v>0</v>
      </c>
      <c r="L2288" s="142">
        <v>277</v>
      </c>
      <c r="M2288" s="142">
        <v>88</v>
      </c>
    </row>
    <row r="2289" spans="1:13" x14ac:dyDescent="0.45">
      <c r="A2289" s="142" t="s">
        <v>13061</v>
      </c>
      <c r="B2289" s="142" t="s">
        <v>15184</v>
      </c>
      <c r="C2289" s="142" t="s">
        <v>15860</v>
      </c>
      <c r="D2289" s="142" t="s">
        <v>15861</v>
      </c>
      <c r="E2289" s="142" t="s">
        <v>15849</v>
      </c>
      <c r="F2289" s="142" t="s">
        <v>2757</v>
      </c>
      <c r="G2289" s="142" t="s">
        <v>2756</v>
      </c>
      <c r="H2289" s="142" t="s">
        <v>18139</v>
      </c>
      <c r="I2289" s="142">
        <v>1</v>
      </c>
      <c r="J2289" s="142">
        <v>0</v>
      </c>
      <c r="K2289" s="142">
        <v>0</v>
      </c>
      <c r="L2289" s="142">
        <v>1</v>
      </c>
      <c r="M2289" s="142">
        <v>0</v>
      </c>
    </row>
    <row r="2290" spans="1:13" x14ac:dyDescent="0.45">
      <c r="A2290" s="142" t="s">
        <v>13156</v>
      </c>
      <c r="B2290" s="142" t="s">
        <v>14493</v>
      </c>
      <c r="C2290" s="142" t="s">
        <v>15860</v>
      </c>
      <c r="D2290" s="142" t="s">
        <v>15861</v>
      </c>
      <c r="E2290" s="142" t="s">
        <v>15849</v>
      </c>
      <c r="F2290" s="142" t="s">
        <v>2757</v>
      </c>
      <c r="G2290" s="142" t="s">
        <v>2756</v>
      </c>
      <c r="H2290" s="142" t="s">
        <v>18140</v>
      </c>
      <c r="I2290" s="142">
        <v>12</v>
      </c>
      <c r="J2290" s="142">
        <v>0</v>
      </c>
      <c r="K2290" s="142">
        <v>0</v>
      </c>
      <c r="L2290" s="142">
        <v>12</v>
      </c>
      <c r="M2290" s="142">
        <v>0</v>
      </c>
    </row>
    <row r="2291" spans="1:13" x14ac:dyDescent="0.45">
      <c r="A2291" s="142" t="s">
        <v>13587</v>
      </c>
      <c r="B2291" s="142" t="s">
        <v>15257</v>
      </c>
      <c r="C2291" s="142" t="s">
        <v>15860</v>
      </c>
      <c r="D2291" s="142" t="s">
        <v>15861</v>
      </c>
      <c r="E2291" s="142" t="s">
        <v>15849</v>
      </c>
      <c r="F2291" s="142" t="s">
        <v>2757</v>
      </c>
      <c r="G2291" s="142" t="s">
        <v>2756</v>
      </c>
      <c r="H2291" s="142" t="s">
        <v>18141</v>
      </c>
      <c r="I2291" s="142">
        <v>638</v>
      </c>
      <c r="J2291" s="142">
        <v>638</v>
      </c>
      <c r="K2291" s="142">
        <v>0</v>
      </c>
      <c r="L2291" s="142">
        <v>0</v>
      </c>
      <c r="M2291" s="142">
        <v>0</v>
      </c>
    </row>
    <row r="2292" spans="1:13" x14ac:dyDescent="0.45">
      <c r="A2292" s="142" t="s">
        <v>13022</v>
      </c>
      <c r="B2292" s="142" t="s">
        <v>14634</v>
      </c>
      <c r="C2292" s="142" t="s">
        <v>15847</v>
      </c>
      <c r="D2292" s="142" t="s">
        <v>15848</v>
      </c>
      <c r="E2292" s="142" t="s">
        <v>15849</v>
      </c>
      <c r="F2292" s="142" t="s">
        <v>5226</v>
      </c>
      <c r="G2292" s="142" t="s">
        <v>5225</v>
      </c>
      <c r="H2292" s="142" t="s">
        <v>18142</v>
      </c>
      <c r="I2292" s="142">
        <v>2</v>
      </c>
      <c r="J2292" s="142">
        <v>0</v>
      </c>
      <c r="K2292" s="142">
        <v>0</v>
      </c>
      <c r="L2292" s="142">
        <v>2</v>
      </c>
      <c r="M2292" s="142">
        <v>0</v>
      </c>
    </row>
    <row r="2293" spans="1:13" x14ac:dyDescent="0.45">
      <c r="A2293" s="142" t="s">
        <v>13023</v>
      </c>
      <c r="B2293" s="142" t="s">
        <v>15571</v>
      </c>
      <c r="C2293" s="142" t="s">
        <v>15847</v>
      </c>
      <c r="D2293" s="142" t="s">
        <v>15848</v>
      </c>
      <c r="E2293" s="142" t="s">
        <v>15849</v>
      </c>
      <c r="F2293" s="142" t="s">
        <v>5226</v>
      </c>
      <c r="G2293" s="142" t="s">
        <v>5225</v>
      </c>
      <c r="H2293" s="142" t="s">
        <v>18143</v>
      </c>
      <c r="I2293" s="142">
        <v>80</v>
      </c>
      <c r="J2293" s="142">
        <v>0</v>
      </c>
      <c r="K2293" s="142">
        <v>0</v>
      </c>
      <c r="L2293" s="142">
        <v>80</v>
      </c>
      <c r="M2293" s="142">
        <v>0</v>
      </c>
    </row>
    <row r="2294" spans="1:13" x14ac:dyDescent="0.45">
      <c r="A2294" s="142" t="s">
        <v>13082</v>
      </c>
      <c r="B2294" s="142" t="s">
        <v>14478</v>
      </c>
      <c r="C2294" s="142" t="s">
        <v>15860</v>
      </c>
      <c r="D2294" s="142" t="s">
        <v>15861</v>
      </c>
      <c r="E2294" s="142" t="s">
        <v>15849</v>
      </c>
      <c r="F2294" s="142" t="s">
        <v>5226</v>
      </c>
      <c r="G2294" s="142" t="s">
        <v>5225</v>
      </c>
      <c r="H2294" s="142" t="s">
        <v>18144</v>
      </c>
      <c r="I2294" s="142">
        <v>6</v>
      </c>
      <c r="J2294" s="142">
        <v>0</v>
      </c>
      <c r="K2294" s="142">
        <v>0</v>
      </c>
      <c r="L2294" s="142">
        <v>6</v>
      </c>
      <c r="M2294" s="142">
        <v>0</v>
      </c>
    </row>
    <row r="2295" spans="1:13" x14ac:dyDescent="0.45">
      <c r="A2295" s="142" t="s">
        <v>13000</v>
      </c>
      <c r="B2295" s="142" t="s">
        <v>14610</v>
      </c>
      <c r="C2295" s="142" t="s">
        <v>15847</v>
      </c>
      <c r="D2295" s="142" t="s">
        <v>15848</v>
      </c>
      <c r="E2295" s="142" t="s">
        <v>15849</v>
      </c>
      <c r="F2295" s="142" t="s">
        <v>5226</v>
      </c>
      <c r="G2295" s="142" t="s">
        <v>5225</v>
      </c>
      <c r="H2295" s="142" t="s">
        <v>18145</v>
      </c>
      <c r="I2295" s="142">
        <v>750</v>
      </c>
      <c r="J2295" s="142">
        <v>725</v>
      </c>
      <c r="K2295" s="142">
        <v>0</v>
      </c>
      <c r="L2295" s="142">
        <v>25</v>
      </c>
      <c r="M2295" s="142">
        <v>0</v>
      </c>
    </row>
    <row r="2296" spans="1:13" x14ac:dyDescent="0.45">
      <c r="A2296" s="142" t="s">
        <v>13212</v>
      </c>
      <c r="B2296" s="142" t="s">
        <v>15497</v>
      </c>
      <c r="C2296" s="142" t="s">
        <v>15860</v>
      </c>
      <c r="D2296" s="142" t="s">
        <v>15861</v>
      </c>
      <c r="E2296" s="142" t="s">
        <v>15849</v>
      </c>
      <c r="F2296" s="142" t="s">
        <v>5226</v>
      </c>
      <c r="G2296" s="142" t="s">
        <v>5225</v>
      </c>
      <c r="H2296" s="142" t="s">
        <v>18146</v>
      </c>
      <c r="I2296" s="142">
        <v>32</v>
      </c>
      <c r="J2296" s="142">
        <v>32</v>
      </c>
      <c r="K2296" s="142">
        <v>0</v>
      </c>
      <c r="L2296" s="142">
        <v>0</v>
      </c>
      <c r="M2296" s="142">
        <v>0</v>
      </c>
    </row>
    <row r="2297" spans="1:13" x14ac:dyDescent="0.45">
      <c r="A2297" s="142" t="s">
        <v>13074</v>
      </c>
      <c r="B2297" s="142" t="s">
        <v>15405</v>
      </c>
      <c r="C2297" s="142" t="s">
        <v>15847</v>
      </c>
      <c r="D2297" s="142" t="s">
        <v>15848</v>
      </c>
      <c r="E2297" s="142" t="s">
        <v>15849</v>
      </c>
      <c r="F2297" s="142" t="s">
        <v>5226</v>
      </c>
      <c r="G2297" s="142" t="s">
        <v>5225</v>
      </c>
      <c r="H2297" s="142" t="s">
        <v>18147</v>
      </c>
      <c r="I2297" s="142">
        <v>4</v>
      </c>
      <c r="J2297" s="142">
        <v>4</v>
      </c>
      <c r="K2297" s="142">
        <v>0</v>
      </c>
      <c r="L2297" s="142">
        <v>0</v>
      </c>
      <c r="M2297" s="142">
        <v>0</v>
      </c>
    </row>
    <row r="2298" spans="1:13" x14ac:dyDescent="0.45">
      <c r="A2298" s="142" t="s">
        <v>13397</v>
      </c>
      <c r="B2298" s="142" t="s">
        <v>15465</v>
      </c>
      <c r="C2298" s="142" t="s">
        <v>15847</v>
      </c>
      <c r="D2298" s="142" t="s">
        <v>15848</v>
      </c>
      <c r="E2298" s="142" t="s">
        <v>15849</v>
      </c>
      <c r="F2298" s="142" t="s">
        <v>5226</v>
      </c>
      <c r="G2298" s="142" t="s">
        <v>5225</v>
      </c>
      <c r="H2298" s="142" t="s">
        <v>18148</v>
      </c>
      <c r="I2298" s="142">
        <v>5</v>
      </c>
      <c r="J2298" s="142">
        <v>5</v>
      </c>
      <c r="K2298" s="142">
        <v>0</v>
      </c>
      <c r="L2298" s="142">
        <v>0</v>
      </c>
      <c r="M2298" s="142">
        <v>0</v>
      </c>
    </row>
    <row r="2299" spans="1:13" x14ac:dyDescent="0.45">
      <c r="A2299" s="142" t="s">
        <v>13168</v>
      </c>
      <c r="B2299" s="142" t="s">
        <v>14486</v>
      </c>
      <c r="C2299" s="142" t="s">
        <v>15860</v>
      </c>
      <c r="D2299" s="142" t="s">
        <v>15861</v>
      </c>
      <c r="E2299" s="142" t="s">
        <v>15849</v>
      </c>
      <c r="F2299" s="142" t="s">
        <v>5226</v>
      </c>
      <c r="G2299" s="142" t="s">
        <v>5225</v>
      </c>
      <c r="H2299" s="142" t="s">
        <v>18149</v>
      </c>
      <c r="I2299" s="142">
        <v>5</v>
      </c>
      <c r="J2299" s="142">
        <v>0</v>
      </c>
      <c r="K2299" s="142">
        <v>0</v>
      </c>
      <c r="L2299" s="142">
        <v>5</v>
      </c>
      <c r="M2299" s="142">
        <v>0</v>
      </c>
    </row>
    <row r="2300" spans="1:13" x14ac:dyDescent="0.45">
      <c r="A2300" s="142" t="s">
        <v>13027</v>
      </c>
      <c r="B2300" s="142" t="s">
        <v>14562</v>
      </c>
      <c r="C2300" s="142" t="s">
        <v>15847</v>
      </c>
      <c r="D2300" s="142" t="s">
        <v>15848</v>
      </c>
      <c r="E2300" s="142" t="s">
        <v>15849</v>
      </c>
      <c r="F2300" s="142" t="s">
        <v>5226</v>
      </c>
      <c r="G2300" s="142" t="s">
        <v>5225</v>
      </c>
      <c r="H2300" s="142" t="s">
        <v>18150</v>
      </c>
      <c r="I2300" s="142">
        <v>23</v>
      </c>
      <c r="J2300" s="142">
        <v>0</v>
      </c>
      <c r="K2300" s="142">
        <v>0</v>
      </c>
      <c r="L2300" s="142">
        <v>23</v>
      </c>
      <c r="M2300" s="142">
        <v>0</v>
      </c>
    </row>
    <row r="2301" spans="1:13" x14ac:dyDescent="0.45">
      <c r="A2301" s="142" t="s">
        <v>13050</v>
      </c>
      <c r="B2301" s="142" t="s">
        <v>15237</v>
      </c>
      <c r="C2301" s="142" t="s">
        <v>15847</v>
      </c>
      <c r="D2301" s="142" t="s">
        <v>15848</v>
      </c>
      <c r="E2301" s="142" t="s">
        <v>15849</v>
      </c>
      <c r="F2301" s="142" t="s">
        <v>5226</v>
      </c>
      <c r="G2301" s="142" t="s">
        <v>5225</v>
      </c>
      <c r="H2301" s="142" t="s">
        <v>18151</v>
      </c>
      <c r="I2301" s="142">
        <v>4</v>
      </c>
      <c r="J2301" s="142">
        <v>4</v>
      </c>
      <c r="K2301" s="142">
        <v>0</v>
      </c>
      <c r="L2301" s="142">
        <v>0</v>
      </c>
      <c r="M2301" s="142">
        <v>0</v>
      </c>
    </row>
    <row r="2302" spans="1:13" x14ac:dyDescent="0.45">
      <c r="A2302" s="142" t="s">
        <v>13028</v>
      </c>
      <c r="B2302" s="142" t="s">
        <v>14462</v>
      </c>
      <c r="C2302" s="142" t="s">
        <v>15847</v>
      </c>
      <c r="D2302" s="142" t="s">
        <v>15848</v>
      </c>
      <c r="E2302" s="142" t="s">
        <v>15849</v>
      </c>
      <c r="F2302" s="142" t="s">
        <v>5226</v>
      </c>
      <c r="G2302" s="142" t="s">
        <v>5225</v>
      </c>
      <c r="H2302" s="142" t="s">
        <v>18152</v>
      </c>
      <c r="I2302" s="142">
        <v>12</v>
      </c>
      <c r="J2302" s="142">
        <v>0</v>
      </c>
      <c r="K2302" s="142">
        <v>0</v>
      </c>
      <c r="L2302" s="142">
        <v>0</v>
      </c>
      <c r="M2302" s="142">
        <v>12</v>
      </c>
    </row>
    <row r="2303" spans="1:13" x14ac:dyDescent="0.45">
      <c r="A2303" s="142" t="s">
        <v>13199</v>
      </c>
      <c r="B2303" s="142" t="s">
        <v>15362</v>
      </c>
      <c r="C2303" s="142" t="s">
        <v>15847</v>
      </c>
      <c r="D2303" s="142" t="s">
        <v>15848</v>
      </c>
      <c r="E2303" s="142" t="s">
        <v>15849</v>
      </c>
      <c r="F2303" s="142" t="s">
        <v>5226</v>
      </c>
      <c r="G2303" s="142" t="s">
        <v>5225</v>
      </c>
      <c r="H2303" s="142" t="s">
        <v>18153</v>
      </c>
      <c r="I2303" s="142">
        <v>2083</v>
      </c>
      <c r="J2303" s="142">
        <v>1622</v>
      </c>
      <c r="K2303" s="142">
        <v>0</v>
      </c>
      <c r="L2303" s="142">
        <v>202</v>
      </c>
      <c r="M2303" s="142">
        <v>259</v>
      </c>
    </row>
    <row r="2304" spans="1:13" x14ac:dyDescent="0.45">
      <c r="A2304" s="142" t="s">
        <v>13125</v>
      </c>
      <c r="B2304" s="142" t="s">
        <v>15515</v>
      </c>
      <c r="C2304" s="142" t="s">
        <v>15860</v>
      </c>
      <c r="D2304" s="142" t="s">
        <v>15861</v>
      </c>
      <c r="E2304" s="142" t="s">
        <v>15849</v>
      </c>
      <c r="F2304" s="142" t="s">
        <v>5226</v>
      </c>
      <c r="G2304" s="142" t="s">
        <v>5225</v>
      </c>
      <c r="H2304" s="142" t="s">
        <v>18154</v>
      </c>
      <c r="I2304" s="142">
        <v>42</v>
      </c>
      <c r="J2304" s="142">
        <v>0</v>
      </c>
      <c r="K2304" s="142">
        <v>0</v>
      </c>
      <c r="L2304" s="142">
        <v>42</v>
      </c>
      <c r="M2304" s="142">
        <v>0</v>
      </c>
    </row>
    <row r="2305" spans="1:13" x14ac:dyDescent="0.45">
      <c r="A2305" s="142" t="s">
        <v>13178</v>
      </c>
      <c r="B2305" s="142" t="s">
        <v>14683</v>
      </c>
      <c r="C2305" s="142" t="s">
        <v>15847</v>
      </c>
      <c r="D2305" s="142" t="s">
        <v>15848</v>
      </c>
      <c r="E2305" s="142" t="s">
        <v>15849</v>
      </c>
      <c r="F2305" s="142" t="s">
        <v>5226</v>
      </c>
      <c r="G2305" s="142" t="s">
        <v>5225</v>
      </c>
      <c r="H2305" s="142" t="s">
        <v>18155</v>
      </c>
      <c r="I2305" s="142">
        <v>68</v>
      </c>
      <c r="J2305" s="142">
        <v>68</v>
      </c>
      <c r="K2305" s="142">
        <v>0</v>
      </c>
      <c r="L2305" s="142">
        <v>0</v>
      </c>
      <c r="M2305" s="142">
        <v>0</v>
      </c>
    </row>
    <row r="2306" spans="1:13" x14ac:dyDescent="0.45">
      <c r="A2306" s="142" t="s">
        <v>13076</v>
      </c>
      <c r="B2306" s="142" t="s">
        <v>14636</v>
      </c>
      <c r="C2306" s="142" t="s">
        <v>15847</v>
      </c>
      <c r="D2306" s="142" t="s">
        <v>15848</v>
      </c>
      <c r="E2306" s="142" t="s">
        <v>15849</v>
      </c>
      <c r="F2306" s="142" t="s">
        <v>5226</v>
      </c>
      <c r="G2306" s="142" t="s">
        <v>5225</v>
      </c>
      <c r="H2306" s="142" t="s">
        <v>18156</v>
      </c>
      <c r="I2306" s="142">
        <v>22</v>
      </c>
      <c r="J2306" s="142">
        <v>0</v>
      </c>
      <c r="K2306" s="142">
        <v>0</v>
      </c>
      <c r="L2306" s="142">
        <v>0</v>
      </c>
      <c r="M2306" s="142">
        <v>22</v>
      </c>
    </row>
    <row r="2307" spans="1:13" x14ac:dyDescent="0.45">
      <c r="A2307" s="142" t="s">
        <v>13005</v>
      </c>
      <c r="B2307" s="142" t="s">
        <v>15475</v>
      </c>
      <c r="C2307" s="142" t="s">
        <v>15847</v>
      </c>
      <c r="D2307" s="142" t="s">
        <v>15848</v>
      </c>
      <c r="E2307" s="142" t="s">
        <v>15849</v>
      </c>
      <c r="F2307" s="142" t="s">
        <v>5226</v>
      </c>
      <c r="G2307" s="142" t="s">
        <v>5225</v>
      </c>
      <c r="H2307" s="142" t="s">
        <v>18157</v>
      </c>
      <c r="I2307" s="142">
        <v>1</v>
      </c>
      <c r="J2307" s="142">
        <v>0</v>
      </c>
      <c r="K2307" s="142">
        <v>0</v>
      </c>
      <c r="L2307" s="142">
        <v>0</v>
      </c>
      <c r="M2307" s="142">
        <v>1</v>
      </c>
    </row>
    <row r="2308" spans="1:13" x14ac:dyDescent="0.45">
      <c r="A2308" s="142" t="s">
        <v>13589</v>
      </c>
      <c r="B2308" s="142" t="s">
        <v>14779</v>
      </c>
      <c r="C2308" s="142" t="s">
        <v>15860</v>
      </c>
      <c r="D2308" s="142" t="s">
        <v>15861</v>
      </c>
      <c r="E2308" s="142" t="s">
        <v>15849</v>
      </c>
      <c r="F2308" s="142" t="s">
        <v>5226</v>
      </c>
      <c r="G2308" s="142" t="s">
        <v>5225</v>
      </c>
      <c r="H2308" s="142" t="s">
        <v>18158</v>
      </c>
      <c r="I2308" s="142">
        <v>8</v>
      </c>
      <c r="J2308" s="142">
        <v>8</v>
      </c>
      <c r="K2308" s="142">
        <v>0</v>
      </c>
      <c r="L2308" s="142">
        <v>0</v>
      </c>
      <c r="M2308" s="142">
        <v>0</v>
      </c>
    </row>
    <row r="2309" spans="1:13" x14ac:dyDescent="0.45">
      <c r="A2309" s="142" t="s">
        <v>13006</v>
      </c>
      <c r="B2309" s="142" t="s">
        <v>15288</v>
      </c>
      <c r="C2309" s="142" t="s">
        <v>15847</v>
      </c>
      <c r="D2309" s="142" t="s">
        <v>15848</v>
      </c>
      <c r="E2309" s="142" t="s">
        <v>15849</v>
      </c>
      <c r="F2309" s="142" t="s">
        <v>5226</v>
      </c>
      <c r="G2309" s="142" t="s">
        <v>5225</v>
      </c>
      <c r="H2309" s="142" t="s">
        <v>18159</v>
      </c>
      <c r="I2309" s="142">
        <v>220</v>
      </c>
      <c r="J2309" s="142">
        <v>180</v>
      </c>
      <c r="K2309" s="142">
        <v>0</v>
      </c>
      <c r="L2309" s="142">
        <v>0</v>
      </c>
      <c r="M2309" s="142">
        <v>40</v>
      </c>
    </row>
    <row r="2310" spans="1:13" x14ac:dyDescent="0.45">
      <c r="A2310" s="142" t="s">
        <v>13103</v>
      </c>
      <c r="B2310" s="142" t="s">
        <v>14623</v>
      </c>
      <c r="C2310" s="142" t="s">
        <v>15847</v>
      </c>
      <c r="D2310" s="142" t="s">
        <v>15848</v>
      </c>
      <c r="E2310" s="142" t="s">
        <v>15849</v>
      </c>
      <c r="F2310" s="142" t="s">
        <v>5226</v>
      </c>
      <c r="G2310" s="142" t="s">
        <v>5225</v>
      </c>
      <c r="H2310" s="142" t="s">
        <v>18160</v>
      </c>
      <c r="I2310" s="142">
        <v>320</v>
      </c>
      <c r="J2310" s="142">
        <v>286</v>
      </c>
      <c r="K2310" s="142">
        <v>0</v>
      </c>
      <c r="L2310" s="142">
        <v>0</v>
      </c>
      <c r="M2310" s="142">
        <v>34</v>
      </c>
    </row>
    <row r="2311" spans="1:13" x14ac:dyDescent="0.45">
      <c r="A2311" s="142" t="s">
        <v>13054</v>
      </c>
      <c r="B2311" s="142" t="s">
        <v>15604</v>
      </c>
      <c r="C2311" s="142" t="s">
        <v>15847</v>
      </c>
      <c r="D2311" s="142" t="s">
        <v>15848</v>
      </c>
      <c r="E2311" s="142" t="s">
        <v>15849</v>
      </c>
      <c r="F2311" s="142" t="s">
        <v>5226</v>
      </c>
      <c r="G2311" s="142" t="s">
        <v>5225</v>
      </c>
      <c r="H2311" s="142" t="s">
        <v>18161</v>
      </c>
      <c r="I2311" s="142">
        <v>1</v>
      </c>
      <c r="J2311" s="142">
        <v>0</v>
      </c>
      <c r="K2311" s="142">
        <v>0</v>
      </c>
      <c r="L2311" s="142">
        <v>0</v>
      </c>
      <c r="M2311" s="142">
        <v>1</v>
      </c>
    </row>
    <row r="2312" spans="1:13" x14ac:dyDescent="0.45">
      <c r="A2312" s="142" t="s">
        <v>13131</v>
      </c>
      <c r="B2312" s="142" t="s">
        <v>15233</v>
      </c>
      <c r="C2312" s="142" t="s">
        <v>15860</v>
      </c>
      <c r="D2312" s="142" t="s">
        <v>15861</v>
      </c>
      <c r="E2312" s="142" t="s">
        <v>15849</v>
      </c>
      <c r="F2312" s="142" t="s">
        <v>5226</v>
      </c>
      <c r="G2312" s="142" t="s">
        <v>5225</v>
      </c>
      <c r="H2312" s="142" t="s">
        <v>18162</v>
      </c>
      <c r="I2312" s="142">
        <v>4</v>
      </c>
      <c r="J2312" s="142">
        <v>0</v>
      </c>
      <c r="K2312" s="142">
        <v>0</v>
      </c>
      <c r="L2312" s="142">
        <v>4</v>
      </c>
      <c r="M2312" s="142">
        <v>0</v>
      </c>
    </row>
    <row r="2313" spans="1:13" x14ac:dyDescent="0.45">
      <c r="A2313" s="142" t="s">
        <v>13135</v>
      </c>
      <c r="B2313" s="142" t="s">
        <v>15575</v>
      </c>
      <c r="C2313" s="142" t="s">
        <v>15847</v>
      </c>
      <c r="D2313" s="142" t="s">
        <v>15848</v>
      </c>
      <c r="E2313" s="142" t="s">
        <v>15849</v>
      </c>
      <c r="F2313" s="142" t="s">
        <v>5226</v>
      </c>
      <c r="G2313" s="142" t="s">
        <v>5225</v>
      </c>
      <c r="H2313" s="142" t="s">
        <v>18163</v>
      </c>
      <c r="I2313" s="142">
        <v>275</v>
      </c>
      <c r="J2313" s="142">
        <v>256</v>
      </c>
      <c r="K2313" s="142">
        <v>0</v>
      </c>
      <c r="L2313" s="142">
        <v>0</v>
      </c>
      <c r="M2313" s="142">
        <v>19</v>
      </c>
    </row>
    <row r="2314" spans="1:13" x14ac:dyDescent="0.45">
      <c r="A2314" s="142" t="s">
        <v>13104</v>
      </c>
      <c r="B2314" s="142" t="s">
        <v>14622</v>
      </c>
      <c r="C2314" s="142" t="s">
        <v>15847</v>
      </c>
      <c r="D2314" s="142" t="s">
        <v>15848</v>
      </c>
      <c r="E2314" s="142" t="s">
        <v>15849</v>
      </c>
      <c r="F2314" s="142" t="s">
        <v>5226</v>
      </c>
      <c r="G2314" s="142" t="s">
        <v>5225</v>
      </c>
      <c r="H2314" s="142" t="s">
        <v>18164</v>
      </c>
      <c r="I2314" s="142">
        <v>171</v>
      </c>
      <c r="J2314" s="142">
        <v>118</v>
      </c>
      <c r="K2314" s="142">
        <v>0</v>
      </c>
      <c r="L2314" s="142">
        <v>23</v>
      </c>
      <c r="M2314" s="142">
        <v>30</v>
      </c>
    </row>
    <row r="2315" spans="1:13" x14ac:dyDescent="0.45">
      <c r="A2315" s="142" t="s">
        <v>13037</v>
      </c>
      <c r="B2315" s="142" t="s">
        <v>14519</v>
      </c>
      <c r="C2315" s="142" t="s">
        <v>15847</v>
      </c>
      <c r="D2315" s="142" t="s">
        <v>15848</v>
      </c>
      <c r="E2315" s="142" t="s">
        <v>15849</v>
      </c>
      <c r="F2315" s="142" t="s">
        <v>5226</v>
      </c>
      <c r="G2315" s="142" t="s">
        <v>5225</v>
      </c>
      <c r="H2315" s="142" t="s">
        <v>18165</v>
      </c>
      <c r="I2315" s="142">
        <v>4</v>
      </c>
      <c r="J2315" s="142">
        <v>0</v>
      </c>
      <c r="K2315" s="142">
        <v>0</v>
      </c>
      <c r="L2315" s="142">
        <v>4</v>
      </c>
      <c r="M2315" s="142">
        <v>0</v>
      </c>
    </row>
    <row r="2316" spans="1:13" x14ac:dyDescent="0.45">
      <c r="A2316" s="142" t="s">
        <v>13402</v>
      </c>
      <c r="B2316" s="142" t="s">
        <v>14629</v>
      </c>
      <c r="C2316" s="142" t="s">
        <v>15860</v>
      </c>
      <c r="D2316" s="142" t="s">
        <v>15861</v>
      </c>
      <c r="E2316" s="142" t="s">
        <v>15849</v>
      </c>
      <c r="F2316" s="142" t="s">
        <v>5226</v>
      </c>
      <c r="G2316" s="142" t="s">
        <v>5225</v>
      </c>
      <c r="H2316" s="142" t="s">
        <v>18166</v>
      </c>
      <c r="I2316" s="142">
        <v>8</v>
      </c>
      <c r="J2316" s="142">
        <v>8</v>
      </c>
      <c r="K2316" s="142">
        <v>0</v>
      </c>
      <c r="L2316" s="142">
        <v>0</v>
      </c>
      <c r="M2316" s="142">
        <v>0</v>
      </c>
    </row>
    <row r="2317" spans="1:13" x14ac:dyDescent="0.45">
      <c r="A2317" s="142" t="s">
        <v>13038</v>
      </c>
      <c r="B2317" s="142" t="s">
        <v>14646</v>
      </c>
      <c r="C2317" s="142" t="s">
        <v>15847</v>
      </c>
      <c r="D2317" s="142" t="s">
        <v>15848</v>
      </c>
      <c r="E2317" s="142" t="s">
        <v>15849</v>
      </c>
      <c r="F2317" s="142" t="s">
        <v>5226</v>
      </c>
      <c r="G2317" s="142" t="s">
        <v>5225</v>
      </c>
      <c r="H2317" s="142" t="s">
        <v>18167</v>
      </c>
      <c r="I2317" s="142">
        <v>48</v>
      </c>
      <c r="J2317" s="142">
        <v>0</v>
      </c>
      <c r="K2317" s="142">
        <v>0</v>
      </c>
      <c r="L2317" s="142">
        <v>0</v>
      </c>
      <c r="M2317" s="142">
        <v>48</v>
      </c>
    </row>
    <row r="2318" spans="1:13" x14ac:dyDescent="0.45">
      <c r="A2318" s="142" t="s">
        <v>13039</v>
      </c>
      <c r="B2318" s="142" t="s">
        <v>14647</v>
      </c>
      <c r="C2318" s="142" t="s">
        <v>15847</v>
      </c>
      <c r="D2318" s="142" t="s">
        <v>15848</v>
      </c>
      <c r="E2318" s="142" t="s">
        <v>15849</v>
      </c>
      <c r="F2318" s="142" t="s">
        <v>5226</v>
      </c>
      <c r="G2318" s="142" t="s">
        <v>5225</v>
      </c>
      <c r="H2318" s="142" t="s">
        <v>18168</v>
      </c>
      <c r="I2318" s="142">
        <v>25</v>
      </c>
      <c r="J2318" s="142">
        <v>25</v>
      </c>
      <c r="K2318" s="142">
        <v>0</v>
      </c>
      <c r="L2318" s="142">
        <v>0</v>
      </c>
      <c r="M2318" s="142">
        <v>0</v>
      </c>
    </row>
    <row r="2319" spans="1:13" x14ac:dyDescent="0.45">
      <c r="A2319" s="142" t="s">
        <v>13009</v>
      </c>
      <c r="B2319" s="142" t="s">
        <v>15256</v>
      </c>
      <c r="C2319" s="142" t="s">
        <v>15847</v>
      </c>
      <c r="D2319" s="142" t="s">
        <v>15848</v>
      </c>
      <c r="E2319" s="142" t="s">
        <v>15849</v>
      </c>
      <c r="F2319" s="142" t="s">
        <v>5226</v>
      </c>
      <c r="G2319" s="142" t="s">
        <v>5225</v>
      </c>
      <c r="H2319" s="142" t="s">
        <v>18169</v>
      </c>
      <c r="I2319" s="142">
        <v>61</v>
      </c>
      <c r="J2319" s="142">
        <v>13</v>
      </c>
      <c r="K2319" s="142">
        <v>0</v>
      </c>
      <c r="L2319" s="142">
        <v>48</v>
      </c>
      <c r="M2319" s="142">
        <v>0</v>
      </c>
    </row>
    <row r="2320" spans="1:13" x14ac:dyDescent="0.45">
      <c r="A2320" s="142" t="s">
        <v>13203</v>
      </c>
      <c r="B2320" s="142" t="s">
        <v>15446</v>
      </c>
      <c r="C2320" s="142" t="s">
        <v>15847</v>
      </c>
      <c r="D2320" s="142" t="s">
        <v>15848</v>
      </c>
      <c r="E2320" s="142" t="s">
        <v>15849</v>
      </c>
      <c r="F2320" s="142" t="s">
        <v>5226</v>
      </c>
      <c r="G2320" s="142" t="s">
        <v>5225</v>
      </c>
      <c r="H2320" s="142" t="s">
        <v>18170</v>
      </c>
      <c r="I2320" s="142">
        <v>1</v>
      </c>
      <c r="J2320" s="142">
        <v>0</v>
      </c>
      <c r="K2320" s="142">
        <v>0</v>
      </c>
      <c r="L2320" s="142">
        <v>0</v>
      </c>
      <c r="M2320" s="142">
        <v>1</v>
      </c>
    </row>
    <row r="2321" spans="1:13" x14ac:dyDescent="0.45">
      <c r="A2321" s="142" t="s">
        <v>13590</v>
      </c>
      <c r="B2321" s="142" t="s">
        <v>15159</v>
      </c>
      <c r="C2321" s="142" t="s">
        <v>15860</v>
      </c>
      <c r="D2321" s="142" t="s">
        <v>15861</v>
      </c>
      <c r="E2321" s="142" t="s">
        <v>15849</v>
      </c>
      <c r="F2321" s="142" t="s">
        <v>5226</v>
      </c>
      <c r="G2321" s="142" t="s">
        <v>5225</v>
      </c>
      <c r="H2321" s="142" t="s">
        <v>18171</v>
      </c>
      <c r="I2321" s="142">
        <v>35</v>
      </c>
      <c r="J2321" s="142">
        <v>0</v>
      </c>
      <c r="K2321" s="142">
        <v>0</v>
      </c>
      <c r="L2321" s="142">
        <v>35</v>
      </c>
      <c r="M2321" s="142">
        <v>0</v>
      </c>
    </row>
    <row r="2322" spans="1:13" x14ac:dyDescent="0.45">
      <c r="A2322" s="142" t="s">
        <v>13591</v>
      </c>
      <c r="B2322" s="142" t="s">
        <v>15203</v>
      </c>
      <c r="C2322" s="142" t="s">
        <v>15860</v>
      </c>
      <c r="D2322" s="142" t="s">
        <v>15861</v>
      </c>
      <c r="E2322" s="142" t="s">
        <v>15849</v>
      </c>
      <c r="F2322" s="142" t="s">
        <v>5226</v>
      </c>
      <c r="G2322" s="142" t="s">
        <v>5225</v>
      </c>
      <c r="H2322" s="142" t="s">
        <v>18172</v>
      </c>
      <c r="I2322" s="142">
        <v>12</v>
      </c>
      <c r="J2322" s="142">
        <v>0</v>
      </c>
      <c r="K2322" s="142">
        <v>0</v>
      </c>
      <c r="L2322" s="142">
        <v>12</v>
      </c>
      <c r="M2322" s="142">
        <v>0</v>
      </c>
    </row>
    <row r="2323" spans="1:13" x14ac:dyDescent="0.45">
      <c r="A2323" s="142" t="s">
        <v>13395</v>
      </c>
      <c r="B2323" s="142" t="s">
        <v>15476</v>
      </c>
      <c r="C2323" s="142" t="s">
        <v>15847</v>
      </c>
      <c r="D2323" s="142" t="s">
        <v>15848</v>
      </c>
      <c r="E2323" s="142" t="s">
        <v>15849</v>
      </c>
      <c r="F2323" s="142" t="s">
        <v>5226</v>
      </c>
      <c r="G2323" s="142" t="s">
        <v>5225</v>
      </c>
      <c r="H2323" s="142" t="s">
        <v>18173</v>
      </c>
      <c r="I2323" s="142">
        <v>65</v>
      </c>
      <c r="J2323" s="142">
        <v>56</v>
      </c>
      <c r="K2323" s="142">
        <v>0</v>
      </c>
      <c r="L2323" s="142">
        <v>0</v>
      </c>
      <c r="M2323" s="142">
        <v>9</v>
      </c>
    </row>
    <row r="2324" spans="1:13" x14ac:dyDescent="0.45">
      <c r="A2324" s="142" t="s">
        <v>13142</v>
      </c>
      <c r="B2324" s="142" t="s">
        <v>15469</v>
      </c>
      <c r="C2324" s="142" t="s">
        <v>15847</v>
      </c>
      <c r="D2324" s="142" t="s">
        <v>15848</v>
      </c>
      <c r="E2324" s="142" t="s">
        <v>15849</v>
      </c>
      <c r="F2324" s="142" t="s">
        <v>5226</v>
      </c>
      <c r="G2324" s="142" t="s">
        <v>5225</v>
      </c>
      <c r="H2324" s="142" t="s">
        <v>18174</v>
      </c>
      <c r="I2324" s="142">
        <v>125</v>
      </c>
      <c r="J2324" s="142">
        <v>69</v>
      </c>
      <c r="K2324" s="142">
        <v>0</v>
      </c>
      <c r="L2324" s="142">
        <v>40</v>
      </c>
      <c r="M2324" s="142">
        <v>16</v>
      </c>
    </row>
    <row r="2325" spans="1:13" x14ac:dyDescent="0.45">
      <c r="A2325" s="142" t="s">
        <v>13016</v>
      </c>
      <c r="B2325" s="142" t="s">
        <v>14535</v>
      </c>
      <c r="C2325" s="142" t="s">
        <v>15860</v>
      </c>
      <c r="D2325" s="142" t="s">
        <v>15861</v>
      </c>
      <c r="E2325" s="142" t="s">
        <v>15849</v>
      </c>
      <c r="F2325" s="142" t="s">
        <v>5226</v>
      </c>
      <c r="G2325" s="142" t="s">
        <v>5225</v>
      </c>
      <c r="H2325" s="142" t="s">
        <v>18175</v>
      </c>
      <c r="I2325" s="142">
        <v>4</v>
      </c>
      <c r="J2325" s="142">
        <v>0</v>
      </c>
      <c r="K2325" s="142">
        <v>0</v>
      </c>
      <c r="L2325" s="142">
        <v>4</v>
      </c>
      <c r="M2325" s="142">
        <v>0</v>
      </c>
    </row>
    <row r="2326" spans="1:13" x14ac:dyDescent="0.45">
      <c r="A2326" s="142" t="s">
        <v>13593</v>
      </c>
      <c r="B2326" s="142" t="s">
        <v>14568</v>
      </c>
      <c r="C2326" s="142" t="s">
        <v>15860</v>
      </c>
      <c r="D2326" s="142" t="s">
        <v>15861</v>
      </c>
      <c r="E2326" s="142" t="s">
        <v>15849</v>
      </c>
      <c r="F2326" s="142" t="s">
        <v>477</v>
      </c>
      <c r="G2326" s="142" t="s">
        <v>476</v>
      </c>
      <c r="H2326" s="142" t="s">
        <v>18176</v>
      </c>
      <c r="I2326" s="142">
        <v>55</v>
      </c>
      <c r="J2326" s="142">
        <v>0</v>
      </c>
      <c r="K2326" s="142">
        <v>0</v>
      </c>
      <c r="L2326" s="142">
        <v>55</v>
      </c>
      <c r="M2326" s="142">
        <v>0</v>
      </c>
    </row>
    <row r="2327" spans="1:13" x14ac:dyDescent="0.45">
      <c r="A2327" s="142" t="s">
        <v>13072</v>
      </c>
      <c r="B2327" s="142" t="s">
        <v>15530</v>
      </c>
      <c r="C2327" s="142" t="s">
        <v>15847</v>
      </c>
      <c r="D2327" s="142" t="s">
        <v>15848</v>
      </c>
      <c r="E2327" s="142" t="s">
        <v>15849</v>
      </c>
      <c r="F2327" s="142" t="s">
        <v>477</v>
      </c>
      <c r="G2327" s="142" t="s">
        <v>476</v>
      </c>
      <c r="H2327" s="142" t="s">
        <v>18177</v>
      </c>
      <c r="I2327" s="142">
        <v>16</v>
      </c>
      <c r="J2327" s="142">
        <v>15</v>
      </c>
      <c r="K2327" s="142">
        <v>0</v>
      </c>
      <c r="L2327" s="142">
        <v>0</v>
      </c>
      <c r="M2327" s="142">
        <v>1</v>
      </c>
    </row>
    <row r="2328" spans="1:13" x14ac:dyDescent="0.45">
      <c r="A2328" s="142" t="s">
        <v>13023</v>
      </c>
      <c r="B2328" s="142" t="s">
        <v>15571</v>
      </c>
      <c r="C2328" s="142" t="s">
        <v>15847</v>
      </c>
      <c r="D2328" s="142" t="s">
        <v>15848</v>
      </c>
      <c r="E2328" s="142" t="s">
        <v>15849</v>
      </c>
      <c r="F2328" s="142" t="s">
        <v>477</v>
      </c>
      <c r="G2328" s="142" t="s">
        <v>476</v>
      </c>
      <c r="H2328" s="142" t="s">
        <v>18178</v>
      </c>
      <c r="I2328" s="142">
        <v>224</v>
      </c>
      <c r="J2328" s="142">
        <v>0</v>
      </c>
      <c r="K2328" s="142">
        <v>0</v>
      </c>
      <c r="L2328" s="142">
        <v>215</v>
      </c>
      <c r="M2328" s="142">
        <v>9</v>
      </c>
    </row>
    <row r="2329" spans="1:13" x14ac:dyDescent="0.45">
      <c r="A2329" s="142" t="s">
        <v>13113</v>
      </c>
      <c r="B2329" s="142" t="s">
        <v>14503</v>
      </c>
      <c r="C2329" s="142" t="s">
        <v>15860</v>
      </c>
      <c r="D2329" s="142" t="s">
        <v>15861</v>
      </c>
      <c r="E2329" s="142" t="s">
        <v>15849</v>
      </c>
      <c r="F2329" s="142" t="s">
        <v>477</v>
      </c>
      <c r="G2329" s="142" t="s">
        <v>476</v>
      </c>
      <c r="H2329" s="142" t="s">
        <v>18179</v>
      </c>
      <c r="I2329" s="142">
        <v>1</v>
      </c>
      <c r="J2329" s="142">
        <v>1</v>
      </c>
      <c r="K2329" s="142">
        <v>0</v>
      </c>
      <c r="L2329" s="142">
        <v>0</v>
      </c>
      <c r="M2329" s="142">
        <v>0</v>
      </c>
    </row>
    <row r="2330" spans="1:13" x14ac:dyDescent="0.45">
      <c r="A2330" s="142" t="s">
        <v>13546</v>
      </c>
      <c r="B2330" s="142" t="s">
        <v>14641</v>
      </c>
      <c r="C2330" s="142" t="s">
        <v>15847</v>
      </c>
      <c r="D2330" s="142" t="s">
        <v>15848</v>
      </c>
      <c r="E2330" s="142" t="s">
        <v>15849</v>
      </c>
      <c r="F2330" s="142" t="s">
        <v>477</v>
      </c>
      <c r="G2330" s="142" t="s">
        <v>476</v>
      </c>
      <c r="H2330" s="142" t="s">
        <v>18180</v>
      </c>
      <c r="I2330" s="142">
        <v>12</v>
      </c>
      <c r="J2330" s="142">
        <v>12</v>
      </c>
      <c r="K2330" s="142">
        <v>0</v>
      </c>
      <c r="L2330" s="142">
        <v>0</v>
      </c>
      <c r="M2330" s="142">
        <v>0</v>
      </c>
    </row>
    <row r="2331" spans="1:13" x14ac:dyDescent="0.45">
      <c r="A2331" s="142" t="s">
        <v>13547</v>
      </c>
      <c r="B2331" s="142" t="s">
        <v>14613</v>
      </c>
      <c r="C2331" s="142" t="s">
        <v>15847</v>
      </c>
      <c r="D2331" s="142" t="s">
        <v>15848</v>
      </c>
      <c r="E2331" s="142" t="s">
        <v>15849</v>
      </c>
      <c r="F2331" s="142" t="s">
        <v>477</v>
      </c>
      <c r="G2331" s="142" t="s">
        <v>476</v>
      </c>
      <c r="H2331" s="142" t="s">
        <v>18181</v>
      </c>
      <c r="I2331" s="142">
        <v>97</v>
      </c>
      <c r="J2331" s="142">
        <v>29</v>
      </c>
      <c r="K2331" s="142">
        <v>0</v>
      </c>
      <c r="L2331" s="142">
        <v>58</v>
      </c>
      <c r="M2331" s="142">
        <v>10</v>
      </c>
    </row>
    <row r="2332" spans="1:13" x14ac:dyDescent="0.45">
      <c r="A2332" s="142" t="s">
        <v>13065</v>
      </c>
      <c r="B2332" s="142" t="s">
        <v>14497</v>
      </c>
      <c r="C2332" s="142" t="s">
        <v>15847</v>
      </c>
      <c r="D2332" s="142" t="s">
        <v>15848</v>
      </c>
      <c r="E2332" s="142" t="s">
        <v>15849</v>
      </c>
      <c r="F2332" s="142" t="s">
        <v>477</v>
      </c>
      <c r="G2332" s="142" t="s">
        <v>476</v>
      </c>
      <c r="H2332" s="142" t="s">
        <v>18182</v>
      </c>
      <c r="I2332" s="142">
        <v>8</v>
      </c>
      <c r="J2332" s="142">
        <v>0</v>
      </c>
      <c r="K2332" s="142">
        <v>0</v>
      </c>
      <c r="L2332" s="142">
        <v>8</v>
      </c>
      <c r="M2332" s="142">
        <v>0</v>
      </c>
    </row>
    <row r="2333" spans="1:13" x14ac:dyDescent="0.45">
      <c r="A2333" s="142" t="s">
        <v>13594</v>
      </c>
      <c r="B2333" s="142" t="s">
        <v>15597</v>
      </c>
      <c r="C2333" s="142" t="s">
        <v>15847</v>
      </c>
      <c r="D2333" s="142" t="s">
        <v>15848</v>
      </c>
      <c r="E2333" s="142" t="s">
        <v>15849</v>
      </c>
      <c r="F2333" s="142" t="s">
        <v>477</v>
      </c>
      <c r="G2333" s="142" t="s">
        <v>476</v>
      </c>
      <c r="H2333" s="142" t="s">
        <v>18183</v>
      </c>
      <c r="I2333" s="142">
        <v>109</v>
      </c>
      <c r="J2333" s="142">
        <v>97</v>
      </c>
      <c r="K2333" s="142">
        <v>0</v>
      </c>
      <c r="L2333" s="142">
        <v>0</v>
      </c>
      <c r="M2333" s="142">
        <v>12</v>
      </c>
    </row>
    <row r="2334" spans="1:13" x14ac:dyDescent="0.45">
      <c r="A2334" s="142" t="s">
        <v>13288</v>
      </c>
      <c r="B2334" s="142" t="s">
        <v>14444</v>
      </c>
      <c r="C2334" s="142" t="s">
        <v>15860</v>
      </c>
      <c r="D2334" s="142" t="s">
        <v>15861</v>
      </c>
      <c r="E2334" s="142" t="s">
        <v>15849</v>
      </c>
      <c r="F2334" s="142" t="s">
        <v>477</v>
      </c>
      <c r="G2334" s="142" t="s">
        <v>476</v>
      </c>
      <c r="H2334" s="142" t="s">
        <v>18184</v>
      </c>
      <c r="I2334" s="142">
        <v>25</v>
      </c>
      <c r="J2334" s="142">
        <v>0</v>
      </c>
      <c r="K2334" s="142">
        <v>0</v>
      </c>
      <c r="L2334" s="142">
        <v>25</v>
      </c>
      <c r="M2334" s="142">
        <v>0</v>
      </c>
    </row>
    <row r="2335" spans="1:13" x14ac:dyDescent="0.45">
      <c r="A2335" s="142" t="s">
        <v>13595</v>
      </c>
      <c r="B2335" s="142" t="s">
        <v>15566</v>
      </c>
      <c r="C2335" s="142" t="s">
        <v>15847</v>
      </c>
      <c r="D2335" s="142" t="s">
        <v>15848</v>
      </c>
      <c r="E2335" s="142" t="s">
        <v>15849</v>
      </c>
      <c r="F2335" s="142" t="s">
        <v>477</v>
      </c>
      <c r="G2335" s="142" t="s">
        <v>476</v>
      </c>
      <c r="H2335" s="142" t="s">
        <v>18185</v>
      </c>
      <c r="I2335" s="142">
        <v>2</v>
      </c>
      <c r="J2335" s="142">
        <v>2</v>
      </c>
      <c r="K2335" s="142">
        <v>0</v>
      </c>
      <c r="L2335" s="142">
        <v>0</v>
      </c>
      <c r="M2335" s="142">
        <v>0</v>
      </c>
    </row>
    <row r="2336" spans="1:13" x14ac:dyDescent="0.45">
      <c r="A2336" s="142" t="s">
        <v>13549</v>
      </c>
      <c r="B2336" s="142" t="s">
        <v>14603</v>
      </c>
      <c r="C2336" s="142" t="s">
        <v>15847</v>
      </c>
      <c r="D2336" s="142" t="s">
        <v>15848</v>
      </c>
      <c r="E2336" s="142" t="s">
        <v>15849</v>
      </c>
      <c r="F2336" s="142" t="s">
        <v>477</v>
      </c>
      <c r="G2336" s="142" t="s">
        <v>476</v>
      </c>
      <c r="H2336" s="142" t="s">
        <v>18186</v>
      </c>
      <c r="I2336" s="142">
        <v>38</v>
      </c>
      <c r="J2336" s="142">
        <v>10</v>
      </c>
      <c r="K2336" s="142">
        <v>0</v>
      </c>
      <c r="L2336" s="142">
        <v>0</v>
      </c>
      <c r="M2336" s="142">
        <v>28</v>
      </c>
    </row>
    <row r="2337" spans="1:13" x14ac:dyDescent="0.45">
      <c r="A2337" s="142" t="s">
        <v>13238</v>
      </c>
      <c r="B2337" s="142" t="s">
        <v>14477</v>
      </c>
      <c r="C2337" s="142" t="s">
        <v>15860</v>
      </c>
      <c r="D2337" s="142" t="s">
        <v>15861</v>
      </c>
      <c r="E2337" s="142" t="s">
        <v>15849</v>
      </c>
      <c r="F2337" s="142" t="s">
        <v>477</v>
      </c>
      <c r="G2337" s="142" t="s">
        <v>476</v>
      </c>
      <c r="H2337" s="142" t="s">
        <v>18187</v>
      </c>
      <c r="I2337" s="142">
        <v>9</v>
      </c>
      <c r="J2337" s="142">
        <v>0</v>
      </c>
      <c r="K2337" s="142">
        <v>0</v>
      </c>
      <c r="L2337" s="142">
        <v>9</v>
      </c>
      <c r="M2337" s="142">
        <v>0</v>
      </c>
    </row>
    <row r="2338" spans="1:13" x14ac:dyDescent="0.45">
      <c r="A2338" s="142" t="s">
        <v>13085</v>
      </c>
      <c r="B2338" s="142" t="s">
        <v>14460</v>
      </c>
      <c r="C2338" s="142" t="s">
        <v>15860</v>
      </c>
      <c r="D2338" s="142" t="s">
        <v>15861</v>
      </c>
      <c r="E2338" s="142" t="s">
        <v>15849</v>
      </c>
      <c r="F2338" s="142" t="s">
        <v>477</v>
      </c>
      <c r="G2338" s="142" t="s">
        <v>476</v>
      </c>
      <c r="H2338" s="142" t="s">
        <v>18188</v>
      </c>
      <c r="I2338" s="142">
        <v>2</v>
      </c>
      <c r="J2338" s="142">
        <v>0</v>
      </c>
      <c r="K2338" s="142">
        <v>0</v>
      </c>
      <c r="L2338" s="142">
        <v>2</v>
      </c>
      <c r="M2338" s="142">
        <v>0</v>
      </c>
    </row>
    <row r="2339" spans="1:13" x14ac:dyDescent="0.45">
      <c r="A2339" s="142" t="s">
        <v>13552</v>
      </c>
      <c r="B2339" s="142" t="s">
        <v>14476</v>
      </c>
      <c r="C2339" s="142" t="s">
        <v>15860</v>
      </c>
      <c r="D2339" s="142" t="s">
        <v>15861</v>
      </c>
      <c r="E2339" s="142" t="s">
        <v>15849</v>
      </c>
      <c r="F2339" s="142" t="s">
        <v>477</v>
      </c>
      <c r="G2339" s="142" t="s">
        <v>476</v>
      </c>
      <c r="H2339" s="142" t="s">
        <v>18189</v>
      </c>
      <c r="I2339" s="142">
        <v>34</v>
      </c>
      <c r="J2339" s="142">
        <v>0</v>
      </c>
      <c r="K2339" s="142">
        <v>0</v>
      </c>
      <c r="L2339" s="142">
        <v>34</v>
      </c>
      <c r="M2339" s="142">
        <v>0</v>
      </c>
    </row>
    <row r="2340" spans="1:13" x14ac:dyDescent="0.45">
      <c r="A2340" s="142" t="s">
        <v>13027</v>
      </c>
      <c r="B2340" s="142" t="s">
        <v>14562</v>
      </c>
      <c r="C2340" s="142" t="s">
        <v>15847</v>
      </c>
      <c r="D2340" s="142" t="s">
        <v>15848</v>
      </c>
      <c r="E2340" s="142" t="s">
        <v>15849</v>
      </c>
      <c r="F2340" s="142" t="s">
        <v>477</v>
      </c>
      <c r="G2340" s="142" t="s">
        <v>476</v>
      </c>
      <c r="H2340" s="142" t="s">
        <v>18190</v>
      </c>
      <c r="I2340" s="142">
        <v>20</v>
      </c>
      <c r="J2340" s="142">
        <v>0</v>
      </c>
      <c r="K2340" s="142">
        <v>0</v>
      </c>
      <c r="L2340" s="142">
        <v>20</v>
      </c>
      <c r="M2340" s="142">
        <v>0</v>
      </c>
    </row>
    <row r="2341" spans="1:13" x14ac:dyDescent="0.45">
      <c r="A2341" s="142" t="s">
        <v>13149</v>
      </c>
      <c r="B2341" s="142" t="s">
        <v>14458</v>
      </c>
      <c r="C2341" s="142" t="s">
        <v>15860</v>
      </c>
      <c r="D2341" s="142" t="s">
        <v>15861</v>
      </c>
      <c r="E2341" s="142" t="s">
        <v>15849</v>
      </c>
      <c r="F2341" s="142" t="s">
        <v>477</v>
      </c>
      <c r="G2341" s="142" t="s">
        <v>476</v>
      </c>
      <c r="H2341" s="142" t="s">
        <v>18191</v>
      </c>
      <c r="I2341" s="142">
        <v>4</v>
      </c>
      <c r="J2341" s="142">
        <v>0</v>
      </c>
      <c r="K2341" s="142">
        <v>0</v>
      </c>
      <c r="L2341" s="142">
        <v>4</v>
      </c>
      <c r="M2341" s="142">
        <v>0</v>
      </c>
    </row>
    <row r="2342" spans="1:13" x14ac:dyDescent="0.45">
      <c r="A2342" s="142" t="s">
        <v>13554</v>
      </c>
      <c r="B2342" s="142" t="s">
        <v>14518</v>
      </c>
      <c r="C2342" s="142" t="s">
        <v>15860</v>
      </c>
      <c r="D2342" s="142" t="s">
        <v>15861</v>
      </c>
      <c r="E2342" s="142" t="s">
        <v>15849</v>
      </c>
      <c r="F2342" s="142" t="s">
        <v>477</v>
      </c>
      <c r="G2342" s="142" t="s">
        <v>476</v>
      </c>
      <c r="H2342" s="142" t="s">
        <v>18192</v>
      </c>
      <c r="I2342" s="142">
        <v>19</v>
      </c>
      <c r="J2342" s="142">
        <v>19</v>
      </c>
      <c r="K2342" s="142">
        <v>0</v>
      </c>
      <c r="L2342" s="142">
        <v>0</v>
      </c>
      <c r="M2342" s="142">
        <v>0</v>
      </c>
    </row>
    <row r="2343" spans="1:13" x14ac:dyDescent="0.45">
      <c r="A2343" s="142" t="s">
        <v>13028</v>
      </c>
      <c r="B2343" s="142" t="s">
        <v>14462</v>
      </c>
      <c r="C2343" s="142" t="s">
        <v>15847</v>
      </c>
      <c r="D2343" s="142" t="s">
        <v>15848</v>
      </c>
      <c r="E2343" s="142" t="s">
        <v>15849</v>
      </c>
      <c r="F2343" s="142" t="s">
        <v>477</v>
      </c>
      <c r="G2343" s="142" t="s">
        <v>476</v>
      </c>
      <c r="H2343" s="142" t="s">
        <v>18193</v>
      </c>
      <c r="I2343" s="142">
        <v>44</v>
      </c>
      <c r="J2343" s="142">
        <v>0</v>
      </c>
      <c r="K2343" s="142">
        <v>0</v>
      </c>
      <c r="L2343" s="142">
        <v>0</v>
      </c>
      <c r="M2343" s="142">
        <v>44</v>
      </c>
    </row>
    <row r="2344" spans="1:13" x14ac:dyDescent="0.45">
      <c r="A2344" s="142" t="s">
        <v>13002</v>
      </c>
      <c r="B2344" s="142" t="s">
        <v>15376</v>
      </c>
      <c r="C2344" s="142" t="s">
        <v>15847</v>
      </c>
      <c r="D2344" s="142" t="s">
        <v>15848</v>
      </c>
      <c r="E2344" s="142" t="s">
        <v>15849</v>
      </c>
      <c r="F2344" s="142" t="s">
        <v>477</v>
      </c>
      <c r="G2344" s="142" t="s">
        <v>476</v>
      </c>
      <c r="H2344" s="142" t="s">
        <v>18194</v>
      </c>
      <c r="I2344" s="142">
        <v>348</v>
      </c>
      <c r="J2344" s="142">
        <v>293</v>
      </c>
      <c r="K2344" s="142">
        <v>0</v>
      </c>
      <c r="L2344" s="142">
        <v>52</v>
      </c>
      <c r="M2344" s="142">
        <v>3</v>
      </c>
    </row>
    <row r="2345" spans="1:13" x14ac:dyDescent="0.45">
      <c r="A2345" s="142" t="s">
        <v>13003</v>
      </c>
      <c r="B2345" s="142" t="s">
        <v>15245</v>
      </c>
      <c r="C2345" s="142" t="s">
        <v>15847</v>
      </c>
      <c r="D2345" s="142" t="s">
        <v>15848</v>
      </c>
      <c r="E2345" s="142" t="s">
        <v>15849</v>
      </c>
      <c r="F2345" s="142" t="s">
        <v>477</v>
      </c>
      <c r="G2345" s="142" t="s">
        <v>476</v>
      </c>
      <c r="H2345" s="142" t="s">
        <v>18195</v>
      </c>
      <c r="I2345" s="142">
        <v>29</v>
      </c>
      <c r="J2345" s="142">
        <v>0</v>
      </c>
      <c r="K2345" s="142">
        <v>0</v>
      </c>
      <c r="L2345" s="142">
        <v>29</v>
      </c>
      <c r="M2345" s="142">
        <v>0</v>
      </c>
    </row>
    <row r="2346" spans="1:13" x14ac:dyDescent="0.45">
      <c r="A2346" s="142" t="s">
        <v>13066</v>
      </c>
      <c r="B2346" s="142" t="s">
        <v>14459</v>
      </c>
      <c r="C2346" s="142" t="s">
        <v>15847</v>
      </c>
      <c r="D2346" s="142" t="s">
        <v>15848</v>
      </c>
      <c r="E2346" s="142" t="s">
        <v>15849</v>
      </c>
      <c r="F2346" s="142" t="s">
        <v>477</v>
      </c>
      <c r="G2346" s="142" t="s">
        <v>476</v>
      </c>
      <c r="H2346" s="142" t="s">
        <v>18196</v>
      </c>
      <c r="I2346" s="142">
        <v>13</v>
      </c>
      <c r="J2346" s="142">
        <v>0</v>
      </c>
      <c r="K2346" s="142">
        <v>0</v>
      </c>
      <c r="L2346" s="142">
        <v>13</v>
      </c>
      <c r="M2346" s="142">
        <v>0</v>
      </c>
    </row>
    <row r="2347" spans="1:13" x14ac:dyDescent="0.45">
      <c r="A2347" s="142" t="s">
        <v>13556</v>
      </c>
      <c r="B2347" s="142" t="s">
        <v>14762</v>
      </c>
      <c r="C2347" s="142" t="s">
        <v>15860</v>
      </c>
      <c r="D2347" s="142" t="s">
        <v>15861</v>
      </c>
      <c r="E2347" s="142" t="s">
        <v>15849</v>
      </c>
      <c r="F2347" s="142" t="s">
        <v>477</v>
      </c>
      <c r="G2347" s="142" t="s">
        <v>476</v>
      </c>
      <c r="H2347" s="142" t="s">
        <v>18197</v>
      </c>
      <c r="I2347" s="142">
        <v>30</v>
      </c>
      <c r="J2347" s="142">
        <v>0</v>
      </c>
      <c r="K2347" s="142">
        <v>0</v>
      </c>
      <c r="L2347" s="142">
        <v>30</v>
      </c>
      <c r="M2347" s="142">
        <v>0</v>
      </c>
    </row>
    <row r="2348" spans="1:13" x14ac:dyDescent="0.45">
      <c r="A2348" s="142" t="s">
        <v>13557</v>
      </c>
      <c r="B2348" s="142" t="s">
        <v>14592</v>
      </c>
      <c r="C2348" s="142" t="s">
        <v>15847</v>
      </c>
      <c r="D2348" s="142" t="s">
        <v>15848</v>
      </c>
      <c r="E2348" s="142" t="s">
        <v>15849</v>
      </c>
      <c r="F2348" s="142" t="s">
        <v>477</v>
      </c>
      <c r="G2348" s="142" t="s">
        <v>476</v>
      </c>
      <c r="H2348" s="142" t="s">
        <v>18198</v>
      </c>
      <c r="I2348" s="142">
        <v>204</v>
      </c>
      <c r="J2348" s="142">
        <v>201</v>
      </c>
      <c r="K2348" s="142">
        <v>0</v>
      </c>
      <c r="L2348" s="142">
        <v>0</v>
      </c>
      <c r="M2348" s="142">
        <v>3</v>
      </c>
    </row>
    <row r="2349" spans="1:13" x14ac:dyDescent="0.45">
      <c r="A2349" s="142" t="s">
        <v>13558</v>
      </c>
      <c r="B2349" s="142" t="s">
        <v>15483</v>
      </c>
      <c r="C2349" s="142" t="s">
        <v>15847</v>
      </c>
      <c r="D2349" s="142" t="s">
        <v>15848</v>
      </c>
      <c r="E2349" s="142" t="s">
        <v>15849</v>
      </c>
      <c r="F2349" s="142" t="s">
        <v>477</v>
      </c>
      <c r="G2349" s="142" t="s">
        <v>476</v>
      </c>
      <c r="H2349" s="142" t="s">
        <v>18199</v>
      </c>
      <c r="I2349" s="142">
        <v>94</v>
      </c>
      <c r="J2349" s="142">
        <v>89</v>
      </c>
      <c r="K2349" s="142">
        <v>0</v>
      </c>
      <c r="L2349" s="142">
        <v>0</v>
      </c>
      <c r="M2349" s="142">
        <v>5</v>
      </c>
    </row>
    <row r="2350" spans="1:13" x14ac:dyDescent="0.45">
      <c r="A2350" s="142" t="s">
        <v>13596</v>
      </c>
      <c r="B2350" s="142" t="s">
        <v>14527</v>
      </c>
      <c r="C2350" s="142" t="s">
        <v>15860</v>
      </c>
      <c r="D2350" s="142" t="s">
        <v>15861</v>
      </c>
      <c r="E2350" s="142" t="s">
        <v>15849</v>
      </c>
      <c r="F2350" s="142" t="s">
        <v>477</v>
      </c>
      <c r="G2350" s="142" t="s">
        <v>476</v>
      </c>
      <c r="H2350" s="142" t="s">
        <v>18200</v>
      </c>
      <c r="I2350" s="142">
        <v>24</v>
      </c>
      <c r="J2350" s="142">
        <v>24</v>
      </c>
      <c r="K2350" s="142">
        <v>0</v>
      </c>
      <c r="L2350" s="142">
        <v>0</v>
      </c>
      <c r="M2350" s="142">
        <v>0</v>
      </c>
    </row>
    <row r="2351" spans="1:13" x14ac:dyDescent="0.45">
      <c r="A2351" s="142" t="s">
        <v>13559</v>
      </c>
      <c r="B2351" s="142" t="s">
        <v>15494</v>
      </c>
      <c r="C2351" s="142" t="s">
        <v>15847</v>
      </c>
      <c r="D2351" s="142" t="s">
        <v>15848</v>
      </c>
      <c r="E2351" s="142" t="s">
        <v>15849</v>
      </c>
      <c r="F2351" s="142" t="s">
        <v>477</v>
      </c>
      <c r="G2351" s="142" t="s">
        <v>476</v>
      </c>
      <c r="H2351" s="142" t="s">
        <v>18201</v>
      </c>
      <c r="I2351" s="142">
        <v>523</v>
      </c>
      <c r="J2351" s="142">
        <v>462</v>
      </c>
      <c r="K2351" s="142">
        <v>0</v>
      </c>
      <c r="L2351" s="142">
        <v>59</v>
      </c>
      <c r="M2351" s="142">
        <v>2</v>
      </c>
    </row>
    <row r="2352" spans="1:13" x14ac:dyDescent="0.45">
      <c r="A2352" s="142" t="s">
        <v>13033</v>
      </c>
      <c r="B2352" s="142" t="s">
        <v>15276</v>
      </c>
      <c r="C2352" s="142" t="s">
        <v>15847</v>
      </c>
      <c r="D2352" s="142" t="s">
        <v>15848</v>
      </c>
      <c r="E2352" s="142" t="s">
        <v>15849</v>
      </c>
      <c r="F2352" s="142" t="s">
        <v>477</v>
      </c>
      <c r="G2352" s="142" t="s">
        <v>476</v>
      </c>
      <c r="H2352" s="142" t="s">
        <v>18202</v>
      </c>
      <c r="I2352" s="142">
        <v>274</v>
      </c>
      <c r="J2352" s="142">
        <v>265</v>
      </c>
      <c r="K2352" s="142">
        <v>0</v>
      </c>
      <c r="L2352" s="142">
        <v>0</v>
      </c>
      <c r="M2352" s="142">
        <v>9</v>
      </c>
    </row>
    <row r="2353" spans="1:13" x14ac:dyDescent="0.45">
      <c r="A2353" s="142" t="s">
        <v>13034</v>
      </c>
      <c r="B2353" s="142" t="s">
        <v>15562</v>
      </c>
      <c r="C2353" s="142" t="s">
        <v>15847</v>
      </c>
      <c r="D2353" s="142" t="s">
        <v>15848</v>
      </c>
      <c r="E2353" s="142" t="s">
        <v>15849</v>
      </c>
      <c r="F2353" s="142" t="s">
        <v>477</v>
      </c>
      <c r="G2353" s="142" t="s">
        <v>476</v>
      </c>
      <c r="H2353" s="142" t="s">
        <v>18203</v>
      </c>
      <c r="I2353" s="142">
        <v>7</v>
      </c>
      <c r="J2353" s="142">
        <v>0</v>
      </c>
      <c r="K2353" s="142">
        <v>0</v>
      </c>
      <c r="L2353" s="142">
        <v>7</v>
      </c>
      <c r="M2353" s="142">
        <v>0</v>
      </c>
    </row>
    <row r="2354" spans="1:13" x14ac:dyDescent="0.45">
      <c r="A2354" s="142" t="s">
        <v>13036</v>
      </c>
      <c r="B2354" s="142" t="s">
        <v>15567</v>
      </c>
      <c r="C2354" s="142" t="s">
        <v>15847</v>
      </c>
      <c r="D2354" s="142" t="s">
        <v>15848</v>
      </c>
      <c r="E2354" s="142" t="s">
        <v>15849</v>
      </c>
      <c r="F2354" s="142" t="s">
        <v>477</v>
      </c>
      <c r="G2354" s="142" t="s">
        <v>476</v>
      </c>
      <c r="H2354" s="142" t="s">
        <v>18204</v>
      </c>
      <c r="I2354" s="142">
        <v>5</v>
      </c>
      <c r="J2354" s="142">
        <v>0</v>
      </c>
      <c r="K2354" s="142">
        <v>0</v>
      </c>
      <c r="L2354" s="142">
        <v>5</v>
      </c>
      <c r="M2354" s="142">
        <v>0</v>
      </c>
    </row>
    <row r="2355" spans="1:13" x14ac:dyDescent="0.45">
      <c r="A2355" s="142" t="s">
        <v>13560</v>
      </c>
      <c r="B2355" s="142" t="s">
        <v>14778</v>
      </c>
      <c r="C2355" s="142" t="s">
        <v>15847</v>
      </c>
      <c r="D2355" s="142" t="s">
        <v>15848</v>
      </c>
      <c r="E2355" s="142" t="s">
        <v>15849</v>
      </c>
      <c r="F2355" s="142" t="s">
        <v>477</v>
      </c>
      <c r="G2355" s="142" t="s">
        <v>476</v>
      </c>
      <c r="H2355" s="142" t="s">
        <v>18205</v>
      </c>
      <c r="I2355" s="142">
        <v>502</v>
      </c>
      <c r="J2355" s="142">
        <v>319</v>
      </c>
      <c r="K2355" s="142">
        <v>0</v>
      </c>
      <c r="L2355" s="142">
        <v>183</v>
      </c>
      <c r="M2355" s="142">
        <v>0</v>
      </c>
    </row>
    <row r="2356" spans="1:13" x14ac:dyDescent="0.45">
      <c r="A2356" s="142" t="s">
        <v>13037</v>
      </c>
      <c r="B2356" s="142" t="s">
        <v>14519</v>
      </c>
      <c r="C2356" s="142" t="s">
        <v>15847</v>
      </c>
      <c r="D2356" s="142" t="s">
        <v>15848</v>
      </c>
      <c r="E2356" s="142" t="s">
        <v>15849</v>
      </c>
      <c r="F2356" s="142" t="s">
        <v>477</v>
      </c>
      <c r="G2356" s="142" t="s">
        <v>476</v>
      </c>
      <c r="H2356" s="142" t="s">
        <v>18206</v>
      </c>
      <c r="I2356" s="142">
        <v>16</v>
      </c>
      <c r="J2356" s="142">
        <v>0</v>
      </c>
      <c r="K2356" s="142">
        <v>0</v>
      </c>
      <c r="L2356" s="142">
        <v>16</v>
      </c>
      <c r="M2356" s="142">
        <v>0</v>
      </c>
    </row>
    <row r="2357" spans="1:13" x14ac:dyDescent="0.45">
      <c r="A2357" s="142" t="s">
        <v>13078</v>
      </c>
      <c r="B2357" s="142" t="s">
        <v>15540</v>
      </c>
      <c r="C2357" s="142" t="s">
        <v>15847</v>
      </c>
      <c r="D2357" s="142" t="s">
        <v>15848</v>
      </c>
      <c r="E2357" s="142" t="s">
        <v>15849</v>
      </c>
      <c r="F2357" s="142" t="s">
        <v>477</v>
      </c>
      <c r="G2357" s="142" t="s">
        <v>476</v>
      </c>
      <c r="H2357" s="142" t="s">
        <v>18207</v>
      </c>
      <c r="I2357" s="142">
        <v>55</v>
      </c>
      <c r="J2357" s="142">
        <v>55</v>
      </c>
      <c r="K2357" s="142">
        <v>0</v>
      </c>
      <c r="L2357" s="142">
        <v>0</v>
      </c>
      <c r="M2357" s="142">
        <v>0</v>
      </c>
    </row>
    <row r="2358" spans="1:13" x14ac:dyDescent="0.45">
      <c r="A2358" s="142" t="s">
        <v>13009</v>
      </c>
      <c r="B2358" s="142" t="s">
        <v>15256</v>
      </c>
      <c r="C2358" s="142" t="s">
        <v>15847</v>
      </c>
      <c r="D2358" s="142" t="s">
        <v>15848</v>
      </c>
      <c r="E2358" s="142" t="s">
        <v>15849</v>
      </c>
      <c r="F2358" s="142" t="s">
        <v>477</v>
      </c>
      <c r="G2358" s="142" t="s">
        <v>476</v>
      </c>
      <c r="H2358" s="142" t="s">
        <v>18208</v>
      </c>
      <c r="I2358" s="142">
        <v>22</v>
      </c>
      <c r="J2358" s="142">
        <v>0</v>
      </c>
      <c r="K2358" s="142">
        <v>0</v>
      </c>
      <c r="L2358" s="142">
        <v>22</v>
      </c>
      <c r="M2358" s="142">
        <v>0</v>
      </c>
    </row>
    <row r="2359" spans="1:13" x14ac:dyDescent="0.45">
      <c r="A2359" s="142" t="s">
        <v>13597</v>
      </c>
      <c r="B2359" s="142" t="s">
        <v>14734</v>
      </c>
      <c r="C2359" s="142" t="s">
        <v>15860</v>
      </c>
      <c r="D2359" s="142" t="s">
        <v>15861</v>
      </c>
      <c r="E2359" s="142" t="s">
        <v>15849</v>
      </c>
      <c r="F2359" s="142" t="s">
        <v>477</v>
      </c>
      <c r="G2359" s="142" t="s">
        <v>476</v>
      </c>
      <c r="H2359" s="142" t="s">
        <v>18209</v>
      </c>
      <c r="I2359" s="142">
        <v>55</v>
      </c>
      <c r="J2359" s="142">
        <v>0</v>
      </c>
      <c r="K2359" s="142">
        <v>0</v>
      </c>
      <c r="L2359" s="142">
        <v>55</v>
      </c>
      <c r="M2359" s="142">
        <v>0</v>
      </c>
    </row>
    <row r="2360" spans="1:13" x14ac:dyDescent="0.45">
      <c r="A2360" s="142" t="s">
        <v>13598</v>
      </c>
      <c r="B2360" s="142" t="s">
        <v>15135</v>
      </c>
      <c r="C2360" s="142" t="s">
        <v>15860</v>
      </c>
      <c r="D2360" s="142" t="s">
        <v>15861</v>
      </c>
      <c r="E2360" s="142" t="s">
        <v>15849</v>
      </c>
      <c r="F2360" s="142" t="s">
        <v>477</v>
      </c>
      <c r="G2360" s="142" t="s">
        <v>476</v>
      </c>
      <c r="H2360" s="142" t="s">
        <v>18210</v>
      </c>
      <c r="I2360" s="142">
        <v>20</v>
      </c>
      <c r="J2360" s="142">
        <v>0</v>
      </c>
      <c r="K2360" s="142">
        <v>0</v>
      </c>
      <c r="L2360" s="142">
        <v>20</v>
      </c>
      <c r="M2360" s="142">
        <v>0</v>
      </c>
    </row>
    <row r="2361" spans="1:13" x14ac:dyDescent="0.45">
      <c r="A2361" s="142" t="s">
        <v>13096</v>
      </c>
      <c r="B2361" s="142" t="s">
        <v>15478</v>
      </c>
      <c r="C2361" s="142" t="s">
        <v>15847</v>
      </c>
      <c r="D2361" s="142" t="s">
        <v>15848</v>
      </c>
      <c r="E2361" s="142" t="s">
        <v>15849</v>
      </c>
      <c r="F2361" s="142" t="s">
        <v>477</v>
      </c>
      <c r="G2361" s="142" t="s">
        <v>476</v>
      </c>
      <c r="H2361" s="142" t="s">
        <v>18211</v>
      </c>
      <c r="I2361" s="142">
        <v>400</v>
      </c>
      <c r="J2361" s="142">
        <v>346</v>
      </c>
      <c r="K2361" s="142">
        <v>6</v>
      </c>
      <c r="L2361" s="142">
        <v>6</v>
      </c>
      <c r="M2361" s="142">
        <v>42</v>
      </c>
    </row>
    <row r="2362" spans="1:13" x14ac:dyDescent="0.45">
      <c r="A2362" s="142" t="s">
        <v>13156</v>
      </c>
      <c r="B2362" s="142" t="s">
        <v>14493</v>
      </c>
      <c r="C2362" s="142" t="s">
        <v>15860</v>
      </c>
      <c r="D2362" s="142" t="s">
        <v>15861</v>
      </c>
      <c r="E2362" s="142" t="s">
        <v>15849</v>
      </c>
      <c r="F2362" s="142" t="s">
        <v>477</v>
      </c>
      <c r="G2362" s="142" t="s">
        <v>476</v>
      </c>
      <c r="H2362" s="142" t="s">
        <v>18212</v>
      </c>
      <c r="I2362" s="142">
        <v>12</v>
      </c>
      <c r="J2362" s="142">
        <v>1</v>
      </c>
      <c r="K2362" s="142">
        <v>0</v>
      </c>
      <c r="L2362" s="142">
        <v>11</v>
      </c>
      <c r="M2362" s="142">
        <v>0</v>
      </c>
    </row>
    <row r="2363" spans="1:13" x14ac:dyDescent="0.45">
      <c r="A2363" s="142" t="s">
        <v>13021</v>
      </c>
      <c r="B2363" s="142" t="s">
        <v>15501</v>
      </c>
      <c r="C2363" s="142" t="s">
        <v>15847</v>
      </c>
      <c r="D2363" s="142" t="s">
        <v>15848</v>
      </c>
      <c r="E2363" s="142" t="s">
        <v>15849</v>
      </c>
      <c r="F2363" s="142" t="s">
        <v>5510</v>
      </c>
      <c r="G2363" s="142" t="s">
        <v>5509</v>
      </c>
      <c r="H2363" s="142" t="s">
        <v>18213</v>
      </c>
      <c r="I2363" s="142">
        <v>17</v>
      </c>
      <c r="J2363" s="142">
        <v>0</v>
      </c>
      <c r="K2363" s="142">
        <v>0</v>
      </c>
      <c r="L2363" s="142">
        <v>17</v>
      </c>
      <c r="M2363" s="142">
        <v>0</v>
      </c>
    </row>
    <row r="2364" spans="1:13" x14ac:dyDescent="0.45">
      <c r="A2364" s="142" t="s">
        <v>13023</v>
      </c>
      <c r="B2364" s="142" t="s">
        <v>15571</v>
      </c>
      <c r="C2364" s="142" t="s">
        <v>15847</v>
      </c>
      <c r="D2364" s="142" t="s">
        <v>15848</v>
      </c>
      <c r="E2364" s="142" t="s">
        <v>15849</v>
      </c>
      <c r="F2364" s="142" t="s">
        <v>5510</v>
      </c>
      <c r="G2364" s="142" t="s">
        <v>5509</v>
      </c>
      <c r="H2364" s="142" t="s">
        <v>18214</v>
      </c>
      <c r="I2364" s="142">
        <v>27</v>
      </c>
      <c r="J2364" s="142">
        <v>0</v>
      </c>
      <c r="K2364" s="142">
        <v>0</v>
      </c>
      <c r="L2364" s="142">
        <v>0</v>
      </c>
      <c r="M2364" s="142">
        <v>27</v>
      </c>
    </row>
    <row r="2365" spans="1:13" x14ac:dyDescent="0.45">
      <c r="A2365" s="142" t="s">
        <v>13210</v>
      </c>
      <c r="B2365" s="142" t="s">
        <v>14446</v>
      </c>
      <c r="C2365" s="142" t="s">
        <v>15860</v>
      </c>
      <c r="D2365" s="142" t="s">
        <v>15861</v>
      </c>
      <c r="E2365" s="142" t="s">
        <v>15849</v>
      </c>
      <c r="F2365" s="142" t="s">
        <v>5510</v>
      </c>
      <c r="G2365" s="142" t="s">
        <v>5509</v>
      </c>
      <c r="H2365" s="142" t="s">
        <v>18215</v>
      </c>
      <c r="I2365" s="142">
        <v>5</v>
      </c>
      <c r="J2365" s="142">
        <v>0</v>
      </c>
      <c r="K2365" s="142">
        <v>5</v>
      </c>
      <c r="L2365" s="142">
        <v>0</v>
      </c>
      <c r="M2365" s="142">
        <v>0</v>
      </c>
    </row>
    <row r="2366" spans="1:13" x14ac:dyDescent="0.45">
      <c r="A2366" s="142" t="s">
        <v>13000</v>
      </c>
      <c r="B2366" s="142" t="s">
        <v>14610</v>
      </c>
      <c r="C2366" s="142" t="s">
        <v>15847</v>
      </c>
      <c r="D2366" s="142" t="s">
        <v>15848</v>
      </c>
      <c r="E2366" s="142" t="s">
        <v>15849</v>
      </c>
      <c r="F2366" s="142" t="s">
        <v>5510</v>
      </c>
      <c r="G2366" s="142" t="s">
        <v>5509</v>
      </c>
      <c r="H2366" s="142" t="s">
        <v>18216</v>
      </c>
      <c r="I2366" s="142">
        <v>606</v>
      </c>
      <c r="J2366" s="142">
        <v>160</v>
      </c>
      <c r="K2366" s="142">
        <v>0</v>
      </c>
      <c r="L2366" s="142">
        <v>0</v>
      </c>
      <c r="M2366" s="142">
        <v>446</v>
      </c>
    </row>
    <row r="2367" spans="1:13" x14ac:dyDescent="0.45">
      <c r="A2367" s="142" t="s">
        <v>13212</v>
      </c>
      <c r="B2367" s="142" t="s">
        <v>15497</v>
      </c>
      <c r="C2367" s="142" t="s">
        <v>15860</v>
      </c>
      <c r="D2367" s="142" t="s">
        <v>15861</v>
      </c>
      <c r="E2367" s="142" t="s">
        <v>15849</v>
      </c>
      <c r="F2367" s="142" t="s">
        <v>5510</v>
      </c>
      <c r="G2367" s="142" t="s">
        <v>5509</v>
      </c>
      <c r="H2367" s="142" t="s">
        <v>18217</v>
      </c>
      <c r="I2367" s="142">
        <v>220</v>
      </c>
      <c r="J2367" s="142">
        <v>220</v>
      </c>
      <c r="K2367" s="142">
        <v>0</v>
      </c>
      <c r="L2367" s="142">
        <v>0</v>
      </c>
      <c r="M2367" s="142">
        <v>0</v>
      </c>
    </row>
    <row r="2368" spans="1:13" x14ac:dyDescent="0.45">
      <c r="A2368" s="142" t="s">
        <v>13600</v>
      </c>
      <c r="B2368" s="142" t="s">
        <v>15036</v>
      </c>
      <c r="C2368" s="142" t="s">
        <v>15860</v>
      </c>
      <c r="D2368" s="142" t="s">
        <v>15861</v>
      </c>
      <c r="E2368" s="142" t="s">
        <v>15849</v>
      </c>
      <c r="F2368" s="142" t="s">
        <v>5510</v>
      </c>
      <c r="G2368" s="142" t="s">
        <v>5509</v>
      </c>
      <c r="H2368" s="142" t="s">
        <v>18218</v>
      </c>
      <c r="I2368" s="142">
        <v>47</v>
      </c>
      <c r="J2368" s="142">
        <v>47</v>
      </c>
      <c r="K2368" s="142">
        <v>0</v>
      </c>
      <c r="L2368" s="142">
        <v>0</v>
      </c>
      <c r="M2368" s="142">
        <v>0</v>
      </c>
    </row>
    <row r="2369" spans="1:13" x14ac:dyDescent="0.45">
      <c r="A2369" s="142" t="s">
        <v>13601</v>
      </c>
      <c r="B2369" s="142" t="s">
        <v>14806</v>
      </c>
      <c r="C2369" s="142" t="s">
        <v>15860</v>
      </c>
      <c r="D2369" s="142" t="s">
        <v>15861</v>
      </c>
      <c r="E2369" s="142" t="s">
        <v>15849</v>
      </c>
      <c r="F2369" s="142" t="s">
        <v>5510</v>
      </c>
      <c r="G2369" s="142" t="s">
        <v>5509</v>
      </c>
      <c r="H2369" s="142" t="s">
        <v>18219</v>
      </c>
      <c r="I2369" s="142">
        <v>36</v>
      </c>
      <c r="J2369" s="142">
        <v>0</v>
      </c>
      <c r="K2369" s="142">
        <v>0</v>
      </c>
      <c r="L2369" s="142">
        <v>36</v>
      </c>
      <c r="M2369" s="142">
        <v>0</v>
      </c>
    </row>
    <row r="2370" spans="1:13" x14ac:dyDescent="0.45">
      <c r="A2370" s="142" t="s">
        <v>13027</v>
      </c>
      <c r="B2370" s="142" t="s">
        <v>14562</v>
      </c>
      <c r="C2370" s="142" t="s">
        <v>15847</v>
      </c>
      <c r="D2370" s="142" t="s">
        <v>15848</v>
      </c>
      <c r="E2370" s="142" t="s">
        <v>15849</v>
      </c>
      <c r="F2370" s="142" t="s">
        <v>5510</v>
      </c>
      <c r="G2370" s="142" t="s">
        <v>5509</v>
      </c>
      <c r="H2370" s="142" t="s">
        <v>18220</v>
      </c>
      <c r="I2370" s="142">
        <v>2</v>
      </c>
      <c r="J2370" s="142">
        <v>0</v>
      </c>
      <c r="K2370" s="142">
        <v>0</v>
      </c>
      <c r="L2370" s="142">
        <v>2</v>
      </c>
      <c r="M2370" s="142">
        <v>0</v>
      </c>
    </row>
    <row r="2371" spans="1:13" x14ac:dyDescent="0.45">
      <c r="A2371" s="142" t="s">
        <v>13602</v>
      </c>
      <c r="B2371" s="142" t="s">
        <v>15512</v>
      </c>
      <c r="C2371" s="142" t="s">
        <v>15860</v>
      </c>
      <c r="D2371" s="142" t="s">
        <v>15861</v>
      </c>
      <c r="E2371" s="142" t="s">
        <v>15849</v>
      </c>
      <c r="F2371" s="142" t="s">
        <v>5510</v>
      </c>
      <c r="G2371" s="142" t="s">
        <v>5509</v>
      </c>
      <c r="H2371" s="142" t="s">
        <v>18221</v>
      </c>
      <c r="I2371" s="142">
        <v>131</v>
      </c>
      <c r="J2371" s="142">
        <v>112</v>
      </c>
      <c r="K2371" s="142">
        <v>0</v>
      </c>
      <c r="L2371" s="142">
        <v>19</v>
      </c>
      <c r="M2371" s="142">
        <v>0</v>
      </c>
    </row>
    <row r="2372" spans="1:13" x14ac:dyDescent="0.45">
      <c r="A2372" s="142" t="s">
        <v>13603</v>
      </c>
      <c r="B2372" s="142" t="s">
        <v>14439</v>
      </c>
      <c r="C2372" s="142" t="s">
        <v>15847</v>
      </c>
      <c r="D2372" s="142" t="s">
        <v>15848</v>
      </c>
      <c r="E2372" s="142" t="s">
        <v>15849</v>
      </c>
      <c r="F2372" s="142" t="s">
        <v>5510</v>
      </c>
      <c r="G2372" s="142" t="s">
        <v>5509</v>
      </c>
      <c r="H2372" s="142" t="s">
        <v>18222</v>
      </c>
      <c r="I2372" s="142">
        <v>123</v>
      </c>
      <c r="J2372" s="142">
        <v>107</v>
      </c>
      <c r="K2372" s="142">
        <v>0</v>
      </c>
      <c r="L2372" s="142">
        <v>0</v>
      </c>
      <c r="M2372" s="142">
        <v>16</v>
      </c>
    </row>
    <row r="2373" spans="1:13" x14ac:dyDescent="0.45">
      <c r="A2373" s="142" t="s">
        <v>13004</v>
      </c>
      <c r="B2373" s="142" t="s">
        <v>15492</v>
      </c>
      <c r="C2373" s="142" t="s">
        <v>15847</v>
      </c>
      <c r="D2373" s="142" t="s">
        <v>15848</v>
      </c>
      <c r="E2373" s="142" t="s">
        <v>15849</v>
      </c>
      <c r="F2373" s="142" t="s">
        <v>5510</v>
      </c>
      <c r="G2373" s="142" t="s">
        <v>5509</v>
      </c>
      <c r="H2373" s="142" t="s">
        <v>18223</v>
      </c>
      <c r="I2373" s="142">
        <v>746</v>
      </c>
      <c r="J2373" s="142">
        <v>536</v>
      </c>
      <c r="K2373" s="142">
        <v>12</v>
      </c>
      <c r="L2373" s="142">
        <v>8</v>
      </c>
      <c r="M2373" s="142">
        <v>190</v>
      </c>
    </row>
    <row r="2374" spans="1:13" x14ac:dyDescent="0.45">
      <c r="A2374" s="142" t="s">
        <v>13005</v>
      </c>
      <c r="B2374" s="142" t="s">
        <v>15475</v>
      </c>
      <c r="C2374" s="142" t="s">
        <v>15847</v>
      </c>
      <c r="D2374" s="142" t="s">
        <v>15848</v>
      </c>
      <c r="E2374" s="142" t="s">
        <v>15849</v>
      </c>
      <c r="F2374" s="142" t="s">
        <v>5510</v>
      </c>
      <c r="G2374" s="142" t="s">
        <v>5509</v>
      </c>
      <c r="H2374" s="142" t="s">
        <v>18224</v>
      </c>
      <c r="I2374" s="142">
        <v>66</v>
      </c>
      <c r="J2374" s="142">
        <v>24</v>
      </c>
      <c r="K2374" s="142">
        <v>0</v>
      </c>
      <c r="L2374" s="142">
        <v>0</v>
      </c>
      <c r="M2374" s="142">
        <v>42</v>
      </c>
    </row>
    <row r="2375" spans="1:13" x14ac:dyDescent="0.45">
      <c r="A2375" s="142" t="s">
        <v>13029</v>
      </c>
      <c r="B2375" s="142" t="s">
        <v>14665</v>
      </c>
      <c r="C2375" s="142" t="s">
        <v>15847</v>
      </c>
      <c r="D2375" s="142" t="s">
        <v>15848</v>
      </c>
      <c r="E2375" s="142" t="s">
        <v>15849</v>
      </c>
      <c r="F2375" s="142" t="s">
        <v>5510</v>
      </c>
      <c r="G2375" s="142" t="s">
        <v>5509</v>
      </c>
      <c r="H2375" s="142" t="s">
        <v>18225</v>
      </c>
      <c r="I2375" s="142">
        <v>19</v>
      </c>
      <c r="J2375" s="142">
        <v>0</v>
      </c>
      <c r="K2375" s="142">
        <v>0</v>
      </c>
      <c r="L2375" s="142">
        <v>0</v>
      </c>
      <c r="M2375" s="142">
        <v>19</v>
      </c>
    </row>
    <row r="2376" spans="1:13" x14ac:dyDescent="0.45">
      <c r="A2376" s="142" t="s">
        <v>13007</v>
      </c>
      <c r="B2376" s="142" t="s">
        <v>15262</v>
      </c>
      <c r="C2376" s="142" t="s">
        <v>15847</v>
      </c>
      <c r="D2376" s="142" t="s">
        <v>15848</v>
      </c>
      <c r="E2376" s="142" t="s">
        <v>15849</v>
      </c>
      <c r="F2376" s="142" t="s">
        <v>5510</v>
      </c>
      <c r="G2376" s="142" t="s">
        <v>5509</v>
      </c>
      <c r="H2376" s="142" t="s">
        <v>18226</v>
      </c>
      <c r="I2376" s="142">
        <v>941</v>
      </c>
      <c r="J2376" s="142">
        <v>450</v>
      </c>
      <c r="K2376" s="142">
        <v>0</v>
      </c>
      <c r="L2376" s="142">
        <v>28</v>
      </c>
      <c r="M2376" s="142">
        <v>463</v>
      </c>
    </row>
    <row r="2377" spans="1:13" x14ac:dyDescent="0.45">
      <c r="A2377" s="142" t="s">
        <v>13217</v>
      </c>
      <c r="B2377" s="142" t="s">
        <v>14578</v>
      </c>
      <c r="C2377" s="142" t="s">
        <v>15860</v>
      </c>
      <c r="D2377" s="142" t="s">
        <v>15861</v>
      </c>
      <c r="E2377" s="142" t="s">
        <v>15849</v>
      </c>
      <c r="F2377" s="142" t="s">
        <v>5510</v>
      </c>
      <c r="G2377" s="142" t="s">
        <v>5509</v>
      </c>
      <c r="H2377" s="142" t="s">
        <v>18227</v>
      </c>
      <c r="I2377" s="142">
        <v>27</v>
      </c>
      <c r="J2377" s="142">
        <v>27</v>
      </c>
      <c r="K2377" s="142">
        <v>0</v>
      </c>
      <c r="L2377" s="142">
        <v>0</v>
      </c>
      <c r="M2377" s="142">
        <v>0</v>
      </c>
    </row>
    <row r="2378" spans="1:13" x14ac:dyDescent="0.45">
      <c r="A2378" s="142" t="s">
        <v>13008</v>
      </c>
      <c r="B2378" s="142" t="s">
        <v>15411</v>
      </c>
      <c r="C2378" s="142" t="s">
        <v>15847</v>
      </c>
      <c r="D2378" s="142" t="s">
        <v>15848</v>
      </c>
      <c r="E2378" s="142" t="s">
        <v>15849</v>
      </c>
      <c r="F2378" s="142" t="s">
        <v>5510</v>
      </c>
      <c r="G2378" s="142" t="s">
        <v>5509</v>
      </c>
      <c r="H2378" s="142" t="s">
        <v>18228</v>
      </c>
      <c r="I2378" s="142">
        <v>50</v>
      </c>
      <c r="J2378" s="142">
        <v>0</v>
      </c>
      <c r="K2378" s="142">
        <v>0</v>
      </c>
      <c r="L2378" s="142">
        <v>0</v>
      </c>
      <c r="M2378" s="142">
        <v>50</v>
      </c>
    </row>
    <row r="2379" spans="1:13" x14ac:dyDescent="0.45">
      <c r="A2379" s="142" t="s">
        <v>13077</v>
      </c>
      <c r="B2379" s="142" t="s">
        <v>15407</v>
      </c>
      <c r="C2379" s="142" t="s">
        <v>15847</v>
      </c>
      <c r="D2379" s="142" t="s">
        <v>15848</v>
      </c>
      <c r="E2379" s="142" t="s">
        <v>15849</v>
      </c>
      <c r="F2379" s="142" t="s">
        <v>5510</v>
      </c>
      <c r="G2379" s="142" t="s">
        <v>5509</v>
      </c>
      <c r="H2379" s="142" t="s">
        <v>18229</v>
      </c>
      <c r="I2379" s="142">
        <v>51</v>
      </c>
      <c r="J2379" s="142">
        <v>51</v>
      </c>
      <c r="K2379" s="142">
        <v>0</v>
      </c>
      <c r="L2379" s="142">
        <v>0</v>
      </c>
      <c r="M2379" s="142">
        <v>0</v>
      </c>
    </row>
    <row r="2380" spans="1:13" x14ac:dyDescent="0.45">
      <c r="A2380" s="142" t="s">
        <v>13033</v>
      </c>
      <c r="B2380" s="142" t="s">
        <v>15276</v>
      </c>
      <c r="C2380" s="142" t="s">
        <v>15847</v>
      </c>
      <c r="D2380" s="142" t="s">
        <v>15848</v>
      </c>
      <c r="E2380" s="142" t="s">
        <v>15849</v>
      </c>
      <c r="F2380" s="142" t="s">
        <v>5510</v>
      </c>
      <c r="G2380" s="142" t="s">
        <v>5509</v>
      </c>
      <c r="H2380" s="142" t="s">
        <v>18230</v>
      </c>
      <c r="I2380" s="142">
        <v>109</v>
      </c>
      <c r="J2380" s="142">
        <v>77</v>
      </c>
      <c r="K2380" s="142">
        <v>0</v>
      </c>
      <c r="L2380" s="142">
        <v>0</v>
      </c>
      <c r="M2380" s="142">
        <v>32</v>
      </c>
    </row>
    <row r="2381" spans="1:13" x14ac:dyDescent="0.45">
      <c r="A2381" s="142" t="s">
        <v>13037</v>
      </c>
      <c r="B2381" s="142" t="s">
        <v>14519</v>
      </c>
      <c r="C2381" s="142" t="s">
        <v>15847</v>
      </c>
      <c r="D2381" s="142" t="s">
        <v>15848</v>
      </c>
      <c r="E2381" s="142" t="s">
        <v>15849</v>
      </c>
      <c r="F2381" s="142" t="s">
        <v>5510</v>
      </c>
      <c r="G2381" s="142" t="s">
        <v>5509</v>
      </c>
      <c r="H2381" s="142" t="s">
        <v>18231</v>
      </c>
      <c r="I2381" s="142">
        <v>6</v>
      </c>
      <c r="J2381" s="142">
        <v>0</v>
      </c>
      <c r="K2381" s="142">
        <v>0</v>
      </c>
      <c r="L2381" s="142">
        <v>6</v>
      </c>
      <c r="M2381" s="142">
        <v>0</v>
      </c>
    </row>
    <row r="2382" spans="1:13" x14ac:dyDescent="0.45">
      <c r="A2382" s="142" t="s">
        <v>13038</v>
      </c>
      <c r="B2382" s="142" t="s">
        <v>14646</v>
      </c>
      <c r="C2382" s="142" t="s">
        <v>15847</v>
      </c>
      <c r="D2382" s="142" t="s">
        <v>15848</v>
      </c>
      <c r="E2382" s="142" t="s">
        <v>15849</v>
      </c>
      <c r="F2382" s="142" t="s">
        <v>5510</v>
      </c>
      <c r="G2382" s="142" t="s">
        <v>5509</v>
      </c>
      <c r="H2382" s="142" t="s">
        <v>18232</v>
      </c>
      <c r="I2382" s="142">
        <v>163</v>
      </c>
      <c r="J2382" s="142">
        <v>54</v>
      </c>
      <c r="K2382" s="142">
        <v>0</v>
      </c>
      <c r="L2382" s="142">
        <v>0</v>
      </c>
      <c r="M2382" s="142">
        <v>109</v>
      </c>
    </row>
    <row r="2383" spans="1:13" x14ac:dyDescent="0.45">
      <c r="A2383" s="142" t="s">
        <v>13039</v>
      </c>
      <c r="B2383" s="142" t="s">
        <v>14647</v>
      </c>
      <c r="C2383" s="142" t="s">
        <v>15847</v>
      </c>
      <c r="D2383" s="142" t="s">
        <v>15848</v>
      </c>
      <c r="E2383" s="142" t="s">
        <v>15849</v>
      </c>
      <c r="F2383" s="142" t="s">
        <v>5510</v>
      </c>
      <c r="G2383" s="142" t="s">
        <v>5509</v>
      </c>
      <c r="H2383" s="142" t="s">
        <v>18233</v>
      </c>
      <c r="I2383" s="142">
        <v>36</v>
      </c>
      <c r="J2383" s="142">
        <v>36</v>
      </c>
      <c r="K2383" s="142">
        <v>0</v>
      </c>
      <c r="L2383" s="142">
        <v>0</v>
      </c>
      <c r="M2383" s="142">
        <v>0</v>
      </c>
    </row>
    <row r="2384" spans="1:13" x14ac:dyDescent="0.45">
      <c r="A2384" s="142" t="s">
        <v>13078</v>
      </c>
      <c r="B2384" s="142" t="s">
        <v>15540</v>
      </c>
      <c r="C2384" s="142" t="s">
        <v>15847</v>
      </c>
      <c r="D2384" s="142" t="s">
        <v>15848</v>
      </c>
      <c r="E2384" s="142" t="s">
        <v>15849</v>
      </c>
      <c r="F2384" s="142" t="s">
        <v>5510</v>
      </c>
      <c r="G2384" s="142" t="s">
        <v>5509</v>
      </c>
      <c r="H2384" s="142" t="s">
        <v>18234</v>
      </c>
      <c r="I2384" s="142">
        <v>40</v>
      </c>
      <c r="J2384" s="142">
        <v>40</v>
      </c>
      <c r="K2384" s="142">
        <v>0</v>
      </c>
      <c r="L2384" s="142">
        <v>0</v>
      </c>
      <c r="M2384" s="142">
        <v>0</v>
      </c>
    </row>
    <row r="2385" spans="1:13" x14ac:dyDescent="0.45">
      <c r="A2385" s="142" t="s">
        <v>13011</v>
      </c>
      <c r="B2385" s="142" t="s">
        <v>14695</v>
      </c>
      <c r="C2385" s="142" t="s">
        <v>15847</v>
      </c>
      <c r="D2385" s="142" t="s">
        <v>15848</v>
      </c>
      <c r="E2385" s="142" t="s">
        <v>15849</v>
      </c>
      <c r="F2385" s="142" t="s">
        <v>5510</v>
      </c>
      <c r="G2385" s="142" t="s">
        <v>5509</v>
      </c>
      <c r="H2385" s="142" t="s">
        <v>18235</v>
      </c>
      <c r="I2385" s="142">
        <v>125</v>
      </c>
      <c r="J2385" s="142">
        <v>75</v>
      </c>
      <c r="K2385" s="142">
        <v>0</v>
      </c>
      <c r="L2385" s="142">
        <v>0</v>
      </c>
      <c r="M2385" s="142">
        <v>50</v>
      </c>
    </row>
    <row r="2386" spans="1:13" x14ac:dyDescent="0.45">
      <c r="A2386" s="142" t="s">
        <v>13042</v>
      </c>
      <c r="B2386" s="142" t="s">
        <v>15489</v>
      </c>
      <c r="C2386" s="142" t="s">
        <v>15847</v>
      </c>
      <c r="D2386" s="142" t="s">
        <v>15848</v>
      </c>
      <c r="E2386" s="142" t="s">
        <v>15849</v>
      </c>
      <c r="F2386" s="142" t="s">
        <v>5510</v>
      </c>
      <c r="G2386" s="142" t="s">
        <v>5509</v>
      </c>
      <c r="H2386" s="142" t="s">
        <v>18236</v>
      </c>
      <c r="I2386" s="142">
        <v>30</v>
      </c>
      <c r="J2386" s="142">
        <v>15</v>
      </c>
      <c r="K2386" s="142">
        <v>0</v>
      </c>
      <c r="L2386" s="142">
        <v>12</v>
      </c>
      <c r="M2386" s="142">
        <v>3</v>
      </c>
    </row>
    <row r="2387" spans="1:13" x14ac:dyDescent="0.45">
      <c r="A2387" s="142" t="s">
        <v>13079</v>
      </c>
      <c r="B2387" s="142" t="s">
        <v>15431</v>
      </c>
      <c r="C2387" s="142" t="s">
        <v>15847</v>
      </c>
      <c r="D2387" s="142" t="s">
        <v>15848</v>
      </c>
      <c r="E2387" s="142" t="s">
        <v>15849</v>
      </c>
      <c r="F2387" s="142" t="s">
        <v>5510</v>
      </c>
      <c r="G2387" s="142" t="s">
        <v>5509</v>
      </c>
      <c r="H2387" s="142" t="s">
        <v>18237</v>
      </c>
      <c r="I2387" s="142">
        <v>26</v>
      </c>
      <c r="J2387" s="142">
        <v>22</v>
      </c>
      <c r="K2387" s="142">
        <v>0</v>
      </c>
      <c r="L2387" s="142">
        <v>2</v>
      </c>
      <c r="M2387" s="142">
        <v>2</v>
      </c>
    </row>
    <row r="2388" spans="1:13" x14ac:dyDescent="0.45">
      <c r="A2388" s="142" t="s">
        <v>13080</v>
      </c>
      <c r="B2388" s="142" t="s">
        <v>15553</v>
      </c>
      <c r="C2388" s="142" t="s">
        <v>15847</v>
      </c>
      <c r="D2388" s="142" t="s">
        <v>15848</v>
      </c>
      <c r="E2388" s="142" t="s">
        <v>15849</v>
      </c>
      <c r="F2388" s="142" t="s">
        <v>5510</v>
      </c>
      <c r="G2388" s="142" t="s">
        <v>5509</v>
      </c>
      <c r="H2388" s="142" t="s">
        <v>18238</v>
      </c>
      <c r="I2388" s="142">
        <v>142</v>
      </c>
      <c r="J2388" s="142">
        <v>40</v>
      </c>
      <c r="K2388" s="142">
        <v>0</v>
      </c>
      <c r="L2388" s="142">
        <v>51</v>
      </c>
      <c r="M2388" s="142">
        <v>51</v>
      </c>
    </row>
    <row r="2389" spans="1:13" x14ac:dyDescent="0.45">
      <c r="A2389" s="142" t="s">
        <v>13108</v>
      </c>
      <c r="B2389" s="142" t="s">
        <v>15485</v>
      </c>
      <c r="C2389" s="142" t="s">
        <v>15860</v>
      </c>
      <c r="D2389" s="142" t="s">
        <v>15861</v>
      </c>
      <c r="E2389" s="142" t="s">
        <v>15849</v>
      </c>
      <c r="F2389" s="142" t="s">
        <v>5510</v>
      </c>
      <c r="G2389" s="142" t="s">
        <v>5509</v>
      </c>
      <c r="H2389" s="142" t="s">
        <v>18239</v>
      </c>
      <c r="I2389" s="142">
        <v>56</v>
      </c>
      <c r="J2389" s="142">
        <v>0</v>
      </c>
      <c r="K2389" s="142">
        <v>0</v>
      </c>
      <c r="L2389" s="142">
        <v>56</v>
      </c>
      <c r="M2389" s="142">
        <v>0</v>
      </c>
    </row>
    <row r="2390" spans="1:13" x14ac:dyDescent="0.45">
      <c r="A2390" s="142" t="s">
        <v>13019</v>
      </c>
      <c r="B2390" s="142" t="s">
        <v>14457</v>
      </c>
      <c r="C2390" s="142" t="s">
        <v>15860</v>
      </c>
      <c r="D2390" s="142" t="s">
        <v>15861</v>
      </c>
      <c r="E2390" s="142" t="s">
        <v>15849</v>
      </c>
      <c r="F2390" s="142" t="s">
        <v>897</v>
      </c>
      <c r="G2390" s="142" t="s">
        <v>896</v>
      </c>
      <c r="H2390" s="142" t="s">
        <v>18240</v>
      </c>
      <c r="I2390" s="142">
        <v>47</v>
      </c>
      <c r="J2390" s="142">
        <v>34</v>
      </c>
      <c r="K2390" s="142">
        <v>0</v>
      </c>
      <c r="L2390" s="142">
        <v>13</v>
      </c>
      <c r="M2390" s="142">
        <v>0</v>
      </c>
    </row>
    <row r="2391" spans="1:13" x14ac:dyDescent="0.45">
      <c r="A2391" s="142" t="s">
        <v>13022</v>
      </c>
      <c r="B2391" s="142" t="s">
        <v>14634</v>
      </c>
      <c r="C2391" s="142" t="s">
        <v>15847</v>
      </c>
      <c r="D2391" s="142" t="s">
        <v>15848</v>
      </c>
      <c r="E2391" s="142" t="s">
        <v>15849</v>
      </c>
      <c r="F2391" s="142" t="s">
        <v>897</v>
      </c>
      <c r="G2391" s="142" t="s">
        <v>896</v>
      </c>
      <c r="H2391" s="142" t="s">
        <v>18241</v>
      </c>
      <c r="I2391" s="142">
        <v>679</v>
      </c>
      <c r="J2391" s="142">
        <v>658</v>
      </c>
      <c r="K2391" s="142">
        <v>0</v>
      </c>
      <c r="L2391" s="142">
        <v>0</v>
      </c>
      <c r="M2391" s="142">
        <v>21</v>
      </c>
    </row>
    <row r="2392" spans="1:13" x14ac:dyDescent="0.45">
      <c r="A2392" s="142" t="s">
        <v>13023</v>
      </c>
      <c r="B2392" s="142" t="s">
        <v>15571</v>
      </c>
      <c r="C2392" s="142" t="s">
        <v>15847</v>
      </c>
      <c r="D2392" s="142" t="s">
        <v>15848</v>
      </c>
      <c r="E2392" s="142" t="s">
        <v>15849</v>
      </c>
      <c r="F2392" s="142" t="s">
        <v>897</v>
      </c>
      <c r="G2392" s="142" t="s">
        <v>896</v>
      </c>
      <c r="H2392" s="142" t="s">
        <v>18242</v>
      </c>
      <c r="I2392" s="142">
        <v>251</v>
      </c>
      <c r="J2392" s="142">
        <v>0</v>
      </c>
      <c r="K2392" s="142">
        <v>0</v>
      </c>
      <c r="L2392" s="142">
        <v>251</v>
      </c>
      <c r="M2392" s="142">
        <v>0</v>
      </c>
    </row>
    <row r="2393" spans="1:13" x14ac:dyDescent="0.45">
      <c r="A2393" s="142" t="s">
        <v>13605</v>
      </c>
      <c r="B2393" s="142" t="s">
        <v>14892</v>
      </c>
      <c r="C2393" s="142" t="s">
        <v>15860</v>
      </c>
      <c r="D2393" s="142" t="s">
        <v>15861</v>
      </c>
      <c r="E2393" s="142" t="s">
        <v>15849</v>
      </c>
      <c r="F2393" s="142" t="s">
        <v>897</v>
      </c>
      <c r="G2393" s="142" t="s">
        <v>896</v>
      </c>
      <c r="H2393" s="142" t="s">
        <v>18243</v>
      </c>
      <c r="I2393" s="142">
        <v>33</v>
      </c>
      <c r="J2393" s="142">
        <v>33</v>
      </c>
      <c r="K2393" s="142">
        <v>0</v>
      </c>
      <c r="L2393" s="142">
        <v>0</v>
      </c>
      <c r="M2393" s="142">
        <v>0</v>
      </c>
    </row>
    <row r="2394" spans="1:13" x14ac:dyDescent="0.45">
      <c r="A2394" s="142" t="s">
        <v>13082</v>
      </c>
      <c r="B2394" s="142" t="s">
        <v>14478</v>
      </c>
      <c r="C2394" s="142" t="s">
        <v>15860</v>
      </c>
      <c r="D2394" s="142" t="s">
        <v>15861</v>
      </c>
      <c r="E2394" s="142" t="s">
        <v>15849</v>
      </c>
      <c r="F2394" s="142" t="s">
        <v>897</v>
      </c>
      <c r="G2394" s="142" t="s">
        <v>896</v>
      </c>
      <c r="H2394" s="142" t="s">
        <v>18244</v>
      </c>
      <c r="I2394" s="142">
        <v>2</v>
      </c>
      <c r="J2394" s="142">
        <v>0</v>
      </c>
      <c r="K2394" s="142">
        <v>0</v>
      </c>
      <c r="L2394" s="142">
        <v>2</v>
      </c>
      <c r="M2394" s="142">
        <v>0</v>
      </c>
    </row>
    <row r="2395" spans="1:13" x14ac:dyDescent="0.45">
      <c r="A2395" s="142" t="s">
        <v>13065</v>
      </c>
      <c r="B2395" s="142" t="s">
        <v>14497</v>
      </c>
      <c r="C2395" s="142" t="s">
        <v>15847</v>
      </c>
      <c r="D2395" s="142" t="s">
        <v>15848</v>
      </c>
      <c r="E2395" s="142" t="s">
        <v>15849</v>
      </c>
      <c r="F2395" s="142" t="s">
        <v>897</v>
      </c>
      <c r="G2395" s="142" t="s">
        <v>896</v>
      </c>
      <c r="H2395" s="142" t="s">
        <v>18245</v>
      </c>
      <c r="I2395" s="142">
        <v>3</v>
      </c>
      <c r="J2395" s="142">
        <v>0</v>
      </c>
      <c r="K2395" s="142">
        <v>0</v>
      </c>
      <c r="L2395" s="142">
        <v>3</v>
      </c>
      <c r="M2395" s="142">
        <v>0</v>
      </c>
    </row>
    <row r="2396" spans="1:13" x14ac:dyDescent="0.45">
      <c r="A2396" s="142" t="s">
        <v>13238</v>
      </c>
      <c r="B2396" s="142" t="s">
        <v>14477</v>
      </c>
      <c r="C2396" s="142" t="s">
        <v>15860</v>
      </c>
      <c r="D2396" s="142" t="s">
        <v>15861</v>
      </c>
      <c r="E2396" s="142" t="s">
        <v>15849</v>
      </c>
      <c r="F2396" s="142" t="s">
        <v>897</v>
      </c>
      <c r="G2396" s="142" t="s">
        <v>896</v>
      </c>
      <c r="H2396" s="142" t="s">
        <v>18246</v>
      </c>
      <c r="I2396" s="142">
        <v>29</v>
      </c>
      <c r="J2396" s="142">
        <v>0</v>
      </c>
      <c r="K2396" s="142">
        <v>0</v>
      </c>
      <c r="L2396" s="142">
        <v>29</v>
      </c>
      <c r="M2396" s="142">
        <v>0</v>
      </c>
    </row>
    <row r="2397" spans="1:13" x14ac:dyDescent="0.45">
      <c r="A2397" s="142" t="s">
        <v>13606</v>
      </c>
      <c r="B2397" s="142" t="s">
        <v>14428</v>
      </c>
      <c r="C2397" s="142" t="s">
        <v>15860</v>
      </c>
      <c r="D2397" s="142" t="s">
        <v>15861</v>
      </c>
      <c r="E2397" s="142" t="s">
        <v>15849</v>
      </c>
      <c r="F2397" s="142" t="s">
        <v>897</v>
      </c>
      <c r="G2397" s="142" t="s">
        <v>896</v>
      </c>
      <c r="H2397" s="142" t="s">
        <v>18247</v>
      </c>
      <c r="I2397" s="142">
        <v>189</v>
      </c>
      <c r="J2397" s="142">
        <v>189</v>
      </c>
      <c r="K2397" s="142">
        <v>0</v>
      </c>
      <c r="L2397" s="142">
        <v>0</v>
      </c>
      <c r="M2397" s="142">
        <v>0</v>
      </c>
    </row>
    <row r="2398" spans="1:13" x14ac:dyDescent="0.45">
      <c r="A2398" s="142" t="s">
        <v>13607</v>
      </c>
      <c r="B2398" s="142" t="s">
        <v>14468</v>
      </c>
      <c r="C2398" s="142" t="s">
        <v>15860</v>
      </c>
      <c r="D2398" s="142" t="s">
        <v>15861</v>
      </c>
      <c r="E2398" s="142" t="s">
        <v>15849</v>
      </c>
      <c r="F2398" s="142" t="s">
        <v>897</v>
      </c>
      <c r="G2398" s="142" t="s">
        <v>896</v>
      </c>
      <c r="H2398" s="142" t="s">
        <v>18248</v>
      </c>
      <c r="I2398" s="142">
        <v>14</v>
      </c>
      <c r="J2398" s="142">
        <v>0</v>
      </c>
      <c r="K2398" s="142">
        <v>0</v>
      </c>
      <c r="L2398" s="142">
        <v>14</v>
      </c>
      <c r="M2398" s="142">
        <v>0</v>
      </c>
    </row>
    <row r="2399" spans="1:13" x14ac:dyDescent="0.45">
      <c r="A2399" s="142" t="s">
        <v>13119</v>
      </c>
      <c r="B2399" s="142" t="s">
        <v>14451</v>
      </c>
      <c r="C2399" s="142" t="s">
        <v>15860</v>
      </c>
      <c r="D2399" s="142" t="s">
        <v>15861</v>
      </c>
      <c r="E2399" s="142" t="s">
        <v>15849</v>
      </c>
      <c r="F2399" s="142" t="s">
        <v>897</v>
      </c>
      <c r="G2399" s="142" t="s">
        <v>896</v>
      </c>
      <c r="H2399" s="142" t="s">
        <v>18249</v>
      </c>
      <c r="I2399" s="142">
        <v>5</v>
      </c>
      <c r="J2399" s="142">
        <v>0</v>
      </c>
      <c r="K2399" s="142">
        <v>0</v>
      </c>
      <c r="L2399" s="142">
        <v>5</v>
      </c>
      <c r="M2399" s="142">
        <v>0</v>
      </c>
    </row>
    <row r="2400" spans="1:13" x14ac:dyDescent="0.45">
      <c r="A2400" s="142" t="s">
        <v>13024</v>
      </c>
      <c r="B2400" s="142" t="s">
        <v>14538</v>
      </c>
      <c r="C2400" s="142" t="s">
        <v>15847</v>
      </c>
      <c r="D2400" s="142" t="s">
        <v>15848</v>
      </c>
      <c r="E2400" s="142" t="s">
        <v>15849</v>
      </c>
      <c r="F2400" s="142" t="s">
        <v>897</v>
      </c>
      <c r="G2400" s="142" t="s">
        <v>896</v>
      </c>
      <c r="H2400" s="142" t="s">
        <v>18250</v>
      </c>
      <c r="I2400" s="142">
        <v>6</v>
      </c>
      <c r="J2400" s="142">
        <v>2</v>
      </c>
      <c r="K2400" s="142">
        <v>0</v>
      </c>
      <c r="L2400" s="142">
        <v>0</v>
      </c>
      <c r="M2400" s="142">
        <v>4</v>
      </c>
    </row>
    <row r="2401" spans="1:13" x14ac:dyDescent="0.45">
      <c r="A2401" s="142" t="s">
        <v>13168</v>
      </c>
      <c r="B2401" s="142" t="s">
        <v>14486</v>
      </c>
      <c r="C2401" s="142" t="s">
        <v>15860</v>
      </c>
      <c r="D2401" s="142" t="s">
        <v>15861</v>
      </c>
      <c r="E2401" s="142" t="s">
        <v>15849</v>
      </c>
      <c r="F2401" s="142" t="s">
        <v>897</v>
      </c>
      <c r="G2401" s="142" t="s">
        <v>896</v>
      </c>
      <c r="H2401" s="142" t="s">
        <v>18251</v>
      </c>
      <c r="I2401" s="142">
        <v>19</v>
      </c>
      <c r="J2401" s="142">
        <v>0</v>
      </c>
      <c r="K2401" s="142">
        <v>0</v>
      </c>
      <c r="L2401" s="142">
        <v>19</v>
      </c>
      <c r="M2401" s="142">
        <v>0</v>
      </c>
    </row>
    <row r="2402" spans="1:13" x14ac:dyDescent="0.45">
      <c r="A2402" s="142" t="s">
        <v>13026</v>
      </c>
      <c r="B2402" s="142" t="s">
        <v>15447</v>
      </c>
      <c r="C2402" s="142" t="s">
        <v>15847</v>
      </c>
      <c r="D2402" s="142" t="s">
        <v>15848</v>
      </c>
      <c r="E2402" s="142" t="s">
        <v>15849</v>
      </c>
      <c r="F2402" s="142" t="s">
        <v>897</v>
      </c>
      <c r="G2402" s="142" t="s">
        <v>896</v>
      </c>
      <c r="H2402" s="142" t="s">
        <v>18252</v>
      </c>
      <c r="I2402" s="142">
        <v>71</v>
      </c>
      <c r="J2402" s="142">
        <v>59</v>
      </c>
      <c r="K2402" s="142">
        <v>0</v>
      </c>
      <c r="L2402" s="142">
        <v>0</v>
      </c>
      <c r="M2402" s="142">
        <v>12</v>
      </c>
    </row>
    <row r="2403" spans="1:13" x14ac:dyDescent="0.45">
      <c r="A2403" s="142" t="s">
        <v>13027</v>
      </c>
      <c r="B2403" s="142" t="s">
        <v>14562</v>
      </c>
      <c r="C2403" s="142" t="s">
        <v>15847</v>
      </c>
      <c r="D2403" s="142" t="s">
        <v>15848</v>
      </c>
      <c r="E2403" s="142" t="s">
        <v>15849</v>
      </c>
      <c r="F2403" s="142" t="s">
        <v>897</v>
      </c>
      <c r="G2403" s="142" t="s">
        <v>896</v>
      </c>
      <c r="H2403" s="142" t="s">
        <v>18253</v>
      </c>
      <c r="I2403" s="142">
        <v>16</v>
      </c>
      <c r="J2403" s="142">
        <v>0</v>
      </c>
      <c r="K2403" s="142">
        <v>0</v>
      </c>
      <c r="L2403" s="142">
        <v>16</v>
      </c>
      <c r="M2403" s="142">
        <v>0</v>
      </c>
    </row>
    <row r="2404" spans="1:13" x14ac:dyDescent="0.45">
      <c r="A2404" s="142" t="s">
        <v>13148</v>
      </c>
      <c r="B2404" s="142" t="s">
        <v>15314</v>
      </c>
      <c r="C2404" s="142" t="s">
        <v>15847</v>
      </c>
      <c r="D2404" s="142" t="s">
        <v>15848</v>
      </c>
      <c r="E2404" s="142" t="s">
        <v>15849</v>
      </c>
      <c r="F2404" s="142" t="s">
        <v>897</v>
      </c>
      <c r="G2404" s="142" t="s">
        <v>896</v>
      </c>
      <c r="H2404" s="142" t="s">
        <v>18254</v>
      </c>
      <c r="I2404" s="142">
        <v>4</v>
      </c>
      <c r="J2404" s="142">
        <v>0</v>
      </c>
      <c r="K2404" s="142">
        <v>0</v>
      </c>
      <c r="L2404" s="142">
        <v>0</v>
      </c>
      <c r="M2404" s="142">
        <v>4</v>
      </c>
    </row>
    <row r="2405" spans="1:13" x14ac:dyDescent="0.45">
      <c r="A2405" s="142" t="s">
        <v>13028</v>
      </c>
      <c r="B2405" s="142" t="s">
        <v>14462</v>
      </c>
      <c r="C2405" s="142" t="s">
        <v>15847</v>
      </c>
      <c r="D2405" s="142" t="s">
        <v>15848</v>
      </c>
      <c r="E2405" s="142" t="s">
        <v>15849</v>
      </c>
      <c r="F2405" s="142" t="s">
        <v>897</v>
      </c>
      <c r="G2405" s="142" t="s">
        <v>896</v>
      </c>
      <c r="H2405" s="142" t="s">
        <v>18255</v>
      </c>
      <c r="I2405" s="142">
        <v>32</v>
      </c>
      <c r="J2405" s="142">
        <v>0</v>
      </c>
      <c r="K2405" s="142">
        <v>0</v>
      </c>
      <c r="L2405" s="142">
        <v>0</v>
      </c>
      <c r="M2405" s="142">
        <v>32</v>
      </c>
    </row>
    <row r="2406" spans="1:13" x14ac:dyDescent="0.45">
      <c r="A2406" s="142" t="s">
        <v>13002</v>
      </c>
      <c r="B2406" s="142" t="s">
        <v>15376</v>
      </c>
      <c r="C2406" s="142" t="s">
        <v>15847</v>
      </c>
      <c r="D2406" s="142" t="s">
        <v>15848</v>
      </c>
      <c r="E2406" s="142" t="s">
        <v>15849</v>
      </c>
      <c r="F2406" s="142" t="s">
        <v>897</v>
      </c>
      <c r="G2406" s="142" t="s">
        <v>896</v>
      </c>
      <c r="H2406" s="142" t="s">
        <v>18256</v>
      </c>
      <c r="I2406" s="142">
        <v>21</v>
      </c>
      <c r="J2406" s="142">
        <v>0</v>
      </c>
      <c r="K2406" s="142">
        <v>0</v>
      </c>
      <c r="L2406" s="142">
        <v>21</v>
      </c>
      <c r="M2406" s="142">
        <v>0</v>
      </c>
    </row>
    <row r="2407" spans="1:13" x14ac:dyDescent="0.45">
      <c r="A2407" s="142" t="s">
        <v>13003</v>
      </c>
      <c r="B2407" s="142" t="s">
        <v>15245</v>
      </c>
      <c r="C2407" s="142" t="s">
        <v>15847</v>
      </c>
      <c r="D2407" s="142" t="s">
        <v>15848</v>
      </c>
      <c r="E2407" s="142" t="s">
        <v>15849</v>
      </c>
      <c r="F2407" s="142" t="s">
        <v>897</v>
      </c>
      <c r="G2407" s="142" t="s">
        <v>896</v>
      </c>
      <c r="H2407" s="142" t="s">
        <v>18257</v>
      </c>
      <c r="I2407" s="142">
        <v>175</v>
      </c>
      <c r="J2407" s="142">
        <v>0</v>
      </c>
      <c r="K2407" s="142">
        <v>0</v>
      </c>
      <c r="L2407" s="142">
        <v>167</v>
      </c>
      <c r="M2407" s="142">
        <v>8</v>
      </c>
    </row>
    <row r="2408" spans="1:13" x14ac:dyDescent="0.45">
      <c r="A2408" s="142" t="s">
        <v>13066</v>
      </c>
      <c r="B2408" s="142" t="s">
        <v>14459</v>
      </c>
      <c r="C2408" s="142" t="s">
        <v>15847</v>
      </c>
      <c r="D2408" s="142" t="s">
        <v>15848</v>
      </c>
      <c r="E2408" s="142" t="s">
        <v>15849</v>
      </c>
      <c r="F2408" s="142" t="s">
        <v>897</v>
      </c>
      <c r="G2408" s="142" t="s">
        <v>896</v>
      </c>
      <c r="H2408" s="142" t="s">
        <v>18258</v>
      </c>
      <c r="I2408" s="142">
        <v>54</v>
      </c>
      <c r="J2408" s="142">
        <v>0</v>
      </c>
      <c r="K2408" s="142">
        <v>0</v>
      </c>
      <c r="L2408" s="142">
        <v>54</v>
      </c>
      <c r="M2408" s="142">
        <v>0</v>
      </c>
    </row>
    <row r="2409" spans="1:13" x14ac:dyDescent="0.45">
      <c r="A2409" s="142" t="s">
        <v>13076</v>
      </c>
      <c r="B2409" s="142" t="s">
        <v>14636</v>
      </c>
      <c r="C2409" s="142" t="s">
        <v>15847</v>
      </c>
      <c r="D2409" s="142" t="s">
        <v>15848</v>
      </c>
      <c r="E2409" s="142" t="s">
        <v>15849</v>
      </c>
      <c r="F2409" s="142" t="s">
        <v>897</v>
      </c>
      <c r="G2409" s="142" t="s">
        <v>896</v>
      </c>
      <c r="H2409" s="142" t="s">
        <v>18259</v>
      </c>
      <c r="I2409" s="142">
        <v>12</v>
      </c>
      <c r="J2409" s="142">
        <v>12</v>
      </c>
      <c r="K2409" s="142">
        <v>0</v>
      </c>
      <c r="L2409" s="142">
        <v>0</v>
      </c>
      <c r="M2409" s="142">
        <v>0</v>
      </c>
    </row>
    <row r="2410" spans="1:13" x14ac:dyDescent="0.45">
      <c r="A2410" s="142" t="s">
        <v>13029</v>
      </c>
      <c r="B2410" s="142" t="s">
        <v>14665</v>
      </c>
      <c r="C2410" s="142" t="s">
        <v>15847</v>
      </c>
      <c r="D2410" s="142" t="s">
        <v>15848</v>
      </c>
      <c r="E2410" s="142" t="s">
        <v>15849</v>
      </c>
      <c r="F2410" s="142" t="s">
        <v>897</v>
      </c>
      <c r="G2410" s="142" t="s">
        <v>896</v>
      </c>
      <c r="H2410" s="142" t="s">
        <v>18260</v>
      </c>
      <c r="I2410" s="142">
        <v>14</v>
      </c>
      <c r="J2410" s="142">
        <v>0</v>
      </c>
      <c r="K2410" s="142">
        <v>0</v>
      </c>
      <c r="L2410" s="142">
        <v>0</v>
      </c>
      <c r="M2410" s="142">
        <v>14</v>
      </c>
    </row>
    <row r="2411" spans="1:13" x14ac:dyDescent="0.45">
      <c r="A2411" s="142" t="s">
        <v>13006</v>
      </c>
      <c r="B2411" s="142" t="s">
        <v>15288</v>
      </c>
      <c r="C2411" s="142" t="s">
        <v>15847</v>
      </c>
      <c r="D2411" s="142" t="s">
        <v>15848</v>
      </c>
      <c r="E2411" s="142" t="s">
        <v>15849</v>
      </c>
      <c r="F2411" s="142" t="s">
        <v>897</v>
      </c>
      <c r="G2411" s="142" t="s">
        <v>896</v>
      </c>
      <c r="H2411" s="142" t="s">
        <v>18261</v>
      </c>
      <c r="I2411" s="142">
        <v>2369</v>
      </c>
      <c r="J2411" s="142">
        <v>1852</v>
      </c>
      <c r="K2411" s="142">
        <v>0</v>
      </c>
      <c r="L2411" s="142">
        <v>367</v>
      </c>
      <c r="M2411" s="142">
        <v>150</v>
      </c>
    </row>
    <row r="2412" spans="1:13" x14ac:dyDescent="0.45">
      <c r="A2412" s="142" t="s">
        <v>13162</v>
      </c>
      <c r="B2412" s="142" t="s">
        <v>14545</v>
      </c>
      <c r="C2412" s="142" t="s">
        <v>15860</v>
      </c>
      <c r="D2412" s="142" t="s">
        <v>15861</v>
      </c>
      <c r="E2412" s="142" t="s">
        <v>15849</v>
      </c>
      <c r="F2412" s="142" t="s">
        <v>897</v>
      </c>
      <c r="G2412" s="142" t="s">
        <v>896</v>
      </c>
      <c r="H2412" s="142" t="s">
        <v>18262</v>
      </c>
      <c r="I2412" s="142">
        <v>10</v>
      </c>
      <c r="J2412" s="142">
        <v>0</v>
      </c>
      <c r="K2412" s="142">
        <v>0</v>
      </c>
      <c r="L2412" s="142">
        <v>10</v>
      </c>
      <c r="M2412" s="142">
        <v>0</v>
      </c>
    </row>
    <row r="2413" spans="1:13" x14ac:dyDescent="0.45">
      <c r="A2413" s="142" t="s">
        <v>13030</v>
      </c>
      <c r="B2413" s="142" t="s">
        <v>14572</v>
      </c>
      <c r="C2413" s="142" t="s">
        <v>15847</v>
      </c>
      <c r="D2413" s="142" t="s">
        <v>15848</v>
      </c>
      <c r="E2413" s="142" t="s">
        <v>15849</v>
      </c>
      <c r="F2413" s="142" t="s">
        <v>897</v>
      </c>
      <c r="G2413" s="142" t="s">
        <v>896</v>
      </c>
      <c r="H2413" s="142" t="s">
        <v>18263</v>
      </c>
      <c r="I2413" s="142">
        <v>172</v>
      </c>
      <c r="J2413" s="142">
        <v>146</v>
      </c>
      <c r="K2413" s="142">
        <v>0</v>
      </c>
      <c r="L2413" s="142">
        <v>2</v>
      </c>
      <c r="M2413" s="142">
        <v>24</v>
      </c>
    </row>
    <row r="2414" spans="1:13" x14ac:dyDescent="0.45">
      <c r="A2414" s="142" t="s">
        <v>13033</v>
      </c>
      <c r="B2414" s="142" t="s">
        <v>15276</v>
      </c>
      <c r="C2414" s="142" t="s">
        <v>15847</v>
      </c>
      <c r="D2414" s="142" t="s">
        <v>15848</v>
      </c>
      <c r="E2414" s="142" t="s">
        <v>15849</v>
      </c>
      <c r="F2414" s="142" t="s">
        <v>897</v>
      </c>
      <c r="G2414" s="142" t="s">
        <v>896</v>
      </c>
      <c r="H2414" s="142" t="s">
        <v>18264</v>
      </c>
      <c r="I2414" s="142">
        <v>187</v>
      </c>
      <c r="J2414" s="142">
        <v>126</v>
      </c>
      <c r="K2414" s="142">
        <v>0</v>
      </c>
      <c r="L2414" s="142">
        <v>0</v>
      </c>
      <c r="M2414" s="142">
        <v>61</v>
      </c>
    </row>
    <row r="2415" spans="1:13" x14ac:dyDescent="0.45">
      <c r="A2415" s="142" t="s">
        <v>13034</v>
      </c>
      <c r="B2415" s="142" t="s">
        <v>15562</v>
      </c>
      <c r="C2415" s="142" t="s">
        <v>15847</v>
      </c>
      <c r="D2415" s="142" t="s">
        <v>15848</v>
      </c>
      <c r="E2415" s="142" t="s">
        <v>15849</v>
      </c>
      <c r="F2415" s="142" t="s">
        <v>897</v>
      </c>
      <c r="G2415" s="142" t="s">
        <v>896</v>
      </c>
      <c r="H2415" s="142" t="s">
        <v>18265</v>
      </c>
      <c r="I2415" s="142">
        <v>2125</v>
      </c>
      <c r="J2415" s="142">
        <v>1561</v>
      </c>
      <c r="K2415" s="142">
        <v>102</v>
      </c>
      <c r="L2415" s="142">
        <v>336</v>
      </c>
      <c r="M2415" s="142">
        <v>126</v>
      </c>
    </row>
    <row r="2416" spans="1:13" x14ac:dyDescent="0.45">
      <c r="A2416" s="142" t="s">
        <v>13136</v>
      </c>
      <c r="B2416" s="142" t="s">
        <v>15445</v>
      </c>
      <c r="C2416" s="142" t="s">
        <v>15860</v>
      </c>
      <c r="D2416" s="142" t="s">
        <v>15861</v>
      </c>
      <c r="E2416" s="142" t="s">
        <v>15849</v>
      </c>
      <c r="F2416" s="142" t="s">
        <v>897</v>
      </c>
      <c r="G2416" s="142" t="s">
        <v>896</v>
      </c>
      <c r="H2416" s="142" t="s">
        <v>18266</v>
      </c>
      <c r="I2416" s="142">
        <v>122</v>
      </c>
      <c r="J2416" s="142">
        <v>0</v>
      </c>
      <c r="K2416" s="142">
        <v>0</v>
      </c>
      <c r="L2416" s="142">
        <v>122</v>
      </c>
      <c r="M2416" s="142">
        <v>0</v>
      </c>
    </row>
    <row r="2417" spans="1:13" x14ac:dyDescent="0.45">
      <c r="A2417" s="142" t="s">
        <v>13038</v>
      </c>
      <c r="B2417" s="142" t="s">
        <v>14646</v>
      </c>
      <c r="C2417" s="142" t="s">
        <v>15847</v>
      </c>
      <c r="D2417" s="142" t="s">
        <v>15848</v>
      </c>
      <c r="E2417" s="142" t="s">
        <v>15849</v>
      </c>
      <c r="F2417" s="142" t="s">
        <v>897</v>
      </c>
      <c r="G2417" s="142" t="s">
        <v>896</v>
      </c>
      <c r="H2417" s="142" t="s">
        <v>18267</v>
      </c>
      <c r="I2417" s="142">
        <v>49</v>
      </c>
      <c r="J2417" s="142">
        <v>31</v>
      </c>
      <c r="K2417" s="142">
        <v>0</v>
      </c>
      <c r="L2417" s="142">
        <v>0</v>
      </c>
      <c r="M2417" s="142">
        <v>18</v>
      </c>
    </row>
    <row r="2418" spans="1:13" x14ac:dyDescent="0.45">
      <c r="A2418" s="142" t="s">
        <v>13039</v>
      </c>
      <c r="B2418" s="142" t="s">
        <v>14647</v>
      </c>
      <c r="C2418" s="142" t="s">
        <v>15847</v>
      </c>
      <c r="D2418" s="142" t="s">
        <v>15848</v>
      </c>
      <c r="E2418" s="142" t="s">
        <v>15849</v>
      </c>
      <c r="F2418" s="142" t="s">
        <v>897</v>
      </c>
      <c r="G2418" s="142" t="s">
        <v>896</v>
      </c>
      <c r="H2418" s="142" t="s">
        <v>18268</v>
      </c>
      <c r="I2418" s="142">
        <v>60</v>
      </c>
      <c r="J2418" s="142">
        <v>60</v>
      </c>
      <c r="K2418" s="142">
        <v>0</v>
      </c>
      <c r="L2418" s="142">
        <v>0</v>
      </c>
      <c r="M2418" s="142">
        <v>0</v>
      </c>
    </row>
    <row r="2419" spans="1:13" x14ac:dyDescent="0.45">
      <c r="A2419" s="142" t="s">
        <v>13078</v>
      </c>
      <c r="B2419" s="142" t="s">
        <v>15540</v>
      </c>
      <c r="C2419" s="142" t="s">
        <v>15847</v>
      </c>
      <c r="D2419" s="142" t="s">
        <v>15848</v>
      </c>
      <c r="E2419" s="142" t="s">
        <v>15849</v>
      </c>
      <c r="F2419" s="142" t="s">
        <v>897</v>
      </c>
      <c r="G2419" s="142" t="s">
        <v>896</v>
      </c>
      <c r="H2419" s="142" t="s">
        <v>18269</v>
      </c>
      <c r="I2419" s="142">
        <v>32</v>
      </c>
      <c r="J2419" s="142">
        <v>32</v>
      </c>
      <c r="K2419" s="142">
        <v>0</v>
      </c>
      <c r="L2419" s="142">
        <v>0</v>
      </c>
      <c r="M2419" s="142">
        <v>0</v>
      </c>
    </row>
    <row r="2420" spans="1:13" x14ac:dyDescent="0.45">
      <c r="A2420" s="142" t="s">
        <v>13009</v>
      </c>
      <c r="B2420" s="142" t="s">
        <v>15256</v>
      </c>
      <c r="C2420" s="142" t="s">
        <v>15847</v>
      </c>
      <c r="D2420" s="142" t="s">
        <v>15848</v>
      </c>
      <c r="E2420" s="142" t="s">
        <v>15849</v>
      </c>
      <c r="F2420" s="142" t="s">
        <v>897</v>
      </c>
      <c r="G2420" s="142" t="s">
        <v>896</v>
      </c>
      <c r="H2420" s="142" t="s">
        <v>18270</v>
      </c>
      <c r="I2420" s="142">
        <v>98</v>
      </c>
      <c r="J2420" s="142">
        <v>0</v>
      </c>
      <c r="K2420" s="142">
        <v>0</v>
      </c>
      <c r="L2420" s="142">
        <v>83</v>
      </c>
      <c r="M2420" s="142">
        <v>15</v>
      </c>
    </row>
    <row r="2421" spans="1:13" x14ac:dyDescent="0.45">
      <c r="A2421" s="142" t="s">
        <v>13041</v>
      </c>
      <c r="B2421" s="142" t="s">
        <v>14441</v>
      </c>
      <c r="C2421" s="142" t="s">
        <v>15847</v>
      </c>
      <c r="D2421" s="142" t="s">
        <v>15848</v>
      </c>
      <c r="E2421" s="142" t="s">
        <v>15849</v>
      </c>
      <c r="F2421" s="142" t="s">
        <v>897</v>
      </c>
      <c r="G2421" s="142" t="s">
        <v>896</v>
      </c>
      <c r="H2421" s="142" t="s">
        <v>18271</v>
      </c>
      <c r="I2421" s="142">
        <v>40</v>
      </c>
      <c r="J2421" s="142">
        <v>0</v>
      </c>
      <c r="K2421" s="142">
        <v>0</v>
      </c>
      <c r="L2421" s="142">
        <v>0</v>
      </c>
      <c r="M2421" s="142">
        <v>40</v>
      </c>
    </row>
    <row r="2422" spans="1:13" x14ac:dyDescent="0.45">
      <c r="A2422" s="142" t="s">
        <v>13012</v>
      </c>
      <c r="B2422" s="142" t="s">
        <v>15337</v>
      </c>
      <c r="C2422" s="142" t="s">
        <v>15847</v>
      </c>
      <c r="D2422" s="142" t="s">
        <v>15848</v>
      </c>
      <c r="E2422" s="142" t="s">
        <v>15849</v>
      </c>
      <c r="F2422" s="142" t="s">
        <v>897</v>
      </c>
      <c r="G2422" s="142" t="s">
        <v>896</v>
      </c>
      <c r="H2422" s="142" t="s">
        <v>18272</v>
      </c>
      <c r="I2422" s="142">
        <v>116</v>
      </c>
      <c r="J2422" s="142">
        <v>75</v>
      </c>
      <c r="K2422" s="142">
        <v>0</v>
      </c>
      <c r="L2422" s="142">
        <v>38</v>
      </c>
      <c r="M2422" s="142">
        <v>3</v>
      </c>
    </row>
    <row r="2423" spans="1:13" x14ac:dyDescent="0.45">
      <c r="A2423" s="142" t="s">
        <v>13014</v>
      </c>
      <c r="B2423" s="142" t="s">
        <v>14505</v>
      </c>
      <c r="C2423" s="142" t="s">
        <v>15847</v>
      </c>
      <c r="D2423" s="142" t="s">
        <v>15848</v>
      </c>
      <c r="E2423" s="142" t="s">
        <v>15849</v>
      </c>
      <c r="F2423" s="142" t="s">
        <v>897</v>
      </c>
      <c r="G2423" s="142" t="s">
        <v>896</v>
      </c>
      <c r="H2423" s="142" t="s">
        <v>18273</v>
      </c>
      <c r="I2423" s="142">
        <v>883</v>
      </c>
      <c r="J2423" s="142">
        <v>765</v>
      </c>
      <c r="K2423" s="142">
        <v>0</v>
      </c>
      <c r="L2423" s="142">
        <v>93</v>
      </c>
      <c r="M2423" s="142">
        <v>25</v>
      </c>
    </row>
    <row r="2424" spans="1:13" x14ac:dyDescent="0.45">
      <c r="A2424" s="142" t="s">
        <v>13042</v>
      </c>
      <c r="B2424" s="142" t="s">
        <v>15489</v>
      </c>
      <c r="C2424" s="142" t="s">
        <v>15847</v>
      </c>
      <c r="D2424" s="142" t="s">
        <v>15848</v>
      </c>
      <c r="E2424" s="142" t="s">
        <v>15849</v>
      </c>
      <c r="F2424" s="142" t="s">
        <v>897</v>
      </c>
      <c r="G2424" s="142" t="s">
        <v>896</v>
      </c>
      <c r="H2424" s="142" t="s">
        <v>18274</v>
      </c>
      <c r="I2424" s="142">
        <v>683</v>
      </c>
      <c r="J2424" s="142">
        <v>530</v>
      </c>
      <c r="K2424" s="142">
        <v>0</v>
      </c>
      <c r="L2424" s="142">
        <v>102</v>
      </c>
      <c r="M2424" s="142">
        <v>51</v>
      </c>
    </row>
    <row r="2425" spans="1:13" x14ac:dyDescent="0.45">
      <c r="A2425" s="142" t="s">
        <v>13608</v>
      </c>
      <c r="B2425" s="142" t="s">
        <v>15437</v>
      </c>
      <c r="C2425" s="142" t="s">
        <v>15847</v>
      </c>
      <c r="D2425" s="142" t="s">
        <v>15848</v>
      </c>
      <c r="E2425" s="142" t="s">
        <v>15849</v>
      </c>
      <c r="F2425" s="142" t="s">
        <v>897</v>
      </c>
      <c r="G2425" s="142" t="s">
        <v>896</v>
      </c>
      <c r="H2425" s="142" t="s">
        <v>18275</v>
      </c>
      <c r="I2425" s="142">
        <v>6</v>
      </c>
      <c r="J2425" s="142">
        <v>6</v>
      </c>
      <c r="K2425" s="142">
        <v>0</v>
      </c>
      <c r="L2425" s="142">
        <v>0</v>
      </c>
      <c r="M2425" s="142">
        <v>0</v>
      </c>
    </row>
    <row r="2426" spans="1:13" x14ac:dyDescent="0.45">
      <c r="A2426" s="142" t="s">
        <v>13070</v>
      </c>
      <c r="B2426" s="142" t="s">
        <v>15394</v>
      </c>
      <c r="C2426" s="142" t="s">
        <v>15847</v>
      </c>
      <c r="D2426" s="142" t="s">
        <v>15848</v>
      </c>
      <c r="E2426" s="142" t="s">
        <v>15849</v>
      </c>
      <c r="F2426" s="142" t="s">
        <v>897</v>
      </c>
      <c r="G2426" s="142" t="s">
        <v>896</v>
      </c>
      <c r="H2426" s="142" t="s">
        <v>18276</v>
      </c>
      <c r="I2426" s="142">
        <v>51</v>
      </c>
      <c r="J2426" s="142">
        <v>43</v>
      </c>
      <c r="K2426" s="142">
        <v>0</v>
      </c>
      <c r="L2426" s="142">
        <v>8</v>
      </c>
      <c r="M2426" s="142">
        <v>0</v>
      </c>
    </row>
    <row r="2427" spans="1:13" x14ac:dyDescent="0.45">
      <c r="A2427" s="142" t="s">
        <v>13044</v>
      </c>
      <c r="B2427" s="142" t="s">
        <v>15221</v>
      </c>
      <c r="C2427" s="142" t="s">
        <v>15860</v>
      </c>
      <c r="D2427" s="142" t="s">
        <v>15861</v>
      </c>
      <c r="E2427" s="142" t="s">
        <v>15849</v>
      </c>
      <c r="F2427" s="142" t="s">
        <v>897</v>
      </c>
      <c r="G2427" s="142" t="s">
        <v>896</v>
      </c>
      <c r="H2427" s="142" t="s">
        <v>18277</v>
      </c>
      <c r="I2427" s="142">
        <v>186</v>
      </c>
      <c r="J2427" s="142">
        <v>0</v>
      </c>
      <c r="K2427" s="142">
        <v>0</v>
      </c>
      <c r="L2427" s="142">
        <v>186</v>
      </c>
      <c r="M2427" s="142">
        <v>0</v>
      </c>
    </row>
    <row r="2428" spans="1:13" x14ac:dyDescent="0.45">
      <c r="A2428" s="142" t="s">
        <v>13610</v>
      </c>
      <c r="B2428" s="142" t="s">
        <v>14850</v>
      </c>
      <c r="C2428" s="142" t="s">
        <v>15860</v>
      </c>
      <c r="D2428" s="142" t="s">
        <v>15861</v>
      </c>
      <c r="E2428" s="142" t="s">
        <v>15849</v>
      </c>
      <c r="F2428" s="142" t="s">
        <v>3252</v>
      </c>
      <c r="G2428" s="142" t="s">
        <v>3251</v>
      </c>
      <c r="H2428" s="142" t="s">
        <v>18278</v>
      </c>
      <c r="I2428" s="142">
        <v>46</v>
      </c>
      <c r="J2428" s="142">
        <v>46</v>
      </c>
      <c r="K2428" s="142">
        <v>0</v>
      </c>
      <c r="L2428" s="142">
        <v>0</v>
      </c>
      <c r="M2428" s="142">
        <v>0</v>
      </c>
    </row>
    <row r="2429" spans="1:13" x14ac:dyDescent="0.45">
      <c r="A2429" s="142" t="s">
        <v>13024</v>
      </c>
      <c r="B2429" s="142" t="s">
        <v>14538</v>
      </c>
      <c r="C2429" s="142" t="s">
        <v>15847</v>
      </c>
      <c r="D2429" s="142" t="s">
        <v>15848</v>
      </c>
      <c r="E2429" s="142" t="s">
        <v>15849</v>
      </c>
      <c r="F2429" s="142" t="s">
        <v>3252</v>
      </c>
      <c r="G2429" s="142" t="s">
        <v>3251</v>
      </c>
      <c r="H2429" s="142" t="s">
        <v>18279</v>
      </c>
      <c r="I2429" s="142">
        <v>26</v>
      </c>
      <c r="J2429" s="142">
        <v>15</v>
      </c>
      <c r="K2429" s="142">
        <v>0</v>
      </c>
      <c r="L2429" s="142">
        <v>3</v>
      </c>
      <c r="M2429" s="142">
        <v>8</v>
      </c>
    </row>
    <row r="2430" spans="1:13" x14ac:dyDescent="0.45">
      <c r="A2430" s="142" t="s">
        <v>13026</v>
      </c>
      <c r="B2430" s="142" t="s">
        <v>15447</v>
      </c>
      <c r="C2430" s="142" t="s">
        <v>15847</v>
      </c>
      <c r="D2430" s="142" t="s">
        <v>15848</v>
      </c>
      <c r="E2430" s="142" t="s">
        <v>15849</v>
      </c>
      <c r="F2430" s="142" t="s">
        <v>3252</v>
      </c>
      <c r="G2430" s="142" t="s">
        <v>3251</v>
      </c>
      <c r="H2430" s="142" t="s">
        <v>18280</v>
      </c>
      <c r="I2430" s="142">
        <v>18</v>
      </c>
      <c r="J2430" s="142">
        <v>13</v>
      </c>
      <c r="K2430" s="142">
        <v>0</v>
      </c>
      <c r="L2430" s="142">
        <v>0</v>
      </c>
      <c r="M2430" s="142">
        <v>5</v>
      </c>
    </row>
    <row r="2431" spans="1:13" x14ac:dyDescent="0.45">
      <c r="A2431" s="142" t="s">
        <v>13027</v>
      </c>
      <c r="B2431" s="142" t="s">
        <v>14562</v>
      </c>
      <c r="C2431" s="142" t="s">
        <v>15847</v>
      </c>
      <c r="D2431" s="142" t="s">
        <v>15848</v>
      </c>
      <c r="E2431" s="142" t="s">
        <v>15849</v>
      </c>
      <c r="F2431" s="142" t="s">
        <v>3252</v>
      </c>
      <c r="G2431" s="142" t="s">
        <v>3251</v>
      </c>
      <c r="H2431" s="142" t="s">
        <v>18281</v>
      </c>
      <c r="I2431" s="142">
        <v>4</v>
      </c>
      <c r="J2431" s="142">
        <v>0</v>
      </c>
      <c r="K2431" s="142">
        <v>0</v>
      </c>
      <c r="L2431" s="142">
        <v>4</v>
      </c>
      <c r="M2431" s="142">
        <v>0</v>
      </c>
    </row>
    <row r="2432" spans="1:13" x14ac:dyDescent="0.45">
      <c r="A2432" s="142" t="s">
        <v>13611</v>
      </c>
      <c r="B2432" s="142" t="s">
        <v>15215</v>
      </c>
      <c r="C2432" s="142" t="s">
        <v>15860</v>
      </c>
      <c r="D2432" s="142" t="s">
        <v>15861</v>
      </c>
      <c r="E2432" s="142" t="s">
        <v>15849</v>
      </c>
      <c r="F2432" s="142" t="s">
        <v>3252</v>
      </c>
      <c r="G2432" s="142" t="s">
        <v>3251</v>
      </c>
      <c r="H2432" s="142" t="s">
        <v>18282</v>
      </c>
      <c r="I2432" s="142">
        <v>8</v>
      </c>
      <c r="J2432" s="142">
        <v>0</v>
      </c>
      <c r="K2432" s="142">
        <v>0</v>
      </c>
      <c r="L2432" s="142">
        <v>8</v>
      </c>
      <c r="M2432" s="142">
        <v>0</v>
      </c>
    </row>
    <row r="2433" spans="1:13" x14ac:dyDescent="0.45">
      <c r="A2433" s="142" t="s">
        <v>13148</v>
      </c>
      <c r="B2433" s="142" t="s">
        <v>15314</v>
      </c>
      <c r="C2433" s="142" t="s">
        <v>15847</v>
      </c>
      <c r="D2433" s="142" t="s">
        <v>15848</v>
      </c>
      <c r="E2433" s="142" t="s">
        <v>15849</v>
      </c>
      <c r="F2433" s="142" t="s">
        <v>3252</v>
      </c>
      <c r="G2433" s="142" t="s">
        <v>3251</v>
      </c>
      <c r="H2433" s="142" t="s">
        <v>18283</v>
      </c>
      <c r="I2433" s="142">
        <v>19</v>
      </c>
      <c r="J2433" s="142">
        <v>19</v>
      </c>
      <c r="K2433" s="142">
        <v>0</v>
      </c>
      <c r="L2433" s="142">
        <v>0</v>
      </c>
      <c r="M2433" s="142">
        <v>0</v>
      </c>
    </row>
    <row r="2434" spans="1:13" x14ac:dyDescent="0.45">
      <c r="A2434" s="142" t="s">
        <v>13028</v>
      </c>
      <c r="B2434" s="142" t="s">
        <v>14462</v>
      </c>
      <c r="C2434" s="142" t="s">
        <v>15847</v>
      </c>
      <c r="D2434" s="142" t="s">
        <v>15848</v>
      </c>
      <c r="E2434" s="142" t="s">
        <v>15849</v>
      </c>
      <c r="F2434" s="142" t="s">
        <v>3252</v>
      </c>
      <c r="G2434" s="142" t="s">
        <v>3251</v>
      </c>
      <c r="H2434" s="142" t="s">
        <v>18284</v>
      </c>
      <c r="I2434" s="142">
        <v>9</v>
      </c>
      <c r="J2434" s="142">
        <v>0</v>
      </c>
      <c r="K2434" s="142">
        <v>0</v>
      </c>
      <c r="L2434" s="142">
        <v>0</v>
      </c>
      <c r="M2434" s="142">
        <v>9</v>
      </c>
    </row>
    <row r="2435" spans="1:13" x14ac:dyDescent="0.45">
      <c r="A2435" s="142" t="s">
        <v>13003</v>
      </c>
      <c r="B2435" s="142" t="s">
        <v>15245</v>
      </c>
      <c r="C2435" s="142" t="s">
        <v>15847</v>
      </c>
      <c r="D2435" s="142" t="s">
        <v>15848</v>
      </c>
      <c r="E2435" s="142" t="s">
        <v>15849</v>
      </c>
      <c r="F2435" s="142" t="s">
        <v>3252</v>
      </c>
      <c r="G2435" s="142" t="s">
        <v>3251</v>
      </c>
      <c r="H2435" s="142" t="s">
        <v>18285</v>
      </c>
      <c r="I2435" s="142">
        <v>26</v>
      </c>
      <c r="J2435" s="142">
        <v>0</v>
      </c>
      <c r="K2435" s="142">
        <v>0</v>
      </c>
      <c r="L2435" s="142">
        <v>26</v>
      </c>
      <c r="M2435" s="142">
        <v>0</v>
      </c>
    </row>
    <row r="2436" spans="1:13" x14ac:dyDescent="0.45">
      <c r="A2436" s="142" t="s">
        <v>13612</v>
      </c>
      <c r="B2436" s="142" t="s">
        <v>14861</v>
      </c>
      <c r="C2436" s="142" t="s">
        <v>15860</v>
      </c>
      <c r="D2436" s="142" t="s">
        <v>15861</v>
      </c>
      <c r="E2436" s="142" t="s">
        <v>15849</v>
      </c>
      <c r="F2436" s="142" t="s">
        <v>3252</v>
      </c>
      <c r="G2436" s="142" t="s">
        <v>3251</v>
      </c>
      <c r="H2436" s="142" t="s">
        <v>18286</v>
      </c>
      <c r="I2436" s="142">
        <v>6</v>
      </c>
      <c r="J2436" s="142">
        <v>6</v>
      </c>
      <c r="K2436" s="142">
        <v>0</v>
      </c>
      <c r="L2436" s="142">
        <v>0</v>
      </c>
      <c r="M2436" s="142">
        <v>0</v>
      </c>
    </row>
    <row r="2437" spans="1:13" x14ac:dyDescent="0.45">
      <c r="A2437" s="142" t="s">
        <v>13029</v>
      </c>
      <c r="B2437" s="142" t="s">
        <v>14665</v>
      </c>
      <c r="C2437" s="142" t="s">
        <v>15847</v>
      </c>
      <c r="D2437" s="142" t="s">
        <v>15848</v>
      </c>
      <c r="E2437" s="142" t="s">
        <v>15849</v>
      </c>
      <c r="F2437" s="142" t="s">
        <v>3252</v>
      </c>
      <c r="G2437" s="142" t="s">
        <v>3251</v>
      </c>
      <c r="H2437" s="142" t="s">
        <v>18287</v>
      </c>
      <c r="I2437" s="142">
        <v>23</v>
      </c>
      <c r="J2437" s="142">
        <v>0</v>
      </c>
      <c r="K2437" s="142">
        <v>0</v>
      </c>
      <c r="L2437" s="142">
        <v>0</v>
      </c>
      <c r="M2437" s="142">
        <v>23</v>
      </c>
    </row>
    <row r="2438" spans="1:13" x14ac:dyDescent="0.45">
      <c r="A2438" s="142" t="s">
        <v>13006</v>
      </c>
      <c r="B2438" s="142" t="s">
        <v>15288</v>
      </c>
      <c r="C2438" s="142" t="s">
        <v>15847</v>
      </c>
      <c r="D2438" s="142" t="s">
        <v>15848</v>
      </c>
      <c r="E2438" s="142" t="s">
        <v>15849</v>
      </c>
      <c r="F2438" s="142" t="s">
        <v>3252</v>
      </c>
      <c r="G2438" s="142" t="s">
        <v>3251</v>
      </c>
      <c r="H2438" s="142" t="s">
        <v>18288</v>
      </c>
      <c r="I2438" s="142">
        <v>9</v>
      </c>
      <c r="J2438" s="142">
        <v>0</v>
      </c>
      <c r="K2438" s="142">
        <v>0</v>
      </c>
      <c r="L2438" s="142">
        <v>6</v>
      </c>
      <c r="M2438" s="142">
        <v>3</v>
      </c>
    </row>
    <row r="2439" spans="1:13" x14ac:dyDescent="0.45">
      <c r="A2439" s="142" t="s">
        <v>13030</v>
      </c>
      <c r="B2439" s="142" t="s">
        <v>14572</v>
      </c>
      <c r="C2439" s="142" t="s">
        <v>15847</v>
      </c>
      <c r="D2439" s="142" t="s">
        <v>15848</v>
      </c>
      <c r="E2439" s="142" t="s">
        <v>15849</v>
      </c>
      <c r="F2439" s="142" t="s">
        <v>3252</v>
      </c>
      <c r="G2439" s="142" t="s">
        <v>3251</v>
      </c>
      <c r="H2439" s="142" t="s">
        <v>18289</v>
      </c>
      <c r="I2439" s="142">
        <v>392</v>
      </c>
      <c r="J2439" s="142">
        <v>257</v>
      </c>
      <c r="K2439" s="142">
        <v>0</v>
      </c>
      <c r="L2439" s="142">
        <v>33</v>
      </c>
      <c r="M2439" s="142">
        <v>102</v>
      </c>
    </row>
    <row r="2440" spans="1:13" x14ac:dyDescent="0.45">
      <c r="A2440" s="142" t="s">
        <v>13613</v>
      </c>
      <c r="B2440" s="142" t="s">
        <v>15399</v>
      </c>
      <c r="C2440" s="142" t="s">
        <v>15860</v>
      </c>
      <c r="D2440" s="142" t="s">
        <v>15861</v>
      </c>
      <c r="E2440" s="142" t="s">
        <v>15849</v>
      </c>
      <c r="F2440" s="142" t="s">
        <v>3252</v>
      </c>
      <c r="G2440" s="142" t="s">
        <v>3251</v>
      </c>
      <c r="H2440" s="142" t="s">
        <v>18290</v>
      </c>
      <c r="I2440" s="142">
        <v>99</v>
      </c>
      <c r="J2440" s="142">
        <v>99</v>
      </c>
      <c r="K2440" s="142">
        <v>0</v>
      </c>
      <c r="L2440" s="142">
        <v>0</v>
      </c>
      <c r="M2440" s="142">
        <v>0</v>
      </c>
    </row>
    <row r="2441" spans="1:13" x14ac:dyDescent="0.45">
      <c r="A2441" s="142" t="s">
        <v>13034</v>
      </c>
      <c r="B2441" s="142" t="s">
        <v>15562</v>
      </c>
      <c r="C2441" s="142" t="s">
        <v>15847</v>
      </c>
      <c r="D2441" s="142" t="s">
        <v>15848</v>
      </c>
      <c r="E2441" s="142" t="s">
        <v>15849</v>
      </c>
      <c r="F2441" s="142" t="s">
        <v>3252</v>
      </c>
      <c r="G2441" s="142" t="s">
        <v>3251</v>
      </c>
      <c r="H2441" s="142" t="s">
        <v>18291</v>
      </c>
      <c r="I2441" s="142">
        <v>248</v>
      </c>
      <c r="J2441" s="142">
        <v>222</v>
      </c>
      <c r="K2441" s="142">
        <v>0</v>
      </c>
      <c r="L2441" s="142">
        <v>23</v>
      </c>
      <c r="M2441" s="142">
        <v>3</v>
      </c>
    </row>
    <row r="2442" spans="1:13" x14ac:dyDescent="0.45">
      <c r="A2442" s="142" t="s">
        <v>13035</v>
      </c>
      <c r="B2442" s="142" t="s">
        <v>14648</v>
      </c>
      <c r="C2442" s="142" t="s">
        <v>15847</v>
      </c>
      <c r="D2442" s="142" t="s">
        <v>15848</v>
      </c>
      <c r="E2442" s="142" t="s">
        <v>15849</v>
      </c>
      <c r="F2442" s="142" t="s">
        <v>3252</v>
      </c>
      <c r="G2442" s="142" t="s">
        <v>3251</v>
      </c>
      <c r="H2442" s="142" t="s">
        <v>18292</v>
      </c>
      <c r="I2442" s="142">
        <v>3391</v>
      </c>
      <c r="J2442" s="142">
        <v>3091</v>
      </c>
      <c r="K2442" s="142">
        <v>0</v>
      </c>
      <c r="L2442" s="142">
        <v>215</v>
      </c>
      <c r="M2442" s="142">
        <v>85</v>
      </c>
    </row>
    <row r="2443" spans="1:13" x14ac:dyDescent="0.45">
      <c r="A2443" s="142" t="s">
        <v>13105</v>
      </c>
      <c r="B2443" s="142" t="s">
        <v>14654</v>
      </c>
      <c r="C2443" s="142" t="s">
        <v>15847</v>
      </c>
      <c r="D2443" s="142" t="s">
        <v>15848</v>
      </c>
      <c r="E2443" s="142" t="s">
        <v>15849</v>
      </c>
      <c r="F2443" s="142" t="s">
        <v>3252</v>
      </c>
      <c r="G2443" s="142" t="s">
        <v>3251</v>
      </c>
      <c r="H2443" s="142" t="s">
        <v>18293</v>
      </c>
      <c r="I2443" s="142">
        <v>1</v>
      </c>
      <c r="J2443" s="142">
        <v>0</v>
      </c>
      <c r="K2443" s="142">
        <v>0</v>
      </c>
      <c r="L2443" s="142">
        <v>0</v>
      </c>
      <c r="M2443" s="142">
        <v>1</v>
      </c>
    </row>
    <row r="2444" spans="1:13" x14ac:dyDescent="0.45">
      <c r="A2444" s="142" t="s">
        <v>13038</v>
      </c>
      <c r="B2444" s="142" t="s">
        <v>14646</v>
      </c>
      <c r="C2444" s="142" t="s">
        <v>15847</v>
      </c>
      <c r="D2444" s="142" t="s">
        <v>15848</v>
      </c>
      <c r="E2444" s="142" t="s">
        <v>15849</v>
      </c>
      <c r="F2444" s="142" t="s">
        <v>3252</v>
      </c>
      <c r="G2444" s="142" t="s">
        <v>3251</v>
      </c>
      <c r="H2444" s="142" t="s">
        <v>18294</v>
      </c>
      <c r="I2444" s="142">
        <v>15</v>
      </c>
      <c r="J2444" s="142">
        <v>15</v>
      </c>
      <c r="K2444" s="142">
        <v>0</v>
      </c>
      <c r="L2444" s="142">
        <v>0</v>
      </c>
      <c r="M2444" s="142">
        <v>0</v>
      </c>
    </row>
    <row r="2445" spans="1:13" x14ac:dyDescent="0.45">
      <c r="A2445" s="142" t="s">
        <v>13614</v>
      </c>
      <c r="B2445" s="142" t="s">
        <v>14569</v>
      </c>
      <c r="C2445" s="142" t="s">
        <v>15860</v>
      </c>
      <c r="D2445" s="142" t="s">
        <v>15861</v>
      </c>
      <c r="E2445" s="142" t="s">
        <v>15849</v>
      </c>
      <c r="F2445" s="142" t="s">
        <v>3252</v>
      </c>
      <c r="G2445" s="142" t="s">
        <v>3251</v>
      </c>
      <c r="H2445" s="142" t="s">
        <v>18295</v>
      </c>
      <c r="I2445" s="142">
        <v>3</v>
      </c>
      <c r="J2445" s="142">
        <v>3</v>
      </c>
      <c r="K2445" s="142">
        <v>0</v>
      </c>
      <c r="L2445" s="142">
        <v>0</v>
      </c>
      <c r="M2445" s="142">
        <v>0</v>
      </c>
    </row>
    <row r="2446" spans="1:13" x14ac:dyDescent="0.45">
      <c r="A2446" s="142" t="s">
        <v>13152</v>
      </c>
      <c r="B2446" s="142" t="s">
        <v>15249</v>
      </c>
      <c r="C2446" s="142" t="s">
        <v>15847</v>
      </c>
      <c r="D2446" s="142" t="s">
        <v>15848</v>
      </c>
      <c r="E2446" s="142" t="s">
        <v>15849</v>
      </c>
      <c r="F2446" s="142" t="s">
        <v>3252</v>
      </c>
      <c r="G2446" s="142" t="s">
        <v>3251</v>
      </c>
      <c r="H2446" s="142" t="s">
        <v>18296</v>
      </c>
      <c r="I2446" s="142">
        <v>23</v>
      </c>
      <c r="J2446" s="142">
        <v>23</v>
      </c>
      <c r="K2446" s="142">
        <v>0</v>
      </c>
      <c r="L2446" s="142">
        <v>0</v>
      </c>
      <c r="M2446" s="142">
        <v>0</v>
      </c>
    </row>
    <row r="2447" spans="1:13" x14ac:dyDescent="0.45">
      <c r="A2447" s="142" t="s">
        <v>13014</v>
      </c>
      <c r="B2447" s="142" t="s">
        <v>14505</v>
      </c>
      <c r="C2447" s="142" t="s">
        <v>15847</v>
      </c>
      <c r="D2447" s="142" t="s">
        <v>15848</v>
      </c>
      <c r="E2447" s="142" t="s">
        <v>15849</v>
      </c>
      <c r="F2447" s="142" t="s">
        <v>3252</v>
      </c>
      <c r="G2447" s="142" t="s">
        <v>3251</v>
      </c>
      <c r="H2447" s="142" t="s">
        <v>18297</v>
      </c>
      <c r="I2447" s="142">
        <v>163</v>
      </c>
      <c r="J2447" s="142">
        <v>125</v>
      </c>
      <c r="K2447" s="142">
        <v>0</v>
      </c>
      <c r="L2447" s="142">
        <v>20</v>
      </c>
      <c r="M2447" s="142">
        <v>18</v>
      </c>
    </row>
    <row r="2448" spans="1:13" x14ac:dyDescent="0.45">
      <c r="A2448" s="142" t="s">
        <v>13156</v>
      </c>
      <c r="B2448" s="142" t="s">
        <v>14493</v>
      </c>
      <c r="C2448" s="142" t="s">
        <v>15860</v>
      </c>
      <c r="D2448" s="142" t="s">
        <v>15861</v>
      </c>
      <c r="E2448" s="142" t="s">
        <v>15849</v>
      </c>
      <c r="F2448" s="142" t="s">
        <v>3252</v>
      </c>
      <c r="G2448" s="142" t="s">
        <v>3251</v>
      </c>
      <c r="H2448" s="142" t="s">
        <v>18298</v>
      </c>
      <c r="I2448" s="142">
        <v>4</v>
      </c>
      <c r="J2448" s="142">
        <v>0</v>
      </c>
      <c r="K2448" s="142">
        <v>0</v>
      </c>
      <c r="L2448" s="142">
        <v>4</v>
      </c>
      <c r="M2448" s="142">
        <v>0</v>
      </c>
    </row>
    <row r="2449" spans="1:13" x14ac:dyDescent="0.45">
      <c r="A2449" s="142" t="s">
        <v>13064</v>
      </c>
      <c r="B2449" s="142" t="s">
        <v>15428</v>
      </c>
      <c r="C2449" s="142" t="s">
        <v>15847</v>
      </c>
      <c r="D2449" s="142" t="s">
        <v>15848</v>
      </c>
      <c r="E2449" s="142" t="s">
        <v>15849</v>
      </c>
      <c r="F2449" s="142" t="s">
        <v>10351</v>
      </c>
      <c r="G2449" s="142" t="s">
        <v>10350</v>
      </c>
      <c r="H2449" s="142" t="s">
        <v>18299</v>
      </c>
      <c r="I2449" s="142">
        <v>28</v>
      </c>
      <c r="J2449" s="142">
        <v>12</v>
      </c>
      <c r="K2449" s="142">
        <v>0</v>
      </c>
      <c r="L2449" s="142">
        <v>0</v>
      </c>
      <c r="M2449" s="142">
        <v>16</v>
      </c>
    </row>
    <row r="2450" spans="1:13" x14ac:dyDescent="0.45">
      <c r="A2450" s="142" t="s">
        <v>13019</v>
      </c>
      <c r="B2450" s="142" t="s">
        <v>14457</v>
      </c>
      <c r="C2450" s="142" t="s">
        <v>15860</v>
      </c>
      <c r="D2450" s="142" t="s">
        <v>15861</v>
      </c>
      <c r="E2450" s="142" t="s">
        <v>15849</v>
      </c>
      <c r="F2450" s="142" t="s">
        <v>10351</v>
      </c>
      <c r="G2450" s="142" t="s">
        <v>10350</v>
      </c>
      <c r="H2450" s="142" t="s">
        <v>18300</v>
      </c>
      <c r="I2450" s="142">
        <v>10</v>
      </c>
      <c r="J2450" s="142">
        <v>7</v>
      </c>
      <c r="K2450" s="142">
        <v>3</v>
      </c>
      <c r="L2450" s="142">
        <v>0</v>
      </c>
      <c r="M2450" s="142">
        <v>0</v>
      </c>
    </row>
    <row r="2451" spans="1:13" x14ac:dyDescent="0.45">
      <c r="A2451" s="142" t="s">
        <v>13021</v>
      </c>
      <c r="B2451" s="142" t="s">
        <v>15501</v>
      </c>
      <c r="C2451" s="142" t="s">
        <v>15847</v>
      </c>
      <c r="D2451" s="142" t="s">
        <v>15848</v>
      </c>
      <c r="E2451" s="142" t="s">
        <v>15849</v>
      </c>
      <c r="F2451" s="142" t="s">
        <v>10351</v>
      </c>
      <c r="G2451" s="142" t="s">
        <v>10350</v>
      </c>
      <c r="H2451" s="142" t="s">
        <v>18301</v>
      </c>
      <c r="I2451" s="142">
        <v>1</v>
      </c>
      <c r="J2451" s="142">
        <v>0</v>
      </c>
      <c r="K2451" s="142">
        <v>0</v>
      </c>
      <c r="L2451" s="142">
        <v>0</v>
      </c>
      <c r="M2451" s="142">
        <v>1</v>
      </c>
    </row>
    <row r="2452" spans="1:13" x14ac:dyDescent="0.45">
      <c r="A2452" s="142" t="s">
        <v>13507</v>
      </c>
      <c r="B2452" s="142" t="s">
        <v>14515</v>
      </c>
      <c r="C2452" s="142" t="s">
        <v>15860</v>
      </c>
      <c r="D2452" s="142" t="s">
        <v>15861</v>
      </c>
      <c r="E2452" s="142" t="s">
        <v>15849</v>
      </c>
      <c r="F2452" s="142" t="s">
        <v>10351</v>
      </c>
      <c r="G2452" s="142" t="s">
        <v>10350</v>
      </c>
      <c r="H2452" s="142" t="s">
        <v>18302</v>
      </c>
      <c r="I2452" s="142">
        <v>42</v>
      </c>
      <c r="J2452" s="142">
        <v>42</v>
      </c>
      <c r="K2452" s="142">
        <v>0</v>
      </c>
      <c r="L2452" s="142">
        <v>0</v>
      </c>
      <c r="M2452" s="142">
        <v>0</v>
      </c>
    </row>
    <row r="2453" spans="1:13" x14ac:dyDescent="0.45">
      <c r="A2453" s="142" t="s">
        <v>13023</v>
      </c>
      <c r="B2453" s="142" t="s">
        <v>15571</v>
      </c>
      <c r="C2453" s="142" t="s">
        <v>15847</v>
      </c>
      <c r="D2453" s="142" t="s">
        <v>15848</v>
      </c>
      <c r="E2453" s="142" t="s">
        <v>15849</v>
      </c>
      <c r="F2453" s="142" t="s">
        <v>10351</v>
      </c>
      <c r="G2453" s="142" t="s">
        <v>10350</v>
      </c>
      <c r="H2453" s="142" t="s">
        <v>18303</v>
      </c>
      <c r="I2453" s="142">
        <v>69</v>
      </c>
      <c r="J2453" s="142">
        <v>0</v>
      </c>
      <c r="K2453" s="142">
        <v>0</v>
      </c>
      <c r="L2453" s="142">
        <v>69</v>
      </c>
      <c r="M2453" s="142">
        <v>0</v>
      </c>
    </row>
    <row r="2454" spans="1:13" x14ac:dyDescent="0.45">
      <c r="A2454" s="142" t="s">
        <v>13147</v>
      </c>
      <c r="B2454" s="142" t="s">
        <v>14529</v>
      </c>
      <c r="C2454" s="142" t="s">
        <v>15860</v>
      </c>
      <c r="D2454" s="142" t="s">
        <v>15861</v>
      </c>
      <c r="E2454" s="142" t="s">
        <v>15849</v>
      </c>
      <c r="F2454" s="142" t="s">
        <v>10351</v>
      </c>
      <c r="G2454" s="142" t="s">
        <v>10350</v>
      </c>
      <c r="H2454" s="142" t="s">
        <v>18304</v>
      </c>
      <c r="I2454" s="142">
        <v>10</v>
      </c>
      <c r="J2454" s="142">
        <v>10</v>
      </c>
      <c r="K2454" s="142">
        <v>0</v>
      </c>
      <c r="L2454" s="142">
        <v>0</v>
      </c>
      <c r="M2454" s="142">
        <v>0</v>
      </c>
    </row>
    <row r="2455" spans="1:13" x14ac:dyDescent="0.45">
      <c r="A2455" s="142" t="s">
        <v>13616</v>
      </c>
      <c r="B2455" s="142" t="s">
        <v>14924</v>
      </c>
      <c r="C2455" s="142" t="s">
        <v>15860</v>
      </c>
      <c r="D2455" s="142" t="s">
        <v>15861</v>
      </c>
      <c r="E2455" s="142" t="s">
        <v>15849</v>
      </c>
      <c r="F2455" s="142" t="s">
        <v>10351</v>
      </c>
      <c r="G2455" s="142" t="s">
        <v>10350</v>
      </c>
      <c r="H2455" s="142" t="s">
        <v>18305</v>
      </c>
      <c r="I2455" s="142">
        <v>6</v>
      </c>
      <c r="J2455" s="142">
        <v>0</v>
      </c>
      <c r="K2455" s="142">
        <v>0</v>
      </c>
      <c r="L2455" s="142">
        <v>6</v>
      </c>
      <c r="M2455" s="142">
        <v>0</v>
      </c>
    </row>
    <row r="2456" spans="1:13" x14ac:dyDescent="0.45">
      <c r="A2456" s="142" t="s">
        <v>13617</v>
      </c>
      <c r="B2456" s="142" t="s">
        <v>15206</v>
      </c>
      <c r="C2456" s="142" t="s">
        <v>15860</v>
      </c>
      <c r="D2456" s="142" t="s">
        <v>15861</v>
      </c>
      <c r="E2456" s="142" t="s">
        <v>15849</v>
      </c>
      <c r="F2456" s="142" t="s">
        <v>10351</v>
      </c>
      <c r="G2456" s="142" t="s">
        <v>10350</v>
      </c>
      <c r="H2456" s="142" t="s">
        <v>18306</v>
      </c>
      <c r="I2456" s="142">
        <v>30</v>
      </c>
      <c r="J2456" s="142">
        <v>0</v>
      </c>
      <c r="K2456" s="142">
        <v>0</v>
      </c>
      <c r="L2456" s="142">
        <v>30</v>
      </c>
      <c r="M2456" s="142">
        <v>0</v>
      </c>
    </row>
    <row r="2457" spans="1:13" x14ac:dyDescent="0.45">
      <c r="A2457" s="142" t="s">
        <v>13049</v>
      </c>
      <c r="B2457" s="142" t="s">
        <v>14534</v>
      </c>
      <c r="C2457" s="142" t="s">
        <v>15860</v>
      </c>
      <c r="D2457" s="142" t="s">
        <v>15861</v>
      </c>
      <c r="E2457" s="142" t="s">
        <v>15849</v>
      </c>
      <c r="F2457" s="142" t="s">
        <v>10351</v>
      </c>
      <c r="G2457" s="142" t="s">
        <v>10350</v>
      </c>
      <c r="H2457" s="142" t="s">
        <v>18307</v>
      </c>
      <c r="I2457" s="142">
        <v>26</v>
      </c>
      <c r="J2457" s="142">
        <v>0</v>
      </c>
      <c r="K2457" s="142">
        <v>0</v>
      </c>
      <c r="L2457" s="142">
        <v>26</v>
      </c>
      <c r="M2457" s="142">
        <v>0</v>
      </c>
    </row>
    <row r="2458" spans="1:13" x14ac:dyDescent="0.45">
      <c r="A2458" s="142" t="s">
        <v>13552</v>
      </c>
      <c r="B2458" s="142" t="s">
        <v>14476</v>
      </c>
      <c r="C2458" s="142" t="s">
        <v>15860</v>
      </c>
      <c r="D2458" s="142" t="s">
        <v>15861</v>
      </c>
      <c r="E2458" s="142" t="s">
        <v>15849</v>
      </c>
      <c r="F2458" s="142" t="s">
        <v>10351</v>
      </c>
      <c r="G2458" s="142" t="s">
        <v>10350</v>
      </c>
      <c r="H2458" s="142" t="s">
        <v>18308</v>
      </c>
      <c r="I2458" s="142">
        <v>39</v>
      </c>
      <c r="J2458" s="142">
        <v>0</v>
      </c>
      <c r="K2458" s="142">
        <v>0</v>
      </c>
      <c r="L2458" s="142">
        <v>39</v>
      </c>
      <c r="M2458" s="142">
        <v>0</v>
      </c>
    </row>
    <row r="2459" spans="1:13" x14ac:dyDescent="0.45">
      <c r="A2459" s="142" t="s">
        <v>13027</v>
      </c>
      <c r="B2459" s="142" t="s">
        <v>14562</v>
      </c>
      <c r="C2459" s="142" t="s">
        <v>15847</v>
      </c>
      <c r="D2459" s="142" t="s">
        <v>15848</v>
      </c>
      <c r="E2459" s="142" t="s">
        <v>15849</v>
      </c>
      <c r="F2459" s="142" t="s">
        <v>10351</v>
      </c>
      <c r="G2459" s="142" t="s">
        <v>10350</v>
      </c>
      <c r="H2459" s="142" t="s">
        <v>18309</v>
      </c>
      <c r="I2459" s="142">
        <v>35</v>
      </c>
      <c r="J2459" s="142">
        <v>0</v>
      </c>
      <c r="K2459" s="142">
        <v>0</v>
      </c>
      <c r="L2459" s="142">
        <v>35</v>
      </c>
      <c r="M2459" s="142">
        <v>0</v>
      </c>
    </row>
    <row r="2460" spans="1:13" x14ac:dyDescent="0.45">
      <c r="A2460" s="142" t="s">
        <v>13148</v>
      </c>
      <c r="B2460" s="142" t="s">
        <v>15314</v>
      </c>
      <c r="C2460" s="142" t="s">
        <v>15847</v>
      </c>
      <c r="D2460" s="142" t="s">
        <v>15848</v>
      </c>
      <c r="E2460" s="142" t="s">
        <v>15849</v>
      </c>
      <c r="F2460" s="142" t="s">
        <v>10351</v>
      </c>
      <c r="G2460" s="142" t="s">
        <v>10350</v>
      </c>
      <c r="H2460" s="142" t="s">
        <v>18310</v>
      </c>
      <c r="I2460" s="142">
        <v>23</v>
      </c>
      <c r="J2460" s="142">
        <v>23</v>
      </c>
      <c r="K2460" s="142">
        <v>0</v>
      </c>
      <c r="L2460" s="142">
        <v>0</v>
      </c>
      <c r="M2460" s="142">
        <v>0</v>
      </c>
    </row>
    <row r="2461" spans="1:13" x14ac:dyDescent="0.45">
      <c r="A2461" s="142" t="s">
        <v>13028</v>
      </c>
      <c r="B2461" s="142" t="s">
        <v>14462</v>
      </c>
      <c r="C2461" s="142" t="s">
        <v>15847</v>
      </c>
      <c r="D2461" s="142" t="s">
        <v>15848</v>
      </c>
      <c r="E2461" s="142" t="s">
        <v>15849</v>
      </c>
      <c r="F2461" s="142" t="s">
        <v>10351</v>
      </c>
      <c r="G2461" s="142" t="s">
        <v>10350</v>
      </c>
      <c r="H2461" s="142" t="s">
        <v>18311</v>
      </c>
      <c r="I2461" s="142">
        <v>134</v>
      </c>
      <c r="J2461" s="142">
        <v>0</v>
      </c>
      <c r="K2461" s="142">
        <v>0</v>
      </c>
      <c r="L2461" s="142">
        <v>0</v>
      </c>
      <c r="M2461" s="142">
        <v>134</v>
      </c>
    </row>
    <row r="2462" spans="1:13" x14ac:dyDescent="0.45">
      <c r="A2462" s="142" t="s">
        <v>13150</v>
      </c>
      <c r="B2462" s="142" t="s">
        <v>14539</v>
      </c>
      <c r="C2462" s="142" t="s">
        <v>15860</v>
      </c>
      <c r="D2462" s="142" t="s">
        <v>15861</v>
      </c>
      <c r="E2462" s="142" t="s">
        <v>15849</v>
      </c>
      <c r="F2462" s="142" t="s">
        <v>10351</v>
      </c>
      <c r="G2462" s="142" t="s">
        <v>10350</v>
      </c>
      <c r="H2462" s="142" t="s">
        <v>18312</v>
      </c>
      <c r="I2462" s="142">
        <v>83</v>
      </c>
      <c r="J2462" s="142">
        <v>10</v>
      </c>
      <c r="K2462" s="142">
        <v>0</v>
      </c>
      <c r="L2462" s="142">
        <v>73</v>
      </c>
      <c r="M2462" s="142">
        <v>0</v>
      </c>
    </row>
    <row r="2463" spans="1:13" x14ac:dyDescent="0.45">
      <c r="A2463" s="142" t="s">
        <v>13002</v>
      </c>
      <c r="B2463" s="142" t="s">
        <v>15376</v>
      </c>
      <c r="C2463" s="142" t="s">
        <v>15847</v>
      </c>
      <c r="D2463" s="142" t="s">
        <v>15848</v>
      </c>
      <c r="E2463" s="142" t="s">
        <v>15849</v>
      </c>
      <c r="F2463" s="142" t="s">
        <v>10351</v>
      </c>
      <c r="G2463" s="142" t="s">
        <v>10350</v>
      </c>
      <c r="H2463" s="142" t="s">
        <v>18313</v>
      </c>
      <c r="I2463" s="142">
        <v>8</v>
      </c>
      <c r="J2463" s="142">
        <v>0</v>
      </c>
      <c r="K2463" s="142">
        <v>0</v>
      </c>
      <c r="L2463" s="142">
        <v>8</v>
      </c>
      <c r="M2463" s="142">
        <v>0</v>
      </c>
    </row>
    <row r="2464" spans="1:13" x14ac:dyDescent="0.45">
      <c r="A2464" s="142" t="s">
        <v>13003</v>
      </c>
      <c r="B2464" s="142" t="s">
        <v>15245</v>
      </c>
      <c r="C2464" s="142" t="s">
        <v>15847</v>
      </c>
      <c r="D2464" s="142" t="s">
        <v>15848</v>
      </c>
      <c r="E2464" s="142" t="s">
        <v>15849</v>
      </c>
      <c r="F2464" s="142" t="s">
        <v>10351</v>
      </c>
      <c r="G2464" s="142" t="s">
        <v>10350</v>
      </c>
      <c r="H2464" s="142" t="s">
        <v>18314</v>
      </c>
      <c r="I2464" s="142">
        <v>396</v>
      </c>
      <c r="J2464" s="142">
        <v>0</v>
      </c>
      <c r="K2464" s="142">
        <v>0</v>
      </c>
      <c r="L2464" s="142">
        <v>334</v>
      </c>
      <c r="M2464" s="142">
        <v>62</v>
      </c>
    </row>
    <row r="2465" spans="1:13" x14ac:dyDescent="0.45">
      <c r="A2465" s="142" t="s">
        <v>13420</v>
      </c>
      <c r="B2465" s="142" t="s">
        <v>14576</v>
      </c>
      <c r="C2465" s="142" t="s">
        <v>15860</v>
      </c>
      <c r="D2465" s="142" t="s">
        <v>15861</v>
      </c>
      <c r="E2465" s="142" t="s">
        <v>15849</v>
      </c>
      <c r="F2465" s="142" t="s">
        <v>10351</v>
      </c>
      <c r="G2465" s="142" t="s">
        <v>10350</v>
      </c>
      <c r="H2465" s="142" t="s">
        <v>18315</v>
      </c>
      <c r="I2465" s="142">
        <v>19</v>
      </c>
      <c r="J2465" s="142">
        <v>0</v>
      </c>
      <c r="K2465" s="142">
        <v>0</v>
      </c>
      <c r="L2465" s="142">
        <v>19</v>
      </c>
      <c r="M2465" s="142">
        <v>0</v>
      </c>
    </row>
    <row r="2466" spans="1:13" x14ac:dyDescent="0.45">
      <c r="A2466" s="142" t="s">
        <v>13066</v>
      </c>
      <c r="B2466" s="142" t="s">
        <v>14459</v>
      </c>
      <c r="C2466" s="142" t="s">
        <v>15847</v>
      </c>
      <c r="D2466" s="142" t="s">
        <v>15848</v>
      </c>
      <c r="E2466" s="142" t="s">
        <v>15849</v>
      </c>
      <c r="F2466" s="142" t="s">
        <v>10351</v>
      </c>
      <c r="G2466" s="142" t="s">
        <v>10350</v>
      </c>
      <c r="H2466" s="142" t="s">
        <v>18316</v>
      </c>
      <c r="I2466" s="142">
        <v>69</v>
      </c>
      <c r="J2466" s="142">
        <v>0</v>
      </c>
      <c r="K2466" s="142">
        <v>0</v>
      </c>
      <c r="L2466" s="142">
        <v>69</v>
      </c>
      <c r="M2466" s="142">
        <v>0</v>
      </c>
    </row>
    <row r="2467" spans="1:13" x14ac:dyDescent="0.45">
      <c r="A2467" s="142" t="s">
        <v>13151</v>
      </c>
      <c r="B2467" s="142" t="s">
        <v>14512</v>
      </c>
      <c r="C2467" s="142" t="s">
        <v>15860</v>
      </c>
      <c r="D2467" s="142" t="s">
        <v>15861</v>
      </c>
      <c r="E2467" s="142" t="s">
        <v>15849</v>
      </c>
      <c r="F2467" s="142" t="s">
        <v>10351</v>
      </c>
      <c r="G2467" s="142" t="s">
        <v>10350</v>
      </c>
      <c r="H2467" s="142" t="s">
        <v>18317</v>
      </c>
      <c r="I2467" s="142">
        <v>3</v>
      </c>
      <c r="J2467" s="142">
        <v>3</v>
      </c>
      <c r="K2467" s="142">
        <v>0</v>
      </c>
      <c r="L2467" s="142">
        <v>0</v>
      </c>
      <c r="M2467" s="142">
        <v>0</v>
      </c>
    </row>
    <row r="2468" spans="1:13" x14ac:dyDescent="0.45">
      <c r="A2468" s="142" t="s">
        <v>13178</v>
      </c>
      <c r="B2468" s="142" t="s">
        <v>14683</v>
      </c>
      <c r="C2468" s="142" t="s">
        <v>15847</v>
      </c>
      <c r="D2468" s="142" t="s">
        <v>15848</v>
      </c>
      <c r="E2468" s="142" t="s">
        <v>15849</v>
      </c>
      <c r="F2468" s="142" t="s">
        <v>10351</v>
      </c>
      <c r="G2468" s="142" t="s">
        <v>10350</v>
      </c>
      <c r="H2468" s="142" t="s">
        <v>18318</v>
      </c>
      <c r="I2468" s="142">
        <v>23</v>
      </c>
      <c r="J2468" s="142">
        <v>23</v>
      </c>
      <c r="K2468" s="142">
        <v>0</v>
      </c>
      <c r="L2468" s="142">
        <v>0</v>
      </c>
      <c r="M2468" s="142">
        <v>0</v>
      </c>
    </row>
    <row r="2469" spans="1:13" x14ac:dyDescent="0.45">
      <c r="A2469" s="142" t="s">
        <v>13076</v>
      </c>
      <c r="B2469" s="142" t="s">
        <v>14636</v>
      </c>
      <c r="C2469" s="142" t="s">
        <v>15847</v>
      </c>
      <c r="D2469" s="142" t="s">
        <v>15848</v>
      </c>
      <c r="E2469" s="142" t="s">
        <v>15849</v>
      </c>
      <c r="F2469" s="142" t="s">
        <v>10351</v>
      </c>
      <c r="G2469" s="142" t="s">
        <v>10350</v>
      </c>
      <c r="H2469" s="142" t="s">
        <v>18319</v>
      </c>
      <c r="I2469" s="142">
        <v>55</v>
      </c>
      <c r="J2469" s="142">
        <v>35</v>
      </c>
      <c r="K2469" s="142">
        <v>0</v>
      </c>
      <c r="L2469" s="142">
        <v>0</v>
      </c>
      <c r="M2469" s="142">
        <v>20</v>
      </c>
    </row>
    <row r="2470" spans="1:13" x14ac:dyDescent="0.45">
      <c r="A2470" s="142" t="s">
        <v>13029</v>
      </c>
      <c r="B2470" s="142" t="s">
        <v>14665</v>
      </c>
      <c r="C2470" s="142" t="s">
        <v>15847</v>
      </c>
      <c r="D2470" s="142" t="s">
        <v>15848</v>
      </c>
      <c r="E2470" s="142" t="s">
        <v>15849</v>
      </c>
      <c r="F2470" s="142" t="s">
        <v>10351</v>
      </c>
      <c r="G2470" s="142" t="s">
        <v>10350</v>
      </c>
      <c r="H2470" s="142" t="s">
        <v>18320</v>
      </c>
      <c r="I2470" s="142">
        <v>4</v>
      </c>
      <c r="J2470" s="142">
        <v>0</v>
      </c>
      <c r="K2470" s="142">
        <v>0</v>
      </c>
      <c r="L2470" s="142">
        <v>0</v>
      </c>
      <c r="M2470" s="142">
        <v>4</v>
      </c>
    </row>
    <row r="2471" spans="1:13" x14ac:dyDescent="0.45">
      <c r="A2471" s="142" t="s">
        <v>13068</v>
      </c>
      <c r="B2471" s="142" t="s">
        <v>15468</v>
      </c>
      <c r="C2471" s="142" t="s">
        <v>15847</v>
      </c>
      <c r="D2471" s="142" t="s">
        <v>15848</v>
      </c>
      <c r="E2471" s="142" t="s">
        <v>15849</v>
      </c>
      <c r="F2471" s="142" t="s">
        <v>10351</v>
      </c>
      <c r="G2471" s="142" t="s">
        <v>10350</v>
      </c>
      <c r="H2471" s="142" t="s">
        <v>18321</v>
      </c>
      <c r="I2471" s="142">
        <v>215</v>
      </c>
      <c r="J2471" s="142">
        <v>168</v>
      </c>
      <c r="K2471" s="142">
        <v>0</v>
      </c>
      <c r="L2471" s="142">
        <v>31</v>
      </c>
      <c r="M2471" s="142">
        <v>16</v>
      </c>
    </row>
    <row r="2472" spans="1:13" x14ac:dyDescent="0.45">
      <c r="A2472" s="142" t="s">
        <v>13032</v>
      </c>
      <c r="B2472" s="142" t="s">
        <v>14532</v>
      </c>
      <c r="C2472" s="142" t="s">
        <v>15860</v>
      </c>
      <c r="D2472" s="142" t="s">
        <v>15861</v>
      </c>
      <c r="E2472" s="142" t="s">
        <v>15849</v>
      </c>
      <c r="F2472" s="142" t="s">
        <v>10351</v>
      </c>
      <c r="G2472" s="142" t="s">
        <v>10350</v>
      </c>
      <c r="H2472" s="142" t="s">
        <v>18322</v>
      </c>
      <c r="I2472" s="142">
        <v>58</v>
      </c>
      <c r="J2472" s="142">
        <v>0</v>
      </c>
      <c r="K2472" s="142">
        <v>0</v>
      </c>
      <c r="L2472" s="142">
        <v>58</v>
      </c>
      <c r="M2472" s="142">
        <v>0</v>
      </c>
    </row>
    <row r="2473" spans="1:13" x14ac:dyDescent="0.45">
      <c r="A2473" s="142" t="s">
        <v>13033</v>
      </c>
      <c r="B2473" s="142" t="s">
        <v>15276</v>
      </c>
      <c r="C2473" s="142" t="s">
        <v>15847</v>
      </c>
      <c r="D2473" s="142" t="s">
        <v>15848</v>
      </c>
      <c r="E2473" s="142" t="s">
        <v>15849</v>
      </c>
      <c r="F2473" s="142" t="s">
        <v>10351</v>
      </c>
      <c r="G2473" s="142" t="s">
        <v>10350</v>
      </c>
      <c r="H2473" s="142" t="s">
        <v>18323</v>
      </c>
      <c r="I2473" s="142">
        <v>419</v>
      </c>
      <c r="J2473" s="142">
        <v>314</v>
      </c>
      <c r="K2473" s="142">
        <v>0</v>
      </c>
      <c r="L2473" s="142">
        <v>0</v>
      </c>
      <c r="M2473" s="142">
        <v>105</v>
      </c>
    </row>
    <row r="2474" spans="1:13" x14ac:dyDescent="0.45">
      <c r="A2474" s="142" t="s">
        <v>13034</v>
      </c>
      <c r="B2474" s="142" t="s">
        <v>15562</v>
      </c>
      <c r="C2474" s="142" t="s">
        <v>15847</v>
      </c>
      <c r="D2474" s="142" t="s">
        <v>15848</v>
      </c>
      <c r="E2474" s="142" t="s">
        <v>15849</v>
      </c>
      <c r="F2474" s="142" t="s">
        <v>10351</v>
      </c>
      <c r="G2474" s="142" t="s">
        <v>10350</v>
      </c>
      <c r="H2474" s="142" t="s">
        <v>18324</v>
      </c>
      <c r="I2474" s="142">
        <v>1</v>
      </c>
      <c r="J2474" s="142">
        <v>0</v>
      </c>
      <c r="K2474" s="142">
        <v>0</v>
      </c>
      <c r="L2474" s="142">
        <v>1</v>
      </c>
      <c r="M2474" s="142">
        <v>0</v>
      </c>
    </row>
    <row r="2475" spans="1:13" x14ac:dyDescent="0.45">
      <c r="A2475" s="142" t="s">
        <v>13036</v>
      </c>
      <c r="B2475" s="142" t="s">
        <v>15567</v>
      </c>
      <c r="C2475" s="142" t="s">
        <v>15847</v>
      </c>
      <c r="D2475" s="142" t="s">
        <v>15848</v>
      </c>
      <c r="E2475" s="142" t="s">
        <v>15849</v>
      </c>
      <c r="F2475" s="142" t="s">
        <v>10351</v>
      </c>
      <c r="G2475" s="142" t="s">
        <v>10350</v>
      </c>
      <c r="H2475" s="142" t="s">
        <v>18325</v>
      </c>
      <c r="I2475" s="142">
        <v>128</v>
      </c>
      <c r="J2475" s="142">
        <v>0</v>
      </c>
      <c r="K2475" s="142">
        <v>0</v>
      </c>
      <c r="L2475" s="142">
        <v>124</v>
      </c>
      <c r="M2475" s="142">
        <v>4</v>
      </c>
    </row>
    <row r="2476" spans="1:13" x14ac:dyDescent="0.45">
      <c r="A2476" s="142" t="s">
        <v>13560</v>
      </c>
      <c r="B2476" s="142" t="s">
        <v>14778</v>
      </c>
      <c r="C2476" s="142" t="s">
        <v>15847</v>
      </c>
      <c r="D2476" s="142" t="s">
        <v>15848</v>
      </c>
      <c r="E2476" s="142" t="s">
        <v>15849</v>
      </c>
      <c r="F2476" s="142" t="s">
        <v>10351</v>
      </c>
      <c r="G2476" s="142" t="s">
        <v>10350</v>
      </c>
      <c r="H2476" s="142" t="s">
        <v>18326</v>
      </c>
      <c r="I2476" s="142">
        <v>115</v>
      </c>
      <c r="J2476" s="142">
        <v>16</v>
      </c>
      <c r="K2476" s="142">
        <v>0</v>
      </c>
      <c r="L2476" s="142">
        <v>99</v>
      </c>
      <c r="M2476" s="142">
        <v>0</v>
      </c>
    </row>
    <row r="2477" spans="1:13" x14ac:dyDescent="0.45">
      <c r="A2477" s="142" t="s">
        <v>13038</v>
      </c>
      <c r="B2477" s="142" t="s">
        <v>14646</v>
      </c>
      <c r="C2477" s="142" t="s">
        <v>15847</v>
      </c>
      <c r="D2477" s="142" t="s">
        <v>15848</v>
      </c>
      <c r="E2477" s="142" t="s">
        <v>15849</v>
      </c>
      <c r="F2477" s="142" t="s">
        <v>10351</v>
      </c>
      <c r="G2477" s="142" t="s">
        <v>10350</v>
      </c>
      <c r="H2477" s="142" t="s">
        <v>18327</v>
      </c>
      <c r="I2477" s="142">
        <v>174</v>
      </c>
      <c r="J2477" s="142">
        <v>149</v>
      </c>
      <c r="K2477" s="142">
        <v>0</v>
      </c>
      <c r="L2477" s="142">
        <v>0</v>
      </c>
      <c r="M2477" s="142">
        <v>25</v>
      </c>
    </row>
    <row r="2478" spans="1:13" x14ac:dyDescent="0.45">
      <c r="A2478" s="142" t="s">
        <v>13039</v>
      </c>
      <c r="B2478" s="142" t="s">
        <v>14647</v>
      </c>
      <c r="C2478" s="142" t="s">
        <v>15847</v>
      </c>
      <c r="D2478" s="142" t="s">
        <v>15848</v>
      </c>
      <c r="E2478" s="142" t="s">
        <v>15849</v>
      </c>
      <c r="F2478" s="142" t="s">
        <v>10351</v>
      </c>
      <c r="G2478" s="142" t="s">
        <v>10350</v>
      </c>
      <c r="H2478" s="142" t="s">
        <v>18328</v>
      </c>
      <c r="I2478" s="142">
        <v>85</v>
      </c>
      <c r="J2478" s="142">
        <v>85</v>
      </c>
      <c r="K2478" s="142">
        <v>0</v>
      </c>
      <c r="L2478" s="142">
        <v>0</v>
      </c>
      <c r="M2478" s="142">
        <v>0</v>
      </c>
    </row>
    <row r="2479" spans="1:13" x14ac:dyDescent="0.45">
      <c r="A2479" s="142" t="s">
        <v>13078</v>
      </c>
      <c r="B2479" s="142" t="s">
        <v>15540</v>
      </c>
      <c r="C2479" s="142" t="s">
        <v>15847</v>
      </c>
      <c r="D2479" s="142" t="s">
        <v>15848</v>
      </c>
      <c r="E2479" s="142" t="s">
        <v>15849</v>
      </c>
      <c r="F2479" s="142" t="s">
        <v>10351</v>
      </c>
      <c r="G2479" s="142" t="s">
        <v>10350</v>
      </c>
      <c r="H2479" s="142" t="s">
        <v>18329</v>
      </c>
      <c r="I2479" s="142">
        <v>40</v>
      </c>
      <c r="J2479" s="142">
        <v>0</v>
      </c>
      <c r="K2479" s="142">
        <v>0</v>
      </c>
      <c r="L2479" s="142">
        <v>40</v>
      </c>
      <c r="M2479" s="142">
        <v>0</v>
      </c>
    </row>
    <row r="2480" spans="1:13" x14ac:dyDescent="0.45">
      <c r="A2480" s="142" t="s">
        <v>13091</v>
      </c>
      <c r="B2480" s="142" t="s">
        <v>14473</v>
      </c>
      <c r="C2480" s="142" t="s">
        <v>15847</v>
      </c>
      <c r="D2480" s="142" t="s">
        <v>15848</v>
      </c>
      <c r="E2480" s="142" t="s">
        <v>15849</v>
      </c>
      <c r="F2480" s="142" t="s">
        <v>10351</v>
      </c>
      <c r="G2480" s="142" t="s">
        <v>10350</v>
      </c>
      <c r="H2480" s="142" t="s">
        <v>18330</v>
      </c>
      <c r="I2480" s="142">
        <v>82</v>
      </c>
      <c r="J2480" s="142">
        <v>82</v>
      </c>
      <c r="K2480" s="142">
        <v>0</v>
      </c>
      <c r="L2480" s="142">
        <v>0</v>
      </c>
      <c r="M2480" s="142">
        <v>0</v>
      </c>
    </row>
    <row r="2481" spans="1:13" x14ac:dyDescent="0.45">
      <c r="A2481" s="142" t="s">
        <v>13009</v>
      </c>
      <c r="B2481" s="142" t="s">
        <v>15256</v>
      </c>
      <c r="C2481" s="142" t="s">
        <v>15847</v>
      </c>
      <c r="D2481" s="142" t="s">
        <v>15848</v>
      </c>
      <c r="E2481" s="142" t="s">
        <v>15849</v>
      </c>
      <c r="F2481" s="142" t="s">
        <v>10351</v>
      </c>
      <c r="G2481" s="142" t="s">
        <v>10350</v>
      </c>
      <c r="H2481" s="142" t="s">
        <v>18331</v>
      </c>
      <c r="I2481" s="142">
        <v>797</v>
      </c>
      <c r="J2481" s="142">
        <v>396</v>
      </c>
      <c r="K2481" s="142">
        <v>0</v>
      </c>
      <c r="L2481" s="142">
        <v>270</v>
      </c>
      <c r="M2481" s="142">
        <v>131</v>
      </c>
    </row>
    <row r="2482" spans="1:13" x14ac:dyDescent="0.45">
      <c r="A2482" s="142" t="s">
        <v>13152</v>
      </c>
      <c r="B2482" s="142" t="s">
        <v>15249</v>
      </c>
      <c r="C2482" s="142" t="s">
        <v>15847</v>
      </c>
      <c r="D2482" s="142" t="s">
        <v>15848</v>
      </c>
      <c r="E2482" s="142" t="s">
        <v>15849</v>
      </c>
      <c r="F2482" s="142" t="s">
        <v>10351</v>
      </c>
      <c r="G2482" s="142" t="s">
        <v>10350</v>
      </c>
      <c r="H2482" s="142" t="s">
        <v>18332</v>
      </c>
      <c r="I2482" s="142">
        <v>476</v>
      </c>
      <c r="J2482" s="142">
        <v>349</v>
      </c>
      <c r="K2482" s="142">
        <v>0</v>
      </c>
      <c r="L2482" s="142">
        <v>118</v>
      </c>
      <c r="M2482" s="142">
        <v>9</v>
      </c>
    </row>
    <row r="2483" spans="1:13" x14ac:dyDescent="0.45">
      <c r="A2483" s="142" t="s">
        <v>13012</v>
      </c>
      <c r="B2483" s="142" t="s">
        <v>15337</v>
      </c>
      <c r="C2483" s="142" t="s">
        <v>15847</v>
      </c>
      <c r="D2483" s="142" t="s">
        <v>15848</v>
      </c>
      <c r="E2483" s="142" t="s">
        <v>15849</v>
      </c>
      <c r="F2483" s="142" t="s">
        <v>10351</v>
      </c>
      <c r="G2483" s="142" t="s">
        <v>10350</v>
      </c>
      <c r="H2483" s="142" t="s">
        <v>18333</v>
      </c>
      <c r="I2483" s="142">
        <v>153</v>
      </c>
      <c r="J2483" s="142">
        <v>148</v>
      </c>
      <c r="K2483" s="142">
        <v>0</v>
      </c>
      <c r="L2483" s="142">
        <v>0</v>
      </c>
      <c r="M2483" s="142">
        <v>5</v>
      </c>
    </row>
    <row r="2484" spans="1:13" x14ac:dyDescent="0.45">
      <c r="A2484" s="142" t="s">
        <v>13107</v>
      </c>
      <c r="B2484" s="142" t="s">
        <v>14522</v>
      </c>
      <c r="C2484" s="142" t="s">
        <v>15860</v>
      </c>
      <c r="D2484" s="142" t="s">
        <v>15861</v>
      </c>
      <c r="E2484" s="142" t="s">
        <v>15849</v>
      </c>
      <c r="F2484" s="142" t="s">
        <v>10351</v>
      </c>
      <c r="G2484" s="142" t="s">
        <v>10350</v>
      </c>
      <c r="H2484" s="142" t="s">
        <v>18334</v>
      </c>
      <c r="I2484" s="142">
        <v>56</v>
      </c>
      <c r="J2484" s="142">
        <v>0</v>
      </c>
      <c r="K2484" s="142">
        <v>0</v>
      </c>
      <c r="L2484" s="142">
        <v>56</v>
      </c>
      <c r="M2484" s="142">
        <v>0</v>
      </c>
    </row>
    <row r="2485" spans="1:13" x14ac:dyDescent="0.45">
      <c r="A2485" s="142" t="s">
        <v>13153</v>
      </c>
      <c r="B2485" s="142" t="s">
        <v>14469</v>
      </c>
      <c r="C2485" s="142" t="s">
        <v>15860</v>
      </c>
      <c r="D2485" s="142" t="s">
        <v>15861</v>
      </c>
      <c r="E2485" s="142" t="s">
        <v>15849</v>
      </c>
      <c r="F2485" s="142" t="s">
        <v>10351</v>
      </c>
      <c r="G2485" s="142" t="s">
        <v>10350</v>
      </c>
      <c r="H2485" s="142" t="s">
        <v>18335</v>
      </c>
      <c r="I2485" s="142">
        <v>55</v>
      </c>
      <c r="J2485" s="142">
        <v>0</v>
      </c>
      <c r="K2485" s="142">
        <v>0</v>
      </c>
      <c r="L2485" s="142">
        <v>55</v>
      </c>
      <c r="M2485" s="142">
        <v>0</v>
      </c>
    </row>
    <row r="2486" spans="1:13" x14ac:dyDescent="0.45">
      <c r="A2486" s="142" t="s">
        <v>13014</v>
      </c>
      <c r="B2486" s="142" t="s">
        <v>14505</v>
      </c>
      <c r="C2486" s="142" t="s">
        <v>15847</v>
      </c>
      <c r="D2486" s="142" t="s">
        <v>15848</v>
      </c>
      <c r="E2486" s="142" t="s">
        <v>15849</v>
      </c>
      <c r="F2486" s="142" t="s">
        <v>10351</v>
      </c>
      <c r="G2486" s="142" t="s">
        <v>10350</v>
      </c>
      <c r="H2486" s="142" t="s">
        <v>18336</v>
      </c>
      <c r="I2486" s="142">
        <v>617</v>
      </c>
      <c r="J2486" s="142">
        <v>443</v>
      </c>
      <c r="K2486" s="142">
        <v>0</v>
      </c>
      <c r="L2486" s="142">
        <v>95</v>
      </c>
      <c r="M2486" s="142">
        <v>79</v>
      </c>
    </row>
    <row r="2487" spans="1:13" x14ac:dyDescent="0.45">
      <c r="A2487" s="142" t="s">
        <v>13618</v>
      </c>
      <c r="B2487" s="142" t="s">
        <v>14765</v>
      </c>
      <c r="C2487" s="142" t="s">
        <v>15860</v>
      </c>
      <c r="D2487" s="142" t="s">
        <v>15861</v>
      </c>
      <c r="E2487" s="142" t="s">
        <v>15849</v>
      </c>
      <c r="F2487" s="142" t="s">
        <v>10351</v>
      </c>
      <c r="G2487" s="142" t="s">
        <v>10350</v>
      </c>
      <c r="H2487" s="142" t="s">
        <v>18337</v>
      </c>
      <c r="I2487" s="142">
        <v>15</v>
      </c>
      <c r="J2487" s="142">
        <v>15</v>
      </c>
      <c r="K2487" s="142">
        <v>0</v>
      </c>
      <c r="L2487" s="142">
        <v>0</v>
      </c>
      <c r="M2487" s="142">
        <v>0</v>
      </c>
    </row>
    <row r="2488" spans="1:13" x14ac:dyDescent="0.45">
      <c r="A2488" s="142" t="s">
        <v>13042</v>
      </c>
      <c r="B2488" s="142" t="s">
        <v>15489</v>
      </c>
      <c r="C2488" s="142" t="s">
        <v>15847</v>
      </c>
      <c r="D2488" s="142" t="s">
        <v>15848</v>
      </c>
      <c r="E2488" s="142" t="s">
        <v>15849</v>
      </c>
      <c r="F2488" s="142" t="s">
        <v>10351</v>
      </c>
      <c r="G2488" s="142" t="s">
        <v>10350</v>
      </c>
      <c r="H2488" s="142" t="s">
        <v>18338</v>
      </c>
      <c r="I2488" s="142">
        <v>155</v>
      </c>
      <c r="J2488" s="142">
        <v>19</v>
      </c>
      <c r="K2488" s="142">
        <v>0</v>
      </c>
      <c r="L2488" s="142">
        <v>136</v>
      </c>
      <c r="M2488" s="142">
        <v>0</v>
      </c>
    </row>
    <row r="2489" spans="1:13" x14ac:dyDescent="0.45">
      <c r="A2489" s="142" t="s">
        <v>13154</v>
      </c>
      <c r="B2489" s="142" t="s">
        <v>15415</v>
      </c>
      <c r="C2489" s="142" t="s">
        <v>15847</v>
      </c>
      <c r="D2489" s="142" t="s">
        <v>15848</v>
      </c>
      <c r="E2489" s="142" t="s">
        <v>15849</v>
      </c>
      <c r="F2489" s="142" t="s">
        <v>10351</v>
      </c>
      <c r="G2489" s="142" t="s">
        <v>10350</v>
      </c>
      <c r="H2489" s="142" t="s">
        <v>18339</v>
      </c>
      <c r="I2489" s="142">
        <v>882</v>
      </c>
      <c r="J2489" s="142">
        <v>661</v>
      </c>
      <c r="K2489" s="142">
        <v>0</v>
      </c>
      <c r="L2489" s="142">
        <v>119</v>
      </c>
      <c r="M2489" s="142">
        <v>102</v>
      </c>
    </row>
    <row r="2490" spans="1:13" x14ac:dyDescent="0.45">
      <c r="A2490" s="142" t="s">
        <v>13155</v>
      </c>
      <c r="B2490" s="142" t="s">
        <v>15455</v>
      </c>
      <c r="C2490" s="142" t="s">
        <v>15847</v>
      </c>
      <c r="D2490" s="142" t="s">
        <v>15848</v>
      </c>
      <c r="E2490" s="142" t="s">
        <v>15849</v>
      </c>
      <c r="F2490" s="142" t="s">
        <v>10351</v>
      </c>
      <c r="G2490" s="142" t="s">
        <v>10350</v>
      </c>
      <c r="H2490" s="142" t="s">
        <v>18340</v>
      </c>
      <c r="I2490" s="142">
        <v>37</v>
      </c>
      <c r="J2490" s="142">
        <v>35</v>
      </c>
      <c r="K2490" s="142">
        <v>0</v>
      </c>
      <c r="L2490" s="142">
        <v>0</v>
      </c>
      <c r="M2490" s="142">
        <v>2</v>
      </c>
    </row>
    <row r="2491" spans="1:13" x14ac:dyDescent="0.45">
      <c r="A2491" s="142" t="s">
        <v>13157</v>
      </c>
      <c r="B2491" s="142" t="s">
        <v>15477</v>
      </c>
      <c r="C2491" s="142" t="s">
        <v>15847</v>
      </c>
      <c r="D2491" s="142" t="s">
        <v>15848</v>
      </c>
      <c r="E2491" s="142" t="s">
        <v>15849</v>
      </c>
      <c r="F2491" s="142" t="s">
        <v>10351</v>
      </c>
      <c r="G2491" s="142" t="s">
        <v>10350</v>
      </c>
      <c r="H2491" s="142" t="s">
        <v>18341</v>
      </c>
      <c r="I2491" s="142">
        <v>334</v>
      </c>
      <c r="J2491" s="142">
        <v>319</v>
      </c>
      <c r="K2491" s="142">
        <v>0</v>
      </c>
      <c r="L2491" s="142">
        <v>0</v>
      </c>
      <c r="M2491" s="142">
        <v>15</v>
      </c>
    </row>
    <row r="2492" spans="1:13" x14ac:dyDescent="0.45">
      <c r="A2492" s="142" t="s">
        <v>13299</v>
      </c>
      <c r="B2492" s="142" t="s">
        <v>15176</v>
      </c>
      <c r="C2492" s="142" t="s">
        <v>15860</v>
      </c>
      <c r="D2492" s="142" t="s">
        <v>15861</v>
      </c>
      <c r="E2492" s="142" t="s">
        <v>15849</v>
      </c>
      <c r="F2492" s="142" t="s">
        <v>2590</v>
      </c>
      <c r="G2492" s="142" t="s">
        <v>2589</v>
      </c>
      <c r="H2492" s="142" t="s">
        <v>18342</v>
      </c>
      <c r="I2492" s="142">
        <v>37</v>
      </c>
      <c r="J2492" s="142">
        <v>0</v>
      </c>
      <c r="K2492" s="142">
        <v>0</v>
      </c>
      <c r="L2492" s="142">
        <v>37</v>
      </c>
      <c r="M2492" s="142">
        <v>0</v>
      </c>
    </row>
    <row r="2493" spans="1:13" x14ac:dyDescent="0.45">
      <c r="A2493" s="142" t="s">
        <v>13167</v>
      </c>
      <c r="B2493" s="142" t="s">
        <v>15418</v>
      </c>
      <c r="C2493" s="142" t="s">
        <v>15847</v>
      </c>
      <c r="D2493" s="142" t="s">
        <v>15848</v>
      </c>
      <c r="E2493" s="142" t="s">
        <v>15849</v>
      </c>
      <c r="F2493" s="142" t="s">
        <v>2590</v>
      </c>
      <c r="G2493" s="142" t="s">
        <v>2589</v>
      </c>
      <c r="H2493" s="142" t="s">
        <v>18343</v>
      </c>
      <c r="I2493" s="142">
        <v>785</v>
      </c>
      <c r="J2493" s="142">
        <v>575</v>
      </c>
      <c r="K2493" s="142">
        <v>0</v>
      </c>
      <c r="L2493" s="142">
        <v>50</v>
      </c>
      <c r="M2493" s="142">
        <v>160</v>
      </c>
    </row>
    <row r="2494" spans="1:13" x14ac:dyDescent="0.45">
      <c r="A2494" s="142" t="s">
        <v>13021</v>
      </c>
      <c r="B2494" s="142" t="s">
        <v>15501</v>
      </c>
      <c r="C2494" s="142" t="s">
        <v>15847</v>
      </c>
      <c r="D2494" s="142" t="s">
        <v>15848</v>
      </c>
      <c r="E2494" s="142" t="s">
        <v>15849</v>
      </c>
      <c r="F2494" s="142" t="s">
        <v>2590</v>
      </c>
      <c r="G2494" s="142" t="s">
        <v>2589</v>
      </c>
      <c r="H2494" s="142" t="s">
        <v>18344</v>
      </c>
      <c r="I2494" s="142">
        <v>34</v>
      </c>
      <c r="J2494" s="142">
        <v>0</v>
      </c>
      <c r="K2494" s="142">
        <v>0</v>
      </c>
      <c r="L2494" s="142">
        <v>18</v>
      </c>
      <c r="M2494" s="142">
        <v>16</v>
      </c>
    </row>
    <row r="2495" spans="1:13" x14ac:dyDescent="0.45">
      <c r="A2495" s="142" t="s">
        <v>13023</v>
      </c>
      <c r="B2495" s="142" t="s">
        <v>15571</v>
      </c>
      <c r="C2495" s="142" t="s">
        <v>15847</v>
      </c>
      <c r="D2495" s="142" t="s">
        <v>15848</v>
      </c>
      <c r="E2495" s="142" t="s">
        <v>15849</v>
      </c>
      <c r="F2495" s="142" t="s">
        <v>2590</v>
      </c>
      <c r="G2495" s="142" t="s">
        <v>2589</v>
      </c>
      <c r="H2495" s="142" t="s">
        <v>18345</v>
      </c>
      <c r="I2495" s="142">
        <v>232</v>
      </c>
      <c r="J2495" s="142">
        <v>6</v>
      </c>
      <c r="K2495" s="142">
        <v>0</v>
      </c>
      <c r="L2495" s="142">
        <v>226</v>
      </c>
      <c r="M2495" s="142">
        <v>0</v>
      </c>
    </row>
    <row r="2496" spans="1:13" x14ac:dyDescent="0.45">
      <c r="A2496" s="142" t="s">
        <v>13047</v>
      </c>
      <c r="B2496" s="142" t="s">
        <v>14616</v>
      </c>
      <c r="C2496" s="142" t="s">
        <v>15847</v>
      </c>
      <c r="D2496" s="142" t="s">
        <v>15848</v>
      </c>
      <c r="E2496" s="142" t="s">
        <v>15849</v>
      </c>
      <c r="F2496" s="142" t="s">
        <v>2590</v>
      </c>
      <c r="G2496" s="142" t="s">
        <v>2589</v>
      </c>
      <c r="H2496" s="142" t="s">
        <v>18346</v>
      </c>
      <c r="I2496" s="142">
        <v>560</v>
      </c>
      <c r="J2496" s="142">
        <v>491</v>
      </c>
      <c r="K2496" s="142">
        <v>0</v>
      </c>
      <c r="L2496" s="142">
        <v>23</v>
      </c>
      <c r="M2496" s="142">
        <v>46</v>
      </c>
    </row>
    <row r="2497" spans="1:13" x14ac:dyDescent="0.45">
      <c r="A2497" s="142" t="s">
        <v>13048</v>
      </c>
      <c r="B2497" s="142" t="s">
        <v>14479</v>
      </c>
      <c r="C2497" s="142" t="s">
        <v>15847</v>
      </c>
      <c r="D2497" s="142" t="s">
        <v>15848</v>
      </c>
      <c r="E2497" s="142" t="s">
        <v>15849</v>
      </c>
      <c r="F2497" s="142" t="s">
        <v>2590</v>
      </c>
      <c r="G2497" s="142" t="s">
        <v>2589</v>
      </c>
      <c r="H2497" s="142" t="s">
        <v>18347</v>
      </c>
      <c r="I2497" s="142">
        <v>391</v>
      </c>
      <c r="J2497" s="142">
        <v>173</v>
      </c>
      <c r="K2497" s="142">
        <v>0</v>
      </c>
      <c r="L2497" s="142">
        <v>0</v>
      </c>
      <c r="M2497" s="142">
        <v>218</v>
      </c>
    </row>
    <row r="2498" spans="1:13" x14ac:dyDescent="0.45">
      <c r="A2498" s="142" t="s">
        <v>13082</v>
      </c>
      <c r="B2498" s="142" t="s">
        <v>14478</v>
      </c>
      <c r="C2498" s="142" t="s">
        <v>15860</v>
      </c>
      <c r="D2498" s="142" t="s">
        <v>15861</v>
      </c>
      <c r="E2498" s="142" t="s">
        <v>15849</v>
      </c>
      <c r="F2498" s="142" t="s">
        <v>2590</v>
      </c>
      <c r="G2498" s="142" t="s">
        <v>2589</v>
      </c>
      <c r="H2498" s="142" t="s">
        <v>18348</v>
      </c>
      <c r="I2498" s="142">
        <v>28</v>
      </c>
      <c r="J2498" s="142">
        <v>0</v>
      </c>
      <c r="K2498" s="142">
        <v>0</v>
      </c>
      <c r="L2498" s="142">
        <v>28</v>
      </c>
      <c r="M2498" s="142">
        <v>0</v>
      </c>
    </row>
    <row r="2499" spans="1:13" x14ac:dyDescent="0.45">
      <c r="A2499" s="142" t="s">
        <v>13065</v>
      </c>
      <c r="B2499" s="142" t="s">
        <v>14497</v>
      </c>
      <c r="C2499" s="142" t="s">
        <v>15847</v>
      </c>
      <c r="D2499" s="142" t="s">
        <v>15848</v>
      </c>
      <c r="E2499" s="142" t="s">
        <v>15849</v>
      </c>
      <c r="F2499" s="142" t="s">
        <v>2590</v>
      </c>
      <c r="G2499" s="142" t="s">
        <v>2589</v>
      </c>
      <c r="H2499" s="142" t="s">
        <v>18349</v>
      </c>
      <c r="I2499" s="142">
        <v>6</v>
      </c>
      <c r="J2499" s="142">
        <v>0</v>
      </c>
      <c r="K2499" s="142">
        <v>0</v>
      </c>
      <c r="L2499" s="142">
        <v>6</v>
      </c>
      <c r="M2499" s="142">
        <v>0</v>
      </c>
    </row>
    <row r="2500" spans="1:13" x14ac:dyDescent="0.45">
      <c r="A2500" s="142" t="s">
        <v>13301</v>
      </c>
      <c r="B2500" s="142" t="s">
        <v>15496</v>
      </c>
      <c r="C2500" s="142" t="s">
        <v>15847</v>
      </c>
      <c r="D2500" s="142" t="s">
        <v>15848</v>
      </c>
      <c r="E2500" s="142" t="s">
        <v>15849</v>
      </c>
      <c r="F2500" s="142" t="s">
        <v>2590</v>
      </c>
      <c r="G2500" s="142" t="s">
        <v>2589</v>
      </c>
      <c r="H2500" s="142" t="s">
        <v>18350</v>
      </c>
      <c r="I2500" s="142">
        <v>185</v>
      </c>
      <c r="J2500" s="142">
        <v>105</v>
      </c>
      <c r="K2500" s="142">
        <v>0</v>
      </c>
      <c r="L2500" s="142">
        <v>54</v>
      </c>
      <c r="M2500" s="142">
        <v>26</v>
      </c>
    </row>
    <row r="2501" spans="1:13" x14ac:dyDescent="0.45">
      <c r="A2501" s="142" t="s">
        <v>13159</v>
      </c>
      <c r="B2501" s="142" t="s">
        <v>14521</v>
      </c>
      <c r="C2501" s="142" t="s">
        <v>15860</v>
      </c>
      <c r="D2501" s="142" t="s">
        <v>15861</v>
      </c>
      <c r="E2501" s="142" t="s">
        <v>15849</v>
      </c>
      <c r="F2501" s="142" t="s">
        <v>2590</v>
      </c>
      <c r="G2501" s="142" t="s">
        <v>2589</v>
      </c>
      <c r="H2501" s="142" t="s">
        <v>18351</v>
      </c>
      <c r="I2501" s="142">
        <v>3</v>
      </c>
      <c r="J2501" s="142">
        <v>0</v>
      </c>
      <c r="K2501" s="142">
        <v>0</v>
      </c>
      <c r="L2501" s="142">
        <v>3</v>
      </c>
      <c r="M2501" s="142">
        <v>0</v>
      </c>
    </row>
    <row r="2502" spans="1:13" x14ac:dyDescent="0.45">
      <c r="A2502" s="142" t="s">
        <v>13119</v>
      </c>
      <c r="B2502" s="142" t="s">
        <v>14451</v>
      </c>
      <c r="C2502" s="142" t="s">
        <v>15860</v>
      </c>
      <c r="D2502" s="142" t="s">
        <v>15861</v>
      </c>
      <c r="E2502" s="142" t="s">
        <v>15849</v>
      </c>
      <c r="F2502" s="142" t="s">
        <v>2590</v>
      </c>
      <c r="G2502" s="142" t="s">
        <v>2589</v>
      </c>
      <c r="H2502" s="142" t="s">
        <v>18352</v>
      </c>
      <c r="I2502" s="142">
        <v>1</v>
      </c>
      <c r="J2502" s="142">
        <v>0</v>
      </c>
      <c r="K2502" s="142">
        <v>0</v>
      </c>
      <c r="L2502" s="142">
        <v>1</v>
      </c>
      <c r="M2502" s="142">
        <v>0</v>
      </c>
    </row>
    <row r="2503" spans="1:13" x14ac:dyDescent="0.45">
      <c r="A2503" s="142" t="s">
        <v>13620</v>
      </c>
      <c r="B2503" s="142" t="s">
        <v>14688</v>
      </c>
      <c r="C2503" s="142" t="s">
        <v>15860</v>
      </c>
      <c r="D2503" s="142" t="s">
        <v>15861</v>
      </c>
      <c r="E2503" s="142" t="s">
        <v>15849</v>
      </c>
      <c r="F2503" s="142" t="s">
        <v>2590</v>
      </c>
      <c r="G2503" s="142" t="s">
        <v>2589</v>
      </c>
      <c r="H2503" s="142" t="s">
        <v>18353</v>
      </c>
      <c r="I2503" s="142">
        <v>19</v>
      </c>
      <c r="J2503" s="142">
        <v>0</v>
      </c>
      <c r="K2503" s="142">
        <v>0</v>
      </c>
      <c r="L2503" s="142">
        <v>19</v>
      </c>
      <c r="M2503" s="142">
        <v>0</v>
      </c>
    </row>
    <row r="2504" spans="1:13" x14ac:dyDescent="0.45">
      <c r="A2504" s="142" t="s">
        <v>13303</v>
      </c>
      <c r="B2504" s="142" t="s">
        <v>15274</v>
      </c>
      <c r="C2504" s="142" t="s">
        <v>15860</v>
      </c>
      <c r="D2504" s="142" t="s">
        <v>15861</v>
      </c>
      <c r="E2504" s="142" t="s">
        <v>15849</v>
      </c>
      <c r="F2504" s="142" t="s">
        <v>2590</v>
      </c>
      <c r="G2504" s="142" t="s">
        <v>2589</v>
      </c>
      <c r="H2504" s="142" t="s">
        <v>18354</v>
      </c>
      <c r="I2504" s="142">
        <v>394</v>
      </c>
      <c r="J2504" s="142">
        <v>68</v>
      </c>
      <c r="K2504" s="142">
        <v>0</v>
      </c>
      <c r="L2504" s="142">
        <v>326</v>
      </c>
      <c r="M2504" s="142">
        <v>0</v>
      </c>
    </row>
    <row r="2505" spans="1:13" x14ac:dyDescent="0.45">
      <c r="A2505" s="142" t="s">
        <v>13085</v>
      </c>
      <c r="B2505" s="142" t="s">
        <v>14460</v>
      </c>
      <c r="C2505" s="142" t="s">
        <v>15860</v>
      </c>
      <c r="D2505" s="142" t="s">
        <v>15861</v>
      </c>
      <c r="E2505" s="142" t="s">
        <v>15849</v>
      </c>
      <c r="F2505" s="142" t="s">
        <v>2590</v>
      </c>
      <c r="G2505" s="142" t="s">
        <v>2589</v>
      </c>
      <c r="H2505" s="142" t="s">
        <v>18355</v>
      </c>
      <c r="I2505" s="142">
        <v>3</v>
      </c>
      <c r="J2505" s="142">
        <v>0</v>
      </c>
      <c r="K2505" s="142">
        <v>0</v>
      </c>
      <c r="L2505" s="142">
        <v>3</v>
      </c>
      <c r="M2505" s="142">
        <v>0</v>
      </c>
    </row>
    <row r="2506" spans="1:13" x14ac:dyDescent="0.45">
      <c r="A2506" s="142" t="s">
        <v>13049</v>
      </c>
      <c r="B2506" s="142" t="s">
        <v>14534</v>
      </c>
      <c r="C2506" s="142" t="s">
        <v>15860</v>
      </c>
      <c r="D2506" s="142" t="s">
        <v>15861</v>
      </c>
      <c r="E2506" s="142" t="s">
        <v>15849</v>
      </c>
      <c r="F2506" s="142" t="s">
        <v>2590</v>
      </c>
      <c r="G2506" s="142" t="s">
        <v>2589</v>
      </c>
      <c r="H2506" s="142" t="s">
        <v>18356</v>
      </c>
      <c r="I2506" s="142">
        <v>1</v>
      </c>
      <c r="J2506" s="142">
        <v>0</v>
      </c>
      <c r="K2506" s="142">
        <v>0</v>
      </c>
      <c r="L2506" s="142">
        <v>1</v>
      </c>
      <c r="M2506" s="142">
        <v>0</v>
      </c>
    </row>
    <row r="2507" spans="1:13" x14ac:dyDescent="0.45">
      <c r="A2507" s="142" t="s">
        <v>13168</v>
      </c>
      <c r="B2507" s="142" t="s">
        <v>14486</v>
      </c>
      <c r="C2507" s="142" t="s">
        <v>15860</v>
      </c>
      <c r="D2507" s="142" t="s">
        <v>15861</v>
      </c>
      <c r="E2507" s="142" t="s">
        <v>15849</v>
      </c>
      <c r="F2507" s="142" t="s">
        <v>2590</v>
      </c>
      <c r="G2507" s="142" t="s">
        <v>2589</v>
      </c>
      <c r="H2507" s="142" t="s">
        <v>18357</v>
      </c>
      <c r="I2507" s="142">
        <v>3</v>
      </c>
      <c r="J2507" s="142">
        <v>0</v>
      </c>
      <c r="K2507" s="142">
        <v>0</v>
      </c>
      <c r="L2507" s="142">
        <v>3</v>
      </c>
      <c r="M2507" s="142">
        <v>0</v>
      </c>
    </row>
    <row r="2508" spans="1:13" x14ac:dyDescent="0.45">
      <c r="A2508" s="142" t="s">
        <v>13500</v>
      </c>
      <c r="B2508" s="142" t="s">
        <v>15422</v>
      </c>
      <c r="C2508" s="142" t="s">
        <v>15847</v>
      </c>
      <c r="D2508" s="142" t="s">
        <v>15848</v>
      </c>
      <c r="E2508" s="142" t="s">
        <v>15849</v>
      </c>
      <c r="F2508" s="142" t="s">
        <v>2590</v>
      </c>
      <c r="G2508" s="142" t="s">
        <v>2589</v>
      </c>
      <c r="H2508" s="142" t="s">
        <v>18358</v>
      </c>
      <c r="I2508" s="142">
        <v>13</v>
      </c>
      <c r="J2508" s="142">
        <v>0</v>
      </c>
      <c r="K2508" s="142">
        <v>0</v>
      </c>
      <c r="L2508" s="142">
        <v>0</v>
      </c>
      <c r="M2508" s="142">
        <v>13</v>
      </c>
    </row>
    <row r="2509" spans="1:13" x14ac:dyDescent="0.45">
      <c r="A2509" s="142" t="s">
        <v>13027</v>
      </c>
      <c r="B2509" s="142" t="s">
        <v>14562</v>
      </c>
      <c r="C2509" s="142" t="s">
        <v>15847</v>
      </c>
      <c r="D2509" s="142" t="s">
        <v>15848</v>
      </c>
      <c r="E2509" s="142" t="s">
        <v>15849</v>
      </c>
      <c r="F2509" s="142" t="s">
        <v>2590</v>
      </c>
      <c r="G2509" s="142" t="s">
        <v>2589</v>
      </c>
      <c r="H2509" s="142" t="s">
        <v>18359</v>
      </c>
      <c r="I2509" s="142">
        <v>3</v>
      </c>
      <c r="J2509" s="142">
        <v>0</v>
      </c>
      <c r="K2509" s="142">
        <v>0</v>
      </c>
      <c r="L2509" s="142">
        <v>3</v>
      </c>
      <c r="M2509" s="142">
        <v>0</v>
      </c>
    </row>
    <row r="2510" spans="1:13" x14ac:dyDescent="0.45">
      <c r="A2510" s="142" t="s">
        <v>13050</v>
      </c>
      <c r="B2510" s="142" t="s">
        <v>15237</v>
      </c>
      <c r="C2510" s="142" t="s">
        <v>15847</v>
      </c>
      <c r="D2510" s="142" t="s">
        <v>15848</v>
      </c>
      <c r="E2510" s="142" t="s">
        <v>15849</v>
      </c>
      <c r="F2510" s="142" t="s">
        <v>2590</v>
      </c>
      <c r="G2510" s="142" t="s">
        <v>2589</v>
      </c>
      <c r="H2510" s="142" t="s">
        <v>18360</v>
      </c>
      <c r="I2510" s="142">
        <v>282</v>
      </c>
      <c r="J2510" s="142">
        <v>207</v>
      </c>
      <c r="K2510" s="142">
        <v>0</v>
      </c>
      <c r="L2510" s="142">
        <v>0</v>
      </c>
      <c r="M2510" s="142">
        <v>75</v>
      </c>
    </row>
    <row r="2511" spans="1:13" x14ac:dyDescent="0.45">
      <c r="A2511" s="142" t="s">
        <v>13028</v>
      </c>
      <c r="B2511" s="142" t="s">
        <v>14462</v>
      </c>
      <c r="C2511" s="142" t="s">
        <v>15847</v>
      </c>
      <c r="D2511" s="142" t="s">
        <v>15848</v>
      </c>
      <c r="E2511" s="142" t="s">
        <v>15849</v>
      </c>
      <c r="F2511" s="142" t="s">
        <v>2590</v>
      </c>
      <c r="G2511" s="142" t="s">
        <v>2589</v>
      </c>
      <c r="H2511" s="142" t="s">
        <v>18361</v>
      </c>
      <c r="I2511" s="142">
        <v>36</v>
      </c>
      <c r="J2511" s="142">
        <v>0</v>
      </c>
      <c r="K2511" s="142">
        <v>0</v>
      </c>
      <c r="L2511" s="142">
        <v>0</v>
      </c>
      <c r="M2511" s="142">
        <v>36</v>
      </c>
    </row>
    <row r="2512" spans="1:13" x14ac:dyDescent="0.45">
      <c r="A2512" s="142" t="s">
        <v>13160</v>
      </c>
      <c r="B2512" s="142" t="s">
        <v>14525</v>
      </c>
      <c r="C2512" s="142" t="s">
        <v>15847</v>
      </c>
      <c r="D2512" s="142" t="s">
        <v>15848</v>
      </c>
      <c r="E2512" s="142" t="s">
        <v>15849</v>
      </c>
      <c r="F2512" s="142" t="s">
        <v>2590</v>
      </c>
      <c r="G2512" s="142" t="s">
        <v>2589</v>
      </c>
      <c r="H2512" s="142" t="s">
        <v>18362</v>
      </c>
      <c r="I2512" s="142">
        <v>6</v>
      </c>
      <c r="J2512" s="142">
        <v>0</v>
      </c>
      <c r="K2512" s="142">
        <v>0</v>
      </c>
      <c r="L2512" s="142">
        <v>6</v>
      </c>
      <c r="M2512" s="142">
        <v>0</v>
      </c>
    </row>
    <row r="2513" spans="1:13" x14ac:dyDescent="0.45">
      <c r="A2513" s="142" t="s">
        <v>13003</v>
      </c>
      <c r="B2513" s="142" t="s">
        <v>15245</v>
      </c>
      <c r="C2513" s="142" t="s">
        <v>15847</v>
      </c>
      <c r="D2513" s="142" t="s">
        <v>15848</v>
      </c>
      <c r="E2513" s="142" t="s">
        <v>15849</v>
      </c>
      <c r="F2513" s="142" t="s">
        <v>2590</v>
      </c>
      <c r="G2513" s="142" t="s">
        <v>2589</v>
      </c>
      <c r="H2513" s="142" t="s">
        <v>18363</v>
      </c>
      <c r="I2513" s="142">
        <v>183</v>
      </c>
      <c r="J2513" s="142">
        <v>0</v>
      </c>
      <c r="K2513" s="142">
        <v>0</v>
      </c>
      <c r="L2513" s="142">
        <v>172</v>
      </c>
      <c r="M2513" s="142">
        <v>11</v>
      </c>
    </row>
    <row r="2514" spans="1:13" x14ac:dyDescent="0.45">
      <c r="A2514" s="142" t="s">
        <v>13066</v>
      </c>
      <c r="B2514" s="142" t="s">
        <v>14459</v>
      </c>
      <c r="C2514" s="142" t="s">
        <v>15847</v>
      </c>
      <c r="D2514" s="142" t="s">
        <v>15848</v>
      </c>
      <c r="E2514" s="142" t="s">
        <v>15849</v>
      </c>
      <c r="F2514" s="142" t="s">
        <v>2590</v>
      </c>
      <c r="G2514" s="142" t="s">
        <v>2589</v>
      </c>
      <c r="H2514" s="142" t="s">
        <v>18364</v>
      </c>
      <c r="I2514" s="142">
        <v>35</v>
      </c>
      <c r="J2514" s="142">
        <v>0</v>
      </c>
      <c r="K2514" s="142">
        <v>0</v>
      </c>
      <c r="L2514" s="142">
        <v>35</v>
      </c>
      <c r="M2514" s="142">
        <v>0</v>
      </c>
    </row>
    <row r="2515" spans="1:13" x14ac:dyDescent="0.45">
      <c r="A2515" s="142" t="s">
        <v>13076</v>
      </c>
      <c r="B2515" s="142" t="s">
        <v>14636</v>
      </c>
      <c r="C2515" s="142" t="s">
        <v>15847</v>
      </c>
      <c r="D2515" s="142" t="s">
        <v>15848</v>
      </c>
      <c r="E2515" s="142" t="s">
        <v>15849</v>
      </c>
      <c r="F2515" s="142" t="s">
        <v>2590</v>
      </c>
      <c r="G2515" s="142" t="s">
        <v>2589</v>
      </c>
      <c r="H2515" s="142" t="s">
        <v>18365</v>
      </c>
      <c r="I2515" s="142">
        <v>10</v>
      </c>
      <c r="J2515" s="142">
        <v>0</v>
      </c>
      <c r="K2515" s="142">
        <v>0</v>
      </c>
      <c r="L2515" s="142">
        <v>0</v>
      </c>
      <c r="M2515" s="142">
        <v>10</v>
      </c>
    </row>
    <row r="2516" spans="1:13" x14ac:dyDescent="0.45">
      <c r="A2516" s="142" t="s">
        <v>13331</v>
      </c>
      <c r="B2516" s="142" t="s">
        <v>14682</v>
      </c>
      <c r="C2516" s="142" t="s">
        <v>15860</v>
      </c>
      <c r="D2516" s="142" t="s">
        <v>15861</v>
      </c>
      <c r="E2516" s="142" t="s">
        <v>15849</v>
      </c>
      <c r="F2516" s="142" t="s">
        <v>2590</v>
      </c>
      <c r="G2516" s="142" t="s">
        <v>2589</v>
      </c>
      <c r="H2516" s="142" t="s">
        <v>18366</v>
      </c>
      <c r="I2516" s="142">
        <v>24</v>
      </c>
      <c r="J2516" s="142">
        <v>24</v>
      </c>
      <c r="K2516" s="142">
        <v>0</v>
      </c>
      <c r="L2516" s="142">
        <v>0</v>
      </c>
      <c r="M2516" s="142">
        <v>0</v>
      </c>
    </row>
    <row r="2517" spans="1:13" x14ac:dyDescent="0.45">
      <c r="A2517" s="142" t="s">
        <v>13190</v>
      </c>
      <c r="B2517" s="142" t="s">
        <v>14617</v>
      </c>
      <c r="C2517" s="142" t="s">
        <v>15847</v>
      </c>
      <c r="D2517" s="142" t="s">
        <v>15848</v>
      </c>
      <c r="E2517" s="142" t="s">
        <v>15849</v>
      </c>
      <c r="F2517" s="142" t="s">
        <v>2590</v>
      </c>
      <c r="G2517" s="142" t="s">
        <v>2589</v>
      </c>
      <c r="H2517" s="142" t="s">
        <v>18367</v>
      </c>
      <c r="I2517" s="142">
        <v>74</v>
      </c>
      <c r="J2517" s="142">
        <v>50</v>
      </c>
      <c r="K2517" s="142">
        <v>0</v>
      </c>
      <c r="L2517" s="142">
        <v>0</v>
      </c>
      <c r="M2517" s="142">
        <v>24</v>
      </c>
    </row>
    <row r="2518" spans="1:13" x14ac:dyDescent="0.45">
      <c r="A2518" s="142" t="s">
        <v>13029</v>
      </c>
      <c r="B2518" s="142" t="s">
        <v>14665</v>
      </c>
      <c r="C2518" s="142" t="s">
        <v>15847</v>
      </c>
      <c r="D2518" s="142" t="s">
        <v>15848</v>
      </c>
      <c r="E2518" s="142" t="s">
        <v>15849</v>
      </c>
      <c r="F2518" s="142" t="s">
        <v>2590</v>
      </c>
      <c r="G2518" s="142" t="s">
        <v>2589</v>
      </c>
      <c r="H2518" s="142" t="s">
        <v>18368</v>
      </c>
      <c r="I2518" s="142">
        <v>7</v>
      </c>
      <c r="J2518" s="142">
        <v>0</v>
      </c>
      <c r="K2518" s="142">
        <v>0</v>
      </c>
      <c r="L2518" s="142">
        <v>0</v>
      </c>
      <c r="M2518" s="142">
        <v>7</v>
      </c>
    </row>
    <row r="2519" spans="1:13" x14ac:dyDescent="0.45">
      <c r="A2519" s="142" t="s">
        <v>13621</v>
      </c>
      <c r="B2519" s="142" t="s">
        <v>14591</v>
      </c>
      <c r="C2519" s="142" t="s">
        <v>15847</v>
      </c>
      <c r="D2519" s="142" t="s">
        <v>15848</v>
      </c>
      <c r="E2519" s="142" t="s">
        <v>15849</v>
      </c>
      <c r="F2519" s="142" t="s">
        <v>2590</v>
      </c>
      <c r="G2519" s="142" t="s">
        <v>2589</v>
      </c>
      <c r="H2519" s="142" t="s">
        <v>18369</v>
      </c>
      <c r="I2519" s="142">
        <v>5936</v>
      </c>
      <c r="J2519" s="142">
        <v>4179</v>
      </c>
      <c r="K2519" s="142">
        <v>0</v>
      </c>
      <c r="L2519" s="142">
        <v>1564</v>
      </c>
      <c r="M2519" s="142">
        <v>193</v>
      </c>
    </row>
    <row r="2520" spans="1:13" x14ac:dyDescent="0.45">
      <c r="A2520" s="142" t="s">
        <v>13007</v>
      </c>
      <c r="B2520" s="142" t="s">
        <v>15262</v>
      </c>
      <c r="C2520" s="142" t="s">
        <v>15847</v>
      </c>
      <c r="D2520" s="142" t="s">
        <v>15848</v>
      </c>
      <c r="E2520" s="142" t="s">
        <v>15849</v>
      </c>
      <c r="F2520" s="142" t="s">
        <v>2590</v>
      </c>
      <c r="G2520" s="142" t="s">
        <v>2589</v>
      </c>
      <c r="H2520" s="142" t="s">
        <v>18370</v>
      </c>
      <c r="I2520" s="142">
        <v>8</v>
      </c>
      <c r="J2520" s="142">
        <v>0</v>
      </c>
      <c r="K2520" s="142">
        <v>0</v>
      </c>
      <c r="L2520" s="142">
        <v>0</v>
      </c>
      <c r="M2520" s="142">
        <v>8</v>
      </c>
    </row>
    <row r="2521" spans="1:13" x14ac:dyDescent="0.45">
      <c r="A2521" s="142" t="s">
        <v>13054</v>
      </c>
      <c r="B2521" s="142" t="s">
        <v>15604</v>
      </c>
      <c r="C2521" s="142" t="s">
        <v>15847</v>
      </c>
      <c r="D2521" s="142" t="s">
        <v>15848</v>
      </c>
      <c r="E2521" s="142" t="s">
        <v>15849</v>
      </c>
      <c r="F2521" s="142" t="s">
        <v>2590</v>
      </c>
      <c r="G2521" s="142" t="s">
        <v>2589</v>
      </c>
      <c r="H2521" s="142" t="s">
        <v>18371</v>
      </c>
      <c r="I2521" s="142">
        <v>2</v>
      </c>
      <c r="J2521" s="142">
        <v>0</v>
      </c>
      <c r="K2521" s="142">
        <v>0</v>
      </c>
      <c r="L2521" s="142">
        <v>0</v>
      </c>
      <c r="M2521" s="142">
        <v>2</v>
      </c>
    </row>
    <row r="2522" spans="1:13" x14ac:dyDescent="0.45">
      <c r="A2522" s="142" t="s">
        <v>13033</v>
      </c>
      <c r="B2522" s="142" t="s">
        <v>15276</v>
      </c>
      <c r="C2522" s="142" t="s">
        <v>15847</v>
      </c>
      <c r="D2522" s="142" t="s">
        <v>15848</v>
      </c>
      <c r="E2522" s="142" t="s">
        <v>15849</v>
      </c>
      <c r="F2522" s="142" t="s">
        <v>2590</v>
      </c>
      <c r="G2522" s="142" t="s">
        <v>2589</v>
      </c>
      <c r="H2522" s="142" t="s">
        <v>18372</v>
      </c>
      <c r="I2522" s="142">
        <v>135</v>
      </c>
      <c r="J2522" s="142">
        <v>112</v>
      </c>
      <c r="K2522" s="142">
        <v>0</v>
      </c>
      <c r="L2522" s="142">
        <v>0</v>
      </c>
      <c r="M2522" s="142">
        <v>23</v>
      </c>
    </row>
    <row r="2523" spans="1:13" x14ac:dyDescent="0.45">
      <c r="A2523" s="142" t="s">
        <v>13037</v>
      </c>
      <c r="B2523" s="142" t="s">
        <v>14519</v>
      </c>
      <c r="C2523" s="142" t="s">
        <v>15847</v>
      </c>
      <c r="D2523" s="142" t="s">
        <v>15848</v>
      </c>
      <c r="E2523" s="142" t="s">
        <v>15849</v>
      </c>
      <c r="F2523" s="142" t="s">
        <v>2590</v>
      </c>
      <c r="G2523" s="142" t="s">
        <v>2589</v>
      </c>
      <c r="H2523" s="142" t="s">
        <v>18373</v>
      </c>
      <c r="I2523" s="142">
        <v>13</v>
      </c>
      <c r="J2523" s="142">
        <v>0</v>
      </c>
      <c r="K2523" s="142">
        <v>0</v>
      </c>
      <c r="L2523" s="142">
        <v>13</v>
      </c>
      <c r="M2523" s="142">
        <v>0</v>
      </c>
    </row>
    <row r="2524" spans="1:13" x14ac:dyDescent="0.45">
      <c r="A2524" s="142" t="s">
        <v>13038</v>
      </c>
      <c r="B2524" s="142" t="s">
        <v>14646</v>
      </c>
      <c r="C2524" s="142" t="s">
        <v>15847</v>
      </c>
      <c r="D2524" s="142" t="s">
        <v>15848</v>
      </c>
      <c r="E2524" s="142" t="s">
        <v>15849</v>
      </c>
      <c r="F2524" s="142" t="s">
        <v>2590</v>
      </c>
      <c r="G2524" s="142" t="s">
        <v>2589</v>
      </c>
      <c r="H2524" s="142" t="s">
        <v>18374</v>
      </c>
      <c r="I2524" s="142">
        <v>112</v>
      </c>
      <c r="J2524" s="142">
        <v>55</v>
      </c>
      <c r="K2524" s="142">
        <v>0</v>
      </c>
      <c r="L2524" s="142">
        <v>0</v>
      </c>
      <c r="M2524" s="142">
        <v>57</v>
      </c>
    </row>
    <row r="2525" spans="1:13" x14ac:dyDescent="0.45">
      <c r="A2525" s="142" t="s">
        <v>13039</v>
      </c>
      <c r="B2525" s="142" t="s">
        <v>14647</v>
      </c>
      <c r="C2525" s="142" t="s">
        <v>15847</v>
      </c>
      <c r="D2525" s="142" t="s">
        <v>15848</v>
      </c>
      <c r="E2525" s="142" t="s">
        <v>15849</v>
      </c>
      <c r="F2525" s="142" t="s">
        <v>2590</v>
      </c>
      <c r="G2525" s="142" t="s">
        <v>2589</v>
      </c>
      <c r="H2525" s="142" t="s">
        <v>18375</v>
      </c>
      <c r="I2525" s="142">
        <v>68</v>
      </c>
      <c r="J2525" s="142">
        <v>68</v>
      </c>
      <c r="K2525" s="142">
        <v>0</v>
      </c>
      <c r="L2525" s="142">
        <v>0</v>
      </c>
      <c r="M2525" s="142">
        <v>0</v>
      </c>
    </row>
    <row r="2526" spans="1:13" x14ac:dyDescent="0.45">
      <c r="A2526" s="142" t="s">
        <v>13009</v>
      </c>
      <c r="B2526" s="142" t="s">
        <v>15256</v>
      </c>
      <c r="C2526" s="142" t="s">
        <v>15847</v>
      </c>
      <c r="D2526" s="142" t="s">
        <v>15848</v>
      </c>
      <c r="E2526" s="142" t="s">
        <v>15849</v>
      </c>
      <c r="F2526" s="142" t="s">
        <v>2590</v>
      </c>
      <c r="G2526" s="142" t="s">
        <v>2589</v>
      </c>
      <c r="H2526" s="142" t="s">
        <v>18376</v>
      </c>
      <c r="I2526" s="142">
        <v>110</v>
      </c>
      <c r="J2526" s="142">
        <v>60</v>
      </c>
      <c r="K2526" s="142">
        <v>0</v>
      </c>
      <c r="L2526" s="142">
        <v>50</v>
      </c>
      <c r="M2526" s="142">
        <v>0</v>
      </c>
    </row>
    <row r="2527" spans="1:13" x14ac:dyDescent="0.45">
      <c r="A2527" s="142" t="s">
        <v>13305</v>
      </c>
      <c r="B2527" s="142" t="s">
        <v>15503</v>
      </c>
      <c r="C2527" s="142" t="s">
        <v>15860</v>
      </c>
      <c r="D2527" s="142" t="s">
        <v>15861</v>
      </c>
      <c r="E2527" s="142" t="s">
        <v>15849</v>
      </c>
      <c r="F2527" s="142" t="s">
        <v>2590</v>
      </c>
      <c r="G2527" s="142" t="s">
        <v>2589</v>
      </c>
      <c r="H2527" s="142" t="s">
        <v>18377</v>
      </c>
      <c r="I2527" s="142">
        <v>7</v>
      </c>
      <c r="J2527" s="142">
        <v>7</v>
      </c>
      <c r="K2527" s="142">
        <v>0</v>
      </c>
      <c r="L2527" s="142">
        <v>0</v>
      </c>
      <c r="M2527" s="142">
        <v>0</v>
      </c>
    </row>
    <row r="2528" spans="1:13" x14ac:dyDescent="0.45">
      <c r="A2528" s="142" t="s">
        <v>13058</v>
      </c>
      <c r="B2528" s="142" t="s">
        <v>14584</v>
      </c>
      <c r="C2528" s="142" t="s">
        <v>15847</v>
      </c>
      <c r="D2528" s="142" t="s">
        <v>15848</v>
      </c>
      <c r="E2528" s="142" t="s">
        <v>15849</v>
      </c>
      <c r="F2528" s="142" t="s">
        <v>2590</v>
      </c>
      <c r="G2528" s="142" t="s">
        <v>2589</v>
      </c>
      <c r="H2528" s="142" t="s">
        <v>18378</v>
      </c>
      <c r="I2528" s="142">
        <v>4965</v>
      </c>
      <c r="J2528" s="142">
        <v>4070</v>
      </c>
      <c r="K2528" s="142">
        <v>0</v>
      </c>
      <c r="L2528" s="142">
        <v>405</v>
      </c>
      <c r="M2528" s="142">
        <v>490</v>
      </c>
    </row>
    <row r="2529" spans="1:13" x14ac:dyDescent="0.45">
      <c r="A2529" s="142" t="s">
        <v>13041</v>
      </c>
      <c r="B2529" s="142" t="s">
        <v>14441</v>
      </c>
      <c r="C2529" s="142" t="s">
        <v>15847</v>
      </c>
      <c r="D2529" s="142" t="s">
        <v>15848</v>
      </c>
      <c r="E2529" s="142" t="s">
        <v>15849</v>
      </c>
      <c r="F2529" s="142" t="s">
        <v>2590</v>
      </c>
      <c r="G2529" s="142" t="s">
        <v>2589</v>
      </c>
      <c r="H2529" s="142" t="s">
        <v>18379</v>
      </c>
      <c r="I2529" s="142">
        <v>26</v>
      </c>
      <c r="J2529" s="142">
        <v>0</v>
      </c>
      <c r="K2529" s="142">
        <v>0</v>
      </c>
      <c r="L2529" s="142">
        <v>0</v>
      </c>
      <c r="M2529" s="142">
        <v>26</v>
      </c>
    </row>
    <row r="2530" spans="1:13" x14ac:dyDescent="0.45">
      <c r="A2530" s="142" t="s">
        <v>13205</v>
      </c>
      <c r="B2530" s="142" t="s">
        <v>14496</v>
      </c>
      <c r="C2530" s="142" t="s">
        <v>15847</v>
      </c>
      <c r="D2530" s="142" t="s">
        <v>15848</v>
      </c>
      <c r="E2530" s="142" t="s">
        <v>15849</v>
      </c>
      <c r="F2530" s="142" t="s">
        <v>2590</v>
      </c>
      <c r="G2530" s="142" t="s">
        <v>2589</v>
      </c>
      <c r="H2530" s="142" t="s">
        <v>18380</v>
      </c>
      <c r="I2530" s="142">
        <v>6</v>
      </c>
      <c r="J2530" s="142">
        <v>6</v>
      </c>
      <c r="K2530" s="142">
        <v>0</v>
      </c>
      <c r="L2530" s="142">
        <v>0</v>
      </c>
      <c r="M2530" s="142">
        <v>0</v>
      </c>
    </row>
    <row r="2531" spans="1:13" x14ac:dyDescent="0.45">
      <c r="A2531" s="142" t="s">
        <v>13012</v>
      </c>
      <c r="B2531" s="142" t="s">
        <v>15337</v>
      </c>
      <c r="C2531" s="142" t="s">
        <v>15847</v>
      </c>
      <c r="D2531" s="142" t="s">
        <v>15848</v>
      </c>
      <c r="E2531" s="142" t="s">
        <v>15849</v>
      </c>
      <c r="F2531" s="142" t="s">
        <v>2590</v>
      </c>
      <c r="G2531" s="142" t="s">
        <v>2589</v>
      </c>
      <c r="H2531" s="142" t="s">
        <v>18381</v>
      </c>
      <c r="I2531" s="142">
        <v>1262</v>
      </c>
      <c r="J2531" s="142">
        <v>1118</v>
      </c>
      <c r="K2531" s="142">
        <v>0</v>
      </c>
      <c r="L2531" s="142">
        <v>9</v>
      </c>
      <c r="M2531" s="142">
        <v>135</v>
      </c>
    </row>
    <row r="2532" spans="1:13" x14ac:dyDescent="0.45">
      <c r="A2532" s="142" t="s">
        <v>13622</v>
      </c>
      <c r="B2532" s="142" t="s">
        <v>14652</v>
      </c>
      <c r="C2532" s="142" t="s">
        <v>15860</v>
      </c>
      <c r="D2532" s="142" t="s">
        <v>15861</v>
      </c>
      <c r="E2532" s="142" t="s">
        <v>15849</v>
      </c>
      <c r="F2532" s="142" t="s">
        <v>2590</v>
      </c>
      <c r="G2532" s="142" t="s">
        <v>2589</v>
      </c>
      <c r="H2532" s="142" t="s">
        <v>18382</v>
      </c>
      <c r="I2532" s="142">
        <v>35</v>
      </c>
      <c r="J2532" s="142">
        <v>10</v>
      </c>
      <c r="K2532" s="142">
        <v>0</v>
      </c>
      <c r="L2532" s="142">
        <v>25</v>
      </c>
      <c r="M2532" s="142">
        <v>0</v>
      </c>
    </row>
    <row r="2533" spans="1:13" x14ac:dyDescent="0.45">
      <c r="A2533" s="142" t="s">
        <v>13060</v>
      </c>
      <c r="B2533" s="142" t="s">
        <v>14470</v>
      </c>
      <c r="C2533" s="142" t="s">
        <v>15847</v>
      </c>
      <c r="D2533" s="142" t="s">
        <v>15848</v>
      </c>
      <c r="E2533" s="142" t="s">
        <v>15849</v>
      </c>
      <c r="F2533" s="142" t="s">
        <v>2590</v>
      </c>
      <c r="G2533" s="142" t="s">
        <v>2589</v>
      </c>
      <c r="H2533" s="142" t="s">
        <v>18383</v>
      </c>
      <c r="I2533" s="142">
        <v>7360</v>
      </c>
      <c r="J2533" s="142">
        <v>5651</v>
      </c>
      <c r="K2533" s="142">
        <v>0</v>
      </c>
      <c r="L2533" s="142">
        <v>1454</v>
      </c>
      <c r="M2533" s="142">
        <v>255</v>
      </c>
    </row>
    <row r="2534" spans="1:13" x14ac:dyDescent="0.45">
      <c r="A2534" s="142" t="s">
        <v>13220</v>
      </c>
      <c r="B2534" s="142" t="s">
        <v>15505</v>
      </c>
      <c r="C2534" s="142" t="s">
        <v>15860</v>
      </c>
      <c r="D2534" s="142" t="s">
        <v>15861</v>
      </c>
      <c r="E2534" s="142" t="s">
        <v>15849</v>
      </c>
      <c r="F2534" s="142" t="s">
        <v>2590</v>
      </c>
      <c r="G2534" s="142" t="s">
        <v>2589</v>
      </c>
      <c r="H2534" s="142" t="s">
        <v>18384</v>
      </c>
      <c r="I2534" s="142">
        <v>29</v>
      </c>
      <c r="J2534" s="142">
        <v>0</v>
      </c>
      <c r="K2534" s="142">
        <v>0</v>
      </c>
      <c r="L2534" s="142">
        <v>29</v>
      </c>
      <c r="M2534" s="142">
        <v>0</v>
      </c>
    </row>
    <row r="2535" spans="1:13" x14ac:dyDescent="0.45">
      <c r="A2535" s="142" t="s">
        <v>13285</v>
      </c>
      <c r="B2535" s="142" t="s">
        <v>15158</v>
      </c>
      <c r="C2535" s="142" t="s">
        <v>15860</v>
      </c>
      <c r="D2535" s="142" t="s">
        <v>15861</v>
      </c>
      <c r="E2535" s="142" t="s">
        <v>15849</v>
      </c>
      <c r="F2535" s="142" t="s">
        <v>2590</v>
      </c>
      <c r="G2535" s="142" t="s">
        <v>2589</v>
      </c>
      <c r="H2535" s="142" t="s">
        <v>18385</v>
      </c>
      <c r="I2535" s="142">
        <v>29</v>
      </c>
      <c r="J2535" s="142">
        <v>0</v>
      </c>
      <c r="K2535" s="142">
        <v>0</v>
      </c>
      <c r="L2535" s="142">
        <v>29</v>
      </c>
      <c r="M2535" s="142">
        <v>0</v>
      </c>
    </row>
    <row r="2536" spans="1:13" x14ac:dyDescent="0.45">
      <c r="A2536" s="142" t="s">
        <v>13014</v>
      </c>
      <c r="B2536" s="142" t="s">
        <v>14505</v>
      </c>
      <c r="C2536" s="142" t="s">
        <v>15847</v>
      </c>
      <c r="D2536" s="142" t="s">
        <v>15848</v>
      </c>
      <c r="E2536" s="142" t="s">
        <v>15849</v>
      </c>
      <c r="F2536" s="142" t="s">
        <v>2590</v>
      </c>
      <c r="G2536" s="142" t="s">
        <v>2589</v>
      </c>
      <c r="H2536" s="142" t="s">
        <v>18386</v>
      </c>
      <c r="I2536" s="142">
        <v>276</v>
      </c>
      <c r="J2536" s="142">
        <v>234</v>
      </c>
      <c r="K2536" s="142">
        <v>0</v>
      </c>
      <c r="L2536" s="142">
        <v>0</v>
      </c>
      <c r="M2536" s="142">
        <v>42</v>
      </c>
    </row>
    <row r="2537" spans="1:13" x14ac:dyDescent="0.45">
      <c r="A2537" s="142" t="s">
        <v>13623</v>
      </c>
      <c r="B2537" s="142" t="s">
        <v>14908</v>
      </c>
      <c r="C2537" s="142" t="s">
        <v>15860</v>
      </c>
      <c r="D2537" s="142" t="s">
        <v>15861</v>
      </c>
      <c r="E2537" s="142" t="s">
        <v>15849</v>
      </c>
      <c r="F2537" s="142" t="s">
        <v>2590</v>
      </c>
      <c r="G2537" s="142" t="s">
        <v>2589</v>
      </c>
      <c r="H2537" s="142" t="s">
        <v>18387</v>
      </c>
      <c r="I2537" s="142">
        <v>3</v>
      </c>
      <c r="J2537" s="142">
        <v>3</v>
      </c>
      <c r="K2537" s="142">
        <v>0</v>
      </c>
      <c r="L2537" s="142">
        <v>0</v>
      </c>
      <c r="M2537" s="142">
        <v>0</v>
      </c>
    </row>
    <row r="2538" spans="1:13" x14ac:dyDescent="0.45">
      <c r="A2538" s="142" t="s">
        <v>13174</v>
      </c>
      <c r="B2538" s="142" t="s">
        <v>15280</v>
      </c>
      <c r="C2538" s="142" t="s">
        <v>15847</v>
      </c>
      <c r="D2538" s="142" t="s">
        <v>15848</v>
      </c>
      <c r="E2538" s="142" t="s">
        <v>15849</v>
      </c>
      <c r="F2538" s="142" t="s">
        <v>2590</v>
      </c>
      <c r="G2538" s="142" t="s">
        <v>2589</v>
      </c>
      <c r="H2538" s="142" t="s">
        <v>18388</v>
      </c>
      <c r="I2538" s="142">
        <v>107</v>
      </c>
      <c r="J2538" s="142">
        <v>48</v>
      </c>
      <c r="K2538" s="142">
        <v>0</v>
      </c>
      <c r="L2538" s="142">
        <v>0</v>
      </c>
      <c r="M2538" s="142">
        <v>59</v>
      </c>
    </row>
    <row r="2539" spans="1:13" x14ac:dyDescent="0.45">
      <c r="A2539" s="142" t="s">
        <v>13016</v>
      </c>
      <c r="B2539" s="142" t="s">
        <v>14535</v>
      </c>
      <c r="C2539" s="142" t="s">
        <v>15860</v>
      </c>
      <c r="D2539" s="142" t="s">
        <v>15861</v>
      </c>
      <c r="E2539" s="142" t="s">
        <v>15849</v>
      </c>
      <c r="F2539" s="142" t="s">
        <v>2590</v>
      </c>
      <c r="G2539" s="142" t="s">
        <v>2589</v>
      </c>
      <c r="H2539" s="142" t="s">
        <v>18389</v>
      </c>
      <c r="I2539" s="142">
        <v>34</v>
      </c>
      <c r="J2539" s="142">
        <v>0</v>
      </c>
      <c r="K2539" s="142">
        <v>0</v>
      </c>
      <c r="L2539" s="142">
        <v>34</v>
      </c>
      <c r="M2539" s="142">
        <v>0</v>
      </c>
    </row>
    <row r="2540" spans="1:13" x14ac:dyDescent="0.45">
      <c r="A2540" s="142" t="s">
        <v>13542</v>
      </c>
      <c r="B2540" s="142" t="s">
        <v>15368</v>
      </c>
      <c r="C2540" s="142" t="s">
        <v>15847</v>
      </c>
      <c r="D2540" s="142" t="s">
        <v>15848</v>
      </c>
      <c r="E2540" s="142" t="s">
        <v>15849</v>
      </c>
      <c r="F2540" s="142" t="s">
        <v>2590</v>
      </c>
      <c r="G2540" s="142" t="s">
        <v>2589</v>
      </c>
      <c r="H2540" s="142" t="s">
        <v>18390</v>
      </c>
      <c r="I2540" s="142">
        <v>45</v>
      </c>
      <c r="J2540" s="142">
        <v>36</v>
      </c>
      <c r="K2540" s="142">
        <v>0</v>
      </c>
      <c r="L2540" s="142">
        <v>0</v>
      </c>
      <c r="M2540" s="142">
        <v>9</v>
      </c>
    </row>
    <row r="2541" spans="1:13" x14ac:dyDescent="0.45">
      <c r="A2541" s="142" t="s">
        <v>13021</v>
      </c>
      <c r="B2541" s="142" t="s">
        <v>15501</v>
      </c>
      <c r="C2541" s="142" t="s">
        <v>15847</v>
      </c>
      <c r="D2541" s="142" t="s">
        <v>15848</v>
      </c>
      <c r="E2541" s="142" t="s">
        <v>15849</v>
      </c>
      <c r="F2541" s="142" t="s">
        <v>5552</v>
      </c>
      <c r="G2541" s="142" t="s">
        <v>5551</v>
      </c>
      <c r="H2541" s="142" t="s">
        <v>18391</v>
      </c>
      <c r="I2541" s="142">
        <v>1</v>
      </c>
      <c r="J2541" s="142">
        <v>0</v>
      </c>
      <c r="K2541" s="142">
        <v>0</v>
      </c>
      <c r="L2541" s="142">
        <v>0</v>
      </c>
      <c r="M2541" s="142">
        <v>1</v>
      </c>
    </row>
    <row r="2542" spans="1:13" x14ac:dyDescent="0.45">
      <c r="A2542" s="142" t="s">
        <v>13023</v>
      </c>
      <c r="B2542" s="142" t="s">
        <v>15571</v>
      </c>
      <c r="C2542" s="142" t="s">
        <v>15847</v>
      </c>
      <c r="D2542" s="142" t="s">
        <v>15848</v>
      </c>
      <c r="E2542" s="142" t="s">
        <v>15849</v>
      </c>
      <c r="F2542" s="142" t="s">
        <v>5552</v>
      </c>
      <c r="G2542" s="142" t="s">
        <v>5551</v>
      </c>
      <c r="H2542" s="142" t="s">
        <v>18392</v>
      </c>
      <c r="I2542" s="142">
        <v>103</v>
      </c>
      <c r="J2542" s="142">
        <v>0</v>
      </c>
      <c r="K2542" s="142">
        <v>0</v>
      </c>
      <c r="L2542" s="142">
        <v>103</v>
      </c>
      <c r="M2542" s="142">
        <v>0</v>
      </c>
    </row>
    <row r="2543" spans="1:13" x14ac:dyDescent="0.45">
      <c r="A2543" s="142" t="s">
        <v>13065</v>
      </c>
      <c r="B2543" s="142" t="s">
        <v>14497</v>
      </c>
      <c r="C2543" s="142" t="s">
        <v>15847</v>
      </c>
      <c r="D2543" s="142" t="s">
        <v>15848</v>
      </c>
      <c r="E2543" s="142" t="s">
        <v>15849</v>
      </c>
      <c r="F2543" s="142" t="s">
        <v>5552</v>
      </c>
      <c r="G2543" s="142" t="s">
        <v>5551</v>
      </c>
      <c r="H2543" s="142" t="s">
        <v>18393</v>
      </c>
      <c r="I2543" s="142">
        <v>14</v>
      </c>
      <c r="J2543" s="142">
        <v>0</v>
      </c>
      <c r="K2543" s="142">
        <v>0</v>
      </c>
      <c r="L2543" s="142">
        <v>14</v>
      </c>
      <c r="M2543" s="142">
        <v>0</v>
      </c>
    </row>
    <row r="2544" spans="1:13" x14ac:dyDescent="0.45">
      <c r="A2544" s="142" t="s">
        <v>13074</v>
      </c>
      <c r="B2544" s="142" t="s">
        <v>15405</v>
      </c>
      <c r="C2544" s="142" t="s">
        <v>15847</v>
      </c>
      <c r="D2544" s="142" t="s">
        <v>15848</v>
      </c>
      <c r="E2544" s="142" t="s">
        <v>15849</v>
      </c>
      <c r="F2544" s="142" t="s">
        <v>5552</v>
      </c>
      <c r="G2544" s="142" t="s">
        <v>5551</v>
      </c>
      <c r="H2544" s="142" t="s">
        <v>18394</v>
      </c>
      <c r="I2544" s="142">
        <v>38</v>
      </c>
      <c r="J2544" s="142">
        <v>29</v>
      </c>
      <c r="K2544" s="142">
        <v>0</v>
      </c>
      <c r="L2544" s="142">
        <v>0</v>
      </c>
      <c r="M2544" s="142">
        <v>9</v>
      </c>
    </row>
    <row r="2545" spans="1:13" x14ac:dyDescent="0.45">
      <c r="A2545" s="142" t="s">
        <v>13049</v>
      </c>
      <c r="B2545" s="142" t="s">
        <v>14534</v>
      </c>
      <c r="C2545" s="142" t="s">
        <v>15860</v>
      </c>
      <c r="D2545" s="142" t="s">
        <v>15861</v>
      </c>
      <c r="E2545" s="142" t="s">
        <v>15849</v>
      </c>
      <c r="F2545" s="142" t="s">
        <v>5552</v>
      </c>
      <c r="G2545" s="142" t="s">
        <v>5551</v>
      </c>
      <c r="H2545" s="142" t="s">
        <v>18395</v>
      </c>
      <c r="I2545" s="142">
        <v>19</v>
      </c>
      <c r="J2545" s="142">
        <v>0</v>
      </c>
      <c r="K2545" s="142">
        <v>0</v>
      </c>
      <c r="L2545" s="142">
        <v>19</v>
      </c>
      <c r="M2545" s="142">
        <v>0</v>
      </c>
    </row>
    <row r="2546" spans="1:13" x14ac:dyDescent="0.45">
      <c r="A2546" s="142" t="s">
        <v>13027</v>
      </c>
      <c r="B2546" s="142" t="s">
        <v>14562</v>
      </c>
      <c r="C2546" s="142" t="s">
        <v>15847</v>
      </c>
      <c r="D2546" s="142" t="s">
        <v>15848</v>
      </c>
      <c r="E2546" s="142" t="s">
        <v>15849</v>
      </c>
      <c r="F2546" s="142" t="s">
        <v>5552</v>
      </c>
      <c r="G2546" s="142" t="s">
        <v>5551</v>
      </c>
      <c r="H2546" s="142" t="s">
        <v>18396</v>
      </c>
      <c r="I2546" s="142">
        <v>9</v>
      </c>
      <c r="J2546" s="142">
        <v>0</v>
      </c>
      <c r="K2546" s="142">
        <v>0</v>
      </c>
      <c r="L2546" s="142">
        <v>9</v>
      </c>
      <c r="M2546" s="142">
        <v>0</v>
      </c>
    </row>
    <row r="2547" spans="1:13" x14ac:dyDescent="0.45">
      <c r="A2547" s="142" t="s">
        <v>13028</v>
      </c>
      <c r="B2547" s="142" t="s">
        <v>14462</v>
      </c>
      <c r="C2547" s="142" t="s">
        <v>15847</v>
      </c>
      <c r="D2547" s="142" t="s">
        <v>15848</v>
      </c>
      <c r="E2547" s="142" t="s">
        <v>15849</v>
      </c>
      <c r="F2547" s="142" t="s">
        <v>5552</v>
      </c>
      <c r="G2547" s="142" t="s">
        <v>5551</v>
      </c>
      <c r="H2547" s="142" t="s">
        <v>18397</v>
      </c>
      <c r="I2547" s="142">
        <v>72</v>
      </c>
      <c r="J2547" s="142">
        <v>0</v>
      </c>
      <c r="K2547" s="142">
        <v>0</v>
      </c>
      <c r="L2547" s="142">
        <v>0</v>
      </c>
      <c r="M2547" s="142">
        <v>72</v>
      </c>
    </row>
    <row r="2548" spans="1:13" x14ac:dyDescent="0.45">
      <c r="A2548" s="142" t="s">
        <v>13160</v>
      </c>
      <c r="B2548" s="142" t="s">
        <v>14525</v>
      </c>
      <c r="C2548" s="142" t="s">
        <v>15847</v>
      </c>
      <c r="D2548" s="142" t="s">
        <v>15848</v>
      </c>
      <c r="E2548" s="142" t="s">
        <v>15849</v>
      </c>
      <c r="F2548" s="142" t="s">
        <v>5552</v>
      </c>
      <c r="G2548" s="142" t="s">
        <v>5551</v>
      </c>
      <c r="H2548" s="142" t="s">
        <v>18398</v>
      </c>
      <c r="I2548" s="142">
        <v>3</v>
      </c>
      <c r="J2548" s="142">
        <v>0</v>
      </c>
      <c r="K2548" s="142">
        <v>0</v>
      </c>
      <c r="L2548" s="142">
        <v>3</v>
      </c>
      <c r="M2548" s="142">
        <v>0</v>
      </c>
    </row>
    <row r="2549" spans="1:13" x14ac:dyDescent="0.45">
      <c r="A2549" s="142" t="s">
        <v>13002</v>
      </c>
      <c r="B2549" s="142" t="s">
        <v>15376</v>
      </c>
      <c r="C2549" s="142" t="s">
        <v>15847</v>
      </c>
      <c r="D2549" s="142" t="s">
        <v>15848</v>
      </c>
      <c r="E2549" s="142" t="s">
        <v>15849</v>
      </c>
      <c r="F2549" s="142" t="s">
        <v>5552</v>
      </c>
      <c r="G2549" s="142" t="s">
        <v>5551</v>
      </c>
      <c r="H2549" s="142" t="s">
        <v>18399</v>
      </c>
      <c r="I2549" s="142">
        <v>64</v>
      </c>
      <c r="J2549" s="142">
        <v>32</v>
      </c>
      <c r="K2549" s="142">
        <v>0</v>
      </c>
      <c r="L2549" s="142">
        <v>32</v>
      </c>
      <c r="M2549" s="142">
        <v>0</v>
      </c>
    </row>
    <row r="2550" spans="1:13" x14ac:dyDescent="0.45">
      <c r="A2550" s="142" t="s">
        <v>13003</v>
      </c>
      <c r="B2550" s="142" t="s">
        <v>15245</v>
      </c>
      <c r="C2550" s="142" t="s">
        <v>15847</v>
      </c>
      <c r="D2550" s="142" t="s">
        <v>15848</v>
      </c>
      <c r="E2550" s="142" t="s">
        <v>15849</v>
      </c>
      <c r="F2550" s="142" t="s">
        <v>5552</v>
      </c>
      <c r="G2550" s="142" t="s">
        <v>5551</v>
      </c>
      <c r="H2550" s="142" t="s">
        <v>18400</v>
      </c>
      <c r="I2550" s="142">
        <v>211</v>
      </c>
      <c r="J2550" s="142">
        <v>1</v>
      </c>
      <c r="K2550" s="142">
        <v>0</v>
      </c>
      <c r="L2550" s="142">
        <v>210</v>
      </c>
      <c r="M2550" s="142">
        <v>0</v>
      </c>
    </row>
    <row r="2551" spans="1:13" x14ac:dyDescent="0.45">
      <c r="A2551" s="142" t="s">
        <v>13066</v>
      </c>
      <c r="B2551" s="142" t="s">
        <v>14459</v>
      </c>
      <c r="C2551" s="142" t="s">
        <v>15847</v>
      </c>
      <c r="D2551" s="142" t="s">
        <v>15848</v>
      </c>
      <c r="E2551" s="142" t="s">
        <v>15849</v>
      </c>
      <c r="F2551" s="142" t="s">
        <v>5552</v>
      </c>
      <c r="G2551" s="142" t="s">
        <v>5551</v>
      </c>
      <c r="H2551" s="142" t="s">
        <v>18401</v>
      </c>
      <c r="I2551" s="142">
        <v>17</v>
      </c>
      <c r="J2551" s="142">
        <v>0</v>
      </c>
      <c r="K2551" s="142">
        <v>0</v>
      </c>
      <c r="L2551" s="142">
        <v>17</v>
      </c>
      <c r="M2551" s="142">
        <v>0</v>
      </c>
    </row>
    <row r="2552" spans="1:13" x14ac:dyDescent="0.45">
      <c r="A2552" s="142" t="s">
        <v>13625</v>
      </c>
      <c r="B2552" s="142" t="s">
        <v>15033</v>
      </c>
      <c r="C2552" s="142" t="s">
        <v>15860</v>
      </c>
      <c r="D2552" s="142" t="s">
        <v>15861</v>
      </c>
      <c r="E2552" s="142" t="s">
        <v>15849</v>
      </c>
      <c r="F2552" s="142" t="s">
        <v>5552</v>
      </c>
      <c r="G2552" s="142" t="s">
        <v>5551</v>
      </c>
      <c r="H2552" s="142" t="s">
        <v>18402</v>
      </c>
      <c r="I2552" s="142">
        <v>52</v>
      </c>
      <c r="J2552" s="142">
        <v>52</v>
      </c>
      <c r="K2552" s="142">
        <v>0</v>
      </c>
      <c r="L2552" s="142">
        <v>0</v>
      </c>
      <c r="M2552" s="142">
        <v>0</v>
      </c>
    </row>
    <row r="2553" spans="1:13" x14ac:dyDescent="0.45">
      <c r="A2553" s="142" t="s">
        <v>13007</v>
      </c>
      <c r="B2553" s="142" t="s">
        <v>15262</v>
      </c>
      <c r="C2553" s="142" t="s">
        <v>15847</v>
      </c>
      <c r="D2553" s="142" t="s">
        <v>15848</v>
      </c>
      <c r="E2553" s="142" t="s">
        <v>15849</v>
      </c>
      <c r="F2553" s="142" t="s">
        <v>5552</v>
      </c>
      <c r="G2553" s="142" t="s">
        <v>5551</v>
      </c>
      <c r="H2553" s="142" t="s">
        <v>18403</v>
      </c>
      <c r="I2553" s="142">
        <v>209</v>
      </c>
      <c r="J2553" s="142">
        <v>105</v>
      </c>
      <c r="K2553" s="142">
        <v>0</v>
      </c>
      <c r="L2553" s="142">
        <v>24</v>
      </c>
      <c r="M2553" s="142">
        <v>80</v>
      </c>
    </row>
    <row r="2554" spans="1:13" x14ac:dyDescent="0.45">
      <c r="A2554" s="142" t="s">
        <v>13340</v>
      </c>
      <c r="B2554" s="142" t="s">
        <v>14499</v>
      </c>
      <c r="C2554" s="142" t="s">
        <v>15860</v>
      </c>
      <c r="D2554" s="142" t="s">
        <v>15861</v>
      </c>
      <c r="E2554" s="142" t="s">
        <v>15849</v>
      </c>
      <c r="F2554" s="142" t="s">
        <v>5552</v>
      </c>
      <c r="G2554" s="142" t="s">
        <v>5551</v>
      </c>
      <c r="H2554" s="142" t="s">
        <v>18404</v>
      </c>
      <c r="I2554" s="142">
        <v>12</v>
      </c>
      <c r="J2554" s="142">
        <v>12</v>
      </c>
      <c r="K2554" s="142">
        <v>0</v>
      </c>
      <c r="L2554" s="142">
        <v>0</v>
      </c>
      <c r="M2554" s="142">
        <v>0</v>
      </c>
    </row>
    <row r="2555" spans="1:13" x14ac:dyDescent="0.45">
      <c r="A2555" s="142" t="s">
        <v>13008</v>
      </c>
      <c r="B2555" s="142" t="s">
        <v>15411</v>
      </c>
      <c r="C2555" s="142" t="s">
        <v>15847</v>
      </c>
      <c r="D2555" s="142" t="s">
        <v>15848</v>
      </c>
      <c r="E2555" s="142" t="s">
        <v>15849</v>
      </c>
      <c r="F2555" s="142" t="s">
        <v>5552</v>
      </c>
      <c r="G2555" s="142" t="s">
        <v>5551</v>
      </c>
      <c r="H2555" s="142" t="s">
        <v>18405</v>
      </c>
      <c r="I2555" s="142">
        <v>20</v>
      </c>
      <c r="J2555" s="142">
        <v>0</v>
      </c>
      <c r="K2555" s="142">
        <v>0</v>
      </c>
      <c r="L2555" s="142">
        <v>0</v>
      </c>
      <c r="M2555" s="142">
        <v>20</v>
      </c>
    </row>
    <row r="2556" spans="1:13" x14ac:dyDescent="0.45">
      <c r="A2556" s="142" t="s">
        <v>13077</v>
      </c>
      <c r="B2556" s="142" t="s">
        <v>15407</v>
      </c>
      <c r="C2556" s="142" t="s">
        <v>15847</v>
      </c>
      <c r="D2556" s="142" t="s">
        <v>15848</v>
      </c>
      <c r="E2556" s="142" t="s">
        <v>15849</v>
      </c>
      <c r="F2556" s="142" t="s">
        <v>5552</v>
      </c>
      <c r="G2556" s="142" t="s">
        <v>5551</v>
      </c>
      <c r="H2556" s="142" t="s">
        <v>18406</v>
      </c>
      <c r="I2556" s="142">
        <v>239</v>
      </c>
      <c r="J2556" s="142">
        <v>154</v>
      </c>
      <c r="K2556" s="142">
        <v>0</v>
      </c>
      <c r="L2556" s="142">
        <v>66</v>
      </c>
      <c r="M2556" s="142">
        <v>19</v>
      </c>
    </row>
    <row r="2557" spans="1:13" x14ac:dyDescent="0.45">
      <c r="A2557" s="142" t="s">
        <v>13033</v>
      </c>
      <c r="B2557" s="142" t="s">
        <v>15276</v>
      </c>
      <c r="C2557" s="142" t="s">
        <v>15847</v>
      </c>
      <c r="D2557" s="142" t="s">
        <v>15848</v>
      </c>
      <c r="E2557" s="142" t="s">
        <v>15849</v>
      </c>
      <c r="F2557" s="142" t="s">
        <v>5552</v>
      </c>
      <c r="G2557" s="142" t="s">
        <v>5551</v>
      </c>
      <c r="H2557" s="142" t="s">
        <v>18407</v>
      </c>
      <c r="I2557" s="142">
        <v>217</v>
      </c>
      <c r="J2557" s="142">
        <v>205</v>
      </c>
      <c r="K2557" s="142">
        <v>0</v>
      </c>
      <c r="L2557" s="142">
        <v>12</v>
      </c>
      <c r="M2557" s="142">
        <v>0</v>
      </c>
    </row>
    <row r="2558" spans="1:13" x14ac:dyDescent="0.45">
      <c r="A2558" s="142" t="s">
        <v>13034</v>
      </c>
      <c r="B2558" s="142" t="s">
        <v>15562</v>
      </c>
      <c r="C2558" s="142" t="s">
        <v>15847</v>
      </c>
      <c r="D2558" s="142" t="s">
        <v>15848</v>
      </c>
      <c r="E2558" s="142" t="s">
        <v>15849</v>
      </c>
      <c r="F2558" s="142" t="s">
        <v>5552</v>
      </c>
      <c r="G2558" s="142" t="s">
        <v>5551</v>
      </c>
      <c r="H2558" s="142" t="s">
        <v>18408</v>
      </c>
      <c r="I2558" s="142">
        <v>2</v>
      </c>
      <c r="J2558" s="142">
        <v>0</v>
      </c>
      <c r="K2558" s="142">
        <v>0</v>
      </c>
      <c r="L2558" s="142">
        <v>2</v>
      </c>
      <c r="M2558" s="142">
        <v>0</v>
      </c>
    </row>
    <row r="2559" spans="1:13" x14ac:dyDescent="0.45">
      <c r="A2559" s="142" t="s">
        <v>13037</v>
      </c>
      <c r="B2559" s="142" t="s">
        <v>14519</v>
      </c>
      <c r="C2559" s="142" t="s">
        <v>15847</v>
      </c>
      <c r="D2559" s="142" t="s">
        <v>15848</v>
      </c>
      <c r="E2559" s="142" t="s">
        <v>15849</v>
      </c>
      <c r="F2559" s="142" t="s">
        <v>5552</v>
      </c>
      <c r="G2559" s="142" t="s">
        <v>5551</v>
      </c>
      <c r="H2559" s="142" t="s">
        <v>18409</v>
      </c>
      <c r="I2559" s="142">
        <v>9</v>
      </c>
      <c r="J2559" s="142">
        <v>0</v>
      </c>
      <c r="K2559" s="142">
        <v>0</v>
      </c>
      <c r="L2559" s="142">
        <v>9</v>
      </c>
      <c r="M2559" s="142">
        <v>0</v>
      </c>
    </row>
    <row r="2560" spans="1:13" x14ac:dyDescent="0.45">
      <c r="A2560" s="142" t="s">
        <v>13626</v>
      </c>
      <c r="B2560" s="142" t="s">
        <v>14923</v>
      </c>
      <c r="C2560" s="142" t="s">
        <v>15860</v>
      </c>
      <c r="D2560" s="142" t="s">
        <v>15861</v>
      </c>
      <c r="E2560" s="142" t="s">
        <v>15849</v>
      </c>
      <c r="F2560" s="142" t="s">
        <v>5552</v>
      </c>
      <c r="G2560" s="142" t="s">
        <v>5551</v>
      </c>
      <c r="H2560" s="142" t="s">
        <v>18410</v>
      </c>
      <c r="I2560" s="142">
        <v>6</v>
      </c>
      <c r="J2560" s="142">
        <v>0</v>
      </c>
      <c r="K2560" s="142">
        <v>0</v>
      </c>
      <c r="L2560" s="142">
        <v>6</v>
      </c>
      <c r="M2560" s="142">
        <v>0</v>
      </c>
    </row>
    <row r="2561" spans="1:13" x14ac:dyDescent="0.45">
      <c r="A2561" s="142" t="s">
        <v>13038</v>
      </c>
      <c r="B2561" s="142" t="s">
        <v>14646</v>
      </c>
      <c r="C2561" s="142" t="s">
        <v>15847</v>
      </c>
      <c r="D2561" s="142" t="s">
        <v>15848</v>
      </c>
      <c r="E2561" s="142" t="s">
        <v>15849</v>
      </c>
      <c r="F2561" s="142" t="s">
        <v>5552</v>
      </c>
      <c r="G2561" s="142" t="s">
        <v>5551</v>
      </c>
      <c r="H2561" s="142" t="s">
        <v>18411</v>
      </c>
      <c r="I2561" s="142">
        <v>29</v>
      </c>
      <c r="J2561" s="142">
        <v>19</v>
      </c>
      <c r="K2561" s="142">
        <v>0</v>
      </c>
      <c r="L2561" s="142">
        <v>0</v>
      </c>
      <c r="M2561" s="142">
        <v>10</v>
      </c>
    </row>
    <row r="2562" spans="1:13" x14ac:dyDescent="0.45">
      <c r="A2562" s="142" t="s">
        <v>13039</v>
      </c>
      <c r="B2562" s="142" t="s">
        <v>14647</v>
      </c>
      <c r="C2562" s="142" t="s">
        <v>15847</v>
      </c>
      <c r="D2562" s="142" t="s">
        <v>15848</v>
      </c>
      <c r="E2562" s="142" t="s">
        <v>15849</v>
      </c>
      <c r="F2562" s="142" t="s">
        <v>5552</v>
      </c>
      <c r="G2562" s="142" t="s">
        <v>5551</v>
      </c>
      <c r="H2562" s="142" t="s">
        <v>18412</v>
      </c>
      <c r="I2562" s="142">
        <v>31</v>
      </c>
      <c r="J2562" s="142">
        <v>31</v>
      </c>
      <c r="K2562" s="142">
        <v>0</v>
      </c>
      <c r="L2562" s="142">
        <v>0</v>
      </c>
      <c r="M2562" s="142">
        <v>0</v>
      </c>
    </row>
    <row r="2563" spans="1:13" x14ac:dyDescent="0.45">
      <c r="A2563" s="142" t="s">
        <v>13091</v>
      </c>
      <c r="B2563" s="142" t="s">
        <v>14473</v>
      </c>
      <c r="C2563" s="142" t="s">
        <v>15847</v>
      </c>
      <c r="D2563" s="142" t="s">
        <v>15848</v>
      </c>
      <c r="E2563" s="142" t="s">
        <v>15849</v>
      </c>
      <c r="F2563" s="142" t="s">
        <v>5552</v>
      </c>
      <c r="G2563" s="142" t="s">
        <v>5551</v>
      </c>
      <c r="H2563" s="142" t="s">
        <v>18413</v>
      </c>
      <c r="I2563" s="142">
        <v>84</v>
      </c>
      <c r="J2563" s="142">
        <v>57</v>
      </c>
      <c r="K2563" s="142">
        <v>0</v>
      </c>
      <c r="L2563" s="142">
        <v>0</v>
      </c>
      <c r="M2563" s="142">
        <v>27</v>
      </c>
    </row>
    <row r="2564" spans="1:13" x14ac:dyDescent="0.45">
      <c r="A2564" s="142" t="s">
        <v>13009</v>
      </c>
      <c r="B2564" s="142" t="s">
        <v>15256</v>
      </c>
      <c r="C2564" s="142" t="s">
        <v>15847</v>
      </c>
      <c r="D2564" s="142" t="s">
        <v>15848</v>
      </c>
      <c r="E2564" s="142" t="s">
        <v>15849</v>
      </c>
      <c r="F2564" s="142" t="s">
        <v>5552</v>
      </c>
      <c r="G2564" s="142" t="s">
        <v>5551</v>
      </c>
      <c r="H2564" s="142" t="s">
        <v>18414</v>
      </c>
      <c r="I2564" s="142">
        <v>225</v>
      </c>
      <c r="J2564" s="142">
        <v>176</v>
      </c>
      <c r="K2564" s="142">
        <v>0</v>
      </c>
      <c r="L2564" s="142">
        <v>23</v>
      </c>
      <c r="M2564" s="142">
        <v>26</v>
      </c>
    </row>
    <row r="2565" spans="1:13" x14ac:dyDescent="0.45">
      <c r="A2565" s="142" t="s">
        <v>13011</v>
      </c>
      <c r="B2565" s="142" t="s">
        <v>14695</v>
      </c>
      <c r="C2565" s="142" t="s">
        <v>15847</v>
      </c>
      <c r="D2565" s="142" t="s">
        <v>15848</v>
      </c>
      <c r="E2565" s="142" t="s">
        <v>15849</v>
      </c>
      <c r="F2565" s="142" t="s">
        <v>5552</v>
      </c>
      <c r="G2565" s="142" t="s">
        <v>5551</v>
      </c>
      <c r="H2565" s="142" t="s">
        <v>18415</v>
      </c>
      <c r="I2565" s="142">
        <v>779</v>
      </c>
      <c r="J2565" s="142">
        <v>664</v>
      </c>
      <c r="K2565" s="142">
        <v>0</v>
      </c>
      <c r="L2565" s="142">
        <v>101</v>
      </c>
      <c r="M2565" s="142">
        <v>14</v>
      </c>
    </row>
    <row r="2566" spans="1:13" x14ac:dyDescent="0.45">
      <c r="A2566" s="142" t="s">
        <v>13041</v>
      </c>
      <c r="B2566" s="142" t="s">
        <v>14441</v>
      </c>
      <c r="C2566" s="142" t="s">
        <v>15847</v>
      </c>
      <c r="D2566" s="142" t="s">
        <v>15848</v>
      </c>
      <c r="E2566" s="142" t="s">
        <v>15849</v>
      </c>
      <c r="F2566" s="142" t="s">
        <v>5552</v>
      </c>
      <c r="G2566" s="142" t="s">
        <v>5551</v>
      </c>
      <c r="H2566" s="142" t="s">
        <v>18416</v>
      </c>
      <c r="I2566" s="142">
        <v>8</v>
      </c>
      <c r="J2566" s="142">
        <v>0</v>
      </c>
      <c r="K2566" s="142">
        <v>0</v>
      </c>
      <c r="L2566" s="142">
        <v>0</v>
      </c>
      <c r="M2566" s="142">
        <v>8</v>
      </c>
    </row>
    <row r="2567" spans="1:13" x14ac:dyDescent="0.45">
      <c r="A2567" s="142" t="s">
        <v>13042</v>
      </c>
      <c r="B2567" s="142" t="s">
        <v>15489</v>
      </c>
      <c r="C2567" s="142" t="s">
        <v>15847</v>
      </c>
      <c r="D2567" s="142" t="s">
        <v>15848</v>
      </c>
      <c r="E2567" s="142" t="s">
        <v>15849</v>
      </c>
      <c r="F2567" s="142" t="s">
        <v>5552</v>
      </c>
      <c r="G2567" s="142" t="s">
        <v>5551</v>
      </c>
      <c r="H2567" s="142" t="s">
        <v>18417</v>
      </c>
      <c r="I2567" s="142">
        <v>65</v>
      </c>
      <c r="J2567" s="142">
        <v>42</v>
      </c>
      <c r="K2567" s="142">
        <v>0</v>
      </c>
      <c r="L2567" s="142">
        <v>18</v>
      </c>
      <c r="M2567" s="142">
        <v>5</v>
      </c>
    </row>
    <row r="2568" spans="1:13" x14ac:dyDescent="0.45">
      <c r="A2568" s="142" t="s">
        <v>13079</v>
      </c>
      <c r="B2568" s="142" t="s">
        <v>15431</v>
      </c>
      <c r="C2568" s="142" t="s">
        <v>15847</v>
      </c>
      <c r="D2568" s="142" t="s">
        <v>15848</v>
      </c>
      <c r="E2568" s="142" t="s">
        <v>15849</v>
      </c>
      <c r="F2568" s="142" t="s">
        <v>5552</v>
      </c>
      <c r="G2568" s="142" t="s">
        <v>5551</v>
      </c>
      <c r="H2568" s="142" t="s">
        <v>18418</v>
      </c>
      <c r="I2568" s="142">
        <v>717</v>
      </c>
      <c r="J2568" s="142">
        <v>651</v>
      </c>
      <c r="K2568" s="142">
        <v>0</v>
      </c>
      <c r="L2568" s="142">
        <v>0</v>
      </c>
      <c r="M2568" s="142">
        <v>66</v>
      </c>
    </row>
    <row r="2569" spans="1:13" x14ac:dyDescent="0.45">
      <c r="A2569" s="142" t="s">
        <v>13061</v>
      </c>
      <c r="B2569" s="142" t="s">
        <v>15184</v>
      </c>
      <c r="C2569" s="142" t="s">
        <v>15860</v>
      </c>
      <c r="D2569" s="142" t="s">
        <v>15861</v>
      </c>
      <c r="E2569" s="142" t="s">
        <v>15849</v>
      </c>
      <c r="F2569" s="142" t="s">
        <v>5552</v>
      </c>
      <c r="G2569" s="142" t="s">
        <v>5551</v>
      </c>
      <c r="H2569" s="142" t="s">
        <v>18419</v>
      </c>
      <c r="I2569" s="142">
        <v>15</v>
      </c>
      <c r="J2569" s="142">
        <v>0</v>
      </c>
      <c r="K2569" s="142">
        <v>0</v>
      </c>
      <c r="L2569" s="142">
        <v>15</v>
      </c>
      <c r="M2569" s="142">
        <v>0</v>
      </c>
    </row>
    <row r="2570" spans="1:13" x14ac:dyDescent="0.45">
      <c r="A2570" s="142" t="s">
        <v>13080</v>
      </c>
      <c r="B2570" s="142" t="s">
        <v>15553</v>
      </c>
      <c r="C2570" s="142" t="s">
        <v>15847</v>
      </c>
      <c r="D2570" s="142" t="s">
        <v>15848</v>
      </c>
      <c r="E2570" s="142" t="s">
        <v>15849</v>
      </c>
      <c r="F2570" s="142" t="s">
        <v>5552</v>
      </c>
      <c r="G2570" s="142" t="s">
        <v>5551</v>
      </c>
      <c r="H2570" s="142" t="s">
        <v>18420</v>
      </c>
      <c r="I2570" s="142">
        <v>169</v>
      </c>
      <c r="J2570" s="142">
        <v>84</v>
      </c>
      <c r="K2570" s="142">
        <v>0</v>
      </c>
      <c r="L2570" s="142">
        <v>40</v>
      </c>
      <c r="M2570" s="142">
        <v>45</v>
      </c>
    </row>
    <row r="2571" spans="1:13" x14ac:dyDescent="0.45">
      <c r="A2571" s="142" t="s">
        <v>13021</v>
      </c>
      <c r="B2571" s="142" t="s">
        <v>15501</v>
      </c>
      <c r="C2571" s="142" t="s">
        <v>15847</v>
      </c>
      <c r="D2571" s="142" t="s">
        <v>15848</v>
      </c>
      <c r="E2571" s="142" t="s">
        <v>15849</v>
      </c>
      <c r="F2571" s="142" t="s">
        <v>10728</v>
      </c>
      <c r="G2571" s="142" t="s">
        <v>10727</v>
      </c>
      <c r="H2571" s="142" t="s">
        <v>18421</v>
      </c>
      <c r="I2571" s="142">
        <v>4</v>
      </c>
      <c r="J2571" s="142">
        <v>0</v>
      </c>
      <c r="K2571" s="142">
        <v>0</v>
      </c>
      <c r="L2571" s="142">
        <v>0</v>
      </c>
      <c r="M2571" s="142">
        <v>4</v>
      </c>
    </row>
    <row r="2572" spans="1:13" x14ac:dyDescent="0.45">
      <c r="A2572" s="142" t="s">
        <v>13023</v>
      </c>
      <c r="B2572" s="142" t="s">
        <v>15571</v>
      </c>
      <c r="C2572" s="142" t="s">
        <v>15847</v>
      </c>
      <c r="D2572" s="142" t="s">
        <v>15848</v>
      </c>
      <c r="E2572" s="142" t="s">
        <v>15849</v>
      </c>
      <c r="F2572" s="142" t="s">
        <v>10728</v>
      </c>
      <c r="G2572" s="142" t="s">
        <v>10727</v>
      </c>
      <c r="H2572" s="142" t="s">
        <v>18422</v>
      </c>
      <c r="I2572" s="142">
        <v>43</v>
      </c>
      <c r="J2572" s="142">
        <v>0</v>
      </c>
      <c r="K2572" s="142">
        <v>0</v>
      </c>
      <c r="L2572" s="142">
        <v>43</v>
      </c>
      <c r="M2572" s="142">
        <v>0</v>
      </c>
    </row>
    <row r="2573" spans="1:13" x14ac:dyDescent="0.45">
      <c r="A2573" s="142" t="s">
        <v>13230</v>
      </c>
      <c r="B2573" s="142" t="s">
        <v>15339</v>
      </c>
      <c r="C2573" s="142" t="s">
        <v>15847</v>
      </c>
      <c r="D2573" s="142" t="s">
        <v>15848</v>
      </c>
      <c r="E2573" s="142" t="s">
        <v>15849</v>
      </c>
      <c r="F2573" s="142" t="s">
        <v>10728</v>
      </c>
      <c r="G2573" s="142" t="s">
        <v>10727</v>
      </c>
      <c r="H2573" s="142" t="s">
        <v>18423</v>
      </c>
      <c r="I2573" s="142">
        <v>733</v>
      </c>
      <c r="J2573" s="142">
        <v>530</v>
      </c>
      <c r="K2573" s="142">
        <v>0</v>
      </c>
      <c r="L2573" s="142">
        <v>166</v>
      </c>
      <c r="M2573" s="142">
        <v>37</v>
      </c>
    </row>
    <row r="2574" spans="1:13" x14ac:dyDescent="0.45">
      <c r="A2574" s="142" t="s">
        <v>13235</v>
      </c>
      <c r="B2574" s="142" t="s">
        <v>14573</v>
      </c>
      <c r="C2574" s="142" t="s">
        <v>15847</v>
      </c>
      <c r="D2574" s="142" t="s">
        <v>15848</v>
      </c>
      <c r="E2574" s="142" t="s">
        <v>15849</v>
      </c>
      <c r="F2574" s="142" t="s">
        <v>10728</v>
      </c>
      <c r="G2574" s="142" t="s">
        <v>10727</v>
      </c>
      <c r="H2574" s="142" t="s">
        <v>18424</v>
      </c>
      <c r="I2574" s="142">
        <v>692</v>
      </c>
      <c r="J2574" s="142">
        <v>535</v>
      </c>
      <c r="K2574" s="142">
        <v>0</v>
      </c>
      <c r="L2574" s="142">
        <v>65</v>
      </c>
      <c r="M2574" s="142">
        <v>92</v>
      </c>
    </row>
    <row r="2575" spans="1:13" x14ac:dyDescent="0.45">
      <c r="A2575" s="142" t="s">
        <v>13628</v>
      </c>
      <c r="B2575" s="142" t="s">
        <v>15541</v>
      </c>
      <c r="C2575" s="142" t="s">
        <v>15860</v>
      </c>
      <c r="D2575" s="142" t="s">
        <v>15861</v>
      </c>
      <c r="E2575" s="142" t="s">
        <v>15849</v>
      </c>
      <c r="F2575" s="142" t="s">
        <v>10728</v>
      </c>
      <c r="G2575" s="142" t="s">
        <v>10727</v>
      </c>
      <c r="H2575" s="142" t="s">
        <v>18425</v>
      </c>
      <c r="I2575" s="142">
        <v>255</v>
      </c>
      <c r="J2575" s="142">
        <v>0</v>
      </c>
      <c r="K2575" s="142">
        <v>0</v>
      </c>
      <c r="L2575" s="142">
        <v>255</v>
      </c>
      <c r="M2575" s="142">
        <v>0</v>
      </c>
    </row>
    <row r="2576" spans="1:13" x14ac:dyDescent="0.45">
      <c r="A2576" s="142" t="s">
        <v>13237</v>
      </c>
      <c r="B2576" s="142" t="s">
        <v>14643</v>
      </c>
      <c r="C2576" s="142" t="s">
        <v>15847</v>
      </c>
      <c r="D2576" s="142" t="s">
        <v>15848</v>
      </c>
      <c r="E2576" s="142" t="s">
        <v>15849</v>
      </c>
      <c r="F2576" s="142" t="s">
        <v>10728</v>
      </c>
      <c r="G2576" s="142" t="s">
        <v>10727</v>
      </c>
      <c r="H2576" s="142" t="s">
        <v>18426</v>
      </c>
      <c r="I2576" s="142">
        <v>330</v>
      </c>
      <c r="J2576" s="142">
        <v>267</v>
      </c>
      <c r="K2576" s="142">
        <v>0</v>
      </c>
      <c r="L2576" s="142">
        <v>6</v>
      </c>
      <c r="M2576" s="142">
        <v>57</v>
      </c>
    </row>
    <row r="2577" spans="1:13" x14ac:dyDescent="0.45">
      <c r="A2577" s="142" t="s">
        <v>13000</v>
      </c>
      <c r="B2577" s="142" t="s">
        <v>14610</v>
      </c>
      <c r="C2577" s="142" t="s">
        <v>15847</v>
      </c>
      <c r="D2577" s="142" t="s">
        <v>15848</v>
      </c>
      <c r="E2577" s="142" t="s">
        <v>15849</v>
      </c>
      <c r="F2577" s="142" t="s">
        <v>10728</v>
      </c>
      <c r="G2577" s="142" t="s">
        <v>10727</v>
      </c>
      <c r="H2577" s="142" t="s">
        <v>18427</v>
      </c>
      <c r="I2577" s="142">
        <v>1</v>
      </c>
      <c r="J2577" s="142">
        <v>0</v>
      </c>
      <c r="K2577" s="142">
        <v>0</v>
      </c>
      <c r="L2577" s="142">
        <v>0</v>
      </c>
      <c r="M2577" s="142">
        <v>1</v>
      </c>
    </row>
    <row r="2578" spans="1:13" x14ac:dyDescent="0.45">
      <c r="A2578" s="142" t="s">
        <v>13099</v>
      </c>
      <c r="B2578" s="142" t="s">
        <v>14547</v>
      </c>
      <c r="C2578" s="142" t="s">
        <v>15860</v>
      </c>
      <c r="D2578" s="142" t="s">
        <v>15861</v>
      </c>
      <c r="E2578" s="142" t="s">
        <v>15849</v>
      </c>
      <c r="F2578" s="142" t="s">
        <v>10728</v>
      </c>
      <c r="G2578" s="142" t="s">
        <v>10727</v>
      </c>
      <c r="H2578" s="142" t="s">
        <v>18428</v>
      </c>
      <c r="I2578" s="142">
        <v>4</v>
      </c>
      <c r="J2578" s="142">
        <v>0</v>
      </c>
      <c r="K2578" s="142">
        <v>0</v>
      </c>
      <c r="L2578" s="142">
        <v>4</v>
      </c>
      <c r="M2578" s="142">
        <v>0</v>
      </c>
    </row>
    <row r="2579" spans="1:13" x14ac:dyDescent="0.45">
      <c r="A2579" s="142" t="s">
        <v>13027</v>
      </c>
      <c r="B2579" s="142" t="s">
        <v>14562</v>
      </c>
      <c r="C2579" s="142" t="s">
        <v>15847</v>
      </c>
      <c r="D2579" s="142" t="s">
        <v>15848</v>
      </c>
      <c r="E2579" s="142" t="s">
        <v>15849</v>
      </c>
      <c r="F2579" s="142" t="s">
        <v>10728</v>
      </c>
      <c r="G2579" s="142" t="s">
        <v>10727</v>
      </c>
      <c r="H2579" s="142" t="s">
        <v>18429</v>
      </c>
      <c r="I2579" s="142">
        <v>23</v>
      </c>
      <c r="J2579" s="142">
        <v>0</v>
      </c>
      <c r="K2579" s="142">
        <v>0</v>
      </c>
      <c r="L2579" s="142">
        <v>23</v>
      </c>
      <c r="M2579" s="142">
        <v>0</v>
      </c>
    </row>
    <row r="2580" spans="1:13" x14ac:dyDescent="0.45">
      <c r="A2580" s="142" t="s">
        <v>13243</v>
      </c>
      <c r="B2580" s="142" t="s">
        <v>15560</v>
      </c>
      <c r="C2580" s="142" t="s">
        <v>15847</v>
      </c>
      <c r="D2580" s="142" t="s">
        <v>15848</v>
      </c>
      <c r="E2580" s="142" t="s">
        <v>15849</v>
      </c>
      <c r="F2580" s="142" t="s">
        <v>10728</v>
      </c>
      <c r="G2580" s="142" t="s">
        <v>10727</v>
      </c>
      <c r="H2580" s="142" t="s">
        <v>18430</v>
      </c>
      <c r="I2580" s="142">
        <v>860</v>
      </c>
      <c r="J2580" s="142">
        <v>802</v>
      </c>
      <c r="K2580" s="142">
        <v>0</v>
      </c>
      <c r="L2580" s="142">
        <v>4</v>
      </c>
      <c r="M2580" s="142">
        <v>54</v>
      </c>
    </row>
    <row r="2581" spans="1:13" x14ac:dyDescent="0.45">
      <c r="A2581" s="142" t="s">
        <v>13028</v>
      </c>
      <c r="B2581" s="142" t="s">
        <v>14462</v>
      </c>
      <c r="C2581" s="142" t="s">
        <v>15847</v>
      </c>
      <c r="D2581" s="142" t="s">
        <v>15848</v>
      </c>
      <c r="E2581" s="142" t="s">
        <v>15849</v>
      </c>
      <c r="F2581" s="142" t="s">
        <v>10728</v>
      </c>
      <c r="G2581" s="142" t="s">
        <v>10727</v>
      </c>
      <c r="H2581" s="142" t="s">
        <v>18431</v>
      </c>
      <c r="I2581" s="142">
        <v>15</v>
      </c>
      <c r="J2581" s="142">
        <v>0</v>
      </c>
      <c r="K2581" s="142">
        <v>0</v>
      </c>
      <c r="L2581" s="142">
        <v>0</v>
      </c>
      <c r="M2581" s="142">
        <v>15</v>
      </c>
    </row>
    <row r="2582" spans="1:13" x14ac:dyDescent="0.45">
      <c r="A2582" s="142" t="s">
        <v>13002</v>
      </c>
      <c r="B2582" s="142" t="s">
        <v>15376</v>
      </c>
      <c r="C2582" s="142" t="s">
        <v>15847</v>
      </c>
      <c r="D2582" s="142" t="s">
        <v>15848</v>
      </c>
      <c r="E2582" s="142" t="s">
        <v>15849</v>
      </c>
      <c r="F2582" s="142" t="s">
        <v>10728</v>
      </c>
      <c r="G2582" s="142" t="s">
        <v>10727</v>
      </c>
      <c r="H2582" s="142" t="s">
        <v>18432</v>
      </c>
      <c r="I2582" s="142">
        <v>9</v>
      </c>
      <c r="J2582" s="142">
        <v>0</v>
      </c>
      <c r="K2582" s="142">
        <v>0</v>
      </c>
      <c r="L2582" s="142">
        <v>9</v>
      </c>
      <c r="M2582" s="142">
        <v>0</v>
      </c>
    </row>
    <row r="2583" spans="1:13" x14ac:dyDescent="0.45">
      <c r="A2583" s="142" t="s">
        <v>13448</v>
      </c>
      <c r="B2583" s="142" t="s">
        <v>15574</v>
      </c>
      <c r="C2583" s="142" t="s">
        <v>15847</v>
      </c>
      <c r="D2583" s="142" t="s">
        <v>15848</v>
      </c>
      <c r="E2583" s="142" t="s">
        <v>15849</v>
      </c>
      <c r="F2583" s="142" t="s">
        <v>10728</v>
      </c>
      <c r="G2583" s="142" t="s">
        <v>10727</v>
      </c>
      <c r="H2583" s="142" t="s">
        <v>18433</v>
      </c>
      <c r="I2583" s="142">
        <v>3</v>
      </c>
      <c r="J2583" s="142">
        <v>0</v>
      </c>
      <c r="K2583" s="142">
        <v>0</v>
      </c>
      <c r="L2583" s="142">
        <v>0</v>
      </c>
      <c r="M2583" s="142">
        <v>3</v>
      </c>
    </row>
    <row r="2584" spans="1:13" x14ac:dyDescent="0.45">
      <c r="A2584" s="142" t="s">
        <v>13003</v>
      </c>
      <c r="B2584" s="142" t="s">
        <v>15245</v>
      </c>
      <c r="C2584" s="142" t="s">
        <v>15847</v>
      </c>
      <c r="D2584" s="142" t="s">
        <v>15848</v>
      </c>
      <c r="E2584" s="142" t="s">
        <v>15849</v>
      </c>
      <c r="F2584" s="142" t="s">
        <v>10728</v>
      </c>
      <c r="G2584" s="142" t="s">
        <v>10727</v>
      </c>
      <c r="H2584" s="142" t="s">
        <v>18434</v>
      </c>
      <c r="I2584" s="142">
        <v>282</v>
      </c>
      <c r="J2584" s="142">
        <v>0</v>
      </c>
      <c r="K2584" s="142">
        <v>0</v>
      </c>
      <c r="L2584" s="142">
        <v>256</v>
      </c>
      <c r="M2584" s="142">
        <v>26</v>
      </c>
    </row>
    <row r="2585" spans="1:13" x14ac:dyDescent="0.45">
      <c r="A2585" s="142" t="s">
        <v>13066</v>
      </c>
      <c r="B2585" s="142" t="s">
        <v>14459</v>
      </c>
      <c r="C2585" s="142" t="s">
        <v>15847</v>
      </c>
      <c r="D2585" s="142" t="s">
        <v>15848</v>
      </c>
      <c r="E2585" s="142" t="s">
        <v>15849</v>
      </c>
      <c r="F2585" s="142" t="s">
        <v>10728</v>
      </c>
      <c r="G2585" s="142" t="s">
        <v>10727</v>
      </c>
      <c r="H2585" s="142" t="s">
        <v>18435</v>
      </c>
      <c r="I2585" s="142">
        <v>40</v>
      </c>
      <c r="J2585" s="142">
        <v>0</v>
      </c>
      <c r="K2585" s="142">
        <v>0</v>
      </c>
      <c r="L2585" s="142">
        <v>40</v>
      </c>
      <c r="M2585" s="142">
        <v>0</v>
      </c>
    </row>
    <row r="2586" spans="1:13" x14ac:dyDescent="0.45">
      <c r="A2586" s="142" t="s">
        <v>13248</v>
      </c>
      <c r="B2586" s="142" t="s">
        <v>15463</v>
      </c>
      <c r="C2586" s="142" t="s">
        <v>15847</v>
      </c>
      <c r="D2586" s="142" t="s">
        <v>15848</v>
      </c>
      <c r="E2586" s="142" t="s">
        <v>15849</v>
      </c>
      <c r="F2586" s="142" t="s">
        <v>10728</v>
      </c>
      <c r="G2586" s="142" t="s">
        <v>10727</v>
      </c>
      <c r="H2586" s="142" t="s">
        <v>18436</v>
      </c>
      <c r="I2586" s="142">
        <v>877</v>
      </c>
      <c r="J2586" s="142">
        <v>721</v>
      </c>
      <c r="K2586" s="142">
        <v>0</v>
      </c>
      <c r="L2586" s="142">
        <v>59</v>
      </c>
      <c r="M2586" s="142">
        <v>97</v>
      </c>
    </row>
    <row r="2587" spans="1:13" x14ac:dyDescent="0.45">
      <c r="A2587" s="142" t="s">
        <v>13250</v>
      </c>
      <c r="B2587" s="142" t="s">
        <v>15395</v>
      </c>
      <c r="C2587" s="142" t="s">
        <v>15847</v>
      </c>
      <c r="D2587" s="142" t="s">
        <v>15848</v>
      </c>
      <c r="E2587" s="142" t="s">
        <v>15849</v>
      </c>
      <c r="F2587" s="142" t="s">
        <v>10728</v>
      </c>
      <c r="G2587" s="142" t="s">
        <v>10727</v>
      </c>
      <c r="H2587" s="142" t="s">
        <v>18437</v>
      </c>
      <c r="I2587" s="142">
        <v>87</v>
      </c>
      <c r="J2587" s="142">
        <v>49</v>
      </c>
      <c r="K2587" s="142">
        <v>0</v>
      </c>
      <c r="L2587" s="142">
        <v>38</v>
      </c>
      <c r="M2587" s="142">
        <v>0</v>
      </c>
    </row>
    <row r="2588" spans="1:13" x14ac:dyDescent="0.45">
      <c r="A2588" s="142" t="s">
        <v>13035</v>
      </c>
      <c r="B2588" s="142" t="s">
        <v>14648</v>
      </c>
      <c r="C2588" s="142" t="s">
        <v>15847</v>
      </c>
      <c r="D2588" s="142" t="s">
        <v>15848</v>
      </c>
      <c r="E2588" s="142" t="s">
        <v>15849</v>
      </c>
      <c r="F2588" s="142" t="s">
        <v>10728</v>
      </c>
      <c r="G2588" s="142" t="s">
        <v>10727</v>
      </c>
      <c r="H2588" s="142" t="s">
        <v>18438</v>
      </c>
      <c r="I2588" s="142">
        <v>258</v>
      </c>
      <c r="J2588" s="142">
        <v>148</v>
      </c>
      <c r="K2588" s="142">
        <v>0</v>
      </c>
      <c r="L2588" s="142">
        <v>0</v>
      </c>
      <c r="M2588" s="142">
        <v>110</v>
      </c>
    </row>
    <row r="2589" spans="1:13" x14ac:dyDescent="0.45">
      <c r="A2589" s="142" t="s">
        <v>13039</v>
      </c>
      <c r="B2589" s="142" t="s">
        <v>14647</v>
      </c>
      <c r="C2589" s="142" t="s">
        <v>15847</v>
      </c>
      <c r="D2589" s="142" t="s">
        <v>15848</v>
      </c>
      <c r="E2589" s="142" t="s">
        <v>15849</v>
      </c>
      <c r="F2589" s="142" t="s">
        <v>10728</v>
      </c>
      <c r="G2589" s="142" t="s">
        <v>10727</v>
      </c>
      <c r="H2589" s="142" t="s">
        <v>18439</v>
      </c>
      <c r="I2589" s="142">
        <v>7</v>
      </c>
      <c r="J2589" s="142">
        <v>7</v>
      </c>
      <c r="K2589" s="142">
        <v>0</v>
      </c>
      <c r="L2589" s="142">
        <v>0</v>
      </c>
      <c r="M2589" s="142">
        <v>0</v>
      </c>
    </row>
    <row r="2590" spans="1:13" x14ac:dyDescent="0.45">
      <c r="A2590" s="142" t="s">
        <v>13009</v>
      </c>
      <c r="B2590" s="142" t="s">
        <v>15256</v>
      </c>
      <c r="C2590" s="142" t="s">
        <v>15847</v>
      </c>
      <c r="D2590" s="142" t="s">
        <v>15848</v>
      </c>
      <c r="E2590" s="142" t="s">
        <v>15849</v>
      </c>
      <c r="F2590" s="142" t="s">
        <v>10728</v>
      </c>
      <c r="G2590" s="142" t="s">
        <v>10727</v>
      </c>
      <c r="H2590" s="142" t="s">
        <v>18440</v>
      </c>
      <c r="I2590" s="142">
        <v>501</v>
      </c>
      <c r="J2590" s="142">
        <v>363</v>
      </c>
      <c r="K2590" s="142">
        <v>0</v>
      </c>
      <c r="L2590" s="142">
        <v>59</v>
      </c>
      <c r="M2590" s="142">
        <v>79</v>
      </c>
    </row>
    <row r="2591" spans="1:13" x14ac:dyDescent="0.45">
      <c r="A2591" s="142" t="s">
        <v>13041</v>
      </c>
      <c r="B2591" s="142" t="s">
        <v>14441</v>
      </c>
      <c r="C2591" s="142" t="s">
        <v>15847</v>
      </c>
      <c r="D2591" s="142" t="s">
        <v>15848</v>
      </c>
      <c r="E2591" s="142" t="s">
        <v>15849</v>
      </c>
      <c r="F2591" s="142" t="s">
        <v>10728</v>
      </c>
      <c r="G2591" s="142" t="s">
        <v>10727</v>
      </c>
      <c r="H2591" s="142" t="s">
        <v>18441</v>
      </c>
      <c r="I2591" s="142">
        <v>6</v>
      </c>
      <c r="J2591" s="142">
        <v>0</v>
      </c>
      <c r="K2591" s="142">
        <v>0</v>
      </c>
      <c r="L2591" s="142">
        <v>0</v>
      </c>
      <c r="M2591" s="142">
        <v>6</v>
      </c>
    </row>
    <row r="2592" spans="1:13" x14ac:dyDescent="0.45">
      <c r="A2592" s="142" t="s">
        <v>13012</v>
      </c>
      <c r="B2592" s="142" t="s">
        <v>15337</v>
      </c>
      <c r="C2592" s="142" t="s">
        <v>15847</v>
      </c>
      <c r="D2592" s="142" t="s">
        <v>15848</v>
      </c>
      <c r="E2592" s="142" t="s">
        <v>15849</v>
      </c>
      <c r="F2592" s="142" t="s">
        <v>10728</v>
      </c>
      <c r="G2592" s="142" t="s">
        <v>10727</v>
      </c>
      <c r="H2592" s="142" t="s">
        <v>18442</v>
      </c>
      <c r="I2592" s="142">
        <v>1019</v>
      </c>
      <c r="J2592" s="142">
        <v>852</v>
      </c>
      <c r="K2592" s="142">
        <v>0</v>
      </c>
      <c r="L2592" s="142">
        <v>83</v>
      </c>
      <c r="M2592" s="142">
        <v>84</v>
      </c>
    </row>
    <row r="2593" spans="1:13" x14ac:dyDescent="0.45">
      <c r="A2593" s="142" t="s">
        <v>13264</v>
      </c>
      <c r="B2593" s="142" t="s">
        <v>15302</v>
      </c>
      <c r="C2593" s="142" t="s">
        <v>15847</v>
      </c>
      <c r="D2593" s="142" t="s">
        <v>15848</v>
      </c>
      <c r="E2593" s="142" t="s">
        <v>15849</v>
      </c>
      <c r="F2593" s="142" t="s">
        <v>10728</v>
      </c>
      <c r="G2593" s="142" t="s">
        <v>10727</v>
      </c>
      <c r="H2593" s="142" t="s">
        <v>18443</v>
      </c>
      <c r="I2593" s="142">
        <v>2</v>
      </c>
      <c r="J2593" s="142">
        <v>2</v>
      </c>
      <c r="K2593" s="142">
        <v>0</v>
      </c>
      <c r="L2593" s="142">
        <v>0</v>
      </c>
      <c r="M2593" s="142">
        <v>0</v>
      </c>
    </row>
    <row r="2594" spans="1:13" x14ac:dyDescent="0.45">
      <c r="A2594" s="142" t="s">
        <v>13267</v>
      </c>
      <c r="B2594" s="142" t="s">
        <v>15451</v>
      </c>
      <c r="C2594" s="142" t="s">
        <v>15847</v>
      </c>
      <c r="D2594" s="142" t="s">
        <v>15848</v>
      </c>
      <c r="E2594" s="142" t="s">
        <v>15849</v>
      </c>
      <c r="F2594" s="142" t="s">
        <v>10728</v>
      </c>
      <c r="G2594" s="142" t="s">
        <v>10727</v>
      </c>
      <c r="H2594" s="142" t="s">
        <v>18444</v>
      </c>
      <c r="I2594" s="142">
        <v>189</v>
      </c>
      <c r="J2594" s="142">
        <v>136</v>
      </c>
      <c r="K2594" s="142">
        <v>0</v>
      </c>
      <c r="L2594" s="142">
        <v>0</v>
      </c>
      <c r="M2594" s="142">
        <v>53</v>
      </c>
    </row>
    <row r="2595" spans="1:13" x14ac:dyDescent="0.45">
      <c r="A2595" s="142" t="s">
        <v>13016</v>
      </c>
      <c r="B2595" s="142" t="s">
        <v>14535</v>
      </c>
      <c r="C2595" s="142" t="s">
        <v>15860</v>
      </c>
      <c r="D2595" s="142" t="s">
        <v>15861</v>
      </c>
      <c r="E2595" s="142" t="s">
        <v>15849</v>
      </c>
      <c r="F2595" s="142" t="s">
        <v>10728</v>
      </c>
      <c r="G2595" s="142" t="s">
        <v>10727</v>
      </c>
      <c r="H2595" s="142" t="s">
        <v>18445</v>
      </c>
      <c r="I2595" s="142">
        <v>1</v>
      </c>
      <c r="J2595" s="142">
        <v>0</v>
      </c>
      <c r="K2595" s="142">
        <v>0</v>
      </c>
      <c r="L2595" s="142">
        <v>1</v>
      </c>
      <c r="M2595" s="142">
        <v>0</v>
      </c>
    </row>
    <row r="2596" spans="1:13" x14ac:dyDescent="0.45">
      <c r="A2596" s="142" t="s">
        <v>13207</v>
      </c>
      <c r="B2596" s="142" t="s">
        <v>15558</v>
      </c>
      <c r="C2596" s="142" t="s">
        <v>15847</v>
      </c>
      <c r="D2596" s="142" t="s">
        <v>15848</v>
      </c>
      <c r="E2596" s="142" t="s">
        <v>15849</v>
      </c>
      <c r="F2596" s="142" t="s">
        <v>10728</v>
      </c>
      <c r="G2596" s="142" t="s">
        <v>10727</v>
      </c>
      <c r="H2596" s="142" t="s">
        <v>18446</v>
      </c>
      <c r="I2596" s="142">
        <v>1</v>
      </c>
      <c r="J2596" s="142">
        <v>0</v>
      </c>
      <c r="K2596" s="142">
        <v>0</v>
      </c>
      <c r="L2596" s="142">
        <v>0</v>
      </c>
      <c r="M2596" s="142">
        <v>1</v>
      </c>
    </row>
    <row r="2597" spans="1:13" x14ac:dyDescent="0.45">
      <c r="A2597" s="142" t="s">
        <v>13110</v>
      </c>
      <c r="B2597" s="142" t="s">
        <v>15502</v>
      </c>
      <c r="C2597" s="142" t="s">
        <v>15847</v>
      </c>
      <c r="D2597" s="142" t="s">
        <v>15848</v>
      </c>
      <c r="E2597" s="142" t="s">
        <v>15849</v>
      </c>
      <c r="F2597" s="142" t="s">
        <v>11524</v>
      </c>
      <c r="G2597" s="142" t="s">
        <v>11523</v>
      </c>
      <c r="H2597" s="142" t="s">
        <v>18447</v>
      </c>
      <c r="I2597" s="142">
        <v>2642</v>
      </c>
      <c r="J2597" s="142">
        <v>2051</v>
      </c>
      <c r="K2597" s="142">
        <v>0</v>
      </c>
      <c r="L2597" s="142">
        <v>234</v>
      </c>
      <c r="M2597" s="142">
        <v>357</v>
      </c>
    </row>
    <row r="2598" spans="1:13" x14ac:dyDescent="0.45">
      <c r="A2598" s="142" t="s">
        <v>13308</v>
      </c>
      <c r="B2598" s="142" t="s">
        <v>15608</v>
      </c>
      <c r="C2598" s="142" t="s">
        <v>15847</v>
      </c>
      <c r="D2598" s="142" t="s">
        <v>15848</v>
      </c>
      <c r="E2598" s="142" t="s">
        <v>15849</v>
      </c>
      <c r="F2598" s="142" t="s">
        <v>11524</v>
      </c>
      <c r="G2598" s="142" t="s">
        <v>11523</v>
      </c>
      <c r="H2598" s="142" t="s">
        <v>18448</v>
      </c>
      <c r="I2598" s="142">
        <v>111</v>
      </c>
      <c r="J2598" s="142">
        <v>30</v>
      </c>
      <c r="K2598" s="142">
        <v>0</v>
      </c>
      <c r="L2598" s="142">
        <v>0</v>
      </c>
      <c r="M2598" s="142">
        <v>81</v>
      </c>
    </row>
    <row r="2599" spans="1:13" x14ac:dyDescent="0.45">
      <c r="A2599" s="142" t="s">
        <v>13166</v>
      </c>
      <c r="B2599" s="142" t="s">
        <v>15576</v>
      </c>
      <c r="C2599" s="142" t="s">
        <v>15847</v>
      </c>
      <c r="D2599" s="142" t="s">
        <v>15848</v>
      </c>
      <c r="E2599" s="142" t="s">
        <v>15849</v>
      </c>
      <c r="F2599" s="142" t="s">
        <v>11524</v>
      </c>
      <c r="G2599" s="142" t="s">
        <v>11523</v>
      </c>
      <c r="H2599" s="142" t="s">
        <v>18449</v>
      </c>
      <c r="I2599" s="142">
        <v>72</v>
      </c>
      <c r="J2599" s="142">
        <v>72</v>
      </c>
      <c r="K2599" s="142">
        <v>0</v>
      </c>
      <c r="L2599" s="142">
        <v>0</v>
      </c>
      <c r="M2599" s="142">
        <v>0</v>
      </c>
    </row>
    <row r="2600" spans="1:13" x14ac:dyDescent="0.45">
      <c r="A2600" s="142" t="s">
        <v>13630</v>
      </c>
      <c r="B2600" s="142" t="s">
        <v>14685</v>
      </c>
      <c r="C2600" s="142" t="s">
        <v>15860</v>
      </c>
      <c r="D2600" s="142" t="s">
        <v>15861</v>
      </c>
      <c r="E2600" s="142" t="s">
        <v>15849</v>
      </c>
      <c r="F2600" s="142" t="s">
        <v>11524</v>
      </c>
      <c r="G2600" s="142" t="s">
        <v>11523</v>
      </c>
      <c r="H2600" s="142" t="s">
        <v>18450</v>
      </c>
      <c r="I2600" s="142">
        <v>177</v>
      </c>
      <c r="J2600" s="142">
        <v>177</v>
      </c>
      <c r="K2600" s="142">
        <v>0</v>
      </c>
      <c r="L2600" s="142">
        <v>0</v>
      </c>
      <c r="M2600" s="142">
        <v>0</v>
      </c>
    </row>
    <row r="2601" spans="1:13" x14ac:dyDescent="0.45">
      <c r="A2601" s="142" t="s">
        <v>13023</v>
      </c>
      <c r="B2601" s="142" t="s">
        <v>15571</v>
      </c>
      <c r="C2601" s="142" t="s">
        <v>15847</v>
      </c>
      <c r="D2601" s="142" t="s">
        <v>15848</v>
      </c>
      <c r="E2601" s="142" t="s">
        <v>15849</v>
      </c>
      <c r="F2601" s="142" t="s">
        <v>11524</v>
      </c>
      <c r="G2601" s="142" t="s">
        <v>11523</v>
      </c>
      <c r="H2601" s="142" t="s">
        <v>18451</v>
      </c>
      <c r="I2601" s="142">
        <v>35</v>
      </c>
      <c r="J2601" s="142">
        <v>0</v>
      </c>
      <c r="K2601" s="142">
        <v>0</v>
      </c>
      <c r="L2601" s="142">
        <v>35</v>
      </c>
      <c r="M2601" s="142">
        <v>0</v>
      </c>
    </row>
    <row r="2602" spans="1:13" x14ac:dyDescent="0.45">
      <c r="A2602" s="142" t="s">
        <v>13082</v>
      </c>
      <c r="B2602" s="142" t="s">
        <v>14478</v>
      </c>
      <c r="C2602" s="142" t="s">
        <v>15860</v>
      </c>
      <c r="D2602" s="142" t="s">
        <v>15861</v>
      </c>
      <c r="E2602" s="142" t="s">
        <v>15849</v>
      </c>
      <c r="F2602" s="142" t="s">
        <v>11524</v>
      </c>
      <c r="G2602" s="142" t="s">
        <v>11523</v>
      </c>
      <c r="H2602" s="142" t="s">
        <v>18452</v>
      </c>
      <c r="I2602" s="142">
        <v>5</v>
      </c>
      <c r="J2602" s="142">
        <v>0</v>
      </c>
      <c r="K2602" s="142">
        <v>0</v>
      </c>
      <c r="L2602" s="142">
        <v>5</v>
      </c>
      <c r="M2602" s="142">
        <v>0</v>
      </c>
    </row>
    <row r="2603" spans="1:13" x14ac:dyDescent="0.45">
      <c r="A2603" s="142" t="s">
        <v>13065</v>
      </c>
      <c r="B2603" s="142" t="s">
        <v>14497</v>
      </c>
      <c r="C2603" s="142" t="s">
        <v>15847</v>
      </c>
      <c r="D2603" s="142" t="s">
        <v>15848</v>
      </c>
      <c r="E2603" s="142" t="s">
        <v>15849</v>
      </c>
      <c r="F2603" s="142" t="s">
        <v>11524</v>
      </c>
      <c r="G2603" s="142" t="s">
        <v>11523</v>
      </c>
      <c r="H2603" s="142" t="s">
        <v>18453</v>
      </c>
      <c r="I2603" s="142">
        <v>5</v>
      </c>
      <c r="J2603" s="142">
        <v>0</v>
      </c>
      <c r="K2603" s="142">
        <v>0</v>
      </c>
      <c r="L2603" s="142">
        <v>5</v>
      </c>
      <c r="M2603" s="142">
        <v>0</v>
      </c>
    </row>
    <row r="2604" spans="1:13" x14ac:dyDescent="0.45">
      <c r="A2604" s="142" t="s">
        <v>13114</v>
      </c>
      <c r="B2604" s="142" t="s">
        <v>15328</v>
      </c>
      <c r="C2604" s="142" t="s">
        <v>15860</v>
      </c>
      <c r="D2604" s="142" t="s">
        <v>15861</v>
      </c>
      <c r="E2604" s="142" t="s">
        <v>15849</v>
      </c>
      <c r="F2604" s="142" t="s">
        <v>11524</v>
      </c>
      <c r="G2604" s="142" t="s">
        <v>11523</v>
      </c>
      <c r="H2604" s="142" t="s">
        <v>18454</v>
      </c>
      <c r="I2604" s="142">
        <v>3</v>
      </c>
      <c r="J2604" s="142">
        <v>0</v>
      </c>
      <c r="K2604" s="142">
        <v>0</v>
      </c>
      <c r="L2604" s="142">
        <v>3</v>
      </c>
      <c r="M2604" s="142">
        <v>0</v>
      </c>
    </row>
    <row r="2605" spans="1:13" x14ac:dyDescent="0.45">
      <c r="A2605" s="142" t="s">
        <v>13115</v>
      </c>
      <c r="B2605" s="142" t="s">
        <v>14508</v>
      </c>
      <c r="C2605" s="142" t="s">
        <v>15860</v>
      </c>
      <c r="D2605" s="142" t="s">
        <v>15861</v>
      </c>
      <c r="E2605" s="142" t="s">
        <v>15849</v>
      </c>
      <c r="F2605" s="142" t="s">
        <v>11524</v>
      </c>
      <c r="G2605" s="142" t="s">
        <v>11523</v>
      </c>
      <c r="H2605" s="142" t="s">
        <v>18455</v>
      </c>
      <c r="I2605" s="142">
        <v>149</v>
      </c>
      <c r="J2605" s="142">
        <v>0</v>
      </c>
      <c r="K2605" s="142">
        <v>149</v>
      </c>
      <c r="L2605" s="142">
        <v>0</v>
      </c>
      <c r="M2605" s="142">
        <v>0</v>
      </c>
    </row>
    <row r="2606" spans="1:13" x14ac:dyDescent="0.45">
      <c r="A2606" s="142" t="s">
        <v>13631</v>
      </c>
      <c r="B2606" s="142" t="s">
        <v>14660</v>
      </c>
      <c r="C2606" s="142" t="s">
        <v>15860</v>
      </c>
      <c r="D2606" s="142" t="s">
        <v>15861</v>
      </c>
      <c r="E2606" s="142" t="s">
        <v>15849</v>
      </c>
      <c r="F2606" s="142" t="s">
        <v>11524</v>
      </c>
      <c r="G2606" s="142" t="s">
        <v>11523</v>
      </c>
      <c r="H2606" s="142" t="s">
        <v>18456</v>
      </c>
      <c r="I2606" s="142">
        <v>86</v>
      </c>
      <c r="J2606" s="142">
        <v>86</v>
      </c>
      <c r="K2606" s="142">
        <v>0</v>
      </c>
      <c r="L2606" s="142">
        <v>0</v>
      </c>
      <c r="M2606" s="142">
        <v>0</v>
      </c>
    </row>
    <row r="2607" spans="1:13" x14ac:dyDescent="0.45">
      <c r="A2607" s="142" t="s">
        <v>13433</v>
      </c>
      <c r="B2607" s="142" t="s">
        <v>15167</v>
      </c>
      <c r="C2607" s="142" t="s">
        <v>15847</v>
      </c>
      <c r="D2607" s="142" t="s">
        <v>15848</v>
      </c>
      <c r="E2607" s="142" t="s">
        <v>15849</v>
      </c>
      <c r="F2607" s="142" t="s">
        <v>11524</v>
      </c>
      <c r="G2607" s="142" t="s">
        <v>11523</v>
      </c>
      <c r="H2607" s="142" t="s">
        <v>18457</v>
      </c>
      <c r="I2607" s="142">
        <v>116</v>
      </c>
      <c r="J2607" s="142">
        <v>54</v>
      </c>
      <c r="K2607" s="142">
        <v>0</v>
      </c>
      <c r="L2607" s="142">
        <v>62</v>
      </c>
      <c r="M2607" s="142">
        <v>0</v>
      </c>
    </row>
    <row r="2608" spans="1:13" x14ac:dyDescent="0.45">
      <c r="A2608" s="142" t="s">
        <v>13318</v>
      </c>
      <c r="B2608" s="142" t="s">
        <v>15172</v>
      </c>
      <c r="C2608" s="142" t="s">
        <v>15860</v>
      </c>
      <c r="D2608" s="142" t="s">
        <v>15861</v>
      </c>
      <c r="E2608" s="142" t="s">
        <v>15849</v>
      </c>
      <c r="F2608" s="142" t="s">
        <v>11524</v>
      </c>
      <c r="G2608" s="142" t="s">
        <v>11523</v>
      </c>
      <c r="H2608" s="142" t="s">
        <v>18458</v>
      </c>
      <c r="I2608" s="142">
        <v>17</v>
      </c>
      <c r="J2608" s="142">
        <v>0</v>
      </c>
      <c r="K2608" s="142">
        <v>0</v>
      </c>
      <c r="L2608" s="142">
        <v>17</v>
      </c>
      <c r="M2608" s="142">
        <v>0</v>
      </c>
    </row>
    <row r="2609" spans="1:13" x14ac:dyDescent="0.45">
      <c r="A2609" s="142" t="s">
        <v>13159</v>
      </c>
      <c r="B2609" s="142" t="s">
        <v>14521</v>
      </c>
      <c r="C2609" s="142" t="s">
        <v>15860</v>
      </c>
      <c r="D2609" s="142" t="s">
        <v>15861</v>
      </c>
      <c r="E2609" s="142" t="s">
        <v>15849</v>
      </c>
      <c r="F2609" s="142" t="s">
        <v>11524</v>
      </c>
      <c r="G2609" s="142" t="s">
        <v>11523</v>
      </c>
      <c r="H2609" s="142" t="s">
        <v>18459</v>
      </c>
      <c r="I2609" s="142">
        <v>48</v>
      </c>
      <c r="J2609" s="142">
        <v>0</v>
      </c>
      <c r="K2609" s="142">
        <v>0</v>
      </c>
      <c r="L2609" s="142">
        <v>48</v>
      </c>
      <c r="M2609" s="142">
        <v>0</v>
      </c>
    </row>
    <row r="2610" spans="1:13" x14ac:dyDescent="0.45">
      <c r="A2610" s="142" t="s">
        <v>13000</v>
      </c>
      <c r="B2610" s="142" t="s">
        <v>14610</v>
      </c>
      <c r="C2610" s="142" t="s">
        <v>15847</v>
      </c>
      <c r="D2610" s="142" t="s">
        <v>15848</v>
      </c>
      <c r="E2610" s="142" t="s">
        <v>15849</v>
      </c>
      <c r="F2610" s="142" t="s">
        <v>11524</v>
      </c>
      <c r="G2610" s="142" t="s">
        <v>11523</v>
      </c>
      <c r="H2610" s="142" t="s">
        <v>18460</v>
      </c>
      <c r="I2610" s="142">
        <v>453</v>
      </c>
      <c r="J2610" s="142">
        <v>152</v>
      </c>
      <c r="K2610" s="142">
        <v>0</v>
      </c>
      <c r="L2610" s="142">
        <v>0</v>
      </c>
      <c r="M2610" s="142">
        <v>301</v>
      </c>
    </row>
    <row r="2611" spans="1:13" x14ac:dyDescent="0.45">
      <c r="A2611" s="142" t="s">
        <v>13632</v>
      </c>
      <c r="B2611" s="142" t="s">
        <v>15080</v>
      </c>
      <c r="C2611" s="142" t="s">
        <v>15860</v>
      </c>
      <c r="D2611" s="142" t="s">
        <v>15861</v>
      </c>
      <c r="E2611" s="142" t="s">
        <v>15849</v>
      </c>
      <c r="F2611" s="142" t="s">
        <v>11524</v>
      </c>
      <c r="G2611" s="142" t="s">
        <v>11523</v>
      </c>
      <c r="H2611" s="142" t="s">
        <v>18461</v>
      </c>
      <c r="I2611" s="142">
        <v>8</v>
      </c>
      <c r="J2611" s="142">
        <v>8</v>
      </c>
      <c r="K2611" s="142">
        <v>0</v>
      </c>
      <c r="L2611" s="142">
        <v>0</v>
      </c>
      <c r="M2611" s="142">
        <v>0</v>
      </c>
    </row>
    <row r="2612" spans="1:13" x14ac:dyDescent="0.45">
      <c r="A2612" s="142" t="s">
        <v>13098</v>
      </c>
      <c r="B2612" s="142" t="s">
        <v>14528</v>
      </c>
      <c r="C2612" s="142" t="s">
        <v>15860</v>
      </c>
      <c r="D2612" s="142" t="s">
        <v>15861</v>
      </c>
      <c r="E2612" s="142" t="s">
        <v>15849</v>
      </c>
      <c r="F2612" s="142" t="s">
        <v>11524</v>
      </c>
      <c r="G2612" s="142" t="s">
        <v>11523</v>
      </c>
      <c r="H2612" s="142" t="s">
        <v>18462</v>
      </c>
      <c r="I2612" s="142">
        <v>6</v>
      </c>
      <c r="J2612" s="142">
        <v>6</v>
      </c>
      <c r="K2612" s="142">
        <v>0</v>
      </c>
      <c r="L2612" s="142">
        <v>0</v>
      </c>
      <c r="M2612" s="142">
        <v>0</v>
      </c>
    </row>
    <row r="2613" spans="1:13" x14ac:dyDescent="0.45">
      <c r="A2613" s="142" t="s">
        <v>13633</v>
      </c>
      <c r="B2613" s="142" t="s">
        <v>14645</v>
      </c>
      <c r="C2613" s="142" t="s">
        <v>15860</v>
      </c>
      <c r="D2613" s="142" t="s">
        <v>15861</v>
      </c>
      <c r="E2613" s="142" t="s">
        <v>15849</v>
      </c>
      <c r="F2613" s="142" t="s">
        <v>11524</v>
      </c>
      <c r="G2613" s="142" t="s">
        <v>11523</v>
      </c>
      <c r="H2613" s="142" t="s">
        <v>18463</v>
      </c>
      <c r="I2613" s="142">
        <v>18</v>
      </c>
      <c r="J2613" s="142">
        <v>18</v>
      </c>
      <c r="K2613" s="142">
        <v>0</v>
      </c>
      <c r="L2613" s="142">
        <v>0</v>
      </c>
      <c r="M2613" s="142">
        <v>0</v>
      </c>
    </row>
    <row r="2614" spans="1:13" x14ac:dyDescent="0.45">
      <c r="A2614" s="142" t="s">
        <v>13634</v>
      </c>
      <c r="B2614" s="142" t="s">
        <v>15267</v>
      </c>
      <c r="C2614" s="142" t="s">
        <v>15860</v>
      </c>
      <c r="D2614" s="142" t="s">
        <v>15861</v>
      </c>
      <c r="E2614" s="142" t="s">
        <v>15849</v>
      </c>
      <c r="F2614" s="142" t="s">
        <v>11524</v>
      </c>
      <c r="G2614" s="142" t="s">
        <v>11523</v>
      </c>
      <c r="H2614" s="142" t="s">
        <v>18464</v>
      </c>
      <c r="I2614" s="142">
        <v>23</v>
      </c>
      <c r="J2614" s="142">
        <v>23</v>
      </c>
      <c r="K2614" s="142">
        <v>0</v>
      </c>
      <c r="L2614" s="142">
        <v>0</v>
      </c>
      <c r="M2614" s="142">
        <v>0</v>
      </c>
    </row>
    <row r="2615" spans="1:13" x14ac:dyDescent="0.45">
      <c r="A2615" s="142" t="s">
        <v>13122</v>
      </c>
      <c r="B2615" s="142" t="s">
        <v>14425</v>
      </c>
      <c r="C2615" s="142" t="s">
        <v>15860</v>
      </c>
      <c r="D2615" s="142" t="s">
        <v>15861</v>
      </c>
      <c r="E2615" s="142" t="s">
        <v>15849</v>
      </c>
      <c r="F2615" s="142" t="s">
        <v>11524</v>
      </c>
      <c r="G2615" s="142" t="s">
        <v>11523</v>
      </c>
      <c r="H2615" s="142" t="s">
        <v>18465</v>
      </c>
      <c r="I2615" s="142">
        <v>22</v>
      </c>
      <c r="J2615" s="142">
        <v>22</v>
      </c>
      <c r="K2615" s="142">
        <v>0</v>
      </c>
      <c r="L2615" s="142">
        <v>0</v>
      </c>
      <c r="M2615" s="142">
        <v>0</v>
      </c>
    </row>
    <row r="2616" spans="1:13" x14ac:dyDescent="0.45">
      <c r="A2616" s="142" t="s">
        <v>13027</v>
      </c>
      <c r="B2616" s="142" t="s">
        <v>14562</v>
      </c>
      <c r="C2616" s="142" t="s">
        <v>15847</v>
      </c>
      <c r="D2616" s="142" t="s">
        <v>15848</v>
      </c>
      <c r="E2616" s="142" t="s">
        <v>15849</v>
      </c>
      <c r="F2616" s="142" t="s">
        <v>11524</v>
      </c>
      <c r="G2616" s="142" t="s">
        <v>11523</v>
      </c>
      <c r="H2616" s="142" t="s">
        <v>18466</v>
      </c>
      <c r="I2616" s="142">
        <v>17</v>
      </c>
      <c r="J2616" s="142">
        <v>0</v>
      </c>
      <c r="K2616" s="142">
        <v>0</v>
      </c>
      <c r="L2616" s="142">
        <v>17</v>
      </c>
      <c r="M2616" s="142">
        <v>0</v>
      </c>
    </row>
    <row r="2617" spans="1:13" x14ac:dyDescent="0.45">
      <c r="A2617" s="142" t="s">
        <v>13001</v>
      </c>
      <c r="B2617" s="142" t="s">
        <v>15506</v>
      </c>
      <c r="C2617" s="142" t="s">
        <v>15847</v>
      </c>
      <c r="D2617" s="142" t="s">
        <v>15848</v>
      </c>
      <c r="E2617" s="142" t="s">
        <v>15849</v>
      </c>
      <c r="F2617" s="142" t="s">
        <v>11524</v>
      </c>
      <c r="G2617" s="142" t="s">
        <v>11523</v>
      </c>
      <c r="H2617" s="142" t="s">
        <v>18467</v>
      </c>
      <c r="I2617" s="142">
        <v>15</v>
      </c>
      <c r="J2617" s="142">
        <v>15</v>
      </c>
      <c r="K2617" s="142">
        <v>0</v>
      </c>
      <c r="L2617" s="142">
        <v>0</v>
      </c>
      <c r="M2617" s="142">
        <v>0</v>
      </c>
    </row>
    <row r="2618" spans="1:13" x14ac:dyDescent="0.45">
      <c r="A2618" s="142" t="s">
        <v>13028</v>
      </c>
      <c r="B2618" s="142" t="s">
        <v>14462</v>
      </c>
      <c r="C2618" s="142" t="s">
        <v>15847</v>
      </c>
      <c r="D2618" s="142" t="s">
        <v>15848</v>
      </c>
      <c r="E2618" s="142" t="s">
        <v>15849</v>
      </c>
      <c r="F2618" s="142" t="s">
        <v>11524</v>
      </c>
      <c r="G2618" s="142" t="s">
        <v>11523</v>
      </c>
      <c r="H2618" s="142" t="s">
        <v>18468</v>
      </c>
      <c r="I2618" s="142">
        <v>38</v>
      </c>
      <c r="J2618" s="142">
        <v>0</v>
      </c>
      <c r="K2618" s="142">
        <v>0</v>
      </c>
      <c r="L2618" s="142">
        <v>0</v>
      </c>
      <c r="M2618" s="142">
        <v>38</v>
      </c>
    </row>
    <row r="2619" spans="1:13" x14ac:dyDescent="0.45">
      <c r="A2619" s="142" t="s">
        <v>13160</v>
      </c>
      <c r="B2619" s="142" t="s">
        <v>14525</v>
      </c>
      <c r="C2619" s="142" t="s">
        <v>15847</v>
      </c>
      <c r="D2619" s="142" t="s">
        <v>15848</v>
      </c>
      <c r="E2619" s="142" t="s">
        <v>15849</v>
      </c>
      <c r="F2619" s="142" t="s">
        <v>11524</v>
      </c>
      <c r="G2619" s="142" t="s">
        <v>11523</v>
      </c>
      <c r="H2619" s="142" t="s">
        <v>18469</v>
      </c>
      <c r="I2619" s="142">
        <v>19</v>
      </c>
      <c r="J2619" s="142">
        <v>0</v>
      </c>
      <c r="K2619" s="142">
        <v>0</v>
      </c>
      <c r="L2619" s="142">
        <v>19</v>
      </c>
      <c r="M2619" s="142">
        <v>0</v>
      </c>
    </row>
    <row r="2620" spans="1:13" x14ac:dyDescent="0.45">
      <c r="A2620" s="142" t="s">
        <v>13002</v>
      </c>
      <c r="B2620" s="142" t="s">
        <v>15376</v>
      </c>
      <c r="C2620" s="142" t="s">
        <v>15847</v>
      </c>
      <c r="D2620" s="142" t="s">
        <v>15848</v>
      </c>
      <c r="E2620" s="142" t="s">
        <v>15849</v>
      </c>
      <c r="F2620" s="142" t="s">
        <v>11524</v>
      </c>
      <c r="G2620" s="142" t="s">
        <v>11523</v>
      </c>
      <c r="H2620" s="142" t="s">
        <v>18470</v>
      </c>
      <c r="I2620" s="142">
        <v>115</v>
      </c>
      <c r="J2620" s="142">
        <v>108</v>
      </c>
      <c r="K2620" s="142">
        <v>0</v>
      </c>
      <c r="L2620" s="142">
        <v>0</v>
      </c>
      <c r="M2620" s="142">
        <v>7</v>
      </c>
    </row>
    <row r="2621" spans="1:13" x14ac:dyDescent="0.45">
      <c r="A2621" s="142" t="s">
        <v>13003</v>
      </c>
      <c r="B2621" s="142" t="s">
        <v>15245</v>
      </c>
      <c r="C2621" s="142" t="s">
        <v>15847</v>
      </c>
      <c r="D2621" s="142" t="s">
        <v>15848</v>
      </c>
      <c r="E2621" s="142" t="s">
        <v>15849</v>
      </c>
      <c r="F2621" s="142" t="s">
        <v>11524</v>
      </c>
      <c r="G2621" s="142" t="s">
        <v>11523</v>
      </c>
      <c r="H2621" s="142" t="s">
        <v>18471</v>
      </c>
      <c r="I2621" s="142">
        <v>40</v>
      </c>
      <c r="J2621" s="142">
        <v>0</v>
      </c>
      <c r="K2621" s="142">
        <v>0</v>
      </c>
      <c r="L2621" s="142">
        <v>40</v>
      </c>
      <c r="M2621" s="142">
        <v>0</v>
      </c>
    </row>
    <row r="2622" spans="1:13" x14ac:dyDescent="0.45">
      <c r="A2622" s="142" t="s">
        <v>13337</v>
      </c>
      <c r="B2622" s="142" t="s">
        <v>15301</v>
      </c>
      <c r="C2622" s="142" t="s">
        <v>15860</v>
      </c>
      <c r="D2622" s="142" t="s">
        <v>15861</v>
      </c>
      <c r="E2622" s="142" t="s">
        <v>15849</v>
      </c>
      <c r="F2622" s="142" t="s">
        <v>11524</v>
      </c>
      <c r="G2622" s="142" t="s">
        <v>11523</v>
      </c>
      <c r="H2622" s="142" t="s">
        <v>18472</v>
      </c>
      <c r="I2622" s="142">
        <v>62</v>
      </c>
      <c r="J2622" s="142">
        <v>56</v>
      </c>
      <c r="K2622" s="142">
        <v>0</v>
      </c>
      <c r="L2622" s="142">
        <v>6</v>
      </c>
      <c r="M2622" s="142">
        <v>0</v>
      </c>
    </row>
    <row r="2623" spans="1:13" x14ac:dyDescent="0.45">
      <c r="A2623" s="142" t="s">
        <v>13635</v>
      </c>
      <c r="B2623" s="142" t="s">
        <v>14723</v>
      </c>
      <c r="C2623" s="142" t="s">
        <v>15860</v>
      </c>
      <c r="D2623" s="142" t="s">
        <v>15861</v>
      </c>
      <c r="E2623" s="142" t="s">
        <v>15849</v>
      </c>
      <c r="F2623" s="142" t="s">
        <v>11524</v>
      </c>
      <c r="G2623" s="142" t="s">
        <v>11523</v>
      </c>
      <c r="H2623" s="142" t="s">
        <v>18473</v>
      </c>
      <c r="I2623" s="142">
        <v>140</v>
      </c>
      <c r="J2623" s="142">
        <v>6</v>
      </c>
      <c r="K2623" s="142">
        <v>0</v>
      </c>
      <c r="L2623" s="142">
        <v>134</v>
      </c>
      <c r="M2623" s="142">
        <v>0</v>
      </c>
    </row>
    <row r="2624" spans="1:13" x14ac:dyDescent="0.45">
      <c r="A2624" s="142" t="s">
        <v>13066</v>
      </c>
      <c r="B2624" s="142" t="s">
        <v>14459</v>
      </c>
      <c r="C2624" s="142" t="s">
        <v>15847</v>
      </c>
      <c r="D2624" s="142" t="s">
        <v>15848</v>
      </c>
      <c r="E2624" s="142" t="s">
        <v>15849</v>
      </c>
      <c r="F2624" s="142" t="s">
        <v>11524</v>
      </c>
      <c r="G2624" s="142" t="s">
        <v>11523</v>
      </c>
      <c r="H2624" s="142" t="s">
        <v>18474</v>
      </c>
      <c r="I2624" s="142">
        <v>15</v>
      </c>
      <c r="J2624" s="142">
        <v>0</v>
      </c>
      <c r="K2624" s="142">
        <v>0</v>
      </c>
      <c r="L2624" s="142">
        <v>15</v>
      </c>
      <c r="M2624" s="142">
        <v>0</v>
      </c>
    </row>
    <row r="2625" spans="1:13" x14ac:dyDescent="0.45">
      <c r="A2625" s="142" t="s">
        <v>13124</v>
      </c>
      <c r="B2625" s="142" t="s">
        <v>15554</v>
      </c>
      <c r="C2625" s="142" t="s">
        <v>15860</v>
      </c>
      <c r="D2625" s="142" t="s">
        <v>15861</v>
      </c>
      <c r="E2625" s="142" t="s">
        <v>15849</v>
      </c>
      <c r="F2625" s="142" t="s">
        <v>11524</v>
      </c>
      <c r="G2625" s="142" t="s">
        <v>11523</v>
      </c>
      <c r="H2625" s="142" t="s">
        <v>18475</v>
      </c>
      <c r="I2625" s="142">
        <v>17</v>
      </c>
      <c r="J2625" s="142">
        <v>5</v>
      </c>
      <c r="K2625" s="142">
        <v>0</v>
      </c>
      <c r="L2625" s="142">
        <v>12</v>
      </c>
      <c r="M2625" s="142">
        <v>0</v>
      </c>
    </row>
    <row r="2626" spans="1:13" x14ac:dyDescent="0.45">
      <c r="A2626" s="142" t="s">
        <v>13127</v>
      </c>
      <c r="B2626" s="142" t="s">
        <v>15549</v>
      </c>
      <c r="C2626" s="142" t="s">
        <v>15847</v>
      </c>
      <c r="D2626" s="142" t="s">
        <v>15848</v>
      </c>
      <c r="E2626" s="142" t="s">
        <v>15849</v>
      </c>
      <c r="F2626" s="142" t="s">
        <v>11524</v>
      </c>
      <c r="G2626" s="142" t="s">
        <v>11523</v>
      </c>
      <c r="H2626" s="142" t="s">
        <v>18476</v>
      </c>
      <c r="I2626" s="142">
        <v>462</v>
      </c>
      <c r="J2626" s="142">
        <v>443</v>
      </c>
      <c r="K2626" s="142">
        <v>0</v>
      </c>
      <c r="L2626" s="142">
        <v>0</v>
      </c>
      <c r="M2626" s="142">
        <v>19</v>
      </c>
    </row>
    <row r="2627" spans="1:13" x14ac:dyDescent="0.45">
      <c r="A2627" s="142" t="s">
        <v>13005</v>
      </c>
      <c r="B2627" s="142" t="s">
        <v>15475</v>
      </c>
      <c r="C2627" s="142" t="s">
        <v>15847</v>
      </c>
      <c r="D2627" s="142" t="s">
        <v>15848</v>
      </c>
      <c r="E2627" s="142" t="s">
        <v>15849</v>
      </c>
      <c r="F2627" s="142" t="s">
        <v>11524</v>
      </c>
      <c r="G2627" s="142" t="s">
        <v>11523</v>
      </c>
      <c r="H2627" s="142" t="s">
        <v>18477</v>
      </c>
      <c r="I2627" s="142">
        <v>1288</v>
      </c>
      <c r="J2627" s="142">
        <v>867</v>
      </c>
      <c r="K2627" s="142">
        <v>0</v>
      </c>
      <c r="L2627" s="142">
        <v>7</v>
      </c>
      <c r="M2627" s="142">
        <v>414</v>
      </c>
    </row>
    <row r="2628" spans="1:13" x14ac:dyDescent="0.45">
      <c r="A2628" s="142" t="s">
        <v>13101</v>
      </c>
      <c r="B2628" s="142" t="s">
        <v>15491</v>
      </c>
      <c r="C2628" s="142" t="s">
        <v>15847</v>
      </c>
      <c r="D2628" s="142" t="s">
        <v>15848</v>
      </c>
      <c r="E2628" s="142" t="s">
        <v>15849</v>
      </c>
      <c r="F2628" s="142" t="s">
        <v>11524</v>
      </c>
      <c r="G2628" s="142" t="s">
        <v>11523</v>
      </c>
      <c r="H2628" s="142" t="s">
        <v>18478</v>
      </c>
      <c r="I2628" s="142">
        <v>38</v>
      </c>
      <c r="J2628" s="142">
        <v>0</v>
      </c>
      <c r="K2628" s="142">
        <v>0</v>
      </c>
      <c r="L2628" s="142">
        <v>38</v>
      </c>
      <c r="M2628" s="142">
        <v>0</v>
      </c>
    </row>
    <row r="2629" spans="1:13" x14ac:dyDescent="0.45">
      <c r="A2629" s="142" t="s">
        <v>13006</v>
      </c>
      <c r="B2629" s="142" t="s">
        <v>15288</v>
      </c>
      <c r="C2629" s="142" t="s">
        <v>15847</v>
      </c>
      <c r="D2629" s="142" t="s">
        <v>15848</v>
      </c>
      <c r="E2629" s="142" t="s">
        <v>15849</v>
      </c>
      <c r="F2629" s="142" t="s">
        <v>11524</v>
      </c>
      <c r="G2629" s="142" t="s">
        <v>11523</v>
      </c>
      <c r="H2629" s="142" t="s">
        <v>18479</v>
      </c>
      <c r="I2629" s="142">
        <v>277</v>
      </c>
      <c r="J2629" s="142">
        <v>193</v>
      </c>
      <c r="K2629" s="142">
        <v>0</v>
      </c>
      <c r="L2629" s="142">
        <v>0</v>
      </c>
      <c r="M2629" s="142">
        <v>84</v>
      </c>
    </row>
    <row r="2630" spans="1:13" x14ac:dyDescent="0.45">
      <c r="A2630" s="142" t="s">
        <v>13007</v>
      </c>
      <c r="B2630" s="142" t="s">
        <v>15262</v>
      </c>
      <c r="C2630" s="142" t="s">
        <v>15847</v>
      </c>
      <c r="D2630" s="142" t="s">
        <v>15848</v>
      </c>
      <c r="E2630" s="142" t="s">
        <v>15849</v>
      </c>
      <c r="F2630" s="142" t="s">
        <v>11524</v>
      </c>
      <c r="G2630" s="142" t="s">
        <v>11523</v>
      </c>
      <c r="H2630" s="142" t="s">
        <v>18480</v>
      </c>
      <c r="I2630" s="142">
        <v>1</v>
      </c>
      <c r="J2630" s="142">
        <v>0</v>
      </c>
      <c r="K2630" s="142">
        <v>0</v>
      </c>
      <c r="L2630" s="142">
        <v>0</v>
      </c>
      <c r="M2630" s="142">
        <v>1</v>
      </c>
    </row>
    <row r="2631" spans="1:13" x14ac:dyDescent="0.45">
      <c r="A2631" s="142" t="s">
        <v>13516</v>
      </c>
      <c r="B2631" s="142" t="s">
        <v>14461</v>
      </c>
      <c r="C2631" s="142" t="s">
        <v>15860</v>
      </c>
      <c r="D2631" s="142" t="s">
        <v>15861</v>
      </c>
      <c r="E2631" s="142" t="s">
        <v>15849</v>
      </c>
      <c r="F2631" s="142" t="s">
        <v>11524</v>
      </c>
      <c r="G2631" s="142" t="s">
        <v>11523</v>
      </c>
      <c r="H2631" s="142" t="s">
        <v>18481</v>
      </c>
      <c r="I2631" s="142">
        <v>6</v>
      </c>
      <c r="J2631" s="142">
        <v>0</v>
      </c>
      <c r="K2631" s="142">
        <v>0</v>
      </c>
      <c r="L2631" s="142">
        <v>6</v>
      </c>
      <c r="M2631" s="142">
        <v>0</v>
      </c>
    </row>
    <row r="2632" spans="1:13" x14ac:dyDescent="0.45">
      <c r="A2632" s="142" t="s">
        <v>13103</v>
      </c>
      <c r="B2632" s="142" t="s">
        <v>14623</v>
      </c>
      <c r="C2632" s="142" t="s">
        <v>15847</v>
      </c>
      <c r="D2632" s="142" t="s">
        <v>15848</v>
      </c>
      <c r="E2632" s="142" t="s">
        <v>15849</v>
      </c>
      <c r="F2632" s="142" t="s">
        <v>11524</v>
      </c>
      <c r="G2632" s="142" t="s">
        <v>11523</v>
      </c>
      <c r="H2632" s="142" t="s">
        <v>18482</v>
      </c>
      <c r="I2632" s="142">
        <v>2130</v>
      </c>
      <c r="J2632" s="142">
        <v>1732</v>
      </c>
      <c r="K2632" s="142">
        <v>37</v>
      </c>
      <c r="L2632" s="142">
        <v>208</v>
      </c>
      <c r="M2632" s="142">
        <v>153</v>
      </c>
    </row>
    <row r="2633" spans="1:13" x14ac:dyDescent="0.45">
      <c r="A2633" s="142" t="s">
        <v>13054</v>
      </c>
      <c r="B2633" s="142" t="s">
        <v>15604</v>
      </c>
      <c r="C2633" s="142" t="s">
        <v>15847</v>
      </c>
      <c r="D2633" s="142" t="s">
        <v>15848</v>
      </c>
      <c r="E2633" s="142" t="s">
        <v>15849</v>
      </c>
      <c r="F2633" s="142" t="s">
        <v>11524</v>
      </c>
      <c r="G2633" s="142" t="s">
        <v>11523</v>
      </c>
      <c r="H2633" s="142" t="s">
        <v>18483</v>
      </c>
      <c r="I2633" s="142">
        <v>431</v>
      </c>
      <c r="J2633" s="142">
        <v>0</v>
      </c>
      <c r="K2633" s="142">
        <v>0</v>
      </c>
      <c r="L2633" s="142">
        <v>0</v>
      </c>
      <c r="M2633" s="142">
        <v>431</v>
      </c>
    </row>
    <row r="2634" spans="1:13" x14ac:dyDescent="0.45">
      <c r="A2634" s="142" t="s">
        <v>13129</v>
      </c>
      <c r="B2634" s="142" t="s">
        <v>15284</v>
      </c>
      <c r="C2634" s="142" t="s">
        <v>15847</v>
      </c>
      <c r="D2634" s="142" t="s">
        <v>15848</v>
      </c>
      <c r="E2634" s="142" t="s">
        <v>15849</v>
      </c>
      <c r="F2634" s="142" t="s">
        <v>11524</v>
      </c>
      <c r="G2634" s="142" t="s">
        <v>11523</v>
      </c>
      <c r="H2634" s="142" t="s">
        <v>18484</v>
      </c>
      <c r="I2634" s="142">
        <v>96</v>
      </c>
      <c r="J2634" s="142">
        <v>40</v>
      </c>
      <c r="K2634" s="142">
        <v>0</v>
      </c>
      <c r="L2634" s="142">
        <v>0</v>
      </c>
      <c r="M2634" s="142">
        <v>56</v>
      </c>
    </row>
    <row r="2635" spans="1:13" x14ac:dyDescent="0.45">
      <c r="A2635" s="142" t="s">
        <v>13636</v>
      </c>
      <c r="B2635" s="142" t="s">
        <v>14440</v>
      </c>
      <c r="C2635" s="142" t="s">
        <v>15860</v>
      </c>
      <c r="D2635" s="142" t="s">
        <v>15861</v>
      </c>
      <c r="E2635" s="142" t="s">
        <v>15849</v>
      </c>
      <c r="F2635" s="142" t="s">
        <v>11524</v>
      </c>
      <c r="G2635" s="142" t="s">
        <v>11523</v>
      </c>
      <c r="H2635" s="142" t="s">
        <v>18485</v>
      </c>
      <c r="I2635" s="142">
        <v>55</v>
      </c>
      <c r="J2635" s="142">
        <v>55</v>
      </c>
      <c r="K2635" s="142">
        <v>0</v>
      </c>
      <c r="L2635" s="142">
        <v>0</v>
      </c>
      <c r="M2635" s="142">
        <v>0</v>
      </c>
    </row>
    <row r="2636" spans="1:13" x14ac:dyDescent="0.45">
      <c r="A2636" s="142" t="s">
        <v>13133</v>
      </c>
      <c r="B2636" s="142" t="s">
        <v>15291</v>
      </c>
      <c r="C2636" s="142" t="s">
        <v>15847</v>
      </c>
      <c r="D2636" s="142" t="s">
        <v>15848</v>
      </c>
      <c r="E2636" s="142" t="s">
        <v>15849</v>
      </c>
      <c r="F2636" s="142" t="s">
        <v>11524</v>
      </c>
      <c r="G2636" s="142" t="s">
        <v>11523</v>
      </c>
      <c r="H2636" s="142" t="s">
        <v>18486</v>
      </c>
      <c r="I2636" s="142">
        <v>2</v>
      </c>
      <c r="J2636" s="142">
        <v>0</v>
      </c>
      <c r="K2636" s="142">
        <v>0</v>
      </c>
      <c r="L2636" s="142">
        <v>0</v>
      </c>
      <c r="M2636" s="142">
        <v>2</v>
      </c>
    </row>
    <row r="2637" spans="1:13" x14ac:dyDescent="0.45">
      <c r="A2637" s="142" t="s">
        <v>13055</v>
      </c>
      <c r="B2637" s="142" t="s">
        <v>14595</v>
      </c>
      <c r="C2637" s="142" t="s">
        <v>15847</v>
      </c>
      <c r="D2637" s="142" t="s">
        <v>15848</v>
      </c>
      <c r="E2637" s="142" t="s">
        <v>15849</v>
      </c>
      <c r="F2637" s="142" t="s">
        <v>11524</v>
      </c>
      <c r="G2637" s="142" t="s">
        <v>11523</v>
      </c>
      <c r="H2637" s="142" t="s">
        <v>18487</v>
      </c>
      <c r="I2637" s="142">
        <v>407</v>
      </c>
      <c r="J2637" s="142">
        <v>312</v>
      </c>
      <c r="K2637" s="142">
        <v>0</v>
      </c>
      <c r="L2637" s="142">
        <v>63</v>
      </c>
      <c r="M2637" s="142">
        <v>32</v>
      </c>
    </row>
    <row r="2638" spans="1:13" x14ac:dyDescent="0.45">
      <c r="A2638" s="142" t="s">
        <v>13069</v>
      </c>
      <c r="B2638" s="142" t="s">
        <v>14630</v>
      </c>
      <c r="C2638" s="142" t="s">
        <v>15860</v>
      </c>
      <c r="D2638" s="142" t="s">
        <v>15861</v>
      </c>
      <c r="E2638" s="142" t="s">
        <v>15849</v>
      </c>
      <c r="F2638" s="142" t="s">
        <v>11524</v>
      </c>
      <c r="G2638" s="142" t="s">
        <v>11523</v>
      </c>
      <c r="H2638" s="142" t="s">
        <v>18488</v>
      </c>
      <c r="I2638" s="142">
        <v>10</v>
      </c>
      <c r="J2638" s="142">
        <v>10</v>
      </c>
      <c r="K2638" s="142">
        <v>0</v>
      </c>
      <c r="L2638" s="142">
        <v>0</v>
      </c>
      <c r="M2638" s="142">
        <v>0</v>
      </c>
    </row>
    <row r="2639" spans="1:13" x14ac:dyDescent="0.45">
      <c r="A2639" s="142" t="s">
        <v>13104</v>
      </c>
      <c r="B2639" s="142" t="s">
        <v>14622</v>
      </c>
      <c r="C2639" s="142" t="s">
        <v>15847</v>
      </c>
      <c r="D2639" s="142" t="s">
        <v>15848</v>
      </c>
      <c r="E2639" s="142" t="s">
        <v>15849</v>
      </c>
      <c r="F2639" s="142" t="s">
        <v>11524</v>
      </c>
      <c r="G2639" s="142" t="s">
        <v>11523</v>
      </c>
      <c r="H2639" s="142" t="s">
        <v>18489</v>
      </c>
      <c r="I2639" s="142">
        <v>4814</v>
      </c>
      <c r="J2639" s="142">
        <v>3927</v>
      </c>
      <c r="K2639" s="142">
        <v>0</v>
      </c>
      <c r="L2639" s="142">
        <v>219</v>
      </c>
      <c r="M2639" s="142">
        <v>668</v>
      </c>
    </row>
    <row r="2640" spans="1:13" x14ac:dyDescent="0.45">
      <c r="A2640" s="142" t="s">
        <v>13033</v>
      </c>
      <c r="B2640" s="142" t="s">
        <v>15276</v>
      </c>
      <c r="C2640" s="142" t="s">
        <v>15847</v>
      </c>
      <c r="D2640" s="142" t="s">
        <v>15848</v>
      </c>
      <c r="E2640" s="142" t="s">
        <v>15849</v>
      </c>
      <c r="F2640" s="142" t="s">
        <v>11524</v>
      </c>
      <c r="G2640" s="142" t="s">
        <v>11523</v>
      </c>
      <c r="H2640" s="142" t="s">
        <v>18490</v>
      </c>
      <c r="I2640" s="142">
        <v>1</v>
      </c>
      <c r="J2640" s="142">
        <v>0</v>
      </c>
      <c r="K2640" s="142">
        <v>0</v>
      </c>
      <c r="L2640" s="142">
        <v>0</v>
      </c>
      <c r="M2640" s="142">
        <v>1</v>
      </c>
    </row>
    <row r="2641" spans="1:13" x14ac:dyDescent="0.45">
      <c r="A2641" s="142" t="s">
        <v>13637</v>
      </c>
      <c r="B2641" s="142" t="s">
        <v>15252</v>
      </c>
      <c r="C2641" s="142" t="s">
        <v>15860</v>
      </c>
      <c r="D2641" s="142" t="s">
        <v>15861</v>
      </c>
      <c r="E2641" s="142" t="s">
        <v>15849</v>
      </c>
      <c r="F2641" s="142" t="s">
        <v>11524</v>
      </c>
      <c r="G2641" s="142" t="s">
        <v>11523</v>
      </c>
      <c r="H2641" s="142" t="s">
        <v>18491</v>
      </c>
      <c r="I2641" s="142">
        <v>38</v>
      </c>
      <c r="J2641" s="142">
        <v>38</v>
      </c>
      <c r="K2641" s="142">
        <v>0</v>
      </c>
      <c r="L2641" s="142">
        <v>0</v>
      </c>
      <c r="M2641" s="142">
        <v>0</v>
      </c>
    </row>
    <row r="2642" spans="1:13" x14ac:dyDescent="0.45">
      <c r="A2642" s="142" t="s">
        <v>13009</v>
      </c>
      <c r="B2642" s="142" t="s">
        <v>15256</v>
      </c>
      <c r="C2642" s="142" t="s">
        <v>15847</v>
      </c>
      <c r="D2642" s="142" t="s">
        <v>15848</v>
      </c>
      <c r="E2642" s="142" t="s">
        <v>15849</v>
      </c>
      <c r="F2642" s="142" t="s">
        <v>11524</v>
      </c>
      <c r="G2642" s="142" t="s">
        <v>11523</v>
      </c>
      <c r="H2642" s="142" t="s">
        <v>18492</v>
      </c>
      <c r="I2642" s="142">
        <v>134</v>
      </c>
      <c r="J2642" s="142">
        <v>22</v>
      </c>
      <c r="K2642" s="142">
        <v>0</v>
      </c>
      <c r="L2642" s="142">
        <v>112</v>
      </c>
      <c r="M2642" s="142">
        <v>0</v>
      </c>
    </row>
    <row r="2643" spans="1:13" x14ac:dyDescent="0.45">
      <c r="A2643" s="142" t="s">
        <v>13011</v>
      </c>
      <c r="B2643" s="142" t="s">
        <v>14695</v>
      </c>
      <c r="C2643" s="142" t="s">
        <v>15847</v>
      </c>
      <c r="D2643" s="142" t="s">
        <v>15848</v>
      </c>
      <c r="E2643" s="142" t="s">
        <v>15849</v>
      </c>
      <c r="F2643" s="142" t="s">
        <v>11524</v>
      </c>
      <c r="G2643" s="142" t="s">
        <v>11523</v>
      </c>
      <c r="H2643" s="142" t="s">
        <v>18493</v>
      </c>
      <c r="I2643" s="142">
        <v>247</v>
      </c>
      <c r="J2643" s="142">
        <v>121</v>
      </c>
      <c r="K2643" s="142">
        <v>0</v>
      </c>
      <c r="L2643" s="142">
        <v>0</v>
      </c>
      <c r="M2643" s="142">
        <v>126</v>
      </c>
    </row>
    <row r="2644" spans="1:13" x14ac:dyDescent="0.45">
      <c r="A2644" s="142" t="s">
        <v>13058</v>
      </c>
      <c r="B2644" s="142" t="s">
        <v>14584</v>
      </c>
      <c r="C2644" s="142" t="s">
        <v>15847</v>
      </c>
      <c r="D2644" s="142" t="s">
        <v>15848</v>
      </c>
      <c r="E2644" s="142" t="s">
        <v>15849</v>
      </c>
      <c r="F2644" s="142" t="s">
        <v>11524</v>
      </c>
      <c r="G2644" s="142" t="s">
        <v>11523</v>
      </c>
      <c r="H2644" s="142" t="s">
        <v>18494</v>
      </c>
      <c r="I2644" s="142">
        <v>1174</v>
      </c>
      <c r="J2644" s="142">
        <v>768</v>
      </c>
      <c r="K2644" s="142">
        <v>0</v>
      </c>
      <c r="L2644" s="142">
        <v>0</v>
      </c>
      <c r="M2644" s="142">
        <v>406</v>
      </c>
    </row>
    <row r="2645" spans="1:13" x14ac:dyDescent="0.45">
      <c r="A2645" s="142" t="s">
        <v>13443</v>
      </c>
      <c r="B2645" s="142" t="s">
        <v>15531</v>
      </c>
      <c r="C2645" s="142" t="s">
        <v>15860</v>
      </c>
      <c r="D2645" s="142" t="s">
        <v>15861</v>
      </c>
      <c r="E2645" s="142" t="s">
        <v>15849</v>
      </c>
      <c r="F2645" s="142" t="s">
        <v>11524</v>
      </c>
      <c r="G2645" s="142" t="s">
        <v>11523</v>
      </c>
      <c r="H2645" s="142" t="s">
        <v>18495</v>
      </c>
      <c r="I2645" s="142">
        <v>6</v>
      </c>
      <c r="J2645" s="142">
        <v>0</v>
      </c>
      <c r="K2645" s="142">
        <v>0</v>
      </c>
      <c r="L2645" s="142">
        <v>6</v>
      </c>
      <c r="M2645" s="142">
        <v>0</v>
      </c>
    </row>
    <row r="2646" spans="1:13" x14ac:dyDescent="0.45">
      <c r="A2646" s="142" t="s">
        <v>13306</v>
      </c>
      <c r="B2646" s="142" t="s">
        <v>15500</v>
      </c>
      <c r="C2646" s="142" t="s">
        <v>15847</v>
      </c>
      <c r="D2646" s="142" t="s">
        <v>15848</v>
      </c>
      <c r="E2646" s="142" t="s">
        <v>15849</v>
      </c>
      <c r="F2646" s="142" t="s">
        <v>11524</v>
      </c>
      <c r="G2646" s="142" t="s">
        <v>11523</v>
      </c>
      <c r="H2646" s="142" t="s">
        <v>18496</v>
      </c>
      <c r="I2646" s="142">
        <v>18</v>
      </c>
      <c r="J2646" s="142">
        <v>0</v>
      </c>
      <c r="K2646" s="142">
        <v>18</v>
      </c>
      <c r="L2646" s="142">
        <v>0</v>
      </c>
      <c r="M2646" s="142">
        <v>0</v>
      </c>
    </row>
    <row r="2647" spans="1:13" x14ac:dyDescent="0.45">
      <c r="A2647" s="142" t="s">
        <v>13012</v>
      </c>
      <c r="B2647" s="142" t="s">
        <v>15337</v>
      </c>
      <c r="C2647" s="142" t="s">
        <v>15847</v>
      </c>
      <c r="D2647" s="142" t="s">
        <v>15848</v>
      </c>
      <c r="E2647" s="142" t="s">
        <v>15849</v>
      </c>
      <c r="F2647" s="142" t="s">
        <v>11524</v>
      </c>
      <c r="G2647" s="142" t="s">
        <v>11523</v>
      </c>
      <c r="H2647" s="142" t="s">
        <v>18497</v>
      </c>
      <c r="I2647" s="142">
        <v>1</v>
      </c>
      <c r="J2647" s="142">
        <v>1</v>
      </c>
      <c r="K2647" s="142">
        <v>0</v>
      </c>
      <c r="L2647" s="142">
        <v>0</v>
      </c>
      <c r="M2647" s="142">
        <v>0</v>
      </c>
    </row>
    <row r="2648" spans="1:13" x14ac:dyDescent="0.45">
      <c r="A2648" s="142" t="s">
        <v>13138</v>
      </c>
      <c r="B2648" s="142" t="s">
        <v>14590</v>
      </c>
      <c r="C2648" s="142" t="s">
        <v>15860</v>
      </c>
      <c r="D2648" s="142" t="s">
        <v>15861</v>
      </c>
      <c r="E2648" s="142" t="s">
        <v>15849</v>
      </c>
      <c r="F2648" s="142" t="s">
        <v>11524</v>
      </c>
      <c r="G2648" s="142" t="s">
        <v>11523</v>
      </c>
      <c r="H2648" s="142" t="s">
        <v>18498</v>
      </c>
      <c r="I2648" s="142">
        <v>7</v>
      </c>
      <c r="J2648" s="142">
        <v>7</v>
      </c>
      <c r="K2648" s="142">
        <v>0</v>
      </c>
      <c r="L2648" s="142">
        <v>0</v>
      </c>
      <c r="M2648" s="142">
        <v>0</v>
      </c>
    </row>
    <row r="2649" spans="1:13" x14ac:dyDescent="0.45">
      <c r="A2649" s="142" t="s">
        <v>13344</v>
      </c>
      <c r="B2649" s="142" t="s">
        <v>15448</v>
      </c>
      <c r="C2649" s="142" t="s">
        <v>15860</v>
      </c>
      <c r="D2649" s="142" t="s">
        <v>15861</v>
      </c>
      <c r="E2649" s="142" t="s">
        <v>15849</v>
      </c>
      <c r="F2649" s="142" t="s">
        <v>11524</v>
      </c>
      <c r="G2649" s="142" t="s">
        <v>11523</v>
      </c>
      <c r="H2649" s="142" t="s">
        <v>18499</v>
      </c>
      <c r="I2649" s="142">
        <v>7</v>
      </c>
      <c r="J2649" s="142">
        <v>7</v>
      </c>
      <c r="K2649" s="142">
        <v>0</v>
      </c>
      <c r="L2649" s="142">
        <v>0</v>
      </c>
      <c r="M2649" s="142">
        <v>0</v>
      </c>
    </row>
    <row r="2650" spans="1:13" x14ac:dyDescent="0.45">
      <c r="A2650" s="142" t="s">
        <v>13638</v>
      </c>
      <c r="B2650" s="142" t="s">
        <v>15271</v>
      </c>
      <c r="C2650" s="142" t="s">
        <v>15847</v>
      </c>
      <c r="D2650" s="142" t="s">
        <v>15848</v>
      </c>
      <c r="E2650" s="142" t="s">
        <v>15849</v>
      </c>
      <c r="F2650" s="142" t="s">
        <v>11524</v>
      </c>
      <c r="G2650" s="142" t="s">
        <v>11523</v>
      </c>
      <c r="H2650" s="142" t="s">
        <v>18500</v>
      </c>
      <c r="I2650" s="142">
        <v>111</v>
      </c>
      <c r="J2650" s="142">
        <v>0</v>
      </c>
      <c r="K2650" s="142">
        <v>0</v>
      </c>
      <c r="L2650" s="142">
        <v>0</v>
      </c>
      <c r="M2650" s="142">
        <v>111</v>
      </c>
    </row>
    <row r="2651" spans="1:13" x14ac:dyDescent="0.45">
      <c r="A2651" s="142" t="s">
        <v>13391</v>
      </c>
      <c r="B2651" s="142" t="s">
        <v>15205</v>
      </c>
      <c r="C2651" s="142" t="s">
        <v>15860</v>
      </c>
      <c r="D2651" s="142" t="s">
        <v>15861</v>
      </c>
      <c r="E2651" s="142" t="s">
        <v>15849</v>
      </c>
      <c r="F2651" s="142" t="s">
        <v>11524</v>
      </c>
      <c r="G2651" s="142" t="s">
        <v>11523</v>
      </c>
      <c r="H2651" s="142" t="s">
        <v>18501</v>
      </c>
      <c r="I2651" s="142">
        <v>8</v>
      </c>
      <c r="J2651" s="142">
        <v>0</v>
      </c>
      <c r="K2651" s="142">
        <v>0</v>
      </c>
      <c r="L2651" s="142">
        <v>8</v>
      </c>
      <c r="M2651" s="142">
        <v>0</v>
      </c>
    </row>
    <row r="2652" spans="1:13" x14ac:dyDescent="0.45">
      <c r="A2652" s="142" t="s">
        <v>13014</v>
      </c>
      <c r="B2652" s="142" t="s">
        <v>14505</v>
      </c>
      <c r="C2652" s="142" t="s">
        <v>15847</v>
      </c>
      <c r="D2652" s="142" t="s">
        <v>15848</v>
      </c>
      <c r="E2652" s="142" t="s">
        <v>15849</v>
      </c>
      <c r="F2652" s="142" t="s">
        <v>11524</v>
      </c>
      <c r="G2652" s="142" t="s">
        <v>11523</v>
      </c>
      <c r="H2652" s="142" t="s">
        <v>18502</v>
      </c>
      <c r="I2652" s="142">
        <v>533</v>
      </c>
      <c r="J2652" s="142">
        <v>279</v>
      </c>
      <c r="K2652" s="142">
        <v>3</v>
      </c>
      <c r="L2652" s="142">
        <v>0</v>
      </c>
      <c r="M2652" s="142">
        <v>251</v>
      </c>
    </row>
    <row r="2653" spans="1:13" x14ac:dyDescent="0.45">
      <c r="A2653" s="142" t="s">
        <v>13042</v>
      </c>
      <c r="B2653" s="142" t="s">
        <v>15489</v>
      </c>
      <c r="C2653" s="142" t="s">
        <v>15847</v>
      </c>
      <c r="D2653" s="142" t="s">
        <v>15848</v>
      </c>
      <c r="E2653" s="142" t="s">
        <v>15849</v>
      </c>
      <c r="F2653" s="142" t="s">
        <v>11524</v>
      </c>
      <c r="G2653" s="142" t="s">
        <v>11523</v>
      </c>
      <c r="H2653" s="142" t="s">
        <v>18503</v>
      </c>
      <c r="I2653" s="142">
        <v>36</v>
      </c>
      <c r="J2653" s="142">
        <v>14</v>
      </c>
      <c r="K2653" s="142">
        <v>0</v>
      </c>
      <c r="L2653" s="142">
        <v>0</v>
      </c>
      <c r="M2653" s="142">
        <v>22</v>
      </c>
    </row>
    <row r="2654" spans="1:13" x14ac:dyDescent="0.45">
      <c r="A2654" s="142" t="s">
        <v>13062</v>
      </c>
      <c r="B2654" s="142" t="s">
        <v>15259</v>
      </c>
      <c r="C2654" s="142" t="s">
        <v>15847</v>
      </c>
      <c r="D2654" s="142" t="s">
        <v>15848</v>
      </c>
      <c r="E2654" s="142" t="s">
        <v>15849</v>
      </c>
      <c r="F2654" s="142" t="s">
        <v>11524</v>
      </c>
      <c r="G2654" s="142" t="s">
        <v>11523</v>
      </c>
      <c r="H2654" s="142" t="s">
        <v>18504</v>
      </c>
      <c r="I2654" s="142">
        <v>1</v>
      </c>
      <c r="J2654" s="142">
        <v>0</v>
      </c>
      <c r="K2654" s="142">
        <v>0</v>
      </c>
      <c r="L2654" s="142">
        <v>0</v>
      </c>
      <c r="M2654" s="142">
        <v>1</v>
      </c>
    </row>
    <row r="2655" spans="1:13" x14ac:dyDescent="0.45">
      <c r="A2655" s="142" t="s">
        <v>13639</v>
      </c>
      <c r="B2655" s="142" t="s">
        <v>14991</v>
      </c>
      <c r="C2655" s="142" t="s">
        <v>15860</v>
      </c>
      <c r="D2655" s="142" t="s">
        <v>15861</v>
      </c>
      <c r="E2655" s="142" t="s">
        <v>15849</v>
      </c>
      <c r="F2655" s="142" t="s">
        <v>11524</v>
      </c>
      <c r="G2655" s="142" t="s">
        <v>11523</v>
      </c>
      <c r="H2655" s="142" t="s">
        <v>18505</v>
      </c>
      <c r="I2655" s="142">
        <v>41</v>
      </c>
      <c r="J2655" s="142">
        <v>41</v>
      </c>
      <c r="K2655" s="142">
        <v>0</v>
      </c>
      <c r="L2655" s="142">
        <v>0</v>
      </c>
      <c r="M2655" s="142">
        <v>0</v>
      </c>
    </row>
    <row r="2656" spans="1:13" x14ac:dyDescent="0.45">
      <c r="A2656" s="142" t="s">
        <v>13142</v>
      </c>
      <c r="B2656" s="142" t="s">
        <v>15469</v>
      </c>
      <c r="C2656" s="142" t="s">
        <v>15847</v>
      </c>
      <c r="D2656" s="142" t="s">
        <v>15848</v>
      </c>
      <c r="E2656" s="142" t="s">
        <v>15849</v>
      </c>
      <c r="F2656" s="142" t="s">
        <v>11524</v>
      </c>
      <c r="G2656" s="142" t="s">
        <v>11523</v>
      </c>
      <c r="H2656" s="142" t="s">
        <v>18506</v>
      </c>
      <c r="I2656" s="142">
        <v>5</v>
      </c>
      <c r="J2656" s="142">
        <v>1</v>
      </c>
      <c r="K2656" s="142">
        <v>0</v>
      </c>
      <c r="L2656" s="142">
        <v>4</v>
      </c>
      <c r="M2656" s="142">
        <v>0</v>
      </c>
    </row>
    <row r="2657" spans="1:13" x14ac:dyDescent="0.45">
      <c r="A2657" s="142" t="s">
        <v>13156</v>
      </c>
      <c r="B2657" s="142" t="s">
        <v>14493</v>
      </c>
      <c r="C2657" s="142" t="s">
        <v>15860</v>
      </c>
      <c r="D2657" s="142" t="s">
        <v>15861</v>
      </c>
      <c r="E2657" s="142" t="s">
        <v>15849</v>
      </c>
      <c r="F2657" s="142" t="s">
        <v>11524</v>
      </c>
      <c r="G2657" s="142" t="s">
        <v>11523</v>
      </c>
      <c r="H2657" s="142" t="s">
        <v>18507</v>
      </c>
      <c r="I2657" s="142">
        <v>17</v>
      </c>
      <c r="J2657" s="142">
        <v>0</v>
      </c>
      <c r="K2657" s="142">
        <v>0</v>
      </c>
      <c r="L2657" s="142">
        <v>17</v>
      </c>
      <c r="M2657" s="142">
        <v>0</v>
      </c>
    </row>
    <row r="2658" spans="1:13" x14ac:dyDescent="0.45">
      <c r="A2658" s="142" t="s">
        <v>13143</v>
      </c>
      <c r="B2658" s="142" t="s">
        <v>15504</v>
      </c>
      <c r="C2658" s="142" t="s">
        <v>15860</v>
      </c>
      <c r="D2658" s="142" t="s">
        <v>15861</v>
      </c>
      <c r="E2658" s="142" t="s">
        <v>15849</v>
      </c>
      <c r="F2658" s="142" t="s">
        <v>11524</v>
      </c>
      <c r="G2658" s="142" t="s">
        <v>11523</v>
      </c>
      <c r="H2658" s="142" t="s">
        <v>18508</v>
      </c>
      <c r="I2658" s="142">
        <v>26</v>
      </c>
      <c r="J2658" s="142">
        <v>0</v>
      </c>
      <c r="K2658" s="142">
        <v>0</v>
      </c>
      <c r="L2658" s="142">
        <v>26</v>
      </c>
      <c r="M2658" s="142">
        <v>0</v>
      </c>
    </row>
    <row r="2659" spans="1:13" x14ac:dyDescent="0.45">
      <c r="A2659" s="142" t="s">
        <v>13144</v>
      </c>
      <c r="B2659" s="142" t="s">
        <v>14464</v>
      </c>
      <c r="C2659" s="142" t="s">
        <v>15860</v>
      </c>
      <c r="D2659" s="142" t="s">
        <v>15861</v>
      </c>
      <c r="E2659" s="142" t="s">
        <v>15849</v>
      </c>
      <c r="F2659" s="142" t="s">
        <v>11524</v>
      </c>
      <c r="G2659" s="142" t="s">
        <v>11523</v>
      </c>
      <c r="H2659" s="142" t="s">
        <v>18509</v>
      </c>
      <c r="I2659" s="142">
        <v>10</v>
      </c>
      <c r="J2659" s="142">
        <v>10</v>
      </c>
      <c r="K2659" s="142">
        <v>0</v>
      </c>
      <c r="L2659" s="142">
        <v>0</v>
      </c>
      <c r="M2659" s="142">
        <v>0</v>
      </c>
    </row>
    <row r="2660" spans="1:13" x14ac:dyDescent="0.45">
      <c r="A2660" s="142" t="s">
        <v>13640</v>
      </c>
      <c r="B2660" s="142" t="s">
        <v>15570</v>
      </c>
      <c r="C2660" s="142" t="s">
        <v>15847</v>
      </c>
      <c r="D2660" s="142" t="s">
        <v>15848</v>
      </c>
      <c r="E2660" s="142" t="s">
        <v>15849</v>
      </c>
      <c r="F2660" s="142" t="s">
        <v>11524</v>
      </c>
      <c r="G2660" s="142" t="s">
        <v>11523</v>
      </c>
      <c r="H2660" s="142" t="s">
        <v>18510</v>
      </c>
      <c r="I2660" s="142">
        <v>241</v>
      </c>
      <c r="J2660" s="142">
        <v>0</v>
      </c>
      <c r="K2660" s="142">
        <v>0</v>
      </c>
      <c r="L2660" s="142">
        <v>241</v>
      </c>
      <c r="M2660" s="142">
        <v>0</v>
      </c>
    </row>
    <row r="2661" spans="1:13" x14ac:dyDescent="0.45">
      <c r="A2661" s="142" t="s">
        <v>13072</v>
      </c>
      <c r="B2661" s="142" t="s">
        <v>15530</v>
      </c>
      <c r="C2661" s="142" t="s">
        <v>15847</v>
      </c>
      <c r="D2661" s="142" t="s">
        <v>15848</v>
      </c>
      <c r="E2661" s="142" t="s">
        <v>15849</v>
      </c>
      <c r="F2661" s="142" t="s">
        <v>2966</v>
      </c>
      <c r="G2661" s="142" t="s">
        <v>2965</v>
      </c>
      <c r="H2661" s="142" t="s">
        <v>18511</v>
      </c>
      <c r="I2661" s="142">
        <v>137</v>
      </c>
      <c r="J2661" s="142">
        <v>72</v>
      </c>
      <c r="K2661" s="142">
        <v>0</v>
      </c>
      <c r="L2661" s="142">
        <v>0</v>
      </c>
      <c r="M2661" s="142">
        <v>65</v>
      </c>
    </row>
    <row r="2662" spans="1:13" x14ac:dyDescent="0.45">
      <c r="A2662" s="142" t="s">
        <v>13022</v>
      </c>
      <c r="B2662" s="142" t="s">
        <v>14634</v>
      </c>
      <c r="C2662" s="142" t="s">
        <v>15847</v>
      </c>
      <c r="D2662" s="142" t="s">
        <v>15848</v>
      </c>
      <c r="E2662" s="142" t="s">
        <v>15849</v>
      </c>
      <c r="F2662" s="142" t="s">
        <v>2966</v>
      </c>
      <c r="G2662" s="142" t="s">
        <v>2965</v>
      </c>
      <c r="H2662" s="142" t="s">
        <v>18512</v>
      </c>
      <c r="I2662" s="142">
        <v>195</v>
      </c>
      <c r="J2662" s="142">
        <v>76</v>
      </c>
      <c r="K2662" s="142">
        <v>0</v>
      </c>
      <c r="L2662" s="142">
        <v>65</v>
      </c>
      <c r="M2662" s="142">
        <v>54</v>
      </c>
    </row>
    <row r="2663" spans="1:13" x14ac:dyDescent="0.45">
      <c r="A2663" s="142" t="s">
        <v>13000</v>
      </c>
      <c r="B2663" s="142" t="s">
        <v>14610</v>
      </c>
      <c r="C2663" s="142" t="s">
        <v>15847</v>
      </c>
      <c r="D2663" s="142" t="s">
        <v>15848</v>
      </c>
      <c r="E2663" s="142" t="s">
        <v>15849</v>
      </c>
      <c r="F2663" s="142" t="s">
        <v>2966</v>
      </c>
      <c r="G2663" s="142" t="s">
        <v>2965</v>
      </c>
      <c r="H2663" s="142" t="s">
        <v>18513</v>
      </c>
      <c r="I2663" s="142">
        <v>208</v>
      </c>
      <c r="J2663" s="142">
        <v>136</v>
      </c>
      <c r="K2663" s="142">
        <v>0</v>
      </c>
      <c r="L2663" s="142">
        <v>0</v>
      </c>
      <c r="M2663" s="142">
        <v>72</v>
      </c>
    </row>
    <row r="2664" spans="1:13" x14ac:dyDescent="0.45">
      <c r="A2664" s="142" t="s">
        <v>13198</v>
      </c>
      <c r="B2664" s="142" t="s">
        <v>15602</v>
      </c>
      <c r="C2664" s="142" t="s">
        <v>15847</v>
      </c>
      <c r="D2664" s="142" t="s">
        <v>15848</v>
      </c>
      <c r="E2664" s="142" t="s">
        <v>15849</v>
      </c>
      <c r="F2664" s="142" t="s">
        <v>2966</v>
      </c>
      <c r="G2664" s="142" t="s">
        <v>2965</v>
      </c>
      <c r="H2664" s="142" t="s">
        <v>18514</v>
      </c>
      <c r="I2664" s="142">
        <v>9</v>
      </c>
      <c r="J2664" s="142">
        <v>7</v>
      </c>
      <c r="K2664" s="142">
        <v>0</v>
      </c>
      <c r="L2664" s="142">
        <v>0</v>
      </c>
      <c r="M2664" s="142">
        <v>2</v>
      </c>
    </row>
    <row r="2665" spans="1:13" x14ac:dyDescent="0.45">
      <c r="A2665" s="142" t="s">
        <v>13084</v>
      </c>
      <c r="B2665" s="142" t="s">
        <v>15471</v>
      </c>
      <c r="C2665" s="142" t="s">
        <v>15847</v>
      </c>
      <c r="D2665" s="142" t="s">
        <v>15848</v>
      </c>
      <c r="E2665" s="142" t="s">
        <v>15849</v>
      </c>
      <c r="F2665" s="142" t="s">
        <v>2966</v>
      </c>
      <c r="G2665" s="142" t="s">
        <v>2965</v>
      </c>
      <c r="H2665" s="142" t="s">
        <v>18515</v>
      </c>
      <c r="I2665" s="142">
        <v>8</v>
      </c>
      <c r="J2665" s="142">
        <v>0</v>
      </c>
      <c r="K2665" s="142">
        <v>0</v>
      </c>
      <c r="L2665" s="142">
        <v>0</v>
      </c>
      <c r="M2665" s="142">
        <v>8</v>
      </c>
    </row>
    <row r="2666" spans="1:13" x14ac:dyDescent="0.45">
      <c r="A2666" s="142" t="s">
        <v>13085</v>
      </c>
      <c r="B2666" s="142" t="s">
        <v>14460</v>
      </c>
      <c r="C2666" s="142" t="s">
        <v>15860</v>
      </c>
      <c r="D2666" s="142" t="s">
        <v>15861</v>
      </c>
      <c r="E2666" s="142" t="s">
        <v>15849</v>
      </c>
      <c r="F2666" s="142" t="s">
        <v>2966</v>
      </c>
      <c r="G2666" s="142" t="s">
        <v>2965</v>
      </c>
      <c r="H2666" s="142" t="s">
        <v>18516</v>
      </c>
      <c r="I2666" s="142">
        <v>6</v>
      </c>
      <c r="J2666" s="142">
        <v>0</v>
      </c>
      <c r="K2666" s="142">
        <v>0</v>
      </c>
      <c r="L2666" s="142">
        <v>6</v>
      </c>
      <c r="M2666" s="142">
        <v>0</v>
      </c>
    </row>
    <row r="2667" spans="1:13" x14ac:dyDescent="0.45">
      <c r="A2667" s="142" t="s">
        <v>13074</v>
      </c>
      <c r="B2667" s="142" t="s">
        <v>15405</v>
      </c>
      <c r="C2667" s="142" t="s">
        <v>15847</v>
      </c>
      <c r="D2667" s="142" t="s">
        <v>15848</v>
      </c>
      <c r="E2667" s="142" t="s">
        <v>15849</v>
      </c>
      <c r="F2667" s="142" t="s">
        <v>2966</v>
      </c>
      <c r="G2667" s="142" t="s">
        <v>2965</v>
      </c>
      <c r="H2667" s="142" t="s">
        <v>18517</v>
      </c>
      <c r="I2667" s="142">
        <v>9</v>
      </c>
      <c r="J2667" s="142">
        <v>9</v>
      </c>
      <c r="K2667" s="142">
        <v>0</v>
      </c>
      <c r="L2667" s="142">
        <v>0</v>
      </c>
      <c r="M2667" s="142">
        <v>0</v>
      </c>
    </row>
    <row r="2668" spans="1:13" x14ac:dyDescent="0.45">
      <c r="A2668" s="142" t="s">
        <v>13087</v>
      </c>
      <c r="B2668" s="142" t="s">
        <v>14452</v>
      </c>
      <c r="C2668" s="142" t="s">
        <v>15847</v>
      </c>
      <c r="D2668" s="142" t="s">
        <v>15848</v>
      </c>
      <c r="E2668" s="142" t="s">
        <v>15849</v>
      </c>
      <c r="F2668" s="142" t="s">
        <v>2966</v>
      </c>
      <c r="G2668" s="142" t="s">
        <v>2965</v>
      </c>
      <c r="H2668" s="142" t="s">
        <v>18518</v>
      </c>
      <c r="I2668" s="142">
        <v>231</v>
      </c>
      <c r="J2668" s="142">
        <v>185</v>
      </c>
      <c r="K2668" s="142">
        <v>0</v>
      </c>
      <c r="L2668" s="142">
        <v>0</v>
      </c>
      <c r="M2668" s="142">
        <v>46</v>
      </c>
    </row>
    <row r="2669" spans="1:13" x14ac:dyDescent="0.45">
      <c r="A2669" s="142" t="s">
        <v>13050</v>
      </c>
      <c r="B2669" s="142" t="s">
        <v>15237</v>
      </c>
      <c r="C2669" s="142" t="s">
        <v>15847</v>
      </c>
      <c r="D2669" s="142" t="s">
        <v>15848</v>
      </c>
      <c r="E2669" s="142" t="s">
        <v>15849</v>
      </c>
      <c r="F2669" s="142" t="s">
        <v>2966</v>
      </c>
      <c r="G2669" s="142" t="s">
        <v>2965</v>
      </c>
      <c r="H2669" s="142" t="s">
        <v>18519</v>
      </c>
      <c r="I2669" s="142">
        <v>118</v>
      </c>
      <c r="J2669" s="142">
        <v>93</v>
      </c>
      <c r="K2669" s="142">
        <v>0</v>
      </c>
      <c r="L2669" s="142">
        <v>0</v>
      </c>
      <c r="M2669" s="142">
        <v>25</v>
      </c>
    </row>
    <row r="2670" spans="1:13" x14ac:dyDescent="0.45">
      <c r="A2670" s="142" t="s">
        <v>13028</v>
      </c>
      <c r="B2670" s="142" t="s">
        <v>14462</v>
      </c>
      <c r="C2670" s="142" t="s">
        <v>15847</v>
      </c>
      <c r="D2670" s="142" t="s">
        <v>15848</v>
      </c>
      <c r="E2670" s="142" t="s">
        <v>15849</v>
      </c>
      <c r="F2670" s="142" t="s">
        <v>2966</v>
      </c>
      <c r="G2670" s="142" t="s">
        <v>2965</v>
      </c>
      <c r="H2670" s="142" t="s">
        <v>18520</v>
      </c>
      <c r="I2670" s="142">
        <v>30</v>
      </c>
      <c r="J2670" s="142">
        <v>0</v>
      </c>
      <c r="K2670" s="142">
        <v>0</v>
      </c>
      <c r="L2670" s="142">
        <v>0</v>
      </c>
      <c r="M2670" s="142">
        <v>30</v>
      </c>
    </row>
    <row r="2671" spans="1:13" x14ac:dyDescent="0.45">
      <c r="A2671" s="142" t="s">
        <v>13426</v>
      </c>
      <c r="B2671" s="142" t="s">
        <v>15285</v>
      </c>
      <c r="C2671" s="142" t="s">
        <v>15847</v>
      </c>
      <c r="D2671" s="142" t="s">
        <v>15848</v>
      </c>
      <c r="E2671" s="142" t="s">
        <v>15849</v>
      </c>
      <c r="F2671" s="142" t="s">
        <v>2966</v>
      </c>
      <c r="G2671" s="142" t="s">
        <v>2965</v>
      </c>
      <c r="H2671" s="142" t="s">
        <v>18521</v>
      </c>
      <c r="I2671" s="142">
        <v>118</v>
      </c>
      <c r="J2671" s="142">
        <v>95</v>
      </c>
      <c r="K2671" s="142">
        <v>0</v>
      </c>
      <c r="L2671" s="142">
        <v>0</v>
      </c>
      <c r="M2671" s="142">
        <v>23</v>
      </c>
    </row>
    <row r="2672" spans="1:13" x14ac:dyDescent="0.45">
      <c r="A2672" s="142" t="s">
        <v>13029</v>
      </c>
      <c r="B2672" s="142" t="s">
        <v>14665</v>
      </c>
      <c r="C2672" s="142" t="s">
        <v>15847</v>
      </c>
      <c r="D2672" s="142" t="s">
        <v>15848</v>
      </c>
      <c r="E2672" s="142" t="s">
        <v>15849</v>
      </c>
      <c r="F2672" s="142" t="s">
        <v>2966</v>
      </c>
      <c r="G2672" s="142" t="s">
        <v>2965</v>
      </c>
      <c r="H2672" s="142" t="s">
        <v>18522</v>
      </c>
      <c r="I2672" s="142">
        <v>6</v>
      </c>
      <c r="J2672" s="142">
        <v>0</v>
      </c>
      <c r="K2672" s="142">
        <v>0</v>
      </c>
      <c r="L2672" s="142">
        <v>0</v>
      </c>
      <c r="M2672" s="142">
        <v>6</v>
      </c>
    </row>
    <row r="2673" spans="1:13" x14ac:dyDescent="0.45">
      <c r="A2673" s="142" t="s">
        <v>13006</v>
      </c>
      <c r="B2673" s="142" t="s">
        <v>15288</v>
      </c>
      <c r="C2673" s="142" t="s">
        <v>15847</v>
      </c>
      <c r="D2673" s="142" t="s">
        <v>15848</v>
      </c>
      <c r="E2673" s="142" t="s">
        <v>15849</v>
      </c>
      <c r="F2673" s="142" t="s">
        <v>2966</v>
      </c>
      <c r="G2673" s="142" t="s">
        <v>2965</v>
      </c>
      <c r="H2673" s="142" t="s">
        <v>18523</v>
      </c>
      <c r="I2673" s="142">
        <v>76</v>
      </c>
      <c r="J2673" s="142">
        <v>63</v>
      </c>
      <c r="K2673" s="142">
        <v>0</v>
      </c>
      <c r="L2673" s="142">
        <v>4</v>
      </c>
      <c r="M2673" s="142">
        <v>9</v>
      </c>
    </row>
    <row r="2674" spans="1:13" x14ac:dyDescent="0.45">
      <c r="A2674" s="142" t="s">
        <v>13284</v>
      </c>
      <c r="B2674" s="142" t="s">
        <v>15364</v>
      </c>
      <c r="C2674" s="142" t="s">
        <v>15847</v>
      </c>
      <c r="D2674" s="142" t="s">
        <v>15848</v>
      </c>
      <c r="E2674" s="142" t="s">
        <v>15849</v>
      </c>
      <c r="F2674" s="142" t="s">
        <v>2966</v>
      </c>
      <c r="G2674" s="142" t="s">
        <v>2965</v>
      </c>
      <c r="H2674" s="142" t="s">
        <v>18524</v>
      </c>
      <c r="I2674" s="142">
        <v>14</v>
      </c>
      <c r="J2674" s="142">
        <v>9</v>
      </c>
      <c r="K2674" s="142">
        <v>0</v>
      </c>
      <c r="L2674" s="142">
        <v>0</v>
      </c>
      <c r="M2674" s="142">
        <v>5</v>
      </c>
    </row>
    <row r="2675" spans="1:13" x14ac:dyDescent="0.45">
      <c r="A2675" s="142" t="s">
        <v>13008</v>
      </c>
      <c r="B2675" s="142" t="s">
        <v>15411</v>
      </c>
      <c r="C2675" s="142" t="s">
        <v>15847</v>
      </c>
      <c r="D2675" s="142" t="s">
        <v>15848</v>
      </c>
      <c r="E2675" s="142" t="s">
        <v>15849</v>
      </c>
      <c r="F2675" s="142" t="s">
        <v>2966</v>
      </c>
      <c r="G2675" s="142" t="s">
        <v>2965</v>
      </c>
      <c r="H2675" s="142" t="s">
        <v>18525</v>
      </c>
      <c r="I2675" s="142">
        <v>39</v>
      </c>
      <c r="J2675" s="142">
        <v>0</v>
      </c>
      <c r="K2675" s="142">
        <v>0</v>
      </c>
      <c r="L2675" s="142">
        <v>0</v>
      </c>
      <c r="M2675" s="142">
        <v>39</v>
      </c>
    </row>
    <row r="2676" spans="1:13" x14ac:dyDescent="0.45">
      <c r="A2676" s="142" t="s">
        <v>13077</v>
      </c>
      <c r="B2676" s="142" t="s">
        <v>15407</v>
      </c>
      <c r="C2676" s="142" t="s">
        <v>15847</v>
      </c>
      <c r="D2676" s="142" t="s">
        <v>15848</v>
      </c>
      <c r="E2676" s="142" t="s">
        <v>15849</v>
      </c>
      <c r="F2676" s="142" t="s">
        <v>2966</v>
      </c>
      <c r="G2676" s="142" t="s">
        <v>2965</v>
      </c>
      <c r="H2676" s="142" t="s">
        <v>18526</v>
      </c>
      <c r="I2676" s="142">
        <v>57</v>
      </c>
      <c r="J2676" s="142">
        <v>57</v>
      </c>
      <c r="K2676" s="142">
        <v>0</v>
      </c>
      <c r="L2676" s="142">
        <v>0</v>
      </c>
      <c r="M2676" s="142">
        <v>0</v>
      </c>
    </row>
    <row r="2677" spans="1:13" x14ac:dyDescent="0.45">
      <c r="A2677" s="142" t="s">
        <v>13104</v>
      </c>
      <c r="B2677" s="142" t="s">
        <v>14622</v>
      </c>
      <c r="C2677" s="142" t="s">
        <v>15847</v>
      </c>
      <c r="D2677" s="142" t="s">
        <v>15848</v>
      </c>
      <c r="E2677" s="142" t="s">
        <v>15849</v>
      </c>
      <c r="F2677" s="142" t="s">
        <v>2966</v>
      </c>
      <c r="G2677" s="142" t="s">
        <v>2965</v>
      </c>
      <c r="H2677" s="142" t="s">
        <v>18527</v>
      </c>
      <c r="I2677" s="142">
        <v>2</v>
      </c>
      <c r="J2677" s="142">
        <v>2</v>
      </c>
      <c r="K2677" s="142">
        <v>0</v>
      </c>
      <c r="L2677" s="142">
        <v>0</v>
      </c>
      <c r="M2677" s="142">
        <v>0</v>
      </c>
    </row>
    <row r="2678" spans="1:13" x14ac:dyDescent="0.45">
      <c r="A2678" s="142" t="s">
        <v>13034</v>
      </c>
      <c r="B2678" s="142" t="s">
        <v>15562</v>
      </c>
      <c r="C2678" s="142" t="s">
        <v>15847</v>
      </c>
      <c r="D2678" s="142" t="s">
        <v>15848</v>
      </c>
      <c r="E2678" s="142" t="s">
        <v>15849</v>
      </c>
      <c r="F2678" s="142" t="s">
        <v>2966</v>
      </c>
      <c r="G2678" s="142" t="s">
        <v>2965</v>
      </c>
      <c r="H2678" s="142" t="s">
        <v>18528</v>
      </c>
      <c r="I2678" s="142">
        <v>4</v>
      </c>
      <c r="J2678" s="142">
        <v>0</v>
      </c>
      <c r="K2678" s="142">
        <v>0</v>
      </c>
      <c r="L2678" s="142">
        <v>4</v>
      </c>
      <c r="M2678" s="142">
        <v>0</v>
      </c>
    </row>
    <row r="2679" spans="1:13" x14ac:dyDescent="0.45">
      <c r="A2679" s="142" t="s">
        <v>13036</v>
      </c>
      <c r="B2679" s="142" t="s">
        <v>15567</v>
      </c>
      <c r="C2679" s="142" t="s">
        <v>15847</v>
      </c>
      <c r="D2679" s="142" t="s">
        <v>15848</v>
      </c>
      <c r="E2679" s="142" t="s">
        <v>15849</v>
      </c>
      <c r="F2679" s="142" t="s">
        <v>2966</v>
      </c>
      <c r="G2679" s="142" t="s">
        <v>2965</v>
      </c>
      <c r="H2679" s="142" t="s">
        <v>18529</v>
      </c>
      <c r="I2679" s="142">
        <v>6</v>
      </c>
      <c r="J2679" s="142">
        <v>0</v>
      </c>
      <c r="K2679" s="142">
        <v>0</v>
      </c>
      <c r="L2679" s="142">
        <v>6</v>
      </c>
      <c r="M2679" s="142">
        <v>0</v>
      </c>
    </row>
    <row r="2680" spans="1:13" x14ac:dyDescent="0.45">
      <c r="A2680" s="142" t="s">
        <v>13090</v>
      </c>
      <c r="B2680" s="142" t="s">
        <v>15600</v>
      </c>
      <c r="C2680" s="142" t="s">
        <v>15847</v>
      </c>
      <c r="D2680" s="142" t="s">
        <v>15848</v>
      </c>
      <c r="E2680" s="142" t="s">
        <v>15849</v>
      </c>
      <c r="F2680" s="142" t="s">
        <v>2966</v>
      </c>
      <c r="G2680" s="142" t="s">
        <v>2965</v>
      </c>
      <c r="H2680" s="142" t="s">
        <v>18530</v>
      </c>
      <c r="I2680" s="142">
        <v>6</v>
      </c>
      <c r="J2680" s="142">
        <v>0</v>
      </c>
      <c r="K2680" s="142">
        <v>0</v>
      </c>
      <c r="L2680" s="142">
        <v>5</v>
      </c>
      <c r="M2680" s="142">
        <v>1</v>
      </c>
    </row>
    <row r="2681" spans="1:13" x14ac:dyDescent="0.45">
      <c r="A2681" s="142" t="s">
        <v>13038</v>
      </c>
      <c r="B2681" s="142" t="s">
        <v>14646</v>
      </c>
      <c r="C2681" s="142" t="s">
        <v>15847</v>
      </c>
      <c r="D2681" s="142" t="s">
        <v>15848</v>
      </c>
      <c r="E2681" s="142" t="s">
        <v>15849</v>
      </c>
      <c r="F2681" s="142" t="s">
        <v>2966</v>
      </c>
      <c r="G2681" s="142" t="s">
        <v>2965</v>
      </c>
      <c r="H2681" s="142" t="s">
        <v>18531</v>
      </c>
      <c r="I2681" s="142">
        <v>71</v>
      </c>
      <c r="J2681" s="142">
        <v>50</v>
      </c>
      <c r="K2681" s="142">
        <v>0</v>
      </c>
      <c r="L2681" s="142">
        <v>0</v>
      </c>
      <c r="M2681" s="142">
        <v>21</v>
      </c>
    </row>
    <row r="2682" spans="1:13" x14ac:dyDescent="0.45">
      <c r="A2682" s="142" t="s">
        <v>13039</v>
      </c>
      <c r="B2682" s="142" t="s">
        <v>14647</v>
      </c>
      <c r="C2682" s="142" t="s">
        <v>15847</v>
      </c>
      <c r="D2682" s="142" t="s">
        <v>15848</v>
      </c>
      <c r="E2682" s="142" t="s">
        <v>15849</v>
      </c>
      <c r="F2682" s="142" t="s">
        <v>2966</v>
      </c>
      <c r="G2682" s="142" t="s">
        <v>2965</v>
      </c>
      <c r="H2682" s="142" t="s">
        <v>18532</v>
      </c>
      <c r="I2682" s="142">
        <v>103</v>
      </c>
      <c r="J2682" s="142">
        <v>103</v>
      </c>
      <c r="K2682" s="142">
        <v>0</v>
      </c>
      <c r="L2682" s="142">
        <v>0</v>
      </c>
      <c r="M2682" s="142">
        <v>0</v>
      </c>
    </row>
    <row r="2683" spans="1:13" x14ac:dyDescent="0.45">
      <c r="A2683" s="142" t="s">
        <v>13091</v>
      </c>
      <c r="B2683" s="142" t="s">
        <v>14473</v>
      </c>
      <c r="C2683" s="142" t="s">
        <v>15847</v>
      </c>
      <c r="D2683" s="142" t="s">
        <v>15848</v>
      </c>
      <c r="E2683" s="142" t="s">
        <v>15849</v>
      </c>
      <c r="F2683" s="142" t="s">
        <v>2966</v>
      </c>
      <c r="G2683" s="142" t="s">
        <v>2965</v>
      </c>
      <c r="H2683" s="142" t="s">
        <v>18533</v>
      </c>
      <c r="I2683" s="142">
        <v>58</v>
      </c>
      <c r="J2683" s="142">
        <v>44</v>
      </c>
      <c r="K2683" s="142">
        <v>0</v>
      </c>
      <c r="L2683" s="142">
        <v>0</v>
      </c>
      <c r="M2683" s="142">
        <v>14</v>
      </c>
    </row>
    <row r="2684" spans="1:13" x14ac:dyDescent="0.45">
      <c r="A2684" s="142" t="s">
        <v>13009</v>
      </c>
      <c r="B2684" s="142" t="s">
        <v>15256</v>
      </c>
      <c r="C2684" s="142" t="s">
        <v>15847</v>
      </c>
      <c r="D2684" s="142" t="s">
        <v>15848</v>
      </c>
      <c r="E2684" s="142" t="s">
        <v>15849</v>
      </c>
      <c r="F2684" s="142" t="s">
        <v>2966</v>
      </c>
      <c r="G2684" s="142" t="s">
        <v>2965</v>
      </c>
      <c r="H2684" s="142" t="s">
        <v>18534</v>
      </c>
      <c r="I2684" s="142">
        <v>4260</v>
      </c>
      <c r="J2684" s="142">
        <v>3169</v>
      </c>
      <c r="K2684" s="142">
        <v>5</v>
      </c>
      <c r="L2684" s="142">
        <v>1001</v>
      </c>
      <c r="M2684" s="142">
        <v>85</v>
      </c>
    </row>
    <row r="2685" spans="1:13" x14ac:dyDescent="0.45">
      <c r="A2685" s="142" t="s">
        <v>13092</v>
      </c>
      <c r="B2685" s="142" t="s">
        <v>14656</v>
      </c>
      <c r="C2685" s="142" t="s">
        <v>15860</v>
      </c>
      <c r="D2685" s="142" t="s">
        <v>15861</v>
      </c>
      <c r="E2685" s="142" t="s">
        <v>15849</v>
      </c>
      <c r="F2685" s="142" t="s">
        <v>2966</v>
      </c>
      <c r="G2685" s="142" t="s">
        <v>2965</v>
      </c>
      <c r="H2685" s="142" t="s">
        <v>18535</v>
      </c>
      <c r="I2685" s="142">
        <v>19</v>
      </c>
      <c r="J2685" s="142">
        <v>19</v>
      </c>
      <c r="K2685" s="142">
        <v>0</v>
      </c>
      <c r="L2685" s="142">
        <v>0</v>
      </c>
      <c r="M2685" s="142">
        <v>0</v>
      </c>
    </row>
    <row r="2686" spans="1:13" x14ac:dyDescent="0.45">
      <c r="A2686" s="142" t="s">
        <v>13058</v>
      </c>
      <c r="B2686" s="142" t="s">
        <v>14584</v>
      </c>
      <c r="C2686" s="142" t="s">
        <v>15847</v>
      </c>
      <c r="D2686" s="142" t="s">
        <v>15848</v>
      </c>
      <c r="E2686" s="142" t="s">
        <v>15849</v>
      </c>
      <c r="F2686" s="142" t="s">
        <v>2966</v>
      </c>
      <c r="G2686" s="142" t="s">
        <v>2965</v>
      </c>
      <c r="H2686" s="142" t="s">
        <v>18536</v>
      </c>
      <c r="I2686" s="142">
        <v>1</v>
      </c>
      <c r="J2686" s="142">
        <v>0</v>
      </c>
      <c r="K2686" s="142">
        <v>0</v>
      </c>
      <c r="L2686" s="142">
        <v>0</v>
      </c>
      <c r="M2686" s="142">
        <v>1</v>
      </c>
    </row>
    <row r="2687" spans="1:13" x14ac:dyDescent="0.45">
      <c r="A2687" s="142" t="s">
        <v>13041</v>
      </c>
      <c r="B2687" s="142" t="s">
        <v>14441</v>
      </c>
      <c r="C2687" s="142" t="s">
        <v>15847</v>
      </c>
      <c r="D2687" s="142" t="s">
        <v>15848</v>
      </c>
      <c r="E2687" s="142" t="s">
        <v>15849</v>
      </c>
      <c r="F2687" s="142" t="s">
        <v>2966</v>
      </c>
      <c r="G2687" s="142" t="s">
        <v>2965</v>
      </c>
      <c r="H2687" s="142" t="s">
        <v>18537</v>
      </c>
      <c r="I2687" s="142">
        <v>31</v>
      </c>
      <c r="J2687" s="142">
        <v>0</v>
      </c>
      <c r="K2687" s="142">
        <v>0</v>
      </c>
      <c r="L2687" s="142">
        <v>0</v>
      </c>
      <c r="M2687" s="142">
        <v>31</v>
      </c>
    </row>
    <row r="2688" spans="1:13" x14ac:dyDescent="0.45">
      <c r="A2688" s="142" t="s">
        <v>13012</v>
      </c>
      <c r="B2688" s="142" t="s">
        <v>15337</v>
      </c>
      <c r="C2688" s="142" t="s">
        <v>15847</v>
      </c>
      <c r="D2688" s="142" t="s">
        <v>15848</v>
      </c>
      <c r="E2688" s="142" t="s">
        <v>15849</v>
      </c>
      <c r="F2688" s="142" t="s">
        <v>2966</v>
      </c>
      <c r="G2688" s="142" t="s">
        <v>2965</v>
      </c>
      <c r="H2688" s="142" t="s">
        <v>18538</v>
      </c>
      <c r="I2688" s="142">
        <v>46</v>
      </c>
      <c r="J2688" s="142">
        <v>35</v>
      </c>
      <c r="K2688" s="142">
        <v>0</v>
      </c>
      <c r="L2688" s="142">
        <v>0</v>
      </c>
      <c r="M2688" s="142">
        <v>11</v>
      </c>
    </row>
    <row r="2689" spans="1:13" x14ac:dyDescent="0.45">
      <c r="A2689" s="142" t="s">
        <v>13428</v>
      </c>
      <c r="B2689" s="142" t="s">
        <v>15303</v>
      </c>
      <c r="C2689" s="142" t="s">
        <v>15847</v>
      </c>
      <c r="D2689" s="142" t="s">
        <v>15848</v>
      </c>
      <c r="E2689" s="142" t="s">
        <v>15849</v>
      </c>
      <c r="F2689" s="142" t="s">
        <v>2966</v>
      </c>
      <c r="G2689" s="142" t="s">
        <v>2965</v>
      </c>
      <c r="H2689" s="142" t="s">
        <v>18539</v>
      </c>
      <c r="I2689" s="142">
        <v>554</v>
      </c>
      <c r="J2689" s="142">
        <v>397</v>
      </c>
      <c r="K2689" s="142">
        <v>0</v>
      </c>
      <c r="L2689" s="142">
        <v>32</v>
      </c>
      <c r="M2689" s="142">
        <v>125</v>
      </c>
    </row>
    <row r="2690" spans="1:13" x14ac:dyDescent="0.45">
      <c r="A2690" s="142" t="s">
        <v>13095</v>
      </c>
      <c r="B2690" s="142" t="s">
        <v>15592</v>
      </c>
      <c r="C2690" s="142" t="s">
        <v>15847</v>
      </c>
      <c r="D2690" s="142" t="s">
        <v>15848</v>
      </c>
      <c r="E2690" s="142" t="s">
        <v>15849</v>
      </c>
      <c r="F2690" s="142" t="s">
        <v>2966</v>
      </c>
      <c r="G2690" s="142" t="s">
        <v>2965</v>
      </c>
      <c r="H2690" s="142" t="s">
        <v>18540</v>
      </c>
      <c r="I2690" s="142">
        <v>75</v>
      </c>
      <c r="J2690" s="142">
        <v>38</v>
      </c>
      <c r="K2690" s="142">
        <v>0</v>
      </c>
      <c r="L2690" s="142">
        <v>0</v>
      </c>
      <c r="M2690" s="142">
        <v>37</v>
      </c>
    </row>
    <row r="2691" spans="1:13" x14ac:dyDescent="0.45">
      <c r="A2691" s="142" t="s">
        <v>13165</v>
      </c>
      <c r="B2691" s="142" t="s">
        <v>15525</v>
      </c>
      <c r="C2691" s="142" t="s">
        <v>15860</v>
      </c>
      <c r="D2691" s="142" t="s">
        <v>15861</v>
      </c>
      <c r="E2691" s="142" t="s">
        <v>15849</v>
      </c>
      <c r="F2691" s="142" t="s">
        <v>2966</v>
      </c>
      <c r="G2691" s="142" t="s">
        <v>2965</v>
      </c>
      <c r="H2691" s="142" t="s">
        <v>18541</v>
      </c>
      <c r="I2691" s="142">
        <v>4</v>
      </c>
      <c r="J2691" s="142">
        <v>0</v>
      </c>
      <c r="K2691" s="142">
        <v>0</v>
      </c>
      <c r="L2691" s="142">
        <v>4</v>
      </c>
      <c r="M2691" s="142">
        <v>0</v>
      </c>
    </row>
    <row r="2692" spans="1:13" x14ac:dyDescent="0.45">
      <c r="A2692" s="142" t="s">
        <v>13207</v>
      </c>
      <c r="B2692" s="142" t="s">
        <v>15558</v>
      </c>
      <c r="C2692" s="142" t="s">
        <v>15847</v>
      </c>
      <c r="D2692" s="142" t="s">
        <v>15848</v>
      </c>
      <c r="E2692" s="142" t="s">
        <v>15849</v>
      </c>
      <c r="F2692" s="142" t="s">
        <v>2966</v>
      </c>
      <c r="G2692" s="142" t="s">
        <v>2965</v>
      </c>
      <c r="H2692" s="142" t="s">
        <v>18542</v>
      </c>
      <c r="I2692" s="142">
        <v>23</v>
      </c>
      <c r="J2692" s="142">
        <v>8</v>
      </c>
      <c r="K2692" s="142">
        <v>0</v>
      </c>
      <c r="L2692" s="142">
        <v>0</v>
      </c>
      <c r="M2692" s="142">
        <v>15</v>
      </c>
    </row>
    <row r="2693" spans="1:13" x14ac:dyDescent="0.45">
      <c r="A2693" s="142" t="s">
        <v>13642</v>
      </c>
      <c r="B2693" s="142" t="s">
        <v>15188</v>
      </c>
      <c r="C2693" s="142" t="s">
        <v>15860</v>
      </c>
      <c r="D2693" s="142" t="s">
        <v>15861</v>
      </c>
      <c r="E2693" s="142" t="s">
        <v>15849</v>
      </c>
      <c r="F2693" s="142" t="s">
        <v>3462</v>
      </c>
      <c r="G2693" s="142" t="s">
        <v>3461</v>
      </c>
      <c r="H2693" s="142" t="s">
        <v>18543</v>
      </c>
      <c r="I2693" s="142">
        <v>28</v>
      </c>
      <c r="J2693" s="142">
        <v>0</v>
      </c>
      <c r="K2693" s="142">
        <v>0</v>
      </c>
      <c r="L2693" s="142">
        <v>28</v>
      </c>
      <c r="M2693" s="142">
        <v>0</v>
      </c>
    </row>
    <row r="2694" spans="1:13" x14ac:dyDescent="0.45">
      <c r="A2694" s="142" t="s">
        <v>13167</v>
      </c>
      <c r="B2694" s="142" t="s">
        <v>15418</v>
      </c>
      <c r="C2694" s="142" t="s">
        <v>15847</v>
      </c>
      <c r="D2694" s="142" t="s">
        <v>15848</v>
      </c>
      <c r="E2694" s="142" t="s">
        <v>15849</v>
      </c>
      <c r="F2694" s="142" t="s">
        <v>3462</v>
      </c>
      <c r="G2694" s="142" t="s">
        <v>3461</v>
      </c>
      <c r="H2694" s="142" t="s">
        <v>18544</v>
      </c>
      <c r="I2694" s="142">
        <v>175</v>
      </c>
      <c r="J2694" s="142">
        <v>125</v>
      </c>
      <c r="K2694" s="142">
        <v>0</v>
      </c>
      <c r="L2694" s="142">
        <v>0</v>
      </c>
      <c r="M2694" s="142">
        <v>50</v>
      </c>
    </row>
    <row r="2695" spans="1:13" x14ac:dyDescent="0.45">
      <c r="A2695" s="142" t="s">
        <v>13021</v>
      </c>
      <c r="B2695" s="142" t="s">
        <v>15501</v>
      </c>
      <c r="C2695" s="142" t="s">
        <v>15847</v>
      </c>
      <c r="D2695" s="142" t="s">
        <v>15848</v>
      </c>
      <c r="E2695" s="142" t="s">
        <v>15849</v>
      </c>
      <c r="F2695" s="142" t="s">
        <v>3462</v>
      </c>
      <c r="G2695" s="142" t="s">
        <v>3461</v>
      </c>
      <c r="H2695" s="142" t="s">
        <v>18545</v>
      </c>
      <c r="I2695" s="142">
        <v>2</v>
      </c>
      <c r="J2695" s="142">
        <v>0</v>
      </c>
      <c r="K2695" s="142">
        <v>0</v>
      </c>
      <c r="L2695" s="142">
        <v>0</v>
      </c>
      <c r="M2695" s="142">
        <v>2</v>
      </c>
    </row>
    <row r="2696" spans="1:13" x14ac:dyDescent="0.45">
      <c r="A2696" s="142" t="s">
        <v>13047</v>
      </c>
      <c r="B2696" s="142" t="s">
        <v>14616</v>
      </c>
      <c r="C2696" s="142" t="s">
        <v>15847</v>
      </c>
      <c r="D2696" s="142" t="s">
        <v>15848</v>
      </c>
      <c r="E2696" s="142" t="s">
        <v>15849</v>
      </c>
      <c r="F2696" s="142" t="s">
        <v>3462</v>
      </c>
      <c r="G2696" s="142" t="s">
        <v>3461</v>
      </c>
      <c r="H2696" s="142" t="s">
        <v>18546</v>
      </c>
      <c r="I2696" s="142">
        <v>83</v>
      </c>
      <c r="J2696" s="142">
        <v>22</v>
      </c>
      <c r="K2696" s="142">
        <v>0</v>
      </c>
      <c r="L2696" s="142">
        <v>0</v>
      </c>
      <c r="M2696" s="142">
        <v>61</v>
      </c>
    </row>
    <row r="2697" spans="1:13" x14ac:dyDescent="0.45">
      <c r="A2697" s="142" t="s">
        <v>13048</v>
      </c>
      <c r="B2697" s="142" t="s">
        <v>14479</v>
      </c>
      <c r="C2697" s="142" t="s">
        <v>15847</v>
      </c>
      <c r="D2697" s="142" t="s">
        <v>15848</v>
      </c>
      <c r="E2697" s="142" t="s">
        <v>15849</v>
      </c>
      <c r="F2697" s="142" t="s">
        <v>3462</v>
      </c>
      <c r="G2697" s="142" t="s">
        <v>3461</v>
      </c>
      <c r="H2697" s="142" t="s">
        <v>18547</v>
      </c>
      <c r="I2697" s="142">
        <v>53</v>
      </c>
      <c r="J2697" s="142">
        <v>32</v>
      </c>
      <c r="K2697" s="142">
        <v>0</v>
      </c>
      <c r="L2697" s="142">
        <v>0</v>
      </c>
      <c r="M2697" s="142">
        <v>21</v>
      </c>
    </row>
    <row r="2698" spans="1:13" x14ac:dyDescent="0.45">
      <c r="A2698" s="142" t="s">
        <v>13643</v>
      </c>
      <c r="B2698" s="142" t="s">
        <v>14564</v>
      </c>
      <c r="C2698" s="142" t="s">
        <v>15860</v>
      </c>
      <c r="D2698" s="142" t="s">
        <v>15861</v>
      </c>
      <c r="E2698" s="142" t="s">
        <v>15849</v>
      </c>
      <c r="F2698" s="142" t="s">
        <v>3462</v>
      </c>
      <c r="G2698" s="142" t="s">
        <v>3461</v>
      </c>
      <c r="H2698" s="142" t="s">
        <v>18548</v>
      </c>
      <c r="I2698" s="142">
        <v>9</v>
      </c>
      <c r="J2698" s="142">
        <v>9</v>
      </c>
      <c r="K2698" s="142">
        <v>0</v>
      </c>
      <c r="L2698" s="142">
        <v>0</v>
      </c>
      <c r="M2698" s="142">
        <v>0</v>
      </c>
    </row>
    <row r="2699" spans="1:13" x14ac:dyDescent="0.45">
      <c r="A2699" s="142" t="s">
        <v>13065</v>
      </c>
      <c r="B2699" s="142" t="s">
        <v>14497</v>
      </c>
      <c r="C2699" s="142" t="s">
        <v>15847</v>
      </c>
      <c r="D2699" s="142" t="s">
        <v>15848</v>
      </c>
      <c r="E2699" s="142" t="s">
        <v>15849</v>
      </c>
      <c r="F2699" s="142" t="s">
        <v>3462</v>
      </c>
      <c r="G2699" s="142" t="s">
        <v>3461</v>
      </c>
      <c r="H2699" s="142" t="s">
        <v>18549</v>
      </c>
      <c r="I2699" s="142">
        <v>13</v>
      </c>
      <c r="J2699" s="142">
        <v>0</v>
      </c>
      <c r="K2699" s="142">
        <v>0</v>
      </c>
      <c r="L2699" s="142">
        <v>13</v>
      </c>
      <c r="M2699" s="142">
        <v>0</v>
      </c>
    </row>
    <row r="2700" spans="1:13" x14ac:dyDescent="0.45">
      <c r="A2700" s="142" t="s">
        <v>13644</v>
      </c>
      <c r="B2700" s="142" t="s">
        <v>15253</v>
      </c>
      <c r="C2700" s="142" t="s">
        <v>15847</v>
      </c>
      <c r="D2700" s="142" t="s">
        <v>15848</v>
      </c>
      <c r="E2700" s="142" t="s">
        <v>15849</v>
      </c>
      <c r="F2700" s="142" t="s">
        <v>3462</v>
      </c>
      <c r="G2700" s="142" t="s">
        <v>3461</v>
      </c>
      <c r="H2700" s="142" t="s">
        <v>18550</v>
      </c>
      <c r="I2700" s="142">
        <v>73</v>
      </c>
      <c r="J2700" s="142">
        <v>55</v>
      </c>
      <c r="K2700" s="142">
        <v>0</v>
      </c>
      <c r="L2700" s="142">
        <v>0</v>
      </c>
      <c r="M2700" s="142">
        <v>18</v>
      </c>
    </row>
    <row r="2701" spans="1:13" x14ac:dyDescent="0.45">
      <c r="A2701" s="142" t="s">
        <v>13187</v>
      </c>
      <c r="B2701" s="142" t="s">
        <v>15518</v>
      </c>
      <c r="C2701" s="142" t="s">
        <v>15860</v>
      </c>
      <c r="D2701" s="142" t="s">
        <v>15861</v>
      </c>
      <c r="E2701" s="142" t="s">
        <v>15849</v>
      </c>
      <c r="F2701" s="142" t="s">
        <v>3462</v>
      </c>
      <c r="G2701" s="142" t="s">
        <v>3461</v>
      </c>
      <c r="H2701" s="142" t="s">
        <v>18551</v>
      </c>
      <c r="I2701" s="142">
        <v>11</v>
      </c>
      <c r="J2701" s="142">
        <v>11</v>
      </c>
      <c r="K2701" s="142">
        <v>0</v>
      </c>
      <c r="L2701" s="142">
        <v>0</v>
      </c>
      <c r="M2701" s="142">
        <v>0</v>
      </c>
    </row>
    <row r="2702" spans="1:13" x14ac:dyDescent="0.45">
      <c r="A2702" s="142" t="s">
        <v>13074</v>
      </c>
      <c r="B2702" s="142" t="s">
        <v>15405</v>
      </c>
      <c r="C2702" s="142" t="s">
        <v>15847</v>
      </c>
      <c r="D2702" s="142" t="s">
        <v>15848</v>
      </c>
      <c r="E2702" s="142" t="s">
        <v>15849</v>
      </c>
      <c r="F2702" s="142" t="s">
        <v>3462</v>
      </c>
      <c r="G2702" s="142" t="s">
        <v>3461</v>
      </c>
      <c r="H2702" s="142" t="s">
        <v>18552</v>
      </c>
      <c r="I2702" s="142">
        <v>10</v>
      </c>
      <c r="J2702" s="142">
        <v>6</v>
      </c>
      <c r="K2702" s="142">
        <v>0</v>
      </c>
      <c r="L2702" s="142">
        <v>0</v>
      </c>
      <c r="M2702" s="142">
        <v>4</v>
      </c>
    </row>
    <row r="2703" spans="1:13" x14ac:dyDescent="0.45">
      <c r="A2703" s="142" t="s">
        <v>13049</v>
      </c>
      <c r="B2703" s="142" t="s">
        <v>14534</v>
      </c>
      <c r="C2703" s="142" t="s">
        <v>15860</v>
      </c>
      <c r="D2703" s="142" t="s">
        <v>15861</v>
      </c>
      <c r="E2703" s="142" t="s">
        <v>15849</v>
      </c>
      <c r="F2703" s="142" t="s">
        <v>3462</v>
      </c>
      <c r="G2703" s="142" t="s">
        <v>3461</v>
      </c>
      <c r="H2703" s="142" t="s">
        <v>18553</v>
      </c>
      <c r="I2703" s="142">
        <v>3</v>
      </c>
      <c r="J2703" s="142">
        <v>0</v>
      </c>
      <c r="K2703" s="142">
        <v>0</v>
      </c>
      <c r="L2703" s="142">
        <v>3</v>
      </c>
      <c r="M2703" s="142">
        <v>0</v>
      </c>
    </row>
    <row r="2704" spans="1:13" x14ac:dyDescent="0.45">
      <c r="A2704" s="142" t="s">
        <v>13027</v>
      </c>
      <c r="B2704" s="142" t="s">
        <v>14562</v>
      </c>
      <c r="C2704" s="142" t="s">
        <v>15847</v>
      </c>
      <c r="D2704" s="142" t="s">
        <v>15848</v>
      </c>
      <c r="E2704" s="142" t="s">
        <v>15849</v>
      </c>
      <c r="F2704" s="142" t="s">
        <v>3462</v>
      </c>
      <c r="G2704" s="142" t="s">
        <v>3461</v>
      </c>
      <c r="H2704" s="142" t="s">
        <v>18554</v>
      </c>
      <c r="I2704" s="142">
        <v>13</v>
      </c>
      <c r="J2704" s="142">
        <v>0</v>
      </c>
      <c r="K2704" s="142">
        <v>0</v>
      </c>
      <c r="L2704" s="142">
        <v>13</v>
      </c>
      <c r="M2704" s="142">
        <v>0</v>
      </c>
    </row>
    <row r="2705" spans="1:13" x14ac:dyDescent="0.45">
      <c r="A2705" s="142" t="s">
        <v>13050</v>
      </c>
      <c r="B2705" s="142" t="s">
        <v>15237</v>
      </c>
      <c r="C2705" s="142" t="s">
        <v>15847</v>
      </c>
      <c r="D2705" s="142" t="s">
        <v>15848</v>
      </c>
      <c r="E2705" s="142" t="s">
        <v>15849</v>
      </c>
      <c r="F2705" s="142" t="s">
        <v>3462</v>
      </c>
      <c r="G2705" s="142" t="s">
        <v>3461</v>
      </c>
      <c r="H2705" s="142" t="s">
        <v>18555</v>
      </c>
      <c r="I2705" s="142">
        <v>140</v>
      </c>
      <c r="J2705" s="142">
        <v>124</v>
      </c>
      <c r="K2705" s="142">
        <v>0</v>
      </c>
      <c r="L2705" s="142">
        <v>0</v>
      </c>
      <c r="M2705" s="142">
        <v>16</v>
      </c>
    </row>
    <row r="2706" spans="1:13" x14ac:dyDescent="0.45">
      <c r="A2706" s="142" t="s">
        <v>13028</v>
      </c>
      <c r="B2706" s="142" t="s">
        <v>14462</v>
      </c>
      <c r="C2706" s="142" t="s">
        <v>15847</v>
      </c>
      <c r="D2706" s="142" t="s">
        <v>15848</v>
      </c>
      <c r="E2706" s="142" t="s">
        <v>15849</v>
      </c>
      <c r="F2706" s="142" t="s">
        <v>3462</v>
      </c>
      <c r="G2706" s="142" t="s">
        <v>3461</v>
      </c>
      <c r="H2706" s="142" t="s">
        <v>18556</v>
      </c>
      <c r="I2706" s="142">
        <v>66</v>
      </c>
      <c r="J2706" s="142">
        <v>0</v>
      </c>
      <c r="K2706" s="142">
        <v>0</v>
      </c>
      <c r="L2706" s="142">
        <v>0</v>
      </c>
      <c r="M2706" s="142">
        <v>66</v>
      </c>
    </row>
    <row r="2707" spans="1:13" x14ac:dyDescent="0.45">
      <c r="A2707" s="142" t="s">
        <v>13003</v>
      </c>
      <c r="B2707" s="142" t="s">
        <v>15245</v>
      </c>
      <c r="C2707" s="142" t="s">
        <v>15847</v>
      </c>
      <c r="D2707" s="142" t="s">
        <v>15848</v>
      </c>
      <c r="E2707" s="142" t="s">
        <v>15849</v>
      </c>
      <c r="F2707" s="142" t="s">
        <v>3462</v>
      </c>
      <c r="G2707" s="142" t="s">
        <v>3461</v>
      </c>
      <c r="H2707" s="142" t="s">
        <v>18557</v>
      </c>
      <c r="I2707" s="142">
        <v>87</v>
      </c>
      <c r="J2707" s="142">
        <v>0</v>
      </c>
      <c r="K2707" s="142">
        <v>0</v>
      </c>
      <c r="L2707" s="142">
        <v>87</v>
      </c>
      <c r="M2707" s="142">
        <v>0</v>
      </c>
    </row>
    <row r="2708" spans="1:13" x14ac:dyDescent="0.45">
      <c r="A2708" s="142" t="s">
        <v>13066</v>
      </c>
      <c r="B2708" s="142" t="s">
        <v>14459</v>
      </c>
      <c r="C2708" s="142" t="s">
        <v>15847</v>
      </c>
      <c r="D2708" s="142" t="s">
        <v>15848</v>
      </c>
      <c r="E2708" s="142" t="s">
        <v>15849</v>
      </c>
      <c r="F2708" s="142" t="s">
        <v>3462</v>
      </c>
      <c r="G2708" s="142" t="s">
        <v>3461</v>
      </c>
      <c r="H2708" s="142" t="s">
        <v>18558</v>
      </c>
      <c r="I2708" s="142">
        <v>4</v>
      </c>
      <c r="J2708" s="142">
        <v>0</v>
      </c>
      <c r="K2708" s="142">
        <v>0</v>
      </c>
      <c r="L2708" s="142">
        <v>4</v>
      </c>
      <c r="M2708" s="142">
        <v>0</v>
      </c>
    </row>
    <row r="2709" spans="1:13" x14ac:dyDescent="0.45">
      <c r="A2709" s="142" t="s">
        <v>13190</v>
      </c>
      <c r="B2709" s="142" t="s">
        <v>14617</v>
      </c>
      <c r="C2709" s="142" t="s">
        <v>15847</v>
      </c>
      <c r="D2709" s="142" t="s">
        <v>15848</v>
      </c>
      <c r="E2709" s="142" t="s">
        <v>15849</v>
      </c>
      <c r="F2709" s="142" t="s">
        <v>3462</v>
      </c>
      <c r="G2709" s="142" t="s">
        <v>3461</v>
      </c>
      <c r="H2709" s="142" t="s">
        <v>18559</v>
      </c>
      <c r="I2709" s="142">
        <v>1998</v>
      </c>
      <c r="J2709" s="142">
        <v>1449</v>
      </c>
      <c r="K2709" s="142">
        <v>0</v>
      </c>
      <c r="L2709" s="142">
        <v>18</v>
      </c>
      <c r="M2709" s="142">
        <v>531</v>
      </c>
    </row>
    <row r="2710" spans="1:13" x14ac:dyDescent="0.45">
      <c r="A2710" s="142" t="s">
        <v>13516</v>
      </c>
      <c r="B2710" s="142" t="s">
        <v>14461</v>
      </c>
      <c r="C2710" s="142" t="s">
        <v>15860</v>
      </c>
      <c r="D2710" s="142" t="s">
        <v>15861</v>
      </c>
      <c r="E2710" s="142" t="s">
        <v>15849</v>
      </c>
      <c r="F2710" s="142" t="s">
        <v>3462</v>
      </c>
      <c r="G2710" s="142" t="s">
        <v>3461</v>
      </c>
      <c r="H2710" s="142" t="s">
        <v>18560</v>
      </c>
      <c r="I2710" s="142">
        <v>4</v>
      </c>
      <c r="J2710" s="142">
        <v>0</v>
      </c>
      <c r="K2710" s="142">
        <v>0</v>
      </c>
      <c r="L2710" s="142">
        <v>4</v>
      </c>
      <c r="M2710" s="142">
        <v>0</v>
      </c>
    </row>
    <row r="2711" spans="1:13" x14ac:dyDescent="0.45">
      <c r="A2711" s="142" t="s">
        <v>13217</v>
      </c>
      <c r="B2711" s="142" t="s">
        <v>14578</v>
      </c>
      <c r="C2711" s="142" t="s">
        <v>15860</v>
      </c>
      <c r="D2711" s="142" t="s">
        <v>15861</v>
      </c>
      <c r="E2711" s="142" t="s">
        <v>15849</v>
      </c>
      <c r="F2711" s="142" t="s">
        <v>3462</v>
      </c>
      <c r="G2711" s="142" t="s">
        <v>3461</v>
      </c>
      <c r="H2711" s="142" t="s">
        <v>18561</v>
      </c>
      <c r="I2711" s="142">
        <v>23</v>
      </c>
      <c r="J2711" s="142">
        <v>23</v>
      </c>
      <c r="K2711" s="142">
        <v>0</v>
      </c>
      <c r="L2711" s="142">
        <v>0</v>
      </c>
      <c r="M2711" s="142">
        <v>0</v>
      </c>
    </row>
    <row r="2712" spans="1:13" x14ac:dyDescent="0.45">
      <c r="A2712" s="142" t="s">
        <v>13036</v>
      </c>
      <c r="B2712" s="142" t="s">
        <v>15567</v>
      </c>
      <c r="C2712" s="142" t="s">
        <v>15847</v>
      </c>
      <c r="D2712" s="142" t="s">
        <v>15848</v>
      </c>
      <c r="E2712" s="142" t="s">
        <v>15849</v>
      </c>
      <c r="F2712" s="142" t="s">
        <v>3462</v>
      </c>
      <c r="G2712" s="142" t="s">
        <v>3461</v>
      </c>
      <c r="H2712" s="142" t="s">
        <v>18562</v>
      </c>
      <c r="I2712" s="142">
        <v>14</v>
      </c>
      <c r="J2712" s="142">
        <v>0</v>
      </c>
      <c r="K2712" s="142">
        <v>0</v>
      </c>
      <c r="L2712" s="142">
        <v>14</v>
      </c>
      <c r="M2712" s="142">
        <v>0</v>
      </c>
    </row>
    <row r="2713" spans="1:13" x14ac:dyDescent="0.45">
      <c r="A2713" s="142" t="s">
        <v>13105</v>
      </c>
      <c r="B2713" s="142" t="s">
        <v>14654</v>
      </c>
      <c r="C2713" s="142" t="s">
        <v>15847</v>
      </c>
      <c r="D2713" s="142" t="s">
        <v>15848</v>
      </c>
      <c r="E2713" s="142" t="s">
        <v>15849</v>
      </c>
      <c r="F2713" s="142" t="s">
        <v>3462</v>
      </c>
      <c r="G2713" s="142" t="s">
        <v>3461</v>
      </c>
      <c r="H2713" s="142" t="s">
        <v>18563</v>
      </c>
      <c r="I2713" s="142">
        <v>5</v>
      </c>
      <c r="J2713" s="142">
        <v>0</v>
      </c>
      <c r="K2713" s="142">
        <v>0</v>
      </c>
      <c r="L2713" s="142">
        <v>0</v>
      </c>
      <c r="M2713" s="142">
        <v>5</v>
      </c>
    </row>
    <row r="2714" spans="1:13" x14ac:dyDescent="0.45">
      <c r="A2714" s="142" t="s">
        <v>13038</v>
      </c>
      <c r="B2714" s="142" t="s">
        <v>14646</v>
      </c>
      <c r="C2714" s="142" t="s">
        <v>15847</v>
      </c>
      <c r="D2714" s="142" t="s">
        <v>15848</v>
      </c>
      <c r="E2714" s="142" t="s">
        <v>15849</v>
      </c>
      <c r="F2714" s="142" t="s">
        <v>3462</v>
      </c>
      <c r="G2714" s="142" t="s">
        <v>3461</v>
      </c>
      <c r="H2714" s="142" t="s">
        <v>18564</v>
      </c>
      <c r="I2714" s="142">
        <v>24</v>
      </c>
      <c r="J2714" s="142">
        <v>0</v>
      </c>
      <c r="K2714" s="142">
        <v>0</v>
      </c>
      <c r="L2714" s="142">
        <v>0</v>
      </c>
      <c r="M2714" s="142">
        <v>24</v>
      </c>
    </row>
    <row r="2715" spans="1:13" x14ac:dyDescent="0.45">
      <c r="A2715" s="142" t="s">
        <v>13078</v>
      </c>
      <c r="B2715" s="142" t="s">
        <v>15540</v>
      </c>
      <c r="C2715" s="142" t="s">
        <v>15847</v>
      </c>
      <c r="D2715" s="142" t="s">
        <v>15848</v>
      </c>
      <c r="E2715" s="142" t="s">
        <v>15849</v>
      </c>
      <c r="F2715" s="142" t="s">
        <v>3462</v>
      </c>
      <c r="G2715" s="142" t="s">
        <v>3461</v>
      </c>
      <c r="H2715" s="142" t="s">
        <v>18565</v>
      </c>
      <c r="I2715" s="142">
        <v>24</v>
      </c>
      <c r="J2715" s="142">
        <v>0</v>
      </c>
      <c r="K2715" s="142">
        <v>0</v>
      </c>
      <c r="L2715" s="142">
        <v>24</v>
      </c>
      <c r="M2715" s="142">
        <v>0</v>
      </c>
    </row>
    <row r="2716" spans="1:13" x14ac:dyDescent="0.45">
      <c r="A2716" s="142" t="s">
        <v>13091</v>
      </c>
      <c r="B2716" s="142" t="s">
        <v>14473</v>
      </c>
      <c r="C2716" s="142" t="s">
        <v>15847</v>
      </c>
      <c r="D2716" s="142" t="s">
        <v>15848</v>
      </c>
      <c r="E2716" s="142" t="s">
        <v>15849</v>
      </c>
      <c r="F2716" s="142" t="s">
        <v>3462</v>
      </c>
      <c r="G2716" s="142" t="s">
        <v>3461</v>
      </c>
      <c r="H2716" s="142" t="s">
        <v>18566</v>
      </c>
      <c r="I2716" s="142">
        <v>10</v>
      </c>
      <c r="J2716" s="142">
        <v>10</v>
      </c>
      <c r="K2716" s="142">
        <v>0</v>
      </c>
      <c r="L2716" s="142">
        <v>0</v>
      </c>
      <c r="M2716" s="142">
        <v>0</v>
      </c>
    </row>
    <row r="2717" spans="1:13" x14ac:dyDescent="0.45">
      <c r="A2717" s="142" t="s">
        <v>13009</v>
      </c>
      <c r="B2717" s="142" t="s">
        <v>15256</v>
      </c>
      <c r="C2717" s="142" t="s">
        <v>15847</v>
      </c>
      <c r="D2717" s="142" t="s">
        <v>15848</v>
      </c>
      <c r="E2717" s="142" t="s">
        <v>15849</v>
      </c>
      <c r="F2717" s="142" t="s">
        <v>3462</v>
      </c>
      <c r="G2717" s="142" t="s">
        <v>3461</v>
      </c>
      <c r="H2717" s="142" t="s">
        <v>18567</v>
      </c>
      <c r="I2717" s="142">
        <v>146</v>
      </c>
      <c r="J2717" s="142">
        <v>146</v>
      </c>
      <c r="K2717" s="142">
        <v>0</v>
      </c>
      <c r="L2717" s="142">
        <v>0</v>
      </c>
      <c r="M2717" s="142">
        <v>0</v>
      </c>
    </row>
    <row r="2718" spans="1:13" x14ac:dyDescent="0.45">
      <c r="A2718" s="142" t="s">
        <v>13645</v>
      </c>
      <c r="B2718" s="142" t="s">
        <v>15141</v>
      </c>
      <c r="C2718" s="142" t="s">
        <v>15860</v>
      </c>
      <c r="D2718" s="142" t="s">
        <v>15861</v>
      </c>
      <c r="E2718" s="142" t="s">
        <v>15849</v>
      </c>
      <c r="F2718" s="142" t="s">
        <v>3462</v>
      </c>
      <c r="G2718" s="142" t="s">
        <v>3461</v>
      </c>
      <c r="H2718" s="142" t="s">
        <v>18568</v>
      </c>
      <c r="I2718" s="142">
        <v>32</v>
      </c>
      <c r="J2718" s="142">
        <v>0</v>
      </c>
      <c r="K2718" s="142">
        <v>0</v>
      </c>
      <c r="L2718" s="142">
        <v>32</v>
      </c>
      <c r="M2718" s="142">
        <v>0</v>
      </c>
    </row>
    <row r="2719" spans="1:13" x14ac:dyDescent="0.45">
      <c r="A2719" s="142" t="s">
        <v>13058</v>
      </c>
      <c r="B2719" s="142" t="s">
        <v>14584</v>
      </c>
      <c r="C2719" s="142" t="s">
        <v>15847</v>
      </c>
      <c r="D2719" s="142" t="s">
        <v>15848</v>
      </c>
      <c r="E2719" s="142" t="s">
        <v>15849</v>
      </c>
      <c r="F2719" s="142" t="s">
        <v>3462</v>
      </c>
      <c r="G2719" s="142" t="s">
        <v>3461</v>
      </c>
      <c r="H2719" s="142" t="s">
        <v>18569</v>
      </c>
      <c r="I2719" s="142">
        <v>743</v>
      </c>
      <c r="J2719" s="142">
        <v>519</v>
      </c>
      <c r="K2719" s="142">
        <v>0</v>
      </c>
      <c r="L2719" s="142">
        <v>35</v>
      </c>
      <c r="M2719" s="142">
        <v>189</v>
      </c>
    </row>
    <row r="2720" spans="1:13" x14ac:dyDescent="0.45">
      <c r="A2720" s="142" t="s">
        <v>13012</v>
      </c>
      <c r="B2720" s="142" t="s">
        <v>15337</v>
      </c>
      <c r="C2720" s="142" t="s">
        <v>15847</v>
      </c>
      <c r="D2720" s="142" t="s">
        <v>15848</v>
      </c>
      <c r="E2720" s="142" t="s">
        <v>15849</v>
      </c>
      <c r="F2720" s="142" t="s">
        <v>3462</v>
      </c>
      <c r="G2720" s="142" t="s">
        <v>3461</v>
      </c>
      <c r="H2720" s="142" t="s">
        <v>18570</v>
      </c>
      <c r="I2720" s="142">
        <v>63</v>
      </c>
      <c r="J2720" s="142">
        <v>55</v>
      </c>
      <c r="K2720" s="142">
        <v>0</v>
      </c>
      <c r="L2720" s="142">
        <v>1</v>
      </c>
      <c r="M2720" s="142">
        <v>7</v>
      </c>
    </row>
    <row r="2721" spans="1:13" x14ac:dyDescent="0.45">
      <c r="A2721" s="142" t="s">
        <v>13060</v>
      </c>
      <c r="B2721" s="142" t="s">
        <v>14470</v>
      </c>
      <c r="C2721" s="142" t="s">
        <v>15847</v>
      </c>
      <c r="D2721" s="142" t="s">
        <v>15848</v>
      </c>
      <c r="E2721" s="142" t="s">
        <v>15849</v>
      </c>
      <c r="F2721" s="142" t="s">
        <v>3462</v>
      </c>
      <c r="G2721" s="142" t="s">
        <v>3461</v>
      </c>
      <c r="H2721" s="142" t="s">
        <v>18571</v>
      </c>
      <c r="I2721" s="142">
        <v>149</v>
      </c>
      <c r="J2721" s="142">
        <v>107</v>
      </c>
      <c r="K2721" s="142">
        <v>0</v>
      </c>
      <c r="L2721" s="142">
        <v>0</v>
      </c>
      <c r="M2721" s="142">
        <v>42</v>
      </c>
    </row>
    <row r="2722" spans="1:13" x14ac:dyDescent="0.45">
      <c r="A2722" s="142" t="s">
        <v>13646</v>
      </c>
      <c r="B2722" s="142" t="s">
        <v>15599</v>
      </c>
      <c r="C2722" s="142" t="s">
        <v>15847</v>
      </c>
      <c r="D2722" s="142" t="s">
        <v>15848</v>
      </c>
      <c r="E2722" s="142" t="s">
        <v>15849</v>
      </c>
      <c r="F2722" s="142" t="s">
        <v>3462</v>
      </c>
      <c r="G2722" s="142" t="s">
        <v>3461</v>
      </c>
      <c r="H2722" s="142" t="s">
        <v>18572</v>
      </c>
      <c r="I2722" s="142">
        <v>77</v>
      </c>
      <c r="J2722" s="142">
        <v>54</v>
      </c>
      <c r="K2722" s="142">
        <v>0</v>
      </c>
      <c r="L2722" s="142">
        <v>0</v>
      </c>
      <c r="M2722" s="142">
        <v>23</v>
      </c>
    </row>
    <row r="2723" spans="1:13" x14ac:dyDescent="0.45">
      <c r="A2723" s="142" t="s">
        <v>13647</v>
      </c>
      <c r="B2723" s="142" t="s">
        <v>14828</v>
      </c>
      <c r="C2723" s="142" t="s">
        <v>15860</v>
      </c>
      <c r="D2723" s="142" t="s">
        <v>15861</v>
      </c>
      <c r="E2723" s="142" t="s">
        <v>15849</v>
      </c>
      <c r="F2723" s="142" t="s">
        <v>3462</v>
      </c>
      <c r="G2723" s="142" t="s">
        <v>3461</v>
      </c>
      <c r="H2723" s="142" t="s">
        <v>18573</v>
      </c>
      <c r="I2723" s="142">
        <v>2</v>
      </c>
      <c r="J2723" s="142">
        <v>2</v>
      </c>
      <c r="K2723" s="142">
        <v>0</v>
      </c>
      <c r="L2723" s="142">
        <v>0</v>
      </c>
      <c r="M2723" s="142">
        <v>0</v>
      </c>
    </row>
    <row r="2724" spans="1:13" x14ac:dyDescent="0.45">
      <c r="A2724" s="142" t="s">
        <v>13014</v>
      </c>
      <c r="B2724" s="142" t="s">
        <v>14505</v>
      </c>
      <c r="C2724" s="142" t="s">
        <v>15847</v>
      </c>
      <c r="D2724" s="142" t="s">
        <v>15848</v>
      </c>
      <c r="E2724" s="142" t="s">
        <v>15849</v>
      </c>
      <c r="F2724" s="142" t="s">
        <v>3462</v>
      </c>
      <c r="G2724" s="142" t="s">
        <v>3461</v>
      </c>
      <c r="H2724" s="142" t="s">
        <v>18574</v>
      </c>
      <c r="I2724" s="142">
        <v>215</v>
      </c>
      <c r="J2724" s="142">
        <v>161</v>
      </c>
      <c r="K2724" s="142">
        <v>1</v>
      </c>
      <c r="L2724" s="142">
        <v>22</v>
      </c>
      <c r="M2724" s="142">
        <v>31</v>
      </c>
    </row>
    <row r="2725" spans="1:13" x14ac:dyDescent="0.45">
      <c r="A2725" s="142" t="s">
        <v>13222</v>
      </c>
      <c r="B2725" s="142" t="s">
        <v>14449</v>
      </c>
      <c r="C2725" s="142" t="s">
        <v>15860</v>
      </c>
      <c r="D2725" s="142" t="s">
        <v>15861</v>
      </c>
      <c r="E2725" s="142" t="s">
        <v>15849</v>
      </c>
      <c r="F2725" s="142" t="s">
        <v>3462</v>
      </c>
      <c r="G2725" s="142" t="s">
        <v>3461</v>
      </c>
      <c r="H2725" s="142" t="s">
        <v>18575</v>
      </c>
      <c r="I2725" s="142">
        <v>4</v>
      </c>
      <c r="J2725" s="142">
        <v>0</v>
      </c>
      <c r="K2725" s="142">
        <v>0</v>
      </c>
      <c r="L2725" s="142">
        <v>4</v>
      </c>
      <c r="M2725" s="142">
        <v>0</v>
      </c>
    </row>
    <row r="2726" spans="1:13" x14ac:dyDescent="0.45">
      <c r="A2726" s="142" t="s">
        <v>13541</v>
      </c>
      <c r="B2726" s="142" t="s">
        <v>14579</v>
      </c>
      <c r="C2726" s="142" t="s">
        <v>15847</v>
      </c>
      <c r="D2726" s="142" t="s">
        <v>15848</v>
      </c>
      <c r="E2726" s="142" t="s">
        <v>15849</v>
      </c>
      <c r="F2726" s="142" t="s">
        <v>3462</v>
      </c>
      <c r="G2726" s="142" t="s">
        <v>3461</v>
      </c>
      <c r="H2726" s="142" t="s">
        <v>18576</v>
      </c>
      <c r="I2726" s="142">
        <v>70</v>
      </c>
      <c r="J2726" s="142">
        <v>24</v>
      </c>
      <c r="K2726" s="142">
        <v>0</v>
      </c>
      <c r="L2726" s="142">
        <v>23</v>
      </c>
      <c r="M2726" s="142">
        <v>23</v>
      </c>
    </row>
    <row r="2727" spans="1:13" x14ac:dyDescent="0.45">
      <c r="A2727" s="142" t="s">
        <v>13542</v>
      </c>
      <c r="B2727" s="142" t="s">
        <v>15368</v>
      </c>
      <c r="C2727" s="142" t="s">
        <v>15847</v>
      </c>
      <c r="D2727" s="142" t="s">
        <v>15848</v>
      </c>
      <c r="E2727" s="142" t="s">
        <v>15849</v>
      </c>
      <c r="F2727" s="142" t="s">
        <v>3462</v>
      </c>
      <c r="G2727" s="142" t="s">
        <v>3461</v>
      </c>
      <c r="H2727" s="142" t="s">
        <v>18577</v>
      </c>
      <c r="I2727" s="142">
        <v>4</v>
      </c>
      <c r="J2727" s="142">
        <v>4</v>
      </c>
      <c r="K2727" s="142">
        <v>0</v>
      </c>
      <c r="L2727" s="142">
        <v>0</v>
      </c>
      <c r="M2727" s="142">
        <v>0</v>
      </c>
    </row>
    <row r="2728" spans="1:13" x14ac:dyDescent="0.45">
      <c r="A2728" s="142" t="s">
        <v>13308</v>
      </c>
      <c r="B2728" s="142" t="s">
        <v>15608</v>
      </c>
      <c r="C2728" s="142" t="s">
        <v>15847</v>
      </c>
      <c r="D2728" s="142" t="s">
        <v>15848</v>
      </c>
      <c r="E2728" s="142" t="s">
        <v>15849</v>
      </c>
      <c r="F2728" s="142" t="s">
        <v>4782</v>
      </c>
      <c r="G2728" s="142" t="s">
        <v>4781</v>
      </c>
      <c r="H2728" s="142" t="s">
        <v>18578</v>
      </c>
      <c r="I2728" s="142">
        <v>3</v>
      </c>
      <c r="J2728" s="142">
        <v>0</v>
      </c>
      <c r="K2728" s="142">
        <v>0</v>
      </c>
      <c r="L2728" s="142">
        <v>0</v>
      </c>
      <c r="M2728" s="142">
        <v>3</v>
      </c>
    </row>
    <row r="2729" spans="1:13" x14ac:dyDescent="0.45">
      <c r="A2729" s="142" t="s">
        <v>13166</v>
      </c>
      <c r="B2729" s="142" t="s">
        <v>15576</v>
      </c>
      <c r="C2729" s="142" t="s">
        <v>15847</v>
      </c>
      <c r="D2729" s="142" t="s">
        <v>15848</v>
      </c>
      <c r="E2729" s="142" t="s">
        <v>15849</v>
      </c>
      <c r="F2729" s="142" t="s">
        <v>4782</v>
      </c>
      <c r="G2729" s="142" t="s">
        <v>4781</v>
      </c>
      <c r="H2729" s="142" t="s">
        <v>18579</v>
      </c>
      <c r="I2729" s="142">
        <v>76</v>
      </c>
      <c r="J2729" s="142">
        <v>47</v>
      </c>
      <c r="K2729" s="142">
        <v>0</v>
      </c>
      <c r="L2729" s="142">
        <v>15</v>
      </c>
      <c r="M2729" s="142">
        <v>14</v>
      </c>
    </row>
    <row r="2730" spans="1:13" x14ac:dyDescent="0.45">
      <c r="A2730" s="142" t="s">
        <v>13046</v>
      </c>
      <c r="B2730" s="142" t="s">
        <v>15537</v>
      </c>
      <c r="C2730" s="142" t="s">
        <v>15860</v>
      </c>
      <c r="D2730" s="142" t="s">
        <v>15861</v>
      </c>
      <c r="E2730" s="142" t="s">
        <v>15849</v>
      </c>
      <c r="F2730" s="142" t="s">
        <v>4782</v>
      </c>
      <c r="G2730" s="142" t="s">
        <v>4781</v>
      </c>
      <c r="H2730" s="142" t="s">
        <v>18580</v>
      </c>
      <c r="I2730" s="142">
        <v>18</v>
      </c>
      <c r="J2730" s="142">
        <v>10</v>
      </c>
      <c r="K2730" s="142">
        <v>0</v>
      </c>
      <c r="L2730" s="142">
        <v>8</v>
      </c>
      <c r="M2730" s="142">
        <v>0</v>
      </c>
    </row>
    <row r="2731" spans="1:13" x14ac:dyDescent="0.45">
      <c r="A2731" s="142" t="s">
        <v>13167</v>
      </c>
      <c r="B2731" s="142" t="s">
        <v>15418</v>
      </c>
      <c r="C2731" s="142" t="s">
        <v>15847</v>
      </c>
      <c r="D2731" s="142" t="s">
        <v>15848</v>
      </c>
      <c r="E2731" s="142" t="s">
        <v>15849</v>
      </c>
      <c r="F2731" s="142" t="s">
        <v>4782</v>
      </c>
      <c r="G2731" s="142" t="s">
        <v>4781</v>
      </c>
      <c r="H2731" s="142" t="s">
        <v>18581</v>
      </c>
      <c r="I2731" s="142">
        <v>4941</v>
      </c>
      <c r="J2731" s="142">
        <v>4162</v>
      </c>
      <c r="K2731" s="142">
        <v>0</v>
      </c>
      <c r="L2731" s="142">
        <v>614</v>
      </c>
      <c r="M2731" s="142">
        <v>165</v>
      </c>
    </row>
    <row r="2732" spans="1:13" x14ac:dyDescent="0.45">
      <c r="A2732" s="142" t="s">
        <v>13021</v>
      </c>
      <c r="B2732" s="142" t="s">
        <v>15501</v>
      </c>
      <c r="C2732" s="142" t="s">
        <v>15847</v>
      </c>
      <c r="D2732" s="142" t="s">
        <v>15848</v>
      </c>
      <c r="E2732" s="142" t="s">
        <v>15849</v>
      </c>
      <c r="F2732" s="142" t="s">
        <v>4782</v>
      </c>
      <c r="G2732" s="142" t="s">
        <v>4781</v>
      </c>
      <c r="H2732" s="142" t="s">
        <v>18582</v>
      </c>
      <c r="I2732" s="142">
        <v>8</v>
      </c>
      <c r="J2732" s="142">
        <v>0</v>
      </c>
      <c r="K2732" s="142">
        <v>0</v>
      </c>
      <c r="L2732" s="142">
        <v>3</v>
      </c>
      <c r="M2732" s="142">
        <v>5</v>
      </c>
    </row>
    <row r="2733" spans="1:13" x14ac:dyDescent="0.45">
      <c r="A2733" s="142" t="s">
        <v>13023</v>
      </c>
      <c r="B2733" s="142" t="s">
        <v>15571</v>
      </c>
      <c r="C2733" s="142" t="s">
        <v>15847</v>
      </c>
      <c r="D2733" s="142" t="s">
        <v>15848</v>
      </c>
      <c r="E2733" s="142" t="s">
        <v>15849</v>
      </c>
      <c r="F2733" s="142" t="s">
        <v>4782</v>
      </c>
      <c r="G2733" s="142" t="s">
        <v>4781</v>
      </c>
      <c r="H2733" s="142" t="s">
        <v>18583</v>
      </c>
      <c r="I2733" s="142">
        <v>59</v>
      </c>
      <c r="J2733" s="142">
        <v>0</v>
      </c>
      <c r="K2733" s="142">
        <v>0</v>
      </c>
      <c r="L2733" s="142">
        <v>59</v>
      </c>
      <c r="M2733" s="142">
        <v>0</v>
      </c>
    </row>
    <row r="2734" spans="1:13" x14ac:dyDescent="0.45">
      <c r="A2734" s="142" t="s">
        <v>13048</v>
      </c>
      <c r="B2734" s="142" t="s">
        <v>14479</v>
      </c>
      <c r="C2734" s="142" t="s">
        <v>15847</v>
      </c>
      <c r="D2734" s="142" t="s">
        <v>15848</v>
      </c>
      <c r="E2734" s="142" t="s">
        <v>15849</v>
      </c>
      <c r="F2734" s="142" t="s">
        <v>4782</v>
      </c>
      <c r="G2734" s="142" t="s">
        <v>4781</v>
      </c>
      <c r="H2734" s="142" t="s">
        <v>18584</v>
      </c>
      <c r="I2734" s="142">
        <v>250</v>
      </c>
      <c r="J2734" s="142">
        <v>150</v>
      </c>
      <c r="K2734" s="142">
        <v>0</v>
      </c>
      <c r="L2734" s="142">
        <v>0</v>
      </c>
      <c r="M2734" s="142">
        <v>100</v>
      </c>
    </row>
    <row r="2735" spans="1:13" x14ac:dyDescent="0.45">
      <c r="A2735" s="142" t="s">
        <v>13000</v>
      </c>
      <c r="B2735" s="142" t="s">
        <v>14610</v>
      </c>
      <c r="C2735" s="142" t="s">
        <v>15847</v>
      </c>
      <c r="D2735" s="142" t="s">
        <v>15848</v>
      </c>
      <c r="E2735" s="142" t="s">
        <v>15849</v>
      </c>
      <c r="F2735" s="142" t="s">
        <v>4782</v>
      </c>
      <c r="G2735" s="142" t="s">
        <v>4781</v>
      </c>
      <c r="H2735" s="142" t="s">
        <v>18585</v>
      </c>
      <c r="I2735" s="142">
        <v>92</v>
      </c>
      <c r="J2735" s="142">
        <v>78</v>
      </c>
      <c r="K2735" s="142">
        <v>0</v>
      </c>
      <c r="L2735" s="142">
        <v>3</v>
      </c>
      <c r="M2735" s="142">
        <v>11</v>
      </c>
    </row>
    <row r="2736" spans="1:13" x14ac:dyDescent="0.45">
      <c r="A2736" s="142" t="s">
        <v>13027</v>
      </c>
      <c r="B2736" s="142" t="s">
        <v>14562</v>
      </c>
      <c r="C2736" s="142" t="s">
        <v>15847</v>
      </c>
      <c r="D2736" s="142" t="s">
        <v>15848</v>
      </c>
      <c r="E2736" s="142" t="s">
        <v>15849</v>
      </c>
      <c r="F2736" s="142" t="s">
        <v>4782</v>
      </c>
      <c r="G2736" s="142" t="s">
        <v>4781</v>
      </c>
      <c r="H2736" s="142" t="s">
        <v>18586</v>
      </c>
      <c r="I2736" s="142">
        <v>4</v>
      </c>
      <c r="J2736" s="142">
        <v>0</v>
      </c>
      <c r="K2736" s="142">
        <v>0</v>
      </c>
      <c r="L2736" s="142">
        <v>4</v>
      </c>
      <c r="M2736" s="142">
        <v>0</v>
      </c>
    </row>
    <row r="2737" spans="1:13" x14ac:dyDescent="0.45">
      <c r="A2737" s="142" t="s">
        <v>13002</v>
      </c>
      <c r="B2737" s="142" t="s">
        <v>15376</v>
      </c>
      <c r="C2737" s="142" t="s">
        <v>15847</v>
      </c>
      <c r="D2737" s="142" t="s">
        <v>15848</v>
      </c>
      <c r="E2737" s="142" t="s">
        <v>15849</v>
      </c>
      <c r="F2737" s="142" t="s">
        <v>4782</v>
      </c>
      <c r="G2737" s="142" t="s">
        <v>4781</v>
      </c>
      <c r="H2737" s="142" t="s">
        <v>18587</v>
      </c>
      <c r="I2737" s="142">
        <v>134</v>
      </c>
      <c r="J2737" s="142">
        <v>117</v>
      </c>
      <c r="K2737" s="142">
        <v>0</v>
      </c>
      <c r="L2737" s="142">
        <v>9</v>
      </c>
      <c r="M2737" s="142">
        <v>8</v>
      </c>
    </row>
    <row r="2738" spans="1:13" x14ac:dyDescent="0.45">
      <c r="A2738" s="142" t="s">
        <v>13005</v>
      </c>
      <c r="B2738" s="142" t="s">
        <v>15475</v>
      </c>
      <c r="C2738" s="142" t="s">
        <v>15847</v>
      </c>
      <c r="D2738" s="142" t="s">
        <v>15848</v>
      </c>
      <c r="E2738" s="142" t="s">
        <v>15849</v>
      </c>
      <c r="F2738" s="142" t="s">
        <v>4782</v>
      </c>
      <c r="G2738" s="142" t="s">
        <v>4781</v>
      </c>
      <c r="H2738" s="142" t="s">
        <v>18588</v>
      </c>
      <c r="I2738" s="142">
        <v>7</v>
      </c>
      <c r="J2738" s="142">
        <v>0</v>
      </c>
      <c r="K2738" s="142">
        <v>0</v>
      </c>
      <c r="L2738" s="142">
        <v>6</v>
      </c>
      <c r="M2738" s="142">
        <v>1</v>
      </c>
    </row>
    <row r="2739" spans="1:13" x14ac:dyDescent="0.45">
      <c r="A2739" s="142" t="s">
        <v>13029</v>
      </c>
      <c r="B2739" s="142" t="s">
        <v>14665</v>
      </c>
      <c r="C2739" s="142" t="s">
        <v>15847</v>
      </c>
      <c r="D2739" s="142" t="s">
        <v>15848</v>
      </c>
      <c r="E2739" s="142" t="s">
        <v>15849</v>
      </c>
      <c r="F2739" s="142" t="s">
        <v>4782</v>
      </c>
      <c r="G2739" s="142" t="s">
        <v>4781</v>
      </c>
      <c r="H2739" s="142" t="s">
        <v>18589</v>
      </c>
      <c r="I2739" s="142">
        <v>4</v>
      </c>
      <c r="J2739" s="142">
        <v>0</v>
      </c>
      <c r="K2739" s="142">
        <v>0</v>
      </c>
      <c r="L2739" s="142">
        <v>0</v>
      </c>
      <c r="M2739" s="142">
        <v>4</v>
      </c>
    </row>
    <row r="2740" spans="1:13" x14ac:dyDescent="0.45">
      <c r="A2740" s="142" t="s">
        <v>13006</v>
      </c>
      <c r="B2740" s="142" t="s">
        <v>15288</v>
      </c>
      <c r="C2740" s="142" t="s">
        <v>15847</v>
      </c>
      <c r="D2740" s="142" t="s">
        <v>15848</v>
      </c>
      <c r="E2740" s="142" t="s">
        <v>15849</v>
      </c>
      <c r="F2740" s="142" t="s">
        <v>4782</v>
      </c>
      <c r="G2740" s="142" t="s">
        <v>4781</v>
      </c>
      <c r="H2740" s="142" t="s">
        <v>18590</v>
      </c>
      <c r="I2740" s="142">
        <v>7</v>
      </c>
      <c r="J2740" s="142">
        <v>0</v>
      </c>
      <c r="K2740" s="142">
        <v>0</v>
      </c>
      <c r="L2740" s="142">
        <v>0</v>
      </c>
      <c r="M2740" s="142">
        <v>7</v>
      </c>
    </row>
    <row r="2741" spans="1:13" x14ac:dyDescent="0.45">
      <c r="A2741" s="142" t="s">
        <v>13007</v>
      </c>
      <c r="B2741" s="142" t="s">
        <v>15262</v>
      </c>
      <c r="C2741" s="142" t="s">
        <v>15847</v>
      </c>
      <c r="D2741" s="142" t="s">
        <v>15848</v>
      </c>
      <c r="E2741" s="142" t="s">
        <v>15849</v>
      </c>
      <c r="F2741" s="142" t="s">
        <v>4782</v>
      </c>
      <c r="G2741" s="142" t="s">
        <v>4781</v>
      </c>
      <c r="H2741" s="142" t="s">
        <v>18591</v>
      </c>
      <c r="I2741" s="142">
        <v>3</v>
      </c>
      <c r="J2741" s="142">
        <v>0</v>
      </c>
      <c r="K2741" s="142">
        <v>0</v>
      </c>
      <c r="L2741" s="142">
        <v>0</v>
      </c>
      <c r="M2741" s="142">
        <v>3</v>
      </c>
    </row>
    <row r="2742" spans="1:13" x14ac:dyDescent="0.45">
      <c r="A2742" s="142" t="s">
        <v>13512</v>
      </c>
      <c r="B2742" s="142" t="s">
        <v>15255</v>
      </c>
      <c r="C2742" s="142" t="s">
        <v>15860</v>
      </c>
      <c r="D2742" s="142" t="s">
        <v>15861</v>
      </c>
      <c r="E2742" s="142" t="s">
        <v>15849</v>
      </c>
      <c r="F2742" s="142" t="s">
        <v>4782</v>
      </c>
      <c r="G2742" s="142" t="s">
        <v>4781</v>
      </c>
      <c r="H2742" s="142" t="s">
        <v>18592</v>
      </c>
      <c r="I2742" s="142">
        <v>279</v>
      </c>
      <c r="J2742" s="142">
        <v>275</v>
      </c>
      <c r="K2742" s="142">
        <v>0</v>
      </c>
      <c r="L2742" s="142">
        <v>4</v>
      </c>
      <c r="M2742" s="142">
        <v>0</v>
      </c>
    </row>
    <row r="2743" spans="1:13" x14ac:dyDescent="0.45">
      <c r="A2743" s="142" t="s">
        <v>13033</v>
      </c>
      <c r="B2743" s="142" t="s">
        <v>15276</v>
      </c>
      <c r="C2743" s="142" t="s">
        <v>15847</v>
      </c>
      <c r="D2743" s="142" t="s">
        <v>15848</v>
      </c>
      <c r="E2743" s="142" t="s">
        <v>15849</v>
      </c>
      <c r="F2743" s="142" t="s">
        <v>4782</v>
      </c>
      <c r="G2743" s="142" t="s">
        <v>4781</v>
      </c>
      <c r="H2743" s="142" t="s">
        <v>18593</v>
      </c>
      <c r="I2743" s="142">
        <v>47</v>
      </c>
      <c r="J2743" s="142">
        <v>35</v>
      </c>
      <c r="K2743" s="142">
        <v>0</v>
      </c>
      <c r="L2743" s="142">
        <v>0</v>
      </c>
      <c r="M2743" s="142">
        <v>12</v>
      </c>
    </row>
    <row r="2744" spans="1:13" x14ac:dyDescent="0.45">
      <c r="A2744" s="142" t="s">
        <v>13037</v>
      </c>
      <c r="B2744" s="142" t="s">
        <v>14519</v>
      </c>
      <c r="C2744" s="142" t="s">
        <v>15847</v>
      </c>
      <c r="D2744" s="142" t="s">
        <v>15848</v>
      </c>
      <c r="E2744" s="142" t="s">
        <v>15849</v>
      </c>
      <c r="F2744" s="142" t="s">
        <v>4782</v>
      </c>
      <c r="G2744" s="142" t="s">
        <v>4781</v>
      </c>
      <c r="H2744" s="142" t="s">
        <v>18594</v>
      </c>
      <c r="I2744" s="142">
        <v>4</v>
      </c>
      <c r="J2744" s="142">
        <v>0</v>
      </c>
      <c r="K2744" s="142">
        <v>0</v>
      </c>
      <c r="L2744" s="142">
        <v>4</v>
      </c>
      <c r="M2744" s="142">
        <v>0</v>
      </c>
    </row>
    <row r="2745" spans="1:13" x14ac:dyDescent="0.45">
      <c r="A2745" s="142" t="s">
        <v>13039</v>
      </c>
      <c r="B2745" s="142" t="s">
        <v>14647</v>
      </c>
      <c r="C2745" s="142" t="s">
        <v>15847</v>
      </c>
      <c r="D2745" s="142" t="s">
        <v>15848</v>
      </c>
      <c r="E2745" s="142" t="s">
        <v>15849</v>
      </c>
      <c r="F2745" s="142" t="s">
        <v>4782</v>
      </c>
      <c r="G2745" s="142" t="s">
        <v>4781</v>
      </c>
      <c r="H2745" s="142" t="s">
        <v>18595</v>
      </c>
      <c r="I2745" s="142">
        <v>16</v>
      </c>
      <c r="J2745" s="142">
        <v>16</v>
      </c>
      <c r="K2745" s="142">
        <v>0</v>
      </c>
      <c r="L2745" s="142">
        <v>0</v>
      </c>
      <c r="M2745" s="142">
        <v>0</v>
      </c>
    </row>
    <row r="2746" spans="1:13" x14ac:dyDescent="0.45">
      <c r="A2746" s="142" t="s">
        <v>13009</v>
      </c>
      <c r="B2746" s="142" t="s">
        <v>15256</v>
      </c>
      <c r="C2746" s="142" t="s">
        <v>15847</v>
      </c>
      <c r="D2746" s="142" t="s">
        <v>15848</v>
      </c>
      <c r="E2746" s="142" t="s">
        <v>15849</v>
      </c>
      <c r="F2746" s="142" t="s">
        <v>4782</v>
      </c>
      <c r="G2746" s="142" t="s">
        <v>4781</v>
      </c>
      <c r="H2746" s="142" t="s">
        <v>18596</v>
      </c>
      <c r="I2746" s="142">
        <v>83</v>
      </c>
      <c r="J2746" s="142">
        <v>0</v>
      </c>
      <c r="K2746" s="142">
        <v>0</v>
      </c>
      <c r="L2746" s="142">
        <v>83</v>
      </c>
      <c r="M2746" s="142">
        <v>0</v>
      </c>
    </row>
    <row r="2747" spans="1:13" x14ac:dyDescent="0.45">
      <c r="A2747" s="142" t="s">
        <v>13011</v>
      </c>
      <c r="B2747" s="142" t="s">
        <v>14695</v>
      </c>
      <c r="C2747" s="142" t="s">
        <v>15847</v>
      </c>
      <c r="D2747" s="142" t="s">
        <v>15848</v>
      </c>
      <c r="E2747" s="142" t="s">
        <v>15849</v>
      </c>
      <c r="F2747" s="142" t="s">
        <v>4782</v>
      </c>
      <c r="G2747" s="142" t="s">
        <v>4781</v>
      </c>
      <c r="H2747" s="142" t="s">
        <v>18597</v>
      </c>
      <c r="I2747" s="142">
        <v>10</v>
      </c>
      <c r="J2747" s="142">
        <v>10</v>
      </c>
      <c r="K2747" s="142">
        <v>0</v>
      </c>
      <c r="L2747" s="142">
        <v>0</v>
      </c>
      <c r="M2747" s="142">
        <v>0</v>
      </c>
    </row>
    <row r="2748" spans="1:13" x14ac:dyDescent="0.45">
      <c r="A2748" s="142" t="s">
        <v>13058</v>
      </c>
      <c r="B2748" s="142" t="s">
        <v>14584</v>
      </c>
      <c r="C2748" s="142" t="s">
        <v>15847</v>
      </c>
      <c r="D2748" s="142" t="s">
        <v>15848</v>
      </c>
      <c r="E2748" s="142" t="s">
        <v>15849</v>
      </c>
      <c r="F2748" s="142" t="s">
        <v>4782</v>
      </c>
      <c r="G2748" s="142" t="s">
        <v>4781</v>
      </c>
      <c r="H2748" s="142" t="s">
        <v>18598</v>
      </c>
      <c r="I2748" s="142">
        <v>772</v>
      </c>
      <c r="J2748" s="142">
        <v>583</v>
      </c>
      <c r="K2748" s="142">
        <v>0</v>
      </c>
      <c r="L2748" s="142">
        <v>63</v>
      </c>
      <c r="M2748" s="142">
        <v>126</v>
      </c>
    </row>
    <row r="2749" spans="1:13" x14ac:dyDescent="0.45">
      <c r="A2749" s="142" t="s">
        <v>13041</v>
      </c>
      <c r="B2749" s="142" t="s">
        <v>14441</v>
      </c>
      <c r="C2749" s="142" t="s">
        <v>15847</v>
      </c>
      <c r="D2749" s="142" t="s">
        <v>15848</v>
      </c>
      <c r="E2749" s="142" t="s">
        <v>15849</v>
      </c>
      <c r="F2749" s="142" t="s">
        <v>4782</v>
      </c>
      <c r="G2749" s="142" t="s">
        <v>4781</v>
      </c>
      <c r="H2749" s="142" t="s">
        <v>18599</v>
      </c>
      <c r="I2749" s="142">
        <v>13</v>
      </c>
      <c r="J2749" s="142">
        <v>0</v>
      </c>
      <c r="K2749" s="142">
        <v>0</v>
      </c>
      <c r="L2749" s="142">
        <v>0</v>
      </c>
      <c r="M2749" s="142">
        <v>13</v>
      </c>
    </row>
    <row r="2750" spans="1:13" x14ac:dyDescent="0.45">
      <c r="A2750" s="142" t="s">
        <v>13012</v>
      </c>
      <c r="B2750" s="142" t="s">
        <v>15337</v>
      </c>
      <c r="C2750" s="142" t="s">
        <v>15847</v>
      </c>
      <c r="D2750" s="142" t="s">
        <v>15848</v>
      </c>
      <c r="E2750" s="142" t="s">
        <v>15849</v>
      </c>
      <c r="F2750" s="142" t="s">
        <v>4782</v>
      </c>
      <c r="G2750" s="142" t="s">
        <v>4781</v>
      </c>
      <c r="H2750" s="142" t="s">
        <v>18600</v>
      </c>
      <c r="I2750" s="142">
        <v>29</v>
      </c>
      <c r="J2750" s="142">
        <v>21</v>
      </c>
      <c r="K2750" s="142">
        <v>0</v>
      </c>
      <c r="L2750" s="142">
        <v>0</v>
      </c>
      <c r="M2750" s="142">
        <v>8</v>
      </c>
    </row>
    <row r="2751" spans="1:13" x14ac:dyDescent="0.45">
      <c r="A2751" s="142" t="s">
        <v>13060</v>
      </c>
      <c r="B2751" s="142" t="s">
        <v>14470</v>
      </c>
      <c r="C2751" s="142" t="s">
        <v>15847</v>
      </c>
      <c r="D2751" s="142" t="s">
        <v>15848</v>
      </c>
      <c r="E2751" s="142" t="s">
        <v>15849</v>
      </c>
      <c r="F2751" s="142" t="s">
        <v>4782</v>
      </c>
      <c r="G2751" s="142" t="s">
        <v>4781</v>
      </c>
      <c r="H2751" s="142" t="s">
        <v>18601</v>
      </c>
      <c r="I2751" s="142">
        <v>116</v>
      </c>
      <c r="J2751" s="142">
        <v>78</v>
      </c>
      <c r="K2751" s="142">
        <v>0</v>
      </c>
      <c r="L2751" s="142">
        <v>0</v>
      </c>
      <c r="M2751" s="142">
        <v>38</v>
      </c>
    </row>
    <row r="2752" spans="1:13" x14ac:dyDescent="0.45">
      <c r="A2752" s="142" t="s">
        <v>13014</v>
      </c>
      <c r="B2752" s="142" t="s">
        <v>14505</v>
      </c>
      <c r="C2752" s="142" t="s">
        <v>15847</v>
      </c>
      <c r="D2752" s="142" t="s">
        <v>15848</v>
      </c>
      <c r="E2752" s="142" t="s">
        <v>15849</v>
      </c>
      <c r="F2752" s="142" t="s">
        <v>4782</v>
      </c>
      <c r="G2752" s="142" t="s">
        <v>4781</v>
      </c>
      <c r="H2752" s="142" t="s">
        <v>18602</v>
      </c>
      <c r="I2752" s="142">
        <v>22</v>
      </c>
      <c r="J2752" s="142">
        <v>18</v>
      </c>
      <c r="K2752" s="142">
        <v>0</v>
      </c>
      <c r="L2752" s="142">
        <v>0</v>
      </c>
      <c r="M2752" s="142">
        <v>4</v>
      </c>
    </row>
    <row r="2753" spans="1:13" x14ac:dyDescent="0.45">
      <c r="A2753" s="142" t="s">
        <v>13174</v>
      </c>
      <c r="B2753" s="142" t="s">
        <v>15280</v>
      </c>
      <c r="C2753" s="142" t="s">
        <v>15847</v>
      </c>
      <c r="D2753" s="142" t="s">
        <v>15848</v>
      </c>
      <c r="E2753" s="142" t="s">
        <v>15849</v>
      </c>
      <c r="F2753" s="142" t="s">
        <v>4782</v>
      </c>
      <c r="G2753" s="142" t="s">
        <v>4781</v>
      </c>
      <c r="H2753" s="142" t="s">
        <v>18603</v>
      </c>
      <c r="I2753" s="142">
        <v>374</v>
      </c>
      <c r="J2753" s="142">
        <v>210</v>
      </c>
      <c r="K2753" s="142">
        <v>0</v>
      </c>
      <c r="L2753" s="142">
        <v>8</v>
      </c>
      <c r="M2753" s="142">
        <v>156</v>
      </c>
    </row>
    <row r="2754" spans="1:13" x14ac:dyDescent="0.45">
      <c r="A2754" s="142" t="s">
        <v>13175</v>
      </c>
      <c r="B2754" s="142" t="s">
        <v>15561</v>
      </c>
      <c r="C2754" s="142" t="s">
        <v>15860</v>
      </c>
      <c r="D2754" s="142" t="s">
        <v>15861</v>
      </c>
      <c r="E2754" s="142" t="s">
        <v>15849</v>
      </c>
      <c r="F2754" s="142" t="s">
        <v>4782</v>
      </c>
      <c r="G2754" s="142" t="s">
        <v>4781</v>
      </c>
      <c r="H2754" s="142" t="s">
        <v>18604</v>
      </c>
      <c r="I2754" s="142">
        <v>17</v>
      </c>
      <c r="J2754" s="142">
        <v>0</v>
      </c>
      <c r="K2754" s="142">
        <v>0</v>
      </c>
      <c r="L2754" s="142">
        <v>17</v>
      </c>
      <c r="M2754" s="142">
        <v>0</v>
      </c>
    </row>
    <row r="2755" spans="1:13" x14ac:dyDescent="0.45">
      <c r="A2755" s="142" t="s">
        <v>13015</v>
      </c>
      <c r="B2755" s="142" t="s">
        <v>14596</v>
      </c>
      <c r="C2755" s="142" t="s">
        <v>15847</v>
      </c>
      <c r="D2755" s="142" t="s">
        <v>15848</v>
      </c>
      <c r="E2755" s="142" t="s">
        <v>15849</v>
      </c>
      <c r="F2755" s="142" t="s">
        <v>4782</v>
      </c>
      <c r="G2755" s="142" t="s">
        <v>4781</v>
      </c>
      <c r="H2755" s="142" t="s">
        <v>18605</v>
      </c>
      <c r="I2755" s="142">
        <v>418</v>
      </c>
      <c r="J2755" s="142">
        <v>251</v>
      </c>
      <c r="K2755" s="142">
        <v>0</v>
      </c>
      <c r="L2755" s="142">
        <v>0</v>
      </c>
      <c r="M2755" s="142">
        <v>167</v>
      </c>
    </row>
    <row r="2756" spans="1:13" x14ac:dyDescent="0.45">
      <c r="A2756" s="142" t="s">
        <v>13016</v>
      </c>
      <c r="B2756" s="142" t="s">
        <v>14535</v>
      </c>
      <c r="C2756" s="142" t="s">
        <v>15860</v>
      </c>
      <c r="D2756" s="142" t="s">
        <v>15861</v>
      </c>
      <c r="E2756" s="142" t="s">
        <v>15849</v>
      </c>
      <c r="F2756" s="142" t="s">
        <v>4782</v>
      </c>
      <c r="G2756" s="142" t="s">
        <v>4781</v>
      </c>
      <c r="H2756" s="142" t="s">
        <v>18606</v>
      </c>
      <c r="I2756" s="142">
        <v>2</v>
      </c>
      <c r="J2756" s="142">
        <v>0</v>
      </c>
      <c r="K2756" s="142">
        <v>0</v>
      </c>
      <c r="L2756" s="142">
        <v>2</v>
      </c>
      <c r="M2756" s="142">
        <v>0</v>
      </c>
    </row>
    <row r="2757" spans="1:13" x14ac:dyDescent="0.45">
      <c r="A2757" s="142" t="s">
        <v>13348</v>
      </c>
      <c r="B2757" s="142" t="s">
        <v>15458</v>
      </c>
      <c r="C2757" s="142" t="s">
        <v>15847</v>
      </c>
      <c r="D2757" s="142" t="s">
        <v>15848</v>
      </c>
      <c r="E2757" s="142" t="s">
        <v>15849</v>
      </c>
      <c r="F2757" s="142" t="s">
        <v>9519</v>
      </c>
      <c r="G2757" s="142" t="s">
        <v>9518</v>
      </c>
      <c r="H2757" s="142" t="s">
        <v>18607</v>
      </c>
      <c r="I2757" s="142">
        <v>385</v>
      </c>
      <c r="J2757" s="142">
        <v>309</v>
      </c>
      <c r="K2757" s="142">
        <v>0</v>
      </c>
      <c r="L2757" s="142">
        <v>27</v>
      </c>
      <c r="M2757" s="142">
        <v>49</v>
      </c>
    </row>
    <row r="2758" spans="1:13" x14ac:dyDescent="0.45">
      <c r="A2758" s="142" t="s">
        <v>13065</v>
      </c>
      <c r="B2758" s="142" t="s">
        <v>14497</v>
      </c>
      <c r="C2758" s="142" t="s">
        <v>15847</v>
      </c>
      <c r="D2758" s="142" t="s">
        <v>15848</v>
      </c>
      <c r="E2758" s="142" t="s">
        <v>15849</v>
      </c>
      <c r="F2758" s="142" t="s">
        <v>9519</v>
      </c>
      <c r="G2758" s="142" t="s">
        <v>9518</v>
      </c>
      <c r="H2758" s="142" t="s">
        <v>18608</v>
      </c>
      <c r="I2758" s="142">
        <v>4</v>
      </c>
      <c r="J2758" s="142">
        <v>0</v>
      </c>
      <c r="K2758" s="142">
        <v>0</v>
      </c>
      <c r="L2758" s="142">
        <v>4</v>
      </c>
      <c r="M2758" s="142">
        <v>0</v>
      </c>
    </row>
    <row r="2759" spans="1:13" x14ac:dyDescent="0.45">
      <c r="A2759" s="142" t="s">
        <v>13649</v>
      </c>
      <c r="B2759" s="142" t="s">
        <v>15308</v>
      </c>
      <c r="C2759" s="142" t="s">
        <v>15860</v>
      </c>
      <c r="D2759" s="142" t="s">
        <v>15861</v>
      </c>
      <c r="E2759" s="142" t="s">
        <v>15849</v>
      </c>
      <c r="F2759" s="142" t="s">
        <v>9519</v>
      </c>
      <c r="G2759" s="142" t="s">
        <v>9518</v>
      </c>
      <c r="H2759" s="142" t="s">
        <v>18609</v>
      </c>
      <c r="I2759" s="142">
        <v>6</v>
      </c>
      <c r="J2759" s="142">
        <v>0</v>
      </c>
      <c r="K2759" s="142">
        <v>0</v>
      </c>
      <c r="L2759" s="142">
        <v>6</v>
      </c>
      <c r="M2759" s="142">
        <v>0</v>
      </c>
    </row>
    <row r="2760" spans="1:13" x14ac:dyDescent="0.45">
      <c r="A2760" s="142" t="s">
        <v>13083</v>
      </c>
      <c r="B2760" s="142" t="s">
        <v>15440</v>
      </c>
      <c r="C2760" s="142" t="s">
        <v>15847</v>
      </c>
      <c r="D2760" s="142" t="s">
        <v>15848</v>
      </c>
      <c r="E2760" s="142" t="s">
        <v>15849</v>
      </c>
      <c r="F2760" s="142" t="s">
        <v>9519</v>
      </c>
      <c r="G2760" s="142" t="s">
        <v>9518</v>
      </c>
      <c r="H2760" s="142" t="s">
        <v>18610</v>
      </c>
      <c r="I2760" s="142">
        <v>42</v>
      </c>
      <c r="J2760" s="142">
        <v>28</v>
      </c>
      <c r="K2760" s="142">
        <v>0</v>
      </c>
      <c r="L2760" s="142">
        <v>0</v>
      </c>
      <c r="M2760" s="142">
        <v>14</v>
      </c>
    </row>
    <row r="2761" spans="1:13" x14ac:dyDescent="0.45">
      <c r="A2761" s="142" t="s">
        <v>13000</v>
      </c>
      <c r="B2761" s="142" t="s">
        <v>14610</v>
      </c>
      <c r="C2761" s="142" t="s">
        <v>15847</v>
      </c>
      <c r="D2761" s="142" t="s">
        <v>15848</v>
      </c>
      <c r="E2761" s="142" t="s">
        <v>15849</v>
      </c>
      <c r="F2761" s="142" t="s">
        <v>9519</v>
      </c>
      <c r="G2761" s="142" t="s">
        <v>9518</v>
      </c>
      <c r="H2761" s="142" t="s">
        <v>18611</v>
      </c>
      <c r="I2761" s="142">
        <v>3269</v>
      </c>
      <c r="J2761" s="142">
        <v>2564</v>
      </c>
      <c r="K2761" s="142">
        <v>0</v>
      </c>
      <c r="L2761" s="142">
        <v>505</v>
      </c>
      <c r="M2761" s="142">
        <v>200</v>
      </c>
    </row>
    <row r="2762" spans="1:13" x14ac:dyDescent="0.45">
      <c r="A2762" s="142" t="s">
        <v>13074</v>
      </c>
      <c r="B2762" s="142" t="s">
        <v>15405</v>
      </c>
      <c r="C2762" s="142" t="s">
        <v>15847</v>
      </c>
      <c r="D2762" s="142" t="s">
        <v>15848</v>
      </c>
      <c r="E2762" s="142" t="s">
        <v>15849</v>
      </c>
      <c r="F2762" s="142" t="s">
        <v>9519</v>
      </c>
      <c r="G2762" s="142" t="s">
        <v>9518</v>
      </c>
      <c r="H2762" s="142" t="s">
        <v>18612</v>
      </c>
      <c r="I2762" s="142">
        <v>7</v>
      </c>
      <c r="J2762" s="142">
        <v>5</v>
      </c>
      <c r="K2762" s="142">
        <v>0</v>
      </c>
      <c r="L2762" s="142">
        <v>0</v>
      </c>
      <c r="M2762" s="142">
        <v>2</v>
      </c>
    </row>
    <row r="2763" spans="1:13" x14ac:dyDescent="0.45">
      <c r="A2763" s="142" t="s">
        <v>13462</v>
      </c>
      <c r="B2763" s="142" t="s">
        <v>14653</v>
      </c>
      <c r="C2763" s="142" t="s">
        <v>15847</v>
      </c>
      <c r="D2763" s="142" t="s">
        <v>15848</v>
      </c>
      <c r="E2763" s="142" t="s">
        <v>15849</v>
      </c>
      <c r="F2763" s="142" t="s">
        <v>9519</v>
      </c>
      <c r="G2763" s="142" t="s">
        <v>9518</v>
      </c>
      <c r="H2763" s="142" t="s">
        <v>18613</v>
      </c>
      <c r="I2763" s="142">
        <v>20</v>
      </c>
      <c r="J2763" s="142">
        <v>20</v>
      </c>
      <c r="K2763" s="142">
        <v>0</v>
      </c>
      <c r="L2763" s="142">
        <v>0</v>
      </c>
      <c r="M2763" s="142">
        <v>0</v>
      </c>
    </row>
    <row r="2764" spans="1:13" x14ac:dyDescent="0.45">
      <c r="A2764" s="142" t="s">
        <v>13168</v>
      </c>
      <c r="B2764" s="142" t="s">
        <v>14486</v>
      </c>
      <c r="C2764" s="142" t="s">
        <v>15860</v>
      </c>
      <c r="D2764" s="142" t="s">
        <v>15861</v>
      </c>
      <c r="E2764" s="142" t="s">
        <v>15849</v>
      </c>
      <c r="F2764" s="142" t="s">
        <v>9519</v>
      </c>
      <c r="G2764" s="142" t="s">
        <v>9518</v>
      </c>
      <c r="H2764" s="142" t="s">
        <v>18614</v>
      </c>
      <c r="I2764" s="142">
        <v>2</v>
      </c>
      <c r="J2764" s="142">
        <v>0</v>
      </c>
      <c r="K2764" s="142">
        <v>0</v>
      </c>
      <c r="L2764" s="142">
        <v>2</v>
      </c>
      <c r="M2764" s="142">
        <v>0</v>
      </c>
    </row>
    <row r="2765" spans="1:13" x14ac:dyDescent="0.45">
      <c r="A2765" s="142" t="s">
        <v>13050</v>
      </c>
      <c r="B2765" s="142" t="s">
        <v>15237</v>
      </c>
      <c r="C2765" s="142" t="s">
        <v>15847</v>
      </c>
      <c r="D2765" s="142" t="s">
        <v>15848</v>
      </c>
      <c r="E2765" s="142" t="s">
        <v>15849</v>
      </c>
      <c r="F2765" s="142" t="s">
        <v>9519</v>
      </c>
      <c r="G2765" s="142" t="s">
        <v>9518</v>
      </c>
      <c r="H2765" s="142" t="s">
        <v>18615</v>
      </c>
      <c r="I2765" s="142">
        <v>26</v>
      </c>
      <c r="J2765" s="142">
        <v>24</v>
      </c>
      <c r="K2765" s="142">
        <v>0</v>
      </c>
      <c r="L2765" s="142">
        <v>0</v>
      </c>
      <c r="M2765" s="142">
        <v>2</v>
      </c>
    </row>
    <row r="2766" spans="1:13" x14ac:dyDescent="0.45">
      <c r="A2766" s="142" t="s">
        <v>13199</v>
      </c>
      <c r="B2766" s="142" t="s">
        <v>15362</v>
      </c>
      <c r="C2766" s="142" t="s">
        <v>15847</v>
      </c>
      <c r="D2766" s="142" t="s">
        <v>15848</v>
      </c>
      <c r="E2766" s="142" t="s">
        <v>15849</v>
      </c>
      <c r="F2766" s="142" t="s">
        <v>9519</v>
      </c>
      <c r="G2766" s="142" t="s">
        <v>9518</v>
      </c>
      <c r="H2766" s="142" t="s">
        <v>18616</v>
      </c>
      <c r="I2766" s="142">
        <v>463</v>
      </c>
      <c r="J2766" s="142">
        <v>358</v>
      </c>
      <c r="K2766" s="142">
        <v>0</v>
      </c>
      <c r="L2766" s="142">
        <v>0</v>
      </c>
      <c r="M2766" s="142">
        <v>105</v>
      </c>
    </row>
    <row r="2767" spans="1:13" x14ac:dyDescent="0.45">
      <c r="A2767" s="142" t="s">
        <v>13002</v>
      </c>
      <c r="B2767" s="142" t="s">
        <v>15376</v>
      </c>
      <c r="C2767" s="142" t="s">
        <v>15847</v>
      </c>
      <c r="D2767" s="142" t="s">
        <v>15848</v>
      </c>
      <c r="E2767" s="142" t="s">
        <v>15849</v>
      </c>
      <c r="F2767" s="142" t="s">
        <v>9519</v>
      </c>
      <c r="G2767" s="142" t="s">
        <v>9518</v>
      </c>
      <c r="H2767" s="142" t="s">
        <v>18617</v>
      </c>
      <c r="I2767" s="142">
        <v>142</v>
      </c>
      <c r="J2767" s="142">
        <v>107</v>
      </c>
      <c r="K2767" s="142">
        <v>0</v>
      </c>
      <c r="L2767" s="142">
        <v>6</v>
      </c>
      <c r="M2767" s="142">
        <v>29</v>
      </c>
    </row>
    <row r="2768" spans="1:13" x14ac:dyDescent="0.45">
      <c r="A2768" s="142" t="s">
        <v>13003</v>
      </c>
      <c r="B2768" s="142" t="s">
        <v>15245</v>
      </c>
      <c r="C2768" s="142" t="s">
        <v>15847</v>
      </c>
      <c r="D2768" s="142" t="s">
        <v>15848</v>
      </c>
      <c r="E2768" s="142" t="s">
        <v>15849</v>
      </c>
      <c r="F2768" s="142" t="s">
        <v>9519</v>
      </c>
      <c r="G2768" s="142" t="s">
        <v>9518</v>
      </c>
      <c r="H2768" s="142" t="s">
        <v>18618</v>
      </c>
      <c r="I2768" s="142">
        <v>55</v>
      </c>
      <c r="J2768" s="142">
        <v>0</v>
      </c>
      <c r="K2768" s="142">
        <v>0</v>
      </c>
      <c r="L2768" s="142">
        <v>55</v>
      </c>
      <c r="M2768" s="142">
        <v>0</v>
      </c>
    </row>
    <row r="2769" spans="1:13" x14ac:dyDescent="0.45">
      <c r="A2769" s="142" t="s">
        <v>13066</v>
      </c>
      <c r="B2769" s="142" t="s">
        <v>14459</v>
      </c>
      <c r="C2769" s="142" t="s">
        <v>15847</v>
      </c>
      <c r="D2769" s="142" t="s">
        <v>15848</v>
      </c>
      <c r="E2769" s="142" t="s">
        <v>15849</v>
      </c>
      <c r="F2769" s="142" t="s">
        <v>9519</v>
      </c>
      <c r="G2769" s="142" t="s">
        <v>9518</v>
      </c>
      <c r="H2769" s="142" t="s">
        <v>18619</v>
      </c>
      <c r="I2769" s="142">
        <v>9</v>
      </c>
      <c r="J2769" s="142">
        <v>0</v>
      </c>
      <c r="K2769" s="142">
        <v>0</v>
      </c>
      <c r="L2769" s="142">
        <v>9</v>
      </c>
      <c r="M2769" s="142">
        <v>0</v>
      </c>
    </row>
    <row r="2770" spans="1:13" x14ac:dyDescent="0.45">
      <c r="A2770" s="142" t="s">
        <v>13178</v>
      </c>
      <c r="B2770" s="142" t="s">
        <v>14683</v>
      </c>
      <c r="C2770" s="142" t="s">
        <v>15847</v>
      </c>
      <c r="D2770" s="142" t="s">
        <v>15848</v>
      </c>
      <c r="E2770" s="142" t="s">
        <v>15849</v>
      </c>
      <c r="F2770" s="142" t="s">
        <v>9519</v>
      </c>
      <c r="G2770" s="142" t="s">
        <v>9518</v>
      </c>
      <c r="H2770" s="142" t="s">
        <v>18620</v>
      </c>
      <c r="I2770" s="142">
        <v>45</v>
      </c>
      <c r="J2770" s="142">
        <v>45</v>
      </c>
      <c r="K2770" s="142">
        <v>0</v>
      </c>
      <c r="L2770" s="142">
        <v>0</v>
      </c>
      <c r="M2770" s="142">
        <v>0</v>
      </c>
    </row>
    <row r="2771" spans="1:13" x14ac:dyDescent="0.45">
      <c r="A2771" s="142" t="s">
        <v>13076</v>
      </c>
      <c r="B2771" s="142" t="s">
        <v>14636</v>
      </c>
      <c r="C2771" s="142" t="s">
        <v>15847</v>
      </c>
      <c r="D2771" s="142" t="s">
        <v>15848</v>
      </c>
      <c r="E2771" s="142" t="s">
        <v>15849</v>
      </c>
      <c r="F2771" s="142" t="s">
        <v>9519</v>
      </c>
      <c r="G2771" s="142" t="s">
        <v>9518</v>
      </c>
      <c r="H2771" s="142" t="s">
        <v>18621</v>
      </c>
      <c r="I2771" s="142">
        <v>28</v>
      </c>
      <c r="J2771" s="142">
        <v>0</v>
      </c>
      <c r="K2771" s="142">
        <v>0</v>
      </c>
      <c r="L2771" s="142">
        <v>0</v>
      </c>
      <c r="M2771" s="142">
        <v>28</v>
      </c>
    </row>
    <row r="2772" spans="1:13" x14ac:dyDescent="0.45">
      <c r="A2772" s="142" t="s">
        <v>13005</v>
      </c>
      <c r="B2772" s="142" t="s">
        <v>15475</v>
      </c>
      <c r="C2772" s="142" t="s">
        <v>15847</v>
      </c>
      <c r="D2772" s="142" t="s">
        <v>15848</v>
      </c>
      <c r="E2772" s="142" t="s">
        <v>15849</v>
      </c>
      <c r="F2772" s="142" t="s">
        <v>9519</v>
      </c>
      <c r="G2772" s="142" t="s">
        <v>9518</v>
      </c>
      <c r="H2772" s="142" t="s">
        <v>18622</v>
      </c>
      <c r="I2772" s="142">
        <v>1</v>
      </c>
      <c r="J2772" s="142">
        <v>0</v>
      </c>
      <c r="K2772" s="142">
        <v>0</v>
      </c>
      <c r="L2772" s="142">
        <v>0</v>
      </c>
      <c r="M2772" s="142">
        <v>1</v>
      </c>
    </row>
    <row r="2773" spans="1:13" x14ac:dyDescent="0.45">
      <c r="A2773" s="142" t="s">
        <v>13006</v>
      </c>
      <c r="B2773" s="142" t="s">
        <v>15288</v>
      </c>
      <c r="C2773" s="142" t="s">
        <v>15847</v>
      </c>
      <c r="D2773" s="142" t="s">
        <v>15848</v>
      </c>
      <c r="E2773" s="142" t="s">
        <v>15849</v>
      </c>
      <c r="F2773" s="142" t="s">
        <v>9519</v>
      </c>
      <c r="G2773" s="142" t="s">
        <v>9518</v>
      </c>
      <c r="H2773" s="142" t="s">
        <v>18623</v>
      </c>
      <c r="I2773" s="142">
        <v>243</v>
      </c>
      <c r="J2773" s="142">
        <v>88</v>
      </c>
      <c r="K2773" s="142">
        <v>0</v>
      </c>
      <c r="L2773" s="142">
        <v>24</v>
      </c>
      <c r="M2773" s="142">
        <v>131</v>
      </c>
    </row>
    <row r="2774" spans="1:13" x14ac:dyDescent="0.45">
      <c r="A2774" s="142" t="s">
        <v>13103</v>
      </c>
      <c r="B2774" s="142" t="s">
        <v>14623</v>
      </c>
      <c r="C2774" s="142" t="s">
        <v>15847</v>
      </c>
      <c r="D2774" s="142" t="s">
        <v>15848</v>
      </c>
      <c r="E2774" s="142" t="s">
        <v>15849</v>
      </c>
      <c r="F2774" s="142" t="s">
        <v>9519</v>
      </c>
      <c r="G2774" s="142" t="s">
        <v>9518</v>
      </c>
      <c r="H2774" s="142" t="s">
        <v>18624</v>
      </c>
      <c r="I2774" s="142">
        <v>120</v>
      </c>
      <c r="J2774" s="142">
        <v>7</v>
      </c>
      <c r="K2774" s="142">
        <v>0</v>
      </c>
      <c r="L2774" s="142">
        <v>51</v>
      </c>
      <c r="M2774" s="142">
        <v>62</v>
      </c>
    </row>
    <row r="2775" spans="1:13" x14ac:dyDescent="0.45">
      <c r="A2775" s="142" t="s">
        <v>13054</v>
      </c>
      <c r="B2775" s="142" t="s">
        <v>15604</v>
      </c>
      <c r="C2775" s="142" t="s">
        <v>15847</v>
      </c>
      <c r="D2775" s="142" t="s">
        <v>15848</v>
      </c>
      <c r="E2775" s="142" t="s">
        <v>15849</v>
      </c>
      <c r="F2775" s="142" t="s">
        <v>9519</v>
      </c>
      <c r="G2775" s="142" t="s">
        <v>9518</v>
      </c>
      <c r="H2775" s="142" t="s">
        <v>18625</v>
      </c>
      <c r="I2775" s="142">
        <v>14</v>
      </c>
      <c r="J2775" s="142">
        <v>0</v>
      </c>
      <c r="K2775" s="142">
        <v>0</v>
      </c>
      <c r="L2775" s="142">
        <v>0</v>
      </c>
      <c r="M2775" s="142">
        <v>14</v>
      </c>
    </row>
    <row r="2776" spans="1:13" x14ac:dyDescent="0.45">
      <c r="A2776" s="142" t="s">
        <v>13131</v>
      </c>
      <c r="B2776" s="142" t="s">
        <v>15233</v>
      </c>
      <c r="C2776" s="142" t="s">
        <v>15860</v>
      </c>
      <c r="D2776" s="142" t="s">
        <v>15861</v>
      </c>
      <c r="E2776" s="142" t="s">
        <v>15849</v>
      </c>
      <c r="F2776" s="142" t="s">
        <v>9519</v>
      </c>
      <c r="G2776" s="142" t="s">
        <v>9518</v>
      </c>
      <c r="H2776" s="142" t="s">
        <v>18626</v>
      </c>
      <c r="I2776" s="142">
        <v>27</v>
      </c>
      <c r="J2776" s="142">
        <v>0</v>
      </c>
      <c r="K2776" s="142">
        <v>0</v>
      </c>
      <c r="L2776" s="142">
        <v>27</v>
      </c>
      <c r="M2776" s="142">
        <v>0</v>
      </c>
    </row>
    <row r="2777" spans="1:13" x14ac:dyDescent="0.45">
      <c r="A2777" s="142" t="s">
        <v>13133</v>
      </c>
      <c r="B2777" s="142" t="s">
        <v>15291</v>
      </c>
      <c r="C2777" s="142" t="s">
        <v>15847</v>
      </c>
      <c r="D2777" s="142" t="s">
        <v>15848</v>
      </c>
      <c r="E2777" s="142" t="s">
        <v>15849</v>
      </c>
      <c r="F2777" s="142" t="s">
        <v>9519</v>
      </c>
      <c r="G2777" s="142" t="s">
        <v>9518</v>
      </c>
      <c r="H2777" s="142" t="s">
        <v>18627</v>
      </c>
      <c r="I2777" s="142">
        <v>64</v>
      </c>
      <c r="J2777" s="142">
        <v>47</v>
      </c>
      <c r="K2777" s="142">
        <v>0</v>
      </c>
      <c r="L2777" s="142">
        <v>0</v>
      </c>
      <c r="M2777" s="142">
        <v>17</v>
      </c>
    </row>
    <row r="2778" spans="1:13" x14ac:dyDescent="0.45">
      <c r="A2778" s="142" t="s">
        <v>13135</v>
      </c>
      <c r="B2778" s="142" t="s">
        <v>15575</v>
      </c>
      <c r="C2778" s="142" t="s">
        <v>15847</v>
      </c>
      <c r="D2778" s="142" t="s">
        <v>15848</v>
      </c>
      <c r="E2778" s="142" t="s">
        <v>15849</v>
      </c>
      <c r="F2778" s="142" t="s">
        <v>9519</v>
      </c>
      <c r="G2778" s="142" t="s">
        <v>9518</v>
      </c>
      <c r="H2778" s="142" t="s">
        <v>18628</v>
      </c>
      <c r="I2778" s="142">
        <v>489</v>
      </c>
      <c r="J2778" s="142">
        <v>346</v>
      </c>
      <c r="K2778" s="142">
        <v>0</v>
      </c>
      <c r="L2778" s="142">
        <v>10</v>
      </c>
      <c r="M2778" s="142">
        <v>133</v>
      </c>
    </row>
    <row r="2779" spans="1:13" x14ac:dyDescent="0.45">
      <c r="A2779" s="142" t="s">
        <v>13104</v>
      </c>
      <c r="B2779" s="142" t="s">
        <v>14622</v>
      </c>
      <c r="C2779" s="142" t="s">
        <v>15847</v>
      </c>
      <c r="D2779" s="142" t="s">
        <v>15848</v>
      </c>
      <c r="E2779" s="142" t="s">
        <v>15849</v>
      </c>
      <c r="F2779" s="142" t="s">
        <v>9519</v>
      </c>
      <c r="G2779" s="142" t="s">
        <v>9518</v>
      </c>
      <c r="H2779" s="142" t="s">
        <v>18629</v>
      </c>
      <c r="I2779" s="142">
        <v>475</v>
      </c>
      <c r="J2779" s="142">
        <v>359</v>
      </c>
      <c r="K2779" s="142">
        <v>0</v>
      </c>
      <c r="L2779" s="142">
        <v>48</v>
      </c>
      <c r="M2779" s="142">
        <v>68</v>
      </c>
    </row>
    <row r="2780" spans="1:13" x14ac:dyDescent="0.45">
      <c r="A2780" s="142" t="s">
        <v>13033</v>
      </c>
      <c r="B2780" s="142" t="s">
        <v>15276</v>
      </c>
      <c r="C2780" s="142" t="s">
        <v>15847</v>
      </c>
      <c r="D2780" s="142" t="s">
        <v>15848</v>
      </c>
      <c r="E2780" s="142" t="s">
        <v>15849</v>
      </c>
      <c r="F2780" s="142" t="s">
        <v>9519</v>
      </c>
      <c r="G2780" s="142" t="s">
        <v>9518</v>
      </c>
      <c r="H2780" s="142" t="s">
        <v>18630</v>
      </c>
      <c r="I2780" s="142">
        <v>23</v>
      </c>
      <c r="J2780" s="142">
        <v>23</v>
      </c>
      <c r="K2780" s="142">
        <v>0</v>
      </c>
      <c r="L2780" s="142">
        <v>0</v>
      </c>
      <c r="M2780" s="142">
        <v>0</v>
      </c>
    </row>
    <row r="2781" spans="1:13" x14ac:dyDescent="0.45">
      <c r="A2781" s="142" t="s">
        <v>13038</v>
      </c>
      <c r="B2781" s="142" t="s">
        <v>14646</v>
      </c>
      <c r="C2781" s="142" t="s">
        <v>15847</v>
      </c>
      <c r="D2781" s="142" t="s">
        <v>15848</v>
      </c>
      <c r="E2781" s="142" t="s">
        <v>15849</v>
      </c>
      <c r="F2781" s="142" t="s">
        <v>9519</v>
      </c>
      <c r="G2781" s="142" t="s">
        <v>9518</v>
      </c>
      <c r="H2781" s="142" t="s">
        <v>18631</v>
      </c>
      <c r="I2781" s="142">
        <v>130</v>
      </c>
      <c r="J2781" s="142">
        <v>71</v>
      </c>
      <c r="K2781" s="142">
        <v>0</v>
      </c>
      <c r="L2781" s="142">
        <v>0</v>
      </c>
      <c r="M2781" s="142">
        <v>59</v>
      </c>
    </row>
    <row r="2782" spans="1:13" x14ac:dyDescent="0.45">
      <c r="A2782" s="142" t="s">
        <v>13039</v>
      </c>
      <c r="B2782" s="142" t="s">
        <v>14647</v>
      </c>
      <c r="C2782" s="142" t="s">
        <v>15847</v>
      </c>
      <c r="D2782" s="142" t="s">
        <v>15848</v>
      </c>
      <c r="E2782" s="142" t="s">
        <v>15849</v>
      </c>
      <c r="F2782" s="142" t="s">
        <v>9519</v>
      </c>
      <c r="G2782" s="142" t="s">
        <v>9518</v>
      </c>
      <c r="H2782" s="142" t="s">
        <v>18632</v>
      </c>
      <c r="I2782" s="142">
        <v>161</v>
      </c>
      <c r="J2782" s="142">
        <v>161</v>
      </c>
      <c r="K2782" s="142">
        <v>0</v>
      </c>
      <c r="L2782" s="142">
        <v>0</v>
      </c>
      <c r="M2782" s="142">
        <v>0</v>
      </c>
    </row>
    <row r="2783" spans="1:13" x14ac:dyDescent="0.45">
      <c r="A2783" s="142" t="s">
        <v>13009</v>
      </c>
      <c r="B2783" s="142" t="s">
        <v>15256</v>
      </c>
      <c r="C2783" s="142" t="s">
        <v>15847</v>
      </c>
      <c r="D2783" s="142" t="s">
        <v>15848</v>
      </c>
      <c r="E2783" s="142" t="s">
        <v>15849</v>
      </c>
      <c r="F2783" s="142" t="s">
        <v>9519</v>
      </c>
      <c r="G2783" s="142" t="s">
        <v>9518</v>
      </c>
      <c r="H2783" s="142" t="s">
        <v>18633</v>
      </c>
      <c r="I2783" s="142">
        <v>125</v>
      </c>
      <c r="J2783" s="142">
        <v>71</v>
      </c>
      <c r="K2783" s="142">
        <v>0</v>
      </c>
      <c r="L2783" s="142">
        <v>41</v>
      </c>
      <c r="M2783" s="142">
        <v>13</v>
      </c>
    </row>
    <row r="2784" spans="1:13" x14ac:dyDescent="0.45">
      <c r="A2784" s="142" t="s">
        <v>13203</v>
      </c>
      <c r="B2784" s="142" t="s">
        <v>15446</v>
      </c>
      <c r="C2784" s="142" t="s">
        <v>15847</v>
      </c>
      <c r="D2784" s="142" t="s">
        <v>15848</v>
      </c>
      <c r="E2784" s="142" t="s">
        <v>15849</v>
      </c>
      <c r="F2784" s="142" t="s">
        <v>9519</v>
      </c>
      <c r="G2784" s="142" t="s">
        <v>9518</v>
      </c>
      <c r="H2784" s="142" t="s">
        <v>18634</v>
      </c>
      <c r="I2784" s="142">
        <v>90</v>
      </c>
      <c r="J2784" s="142">
        <v>59</v>
      </c>
      <c r="K2784" s="142">
        <v>0</v>
      </c>
      <c r="L2784" s="142">
        <v>0</v>
      </c>
      <c r="M2784" s="142">
        <v>31</v>
      </c>
    </row>
    <row r="2785" spans="1:13" x14ac:dyDescent="0.45">
      <c r="A2785" s="142" t="s">
        <v>13058</v>
      </c>
      <c r="B2785" s="142" t="s">
        <v>14584</v>
      </c>
      <c r="C2785" s="142" t="s">
        <v>15847</v>
      </c>
      <c r="D2785" s="142" t="s">
        <v>15848</v>
      </c>
      <c r="E2785" s="142" t="s">
        <v>15849</v>
      </c>
      <c r="F2785" s="142" t="s">
        <v>9519</v>
      </c>
      <c r="G2785" s="142" t="s">
        <v>9518</v>
      </c>
      <c r="H2785" s="142" t="s">
        <v>18635</v>
      </c>
      <c r="I2785" s="142">
        <v>3907</v>
      </c>
      <c r="J2785" s="142">
        <v>3264</v>
      </c>
      <c r="K2785" s="142">
        <v>0</v>
      </c>
      <c r="L2785" s="142">
        <v>430</v>
      </c>
      <c r="M2785" s="142">
        <v>213</v>
      </c>
    </row>
    <row r="2786" spans="1:13" x14ac:dyDescent="0.45">
      <c r="A2786" s="142" t="s">
        <v>13041</v>
      </c>
      <c r="B2786" s="142" t="s">
        <v>14441</v>
      </c>
      <c r="C2786" s="142" t="s">
        <v>15847</v>
      </c>
      <c r="D2786" s="142" t="s">
        <v>15848</v>
      </c>
      <c r="E2786" s="142" t="s">
        <v>15849</v>
      </c>
      <c r="F2786" s="142" t="s">
        <v>9519</v>
      </c>
      <c r="G2786" s="142" t="s">
        <v>9518</v>
      </c>
      <c r="H2786" s="142" t="s">
        <v>18636</v>
      </c>
      <c r="I2786" s="142">
        <v>32</v>
      </c>
      <c r="J2786" s="142">
        <v>0</v>
      </c>
      <c r="K2786" s="142">
        <v>0</v>
      </c>
      <c r="L2786" s="142">
        <v>0</v>
      </c>
      <c r="M2786" s="142">
        <v>32</v>
      </c>
    </row>
    <row r="2787" spans="1:13" x14ac:dyDescent="0.45">
      <c r="A2787" s="142" t="s">
        <v>13165</v>
      </c>
      <c r="B2787" s="142" t="s">
        <v>15525</v>
      </c>
      <c r="C2787" s="142" t="s">
        <v>15860</v>
      </c>
      <c r="D2787" s="142" t="s">
        <v>15861</v>
      </c>
      <c r="E2787" s="142" t="s">
        <v>15849</v>
      </c>
      <c r="F2787" s="142" t="s">
        <v>9519</v>
      </c>
      <c r="G2787" s="142" t="s">
        <v>9518</v>
      </c>
      <c r="H2787" s="142" t="s">
        <v>18637</v>
      </c>
      <c r="I2787" s="142">
        <v>6</v>
      </c>
      <c r="J2787" s="142">
        <v>0</v>
      </c>
      <c r="K2787" s="142">
        <v>0</v>
      </c>
      <c r="L2787" s="142">
        <v>6</v>
      </c>
      <c r="M2787" s="142">
        <v>0</v>
      </c>
    </row>
    <row r="2788" spans="1:13" x14ac:dyDescent="0.45">
      <c r="A2788" s="142" t="s">
        <v>13395</v>
      </c>
      <c r="B2788" s="142" t="s">
        <v>15476</v>
      </c>
      <c r="C2788" s="142" t="s">
        <v>15847</v>
      </c>
      <c r="D2788" s="142" t="s">
        <v>15848</v>
      </c>
      <c r="E2788" s="142" t="s">
        <v>15849</v>
      </c>
      <c r="F2788" s="142" t="s">
        <v>9519</v>
      </c>
      <c r="G2788" s="142" t="s">
        <v>9518</v>
      </c>
      <c r="H2788" s="142" t="s">
        <v>18638</v>
      </c>
      <c r="I2788" s="142">
        <v>2</v>
      </c>
      <c r="J2788" s="142">
        <v>1</v>
      </c>
      <c r="K2788" s="142">
        <v>0</v>
      </c>
      <c r="L2788" s="142">
        <v>0</v>
      </c>
      <c r="M2788" s="142">
        <v>1</v>
      </c>
    </row>
    <row r="2789" spans="1:13" x14ac:dyDescent="0.45">
      <c r="A2789" s="142" t="s">
        <v>13064</v>
      </c>
      <c r="B2789" s="142" t="s">
        <v>15428</v>
      </c>
      <c r="C2789" s="142" t="s">
        <v>15847</v>
      </c>
      <c r="D2789" s="142" t="s">
        <v>15848</v>
      </c>
      <c r="E2789" s="142" t="s">
        <v>15849</v>
      </c>
      <c r="F2789" s="142" t="s">
        <v>6748</v>
      </c>
      <c r="G2789" s="142" t="s">
        <v>6747</v>
      </c>
      <c r="H2789" s="142" t="s">
        <v>18639</v>
      </c>
      <c r="I2789" s="142">
        <v>80</v>
      </c>
      <c r="J2789" s="142">
        <v>41</v>
      </c>
      <c r="K2789" s="142">
        <v>0</v>
      </c>
      <c r="L2789" s="142">
        <v>0</v>
      </c>
      <c r="M2789" s="142">
        <v>39</v>
      </c>
    </row>
    <row r="2790" spans="1:13" x14ac:dyDescent="0.45">
      <c r="A2790" s="142" t="s">
        <v>13021</v>
      </c>
      <c r="B2790" s="142" t="s">
        <v>15501</v>
      </c>
      <c r="C2790" s="142" t="s">
        <v>15847</v>
      </c>
      <c r="D2790" s="142" t="s">
        <v>15848</v>
      </c>
      <c r="E2790" s="142" t="s">
        <v>15849</v>
      </c>
      <c r="F2790" s="142" t="s">
        <v>6748</v>
      </c>
      <c r="G2790" s="142" t="s">
        <v>6747</v>
      </c>
      <c r="H2790" s="142" t="s">
        <v>18640</v>
      </c>
      <c r="I2790" s="142">
        <v>21</v>
      </c>
      <c r="J2790" s="142">
        <v>0</v>
      </c>
      <c r="K2790" s="142">
        <v>0</v>
      </c>
      <c r="L2790" s="142">
        <v>20</v>
      </c>
      <c r="M2790" s="142">
        <v>1</v>
      </c>
    </row>
    <row r="2791" spans="1:13" x14ac:dyDescent="0.45">
      <c r="A2791" s="142" t="s">
        <v>13022</v>
      </c>
      <c r="B2791" s="142" t="s">
        <v>14634</v>
      </c>
      <c r="C2791" s="142" t="s">
        <v>15847</v>
      </c>
      <c r="D2791" s="142" t="s">
        <v>15848</v>
      </c>
      <c r="E2791" s="142" t="s">
        <v>15849</v>
      </c>
      <c r="F2791" s="142" t="s">
        <v>6748</v>
      </c>
      <c r="G2791" s="142" t="s">
        <v>6747</v>
      </c>
      <c r="H2791" s="142" t="s">
        <v>18641</v>
      </c>
      <c r="I2791" s="142">
        <v>674</v>
      </c>
      <c r="J2791" s="142">
        <v>528</v>
      </c>
      <c r="K2791" s="142">
        <v>0</v>
      </c>
      <c r="L2791" s="142">
        <v>35</v>
      </c>
      <c r="M2791" s="142">
        <v>111</v>
      </c>
    </row>
    <row r="2792" spans="1:13" x14ac:dyDescent="0.45">
      <c r="A2792" s="142" t="s">
        <v>13023</v>
      </c>
      <c r="B2792" s="142" t="s">
        <v>15571</v>
      </c>
      <c r="C2792" s="142" t="s">
        <v>15847</v>
      </c>
      <c r="D2792" s="142" t="s">
        <v>15848</v>
      </c>
      <c r="E2792" s="142" t="s">
        <v>15849</v>
      </c>
      <c r="F2792" s="142" t="s">
        <v>6748</v>
      </c>
      <c r="G2792" s="142" t="s">
        <v>6747</v>
      </c>
      <c r="H2792" s="142" t="s">
        <v>18642</v>
      </c>
      <c r="I2792" s="142">
        <v>124</v>
      </c>
      <c r="J2792" s="142">
        <v>18</v>
      </c>
      <c r="K2792" s="142">
        <v>0</v>
      </c>
      <c r="L2792" s="142">
        <v>106</v>
      </c>
      <c r="M2792" s="142">
        <v>0</v>
      </c>
    </row>
    <row r="2793" spans="1:13" x14ac:dyDescent="0.45">
      <c r="A2793" s="142" t="s">
        <v>13119</v>
      </c>
      <c r="B2793" s="142" t="s">
        <v>14451</v>
      </c>
      <c r="C2793" s="142" t="s">
        <v>15860</v>
      </c>
      <c r="D2793" s="142" t="s">
        <v>15861</v>
      </c>
      <c r="E2793" s="142" t="s">
        <v>15849</v>
      </c>
      <c r="F2793" s="142" t="s">
        <v>6748</v>
      </c>
      <c r="G2793" s="142" t="s">
        <v>6747</v>
      </c>
      <c r="H2793" s="142" t="s">
        <v>18643</v>
      </c>
      <c r="I2793" s="142">
        <v>6</v>
      </c>
      <c r="J2793" s="142">
        <v>0</v>
      </c>
      <c r="K2793" s="142">
        <v>0</v>
      </c>
      <c r="L2793" s="142">
        <v>6</v>
      </c>
      <c r="M2793" s="142">
        <v>0</v>
      </c>
    </row>
    <row r="2794" spans="1:13" x14ac:dyDescent="0.45">
      <c r="A2794" s="142" t="s">
        <v>13024</v>
      </c>
      <c r="B2794" s="142" t="s">
        <v>14538</v>
      </c>
      <c r="C2794" s="142" t="s">
        <v>15847</v>
      </c>
      <c r="D2794" s="142" t="s">
        <v>15848</v>
      </c>
      <c r="E2794" s="142" t="s">
        <v>15849</v>
      </c>
      <c r="F2794" s="142" t="s">
        <v>6748</v>
      </c>
      <c r="G2794" s="142" t="s">
        <v>6747</v>
      </c>
      <c r="H2794" s="142" t="s">
        <v>18644</v>
      </c>
      <c r="I2794" s="142">
        <v>2</v>
      </c>
      <c r="J2794" s="142">
        <v>0</v>
      </c>
      <c r="K2794" s="142">
        <v>0</v>
      </c>
      <c r="L2794" s="142">
        <v>0</v>
      </c>
      <c r="M2794" s="142">
        <v>2</v>
      </c>
    </row>
    <row r="2795" spans="1:13" x14ac:dyDescent="0.45">
      <c r="A2795" s="142" t="s">
        <v>13025</v>
      </c>
      <c r="B2795" s="142" t="s">
        <v>15579</v>
      </c>
      <c r="C2795" s="142" t="s">
        <v>15847</v>
      </c>
      <c r="D2795" s="142" t="s">
        <v>15848</v>
      </c>
      <c r="E2795" s="142" t="s">
        <v>15849</v>
      </c>
      <c r="F2795" s="142" t="s">
        <v>6748</v>
      </c>
      <c r="G2795" s="142" t="s">
        <v>6747</v>
      </c>
      <c r="H2795" s="142" t="s">
        <v>18645</v>
      </c>
      <c r="I2795" s="142">
        <v>6</v>
      </c>
      <c r="J2795" s="142">
        <v>0</v>
      </c>
      <c r="K2795" s="142">
        <v>0</v>
      </c>
      <c r="L2795" s="142">
        <v>6</v>
      </c>
      <c r="M2795" s="142">
        <v>0</v>
      </c>
    </row>
    <row r="2796" spans="1:13" x14ac:dyDescent="0.45">
      <c r="A2796" s="142" t="s">
        <v>13027</v>
      </c>
      <c r="B2796" s="142" t="s">
        <v>14562</v>
      </c>
      <c r="C2796" s="142" t="s">
        <v>15847</v>
      </c>
      <c r="D2796" s="142" t="s">
        <v>15848</v>
      </c>
      <c r="E2796" s="142" t="s">
        <v>15849</v>
      </c>
      <c r="F2796" s="142" t="s">
        <v>6748</v>
      </c>
      <c r="G2796" s="142" t="s">
        <v>6747</v>
      </c>
      <c r="H2796" s="142" t="s">
        <v>18646</v>
      </c>
      <c r="I2796" s="142">
        <v>11</v>
      </c>
      <c r="J2796" s="142">
        <v>0</v>
      </c>
      <c r="K2796" s="142">
        <v>0</v>
      </c>
      <c r="L2796" s="142">
        <v>11</v>
      </c>
      <c r="M2796" s="142">
        <v>0</v>
      </c>
    </row>
    <row r="2797" spans="1:13" x14ac:dyDescent="0.45">
      <c r="A2797" s="142" t="s">
        <v>13148</v>
      </c>
      <c r="B2797" s="142" t="s">
        <v>15314</v>
      </c>
      <c r="C2797" s="142" t="s">
        <v>15847</v>
      </c>
      <c r="D2797" s="142" t="s">
        <v>15848</v>
      </c>
      <c r="E2797" s="142" t="s">
        <v>15849</v>
      </c>
      <c r="F2797" s="142" t="s">
        <v>6748</v>
      </c>
      <c r="G2797" s="142" t="s">
        <v>6747</v>
      </c>
      <c r="H2797" s="142" t="s">
        <v>18647</v>
      </c>
      <c r="I2797" s="142">
        <v>1</v>
      </c>
      <c r="J2797" s="142">
        <v>0</v>
      </c>
      <c r="K2797" s="142">
        <v>0</v>
      </c>
      <c r="L2797" s="142">
        <v>0</v>
      </c>
      <c r="M2797" s="142">
        <v>1</v>
      </c>
    </row>
    <row r="2798" spans="1:13" x14ac:dyDescent="0.45">
      <c r="A2798" s="142" t="s">
        <v>13028</v>
      </c>
      <c r="B2798" s="142" t="s">
        <v>14462</v>
      </c>
      <c r="C2798" s="142" t="s">
        <v>15847</v>
      </c>
      <c r="D2798" s="142" t="s">
        <v>15848</v>
      </c>
      <c r="E2798" s="142" t="s">
        <v>15849</v>
      </c>
      <c r="F2798" s="142" t="s">
        <v>6748</v>
      </c>
      <c r="G2798" s="142" t="s">
        <v>6747</v>
      </c>
      <c r="H2798" s="142" t="s">
        <v>18648</v>
      </c>
      <c r="I2798" s="142">
        <v>53</v>
      </c>
      <c r="J2798" s="142">
        <v>0</v>
      </c>
      <c r="K2798" s="142">
        <v>0</v>
      </c>
      <c r="L2798" s="142">
        <v>0</v>
      </c>
      <c r="M2798" s="142">
        <v>53</v>
      </c>
    </row>
    <row r="2799" spans="1:13" x14ac:dyDescent="0.45">
      <c r="A2799" s="142" t="s">
        <v>13003</v>
      </c>
      <c r="B2799" s="142" t="s">
        <v>15245</v>
      </c>
      <c r="C2799" s="142" t="s">
        <v>15847</v>
      </c>
      <c r="D2799" s="142" t="s">
        <v>15848</v>
      </c>
      <c r="E2799" s="142" t="s">
        <v>15849</v>
      </c>
      <c r="F2799" s="142" t="s">
        <v>6748</v>
      </c>
      <c r="G2799" s="142" t="s">
        <v>6747</v>
      </c>
      <c r="H2799" s="142" t="s">
        <v>18649</v>
      </c>
      <c r="I2799" s="142">
        <v>37</v>
      </c>
      <c r="J2799" s="142">
        <v>0</v>
      </c>
      <c r="K2799" s="142">
        <v>0</v>
      </c>
      <c r="L2799" s="142">
        <v>37</v>
      </c>
      <c r="M2799" s="142">
        <v>0</v>
      </c>
    </row>
    <row r="2800" spans="1:13" x14ac:dyDescent="0.45">
      <c r="A2800" s="142" t="s">
        <v>13651</v>
      </c>
      <c r="B2800" s="142" t="s">
        <v>15265</v>
      </c>
      <c r="C2800" s="142" t="s">
        <v>15860</v>
      </c>
      <c r="D2800" s="142" t="s">
        <v>15861</v>
      </c>
      <c r="E2800" s="142" t="s">
        <v>15849</v>
      </c>
      <c r="F2800" s="142" t="s">
        <v>6748</v>
      </c>
      <c r="G2800" s="142" t="s">
        <v>6747</v>
      </c>
      <c r="H2800" s="142" t="s">
        <v>18650</v>
      </c>
      <c r="I2800" s="142">
        <v>17</v>
      </c>
      <c r="J2800" s="142">
        <v>17</v>
      </c>
      <c r="K2800" s="142">
        <v>0</v>
      </c>
      <c r="L2800" s="142">
        <v>0</v>
      </c>
      <c r="M2800" s="142">
        <v>0</v>
      </c>
    </row>
    <row r="2801" spans="1:13" x14ac:dyDescent="0.45">
      <c r="A2801" s="142" t="s">
        <v>13652</v>
      </c>
      <c r="B2801" s="142" t="s">
        <v>15519</v>
      </c>
      <c r="C2801" s="142" t="s">
        <v>15847</v>
      </c>
      <c r="D2801" s="142" t="s">
        <v>15848</v>
      </c>
      <c r="E2801" s="142" t="s">
        <v>15849</v>
      </c>
      <c r="F2801" s="142" t="s">
        <v>6748</v>
      </c>
      <c r="G2801" s="142" t="s">
        <v>6747</v>
      </c>
      <c r="H2801" s="142" t="s">
        <v>18651</v>
      </c>
      <c r="I2801" s="142">
        <v>1</v>
      </c>
      <c r="J2801" s="142">
        <v>0</v>
      </c>
      <c r="K2801" s="142">
        <v>0</v>
      </c>
      <c r="L2801" s="142">
        <v>0</v>
      </c>
      <c r="M2801" s="142">
        <v>1</v>
      </c>
    </row>
    <row r="2802" spans="1:13" x14ac:dyDescent="0.45">
      <c r="A2802" s="142" t="s">
        <v>13295</v>
      </c>
      <c r="B2802" s="142" t="s">
        <v>14621</v>
      </c>
      <c r="C2802" s="142" t="s">
        <v>15847</v>
      </c>
      <c r="D2802" s="142" t="s">
        <v>15848</v>
      </c>
      <c r="E2802" s="142" t="s">
        <v>15849</v>
      </c>
      <c r="F2802" s="142" t="s">
        <v>6748</v>
      </c>
      <c r="G2802" s="142" t="s">
        <v>6747</v>
      </c>
      <c r="H2802" s="142" t="s">
        <v>18652</v>
      </c>
      <c r="I2802" s="142">
        <v>321</v>
      </c>
      <c r="J2802" s="142">
        <v>206</v>
      </c>
      <c r="K2802" s="142">
        <v>0</v>
      </c>
      <c r="L2802" s="142">
        <v>11</v>
      </c>
      <c r="M2802" s="142">
        <v>104</v>
      </c>
    </row>
    <row r="2803" spans="1:13" x14ac:dyDescent="0.45">
      <c r="A2803" s="142" t="s">
        <v>13296</v>
      </c>
      <c r="B2803" s="142" t="s">
        <v>15387</v>
      </c>
      <c r="C2803" s="142" t="s">
        <v>15860</v>
      </c>
      <c r="D2803" s="142" t="s">
        <v>15861</v>
      </c>
      <c r="E2803" s="142" t="s">
        <v>15849</v>
      </c>
      <c r="F2803" s="142" t="s">
        <v>6748</v>
      </c>
      <c r="G2803" s="142" t="s">
        <v>6747</v>
      </c>
      <c r="H2803" s="142" t="s">
        <v>18653</v>
      </c>
      <c r="I2803" s="142">
        <v>140</v>
      </c>
      <c r="J2803" s="142">
        <v>140</v>
      </c>
      <c r="K2803" s="142">
        <v>0</v>
      </c>
      <c r="L2803" s="142">
        <v>0</v>
      </c>
      <c r="M2803" s="142">
        <v>0</v>
      </c>
    </row>
    <row r="2804" spans="1:13" x14ac:dyDescent="0.45">
      <c r="A2804" s="142" t="s">
        <v>13030</v>
      </c>
      <c r="B2804" s="142" t="s">
        <v>14572</v>
      </c>
      <c r="C2804" s="142" t="s">
        <v>15847</v>
      </c>
      <c r="D2804" s="142" t="s">
        <v>15848</v>
      </c>
      <c r="E2804" s="142" t="s">
        <v>15849</v>
      </c>
      <c r="F2804" s="142" t="s">
        <v>6748</v>
      </c>
      <c r="G2804" s="142" t="s">
        <v>6747</v>
      </c>
      <c r="H2804" s="142" t="s">
        <v>18654</v>
      </c>
      <c r="I2804" s="142">
        <v>1</v>
      </c>
      <c r="J2804" s="142">
        <v>0</v>
      </c>
      <c r="K2804" s="142">
        <v>0</v>
      </c>
      <c r="L2804" s="142">
        <v>0</v>
      </c>
      <c r="M2804" s="142">
        <v>1</v>
      </c>
    </row>
    <row r="2805" spans="1:13" x14ac:dyDescent="0.45">
      <c r="A2805" s="142" t="s">
        <v>13068</v>
      </c>
      <c r="B2805" s="142" t="s">
        <v>15468</v>
      </c>
      <c r="C2805" s="142" t="s">
        <v>15847</v>
      </c>
      <c r="D2805" s="142" t="s">
        <v>15848</v>
      </c>
      <c r="E2805" s="142" t="s">
        <v>15849</v>
      </c>
      <c r="F2805" s="142" t="s">
        <v>6748</v>
      </c>
      <c r="G2805" s="142" t="s">
        <v>6747</v>
      </c>
      <c r="H2805" s="142" t="s">
        <v>18655</v>
      </c>
      <c r="I2805" s="142">
        <v>8</v>
      </c>
      <c r="J2805" s="142">
        <v>5</v>
      </c>
      <c r="K2805" s="142">
        <v>0</v>
      </c>
      <c r="L2805" s="142">
        <v>0</v>
      </c>
      <c r="M2805" s="142">
        <v>3</v>
      </c>
    </row>
    <row r="2806" spans="1:13" x14ac:dyDescent="0.45">
      <c r="A2806" s="142" t="s">
        <v>13033</v>
      </c>
      <c r="B2806" s="142" t="s">
        <v>15276</v>
      </c>
      <c r="C2806" s="142" t="s">
        <v>15847</v>
      </c>
      <c r="D2806" s="142" t="s">
        <v>15848</v>
      </c>
      <c r="E2806" s="142" t="s">
        <v>15849</v>
      </c>
      <c r="F2806" s="142" t="s">
        <v>6748</v>
      </c>
      <c r="G2806" s="142" t="s">
        <v>6747</v>
      </c>
      <c r="H2806" s="142" t="s">
        <v>18656</v>
      </c>
      <c r="I2806" s="142">
        <v>3</v>
      </c>
      <c r="J2806" s="142">
        <v>0</v>
      </c>
      <c r="K2806" s="142">
        <v>0</v>
      </c>
      <c r="L2806" s="142">
        <v>0</v>
      </c>
      <c r="M2806" s="142">
        <v>3</v>
      </c>
    </row>
    <row r="2807" spans="1:13" x14ac:dyDescent="0.45">
      <c r="A2807" s="142" t="s">
        <v>13035</v>
      </c>
      <c r="B2807" s="142" t="s">
        <v>14648</v>
      </c>
      <c r="C2807" s="142" t="s">
        <v>15847</v>
      </c>
      <c r="D2807" s="142" t="s">
        <v>15848</v>
      </c>
      <c r="E2807" s="142" t="s">
        <v>15849</v>
      </c>
      <c r="F2807" s="142" t="s">
        <v>6748</v>
      </c>
      <c r="G2807" s="142" t="s">
        <v>6747</v>
      </c>
      <c r="H2807" s="142" t="s">
        <v>18657</v>
      </c>
      <c r="I2807" s="142">
        <v>6975</v>
      </c>
      <c r="J2807" s="142">
        <v>6101</v>
      </c>
      <c r="K2807" s="142">
        <v>0</v>
      </c>
      <c r="L2807" s="142">
        <v>450</v>
      </c>
      <c r="M2807" s="142">
        <v>424</v>
      </c>
    </row>
    <row r="2808" spans="1:13" x14ac:dyDescent="0.45">
      <c r="A2808" s="142" t="s">
        <v>13036</v>
      </c>
      <c r="B2808" s="142" t="s">
        <v>15567</v>
      </c>
      <c r="C2808" s="142" t="s">
        <v>15847</v>
      </c>
      <c r="D2808" s="142" t="s">
        <v>15848</v>
      </c>
      <c r="E2808" s="142" t="s">
        <v>15849</v>
      </c>
      <c r="F2808" s="142" t="s">
        <v>6748</v>
      </c>
      <c r="G2808" s="142" t="s">
        <v>6747</v>
      </c>
      <c r="H2808" s="142" t="s">
        <v>18658</v>
      </c>
      <c r="I2808" s="142">
        <v>30</v>
      </c>
      <c r="J2808" s="142">
        <v>0</v>
      </c>
      <c r="K2808" s="142">
        <v>0</v>
      </c>
      <c r="L2808" s="142">
        <v>30</v>
      </c>
      <c r="M2808" s="142">
        <v>0</v>
      </c>
    </row>
    <row r="2809" spans="1:13" x14ac:dyDescent="0.45">
      <c r="A2809" s="142" t="s">
        <v>13038</v>
      </c>
      <c r="B2809" s="142" t="s">
        <v>14646</v>
      </c>
      <c r="C2809" s="142" t="s">
        <v>15847</v>
      </c>
      <c r="D2809" s="142" t="s">
        <v>15848</v>
      </c>
      <c r="E2809" s="142" t="s">
        <v>15849</v>
      </c>
      <c r="F2809" s="142" t="s">
        <v>6748</v>
      </c>
      <c r="G2809" s="142" t="s">
        <v>6747</v>
      </c>
      <c r="H2809" s="142" t="s">
        <v>18659</v>
      </c>
      <c r="I2809" s="142">
        <v>39</v>
      </c>
      <c r="J2809" s="142">
        <v>17</v>
      </c>
      <c r="K2809" s="142">
        <v>0</v>
      </c>
      <c r="L2809" s="142">
        <v>0</v>
      </c>
      <c r="M2809" s="142">
        <v>22</v>
      </c>
    </row>
    <row r="2810" spans="1:13" x14ac:dyDescent="0.45">
      <c r="A2810" s="142" t="s">
        <v>13078</v>
      </c>
      <c r="B2810" s="142" t="s">
        <v>15540</v>
      </c>
      <c r="C2810" s="142" t="s">
        <v>15847</v>
      </c>
      <c r="D2810" s="142" t="s">
        <v>15848</v>
      </c>
      <c r="E2810" s="142" t="s">
        <v>15849</v>
      </c>
      <c r="F2810" s="142" t="s">
        <v>6748</v>
      </c>
      <c r="G2810" s="142" t="s">
        <v>6747</v>
      </c>
      <c r="H2810" s="142" t="s">
        <v>18660</v>
      </c>
      <c r="I2810" s="142">
        <v>30</v>
      </c>
      <c r="J2810" s="142">
        <v>0</v>
      </c>
      <c r="K2810" s="142">
        <v>0</v>
      </c>
      <c r="L2810" s="142">
        <v>30</v>
      </c>
      <c r="M2810" s="142">
        <v>0</v>
      </c>
    </row>
    <row r="2811" spans="1:13" x14ac:dyDescent="0.45">
      <c r="A2811" s="142" t="s">
        <v>13009</v>
      </c>
      <c r="B2811" s="142" t="s">
        <v>15256</v>
      </c>
      <c r="C2811" s="142" t="s">
        <v>15847</v>
      </c>
      <c r="D2811" s="142" t="s">
        <v>15848</v>
      </c>
      <c r="E2811" s="142" t="s">
        <v>15849</v>
      </c>
      <c r="F2811" s="142" t="s">
        <v>6748</v>
      </c>
      <c r="G2811" s="142" t="s">
        <v>6747</v>
      </c>
      <c r="H2811" s="142" t="s">
        <v>18661</v>
      </c>
      <c r="I2811" s="142">
        <v>1</v>
      </c>
      <c r="J2811" s="142">
        <v>1</v>
      </c>
      <c r="K2811" s="142">
        <v>0</v>
      </c>
      <c r="L2811" s="142">
        <v>0</v>
      </c>
      <c r="M2811" s="142">
        <v>0</v>
      </c>
    </row>
    <row r="2812" spans="1:13" x14ac:dyDescent="0.45">
      <c r="A2812" s="142" t="s">
        <v>13012</v>
      </c>
      <c r="B2812" s="142" t="s">
        <v>15337</v>
      </c>
      <c r="C2812" s="142" t="s">
        <v>15847</v>
      </c>
      <c r="D2812" s="142" t="s">
        <v>15848</v>
      </c>
      <c r="E2812" s="142" t="s">
        <v>15849</v>
      </c>
      <c r="F2812" s="142" t="s">
        <v>6748</v>
      </c>
      <c r="G2812" s="142" t="s">
        <v>6747</v>
      </c>
      <c r="H2812" s="142" t="s">
        <v>18662</v>
      </c>
      <c r="I2812" s="142">
        <v>23</v>
      </c>
      <c r="J2812" s="142">
        <v>0</v>
      </c>
      <c r="K2812" s="142">
        <v>0</v>
      </c>
      <c r="L2812" s="142">
        <v>23</v>
      </c>
      <c r="M2812" s="142">
        <v>0</v>
      </c>
    </row>
    <row r="2813" spans="1:13" x14ac:dyDescent="0.45">
      <c r="A2813" s="142" t="s">
        <v>13653</v>
      </c>
      <c r="B2813" s="142" t="s">
        <v>14609</v>
      </c>
      <c r="C2813" s="142" t="s">
        <v>15860</v>
      </c>
      <c r="D2813" s="142" t="s">
        <v>15861</v>
      </c>
      <c r="E2813" s="142" t="s">
        <v>15849</v>
      </c>
      <c r="F2813" s="142" t="s">
        <v>6748</v>
      </c>
      <c r="G2813" s="142" t="s">
        <v>6747</v>
      </c>
      <c r="H2813" s="142" t="s">
        <v>18663</v>
      </c>
      <c r="I2813" s="142">
        <v>2</v>
      </c>
      <c r="J2813" s="142">
        <v>2</v>
      </c>
      <c r="K2813" s="142">
        <v>0</v>
      </c>
      <c r="L2813" s="142">
        <v>0</v>
      </c>
      <c r="M2813" s="142">
        <v>0</v>
      </c>
    </row>
    <row r="2814" spans="1:13" x14ac:dyDescent="0.45">
      <c r="A2814" s="142" t="s">
        <v>13079</v>
      </c>
      <c r="B2814" s="142" t="s">
        <v>15431</v>
      </c>
      <c r="C2814" s="142" t="s">
        <v>15847</v>
      </c>
      <c r="D2814" s="142" t="s">
        <v>15848</v>
      </c>
      <c r="E2814" s="142" t="s">
        <v>15849</v>
      </c>
      <c r="F2814" s="142" t="s">
        <v>6748</v>
      </c>
      <c r="G2814" s="142" t="s">
        <v>6747</v>
      </c>
      <c r="H2814" s="142" t="s">
        <v>18664</v>
      </c>
      <c r="I2814" s="142">
        <v>1</v>
      </c>
      <c r="J2814" s="142">
        <v>0</v>
      </c>
      <c r="K2814" s="142">
        <v>0</v>
      </c>
      <c r="L2814" s="142">
        <v>0</v>
      </c>
      <c r="M2814" s="142">
        <v>1</v>
      </c>
    </row>
    <row r="2815" spans="1:13" x14ac:dyDescent="0.45">
      <c r="A2815" s="142" t="s">
        <v>13146</v>
      </c>
      <c r="B2815" s="142" t="s">
        <v>15310</v>
      </c>
      <c r="C2815" s="142" t="s">
        <v>15847</v>
      </c>
      <c r="D2815" s="142" t="s">
        <v>15848</v>
      </c>
      <c r="E2815" s="142" t="s">
        <v>15849</v>
      </c>
      <c r="F2815" s="142" t="s">
        <v>730</v>
      </c>
      <c r="G2815" s="142" t="s">
        <v>729</v>
      </c>
      <c r="H2815" s="142" t="s">
        <v>18665</v>
      </c>
      <c r="I2815" s="142">
        <v>102</v>
      </c>
      <c r="J2815" s="142">
        <v>74</v>
      </c>
      <c r="K2815" s="142">
        <v>0</v>
      </c>
      <c r="L2815" s="142">
        <v>15</v>
      </c>
      <c r="M2815" s="142">
        <v>13</v>
      </c>
    </row>
    <row r="2816" spans="1:13" x14ac:dyDescent="0.45">
      <c r="A2816" s="142" t="s">
        <v>13072</v>
      </c>
      <c r="B2816" s="142" t="s">
        <v>15530</v>
      </c>
      <c r="C2816" s="142" t="s">
        <v>15847</v>
      </c>
      <c r="D2816" s="142" t="s">
        <v>15848</v>
      </c>
      <c r="E2816" s="142" t="s">
        <v>15849</v>
      </c>
      <c r="F2816" s="142" t="s">
        <v>730</v>
      </c>
      <c r="G2816" s="142" t="s">
        <v>729</v>
      </c>
      <c r="H2816" s="142" t="s">
        <v>18666</v>
      </c>
      <c r="I2816" s="142">
        <v>78</v>
      </c>
      <c r="J2816" s="142">
        <v>44</v>
      </c>
      <c r="K2816" s="142">
        <v>0</v>
      </c>
      <c r="L2816" s="142">
        <v>0</v>
      </c>
      <c r="M2816" s="142">
        <v>34</v>
      </c>
    </row>
    <row r="2817" spans="1:13" x14ac:dyDescent="0.45">
      <c r="A2817" s="142" t="s">
        <v>13023</v>
      </c>
      <c r="B2817" s="142" t="s">
        <v>15571</v>
      </c>
      <c r="C2817" s="142" t="s">
        <v>15847</v>
      </c>
      <c r="D2817" s="142" t="s">
        <v>15848</v>
      </c>
      <c r="E2817" s="142" t="s">
        <v>15849</v>
      </c>
      <c r="F2817" s="142" t="s">
        <v>730</v>
      </c>
      <c r="G2817" s="142" t="s">
        <v>729</v>
      </c>
      <c r="H2817" s="142" t="s">
        <v>18667</v>
      </c>
      <c r="I2817" s="142">
        <v>384</v>
      </c>
      <c r="J2817" s="142">
        <v>0</v>
      </c>
      <c r="K2817" s="142">
        <v>0</v>
      </c>
      <c r="L2817" s="142">
        <v>370</v>
      </c>
      <c r="M2817" s="142">
        <v>14</v>
      </c>
    </row>
    <row r="2818" spans="1:13" x14ac:dyDescent="0.45">
      <c r="A2818" s="142" t="s">
        <v>13113</v>
      </c>
      <c r="B2818" s="142" t="s">
        <v>14503</v>
      </c>
      <c r="C2818" s="142" t="s">
        <v>15860</v>
      </c>
      <c r="D2818" s="142" t="s">
        <v>15861</v>
      </c>
      <c r="E2818" s="142" t="s">
        <v>15849</v>
      </c>
      <c r="F2818" s="142" t="s">
        <v>730</v>
      </c>
      <c r="G2818" s="142" t="s">
        <v>729</v>
      </c>
      <c r="H2818" s="142" t="s">
        <v>18668</v>
      </c>
      <c r="I2818" s="142">
        <v>1</v>
      </c>
      <c r="J2818" s="142">
        <v>1</v>
      </c>
      <c r="K2818" s="142">
        <v>0</v>
      </c>
      <c r="L2818" s="142">
        <v>0</v>
      </c>
      <c r="M2818" s="142">
        <v>0</v>
      </c>
    </row>
    <row r="2819" spans="1:13" x14ac:dyDescent="0.45">
      <c r="A2819" s="142" t="s">
        <v>13082</v>
      </c>
      <c r="B2819" s="142" t="s">
        <v>14478</v>
      </c>
      <c r="C2819" s="142" t="s">
        <v>15860</v>
      </c>
      <c r="D2819" s="142" t="s">
        <v>15861</v>
      </c>
      <c r="E2819" s="142" t="s">
        <v>15849</v>
      </c>
      <c r="F2819" s="142" t="s">
        <v>730</v>
      </c>
      <c r="G2819" s="142" t="s">
        <v>729</v>
      </c>
      <c r="H2819" s="142" t="s">
        <v>18669</v>
      </c>
      <c r="I2819" s="142">
        <v>3</v>
      </c>
      <c r="J2819" s="142">
        <v>0</v>
      </c>
      <c r="K2819" s="142">
        <v>0</v>
      </c>
      <c r="L2819" s="142">
        <v>3</v>
      </c>
      <c r="M2819" s="142">
        <v>0</v>
      </c>
    </row>
    <row r="2820" spans="1:13" x14ac:dyDescent="0.45">
      <c r="A2820" s="142" t="s">
        <v>13147</v>
      </c>
      <c r="B2820" s="142" t="s">
        <v>14529</v>
      </c>
      <c r="C2820" s="142" t="s">
        <v>15860</v>
      </c>
      <c r="D2820" s="142" t="s">
        <v>15861</v>
      </c>
      <c r="E2820" s="142" t="s">
        <v>15849</v>
      </c>
      <c r="F2820" s="142" t="s">
        <v>730</v>
      </c>
      <c r="G2820" s="142" t="s">
        <v>729</v>
      </c>
      <c r="H2820" s="142" t="s">
        <v>18670</v>
      </c>
      <c r="I2820" s="142">
        <v>12</v>
      </c>
      <c r="J2820" s="142">
        <v>12</v>
      </c>
      <c r="K2820" s="142">
        <v>0</v>
      </c>
      <c r="L2820" s="142">
        <v>0</v>
      </c>
      <c r="M2820" s="142">
        <v>0</v>
      </c>
    </row>
    <row r="2821" spans="1:13" x14ac:dyDescent="0.45">
      <c r="A2821" s="142" t="s">
        <v>13065</v>
      </c>
      <c r="B2821" s="142" t="s">
        <v>14497</v>
      </c>
      <c r="C2821" s="142" t="s">
        <v>15847</v>
      </c>
      <c r="D2821" s="142" t="s">
        <v>15848</v>
      </c>
      <c r="E2821" s="142" t="s">
        <v>15849</v>
      </c>
      <c r="F2821" s="142" t="s">
        <v>730</v>
      </c>
      <c r="G2821" s="142" t="s">
        <v>729</v>
      </c>
      <c r="H2821" s="142" t="s">
        <v>18671</v>
      </c>
      <c r="I2821" s="142">
        <v>14</v>
      </c>
      <c r="J2821" s="142">
        <v>0</v>
      </c>
      <c r="K2821" s="142">
        <v>0</v>
      </c>
      <c r="L2821" s="142">
        <v>14</v>
      </c>
      <c r="M2821" s="142">
        <v>0</v>
      </c>
    </row>
    <row r="2822" spans="1:13" x14ac:dyDescent="0.45">
      <c r="A2822" s="142" t="s">
        <v>13594</v>
      </c>
      <c r="B2822" s="142" t="s">
        <v>15597</v>
      </c>
      <c r="C2822" s="142" t="s">
        <v>15847</v>
      </c>
      <c r="D2822" s="142" t="s">
        <v>15848</v>
      </c>
      <c r="E2822" s="142" t="s">
        <v>15849</v>
      </c>
      <c r="F2822" s="142" t="s">
        <v>730</v>
      </c>
      <c r="G2822" s="142" t="s">
        <v>729</v>
      </c>
      <c r="H2822" s="142" t="s">
        <v>18672</v>
      </c>
      <c r="I2822" s="142">
        <v>103</v>
      </c>
      <c r="J2822" s="142">
        <v>86</v>
      </c>
      <c r="K2822" s="142">
        <v>0</v>
      </c>
      <c r="L2822" s="142">
        <v>0</v>
      </c>
      <c r="M2822" s="142">
        <v>17</v>
      </c>
    </row>
    <row r="2823" spans="1:13" x14ac:dyDescent="0.45">
      <c r="A2823" s="142" t="s">
        <v>13595</v>
      </c>
      <c r="B2823" s="142" t="s">
        <v>15566</v>
      </c>
      <c r="C2823" s="142" t="s">
        <v>15847</v>
      </c>
      <c r="D2823" s="142" t="s">
        <v>15848</v>
      </c>
      <c r="E2823" s="142" t="s">
        <v>15849</v>
      </c>
      <c r="F2823" s="142" t="s">
        <v>730</v>
      </c>
      <c r="G2823" s="142" t="s">
        <v>729</v>
      </c>
      <c r="H2823" s="142" t="s">
        <v>18673</v>
      </c>
      <c r="I2823" s="142">
        <v>30</v>
      </c>
      <c r="J2823" s="142">
        <v>29</v>
      </c>
      <c r="K2823" s="142">
        <v>0</v>
      </c>
      <c r="L2823" s="142">
        <v>0</v>
      </c>
      <c r="M2823" s="142">
        <v>1</v>
      </c>
    </row>
    <row r="2824" spans="1:13" x14ac:dyDescent="0.45">
      <c r="A2824" s="142" t="s">
        <v>13119</v>
      </c>
      <c r="B2824" s="142" t="s">
        <v>14451</v>
      </c>
      <c r="C2824" s="142" t="s">
        <v>15860</v>
      </c>
      <c r="D2824" s="142" t="s">
        <v>15861</v>
      </c>
      <c r="E2824" s="142" t="s">
        <v>15849</v>
      </c>
      <c r="F2824" s="142" t="s">
        <v>730</v>
      </c>
      <c r="G2824" s="142" t="s">
        <v>729</v>
      </c>
      <c r="H2824" s="142" t="s">
        <v>18674</v>
      </c>
      <c r="I2824" s="142">
        <v>25</v>
      </c>
      <c r="J2824" s="142">
        <v>0</v>
      </c>
      <c r="K2824" s="142">
        <v>0</v>
      </c>
      <c r="L2824" s="142">
        <v>25</v>
      </c>
      <c r="M2824" s="142">
        <v>0</v>
      </c>
    </row>
    <row r="2825" spans="1:13" x14ac:dyDescent="0.45">
      <c r="A2825" s="142" t="s">
        <v>13027</v>
      </c>
      <c r="B2825" s="142" t="s">
        <v>14562</v>
      </c>
      <c r="C2825" s="142" t="s">
        <v>15847</v>
      </c>
      <c r="D2825" s="142" t="s">
        <v>15848</v>
      </c>
      <c r="E2825" s="142" t="s">
        <v>15849</v>
      </c>
      <c r="F2825" s="142" t="s">
        <v>730</v>
      </c>
      <c r="G2825" s="142" t="s">
        <v>729</v>
      </c>
      <c r="H2825" s="142" t="s">
        <v>18675</v>
      </c>
      <c r="I2825" s="142">
        <v>16</v>
      </c>
      <c r="J2825" s="142">
        <v>0</v>
      </c>
      <c r="K2825" s="142">
        <v>0</v>
      </c>
      <c r="L2825" s="142">
        <v>16</v>
      </c>
      <c r="M2825" s="142">
        <v>0</v>
      </c>
    </row>
    <row r="2826" spans="1:13" x14ac:dyDescent="0.45">
      <c r="A2826" s="142" t="s">
        <v>13148</v>
      </c>
      <c r="B2826" s="142" t="s">
        <v>15314</v>
      </c>
      <c r="C2826" s="142" t="s">
        <v>15847</v>
      </c>
      <c r="D2826" s="142" t="s">
        <v>15848</v>
      </c>
      <c r="E2826" s="142" t="s">
        <v>15849</v>
      </c>
      <c r="F2826" s="142" t="s">
        <v>730</v>
      </c>
      <c r="G2826" s="142" t="s">
        <v>729</v>
      </c>
      <c r="H2826" s="142" t="s">
        <v>18676</v>
      </c>
      <c r="I2826" s="142">
        <v>1</v>
      </c>
      <c r="J2826" s="142">
        <v>0</v>
      </c>
      <c r="K2826" s="142">
        <v>0</v>
      </c>
      <c r="L2826" s="142">
        <v>0</v>
      </c>
      <c r="M2826" s="142">
        <v>1</v>
      </c>
    </row>
    <row r="2827" spans="1:13" x14ac:dyDescent="0.45">
      <c r="A2827" s="142" t="s">
        <v>13554</v>
      </c>
      <c r="B2827" s="142" t="s">
        <v>14518</v>
      </c>
      <c r="C2827" s="142" t="s">
        <v>15860</v>
      </c>
      <c r="D2827" s="142" t="s">
        <v>15861</v>
      </c>
      <c r="E2827" s="142" t="s">
        <v>15849</v>
      </c>
      <c r="F2827" s="142" t="s">
        <v>730</v>
      </c>
      <c r="G2827" s="142" t="s">
        <v>729</v>
      </c>
      <c r="H2827" s="142" t="s">
        <v>18677</v>
      </c>
      <c r="I2827" s="142">
        <v>44</v>
      </c>
      <c r="J2827" s="142">
        <v>44</v>
      </c>
      <c r="K2827" s="142">
        <v>0</v>
      </c>
      <c r="L2827" s="142">
        <v>0</v>
      </c>
      <c r="M2827" s="142">
        <v>0</v>
      </c>
    </row>
    <row r="2828" spans="1:13" x14ac:dyDescent="0.45">
      <c r="A2828" s="142" t="s">
        <v>13028</v>
      </c>
      <c r="B2828" s="142" t="s">
        <v>14462</v>
      </c>
      <c r="C2828" s="142" t="s">
        <v>15847</v>
      </c>
      <c r="D2828" s="142" t="s">
        <v>15848</v>
      </c>
      <c r="E2828" s="142" t="s">
        <v>15849</v>
      </c>
      <c r="F2828" s="142" t="s">
        <v>730</v>
      </c>
      <c r="G2828" s="142" t="s">
        <v>729</v>
      </c>
      <c r="H2828" s="142" t="s">
        <v>18678</v>
      </c>
      <c r="I2828" s="142">
        <v>105</v>
      </c>
      <c r="J2828" s="142">
        <v>0</v>
      </c>
      <c r="K2828" s="142">
        <v>0</v>
      </c>
      <c r="L2828" s="142">
        <v>0</v>
      </c>
      <c r="M2828" s="142">
        <v>105</v>
      </c>
    </row>
    <row r="2829" spans="1:13" x14ac:dyDescent="0.45">
      <c r="A2829" s="142" t="s">
        <v>13160</v>
      </c>
      <c r="B2829" s="142" t="s">
        <v>14525</v>
      </c>
      <c r="C2829" s="142" t="s">
        <v>15847</v>
      </c>
      <c r="D2829" s="142" t="s">
        <v>15848</v>
      </c>
      <c r="E2829" s="142" t="s">
        <v>15849</v>
      </c>
      <c r="F2829" s="142" t="s">
        <v>730</v>
      </c>
      <c r="G2829" s="142" t="s">
        <v>729</v>
      </c>
      <c r="H2829" s="142" t="s">
        <v>18679</v>
      </c>
      <c r="I2829" s="142">
        <v>11</v>
      </c>
      <c r="J2829" s="142">
        <v>0</v>
      </c>
      <c r="K2829" s="142">
        <v>0</v>
      </c>
      <c r="L2829" s="142">
        <v>11</v>
      </c>
      <c r="M2829" s="142">
        <v>0</v>
      </c>
    </row>
    <row r="2830" spans="1:13" x14ac:dyDescent="0.45">
      <c r="A2830" s="142" t="s">
        <v>13002</v>
      </c>
      <c r="B2830" s="142" t="s">
        <v>15376</v>
      </c>
      <c r="C2830" s="142" t="s">
        <v>15847</v>
      </c>
      <c r="D2830" s="142" t="s">
        <v>15848</v>
      </c>
      <c r="E2830" s="142" t="s">
        <v>15849</v>
      </c>
      <c r="F2830" s="142" t="s">
        <v>730</v>
      </c>
      <c r="G2830" s="142" t="s">
        <v>729</v>
      </c>
      <c r="H2830" s="142" t="s">
        <v>18680</v>
      </c>
      <c r="I2830" s="142">
        <v>156</v>
      </c>
      <c r="J2830" s="142">
        <v>133</v>
      </c>
      <c r="K2830" s="142">
        <v>0</v>
      </c>
      <c r="L2830" s="142">
        <v>7</v>
      </c>
      <c r="M2830" s="142">
        <v>16</v>
      </c>
    </row>
    <row r="2831" spans="1:13" x14ac:dyDescent="0.45">
      <c r="A2831" s="142" t="s">
        <v>13003</v>
      </c>
      <c r="B2831" s="142" t="s">
        <v>15245</v>
      </c>
      <c r="C2831" s="142" t="s">
        <v>15847</v>
      </c>
      <c r="D2831" s="142" t="s">
        <v>15848</v>
      </c>
      <c r="E2831" s="142" t="s">
        <v>15849</v>
      </c>
      <c r="F2831" s="142" t="s">
        <v>730</v>
      </c>
      <c r="G2831" s="142" t="s">
        <v>729</v>
      </c>
      <c r="H2831" s="142" t="s">
        <v>18681</v>
      </c>
      <c r="I2831" s="142">
        <v>112</v>
      </c>
      <c r="J2831" s="142">
        <v>0</v>
      </c>
      <c r="K2831" s="142">
        <v>0</v>
      </c>
      <c r="L2831" s="142">
        <v>106</v>
      </c>
      <c r="M2831" s="142">
        <v>6</v>
      </c>
    </row>
    <row r="2832" spans="1:13" x14ac:dyDescent="0.45">
      <c r="A2832" s="142" t="s">
        <v>13655</v>
      </c>
      <c r="B2832" s="142" t="s">
        <v>15378</v>
      </c>
      <c r="C2832" s="142" t="s">
        <v>15860</v>
      </c>
      <c r="D2832" s="142" t="s">
        <v>15861</v>
      </c>
      <c r="E2832" s="142" t="s">
        <v>15849</v>
      </c>
      <c r="F2832" s="142" t="s">
        <v>730</v>
      </c>
      <c r="G2832" s="142" t="s">
        <v>729</v>
      </c>
      <c r="H2832" s="142" t="s">
        <v>18682</v>
      </c>
      <c r="I2832" s="142">
        <v>118</v>
      </c>
      <c r="J2832" s="142">
        <v>118</v>
      </c>
      <c r="K2832" s="142">
        <v>0</v>
      </c>
      <c r="L2832" s="142">
        <v>0</v>
      </c>
      <c r="M2832" s="142">
        <v>0</v>
      </c>
    </row>
    <row r="2833" spans="1:13" x14ac:dyDescent="0.45">
      <c r="A2833" s="142" t="s">
        <v>13656</v>
      </c>
      <c r="B2833" s="142" t="s">
        <v>14581</v>
      </c>
      <c r="C2833" s="142" t="s">
        <v>15860</v>
      </c>
      <c r="D2833" s="142" t="s">
        <v>15861</v>
      </c>
      <c r="E2833" s="142" t="s">
        <v>15849</v>
      </c>
      <c r="F2833" s="142" t="s">
        <v>730</v>
      </c>
      <c r="G2833" s="142" t="s">
        <v>729</v>
      </c>
      <c r="H2833" s="142" t="s">
        <v>18683</v>
      </c>
      <c r="I2833" s="142">
        <v>5</v>
      </c>
      <c r="J2833" s="142">
        <v>0</v>
      </c>
      <c r="K2833" s="142">
        <v>0</v>
      </c>
      <c r="L2833" s="142">
        <v>5</v>
      </c>
      <c r="M2833" s="142">
        <v>0</v>
      </c>
    </row>
    <row r="2834" spans="1:13" x14ac:dyDescent="0.45">
      <c r="A2834" s="142" t="s">
        <v>13066</v>
      </c>
      <c r="B2834" s="142" t="s">
        <v>14459</v>
      </c>
      <c r="C2834" s="142" t="s">
        <v>15847</v>
      </c>
      <c r="D2834" s="142" t="s">
        <v>15848</v>
      </c>
      <c r="E2834" s="142" t="s">
        <v>15849</v>
      </c>
      <c r="F2834" s="142" t="s">
        <v>730</v>
      </c>
      <c r="G2834" s="142" t="s">
        <v>729</v>
      </c>
      <c r="H2834" s="142" t="s">
        <v>18684</v>
      </c>
      <c r="I2834" s="142">
        <v>7</v>
      </c>
      <c r="J2834" s="142">
        <v>0</v>
      </c>
      <c r="K2834" s="142">
        <v>0</v>
      </c>
      <c r="L2834" s="142">
        <v>7</v>
      </c>
      <c r="M2834" s="142">
        <v>0</v>
      </c>
    </row>
    <row r="2835" spans="1:13" x14ac:dyDescent="0.45">
      <c r="A2835" s="142" t="s">
        <v>13657</v>
      </c>
      <c r="B2835" s="142" t="s">
        <v>14644</v>
      </c>
      <c r="C2835" s="142" t="s">
        <v>15847</v>
      </c>
      <c r="D2835" s="142" t="s">
        <v>15848</v>
      </c>
      <c r="E2835" s="142" t="s">
        <v>15849</v>
      </c>
      <c r="F2835" s="142" t="s">
        <v>730</v>
      </c>
      <c r="G2835" s="142" t="s">
        <v>729</v>
      </c>
      <c r="H2835" s="142" t="s">
        <v>18685</v>
      </c>
      <c r="I2835" s="142">
        <v>68</v>
      </c>
      <c r="J2835" s="142">
        <v>8</v>
      </c>
      <c r="K2835" s="142">
        <v>0</v>
      </c>
      <c r="L2835" s="142">
        <v>15</v>
      </c>
      <c r="M2835" s="142">
        <v>45</v>
      </c>
    </row>
    <row r="2836" spans="1:13" x14ac:dyDescent="0.45">
      <c r="A2836" s="142" t="s">
        <v>13557</v>
      </c>
      <c r="B2836" s="142" t="s">
        <v>14592</v>
      </c>
      <c r="C2836" s="142" t="s">
        <v>15847</v>
      </c>
      <c r="D2836" s="142" t="s">
        <v>15848</v>
      </c>
      <c r="E2836" s="142" t="s">
        <v>15849</v>
      </c>
      <c r="F2836" s="142" t="s">
        <v>730</v>
      </c>
      <c r="G2836" s="142" t="s">
        <v>729</v>
      </c>
      <c r="H2836" s="142" t="s">
        <v>18686</v>
      </c>
      <c r="I2836" s="142">
        <v>487</v>
      </c>
      <c r="J2836" s="142">
        <v>386</v>
      </c>
      <c r="K2836" s="142">
        <v>0</v>
      </c>
      <c r="L2836" s="142">
        <v>0</v>
      </c>
      <c r="M2836" s="142">
        <v>101</v>
      </c>
    </row>
    <row r="2837" spans="1:13" x14ac:dyDescent="0.45">
      <c r="A2837" s="142" t="s">
        <v>13658</v>
      </c>
      <c r="B2837" s="142" t="s">
        <v>14911</v>
      </c>
      <c r="C2837" s="142" t="s">
        <v>15847</v>
      </c>
      <c r="D2837" s="142" t="s">
        <v>15848</v>
      </c>
      <c r="E2837" s="142" t="s">
        <v>15849</v>
      </c>
      <c r="F2837" s="142" t="s">
        <v>730</v>
      </c>
      <c r="G2837" s="142" t="s">
        <v>729</v>
      </c>
      <c r="H2837" s="142" t="s">
        <v>18687</v>
      </c>
      <c r="I2837" s="142">
        <v>26</v>
      </c>
      <c r="J2837" s="142">
        <v>26</v>
      </c>
      <c r="K2837" s="142">
        <v>0</v>
      </c>
      <c r="L2837" s="142">
        <v>0</v>
      </c>
      <c r="M2837" s="142">
        <v>0</v>
      </c>
    </row>
    <row r="2838" spans="1:13" x14ac:dyDescent="0.45">
      <c r="A2838" s="142" t="s">
        <v>13033</v>
      </c>
      <c r="B2838" s="142" t="s">
        <v>15276</v>
      </c>
      <c r="C2838" s="142" t="s">
        <v>15847</v>
      </c>
      <c r="D2838" s="142" t="s">
        <v>15848</v>
      </c>
      <c r="E2838" s="142" t="s">
        <v>15849</v>
      </c>
      <c r="F2838" s="142" t="s">
        <v>730</v>
      </c>
      <c r="G2838" s="142" t="s">
        <v>729</v>
      </c>
      <c r="H2838" s="142" t="s">
        <v>18688</v>
      </c>
      <c r="I2838" s="142">
        <v>376</v>
      </c>
      <c r="J2838" s="142">
        <v>347</v>
      </c>
      <c r="K2838" s="142">
        <v>0</v>
      </c>
      <c r="L2838" s="142">
        <v>8</v>
      </c>
      <c r="M2838" s="142">
        <v>21</v>
      </c>
    </row>
    <row r="2839" spans="1:13" x14ac:dyDescent="0.45">
      <c r="A2839" s="142" t="s">
        <v>13034</v>
      </c>
      <c r="B2839" s="142" t="s">
        <v>15562</v>
      </c>
      <c r="C2839" s="142" t="s">
        <v>15847</v>
      </c>
      <c r="D2839" s="142" t="s">
        <v>15848</v>
      </c>
      <c r="E2839" s="142" t="s">
        <v>15849</v>
      </c>
      <c r="F2839" s="142" t="s">
        <v>730</v>
      </c>
      <c r="G2839" s="142" t="s">
        <v>729</v>
      </c>
      <c r="H2839" s="142" t="s">
        <v>18689</v>
      </c>
      <c r="I2839" s="142">
        <v>45</v>
      </c>
      <c r="J2839" s="142">
        <v>7</v>
      </c>
      <c r="K2839" s="142">
        <v>0</v>
      </c>
      <c r="L2839" s="142">
        <v>38</v>
      </c>
      <c r="M2839" s="142">
        <v>0</v>
      </c>
    </row>
    <row r="2840" spans="1:13" x14ac:dyDescent="0.45">
      <c r="A2840" s="142" t="s">
        <v>13036</v>
      </c>
      <c r="B2840" s="142" t="s">
        <v>15567</v>
      </c>
      <c r="C2840" s="142" t="s">
        <v>15847</v>
      </c>
      <c r="D2840" s="142" t="s">
        <v>15848</v>
      </c>
      <c r="E2840" s="142" t="s">
        <v>15849</v>
      </c>
      <c r="F2840" s="142" t="s">
        <v>730</v>
      </c>
      <c r="G2840" s="142" t="s">
        <v>729</v>
      </c>
      <c r="H2840" s="142" t="s">
        <v>18690</v>
      </c>
      <c r="I2840" s="142">
        <v>6</v>
      </c>
      <c r="J2840" s="142">
        <v>0</v>
      </c>
      <c r="K2840" s="142">
        <v>0</v>
      </c>
      <c r="L2840" s="142">
        <v>6</v>
      </c>
      <c r="M2840" s="142">
        <v>0</v>
      </c>
    </row>
    <row r="2841" spans="1:13" x14ac:dyDescent="0.45">
      <c r="A2841" s="142" t="s">
        <v>13560</v>
      </c>
      <c r="B2841" s="142" t="s">
        <v>14778</v>
      </c>
      <c r="C2841" s="142" t="s">
        <v>15847</v>
      </c>
      <c r="D2841" s="142" t="s">
        <v>15848</v>
      </c>
      <c r="E2841" s="142" t="s">
        <v>15849</v>
      </c>
      <c r="F2841" s="142" t="s">
        <v>730</v>
      </c>
      <c r="G2841" s="142" t="s">
        <v>729</v>
      </c>
      <c r="H2841" s="142" t="s">
        <v>18691</v>
      </c>
      <c r="I2841" s="142">
        <v>90</v>
      </c>
      <c r="J2841" s="142">
        <v>12</v>
      </c>
      <c r="K2841" s="142">
        <v>0</v>
      </c>
      <c r="L2841" s="142">
        <v>78</v>
      </c>
      <c r="M2841" s="142">
        <v>0</v>
      </c>
    </row>
    <row r="2842" spans="1:13" x14ac:dyDescent="0.45">
      <c r="A2842" s="142" t="s">
        <v>13037</v>
      </c>
      <c r="B2842" s="142" t="s">
        <v>14519</v>
      </c>
      <c r="C2842" s="142" t="s">
        <v>15847</v>
      </c>
      <c r="D2842" s="142" t="s">
        <v>15848</v>
      </c>
      <c r="E2842" s="142" t="s">
        <v>15849</v>
      </c>
      <c r="F2842" s="142" t="s">
        <v>730</v>
      </c>
      <c r="G2842" s="142" t="s">
        <v>729</v>
      </c>
      <c r="H2842" s="142" t="s">
        <v>18692</v>
      </c>
      <c r="I2842" s="142">
        <v>8</v>
      </c>
      <c r="J2842" s="142">
        <v>0</v>
      </c>
      <c r="K2842" s="142">
        <v>0</v>
      </c>
      <c r="L2842" s="142">
        <v>8</v>
      </c>
      <c r="M2842" s="142">
        <v>0</v>
      </c>
    </row>
    <row r="2843" spans="1:13" x14ac:dyDescent="0.45">
      <c r="A2843" s="142" t="s">
        <v>13038</v>
      </c>
      <c r="B2843" s="142" t="s">
        <v>14646</v>
      </c>
      <c r="C2843" s="142" t="s">
        <v>15847</v>
      </c>
      <c r="D2843" s="142" t="s">
        <v>15848</v>
      </c>
      <c r="E2843" s="142" t="s">
        <v>15849</v>
      </c>
      <c r="F2843" s="142" t="s">
        <v>730</v>
      </c>
      <c r="G2843" s="142" t="s">
        <v>729</v>
      </c>
      <c r="H2843" s="142" t="s">
        <v>18693</v>
      </c>
      <c r="I2843" s="142">
        <v>139</v>
      </c>
      <c r="J2843" s="142">
        <v>50</v>
      </c>
      <c r="K2843" s="142">
        <v>0</v>
      </c>
      <c r="L2843" s="142">
        <v>0</v>
      </c>
      <c r="M2843" s="142">
        <v>89</v>
      </c>
    </row>
    <row r="2844" spans="1:13" x14ac:dyDescent="0.45">
      <c r="A2844" s="142" t="s">
        <v>13039</v>
      </c>
      <c r="B2844" s="142" t="s">
        <v>14647</v>
      </c>
      <c r="C2844" s="142" t="s">
        <v>15847</v>
      </c>
      <c r="D2844" s="142" t="s">
        <v>15848</v>
      </c>
      <c r="E2844" s="142" t="s">
        <v>15849</v>
      </c>
      <c r="F2844" s="142" t="s">
        <v>730</v>
      </c>
      <c r="G2844" s="142" t="s">
        <v>729</v>
      </c>
      <c r="H2844" s="142" t="s">
        <v>18694</v>
      </c>
      <c r="I2844" s="142">
        <v>70</v>
      </c>
      <c r="J2844" s="142">
        <v>70</v>
      </c>
      <c r="K2844" s="142">
        <v>0</v>
      </c>
      <c r="L2844" s="142">
        <v>0</v>
      </c>
      <c r="M2844" s="142">
        <v>0</v>
      </c>
    </row>
    <row r="2845" spans="1:13" x14ac:dyDescent="0.45">
      <c r="A2845" s="142" t="s">
        <v>13091</v>
      </c>
      <c r="B2845" s="142" t="s">
        <v>14473</v>
      </c>
      <c r="C2845" s="142" t="s">
        <v>15847</v>
      </c>
      <c r="D2845" s="142" t="s">
        <v>15848</v>
      </c>
      <c r="E2845" s="142" t="s">
        <v>15849</v>
      </c>
      <c r="F2845" s="142" t="s">
        <v>730</v>
      </c>
      <c r="G2845" s="142" t="s">
        <v>729</v>
      </c>
      <c r="H2845" s="142" t="s">
        <v>18695</v>
      </c>
      <c r="I2845" s="142">
        <v>3</v>
      </c>
      <c r="J2845" s="142">
        <v>3</v>
      </c>
      <c r="K2845" s="142">
        <v>0</v>
      </c>
      <c r="L2845" s="142">
        <v>0</v>
      </c>
      <c r="M2845" s="142">
        <v>0</v>
      </c>
    </row>
    <row r="2846" spans="1:13" x14ac:dyDescent="0.45">
      <c r="A2846" s="142" t="s">
        <v>13009</v>
      </c>
      <c r="B2846" s="142" t="s">
        <v>15256</v>
      </c>
      <c r="C2846" s="142" t="s">
        <v>15847</v>
      </c>
      <c r="D2846" s="142" t="s">
        <v>15848</v>
      </c>
      <c r="E2846" s="142" t="s">
        <v>15849</v>
      </c>
      <c r="F2846" s="142" t="s">
        <v>730</v>
      </c>
      <c r="G2846" s="142" t="s">
        <v>729</v>
      </c>
      <c r="H2846" s="142" t="s">
        <v>18696</v>
      </c>
      <c r="I2846" s="142">
        <v>334</v>
      </c>
      <c r="J2846" s="142">
        <v>224</v>
      </c>
      <c r="K2846" s="142">
        <v>0</v>
      </c>
      <c r="L2846" s="142">
        <v>82</v>
      </c>
      <c r="M2846" s="142">
        <v>28</v>
      </c>
    </row>
    <row r="2847" spans="1:13" x14ac:dyDescent="0.45">
      <c r="A2847" s="142" t="s">
        <v>13041</v>
      </c>
      <c r="B2847" s="142" t="s">
        <v>14441</v>
      </c>
      <c r="C2847" s="142" t="s">
        <v>15847</v>
      </c>
      <c r="D2847" s="142" t="s">
        <v>15848</v>
      </c>
      <c r="E2847" s="142" t="s">
        <v>15849</v>
      </c>
      <c r="F2847" s="142" t="s">
        <v>730</v>
      </c>
      <c r="G2847" s="142" t="s">
        <v>729</v>
      </c>
      <c r="H2847" s="142" t="s">
        <v>18697</v>
      </c>
      <c r="I2847" s="142">
        <v>6</v>
      </c>
      <c r="J2847" s="142">
        <v>0</v>
      </c>
      <c r="K2847" s="142">
        <v>0</v>
      </c>
      <c r="L2847" s="142">
        <v>0</v>
      </c>
      <c r="M2847" s="142">
        <v>6</v>
      </c>
    </row>
    <row r="2848" spans="1:13" x14ac:dyDescent="0.45">
      <c r="A2848" s="142" t="s">
        <v>13659</v>
      </c>
      <c r="B2848" s="142" t="s">
        <v>14967</v>
      </c>
      <c r="C2848" s="142" t="s">
        <v>15860</v>
      </c>
      <c r="D2848" s="142" t="s">
        <v>15861</v>
      </c>
      <c r="E2848" s="142" t="s">
        <v>15849</v>
      </c>
      <c r="F2848" s="142" t="s">
        <v>730</v>
      </c>
      <c r="G2848" s="142" t="s">
        <v>729</v>
      </c>
      <c r="H2848" s="142" t="s">
        <v>18698</v>
      </c>
      <c r="I2848" s="142">
        <v>78</v>
      </c>
      <c r="J2848" s="142">
        <v>41</v>
      </c>
      <c r="K2848" s="142">
        <v>0</v>
      </c>
      <c r="L2848" s="142">
        <v>37</v>
      </c>
      <c r="M2848" s="142">
        <v>0</v>
      </c>
    </row>
    <row r="2849" spans="1:13" x14ac:dyDescent="0.45">
      <c r="A2849" s="142" t="s">
        <v>13014</v>
      </c>
      <c r="B2849" s="142" t="s">
        <v>14505</v>
      </c>
      <c r="C2849" s="142" t="s">
        <v>15847</v>
      </c>
      <c r="D2849" s="142" t="s">
        <v>15848</v>
      </c>
      <c r="E2849" s="142" t="s">
        <v>15849</v>
      </c>
      <c r="F2849" s="142" t="s">
        <v>730</v>
      </c>
      <c r="G2849" s="142" t="s">
        <v>729</v>
      </c>
      <c r="H2849" s="142" t="s">
        <v>18699</v>
      </c>
      <c r="I2849" s="142">
        <v>1</v>
      </c>
      <c r="J2849" s="142">
        <v>0</v>
      </c>
      <c r="K2849" s="142">
        <v>0</v>
      </c>
      <c r="L2849" s="142">
        <v>0</v>
      </c>
      <c r="M2849" s="142">
        <v>1</v>
      </c>
    </row>
    <row r="2850" spans="1:13" x14ac:dyDescent="0.45">
      <c r="A2850" s="142" t="s">
        <v>13042</v>
      </c>
      <c r="B2850" s="142" t="s">
        <v>15489</v>
      </c>
      <c r="C2850" s="142" t="s">
        <v>15847</v>
      </c>
      <c r="D2850" s="142" t="s">
        <v>15848</v>
      </c>
      <c r="E2850" s="142" t="s">
        <v>15849</v>
      </c>
      <c r="F2850" s="142" t="s">
        <v>730</v>
      </c>
      <c r="G2850" s="142" t="s">
        <v>729</v>
      </c>
      <c r="H2850" s="142" t="s">
        <v>18700</v>
      </c>
      <c r="I2850" s="142">
        <v>53</v>
      </c>
      <c r="J2850" s="142">
        <v>53</v>
      </c>
      <c r="K2850" s="142">
        <v>0</v>
      </c>
      <c r="L2850" s="142">
        <v>0</v>
      </c>
      <c r="M2850" s="142">
        <v>0</v>
      </c>
    </row>
    <row r="2851" spans="1:13" x14ac:dyDescent="0.45">
      <c r="A2851" s="142" t="s">
        <v>13096</v>
      </c>
      <c r="B2851" s="142" t="s">
        <v>15478</v>
      </c>
      <c r="C2851" s="142" t="s">
        <v>15847</v>
      </c>
      <c r="D2851" s="142" t="s">
        <v>15848</v>
      </c>
      <c r="E2851" s="142" t="s">
        <v>15849</v>
      </c>
      <c r="F2851" s="142" t="s">
        <v>730</v>
      </c>
      <c r="G2851" s="142" t="s">
        <v>729</v>
      </c>
      <c r="H2851" s="142" t="s">
        <v>18701</v>
      </c>
      <c r="I2851" s="142">
        <v>191</v>
      </c>
      <c r="J2851" s="142">
        <v>95</v>
      </c>
      <c r="K2851" s="142">
        <v>0</v>
      </c>
      <c r="L2851" s="142">
        <v>0</v>
      </c>
      <c r="M2851" s="142">
        <v>96</v>
      </c>
    </row>
    <row r="2852" spans="1:13" x14ac:dyDescent="0.45">
      <c r="A2852" s="142" t="s">
        <v>13154</v>
      </c>
      <c r="B2852" s="142" t="s">
        <v>15415</v>
      </c>
      <c r="C2852" s="142" t="s">
        <v>15847</v>
      </c>
      <c r="D2852" s="142" t="s">
        <v>15848</v>
      </c>
      <c r="E2852" s="142" t="s">
        <v>15849</v>
      </c>
      <c r="F2852" s="142" t="s">
        <v>730</v>
      </c>
      <c r="G2852" s="142" t="s">
        <v>729</v>
      </c>
      <c r="H2852" s="142" t="s">
        <v>18702</v>
      </c>
      <c r="I2852" s="142">
        <v>654</v>
      </c>
      <c r="J2852" s="142">
        <v>581</v>
      </c>
      <c r="K2852" s="142">
        <v>0</v>
      </c>
      <c r="L2852" s="142">
        <v>10</v>
      </c>
      <c r="M2852" s="142">
        <v>63</v>
      </c>
    </row>
    <row r="2853" spans="1:13" x14ac:dyDescent="0.45">
      <c r="A2853" s="142" t="s">
        <v>13079</v>
      </c>
      <c r="B2853" s="142" t="s">
        <v>15431</v>
      </c>
      <c r="C2853" s="142" t="s">
        <v>15847</v>
      </c>
      <c r="D2853" s="142" t="s">
        <v>15848</v>
      </c>
      <c r="E2853" s="142" t="s">
        <v>15849</v>
      </c>
      <c r="F2853" s="142" t="s">
        <v>730</v>
      </c>
      <c r="G2853" s="142" t="s">
        <v>729</v>
      </c>
      <c r="H2853" s="142" t="s">
        <v>18703</v>
      </c>
      <c r="I2853" s="142">
        <v>1</v>
      </c>
      <c r="J2853" s="142">
        <v>0</v>
      </c>
      <c r="K2853" s="142">
        <v>0</v>
      </c>
      <c r="L2853" s="142">
        <v>0</v>
      </c>
      <c r="M2853" s="142">
        <v>1</v>
      </c>
    </row>
    <row r="2854" spans="1:13" x14ac:dyDescent="0.45">
      <c r="A2854" s="142" t="s">
        <v>13155</v>
      </c>
      <c r="B2854" s="142" t="s">
        <v>15455</v>
      </c>
      <c r="C2854" s="142" t="s">
        <v>15847</v>
      </c>
      <c r="D2854" s="142" t="s">
        <v>15848</v>
      </c>
      <c r="E2854" s="142" t="s">
        <v>15849</v>
      </c>
      <c r="F2854" s="142" t="s">
        <v>730</v>
      </c>
      <c r="G2854" s="142" t="s">
        <v>729</v>
      </c>
      <c r="H2854" s="142" t="s">
        <v>18704</v>
      </c>
      <c r="I2854" s="142">
        <v>631</v>
      </c>
      <c r="J2854" s="142">
        <v>465</v>
      </c>
      <c r="K2854" s="142">
        <v>0</v>
      </c>
      <c r="L2854" s="142">
        <v>0</v>
      </c>
      <c r="M2854" s="142">
        <v>166</v>
      </c>
    </row>
    <row r="2855" spans="1:13" x14ac:dyDescent="0.45">
      <c r="A2855" s="142" t="s">
        <v>13660</v>
      </c>
      <c r="B2855" s="142" t="s">
        <v>15198</v>
      </c>
      <c r="C2855" s="142" t="s">
        <v>15860</v>
      </c>
      <c r="D2855" s="142" t="s">
        <v>15861</v>
      </c>
      <c r="E2855" s="142" t="s">
        <v>15849</v>
      </c>
      <c r="F2855" s="142" t="s">
        <v>730</v>
      </c>
      <c r="G2855" s="142" t="s">
        <v>729</v>
      </c>
      <c r="H2855" s="142" t="s">
        <v>18705</v>
      </c>
      <c r="I2855" s="142">
        <v>21</v>
      </c>
      <c r="J2855" s="142">
        <v>0</v>
      </c>
      <c r="K2855" s="142">
        <v>0</v>
      </c>
      <c r="L2855" s="142">
        <v>21</v>
      </c>
      <c r="M2855" s="142">
        <v>0</v>
      </c>
    </row>
    <row r="2856" spans="1:13" x14ac:dyDescent="0.45">
      <c r="A2856" s="142" t="s">
        <v>13157</v>
      </c>
      <c r="B2856" s="142" t="s">
        <v>15477</v>
      </c>
      <c r="C2856" s="142" t="s">
        <v>15847</v>
      </c>
      <c r="D2856" s="142" t="s">
        <v>15848</v>
      </c>
      <c r="E2856" s="142" t="s">
        <v>15849</v>
      </c>
      <c r="F2856" s="142" t="s">
        <v>730</v>
      </c>
      <c r="G2856" s="142" t="s">
        <v>729</v>
      </c>
      <c r="H2856" s="142" t="s">
        <v>18706</v>
      </c>
      <c r="I2856" s="142">
        <v>460</v>
      </c>
      <c r="J2856" s="142">
        <v>367</v>
      </c>
      <c r="K2856" s="142">
        <v>0</v>
      </c>
      <c r="L2856" s="142">
        <v>0</v>
      </c>
      <c r="M2856" s="142">
        <v>93</v>
      </c>
    </row>
    <row r="2857" spans="1:13" x14ac:dyDescent="0.45">
      <c r="A2857" s="142" t="s">
        <v>13021</v>
      </c>
      <c r="B2857" s="142" t="s">
        <v>15501</v>
      </c>
      <c r="C2857" s="142" t="s">
        <v>15847</v>
      </c>
      <c r="D2857" s="142" t="s">
        <v>15848</v>
      </c>
      <c r="E2857" s="142" t="s">
        <v>15849</v>
      </c>
      <c r="F2857" s="142" t="s">
        <v>7837</v>
      </c>
      <c r="G2857" s="142" t="s">
        <v>7836</v>
      </c>
      <c r="H2857" s="142" t="s">
        <v>18707</v>
      </c>
      <c r="I2857" s="142">
        <v>1</v>
      </c>
      <c r="J2857" s="142">
        <v>0</v>
      </c>
      <c r="K2857" s="142">
        <v>0</v>
      </c>
      <c r="L2857" s="142">
        <v>0</v>
      </c>
      <c r="M2857" s="142">
        <v>1</v>
      </c>
    </row>
    <row r="2858" spans="1:13" x14ac:dyDescent="0.45">
      <c r="A2858" s="142" t="s">
        <v>13023</v>
      </c>
      <c r="B2858" s="142" t="s">
        <v>15571</v>
      </c>
      <c r="C2858" s="142" t="s">
        <v>15847</v>
      </c>
      <c r="D2858" s="142" t="s">
        <v>15848</v>
      </c>
      <c r="E2858" s="142" t="s">
        <v>15849</v>
      </c>
      <c r="F2858" s="142" t="s">
        <v>7837</v>
      </c>
      <c r="G2858" s="142" t="s">
        <v>7836</v>
      </c>
      <c r="H2858" s="142" t="s">
        <v>18708</v>
      </c>
      <c r="I2858" s="142">
        <v>50</v>
      </c>
      <c r="J2858" s="142">
        <v>0</v>
      </c>
      <c r="K2858" s="142">
        <v>0</v>
      </c>
      <c r="L2858" s="142">
        <v>50</v>
      </c>
      <c r="M2858" s="142">
        <v>0</v>
      </c>
    </row>
    <row r="2859" spans="1:13" x14ac:dyDescent="0.45">
      <c r="A2859" s="142" t="s">
        <v>13446</v>
      </c>
      <c r="B2859" s="142" t="s">
        <v>15430</v>
      </c>
      <c r="C2859" s="142" t="s">
        <v>15847</v>
      </c>
      <c r="D2859" s="142" t="s">
        <v>15848</v>
      </c>
      <c r="E2859" s="142" t="s">
        <v>15849</v>
      </c>
      <c r="F2859" s="142" t="s">
        <v>7837</v>
      </c>
      <c r="G2859" s="142" t="s">
        <v>7836</v>
      </c>
      <c r="H2859" s="142" t="s">
        <v>18709</v>
      </c>
      <c r="I2859" s="142">
        <v>31</v>
      </c>
      <c r="J2859" s="142">
        <v>20</v>
      </c>
      <c r="K2859" s="142">
        <v>0</v>
      </c>
      <c r="L2859" s="142">
        <v>0</v>
      </c>
      <c r="M2859" s="142">
        <v>11</v>
      </c>
    </row>
    <row r="2860" spans="1:13" x14ac:dyDescent="0.45">
      <c r="A2860" s="142" t="s">
        <v>13082</v>
      </c>
      <c r="B2860" s="142" t="s">
        <v>14478</v>
      </c>
      <c r="C2860" s="142" t="s">
        <v>15860</v>
      </c>
      <c r="D2860" s="142" t="s">
        <v>15861</v>
      </c>
      <c r="E2860" s="142" t="s">
        <v>15849</v>
      </c>
      <c r="F2860" s="142" t="s">
        <v>7837</v>
      </c>
      <c r="G2860" s="142" t="s">
        <v>7836</v>
      </c>
      <c r="H2860" s="142" t="s">
        <v>18710</v>
      </c>
      <c r="I2860" s="142">
        <v>3</v>
      </c>
      <c r="J2860" s="142">
        <v>0</v>
      </c>
      <c r="K2860" s="142">
        <v>0</v>
      </c>
      <c r="L2860" s="142">
        <v>3</v>
      </c>
      <c r="M2860" s="142">
        <v>0</v>
      </c>
    </row>
    <row r="2861" spans="1:13" x14ac:dyDescent="0.45">
      <c r="A2861" s="142" t="s">
        <v>13159</v>
      </c>
      <c r="B2861" s="142" t="s">
        <v>14521</v>
      </c>
      <c r="C2861" s="142" t="s">
        <v>15860</v>
      </c>
      <c r="D2861" s="142" t="s">
        <v>15861</v>
      </c>
      <c r="E2861" s="142" t="s">
        <v>15849</v>
      </c>
      <c r="F2861" s="142" t="s">
        <v>7837</v>
      </c>
      <c r="G2861" s="142" t="s">
        <v>7836</v>
      </c>
      <c r="H2861" s="142" t="s">
        <v>18711</v>
      </c>
      <c r="I2861" s="142">
        <v>3</v>
      </c>
      <c r="J2861" s="142">
        <v>0</v>
      </c>
      <c r="K2861" s="142">
        <v>0</v>
      </c>
      <c r="L2861" s="142">
        <v>3</v>
      </c>
      <c r="M2861" s="142">
        <v>0</v>
      </c>
    </row>
    <row r="2862" spans="1:13" x14ac:dyDescent="0.45">
      <c r="A2862" s="142" t="s">
        <v>13024</v>
      </c>
      <c r="B2862" s="142" t="s">
        <v>14538</v>
      </c>
      <c r="C2862" s="142" t="s">
        <v>15847</v>
      </c>
      <c r="D2862" s="142" t="s">
        <v>15848</v>
      </c>
      <c r="E2862" s="142" t="s">
        <v>15849</v>
      </c>
      <c r="F2862" s="142" t="s">
        <v>7837</v>
      </c>
      <c r="G2862" s="142" t="s">
        <v>7836</v>
      </c>
      <c r="H2862" s="142" t="s">
        <v>18712</v>
      </c>
      <c r="I2862" s="142">
        <v>64</v>
      </c>
      <c r="J2862" s="142">
        <v>40</v>
      </c>
      <c r="K2862" s="142">
        <v>0</v>
      </c>
      <c r="L2862" s="142">
        <v>0</v>
      </c>
      <c r="M2862" s="142">
        <v>24</v>
      </c>
    </row>
    <row r="2863" spans="1:13" x14ac:dyDescent="0.45">
      <c r="A2863" s="142" t="s">
        <v>13028</v>
      </c>
      <c r="B2863" s="142" t="s">
        <v>14462</v>
      </c>
      <c r="C2863" s="142" t="s">
        <v>15847</v>
      </c>
      <c r="D2863" s="142" t="s">
        <v>15848</v>
      </c>
      <c r="E2863" s="142" t="s">
        <v>15849</v>
      </c>
      <c r="F2863" s="142" t="s">
        <v>7837</v>
      </c>
      <c r="G2863" s="142" t="s">
        <v>7836</v>
      </c>
      <c r="H2863" s="142" t="s">
        <v>18713</v>
      </c>
      <c r="I2863" s="142">
        <v>23</v>
      </c>
      <c r="J2863" s="142">
        <v>0</v>
      </c>
      <c r="K2863" s="142">
        <v>0</v>
      </c>
      <c r="L2863" s="142">
        <v>0</v>
      </c>
      <c r="M2863" s="142">
        <v>23</v>
      </c>
    </row>
    <row r="2864" spans="1:13" x14ac:dyDescent="0.45">
      <c r="A2864" s="142" t="s">
        <v>13003</v>
      </c>
      <c r="B2864" s="142" t="s">
        <v>15245</v>
      </c>
      <c r="C2864" s="142" t="s">
        <v>15847</v>
      </c>
      <c r="D2864" s="142" t="s">
        <v>15848</v>
      </c>
      <c r="E2864" s="142" t="s">
        <v>15849</v>
      </c>
      <c r="F2864" s="142" t="s">
        <v>7837</v>
      </c>
      <c r="G2864" s="142" t="s">
        <v>7836</v>
      </c>
      <c r="H2864" s="142" t="s">
        <v>18714</v>
      </c>
      <c r="I2864" s="142">
        <v>39</v>
      </c>
      <c r="J2864" s="142">
        <v>0</v>
      </c>
      <c r="K2864" s="142">
        <v>0</v>
      </c>
      <c r="L2864" s="142">
        <v>39</v>
      </c>
      <c r="M2864" s="142">
        <v>0</v>
      </c>
    </row>
    <row r="2865" spans="1:13" x14ac:dyDescent="0.45">
      <c r="A2865" s="142" t="s">
        <v>13066</v>
      </c>
      <c r="B2865" s="142" t="s">
        <v>14459</v>
      </c>
      <c r="C2865" s="142" t="s">
        <v>15847</v>
      </c>
      <c r="D2865" s="142" t="s">
        <v>15848</v>
      </c>
      <c r="E2865" s="142" t="s">
        <v>15849</v>
      </c>
      <c r="F2865" s="142" t="s">
        <v>7837</v>
      </c>
      <c r="G2865" s="142" t="s">
        <v>7836</v>
      </c>
      <c r="H2865" s="142" t="s">
        <v>18715</v>
      </c>
      <c r="I2865" s="142">
        <v>3</v>
      </c>
      <c r="J2865" s="142">
        <v>0</v>
      </c>
      <c r="K2865" s="142">
        <v>0</v>
      </c>
      <c r="L2865" s="142">
        <v>3</v>
      </c>
      <c r="M2865" s="142">
        <v>0</v>
      </c>
    </row>
    <row r="2866" spans="1:13" x14ac:dyDescent="0.45">
      <c r="A2866" s="142" t="s">
        <v>13076</v>
      </c>
      <c r="B2866" s="142" t="s">
        <v>14636</v>
      </c>
      <c r="C2866" s="142" t="s">
        <v>15847</v>
      </c>
      <c r="D2866" s="142" t="s">
        <v>15848</v>
      </c>
      <c r="E2866" s="142" t="s">
        <v>15849</v>
      </c>
      <c r="F2866" s="142" t="s">
        <v>7837</v>
      </c>
      <c r="G2866" s="142" t="s">
        <v>7836</v>
      </c>
      <c r="H2866" s="142" t="s">
        <v>18716</v>
      </c>
      <c r="I2866" s="142">
        <v>6</v>
      </c>
      <c r="J2866" s="142">
        <v>0</v>
      </c>
      <c r="K2866" s="142">
        <v>0</v>
      </c>
      <c r="L2866" s="142">
        <v>0</v>
      </c>
      <c r="M2866" s="142">
        <v>6</v>
      </c>
    </row>
    <row r="2867" spans="1:13" x14ac:dyDescent="0.45">
      <c r="A2867" s="142" t="s">
        <v>13029</v>
      </c>
      <c r="B2867" s="142" t="s">
        <v>14665</v>
      </c>
      <c r="C2867" s="142" t="s">
        <v>15847</v>
      </c>
      <c r="D2867" s="142" t="s">
        <v>15848</v>
      </c>
      <c r="E2867" s="142" t="s">
        <v>15849</v>
      </c>
      <c r="F2867" s="142" t="s">
        <v>7837</v>
      </c>
      <c r="G2867" s="142" t="s">
        <v>7836</v>
      </c>
      <c r="H2867" s="142" t="s">
        <v>18717</v>
      </c>
      <c r="I2867" s="142">
        <v>12</v>
      </c>
      <c r="J2867" s="142">
        <v>0</v>
      </c>
      <c r="K2867" s="142">
        <v>0</v>
      </c>
      <c r="L2867" s="142">
        <v>0</v>
      </c>
      <c r="M2867" s="142">
        <v>12</v>
      </c>
    </row>
    <row r="2868" spans="1:13" x14ac:dyDescent="0.45">
      <c r="A2868" s="142" t="s">
        <v>13006</v>
      </c>
      <c r="B2868" s="142" t="s">
        <v>15288</v>
      </c>
      <c r="C2868" s="142" t="s">
        <v>15847</v>
      </c>
      <c r="D2868" s="142" t="s">
        <v>15848</v>
      </c>
      <c r="E2868" s="142" t="s">
        <v>15849</v>
      </c>
      <c r="F2868" s="142" t="s">
        <v>7837</v>
      </c>
      <c r="G2868" s="142" t="s">
        <v>7836</v>
      </c>
      <c r="H2868" s="142" t="s">
        <v>18718</v>
      </c>
      <c r="I2868" s="142">
        <v>46</v>
      </c>
      <c r="J2868" s="142">
        <v>16</v>
      </c>
      <c r="K2868" s="142">
        <v>0</v>
      </c>
      <c r="L2868" s="142">
        <v>30</v>
      </c>
      <c r="M2868" s="142">
        <v>0</v>
      </c>
    </row>
    <row r="2869" spans="1:13" x14ac:dyDescent="0.45">
      <c r="A2869" s="142" t="s">
        <v>13248</v>
      </c>
      <c r="B2869" s="142" t="s">
        <v>15463</v>
      </c>
      <c r="C2869" s="142" t="s">
        <v>15847</v>
      </c>
      <c r="D2869" s="142" t="s">
        <v>15848</v>
      </c>
      <c r="E2869" s="142" t="s">
        <v>15849</v>
      </c>
      <c r="F2869" s="142" t="s">
        <v>7837</v>
      </c>
      <c r="G2869" s="142" t="s">
        <v>7836</v>
      </c>
      <c r="H2869" s="142" t="s">
        <v>18719</v>
      </c>
      <c r="I2869" s="142">
        <v>1002</v>
      </c>
      <c r="J2869" s="142">
        <v>762</v>
      </c>
      <c r="K2869" s="142">
        <v>0</v>
      </c>
      <c r="L2869" s="142">
        <v>96</v>
      </c>
      <c r="M2869" s="142">
        <v>144</v>
      </c>
    </row>
    <row r="2870" spans="1:13" x14ac:dyDescent="0.45">
      <c r="A2870" s="142" t="s">
        <v>13069</v>
      </c>
      <c r="B2870" s="142" t="s">
        <v>14630</v>
      </c>
      <c r="C2870" s="142" t="s">
        <v>15860</v>
      </c>
      <c r="D2870" s="142" t="s">
        <v>15861</v>
      </c>
      <c r="E2870" s="142" t="s">
        <v>15849</v>
      </c>
      <c r="F2870" s="142" t="s">
        <v>7837</v>
      </c>
      <c r="G2870" s="142" t="s">
        <v>7836</v>
      </c>
      <c r="H2870" s="142" t="s">
        <v>18720</v>
      </c>
      <c r="I2870" s="142">
        <v>11</v>
      </c>
      <c r="J2870" s="142">
        <v>11</v>
      </c>
      <c r="K2870" s="142">
        <v>0</v>
      </c>
      <c r="L2870" s="142">
        <v>0</v>
      </c>
      <c r="M2870" s="142">
        <v>0</v>
      </c>
    </row>
    <row r="2871" spans="1:13" x14ac:dyDescent="0.45">
      <c r="A2871" s="142" t="s">
        <v>13034</v>
      </c>
      <c r="B2871" s="142" t="s">
        <v>15562</v>
      </c>
      <c r="C2871" s="142" t="s">
        <v>15847</v>
      </c>
      <c r="D2871" s="142" t="s">
        <v>15848</v>
      </c>
      <c r="E2871" s="142" t="s">
        <v>15849</v>
      </c>
      <c r="F2871" s="142" t="s">
        <v>7837</v>
      </c>
      <c r="G2871" s="142" t="s">
        <v>7836</v>
      </c>
      <c r="H2871" s="142" t="s">
        <v>18721</v>
      </c>
      <c r="I2871" s="142">
        <v>6</v>
      </c>
      <c r="J2871" s="142">
        <v>6</v>
      </c>
      <c r="K2871" s="142">
        <v>0</v>
      </c>
      <c r="L2871" s="142">
        <v>0</v>
      </c>
      <c r="M2871" s="142">
        <v>0</v>
      </c>
    </row>
    <row r="2872" spans="1:13" x14ac:dyDescent="0.45">
      <c r="A2872" s="142" t="s">
        <v>13035</v>
      </c>
      <c r="B2872" s="142" t="s">
        <v>14648</v>
      </c>
      <c r="C2872" s="142" t="s">
        <v>15847</v>
      </c>
      <c r="D2872" s="142" t="s">
        <v>15848</v>
      </c>
      <c r="E2872" s="142" t="s">
        <v>15849</v>
      </c>
      <c r="F2872" s="142" t="s">
        <v>7837</v>
      </c>
      <c r="G2872" s="142" t="s">
        <v>7836</v>
      </c>
      <c r="H2872" s="142" t="s">
        <v>18722</v>
      </c>
      <c r="I2872" s="142">
        <v>102</v>
      </c>
      <c r="J2872" s="142">
        <v>98</v>
      </c>
      <c r="K2872" s="142">
        <v>0</v>
      </c>
      <c r="L2872" s="142">
        <v>0</v>
      </c>
      <c r="M2872" s="142">
        <v>4</v>
      </c>
    </row>
    <row r="2873" spans="1:13" x14ac:dyDescent="0.45">
      <c r="A2873" s="142" t="s">
        <v>13038</v>
      </c>
      <c r="B2873" s="142" t="s">
        <v>14646</v>
      </c>
      <c r="C2873" s="142" t="s">
        <v>15847</v>
      </c>
      <c r="D2873" s="142" t="s">
        <v>15848</v>
      </c>
      <c r="E2873" s="142" t="s">
        <v>15849</v>
      </c>
      <c r="F2873" s="142" t="s">
        <v>7837</v>
      </c>
      <c r="G2873" s="142" t="s">
        <v>7836</v>
      </c>
      <c r="H2873" s="142" t="s">
        <v>18723</v>
      </c>
      <c r="I2873" s="142">
        <v>37</v>
      </c>
      <c r="J2873" s="142">
        <v>19</v>
      </c>
      <c r="K2873" s="142">
        <v>0</v>
      </c>
      <c r="L2873" s="142">
        <v>0</v>
      </c>
      <c r="M2873" s="142">
        <v>18</v>
      </c>
    </row>
    <row r="2874" spans="1:13" x14ac:dyDescent="0.45">
      <c r="A2874" s="142" t="s">
        <v>13039</v>
      </c>
      <c r="B2874" s="142" t="s">
        <v>14647</v>
      </c>
      <c r="C2874" s="142" t="s">
        <v>15847</v>
      </c>
      <c r="D2874" s="142" t="s">
        <v>15848</v>
      </c>
      <c r="E2874" s="142" t="s">
        <v>15849</v>
      </c>
      <c r="F2874" s="142" t="s">
        <v>7837</v>
      </c>
      <c r="G2874" s="142" t="s">
        <v>7836</v>
      </c>
      <c r="H2874" s="142" t="s">
        <v>18724</v>
      </c>
      <c r="I2874" s="142">
        <v>20</v>
      </c>
      <c r="J2874" s="142">
        <v>20</v>
      </c>
      <c r="K2874" s="142">
        <v>0</v>
      </c>
      <c r="L2874" s="142">
        <v>0</v>
      </c>
      <c r="M2874" s="142">
        <v>0</v>
      </c>
    </row>
    <row r="2875" spans="1:13" x14ac:dyDescent="0.45">
      <c r="A2875" s="142" t="s">
        <v>13009</v>
      </c>
      <c r="B2875" s="142" t="s">
        <v>15256</v>
      </c>
      <c r="C2875" s="142" t="s">
        <v>15847</v>
      </c>
      <c r="D2875" s="142" t="s">
        <v>15848</v>
      </c>
      <c r="E2875" s="142" t="s">
        <v>15849</v>
      </c>
      <c r="F2875" s="142" t="s">
        <v>7837</v>
      </c>
      <c r="G2875" s="142" t="s">
        <v>7836</v>
      </c>
      <c r="H2875" s="142" t="s">
        <v>18725</v>
      </c>
      <c r="I2875" s="142">
        <v>155</v>
      </c>
      <c r="J2875" s="142">
        <v>89</v>
      </c>
      <c r="K2875" s="142">
        <v>0</v>
      </c>
      <c r="L2875" s="142">
        <v>61</v>
      </c>
      <c r="M2875" s="142">
        <v>5</v>
      </c>
    </row>
    <row r="2876" spans="1:13" x14ac:dyDescent="0.45">
      <c r="A2876" s="142" t="s">
        <v>13041</v>
      </c>
      <c r="B2876" s="142" t="s">
        <v>14441</v>
      </c>
      <c r="C2876" s="142" t="s">
        <v>15847</v>
      </c>
      <c r="D2876" s="142" t="s">
        <v>15848</v>
      </c>
      <c r="E2876" s="142" t="s">
        <v>15849</v>
      </c>
      <c r="F2876" s="142" t="s">
        <v>7837</v>
      </c>
      <c r="G2876" s="142" t="s">
        <v>7836</v>
      </c>
      <c r="H2876" s="142" t="s">
        <v>18726</v>
      </c>
      <c r="I2876" s="142">
        <v>14</v>
      </c>
      <c r="J2876" s="142">
        <v>0</v>
      </c>
      <c r="K2876" s="142">
        <v>0</v>
      </c>
      <c r="L2876" s="142">
        <v>0</v>
      </c>
      <c r="M2876" s="142">
        <v>14</v>
      </c>
    </row>
    <row r="2877" spans="1:13" x14ac:dyDescent="0.45">
      <c r="A2877" s="142" t="s">
        <v>13042</v>
      </c>
      <c r="B2877" s="142" t="s">
        <v>15489</v>
      </c>
      <c r="C2877" s="142" t="s">
        <v>15847</v>
      </c>
      <c r="D2877" s="142" t="s">
        <v>15848</v>
      </c>
      <c r="E2877" s="142" t="s">
        <v>15849</v>
      </c>
      <c r="F2877" s="142" t="s">
        <v>7837</v>
      </c>
      <c r="G2877" s="142" t="s">
        <v>7836</v>
      </c>
      <c r="H2877" s="142" t="s">
        <v>18727</v>
      </c>
      <c r="I2877" s="142">
        <v>6</v>
      </c>
      <c r="J2877" s="142">
        <v>0</v>
      </c>
      <c r="K2877" s="142">
        <v>0</v>
      </c>
      <c r="L2877" s="142">
        <v>6</v>
      </c>
      <c r="M2877" s="142">
        <v>0</v>
      </c>
    </row>
    <row r="2878" spans="1:13" x14ac:dyDescent="0.45">
      <c r="A2878" s="142" t="s">
        <v>13608</v>
      </c>
      <c r="B2878" s="142" t="s">
        <v>15437</v>
      </c>
      <c r="C2878" s="142" t="s">
        <v>15847</v>
      </c>
      <c r="D2878" s="142" t="s">
        <v>15848</v>
      </c>
      <c r="E2878" s="142" t="s">
        <v>15849</v>
      </c>
      <c r="F2878" s="142" t="s">
        <v>7837</v>
      </c>
      <c r="G2878" s="142" t="s">
        <v>7836</v>
      </c>
      <c r="H2878" s="142" t="s">
        <v>18728</v>
      </c>
      <c r="I2878" s="142">
        <v>6040</v>
      </c>
      <c r="J2878" s="142">
        <v>5658</v>
      </c>
      <c r="K2878" s="142">
        <v>0</v>
      </c>
      <c r="L2878" s="142">
        <v>167</v>
      </c>
      <c r="M2878" s="142">
        <v>215</v>
      </c>
    </row>
    <row r="2879" spans="1:13" x14ac:dyDescent="0.45">
      <c r="A2879" s="142" t="s">
        <v>13070</v>
      </c>
      <c r="B2879" s="142" t="s">
        <v>15394</v>
      </c>
      <c r="C2879" s="142" t="s">
        <v>15847</v>
      </c>
      <c r="D2879" s="142" t="s">
        <v>15848</v>
      </c>
      <c r="E2879" s="142" t="s">
        <v>15849</v>
      </c>
      <c r="F2879" s="142" t="s">
        <v>7837</v>
      </c>
      <c r="G2879" s="142" t="s">
        <v>7836</v>
      </c>
      <c r="H2879" s="142" t="s">
        <v>18729</v>
      </c>
      <c r="I2879" s="142">
        <v>35</v>
      </c>
      <c r="J2879" s="142">
        <v>35</v>
      </c>
      <c r="K2879" s="142">
        <v>0</v>
      </c>
      <c r="L2879" s="142">
        <v>0</v>
      </c>
      <c r="M2879" s="142">
        <v>0</v>
      </c>
    </row>
    <row r="2880" spans="1:13" x14ac:dyDescent="0.45">
      <c r="A2880" s="142" t="s">
        <v>13023</v>
      </c>
      <c r="B2880" s="142" t="s">
        <v>15571</v>
      </c>
      <c r="C2880" s="142" t="s">
        <v>15847</v>
      </c>
      <c r="D2880" s="142" t="s">
        <v>15848</v>
      </c>
      <c r="E2880" s="142" t="s">
        <v>15849</v>
      </c>
      <c r="F2880" s="142" t="s">
        <v>9602</v>
      </c>
      <c r="G2880" s="142" t="s">
        <v>9601</v>
      </c>
      <c r="H2880" s="142" t="s">
        <v>18730</v>
      </c>
      <c r="I2880" s="142">
        <v>122</v>
      </c>
      <c r="J2880" s="142">
        <v>0</v>
      </c>
      <c r="K2880" s="142">
        <v>0</v>
      </c>
      <c r="L2880" s="142">
        <v>122</v>
      </c>
      <c r="M2880" s="142">
        <v>0</v>
      </c>
    </row>
    <row r="2881" spans="1:13" x14ac:dyDescent="0.45">
      <c r="A2881" s="142" t="s">
        <v>13662</v>
      </c>
      <c r="B2881" s="142" t="s">
        <v>14601</v>
      </c>
      <c r="C2881" s="142" t="s">
        <v>15860</v>
      </c>
      <c r="D2881" s="142" t="s">
        <v>15861</v>
      </c>
      <c r="E2881" s="142" t="s">
        <v>15849</v>
      </c>
      <c r="F2881" s="142" t="s">
        <v>9602</v>
      </c>
      <c r="G2881" s="142" t="s">
        <v>9601</v>
      </c>
      <c r="H2881" s="142" t="s">
        <v>18731</v>
      </c>
      <c r="I2881" s="142">
        <v>6</v>
      </c>
      <c r="J2881" s="142">
        <v>6</v>
      </c>
      <c r="K2881" s="142">
        <v>0</v>
      </c>
      <c r="L2881" s="142">
        <v>0</v>
      </c>
      <c r="M2881" s="142">
        <v>0</v>
      </c>
    </row>
    <row r="2882" spans="1:13" x14ac:dyDescent="0.45">
      <c r="A2882" s="142" t="s">
        <v>13330</v>
      </c>
      <c r="B2882" s="142" t="s">
        <v>15239</v>
      </c>
      <c r="C2882" s="142" t="s">
        <v>15847</v>
      </c>
      <c r="D2882" s="142" t="s">
        <v>15848</v>
      </c>
      <c r="E2882" s="142" t="s">
        <v>15849</v>
      </c>
      <c r="F2882" s="142" t="s">
        <v>9602</v>
      </c>
      <c r="G2882" s="142" t="s">
        <v>9601</v>
      </c>
      <c r="H2882" s="142" t="s">
        <v>18732</v>
      </c>
      <c r="I2882" s="142">
        <v>393</v>
      </c>
      <c r="J2882" s="142">
        <v>312</v>
      </c>
      <c r="K2882" s="142">
        <v>0</v>
      </c>
      <c r="L2882" s="142">
        <v>81</v>
      </c>
      <c r="M2882" s="142">
        <v>0</v>
      </c>
    </row>
    <row r="2883" spans="1:13" x14ac:dyDescent="0.45">
      <c r="A2883" s="142" t="s">
        <v>13084</v>
      </c>
      <c r="B2883" s="142" t="s">
        <v>15471</v>
      </c>
      <c r="C2883" s="142" t="s">
        <v>15847</v>
      </c>
      <c r="D2883" s="142" t="s">
        <v>15848</v>
      </c>
      <c r="E2883" s="142" t="s">
        <v>15849</v>
      </c>
      <c r="F2883" s="142" t="s">
        <v>9602</v>
      </c>
      <c r="G2883" s="142" t="s">
        <v>9601</v>
      </c>
      <c r="H2883" s="142" t="s">
        <v>18733</v>
      </c>
      <c r="I2883" s="142">
        <v>207</v>
      </c>
      <c r="J2883" s="142">
        <v>146</v>
      </c>
      <c r="K2883" s="142">
        <v>0</v>
      </c>
      <c r="L2883" s="142">
        <v>0</v>
      </c>
      <c r="M2883" s="142">
        <v>61</v>
      </c>
    </row>
    <row r="2884" spans="1:13" x14ac:dyDescent="0.45">
      <c r="A2884" s="142" t="s">
        <v>13074</v>
      </c>
      <c r="B2884" s="142" t="s">
        <v>15405</v>
      </c>
      <c r="C2884" s="142" t="s">
        <v>15847</v>
      </c>
      <c r="D2884" s="142" t="s">
        <v>15848</v>
      </c>
      <c r="E2884" s="142" t="s">
        <v>15849</v>
      </c>
      <c r="F2884" s="142" t="s">
        <v>9602</v>
      </c>
      <c r="G2884" s="142" t="s">
        <v>9601</v>
      </c>
      <c r="H2884" s="142" t="s">
        <v>18734</v>
      </c>
      <c r="I2884" s="142">
        <v>24</v>
      </c>
      <c r="J2884" s="142">
        <v>13</v>
      </c>
      <c r="K2884" s="142">
        <v>0</v>
      </c>
      <c r="L2884" s="142">
        <v>0</v>
      </c>
      <c r="M2884" s="142">
        <v>11</v>
      </c>
    </row>
    <row r="2885" spans="1:13" x14ac:dyDescent="0.45">
      <c r="A2885" s="142" t="s">
        <v>13049</v>
      </c>
      <c r="B2885" s="142" t="s">
        <v>14534</v>
      </c>
      <c r="C2885" s="142" t="s">
        <v>15860</v>
      </c>
      <c r="D2885" s="142" t="s">
        <v>15861</v>
      </c>
      <c r="E2885" s="142" t="s">
        <v>15849</v>
      </c>
      <c r="F2885" s="142" t="s">
        <v>9602</v>
      </c>
      <c r="G2885" s="142" t="s">
        <v>9601</v>
      </c>
      <c r="H2885" s="142" t="s">
        <v>18735</v>
      </c>
      <c r="I2885" s="142">
        <v>5</v>
      </c>
      <c r="J2885" s="142">
        <v>0</v>
      </c>
      <c r="K2885" s="142">
        <v>0</v>
      </c>
      <c r="L2885" s="142">
        <v>5</v>
      </c>
      <c r="M2885" s="142">
        <v>0</v>
      </c>
    </row>
    <row r="2886" spans="1:13" x14ac:dyDescent="0.45">
      <c r="A2886" s="142" t="s">
        <v>13087</v>
      </c>
      <c r="B2886" s="142" t="s">
        <v>14452</v>
      </c>
      <c r="C2886" s="142" t="s">
        <v>15847</v>
      </c>
      <c r="D2886" s="142" t="s">
        <v>15848</v>
      </c>
      <c r="E2886" s="142" t="s">
        <v>15849</v>
      </c>
      <c r="F2886" s="142" t="s">
        <v>9602</v>
      </c>
      <c r="G2886" s="142" t="s">
        <v>9601</v>
      </c>
      <c r="H2886" s="142" t="s">
        <v>18736</v>
      </c>
      <c r="I2886" s="142">
        <v>6476</v>
      </c>
      <c r="J2886" s="142">
        <v>6125</v>
      </c>
      <c r="K2886" s="142">
        <v>0</v>
      </c>
      <c r="L2886" s="142">
        <v>182</v>
      </c>
      <c r="M2886" s="142">
        <v>169</v>
      </c>
    </row>
    <row r="2887" spans="1:13" x14ac:dyDescent="0.45">
      <c r="A2887" s="142" t="s">
        <v>13027</v>
      </c>
      <c r="B2887" s="142" t="s">
        <v>14562</v>
      </c>
      <c r="C2887" s="142" t="s">
        <v>15847</v>
      </c>
      <c r="D2887" s="142" t="s">
        <v>15848</v>
      </c>
      <c r="E2887" s="142" t="s">
        <v>15849</v>
      </c>
      <c r="F2887" s="142" t="s">
        <v>9602</v>
      </c>
      <c r="G2887" s="142" t="s">
        <v>9601</v>
      </c>
      <c r="H2887" s="142" t="s">
        <v>18737</v>
      </c>
      <c r="I2887" s="142">
        <v>3</v>
      </c>
      <c r="J2887" s="142">
        <v>0</v>
      </c>
      <c r="K2887" s="142">
        <v>0</v>
      </c>
      <c r="L2887" s="142">
        <v>3</v>
      </c>
      <c r="M2887" s="142">
        <v>0</v>
      </c>
    </row>
    <row r="2888" spans="1:13" x14ac:dyDescent="0.45">
      <c r="A2888" s="142" t="s">
        <v>13050</v>
      </c>
      <c r="B2888" s="142" t="s">
        <v>15237</v>
      </c>
      <c r="C2888" s="142" t="s">
        <v>15847</v>
      </c>
      <c r="D2888" s="142" t="s">
        <v>15848</v>
      </c>
      <c r="E2888" s="142" t="s">
        <v>15849</v>
      </c>
      <c r="F2888" s="142" t="s">
        <v>9602</v>
      </c>
      <c r="G2888" s="142" t="s">
        <v>9601</v>
      </c>
      <c r="H2888" s="142" t="s">
        <v>18738</v>
      </c>
      <c r="I2888" s="142">
        <v>144</v>
      </c>
      <c r="J2888" s="142">
        <v>98</v>
      </c>
      <c r="K2888" s="142">
        <v>0</v>
      </c>
      <c r="L2888" s="142">
        <v>0</v>
      </c>
      <c r="M2888" s="142">
        <v>46</v>
      </c>
    </row>
    <row r="2889" spans="1:13" x14ac:dyDescent="0.45">
      <c r="A2889" s="142" t="s">
        <v>13002</v>
      </c>
      <c r="B2889" s="142" t="s">
        <v>15376</v>
      </c>
      <c r="C2889" s="142" t="s">
        <v>15847</v>
      </c>
      <c r="D2889" s="142" t="s">
        <v>15848</v>
      </c>
      <c r="E2889" s="142" t="s">
        <v>15849</v>
      </c>
      <c r="F2889" s="142" t="s">
        <v>9602</v>
      </c>
      <c r="G2889" s="142" t="s">
        <v>9601</v>
      </c>
      <c r="H2889" s="142" t="s">
        <v>18739</v>
      </c>
      <c r="I2889" s="142">
        <v>25</v>
      </c>
      <c r="J2889" s="142">
        <v>0</v>
      </c>
      <c r="K2889" s="142">
        <v>0</v>
      </c>
      <c r="L2889" s="142">
        <v>25</v>
      </c>
      <c r="M2889" s="142">
        <v>0</v>
      </c>
    </row>
    <row r="2890" spans="1:13" x14ac:dyDescent="0.45">
      <c r="A2890" s="142" t="s">
        <v>13003</v>
      </c>
      <c r="B2890" s="142" t="s">
        <v>15245</v>
      </c>
      <c r="C2890" s="142" t="s">
        <v>15847</v>
      </c>
      <c r="D2890" s="142" t="s">
        <v>15848</v>
      </c>
      <c r="E2890" s="142" t="s">
        <v>15849</v>
      </c>
      <c r="F2890" s="142" t="s">
        <v>9602</v>
      </c>
      <c r="G2890" s="142" t="s">
        <v>9601</v>
      </c>
      <c r="H2890" s="142" t="s">
        <v>18740</v>
      </c>
      <c r="I2890" s="142">
        <v>257</v>
      </c>
      <c r="J2890" s="142">
        <v>3</v>
      </c>
      <c r="K2890" s="142">
        <v>0</v>
      </c>
      <c r="L2890" s="142">
        <v>254</v>
      </c>
      <c r="M2890" s="142">
        <v>0</v>
      </c>
    </row>
    <row r="2891" spans="1:13" x14ac:dyDescent="0.45">
      <c r="A2891" s="142" t="s">
        <v>13663</v>
      </c>
      <c r="B2891" s="142" t="s">
        <v>14637</v>
      </c>
      <c r="C2891" s="142" t="s">
        <v>15860</v>
      </c>
      <c r="D2891" s="142" t="s">
        <v>15861</v>
      </c>
      <c r="E2891" s="142" t="s">
        <v>15849</v>
      </c>
      <c r="F2891" s="142" t="s">
        <v>9602</v>
      </c>
      <c r="G2891" s="142" t="s">
        <v>9601</v>
      </c>
      <c r="H2891" s="142" t="s">
        <v>18741</v>
      </c>
      <c r="I2891" s="142">
        <v>3</v>
      </c>
      <c r="J2891" s="142">
        <v>3</v>
      </c>
      <c r="K2891" s="142">
        <v>0</v>
      </c>
      <c r="L2891" s="142">
        <v>0</v>
      </c>
      <c r="M2891" s="142">
        <v>0</v>
      </c>
    </row>
    <row r="2892" spans="1:13" x14ac:dyDescent="0.45">
      <c r="A2892" s="142" t="s">
        <v>13217</v>
      </c>
      <c r="B2892" s="142" t="s">
        <v>14578</v>
      </c>
      <c r="C2892" s="142" t="s">
        <v>15860</v>
      </c>
      <c r="D2892" s="142" t="s">
        <v>15861</v>
      </c>
      <c r="E2892" s="142" t="s">
        <v>15849</v>
      </c>
      <c r="F2892" s="142" t="s">
        <v>9602</v>
      </c>
      <c r="G2892" s="142" t="s">
        <v>9601</v>
      </c>
      <c r="H2892" s="142" t="s">
        <v>18742</v>
      </c>
      <c r="I2892" s="142">
        <v>12</v>
      </c>
      <c r="J2892" s="142">
        <v>12</v>
      </c>
      <c r="K2892" s="142">
        <v>0</v>
      </c>
      <c r="L2892" s="142">
        <v>0</v>
      </c>
      <c r="M2892" s="142">
        <v>0</v>
      </c>
    </row>
    <row r="2893" spans="1:13" x14ac:dyDescent="0.45">
      <c r="A2893" s="142" t="s">
        <v>13008</v>
      </c>
      <c r="B2893" s="142" t="s">
        <v>15411</v>
      </c>
      <c r="C2893" s="142" t="s">
        <v>15847</v>
      </c>
      <c r="D2893" s="142" t="s">
        <v>15848</v>
      </c>
      <c r="E2893" s="142" t="s">
        <v>15849</v>
      </c>
      <c r="F2893" s="142" t="s">
        <v>9602</v>
      </c>
      <c r="G2893" s="142" t="s">
        <v>9601</v>
      </c>
      <c r="H2893" s="142" t="s">
        <v>18743</v>
      </c>
      <c r="I2893" s="142">
        <v>31</v>
      </c>
      <c r="J2893" s="142">
        <v>0</v>
      </c>
      <c r="K2893" s="142">
        <v>0</v>
      </c>
      <c r="L2893" s="142">
        <v>0</v>
      </c>
      <c r="M2893" s="142">
        <v>31</v>
      </c>
    </row>
    <row r="2894" spans="1:13" x14ac:dyDescent="0.45">
      <c r="A2894" s="142" t="s">
        <v>13077</v>
      </c>
      <c r="B2894" s="142" t="s">
        <v>15407</v>
      </c>
      <c r="C2894" s="142" t="s">
        <v>15847</v>
      </c>
      <c r="D2894" s="142" t="s">
        <v>15848</v>
      </c>
      <c r="E2894" s="142" t="s">
        <v>15849</v>
      </c>
      <c r="F2894" s="142" t="s">
        <v>9602</v>
      </c>
      <c r="G2894" s="142" t="s">
        <v>9601</v>
      </c>
      <c r="H2894" s="142" t="s">
        <v>18744</v>
      </c>
      <c r="I2894" s="142">
        <v>461</v>
      </c>
      <c r="J2894" s="142">
        <v>384</v>
      </c>
      <c r="K2894" s="142">
        <v>0</v>
      </c>
      <c r="L2894" s="142">
        <v>77</v>
      </c>
      <c r="M2894" s="142">
        <v>0</v>
      </c>
    </row>
    <row r="2895" spans="1:13" x14ac:dyDescent="0.45">
      <c r="A2895" s="142" t="s">
        <v>13089</v>
      </c>
      <c r="B2895" s="142" t="s">
        <v>15240</v>
      </c>
      <c r="C2895" s="142" t="s">
        <v>15847</v>
      </c>
      <c r="D2895" s="142" t="s">
        <v>15848</v>
      </c>
      <c r="E2895" s="142" t="s">
        <v>15849</v>
      </c>
      <c r="F2895" s="142" t="s">
        <v>9602</v>
      </c>
      <c r="G2895" s="142" t="s">
        <v>9601</v>
      </c>
      <c r="H2895" s="142" t="s">
        <v>18745</v>
      </c>
      <c r="I2895" s="142">
        <v>1480</v>
      </c>
      <c r="J2895" s="142">
        <v>1000</v>
      </c>
      <c r="K2895" s="142">
        <v>0</v>
      </c>
      <c r="L2895" s="142">
        <v>406</v>
      </c>
      <c r="M2895" s="142">
        <v>74</v>
      </c>
    </row>
    <row r="2896" spans="1:13" x14ac:dyDescent="0.45">
      <c r="A2896" s="142" t="s">
        <v>13069</v>
      </c>
      <c r="B2896" s="142" t="s">
        <v>14630</v>
      </c>
      <c r="C2896" s="142" t="s">
        <v>15860</v>
      </c>
      <c r="D2896" s="142" t="s">
        <v>15861</v>
      </c>
      <c r="E2896" s="142" t="s">
        <v>15849</v>
      </c>
      <c r="F2896" s="142" t="s">
        <v>9602</v>
      </c>
      <c r="G2896" s="142" t="s">
        <v>9601</v>
      </c>
      <c r="H2896" s="142" t="s">
        <v>18746</v>
      </c>
      <c r="I2896" s="142">
        <v>6</v>
      </c>
      <c r="J2896" s="142">
        <v>6</v>
      </c>
      <c r="K2896" s="142">
        <v>0</v>
      </c>
      <c r="L2896" s="142">
        <v>0</v>
      </c>
      <c r="M2896" s="142">
        <v>0</v>
      </c>
    </row>
    <row r="2897" spans="1:13" x14ac:dyDescent="0.45">
      <c r="A2897" s="142" t="s">
        <v>13664</v>
      </c>
      <c r="B2897" s="142" t="s">
        <v>14635</v>
      </c>
      <c r="C2897" s="142" t="s">
        <v>15860</v>
      </c>
      <c r="D2897" s="142" t="s">
        <v>15861</v>
      </c>
      <c r="E2897" s="142" t="s">
        <v>15849</v>
      </c>
      <c r="F2897" s="142" t="s">
        <v>9602</v>
      </c>
      <c r="G2897" s="142" t="s">
        <v>9601</v>
      </c>
      <c r="H2897" s="142" t="s">
        <v>18747</v>
      </c>
      <c r="I2897" s="142">
        <v>9</v>
      </c>
      <c r="J2897" s="142">
        <v>9</v>
      </c>
      <c r="K2897" s="142">
        <v>0</v>
      </c>
      <c r="L2897" s="142">
        <v>0</v>
      </c>
      <c r="M2897" s="142">
        <v>0</v>
      </c>
    </row>
    <row r="2898" spans="1:13" x14ac:dyDescent="0.45">
      <c r="A2898" s="142" t="s">
        <v>13033</v>
      </c>
      <c r="B2898" s="142" t="s">
        <v>15276</v>
      </c>
      <c r="C2898" s="142" t="s">
        <v>15847</v>
      </c>
      <c r="D2898" s="142" t="s">
        <v>15848</v>
      </c>
      <c r="E2898" s="142" t="s">
        <v>15849</v>
      </c>
      <c r="F2898" s="142" t="s">
        <v>9602</v>
      </c>
      <c r="G2898" s="142" t="s">
        <v>9601</v>
      </c>
      <c r="H2898" s="142" t="s">
        <v>18748</v>
      </c>
      <c r="I2898" s="142">
        <v>161</v>
      </c>
      <c r="J2898" s="142">
        <v>161</v>
      </c>
      <c r="K2898" s="142">
        <v>0</v>
      </c>
      <c r="L2898" s="142">
        <v>0</v>
      </c>
      <c r="M2898" s="142">
        <v>0</v>
      </c>
    </row>
    <row r="2899" spans="1:13" x14ac:dyDescent="0.45">
      <c r="A2899" s="142" t="s">
        <v>13034</v>
      </c>
      <c r="B2899" s="142" t="s">
        <v>15562</v>
      </c>
      <c r="C2899" s="142" t="s">
        <v>15847</v>
      </c>
      <c r="D2899" s="142" t="s">
        <v>15848</v>
      </c>
      <c r="E2899" s="142" t="s">
        <v>15849</v>
      </c>
      <c r="F2899" s="142" t="s">
        <v>9602</v>
      </c>
      <c r="G2899" s="142" t="s">
        <v>9601</v>
      </c>
      <c r="H2899" s="142" t="s">
        <v>18749</v>
      </c>
      <c r="I2899" s="142">
        <v>143</v>
      </c>
      <c r="J2899" s="142">
        <v>143</v>
      </c>
      <c r="K2899" s="142">
        <v>0</v>
      </c>
      <c r="L2899" s="142">
        <v>0</v>
      </c>
      <c r="M2899" s="142">
        <v>0</v>
      </c>
    </row>
    <row r="2900" spans="1:13" x14ac:dyDescent="0.45">
      <c r="A2900" s="142" t="s">
        <v>13036</v>
      </c>
      <c r="B2900" s="142" t="s">
        <v>15567</v>
      </c>
      <c r="C2900" s="142" t="s">
        <v>15847</v>
      </c>
      <c r="D2900" s="142" t="s">
        <v>15848</v>
      </c>
      <c r="E2900" s="142" t="s">
        <v>15849</v>
      </c>
      <c r="F2900" s="142" t="s">
        <v>9602</v>
      </c>
      <c r="G2900" s="142" t="s">
        <v>9601</v>
      </c>
      <c r="H2900" s="142" t="s">
        <v>18750</v>
      </c>
      <c r="I2900" s="142">
        <v>2</v>
      </c>
      <c r="J2900" s="142">
        <v>0</v>
      </c>
      <c r="K2900" s="142">
        <v>0</v>
      </c>
      <c r="L2900" s="142">
        <v>2</v>
      </c>
      <c r="M2900" s="142">
        <v>0</v>
      </c>
    </row>
    <row r="2901" spans="1:13" x14ac:dyDescent="0.45">
      <c r="A2901" s="142" t="s">
        <v>13090</v>
      </c>
      <c r="B2901" s="142" t="s">
        <v>15600</v>
      </c>
      <c r="C2901" s="142" t="s">
        <v>15847</v>
      </c>
      <c r="D2901" s="142" t="s">
        <v>15848</v>
      </c>
      <c r="E2901" s="142" t="s">
        <v>15849</v>
      </c>
      <c r="F2901" s="142" t="s">
        <v>9602</v>
      </c>
      <c r="G2901" s="142" t="s">
        <v>9601</v>
      </c>
      <c r="H2901" s="142" t="s">
        <v>18751</v>
      </c>
      <c r="I2901" s="142">
        <v>480</v>
      </c>
      <c r="J2901" s="142">
        <v>435</v>
      </c>
      <c r="K2901" s="142">
        <v>0</v>
      </c>
      <c r="L2901" s="142">
        <v>9</v>
      </c>
      <c r="M2901" s="142">
        <v>36</v>
      </c>
    </row>
    <row r="2902" spans="1:13" x14ac:dyDescent="0.45">
      <c r="A2902" s="142" t="s">
        <v>13038</v>
      </c>
      <c r="B2902" s="142" t="s">
        <v>14646</v>
      </c>
      <c r="C2902" s="142" t="s">
        <v>15847</v>
      </c>
      <c r="D2902" s="142" t="s">
        <v>15848</v>
      </c>
      <c r="E2902" s="142" t="s">
        <v>15849</v>
      </c>
      <c r="F2902" s="142" t="s">
        <v>9602</v>
      </c>
      <c r="G2902" s="142" t="s">
        <v>9601</v>
      </c>
      <c r="H2902" s="142" t="s">
        <v>18752</v>
      </c>
      <c r="I2902" s="142">
        <v>36</v>
      </c>
      <c r="J2902" s="142">
        <v>16</v>
      </c>
      <c r="K2902" s="142">
        <v>0</v>
      </c>
      <c r="L2902" s="142">
        <v>0</v>
      </c>
      <c r="M2902" s="142">
        <v>20</v>
      </c>
    </row>
    <row r="2903" spans="1:13" x14ac:dyDescent="0.45">
      <c r="A2903" s="142" t="s">
        <v>13039</v>
      </c>
      <c r="B2903" s="142" t="s">
        <v>14647</v>
      </c>
      <c r="C2903" s="142" t="s">
        <v>15847</v>
      </c>
      <c r="D2903" s="142" t="s">
        <v>15848</v>
      </c>
      <c r="E2903" s="142" t="s">
        <v>15849</v>
      </c>
      <c r="F2903" s="142" t="s">
        <v>9602</v>
      </c>
      <c r="G2903" s="142" t="s">
        <v>9601</v>
      </c>
      <c r="H2903" s="142" t="s">
        <v>18753</v>
      </c>
      <c r="I2903" s="142">
        <v>72</v>
      </c>
      <c r="J2903" s="142">
        <v>72</v>
      </c>
      <c r="K2903" s="142">
        <v>0</v>
      </c>
      <c r="L2903" s="142">
        <v>0</v>
      </c>
      <c r="M2903" s="142">
        <v>0</v>
      </c>
    </row>
    <row r="2904" spans="1:13" x14ac:dyDescent="0.45">
      <c r="A2904" s="142" t="s">
        <v>13091</v>
      </c>
      <c r="B2904" s="142" t="s">
        <v>14473</v>
      </c>
      <c r="C2904" s="142" t="s">
        <v>15847</v>
      </c>
      <c r="D2904" s="142" t="s">
        <v>15848</v>
      </c>
      <c r="E2904" s="142" t="s">
        <v>15849</v>
      </c>
      <c r="F2904" s="142" t="s">
        <v>9602</v>
      </c>
      <c r="G2904" s="142" t="s">
        <v>9601</v>
      </c>
      <c r="H2904" s="142" t="s">
        <v>18754</v>
      </c>
      <c r="I2904" s="142">
        <v>66</v>
      </c>
      <c r="J2904" s="142">
        <v>0</v>
      </c>
      <c r="K2904" s="142">
        <v>0</v>
      </c>
      <c r="L2904" s="142">
        <v>66</v>
      </c>
      <c r="M2904" s="142">
        <v>0</v>
      </c>
    </row>
    <row r="2905" spans="1:13" x14ac:dyDescent="0.45">
      <c r="A2905" s="142" t="s">
        <v>13009</v>
      </c>
      <c r="B2905" s="142" t="s">
        <v>15256</v>
      </c>
      <c r="C2905" s="142" t="s">
        <v>15847</v>
      </c>
      <c r="D2905" s="142" t="s">
        <v>15848</v>
      </c>
      <c r="E2905" s="142" t="s">
        <v>15849</v>
      </c>
      <c r="F2905" s="142" t="s">
        <v>9602</v>
      </c>
      <c r="G2905" s="142" t="s">
        <v>9601</v>
      </c>
      <c r="H2905" s="142" t="s">
        <v>18755</v>
      </c>
      <c r="I2905" s="142">
        <v>140</v>
      </c>
      <c r="J2905" s="142">
        <v>116</v>
      </c>
      <c r="K2905" s="142">
        <v>0</v>
      </c>
      <c r="L2905" s="142">
        <v>19</v>
      </c>
      <c r="M2905" s="142">
        <v>5</v>
      </c>
    </row>
    <row r="2906" spans="1:13" x14ac:dyDescent="0.45">
      <c r="A2906" s="142" t="s">
        <v>13093</v>
      </c>
      <c r="B2906" s="142" t="s">
        <v>14483</v>
      </c>
      <c r="C2906" s="142" t="s">
        <v>15860</v>
      </c>
      <c r="D2906" s="142" t="s">
        <v>15861</v>
      </c>
      <c r="E2906" s="142" t="s">
        <v>15849</v>
      </c>
      <c r="F2906" s="142" t="s">
        <v>9602</v>
      </c>
      <c r="G2906" s="142" t="s">
        <v>9601</v>
      </c>
      <c r="H2906" s="142" t="s">
        <v>18756</v>
      </c>
      <c r="I2906" s="142">
        <v>29</v>
      </c>
      <c r="J2906" s="142">
        <v>0</v>
      </c>
      <c r="K2906" s="142">
        <v>0</v>
      </c>
      <c r="L2906" s="142">
        <v>29</v>
      </c>
      <c r="M2906" s="142">
        <v>0</v>
      </c>
    </row>
    <row r="2907" spans="1:13" x14ac:dyDescent="0.45">
      <c r="A2907" s="142" t="s">
        <v>13095</v>
      </c>
      <c r="B2907" s="142" t="s">
        <v>15592</v>
      </c>
      <c r="C2907" s="142" t="s">
        <v>15847</v>
      </c>
      <c r="D2907" s="142" t="s">
        <v>15848</v>
      </c>
      <c r="E2907" s="142" t="s">
        <v>15849</v>
      </c>
      <c r="F2907" s="142" t="s">
        <v>9602</v>
      </c>
      <c r="G2907" s="142" t="s">
        <v>9601</v>
      </c>
      <c r="H2907" s="142" t="s">
        <v>18757</v>
      </c>
      <c r="I2907" s="142">
        <v>152</v>
      </c>
      <c r="J2907" s="142">
        <v>128</v>
      </c>
      <c r="K2907" s="142">
        <v>0</v>
      </c>
      <c r="L2907" s="142">
        <v>0</v>
      </c>
      <c r="M2907" s="142">
        <v>24</v>
      </c>
    </row>
    <row r="2908" spans="1:13" x14ac:dyDescent="0.45">
      <c r="A2908" s="142" t="s">
        <v>13665</v>
      </c>
      <c r="B2908" s="142" t="s">
        <v>14760</v>
      </c>
      <c r="C2908" s="142" t="s">
        <v>15860</v>
      </c>
      <c r="D2908" s="142" t="s">
        <v>15861</v>
      </c>
      <c r="E2908" s="142" t="s">
        <v>15849</v>
      </c>
      <c r="F2908" s="142" t="s">
        <v>9602</v>
      </c>
      <c r="G2908" s="142" t="s">
        <v>9601</v>
      </c>
      <c r="H2908" s="142" t="s">
        <v>18758</v>
      </c>
      <c r="I2908" s="142">
        <v>67</v>
      </c>
      <c r="J2908" s="142">
        <v>0</v>
      </c>
      <c r="K2908" s="142">
        <v>0</v>
      </c>
      <c r="L2908" s="142">
        <v>67</v>
      </c>
      <c r="M2908" s="142">
        <v>0</v>
      </c>
    </row>
    <row r="2909" spans="1:13" x14ac:dyDescent="0.45">
      <c r="A2909" s="142" t="s">
        <v>13525</v>
      </c>
      <c r="B2909" s="142" t="s">
        <v>14827</v>
      </c>
      <c r="C2909" s="142" t="s">
        <v>15860</v>
      </c>
      <c r="D2909" s="142" t="s">
        <v>15861</v>
      </c>
      <c r="E2909" s="142" t="s">
        <v>15849</v>
      </c>
      <c r="F2909" s="142" t="s">
        <v>9602</v>
      </c>
      <c r="G2909" s="142" t="s">
        <v>9601</v>
      </c>
      <c r="H2909" s="142" t="s">
        <v>18759</v>
      </c>
      <c r="I2909" s="142">
        <v>43</v>
      </c>
      <c r="J2909" s="142">
        <v>0</v>
      </c>
      <c r="K2909" s="142">
        <v>0</v>
      </c>
      <c r="L2909" s="142">
        <v>43</v>
      </c>
      <c r="M2909" s="142">
        <v>0</v>
      </c>
    </row>
    <row r="2910" spans="1:13" x14ac:dyDescent="0.45">
      <c r="A2910" s="142" t="s">
        <v>13165</v>
      </c>
      <c r="B2910" s="142" t="s">
        <v>15525</v>
      </c>
      <c r="C2910" s="142" t="s">
        <v>15860</v>
      </c>
      <c r="D2910" s="142" t="s">
        <v>15861</v>
      </c>
      <c r="E2910" s="142" t="s">
        <v>15849</v>
      </c>
      <c r="F2910" s="142" t="s">
        <v>9602</v>
      </c>
      <c r="G2910" s="142" t="s">
        <v>9601</v>
      </c>
      <c r="H2910" s="142" t="s">
        <v>18760</v>
      </c>
      <c r="I2910" s="142">
        <v>2</v>
      </c>
      <c r="J2910" s="142">
        <v>0</v>
      </c>
      <c r="K2910" s="142">
        <v>0</v>
      </c>
      <c r="L2910" s="142">
        <v>2</v>
      </c>
      <c r="M2910" s="142">
        <v>0</v>
      </c>
    </row>
    <row r="2911" spans="1:13" x14ac:dyDescent="0.45">
      <c r="A2911" s="142" t="s">
        <v>13666</v>
      </c>
      <c r="B2911" s="142" t="s">
        <v>14818</v>
      </c>
      <c r="C2911" s="142" t="s">
        <v>15860</v>
      </c>
      <c r="D2911" s="142" t="s">
        <v>15861</v>
      </c>
      <c r="E2911" s="142" t="s">
        <v>15849</v>
      </c>
      <c r="F2911" s="142" t="s">
        <v>9602</v>
      </c>
      <c r="G2911" s="142" t="s">
        <v>9601</v>
      </c>
      <c r="H2911" s="142" t="s">
        <v>18761</v>
      </c>
      <c r="I2911" s="142">
        <v>15</v>
      </c>
      <c r="J2911" s="142">
        <v>0</v>
      </c>
      <c r="K2911" s="142">
        <v>0</v>
      </c>
      <c r="L2911" s="142">
        <v>15</v>
      </c>
      <c r="M2911" s="142">
        <v>0</v>
      </c>
    </row>
    <row r="2912" spans="1:13" x14ac:dyDescent="0.45">
      <c r="A2912" s="142" t="s">
        <v>13332</v>
      </c>
      <c r="B2912" s="142" t="s">
        <v>14612</v>
      </c>
      <c r="C2912" s="142" t="s">
        <v>15860</v>
      </c>
      <c r="D2912" s="142" t="s">
        <v>15861</v>
      </c>
      <c r="E2912" s="142" t="s">
        <v>15849</v>
      </c>
      <c r="F2912" s="142" t="s">
        <v>9602</v>
      </c>
      <c r="G2912" s="142" t="s">
        <v>9601</v>
      </c>
      <c r="H2912" s="142" t="s">
        <v>18762</v>
      </c>
      <c r="I2912" s="142">
        <v>13</v>
      </c>
      <c r="J2912" s="142">
        <v>13</v>
      </c>
      <c r="K2912" s="142">
        <v>0</v>
      </c>
      <c r="L2912" s="142">
        <v>0</v>
      </c>
      <c r="M2912" s="142">
        <v>0</v>
      </c>
    </row>
    <row r="2913" spans="1:13" x14ac:dyDescent="0.45">
      <c r="A2913" s="142" t="s">
        <v>13110</v>
      </c>
      <c r="B2913" s="142" t="s">
        <v>15502</v>
      </c>
      <c r="C2913" s="142" t="s">
        <v>15847</v>
      </c>
      <c r="D2913" s="142" t="s">
        <v>15848</v>
      </c>
      <c r="E2913" s="142" t="s">
        <v>15849</v>
      </c>
      <c r="F2913" s="142" t="s">
        <v>3795</v>
      </c>
      <c r="G2913" s="142" t="s">
        <v>3794</v>
      </c>
      <c r="H2913" s="142" t="s">
        <v>18763</v>
      </c>
      <c r="I2913" s="142">
        <v>9</v>
      </c>
      <c r="J2913" s="142">
        <v>0</v>
      </c>
      <c r="K2913" s="142">
        <v>0</v>
      </c>
      <c r="L2913" s="142">
        <v>9</v>
      </c>
      <c r="M2913" s="142">
        <v>0</v>
      </c>
    </row>
    <row r="2914" spans="1:13" x14ac:dyDescent="0.45">
      <c r="A2914" s="142" t="s">
        <v>13353</v>
      </c>
      <c r="B2914" s="142" t="s">
        <v>15145</v>
      </c>
      <c r="C2914" s="142" t="s">
        <v>15860</v>
      </c>
      <c r="D2914" s="142" t="s">
        <v>15861</v>
      </c>
      <c r="E2914" s="142" t="s">
        <v>15849</v>
      </c>
      <c r="F2914" s="142" t="s">
        <v>3795</v>
      </c>
      <c r="G2914" s="142" t="s">
        <v>3794</v>
      </c>
      <c r="H2914" s="142" t="s">
        <v>18764</v>
      </c>
      <c r="I2914" s="142">
        <v>17</v>
      </c>
      <c r="J2914" s="142">
        <v>1</v>
      </c>
      <c r="K2914" s="142">
        <v>0</v>
      </c>
      <c r="L2914" s="142">
        <v>16</v>
      </c>
      <c r="M2914" s="142">
        <v>0</v>
      </c>
    </row>
    <row r="2915" spans="1:13" x14ac:dyDescent="0.45">
      <c r="A2915" s="142" t="s">
        <v>13023</v>
      </c>
      <c r="B2915" s="142" t="s">
        <v>15571</v>
      </c>
      <c r="C2915" s="142" t="s">
        <v>15847</v>
      </c>
      <c r="D2915" s="142" t="s">
        <v>15848</v>
      </c>
      <c r="E2915" s="142" t="s">
        <v>15849</v>
      </c>
      <c r="F2915" s="142" t="s">
        <v>3795</v>
      </c>
      <c r="G2915" s="142" t="s">
        <v>3794</v>
      </c>
      <c r="H2915" s="142" t="s">
        <v>18765</v>
      </c>
      <c r="I2915" s="142">
        <v>182</v>
      </c>
      <c r="J2915" s="142">
        <v>0</v>
      </c>
      <c r="K2915" s="142">
        <v>0</v>
      </c>
      <c r="L2915" s="142">
        <v>182</v>
      </c>
      <c r="M2915" s="142">
        <v>0</v>
      </c>
    </row>
    <row r="2916" spans="1:13" x14ac:dyDescent="0.45">
      <c r="A2916" s="142" t="s">
        <v>13113</v>
      </c>
      <c r="B2916" s="142" t="s">
        <v>14503</v>
      </c>
      <c r="C2916" s="142" t="s">
        <v>15860</v>
      </c>
      <c r="D2916" s="142" t="s">
        <v>15861</v>
      </c>
      <c r="E2916" s="142" t="s">
        <v>15849</v>
      </c>
      <c r="F2916" s="142" t="s">
        <v>3795</v>
      </c>
      <c r="G2916" s="142" t="s">
        <v>3794</v>
      </c>
      <c r="H2916" s="142" t="s">
        <v>18766</v>
      </c>
      <c r="I2916" s="142">
        <v>1</v>
      </c>
      <c r="J2916" s="142">
        <v>1</v>
      </c>
      <c r="K2916" s="142">
        <v>0</v>
      </c>
      <c r="L2916" s="142">
        <v>0</v>
      </c>
      <c r="M2916" s="142">
        <v>0</v>
      </c>
    </row>
    <row r="2917" spans="1:13" x14ac:dyDescent="0.45">
      <c r="A2917" s="142" t="s">
        <v>13065</v>
      </c>
      <c r="B2917" s="142" t="s">
        <v>14497</v>
      </c>
      <c r="C2917" s="142" t="s">
        <v>15847</v>
      </c>
      <c r="D2917" s="142" t="s">
        <v>15848</v>
      </c>
      <c r="E2917" s="142" t="s">
        <v>15849</v>
      </c>
      <c r="F2917" s="142" t="s">
        <v>3795</v>
      </c>
      <c r="G2917" s="142" t="s">
        <v>3794</v>
      </c>
      <c r="H2917" s="142" t="s">
        <v>18767</v>
      </c>
      <c r="I2917" s="142">
        <v>10</v>
      </c>
      <c r="J2917" s="142">
        <v>0</v>
      </c>
      <c r="K2917" s="142">
        <v>0</v>
      </c>
      <c r="L2917" s="142">
        <v>10</v>
      </c>
      <c r="M2917" s="142">
        <v>0</v>
      </c>
    </row>
    <row r="2918" spans="1:13" x14ac:dyDescent="0.45">
      <c r="A2918" s="142" t="s">
        <v>13000</v>
      </c>
      <c r="B2918" s="142" t="s">
        <v>14610</v>
      </c>
      <c r="C2918" s="142" t="s">
        <v>15847</v>
      </c>
      <c r="D2918" s="142" t="s">
        <v>15848</v>
      </c>
      <c r="E2918" s="142" t="s">
        <v>15849</v>
      </c>
      <c r="F2918" s="142" t="s">
        <v>3795</v>
      </c>
      <c r="G2918" s="142" t="s">
        <v>3794</v>
      </c>
      <c r="H2918" s="142" t="s">
        <v>18768</v>
      </c>
      <c r="I2918" s="142">
        <v>55</v>
      </c>
      <c r="J2918" s="142">
        <v>42</v>
      </c>
      <c r="K2918" s="142">
        <v>0</v>
      </c>
      <c r="L2918" s="142">
        <v>0</v>
      </c>
      <c r="M2918" s="142">
        <v>13</v>
      </c>
    </row>
    <row r="2919" spans="1:13" x14ac:dyDescent="0.45">
      <c r="A2919" s="142" t="s">
        <v>13168</v>
      </c>
      <c r="B2919" s="142" t="s">
        <v>14486</v>
      </c>
      <c r="C2919" s="142" t="s">
        <v>15860</v>
      </c>
      <c r="D2919" s="142" t="s">
        <v>15861</v>
      </c>
      <c r="E2919" s="142" t="s">
        <v>15849</v>
      </c>
      <c r="F2919" s="142" t="s">
        <v>3795</v>
      </c>
      <c r="G2919" s="142" t="s">
        <v>3794</v>
      </c>
      <c r="H2919" s="142" t="s">
        <v>18769</v>
      </c>
      <c r="I2919" s="142">
        <v>11</v>
      </c>
      <c r="J2919" s="142">
        <v>0</v>
      </c>
      <c r="K2919" s="142">
        <v>0</v>
      </c>
      <c r="L2919" s="142">
        <v>11</v>
      </c>
      <c r="M2919" s="142">
        <v>0</v>
      </c>
    </row>
    <row r="2920" spans="1:13" x14ac:dyDescent="0.45">
      <c r="A2920" s="142" t="s">
        <v>13050</v>
      </c>
      <c r="B2920" s="142" t="s">
        <v>15237</v>
      </c>
      <c r="C2920" s="142" t="s">
        <v>15847</v>
      </c>
      <c r="D2920" s="142" t="s">
        <v>15848</v>
      </c>
      <c r="E2920" s="142" t="s">
        <v>15849</v>
      </c>
      <c r="F2920" s="142" t="s">
        <v>3795</v>
      </c>
      <c r="G2920" s="142" t="s">
        <v>3794</v>
      </c>
      <c r="H2920" s="142" t="s">
        <v>18770</v>
      </c>
      <c r="I2920" s="142">
        <v>36</v>
      </c>
      <c r="J2920" s="142">
        <v>23</v>
      </c>
      <c r="K2920" s="142">
        <v>0</v>
      </c>
      <c r="L2920" s="142">
        <v>0</v>
      </c>
      <c r="M2920" s="142">
        <v>13</v>
      </c>
    </row>
    <row r="2921" spans="1:13" x14ac:dyDescent="0.45">
      <c r="A2921" s="142" t="s">
        <v>13002</v>
      </c>
      <c r="B2921" s="142" t="s">
        <v>15376</v>
      </c>
      <c r="C2921" s="142" t="s">
        <v>15847</v>
      </c>
      <c r="D2921" s="142" t="s">
        <v>15848</v>
      </c>
      <c r="E2921" s="142" t="s">
        <v>15849</v>
      </c>
      <c r="F2921" s="142" t="s">
        <v>3795</v>
      </c>
      <c r="G2921" s="142" t="s">
        <v>3794</v>
      </c>
      <c r="H2921" s="142" t="s">
        <v>18771</v>
      </c>
      <c r="I2921" s="142">
        <v>146</v>
      </c>
      <c r="J2921" s="142">
        <v>146</v>
      </c>
      <c r="K2921" s="142">
        <v>0</v>
      </c>
      <c r="L2921" s="142">
        <v>0</v>
      </c>
      <c r="M2921" s="142">
        <v>0</v>
      </c>
    </row>
    <row r="2922" spans="1:13" x14ac:dyDescent="0.45">
      <c r="A2922" s="142" t="s">
        <v>13003</v>
      </c>
      <c r="B2922" s="142" t="s">
        <v>15245</v>
      </c>
      <c r="C2922" s="142" t="s">
        <v>15847</v>
      </c>
      <c r="D2922" s="142" t="s">
        <v>15848</v>
      </c>
      <c r="E2922" s="142" t="s">
        <v>15849</v>
      </c>
      <c r="F2922" s="142" t="s">
        <v>3795</v>
      </c>
      <c r="G2922" s="142" t="s">
        <v>3794</v>
      </c>
      <c r="H2922" s="142" t="s">
        <v>18772</v>
      </c>
      <c r="I2922" s="142">
        <v>90</v>
      </c>
      <c r="J2922" s="142">
        <v>0</v>
      </c>
      <c r="K2922" s="142">
        <v>0</v>
      </c>
      <c r="L2922" s="142">
        <v>90</v>
      </c>
      <c r="M2922" s="142">
        <v>0</v>
      </c>
    </row>
    <row r="2923" spans="1:13" x14ac:dyDescent="0.45">
      <c r="A2923" s="142" t="s">
        <v>13005</v>
      </c>
      <c r="B2923" s="142" t="s">
        <v>15475</v>
      </c>
      <c r="C2923" s="142" t="s">
        <v>15847</v>
      </c>
      <c r="D2923" s="142" t="s">
        <v>15848</v>
      </c>
      <c r="E2923" s="142" t="s">
        <v>15849</v>
      </c>
      <c r="F2923" s="142" t="s">
        <v>3795</v>
      </c>
      <c r="G2923" s="142" t="s">
        <v>3794</v>
      </c>
      <c r="H2923" s="142" t="s">
        <v>18773</v>
      </c>
      <c r="I2923" s="142">
        <v>3</v>
      </c>
      <c r="J2923" s="142">
        <v>0</v>
      </c>
      <c r="K2923" s="142">
        <v>0</v>
      </c>
      <c r="L2923" s="142">
        <v>0</v>
      </c>
      <c r="M2923" s="142">
        <v>3</v>
      </c>
    </row>
    <row r="2924" spans="1:13" x14ac:dyDescent="0.45">
      <c r="A2924" s="142" t="s">
        <v>13029</v>
      </c>
      <c r="B2924" s="142" t="s">
        <v>14665</v>
      </c>
      <c r="C2924" s="142" t="s">
        <v>15847</v>
      </c>
      <c r="D2924" s="142" t="s">
        <v>15848</v>
      </c>
      <c r="E2924" s="142" t="s">
        <v>15849</v>
      </c>
      <c r="F2924" s="142" t="s">
        <v>3795</v>
      </c>
      <c r="G2924" s="142" t="s">
        <v>3794</v>
      </c>
      <c r="H2924" s="142" t="s">
        <v>18774</v>
      </c>
      <c r="I2924" s="142">
        <v>1</v>
      </c>
      <c r="J2924" s="142">
        <v>0</v>
      </c>
      <c r="K2924" s="142">
        <v>0</v>
      </c>
      <c r="L2924" s="142">
        <v>0</v>
      </c>
      <c r="M2924" s="142">
        <v>1</v>
      </c>
    </row>
    <row r="2925" spans="1:13" x14ac:dyDescent="0.45">
      <c r="A2925" s="142" t="s">
        <v>13007</v>
      </c>
      <c r="B2925" s="142" t="s">
        <v>15262</v>
      </c>
      <c r="C2925" s="142" t="s">
        <v>15847</v>
      </c>
      <c r="D2925" s="142" t="s">
        <v>15848</v>
      </c>
      <c r="E2925" s="142" t="s">
        <v>15849</v>
      </c>
      <c r="F2925" s="142" t="s">
        <v>3795</v>
      </c>
      <c r="G2925" s="142" t="s">
        <v>3794</v>
      </c>
      <c r="H2925" s="142" t="s">
        <v>18775</v>
      </c>
      <c r="I2925" s="142">
        <v>4</v>
      </c>
      <c r="J2925" s="142">
        <v>2</v>
      </c>
      <c r="K2925" s="142">
        <v>0</v>
      </c>
      <c r="L2925" s="142">
        <v>0</v>
      </c>
      <c r="M2925" s="142">
        <v>2</v>
      </c>
    </row>
    <row r="2926" spans="1:13" x14ac:dyDescent="0.45">
      <c r="A2926" s="142" t="s">
        <v>13008</v>
      </c>
      <c r="B2926" s="142" t="s">
        <v>15411</v>
      </c>
      <c r="C2926" s="142" t="s">
        <v>15847</v>
      </c>
      <c r="D2926" s="142" t="s">
        <v>15848</v>
      </c>
      <c r="E2926" s="142" t="s">
        <v>15849</v>
      </c>
      <c r="F2926" s="142" t="s">
        <v>3795</v>
      </c>
      <c r="G2926" s="142" t="s">
        <v>3794</v>
      </c>
      <c r="H2926" s="142" t="s">
        <v>18776</v>
      </c>
      <c r="I2926" s="142">
        <v>30</v>
      </c>
      <c r="J2926" s="142">
        <v>0</v>
      </c>
      <c r="K2926" s="142">
        <v>0</v>
      </c>
      <c r="L2926" s="142">
        <v>0</v>
      </c>
      <c r="M2926" s="142">
        <v>30</v>
      </c>
    </row>
    <row r="2927" spans="1:13" x14ac:dyDescent="0.45">
      <c r="A2927" s="142" t="s">
        <v>13077</v>
      </c>
      <c r="B2927" s="142" t="s">
        <v>15407</v>
      </c>
      <c r="C2927" s="142" t="s">
        <v>15847</v>
      </c>
      <c r="D2927" s="142" t="s">
        <v>15848</v>
      </c>
      <c r="E2927" s="142" t="s">
        <v>15849</v>
      </c>
      <c r="F2927" s="142" t="s">
        <v>3795</v>
      </c>
      <c r="G2927" s="142" t="s">
        <v>3794</v>
      </c>
      <c r="H2927" s="142" t="s">
        <v>18777</v>
      </c>
      <c r="I2927" s="142">
        <v>110</v>
      </c>
      <c r="J2927" s="142">
        <v>60</v>
      </c>
      <c r="K2927" s="142">
        <v>0</v>
      </c>
      <c r="L2927" s="142">
        <v>50</v>
      </c>
      <c r="M2927" s="142">
        <v>0</v>
      </c>
    </row>
    <row r="2928" spans="1:13" x14ac:dyDescent="0.45">
      <c r="A2928" s="142" t="s">
        <v>13033</v>
      </c>
      <c r="B2928" s="142" t="s">
        <v>15276</v>
      </c>
      <c r="C2928" s="142" t="s">
        <v>15847</v>
      </c>
      <c r="D2928" s="142" t="s">
        <v>15848</v>
      </c>
      <c r="E2928" s="142" t="s">
        <v>15849</v>
      </c>
      <c r="F2928" s="142" t="s">
        <v>3795</v>
      </c>
      <c r="G2928" s="142" t="s">
        <v>3794</v>
      </c>
      <c r="H2928" s="142" t="s">
        <v>18778</v>
      </c>
      <c r="I2928" s="142">
        <v>544</v>
      </c>
      <c r="J2928" s="142">
        <v>458</v>
      </c>
      <c r="K2928" s="142">
        <v>0</v>
      </c>
      <c r="L2928" s="142">
        <v>81</v>
      </c>
      <c r="M2928" s="142">
        <v>5</v>
      </c>
    </row>
    <row r="2929" spans="1:13" x14ac:dyDescent="0.45">
      <c r="A2929" s="142" t="s">
        <v>13078</v>
      </c>
      <c r="B2929" s="142" t="s">
        <v>15540</v>
      </c>
      <c r="C2929" s="142" t="s">
        <v>15847</v>
      </c>
      <c r="D2929" s="142" t="s">
        <v>15848</v>
      </c>
      <c r="E2929" s="142" t="s">
        <v>15849</v>
      </c>
      <c r="F2929" s="142" t="s">
        <v>3795</v>
      </c>
      <c r="G2929" s="142" t="s">
        <v>3794</v>
      </c>
      <c r="H2929" s="142" t="s">
        <v>18779</v>
      </c>
      <c r="I2929" s="142">
        <v>5</v>
      </c>
      <c r="J2929" s="142">
        <v>0</v>
      </c>
      <c r="K2929" s="142">
        <v>0</v>
      </c>
      <c r="L2929" s="142">
        <v>5</v>
      </c>
      <c r="M2929" s="142">
        <v>0</v>
      </c>
    </row>
    <row r="2930" spans="1:13" x14ac:dyDescent="0.45">
      <c r="A2930" s="142" t="s">
        <v>13009</v>
      </c>
      <c r="B2930" s="142" t="s">
        <v>15256</v>
      </c>
      <c r="C2930" s="142" t="s">
        <v>15847</v>
      </c>
      <c r="D2930" s="142" t="s">
        <v>15848</v>
      </c>
      <c r="E2930" s="142" t="s">
        <v>15849</v>
      </c>
      <c r="F2930" s="142" t="s">
        <v>3795</v>
      </c>
      <c r="G2930" s="142" t="s">
        <v>3794</v>
      </c>
      <c r="H2930" s="142" t="s">
        <v>18780</v>
      </c>
      <c r="I2930" s="142">
        <v>28</v>
      </c>
      <c r="J2930" s="142">
        <v>0</v>
      </c>
      <c r="K2930" s="142">
        <v>0</v>
      </c>
      <c r="L2930" s="142">
        <v>28</v>
      </c>
      <c r="M2930" s="142">
        <v>0</v>
      </c>
    </row>
    <row r="2931" spans="1:13" x14ac:dyDescent="0.45">
      <c r="A2931" s="142" t="s">
        <v>13056</v>
      </c>
      <c r="B2931" s="142" t="s">
        <v>15435</v>
      </c>
      <c r="C2931" s="142" t="s">
        <v>15847</v>
      </c>
      <c r="D2931" s="142" t="s">
        <v>15848</v>
      </c>
      <c r="E2931" s="142" t="s">
        <v>15849</v>
      </c>
      <c r="F2931" s="142" t="s">
        <v>3795</v>
      </c>
      <c r="G2931" s="142" t="s">
        <v>3794</v>
      </c>
      <c r="H2931" s="142" t="s">
        <v>18781</v>
      </c>
      <c r="I2931" s="142">
        <v>80</v>
      </c>
      <c r="J2931" s="142">
        <v>0</v>
      </c>
      <c r="K2931" s="142">
        <v>0</v>
      </c>
      <c r="L2931" s="142">
        <v>70</v>
      </c>
      <c r="M2931" s="142">
        <v>10</v>
      </c>
    </row>
    <row r="2932" spans="1:13" x14ac:dyDescent="0.45">
      <c r="A2932" s="142" t="s">
        <v>13010</v>
      </c>
      <c r="B2932" s="142" t="s">
        <v>15349</v>
      </c>
      <c r="C2932" s="142" t="s">
        <v>15860</v>
      </c>
      <c r="D2932" s="142" t="s">
        <v>15861</v>
      </c>
      <c r="E2932" s="142" t="s">
        <v>15849</v>
      </c>
      <c r="F2932" s="142" t="s">
        <v>3795</v>
      </c>
      <c r="G2932" s="142" t="s">
        <v>3794</v>
      </c>
      <c r="H2932" s="142" t="s">
        <v>18782</v>
      </c>
      <c r="I2932" s="142">
        <v>45</v>
      </c>
      <c r="J2932" s="142">
        <v>0</v>
      </c>
      <c r="K2932" s="142">
        <v>0</v>
      </c>
      <c r="L2932" s="142">
        <v>45</v>
      </c>
      <c r="M2932" s="142">
        <v>0</v>
      </c>
    </row>
    <row r="2933" spans="1:13" x14ac:dyDescent="0.45">
      <c r="A2933" s="142" t="s">
        <v>13011</v>
      </c>
      <c r="B2933" s="142" t="s">
        <v>14695</v>
      </c>
      <c r="C2933" s="142" t="s">
        <v>15847</v>
      </c>
      <c r="D2933" s="142" t="s">
        <v>15848</v>
      </c>
      <c r="E2933" s="142" t="s">
        <v>15849</v>
      </c>
      <c r="F2933" s="142" t="s">
        <v>3795</v>
      </c>
      <c r="G2933" s="142" t="s">
        <v>3794</v>
      </c>
      <c r="H2933" s="142" t="s">
        <v>18783</v>
      </c>
      <c r="I2933" s="142">
        <v>411</v>
      </c>
      <c r="J2933" s="142">
        <v>335</v>
      </c>
      <c r="K2933" s="142">
        <v>0</v>
      </c>
      <c r="L2933" s="142">
        <v>9</v>
      </c>
      <c r="M2933" s="142">
        <v>67</v>
      </c>
    </row>
    <row r="2934" spans="1:13" x14ac:dyDescent="0.45">
      <c r="A2934" s="142" t="s">
        <v>13205</v>
      </c>
      <c r="B2934" s="142" t="s">
        <v>14496</v>
      </c>
      <c r="C2934" s="142" t="s">
        <v>15847</v>
      </c>
      <c r="D2934" s="142" t="s">
        <v>15848</v>
      </c>
      <c r="E2934" s="142" t="s">
        <v>15849</v>
      </c>
      <c r="F2934" s="142" t="s">
        <v>3795</v>
      </c>
      <c r="G2934" s="142" t="s">
        <v>3794</v>
      </c>
      <c r="H2934" s="142" t="s">
        <v>18784</v>
      </c>
      <c r="I2934" s="142">
        <v>19</v>
      </c>
      <c r="J2934" s="142">
        <v>19</v>
      </c>
      <c r="K2934" s="142">
        <v>0</v>
      </c>
      <c r="L2934" s="142">
        <v>0</v>
      </c>
      <c r="M2934" s="142">
        <v>0</v>
      </c>
    </row>
    <row r="2935" spans="1:13" x14ac:dyDescent="0.45">
      <c r="A2935" s="142" t="s">
        <v>13012</v>
      </c>
      <c r="B2935" s="142" t="s">
        <v>15337</v>
      </c>
      <c r="C2935" s="142" t="s">
        <v>15847</v>
      </c>
      <c r="D2935" s="142" t="s">
        <v>15848</v>
      </c>
      <c r="E2935" s="142" t="s">
        <v>15849</v>
      </c>
      <c r="F2935" s="142" t="s">
        <v>3795</v>
      </c>
      <c r="G2935" s="142" t="s">
        <v>3794</v>
      </c>
      <c r="H2935" s="142" t="s">
        <v>18785</v>
      </c>
      <c r="I2935" s="142">
        <v>780</v>
      </c>
      <c r="J2935" s="142">
        <v>605</v>
      </c>
      <c r="K2935" s="142">
        <v>0</v>
      </c>
      <c r="L2935" s="142">
        <v>167</v>
      </c>
      <c r="M2935" s="142">
        <v>8</v>
      </c>
    </row>
    <row r="2936" spans="1:13" x14ac:dyDescent="0.45">
      <c r="A2936" s="142" t="s">
        <v>13361</v>
      </c>
      <c r="B2936" s="142" t="s">
        <v>15493</v>
      </c>
      <c r="C2936" s="142" t="s">
        <v>15860</v>
      </c>
      <c r="D2936" s="142" t="s">
        <v>15861</v>
      </c>
      <c r="E2936" s="142" t="s">
        <v>15849</v>
      </c>
      <c r="F2936" s="142" t="s">
        <v>3795</v>
      </c>
      <c r="G2936" s="142" t="s">
        <v>3794</v>
      </c>
      <c r="H2936" s="142" t="s">
        <v>18786</v>
      </c>
      <c r="I2936" s="142">
        <v>11</v>
      </c>
      <c r="J2936" s="142">
        <v>0</v>
      </c>
      <c r="K2936" s="142">
        <v>0</v>
      </c>
      <c r="L2936" s="142">
        <v>11</v>
      </c>
      <c r="M2936" s="142">
        <v>0</v>
      </c>
    </row>
    <row r="2937" spans="1:13" x14ac:dyDescent="0.45">
      <c r="A2937" s="142" t="s">
        <v>13079</v>
      </c>
      <c r="B2937" s="142" t="s">
        <v>15431</v>
      </c>
      <c r="C2937" s="142" t="s">
        <v>15847</v>
      </c>
      <c r="D2937" s="142" t="s">
        <v>15848</v>
      </c>
      <c r="E2937" s="142" t="s">
        <v>15849</v>
      </c>
      <c r="F2937" s="142" t="s">
        <v>3795</v>
      </c>
      <c r="G2937" s="142" t="s">
        <v>3794</v>
      </c>
      <c r="H2937" s="142" t="s">
        <v>18787</v>
      </c>
      <c r="I2937" s="142">
        <v>14</v>
      </c>
      <c r="J2937" s="142">
        <v>12</v>
      </c>
      <c r="K2937" s="142">
        <v>0</v>
      </c>
      <c r="L2937" s="142">
        <v>0</v>
      </c>
      <c r="M2937" s="142">
        <v>2</v>
      </c>
    </row>
    <row r="2938" spans="1:13" x14ac:dyDescent="0.45">
      <c r="A2938" s="142" t="s">
        <v>13364</v>
      </c>
      <c r="B2938" s="142" t="s">
        <v>14448</v>
      </c>
      <c r="C2938" s="142" t="s">
        <v>15860</v>
      </c>
      <c r="D2938" s="142" t="s">
        <v>15861</v>
      </c>
      <c r="E2938" s="142" t="s">
        <v>15849</v>
      </c>
      <c r="F2938" s="142" t="s">
        <v>3795</v>
      </c>
      <c r="G2938" s="142" t="s">
        <v>3794</v>
      </c>
      <c r="H2938" s="142" t="s">
        <v>18788</v>
      </c>
      <c r="I2938" s="142">
        <v>62</v>
      </c>
      <c r="J2938" s="142">
        <v>0</v>
      </c>
      <c r="K2938" s="142">
        <v>0</v>
      </c>
      <c r="L2938" s="142">
        <v>62</v>
      </c>
      <c r="M2938" s="142">
        <v>0</v>
      </c>
    </row>
    <row r="2939" spans="1:13" x14ac:dyDescent="0.45">
      <c r="A2939" s="142" t="s">
        <v>13166</v>
      </c>
      <c r="B2939" s="142" t="s">
        <v>15576</v>
      </c>
      <c r="C2939" s="142" t="s">
        <v>15847</v>
      </c>
      <c r="D2939" s="142" t="s">
        <v>15848</v>
      </c>
      <c r="E2939" s="142" t="s">
        <v>15849</v>
      </c>
      <c r="F2939" s="142" t="s">
        <v>4824</v>
      </c>
      <c r="G2939" s="142" t="s">
        <v>4823</v>
      </c>
      <c r="H2939" s="142" t="s">
        <v>18789</v>
      </c>
      <c r="I2939" s="142">
        <v>53</v>
      </c>
      <c r="J2939" s="142">
        <v>53</v>
      </c>
      <c r="K2939" s="142">
        <v>0</v>
      </c>
      <c r="L2939" s="142">
        <v>0</v>
      </c>
      <c r="M2939" s="142">
        <v>0</v>
      </c>
    </row>
    <row r="2940" spans="1:13" x14ac:dyDescent="0.45">
      <c r="A2940" s="142" t="s">
        <v>13167</v>
      </c>
      <c r="B2940" s="142" t="s">
        <v>15418</v>
      </c>
      <c r="C2940" s="142" t="s">
        <v>15847</v>
      </c>
      <c r="D2940" s="142" t="s">
        <v>15848</v>
      </c>
      <c r="E2940" s="142" t="s">
        <v>15849</v>
      </c>
      <c r="F2940" s="142" t="s">
        <v>4824</v>
      </c>
      <c r="G2940" s="142" t="s">
        <v>4823</v>
      </c>
      <c r="H2940" s="142" t="s">
        <v>18790</v>
      </c>
      <c r="I2940" s="142">
        <v>607</v>
      </c>
      <c r="J2940" s="142">
        <v>533</v>
      </c>
      <c r="K2940" s="142">
        <v>0</v>
      </c>
      <c r="L2940" s="142">
        <v>2</v>
      </c>
      <c r="M2940" s="142">
        <v>72</v>
      </c>
    </row>
    <row r="2941" spans="1:13" x14ac:dyDescent="0.45">
      <c r="A2941" s="142" t="s">
        <v>13021</v>
      </c>
      <c r="B2941" s="142" t="s">
        <v>15501</v>
      </c>
      <c r="C2941" s="142" t="s">
        <v>15847</v>
      </c>
      <c r="D2941" s="142" t="s">
        <v>15848</v>
      </c>
      <c r="E2941" s="142" t="s">
        <v>15849</v>
      </c>
      <c r="F2941" s="142" t="s">
        <v>4824</v>
      </c>
      <c r="G2941" s="142" t="s">
        <v>4823</v>
      </c>
      <c r="H2941" s="142" t="s">
        <v>18791</v>
      </c>
      <c r="I2941" s="142">
        <v>13</v>
      </c>
      <c r="J2941" s="142">
        <v>0</v>
      </c>
      <c r="K2941" s="142">
        <v>0</v>
      </c>
      <c r="L2941" s="142">
        <v>0</v>
      </c>
      <c r="M2941" s="142">
        <v>13</v>
      </c>
    </row>
    <row r="2942" spans="1:13" x14ac:dyDescent="0.45">
      <c r="A2942" s="142" t="s">
        <v>13023</v>
      </c>
      <c r="B2942" s="142" t="s">
        <v>15571</v>
      </c>
      <c r="C2942" s="142" t="s">
        <v>15847</v>
      </c>
      <c r="D2942" s="142" t="s">
        <v>15848</v>
      </c>
      <c r="E2942" s="142" t="s">
        <v>15849</v>
      </c>
      <c r="F2942" s="142" t="s">
        <v>4824</v>
      </c>
      <c r="G2942" s="142" t="s">
        <v>4823</v>
      </c>
      <c r="H2942" s="142" t="s">
        <v>18792</v>
      </c>
      <c r="I2942" s="142">
        <v>22</v>
      </c>
      <c r="J2942" s="142">
        <v>0</v>
      </c>
      <c r="K2942" s="142">
        <v>0</v>
      </c>
      <c r="L2942" s="142">
        <v>22</v>
      </c>
      <c r="M2942" s="142">
        <v>0</v>
      </c>
    </row>
    <row r="2943" spans="1:13" x14ac:dyDescent="0.45">
      <c r="A2943" s="142" t="s">
        <v>13047</v>
      </c>
      <c r="B2943" s="142" t="s">
        <v>14616</v>
      </c>
      <c r="C2943" s="142" t="s">
        <v>15847</v>
      </c>
      <c r="D2943" s="142" t="s">
        <v>15848</v>
      </c>
      <c r="E2943" s="142" t="s">
        <v>15849</v>
      </c>
      <c r="F2943" s="142" t="s">
        <v>4824</v>
      </c>
      <c r="G2943" s="142" t="s">
        <v>4823</v>
      </c>
      <c r="H2943" s="142" t="s">
        <v>18793</v>
      </c>
      <c r="I2943" s="142">
        <v>16</v>
      </c>
      <c r="J2943" s="142">
        <v>11</v>
      </c>
      <c r="K2943" s="142">
        <v>0</v>
      </c>
      <c r="L2943" s="142">
        <v>0</v>
      </c>
      <c r="M2943" s="142">
        <v>5</v>
      </c>
    </row>
    <row r="2944" spans="1:13" x14ac:dyDescent="0.45">
      <c r="A2944" s="142" t="s">
        <v>13048</v>
      </c>
      <c r="B2944" s="142" t="s">
        <v>14479</v>
      </c>
      <c r="C2944" s="142" t="s">
        <v>15847</v>
      </c>
      <c r="D2944" s="142" t="s">
        <v>15848</v>
      </c>
      <c r="E2944" s="142" t="s">
        <v>15849</v>
      </c>
      <c r="F2944" s="142" t="s">
        <v>4824</v>
      </c>
      <c r="G2944" s="142" t="s">
        <v>4823</v>
      </c>
      <c r="H2944" s="142" t="s">
        <v>18794</v>
      </c>
      <c r="I2944" s="142">
        <v>242</v>
      </c>
      <c r="J2944" s="142">
        <v>157</v>
      </c>
      <c r="K2944" s="142">
        <v>0</v>
      </c>
      <c r="L2944" s="142">
        <v>0</v>
      </c>
      <c r="M2944" s="142">
        <v>85</v>
      </c>
    </row>
    <row r="2945" spans="1:13" x14ac:dyDescent="0.45">
      <c r="A2945" s="142" t="s">
        <v>13065</v>
      </c>
      <c r="B2945" s="142" t="s">
        <v>14497</v>
      </c>
      <c r="C2945" s="142" t="s">
        <v>15847</v>
      </c>
      <c r="D2945" s="142" t="s">
        <v>15848</v>
      </c>
      <c r="E2945" s="142" t="s">
        <v>15849</v>
      </c>
      <c r="F2945" s="142" t="s">
        <v>4824</v>
      </c>
      <c r="G2945" s="142" t="s">
        <v>4823</v>
      </c>
      <c r="H2945" s="142" t="s">
        <v>18795</v>
      </c>
      <c r="I2945" s="142">
        <v>4</v>
      </c>
      <c r="J2945" s="142">
        <v>0</v>
      </c>
      <c r="K2945" s="142">
        <v>0</v>
      </c>
      <c r="L2945" s="142">
        <v>4</v>
      </c>
      <c r="M2945" s="142">
        <v>0</v>
      </c>
    </row>
    <row r="2946" spans="1:13" x14ac:dyDescent="0.45">
      <c r="A2946" s="142" t="s">
        <v>13000</v>
      </c>
      <c r="B2946" s="142" t="s">
        <v>14610</v>
      </c>
      <c r="C2946" s="142" t="s">
        <v>15847</v>
      </c>
      <c r="D2946" s="142" t="s">
        <v>15848</v>
      </c>
      <c r="E2946" s="142" t="s">
        <v>15849</v>
      </c>
      <c r="F2946" s="142" t="s">
        <v>4824</v>
      </c>
      <c r="G2946" s="142" t="s">
        <v>4823</v>
      </c>
      <c r="H2946" s="142" t="s">
        <v>18796</v>
      </c>
      <c r="I2946" s="142">
        <v>33</v>
      </c>
      <c r="J2946" s="142">
        <v>16</v>
      </c>
      <c r="K2946" s="142">
        <v>0</v>
      </c>
      <c r="L2946" s="142">
        <v>9</v>
      </c>
      <c r="M2946" s="142">
        <v>8</v>
      </c>
    </row>
    <row r="2947" spans="1:13" x14ac:dyDescent="0.45">
      <c r="A2947" s="142" t="s">
        <v>13669</v>
      </c>
      <c r="B2947" s="142" t="s">
        <v>14809</v>
      </c>
      <c r="C2947" s="142" t="s">
        <v>15860</v>
      </c>
      <c r="D2947" s="142" t="s">
        <v>15861</v>
      </c>
      <c r="E2947" s="142" t="s">
        <v>15849</v>
      </c>
      <c r="F2947" s="142" t="s">
        <v>4824</v>
      </c>
      <c r="G2947" s="142" t="s">
        <v>4823</v>
      </c>
      <c r="H2947" s="142" t="s">
        <v>18797</v>
      </c>
      <c r="I2947" s="142">
        <v>46</v>
      </c>
      <c r="J2947" s="142">
        <v>0</v>
      </c>
      <c r="K2947" s="142">
        <v>0</v>
      </c>
      <c r="L2947" s="142">
        <v>46</v>
      </c>
      <c r="M2947" s="142">
        <v>0</v>
      </c>
    </row>
    <row r="2948" spans="1:13" x14ac:dyDescent="0.45">
      <c r="A2948" s="142" t="s">
        <v>13099</v>
      </c>
      <c r="B2948" s="142" t="s">
        <v>14547</v>
      </c>
      <c r="C2948" s="142" t="s">
        <v>15860</v>
      </c>
      <c r="D2948" s="142" t="s">
        <v>15861</v>
      </c>
      <c r="E2948" s="142" t="s">
        <v>15849</v>
      </c>
      <c r="F2948" s="142" t="s">
        <v>4824</v>
      </c>
      <c r="G2948" s="142" t="s">
        <v>4823</v>
      </c>
      <c r="H2948" s="142" t="s">
        <v>18798</v>
      </c>
      <c r="I2948" s="142">
        <v>9</v>
      </c>
      <c r="J2948" s="142">
        <v>0</v>
      </c>
      <c r="K2948" s="142">
        <v>0</v>
      </c>
      <c r="L2948" s="142">
        <v>9</v>
      </c>
      <c r="M2948" s="142">
        <v>0</v>
      </c>
    </row>
    <row r="2949" spans="1:13" x14ac:dyDescent="0.45">
      <c r="A2949" s="142" t="s">
        <v>13027</v>
      </c>
      <c r="B2949" s="142" t="s">
        <v>14562</v>
      </c>
      <c r="C2949" s="142" t="s">
        <v>15847</v>
      </c>
      <c r="D2949" s="142" t="s">
        <v>15848</v>
      </c>
      <c r="E2949" s="142" t="s">
        <v>15849</v>
      </c>
      <c r="F2949" s="142" t="s">
        <v>4824</v>
      </c>
      <c r="G2949" s="142" t="s">
        <v>4823</v>
      </c>
      <c r="H2949" s="142" t="s">
        <v>18799</v>
      </c>
      <c r="I2949" s="142">
        <v>46</v>
      </c>
      <c r="J2949" s="142">
        <v>0</v>
      </c>
      <c r="K2949" s="142">
        <v>0</v>
      </c>
      <c r="L2949" s="142">
        <v>46</v>
      </c>
      <c r="M2949" s="142">
        <v>0</v>
      </c>
    </row>
    <row r="2950" spans="1:13" x14ac:dyDescent="0.45">
      <c r="A2950" s="142" t="s">
        <v>13028</v>
      </c>
      <c r="B2950" s="142" t="s">
        <v>14462</v>
      </c>
      <c r="C2950" s="142" t="s">
        <v>15847</v>
      </c>
      <c r="D2950" s="142" t="s">
        <v>15848</v>
      </c>
      <c r="E2950" s="142" t="s">
        <v>15849</v>
      </c>
      <c r="F2950" s="142" t="s">
        <v>4824</v>
      </c>
      <c r="G2950" s="142" t="s">
        <v>4823</v>
      </c>
      <c r="H2950" s="142" t="s">
        <v>18800</v>
      </c>
      <c r="I2950" s="142">
        <v>26</v>
      </c>
      <c r="J2950" s="142">
        <v>0</v>
      </c>
      <c r="K2950" s="142">
        <v>0</v>
      </c>
      <c r="L2950" s="142">
        <v>0</v>
      </c>
      <c r="M2950" s="142">
        <v>26</v>
      </c>
    </row>
    <row r="2951" spans="1:13" x14ac:dyDescent="0.45">
      <c r="A2951" s="142" t="s">
        <v>13160</v>
      </c>
      <c r="B2951" s="142" t="s">
        <v>14525</v>
      </c>
      <c r="C2951" s="142" t="s">
        <v>15847</v>
      </c>
      <c r="D2951" s="142" t="s">
        <v>15848</v>
      </c>
      <c r="E2951" s="142" t="s">
        <v>15849</v>
      </c>
      <c r="F2951" s="142" t="s">
        <v>4824</v>
      </c>
      <c r="G2951" s="142" t="s">
        <v>4823</v>
      </c>
      <c r="H2951" s="142" t="s">
        <v>18801</v>
      </c>
      <c r="I2951" s="142">
        <v>6</v>
      </c>
      <c r="J2951" s="142">
        <v>0</v>
      </c>
      <c r="K2951" s="142">
        <v>0</v>
      </c>
      <c r="L2951" s="142">
        <v>6</v>
      </c>
      <c r="M2951" s="142">
        <v>0</v>
      </c>
    </row>
    <row r="2952" spans="1:13" x14ac:dyDescent="0.45">
      <c r="A2952" s="142" t="s">
        <v>13002</v>
      </c>
      <c r="B2952" s="142" t="s">
        <v>15376</v>
      </c>
      <c r="C2952" s="142" t="s">
        <v>15847</v>
      </c>
      <c r="D2952" s="142" t="s">
        <v>15848</v>
      </c>
      <c r="E2952" s="142" t="s">
        <v>15849</v>
      </c>
      <c r="F2952" s="142" t="s">
        <v>4824</v>
      </c>
      <c r="G2952" s="142" t="s">
        <v>4823</v>
      </c>
      <c r="H2952" s="142" t="s">
        <v>18802</v>
      </c>
      <c r="I2952" s="142">
        <v>12</v>
      </c>
      <c r="J2952" s="142">
        <v>0</v>
      </c>
      <c r="K2952" s="142">
        <v>0</v>
      </c>
      <c r="L2952" s="142">
        <v>9</v>
      </c>
      <c r="M2952" s="142">
        <v>3</v>
      </c>
    </row>
    <row r="2953" spans="1:13" x14ac:dyDescent="0.45">
      <c r="A2953" s="142" t="s">
        <v>13003</v>
      </c>
      <c r="B2953" s="142" t="s">
        <v>15245</v>
      </c>
      <c r="C2953" s="142" t="s">
        <v>15847</v>
      </c>
      <c r="D2953" s="142" t="s">
        <v>15848</v>
      </c>
      <c r="E2953" s="142" t="s">
        <v>15849</v>
      </c>
      <c r="F2953" s="142" t="s">
        <v>4824</v>
      </c>
      <c r="G2953" s="142" t="s">
        <v>4823</v>
      </c>
      <c r="H2953" s="142" t="s">
        <v>18803</v>
      </c>
      <c r="I2953" s="142">
        <v>135</v>
      </c>
      <c r="J2953" s="142">
        <v>0</v>
      </c>
      <c r="K2953" s="142">
        <v>0</v>
      </c>
      <c r="L2953" s="142">
        <v>126</v>
      </c>
      <c r="M2953" s="142">
        <v>9</v>
      </c>
    </row>
    <row r="2954" spans="1:13" x14ac:dyDescent="0.45">
      <c r="A2954" s="142" t="s">
        <v>13004</v>
      </c>
      <c r="B2954" s="142" t="s">
        <v>15492</v>
      </c>
      <c r="C2954" s="142" t="s">
        <v>15847</v>
      </c>
      <c r="D2954" s="142" t="s">
        <v>15848</v>
      </c>
      <c r="E2954" s="142" t="s">
        <v>15849</v>
      </c>
      <c r="F2954" s="142" t="s">
        <v>4824</v>
      </c>
      <c r="G2954" s="142" t="s">
        <v>4823</v>
      </c>
      <c r="H2954" s="142" t="s">
        <v>18804</v>
      </c>
      <c r="I2954" s="142">
        <v>185</v>
      </c>
      <c r="J2954" s="142">
        <v>164</v>
      </c>
      <c r="K2954" s="142">
        <v>0</v>
      </c>
      <c r="L2954" s="142">
        <v>0</v>
      </c>
      <c r="M2954" s="142">
        <v>21</v>
      </c>
    </row>
    <row r="2955" spans="1:13" x14ac:dyDescent="0.45">
      <c r="A2955" s="142" t="s">
        <v>13005</v>
      </c>
      <c r="B2955" s="142" t="s">
        <v>15475</v>
      </c>
      <c r="C2955" s="142" t="s">
        <v>15847</v>
      </c>
      <c r="D2955" s="142" t="s">
        <v>15848</v>
      </c>
      <c r="E2955" s="142" t="s">
        <v>15849</v>
      </c>
      <c r="F2955" s="142" t="s">
        <v>4824</v>
      </c>
      <c r="G2955" s="142" t="s">
        <v>4823</v>
      </c>
      <c r="H2955" s="142" t="s">
        <v>18805</v>
      </c>
      <c r="I2955" s="142">
        <v>2</v>
      </c>
      <c r="J2955" s="142">
        <v>0</v>
      </c>
      <c r="K2955" s="142">
        <v>0</v>
      </c>
      <c r="L2955" s="142">
        <v>0</v>
      </c>
      <c r="M2955" s="142">
        <v>2</v>
      </c>
    </row>
    <row r="2956" spans="1:13" x14ac:dyDescent="0.45">
      <c r="A2956" s="142" t="s">
        <v>13054</v>
      </c>
      <c r="B2956" s="142" t="s">
        <v>15604</v>
      </c>
      <c r="C2956" s="142" t="s">
        <v>15847</v>
      </c>
      <c r="D2956" s="142" t="s">
        <v>15848</v>
      </c>
      <c r="E2956" s="142" t="s">
        <v>15849</v>
      </c>
      <c r="F2956" s="142" t="s">
        <v>4824</v>
      </c>
      <c r="G2956" s="142" t="s">
        <v>4823</v>
      </c>
      <c r="H2956" s="142" t="s">
        <v>18806</v>
      </c>
      <c r="I2956" s="142">
        <v>1</v>
      </c>
      <c r="J2956" s="142">
        <v>0</v>
      </c>
      <c r="K2956" s="142">
        <v>0</v>
      </c>
      <c r="L2956" s="142">
        <v>0</v>
      </c>
      <c r="M2956" s="142">
        <v>1</v>
      </c>
    </row>
    <row r="2957" spans="1:13" x14ac:dyDescent="0.45">
      <c r="A2957" s="142" t="s">
        <v>13033</v>
      </c>
      <c r="B2957" s="142" t="s">
        <v>15276</v>
      </c>
      <c r="C2957" s="142" t="s">
        <v>15847</v>
      </c>
      <c r="D2957" s="142" t="s">
        <v>15848</v>
      </c>
      <c r="E2957" s="142" t="s">
        <v>15849</v>
      </c>
      <c r="F2957" s="142" t="s">
        <v>4824</v>
      </c>
      <c r="G2957" s="142" t="s">
        <v>4823</v>
      </c>
      <c r="H2957" s="142" t="s">
        <v>18807</v>
      </c>
      <c r="I2957" s="142">
        <v>123</v>
      </c>
      <c r="J2957" s="142">
        <v>123</v>
      </c>
      <c r="K2957" s="142">
        <v>0</v>
      </c>
      <c r="L2957" s="142">
        <v>0</v>
      </c>
      <c r="M2957" s="142">
        <v>0</v>
      </c>
    </row>
    <row r="2958" spans="1:13" x14ac:dyDescent="0.45">
      <c r="A2958" s="142" t="s">
        <v>13037</v>
      </c>
      <c r="B2958" s="142" t="s">
        <v>14519</v>
      </c>
      <c r="C2958" s="142" t="s">
        <v>15847</v>
      </c>
      <c r="D2958" s="142" t="s">
        <v>15848</v>
      </c>
      <c r="E2958" s="142" t="s">
        <v>15849</v>
      </c>
      <c r="F2958" s="142" t="s">
        <v>4824</v>
      </c>
      <c r="G2958" s="142" t="s">
        <v>4823</v>
      </c>
      <c r="H2958" s="142" t="s">
        <v>18808</v>
      </c>
      <c r="I2958" s="142">
        <v>7</v>
      </c>
      <c r="J2958" s="142">
        <v>0</v>
      </c>
      <c r="K2958" s="142">
        <v>0</v>
      </c>
      <c r="L2958" s="142">
        <v>7</v>
      </c>
      <c r="M2958" s="142">
        <v>0</v>
      </c>
    </row>
    <row r="2959" spans="1:13" x14ac:dyDescent="0.45">
      <c r="A2959" s="142" t="s">
        <v>13056</v>
      </c>
      <c r="B2959" s="142" t="s">
        <v>15435</v>
      </c>
      <c r="C2959" s="142" t="s">
        <v>15847</v>
      </c>
      <c r="D2959" s="142" t="s">
        <v>15848</v>
      </c>
      <c r="E2959" s="142" t="s">
        <v>15849</v>
      </c>
      <c r="F2959" s="142" t="s">
        <v>4824</v>
      </c>
      <c r="G2959" s="142" t="s">
        <v>4823</v>
      </c>
      <c r="H2959" s="142" t="s">
        <v>18809</v>
      </c>
      <c r="I2959" s="142">
        <v>160</v>
      </c>
      <c r="J2959" s="142">
        <v>57</v>
      </c>
      <c r="K2959" s="142">
        <v>0</v>
      </c>
      <c r="L2959" s="142">
        <v>95</v>
      </c>
      <c r="M2959" s="142">
        <v>8</v>
      </c>
    </row>
    <row r="2960" spans="1:13" x14ac:dyDescent="0.45">
      <c r="A2960" s="142" t="s">
        <v>13011</v>
      </c>
      <c r="B2960" s="142" t="s">
        <v>14695</v>
      </c>
      <c r="C2960" s="142" t="s">
        <v>15847</v>
      </c>
      <c r="D2960" s="142" t="s">
        <v>15848</v>
      </c>
      <c r="E2960" s="142" t="s">
        <v>15849</v>
      </c>
      <c r="F2960" s="142" t="s">
        <v>4824</v>
      </c>
      <c r="G2960" s="142" t="s">
        <v>4823</v>
      </c>
      <c r="H2960" s="142" t="s">
        <v>18810</v>
      </c>
      <c r="I2960" s="142">
        <v>46</v>
      </c>
      <c r="J2960" s="142">
        <v>46</v>
      </c>
      <c r="K2960" s="142">
        <v>0</v>
      </c>
      <c r="L2960" s="142">
        <v>0</v>
      </c>
      <c r="M2960" s="142">
        <v>0</v>
      </c>
    </row>
    <row r="2961" spans="1:13" x14ac:dyDescent="0.45">
      <c r="A2961" s="142" t="s">
        <v>13058</v>
      </c>
      <c r="B2961" s="142" t="s">
        <v>14584</v>
      </c>
      <c r="C2961" s="142" t="s">
        <v>15847</v>
      </c>
      <c r="D2961" s="142" t="s">
        <v>15848</v>
      </c>
      <c r="E2961" s="142" t="s">
        <v>15849</v>
      </c>
      <c r="F2961" s="142" t="s">
        <v>4824</v>
      </c>
      <c r="G2961" s="142" t="s">
        <v>4823</v>
      </c>
      <c r="H2961" s="142" t="s">
        <v>18811</v>
      </c>
      <c r="I2961" s="142">
        <v>86</v>
      </c>
      <c r="J2961" s="142">
        <v>48</v>
      </c>
      <c r="K2961" s="142">
        <v>0</v>
      </c>
      <c r="L2961" s="142">
        <v>16</v>
      </c>
      <c r="M2961" s="142">
        <v>22</v>
      </c>
    </row>
    <row r="2962" spans="1:13" x14ac:dyDescent="0.45">
      <c r="A2962" s="142" t="s">
        <v>13012</v>
      </c>
      <c r="B2962" s="142" t="s">
        <v>15337</v>
      </c>
      <c r="C2962" s="142" t="s">
        <v>15847</v>
      </c>
      <c r="D2962" s="142" t="s">
        <v>15848</v>
      </c>
      <c r="E2962" s="142" t="s">
        <v>15849</v>
      </c>
      <c r="F2962" s="142" t="s">
        <v>4824</v>
      </c>
      <c r="G2962" s="142" t="s">
        <v>4823</v>
      </c>
      <c r="H2962" s="142" t="s">
        <v>18812</v>
      </c>
      <c r="I2962" s="142">
        <v>179</v>
      </c>
      <c r="J2962" s="142">
        <v>146</v>
      </c>
      <c r="K2962" s="142">
        <v>0</v>
      </c>
      <c r="L2962" s="142">
        <v>0</v>
      </c>
      <c r="M2962" s="142">
        <v>33</v>
      </c>
    </row>
    <row r="2963" spans="1:13" x14ac:dyDescent="0.45">
      <c r="A2963" s="142" t="s">
        <v>13060</v>
      </c>
      <c r="B2963" s="142" t="s">
        <v>14470</v>
      </c>
      <c r="C2963" s="142" t="s">
        <v>15847</v>
      </c>
      <c r="D2963" s="142" t="s">
        <v>15848</v>
      </c>
      <c r="E2963" s="142" t="s">
        <v>15849</v>
      </c>
      <c r="F2963" s="142" t="s">
        <v>4824</v>
      </c>
      <c r="G2963" s="142" t="s">
        <v>4823</v>
      </c>
      <c r="H2963" s="142" t="s">
        <v>18813</v>
      </c>
      <c r="I2963" s="142">
        <v>290</v>
      </c>
      <c r="J2963" s="142">
        <v>195</v>
      </c>
      <c r="K2963" s="142">
        <v>0</v>
      </c>
      <c r="L2963" s="142">
        <v>0</v>
      </c>
      <c r="M2963" s="142">
        <v>95</v>
      </c>
    </row>
    <row r="2964" spans="1:13" x14ac:dyDescent="0.45">
      <c r="A2964" s="142" t="s">
        <v>13174</v>
      </c>
      <c r="B2964" s="142" t="s">
        <v>15280</v>
      </c>
      <c r="C2964" s="142" t="s">
        <v>15847</v>
      </c>
      <c r="D2964" s="142" t="s">
        <v>15848</v>
      </c>
      <c r="E2964" s="142" t="s">
        <v>15849</v>
      </c>
      <c r="F2964" s="142" t="s">
        <v>4824</v>
      </c>
      <c r="G2964" s="142" t="s">
        <v>4823</v>
      </c>
      <c r="H2964" s="142" t="s">
        <v>18814</v>
      </c>
      <c r="I2964" s="142">
        <v>1156</v>
      </c>
      <c r="J2964" s="142">
        <v>727</v>
      </c>
      <c r="K2964" s="142">
        <v>0</v>
      </c>
      <c r="L2964" s="142">
        <v>99</v>
      </c>
      <c r="M2964" s="142">
        <v>330</v>
      </c>
    </row>
    <row r="2965" spans="1:13" x14ac:dyDescent="0.45">
      <c r="A2965" s="142" t="s">
        <v>13175</v>
      </c>
      <c r="B2965" s="142" t="s">
        <v>15561</v>
      </c>
      <c r="C2965" s="142" t="s">
        <v>15860</v>
      </c>
      <c r="D2965" s="142" t="s">
        <v>15861</v>
      </c>
      <c r="E2965" s="142" t="s">
        <v>15849</v>
      </c>
      <c r="F2965" s="142" t="s">
        <v>4824</v>
      </c>
      <c r="G2965" s="142" t="s">
        <v>4823</v>
      </c>
      <c r="H2965" s="142" t="s">
        <v>18815</v>
      </c>
      <c r="I2965" s="142">
        <v>9</v>
      </c>
      <c r="J2965" s="142">
        <v>0</v>
      </c>
      <c r="K2965" s="142">
        <v>0</v>
      </c>
      <c r="L2965" s="142">
        <v>9</v>
      </c>
      <c r="M2965" s="142">
        <v>0</v>
      </c>
    </row>
    <row r="2966" spans="1:13" x14ac:dyDescent="0.45">
      <c r="A2966" s="142" t="s">
        <v>13015</v>
      </c>
      <c r="B2966" s="142" t="s">
        <v>14596</v>
      </c>
      <c r="C2966" s="142" t="s">
        <v>15847</v>
      </c>
      <c r="D2966" s="142" t="s">
        <v>15848</v>
      </c>
      <c r="E2966" s="142" t="s">
        <v>15849</v>
      </c>
      <c r="F2966" s="142" t="s">
        <v>4824</v>
      </c>
      <c r="G2966" s="142" t="s">
        <v>4823</v>
      </c>
      <c r="H2966" s="142" t="s">
        <v>18816</v>
      </c>
      <c r="I2966" s="142">
        <v>5954</v>
      </c>
      <c r="J2966" s="142">
        <v>4899</v>
      </c>
      <c r="K2966" s="142">
        <v>0</v>
      </c>
      <c r="L2966" s="142">
        <v>353</v>
      </c>
      <c r="M2966" s="142">
        <v>702</v>
      </c>
    </row>
    <row r="2967" spans="1:13" x14ac:dyDescent="0.45">
      <c r="A2967" s="142" t="s">
        <v>13016</v>
      </c>
      <c r="B2967" s="142" t="s">
        <v>14535</v>
      </c>
      <c r="C2967" s="142" t="s">
        <v>15860</v>
      </c>
      <c r="D2967" s="142" t="s">
        <v>15861</v>
      </c>
      <c r="E2967" s="142" t="s">
        <v>15849</v>
      </c>
      <c r="F2967" s="142" t="s">
        <v>4824</v>
      </c>
      <c r="G2967" s="142" t="s">
        <v>4823</v>
      </c>
      <c r="H2967" s="142" t="s">
        <v>18817</v>
      </c>
      <c r="I2967" s="142">
        <v>12</v>
      </c>
      <c r="J2967" s="142">
        <v>0</v>
      </c>
      <c r="K2967" s="142">
        <v>0</v>
      </c>
      <c r="L2967" s="142">
        <v>12</v>
      </c>
      <c r="M2967" s="142">
        <v>0</v>
      </c>
    </row>
    <row r="2968" spans="1:13" x14ac:dyDescent="0.45">
      <c r="A2968" s="142" t="s">
        <v>13308</v>
      </c>
      <c r="B2968" s="142" t="s">
        <v>15608</v>
      </c>
      <c r="C2968" s="142" t="s">
        <v>15847</v>
      </c>
      <c r="D2968" s="142" t="s">
        <v>15848</v>
      </c>
      <c r="E2968" s="142" t="s">
        <v>15849</v>
      </c>
      <c r="F2968" s="142" t="s">
        <v>8246</v>
      </c>
      <c r="G2968" s="142" t="s">
        <v>8245</v>
      </c>
      <c r="H2968" s="142" t="s">
        <v>18818</v>
      </c>
      <c r="I2968" s="142">
        <v>46</v>
      </c>
      <c r="J2968" s="142">
        <v>0</v>
      </c>
      <c r="K2968" s="142">
        <v>0</v>
      </c>
      <c r="L2968" s="142">
        <v>0</v>
      </c>
      <c r="M2968" s="142">
        <v>46</v>
      </c>
    </row>
    <row r="2969" spans="1:13" x14ac:dyDescent="0.45">
      <c r="A2969" s="142" t="s">
        <v>13166</v>
      </c>
      <c r="B2969" s="142" t="s">
        <v>15576</v>
      </c>
      <c r="C2969" s="142" t="s">
        <v>15847</v>
      </c>
      <c r="D2969" s="142" t="s">
        <v>15848</v>
      </c>
      <c r="E2969" s="142" t="s">
        <v>15849</v>
      </c>
      <c r="F2969" s="142" t="s">
        <v>8246</v>
      </c>
      <c r="G2969" s="142" t="s">
        <v>8245</v>
      </c>
      <c r="H2969" s="142" t="s">
        <v>18819</v>
      </c>
      <c r="I2969" s="142">
        <v>461</v>
      </c>
      <c r="J2969" s="142">
        <v>365</v>
      </c>
      <c r="K2969" s="142">
        <v>0</v>
      </c>
      <c r="L2969" s="142">
        <v>13</v>
      </c>
      <c r="M2969" s="142">
        <v>83</v>
      </c>
    </row>
    <row r="2970" spans="1:13" x14ac:dyDescent="0.45">
      <c r="A2970" s="142" t="s">
        <v>13021</v>
      </c>
      <c r="B2970" s="142" t="s">
        <v>15501</v>
      </c>
      <c r="C2970" s="142" t="s">
        <v>15847</v>
      </c>
      <c r="D2970" s="142" t="s">
        <v>15848</v>
      </c>
      <c r="E2970" s="142" t="s">
        <v>15849</v>
      </c>
      <c r="F2970" s="142" t="s">
        <v>8246</v>
      </c>
      <c r="G2970" s="142" t="s">
        <v>8245</v>
      </c>
      <c r="H2970" s="142" t="s">
        <v>18820</v>
      </c>
      <c r="I2970" s="142">
        <v>1</v>
      </c>
      <c r="J2970" s="142">
        <v>0</v>
      </c>
      <c r="K2970" s="142">
        <v>0</v>
      </c>
      <c r="L2970" s="142">
        <v>0</v>
      </c>
      <c r="M2970" s="142">
        <v>1</v>
      </c>
    </row>
    <row r="2971" spans="1:13" x14ac:dyDescent="0.45">
      <c r="A2971" s="142" t="s">
        <v>13027</v>
      </c>
      <c r="B2971" s="142" t="s">
        <v>14562</v>
      </c>
      <c r="C2971" s="142" t="s">
        <v>15847</v>
      </c>
      <c r="D2971" s="142" t="s">
        <v>15848</v>
      </c>
      <c r="E2971" s="142" t="s">
        <v>15849</v>
      </c>
      <c r="F2971" s="142" t="s">
        <v>8246</v>
      </c>
      <c r="G2971" s="142" t="s">
        <v>8245</v>
      </c>
      <c r="H2971" s="142" t="s">
        <v>18821</v>
      </c>
      <c r="I2971" s="142">
        <v>11</v>
      </c>
      <c r="J2971" s="142">
        <v>0</v>
      </c>
      <c r="K2971" s="142">
        <v>0</v>
      </c>
      <c r="L2971" s="142">
        <v>11</v>
      </c>
      <c r="M2971" s="142">
        <v>0</v>
      </c>
    </row>
    <row r="2972" spans="1:13" x14ac:dyDescent="0.45">
      <c r="A2972" s="142" t="s">
        <v>13050</v>
      </c>
      <c r="B2972" s="142" t="s">
        <v>15237</v>
      </c>
      <c r="C2972" s="142" t="s">
        <v>15847</v>
      </c>
      <c r="D2972" s="142" t="s">
        <v>15848</v>
      </c>
      <c r="E2972" s="142" t="s">
        <v>15849</v>
      </c>
      <c r="F2972" s="142" t="s">
        <v>8246</v>
      </c>
      <c r="G2972" s="142" t="s">
        <v>8245</v>
      </c>
      <c r="H2972" s="142" t="s">
        <v>18822</v>
      </c>
      <c r="I2972" s="142">
        <v>31</v>
      </c>
      <c r="J2972" s="142">
        <v>31</v>
      </c>
      <c r="K2972" s="142">
        <v>0</v>
      </c>
      <c r="L2972" s="142">
        <v>0</v>
      </c>
      <c r="M2972" s="142">
        <v>0</v>
      </c>
    </row>
    <row r="2973" spans="1:13" x14ac:dyDescent="0.45">
      <c r="A2973" s="142" t="s">
        <v>13028</v>
      </c>
      <c r="B2973" s="142" t="s">
        <v>14462</v>
      </c>
      <c r="C2973" s="142" t="s">
        <v>15847</v>
      </c>
      <c r="D2973" s="142" t="s">
        <v>15848</v>
      </c>
      <c r="E2973" s="142" t="s">
        <v>15849</v>
      </c>
      <c r="F2973" s="142" t="s">
        <v>8246</v>
      </c>
      <c r="G2973" s="142" t="s">
        <v>8245</v>
      </c>
      <c r="H2973" s="142" t="s">
        <v>18823</v>
      </c>
      <c r="I2973" s="142">
        <v>12</v>
      </c>
      <c r="J2973" s="142">
        <v>0</v>
      </c>
      <c r="K2973" s="142">
        <v>0</v>
      </c>
      <c r="L2973" s="142">
        <v>0</v>
      </c>
      <c r="M2973" s="142">
        <v>12</v>
      </c>
    </row>
    <row r="2974" spans="1:13" x14ac:dyDescent="0.45">
      <c r="A2974" s="142" t="s">
        <v>13127</v>
      </c>
      <c r="B2974" s="142" t="s">
        <v>15549</v>
      </c>
      <c r="C2974" s="142" t="s">
        <v>15847</v>
      </c>
      <c r="D2974" s="142" t="s">
        <v>15848</v>
      </c>
      <c r="E2974" s="142" t="s">
        <v>15849</v>
      </c>
      <c r="F2974" s="142" t="s">
        <v>8246</v>
      </c>
      <c r="G2974" s="142" t="s">
        <v>8245</v>
      </c>
      <c r="H2974" s="142" t="s">
        <v>18824</v>
      </c>
      <c r="I2974" s="142">
        <v>4</v>
      </c>
      <c r="J2974" s="142">
        <v>4</v>
      </c>
      <c r="K2974" s="142">
        <v>0</v>
      </c>
      <c r="L2974" s="142">
        <v>0</v>
      </c>
      <c r="M2974" s="142">
        <v>0</v>
      </c>
    </row>
    <row r="2975" spans="1:13" x14ac:dyDescent="0.45">
      <c r="A2975" s="142" t="s">
        <v>13671</v>
      </c>
      <c r="B2975" s="142" t="s">
        <v>15293</v>
      </c>
      <c r="C2975" s="142" t="s">
        <v>15860</v>
      </c>
      <c r="D2975" s="142" t="s">
        <v>15861</v>
      </c>
      <c r="E2975" s="142" t="s">
        <v>15849</v>
      </c>
      <c r="F2975" s="142" t="s">
        <v>8246</v>
      </c>
      <c r="G2975" s="142" t="s">
        <v>8245</v>
      </c>
      <c r="H2975" s="142" t="s">
        <v>18825</v>
      </c>
      <c r="I2975" s="142">
        <v>12</v>
      </c>
      <c r="J2975" s="142">
        <v>0</v>
      </c>
      <c r="K2975" s="142">
        <v>0</v>
      </c>
      <c r="L2975" s="142">
        <v>12</v>
      </c>
      <c r="M2975" s="142">
        <v>0</v>
      </c>
    </row>
    <row r="2976" spans="1:13" x14ac:dyDescent="0.45">
      <c r="A2976" s="142" t="s">
        <v>13005</v>
      </c>
      <c r="B2976" s="142" t="s">
        <v>15475</v>
      </c>
      <c r="C2976" s="142" t="s">
        <v>15847</v>
      </c>
      <c r="D2976" s="142" t="s">
        <v>15848</v>
      </c>
      <c r="E2976" s="142" t="s">
        <v>15849</v>
      </c>
      <c r="F2976" s="142" t="s">
        <v>8246</v>
      </c>
      <c r="G2976" s="142" t="s">
        <v>8245</v>
      </c>
      <c r="H2976" s="142" t="s">
        <v>18826</v>
      </c>
      <c r="I2976" s="142">
        <v>14</v>
      </c>
      <c r="J2976" s="142">
        <v>0</v>
      </c>
      <c r="K2976" s="142">
        <v>0</v>
      </c>
      <c r="L2976" s="142">
        <v>0</v>
      </c>
      <c r="M2976" s="142">
        <v>14</v>
      </c>
    </row>
    <row r="2977" spans="1:13" x14ac:dyDescent="0.45">
      <c r="A2977" s="142" t="s">
        <v>13006</v>
      </c>
      <c r="B2977" s="142" t="s">
        <v>15288</v>
      </c>
      <c r="C2977" s="142" t="s">
        <v>15847</v>
      </c>
      <c r="D2977" s="142" t="s">
        <v>15848</v>
      </c>
      <c r="E2977" s="142" t="s">
        <v>15849</v>
      </c>
      <c r="F2977" s="142" t="s">
        <v>8246</v>
      </c>
      <c r="G2977" s="142" t="s">
        <v>8245</v>
      </c>
      <c r="H2977" s="142" t="s">
        <v>18827</v>
      </c>
      <c r="I2977" s="142">
        <v>243</v>
      </c>
      <c r="J2977" s="142">
        <v>141</v>
      </c>
      <c r="K2977" s="142">
        <v>0</v>
      </c>
      <c r="L2977" s="142">
        <v>0</v>
      </c>
      <c r="M2977" s="142">
        <v>102</v>
      </c>
    </row>
    <row r="2978" spans="1:13" x14ac:dyDescent="0.45">
      <c r="A2978" s="142" t="s">
        <v>13568</v>
      </c>
      <c r="B2978" s="142" t="s">
        <v>15242</v>
      </c>
      <c r="C2978" s="142" t="s">
        <v>15847</v>
      </c>
      <c r="D2978" s="142" t="s">
        <v>15848</v>
      </c>
      <c r="E2978" s="142" t="s">
        <v>15849</v>
      </c>
      <c r="F2978" s="142" t="s">
        <v>8246</v>
      </c>
      <c r="G2978" s="142" t="s">
        <v>8245</v>
      </c>
      <c r="H2978" s="142" t="s">
        <v>18828</v>
      </c>
      <c r="I2978" s="142">
        <v>1</v>
      </c>
      <c r="J2978" s="142">
        <v>1</v>
      </c>
      <c r="K2978" s="142">
        <v>0</v>
      </c>
      <c r="L2978" s="142">
        <v>0</v>
      </c>
      <c r="M2978" s="142">
        <v>0</v>
      </c>
    </row>
    <row r="2979" spans="1:13" x14ac:dyDescent="0.45">
      <c r="A2979" s="142" t="s">
        <v>13055</v>
      </c>
      <c r="B2979" s="142" t="s">
        <v>14595</v>
      </c>
      <c r="C2979" s="142" t="s">
        <v>15847</v>
      </c>
      <c r="D2979" s="142" t="s">
        <v>15848</v>
      </c>
      <c r="E2979" s="142" t="s">
        <v>15849</v>
      </c>
      <c r="F2979" s="142" t="s">
        <v>8246</v>
      </c>
      <c r="G2979" s="142" t="s">
        <v>8245</v>
      </c>
      <c r="H2979" s="142" t="s">
        <v>18829</v>
      </c>
      <c r="I2979" s="142">
        <v>4877</v>
      </c>
      <c r="J2979" s="142">
        <v>3848</v>
      </c>
      <c r="K2979" s="142">
        <v>0</v>
      </c>
      <c r="L2979" s="142">
        <v>752</v>
      </c>
      <c r="M2979" s="142">
        <v>277</v>
      </c>
    </row>
    <row r="2980" spans="1:13" x14ac:dyDescent="0.45">
      <c r="A2980" s="142" t="s">
        <v>13104</v>
      </c>
      <c r="B2980" s="142" t="s">
        <v>14622</v>
      </c>
      <c r="C2980" s="142" t="s">
        <v>15847</v>
      </c>
      <c r="D2980" s="142" t="s">
        <v>15848</v>
      </c>
      <c r="E2980" s="142" t="s">
        <v>15849</v>
      </c>
      <c r="F2980" s="142" t="s">
        <v>8246</v>
      </c>
      <c r="G2980" s="142" t="s">
        <v>8245</v>
      </c>
      <c r="H2980" s="142" t="s">
        <v>18830</v>
      </c>
      <c r="I2980" s="142">
        <v>1</v>
      </c>
      <c r="J2980" s="142">
        <v>0</v>
      </c>
      <c r="K2980" s="142">
        <v>0</v>
      </c>
      <c r="L2980" s="142">
        <v>0</v>
      </c>
      <c r="M2980" s="142">
        <v>1</v>
      </c>
    </row>
    <row r="2981" spans="1:13" x14ac:dyDescent="0.45">
      <c r="A2981" s="142" t="s">
        <v>13037</v>
      </c>
      <c r="B2981" s="142" t="s">
        <v>14519</v>
      </c>
      <c r="C2981" s="142" t="s">
        <v>15847</v>
      </c>
      <c r="D2981" s="142" t="s">
        <v>15848</v>
      </c>
      <c r="E2981" s="142" t="s">
        <v>15849</v>
      </c>
      <c r="F2981" s="142" t="s">
        <v>8246</v>
      </c>
      <c r="G2981" s="142" t="s">
        <v>8245</v>
      </c>
      <c r="H2981" s="142" t="s">
        <v>18831</v>
      </c>
      <c r="I2981" s="142">
        <v>19</v>
      </c>
      <c r="J2981" s="142">
        <v>0</v>
      </c>
      <c r="K2981" s="142">
        <v>0</v>
      </c>
      <c r="L2981" s="142">
        <v>19</v>
      </c>
      <c r="M2981" s="142">
        <v>0</v>
      </c>
    </row>
    <row r="2982" spans="1:13" x14ac:dyDescent="0.45">
      <c r="A2982" s="142" t="s">
        <v>13091</v>
      </c>
      <c r="B2982" s="142" t="s">
        <v>14473</v>
      </c>
      <c r="C2982" s="142" t="s">
        <v>15847</v>
      </c>
      <c r="D2982" s="142" t="s">
        <v>15848</v>
      </c>
      <c r="E2982" s="142" t="s">
        <v>15849</v>
      </c>
      <c r="F2982" s="142" t="s">
        <v>8246</v>
      </c>
      <c r="G2982" s="142" t="s">
        <v>8245</v>
      </c>
      <c r="H2982" s="142" t="s">
        <v>18832</v>
      </c>
      <c r="I2982" s="142">
        <v>6</v>
      </c>
      <c r="J2982" s="142">
        <v>6</v>
      </c>
      <c r="K2982" s="142">
        <v>0</v>
      </c>
      <c r="L2982" s="142">
        <v>0</v>
      </c>
      <c r="M2982" s="142">
        <v>0</v>
      </c>
    </row>
    <row r="2983" spans="1:13" x14ac:dyDescent="0.45">
      <c r="A2983" s="142" t="s">
        <v>13011</v>
      </c>
      <c r="B2983" s="142" t="s">
        <v>14695</v>
      </c>
      <c r="C2983" s="142" t="s">
        <v>15847</v>
      </c>
      <c r="D2983" s="142" t="s">
        <v>15848</v>
      </c>
      <c r="E2983" s="142" t="s">
        <v>15849</v>
      </c>
      <c r="F2983" s="142" t="s">
        <v>8246</v>
      </c>
      <c r="G2983" s="142" t="s">
        <v>8245</v>
      </c>
      <c r="H2983" s="142" t="s">
        <v>18833</v>
      </c>
      <c r="I2983" s="142">
        <v>405</v>
      </c>
      <c r="J2983" s="142">
        <v>291</v>
      </c>
      <c r="K2983" s="142">
        <v>0</v>
      </c>
      <c r="L2983" s="142">
        <v>27</v>
      </c>
      <c r="M2983" s="142">
        <v>87</v>
      </c>
    </row>
    <row r="2984" spans="1:13" x14ac:dyDescent="0.45">
      <c r="A2984" s="142" t="s">
        <v>13672</v>
      </c>
      <c r="B2984" s="142" t="s">
        <v>15254</v>
      </c>
      <c r="C2984" s="142" t="s">
        <v>15860</v>
      </c>
      <c r="D2984" s="142" t="s">
        <v>15861</v>
      </c>
      <c r="E2984" s="142" t="s">
        <v>15849</v>
      </c>
      <c r="F2984" s="142" t="s">
        <v>8246</v>
      </c>
      <c r="G2984" s="142" t="s">
        <v>8245</v>
      </c>
      <c r="H2984" s="142" t="s">
        <v>18834</v>
      </c>
      <c r="I2984" s="142">
        <v>15</v>
      </c>
      <c r="J2984" s="142">
        <v>0</v>
      </c>
      <c r="K2984" s="142">
        <v>0</v>
      </c>
      <c r="L2984" s="142">
        <v>15</v>
      </c>
      <c r="M2984" s="142">
        <v>0</v>
      </c>
    </row>
    <row r="2985" spans="1:13" x14ac:dyDescent="0.45">
      <c r="A2985" s="142" t="s">
        <v>13673</v>
      </c>
      <c r="B2985" s="142" t="s">
        <v>15591</v>
      </c>
      <c r="C2985" s="142" t="s">
        <v>15860</v>
      </c>
      <c r="D2985" s="142" t="s">
        <v>15861</v>
      </c>
      <c r="E2985" s="142" t="s">
        <v>15849</v>
      </c>
      <c r="F2985" s="142" t="s">
        <v>8246</v>
      </c>
      <c r="G2985" s="142" t="s">
        <v>8245</v>
      </c>
      <c r="H2985" s="142" t="s">
        <v>18835</v>
      </c>
      <c r="I2985" s="142">
        <v>18</v>
      </c>
      <c r="J2985" s="142">
        <v>2</v>
      </c>
      <c r="K2985" s="142">
        <v>16</v>
      </c>
      <c r="L2985" s="142">
        <v>0</v>
      </c>
      <c r="M2985" s="142">
        <v>0</v>
      </c>
    </row>
    <row r="2986" spans="1:13" x14ac:dyDescent="0.45">
      <c r="A2986" s="142" t="s">
        <v>13674</v>
      </c>
      <c r="B2986" s="142" t="s">
        <v>14702</v>
      </c>
      <c r="C2986" s="142" t="s">
        <v>15860</v>
      </c>
      <c r="D2986" s="142" t="s">
        <v>15861</v>
      </c>
      <c r="E2986" s="142" t="s">
        <v>15849</v>
      </c>
      <c r="F2986" s="142" t="s">
        <v>8246</v>
      </c>
      <c r="G2986" s="142" t="s">
        <v>8245</v>
      </c>
      <c r="H2986" s="142" t="s">
        <v>18836</v>
      </c>
      <c r="I2986" s="142">
        <v>311</v>
      </c>
      <c r="J2986" s="142">
        <v>0</v>
      </c>
      <c r="K2986" s="142">
        <v>0</v>
      </c>
      <c r="L2986" s="142">
        <v>311</v>
      </c>
      <c r="M2986" s="142">
        <v>0</v>
      </c>
    </row>
    <row r="2987" spans="1:13" x14ac:dyDescent="0.45">
      <c r="A2987" s="142" t="s">
        <v>13570</v>
      </c>
      <c r="B2987" s="142" t="s">
        <v>15181</v>
      </c>
      <c r="C2987" s="142" t="s">
        <v>15860</v>
      </c>
      <c r="D2987" s="142" t="s">
        <v>15861</v>
      </c>
      <c r="E2987" s="142" t="s">
        <v>15849</v>
      </c>
      <c r="F2987" s="142" t="s">
        <v>8246</v>
      </c>
      <c r="G2987" s="142" t="s">
        <v>8245</v>
      </c>
      <c r="H2987" s="142" t="s">
        <v>18837</v>
      </c>
      <c r="I2987" s="142">
        <v>52</v>
      </c>
      <c r="J2987" s="142">
        <v>0</v>
      </c>
      <c r="K2987" s="142">
        <v>0</v>
      </c>
      <c r="L2987" s="142">
        <v>52</v>
      </c>
      <c r="M2987" s="142">
        <v>0</v>
      </c>
    </row>
    <row r="2988" spans="1:13" x14ac:dyDescent="0.45">
      <c r="A2988" s="142" t="s">
        <v>13675</v>
      </c>
      <c r="B2988" s="142" t="s">
        <v>14711</v>
      </c>
      <c r="C2988" s="142" t="s">
        <v>15860</v>
      </c>
      <c r="D2988" s="142" t="s">
        <v>15861</v>
      </c>
      <c r="E2988" s="142" t="s">
        <v>15849</v>
      </c>
      <c r="F2988" s="142" t="s">
        <v>8246</v>
      </c>
      <c r="G2988" s="142" t="s">
        <v>8245</v>
      </c>
      <c r="H2988" s="142" t="s">
        <v>18838</v>
      </c>
      <c r="I2988" s="142">
        <v>117</v>
      </c>
      <c r="J2988" s="142">
        <v>2</v>
      </c>
      <c r="K2988" s="142">
        <v>0</v>
      </c>
      <c r="L2988" s="142">
        <v>115</v>
      </c>
      <c r="M2988" s="142">
        <v>0</v>
      </c>
    </row>
    <row r="2989" spans="1:13" x14ac:dyDescent="0.45">
      <c r="A2989" s="142" t="s">
        <v>13016</v>
      </c>
      <c r="B2989" s="142" t="s">
        <v>14535</v>
      </c>
      <c r="C2989" s="142" t="s">
        <v>15860</v>
      </c>
      <c r="D2989" s="142" t="s">
        <v>15861</v>
      </c>
      <c r="E2989" s="142" t="s">
        <v>15849</v>
      </c>
      <c r="F2989" s="142" t="s">
        <v>8246</v>
      </c>
      <c r="G2989" s="142" t="s">
        <v>8245</v>
      </c>
      <c r="H2989" s="142" t="s">
        <v>18839</v>
      </c>
      <c r="I2989" s="142">
        <v>7</v>
      </c>
      <c r="J2989" s="142">
        <v>0</v>
      </c>
      <c r="K2989" s="142">
        <v>0</v>
      </c>
      <c r="L2989" s="142">
        <v>7</v>
      </c>
      <c r="M2989" s="142">
        <v>0</v>
      </c>
    </row>
    <row r="2990" spans="1:13" x14ac:dyDescent="0.45">
      <c r="A2990" s="142" t="s">
        <v>13640</v>
      </c>
      <c r="B2990" s="142" t="s">
        <v>15570</v>
      </c>
      <c r="C2990" s="142" t="s">
        <v>15847</v>
      </c>
      <c r="D2990" s="142" t="s">
        <v>15848</v>
      </c>
      <c r="E2990" s="142" t="s">
        <v>15849</v>
      </c>
      <c r="F2990" s="142" t="s">
        <v>8246</v>
      </c>
      <c r="G2990" s="142" t="s">
        <v>8245</v>
      </c>
      <c r="H2990" s="142" t="s">
        <v>18840</v>
      </c>
      <c r="I2990" s="142">
        <v>44</v>
      </c>
      <c r="J2990" s="142">
        <v>0</v>
      </c>
      <c r="K2990" s="142">
        <v>0</v>
      </c>
      <c r="L2990" s="142">
        <v>44</v>
      </c>
      <c r="M2990" s="142">
        <v>0</v>
      </c>
    </row>
    <row r="2991" spans="1:13" x14ac:dyDescent="0.45">
      <c r="A2991" s="142" t="s">
        <v>13110</v>
      </c>
      <c r="B2991" s="142" t="s">
        <v>15502</v>
      </c>
      <c r="C2991" s="142" t="s">
        <v>15847</v>
      </c>
      <c r="D2991" s="142" t="s">
        <v>15848</v>
      </c>
      <c r="E2991" s="142" t="s">
        <v>15849</v>
      </c>
      <c r="F2991" s="142" t="s">
        <v>11566</v>
      </c>
      <c r="G2991" s="142" t="s">
        <v>11565</v>
      </c>
      <c r="H2991" s="142" t="s">
        <v>18841</v>
      </c>
      <c r="I2991" s="142">
        <v>53</v>
      </c>
      <c r="J2991" s="142">
        <v>0</v>
      </c>
      <c r="K2991" s="142">
        <v>0</v>
      </c>
      <c r="L2991" s="142">
        <v>0</v>
      </c>
      <c r="M2991" s="142">
        <v>53</v>
      </c>
    </row>
    <row r="2992" spans="1:13" x14ac:dyDescent="0.45">
      <c r="A2992" s="142" t="s">
        <v>13677</v>
      </c>
      <c r="B2992" s="142" t="s">
        <v>15607</v>
      </c>
      <c r="C2992" s="142" t="s">
        <v>15860</v>
      </c>
      <c r="D2992" s="142" t="s">
        <v>15861</v>
      </c>
      <c r="E2992" s="142" t="s">
        <v>15849</v>
      </c>
      <c r="F2992" s="142" t="s">
        <v>11566</v>
      </c>
      <c r="G2992" s="142" t="s">
        <v>11565</v>
      </c>
      <c r="H2992" s="142" t="s">
        <v>18842</v>
      </c>
      <c r="I2992" s="142">
        <v>26</v>
      </c>
      <c r="J2992" s="142">
        <v>26</v>
      </c>
      <c r="K2992" s="142">
        <v>0</v>
      </c>
      <c r="L2992" s="142">
        <v>0</v>
      </c>
      <c r="M2992" s="142">
        <v>0</v>
      </c>
    </row>
    <row r="2993" spans="1:13" x14ac:dyDescent="0.45">
      <c r="A2993" s="142" t="s">
        <v>13023</v>
      </c>
      <c r="B2993" s="142" t="s">
        <v>15571</v>
      </c>
      <c r="C2993" s="142" t="s">
        <v>15847</v>
      </c>
      <c r="D2993" s="142" t="s">
        <v>15848</v>
      </c>
      <c r="E2993" s="142" t="s">
        <v>15849</v>
      </c>
      <c r="F2993" s="142" t="s">
        <v>11566</v>
      </c>
      <c r="G2993" s="142" t="s">
        <v>11565</v>
      </c>
      <c r="H2993" s="142" t="s">
        <v>18843</v>
      </c>
      <c r="I2993" s="142">
        <v>160</v>
      </c>
      <c r="J2993" s="142">
        <v>0</v>
      </c>
      <c r="K2993" s="142">
        <v>0</v>
      </c>
      <c r="L2993" s="142">
        <v>160</v>
      </c>
      <c r="M2993" s="142">
        <v>0</v>
      </c>
    </row>
    <row r="2994" spans="1:13" x14ac:dyDescent="0.45">
      <c r="A2994" s="142" t="s">
        <v>13112</v>
      </c>
      <c r="B2994" s="142" t="s">
        <v>15552</v>
      </c>
      <c r="C2994" s="142" t="s">
        <v>15860</v>
      </c>
      <c r="D2994" s="142" t="s">
        <v>15861</v>
      </c>
      <c r="E2994" s="142" t="s">
        <v>15849</v>
      </c>
      <c r="F2994" s="142" t="s">
        <v>11566</v>
      </c>
      <c r="G2994" s="142" t="s">
        <v>11565</v>
      </c>
      <c r="H2994" s="142" t="s">
        <v>18844</v>
      </c>
      <c r="I2994" s="142">
        <v>56</v>
      </c>
      <c r="J2994" s="142">
        <v>56</v>
      </c>
      <c r="K2994" s="142">
        <v>0</v>
      </c>
      <c r="L2994" s="142">
        <v>0</v>
      </c>
      <c r="M2994" s="142">
        <v>0</v>
      </c>
    </row>
    <row r="2995" spans="1:13" x14ac:dyDescent="0.45">
      <c r="A2995" s="142" t="s">
        <v>13113</v>
      </c>
      <c r="B2995" s="142" t="s">
        <v>14503</v>
      </c>
      <c r="C2995" s="142" t="s">
        <v>15860</v>
      </c>
      <c r="D2995" s="142" t="s">
        <v>15861</v>
      </c>
      <c r="E2995" s="142" t="s">
        <v>15849</v>
      </c>
      <c r="F2995" s="142" t="s">
        <v>11566</v>
      </c>
      <c r="G2995" s="142" t="s">
        <v>11565</v>
      </c>
      <c r="H2995" s="142" t="s">
        <v>18845</v>
      </c>
      <c r="I2995" s="142">
        <v>1</v>
      </c>
      <c r="J2995" s="142">
        <v>0</v>
      </c>
      <c r="K2995" s="142">
        <v>0</v>
      </c>
      <c r="L2995" s="142">
        <v>1</v>
      </c>
      <c r="M2995" s="142">
        <v>0</v>
      </c>
    </row>
    <row r="2996" spans="1:13" x14ac:dyDescent="0.45">
      <c r="A2996" s="142" t="s">
        <v>13082</v>
      </c>
      <c r="B2996" s="142" t="s">
        <v>14478</v>
      </c>
      <c r="C2996" s="142" t="s">
        <v>15860</v>
      </c>
      <c r="D2996" s="142" t="s">
        <v>15861</v>
      </c>
      <c r="E2996" s="142" t="s">
        <v>15849</v>
      </c>
      <c r="F2996" s="142" t="s">
        <v>11566</v>
      </c>
      <c r="G2996" s="142" t="s">
        <v>11565</v>
      </c>
      <c r="H2996" s="142" t="s">
        <v>18846</v>
      </c>
      <c r="I2996" s="142">
        <v>16</v>
      </c>
      <c r="J2996" s="142">
        <v>0</v>
      </c>
      <c r="K2996" s="142">
        <v>0</v>
      </c>
      <c r="L2996" s="142">
        <v>16</v>
      </c>
      <c r="M2996" s="142">
        <v>0</v>
      </c>
    </row>
    <row r="2997" spans="1:13" x14ac:dyDescent="0.45">
      <c r="A2997" s="142" t="s">
        <v>13115</v>
      </c>
      <c r="B2997" s="142" t="s">
        <v>14508</v>
      </c>
      <c r="C2997" s="142" t="s">
        <v>15860</v>
      </c>
      <c r="D2997" s="142" t="s">
        <v>15861</v>
      </c>
      <c r="E2997" s="142" t="s">
        <v>15849</v>
      </c>
      <c r="F2997" s="142" t="s">
        <v>11566</v>
      </c>
      <c r="G2997" s="142" t="s">
        <v>11565</v>
      </c>
      <c r="H2997" s="142" t="s">
        <v>18847</v>
      </c>
      <c r="I2997" s="142">
        <v>13</v>
      </c>
      <c r="J2997" s="142">
        <v>0</v>
      </c>
      <c r="K2997" s="142">
        <v>0</v>
      </c>
      <c r="L2997" s="142">
        <v>13</v>
      </c>
      <c r="M2997" s="142">
        <v>0</v>
      </c>
    </row>
    <row r="2998" spans="1:13" x14ac:dyDescent="0.45">
      <c r="A2998" s="142" t="s">
        <v>13116</v>
      </c>
      <c r="B2998" s="142" t="s">
        <v>15510</v>
      </c>
      <c r="C2998" s="142" t="s">
        <v>15847</v>
      </c>
      <c r="D2998" s="142" t="s">
        <v>15848</v>
      </c>
      <c r="E2998" s="142" t="s">
        <v>15849</v>
      </c>
      <c r="F2998" s="142" t="s">
        <v>11566</v>
      </c>
      <c r="G2998" s="142" t="s">
        <v>11565</v>
      </c>
      <c r="H2998" s="142" t="s">
        <v>18848</v>
      </c>
      <c r="I2998" s="142">
        <v>732</v>
      </c>
      <c r="J2998" s="142">
        <v>433</v>
      </c>
      <c r="K2998" s="142">
        <v>0</v>
      </c>
      <c r="L2998" s="142">
        <v>282</v>
      </c>
      <c r="M2998" s="142">
        <v>17</v>
      </c>
    </row>
    <row r="2999" spans="1:13" x14ac:dyDescent="0.45">
      <c r="A2999" s="142" t="s">
        <v>13000</v>
      </c>
      <c r="B2999" s="142" t="s">
        <v>14610</v>
      </c>
      <c r="C2999" s="142" t="s">
        <v>15847</v>
      </c>
      <c r="D2999" s="142" t="s">
        <v>15848</v>
      </c>
      <c r="E2999" s="142" t="s">
        <v>15849</v>
      </c>
      <c r="F2999" s="142" t="s">
        <v>11566</v>
      </c>
      <c r="G2999" s="142" t="s">
        <v>11565</v>
      </c>
      <c r="H2999" s="142" t="s">
        <v>18849</v>
      </c>
      <c r="I2999" s="142">
        <v>382</v>
      </c>
      <c r="J2999" s="142">
        <v>175</v>
      </c>
      <c r="K2999" s="142">
        <v>0</v>
      </c>
      <c r="L2999" s="142">
        <v>0</v>
      </c>
      <c r="M2999" s="142">
        <v>207</v>
      </c>
    </row>
    <row r="3000" spans="1:13" x14ac:dyDescent="0.45">
      <c r="A3000" s="142" t="s">
        <v>13098</v>
      </c>
      <c r="B3000" s="142" t="s">
        <v>14528</v>
      </c>
      <c r="C3000" s="142" t="s">
        <v>15860</v>
      </c>
      <c r="D3000" s="142" t="s">
        <v>15861</v>
      </c>
      <c r="E3000" s="142" t="s">
        <v>15849</v>
      </c>
      <c r="F3000" s="142" t="s">
        <v>11566</v>
      </c>
      <c r="G3000" s="142" t="s">
        <v>11565</v>
      </c>
      <c r="H3000" s="142" t="s">
        <v>18850</v>
      </c>
      <c r="I3000" s="142">
        <v>4</v>
      </c>
      <c r="J3000" s="142">
        <v>4</v>
      </c>
      <c r="K3000" s="142">
        <v>0</v>
      </c>
      <c r="L3000" s="142">
        <v>0</v>
      </c>
      <c r="M3000" s="142">
        <v>0</v>
      </c>
    </row>
    <row r="3001" spans="1:13" x14ac:dyDescent="0.45">
      <c r="A3001" s="142" t="s">
        <v>13309</v>
      </c>
      <c r="B3001" s="142" t="s">
        <v>14597</v>
      </c>
      <c r="C3001" s="142" t="s">
        <v>15860</v>
      </c>
      <c r="D3001" s="142" t="s">
        <v>15861</v>
      </c>
      <c r="E3001" s="142" t="s">
        <v>15849</v>
      </c>
      <c r="F3001" s="142" t="s">
        <v>11566</v>
      </c>
      <c r="G3001" s="142" t="s">
        <v>11565</v>
      </c>
      <c r="H3001" s="142" t="s">
        <v>18851</v>
      </c>
      <c r="I3001" s="142">
        <v>12</v>
      </c>
      <c r="J3001" s="142">
        <v>12</v>
      </c>
      <c r="K3001" s="142">
        <v>0</v>
      </c>
      <c r="L3001" s="142">
        <v>0</v>
      </c>
      <c r="M3001" s="142">
        <v>0</v>
      </c>
    </row>
    <row r="3002" spans="1:13" x14ac:dyDescent="0.45">
      <c r="A3002" s="142" t="s">
        <v>13027</v>
      </c>
      <c r="B3002" s="142" t="s">
        <v>14562</v>
      </c>
      <c r="C3002" s="142" t="s">
        <v>15847</v>
      </c>
      <c r="D3002" s="142" t="s">
        <v>15848</v>
      </c>
      <c r="E3002" s="142" t="s">
        <v>15849</v>
      </c>
      <c r="F3002" s="142" t="s">
        <v>11566</v>
      </c>
      <c r="G3002" s="142" t="s">
        <v>11565</v>
      </c>
      <c r="H3002" s="142" t="s">
        <v>18852</v>
      </c>
      <c r="I3002" s="142">
        <v>9</v>
      </c>
      <c r="J3002" s="142">
        <v>0</v>
      </c>
      <c r="K3002" s="142">
        <v>0</v>
      </c>
      <c r="L3002" s="142">
        <v>9</v>
      </c>
      <c r="M3002" s="142">
        <v>0</v>
      </c>
    </row>
    <row r="3003" spans="1:13" x14ac:dyDescent="0.45">
      <c r="A3003" s="142" t="s">
        <v>13001</v>
      </c>
      <c r="B3003" s="142" t="s">
        <v>15506</v>
      </c>
      <c r="C3003" s="142" t="s">
        <v>15847</v>
      </c>
      <c r="D3003" s="142" t="s">
        <v>15848</v>
      </c>
      <c r="E3003" s="142" t="s">
        <v>15849</v>
      </c>
      <c r="F3003" s="142" t="s">
        <v>11566</v>
      </c>
      <c r="G3003" s="142" t="s">
        <v>11565</v>
      </c>
      <c r="H3003" s="142" t="s">
        <v>18853</v>
      </c>
      <c r="I3003" s="142">
        <v>39</v>
      </c>
      <c r="J3003" s="142">
        <v>38</v>
      </c>
      <c r="K3003" s="142">
        <v>0</v>
      </c>
      <c r="L3003" s="142">
        <v>1</v>
      </c>
      <c r="M3003" s="142">
        <v>0</v>
      </c>
    </row>
    <row r="3004" spans="1:13" x14ac:dyDescent="0.45">
      <c r="A3004" s="142" t="s">
        <v>13028</v>
      </c>
      <c r="B3004" s="142" t="s">
        <v>14462</v>
      </c>
      <c r="C3004" s="142" t="s">
        <v>15847</v>
      </c>
      <c r="D3004" s="142" t="s">
        <v>15848</v>
      </c>
      <c r="E3004" s="142" t="s">
        <v>15849</v>
      </c>
      <c r="F3004" s="142" t="s">
        <v>11566</v>
      </c>
      <c r="G3004" s="142" t="s">
        <v>11565</v>
      </c>
      <c r="H3004" s="142" t="s">
        <v>18854</v>
      </c>
      <c r="I3004" s="142">
        <v>3</v>
      </c>
      <c r="J3004" s="142">
        <v>0</v>
      </c>
      <c r="K3004" s="142">
        <v>0</v>
      </c>
      <c r="L3004" s="142">
        <v>0</v>
      </c>
      <c r="M3004" s="142">
        <v>3</v>
      </c>
    </row>
    <row r="3005" spans="1:13" x14ac:dyDescent="0.45">
      <c r="A3005" s="142" t="s">
        <v>13160</v>
      </c>
      <c r="B3005" s="142" t="s">
        <v>14525</v>
      </c>
      <c r="C3005" s="142" t="s">
        <v>15847</v>
      </c>
      <c r="D3005" s="142" t="s">
        <v>15848</v>
      </c>
      <c r="E3005" s="142" t="s">
        <v>15849</v>
      </c>
      <c r="F3005" s="142" t="s">
        <v>11566</v>
      </c>
      <c r="G3005" s="142" t="s">
        <v>11565</v>
      </c>
      <c r="H3005" s="142" t="s">
        <v>18855</v>
      </c>
      <c r="I3005" s="142">
        <v>16</v>
      </c>
      <c r="J3005" s="142">
        <v>0</v>
      </c>
      <c r="K3005" s="142">
        <v>0</v>
      </c>
      <c r="L3005" s="142">
        <v>16</v>
      </c>
      <c r="M3005" s="142">
        <v>0</v>
      </c>
    </row>
    <row r="3006" spans="1:13" x14ac:dyDescent="0.45">
      <c r="A3006" s="142" t="s">
        <v>13002</v>
      </c>
      <c r="B3006" s="142" t="s">
        <v>15376</v>
      </c>
      <c r="C3006" s="142" t="s">
        <v>15847</v>
      </c>
      <c r="D3006" s="142" t="s">
        <v>15848</v>
      </c>
      <c r="E3006" s="142" t="s">
        <v>15849</v>
      </c>
      <c r="F3006" s="142" t="s">
        <v>11566</v>
      </c>
      <c r="G3006" s="142" t="s">
        <v>11565</v>
      </c>
      <c r="H3006" s="142" t="s">
        <v>18856</v>
      </c>
      <c r="I3006" s="142">
        <v>45</v>
      </c>
      <c r="J3006" s="142">
        <v>35</v>
      </c>
      <c r="K3006" s="142">
        <v>0</v>
      </c>
      <c r="L3006" s="142">
        <v>0</v>
      </c>
      <c r="M3006" s="142">
        <v>10</v>
      </c>
    </row>
    <row r="3007" spans="1:13" x14ac:dyDescent="0.45">
      <c r="A3007" s="142" t="s">
        <v>13003</v>
      </c>
      <c r="B3007" s="142" t="s">
        <v>15245</v>
      </c>
      <c r="C3007" s="142" t="s">
        <v>15847</v>
      </c>
      <c r="D3007" s="142" t="s">
        <v>15848</v>
      </c>
      <c r="E3007" s="142" t="s">
        <v>15849</v>
      </c>
      <c r="F3007" s="142" t="s">
        <v>11566</v>
      </c>
      <c r="G3007" s="142" t="s">
        <v>11565</v>
      </c>
      <c r="H3007" s="142" t="s">
        <v>18857</v>
      </c>
      <c r="I3007" s="142">
        <v>92</v>
      </c>
      <c r="J3007" s="142">
        <v>0</v>
      </c>
      <c r="K3007" s="142">
        <v>0</v>
      </c>
      <c r="L3007" s="142">
        <v>92</v>
      </c>
      <c r="M3007" s="142">
        <v>0</v>
      </c>
    </row>
    <row r="3008" spans="1:13" x14ac:dyDescent="0.45">
      <c r="A3008" s="142" t="s">
        <v>13635</v>
      </c>
      <c r="B3008" s="142" t="s">
        <v>14723</v>
      </c>
      <c r="C3008" s="142" t="s">
        <v>15860</v>
      </c>
      <c r="D3008" s="142" t="s">
        <v>15861</v>
      </c>
      <c r="E3008" s="142" t="s">
        <v>15849</v>
      </c>
      <c r="F3008" s="142" t="s">
        <v>11566</v>
      </c>
      <c r="G3008" s="142" t="s">
        <v>11565</v>
      </c>
      <c r="H3008" s="142" t="s">
        <v>18858</v>
      </c>
      <c r="I3008" s="142">
        <v>12</v>
      </c>
      <c r="J3008" s="142">
        <v>0</v>
      </c>
      <c r="K3008" s="142">
        <v>0</v>
      </c>
      <c r="L3008" s="142">
        <v>12</v>
      </c>
      <c r="M3008" s="142">
        <v>0</v>
      </c>
    </row>
    <row r="3009" spans="1:13" x14ac:dyDescent="0.45">
      <c r="A3009" s="142" t="s">
        <v>13066</v>
      </c>
      <c r="B3009" s="142" t="s">
        <v>14459</v>
      </c>
      <c r="C3009" s="142" t="s">
        <v>15847</v>
      </c>
      <c r="D3009" s="142" t="s">
        <v>15848</v>
      </c>
      <c r="E3009" s="142" t="s">
        <v>15849</v>
      </c>
      <c r="F3009" s="142" t="s">
        <v>11566</v>
      </c>
      <c r="G3009" s="142" t="s">
        <v>11565</v>
      </c>
      <c r="H3009" s="142" t="s">
        <v>18859</v>
      </c>
      <c r="I3009" s="142">
        <v>53</v>
      </c>
      <c r="J3009" s="142">
        <v>0</v>
      </c>
      <c r="K3009" s="142">
        <v>0</v>
      </c>
      <c r="L3009" s="142">
        <v>53</v>
      </c>
      <c r="M3009" s="142">
        <v>0</v>
      </c>
    </row>
    <row r="3010" spans="1:13" x14ac:dyDescent="0.45">
      <c r="A3010" s="142" t="s">
        <v>13124</v>
      </c>
      <c r="B3010" s="142" t="s">
        <v>15554</v>
      </c>
      <c r="C3010" s="142" t="s">
        <v>15860</v>
      </c>
      <c r="D3010" s="142" t="s">
        <v>15861</v>
      </c>
      <c r="E3010" s="142" t="s">
        <v>15849</v>
      </c>
      <c r="F3010" s="142" t="s">
        <v>11566</v>
      </c>
      <c r="G3010" s="142" t="s">
        <v>11565</v>
      </c>
      <c r="H3010" s="142" t="s">
        <v>18860</v>
      </c>
      <c r="I3010" s="142">
        <v>24</v>
      </c>
      <c r="J3010" s="142">
        <v>24</v>
      </c>
      <c r="K3010" s="142">
        <v>0</v>
      </c>
      <c r="L3010" s="142">
        <v>0</v>
      </c>
      <c r="M3010" s="142">
        <v>0</v>
      </c>
    </row>
    <row r="3011" spans="1:13" x14ac:dyDescent="0.45">
      <c r="A3011" s="142" t="s">
        <v>13127</v>
      </c>
      <c r="B3011" s="142" t="s">
        <v>15549</v>
      </c>
      <c r="C3011" s="142" t="s">
        <v>15847</v>
      </c>
      <c r="D3011" s="142" t="s">
        <v>15848</v>
      </c>
      <c r="E3011" s="142" t="s">
        <v>15849</v>
      </c>
      <c r="F3011" s="142" t="s">
        <v>11566</v>
      </c>
      <c r="G3011" s="142" t="s">
        <v>11565</v>
      </c>
      <c r="H3011" s="142" t="s">
        <v>18861</v>
      </c>
      <c r="I3011" s="142">
        <v>43</v>
      </c>
      <c r="J3011" s="142">
        <v>43</v>
      </c>
      <c r="K3011" s="142">
        <v>0</v>
      </c>
      <c r="L3011" s="142">
        <v>0</v>
      </c>
      <c r="M3011" s="142">
        <v>0</v>
      </c>
    </row>
    <row r="3012" spans="1:13" x14ac:dyDescent="0.45">
      <c r="A3012" s="142" t="s">
        <v>13076</v>
      </c>
      <c r="B3012" s="142" t="s">
        <v>14636</v>
      </c>
      <c r="C3012" s="142" t="s">
        <v>15847</v>
      </c>
      <c r="D3012" s="142" t="s">
        <v>15848</v>
      </c>
      <c r="E3012" s="142" t="s">
        <v>15849</v>
      </c>
      <c r="F3012" s="142" t="s">
        <v>11566</v>
      </c>
      <c r="G3012" s="142" t="s">
        <v>11565</v>
      </c>
      <c r="H3012" s="142" t="s">
        <v>18862</v>
      </c>
      <c r="I3012" s="142">
        <v>75</v>
      </c>
      <c r="J3012" s="142">
        <v>0</v>
      </c>
      <c r="K3012" s="142">
        <v>0</v>
      </c>
      <c r="L3012" s="142">
        <v>0</v>
      </c>
      <c r="M3012" s="142">
        <v>75</v>
      </c>
    </row>
    <row r="3013" spans="1:13" x14ac:dyDescent="0.45">
      <c r="A3013" s="142" t="s">
        <v>13100</v>
      </c>
      <c r="B3013" s="142" t="s">
        <v>15603</v>
      </c>
      <c r="C3013" s="142" t="s">
        <v>15847</v>
      </c>
      <c r="D3013" s="142" t="s">
        <v>15848</v>
      </c>
      <c r="E3013" s="142" t="s">
        <v>15849</v>
      </c>
      <c r="F3013" s="142" t="s">
        <v>11566</v>
      </c>
      <c r="G3013" s="142" t="s">
        <v>11565</v>
      </c>
      <c r="H3013" s="142" t="s">
        <v>18863</v>
      </c>
      <c r="I3013" s="142">
        <v>27</v>
      </c>
      <c r="J3013" s="142">
        <v>27</v>
      </c>
      <c r="K3013" s="142">
        <v>0</v>
      </c>
      <c r="L3013" s="142">
        <v>0</v>
      </c>
      <c r="M3013" s="142">
        <v>0</v>
      </c>
    </row>
    <row r="3014" spans="1:13" x14ac:dyDescent="0.45">
      <c r="A3014" s="142" t="s">
        <v>13005</v>
      </c>
      <c r="B3014" s="142" t="s">
        <v>15475</v>
      </c>
      <c r="C3014" s="142" t="s">
        <v>15847</v>
      </c>
      <c r="D3014" s="142" t="s">
        <v>15848</v>
      </c>
      <c r="E3014" s="142" t="s">
        <v>15849</v>
      </c>
      <c r="F3014" s="142" t="s">
        <v>11566</v>
      </c>
      <c r="G3014" s="142" t="s">
        <v>11565</v>
      </c>
      <c r="H3014" s="142" t="s">
        <v>18864</v>
      </c>
      <c r="I3014" s="142">
        <v>2033</v>
      </c>
      <c r="J3014" s="142">
        <v>1803</v>
      </c>
      <c r="K3014" s="142">
        <v>0</v>
      </c>
      <c r="L3014" s="142">
        <v>33</v>
      </c>
      <c r="M3014" s="142">
        <v>197</v>
      </c>
    </row>
    <row r="3015" spans="1:13" x14ac:dyDescent="0.45">
      <c r="A3015" s="142" t="s">
        <v>13006</v>
      </c>
      <c r="B3015" s="142" t="s">
        <v>15288</v>
      </c>
      <c r="C3015" s="142" t="s">
        <v>15847</v>
      </c>
      <c r="D3015" s="142" t="s">
        <v>15848</v>
      </c>
      <c r="E3015" s="142" t="s">
        <v>15849</v>
      </c>
      <c r="F3015" s="142" t="s">
        <v>11566</v>
      </c>
      <c r="G3015" s="142" t="s">
        <v>11565</v>
      </c>
      <c r="H3015" s="142" t="s">
        <v>18865</v>
      </c>
      <c r="I3015" s="142">
        <v>1481</v>
      </c>
      <c r="J3015" s="142">
        <v>1032</v>
      </c>
      <c r="K3015" s="142">
        <v>0</v>
      </c>
      <c r="L3015" s="142">
        <v>202</v>
      </c>
      <c r="M3015" s="142">
        <v>247</v>
      </c>
    </row>
    <row r="3016" spans="1:13" x14ac:dyDescent="0.45">
      <c r="A3016" s="142" t="s">
        <v>13007</v>
      </c>
      <c r="B3016" s="142" t="s">
        <v>15262</v>
      </c>
      <c r="C3016" s="142" t="s">
        <v>15847</v>
      </c>
      <c r="D3016" s="142" t="s">
        <v>15848</v>
      </c>
      <c r="E3016" s="142" t="s">
        <v>15849</v>
      </c>
      <c r="F3016" s="142" t="s">
        <v>11566</v>
      </c>
      <c r="G3016" s="142" t="s">
        <v>11565</v>
      </c>
      <c r="H3016" s="142" t="s">
        <v>18866</v>
      </c>
      <c r="I3016" s="142">
        <v>1</v>
      </c>
      <c r="J3016" s="142">
        <v>0</v>
      </c>
      <c r="K3016" s="142">
        <v>0</v>
      </c>
      <c r="L3016" s="142">
        <v>0</v>
      </c>
      <c r="M3016" s="142">
        <v>1</v>
      </c>
    </row>
    <row r="3017" spans="1:13" x14ac:dyDescent="0.45">
      <c r="A3017" s="142" t="s">
        <v>13102</v>
      </c>
      <c r="B3017" s="142" t="s">
        <v>15235</v>
      </c>
      <c r="C3017" s="142" t="s">
        <v>15847</v>
      </c>
      <c r="D3017" s="142" t="s">
        <v>15848</v>
      </c>
      <c r="E3017" s="142" t="s">
        <v>15849</v>
      </c>
      <c r="F3017" s="142" t="s">
        <v>11566</v>
      </c>
      <c r="G3017" s="142" t="s">
        <v>11565</v>
      </c>
      <c r="H3017" s="142" t="s">
        <v>18867</v>
      </c>
      <c r="I3017" s="142">
        <v>601</v>
      </c>
      <c r="J3017" s="142">
        <v>421</v>
      </c>
      <c r="K3017" s="142">
        <v>0</v>
      </c>
      <c r="L3017" s="142">
        <v>50</v>
      </c>
      <c r="M3017" s="142">
        <v>130</v>
      </c>
    </row>
    <row r="3018" spans="1:13" x14ac:dyDescent="0.45">
      <c r="A3018" s="142" t="s">
        <v>13678</v>
      </c>
      <c r="B3018" s="142" t="s">
        <v>15555</v>
      </c>
      <c r="C3018" s="142" t="s">
        <v>15847</v>
      </c>
      <c r="D3018" s="142" t="s">
        <v>15848</v>
      </c>
      <c r="E3018" s="142" t="s">
        <v>15849</v>
      </c>
      <c r="F3018" s="142" t="s">
        <v>11566</v>
      </c>
      <c r="G3018" s="142" t="s">
        <v>11565</v>
      </c>
      <c r="H3018" s="142" t="s">
        <v>18868</v>
      </c>
      <c r="I3018" s="142">
        <v>96</v>
      </c>
      <c r="J3018" s="142">
        <v>69</v>
      </c>
      <c r="K3018" s="142">
        <v>0</v>
      </c>
      <c r="L3018" s="142">
        <v>0</v>
      </c>
      <c r="M3018" s="142">
        <v>27</v>
      </c>
    </row>
    <row r="3019" spans="1:13" x14ac:dyDescent="0.45">
      <c r="A3019" s="142" t="s">
        <v>13103</v>
      </c>
      <c r="B3019" s="142" t="s">
        <v>14623</v>
      </c>
      <c r="C3019" s="142" t="s">
        <v>15847</v>
      </c>
      <c r="D3019" s="142" t="s">
        <v>15848</v>
      </c>
      <c r="E3019" s="142" t="s">
        <v>15849</v>
      </c>
      <c r="F3019" s="142" t="s">
        <v>11566</v>
      </c>
      <c r="G3019" s="142" t="s">
        <v>11565</v>
      </c>
      <c r="H3019" s="142" t="s">
        <v>18869</v>
      </c>
      <c r="I3019" s="142">
        <v>837</v>
      </c>
      <c r="J3019" s="142">
        <v>773</v>
      </c>
      <c r="K3019" s="142">
        <v>0</v>
      </c>
      <c r="L3019" s="142">
        <v>0</v>
      </c>
      <c r="M3019" s="142">
        <v>64</v>
      </c>
    </row>
    <row r="3020" spans="1:13" x14ac:dyDescent="0.45">
      <c r="A3020" s="142" t="s">
        <v>13054</v>
      </c>
      <c r="B3020" s="142" t="s">
        <v>15604</v>
      </c>
      <c r="C3020" s="142" t="s">
        <v>15847</v>
      </c>
      <c r="D3020" s="142" t="s">
        <v>15848</v>
      </c>
      <c r="E3020" s="142" t="s">
        <v>15849</v>
      </c>
      <c r="F3020" s="142" t="s">
        <v>11566</v>
      </c>
      <c r="G3020" s="142" t="s">
        <v>11565</v>
      </c>
      <c r="H3020" s="142" t="s">
        <v>18870</v>
      </c>
      <c r="I3020" s="142">
        <v>65</v>
      </c>
      <c r="J3020" s="142">
        <v>0</v>
      </c>
      <c r="K3020" s="142">
        <v>0</v>
      </c>
      <c r="L3020" s="142">
        <v>0</v>
      </c>
      <c r="M3020" s="142">
        <v>65</v>
      </c>
    </row>
    <row r="3021" spans="1:13" x14ac:dyDescent="0.45">
      <c r="A3021" s="142" t="s">
        <v>13008</v>
      </c>
      <c r="B3021" s="142" t="s">
        <v>15411</v>
      </c>
      <c r="C3021" s="142" t="s">
        <v>15847</v>
      </c>
      <c r="D3021" s="142" t="s">
        <v>15848</v>
      </c>
      <c r="E3021" s="142" t="s">
        <v>15849</v>
      </c>
      <c r="F3021" s="142" t="s">
        <v>11566</v>
      </c>
      <c r="G3021" s="142" t="s">
        <v>11565</v>
      </c>
      <c r="H3021" s="142" t="s">
        <v>18871</v>
      </c>
      <c r="I3021" s="142">
        <v>9</v>
      </c>
      <c r="J3021" s="142">
        <v>0</v>
      </c>
      <c r="K3021" s="142">
        <v>0</v>
      </c>
      <c r="L3021" s="142">
        <v>0</v>
      </c>
      <c r="M3021" s="142">
        <v>9</v>
      </c>
    </row>
    <row r="3022" spans="1:13" x14ac:dyDescent="0.45">
      <c r="A3022" s="142" t="s">
        <v>13341</v>
      </c>
      <c r="B3022" s="142" t="s">
        <v>14530</v>
      </c>
      <c r="C3022" s="142" t="s">
        <v>15860</v>
      </c>
      <c r="D3022" s="142" t="s">
        <v>15861</v>
      </c>
      <c r="E3022" s="142" t="s">
        <v>15849</v>
      </c>
      <c r="F3022" s="142" t="s">
        <v>11566</v>
      </c>
      <c r="G3022" s="142" t="s">
        <v>11565</v>
      </c>
      <c r="H3022" s="142" t="s">
        <v>18872</v>
      </c>
      <c r="I3022" s="142">
        <v>190</v>
      </c>
      <c r="J3022" s="142">
        <v>180</v>
      </c>
      <c r="K3022" s="142">
        <v>0</v>
      </c>
      <c r="L3022" s="142">
        <v>10</v>
      </c>
      <c r="M3022" s="142">
        <v>0</v>
      </c>
    </row>
    <row r="3023" spans="1:13" x14ac:dyDescent="0.45">
      <c r="A3023" s="142" t="s">
        <v>13133</v>
      </c>
      <c r="B3023" s="142" t="s">
        <v>15291</v>
      </c>
      <c r="C3023" s="142" t="s">
        <v>15847</v>
      </c>
      <c r="D3023" s="142" t="s">
        <v>15848</v>
      </c>
      <c r="E3023" s="142" t="s">
        <v>15849</v>
      </c>
      <c r="F3023" s="142" t="s">
        <v>11566</v>
      </c>
      <c r="G3023" s="142" t="s">
        <v>11565</v>
      </c>
      <c r="H3023" s="142" t="s">
        <v>18873</v>
      </c>
      <c r="I3023" s="142">
        <v>907</v>
      </c>
      <c r="J3023" s="142">
        <v>473</v>
      </c>
      <c r="K3023" s="142">
        <v>365</v>
      </c>
      <c r="L3023" s="142">
        <v>0</v>
      </c>
      <c r="M3023" s="142">
        <v>69</v>
      </c>
    </row>
    <row r="3024" spans="1:13" x14ac:dyDescent="0.45">
      <c r="A3024" s="142" t="s">
        <v>13135</v>
      </c>
      <c r="B3024" s="142" t="s">
        <v>15575</v>
      </c>
      <c r="C3024" s="142" t="s">
        <v>15847</v>
      </c>
      <c r="D3024" s="142" t="s">
        <v>15848</v>
      </c>
      <c r="E3024" s="142" t="s">
        <v>15849</v>
      </c>
      <c r="F3024" s="142" t="s">
        <v>11566</v>
      </c>
      <c r="G3024" s="142" t="s">
        <v>11565</v>
      </c>
      <c r="H3024" s="142" t="s">
        <v>18874</v>
      </c>
      <c r="I3024" s="142">
        <v>123</v>
      </c>
      <c r="J3024" s="142">
        <v>81</v>
      </c>
      <c r="K3024" s="142">
        <v>0</v>
      </c>
      <c r="L3024" s="142">
        <v>0</v>
      </c>
      <c r="M3024" s="142">
        <v>42</v>
      </c>
    </row>
    <row r="3025" spans="1:13" x14ac:dyDescent="0.45">
      <c r="A3025" s="142" t="s">
        <v>13679</v>
      </c>
      <c r="B3025" s="142" t="s">
        <v>14504</v>
      </c>
      <c r="C3025" s="142" t="s">
        <v>15860</v>
      </c>
      <c r="D3025" s="142" t="s">
        <v>15861</v>
      </c>
      <c r="E3025" s="142" t="s">
        <v>15849</v>
      </c>
      <c r="F3025" s="142" t="s">
        <v>11566</v>
      </c>
      <c r="G3025" s="142" t="s">
        <v>11565</v>
      </c>
      <c r="H3025" s="142" t="s">
        <v>18875</v>
      </c>
      <c r="I3025" s="142">
        <v>20</v>
      </c>
      <c r="J3025" s="142">
        <v>0</v>
      </c>
      <c r="K3025" s="142">
        <v>0</v>
      </c>
      <c r="L3025" s="142">
        <v>20</v>
      </c>
      <c r="M3025" s="142">
        <v>0</v>
      </c>
    </row>
    <row r="3026" spans="1:13" x14ac:dyDescent="0.45">
      <c r="A3026" s="142" t="s">
        <v>13104</v>
      </c>
      <c r="B3026" s="142" t="s">
        <v>14622</v>
      </c>
      <c r="C3026" s="142" t="s">
        <v>15847</v>
      </c>
      <c r="D3026" s="142" t="s">
        <v>15848</v>
      </c>
      <c r="E3026" s="142" t="s">
        <v>15849</v>
      </c>
      <c r="F3026" s="142" t="s">
        <v>11566</v>
      </c>
      <c r="G3026" s="142" t="s">
        <v>11565</v>
      </c>
      <c r="H3026" s="142" t="s">
        <v>18876</v>
      </c>
      <c r="I3026" s="142">
        <v>75</v>
      </c>
      <c r="J3026" s="142">
        <v>73</v>
      </c>
      <c r="K3026" s="142">
        <v>0</v>
      </c>
      <c r="L3026" s="142">
        <v>0</v>
      </c>
      <c r="M3026" s="142">
        <v>2</v>
      </c>
    </row>
    <row r="3027" spans="1:13" x14ac:dyDescent="0.45">
      <c r="A3027" s="142" t="s">
        <v>13033</v>
      </c>
      <c r="B3027" s="142" t="s">
        <v>15276</v>
      </c>
      <c r="C3027" s="142" t="s">
        <v>15847</v>
      </c>
      <c r="D3027" s="142" t="s">
        <v>15848</v>
      </c>
      <c r="E3027" s="142" t="s">
        <v>15849</v>
      </c>
      <c r="F3027" s="142" t="s">
        <v>11566</v>
      </c>
      <c r="G3027" s="142" t="s">
        <v>11565</v>
      </c>
      <c r="H3027" s="142" t="s">
        <v>18877</v>
      </c>
      <c r="I3027" s="142">
        <v>66</v>
      </c>
      <c r="J3027" s="142">
        <v>62</v>
      </c>
      <c r="K3027" s="142">
        <v>0</v>
      </c>
      <c r="L3027" s="142">
        <v>0</v>
      </c>
      <c r="M3027" s="142">
        <v>4</v>
      </c>
    </row>
    <row r="3028" spans="1:13" x14ac:dyDescent="0.45">
      <c r="A3028" s="142" t="s">
        <v>13038</v>
      </c>
      <c r="B3028" s="142" t="s">
        <v>14646</v>
      </c>
      <c r="C3028" s="142" t="s">
        <v>15847</v>
      </c>
      <c r="D3028" s="142" t="s">
        <v>15848</v>
      </c>
      <c r="E3028" s="142" t="s">
        <v>15849</v>
      </c>
      <c r="F3028" s="142" t="s">
        <v>11566</v>
      </c>
      <c r="G3028" s="142" t="s">
        <v>11565</v>
      </c>
      <c r="H3028" s="142" t="s">
        <v>18878</v>
      </c>
      <c r="I3028" s="142">
        <v>127</v>
      </c>
      <c r="J3028" s="142">
        <v>0</v>
      </c>
      <c r="K3028" s="142">
        <v>0</v>
      </c>
      <c r="L3028" s="142">
        <v>0</v>
      </c>
      <c r="M3028" s="142">
        <v>127</v>
      </c>
    </row>
    <row r="3029" spans="1:13" x14ac:dyDescent="0.45">
      <c r="A3029" s="142" t="s">
        <v>13009</v>
      </c>
      <c r="B3029" s="142" t="s">
        <v>15256</v>
      </c>
      <c r="C3029" s="142" t="s">
        <v>15847</v>
      </c>
      <c r="D3029" s="142" t="s">
        <v>15848</v>
      </c>
      <c r="E3029" s="142" t="s">
        <v>15849</v>
      </c>
      <c r="F3029" s="142" t="s">
        <v>11566</v>
      </c>
      <c r="G3029" s="142" t="s">
        <v>11565</v>
      </c>
      <c r="H3029" s="142" t="s">
        <v>18879</v>
      </c>
      <c r="I3029" s="142">
        <v>245</v>
      </c>
      <c r="J3029" s="142">
        <v>210</v>
      </c>
      <c r="K3029" s="142">
        <v>0</v>
      </c>
      <c r="L3029" s="142">
        <v>32</v>
      </c>
      <c r="M3029" s="142">
        <v>3</v>
      </c>
    </row>
    <row r="3030" spans="1:13" x14ac:dyDescent="0.45">
      <c r="A3030" s="142" t="s">
        <v>13011</v>
      </c>
      <c r="B3030" s="142" t="s">
        <v>14695</v>
      </c>
      <c r="C3030" s="142" t="s">
        <v>15847</v>
      </c>
      <c r="D3030" s="142" t="s">
        <v>15848</v>
      </c>
      <c r="E3030" s="142" t="s">
        <v>15849</v>
      </c>
      <c r="F3030" s="142" t="s">
        <v>11566</v>
      </c>
      <c r="G3030" s="142" t="s">
        <v>11565</v>
      </c>
      <c r="H3030" s="142" t="s">
        <v>18880</v>
      </c>
      <c r="I3030" s="142">
        <v>522</v>
      </c>
      <c r="J3030" s="142">
        <v>440</v>
      </c>
      <c r="K3030" s="142">
        <v>0</v>
      </c>
      <c r="L3030" s="142">
        <v>34</v>
      </c>
      <c r="M3030" s="142">
        <v>48</v>
      </c>
    </row>
    <row r="3031" spans="1:13" x14ac:dyDescent="0.45">
      <c r="A3031" s="142" t="s">
        <v>13058</v>
      </c>
      <c r="B3031" s="142" t="s">
        <v>14584</v>
      </c>
      <c r="C3031" s="142" t="s">
        <v>15847</v>
      </c>
      <c r="D3031" s="142" t="s">
        <v>15848</v>
      </c>
      <c r="E3031" s="142" t="s">
        <v>15849</v>
      </c>
      <c r="F3031" s="142" t="s">
        <v>11566</v>
      </c>
      <c r="G3031" s="142" t="s">
        <v>11565</v>
      </c>
      <c r="H3031" s="142" t="s">
        <v>18881</v>
      </c>
      <c r="I3031" s="142">
        <v>1</v>
      </c>
      <c r="J3031" s="142">
        <v>1</v>
      </c>
      <c r="K3031" s="142">
        <v>0</v>
      </c>
      <c r="L3031" s="142">
        <v>0</v>
      </c>
      <c r="M3031" s="142">
        <v>0</v>
      </c>
    </row>
    <row r="3032" spans="1:13" x14ac:dyDescent="0.45">
      <c r="A3032" s="142" t="s">
        <v>13442</v>
      </c>
      <c r="B3032" s="142" t="s">
        <v>15606</v>
      </c>
      <c r="C3032" s="142" t="s">
        <v>15860</v>
      </c>
      <c r="D3032" s="142" t="s">
        <v>15861</v>
      </c>
      <c r="E3032" s="142" t="s">
        <v>15849</v>
      </c>
      <c r="F3032" s="142" t="s">
        <v>11566</v>
      </c>
      <c r="G3032" s="142" t="s">
        <v>11565</v>
      </c>
      <c r="H3032" s="142" t="s">
        <v>18882</v>
      </c>
      <c r="I3032" s="142">
        <v>1</v>
      </c>
      <c r="J3032" s="142">
        <v>1</v>
      </c>
      <c r="K3032" s="142">
        <v>0</v>
      </c>
      <c r="L3032" s="142">
        <v>0</v>
      </c>
      <c r="M3032" s="142">
        <v>0</v>
      </c>
    </row>
    <row r="3033" spans="1:13" x14ac:dyDescent="0.45">
      <c r="A3033" s="142" t="s">
        <v>13680</v>
      </c>
      <c r="B3033" s="142" t="s">
        <v>14961</v>
      </c>
      <c r="C3033" s="142" t="s">
        <v>15860</v>
      </c>
      <c r="D3033" s="142" t="s">
        <v>15861</v>
      </c>
      <c r="E3033" s="142" t="s">
        <v>15849</v>
      </c>
      <c r="F3033" s="142" t="s">
        <v>11566</v>
      </c>
      <c r="G3033" s="142" t="s">
        <v>11565</v>
      </c>
      <c r="H3033" s="142" t="s">
        <v>18883</v>
      </c>
      <c r="I3033" s="142">
        <v>1</v>
      </c>
      <c r="J3033" s="142">
        <v>1</v>
      </c>
      <c r="K3033" s="142">
        <v>0</v>
      </c>
      <c r="L3033" s="142">
        <v>0</v>
      </c>
      <c r="M3033" s="142">
        <v>0</v>
      </c>
    </row>
    <row r="3034" spans="1:13" x14ac:dyDescent="0.45">
      <c r="A3034" s="142" t="s">
        <v>13138</v>
      </c>
      <c r="B3034" s="142" t="s">
        <v>14590</v>
      </c>
      <c r="C3034" s="142" t="s">
        <v>15860</v>
      </c>
      <c r="D3034" s="142" t="s">
        <v>15861</v>
      </c>
      <c r="E3034" s="142" t="s">
        <v>15849</v>
      </c>
      <c r="F3034" s="142" t="s">
        <v>11566</v>
      </c>
      <c r="G3034" s="142" t="s">
        <v>11565</v>
      </c>
      <c r="H3034" s="142" t="s">
        <v>18884</v>
      </c>
      <c r="I3034" s="142">
        <v>47</v>
      </c>
      <c r="J3034" s="142">
        <v>47</v>
      </c>
      <c r="K3034" s="142">
        <v>0</v>
      </c>
      <c r="L3034" s="142">
        <v>0</v>
      </c>
      <c r="M3034" s="142">
        <v>0</v>
      </c>
    </row>
    <row r="3035" spans="1:13" x14ac:dyDescent="0.45">
      <c r="A3035" s="142" t="s">
        <v>13344</v>
      </c>
      <c r="B3035" s="142" t="s">
        <v>15448</v>
      </c>
      <c r="C3035" s="142" t="s">
        <v>15860</v>
      </c>
      <c r="D3035" s="142" t="s">
        <v>15861</v>
      </c>
      <c r="E3035" s="142" t="s">
        <v>15849</v>
      </c>
      <c r="F3035" s="142" t="s">
        <v>11566</v>
      </c>
      <c r="G3035" s="142" t="s">
        <v>11565</v>
      </c>
      <c r="H3035" s="142" t="s">
        <v>18885</v>
      </c>
      <c r="I3035" s="142">
        <v>21</v>
      </c>
      <c r="J3035" s="142">
        <v>21</v>
      </c>
      <c r="K3035" s="142">
        <v>0</v>
      </c>
      <c r="L3035" s="142">
        <v>0</v>
      </c>
      <c r="M3035" s="142">
        <v>0</v>
      </c>
    </row>
    <row r="3036" spans="1:13" x14ac:dyDescent="0.45">
      <c r="A3036" s="142" t="s">
        <v>13014</v>
      </c>
      <c r="B3036" s="142" t="s">
        <v>14505</v>
      </c>
      <c r="C3036" s="142" t="s">
        <v>15847</v>
      </c>
      <c r="D3036" s="142" t="s">
        <v>15848</v>
      </c>
      <c r="E3036" s="142" t="s">
        <v>15849</v>
      </c>
      <c r="F3036" s="142" t="s">
        <v>11566</v>
      </c>
      <c r="G3036" s="142" t="s">
        <v>11565</v>
      </c>
      <c r="H3036" s="142" t="s">
        <v>18886</v>
      </c>
      <c r="I3036" s="142">
        <v>1</v>
      </c>
      <c r="J3036" s="142">
        <v>0</v>
      </c>
      <c r="K3036" s="142">
        <v>0</v>
      </c>
      <c r="L3036" s="142">
        <v>0</v>
      </c>
      <c r="M3036" s="142">
        <v>1</v>
      </c>
    </row>
    <row r="3037" spans="1:13" x14ac:dyDescent="0.45">
      <c r="A3037" s="142" t="s">
        <v>13042</v>
      </c>
      <c r="B3037" s="142" t="s">
        <v>15489</v>
      </c>
      <c r="C3037" s="142" t="s">
        <v>15847</v>
      </c>
      <c r="D3037" s="142" t="s">
        <v>15848</v>
      </c>
      <c r="E3037" s="142" t="s">
        <v>15849</v>
      </c>
      <c r="F3037" s="142" t="s">
        <v>11566</v>
      </c>
      <c r="G3037" s="142" t="s">
        <v>11565</v>
      </c>
      <c r="H3037" s="142" t="s">
        <v>18887</v>
      </c>
      <c r="I3037" s="142">
        <v>648</v>
      </c>
      <c r="J3037" s="142">
        <v>448</v>
      </c>
      <c r="K3037" s="142">
        <v>0</v>
      </c>
      <c r="L3037" s="142">
        <v>130</v>
      </c>
      <c r="M3037" s="142">
        <v>70</v>
      </c>
    </row>
    <row r="3038" spans="1:13" x14ac:dyDescent="0.45">
      <c r="A3038" s="142" t="s">
        <v>13681</v>
      </c>
      <c r="B3038" s="142" t="s">
        <v>14834</v>
      </c>
      <c r="C3038" s="142" t="s">
        <v>15860</v>
      </c>
      <c r="D3038" s="142" t="s">
        <v>15861</v>
      </c>
      <c r="E3038" s="142" t="s">
        <v>15849</v>
      </c>
      <c r="F3038" s="142" t="s">
        <v>11566</v>
      </c>
      <c r="G3038" s="142" t="s">
        <v>11565</v>
      </c>
      <c r="H3038" s="142" t="s">
        <v>18888</v>
      </c>
      <c r="I3038" s="142">
        <v>50</v>
      </c>
      <c r="J3038" s="142">
        <v>0</v>
      </c>
      <c r="K3038" s="142">
        <v>0</v>
      </c>
      <c r="L3038" s="142">
        <v>50</v>
      </c>
      <c r="M3038" s="142">
        <v>0</v>
      </c>
    </row>
    <row r="3039" spans="1:13" x14ac:dyDescent="0.45">
      <c r="A3039" s="142" t="s">
        <v>13016</v>
      </c>
      <c r="B3039" s="142" t="s">
        <v>14535</v>
      </c>
      <c r="C3039" s="142" t="s">
        <v>15860</v>
      </c>
      <c r="D3039" s="142" t="s">
        <v>15861</v>
      </c>
      <c r="E3039" s="142" t="s">
        <v>15849</v>
      </c>
      <c r="F3039" s="142" t="s">
        <v>11566</v>
      </c>
      <c r="G3039" s="142" t="s">
        <v>11565</v>
      </c>
      <c r="H3039" s="142" t="s">
        <v>18889</v>
      </c>
      <c r="I3039" s="142">
        <v>38</v>
      </c>
      <c r="J3039" s="142">
        <v>0</v>
      </c>
      <c r="K3039" s="142">
        <v>0</v>
      </c>
      <c r="L3039" s="142">
        <v>38</v>
      </c>
      <c r="M3039" s="142">
        <v>0</v>
      </c>
    </row>
    <row r="3040" spans="1:13" x14ac:dyDescent="0.45">
      <c r="A3040" s="142" t="s">
        <v>13144</v>
      </c>
      <c r="B3040" s="142" t="s">
        <v>14464</v>
      </c>
      <c r="C3040" s="142" t="s">
        <v>15860</v>
      </c>
      <c r="D3040" s="142" t="s">
        <v>15861</v>
      </c>
      <c r="E3040" s="142" t="s">
        <v>15849</v>
      </c>
      <c r="F3040" s="142" t="s">
        <v>11566</v>
      </c>
      <c r="G3040" s="142" t="s">
        <v>11565</v>
      </c>
      <c r="H3040" s="142" t="s">
        <v>18890</v>
      </c>
      <c r="I3040" s="142">
        <v>13</v>
      </c>
      <c r="J3040" s="142">
        <v>0</v>
      </c>
      <c r="K3040" s="142">
        <v>0</v>
      </c>
      <c r="L3040" s="142">
        <v>13</v>
      </c>
      <c r="M3040" s="142">
        <v>0</v>
      </c>
    </row>
    <row r="3041" spans="1:13" x14ac:dyDescent="0.45">
      <c r="A3041" s="142" t="s">
        <v>13046</v>
      </c>
      <c r="B3041" s="142" t="s">
        <v>15537</v>
      </c>
      <c r="C3041" s="142" t="s">
        <v>15860</v>
      </c>
      <c r="D3041" s="142" t="s">
        <v>15861</v>
      </c>
      <c r="E3041" s="142" t="s">
        <v>15849</v>
      </c>
      <c r="F3041" s="142" t="s">
        <v>4256</v>
      </c>
      <c r="G3041" s="142" t="s">
        <v>4255</v>
      </c>
      <c r="H3041" s="142" t="s">
        <v>18891</v>
      </c>
      <c r="I3041" s="142">
        <v>10</v>
      </c>
      <c r="J3041" s="142">
        <v>0</v>
      </c>
      <c r="K3041" s="142">
        <v>0</v>
      </c>
      <c r="L3041" s="142">
        <v>10</v>
      </c>
      <c r="M3041" s="142">
        <v>0</v>
      </c>
    </row>
    <row r="3042" spans="1:13" x14ac:dyDescent="0.45">
      <c r="A3042" s="142" t="s">
        <v>13023</v>
      </c>
      <c r="B3042" s="142" t="s">
        <v>15571</v>
      </c>
      <c r="C3042" s="142" t="s">
        <v>15847</v>
      </c>
      <c r="D3042" s="142" t="s">
        <v>15848</v>
      </c>
      <c r="E3042" s="142" t="s">
        <v>15849</v>
      </c>
      <c r="F3042" s="142" t="s">
        <v>4256</v>
      </c>
      <c r="G3042" s="142" t="s">
        <v>4255</v>
      </c>
      <c r="H3042" s="142" t="s">
        <v>18892</v>
      </c>
      <c r="I3042" s="142">
        <v>101</v>
      </c>
      <c r="J3042" s="142">
        <v>0</v>
      </c>
      <c r="K3042" s="142">
        <v>0</v>
      </c>
      <c r="L3042" s="142">
        <v>101</v>
      </c>
      <c r="M3042" s="142">
        <v>0</v>
      </c>
    </row>
    <row r="3043" spans="1:13" x14ac:dyDescent="0.45">
      <c r="A3043" s="142" t="s">
        <v>13082</v>
      </c>
      <c r="B3043" s="142" t="s">
        <v>14478</v>
      </c>
      <c r="C3043" s="142" t="s">
        <v>15860</v>
      </c>
      <c r="D3043" s="142" t="s">
        <v>15861</v>
      </c>
      <c r="E3043" s="142" t="s">
        <v>15849</v>
      </c>
      <c r="F3043" s="142" t="s">
        <v>4256</v>
      </c>
      <c r="G3043" s="142" t="s">
        <v>4255</v>
      </c>
      <c r="H3043" s="142" t="s">
        <v>18893</v>
      </c>
      <c r="I3043" s="142">
        <v>4</v>
      </c>
      <c r="J3043" s="142">
        <v>0</v>
      </c>
      <c r="K3043" s="142">
        <v>0</v>
      </c>
      <c r="L3043" s="142">
        <v>4</v>
      </c>
      <c r="M3043" s="142">
        <v>0</v>
      </c>
    </row>
    <row r="3044" spans="1:13" x14ac:dyDescent="0.45">
      <c r="A3044" s="142" t="s">
        <v>13348</v>
      </c>
      <c r="B3044" s="142" t="s">
        <v>15458</v>
      </c>
      <c r="C3044" s="142" t="s">
        <v>15847</v>
      </c>
      <c r="D3044" s="142" t="s">
        <v>15848</v>
      </c>
      <c r="E3044" s="142" t="s">
        <v>15849</v>
      </c>
      <c r="F3044" s="142" t="s">
        <v>4256</v>
      </c>
      <c r="G3044" s="142" t="s">
        <v>4255</v>
      </c>
      <c r="H3044" s="142" t="s">
        <v>18894</v>
      </c>
      <c r="I3044" s="142">
        <v>110</v>
      </c>
      <c r="J3044" s="142">
        <v>87</v>
      </c>
      <c r="K3044" s="142">
        <v>0</v>
      </c>
      <c r="L3044" s="142">
        <v>0</v>
      </c>
      <c r="M3044" s="142">
        <v>23</v>
      </c>
    </row>
    <row r="3045" spans="1:13" x14ac:dyDescent="0.45">
      <c r="A3045" s="142" t="s">
        <v>13083</v>
      </c>
      <c r="B3045" s="142" t="s">
        <v>15440</v>
      </c>
      <c r="C3045" s="142" t="s">
        <v>15847</v>
      </c>
      <c r="D3045" s="142" t="s">
        <v>15848</v>
      </c>
      <c r="E3045" s="142" t="s">
        <v>15849</v>
      </c>
      <c r="F3045" s="142" t="s">
        <v>4256</v>
      </c>
      <c r="G3045" s="142" t="s">
        <v>4255</v>
      </c>
      <c r="H3045" s="142" t="s">
        <v>18895</v>
      </c>
      <c r="I3045" s="142">
        <v>26</v>
      </c>
      <c r="J3045" s="142">
        <v>16</v>
      </c>
      <c r="K3045" s="142">
        <v>0</v>
      </c>
      <c r="L3045" s="142">
        <v>10</v>
      </c>
      <c r="M3045" s="142">
        <v>0</v>
      </c>
    </row>
    <row r="3046" spans="1:13" x14ac:dyDescent="0.45">
      <c r="A3046" s="142" t="s">
        <v>13000</v>
      </c>
      <c r="B3046" s="142" t="s">
        <v>14610</v>
      </c>
      <c r="C3046" s="142" t="s">
        <v>15847</v>
      </c>
      <c r="D3046" s="142" t="s">
        <v>15848</v>
      </c>
      <c r="E3046" s="142" t="s">
        <v>15849</v>
      </c>
      <c r="F3046" s="142" t="s">
        <v>4256</v>
      </c>
      <c r="G3046" s="142" t="s">
        <v>4255</v>
      </c>
      <c r="H3046" s="142" t="s">
        <v>18896</v>
      </c>
      <c r="I3046" s="142">
        <v>9</v>
      </c>
      <c r="J3046" s="142">
        <v>8</v>
      </c>
      <c r="K3046" s="142">
        <v>0</v>
      </c>
      <c r="L3046" s="142">
        <v>0</v>
      </c>
      <c r="M3046" s="142">
        <v>1</v>
      </c>
    </row>
    <row r="3047" spans="1:13" x14ac:dyDescent="0.45">
      <c r="A3047" s="142" t="s">
        <v>13086</v>
      </c>
      <c r="B3047" s="142" t="s">
        <v>15380</v>
      </c>
      <c r="C3047" s="142" t="s">
        <v>15847</v>
      </c>
      <c r="D3047" s="142" t="s">
        <v>15848</v>
      </c>
      <c r="E3047" s="142" t="s">
        <v>15849</v>
      </c>
      <c r="F3047" s="142" t="s">
        <v>4256</v>
      </c>
      <c r="G3047" s="142" t="s">
        <v>4255</v>
      </c>
      <c r="H3047" s="142" t="s">
        <v>18897</v>
      </c>
      <c r="I3047" s="142">
        <v>193</v>
      </c>
      <c r="J3047" s="142">
        <v>170</v>
      </c>
      <c r="K3047" s="142">
        <v>0</v>
      </c>
      <c r="L3047" s="142">
        <v>0</v>
      </c>
      <c r="M3047" s="142">
        <v>23</v>
      </c>
    </row>
    <row r="3048" spans="1:13" x14ac:dyDescent="0.45">
      <c r="A3048" s="142" t="s">
        <v>13050</v>
      </c>
      <c r="B3048" s="142" t="s">
        <v>15237</v>
      </c>
      <c r="C3048" s="142" t="s">
        <v>15847</v>
      </c>
      <c r="D3048" s="142" t="s">
        <v>15848</v>
      </c>
      <c r="E3048" s="142" t="s">
        <v>15849</v>
      </c>
      <c r="F3048" s="142" t="s">
        <v>4256</v>
      </c>
      <c r="G3048" s="142" t="s">
        <v>4255</v>
      </c>
      <c r="H3048" s="142" t="s">
        <v>18898</v>
      </c>
      <c r="I3048" s="142">
        <v>86</v>
      </c>
      <c r="J3048" s="142">
        <v>78</v>
      </c>
      <c r="K3048" s="142">
        <v>0</v>
      </c>
      <c r="L3048" s="142">
        <v>0</v>
      </c>
      <c r="M3048" s="142">
        <v>8</v>
      </c>
    </row>
    <row r="3049" spans="1:13" x14ac:dyDescent="0.45">
      <c r="A3049" s="142" t="s">
        <v>13002</v>
      </c>
      <c r="B3049" s="142" t="s">
        <v>15376</v>
      </c>
      <c r="C3049" s="142" t="s">
        <v>15847</v>
      </c>
      <c r="D3049" s="142" t="s">
        <v>15848</v>
      </c>
      <c r="E3049" s="142" t="s">
        <v>15849</v>
      </c>
      <c r="F3049" s="142" t="s">
        <v>4256</v>
      </c>
      <c r="G3049" s="142" t="s">
        <v>4255</v>
      </c>
      <c r="H3049" s="142" t="s">
        <v>18899</v>
      </c>
      <c r="I3049" s="142">
        <v>396</v>
      </c>
      <c r="J3049" s="142">
        <v>325</v>
      </c>
      <c r="K3049" s="142">
        <v>0</v>
      </c>
      <c r="L3049" s="142">
        <v>57</v>
      </c>
      <c r="M3049" s="142">
        <v>14</v>
      </c>
    </row>
    <row r="3050" spans="1:13" x14ac:dyDescent="0.45">
      <c r="A3050" s="142" t="s">
        <v>13005</v>
      </c>
      <c r="B3050" s="142" t="s">
        <v>15475</v>
      </c>
      <c r="C3050" s="142" t="s">
        <v>15847</v>
      </c>
      <c r="D3050" s="142" t="s">
        <v>15848</v>
      </c>
      <c r="E3050" s="142" t="s">
        <v>15849</v>
      </c>
      <c r="F3050" s="142" t="s">
        <v>4256</v>
      </c>
      <c r="G3050" s="142" t="s">
        <v>4255</v>
      </c>
      <c r="H3050" s="142" t="s">
        <v>18900</v>
      </c>
      <c r="I3050" s="142">
        <v>558</v>
      </c>
      <c r="J3050" s="142">
        <v>437</v>
      </c>
      <c r="K3050" s="142">
        <v>0</v>
      </c>
      <c r="L3050" s="142">
        <v>41</v>
      </c>
      <c r="M3050" s="142">
        <v>80</v>
      </c>
    </row>
    <row r="3051" spans="1:13" x14ac:dyDescent="0.45">
      <c r="A3051" s="142" t="s">
        <v>13006</v>
      </c>
      <c r="B3051" s="142" t="s">
        <v>15288</v>
      </c>
      <c r="C3051" s="142" t="s">
        <v>15847</v>
      </c>
      <c r="D3051" s="142" t="s">
        <v>15848</v>
      </c>
      <c r="E3051" s="142" t="s">
        <v>15849</v>
      </c>
      <c r="F3051" s="142" t="s">
        <v>4256</v>
      </c>
      <c r="G3051" s="142" t="s">
        <v>4255</v>
      </c>
      <c r="H3051" s="142" t="s">
        <v>18901</v>
      </c>
      <c r="I3051" s="142">
        <v>3</v>
      </c>
      <c r="J3051" s="142">
        <v>0</v>
      </c>
      <c r="K3051" s="142">
        <v>0</v>
      </c>
      <c r="L3051" s="142">
        <v>0</v>
      </c>
      <c r="M3051" s="142">
        <v>3</v>
      </c>
    </row>
    <row r="3052" spans="1:13" x14ac:dyDescent="0.45">
      <c r="A3052" s="142" t="s">
        <v>13007</v>
      </c>
      <c r="B3052" s="142" t="s">
        <v>15262</v>
      </c>
      <c r="C3052" s="142" t="s">
        <v>15847</v>
      </c>
      <c r="D3052" s="142" t="s">
        <v>15848</v>
      </c>
      <c r="E3052" s="142" t="s">
        <v>15849</v>
      </c>
      <c r="F3052" s="142" t="s">
        <v>4256</v>
      </c>
      <c r="G3052" s="142" t="s">
        <v>4255</v>
      </c>
      <c r="H3052" s="142" t="s">
        <v>18902</v>
      </c>
      <c r="I3052" s="142">
        <v>188</v>
      </c>
      <c r="J3052" s="142">
        <v>116</v>
      </c>
      <c r="K3052" s="142">
        <v>0</v>
      </c>
      <c r="L3052" s="142">
        <v>0</v>
      </c>
      <c r="M3052" s="142">
        <v>72</v>
      </c>
    </row>
    <row r="3053" spans="1:13" x14ac:dyDescent="0.45">
      <c r="A3053" s="142" t="s">
        <v>13162</v>
      </c>
      <c r="B3053" s="142" t="s">
        <v>14545</v>
      </c>
      <c r="C3053" s="142" t="s">
        <v>15860</v>
      </c>
      <c r="D3053" s="142" t="s">
        <v>15861</v>
      </c>
      <c r="E3053" s="142" t="s">
        <v>15849</v>
      </c>
      <c r="F3053" s="142" t="s">
        <v>4256</v>
      </c>
      <c r="G3053" s="142" t="s">
        <v>4255</v>
      </c>
      <c r="H3053" s="142" t="s">
        <v>18903</v>
      </c>
      <c r="I3053" s="142">
        <v>23</v>
      </c>
      <c r="J3053" s="142">
        <v>0</v>
      </c>
      <c r="K3053" s="142">
        <v>0</v>
      </c>
      <c r="L3053" s="142">
        <v>23</v>
      </c>
      <c r="M3053" s="142">
        <v>0</v>
      </c>
    </row>
    <row r="3054" spans="1:13" x14ac:dyDescent="0.45">
      <c r="A3054" s="142" t="s">
        <v>13103</v>
      </c>
      <c r="B3054" s="142" t="s">
        <v>14623</v>
      </c>
      <c r="C3054" s="142" t="s">
        <v>15847</v>
      </c>
      <c r="D3054" s="142" t="s">
        <v>15848</v>
      </c>
      <c r="E3054" s="142" t="s">
        <v>15849</v>
      </c>
      <c r="F3054" s="142" t="s">
        <v>4256</v>
      </c>
      <c r="G3054" s="142" t="s">
        <v>4255</v>
      </c>
      <c r="H3054" s="142" t="s">
        <v>18904</v>
      </c>
      <c r="I3054" s="142">
        <v>200</v>
      </c>
      <c r="J3054" s="142">
        <v>52</v>
      </c>
      <c r="K3054" s="142">
        <v>0</v>
      </c>
      <c r="L3054" s="142">
        <v>30</v>
      </c>
      <c r="M3054" s="142">
        <v>118</v>
      </c>
    </row>
    <row r="3055" spans="1:13" x14ac:dyDescent="0.45">
      <c r="A3055" s="142" t="s">
        <v>13104</v>
      </c>
      <c r="B3055" s="142" t="s">
        <v>14622</v>
      </c>
      <c r="C3055" s="142" t="s">
        <v>15847</v>
      </c>
      <c r="D3055" s="142" t="s">
        <v>15848</v>
      </c>
      <c r="E3055" s="142" t="s">
        <v>15849</v>
      </c>
      <c r="F3055" s="142" t="s">
        <v>4256</v>
      </c>
      <c r="G3055" s="142" t="s">
        <v>4255</v>
      </c>
      <c r="H3055" s="142" t="s">
        <v>18905</v>
      </c>
      <c r="I3055" s="142">
        <v>25</v>
      </c>
      <c r="J3055" s="142">
        <v>4</v>
      </c>
      <c r="K3055" s="142">
        <v>0</v>
      </c>
      <c r="L3055" s="142">
        <v>6</v>
      </c>
      <c r="M3055" s="142">
        <v>15</v>
      </c>
    </row>
    <row r="3056" spans="1:13" x14ac:dyDescent="0.45">
      <c r="A3056" s="142" t="s">
        <v>13033</v>
      </c>
      <c r="B3056" s="142" t="s">
        <v>15276</v>
      </c>
      <c r="C3056" s="142" t="s">
        <v>15847</v>
      </c>
      <c r="D3056" s="142" t="s">
        <v>15848</v>
      </c>
      <c r="E3056" s="142" t="s">
        <v>15849</v>
      </c>
      <c r="F3056" s="142" t="s">
        <v>4256</v>
      </c>
      <c r="G3056" s="142" t="s">
        <v>4255</v>
      </c>
      <c r="H3056" s="142" t="s">
        <v>18906</v>
      </c>
      <c r="I3056" s="142">
        <v>42</v>
      </c>
      <c r="J3056" s="142">
        <v>2</v>
      </c>
      <c r="K3056" s="142">
        <v>0</v>
      </c>
      <c r="L3056" s="142">
        <v>40</v>
      </c>
      <c r="M3056" s="142">
        <v>0</v>
      </c>
    </row>
    <row r="3057" spans="1:13" x14ac:dyDescent="0.45">
      <c r="A3057" s="142" t="s">
        <v>13090</v>
      </c>
      <c r="B3057" s="142" t="s">
        <v>15600</v>
      </c>
      <c r="C3057" s="142" t="s">
        <v>15847</v>
      </c>
      <c r="D3057" s="142" t="s">
        <v>15848</v>
      </c>
      <c r="E3057" s="142" t="s">
        <v>15849</v>
      </c>
      <c r="F3057" s="142" t="s">
        <v>4256</v>
      </c>
      <c r="G3057" s="142" t="s">
        <v>4255</v>
      </c>
      <c r="H3057" s="142" t="s">
        <v>18907</v>
      </c>
      <c r="I3057" s="142">
        <v>1</v>
      </c>
      <c r="J3057" s="142">
        <v>0</v>
      </c>
      <c r="K3057" s="142">
        <v>0</v>
      </c>
      <c r="L3057" s="142">
        <v>0</v>
      </c>
      <c r="M3057" s="142">
        <v>1</v>
      </c>
    </row>
    <row r="3058" spans="1:13" x14ac:dyDescent="0.45">
      <c r="A3058" s="142" t="s">
        <v>13009</v>
      </c>
      <c r="B3058" s="142" t="s">
        <v>15256</v>
      </c>
      <c r="C3058" s="142" t="s">
        <v>15847</v>
      </c>
      <c r="D3058" s="142" t="s">
        <v>15848</v>
      </c>
      <c r="E3058" s="142" t="s">
        <v>15849</v>
      </c>
      <c r="F3058" s="142" t="s">
        <v>4256</v>
      </c>
      <c r="G3058" s="142" t="s">
        <v>4255</v>
      </c>
      <c r="H3058" s="142" t="s">
        <v>18908</v>
      </c>
      <c r="I3058" s="142">
        <v>190</v>
      </c>
      <c r="J3058" s="142">
        <v>190</v>
      </c>
      <c r="K3058" s="142">
        <v>0</v>
      </c>
      <c r="L3058" s="142">
        <v>0</v>
      </c>
      <c r="M3058" s="142">
        <v>0</v>
      </c>
    </row>
    <row r="3059" spans="1:13" x14ac:dyDescent="0.45">
      <c r="A3059" s="142" t="s">
        <v>13058</v>
      </c>
      <c r="B3059" s="142" t="s">
        <v>14584</v>
      </c>
      <c r="C3059" s="142" t="s">
        <v>15847</v>
      </c>
      <c r="D3059" s="142" t="s">
        <v>15848</v>
      </c>
      <c r="E3059" s="142" t="s">
        <v>15849</v>
      </c>
      <c r="F3059" s="142" t="s">
        <v>4256</v>
      </c>
      <c r="G3059" s="142" t="s">
        <v>4255</v>
      </c>
      <c r="H3059" s="142" t="s">
        <v>18909</v>
      </c>
      <c r="I3059" s="142">
        <v>106</v>
      </c>
      <c r="J3059" s="142">
        <v>65</v>
      </c>
      <c r="K3059" s="142">
        <v>0</v>
      </c>
      <c r="L3059" s="142">
        <v>0</v>
      </c>
      <c r="M3059" s="142">
        <v>41</v>
      </c>
    </row>
    <row r="3060" spans="1:13" x14ac:dyDescent="0.45">
      <c r="A3060" s="142" t="s">
        <v>13106</v>
      </c>
      <c r="B3060" s="142" t="s">
        <v>15414</v>
      </c>
      <c r="C3060" s="142" t="s">
        <v>15847</v>
      </c>
      <c r="D3060" s="142" t="s">
        <v>15848</v>
      </c>
      <c r="E3060" s="142" t="s">
        <v>15849</v>
      </c>
      <c r="F3060" s="142" t="s">
        <v>4256</v>
      </c>
      <c r="G3060" s="142" t="s">
        <v>4255</v>
      </c>
      <c r="H3060" s="142" t="s">
        <v>18910</v>
      </c>
      <c r="I3060" s="142">
        <v>2</v>
      </c>
      <c r="J3060" s="142">
        <v>0</v>
      </c>
      <c r="K3060" s="142">
        <v>0</v>
      </c>
      <c r="L3060" s="142">
        <v>2</v>
      </c>
      <c r="M3060" s="142">
        <v>0</v>
      </c>
    </row>
    <row r="3061" spans="1:13" x14ac:dyDescent="0.45">
      <c r="A3061" s="142" t="s">
        <v>13683</v>
      </c>
      <c r="B3061" s="142" t="s">
        <v>14758</v>
      </c>
      <c r="C3061" s="142" t="s">
        <v>15860</v>
      </c>
      <c r="D3061" s="142" t="s">
        <v>15861</v>
      </c>
      <c r="E3061" s="142" t="s">
        <v>15849</v>
      </c>
      <c r="F3061" s="142" t="s">
        <v>4256</v>
      </c>
      <c r="G3061" s="142" t="s">
        <v>4255</v>
      </c>
      <c r="H3061" s="142" t="s">
        <v>18911</v>
      </c>
      <c r="I3061" s="142">
        <v>47</v>
      </c>
      <c r="J3061" s="142">
        <v>0</v>
      </c>
      <c r="K3061" s="142">
        <v>0</v>
      </c>
      <c r="L3061" s="142">
        <v>47</v>
      </c>
      <c r="M3061" s="142">
        <v>0</v>
      </c>
    </row>
    <row r="3062" spans="1:13" x14ac:dyDescent="0.45">
      <c r="A3062" s="142" t="s">
        <v>13165</v>
      </c>
      <c r="B3062" s="142" t="s">
        <v>15525</v>
      </c>
      <c r="C3062" s="142" t="s">
        <v>15860</v>
      </c>
      <c r="D3062" s="142" t="s">
        <v>15861</v>
      </c>
      <c r="E3062" s="142" t="s">
        <v>15849</v>
      </c>
      <c r="F3062" s="142" t="s">
        <v>4256</v>
      </c>
      <c r="G3062" s="142" t="s">
        <v>4255</v>
      </c>
      <c r="H3062" s="142" t="s">
        <v>18912</v>
      </c>
      <c r="I3062" s="142">
        <v>12</v>
      </c>
      <c r="J3062" s="142">
        <v>0</v>
      </c>
      <c r="K3062" s="142">
        <v>0</v>
      </c>
      <c r="L3062" s="142">
        <v>12</v>
      </c>
      <c r="M3062" s="142">
        <v>0</v>
      </c>
    </row>
    <row r="3063" spans="1:13" x14ac:dyDescent="0.45">
      <c r="A3063" s="142" t="s">
        <v>13042</v>
      </c>
      <c r="B3063" s="142" t="s">
        <v>15489</v>
      </c>
      <c r="C3063" s="142" t="s">
        <v>15847</v>
      </c>
      <c r="D3063" s="142" t="s">
        <v>15848</v>
      </c>
      <c r="E3063" s="142" t="s">
        <v>15849</v>
      </c>
      <c r="F3063" s="142" t="s">
        <v>4256</v>
      </c>
      <c r="G3063" s="142" t="s">
        <v>4255</v>
      </c>
      <c r="H3063" s="142" t="s">
        <v>18913</v>
      </c>
      <c r="I3063" s="142">
        <v>12</v>
      </c>
      <c r="J3063" s="142">
        <v>0</v>
      </c>
      <c r="K3063" s="142">
        <v>0</v>
      </c>
      <c r="L3063" s="142">
        <v>8</v>
      </c>
      <c r="M3063" s="142">
        <v>4</v>
      </c>
    </row>
    <row r="3064" spans="1:13" x14ac:dyDescent="0.45">
      <c r="A3064" s="142" t="s">
        <v>13021</v>
      </c>
      <c r="B3064" s="142" t="s">
        <v>15501</v>
      </c>
      <c r="C3064" s="142" t="s">
        <v>15847</v>
      </c>
      <c r="D3064" s="142" t="s">
        <v>15848</v>
      </c>
      <c r="E3064" s="142" t="s">
        <v>15849</v>
      </c>
      <c r="F3064" s="142" t="s">
        <v>8288</v>
      </c>
      <c r="G3064" s="142" t="s">
        <v>8287</v>
      </c>
      <c r="H3064" s="142" t="s">
        <v>18914</v>
      </c>
      <c r="I3064" s="142">
        <v>3</v>
      </c>
      <c r="J3064" s="142">
        <v>0</v>
      </c>
      <c r="K3064" s="142">
        <v>0</v>
      </c>
      <c r="L3064" s="142">
        <v>3</v>
      </c>
      <c r="M3064" s="142">
        <v>0</v>
      </c>
    </row>
    <row r="3065" spans="1:13" x14ac:dyDescent="0.45">
      <c r="A3065" s="142" t="s">
        <v>13082</v>
      </c>
      <c r="B3065" s="142" t="s">
        <v>14478</v>
      </c>
      <c r="C3065" s="142" t="s">
        <v>15860</v>
      </c>
      <c r="D3065" s="142" t="s">
        <v>15861</v>
      </c>
      <c r="E3065" s="142" t="s">
        <v>15849</v>
      </c>
      <c r="F3065" s="142" t="s">
        <v>8288</v>
      </c>
      <c r="G3065" s="142" t="s">
        <v>8287</v>
      </c>
      <c r="H3065" s="142" t="s">
        <v>18915</v>
      </c>
      <c r="I3065" s="142">
        <v>6</v>
      </c>
      <c r="J3065" s="142">
        <v>0</v>
      </c>
      <c r="K3065" s="142">
        <v>0</v>
      </c>
      <c r="L3065" s="142">
        <v>6</v>
      </c>
      <c r="M3065" s="142">
        <v>0</v>
      </c>
    </row>
    <row r="3066" spans="1:13" x14ac:dyDescent="0.45">
      <c r="A3066" s="142" t="s">
        <v>13065</v>
      </c>
      <c r="B3066" s="142" t="s">
        <v>14497</v>
      </c>
      <c r="C3066" s="142" t="s">
        <v>15847</v>
      </c>
      <c r="D3066" s="142" t="s">
        <v>15848</v>
      </c>
      <c r="E3066" s="142" t="s">
        <v>15849</v>
      </c>
      <c r="F3066" s="142" t="s">
        <v>8288</v>
      </c>
      <c r="G3066" s="142" t="s">
        <v>8287</v>
      </c>
      <c r="H3066" s="142" t="s">
        <v>18916</v>
      </c>
      <c r="I3066" s="142">
        <v>9</v>
      </c>
      <c r="J3066" s="142">
        <v>0</v>
      </c>
      <c r="K3066" s="142">
        <v>0</v>
      </c>
      <c r="L3066" s="142">
        <v>9</v>
      </c>
      <c r="M3066" s="142">
        <v>0</v>
      </c>
    </row>
    <row r="3067" spans="1:13" x14ac:dyDescent="0.45">
      <c r="A3067" s="142" t="s">
        <v>13000</v>
      </c>
      <c r="B3067" s="142" t="s">
        <v>14610</v>
      </c>
      <c r="C3067" s="142" t="s">
        <v>15847</v>
      </c>
      <c r="D3067" s="142" t="s">
        <v>15848</v>
      </c>
      <c r="E3067" s="142" t="s">
        <v>15849</v>
      </c>
      <c r="F3067" s="142" t="s">
        <v>8288</v>
      </c>
      <c r="G3067" s="142" t="s">
        <v>8287</v>
      </c>
      <c r="H3067" s="142" t="s">
        <v>18917</v>
      </c>
      <c r="I3067" s="142">
        <v>118</v>
      </c>
      <c r="J3067" s="142">
        <v>81</v>
      </c>
      <c r="K3067" s="142">
        <v>0</v>
      </c>
      <c r="L3067" s="142">
        <v>0</v>
      </c>
      <c r="M3067" s="142">
        <v>37</v>
      </c>
    </row>
    <row r="3068" spans="1:13" x14ac:dyDescent="0.45">
      <c r="A3068" s="142" t="s">
        <v>13684</v>
      </c>
      <c r="B3068" s="142" t="s">
        <v>15241</v>
      </c>
      <c r="C3068" s="142" t="s">
        <v>15860</v>
      </c>
      <c r="D3068" s="142" t="s">
        <v>15861</v>
      </c>
      <c r="E3068" s="142" t="s">
        <v>15849</v>
      </c>
      <c r="F3068" s="142" t="s">
        <v>8288</v>
      </c>
      <c r="G3068" s="142" t="s">
        <v>8287</v>
      </c>
      <c r="H3068" s="142" t="s">
        <v>18918</v>
      </c>
      <c r="I3068" s="142">
        <v>91</v>
      </c>
      <c r="J3068" s="142">
        <v>0</v>
      </c>
      <c r="K3068" s="142">
        <v>0</v>
      </c>
      <c r="L3068" s="142">
        <v>91</v>
      </c>
      <c r="M3068" s="142">
        <v>0</v>
      </c>
    </row>
    <row r="3069" spans="1:13" x14ac:dyDescent="0.45">
      <c r="A3069" s="142" t="s">
        <v>13160</v>
      </c>
      <c r="B3069" s="142" t="s">
        <v>14525</v>
      </c>
      <c r="C3069" s="142" t="s">
        <v>15847</v>
      </c>
      <c r="D3069" s="142" t="s">
        <v>15848</v>
      </c>
      <c r="E3069" s="142" t="s">
        <v>15849</v>
      </c>
      <c r="F3069" s="142" t="s">
        <v>8288</v>
      </c>
      <c r="G3069" s="142" t="s">
        <v>8287</v>
      </c>
      <c r="H3069" s="142" t="s">
        <v>18919</v>
      </c>
      <c r="I3069" s="142">
        <v>5</v>
      </c>
      <c r="J3069" s="142">
        <v>0</v>
      </c>
      <c r="K3069" s="142">
        <v>0</v>
      </c>
      <c r="L3069" s="142">
        <v>5</v>
      </c>
      <c r="M3069" s="142">
        <v>0</v>
      </c>
    </row>
    <row r="3070" spans="1:13" x14ac:dyDescent="0.45">
      <c r="A3070" s="142" t="s">
        <v>13002</v>
      </c>
      <c r="B3070" s="142" t="s">
        <v>15376</v>
      </c>
      <c r="C3070" s="142" t="s">
        <v>15847</v>
      </c>
      <c r="D3070" s="142" t="s">
        <v>15848</v>
      </c>
      <c r="E3070" s="142" t="s">
        <v>15849</v>
      </c>
      <c r="F3070" s="142" t="s">
        <v>8288</v>
      </c>
      <c r="G3070" s="142" t="s">
        <v>8287</v>
      </c>
      <c r="H3070" s="142" t="s">
        <v>18920</v>
      </c>
      <c r="I3070" s="142">
        <v>3</v>
      </c>
      <c r="J3070" s="142">
        <v>0</v>
      </c>
      <c r="K3070" s="142">
        <v>0</v>
      </c>
      <c r="L3070" s="142">
        <v>0</v>
      </c>
      <c r="M3070" s="142">
        <v>3</v>
      </c>
    </row>
    <row r="3071" spans="1:13" x14ac:dyDescent="0.45">
      <c r="A3071" s="142" t="s">
        <v>13066</v>
      </c>
      <c r="B3071" s="142" t="s">
        <v>14459</v>
      </c>
      <c r="C3071" s="142" t="s">
        <v>15847</v>
      </c>
      <c r="D3071" s="142" t="s">
        <v>15848</v>
      </c>
      <c r="E3071" s="142" t="s">
        <v>15849</v>
      </c>
      <c r="F3071" s="142" t="s">
        <v>8288</v>
      </c>
      <c r="G3071" s="142" t="s">
        <v>8287</v>
      </c>
      <c r="H3071" s="142" t="s">
        <v>18921</v>
      </c>
      <c r="I3071" s="142">
        <v>5</v>
      </c>
      <c r="J3071" s="142">
        <v>0</v>
      </c>
      <c r="K3071" s="142">
        <v>0</v>
      </c>
      <c r="L3071" s="142">
        <v>5</v>
      </c>
      <c r="M3071" s="142">
        <v>0</v>
      </c>
    </row>
    <row r="3072" spans="1:13" x14ac:dyDescent="0.45">
      <c r="A3072" s="142" t="s">
        <v>13005</v>
      </c>
      <c r="B3072" s="142" t="s">
        <v>15475</v>
      </c>
      <c r="C3072" s="142" t="s">
        <v>15847</v>
      </c>
      <c r="D3072" s="142" t="s">
        <v>15848</v>
      </c>
      <c r="E3072" s="142" t="s">
        <v>15849</v>
      </c>
      <c r="F3072" s="142" t="s">
        <v>8288</v>
      </c>
      <c r="G3072" s="142" t="s">
        <v>8287</v>
      </c>
      <c r="H3072" s="142" t="s">
        <v>18922</v>
      </c>
      <c r="I3072" s="142">
        <v>109</v>
      </c>
      <c r="J3072" s="142">
        <v>77</v>
      </c>
      <c r="K3072" s="142">
        <v>0</v>
      </c>
      <c r="L3072" s="142">
        <v>0</v>
      </c>
      <c r="M3072" s="142">
        <v>32</v>
      </c>
    </row>
    <row r="3073" spans="1:13" x14ac:dyDescent="0.45">
      <c r="A3073" s="142" t="s">
        <v>13663</v>
      </c>
      <c r="B3073" s="142" t="s">
        <v>14637</v>
      </c>
      <c r="C3073" s="142" t="s">
        <v>15860</v>
      </c>
      <c r="D3073" s="142" t="s">
        <v>15861</v>
      </c>
      <c r="E3073" s="142" t="s">
        <v>15849</v>
      </c>
      <c r="F3073" s="142" t="s">
        <v>8288</v>
      </c>
      <c r="G3073" s="142" t="s">
        <v>8287</v>
      </c>
      <c r="H3073" s="142" t="s">
        <v>18923</v>
      </c>
      <c r="I3073" s="142">
        <v>31</v>
      </c>
      <c r="J3073" s="142">
        <v>31</v>
      </c>
      <c r="K3073" s="142">
        <v>0</v>
      </c>
      <c r="L3073" s="142">
        <v>0</v>
      </c>
      <c r="M3073" s="142">
        <v>0</v>
      </c>
    </row>
    <row r="3074" spans="1:13" x14ac:dyDescent="0.45">
      <c r="A3074" s="142" t="s">
        <v>13685</v>
      </c>
      <c r="B3074" s="142" t="s">
        <v>14540</v>
      </c>
      <c r="C3074" s="142" t="s">
        <v>15860</v>
      </c>
      <c r="D3074" s="142" t="s">
        <v>15861</v>
      </c>
      <c r="E3074" s="142" t="s">
        <v>15849</v>
      </c>
      <c r="F3074" s="142" t="s">
        <v>8288</v>
      </c>
      <c r="G3074" s="142" t="s">
        <v>8287</v>
      </c>
      <c r="H3074" s="142" t="s">
        <v>18924</v>
      </c>
      <c r="I3074" s="142">
        <v>2</v>
      </c>
      <c r="J3074" s="142">
        <v>2</v>
      </c>
      <c r="K3074" s="142">
        <v>0</v>
      </c>
      <c r="L3074" s="142">
        <v>0</v>
      </c>
      <c r="M3074" s="142">
        <v>0</v>
      </c>
    </row>
    <row r="3075" spans="1:13" x14ac:dyDescent="0.45">
      <c r="A3075" s="142" t="s">
        <v>13006</v>
      </c>
      <c r="B3075" s="142" t="s">
        <v>15288</v>
      </c>
      <c r="C3075" s="142" t="s">
        <v>15847</v>
      </c>
      <c r="D3075" s="142" t="s">
        <v>15848</v>
      </c>
      <c r="E3075" s="142" t="s">
        <v>15849</v>
      </c>
      <c r="F3075" s="142" t="s">
        <v>8288</v>
      </c>
      <c r="G3075" s="142" t="s">
        <v>8287</v>
      </c>
      <c r="H3075" s="142" t="s">
        <v>18925</v>
      </c>
      <c r="I3075" s="142">
        <v>80</v>
      </c>
      <c r="J3075" s="142">
        <v>21</v>
      </c>
      <c r="K3075" s="142">
        <v>0</v>
      </c>
      <c r="L3075" s="142">
        <v>0</v>
      </c>
      <c r="M3075" s="142">
        <v>59</v>
      </c>
    </row>
    <row r="3076" spans="1:13" x14ac:dyDescent="0.45">
      <c r="A3076" s="142" t="s">
        <v>13568</v>
      </c>
      <c r="B3076" s="142" t="s">
        <v>15242</v>
      </c>
      <c r="C3076" s="142" t="s">
        <v>15847</v>
      </c>
      <c r="D3076" s="142" t="s">
        <v>15848</v>
      </c>
      <c r="E3076" s="142" t="s">
        <v>15849</v>
      </c>
      <c r="F3076" s="142" t="s">
        <v>8288</v>
      </c>
      <c r="G3076" s="142" t="s">
        <v>8287</v>
      </c>
      <c r="H3076" s="142" t="s">
        <v>18926</v>
      </c>
      <c r="I3076" s="142">
        <v>216</v>
      </c>
      <c r="J3076" s="142">
        <v>65</v>
      </c>
      <c r="K3076" s="142">
        <v>0</v>
      </c>
      <c r="L3076" s="142">
        <v>116</v>
      </c>
      <c r="M3076" s="142">
        <v>35</v>
      </c>
    </row>
    <row r="3077" spans="1:13" x14ac:dyDescent="0.45">
      <c r="A3077" s="142" t="s">
        <v>13008</v>
      </c>
      <c r="B3077" s="142" t="s">
        <v>15411</v>
      </c>
      <c r="C3077" s="142" t="s">
        <v>15847</v>
      </c>
      <c r="D3077" s="142" t="s">
        <v>15848</v>
      </c>
      <c r="E3077" s="142" t="s">
        <v>15849</v>
      </c>
      <c r="F3077" s="142" t="s">
        <v>8288</v>
      </c>
      <c r="G3077" s="142" t="s">
        <v>8287</v>
      </c>
      <c r="H3077" s="142" t="s">
        <v>18927</v>
      </c>
      <c r="I3077" s="142">
        <v>50</v>
      </c>
      <c r="J3077" s="142">
        <v>0</v>
      </c>
      <c r="K3077" s="142">
        <v>0</v>
      </c>
      <c r="L3077" s="142">
        <v>0</v>
      </c>
      <c r="M3077" s="142">
        <v>50</v>
      </c>
    </row>
    <row r="3078" spans="1:13" x14ac:dyDescent="0.45">
      <c r="A3078" s="142" t="s">
        <v>13077</v>
      </c>
      <c r="B3078" s="142" t="s">
        <v>15407</v>
      </c>
      <c r="C3078" s="142" t="s">
        <v>15847</v>
      </c>
      <c r="D3078" s="142" t="s">
        <v>15848</v>
      </c>
      <c r="E3078" s="142" t="s">
        <v>15849</v>
      </c>
      <c r="F3078" s="142" t="s">
        <v>8288</v>
      </c>
      <c r="G3078" s="142" t="s">
        <v>8287</v>
      </c>
      <c r="H3078" s="142" t="s">
        <v>18928</v>
      </c>
      <c r="I3078" s="142">
        <v>206</v>
      </c>
      <c r="J3078" s="142">
        <v>206</v>
      </c>
      <c r="K3078" s="142">
        <v>0</v>
      </c>
      <c r="L3078" s="142">
        <v>0</v>
      </c>
      <c r="M3078" s="142">
        <v>0</v>
      </c>
    </row>
    <row r="3079" spans="1:13" x14ac:dyDescent="0.45">
      <c r="A3079" s="142" t="s">
        <v>13055</v>
      </c>
      <c r="B3079" s="142" t="s">
        <v>14595</v>
      </c>
      <c r="C3079" s="142" t="s">
        <v>15847</v>
      </c>
      <c r="D3079" s="142" t="s">
        <v>15848</v>
      </c>
      <c r="E3079" s="142" t="s">
        <v>15849</v>
      </c>
      <c r="F3079" s="142" t="s">
        <v>8288</v>
      </c>
      <c r="G3079" s="142" t="s">
        <v>8287</v>
      </c>
      <c r="H3079" s="142" t="s">
        <v>18929</v>
      </c>
      <c r="I3079" s="142">
        <v>45</v>
      </c>
      <c r="J3079" s="142">
        <v>40</v>
      </c>
      <c r="K3079" s="142">
        <v>0</v>
      </c>
      <c r="L3079" s="142">
        <v>0</v>
      </c>
      <c r="M3079" s="142">
        <v>5</v>
      </c>
    </row>
    <row r="3080" spans="1:13" x14ac:dyDescent="0.45">
      <c r="A3080" s="142" t="s">
        <v>13569</v>
      </c>
      <c r="B3080" s="142" t="s">
        <v>15441</v>
      </c>
      <c r="C3080" s="142" t="s">
        <v>15847</v>
      </c>
      <c r="D3080" s="142" t="s">
        <v>15848</v>
      </c>
      <c r="E3080" s="142" t="s">
        <v>15849</v>
      </c>
      <c r="F3080" s="142" t="s">
        <v>8288</v>
      </c>
      <c r="G3080" s="142" t="s">
        <v>8287</v>
      </c>
      <c r="H3080" s="142" t="s">
        <v>18930</v>
      </c>
      <c r="I3080" s="142">
        <v>46</v>
      </c>
      <c r="J3080" s="142">
        <v>46</v>
      </c>
      <c r="K3080" s="142">
        <v>0</v>
      </c>
      <c r="L3080" s="142">
        <v>0</v>
      </c>
      <c r="M3080" s="142">
        <v>0</v>
      </c>
    </row>
    <row r="3081" spans="1:13" x14ac:dyDescent="0.45">
      <c r="A3081" s="142" t="s">
        <v>13091</v>
      </c>
      <c r="B3081" s="142" t="s">
        <v>14473</v>
      </c>
      <c r="C3081" s="142" t="s">
        <v>15847</v>
      </c>
      <c r="D3081" s="142" t="s">
        <v>15848</v>
      </c>
      <c r="E3081" s="142" t="s">
        <v>15849</v>
      </c>
      <c r="F3081" s="142" t="s">
        <v>8288</v>
      </c>
      <c r="G3081" s="142" t="s">
        <v>8287</v>
      </c>
      <c r="H3081" s="142" t="s">
        <v>18931</v>
      </c>
      <c r="I3081" s="142">
        <v>21</v>
      </c>
      <c r="J3081" s="142">
        <v>0</v>
      </c>
      <c r="K3081" s="142">
        <v>0</v>
      </c>
      <c r="L3081" s="142">
        <v>21</v>
      </c>
      <c r="M3081" s="142">
        <v>0</v>
      </c>
    </row>
    <row r="3082" spans="1:13" x14ac:dyDescent="0.45">
      <c r="A3082" s="142" t="s">
        <v>13579</v>
      </c>
      <c r="B3082" s="142" t="s">
        <v>15160</v>
      </c>
      <c r="C3082" s="142" t="s">
        <v>15860</v>
      </c>
      <c r="D3082" s="142" t="s">
        <v>15861</v>
      </c>
      <c r="E3082" s="142" t="s">
        <v>15849</v>
      </c>
      <c r="F3082" s="142" t="s">
        <v>8288</v>
      </c>
      <c r="G3082" s="142" t="s">
        <v>8287</v>
      </c>
      <c r="H3082" s="142" t="s">
        <v>18932</v>
      </c>
      <c r="I3082" s="142">
        <v>24</v>
      </c>
      <c r="J3082" s="142">
        <v>0</v>
      </c>
      <c r="K3082" s="142">
        <v>0</v>
      </c>
      <c r="L3082" s="142">
        <v>24</v>
      </c>
      <c r="M3082" s="142">
        <v>0</v>
      </c>
    </row>
    <row r="3083" spans="1:13" x14ac:dyDescent="0.45">
      <c r="A3083" s="142" t="s">
        <v>13686</v>
      </c>
      <c r="B3083" s="142" t="s">
        <v>15207</v>
      </c>
      <c r="C3083" s="142" t="s">
        <v>15860</v>
      </c>
      <c r="D3083" s="142" t="s">
        <v>15861</v>
      </c>
      <c r="E3083" s="142" t="s">
        <v>15849</v>
      </c>
      <c r="F3083" s="142" t="s">
        <v>8288</v>
      </c>
      <c r="G3083" s="142" t="s">
        <v>8287</v>
      </c>
      <c r="H3083" s="142" t="s">
        <v>18933</v>
      </c>
      <c r="I3083" s="142">
        <v>4</v>
      </c>
      <c r="J3083" s="142">
        <v>0</v>
      </c>
      <c r="K3083" s="142">
        <v>0</v>
      </c>
      <c r="L3083" s="142">
        <v>4</v>
      </c>
      <c r="M3083" s="142">
        <v>0</v>
      </c>
    </row>
    <row r="3084" spans="1:13" x14ac:dyDescent="0.45">
      <c r="A3084" s="142" t="s">
        <v>13014</v>
      </c>
      <c r="B3084" s="142" t="s">
        <v>14505</v>
      </c>
      <c r="C3084" s="142" t="s">
        <v>15847</v>
      </c>
      <c r="D3084" s="142" t="s">
        <v>15848</v>
      </c>
      <c r="E3084" s="142" t="s">
        <v>15849</v>
      </c>
      <c r="F3084" s="142" t="s">
        <v>8288</v>
      </c>
      <c r="G3084" s="142" t="s">
        <v>8287</v>
      </c>
      <c r="H3084" s="142" t="s">
        <v>18934</v>
      </c>
      <c r="I3084" s="142">
        <v>1</v>
      </c>
      <c r="J3084" s="142">
        <v>0</v>
      </c>
      <c r="K3084" s="142">
        <v>0</v>
      </c>
      <c r="L3084" s="142">
        <v>0</v>
      </c>
      <c r="M3084" s="142">
        <v>1</v>
      </c>
    </row>
    <row r="3085" spans="1:13" x14ac:dyDescent="0.45">
      <c r="A3085" s="142" t="s">
        <v>13042</v>
      </c>
      <c r="B3085" s="142" t="s">
        <v>15489</v>
      </c>
      <c r="C3085" s="142" t="s">
        <v>15847</v>
      </c>
      <c r="D3085" s="142" t="s">
        <v>15848</v>
      </c>
      <c r="E3085" s="142" t="s">
        <v>15849</v>
      </c>
      <c r="F3085" s="142" t="s">
        <v>8288</v>
      </c>
      <c r="G3085" s="142" t="s">
        <v>8287</v>
      </c>
      <c r="H3085" s="142" t="s">
        <v>18935</v>
      </c>
      <c r="I3085" s="142">
        <v>3</v>
      </c>
      <c r="J3085" s="142">
        <v>0</v>
      </c>
      <c r="K3085" s="142">
        <v>0</v>
      </c>
      <c r="L3085" s="142">
        <v>3</v>
      </c>
      <c r="M3085" s="142">
        <v>0</v>
      </c>
    </row>
    <row r="3086" spans="1:13" x14ac:dyDescent="0.45">
      <c r="A3086" s="142" t="s">
        <v>13079</v>
      </c>
      <c r="B3086" s="142" t="s">
        <v>15431</v>
      </c>
      <c r="C3086" s="142" t="s">
        <v>15847</v>
      </c>
      <c r="D3086" s="142" t="s">
        <v>15848</v>
      </c>
      <c r="E3086" s="142" t="s">
        <v>15849</v>
      </c>
      <c r="F3086" s="142" t="s">
        <v>8288</v>
      </c>
      <c r="G3086" s="142" t="s">
        <v>8287</v>
      </c>
      <c r="H3086" s="142" t="s">
        <v>18936</v>
      </c>
      <c r="I3086" s="142">
        <v>2042</v>
      </c>
      <c r="J3086" s="142">
        <v>1727</v>
      </c>
      <c r="K3086" s="142">
        <v>0</v>
      </c>
      <c r="L3086" s="142">
        <v>191</v>
      </c>
      <c r="M3086" s="142">
        <v>124</v>
      </c>
    </row>
    <row r="3087" spans="1:13" x14ac:dyDescent="0.45">
      <c r="A3087" s="142" t="s">
        <v>13570</v>
      </c>
      <c r="B3087" s="142" t="s">
        <v>15181</v>
      </c>
      <c r="C3087" s="142" t="s">
        <v>15860</v>
      </c>
      <c r="D3087" s="142" t="s">
        <v>15861</v>
      </c>
      <c r="E3087" s="142" t="s">
        <v>15849</v>
      </c>
      <c r="F3087" s="142" t="s">
        <v>8288</v>
      </c>
      <c r="G3087" s="142" t="s">
        <v>8287</v>
      </c>
      <c r="H3087" s="142" t="s">
        <v>18937</v>
      </c>
      <c r="I3087" s="142">
        <v>67</v>
      </c>
      <c r="J3087" s="142">
        <v>0</v>
      </c>
      <c r="K3087" s="142">
        <v>0</v>
      </c>
      <c r="L3087" s="142">
        <v>67</v>
      </c>
      <c r="M3087" s="142">
        <v>0</v>
      </c>
    </row>
    <row r="3088" spans="1:13" x14ac:dyDescent="0.45">
      <c r="A3088" s="142" t="s">
        <v>13062</v>
      </c>
      <c r="B3088" s="142" t="s">
        <v>15259</v>
      </c>
      <c r="C3088" s="142" t="s">
        <v>15847</v>
      </c>
      <c r="D3088" s="142" t="s">
        <v>15848</v>
      </c>
      <c r="E3088" s="142" t="s">
        <v>15849</v>
      </c>
      <c r="F3088" s="142" t="s">
        <v>8288</v>
      </c>
      <c r="G3088" s="142" t="s">
        <v>8287</v>
      </c>
      <c r="H3088" s="142" t="s">
        <v>18938</v>
      </c>
      <c r="I3088" s="142">
        <v>1</v>
      </c>
      <c r="J3088" s="142">
        <v>0</v>
      </c>
      <c r="K3088" s="142">
        <v>0</v>
      </c>
      <c r="L3088" s="142">
        <v>0</v>
      </c>
      <c r="M3088" s="142">
        <v>1</v>
      </c>
    </row>
    <row r="3089" spans="1:13" x14ac:dyDescent="0.45">
      <c r="A3089" s="142" t="s">
        <v>13016</v>
      </c>
      <c r="B3089" s="142" t="s">
        <v>14535</v>
      </c>
      <c r="C3089" s="142" t="s">
        <v>15860</v>
      </c>
      <c r="D3089" s="142" t="s">
        <v>15861</v>
      </c>
      <c r="E3089" s="142" t="s">
        <v>15849</v>
      </c>
      <c r="F3089" s="142" t="s">
        <v>8288</v>
      </c>
      <c r="G3089" s="142" t="s">
        <v>8287</v>
      </c>
      <c r="H3089" s="142" t="s">
        <v>18939</v>
      </c>
      <c r="I3089" s="142">
        <v>10</v>
      </c>
      <c r="J3089" s="142">
        <v>0</v>
      </c>
      <c r="K3089" s="142">
        <v>0</v>
      </c>
      <c r="L3089" s="142">
        <v>10</v>
      </c>
      <c r="M3089" s="142">
        <v>0</v>
      </c>
    </row>
    <row r="3090" spans="1:13" x14ac:dyDescent="0.45">
      <c r="A3090" s="142" t="s">
        <v>13022</v>
      </c>
      <c r="B3090" s="142" t="s">
        <v>14634</v>
      </c>
      <c r="C3090" s="142" t="s">
        <v>15847</v>
      </c>
      <c r="D3090" s="142" t="s">
        <v>15848</v>
      </c>
      <c r="E3090" s="142" t="s">
        <v>15849</v>
      </c>
      <c r="F3090" s="142" t="s">
        <v>3294</v>
      </c>
      <c r="G3090" s="142" t="s">
        <v>3293</v>
      </c>
      <c r="H3090" s="142" t="s">
        <v>18940</v>
      </c>
      <c r="I3090" s="142">
        <v>113</v>
      </c>
      <c r="J3090" s="142">
        <v>113</v>
      </c>
      <c r="K3090" s="142">
        <v>0</v>
      </c>
      <c r="L3090" s="142">
        <v>0</v>
      </c>
      <c r="M3090" s="142">
        <v>0</v>
      </c>
    </row>
    <row r="3091" spans="1:13" x14ac:dyDescent="0.45">
      <c r="A3091" s="142" t="s">
        <v>13607</v>
      </c>
      <c r="B3091" s="142" t="s">
        <v>14468</v>
      </c>
      <c r="C3091" s="142" t="s">
        <v>15860</v>
      </c>
      <c r="D3091" s="142" t="s">
        <v>15861</v>
      </c>
      <c r="E3091" s="142" t="s">
        <v>15849</v>
      </c>
      <c r="F3091" s="142" t="s">
        <v>3294</v>
      </c>
      <c r="G3091" s="142" t="s">
        <v>3293</v>
      </c>
      <c r="H3091" s="142" t="s">
        <v>18941</v>
      </c>
      <c r="I3091" s="142">
        <v>3</v>
      </c>
      <c r="J3091" s="142">
        <v>0</v>
      </c>
      <c r="K3091" s="142">
        <v>0</v>
      </c>
      <c r="L3091" s="142">
        <v>3</v>
      </c>
      <c r="M3091" s="142">
        <v>0</v>
      </c>
    </row>
    <row r="3092" spans="1:13" x14ac:dyDescent="0.45">
      <c r="A3092" s="142" t="s">
        <v>13024</v>
      </c>
      <c r="B3092" s="142" t="s">
        <v>14538</v>
      </c>
      <c r="C3092" s="142" t="s">
        <v>15847</v>
      </c>
      <c r="D3092" s="142" t="s">
        <v>15848</v>
      </c>
      <c r="E3092" s="142" t="s">
        <v>15849</v>
      </c>
      <c r="F3092" s="142" t="s">
        <v>3294</v>
      </c>
      <c r="G3092" s="142" t="s">
        <v>3293</v>
      </c>
      <c r="H3092" s="142" t="s">
        <v>18942</v>
      </c>
      <c r="I3092" s="142">
        <v>5285</v>
      </c>
      <c r="J3092" s="142">
        <v>3418</v>
      </c>
      <c r="K3092" s="142">
        <v>0</v>
      </c>
      <c r="L3092" s="142">
        <v>1788</v>
      </c>
      <c r="M3092" s="142">
        <v>79</v>
      </c>
    </row>
    <row r="3093" spans="1:13" x14ac:dyDescent="0.45">
      <c r="A3093" s="142" t="s">
        <v>13099</v>
      </c>
      <c r="B3093" s="142" t="s">
        <v>14547</v>
      </c>
      <c r="C3093" s="142" t="s">
        <v>15860</v>
      </c>
      <c r="D3093" s="142" t="s">
        <v>15861</v>
      </c>
      <c r="E3093" s="142" t="s">
        <v>15849</v>
      </c>
      <c r="F3093" s="142" t="s">
        <v>3294</v>
      </c>
      <c r="G3093" s="142" t="s">
        <v>3293</v>
      </c>
      <c r="H3093" s="142" t="s">
        <v>18943</v>
      </c>
      <c r="I3093" s="142">
        <v>1</v>
      </c>
      <c r="J3093" s="142">
        <v>0</v>
      </c>
      <c r="K3093" s="142">
        <v>0</v>
      </c>
      <c r="L3093" s="142">
        <v>1</v>
      </c>
      <c r="M3093" s="142">
        <v>0</v>
      </c>
    </row>
    <row r="3094" spans="1:13" x14ac:dyDescent="0.45">
      <c r="A3094" s="142" t="s">
        <v>13025</v>
      </c>
      <c r="B3094" s="142" t="s">
        <v>15579</v>
      </c>
      <c r="C3094" s="142" t="s">
        <v>15847</v>
      </c>
      <c r="D3094" s="142" t="s">
        <v>15848</v>
      </c>
      <c r="E3094" s="142" t="s">
        <v>15849</v>
      </c>
      <c r="F3094" s="142" t="s">
        <v>3294</v>
      </c>
      <c r="G3094" s="142" t="s">
        <v>3293</v>
      </c>
      <c r="H3094" s="142" t="s">
        <v>18944</v>
      </c>
      <c r="I3094" s="142">
        <v>24</v>
      </c>
      <c r="J3094" s="142">
        <v>0</v>
      </c>
      <c r="K3094" s="142">
        <v>0</v>
      </c>
      <c r="L3094" s="142">
        <v>24</v>
      </c>
      <c r="M3094" s="142">
        <v>0</v>
      </c>
    </row>
    <row r="3095" spans="1:13" x14ac:dyDescent="0.45">
      <c r="A3095" s="142" t="s">
        <v>13026</v>
      </c>
      <c r="B3095" s="142" t="s">
        <v>15447</v>
      </c>
      <c r="C3095" s="142" t="s">
        <v>15847</v>
      </c>
      <c r="D3095" s="142" t="s">
        <v>15848</v>
      </c>
      <c r="E3095" s="142" t="s">
        <v>15849</v>
      </c>
      <c r="F3095" s="142" t="s">
        <v>3294</v>
      </c>
      <c r="G3095" s="142" t="s">
        <v>3293</v>
      </c>
      <c r="H3095" s="142" t="s">
        <v>18945</v>
      </c>
      <c r="I3095" s="142">
        <v>240</v>
      </c>
      <c r="J3095" s="142">
        <v>189</v>
      </c>
      <c r="K3095" s="142">
        <v>0</v>
      </c>
      <c r="L3095" s="142">
        <v>5</v>
      </c>
      <c r="M3095" s="142">
        <v>46</v>
      </c>
    </row>
    <row r="3096" spans="1:13" x14ac:dyDescent="0.45">
      <c r="A3096" s="142" t="s">
        <v>13271</v>
      </c>
      <c r="B3096" s="142" t="s">
        <v>15470</v>
      </c>
      <c r="C3096" s="142" t="s">
        <v>15847</v>
      </c>
      <c r="D3096" s="142" t="s">
        <v>15848</v>
      </c>
      <c r="E3096" s="142" t="s">
        <v>15849</v>
      </c>
      <c r="F3096" s="142" t="s">
        <v>3294</v>
      </c>
      <c r="G3096" s="142" t="s">
        <v>3293</v>
      </c>
      <c r="H3096" s="142" t="s">
        <v>18946</v>
      </c>
      <c r="I3096" s="142">
        <v>12</v>
      </c>
      <c r="J3096" s="142">
        <v>6</v>
      </c>
      <c r="K3096" s="142">
        <v>0</v>
      </c>
      <c r="L3096" s="142">
        <v>0</v>
      </c>
      <c r="M3096" s="142">
        <v>6</v>
      </c>
    </row>
    <row r="3097" spans="1:13" x14ac:dyDescent="0.45">
      <c r="A3097" s="142" t="s">
        <v>13027</v>
      </c>
      <c r="B3097" s="142" t="s">
        <v>14562</v>
      </c>
      <c r="C3097" s="142" t="s">
        <v>15847</v>
      </c>
      <c r="D3097" s="142" t="s">
        <v>15848</v>
      </c>
      <c r="E3097" s="142" t="s">
        <v>15849</v>
      </c>
      <c r="F3097" s="142" t="s">
        <v>3294</v>
      </c>
      <c r="G3097" s="142" t="s">
        <v>3293</v>
      </c>
      <c r="H3097" s="142" t="s">
        <v>18947</v>
      </c>
      <c r="I3097" s="142">
        <v>11</v>
      </c>
      <c r="J3097" s="142">
        <v>0</v>
      </c>
      <c r="K3097" s="142">
        <v>0</v>
      </c>
      <c r="L3097" s="142">
        <v>11</v>
      </c>
      <c r="M3097" s="142">
        <v>0</v>
      </c>
    </row>
    <row r="3098" spans="1:13" x14ac:dyDescent="0.45">
      <c r="A3098" s="142" t="s">
        <v>13003</v>
      </c>
      <c r="B3098" s="142" t="s">
        <v>15245</v>
      </c>
      <c r="C3098" s="142" t="s">
        <v>15847</v>
      </c>
      <c r="D3098" s="142" t="s">
        <v>15848</v>
      </c>
      <c r="E3098" s="142" t="s">
        <v>15849</v>
      </c>
      <c r="F3098" s="142" t="s">
        <v>3294</v>
      </c>
      <c r="G3098" s="142" t="s">
        <v>3293</v>
      </c>
      <c r="H3098" s="142" t="s">
        <v>18948</v>
      </c>
      <c r="I3098" s="142">
        <v>61</v>
      </c>
      <c r="J3098" s="142">
        <v>0</v>
      </c>
      <c r="K3098" s="142">
        <v>0</v>
      </c>
      <c r="L3098" s="142">
        <v>40</v>
      </c>
      <c r="M3098" s="142">
        <v>21</v>
      </c>
    </row>
    <row r="3099" spans="1:13" x14ac:dyDescent="0.45">
      <c r="A3099" s="142" t="s">
        <v>13066</v>
      </c>
      <c r="B3099" s="142" t="s">
        <v>14459</v>
      </c>
      <c r="C3099" s="142" t="s">
        <v>15847</v>
      </c>
      <c r="D3099" s="142" t="s">
        <v>15848</v>
      </c>
      <c r="E3099" s="142" t="s">
        <v>15849</v>
      </c>
      <c r="F3099" s="142" t="s">
        <v>3294</v>
      </c>
      <c r="G3099" s="142" t="s">
        <v>3293</v>
      </c>
      <c r="H3099" s="142" t="s">
        <v>18949</v>
      </c>
      <c r="I3099" s="142">
        <v>20</v>
      </c>
      <c r="J3099" s="142">
        <v>0</v>
      </c>
      <c r="K3099" s="142">
        <v>0</v>
      </c>
      <c r="L3099" s="142">
        <v>20</v>
      </c>
      <c r="M3099" s="142">
        <v>0</v>
      </c>
    </row>
    <row r="3100" spans="1:13" x14ac:dyDescent="0.45">
      <c r="A3100" s="142" t="s">
        <v>13029</v>
      </c>
      <c r="B3100" s="142" t="s">
        <v>14665</v>
      </c>
      <c r="C3100" s="142" t="s">
        <v>15847</v>
      </c>
      <c r="D3100" s="142" t="s">
        <v>15848</v>
      </c>
      <c r="E3100" s="142" t="s">
        <v>15849</v>
      </c>
      <c r="F3100" s="142" t="s">
        <v>3294</v>
      </c>
      <c r="G3100" s="142" t="s">
        <v>3293</v>
      </c>
      <c r="H3100" s="142" t="s">
        <v>18950</v>
      </c>
      <c r="I3100" s="142">
        <v>2</v>
      </c>
      <c r="J3100" s="142">
        <v>0</v>
      </c>
      <c r="K3100" s="142">
        <v>0</v>
      </c>
      <c r="L3100" s="142">
        <v>0</v>
      </c>
      <c r="M3100" s="142">
        <v>2</v>
      </c>
    </row>
    <row r="3101" spans="1:13" x14ac:dyDescent="0.45">
      <c r="A3101" s="142" t="s">
        <v>13006</v>
      </c>
      <c r="B3101" s="142" t="s">
        <v>15288</v>
      </c>
      <c r="C3101" s="142" t="s">
        <v>15847</v>
      </c>
      <c r="D3101" s="142" t="s">
        <v>15848</v>
      </c>
      <c r="E3101" s="142" t="s">
        <v>15849</v>
      </c>
      <c r="F3101" s="142" t="s">
        <v>3294</v>
      </c>
      <c r="G3101" s="142" t="s">
        <v>3293</v>
      </c>
      <c r="H3101" s="142" t="s">
        <v>18951</v>
      </c>
      <c r="I3101" s="142">
        <v>372</v>
      </c>
      <c r="J3101" s="142">
        <v>295</v>
      </c>
      <c r="K3101" s="142">
        <v>0</v>
      </c>
      <c r="L3101" s="142">
        <v>45</v>
      </c>
      <c r="M3101" s="142">
        <v>32</v>
      </c>
    </row>
    <row r="3102" spans="1:13" x14ac:dyDescent="0.45">
      <c r="A3102" s="142" t="s">
        <v>13248</v>
      </c>
      <c r="B3102" s="142" t="s">
        <v>15463</v>
      </c>
      <c r="C3102" s="142" t="s">
        <v>15847</v>
      </c>
      <c r="D3102" s="142" t="s">
        <v>15848</v>
      </c>
      <c r="E3102" s="142" t="s">
        <v>15849</v>
      </c>
      <c r="F3102" s="142" t="s">
        <v>3294</v>
      </c>
      <c r="G3102" s="142" t="s">
        <v>3293</v>
      </c>
      <c r="H3102" s="142" t="s">
        <v>18952</v>
      </c>
      <c r="I3102" s="142">
        <v>2</v>
      </c>
      <c r="J3102" s="142">
        <v>0</v>
      </c>
      <c r="K3102" s="142">
        <v>0</v>
      </c>
      <c r="L3102" s="142">
        <v>0</v>
      </c>
      <c r="M3102" s="142">
        <v>2</v>
      </c>
    </row>
    <row r="3103" spans="1:13" x14ac:dyDescent="0.45">
      <c r="A3103" s="142" t="s">
        <v>13030</v>
      </c>
      <c r="B3103" s="142" t="s">
        <v>14572</v>
      </c>
      <c r="C3103" s="142" t="s">
        <v>15847</v>
      </c>
      <c r="D3103" s="142" t="s">
        <v>15848</v>
      </c>
      <c r="E3103" s="142" t="s">
        <v>15849</v>
      </c>
      <c r="F3103" s="142" t="s">
        <v>3294</v>
      </c>
      <c r="G3103" s="142" t="s">
        <v>3293</v>
      </c>
      <c r="H3103" s="142" t="s">
        <v>18953</v>
      </c>
      <c r="I3103" s="142">
        <v>77</v>
      </c>
      <c r="J3103" s="142">
        <v>77</v>
      </c>
      <c r="K3103" s="142">
        <v>0</v>
      </c>
      <c r="L3103" s="142">
        <v>0</v>
      </c>
      <c r="M3103" s="142">
        <v>0</v>
      </c>
    </row>
    <row r="3104" spans="1:13" x14ac:dyDescent="0.45">
      <c r="A3104" s="142" t="s">
        <v>13033</v>
      </c>
      <c r="B3104" s="142" t="s">
        <v>15276</v>
      </c>
      <c r="C3104" s="142" t="s">
        <v>15847</v>
      </c>
      <c r="D3104" s="142" t="s">
        <v>15848</v>
      </c>
      <c r="E3104" s="142" t="s">
        <v>15849</v>
      </c>
      <c r="F3104" s="142" t="s">
        <v>3294</v>
      </c>
      <c r="G3104" s="142" t="s">
        <v>3293</v>
      </c>
      <c r="H3104" s="142" t="s">
        <v>18954</v>
      </c>
      <c r="I3104" s="142">
        <v>10</v>
      </c>
      <c r="J3104" s="142">
        <v>10</v>
      </c>
      <c r="K3104" s="142">
        <v>0</v>
      </c>
      <c r="L3104" s="142">
        <v>0</v>
      </c>
      <c r="M3104" s="142">
        <v>0</v>
      </c>
    </row>
    <row r="3105" spans="1:13" x14ac:dyDescent="0.45">
      <c r="A3105" s="142" t="s">
        <v>13034</v>
      </c>
      <c r="B3105" s="142" t="s">
        <v>15562</v>
      </c>
      <c r="C3105" s="142" t="s">
        <v>15847</v>
      </c>
      <c r="D3105" s="142" t="s">
        <v>15848</v>
      </c>
      <c r="E3105" s="142" t="s">
        <v>15849</v>
      </c>
      <c r="F3105" s="142" t="s">
        <v>3294</v>
      </c>
      <c r="G3105" s="142" t="s">
        <v>3293</v>
      </c>
      <c r="H3105" s="142" t="s">
        <v>18955</v>
      </c>
      <c r="I3105" s="142">
        <v>183</v>
      </c>
      <c r="J3105" s="142">
        <v>160</v>
      </c>
      <c r="K3105" s="142">
        <v>0</v>
      </c>
      <c r="L3105" s="142">
        <v>13</v>
      </c>
      <c r="M3105" s="142">
        <v>10</v>
      </c>
    </row>
    <row r="3106" spans="1:13" x14ac:dyDescent="0.45">
      <c r="A3106" s="142" t="s">
        <v>13035</v>
      </c>
      <c r="B3106" s="142" t="s">
        <v>14648</v>
      </c>
      <c r="C3106" s="142" t="s">
        <v>15847</v>
      </c>
      <c r="D3106" s="142" t="s">
        <v>15848</v>
      </c>
      <c r="E3106" s="142" t="s">
        <v>15849</v>
      </c>
      <c r="F3106" s="142" t="s">
        <v>3294</v>
      </c>
      <c r="G3106" s="142" t="s">
        <v>3293</v>
      </c>
      <c r="H3106" s="142" t="s">
        <v>18956</v>
      </c>
      <c r="I3106" s="142">
        <v>85</v>
      </c>
      <c r="J3106" s="142">
        <v>77</v>
      </c>
      <c r="K3106" s="142">
        <v>0</v>
      </c>
      <c r="L3106" s="142">
        <v>0</v>
      </c>
      <c r="M3106" s="142">
        <v>8</v>
      </c>
    </row>
    <row r="3107" spans="1:13" x14ac:dyDescent="0.45">
      <c r="A3107" s="142" t="s">
        <v>13078</v>
      </c>
      <c r="B3107" s="142" t="s">
        <v>15540</v>
      </c>
      <c r="C3107" s="142" t="s">
        <v>15847</v>
      </c>
      <c r="D3107" s="142" t="s">
        <v>15848</v>
      </c>
      <c r="E3107" s="142" t="s">
        <v>15849</v>
      </c>
      <c r="F3107" s="142" t="s">
        <v>3294</v>
      </c>
      <c r="G3107" s="142" t="s">
        <v>3293</v>
      </c>
      <c r="H3107" s="142" t="s">
        <v>18957</v>
      </c>
      <c r="I3107" s="142">
        <v>14</v>
      </c>
      <c r="J3107" s="142">
        <v>14</v>
      </c>
      <c r="K3107" s="142">
        <v>0</v>
      </c>
      <c r="L3107" s="142">
        <v>0</v>
      </c>
      <c r="M3107" s="142">
        <v>0</v>
      </c>
    </row>
    <row r="3108" spans="1:13" x14ac:dyDescent="0.45">
      <c r="A3108" s="142" t="s">
        <v>13014</v>
      </c>
      <c r="B3108" s="142" t="s">
        <v>14505</v>
      </c>
      <c r="C3108" s="142" t="s">
        <v>15847</v>
      </c>
      <c r="D3108" s="142" t="s">
        <v>15848</v>
      </c>
      <c r="E3108" s="142" t="s">
        <v>15849</v>
      </c>
      <c r="F3108" s="142" t="s">
        <v>3294</v>
      </c>
      <c r="G3108" s="142" t="s">
        <v>3293</v>
      </c>
      <c r="H3108" s="142" t="s">
        <v>18958</v>
      </c>
      <c r="I3108" s="142">
        <v>121</v>
      </c>
      <c r="J3108" s="142">
        <v>117</v>
      </c>
      <c r="K3108" s="142">
        <v>0</v>
      </c>
      <c r="L3108" s="142">
        <v>4</v>
      </c>
      <c r="M3108" s="142">
        <v>0</v>
      </c>
    </row>
    <row r="3109" spans="1:13" x14ac:dyDescent="0.45">
      <c r="A3109" s="142" t="s">
        <v>13042</v>
      </c>
      <c r="B3109" s="142" t="s">
        <v>15489</v>
      </c>
      <c r="C3109" s="142" t="s">
        <v>15847</v>
      </c>
      <c r="D3109" s="142" t="s">
        <v>15848</v>
      </c>
      <c r="E3109" s="142" t="s">
        <v>15849</v>
      </c>
      <c r="F3109" s="142" t="s">
        <v>3294</v>
      </c>
      <c r="G3109" s="142" t="s">
        <v>3293</v>
      </c>
      <c r="H3109" s="142" t="s">
        <v>18959</v>
      </c>
      <c r="I3109" s="142">
        <v>234</v>
      </c>
      <c r="J3109" s="142">
        <v>167</v>
      </c>
      <c r="K3109" s="142">
        <v>0</v>
      </c>
      <c r="L3109" s="142">
        <v>55</v>
      </c>
      <c r="M3109" s="142">
        <v>12</v>
      </c>
    </row>
    <row r="3110" spans="1:13" x14ac:dyDescent="0.45">
      <c r="A3110" s="142" t="s">
        <v>13070</v>
      </c>
      <c r="B3110" s="142" t="s">
        <v>15394</v>
      </c>
      <c r="C3110" s="142" t="s">
        <v>15847</v>
      </c>
      <c r="D3110" s="142" t="s">
        <v>15848</v>
      </c>
      <c r="E3110" s="142" t="s">
        <v>15849</v>
      </c>
      <c r="F3110" s="142" t="s">
        <v>3294</v>
      </c>
      <c r="G3110" s="142" t="s">
        <v>3293</v>
      </c>
      <c r="H3110" s="142" t="s">
        <v>18960</v>
      </c>
      <c r="I3110" s="142">
        <v>148</v>
      </c>
      <c r="J3110" s="142">
        <v>117</v>
      </c>
      <c r="K3110" s="142">
        <v>0</v>
      </c>
      <c r="L3110" s="142">
        <v>20</v>
      </c>
      <c r="M3110" s="142">
        <v>11</v>
      </c>
    </row>
    <row r="3111" spans="1:13" x14ac:dyDescent="0.45">
      <c r="A3111" s="142" t="s">
        <v>13021</v>
      </c>
      <c r="B3111" s="142" t="s">
        <v>15501</v>
      </c>
      <c r="C3111" s="142" t="s">
        <v>15847</v>
      </c>
      <c r="D3111" s="142" t="s">
        <v>15848</v>
      </c>
      <c r="E3111" s="142" t="s">
        <v>15849</v>
      </c>
      <c r="F3111" s="142" t="s">
        <v>3504</v>
      </c>
      <c r="G3111" s="142" t="s">
        <v>3503</v>
      </c>
      <c r="H3111" s="142" t="s">
        <v>18961</v>
      </c>
      <c r="I3111" s="142">
        <v>2</v>
      </c>
      <c r="J3111" s="142">
        <v>0</v>
      </c>
      <c r="K3111" s="142">
        <v>0</v>
      </c>
      <c r="L3111" s="142">
        <v>0</v>
      </c>
      <c r="M3111" s="142">
        <v>2</v>
      </c>
    </row>
    <row r="3112" spans="1:13" x14ac:dyDescent="0.45">
      <c r="A3112" s="142" t="s">
        <v>13048</v>
      </c>
      <c r="B3112" s="142" t="s">
        <v>14479</v>
      </c>
      <c r="C3112" s="142" t="s">
        <v>15847</v>
      </c>
      <c r="D3112" s="142" t="s">
        <v>15848</v>
      </c>
      <c r="E3112" s="142" t="s">
        <v>15849</v>
      </c>
      <c r="F3112" s="142" t="s">
        <v>3504</v>
      </c>
      <c r="G3112" s="142" t="s">
        <v>3503</v>
      </c>
      <c r="H3112" s="142" t="s">
        <v>18962</v>
      </c>
      <c r="I3112" s="142">
        <v>191</v>
      </c>
      <c r="J3112" s="142">
        <v>134</v>
      </c>
      <c r="K3112" s="142">
        <v>0</v>
      </c>
      <c r="L3112" s="142">
        <v>0</v>
      </c>
      <c r="M3112" s="142">
        <v>57</v>
      </c>
    </row>
    <row r="3113" spans="1:13" x14ac:dyDescent="0.45">
      <c r="A3113" s="142" t="s">
        <v>13301</v>
      </c>
      <c r="B3113" s="142" t="s">
        <v>15496</v>
      </c>
      <c r="C3113" s="142" t="s">
        <v>15847</v>
      </c>
      <c r="D3113" s="142" t="s">
        <v>15848</v>
      </c>
      <c r="E3113" s="142" t="s">
        <v>15849</v>
      </c>
      <c r="F3113" s="142" t="s">
        <v>3504</v>
      </c>
      <c r="G3113" s="142" t="s">
        <v>3503</v>
      </c>
      <c r="H3113" s="142" t="s">
        <v>18963</v>
      </c>
      <c r="I3113" s="142">
        <v>83</v>
      </c>
      <c r="J3113" s="142">
        <v>9</v>
      </c>
      <c r="K3113" s="142">
        <v>4</v>
      </c>
      <c r="L3113" s="142">
        <v>70</v>
      </c>
      <c r="M3113" s="142">
        <v>0</v>
      </c>
    </row>
    <row r="3114" spans="1:13" x14ac:dyDescent="0.45">
      <c r="A3114" s="142" t="s">
        <v>13528</v>
      </c>
      <c r="B3114" s="142" t="s">
        <v>15218</v>
      </c>
      <c r="C3114" s="142" t="s">
        <v>15860</v>
      </c>
      <c r="D3114" s="142" t="s">
        <v>15861</v>
      </c>
      <c r="E3114" s="142" t="s">
        <v>15849</v>
      </c>
      <c r="F3114" s="142" t="s">
        <v>3504</v>
      </c>
      <c r="G3114" s="142" t="s">
        <v>3503</v>
      </c>
      <c r="H3114" s="142" t="s">
        <v>18964</v>
      </c>
      <c r="I3114" s="142">
        <v>85</v>
      </c>
      <c r="J3114" s="142">
        <v>0</v>
      </c>
      <c r="K3114" s="142">
        <v>0</v>
      </c>
      <c r="L3114" s="142">
        <v>85</v>
      </c>
      <c r="M3114" s="142">
        <v>0</v>
      </c>
    </row>
    <row r="3115" spans="1:13" x14ac:dyDescent="0.45">
      <c r="A3115" s="142" t="s">
        <v>13000</v>
      </c>
      <c r="B3115" s="142" t="s">
        <v>14610</v>
      </c>
      <c r="C3115" s="142" t="s">
        <v>15847</v>
      </c>
      <c r="D3115" s="142" t="s">
        <v>15848</v>
      </c>
      <c r="E3115" s="142" t="s">
        <v>15849</v>
      </c>
      <c r="F3115" s="142" t="s">
        <v>3504</v>
      </c>
      <c r="G3115" s="142" t="s">
        <v>3503</v>
      </c>
      <c r="H3115" s="142" t="s">
        <v>18965</v>
      </c>
      <c r="I3115" s="142">
        <v>155</v>
      </c>
      <c r="J3115" s="142">
        <v>155</v>
      </c>
      <c r="K3115" s="142">
        <v>0</v>
      </c>
      <c r="L3115" s="142">
        <v>0</v>
      </c>
      <c r="M3115" s="142">
        <v>0</v>
      </c>
    </row>
    <row r="3116" spans="1:13" x14ac:dyDescent="0.45">
      <c r="A3116" s="142" t="s">
        <v>13644</v>
      </c>
      <c r="B3116" s="142" t="s">
        <v>15253</v>
      </c>
      <c r="C3116" s="142" t="s">
        <v>15847</v>
      </c>
      <c r="D3116" s="142" t="s">
        <v>15848</v>
      </c>
      <c r="E3116" s="142" t="s">
        <v>15849</v>
      </c>
      <c r="F3116" s="142" t="s">
        <v>3504</v>
      </c>
      <c r="G3116" s="142" t="s">
        <v>3503</v>
      </c>
      <c r="H3116" s="142" t="s">
        <v>18966</v>
      </c>
      <c r="I3116" s="142">
        <v>1181</v>
      </c>
      <c r="J3116" s="142">
        <v>1168</v>
      </c>
      <c r="K3116" s="142">
        <v>0</v>
      </c>
      <c r="L3116" s="142">
        <v>0</v>
      </c>
      <c r="M3116" s="142">
        <v>13</v>
      </c>
    </row>
    <row r="3117" spans="1:13" x14ac:dyDescent="0.45">
      <c r="A3117" s="142" t="s">
        <v>13688</v>
      </c>
      <c r="B3117" s="142" t="s">
        <v>14781</v>
      </c>
      <c r="C3117" s="142" t="s">
        <v>15860</v>
      </c>
      <c r="D3117" s="142" t="s">
        <v>15861</v>
      </c>
      <c r="E3117" s="142" t="s">
        <v>15849</v>
      </c>
      <c r="F3117" s="142" t="s">
        <v>3504</v>
      </c>
      <c r="G3117" s="142" t="s">
        <v>3503</v>
      </c>
      <c r="H3117" s="142" t="s">
        <v>18967</v>
      </c>
      <c r="I3117" s="142">
        <v>141</v>
      </c>
      <c r="J3117" s="142">
        <v>0</v>
      </c>
      <c r="K3117" s="142">
        <v>0</v>
      </c>
      <c r="L3117" s="142">
        <v>141</v>
      </c>
      <c r="M3117" s="142">
        <v>0</v>
      </c>
    </row>
    <row r="3118" spans="1:13" x14ac:dyDescent="0.45">
      <c r="A3118" s="142" t="s">
        <v>13049</v>
      </c>
      <c r="B3118" s="142" t="s">
        <v>14534</v>
      </c>
      <c r="C3118" s="142" t="s">
        <v>15860</v>
      </c>
      <c r="D3118" s="142" t="s">
        <v>15861</v>
      </c>
      <c r="E3118" s="142" t="s">
        <v>15849</v>
      </c>
      <c r="F3118" s="142" t="s">
        <v>3504</v>
      </c>
      <c r="G3118" s="142" t="s">
        <v>3503</v>
      </c>
      <c r="H3118" s="142" t="s">
        <v>18968</v>
      </c>
      <c r="I3118" s="142">
        <v>3</v>
      </c>
      <c r="J3118" s="142">
        <v>0</v>
      </c>
      <c r="K3118" s="142">
        <v>0</v>
      </c>
      <c r="L3118" s="142">
        <v>3</v>
      </c>
      <c r="M3118" s="142">
        <v>0</v>
      </c>
    </row>
    <row r="3119" spans="1:13" x14ac:dyDescent="0.45">
      <c r="A3119" s="142" t="s">
        <v>13168</v>
      </c>
      <c r="B3119" s="142" t="s">
        <v>14486</v>
      </c>
      <c r="C3119" s="142" t="s">
        <v>15860</v>
      </c>
      <c r="D3119" s="142" t="s">
        <v>15861</v>
      </c>
      <c r="E3119" s="142" t="s">
        <v>15849</v>
      </c>
      <c r="F3119" s="142" t="s">
        <v>3504</v>
      </c>
      <c r="G3119" s="142" t="s">
        <v>3503</v>
      </c>
      <c r="H3119" s="142" t="s">
        <v>18969</v>
      </c>
      <c r="I3119" s="142">
        <v>4</v>
      </c>
      <c r="J3119" s="142">
        <v>0</v>
      </c>
      <c r="K3119" s="142">
        <v>0</v>
      </c>
      <c r="L3119" s="142">
        <v>4</v>
      </c>
      <c r="M3119" s="142">
        <v>0</v>
      </c>
    </row>
    <row r="3120" spans="1:13" x14ac:dyDescent="0.45">
      <c r="A3120" s="142" t="s">
        <v>13027</v>
      </c>
      <c r="B3120" s="142" t="s">
        <v>14562</v>
      </c>
      <c r="C3120" s="142" t="s">
        <v>15847</v>
      </c>
      <c r="D3120" s="142" t="s">
        <v>15848</v>
      </c>
      <c r="E3120" s="142" t="s">
        <v>15849</v>
      </c>
      <c r="F3120" s="142" t="s">
        <v>3504</v>
      </c>
      <c r="G3120" s="142" t="s">
        <v>3503</v>
      </c>
      <c r="H3120" s="142" t="s">
        <v>18970</v>
      </c>
      <c r="I3120" s="142">
        <v>6</v>
      </c>
      <c r="J3120" s="142">
        <v>0</v>
      </c>
      <c r="K3120" s="142">
        <v>0</v>
      </c>
      <c r="L3120" s="142">
        <v>6</v>
      </c>
      <c r="M3120" s="142">
        <v>0</v>
      </c>
    </row>
    <row r="3121" spans="1:13" x14ac:dyDescent="0.45">
      <c r="A3121" s="142" t="s">
        <v>13002</v>
      </c>
      <c r="B3121" s="142" t="s">
        <v>15376</v>
      </c>
      <c r="C3121" s="142" t="s">
        <v>15847</v>
      </c>
      <c r="D3121" s="142" t="s">
        <v>15848</v>
      </c>
      <c r="E3121" s="142" t="s">
        <v>15849</v>
      </c>
      <c r="F3121" s="142" t="s">
        <v>3504</v>
      </c>
      <c r="G3121" s="142" t="s">
        <v>3503</v>
      </c>
      <c r="H3121" s="142" t="s">
        <v>18971</v>
      </c>
      <c r="I3121" s="142">
        <v>37</v>
      </c>
      <c r="J3121" s="142">
        <v>0</v>
      </c>
      <c r="K3121" s="142">
        <v>0</v>
      </c>
      <c r="L3121" s="142">
        <v>37</v>
      </c>
      <c r="M3121" s="142">
        <v>0</v>
      </c>
    </row>
    <row r="3122" spans="1:13" x14ac:dyDescent="0.45">
      <c r="A3122" s="142" t="s">
        <v>13066</v>
      </c>
      <c r="B3122" s="142" t="s">
        <v>14459</v>
      </c>
      <c r="C3122" s="142" t="s">
        <v>15847</v>
      </c>
      <c r="D3122" s="142" t="s">
        <v>15848</v>
      </c>
      <c r="E3122" s="142" t="s">
        <v>15849</v>
      </c>
      <c r="F3122" s="142" t="s">
        <v>3504</v>
      </c>
      <c r="G3122" s="142" t="s">
        <v>3503</v>
      </c>
      <c r="H3122" s="142" t="s">
        <v>18972</v>
      </c>
      <c r="I3122" s="142">
        <v>30</v>
      </c>
      <c r="J3122" s="142">
        <v>0</v>
      </c>
      <c r="K3122" s="142">
        <v>0</v>
      </c>
      <c r="L3122" s="142">
        <v>30</v>
      </c>
      <c r="M3122" s="142">
        <v>0</v>
      </c>
    </row>
    <row r="3123" spans="1:13" x14ac:dyDescent="0.45">
      <c r="A3123" s="142" t="s">
        <v>13170</v>
      </c>
      <c r="B3123" s="142" t="s">
        <v>15486</v>
      </c>
      <c r="C3123" s="142" t="s">
        <v>15860</v>
      </c>
      <c r="D3123" s="142" t="s">
        <v>15861</v>
      </c>
      <c r="E3123" s="142" t="s">
        <v>15849</v>
      </c>
      <c r="F3123" s="142" t="s">
        <v>3504</v>
      </c>
      <c r="G3123" s="142" t="s">
        <v>3503</v>
      </c>
      <c r="H3123" s="142" t="s">
        <v>18973</v>
      </c>
      <c r="I3123" s="142">
        <v>33</v>
      </c>
      <c r="J3123" s="142">
        <v>0</v>
      </c>
      <c r="K3123" s="142">
        <v>0</v>
      </c>
      <c r="L3123" s="142">
        <v>33</v>
      </c>
      <c r="M3123" s="142">
        <v>0</v>
      </c>
    </row>
    <row r="3124" spans="1:13" x14ac:dyDescent="0.45">
      <c r="A3124" s="142" t="s">
        <v>13190</v>
      </c>
      <c r="B3124" s="142" t="s">
        <v>14617</v>
      </c>
      <c r="C3124" s="142" t="s">
        <v>15847</v>
      </c>
      <c r="D3124" s="142" t="s">
        <v>15848</v>
      </c>
      <c r="E3124" s="142" t="s">
        <v>15849</v>
      </c>
      <c r="F3124" s="142" t="s">
        <v>3504</v>
      </c>
      <c r="G3124" s="142" t="s">
        <v>3503</v>
      </c>
      <c r="H3124" s="142" t="s">
        <v>18974</v>
      </c>
      <c r="I3124" s="142">
        <v>1185</v>
      </c>
      <c r="J3124" s="142">
        <v>899</v>
      </c>
      <c r="K3124" s="142">
        <v>0</v>
      </c>
      <c r="L3124" s="142">
        <v>31</v>
      </c>
      <c r="M3124" s="142">
        <v>255</v>
      </c>
    </row>
    <row r="3125" spans="1:13" x14ac:dyDescent="0.45">
      <c r="A3125" s="142" t="s">
        <v>13005</v>
      </c>
      <c r="B3125" s="142" t="s">
        <v>15475</v>
      </c>
      <c r="C3125" s="142" t="s">
        <v>15847</v>
      </c>
      <c r="D3125" s="142" t="s">
        <v>15848</v>
      </c>
      <c r="E3125" s="142" t="s">
        <v>15849</v>
      </c>
      <c r="F3125" s="142" t="s">
        <v>3504</v>
      </c>
      <c r="G3125" s="142" t="s">
        <v>3503</v>
      </c>
      <c r="H3125" s="142" t="s">
        <v>18975</v>
      </c>
      <c r="I3125" s="142">
        <v>1</v>
      </c>
      <c r="J3125" s="142">
        <v>0</v>
      </c>
      <c r="K3125" s="142">
        <v>0</v>
      </c>
      <c r="L3125" s="142">
        <v>0</v>
      </c>
      <c r="M3125" s="142">
        <v>1</v>
      </c>
    </row>
    <row r="3126" spans="1:13" x14ac:dyDescent="0.45">
      <c r="A3126" s="142" t="s">
        <v>13621</v>
      </c>
      <c r="B3126" s="142" t="s">
        <v>14591</v>
      </c>
      <c r="C3126" s="142" t="s">
        <v>15847</v>
      </c>
      <c r="D3126" s="142" t="s">
        <v>15848</v>
      </c>
      <c r="E3126" s="142" t="s">
        <v>15849</v>
      </c>
      <c r="F3126" s="142" t="s">
        <v>3504</v>
      </c>
      <c r="G3126" s="142" t="s">
        <v>3503</v>
      </c>
      <c r="H3126" s="142" t="s">
        <v>18976</v>
      </c>
      <c r="I3126" s="142">
        <v>7</v>
      </c>
      <c r="J3126" s="142">
        <v>0</v>
      </c>
      <c r="K3126" s="142">
        <v>0</v>
      </c>
      <c r="L3126" s="142">
        <v>7</v>
      </c>
      <c r="M3126" s="142">
        <v>0</v>
      </c>
    </row>
    <row r="3127" spans="1:13" x14ac:dyDescent="0.45">
      <c r="A3127" s="142" t="s">
        <v>13007</v>
      </c>
      <c r="B3127" s="142" t="s">
        <v>15262</v>
      </c>
      <c r="C3127" s="142" t="s">
        <v>15847</v>
      </c>
      <c r="D3127" s="142" t="s">
        <v>15848</v>
      </c>
      <c r="E3127" s="142" t="s">
        <v>15849</v>
      </c>
      <c r="F3127" s="142" t="s">
        <v>3504</v>
      </c>
      <c r="G3127" s="142" t="s">
        <v>3503</v>
      </c>
      <c r="H3127" s="142" t="s">
        <v>18977</v>
      </c>
      <c r="I3127" s="142">
        <v>1</v>
      </c>
      <c r="J3127" s="142">
        <v>0</v>
      </c>
      <c r="K3127" s="142">
        <v>0</v>
      </c>
      <c r="L3127" s="142">
        <v>0</v>
      </c>
      <c r="M3127" s="142">
        <v>1</v>
      </c>
    </row>
    <row r="3128" spans="1:13" x14ac:dyDescent="0.45">
      <c r="A3128" s="142" t="s">
        <v>13033</v>
      </c>
      <c r="B3128" s="142" t="s">
        <v>15276</v>
      </c>
      <c r="C3128" s="142" t="s">
        <v>15847</v>
      </c>
      <c r="D3128" s="142" t="s">
        <v>15848</v>
      </c>
      <c r="E3128" s="142" t="s">
        <v>15849</v>
      </c>
      <c r="F3128" s="142" t="s">
        <v>3504</v>
      </c>
      <c r="G3128" s="142" t="s">
        <v>3503</v>
      </c>
      <c r="H3128" s="142" t="s">
        <v>18978</v>
      </c>
      <c r="I3128" s="142">
        <v>1</v>
      </c>
      <c r="J3128" s="142">
        <v>0</v>
      </c>
      <c r="K3128" s="142">
        <v>0</v>
      </c>
      <c r="L3128" s="142">
        <v>0</v>
      </c>
      <c r="M3128" s="142">
        <v>1</v>
      </c>
    </row>
    <row r="3129" spans="1:13" x14ac:dyDescent="0.45">
      <c r="A3129" s="142" t="s">
        <v>13034</v>
      </c>
      <c r="B3129" s="142" t="s">
        <v>15562</v>
      </c>
      <c r="C3129" s="142" t="s">
        <v>15847</v>
      </c>
      <c r="D3129" s="142" t="s">
        <v>15848</v>
      </c>
      <c r="E3129" s="142" t="s">
        <v>15849</v>
      </c>
      <c r="F3129" s="142" t="s">
        <v>3504</v>
      </c>
      <c r="G3129" s="142" t="s">
        <v>3503</v>
      </c>
      <c r="H3129" s="142" t="s">
        <v>18979</v>
      </c>
      <c r="I3129" s="142">
        <v>16</v>
      </c>
      <c r="J3129" s="142">
        <v>16</v>
      </c>
      <c r="K3129" s="142">
        <v>0</v>
      </c>
      <c r="L3129" s="142">
        <v>0</v>
      </c>
      <c r="M3129" s="142">
        <v>0</v>
      </c>
    </row>
    <row r="3130" spans="1:13" x14ac:dyDescent="0.45">
      <c r="A3130" s="142" t="s">
        <v>13036</v>
      </c>
      <c r="B3130" s="142" t="s">
        <v>15567</v>
      </c>
      <c r="C3130" s="142" t="s">
        <v>15847</v>
      </c>
      <c r="D3130" s="142" t="s">
        <v>15848</v>
      </c>
      <c r="E3130" s="142" t="s">
        <v>15849</v>
      </c>
      <c r="F3130" s="142" t="s">
        <v>3504</v>
      </c>
      <c r="G3130" s="142" t="s">
        <v>3503</v>
      </c>
      <c r="H3130" s="142" t="s">
        <v>18980</v>
      </c>
      <c r="I3130" s="142">
        <v>18</v>
      </c>
      <c r="J3130" s="142">
        <v>0</v>
      </c>
      <c r="K3130" s="142">
        <v>0</v>
      </c>
      <c r="L3130" s="142">
        <v>15</v>
      </c>
      <c r="M3130" s="142">
        <v>3</v>
      </c>
    </row>
    <row r="3131" spans="1:13" x14ac:dyDescent="0.45">
      <c r="A3131" s="142" t="s">
        <v>13078</v>
      </c>
      <c r="B3131" s="142" t="s">
        <v>15540</v>
      </c>
      <c r="C3131" s="142" t="s">
        <v>15847</v>
      </c>
      <c r="D3131" s="142" t="s">
        <v>15848</v>
      </c>
      <c r="E3131" s="142" t="s">
        <v>15849</v>
      </c>
      <c r="F3131" s="142" t="s">
        <v>3504</v>
      </c>
      <c r="G3131" s="142" t="s">
        <v>3503</v>
      </c>
      <c r="H3131" s="142" t="s">
        <v>18981</v>
      </c>
      <c r="I3131" s="142">
        <v>27</v>
      </c>
      <c r="J3131" s="142">
        <v>0</v>
      </c>
      <c r="K3131" s="142">
        <v>0</v>
      </c>
      <c r="L3131" s="142">
        <v>27</v>
      </c>
      <c r="M3131" s="142">
        <v>0</v>
      </c>
    </row>
    <row r="3132" spans="1:13" x14ac:dyDescent="0.45">
      <c r="A3132" s="142" t="s">
        <v>13009</v>
      </c>
      <c r="B3132" s="142" t="s">
        <v>15256</v>
      </c>
      <c r="C3132" s="142" t="s">
        <v>15847</v>
      </c>
      <c r="D3132" s="142" t="s">
        <v>15848</v>
      </c>
      <c r="E3132" s="142" t="s">
        <v>15849</v>
      </c>
      <c r="F3132" s="142" t="s">
        <v>3504</v>
      </c>
      <c r="G3132" s="142" t="s">
        <v>3503</v>
      </c>
      <c r="H3132" s="142" t="s">
        <v>18982</v>
      </c>
      <c r="I3132" s="142">
        <v>224</v>
      </c>
      <c r="J3132" s="142">
        <v>194</v>
      </c>
      <c r="K3132" s="142">
        <v>0</v>
      </c>
      <c r="L3132" s="142">
        <v>23</v>
      </c>
      <c r="M3132" s="142">
        <v>7</v>
      </c>
    </row>
    <row r="3133" spans="1:13" x14ac:dyDescent="0.45">
      <c r="A3133" s="142" t="s">
        <v>13058</v>
      </c>
      <c r="B3133" s="142" t="s">
        <v>14584</v>
      </c>
      <c r="C3133" s="142" t="s">
        <v>15847</v>
      </c>
      <c r="D3133" s="142" t="s">
        <v>15848</v>
      </c>
      <c r="E3133" s="142" t="s">
        <v>15849</v>
      </c>
      <c r="F3133" s="142" t="s">
        <v>3504</v>
      </c>
      <c r="G3133" s="142" t="s">
        <v>3503</v>
      </c>
      <c r="H3133" s="142" t="s">
        <v>18983</v>
      </c>
      <c r="I3133" s="142">
        <v>1085</v>
      </c>
      <c r="J3133" s="142">
        <v>866</v>
      </c>
      <c r="K3133" s="142">
        <v>0</v>
      </c>
      <c r="L3133" s="142">
        <v>47</v>
      </c>
      <c r="M3133" s="142">
        <v>172</v>
      </c>
    </row>
    <row r="3134" spans="1:13" x14ac:dyDescent="0.45">
      <c r="A3134" s="142" t="s">
        <v>13012</v>
      </c>
      <c r="B3134" s="142" t="s">
        <v>15337</v>
      </c>
      <c r="C3134" s="142" t="s">
        <v>15847</v>
      </c>
      <c r="D3134" s="142" t="s">
        <v>15848</v>
      </c>
      <c r="E3134" s="142" t="s">
        <v>15849</v>
      </c>
      <c r="F3134" s="142" t="s">
        <v>3504</v>
      </c>
      <c r="G3134" s="142" t="s">
        <v>3503</v>
      </c>
      <c r="H3134" s="142" t="s">
        <v>18984</v>
      </c>
      <c r="I3134" s="142">
        <v>40</v>
      </c>
      <c r="J3134" s="142">
        <v>5</v>
      </c>
      <c r="K3134" s="142">
        <v>0</v>
      </c>
      <c r="L3134" s="142">
        <v>33</v>
      </c>
      <c r="M3134" s="142">
        <v>2</v>
      </c>
    </row>
    <row r="3135" spans="1:13" x14ac:dyDescent="0.45">
      <c r="A3135" s="142" t="s">
        <v>13060</v>
      </c>
      <c r="B3135" s="142" t="s">
        <v>14470</v>
      </c>
      <c r="C3135" s="142" t="s">
        <v>15847</v>
      </c>
      <c r="D3135" s="142" t="s">
        <v>15848</v>
      </c>
      <c r="E3135" s="142" t="s">
        <v>15849</v>
      </c>
      <c r="F3135" s="142" t="s">
        <v>3504</v>
      </c>
      <c r="G3135" s="142" t="s">
        <v>3503</v>
      </c>
      <c r="H3135" s="142" t="s">
        <v>18985</v>
      </c>
      <c r="I3135" s="142">
        <v>110</v>
      </c>
      <c r="J3135" s="142">
        <v>78</v>
      </c>
      <c r="K3135" s="142">
        <v>0</v>
      </c>
      <c r="L3135" s="142">
        <v>0</v>
      </c>
      <c r="M3135" s="142">
        <v>32</v>
      </c>
    </row>
    <row r="3136" spans="1:13" x14ac:dyDescent="0.45">
      <c r="A3136" s="142" t="s">
        <v>13646</v>
      </c>
      <c r="B3136" s="142" t="s">
        <v>15599</v>
      </c>
      <c r="C3136" s="142" t="s">
        <v>15847</v>
      </c>
      <c r="D3136" s="142" t="s">
        <v>15848</v>
      </c>
      <c r="E3136" s="142" t="s">
        <v>15849</v>
      </c>
      <c r="F3136" s="142" t="s">
        <v>3504</v>
      </c>
      <c r="G3136" s="142" t="s">
        <v>3503</v>
      </c>
      <c r="H3136" s="142" t="s">
        <v>18986</v>
      </c>
      <c r="I3136" s="142">
        <v>80</v>
      </c>
      <c r="J3136" s="142">
        <v>57</v>
      </c>
      <c r="K3136" s="142">
        <v>0</v>
      </c>
      <c r="L3136" s="142">
        <v>0</v>
      </c>
      <c r="M3136" s="142">
        <v>23</v>
      </c>
    </row>
    <row r="3137" spans="1:13" x14ac:dyDescent="0.45">
      <c r="A3137" s="142" t="s">
        <v>13014</v>
      </c>
      <c r="B3137" s="142" t="s">
        <v>14505</v>
      </c>
      <c r="C3137" s="142" t="s">
        <v>15847</v>
      </c>
      <c r="D3137" s="142" t="s">
        <v>15848</v>
      </c>
      <c r="E3137" s="142" t="s">
        <v>15849</v>
      </c>
      <c r="F3137" s="142" t="s">
        <v>3504</v>
      </c>
      <c r="G3137" s="142" t="s">
        <v>3503</v>
      </c>
      <c r="H3137" s="142" t="s">
        <v>18987</v>
      </c>
      <c r="I3137" s="142">
        <v>675</v>
      </c>
      <c r="J3137" s="142">
        <v>331</v>
      </c>
      <c r="K3137" s="142">
        <v>0</v>
      </c>
      <c r="L3137" s="142">
        <v>281</v>
      </c>
      <c r="M3137" s="142">
        <v>63</v>
      </c>
    </row>
    <row r="3138" spans="1:13" x14ac:dyDescent="0.45">
      <c r="A3138" s="142" t="s">
        <v>13541</v>
      </c>
      <c r="B3138" s="142" t="s">
        <v>14579</v>
      </c>
      <c r="C3138" s="142" t="s">
        <v>15847</v>
      </c>
      <c r="D3138" s="142" t="s">
        <v>15848</v>
      </c>
      <c r="E3138" s="142" t="s">
        <v>15849</v>
      </c>
      <c r="F3138" s="142" t="s">
        <v>3504</v>
      </c>
      <c r="G3138" s="142" t="s">
        <v>3503</v>
      </c>
      <c r="H3138" s="142" t="s">
        <v>18988</v>
      </c>
      <c r="I3138" s="142">
        <v>224</v>
      </c>
      <c r="J3138" s="142">
        <v>102</v>
      </c>
      <c r="K3138" s="142">
        <v>0</v>
      </c>
      <c r="L3138" s="142">
        <v>105</v>
      </c>
      <c r="M3138" s="142">
        <v>17</v>
      </c>
    </row>
    <row r="3139" spans="1:13" x14ac:dyDescent="0.45">
      <c r="A3139" s="142" t="s">
        <v>13166</v>
      </c>
      <c r="B3139" s="142" t="s">
        <v>15576</v>
      </c>
      <c r="C3139" s="142" t="s">
        <v>15847</v>
      </c>
      <c r="D3139" s="142" t="s">
        <v>15848</v>
      </c>
      <c r="E3139" s="142" t="s">
        <v>15849</v>
      </c>
      <c r="F3139" s="142" t="s">
        <v>4866</v>
      </c>
      <c r="G3139" s="142" t="s">
        <v>4865</v>
      </c>
      <c r="H3139" s="142" t="s">
        <v>18989</v>
      </c>
      <c r="I3139" s="142">
        <v>3</v>
      </c>
      <c r="J3139" s="142">
        <v>3</v>
      </c>
      <c r="K3139" s="142">
        <v>0</v>
      </c>
      <c r="L3139" s="142">
        <v>0</v>
      </c>
      <c r="M3139" s="142">
        <v>0</v>
      </c>
    </row>
    <row r="3140" spans="1:13" x14ac:dyDescent="0.45">
      <c r="A3140" s="142" t="s">
        <v>13167</v>
      </c>
      <c r="B3140" s="142" t="s">
        <v>15418</v>
      </c>
      <c r="C3140" s="142" t="s">
        <v>15847</v>
      </c>
      <c r="D3140" s="142" t="s">
        <v>15848</v>
      </c>
      <c r="E3140" s="142" t="s">
        <v>15849</v>
      </c>
      <c r="F3140" s="142" t="s">
        <v>4866</v>
      </c>
      <c r="G3140" s="142" t="s">
        <v>4865</v>
      </c>
      <c r="H3140" s="142" t="s">
        <v>18990</v>
      </c>
      <c r="I3140" s="142">
        <v>135</v>
      </c>
      <c r="J3140" s="142">
        <v>135</v>
      </c>
      <c r="K3140" s="142">
        <v>0</v>
      </c>
      <c r="L3140" s="142">
        <v>0</v>
      </c>
      <c r="M3140" s="142">
        <v>0</v>
      </c>
    </row>
    <row r="3141" spans="1:13" x14ac:dyDescent="0.45">
      <c r="A3141" s="142" t="s">
        <v>13021</v>
      </c>
      <c r="B3141" s="142" t="s">
        <v>15501</v>
      </c>
      <c r="C3141" s="142" t="s">
        <v>15847</v>
      </c>
      <c r="D3141" s="142" t="s">
        <v>15848</v>
      </c>
      <c r="E3141" s="142" t="s">
        <v>15849</v>
      </c>
      <c r="F3141" s="142" t="s">
        <v>4866</v>
      </c>
      <c r="G3141" s="142" t="s">
        <v>4865</v>
      </c>
      <c r="H3141" s="142" t="s">
        <v>18991</v>
      </c>
      <c r="I3141" s="142">
        <v>14</v>
      </c>
      <c r="J3141" s="142">
        <v>0</v>
      </c>
      <c r="K3141" s="142">
        <v>0</v>
      </c>
      <c r="L3141" s="142">
        <v>11</v>
      </c>
      <c r="M3141" s="142">
        <v>3</v>
      </c>
    </row>
    <row r="3142" spans="1:13" x14ac:dyDescent="0.45">
      <c r="A3142" s="142" t="s">
        <v>13023</v>
      </c>
      <c r="B3142" s="142" t="s">
        <v>15571</v>
      </c>
      <c r="C3142" s="142" t="s">
        <v>15847</v>
      </c>
      <c r="D3142" s="142" t="s">
        <v>15848</v>
      </c>
      <c r="E3142" s="142" t="s">
        <v>15849</v>
      </c>
      <c r="F3142" s="142" t="s">
        <v>4866</v>
      </c>
      <c r="G3142" s="142" t="s">
        <v>4865</v>
      </c>
      <c r="H3142" s="142" t="s">
        <v>18992</v>
      </c>
      <c r="I3142" s="142">
        <v>37</v>
      </c>
      <c r="J3142" s="142">
        <v>0</v>
      </c>
      <c r="K3142" s="142">
        <v>0</v>
      </c>
      <c r="L3142" s="142">
        <v>37</v>
      </c>
      <c r="M3142" s="142">
        <v>0</v>
      </c>
    </row>
    <row r="3143" spans="1:13" x14ac:dyDescent="0.45">
      <c r="A3143" s="142" t="s">
        <v>13048</v>
      </c>
      <c r="B3143" s="142" t="s">
        <v>14479</v>
      </c>
      <c r="C3143" s="142" t="s">
        <v>15847</v>
      </c>
      <c r="D3143" s="142" t="s">
        <v>15848</v>
      </c>
      <c r="E3143" s="142" t="s">
        <v>15849</v>
      </c>
      <c r="F3143" s="142" t="s">
        <v>4866</v>
      </c>
      <c r="G3143" s="142" t="s">
        <v>4865</v>
      </c>
      <c r="H3143" s="142" t="s">
        <v>18993</v>
      </c>
      <c r="I3143" s="142">
        <v>41</v>
      </c>
      <c r="J3143" s="142">
        <v>28</v>
      </c>
      <c r="K3143" s="142">
        <v>0</v>
      </c>
      <c r="L3143" s="142">
        <v>0</v>
      </c>
      <c r="M3143" s="142">
        <v>13</v>
      </c>
    </row>
    <row r="3144" spans="1:13" x14ac:dyDescent="0.45">
      <c r="A3144" s="142" t="s">
        <v>13065</v>
      </c>
      <c r="B3144" s="142" t="s">
        <v>14497</v>
      </c>
      <c r="C3144" s="142" t="s">
        <v>15847</v>
      </c>
      <c r="D3144" s="142" t="s">
        <v>15848</v>
      </c>
      <c r="E3144" s="142" t="s">
        <v>15849</v>
      </c>
      <c r="F3144" s="142" t="s">
        <v>4866</v>
      </c>
      <c r="G3144" s="142" t="s">
        <v>4865</v>
      </c>
      <c r="H3144" s="142" t="s">
        <v>18994</v>
      </c>
      <c r="I3144" s="142">
        <v>12</v>
      </c>
      <c r="J3144" s="142">
        <v>0</v>
      </c>
      <c r="K3144" s="142">
        <v>0</v>
      </c>
      <c r="L3144" s="142">
        <v>12</v>
      </c>
      <c r="M3144" s="142">
        <v>0</v>
      </c>
    </row>
    <row r="3145" spans="1:13" x14ac:dyDescent="0.45">
      <c r="A3145" s="142" t="s">
        <v>13301</v>
      </c>
      <c r="B3145" s="142" t="s">
        <v>15496</v>
      </c>
      <c r="C3145" s="142" t="s">
        <v>15847</v>
      </c>
      <c r="D3145" s="142" t="s">
        <v>15848</v>
      </c>
      <c r="E3145" s="142" t="s">
        <v>15849</v>
      </c>
      <c r="F3145" s="142" t="s">
        <v>4866</v>
      </c>
      <c r="G3145" s="142" t="s">
        <v>4865</v>
      </c>
      <c r="H3145" s="142" t="s">
        <v>18995</v>
      </c>
      <c r="I3145" s="142">
        <v>23</v>
      </c>
      <c r="J3145" s="142">
        <v>0</v>
      </c>
      <c r="K3145" s="142">
        <v>0</v>
      </c>
      <c r="L3145" s="142">
        <v>23</v>
      </c>
      <c r="M3145" s="142">
        <v>0</v>
      </c>
    </row>
    <row r="3146" spans="1:13" x14ac:dyDescent="0.45">
      <c r="A3146" s="142" t="s">
        <v>13690</v>
      </c>
      <c r="B3146" s="142" t="s">
        <v>15251</v>
      </c>
      <c r="C3146" s="142" t="s">
        <v>15860</v>
      </c>
      <c r="D3146" s="142" t="s">
        <v>15861</v>
      </c>
      <c r="E3146" s="142" t="s">
        <v>15849</v>
      </c>
      <c r="F3146" s="142" t="s">
        <v>4866</v>
      </c>
      <c r="G3146" s="142" t="s">
        <v>4865</v>
      </c>
      <c r="H3146" s="142" t="s">
        <v>18996</v>
      </c>
      <c r="I3146" s="142">
        <v>55</v>
      </c>
      <c r="J3146" s="142">
        <v>0</v>
      </c>
      <c r="K3146" s="142">
        <v>0</v>
      </c>
      <c r="L3146" s="142">
        <v>55</v>
      </c>
      <c r="M3146" s="142">
        <v>0</v>
      </c>
    </row>
    <row r="3147" spans="1:13" x14ac:dyDescent="0.45">
      <c r="A3147" s="142" t="s">
        <v>13000</v>
      </c>
      <c r="B3147" s="142" t="s">
        <v>14610</v>
      </c>
      <c r="C3147" s="142" t="s">
        <v>15847</v>
      </c>
      <c r="D3147" s="142" t="s">
        <v>15848</v>
      </c>
      <c r="E3147" s="142" t="s">
        <v>15849</v>
      </c>
      <c r="F3147" s="142" t="s">
        <v>4866</v>
      </c>
      <c r="G3147" s="142" t="s">
        <v>4865</v>
      </c>
      <c r="H3147" s="142" t="s">
        <v>18997</v>
      </c>
      <c r="I3147" s="142">
        <v>4</v>
      </c>
      <c r="J3147" s="142">
        <v>0</v>
      </c>
      <c r="K3147" s="142">
        <v>0</v>
      </c>
      <c r="L3147" s="142">
        <v>4</v>
      </c>
      <c r="M3147" s="142">
        <v>0</v>
      </c>
    </row>
    <row r="3148" spans="1:13" x14ac:dyDescent="0.45">
      <c r="A3148" s="142" t="s">
        <v>13027</v>
      </c>
      <c r="B3148" s="142" t="s">
        <v>14562</v>
      </c>
      <c r="C3148" s="142" t="s">
        <v>15847</v>
      </c>
      <c r="D3148" s="142" t="s">
        <v>15848</v>
      </c>
      <c r="E3148" s="142" t="s">
        <v>15849</v>
      </c>
      <c r="F3148" s="142" t="s">
        <v>4866</v>
      </c>
      <c r="G3148" s="142" t="s">
        <v>4865</v>
      </c>
      <c r="H3148" s="142" t="s">
        <v>18998</v>
      </c>
      <c r="I3148" s="142">
        <v>13</v>
      </c>
      <c r="J3148" s="142">
        <v>0</v>
      </c>
      <c r="K3148" s="142">
        <v>0</v>
      </c>
      <c r="L3148" s="142">
        <v>13</v>
      </c>
      <c r="M3148" s="142">
        <v>0</v>
      </c>
    </row>
    <row r="3149" spans="1:13" x14ac:dyDescent="0.45">
      <c r="A3149" s="142" t="s">
        <v>13028</v>
      </c>
      <c r="B3149" s="142" t="s">
        <v>14462</v>
      </c>
      <c r="C3149" s="142" t="s">
        <v>15847</v>
      </c>
      <c r="D3149" s="142" t="s">
        <v>15848</v>
      </c>
      <c r="E3149" s="142" t="s">
        <v>15849</v>
      </c>
      <c r="F3149" s="142" t="s">
        <v>4866</v>
      </c>
      <c r="G3149" s="142" t="s">
        <v>4865</v>
      </c>
      <c r="H3149" s="142" t="s">
        <v>18999</v>
      </c>
      <c r="I3149" s="142">
        <v>1</v>
      </c>
      <c r="J3149" s="142">
        <v>0</v>
      </c>
      <c r="K3149" s="142">
        <v>0</v>
      </c>
      <c r="L3149" s="142">
        <v>0</v>
      </c>
      <c r="M3149" s="142">
        <v>1</v>
      </c>
    </row>
    <row r="3150" spans="1:13" x14ac:dyDescent="0.45">
      <c r="A3150" s="142" t="s">
        <v>13160</v>
      </c>
      <c r="B3150" s="142" t="s">
        <v>14525</v>
      </c>
      <c r="C3150" s="142" t="s">
        <v>15847</v>
      </c>
      <c r="D3150" s="142" t="s">
        <v>15848</v>
      </c>
      <c r="E3150" s="142" t="s">
        <v>15849</v>
      </c>
      <c r="F3150" s="142" t="s">
        <v>4866</v>
      </c>
      <c r="G3150" s="142" t="s">
        <v>4865</v>
      </c>
      <c r="H3150" s="142" t="s">
        <v>19000</v>
      </c>
      <c r="I3150" s="142">
        <v>6</v>
      </c>
      <c r="J3150" s="142">
        <v>0</v>
      </c>
      <c r="K3150" s="142">
        <v>0</v>
      </c>
      <c r="L3150" s="142">
        <v>6</v>
      </c>
      <c r="M3150" s="142">
        <v>0</v>
      </c>
    </row>
    <row r="3151" spans="1:13" x14ac:dyDescent="0.45">
      <c r="A3151" s="142" t="s">
        <v>13002</v>
      </c>
      <c r="B3151" s="142" t="s">
        <v>15376</v>
      </c>
      <c r="C3151" s="142" t="s">
        <v>15847</v>
      </c>
      <c r="D3151" s="142" t="s">
        <v>15848</v>
      </c>
      <c r="E3151" s="142" t="s">
        <v>15849</v>
      </c>
      <c r="F3151" s="142" t="s">
        <v>4866</v>
      </c>
      <c r="G3151" s="142" t="s">
        <v>4865</v>
      </c>
      <c r="H3151" s="142" t="s">
        <v>19001</v>
      </c>
      <c r="I3151" s="142">
        <v>12</v>
      </c>
      <c r="J3151" s="142">
        <v>9</v>
      </c>
      <c r="K3151" s="142">
        <v>0</v>
      </c>
      <c r="L3151" s="142">
        <v>3</v>
      </c>
      <c r="M3151" s="142">
        <v>0</v>
      </c>
    </row>
    <row r="3152" spans="1:13" x14ac:dyDescent="0.45">
      <c r="A3152" s="142" t="s">
        <v>13004</v>
      </c>
      <c r="B3152" s="142" t="s">
        <v>15492</v>
      </c>
      <c r="C3152" s="142" t="s">
        <v>15847</v>
      </c>
      <c r="D3152" s="142" t="s">
        <v>15848</v>
      </c>
      <c r="E3152" s="142" t="s">
        <v>15849</v>
      </c>
      <c r="F3152" s="142" t="s">
        <v>4866</v>
      </c>
      <c r="G3152" s="142" t="s">
        <v>4865</v>
      </c>
      <c r="H3152" s="142" t="s">
        <v>19002</v>
      </c>
      <c r="I3152" s="142">
        <v>356</v>
      </c>
      <c r="J3152" s="142">
        <v>297</v>
      </c>
      <c r="K3152" s="142">
        <v>0</v>
      </c>
      <c r="L3152" s="142">
        <v>31</v>
      </c>
      <c r="M3152" s="142">
        <v>28</v>
      </c>
    </row>
    <row r="3153" spans="1:13" x14ac:dyDescent="0.45">
      <c r="A3153" s="142" t="s">
        <v>13076</v>
      </c>
      <c r="B3153" s="142" t="s">
        <v>14636</v>
      </c>
      <c r="C3153" s="142" t="s">
        <v>15847</v>
      </c>
      <c r="D3153" s="142" t="s">
        <v>15848</v>
      </c>
      <c r="E3153" s="142" t="s">
        <v>15849</v>
      </c>
      <c r="F3153" s="142" t="s">
        <v>4866</v>
      </c>
      <c r="G3153" s="142" t="s">
        <v>4865</v>
      </c>
      <c r="H3153" s="142" t="s">
        <v>19003</v>
      </c>
      <c r="I3153" s="142">
        <v>7</v>
      </c>
      <c r="J3153" s="142">
        <v>0</v>
      </c>
      <c r="K3153" s="142">
        <v>0</v>
      </c>
      <c r="L3153" s="142">
        <v>0</v>
      </c>
      <c r="M3153" s="142">
        <v>7</v>
      </c>
    </row>
    <row r="3154" spans="1:13" x14ac:dyDescent="0.45">
      <c r="A3154" s="142" t="s">
        <v>13053</v>
      </c>
      <c r="B3154" s="142" t="s">
        <v>15436</v>
      </c>
      <c r="C3154" s="142" t="s">
        <v>15847</v>
      </c>
      <c r="D3154" s="142" t="s">
        <v>15848</v>
      </c>
      <c r="E3154" s="142" t="s">
        <v>15849</v>
      </c>
      <c r="F3154" s="142" t="s">
        <v>4866</v>
      </c>
      <c r="G3154" s="142" t="s">
        <v>4865</v>
      </c>
      <c r="H3154" s="142" t="s">
        <v>19004</v>
      </c>
      <c r="I3154" s="142">
        <v>31</v>
      </c>
      <c r="J3154" s="142">
        <v>31</v>
      </c>
      <c r="K3154" s="142">
        <v>0</v>
      </c>
      <c r="L3154" s="142">
        <v>0</v>
      </c>
      <c r="M3154" s="142">
        <v>0</v>
      </c>
    </row>
    <row r="3155" spans="1:13" x14ac:dyDescent="0.45">
      <c r="A3155" s="142" t="s">
        <v>13007</v>
      </c>
      <c r="B3155" s="142" t="s">
        <v>15262</v>
      </c>
      <c r="C3155" s="142" t="s">
        <v>15847</v>
      </c>
      <c r="D3155" s="142" t="s">
        <v>15848</v>
      </c>
      <c r="E3155" s="142" t="s">
        <v>15849</v>
      </c>
      <c r="F3155" s="142" t="s">
        <v>4866</v>
      </c>
      <c r="G3155" s="142" t="s">
        <v>4865</v>
      </c>
      <c r="H3155" s="142" t="s">
        <v>19005</v>
      </c>
      <c r="I3155" s="142">
        <v>1</v>
      </c>
      <c r="J3155" s="142">
        <v>0</v>
      </c>
      <c r="K3155" s="142">
        <v>0</v>
      </c>
      <c r="L3155" s="142">
        <v>0</v>
      </c>
      <c r="M3155" s="142">
        <v>1</v>
      </c>
    </row>
    <row r="3156" spans="1:13" x14ac:dyDescent="0.45">
      <c r="A3156" s="142" t="s">
        <v>13133</v>
      </c>
      <c r="B3156" s="142" t="s">
        <v>15291</v>
      </c>
      <c r="C3156" s="142" t="s">
        <v>15847</v>
      </c>
      <c r="D3156" s="142" t="s">
        <v>15848</v>
      </c>
      <c r="E3156" s="142" t="s">
        <v>15849</v>
      </c>
      <c r="F3156" s="142" t="s">
        <v>4866</v>
      </c>
      <c r="G3156" s="142" t="s">
        <v>4865</v>
      </c>
      <c r="H3156" s="142" t="s">
        <v>19006</v>
      </c>
      <c r="I3156" s="142">
        <v>15</v>
      </c>
      <c r="J3156" s="142">
        <v>14</v>
      </c>
      <c r="K3156" s="142">
        <v>0</v>
      </c>
      <c r="L3156" s="142">
        <v>0</v>
      </c>
      <c r="M3156" s="142">
        <v>1</v>
      </c>
    </row>
    <row r="3157" spans="1:13" x14ac:dyDescent="0.45">
      <c r="A3157" s="142" t="s">
        <v>13691</v>
      </c>
      <c r="B3157" s="142" t="s">
        <v>15279</v>
      </c>
      <c r="C3157" s="142" t="s">
        <v>15860</v>
      </c>
      <c r="D3157" s="142" t="s">
        <v>15861</v>
      </c>
      <c r="E3157" s="142" t="s">
        <v>15849</v>
      </c>
      <c r="F3157" s="142" t="s">
        <v>4866</v>
      </c>
      <c r="G3157" s="142" t="s">
        <v>4865</v>
      </c>
      <c r="H3157" s="142" t="s">
        <v>19007</v>
      </c>
      <c r="I3157" s="142">
        <v>12</v>
      </c>
      <c r="J3157" s="142">
        <v>12</v>
      </c>
      <c r="K3157" s="142">
        <v>0</v>
      </c>
      <c r="L3157" s="142">
        <v>0</v>
      </c>
      <c r="M3157" s="142">
        <v>0</v>
      </c>
    </row>
    <row r="3158" spans="1:13" x14ac:dyDescent="0.45">
      <c r="A3158" s="142" t="s">
        <v>13036</v>
      </c>
      <c r="B3158" s="142" t="s">
        <v>15567</v>
      </c>
      <c r="C3158" s="142" t="s">
        <v>15847</v>
      </c>
      <c r="D3158" s="142" t="s">
        <v>15848</v>
      </c>
      <c r="E3158" s="142" t="s">
        <v>15849</v>
      </c>
      <c r="F3158" s="142" t="s">
        <v>4866</v>
      </c>
      <c r="G3158" s="142" t="s">
        <v>4865</v>
      </c>
      <c r="H3158" s="142" t="s">
        <v>19008</v>
      </c>
      <c r="I3158" s="142">
        <v>38</v>
      </c>
      <c r="J3158" s="142">
        <v>0</v>
      </c>
      <c r="K3158" s="142">
        <v>0</v>
      </c>
      <c r="L3158" s="142">
        <v>38</v>
      </c>
      <c r="M3158" s="142">
        <v>0</v>
      </c>
    </row>
    <row r="3159" spans="1:13" x14ac:dyDescent="0.45">
      <c r="A3159" s="142" t="s">
        <v>13039</v>
      </c>
      <c r="B3159" s="142" t="s">
        <v>14647</v>
      </c>
      <c r="C3159" s="142" t="s">
        <v>15847</v>
      </c>
      <c r="D3159" s="142" t="s">
        <v>15848</v>
      </c>
      <c r="E3159" s="142" t="s">
        <v>15849</v>
      </c>
      <c r="F3159" s="142" t="s">
        <v>4866</v>
      </c>
      <c r="G3159" s="142" t="s">
        <v>4865</v>
      </c>
      <c r="H3159" s="142" t="s">
        <v>19009</v>
      </c>
      <c r="I3159" s="142">
        <v>34</v>
      </c>
      <c r="J3159" s="142">
        <v>34</v>
      </c>
      <c r="K3159" s="142">
        <v>0</v>
      </c>
      <c r="L3159" s="142">
        <v>0</v>
      </c>
      <c r="M3159" s="142">
        <v>0</v>
      </c>
    </row>
    <row r="3160" spans="1:13" x14ac:dyDescent="0.45">
      <c r="A3160" s="142" t="s">
        <v>13009</v>
      </c>
      <c r="B3160" s="142" t="s">
        <v>15256</v>
      </c>
      <c r="C3160" s="142" t="s">
        <v>15847</v>
      </c>
      <c r="D3160" s="142" t="s">
        <v>15848</v>
      </c>
      <c r="E3160" s="142" t="s">
        <v>15849</v>
      </c>
      <c r="F3160" s="142" t="s">
        <v>4866</v>
      </c>
      <c r="G3160" s="142" t="s">
        <v>4865</v>
      </c>
      <c r="H3160" s="142" t="s">
        <v>19010</v>
      </c>
      <c r="I3160" s="142">
        <v>53</v>
      </c>
      <c r="J3160" s="142">
        <v>53</v>
      </c>
      <c r="K3160" s="142">
        <v>0</v>
      </c>
      <c r="L3160" s="142">
        <v>0</v>
      </c>
      <c r="M3160" s="142">
        <v>0</v>
      </c>
    </row>
    <row r="3161" spans="1:13" x14ac:dyDescent="0.45">
      <c r="A3161" s="142" t="s">
        <v>13041</v>
      </c>
      <c r="B3161" s="142" t="s">
        <v>14441</v>
      </c>
      <c r="C3161" s="142" t="s">
        <v>15847</v>
      </c>
      <c r="D3161" s="142" t="s">
        <v>15848</v>
      </c>
      <c r="E3161" s="142" t="s">
        <v>15849</v>
      </c>
      <c r="F3161" s="142" t="s">
        <v>4866</v>
      </c>
      <c r="G3161" s="142" t="s">
        <v>4865</v>
      </c>
      <c r="H3161" s="142" t="s">
        <v>19011</v>
      </c>
      <c r="I3161" s="142">
        <v>13</v>
      </c>
      <c r="J3161" s="142">
        <v>0</v>
      </c>
      <c r="K3161" s="142">
        <v>0</v>
      </c>
      <c r="L3161" s="142">
        <v>0</v>
      </c>
      <c r="M3161" s="142">
        <v>13</v>
      </c>
    </row>
    <row r="3162" spans="1:13" x14ac:dyDescent="0.45">
      <c r="A3162" s="142" t="s">
        <v>13012</v>
      </c>
      <c r="B3162" s="142" t="s">
        <v>15337</v>
      </c>
      <c r="C3162" s="142" t="s">
        <v>15847</v>
      </c>
      <c r="D3162" s="142" t="s">
        <v>15848</v>
      </c>
      <c r="E3162" s="142" t="s">
        <v>15849</v>
      </c>
      <c r="F3162" s="142" t="s">
        <v>4866</v>
      </c>
      <c r="G3162" s="142" t="s">
        <v>4865</v>
      </c>
      <c r="H3162" s="142" t="s">
        <v>19012</v>
      </c>
      <c r="I3162" s="142">
        <v>42</v>
      </c>
      <c r="J3162" s="142">
        <v>11</v>
      </c>
      <c r="K3162" s="142">
        <v>0</v>
      </c>
      <c r="L3162" s="142">
        <v>31</v>
      </c>
      <c r="M3162" s="142">
        <v>0</v>
      </c>
    </row>
    <row r="3163" spans="1:13" x14ac:dyDescent="0.45">
      <c r="A3163" s="142" t="s">
        <v>13692</v>
      </c>
      <c r="B3163" s="142" t="s">
        <v>15138</v>
      </c>
      <c r="C3163" s="142" t="s">
        <v>15860</v>
      </c>
      <c r="D3163" s="142" t="s">
        <v>15861</v>
      </c>
      <c r="E3163" s="142" t="s">
        <v>15849</v>
      </c>
      <c r="F3163" s="142" t="s">
        <v>4866</v>
      </c>
      <c r="G3163" s="142" t="s">
        <v>4865</v>
      </c>
      <c r="H3163" s="142" t="s">
        <v>19013</v>
      </c>
      <c r="I3163" s="142">
        <v>16</v>
      </c>
      <c r="J3163" s="142">
        <v>0</v>
      </c>
      <c r="K3163" s="142">
        <v>0</v>
      </c>
      <c r="L3163" s="142">
        <v>16</v>
      </c>
      <c r="M3163" s="142">
        <v>0</v>
      </c>
    </row>
    <row r="3164" spans="1:13" x14ac:dyDescent="0.45">
      <c r="A3164" s="142" t="s">
        <v>13285</v>
      </c>
      <c r="B3164" s="142" t="s">
        <v>15158</v>
      </c>
      <c r="C3164" s="142" t="s">
        <v>15860</v>
      </c>
      <c r="D3164" s="142" t="s">
        <v>15861</v>
      </c>
      <c r="E3164" s="142" t="s">
        <v>15849</v>
      </c>
      <c r="F3164" s="142" t="s">
        <v>4866</v>
      </c>
      <c r="G3164" s="142" t="s">
        <v>4865</v>
      </c>
      <c r="H3164" s="142" t="s">
        <v>19014</v>
      </c>
      <c r="I3164" s="142">
        <v>14</v>
      </c>
      <c r="J3164" s="142">
        <v>0</v>
      </c>
      <c r="K3164" s="142">
        <v>0</v>
      </c>
      <c r="L3164" s="142">
        <v>14</v>
      </c>
      <c r="M3164" s="142">
        <v>0</v>
      </c>
    </row>
    <row r="3165" spans="1:13" x14ac:dyDescent="0.45">
      <c r="A3165" s="142" t="s">
        <v>13014</v>
      </c>
      <c r="B3165" s="142" t="s">
        <v>14505</v>
      </c>
      <c r="C3165" s="142" t="s">
        <v>15847</v>
      </c>
      <c r="D3165" s="142" t="s">
        <v>15848</v>
      </c>
      <c r="E3165" s="142" t="s">
        <v>15849</v>
      </c>
      <c r="F3165" s="142" t="s">
        <v>4866</v>
      </c>
      <c r="G3165" s="142" t="s">
        <v>4865</v>
      </c>
      <c r="H3165" s="142" t="s">
        <v>19015</v>
      </c>
      <c r="I3165" s="142">
        <v>88</v>
      </c>
      <c r="J3165" s="142">
        <v>65</v>
      </c>
      <c r="K3165" s="142">
        <v>0</v>
      </c>
      <c r="L3165" s="142">
        <v>0</v>
      </c>
      <c r="M3165" s="142">
        <v>23</v>
      </c>
    </row>
    <row r="3166" spans="1:13" x14ac:dyDescent="0.45">
      <c r="A3166" s="142" t="s">
        <v>13174</v>
      </c>
      <c r="B3166" s="142" t="s">
        <v>15280</v>
      </c>
      <c r="C3166" s="142" t="s">
        <v>15847</v>
      </c>
      <c r="D3166" s="142" t="s">
        <v>15848</v>
      </c>
      <c r="E3166" s="142" t="s">
        <v>15849</v>
      </c>
      <c r="F3166" s="142" t="s">
        <v>4866</v>
      </c>
      <c r="G3166" s="142" t="s">
        <v>4865</v>
      </c>
      <c r="H3166" s="142" t="s">
        <v>19016</v>
      </c>
      <c r="I3166" s="142">
        <v>284</v>
      </c>
      <c r="J3166" s="142">
        <v>209</v>
      </c>
      <c r="K3166" s="142">
        <v>0</v>
      </c>
      <c r="L3166" s="142">
        <v>0</v>
      </c>
      <c r="M3166" s="142">
        <v>75</v>
      </c>
    </row>
    <row r="3167" spans="1:13" x14ac:dyDescent="0.45">
      <c r="A3167" s="142" t="s">
        <v>13175</v>
      </c>
      <c r="B3167" s="142" t="s">
        <v>15561</v>
      </c>
      <c r="C3167" s="142" t="s">
        <v>15860</v>
      </c>
      <c r="D3167" s="142" t="s">
        <v>15861</v>
      </c>
      <c r="E3167" s="142" t="s">
        <v>15849</v>
      </c>
      <c r="F3167" s="142" t="s">
        <v>4866</v>
      </c>
      <c r="G3167" s="142" t="s">
        <v>4865</v>
      </c>
      <c r="H3167" s="142" t="s">
        <v>19017</v>
      </c>
      <c r="I3167" s="142">
        <v>46</v>
      </c>
      <c r="J3167" s="142">
        <v>0</v>
      </c>
      <c r="K3167" s="142">
        <v>0</v>
      </c>
      <c r="L3167" s="142">
        <v>46</v>
      </c>
      <c r="M3167" s="142">
        <v>0</v>
      </c>
    </row>
    <row r="3168" spans="1:13" x14ac:dyDescent="0.45">
      <c r="A3168" s="142" t="s">
        <v>13015</v>
      </c>
      <c r="B3168" s="142" t="s">
        <v>14596</v>
      </c>
      <c r="C3168" s="142" t="s">
        <v>15847</v>
      </c>
      <c r="D3168" s="142" t="s">
        <v>15848</v>
      </c>
      <c r="E3168" s="142" t="s">
        <v>15849</v>
      </c>
      <c r="F3168" s="142" t="s">
        <v>4866</v>
      </c>
      <c r="G3168" s="142" t="s">
        <v>4865</v>
      </c>
      <c r="H3168" s="142" t="s">
        <v>19018</v>
      </c>
      <c r="I3168" s="142">
        <v>919</v>
      </c>
      <c r="J3168" s="142">
        <v>707</v>
      </c>
      <c r="K3168" s="142">
        <v>0</v>
      </c>
      <c r="L3168" s="142">
        <v>21</v>
      </c>
      <c r="M3168" s="142">
        <v>191</v>
      </c>
    </row>
    <row r="3169" spans="1:13" x14ac:dyDescent="0.45">
      <c r="A3169" s="142" t="s">
        <v>13072</v>
      </c>
      <c r="B3169" s="142" t="s">
        <v>15530</v>
      </c>
      <c r="C3169" s="142" t="s">
        <v>15847</v>
      </c>
      <c r="D3169" s="142" t="s">
        <v>15848</v>
      </c>
      <c r="E3169" s="142" t="s">
        <v>15849</v>
      </c>
      <c r="F3169" s="142" t="s">
        <v>3000</v>
      </c>
      <c r="G3169" s="142" t="s">
        <v>2999</v>
      </c>
      <c r="H3169" s="142" t="s">
        <v>19019</v>
      </c>
      <c r="I3169" s="142">
        <v>510</v>
      </c>
      <c r="J3169" s="142">
        <v>409</v>
      </c>
      <c r="K3169" s="142">
        <v>0</v>
      </c>
      <c r="L3169" s="142">
        <v>53</v>
      </c>
      <c r="M3169" s="142">
        <v>48</v>
      </c>
    </row>
    <row r="3170" spans="1:13" x14ac:dyDescent="0.45">
      <c r="A3170" s="142" t="s">
        <v>13022</v>
      </c>
      <c r="B3170" s="142" t="s">
        <v>14634</v>
      </c>
      <c r="C3170" s="142" t="s">
        <v>15847</v>
      </c>
      <c r="D3170" s="142" t="s">
        <v>15848</v>
      </c>
      <c r="E3170" s="142" t="s">
        <v>15849</v>
      </c>
      <c r="F3170" s="142" t="s">
        <v>3000</v>
      </c>
      <c r="G3170" s="142" t="s">
        <v>2999</v>
      </c>
      <c r="H3170" s="142" t="s">
        <v>19020</v>
      </c>
      <c r="I3170" s="142">
        <v>454</v>
      </c>
      <c r="J3170" s="142">
        <v>282</v>
      </c>
      <c r="K3170" s="142">
        <v>0</v>
      </c>
      <c r="L3170" s="142">
        <v>85</v>
      </c>
      <c r="M3170" s="142">
        <v>87</v>
      </c>
    </row>
    <row r="3171" spans="1:13" x14ac:dyDescent="0.45">
      <c r="A3171" s="142" t="s">
        <v>13023</v>
      </c>
      <c r="B3171" s="142" t="s">
        <v>15571</v>
      </c>
      <c r="C3171" s="142" t="s">
        <v>15847</v>
      </c>
      <c r="D3171" s="142" t="s">
        <v>15848</v>
      </c>
      <c r="E3171" s="142" t="s">
        <v>15849</v>
      </c>
      <c r="F3171" s="142" t="s">
        <v>3000</v>
      </c>
      <c r="G3171" s="142" t="s">
        <v>2999</v>
      </c>
      <c r="H3171" s="142" t="s">
        <v>19021</v>
      </c>
      <c r="I3171" s="142">
        <v>27</v>
      </c>
      <c r="J3171" s="142">
        <v>0</v>
      </c>
      <c r="K3171" s="142">
        <v>0</v>
      </c>
      <c r="L3171" s="142">
        <v>27</v>
      </c>
      <c r="M3171" s="142">
        <v>0</v>
      </c>
    </row>
    <row r="3172" spans="1:13" x14ac:dyDescent="0.45">
      <c r="A3172" s="142" t="s">
        <v>13065</v>
      </c>
      <c r="B3172" s="142" t="s">
        <v>14497</v>
      </c>
      <c r="C3172" s="142" t="s">
        <v>15847</v>
      </c>
      <c r="D3172" s="142" t="s">
        <v>15848</v>
      </c>
      <c r="E3172" s="142" t="s">
        <v>15849</v>
      </c>
      <c r="F3172" s="142" t="s">
        <v>3000</v>
      </c>
      <c r="G3172" s="142" t="s">
        <v>2999</v>
      </c>
      <c r="H3172" s="142" t="s">
        <v>19022</v>
      </c>
      <c r="I3172" s="142">
        <v>12</v>
      </c>
      <c r="J3172" s="142">
        <v>0</v>
      </c>
      <c r="K3172" s="142">
        <v>0</v>
      </c>
      <c r="L3172" s="142">
        <v>12</v>
      </c>
      <c r="M3172" s="142">
        <v>0</v>
      </c>
    </row>
    <row r="3173" spans="1:13" x14ac:dyDescent="0.45">
      <c r="A3173" s="142" t="s">
        <v>13159</v>
      </c>
      <c r="B3173" s="142" t="s">
        <v>14521</v>
      </c>
      <c r="C3173" s="142" t="s">
        <v>15860</v>
      </c>
      <c r="D3173" s="142" t="s">
        <v>15861</v>
      </c>
      <c r="E3173" s="142" t="s">
        <v>15849</v>
      </c>
      <c r="F3173" s="142" t="s">
        <v>3000</v>
      </c>
      <c r="G3173" s="142" t="s">
        <v>2999</v>
      </c>
      <c r="H3173" s="142" t="s">
        <v>19023</v>
      </c>
      <c r="I3173" s="142">
        <v>5</v>
      </c>
      <c r="J3173" s="142">
        <v>0</v>
      </c>
      <c r="K3173" s="142">
        <v>0</v>
      </c>
      <c r="L3173" s="142">
        <v>5</v>
      </c>
      <c r="M3173" s="142">
        <v>0</v>
      </c>
    </row>
    <row r="3174" spans="1:13" x14ac:dyDescent="0.45">
      <c r="A3174" s="142" t="s">
        <v>13000</v>
      </c>
      <c r="B3174" s="142" t="s">
        <v>14610</v>
      </c>
      <c r="C3174" s="142" t="s">
        <v>15847</v>
      </c>
      <c r="D3174" s="142" t="s">
        <v>15848</v>
      </c>
      <c r="E3174" s="142" t="s">
        <v>15849</v>
      </c>
      <c r="F3174" s="142" t="s">
        <v>3000</v>
      </c>
      <c r="G3174" s="142" t="s">
        <v>2999</v>
      </c>
      <c r="H3174" s="142" t="s">
        <v>19024</v>
      </c>
      <c r="I3174" s="142">
        <v>3985</v>
      </c>
      <c r="J3174" s="142">
        <v>3522</v>
      </c>
      <c r="K3174" s="142">
        <v>0</v>
      </c>
      <c r="L3174" s="142">
        <v>382</v>
      </c>
      <c r="M3174" s="142">
        <v>81</v>
      </c>
    </row>
    <row r="3175" spans="1:13" x14ac:dyDescent="0.45">
      <c r="A3175" s="142" t="s">
        <v>13198</v>
      </c>
      <c r="B3175" s="142" t="s">
        <v>15602</v>
      </c>
      <c r="C3175" s="142" t="s">
        <v>15847</v>
      </c>
      <c r="D3175" s="142" t="s">
        <v>15848</v>
      </c>
      <c r="E3175" s="142" t="s">
        <v>15849</v>
      </c>
      <c r="F3175" s="142" t="s">
        <v>3000</v>
      </c>
      <c r="G3175" s="142" t="s">
        <v>2999</v>
      </c>
      <c r="H3175" s="142" t="s">
        <v>19025</v>
      </c>
      <c r="I3175" s="142">
        <v>67</v>
      </c>
      <c r="J3175" s="142">
        <v>47</v>
      </c>
      <c r="K3175" s="142">
        <v>0</v>
      </c>
      <c r="L3175" s="142">
        <v>0</v>
      </c>
      <c r="M3175" s="142">
        <v>20</v>
      </c>
    </row>
    <row r="3176" spans="1:13" x14ac:dyDescent="0.45">
      <c r="A3176" s="142" t="s">
        <v>13168</v>
      </c>
      <c r="B3176" s="142" t="s">
        <v>14486</v>
      </c>
      <c r="C3176" s="142" t="s">
        <v>15860</v>
      </c>
      <c r="D3176" s="142" t="s">
        <v>15861</v>
      </c>
      <c r="E3176" s="142" t="s">
        <v>15849</v>
      </c>
      <c r="F3176" s="142" t="s">
        <v>3000</v>
      </c>
      <c r="G3176" s="142" t="s">
        <v>2999</v>
      </c>
      <c r="H3176" s="142" t="s">
        <v>19026</v>
      </c>
      <c r="I3176" s="142">
        <v>3</v>
      </c>
      <c r="J3176" s="142">
        <v>0</v>
      </c>
      <c r="K3176" s="142">
        <v>0</v>
      </c>
      <c r="L3176" s="142">
        <v>3</v>
      </c>
      <c r="M3176" s="142">
        <v>0</v>
      </c>
    </row>
    <row r="3177" spans="1:13" x14ac:dyDescent="0.45">
      <c r="A3177" s="142" t="s">
        <v>13087</v>
      </c>
      <c r="B3177" s="142" t="s">
        <v>14452</v>
      </c>
      <c r="C3177" s="142" t="s">
        <v>15847</v>
      </c>
      <c r="D3177" s="142" t="s">
        <v>15848</v>
      </c>
      <c r="E3177" s="142" t="s">
        <v>15849</v>
      </c>
      <c r="F3177" s="142" t="s">
        <v>3000</v>
      </c>
      <c r="G3177" s="142" t="s">
        <v>2999</v>
      </c>
      <c r="H3177" s="142" t="s">
        <v>19027</v>
      </c>
      <c r="I3177" s="142">
        <v>31</v>
      </c>
      <c r="J3177" s="142">
        <v>19</v>
      </c>
      <c r="K3177" s="142">
        <v>0</v>
      </c>
      <c r="L3177" s="142">
        <v>0</v>
      </c>
      <c r="M3177" s="142">
        <v>12</v>
      </c>
    </row>
    <row r="3178" spans="1:13" x14ac:dyDescent="0.45">
      <c r="A3178" s="142" t="s">
        <v>13027</v>
      </c>
      <c r="B3178" s="142" t="s">
        <v>14562</v>
      </c>
      <c r="C3178" s="142" t="s">
        <v>15847</v>
      </c>
      <c r="D3178" s="142" t="s">
        <v>15848</v>
      </c>
      <c r="E3178" s="142" t="s">
        <v>15849</v>
      </c>
      <c r="F3178" s="142" t="s">
        <v>3000</v>
      </c>
      <c r="G3178" s="142" t="s">
        <v>2999</v>
      </c>
      <c r="H3178" s="142" t="s">
        <v>19028</v>
      </c>
      <c r="I3178" s="142">
        <v>6</v>
      </c>
      <c r="J3178" s="142">
        <v>0</v>
      </c>
      <c r="K3178" s="142">
        <v>0</v>
      </c>
      <c r="L3178" s="142">
        <v>6</v>
      </c>
      <c r="M3178" s="142">
        <v>0</v>
      </c>
    </row>
    <row r="3179" spans="1:13" x14ac:dyDescent="0.45">
      <c r="A3179" s="142" t="s">
        <v>13028</v>
      </c>
      <c r="B3179" s="142" t="s">
        <v>14462</v>
      </c>
      <c r="C3179" s="142" t="s">
        <v>15847</v>
      </c>
      <c r="D3179" s="142" t="s">
        <v>15848</v>
      </c>
      <c r="E3179" s="142" t="s">
        <v>15849</v>
      </c>
      <c r="F3179" s="142" t="s">
        <v>3000</v>
      </c>
      <c r="G3179" s="142" t="s">
        <v>2999</v>
      </c>
      <c r="H3179" s="142" t="s">
        <v>19029</v>
      </c>
      <c r="I3179" s="142">
        <v>23</v>
      </c>
      <c r="J3179" s="142">
        <v>0</v>
      </c>
      <c r="K3179" s="142">
        <v>0</v>
      </c>
      <c r="L3179" s="142">
        <v>0</v>
      </c>
      <c r="M3179" s="142">
        <v>23</v>
      </c>
    </row>
    <row r="3180" spans="1:13" x14ac:dyDescent="0.45">
      <c r="A3180" s="142" t="s">
        <v>13002</v>
      </c>
      <c r="B3180" s="142" t="s">
        <v>15376</v>
      </c>
      <c r="C3180" s="142" t="s">
        <v>15847</v>
      </c>
      <c r="D3180" s="142" t="s">
        <v>15848</v>
      </c>
      <c r="E3180" s="142" t="s">
        <v>15849</v>
      </c>
      <c r="F3180" s="142" t="s">
        <v>3000</v>
      </c>
      <c r="G3180" s="142" t="s">
        <v>2999</v>
      </c>
      <c r="H3180" s="142" t="s">
        <v>19030</v>
      </c>
      <c r="I3180" s="142">
        <v>106</v>
      </c>
      <c r="J3180" s="142">
        <v>75</v>
      </c>
      <c r="K3180" s="142">
        <v>0</v>
      </c>
      <c r="L3180" s="142">
        <v>16</v>
      </c>
      <c r="M3180" s="142">
        <v>15</v>
      </c>
    </row>
    <row r="3181" spans="1:13" x14ac:dyDescent="0.45">
      <c r="A3181" s="142" t="s">
        <v>13003</v>
      </c>
      <c r="B3181" s="142" t="s">
        <v>15245</v>
      </c>
      <c r="C3181" s="142" t="s">
        <v>15847</v>
      </c>
      <c r="D3181" s="142" t="s">
        <v>15848</v>
      </c>
      <c r="E3181" s="142" t="s">
        <v>15849</v>
      </c>
      <c r="F3181" s="142" t="s">
        <v>3000</v>
      </c>
      <c r="G3181" s="142" t="s">
        <v>2999</v>
      </c>
      <c r="H3181" s="142" t="s">
        <v>19031</v>
      </c>
      <c r="I3181" s="142">
        <v>50</v>
      </c>
      <c r="J3181" s="142">
        <v>1</v>
      </c>
      <c r="K3181" s="142">
        <v>0</v>
      </c>
      <c r="L3181" s="142">
        <v>49</v>
      </c>
      <c r="M3181" s="142">
        <v>0</v>
      </c>
    </row>
    <row r="3182" spans="1:13" x14ac:dyDescent="0.45">
      <c r="A3182" s="142" t="s">
        <v>13426</v>
      </c>
      <c r="B3182" s="142" t="s">
        <v>15285</v>
      </c>
      <c r="C3182" s="142" t="s">
        <v>15847</v>
      </c>
      <c r="D3182" s="142" t="s">
        <v>15848</v>
      </c>
      <c r="E3182" s="142" t="s">
        <v>15849</v>
      </c>
      <c r="F3182" s="142" t="s">
        <v>3000</v>
      </c>
      <c r="G3182" s="142" t="s">
        <v>2999</v>
      </c>
      <c r="H3182" s="142" t="s">
        <v>19032</v>
      </c>
      <c r="I3182" s="142">
        <v>35</v>
      </c>
      <c r="J3182" s="142">
        <v>35</v>
      </c>
      <c r="K3182" s="142">
        <v>0</v>
      </c>
      <c r="L3182" s="142">
        <v>0</v>
      </c>
      <c r="M3182" s="142">
        <v>0</v>
      </c>
    </row>
    <row r="3183" spans="1:13" x14ac:dyDescent="0.45">
      <c r="A3183" s="142" t="s">
        <v>13066</v>
      </c>
      <c r="B3183" s="142" t="s">
        <v>14459</v>
      </c>
      <c r="C3183" s="142" t="s">
        <v>15847</v>
      </c>
      <c r="D3183" s="142" t="s">
        <v>15848</v>
      </c>
      <c r="E3183" s="142" t="s">
        <v>15849</v>
      </c>
      <c r="F3183" s="142" t="s">
        <v>3000</v>
      </c>
      <c r="G3183" s="142" t="s">
        <v>2999</v>
      </c>
      <c r="H3183" s="142" t="s">
        <v>19033</v>
      </c>
      <c r="I3183" s="142">
        <v>35</v>
      </c>
      <c r="J3183" s="142">
        <v>0</v>
      </c>
      <c r="K3183" s="142">
        <v>0</v>
      </c>
      <c r="L3183" s="142">
        <v>35</v>
      </c>
      <c r="M3183" s="142">
        <v>0</v>
      </c>
    </row>
    <row r="3184" spans="1:13" x14ac:dyDescent="0.45">
      <c r="A3184" s="142" t="s">
        <v>13006</v>
      </c>
      <c r="B3184" s="142" t="s">
        <v>15288</v>
      </c>
      <c r="C3184" s="142" t="s">
        <v>15847</v>
      </c>
      <c r="D3184" s="142" t="s">
        <v>15848</v>
      </c>
      <c r="E3184" s="142" t="s">
        <v>15849</v>
      </c>
      <c r="F3184" s="142" t="s">
        <v>3000</v>
      </c>
      <c r="G3184" s="142" t="s">
        <v>2999</v>
      </c>
      <c r="H3184" s="142" t="s">
        <v>19034</v>
      </c>
      <c r="I3184" s="142">
        <v>60</v>
      </c>
      <c r="J3184" s="142">
        <v>59</v>
      </c>
      <c r="K3184" s="142">
        <v>0</v>
      </c>
      <c r="L3184" s="142">
        <v>0</v>
      </c>
      <c r="M3184" s="142">
        <v>1</v>
      </c>
    </row>
    <row r="3185" spans="1:13" x14ac:dyDescent="0.45">
      <c r="A3185" s="142" t="s">
        <v>13284</v>
      </c>
      <c r="B3185" s="142" t="s">
        <v>15364</v>
      </c>
      <c r="C3185" s="142" t="s">
        <v>15847</v>
      </c>
      <c r="D3185" s="142" t="s">
        <v>15848</v>
      </c>
      <c r="E3185" s="142" t="s">
        <v>15849</v>
      </c>
      <c r="F3185" s="142" t="s">
        <v>3000</v>
      </c>
      <c r="G3185" s="142" t="s">
        <v>2999</v>
      </c>
      <c r="H3185" s="142" t="s">
        <v>19035</v>
      </c>
      <c r="I3185" s="142">
        <v>123</v>
      </c>
      <c r="J3185" s="142">
        <v>98</v>
      </c>
      <c r="K3185" s="142">
        <v>0</v>
      </c>
      <c r="L3185" s="142">
        <v>19</v>
      </c>
      <c r="M3185" s="142">
        <v>6</v>
      </c>
    </row>
    <row r="3186" spans="1:13" x14ac:dyDescent="0.45">
      <c r="A3186" s="142" t="s">
        <v>13104</v>
      </c>
      <c r="B3186" s="142" t="s">
        <v>14622</v>
      </c>
      <c r="C3186" s="142" t="s">
        <v>15847</v>
      </c>
      <c r="D3186" s="142" t="s">
        <v>15848</v>
      </c>
      <c r="E3186" s="142" t="s">
        <v>15849</v>
      </c>
      <c r="F3186" s="142" t="s">
        <v>3000</v>
      </c>
      <c r="G3186" s="142" t="s">
        <v>2999</v>
      </c>
      <c r="H3186" s="142" t="s">
        <v>19036</v>
      </c>
      <c r="I3186" s="142">
        <v>3</v>
      </c>
      <c r="J3186" s="142">
        <v>3</v>
      </c>
      <c r="K3186" s="142">
        <v>0</v>
      </c>
      <c r="L3186" s="142">
        <v>0</v>
      </c>
      <c r="M3186" s="142">
        <v>0</v>
      </c>
    </row>
    <row r="3187" spans="1:13" x14ac:dyDescent="0.45">
      <c r="A3187" s="142" t="s">
        <v>13034</v>
      </c>
      <c r="B3187" s="142" t="s">
        <v>15562</v>
      </c>
      <c r="C3187" s="142" t="s">
        <v>15847</v>
      </c>
      <c r="D3187" s="142" t="s">
        <v>15848</v>
      </c>
      <c r="E3187" s="142" t="s">
        <v>15849</v>
      </c>
      <c r="F3187" s="142" t="s">
        <v>3000</v>
      </c>
      <c r="G3187" s="142" t="s">
        <v>2999</v>
      </c>
      <c r="H3187" s="142" t="s">
        <v>19037</v>
      </c>
      <c r="I3187" s="142">
        <v>69</v>
      </c>
      <c r="J3187" s="142">
        <v>15</v>
      </c>
      <c r="K3187" s="142">
        <v>0</v>
      </c>
      <c r="L3187" s="142">
        <v>54</v>
      </c>
      <c r="M3187" s="142">
        <v>0</v>
      </c>
    </row>
    <row r="3188" spans="1:13" x14ac:dyDescent="0.45">
      <c r="A3188" s="142" t="s">
        <v>13035</v>
      </c>
      <c r="B3188" s="142" t="s">
        <v>14648</v>
      </c>
      <c r="C3188" s="142" t="s">
        <v>15847</v>
      </c>
      <c r="D3188" s="142" t="s">
        <v>15848</v>
      </c>
      <c r="E3188" s="142" t="s">
        <v>15849</v>
      </c>
      <c r="F3188" s="142" t="s">
        <v>3000</v>
      </c>
      <c r="G3188" s="142" t="s">
        <v>2999</v>
      </c>
      <c r="H3188" s="142" t="s">
        <v>19038</v>
      </c>
      <c r="I3188" s="142">
        <v>62</v>
      </c>
      <c r="J3188" s="142">
        <v>52</v>
      </c>
      <c r="K3188" s="142">
        <v>0</v>
      </c>
      <c r="L3188" s="142">
        <v>0</v>
      </c>
      <c r="M3188" s="142">
        <v>10</v>
      </c>
    </row>
    <row r="3189" spans="1:13" x14ac:dyDescent="0.45">
      <c r="A3189" s="142" t="s">
        <v>13105</v>
      </c>
      <c r="B3189" s="142" t="s">
        <v>14654</v>
      </c>
      <c r="C3189" s="142" t="s">
        <v>15847</v>
      </c>
      <c r="D3189" s="142" t="s">
        <v>15848</v>
      </c>
      <c r="E3189" s="142" t="s">
        <v>15849</v>
      </c>
      <c r="F3189" s="142" t="s">
        <v>3000</v>
      </c>
      <c r="G3189" s="142" t="s">
        <v>2999</v>
      </c>
      <c r="H3189" s="142" t="s">
        <v>19039</v>
      </c>
      <c r="I3189" s="142">
        <v>14</v>
      </c>
      <c r="J3189" s="142">
        <v>0</v>
      </c>
      <c r="K3189" s="142">
        <v>0</v>
      </c>
      <c r="L3189" s="142">
        <v>0</v>
      </c>
      <c r="M3189" s="142">
        <v>14</v>
      </c>
    </row>
    <row r="3190" spans="1:13" x14ac:dyDescent="0.45">
      <c r="A3190" s="142" t="s">
        <v>13179</v>
      </c>
      <c r="B3190" s="142" t="s">
        <v>14704</v>
      </c>
      <c r="C3190" s="142" t="s">
        <v>15860</v>
      </c>
      <c r="D3190" s="142" t="s">
        <v>15861</v>
      </c>
      <c r="E3190" s="142" t="s">
        <v>15849</v>
      </c>
      <c r="F3190" s="142" t="s">
        <v>3000</v>
      </c>
      <c r="G3190" s="142" t="s">
        <v>2999</v>
      </c>
      <c r="H3190" s="142" t="s">
        <v>19040</v>
      </c>
      <c r="I3190" s="142">
        <v>4</v>
      </c>
      <c r="J3190" s="142">
        <v>4</v>
      </c>
      <c r="K3190" s="142">
        <v>0</v>
      </c>
      <c r="L3190" s="142">
        <v>0</v>
      </c>
      <c r="M3190" s="142">
        <v>0</v>
      </c>
    </row>
    <row r="3191" spans="1:13" x14ac:dyDescent="0.45">
      <c r="A3191" s="142" t="s">
        <v>13037</v>
      </c>
      <c r="B3191" s="142" t="s">
        <v>14519</v>
      </c>
      <c r="C3191" s="142" t="s">
        <v>15847</v>
      </c>
      <c r="D3191" s="142" t="s">
        <v>15848</v>
      </c>
      <c r="E3191" s="142" t="s">
        <v>15849</v>
      </c>
      <c r="F3191" s="142" t="s">
        <v>3000</v>
      </c>
      <c r="G3191" s="142" t="s">
        <v>2999</v>
      </c>
      <c r="H3191" s="142" t="s">
        <v>19041</v>
      </c>
      <c r="I3191" s="142">
        <v>15</v>
      </c>
      <c r="J3191" s="142">
        <v>0</v>
      </c>
      <c r="K3191" s="142">
        <v>0</v>
      </c>
      <c r="L3191" s="142">
        <v>15</v>
      </c>
      <c r="M3191" s="142">
        <v>0</v>
      </c>
    </row>
    <row r="3192" spans="1:13" x14ac:dyDescent="0.45">
      <c r="A3192" s="142" t="s">
        <v>13090</v>
      </c>
      <c r="B3192" s="142" t="s">
        <v>15600</v>
      </c>
      <c r="C3192" s="142" t="s">
        <v>15847</v>
      </c>
      <c r="D3192" s="142" t="s">
        <v>15848</v>
      </c>
      <c r="E3192" s="142" t="s">
        <v>15849</v>
      </c>
      <c r="F3192" s="142" t="s">
        <v>3000</v>
      </c>
      <c r="G3192" s="142" t="s">
        <v>2999</v>
      </c>
      <c r="H3192" s="142" t="s">
        <v>19042</v>
      </c>
      <c r="I3192" s="142">
        <v>1</v>
      </c>
      <c r="J3192" s="142">
        <v>0</v>
      </c>
      <c r="K3192" s="142">
        <v>0</v>
      </c>
      <c r="L3192" s="142">
        <v>0</v>
      </c>
      <c r="M3192" s="142">
        <v>1</v>
      </c>
    </row>
    <row r="3193" spans="1:13" x14ac:dyDescent="0.45">
      <c r="A3193" s="142" t="s">
        <v>13038</v>
      </c>
      <c r="B3193" s="142" t="s">
        <v>14646</v>
      </c>
      <c r="C3193" s="142" t="s">
        <v>15847</v>
      </c>
      <c r="D3193" s="142" t="s">
        <v>15848</v>
      </c>
      <c r="E3193" s="142" t="s">
        <v>15849</v>
      </c>
      <c r="F3193" s="142" t="s">
        <v>3000</v>
      </c>
      <c r="G3193" s="142" t="s">
        <v>2999</v>
      </c>
      <c r="H3193" s="142" t="s">
        <v>19043</v>
      </c>
      <c r="I3193" s="142">
        <v>36</v>
      </c>
      <c r="J3193" s="142">
        <v>19</v>
      </c>
      <c r="K3193" s="142">
        <v>0</v>
      </c>
      <c r="L3193" s="142">
        <v>0</v>
      </c>
      <c r="M3193" s="142">
        <v>17</v>
      </c>
    </row>
    <row r="3194" spans="1:13" x14ac:dyDescent="0.45">
      <c r="A3194" s="142" t="s">
        <v>13091</v>
      </c>
      <c r="B3194" s="142" t="s">
        <v>14473</v>
      </c>
      <c r="C3194" s="142" t="s">
        <v>15847</v>
      </c>
      <c r="D3194" s="142" t="s">
        <v>15848</v>
      </c>
      <c r="E3194" s="142" t="s">
        <v>15849</v>
      </c>
      <c r="F3194" s="142" t="s">
        <v>3000</v>
      </c>
      <c r="G3194" s="142" t="s">
        <v>2999</v>
      </c>
      <c r="H3194" s="142" t="s">
        <v>19044</v>
      </c>
      <c r="I3194" s="142">
        <v>80</v>
      </c>
      <c r="J3194" s="142">
        <v>76</v>
      </c>
      <c r="K3194" s="142">
        <v>0</v>
      </c>
      <c r="L3194" s="142">
        <v>4</v>
      </c>
      <c r="M3194" s="142">
        <v>0</v>
      </c>
    </row>
    <row r="3195" spans="1:13" x14ac:dyDescent="0.45">
      <c r="A3195" s="142" t="s">
        <v>13009</v>
      </c>
      <c r="B3195" s="142" t="s">
        <v>15256</v>
      </c>
      <c r="C3195" s="142" t="s">
        <v>15847</v>
      </c>
      <c r="D3195" s="142" t="s">
        <v>15848</v>
      </c>
      <c r="E3195" s="142" t="s">
        <v>15849</v>
      </c>
      <c r="F3195" s="142" t="s">
        <v>3000</v>
      </c>
      <c r="G3195" s="142" t="s">
        <v>2999</v>
      </c>
      <c r="H3195" s="142" t="s">
        <v>19045</v>
      </c>
      <c r="I3195" s="142">
        <v>252</v>
      </c>
      <c r="J3195" s="142">
        <v>93</v>
      </c>
      <c r="K3195" s="142">
        <v>0</v>
      </c>
      <c r="L3195" s="142">
        <v>154</v>
      </c>
      <c r="M3195" s="142">
        <v>5</v>
      </c>
    </row>
    <row r="3196" spans="1:13" x14ac:dyDescent="0.45">
      <c r="A3196" s="142" t="s">
        <v>13428</v>
      </c>
      <c r="B3196" s="142" t="s">
        <v>15303</v>
      </c>
      <c r="C3196" s="142" t="s">
        <v>15847</v>
      </c>
      <c r="D3196" s="142" t="s">
        <v>15848</v>
      </c>
      <c r="E3196" s="142" t="s">
        <v>15849</v>
      </c>
      <c r="F3196" s="142" t="s">
        <v>3000</v>
      </c>
      <c r="G3196" s="142" t="s">
        <v>2999</v>
      </c>
      <c r="H3196" s="142" t="s">
        <v>19046</v>
      </c>
      <c r="I3196" s="142">
        <v>205</v>
      </c>
      <c r="J3196" s="142">
        <v>180</v>
      </c>
      <c r="K3196" s="142">
        <v>0</v>
      </c>
      <c r="L3196" s="142">
        <v>25</v>
      </c>
      <c r="M3196" s="142">
        <v>0</v>
      </c>
    </row>
    <row r="3197" spans="1:13" x14ac:dyDescent="0.45">
      <c r="A3197" s="142" t="s">
        <v>13165</v>
      </c>
      <c r="B3197" s="142" t="s">
        <v>15525</v>
      </c>
      <c r="C3197" s="142" t="s">
        <v>15860</v>
      </c>
      <c r="D3197" s="142" t="s">
        <v>15861</v>
      </c>
      <c r="E3197" s="142" t="s">
        <v>15849</v>
      </c>
      <c r="F3197" s="142" t="s">
        <v>3000</v>
      </c>
      <c r="G3197" s="142" t="s">
        <v>2999</v>
      </c>
      <c r="H3197" s="142" t="s">
        <v>19047</v>
      </c>
      <c r="I3197" s="142">
        <v>20</v>
      </c>
      <c r="J3197" s="142">
        <v>0</v>
      </c>
      <c r="K3197" s="142">
        <v>0</v>
      </c>
      <c r="L3197" s="142">
        <v>20</v>
      </c>
      <c r="M3197" s="142">
        <v>0</v>
      </c>
    </row>
    <row r="3198" spans="1:13" x14ac:dyDescent="0.45">
      <c r="A3198" s="142" t="s">
        <v>13693</v>
      </c>
      <c r="B3198" s="142" t="s">
        <v>14790</v>
      </c>
      <c r="C3198" s="142" t="s">
        <v>15860</v>
      </c>
      <c r="D3198" s="142" t="s">
        <v>15861</v>
      </c>
      <c r="E3198" s="142" t="s">
        <v>15849</v>
      </c>
      <c r="F3198" s="142" t="s">
        <v>3000</v>
      </c>
      <c r="G3198" s="142" t="s">
        <v>2999</v>
      </c>
      <c r="H3198" s="142" t="s">
        <v>19048</v>
      </c>
      <c r="I3198" s="142">
        <v>21</v>
      </c>
      <c r="J3198" s="142">
        <v>0</v>
      </c>
      <c r="K3198" s="142">
        <v>0</v>
      </c>
      <c r="L3198" s="142">
        <v>21</v>
      </c>
      <c r="M3198" s="142">
        <v>0</v>
      </c>
    </row>
    <row r="3199" spans="1:13" x14ac:dyDescent="0.45">
      <c r="A3199" s="142" t="s">
        <v>13207</v>
      </c>
      <c r="B3199" s="142" t="s">
        <v>15558</v>
      </c>
      <c r="C3199" s="142" t="s">
        <v>15847</v>
      </c>
      <c r="D3199" s="142" t="s">
        <v>15848</v>
      </c>
      <c r="E3199" s="142" t="s">
        <v>15849</v>
      </c>
      <c r="F3199" s="142" t="s">
        <v>3000</v>
      </c>
      <c r="G3199" s="142" t="s">
        <v>2999</v>
      </c>
      <c r="H3199" s="142" t="s">
        <v>19049</v>
      </c>
      <c r="I3199" s="142">
        <v>5</v>
      </c>
      <c r="J3199" s="142">
        <v>2</v>
      </c>
      <c r="K3199" s="142">
        <v>0</v>
      </c>
      <c r="L3199" s="142">
        <v>0</v>
      </c>
      <c r="M3199" s="142">
        <v>3</v>
      </c>
    </row>
    <row r="3200" spans="1:13" x14ac:dyDescent="0.45">
      <c r="A3200" s="142" t="s">
        <v>13023</v>
      </c>
      <c r="B3200" s="142" t="s">
        <v>15571</v>
      </c>
      <c r="C3200" s="142" t="s">
        <v>15847</v>
      </c>
      <c r="D3200" s="142" t="s">
        <v>15848</v>
      </c>
      <c r="E3200" s="142" t="s">
        <v>15849</v>
      </c>
      <c r="F3200" s="142" t="s">
        <v>5720</v>
      </c>
      <c r="G3200" s="142" t="s">
        <v>5719</v>
      </c>
      <c r="H3200" s="142" t="s">
        <v>19050</v>
      </c>
      <c r="I3200" s="142">
        <v>136</v>
      </c>
      <c r="J3200" s="142">
        <v>0</v>
      </c>
      <c r="K3200" s="142">
        <v>0</v>
      </c>
      <c r="L3200" s="142">
        <v>121</v>
      </c>
      <c r="M3200" s="142">
        <v>15</v>
      </c>
    </row>
    <row r="3201" spans="1:13" x14ac:dyDescent="0.45">
      <c r="A3201" s="142" t="s">
        <v>13695</v>
      </c>
      <c r="B3201" s="142" t="s">
        <v>15123</v>
      </c>
      <c r="C3201" s="142" t="s">
        <v>15860</v>
      </c>
      <c r="D3201" s="142" t="s">
        <v>15861</v>
      </c>
      <c r="E3201" s="142" t="s">
        <v>15849</v>
      </c>
      <c r="F3201" s="142" t="s">
        <v>5720</v>
      </c>
      <c r="G3201" s="142" t="s">
        <v>5719</v>
      </c>
      <c r="H3201" s="142" t="s">
        <v>19051</v>
      </c>
      <c r="I3201" s="142">
        <v>42</v>
      </c>
      <c r="J3201" s="142">
        <v>42</v>
      </c>
      <c r="K3201" s="142">
        <v>0</v>
      </c>
      <c r="L3201" s="142">
        <v>0</v>
      </c>
      <c r="M3201" s="142">
        <v>0</v>
      </c>
    </row>
    <row r="3202" spans="1:13" x14ac:dyDescent="0.45">
      <c r="A3202" s="142" t="s">
        <v>13159</v>
      </c>
      <c r="B3202" s="142" t="s">
        <v>14521</v>
      </c>
      <c r="C3202" s="142" t="s">
        <v>15860</v>
      </c>
      <c r="D3202" s="142" t="s">
        <v>15861</v>
      </c>
      <c r="E3202" s="142" t="s">
        <v>15849</v>
      </c>
      <c r="F3202" s="142" t="s">
        <v>5720</v>
      </c>
      <c r="G3202" s="142" t="s">
        <v>5719</v>
      </c>
      <c r="H3202" s="142" t="s">
        <v>19052</v>
      </c>
      <c r="I3202" s="142">
        <v>10</v>
      </c>
      <c r="J3202" s="142">
        <v>0</v>
      </c>
      <c r="K3202" s="142">
        <v>0</v>
      </c>
      <c r="L3202" s="142">
        <v>10</v>
      </c>
      <c r="M3202" s="142">
        <v>0</v>
      </c>
    </row>
    <row r="3203" spans="1:13" x14ac:dyDescent="0.45">
      <c r="A3203" s="142" t="s">
        <v>13212</v>
      </c>
      <c r="B3203" s="142" t="s">
        <v>15497</v>
      </c>
      <c r="C3203" s="142" t="s">
        <v>15860</v>
      </c>
      <c r="D3203" s="142" t="s">
        <v>15861</v>
      </c>
      <c r="E3203" s="142" t="s">
        <v>15849</v>
      </c>
      <c r="F3203" s="142" t="s">
        <v>5720</v>
      </c>
      <c r="G3203" s="142" t="s">
        <v>5719</v>
      </c>
      <c r="H3203" s="142" t="s">
        <v>19053</v>
      </c>
      <c r="I3203" s="142">
        <v>45</v>
      </c>
      <c r="J3203" s="142">
        <v>45</v>
      </c>
      <c r="K3203" s="142">
        <v>0</v>
      </c>
      <c r="L3203" s="142">
        <v>0</v>
      </c>
      <c r="M3203" s="142">
        <v>0</v>
      </c>
    </row>
    <row r="3204" spans="1:13" x14ac:dyDescent="0.45">
      <c r="A3204" s="142" t="s">
        <v>13074</v>
      </c>
      <c r="B3204" s="142" t="s">
        <v>15405</v>
      </c>
      <c r="C3204" s="142" t="s">
        <v>15847</v>
      </c>
      <c r="D3204" s="142" t="s">
        <v>15848</v>
      </c>
      <c r="E3204" s="142" t="s">
        <v>15849</v>
      </c>
      <c r="F3204" s="142" t="s">
        <v>5720</v>
      </c>
      <c r="G3204" s="142" t="s">
        <v>5719</v>
      </c>
      <c r="H3204" s="142" t="s">
        <v>19054</v>
      </c>
      <c r="I3204" s="142">
        <v>21</v>
      </c>
      <c r="J3204" s="142">
        <v>10</v>
      </c>
      <c r="K3204" s="142">
        <v>0</v>
      </c>
      <c r="L3204" s="142">
        <v>0</v>
      </c>
      <c r="M3204" s="142">
        <v>11</v>
      </c>
    </row>
    <row r="3205" spans="1:13" x14ac:dyDescent="0.45">
      <c r="A3205" s="142" t="s">
        <v>13049</v>
      </c>
      <c r="B3205" s="142" t="s">
        <v>14534</v>
      </c>
      <c r="C3205" s="142" t="s">
        <v>15860</v>
      </c>
      <c r="D3205" s="142" t="s">
        <v>15861</v>
      </c>
      <c r="E3205" s="142" t="s">
        <v>15849</v>
      </c>
      <c r="F3205" s="142" t="s">
        <v>5720</v>
      </c>
      <c r="G3205" s="142" t="s">
        <v>5719</v>
      </c>
      <c r="H3205" s="142" t="s">
        <v>19055</v>
      </c>
      <c r="I3205" s="142">
        <v>25</v>
      </c>
      <c r="J3205" s="142">
        <v>0</v>
      </c>
      <c r="K3205" s="142">
        <v>0</v>
      </c>
      <c r="L3205" s="142">
        <v>25</v>
      </c>
      <c r="M3205" s="142">
        <v>0</v>
      </c>
    </row>
    <row r="3206" spans="1:13" x14ac:dyDescent="0.45">
      <c r="A3206" s="142" t="s">
        <v>13027</v>
      </c>
      <c r="B3206" s="142" t="s">
        <v>14562</v>
      </c>
      <c r="C3206" s="142" t="s">
        <v>15847</v>
      </c>
      <c r="D3206" s="142" t="s">
        <v>15848</v>
      </c>
      <c r="E3206" s="142" t="s">
        <v>15849</v>
      </c>
      <c r="F3206" s="142" t="s">
        <v>5720</v>
      </c>
      <c r="G3206" s="142" t="s">
        <v>5719</v>
      </c>
      <c r="H3206" s="142" t="s">
        <v>19056</v>
      </c>
      <c r="I3206" s="142">
        <v>19</v>
      </c>
      <c r="J3206" s="142">
        <v>0</v>
      </c>
      <c r="K3206" s="142">
        <v>0</v>
      </c>
      <c r="L3206" s="142">
        <v>19</v>
      </c>
      <c r="M3206" s="142">
        <v>0</v>
      </c>
    </row>
    <row r="3207" spans="1:13" x14ac:dyDescent="0.45">
      <c r="A3207" s="142" t="s">
        <v>13028</v>
      </c>
      <c r="B3207" s="142" t="s">
        <v>14462</v>
      </c>
      <c r="C3207" s="142" t="s">
        <v>15847</v>
      </c>
      <c r="D3207" s="142" t="s">
        <v>15848</v>
      </c>
      <c r="E3207" s="142" t="s">
        <v>15849</v>
      </c>
      <c r="F3207" s="142" t="s">
        <v>5720</v>
      </c>
      <c r="G3207" s="142" t="s">
        <v>5719</v>
      </c>
      <c r="H3207" s="142" t="s">
        <v>19057</v>
      </c>
      <c r="I3207" s="142">
        <v>16</v>
      </c>
      <c r="J3207" s="142">
        <v>0</v>
      </c>
      <c r="K3207" s="142">
        <v>0</v>
      </c>
      <c r="L3207" s="142">
        <v>0</v>
      </c>
      <c r="M3207" s="142">
        <v>16</v>
      </c>
    </row>
    <row r="3208" spans="1:13" x14ac:dyDescent="0.45">
      <c r="A3208" s="142" t="s">
        <v>13003</v>
      </c>
      <c r="B3208" s="142" t="s">
        <v>15245</v>
      </c>
      <c r="C3208" s="142" t="s">
        <v>15847</v>
      </c>
      <c r="D3208" s="142" t="s">
        <v>15848</v>
      </c>
      <c r="E3208" s="142" t="s">
        <v>15849</v>
      </c>
      <c r="F3208" s="142" t="s">
        <v>5720</v>
      </c>
      <c r="G3208" s="142" t="s">
        <v>5719</v>
      </c>
      <c r="H3208" s="142" t="s">
        <v>19058</v>
      </c>
      <c r="I3208" s="142">
        <v>60</v>
      </c>
      <c r="J3208" s="142">
        <v>0</v>
      </c>
      <c r="K3208" s="142">
        <v>0</v>
      </c>
      <c r="L3208" s="142">
        <v>60</v>
      </c>
      <c r="M3208" s="142">
        <v>0</v>
      </c>
    </row>
    <row r="3209" spans="1:13" x14ac:dyDescent="0.45">
      <c r="A3209" s="142" t="s">
        <v>13004</v>
      </c>
      <c r="B3209" s="142" t="s">
        <v>15492</v>
      </c>
      <c r="C3209" s="142" t="s">
        <v>15847</v>
      </c>
      <c r="D3209" s="142" t="s">
        <v>15848</v>
      </c>
      <c r="E3209" s="142" t="s">
        <v>15849</v>
      </c>
      <c r="F3209" s="142" t="s">
        <v>5720</v>
      </c>
      <c r="G3209" s="142" t="s">
        <v>5719</v>
      </c>
      <c r="H3209" s="142" t="s">
        <v>19059</v>
      </c>
      <c r="I3209" s="142">
        <v>170</v>
      </c>
      <c r="J3209" s="142">
        <v>130</v>
      </c>
      <c r="K3209" s="142">
        <v>0</v>
      </c>
      <c r="L3209" s="142">
        <v>26</v>
      </c>
      <c r="M3209" s="142">
        <v>14</v>
      </c>
    </row>
    <row r="3210" spans="1:13" x14ac:dyDescent="0.45">
      <c r="A3210" s="142" t="s">
        <v>13066</v>
      </c>
      <c r="B3210" s="142" t="s">
        <v>14459</v>
      </c>
      <c r="C3210" s="142" t="s">
        <v>15847</v>
      </c>
      <c r="D3210" s="142" t="s">
        <v>15848</v>
      </c>
      <c r="E3210" s="142" t="s">
        <v>15849</v>
      </c>
      <c r="F3210" s="142" t="s">
        <v>5720</v>
      </c>
      <c r="G3210" s="142" t="s">
        <v>5719</v>
      </c>
      <c r="H3210" s="142" t="s">
        <v>19060</v>
      </c>
      <c r="I3210" s="142">
        <v>23</v>
      </c>
      <c r="J3210" s="142">
        <v>0</v>
      </c>
      <c r="K3210" s="142">
        <v>0</v>
      </c>
      <c r="L3210" s="142">
        <v>23</v>
      </c>
      <c r="M3210" s="142">
        <v>0</v>
      </c>
    </row>
    <row r="3211" spans="1:13" x14ac:dyDescent="0.45">
      <c r="A3211" s="142" t="s">
        <v>13696</v>
      </c>
      <c r="B3211" s="142" t="s">
        <v>14729</v>
      </c>
      <c r="C3211" s="142" t="s">
        <v>15860</v>
      </c>
      <c r="D3211" s="142" t="s">
        <v>15861</v>
      </c>
      <c r="E3211" s="142" t="s">
        <v>15849</v>
      </c>
      <c r="F3211" s="142" t="s">
        <v>5720</v>
      </c>
      <c r="G3211" s="142" t="s">
        <v>5719</v>
      </c>
      <c r="H3211" s="142" t="s">
        <v>19061</v>
      </c>
      <c r="I3211" s="142">
        <v>16</v>
      </c>
      <c r="J3211" s="142">
        <v>16</v>
      </c>
      <c r="K3211" s="142">
        <v>0</v>
      </c>
      <c r="L3211" s="142">
        <v>0</v>
      </c>
      <c r="M3211" s="142">
        <v>0</v>
      </c>
    </row>
    <row r="3212" spans="1:13" x14ac:dyDescent="0.45">
      <c r="A3212" s="142" t="s">
        <v>13005</v>
      </c>
      <c r="B3212" s="142" t="s">
        <v>15475</v>
      </c>
      <c r="C3212" s="142" t="s">
        <v>15847</v>
      </c>
      <c r="D3212" s="142" t="s">
        <v>15848</v>
      </c>
      <c r="E3212" s="142" t="s">
        <v>15849</v>
      </c>
      <c r="F3212" s="142" t="s">
        <v>5720</v>
      </c>
      <c r="G3212" s="142" t="s">
        <v>5719</v>
      </c>
      <c r="H3212" s="142" t="s">
        <v>19062</v>
      </c>
      <c r="I3212" s="142">
        <v>4</v>
      </c>
      <c r="J3212" s="142">
        <v>0</v>
      </c>
      <c r="K3212" s="142">
        <v>0</v>
      </c>
      <c r="L3212" s="142">
        <v>0</v>
      </c>
      <c r="M3212" s="142">
        <v>4</v>
      </c>
    </row>
    <row r="3213" spans="1:13" x14ac:dyDescent="0.45">
      <c r="A3213" s="142" t="s">
        <v>13192</v>
      </c>
      <c r="B3213" s="142" t="s">
        <v>15539</v>
      </c>
      <c r="C3213" s="142" t="s">
        <v>15860</v>
      </c>
      <c r="D3213" s="142" t="s">
        <v>15861</v>
      </c>
      <c r="E3213" s="142" t="s">
        <v>15849</v>
      </c>
      <c r="F3213" s="142" t="s">
        <v>5720</v>
      </c>
      <c r="G3213" s="142" t="s">
        <v>5719</v>
      </c>
      <c r="H3213" s="142" t="s">
        <v>19063</v>
      </c>
      <c r="I3213" s="142">
        <v>27</v>
      </c>
      <c r="J3213" s="142">
        <v>0</v>
      </c>
      <c r="K3213" s="142">
        <v>0</v>
      </c>
      <c r="L3213" s="142">
        <v>27</v>
      </c>
      <c r="M3213" s="142">
        <v>0</v>
      </c>
    </row>
    <row r="3214" spans="1:13" x14ac:dyDescent="0.45">
      <c r="A3214" s="142" t="s">
        <v>13697</v>
      </c>
      <c r="B3214" s="142" t="s">
        <v>15072</v>
      </c>
      <c r="C3214" s="142" t="s">
        <v>15860</v>
      </c>
      <c r="D3214" s="142" t="s">
        <v>15861</v>
      </c>
      <c r="E3214" s="142" t="s">
        <v>15849</v>
      </c>
      <c r="F3214" s="142" t="s">
        <v>5720</v>
      </c>
      <c r="G3214" s="142" t="s">
        <v>5719</v>
      </c>
      <c r="H3214" s="142" t="s">
        <v>19064</v>
      </c>
      <c r="I3214" s="142">
        <v>27</v>
      </c>
      <c r="J3214" s="142">
        <v>27</v>
      </c>
      <c r="K3214" s="142">
        <v>0</v>
      </c>
      <c r="L3214" s="142">
        <v>0</v>
      </c>
      <c r="M3214" s="142">
        <v>0</v>
      </c>
    </row>
    <row r="3215" spans="1:13" x14ac:dyDescent="0.45">
      <c r="A3215" s="142" t="s">
        <v>13007</v>
      </c>
      <c r="B3215" s="142" t="s">
        <v>15262</v>
      </c>
      <c r="C3215" s="142" t="s">
        <v>15847</v>
      </c>
      <c r="D3215" s="142" t="s">
        <v>15848</v>
      </c>
      <c r="E3215" s="142" t="s">
        <v>15849</v>
      </c>
      <c r="F3215" s="142" t="s">
        <v>5720</v>
      </c>
      <c r="G3215" s="142" t="s">
        <v>5719</v>
      </c>
      <c r="H3215" s="142" t="s">
        <v>19065</v>
      </c>
      <c r="I3215" s="142">
        <v>244</v>
      </c>
      <c r="J3215" s="142">
        <v>89</v>
      </c>
      <c r="K3215" s="142">
        <v>0</v>
      </c>
      <c r="L3215" s="142">
        <v>57</v>
      </c>
      <c r="M3215" s="142">
        <v>98</v>
      </c>
    </row>
    <row r="3216" spans="1:13" x14ac:dyDescent="0.45">
      <c r="A3216" s="142" t="s">
        <v>13008</v>
      </c>
      <c r="B3216" s="142" t="s">
        <v>15411</v>
      </c>
      <c r="C3216" s="142" t="s">
        <v>15847</v>
      </c>
      <c r="D3216" s="142" t="s">
        <v>15848</v>
      </c>
      <c r="E3216" s="142" t="s">
        <v>15849</v>
      </c>
      <c r="F3216" s="142" t="s">
        <v>5720</v>
      </c>
      <c r="G3216" s="142" t="s">
        <v>5719</v>
      </c>
      <c r="H3216" s="142" t="s">
        <v>19066</v>
      </c>
      <c r="I3216" s="142">
        <v>1</v>
      </c>
      <c r="J3216" s="142">
        <v>0</v>
      </c>
      <c r="K3216" s="142">
        <v>0</v>
      </c>
      <c r="L3216" s="142">
        <v>0</v>
      </c>
      <c r="M3216" s="142">
        <v>1</v>
      </c>
    </row>
    <row r="3217" spans="1:13" x14ac:dyDescent="0.45">
      <c r="A3217" s="142" t="s">
        <v>13077</v>
      </c>
      <c r="B3217" s="142" t="s">
        <v>15407</v>
      </c>
      <c r="C3217" s="142" t="s">
        <v>15847</v>
      </c>
      <c r="D3217" s="142" t="s">
        <v>15848</v>
      </c>
      <c r="E3217" s="142" t="s">
        <v>15849</v>
      </c>
      <c r="F3217" s="142" t="s">
        <v>5720</v>
      </c>
      <c r="G3217" s="142" t="s">
        <v>5719</v>
      </c>
      <c r="H3217" s="142" t="s">
        <v>19067</v>
      </c>
      <c r="I3217" s="142">
        <v>175</v>
      </c>
      <c r="J3217" s="142">
        <v>175</v>
      </c>
      <c r="K3217" s="142">
        <v>0</v>
      </c>
      <c r="L3217" s="142">
        <v>0</v>
      </c>
      <c r="M3217" s="142">
        <v>0</v>
      </c>
    </row>
    <row r="3218" spans="1:13" x14ac:dyDescent="0.45">
      <c r="A3218" s="142" t="s">
        <v>13033</v>
      </c>
      <c r="B3218" s="142" t="s">
        <v>15276</v>
      </c>
      <c r="C3218" s="142" t="s">
        <v>15847</v>
      </c>
      <c r="D3218" s="142" t="s">
        <v>15848</v>
      </c>
      <c r="E3218" s="142" t="s">
        <v>15849</v>
      </c>
      <c r="F3218" s="142" t="s">
        <v>5720</v>
      </c>
      <c r="G3218" s="142" t="s">
        <v>5719</v>
      </c>
      <c r="H3218" s="142" t="s">
        <v>19068</v>
      </c>
      <c r="I3218" s="142">
        <v>245</v>
      </c>
      <c r="J3218" s="142">
        <v>245</v>
      </c>
      <c r="K3218" s="142">
        <v>0</v>
      </c>
      <c r="L3218" s="142">
        <v>0</v>
      </c>
      <c r="M3218" s="142">
        <v>0</v>
      </c>
    </row>
    <row r="3219" spans="1:13" x14ac:dyDescent="0.45">
      <c r="A3219" s="142" t="s">
        <v>13037</v>
      </c>
      <c r="B3219" s="142" t="s">
        <v>14519</v>
      </c>
      <c r="C3219" s="142" t="s">
        <v>15847</v>
      </c>
      <c r="D3219" s="142" t="s">
        <v>15848</v>
      </c>
      <c r="E3219" s="142" t="s">
        <v>15849</v>
      </c>
      <c r="F3219" s="142" t="s">
        <v>5720</v>
      </c>
      <c r="G3219" s="142" t="s">
        <v>5719</v>
      </c>
      <c r="H3219" s="142" t="s">
        <v>19069</v>
      </c>
      <c r="I3219" s="142">
        <v>8</v>
      </c>
      <c r="J3219" s="142">
        <v>0</v>
      </c>
      <c r="K3219" s="142">
        <v>0</v>
      </c>
      <c r="L3219" s="142">
        <v>8</v>
      </c>
      <c r="M3219" s="142">
        <v>0</v>
      </c>
    </row>
    <row r="3220" spans="1:13" x14ac:dyDescent="0.45">
      <c r="A3220" s="142" t="s">
        <v>13038</v>
      </c>
      <c r="B3220" s="142" t="s">
        <v>14646</v>
      </c>
      <c r="C3220" s="142" t="s">
        <v>15847</v>
      </c>
      <c r="D3220" s="142" t="s">
        <v>15848</v>
      </c>
      <c r="E3220" s="142" t="s">
        <v>15849</v>
      </c>
      <c r="F3220" s="142" t="s">
        <v>5720</v>
      </c>
      <c r="G3220" s="142" t="s">
        <v>5719</v>
      </c>
      <c r="H3220" s="142" t="s">
        <v>19070</v>
      </c>
      <c r="I3220" s="142">
        <v>21</v>
      </c>
      <c r="J3220" s="142">
        <v>13</v>
      </c>
      <c r="K3220" s="142">
        <v>0</v>
      </c>
      <c r="L3220" s="142">
        <v>0</v>
      </c>
      <c r="M3220" s="142">
        <v>8</v>
      </c>
    </row>
    <row r="3221" spans="1:13" x14ac:dyDescent="0.45">
      <c r="A3221" s="142" t="s">
        <v>13039</v>
      </c>
      <c r="B3221" s="142" t="s">
        <v>14647</v>
      </c>
      <c r="C3221" s="142" t="s">
        <v>15847</v>
      </c>
      <c r="D3221" s="142" t="s">
        <v>15848</v>
      </c>
      <c r="E3221" s="142" t="s">
        <v>15849</v>
      </c>
      <c r="F3221" s="142" t="s">
        <v>5720</v>
      </c>
      <c r="G3221" s="142" t="s">
        <v>5719</v>
      </c>
      <c r="H3221" s="142" t="s">
        <v>19071</v>
      </c>
      <c r="I3221" s="142">
        <v>27</v>
      </c>
      <c r="J3221" s="142">
        <v>27</v>
      </c>
      <c r="K3221" s="142">
        <v>0</v>
      </c>
      <c r="L3221" s="142">
        <v>0</v>
      </c>
      <c r="M3221" s="142">
        <v>0</v>
      </c>
    </row>
    <row r="3222" spans="1:13" x14ac:dyDescent="0.45">
      <c r="A3222" s="142" t="s">
        <v>13078</v>
      </c>
      <c r="B3222" s="142" t="s">
        <v>15540</v>
      </c>
      <c r="C3222" s="142" t="s">
        <v>15847</v>
      </c>
      <c r="D3222" s="142" t="s">
        <v>15848</v>
      </c>
      <c r="E3222" s="142" t="s">
        <v>15849</v>
      </c>
      <c r="F3222" s="142" t="s">
        <v>5720</v>
      </c>
      <c r="G3222" s="142" t="s">
        <v>5719</v>
      </c>
      <c r="H3222" s="142" t="s">
        <v>19072</v>
      </c>
      <c r="I3222" s="142">
        <v>11</v>
      </c>
      <c r="J3222" s="142">
        <v>0</v>
      </c>
      <c r="K3222" s="142">
        <v>0</v>
      </c>
      <c r="L3222" s="142">
        <v>11</v>
      </c>
      <c r="M3222" s="142">
        <v>0</v>
      </c>
    </row>
    <row r="3223" spans="1:13" x14ac:dyDescent="0.45">
      <c r="A3223" s="142" t="s">
        <v>13091</v>
      </c>
      <c r="B3223" s="142" t="s">
        <v>14473</v>
      </c>
      <c r="C3223" s="142" t="s">
        <v>15847</v>
      </c>
      <c r="D3223" s="142" t="s">
        <v>15848</v>
      </c>
      <c r="E3223" s="142" t="s">
        <v>15849</v>
      </c>
      <c r="F3223" s="142" t="s">
        <v>5720</v>
      </c>
      <c r="G3223" s="142" t="s">
        <v>5719</v>
      </c>
      <c r="H3223" s="142" t="s">
        <v>19073</v>
      </c>
      <c r="I3223" s="142">
        <v>67</v>
      </c>
      <c r="J3223" s="142">
        <v>47</v>
      </c>
      <c r="K3223" s="142">
        <v>0</v>
      </c>
      <c r="L3223" s="142">
        <v>0</v>
      </c>
      <c r="M3223" s="142">
        <v>20</v>
      </c>
    </row>
    <row r="3224" spans="1:13" x14ac:dyDescent="0.45">
      <c r="A3224" s="142" t="s">
        <v>13009</v>
      </c>
      <c r="B3224" s="142" t="s">
        <v>15256</v>
      </c>
      <c r="C3224" s="142" t="s">
        <v>15847</v>
      </c>
      <c r="D3224" s="142" t="s">
        <v>15848</v>
      </c>
      <c r="E3224" s="142" t="s">
        <v>15849</v>
      </c>
      <c r="F3224" s="142" t="s">
        <v>5720</v>
      </c>
      <c r="G3224" s="142" t="s">
        <v>5719</v>
      </c>
      <c r="H3224" s="142" t="s">
        <v>19074</v>
      </c>
      <c r="I3224" s="142">
        <v>128</v>
      </c>
      <c r="J3224" s="142">
        <v>64</v>
      </c>
      <c r="K3224" s="142">
        <v>0</v>
      </c>
      <c r="L3224" s="142">
        <v>18</v>
      </c>
      <c r="M3224" s="142">
        <v>46</v>
      </c>
    </row>
    <row r="3225" spans="1:13" x14ac:dyDescent="0.45">
      <c r="A3225" s="142" t="s">
        <v>13698</v>
      </c>
      <c r="B3225" s="142" t="s">
        <v>15121</v>
      </c>
      <c r="C3225" s="142" t="s">
        <v>15860</v>
      </c>
      <c r="D3225" s="142" t="s">
        <v>15861</v>
      </c>
      <c r="E3225" s="142" t="s">
        <v>15849</v>
      </c>
      <c r="F3225" s="142" t="s">
        <v>5720</v>
      </c>
      <c r="G3225" s="142" t="s">
        <v>5719</v>
      </c>
      <c r="H3225" s="142" t="s">
        <v>19075</v>
      </c>
      <c r="I3225" s="142">
        <v>19</v>
      </c>
      <c r="J3225" s="142">
        <v>19</v>
      </c>
      <c r="K3225" s="142">
        <v>0</v>
      </c>
      <c r="L3225" s="142">
        <v>0</v>
      </c>
      <c r="M3225" s="142">
        <v>0</v>
      </c>
    </row>
    <row r="3226" spans="1:13" x14ac:dyDescent="0.45">
      <c r="A3226" s="142" t="s">
        <v>13011</v>
      </c>
      <c r="B3226" s="142" t="s">
        <v>14695</v>
      </c>
      <c r="C3226" s="142" t="s">
        <v>15847</v>
      </c>
      <c r="D3226" s="142" t="s">
        <v>15848</v>
      </c>
      <c r="E3226" s="142" t="s">
        <v>15849</v>
      </c>
      <c r="F3226" s="142" t="s">
        <v>5720</v>
      </c>
      <c r="G3226" s="142" t="s">
        <v>5719</v>
      </c>
      <c r="H3226" s="142" t="s">
        <v>19076</v>
      </c>
      <c r="I3226" s="142">
        <v>540</v>
      </c>
      <c r="J3226" s="142">
        <v>483</v>
      </c>
      <c r="K3226" s="142">
        <v>0</v>
      </c>
      <c r="L3226" s="142">
        <v>9</v>
      </c>
      <c r="M3226" s="142">
        <v>48</v>
      </c>
    </row>
    <row r="3227" spans="1:13" x14ac:dyDescent="0.45">
      <c r="A3227" s="142" t="s">
        <v>13041</v>
      </c>
      <c r="B3227" s="142" t="s">
        <v>14441</v>
      </c>
      <c r="C3227" s="142" t="s">
        <v>15847</v>
      </c>
      <c r="D3227" s="142" t="s">
        <v>15848</v>
      </c>
      <c r="E3227" s="142" t="s">
        <v>15849</v>
      </c>
      <c r="F3227" s="142" t="s">
        <v>5720</v>
      </c>
      <c r="G3227" s="142" t="s">
        <v>5719</v>
      </c>
      <c r="H3227" s="142" t="s">
        <v>19077</v>
      </c>
      <c r="I3227" s="142">
        <v>19</v>
      </c>
      <c r="J3227" s="142">
        <v>0</v>
      </c>
      <c r="K3227" s="142">
        <v>0</v>
      </c>
      <c r="L3227" s="142">
        <v>0</v>
      </c>
      <c r="M3227" s="142">
        <v>19</v>
      </c>
    </row>
    <row r="3228" spans="1:13" x14ac:dyDescent="0.45">
      <c r="A3228" s="142" t="s">
        <v>13014</v>
      </c>
      <c r="B3228" s="142" t="s">
        <v>14505</v>
      </c>
      <c r="C3228" s="142" t="s">
        <v>15847</v>
      </c>
      <c r="D3228" s="142" t="s">
        <v>15848</v>
      </c>
      <c r="E3228" s="142" t="s">
        <v>15849</v>
      </c>
      <c r="F3228" s="142" t="s">
        <v>5720</v>
      </c>
      <c r="G3228" s="142" t="s">
        <v>5719</v>
      </c>
      <c r="H3228" s="142" t="s">
        <v>19078</v>
      </c>
      <c r="I3228" s="142">
        <v>1</v>
      </c>
      <c r="J3228" s="142">
        <v>0</v>
      </c>
      <c r="K3228" s="142">
        <v>0</v>
      </c>
      <c r="L3228" s="142">
        <v>0</v>
      </c>
      <c r="M3228" s="142">
        <v>1</v>
      </c>
    </row>
    <row r="3229" spans="1:13" x14ac:dyDescent="0.45">
      <c r="A3229" s="142" t="s">
        <v>13042</v>
      </c>
      <c r="B3229" s="142" t="s">
        <v>15489</v>
      </c>
      <c r="C3229" s="142" t="s">
        <v>15847</v>
      </c>
      <c r="D3229" s="142" t="s">
        <v>15848</v>
      </c>
      <c r="E3229" s="142" t="s">
        <v>15849</v>
      </c>
      <c r="F3229" s="142" t="s">
        <v>5720</v>
      </c>
      <c r="G3229" s="142" t="s">
        <v>5719</v>
      </c>
      <c r="H3229" s="142" t="s">
        <v>19079</v>
      </c>
      <c r="I3229" s="142">
        <v>18</v>
      </c>
      <c r="J3229" s="142">
        <v>18</v>
      </c>
      <c r="K3229" s="142">
        <v>0</v>
      </c>
      <c r="L3229" s="142">
        <v>0</v>
      </c>
      <c r="M3229" s="142">
        <v>0</v>
      </c>
    </row>
    <row r="3230" spans="1:13" x14ac:dyDescent="0.45">
      <c r="A3230" s="142" t="s">
        <v>13699</v>
      </c>
      <c r="B3230" s="142" t="s">
        <v>14789</v>
      </c>
      <c r="C3230" s="142" t="s">
        <v>15860</v>
      </c>
      <c r="D3230" s="142" t="s">
        <v>15861</v>
      </c>
      <c r="E3230" s="142" t="s">
        <v>15849</v>
      </c>
      <c r="F3230" s="142" t="s">
        <v>5720</v>
      </c>
      <c r="G3230" s="142" t="s">
        <v>5719</v>
      </c>
      <c r="H3230" s="142" t="s">
        <v>19080</v>
      </c>
      <c r="I3230" s="142">
        <v>10</v>
      </c>
      <c r="J3230" s="142">
        <v>10</v>
      </c>
      <c r="K3230" s="142">
        <v>0</v>
      </c>
      <c r="L3230" s="142">
        <v>0</v>
      </c>
      <c r="M3230" s="142">
        <v>0</v>
      </c>
    </row>
    <row r="3231" spans="1:13" x14ac:dyDescent="0.45">
      <c r="A3231" s="142" t="s">
        <v>13079</v>
      </c>
      <c r="B3231" s="142" t="s">
        <v>15431</v>
      </c>
      <c r="C3231" s="142" t="s">
        <v>15847</v>
      </c>
      <c r="D3231" s="142" t="s">
        <v>15848</v>
      </c>
      <c r="E3231" s="142" t="s">
        <v>15849</v>
      </c>
      <c r="F3231" s="142" t="s">
        <v>5720</v>
      </c>
      <c r="G3231" s="142" t="s">
        <v>5719</v>
      </c>
      <c r="H3231" s="142" t="s">
        <v>19081</v>
      </c>
      <c r="I3231" s="142">
        <v>304</v>
      </c>
      <c r="J3231" s="142">
        <v>255</v>
      </c>
      <c r="K3231" s="142">
        <v>0</v>
      </c>
      <c r="L3231" s="142">
        <v>0</v>
      </c>
      <c r="M3231" s="142">
        <v>49</v>
      </c>
    </row>
    <row r="3232" spans="1:13" x14ac:dyDescent="0.45">
      <c r="A3232" s="142" t="s">
        <v>13222</v>
      </c>
      <c r="B3232" s="142" t="s">
        <v>14449</v>
      </c>
      <c r="C3232" s="142" t="s">
        <v>15860</v>
      </c>
      <c r="D3232" s="142" t="s">
        <v>15861</v>
      </c>
      <c r="E3232" s="142" t="s">
        <v>15849</v>
      </c>
      <c r="F3232" s="142" t="s">
        <v>5720</v>
      </c>
      <c r="G3232" s="142" t="s">
        <v>5719</v>
      </c>
      <c r="H3232" s="142" t="s">
        <v>19082</v>
      </c>
      <c r="I3232" s="142">
        <v>10</v>
      </c>
      <c r="J3232" s="142">
        <v>0</v>
      </c>
      <c r="K3232" s="142">
        <v>0</v>
      </c>
      <c r="L3232" s="142">
        <v>10</v>
      </c>
      <c r="M3232" s="142">
        <v>0</v>
      </c>
    </row>
    <row r="3233" spans="1:13" x14ac:dyDescent="0.45">
      <c r="A3233" s="142" t="s">
        <v>13021</v>
      </c>
      <c r="B3233" s="142" t="s">
        <v>15501</v>
      </c>
      <c r="C3233" s="142" t="s">
        <v>15847</v>
      </c>
      <c r="D3233" s="142" t="s">
        <v>15848</v>
      </c>
      <c r="E3233" s="142" t="s">
        <v>15849</v>
      </c>
      <c r="F3233" s="142" t="s">
        <v>4574</v>
      </c>
      <c r="G3233" s="142" t="s">
        <v>4573</v>
      </c>
      <c r="H3233" s="142" t="s">
        <v>19083</v>
      </c>
      <c r="I3233" s="142">
        <v>10</v>
      </c>
      <c r="J3233" s="142">
        <v>0</v>
      </c>
      <c r="K3233" s="142">
        <v>0</v>
      </c>
      <c r="L3233" s="142">
        <v>6</v>
      </c>
      <c r="M3233" s="142">
        <v>4</v>
      </c>
    </row>
    <row r="3234" spans="1:13" x14ac:dyDescent="0.45">
      <c r="A3234" s="142" t="s">
        <v>13023</v>
      </c>
      <c r="B3234" s="142" t="s">
        <v>15571</v>
      </c>
      <c r="C3234" s="142" t="s">
        <v>15847</v>
      </c>
      <c r="D3234" s="142" t="s">
        <v>15848</v>
      </c>
      <c r="E3234" s="142" t="s">
        <v>15849</v>
      </c>
      <c r="F3234" s="142" t="s">
        <v>4574</v>
      </c>
      <c r="G3234" s="142" t="s">
        <v>4573</v>
      </c>
      <c r="H3234" s="142" t="s">
        <v>19084</v>
      </c>
      <c r="I3234" s="142">
        <v>74</v>
      </c>
      <c r="J3234" s="142">
        <v>0</v>
      </c>
      <c r="K3234" s="142">
        <v>0</v>
      </c>
      <c r="L3234" s="142">
        <v>74</v>
      </c>
      <c r="M3234" s="142">
        <v>0</v>
      </c>
    </row>
    <row r="3235" spans="1:13" x14ac:dyDescent="0.45">
      <c r="A3235" s="142" t="s">
        <v>13082</v>
      </c>
      <c r="B3235" s="142" t="s">
        <v>14478</v>
      </c>
      <c r="C3235" s="142" t="s">
        <v>15860</v>
      </c>
      <c r="D3235" s="142" t="s">
        <v>15861</v>
      </c>
      <c r="E3235" s="142" t="s">
        <v>15849</v>
      </c>
      <c r="F3235" s="142" t="s">
        <v>4574</v>
      </c>
      <c r="G3235" s="142" t="s">
        <v>4573</v>
      </c>
      <c r="H3235" s="142" t="s">
        <v>19085</v>
      </c>
      <c r="I3235" s="142">
        <v>28</v>
      </c>
      <c r="J3235" s="142">
        <v>0</v>
      </c>
      <c r="K3235" s="142">
        <v>0</v>
      </c>
      <c r="L3235" s="142">
        <v>28</v>
      </c>
      <c r="M3235" s="142">
        <v>0</v>
      </c>
    </row>
    <row r="3236" spans="1:13" x14ac:dyDescent="0.45">
      <c r="A3236" s="142" t="s">
        <v>13184</v>
      </c>
      <c r="B3236" s="142" t="s">
        <v>15392</v>
      </c>
      <c r="C3236" s="142" t="s">
        <v>15847</v>
      </c>
      <c r="D3236" s="142" t="s">
        <v>15848</v>
      </c>
      <c r="E3236" s="142" t="s">
        <v>15849</v>
      </c>
      <c r="F3236" s="142" t="s">
        <v>4574</v>
      </c>
      <c r="G3236" s="142" t="s">
        <v>4573</v>
      </c>
      <c r="H3236" s="142" t="s">
        <v>19086</v>
      </c>
      <c r="I3236" s="142">
        <v>14</v>
      </c>
      <c r="J3236" s="142">
        <v>14</v>
      </c>
      <c r="K3236" s="142">
        <v>0</v>
      </c>
      <c r="L3236" s="142">
        <v>0</v>
      </c>
      <c r="M3236" s="142">
        <v>0</v>
      </c>
    </row>
    <row r="3237" spans="1:13" x14ac:dyDescent="0.45">
      <c r="A3237" s="142" t="s">
        <v>13235</v>
      </c>
      <c r="B3237" s="142" t="s">
        <v>14573</v>
      </c>
      <c r="C3237" s="142" t="s">
        <v>15847</v>
      </c>
      <c r="D3237" s="142" t="s">
        <v>15848</v>
      </c>
      <c r="E3237" s="142" t="s">
        <v>15849</v>
      </c>
      <c r="F3237" s="142" t="s">
        <v>4574</v>
      </c>
      <c r="G3237" s="142" t="s">
        <v>4573</v>
      </c>
      <c r="H3237" s="142" t="s">
        <v>19087</v>
      </c>
      <c r="I3237" s="142">
        <v>242</v>
      </c>
      <c r="J3237" s="142">
        <v>219</v>
      </c>
      <c r="K3237" s="142">
        <v>0</v>
      </c>
      <c r="L3237" s="142">
        <v>3</v>
      </c>
      <c r="M3237" s="142">
        <v>20</v>
      </c>
    </row>
    <row r="3238" spans="1:13" x14ac:dyDescent="0.45">
      <c r="A3238" s="142" t="s">
        <v>13237</v>
      </c>
      <c r="B3238" s="142" t="s">
        <v>14643</v>
      </c>
      <c r="C3238" s="142" t="s">
        <v>15847</v>
      </c>
      <c r="D3238" s="142" t="s">
        <v>15848</v>
      </c>
      <c r="E3238" s="142" t="s">
        <v>15849</v>
      </c>
      <c r="F3238" s="142" t="s">
        <v>4574</v>
      </c>
      <c r="G3238" s="142" t="s">
        <v>4573</v>
      </c>
      <c r="H3238" s="142" t="s">
        <v>19088</v>
      </c>
      <c r="I3238" s="142">
        <v>1</v>
      </c>
      <c r="J3238" s="142">
        <v>0</v>
      </c>
      <c r="K3238" s="142">
        <v>0</v>
      </c>
      <c r="L3238" s="142">
        <v>0</v>
      </c>
      <c r="M3238" s="142">
        <v>1</v>
      </c>
    </row>
    <row r="3239" spans="1:13" x14ac:dyDescent="0.45">
      <c r="A3239" s="142" t="s">
        <v>13074</v>
      </c>
      <c r="B3239" s="142" t="s">
        <v>15405</v>
      </c>
      <c r="C3239" s="142" t="s">
        <v>15847</v>
      </c>
      <c r="D3239" s="142" t="s">
        <v>15848</v>
      </c>
      <c r="E3239" s="142" t="s">
        <v>15849</v>
      </c>
      <c r="F3239" s="142" t="s">
        <v>4574</v>
      </c>
      <c r="G3239" s="142" t="s">
        <v>4573</v>
      </c>
      <c r="H3239" s="142" t="s">
        <v>19089</v>
      </c>
      <c r="I3239" s="142">
        <v>45</v>
      </c>
      <c r="J3239" s="142">
        <v>43</v>
      </c>
      <c r="K3239" s="142">
        <v>0</v>
      </c>
      <c r="L3239" s="142">
        <v>0</v>
      </c>
      <c r="M3239" s="142">
        <v>2</v>
      </c>
    </row>
    <row r="3240" spans="1:13" x14ac:dyDescent="0.45">
      <c r="A3240" s="142" t="s">
        <v>13049</v>
      </c>
      <c r="B3240" s="142" t="s">
        <v>14534</v>
      </c>
      <c r="C3240" s="142" t="s">
        <v>15860</v>
      </c>
      <c r="D3240" s="142" t="s">
        <v>15861</v>
      </c>
      <c r="E3240" s="142" t="s">
        <v>15849</v>
      </c>
      <c r="F3240" s="142" t="s">
        <v>4574</v>
      </c>
      <c r="G3240" s="142" t="s">
        <v>4573</v>
      </c>
      <c r="H3240" s="142" t="s">
        <v>19090</v>
      </c>
      <c r="I3240" s="142">
        <v>4</v>
      </c>
      <c r="J3240" s="142">
        <v>0</v>
      </c>
      <c r="K3240" s="142">
        <v>0</v>
      </c>
      <c r="L3240" s="142">
        <v>4</v>
      </c>
      <c r="M3240" s="142">
        <v>0</v>
      </c>
    </row>
    <row r="3241" spans="1:13" x14ac:dyDescent="0.45">
      <c r="A3241" s="142" t="s">
        <v>13475</v>
      </c>
      <c r="B3241" s="142" t="s">
        <v>14430</v>
      </c>
      <c r="C3241" s="142" t="s">
        <v>15847</v>
      </c>
      <c r="D3241" s="142" t="s">
        <v>15848</v>
      </c>
      <c r="E3241" s="142" t="s">
        <v>15849</v>
      </c>
      <c r="F3241" s="142" t="s">
        <v>4574</v>
      </c>
      <c r="G3241" s="142" t="s">
        <v>4573</v>
      </c>
      <c r="H3241" s="142" t="s">
        <v>19091</v>
      </c>
      <c r="I3241" s="142">
        <v>4</v>
      </c>
      <c r="J3241" s="142">
        <v>3</v>
      </c>
      <c r="K3241" s="142">
        <v>0</v>
      </c>
      <c r="L3241" s="142">
        <v>0</v>
      </c>
      <c r="M3241" s="142">
        <v>1</v>
      </c>
    </row>
    <row r="3242" spans="1:13" x14ac:dyDescent="0.45">
      <c r="A3242" s="142" t="s">
        <v>13027</v>
      </c>
      <c r="B3242" s="142" t="s">
        <v>14562</v>
      </c>
      <c r="C3242" s="142" t="s">
        <v>15847</v>
      </c>
      <c r="D3242" s="142" t="s">
        <v>15848</v>
      </c>
      <c r="E3242" s="142" t="s">
        <v>15849</v>
      </c>
      <c r="F3242" s="142" t="s">
        <v>4574</v>
      </c>
      <c r="G3242" s="142" t="s">
        <v>4573</v>
      </c>
      <c r="H3242" s="142" t="s">
        <v>19092</v>
      </c>
      <c r="I3242" s="142">
        <v>7</v>
      </c>
      <c r="J3242" s="142">
        <v>0</v>
      </c>
      <c r="K3242" s="142">
        <v>0</v>
      </c>
      <c r="L3242" s="142">
        <v>7</v>
      </c>
      <c r="M3242" s="142">
        <v>0</v>
      </c>
    </row>
    <row r="3243" spans="1:13" x14ac:dyDescent="0.45">
      <c r="A3243" s="142" t="s">
        <v>13028</v>
      </c>
      <c r="B3243" s="142" t="s">
        <v>14462</v>
      </c>
      <c r="C3243" s="142" t="s">
        <v>15847</v>
      </c>
      <c r="D3243" s="142" t="s">
        <v>15848</v>
      </c>
      <c r="E3243" s="142" t="s">
        <v>15849</v>
      </c>
      <c r="F3243" s="142" t="s">
        <v>4574</v>
      </c>
      <c r="G3243" s="142" t="s">
        <v>4573</v>
      </c>
      <c r="H3243" s="142" t="s">
        <v>19093</v>
      </c>
      <c r="I3243" s="142">
        <v>32</v>
      </c>
      <c r="J3243" s="142">
        <v>0</v>
      </c>
      <c r="K3243" s="142">
        <v>0</v>
      </c>
      <c r="L3243" s="142">
        <v>0</v>
      </c>
      <c r="M3243" s="142">
        <v>32</v>
      </c>
    </row>
    <row r="3244" spans="1:13" x14ac:dyDescent="0.45">
      <c r="A3244" s="142" t="s">
        <v>13160</v>
      </c>
      <c r="B3244" s="142" t="s">
        <v>14525</v>
      </c>
      <c r="C3244" s="142" t="s">
        <v>15847</v>
      </c>
      <c r="D3244" s="142" t="s">
        <v>15848</v>
      </c>
      <c r="E3244" s="142" t="s">
        <v>15849</v>
      </c>
      <c r="F3244" s="142" t="s">
        <v>4574</v>
      </c>
      <c r="G3244" s="142" t="s">
        <v>4573</v>
      </c>
      <c r="H3244" s="142" t="s">
        <v>19094</v>
      </c>
      <c r="I3244" s="142">
        <v>6</v>
      </c>
      <c r="J3244" s="142">
        <v>0</v>
      </c>
      <c r="K3244" s="142">
        <v>0</v>
      </c>
      <c r="L3244" s="142">
        <v>6</v>
      </c>
      <c r="M3244" s="142">
        <v>0</v>
      </c>
    </row>
    <row r="3245" spans="1:13" x14ac:dyDescent="0.45">
      <c r="A3245" s="142" t="s">
        <v>13003</v>
      </c>
      <c r="B3245" s="142" t="s">
        <v>15245</v>
      </c>
      <c r="C3245" s="142" t="s">
        <v>15847</v>
      </c>
      <c r="D3245" s="142" t="s">
        <v>15848</v>
      </c>
      <c r="E3245" s="142" t="s">
        <v>15849</v>
      </c>
      <c r="F3245" s="142" t="s">
        <v>4574</v>
      </c>
      <c r="G3245" s="142" t="s">
        <v>4573</v>
      </c>
      <c r="H3245" s="142" t="s">
        <v>19095</v>
      </c>
      <c r="I3245" s="142">
        <v>52</v>
      </c>
      <c r="J3245" s="142">
        <v>0</v>
      </c>
      <c r="K3245" s="142">
        <v>0</v>
      </c>
      <c r="L3245" s="142">
        <v>52</v>
      </c>
      <c r="M3245" s="142">
        <v>0</v>
      </c>
    </row>
    <row r="3246" spans="1:13" x14ac:dyDescent="0.45">
      <c r="A3246" s="142" t="s">
        <v>13178</v>
      </c>
      <c r="B3246" s="142" t="s">
        <v>14683</v>
      </c>
      <c r="C3246" s="142" t="s">
        <v>15847</v>
      </c>
      <c r="D3246" s="142" t="s">
        <v>15848</v>
      </c>
      <c r="E3246" s="142" t="s">
        <v>15849</v>
      </c>
      <c r="F3246" s="142" t="s">
        <v>4574</v>
      </c>
      <c r="G3246" s="142" t="s">
        <v>4573</v>
      </c>
      <c r="H3246" s="142" t="s">
        <v>19096</v>
      </c>
      <c r="I3246" s="142">
        <v>53</v>
      </c>
      <c r="J3246" s="142">
        <v>53</v>
      </c>
      <c r="K3246" s="142">
        <v>0</v>
      </c>
      <c r="L3246" s="142">
        <v>0</v>
      </c>
      <c r="M3246" s="142">
        <v>0</v>
      </c>
    </row>
    <row r="3247" spans="1:13" x14ac:dyDescent="0.45">
      <c r="A3247" s="142" t="s">
        <v>13076</v>
      </c>
      <c r="B3247" s="142" t="s">
        <v>14636</v>
      </c>
      <c r="C3247" s="142" t="s">
        <v>15847</v>
      </c>
      <c r="D3247" s="142" t="s">
        <v>15848</v>
      </c>
      <c r="E3247" s="142" t="s">
        <v>15849</v>
      </c>
      <c r="F3247" s="142" t="s">
        <v>4574</v>
      </c>
      <c r="G3247" s="142" t="s">
        <v>4573</v>
      </c>
      <c r="H3247" s="142" t="s">
        <v>19097</v>
      </c>
      <c r="I3247" s="142">
        <v>61</v>
      </c>
      <c r="J3247" s="142">
        <v>15</v>
      </c>
      <c r="K3247" s="142">
        <v>0</v>
      </c>
      <c r="L3247" s="142">
        <v>0</v>
      </c>
      <c r="M3247" s="142">
        <v>46</v>
      </c>
    </row>
    <row r="3248" spans="1:13" x14ac:dyDescent="0.45">
      <c r="A3248" s="142" t="s">
        <v>13331</v>
      </c>
      <c r="B3248" s="142" t="s">
        <v>14682</v>
      </c>
      <c r="C3248" s="142" t="s">
        <v>15860</v>
      </c>
      <c r="D3248" s="142" t="s">
        <v>15861</v>
      </c>
      <c r="E3248" s="142" t="s">
        <v>15849</v>
      </c>
      <c r="F3248" s="142" t="s">
        <v>4574</v>
      </c>
      <c r="G3248" s="142" t="s">
        <v>4573</v>
      </c>
      <c r="H3248" s="142" t="s">
        <v>19098</v>
      </c>
      <c r="I3248" s="142">
        <v>36</v>
      </c>
      <c r="J3248" s="142">
        <v>36</v>
      </c>
      <c r="K3248" s="142">
        <v>0</v>
      </c>
      <c r="L3248" s="142">
        <v>0</v>
      </c>
      <c r="M3248" s="142">
        <v>0</v>
      </c>
    </row>
    <row r="3249" spans="1:13" x14ac:dyDescent="0.45">
      <c r="A3249" s="142" t="s">
        <v>13190</v>
      </c>
      <c r="B3249" s="142" t="s">
        <v>14617</v>
      </c>
      <c r="C3249" s="142" t="s">
        <v>15847</v>
      </c>
      <c r="D3249" s="142" t="s">
        <v>15848</v>
      </c>
      <c r="E3249" s="142" t="s">
        <v>15849</v>
      </c>
      <c r="F3249" s="142" t="s">
        <v>4574</v>
      </c>
      <c r="G3249" s="142" t="s">
        <v>4573</v>
      </c>
      <c r="H3249" s="142" t="s">
        <v>19099</v>
      </c>
      <c r="I3249" s="142">
        <v>14</v>
      </c>
      <c r="J3249" s="142">
        <v>0</v>
      </c>
      <c r="K3249" s="142">
        <v>0</v>
      </c>
      <c r="L3249" s="142">
        <v>0</v>
      </c>
      <c r="M3249" s="142">
        <v>14</v>
      </c>
    </row>
    <row r="3250" spans="1:13" x14ac:dyDescent="0.45">
      <c r="A3250" s="142" t="s">
        <v>13005</v>
      </c>
      <c r="B3250" s="142" t="s">
        <v>15475</v>
      </c>
      <c r="C3250" s="142" t="s">
        <v>15847</v>
      </c>
      <c r="D3250" s="142" t="s">
        <v>15848</v>
      </c>
      <c r="E3250" s="142" t="s">
        <v>15849</v>
      </c>
      <c r="F3250" s="142" t="s">
        <v>4574</v>
      </c>
      <c r="G3250" s="142" t="s">
        <v>4573</v>
      </c>
      <c r="H3250" s="142" t="s">
        <v>19100</v>
      </c>
      <c r="I3250" s="142">
        <v>1</v>
      </c>
      <c r="J3250" s="142">
        <v>0</v>
      </c>
      <c r="K3250" s="142">
        <v>0</v>
      </c>
      <c r="L3250" s="142">
        <v>0</v>
      </c>
      <c r="M3250" s="142">
        <v>1</v>
      </c>
    </row>
    <row r="3251" spans="1:13" x14ac:dyDescent="0.45">
      <c r="A3251" s="142" t="s">
        <v>13191</v>
      </c>
      <c r="B3251" s="142" t="s">
        <v>15467</v>
      </c>
      <c r="C3251" s="142" t="s">
        <v>15847</v>
      </c>
      <c r="D3251" s="142" t="s">
        <v>15848</v>
      </c>
      <c r="E3251" s="142" t="s">
        <v>15849</v>
      </c>
      <c r="F3251" s="142" t="s">
        <v>4574</v>
      </c>
      <c r="G3251" s="142" t="s">
        <v>4573</v>
      </c>
      <c r="H3251" s="142" t="s">
        <v>19101</v>
      </c>
      <c r="I3251" s="142">
        <v>33</v>
      </c>
      <c r="J3251" s="142">
        <v>17</v>
      </c>
      <c r="K3251" s="142">
        <v>0</v>
      </c>
      <c r="L3251" s="142">
        <v>0</v>
      </c>
      <c r="M3251" s="142">
        <v>16</v>
      </c>
    </row>
    <row r="3252" spans="1:13" x14ac:dyDescent="0.45">
      <c r="A3252" s="142" t="s">
        <v>13031</v>
      </c>
      <c r="B3252" s="142" t="s">
        <v>14620</v>
      </c>
      <c r="C3252" s="142" t="s">
        <v>15860</v>
      </c>
      <c r="D3252" s="142" t="s">
        <v>15861</v>
      </c>
      <c r="E3252" s="142" t="s">
        <v>15849</v>
      </c>
      <c r="F3252" s="142" t="s">
        <v>4574</v>
      </c>
      <c r="G3252" s="142" t="s">
        <v>4573</v>
      </c>
      <c r="H3252" s="142" t="s">
        <v>19102</v>
      </c>
      <c r="I3252" s="142">
        <v>10</v>
      </c>
      <c r="J3252" s="142">
        <v>0</v>
      </c>
      <c r="K3252" s="142">
        <v>0</v>
      </c>
      <c r="L3252" s="142">
        <v>10</v>
      </c>
      <c r="M3252" s="142">
        <v>0</v>
      </c>
    </row>
    <row r="3253" spans="1:13" x14ac:dyDescent="0.45">
      <c r="A3253" s="142" t="s">
        <v>13394</v>
      </c>
      <c r="B3253" s="142" t="s">
        <v>15569</v>
      </c>
      <c r="C3253" s="142" t="s">
        <v>15847</v>
      </c>
      <c r="D3253" s="142" t="s">
        <v>15848</v>
      </c>
      <c r="E3253" s="142" t="s">
        <v>15849</v>
      </c>
      <c r="F3253" s="142" t="s">
        <v>4574</v>
      </c>
      <c r="G3253" s="142" t="s">
        <v>4573</v>
      </c>
      <c r="H3253" s="142" t="s">
        <v>19103</v>
      </c>
      <c r="I3253" s="142">
        <v>92</v>
      </c>
      <c r="J3253" s="142">
        <v>35</v>
      </c>
      <c r="K3253" s="142">
        <v>0</v>
      </c>
      <c r="L3253" s="142">
        <v>57</v>
      </c>
      <c r="M3253" s="142">
        <v>0</v>
      </c>
    </row>
    <row r="3254" spans="1:13" x14ac:dyDescent="0.45">
      <c r="A3254" s="142" t="s">
        <v>13009</v>
      </c>
      <c r="B3254" s="142" t="s">
        <v>15256</v>
      </c>
      <c r="C3254" s="142" t="s">
        <v>15847</v>
      </c>
      <c r="D3254" s="142" t="s">
        <v>15848</v>
      </c>
      <c r="E3254" s="142" t="s">
        <v>15849</v>
      </c>
      <c r="F3254" s="142" t="s">
        <v>4574</v>
      </c>
      <c r="G3254" s="142" t="s">
        <v>4573</v>
      </c>
      <c r="H3254" s="142" t="s">
        <v>19104</v>
      </c>
      <c r="I3254" s="142">
        <v>12</v>
      </c>
      <c r="J3254" s="142">
        <v>12</v>
      </c>
      <c r="K3254" s="142">
        <v>0</v>
      </c>
      <c r="L3254" s="142">
        <v>0</v>
      </c>
      <c r="M3254" s="142">
        <v>0</v>
      </c>
    </row>
    <row r="3255" spans="1:13" x14ac:dyDescent="0.45">
      <c r="A3255" s="142" t="s">
        <v>13058</v>
      </c>
      <c r="B3255" s="142" t="s">
        <v>14584</v>
      </c>
      <c r="C3255" s="142" t="s">
        <v>15847</v>
      </c>
      <c r="D3255" s="142" t="s">
        <v>15848</v>
      </c>
      <c r="E3255" s="142" t="s">
        <v>15849</v>
      </c>
      <c r="F3255" s="142" t="s">
        <v>4574</v>
      </c>
      <c r="G3255" s="142" t="s">
        <v>4573</v>
      </c>
      <c r="H3255" s="142" t="s">
        <v>19105</v>
      </c>
      <c r="I3255" s="142">
        <v>2</v>
      </c>
      <c r="J3255" s="142">
        <v>2</v>
      </c>
      <c r="K3255" s="142">
        <v>0</v>
      </c>
      <c r="L3255" s="142">
        <v>0</v>
      </c>
      <c r="M3255" s="142">
        <v>0</v>
      </c>
    </row>
    <row r="3256" spans="1:13" x14ac:dyDescent="0.45">
      <c r="A3256" s="142" t="s">
        <v>13012</v>
      </c>
      <c r="B3256" s="142" t="s">
        <v>15337</v>
      </c>
      <c r="C3256" s="142" t="s">
        <v>15847</v>
      </c>
      <c r="D3256" s="142" t="s">
        <v>15848</v>
      </c>
      <c r="E3256" s="142" t="s">
        <v>15849</v>
      </c>
      <c r="F3256" s="142" t="s">
        <v>4574</v>
      </c>
      <c r="G3256" s="142" t="s">
        <v>4573</v>
      </c>
      <c r="H3256" s="142" t="s">
        <v>19106</v>
      </c>
      <c r="I3256" s="142">
        <v>277</v>
      </c>
      <c r="J3256" s="142">
        <v>226</v>
      </c>
      <c r="K3256" s="142">
        <v>0</v>
      </c>
      <c r="L3256" s="142">
        <v>0</v>
      </c>
      <c r="M3256" s="142">
        <v>51</v>
      </c>
    </row>
    <row r="3257" spans="1:13" x14ac:dyDescent="0.45">
      <c r="A3257" s="142" t="s">
        <v>13014</v>
      </c>
      <c r="B3257" s="142" t="s">
        <v>14505</v>
      </c>
      <c r="C3257" s="142" t="s">
        <v>15847</v>
      </c>
      <c r="D3257" s="142" t="s">
        <v>15848</v>
      </c>
      <c r="E3257" s="142" t="s">
        <v>15849</v>
      </c>
      <c r="F3257" s="142" t="s">
        <v>4574</v>
      </c>
      <c r="G3257" s="142" t="s">
        <v>4573</v>
      </c>
      <c r="H3257" s="142" t="s">
        <v>19107</v>
      </c>
      <c r="I3257" s="142">
        <v>290</v>
      </c>
      <c r="J3257" s="142">
        <v>239</v>
      </c>
      <c r="K3257" s="142">
        <v>0</v>
      </c>
      <c r="L3257" s="142">
        <v>10</v>
      </c>
      <c r="M3257" s="142">
        <v>41</v>
      </c>
    </row>
    <row r="3258" spans="1:13" x14ac:dyDescent="0.45">
      <c r="A3258" s="142" t="s">
        <v>13544</v>
      </c>
      <c r="B3258" s="142" t="s">
        <v>15450</v>
      </c>
      <c r="C3258" s="142" t="s">
        <v>15847</v>
      </c>
      <c r="D3258" s="142" t="s">
        <v>15848</v>
      </c>
      <c r="E3258" s="142" t="s">
        <v>15849</v>
      </c>
      <c r="F3258" s="142" t="s">
        <v>4574</v>
      </c>
      <c r="G3258" s="142" t="s">
        <v>4573</v>
      </c>
      <c r="H3258" s="142" t="s">
        <v>19108</v>
      </c>
      <c r="I3258" s="142">
        <v>3975</v>
      </c>
      <c r="J3258" s="142">
        <v>3253</v>
      </c>
      <c r="K3258" s="142">
        <v>0</v>
      </c>
      <c r="L3258" s="142">
        <v>569</v>
      </c>
      <c r="M3258" s="142">
        <v>153</v>
      </c>
    </row>
    <row r="3259" spans="1:13" x14ac:dyDescent="0.45">
      <c r="A3259" s="142" t="s">
        <v>13016</v>
      </c>
      <c r="B3259" s="142" t="s">
        <v>14535</v>
      </c>
      <c r="C3259" s="142" t="s">
        <v>15860</v>
      </c>
      <c r="D3259" s="142" t="s">
        <v>15861</v>
      </c>
      <c r="E3259" s="142" t="s">
        <v>15849</v>
      </c>
      <c r="F3259" s="142" t="s">
        <v>4574</v>
      </c>
      <c r="G3259" s="142" t="s">
        <v>4573</v>
      </c>
      <c r="H3259" s="142" t="s">
        <v>19109</v>
      </c>
      <c r="I3259" s="142">
        <v>7</v>
      </c>
      <c r="J3259" s="142">
        <v>0</v>
      </c>
      <c r="K3259" s="142">
        <v>0</v>
      </c>
      <c r="L3259" s="142">
        <v>7</v>
      </c>
      <c r="M3259" s="142">
        <v>0</v>
      </c>
    </row>
    <row r="3260" spans="1:13" x14ac:dyDescent="0.45">
      <c r="A3260" s="142" t="s">
        <v>13700</v>
      </c>
      <c r="B3260" s="142" t="s">
        <v>15351</v>
      </c>
      <c r="C3260" s="142" t="s">
        <v>15860</v>
      </c>
      <c r="D3260" s="142" t="s">
        <v>15861</v>
      </c>
      <c r="E3260" s="142" t="s">
        <v>15849</v>
      </c>
      <c r="F3260" s="142" t="s">
        <v>4574</v>
      </c>
      <c r="G3260" s="142" t="s">
        <v>4573</v>
      </c>
      <c r="H3260" s="142" t="s">
        <v>19110</v>
      </c>
      <c r="I3260" s="142">
        <v>422</v>
      </c>
      <c r="J3260" s="142">
        <v>400</v>
      </c>
      <c r="K3260" s="142">
        <v>0</v>
      </c>
      <c r="L3260" s="142">
        <v>22</v>
      </c>
      <c r="M3260" s="142">
        <v>0</v>
      </c>
    </row>
    <row r="3261" spans="1:13" x14ac:dyDescent="0.45">
      <c r="A3261" s="142" t="s">
        <v>13072</v>
      </c>
      <c r="B3261" s="142" t="s">
        <v>15530</v>
      </c>
      <c r="C3261" s="142" t="s">
        <v>15847</v>
      </c>
      <c r="D3261" s="142" t="s">
        <v>15848</v>
      </c>
      <c r="E3261" s="142" t="s">
        <v>15849</v>
      </c>
      <c r="F3261" s="142" t="s">
        <v>6002</v>
      </c>
      <c r="G3261" s="142" t="s">
        <v>6001</v>
      </c>
      <c r="H3261" s="142" t="s">
        <v>19111</v>
      </c>
      <c r="I3261" s="142">
        <v>26</v>
      </c>
      <c r="J3261" s="142">
        <v>26</v>
      </c>
      <c r="K3261" s="142">
        <v>0</v>
      </c>
      <c r="L3261" s="142">
        <v>0</v>
      </c>
      <c r="M3261" s="142">
        <v>0</v>
      </c>
    </row>
    <row r="3262" spans="1:13" x14ac:dyDescent="0.45">
      <c r="A3262" s="142" t="s">
        <v>13113</v>
      </c>
      <c r="B3262" s="142" t="s">
        <v>14503</v>
      </c>
      <c r="C3262" s="142" t="s">
        <v>15860</v>
      </c>
      <c r="D3262" s="142" t="s">
        <v>15861</v>
      </c>
      <c r="E3262" s="142" t="s">
        <v>15849</v>
      </c>
      <c r="F3262" s="142" t="s">
        <v>6002</v>
      </c>
      <c r="G3262" s="142" t="s">
        <v>6001</v>
      </c>
      <c r="H3262" s="142" t="s">
        <v>19112</v>
      </c>
      <c r="I3262" s="142">
        <v>2</v>
      </c>
      <c r="J3262" s="142">
        <v>2</v>
      </c>
      <c r="K3262" s="142">
        <v>0</v>
      </c>
      <c r="L3262" s="142">
        <v>0</v>
      </c>
      <c r="M3262" s="142">
        <v>0</v>
      </c>
    </row>
    <row r="3263" spans="1:13" x14ac:dyDescent="0.45">
      <c r="A3263" s="142" t="s">
        <v>13147</v>
      </c>
      <c r="B3263" s="142" t="s">
        <v>14529</v>
      </c>
      <c r="C3263" s="142" t="s">
        <v>15860</v>
      </c>
      <c r="D3263" s="142" t="s">
        <v>15861</v>
      </c>
      <c r="E3263" s="142" t="s">
        <v>15849</v>
      </c>
      <c r="F3263" s="142" t="s">
        <v>6002</v>
      </c>
      <c r="G3263" s="142" t="s">
        <v>6001</v>
      </c>
      <c r="H3263" s="142" t="s">
        <v>19113</v>
      </c>
      <c r="I3263" s="142">
        <v>15</v>
      </c>
      <c r="J3263" s="142">
        <v>15</v>
      </c>
      <c r="K3263" s="142">
        <v>0</v>
      </c>
      <c r="L3263" s="142">
        <v>0</v>
      </c>
      <c r="M3263" s="142">
        <v>0</v>
      </c>
    </row>
    <row r="3264" spans="1:13" x14ac:dyDescent="0.45">
      <c r="A3264" s="142" t="s">
        <v>13288</v>
      </c>
      <c r="B3264" s="142" t="s">
        <v>14444</v>
      </c>
      <c r="C3264" s="142" t="s">
        <v>15860</v>
      </c>
      <c r="D3264" s="142" t="s">
        <v>15861</v>
      </c>
      <c r="E3264" s="142" t="s">
        <v>15849</v>
      </c>
      <c r="F3264" s="142" t="s">
        <v>6002</v>
      </c>
      <c r="G3264" s="142" t="s">
        <v>6001</v>
      </c>
      <c r="H3264" s="142" t="s">
        <v>19114</v>
      </c>
      <c r="I3264" s="142">
        <v>5</v>
      </c>
      <c r="J3264" s="142">
        <v>5</v>
      </c>
      <c r="K3264" s="142">
        <v>0</v>
      </c>
      <c r="L3264" s="142">
        <v>0</v>
      </c>
      <c r="M3264" s="142">
        <v>0</v>
      </c>
    </row>
    <row r="3265" spans="1:13" x14ac:dyDescent="0.45">
      <c r="A3265" s="142" t="s">
        <v>13273</v>
      </c>
      <c r="B3265" s="142" t="s">
        <v>14465</v>
      </c>
      <c r="C3265" s="142" t="s">
        <v>15860</v>
      </c>
      <c r="D3265" s="142" t="s">
        <v>15861</v>
      </c>
      <c r="E3265" s="142" t="s">
        <v>15849</v>
      </c>
      <c r="F3265" s="142" t="s">
        <v>6002</v>
      </c>
      <c r="G3265" s="142" t="s">
        <v>6001</v>
      </c>
      <c r="H3265" s="142" t="s">
        <v>19115</v>
      </c>
      <c r="I3265" s="142">
        <v>7</v>
      </c>
      <c r="J3265" s="142">
        <v>0</v>
      </c>
      <c r="K3265" s="142">
        <v>0</v>
      </c>
      <c r="L3265" s="142">
        <v>7</v>
      </c>
      <c r="M3265" s="142">
        <v>0</v>
      </c>
    </row>
    <row r="3266" spans="1:13" x14ac:dyDescent="0.45">
      <c r="A3266" s="142" t="s">
        <v>13280</v>
      </c>
      <c r="B3266" s="142" t="s">
        <v>15460</v>
      </c>
      <c r="C3266" s="142" t="s">
        <v>15847</v>
      </c>
      <c r="D3266" s="142" t="s">
        <v>15848</v>
      </c>
      <c r="E3266" s="142" t="s">
        <v>15849</v>
      </c>
      <c r="F3266" s="142" t="s">
        <v>6002</v>
      </c>
      <c r="G3266" s="142" t="s">
        <v>6001</v>
      </c>
      <c r="H3266" s="142" t="s">
        <v>19116</v>
      </c>
      <c r="I3266" s="142">
        <v>45</v>
      </c>
      <c r="J3266" s="142">
        <v>22</v>
      </c>
      <c r="K3266" s="142">
        <v>0</v>
      </c>
      <c r="L3266" s="142">
        <v>6</v>
      </c>
      <c r="M3266" s="142">
        <v>17</v>
      </c>
    </row>
    <row r="3267" spans="1:13" x14ac:dyDescent="0.45">
      <c r="A3267" s="142" t="s">
        <v>13085</v>
      </c>
      <c r="B3267" s="142" t="s">
        <v>14460</v>
      </c>
      <c r="C3267" s="142" t="s">
        <v>15860</v>
      </c>
      <c r="D3267" s="142" t="s">
        <v>15861</v>
      </c>
      <c r="E3267" s="142" t="s">
        <v>15849</v>
      </c>
      <c r="F3267" s="142" t="s">
        <v>6002</v>
      </c>
      <c r="G3267" s="142" t="s">
        <v>6001</v>
      </c>
      <c r="H3267" s="142" t="s">
        <v>19117</v>
      </c>
      <c r="I3267" s="142">
        <v>14</v>
      </c>
      <c r="J3267" s="142">
        <v>0</v>
      </c>
      <c r="K3267" s="142">
        <v>0</v>
      </c>
      <c r="L3267" s="142">
        <v>14</v>
      </c>
      <c r="M3267" s="142">
        <v>0</v>
      </c>
    </row>
    <row r="3268" spans="1:13" x14ac:dyDescent="0.45">
      <c r="A3268" s="142" t="s">
        <v>13099</v>
      </c>
      <c r="B3268" s="142" t="s">
        <v>14547</v>
      </c>
      <c r="C3268" s="142" t="s">
        <v>15860</v>
      </c>
      <c r="D3268" s="142" t="s">
        <v>15861</v>
      </c>
      <c r="E3268" s="142" t="s">
        <v>15849</v>
      </c>
      <c r="F3268" s="142" t="s">
        <v>6002</v>
      </c>
      <c r="G3268" s="142" t="s">
        <v>6001</v>
      </c>
      <c r="H3268" s="142" t="s">
        <v>19118</v>
      </c>
      <c r="I3268" s="142">
        <v>1</v>
      </c>
      <c r="J3268" s="142">
        <v>0</v>
      </c>
      <c r="K3268" s="142">
        <v>0</v>
      </c>
      <c r="L3268" s="142">
        <v>1</v>
      </c>
      <c r="M3268" s="142">
        <v>0</v>
      </c>
    </row>
    <row r="3269" spans="1:13" x14ac:dyDescent="0.45">
      <c r="A3269" s="142" t="s">
        <v>13499</v>
      </c>
      <c r="B3269" s="142" t="s">
        <v>15479</v>
      </c>
      <c r="C3269" s="142" t="s">
        <v>15847</v>
      </c>
      <c r="D3269" s="142" t="s">
        <v>15848</v>
      </c>
      <c r="E3269" s="142" t="s">
        <v>15849</v>
      </c>
      <c r="F3269" s="142" t="s">
        <v>6002</v>
      </c>
      <c r="G3269" s="142" t="s">
        <v>6001</v>
      </c>
      <c r="H3269" s="142" t="s">
        <v>19119</v>
      </c>
      <c r="I3269" s="142">
        <v>181</v>
      </c>
      <c r="J3269" s="142">
        <v>166</v>
      </c>
      <c r="K3269" s="142">
        <v>0</v>
      </c>
      <c r="L3269" s="142">
        <v>0</v>
      </c>
      <c r="M3269" s="142">
        <v>15</v>
      </c>
    </row>
    <row r="3270" spans="1:13" x14ac:dyDescent="0.45">
      <c r="A3270" s="142" t="s">
        <v>13027</v>
      </c>
      <c r="B3270" s="142" t="s">
        <v>14562</v>
      </c>
      <c r="C3270" s="142" t="s">
        <v>15847</v>
      </c>
      <c r="D3270" s="142" t="s">
        <v>15848</v>
      </c>
      <c r="E3270" s="142" t="s">
        <v>15849</v>
      </c>
      <c r="F3270" s="142" t="s">
        <v>6002</v>
      </c>
      <c r="G3270" s="142" t="s">
        <v>6001</v>
      </c>
      <c r="H3270" s="142" t="s">
        <v>19120</v>
      </c>
      <c r="I3270" s="142">
        <v>5</v>
      </c>
      <c r="J3270" s="142">
        <v>0</v>
      </c>
      <c r="K3270" s="142">
        <v>0</v>
      </c>
      <c r="L3270" s="142">
        <v>5</v>
      </c>
      <c r="M3270" s="142">
        <v>0</v>
      </c>
    </row>
    <row r="3271" spans="1:13" x14ac:dyDescent="0.45">
      <c r="A3271" s="142" t="s">
        <v>13148</v>
      </c>
      <c r="B3271" s="142" t="s">
        <v>15314</v>
      </c>
      <c r="C3271" s="142" t="s">
        <v>15847</v>
      </c>
      <c r="D3271" s="142" t="s">
        <v>15848</v>
      </c>
      <c r="E3271" s="142" t="s">
        <v>15849</v>
      </c>
      <c r="F3271" s="142" t="s">
        <v>6002</v>
      </c>
      <c r="G3271" s="142" t="s">
        <v>6001</v>
      </c>
      <c r="H3271" s="142" t="s">
        <v>19121</v>
      </c>
      <c r="I3271" s="142">
        <v>232</v>
      </c>
      <c r="J3271" s="142">
        <v>176</v>
      </c>
      <c r="K3271" s="142">
        <v>0</v>
      </c>
      <c r="L3271" s="142">
        <v>5</v>
      </c>
      <c r="M3271" s="142">
        <v>51</v>
      </c>
    </row>
    <row r="3272" spans="1:13" x14ac:dyDescent="0.45">
      <c r="A3272" s="142" t="s">
        <v>13028</v>
      </c>
      <c r="B3272" s="142" t="s">
        <v>14462</v>
      </c>
      <c r="C3272" s="142" t="s">
        <v>15847</v>
      </c>
      <c r="D3272" s="142" t="s">
        <v>15848</v>
      </c>
      <c r="E3272" s="142" t="s">
        <v>15849</v>
      </c>
      <c r="F3272" s="142" t="s">
        <v>6002</v>
      </c>
      <c r="G3272" s="142" t="s">
        <v>6001</v>
      </c>
      <c r="H3272" s="142" t="s">
        <v>19122</v>
      </c>
      <c r="I3272" s="142">
        <v>73</v>
      </c>
      <c r="J3272" s="142">
        <v>0</v>
      </c>
      <c r="K3272" s="142">
        <v>0</v>
      </c>
      <c r="L3272" s="142">
        <v>0</v>
      </c>
      <c r="M3272" s="142">
        <v>73</v>
      </c>
    </row>
    <row r="3273" spans="1:13" x14ac:dyDescent="0.45">
      <c r="A3273" s="142" t="s">
        <v>13066</v>
      </c>
      <c r="B3273" s="142" t="s">
        <v>14459</v>
      </c>
      <c r="C3273" s="142" t="s">
        <v>15847</v>
      </c>
      <c r="D3273" s="142" t="s">
        <v>15848</v>
      </c>
      <c r="E3273" s="142" t="s">
        <v>15849</v>
      </c>
      <c r="F3273" s="142" t="s">
        <v>6002</v>
      </c>
      <c r="G3273" s="142" t="s">
        <v>6001</v>
      </c>
      <c r="H3273" s="142" t="s">
        <v>19123</v>
      </c>
      <c r="I3273" s="142">
        <v>4</v>
      </c>
      <c r="J3273" s="142">
        <v>0</v>
      </c>
      <c r="K3273" s="142">
        <v>0</v>
      </c>
      <c r="L3273" s="142">
        <v>4</v>
      </c>
      <c r="M3273" s="142">
        <v>0</v>
      </c>
    </row>
    <row r="3274" spans="1:13" x14ac:dyDescent="0.45">
      <c r="A3274" s="142" t="s">
        <v>13291</v>
      </c>
      <c r="B3274" s="142" t="s">
        <v>15495</v>
      </c>
      <c r="C3274" s="142" t="s">
        <v>15847</v>
      </c>
      <c r="D3274" s="142" t="s">
        <v>15848</v>
      </c>
      <c r="E3274" s="142" t="s">
        <v>15849</v>
      </c>
      <c r="F3274" s="142" t="s">
        <v>6002</v>
      </c>
      <c r="G3274" s="142" t="s">
        <v>6001</v>
      </c>
      <c r="H3274" s="142" t="s">
        <v>19124</v>
      </c>
      <c r="I3274" s="142">
        <v>180</v>
      </c>
      <c r="J3274" s="142">
        <v>134</v>
      </c>
      <c r="K3274" s="142">
        <v>0</v>
      </c>
      <c r="L3274" s="142">
        <v>0</v>
      </c>
      <c r="M3274" s="142">
        <v>46</v>
      </c>
    </row>
    <row r="3275" spans="1:13" x14ac:dyDescent="0.45">
      <c r="A3275" s="142" t="s">
        <v>13076</v>
      </c>
      <c r="B3275" s="142" t="s">
        <v>14636</v>
      </c>
      <c r="C3275" s="142" t="s">
        <v>15847</v>
      </c>
      <c r="D3275" s="142" t="s">
        <v>15848</v>
      </c>
      <c r="E3275" s="142" t="s">
        <v>15849</v>
      </c>
      <c r="F3275" s="142" t="s">
        <v>6002</v>
      </c>
      <c r="G3275" s="142" t="s">
        <v>6001</v>
      </c>
      <c r="H3275" s="142" t="s">
        <v>19125</v>
      </c>
      <c r="I3275" s="142">
        <v>39</v>
      </c>
      <c r="J3275" s="142">
        <v>26</v>
      </c>
      <c r="K3275" s="142">
        <v>0</v>
      </c>
      <c r="L3275" s="142">
        <v>0</v>
      </c>
      <c r="M3275" s="142">
        <v>13</v>
      </c>
    </row>
    <row r="3276" spans="1:13" x14ac:dyDescent="0.45">
      <c r="A3276" s="142" t="s">
        <v>13274</v>
      </c>
      <c r="B3276" s="142" t="s">
        <v>14608</v>
      </c>
      <c r="C3276" s="142" t="s">
        <v>15860</v>
      </c>
      <c r="D3276" s="142" t="s">
        <v>15861</v>
      </c>
      <c r="E3276" s="142" t="s">
        <v>15849</v>
      </c>
      <c r="F3276" s="142" t="s">
        <v>6002</v>
      </c>
      <c r="G3276" s="142" t="s">
        <v>6001</v>
      </c>
      <c r="H3276" s="142" t="s">
        <v>19126</v>
      </c>
      <c r="I3276" s="142">
        <v>1</v>
      </c>
      <c r="J3276" s="142">
        <v>0</v>
      </c>
      <c r="K3276" s="142">
        <v>0</v>
      </c>
      <c r="L3276" s="142">
        <v>1</v>
      </c>
      <c r="M3276" s="142">
        <v>0</v>
      </c>
    </row>
    <row r="3277" spans="1:13" x14ac:dyDescent="0.45">
      <c r="A3277" s="142" t="s">
        <v>13284</v>
      </c>
      <c r="B3277" s="142" t="s">
        <v>15364</v>
      </c>
      <c r="C3277" s="142" t="s">
        <v>15847</v>
      </c>
      <c r="D3277" s="142" t="s">
        <v>15848</v>
      </c>
      <c r="E3277" s="142" t="s">
        <v>15849</v>
      </c>
      <c r="F3277" s="142" t="s">
        <v>6002</v>
      </c>
      <c r="G3277" s="142" t="s">
        <v>6001</v>
      </c>
      <c r="H3277" s="142" t="s">
        <v>19127</v>
      </c>
      <c r="I3277" s="142">
        <v>143</v>
      </c>
      <c r="J3277" s="142">
        <v>98</v>
      </c>
      <c r="K3277" s="142">
        <v>0</v>
      </c>
      <c r="L3277" s="142">
        <v>23</v>
      </c>
      <c r="M3277" s="142">
        <v>22</v>
      </c>
    </row>
    <row r="3278" spans="1:13" x14ac:dyDescent="0.45">
      <c r="A3278" s="142" t="s">
        <v>13679</v>
      </c>
      <c r="B3278" s="142" t="s">
        <v>14504</v>
      </c>
      <c r="C3278" s="142" t="s">
        <v>15860</v>
      </c>
      <c r="D3278" s="142" t="s">
        <v>15861</v>
      </c>
      <c r="E3278" s="142" t="s">
        <v>15849</v>
      </c>
      <c r="F3278" s="142" t="s">
        <v>6002</v>
      </c>
      <c r="G3278" s="142" t="s">
        <v>6001</v>
      </c>
      <c r="H3278" s="142" t="s">
        <v>19128</v>
      </c>
      <c r="I3278" s="142">
        <v>12</v>
      </c>
      <c r="J3278" s="142">
        <v>0</v>
      </c>
      <c r="K3278" s="142">
        <v>0</v>
      </c>
      <c r="L3278" s="142">
        <v>12</v>
      </c>
      <c r="M3278" s="142">
        <v>0</v>
      </c>
    </row>
    <row r="3279" spans="1:13" x14ac:dyDescent="0.45">
      <c r="A3279" s="142" t="s">
        <v>13033</v>
      </c>
      <c r="B3279" s="142" t="s">
        <v>15276</v>
      </c>
      <c r="C3279" s="142" t="s">
        <v>15847</v>
      </c>
      <c r="D3279" s="142" t="s">
        <v>15848</v>
      </c>
      <c r="E3279" s="142" t="s">
        <v>15849</v>
      </c>
      <c r="F3279" s="142" t="s">
        <v>6002</v>
      </c>
      <c r="G3279" s="142" t="s">
        <v>6001</v>
      </c>
      <c r="H3279" s="142" t="s">
        <v>19129</v>
      </c>
      <c r="I3279" s="142">
        <v>233</v>
      </c>
      <c r="J3279" s="142">
        <v>212</v>
      </c>
      <c r="K3279" s="142">
        <v>0</v>
      </c>
      <c r="L3279" s="142">
        <v>6</v>
      </c>
      <c r="M3279" s="142">
        <v>15</v>
      </c>
    </row>
    <row r="3280" spans="1:13" x14ac:dyDescent="0.45">
      <c r="A3280" s="142" t="s">
        <v>13034</v>
      </c>
      <c r="B3280" s="142" t="s">
        <v>15562</v>
      </c>
      <c r="C3280" s="142" t="s">
        <v>15847</v>
      </c>
      <c r="D3280" s="142" t="s">
        <v>15848</v>
      </c>
      <c r="E3280" s="142" t="s">
        <v>15849</v>
      </c>
      <c r="F3280" s="142" t="s">
        <v>6002</v>
      </c>
      <c r="G3280" s="142" t="s">
        <v>6001</v>
      </c>
      <c r="H3280" s="142" t="s">
        <v>19130</v>
      </c>
      <c r="I3280" s="142">
        <v>18</v>
      </c>
      <c r="J3280" s="142">
        <v>0</v>
      </c>
      <c r="K3280" s="142">
        <v>0</v>
      </c>
      <c r="L3280" s="142">
        <v>18</v>
      </c>
      <c r="M3280" s="142">
        <v>0</v>
      </c>
    </row>
    <row r="3281" spans="1:13" x14ac:dyDescent="0.45">
      <c r="A3281" s="142" t="s">
        <v>13036</v>
      </c>
      <c r="B3281" s="142" t="s">
        <v>15567</v>
      </c>
      <c r="C3281" s="142" t="s">
        <v>15847</v>
      </c>
      <c r="D3281" s="142" t="s">
        <v>15848</v>
      </c>
      <c r="E3281" s="142" t="s">
        <v>15849</v>
      </c>
      <c r="F3281" s="142" t="s">
        <v>6002</v>
      </c>
      <c r="G3281" s="142" t="s">
        <v>6001</v>
      </c>
      <c r="H3281" s="142" t="s">
        <v>19131</v>
      </c>
      <c r="I3281" s="142">
        <v>2131</v>
      </c>
      <c r="J3281" s="142">
        <v>1691</v>
      </c>
      <c r="K3281" s="142">
        <v>0</v>
      </c>
      <c r="L3281" s="142">
        <v>403</v>
      </c>
      <c r="M3281" s="142">
        <v>37</v>
      </c>
    </row>
    <row r="3282" spans="1:13" x14ac:dyDescent="0.45">
      <c r="A3282" s="142" t="s">
        <v>13277</v>
      </c>
      <c r="B3282" s="142" t="s">
        <v>14454</v>
      </c>
      <c r="C3282" s="142" t="s">
        <v>15847</v>
      </c>
      <c r="D3282" s="142" t="s">
        <v>15848</v>
      </c>
      <c r="E3282" s="142" t="s">
        <v>15849</v>
      </c>
      <c r="F3282" s="142" t="s">
        <v>6002</v>
      </c>
      <c r="G3282" s="142" t="s">
        <v>6001</v>
      </c>
      <c r="H3282" s="142" t="s">
        <v>19132</v>
      </c>
      <c r="I3282" s="142">
        <v>23</v>
      </c>
      <c r="J3282" s="142">
        <v>20</v>
      </c>
      <c r="K3282" s="142">
        <v>0</v>
      </c>
      <c r="L3282" s="142">
        <v>3</v>
      </c>
      <c r="M3282" s="142">
        <v>0</v>
      </c>
    </row>
    <row r="3283" spans="1:13" x14ac:dyDescent="0.45">
      <c r="A3283" s="142" t="s">
        <v>13038</v>
      </c>
      <c r="B3283" s="142" t="s">
        <v>14646</v>
      </c>
      <c r="C3283" s="142" t="s">
        <v>15847</v>
      </c>
      <c r="D3283" s="142" t="s">
        <v>15848</v>
      </c>
      <c r="E3283" s="142" t="s">
        <v>15849</v>
      </c>
      <c r="F3283" s="142" t="s">
        <v>6002</v>
      </c>
      <c r="G3283" s="142" t="s">
        <v>6001</v>
      </c>
      <c r="H3283" s="142" t="s">
        <v>19133</v>
      </c>
      <c r="I3283" s="142">
        <v>6</v>
      </c>
      <c r="J3283" s="142">
        <v>0</v>
      </c>
      <c r="K3283" s="142">
        <v>0</v>
      </c>
      <c r="L3283" s="142">
        <v>0</v>
      </c>
      <c r="M3283" s="142">
        <v>6</v>
      </c>
    </row>
    <row r="3284" spans="1:13" x14ac:dyDescent="0.45">
      <c r="A3284" s="142" t="s">
        <v>13039</v>
      </c>
      <c r="B3284" s="142" t="s">
        <v>14647</v>
      </c>
      <c r="C3284" s="142" t="s">
        <v>15847</v>
      </c>
      <c r="D3284" s="142" t="s">
        <v>15848</v>
      </c>
      <c r="E3284" s="142" t="s">
        <v>15849</v>
      </c>
      <c r="F3284" s="142" t="s">
        <v>6002</v>
      </c>
      <c r="G3284" s="142" t="s">
        <v>6001</v>
      </c>
      <c r="H3284" s="142" t="s">
        <v>19134</v>
      </c>
      <c r="I3284" s="142">
        <v>92</v>
      </c>
      <c r="J3284" s="142">
        <v>92</v>
      </c>
      <c r="K3284" s="142">
        <v>0</v>
      </c>
      <c r="L3284" s="142">
        <v>0</v>
      </c>
      <c r="M3284" s="142">
        <v>0</v>
      </c>
    </row>
    <row r="3285" spans="1:13" x14ac:dyDescent="0.45">
      <c r="A3285" s="142" t="s">
        <v>13041</v>
      </c>
      <c r="B3285" s="142" t="s">
        <v>14441</v>
      </c>
      <c r="C3285" s="142" t="s">
        <v>15847</v>
      </c>
      <c r="D3285" s="142" t="s">
        <v>15848</v>
      </c>
      <c r="E3285" s="142" t="s">
        <v>15849</v>
      </c>
      <c r="F3285" s="142" t="s">
        <v>6002</v>
      </c>
      <c r="G3285" s="142" t="s">
        <v>6001</v>
      </c>
      <c r="H3285" s="142" t="s">
        <v>19135</v>
      </c>
      <c r="I3285" s="142">
        <v>42</v>
      </c>
      <c r="J3285" s="142">
        <v>0</v>
      </c>
      <c r="K3285" s="142">
        <v>0</v>
      </c>
      <c r="L3285" s="142">
        <v>0</v>
      </c>
      <c r="M3285" s="142">
        <v>42</v>
      </c>
    </row>
    <row r="3286" spans="1:13" x14ac:dyDescent="0.45">
      <c r="A3286" s="142" t="s">
        <v>13014</v>
      </c>
      <c r="B3286" s="142" t="s">
        <v>14505</v>
      </c>
      <c r="C3286" s="142" t="s">
        <v>15847</v>
      </c>
      <c r="D3286" s="142" t="s">
        <v>15848</v>
      </c>
      <c r="E3286" s="142" t="s">
        <v>15849</v>
      </c>
      <c r="F3286" s="142" t="s">
        <v>6002</v>
      </c>
      <c r="G3286" s="142" t="s">
        <v>6001</v>
      </c>
      <c r="H3286" s="142" t="s">
        <v>19136</v>
      </c>
      <c r="I3286" s="142">
        <v>2</v>
      </c>
      <c r="J3286" s="142">
        <v>0</v>
      </c>
      <c r="K3286" s="142">
        <v>0</v>
      </c>
      <c r="L3286" s="142">
        <v>0</v>
      </c>
      <c r="M3286" s="142">
        <v>2</v>
      </c>
    </row>
    <row r="3287" spans="1:13" x14ac:dyDescent="0.45">
      <c r="A3287" s="142" t="s">
        <v>13156</v>
      </c>
      <c r="B3287" s="142" t="s">
        <v>14493</v>
      </c>
      <c r="C3287" s="142" t="s">
        <v>15860</v>
      </c>
      <c r="D3287" s="142" t="s">
        <v>15861</v>
      </c>
      <c r="E3287" s="142" t="s">
        <v>15849</v>
      </c>
      <c r="F3287" s="142" t="s">
        <v>6002</v>
      </c>
      <c r="G3287" s="142" t="s">
        <v>6001</v>
      </c>
      <c r="H3287" s="142" t="s">
        <v>19137</v>
      </c>
      <c r="I3287" s="142">
        <v>14</v>
      </c>
      <c r="J3287" s="142">
        <v>14</v>
      </c>
      <c r="K3287" s="142">
        <v>0</v>
      </c>
      <c r="L3287" s="142">
        <v>0</v>
      </c>
      <c r="M3287" s="142">
        <v>0</v>
      </c>
    </row>
    <row r="3288" spans="1:13" x14ac:dyDescent="0.45">
      <c r="A3288" s="142" t="s">
        <v>13286</v>
      </c>
      <c r="B3288" s="142" t="s">
        <v>15342</v>
      </c>
      <c r="C3288" s="142" t="s">
        <v>15847</v>
      </c>
      <c r="D3288" s="142" t="s">
        <v>15848</v>
      </c>
      <c r="E3288" s="142" t="s">
        <v>15849</v>
      </c>
      <c r="F3288" s="142" t="s">
        <v>6002</v>
      </c>
      <c r="G3288" s="142" t="s">
        <v>6001</v>
      </c>
      <c r="H3288" s="142" t="s">
        <v>19138</v>
      </c>
      <c r="I3288" s="142">
        <v>143</v>
      </c>
      <c r="J3288" s="142">
        <v>25</v>
      </c>
      <c r="K3288" s="142">
        <v>0</v>
      </c>
      <c r="L3288" s="142">
        <v>114</v>
      </c>
      <c r="M3288" s="142">
        <v>4</v>
      </c>
    </row>
    <row r="3289" spans="1:13" x14ac:dyDescent="0.45">
      <c r="A3289" s="142" t="s">
        <v>13072</v>
      </c>
      <c r="B3289" s="142" t="s">
        <v>15530</v>
      </c>
      <c r="C3289" s="142" t="s">
        <v>15847</v>
      </c>
      <c r="D3289" s="142" t="s">
        <v>15848</v>
      </c>
      <c r="E3289" s="142" t="s">
        <v>15849</v>
      </c>
      <c r="F3289" s="142" t="s">
        <v>11145</v>
      </c>
      <c r="G3289" s="142" t="s">
        <v>11144</v>
      </c>
      <c r="H3289" s="142" t="s">
        <v>19139</v>
      </c>
      <c r="I3289" s="142">
        <v>100</v>
      </c>
      <c r="J3289" s="142">
        <v>78</v>
      </c>
      <c r="K3289" s="142">
        <v>0</v>
      </c>
      <c r="L3289" s="142">
        <v>22</v>
      </c>
      <c r="M3289" s="142">
        <v>0</v>
      </c>
    </row>
    <row r="3290" spans="1:13" x14ac:dyDescent="0.45">
      <c r="A3290" s="142" t="s">
        <v>13702</v>
      </c>
      <c r="B3290" s="142" t="s">
        <v>14550</v>
      </c>
      <c r="C3290" s="142" t="s">
        <v>15860</v>
      </c>
      <c r="D3290" s="142" t="s">
        <v>15861</v>
      </c>
      <c r="E3290" s="142" t="s">
        <v>15849</v>
      </c>
      <c r="F3290" s="142" t="s">
        <v>11145</v>
      </c>
      <c r="G3290" s="142" t="s">
        <v>11144</v>
      </c>
      <c r="H3290" s="142" t="s">
        <v>19140</v>
      </c>
      <c r="I3290" s="142">
        <v>12</v>
      </c>
      <c r="J3290" s="142">
        <v>12</v>
      </c>
      <c r="K3290" s="142">
        <v>0</v>
      </c>
      <c r="L3290" s="142">
        <v>0</v>
      </c>
      <c r="M3290" s="142">
        <v>0</v>
      </c>
    </row>
    <row r="3291" spans="1:13" x14ac:dyDescent="0.45">
      <c r="A3291" s="142" t="s">
        <v>13023</v>
      </c>
      <c r="B3291" s="142" t="s">
        <v>15571</v>
      </c>
      <c r="C3291" s="142" t="s">
        <v>15847</v>
      </c>
      <c r="D3291" s="142" t="s">
        <v>15848</v>
      </c>
      <c r="E3291" s="142" t="s">
        <v>15849</v>
      </c>
      <c r="F3291" s="142" t="s">
        <v>11145</v>
      </c>
      <c r="G3291" s="142" t="s">
        <v>11144</v>
      </c>
      <c r="H3291" s="142" t="s">
        <v>19141</v>
      </c>
      <c r="I3291" s="142">
        <v>295</v>
      </c>
      <c r="J3291" s="142">
        <v>0</v>
      </c>
      <c r="K3291" s="142">
        <v>0</v>
      </c>
      <c r="L3291" s="142">
        <v>276</v>
      </c>
      <c r="M3291" s="142">
        <v>19</v>
      </c>
    </row>
    <row r="3292" spans="1:13" x14ac:dyDescent="0.45">
      <c r="A3292" s="142" t="s">
        <v>13547</v>
      </c>
      <c r="B3292" s="142" t="s">
        <v>14613</v>
      </c>
      <c r="C3292" s="142" t="s">
        <v>15847</v>
      </c>
      <c r="D3292" s="142" t="s">
        <v>15848</v>
      </c>
      <c r="E3292" s="142" t="s">
        <v>15849</v>
      </c>
      <c r="F3292" s="142" t="s">
        <v>11145</v>
      </c>
      <c r="G3292" s="142" t="s">
        <v>11144</v>
      </c>
      <c r="H3292" s="142" t="s">
        <v>19142</v>
      </c>
      <c r="I3292" s="142">
        <v>543</v>
      </c>
      <c r="J3292" s="142">
        <v>279</v>
      </c>
      <c r="K3292" s="142">
        <v>0</v>
      </c>
      <c r="L3292" s="142">
        <v>259</v>
      </c>
      <c r="M3292" s="142">
        <v>5</v>
      </c>
    </row>
    <row r="3293" spans="1:13" x14ac:dyDescent="0.45">
      <c r="A3293" s="142" t="s">
        <v>13065</v>
      </c>
      <c r="B3293" s="142" t="s">
        <v>14497</v>
      </c>
      <c r="C3293" s="142" t="s">
        <v>15847</v>
      </c>
      <c r="D3293" s="142" t="s">
        <v>15848</v>
      </c>
      <c r="E3293" s="142" t="s">
        <v>15849</v>
      </c>
      <c r="F3293" s="142" t="s">
        <v>11145</v>
      </c>
      <c r="G3293" s="142" t="s">
        <v>11144</v>
      </c>
      <c r="H3293" s="142" t="s">
        <v>19143</v>
      </c>
      <c r="I3293" s="142">
        <v>25</v>
      </c>
      <c r="J3293" s="142">
        <v>0</v>
      </c>
      <c r="K3293" s="142">
        <v>0</v>
      </c>
      <c r="L3293" s="142">
        <v>25</v>
      </c>
      <c r="M3293" s="142">
        <v>0</v>
      </c>
    </row>
    <row r="3294" spans="1:13" x14ac:dyDescent="0.45">
      <c r="A3294" s="142" t="s">
        <v>13549</v>
      </c>
      <c r="B3294" s="142" t="s">
        <v>14603</v>
      </c>
      <c r="C3294" s="142" t="s">
        <v>15847</v>
      </c>
      <c r="D3294" s="142" t="s">
        <v>15848</v>
      </c>
      <c r="E3294" s="142" t="s">
        <v>15849</v>
      </c>
      <c r="F3294" s="142" t="s">
        <v>11145</v>
      </c>
      <c r="G3294" s="142" t="s">
        <v>11144</v>
      </c>
      <c r="H3294" s="142" t="s">
        <v>19144</v>
      </c>
      <c r="I3294" s="142">
        <v>313</v>
      </c>
      <c r="J3294" s="142">
        <v>204</v>
      </c>
      <c r="K3294" s="142">
        <v>0</v>
      </c>
      <c r="L3294" s="142">
        <v>108</v>
      </c>
      <c r="M3294" s="142">
        <v>1</v>
      </c>
    </row>
    <row r="3295" spans="1:13" x14ac:dyDescent="0.45">
      <c r="A3295" s="142" t="s">
        <v>13551</v>
      </c>
      <c r="B3295" s="142" t="s">
        <v>14669</v>
      </c>
      <c r="C3295" s="142" t="s">
        <v>15847</v>
      </c>
      <c r="D3295" s="142" t="s">
        <v>15848</v>
      </c>
      <c r="E3295" s="142" t="s">
        <v>15849</v>
      </c>
      <c r="F3295" s="142" t="s">
        <v>11145</v>
      </c>
      <c r="G3295" s="142" t="s">
        <v>11144</v>
      </c>
      <c r="H3295" s="142" t="s">
        <v>19145</v>
      </c>
      <c r="I3295" s="142">
        <v>143</v>
      </c>
      <c r="J3295" s="142">
        <v>143</v>
      </c>
      <c r="K3295" s="142">
        <v>0</v>
      </c>
      <c r="L3295" s="142">
        <v>0</v>
      </c>
      <c r="M3295" s="142">
        <v>0</v>
      </c>
    </row>
    <row r="3296" spans="1:13" x14ac:dyDescent="0.45">
      <c r="A3296" s="142" t="s">
        <v>13027</v>
      </c>
      <c r="B3296" s="142" t="s">
        <v>14562</v>
      </c>
      <c r="C3296" s="142" t="s">
        <v>15847</v>
      </c>
      <c r="D3296" s="142" t="s">
        <v>15848</v>
      </c>
      <c r="E3296" s="142" t="s">
        <v>15849</v>
      </c>
      <c r="F3296" s="142" t="s">
        <v>11145</v>
      </c>
      <c r="G3296" s="142" t="s">
        <v>11144</v>
      </c>
      <c r="H3296" s="142" t="s">
        <v>19146</v>
      </c>
      <c r="I3296" s="142">
        <v>10</v>
      </c>
      <c r="J3296" s="142">
        <v>0</v>
      </c>
      <c r="K3296" s="142">
        <v>0</v>
      </c>
      <c r="L3296" s="142">
        <v>10</v>
      </c>
      <c r="M3296" s="142">
        <v>0</v>
      </c>
    </row>
    <row r="3297" spans="1:13" x14ac:dyDescent="0.45">
      <c r="A3297" s="142" t="s">
        <v>13002</v>
      </c>
      <c r="B3297" s="142" t="s">
        <v>15376</v>
      </c>
      <c r="C3297" s="142" t="s">
        <v>15847</v>
      </c>
      <c r="D3297" s="142" t="s">
        <v>15848</v>
      </c>
      <c r="E3297" s="142" t="s">
        <v>15849</v>
      </c>
      <c r="F3297" s="142" t="s">
        <v>11145</v>
      </c>
      <c r="G3297" s="142" t="s">
        <v>11144</v>
      </c>
      <c r="H3297" s="142" t="s">
        <v>19147</v>
      </c>
      <c r="I3297" s="142">
        <v>1962</v>
      </c>
      <c r="J3297" s="142">
        <v>1576</v>
      </c>
      <c r="K3297" s="142">
        <v>0</v>
      </c>
      <c r="L3297" s="142">
        <v>274</v>
      </c>
      <c r="M3297" s="142">
        <v>112</v>
      </c>
    </row>
    <row r="3298" spans="1:13" x14ac:dyDescent="0.45">
      <c r="A3298" s="142" t="s">
        <v>13003</v>
      </c>
      <c r="B3298" s="142" t="s">
        <v>15245</v>
      </c>
      <c r="C3298" s="142" t="s">
        <v>15847</v>
      </c>
      <c r="D3298" s="142" t="s">
        <v>15848</v>
      </c>
      <c r="E3298" s="142" t="s">
        <v>15849</v>
      </c>
      <c r="F3298" s="142" t="s">
        <v>11145</v>
      </c>
      <c r="G3298" s="142" t="s">
        <v>11144</v>
      </c>
      <c r="H3298" s="142" t="s">
        <v>19148</v>
      </c>
      <c r="I3298" s="142">
        <v>256</v>
      </c>
      <c r="J3298" s="142">
        <v>0</v>
      </c>
      <c r="K3298" s="142">
        <v>0</v>
      </c>
      <c r="L3298" s="142">
        <v>256</v>
      </c>
      <c r="M3298" s="142">
        <v>0</v>
      </c>
    </row>
    <row r="3299" spans="1:13" x14ac:dyDescent="0.45">
      <c r="A3299" s="142" t="s">
        <v>13066</v>
      </c>
      <c r="B3299" s="142" t="s">
        <v>14459</v>
      </c>
      <c r="C3299" s="142" t="s">
        <v>15847</v>
      </c>
      <c r="D3299" s="142" t="s">
        <v>15848</v>
      </c>
      <c r="E3299" s="142" t="s">
        <v>15849</v>
      </c>
      <c r="F3299" s="142" t="s">
        <v>11145</v>
      </c>
      <c r="G3299" s="142" t="s">
        <v>11144</v>
      </c>
      <c r="H3299" s="142" t="s">
        <v>19149</v>
      </c>
      <c r="I3299" s="142">
        <v>2</v>
      </c>
      <c r="J3299" s="142">
        <v>0</v>
      </c>
      <c r="K3299" s="142">
        <v>0</v>
      </c>
      <c r="L3299" s="142">
        <v>2</v>
      </c>
      <c r="M3299" s="142">
        <v>0</v>
      </c>
    </row>
    <row r="3300" spans="1:13" x14ac:dyDescent="0.45">
      <c r="A3300" s="142" t="s">
        <v>13557</v>
      </c>
      <c r="B3300" s="142" t="s">
        <v>14592</v>
      </c>
      <c r="C3300" s="142" t="s">
        <v>15847</v>
      </c>
      <c r="D3300" s="142" t="s">
        <v>15848</v>
      </c>
      <c r="E3300" s="142" t="s">
        <v>15849</v>
      </c>
      <c r="F3300" s="142" t="s">
        <v>11145</v>
      </c>
      <c r="G3300" s="142" t="s">
        <v>11144</v>
      </c>
      <c r="H3300" s="142" t="s">
        <v>19150</v>
      </c>
      <c r="I3300" s="142">
        <v>827</v>
      </c>
      <c r="J3300" s="142">
        <v>654</v>
      </c>
      <c r="K3300" s="142">
        <v>0</v>
      </c>
      <c r="L3300" s="142">
        <v>38</v>
      </c>
      <c r="M3300" s="142">
        <v>135</v>
      </c>
    </row>
    <row r="3301" spans="1:13" x14ac:dyDescent="0.45">
      <c r="A3301" s="142" t="s">
        <v>13703</v>
      </c>
      <c r="B3301" s="142" t="s">
        <v>14450</v>
      </c>
      <c r="C3301" s="142" t="s">
        <v>15860</v>
      </c>
      <c r="D3301" s="142" t="s">
        <v>15861</v>
      </c>
      <c r="E3301" s="142" t="s">
        <v>15849</v>
      </c>
      <c r="F3301" s="142" t="s">
        <v>11145</v>
      </c>
      <c r="G3301" s="142" t="s">
        <v>11144</v>
      </c>
      <c r="H3301" s="142" t="s">
        <v>19151</v>
      </c>
      <c r="I3301" s="142">
        <v>283</v>
      </c>
      <c r="J3301" s="142">
        <v>279</v>
      </c>
      <c r="K3301" s="142">
        <v>0</v>
      </c>
      <c r="L3301" s="142">
        <v>4</v>
      </c>
      <c r="M3301" s="142">
        <v>0</v>
      </c>
    </row>
    <row r="3302" spans="1:13" x14ac:dyDescent="0.45">
      <c r="A3302" s="142" t="s">
        <v>13033</v>
      </c>
      <c r="B3302" s="142" t="s">
        <v>15276</v>
      </c>
      <c r="C3302" s="142" t="s">
        <v>15847</v>
      </c>
      <c r="D3302" s="142" t="s">
        <v>15848</v>
      </c>
      <c r="E3302" s="142" t="s">
        <v>15849</v>
      </c>
      <c r="F3302" s="142" t="s">
        <v>11145</v>
      </c>
      <c r="G3302" s="142" t="s">
        <v>11144</v>
      </c>
      <c r="H3302" s="142" t="s">
        <v>19152</v>
      </c>
      <c r="I3302" s="142">
        <v>519</v>
      </c>
      <c r="J3302" s="142">
        <v>426</v>
      </c>
      <c r="K3302" s="142">
        <v>0</v>
      </c>
      <c r="L3302" s="142">
        <v>69</v>
      </c>
      <c r="M3302" s="142">
        <v>24</v>
      </c>
    </row>
    <row r="3303" spans="1:13" x14ac:dyDescent="0.45">
      <c r="A3303" s="142" t="s">
        <v>13034</v>
      </c>
      <c r="B3303" s="142" t="s">
        <v>15562</v>
      </c>
      <c r="C3303" s="142" t="s">
        <v>15847</v>
      </c>
      <c r="D3303" s="142" t="s">
        <v>15848</v>
      </c>
      <c r="E3303" s="142" t="s">
        <v>15849</v>
      </c>
      <c r="F3303" s="142" t="s">
        <v>11145</v>
      </c>
      <c r="G3303" s="142" t="s">
        <v>11144</v>
      </c>
      <c r="H3303" s="142" t="s">
        <v>19153</v>
      </c>
      <c r="I3303" s="142">
        <v>9</v>
      </c>
      <c r="J3303" s="142">
        <v>0</v>
      </c>
      <c r="K3303" s="142">
        <v>0</v>
      </c>
      <c r="L3303" s="142">
        <v>9</v>
      </c>
      <c r="M3303" s="142">
        <v>0</v>
      </c>
    </row>
    <row r="3304" spans="1:13" x14ac:dyDescent="0.45">
      <c r="A3304" s="142" t="s">
        <v>13560</v>
      </c>
      <c r="B3304" s="142" t="s">
        <v>14778</v>
      </c>
      <c r="C3304" s="142" t="s">
        <v>15847</v>
      </c>
      <c r="D3304" s="142" t="s">
        <v>15848</v>
      </c>
      <c r="E3304" s="142" t="s">
        <v>15849</v>
      </c>
      <c r="F3304" s="142" t="s">
        <v>11145</v>
      </c>
      <c r="G3304" s="142" t="s">
        <v>11144</v>
      </c>
      <c r="H3304" s="142" t="s">
        <v>19154</v>
      </c>
      <c r="I3304" s="142">
        <v>50</v>
      </c>
      <c r="J3304" s="142">
        <v>18</v>
      </c>
      <c r="K3304" s="142">
        <v>0</v>
      </c>
      <c r="L3304" s="142">
        <v>32</v>
      </c>
      <c r="M3304" s="142">
        <v>0</v>
      </c>
    </row>
    <row r="3305" spans="1:13" x14ac:dyDescent="0.45">
      <c r="A3305" s="142" t="s">
        <v>13037</v>
      </c>
      <c r="B3305" s="142" t="s">
        <v>14519</v>
      </c>
      <c r="C3305" s="142" t="s">
        <v>15847</v>
      </c>
      <c r="D3305" s="142" t="s">
        <v>15848</v>
      </c>
      <c r="E3305" s="142" t="s">
        <v>15849</v>
      </c>
      <c r="F3305" s="142" t="s">
        <v>11145</v>
      </c>
      <c r="G3305" s="142" t="s">
        <v>11144</v>
      </c>
      <c r="H3305" s="142" t="s">
        <v>19155</v>
      </c>
      <c r="I3305" s="142">
        <v>1</v>
      </c>
      <c r="J3305" s="142">
        <v>0</v>
      </c>
      <c r="K3305" s="142">
        <v>0</v>
      </c>
      <c r="L3305" s="142">
        <v>1</v>
      </c>
      <c r="M3305" s="142">
        <v>0</v>
      </c>
    </row>
    <row r="3306" spans="1:13" x14ac:dyDescent="0.45">
      <c r="A3306" s="142" t="s">
        <v>13009</v>
      </c>
      <c r="B3306" s="142" t="s">
        <v>15256</v>
      </c>
      <c r="C3306" s="142" t="s">
        <v>15847</v>
      </c>
      <c r="D3306" s="142" t="s">
        <v>15848</v>
      </c>
      <c r="E3306" s="142" t="s">
        <v>15849</v>
      </c>
      <c r="F3306" s="142" t="s">
        <v>11145</v>
      </c>
      <c r="G3306" s="142" t="s">
        <v>11144</v>
      </c>
      <c r="H3306" s="142" t="s">
        <v>19156</v>
      </c>
      <c r="I3306" s="142">
        <v>127</v>
      </c>
      <c r="J3306" s="142">
        <v>72</v>
      </c>
      <c r="K3306" s="142">
        <v>0</v>
      </c>
      <c r="L3306" s="142">
        <v>55</v>
      </c>
      <c r="M3306" s="142">
        <v>0</v>
      </c>
    </row>
    <row r="3307" spans="1:13" x14ac:dyDescent="0.45">
      <c r="A3307" s="142" t="s">
        <v>13107</v>
      </c>
      <c r="B3307" s="142" t="s">
        <v>14522</v>
      </c>
      <c r="C3307" s="142" t="s">
        <v>15860</v>
      </c>
      <c r="D3307" s="142" t="s">
        <v>15861</v>
      </c>
      <c r="E3307" s="142" t="s">
        <v>15849</v>
      </c>
      <c r="F3307" s="142" t="s">
        <v>11145</v>
      </c>
      <c r="G3307" s="142" t="s">
        <v>11144</v>
      </c>
      <c r="H3307" s="142" t="s">
        <v>19157</v>
      </c>
      <c r="I3307" s="142">
        <v>17</v>
      </c>
      <c r="J3307" s="142">
        <v>12</v>
      </c>
      <c r="K3307" s="142">
        <v>0</v>
      </c>
      <c r="L3307" s="142">
        <v>5</v>
      </c>
      <c r="M3307" s="142">
        <v>0</v>
      </c>
    </row>
    <row r="3308" spans="1:13" x14ac:dyDescent="0.45">
      <c r="A3308" s="142" t="s">
        <v>13042</v>
      </c>
      <c r="B3308" s="142" t="s">
        <v>15489</v>
      </c>
      <c r="C3308" s="142" t="s">
        <v>15847</v>
      </c>
      <c r="D3308" s="142" t="s">
        <v>15848</v>
      </c>
      <c r="E3308" s="142" t="s">
        <v>15849</v>
      </c>
      <c r="F3308" s="142" t="s">
        <v>11145</v>
      </c>
      <c r="G3308" s="142" t="s">
        <v>11144</v>
      </c>
      <c r="H3308" s="142" t="s">
        <v>19158</v>
      </c>
      <c r="I3308" s="142">
        <v>278</v>
      </c>
      <c r="J3308" s="142">
        <v>208</v>
      </c>
      <c r="K3308" s="142">
        <v>0</v>
      </c>
      <c r="L3308" s="142">
        <v>38</v>
      </c>
      <c r="M3308" s="142">
        <v>32</v>
      </c>
    </row>
    <row r="3309" spans="1:13" x14ac:dyDescent="0.45">
      <c r="A3309" s="142" t="s">
        <v>13096</v>
      </c>
      <c r="B3309" s="142" t="s">
        <v>15478</v>
      </c>
      <c r="C3309" s="142" t="s">
        <v>15847</v>
      </c>
      <c r="D3309" s="142" t="s">
        <v>15848</v>
      </c>
      <c r="E3309" s="142" t="s">
        <v>15849</v>
      </c>
      <c r="F3309" s="142" t="s">
        <v>11145</v>
      </c>
      <c r="G3309" s="142" t="s">
        <v>11144</v>
      </c>
      <c r="H3309" s="142" t="s">
        <v>19159</v>
      </c>
      <c r="I3309" s="142">
        <v>228</v>
      </c>
      <c r="J3309" s="142">
        <v>143</v>
      </c>
      <c r="K3309" s="142">
        <v>0</v>
      </c>
      <c r="L3309" s="142">
        <v>61</v>
      </c>
      <c r="M3309" s="142">
        <v>24</v>
      </c>
    </row>
    <row r="3310" spans="1:13" x14ac:dyDescent="0.45">
      <c r="A3310" s="142" t="s">
        <v>13704</v>
      </c>
      <c r="B3310" s="142" t="s">
        <v>15588</v>
      </c>
      <c r="C3310" s="142" t="s">
        <v>15860</v>
      </c>
      <c r="D3310" s="142" t="s">
        <v>15861</v>
      </c>
      <c r="E3310" s="142" t="s">
        <v>15849</v>
      </c>
      <c r="F3310" s="142" t="s">
        <v>11145</v>
      </c>
      <c r="G3310" s="142" t="s">
        <v>11144</v>
      </c>
      <c r="H3310" s="142" t="s">
        <v>19160</v>
      </c>
      <c r="I3310" s="142">
        <v>25</v>
      </c>
      <c r="J3310" s="142">
        <v>7</v>
      </c>
      <c r="K3310" s="142">
        <v>0</v>
      </c>
      <c r="L3310" s="142">
        <v>18</v>
      </c>
      <c r="M3310" s="142">
        <v>0</v>
      </c>
    </row>
    <row r="3311" spans="1:13" x14ac:dyDescent="0.45">
      <c r="A3311" s="142" t="s">
        <v>13156</v>
      </c>
      <c r="B3311" s="142" t="s">
        <v>14493</v>
      </c>
      <c r="C3311" s="142" t="s">
        <v>15860</v>
      </c>
      <c r="D3311" s="142" t="s">
        <v>15861</v>
      </c>
      <c r="E3311" s="142" t="s">
        <v>15849</v>
      </c>
      <c r="F3311" s="142" t="s">
        <v>11145</v>
      </c>
      <c r="G3311" s="142" t="s">
        <v>11144</v>
      </c>
      <c r="H3311" s="142" t="s">
        <v>19161</v>
      </c>
      <c r="I3311" s="142">
        <v>6</v>
      </c>
      <c r="J3311" s="142">
        <v>0</v>
      </c>
      <c r="K3311" s="142">
        <v>0</v>
      </c>
      <c r="L3311" s="142">
        <v>6</v>
      </c>
      <c r="M3311" s="142">
        <v>0</v>
      </c>
    </row>
    <row r="3312" spans="1:13" x14ac:dyDescent="0.45">
      <c r="A3312" s="142" t="s">
        <v>13072</v>
      </c>
      <c r="B3312" s="142" t="s">
        <v>15530</v>
      </c>
      <c r="C3312" s="142" t="s">
        <v>15847</v>
      </c>
      <c r="D3312" s="142" t="s">
        <v>15848</v>
      </c>
      <c r="E3312" s="142" t="s">
        <v>15849</v>
      </c>
      <c r="F3312" s="142" t="s">
        <v>7419</v>
      </c>
      <c r="G3312" s="142" t="s">
        <v>7418</v>
      </c>
      <c r="H3312" s="142" t="s">
        <v>19162</v>
      </c>
      <c r="I3312" s="142">
        <v>306</v>
      </c>
      <c r="J3312" s="142">
        <v>218</v>
      </c>
      <c r="K3312" s="142">
        <v>0</v>
      </c>
      <c r="L3312" s="142">
        <v>87</v>
      </c>
      <c r="M3312" s="142">
        <v>1</v>
      </c>
    </row>
    <row r="3313" spans="1:13" x14ac:dyDescent="0.45">
      <c r="A3313" s="142" t="s">
        <v>13064</v>
      </c>
      <c r="B3313" s="142" t="s">
        <v>15428</v>
      </c>
      <c r="C3313" s="142" t="s">
        <v>15847</v>
      </c>
      <c r="D3313" s="142" t="s">
        <v>15848</v>
      </c>
      <c r="E3313" s="142" t="s">
        <v>15849</v>
      </c>
      <c r="F3313" s="142" t="s">
        <v>7419</v>
      </c>
      <c r="G3313" s="142" t="s">
        <v>7418</v>
      </c>
      <c r="H3313" s="142" t="s">
        <v>19163</v>
      </c>
      <c r="I3313" s="142">
        <v>11</v>
      </c>
      <c r="J3313" s="142">
        <v>0</v>
      </c>
      <c r="K3313" s="142">
        <v>0</v>
      </c>
      <c r="L3313" s="142">
        <v>0</v>
      </c>
      <c r="M3313" s="142">
        <v>11</v>
      </c>
    </row>
    <row r="3314" spans="1:13" x14ac:dyDescent="0.45">
      <c r="A3314" s="142" t="s">
        <v>13021</v>
      </c>
      <c r="B3314" s="142" t="s">
        <v>15501</v>
      </c>
      <c r="C3314" s="142" t="s">
        <v>15847</v>
      </c>
      <c r="D3314" s="142" t="s">
        <v>15848</v>
      </c>
      <c r="E3314" s="142" t="s">
        <v>15849</v>
      </c>
      <c r="F3314" s="142" t="s">
        <v>7419</v>
      </c>
      <c r="G3314" s="142" t="s">
        <v>7418</v>
      </c>
      <c r="H3314" s="142" t="s">
        <v>19164</v>
      </c>
      <c r="I3314" s="142">
        <v>21</v>
      </c>
      <c r="J3314" s="142">
        <v>0</v>
      </c>
      <c r="K3314" s="142">
        <v>0</v>
      </c>
      <c r="L3314" s="142">
        <v>15</v>
      </c>
      <c r="M3314" s="142">
        <v>6</v>
      </c>
    </row>
    <row r="3315" spans="1:13" x14ac:dyDescent="0.45">
      <c r="A3315" s="142" t="s">
        <v>13022</v>
      </c>
      <c r="B3315" s="142" t="s">
        <v>14634</v>
      </c>
      <c r="C3315" s="142" t="s">
        <v>15847</v>
      </c>
      <c r="D3315" s="142" t="s">
        <v>15848</v>
      </c>
      <c r="E3315" s="142" t="s">
        <v>15849</v>
      </c>
      <c r="F3315" s="142" t="s">
        <v>7419</v>
      </c>
      <c r="G3315" s="142" t="s">
        <v>7418</v>
      </c>
      <c r="H3315" s="142" t="s">
        <v>19165</v>
      </c>
      <c r="I3315" s="142">
        <v>204</v>
      </c>
      <c r="J3315" s="142">
        <v>101</v>
      </c>
      <c r="K3315" s="142">
        <v>0</v>
      </c>
      <c r="L3315" s="142">
        <v>52</v>
      </c>
      <c r="M3315" s="142">
        <v>51</v>
      </c>
    </row>
    <row r="3316" spans="1:13" x14ac:dyDescent="0.45">
      <c r="A3316" s="142" t="s">
        <v>13023</v>
      </c>
      <c r="B3316" s="142" t="s">
        <v>15571</v>
      </c>
      <c r="C3316" s="142" t="s">
        <v>15847</v>
      </c>
      <c r="D3316" s="142" t="s">
        <v>15848</v>
      </c>
      <c r="E3316" s="142" t="s">
        <v>15849</v>
      </c>
      <c r="F3316" s="142" t="s">
        <v>7419</v>
      </c>
      <c r="G3316" s="142" t="s">
        <v>7418</v>
      </c>
      <c r="H3316" s="142" t="s">
        <v>19166</v>
      </c>
      <c r="I3316" s="142">
        <v>29</v>
      </c>
      <c r="J3316" s="142">
        <v>0</v>
      </c>
      <c r="K3316" s="142">
        <v>0</v>
      </c>
      <c r="L3316" s="142">
        <v>29</v>
      </c>
      <c r="M3316" s="142">
        <v>0</v>
      </c>
    </row>
    <row r="3317" spans="1:13" x14ac:dyDescent="0.45">
      <c r="A3317" s="142" t="s">
        <v>13065</v>
      </c>
      <c r="B3317" s="142" t="s">
        <v>14497</v>
      </c>
      <c r="C3317" s="142" t="s">
        <v>15847</v>
      </c>
      <c r="D3317" s="142" t="s">
        <v>15848</v>
      </c>
      <c r="E3317" s="142" t="s">
        <v>15849</v>
      </c>
      <c r="F3317" s="142" t="s">
        <v>7419</v>
      </c>
      <c r="G3317" s="142" t="s">
        <v>7418</v>
      </c>
      <c r="H3317" s="142" t="s">
        <v>19167</v>
      </c>
      <c r="I3317" s="142">
        <v>9</v>
      </c>
      <c r="J3317" s="142">
        <v>0</v>
      </c>
      <c r="K3317" s="142">
        <v>0</v>
      </c>
      <c r="L3317" s="142">
        <v>9</v>
      </c>
      <c r="M3317" s="142">
        <v>0</v>
      </c>
    </row>
    <row r="3318" spans="1:13" x14ac:dyDescent="0.45">
      <c r="A3318" s="142" t="s">
        <v>13024</v>
      </c>
      <c r="B3318" s="142" t="s">
        <v>14538</v>
      </c>
      <c r="C3318" s="142" t="s">
        <v>15847</v>
      </c>
      <c r="D3318" s="142" t="s">
        <v>15848</v>
      </c>
      <c r="E3318" s="142" t="s">
        <v>15849</v>
      </c>
      <c r="F3318" s="142" t="s">
        <v>7419</v>
      </c>
      <c r="G3318" s="142" t="s">
        <v>7418</v>
      </c>
      <c r="H3318" s="142" t="s">
        <v>19168</v>
      </c>
      <c r="I3318" s="142">
        <v>300</v>
      </c>
      <c r="J3318" s="142">
        <v>213</v>
      </c>
      <c r="K3318" s="142">
        <v>0</v>
      </c>
      <c r="L3318" s="142">
        <v>66</v>
      </c>
      <c r="M3318" s="142">
        <v>21</v>
      </c>
    </row>
    <row r="3319" spans="1:13" x14ac:dyDescent="0.45">
      <c r="A3319" s="142" t="s">
        <v>13085</v>
      </c>
      <c r="B3319" s="142" t="s">
        <v>14460</v>
      </c>
      <c r="C3319" s="142" t="s">
        <v>15860</v>
      </c>
      <c r="D3319" s="142" t="s">
        <v>15861</v>
      </c>
      <c r="E3319" s="142" t="s">
        <v>15849</v>
      </c>
      <c r="F3319" s="142" t="s">
        <v>7419</v>
      </c>
      <c r="G3319" s="142" t="s">
        <v>7418</v>
      </c>
      <c r="H3319" s="142" t="s">
        <v>19169</v>
      </c>
      <c r="I3319" s="142">
        <v>3</v>
      </c>
      <c r="J3319" s="142">
        <v>0</v>
      </c>
      <c r="K3319" s="142">
        <v>0</v>
      </c>
      <c r="L3319" s="142">
        <v>3</v>
      </c>
      <c r="M3319" s="142">
        <v>0</v>
      </c>
    </row>
    <row r="3320" spans="1:13" x14ac:dyDescent="0.45">
      <c r="A3320" s="142" t="s">
        <v>13025</v>
      </c>
      <c r="B3320" s="142" t="s">
        <v>15579</v>
      </c>
      <c r="C3320" s="142" t="s">
        <v>15847</v>
      </c>
      <c r="D3320" s="142" t="s">
        <v>15848</v>
      </c>
      <c r="E3320" s="142" t="s">
        <v>15849</v>
      </c>
      <c r="F3320" s="142" t="s">
        <v>7419</v>
      </c>
      <c r="G3320" s="142" t="s">
        <v>7418</v>
      </c>
      <c r="H3320" s="142" t="s">
        <v>19170</v>
      </c>
      <c r="I3320" s="142">
        <v>75</v>
      </c>
      <c r="J3320" s="142">
        <v>0</v>
      </c>
      <c r="K3320" s="142">
        <v>0</v>
      </c>
      <c r="L3320" s="142">
        <v>75</v>
      </c>
      <c r="M3320" s="142">
        <v>0</v>
      </c>
    </row>
    <row r="3321" spans="1:13" x14ac:dyDescent="0.45">
      <c r="A3321" s="142" t="s">
        <v>13027</v>
      </c>
      <c r="B3321" s="142" t="s">
        <v>14562</v>
      </c>
      <c r="C3321" s="142" t="s">
        <v>15847</v>
      </c>
      <c r="D3321" s="142" t="s">
        <v>15848</v>
      </c>
      <c r="E3321" s="142" t="s">
        <v>15849</v>
      </c>
      <c r="F3321" s="142" t="s">
        <v>7419</v>
      </c>
      <c r="G3321" s="142" t="s">
        <v>7418</v>
      </c>
      <c r="H3321" s="142" t="s">
        <v>19171</v>
      </c>
      <c r="I3321" s="142">
        <v>30</v>
      </c>
      <c r="J3321" s="142">
        <v>0</v>
      </c>
      <c r="K3321" s="142">
        <v>0</v>
      </c>
      <c r="L3321" s="142">
        <v>30</v>
      </c>
      <c r="M3321" s="142">
        <v>0</v>
      </c>
    </row>
    <row r="3322" spans="1:13" x14ac:dyDescent="0.45">
      <c r="A3322" s="142" t="s">
        <v>13160</v>
      </c>
      <c r="B3322" s="142" t="s">
        <v>14525</v>
      </c>
      <c r="C3322" s="142" t="s">
        <v>15847</v>
      </c>
      <c r="D3322" s="142" t="s">
        <v>15848</v>
      </c>
      <c r="E3322" s="142" t="s">
        <v>15849</v>
      </c>
      <c r="F3322" s="142" t="s">
        <v>7419</v>
      </c>
      <c r="G3322" s="142" t="s">
        <v>7418</v>
      </c>
      <c r="H3322" s="142" t="s">
        <v>19172</v>
      </c>
      <c r="I3322" s="142">
        <v>6</v>
      </c>
      <c r="J3322" s="142">
        <v>0</v>
      </c>
      <c r="K3322" s="142">
        <v>0</v>
      </c>
      <c r="L3322" s="142">
        <v>6</v>
      </c>
      <c r="M3322" s="142">
        <v>0</v>
      </c>
    </row>
    <row r="3323" spans="1:13" x14ac:dyDescent="0.45">
      <c r="A3323" s="142" t="s">
        <v>13002</v>
      </c>
      <c r="B3323" s="142" t="s">
        <v>15376</v>
      </c>
      <c r="C3323" s="142" t="s">
        <v>15847</v>
      </c>
      <c r="D3323" s="142" t="s">
        <v>15848</v>
      </c>
      <c r="E3323" s="142" t="s">
        <v>15849</v>
      </c>
      <c r="F3323" s="142" t="s">
        <v>7419</v>
      </c>
      <c r="G3323" s="142" t="s">
        <v>7418</v>
      </c>
      <c r="H3323" s="142" t="s">
        <v>19173</v>
      </c>
      <c r="I3323" s="142">
        <v>9</v>
      </c>
      <c r="J3323" s="142">
        <v>9</v>
      </c>
      <c r="K3323" s="142">
        <v>0</v>
      </c>
      <c r="L3323" s="142">
        <v>0</v>
      </c>
      <c r="M3323" s="142">
        <v>0</v>
      </c>
    </row>
    <row r="3324" spans="1:13" x14ac:dyDescent="0.45">
      <c r="A3324" s="142" t="s">
        <v>13003</v>
      </c>
      <c r="B3324" s="142" t="s">
        <v>15245</v>
      </c>
      <c r="C3324" s="142" t="s">
        <v>15847</v>
      </c>
      <c r="D3324" s="142" t="s">
        <v>15848</v>
      </c>
      <c r="E3324" s="142" t="s">
        <v>15849</v>
      </c>
      <c r="F3324" s="142" t="s">
        <v>7419</v>
      </c>
      <c r="G3324" s="142" t="s">
        <v>7418</v>
      </c>
      <c r="H3324" s="142" t="s">
        <v>19174</v>
      </c>
      <c r="I3324" s="142">
        <v>39</v>
      </c>
      <c r="J3324" s="142">
        <v>0</v>
      </c>
      <c r="K3324" s="142">
        <v>0</v>
      </c>
      <c r="L3324" s="142">
        <v>39</v>
      </c>
      <c r="M3324" s="142">
        <v>0</v>
      </c>
    </row>
    <row r="3325" spans="1:13" x14ac:dyDescent="0.45">
      <c r="A3325" s="142" t="s">
        <v>13066</v>
      </c>
      <c r="B3325" s="142" t="s">
        <v>14459</v>
      </c>
      <c r="C3325" s="142" t="s">
        <v>15847</v>
      </c>
      <c r="D3325" s="142" t="s">
        <v>15848</v>
      </c>
      <c r="E3325" s="142" t="s">
        <v>15849</v>
      </c>
      <c r="F3325" s="142" t="s">
        <v>7419</v>
      </c>
      <c r="G3325" s="142" t="s">
        <v>7418</v>
      </c>
      <c r="H3325" s="142" t="s">
        <v>19175</v>
      </c>
      <c r="I3325" s="142">
        <v>45</v>
      </c>
      <c r="J3325" s="142">
        <v>0</v>
      </c>
      <c r="K3325" s="142">
        <v>0</v>
      </c>
      <c r="L3325" s="142">
        <v>45</v>
      </c>
      <c r="M3325" s="142">
        <v>0</v>
      </c>
    </row>
    <row r="3326" spans="1:13" x14ac:dyDescent="0.45">
      <c r="A3326" s="142" t="s">
        <v>13067</v>
      </c>
      <c r="B3326" s="142" t="s">
        <v>15480</v>
      </c>
      <c r="C3326" s="142" t="s">
        <v>15847</v>
      </c>
      <c r="D3326" s="142" t="s">
        <v>15848</v>
      </c>
      <c r="E3326" s="142" t="s">
        <v>15849</v>
      </c>
      <c r="F3326" s="142" t="s">
        <v>7419</v>
      </c>
      <c r="G3326" s="142" t="s">
        <v>7418</v>
      </c>
      <c r="H3326" s="142" t="s">
        <v>19176</v>
      </c>
      <c r="I3326" s="142">
        <v>3322</v>
      </c>
      <c r="J3326" s="142">
        <v>2385</v>
      </c>
      <c r="K3326" s="142">
        <v>0</v>
      </c>
      <c r="L3326" s="142">
        <v>866</v>
      </c>
      <c r="M3326" s="142">
        <v>71</v>
      </c>
    </row>
    <row r="3327" spans="1:13" x14ac:dyDescent="0.45">
      <c r="A3327" s="142" t="s">
        <v>13029</v>
      </c>
      <c r="B3327" s="142" t="s">
        <v>14665</v>
      </c>
      <c r="C3327" s="142" t="s">
        <v>15847</v>
      </c>
      <c r="D3327" s="142" t="s">
        <v>15848</v>
      </c>
      <c r="E3327" s="142" t="s">
        <v>15849</v>
      </c>
      <c r="F3327" s="142" t="s">
        <v>7419</v>
      </c>
      <c r="G3327" s="142" t="s">
        <v>7418</v>
      </c>
      <c r="H3327" s="142" t="s">
        <v>19177</v>
      </c>
      <c r="I3327" s="142">
        <v>3</v>
      </c>
      <c r="J3327" s="142">
        <v>0</v>
      </c>
      <c r="K3327" s="142">
        <v>0</v>
      </c>
      <c r="L3327" s="142">
        <v>0</v>
      </c>
      <c r="M3327" s="142">
        <v>3</v>
      </c>
    </row>
    <row r="3328" spans="1:13" x14ac:dyDescent="0.45">
      <c r="A3328" s="142" t="s">
        <v>13006</v>
      </c>
      <c r="B3328" s="142" t="s">
        <v>15288</v>
      </c>
      <c r="C3328" s="142" t="s">
        <v>15847</v>
      </c>
      <c r="D3328" s="142" t="s">
        <v>15848</v>
      </c>
      <c r="E3328" s="142" t="s">
        <v>15849</v>
      </c>
      <c r="F3328" s="142" t="s">
        <v>7419</v>
      </c>
      <c r="G3328" s="142" t="s">
        <v>7418</v>
      </c>
      <c r="H3328" s="142" t="s">
        <v>19178</v>
      </c>
      <c r="I3328" s="142">
        <v>86</v>
      </c>
      <c r="J3328" s="142">
        <v>59</v>
      </c>
      <c r="K3328" s="142">
        <v>0</v>
      </c>
      <c r="L3328" s="142">
        <v>1</v>
      </c>
      <c r="M3328" s="142">
        <v>26</v>
      </c>
    </row>
    <row r="3329" spans="1:13" x14ac:dyDescent="0.45">
      <c r="A3329" s="142" t="s">
        <v>13030</v>
      </c>
      <c r="B3329" s="142" t="s">
        <v>14572</v>
      </c>
      <c r="C3329" s="142" t="s">
        <v>15847</v>
      </c>
      <c r="D3329" s="142" t="s">
        <v>15848</v>
      </c>
      <c r="E3329" s="142" t="s">
        <v>15849</v>
      </c>
      <c r="F3329" s="142" t="s">
        <v>7419</v>
      </c>
      <c r="G3329" s="142" t="s">
        <v>7418</v>
      </c>
      <c r="H3329" s="142" t="s">
        <v>19179</v>
      </c>
      <c r="I3329" s="142">
        <v>343</v>
      </c>
      <c r="J3329" s="142">
        <v>250</v>
      </c>
      <c r="K3329" s="142">
        <v>0</v>
      </c>
      <c r="L3329" s="142">
        <v>51</v>
      </c>
      <c r="M3329" s="142">
        <v>42</v>
      </c>
    </row>
    <row r="3330" spans="1:13" x14ac:dyDescent="0.45">
      <c r="A3330" s="142" t="s">
        <v>13055</v>
      </c>
      <c r="B3330" s="142" t="s">
        <v>14595</v>
      </c>
      <c r="C3330" s="142" t="s">
        <v>15847</v>
      </c>
      <c r="D3330" s="142" t="s">
        <v>15848</v>
      </c>
      <c r="E3330" s="142" t="s">
        <v>15849</v>
      </c>
      <c r="F3330" s="142" t="s">
        <v>7419</v>
      </c>
      <c r="G3330" s="142" t="s">
        <v>7418</v>
      </c>
      <c r="H3330" s="142" t="s">
        <v>19180</v>
      </c>
      <c r="I3330" s="142">
        <v>156</v>
      </c>
      <c r="J3330" s="142">
        <v>156</v>
      </c>
      <c r="K3330" s="142">
        <v>0</v>
      </c>
      <c r="L3330" s="142">
        <v>0</v>
      </c>
      <c r="M3330" s="142">
        <v>0</v>
      </c>
    </row>
    <row r="3331" spans="1:13" x14ac:dyDescent="0.45">
      <c r="A3331" s="142" t="s">
        <v>13033</v>
      </c>
      <c r="B3331" s="142" t="s">
        <v>15276</v>
      </c>
      <c r="C3331" s="142" t="s">
        <v>15847</v>
      </c>
      <c r="D3331" s="142" t="s">
        <v>15848</v>
      </c>
      <c r="E3331" s="142" t="s">
        <v>15849</v>
      </c>
      <c r="F3331" s="142" t="s">
        <v>7419</v>
      </c>
      <c r="G3331" s="142" t="s">
        <v>7418</v>
      </c>
      <c r="H3331" s="142" t="s">
        <v>19181</v>
      </c>
      <c r="I3331" s="142">
        <v>108</v>
      </c>
      <c r="J3331" s="142">
        <v>66</v>
      </c>
      <c r="K3331" s="142">
        <v>0</v>
      </c>
      <c r="L3331" s="142">
        <v>0</v>
      </c>
      <c r="M3331" s="142">
        <v>42</v>
      </c>
    </row>
    <row r="3332" spans="1:13" x14ac:dyDescent="0.45">
      <c r="A3332" s="142" t="s">
        <v>13034</v>
      </c>
      <c r="B3332" s="142" t="s">
        <v>15562</v>
      </c>
      <c r="C3332" s="142" t="s">
        <v>15847</v>
      </c>
      <c r="D3332" s="142" t="s">
        <v>15848</v>
      </c>
      <c r="E3332" s="142" t="s">
        <v>15849</v>
      </c>
      <c r="F3332" s="142" t="s">
        <v>7419</v>
      </c>
      <c r="G3332" s="142" t="s">
        <v>7418</v>
      </c>
      <c r="H3332" s="142" t="s">
        <v>19182</v>
      </c>
      <c r="I3332" s="142">
        <v>98</v>
      </c>
      <c r="J3332" s="142">
        <v>97</v>
      </c>
      <c r="K3332" s="142">
        <v>0</v>
      </c>
      <c r="L3332" s="142">
        <v>1</v>
      </c>
      <c r="M3332" s="142">
        <v>0</v>
      </c>
    </row>
    <row r="3333" spans="1:13" x14ac:dyDescent="0.45">
      <c r="A3333" s="142" t="s">
        <v>13035</v>
      </c>
      <c r="B3333" s="142" t="s">
        <v>14648</v>
      </c>
      <c r="C3333" s="142" t="s">
        <v>15847</v>
      </c>
      <c r="D3333" s="142" t="s">
        <v>15848</v>
      </c>
      <c r="E3333" s="142" t="s">
        <v>15849</v>
      </c>
      <c r="F3333" s="142" t="s">
        <v>7419</v>
      </c>
      <c r="G3333" s="142" t="s">
        <v>7418</v>
      </c>
      <c r="H3333" s="142" t="s">
        <v>19183</v>
      </c>
      <c r="I3333" s="142">
        <v>50</v>
      </c>
      <c r="J3333" s="142">
        <v>45</v>
      </c>
      <c r="K3333" s="142">
        <v>0</v>
      </c>
      <c r="L3333" s="142">
        <v>0</v>
      </c>
      <c r="M3333" s="142">
        <v>5</v>
      </c>
    </row>
    <row r="3334" spans="1:13" x14ac:dyDescent="0.45">
      <c r="A3334" s="142" t="s">
        <v>13036</v>
      </c>
      <c r="B3334" s="142" t="s">
        <v>15567</v>
      </c>
      <c r="C3334" s="142" t="s">
        <v>15847</v>
      </c>
      <c r="D3334" s="142" t="s">
        <v>15848</v>
      </c>
      <c r="E3334" s="142" t="s">
        <v>15849</v>
      </c>
      <c r="F3334" s="142" t="s">
        <v>7419</v>
      </c>
      <c r="G3334" s="142" t="s">
        <v>7418</v>
      </c>
      <c r="H3334" s="142" t="s">
        <v>19184</v>
      </c>
      <c r="I3334" s="142">
        <v>25</v>
      </c>
      <c r="J3334" s="142">
        <v>0</v>
      </c>
      <c r="K3334" s="142">
        <v>0</v>
      </c>
      <c r="L3334" s="142">
        <v>25</v>
      </c>
      <c r="M3334" s="142">
        <v>0</v>
      </c>
    </row>
    <row r="3335" spans="1:13" x14ac:dyDescent="0.45">
      <c r="A3335" s="142" t="s">
        <v>13038</v>
      </c>
      <c r="B3335" s="142" t="s">
        <v>14646</v>
      </c>
      <c r="C3335" s="142" t="s">
        <v>15847</v>
      </c>
      <c r="D3335" s="142" t="s">
        <v>15848</v>
      </c>
      <c r="E3335" s="142" t="s">
        <v>15849</v>
      </c>
      <c r="F3335" s="142" t="s">
        <v>7419</v>
      </c>
      <c r="G3335" s="142" t="s">
        <v>7418</v>
      </c>
      <c r="H3335" s="142" t="s">
        <v>19185</v>
      </c>
      <c r="I3335" s="142">
        <v>49</v>
      </c>
      <c r="J3335" s="142">
        <v>31</v>
      </c>
      <c r="K3335" s="142">
        <v>0</v>
      </c>
      <c r="L3335" s="142">
        <v>0</v>
      </c>
      <c r="M3335" s="142">
        <v>18</v>
      </c>
    </row>
    <row r="3336" spans="1:13" x14ac:dyDescent="0.45">
      <c r="A3336" s="142" t="s">
        <v>13039</v>
      </c>
      <c r="B3336" s="142" t="s">
        <v>14647</v>
      </c>
      <c r="C3336" s="142" t="s">
        <v>15847</v>
      </c>
      <c r="D3336" s="142" t="s">
        <v>15848</v>
      </c>
      <c r="E3336" s="142" t="s">
        <v>15849</v>
      </c>
      <c r="F3336" s="142" t="s">
        <v>7419</v>
      </c>
      <c r="G3336" s="142" t="s">
        <v>7418</v>
      </c>
      <c r="H3336" s="142" t="s">
        <v>19186</v>
      </c>
      <c r="I3336" s="142">
        <v>12</v>
      </c>
      <c r="J3336" s="142">
        <v>12</v>
      </c>
      <c r="K3336" s="142">
        <v>0</v>
      </c>
      <c r="L3336" s="142">
        <v>0</v>
      </c>
      <c r="M3336" s="142">
        <v>0</v>
      </c>
    </row>
    <row r="3337" spans="1:13" x14ac:dyDescent="0.45">
      <c r="A3337" s="142" t="s">
        <v>13285</v>
      </c>
      <c r="B3337" s="142" t="s">
        <v>15158</v>
      </c>
      <c r="C3337" s="142" t="s">
        <v>15860</v>
      </c>
      <c r="D3337" s="142" t="s">
        <v>15861</v>
      </c>
      <c r="E3337" s="142" t="s">
        <v>15849</v>
      </c>
      <c r="F3337" s="142" t="s">
        <v>7419</v>
      </c>
      <c r="G3337" s="142" t="s">
        <v>7418</v>
      </c>
      <c r="H3337" s="142" t="s">
        <v>19187</v>
      </c>
      <c r="I3337" s="142">
        <v>14</v>
      </c>
      <c r="J3337" s="142">
        <v>0</v>
      </c>
      <c r="K3337" s="142">
        <v>0</v>
      </c>
      <c r="L3337" s="142">
        <v>14</v>
      </c>
      <c r="M3337" s="142">
        <v>0</v>
      </c>
    </row>
    <row r="3338" spans="1:13" x14ac:dyDescent="0.45">
      <c r="A3338" s="142" t="s">
        <v>13014</v>
      </c>
      <c r="B3338" s="142" t="s">
        <v>14505</v>
      </c>
      <c r="C3338" s="142" t="s">
        <v>15847</v>
      </c>
      <c r="D3338" s="142" t="s">
        <v>15848</v>
      </c>
      <c r="E3338" s="142" t="s">
        <v>15849</v>
      </c>
      <c r="F3338" s="142" t="s">
        <v>7419</v>
      </c>
      <c r="G3338" s="142" t="s">
        <v>7418</v>
      </c>
      <c r="H3338" s="142" t="s">
        <v>19188</v>
      </c>
      <c r="I3338" s="142">
        <v>271</v>
      </c>
      <c r="J3338" s="142">
        <v>207</v>
      </c>
      <c r="K3338" s="142">
        <v>0</v>
      </c>
      <c r="L3338" s="142">
        <v>64</v>
      </c>
      <c r="M3338" s="142">
        <v>0</v>
      </c>
    </row>
    <row r="3339" spans="1:13" x14ac:dyDescent="0.45">
      <c r="A3339" s="142" t="s">
        <v>13070</v>
      </c>
      <c r="B3339" s="142" t="s">
        <v>15394</v>
      </c>
      <c r="C3339" s="142" t="s">
        <v>15847</v>
      </c>
      <c r="D3339" s="142" t="s">
        <v>15848</v>
      </c>
      <c r="E3339" s="142" t="s">
        <v>15849</v>
      </c>
      <c r="F3339" s="142" t="s">
        <v>7419</v>
      </c>
      <c r="G3339" s="142" t="s">
        <v>7418</v>
      </c>
      <c r="H3339" s="142" t="s">
        <v>19189</v>
      </c>
      <c r="I3339" s="142">
        <v>24</v>
      </c>
      <c r="J3339" s="142">
        <v>24</v>
      </c>
      <c r="K3339" s="142">
        <v>0</v>
      </c>
      <c r="L3339" s="142">
        <v>0</v>
      </c>
      <c r="M3339" s="142">
        <v>0</v>
      </c>
    </row>
    <row r="3340" spans="1:13" x14ac:dyDescent="0.45">
      <c r="A3340" s="142" t="s">
        <v>13021</v>
      </c>
      <c r="B3340" s="142" t="s">
        <v>15501</v>
      </c>
      <c r="C3340" s="142" t="s">
        <v>15847</v>
      </c>
      <c r="D3340" s="142" t="s">
        <v>15848</v>
      </c>
      <c r="E3340" s="142" t="s">
        <v>15849</v>
      </c>
      <c r="F3340" s="142" t="s">
        <v>4616</v>
      </c>
      <c r="G3340" s="142" t="s">
        <v>4615</v>
      </c>
      <c r="H3340" s="142" t="s">
        <v>19190</v>
      </c>
      <c r="I3340" s="142">
        <v>59</v>
      </c>
      <c r="J3340" s="142">
        <v>0</v>
      </c>
      <c r="K3340" s="142">
        <v>0</v>
      </c>
      <c r="L3340" s="142">
        <v>57</v>
      </c>
      <c r="M3340" s="142">
        <v>2</v>
      </c>
    </row>
    <row r="3341" spans="1:13" x14ac:dyDescent="0.45">
      <c r="A3341" s="142" t="s">
        <v>13023</v>
      </c>
      <c r="B3341" s="142" t="s">
        <v>15571</v>
      </c>
      <c r="C3341" s="142" t="s">
        <v>15847</v>
      </c>
      <c r="D3341" s="142" t="s">
        <v>15848</v>
      </c>
      <c r="E3341" s="142" t="s">
        <v>15849</v>
      </c>
      <c r="F3341" s="142" t="s">
        <v>4616</v>
      </c>
      <c r="G3341" s="142" t="s">
        <v>4615</v>
      </c>
      <c r="H3341" s="142" t="s">
        <v>19191</v>
      </c>
      <c r="I3341" s="142">
        <v>144</v>
      </c>
      <c r="J3341" s="142">
        <v>0</v>
      </c>
      <c r="K3341" s="142">
        <v>0</v>
      </c>
      <c r="L3341" s="142">
        <v>144</v>
      </c>
      <c r="M3341" s="142">
        <v>0</v>
      </c>
    </row>
    <row r="3342" spans="1:13" x14ac:dyDescent="0.45">
      <c r="A3342" s="142" t="s">
        <v>13082</v>
      </c>
      <c r="B3342" s="142" t="s">
        <v>14478</v>
      </c>
      <c r="C3342" s="142" t="s">
        <v>15860</v>
      </c>
      <c r="D3342" s="142" t="s">
        <v>15861</v>
      </c>
      <c r="E3342" s="142" t="s">
        <v>15849</v>
      </c>
      <c r="F3342" s="142" t="s">
        <v>4616</v>
      </c>
      <c r="G3342" s="142" t="s">
        <v>4615</v>
      </c>
      <c r="H3342" s="142" t="s">
        <v>19192</v>
      </c>
      <c r="I3342" s="142">
        <v>31</v>
      </c>
      <c r="J3342" s="142">
        <v>0</v>
      </c>
      <c r="K3342" s="142">
        <v>0</v>
      </c>
      <c r="L3342" s="142">
        <v>31</v>
      </c>
      <c r="M3342" s="142">
        <v>0</v>
      </c>
    </row>
    <row r="3343" spans="1:13" x14ac:dyDescent="0.45">
      <c r="A3343" s="142" t="s">
        <v>13065</v>
      </c>
      <c r="B3343" s="142" t="s">
        <v>14497</v>
      </c>
      <c r="C3343" s="142" t="s">
        <v>15847</v>
      </c>
      <c r="D3343" s="142" t="s">
        <v>15848</v>
      </c>
      <c r="E3343" s="142" t="s">
        <v>15849</v>
      </c>
      <c r="F3343" s="142" t="s">
        <v>4616</v>
      </c>
      <c r="G3343" s="142" t="s">
        <v>4615</v>
      </c>
      <c r="H3343" s="142" t="s">
        <v>19193</v>
      </c>
      <c r="I3343" s="142">
        <v>3</v>
      </c>
      <c r="J3343" s="142">
        <v>0</v>
      </c>
      <c r="K3343" s="142">
        <v>0</v>
      </c>
      <c r="L3343" s="142">
        <v>3</v>
      </c>
      <c r="M3343" s="142">
        <v>0</v>
      </c>
    </row>
    <row r="3344" spans="1:13" x14ac:dyDescent="0.45">
      <c r="A3344" s="142" t="s">
        <v>13235</v>
      </c>
      <c r="B3344" s="142" t="s">
        <v>14573</v>
      </c>
      <c r="C3344" s="142" t="s">
        <v>15847</v>
      </c>
      <c r="D3344" s="142" t="s">
        <v>15848</v>
      </c>
      <c r="E3344" s="142" t="s">
        <v>15849</v>
      </c>
      <c r="F3344" s="142" t="s">
        <v>4616</v>
      </c>
      <c r="G3344" s="142" t="s">
        <v>4615</v>
      </c>
      <c r="H3344" s="142" t="s">
        <v>19194</v>
      </c>
      <c r="I3344" s="142">
        <v>388</v>
      </c>
      <c r="J3344" s="142">
        <v>312</v>
      </c>
      <c r="K3344" s="142">
        <v>0</v>
      </c>
      <c r="L3344" s="142">
        <v>2</v>
      </c>
      <c r="M3344" s="142">
        <v>74</v>
      </c>
    </row>
    <row r="3345" spans="1:13" x14ac:dyDescent="0.45">
      <c r="A3345" s="142" t="s">
        <v>13473</v>
      </c>
      <c r="B3345" s="142" t="s">
        <v>15228</v>
      </c>
      <c r="C3345" s="142" t="s">
        <v>15860</v>
      </c>
      <c r="D3345" s="142" t="s">
        <v>15861</v>
      </c>
      <c r="E3345" s="142" t="s">
        <v>15849</v>
      </c>
      <c r="F3345" s="142" t="s">
        <v>4616</v>
      </c>
      <c r="G3345" s="142" t="s">
        <v>4615</v>
      </c>
      <c r="H3345" s="142" t="s">
        <v>19195</v>
      </c>
      <c r="I3345" s="142">
        <v>96</v>
      </c>
      <c r="J3345" s="142">
        <v>0</v>
      </c>
      <c r="K3345" s="142">
        <v>0</v>
      </c>
      <c r="L3345" s="142">
        <v>96</v>
      </c>
      <c r="M3345" s="142">
        <v>0</v>
      </c>
    </row>
    <row r="3346" spans="1:13" x14ac:dyDescent="0.45">
      <c r="A3346" s="142" t="s">
        <v>13474</v>
      </c>
      <c r="B3346" s="142" t="s">
        <v>15438</v>
      </c>
      <c r="C3346" s="142" t="s">
        <v>15847</v>
      </c>
      <c r="D3346" s="142" t="s">
        <v>15848</v>
      </c>
      <c r="E3346" s="142" t="s">
        <v>15849</v>
      </c>
      <c r="F3346" s="142" t="s">
        <v>4616</v>
      </c>
      <c r="G3346" s="142" t="s">
        <v>4615</v>
      </c>
      <c r="H3346" s="142" t="s">
        <v>19196</v>
      </c>
      <c r="I3346" s="142">
        <v>81</v>
      </c>
      <c r="J3346" s="142">
        <v>79</v>
      </c>
      <c r="K3346" s="142">
        <v>0</v>
      </c>
      <c r="L3346" s="142">
        <v>0</v>
      </c>
      <c r="M3346" s="142">
        <v>2</v>
      </c>
    </row>
    <row r="3347" spans="1:13" x14ac:dyDescent="0.45">
      <c r="A3347" s="142" t="s">
        <v>13187</v>
      </c>
      <c r="B3347" s="142" t="s">
        <v>15518</v>
      </c>
      <c r="C3347" s="142" t="s">
        <v>15860</v>
      </c>
      <c r="D3347" s="142" t="s">
        <v>15861</v>
      </c>
      <c r="E3347" s="142" t="s">
        <v>15849</v>
      </c>
      <c r="F3347" s="142" t="s">
        <v>4616</v>
      </c>
      <c r="G3347" s="142" t="s">
        <v>4615</v>
      </c>
      <c r="H3347" s="142" t="s">
        <v>19197</v>
      </c>
      <c r="I3347" s="142">
        <v>114</v>
      </c>
      <c r="J3347" s="142">
        <v>49</v>
      </c>
      <c r="K3347" s="142">
        <v>0</v>
      </c>
      <c r="L3347" s="142">
        <v>65</v>
      </c>
      <c r="M3347" s="142">
        <v>0</v>
      </c>
    </row>
    <row r="3348" spans="1:13" x14ac:dyDescent="0.45">
      <c r="A3348" s="142" t="s">
        <v>13085</v>
      </c>
      <c r="B3348" s="142" t="s">
        <v>14460</v>
      </c>
      <c r="C3348" s="142" t="s">
        <v>15860</v>
      </c>
      <c r="D3348" s="142" t="s">
        <v>15861</v>
      </c>
      <c r="E3348" s="142" t="s">
        <v>15849</v>
      </c>
      <c r="F3348" s="142" t="s">
        <v>4616</v>
      </c>
      <c r="G3348" s="142" t="s">
        <v>4615</v>
      </c>
      <c r="H3348" s="142" t="s">
        <v>19198</v>
      </c>
      <c r="I3348" s="142">
        <v>3</v>
      </c>
      <c r="J3348" s="142">
        <v>0</v>
      </c>
      <c r="K3348" s="142">
        <v>0</v>
      </c>
      <c r="L3348" s="142">
        <v>3</v>
      </c>
      <c r="M3348" s="142">
        <v>0</v>
      </c>
    </row>
    <row r="3349" spans="1:13" x14ac:dyDescent="0.45">
      <c r="A3349" s="142" t="s">
        <v>13099</v>
      </c>
      <c r="B3349" s="142" t="s">
        <v>14547</v>
      </c>
      <c r="C3349" s="142" t="s">
        <v>15860</v>
      </c>
      <c r="D3349" s="142" t="s">
        <v>15861</v>
      </c>
      <c r="E3349" s="142" t="s">
        <v>15849</v>
      </c>
      <c r="F3349" s="142" t="s">
        <v>4616</v>
      </c>
      <c r="G3349" s="142" t="s">
        <v>4615</v>
      </c>
      <c r="H3349" s="142" t="s">
        <v>19199</v>
      </c>
      <c r="I3349" s="142">
        <v>12</v>
      </c>
      <c r="J3349" s="142">
        <v>0</v>
      </c>
      <c r="K3349" s="142">
        <v>0</v>
      </c>
      <c r="L3349" s="142">
        <v>12</v>
      </c>
      <c r="M3349" s="142">
        <v>0</v>
      </c>
    </row>
    <row r="3350" spans="1:13" x14ac:dyDescent="0.45">
      <c r="A3350" s="142" t="s">
        <v>13049</v>
      </c>
      <c r="B3350" s="142" t="s">
        <v>14534</v>
      </c>
      <c r="C3350" s="142" t="s">
        <v>15860</v>
      </c>
      <c r="D3350" s="142" t="s">
        <v>15861</v>
      </c>
      <c r="E3350" s="142" t="s">
        <v>15849</v>
      </c>
      <c r="F3350" s="142" t="s">
        <v>4616</v>
      </c>
      <c r="G3350" s="142" t="s">
        <v>4615</v>
      </c>
      <c r="H3350" s="142" t="s">
        <v>19200</v>
      </c>
      <c r="I3350" s="142">
        <v>15</v>
      </c>
      <c r="J3350" s="142">
        <v>0</v>
      </c>
      <c r="K3350" s="142">
        <v>0</v>
      </c>
      <c r="L3350" s="142">
        <v>15</v>
      </c>
      <c r="M3350" s="142">
        <v>0</v>
      </c>
    </row>
    <row r="3351" spans="1:13" x14ac:dyDescent="0.45">
      <c r="A3351" s="142" t="s">
        <v>13168</v>
      </c>
      <c r="B3351" s="142" t="s">
        <v>14486</v>
      </c>
      <c r="C3351" s="142" t="s">
        <v>15860</v>
      </c>
      <c r="D3351" s="142" t="s">
        <v>15861</v>
      </c>
      <c r="E3351" s="142" t="s">
        <v>15849</v>
      </c>
      <c r="F3351" s="142" t="s">
        <v>4616</v>
      </c>
      <c r="G3351" s="142" t="s">
        <v>4615</v>
      </c>
      <c r="H3351" s="142" t="s">
        <v>19201</v>
      </c>
      <c r="I3351" s="142">
        <v>4</v>
      </c>
      <c r="J3351" s="142">
        <v>0</v>
      </c>
      <c r="K3351" s="142">
        <v>0</v>
      </c>
      <c r="L3351" s="142">
        <v>4</v>
      </c>
      <c r="M3351" s="142">
        <v>0</v>
      </c>
    </row>
    <row r="3352" spans="1:13" x14ac:dyDescent="0.45">
      <c r="A3352" s="142" t="s">
        <v>13475</v>
      </c>
      <c r="B3352" s="142" t="s">
        <v>14430</v>
      </c>
      <c r="C3352" s="142" t="s">
        <v>15847</v>
      </c>
      <c r="D3352" s="142" t="s">
        <v>15848</v>
      </c>
      <c r="E3352" s="142" t="s">
        <v>15849</v>
      </c>
      <c r="F3352" s="142" t="s">
        <v>4616</v>
      </c>
      <c r="G3352" s="142" t="s">
        <v>4615</v>
      </c>
      <c r="H3352" s="142" t="s">
        <v>19202</v>
      </c>
      <c r="I3352" s="142">
        <v>4577</v>
      </c>
      <c r="J3352" s="142">
        <v>4161</v>
      </c>
      <c r="K3352" s="142">
        <v>0</v>
      </c>
      <c r="L3352" s="142">
        <v>347</v>
      </c>
      <c r="M3352" s="142">
        <v>69</v>
      </c>
    </row>
    <row r="3353" spans="1:13" x14ac:dyDescent="0.45">
      <c r="A3353" s="142" t="s">
        <v>13027</v>
      </c>
      <c r="B3353" s="142" t="s">
        <v>14562</v>
      </c>
      <c r="C3353" s="142" t="s">
        <v>15847</v>
      </c>
      <c r="D3353" s="142" t="s">
        <v>15848</v>
      </c>
      <c r="E3353" s="142" t="s">
        <v>15849</v>
      </c>
      <c r="F3353" s="142" t="s">
        <v>4616</v>
      </c>
      <c r="G3353" s="142" t="s">
        <v>4615</v>
      </c>
      <c r="H3353" s="142" t="s">
        <v>19203</v>
      </c>
      <c r="I3353" s="142">
        <v>29</v>
      </c>
      <c r="J3353" s="142">
        <v>0</v>
      </c>
      <c r="K3353" s="142">
        <v>0</v>
      </c>
      <c r="L3353" s="142">
        <v>29</v>
      </c>
      <c r="M3353" s="142">
        <v>0</v>
      </c>
    </row>
    <row r="3354" spans="1:13" x14ac:dyDescent="0.45">
      <c r="A3354" s="142" t="s">
        <v>13243</v>
      </c>
      <c r="B3354" s="142" t="s">
        <v>15560</v>
      </c>
      <c r="C3354" s="142" t="s">
        <v>15847</v>
      </c>
      <c r="D3354" s="142" t="s">
        <v>15848</v>
      </c>
      <c r="E3354" s="142" t="s">
        <v>15849</v>
      </c>
      <c r="F3354" s="142" t="s">
        <v>4616</v>
      </c>
      <c r="G3354" s="142" t="s">
        <v>4615</v>
      </c>
      <c r="H3354" s="142" t="s">
        <v>19204</v>
      </c>
      <c r="I3354" s="142">
        <v>718</v>
      </c>
      <c r="J3354" s="142">
        <v>626</v>
      </c>
      <c r="K3354" s="142">
        <v>0</v>
      </c>
      <c r="L3354" s="142">
        <v>29</v>
      </c>
      <c r="M3354" s="142">
        <v>63</v>
      </c>
    </row>
    <row r="3355" spans="1:13" x14ac:dyDescent="0.45">
      <c r="A3355" s="142" t="s">
        <v>13189</v>
      </c>
      <c r="B3355" s="142" t="s">
        <v>15370</v>
      </c>
      <c r="C3355" s="142" t="s">
        <v>15860</v>
      </c>
      <c r="D3355" s="142" t="s">
        <v>15861</v>
      </c>
      <c r="E3355" s="142" t="s">
        <v>15849</v>
      </c>
      <c r="F3355" s="142" t="s">
        <v>4616</v>
      </c>
      <c r="G3355" s="142" t="s">
        <v>4615</v>
      </c>
      <c r="H3355" s="142" t="s">
        <v>19205</v>
      </c>
      <c r="I3355" s="142">
        <v>8</v>
      </c>
      <c r="J3355" s="142">
        <v>8</v>
      </c>
      <c r="K3355" s="142">
        <v>0</v>
      </c>
      <c r="L3355" s="142">
        <v>0</v>
      </c>
      <c r="M3355" s="142">
        <v>0</v>
      </c>
    </row>
    <row r="3356" spans="1:13" x14ac:dyDescent="0.45">
      <c r="A3356" s="142" t="s">
        <v>13028</v>
      </c>
      <c r="B3356" s="142" t="s">
        <v>14462</v>
      </c>
      <c r="C3356" s="142" t="s">
        <v>15847</v>
      </c>
      <c r="D3356" s="142" t="s">
        <v>15848</v>
      </c>
      <c r="E3356" s="142" t="s">
        <v>15849</v>
      </c>
      <c r="F3356" s="142" t="s">
        <v>4616</v>
      </c>
      <c r="G3356" s="142" t="s">
        <v>4615</v>
      </c>
      <c r="H3356" s="142" t="s">
        <v>19206</v>
      </c>
      <c r="I3356" s="142">
        <v>19</v>
      </c>
      <c r="J3356" s="142">
        <v>0</v>
      </c>
      <c r="K3356" s="142">
        <v>0</v>
      </c>
      <c r="L3356" s="142">
        <v>0</v>
      </c>
      <c r="M3356" s="142">
        <v>19</v>
      </c>
    </row>
    <row r="3357" spans="1:13" x14ac:dyDescent="0.45">
      <c r="A3357" s="142" t="s">
        <v>13002</v>
      </c>
      <c r="B3357" s="142" t="s">
        <v>15376</v>
      </c>
      <c r="C3357" s="142" t="s">
        <v>15847</v>
      </c>
      <c r="D3357" s="142" t="s">
        <v>15848</v>
      </c>
      <c r="E3357" s="142" t="s">
        <v>15849</v>
      </c>
      <c r="F3357" s="142" t="s">
        <v>4616</v>
      </c>
      <c r="G3357" s="142" t="s">
        <v>4615</v>
      </c>
      <c r="H3357" s="142" t="s">
        <v>19207</v>
      </c>
      <c r="I3357" s="142">
        <v>62</v>
      </c>
      <c r="J3357" s="142">
        <v>0</v>
      </c>
      <c r="K3357" s="142">
        <v>0</v>
      </c>
      <c r="L3357" s="142">
        <v>62</v>
      </c>
      <c r="M3357" s="142">
        <v>0</v>
      </c>
    </row>
    <row r="3358" spans="1:13" x14ac:dyDescent="0.45">
      <c r="A3358" s="142" t="s">
        <v>13003</v>
      </c>
      <c r="B3358" s="142" t="s">
        <v>15245</v>
      </c>
      <c r="C3358" s="142" t="s">
        <v>15847</v>
      </c>
      <c r="D3358" s="142" t="s">
        <v>15848</v>
      </c>
      <c r="E3358" s="142" t="s">
        <v>15849</v>
      </c>
      <c r="F3358" s="142" t="s">
        <v>4616</v>
      </c>
      <c r="G3358" s="142" t="s">
        <v>4615</v>
      </c>
      <c r="H3358" s="142" t="s">
        <v>19208</v>
      </c>
      <c r="I3358" s="142">
        <v>48</v>
      </c>
      <c r="J3358" s="142">
        <v>0</v>
      </c>
      <c r="K3358" s="142">
        <v>0</v>
      </c>
      <c r="L3358" s="142">
        <v>48</v>
      </c>
      <c r="M3358" s="142">
        <v>0</v>
      </c>
    </row>
    <row r="3359" spans="1:13" x14ac:dyDescent="0.45">
      <c r="A3359" s="142" t="s">
        <v>13066</v>
      </c>
      <c r="B3359" s="142" t="s">
        <v>14459</v>
      </c>
      <c r="C3359" s="142" t="s">
        <v>15847</v>
      </c>
      <c r="D3359" s="142" t="s">
        <v>15848</v>
      </c>
      <c r="E3359" s="142" t="s">
        <v>15849</v>
      </c>
      <c r="F3359" s="142" t="s">
        <v>4616</v>
      </c>
      <c r="G3359" s="142" t="s">
        <v>4615</v>
      </c>
      <c r="H3359" s="142" t="s">
        <v>19209</v>
      </c>
      <c r="I3359" s="142">
        <v>2</v>
      </c>
      <c r="J3359" s="142">
        <v>0</v>
      </c>
      <c r="K3359" s="142">
        <v>0</v>
      </c>
      <c r="L3359" s="142">
        <v>2</v>
      </c>
      <c r="M3359" s="142">
        <v>0</v>
      </c>
    </row>
    <row r="3360" spans="1:13" x14ac:dyDescent="0.45">
      <c r="A3360" s="142" t="s">
        <v>13076</v>
      </c>
      <c r="B3360" s="142" t="s">
        <v>14636</v>
      </c>
      <c r="C3360" s="142" t="s">
        <v>15847</v>
      </c>
      <c r="D3360" s="142" t="s">
        <v>15848</v>
      </c>
      <c r="E3360" s="142" t="s">
        <v>15849</v>
      </c>
      <c r="F3360" s="142" t="s">
        <v>4616</v>
      </c>
      <c r="G3360" s="142" t="s">
        <v>4615</v>
      </c>
      <c r="H3360" s="142" t="s">
        <v>19210</v>
      </c>
      <c r="I3360" s="142">
        <v>18</v>
      </c>
      <c r="J3360" s="142">
        <v>0</v>
      </c>
      <c r="K3360" s="142">
        <v>0</v>
      </c>
      <c r="L3360" s="142">
        <v>0</v>
      </c>
      <c r="M3360" s="142">
        <v>18</v>
      </c>
    </row>
    <row r="3361" spans="1:13" x14ac:dyDescent="0.45">
      <c r="A3361" s="142" t="s">
        <v>13190</v>
      </c>
      <c r="B3361" s="142" t="s">
        <v>14617</v>
      </c>
      <c r="C3361" s="142" t="s">
        <v>15847</v>
      </c>
      <c r="D3361" s="142" t="s">
        <v>15848</v>
      </c>
      <c r="E3361" s="142" t="s">
        <v>15849</v>
      </c>
      <c r="F3361" s="142" t="s">
        <v>4616</v>
      </c>
      <c r="G3361" s="142" t="s">
        <v>4615</v>
      </c>
      <c r="H3361" s="142" t="s">
        <v>19211</v>
      </c>
      <c r="I3361" s="142">
        <v>64</v>
      </c>
      <c r="J3361" s="142">
        <v>51</v>
      </c>
      <c r="K3361" s="142">
        <v>0</v>
      </c>
      <c r="L3361" s="142">
        <v>0</v>
      </c>
      <c r="M3361" s="142">
        <v>13</v>
      </c>
    </row>
    <row r="3362" spans="1:13" x14ac:dyDescent="0.45">
      <c r="A3362" s="142" t="s">
        <v>13029</v>
      </c>
      <c r="B3362" s="142" t="s">
        <v>14665</v>
      </c>
      <c r="C3362" s="142" t="s">
        <v>15847</v>
      </c>
      <c r="D3362" s="142" t="s">
        <v>15848</v>
      </c>
      <c r="E3362" s="142" t="s">
        <v>15849</v>
      </c>
      <c r="F3362" s="142" t="s">
        <v>4616</v>
      </c>
      <c r="G3362" s="142" t="s">
        <v>4615</v>
      </c>
      <c r="H3362" s="142" t="s">
        <v>19212</v>
      </c>
      <c r="I3362" s="142">
        <v>1</v>
      </c>
      <c r="J3362" s="142">
        <v>0</v>
      </c>
      <c r="K3362" s="142">
        <v>0</v>
      </c>
      <c r="L3362" s="142">
        <v>0</v>
      </c>
      <c r="M3362" s="142">
        <v>1</v>
      </c>
    </row>
    <row r="3363" spans="1:13" x14ac:dyDescent="0.45">
      <c r="A3363" s="142" t="s">
        <v>13191</v>
      </c>
      <c r="B3363" s="142" t="s">
        <v>15467</v>
      </c>
      <c r="C3363" s="142" t="s">
        <v>15847</v>
      </c>
      <c r="D3363" s="142" t="s">
        <v>15848</v>
      </c>
      <c r="E3363" s="142" t="s">
        <v>15849</v>
      </c>
      <c r="F3363" s="142" t="s">
        <v>4616</v>
      </c>
      <c r="G3363" s="142" t="s">
        <v>4615</v>
      </c>
      <c r="H3363" s="142" t="s">
        <v>19213</v>
      </c>
      <c r="I3363" s="142">
        <v>305</v>
      </c>
      <c r="J3363" s="142">
        <v>249</v>
      </c>
      <c r="K3363" s="142">
        <v>0</v>
      </c>
      <c r="L3363" s="142">
        <v>0</v>
      </c>
      <c r="M3363" s="142">
        <v>56</v>
      </c>
    </row>
    <row r="3364" spans="1:13" x14ac:dyDescent="0.45">
      <c r="A3364" s="142" t="s">
        <v>13007</v>
      </c>
      <c r="B3364" s="142" t="s">
        <v>15262</v>
      </c>
      <c r="C3364" s="142" t="s">
        <v>15847</v>
      </c>
      <c r="D3364" s="142" t="s">
        <v>15848</v>
      </c>
      <c r="E3364" s="142" t="s">
        <v>15849</v>
      </c>
      <c r="F3364" s="142" t="s">
        <v>4616</v>
      </c>
      <c r="G3364" s="142" t="s">
        <v>4615</v>
      </c>
      <c r="H3364" s="142" t="s">
        <v>19214</v>
      </c>
      <c r="I3364" s="142">
        <v>1</v>
      </c>
      <c r="J3364" s="142">
        <v>0</v>
      </c>
      <c r="K3364" s="142">
        <v>0</v>
      </c>
      <c r="L3364" s="142">
        <v>0</v>
      </c>
      <c r="M3364" s="142">
        <v>1</v>
      </c>
    </row>
    <row r="3365" spans="1:13" x14ac:dyDescent="0.45">
      <c r="A3365" s="142" t="s">
        <v>13033</v>
      </c>
      <c r="B3365" s="142" t="s">
        <v>15276</v>
      </c>
      <c r="C3365" s="142" t="s">
        <v>15847</v>
      </c>
      <c r="D3365" s="142" t="s">
        <v>15848</v>
      </c>
      <c r="E3365" s="142" t="s">
        <v>15849</v>
      </c>
      <c r="F3365" s="142" t="s">
        <v>4616</v>
      </c>
      <c r="G3365" s="142" t="s">
        <v>4615</v>
      </c>
      <c r="H3365" s="142" t="s">
        <v>19215</v>
      </c>
      <c r="I3365" s="142">
        <v>2</v>
      </c>
      <c r="J3365" s="142">
        <v>0</v>
      </c>
      <c r="K3365" s="142">
        <v>0</v>
      </c>
      <c r="L3365" s="142">
        <v>0</v>
      </c>
      <c r="M3365" s="142">
        <v>2</v>
      </c>
    </row>
    <row r="3366" spans="1:13" x14ac:dyDescent="0.45">
      <c r="A3366" s="142" t="s">
        <v>13034</v>
      </c>
      <c r="B3366" s="142" t="s">
        <v>15562</v>
      </c>
      <c r="C3366" s="142" t="s">
        <v>15847</v>
      </c>
      <c r="D3366" s="142" t="s">
        <v>15848</v>
      </c>
      <c r="E3366" s="142" t="s">
        <v>15849</v>
      </c>
      <c r="F3366" s="142" t="s">
        <v>4616</v>
      </c>
      <c r="G3366" s="142" t="s">
        <v>4615</v>
      </c>
      <c r="H3366" s="142" t="s">
        <v>19216</v>
      </c>
      <c r="I3366" s="142">
        <v>4</v>
      </c>
      <c r="J3366" s="142">
        <v>1</v>
      </c>
      <c r="K3366" s="142">
        <v>0</v>
      </c>
      <c r="L3366" s="142">
        <v>0</v>
      </c>
      <c r="M3366" s="142">
        <v>3</v>
      </c>
    </row>
    <row r="3367" spans="1:13" x14ac:dyDescent="0.45">
      <c r="A3367" s="142" t="s">
        <v>13035</v>
      </c>
      <c r="B3367" s="142" t="s">
        <v>14648</v>
      </c>
      <c r="C3367" s="142" t="s">
        <v>15847</v>
      </c>
      <c r="D3367" s="142" t="s">
        <v>15848</v>
      </c>
      <c r="E3367" s="142" t="s">
        <v>15849</v>
      </c>
      <c r="F3367" s="142" t="s">
        <v>4616</v>
      </c>
      <c r="G3367" s="142" t="s">
        <v>4615</v>
      </c>
      <c r="H3367" s="142" t="s">
        <v>19217</v>
      </c>
      <c r="I3367" s="142">
        <v>26</v>
      </c>
      <c r="J3367" s="142">
        <v>0</v>
      </c>
      <c r="K3367" s="142">
        <v>0</v>
      </c>
      <c r="L3367" s="142">
        <v>0</v>
      </c>
      <c r="M3367" s="142">
        <v>26</v>
      </c>
    </row>
    <row r="3368" spans="1:13" x14ac:dyDescent="0.45">
      <c r="A3368" s="142" t="s">
        <v>13394</v>
      </c>
      <c r="B3368" s="142" t="s">
        <v>15569</v>
      </c>
      <c r="C3368" s="142" t="s">
        <v>15847</v>
      </c>
      <c r="D3368" s="142" t="s">
        <v>15848</v>
      </c>
      <c r="E3368" s="142" t="s">
        <v>15849</v>
      </c>
      <c r="F3368" s="142" t="s">
        <v>4616</v>
      </c>
      <c r="G3368" s="142" t="s">
        <v>4615</v>
      </c>
      <c r="H3368" s="142" t="s">
        <v>19218</v>
      </c>
      <c r="I3368" s="142">
        <v>522</v>
      </c>
      <c r="J3368" s="142">
        <v>328</v>
      </c>
      <c r="K3368" s="142">
        <v>0</v>
      </c>
      <c r="L3368" s="142">
        <v>125</v>
      </c>
      <c r="M3368" s="142">
        <v>69</v>
      </c>
    </row>
    <row r="3369" spans="1:13" x14ac:dyDescent="0.45">
      <c r="A3369" s="142" t="s">
        <v>13038</v>
      </c>
      <c r="B3369" s="142" t="s">
        <v>14646</v>
      </c>
      <c r="C3369" s="142" t="s">
        <v>15847</v>
      </c>
      <c r="D3369" s="142" t="s">
        <v>15848</v>
      </c>
      <c r="E3369" s="142" t="s">
        <v>15849</v>
      </c>
      <c r="F3369" s="142" t="s">
        <v>4616</v>
      </c>
      <c r="G3369" s="142" t="s">
        <v>4615</v>
      </c>
      <c r="H3369" s="142" t="s">
        <v>19219</v>
      </c>
      <c r="I3369" s="142">
        <v>24</v>
      </c>
      <c r="J3369" s="142">
        <v>0</v>
      </c>
      <c r="K3369" s="142">
        <v>0</v>
      </c>
      <c r="L3369" s="142">
        <v>0</v>
      </c>
      <c r="M3369" s="142">
        <v>24</v>
      </c>
    </row>
    <row r="3370" spans="1:13" x14ac:dyDescent="0.45">
      <c r="A3370" s="142" t="s">
        <v>13091</v>
      </c>
      <c r="B3370" s="142" t="s">
        <v>14473</v>
      </c>
      <c r="C3370" s="142" t="s">
        <v>15847</v>
      </c>
      <c r="D3370" s="142" t="s">
        <v>15848</v>
      </c>
      <c r="E3370" s="142" t="s">
        <v>15849</v>
      </c>
      <c r="F3370" s="142" t="s">
        <v>4616</v>
      </c>
      <c r="G3370" s="142" t="s">
        <v>4615</v>
      </c>
      <c r="H3370" s="142" t="s">
        <v>19220</v>
      </c>
      <c r="I3370" s="142">
        <v>79</v>
      </c>
      <c r="J3370" s="142">
        <v>53</v>
      </c>
      <c r="K3370" s="142">
        <v>0</v>
      </c>
      <c r="L3370" s="142">
        <v>0</v>
      </c>
      <c r="M3370" s="142">
        <v>26</v>
      </c>
    </row>
    <row r="3371" spans="1:13" x14ac:dyDescent="0.45">
      <c r="A3371" s="142" t="s">
        <v>13058</v>
      </c>
      <c r="B3371" s="142" t="s">
        <v>14584</v>
      </c>
      <c r="C3371" s="142" t="s">
        <v>15847</v>
      </c>
      <c r="D3371" s="142" t="s">
        <v>15848</v>
      </c>
      <c r="E3371" s="142" t="s">
        <v>15849</v>
      </c>
      <c r="F3371" s="142" t="s">
        <v>4616</v>
      </c>
      <c r="G3371" s="142" t="s">
        <v>4615</v>
      </c>
      <c r="H3371" s="142" t="s">
        <v>19221</v>
      </c>
      <c r="I3371" s="142">
        <v>131</v>
      </c>
      <c r="J3371" s="142">
        <v>113</v>
      </c>
      <c r="K3371" s="142">
        <v>0</v>
      </c>
      <c r="L3371" s="142">
        <v>0</v>
      </c>
      <c r="M3371" s="142">
        <v>18</v>
      </c>
    </row>
    <row r="3372" spans="1:13" x14ac:dyDescent="0.45">
      <c r="A3372" s="142" t="s">
        <v>13012</v>
      </c>
      <c r="B3372" s="142" t="s">
        <v>15337</v>
      </c>
      <c r="C3372" s="142" t="s">
        <v>15847</v>
      </c>
      <c r="D3372" s="142" t="s">
        <v>15848</v>
      </c>
      <c r="E3372" s="142" t="s">
        <v>15849</v>
      </c>
      <c r="F3372" s="142" t="s">
        <v>4616</v>
      </c>
      <c r="G3372" s="142" t="s">
        <v>4615</v>
      </c>
      <c r="H3372" s="142" t="s">
        <v>19222</v>
      </c>
      <c r="I3372" s="142">
        <v>91</v>
      </c>
      <c r="J3372" s="142">
        <v>55</v>
      </c>
      <c r="K3372" s="142">
        <v>0</v>
      </c>
      <c r="L3372" s="142">
        <v>22</v>
      </c>
      <c r="M3372" s="142">
        <v>14</v>
      </c>
    </row>
    <row r="3373" spans="1:13" x14ac:dyDescent="0.45">
      <c r="A3373" s="142" t="s">
        <v>13706</v>
      </c>
      <c r="B3373" s="142" t="s">
        <v>14717</v>
      </c>
      <c r="C3373" s="142" t="s">
        <v>15860</v>
      </c>
      <c r="D3373" s="142" t="s">
        <v>15861</v>
      </c>
      <c r="E3373" s="142" t="s">
        <v>15849</v>
      </c>
      <c r="F3373" s="142" t="s">
        <v>4616</v>
      </c>
      <c r="G3373" s="142" t="s">
        <v>4615</v>
      </c>
      <c r="H3373" s="142" t="s">
        <v>19223</v>
      </c>
      <c r="I3373" s="142">
        <v>137</v>
      </c>
      <c r="J3373" s="142">
        <v>0</v>
      </c>
      <c r="K3373" s="142">
        <v>0</v>
      </c>
      <c r="L3373" s="142">
        <v>137</v>
      </c>
      <c r="M3373" s="142">
        <v>0</v>
      </c>
    </row>
    <row r="3374" spans="1:13" x14ac:dyDescent="0.45">
      <c r="A3374" s="142" t="s">
        <v>13014</v>
      </c>
      <c r="B3374" s="142" t="s">
        <v>14505</v>
      </c>
      <c r="C3374" s="142" t="s">
        <v>15847</v>
      </c>
      <c r="D3374" s="142" t="s">
        <v>15848</v>
      </c>
      <c r="E3374" s="142" t="s">
        <v>15849</v>
      </c>
      <c r="F3374" s="142" t="s">
        <v>4616</v>
      </c>
      <c r="G3374" s="142" t="s">
        <v>4615</v>
      </c>
      <c r="H3374" s="142" t="s">
        <v>19224</v>
      </c>
      <c r="I3374" s="142">
        <v>1481</v>
      </c>
      <c r="J3374" s="142">
        <v>1076</v>
      </c>
      <c r="K3374" s="142">
        <v>0</v>
      </c>
      <c r="L3374" s="142">
        <v>90</v>
      </c>
      <c r="M3374" s="142">
        <v>315</v>
      </c>
    </row>
    <row r="3375" spans="1:13" x14ac:dyDescent="0.45">
      <c r="A3375" s="142" t="s">
        <v>13042</v>
      </c>
      <c r="B3375" s="142" t="s">
        <v>15489</v>
      </c>
      <c r="C3375" s="142" t="s">
        <v>15847</v>
      </c>
      <c r="D3375" s="142" t="s">
        <v>15848</v>
      </c>
      <c r="E3375" s="142" t="s">
        <v>15849</v>
      </c>
      <c r="F3375" s="142" t="s">
        <v>4616</v>
      </c>
      <c r="G3375" s="142" t="s">
        <v>4615</v>
      </c>
      <c r="H3375" s="142" t="s">
        <v>19225</v>
      </c>
      <c r="I3375" s="142">
        <v>83</v>
      </c>
      <c r="J3375" s="142">
        <v>0</v>
      </c>
      <c r="K3375" s="142">
        <v>0</v>
      </c>
      <c r="L3375" s="142">
        <v>83</v>
      </c>
      <c r="M3375" s="142">
        <v>0</v>
      </c>
    </row>
    <row r="3376" spans="1:13" x14ac:dyDescent="0.45">
      <c r="A3376" s="142" t="s">
        <v>13222</v>
      </c>
      <c r="B3376" s="142" t="s">
        <v>14449</v>
      </c>
      <c r="C3376" s="142" t="s">
        <v>15860</v>
      </c>
      <c r="D3376" s="142" t="s">
        <v>15861</v>
      </c>
      <c r="E3376" s="142" t="s">
        <v>15849</v>
      </c>
      <c r="F3376" s="142" t="s">
        <v>4616</v>
      </c>
      <c r="G3376" s="142" t="s">
        <v>4615</v>
      </c>
      <c r="H3376" s="142" t="s">
        <v>19226</v>
      </c>
      <c r="I3376" s="142">
        <v>12</v>
      </c>
      <c r="J3376" s="142">
        <v>0</v>
      </c>
      <c r="K3376" s="142">
        <v>0</v>
      </c>
      <c r="L3376" s="142">
        <v>12</v>
      </c>
      <c r="M3376" s="142">
        <v>0</v>
      </c>
    </row>
    <row r="3377" spans="1:13" x14ac:dyDescent="0.45">
      <c r="A3377" s="142" t="s">
        <v>13544</v>
      </c>
      <c r="B3377" s="142" t="s">
        <v>15450</v>
      </c>
      <c r="C3377" s="142" t="s">
        <v>15847</v>
      </c>
      <c r="D3377" s="142" t="s">
        <v>15848</v>
      </c>
      <c r="E3377" s="142" t="s">
        <v>15849</v>
      </c>
      <c r="F3377" s="142" t="s">
        <v>4616</v>
      </c>
      <c r="G3377" s="142" t="s">
        <v>4615</v>
      </c>
      <c r="H3377" s="142" t="s">
        <v>19227</v>
      </c>
      <c r="I3377" s="142">
        <v>124</v>
      </c>
      <c r="J3377" s="142">
        <v>112</v>
      </c>
      <c r="K3377" s="142">
        <v>0</v>
      </c>
      <c r="L3377" s="142">
        <v>0</v>
      </c>
      <c r="M3377" s="142">
        <v>12</v>
      </c>
    </row>
    <row r="3378" spans="1:13" x14ac:dyDescent="0.45">
      <c r="A3378" s="142" t="s">
        <v>13016</v>
      </c>
      <c r="B3378" s="142" t="s">
        <v>14535</v>
      </c>
      <c r="C3378" s="142" t="s">
        <v>15860</v>
      </c>
      <c r="D3378" s="142" t="s">
        <v>15861</v>
      </c>
      <c r="E3378" s="142" t="s">
        <v>15849</v>
      </c>
      <c r="F3378" s="142" t="s">
        <v>4616</v>
      </c>
      <c r="G3378" s="142" t="s">
        <v>4615</v>
      </c>
      <c r="H3378" s="142" t="s">
        <v>19228</v>
      </c>
      <c r="I3378" s="142">
        <v>34</v>
      </c>
      <c r="J3378" s="142">
        <v>0</v>
      </c>
      <c r="K3378" s="142">
        <v>0</v>
      </c>
      <c r="L3378" s="142">
        <v>34</v>
      </c>
      <c r="M3378" s="142">
        <v>0</v>
      </c>
    </row>
    <row r="3379" spans="1:13" x14ac:dyDescent="0.45">
      <c r="A3379" s="142" t="s">
        <v>13167</v>
      </c>
      <c r="B3379" s="142" t="s">
        <v>15418</v>
      </c>
      <c r="C3379" s="142" t="s">
        <v>15847</v>
      </c>
      <c r="D3379" s="142" t="s">
        <v>15848</v>
      </c>
      <c r="E3379" s="142" t="s">
        <v>15849</v>
      </c>
      <c r="F3379" s="142" t="s">
        <v>4908</v>
      </c>
      <c r="G3379" s="142" t="s">
        <v>4907</v>
      </c>
      <c r="H3379" s="142" t="s">
        <v>19229</v>
      </c>
      <c r="I3379" s="142">
        <v>213</v>
      </c>
      <c r="J3379" s="142">
        <v>112</v>
      </c>
      <c r="K3379" s="142">
        <v>0</v>
      </c>
      <c r="L3379" s="142">
        <v>5</v>
      </c>
      <c r="M3379" s="142">
        <v>96</v>
      </c>
    </row>
    <row r="3380" spans="1:13" x14ac:dyDescent="0.45">
      <c r="A3380" s="142" t="s">
        <v>13021</v>
      </c>
      <c r="B3380" s="142" t="s">
        <v>15501</v>
      </c>
      <c r="C3380" s="142" t="s">
        <v>15847</v>
      </c>
      <c r="D3380" s="142" t="s">
        <v>15848</v>
      </c>
      <c r="E3380" s="142" t="s">
        <v>15849</v>
      </c>
      <c r="F3380" s="142" t="s">
        <v>4908</v>
      </c>
      <c r="G3380" s="142" t="s">
        <v>4907</v>
      </c>
      <c r="H3380" s="142" t="s">
        <v>19230</v>
      </c>
      <c r="I3380" s="142">
        <v>3</v>
      </c>
      <c r="J3380" s="142">
        <v>0</v>
      </c>
      <c r="K3380" s="142">
        <v>0</v>
      </c>
      <c r="L3380" s="142">
        <v>0</v>
      </c>
      <c r="M3380" s="142">
        <v>3</v>
      </c>
    </row>
    <row r="3381" spans="1:13" x14ac:dyDescent="0.45">
      <c r="A3381" s="142" t="s">
        <v>13708</v>
      </c>
      <c r="B3381" s="142" t="s">
        <v>15296</v>
      </c>
      <c r="C3381" s="142" t="s">
        <v>15860</v>
      </c>
      <c r="D3381" s="142" t="s">
        <v>15861</v>
      </c>
      <c r="E3381" s="142" t="s">
        <v>15849</v>
      </c>
      <c r="F3381" s="142" t="s">
        <v>4908</v>
      </c>
      <c r="G3381" s="142" t="s">
        <v>4907</v>
      </c>
      <c r="H3381" s="142" t="s">
        <v>19231</v>
      </c>
      <c r="I3381" s="142">
        <v>74</v>
      </c>
      <c r="J3381" s="142">
        <v>0</v>
      </c>
      <c r="K3381" s="142">
        <v>0</v>
      </c>
      <c r="L3381" s="142">
        <v>74</v>
      </c>
      <c r="M3381" s="142">
        <v>0</v>
      </c>
    </row>
    <row r="3382" spans="1:13" x14ac:dyDescent="0.45">
      <c r="A3382" s="142" t="s">
        <v>13023</v>
      </c>
      <c r="B3382" s="142" t="s">
        <v>15571</v>
      </c>
      <c r="C3382" s="142" t="s">
        <v>15847</v>
      </c>
      <c r="D3382" s="142" t="s">
        <v>15848</v>
      </c>
      <c r="E3382" s="142" t="s">
        <v>15849</v>
      </c>
      <c r="F3382" s="142" t="s">
        <v>4908</v>
      </c>
      <c r="G3382" s="142" t="s">
        <v>4907</v>
      </c>
      <c r="H3382" s="142" t="s">
        <v>19232</v>
      </c>
      <c r="I3382" s="142">
        <v>84</v>
      </c>
      <c r="J3382" s="142">
        <v>0</v>
      </c>
      <c r="K3382" s="142">
        <v>0</v>
      </c>
      <c r="L3382" s="142">
        <v>84</v>
      </c>
      <c r="M3382" s="142">
        <v>0</v>
      </c>
    </row>
    <row r="3383" spans="1:13" x14ac:dyDescent="0.45">
      <c r="A3383" s="142" t="s">
        <v>13690</v>
      </c>
      <c r="B3383" s="142" t="s">
        <v>15251</v>
      </c>
      <c r="C3383" s="142" t="s">
        <v>15860</v>
      </c>
      <c r="D3383" s="142" t="s">
        <v>15861</v>
      </c>
      <c r="E3383" s="142" t="s">
        <v>15849</v>
      </c>
      <c r="F3383" s="142" t="s">
        <v>4908</v>
      </c>
      <c r="G3383" s="142" t="s">
        <v>4907</v>
      </c>
      <c r="H3383" s="142" t="s">
        <v>19233</v>
      </c>
      <c r="I3383" s="142">
        <v>56</v>
      </c>
      <c r="J3383" s="142">
        <v>0</v>
      </c>
      <c r="K3383" s="142">
        <v>0</v>
      </c>
      <c r="L3383" s="142">
        <v>56</v>
      </c>
      <c r="M3383" s="142">
        <v>0</v>
      </c>
    </row>
    <row r="3384" spans="1:13" x14ac:dyDescent="0.45">
      <c r="A3384" s="142" t="s">
        <v>13002</v>
      </c>
      <c r="B3384" s="142" t="s">
        <v>15376</v>
      </c>
      <c r="C3384" s="142" t="s">
        <v>15847</v>
      </c>
      <c r="D3384" s="142" t="s">
        <v>15848</v>
      </c>
      <c r="E3384" s="142" t="s">
        <v>15849</v>
      </c>
      <c r="F3384" s="142" t="s">
        <v>4908</v>
      </c>
      <c r="G3384" s="142" t="s">
        <v>4907</v>
      </c>
      <c r="H3384" s="142" t="s">
        <v>19234</v>
      </c>
      <c r="I3384" s="142">
        <v>270</v>
      </c>
      <c r="J3384" s="142">
        <v>260</v>
      </c>
      <c r="K3384" s="142">
        <v>0</v>
      </c>
      <c r="L3384" s="142">
        <v>0</v>
      </c>
      <c r="M3384" s="142">
        <v>10</v>
      </c>
    </row>
    <row r="3385" spans="1:13" x14ac:dyDescent="0.45">
      <c r="A3385" s="142" t="s">
        <v>13066</v>
      </c>
      <c r="B3385" s="142" t="s">
        <v>14459</v>
      </c>
      <c r="C3385" s="142" t="s">
        <v>15847</v>
      </c>
      <c r="D3385" s="142" t="s">
        <v>15848</v>
      </c>
      <c r="E3385" s="142" t="s">
        <v>15849</v>
      </c>
      <c r="F3385" s="142" t="s">
        <v>4908</v>
      </c>
      <c r="G3385" s="142" t="s">
        <v>4907</v>
      </c>
      <c r="H3385" s="142" t="s">
        <v>19235</v>
      </c>
      <c r="I3385" s="142">
        <v>17</v>
      </c>
      <c r="J3385" s="142">
        <v>0</v>
      </c>
      <c r="K3385" s="142">
        <v>0</v>
      </c>
      <c r="L3385" s="142">
        <v>17</v>
      </c>
      <c r="M3385" s="142">
        <v>0</v>
      </c>
    </row>
    <row r="3386" spans="1:13" x14ac:dyDescent="0.45">
      <c r="A3386" s="142" t="s">
        <v>13053</v>
      </c>
      <c r="B3386" s="142" t="s">
        <v>15436</v>
      </c>
      <c r="C3386" s="142" t="s">
        <v>15847</v>
      </c>
      <c r="D3386" s="142" t="s">
        <v>15848</v>
      </c>
      <c r="E3386" s="142" t="s">
        <v>15849</v>
      </c>
      <c r="F3386" s="142" t="s">
        <v>4908</v>
      </c>
      <c r="G3386" s="142" t="s">
        <v>4907</v>
      </c>
      <c r="H3386" s="142" t="s">
        <v>19236</v>
      </c>
      <c r="I3386" s="142">
        <v>385</v>
      </c>
      <c r="J3386" s="142">
        <v>376</v>
      </c>
      <c r="K3386" s="142">
        <v>0</v>
      </c>
      <c r="L3386" s="142">
        <v>0</v>
      </c>
      <c r="M3386" s="142">
        <v>9</v>
      </c>
    </row>
    <row r="3387" spans="1:13" x14ac:dyDescent="0.45">
      <c r="A3387" s="142" t="s">
        <v>13007</v>
      </c>
      <c r="B3387" s="142" t="s">
        <v>15262</v>
      </c>
      <c r="C3387" s="142" t="s">
        <v>15847</v>
      </c>
      <c r="D3387" s="142" t="s">
        <v>15848</v>
      </c>
      <c r="E3387" s="142" t="s">
        <v>15849</v>
      </c>
      <c r="F3387" s="142" t="s">
        <v>4908</v>
      </c>
      <c r="G3387" s="142" t="s">
        <v>4907</v>
      </c>
      <c r="H3387" s="142" t="s">
        <v>19237</v>
      </c>
      <c r="I3387" s="142">
        <v>6</v>
      </c>
      <c r="J3387" s="142">
        <v>0</v>
      </c>
      <c r="K3387" s="142">
        <v>0</v>
      </c>
      <c r="L3387" s="142">
        <v>0</v>
      </c>
      <c r="M3387" s="142">
        <v>6</v>
      </c>
    </row>
    <row r="3388" spans="1:13" x14ac:dyDescent="0.45">
      <c r="A3388" s="142" t="s">
        <v>13033</v>
      </c>
      <c r="B3388" s="142" t="s">
        <v>15276</v>
      </c>
      <c r="C3388" s="142" t="s">
        <v>15847</v>
      </c>
      <c r="D3388" s="142" t="s">
        <v>15848</v>
      </c>
      <c r="E3388" s="142" t="s">
        <v>15849</v>
      </c>
      <c r="F3388" s="142" t="s">
        <v>4908</v>
      </c>
      <c r="G3388" s="142" t="s">
        <v>4907</v>
      </c>
      <c r="H3388" s="142" t="s">
        <v>19238</v>
      </c>
      <c r="I3388" s="142">
        <v>42</v>
      </c>
      <c r="J3388" s="142">
        <v>42</v>
      </c>
      <c r="K3388" s="142">
        <v>0</v>
      </c>
      <c r="L3388" s="142">
        <v>0</v>
      </c>
      <c r="M3388" s="142">
        <v>0</v>
      </c>
    </row>
    <row r="3389" spans="1:13" x14ac:dyDescent="0.45">
      <c r="A3389" s="142" t="s">
        <v>13034</v>
      </c>
      <c r="B3389" s="142" t="s">
        <v>15562</v>
      </c>
      <c r="C3389" s="142" t="s">
        <v>15847</v>
      </c>
      <c r="D3389" s="142" t="s">
        <v>15848</v>
      </c>
      <c r="E3389" s="142" t="s">
        <v>15849</v>
      </c>
      <c r="F3389" s="142" t="s">
        <v>4908</v>
      </c>
      <c r="G3389" s="142" t="s">
        <v>4907</v>
      </c>
      <c r="H3389" s="142" t="s">
        <v>19239</v>
      </c>
      <c r="I3389" s="142">
        <v>60</v>
      </c>
      <c r="J3389" s="142">
        <v>0</v>
      </c>
      <c r="K3389" s="142">
        <v>0</v>
      </c>
      <c r="L3389" s="142">
        <v>60</v>
      </c>
      <c r="M3389" s="142">
        <v>0</v>
      </c>
    </row>
    <row r="3390" spans="1:13" x14ac:dyDescent="0.45">
      <c r="A3390" s="142" t="s">
        <v>13036</v>
      </c>
      <c r="B3390" s="142" t="s">
        <v>15567</v>
      </c>
      <c r="C3390" s="142" t="s">
        <v>15847</v>
      </c>
      <c r="D3390" s="142" t="s">
        <v>15848</v>
      </c>
      <c r="E3390" s="142" t="s">
        <v>15849</v>
      </c>
      <c r="F3390" s="142" t="s">
        <v>4908</v>
      </c>
      <c r="G3390" s="142" t="s">
        <v>4907</v>
      </c>
      <c r="H3390" s="142" t="s">
        <v>19240</v>
      </c>
      <c r="I3390" s="142">
        <v>13</v>
      </c>
      <c r="J3390" s="142">
        <v>0</v>
      </c>
      <c r="K3390" s="142">
        <v>0</v>
      </c>
      <c r="L3390" s="142">
        <v>13</v>
      </c>
      <c r="M3390" s="142">
        <v>0</v>
      </c>
    </row>
    <row r="3391" spans="1:13" x14ac:dyDescent="0.45">
      <c r="A3391" s="142" t="s">
        <v>13037</v>
      </c>
      <c r="B3391" s="142" t="s">
        <v>14519</v>
      </c>
      <c r="C3391" s="142" t="s">
        <v>15847</v>
      </c>
      <c r="D3391" s="142" t="s">
        <v>15848</v>
      </c>
      <c r="E3391" s="142" t="s">
        <v>15849</v>
      </c>
      <c r="F3391" s="142" t="s">
        <v>4908</v>
      </c>
      <c r="G3391" s="142" t="s">
        <v>4907</v>
      </c>
      <c r="H3391" s="142" t="s">
        <v>19241</v>
      </c>
      <c r="I3391" s="142">
        <v>1</v>
      </c>
      <c r="J3391" s="142">
        <v>0</v>
      </c>
      <c r="K3391" s="142">
        <v>0</v>
      </c>
      <c r="L3391" s="142">
        <v>1</v>
      </c>
      <c r="M3391" s="142">
        <v>0</v>
      </c>
    </row>
    <row r="3392" spans="1:13" x14ac:dyDescent="0.45">
      <c r="A3392" s="142" t="s">
        <v>13009</v>
      </c>
      <c r="B3392" s="142" t="s">
        <v>15256</v>
      </c>
      <c r="C3392" s="142" t="s">
        <v>15847</v>
      </c>
      <c r="D3392" s="142" t="s">
        <v>15848</v>
      </c>
      <c r="E3392" s="142" t="s">
        <v>15849</v>
      </c>
      <c r="F3392" s="142" t="s">
        <v>4908</v>
      </c>
      <c r="G3392" s="142" t="s">
        <v>4907</v>
      </c>
      <c r="H3392" s="142" t="s">
        <v>19242</v>
      </c>
      <c r="I3392" s="142">
        <v>4</v>
      </c>
      <c r="J3392" s="142">
        <v>0</v>
      </c>
      <c r="K3392" s="142">
        <v>0</v>
      </c>
      <c r="L3392" s="142">
        <v>4</v>
      </c>
      <c r="M3392" s="142">
        <v>0</v>
      </c>
    </row>
    <row r="3393" spans="1:13" x14ac:dyDescent="0.45">
      <c r="A3393" s="142" t="s">
        <v>13011</v>
      </c>
      <c r="B3393" s="142" t="s">
        <v>14695</v>
      </c>
      <c r="C3393" s="142" t="s">
        <v>15847</v>
      </c>
      <c r="D3393" s="142" t="s">
        <v>15848</v>
      </c>
      <c r="E3393" s="142" t="s">
        <v>15849</v>
      </c>
      <c r="F3393" s="142" t="s">
        <v>4908</v>
      </c>
      <c r="G3393" s="142" t="s">
        <v>4907</v>
      </c>
      <c r="H3393" s="142" t="s">
        <v>19243</v>
      </c>
      <c r="I3393" s="142">
        <v>145</v>
      </c>
      <c r="J3393" s="142">
        <v>38</v>
      </c>
      <c r="K3393" s="142">
        <v>0</v>
      </c>
      <c r="L3393" s="142">
        <v>107</v>
      </c>
      <c r="M3393" s="142">
        <v>0</v>
      </c>
    </row>
    <row r="3394" spans="1:13" x14ac:dyDescent="0.45">
      <c r="A3394" s="142" t="s">
        <v>13012</v>
      </c>
      <c r="B3394" s="142" t="s">
        <v>15337</v>
      </c>
      <c r="C3394" s="142" t="s">
        <v>15847</v>
      </c>
      <c r="D3394" s="142" t="s">
        <v>15848</v>
      </c>
      <c r="E3394" s="142" t="s">
        <v>15849</v>
      </c>
      <c r="F3394" s="142" t="s">
        <v>4908</v>
      </c>
      <c r="G3394" s="142" t="s">
        <v>4907</v>
      </c>
      <c r="H3394" s="142" t="s">
        <v>19244</v>
      </c>
      <c r="I3394" s="142">
        <v>33</v>
      </c>
      <c r="J3394" s="142">
        <v>0</v>
      </c>
      <c r="K3394" s="142">
        <v>0</v>
      </c>
      <c r="L3394" s="142">
        <v>33</v>
      </c>
      <c r="M3394" s="142">
        <v>0</v>
      </c>
    </row>
    <row r="3395" spans="1:13" x14ac:dyDescent="0.45">
      <c r="A3395" s="142" t="s">
        <v>13285</v>
      </c>
      <c r="B3395" s="142" t="s">
        <v>15158</v>
      </c>
      <c r="C3395" s="142" t="s">
        <v>15860</v>
      </c>
      <c r="D3395" s="142" t="s">
        <v>15861</v>
      </c>
      <c r="E3395" s="142" t="s">
        <v>15849</v>
      </c>
      <c r="F3395" s="142" t="s">
        <v>4908</v>
      </c>
      <c r="G3395" s="142" t="s">
        <v>4907</v>
      </c>
      <c r="H3395" s="142" t="s">
        <v>19245</v>
      </c>
      <c r="I3395" s="142">
        <v>17</v>
      </c>
      <c r="J3395" s="142">
        <v>0</v>
      </c>
      <c r="K3395" s="142">
        <v>0</v>
      </c>
      <c r="L3395" s="142">
        <v>17</v>
      </c>
      <c r="M3395" s="142">
        <v>0</v>
      </c>
    </row>
    <row r="3396" spans="1:13" x14ac:dyDescent="0.45">
      <c r="A3396" s="142" t="s">
        <v>13014</v>
      </c>
      <c r="B3396" s="142" t="s">
        <v>14505</v>
      </c>
      <c r="C3396" s="142" t="s">
        <v>15847</v>
      </c>
      <c r="D3396" s="142" t="s">
        <v>15848</v>
      </c>
      <c r="E3396" s="142" t="s">
        <v>15849</v>
      </c>
      <c r="F3396" s="142" t="s">
        <v>4908</v>
      </c>
      <c r="G3396" s="142" t="s">
        <v>4907</v>
      </c>
      <c r="H3396" s="142" t="s">
        <v>19246</v>
      </c>
      <c r="I3396" s="142">
        <v>394</v>
      </c>
      <c r="J3396" s="142">
        <v>207</v>
      </c>
      <c r="K3396" s="142">
        <v>0</v>
      </c>
      <c r="L3396" s="142">
        <v>93</v>
      </c>
      <c r="M3396" s="142">
        <v>94</v>
      </c>
    </row>
    <row r="3397" spans="1:13" x14ac:dyDescent="0.45">
      <c r="A3397" s="142" t="s">
        <v>13173</v>
      </c>
      <c r="B3397" s="142" t="s">
        <v>15590</v>
      </c>
      <c r="C3397" s="142" t="s">
        <v>15860</v>
      </c>
      <c r="D3397" s="142" t="s">
        <v>15861</v>
      </c>
      <c r="E3397" s="142" t="s">
        <v>15849</v>
      </c>
      <c r="F3397" s="142" t="s">
        <v>4908</v>
      </c>
      <c r="G3397" s="142" t="s">
        <v>4907</v>
      </c>
      <c r="H3397" s="142" t="s">
        <v>19247</v>
      </c>
      <c r="I3397" s="142">
        <v>8</v>
      </c>
      <c r="J3397" s="142">
        <v>0</v>
      </c>
      <c r="K3397" s="142">
        <v>0</v>
      </c>
      <c r="L3397" s="142">
        <v>8</v>
      </c>
      <c r="M3397" s="142">
        <v>0</v>
      </c>
    </row>
    <row r="3398" spans="1:13" x14ac:dyDescent="0.45">
      <c r="A3398" s="142" t="s">
        <v>13174</v>
      </c>
      <c r="B3398" s="142" t="s">
        <v>15280</v>
      </c>
      <c r="C3398" s="142" t="s">
        <v>15847</v>
      </c>
      <c r="D3398" s="142" t="s">
        <v>15848</v>
      </c>
      <c r="E3398" s="142" t="s">
        <v>15849</v>
      </c>
      <c r="F3398" s="142" t="s">
        <v>4908</v>
      </c>
      <c r="G3398" s="142" t="s">
        <v>4907</v>
      </c>
      <c r="H3398" s="142" t="s">
        <v>19248</v>
      </c>
      <c r="I3398" s="142">
        <v>67</v>
      </c>
      <c r="J3398" s="142">
        <v>65</v>
      </c>
      <c r="K3398" s="142">
        <v>0</v>
      </c>
      <c r="L3398" s="142">
        <v>0</v>
      </c>
      <c r="M3398" s="142">
        <v>2</v>
      </c>
    </row>
    <row r="3399" spans="1:13" x14ac:dyDescent="0.45">
      <c r="A3399" s="142" t="s">
        <v>13709</v>
      </c>
      <c r="B3399" s="142" t="s">
        <v>14586</v>
      </c>
      <c r="C3399" s="142" t="s">
        <v>15860</v>
      </c>
      <c r="D3399" s="142" t="s">
        <v>15861</v>
      </c>
      <c r="E3399" s="142" t="s">
        <v>15849</v>
      </c>
      <c r="F3399" s="142" t="s">
        <v>4908</v>
      </c>
      <c r="G3399" s="142" t="s">
        <v>4907</v>
      </c>
      <c r="H3399" s="142" t="s">
        <v>19249</v>
      </c>
      <c r="I3399" s="142">
        <v>124</v>
      </c>
      <c r="J3399" s="142">
        <v>0</v>
      </c>
      <c r="K3399" s="142">
        <v>0</v>
      </c>
      <c r="L3399" s="142">
        <v>124</v>
      </c>
      <c r="M3399" s="142">
        <v>0</v>
      </c>
    </row>
    <row r="3400" spans="1:13" x14ac:dyDescent="0.45">
      <c r="A3400" s="142" t="s">
        <v>13175</v>
      </c>
      <c r="B3400" s="142" t="s">
        <v>15561</v>
      </c>
      <c r="C3400" s="142" t="s">
        <v>15860</v>
      </c>
      <c r="D3400" s="142" t="s">
        <v>15861</v>
      </c>
      <c r="E3400" s="142" t="s">
        <v>15849</v>
      </c>
      <c r="F3400" s="142" t="s">
        <v>4908</v>
      </c>
      <c r="G3400" s="142" t="s">
        <v>4907</v>
      </c>
      <c r="H3400" s="142" t="s">
        <v>19250</v>
      </c>
      <c r="I3400" s="142">
        <v>8</v>
      </c>
      <c r="J3400" s="142">
        <v>0</v>
      </c>
      <c r="K3400" s="142">
        <v>0</v>
      </c>
      <c r="L3400" s="142">
        <v>8</v>
      </c>
      <c r="M3400" s="142">
        <v>0</v>
      </c>
    </row>
    <row r="3401" spans="1:13" x14ac:dyDescent="0.45">
      <c r="A3401" s="142" t="s">
        <v>13015</v>
      </c>
      <c r="B3401" s="142" t="s">
        <v>14596</v>
      </c>
      <c r="C3401" s="142" t="s">
        <v>15847</v>
      </c>
      <c r="D3401" s="142" t="s">
        <v>15848</v>
      </c>
      <c r="E3401" s="142" t="s">
        <v>15849</v>
      </c>
      <c r="F3401" s="142" t="s">
        <v>4908</v>
      </c>
      <c r="G3401" s="142" t="s">
        <v>4907</v>
      </c>
      <c r="H3401" s="142" t="s">
        <v>19251</v>
      </c>
      <c r="I3401" s="142">
        <v>1452</v>
      </c>
      <c r="J3401" s="142">
        <v>1220</v>
      </c>
      <c r="K3401" s="142">
        <v>0</v>
      </c>
      <c r="L3401" s="142">
        <v>22</v>
      </c>
      <c r="M3401" s="142">
        <v>210</v>
      </c>
    </row>
    <row r="3402" spans="1:13" x14ac:dyDescent="0.45">
      <c r="A3402" s="142" t="s">
        <v>13021</v>
      </c>
      <c r="B3402" s="142" t="s">
        <v>15501</v>
      </c>
      <c r="C3402" s="142" t="s">
        <v>15847</v>
      </c>
      <c r="D3402" s="142" t="s">
        <v>15848</v>
      </c>
      <c r="E3402" s="142" t="s">
        <v>15849</v>
      </c>
      <c r="F3402" s="142" t="s">
        <v>5594</v>
      </c>
      <c r="G3402" s="142" t="s">
        <v>5593</v>
      </c>
      <c r="H3402" s="142" t="s">
        <v>19252</v>
      </c>
      <c r="I3402" s="142">
        <v>6</v>
      </c>
      <c r="J3402" s="142">
        <v>0</v>
      </c>
      <c r="K3402" s="142">
        <v>0</v>
      </c>
      <c r="L3402" s="142">
        <v>6</v>
      </c>
      <c r="M3402" s="142">
        <v>0</v>
      </c>
    </row>
    <row r="3403" spans="1:13" x14ac:dyDescent="0.45">
      <c r="A3403" s="142" t="s">
        <v>13000</v>
      </c>
      <c r="B3403" s="142" t="s">
        <v>14610</v>
      </c>
      <c r="C3403" s="142" t="s">
        <v>15847</v>
      </c>
      <c r="D3403" s="142" t="s">
        <v>15848</v>
      </c>
      <c r="E3403" s="142" t="s">
        <v>15849</v>
      </c>
      <c r="F3403" s="142" t="s">
        <v>5594</v>
      </c>
      <c r="G3403" s="142" t="s">
        <v>5593</v>
      </c>
      <c r="H3403" s="142" t="s">
        <v>19253</v>
      </c>
      <c r="I3403" s="142">
        <v>96</v>
      </c>
      <c r="J3403" s="142">
        <v>85</v>
      </c>
      <c r="K3403" s="142">
        <v>0</v>
      </c>
      <c r="L3403" s="142">
        <v>0</v>
      </c>
      <c r="M3403" s="142">
        <v>11</v>
      </c>
    </row>
    <row r="3404" spans="1:13" x14ac:dyDescent="0.45">
      <c r="A3404" s="142" t="s">
        <v>13027</v>
      </c>
      <c r="B3404" s="142" t="s">
        <v>14562</v>
      </c>
      <c r="C3404" s="142" t="s">
        <v>15847</v>
      </c>
      <c r="D3404" s="142" t="s">
        <v>15848</v>
      </c>
      <c r="E3404" s="142" t="s">
        <v>15849</v>
      </c>
      <c r="F3404" s="142" t="s">
        <v>5594</v>
      </c>
      <c r="G3404" s="142" t="s">
        <v>5593</v>
      </c>
      <c r="H3404" s="142" t="s">
        <v>19254</v>
      </c>
      <c r="I3404" s="142">
        <v>4</v>
      </c>
      <c r="J3404" s="142">
        <v>0</v>
      </c>
      <c r="K3404" s="142">
        <v>0</v>
      </c>
      <c r="L3404" s="142">
        <v>4</v>
      </c>
      <c r="M3404" s="142">
        <v>0</v>
      </c>
    </row>
    <row r="3405" spans="1:13" x14ac:dyDescent="0.45">
      <c r="A3405" s="142" t="s">
        <v>13602</v>
      </c>
      <c r="B3405" s="142" t="s">
        <v>15512</v>
      </c>
      <c r="C3405" s="142" t="s">
        <v>15860</v>
      </c>
      <c r="D3405" s="142" t="s">
        <v>15861</v>
      </c>
      <c r="E3405" s="142" t="s">
        <v>15849</v>
      </c>
      <c r="F3405" s="142" t="s">
        <v>5594</v>
      </c>
      <c r="G3405" s="142" t="s">
        <v>5593</v>
      </c>
      <c r="H3405" s="142" t="s">
        <v>19255</v>
      </c>
      <c r="I3405" s="142">
        <v>412</v>
      </c>
      <c r="J3405" s="142">
        <v>399</v>
      </c>
      <c r="K3405" s="142">
        <v>0</v>
      </c>
      <c r="L3405" s="142">
        <v>13</v>
      </c>
      <c r="M3405" s="142">
        <v>0</v>
      </c>
    </row>
    <row r="3406" spans="1:13" x14ac:dyDescent="0.45">
      <c r="A3406" s="142" t="s">
        <v>13603</v>
      </c>
      <c r="B3406" s="142" t="s">
        <v>14439</v>
      </c>
      <c r="C3406" s="142" t="s">
        <v>15847</v>
      </c>
      <c r="D3406" s="142" t="s">
        <v>15848</v>
      </c>
      <c r="E3406" s="142" t="s">
        <v>15849</v>
      </c>
      <c r="F3406" s="142" t="s">
        <v>5594</v>
      </c>
      <c r="G3406" s="142" t="s">
        <v>5593</v>
      </c>
      <c r="H3406" s="142" t="s">
        <v>19256</v>
      </c>
      <c r="I3406" s="142">
        <v>67</v>
      </c>
      <c r="J3406" s="142">
        <v>43</v>
      </c>
      <c r="K3406" s="142">
        <v>0</v>
      </c>
      <c r="L3406" s="142">
        <v>0</v>
      </c>
      <c r="M3406" s="142">
        <v>24</v>
      </c>
    </row>
    <row r="3407" spans="1:13" x14ac:dyDescent="0.45">
      <c r="A3407" s="142" t="s">
        <v>13028</v>
      </c>
      <c r="B3407" s="142" t="s">
        <v>14462</v>
      </c>
      <c r="C3407" s="142" t="s">
        <v>15847</v>
      </c>
      <c r="D3407" s="142" t="s">
        <v>15848</v>
      </c>
      <c r="E3407" s="142" t="s">
        <v>15849</v>
      </c>
      <c r="F3407" s="142" t="s">
        <v>5594</v>
      </c>
      <c r="G3407" s="142" t="s">
        <v>5593</v>
      </c>
      <c r="H3407" s="142" t="s">
        <v>19257</v>
      </c>
      <c r="I3407" s="142">
        <v>5</v>
      </c>
      <c r="J3407" s="142">
        <v>0</v>
      </c>
      <c r="K3407" s="142">
        <v>0</v>
      </c>
      <c r="L3407" s="142">
        <v>0</v>
      </c>
      <c r="M3407" s="142">
        <v>5</v>
      </c>
    </row>
    <row r="3408" spans="1:13" x14ac:dyDescent="0.45">
      <c r="A3408" s="142" t="s">
        <v>13002</v>
      </c>
      <c r="B3408" s="142" t="s">
        <v>15376</v>
      </c>
      <c r="C3408" s="142" t="s">
        <v>15847</v>
      </c>
      <c r="D3408" s="142" t="s">
        <v>15848</v>
      </c>
      <c r="E3408" s="142" t="s">
        <v>15849</v>
      </c>
      <c r="F3408" s="142" t="s">
        <v>5594</v>
      </c>
      <c r="G3408" s="142" t="s">
        <v>5593</v>
      </c>
      <c r="H3408" s="142" t="s">
        <v>19258</v>
      </c>
      <c r="I3408" s="142">
        <v>2</v>
      </c>
      <c r="J3408" s="142">
        <v>0</v>
      </c>
      <c r="K3408" s="142">
        <v>0</v>
      </c>
      <c r="L3408" s="142">
        <v>2</v>
      </c>
      <c r="M3408" s="142">
        <v>0</v>
      </c>
    </row>
    <row r="3409" spans="1:13" x14ac:dyDescent="0.45">
      <c r="A3409" s="142" t="s">
        <v>13004</v>
      </c>
      <c r="B3409" s="142" t="s">
        <v>15492</v>
      </c>
      <c r="C3409" s="142" t="s">
        <v>15847</v>
      </c>
      <c r="D3409" s="142" t="s">
        <v>15848</v>
      </c>
      <c r="E3409" s="142" t="s">
        <v>15849</v>
      </c>
      <c r="F3409" s="142" t="s">
        <v>5594</v>
      </c>
      <c r="G3409" s="142" t="s">
        <v>5593</v>
      </c>
      <c r="H3409" s="142" t="s">
        <v>19259</v>
      </c>
      <c r="I3409" s="142">
        <v>411</v>
      </c>
      <c r="J3409" s="142">
        <v>311</v>
      </c>
      <c r="K3409" s="142">
        <v>0</v>
      </c>
      <c r="L3409" s="142">
        <v>37</v>
      </c>
      <c r="M3409" s="142">
        <v>63</v>
      </c>
    </row>
    <row r="3410" spans="1:13" x14ac:dyDescent="0.45">
      <c r="A3410" s="142" t="s">
        <v>13005</v>
      </c>
      <c r="B3410" s="142" t="s">
        <v>15475</v>
      </c>
      <c r="C3410" s="142" t="s">
        <v>15847</v>
      </c>
      <c r="D3410" s="142" t="s">
        <v>15848</v>
      </c>
      <c r="E3410" s="142" t="s">
        <v>15849</v>
      </c>
      <c r="F3410" s="142" t="s">
        <v>5594</v>
      </c>
      <c r="G3410" s="142" t="s">
        <v>5593</v>
      </c>
      <c r="H3410" s="142" t="s">
        <v>19260</v>
      </c>
      <c r="I3410" s="142">
        <v>30</v>
      </c>
      <c r="J3410" s="142">
        <v>0</v>
      </c>
      <c r="K3410" s="142">
        <v>0</v>
      </c>
      <c r="L3410" s="142">
        <v>0</v>
      </c>
      <c r="M3410" s="142">
        <v>30</v>
      </c>
    </row>
    <row r="3411" spans="1:13" x14ac:dyDescent="0.45">
      <c r="A3411" s="142" t="s">
        <v>13007</v>
      </c>
      <c r="B3411" s="142" t="s">
        <v>15262</v>
      </c>
      <c r="C3411" s="142" t="s">
        <v>15847</v>
      </c>
      <c r="D3411" s="142" t="s">
        <v>15848</v>
      </c>
      <c r="E3411" s="142" t="s">
        <v>15849</v>
      </c>
      <c r="F3411" s="142" t="s">
        <v>5594</v>
      </c>
      <c r="G3411" s="142" t="s">
        <v>5593</v>
      </c>
      <c r="H3411" s="142" t="s">
        <v>19261</v>
      </c>
      <c r="I3411" s="142">
        <v>626</v>
      </c>
      <c r="J3411" s="142">
        <v>383</v>
      </c>
      <c r="K3411" s="142">
        <v>0</v>
      </c>
      <c r="L3411" s="142">
        <v>15</v>
      </c>
      <c r="M3411" s="142">
        <v>228</v>
      </c>
    </row>
    <row r="3412" spans="1:13" x14ac:dyDescent="0.45">
      <c r="A3412" s="142" t="s">
        <v>13340</v>
      </c>
      <c r="B3412" s="142" t="s">
        <v>14499</v>
      </c>
      <c r="C3412" s="142" t="s">
        <v>15860</v>
      </c>
      <c r="D3412" s="142" t="s">
        <v>15861</v>
      </c>
      <c r="E3412" s="142" t="s">
        <v>15849</v>
      </c>
      <c r="F3412" s="142" t="s">
        <v>5594</v>
      </c>
      <c r="G3412" s="142" t="s">
        <v>5593</v>
      </c>
      <c r="H3412" s="142" t="s">
        <v>19262</v>
      </c>
      <c r="I3412" s="142">
        <v>1</v>
      </c>
      <c r="J3412" s="142">
        <v>1</v>
      </c>
      <c r="K3412" s="142">
        <v>0</v>
      </c>
      <c r="L3412" s="142">
        <v>0</v>
      </c>
      <c r="M3412" s="142">
        <v>0</v>
      </c>
    </row>
    <row r="3413" spans="1:13" x14ac:dyDescent="0.45">
      <c r="A3413" s="142" t="s">
        <v>13008</v>
      </c>
      <c r="B3413" s="142" t="s">
        <v>15411</v>
      </c>
      <c r="C3413" s="142" t="s">
        <v>15847</v>
      </c>
      <c r="D3413" s="142" t="s">
        <v>15848</v>
      </c>
      <c r="E3413" s="142" t="s">
        <v>15849</v>
      </c>
      <c r="F3413" s="142" t="s">
        <v>5594</v>
      </c>
      <c r="G3413" s="142" t="s">
        <v>5593</v>
      </c>
      <c r="H3413" s="142" t="s">
        <v>19263</v>
      </c>
      <c r="I3413" s="142">
        <v>73</v>
      </c>
      <c r="J3413" s="142">
        <v>0</v>
      </c>
      <c r="K3413" s="142">
        <v>0</v>
      </c>
      <c r="L3413" s="142">
        <v>0</v>
      </c>
      <c r="M3413" s="142">
        <v>73</v>
      </c>
    </row>
    <row r="3414" spans="1:13" x14ac:dyDescent="0.45">
      <c r="A3414" s="142" t="s">
        <v>13077</v>
      </c>
      <c r="B3414" s="142" t="s">
        <v>15407</v>
      </c>
      <c r="C3414" s="142" t="s">
        <v>15847</v>
      </c>
      <c r="D3414" s="142" t="s">
        <v>15848</v>
      </c>
      <c r="E3414" s="142" t="s">
        <v>15849</v>
      </c>
      <c r="F3414" s="142" t="s">
        <v>5594</v>
      </c>
      <c r="G3414" s="142" t="s">
        <v>5593</v>
      </c>
      <c r="H3414" s="142" t="s">
        <v>19264</v>
      </c>
      <c r="I3414" s="142">
        <v>30</v>
      </c>
      <c r="J3414" s="142">
        <v>30</v>
      </c>
      <c r="K3414" s="142">
        <v>0</v>
      </c>
      <c r="L3414" s="142">
        <v>0</v>
      </c>
      <c r="M3414" s="142">
        <v>0</v>
      </c>
    </row>
    <row r="3415" spans="1:13" x14ac:dyDescent="0.45">
      <c r="A3415" s="142" t="s">
        <v>13033</v>
      </c>
      <c r="B3415" s="142" t="s">
        <v>15276</v>
      </c>
      <c r="C3415" s="142" t="s">
        <v>15847</v>
      </c>
      <c r="D3415" s="142" t="s">
        <v>15848</v>
      </c>
      <c r="E3415" s="142" t="s">
        <v>15849</v>
      </c>
      <c r="F3415" s="142" t="s">
        <v>5594</v>
      </c>
      <c r="G3415" s="142" t="s">
        <v>5593</v>
      </c>
      <c r="H3415" s="142" t="s">
        <v>19265</v>
      </c>
      <c r="I3415" s="142">
        <v>30</v>
      </c>
      <c r="J3415" s="142">
        <v>1</v>
      </c>
      <c r="K3415" s="142">
        <v>0</v>
      </c>
      <c r="L3415" s="142">
        <v>0</v>
      </c>
      <c r="M3415" s="142">
        <v>29</v>
      </c>
    </row>
    <row r="3416" spans="1:13" x14ac:dyDescent="0.45">
      <c r="A3416" s="142" t="s">
        <v>13034</v>
      </c>
      <c r="B3416" s="142" t="s">
        <v>15562</v>
      </c>
      <c r="C3416" s="142" t="s">
        <v>15847</v>
      </c>
      <c r="D3416" s="142" t="s">
        <v>15848</v>
      </c>
      <c r="E3416" s="142" t="s">
        <v>15849</v>
      </c>
      <c r="F3416" s="142" t="s">
        <v>5594</v>
      </c>
      <c r="G3416" s="142" t="s">
        <v>5593</v>
      </c>
      <c r="H3416" s="142" t="s">
        <v>19266</v>
      </c>
      <c r="I3416" s="142">
        <v>6</v>
      </c>
      <c r="J3416" s="142">
        <v>0</v>
      </c>
      <c r="K3416" s="142">
        <v>0</v>
      </c>
      <c r="L3416" s="142">
        <v>6</v>
      </c>
      <c r="M3416" s="142">
        <v>0</v>
      </c>
    </row>
    <row r="3417" spans="1:13" x14ac:dyDescent="0.45">
      <c r="A3417" s="142" t="s">
        <v>13039</v>
      </c>
      <c r="B3417" s="142" t="s">
        <v>14647</v>
      </c>
      <c r="C3417" s="142" t="s">
        <v>15847</v>
      </c>
      <c r="D3417" s="142" t="s">
        <v>15848</v>
      </c>
      <c r="E3417" s="142" t="s">
        <v>15849</v>
      </c>
      <c r="F3417" s="142" t="s">
        <v>5594</v>
      </c>
      <c r="G3417" s="142" t="s">
        <v>5593</v>
      </c>
      <c r="H3417" s="142" t="s">
        <v>19267</v>
      </c>
      <c r="I3417" s="142">
        <v>30</v>
      </c>
      <c r="J3417" s="142">
        <v>30</v>
      </c>
      <c r="K3417" s="142">
        <v>0</v>
      </c>
      <c r="L3417" s="142">
        <v>0</v>
      </c>
      <c r="M3417" s="142">
        <v>0</v>
      </c>
    </row>
    <row r="3418" spans="1:13" x14ac:dyDescent="0.45">
      <c r="A3418" s="142" t="s">
        <v>13091</v>
      </c>
      <c r="B3418" s="142" t="s">
        <v>14473</v>
      </c>
      <c r="C3418" s="142" t="s">
        <v>15847</v>
      </c>
      <c r="D3418" s="142" t="s">
        <v>15848</v>
      </c>
      <c r="E3418" s="142" t="s">
        <v>15849</v>
      </c>
      <c r="F3418" s="142" t="s">
        <v>5594</v>
      </c>
      <c r="G3418" s="142" t="s">
        <v>5593</v>
      </c>
      <c r="H3418" s="142" t="s">
        <v>19268</v>
      </c>
      <c r="I3418" s="142">
        <v>70</v>
      </c>
      <c r="J3418" s="142">
        <v>0</v>
      </c>
      <c r="K3418" s="142">
        <v>0</v>
      </c>
      <c r="L3418" s="142">
        <v>63</v>
      </c>
      <c r="M3418" s="142">
        <v>7</v>
      </c>
    </row>
    <row r="3419" spans="1:13" x14ac:dyDescent="0.45">
      <c r="A3419" s="142" t="s">
        <v>13011</v>
      </c>
      <c r="B3419" s="142" t="s">
        <v>14695</v>
      </c>
      <c r="C3419" s="142" t="s">
        <v>15847</v>
      </c>
      <c r="D3419" s="142" t="s">
        <v>15848</v>
      </c>
      <c r="E3419" s="142" t="s">
        <v>15849</v>
      </c>
      <c r="F3419" s="142" t="s">
        <v>5594</v>
      </c>
      <c r="G3419" s="142" t="s">
        <v>5593</v>
      </c>
      <c r="H3419" s="142" t="s">
        <v>19269</v>
      </c>
      <c r="I3419" s="142">
        <v>101</v>
      </c>
      <c r="J3419" s="142">
        <v>83</v>
      </c>
      <c r="K3419" s="142">
        <v>0</v>
      </c>
      <c r="L3419" s="142">
        <v>0</v>
      </c>
      <c r="M3419" s="142">
        <v>18</v>
      </c>
    </row>
    <row r="3420" spans="1:13" x14ac:dyDescent="0.45">
      <c r="A3420" s="142" t="s">
        <v>13041</v>
      </c>
      <c r="B3420" s="142" t="s">
        <v>14441</v>
      </c>
      <c r="C3420" s="142" t="s">
        <v>15847</v>
      </c>
      <c r="D3420" s="142" t="s">
        <v>15848</v>
      </c>
      <c r="E3420" s="142" t="s">
        <v>15849</v>
      </c>
      <c r="F3420" s="142" t="s">
        <v>5594</v>
      </c>
      <c r="G3420" s="142" t="s">
        <v>5593</v>
      </c>
      <c r="H3420" s="142" t="s">
        <v>19270</v>
      </c>
      <c r="I3420" s="142">
        <v>28</v>
      </c>
      <c r="J3420" s="142">
        <v>0</v>
      </c>
      <c r="K3420" s="142">
        <v>0</v>
      </c>
      <c r="L3420" s="142">
        <v>0</v>
      </c>
      <c r="M3420" s="142">
        <v>28</v>
      </c>
    </row>
    <row r="3421" spans="1:13" x14ac:dyDescent="0.45">
      <c r="A3421" s="142" t="s">
        <v>13711</v>
      </c>
      <c r="B3421" s="142" t="s">
        <v>14903</v>
      </c>
      <c r="C3421" s="142" t="s">
        <v>15860</v>
      </c>
      <c r="D3421" s="142" t="s">
        <v>15861</v>
      </c>
      <c r="E3421" s="142" t="s">
        <v>15849</v>
      </c>
      <c r="F3421" s="142" t="s">
        <v>5594</v>
      </c>
      <c r="G3421" s="142" t="s">
        <v>5593</v>
      </c>
      <c r="H3421" s="142" t="s">
        <v>19271</v>
      </c>
      <c r="I3421" s="142">
        <v>67</v>
      </c>
      <c r="J3421" s="142">
        <v>67</v>
      </c>
      <c r="K3421" s="142">
        <v>0</v>
      </c>
      <c r="L3421" s="142">
        <v>0</v>
      </c>
      <c r="M3421" s="142">
        <v>0</v>
      </c>
    </row>
    <row r="3422" spans="1:13" x14ac:dyDescent="0.45">
      <c r="A3422" s="142" t="s">
        <v>13079</v>
      </c>
      <c r="B3422" s="142" t="s">
        <v>15431</v>
      </c>
      <c r="C3422" s="142" t="s">
        <v>15847</v>
      </c>
      <c r="D3422" s="142" t="s">
        <v>15848</v>
      </c>
      <c r="E3422" s="142" t="s">
        <v>15849</v>
      </c>
      <c r="F3422" s="142" t="s">
        <v>5594</v>
      </c>
      <c r="G3422" s="142" t="s">
        <v>5593</v>
      </c>
      <c r="H3422" s="142" t="s">
        <v>19272</v>
      </c>
      <c r="I3422" s="142">
        <v>477</v>
      </c>
      <c r="J3422" s="142">
        <v>233</v>
      </c>
      <c r="K3422" s="142">
        <v>0</v>
      </c>
      <c r="L3422" s="142">
        <v>56</v>
      </c>
      <c r="M3422" s="142">
        <v>188</v>
      </c>
    </row>
    <row r="3423" spans="1:13" x14ac:dyDescent="0.45">
      <c r="A3423" s="142" t="s">
        <v>13080</v>
      </c>
      <c r="B3423" s="142" t="s">
        <v>15553</v>
      </c>
      <c r="C3423" s="142" t="s">
        <v>15847</v>
      </c>
      <c r="D3423" s="142" t="s">
        <v>15848</v>
      </c>
      <c r="E3423" s="142" t="s">
        <v>15849</v>
      </c>
      <c r="F3423" s="142" t="s">
        <v>5594</v>
      </c>
      <c r="G3423" s="142" t="s">
        <v>5593</v>
      </c>
      <c r="H3423" s="142" t="s">
        <v>19273</v>
      </c>
      <c r="I3423" s="142">
        <v>94</v>
      </c>
      <c r="J3423" s="142">
        <v>42</v>
      </c>
      <c r="K3423" s="142">
        <v>0</v>
      </c>
      <c r="L3423" s="142">
        <v>1</v>
      </c>
      <c r="M3423" s="142">
        <v>51</v>
      </c>
    </row>
    <row r="3424" spans="1:13" x14ac:dyDescent="0.45">
      <c r="A3424" s="142" t="s">
        <v>13023</v>
      </c>
      <c r="B3424" s="142" t="s">
        <v>15571</v>
      </c>
      <c r="C3424" s="142" t="s">
        <v>15847</v>
      </c>
      <c r="D3424" s="142" t="s">
        <v>15848</v>
      </c>
      <c r="E3424" s="142" t="s">
        <v>15849</v>
      </c>
      <c r="F3424" s="142" t="s">
        <v>7083</v>
      </c>
      <c r="G3424" s="142" t="s">
        <v>7082</v>
      </c>
      <c r="H3424" s="142" t="s">
        <v>19274</v>
      </c>
      <c r="I3424" s="142">
        <v>30</v>
      </c>
      <c r="J3424" s="142">
        <v>0</v>
      </c>
      <c r="K3424" s="142">
        <v>0</v>
      </c>
      <c r="L3424" s="142">
        <v>30</v>
      </c>
      <c r="M3424" s="142">
        <v>0</v>
      </c>
    </row>
    <row r="3425" spans="1:13" x14ac:dyDescent="0.45">
      <c r="A3425" s="142" t="s">
        <v>13330</v>
      </c>
      <c r="B3425" s="142" t="s">
        <v>15239</v>
      </c>
      <c r="C3425" s="142" t="s">
        <v>15847</v>
      </c>
      <c r="D3425" s="142" t="s">
        <v>15848</v>
      </c>
      <c r="E3425" s="142" t="s">
        <v>15849</v>
      </c>
      <c r="F3425" s="142" t="s">
        <v>7083</v>
      </c>
      <c r="G3425" s="142" t="s">
        <v>7082</v>
      </c>
      <c r="H3425" s="142" t="s">
        <v>19275</v>
      </c>
      <c r="I3425" s="142">
        <v>396</v>
      </c>
      <c r="J3425" s="142">
        <v>352</v>
      </c>
      <c r="K3425" s="142">
        <v>0</v>
      </c>
      <c r="L3425" s="142">
        <v>31</v>
      </c>
      <c r="M3425" s="142">
        <v>13</v>
      </c>
    </row>
    <row r="3426" spans="1:13" x14ac:dyDescent="0.45">
      <c r="A3426" s="142" t="s">
        <v>13000</v>
      </c>
      <c r="B3426" s="142" t="s">
        <v>14610</v>
      </c>
      <c r="C3426" s="142" t="s">
        <v>15847</v>
      </c>
      <c r="D3426" s="142" t="s">
        <v>15848</v>
      </c>
      <c r="E3426" s="142" t="s">
        <v>15849</v>
      </c>
      <c r="F3426" s="142" t="s">
        <v>7083</v>
      </c>
      <c r="G3426" s="142" t="s">
        <v>7082</v>
      </c>
      <c r="H3426" s="142" t="s">
        <v>19276</v>
      </c>
      <c r="I3426" s="142">
        <v>79</v>
      </c>
      <c r="J3426" s="142">
        <v>75</v>
      </c>
      <c r="K3426" s="142">
        <v>0</v>
      </c>
      <c r="L3426" s="142">
        <v>0</v>
      </c>
      <c r="M3426" s="142">
        <v>4</v>
      </c>
    </row>
    <row r="3427" spans="1:13" x14ac:dyDescent="0.45">
      <c r="A3427" s="142" t="s">
        <v>13024</v>
      </c>
      <c r="B3427" s="142" t="s">
        <v>14538</v>
      </c>
      <c r="C3427" s="142" t="s">
        <v>15847</v>
      </c>
      <c r="D3427" s="142" t="s">
        <v>15848</v>
      </c>
      <c r="E3427" s="142" t="s">
        <v>15849</v>
      </c>
      <c r="F3427" s="142" t="s">
        <v>7083</v>
      </c>
      <c r="G3427" s="142" t="s">
        <v>7082</v>
      </c>
      <c r="H3427" s="142" t="s">
        <v>19277</v>
      </c>
      <c r="I3427" s="142">
        <v>1</v>
      </c>
      <c r="J3427" s="142">
        <v>0</v>
      </c>
      <c r="K3427" s="142">
        <v>0</v>
      </c>
      <c r="L3427" s="142">
        <v>0</v>
      </c>
      <c r="M3427" s="142">
        <v>1</v>
      </c>
    </row>
    <row r="3428" spans="1:13" x14ac:dyDescent="0.45">
      <c r="A3428" s="142" t="s">
        <v>13049</v>
      </c>
      <c r="B3428" s="142" t="s">
        <v>14534</v>
      </c>
      <c r="C3428" s="142" t="s">
        <v>15860</v>
      </c>
      <c r="D3428" s="142" t="s">
        <v>15861</v>
      </c>
      <c r="E3428" s="142" t="s">
        <v>15849</v>
      </c>
      <c r="F3428" s="142" t="s">
        <v>7083</v>
      </c>
      <c r="G3428" s="142" t="s">
        <v>7082</v>
      </c>
      <c r="H3428" s="142" t="s">
        <v>19278</v>
      </c>
      <c r="I3428" s="142">
        <v>11</v>
      </c>
      <c r="J3428" s="142">
        <v>0</v>
      </c>
      <c r="K3428" s="142">
        <v>0</v>
      </c>
      <c r="L3428" s="142">
        <v>11</v>
      </c>
      <c r="M3428" s="142">
        <v>0</v>
      </c>
    </row>
    <row r="3429" spans="1:13" x14ac:dyDescent="0.45">
      <c r="A3429" s="142" t="s">
        <v>13087</v>
      </c>
      <c r="B3429" s="142" t="s">
        <v>14452</v>
      </c>
      <c r="C3429" s="142" t="s">
        <v>15847</v>
      </c>
      <c r="D3429" s="142" t="s">
        <v>15848</v>
      </c>
      <c r="E3429" s="142" t="s">
        <v>15849</v>
      </c>
      <c r="F3429" s="142" t="s">
        <v>7083</v>
      </c>
      <c r="G3429" s="142" t="s">
        <v>7082</v>
      </c>
      <c r="H3429" s="142" t="s">
        <v>19279</v>
      </c>
      <c r="I3429" s="142">
        <v>634</v>
      </c>
      <c r="J3429" s="142">
        <v>581</v>
      </c>
      <c r="K3429" s="142">
        <v>0</v>
      </c>
      <c r="L3429" s="142">
        <v>0</v>
      </c>
      <c r="M3429" s="142">
        <v>53</v>
      </c>
    </row>
    <row r="3430" spans="1:13" x14ac:dyDescent="0.45">
      <c r="A3430" s="142" t="s">
        <v>13027</v>
      </c>
      <c r="B3430" s="142" t="s">
        <v>14562</v>
      </c>
      <c r="C3430" s="142" t="s">
        <v>15847</v>
      </c>
      <c r="D3430" s="142" t="s">
        <v>15848</v>
      </c>
      <c r="E3430" s="142" t="s">
        <v>15849</v>
      </c>
      <c r="F3430" s="142" t="s">
        <v>7083</v>
      </c>
      <c r="G3430" s="142" t="s">
        <v>7082</v>
      </c>
      <c r="H3430" s="142" t="s">
        <v>19280</v>
      </c>
      <c r="I3430" s="142">
        <v>8</v>
      </c>
      <c r="J3430" s="142">
        <v>0</v>
      </c>
      <c r="K3430" s="142">
        <v>0</v>
      </c>
      <c r="L3430" s="142">
        <v>8</v>
      </c>
      <c r="M3430" s="142">
        <v>0</v>
      </c>
    </row>
    <row r="3431" spans="1:13" x14ac:dyDescent="0.45">
      <c r="A3431" s="142" t="s">
        <v>13713</v>
      </c>
      <c r="B3431" s="142" t="s">
        <v>15585</v>
      </c>
      <c r="C3431" s="142" t="s">
        <v>15860</v>
      </c>
      <c r="D3431" s="142" t="s">
        <v>15861</v>
      </c>
      <c r="E3431" s="142" t="s">
        <v>15849</v>
      </c>
      <c r="F3431" s="142" t="s">
        <v>7083</v>
      </c>
      <c r="G3431" s="142" t="s">
        <v>7082</v>
      </c>
      <c r="H3431" s="142" t="s">
        <v>19281</v>
      </c>
      <c r="I3431" s="142">
        <v>58</v>
      </c>
      <c r="J3431" s="142">
        <v>0</v>
      </c>
      <c r="K3431" s="142">
        <v>0</v>
      </c>
      <c r="L3431" s="142">
        <v>58</v>
      </c>
      <c r="M3431" s="142">
        <v>0</v>
      </c>
    </row>
    <row r="3432" spans="1:13" x14ac:dyDescent="0.45">
      <c r="A3432" s="142" t="s">
        <v>13003</v>
      </c>
      <c r="B3432" s="142" t="s">
        <v>15245</v>
      </c>
      <c r="C3432" s="142" t="s">
        <v>15847</v>
      </c>
      <c r="D3432" s="142" t="s">
        <v>15848</v>
      </c>
      <c r="E3432" s="142" t="s">
        <v>15849</v>
      </c>
      <c r="F3432" s="142" t="s">
        <v>7083</v>
      </c>
      <c r="G3432" s="142" t="s">
        <v>7082</v>
      </c>
      <c r="H3432" s="142" t="s">
        <v>19282</v>
      </c>
      <c r="I3432" s="142">
        <v>48</v>
      </c>
      <c r="J3432" s="142">
        <v>0</v>
      </c>
      <c r="K3432" s="142">
        <v>0</v>
      </c>
      <c r="L3432" s="142">
        <v>48</v>
      </c>
      <c r="M3432" s="142">
        <v>0</v>
      </c>
    </row>
    <row r="3433" spans="1:13" x14ac:dyDescent="0.45">
      <c r="A3433" s="142" t="s">
        <v>13008</v>
      </c>
      <c r="B3433" s="142" t="s">
        <v>15411</v>
      </c>
      <c r="C3433" s="142" t="s">
        <v>15847</v>
      </c>
      <c r="D3433" s="142" t="s">
        <v>15848</v>
      </c>
      <c r="E3433" s="142" t="s">
        <v>15849</v>
      </c>
      <c r="F3433" s="142" t="s">
        <v>7083</v>
      </c>
      <c r="G3433" s="142" t="s">
        <v>7082</v>
      </c>
      <c r="H3433" s="142" t="s">
        <v>19283</v>
      </c>
      <c r="I3433" s="142">
        <v>1</v>
      </c>
      <c r="J3433" s="142">
        <v>1</v>
      </c>
      <c r="K3433" s="142">
        <v>0</v>
      </c>
      <c r="L3433" s="142">
        <v>0</v>
      </c>
      <c r="M3433" s="142">
        <v>0</v>
      </c>
    </row>
    <row r="3434" spans="1:13" x14ac:dyDescent="0.45">
      <c r="A3434" s="142" t="s">
        <v>13077</v>
      </c>
      <c r="B3434" s="142" t="s">
        <v>15407</v>
      </c>
      <c r="C3434" s="142" t="s">
        <v>15847</v>
      </c>
      <c r="D3434" s="142" t="s">
        <v>15848</v>
      </c>
      <c r="E3434" s="142" t="s">
        <v>15849</v>
      </c>
      <c r="F3434" s="142" t="s">
        <v>7083</v>
      </c>
      <c r="G3434" s="142" t="s">
        <v>7082</v>
      </c>
      <c r="H3434" s="142" t="s">
        <v>19284</v>
      </c>
      <c r="I3434" s="142">
        <v>266</v>
      </c>
      <c r="J3434" s="142">
        <v>242</v>
      </c>
      <c r="K3434" s="142">
        <v>0</v>
      </c>
      <c r="L3434" s="142">
        <v>24</v>
      </c>
      <c r="M3434" s="142">
        <v>0</v>
      </c>
    </row>
    <row r="3435" spans="1:13" x14ac:dyDescent="0.45">
      <c r="A3435" s="142" t="s">
        <v>13089</v>
      </c>
      <c r="B3435" s="142" t="s">
        <v>15240</v>
      </c>
      <c r="C3435" s="142" t="s">
        <v>15847</v>
      </c>
      <c r="D3435" s="142" t="s">
        <v>15848</v>
      </c>
      <c r="E3435" s="142" t="s">
        <v>15849</v>
      </c>
      <c r="F3435" s="142" t="s">
        <v>7083</v>
      </c>
      <c r="G3435" s="142" t="s">
        <v>7082</v>
      </c>
      <c r="H3435" s="142" t="s">
        <v>19285</v>
      </c>
      <c r="I3435" s="142">
        <v>167</v>
      </c>
      <c r="J3435" s="142">
        <v>150</v>
      </c>
      <c r="K3435" s="142">
        <v>0</v>
      </c>
      <c r="L3435" s="142">
        <v>17</v>
      </c>
      <c r="M3435" s="142">
        <v>0</v>
      </c>
    </row>
    <row r="3436" spans="1:13" x14ac:dyDescent="0.45">
      <c r="A3436" s="142" t="s">
        <v>13033</v>
      </c>
      <c r="B3436" s="142" t="s">
        <v>15276</v>
      </c>
      <c r="C3436" s="142" t="s">
        <v>15847</v>
      </c>
      <c r="D3436" s="142" t="s">
        <v>15848</v>
      </c>
      <c r="E3436" s="142" t="s">
        <v>15849</v>
      </c>
      <c r="F3436" s="142" t="s">
        <v>7083</v>
      </c>
      <c r="G3436" s="142" t="s">
        <v>7082</v>
      </c>
      <c r="H3436" s="142" t="s">
        <v>19286</v>
      </c>
      <c r="I3436" s="142">
        <v>22</v>
      </c>
      <c r="J3436" s="142">
        <v>22</v>
      </c>
      <c r="K3436" s="142">
        <v>0</v>
      </c>
      <c r="L3436" s="142">
        <v>0</v>
      </c>
      <c r="M3436" s="142">
        <v>0</v>
      </c>
    </row>
    <row r="3437" spans="1:13" x14ac:dyDescent="0.45">
      <c r="A3437" s="142" t="s">
        <v>13034</v>
      </c>
      <c r="B3437" s="142" t="s">
        <v>15562</v>
      </c>
      <c r="C3437" s="142" t="s">
        <v>15847</v>
      </c>
      <c r="D3437" s="142" t="s">
        <v>15848</v>
      </c>
      <c r="E3437" s="142" t="s">
        <v>15849</v>
      </c>
      <c r="F3437" s="142" t="s">
        <v>7083</v>
      </c>
      <c r="G3437" s="142" t="s">
        <v>7082</v>
      </c>
      <c r="H3437" s="142" t="s">
        <v>19287</v>
      </c>
      <c r="I3437" s="142">
        <v>66</v>
      </c>
      <c r="J3437" s="142">
        <v>31</v>
      </c>
      <c r="K3437" s="142">
        <v>0</v>
      </c>
      <c r="L3437" s="142">
        <v>35</v>
      </c>
      <c r="M3437" s="142">
        <v>0</v>
      </c>
    </row>
    <row r="3438" spans="1:13" x14ac:dyDescent="0.45">
      <c r="A3438" s="142" t="s">
        <v>13036</v>
      </c>
      <c r="B3438" s="142" t="s">
        <v>15567</v>
      </c>
      <c r="C3438" s="142" t="s">
        <v>15847</v>
      </c>
      <c r="D3438" s="142" t="s">
        <v>15848</v>
      </c>
      <c r="E3438" s="142" t="s">
        <v>15849</v>
      </c>
      <c r="F3438" s="142" t="s">
        <v>7083</v>
      </c>
      <c r="G3438" s="142" t="s">
        <v>7082</v>
      </c>
      <c r="H3438" s="142" t="s">
        <v>19288</v>
      </c>
      <c r="I3438" s="142">
        <v>18</v>
      </c>
      <c r="J3438" s="142">
        <v>0</v>
      </c>
      <c r="K3438" s="142">
        <v>0</v>
      </c>
      <c r="L3438" s="142">
        <v>18</v>
      </c>
      <c r="M3438" s="142">
        <v>0</v>
      </c>
    </row>
    <row r="3439" spans="1:13" x14ac:dyDescent="0.45">
      <c r="A3439" s="142" t="s">
        <v>13105</v>
      </c>
      <c r="B3439" s="142" t="s">
        <v>14654</v>
      </c>
      <c r="C3439" s="142" t="s">
        <v>15847</v>
      </c>
      <c r="D3439" s="142" t="s">
        <v>15848</v>
      </c>
      <c r="E3439" s="142" t="s">
        <v>15849</v>
      </c>
      <c r="F3439" s="142" t="s">
        <v>7083</v>
      </c>
      <c r="G3439" s="142" t="s">
        <v>7082</v>
      </c>
      <c r="H3439" s="142" t="s">
        <v>19289</v>
      </c>
      <c r="I3439" s="142">
        <v>5</v>
      </c>
      <c r="J3439" s="142">
        <v>0</v>
      </c>
      <c r="K3439" s="142">
        <v>0</v>
      </c>
      <c r="L3439" s="142">
        <v>0</v>
      </c>
      <c r="M3439" s="142">
        <v>5</v>
      </c>
    </row>
    <row r="3440" spans="1:13" x14ac:dyDescent="0.45">
      <c r="A3440" s="142" t="s">
        <v>13037</v>
      </c>
      <c r="B3440" s="142" t="s">
        <v>14519</v>
      </c>
      <c r="C3440" s="142" t="s">
        <v>15847</v>
      </c>
      <c r="D3440" s="142" t="s">
        <v>15848</v>
      </c>
      <c r="E3440" s="142" t="s">
        <v>15849</v>
      </c>
      <c r="F3440" s="142" t="s">
        <v>7083</v>
      </c>
      <c r="G3440" s="142" t="s">
        <v>7082</v>
      </c>
      <c r="H3440" s="142" t="s">
        <v>19290</v>
      </c>
      <c r="I3440" s="142">
        <v>4</v>
      </c>
      <c r="J3440" s="142">
        <v>0</v>
      </c>
      <c r="K3440" s="142">
        <v>0</v>
      </c>
      <c r="L3440" s="142">
        <v>4</v>
      </c>
      <c r="M3440" s="142">
        <v>0</v>
      </c>
    </row>
    <row r="3441" spans="1:13" x14ac:dyDescent="0.45">
      <c r="A3441" s="142" t="s">
        <v>13090</v>
      </c>
      <c r="B3441" s="142" t="s">
        <v>15600</v>
      </c>
      <c r="C3441" s="142" t="s">
        <v>15847</v>
      </c>
      <c r="D3441" s="142" t="s">
        <v>15848</v>
      </c>
      <c r="E3441" s="142" t="s">
        <v>15849</v>
      </c>
      <c r="F3441" s="142" t="s">
        <v>7083</v>
      </c>
      <c r="G3441" s="142" t="s">
        <v>7082</v>
      </c>
      <c r="H3441" s="142" t="s">
        <v>19291</v>
      </c>
      <c r="I3441" s="142">
        <v>99</v>
      </c>
      <c r="J3441" s="142">
        <v>70</v>
      </c>
      <c r="K3441" s="142">
        <v>0</v>
      </c>
      <c r="L3441" s="142">
        <v>21</v>
      </c>
      <c r="M3441" s="142">
        <v>8</v>
      </c>
    </row>
    <row r="3442" spans="1:13" x14ac:dyDescent="0.45">
      <c r="A3442" s="142" t="s">
        <v>13039</v>
      </c>
      <c r="B3442" s="142" t="s">
        <v>14647</v>
      </c>
      <c r="C3442" s="142" t="s">
        <v>15847</v>
      </c>
      <c r="D3442" s="142" t="s">
        <v>15848</v>
      </c>
      <c r="E3442" s="142" t="s">
        <v>15849</v>
      </c>
      <c r="F3442" s="142" t="s">
        <v>7083</v>
      </c>
      <c r="G3442" s="142" t="s">
        <v>7082</v>
      </c>
      <c r="H3442" s="142" t="s">
        <v>19292</v>
      </c>
      <c r="I3442" s="142">
        <v>22</v>
      </c>
      <c r="J3442" s="142">
        <v>22</v>
      </c>
      <c r="K3442" s="142">
        <v>0</v>
      </c>
      <c r="L3442" s="142">
        <v>0</v>
      </c>
      <c r="M3442" s="142">
        <v>0</v>
      </c>
    </row>
    <row r="3443" spans="1:13" x14ac:dyDescent="0.45">
      <c r="A3443" s="142" t="s">
        <v>13091</v>
      </c>
      <c r="B3443" s="142" t="s">
        <v>14473</v>
      </c>
      <c r="C3443" s="142" t="s">
        <v>15847</v>
      </c>
      <c r="D3443" s="142" t="s">
        <v>15848</v>
      </c>
      <c r="E3443" s="142" t="s">
        <v>15849</v>
      </c>
      <c r="F3443" s="142" t="s">
        <v>7083</v>
      </c>
      <c r="G3443" s="142" t="s">
        <v>7082</v>
      </c>
      <c r="H3443" s="142" t="s">
        <v>19293</v>
      </c>
      <c r="I3443" s="142">
        <v>29</v>
      </c>
      <c r="J3443" s="142">
        <v>0</v>
      </c>
      <c r="K3443" s="142">
        <v>0</v>
      </c>
      <c r="L3443" s="142">
        <v>29</v>
      </c>
      <c r="M3443" s="142">
        <v>0</v>
      </c>
    </row>
    <row r="3444" spans="1:13" x14ac:dyDescent="0.45">
      <c r="A3444" s="142" t="s">
        <v>13093</v>
      </c>
      <c r="B3444" s="142" t="s">
        <v>14483</v>
      </c>
      <c r="C3444" s="142" t="s">
        <v>15860</v>
      </c>
      <c r="D3444" s="142" t="s">
        <v>15861</v>
      </c>
      <c r="E3444" s="142" t="s">
        <v>15849</v>
      </c>
      <c r="F3444" s="142" t="s">
        <v>7083</v>
      </c>
      <c r="G3444" s="142" t="s">
        <v>7082</v>
      </c>
      <c r="H3444" s="142" t="s">
        <v>19294</v>
      </c>
      <c r="I3444" s="142">
        <v>27</v>
      </c>
      <c r="J3444" s="142">
        <v>0</v>
      </c>
      <c r="K3444" s="142">
        <v>0</v>
      </c>
      <c r="L3444" s="142">
        <v>27</v>
      </c>
      <c r="M3444" s="142">
        <v>0</v>
      </c>
    </row>
    <row r="3445" spans="1:13" x14ac:dyDescent="0.45">
      <c r="A3445" s="142" t="s">
        <v>13041</v>
      </c>
      <c r="B3445" s="142" t="s">
        <v>14441</v>
      </c>
      <c r="C3445" s="142" t="s">
        <v>15847</v>
      </c>
      <c r="D3445" s="142" t="s">
        <v>15848</v>
      </c>
      <c r="E3445" s="142" t="s">
        <v>15849</v>
      </c>
      <c r="F3445" s="142" t="s">
        <v>7083</v>
      </c>
      <c r="G3445" s="142" t="s">
        <v>7082</v>
      </c>
      <c r="H3445" s="142" t="s">
        <v>19295</v>
      </c>
      <c r="I3445" s="142">
        <v>14</v>
      </c>
      <c r="J3445" s="142">
        <v>0</v>
      </c>
      <c r="K3445" s="142">
        <v>0</v>
      </c>
      <c r="L3445" s="142">
        <v>0</v>
      </c>
      <c r="M3445" s="142">
        <v>14</v>
      </c>
    </row>
    <row r="3446" spans="1:13" x14ac:dyDescent="0.45">
      <c r="A3446" s="142" t="s">
        <v>13714</v>
      </c>
      <c r="B3446" s="142" t="s">
        <v>14864</v>
      </c>
      <c r="C3446" s="142" t="s">
        <v>15860</v>
      </c>
      <c r="D3446" s="142" t="s">
        <v>15861</v>
      </c>
      <c r="E3446" s="142" t="s">
        <v>15849</v>
      </c>
      <c r="F3446" s="142" t="s">
        <v>7083</v>
      </c>
      <c r="G3446" s="142" t="s">
        <v>7082</v>
      </c>
      <c r="H3446" s="142" t="s">
        <v>19296</v>
      </c>
      <c r="I3446" s="142">
        <v>8</v>
      </c>
      <c r="J3446" s="142">
        <v>0</v>
      </c>
      <c r="K3446" s="142">
        <v>0</v>
      </c>
      <c r="L3446" s="142">
        <v>8</v>
      </c>
      <c r="M3446" s="142">
        <v>0</v>
      </c>
    </row>
    <row r="3447" spans="1:13" x14ac:dyDescent="0.45">
      <c r="A3447" s="142" t="s">
        <v>13332</v>
      </c>
      <c r="B3447" s="142" t="s">
        <v>14612</v>
      </c>
      <c r="C3447" s="142" t="s">
        <v>15860</v>
      </c>
      <c r="D3447" s="142" t="s">
        <v>15861</v>
      </c>
      <c r="E3447" s="142" t="s">
        <v>15849</v>
      </c>
      <c r="F3447" s="142" t="s">
        <v>7083</v>
      </c>
      <c r="G3447" s="142" t="s">
        <v>7082</v>
      </c>
      <c r="H3447" s="142" t="s">
        <v>19297</v>
      </c>
      <c r="I3447" s="142">
        <v>2</v>
      </c>
      <c r="J3447" s="142">
        <v>2</v>
      </c>
      <c r="K3447" s="142">
        <v>0</v>
      </c>
      <c r="L3447" s="142">
        <v>0</v>
      </c>
      <c r="M3447" s="142">
        <v>0</v>
      </c>
    </row>
    <row r="3448" spans="1:13" x14ac:dyDescent="0.45">
      <c r="A3448" s="142" t="s">
        <v>13715</v>
      </c>
      <c r="B3448" s="142" t="s">
        <v>15216</v>
      </c>
      <c r="C3448" s="142" t="s">
        <v>15860</v>
      </c>
      <c r="D3448" s="142" t="s">
        <v>15861</v>
      </c>
      <c r="E3448" s="142" t="s">
        <v>15849</v>
      </c>
      <c r="F3448" s="142" t="s">
        <v>7083</v>
      </c>
      <c r="G3448" s="142" t="s">
        <v>7082</v>
      </c>
      <c r="H3448" s="142" t="s">
        <v>19298</v>
      </c>
      <c r="I3448" s="142">
        <v>29</v>
      </c>
      <c r="J3448" s="142">
        <v>0</v>
      </c>
      <c r="K3448" s="142">
        <v>0</v>
      </c>
      <c r="L3448" s="142">
        <v>29</v>
      </c>
      <c r="M3448" s="142">
        <v>0</v>
      </c>
    </row>
    <row r="3449" spans="1:13" x14ac:dyDescent="0.45">
      <c r="A3449" s="142" t="s">
        <v>13110</v>
      </c>
      <c r="B3449" s="142" t="s">
        <v>15502</v>
      </c>
      <c r="C3449" s="142" t="s">
        <v>15847</v>
      </c>
      <c r="D3449" s="142" t="s">
        <v>15848</v>
      </c>
      <c r="E3449" s="142" t="s">
        <v>15849</v>
      </c>
      <c r="F3449" s="142" t="s">
        <v>11608</v>
      </c>
      <c r="G3449" s="142" t="s">
        <v>11607</v>
      </c>
      <c r="H3449" s="142" t="s">
        <v>19299</v>
      </c>
      <c r="I3449" s="142">
        <v>12</v>
      </c>
      <c r="J3449" s="142">
        <v>4</v>
      </c>
      <c r="K3449" s="142">
        <v>0</v>
      </c>
      <c r="L3449" s="142">
        <v>8</v>
      </c>
      <c r="M3449" s="142">
        <v>0</v>
      </c>
    </row>
    <row r="3450" spans="1:13" x14ac:dyDescent="0.45">
      <c r="A3450" s="142" t="s">
        <v>13023</v>
      </c>
      <c r="B3450" s="142" t="s">
        <v>15571</v>
      </c>
      <c r="C3450" s="142" t="s">
        <v>15847</v>
      </c>
      <c r="D3450" s="142" t="s">
        <v>15848</v>
      </c>
      <c r="E3450" s="142" t="s">
        <v>15849</v>
      </c>
      <c r="F3450" s="142" t="s">
        <v>11608</v>
      </c>
      <c r="G3450" s="142" t="s">
        <v>11607</v>
      </c>
      <c r="H3450" s="142" t="s">
        <v>19300</v>
      </c>
      <c r="I3450" s="142">
        <v>42</v>
      </c>
      <c r="J3450" s="142">
        <v>0</v>
      </c>
      <c r="K3450" s="142">
        <v>0</v>
      </c>
      <c r="L3450" s="142">
        <v>42</v>
      </c>
      <c r="M3450" s="142">
        <v>0</v>
      </c>
    </row>
    <row r="3451" spans="1:13" x14ac:dyDescent="0.45">
      <c r="A3451" s="142" t="s">
        <v>13065</v>
      </c>
      <c r="B3451" s="142" t="s">
        <v>14497</v>
      </c>
      <c r="C3451" s="142" t="s">
        <v>15847</v>
      </c>
      <c r="D3451" s="142" t="s">
        <v>15848</v>
      </c>
      <c r="E3451" s="142" t="s">
        <v>15849</v>
      </c>
      <c r="F3451" s="142" t="s">
        <v>11608</v>
      </c>
      <c r="G3451" s="142" t="s">
        <v>11607</v>
      </c>
      <c r="H3451" s="142" t="s">
        <v>19301</v>
      </c>
      <c r="I3451" s="142">
        <v>9</v>
      </c>
      <c r="J3451" s="142">
        <v>0</v>
      </c>
      <c r="K3451" s="142">
        <v>0</v>
      </c>
      <c r="L3451" s="142">
        <v>9</v>
      </c>
      <c r="M3451" s="142">
        <v>0</v>
      </c>
    </row>
    <row r="3452" spans="1:13" x14ac:dyDescent="0.45">
      <c r="A3452" s="142" t="s">
        <v>13318</v>
      </c>
      <c r="B3452" s="142" t="s">
        <v>15172</v>
      </c>
      <c r="C3452" s="142" t="s">
        <v>15860</v>
      </c>
      <c r="D3452" s="142" t="s">
        <v>15861</v>
      </c>
      <c r="E3452" s="142" t="s">
        <v>15849</v>
      </c>
      <c r="F3452" s="142" t="s">
        <v>11608</v>
      </c>
      <c r="G3452" s="142" t="s">
        <v>11607</v>
      </c>
      <c r="H3452" s="142" t="s">
        <v>19302</v>
      </c>
      <c r="I3452" s="142">
        <v>5</v>
      </c>
      <c r="J3452" s="142">
        <v>0</v>
      </c>
      <c r="K3452" s="142">
        <v>0</v>
      </c>
      <c r="L3452" s="142">
        <v>5</v>
      </c>
      <c r="M3452" s="142">
        <v>0</v>
      </c>
    </row>
    <row r="3453" spans="1:13" x14ac:dyDescent="0.45">
      <c r="A3453" s="142" t="s">
        <v>13210</v>
      </c>
      <c r="B3453" s="142" t="s">
        <v>14446</v>
      </c>
      <c r="C3453" s="142" t="s">
        <v>15860</v>
      </c>
      <c r="D3453" s="142" t="s">
        <v>15861</v>
      </c>
      <c r="E3453" s="142" t="s">
        <v>15849</v>
      </c>
      <c r="F3453" s="142" t="s">
        <v>11608</v>
      </c>
      <c r="G3453" s="142" t="s">
        <v>11607</v>
      </c>
      <c r="H3453" s="142" t="s">
        <v>19303</v>
      </c>
      <c r="I3453" s="142">
        <v>114</v>
      </c>
      <c r="J3453" s="142">
        <v>0</v>
      </c>
      <c r="K3453" s="142">
        <v>96</v>
      </c>
      <c r="L3453" s="142">
        <v>18</v>
      </c>
      <c r="M3453" s="142">
        <v>0</v>
      </c>
    </row>
    <row r="3454" spans="1:13" x14ac:dyDescent="0.45">
      <c r="A3454" s="142" t="s">
        <v>13358</v>
      </c>
      <c r="B3454" s="142" t="s">
        <v>15385</v>
      </c>
      <c r="C3454" s="142" t="s">
        <v>15860</v>
      </c>
      <c r="D3454" s="142" t="s">
        <v>15861</v>
      </c>
      <c r="E3454" s="142" t="s">
        <v>15849</v>
      </c>
      <c r="F3454" s="142" t="s">
        <v>11608</v>
      </c>
      <c r="G3454" s="142" t="s">
        <v>11607</v>
      </c>
      <c r="H3454" s="142" t="s">
        <v>19304</v>
      </c>
      <c r="I3454" s="142">
        <v>36</v>
      </c>
      <c r="J3454" s="142">
        <v>36</v>
      </c>
      <c r="K3454" s="142">
        <v>0</v>
      </c>
      <c r="L3454" s="142">
        <v>0</v>
      </c>
      <c r="M3454" s="142">
        <v>0</v>
      </c>
    </row>
    <row r="3455" spans="1:13" x14ac:dyDescent="0.45">
      <c r="A3455" s="142" t="s">
        <v>13098</v>
      </c>
      <c r="B3455" s="142" t="s">
        <v>14528</v>
      </c>
      <c r="C3455" s="142" t="s">
        <v>15860</v>
      </c>
      <c r="D3455" s="142" t="s">
        <v>15861</v>
      </c>
      <c r="E3455" s="142" t="s">
        <v>15849</v>
      </c>
      <c r="F3455" s="142" t="s">
        <v>11608</v>
      </c>
      <c r="G3455" s="142" t="s">
        <v>11607</v>
      </c>
      <c r="H3455" s="142" t="s">
        <v>19305</v>
      </c>
      <c r="I3455" s="142">
        <v>52</v>
      </c>
      <c r="J3455" s="142">
        <v>50</v>
      </c>
      <c r="K3455" s="142">
        <v>2</v>
      </c>
      <c r="L3455" s="142">
        <v>0</v>
      </c>
      <c r="M3455" s="142">
        <v>0</v>
      </c>
    </row>
    <row r="3456" spans="1:13" x14ac:dyDescent="0.45">
      <c r="A3456" s="142" t="s">
        <v>13309</v>
      </c>
      <c r="B3456" s="142" t="s">
        <v>14597</v>
      </c>
      <c r="C3456" s="142" t="s">
        <v>15860</v>
      </c>
      <c r="D3456" s="142" t="s">
        <v>15861</v>
      </c>
      <c r="E3456" s="142" t="s">
        <v>15849</v>
      </c>
      <c r="F3456" s="142" t="s">
        <v>11608</v>
      </c>
      <c r="G3456" s="142" t="s">
        <v>11607</v>
      </c>
      <c r="H3456" s="142" t="s">
        <v>19306</v>
      </c>
      <c r="I3456" s="142">
        <v>28</v>
      </c>
      <c r="J3456" s="142">
        <v>28</v>
      </c>
      <c r="K3456" s="142">
        <v>0</v>
      </c>
      <c r="L3456" s="142">
        <v>0</v>
      </c>
      <c r="M3456" s="142">
        <v>0</v>
      </c>
    </row>
    <row r="3457" spans="1:13" x14ac:dyDescent="0.45">
      <c r="A3457" s="142" t="s">
        <v>13384</v>
      </c>
      <c r="B3457" s="142" t="s">
        <v>15563</v>
      </c>
      <c r="C3457" s="142" t="s">
        <v>15860</v>
      </c>
      <c r="D3457" s="142" t="s">
        <v>15861</v>
      </c>
      <c r="E3457" s="142" t="s">
        <v>15849</v>
      </c>
      <c r="F3457" s="142" t="s">
        <v>11608</v>
      </c>
      <c r="G3457" s="142" t="s">
        <v>11607</v>
      </c>
      <c r="H3457" s="142" t="s">
        <v>19307</v>
      </c>
      <c r="I3457" s="142">
        <v>1</v>
      </c>
      <c r="J3457" s="142">
        <v>1</v>
      </c>
      <c r="K3457" s="142">
        <v>0</v>
      </c>
      <c r="L3457" s="142">
        <v>0</v>
      </c>
      <c r="M3457" s="142">
        <v>0</v>
      </c>
    </row>
    <row r="3458" spans="1:13" x14ac:dyDescent="0.45">
      <c r="A3458" s="142" t="s">
        <v>13049</v>
      </c>
      <c r="B3458" s="142" t="s">
        <v>14534</v>
      </c>
      <c r="C3458" s="142" t="s">
        <v>15860</v>
      </c>
      <c r="D3458" s="142" t="s">
        <v>15861</v>
      </c>
      <c r="E3458" s="142" t="s">
        <v>15849</v>
      </c>
      <c r="F3458" s="142" t="s">
        <v>11608</v>
      </c>
      <c r="G3458" s="142" t="s">
        <v>11607</v>
      </c>
      <c r="H3458" s="142" t="s">
        <v>19308</v>
      </c>
      <c r="I3458" s="142">
        <v>6</v>
      </c>
      <c r="J3458" s="142">
        <v>0</v>
      </c>
      <c r="K3458" s="142">
        <v>0</v>
      </c>
      <c r="L3458" s="142">
        <v>6</v>
      </c>
      <c r="M3458" s="142">
        <v>0</v>
      </c>
    </row>
    <row r="3459" spans="1:13" x14ac:dyDescent="0.45">
      <c r="A3459" s="142" t="s">
        <v>13027</v>
      </c>
      <c r="B3459" s="142" t="s">
        <v>14562</v>
      </c>
      <c r="C3459" s="142" t="s">
        <v>15847</v>
      </c>
      <c r="D3459" s="142" t="s">
        <v>15848</v>
      </c>
      <c r="E3459" s="142" t="s">
        <v>15849</v>
      </c>
      <c r="F3459" s="142" t="s">
        <v>11608</v>
      </c>
      <c r="G3459" s="142" t="s">
        <v>11607</v>
      </c>
      <c r="H3459" s="142" t="s">
        <v>19309</v>
      </c>
      <c r="I3459" s="142">
        <v>10</v>
      </c>
      <c r="J3459" s="142">
        <v>0</v>
      </c>
      <c r="K3459" s="142">
        <v>0</v>
      </c>
      <c r="L3459" s="142">
        <v>10</v>
      </c>
      <c r="M3459" s="142">
        <v>0</v>
      </c>
    </row>
    <row r="3460" spans="1:13" x14ac:dyDescent="0.45">
      <c r="A3460" s="142" t="s">
        <v>13717</v>
      </c>
      <c r="B3460" s="142" t="s">
        <v>15261</v>
      </c>
      <c r="C3460" s="142" t="s">
        <v>15860</v>
      </c>
      <c r="D3460" s="142" t="s">
        <v>15861</v>
      </c>
      <c r="E3460" s="142" t="s">
        <v>15849</v>
      </c>
      <c r="F3460" s="142" t="s">
        <v>11608</v>
      </c>
      <c r="G3460" s="142" t="s">
        <v>11607</v>
      </c>
      <c r="H3460" s="142" t="s">
        <v>19310</v>
      </c>
      <c r="I3460" s="142">
        <v>17</v>
      </c>
      <c r="J3460" s="142">
        <v>17</v>
      </c>
      <c r="K3460" s="142">
        <v>0</v>
      </c>
      <c r="L3460" s="142">
        <v>0</v>
      </c>
      <c r="M3460" s="142">
        <v>0</v>
      </c>
    </row>
    <row r="3461" spans="1:13" x14ac:dyDescent="0.45">
      <c r="A3461" s="142" t="s">
        <v>13001</v>
      </c>
      <c r="B3461" s="142" t="s">
        <v>15506</v>
      </c>
      <c r="C3461" s="142" t="s">
        <v>15847</v>
      </c>
      <c r="D3461" s="142" t="s">
        <v>15848</v>
      </c>
      <c r="E3461" s="142" t="s">
        <v>15849</v>
      </c>
      <c r="F3461" s="142" t="s">
        <v>11608</v>
      </c>
      <c r="G3461" s="142" t="s">
        <v>11607</v>
      </c>
      <c r="H3461" s="142" t="s">
        <v>19311</v>
      </c>
      <c r="I3461" s="142">
        <v>1</v>
      </c>
      <c r="J3461" s="142">
        <v>1</v>
      </c>
      <c r="K3461" s="142">
        <v>0</v>
      </c>
      <c r="L3461" s="142">
        <v>0</v>
      </c>
      <c r="M3461" s="142">
        <v>0</v>
      </c>
    </row>
    <row r="3462" spans="1:13" x14ac:dyDescent="0.45">
      <c r="A3462" s="142" t="s">
        <v>13215</v>
      </c>
      <c r="B3462" s="142" t="s">
        <v>15334</v>
      </c>
      <c r="C3462" s="142" t="s">
        <v>15847</v>
      </c>
      <c r="D3462" s="142" t="s">
        <v>15848</v>
      </c>
      <c r="E3462" s="142" t="s">
        <v>15849</v>
      </c>
      <c r="F3462" s="142" t="s">
        <v>11608</v>
      </c>
      <c r="G3462" s="142" t="s">
        <v>11607</v>
      </c>
      <c r="H3462" s="142" t="s">
        <v>19312</v>
      </c>
      <c r="I3462" s="142">
        <v>518</v>
      </c>
      <c r="J3462" s="142">
        <v>500</v>
      </c>
      <c r="K3462" s="142">
        <v>0</v>
      </c>
      <c r="L3462" s="142">
        <v>8</v>
      </c>
      <c r="M3462" s="142">
        <v>10</v>
      </c>
    </row>
    <row r="3463" spans="1:13" x14ac:dyDescent="0.45">
      <c r="A3463" s="142" t="s">
        <v>13002</v>
      </c>
      <c r="B3463" s="142" t="s">
        <v>15376</v>
      </c>
      <c r="C3463" s="142" t="s">
        <v>15847</v>
      </c>
      <c r="D3463" s="142" t="s">
        <v>15848</v>
      </c>
      <c r="E3463" s="142" t="s">
        <v>15849</v>
      </c>
      <c r="F3463" s="142" t="s">
        <v>11608</v>
      </c>
      <c r="G3463" s="142" t="s">
        <v>11607</v>
      </c>
      <c r="H3463" s="142" t="s">
        <v>19313</v>
      </c>
      <c r="I3463" s="142">
        <v>66</v>
      </c>
      <c r="J3463" s="142">
        <v>39</v>
      </c>
      <c r="K3463" s="142">
        <v>0</v>
      </c>
      <c r="L3463" s="142">
        <v>0</v>
      </c>
      <c r="M3463" s="142">
        <v>27</v>
      </c>
    </row>
    <row r="3464" spans="1:13" x14ac:dyDescent="0.45">
      <c r="A3464" s="142" t="s">
        <v>13337</v>
      </c>
      <c r="B3464" s="142" t="s">
        <v>15301</v>
      </c>
      <c r="C3464" s="142" t="s">
        <v>15860</v>
      </c>
      <c r="D3464" s="142" t="s">
        <v>15861</v>
      </c>
      <c r="E3464" s="142" t="s">
        <v>15849</v>
      </c>
      <c r="F3464" s="142" t="s">
        <v>11608</v>
      </c>
      <c r="G3464" s="142" t="s">
        <v>11607</v>
      </c>
      <c r="H3464" s="142" t="s">
        <v>19314</v>
      </c>
      <c r="I3464" s="142">
        <v>175</v>
      </c>
      <c r="J3464" s="142">
        <v>164</v>
      </c>
      <c r="K3464" s="142">
        <v>2</v>
      </c>
      <c r="L3464" s="142">
        <v>9</v>
      </c>
      <c r="M3464" s="142">
        <v>0</v>
      </c>
    </row>
    <row r="3465" spans="1:13" x14ac:dyDescent="0.45">
      <c r="A3465" s="142" t="s">
        <v>13635</v>
      </c>
      <c r="B3465" s="142" t="s">
        <v>14723</v>
      </c>
      <c r="C3465" s="142" t="s">
        <v>15860</v>
      </c>
      <c r="D3465" s="142" t="s">
        <v>15861</v>
      </c>
      <c r="E3465" s="142" t="s">
        <v>15849</v>
      </c>
      <c r="F3465" s="142" t="s">
        <v>11608</v>
      </c>
      <c r="G3465" s="142" t="s">
        <v>11607</v>
      </c>
      <c r="H3465" s="142" t="s">
        <v>19315</v>
      </c>
      <c r="I3465" s="142">
        <v>32</v>
      </c>
      <c r="J3465" s="142">
        <v>0</v>
      </c>
      <c r="K3465" s="142">
        <v>0</v>
      </c>
      <c r="L3465" s="142">
        <v>32</v>
      </c>
      <c r="M3465" s="142">
        <v>0</v>
      </c>
    </row>
    <row r="3466" spans="1:13" x14ac:dyDescent="0.45">
      <c r="A3466" s="142" t="s">
        <v>13004</v>
      </c>
      <c r="B3466" s="142" t="s">
        <v>15492</v>
      </c>
      <c r="C3466" s="142" t="s">
        <v>15847</v>
      </c>
      <c r="D3466" s="142" t="s">
        <v>15848</v>
      </c>
      <c r="E3466" s="142" t="s">
        <v>15849</v>
      </c>
      <c r="F3466" s="142" t="s">
        <v>11608</v>
      </c>
      <c r="G3466" s="142" t="s">
        <v>11607</v>
      </c>
      <c r="H3466" s="142" t="s">
        <v>19316</v>
      </c>
      <c r="I3466" s="142">
        <v>2382</v>
      </c>
      <c r="J3466" s="142">
        <v>2058</v>
      </c>
      <c r="K3466" s="142">
        <v>63</v>
      </c>
      <c r="L3466" s="142">
        <v>69</v>
      </c>
      <c r="M3466" s="142">
        <v>192</v>
      </c>
    </row>
    <row r="3467" spans="1:13" x14ac:dyDescent="0.45">
      <c r="A3467" s="142" t="s">
        <v>13066</v>
      </c>
      <c r="B3467" s="142" t="s">
        <v>14459</v>
      </c>
      <c r="C3467" s="142" t="s">
        <v>15847</v>
      </c>
      <c r="D3467" s="142" t="s">
        <v>15848</v>
      </c>
      <c r="E3467" s="142" t="s">
        <v>15849</v>
      </c>
      <c r="F3467" s="142" t="s">
        <v>11608</v>
      </c>
      <c r="G3467" s="142" t="s">
        <v>11607</v>
      </c>
      <c r="H3467" s="142" t="s">
        <v>19317</v>
      </c>
      <c r="I3467" s="142">
        <v>4</v>
      </c>
      <c r="J3467" s="142">
        <v>0</v>
      </c>
      <c r="K3467" s="142">
        <v>0</v>
      </c>
      <c r="L3467" s="142">
        <v>4</v>
      </c>
      <c r="M3467" s="142">
        <v>0</v>
      </c>
    </row>
    <row r="3468" spans="1:13" x14ac:dyDescent="0.45">
      <c r="A3468" s="142" t="s">
        <v>13201</v>
      </c>
      <c r="B3468" s="142" t="s">
        <v>14481</v>
      </c>
      <c r="C3468" s="142" t="s">
        <v>15860</v>
      </c>
      <c r="D3468" s="142" t="s">
        <v>15861</v>
      </c>
      <c r="E3468" s="142" t="s">
        <v>15849</v>
      </c>
      <c r="F3468" s="142" t="s">
        <v>11608</v>
      </c>
      <c r="G3468" s="142" t="s">
        <v>11607</v>
      </c>
      <c r="H3468" s="142" t="s">
        <v>19318</v>
      </c>
      <c r="I3468" s="142">
        <v>10</v>
      </c>
      <c r="J3468" s="142">
        <v>0</v>
      </c>
      <c r="K3468" s="142">
        <v>0</v>
      </c>
      <c r="L3468" s="142">
        <v>10</v>
      </c>
      <c r="M3468" s="142">
        <v>0</v>
      </c>
    </row>
    <row r="3469" spans="1:13" x14ac:dyDescent="0.45">
      <c r="A3469" s="142" t="s">
        <v>13100</v>
      </c>
      <c r="B3469" s="142" t="s">
        <v>15603</v>
      </c>
      <c r="C3469" s="142" t="s">
        <v>15847</v>
      </c>
      <c r="D3469" s="142" t="s">
        <v>15848</v>
      </c>
      <c r="E3469" s="142" t="s">
        <v>15849</v>
      </c>
      <c r="F3469" s="142" t="s">
        <v>11608</v>
      </c>
      <c r="G3469" s="142" t="s">
        <v>11607</v>
      </c>
      <c r="H3469" s="142" t="s">
        <v>19319</v>
      </c>
      <c r="I3469" s="142">
        <v>4</v>
      </c>
      <c r="J3469" s="142">
        <v>4</v>
      </c>
      <c r="K3469" s="142">
        <v>0</v>
      </c>
      <c r="L3469" s="142">
        <v>0</v>
      </c>
      <c r="M3469" s="142">
        <v>0</v>
      </c>
    </row>
    <row r="3470" spans="1:13" x14ac:dyDescent="0.45">
      <c r="A3470" s="142" t="s">
        <v>13005</v>
      </c>
      <c r="B3470" s="142" t="s">
        <v>15475</v>
      </c>
      <c r="C3470" s="142" t="s">
        <v>15847</v>
      </c>
      <c r="D3470" s="142" t="s">
        <v>15848</v>
      </c>
      <c r="E3470" s="142" t="s">
        <v>15849</v>
      </c>
      <c r="F3470" s="142" t="s">
        <v>11608</v>
      </c>
      <c r="G3470" s="142" t="s">
        <v>11607</v>
      </c>
      <c r="H3470" s="142" t="s">
        <v>19320</v>
      </c>
      <c r="I3470" s="142">
        <v>5926</v>
      </c>
      <c r="J3470" s="142">
        <v>4330</v>
      </c>
      <c r="K3470" s="142">
        <v>0</v>
      </c>
      <c r="L3470" s="142">
        <v>356</v>
      </c>
      <c r="M3470" s="142">
        <v>1240</v>
      </c>
    </row>
    <row r="3471" spans="1:13" x14ac:dyDescent="0.45">
      <c r="A3471" s="142" t="s">
        <v>13029</v>
      </c>
      <c r="B3471" s="142" t="s">
        <v>14665</v>
      </c>
      <c r="C3471" s="142" t="s">
        <v>15847</v>
      </c>
      <c r="D3471" s="142" t="s">
        <v>15848</v>
      </c>
      <c r="E3471" s="142" t="s">
        <v>15849</v>
      </c>
      <c r="F3471" s="142" t="s">
        <v>11608</v>
      </c>
      <c r="G3471" s="142" t="s">
        <v>11607</v>
      </c>
      <c r="H3471" s="142" t="s">
        <v>19321</v>
      </c>
      <c r="I3471" s="142">
        <v>23</v>
      </c>
      <c r="J3471" s="142">
        <v>0</v>
      </c>
      <c r="K3471" s="142">
        <v>0</v>
      </c>
      <c r="L3471" s="142">
        <v>0</v>
      </c>
      <c r="M3471" s="142">
        <v>23</v>
      </c>
    </row>
    <row r="3472" spans="1:13" x14ac:dyDescent="0.45">
      <c r="A3472" s="142" t="s">
        <v>13007</v>
      </c>
      <c r="B3472" s="142" t="s">
        <v>15262</v>
      </c>
      <c r="C3472" s="142" t="s">
        <v>15847</v>
      </c>
      <c r="D3472" s="142" t="s">
        <v>15848</v>
      </c>
      <c r="E3472" s="142" t="s">
        <v>15849</v>
      </c>
      <c r="F3472" s="142" t="s">
        <v>11608</v>
      </c>
      <c r="G3472" s="142" t="s">
        <v>11607</v>
      </c>
      <c r="H3472" s="142" t="s">
        <v>19322</v>
      </c>
      <c r="I3472" s="142">
        <v>814</v>
      </c>
      <c r="J3472" s="142">
        <v>458</v>
      </c>
      <c r="K3472" s="142">
        <v>0</v>
      </c>
      <c r="L3472" s="142">
        <v>43</v>
      </c>
      <c r="M3472" s="142">
        <v>313</v>
      </c>
    </row>
    <row r="3473" spans="1:13" x14ac:dyDescent="0.45">
      <c r="A3473" s="142" t="s">
        <v>13718</v>
      </c>
      <c r="B3473" s="142" t="s">
        <v>15565</v>
      </c>
      <c r="C3473" s="142" t="s">
        <v>15860</v>
      </c>
      <c r="D3473" s="142" t="s">
        <v>15861</v>
      </c>
      <c r="E3473" s="142" t="s">
        <v>15849</v>
      </c>
      <c r="F3473" s="142" t="s">
        <v>11608</v>
      </c>
      <c r="G3473" s="142" t="s">
        <v>11607</v>
      </c>
      <c r="H3473" s="142" t="s">
        <v>19323</v>
      </c>
      <c r="I3473" s="142">
        <v>68</v>
      </c>
      <c r="J3473" s="142">
        <v>55</v>
      </c>
      <c r="K3473" s="142">
        <v>0</v>
      </c>
      <c r="L3473" s="142">
        <v>13</v>
      </c>
      <c r="M3473" s="142">
        <v>0</v>
      </c>
    </row>
    <row r="3474" spans="1:13" x14ac:dyDescent="0.45">
      <c r="A3474" s="142" t="s">
        <v>13103</v>
      </c>
      <c r="B3474" s="142" t="s">
        <v>14623</v>
      </c>
      <c r="C3474" s="142" t="s">
        <v>15847</v>
      </c>
      <c r="D3474" s="142" t="s">
        <v>15848</v>
      </c>
      <c r="E3474" s="142" t="s">
        <v>15849</v>
      </c>
      <c r="F3474" s="142" t="s">
        <v>11608</v>
      </c>
      <c r="G3474" s="142" t="s">
        <v>11607</v>
      </c>
      <c r="H3474" s="142" t="s">
        <v>19324</v>
      </c>
      <c r="I3474" s="142">
        <v>202</v>
      </c>
      <c r="J3474" s="142">
        <v>189</v>
      </c>
      <c r="K3474" s="142">
        <v>0</v>
      </c>
      <c r="L3474" s="142">
        <v>0</v>
      </c>
      <c r="M3474" s="142">
        <v>13</v>
      </c>
    </row>
    <row r="3475" spans="1:13" x14ac:dyDescent="0.45">
      <c r="A3475" s="142" t="s">
        <v>13054</v>
      </c>
      <c r="B3475" s="142" t="s">
        <v>15604</v>
      </c>
      <c r="C3475" s="142" t="s">
        <v>15847</v>
      </c>
      <c r="D3475" s="142" t="s">
        <v>15848</v>
      </c>
      <c r="E3475" s="142" t="s">
        <v>15849</v>
      </c>
      <c r="F3475" s="142" t="s">
        <v>11608</v>
      </c>
      <c r="G3475" s="142" t="s">
        <v>11607</v>
      </c>
      <c r="H3475" s="142" t="s">
        <v>19325</v>
      </c>
      <c r="I3475" s="142">
        <v>216</v>
      </c>
      <c r="J3475" s="142">
        <v>0</v>
      </c>
      <c r="K3475" s="142">
        <v>0</v>
      </c>
      <c r="L3475" s="142">
        <v>0</v>
      </c>
      <c r="M3475" s="142">
        <v>216</v>
      </c>
    </row>
    <row r="3476" spans="1:13" x14ac:dyDescent="0.45">
      <c r="A3476" s="142" t="s">
        <v>13008</v>
      </c>
      <c r="B3476" s="142" t="s">
        <v>15411</v>
      </c>
      <c r="C3476" s="142" t="s">
        <v>15847</v>
      </c>
      <c r="D3476" s="142" t="s">
        <v>15848</v>
      </c>
      <c r="E3476" s="142" t="s">
        <v>15849</v>
      </c>
      <c r="F3476" s="142" t="s">
        <v>11608</v>
      </c>
      <c r="G3476" s="142" t="s">
        <v>11607</v>
      </c>
      <c r="H3476" s="142" t="s">
        <v>19326</v>
      </c>
      <c r="I3476" s="142">
        <v>1</v>
      </c>
      <c r="J3476" s="142">
        <v>0</v>
      </c>
      <c r="K3476" s="142">
        <v>0</v>
      </c>
      <c r="L3476" s="142">
        <v>0</v>
      </c>
      <c r="M3476" s="142">
        <v>1</v>
      </c>
    </row>
    <row r="3477" spans="1:13" x14ac:dyDescent="0.45">
      <c r="A3477" s="142" t="s">
        <v>13055</v>
      </c>
      <c r="B3477" s="142" t="s">
        <v>14595</v>
      </c>
      <c r="C3477" s="142" t="s">
        <v>15847</v>
      </c>
      <c r="D3477" s="142" t="s">
        <v>15848</v>
      </c>
      <c r="E3477" s="142" t="s">
        <v>15849</v>
      </c>
      <c r="F3477" s="142" t="s">
        <v>11608</v>
      </c>
      <c r="G3477" s="142" t="s">
        <v>11607</v>
      </c>
      <c r="H3477" s="142" t="s">
        <v>19327</v>
      </c>
      <c r="I3477" s="142">
        <v>1002</v>
      </c>
      <c r="J3477" s="142">
        <v>807</v>
      </c>
      <c r="K3477" s="142">
        <v>0</v>
      </c>
      <c r="L3477" s="142">
        <v>39</v>
      </c>
      <c r="M3477" s="142">
        <v>156</v>
      </c>
    </row>
    <row r="3478" spans="1:13" x14ac:dyDescent="0.45">
      <c r="A3478" s="142" t="s">
        <v>13104</v>
      </c>
      <c r="B3478" s="142" t="s">
        <v>14622</v>
      </c>
      <c r="C3478" s="142" t="s">
        <v>15847</v>
      </c>
      <c r="D3478" s="142" t="s">
        <v>15848</v>
      </c>
      <c r="E3478" s="142" t="s">
        <v>15849</v>
      </c>
      <c r="F3478" s="142" t="s">
        <v>11608</v>
      </c>
      <c r="G3478" s="142" t="s">
        <v>11607</v>
      </c>
      <c r="H3478" s="142" t="s">
        <v>19328</v>
      </c>
      <c r="I3478" s="142">
        <v>4322</v>
      </c>
      <c r="J3478" s="142">
        <v>3848</v>
      </c>
      <c r="K3478" s="142">
        <v>0</v>
      </c>
      <c r="L3478" s="142">
        <v>124</v>
      </c>
      <c r="M3478" s="142">
        <v>350</v>
      </c>
    </row>
    <row r="3479" spans="1:13" x14ac:dyDescent="0.45">
      <c r="A3479" s="142" t="s">
        <v>13218</v>
      </c>
      <c r="B3479" s="142" t="s">
        <v>15316</v>
      </c>
      <c r="C3479" s="142" t="s">
        <v>15860</v>
      </c>
      <c r="D3479" s="142" t="s">
        <v>15861</v>
      </c>
      <c r="E3479" s="142" t="s">
        <v>15849</v>
      </c>
      <c r="F3479" s="142" t="s">
        <v>11608</v>
      </c>
      <c r="G3479" s="142" t="s">
        <v>11607</v>
      </c>
      <c r="H3479" s="142" t="s">
        <v>19329</v>
      </c>
      <c r="I3479" s="142">
        <v>18</v>
      </c>
      <c r="J3479" s="142">
        <v>18</v>
      </c>
      <c r="K3479" s="142">
        <v>0</v>
      </c>
      <c r="L3479" s="142">
        <v>0</v>
      </c>
      <c r="M3479" s="142">
        <v>0</v>
      </c>
    </row>
    <row r="3480" spans="1:13" x14ac:dyDescent="0.45">
      <c r="A3480" s="142" t="s">
        <v>13719</v>
      </c>
      <c r="B3480" s="142" t="s">
        <v>14799</v>
      </c>
      <c r="C3480" s="142" t="s">
        <v>15860</v>
      </c>
      <c r="D3480" s="142" t="s">
        <v>15861</v>
      </c>
      <c r="E3480" s="142" t="s">
        <v>15849</v>
      </c>
      <c r="F3480" s="142" t="s">
        <v>11608</v>
      </c>
      <c r="G3480" s="142" t="s">
        <v>11607</v>
      </c>
      <c r="H3480" s="142" t="s">
        <v>19330</v>
      </c>
      <c r="I3480" s="142">
        <v>10</v>
      </c>
      <c r="J3480" s="142">
        <v>0</v>
      </c>
      <c r="K3480" s="142">
        <v>0</v>
      </c>
      <c r="L3480" s="142">
        <v>10</v>
      </c>
      <c r="M3480" s="142">
        <v>0</v>
      </c>
    </row>
    <row r="3481" spans="1:13" x14ac:dyDescent="0.45">
      <c r="A3481" s="142" t="s">
        <v>13037</v>
      </c>
      <c r="B3481" s="142" t="s">
        <v>14519</v>
      </c>
      <c r="C3481" s="142" t="s">
        <v>15847</v>
      </c>
      <c r="D3481" s="142" t="s">
        <v>15848</v>
      </c>
      <c r="E3481" s="142" t="s">
        <v>15849</v>
      </c>
      <c r="F3481" s="142" t="s">
        <v>11608</v>
      </c>
      <c r="G3481" s="142" t="s">
        <v>11607</v>
      </c>
      <c r="H3481" s="142" t="s">
        <v>19331</v>
      </c>
      <c r="I3481" s="142">
        <v>16</v>
      </c>
      <c r="J3481" s="142">
        <v>0</v>
      </c>
      <c r="K3481" s="142">
        <v>0</v>
      </c>
      <c r="L3481" s="142">
        <v>16</v>
      </c>
      <c r="M3481" s="142">
        <v>0</v>
      </c>
    </row>
    <row r="3482" spans="1:13" x14ac:dyDescent="0.45">
      <c r="A3482" s="142" t="s">
        <v>13009</v>
      </c>
      <c r="B3482" s="142" t="s">
        <v>15256</v>
      </c>
      <c r="C3482" s="142" t="s">
        <v>15847</v>
      </c>
      <c r="D3482" s="142" t="s">
        <v>15848</v>
      </c>
      <c r="E3482" s="142" t="s">
        <v>15849</v>
      </c>
      <c r="F3482" s="142" t="s">
        <v>11608</v>
      </c>
      <c r="G3482" s="142" t="s">
        <v>11607</v>
      </c>
      <c r="H3482" s="142" t="s">
        <v>19332</v>
      </c>
      <c r="I3482" s="142">
        <v>43</v>
      </c>
      <c r="J3482" s="142">
        <v>0</v>
      </c>
      <c r="K3482" s="142">
        <v>0</v>
      </c>
      <c r="L3482" s="142">
        <v>43</v>
      </c>
      <c r="M3482" s="142">
        <v>0</v>
      </c>
    </row>
    <row r="3483" spans="1:13" x14ac:dyDescent="0.45">
      <c r="A3483" s="142" t="s">
        <v>13011</v>
      </c>
      <c r="B3483" s="142" t="s">
        <v>14695</v>
      </c>
      <c r="C3483" s="142" t="s">
        <v>15847</v>
      </c>
      <c r="D3483" s="142" t="s">
        <v>15848</v>
      </c>
      <c r="E3483" s="142" t="s">
        <v>15849</v>
      </c>
      <c r="F3483" s="142" t="s">
        <v>11608</v>
      </c>
      <c r="G3483" s="142" t="s">
        <v>11607</v>
      </c>
      <c r="H3483" s="142" t="s">
        <v>19333</v>
      </c>
      <c r="I3483" s="142">
        <v>1928</v>
      </c>
      <c r="J3483" s="142">
        <v>1047</v>
      </c>
      <c r="K3483" s="142">
        <v>0</v>
      </c>
      <c r="L3483" s="142">
        <v>402</v>
      </c>
      <c r="M3483" s="142">
        <v>479</v>
      </c>
    </row>
    <row r="3484" spans="1:13" x14ac:dyDescent="0.45">
      <c r="A3484" s="142" t="s">
        <v>13344</v>
      </c>
      <c r="B3484" s="142" t="s">
        <v>15448</v>
      </c>
      <c r="C3484" s="142" t="s">
        <v>15860</v>
      </c>
      <c r="D3484" s="142" t="s">
        <v>15861</v>
      </c>
      <c r="E3484" s="142" t="s">
        <v>15849</v>
      </c>
      <c r="F3484" s="142" t="s">
        <v>11608</v>
      </c>
      <c r="G3484" s="142" t="s">
        <v>11607</v>
      </c>
      <c r="H3484" s="142" t="s">
        <v>19334</v>
      </c>
      <c r="I3484" s="142">
        <v>13</v>
      </c>
      <c r="J3484" s="142">
        <v>13</v>
      </c>
      <c r="K3484" s="142">
        <v>0</v>
      </c>
      <c r="L3484" s="142">
        <v>0</v>
      </c>
      <c r="M3484" s="142">
        <v>0</v>
      </c>
    </row>
    <row r="3485" spans="1:13" x14ac:dyDescent="0.45">
      <c r="A3485" s="142" t="s">
        <v>13720</v>
      </c>
      <c r="B3485" s="142" t="s">
        <v>14878</v>
      </c>
      <c r="C3485" s="142" t="s">
        <v>15860</v>
      </c>
      <c r="D3485" s="142" t="s">
        <v>15861</v>
      </c>
      <c r="E3485" s="142" t="s">
        <v>15849</v>
      </c>
      <c r="F3485" s="142" t="s">
        <v>11608</v>
      </c>
      <c r="G3485" s="142" t="s">
        <v>11607</v>
      </c>
      <c r="H3485" s="142" t="s">
        <v>19335</v>
      </c>
      <c r="I3485" s="142">
        <v>172</v>
      </c>
      <c r="J3485" s="142">
        <v>0</v>
      </c>
      <c r="K3485" s="142">
        <v>0</v>
      </c>
      <c r="L3485" s="142">
        <v>172</v>
      </c>
      <c r="M3485" s="142">
        <v>0</v>
      </c>
    </row>
    <row r="3486" spans="1:13" x14ac:dyDescent="0.45">
      <c r="A3486" s="142" t="s">
        <v>13014</v>
      </c>
      <c r="B3486" s="142" t="s">
        <v>14505</v>
      </c>
      <c r="C3486" s="142" t="s">
        <v>15847</v>
      </c>
      <c r="D3486" s="142" t="s">
        <v>15848</v>
      </c>
      <c r="E3486" s="142" t="s">
        <v>15849</v>
      </c>
      <c r="F3486" s="142" t="s">
        <v>11608</v>
      </c>
      <c r="G3486" s="142" t="s">
        <v>11607</v>
      </c>
      <c r="H3486" s="142" t="s">
        <v>19336</v>
      </c>
      <c r="I3486" s="142">
        <v>1</v>
      </c>
      <c r="J3486" s="142">
        <v>0</v>
      </c>
      <c r="K3486" s="142">
        <v>0</v>
      </c>
      <c r="L3486" s="142">
        <v>0</v>
      </c>
      <c r="M3486" s="142">
        <v>1</v>
      </c>
    </row>
    <row r="3487" spans="1:13" x14ac:dyDescent="0.45">
      <c r="A3487" s="142" t="s">
        <v>13042</v>
      </c>
      <c r="B3487" s="142" t="s">
        <v>15489</v>
      </c>
      <c r="C3487" s="142" t="s">
        <v>15847</v>
      </c>
      <c r="D3487" s="142" t="s">
        <v>15848</v>
      </c>
      <c r="E3487" s="142" t="s">
        <v>15849</v>
      </c>
      <c r="F3487" s="142" t="s">
        <v>11608</v>
      </c>
      <c r="G3487" s="142" t="s">
        <v>11607</v>
      </c>
      <c r="H3487" s="142" t="s">
        <v>19337</v>
      </c>
      <c r="I3487" s="142">
        <v>172</v>
      </c>
      <c r="J3487" s="142">
        <v>86</v>
      </c>
      <c r="K3487" s="142">
        <v>0</v>
      </c>
      <c r="L3487" s="142">
        <v>48</v>
      </c>
      <c r="M3487" s="142">
        <v>38</v>
      </c>
    </row>
    <row r="3488" spans="1:13" x14ac:dyDescent="0.45">
      <c r="A3488" s="142" t="s">
        <v>13265</v>
      </c>
      <c r="B3488" s="142" t="s">
        <v>14453</v>
      </c>
      <c r="C3488" s="142" t="s">
        <v>15860</v>
      </c>
      <c r="D3488" s="142" t="s">
        <v>15861</v>
      </c>
      <c r="E3488" s="142" t="s">
        <v>15849</v>
      </c>
      <c r="F3488" s="142" t="s">
        <v>11608</v>
      </c>
      <c r="G3488" s="142" t="s">
        <v>11607</v>
      </c>
      <c r="H3488" s="142" t="s">
        <v>19338</v>
      </c>
      <c r="I3488" s="142">
        <v>189</v>
      </c>
      <c r="J3488" s="142">
        <v>0</v>
      </c>
      <c r="K3488" s="142">
        <v>0</v>
      </c>
      <c r="L3488" s="142">
        <v>189</v>
      </c>
      <c r="M3488" s="142">
        <v>0</v>
      </c>
    </row>
    <row r="3489" spans="1:13" x14ac:dyDescent="0.45">
      <c r="A3489" s="142" t="s">
        <v>13016</v>
      </c>
      <c r="B3489" s="142" t="s">
        <v>14535</v>
      </c>
      <c r="C3489" s="142" t="s">
        <v>15860</v>
      </c>
      <c r="D3489" s="142" t="s">
        <v>15861</v>
      </c>
      <c r="E3489" s="142" t="s">
        <v>15849</v>
      </c>
      <c r="F3489" s="142" t="s">
        <v>11608</v>
      </c>
      <c r="G3489" s="142" t="s">
        <v>11607</v>
      </c>
      <c r="H3489" s="142" t="s">
        <v>19339</v>
      </c>
      <c r="I3489" s="142">
        <v>17</v>
      </c>
      <c r="J3489" s="142">
        <v>0</v>
      </c>
      <c r="K3489" s="142">
        <v>0</v>
      </c>
      <c r="L3489" s="142">
        <v>17</v>
      </c>
      <c r="M3489" s="142">
        <v>0</v>
      </c>
    </row>
    <row r="3490" spans="1:13" x14ac:dyDescent="0.45">
      <c r="A3490" s="142" t="s">
        <v>13166</v>
      </c>
      <c r="B3490" s="142" t="s">
        <v>15576</v>
      </c>
      <c r="C3490" s="142" t="s">
        <v>15847</v>
      </c>
      <c r="D3490" s="142" t="s">
        <v>15848</v>
      </c>
      <c r="E3490" s="142" t="s">
        <v>15849</v>
      </c>
      <c r="F3490" s="142" t="s">
        <v>8330</v>
      </c>
      <c r="G3490" s="142" t="s">
        <v>8329</v>
      </c>
      <c r="H3490" s="142" t="s">
        <v>19340</v>
      </c>
      <c r="I3490" s="142">
        <v>149</v>
      </c>
      <c r="J3490" s="142">
        <v>91</v>
      </c>
      <c r="K3490" s="142">
        <v>0</v>
      </c>
      <c r="L3490" s="142">
        <v>13</v>
      </c>
      <c r="M3490" s="142">
        <v>45</v>
      </c>
    </row>
    <row r="3491" spans="1:13" x14ac:dyDescent="0.45">
      <c r="A3491" s="142" t="s">
        <v>13722</v>
      </c>
      <c r="B3491" s="142" t="s">
        <v>15199</v>
      </c>
      <c r="C3491" s="142" t="s">
        <v>15860</v>
      </c>
      <c r="D3491" s="142" t="s">
        <v>15861</v>
      </c>
      <c r="E3491" s="142" t="s">
        <v>15849</v>
      </c>
      <c r="F3491" s="142" t="s">
        <v>8330</v>
      </c>
      <c r="G3491" s="142" t="s">
        <v>8329</v>
      </c>
      <c r="H3491" s="142" t="s">
        <v>19341</v>
      </c>
      <c r="I3491" s="142">
        <v>10</v>
      </c>
      <c r="J3491" s="142">
        <v>0</v>
      </c>
      <c r="K3491" s="142">
        <v>0</v>
      </c>
      <c r="L3491" s="142">
        <v>10</v>
      </c>
      <c r="M3491" s="142">
        <v>0</v>
      </c>
    </row>
    <row r="3492" spans="1:13" x14ac:dyDescent="0.45">
      <c r="A3492" s="142" t="s">
        <v>13167</v>
      </c>
      <c r="B3492" s="142" t="s">
        <v>15418</v>
      </c>
      <c r="C3492" s="142" t="s">
        <v>15847</v>
      </c>
      <c r="D3492" s="142" t="s">
        <v>15848</v>
      </c>
      <c r="E3492" s="142" t="s">
        <v>15849</v>
      </c>
      <c r="F3492" s="142" t="s">
        <v>8330</v>
      </c>
      <c r="G3492" s="142" t="s">
        <v>8329</v>
      </c>
      <c r="H3492" s="142" t="s">
        <v>19342</v>
      </c>
      <c r="I3492" s="142">
        <v>254</v>
      </c>
      <c r="J3492" s="142">
        <v>163</v>
      </c>
      <c r="K3492" s="142">
        <v>0</v>
      </c>
      <c r="L3492" s="142">
        <v>0</v>
      </c>
      <c r="M3492" s="142">
        <v>91</v>
      </c>
    </row>
    <row r="3493" spans="1:13" x14ac:dyDescent="0.45">
      <c r="A3493" s="142" t="s">
        <v>13021</v>
      </c>
      <c r="B3493" s="142" t="s">
        <v>15501</v>
      </c>
      <c r="C3493" s="142" t="s">
        <v>15847</v>
      </c>
      <c r="D3493" s="142" t="s">
        <v>15848</v>
      </c>
      <c r="E3493" s="142" t="s">
        <v>15849</v>
      </c>
      <c r="F3493" s="142" t="s">
        <v>8330</v>
      </c>
      <c r="G3493" s="142" t="s">
        <v>8329</v>
      </c>
      <c r="H3493" s="142" t="s">
        <v>19343</v>
      </c>
      <c r="I3493" s="142">
        <v>10</v>
      </c>
      <c r="J3493" s="142">
        <v>0</v>
      </c>
      <c r="K3493" s="142">
        <v>0</v>
      </c>
      <c r="L3493" s="142">
        <v>7</v>
      </c>
      <c r="M3493" s="142">
        <v>3</v>
      </c>
    </row>
    <row r="3494" spans="1:13" x14ac:dyDescent="0.45">
      <c r="A3494" s="142" t="s">
        <v>13723</v>
      </c>
      <c r="B3494" s="142" t="s">
        <v>15041</v>
      </c>
      <c r="C3494" s="142" t="s">
        <v>15860</v>
      </c>
      <c r="D3494" s="142" t="s">
        <v>15861</v>
      </c>
      <c r="E3494" s="142" t="s">
        <v>15849</v>
      </c>
      <c r="F3494" s="142" t="s">
        <v>8330</v>
      </c>
      <c r="G3494" s="142" t="s">
        <v>8329</v>
      </c>
      <c r="H3494" s="142" t="s">
        <v>19344</v>
      </c>
      <c r="I3494" s="142">
        <v>45</v>
      </c>
      <c r="J3494" s="142">
        <v>45</v>
      </c>
      <c r="K3494" s="142">
        <v>0</v>
      </c>
      <c r="L3494" s="142">
        <v>0</v>
      </c>
      <c r="M3494" s="142">
        <v>0</v>
      </c>
    </row>
    <row r="3495" spans="1:13" x14ac:dyDescent="0.45">
      <c r="A3495" s="142" t="s">
        <v>13000</v>
      </c>
      <c r="B3495" s="142" t="s">
        <v>14610</v>
      </c>
      <c r="C3495" s="142" t="s">
        <v>15847</v>
      </c>
      <c r="D3495" s="142" t="s">
        <v>15848</v>
      </c>
      <c r="E3495" s="142" t="s">
        <v>15849</v>
      </c>
      <c r="F3495" s="142" t="s">
        <v>8330</v>
      </c>
      <c r="G3495" s="142" t="s">
        <v>8329</v>
      </c>
      <c r="H3495" s="142" t="s">
        <v>19345</v>
      </c>
      <c r="I3495" s="142">
        <v>349</v>
      </c>
      <c r="J3495" s="142">
        <v>254</v>
      </c>
      <c r="K3495" s="142">
        <v>0</v>
      </c>
      <c r="L3495" s="142">
        <v>42</v>
      </c>
      <c r="M3495" s="142">
        <v>53</v>
      </c>
    </row>
    <row r="3496" spans="1:13" x14ac:dyDescent="0.45">
      <c r="A3496" s="142" t="s">
        <v>13074</v>
      </c>
      <c r="B3496" s="142" t="s">
        <v>15405</v>
      </c>
      <c r="C3496" s="142" t="s">
        <v>15847</v>
      </c>
      <c r="D3496" s="142" t="s">
        <v>15848</v>
      </c>
      <c r="E3496" s="142" t="s">
        <v>15849</v>
      </c>
      <c r="F3496" s="142" t="s">
        <v>8330</v>
      </c>
      <c r="G3496" s="142" t="s">
        <v>8329</v>
      </c>
      <c r="H3496" s="142" t="s">
        <v>19346</v>
      </c>
      <c r="I3496" s="142">
        <v>40</v>
      </c>
      <c r="J3496" s="142">
        <v>27</v>
      </c>
      <c r="K3496" s="142">
        <v>0</v>
      </c>
      <c r="L3496" s="142">
        <v>0</v>
      </c>
      <c r="M3496" s="142">
        <v>13</v>
      </c>
    </row>
    <row r="3497" spans="1:13" x14ac:dyDescent="0.45">
      <c r="A3497" s="142" t="s">
        <v>13724</v>
      </c>
      <c r="B3497" s="142" t="s">
        <v>15517</v>
      </c>
      <c r="C3497" s="142" t="s">
        <v>15860</v>
      </c>
      <c r="D3497" s="142" t="s">
        <v>15861</v>
      </c>
      <c r="E3497" s="142" t="s">
        <v>15849</v>
      </c>
      <c r="F3497" s="142" t="s">
        <v>8330</v>
      </c>
      <c r="G3497" s="142" t="s">
        <v>8329</v>
      </c>
      <c r="H3497" s="142" t="s">
        <v>19347</v>
      </c>
      <c r="I3497" s="142">
        <v>87</v>
      </c>
      <c r="J3497" s="142">
        <v>0</v>
      </c>
      <c r="K3497" s="142">
        <v>0</v>
      </c>
      <c r="L3497" s="142">
        <v>87</v>
      </c>
      <c r="M3497" s="142">
        <v>0</v>
      </c>
    </row>
    <row r="3498" spans="1:13" x14ac:dyDescent="0.45">
      <c r="A3498" s="142" t="s">
        <v>13725</v>
      </c>
      <c r="B3498" s="142" t="s">
        <v>15355</v>
      </c>
      <c r="C3498" s="142" t="s">
        <v>15860</v>
      </c>
      <c r="D3498" s="142" t="s">
        <v>15861</v>
      </c>
      <c r="E3498" s="142" t="s">
        <v>15849</v>
      </c>
      <c r="F3498" s="142" t="s">
        <v>8330</v>
      </c>
      <c r="G3498" s="142" t="s">
        <v>8329</v>
      </c>
      <c r="H3498" s="142" t="s">
        <v>19348</v>
      </c>
      <c r="I3498" s="142">
        <v>30</v>
      </c>
      <c r="J3498" s="142">
        <v>0</v>
      </c>
      <c r="K3498" s="142">
        <v>0</v>
      </c>
      <c r="L3498" s="142">
        <v>30</v>
      </c>
      <c r="M3498" s="142">
        <v>0</v>
      </c>
    </row>
    <row r="3499" spans="1:13" x14ac:dyDescent="0.45">
      <c r="A3499" s="142" t="s">
        <v>13002</v>
      </c>
      <c r="B3499" s="142" t="s">
        <v>15376</v>
      </c>
      <c r="C3499" s="142" t="s">
        <v>15847</v>
      </c>
      <c r="D3499" s="142" t="s">
        <v>15848</v>
      </c>
      <c r="E3499" s="142" t="s">
        <v>15849</v>
      </c>
      <c r="F3499" s="142" t="s">
        <v>8330</v>
      </c>
      <c r="G3499" s="142" t="s">
        <v>8329</v>
      </c>
      <c r="H3499" s="142" t="s">
        <v>19349</v>
      </c>
      <c r="I3499" s="142">
        <v>393</v>
      </c>
      <c r="J3499" s="142">
        <v>297</v>
      </c>
      <c r="K3499" s="142">
        <v>0</v>
      </c>
      <c r="L3499" s="142">
        <v>36</v>
      </c>
      <c r="M3499" s="142">
        <v>60</v>
      </c>
    </row>
    <row r="3500" spans="1:13" x14ac:dyDescent="0.45">
      <c r="A3500" s="142" t="s">
        <v>13005</v>
      </c>
      <c r="B3500" s="142" t="s">
        <v>15475</v>
      </c>
      <c r="C3500" s="142" t="s">
        <v>15847</v>
      </c>
      <c r="D3500" s="142" t="s">
        <v>15848</v>
      </c>
      <c r="E3500" s="142" t="s">
        <v>15849</v>
      </c>
      <c r="F3500" s="142" t="s">
        <v>8330</v>
      </c>
      <c r="G3500" s="142" t="s">
        <v>8329</v>
      </c>
      <c r="H3500" s="142" t="s">
        <v>19350</v>
      </c>
      <c r="I3500" s="142">
        <v>4</v>
      </c>
      <c r="J3500" s="142">
        <v>0</v>
      </c>
      <c r="K3500" s="142">
        <v>0</v>
      </c>
      <c r="L3500" s="142">
        <v>0</v>
      </c>
      <c r="M3500" s="142">
        <v>4</v>
      </c>
    </row>
    <row r="3501" spans="1:13" x14ac:dyDescent="0.45">
      <c r="A3501" s="142" t="s">
        <v>13006</v>
      </c>
      <c r="B3501" s="142" t="s">
        <v>15288</v>
      </c>
      <c r="C3501" s="142" t="s">
        <v>15847</v>
      </c>
      <c r="D3501" s="142" t="s">
        <v>15848</v>
      </c>
      <c r="E3501" s="142" t="s">
        <v>15849</v>
      </c>
      <c r="F3501" s="142" t="s">
        <v>8330</v>
      </c>
      <c r="G3501" s="142" t="s">
        <v>8329</v>
      </c>
      <c r="H3501" s="142" t="s">
        <v>19351</v>
      </c>
      <c r="I3501" s="142">
        <v>422</v>
      </c>
      <c r="J3501" s="142">
        <v>339</v>
      </c>
      <c r="K3501" s="142">
        <v>0</v>
      </c>
      <c r="L3501" s="142">
        <v>0</v>
      </c>
      <c r="M3501" s="142">
        <v>83</v>
      </c>
    </row>
    <row r="3502" spans="1:13" x14ac:dyDescent="0.45">
      <c r="A3502" s="142" t="s">
        <v>13568</v>
      </c>
      <c r="B3502" s="142" t="s">
        <v>15242</v>
      </c>
      <c r="C3502" s="142" t="s">
        <v>15847</v>
      </c>
      <c r="D3502" s="142" t="s">
        <v>15848</v>
      </c>
      <c r="E3502" s="142" t="s">
        <v>15849</v>
      </c>
      <c r="F3502" s="142" t="s">
        <v>8330</v>
      </c>
      <c r="G3502" s="142" t="s">
        <v>8329</v>
      </c>
      <c r="H3502" s="142" t="s">
        <v>19352</v>
      </c>
      <c r="I3502" s="142">
        <v>157</v>
      </c>
      <c r="J3502" s="142">
        <v>125</v>
      </c>
      <c r="K3502" s="142">
        <v>0</v>
      </c>
      <c r="L3502" s="142">
        <v>0</v>
      </c>
      <c r="M3502" s="142">
        <v>32</v>
      </c>
    </row>
    <row r="3503" spans="1:13" x14ac:dyDescent="0.45">
      <c r="A3503" s="142" t="s">
        <v>13055</v>
      </c>
      <c r="B3503" s="142" t="s">
        <v>14595</v>
      </c>
      <c r="C3503" s="142" t="s">
        <v>15847</v>
      </c>
      <c r="D3503" s="142" t="s">
        <v>15848</v>
      </c>
      <c r="E3503" s="142" t="s">
        <v>15849</v>
      </c>
      <c r="F3503" s="142" t="s">
        <v>8330</v>
      </c>
      <c r="G3503" s="142" t="s">
        <v>8329</v>
      </c>
      <c r="H3503" s="142" t="s">
        <v>19353</v>
      </c>
      <c r="I3503" s="142">
        <v>147</v>
      </c>
      <c r="J3503" s="142">
        <v>102</v>
      </c>
      <c r="K3503" s="142">
        <v>0</v>
      </c>
      <c r="L3503" s="142">
        <v>0</v>
      </c>
      <c r="M3503" s="142">
        <v>45</v>
      </c>
    </row>
    <row r="3504" spans="1:13" x14ac:dyDescent="0.45">
      <c r="A3504" s="142" t="s">
        <v>13034</v>
      </c>
      <c r="B3504" s="142" t="s">
        <v>15562</v>
      </c>
      <c r="C3504" s="142" t="s">
        <v>15847</v>
      </c>
      <c r="D3504" s="142" t="s">
        <v>15848</v>
      </c>
      <c r="E3504" s="142" t="s">
        <v>15849</v>
      </c>
      <c r="F3504" s="142" t="s">
        <v>8330</v>
      </c>
      <c r="G3504" s="142" t="s">
        <v>8329</v>
      </c>
      <c r="H3504" s="142" t="s">
        <v>19354</v>
      </c>
      <c r="I3504" s="142">
        <v>4</v>
      </c>
      <c r="J3504" s="142">
        <v>0</v>
      </c>
      <c r="K3504" s="142">
        <v>0</v>
      </c>
      <c r="L3504" s="142">
        <v>4</v>
      </c>
      <c r="M3504" s="142">
        <v>0</v>
      </c>
    </row>
    <row r="3505" spans="1:13" x14ac:dyDescent="0.45">
      <c r="A3505" s="142" t="s">
        <v>13039</v>
      </c>
      <c r="B3505" s="142" t="s">
        <v>14647</v>
      </c>
      <c r="C3505" s="142" t="s">
        <v>15847</v>
      </c>
      <c r="D3505" s="142" t="s">
        <v>15848</v>
      </c>
      <c r="E3505" s="142" t="s">
        <v>15849</v>
      </c>
      <c r="F3505" s="142" t="s">
        <v>8330</v>
      </c>
      <c r="G3505" s="142" t="s">
        <v>8329</v>
      </c>
      <c r="H3505" s="142" t="s">
        <v>19355</v>
      </c>
      <c r="I3505" s="142">
        <v>13</v>
      </c>
      <c r="J3505" s="142">
        <v>13</v>
      </c>
      <c r="K3505" s="142">
        <v>0</v>
      </c>
      <c r="L3505" s="142">
        <v>0</v>
      </c>
      <c r="M3505" s="142">
        <v>0</v>
      </c>
    </row>
    <row r="3506" spans="1:13" x14ac:dyDescent="0.45">
      <c r="A3506" s="142" t="s">
        <v>13078</v>
      </c>
      <c r="B3506" s="142" t="s">
        <v>15540</v>
      </c>
      <c r="C3506" s="142" t="s">
        <v>15847</v>
      </c>
      <c r="D3506" s="142" t="s">
        <v>15848</v>
      </c>
      <c r="E3506" s="142" t="s">
        <v>15849</v>
      </c>
      <c r="F3506" s="142" t="s">
        <v>8330</v>
      </c>
      <c r="G3506" s="142" t="s">
        <v>8329</v>
      </c>
      <c r="H3506" s="142" t="s">
        <v>19356</v>
      </c>
      <c r="I3506" s="142">
        <v>25</v>
      </c>
      <c r="J3506" s="142">
        <v>0</v>
      </c>
      <c r="K3506" s="142">
        <v>0</v>
      </c>
      <c r="L3506" s="142">
        <v>25</v>
      </c>
      <c r="M3506" s="142">
        <v>0</v>
      </c>
    </row>
    <row r="3507" spans="1:13" x14ac:dyDescent="0.45">
      <c r="A3507" s="142" t="s">
        <v>13057</v>
      </c>
      <c r="B3507" s="142" t="s">
        <v>15528</v>
      </c>
      <c r="C3507" s="142" t="s">
        <v>15860</v>
      </c>
      <c r="D3507" s="142" t="s">
        <v>15861</v>
      </c>
      <c r="E3507" s="142" t="s">
        <v>15849</v>
      </c>
      <c r="F3507" s="142" t="s">
        <v>8330</v>
      </c>
      <c r="G3507" s="142" t="s">
        <v>8329</v>
      </c>
      <c r="H3507" s="142" t="s">
        <v>19357</v>
      </c>
      <c r="I3507" s="142">
        <v>13</v>
      </c>
      <c r="J3507" s="142">
        <v>13</v>
      </c>
      <c r="K3507" s="142">
        <v>0</v>
      </c>
      <c r="L3507" s="142">
        <v>0</v>
      </c>
      <c r="M3507" s="142">
        <v>0</v>
      </c>
    </row>
    <row r="3508" spans="1:13" x14ac:dyDescent="0.45">
      <c r="A3508" s="142" t="s">
        <v>13011</v>
      </c>
      <c r="B3508" s="142" t="s">
        <v>14695</v>
      </c>
      <c r="C3508" s="142" t="s">
        <v>15847</v>
      </c>
      <c r="D3508" s="142" t="s">
        <v>15848</v>
      </c>
      <c r="E3508" s="142" t="s">
        <v>15849</v>
      </c>
      <c r="F3508" s="142" t="s">
        <v>8330</v>
      </c>
      <c r="G3508" s="142" t="s">
        <v>8329</v>
      </c>
      <c r="H3508" s="142" t="s">
        <v>19358</v>
      </c>
      <c r="I3508" s="142">
        <v>132</v>
      </c>
      <c r="J3508" s="142">
        <v>120</v>
      </c>
      <c r="K3508" s="142">
        <v>0</v>
      </c>
      <c r="L3508" s="142">
        <v>0</v>
      </c>
      <c r="M3508" s="142">
        <v>12</v>
      </c>
    </row>
    <row r="3509" spans="1:13" x14ac:dyDescent="0.45">
      <c r="A3509" s="142" t="s">
        <v>13058</v>
      </c>
      <c r="B3509" s="142" t="s">
        <v>14584</v>
      </c>
      <c r="C3509" s="142" t="s">
        <v>15847</v>
      </c>
      <c r="D3509" s="142" t="s">
        <v>15848</v>
      </c>
      <c r="E3509" s="142" t="s">
        <v>15849</v>
      </c>
      <c r="F3509" s="142" t="s">
        <v>8330</v>
      </c>
      <c r="G3509" s="142" t="s">
        <v>8329</v>
      </c>
      <c r="H3509" s="142" t="s">
        <v>19359</v>
      </c>
      <c r="I3509" s="142">
        <v>126</v>
      </c>
      <c r="J3509" s="142">
        <v>60</v>
      </c>
      <c r="K3509" s="142">
        <v>0</v>
      </c>
      <c r="L3509" s="142">
        <v>0</v>
      </c>
      <c r="M3509" s="142">
        <v>66</v>
      </c>
    </row>
    <row r="3510" spans="1:13" x14ac:dyDescent="0.45">
      <c r="A3510" s="142" t="s">
        <v>13041</v>
      </c>
      <c r="B3510" s="142" t="s">
        <v>14441</v>
      </c>
      <c r="C3510" s="142" t="s">
        <v>15847</v>
      </c>
      <c r="D3510" s="142" t="s">
        <v>15848</v>
      </c>
      <c r="E3510" s="142" t="s">
        <v>15849</v>
      </c>
      <c r="F3510" s="142" t="s">
        <v>8330</v>
      </c>
      <c r="G3510" s="142" t="s">
        <v>8329</v>
      </c>
      <c r="H3510" s="142" t="s">
        <v>19360</v>
      </c>
      <c r="I3510" s="142">
        <v>5</v>
      </c>
      <c r="J3510" s="142">
        <v>0</v>
      </c>
      <c r="K3510" s="142">
        <v>0</v>
      </c>
      <c r="L3510" s="142">
        <v>0</v>
      </c>
      <c r="M3510" s="142">
        <v>5</v>
      </c>
    </row>
    <row r="3511" spans="1:13" x14ac:dyDescent="0.45">
      <c r="A3511" s="142" t="s">
        <v>13205</v>
      </c>
      <c r="B3511" s="142" t="s">
        <v>14496</v>
      </c>
      <c r="C3511" s="142" t="s">
        <v>15847</v>
      </c>
      <c r="D3511" s="142" t="s">
        <v>15848</v>
      </c>
      <c r="E3511" s="142" t="s">
        <v>15849</v>
      </c>
      <c r="F3511" s="142" t="s">
        <v>8330</v>
      </c>
      <c r="G3511" s="142" t="s">
        <v>8329</v>
      </c>
      <c r="H3511" s="142" t="s">
        <v>19361</v>
      </c>
      <c r="I3511" s="142">
        <v>33</v>
      </c>
      <c r="J3511" s="142">
        <v>33</v>
      </c>
      <c r="K3511" s="142">
        <v>0</v>
      </c>
      <c r="L3511" s="142">
        <v>0</v>
      </c>
      <c r="M3511" s="142">
        <v>0</v>
      </c>
    </row>
    <row r="3512" spans="1:13" x14ac:dyDescent="0.45">
      <c r="A3512" s="142" t="s">
        <v>13012</v>
      </c>
      <c r="B3512" s="142" t="s">
        <v>15337</v>
      </c>
      <c r="C3512" s="142" t="s">
        <v>15847</v>
      </c>
      <c r="D3512" s="142" t="s">
        <v>15848</v>
      </c>
      <c r="E3512" s="142" t="s">
        <v>15849</v>
      </c>
      <c r="F3512" s="142" t="s">
        <v>8330</v>
      </c>
      <c r="G3512" s="142" t="s">
        <v>8329</v>
      </c>
      <c r="H3512" s="142" t="s">
        <v>19362</v>
      </c>
      <c r="I3512" s="142">
        <v>10</v>
      </c>
      <c r="J3512" s="142">
        <v>10</v>
      </c>
      <c r="K3512" s="142">
        <v>0</v>
      </c>
      <c r="L3512" s="142">
        <v>0</v>
      </c>
      <c r="M3512" s="142">
        <v>0</v>
      </c>
    </row>
    <row r="3513" spans="1:13" x14ac:dyDescent="0.45">
      <c r="A3513" s="142" t="s">
        <v>13726</v>
      </c>
      <c r="B3513" s="142" t="s">
        <v>15192</v>
      </c>
      <c r="C3513" s="142" t="s">
        <v>15860</v>
      </c>
      <c r="D3513" s="142" t="s">
        <v>15861</v>
      </c>
      <c r="E3513" s="142" t="s">
        <v>15849</v>
      </c>
      <c r="F3513" s="142" t="s">
        <v>8330</v>
      </c>
      <c r="G3513" s="142" t="s">
        <v>8329</v>
      </c>
      <c r="H3513" s="142" t="s">
        <v>19363</v>
      </c>
      <c r="I3513" s="142">
        <v>9</v>
      </c>
      <c r="J3513" s="142">
        <v>0</v>
      </c>
      <c r="K3513" s="142">
        <v>0</v>
      </c>
      <c r="L3513" s="142">
        <v>9</v>
      </c>
      <c r="M3513" s="142">
        <v>0</v>
      </c>
    </row>
    <row r="3514" spans="1:13" x14ac:dyDescent="0.45">
      <c r="A3514" s="142" t="s">
        <v>13014</v>
      </c>
      <c r="B3514" s="142" t="s">
        <v>14505</v>
      </c>
      <c r="C3514" s="142" t="s">
        <v>15847</v>
      </c>
      <c r="D3514" s="142" t="s">
        <v>15848</v>
      </c>
      <c r="E3514" s="142" t="s">
        <v>15849</v>
      </c>
      <c r="F3514" s="142" t="s">
        <v>8330</v>
      </c>
      <c r="G3514" s="142" t="s">
        <v>8329</v>
      </c>
      <c r="H3514" s="142" t="s">
        <v>19364</v>
      </c>
      <c r="I3514" s="142">
        <v>1</v>
      </c>
      <c r="J3514" s="142">
        <v>0</v>
      </c>
      <c r="K3514" s="142">
        <v>0</v>
      </c>
      <c r="L3514" s="142">
        <v>0</v>
      </c>
      <c r="M3514" s="142">
        <v>1</v>
      </c>
    </row>
    <row r="3515" spans="1:13" x14ac:dyDescent="0.45">
      <c r="A3515" s="142" t="s">
        <v>13727</v>
      </c>
      <c r="B3515" s="142" t="s">
        <v>14672</v>
      </c>
      <c r="C3515" s="142" t="s">
        <v>15860</v>
      </c>
      <c r="D3515" s="142" t="s">
        <v>15861</v>
      </c>
      <c r="E3515" s="142" t="s">
        <v>15849</v>
      </c>
      <c r="F3515" s="142" t="s">
        <v>8330</v>
      </c>
      <c r="G3515" s="142" t="s">
        <v>8329</v>
      </c>
      <c r="H3515" s="142" t="s">
        <v>19365</v>
      </c>
      <c r="I3515" s="142">
        <v>14</v>
      </c>
      <c r="J3515" s="142">
        <v>0</v>
      </c>
      <c r="K3515" s="142">
        <v>0</v>
      </c>
      <c r="L3515" s="142">
        <v>14</v>
      </c>
      <c r="M3515" s="142">
        <v>0</v>
      </c>
    </row>
    <row r="3516" spans="1:13" x14ac:dyDescent="0.45">
      <c r="A3516" s="142" t="s">
        <v>13042</v>
      </c>
      <c r="B3516" s="142" t="s">
        <v>15489</v>
      </c>
      <c r="C3516" s="142" t="s">
        <v>15847</v>
      </c>
      <c r="D3516" s="142" t="s">
        <v>15848</v>
      </c>
      <c r="E3516" s="142" t="s">
        <v>15849</v>
      </c>
      <c r="F3516" s="142" t="s">
        <v>8330</v>
      </c>
      <c r="G3516" s="142" t="s">
        <v>8329</v>
      </c>
      <c r="H3516" s="142" t="s">
        <v>19366</v>
      </c>
      <c r="I3516" s="142">
        <v>70</v>
      </c>
      <c r="J3516" s="142">
        <v>0</v>
      </c>
      <c r="K3516" s="142">
        <v>0</v>
      </c>
      <c r="L3516" s="142">
        <v>70</v>
      </c>
      <c r="M3516" s="142">
        <v>0</v>
      </c>
    </row>
    <row r="3517" spans="1:13" x14ac:dyDescent="0.45">
      <c r="A3517" s="142" t="s">
        <v>13174</v>
      </c>
      <c r="B3517" s="142" t="s">
        <v>15280</v>
      </c>
      <c r="C3517" s="142" t="s">
        <v>15847</v>
      </c>
      <c r="D3517" s="142" t="s">
        <v>15848</v>
      </c>
      <c r="E3517" s="142" t="s">
        <v>15849</v>
      </c>
      <c r="F3517" s="142" t="s">
        <v>8330</v>
      </c>
      <c r="G3517" s="142" t="s">
        <v>8329</v>
      </c>
      <c r="H3517" s="142" t="s">
        <v>19367</v>
      </c>
      <c r="I3517" s="142">
        <v>3</v>
      </c>
      <c r="J3517" s="142">
        <v>0</v>
      </c>
      <c r="K3517" s="142">
        <v>0</v>
      </c>
      <c r="L3517" s="142">
        <v>0</v>
      </c>
      <c r="M3517" s="142">
        <v>3</v>
      </c>
    </row>
    <row r="3518" spans="1:13" x14ac:dyDescent="0.45">
      <c r="A3518" s="142" t="s">
        <v>13079</v>
      </c>
      <c r="B3518" s="142" t="s">
        <v>15431</v>
      </c>
      <c r="C3518" s="142" t="s">
        <v>15847</v>
      </c>
      <c r="D3518" s="142" t="s">
        <v>15848</v>
      </c>
      <c r="E3518" s="142" t="s">
        <v>15849</v>
      </c>
      <c r="F3518" s="142" t="s">
        <v>8330</v>
      </c>
      <c r="G3518" s="142" t="s">
        <v>8329</v>
      </c>
      <c r="H3518" s="142" t="s">
        <v>19368</v>
      </c>
      <c r="I3518" s="142">
        <v>39</v>
      </c>
      <c r="J3518" s="142">
        <v>29</v>
      </c>
      <c r="K3518" s="142">
        <v>0</v>
      </c>
      <c r="L3518" s="142">
        <v>0</v>
      </c>
      <c r="M3518" s="142">
        <v>10</v>
      </c>
    </row>
    <row r="3519" spans="1:13" x14ac:dyDescent="0.45">
      <c r="A3519" s="142" t="s">
        <v>13570</v>
      </c>
      <c r="B3519" s="142" t="s">
        <v>15181</v>
      </c>
      <c r="C3519" s="142" t="s">
        <v>15860</v>
      </c>
      <c r="D3519" s="142" t="s">
        <v>15861</v>
      </c>
      <c r="E3519" s="142" t="s">
        <v>15849</v>
      </c>
      <c r="F3519" s="142" t="s">
        <v>8330</v>
      </c>
      <c r="G3519" s="142" t="s">
        <v>8329</v>
      </c>
      <c r="H3519" s="142" t="s">
        <v>19369</v>
      </c>
      <c r="I3519" s="142">
        <v>75</v>
      </c>
      <c r="J3519" s="142">
        <v>0</v>
      </c>
      <c r="K3519" s="142">
        <v>0</v>
      </c>
      <c r="L3519" s="142">
        <v>75</v>
      </c>
      <c r="M3519" s="142">
        <v>0</v>
      </c>
    </row>
    <row r="3520" spans="1:13" x14ac:dyDescent="0.45">
      <c r="A3520" s="142" t="s">
        <v>13015</v>
      </c>
      <c r="B3520" s="142" t="s">
        <v>14596</v>
      </c>
      <c r="C3520" s="142" t="s">
        <v>15847</v>
      </c>
      <c r="D3520" s="142" t="s">
        <v>15848</v>
      </c>
      <c r="E3520" s="142" t="s">
        <v>15849</v>
      </c>
      <c r="F3520" s="142" t="s">
        <v>8330</v>
      </c>
      <c r="G3520" s="142" t="s">
        <v>8329</v>
      </c>
      <c r="H3520" s="142" t="s">
        <v>19370</v>
      </c>
      <c r="I3520" s="142">
        <v>630</v>
      </c>
      <c r="J3520" s="142">
        <v>481</v>
      </c>
      <c r="K3520" s="142">
        <v>0</v>
      </c>
      <c r="L3520" s="142">
        <v>0</v>
      </c>
      <c r="M3520" s="142">
        <v>149</v>
      </c>
    </row>
    <row r="3521" spans="1:13" x14ac:dyDescent="0.45">
      <c r="A3521" s="142" t="s">
        <v>13016</v>
      </c>
      <c r="B3521" s="142" t="s">
        <v>14535</v>
      </c>
      <c r="C3521" s="142" t="s">
        <v>15860</v>
      </c>
      <c r="D3521" s="142" t="s">
        <v>15861</v>
      </c>
      <c r="E3521" s="142" t="s">
        <v>15849</v>
      </c>
      <c r="F3521" s="142" t="s">
        <v>8330</v>
      </c>
      <c r="G3521" s="142" t="s">
        <v>8329</v>
      </c>
      <c r="H3521" s="142" t="s">
        <v>19371</v>
      </c>
      <c r="I3521" s="142">
        <v>4</v>
      </c>
      <c r="J3521" s="142">
        <v>0</v>
      </c>
      <c r="K3521" s="142">
        <v>0</v>
      </c>
      <c r="L3521" s="142">
        <v>4</v>
      </c>
      <c r="M3521" s="142">
        <v>0</v>
      </c>
    </row>
    <row r="3522" spans="1:13" x14ac:dyDescent="0.45">
      <c r="A3522" s="142" t="s">
        <v>13144</v>
      </c>
      <c r="B3522" s="142" t="s">
        <v>14464</v>
      </c>
      <c r="C3522" s="142" t="s">
        <v>15860</v>
      </c>
      <c r="D3522" s="142" t="s">
        <v>15861</v>
      </c>
      <c r="E3522" s="142" t="s">
        <v>15849</v>
      </c>
      <c r="F3522" s="142" t="s">
        <v>8330</v>
      </c>
      <c r="G3522" s="142" t="s">
        <v>8329</v>
      </c>
      <c r="H3522" s="142" t="s">
        <v>19372</v>
      </c>
      <c r="I3522" s="142">
        <v>5</v>
      </c>
      <c r="J3522" s="142">
        <v>0</v>
      </c>
      <c r="K3522" s="142">
        <v>0</v>
      </c>
      <c r="L3522" s="142">
        <v>5</v>
      </c>
      <c r="M3522" s="142">
        <v>0</v>
      </c>
    </row>
    <row r="3523" spans="1:13" x14ac:dyDescent="0.45">
      <c r="A3523" s="142" t="s">
        <v>13364</v>
      </c>
      <c r="B3523" s="142" t="s">
        <v>14448</v>
      </c>
      <c r="C3523" s="142" t="s">
        <v>15860</v>
      </c>
      <c r="D3523" s="142" t="s">
        <v>15861</v>
      </c>
      <c r="E3523" s="142" t="s">
        <v>15849</v>
      </c>
      <c r="F3523" s="142" t="s">
        <v>8330</v>
      </c>
      <c r="G3523" s="142" t="s">
        <v>8329</v>
      </c>
      <c r="H3523" s="142" t="s">
        <v>19373</v>
      </c>
      <c r="I3523" s="142">
        <v>33</v>
      </c>
      <c r="J3523" s="142">
        <v>0</v>
      </c>
      <c r="K3523" s="142">
        <v>0</v>
      </c>
      <c r="L3523" s="142">
        <v>33</v>
      </c>
      <c r="M3523" s="142">
        <v>0</v>
      </c>
    </row>
    <row r="3524" spans="1:13" x14ac:dyDescent="0.45">
      <c r="A3524" s="142" t="s">
        <v>13110</v>
      </c>
      <c r="B3524" s="142" t="s">
        <v>15502</v>
      </c>
      <c r="C3524" s="142" t="s">
        <v>15847</v>
      </c>
      <c r="D3524" s="142" t="s">
        <v>15848</v>
      </c>
      <c r="E3524" s="142" t="s">
        <v>15849</v>
      </c>
      <c r="F3524" s="142" t="s">
        <v>11650</v>
      </c>
      <c r="G3524" s="142" t="s">
        <v>11649</v>
      </c>
      <c r="H3524" s="142" t="s">
        <v>19374</v>
      </c>
      <c r="I3524" s="142">
        <v>143</v>
      </c>
      <c r="J3524" s="142">
        <v>83</v>
      </c>
      <c r="K3524" s="142">
        <v>0</v>
      </c>
      <c r="L3524" s="142">
        <v>0</v>
      </c>
      <c r="M3524" s="142">
        <v>60</v>
      </c>
    </row>
    <row r="3525" spans="1:13" x14ac:dyDescent="0.45">
      <c r="A3525" s="142" t="s">
        <v>13677</v>
      </c>
      <c r="B3525" s="142" t="s">
        <v>15607</v>
      </c>
      <c r="C3525" s="142" t="s">
        <v>15860</v>
      </c>
      <c r="D3525" s="142" t="s">
        <v>15861</v>
      </c>
      <c r="E3525" s="142" t="s">
        <v>15849</v>
      </c>
      <c r="F3525" s="142" t="s">
        <v>11650</v>
      </c>
      <c r="G3525" s="142" t="s">
        <v>11649</v>
      </c>
      <c r="H3525" s="142" t="s">
        <v>19375</v>
      </c>
      <c r="I3525" s="142">
        <v>13</v>
      </c>
      <c r="J3525" s="142">
        <v>13</v>
      </c>
      <c r="K3525" s="142">
        <v>0</v>
      </c>
      <c r="L3525" s="142">
        <v>0</v>
      </c>
      <c r="M3525" s="142">
        <v>0</v>
      </c>
    </row>
    <row r="3526" spans="1:13" x14ac:dyDescent="0.45">
      <c r="A3526" s="142" t="s">
        <v>13021</v>
      </c>
      <c r="B3526" s="142" t="s">
        <v>15501</v>
      </c>
      <c r="C3526" s="142" t="s">
        <v>15847</v>
      </c>
      <c r="D3526" s="142" t="s">
        <v>15848</v>
      </c>
      <c r="E3526" s="142" t="s">
        <v>15849</v>
      </c>
      <c r="F3526" s="142" t="s">
        <v>11650</v>
      </c>
      <c r="G3526" s="142" t="s">
        <v>11649</v>
      </c>
      <c r="H3526" s="142" t="s">
        <v>19376</v>
      </c>
      <c r="I3526" s="142">
        <v>17</v>
      </c>
      <c r="J3526" s="142">
        <v>0</v>
      </c>
      <c r="K3526" s="142">
        <v>0</v>
      </c>
      <c r="L3526" s="142">
        <v>17</v>
      </c>
      <c r="M3526" s="142">
        <v>0</v>
      </c>
    </row>
    <row r="3527" spans="1:13" x14ac:dyDescent="0.45">
      <c r="A3527" s="142" t="s">
        <v>13111</v>
      </c>
      <c r="B3527" s="142" t="s">
        <v>15546</v>
      </c>
      <c r="C3527" s="142" t="s">
        <v>15860</v>
      </c>
      <c r="D3527" s="142" t="s">
        <v>15861</v>
      </c>
      <c r="E3527" s="142" t="s">
        <v>15849</v>
      </c>
      <c r="F3527" s="142" t="s">
        <v>11650</v>
      </c>
      <c r="G3527" s="142" t="s">
        <v>11649</v>
      </c>
      <c r="H3527" s="142" t="s">
        <v>19377</v>
      </c>
      <c r="I3527" s="142">
        <v>521</v>
      </c>
      <c r="J3527" s="142">
        <v>444</v>
      </c>
      <c r="K3527" s="142">
        <v>2</v>
      </c>
      <c r="L3527" s="142">
        <v>75</v>
      </c>
      <c r="M3527" s="142">
        <v>0</v>
      </c>
    </row>
    <row r="3528" spans="1:13" x14ac:dyDescent="0.45">
      <c r="A3528" s="142" t="s">
        <v>13023</v>
      </c>
      <c r="B3528" s="142" t="s">
        <v>15571</v>
      </c>
      <c r="C3528" s="142" t="s">
        <v>15847</v>
      </c>
      <c r="D3528" s="142" t="s">
        <v>15848</v>
      </c>
      <c r="E3528" s="142" t="s">
        <v>15849</v>
      </c>
      <c r="F3528" s="142" t="s">
        <v>11650</v>
      </c>
      <c r="G3528" s="142" t="s">
        <v>11649</v>
      </c>
      <c r="H3528" s="142" t="s">
        <v>19378</v>
      </c>
      <c r="I3528" s="142">
        <v>864</v>
      </c>
      <c r="J3528" s="142">
        <v>3</v>
      </c>
      <c r="K3528" s="142">
        <v>0</v>
      </c>
      <c r="L3528" s="142">
        <v>850</v>
      </c>
      <c r="M3528" s="142">
        <v>11</v>
      </c>
    </row>
    <row r="3529" spans="1:13" x14ac:dyDescent="0.45">
      <c r="A3529" s="142" t="s">
        <v>13729</v>
      </c>
      <c r="B3529" s="142" t="s">
        <v>15481</v>
      </c>
      <c r="C3529" s="142" t="s">
        <v>15860</v>
      </c>
      <c r="D3529" s="142" t="s">
        <v>15861</v>
      </c>
      <c r="E3529" s="142" t="s">
        <v>15849</v>
      </c>
      <c r="F3529" s="142" t="s">
        <v>11650</v>
      </c>
      <c r="G3529" s="142" t="s">
        <v>11649</v>
      </c>
      <c r="H3529" s="142" t="s">
        <v>19379</v>
      </c>
      <c r="I3529" s="142">
        <v>100</v>
      </c>
      <c r="J3529" s="142">
        <v>100</v>
      </c>
      <c r="K3529" s="142">
        <v>0</v>
      </c>
      <c r="L3529" s="142">
        <v>0</v>
      </c>
      <c r="M3529" s="142">
        <v>0</v>
      </c>
    </row>
    <row r="3530" spans="1:13" x14ac:dyDescent="0.45">
      <c r="A3530" s="142" t="s">
        <v>13433</v>
      </c>
      <c r="B3530" s="142" t="s">
        <v>15167</v>
      </c>
      <c r="C3530" s="142" t="s">
        <v>15847</v>
      </c>
      <c r="D3530" s="142" t="s">
        <v>15848</v>
      </c>
      <c r="E3530" s="142" t="s">
        <v>15849</v>
      </c>
      <c r="F3530" s="142" t="s">
        <v>11650</v>
      </c>
      <c r="G3530" s="142" t="s">
        <v>11649</v>
      </c>
      <c r="H3530" s="142" t="s">
        <v>19380</v>
      </c>
      <c r="I3530" s="142">
        <v>62</v>
      </c>
      <c r="J3530" s="142">
        <v>62</v>
      </c>
      <c r="K3530" s="142">
        <v>0</v>
      </c>
      <c r="L3530" s="142">
        <v>0</v>
      </c>
      <c r="M3530" s="142">
        <v>0</v>
      </c>
    </row>
    <row r="3531" spans="1:13" x14ac:dyDescent="0.45">
      <c r="A3531" s="142" t="s">
        <v>13318</v>
      </c>
      <c r="B3531" s="142" t="s">
        <v>15172</v>
      </c>
      <c r="C3531" s="142" t="s">
        <v>15860</v>
      </c>
      <c r="D3531" s="142" t="s">
        <v>15861</v>
      </c>
      <c r="E3531" s="142" t="s">
        <v>15849</v>
      </c>
      <c r="F3531" s="142" t="s">
        <v>11650</v>
      </c>
      <c r="G3531" s="142" t="s">
        <v>11649</v>
      </c>
      <c r="H3531" s="142" t="s">
        <v>19381</v>
      </c>
      <c r="I3531" s="142">
        <v>6</v>
      </c>
      <c r="J3531" s="142">
        <v>6</v>
      </c>
      <c r="K3531" s="142">
        <v>0</v>
      </c>
      <c r="L3531" s="142">
        <v>0</v>
      </c>
      <c r="M3531" s="142">
        <v>0</v>
      </c>
    </row>
    <row r="3532" spans="1:13" x14ac:dyDescent="0.45">
      <c r="A3532" s="142" t="s">
        <v>13000</v>
      </c>
      <c r="B3532" s="142" t="s">
        <v>14610</v>
      </c>
      <c r="C3532" s="142" t="s">
        <v>15847</v>
      </c>
      <c r="D3532" s="142" t="s">
        <v>15848</v>
      </c>
      <c r="E3532" s="142" t="s">
        <v>15849</v>
      </c>
      <c r="F3532" s="142" t="s">
        <v>11650</v>
      </c>
      <c r="G3532" s="142" t="s">
        <v>11649</v>
      </c>
      <c r="H3532" s="142" t="s">
        <v>19382</v>
      </c>
      <c r="I3532" s="142">
        <v>1609</v>
      </c>
      <c r="J3532" s="142">
        <v>1263</v>
      </c>
      <c r="K3532" s="142">
        <v>60</v>
      </c>
      <c r="L3532" s="142">
        <v>178</v>
      </c>
      <c r="M3532" s="142">
        <v>108</v>
      </c>
    </row>
    <row r="3533" spans="1:13" x14ac:dyDescent="0.45">
      <c r="A3533" s="142" t="s">
        <v>13730</v>
      </c>
      <c r="B3533" s="142" t="s">
        <v>15011</v>
      </c>
      <c r="C3533" s="142" t="s">
        <v>15860</v>
      </c>
      <c r="D3533" s="142" t="s">
        <v>15861</v>
      </c>
      <c r="E3533" s="142" t="s">
        <v>15849</v>
      </c>
      <c r="F3533" s="142" t="s">
        <v>11650</v>
      </c>
      <c r="G3533" s="142" t="s">
        <v>11649</v>
      </c>
      <c r="H3533" s="142" t="s">
        <v>19383</v>
      </c>
      <c r="I3533" s="142">
        <v>24</v>
      </c>
      <c r="J3533" s="142">
        <v>24</v>
      </c>
      <c r="K3533" s="142">
        <v>0</v>
      </c>
      <c r="L3533" s="142">
        <v>0</v>
      </c>
      <c r="M3533" s="142">
        <v>0</v>
      </c>
    </row>
    <row r="3534" spans="1:13" x14ac:dyDescent="0.45">
      <c r="A3534" s="142" t="s">
        <v>13120</v>
      </c>
      <c r="B3534" s="142" t="s">
        <v>14549</v>
      </c>
      <c r="C3534" s="142" t="s">
        <v>15860</v>
      </c>
      <c r="D3534" s="142" t="s">
        <v>15861</v>
      </c>
      <c r="E3534" s="142" t="s">
        <v>15849</v>
      </c>
      <c r="F3534" s="142" t="s">
        <v>11650</v>
      </c>
      <c r="G3534" s="142" t="s">
        <v>11649</v>
      </c>
      <c r="H3534" s="142" t="s">
        <v>19384</v>
      </c>
      <c r="I3534" s="142">
        <v>3</v>
      </c>
      <c r="J3534" s="142">
        <v>3</v>
      </c>
      <c r="K3534" s="142">
        <v>0</v>
      </c>
      <c r="L3534" s="142">
        <v>0</v>
      </c>
      <c r="M3534" s="142">
        <v>0</v>
      </c>
    </row>
    <row r="3535" spans="1:13" x14ac:dyDescent="0.45">
      <c r="A3535" s="142" t="s">
        <v>13731</v>
      </c>
      <c r="B3535" s="142" t="s">
        <v>15007</v>
      </c>
      <c r="C3535" s="142" t="s">
        <v>15860</v>
      </c>
      <c r="D3535" s="142" t="s">
        <v>15861</v>
      </c>
      <c r="E3535" s="142" t="s">
        <v>15849</v>
      </c>
      <c r="F3535" s="142" t="s">
        <v>11650</v>
      </c>
      <c r="G3535" s="142" t="s">
        <v>11649</v>
      </c>
      <c r="H3535" s="142" t="s">
        <v>19385</v>
      </c>
      <c r="I3535" s="142">
        <v>62</v>
      </c>
      <c r="J3535" s="142">
        <v>62</v>
      </c>
      <c r="K3535" s="142">
        <v>0</v>
      </c>
      <c r="L3535" s="142">
        <v>0</v>
      </c>
      <c r="M3535" s="142">
        <v>0</v>
      </c>
    </row>
    <row r="3536" spans="1:13" x14ac:dyDescent="0.45">
      <c r="A3536" s="142" t="s">
        <v>13350</v>
      </c>
      <c r="B3536" s="142" t="s">
        <v>15272</v>
      </c>
      <c r="C3536" s="142" t="s">
        <v>15847</v>
      </c>
      <c r="D3536" s="142" t="s">
        <v>15848</v>
      </c>
      <c r="E3536" s="142" t="s">
        <v>15849</v>
      </c>
      <c r="F3536" s="142" t="s">
        <v>11650</v>
      </c>
      <c r="G3536" s="142" t="s">
        <v>11649</v>
      </c>
      <c r="H3536" s="142" t="s">
        <v>19386</v>
      </c>
      <c r="I3536" s="142">
        <v>49</v>
      </c>
      <c r="J3536" s="142">
        <v>41</v>
      </c>
      <c r="K3536" s="142">
        <v>0</v>
      </c>
      <c r="L3536" s="142">
        <v>0</v>
      </c>
      <c r="M3536" s="142">
        <v>8</v>
      </c>
    </row>
    <row r="3537" spans="1:13" x14ac:dyDescent="0.45">
      <c r="A3537" s="142" t="s">
        <v>13001</v>
      </c>
      <c r="B3537" s="142" t="s">
        <v>15506</v>
      </c>
      <c r="C3537" s="142" t="s">
        <v>15847</v>
      </c>
      <c r="D3537" s="142" t="s">
        <v>15848</v>
      </c>
      <c r="E3537" s="142" t="s">
        <v>15849</v>
      </c>
      <c r="F3537" s="142" t="s">
        <v>11650</v>
      </c>
      <c r="G3537" s="142" t="s">
        <v>11649</v>
      </c>
      <c r="H3537" s="142" t="s">
        <v>19387</v>
      </c>
      <c r="I3537" s="142">
        <v>93</v>
      </c>
      <c r="J3537" s="142">
        <v>63</v>
      </c>
      <c r="K3537" s="142">
        <v>0</v>
      </c>
      <c r="L3537" s="142">
        <v>30</v>
      </c>
      <c r="M3537" s="142">
        <v>0</v>
      </c>
    </row>
    <row r="3538" spans="1:13" x14ac:dyDescent="0.45">
      <c r="A3538" s="142" t="s">
        <v>13732</v>
      </c>
      <c r="B3538" s="142" t="s">
        <v>14988</v>
      </c>
      <c r="C3538" s="142" t="s">
        <v>15860</v>
      </c>
      <c r="D3538" s="142" t="s">
        <v>15861</v>
      </c>
      <c r="E3538" s="142" t="s">
        <v>15849</v>
      </c>
      <c r="F3538" s="142" t="s">
        <v>11650</v>
      </c>
      <c r="G3538" s="142" t="s">
        <v>11649</v>
      </c>
      <c r="H3538" s="142" t="s">
        <v>19388</v>
      </c>
      <c r="I3538" s="142">
        <v>86</v>
      </c>
      <c r="J3538" s="142">
        <v>86</v>
      </c>
      <c r="K3538" s="142">
        <v>0</v>
      </c>
      <c r="L3538" s="142">
        <v>0</v>
      </c>
      <c r="M3538" s="142">
        <v>0</v>
      </c>
    </row>
    <row r="3539" spans="1:13" x14ac:dyDescent="0.45">
      <c r="A3539" s="142" t="s">
        <v>13733</v>
      </c>
      <c r="B3539" s="142" t="s">
        <v>14482</v>
      </c>
      <c r="C3539" s="142" t="s">
        <v>15860</v>
      </c>
      <c r="D3539" s="142" t="s">
        <v>15861</v>
      </c>
      <c r="E3539" s="142" t="s">
        <v>15849</v>
      </c>
      <c r="F3539" s="142" t="s">
        <v>11650</v>
      </c>
      <c r="G3539" s="142" t="s">
        <v>11649</v>
      </c>
      <c r="H3539" s="142" t="s">
        <v>19389</v>
      </c>
      <c r="I3539" s="142">
        <v>46</v>
      </c>
      <c r="J3539" s="142">
        <v>0</v>
      </c>
      <c r="K3539" s="142">
        <v>0</v>
      </c>
      <c r="L3539" s="142">
        <v>46</v>
      </c>
      <c r="M3539" s="142">
        <v>0</v>
      </c>
    </row>
    <row r="3540" spans="1:13" x14ac:dyDescent="0.45">
      <c r="A3540" s="142" t="s">
        <v>13635</v>
      </c>
      <c r="B3540" s="142" t="s">
        <v>14723</v>
      </c>
      <c r="C3540" s="142" t="s">
        <v>15860</v>
      </c>
      <c r="D3540" s="142" t="s">
        <v>15861</v>
      </c>
      <c r="E3540" s="142" t="s">
        <v>15849</v>
      </c>
      <c r="F3540" s="142" t="s">
        <v>11650</v>
      </c>
      <c r="G3540" s="142" t="s">
        <v>11649</v>
      </c>
      <c r="H3540" s="142" t="s">
        <v>19390</v>
      </c>
      <c r="I3540" s="142">
        <v>7</v>
      </c>
      <c r="J3540" s="142">
        <v>0</v>
      </c>
      <c r="K3540" s="142">
        <v>0</v>
      </c>
      <c r="L3540" s="142">
        <v>7</v>
      </c>
      <c r="M3540" s="142">
        <v>0</v>
      </c>
    </row>
    <row r="3541" spans="1:13" x14ac:dyDescent="0.45">
      <c r="A3541" s="142" t="s">
        <v>13734</v>
      </c>
      <c r="B3541" s="142" t="s">
        <v>15139</v>
      </c>
      <c r="C3541" s="142" t="s">
        <v>15860</v>
      </c>
      <c r="D3541" s="142" t="s">
        <v>15861</v>
      </c>
      <c r="E3541" s="142" t="s">
        <v>15849</v>
      </c>
      <c r="F3541" s="142" t="s">
        <v>11650</v>
      </c>
      <c r="G3541" s="142" t="s">
        <v>11649</v>
      </c>
      <c r="H3541" s="142" t="s">
        <v>19391</v>
      </c>
      <c r="I3541" s="142">
        <v>74</v>
      </c>
      <c r="J3541" s="142">
        <v>4</v>
      </c>
      <c r="K3541" s="142">
        <v>70</v>
      </c>
      <c r="L3541" s="142">
        <v>0</v>
      </c>
      <c r="M3541" s="142">
        <v>0</v>
      </c>
    </row>
    <row r="3542" spans="1:13" x14ac:dyDescent="0.45">
      <c r="A3542" s="142" t="s">
        <v>13437</v>
      </c>
      <c r="B3542" s="142" t="s">
        <v>15268</v>
      </c>
      <c r="C3542" s="142" t="s">
        <v>15847</v>
      </c>
      <c r="D3542" s="142" t="s">
        <v>15848</v>
      </c>
      <c r="E3542" s="142" t="s">
        <v>15849</v>
      </c>
      <c r="F3542" s="142" t="s">
        <v>11650</v>
      </c>
      <c r="G3542" s="142" t="s">
        <v>11649</v>
      </c>
      <c r="H3542" s="142" t="s">
        <v>19392</v>
      </c>
      <c r="I3542" s="142">
        <v>817</v>
      </c>
      <c r="J3542" s="142">
        <v>631</v>
      </c>
      <c r="K3542" s="142">
        <v>0</v>
      </c>
      <c r="L3542" s="142">
        <v>40</v>
      </c>
      <c r="M3542" s="142">
        <v>146</v>
      </c>
    </row>
    <row r="3543" spans="1:13" x14ac:dyDescent="0.45">
      <c r="A3543" s="142" t="s">
        <v>13735</v>
      </c>
      <c r="B3543" s="142" t="s">
        <v>14533</v>
      </c>
      <c r="C3543" s="142" t="s">
        <v>15860</v>
      </c>
      <c r="D3543" s="142" t="s">
        <v>15861</v>
      </c>
      <c r="E3543" s="142" t="s">
        <v>15849</v>
      </c>
      <c r="F3543" s="142" t="s">
        <v>11650</v>
      </c>
      <c r="G3543" s="142" t="s">
        <v>11649</v>
      </c>
      <c r="H3543" s="142" t="s">
        <v>19393</v>
      </c>
      <c r="I3543" s="142">
        <v>4</v>
      </c>
      <c r="J3543" s="142">
        <v>4</v>
      </c>
      <c r="K3543" s="142">
        <v>0</v>
      </c>
      <c r="L3543" s="142">
        <v>0</v>
      </c>
      <c r="M3543" s="142">
        <v>0</v>
      </c>
    </row>
    <row r="3544" spans="1:13" x14ac:dyDescent="0.45">
      <c r="A3544" s="142" t="s">
        <v>13100</v>
      </c>
      <c r="B3544" s="142" t="s">
        <v>15603</v>
      </c>
      <c r="C3544" s="142" t="s">
        <v>15847</v>
      </c>
      <c r="D3544" s="142" t="s">
        <v>15848</v>
      </c>
      <c r="E3544" s="142" t="s">
        <v>15849</v>
      </c>
      <c r="F3544" s="142" t="s">
        <v>11650</v>
      </c>
      <c r="G3544" s="142" t="s">
        <v>11649</v>
      </c>
      <c r="H3544" s="142" t="s">
        <v>19394</v>
      </c>
      <c r="I3544" s="142">
        <v>89</v>
      </c>
      <c r="J3544" s="142">
        <v>87</v>
      </c>
      <c r="K3544" s="142">
        <v>0</v>
      </c>
      <c r="L3544" s="142">
        <v>2</v>
      </c>
      <c r="M3544" s="142">
        <v>0</v>
      </c>
    </row>
    <row r="3545" spans="1:13" x14ac:dyDescent="0.45">
      <c r="A3545" s="142" t="s">
        <v>13005</v>
      </c>
      <c r="B3545" s="142" t="s">
        <v>15475</v>
      </c>
      <c r="C3545" s="142" t="s">
        <v>15847</v>
      </c>
      <c r="D3545" s="142" t="s">
        <v>15848</v>
      </c>
      <c r="E3545" s="142" t="s">
        <v>15849</v>
      </c>
      <c r="F3545" s="142" t="s">
        <v>11650</v>
      </c>
      <c r="G3545" s="142" t="s">
        <v>11649</v>
      </c>
      <c r="H3545" s="142" t="s">
        <v>19395</v>
      </c>
      <c r="I3545" s="142">
        <v>1524</v>
      </c>
      <c r="J3545" s="142">
        <v>1297</v>
      </c>
      <c r="K3545" s="142">
        <v>0</v>
      </c>
      <c r="L3545" s="142">
        <v>51</v>
      </c>
      <c r="M3545" s="142">
        <v>176</v>
      </c>
    </row>
    <row r="3546" spans="1:13" x14ac:dyDescent="0.45">
      <c r="A3546" s="142" t="s">
        <v>13006</v>
      </c>
      <c r="B3546" s="142" t="s">
        <v>15288</v>
      </c>
      <c r="C3546" s="142" t="s">
        <v>15847</v>
      </c>
      <c r="D3546" s="142" t="s">
        <v>15848</v>
      </c>
      <c r="E3546" s="142" t="s">
        <v>15849</v>
      </c>
      <c r="F3546" s="142" t="s">
        <v>11650</v>
      </c>
      <c r="G3546" s="142" t="s">
        <v>11649</v>
      </c>
      <c r="H3546" s="142" t="s">
        <v>19396</v>
      </c>
      <c r="I3546" s="142">
        <v>645</v>
      </c>
      <c r="J3546" s="142">
        <v>467</v>
      </c>
      <c r="K3546" s="142">
        <v>0</v>
      </c>
      <c r="L3546" s="142">
        <v>0</v>
      </c>
      <c r="M3546" s="142">
        <v>178</v>
      </c>
    </row>
    <row r="3547" spans="1:13" x14ac:dyDescent="0.45">
      <c r="A3547" s="142" t="s">
        <v>13162</v>
      </c>
      <c r="B3547" s="142" t="s">
        <v>14545</v>
      </c>
      <c r="C3547" s="142" t="s">
        <v>15860</v>
      </c>
      <c r="D3547" s="142" t="s">
        <v>15861</v>
      </c>
      <c r="E3547" s="142" t="s">
        <v>15849</v>
      </c>
      <c r="F3547" s="142" t="s">
        <v>11650</v>
      </c>
      <c r="G3547" s="142" t="s">
        <v>11649</v>
      </c>
      <c r="H3547" s="142" t="s">
        <v>19397</v>
      </c>
      <c r="I3547" s="142">
        <v>22</v>
      </c>
      <c r="J3547" s="142">
        <v>0</v>
      </c>
      <c r="K3547" s="142">
        <v>0</v>
      </c>
      <c r="L3547" s="142">
        <v>22</v>
      </c>
      <c r="M3547" s="142">
        <v>0</v>
      </c>
    </row>
    <row r="3548" spans="1:13" x14ac:dyDescent="0.45">
      <c r="A3548" s="142" t="s">
        <v>13102</v>
      </c>
      <c r="B3548" s="142" t="s">
        <v>15235</v>
      </c>
      <c r="C3548" s="142" t="s">
        <v>15847</v>
      </c>
      <c r="D3548" s="142" t="s">
        <v>15848</v>
      </c>
      <c r="E3548" s="142" t="s">
        <v>15849</v>
      </c>
      <c r="F3548" s="142" t="s">
        <v>11650</v>
      </c>
      <c r="G3548" s="142" t="s">
        <v>11649</v>
      </c>
      <c r="H3548" s="142" t="s">
        <v>19398</v>
      </c>
      <c r="I3548" s="142">
        <v>1937</v>
      </c>
      <c r="J3548" s="142">
        <v>1478</v>
      </c>
      <c r="K3548" s="142">
        <v>0</v>
      </c>
      <c r="L3548" s="142">
        <v>384</v>
      </c>
      <c r="M3548" s="142">
        <v>75</v>
      </c>
    </row>
    <row r="3549" spans="1:13" x14ac:dyDescent="0.45">
      <c r="A3549" s="142" t="s">
        <v>13678</v>
      </c>
      <c r="B3549" s="142" t="s">
        <v>15555</v>
      </c>
      <c r="C3549" s="142" t="s">
        <v>15847</v>
      </c>
      <c r="D3549" s="142" t="s">
        <v>15848</v>
      </c>
      <c r="E3549" s="142" t="s">
        <v>15849</v>
      </c>
      <c r="F3549" s="142" t="s">
        <v>11650</v>
      </c>
      <c r="G3549" s="142" t="s">
        <v>11649</v>
      </c>
      <c r="H3549" s="142" t="s">
        <v>19399</v>
      </c>
      <c r="I3549" s="142">
        <v>522</v>
      </c>
      <c r="J3549" s="142">
        <v>502</v>
      </c>
      <c r="K3549" s="142">
        <v>0</v>
      </c>
      <c r="L3549" s="142">
        <v>0</v>
      </c>
      <c r="M3549" s="142">
        <v>20</v>
      </c>
    </row>
    <row r="3550" spans="1:13" x14ac:dyDescent="0.45">
      <c r="A3550" s="142" t="s">
        <v>13103</v>
      </c>
      <c r="B3550" s="142" t="s">
        <v>14623</v>
      </c>
      <c r="C3550" s="142" t="s">
        <v>15847</v>
      </c>
      <c r="D3550" s="142" t="s">
        <v>15848</v>
      </c>
      <c r="E3550" s="142" t="s">
        <v>15849</v>
      </c>
      <c r="F3550" s="142" t="s">
        <v>11650</v>
      </c>
      <c r="G3550" s="142" t="s">
        <v>11649</v>
      </c>
      <c r="H3550" s="142" t="s">
        <v>19400</v>
      </c>
      <c r="I3550" s="142">
        <v>1121</v>
      </c>
      <c r="J3550" s="142">
        <v>950</v>
      </c>
      <c r="K3550" s="142">
        <v>0</v>
      </c>
      <c r="L3550" s="142">
        <v>1</v>
      </c>
      <c r="M3550" s="142">
        <v>170</v>
      </c>
    </row>
    <row r="3551" spans="1:13" x14ac:dyDescent="0.45">
      <c r="A3551" s="142" t="s">
        <v>13054</v>
      </c>
      <c r="B3551" s="142" t="s">
        <v>15604</v>
      </c>
      <c r="C3551" s="142" t="s">
        <v>15847</v>
      </c>
      <c r="D3551" s="142" t="s">
        <v>15848</v>
      </c>
      <c r="E3551" s="142" t="s">
        <v>15849</v>
      </c>
      <c r="F3551" s="142" t="s">
        <v>11650</v>
      </c>
      <c r="G3551" s="142" t="s">
        <v>11649</v>
      </c>
      <c r="H3551" s="142" t="s">
        <v>19401</v>
      </c>
      <c r="I3551" s="142">
        <v>290</v>
      </c>
      <c r="J3551" s="142">
        <v>0</v>
      </c>
      <c r="K3551" s="142">
        <v>0</v>
      </c>
      <c r="L3551" s="142">
        <v>0</v>
      </c>
      <c r="M3551" s="142">
        <v>290</v>
      </c>
    </row>
    <row r="3552" spans="1:13" x14ac:dyDescent="0.45">
      <c r="A3552" s="142" t="s">
        <v>13340</v>
      </c>
      <c r="B3552" s="142" t="s">
        <v>14499</v>
      </c>
      <c r="C3552" s="142" t="s">
        <v>15860</v>
      </c>
      <c r="D3552" s="142" t="s">
        <v>15861</v>
      </c>
      <c r="E3552" s="142" t="s">
        <v>15849</v>
      </c>
      <c r="F3552" s="142" t="s">
        <v>11650</v>
      </c>
      <c r="G3552" s="142" t="s">
        <v>11649</v>
      </c>
      <c r="H3552" s="142" t="s">
        <v>19402</v>
      </c>
      <c r="I3552" s="142">
        <v>33</v>
      </c>
      <c r="J3552" s="142">
        <v>33</v>
      </c>
      <c r="K3552" s="142">
        <v>0</v>
      </c>
      <c r="L3552" s="142">
        <v>0</v>
      </c>
      <c r="M3552" s="142">
        <v>0</v>
      </c>
    </row>
    <row r="3553" spans="1:13" x14ac:dyDescent="0.45">
      <c r="A3553" s="142" t="s">
        <v>13133</v>
      </c>
      <c r="B3553" s="142" t="s">
        <v>15291</v>
      </c>
      <c r="C3553" s="142" t="s">
        <v>15847</v>
      </c>
      <c r="D3553" s="142" t="s">
        <v>15848</v>
      </c>
      <c r="E3553" s="142" t="s">
        <v>15849</v>
      </c>
      <c r="F3553" s="142" t="s">
        <v>11650</v>
      </c>
      <c r="G3553" s="142" t="s">
        <v>11649</v>
      </c>
      <c r="H3553" s="142" t="s">
        <v>19403</v>
      </c>
      <c r="I3553" s="142">
        <v>12</v>
      </c>
      <c r="J3553" s="142">
        <v>0</v>
      </c>
      <c r="K3553" s="142">
        <v>0</v>
      </c>
      <c r="L3553" s="142">
        <v>0</v>
      </c>
      <c r="M3553" s="142">
        <v>12</v>
      </c>
    </row>
    <row r="3554" spans="1:13" x14ac:dyDescent="0.45">
      <c r="A3554" s="142" t="s">
        <v>13459</v>
      </c>
      <c r="B3554" s="142" t="s">
        <v>14657</v>
      </c>
      <c r="C3554" s="142" t="s">
        <v>15860</v>
      </c>
      <c r="D3554" s="142" t="s">
        <v>15861</v>
      </c>
      <c r="E3554" s="142" t="s">
        <v>15849</v>
      </c>
      <c r="F3554" s="142" t="s">
        <v>11650</v>
      </c>
      <c r="G3554" s="142" t="s">
        <v>11649</v>
      </c>
      <c r="H3554" s="142" t="s">
        <v>19404</v>
      </c>
      <c r="I3554" s="142">
        <v>1</v>
      </c>
      <c r="J3554" s="142">
        <v>1</v>
      </c>
      <c r="K3554" s="142">
        <v>0</v>
      </c>
      <c r="L3554" s="142">
        <v>0</v>
      </c>
      <c r="M3554" s="142">
        <v>0</v>
      </c>
    </row>
    <row r="3555" spans="1:13" x14ac:dyDescent="0.45">
      <c r="A3555" s="142" t="s">
        <v>13135</v>
      </c>
      <c r="B3555" s="142" t="s">
        <v>15575</v>
      </c>
      <c r="C3555" s="142" t="s">
        <v>15847</v>
      </c>
      <c r="D3555" s="142" t="s">
        <v>15848</v>
      </c>
      <c r="E3555" s="142" t="s">
        <v>15849</v>
      </c>
      <c r="F3555" s="142" t="s">
        <v>11650</v>
      </c>
      <c r="G3555" s="142" t="s">
        <v>11649</v>
      </c>
      <c r="H3555" s="142" t="s">
        <v>19405</v>
      </c>
      <c r="I3555" s="142">
        <v>8</v>
      </c>
      <c r="J3555" s="142">
        <v>0</v>
      </c>
      <c r="K3555" s="142">
        <v>0</v>
      </c>
      <c r="L3555" s="142">
        <v>0</v>
      </c>
      <c r="M3555" s="142">
        <v>8</v>
      </c>
    </row>
    <row r="3556" spans="1:13" x14ac:dyDescent="0.45">
      <c r="A3556" s="142" t="s">
        <v>13055</v>
      </c>
      <c r="B3556" s="142" t="s">
        <v>14595</v>
      </c>
      <c r="C3556" s="142" t="s">
        <v>15847</v>
      </c>
      <c r="D3556" s="142" t="s">
        <v>15848</v>
      </c>
      <c r="E3556" s="142" t="s">
        <v>15849</v>
      </c>
      <c r="F3556" s="142" t="s">
        <v>11650</v>
      </c>
      <c r="G3556" s="142" t="s">
        <v>11649</v>
      </c>
      <c r="H3556" s="142" t="s">
        <v>19406</v>
      </c>
      <c r="I3556" s="142">
        <v>14</v>
      </c>
      <c r="J3556" s="142">
        <v>0</v>
      </c>
      <c r="K3556" s="142">
        <v>0</v>
      </c>
      <c r="L3556" s="142">
        <v>0</v>
      </c>
      <c r="M3556" s="142">
        <v>14</v>
      </c>
    </row>
    <row r="3557" spans="1:13" x14ac:dyDescent="0.45">
      <c r="A3557" s="142" t="s">
        <v>13104</v>
      </c>
      <c r="B3557" s="142" t="s">
        <v>14622</v>
      </c>
      <c r="C3557" s="142" t="s">
        <v>15847</v>
      </c>
      <c r="D3557" s="142" t="s">
        <v>15848</v>
      </c>
      <c r="E3557" s="142" t="s">
        <v>15849</v>
      </c>
      <c r="F3557" s="142" t="s">
        <v>11650</v>
      </c>
      <c r="G3557" s="142" t="s">
        <v>11649</v>
      </c>
      <c r="H3557" s="142" t="s">
        <v>19407</v>
      </c>
      <c r="I3557" s="142">
        <v>5614</v>
      </c>
      <c r="J3557" s="142">
        <v>4350</v>
      </c>
      <c r="K3557" s="142">
        <v>87</v>
      </c>
      <c r="L3557" s="142">
        <v>709</v>
      </c>
      <c r="M3557" s="142">
        <v>468</v>
      </c>
    </row>
    <row r="3558" spans="1:13" x14ac:dyDescent="0.45">
      <c r="A3558" s="142" t="s">
        <v>13736</v>
      </c>
      <c r="B3558" s="142" t="s">
        <v>15514</v>
      </c>
      <c r="C3558" s="142" t="s">
        <v>15860</v>
      </c>
      <c r="D3558" s="142" t="s">
        <v>15861</v>
      </c>
      <c r="E3558" s="142" t="s">
        <v>15849</v>
      </c>
      <c r="F3558" s="142" t="s">
        <v>11650</v>
      </c>
      <c r="G3558" s="142" t="s">
        <v>11649</v>
      </c>
      <c r="H3558" s="142" t="s">
        <v>19408</v>
      </c>
      <c r="I3558" s="142">
        <v>134</v>
      </c>
      <c r="J3558" s="142">
        <v>34</v>
      </c>
      <c r="K3558" s="142">
        <v>15</v>
      </c>
      <c r="L3558" s="142">
        <v>85</v>
      </c>
      <c r="M3558" s="142">
        <v>0</v>
      </c>
    </row>
    <row r="3559" spans="1:13" x14ac:dyDescent="0.45">
      <c r="A3559" s="142" t="s">
        <v>13737</v>
      </c>
      <c r="B3559" s="142" t="s">
        <v>15064</v>
      </c>
      <c r="C3559" s="142" t="s">
        <v>15860</v>
      </c>
      <c r="D3559" s="142" t="s">
        <v>15861</v>
      </c>
      <c r="E3559" s="142" t="s">
        <v>15849</v>
      </c>
      <c r="F3559" s="142" t="s">
        <v>11650</v>
      </c>
      <c r="G3559" s="142" t="s">
        <v>11649</v>
      </c>
      <c r="H3559" s="142" t="s">
        <v>19409</v>
      </c>
      <c r="I3559" s="142">
        <v>45</v>
      </c>
      <c r="J3559" s="142">
        <v>3</v>
      </c>
      <c r="K3559" s="142">
        <v>42</v>
      </c>
      <c r="L3559" s="142">
        <v>0</v>
      </c>
      <c r="M3559" s="142">
        <v>0</v>
      </c>
    </row>
    <row r="3560" spans="1:13" x14ac:dyDescent="0.45">
      <c r="A3560" s="142" t="s">
        <v>13033</v>
      </c>
      <c r="B3560" s="142" t="s">
        <v>15276</v>
      </c>
      <c r="C3560" s="142" t="s">
        <v>15847</v>
      </c>
      <c r="D3560" s="142" t="s">
        <v>15848</v>
      </c>
      <c r="E3560" s="142" t="s">
        <v>15849</v>
      </c>
      <c r="F3560" s="142" t="s">
        <v>11650</v>
      </c>
      <c r="G3560" s="142" t="s">
        <v>11649</v>
      </c>
      <c r="H3560" s="142" t="s">
        <v>19410</v>
      </c>
      <c r="I3560" s="142">
        <v>30</v>
      </c>
      <c r="J3560" s="142">
        <v>18</v>
      </c>
      <c r="K3560" s="142">
        <v>0</v>
      </c>
      <c r="L3560" s="142">
        <v>0</v>
      </c>
      <c r="M3560" s="142">
        <v>12</v>
      </c>
    </row>
    <row r="3561" spans="1:13" x14ac:dyDescent="0.45">
      <c r="A3561" s="142" t="s">
        <v>13034</v>
      </c>
      <c r="B3561" s="142" t="s">
        <v>15562</v>
      </c>
      <c r="C3561" s="142" t="s">
        <v>15847</v>
      </c>
      <c r="D3561" s="142" t="s">
        <v>15848</v>
      </c>
      <c r="E3561" s="142" t="s">
        <v>15849</v>
      </c>
      <c r="F3561" s="142" t="s">
        <v>11650</v>
      </c>
      <c r="G3561" s="142" t="s">
        <v>11649</v>
      </c>
      <c r="H3561" s="142" t="s">
        <v>19411</v>
      </c>
      <c r="I3561" s="142">
        <v>437</v>
      </c>
      <c r="J3561" s="142">
        <v>432</v>
      </c>
      <c r="K3561" s="142">
        <v>0</v>
      </c>
      <c r="L3561" s="142">
        <v>5</v>
      </c>
      <c r="M3561" s="142">
        <v>0</v>
      </c>
    </row>
    <row r="3562" spans="1:13" x14ac:dyDescent="0.45">
      <c r="A3562" s="142" t="s">
        <v>13738</v>
      </c>
      <c r="B3562" s="142" t="s">
        <v>15417</v>
      </c>
      <c r="C3562" s="142" t="s">
        <v>15847</v>
      </c>
      <c r="D3562" s="142" t="s">
        <v>15848</v>
      </c>
      <c r="E3562" s="142" t="s">
        <v>15849</v>
      </c>
      <c r="F3562" s="142" t="s">
        <v>11650</v>
      </c>
      <c r="G3562" s="142" t="s">
        <v>11649</v>
      </c>
      <c r="H3562" s="142" t="s">
        <v>19412</v>
      </c>
      <c r="I3562" s="142">
        <v>10</v>
      </c>
      <c r="J3562" s="142">
        <v>6</v>
      </c>
      <c r="K3562" s="142">
        <v>0</v>
      </c>
      <c r="L3562" s="142">
        <v>0</v>
      </c>
      <c r="M3562" s="142">
        <v>4</v>
      </c>
    </row>
    <row r="3563" spans="1:13" x14ac:dyDescent="0.45">
      <c r="A3563" s="142" t="s">
        <v>13739</v>
      </c>
      <c r="B3563" s="142" t="s">
        <v>15282</v>
      </c>
      <c r="C3563" s="142" t="s">
        <v>15860</v>
      </c>
      <c r="D3563" s="142" t="s">
        <v>15861</v>
      </c>
      <c r="E3563" s="142" t="s">
        <v>15849</v>
      </c>
      <c r="F3563" s="142" t="s">
        <v>11650</v>
      </c>
      <c r="G3563" s="142" t="s">
        <v>11649</v>
      </c>
      <c r="H3563" s="142" t="s">
        <v>19413</v>
      </c>
      <c r="I3563" s="142">
        <v>15</v>
      </c>
      <c r="J3563" s="142">
        <v>0</v>
      </c>
      <c r="K3563" s="142">
        <v>0</v>
      </c>
      <c r="L3563" s="142">
        <v>15</v>
      </c>
      <c r="M3563" s="142">
        <v>0</v>
      </c>
    </row>
    <row r="3564" spans="1:13" x14ac:dyDescent="0.45">
      <c r="A3564" s="142" t="s">
        <v>13740</v>
      </c>
      <c r="B3564" s="142" t="s">
        <v>14945</v>
      </c>
      <c r="C3564" s="142" t="s">
        <v>15860</v>
      </c>
      <c r="D3564" s="142" t="s">
        <v>15861</v>
      </c>
      <c r="E3564" s="142" t="s">
        <v>15849</v>
      </c>
      <c r="F3564" s="142" t="s">
        <v>11650</v>
      </c>
      <c r="G3564" s="142" t="s">
        <v>11649</v>
      </c>
      <c r="H3564" s="142" t="s">
        <v>19414</v>
      </c>
      <c r="I3564" s="142">
        <v>57</v>
      </c>
      <c r="J3564" s="142">
        <v>57</v>
      </c>
      <c r="K3564" s="142">
        <v>0</v>
      </c>
      <c r="L3564" s="142">
        <v>0</v>
      </c>
      <c r="M3564" s="142">
        <v>0</v>
      </c>
    </row>
    <row r="3565" spans="1:13" x14ac:dyDescent="0.45">
      <c r="A3565" s="142" t="s">
        <v>13091</v>
      </c>
      <c r="B3565" s="142" t="s">
        <v>14473</v>
      </c>
      <c r="C3565" s="142" t="s">
        <v>15847</v>
      </c>
      <c r="D3565" s="142" t="s">
        <v>15848</v>
      </c>
      <c r="E3565" s="142" t="s">
        <v>15849</v>
      </c>
      <c r="F3565" s="142" t="s">
        <v>11650</v>
      </c>
      <c r="G3565" s="142" t="s">
        <v>11649</v>
      </c>
      <c r="H3565" s="142" t="s">
        <v>19415</v>
      </c>
      <c r="I3565" s="142">
        <v>17</v>
      </c>
      <c r="J3565" s="142">
        <v>12</v>
      </c>
      <c r="K3565" s="142">
        <v>0</v>
      </c>
      <c r="L3565" s="142">
        <v>0</v>
      </c>
      <c r="M3565" s="142">
        <v>5</v>
      </c>
    </row>
    <row r="3566" spans="1:13" x14ac:dyDescent="0.45">
      <c r="A3566" s="142" t="s">
        <v>13009</v>
      </c>
      <c r="B3566" s="142" t="s">
        <v>15256</v>
      </c>
      <c r="C3566" s="142" t="s">
        <v>15847</v>
      </c>
      <c r="D3566" s="142" t="s">
        <v>15848</v>
      </c>
      <c r="E3566" s="142" t="s">
        <v>15849</v>
      </c>
      <c r="F3566" s="142" t="s">
        <v>11650</v>
      </c>
      <c r="G3566" s="142" t="s">
        <v>11649</v>
      </c>
      <c r="H3566" s="142" t="s">
        <v>19416</v>
      </c>
      <c r="I3566" s="142">
        <v>2838</v>
      </c>
      <c r="J3566" s="142">
        <v>2618</v>
      </c>
      <c r="K3566" s="142">
        <v>5</v>
      </c>
      <c r="L3566" s="142">
        <v>160</v>
      </c>
      <c r="M3566" s="142">
        <v>55</v>
      </c>
    </row>
    <row r="3567" spans="1:13" x14ac:dyDescent="0.45">
      <c r="A3567" s="142" t="s">
        <v>13741</v>
      </c>
      <c r="B3567" s="142" t="s">
        <v>15557</v>
      </c>
      <c r="C3567" s="142" t="s">
        <v>15860</v>
      </c>
      <c r="D3567" s="142" t="s">
        <v>15861</v>
      </c>
      <c r="E3567" s="142" t="s">
        <v>15849</v>
      </c>
      <c r="F3567" s="142" t="s">
        <v>11650</v>
      </c>
      <c r="G3567" s="142" t="s">
        <v>11649</v>
      </c>
      <c r="H3567" s="142" t="s">
        <v>19417</v>
      </c>
      <c r="I3567" s="142">
        <v>270</v>
      </c>
      <c r="J3567" s="142">
        <v>270</v>
      </c>
      <c r="K3567" s="142">
        <v>0</v>
      </c>
      <c r="L3567" s="142">
        <v>0</v>
      </c>
      <c r="M3567" s="142">
        <v>0</v>
      </c>
    </row>
    <row r="3568" spans="1:13" x14ac:dyDescent="0.45">
      <c r="A3568" s="142" t="s">
        <v>13057</v>
      </c>
      <c r="B3568" s="142" t="s">
        <v>15528</v>
      </c>
      <c r="C3568" s="142" t="s">
        <v>15860</v>
      </c>
      <c r="D3568" s="142" t="s">
        <v>15861</v>
      </c>
      <c r="E3568" s="142" t="s">
        <v>15849</v>
      </c>
      <c r="F3568" s="142" t="s">
        <v>11650</v>
      </c>
      <c r="G3568" s="142" t="s">
        <v>11649</v>
      </c>
      <c r="H3568" s="142" t="s">
        <v>19418</v>
      </c>
      <c r="I3568" s="142">
        <v>4</v>
      </c>
      <c r="J3568" s="142">
        <v>4</v>
      </c>
      <c r="K3568" s="142">
        <v>0</v>
      </c>
      <c r="L3568" s="142">
        <v>0</v>
      </c>
      <c r="M3568" s="142">
        <v>0</v>
      </c>
    </row>
    <row r="3569" spans="1:13" x14ac:dyDescent="0.45">
      <c r="A3569" s="142" t="s">
        <v>13011</v>
      </c>
      <c r="B3569" s="142" t="s">
        <v>14695</v>
      </c>
      <c r="C3569" s="142" t="s">
        <v>15847</v>
      </c>
      <c r="D3569" s="142" t="s">
        <v>15848</v>
      </c>
      <c r="E3569" s="142" t="s">
        <v>15849</v>
      </c>
      <c r="F3569" s="142" t="s">
        <v>11650</v>
      </c>
      <c r="G3569" s="142" t="s">
        <v>11649</v>
      </c>
      <c r="H3569" s="142" t="s">
        <v>19419</v>
      </c>
      <c r="I3569" s="142">
        <v>2288</v>
      </c>
      <c r="J3569" s="142">
        <v>1785</v>
      </c>
      <c r="K3569" s="142">
        <v>0</v>
      </c>
      <c r="L3569" s="142">
        <v>115</v>
      </c>
      <c r="M3569" s="142">
        <v>388</v>
      </c>
    </row>
    <row r="3570" spans="1:13" x14ac:dyDescent="0.45">
      <c r="A3570" s="142" t="s">
        <v>13058</v>
      </c>
      <c r="B3570" s="142" t="s">
        <v>14584</v>
      </c>
      <c r="C3570" s="142" t="s">
        <v>15847</v>
      </c>
      <c r="D3570" s="142" t="s">
        <v>15848</v>
      </c>
      <c r="E3570" s="142" t="s">
        <v>15849</v>
      </c>
      <c r="F3570" s="142" t="s">
        <v>11650</v>
      </c>
      <c r="G3570" s="142" t="s">
        <v>11649</v>
      </c>
      <c r="H3570" s="142" t="s">
        <v>19420</v>
      </c>
      <c r="I3570" s="142">
        <v>664</v>
      </c>
      <c r="J3570" s="142">
        <v>333</v>
      </c>
      <c r="K3570" s="142">
        <v>306</v>
      </c>
      <c r="L3570" s="142">
        <v>0</v>
      </c>
      <c r="M3570" s="142">
        <v>25</v>
      </c>
    </row>
    <row r="3571" spans="1:13" x14ac:dyDescent="0.45">
      <c r="A3571" s="142" t="s">
        <v>13306</v>
      </c>
      <c r="B3571" s="142" t="s">
        <v>15500</v>
      </c>
      <c r="C3571" s="142" t="s">
        <v>15847</v>
      </c>
      <c r="D3571" s="142" t="s">
        <v>15848</v>
      </c>
      <c r="E3571" s="142" t="s">
        <v>15849</v>
      </c>
      <c r="F3571" s="142" t="s">
        <v>11650</v>
      </c>
      <c r="G3571" s="142" t="s">
        <v>11649</v>
      </c>
      <c r="H3571" s="142" t="s">
        <v>19421</v>
      </c>
      <c r="I3571" s="142">
        <v>129</v>
      </c>
      <c r="J3571" s="142">
        <v>0</v>
      </c>
      <c r="K3571" s="142">
        <v>0</v>
      </c>
      <c r="L3571" s="142">
        <v>129</v>
      </c>
      <c r="M3571" s="142">
        <v>0</v>
      </c>
    </row>
    <row r="3572" spans="1:13" x14ac:dyDescent="0.45">
      <c r="A3572" s="142" t="s">
        <v>13138</v>
      </c>
      <c r="B3572" s="142" t="s">
        <v>14590</v>
      </c>
      <c r="C3572" s="142" t="s">
        <v>15860</v>
      </c>
      <c r="D3572" s="142" t="s">
        <v>15861</v>
      </c>
      <c r="E3572" s="142" t="s">
        <v>15849</v>
      </c>
      <c r="F3572" s="142" t="s">
        <v>11650</v>
      </c>
      <c r="G3572" s="142" t="s">
        <v>11649</v>
      </c>
      <c r="H3572" s="142" t="s">
        <v>19422</v>
      </c>
      <c r="I3572" s="142">
        <v>2</v>
      </c>
      <c r="J3572" s="142">
        <v>2</v>
      </c>
      <c r="K3572" s="142">
        <v>0</v>
      </c>
      <c r="L3572" s="142">
        <v>0</v>
      </c>
      <c r="M3572" s="142">
        <v>0</v>
      </c>
    </row>
    <row r="3573" spans="1:13" x14ac:dyDescent="0.45">
      <c r="A3573" s="142" t="s">
        <v>13344</v>
      </c>
      <c r="B3573" s="142" t="s">
        <v>15448</v>
      </c>
      <c r="C3573" s="142" t="s">
        <v>15860</v>
      </c>
      <c r="D3573" s="142" t="s">
        <v>15861</v>
      </c>
      <c r="E3573" s="142" t="s">
        <v>15849</v>
      </c>
      <c r="F3573" s="142" t="s">
        <v>11650</v>
      </c>
      <c r="G3573" s="142" t="s">
        <v>11649</v>
      </c>
      <c r="H3573" s="142" t="s">
        <v>19423</v>
      </c>
      <c r="I3573" s="142">
        <v>19</v>
      </c>
      <c r="J3573" s="142">
        <v>19</v>
      </c>
      <c r="K3573" s="142">
        <v>0</v>
      </c>
      <c r="L3573" s="142">
        <v>0</v>
      </c>
      <c r="M3573" s="142">
        <v>0</v>
      </c>
    </row>
    <row r="3574" spans="1:13" x14ac:dyDescent="0.45">
      <c r="A3574" s="142" t="s">
        <v>13014</v>
      </c>
      <c r="B3574" s="142" t="s">
        <v>14505</v>
      </c>
      <c r="C3574" s="142" t="s">
        <v>15847</v>
      </c>
      <c r="D3574" s="142" t="s">
        <v>15848</v>
      </c>
      <c r="E3574" s="142" t="s">
        <v>15849</v>
      </c>
      <c r="F3574" s="142" t="s">
        <v>11650</v>
      </c>
      <c r="G3574" s="142" t="s">
        <v>11649</v>
      </c>
      <c r="H3574" s="142" t="s">
        <v>19424</v>
      </c>
      <c r="I3574" s="142">
        <v>1433</v>
      </c>
      <c r="J3574" s="142">
        <v>1377</v>
      </c>
      <c r="K3574" s="142">
        <v>0</v>
      </c>
      <c r="L3574" s="142">
        <v>53</v>
      </c>
      <c r="M3574" s="142">
        <v>3</v>
      </c>
    </row>
    <row r="3575" spans="1:13" x14ac:dyDescent="0.45">
      <c r="A3575" s="142" t="s">
        <v>13141</v>
      </c>
      <c r="B3575" s="142" t="s">
        <v>15258</v>
      </c>
      <c r="C3575" s="142" t="s">
        <v>15847</v>
      </c>
      <c r="D3575" s="142" t="s">
        <v>15848</v>
      </c>
      <c r="E3575" s="142" t="s">
        <v>15849</v>
      </c>
      <c r="F3575" s="142" t="s">
        <v>11650</v>
      </c>
      <c r="G3575" s="142" t="s">
        <v>11649</v>
      </c>
      <c r="H3575" s="142" t="s">
        <v>19425</v>
      </c>
      <c r="I3575" s="142">
        <v>1017</v>
      </c>
      <c r="J3575" s="142">
        <v>897</v>
      </c>
      <c r="K3575" s="142">
        <v>0</v>
      </c>
      <c r="L3575" s="142">
        <v>106</v>
      </c>
      <c r="M3575" s="142">
        <v>14</v>
      </c>
    </row>
    <row r="3576" spans="1:13" x14ac:dyDescent="0.45">
      <c r="A3576" s="142" t="s">
        <v>13042</v>
      </c>
      <c r="B3576" s="142" t="s">
        <v>15489</v>
      </c>
      <c r="C3576" s="142" t="s">
        <v>15847</v>
      </c>
      <c r="D3576" s="142" t="s">
        <v>15848</v>
      </c>
      <c r="E3576" s="142" t="s">
        <v>15849</v>
      </c>
      <c r="F3576" s="142" t="s">
        <v>11650</v>
      </c>
      <c r="G3576" s="142" t="s">
        <v>11649</v>
      </c>
      <c r="H3576" s="142" t="s">
        <v>19426</v>
      </c>
      <c r="I3576" s="142">
        <v>543</v>
      </c>
      <c r="J3576" s="142">
        <v>265</v>
      </c>
      <c r="K3576" s="142">
        <v>0</v>
      </c>
      <c r="L3576" s="142">
        <v>100</v>
      </c>
      <c r="M3576" s="142">
        <v>178</v>
      </c>
    </row>
    <row r="3577" spans="1:13" x14ac:dyDescent="0.45">
      <c r="A3577" s="142" t="s">
        <v>13742</v>
      </c>
      <c r="B3577" s="142" t="s">
        <v>14686</v>
      </c>
      <c r="C3577" s="142" t="s">
        <v>15860</v>
      </c>
      <c r="D3577" s="142" t="s">
        <v>15861</v>
      </c>
      <c r="E3577" s="142" t="s">
        <v>15849</v>
      </c>
      <c r="F3577" s="142" t="s">
        <v>11650</v>
      </c>
      <c r="G3577" s="142" t="s">
        <v>11649</v>
      </c>
      <c r="H3577" s="142" t="s">
        <v>19427</v>
      </c>
      <c r="I3577" s="142">
        <v>9</v>
      </c>
      <c r="J3577" s="142">
        <v>9</v>
      </c>
      <c r="K3577" s="142">
        <v>0</v>
      </c>
      <c r="L3577" s="142">
        <v>0</v>
      </c>
      <c r="M3577" s="142">
        <v>0</v>
      </c>
    </row>
    <row r="3578" spans="1:13" x14ac:dyDescent="0.45">
      <c r="A3578" s="142" t="s">
        <v>13743</v>
      </c>
      <c r="B3578" s="142" t="s">
        <v>15222</v>
      </c>
      <c r="C3578" s="142" t="s">
        <v>15860</v>
      </c>
      <c r="D3578" s="142" t="s">
        <v>15861</v>
      </c>
      <c r="E3578" s="142" t="s">
        <v>15849</v>
      </c>
      <c r="F3578" s="142" t="s">
        <v>11650</v>
      </c>
      <c r="G3578" s="142" t="s">
        <v>11649</v>
      </c>
      <c r="H3578" s="142" t="s">
        <v>19428</v>
      </c>
      <c r="I3578" s="142">
        <v>87</v>
      </c>
      <c r="J3578" s="142">
        <v>0</v>
      </c>
      <c r="K3578" s="142">
        <v>0</v>
      </c>
      <c r="L3578" s="142">
        <v>87</v>
      </c>
      <c r="M3578" s="142">
        <v>0</v>
      </c>
    </row>
    <row r="3579" spans="1:13" x14ac:dyDescent="0.45">
      <c r="A3579" s="142" t="s">
        <v>13023</v>
      </c>
      <c r="B3579" s="142" t="s">
        <v>15571</v>
      </c>
      <c r="C3579" s="142" t="s">
        <v>15847</v>
      </c>
      <c r="D3579" s="142" t="s">
        <v>15848</v>
      </c>
      <c r="E3579" s="142" t="s">
        <v>15849</v>
      </c>
      <c r="F3579" s="142" t="s">
        <v>519</v>
      </c>
      <c r="G3579" s="142" t="s">
        <v>518</v>
      </c>
      <c r="H3579" s="142" t="s">
        <v>19429</v>
      </c>
      <c r="I3579" s="142">
        <v>149</v>
      </c>
      <c r="J3579" s="142">
        <v>0</v>
      </c>
      <c r="K3579" s="142">
        <v>0</v>
      </c>
      <c r="L3579" s="142">
        <v>149</v>
      </c>
      <c r="M3579" s="142">
        <v>0</v>
      </c>
    </row>
    <row r="3580" spans="1:13" x14ac:dyDescent="0.45">
      <c r="A3580" s="142" t="s">
        <v>13288</v>
      </c>
      <c r="B3580" s="142" t="s">
        <v>14444</v>
      </c>
      <c r="C3580" s="142" t="s">
        <v>15860</v>
      </c>
      <c r="D3580" s="142" t="s">
        <v>15861</v>
      </c>
      <c r="E3580" s="142" t="s">
        <v>15849</v>
      </c>
      <c r="F3580" s="142" t="s">
        <v>519</v>
      </c>
      <c r="G3580" s="142" t="s">
        <v>518</v>
      </c>
      <c r="H3580" s="142" t="s">
        <v>19430</v>
      </c>
      <c r="I3580" s="142">
        <v>66</v>
      </c>
      <c r="J3580" s="142">
        <v>0</v>
      </c>
      <c r="K3580" s="142">
        <v>0</v>
      </c>
      <c r="L3580" s="142">
        <v>66</v>
      </c>
      <c r="M3580" s="142">
        <v>0</v>
      </c>
    </row>
    <row r="3581" spans="1:13" x14ac:dyDescent="0.45">
      <c r="A3581" s="142" t="s">
        <v>13273</v>
      </c>
      <c r="B3581" s="142" t="s">
        <v>14465</v>
      </c>
      <c r="C3581" s="142" t="s">
        <v>15860</v>
      </c>
      <c r="D3581" s="142" t="s">
        <v>15861</v>
      </c>
      <c r="E3581" s="142" t="s">
        <v>15849</v>
      </c>
      <c r="F3581" s="142" t="s">
        <v>519</v>
      </c>
      <c r="G3581" s="142" t="s">
        <v>518</v>
      </c>
      <c r="H3581" s="142" t="s">
        <v>19431</v>
      </c>
      <c r="I3581" s="142">
        <v>1</v>
      </c>
      <c r="J3581" s="142">
        <v>0</v>
      </c>
      <c r="K3581" s="142">
        <v>0</v>
      </c>
      <c r="L3581" s="142">
        <v>1</v>
      </c>
      <c r="M3581" s="142">
        <v>0</v>
      </c>
    </row>
    <row r="3582" spans="1:13" x14ac:dyDescent="0.45">
      <c r="A3582" s="142" t="s">
        <v>13000</v>
      </c>
      <c r="B3582" s="142" t="s">
        <v>14610</v>
      </c>
      <c r="C3582" s="142" t="s">
        <v>15847</v>
      </c>
      <c r="D3582" s="142" t="s">
        <v>15848</v>
      </c>
      <c r="E3582" s="142" t="s">
        <v>15849</v>
      </c>
      <c r="F3582" s="142" t="s">
        <v>519</v>
      </c>
      <c r="G3582" s="142" t="s">
        <v>518</v>
      </c>
      <c r="H3582" s="142" t="s">
        <v>19432</v>
      </c>
      <c r="I3582" s="142">
        <v>453</v>
      </c>
      <c r="J3582" s="142">
        <v>436</v>
      </c>
      <c r="K3582" s="142">
        <v>0</v>
      </c>
      <c r="L3582" s="142">
        <v>17</v>
      </c>
      <c r="M3582" s="142">
        <v>0</v>
      </c>
    </row>
    <row r="3583" spans="1:13" x14ac:dyDescent="0.45">
      <c r="A3583" s="142" t="s">
        <v>13238</v>
      </c>
      <c r="B3583" s="142" t="s">
        <v>14477</v>
      </c>
      <c r="C3583" s="142" t="s">
        <v>15860</v>
      </c>
      <c r="D3583" s="142" t="s">
        <v>15861</v>
      </c>
      <c r="E3583" s="142" t="s">
        <v>15849</v>
      </c>
      <c r="F3583" s="142" t="s">
        <v>519</v>
      </c>
      <c r="G3583" s="142" t="s">
        <v>518</v>
      </c>
      <c r="H3583" s="142" t="s">
        <v>19433</v>
      </c>
      <c r="I3583" s="142">
        <v>6</v>
      </c>
      <c r="J3583" s="142">
        <v>0</v>
      </c>
      <c r="K3583" s="142">
        <v>0</v>
      </c>
      <c r="L3583" s="142">
        <v>6</v>
      </c>
      <c r="M3583" s="142">
        <v>0</v>
      </c>
    </row>
    <row r="3584" spans="1:13" x14ac:dyDescent="0.45">
      <c r="A3584" s="142" t="s">
        <v>13027</v>
      </c>
      <c r="B3584" s="142" t="s">
        <v>14562</v>
      </c>
      <c r="C3584" s="142" t="s">
        <v>15847</v>
      </c>
      <c r="D3584" s="142" t="s">
        <v>15848</v>
      </c>
      <c r="E3584" s="142" t="s">
        <v>15849</v>
      </c>
      <c r="F3584" s="142" t="s">
        <v>519</v>
      </c>
      <c r="G3584" s="142" t="s">
        <v>518</v>
      </c>
      <c r="H3584" s="142" t="s">
        <v>19434</v>
      </c>
      <c r="I3584" s="142">
        <v>12</v>
      </c>
      <c r="J3584" s="142">
        <v>0</v>
      </c>
      <c r="K3584" s="142">
        <v>0</v>
      </c>
      <c r="L3584" s="142">
        <v>12</v>
      </c>
      <c r="M3584" s="142">
        <v>0</v>
      </c>
    </row>
    <row r="3585" spans="1:13" x14ac:dyDescent="0.45">
      <c r="A3585" s="142" t="s">
        <v>13483</v>
      </c>
      <c r="B3585" s="142" t="s">
        <v>15459</v>
      </c>
      <c r="C3585" s="142" t="s">
        <v>15847</v>
      </c>
      <c r="D3585" s="142" t="s">
        <v>15848</v>
      </c>
      <c r="E3585" s="142" t="s">
        <v>15849</v>
      </c>
      <c r="F3585" s="142" t="s">
        <v>519</v>
      </c>
      <c r="G3585" s="142" t="s">
        <v>518</v>
      </c>
      <c r="H3585" s="142" t="s">
        <v>19435</v>
      </c>
      <c r="I3585" s="142">
        <v>7157</v>
      </c>
      <c r="J3585" s="142">
        <v>6745</v>
      </c>
      <c r="K3585" s="142">
        <v>0</v>
      </c>
      <c r="L3585" s="142">
        <v>262</v>
      </c>
      <c r="M3585" s="142">
        <v>150</v>
      </c>
    </row>
    <row r="3586" spans="1:13" x14ac:dyDescent="0.45">
      <c r="A3586" s="142" t="s">
        <v>13028</v>
      </c>
      <c r="B3586" s="142" t="s">
        <v>14462</v>
      </c>
      <c r="C3586" s="142" t="s">
        <v>15847</v>
      </c>
      <c r="D3586" s="142" t="s">
        <v>15848</v>
      </c>
      <c r="E3586" s="142" t="s">
        <v>15849</v>
      </c>
      <c r="F3586" s="142" t="s">
        <v>519</v>
      </c>
      <c r="G3586" s="142" t="s">
        <v>518</v>
      </c>
      <c r="H3586" s="142" t="s">
        <v>19436</v>
      </c>
      <c r="I3586" s="142">
        <v>3</v>
      </c>
      <c r="J3586" s="142">
        <v>0</v>
      </c>
      <c r="K3586" s="142">
        <v>0</v>
      </c>
      <c r="L3586" s="142">
        <v>0</v>
      </c>
      <c r="M3586" s="142">
        <v>3</v>
      </c>
    </row>
    <row r="3587" spans="1:13" x14ac:dyDescent="0.45">
      <c r="A3587" s="142" t="s">
        <v>13003</v>
      </c>
      <c r="B3587" s="142" t="s">
        <v>15245</v>
      </c>
      <c r="C3587" s="142" t="s">
        <v>15847</v>
      </c>
      <c r="D3587" s="142" t="s">
        <v>15848</v>
      </c>
      <c r="E3587" s="142" t="s">
        <v>15849</v>
      </c>
      <c r="F3587" s="142" t="s">
        <v>519</v>
      </c>
      <c r="G3587" s="142" t="s">
        <v>518</v>
      </c>
      <c r="H3587" s="142" t="s">
        <v>19437</v>
      </c>
      <c r="I3587" s="142">
        <v>101</v>
      </c>
      <c r="J3587" s="142">
        <v>0</v>
      </c>
      <c r="K3587" s="142">
        <v>0</v>
      </c>
      <c r="L3587" s="142">
        <v>101</v>
      </c>
      <c r="M3587" s="142">
        <v>0</v>
      </c>
    </row>
    <row r="3588" spans="1:13" x14ac:dyDescent="0.45">
      <c r="A3588" s="142" t="s">
        <v>13066</v>
      </c>
      <c r="B3588" s="142" t="s">
        <v>14459</v>
      </c>
      <c r="C3588" s="142" t="s">
        <v>15847</v>
      </c>
      <c r="D3588" s="142" t="s">
        <v>15848</v>
      </c>
      <c r="E3588" s="142" t="s">
        <v>15849</v>
      </c>
      <c r="F3588" s="142" t="s">
        <v>519</v>
      </c>
      <c r="G3588" s="142" t="s">
        <v>518</v>
      </c>
      <c r="H3588" s="142" t="s">
        <v>19438</v>
      </c>
      <c r="I3588" s="142">
        <v>8</v>
      </c>
      <c r="J3588" s="142">
        <v>0</v>
      </c>
      <c r="K3588" s="142">
        <v>0</v>
      </c>
      <c r="L3588" s="142">
        <v>8</v>
      </c>
      <c r="M3588" s="142">
        <v>0</v>
      </c>
    </row>
    <row r="3589" spans="1:13" x14ac:dyDescent="0.45">
      <c r="A3589" s="142" t="s">
        <v>13274</v>
      </c>
      <c r="B3589" s="142" t="s">
        <v>14608</v>
      </c>
      <c r="C3589" s="142" t="s">
        <v>15860</v>
      </c>
      <c r="D3589" s="142" t="s">
        <v>15861</v>
      </c>
      <c r="E3589" s="142" t="s">
        <v>15849</v>
      </c>
      <c r="F3589" s="142" t="s">
        <v>519</v>
      </c>
      <c r="G3589" s="142" t="s">
        <v>518</v>
      </c>
      <c r="H3589" s="142" t="s">
        <v>19439</v>
      </c>
      <c r="I3589" s="142">
        <v>1</v>
      </c>
      <c r="J3589" s="142">
        <v>0</v>
      </c>
      <c r="K3589" s="142">
        <v>0</v>
      </c>
      <c r="L3589" s="142">
        <v>1</v>
      </c>
      <c r="M3589" s="142">
        <v>0</v>
      </c>
    </row>
    <row r="3590" spans="1:13" x14ac:dyDescent="0.45">
      <c r="A3590" s="142" t="s">
        <v>13744</v>
      </c>
      <c r="B3590" s="142" t="s">
        <v>15593</v>
      </c>
      <c r="C3590" s="142" t="s">
        <v>15847</v>
      </c>
      <c r="D3590" s="142" t="s">
        <v>15848</v>
      </c>
      <c r="E3590" s="142" t="s">
        <v>15849</v>
      </c>
      <c r="F3590" s="142" t="s">
        <v>519</v>
      </c>
      <c r="G3590" s="142" t="s">
        <v>518</v>
      </c>
      <c r="H3590" s="142" t="s">
        <v>19440</v>
      </c>
      <c r="I3590" s="142">
        <v>55</v>
      </c>
      <c r="J3590" s="142">
        <v>0</v>
      </c>
      <c r="K3590" s="142">
        <v>0</v>
      </c>
      <c r="L3590" s="142">
        <v>49</v>
      </c>
      <c r="M3590" s="142">
        <v>6</v>
      </c>
    </row>
    <row r="3591" spans="1:13" x14ac:dyDescent="0.45">
      <c r="A3591" s="142" t="s">
        <v>13485</v>
      </c>
      <c r="B3591" s="142" t="s">
        <v>15454</v>
      </c>
      <c r="C3591" s="142" t="s">
        <v>15847</v>
      </c>
      <c r="D3591" s="142" t="s">
        <v>15848</v>
      </c>
      <c r="E3591" s="142" t="s">
        <v>15849</v>
      </c>
      <c r="F3591" s="142" t="s">
        <v>519</v>
      </c>
      <c r="G3591" s="142" t="s">
        <v>518</v>
      </c>
      <c r="H3591" s="142" t="s">
        <v>19441</v>
      </c>
      <c r="I3591" s="142">
        <v>120</v>
      </c>
      <c r="J3591" s="142">
        <v>83</v>
      </c>
      <c r="K3591" s="142">
        <v>0</v>
      </c>
      <c r="L3591" s="142">
        <v>0</v>
      </c>
      <c r="M3591" s="142">
        <v>37</v>
      </c>
    </row>
    <row r="3592" spans="1:13" x14ac:dyDescent="0.45">
      <c r="A3592" s="142" t="s">
        <v>13276</v>
      </c>
      <c r="B3592" s="142" t="s">
        <v>15498</v>
      </c>
      <c r="C3592" s="142" t="s">
        <v>15847</v>
      </c>
      <c r="D3592" s="142" t="s">
        <v>15848</v>
      </c>
      <c r="E3592" s="142" t="s">
        <v>15849</v>
      </c>
      <c r="F3592" s="142" t="s">
        <v>519</v>
      </c>
      <c r="G3592" s="142" t="s">
        <v>518</v>
      </c>
      <c r="H3592" s="142" t="s">
        <v>19442</v>
      </c>
      <c r="I3592" s="142">
        <v>2498</v>
      </c>
      <c r="J3592" s="142">
        <v>2310</v>
      </c>
      <c r="K3592" s="142">
        <v>0</v>
      </c>
      <c r="L3592" s="142">
        <v>66</v>
      </c>
      <c r="M3592" s="142">
        <v>122</v>
      </c>
    </row>
    <row r="3593" spans="1:13" x14ac:dyDescent="0.45">
      <c r="A3593" s="142" t="s">
        <v>13033</v>
      </c>
      <c r="B3593" s="142" t="s">
        <v>15276</v>
      </c>
      <c r="C3593" s="142" t="s">
        <v>15847</v>
      </c>
      <c r="D3593" s="142" t="s">
        <v>15848</v>
      </c>
      <c r="E3593" s="142" t="s">
        <v>15849</v>
      </c>
      <c r="F3593" s="142" t="s">
        <v>519</v>
      </c>
      <c r="G3593" s="142" t="s">
        <v>518</v>
      </c>
      <c r="H3593" s="142" t="s">
        <v>19443</v>
      </c>
      <c r="I3593" s="142">
        <v>73</v>
      </c>
      <c r="J3593" s="142">
        <v>69</v>
      </c>
      <c r="K3593" s="142">
        <v>0</v>
      </c>
      <c r="L3593" s="142">
        <v>0</v>
      </c>
      <c r="M3593" s="142">
        <v>4</v>
      </c>
    </row>
    <row r="3594" spans="1:13" x14ac:dyDescent="0.45">
      <c r="A3594" s="142" t="s">
        <v>13487</v>
      </c>
      <c r="B3594" s="142" t="s">
        <v>15490</v>
      </c>
      <c r="C3594" s="142" t="s">
        <v>15847</v>
      </c>
      <c r="D3594" s="142" t="s">
        <v>15848</v>
      </c>
      <c r="E3594" s="142" t="s">
        <v>15849</v>
      </c>
      <c r="F3594" s="142" t="s">
        <v>519</v>
      </c>
      <c r="G3594" s="142" t="s">
        <v>518</v>
      </c>
      <c r="H3594" s="142" t="s">
        <v>19444</v>
      </c>
      <c r="I3594" s="142">
        <v>806</v>
      </c>
      <c r="J3594" s="142">
        <v>746</v>
      </c>
      <c r="K3594" s="142">
        <v>0</v>
      </c>
      <c r="L3594" s="142">
        <v>22</v>
      </c>
      <c r="M3594" s="142">
        <v>38</v>
      </c>
    </row>
    <row r="3595" spans="1:13" x14ac:dyDescent="0.45">
      <c r="A3595" s="142" t="s">
        <v>13036</v>
      </c>
      <c r="B3595" s="142" t="s">
        <v>15567</v>
      </c>
      <c r="C3595" s="142" t="s">
        <v>15847</v>
      </c>
      <c r="D3595" s="142" t="s">
        <v>15848</v>
      </c>
      <c r="E3595" s="142" t="s">
        <v>15849</v>
      </c>
      <c r="F3595" s="142" t="s">
        <v>519</v>
      </c>
      <c r="G3595" s="142" t="s">
        <v>518</v>
      </c>
      <c r="H3595" s="142" t="s">
        <v>19445</v>
      </c>
      <c r="I3595" s="142">
        <v>15</v>
      </c>
      <c r="J3595" s="142">
        <v>0</v>
      </c>
      <c r="K3595" s="142">
        <v>0</v>
      </c>
      <c r="L3595" s="142">
        <v>15</v>
      </c>
      <c r="M3595" s="142">
        <v>0</v>
      </c>
    </row>
    <row r="3596" spans="1:13" x14ac:dyDescent="0.45">
      <c r="A3596" s="142" t="s">
        <v>13037</v>
      </c>
      <c r="B3596" s="142" t="s">
        <v>14519</v>
      </c>
      <c r="C3596" s="142" t="s">
        <v>15847</v>
      </c>
      <c r="D3596" s="142" t="s">
        <v>15848</v>
      </c>
      <c r="E3596" s="142" t="s">
        <v>15849</v>
      </c>
      <c r="F3596" s="142" t="s">
        <v>519</v>
      </c>
      <c r="G3596" s="142" t="s">
        <v>518</v>
      </c>
      <c r="H3596" s="142" t="s">
        <v>19446</v>
      </c>
      <c r="I3596" s="142">
        <v>14</v>
      </c>
      <c r="J3596" s="142">
        <v>0</v>
      </c>
      <c r="K3596" s="142">
        <v>0</v>
      </c>
      <c r="L3596" s="142">
        <v>14</v>
      </c>
      <c r="M3596" s="142">
        <v>0</v>
      </c>
    </row>
    <row r="3597" spans="1:13" x14ac:dyDescent="0.45">
      <c r="A3597" s="142" t="s">
        <v>13009</v>
      </c>
      <c r="B3597" s="142" t="s">
        <v>15256</v>
      </c>
      <c r="C3597" s="142" t="s">
        <v>15847</v>
      </c>
      <c r="D3597" s="142" t="s">
        <v>15848</v>
      </c>
      <c r="E3597" s="142" t="s">
        <v>15849</v>
      </c>
      <c r="F3597" s="142" t="s">
        <v>519</v>
      </c>
      <c r="G3597" s="142" t="s">
        <v>518</v>
      </c>
      <c r="H3597" s="142" t="s">
        <v>19447</v>
      </c>
      <c r="I3597" s="142">
        <v>13</v>
      </c>
      <c r="J3597" s="142">
        <v>1</v>
      </c>
      <c r="K3597" s="142">
        <v>0</v>
      </c>
      <c r="L3597" s="142">
        <v>12</v>
      </c>
      <c r="M3597" s="142">
        <v>0</v>
      </c>
    </row>
    <row r="3598" spans="1:13" x14ac:dyDescent="0.45">
      <c r="A3598" s="142" t="s">
        <v>13042</v>
      </c>
      <c r="B3598" s="142" t="s">
        <v>15489</v>
      </c>
      <c r="C3598" s="142" t="s">
        <v>15847</v>
      </c>
      <c r="D3598" s="142" t="s">
        <v>15848</v>
      </c>
      <c r="E3598" s="142" t="s">
        <v>15849</v>
      </c>
      <c r="F3598" s="142" t="s">
        <v>519</v>
      </c>
      <c r="G3598" s="142" t="s">
        <v>518</v>
      </c>
      <c r="H3598" s="142" t="s">
        <v>19448</v>
      </c>
      <c r="I3598" s="142">
        <v>2706</v>
      </c>
      <c r="J3598" s="142">
        <v>2414</v>
      </c>
      <c r="K3598" s="142">
        <v>0</v>
      </c>
      <c r="L3598" s="142">
        <v>259</v>
      </c>
      <c r="M3598" s="142">
        <v>33</v>
      </c>
    </row>
    <row r="3599" spans="1:13" x14ac:dyDescent="0.45">
      <c r="A3599" s="142" t="s">
        <v>13493</v>
      </c>
      <c r="B3599" s="142" t="s">
        <v>14639</v>
      </c>
      <c r="C3599" s="142" t="s">
        <v>15847</v>
      </c>
      <c r="D3599" s="142" t="s">
        <v>15848</v>
      </c>
      <c r="E3599" s="142" t="s">
        <v>15849</v>
      </c>
      <c r="F3599" s="142" t="s">
        <v>519</v>
      </c>
      <c r="G3599" s="142" t="s">
        <v>518</v>
      </c>
      <c r="H3599" s="142" t="s">
        <v>19449</v>
      </c>
      <c r="I3599" s="142">
        <v>93</v>
      </c>
      <c r="J3599" s="142">
        <v>27</v>
      </c>
      <c r="K3599" s="142">
        <v>0</v>
      </c>
      <c r="L3599" s="142">
        <v>0</v>
      </c>
      <c r="M3599" s="142">
        <v>66</v>
      </c>
    </row>
    <row r="3600" spans="1:13" x14ac:dyDescent="0.45">
      <c r="A3600" s="142" t="s">
        <v>13494</v>
      </c>
      <c r="B3600" s="142" t="s">
        <v>15442</v>
      </c>
      <c r="C3600" s="142" t="s">
        <v>15847</v>
      </c>
      <c r="D3600" s="142" t="s">
        <v>15848</v>
      </c>
      <c r="E3600" s="142" t="s">
        <v>15849</v>
      </c>
      <c r="F3600" s="142" t="s">
        <v>519</v>
      </c>
      <c r="G3600" s="142" t="s">
        <v>518</v>
      </c>
      <c r="H3600" s="142" t="s">
        <v>19450</v>
      </c>
      <c r="I3600" s="142">
        <v>17</v>
      </c>
      <c r="J3600" s="142">
        <v>0</v>
      </c>
      <c r="K3600" s="142">
        <v>0</v>
      </c>
      <c r="L3600" s="142">
        <v>0</v>
      </c>
      <c r="M3600" s="142">
        <v>17</v>
      </c>
    </row>
    <row r="3601" spans="1:13" x14ac:dyDescent="0.45">
      <c r="A3601" s="142" t="s">
        <v>13286</v>
      </c>
      <c r="B3601" s="142" t="s">
        <v>15342</v>
      </c>
      <c r="C3601" s="142" t="s">
        <v>15847</v>
      </c>
      <c r="D3601" s="142" t="s">
        <v>15848</v>
      </c>
      <c r="E3601" s="142" t="s">
        <v>15849</v>
      </c>
      <c r="F3601" s="142" t="s">
        <v>519</v>
      </c>
      <c r="G3601" s="142" t="s">
        <v>518</v>
      </c>
      <c r="H3601" s="142" t="s">
        <v>19451</v>
      </c>
      <c r="I3601" s="142">
        <v>748</v>
      </c>
      <c r="J3601" s="142">
        <v>665</v>
      </c>
      <c r="K3601" s="142">
        <v>0</v>
      </c>
      <c r="L3601" s="142">
        <v>28</v>
      </c>
      <c r="M3601" s="142">
        <v>55</v>
      </c>
    </row>
    <row r="3602" spans="1:13" x14ac:dyDescent="0.45">
      <c r="A3602" s="142" t="s">
        <v>13110</v>
      </c>
      <c r="B3602" s="142" t="s">
        <v>15502</v>
      </c>
      <c r="C3602" s="142" t="s">
        <v>15847</v>
      </c>
      <c r="D3602" s="142" t="s">
        <v>15848</v>
      </c>
      <c r="E3602" s="142" t="s">
        <v>15849</v>
      </c>
      <c r="F3602" s="142" t="s">
        <v>11692</v>
      </c>
      <c r="G3602" s="142" t="s">
        <v>11691</v>
      </c>
      <c r="H3602" s="142" t="s">
        <v>19452</v>
      </c>
      <c r="I3602" s="142">
        <v>582</v>
      </c>
      <c r="J3602" s="142">
        <v>419</v>
      </c>
      <c r="K3602" s="142">
        <v>0</v>
      </c>
      <c r="L3602" s="142">
        <v>86</v>
      </c>
      <c r="M3602" s="142">
        <v>77</v>
      </c>
    </row>
    <row r="3603" spans="1:13" x14ac:dyDescent="0.45">
      <c r="A3603" s="142" t="s">
        <v>13308</v>
      </c>
      <c r="B3603" s="142" t="s">
        <v>15608</v>
      </c>
      <c r="C3603" s="142" t="s">
        <v>15847</v>
      </c>
      <c r="D3603" s="142" t="s">
        <v>15848</v>
      </c>
      <c r="E3603" s="142" t="s">
        <v>15849</v>
      </c>
      <c r="F3603" s="142" t="s">
        <v>11692</v>
      </c>
      <c r="G3603" s="142" t="s">
        <v>11691</v>
      </c>
      <c r="H3603" s="142" t="s">
        <v>19453</v>
      </c>
      <c r="I3603" s="142">
        <v>36</v>
      </c>
      <c r="J3603" s="142">
        <v>0</v>
      </c>
      <c r="K3603" s="142">
        <v>0</v>
      </c>
      <c r="L3603" s="142">
        <v>0</v>
      </c>
      <c r="M3603" s="142">
        <v>36</v>
      </c>
    </row>
    <row r="3604" spans="1:13" x14ac:dyDescent="0.45">
      <c r="A3604" s="142" t="s">
        <v>13746</v>
      </c>
      <c r="B3604" s="142" t="s">
        <v>14759</v>
      </c>
      <c r="C3604" s="142" t="s">
        <v>15860</v>
      </c>
      <c r="D3604" s="142" t="s">
        <v>15861</v>
      </c>
      <c r="E3604" s="142" t="s">
        <v>15849</v>
      </c>
      <c r="F3604" s="142" t="s">
        <v>11692</v>
      </c>
      <c r="G3604" s="142" t="s">
        <v>11691</v>
      </c>
      <c r="H3604" s="142" t="s">
        <v>19454</v>
      </c>
      <c r="I3604" s="142">
        <v>12</v>
      </c>
      <c r="J3604" s="142">
        <v>0</v>
      </c>
      <c r="K3604" s="142">
        <v>0</v>
      </c>
      <c r="L3604" s="142">
        <v>12</v>
      </c>
      <c r="M3604" s="142">
        <v>0</v>
      </c>
    </row>
    <row r="3605" spans="1:13" x14ac:dyDescent="0.45">
      <c r="A3605" s="142" t="s">
        <v>13023</v>
      </c>
      <c r="B3605" s="142" t="s">
        <v>15571</v>
      </c>
      <c r="C3605" s="142" t="s">
        <v>15847</v>
      </c>
      <c r="D3605" s="142" t="s">
        <v>15848</v>
      </c>
      <c r="E3605" s="142" t="s">
        <v>15849</v>
      </c>
      <c r="F3605" s="142" t="s">
        <v>11692</v>
      </c>
      <c r="G3605" s="142" t="s">
        <v>11691</v>
      </c>
      <c r="H3605" s="142" t="s">
        <v>19455</v>
      </c>
      <c r="I3605" s="142">
        <v>50</v>
      </c>
      <c r="J3605" s="142">
        <v>0</v>
      </c>
      <c r="K3605" s="142">
        <v>0</v>
      </c>
      <c r="L3605" s="142">
        <v>50</v>
      </c>
      <c r="M3605" s="142">
        <v>0</v>
      </c>
    </row>
    <row r="3606" spans="1:13" x14ac:dyDescent="0.45">
      <c r="A3606" s="142" t="s">
        <v>13112</v>
      </c>
      <c r="B3606" s="142" t="s">
        <v>15552</v>
      </c>
      <c r="C3606" s="142" t="s">
        <v>15860</v>
      </c>
      <c r="D3606" s="142" t="s">
        <v>15861</v>
      </c>
      <c r="E3606" s="142" t="s">
        <v>15849</v>
      </c>
      <c r="F3606" s="142" t="s">
        <v>11692</v>
      </c>
      <c r="G3606" s="142" t="s">
        <v>11691</v>
      </c>
      <c r="H3606" s="142" t="s">
        <v>19456</v>
      </c>
      <c r="I3606" s="142">
        <v>63</v>
      </c>
      <c r="J3606" s="142">
        <v>63</v>
      </c>
      <c r="K3606" s="142">
        <v>0</v>
      </c>
      <c r="L3606" s="142">
        <v>0</v>
      </c>
      <c r="M3606" s="142">
        <v>0</v>
      </c>
    </row>
    <row r="3607" spans="1:13" x14ac:dyDescent="0.45">
      <c r="A3607" s="142" t="s">
        <v>13433</v>
      </c>
      <c r="B3607" s="142" t="s">
        <v>15167</v>
      </c>
      <c r="C3607" s="142" t="s">
        <v>15847</v>
      </c>
      <c r="D3607" s="142" t="s">
        <v>15848</v>
      </c>
      <c r="E3607" s="142" t="s">
        <v>15849</v>
      </c>
      <c r="F3607" s="142" t="s">
        <v>11692</v>
      </c>
      <c r="G3607" s="142" t="s">
        <v>11691</v>
      </c>
      <c r="H3607" s="142" t="s">
        <v>19457</v>
      </c>
      <c r="I3607" s="142">
        <v>8</v>
      </c>
      <c r="J3607" s="142">
        <v>8</v>
      </c>
      <c r="K3607" s="142">
        <v>0</v>
      </c>
      <c r="L3607" s="142">
        <v>0</v>
      </c>
      <c r="M3607" s="142">
        <v>0</v>
      </c>
    </row>
    <row r="3608" spans="1:13" x14ac:dyDescent="0.45">
      <c r="A3608" s="142" t="s">
        <v>13318</v>
      </c>
      <c r="B3608" s="142" t="s">
        <v>15172</v>
      </c>
      <c r="C3608" s="142" t="s">
        <v>15860</v>
      </c>
      <c r="D3608" s="142" t="s">
        <v>15861</v>
      </c>
      <c r="E3608" s="142" t="s">
        <v>15849</v>
      </c>
      <c r="F3608" s="142" t="s">
        <v>11692</v>
      </c>
      <c r="G3608" s="142" t="s">
        <v>11691</v>
      </c>
      <c r="H3608" s="142" t="s">
        <v>19458</v>
      </c>
      <c r="I3608" s="142">
        <v>19</v>
      </c>
      <c r="J3608" s="142">
        <v>0</v>
      </c>
      <c r="K3608" s="142">
        <v>0</v>
      </c>
      <c r="L3608" s="142">
        <v>19</v>
      </c>
      <c r="M3608" s="142">
        <v>0</v>
      </c>
    </row>
    <row r="3609" spans="1:13" x14ac:dyDescent="0.45">
      <c r="A3609" s="142" t="s">
        <v>13000</v>
      </c>
      <c r="B3609" s="142" t="s">
        <v>14610</v>
      </c>
      <c r="C3609" s="142" t="s">
        <v>15847</v>
      </c>
      <c r="D3609" s="142" t="s">
        <v>15848</v>
      </c>
      <c r="E3609" s="142" t="s">
        <v>15849</v>
      </c>
      <c r="F3609" s="142" t="s">
        <v>11692</v>
      </c>
      <c r="G3609" s="142" t="s">
        <v>11691</v>
      </c>
      <c r="H3609" s="142" t="s">
        <v>19459</v>
      </c>
      <c r="I3609" s="142">
        <v>349</v>
      </c>
      <c r="J3609" s="142">
        <v>237</v>
      </c>
      <c r="K3609" s="142">
        <v>0</v>
      </c>
      <c r="L3609" s="142">
        <v>0</v>
      </c>
      <c r="M3609" s="142">
        <v>112</v>
      </c>
    </row>
    <row r="3610" spans="1:13" x14ac:dyDescent="0.45">
      <c r="A3610" s="142" t="s">
        <v>13632</v>
      </c>
      <c r="B3610" s="142" t="s">
        <v>15080</v>
      </c>
      <c r="C3610" s="142" t="s">
        <v>15860</v>
      </c>
      <c r="D3610" s="142" t="s">
        <v>15861</v>
      </c>
      <c r="E3610" s="142" t="s">
        <v>15849</v>
      </c>
      <c r="F3610" s="142" t="s">
        <v>11692</v>
      </c>
      <c r="G3610" s="142" t="s">
        <v>11691</v>
      </c>
      <c r="H3610" s="142" t="s">
        <v>19460</v>
      </c>
      <c r="I3610" s="142">
        <v>18</v>
      </c>
      <c r="J3610" s="142">
        <v>18</v>
      </c>
      <c r="K3610" s="142">
        <v>0</v>
      </c>
      <c r="L3610" s="142">
        <v>0</v>
      </c>
      <c r="M3610" s="142">
        <v>0</v>
      </c>
    </row>
    <row r="3611" spans="1:13" x14ac:dyDescent="0.45">
      <c r="A3611" s="142" t="s">
        <v>13747</v>
      </c>
      <c r="B3611" s="142" t="s">
        <v>15556</v>
      </c>
      <c r="C3611" s="142" t="s">
        <v>15860</v>
      </c>
      <c r="D3611" s="142" t="s">
        <v>15861</v>
      </c>
      <c r="E3611" s="142" t="s">
        <v>15849</v>
      </c>
      <c r="F3611" s="142" t="s">
        <v>11692</v>
      </c>
      <c r="G3611" s="142" t="s">
        <v>11691</v>
      </c>
      <c r="H3611" s="142" t="s">
        <v>19461</v>
      </c>
      <c r="I3611" s="142">
        <v>25</v>
      </c>
      <c r="J3611" s="142">
        <v>0</v>
      </c>
      <c r="K3611" s="142">
        <v>25</v>
      </c>
      <c r="L3611" s="142">
        <v>0</v>
      </c>
      <c r="M3611" s="142">
        <v>0</v>
      </c>
    </row>
    <row r="3612" spans="1:13" x14ac:dyDescent="0.45">
      <c r="A3612" s="142" t="s">
        <v>13027</v>
      </c>
      <c r="B3612" s="142" t="s">
        <v>14562</v>
      </c>
      <c r="C3612" s="142" t="s">
        <v>15847</v>
      </c>
      <c r="D3612" s="142" t="s">
        <v>15848</v>
      </c>
      <c r="E3612" s="142" t="s">
        <v>15849</v>
      </c>
      <c r="F3612" s="142" t="s">
        <v>11692</v>
      </c>
      <c r="G3612" s="142" t="s">
        <v>11691</v>
      </c>
      <c r="H3612" s="142" t="s">
        <v>19462</v>
      </c>
      <c r="I3612" s="142">
        <v>1</v>
      </c>
      <c r="J3612" s="142">
        <v>0</v>
      </c>
      <c r="K3612" s="142">
        <v>0</v>
      </c>
      <c r="L3612" s="142">
        <v>1</v>
      </c>
      <c r="M3612" s="142">
        <v>0</v>
      </c>
    </row>
    <row r="3613" spans="1:13" x14ac:dyDescent="0.45">
      <c r="A3613" s="142" t="s">
        <v>13001</v>
      </c>
      <c r="B3613" s="142" t="s">
        <v>15506</v>
      </c>
      <c r="C3613" s="142" t="s">
        <v>15847</v>
      </c>
      <c r="D3613" s="142" t="s">
        <v>15848</v>
      </c>
      <c r="E3613" s="142" t="s">
        <v>15849</v>
      </c>
      <c r="F3613" s="142" t="s">
        <v>11692</v>
      </c>
      <c r="G3613" s="142" t="s">
        <v>11691</v>
      </c>
      <c r="H3613" s="142" t="s">
        <v>19463</v>
      </c>
      <c r="I3613" s="142">
        <v>58</v>
      </c>
      <c r="J3613" s="142">
        <v>50</v>
      </c>
      <c r="K3613" s="142">
        <v>0</v>
      </c>
      <c r="L3613" s="142">
        <v>8</v>
      </c>
      <c r="M3613" s="142">
        <v>0</v>
      </c>
    </row>
    <row r="3614" spans="1:13" x14ac:dyDescent="0.45">
      <c r="A3614" s="142" t="s">
        <v>13748</v>
      </c>
      <c r="B3614" s="142" t="s">
        <v>14776</v>
      </c>
      <c r="C3614" s="142" t="s">
        <v>15860</v>
      </c>
      <c r="D3614" s="142" t="s">
        <v>15861</v>
      </c>
      <c r="E3614" s="142" t="s">
        <v>15849</v>
      </c>
      <c r="F3614" s="142" t="s">
        <v>11692</v>
      </c>
      <c r="G3614" s="142" t="s">
        <v>11691</v>
      </c>
      <c r="H3614" s="142" t="s">
        <v>19464</v>
      </c>
      <c r="I3614" s="142">
        <v>92</v>
      </c>
      <c r="J3614" s="142">
        <v>0</v>
      </c>
      <c r="K3614" s="142">
        <v>0</v>
      </c>
      <c r="L3614" s="142">
        <v>92</v>
      </c>
      <c r="M3614" s="142">
        <v>0</v>
      </c>
    </row>
    <row r="3615" spans="1:13" x14ac:dyDescent="0.45">
      <c r="A3615" s="142" t="s">
        <v>13435</v>
      </c>
      <c r="B3615" s="142" t="s">
        <v>14935</v>
      </c>
      <c r="C3615" s="142" t="s">
        <v>15860</v>
      </c>
      <c r="D3615" s="142" t="s">
        <v>15861</v>
      </c>
      <c r="E3615" s="142" t="s">
        <v>15849</v>
      </c>
      <c r="F3615" s="142" t="s">
        <v>11692</v>
      </c>
      <c r="G3615" s="142" t="s">
        <v>11691</v>
      </c>
      <c r="H3615" s="142" t="s">
        <v>19465</v>
      </c>
      <c r="I3615" s="142">
        <v>20</v>
      </c>
      <c r="J3615" s="142">
        <v>0</v>
      </c>
      <c r="K3615" s="142">
        <v>0</v>
      </c>
      <c r="L3615" s="142">
        <v>20</v>
      </c>
      <c r="M3615" s="142">
        <v>0</v>
      </c>
    </row>
    <row r="3616" spans="1:13" x14ac:dyDescent="0.45">
      <c r="A3616" s="142" t="s">
        <v>13003</v>
      </c>
      <c r="B3616" s="142" t="s">
        <v>15245</v>
      </c>
      <c r="C3616" s="142" t="s">
        <v>15847</v>
      </c>
      <c r="D3616" s="142" t="s">
        <v>15848</v>
      </c>
      <c r="E3616" s="142" t="s">
        <v>15849</v>
      </c>
      <c r="F3616" s="142" t="s">
        <v>11692</v>
      </c>
      <c r="G3616" s="142" t="s">
        <v>11691</v>
      </c>
      <c r="H3616" s="142" t="s">
        <v>19466</v>
      </c>
      <c r="I3616" s="142">
        <v>96</v>
      </c>
      <c r="J3616" s="142">
        <v>0</v>
      </c>
      <c r="K3616" s="142">
        <v>0</v>
      </c>
      <c r="L3616" s="142">
        <v>81</v>
      </c>
      <c r="M3616" s="142">
        <v>15</v>
      </c>
    </row>
    <row r="3617" spans="1:13" x14ac:dyDescent="0.45">
      <c r="A3617" s="142" t="s">
        <v>13124</v>
      </c>
      <c r="B3617" s="142" t="s">
        <v>15554</v>
      </c>
      <c r="C3617" s="142" t="s">
        <v>15860</v>
      </c>
      <c r="D3617" s="142" t="s">
        <v>15861</v>
      </c>
      <c r="E3617" s="142" t="s">
        <v>15849</v>
      </c>
      <c r="F3617" s="142" t="s">
        <v>11692</v>
      </c>
      <c r="G3617" s="142" t="s">
        <v>11691</v>
      </c>
      <c r="H3617" s="142" t="s">
        <v>19467</v>
      </c>
      <c r="I3617" s="142">
        <v>44</v>
      </c>
      <c r="J3617" s="142">
        <v>44</v>
      </c>
      <c r="K3617" s="142">
        <v>0</v>
      </c>
      <c r="L3617" s="142">
        <v>0</v>
      </c>
      <c r="M3617" s="142">
        <v>0</v>
      </c>
    </row>
    <row r="3618" spans="1:13" x14ac:dyDescent="0.45">
      <c r="A3618" s="142" t="s">
        <v>13127</v>
      </c>
      <c r="B3618" s="142" t="s">
        <v>15549</v>
      </c>
      <c r="C3618" s="142" t="s">
        <v>15847</v>
      </c>
      <c r="D3618" s="142" t="s">
        <v>15848</v>
      </c>
      <c r="E3618" s="142" t="s">
        <v>15849</v>
      </c>
      <c r="F3618" s="142" t="s">
        <v>11692</v>
      </c>
      <c r="G3618" s="142" t="s">
        <v>11691</v>
      </c>
      <c r="H3618" s="142" t="s">
        <v>19468</v>
      </c>
      <c r="I3618" s="142">
        <v>72</v>
      </c>
      <c r="J3618" s="142">
        <v>72</v>
      </c>
      <c r="K3618" s="142">
        <v>0</v>
      </c>
      <c r="L3618" s="142">
        <v>0</v>
      </c>
      <c r="M3618" s="142">
        <v>0</v>
      </c>
    </row>
    <row r="3619" spans="1:13" x14ac:dyDescent="0.45">
      <c r="A3619" s="142" t="s">
        <v>13178</v>
      </c>
      <c r="B3619" s="142" t="s">
        <v>14683</v>
      </c>
      <c r="C3619" s="142" t="s">
        <v>15847</v>
      </c>
      <c r="D3619" s="142" t="s">
        <v>15848</v>
      </c>
      <c r="E3619" s="142" t="s">
        <v>15849</v>
      </c>
      <c r="F3619" s="142" t="s">
        <v>11692</v>
      </c>
      <c r="G3619" s="142" t="s">
        <v>11691</v>
      </c>
      <c r="H3619" s="142" t="s">
        <v>19469</v>
      </c>
      <c r="I3619" s="142">
        <v>87</v>
      </c>
      <c r="J3619" s="142">
        <v>87</v>
      </c>
      <c r="K3619" s="142">
        <v>0</v>
      </c>
      <c r="L3619" s="142">
        <v>0</v>
      </c>
      <c r="M3619" s="142">
        <v>0</v>
      </c>
    </row>
    <row r="3620" spans="1:13" x14ac:dyDescent="0.45">
      <c r="A3620" s="142" t="s">
        <v>13076</v>
      </c>
      <c r="B3620" s="142" t="s">
        <v>14636</v>
      </c>
      <c r="C3620" s="142" t="s">
        <v>15847</v>
      </c>
      <c r="D3620" s="142" t="s">
        <v>15848</v>
      </c>
      <c r="E3620" s="142" t="s">
        <v>15849</v>
      </c>
      <c r="F3620" s="142" t="s">
        <v>11692</v>
      </c>
      <c r="G3620" s="142" t="s">
        <v>11691</v>
      </c>
      <c r="H3620" s="142" t="s">
        <v>19470</v>
      </c>
      <c r="I3620" s="142">
        <v>87</v>
      </c>
      <c r="J3620" s="142">
        <v>0</v>
      </c>
      <c r="K3620" s="142">
        <v>0</v>
      </c>
      <c r="L3620" s="142">
        <v>0</v>
      </c>
      <c r="M3620" s="142">
        <v>87</v>
      </c>
    </row>
    <row r="3621" spans="1:13" x14ac:dyDescent="0.45">
      <c r="A3621" s="142" t="s">
        <v>13005</v>
      </c>
      <c r="B3621" s="142" t="s">
        <v>15475</v>
      </c>
      <c r="C3621" s="142" t="s">
        <v>15847</v>
      </c>
      <c r="D3621" s="142" t="s">
        <v>15848</v>
      </c>
      <c r="E3621" s="142" t="s">
        <v>15849</v>
      </c>
      <c r="F3621" s="142" t="s">
        <v>11692</v>
      </c>
      <c r="G3621" s="142" t="s">
        <v>11691</v>
      </c>
      <c r="H3621" s="142" t="s">
        <v>19471</v>
      </c>
      <c r="I3621" s="142">
        <v>556</v>
      </c>
      <c r="J3621" s="142">
        <v>463</v>
      </c>
      <c r="K3621" s="142">
        <v>0</v>
      </c>
      <c r="L3621" s="142">
        <v>32</v>
      </c>
      <c r="M3621" s="142">
        <v>61</v>
      </c>
    </row>
    <row r="3622" spans="1:13" x14ac:dyDescent="0.45">
      <c r="A3622" s="142" t="s">
        <v>13101</v>
      </c>
      <c r="B3622" s="142" t="s">
        <v>15491</v>
      </c>
      <c r="C3622" s="142" t="s">
        <v>15847</v>
      </c>
      <c r="D3622" s="142" t="s">
        <v>15848</v>
      </c>
      <c r="E3622" s="142" t="s">
        <v>15849</v>
      </c>
      <c r="F3622" s="142" t="s">
        <v>11692</v>
      </c>
      <c r="G3622" s="142" t="s">
        <v>11691</v>
      </c>
      <c r="H3622" s="142" t="s">
        <v>19472</v>
      </c>
      <c r="I3622" s="142">
        <v>30</v>
      </c>
      <c r="J3622" s="142">
        <v>0</v>
      </c>
      <c r="K3622" s="142">
        <v>0</v>
      </c>
      <c r="L3622" s="142">
        <v>30</v>
      </c>
      <c r="M3622" s="142">
        <v>0</v>
      </c>
    </row>
    <row r="3623" spans="1:13" x14ac:dyDescent="0.45">
      <c r="A3623" s="142" t="s">
        <v>13006</v>
      </c>
      <c r="B3623" s="142" t="s">
        <v>15288</v>
      </c>
      <c r="C3623" s="142" t="s">
        <v>15847</v>
      </c>
      <c r="D3623" s="142" t="s">
        <v>15848</v>
      </c>
      <c r="E3623" s="142" t="s">
        <v>15849</v>
      </c>
      <c r="F3623" s="142" t="s">
        <v>11692</v>
      </c>
      <c r="G3623" s="142" t="s">
        <v>11691</v>
      </c>
      <c r="H3623" s="142" t="s">
        <v>19473</v>
      </c>
      <c r="I3623" s="142">
        <v>81</v>
      </c>
      <c r="J3623" s="142">
        <v>7</v>
      </c>
      <c r="K3623" s="142">
        <v>7</v>
      </c>
      <c r="L3623" s="142">
        <v>67</v>
      </c>
      <c r="M3623" s="142">
        <v>0</v>
      </c>
    </row>
    <row r="3624" spans="1:13" x14ac:dyDescent="0.45">
      <c r="A3624" s="142" t="s">
        <v>13103</v>
      </c>
      <c r="B3624" s="142" t="s">
        <v>14623</v>
      </c>
      <c r="C3624" s="142" t="s">
        <v>15847</v>
      </c>
      <c r="D3624" s="142" t="s">
        <v>15848</v>
      </c>
      <c r="E3624" s="142" t="s">
        <v>15849</v>
      </c>
      <c r="F3624" s="142" t="s">
        <v>11692</v>
      </c>
      <c r="G3624" s="142" t="s">
        <v>11691</v>
      </c>
      <c r="H3624" s="142" t="s">
        <v>19474</v>
      </c>
      <c r="I3624" s="142">
        <v>4778</v>
      </c>
      <c r="J3624" s="142">
        <v>4048</v>
      </c>
      <c r="K3624" s="142">
        <v>56</v>
      </c>
      <c r="L3624" s="142">
        <v>570</v>
      </c>
      <c r="M3624" s="142">
        <v>104</v>
      </c>
    </row>
    <row r="3625" spans="1:13" x14ac:dyDescent="0.45">
      <c r="A3625" s="142" t="s">
        <v>13054</v>
      </c>
      <c r="B3625" s="142" t="s">
        <v>15604</v>
      </c>
      <c r="C3625" s="142" t="s">
        <v>15847</v>
      </c>
      <c r="D3625" s="142" t="s">
        <v>15848</v>
      </c>
      <c r="E3625" s="142" t="s">
        <v>15849</v>
      </c>
      <c r="F3625" s="142" t="s">
        <v>11692</v>
      </c>
      <c r="G3625" s="142" t="s">
        <v>11691</v>
      </c>
      <c r="H3625" s="142" t="s">
        <v>19475</v>
      </c>
      <c r="I3625" s="142">
        <v>235</v>
      </c>
      <c r="J3625" s="142">
        <v>0</v>
      </c>
      <c r="K3625" s="142">
        <v>0</v>
      </c>
      <c r="L3625" s="142">
        <v>0</v>
      </c>
      <c r="M3625" s="142">
        <v>235</v>
      </c>
    </row>
    <row r="3626" spans="1:13" x14ac:dyDescent="0.45">
      <c r="A3626" s="142" t="s">
        <v>13129</v>
      </c>
      <c r="B3626" s="142" t="s">
        <v>15284</v>
      </c>
      <c r="C3626" s="142" t="s">
        <v>15847</v>
      </c>
      <c r="D3626" s="142" t="s">
        <v>15848</v>
      </c>
      <c r="E3626" s="142" t="s">
        <v>15849</v>
      </c>
      <c r="F3626" s="142" t="s">
        <v>11692</v>
      </c>
      <c r="G3626" s="142" t="s">
        <v>11691</v>
      </c>
      <c r="H3626" s="142" t="s">
        <v>19476</v>
      </c>
      <c r="I3626" s="142">
        <v>500</v>
      </c>
      <c r="J3626" s="142">
        <v>432</v>
      </c>
      <c r="K3626" s="142">
        <v>35</v>
      </c>
      <c r="L3626" s="142">
        <v>0</v>
      </c>
      <c r="M3626" s="142">
        <v>33</v>
      </c>
    </row>
    <row r="3627" spans="1:13" x14ac:dyDescent="0.45">
      <c r="A3627" s="142" t="s">
        <v>13055</v>
      </c>
      <c r="B3627" s="142" t="s">
        <v>14595</v>
      </c>
      <c r="C3627" s="142" t="s">
        <v>15847</v>
      </c>
      <c r="D3627" s="142" t="s">
        <v>15848</v>
      </c>
      <c r="E3627" s="142" t="s">
        <v>15849</v>
      </c>
      <c r="F3627" s="142" t="s">
        <v>11692</v>
      </c>
      <c r="G3627" s="142" t="s">
        <v>11691</v>
      </c>
      <c r="H3627" s="142" t="s">
        <v>19477</v>
      </c>
      <c r="I3627" s="142">
        <v>46</v>
      </c>
      <c r="J3627" s="142">
        <v>46</v>
      </c>
      <c r="K3627" s="142">
        <v>0</v>
      </c>
      <c r="L3627" s="142">
        <v>0</v>
      </c>
      <c r="M3627" s="142">
        <v>0</v>
      </c>
    </row>
    <row r="3628" spans="1:13" x14ac:dyDescent="0.45">
      <c r="A3628" s="142" t="s">
        <v>13104</v>
      </c>
      <c r="B3628" s="142" t="s">
        <v>14622</v>
      </c>
      <c r="C3628" s="142" t="s">
        <v>15847</v>
      </c>
      <c r="D3628" s="142" t="s">
        <v>15848</v>
      </c>
      <c r="E3628" s="142" t="s">
        <v>15849</v>
      </c>
      <c r="F3628" s="142" t="s">
        <v>11692</v>
      </c>
      <c r="G3628" s="142" t="s">
        <v>11691</v>
      </c>
      <c r="H3628" s="142" t="s">
        <v>19478</v>
      </c>
      <c r="I3628" s="142">
        <v>2458</v>
      </c>
      <c r="J3628" s="142">
        <v>2226</v>
      </c>
      <c r="K3628" s="142">
        <v>0</v>
      </c>
      <c r="L3628" s="142">
        <v>46</v>
      </c>
      <c r="M3628" s="142">
        <v>186</v>
      </c>
    </row>
    <row r="3629" spans="1:13" x14ac:dyDescent="0.45">
      <c r="A3629" s="142" t="s">
        <v>13033</v>
      </c>
      <c r="B3629" s="142" t="s">
        <v>15276</v>
      </c>
      <c r="C3629" s="142" t="s">
        <v>15847</v>
      </c>
      <c r="D3629" s="142" t="s">
        <v>15848</v>
      </c>
      <c r="E3629" s="142" t="s">
        <v>15849</v>
      </c>
      <c r="F3629" s="142" t="s">
        <v>11692</v>
      </c>
      <c r="G3629" s="142" t="s">
        <v>11691</v>
      </c>
      <c r="H3629" s="142" t="s">
        <v>19479</v>
      </c>
      <c r="I3629" s="142">
        <v>27</v>
      </c>
      <c r="J3629" s="142">
        <v>27</v>
      </c>
      <c r="K3629" s="142">
        <v>0</v>
      </c>
      <c r="L3629" s="142">
        <v>0</v>
      </c>
      <c r="M3629" s="142">
        <v>0</v>
      </c>
    </row>
    <row r="3630" spans="1:13" x14ac:dyDescent="0.45">
      <c r="A3630" s="142" t="s">
        <v>13078</v>
      </c>
      <c r="B3630" s="142" t="s">
        <v>15540</v>
      </c>
      <c r="C3630" s="142" t="s">
        <v>15847</v>
      </c>
      <c r="D3630" s="142" t="s">
        <v>15848</v>
      </c>
      <c r="E3630" s="142" t="s">
        <v>15849</v>
      </c>
      <c r="F3630" s="142" t="s">
        <v>11692</v>
      </c>
      <c r="G3630" s="142" t="s">
        <v>11691</v>
      </c>
      <c r="H3630" s="142" t="s">
        <v>19480</v>
      </c>
      <c r="I3630" s="142">
        <v>24</v>
      </c>
      <c r="J3630" s="142">
        <v>0</v>
      </c>
      <c r="K3630" s="142">
        <v>0</v>
      </c>
      <c r="L3630" s="142">
        <v>24</v>
      </c>
      <c r="M3630" s="142">
        <v>0</v>
      </c>
    </row>
    <row r="3631" spans="1:13" x14ac:dyDescent="0.45">
      <c r="A3631" s="142" t="s">
        <v>13011</v>
      </c>
      <c r="B3631" s="142" t="s">
        <v>14695</v>
      </c>
      <c r="C3631" s="142" t="s">
        <v>15847</v>
      </c>
      <c r="D3631" s="142" t="s">
        <v>15848</v>
      </c>
      <c r="E3631" s="142" t="s">
        <v>15849</v>
      </c>
      <c r="F3631" s="142" t="s">
        <v>11692</v>
      </c>
      <c r="G3631" s="142" t="s">
        <v>11691</v>
      </c>
      <c r="H3631" s="142" t="s">
        <v>19481</v>
      </c>
      <c r="I3631" s="142">
        <v>888</v>
      </c>
      <c r="J3631" s="142">
        <v>775</v>
      </c>
      <c r="K3631" s="142">
        <v>0</v>
      </c>
      <c r="L3631" s="142">
        <v>81</v>
      </c>
      <c r="M3631" s="142">
        <v>32</v>
      </c>
    </row>
    <row r="3632" spans="1:13" x14ac:dyDescent="0.45">
      <c r="A3632" s="142" t="s">
        <v>13579</v>
      </c>
      <c r="B3632" s="142" t="s">
        <v>15160</v>
      </c>
      <c r="C3632" s="142" t="s">
        <v>15860</v>
      </c>
      <c r="D3632" s="142" t="s">
        <v>15861</v>
      </c>
      <c r="E3632" s="142" t="s">
        <v>15849</v>
      </c>
      <c r="F3632" s="142" t="s">
        <v>11692</v>
      </c>
      <c r="G3632" s="142" t="s">
        <v>11691</v>
      </c>
      <c r="H3632" s="142" t="s">
        <v>19482</v>
      </c>
      <c r="I3632" s="142">
        <v>8</v>
      </c>
      <c r="J3632" s="142">
        <v>0</v>
      </c>
      <c r="K3632" s="142">
        <v>0</v>
      </c>
      <c r="L3632" s="142">
        <v>8</v>
      </c>
      <c r="M3632" s="142">
        <v>0</v>
      </c>
    </row>
    <row r="3633" spans="1:13" x14ac:dyDescent="0.45">
      <c r="A3633" s="142" t="s">
        <v>13058</v>
      </c>
      <c r="B3633" s="142" t="s">
        <v>14584</v>
      </c>
      <c r="C3633" s="142" t="s">
        <v>15847</v>
      </c>
      <c r="D3633" s="142" t="s">
        <v>15848</v>
      </c>
      <c r="E3633" s="142" t="s">
        <v>15849</v>
      </c>
      <c r="F3633" s="142" t="s">
        <v>11692</v>
      </c>
      <c r="G3633" s="142" t="s">
        <v>11691</v>
      </c>
      <c r="H3633" s="142" t="s">
        <v>19483</v>
      </c>
      <c r="I3633" s="142">
        <v>124</v>
      </c>
      <c r="J3633" s="142">
        <v>118</v>
      </c>
      <c r="K3633" s="142">
        <v>0</v>
      </c>
      <c r="L3633" s="142">
        <v>0</v>
      </c>
      <c r="M3633" s="142">
        <v>6</v>
      </c>
    </row>
    <row r="3634" spans="1:13" x14ac:dyDescent="0.45">
      <c r="A3634" s="142" t="s">
        <v>13442</v>
      </c>
      <c r="B3634" s="142" t="s">
        <v>15606</v>
      </c>
      <c r="C3634" s="142" t="s">
        <v>15860</v>
      </c>
      <c r="D3634" s="142" t="s">
        <v>15861</v>
      </c>
      <c r="E3634" s="142" t="s">
        <v>15849</v>
      </c>
      <c r="F3634" s="142" t="s">
        <v>11692</v>
      </c>
      <c r="G3634" s="142" t="s">
        <v>11691</v>
      </c>
      <c r="H3634" s="142" t="s">
        <v>19484</v>
      </c>
      <c r="I3634" s="142">
        <v>54</v>
      </c>
      <c r="J3634" s="142">
        <v>53</v>
      </c>
      <c r="K3634" s="142">
        <v>0</v>
      </c>
      <c r="L3634" s="142">
        <v>1</v>
      </c>
      <c r="M3634" s="142">
        <v>0</v>
      </c>
    </row>
    <row r="3635" spans="1:13" x14ac:dyDescent="0.45">
      <c r="A3635" s="142" t="s">
        <v>13306</v>
      </c>
      <c r="B3635" s="142" t="s">
        <v>15500</v>
      </c>
      <c r="C3635" s="142" t="s">
        <v>15847</v>
      </c>
      <c r="D3635" s="142" t="s">
        <v>15848</v>
      </c>
      <c r="E3635" s="142" t="s">
        <v>15849</v>
      </c>
      <c r="F3635" s="142" t="s">
        <v>11692</v>
      </c>
      <c r="G3635" s="142" t="s">
        <v>11691</v>
      </c>
      <c r="H3635" s="142" t="s">
        <v>19485</v>
      </c>
      <c r="I3635" s="142">
        <v>12</v>
      </c>
      <c r="J3635" s="142">
        <v>0</v>
      </c>
      <c r="K3635" s="142">
        <v>12</v>
      </c>
      <c r="L3635" s="142">
        <v>0</v>
      </c>
      <c r="M3635" s="142">
        <v>0</v>
      </c>
    </row>
    <row r="3636" spans="1:13" x14ac:dyDescent="0.45">
      <c r="A3636" s="142" t="s">
        <v>13638</v>
      </c>
      <c r="B3636" s="142" t="s">
        <v>15271</v>
      </c>
      <c r="C3636" s="142" t="s">
        <v>15847</v>
      </c>
      <c r="D3636" s="142" t="s">
        <v>15848</v>
      </c>
      <c r="E3636" s="142" t="s">
        <v>15849</v>
      </c>
      <c r="F3636" s="142" t="s">
        <v>11692</v>
      </c>
      <c r="G3636" s="142" t="s">
        <v>11691</v>
      </c>
      <c r="H3636" s="142" t="s">
        <v>19486</v>
      </c>
      <c r="I3636" s="142">
        <v>295</v>
      </c>
      <c r="J3636" s="142">
        <v>295</v>
      </c>
      <c r="K3636" s="142">
        <v>0</v>
      </c>
      <c r="L3636" s="142">
        <v>0</v>
      </c>
      <c r="M3636" s="142">
        <v>0</v>
      </c>
    </row>
    <row r="3637" spans="1:13" x14ac:dyDescent="0.45">
      <c r="A3637" s="142" t="s">
        <v>13014</v>
      </c>
      <c r="B3637" s="142" t="s">
        <v>14505</v>
      </c>
      <c r="C3637" s="142" t="s">
        <v>15847</v>
      </c>
      <c r="D3637" s="142" t="s">
        <v>15848</v>
      </c>
      <c r="E3637" s="142" t="s">
        <v>15849</v>
      </c>
      <c r="F3637" s="142" t="s">
        <v>11692</v>
      </c>
      <c r="G3637" s="142" t="s">
        <v>11691</v>
      </c>
      <c r="H3637" s="142" t="s">
        <v>19487</v>
      </c>
      <c r="I3637" s="142">
        <v>2750</v>
      </c>
      <c r="J3637" s="142">
        <v>2445</v>
      </c>
      <c r="K3637" s="142">
        <v>34</v>
      </c>
      <c r="L3637" s="142">
        <v>147</v>
      </c>
      <c r="M3637" s="142">
        <v>124</v>
      </c>
    </row>
    <row r="3638" spans="1:13" x14ac:dyDescent="0.45">
      <c r="A3638" s="142" t="s">
        <v>13749</v>
      </c>
      <c r="B3638" s="142" t="s">
        <v>14744</v>
      </c>
      <c r="C3638" s="142" t="s">
        <v>15860</v>
      </c>
      <c r="D3638" s="142" t="s">
        <v>15861</v>
      </c>
      <c r="E3638" s="142" t="s">
        <v>15849</v>
      </c>
      <c r="F3638" s="142" t="s">
        <v>11692</v>
      </c>
      <c r="G3638" s="142" t="s">
        <v>11691</v>
      </c>
      <c r="H3638" s="142" t="s">
        <v>19488</v>
      </c>
      <c r="I3638" s="142">
        <v>40</v>
      </c>
      <c r="J3638" s="142">
        <v>40</v>
      </c>
      <c r="K3638" s="142">
        <v>0</v>
      </c>
      <c r="L3638" s="142">
        <v>0</v>
      </c>
      <c r="M3638" s="142">
        <v>0</v>
      </c>
    </row>
    <row r="3639" spans="1:13" x14ac:dyDescent="0.45">
      <c r="A3639" s="142" t="s">
        <v>13042</v>
      </c>
      <c r="B3639" s="142" t="s">
        <v>15489</v>
      </c>
      <c r="C3639" s="142" t="s">
        <v>15847</v>
      </c>
      <c r="D3639" s="142" t="s">
        <v>15848</v>
      </c>
      <c r="E3639" s="142" t="s">
        <v>15849</v>
      </c>
      <c r="F3639" s="142" t="s">
        <v>11692</v>
      </c>
      <c r="G3639" s="142" t="s">
        <v>11691</v>
      </c>
      <c r="H3639" s="142" t="s">
        <v>19489</v>
      </c>
      <c r="I3639" s="142">
        <v>21</v>
      </c>
      <c r="J3639" s="142">
        <v>0</v>
      </c>
      <c r="K3639" s="142">
        <v>0</v>
      </c>
      <c r="L3639" s="142">
        <v>3</v>
      </c>
      <c r="M3639" s="142">
        <v>18</v>
      </c>
    </row>
    <row r="3640" spans="1:13" x14ac:dyDescent="0.45">
      <c r="A3640" s="142" t="s">
        <v>13750</v>
      </c>
      <c r="B3640" s="142" t="s">
        <v>14858</v>
      </c>
      <c r="C3640" s="142" t="s">
        <v>15860</v>
      </c>
      <c r="D3640" s="142" t="s">
        <v>15861</v>
      </c>
      <c r="E3640" s="142" t="s">
        <v>15849</v>
      </c>
      <c r="F3640" s="142" t="s">
        <v>11692</v>
      </c>
      <c r="G3640" s="142" t="s">
        <v>11691</v>
      </c>
      <c r="H3640" s="142" t="s">
        <v>19490</v>
      </c>
      <c r="I3640" s="142">
        <v>257</v>
      </c>
      <c r="J3640" s="142">
        <v>4</v>
      </c>
      <c r="K3640" s="142">
        <v>0</v>
      </c>
      <c r="L3640" s="142">
        <v>253</v>
      </c>
      <c r="M3640" s="142">
        <v>0</v>
      </c>
    </row>
    <row r="3641" spans="1:13" x14ac:dyDescent="0.45">
      <c r="A3641" s="142" t="s">
        <v>13444</v>
      </c>
      <c r="B3641" s="142" t="s">
        <v>15335</v>
      </c>
      <c r="C3641" s="142" t="s">
        <v>15860</v>
      </c>
      <c r="D3641" s="142" t="s">
        <v>15861</v>
      </c>
      <c r="E3641" s="142" t="s">
        <v>15849</v>
      </c>
      <c r="F3641" s="142" t="s">
        <v>11692</v>
      </c>
      <c r="G3641" s="142" t="s">
        <v>11691</v>
      </c>
      <c r="H3641" s="142" t="s">
        <v>19491</v>
      </c>
      <c r="I3641" s="142">
        <v>151</v>
      </c>
      <c r="J3641" s="142">
        <v>151</v>
      </c>
      <c r="K3641" s="142">
        <v>0</v>
      </c>
      <c r="L3641" s="142">
        <v>0</v>
      </c>
      <c r="M3641" s="142">
        <v>0</v>
      </c>
    </row>
    <row r="3642" spans="1:13" x14ac:dyDescent="0.45">
      <c r="A3642" s="142" t="s">
        <v>13640</v>
      </c>
      <c r="B3642" s="142" t="s">
        <v>15570</v>
      </c>
      <c r="C3642" s="142" t="s">
        <v>15847</v>
      </c>
      <c r="D3642" s="142" t="s">
        <v>15848</v>
      </c>
      <c r="E3642" s="142" t="s">
        <v>15849</v>
      </c>
      <c r="F3642" s="142" t="s">
        <v>11692</v>
      </c>
      <c r="G3642" s="142" t="s">
        <v>11691</v>
      </c>
      <c r="H3642" s="142" t="s">
        <v>19492</v>
      </c>
      <c r="I3642" s="142">
        <v>27</v>
      </c>
      <c r="J3642" s="142">
        <v>0</v>
      </c>
      <c r="K3642" s="142">
        <v>0</v>
      </c>
      <c r="L3642" s="142">
        <v>27</v>
      </c>
      <c r="M3642" s="142">
        <v>0</v>
      </c>
    </row>
    <row r="3643" spans="1:13" x14ac:dyDescent="0.45">
      <c r="A3643" s="142" t="s">
        <v>13021</v>
      </c>
      <c r="B3643" s="142" t="s">
        <v>15501</v>
      </c>
      <c r="C3643" s="142" t="s">
        <v>15847</v>
      </c>
      <c r="D3643" s="142" t="s">
        <v>15848</v>
      </c>
      <c r="E3643" s="142" t="s">
        <v>15849</v>
      </c>
      <c r="F3643" s="142" t="s">
        <v>6496</v>
      </c>
      <c r="G3643" s="142" t="s">
        <v>6495</v>
      </c>
      <c r="H3643" s="142" t="s">
        <v>19493</v>
      </c>
      <c r="I3643" s="142">
        <v>21</v>
      </c>
      <c r="J3643" s="142">
        <v>0</v>
      </c>
      <c r="K3643" s="142">
        <v>0</v>
      </c>
      <c r="L3643" s="142">
        <v>19</v>
      </c>
      <c r="M3643" s="142">
        <v>2</v>
      </c>
    </row>
    <row r="3644" spans="1:13" x14ac:dyDescent="0.45">
      <c r="A3644" s="142" t="s">
        <v>13022</v>
      </c>
      <c r="B3644" s="142" t="s">
        <v>14634</v>
      </c>
      <c r="C3644" s="142" t="s">
        <v>15847</v>
      </c>
      <c r="D3644" s="142" t="s">
        <v>15848</v>
      </c>
      <c r="E3644" s="142" t="s">
        <v>15849</v>
      </c>
      <c r="F3644" s="142" t="s">
        <v>6496</v>
      </c>
      <c r="G3644" s="142" t="s">
        <v>6495</v>
      </c>
      <c r="H3644" s="142" t="s">
        <v>19494</v>
      </c>
      <c r="I3644" s="142">
        <v>294</v>
      </c>
      <c r="J3644" s="142">
        <v>166</v>
      </c>
      <c r="K3644" s="142">
        <v>0</v>
      </c>
      <c r="L3644" s="142">
        <v>0</v>
      </c>
      <c r="M3644" s="142">
        <v>128</v>
      </c>
    </row>
    <row r="3645" spans="1:13" x14ac:dyDescent="0.45">
      <c r="A3645" s="142" t="s">
        <v>13119</v>
      </c>
      <c r="B3645" s="142" t="s">
        <v>14451</v>
      </c>
      <c r="C3645" s="142" t="s">
        <v>15860</v>
      </c>
      <c r="D3645" s="142" t="s">
        <v>15861</v>
      </c>
      <c r="E3645" s="142" t="s">
        <v>15849</v>
      </c>
      <c r="F3645" s="142" t="s">
        <v>6496</v>
      </c>
      <c r="G3645" s="142" t="s">
        <v>6495</v>
      </c>
      <c r="H3645" s="142" t="s">
        <v>19495</v>
      </c>
      <c r="I3645" s="142">
        <v>4</v>
      </c>
      <c r="J3645" s="142">
        <v>0</v>
      </c>
      <c r="K3645" s="142">
        <v>0</v>
      </c>
      <c r="L3645" s="142">
        <v>4</v>
      </c>
      <c r="M3645" s="142">
        <v>0</v>
      </c>
    </row>
    <row r="3646" spans="1:13" x14ac:dyDescent="0.45">
      <c r="A3646" s="142" t="s">
        <v>13024</v>
      </c>
      <c r="B3646" s="142" t="s">
        <v>14538</v>
      </c>
      <c r="C3646" s="142" t="s">
        <v>15847</v>
      </c>
      <c r="D3646" s="142" t="s">
        <v>15848</v>
      </c>
      <c r="E3646" s="142" t="s">
        <v>15849</v>
      </c>
      <c r="F3646" s="142" t="s">
        <v>6496</v>
      </c>
      <c r="G3646" s="142" t="s">
        <v>6495</v>
      </c>
      <c r="H3646" s="142" t="s">
        <v>19496</v>
      </c>
      <c r="I3646" s="142">
        <v>775</v>
      </c>
      <c r="J3646" s="142">
        <v>441</v>
      </c>
      <c r="K3646" s="142">
        <v>0</v>
      </c>
      <c r="L3646" s="142">
        <v>77</v>
      </c>
      <c r="M3646" s="142">
        <v>257</v>
      </c>
    </row>
    <row r="3647" spans="1:13" x14ac:dyDescent="0.45">
      <c r="A3647" s="142" t="s">
        <v>13025</v>
      </c>
      <c r="B3647" s="142" t="s">
        <v>15579</v>
      </c>
      <c r="C3647" s="142" t="s">
        <v>15847</v>
      </c>
      <c r="D3647" s="142" t="s">
        <v>15848</v>
      </c>
      <c r="E3647" s="142" t="s">
        <v>15849</v>
      </c>
      <c r="F3647" s="142" t="s">
        <v>6496</v>
      </c>
      <c r="G3647" s="142" t="s">
        <v>6495</v>
      </c>
      <c r="H3647" s="142" t="s">
        <v>19497</v>
      </c>
      <c r="I3647" s="142">
        <v>5</v>
      </c>
      <c r="J3647" s="142">
        <v>0</v>
      </c>
      <c r="K3647" s="142">
        <v>0</v>
      </c>
      <c r="L3647" s="142">
        <v>5</v>
      </c>
      <c r="M3647" s="142">
        <v>0</v>
      </c>
    </row>
    <row r="3648" spans="1:13" x14ac:dyDescent="0.45">
      <c r="A3648" s="142" t="s">
        <v>13271</v>
      </c>
      <c r="B3648" s="142" t="s">
        <v>15470</v>
      </c>
      <c r="C3648" s="142" t="s">
        <v>15847</v>
      </c>
      <c r="D3648" s="142" t="s">
        <v>15848</v>
      </c>
      <c r="E3648" s="142" t="s">
        <v>15849</v>
      </c>
      <c r="F3648" s="142" t="s">
        <v>6496</v>
      </c>
      <c r="G3648" s="142" t="s">
        <v>6495</v>
      </c>
      <c r="H3648" s="142" t="s">
        <v>19498</v>
      </c>
      <c r="I3648" s="142">
        <v>26</v>
      </c>
      <c r="J3648" s="142">
        <v>15</v>
      </c>
      <c r="K3648" s="142">
        <v>0</v>
      </c>
      <c r="L3648" s="142">
        <v>0</v>
      </c>
      <c r="M3648" s="142">
        <v>11</v>
      </c>
    </row>
    <row r="3649" spans="1:13" x14ac:dyDescent="0.45">
      <c r="A3649" s="142" t="s">
        <v>13027</v>
      </c>
      <c r="B3649" s="142" t="s">
        <v>14562</v>
      </c>
      <c r="C3649" s="142" t="s">
        <v>15847</v>
      </c>
      <c r="D3649" s="142" t="s">
        <v>15848</v>
      </c>
      <c r="E3649" s="142" t="s">
        <v>15849</v>
      </c>
      <c r="F3649" s="142" t="s">
        <v>6496</v>
      </c>
      <c r="G3649" s="142" t="s">
        <v>6495</v>
      </c>
      <c r="H3649" s="142" t="s">
        <v>19499</v>
      </c>
      <c r="I3649" s="142">
        <v>3</v>
      </c>
      <c r="J3649" s="142">
        <v>0</v>
      </c>
      <c r="K3649" s="142">
        <v>0</v>
      </c>
      <c r="L3649" s="142">
        <v>3</v>
      </c>
      <c r="M3649" s="142">
        <v>0</v>
      </c>
    </row>
    <row r="3650" spans="1:13" x14ac:dyDescent="0.45">
      <c r="A3650" s="142" t="s">
        <v>13028</v>
      </c>
      <c r="B3650" s="142" t="s">
        <v>14462</v>
      </c>
      <c r="C3650" s="142" t="s">
        <v>15847</v>
      </c>
      <c r="D3650" s="142" t="s">
        <v>15848</v>
      </c>
      <c r="E3650" s="142" t="s">
        <v>15849</v>
      </c>
      <c r="F3650" s="142" t="s">
        <v>6496</v>
      </c>
      <c r="G3650" s="142" t="s">
        <v>6495</v>
      </c>
      <c r="H3650" s="142" t="s">
        <v>19500</v>
      </c>
      <c r="I3650" s="142">
        <v>22</v>
      </c>
      <c r="J3650" s="142">
        <v>0</v>
      </c>
      <c r="K3650" s="142">
        <v>0</v>
      </c>
      <c r="L3650" s="142">
        <v>0</v>
      </c>
      <c r="M3650" s="142">
        <v>22</v>
      </c>
    </row>
    <row r="3651" spans="1:13" x14ac:dyDescent="0.45">
      <c r="A3651" s="142" t="s">
        <v>13190</v>
      </c>
      <c r="B3651" s="142" t="s">
        <v>14617</v>
      </c>
      <c r="C3651" s="142" t="s">
        <v>15847</v>
      </c>
      <c r="D3651" s="142" t="s">
        <v>15848</v>
      </c>
      <c r="E3651" s="142" t="s">
        <v>15849</v>
      </c>
      <c r="F3651" s="142" t="s">
        <v>6496</v>
      </c>
      <c r="G3651" s="142" t="s">
        <v>6495</v>
      </c>
      <c r="H3651" s="142" t="s">
        <v>19501</v>
      </c>
      <c r="I3651" s="142">
        <v>1</v>
      </c>
      <c r="J3651" s="142">
        <v>0</v>
      </c>
      <c r="K3651" s="142">
        <v>0</v>
      </c>
      <c r="L3651" s="142">
        <v>0</v>
      </c>
      <c r="M3651" s="142">
        <v>1</v>
      </c>
    </row>
    <row r="3652" spans="1:13" x14ac:dyDescent="0.45">
      <c r="A3652" s="142" t="s">
        <v>13248</v>
      </c>
      <c r="B3652" s="142" t="s">
        <v>15463</v>
      </c>
      <c r="C3652" s="142" t="s">
        <v>15847</v>
      </c>
      <c r="D3652" s="142" t="s">
        <v>15848</v>
      </c>
      <c r="E3652" s="142" t="s">
        <v>15849</v>
      </c>
      <c r="F3652" s="142" t="s">
        <v>6496</v>
      </c>
      <c r="G3652" s="142" t="s">
        <v>6495</v>
      </c>
      <c r="H3652" s="142" t="s">
        <v>19502</v>
      </c>
      <c r="I3652" s="142">
        <v>294</v>
      </c>
      <c r="J3652" s="142">
        <v>194</v>
      </c>
      <c r="K3652" s="142">
        <v>0</v>
      </c>
      <c r="L3652" s="142">
        <v>0</v>
      </c>
      <c r="M3652" s="142">
        <v>100</v>
      </c>
    </row>
    <row r="3653" spans="1:13" x14ac:dyDescent="0.45">
      <c r="A3653" s="142" t="s">
        <v>13030</v>
      </c>
      <c r="B3653" s="142" t="s">
        <v>14572</v>
      </c>
      <c r="C3653" s="142" t="s">
        <v>15847</v>
      </c>
      <c r="D3653" s="142" t="s">
        <v>15848</v>
      </c>
      <c r="E3653" s="142" t="s">
        <v>15849</v>
      </c>
      <c r="F3653" s="142" t="s">
        <v>6496</v>
      </c>
      <c r="G3653" s="142" t="s">
        <v>6495</v>
      </c>
      <c r="H3653" s="142" t="s">
        <v>19503</v>
      </c>
      <c r="I3653" s="142">
        <v>90</v>
      </c>
      <c r="J3653" s="142">
        <v>38</v>
      </c>
      <c r="K3653" s="142">
        <v>0</v>
      </c>
      <c r="L3653" s="142">
        <v>20</v>
      </c>
      <c r="M3653" s="142">
        <v>32</v>
      </c>
    </row>
    <row r="3654" spans="1:13" x14ac:dyDescent="0.45">
      <c r="A3654" s="142" t="s">
        <v>13077</v>
      </c>
      <c r="B3654" s="142" t="s">
        <v>15407</v>
      </c>
      <c r="C3654" s="142" t="s">
        <v>15847</v>
      </c>
      <c r="D3654" s="142" t="s">
        <v>15848</v>
      </c>
      <c r="E3654" s="142" t="s">
        <v>15849</v>
      </c>
      <c r="F3654" s="142" t="s">
        <v>6496</v>
      </c>
      <c r="G3654" s="142" t="s">
        <v>6495</v>
      </c>
      <c r="H3654" s="142" t="s">
        <v>19504</v>
      </c>
      <c r="I3654" s="142">
        <v>21</v>
      </c>
      <c r="J3654" s="142">
        <v>21</v>
      </c>
      <c r="K3654" s="142">
        <v>0</v>
      </c>
      <c r="L3654" s="142">
        <v>0</v>
      </c>
      <c r="M3654" s="142">
        <v>0</v>
      </c>
    </row>
    <row r="3655" spans="1:13" x14ac:dyDescent="0.45">
      <c r="A3655" s="142" t="s">
        <v>13055</v>
      </c>
      <c r="B3655" s="142" t="s">
        <v>14595</v>
      </c>
      <c r="C3655" s="142" t="s">
        <v>15847</v>
      </c>
      <c r="D3655" s="142" t="s">
        <v>15848</v>
      </c>
      <c r="E3655" s="142" t="s">
        <v>15849</v>
      </c>
      <c r="F3655" s="142" t="s">
        <v>6496</v>
      </c>
      <c r="G3655" s="142" t="s">
        <v>6495</v>
      </c>
      <c r="H3655" s="142" t="s">
        <v>19505</v>
      </c>
      <c r="I3655" s="142">
        <v>194</v>
      </c>
      <c r="J3655" s="142">
        <v>145</v>
      </c>
      <c r="K3655" s="142">
        <v>0</v>
      </c>
      <c r="L3655" s="142">
        <v>0</v>
      </c>
      <c r="M3655" s="142">
        <v>49</v>
      </c>
    </row>
    <row r="3656" spans="1:13" x14ac:dyDescent="0.45">
      <c r="A3656" s="142" t="s">
        <v>13034</v>
      </c>
      <c r="B3656" s="142" t="s">
        <v>15562</v>
      </c>
      <c r="C3656" s="142" t="s">
        <v>15847</v>
      </c>
      <c r="D3656" s="142" t="s">
        <v>15848</v>
      </c>
      <c r="E3656" s="142" t="s">
        <v>15849</v>
      </c>
      <c r="F3656" s="142" t="s">
        <v>6496</v>
      </c>
      <c r="G3656" s="142" t="s">
        <v>6495</v>
      </c>
      <c r="H3656" s="142" t="s">
        <v>19506</v>
      </c>
      <c r="I3656" s="142">
        <v>47</v>
      </c>
      <c r="J3656" s="142">
        <v>45</v>
      </c>
      <c r="K3656" s="142">
        <v>0</v>
      </c>
      <c r="L3656" s="142">
        <v>0</v>
      </c>
      <c r="M3656" s="142">
        <v>2</v>
      </c>
    </row>
    <row r="3657" spans="1:13" x14ac:dyDescent="0.45">
      <c r="A3657" s="142" t="s">
        <v>13035</v>
      </c>
      <c r="B3657" s="142" t="s">
        <v>14648</v>
      </c>
      <c r="C3657" s="142" t="s">
        <v>15847</v>
      </c>
      <c r="D3657" s="142" t="s">
        <v>15848</v>
      </c>
      <c r="E3657" s="142" t="s">
        <v>15849</v>
      </c>
      <c r="F3657" s="142" t="s">
        <v>6496</v>
      </c>
      <c r="G3657" s="142" t="s">
        <v>6495</v>
      </c>
      <c r="H3657" s="142" t="s">
        <v>19507</v>
      </c>
      <c r="I3657" s="142">
        <v>2648</v>
      </c>
      <c r="J3657" s="142">
        <v>2171</v>
      </c>
      <c r="K3657" s="142">
        <v>0</v>
      </c>
      <c r="L3657" s="142">
        <v>243</v>
      </c>
      <c r="M3657" s="142">
        <v>234</v>
      </c>
    </row>
    <row r="3658" spans="1:13" x14ac:dyDescent="0.45">
      <c r="A3658" s="142" t="s">
        <v>13038</v>
      </c>
      <c r="B3658" s="142" t="s">
        <v>14646</v>
      </c>
      <c r="C3658" s="142" t="s">
        <v>15847</v>
      </c>
      <c r="D3658" s="142" t="s">
        <v>15848</v>
      </c>
      <c r="E3658" s="142" t="s">
        <v>15849</v>
      </c>
      <c r="F3658" s="142" t="s">
        <v>6496</v>
      </c>
      <c r="G3658" s="142" t="s">
        <v>6495</v>
      </c>
      <c r="H3658" s="142" t="s">
        <v>19508</v>
      </c>
      <c r="I3658" s="142">
        <v>91</v>
      </c>
      <c r="J3658" s="142">
        <v>49</v>
      </c>
      <c r="K3658" s="142">
        <v>0</v>
      </c>
      <c r="L3658" s="142">
        <v>0</v>
      </c>
      <c r="M3658" s="142">
        <v>42</v>
      </c>
    </row>
    <row r="3659" spans="1:13" x14ac:dyDescent="0.45">
      <c r="A3659" s="142" t="s">
        <v>13039</v>
      </c>
      <c r="B3659" s="142" t="s">
        <v>14647</v>
      </c>
      <c r="C3659" s="142" t="s">
        <v>15847</v>
      </c>
      <c r="D3659" s="142" t="s">
        <v>15848</v>
      </c>
      <c r="E3659" s="142" t="s">
        <v>15849</v>
      </c>
      <c r="F3659" s="142" t="s">
        <v>6496</v>
      </c>
      <c r="G3659" s="142" t="s">
        <v>6495</v>
      </c>
      <c r="H3659" s="142" t="s">
        <v>19509</v>
      </c>
      <c r="I3659" s="142">
        <v>120</v>
      </c>
      <c r="J3659" s="142">
        <v>120</v>
      </c>
      <c r="K3659" s="142">
        <v>0</v>
      </c>
      <c r="L3659" s="142">
        <v>0</v>
      </c>
      <c r="M3659" s="142">
        <v>0</v>
      </c>
    </row>
    <row r="3660" spans="1:13" x14ac:dyDescent="0.45">
      <c r="A3660" s="142" t="s">
        <v>13041</v>
      </c>
      <c r="B3660" s="142" t="s">
        <v>14441</v>
      </c>
      <c r="C3660" s="142" t="s">
        <v>15847</v>
      </c>
      <c r="D3660" s="142" t="s">
        <v>15848</v>
      </c>
      <c r="E3660" s="142" t="s">
        <v>15849</v>
      </c>
      <c r="F3660" s="142" t="s">
        <v>6496</v>
      </c>
      <c r="G3660" s="142" t="s">
        <v>6495</v>
      </c>
      <c r="H3660" s="142" t="s">
        <v>19510</v>
      </c>
      <c r="I3660" s="142">
        <v>82</v>
      </c>
      <c r="J3660" s="142">
        <v>0</v>
      </c>
      <c r="K3660" s="142">
        <v>0</v>
      </c>
      <c r="L3660" s="142">
        <v>0</v>
      </c>
      <c r="M3660" s="142">
        <v>82</v>
      </c>
    </row>
    <row r="3661" spans="1:13" x14ac:dyDescent="0.45">
      <c r="A3661" s="142" t="s">
        <v>13012</v>
      </c>
      <c r="B3661" s="142" t="s">
        <v>15337</v>
      </c>
      <c r="C3661" s="142" t="s">
        <v>15847</v>
      </c>
      <c r="D3661" s="142" t="s">
        <v>15848</v>
      </c>
      <c r="E3661" s="142" t="s">
        <v>15849</v>
      </c>
      <c r="F3661" s="142" t="s">
        <v>6496</v>
      </c>
      <c r="G3661" s="142" t="s">
        <v>6495</v>
      </c>
      <c r="H3661" s="142" t="s">
        <v>19511</v>
      </c>
      <c r="I3661" s="142">
        <v>116</v>
      </c>
      <c r="J3661" s="142">
        <v>70</v>
      </c>
      <c r="K3661" s="142">
        <v>0</v>
      </c>
      <c r="L3661" s="142">
        <v>0</v>
      </c>
      <c r="M3661" s="142">
        <v>46</v>
      </c>
    </row>
    <row r="3662" spans="1:13" x14ac:dyDescent="0.45">
      <c r="A3662" s="142" t="s">
        <v>13014</v>
      </c>
      <c r="B3662" s="142" t="s">
        <v>14505</v>
      </c>
      <c r="C3662" s="142" t="s">
        <v>15847</v>
      </c>
      <c r="D3662" s="142" t="s">
        <v>15848</v>
      </c>
      <c r="E3662" s="142" t="s">
        <v>15849</v>
      </c>
      <c r="F3662" s="142" t="s">
        <v>6496</v>
      </c>
      <c r="G3662" s="142" t="s">
        <v>6495</v>
      </c>
      <c r="H3662" s="142" t="s">
        <v>19512</v>
      </c>
      <c r="I3662" s="142">
        <v>5</v>
      </c>
      <c r="J3662" s="142">
        <v>0</v>
      </c>
      <c r="K3662" s="142">
        <v>0</v>
      </c>
      <c r="L3662" s="142">
        <v>0</v>
      </c>
      <c r="M3662" s="142">
        <v>5</v>
      </c>
    </row>
    <row r="3663" spans="1:13" x14ac:dyDescent="0.45">
      <c r="A3663" s="142" t="s">
        <v>13042</v>
      </c>
      <c r="B3663" s="142" t="s">
        <v>15489</v>
      </c>
      <c r="C3663" s="142" t="s">
        <v>15847</v>
      </c>
      <c r="D3663" s="142" t="s">
        <v>15848</v>
      </c>
      <c r="E3663" s="142" t="s">
        <v>15849</v>
      </c>
      <c r="F3663" s="142" t="s">
        <v>6496</v>
      </c>
      <c r="G3663" s="142" t="s">
        <v>6495</v>
      </c>
      <c r="H3663" s="142" t="s">
        <v>19513</v>
      </c>
      <c r="I3663" s="142">
        <v>130</v>
      </c>
      <c r="J3663" s="142">
        <v>78</v>
      </c>
      <c r="K3663" s="142">
        <v>0</v>
      </c>
      <c r="L3663" s="142">
        <v>10</v>
      </c>
      <c r="M3663" s="142">
        <v>42</v>
      </c>
    </row>
    <row r="3664" spans="1:13" x14ac:dyDescent="0.45">
      <c r="A3664" s="142" t="s">
        <v>13222</v>
      </c>
      <c r="B3664" s="142" t="s">
        <v>14449</v>
      </c>
      <c r="C3664" s="142" t="s">
        <v>15860</v>
      </c>
      <c r="D3664" s="142" t="s">
        <v>15861</v>
      </c>
      <c r="E3664" s="142" t="s">
        <v>15849</v>
      </c>
      <c r="F3664" s="142" t="s">
        <v>6496</v>
      </c>
      <c r="G3664" s="142" t="s">
        <v>6495</v>
      </c>
      <c r="H3664" s="142" t="s">
        <v>19514</v>
      </c>
      <c r="I3664" s="142">
        <v>8</v>
      </c>
      <c r="J3664" s="142">
        <v>0</v>
      </c>
      <c r="K3664" s="142">
        <v>0</v>
      </c>
      <c r="L3664" s="142">
        <v>8</v>
      </c>
      <c r="M3664" s="142">
        <v>0</v>
      </c>
    </row>
    <row r="3665" spans="1:13" x14ac:dyDescent="0.45">
      <c r="A3665" s="142" t="s">
        <v>13207</v>
      </c>
      <c r="B3665" s="142" t="s">
        <v>15558</v>
      </c>
      <c r="C3665" s="142" t="s">
        <v>15847</v>
      </c>
      <c r="D3665" s="142" t="s">
        <v>15848</v>
      </c>
      <c r="E3665" s="142" t="s">
        <v>15849</v>
      </c>
      <c r="F3665" s="142" t="s">
        <v>6496</v>
      </c>
      <c r="G3665" s="142" t="s">
        <v>6495</v>
      </c>
      <c r="H3665" s="142" t="s">
        <v>19515</v>
      </c>
      <c r="I3665" s="142">
        <v>1</v>
      </c>
      <c r="J3665" s="142">
        <v>0</v>
      </c>
      <c r="K3665" s="142">
        <v>0</v>
      </c>
      <c r="L3665" s="142">
        <v>0</v>
      </c>
      <c r="M3665" s="142">
        <v>1</v>
      </c>
    </row>
    <row r="3666" spans="1:13" x14ac:dyDescent="0.45">
      <c r="A3666" s="142" t="s">
        <v>13111</v>
      </c>
      <c r="B3666" s="142" t="s">
        <v>15546</v>
      </c>
      <c r="C3666" s="142" t="s">
        <v>15860</v>
      </c>
      <c r="D3666" s="142" t="s">
        <v>15861</v>
      </c>
      <c r="E3666" s="142" t="s">
        <v>15849</v>
      </c>
      <c r="F3666" s="142" t="s">
        <v>11734</v>
      </c>
      <c r="G3666" s="142" t="s">
        <v>11733</v>
      </c>
      <c r="H3666" s="142" t="s">
        <v>19516</v>
      </c>
      <c r="I3666" s="142">
        <v>21</v>
      </c>
      <c r="J3666" s="142">
        <v>21</v>
      </c>
      <c r="K3666" s="142">
        <v>0</v>
      </c>
      <c r="L3666" s="142">
        <v>0</v>
      </c>
      <c r="M3666" s="142">
        <v>0</v>
      </c>
    </row>
    <row r="3667" spans="1:13" x14ac:dyDescent="0.45">
      <c r="A3667" s="142" t="s">
        <v>13023</v>
      </c>
      <c r="B3667" s="142" t="s">
        <v>15571</v>
      </c>
      <c r="C3667" s="142" t="s">
        <v>15847</v>
      </c>
      <c r="D3667" s="142" t="s">
        <v>15848</v>
      </c>
      <c r="E3667" s="142" t="s">
        <v>15849</v>
      </c>
      <c r="F3667" s="142" t="s">
        <v>11734</v>
      </c>
      <c r="G3667" s="142" t="s">
        <v>11733</v>
      </c>
      <c r="H3667" s="142" t="s">
        <v>19517</v>
      </c>
      <c r="I3667" s="142">
        <v>105</v>
      </c>
      <c r="J3667" s="142">
        <v>8</v>
      </c>
      <c r="K3667" s="142">
        <v>0</v>
      </c>
      <c r="L3667" s="142">
        <v>84</v>
      </c>
      <c r="M3667" s="142">
        <v>13</v>
      </c>
    </row>
    <row r="3668" spans="1:13" x14ac:dyDescent="0.45">
      <c r="A3668" s="142" t="s">
        <v>13112</v>
      </c>
      <c r="B3668" s="142" t="s">
        <v>15552</v>
      </c>
      <c r="C3668" s="142" t="s">
        <v>15860</v>
      </c>
      <c r="D3668" s="142" t="s">
        <v>15861</v>
      </c>
      <c r="E3668" s="142" t="s">
        <v>15849</v>
      </c>
      <c r="F3668" s="142" t="s">
        <v>11734</v>
      </c>
      <c r="G3668" s="142" t="s">
        <v>11733</v>
      </c>
      <c r="H3668" s="142" t="s">
        <v>19518</v>
      </c>
      <c r="I3668" s="142">
        <v>92</v>
      </c>
      <c r="J3668" s="142">
        <v>92</v>
      </c>
      <c r="K3668" s="142">
        <v>0</v>
      </c>
      <c r="L3668" s="142">
        <v>0</v>
      </c>
      <c r="M3668" s="142">
        <v>0</v>
      </c>
    </row>
    <row r="3669" spans="1:13" x14ac:dyDescent="0.45">
      <c r="A3669" s="142" t="s">
        <v>13433</v>
      </c>
      <c r="B3669" s="142" t="s">
        <v>15167</v>
      </c>
      <c r="C3669" s="142" t="s">
        <v>15847</v>
      </c>
      <c r="D3669" s="142" t="s">
        <v>15848</v>
      </c>
      <c r="E3669" s="142" t="s">
        <v>15849</v>
      </c>
      <c r="F3669" s="142" t="s">
        <v>11734</v>
      </c>
      <c r="G3669" s="142" t="s">
        <v>11733</v>
      </c>
      <c r="H3669" s="142" t="s">
        <v>19519</v>
      </c>
      <c r="I3669" s="142">
        <v>46</v>
      </c>
      <c r="J3669" s="142">
        <v>41</v>
      </c>
      <c r="K3669" s="142">
        <v>0</v>
      </c>
      <c r="L3669" s="142">
        <v>5</v>
      </c>
      <c r="M3669" s="142">
        <v>0</v>
      </c>
    </row>
    <row r="3670" spans="1:13" x14ac:dyDescent="0.45">
      <c r="A3670" s="142" t="s">
        <v>13116</v>
      </c>
      <c r="B3670" s="142" t="s">
        <v>15510</v>
      </c>
      <c r="C3670" s="142" t="s">
        <v>15847</v>
      </c>
      <c r="D3670" s="142" t="s">
        <v>15848</v>
      </c>
      <c r="E3670" s="142" t="s">
        <v>15849</v>
      </c>
      <c r="F3670" s="142" t="s">
        <v>11734</v>
      </c>
      <c r="G3670" s="142" t="s">
        <v>11733</v>
      </c>
      <c r="H3670" s="142" t="s">
        <v>19520</v>
      </c>
      <c r="I3670" s="142">
        <v>144</v>
      </c>
      <c r="J3670" s="142">
        <v>100</v>
      </c>
      <c r="K3670" s="142">
        <v>0</v>
      </c>
      <c r="L3670" s="142">
        <v>44</v>
      </c>
      <c r="M3670" s="142">
        <v>0</v>
      </c>
    </row>
    <row r="3671" spans="1:13" x14ac:dyDescent="0.45">
      <c r="A3671" s="142" t="s">
        <v>13000</v>
      </c>
      <c r="B3671" s="142" t="s">
        <v>14610</v>
      </c>
      <c r="C3671" s="142" t="s">
        <v>15847</v>
      </c>
      <c r="D3671" s="142" t="s">
        <v>15848</v>
      </c>
      <c r="E3671" s="142" t="s">
        <v>15849</v>
      </c>
      <c r="F3671" s="142" t="s">
        <v>11734</v>
      </c>
      <c r="G3671" s="142" t="s">
        <v>11733</v>
      </c>
      <c r="H3671" s="142" t="s">
        <v>19521</v>
      </c>
      <c r="I3671" s="142">
        <v>1718</v>
      </c>
      <c r="J3671" s="142">
        <v>1420</v>
      </c>
      <c r="K3671" s="142">
        <v>34</v>
      </c>
      <c r="L3671" s="142">
        <v>94</v>
      </c>
      <c r="M3671" s="142">
        <v>170</v>
      </c>
    </row>
    <row r="3672" spans="1:13" x14ac:dyDescent="0.45">
      <c r="A3672" s="142" t="s">
        <v>13632</v>
      </c>
      <c r="B3672" s="142" t="s">
        <v>15080</v>
      </c>
      <c r="C3672" s="142" t="s">
        <v>15860</v>
      </c>
      <c r="D3672" s="142" t="s">
        <v>15861</v>
      </c>
      <c r="E3672" s="142" t="s">
        <v>15849</v>
      </c>
      <c r="F3672" s="142" t="s">
        <v>11734</v>
      </c>
      <c r="G3672" s="142" t="s">
        <v>11733</v>
      </c>
      <c r="H3672" s="142" t="s">
        <v>19522</v>
      </c>
      <c r="I3672" s="142">
        <v>9</v>
      </c>
      <c r="J3672" s="142">
        <v>9</v>
      </c>
      <c r="K3672" s="142">
        <v>0</v>
      </c>
      <c r="L3672" s="142">
        <v>0</v>
      </c>
      <c r="M3672" s="142">
        <v>0</v>
      </c>
    </row>
    <row r="3673" spans="1:13" x14ac:dyDescent="0.45">
      <c r="A3673" s="142" t="s">
        <v>13574</v>
      </c>
      <c r="B3673" s="142" t="s">
        <v>14553</v>
      </c>
      <c r="C3673" s="142" t="s">
        <v>15860</v>
      </c>
      <c r="D3673" s="142" t="s">
        <v>15861</v>
      </c>
      <c r="E3673" s="142" t="s">
        <v>15849</v>
      </c>
      <c r="F3673" s="142" t="s">
        <v>11734</v>
      </c>
      <c r="G3673" s="142" t="s">
        <v>11733</v>
      </c>
      <c r="H3673" s="142" t="s">
        <v>19523</v>
      </c>
      <c r="I3673" s="142">
        <v>33</v>
      </c>
      <c r="J3673" s="142">
        <v>0</v>
      </c>
      <c r="K3673" s="142">
        <v>0</v>
      </c>
      <c r="L3673" s="142">
        <v>33</v>
      </c>
      <c r="M3673" s="142">
        <v>0</v>
      </c>
    </row>
    <row r="3674" spans="1:13" x14ac:dyDescent="0.45">
      <c r="A3674" s="142" t="s">
        <v>13120</v>
      </c>
      <c r="B3674" s="142" t="s">
        <v>14549</v>
      </c>
      <c r="C3674" s="142" t="s">
        <v>15860</v>
      </c>
      <c r="D3674" s="142" t="s">
        <v>15861</v>
      </c>
      <c r="E3674" s="142" t="s">
        <v>15849</v>
      </c>
      <c r="F3674" s="142" t="s">
        <v>11734</v>
      </c>
      <c r="G3674" s="142" t="s">
        <v>11733</v>
      </c>
      <c r="H3674" s="142" t="s">
        <v>19524</v>
      </c>
      <c r="I3674" s="142">
        <v>6</v>
      </c>
      <c r="J3674" s="142">
        <v>6</v>
      </c>
      <c r="K3674" s="142">
        <v>0</v>
      </c>
      <c r="L3674" s="142">
        <v>0</v>
      </c>
      <c r="M3674" s="142">
        <v>0</v>
      </c>
    </row>
    <row r="3675" spans="1:13" x14ac:dyDescent="0.45">
      <c r="A3675" s="142" t="s">
        <v>13027</v>
      </c>
      <c r="B3675" s="142" t="s">
        <v>14562</v>
      </c>
      <c r="C3675" s="142" t="s">
        <v>15847</v>
      </c>
      <c r="D3675" s="142" t="s">
        <v>15848</v>
      </c>
      <c r="E3675" s="142" t="s">
        <v>15849</v>
      </c>
      <c r="F3675" s="142" t="s">
        <v>11734</v>
      </c>
      <c r="G3675" s="142" t="s">
        <v>11733</v>
      </c>
      <c r="H3675" s="142" t="s">
        <v>19525</v>
      </c>
      <c r="I3675" s="142">
        <v>14</v>
      </c>
      <c r="J3675" s="142">
        <v>0</v>
      </c>
      <c r="K3675" s="142">
        <v>0</v>
      </c>
      <c r="L3675" s="142">
        <v>14</v>
      </c>
      <c r="M3675" s="142">
        <v>0</v>
      </c>
    </row>
    <row r="3676" spans="1:13" x14ac:dyDescent="0.45">
      <c r="A3676" s="142" t="s">
        <v>13752</v>
      </c>
      <c r="B3676" s="142" t="s">
        <v>14517</v>
      </c>
      <c r="C3676" s="142" t="s">
        <v>15847</v>
      </c>
      <c r="D3676" s="142" t="s">
        <v>15848</v>
      </c>
      <c r="E3676" s="142" t="s">
        <v>15849</v>
      </c>
      <c r="F3676" s="142" t="s">
        <v>11734</v>
      </c>
      <c r="G3676" s="142" t="s">
        <v>11733</v>
      </c>
      <c r="H3676" s="142" t="s">
        <v>19526</v>
      </c>
      <c r="I3676" s="142">
        <v>59</v>
      </c>
      <c r="J3676" s="142">
        <v>59</v>
      </c>
      <c r="K3676" s="142">
        <v>0</v>
      </c>
      <c r="L3676" s="142">
        <v>0</v>
      </c>
      <c r="M3676" s="142">
        <v>0</v>
      </c>
    </row>
    <row r="3677" spans="1:13" x14ac:dyDescent="0.45">
      <c r="A3677" s="142" t="s">
        <v>13001</v>
      </c>
      <c r="B3677" s="142" t="s">
        <v>15506</v>
      </c>
      <c r="C3677" s="142" t="s">
        <v>15847</v>
      </c>
      <c r="D3677" s="142" t="s">
        <v>15848</v>
      </c>
      <c r="E3677" s="142" t="s">
        <v>15849</v>
      </c>
      <c r="F3677" s="142" t="s">
        <v>11734</v>
      </c>
      <c r="G3677" s="142" t="s">
        <v>11733</v>
      </c>
      <c r="H3677" s="142" t="s">
        <v>19527</v>
      </c>
      <c r="I3677" s="142">
        <v>75</v>
      </c>
      <c r="J3677" s="142">
        <v>75</v>
      </c>
      <c r="K3677" s="142">
        <v>0</v>
      </c>
      <c r="L3677" s="142">
        <v>0</v>
      </c>
      <c r="M3677" s="142">
        <v>0</v>
      </c>
    </row>
    <row r="3678" spans="1:13" x14ac:dyDescent="0.45">
      <c r="A3678" s="142" t="s">
        <v>13123</v>
      </c>
      <c r="B3678" s="142" t="s">
        <v>15521</v>
      </c>
      <c r="C3678" s="142" t="s">
        <v>15860</v>
      </c>
      <c r="D3678" s="142" t="s">
        <v>15861</v>
      </c>
      <c r="E3678" s="142" t="s">
        <v>15849</v>
      </c>
      <c r="F3678" s="142" t="s">
        <v>11734</v>
      </c>
      <c r="G3678" s="142" t="s">
        <v>11733</v>
      </c>
      <c r="H3678" s="142" t="s">
        <v>19528</v>
      </c>
      <c r="I3678" s="142">
        <v>65</v>
      </c>
      <c r="J3678" s="142">
        <v>0</v>
      </c>
      <c r="K3678" s="142">
        <v>0</v>
      </c>
      <c r="L3678" s="142">
        <v>65</v>
      </c>
      <c r="M3678" s="142">
        <v>0</v>
      </c>
    </row>
    <row r="3679" spans="1:13" x14ac:dyDescent="0.45">
      <c r="A3679" s="142" t="s">
        <v>13002</v>
      </c>
      <c r="B3679" s="142" t="s">
        <v>15376</v>
      </c>
      <c r="C3679" s="142" t="s">
        <v>15847</v>
      </c>
      <c r="D3679" s="142" t="s">
        <v>15848</v>
      </c>
      <c r="E3679" s="142" t="s">
        <v>15849</v>
      </c>
      <c r="F3679" s="142" t="s">
        <v>11734</v>
      </c>
      <c r="G3679" s="142" t="s">
        <v>11733</v>
      </c>
      <c r="H3679" s="142" t="s">
        <v>19529</v>
      </c>
      <c r="I3679" s="142">
        <v>23</v>
      </c>
      <c r="J3679" s="142">
        <v>19</v>
      </c>
      <c r="K3679" s="142">
        <v>0</v>
      </c>
      <c r="L3679" s="142">
        <v>0</v>
      </c>
      <c r="M3679" s="142">
        <v>4</v>
      </c>
    </row>
    <row r="3680" spans="1:13" x14ac:dyDescent="0.45">
      <c r="A3680" s="142" t="s">
        <v>13753</v>
      </c>
      <c r="B3680" s="142" t="s">
        <v>15286</v>
      </c>
      <c r="C3680" s="142" t="s">
        <v>15860</v>
      </c>
      <c r="D3680" s="142" t="s">
        <v>15861</v>
      </c>
      <c r="E3680" s="142" t="s">
        <v>15849</v>
      </c>
      <c r="F3680" s="142" t="s">
        <v>11734</v>
      </c>
      <c r="G3680" s="142" t="s">
        <v>11733</v>
      </c>
      <c r="H3680" s="142" t="s">
        <v>19530</v>
      </c>
      <c r="I3680" s="142">
        <v>389</v>
      </c>
      <c r="J3680" s="142">
        <v>219</v>
      </c>
      <c r="K3680" s="142">
        <v>0</v>
      </c>
      <c r="L3680" s="142">
        <v>170</v>
      </c>
      <c r="M3680" s="142">
        <v>0</v>
      </c>
    </row>
    <row r="3681" spans="1:13" x14ac:dyDescent="0.45">
      <c r="A3681" s="142" t="s">
        <v>13635</v>
      </c>
      <c r="B3681" s="142" t="s">
        <v>14723</v>
      </c>
      <c r="C3681" s="142" t="s">
        <v>15860</v>
      </c>
      <c r="D3681" s="142" t="s">
        <v>15861</v>
      </c>
      <c r="E3681" s="142" t="s">
        <v>15849</v>
      </c>
      <c r="F3681" s="142" t="s">
        <v>11734</v>
      </c>
      <c r="G3681" s="142" t="s">
        <v>11733</v>
      </c>
      <c r="H3681" s="142" t="s">
        <v>19531</v>
      </c>
      <c r="I3681" s="142">
        <v>4</v>
      </c>
      <c r="J3681" s="142">
        <v>0</v>
      </c>
      <c r="K3681" s="142">
        <v>0</v>
      </c>
      <c r="L3681" s="142">
        <v>4</v>
      </c>
      <c r="M3681" s="142">
        <v>0</v>
      </c>
    </row>
    <row r="3682" spans="1:13" x14ac:dyDescent="0.45">
      <c r="A3682" s="142" t="s">
        <v>13124</v>
      </c>
      <c r="B3682" s="142" t="s">
        <v>15554</v>
      </c>
      <c r="C3682" s="142" t="s">
        <v>15860</v>
      </c>
      <c r="D3682" s="142" t="s">
        <v>15861</v>
      </c>
      <c r="E3682" s="142" t="s">
        <v>15849</v>
      </c>
      <c r="F3682" s="142" t="s">
        <v>11734</v>
      </c>
      <c r="G3682" s="142" t="s">
        <v>11733</v>
      </c>
      <c r="H3682" s="142" t="s">
        <v>19532</v>
      </c>
      <c r="I3682" s="142">
        <v>49</v>
      </c>
      <c r="J3682" s="142">
        <v>49</v>
      </c>
      <c r="K3682" s="142">
        <v>0</v>
      </c>
      <c r="L3682" s="142">
        <v>0</v>
      </c>
      <c r="M3682" s="142">
        <v>0</v>
      </c>
    </row>
    <row r="3683" spans="1:13" x14ac:dyDescent="0.45">
      <c r="A3683" s="142" t="s">
        <v>13437</v>
      </c>
      <c r="B3683" s="142" t="s">
        <v>15268</v>
      </c>
      <c r="C3683" s="142" t="s">
        <v>15847</v>
      </c>
      <c r="D3683" s="142" t="s">
        <v>15848</v>
      </c>
      <c r="E3683" s="142" t="s">
        <v>15849</v>
      </c>
      <c r="F3683" s="142" t="s">
        <v>11734</v>
      </c>
      <c r="G3683" s="142" t="s">
        <v>11733</v>
      </c>
      <c r="H3683" s="142" t="s">
        <v>19533</v>
      </c>
      <c r="I3683" s="142">
        <v>42</v>
      </c>
      <c r="J3683" s="142">
        <v>42</v>
      </c>
      <c r="K3683" s="142">
        <v>0</v>
      </c>
      <c r="L3683" s="142">
        <v>0</v>
      </c>
      <c r="M3683" s="142">
        <v>0</v>
      </c>
    </row>
    <row r="3684" spans="1:13" x14ac:dyDescent="0.45">
      <c r="A3684" s="142" t="s">
        <v>13125</v>
      </c>
      <c r="B3684" s="142" t="s">
        <v>15515</v>
      </c>
      <c r="C3684" s="142" t="s">
        <v>15860</v>
      </c>
      <c r="D3684" s="142" t="s">
        <v>15861</v>
      </c>
      <c r="E3684" s="142" t="s">
        <v>15849</v>
      </c>
      <c r="F3684" s="142" t="s">
        <v>11734</v>
      </c>
      <c r="G3684" s="142" t="s">
        <v>11733</v>
      </c>
      <c r="H3684" s="142" t="s">
        <v>19534</v>
      </c>
      <c r="I3684" s="142">
        <v>1</v>
      </c>
      <c r="J3684" s="142">
        <v>1</v>
      </c>
      <c r="K3684" s="142">
        <v>0</v>
      </c>
      <c r="L3684" s="142">
        <v>0</v>
      </c>
      <c r="M3684" s="142">
        <v>0</v>
      </c>
    </row>
    <row r="3685" spans="1:13" x14ac:dyDescent="0.45">
      <c r="A3685" s="142" t="s">
        <v>13754</v>
      </c>
      <c r="B3685" s="142" t="s">
        <v>14940</v>
      </c>
      <c r="C3685" s="142" t="s">
        <v>15860</v>
      </c>
      <c r="D3685" s="142" t="s">
        <v>15861</v>
      </c>
      <c r="E3685" s="142" t="s">
        <v>15849</v>
      </c>
      <c r="F3685" s="142" t="s">
        <v>11734</v>
      </c>
      <c r="G3685" s="142" t="s">
        <v>11733</v>
      </c>
      <c r="H3685" s="142" t="s">
        <v>19535</v>
      </c>
      <c r="I3685" s="142">
        <v>158</v>
      </c>
      <c r="J3685" s="142">
        <v>158</v>
      </c>
      <c r="K3685" s="142">
        <v>0</v>
      </c>
      <c r="L3685" s="142">
        <v>0</v>
      </c>
      <c r="M3685" s="142">
        <v>0</v>
      </c>
    </row>
    <row r="3686" spans="1:13" x14ac:dyDescent="0.45">
      <c r="A3686" s="142" t="s">
        <v>13100</v>
      </c>
      <c r="B3686" s="142" t="s">
        <v>15603</v>
      </c>
      <c r="C3686" s="142" t="s">
        <v>15847</v>
      </c>
      <c r="D3686" s="142" t="s">
        <v>15848</v>
      </c>
      <c r="E3686" s="142" t="s">
        <v>15849</v>
      </c>
      <c r="F3686" s="142" t="s">
        <v>11734</v>
      </c>
      <c r="G3686" s="142" t="s">
        <v>11733</v>
      </c>
      <c r="H3686" s="142" t="s">
        <v>19536</v>
      </c>
      <c r="I3686" s="142">
        <v>11</v>
      </c>
      <c r="J3686" s="142">
        <v>11</v>
      </c>
      <c r="K3686" s="142">
        <v>0</v>
      </c>
      <c r="L3686" s="142">
        <v>0</v>
      </c>
      <c r="M3686" s="142">
        <v>0</v>
      </c>
    </row>
    <row r="3687" spans="1:13" x14ac:dyDescent="0.45">
      <c r="A3687" s="142" t="s">
        <v>13005</v>
      </c>
      <c r="B3687" s="142" t="s">
        <v>15475</v>
      </c>
      <c r="C3687" s="142" t="s">
        <v>15847</v>
      </c>
      <c r="D3687" s="142" t="s">
        <v>15848</v>
      </c>
      <c r="E3687" s="142" t="s">
        <v>15849</v>
      </c>
      <c r="F3687" s="142" t="s">
        <v>11734</v>
      </c>
      <c r="G3687" s="142" t="s">
        <v>11733</v>
      </c>
      <c r="H3687" s="142" t="s">
        <v>19537</v>
      </c>
      <c r="I3687" s="142">
        <v>2760</v>
      </c>
      <c r="J3687" s="142">
        <v>2101</v>
      </c>
      <c r="K3687" s="142">
        <v>0</v>
      </c>
      <c r="L3687" s="142">
        <v>224</v>
      </c>
      <c r="M3687" s="142">
        <v>435</v>
      </c>
    </row>
    <row r="3688" spans="1:13" x14ac:dyDescent="0.45">
      <c r="A3688" s="142" t="s">
        <v>13192</v>
      </c>
      <c r="B3688" s="142" t="s">
        <v>15539</v>
      </c>
      <c r="C3688" s="142" t="s">
        <v>15860</v>
      </c>
      <c r="D3688" s="142" t="s">
        <v>15861</v>
      </c>
      <c r="E3688" s="142" t="s">
        <v>15849</v>
      </c>
      <c r="F3688" s="142" t="s">
        <v>11734</v>
      </c>
      <c r="G3688" s="142" t="s">
        <v>11733</v>
      </c>
      <c r="H3688" s="142" t="s">
        <v>19538</v>
      </c>
      <c r="I3688" s="142">
        <v>31</v>
      </c>
      <c r="J3688" s="142">
        <v>0</v>
      </c>
      <c r="K3688" s="142">
        <v>0</v>
      </c>
      <c r="L3688" s="142">
        <v>31</v>
      </c>
      <c r="M3688" s="142">
        <v>0</v>
      </c>
    </row>
    <row r="3689" spans="1:13" x14ac:dyDescent="0.45">
      <c r="A3689" s="142" t="s">
        <v>13006</v>
      </c>
      <c r="B3689" s="142" t="s">
        <v>15288</v>
      </c>
      <c r="C3689" s="142" t="s">
        <v>15847</v>
      </c>
      <c r="D3689" s="142" t="s">
        <v>15848</v>
      </c>
      <c r="E3689" s="142" t="s">
        <v>15849</v>
      </c>
      <c r="F3689" s="142" t="s">
        <v>11734</v>
      </c>
      <c r="G3689" s="142" t="s">
        <v>11733</v>
      </c>
      <c r="H3689" s="142" t="s">
        <v>19539</v>
      </c>
      <c r="I3689" s="142">
        <v>2008</v>
      </c>
      <c r="J3689" s="142">
        <v>1553</v>
      </c>
      <c r="K3689" s="142">
        <v>0</v>
      </c>
      <c r="L3689" s="142">
        <v>185</v>
      </c>
      <c r="M3689" s="142">
        <v>270</v>
      </c>
    </row>
    <row r="3690" spans="1:13" x14ac:dyDescent="0.45">
      <c r="A3690" s="142" t="s">
        <v>13007</v>
      </c>
      <c r="B3690" s="142" t="s">
        <v>15262</v>
      </c>
      <c r="C3690" s="142" t="s">
        <v>15847</v>
      </c>
      <c r="D3690" s="142" t="s">
        <v>15848</v>
      </c>
      <c r="E3690" s="142" t="s">
        <v>15849</v>
      </c>
      <c r="F3690" s="142" t="s">
        <v>11734</v>
      </c>
      <c r="G3690" s="142" t="s">
        <v>11733</v>
      </c>
      <c r="H3690" s="142" t="s">
        <v>19540</v>
      </c>
      <c r="I3690" s="142">
        <v>2</v>
      </c>
      <c r="J3690" s="142">
        <v>1</v>
      </c>
      <c r="K3690" s="142">
        <v>0</v>
      </c>
      <c r="L3690" s="142">
        <v>0</v>
      </c>
      <c r="M3690" s="142">
        <v>1</v>
      </c>
    </row>
    <row r="3691" spans="1:13" x14ac:dyDescent="0.45">
      <c r="A3691" s="142" t="s">
        <v>13755</v>
      </c>
      <c r="B3691" s="142" t="s">
        <v>14970</v>
      </c>
      <c r="C3691" s="142" t="s">
        <v>15860</v>
      </c>
      <c r="D3691" s="142" t="s">
        <v>15861</v>
      </c>
      <c r="E3691" s="142" t="s">
        <v>15849</v>
      </c>
      <c r="F3691" s="142" t="s">
        <v>11734</v>
      </c>
      <c r="G3691" s="142" t="s">
        <v>11733</v>
      </c>
      <c r="H3691" s="142" t="s">
        <v>19541</v>
      </c>
      <c r="I3691" s="142">
        <v>33</v>
      </c>
      <c r="J3691" s="142">
        <v>33</v>
      </c>
      <c r="K3691" s="142">
        <v>0</v>
      </c>
      <c r="L3691" s="142">
        <v>0</v>
      </c>
      <c r="M3691" s="142">
        <v>0</v>
      </c>
    </row>
    <row r="3692" spans="1:13" x14ac:dyDescent="0.45">
      <c r="A3692" s="142" t="s">
        <v>13102</v>
      </c>
      <c r="B3692" s="142" t="s">
        <v>15235</v>
      </c>
      <c r="C3692" s="142" t="s">
        <v>15847</v>
      </c>
      <c r="D3692" s="142" t="s">
        <v>15848</v>
      </c>
      <c r="E3692" s="142" t="s">
        <v>15849</v>
      </c>
      <c r="F3692" s="142" t="s">
        <v>11734</v>
      </c>
      <c r="G3692" s="142" t="s">
        <v>11733</v>
      </c>
      <c r="H3692" s="142" t="s">
        <v>19542</v>
      </c>
      <c r="I3692" s="142">
        <v>1178</v>
      </c>
      <c r="J3692" s="142">
        <v>797</v>
      </c>
      <c r="K3692" s="142">
        <v>0</v>
      </c>
      <c r="L3692" s="142">
        <v>0</v>
      </c>
      <c r="M3692" s="142">
        <v>381</v>
      </c>
    </row>
    <row r="3693" spans="1:13" x14ac:dyDescent="0.45">
      <c r="A3693" s="142" t="s">
        <v>13103</v>
      </c>
      <c r="B3693" s="142" t="s">
        <v>14623</v>
      </c>
      <c r="C3693" s="142" t="s">
        <v>15847</v>
      </c>
      <c r="D3693" s="142" t="s">
        <v>15848</v>
      </c>
      <c r="E3693" s="142" t="s">
        <v>15849</v>
      </c>
      <c r="F3693" s="142" t="s">
        <v>11734</v>
      </c>
      <c r="G3693" s="142" t="s">
        <v>11733</v>
      </c>
      <c r="H3693" s="142" t="s">
        <v>19543</v>
      </c>
      <c r="I3693" s="142">
        <v>704</v>
      </c>
      <c r="J3693" s="142">
        <v>533</v>
      </c>
      <c r="K3693" s="142">
        <v>0</v>
      </c>
      <c r="L3693" s="142">
        <v>46</v>
      </c>
      <c r="M3693" s="142">
        <v>125</v>
      </c>
    </row>
    <row r="3694" spans="1:13" x14ac:dyDescent="0.45">
      <c r="A3694" s="142" t="s">
        <v>13054</v>
      </c>
      <c r="B3694" s="142" t="s">
        <v>15604</v>
      </c>
      <c r="C3694" s="142" t="s">
        <v>15847</v>
      </c>
      <c r="D3694" s="142" t="s">
        <v>15848</v>
      </c>
      <c r="E3694" s="142" t="s">
        <v>15849</v>
      </c>
      <c r="F3694" s="142" t="s">
        <v>11734</v>
      </c>
      <c r="G3694" s="142" t="s">
        <v>11733</v>
      </c>
      <c r="H3694" s="142" t="s">
        <v>19544</v>
      </c>
      <c r="I3694" s="142">
        <v>79</v>
      </c>
      <c r="J3694" s="142">
        <v>0</v>
      </c>
      <c r="K3694" s="142">
        <v>0</v>
      </c>
      <c r="L3694" s="142">
        <v>0</v>
      </c>
      <c r="M3694" s="142">
        <v>79</v>
      </c>
    </row>
    <row r="3695" spans="1:13" x14ac:dyDescent="0.45">
      <c r="A3695" s="142" t="s">
        <v>13133</v>
      </c>
      <c r="B3695" s="142" t="s">
        <v>15291</v>
      </c>
      <c r="C3695" s="142" t="s">
        <v>15847</v>
      </c>
      <c r="D3695" s="142" t="s">
        <v>15848</v>
      </c>
      <c r="E3695" s="142" t="s">
        <v>15849</v>
      </c>
      <c r="F3695" s="142" t="s">
        <v>11734</v>
      </c>
      <c r="G3695" s="142" t="s">
        <v>11733</v>
      </c>
      <c r="H3695" s="142" t="s">
        <v>19545</v>
      </c>
      <c r="I3695" s="142">
        <v>43</v>
      </c>
      <c r="J3695" s="142">
        <v>19</v>
      </c>
      <c r="K3695" s="142">
        <v>0</v>
      </c>
      <c r="L3695" s="142">
        <v>0</v>
      </c>
      <c r="M3695" s="142">
        <v>24</v>
      </c>
    </row>
    <row r="3696" spans="1:13" x14ac:dyDescent="0.45">
      <c r="A3696" s="142" t="s">
        <v>13055</v>
      </c>
      <c r="B3696" s="142" t="s">
        <v>14595</v>
      </c>
      <c r="C3696" s="142" t="s">
        <v>15847</v>
      </c>
      <c r="D3696" s="142" t="s">
        <v>15848</v>
      </c>
      <c r="E3696" s="142" t="s">
        <v>15849</v>
      </c>
      <c r="F3696" s="142" t="s">
        <v>11734</v>
      </c>
      <c r="G3696" s="142" t="s">
        <v>11733</v>
      </c>
      <c r="H3696" s="142" t="s">
        <v>19546</v>
      </c>
      <c r="I3696" s="142">
        <v>264</v>
      </c>
      <c r="J3696" s="142">
        <v>213</v>
      </c>
      <c r="K3696" s="142">
        <v>0</v>
      </c>
      <c r="L3696" s="142">
        <v>43</v>
      </c>
      <c r="M3696" s="142">
        <v>8</v>
      </c>
    </row>
    <row r="3697" spans="1:13" x14ac:dyDescent="0.45">
      <c r="A3697" s="142" t="s">
        <v>13104</v>
      </c>
      <c r="B3697" s="142" t="s">
        <v>14622</v>
      </c>
      <c r="C3697" s="142" t="s">
        <v>15847</v>
      </c>
      <c r="D3697" s="142" t="s">
        <v>15848</v>
      </c>
      <c r="E3697" s="142" t="s">
        <v>15849</v>
      </c>
      <c r="F3697" s="142" t="s">
        <v>11734</v>
      </c>
      <c r="G3697" s="142" t="s">
        <v>11733</v>
      </c>
      <c r="H3697" s="142" t="s">
        <v>19547</v>
      </c>
      <c r="I3697" s="142">
        <v>1201</v>
      </c>
      <c r="J3697" s="142">
        <v>989</v>
      </c>
      <c r="K3697" s="142">
        <v>0</v>
      </c>
      <c r="L3697" s="142">
        <v>46</v>
      </c>
      <c r="M3697" s="142">
        <v>166</v>
      </c>
    </row>
    <row r="3698" spans="1:13" x14ac:dyDescent="0.45">
      <c r="A3698" s="142" t="s">
        <v>13033</v>
      </c>
      <c r="B3698" s="142" t="s">
        <v>15276</v>
      </c>
      <c r="C3698" s="142" t="s">
        <v>15847</v>
      </c>
      <c r="D3698" s="142" t="s">
        <v>15848</v>
      </c>
      <c r="E3698" s="142" t="s">
        <v>15849</v>
      </c>
      <c r="F3698" s="142" t="s">
        <v>11734</v>
      </c>
      <c r="G3698" s="142" t="s">
        <v>11733</v>
      </c>
      <c r="H3698" s="142" t="s">
        <v>19548</v>
      </c>
      <c r="I3698" s="142">
        <v>4</v>
      </c>
      <c r="J3698" s="142">
        <v>4</v>
      </c>
      <c r="K3698" s="142">
        <v>0</v>
      </c>
      <c r="L3698" s="142">
        <v>0</v>
      </c>
      <c r="M3698" s="142">
        <v>0</v>
      </c>
    </row>
    <row r="3699" spans="1:13" x14ac:dyDescent="0.45">
      <c r="A3699" s="142" t="s">
        <v>13034</v>
      </c>
      <c r="B3699" s="142" t="s">
        <v>15562</v>
      </c>
      <c r="C3699" s="142" t="s">
        <v>15847</v>
      </c>
      <c r="D3699" s="142" t="s">
        <v>15848</v>
      </c>
      <c r="E3699" s="142" t="s">
        <v>15849</v>
      </c>
      <c r="F3699" s="142" t="s">
        <v>11734</v>
      </c>
      <c r="G3699" s="142" t="s">
        <v>11733</v>
      </c>
      <c r="H3699" s="142" t="s">
        <v>19549</v>
      </c>
      <c r="I3699" s="142">
        <v>106</v>
      </c>
      <c r="J3699" s="142">
        <v>106</v>
      </c>
      <c r="K3699" s="142">
        <v>0</v>
      </c>
      <c r="L3699" s="142">
        <v>0</v>
      </c>
      <c r="M3699" s="142">
        <v>0</v>
      </c>
    </row>
    <row r="3700" spans="1:13" x14ac:dyDescent="0.45">
      <c r="A3700" s="142" t="s">
        <v>13740</v>
      </c>
      <c r="B3700" s="142" t="s">
        <v>14945</v>
      </c>
      <c r="C3700" s="142" t="s">
        <v>15860</v>
      </c>
      <c r="D3700" s="142" t="s">
        <v>15861</v>
      </c>
      <c r="E3700" s="142" t="s">
        <v>15849</v>
      </c>
      <c r="F3700" s="142" t="s">
        <v>11734</v>
      </c>
      <c r="G3700" s="142" t="s">
        <v>11733</v>
      </c>
      <c r="H3700" s="142" t="s">
        <v>19550</v>
      </c>
      <c r="I3700" s="142">
        <v>1</v>
      </c>
      <c r="J3700" s="142">
        <v>1</v>
      </c>
      <c r="K3700" s="142">
        <v>0</v>
      </c>
      <c r="L3700" s="142">
        <v>0</v>
      </c>
      <c r="M3700" s="142">
        <v>0</v>
      </c>
    </row>
    <row r="3701" spans="1:13" x14ac:dyDescent="0.45">
      <c r="A3701" s="142" t="s">
        <v>13037</v>
      </c>
      <c r="B3701" s="142" t="s">
        <v>14519</v>
      </c>
      <c r="C3701" s="142" t="s">
        <v>15847</v>
      </c>
      <c r="D3701" s="142" t="s">
        <v>15848</v>
      </c>
      <c r="E3701" s="142" t="s">
        <v>15849</v>
      </c>
      <c r="F3701" s="142" t="s">
        <v>11734</v>
      </c>
      <c r="G3701" s="142" t="s">
        <v>11733</v>
      </c>
      <c r="H3701" s="142" t="s">
        <v>19551</v>
      </c>
      <c r="I3701" s="142">
        <v>14</v>
      </c>
      <c r="J3701" s="142">
        <v>0</v>
      </c>
      <c r="K3701" s="142">
        <v>0</v>
      </c>
      <c r="L3701" s="142">
        <v>14</v>
      </c>
      <c r="M3701" s="142">
        <v>0</v>
      </c>
    </row>
    <row r="3702" spans="1:13" x14ac:dyDescent="0.45">
      <c r="A3702" s="142" t="s">
        <v>13038</v>
      </c>
      <c r="B3702" s="142" t="s">
        <v>14646</v>
      </c>
      <c r="C3702" s="142" t="s">
        <v>15847</v>
      </c>
      <c r="D3702" s="142" t="s">
        <v>15848</v>
      </c>
      <c r="E3702" s="142" t="s">
        <v>15849</v>
      </c>
      <c r="F3702" s="142" t="s">
        <v>11734</v>
      </c>
      <c r="G3702" s="142" t="s">
        <v>11733</v>
      </c>
      <c r="H3702" s="142" t="s">
        <v>19552</v>
      </c>
      <c r="I3702" s="142">
        <v>108</v>
      </c>
      <c r="J3702" s="142">
        <v>0</v>
      </c>
      <c r="K3702" s="142">
        <v>0</v>
      </c>
      <c r="L3702" s="142">
        <v>0</v>
      </c>
      <c r="M3702" s="142">
        <v>108</v>
      </c>
    </row>
    <row r="3703" spans="1:13" x14ac:dyDescent="0.45">
      <c r="A3703" s="142" t="s">
        <v>13091</v>
      </c>
      <c r="B3703" s="142" t="s">
        <v>14473</v>
      </c>
      <c r="C3703" s="142" t="s">
        <v>15847</v>
      </c>
      <c r="D3703" s="142" t="s">
        <v>15848</v>
      </c>
      <c r="E3703" s="142" t="s">
        <v>15849</v>
      </c>
      <c r="F3703" s="142" t="s">
        <v>11734</v>
      </c>
      <c r="G3703" s="142" t="s">
        <v>11733</v>
      </c>
      <c r="H3703" s="142" t="s">
        <v>19553</v>
      </c>
      <c r="I3703" s="142">
        <v>286</v>
      </c>
      <c r="J3703" s="142">
        <v>170</v>
      </c>
      <c r="K3703" s="142">
        <v>0</v>
      </c>
      <c r="L3703" s="142">
        <v>0</v>
      </c>
      <c r="M3703" s="142">
        <v>116</v>
      </c>
    </row>
    <row r="3704" spans="1:13" x14ac:dyDescent="0.45">
      <c r="A3704" s="142" t="s">
        <v>13009</v>
      </c>
      <c r="B3704" s="142" t="s">
        <v>15256</v>
      </c>
      <c r="C3704" s="142" t="s">
        <v>15847</v>
      </c>
      <c r="D3704" s="142" t="s">
        <v>15848</v>
      </c>
      <c r="E3704" s="142" t="s">
        <v>15849</v>
      </c>
      <c r="F3704" s="142" t="s">
        <v>11734</v>
      </c>
      <c r="G3704" s="142" t="s">
        <v>11733</v>
      </c>
      <c r="H3704" s="142" t="s">
        <v>19554</v>
      </c>
      <c r="I3704" s="142">
        <v>847</v>
      </c>
      <c r="J3704" s="142">
        <v>722</v>
      </c>
      <c r="K3704" s="142">
        <v>0</v>
      </c>
      <c r="L3704" s="142">
        <v>125</v>
      </c>
      <c r="M3704" s="142">
        <v>0</v>
      </c>
    </row>
    <row r="3705" spans="1:13" x14ac:dyDescent="0.45">
      <c r="A3705" s="142" t="s">
        <v>13741</v>
      </c>
      <c r="B3705" s="142" t="s">
        <v>15557</v>
      </c>
      <c r="C3705" s="142" t="s">
        <v>15860</v>
      </c>
      <c r="D3705" s="142" t="s">
        <v>15861</v>
      </c>
      <c r="E3705" s="142" t="s">
        <v>15849</v>
      </c>
      <c r="F3705" s="142" t="s">
        <v>11734</v>
      </c>
      <c r="G3705" s="142" t="s">
        <v>11733</v>
      </c>
      <c r="H3705" s="142" t="s">
        <v>19555</v>
      </c>
      <c r="I3705" s="142">
        <v>138</v>
      </c>
      <c r="J3705" s="142">
        <v>138</v>
      </c>
      <c r="K3705" s="142">
        <v>0</v>
      </c>
      <c r="L3705" s="142">
        <v>0</v>
      </c>
      <c r="M3705" s="142">
        <v>0</v>
      </c>
    </row>
    <row r="3706" spans="1:13" x14ac:dyDescent="0.45">
      <c r="A3706" s="142" t="s">
        <v>13011</v>
      </c>
      <c r="B3706" s="142" t="s">
        <v>14695</v>
      </c>
      <c r="C3706" s="142" t="s">
        <v>15847</v>
      </c>
      <c r="D3706" s="142" t="s">
        <v>15848</v>
      </c>
      <c r="E3706" s="142" t="s">
        <v>15849</v>
      </c>
      <c r="F3706" s="142" t="s">
        <v>11734</v>
      </c>
      <c r="G3706" s="142" t="s">
        <v>11733</v>
      </c>
      <c r="H3706" s="142" t="s">
        <v>19556</v>
      </c>
      <c r="I3706" s="142">
        <v>173</v>
      </c>
      <c r="J3706" s="142">
        <v>55</v>
      </c>
      <c r="K3706" s="142">
        <v>0</v>
      </c>
      <c r="L3706" s="142">
        <v>76</v>
      </c>
      <c r="M3706" s="142">
        <v>42</v>
      </c>
    </row>
    <row r="3707" spans="1:13" x14ac:dyDescent="0.45">
      <c r="A3707" s="142" t="s">
        <v>13058</v>
      </c>
      <c r="B3707" s="142" t="s">
        <v>14584</v>
      </c>
      <c r="C3707" s="142" t="s">
        <v>15847</v>
      </c>
      <c r="D3707" s="142" t="s">
        <v>15848</v>
      </c>
      <c r="E3707" s="142" t="s">
        <v>15849</v>
      </c>
      <c r="F3707" s="142" t="s">
        <v>11734</v>
      </c>
      <c r="G3707" s="142" t="s">
        <v>11733</v>
      </c>
      <c r="H3707" s="142" t="s">
        <v>19557</v>
      </c>
      <c r="I3707" s="142">
        <v>244</v>
      </c>
      <c r="J3707" s="142">
        <v>155</v>
      </c>
      <c r="K3707" s="142">
        <v>0</v>
      </c>
      <c r="L3707" s="142">
        <v>63</v>
      </c>
      <c r="M3707" s="142">
        <v>26</v>
      </c>
    </row>
    <row r="3708" spans="1:13" x14ac:dyDescent="0.45">
      <c r="A3708" s="142" t="s">
        <v>13306</v>
      </c>
      <c r="B3708" s="142" t="s">
        <v>15500</v>
      </c>
      <c r="C3708" s="142" t="s">
        <v>15847</v>
      </c>
      <c r="D3708" s="142" t="s">
        <v>15848</v>
      </c>
      <c r="E3708" s="142" t="s">
        <v>15849</v>
      </c>
      <c r="F3708" s="142" t="s">
        <v>11734</v>
      </c>
      <c r="G3708" s="142" t="s">
        <v>11733</v>
      </c>
      <c r="H3708" s="142" t="s">
        <v>19558</v>
      </c>
      <c r="I3708" s="142">
        <v>40</v>
      </c>
      <c r="J3708" s="142">
        <v>0</v>
      </c>
      <c r="K3708" s="142">
        <v>5</v>
      </c>
      <c r="L3708" s="142">
        <v>35</v>
      </c>
      <c r="M3708" s="142">
        <v>0</v>
      </c>
    </row>
    <row r="3709" spans="1:13" x14ac:dyDescent="0.45">
      <c r="A3709" s="142" t="s">
        <v>13680</v>
      </c>
      <c r="B3709" s="142" t="s">
        <v>14961</v>
      </c>
      <c r="C3709" s="142" t="s">
        <v>15860</v>
      </c>
      <c r="D3709" s="142" t="s">
        <v>15861</v>
      </c>
      <c r="E3709" s="142" t="s">
        <v>15849</v>
      </c>
      <c r="F3709" s="142" t="s">
        <v>11734</v>
      </c>
      <c r="G3709" s="142" t="s">
        <v>11733</v>
      </c>
      <c r="H3709" s="142" t="s">
        <v>19559</v>
      </c>
      <c r="I3709" s="142">
        <v>62</v>
      </c>
      <c r="J3709" s="142">
        <v>62</v>
      </c>
      <c r="K3709" s="142">
        <v>0</v>
      </c>
      <c r="L3709" s="142">
        <v>0</v>
      </c>
      <c r="M3709" s="142">
        <v>0</v>
      </c>
    </row>
    <row r="3710" spans="1:13" x14ac:dyDescent="0.45">
      <c r="A3710" s="142" t="s">
        <v>13138</v>
      </c>
      <c r="B3710" s="142" t="s">
        <v>14590</v>
      </c>
      <c r="C3710" s="142" t="s">
        <v>15860</v>
      </c>
      <c r="D3710" s="142" t="s">
        <v>15861</v>
      </c>
      <c r="E3710" s="142" t="s">
        <v>15849</v>
      </c>
      <c r="F3710" s="142" t="s">
        <v>11734</v>
      </c>
      <c r="G3710" s="142" t="s">
        <v>11733</v>
      </c>
      <c r="H3710" s="142" t="s">
        <v>19560</v>
      </c>
      <c r="I3710" s="142">
        <v>8</v>
      </c>
      <c r="J3710" s="142">
        <v>8</v>
      </c>
      <c r="K3710" s="142">
        <v>0</v>
      </c>
      <c r="L3710" s="142">
        <v>0</v>
      </c>
      <c r="M3710" s="142">
        <v>0</v>
      </c>
    </row>
    <row r="3711" spans="1:13" x14ac:dyDescent="0.45">
      <c r="A3711" s="142" t="s">
        <v>13344</v>
      </c>
      <c r="B3711" s="142" t="s">
        <v>15448</v>
      </c>
      <c r="C3711" s="142" t="s">
        <v>15860</v>
      </c>
      <c r="D3711" s="142" t="s">
        <v>15861</v>
      </c>
      <c r="E3711" s="142" t="s">
        <v>15849</v>
      </c>
      <c r="F3711" s="142" t="s">
        <v>11734</v>
      </c>
      <c r="G3711" s="142" t="s">
        <v>11733</v>
      </c>
      <c r="H3711" s="142" t="s">
        <v>19561</v>
      </c>
      <c r="I3711" s="142">
        <v>20</v>
      </c>
      <c r="J3711" s="142">
        <v>20</v>
      </c>
      <c r="K3711" s="142">
        <v>0</v>
      </c>
      <c r="L3711" s="142">
        <v>0</v>
      </c>
      <c r="M3711" s="142">
        <v>0</v>
      </c>
    </row>
    <row r="3712" spans="1:13" x14ac:dyDescent="0.45">
      <c r="A3712" s="142" t="s">
        <v>13220</v>
      </c>
      <c r="B3712" s="142" t="s">
        <v>15505</v>
      </c>
      <c r="C3712" s="142" t="s">
        <v>15860</v>
      </c>
      <c r="D3712" s="142" t="s">
        <v>15861</v>
      </c>
      <c r="E3712" s="142" t="s">
        <v>15849</v>
      </c>
      <c r="F3712" s="142" t="s">
        <v>11734</v>
      </c>
      <c r="G3712" s="142" t="s">
        <v>11733</v>
      </c>
      <c r="H3712" s="142" t="s">
        <v>19562</v>
      </c>
      <c r="I3712" s="142">
        <v>112</v>
      </c>
      <c r="J3712" s="142">
        <v>97</v>
      </c>
      <c r="K3712" s="142">
        <v>15</v>
      </c>
      <c r="L3712" s="142">
        <v>0</v>
      </c>
      <c r="M3712" s="142">
        <v>0</v>
      </c>
    </row>
    <row r="3713" spans="1:13" x14ac:dyDescent="0.45">
      <c r="A3713" s="142" t="s">
        <v>13141</v>
      </c>
      <c r="B3713" s="142" t="s">
        <v>15258</v>
      </c>
      <c r="C3713" s="142" t="s">
        <v>15847</v>
      </c>
      <c r="D3713" s="142" t="s">
        <v>15848</v>
      </c>
      <c r="E3713" s="142" t="s">
        <v>15849</v>
      </c>
      <c r="F3713" s="142" t="s">
        <v>11734</v>
      </c>
      <c r="G3713" s="142" t="s">
        <v>11733</v>
      </c>
      <c r="H3713" s="142" t="s">
        <v>19563</v>
      </c>
      <c r="I3713" s="142">
        <v>5</v>
      </c>
      <c r="J3713" s="142">
        <v>5</v>
      </c>
      <c r="K3713" s="142">
        <v>0</v>
      </c>
      <c r="L3713" s="142">
        <v>0</v>
      </c>
      <c r="M3713" s="142">
        <v>0</v>
      </c>
    </row>
    <row r="3714" spans="1:13" x14ac:dyDescent="0.45">
      <c r="A3714" s="142" t="s">
        <v>13042</v>
      </c>
      <c r="B3714" s="142" t="s">
        <v>15489</v>
      </c>
      <c r="C3714" s="142" t="s">
        <v>15847</v>
      </c>
      <c r="D3714" s="142" t="s">
        <v>15848</v>
      </c>
      <c r="E3714" s="142" t="s">
        <v>15849</v>
      </c>
      <c r="F3714" s="142" t="s">
        <v>11734</v>
      </c>
      <c r="G3714" s="142" t="s">
        <v>11733</v>
      </c>
      <c r="H3714" s="142" t="s">
        <v>19564</v>
      </c>
      <c r="I3714" s="142">
        <v>252</v>
      </c>
      <c r="J3714" s="142">
        <v>93</v>
      </c>
      <c r="K3714" s="142">
        <v>0</v>
      </c>
      <c r="L3714" s="142">
        <v>143</v>
      </c>
      <c r="M3714" s="142">
        <v>16</v>
      </c>
    </row>
    <row r="3715" spans="1:13" x14ac:dyDescent="0.45">
      <c r="A3715" s="142" t="s">
        <v>13016</v>
      </c>
      <c r="B3715" s="142" t="s">
        <v>14535</v>
      </c>
      <c r="C3715" s="142" t="s">
        <v>15860</v>
      </c>
      <c r="D3715" s="142" t="s">
        <v>15861</v>
      </c>
      <c r="E3715" s="142" t="s">
        <v>15849</v>
      </c>
      <c r="F3715" s="142" t="s">
        <v>11734</v>
      </c>
      <c r="G3715" s="142" t="s">
        <v>11733</v>
      </c>
      <c r="H3715" s="142" t="s">
        <v>19565</v>
      </c>
      <c r="I3715" s="142">
        <v>17</v>
      </c>
      <c r="J3715" s="142">
        <v>0</v>
      </c>
      <c r="K3715" s="142">
        <v>0</v>
      </c>
      <c r="L3715" s="142">
        <v>17</v>
      </c>
      <c r="M3715" s="142">
        <v>0</v>
      </c>
    </row>
    <row r="3716" spans="1:13" x14ac:dyDescent="0.45">
      <c r="A3716" s="142" t="s">
        <v>13756</v>
      </c>
      <c r="B3716" s="142" t="s">
        <v>14866</v>
      </c>
      <c r="C3716" s="142" t="s">
        <v>15860</v>
      </c>
      <c r="D3716" s="142" t="s">
        <v>15861</v>
      </c>
      <c r="E3716" s="142" t="s">
        <v>15849</v>
      </c>
      <c r="F3716" s="142" t="s">
        <v>11734</v>
      </c>
      <c r="G3716" s="142" t="s">
        <v>11733</v>
      </c>
      <c r="H3716" s="142" t="s">
        <v>19566</v>
      </c>
      <c r="I3716" s="142">
        <v>6</v>
      </c>
      <c r="J3716" s="142">
        <v>0</v>
      </c>
      <c r="K3716" s="142">
        <v>0</v>
      </c>
      <c r="L3716" s="142">
        <v>6</v>
      </c>
      <c r="M3716" s="142">
        <v>0</v>
      </c>
    </row>
    <row r="3717" spans="1:13" x14ac:dyDescent="0.45">
      <c r="A3717" s="142" t="s">
        <v>13757</v>
      </c>
      <c r="B3717" s="142" t="s">
        <v>15057</v>
      </c>
      <c r="C3717" s="142" t="s">
        <v>15860</v>
      </c>
      <c r="D3717" s="142" t="s">
        <v>15861</v>
      </c>
      <c r="E3717" s="142" t="s">
        <v>15849</v>
      </c>
      <c r="F3717" s="142" t="s">
        <v>11734</v>
      </c>
      <c r="G3717" s="142" t="s">
        <v>11733</v>
      </c>
      <c r="H3717" s="142" t="s">
        <v>19567</v>
      </c>
      <c r="I3717" s="142">
        <v>4</v>
      </c>
      <c r="J3717" s="142">
        <v>2</v>
      </c>
      <c r="K3717" s="142">
        <v>2</v>
      </c>
      <c r="L3717" s="142">
        <v>0</v>
      </c>
      <c r="M3717" s="142">
        <v>0</v>
      </c>
    </row>
    <row r="3718" spans="1:13" x14ac:dyDescent="0.45">
      <c r="A3718" s="142" t="s">
        <v>13743</v>
      </c>
      <c r="B3718" s="142" t="s">
        <v>15222</v>
      </c>
      <c r="C3718" s="142" t="s">
        <v>15860</v>
      </c>
      <c r="D3718" s="142" t="s">
        <v>15861</v>
      </c>
      <c r="E3718" s="142" t="s">
        <v>15849</v>
      </c>
      <c r="F3718" s="142" t="s">
        <v>11734</v>
      </c>
      <c r="G3718" s="142" t="s">
        <v>11733</v>
      </c>
      <c r="H3718" s="142" t="s">
        <v>19568</v>
      </c>
      <c r="I3718" s="142">
        <v>163</v>
      </c>
      <c r="J3718" s="142">
        <v>0</v>
      </c>
      <c r="K3718" s="142">
        <v>8</v>
      </c>
      <c r="L3718" s="142">
        <v>155</v>
      </c>
      <c r="M3718" s="142">
        <v>0</v>
      </c>
    </row>
    <row r="3719" spans="1:13" x14ac:dyDescent="0.45">
      <c r="A3719" s="142" t="s">
        <v>13023</v>
      </c>
      <c r="B3719" s="142" t="s">
        <v>15571</v>
      </c>
      <c r="C3719" s="142" t="s">
        <v>15847</v>
      </c>
      <c r="D3719" s="142" t="s">
        <v>15848</v>
      </c>
      <c r="E3719" s="142" t="s">
        <v>15849</v>
      </c>
      <c r="F3719" s="142" t="s">
        <v>4298</v>
      </c>
      <c r="G3719" s="142" t="s">
        <v>4297</v>
      </c>
      <c r="H3719" s="142" t="s">
        <v>19569</v>
      </c>
      <c r="I3719" s="142">
        <v>76</v>
      </c>
      <c r="J3719" s="142">
        <v>0</v>
      </c>
      <c r="K3719" s="142">
        <v>0</v>
      </c>
      <c r="L3719" s="142">
        <v>76</v>
      </c>
      <c r="M3719" s="142">
        <v>0</v>
      </c>
    </row>
    <row r="3720" spans="1:13" x14ac:dyDescent="0.45">
      <c r="A3720" s="142" t="s">
        <v>13348</v>
      </c>
      <c r="B3720" s="142" t="s">
        <v>15458</v>
      </c>
      <c r="C3720" s="142" t="s">
        <v>15847</v>
      </c>
      <c r="D3720" s="142" t="s">
        <v>15848</v>
      </c>
      <c r="E3720" s="142" t="s">
        <v>15849</v>
      </c>
      <c r="F3720" s="142" t="s">
        <v>4298</v>
      </c>
      <c r="G3720" s="142" t="s">
        <v>4297</v>
      </c>
      <c r="H3720" s="142" t="s">
        <v>19570</v>
      </c>
      <c r="I3720" s="142">
        <v>2</v>
      </c>
      <c r="J3720" s="142">
        <v>0</v>
      </c>
      <c r="K3720" s="142">
        <v>0</v>
      </c>
      <c r="L3720" s="142">
        <v>0</v>
      </c>
      <c r="M3720" s="142">
        <v>2</v>
      </c>
    </row>
    <row r="3721" spans="1:13" x14ac:dyDescent="0.45">
      <c r="A3721" s="142" t="s">
        <v>13083</v>
      </c>
      <c r="B3721" s="142" t="s">
        <v>15440</v>
      </c>
      <c r="C3721" s="142" t="s">
        <v>15847</v>
      </c>
      <c r="D3721" s="142" t="s">
        <v>15848</v>
      </c>
      <c r="E3721" s="142" t="s">
        <v>15849</v>
      </c>
      <c r="F3721" s="142" t="s">
        <v>4298</v>
      </c>
      <c r="G3721" s="142" t="s">
        <v>4297</v>
      </c>
      <c r="H3721" s="142" t="s">
        <v>19571</v>
      </c>
      <c r="I3721" s="142">
        <v>39</v>
      </c>
      <c r="J3721" s="142">
        <v>20</v>
      </c>
      <c r="K3721" s="142">
        <v>0</v>
      </c>
      <c r="L3721" s="142">
        <v>0</v>
      </c>
      <c r="M3721" s="142">
        <v>19</v>
      </c>
    </row>
    <row r="3722" spans="1:13" x14ac:dyDescent="0.45">
      <c r="A3722" s="142" t="s">
        <v>13000</v>
      </c>
      <c r="B3722" s="142" t="s">
        <v>14610</v>
      </c>
      <c r="C3722" s="142" t="s">
        <v>15847</v>
      </c>
      <c r="D3722" s="142" t="s">
        <v>15848</v>
      </c>
      <c r="E3722" s="142" t="s">
        <v>15849</v>
      </c>
      <c r="F3722" s="142" t="s">
        <v>4298</v>
      </c>
      <c r="G3722" s="142" t="s">
        <v>4297</v>
      </c>
      <c r="H3722" s="142" t="s">
        <v>19572</v>
      </c>
      <c r="I3722" s="142">
        <v>437</v>
      </c>
      <c r="J3722" s="142">
        <v>195</v>
      </c>
      <c r="K3722" s="142">
        <v>236</v>
      </c>
      <c r="L3722" s="142">
        <v>0</v>
      </c>
      <c r="M3722" s="142">
        <v>6</v>
      </c>
    </row>
    <row r="3723" spans="1:13" x14ac:dyDescent="0.45">
      <c r="A3723" s="142" t="s">
        <v>13086</v>
      </c>
      <c r="B3723" s="142" t="s">
        <v>15380</v>
      </c>
      <c r="C3723" s="142" t="s">
        <v>15847</v>
      </c>
      <c r="D3723" s="142" t="s">
        <v>15848</v>
      </c>
      <c r="E3723" s="142" t="s">
        <v>15849</v>
      </c>
      <c r="F3723" s="142" t="s">
        <v>4298</v>
      </c>
      <c r="G3723" s="142" t="s">
        <v>4297</v>
      </c>
      <c r="H3723" s="142" t="s">
        <v>19573</v>
      </c>
      <c r="I3723" s="142">
        <v>3</v>
      </c>
      <c r="J3723" s="142">
        <v>0</v>
      </c>
      <c r="K3723" s="142">
        <v>0</v>
      </c>
      <c r="L3723" s="142">
        <v>3</v>
      </c>
      <c r="M3723" s="142">
        <v>0</v>
      </c>
    </row>
    <row r="3724" spans="1:13" x14ac:dyDescent="0.45">
      <c r="A3724" s="142" t="s">
        <v>13027</v>
      </c>
      <c r="B3724" s="142" t="s">
        <v>14562</v>
      </c>
      <c r="C3724" s="142" t="s">
        <v>15847</v>
      </c>
      <c r="D3724" s="142" t="s">
        <v>15848</v>
      </c>
      <c r="E3724" s="142" t="s">
        <v>15849</v>
      </c>
      <c r="F3724" s="142" t="s">
        <v>4298</v>
      </c>
      <c r="G3724" s="142" t="s">
        <v>4297</v>
      </c>
      <c r="H3724" s="142" t="s">
        <v>19574</v>
      </c>
      <c r="I3724" s="142">
        <v>8</v>
      </c>
      <c r="J3724" s="142">
        <v>0</v>
      </c>
      <c r="K3724" s="142">
        <v>0</v>
      </c>
      <c r="L3724" s="142">
        <v>8</v>
      </c>
      <c r="M3724" s="142">
        <v>0</v>
      </c>
    </row>
    <row r="3725" spans="1:13" x14ac:dyDescent="0.45">
      <c r="A3725" s="142" t="s">
        <v>13759</v>
      </c>
      <c r="B3725" s="142" t="s">
        <v>14712</v>
      </c>
      <c r="C3725" s="142" t="s">
        <v>15860</v>
      </c>
      <c r="D3725" s="142" t="s">
        <v>15861</v>
      </c>
      <c r="E3725" s="142" t="s">
        <v>15849</v>
      </c>
      <c r="F3725" s="142" t="s">
        <v>4298</v>
      </c>
      <c r="G3725" s="142" t="s">
        <v>4297</v>
      </c>
      <c r="H3725" s="142" t="s">
        <v>19575</v>
      </c>
      <c r="I3725" s="142">
        <v>14</v>
      </c>
      <c r="J3725" s="142">
        <v>0</v>
      </c>
      <c r="K3725" s="142">
        <v>0</v>
      </c>
      <c r="L3725" s="142">
        <v>14</v>
      </c>
      <c r="M3725" s="142">
        <v>0</v>
      </c>
    </row>
    <row r="3726" spans="1:13" x14ac:dyDescent="0.45">
      <c r="A3726" s="142" t="s">
        <v>13028</v>
      </c>
      <c r="B3726" s="142" t="s">
        <v>14462</v>
      </c>
      <c r="C3726" s="142" t="s">
        <v>15847</v>
      </c>
      <c r="D3726" s="142" t="s">
        <v>15848</v>
      </c>
      <c r="E3726" s="142" t="s">
        <v>15849</v>
      </c>
      <c r="F3726" s="142" t="s">
        <v>4298</v>
      </c>
      <c r="G3726" s="142" t="s">
        <v>4297</v>
      </c>
      <c r="H3726" s="142" t="s">
        <v>19576</v>
      </c>
      <c r="I3726" s="142">
        <v>29</v>
      </c>
      <c r="J3726" s="142">
        <v>0</v>
      </c>
      <c r="K3726" s="142">
        <v>0</v>
      </c>
      <c r="L3726" s="142">
        <v>0</v>
      </c>
      <c r="M3726" s="142">
        <v>29</v>
      </c>
    </row>
    <row r="3727" spans="1:13" x14ac:dyDescent="0.45">
      <c r="A3727" s="142" t="s">
        <v>13002</v>
      </c>
      <c r="B3727" s="142" t="s">
        <v>15376</v>
      </c>
      <c r="C3727" s="142" t="s">
        <v>15847</v>
      </c>
      <c r="D3727" s="142" t="s">
        <v>15848</v>
      </c>
      <c r="E3727" s="142" t="s">
        <v>15849</v>
      </c>
      <c r="F3727" s="142" t="s">
        <v>4298</v>
      </c>
      <c r="G3727" s="142" t="s">
        <v>4297</v>
      </c>
      <c r="H3727" s="142" t="s">
        <v>19577</v>
      </c>
      <c r="I3727" s="142">
        <v>651</v>
      </c>
      <c r="J3727" s="142">
        <v>556</v>
      </c>
      <c r="K3727" s="142">
        <v>0</v>
      </c>
      <c r="L3727" s="142">
        <v>68</v>
      </c>
      <c r="M3727" s="142">
        <v>27</v>
      </c>
    </row>
    <row r="3728" spans="1:13" x14ac:dyDescent="0.45">
      <c r="A3728" s="142" t="s">
        <v>13178</v>
      </c>
      <c r="B3728" s="142" t="s">
        <v>14683</v>
      </c>
      <c r="C3728" s="142" t="s">
        <v>15847</v>
      </c>
      <c r="D3728" s="142" t="s">
        <v>15848</v>
      </c>
      <c r="E3728" s="142" t="s">
        <v>15849</v>
      </c>
      <c r="F3728" s="142" t="s">
        <v>4298</v>
      </c>
      <c r="G3728" s="142" t="s">
        <v>4297</v>
      </c>
      <c r="H3728" s="142" t="s">
        <v>19578</v>
      </c>
      <c r="I3728" s="142">
        <v>38</v>
      </c>
      <c r="J3728" s="142">
        <v>38</v>
      </c>
      <c r="K3728" s="142">
        <v>0</v>
      </c>
      <c r="L3728" s="142">
        <v>0</v>
      </c>
      <c r="M3728" s="142">
        <v>0</v>
      </c>
    </row>
    <row r="3729" spans="1:13" x14ac:dyDescent="0.45">
      <c r="A3729" s="142" t="s">
        <v>13076</v>
      </c>
      <c r="B3729" s="142" t="s">
        <v>14636</v>
      </c>
      <c r="C3729" s="142" t="s">
        <v>15847</v>
      </c>
      <c r="D3729" s="142" t="s">
        <v>15848</v>
      </c>
      <c r="E3729" s="142" t="s">
        <v>15849</v>
      </c>
      <c r="F3729" s="142" t="s">
        <v>4298</v>
      </c>
      <c r="G3729" s="142" t="s">
        <v>4297</v>
      </c>
      <c r="H3729" s="142" t="s">
        <v>19579</v>
      </c>
      <c r="I3729" s="142">
        <v>31</v>
      </c>
      <c r="J3729" s="142">
        <v>0</v>
      </c>
      <c r="K3729" s="142">
        <v>0</v>
      </c>
      <c r="L3729" s="142">
        <v>0</v>
      </c>
      <c r="M3729" s="142">
        <v>31</v>
      </c>
    </row>
    <row r="3730" spans="1:13" x14ac:dyDescent="0.45">
      <c r="A3730" s="142" t="s">
        <v>13005</v>
      </c>
      <c r="B3730" s="142" t="s">
        <v>15475</v>
      </c>
      <c r="C3730" s="142" t="s">
        <v>15847</v>
      </c>
      <c r="D3730" s="142" t="s">
        <v>15848</v>
      </c>
      <c r="E3730" s="142" t="s">
        <v>15849</v>
      </c>
      <c r="F3730" s="142" t="s">
        <v>4298</v>
      </c>
      <c r="G3730" s="142" t="s">
        <v>4297</v>
      </c>
      <c r="H3730" s="142" t="s">
        <v>19580</v>
      </c>
      <c r="I3730" s="142">
        <v>197</v>
      </c>
      <c r="J3730" s="142">
        <v>180</v>
      </c>
      <c r="K3730" s="142">
        <v>0</v>
      </c>
      <c r="L3730" s="142">
        <v>0</v>
      </c>
      <c r="M3730" s="142">
        <v>17</v>
      </c>
    </row>
    <row r="3731" spans="1:13" x14ac:dyDescent="0.45">
      <c r="A3731" s="142" t="s">
        <v>13006</v>
      </c>
      <c r="B3731" s="142" t="s">
        <v>15288</v>
      </c>
      <c r="C3731" s="142" t="s">
        <v>15847</v>
      </c>
      <c r="D3731" s="142" t="s">
        <v>15848</v>
      </c>
      <c r="E3731" s="142" t="s">
        <v>15849</v>
      </c>
      <c r="F3731" s="142" t="s">
        <v>4298</v>
      </c>
      <c r="G3731" s="142" t="s">
        <v>4297</v>
      </c>
      <c r="H3731" s="142" t="s">
        <v>19581</v>
      </c>
      <c r="I3731" s="142">
        <v>9</v>
      </c>
      <c r="J3731" s="142">
        <v>0</v>
      </c>
      <c r="K3731" s="142">
        <v>0</v>
      </c>
      <c r="L3731" s="142">
        <v>8</v>
      </c>
      <c r="M3731" s="142">
        <v>1</v>
      </c>
    </row>
    <row r="3732" spans="1:13" x14ac:dyDescent="0.45">
      <c r="A3732" s="142" t="s">
        <v>13007</v>
      </c>
      <c r="B3732" s="142" t="s">
        <v>15262</v>
      </c>
      <c r="C3732" s="142" t="s">
        <v>15847</v>
      </c>
      <c r="D3732" s="142" t="s">
        <v>15848</v>
      </c>
      <c r="E3732" s="142" t="s">
        <v>15849</v>
      </c>
      <c r="F3732" s="142" t="s">
        <v>4298</v>
      </c>
      <c r="G3732" s="142" t="s">
        <v>4297</v>
      </c>
      <c r="H3732" s="142" t="s">
        <v>19582</v>
      </c>
      <c r="I3732" s="142">
        <v>503</v>
      </c>
      <c r="J3732" s="142">
        <v>245</v>
      </c>
      <c r="K3732" s="142">
        <v>0</v>
      </c>
      <c r="L3732" s="142">
        <v>27</v>
      </c>
      <c r="M3732" s="142">
        <v>231</v>
      </c>
    </row>
    <row r="3733" spans="1:13" x14ac:dyDescent="0.45">
      <c r="A3733" s="142" t="s">
        <v>13760</v>
      </c>
      <c r="B3733" s="142" t="s">
        <v>15406</v>
      </c>
      <c r="C3733" s="142" t="s">
        <v>15860</v>
      </c>
      <c r="D3733" s="142" t="s">
        <v>15861</v>
      </c>
      <c r="E3733" s="142" t="s">
        <v>15849</v>
      </c>
      <c r="F3733" s="142" t="s">
        <v>4298</v>
      </c>
      <c r="G3733" s="142" t="s">
        <v>4297</v>
      </c>
      <c r="H3733" s="142" t="s">
        <v>19583</v>
      </c>
      <c r="I3733" s="142">
        <v>3</v>
      </c>
      <c r="J3733" s="142">
        <v>3</v>
      </c>
      <c r="K3733" s="142">
        <v>0</v>
      </c>
      <c r="L3733" s="142">
        <v>0</v>
      </c>
      <c r="M3733" s="142">
        <v>0</v>
      </c>
    </row>
    <row r="3734" spans="1:13" x14ac:dyDescent="0.45">
      <c r="A3734" s="142" t="s">
        <v>13162</v>
      </c>
      <c r="B3734" s="142" t="s">
        <v>14545</v>
      </c>
      <c r="C3734" s="142" t="s">
        <v>15860</v>
      </c>
      <c r="D3734" s="142" t="s">
        <v>15861</v>
      </c>
      <c r="E3734" s="142" t="s">
        <v>15849</v>
      </c>
      <c r="F3734" s="142" t="s">
        <v>4298</v>
      </c>
      <c r="G3734" s="142" t="s">
        <v>4297</v>
      </c>
      <c r="H3734" s="142" t="s">
        <v>19584</v>
      </c>
      <c r="I3734" s="142">
        <v>3</v>
      </c>
      <c r="J3734" s="142">
        <v>0</v>
      </c>
      <c r="K3734" s="142">
        <v>0</v>
      </c>
      <c r="L3734" s="142">
        <v>3</v>
      </c>
      <c r="M3734" s="142">
        <v>0</v>
      </c>
    </row>
    <row r="3735" spans="1:13" x14ac:dyDescent="0.45">
      <c r="A3735" s="142" t="s">
        <v>13103</v>
      </c>
      <c r="B3735" s="142" t="s">
        <v>14623</v>
      </c>
      <c r="C3735" s="142" t="s">
        <v>15847</v>
      </c>
      <c r="D3735" s="142" t="s">
        <v>15848</v>
      </c>
      <c r="E3735" s="142" t="s">
        <v>15849</v>
      </c>
      <c r="F3735" s="142" t="s">
        <v>4298</v>
      </c>
      <c r="G3735" s="142" t="s">
        <v>4297</v>
      </c>
      <c r="H3735" s="142" t="s">
        <v>19585</v>
      </c>
      <c r="I3735" s="142">
        <v>185</v>
      </c>
      <c r="J3735" s="142">
        <v>93</v>
      </c>
      <c r="K3735" s="142">
        <v>0</v>
      </c>
      <c r="L3735" s="142">
        <v>91</v>
      </c>
      <c r="M3735" s="142">
        <v>1</v>
      </c>
    </row>
    <row r="3736" spans="1:13" x14ac:dyDescent="0.45">
      <c r="A3736" s="142" t="s">
        <v>13008</v>
      </c>
      <c r="B3736" s="142" t="s">
        <v>15411</v>
      </c>
      <c r="C3736" s="142" t="s">
        <v>15847</v>
      </c>
      <c r="D3736" s="142" t="s">
        <v>15848</v>
      </c>
      <c r="E3736" s="142" t="s">
        <v>15849</v>
      </c>
      <c r="F3736" s="142" t="s">
        <v>4298</v>
      </c>
      <c r="G3736" s="142" t="s">
        <v>4297</v>
      </c>
      <c r="H3736" s="142" t="s">
        <v>19586</v>
      </c>
      <c r="I3736" s="142">
        <v>10</v>
      </c>
      <c r="J3736" s="142">
        <v>0</v>
      </c>
      <c r="K3736" s="142">
        <v>0</v>
      </c>
      <c r="L3736" s="142">
        <v>0</v>
      </c>
      <c r="M3736" s="142">
        <v>10</v>
      </c>
    </row>
    <row r="3737" spans="1:13" x14ac:dyDescent="0.45">
      <c r="A3737" s="142" t="s">
        <v>13104</v>
      </c>
      <c r="B3737" s="142" t="s">
        <v>14622</v>
      </c>
      <c r="C3737" s="142" t="s">
        <v>15847</v>
      </c>
      <c r="D3737" s="142" t="s">
        <v>15848</v>
      </c>
      <c r="E3737" s="142" t="s">
        <v>15849</v>
      </c>
      <c r="F3737" s="142" t="s">
        <v>4298</v>
      </c>
      <c r="G3737" s="142" t="s">
        <v>4297</v>
      </c>
      <c r="H3737" s="142" t="s">
        <v>19587</v>
      </c>
      <c r="I3737" s="142">
        <v>24</v>
      </c>
      <c r="J3737" s="142">
        <v>0</v>
      </c>
      <c r="K3737" s="142">
        <v>0</v>
      </c>
      <c r="L3737" s="142">
        <v>24</v>
      </c>
      <c r="M3737" s="142">
        <v>0</v>
      </c>
    </row>
    <row r="3738" spans="1:13" x14ac:dyDescent="0.45">
      <c r="A3738" s="142" t="s">
        <v>13034</v>
      </c>
      <c r="B3738" s="142" t="s">
        <v>15562</v>
      </c>
      <c r="C3738" s="142" t="s">
        <v>15847</v>
      </c>
      <c r="D3738" s="142" t="s">
        <v>15848</v>
      </c>
      <c r="E3738" s="142" t="s">
        <v>15849</v>
      </c>
      <c r="F3738" s="142" t="s">
        <v>4298</v>
      </c>
      <c r="G3738" s="142" t="s">
        <v>4297</v>
      </c>
      <c r="H3738" s="142" t="s">
        <v>19588</v>
      </c>
      <c r="I3738" s="142">
        <v>46</v>
      </c>
      <c r="J3738" s="142">
        <v>40</v>
      </c>
      <c r="K3738" s="142">
        <v>0</v>
      </c>
      <c r="L3738" s="142">
        <v>0</v>
      </c>
      <c r="M3738" s="142">
        <v>6</v>
      </c>
    </row>
    <row r="3739" spans="1:13" x14ac:dyDescent="0.45">
      <c r="A3739" s="142" t="s">
        <v>13038</v>
      </c>
      <c r="B3739" s="142" t="s">
        <v>14646</v>
      </c>
      <c r="C3739" s="142" t="s">
        <v>15847</v>
      </c>
      <c r="D3739" s="142" t="s">
        <v>15848</v>
      </c>
      <c r="E3739" s="142" t="s">
        <v>15849</v>
      </c>
      <c r="F3739" s="142" t="s">
        <v>4298</v>
      </c>
      <c r="G3739" s="142" t="s">
        <v>4297</v>
      </c>
      <c r="H3739" s="142" t="s">
        <v>19589</v>
      </c>
      <c r="I3739" s="142">
        <v>133</v>
      </c>
      <c r="J3739" s="142">
        <v>29</v>
      </c>
      <c r="K3739" s="142">
        <v>0</v>
      </c>
      <c r="L3739" s="142">
        <v>0</v>
      </c>
      <c r="M3739" s="142">
        <v>104</v>
      </c>
    </row>
    <row r="3740" spans="1:13" x14ac:dyDescent="0.45">
      <c r="A3740" s="142" t="s">
        <v>13039</v>
      </c>
      <c r="B3740" s="142" t="s">
        <v>14647</v>
      </c>
      <c r="C3740" s="142" t="s">
        <v>15847</v>
      </c>
      <c r="D3740" s="142" t="s">
        <v>15848</v>
      </c>
      <c r="E3740" s="142" t="s">
        <v>15849</v>
      </c>
      <c r="F3740" s="142" t="s">
        <v>4298</v>
      </c>
      <c r="G3740" s="142" t="s">
        <v>4297</v>
      </c>
      <c r="H3740" s="142" t="s">
        <v>19590</v>
      </c>
      <c r="I3740" s="142">
        <v>202</v>
      </c>
      <c r="J3740" s="142">
        <v>202</v>
      </c>
      <c r="K3740" s="142">
        <v>0</v>
      </c>
      <c r="L3740" s="142">
        <v>0</v>
      </c>
      <c r="M3740" s="142">
        <v>0</v>
      </c>
    </row>
    <row r="3741" spans="1:13" x14ac:dyDescent="0.45">
      <c r="A3741" s="142" t="s">
        <v>13091</v>
      </c>
      <c r="B3741" s="142" t="s">
        <v>14473</v>
      </c>
      <c r="C3741" s="142" t="s">
        <v>15847</v>
      </c>
      <c r="D3741" s="142" t="s">
        <v>15848</v>
      </c>
      <c r="E3741" s="142" t="s">
        <v>15849</v>
      </c>
      <c r="F3741" s="142" t="s">
        <v>4298</v>
      </c>
      <c r="G3741" s="142" t="s">
        <v>4297</v>
      </c>
      <c r="H3741" s="142" t="s">
        <v>19591</v>
      </c>
      <c r="I3741" s="142">
        <v>47</v>
      </c>
      <c r="J3741" s="142">
        <v>47</v>
      </c>
      <c r="K3741" s="142">
        <v>0</v>
      </c>
      <c r="L3741" s="142">
        <v>0</v>
      </c>
      <c r="M3741" s="142">
        <v>0</v>
      </c>
    </row>
    <row r="3742" spans="1:13" x14ac:dyDescent="0.45">
      <c r="A3742" s="142" t="s">
        <v>13009</v>
      </c>
      <c r="B3742" s="142" t="s">
        <v>15256</v>
      </c>
      <c r="C3742" s="142" t="s">
        <v>15847</v>
      </c>
      <c r="D3742" s="142" t="s">
        <v>15848</v>
      </c>
      <c r="E3742" s="142" t="s">
        <v>15849</v>
      </c>
      <c r="F3742" s="142" t="s">
        <v>4298</v>
      </c>
      <c r="G3742" s="142" t="s">
        <v>4297</v>
      </c>
      <c r="H3742" s="142" t="s">
        <v>19592</v>
      </c>
      <c r="I3742" s="142">
        <v>17</v>
      </c>
      <c r="J3742" s="142">
        <v>2</v>
      </c>
      <c r="K3742" s="142">
        <v>0</v>
      </c>
      <c r="L3742" s="142">
        <v>15</v>
      </c>
      <c r="M3742" s="142">
        <v>0</v>
      </c>
    </row>
    <row r="3743" spans="1:13" x14ac:dyDescent="0.45">
      <c r="A3743" s="142" t="s">
        <v>13041</v>
      </c>
      <c r="B3743" s="142" t="s">
        <v>14441</v>
      </c>
      <c r="C3743" s="142" t="s">
        <v>15847</v>
      </c>
      <c r="D3743" s="142" t="s">
        <v>15848</v>
      </c>
      <c r="E3743" s="142" t="s">
        <v>15849</v>
      </c>
      <c r="F3743" s="142" t="s">
        <v>4298</v>
      </c>
      <c r="G3743" s="142" t="s">
        <v>4297</v>
      </c>
      <c r="H3743" s="142" t="s">
        <v>19593</v>
      </c>
      <c r="I3743" s="142">
        <v>159</v>
      </c>
      <c r="J3743" s="142">
        <v>0</v>
      </c>
      <c r="K3743" s="142">
        <v>0</v>
      </c>
      <c r="L3743" s="142">
        <v>0</v>
      </c>
      <c r="M3743" s="142">
        <v>159</v>
      </c>
    </row>
    <row r="3744" spans="1:13" x14ac:dyDescent="0.45">
      <c r="A3744" s="142" t="s">
        <v>13106</v>
      </c>
      <c r="B3744" s="142" t="s">
        <v>15414</v>
      </c>
      <c r="C3744" s="142" t="s">
        <v>15847</v>
      </c>
      <c r="D3744" s="142" t="s">
        <v>15848</v>
      </c>
      <c r="E3744" s="142" t="s">
        <v>15849</v>
      </c>
      <c r="F3744" s="142" t="s">
        <v>4298</v>
      </c>
      <c r="G3744" s="142" t="s">
        <v>4297</v>
      </c>
      <c r="H3744" s="142" t="s">
        <v>19594</v>
      </c>
      <c r="I3744" s="142">
        <v>92</v>
      </c>
      <c r="J3744" s="142">
        <v>76</v>
      </c>
      <c r="K3744" s="142">
        <v>0</v>
      </c>
      <c r="L3744" s="142">
        <v>16</v>
      </c>
      <c r="M3744" s="142">
        <v>0</v>
      </c>
    </row>
    <row r="3745" spans="1:13" x14ac:dyDescent="0.45">
      <c r="A3745" s="142" t="s">
        <v>13042</v>
      </c>
      <c r="B3745" s="142" t="s">
        <v>15489</v>
      </c>
      <c r="C3745" s="142" t="s">
        <v>15847</v>
      </c>
      <c r="D3745" s="142" t="s">
        <v>15848</v>
      </c>
      <c r="E3745" s="142" t="s">
        <v>15849</v>
      </c>
      <c r="F3745" s="142" t="s">
        <v>4298</v>
      </c>
      <c r="G3745" s="142" t="s">
        <v>4297</v>
      </c>
      <c r="H3745" s="142" t="s">
        <v>19595</v>
      </c>
      <c r="I3745" s="142">
        <v>15</v>
      </c>
      <c r="J3745" s="142">
        <v>0</v>
      </c>
      <c r="K3745" s="142">
        <v>0</v>
      </c>
      <c r="L3745" s="142">
        <v>14</v>
      </c>
      <c r="M3745" s="142">
        <v>1</v>
      </c>
    </row>
    <row r="3746" spans="1:13" x14ac:dyDescent="0.45">
      <c r="A3746" s="142" t="s">
        <v>13110</v>
      </c>
      <c r="B3746" s="142" t="s">
        <v>15502</v>
      </c>
      <c r="C3746" s="142" t="s">
        <v>15847</v>
      </c>
      <c r="D3746" s="142" t="s">
        <v>15848</v>
      </c>
      <c r="E3746" s="142" t="s">
        <v>15849</v>
      </c>
      <c r="F3746" s="142" t="s">
        <v>11776</v>
      </c>
      <c r="G3746" s="142" t="s">
        <v>11775</v>
      </c>
      <c r="H3746" s="142" t="s">
        <v>19596</v>
      </c>
      <c r="I3746" s="142">
        <v>802</v>
      </c>
      <c r="J3746" s="142">
        <v>635</v>
      </c>
      <c r="K3746" s="142">
        <v>0</v>
      </c>
      <c r="L3746" s="142">
        <v>20</v>
      </c>
      <c r="M3746" s="142">
        <v>147</v>
      </c>
    </row>
    <row r="3747" spans="1:13" x14ac:dyDescent="0.45">
      <c r="A3747" s="142" t="s">
        <v>13023</v>
      </c>
      <c r="B3747" s="142" t="s">
        <v>15571</v>
      </c>
      <c r="C3747" s="142" t="s">
        <v>15847</v>
      </c>
      <c r="D3747" s="142" t="s">
        <v>15848</v>
      </c>
      <c r="E3747" s="142" t="s">
        <v>15849</v>
      </c>
      <c r="F3747" s="142" t="s">
        <v>11776</v>
      </c>
      <c r="G3747" s="142" t="s">
        <v>11775</v>
      </c>
      <c r="H3747" s="142" t="s">
        <v>19597</v>
      </c>
      <c r="I3747" s="142">
        <v>185</v>
      </c>
      <c r="J3747" s="142">
        <v>0</v>
      </c>
      <c r="K3747" s="142">
        <v>0</v>
      </c>
      <c r="L3747" s="142">
        <v>127</v>
      </c>
      <c r="M3747" s="142">
        <v>58</v>
      </c>
    </row>
    <row r="3748" spans="1:13" x14ac:dyDescent="0.45">
      <c r="A3748" s="142" t="s">
        <v>13082</v>
      </c>
      <c r="B3748" s="142" t="s">
        <v>14478</v>
      </c>
      <c r="C3748" s="142" t="s">
        <v>15860</v>
      </c>
      <c r="D3748" s="142" t="s">
        <v>15861</v>
      </c>
      <c r="E3748" s="142" t="s">
        <v>15849</v>
      </c>
      <c r="F3748" s="142" t="s">
        <v>11776</v>
      </c>
      <c r="G3748" s="142" t="s">
        <v>11775</v>
      </c>
      <c r="H3748" s="142" t="s">
        <v>19598</v>
      </c>
      <c r="I3748" s="142">
        <v>10</v>
      </c>
      <c r="J3748" s="142">
        <v>0</v>
      </c>
      <c r="K3748" s="142">
        <v>0</v>
      </c>
      <c r="L3748" s="142">
        <v>10</v>
      </c>
      <c r="M3748" s="142">
        <v>0</v>
      </c>
    </row>
    <row r="3749" spans="1:13" x14ac:dyDescent="0.45">
      <c r="A3749" s="142" t="s">
        <v>13065</v>
      </c>
      <c r="B3749" s="142" t="s">
        <v>14497</v>
      </c>
      <c r="C3749" s="142" t="s">
        <v>15847</v>
      </c>
      <c r="D3749" s="142" t="s">
        <v>15848</v>
      </c>
      <c r="E3749" s="142" t="s">
        <v>15849</v>
      </c>
      <c r="F3749" s="142" t="s">
        <v>11776</v>
      </c>
      <c r="G3749" s="142" t="s">
        <v>11775</v>
      </c>
      <c r="H3749" s="142" t="s">
        <v>19599</v>
      </c>
      <c r="I3749" s="142">
        <v>11</v>
      </c>
      <c r="J3749" s="142">
        <v>0</v>
      </c>
      <c r="K3749" s="142">
        <v>0</v>
      </c>
      <c r="L3749" s="142">
        <v>11</v>
      </c>
      <c r="M3749" s="142">
        <v>0</v>
      </c>
    </row>
    <row r="3750" spans="1:13" x14ac:dyDescent="0.45">
      <c r="A3750" s="142" t="s">
        <v>13159</v>
      </c>
      <c r="B3750" s="142" t="s">
        <v>14521</v>
      </c>
      <c r="C3750" s="142" t="s">
        <v>15860</v>
      </c>
      <c r="D3750" s="142" t="s">
        <v>15861</v>
      </c>
      <c r="E3750" s="142" t="s">
        <v>15849</v>
      </c>
      <c r="F3750" s="142" t="s">
        <v>11776</v>
      </c>
      <c r="G3750" s="142" t="s">
        <v>11775</v>
      </c>
      <c r="H3750" s="142" t="s">
        <v>19600</v>
      </c>
      <c r="I3750" s="142">
        <v>35</v>
      </c>
      <c r="J3750" s="142">
        <v>0</v>
      </c>
      <c r="K3750" s="142">
        <v>0</v>
      </c>
      <c r="L3750" s="142">
        <v>35</v>
      </c>
      <c r="M3750" s="142">
        <v>0</v>
      </c>
    </row>
    <row r="3751" spans="1:13" x14ac:dyDescent="0.45">
      <c r="A3751" s="142" t="s">
        <v>13000</v>
      </c>
      <c r="B3751" s="142" t="s">
        <v>14610</v>
      </c>
      <c r="C3751" s="142" t="s">
        <v>15847</v>
      </c>
      <c r="D3751" s="142" t="s">
        <v>15848</v>
      </c>
      <c r="E3751" s="142" t="s">
        <v>15849</v>
      </c>
      <c r="F3751" s="142" t="s">
        <v>11776</v>
      </c>
      <c r="G3751" s="142" t="s">
        <v>11775</v>
      </c>
      <c r="H3751" s="142" t="s">
        <v>19601</v>
      </c>
      <c r="I3751" s="142">
        <v>16</v>
      </c>
      <c r="J3751" s="142">
        <v>15</v>
      </c>
      <c r="K3751" s="142">
        <v>0</v>
      </c>
      <c r="L3751" s="142">
        <v>0</v>
      </c>
      <c r="M3751" s="142">
        <v>1</v>
      </c>
    </row>
    <row r="3752" spans="1:13" x14ac:dyDescent="0.45">
      <c r="A3752" s="142" t="s">
        <v>13098</v>
      </c>
      <c r="B3752" s="142" t="s">
        <v>14528</v>
      </c>
      <c r="C3752" s="142" t="s">
        <v>15860</v>
      </c>
      <c r="D3752" s="142" t="s">
        <v>15861</v>
      </c>
      <c r="E3752" s="142" t="s">
        <v>15849</v>
      </c>
      <c r="F3752" s="142" t="s">
        <v>11776</v>
      </c>
      <c r="G3752" s="142" t="s">
        <v>11775</v>
      </c>
      <c r="H3752" s="142" t="s">
        <v>19602</v>
      </c>
      <c r="I3752" s="142">
        <v>2</v>
      </c>
      <c r="J3752" s="142">
        <v>0</v>
      </c>
      <c r="K3752" s="142">
        <v>2</v>
      </c>
      <c r="L3752" s="142">
        <v>0</v>
      </c>
      <c r="M3752" s="142">
        <v>0</v>
      </c>
    </row>
    <row r="3753" spans="1:13" x14ac:dyDescent="0.45">
      <c r="A3753" s="142" t="s">
        <v>13398</v>
      </c>
      <c r="B3753" s="142" t="s">
        <v>15297</v>
      </c>
      <c r="C3753" s="142" t="s">
        <v>15860</v>
      </c>
      <c r="D3753" s="142" t="s">
        <v>15861</v>
      </c>
      <c r="E3753" s="142" t="s">
        <v>15849</v>
      </c>
      <c r="F3753" s="142" t="s">
        <v>11776</v>
      </c>
      <c r="G3753" s="142" t="s">
        <v>11775</v>
      </c>
      <c r="H3753" s="142" t="s">
        <v>19603</v>
      </c>
      <c r="I3753" s="142">
        <v>328</v>
      </c>
      <c r="J3753" s="142">
        <v>34</v>
      </c>
      <c r="K3753" s="142">
        <v>0</v>
      </c>
      <c r="L3753" s="142">
        <v>294</v>
      </c>
      <c r="M3753" s="142">
        <v>0</v>
      </c>
    </row>
    <row r="3754" spans="1:13" x14ac:dyDescent="0.45">
      <c r="A3754" s="142" t="s">
        <v>13028</v>
      </c>
      <c r="B3754" s="142" t="s">
        <v>14462</v>
      </c>
      <c r="C3754" s="142" t="s">
        <v>15847</v>
      </c>
      <c r="D3754" s="142" t="s">
        <v>15848</v>
      </c>
      <c r="E3754" s="142" t="s">
        <v>15849</v>
      </c>
      <c r="F3754" s="142" t="s">
        <v>11776</v>
      </c>
      <c r="G3754" s="142" t="s">
        <v>11775</v>
      </c>
      <c r="H3754" s="142" t="s">
        <v>19604</v>
      </c>
      <c r="I3754" s="142">
        <v>12</v>
      </c>
      <c r="J3754" s="142">
        <v>0</v>
      </c>
      <c r="K3754" s="142">
        <v>0</v>
      </c>
      <c r="L3754" s="142">
        <v>0</v>
      </c>
      <c r="M3754" s="142">
        <v>12</v>
      </c>
    </row>
    <row r="3755" spans="1:13" x14ac:dyDescent="0.45">
      <c r="A3755" s="142" t="s">
        <v>13002</v>
      </c>
      <c r="B3755" s="142" t="s">
        <v>15376</v>
      </c>
      <c r="C3755" s="142" t="s">
        <v>15847</v>
      </c>
      <c r="D3755" s="142" t="s">
        <v>15848</v>
      </c>
      <c r="E3755" s="142" t="s">
        <v>15849</v>
      </c>
      <c r="F3755" s="142" t="s">
        <v>11776</v>
      </c>
      <c r="G3755" s="142" t="s">
        <v>11775</v>
      </c>
      <c r="H3755" s="142" t="s">
        <v>19605</v>
      </c>
      <c r="I3755" s="142">
        <v>838</v>
      </c>
      <c r="J3755" s="142">
        <v>781</v>
      </c>
      <c r="K3755" s="142">
        <v>0</v>
      </c>
      <c r="L3755" s="142">
        <v>31</v>
      </c>
      <c r="M3755" s="142">
        <v>26</v>
      </c>
    </row>
    <row r="3756" spans="1:13" x14ac:dyDescent="0.45">
      <c r="A3756" s="142" t="s">
        <v>13004</v>
      </c>
      <c r="B3756" s="142" t="s">
        <v>15492</v>
      </c>
      <c r="C3756" s="142" t="s">
        <v>15847</v>
      </c>
      <c r="D3756" s="142" t="s">
        <v>15848</v>
      </c>
      <c r="E3756" s="142" t="s">
        <v>15849</v>
      </c>
      <c r="F3756" s="142" t="s">
        <v>11776</v>
      </c>
      <c r="G3756" s="142" t="s">
        <v>11775</v>
      </c>
      <c r="H3756" s="142" t="s">
        <v>19606</v>
      </c>
      <c r="I3756" s="142">
        <v>289</v>
      </c>
      <c r="J3756" s="142">
        <v>217</v>
      </c>
      <c r="K3756" s="142">
        <v>0</v>
      </c>
      <c r="L3756" s="142">
        <v>0</v>
      </c>
      <c r="M3756" s="142">
        <v>72</v>
      </c>
    </row>
    <row r="3757" spans="1:13" x14ac:dyDescent="0.45">
      <c r="A3757" s="142" t="s">
        <v>13124</v>
      </c>
      <c r="B3757" s="142" t="s">
        <v>15554</v>
      </c>
      <c r="C3757" s="142" t="s">
        <v>15860</v>
      </c>
      <c r="D3757" s="142" t="s">
        <v>15861</v>
      </c>
      <c r="E3757" s="142" t="s">
        <v>15849</v>
      </c>
      <c r="F3757" s="142" t="s">
        <v>11776</v>
      </c>
      <c r="G3757" s="142" t="s">
        <v>11775</v>
      </c>
      <c r="H3757" s="142" t="s">
        <v>19607</v>
      </c>
      <c r="I3757" s="142">
        <v>5</v>
      </c>
      <c r="J3757" s="142">
        <v>5</v>
      </c>
      <c r="K3757" s="142">
        <v>0</v>
      </c>
      <c r="L3757" s="142">
        <v>0</v>
      </c>
      <c r="M3757" s="142">
        <v>0</v>
      </c>
    </row>
    <row r="3758" spans="1:13" x14ac:dyDescent="0.45">
      <c r="A3758" s="142" t="s">
        <v>13125</v>
      </c>
      <c r="B3758" s="142" t="s">
        <v>15515</v>
      </c>
      <c r="C3758" s="142" t="s">
        <v>15860</v>
      </c>
      <c r="D3758" s="142" t="s">
        <v>15861</v>
      </c>
      <c r="E3758" s="142" t="s">
        <v>15849</v>
      </c>
      <c r="F3758" s="142" t="s">
        <v>11776</v>
      </c>
      <c r="G3758" s="142" t="s">
        <v>11775</v>
      </c>
      <c r="H3758" s="142" t="s">
        <v>19608</v>
      </c>
      <c r="I3758" s="142">
        <v>33</v>
      </c>
      <c r="J3758" s="142">
        <v>0</v>
      </c>
      <c r="K3758" s="142">
        <v>0</v>
      </c>
      <c r="L3758" s="142">
        <v>33</v>
      </c>
      <c r="M3758" s="142">
        <v>0</v>
      </c>
    </row>
    <row r="3759" spans="1:13" x14ac:dyDescent="0.45">
      <c r="A3759" s="142" t="s">
        <v>13127</v>
      </c>
      <c r="B3759" s="142" t="s">
        <v>15549</v>
      </c>
      <c r="C3759" s="142" t="s">
        <v>15847</v>
      </c>
      <c r="D3759" s="142" t="s">
        <v>15848</v>
      </c>
      <c r="E3759" s="142" t="s">
        <v>15849</v>
      </c>
      <c r="F3759" s="142" t="s">
        <v>11776</v>
      </c>
      <c r="G3759" s="142" t="s">
        <v>11775</v>
      </c>
      <c r="H3759" s="142" t="s">
        <v>19609</v>
      </c>
      <c r="I3759" s="142">
        <v>169</v>
      </c>
      <c r="J3759" s="142">
        <v>160</v>
      </c>
      <c r="K3759" s="142">
        <v>0</v>
      </c>
      <c r="L3759" s="142">
        <v>0</v>
      </c>
      <c r="M3759" s="142">
        <v>9</v>
      </c>
    </row>
    <row r="3760" spans="1:13" x14ac:dyDescent="0.45">
      <c r="A3760" s="142" t="s">
        <v>13005</v>
      </c>
      <c r="B3760" s="142" t="s">
        <v>15475</v>
      </c>
      <c r="C3760" s="142" t="s">
        <v>15847</v>
      </c>
      <c r="D3760" s="142" t="s">
        <v>15848</v>
      </c>
      <c r="E3760" s="142" t="s">
        <v>15849</v>
      </c>
      <c r="F3760" s="142" t="s">
        <v>11776</v>
      </c>
      <c r="G3760" s="142" t="s">
        <v>11775</v>
      </c>
      <c r="H3760" s="142" t="s">
        <v>19610</v>
      </c>
      <c r="I3760" s="142">
        <v>115</v>
      </c>
      <c r="J3760" s="142">
        <v>113</v>
      </c>
      <c r="K3760" s="142">
        <v>0</v>
      </c>
      <c r="L3760" s="142">
        <v>0</v>
      </c>
      <c r="M3760" s="142">
        <v>2</v>
      </c>
    </row>
    <row r="3761" spans="1:13" x14ac:dyDescent="0.45">
      <c r="A3761" s="142" t="s">
        <v>13029</v>
      </c>
      <c r="B3761" s="142" t="s">
        <v>14665</v>
      </c>
      <c r="C3761" s="142" t="s">
        <v>15847</v>
      </c>
      <c r="D3761" s="142" t="s">
        <v>15848</v>
      </c>
      <c r="E3761" s="142" t="s">
        <v>15849</v>
      </c>
      <c r="F3761" s="142" t="s">
        <v>11776</v>
      </c>
      <c r="G3761" s="142" t="s">
        <v>11775</v>
      </c>
      <c r="H3761" s="142" t="s">
        <v>19611</v>
      </c>
      <c r="I3761" s="142">
        <v>159</v>
      </c>
      <c r="J3761" s="142">
        <v>0</v>
      </c>
      <c r="K3761" s="142">
        <v>0</v>
      </c>
      <c r="L3761" s="142">
        <v>0</v>
      </c>
      <c r="M3761" s="142">
        <v>159</v>
      </c>
    </row>
    <row r="3762" spans="1:13" x14ac:dyDescent="0.45">
      <c r="A3762" s="142" t="s">
        <v>13006</v>
      </c>
      <c r="B3762" s="142" t="s">
        <v>15288</v>
      </c>
      <c r="C3762" s="142" t="s">
        <v>15847</v>
      </c>
      <c r="D3762" s="142" t="s">
        <v>15848</v>
      </c>
      <c r="E3762" s="142" t="s">
        <v>15849</v>
      </c>
      <c r="F3762" s="142" t="s">
        <v>11776</v>
      </c>
      <c r="G3762" s="142" t="s">
        <v>11775</v>
      </c>
      <c r="H3762" s="142" t="s">
        <v>19612</v>
      </c>
      <c r="I3762" s="142">
        <v>653</v>
      </c>
      <c r="J3762" s="142">
        <v>483</v>
      </c>
      <c r="K3762" s="142">
        <v>0</v>
      </c>
      <c r="L3762" s="142">
        <v>38</v>
      </c>
      <c r="M3762" s="142">
        <v>132</v>
      </c>
    </row>
    <row r="3763" spans="1:13" x14ac:dyDescent="0.45">
      <c r="A3763" s="142" t="s">
        <v>13007</v>
      </c>
      <c r="B3763" s="142" t="s">
        <v>15262</v>
      </c>
      <c r="C3763" s="142" t="s">
        <v>15847</v>
      </c>
      <c r="D3763" s="142" t="s">
        <v>15848</v>
      </c>
      <c r="E3763" s="142" t="s">
        <v>15849</v>
      </c>
      <c r="F3763" s="142" t="s">
        <v>11776</v>
      </c>
      <c r="G3763" s="142" t="s">
        <v>11775</v>
      </c>
      <c r="H3763" s="142" t="s">
        <v>19613</v>
      </c>
      <c r="I3763" s="142">
        <v>1</v>
      </c>
      <c r="J3763" s="142">
        <v>0</v>
      </c>
      <c r="K3763" s="142">
        <v>0</v>
      </c>
      <c r="L3763" s="142">
        <v>0</v>
      </c>
      <c r="M3763" s="142">
        <v>1</v>
      </c>
    </row>
    <row r="3764" spans="1:13" x14ac:dyDescent="0.45">
      <c r="A3764" s="142" t="s">
        <v>13103</v>
      </c>
      <c r="B3764" s="142" t="s">
        <v>14623</v>
      </c>
      <c r="C3764" s="142" t="s">
        <v>15847</v>
      </c>
      <c r="D3764" s="142" t="s">
        <v>15848</v>
      </c>
      <c r="E3764" s="142" t="s">
        <v>15849</v>
      </c>
      <c r="F3764" s="142" t="s">
        <v>11776</v>
      </c>
      <c r="G3764" s="142" t="s">
        <v>11775</v>
      </c>
      <c r="H3764" s="142" t="s">
        <v>19614</v>
      </c>
      <c r="I3764" s="142">
        <v>606</v>
      </c>
      <c r="J3764" s="142">
        <v>420</v>
      </c>
      <c r="K3764" s="142">
        <v>0</v>
      </c>
      <c r="L3764" s="142">
        <v>100</v>
      </c>
      <c r="M3764" s="142">
        <v>86</v>
      </c>
    </row>
    <row r="3765" spans="1:13" x14ac:dyDescent="0.45">
      <c r="A3765" s="142" t="s">
        <v>13054</v>
      </c>
      <c r="B3765" s="142" t="s">
        <v>15604</v>
      </c>
      <c r="C3765" s="142" t="s">
        <v>15847</v>
      </c>
      <c r="D3765" s="142" t="s">
        <v>15848</v>
      </c>
      <c r="E3765" s="142" t="s">
        <v>15849</v>
      </c>
      <c r="F3765" s="142" t="s">
        <v>11776</v>
      </c>
      <c r="G3765" s="142" t="s">
        <v>11775</v>
      </c>
      <c r="H3765" s="142" t="s">
        <v>19615</v>
      </c>
      <c r="I3765" s="142">
        <v>57</v>
      </c>
      <c r="J3765" s="142">
        <v>0</v>
      </c>
      <c r="K3765" s="142">
        <v>0</v>
      </c>
      <c r="L3765" s="142">
        <v>0</v>
      </c>
      <c r="M3765" s="142">
        <v>57</v>
      </c>
    </row>
    <row r="3766" spans="1:13" x14ac:dyDescent="0.45">
      <c r="A3766" s="142" t="s">
        <v>13129</v>
      </c>
      <c r="B3766" s="142" t="s">
        <v>15284</v>
      </c>
      <c r="C3766" s="142" t="s">
        <v>15847</v>
      </c>
      <c r="D3766" s="142" t="s">
        <v>15848</v>
      </c>
      <c r="E3766" s="142" t="s">
        <v>15849</v>
      </c>
      <c r="F3766" s="142" t="s">
        <v>11776</v>
      </c>
      <c r="G3766" s="142" t="s">
        <v>11775</v>
      </c>
      <c r="H3766" s="142" t="s">
        <v>19616</v>
      </c>
      <c r="I3766" s="142">
        <v>80</v>
      </c>
      <c r="J3766" s="142">
        <v>37</v>
      </c>
      <c r="K3766" s="142">
        <v>0</v>
      </c>
      <c r="L3766" s="142">
        <v>0</v>
      </c>
      <c r="M3766" s="142">
        <v>43</v>
      </c>
    </row>
    <row r="3767" spans="1:13" x14ac:dyDescent="0.45">
      <c r="A3767" s="142" t="s">
        <v>13133</v>
      </c>
      <c r="B3767" s="142" t="s">
        <v>15291</v>
      </c>
      <c r="C3767" s="142" t="s">
        <v>15847</v>
      </c>
      <c r="D3767" s="142" t="s">
        <v>15848</v>
      </c>
      <c r="E3767" s="142" t="s">
        <v>15849</v>
      </c>
      <c r="F3767" s="142" t="s">
        <v>11776</v>
      </c>
      <c r="G3767" s="142" t="s">
        <v>11775</v>
      </c>
      <c r="H3767" s="142" t="s">
        <v>19617</v>
      </c>
      <c r="I3767" s="142">
        <v>403</v>
      </c>
      <c r="J3767" s="142">
        <v>213</v>
      </c>
      <c r="K3767" s="142">
        <v>0</v>
      </c>
      <c r="L3767" s="142">
        <v>0</v>
      </c>
      <c r="M3767" s="142">
        <v>190</v>
      </c>
    </row>
    <row r="3768" spans="1:13" x14ac:dyDescent="0.45">
      <c r="A3768" s="142" t="s">
        <v>13135</v>
      </c>
      <c r="B3768" s="142" t="s">
        <v>15575</v>
      </c>
      <c r="C3768" s="142" t="s">
        <v>15847</v>
      </c>
      <c r="D3768" s="142" t="s">
        <v>15848</v>
      </c>
      <c r="E3768" s="142" t="s">
        <v>15849</v>
      </c>
      <c r="F3768" s="142" t="s">
        <v>11776</v>
      </c>
      <c r="G3768" s="142" t="s">
        <v>11775</v>
      </c>
      <c r="H3768" s="142" t="s">
        <v>19618</v>
      </c>
      <c r="I3768" s="142">
        <v>150</v>
      </c>
      <c r="J3768" s="142">
        <v>145</v>
      </c>
      <c r="K3768" s="142">
        <v>0</v>
      </c>
      <c r="L3768" s="142">
        <v>0</v>
      </c>
      <c r="M3768" s="142">
        <v>5</v>
      </c>
    </row>
    <row r="3769" spans="1:13" x14ac:dyDescent="0.45">
      <c r="A3769" s="142" t="s">
        <v>13055</v>
      </c>
      <c r="B3769" s="142" t="s">
        <v>14595</v>
      </c>
      <c r="C3769" s="142" t="s">
        <v>15847</v>
      </c>
      <c r="D3769" s="142" t="s">
        <v>15848</v>
      </c>
      <c r="E3769" s="142" t="s">
        <v>15849</v>
      </c>
      <c r="F3769" s="142" t="s">
        <v>11776</v>
      </c>
      <c r="G3769" s="142" t="s">
        <v>11775</v>
      </c>
      <c r="H3769" s="142" t="s">
        <v>19619</v>
      </c>
      <c r="I3769" s="142">
        <v>77</v>
      </c>
      <c r="J3769" s="142">
        <v>40</v>
      </c>
      <c r="K3769" s="142">
        <v>0</v>
      </c>
      <c r="L3769" s="142">
        <v>30</v>
      </c>
      <c r="M3769" s="142">
        <v>7</v>
      </c>
    </row>
    <row r="3770" spans="1:13" x14ac:dyDescent="0.45">
      <c r="A3770" s="142" t="s">
        <v>13104</v>
      </c>
      <c r="B3770" s="142" t="s">
        <v>14622</v>
      </c>
      <c r="C3770" s="142" t="s">
        <v>15847</v>
      </c>
      <c r="D3770" s="142" t="s">
        <v>15848</v>
      </c>
      <c r="E3770" s="142" t="s">
        <v>15849</v>
      </c>
      <c r="F3770" s="142" t="s">
        <v>11776</v>
      </c>
      <c r="G3770" s="142" t="s">
        <v>11775</v>
      </c>
      <c r="H3770" s="142" t="s">
        <v>19620</v>
      </c>
      <c r="I3770" s="142">
        <v>149</v>
      </c>
      <c r="J3770" s="142">
        <v>102</v>
      </c>
      <c r="K3770" s="142">
        <v>0</v>
      </c>
      <c r="L3770" s="142">
        <v>0</v>
      </c>
      <c r="M3770" s="142">
        <v>47</v>
      </c>
    </row>
    <row r="3771" spans="1:13" x14ac:dyDescent="0.45">
      <c r="A3771" s="142" t="s">
        <v>13762</v>
      </c>
      <c r="B3771" s="142" t="s">
        <v>15332</v>
      </c>
      <c r="C3771" s="142" t="s">
        <v>15860</v>
      </c>
      <c r="D3771" s="142" t="s">
        <v>15861</v>
      </c>
      <c r="E3771" s="142" t="s">
        <v>15849</v>
      </c>
      <c r="F3771" s="142" t="s">
        <v>11776</v>
      </c>
      <c r="G3771" s="142" t="s">
        <v>11775</v>
      </c>
      <c r="H3771" s="142" t="s">
        <v>19621</v>
      </c>
      <c r="I3771" s="142">
        <v>30</v>
      </c>
      <c r="J3771" s="142">
        <v>0</v>
      </c>
      <c r="K3771" s="142">
        <v>0</v>
      </c>
      <c r="L3771" s="142">
        <v>30</v>
      </c>
      <c r="M3771" s="142">
        <v>0</v>
      </c>
    </row>
    <row r="3772" spans="1:13" x14ac:dyDescent="0.45">
      <c r="A3772" s="142" t="s">
        <v>13039</v>
      </c>
      <c r="B3772" s="142" t="s">
        <v>14647</v>
      </c>
      <c r="C3772" s="142" t="s">
        <v>15847</v>
      </c>
      <c r="D3772" s="142" t="s">
        <v>15848</v>
      </c>
      <c r="E3772" s="142" t="s">
        <v>15849</v>
      </c>
      <c r="F3772" s="142" t="s">
        <v>11776</v>
      </c>
      <c r="G3772" s="142" t="s">
        <v>11775</v>
      </c>
      <c r="H3772" s="142" t="s">
        <v>19622</v>
      </c>
      <c r="I3772" s="142">
        <v>33</v>
      </c>
      <c r="J3772" s="142">
        <v>33</v>
      </c>
      <c r="K3772" s="142">
        <v>0</v>
      </c>
      <c r="L3772" s="142">
        <v>0</v>
      </c>
      <c r="M3772" s="142">
        <v>0</v>
      </c>
    </row>
    <row r="3773" spans="1:13" x14ac:dyDescent="0.45">
      <c r="A3773" s="142" t="s">
        <v>13078</v>
      </c>
      <c r="B3773" s="142" t="s">
        <v>15540</v>
      </c>
      <c r="C3773" s="142" t="s">
        <v>15847</v>
      </c>
      <c r="D3773" s="142" t="s">
        <v>15848</v>
      </c>
      <c r="E3773" s="142" t="s">
        <v>15849</v>
      </c>
      <c r="F3773" s="142" t="s">
        <v>11776</v>
      </c>
      <c r="G3773" s="142" t="s">
        <v>11775</v>
      </c>
      <c r="H3773" s="142" t="s">
        <v>19623</v>
      </c>
      <c r="I3773" s="142">
        <v>2</v>
      </c>
      <c r="J3773" s="142">
        <v>2</v>
      </c>
      <c r="K3773" s="142">
        <v>0</v>
      </c>
      <c r="L3773" s="142">
        <v>0</v>
      </c>
      <c r="M3773" s="142">
        <v>0</v>
      </c>
    </row>
    <row r="3774" spans="1:13" x14ac:dyDescent="0.45">
      <c r="A3774" s="142" t="s">
        <v>13009</v>
      </c>
      <c r="B3774" s="142" t="s">
        <v>15256</v>
      </c>
      <c r="C3774" s="142" t="s">
        <v>15847</v>
      </c>
      <c r="D3774" s="142" t="s">
        <v>15848</v>
      </c>
      <c r="E3774" s="142" t="s">
        <v>15849</v>
      </c>
      <c r="F3774" s="142" t="s">
        <v>11776</v>
      </c>
      <c r="G3774" s="142" t="s">
        <v>11775</v>
      </c>
      <c r="H3774" s="142" t="s">
        <v>19624</v>
      </c>
      <c r="I3774" s="142">
        <v>31</v>
      </c>
      <c r="J3774" s="142">
        <v>0</v>
      </c>
      <c r="K3774" s="142">
        <v>0</v>
      </c>
      <c r="L3774" s="142">
        <v>31</v>
      </c>
      <c r="M3774" s="142">
        <v>0</v>
      </c>
    </row>
    <row r="3775" spans="1:13" x14ac:dyDescent="0.45">
      <c r="A3775" s="142" t="s">
        <v>13011</v>
      </c>
      <c r="B3775" s="142" t="s">
        <v>14695</v>
      </c>
      <c r="C3775" s="142" t="s">
        <v>15847</v>
      </c>
      <c r="D3775" s="142" t="s">
        <v>15848</v>
      </c>
      <c r="E3775" s="142" t="s">
        <v>15849</v>
      </c>
      <c r="F3775" s="142" t="s">
        <v>11776</v>
      </c>
      <c r="G3775" s="142" t="s">
        <v>11775</v>
      </c>
      <c r="H3775" s="142" t="s">
        <v>19625</v>
      </c>
      <c r="I3775" s="142">
        <v>4</v>
      </c>
      <c r="J3775" s="142">
        <v>2</v>
      </c>
      <c r="K3775" s="142">
        <v>0</v>
      </c>
      <c r="L3775" s="142">
        <v>0</v>
      </c>
      <c r="M3775" s="142">
        <v>2</v>
      </c>
    </row>
    <row r="3776" spans="1:13" x14ac:dyDescent="0.45">
      <c r="A3776" s="142" t="s">
        <v>13058</v>
      </c>
      <c r="B3776" s="142" t="s">
        <v>14584</v>
      </c>
      <c r="C3776" s="142" t="s">
        <v>15847</v>
      </c>
      <c r="D3776" s="142" t="s">
        <v>15848</v>
      </c>
      <c r="E3776" s="142" t="s">
        <v>15849</v>
      </c>
      <c r="F3776" s="142" t="s">
        <v>11776</v>
      </c>
      <c r="G3776" s="142" t="s">
        <v>11775</v>
      </c>
      <c r="H3776" s="142" t="s">
        <v>19626</v>
      </c>
      <c r="I3776" s="142">
        <v>615</v>
      </c>
      <c r="J3776" s="142">
        <v>382</v>
      </c>
      <c r="K3776" s="142">
        <v>6</v>
      </c>
      <c r="L3776" s="142">
        <v>58</v>
      </c>
      <c r="M3776" s="142">
        <v>169</v>
      </c>
    </row>
    <row r="3777" spans="1:13" x14ac:dyDescent="0.45">
      <c r="A3777" s="142" t="s">
        <v>13041</v>
      </c>
      <c r="B3777" s="142" t="s">
        <v>14441</v>
      </c>
      <c r="C3777" s="142" t="s">
        <v>15847</v>
      </c>
      <c r="D3777" s="142" t="s">
        <v>15848</v>
      </c>
      <c r="E3777" s="142" t="s">
        <v>15849</v>
      </c>
      <c r="F3777" s="142" t="s">
        <v>11776</v>
      </c>
      <c r="G3777" s="142" t="s">
        <v>11775</v>
      </c>
      <c r="H3777" s="142" t="s">
        <v>19627</v>
      </c>
      <c r="I3777" s="142">
        <v>18</v>
      </c>
      <c r="J3777" s="142">
        <v>0</v>
      </c>
      <c r="K3777" s="142">
        <v>0</v>
      </c>
      <c r="L3777" s="142">
        <v>0</v>
      </c>
      <c r="M3777" s="142">
        <v>18</v>
      </c>
    </row>
    <row r="3778" spans="1:13" x14ac:dyDescent="0.45">
      <c r="A3778" s="142" t="s">
        <v>13344</v>
      </c>
      <c r="B3778" s="142" t="s">
        <v>15448</v>
      </c>
      <c r="C3778" s="142" t="s">
        <v>15860</v>
      </c>
      <c r="D3778" s="142" t="s">
        <v>15861</v>
      </c>
      <c r="E3778" s="142" t="s">
        <v>15849</v>
      </c>
      <c r="F3778" s="142" t="s">
        <v>11776</v>
      </c>
      <c r="G3778" s="142" t="s">
        <v>11775</v>
      </c>
      <c r="H3778" s="142" t="s">
        <v>19628</v>
      </c>
      <c r="I3778" s="142">
        <v>11</v>
      </c>
      <c r="J3778" s="142">
        <v>11</v>
      </c>
      <c r="K3778" s="142">
        <v>0</v>
      </c>
      <c r="L3778" s="142">
        <v>0</v>
      </c>
      <c r="M3778" s="142">
        <v>0</v>
      </c>
    </row>
    <row r="3779" spans="1:13" x14ac:dyDescent="0.45">
      <c r="A3779" s="142" t="s">
        <v>13014</v>
      </c>
      <c r="B3779" s="142" t="s">
        <v>14505</v>
      </c>
      <c r="C3779" s="142" t="s">
        <v>15847</v>
      </c>
      <c r="D3779" s="142" t="s">
        <v>15848</v>
      </c>
      <c r="E3779" s="142" t="s">
        <v>15849</v>
      </c>
      <c r="F3779" s="142" t="s">
        <v>11776</v>
      </c>
      <c r="G3779" s="142" t="s">
        <v>11775</v>
      </c>
      <c r="H3779" s="142" t="s">
        <v>19629</v>
      </c>
      <c r="I3779" s="142">
        <v>44</v>
      </c>
      <c r="J3779" s="142">
        <v>42</v>
      </c>
      <c r="K3779" s="142">
        <v>0</v>
      </c>
      <c r="L3779" s="142">
        <v>0</v>
      </c>
      <c r="M3779" s="142">
        <v>2</v>
      </c>
    </row>
    <row r="3780" spans="1:13" x14ac:dyDescent="0.45">
      <c r="A3780" s="142" t="s">
        <v>13042</v>
      </c>
      <c r="B3780" s="142" t="s">
        <v>15489</v>
      </c>
      <c r="C3780" s="142" t="s">
        <v>15847</v>
      </c>
      <c r="D3780" s="142" t="s">
        <v>15848</v>
      </c>
      <c r="E3780" s="142" t="s">
        <v>15849</v>
      </c>
      <c r="F3780" s="142" t="s">
        <v>11776</v>
      </c>
      <c r="G3780" s="142" t="s">
        <v>11775</v>
      </c>
      <c r="H3780" s="142" t="s">
        <v>19630</v>
      </c>
      <c r="I3780" s="142">
        <v>17</v>
      </c>
      <c r="J3780" s="142">
        <v>4</v>
      </c>
      <c r="K3780" s="142">
        <v>0</v>
      </c>
      <c r="L3780" s="142">
        <v>0</v>
      </c>
      <c r="M3780" s="142">
        <v>13</v>
      </c>
    </row>
    <row r="3781" spans="1:13" x14ac:dyDescent="0.45">
      <c r="A3781" s="142" t="s">
        <v>13144</v>
      </c>
      <c r="B3781" s="142" t="s">
        <v>14464</v>
      </c>
      <c r="C3781" s="142" t="s">
        <v>15860</v>
      </c>
      <c r="D3781" s="142" t="s">
        <v>15861</v>
      </c>
      <c r="E3781" s="142" t="s">
        <v>15849</v>
      </c>
      <c r="F3781" s="142" t="s">
        <v>11776</v>
      </c>
      <c r="G3781" s="142" t="s">
        <v>11775</v>
      </c>
      <c r="H3781" s="142" t="s">
        <v>19631</v>
      </c>
      <c r="I3781" s="142">
        <v>1</v>
      </c>
      <c r="J3781" s="142">
        <v>1</v>
      </c>
      <c r="K3781" s="142">
        <v>0</v>
      </c>
      <c r="L3781" s="142">
        <v>0</v>
      </c>
      <c r="M3781" s="142">
        <v>0</v>
      </c>
    </row>
    <row r="3782" spans="1:13" x14ac:dyDescent="0.45">
      <c r="A3782" s="142" t="s">
        <v>13444</v>
      </c>
      <c r="B3782" s="142" t="s">
        <v>15335</v>
      </c>
      <c r="C3782" s="142" t="s">
        <v>15860</v>
      </c>
      <c r="D3782" s="142" t="s">
        <v>15861</v>
      </c>
      <c r="E3782" s="142" t="s">
        <v>15849</v>
      </c>
      <c r="F3782" s="142" t="s">
        <v>11776</v>
      </c>
      <c r="G3782" s="142" t="s">
        <v>11775</v>
      </c>
      <c r="H3782" s="142" t="s">
        <v>19632</v>
      </c>
      <c r="I3782" s="142">
        <v>20</v>
      </c>
      <c r="J3782" s="142">
        <v>20</v>
      </c>
      <c r="K3782" s="142">
        <v>0</v>
      </c>
      <c r="L3782" s="142">
        <v>0</v>
      </c>
      <c r="M3782" s="142">
        <v>0</v>
      </c>
    </row>
    <row r="3783" spans="1:13" x14ac:dyDescent="0.45">
      <c r="A3783" s="142" t="s">
        <v>13640</v>
      </c>
      <c r="B3783" s="142" t="s">
        <v>15570</v>
      </c>
      <c r="C3783" s="142" t="s">
        <v>15847</v>
      </c>
      <c r="D3783" s="142" t="s">
        <v>15848</v>
      </c>
      <c r="E3783" s="142" t="s">
        <v>15849</v>
      </c>
      <c r="F3783" s="142" t="s">
        <v>11776</v>
      </c>
      <c r="G3783" s="142" t="s">
        <v>11775</v>
      </c>
      <c r="H3783" s="142" t="s">
        <v>19633</v>
      </c>
      <c r="I3783" s="142">
        <v>42</v>
      </c>
      <c r="J3783" s="142">
        <v>0</v>
      </c>
      <c r="K3783" s="142">
        <v>0</v>
      </c>
      <c r="L3783" s="142">
        <v>42</v>
      </c>
      <c r="M3783" s="142">
        <v>0</v>
      </c>
    </row>
    <row r="3784" spans="1:13" x14ac:dyDescent="0.45">
      <c r="A3784" s="142" t="s">
        <v>13110</v>
      </c>
      <c r="B3784" s="142" t="s">
        <v>15502</v>
      </c>
      <c r="C3784" s="142" t="s">
        <v>15847</v>
      </c>
      <c r="D3784" s="142" t="s">
        <v>15848</v>
      </c>
      <c r="E3784" s="142" t="s">
        <v>15849</v>
      </c>
      <c r="F3784" s="142" t="s">
        <v>4950</v>
      </c>
      <c r="G3784" s="142" t="s">
        <v>4949</v>
      </c>
      <c r="H3784" s="142" t="s">
        <v>19634</v>
      </c>
      <c r="I3784" s="142">
        <v>1</v>
      </c>
      <c r="J3784" s="142">
        <v>1</v>
      </c>
      <c r="K3784" s="142">
        <v>0</v>
      </c>
      <c r="L3784" s="142">
        <v>0</v>
      </c>
      <c r="M3784" s="142">
        <v>0</v>
      </c>
    </row>
    <row r="3785" spans="1:13" x14ac:dyDescent="0.45">
      <c r="A3785" s="142" t="s">
        <v>13167</v>
      </c>
      <c r="B3785" s="142" t="s">
        <v>15418</v>
      </c>
      <c r="C3785" s="142" t="s">
        <v>15847</v>
      </c>
      <c r="D3785" s="142" t="s">
        <v>15848</v>
      </c>
      <c r="E3785" s="142" t="s">
        <v>15849</v>
      </c>
      <c r="F3785" s="142" t="s">
        <v>4950</v>
      </c>
      <c r="G3785" s="142" t="s">
        <v>4949</v>
      </c>
      <c r="H3785" s="142" t="s">
        <v>19635</v>
      </c>
      <c r="I3785" s="142">
        <v>593</v>
      </c>
      <c r="J3785" s="142">
        <v>377</v>
      </c>
      <c r="K3785" s="142">
        <v>0</v>
      </c>
      <c r="L3785" s="142">
        <v>0</v>
      </c>
      <c r="M3785" s="142">
        <v>216</v>
      </c>
    </row>
    <row r="3786" spans="1:13" x14ac:dyDescent="0.45">
      <c r="A3786" s="142" t="s">
        <v>13072</v>
      </c>
      <c r="B3786" s="142" t="s">
        <v>15530</v>
      </c>
      <c r="C3786" s="142" t="s">
        <v>15847</v>
      </c>
      <c r="D3786" s="142" t="s">
        <v>15848</v>
      </c>
      <c r="E3786" s="142" t="s">
        <v>15849</v>
      </c>
      <c r="F3786" s="142" t="s">
        <v>4950</v>
      </c>
      <c r="G3786" s="142" t="s">
        <v>4949</v>
      </c>
      <c r="H3786" s="142" t="s">
        <v>19636</v>
      </c>
      <c r="I3786" s="142">
        <v>5</v>
      </c>
      <c r="J3786" s="142">
        <v>5</v>
      </c>
      <c r="K3786" s="142">
        <v>0</v>
      </c>
      <c r="L3786" s="142">
        <v>0</v>
      </c>
      <c r="M3786" s="142">
        <v>0</v>
      </c>
    </row>
    <row r="3787" spans="1:13" x14ac:dyDescent="0.45">
      <c r="A3787" s="142" t="s">
        <v>13021</v>
      </c>
      <c r="B3787" s="142" t="s">
        <v>15501</v>
      </c>
      <c r="C3787" s="142" t="s">
        <v>15847</v>
      </c>
      <c r="D3787" s="142" t="s">
        <v>15848</v>
      </c>
      <c r="E3787" s="142" t="s">
        <v>15849</v>
      </c>
      <c r="F3787" s="142" t="s">
        <v>4950</v>
      </c>
      <c r="G3787" s="142" t="s">
        <v>4949</v>
      </c>
      <c r="H3787" s="142" t="s">
        <v>19637</v>
      </c>
      <c r="I3787" s="142">
        <v>4</v>
      </c>
      <c r="J3787" s="142">
        <v>0</v>
      </c>
      <c r="K3787" s="142">
        <v>0</v>
      </c>
      <c r="L3787" s="142">
        <v>0</v>
      </c>
      <c r="M3787" s="142">
        <v>4</v>
      </c>
    </row>
    <row r="3788" spans="1:13" x14ac:dyDescent="0.45">
      <c r="A3788" s="142" t="s">
        <v>13023</v>
      </c>
      <c r="B3788" s="142" t="s">
        <v>15571</v>
      </c>
      <c r="C3788" s="142" t="s">
        <v>15847</v>
      </c>
      <c r="D3788" s="142" t="s">
        <v>15848</v>
      </c>
      <c r="E3788" s="142" t="s">
        <v>15849</v>
      </c>
      <c r="F3788" s="142" t="s">
        <v>4950</v>
      </c>
      <c r="G3788" s="142" t="s">
        <v>4949</v>
      </c>
      <c r="H3788" s="142" t="s">
        <v>19638</v>
      </c>
      <c r="I3788" s="142">
        <v>156</v>
      </c>
      <c r="J3788" s="142">
        <v>0</v>
      </c>
      <c r="K3788" s="142">
        <v>0</v>
      </c>
      <c r="L3788" s="142">
        <v>109</v>
      </c>
      <c r="M3788" s="142">
        <v>47</v>
      </c>
    </row>
    <row r="3789" spans="1:13" x14ac:dyDescent="0.45">
      <c r="A3789" s="142" t="s">
        <v>13048</v>
      </c>
      <c r="B3789" s="142" t="s">
        <v>14479</v>
      </c>
      <c r="C3789" s="142" t="s">
        <v>15847</v>
      </c>
      <c r="D3789" s="142" t="s">
        <v>15848</v>
      </c>
      <c r="E3789" s="142" t="s">
        <v>15849</v>
      </c>
      <c r="F3789" s="142" t="s">
        <v>4950</v>
      </c>
      <c r="G3789" s="142" t="s">
        <v>4949</v>
      </c>
      <c r="H3789" s="142" t="s">
        <v>19639</v>
      </c>
      <c r="I3789" s="142">
        <v>30</v>
      </c>
      <c r="J3789" s="142">
        <v>23</v>
      </c>
      <c r="K3789" s="142">
        <v>0</v>
      </c>
      <c r="L3789" s="142">
        <v>0</v>
      </c>
      <c r="M3789" s="142">
        <v>7</v>
      </c>
    </row>
    <row r="3790" spans="1:13" x14ac:dyDescent="0.45">
      <c r="A3790" s="142" t="s">
        <v>13082</v>
      </c>
      <c r="B3790" s="142" t="s">
        <v>14478</v>
      </c>
      <c r="C3790" s="142" t="s">
        <v>15860</v>
      </c>
      <c r="D3790" s="142" t="s">
        <v>15861</v>
      </c>
      <c r="E3790" s="142" t="s">
        <v>15849</v>
      </c>
      <c r="F3790" s="142" t="s">
        <v>4950</v>
      </c>
      <c r="G3790" s="142" t="s">
        <v>4949</v>
      </c>
      <c r="H3790" s="142" t="s">
        <v>19640</v>
      </c>
      <c r="I3790" s="142">
        <v>6</v>
      </c>
      <c r="J3790" s="142">
        <v>0</v>
      </c>
      <c r="K3790" s="142">
        <v>0</v>
      </c>
      <c r="L3790" s="142">
        <v>6</v>
      </c>
      <c r="M3790" s="142">
        <v>0</v>
      </c>
    </row>
    <row r="3791" spans="1:13" x14ac:dyDescent="0.45">
      <c r="A3791" s="142" t="s">
        <v>13000</v>
      </c>
      <c r="B3791" s="142" t="s">
        <v>14610</v>
      </c>
      <c r="C3791" s="142" t="s">
        <v>15847</v>
      </c>
      <c r="D3791" s="142" t="s">
        <v>15848</v>
      </c>
      <c r="E3791" s="142" t="s">
        <v>15849</v>
      </c>
      <c r="F3791" s="142" t="s">
        <v>4950</v>
      </c>
      <c r="G3791" s="142" t="s">
        <v>4949</v>
      </c>
      <c r="H3791" s="142" t="s">
        <v>19641</v>
      </c>
      <c r="I3791" s="142">
        <v>51</v>
      </c>
      <c r="J3791" s="142">
        <v>29</v>
      </c>
      <c r="K3791" s="142">
        <v>0</v>
      </c>
      <c r="L3791" s="142">
        <v>0</v>
      </c>
      <c r="M3791" s="142">
        <v>22</v>
      </c>
    </row>
    <row r="3792" spans="1:13" x14ac:dyDescent="0.45">
      <c r="A3792" s="142" t="s">
        <v>13074</v>
      </c>
      <c r="B3792" s="142" t="s">
        <v>15405</v>
      </c>
      <c r="C3792" s="142" t="s">
        <v>15847</v>
      </c>
      <c r="D3792" s="142" t="s">
        <v>15848</v>
      </c>
      <c r="E3792" s="142" t="s">
        <v>15849</v>
      </c>
      <c r="F3792" s="142" t="s">
        <v>4950</v>
      </c>
      <c r="G3792" s="142" t="s">
        <v>4949</v>
      </c>
      <c r="H3792" s="142" t="s">
        <v>19642</v>
      </c>
      <c r="I3792" s="142">
        <v>23</v>
      </c>
      <c r="J3792" s="142">
        <v>13</v>
      </c>
      <c r="K3792" s="142">
        <v>0</v>
      </c>
      <c r="L3792" s="142">
        <v>0</v>
      </c>
      <c r="M3792" s="142">
        <v>10</v>
      </c>
    </row>
    <row r="3793" spans="1:13" x14ac:dyDescent="0.45">
      <c r="A3793" s="142" t="s">
        <v>13050</v>
      </c>
      <c r="B3793" s="142" t="s">
        <v>15237</v>
      </c>
      <c r="C3793" s="142" t="s">
        <v>15847</v>
      </c>
      <c r="D3793" s="142" t="s">
        <v>15848</v>
      </c>
      <c r="E3793" s="142" t="s">
        <v>15849</v>
      </c>
      <c r="F3793" s="142" t="s">
        <v>4950</v>
      </c>
      <c r="G3793" s="142" t="s">
        <v>4949</v>
      </c>
      <c r="H3793" s="142" t="s">
        <v>19643</v>
      </c>
      <c r="I3793" s="142">
        <v>12</v>
      </c>
      <c r="J3793" s="142">
        <v>9</v>
      </c>
      <c r="K3793" s="142">
        <v>0</v>
      </c>
      <c r="L3793" s="142">
        <v>0</v>
      </c>
      <c r="M3793" s="142">
        <v>3</v>
      </c>
    </row>
    <row r="3794" spans="1:13" x14ac:dyDescent="0.45">
      <c r="A3794" s="142" t="s">
        <v>13028</v>
      </c>
      <c r="B3794" s="142" t="s">
        <v>14462</v>
      </c>
      <c r="C3794" s="142" t="s">
        <v>15847</v>
      </c>
      <c r="D3794" s="142" t="s">
        <v>15848</v>
      </c>
      <c r="E3794" s="142" t="s">
        <v>15849</v>
      </c>
      <c r="F3794" s="142" t="s">
        <v>4950</v>
      </c>
      <c r="G3794" s="142" t="s">
        <v>4949</v>
      </c>
      <c r="H3794" s="142" t="s">
        <v>19644</v>
      </c>
      <c r="I3794" s="142">
        <v>3</v>
      </c>
      <c r="J3794" s="142">
        <v>0</v>
      </c>
      <c r="K3794" s="142">
        <v>0</v>
      </c>
      <c r="L3794" s="142">
        <v>0</v>
      </c>
      <c r="M3794" s="142">
        <v>3</v>
      </c>
    </row>
    <row r="3795" spans="1:13" x14ac:dyDescent="0.45">
      <c r="A3795" s="142" t="s">
        <v>13002</v>
      </c>
      <c r="B3795" s="142" t="s">
        <v>15376</v>
      </c>
      <c r="C3795" s="142" t="s">
        <v>15847</v>
      </c>
      <c r="D3795" s="142" t="s">
        <v>15848</v>
      </c>
      <c r="E3795" s="142" t="s">
        <v>15849</v>
      </c>
      <c r="F3795" s="142" t="s">
        <v>4950</v>
      </c>
      <c r="G3795" s="142" t="s">
        <v>4949</v>
      </c>
      <c r="H3795" s="142" t="s">
        <v>19645</v>
      </c>
      <c r="I3795" s="142">
        <v>61</v>
      </c>
      <c r="J3795" s="142">
        <v>37</v>
      </c>
      <c r="K3795" s="142">
        <v>0</v>
      </c>
      <c r="L3795" s="142">
        <v>0</v>
      </c>
      <c r="M3795" s="142">
        <v>24</v>
      </c>
    </row>
    <row r="3796" spans="1:13" x14ac:dyDescent="0.45">
      <c r="A3796" s="142" t="s">
        <v>13051</v>
      </c>
      <c r="B3796" s="142" t="s">
        <v>14509</v>
      </c>
      <c r="C3796" s="142" t="s">
        <v>15860</v>
      </c>
      <c r="D3796" s="142" t="s">
        <v>15861</v>
      </c>
      <c r="E3796" s="142" t="s">
        <v>15849</v>
      </c>
      <c r="F3796" s="142" t="s">
        <v>4950</v>
      </c>
      <c r="G3796" s="142" t="s">
        <v>4949</v>
      </c>
      <c r="H3796" s="142" t="s">
        <v>19646</v>
      </c>
      <c r="I3796" s="142">
        <v>5</v>
      </c>
      <c r="J3796" s="142">
        <v>0</v>
      </c>
      <c r="K3796" s="142">
        <v>0</v>
      </c>
      <c r="L3796" s="142">
        <v>5</v>
      </c>
      <c r="M3796" s="142">
        <v>0</v>
      </c>
    </row>
    <row r="3797" spans="1:13" x14ac:dyDescent="0.45">
      <c r="A3797" s="142" t="s">
        <v>13005</v>
      </c>
      <c r="B3797" s="142" t="s">
        <v>15475</v>
      </c>
      <c r="C3797" s="142" t="s">
        <v>15847</v>
      </c>
      <c r="D3797" s="142" t="s">
        <v>15848</v>
      </c>
      <c r="E3797" s="142" t="s">
        <v>15849</v>
      </c>
      <c r="F3797" s="142" t="s">
        <v>4950</v>
      </c>
      <c r="G3797" s="142" t="s">
        <v>4949</v>
      </c>
      <c r="H3797" s="142" t="s">
        <v>19647</v>
      </c>
      <c r="I3797" s="142">
        <v>5</v>
      </c>
      <c r="J3797" s="142">
        <v>0</v>
      </c>
      <c r="K3797" s="142">
        <v>0</v>
      </c>
      <c r="L3797" s="142">
        <v>5</v>
      </c>
      <c r="M3797" s="142">
        <v>0</v>
      </c>
    </row>
    <row r="3798" spans="1:13" x14ac:dyDescent="0.45">
      <c r="A3798" s="142" t="s">
        <v>13006</v>
      </c>
      <c r="B3798" s="142" t="s">
        <v>15288</v>
      </c>
      <c r="C3798" s="142" t="s">
        <v>15847</v>
      </c>
      <c r="D3798" s="142" t="s">
        <v>15848</v>
      </c>
      <c r="E3798" s="142" t="s">
        <v>15849</v>
      </c>
      <c r="F3798" s="142" t="s">
        <v>4950</v>
      </c>
      <c r="G3798" s="142" t="s">
        <v>4949</v>
      </c>
      <c r="H3798" s="142" t="s">
        <v>19648</v>
      </c>
      <c r="I3798" s="142">
        <v>453</v>
      </c>
      <c r="J3798" s="142">
        <v>264</v>
      </c>
      <c r="K3798" s="142">
        <v>0</v>
      </c>
      <c r="L3798" s="142">
        <v>0</v>
      </c>
      <c r="M3798" s="142">
        <v>189</v>
      </c>
    </row>
    <row r="3799" spans="1:13" x14ac:dyDescent="0.45">
      <c r="A3799" s="142" t="s">
        <v>13007</v>
      </c>
      <c r="B3799" s="142" t="s">
        <v>15262</v>
      </c>
      <c r="C3799" s="142" t="s">
        <v>15847</v>
      </c>
      <c r="D3799" s="142" t="s">
        <v>15848</v>
      </c>
      <c r="E3799" s="142" t="s">
        <v>15849</v>
      </c>
      <c r="F3799" s="142" t="s">
        <v>4950</v>
      </c>
      <c r="G3799" s="142" t="s">
        <v>4949</v>
      </c>
      <c r="H3799" s="142" t="s">
        <v>19649</v>
      </c>
      <c r="I3799" s="142">
        <v>3</v>
      </c>
      <c r="J3799" s="142">
        <v>0</v>
      </c>
      <c r="K3799" s="142">
        <v>0</v>
      </c>
      <c r="L3799" s="142">
        <v>0</v>
      </c>
      <c r="M3799" s="142">
        <v>3</v>
      </c>
    </row>
    <row r="3800" spans="1:13" x14ac:dyDescent="0.45">
      <c r="A3800" s="142" t="s">
        <v>13104</v>
      </c>
      <c r="B3800" s="142" t="s">
        <v>14622</v>
      </c>
      <c r="C3800" s="142" t="s">
        <v>15847</v>
      </c>
      <c r="D3800" s="142" t="s">
        <v>15848</v>
      </c>
      <c r="E3800" s="142" t="s">
        <v>15849</v>
      </c>
      <c r="F3800" s="142" t="s">
        <v>4950</v>
      </c>
      <c r="G3800" s="142" t="s">
        <v>4949</v>
      </c>
      <c r="H3800" s="142" t="s">
        <v>19650</v>
      </c>
      <c r="I3800" s="142">
        <v>2</v>
      </c>
      <c r="J3800" s="142">
        <v>0</v>
      </c>
      <c r="K3800" s="142">
        <v>0</v>
      </c>
      <c r="L3800" s="142">
        <v>0</v>
      </c>
      <c r="M3800" s="142">
        <v>2</v>
      </c>
    </row>
    <row r="3801" spans="1:13" x14ac:dyDescent="0.45">
      <c r="A3801" s="142" t="s">
        <v>13011</v>
      </c>
      <c r="B3801" s="142" t="s">
        <v>14695</v>
      </c>
      <c r="C3801" s="142" t="s">
        <v>15847</v>
      </c>
      <c r="D3801" s="142" t="s">
        <v>15848</v>
      </c>
      <c r="E3801" s="142" t="s">
        <v>15849</v>
      </c>
      <c r="F3801" s="142" t="s">
        <v>4950</v>
      </c>
      <c r="G3801" s="142" t="s">
        <v>4949</v>
      </c>
      <c r="H3801" s="142" t="s">
        <v>19651</v>
      </c>
      <c r="I3801" s="142">
        <v>2</v>
      </c>
      <c r="J3801" s="142">
        <v>0</v>
      </c>
      <c r="K3801" s="142">
        <v>0</v>
      </c>
      <c r="L3801" s="142">
        <v>0</v>
      </c>
      <c r="M3801" s="142">
        <v>2</v>
      </c>
    </row>
    <row r="3802" spans="1:13" x14ac:dyDescent="0.45">
      <c r="A3802" s="142" t="s">
        <v>13058</v>
      </c>
      <c r="B3802" s="142" t="s">
        <v>14584</v>
      </c>
      <c r="C3802" s="142" t="s">
        <v>15847</v>
      </c>
      <c r="D3802" s="142" t="s">
        <v>15848</v>
      </c>
      <c r="E3802" s="142" t="s">
        <v>15849</v>
      </c>
      <c r="F3802" s="142" t="s">
        <v>4950</v>
      </c>
      <c r="G3802" s="142" t="s">
        <v>4949</v>
      </c>
      <c r="H3802" s="142" t="s">
        <v>19652</v>
      </c>
      <c r="I3802" s="142">
        <v>431</v>
      </c>
      <c r="J3802" s="142">
        <v>292</v>
      </c>
      <c r="K3802" s="142">
        <v>0</v>
      </c>
      <c r="L3802" s="142">
        <v>11</v>
      </c>
      <c r="M3802" s="142">
        <v>128</v>
      </c>
    </row>
    <row r="3803" spans="1:13" x14ac:dyDescent="0.45">
      <c r="A3803" s="142" t="s">
        <v>13012</v>
      </c>
      <c r="B3803" s="142" t="s">
        <v>15337</v>
      </c>
      <c r="C3803" s="142" t="s">
        <v>15847</v>
      </c>
      <c r="D3803" s="142" t="s">
        <v>15848</v>
      </c>
      <c r="E3803" s="142" t="s">
        <v>15849</v>
      </c>
      <c r="F3803" s="142" t="s">
        <v>4950</v>
      </c>
      <c r="G3803" s="142" t="s">
        <v>4949</v>
      </c>
      <c r="H3803" s="142" t="s">
        <v>19653</v>
      </c>
      <c r="I3803" s="142">
        <v>1</v>
      </c>
      <c r="J3803" s="142">
        <v>0</v>
      </c>
      <c r="K3803" s="142">
        <v>0</v>
      </c>
      <c r="L3803" s="142">
        <v>0</v>
      </c>
      <c r="M3803" s="142">
        <v>1</v>
      </c>
    </row>
    <row r="3804" spans="1:13" x14ac:dyDescent="0.45">
      <c r="A3804" s="142" t="s">
        <v>13060</v>
      </c>
      <c r="B3804" s="142" t="s">
        <v>14470</v>
      </c>
      <c r="C3804" s="142" t="s">
        <v>15847</v>
      </c>
      <c r="D3804" s="142" t="s">
        <v>15848</v>
      </c>
      <c r="E3804" s="142" t="s">
        <v>15849</v>
      </c>
      <c r="F3804" s="142" t="s">
        <v>4950</v>
      </c>
      <c r="G3804" s="142" t="s">
        <v>4949</v>
      </c>
      <c r="H3804" s="142" t="s">
        <v>19654</v>
      </c>
      <c r="I3804" s="142">
        <v>58</v>
      </c>
      <c r="J3804" s="142">
        <v>25</v>
      </c>
      <c r="K3804" s="142">
        <v>0</v>
      </c>
      <c r="L3804" s="142">
        <v>0</v>
      </c>
      <c r="M3804" s="142">
        <v>33</v>
      </c>
    </row>
    <row r="3805" spans="1:13" x14ac:dyDescent="0.45">
      <c r="A3805" s="142" t="s">
        <v>13174</v>
      </c>
      <c r="B3805" s="142" t="s">
        <v>15280</v>
      </c>
      <c r="C3805" s="142" t="s">
        <v>15847</v>
      </c>
      <c r="D3805" s="142" t="s">
        <v>15848</v>
      </c>
      <c r="E3805" s="142" t="s">
        <v>15849</v>
      </c>
      <c r="F3805" s="142" t="s">
        <v>4950</v>
      </c>
      <c r="G3805" s="142" t="s">
        <v>4949</v>
      </c>
      <c r="H3805" s="142" t="s">
        <v>19655</v>
      </c>
      <c r="I3805" s="142">
        <v>13</v>
      </c>
      <c r="J3805" s="142">
        <v>13</v>
      </c>
      <c r="K3805" s="142">
        <v>0</v>
      </c>
      <c r="L3805" s="142">
        <v>0</v>
      </c>
      <c r="M3805" s="142">
        <v>0</v>
      </c>
    </row>
    <row r="3806" spans="1:13" x14ac:dyDescent="0.45">
      <c r="A3806" s="142" t="s">
        <v>13015</v>
      </c>
      <c r="B3806" s="142" t="s">
        <v>14596</v>
      </c>
      <c r="C3806" s="142" t="s">
        <v>15847</v>
      </c>
      <c r="D3806" s="142" t="s">
        <v>15848</v>
      </c>
      <c r="E3806" s="142" t="s">
        <v>15849</v>
      </c>
      <c r="F3806" s="142" t="s">
        <v>4950</v>
      </c>
      <c r="G3806" s="142" t="s">
        <v>4949</v>
      </c>
      <c r="H3806" s="142" t="s">
        <v>19656</v>
      </c>
      <c r="I3806" s="142">
        <v>2732</v>
      </c>
      <c r="J3806" s="142">
        <v>2339</v>
      </c>
      <c r="K3806" s="142">
        <v>0</v>
      </c>
      <c r="L3806" s="142">
        <v>214</v>
      </c>
      <c r="M3806" s="142">
        <v>179</v>
      </c>
    </row>
    <row r="3807" spans="1:13" x14ac:dyDescent="0.45">
      <c r="A3807" s="142" t="s">
        <v>13144</v>
      </c>
      <c r="B3807" s="142" t="s">
        <v>14464</v>
      </c>
      <c r="C3807" s="142" t="s">
        <v>15860</v>
      </c>
      <c r="D3807" s="142" t="s">
        <v>15861</v>
      </c>
      <c r="E3807" s="142" t="s">
        <v>15849</v>
      </c>
      <c r="F3807" s="142" t="s">
        <v>4950</v>
      </c>
      <c r="G3807" s="142" t="s">
        <v>4949</v>
      </c>
      <c r="H3807" s="142" t="s">
        <v>19657</v>
      </c>
      <c r="I3807" s="142">
        <v>6</v>
      </c>
      <c r="J3807" s="142">
        <v>0</v>
      </c>
      <c r="K3807" s="142">
        <v>0</v>
      </c>
      <c r="L3807" s="142">
        <v>6</v>
      </c>
      <c r="M3807" s="142">
        <v>0</v>
      </c>
    </row>
    <row r="3808" spans="1:13" x14ac:dyDescent="0.45">
      <c r="A3808" s="142" t="s">
        <v>13072</v>
      </c>
      <c r="B3808" s="142" t="s">
        <v>15530</v>
      </c>
      <c r="C3808" s="142" t="s">
        <v>15847</v>
      </c>
      <c r="D3808" s="142" t="s">
        <v>15848</v>
      </c>
      <c r="E3808" s="142" t="s">
        <v>15849</v>
      </c>
      <c r="F3808" s="142" t="s">
        <v>291</v>
      </c>
      <c r="G3808" s="142" t="s">
        <v>290</v>
      </c>
      <c r="H3808" s="142" t="s">
        <v>19658</v>
      </c>
      <c r="I3808" s="142">
        <v>101</v>
      </c>
      <c r="J3808" s="142">
        <v>98</v>
      </c>
      <c r="K3808" s="142">
        <v>0</v>
      </c>
      <c r="L3808" s="142">
        <v>0</v>
      </c>
      <c r="M3808" s="142">
        <v>3</v>
      </c>
    </row>
    <row r="3809" spans="1:13" x14ac:dyDescent="0.45">
      <c r="A3809" s="142" t="s">
        <v>13023</v>
      </c>
      <c r="B3809" s="142" t="s">
        <v>15571</v>
      </c>
      <c r="C3809" s="142" t="s">
        <v>15847</v>
      </c>
      <c r="D3809" s="142" t="s">
        <v>15848</v>
      </c>
      <c r="E3809" s="142" t="s">
        <v>15849</v>
      </c>
      <c r="F3809" s="142" t="s">
        <v>291</v>
      </c>
      <c r="G3809" s="142" t="s">
        <v>290</v>
      </c>
      <c r="H3809" s="142" t="s">
        <v>19659</v>
      </c>
      <c r="I3809" s="142">
        <v>339</v>
      </c>
      <c r="J3809" s="142">
        <v>0</v>
      </c>
      <c r="K3809" s="142">
        <v>0</v>
      </c>
      <c r="L3809" s="142">
        <v>311</v>
      </c>
      <c r="M3809" s="142">
        <v>28</v>
      </c>
    </row>
    <row r="3810" spans="1:13" x14ac:dyDescent="0.45">
      <c r="A3810" s="142" t="s">
        <v>13546</v>
      </c>
      <c r="B3810" s="142" t="s">
        <v>14641</v>
      </c>
      <c r="C3810" s="142" t="s">
        <v>15847</v>
      </c>
      <c r="D3810" s="142" t="s">
        <v>15848</v>
      </c>
      <c r="E3810" s="142" t="s">
        <v>15849</v>
      </c>
      <c r="F3810" s="142" t="s">
        <v>291</v>
      </c>
      <c r="G3810" s="142" t="s">
        <v>290</v>
      </c>
      <c r="H3810" s="142" t="s">
        <v>19660</v>
      </c>
      <c r="I3810" s="142">
        <v>37</v>
      </c>
      <c r="J3810" s="142">
        <v>37</v>
      </c>
      <c r="K3810" s="142">
        <v>0</v>
      </c>
      <c r="L3810" s="142">
        <v>0</v>
      </c>
      <c r="M3810" s="142">
        <v>0</v>
      </c>
    </row>
    <row r="3811" spans="1:13" x14ac:dyDescent="0.45">
      <c r="A3811" s="142" t="s">
        <v>13547</v>
      </c>
      <c r="B3811" s="142" t="s">
        <v>14613</v>
      </c>
      <c r="C3811" s="142" t="s">
        <v>15847</v>
      </c>
      <c r="D3811" s="142" t="s">
        <v>15848</v>
      </c>
      <c r="E3811" s="142" t="s">
        <v>15849</v>
      </c>
      <c r="F3811" s="142" t="s">
        <v>291</v>
      </c>
      <c r="G3811" s="142" t="s">
        <v>290</v>
      </c>
      <c r="H3811" s="142" t="s">
        <v>19661</v>
      </c>
      <c r="I3811" s="142">
        <v>365</v>
      </c>
      <c r="J3811" s="142">
        <v>288</v>
      </c>
      <c r="K3811" s="142">
        <v>0</v>
      </c>
      <c r="L3811" s="142">
        <v>73</v>
      </c>
      <c r="M3811" s="142">
        <v>4</v>
      </c>
    </row>
    <row r="3812" spans="1:13" x14ac:dyDescent="0.45">
      <c r="A3812" s="142" t="s">
        <v>13065</v>
      </c>
      <c r="B3812" s="142" t="s">
        <v>14497</v>
      </c>
      <c r="C3812" s="142" t="s">
        <v>15847</v>
      </c>
      <c r="D3812" s="142" t="s">
        <v>15848</v>
      </c>
      <c r="E3812" s="142" t="s">
        <v>15849</v>
      </c>
      <c r="F3812" s="142" t="s">
        <v>291</v>
      </c>
      <c r="G3812" s="142" t="s">
        <v>290</v>
      </c>
      <c r="H3812" s="142" t="s">
        <v>19662</v>
      </c>
      <c r="I3812" s="142">
        <v>6</v>
      </c>
      <c r="J3812" s="142">
        <v>0</v>
      </c>
      <c r="K3812" s="142">
        <v>0</v>
      </c>
      <c r="L3812" s="142">
        <v>6</v>
      </c>
      <c r="M3812" s="142">
        <v>0</v>
      </c>
    </row>
    <row r="3813" spans="1:13" x14ac:dyDescent="0.45">
      <c r="A3813" s="142" t="s">
        <v>13273</v>
      </c>
      <c r="B3813" s="142" t="s">
        <v>14465</v>
      </c>
      <c r="C3813" s="142" t="s">
        <v>15860</v>
      </c>
      <c r="D3813" s="142" t="s">
        <v>15861</v>
      </c>
      <c r="E3813" s="142" t="s">
        <v>15849</v>
      </c>
      <c r="F3813" s="142" t="s">
        <v>291</v>
      </c>
      <c r="G3813" s="142" t="s">
        <v>290</v>
      </c>
      <c r="H3813" s="142" t="s">
        <v>19663</v>
      </c>
      <c r="I3813" s="142">
        <v>25</v>
      </c>
      <c r="J3813" s="142">
        <v>0</v>
      </c>
      <c r="K3813" s="142">
        <v>0</v>
      </c>
      <c r="L3813" s="142">
        <v>25</v>
      </c>
      <c r="M3813" s="142">
        <v>0</v>
      </c>
    </row>
    <row r="3814" spans="1:13" x14ac:dyDescent="0.45">
      <c r="A3814" s="142" t="s">
        <v>13119</v>
      </c>
      <c r="B3814" s="142" t="s">
        <v>14451</v>
      </c>
      <c r="C3814" s="142" t="s">
        <v>15860</v>
      </c>
      <c r="D3814" s="142" t="s">
        <v>15861</v>
      </c>
      <c r="E3814" s="142" t="s">
        <v>15849</v>
      </c>
      <c r="F3814" s="142" t="s">
        <v>291</v>
      </c>
      <c r="G3814" s="142" t="s">
        <v>290</v>
      </c>
      <c r="H3814" s="142" t="s">
        <v>19664</v>
      </c>
      <c r="I3814" s="142">
        <v>8</v>
      </c>
      <c r="J3814" s="142">
        <v>0</v>
      </c>
      <c r="K3814" s="142">
        <v>0</v>
      </c>
      <c r="L3814" s="142">
        <v>8</v>
      </c>
      <c r="M3814" s="142">
        <v>0</v>
      </c>
    </row>
    <row r="3815" spans="1:13" x14ac:dyDescent="0.45">
      <c r="A3815" s="142" t="s">
        <v>13028</v>
      </c>
      <c r="B3815" s="142" t="s">
        <v>14462</v>
      </c>
      <c r="C3815" s="142" t="s">
        <v>15847</v>
      </c>
      <c r="D3815" s="142" t="s">
        <v>15848</v>
      </c>
      <c r="E3815" s="142" t="s">
        <v>15849</v>
      </c>
      <c r="F3815" s="142" t="s">
        <v>291</v>
      </c>
      <c r="G3815" s="142" t="s">
        <v>290</v>
      </c>
      <c r="H3815" s="142" t="s">
        <v>19665</v>
      </c>
      <c r="I3815" s="142">
        <v>21</v>
      </c>
      <c r="J3815" s="142">
        <v>0</v>
      </c>
      <c r="K3815" s="142">
        <v>0</v>
      </c>
      <c r="L3815" s="142">
        <v>0</v>
      </c>
      <c r="M3815" s="142">
        <v>21</v>
      </c>
    </row>
    <row r="3816" spans="1:13" x14ac:dyDescent="0.45">
      <c r="A3816" s="142" t="s">
        <v>13002</v>
      </c>
      <c r="B3816" s="142" t="s">
        <v>15376</v>
      </c>
      <c r="C3816" s="142" t="s">
        <v>15847</v>
      </c>
      <c r="D3816" s="142" t="s">
        <v>15848</v>
      </c>
      <c r="E3816" s="142" t="s">
        <v>15849</v>
      </c>
      <c r="F3816" s="142" t="s">
        <v>291</v>
      </c>
      <c r="G3816" s="142" t="s">
        <v>290</v>
      </c>
      <c r="H3816" s="142" t="s">
        <v>19666</v>
      </c>
      <c r="I3816" s="142">
        <v>966</v>
      </c>
      <c r="J3816" s="142">
        <v>857</v>
      </c>
      <c r="K3816" s="142">
        <v>0</v>
      </c>
      <c r="L3816" s="142">
        <v>96</v>
      </c>
      <c r="M3816" s="142">
        <v>13</v>
      </c>
    </row>
    <row r="3817" spans="1:13" x14ac:dyDescent="0.45">
      <c r="A3817" s="142" t="s">
        <v>13003</v>
      </c>
      <c r="B3817" s="142" t="s">
        <v>15245</v>
      </c>
      <c r="C3817" s="142" t="s">
        <v>15847</v>
      </c>
      <c r="D3817" s="142" t="s">
        <v>15848</v>
      </c>
      <c r="E3817" s="142" t="s">
        <v>15849</v>
      </c>
      <c r="F3817" s="142" t="s">
        <v>291</v>
      </c>
      <c r="G3817" s="142" t="s">
        <v>290</v>
      </c>
      <c r="H3817" s="142" t="s">
        <v>19667</v>
      </c>
      <c r="I3817" s="142">
        <v>44</v>
      </c>
      <c r="J3817" s="142">
        <v>0</v>
      </c>
      <c r="K3817" s="142">
        <v>0</v>
      </c>
      <c r="L3817" s="142">
        <v>44</v>
      </c>
      <c r="M3817" s="142">
        <v>0</v>
      </c>
    </row>
    <row r="3818" spans="1:13" x14ac:dyDescent="0.45">
      <c r="A3818" s="142" t="s">
        <v>13657</v>
      </c>
      <c r="B3818" s="142" t="s">
        <v>14644</v>
      </c>
      <c r="C3818" s="142" t="s">
        <v>15847</v>
      </c>
      <c r="D3818" s="142" t="s">
        <v>15848</v>
      </c>
      <c r="E3818" s="142" t="s">
        <v>15849</v>
      </c>
      <c r="F3818" s="142" t="s">
        <v>291</v>
      </c>
      <c r="G3818" s="142" t="s">
        <v>290</v>
      </c>
      <c r="H3818" s="142" t="s">
        <v>19668</v>
      </c>
      <c r="I3818" s="142">
        <v>200</v>
      </c>
      <c r="J3818" s="142">
        <v>0</v>
      </c>
      <c r="K3818" s="142">
        <v>0</v>
      </c>
      <c r="L3818" s="142">
        <v>155</v>
      </c>
      <c r="M3818" s="142">
        <v>45</v>
      </c>
    </row>
    <row r="3819" spans="1:13" x14ac:dyDescent="0.45">
      <c r="A3819" s="142" t="s">
        <v>13557</v>
      </c>
      <c r="B3819" s="142" t="s">
        <v>14592</v>
      </c>
      <c r="C3819" s="142" t="s">
        <v>15847</v>
      </c>
      <c r="D3819" s="142" t="s">
        <v>15848</v>
      </c>
      <c r="E3819" s="142" t="s">
        <v>15849</v>
      </c>
      <c r="F3819" s="142" t="s">
        <v>291</v>
      </c>
      <c r="G3819" s="142" t="s">
        <v>290</v>
      </c>
      <c r="H3819" s="142" t="s">
        <v>19669</v>
      </c>
      <c r="I3819" s="142">
        <v>423</v>
      </c>
      <c r="J3819" s="142">
        <v>375</v>
      </c>
      <c r="K3819" s="142">
        <v>0</v>
      </c>
      <c r="L3819" s="142">
        <v>48</v>
      </c>
      <c r="M3819" s="142">
        <v>0</v>
      </c>
    </row>
    <row r="3820" spans="1:13" x14ac:dyDescent="0.45">
      <c r="A3820" s="142" t="s">
        <v>13558</v>
      </c>
      <c r="B3820" s="142" t="s">
        <v>15483</v>
      </c>
      <c r="C3820" s="142" t="s">
        <v>15847</v>
      </c>
      <c r="D3820" s="142" t="s">
        <v>15848</v>
      </c>
      <c r="E3820" s="142" t="s">
        <v>15849</v>
      </c>
      <c r="F3820" s="142" t="s">
        <v>291</v>
      </c>
      <c r="G3820" s="142" t="s">
        <v>290</v>
      </c>
      <c r="H3820" s="142" t="s">
        <v>19670</v>
      </c>
      <c r="I3820" s="142">
        <v>69</v>
      </c>
      <c r="J3820" s="142">
        <v>69</v>
      </c>
      <c r="K3820" s="142">
        <v>0</v>
      </c>
      <c r="L3820" s="142">
        <v>0</v>
      </c>
      <c r="M3820" s="142">
        <v>0</v>
      </c>
    </row>
    <row r="3821" spans="1:13" x14ac:dyDescent="0.45">
      <c r="A3821" s="142" t="s">
        <v>13162</v>
      </c>
      <c r="B3821" s="142" t="s">
        <v>14545</v>
      </c>
      <c r="C3821" s="142" t="s">
        <v>15860</v>
      </c>
      <c r="D3821" s="142" t="s">
        <v>15861</v>
      </c>
      <c r="E3821" s="142" t="s">
        <v>15849</v>
      </c>
      <c r="F3821" s="142" t="s">
        <v>291</v>
      </c>
      <c r="G3821" s="142" t="s">
        <v>290</v>
      </c>
      <c r="H3821" s="142" t="s">
        <v>19671</v>
      </c>
      <c r="I3821" s="142">
        <v>3</v>
      </c>
      <c r="J3821" s="142">
        <v>0</v>
      </c>
      <c r="K3821" s="142">
        <v>0</v>
      </c>
      <c r="L3821" s="142">
        <v>3</v>
      </c>
      <c r="M3821" s="142">
        <v>0</v>
      </c>
    </row>
    <row r="3822" spans="1:13" x14ac:dyDescent="0.45">
      <c r="A3822" s="142" t="s">
        <v>13559</v>
      </c>
      <c r="B3822" s="142" t="s">
        <v>15494</v>
      </c>
      <c r="C3822" s="142" t="s">
        <v>15847</v>
      </c>
      <c r="D3822" s="142" t="s">
        <v>15848</v>
      </c>
      <c r="E3822" s="142" t="s">
        <v>15849</v>
      </c>
      <c r="F3822" s="142" t="s">
        <v>291</v>
      </c>
      <c r="G3822" s="142" t="s">
        <v>290</v>
      </c>
      <c r="H3822" s="142" t="s">
        <v>19672</v>
      </c>
      <c r="I3822" s="142">
        <v>358</v>
      </c>
      <c r="J3822" s="142">
        <v>331</v>
      </c>
      <c r="K3822" s="142">
        <v>0</v>
      </c>
      <c r="L3822" s="142">
        <v>27</v>
      </c>
      <c r="M3822" s="142">
        <v>0</v>
      </c>
    </row>
    <row r="3823" spans="1:13" x14ac:dyDescent="0.45">
      <c r="A3823" s="142" t="s">
        <v>13033</v>
      </c>
      <c r="B3823" s="142" t="s">
        <v>15276</v>
      </c>
      <c r="C3823" s="142" t="s">
        <v>15847</v>
      </c>
      <c r="D3823" s="142" t="s">
        <v>15848</v>
      </c>
      <c r="E3823" s="142" t="s">
        <v>15849</v>
      </c>
      <c r="F3823" s="142" t="s">
        <v>291</v>
      </c>
      <c r="G3823" s="142" t="s">
        <v>290</v>
      </c>
      <c r="H3823" s="142" t="s">
        <v>19673</v>
      </c>
      <c r="I3823" s="142">
        <v>39</v>
      </c>
      <c r="J3823" s="142">
        <v>22</v>
      </c>
      <c r="K3823" s="142">
        <v>0</v>
      </c>
      <c r="L3823" s="142">
        <v>0</v>
      </c>
      <c r="M3823" s="142">
        <v>17</v>
      </c>
    </row>
    <row r="3824" spans="1:13" x14ac:dyDescent="0.45">
      <c r="A3824" s="142" t="s">
        <v>13560</v>
      </c>
      <c r="B3824" s="142" t="s">
        <v>14778</v>
      </c>
      <c r="C3824" s="142" t="s">
        <v>15847</v>
      </c>
      <c r="D3824" s="142" t="s">
        <v>15848</v>
      </c>
      <c r="E3824" s="142" t="s">
        <v>15849</v>
      </c>
      <c r="F3824" s="142" t="s">
        <v>291</v>
      </c>
      <c r="G3824" s="142" t="s">
        <v>290</v>
      </c>
      <c r="H3824" s="142" t="s">
        <v>19674</v>
      </c>
      <c r="I3824" s="142">
        <v>25</v>
      </c>
      <c r="J3824" s="142">
        <v>12</v>
      </c>
      <c r="K3824" s="142">
        <v>0</v>
      </c>
      <c r="L3824" s="142">
        <v>13</v>
      </c>
      <c r="M3824" s="142">
        <v>0</v>
      </c>
    </row>
    <row r="3825" spans="1:13" x14ac:dyDescent="0.45">
      <c r="A3825" s="142" t="s">
        <v>13038</v>
      </c>
      <c r="B3825" s="142" t="s">
        <v>14646</v>
      </c>
      <c r="C3825" s="142" t="s">
        <v>15847</v>
      </c>
      <c r="D3825" s="142" t="s">
        <v>15848</v>
      </c>
      <c r="E3825" s="142" t="s">
        <v>15849</v>
      </c>
      <c r="F3825" s="142" t="s">
        <v>291</v>
      </c>
      <c r="G3825" s="142" t="s">
        <v>290</v>
      </c>
      <c r="H3825" s="142" t="s">
        <v>19675</v>
      </c>
      <c r="I3825" s="142">
        <v>14</v>
      </c>
      <c r="J3825" s="142">
        <v>0</v>
      </c>
      <c r="K3825" s="142">
        <v>0</v>
      </c>
      <c r="L3825" s="142">
        <v>0</v>
      </c>
      <c r="M3825" s="142">
        <v>14</v>
      </c>
    </row>
    <row r="3826" spans="1:13" x14ac:dyDescent="0.45">
      <c r="A3826" s="142" t="s">
        <v>13091</v>
      </c>
      <c r="B3826" s="142" t="s">
        <v>14473</v>
      </c>
      <c r="C3826" s="142" t="s">
        <v>15847</v>
      </c>
      <c r="D3826" s="142" t="s">
        <v>15848</v>
      </c>
      <c r="E3826" s="142" t="s">
        <v>15849</v>
      </c>
      <c r="F3826" s="142" t="s">
        <v>291</v>
      </c>
      <c r="G3826" s="142" t="s">
        <v>290</v>
      </c>
      <c r="H3826" s="142" t="s">
        <v>19676</v>
      </c>
      <c r="I3826" s="142">
        <v>10</v>
      </c>
      <c r="J3826" s="142">
        <v>0</v>
      </c>
      <c r="K3826" s="142">
        <v>0</v>
      </c>
      <c r="L3826" s="142">
        <v>10</v>
      </c>
      <c r="M3826" s="142">
        <v>0</v>
      </c>
    </row>
    <row r="3827" spans="1:13" x14ac:dyDescent="0.45">
      <c r="A3827" s="142" t="s">
        <v>13009</v>
      </c>
      <c r="B3827" s="142" t="s">
        <v>15256</v>
      </c>
      <c r="C3827" s="142" t="s">
        <v>15847</v>
      </c>
      <c r="D3827" s="142" t="s">
        <v>15848</v>
      </c>
      <c r="E3827" s="142" t="s">
        <v>15849</v>
      </c>
      <c r="F3827" s="142" t="s">
        <v>291</v>
      </c>
      <c r="G3827" s="142" t="s">
        <v>290</v>
      </c>
      <c r="H3827" s="142" t="s">
        <v>19677</v>
      </c>
      <c r="I3827" s="142">
        <v>20</v>
      </c>
      <c r="J3827" s="142">
        <v>0</v>
      </c>
      <c r="K3827" s="142">
        <v>0</v>
      </c>
      <c r="L3827" s="142">
        <v>20</v>
      </c>
      <c r="M3827" s="142">
        <v>0</v>
      </c>
    </row>
    <row r="3828" spans="1:13" x14ac:dyDescent="0.45">
      <c r="A3828" s="142" t="s">
        <v>13764</v>
      </c>
      <c r="B3828" s="142" t="s">
        <v>14753</v>
      </c>
      <c r="C3828" s="142" t="s">
        <v>15860</v>
      </c>
      <c r="D3828" s="142" t="s">
        <v>15861</v>
      </c>
      <c r="E3828" s="142" t="s">
        <v>15849</v>
      </c>
      <c r="F3828" s="142" t="s">
        <v>291</v>
      </c>
      <c r="G3828" s="142" t="s">
        <v>290</v>
      </c>
      <c r="H3828" s="142" t="s">
        <v>19678</v>
      </c>
      <c r="I3828" s="142">
        <v>24</v>
      </c>
      <c r="J3828" s="142">
        <v>24</v>
      </c>
      <c r="K3828" s="142">
        <v>0</v>
      </c>
      <c r="L3828" s="142">
        <v>0</v>
      </c>
      <c r="M3828" s="142">
        <v>0</v>
      </c>
    </row>
    <row r="3829" spans="1:13" x14ac:dyDescent="0.45">
      <c r="A3829" s="142" t="s">
        <v>13096</v>
      </c>
      <c r="B3829" s="142" t="s">
        <v>15478</v>
      </c>
      <c r="C3829" s="142" t="s">
        <v>15847</v>
      </c>
      <c r="D3829" s="142" t="s">
        <v>15848</v>
      </c>
      <c r="E3829" s="142" t="s">
        <v>15849</v>
      </c>
      <c r="F3829" s="142" t="s">
        <v>291</v>
      </c>
      <c r="G3829" s="142" t="s">
        <v>290</v>
      </c>
      <c r="H3829" s="142" t="s">
        <v>19679</v>
      </c>
      <c r="I3829" s="142">
        <v>7353</v>
      </c>
      <c r="J3829" s="142">
        <v>5750</v>
      </c>
      <c r="K3829" s="142">
        <v>0</v>
      </c>
      <c r="L3829" s="142">
        <v>1395</v>
      </c>
      <c r="M3829" s="142">
        <v>208</v>
      </c>
    </row>
    <row r="3830" spans="1:13" x14ac:dyDescent="0.45">
      <c r="A3830" s="142" t="s">
        <v>13765</v>
      </c>
      <c r="B3830" s="142" t="s">
        <v>14870</v>
      </c>
      <c r="C3830" s="142" t="s">
        <v>15860</v>
      </c>
      <c r="D3830" s="142" t="s">
        <v>15861</v>
      </c>
      <c r="E3830" s="142" t="s">
        <v>15849</v>
      </c>
      <c r="F3830" s="142" t="s">
        <v>291</v>
      </c>
      <c r="G3830" s="142" t="s">
        <v>290</v>
      </c>
      <c r="H3830" s="142" t="s">
        <v>19680</v>
      </c>
      <c r="I3830" s="142">
        <v>26</v>
      </c>
      <c r="J3830" s="142">
        <v>0</v>
      </c>
      <c r="K3830" s="142">
        <v>0</v>
      </c>
      <c r="L3830" s="142">
        <v>26</v>
      </c>
      <c r="M3830" s="142">
        <v>0</v>
      </c>
    </row>
    <row r="3831" spans="1:13" x14ac:dyDescent="0.45">
      <c r="A3831" s="142" t="s">
        <v>13046</v>
      </c>
      <c r="B3831" s="142" t="s">
        <v>15537</v>
      </c>
      <c r="C3831" s="142" t="s">
        <v>15860</v>
      </c>
      <c r="D3831" s="142" t="s">
        <v>15861</v>
      </c>
      <c r="E3831" s="142" t="s">
        <v>15849</v>
      </c>
      <c r="F3831" s="142" t="s">
        <v>3837</v>
      </c>
      <c r="G3831" s="142" t="s">
        <v>3836</v>
      </c>
      <c r="H3831" s="142" t="s">
        <v>19681</v>
      </c>
      <c r="I3831" s="142">
        <v>36</v>
      </c>
      <c r="J3831" s="142">
        <v>0</v>
      </c>
      <c r="K3831" s="142">
        <v>0</v>
      </c>
      <c r="L3831" s="142">
        <v>36</v>
      </c>
      <c r="M3831" s="142">
        <v>0</v>
      </c>
    </row>
    <row r="3832" spans="1:13" x14ac:dyDescent="0.45">
      <c r="A3832" s="142" t="s">
        <v>13023</v>
      </c>
      <c r="B3832" s="142" t="s">
        <v>15571</v>
      </c>
      <c r="C3832" s="142" t="s">
        <v>15847</v>
      </c>
      <c r="D3832" s="142" t="s">
        <v>15848</v>
      </c>
      <c r="E3832" s="142" t="s">
        <v>15849</v>
      </c>
      <c r="F3832" s="142" t="s">
        <v>3837</v>
      </c>
      <c r="G3832" s="142" t="s">
        <v>3836</v>
      </c>
      <c r="H3832" s="142" t="s">
        <v>19682</v>
      </c>
      <c r="I3832" s="142">
        <v>54</v>
      </c>
      <c r="J3832" s="142">
        <v>0</v>
      </c>
      <c r="K3832" s="142">
        <v>0</v>
      </c>
      <c r="L3832" s="142">
        <v>54</v>
      </c>
      <c r="M3832" s="142">
        <v>0</v>
      </c>
    </row>
    <row r="3833" spans="1:13" x14ac:dyDescent="0.45">
      <c r="A3833" s="142" t="s">
        <v>13354</v>
      </c>
      <c r="B3833" s="142" t="s">
        <v>15170</v>
      </c>
      <c r="C3833" s="142" t="s">
        <v>15860</v>
      </c>
      <c r="D3833" s="142" t="s">
        <v>15861</v>
      </c>
      <c r="E3833" s="142" t="s">
        <v>15849</v>
      </c>
      <c r="F3833" s="142" t="s">
        <v>3837</v>
      </c>
      <c r="G3833" s="142" t="s">
        <v>3836</v>
      </c>
      <c r="H3833" s="142" t="s">
        <v>19683</v>
      </c>
      <c r="I3833" s="142">
        <v>102</v>
      </c>
      <c r="J3833" s="142">
        <v>69</v>
      </c>
      <c r="K3833" s="142">
        <v>0</v>
      </c>
      <c r="L3833" s="142">
        <v>33</v>
      </c>
      <c r="M3833" s="142">
        <v>0</v>
      </c>
    </row>
    <row r="3834" spans="1:13" x14ac:dyDescent="0.45">
      <c r="A3834" s="142" t="s">
        <v>13027</v>
      </c>
      <c r="B3834" s="142" t="s">
        <v>14562</v>
      </c>
      <c r="C3834" s="142" t="s">
        <v>15847</v>
      </c>
      <c r="D3834" s="142" t="s">
        <v>15848</v>
      </c>
      <c r="E3834" s="142" t="s">
        <v>15849</v>
      </c>
      <c r="F3834" s="142" t="s">
        <v>3837</v>
      </c>
      <c r="G3834" s="142" t="s">
        <v>3836</v>
      </c>
      <c r="H3834" s="142" t="s">
        <v>19684</v>
      </c>
      <c r="I3834" s="142">
        <v>12</v>
      </c>
      <c r="J3834" s="142">
        <v>0</v>
      </c>
      <c r="K3834" s="142">
        <v>0</v>
      </c>
      <c r="L3834" s="142">
        <v>12</v>
      </c>
      <c r="M3834" s="142">
        <v>0</v>
      </c>
    </row>
    <row r="3835" spans="1:13" x14ac:dyDescent="0.45">
      <c r="A3835" s="142" t="s">
        <v>13002</v>
      </c>
      <c r="B3835" s="142" t="s">
        <v>15376</v>
      </c>
      <c r="C3835" s="142" t="s">
        <v>15847</v>
      </c>
      <c r="D3835" s="142" t="s">
        <v>15848</v>
      </c>
      <c r="E3835" s="142" t="s">
        <v>15849</v>
      </c>
      <c r="F3835" s="142" t="s">
        <v>3837</v>
      </c>
      <c r="G3835" s="142" t="s">
        <v>3836</v>
      </c>
      <c r="H3835" s="142" t="s">
        <v>19685</v>
      </c>
      <c r="I3835" s="142">
        <v>52</v>
      </c>
      <c r="J3835" s="142">
        <v>52</v>
      </c>
      <c r="K3835" s="142">
        <v>0</v>
      </c>
      <c r="L3835" s="142">
        <v>0</v>
      </c>
      <c r="M3835" s="142">
        <v>0</v>
      </c>
    </row>
    <row r="3836" spans="1:13" x14ac:dyDescent="0.45">
      <c r="A3836" s="142" t="s">
        <v>13003</v>
      </c>
      <c r="B3836" s="142" t="s">
        <v>15245</v>
      </c>
      <c r="C3836" s="142" t="s">
        <v>15847</v>
      </c>
      <c r="D3836" s="142" t="s">
        <v>15848</v>
      </c>
      <c r="E3836" s="142" t="s">
        <v>15849</v>
      </c>
      <c r="F3836" s="142" t="s">
        <v>3837</v>
      </c>
      <c r="G3836" s="142" t="s">
        <v>3836</v>
      </c>
      <c r="H3836" s="142" t="s">
        <v>19686</v>
      </c>
      <c r="I3836" s="142">
        <v>28</v>
      </c>
      <c r="J3836" s="142">
        <v>0</v>
      </c>
      <c r="K3836" s="142">
        <v>0</v>
      </c>
      <c r="L3836" s="142">
        <v>28</v>
      </c>
      <c r="M3836" s="142">
        <v>0</v>
      </c>
    </row>
    <row r="3837" spans="1:13" x14ac:dyDescent="0.45">
      <c r="A3837" s="142" t="s">
        <v>13100</v>
      </c>
      <c r="B3837" s="142" t="s">
        <v>15603</v>
      </c>
      <c r="C3837" s="142" t="s">
        <v>15847</v>
      </c>
      <c r="D3837" s="142" t="s">
        <v>15848</v>
      </c>
      <c r="E3837" s="142" t="s">
        <v>15849</v>
      </c>
      <c r="F3837" s="142" t="s">
        <v>3837</v>
      </c>
      <c r="G3837" s="142" t="s">
        <v>3836</v>
      </c>
      <c r="H3837" s="142" t="s">
        <v>19687</v>
      </c>
      <c r="I3837" s="142">
        <v>5</v>
      </c>
      <c r="J3837" s="142">
        <v>5</v>
      </c>
      <c r="K3837" s="142">
        <v>0</v>
      </c>
      <c r="L3837" s="142">
        <v>0</v>
      </c>
      <c r="M3837" s="142">
        <v>0</v>
      </c>
    </row>
    <row r="3838" spans="1:13" x14ac:dyDescent="0.45">
      <c r="A3838" s="142" t="s">
        <v>13005</v>
      </c>
      <c r="B3838" s="142" t="s">
        <v>15475</v>
      </c>
      <c r="C3838" s="142" t="s">
        <v>15847</v>
      </c>
      <c r="D3838" s="142" t="s">
        <v>15848</v>
      </c>
      <c r="E3838" s="142" t="s">
        <v>15849</v>
      </c>
      <c r="F3838" s="142" t="s">
        <v>3837</v>
      </c>
      <c r="G3838" s="142" t="s">
        <v>3836</v>
      </c>
      <c r="H3838" s="142" t="s">
        <v>19688</v>
      </c>
      <c r="I3838" s="142">
        <v>3</v>
      </c>
      <c r="J3838" s="142">
        <v>0</v>
      </c>
      <c r="K3838" s="142">
        <v>0</v>
      </c>
      <c r="L3838" s="142">
        <v>0</v>
      </c>
      <c r="M3838" s="142">
        <v>3</v>
      </c>
    </row>
    <row r="3839" spans="1:13" x14ac:dyDescent="0.45">
      <c r="A3839" s="142" t="s">
        <v>13008</v>
      </c>
      <c r="B3839" s="142" t="s">
        <v>15411</v>
      </c>
      <c r="C3839" s="142" t="s">
        <v>15847</v>
      </c>
      <c r="D3839" s="142" t="s">
        <v>15848</v>
      </c>
      <c r="E3839" s="142" t="s">
        <v>15849</v>
      </c>
      <c r="F3839" s="142" t="s">
        <v>3837</v>
      </c>
      <c r="G3839" s="142" t="s">
        <v>3836</v>
      </c>
      <c r="H3839" s="142" t="s">
        <v>19689</v>
      </c>
      <c r="I3839" s="142">
        <v>171</v>
      </c>
      <c r="J3839" s="142">
        <v>0</v>
      </c>
      <c r="K3839" s="142">
        <v>0</v>
      </c>
      <c r="L3839" s="142">
        <v>0</v>
      </c>
      <c r="M3839" s="142">
        <v>171</v>
      </c>
    </row>
    <row r="3840" spans="1:13" x14ac:dyDescent="0.45">
      <c r="A3840" s="142" t="s">
        <v>13077</v>
      </c>
      <c r="B3840" s="142" t="s">
        <v>15407</v>
      </c>
      <c r="C3840" s="142" t="s">
        <v>15847</v>
      </c>
      <c r="D3840" s="142" t="s">
        <v>15848</v>
      </c>
      <c r="E3840" s="142" t="s">
        <v>15849</v>
      </c>
      <c r="F3840" s="142" t="s">
        <v>3837</v>
      </c>
      <c r="G3840" s="142" t="s">
        <v>3836</v>
      </c>
      <c r="H3840" s="142" t="s">
        <v>19690</v>
      </c>
      <c r="I3840" s="142">
        <v>1338</v>
      </c>
      <c r="J3840" s="142">
        <v>1129</v>
      </c>
      <c r="K3840" s="142">
        <v>0</v>
      </c>
      <c r="L3840" s="142">
        <v>209</v>
      </c>
      <c r="M3840" s="142">
        <v>0</v>
      </c>
    </row>
    <row r="3841" spans="1:13" x14ac:dyDescent="0.45">
      <c r="A3841" s="142" t="s">
        <v>13033</v>
      </c>
      <c r="B3841" s="142" t="s">
        <v>15276</v>
      </c>
      <c r="C3841" s="142" t="s">
        <v>15847</v>
      </c>
      <c r="D3841" s="142" t="s">
        <v>15848</v>
      </c>
      <c r="E3841" s="142" t="s">
        <v>15849</v>
      </c>
      <c r="F3841" s="142" t="s">
        <v>3837</v>
      </c>
      <c r="G3841" s="142" t="s">
        <v>3836</v>
      </c>
      <c r="H3841" s="142" t="s">
        <v>19691</v>
      </c>
      <c r="I3841" s="142">
        <v>85</v>
      </c>
      <c r="J3841" s="142">
        <v>84</v>
      </c>
      <c r="K3841" s="142">
        <v>0</v>
      </c>
      <c r="L3841" s="142">
        <v>0</v>
      </c>
      <c r="M3841" s="142">
        <v>1</v>
      </c>
    </row>
    <row r="3842" spans="1:13" x14ac:dyDescent="0.45">
      <c r="A3842" s="142" t="s">
        <v>13389</v>
      </c>
      <c r="B3842" s="142" t="s">
        <v>15361</v>
      </c>
      <c r="C3842" s="142" t="s">
        <v>15860</v>
      </c>
      <c r="D3842" s="142" t="s">
        <v>15861</v>
      </c>
      <c r="E3842" s="142" t="s">
        <v>15849</v>
      </c>
      <c r="F3842" s="142" t="s">
        <v>3837</v>
      </c>
      <c r="G3842" s="142" t="s">
        <v>3836</v>
      </c>
      <c r="H3842" s="142" t="s">
        <v>19692</v>
      </c>
      <c r="I3842" s="142">
        <v>12</v>
      </c>
      <c r="J3842" s="142">
        <v>0</v>
      </c>
      <c r="K3842" s="142">
        <v>0</v>
      </c>
      <c r="L3842" s="142">
        <v>12</v>
      </c>
      <c r="M3842" s="142">
        <v>0</v>
      </c>
    </row>
    <row r="3843" spans="1:13" x14ac:dyDescent="0.45">
      <c r="A3843" s="142" t="s">
        <v>13078</v>
      </c>
      <c r="B3843" s="142" t="s">
        <v>15540</v>
      </c>
      <c r="C3843" s="142" t="s">
        <v>15847</v>
      </c>
      <c r="D3843" s="142" t="s">
        <v>15848</v>
      </c>
      <c r="E3843" s="142" t="s">
        <v>15849</v>
      </c>
      <c r="F3843" s="142" t="s">
        <v>3837</v>
      </c>
      <c r="G3843" s="142" t="s">
        <v>3836</v>
      </c>
      <c r="H3843" s="142" t="s">
        <v>19693</v>
      </c>
      <c r="I3843" s="142">
        <v>11</v>
      </c>
      <c r="J3843" s="142">
        <v>0</v>
      </c>
      <c r="K3843" s="142">
        <v>0</v>
      </c>
      <c r="L3843" s="142">
        <v>11</v>
      </c>
      <c r="M3843" s="142">
        <v>0</v>
      </c>
    </row>
    <row r="3844" spans="1:13" x14ac:dyDescent="0.45">
      <c r="A3844" s="142" t="s">
        <v>13009</v>
      </c>
      <c r="B3844" s="142" t="s">
        <v>15256</v>
      </c>
      <c r="C3844" s="142" t="s">
        <v>15847</v>
      </c>
      <c r="D3844" s="142" t="s">
        <v>15848</v>
      </c>
      <c r="E3844" s="142" t="s">
        <v>15849</v>
      </c>
      <c r="F3844" s="142" t="s">
        <v>3837</v>
      </c>
      <c r="G3844" s="142" t="s">
        <v>3836</v>
      </c>
      <c r="H3844" s="142" t="s">
        <v>19694</v>
      </c>
      <c r="I3844" s="142">
        <v>80</v>
      </c>
      <c r="J3844" s="142">
        <v>0</v>
      </c>
      <c r="K3844" s="142">
        <v>0</v>
      </c>
      <c r="L3844" s="142">
        <v>43</v>
      </c>
      <c r="M3844" s="142">
        <v>37</v>
      </c>
    </row>
    <row r="3845" spans="1:13" x14ac:dyDescent="0.45">
      <c r="A3845" s="142" t="s">
        <v>13010</v>
      </c>
      <c r="B3845" s="142" t="s">
        <v>15349</v>
      </c>
      <c r="C3845" s="142" t="s">
        <v>15860</v>
      </c>
      <c r="D3845" s="142" t="s">
        <v>15861</v>
      </c>
      <c r="E3845" s="142" t="s">
        <v>15849</v>
      </c>
      <c r="F3845" s="142" t="s">
        <v>3837</v>
      </c>
      <c r="G3845" s="142" t="s">
        <v>3836</v>
      </c>
      <c r="H3845" s="142" t="s">
        <v>19695</v>
      </c>
      <c r="I3845" s="142">
        <v>6</v>
      </c>
      <c r="J3845" s="142">
        <v>0</v>
      </c>
      <c r="K3845" s="142">
        <v>0</v>
      </c>
      <c r="L3845" s="142">
        <v>6</v>
      </c>
      <c r="M3845" s="142">
        <v>0</v>
      </c>
    </row>
    <row r="3846" spans="1:13" x14ac:dyDescent="0.45">
      <c r="A3846" s="142" t="s">
        <v>13011</v>
      </c>
      <c r="B3846" s="142" t="s">
        <v>14695</v>
      </c>
      <c r="C3846" s="142" t="s">
        <v>15847</v>
      </c>
      <c r="D3846" s="142" t="s">
        <v>15848</v>
      </c>
      <c r="E3846" s="142" t="s">
        <v>15849</v>
      </c>
      <c r="F3846" s="142" t="s">
        <v>3837</v>
      </c>
      <c r="G3846" s="142" t="s">
        <v>3836</v>
      </c>
      <c r="H3846" s="142" t="s">
        <v>19696</v>
      </c>
      <c r="I3846" s="142">
        <v>4357</v>
      </c>
      <c r="J3846" s="142">
        <v>3806</v>
      </c>
      <c r="K3846" s="142">
        <v>0</v>
      </c>
      <c r="L3846" s="142">
        <v>470</v>
      </c>
      <c r="M3846" s="142">
        <v>81</v>
      </c>
    </row>
    <row r="3847" spans="1:13" x14ac:dyDescent="0.45">
      <c r="A3847" s="142" t="s">
        <v>13012</v>
      </c>
      <c r="B3847" s="142" t="s">
        <v>15337</v>
      </c>
      <c r="C3847" s="142" t="s">
        <v>15847</v>
      </c>
      <c r="D3847" s="142" t="s">
        <v>15848</v>
      </c>
      <c r="E3847" s="142" t="s">
        <v>15849</v>
      </c>
      <c r="F3847" s="142" t="s">
        <v>3837</v>
      </c>
      <c r="G3847" s="142" t="s">
        <v>3836</v>
      </c>
      <c r="H3847" s="142" t="s">
        <v>19697</v>
      </c>
      <c r="I3847" s="142">
        <v>52</v>
      </c>
      <c r="J3847" s="142">
        <v>52</v>
      </c>
      <c r="K3847" s="142">
        <v>0</v>
      </c>
      <c r="L3847" s="142">
        <v>0</v>
      </c>
      <c r="M3847" s="142">
        <v>0</v>
      </c>
    </row>
    <row r="3848" spans="1:13" x14ac:dyDescent="0.45">
      <c r="A3848" s="142" t="s">
        <v>13364</v>
      </c>
      <c r="B3848" s="142" t="s">
        <v>14448</v>
      </c>
      <c r="C3848" s="142" t="s">
        <v>15860</v>
      </c>
      <c r="D3848" s="142" t="s">
        <v>15861</v>
      </c>
      <c r="E3848" s="142" t="s">
        <v>15849</v>
      </c>
      <c r="F3848" s="142" t="s">
        <v>3837</v>
      </c>
      <c r="G3848" s="142" t="s">
        <v>3836</v>
      </c>
      <c r="H3848" s="142" t="s">
        <v>19698</v>
      </c>
      <c r="I3848" s="142">
        <v>47</v>
      </c>
      <c r="J3848" s="142">
        <v>0</v>
      </c>
      <c r="K3848" s="142">
        <v>0</v>
      </c>
      <c r="L3848" s="142">
        <v>47</v>
      </c>
      <c r="M3848" s="142">
        <v>0</v>
      </c>
    </row>
    <row r="3849" spans="1:13" x14ac:dyDescent="0.45">
      <c r="A3849" s="142" t="s">
        <v>13046</v>
      </c>
      <c r="B3849" s="142" t="s">
        <v>15537</v>
      </c>
      <c r="C3849" s="142" t="s">
        <v>15860</v>
      </c>
      <c r="D3849" s="142" t="s">
        <v>15861</v>
      </c>
      <c r="E3849" s="142" t="s">
        <v>15849</v>
      </c>
      <c r="F3849" s="142" t="s">
        <v>4984</v>
      </c>
      <c r="G3849" s="142" t="s">
        <v>4983</v>
      </c>
      <c r="H3849" s="142" t="s">
        <v>19699</v>
      </c>
      <c r="I3849" s="142">
        <v>17</v>
      </c>
      <c r="J3849" s="142">
        <v>0</v>
      </c>
      <c r="K3849" s="142">
        <v>0</v>
      </c>
      <c r="L3849" s="142">
        <v>17</v>
      </c>
      <c r="M3849" s="142">
        <v>0</v>
      </c>
    </row>
    <row r="3850" spans="1:13" x14ac:dyDescent="0.45">
      <c r="A3850" s="142" t="s">
        <v>13167</v>
      </c>
      <c r="B3850" s="142" t="s">
        <v>15418</v>
      </c>
      <c r="C3850" s="142" t="s">
        <v>15847</v>
      </c>
      <c r="D3850" s="142" t="s">
        <v>15848</v>
      </c>
      <c r="E3850" s="142" t="s">
        <v>15849</v>
      </c>
      <c r="F3850" s="142" t="s">
        <v>4984</v>
      </c>
      <c r="G3850" s="142" t="s">
        <v>4983</v>
      </c>
      <c r="H3850" s="142" t="s">
        <v>19700</v>
      </c>
      <c r="I3850" s="142">
        <v>121</v>
      </c>
      <c r="J3850" s="142">
        <v>111</v>
      </c>
      <c r="K3850" s="142">
        <v>0</v>
      </c>
      <c r="L3850" s="142">
        <v>0</v>
      </c>
      <c r="M3850" s="142">
        <v>10</v>
      </c>
    </row>
    <row r="3851" spans="1:13" x14ac:dyDescent="0.45">
      <c r="A3851" s="142" t="s">
        <v>13021</v>
      </c>
      <c r="B3851" s="142" t="s">
        <v>15501</v>
      </c>
      <c r="C3851" s="142" t="s">
        <v>15847</v>
      </c>
      <c r="D3851" s="142" t="s">
        <v>15848</v>
      </c>
      <c r="E3851" s="142" t="s">
        <v>15849</v>
      </c>
      <c r="F3851" s="142" t="s">
        <v>4984</v>
      </c>
      <c r="G3851" s="142" t="s">
        <v>4983</v>
      </c>
      <c r="H3851" s="142" t="s">
        <v>19701</v>
      </c>
      <c r="I3851" s="142">
        <v>19</v>
      </c>
      <c r="J3851" s="142">
        <v>0</v>
      </c>
      <c r="K3851" s="142">
        <v>0</v>
      </c>
      <c r="L3851" s="142">
        <v>12</v>
      </c>
      <c r="M3851" s="142">
        <v>7</v>
      </c>
    </row>
    <row r="3852" spans="1:13" x14ac:dyDescent="0.45">
      <c r="A3852" s="142" t="s">
        <v>13708</v>
      </c>
      <c r="B3852" s="142" t="s">
        <v>15296</v>
      </c>
      <c r="C3852" s="142" t="s">
        <v>15860</v>
      </c>
      <c r="D3852" s="142" t="s">
        <v>15861</v>
      </c>
      <c r="E3852" s="142" t="s">
        <v>15849</v>
      </c>
      <c r="F3852" s="142" t="s">
        <v>4984</v>
      </c>
      <c r="G3852" s="142" t="s">
        <v>4983</v>
      </c>
      <c r="H3852" s="142" t="s">
        <v>19702</v>
      </c>
      <c r="I3852" s="142">
        <v>25</v>
      </c>
      <c r="J3852" s="142">
        <v>0</v>
      </c>
      <c r="K3852" s="142">
        <v>0</v>
      </c>
      <c r="L3852" s="142">
        <v>25</v>
      </c>
      <c r="M3852" s="142">
        <v>0</v>
      </c>
    </row>
    <row r="3853" spans="1:13" x14ac:dyDescent="0.45">
      <c r="A3853" s="142" t="s">
        <v>13048</v>
      </c>
      <c r="B3853" s="142" t="s">
        <v>14479</v>
      </c>
      <c r="C3853" s="142" t="s">
        <v>15847</v>
      </c>
      <c r="D3853" s="142" t="s">
        <v>15848</v>
      </c>
      <c r="E3853" s="142" t="s">
        <v>15849</v>
      </c>
      <c r="F3853" s="142" t="s">
        <v>4984</v>
      </c>
      <c r="G3853" s="142" t="s">
        <v>4983</v>
      </c>
      <c r="H3853" s="142" t="s">
        <v>19703</v>
      </c>
      <c r="I3853" s="142">
        <v>137</v>
      </c>
      <c r="J3853" s="142">
        <v>86</v>
      </c>
      <c r="K3853" s="142">
        <v>0</v>
      </c>
      <c r="L3853" s="142">
        <v>0</v>
      </c>
      <c r="M3853" s="142">
        <v>51</v>
      </c>
    </row>
    <row r="3854" spans="1:13" x14ac:dyDescent="0.45">
      <c r="A3854" s="142" t="s">
        <v>13049</v>
      </c>
      <c r="B3854" s="142" t="s">
        <v>14534</v>
      </c>
      <c r="C3854" s="142" t="s">
        <v>15860</v>
      </c>
      <c r="D3854" s="142" t="s">
        <v>15861</v>
      </c>
      <c r="E3854" s="142" t="s">
        <v>15849</v>
      </c>
      <c r="F3854" s="142" t="s">
        <v>4984</v>
      </c>
      <c r="G3854" s="142" t="s">
        <v>4983</v>
      </c>
      <c r="H3854" s="142" t="s">
        <v>19704</v>
      </c>
      <c r="I3854" s="142">
        <v>17</v>
      </c>
      <c r="J3854" s="142">
        <v>0</v>
      </c>
      <c r="K3854" s="142">
        <v>0</v>
      </c>
      <c r="L3854" s="142">
        <v>17</v>
      </c>
      <c r="M3854" s="142">
        <v>0</v>
      </c>
    </row>
    <row r="3855" spans="1:13" x14ac:dyDescent="0.45">
      <c r="A3855" s="142" t="s">
        <v>13027</v>
      </c>
      <c r="B3855" s="142" t="s">
        <v>14562</v>
      </c>
      <c r="C3855" s="142" t="s">
        <v>15847</v>
      </c>
      <c r="D3855" s="142" t="s">
        <v>15848</v>
      </c>
      <c r="E3855" s="142" t="s">
        <v>15849</v>
      </c>
      <c r="F3855" s="142" t="s">
        <v>4984</v>
      </c>
      <c r="G3855" s="142" t="s">
        <v>4983</v>
      </c>
      <c r="H3855" s="142" t="s">
        <v>19705</v>
      </c>
      <c r="I3855" s="142">
        <v>11</v>
      </c>
      <c r="J3855" s="142">
        <v>0</v>
      </c>
      <c r="K3855" s="142">
        <v>0</v>
      </c>
      <c r="L3855" s="142">
        <v>11</v>
      </c>
      <c r="M3855" s="142">
        <v>0</v>
      </c>
    </row>
    <row r="3856" spans="1:13" x14ac:dyDescent="0.45">
      <c r="A3856" s="142" t="s">
        <v>13752</v>
      </c>
      <c r="B3856" s="142" t="s">
        <v>14517</v>
      </c>
      <c r="C3856" s="142" t="s">
        <v>15847</v>
      </c>
      <c r="D3856" s="142" t="s">
        <v>15848</v>
      </c>
      <c r="E3856" s="142" t="s">
        <v>15849</v>
      </c>
      <c r="F3856" s="142" t="s">
        <v>4984</v>
      </c>
      <c r="G3856" s="142" t="s">
        <v>4983</v>
      </c>
      <c r="H3856" s="142" t="s">
        <v>19706</v>
      </c>
      <c r="I3856" s="142">
        <v>82</v>
      </c>
      <c r="J3856" s="142">
        <v>47</v>
      </c>
      <c r="K3856" s="142">
        <v>0</v>
      </c>
      <c r="L3856" s="142">
        <v>0</v>
      </c>
      <c r="M3856" s="142">
        <v>35</v>
      </c>
    </row>
    <row r="3857" spans="1:13" x14ac:dyDescent="0.45">
      <c r="A3857" s="142" t="s">
        <v>13767</v>
      </c>
      <c r="B3857" s="142" t="s">
        <v>15559</v>
      </c>
      <c r="C3857" s="142" t="s">
        <v>15860</v>
      </c>
      <c r="D3857" s="142" t="s">
        <v>15861</v>
      </c>
      <c r="E3857" s="142" t="s">
        <v>15849</v>
      </c>
      <c r="F3857" s="142" t="s">
        <v>4984</v>
      </c>
      <c r="G3857" s="142" t="s">
        <v>4983</v>
      </c>
      <c r="H3857" s="142" t="s">
        <v>19707</v>
      </c>
      <c r="I3857" s="142">
        <v>97</v>
      </c>
      <c r="J3857" s="142">
        <v>0</v>
      </c>
      <c r="K3857" s="142">
        <v>0</v>
      </c>
      <c r="L3857" s="142">
        <v>97</v>
      </c>
      <c r="M3857" s="142">
        <v>0</v>
      </c>
    </row>
    <row r="3858" spans="1:13" x14ac:dyDescent="0.45">
      <c r="A3858" s="142" t="s">
        <v>13028</v>
      </c>
      <c r="B3858" s="142" t="s">
        <v>14462</v>
      </c>
      <c r="C3858" s="142" t="s">
        <v>15847</v>
      </c>
      <c r="D3858" s="142" t="s">
        <v>15848</v>
      </c>
      <c r="E3858" s="142" t="s">
        <v>15849</v>
      </c>
      <c r="F3858" s="142" t="s">
        <v>4984</v>
      </c>
      <c r="G3858" s="142" t="s">
        <v>4983</v>
      </c>
      <c r="H3858" s="142" t="s">
        <v>19708</v>
      </c>
      <c r="I3858" s="142">
        <v>42</v>
      </c>
      <c r="J3858" s="142">
        <v>0</v>
      </c>
      <c r="K3858" s="142">
        <v>0</v>
      </c>
      <c r="L3858" s="142">
        <v>0</v>
      </c>
      <c r="M3858" s="142">
        <v>42</v>
      </c>
    </row>
    <row r="3859" spans="1:13" x14ac:dyDescent="0.45">
      <c r="A3859" s="142" t="s">
        <v>13002</v>
      </c>
      <c r="B3859" s="142" t="s">
        <v>15376</v>
      </c>
      <c r="C3859" s="142" t="s">
        <v>15847</v>
      </c>
      <c r="D3859" s="142" t="s">
        <v>15848</v>
      </c>
      <c r="E3859" s="142" t="s">
        <v>15849</v>
      </c>
      <c r="F3859" s="142" t="s">
        <v>4984</v>
      </c>
      <c r="G3859" s="142" t="s">
        <v>4983</v>
      </c>
      <c r="H3859" s="142" t="s">
        <v>19709</v>
      </c>
      <c r="I3859" s="142">
        <v>71</v>
      </c>
      <c r="J3859" s="142">
        <v>47</v>
      </c>
      <c r="K3859" s="142">
        <v>0</v>
      </c>
      <c r="L3859" s="142">
        <v>0</v>
      </c>
      <c r="M3859" s="142">
        <v>24</v>
      </c>
    </row>
    <row r="3860" spans="1:13" x14ac:dyDescent="0.45">
      <c r="A3860" s="142" t="s">
        <v>13003</v>
      </c>
      <c r="B3860" s="142" t="s">
        <v>15245</v>
      </c>
      <c r="C3860" s="142" t="s">
        <v>15847</v>
      </c>
      <c r="D3860" s="142" t="s">
        <v>15848</v>
      </c>
      <c r="E3860" s="142" t="s">
        <v>15849</v>
      </c>
      <c r="F3860" s="142" t="s">
        <v>4984</v>
      </c>
      <c r="G3860" s="142" t="s">
        <v>4983</v>
      </c>
      <c r="H3860" s="142" t="s">
        <v>19710</v>
      </c>
      <c r="I3860" s="142">
        <v>76</v>
      </c>
      <c r="J3860" s="142">
        <v>0</v>
      </c>
      <c r="K3860" s="142">
        <v>0</v>
      </c>
      <c r="L3860" s="142">
        <v>64</v>
      </c>
      <c r="M3860" s="142">
        <v>12</v>
      </c>
    </row>
    <row r="3861" spans="1:13" x14ac:dyDescent="0.45">
      <c r="A3861" s="142" t="s">
        <v>13004</v>
      </c>
      <c r="B3861" s="142" t="s">
        <v>15492</v>
      </c>
      <c r="C3861" s="142" t="s">
        <v>15847</v>
      </c>
      <c r="D3861" s="142" t="s">
        <v>15848</v>
      </c>
      <c r="E3861" s="142" t="s">
        <v>15849</v>
      </c>
      <c r="F3861" s="142" t="s">
        <v>4984</v>
      </c>
      <c r="G3861" s="142" t="s">
        <v>4983</v>
      </c>
      <c r="H3861" s="142" t="s">
        <v>19711</v>
      </c>
      <c r="I3861" s="142">
        <v>63</v>
      </c>
      <c r="J3861" s="142">
        <v>48</v>
      </c>
      <c r="K3861" s="142">
        <v>0</v>
      </c>
      <c r="L3861" s="142">
        <v>14</v>
      </c>
      <c r="M3861" s="142">
        <v>1</v>
      </c>
    </row>
    <row r="3862" spans="1:13" x14ac:dyDescent="0.45">
      <c r="A3862" s="142" t="s">
        <v>13066</v>
      </c>
      <c r="B3862" s="142" t="s">
        <v>14459</v>
      </c>
      <c r="C3862" s="142" t="s">
        <v>15847</v>
      </c>
      <c r="D3862" s="142" t="s">
        <v>15848</v>
      </c>
      <c r="E3862" s="142" t="s">
        <v>15849</v>
      </c>
      <c r="F3862" s="142" t="s">
        <v>4984</v>
      </c>
      <c r="G3862" s="142" t="s">
        <v>4983</v>
      </c>
      <c r="H3862" s="142" t="s">
        <v>19712</v>
      </c>
      <c r="I3862" s="142">
        <v>12</v>
      </c>
      <c r="J3862" s="142">
        <v>0</v>
      </c>
      <c r="K3862" s="142">
        <v>0</v>
      </c>
      <c r="L3862" s="142">
        <v>12</v>
      </c>
      <c r="M3862" s="142">
        <v>0</v>
      </c>
    </row>
    <row r="3863" spans="1:13" x14ac:dyDescent="0.45">
      <c r="A3863" s="142" t="s">
        <v>13005</v>
      </c>
      <c r="B3863" s="142" t="s">
        <v>15475</v>
      </c>
      <c r="C3863" s="142" t="s">
        <v>15847</v>
      </c>
      <c r="D3863" s="142" t="s">
        <v>15848</v>
      </c>
      <c r="E3863" s="142" t="s">
        <v>15849</v>
      </c>
      <c r="F3863" s="142" t="s">
        <v>4984</v>
      </c>
      <c r="G3863" s="142" t="s">
        <v>4983</v>
      </c>
      <c r="H3863" s="142" t="s">
        <v>19713</v>
      </c>
      <c r="I3863" s="142">
        <v>1</v>
      </c>
      <c r="J3863" s="142">
        <v>0</v>
      </c>
      <c r="K3863" s="142">
        <v>0</v>
      </c>
      <c r="L3863" s="142">
        <v>0</v>
      </c>
      <c r="M3863" s="142">
        <v>1</v>
      </c>
    </row>
    <row r="3864" spans="1:13" x14ac:dyDescent="0.45">
      <c r="A3864" s="142" t="s">
        <v>13007</v>
      </c>
      <c r="B3864" s="142" t="s">
        <v>15262</v>
      </c>
      <c r="C3864" s="142" t="s">
        <v>15847</v>
      </c>
      <c r="D3864" s="142" t="s">
        <v>15848</v>
      </c>
      <c r="E3864" s="142" t="s">
        <v>15849</v>
      </c>
      <c r="F3864" s="142" t="s">
        <v>4984</v>
      </c>
      <c r="G3864" s="142" t="s">
        <v>4983</v>
      </c>
      <c r="H3864" s="142" t="s">
        <v>19714</v>
      </c>
      <c r="I3864" s="142">
        <v>1</v>
      </c>
      <c r="J3864" s="142">
        <v>0</v>
      </c>
      <c r="K3864" s="142">
        <v>0</v>
      </c>
      <c r="L3864" s="142">
        <v>0</v>
      </c>
      <c r="M3864" s="142">
        <v>1</v>
      </c>
    </row>
    <row r="3865" spans="1:13" x14ac:dyDescent="0.45">
      <c r="A3865" s="142" t="s">
        <v>13512</v>
      </c>
      <c r="B3865" s="142" t="s">
        <v>15255</v>
      </c>
      <c r="C3865" s="142" t="s">
        <v>15860</v>
      </c>
      <c r="D3865" s="142" t="s">
        <v>15861</v>
      </c>
      <c r="E3865" s="142" t="s">
        <v>15849</v>
      </c>
      <c r="F3865" s="142" t="s">
        <v>4984</v>
      </c>
      <c r="G3865" s="142" t="s">
        <v>4983</v>
      </c>
      <c r="H3865" s="142" t="s">
        <v>19715</v>
      </c>
      <c r="I3865" s="142">
        <v>4</v>
      </c>
      <c r="J3865" s="142">
        <v>4</v>
      </c>
      <c r="K3865" s="142">
        <v>0</v>
      </c>
      <c r="L3865" s="142">
        <v>0</v>
      </c>
      <c r="M3865" s="142">
        <v>0</v>
      </c>
    </row>
    <row r="3866" spans="1:13" x14ac:dyDescent="0.45">
      <c r="A3866" s="142" t="s">
        <v>13033</v>
      </c>
      <c r="B3866" s="142" t="s">
        <v>15276</v>
      </c>
      <c r="C3866" s="142" t="s">
        <v>15847</v>
      </c>
      <c r="D3866" s="142" t="s">
        <v>15848</v>
      </c>
      <c r="E3866" s="142" t="s">
        <v>15849</v>
      </c>
      <c r="F3866" s="142" t="s">
        <v>4984</v>
      </c>
      <c r="G3866" s="142" t="s">
        <v>4983</v>
      </c>
      <c r="H3866" s="142" t="s">
        <v>19716</v>
      </c>
      <c r="I3866" s="142">
        <v>45</v>
      </c>
      <c r="J3866" s="142">
        <v>45</v>
      </c>
      <c r="K3866" s="142">
        <v>0</v>
      </c>
      <c r="L3866" s="142">
        <v>0</v>
      </c>
      <c r="M3866" s="142">
        <v>0</v>
      </c>
    </row>
    <row r="3867" spans="1:13" x14ac:dyDescent="0.45">
      <c r="A3867" s="142" t="s">
        <v>13036</v>
      </c>
      <c r="B3867" s="142" t="s">
        <v>15567</v>
      </c>
      <c r="C3867" s="142" t="s">
        <v>15847</v>
      </c>
      <c r="D3867" s="142" t="s">
        <v>15848</v>
      </c>
      <c r="E3867" s="142" t="s">
        <v>15849</v>
      </c>
      <c r="F3867" s="142" t="s">
        <v>4984</v>
      </c>
      <c r="G3867" s="142" t="s">
        <v>4983</v>
      </c>
      <c r="H3867" s="142" t="s">
        <v>19717</v>
      </c>
      <c r="I3867" s="142">
        <v>4</v>
      </c>
      <c r="J3867" s="142">
        <v>0</v>
      </c>
      <c r="K3867" s="142">
        <v>0</v>
      </c>
      <c r="L3867" s="142">
        <v>4</v>
      </c>
      <c r="M3867" s="142">
        <v>0</v>
      </c>
    </row>
    <row r="3868" spans="1:13" x14ac:dyDescent="0.45">
      <c r="A3868" s="142" t="s">
        <v>13037</v>
      </c>
      <c r="B3868" s="142" t="s">
        <v>14519</v>
      </c>
      <c r="C3868" s="142" t="s">
        <v>15847</v>
      </c>
      <c r="D3868" s="142" t="s">
        <v>15848</v>
      </c>
      <c r="E3868" s="142" t="s">
        <v>15849</v>
      </c>
      <c r="F3868" s="142" t="s">
        <v>4984</v>
      </c>
      <c r="G3868" s="142" t="s">
        <v>4983</v>
      </c>
      <c r="H3868" s="142" t="s">
        <v>19718</v>
      </c>
      <c r="I3868" s="142">
        <v>2</v>
      </c>
      <c r="J3868" s="142">
        <v>0</v>
      </c>
      <c r="K3868" s="142">
        <v>0</v>
      </c>
      <c r="L3868" s="142">
        <v>2</v>
      </c>
      <c r="M3868" s="142">
        <v>0</v>
      </c>
    </row>
    <row r="3869" spans="1:13" x14ac:dyDescent="0.45">
      <c r="A3869" s="142" t="s">
        <v>13038</v>
      </c>
      <c r="B3869" s="142" t="s">
        <v>14646</v>
      </c>
      <c r="C3869" s="142" t="s">
        <v>15847</v>
      </c>
      <c r="D3869" s="142" t="s">
        <v>15848</v>
      </c>
      <c r="E3869" s="142" t="s">
        <v>15849</v>
      </c>
      <c r="F3869" s="142" t="s">
        <v>4984</v>
      </c>
      <c r="G3869" s="142" t="s">
        <v>4983</v>
      </c>
      <c r="H3869" s="142" t="s">
        <v>19719</v>
      </c>
      <c r="I3869" s="142">
        <v>7</v>
      </c>
      <c r="J3869" s="142">
        <v>0</v>
      </c>
      <c r="K3869" s="142">
        <v>0</v>
      </c>
      <c r="L3869" s="142">
        <v>0</v>
      </c>
      <c r="M3869" s="142">
        <v>7</v>
      </c>
    </row>
    <row r="3870" spans="1:13" x14ac:dyDescent="0.45">
      <c r="A3870" s="142" t="s">
        <v>13039</v>
      </c>
      <c r="B3870" s="142" t="s">
        <v>14647</v>
      </c>
      <c r="C3870" s="142" t="s">
        <v>15847</v>
      </c>
      <c r="D3870" s="142" t="s">
        <v>15848</v>
      </c>
      <c r="E3870" s="142" t="s">
        <v>15849</v>
      </c>
      <c r="F3870" s="142" t="s">
        <v>4984</v>
      </c>
      <c r="G3870" s="142" t="s">
        <v>4983</v>
      </c>
      <c r="H3870" s="142" t="s">
        <v>19720</v>
      </c>
      <c r="I3870" s="142">
        <v>22</v>
      </c>
      <c r="J3870" s="142">
        <v>22</v>
      </c>
      <c r="K3870" s="142">
        <v>0</v>
      </c>
      <c r="L3870" s="142">
        <v>0</v>
      </c>
      <c r="M3870" s="142">
        <v>0</v>
      </c>
    </row>
    <row r="3871" spans="1:13" x14ac:dyDescent="0.45">
      <c r="A3871" s="142" t="s">
        <v>13009</v>
      </c>
      <c r="B3871" s="142" t="s">
        <v>15256</v>
      </c>
      <c r="C3871" s="142" t="s">
        <v>15847</v>
      </c>
      <c r="D3871" s="142" t="s">
        <v>15848</v>
      </c>
      <c r="E3871" s="142" t="s">
        <v>15849</v>
      </c>
      <c r="F3871" s="142" t="s">
        <v>4984</v>
      </c>
      <c r="G3871" s="142" t="s">
        <v>4983</v>
      </c>
      <c r="H3871" s="142" t="s">
        <v>19721</v>
      </c>
      <c r="I3871" s="142">
        <v>16</v>
      </c>
      <c r="J3871" s="142">
        <v>0</v>
      </c>
      <c r="K3871" s="142">
        <v>0</v>
      </c>
      <c r="L3871" s="142">
        <v>16</v>
      </c>
      <c r="M3871" s="142">
        <v>0</v>
      </c>
    </row>
    <row r="3872" spans="1:13" x14ac:dyDescent="0.45">
      <c r="A3872" s="142" t="s">
        <v>13056</v>
      </c>
      <c r="B3872" s="142" t="s">
        <v>15435</v>
      </c>
      <c r="C3872" s="142" t="s">
        <v>15847</v>
      </c>
      <c r="D3872" s="142" t="s">
        <v>15848</v>
      </c>
      <c r="E3872" s="142" t="s">
        <v>15849</v>
      </c>
      <c r="F3872" s="142" t="s">
        <v>4984</v>
      </c>
      <c r="G3872" s="142" t="s">
        <v>4983</v>
      </c>
      <c r="H3872" s="142" t="s">
        <v>19722</v>
      </c>
      <c r="I3872" s="142">
        <v>24</v>
      </c>
      <c r="J3872" s="142">
        <v>0</v>
      </c>
      <c r="K3872" s="142">
        <v>0</v>
      </c>
      <c r="L3872" s="142">
        <v>24</v>
      </c>
      <c r="M3872" s="142">
        <v>0</v>
      </c>
    </row>
    <row r="3873" spans="1:13" x14ac:dyDescent="0.45">
      <c r="A3873" s="142" t="s">
        <v>13011</v>
      </c>
      <c r="B3873" s="142" t="s">
        <v>14695</v>
      </c>
      <c r="C3873" s="142" t="s">
        <v>15847</v>
      </c>
      <c r="D3873" s="142" t="s">
        <v>15848</v>
      </c>
      <c r="E3873" s="142" t="s">
        <v>15849</v>
      </c>
      <c r="F3873" s="142" t="s">
        <v>4984</v>
      </c>
      <c r="G3873" s="142" t="s">
        <v>4983</v>
      </c>
      <c r="H3873" s="142" t="s">
        <v>19723</v>
      </c>
      <c r="I3873" s="142">
        <v>177</v>
      </c>
      <c r="J3873" s="142">
        <v>126</v>
      </c>
      <c r="K3873" s="142">
        <v>0</v>
      </c>
      <c r="L3873" s="142">
        <v>50</v>
      </c>
      <c r="M3873" s="142">
        <v>1</v>
      </c>
    </row>
    <row r="3874" spans="1:13" x14ac:dyDescent="0.45">
      <c r="A3874" s="142" t="s">
        <v>13041</v>
      </c>
      <c r="B3874" s="142" t="s">
        <v>14441</v>
      </c>
      <c r="C3874" s="142" t="s">
        <v>15847</v>
      </c>
      <c r="D3874" s="142" t="s">
        <v>15848</v>
      </c>
      <c r="E3874" s="142" t="s">
        <v>15849</v>
      </c>
      <c r="F3874" s="142" t="s">
        <v>4984</v>
      </c>
      <c r="G3874" s="142" t="s">
        <v>4983</v>
      </c>
      <c r="H3874" s="142" t="s">
        <v>19724</v>
      </c>
      <c r="I3874" s="142">
        <v>14</v>
      </c>
      <c r="J3874" s="142">
        <v>0</v>
      </c>
      <c r="K3874" s="142">
        <v>0</v>
      </c>
      <c r="L3874" s="142">
        <v>0</v>
      </c>
      <c r="M3874" s="142">
        <v>14</v>
      </c>
    </row>
    <row r="3875" spans="1:13" x14ac:dyDescent="0.45">
      <c r="A3875" s="142" t="s">
        <v>13012</v>
      </c>
      <c r="B3875" s="142" t="s">
        <v>15337</v>
      </c>
      <c r="C3875" s="142" t="s">
        <v>15847</v>
      </c>
      <c r="D3875" s="142" t="s">
        <v>15848</v>
      </c>
      <c r="E3875" s="142" t="s">
        <v>15849</v>
      </c>
      <c r="F3875" s="142" t="s">
        <v>4984</v>
      </c>
      <c r="G3875" s="142" t="s">
        <v>4983</v>
      </c>
      <c r="H3875" s="142" t="s">
        <v>19725</v>
      </c>
      <c r="I3875" s="142">
        <v>45</v>
      </c>
      <c r="J3875" s="142">
        <v>45</v>
      </c>
      <c r="K3875" s="142">
        <v>0</v>
      </c>
      <c r="L3875" s="142">
        <v>0</v>
      </c>
      <c r="M3875" s="142">
        <v>0</v>
      </c>
    </row>
    <row r="3876" spans="1:13" x14ac:dyDescent="0.45">
      <c r="A3876" s="142" t="s">
        <v>13060</v>
      </c>
      <c r="B3876" s="142" t="s">
        <v>14470</v>
      </c>
      <c r="C3876" s="142" t="s">
        <v>15847</v>
      </c>
      <c r="D3876" s="142" t="s">
        <v>15848</v>
      </c>
      <c r="E3876" s="142" t="s">
        <v>15849</v>
      </c>
      <c r="F3876" s="142" t="s">
        <v>4984</v>
      </c>
      <c r="G3876" s="142" t="s">
        <v>4983</v>
      </c>
      <c r="H3876" s="142" t="s">
        <v>19726</v>
      </c>
      <c r="I3876" s="142">
        <v>85</v>
      </c>
      <c r="J3876" s="142">
        <v>63</v>
      </c>
      <c r="K3876" s="142">
        <v>0</v>
      </c>
      <c r="L3876" s="142">
        <v>0</v>
      </c>
      <c r="M3876" s="142">
        <v>22</v>
      </c>
    </row>
    <row r="3877" spans="1:13" x14ac:dyDescent="0.45">
      <c r="A3877" s="142" t="s">
        <v>13285</v>
      </c>
      <c r="B3877" s="142" t="s">
        <v>15158</v>
      </c>
      <c r="C3877" s="142" t="s">
        <v>15860</v>
      </c>
      <c r="D3877" s="142" t="s">
        <v>15861</v>
      </c>
      <c r="E3877" s="142" t="s">
        <v>15849</v>
      </c>
      <c r="F3877" s="142" t="s">
        <v>4984</v>
      </c>
      <c r="G3877" s="142" t="s">
        <v>4983</v>
      </c>
      <c r="H3877" s="142" t="s">
        <v>19727</v>
      </c>
      <c r="I3877" s="142">
        <v>7</v>
      </c>
      <c r="J3877" s="142">
        <v>0</v>
      </c>
      <c r="K3877" s="142">
        <v>0</v>
      </c>
      <c r="L3877" s="142">
        <v>7</v>
      </c>
      <c r="M3877" s="142">
        <v>0</v>
      </c>
    </row>
    <row r="3878" spans="1:13" x14ac:dyDescent="0.45">
      <c r="A3878" s="142" t="s">
        <v>13014</v>
      </c>
      <c r="B3878" s="142" t="s">
        <v>14505</v>
      </c>
      <c r="C3878" s="142" t="s">
        <v>15847</v>
      </c>
      <c r="D3878" s="142" t="s">
        <v>15848</v>
      </c>
      <c r="E3878" s="142" t="s">
        <v>15849</v>
      </c>
      <c r="F3878" s="142" t="s">
        <v>4984</v>
      </c>
      <c r="G3878" s="142" t="s">
        <v>4983</v>
      </c>
      <c r="H3878" s="142" t="s">
        <v>19728</v>
      </c>
      <c r="I3878" s="142">
        <v>3767</v>
      </c>
      <c r="J3878" s="142">
        <v>2811</v>
      </c>
      <c r="K3878" s="142">
        <v>0</v>
      </c>
      <c r="L3878" s="142">
        <v>882</v>
      </c>
      <c r="M3878" s="142">
        <v>74</v>
      </c>
    </row>
    <row r="3879" spans="1:13" x14ac:dyDescent="0.45">
      <c r="A3879" s="142" t="s">
        <v>13174</v>
      </c>
      <c r="B3879" s="142" t="s">
        <v>15280</v>
      </c>
      <c r="C3879" s="142" t="s">
        <v>15847</v>
      </c>
      <c r="D3879" s="142" t="s">
        <v>15848</v>
      </c>
      <c r="E3879" s="142" t="s">
        <v>15849</v>
      </c>
      <c r="F3879" s="142" t="s">
        <v>4984</v>
      </c>
      <c r="G3879" s="142" t="s">
        <v>4983</v>
      </c>
      <c r="H3879" s="142" t="s">
        <v>19729</v>
      </c>
      <c r="I3879" s="142">
        <v>129</v>
      </c>
      <c r="J3879" s="142">
        <v>91</v>
      </c>
      <c r="K3879" s="142">
        <v>0</v>
      </c>
      <c r="L3879" s="142">
        <v>0</v>
      </c>
      <c r="M3879" s="142">
        <v>38</v>
      </c>
    </row>
    <row r="3880" spans="1:13" x14ac:dyDescent="0.45">
      <c r="A3880" s="142" t="s">
        <v>13175</v>
      </c>
      <c r="B3880" s="142" t="s">
        <v>15561</v>
      </c>
      <c r="C3880" s="142" t="s">
        <v>15860</v>
      </c>
      <c r="D3880" s="142" t="s">
        <v>15861</v>
      </c>
      <c r="E3880" s="142" t="s">
        <v>15849</v>
      </c>
      <c r="F3880" s="142" t="s">
        <v>4984</v>
      </c>
      <c r="G3880" s="142" t="s">
        <v>4983</v>
      </c>
      <c r="H3880" s="142" t="s">
        <v>19730</v>
      </c>
      <c r="I3880" s="142">
        <v>36</v>
      </c>
      <c r="J3880" s="142">
        <v>0</v>
      </c>
      <c r="K3880" s="142">
        <v>0</v>
      </c>
      <c r="L3880" s="142">
        <v>36</v>
      </c>
      <c r="M3880" s="142">
        <v>0</v>
      </c>
    </row>
    <row r="3881" spans="1:13" x14ac:dyDescent="0.45">
      <c r="A3881" s="142" t="s">
        <v>13015</v>
      </c>
      <c r="B3881" s="142" t="s">
        <v>14596</v>
      </c>
      <c r="C3881" s="142" t="s">
        <v>15847</v>
      </c>
      <c r="D3881" s="142" t="s">
        <v>15848</v>
      </c>
      <c r="E3881" s="142" t="s">
        <v>15849</v>
      </c>
      <c r="F3881" s="142" t="s">
        <v>4984</v>
      </c>
      <c r="G3881" s="142" t="s">
        <v>4983</v>
      </c>
      <c r="H3881" s="142" t="s">
        <v>19731</v>
      </c>
      <c r="I3881" s="142">
        <v>1344</v>
      </c>
      <c r="J3881" s="142">
        <v>1086</v>
      </c>
      <c r="K3881" s="142">
        <v>0</v>
      </c>
      <c r="L3881" s="142">
        <v>16</v>
      </c>
      <c r="M3881" s="142">
        <v>242</v>
      </c>
    </row>
    <row r="3882" spans="1:13" x14ac:dyDescent="0.45">
      <c r="A3882" s="142" t="s">
        <v>13156</v>
      </c>
      <c r="B3882" s="142" t="s">
        <v>14493</v>
      </c>
      <c r="C3882" s="142" t="s">
        <v>15860</v>
      </c>
      <c r="D3882" s="142" t="s">
        <v>15861</v>
      </c>
      <c r="E3882" s="142" t="s">
        <v>15849</v>
      </c>
      <c r="F3882" s="142" t="s">
        <v>4984</v>
      </c>
      <c r="G3882" s="142" t="s">
        <v>4983</v>
      </c>
      <c r="H3882" s="142" t="s">
        <v>19732</v>
      </c>
      <c r="I3882" s="142">
        <v>8</v>
      </c>
      <c r="J3882" s="142">
        <v>0</v>
      </c>
      <c r="K3882" s="142">
        <v>0</v>
      </c>
      <c r="L3882" s="142">
        <v>8</v>
      </c>
      <c r="M3882" s="142">
        <v>0</v>
      </c>
    </row>
    <row r="3883" spans="1:13" x14ac:dyDescent="0.45">
      <c r="A3883" s="142" t="s">
        <v>13016</v>
      </c>
      <c r="B3883" s="142" t="s">
        <v>14535</v>
      </c>
      <c r="C3883" s="142" t="s">
        <v>15860</v>
      </c>
      <c r="D3883" s="142" t="s">
        <v>15861</v>
      </c>
      <c r="E3883" s="142" t="s">
        <v>15849</v>
      </c>
      <c r="F3883" s="142" t="s">
        <v>4984</v>
      </c>
      <c r="G3883" s="142" t="s">
        <v>4983</v>
      </c>
      <c r="H3883" s="142" t="s">
        <v>19733</v>
      </c>
      <c r="I3883" s="142">
        <v>10</v>
      </c>
      <c r="J3883" s="142">
        <v>0</v>
      </c>
      <c r="K3883" s="142">
        <v>0</v>
      </c>
      <c r="L3883" s="142">
        <v>10</v>
      </c>
      <c r="M3883" s="142">
        <v>0</v>
      </c>
    </row>
    <row r="3884" spans="1:13" x14ac:dyDescent="0.45">
      <c r="A3884" s="142" t="s">
        <v>13110</v>
      </c>
      <c r="B3884" s="142" t="s">
        <v>15502</v>
      </c>
      <c r="C3884" s="142" t="s">
        <v>15847</v>
      </c>
      <c r="D3884" s="142" t="s">
        <v>15848</v>
      </c>
      <c r="E3884" s="142" t="s">
        <v>15849</v>
      </c>
      <c r="F3884" s="142" t="s">
        <v>11818</v>
      </c>
      <c r="G3884" s="142" t="s">
        <v>11817</v>
      </c>
      <c r="H3884" s="142" t="s">
        <v>19734</v>
      </c>
      <c r="I3884" s="142">
        <v>41</v>
      </c>
      <c r="J3884" s="142">
        <v>14</v>
      </c>
      <c r="K3884" s="142">
        <v>0</v>
      </c>
      <c r="L3884" s="142">
        <v>0</v>
      </c>
      <c r="M3884" s="142">
        <v>27</v>
      </c>
    </row>
    <row r="3885" spans="1:13" x14ac:dyDescent="0.45">
      <c r="A3885" s="142" t="s">
        <v>13023</v>
      </c>
      <c r="B3885" s="142" t="s">
        <v>15571</v>
      </c>
      <c r="C3885" s="142" t="s">
        <v>15847</v>
      </c>
      <c r="D3885" s="142" t="s">
        <v>15848</v>
      </c>
      <c r="E3885" s="142" t="s">
        <v>15849</v>
      </c>
      <c r="F3885" s="142" t="s">
        <v>11818</v>
      </c>
      <c r="G3885" s="142" t="s">
        <v>11817</v>
      </c>
      <c r="H3885" s="142" t="s">
        <v>19735</v>
      </c>
      <c r="I3885" s="142">
        <v>207</v>
      </c>
      <c r="J3885" s="142">
        <v>0</v>
      </c>
      <c r="K3885" s="142">
        <v>0</v>
      </c>
      <c r="L3885" s="142">
        <v>207</v>
      </c>
      <c r="M3885" s="142">
        <v>0</v>
      </c>
    </row>
    <row r="3886" spans="1:13" x14ac:dyDescent="0.45">
      <c r="A3886" s="142" t="s">
        <v>13065</v>
      </c>
      <c r="B3886" s="142" t="s">
        <v>14497</v>
      </c>
      <c r="C3886" s="142" t="s">
        <v>15847</v>
      </c>
      <c r="D3886" s="142" t="s">
        <v>15848</v>
      </c>
      <c r="E3886" s="142" t="s">
        <v>15849</v>
      </c>
      <c r="F3886" s="142" t="s">
        <v>11818</v>
      </c>
      <c r="G3886" s="142" t="s">
        <v>11817</v>
      </c>
      <c r="H3886" s="142" t="s">
        <v>19736</v>
      </c>
      <c r="I3886" s="142">
        <v>4</v>
      </c>
      <c r="J3886" s="142">
        <v>0</v>
      </c>
      <c r="K3886" s="142">
        <v>0</v>
      </c>
      <c r="L3886" s="142">
        <v>4</v>
      </c>
      <c r="M3886" s="142">
        <v>0</v>
      </c>
    </row>
    <row r="3887" spans="1:13" x14ac:dyDescent="0.45">
      <c r="A3887" s="142" t="s">
        <v>13349</v>
      </c>
      <c r="B3887" s="142" t="s">
        <v>15319</v>
      </c>
      <c r="C3887" s="142" t="s">
        <v>15860</v>
      </c>
      <c r="D3887" s="142" t="s">
        <v>15861</v>
      </c>
      <c r="E3887" s="142" t="s">
        <v>15849</v>
      </c>
      <c r="F3887" s="142" t="s">
        <v>11818</v>
      </c>
      <c r="G3887" s="142" t="s">
        <v>11817</v>
      </c>
      <c r="H3887" s="142" t="s">
        <v>19737</v>
      </c>
      <c r="I3887" s="142">
        <v>29</v>
      </c>
      <c r="J3887" s="142">
        <v>29</v>
      </c>
      <c r="K3887" s="142">
        <v>0</v>
      </c>
      <c r="L3887" s="142">
        <v>0</v>
      </c>
      <c r="M3887" s="142">
        <v>0</v>
      </c>
    </row>
    <row r="3888" spans="1:13" x14ac:dyDescent="0.45">
      <c r="A3888" s="142" t="s">
        <v>13318</v>
      </c>
      <c r="B3888" s="142" t="s">
        <v>15172</v>
      </c>
      <c r="C3888" s="142" t="s">
        <v>15860</v>
      </c>
      <c r="D3888" s="142" t="s">
        <v>15861</v>
      </c>
      <c r="E3888" s="142" t="s">
        <v>15849</v>
      </c>
      <c r="F3888" s="142" t="s">
        <v>11818</v>
      </c>
      <c r="G3888" s="142" t="s">
        <v>11817</v>
      </c>
      <c r="H3888" s="142" t="s">
        <v>19738</v>
      </c>
      <c r="I3888" s="142">
        <v>12</v>
      </c>
      <c r="J3888" s="142">
        <v>0</v>
      </c>
      <c r="K3888" s="142">
        <v>0</v>
      </c>
      <c r="L3888" s="142">
        <v>12</v>
      </c>
      <c r="M3888" s="142">
        <v>0</v>
      </c>
    </row>
    <row r="3889" spans="1:13" x14ac:dyDescent="0.45">
      <c r="A3889" s="142" t="s">
        <v>13000</v>
      </c>
      <c r="B3889" s="142" t="s">
        <v>14610</v>
      </c>
      <c r="C3889" s="142" t="s">
        <v>15847</v>
      </c>
      <c r="D3889" s="142" t="s">
        <v>15848</v>
      </c>
      <c r="E3889" s="142" t="s">
        <v>15849</v>
      </c>
      <c r="F3889" s="142" t="s">
        <v>11818</v>
      </c>
      <c r="G3889" s="142" t="s">
        <v>11817</v>
      </c>
      <c r="H3889" s="142" t="s">
        <v>19739</v>
      </c>
      <c r="I3889" s="142">
        <v>684</v>
      </c>
      <c r="J3889" s="142">
        <v>544</v>
      </c>
      <c r="K3889" s="142">
        <v>0</v>
      </c>
      <c r="L3889" s="142">
        <v>14</v>
      </c>
      <c r="M3889" s="142">
        <v>126</v>
      </c>
    </row>
    <row r="3890" spans="1:13" x14ac:dyDescent="0.45">
      <c r="A3890" s="142" t="s">
        <v>13098</v>
      </c>
      <c r="B3890" s="142" t="s">
        <v>14528</v>
      </c>
      <c r="C3890" s="142" t="s">
        <v>15860</v>
      </c>
      <c r="D3890" s="142" t="s">
        <v>15861</v>
      </c>
      <c r="E3890" s="142" t="s">
        <v>15849</v>
      </c>
      <c r="F3890" s="142" t="s">
        <v>11818</v>
      </c>
      <c r="G3890" s="142" t="s">
        <v>11817</v>
      </c>
      <c r="H3890" s="142" t="s">
        <v>19740</v>
      </c>
      <c r="I3890" s="142">
        <v>32</v>
      </c>
      <c r="J3890" s="142">
        <v>32</v>
      </c>
      <c r="K3890" s="142">
        <v>0</v>
      </c>
      <c r="L3890" s="142">
        <v>0</v>
      </c>
      <c r="M3890" s="142">
        <v>0</v>
      </c>
    </row>
    <row r="3891" spans="1:13" x14ac:dyDescent="0.45">
      <c r="A3891" s="142" t="s">
        <v>13099</v>
      </c>
      <c r="B3891" s="142" t="s">
        <v>14547</v>
      </c>
      <c r="C3891" s="142" t="s">
        <v>15860</v>
      </c>
      <c r="D3891" s="142" t="s">
        <v>15861</v>
      </c>
      <c r="E3891" s="142" t="s">
        <v>15849</v>
      </c>
      <c r="F3891" s="142" t="s">
        <v>11818</v>
      </c>
      <c r="G3891" s="142" t="s">
        <v>11817</v>
      </c>
      <c r="H3891" s="142" t="s">
        <v>19741</v>
      </c>
      <c r="I3891" s="142">
        <v>11</v>
      </c>
      <c r="J3891" s="142">
        <v>0</v>
      </c>
      <c r="K3891" s="142">
        <v>0</v>
      </c>
      <c r="L3891" s="142">
        <v>11</v>
      </c>
      <c r="M3891" s="142">
        <v>0</v>
      </c>
    </row>
    <row r="3892" spans="1:13" x14ac:dyDescent="0.45">
      <c r="A3892" s="142" t="s">
        <v>13086</v>
      </c>
      <c r="B3892" s="142" t="s">
        <v>15380</v>
      </c>
      <c r="C3892" s="142" t="s">
        <v>15847</v>
      </c>
      <c r="D3892" s="142" t="s">
        <v>15848</v>
      </c>
      <c r="E3892" s="142" t="s">
        <v>15849</v>
      </c>
      <c r="F3892" s="142" t="s">
        <v>11818</v>
      </c>
      <c r="G3892" s="142" t="s">
        <v>11817</v>
      </c>
      <c r="H3892" s="142" t="s">
        <v>19742</v>
      </c>
      <c r="I3892" s="142">
        <v>579</v>
      </c>
      <c r="J3892" s="142">
        <v>430</v>
      </c>
      <c r="K3892" s="142">
        <v>0</v>
      </c>
      <c r="L3892" s="142">
        <v>8</v>
      </c>
      <c r="M3892" s="142">
        <v>141</v>
      </c>
    </row>
    <row r="3893" spans="1:13" x14ac:dyDescent="0.45">
      <c r="A3893" s="142" t="s">
        <v>13027</v>
      </c>
      <c r="B3893" s="142" t="s">
        <v>14562</v>
      </c>
      <c r="C3893" s="142" t="s">
        <v>15847</v>
      </c>
      <c r="D3893" s="142" t="s">
        <v>15848</v>
      </c>
      <c r="E3893" s="142" t="s">
        <v>15849</v>
      </c>
      <c r="F3893" s="142" t="s">
        <v>11818</v>
      </c>
      <c r="G3893" s="142" t="s">
        <v>11817</v>
      </c>
      <c r="H3893" s="142" t="s">
        <v>19743</v>
      </c>
      <c r="I3893" s="142">
        <v>1</v>
      </c>
      <c r="J3893" s="142">
        <v>0</v>
      </c>
      <c r="K3893" s="142">
        <v>0</v>
      </c>
      <c r="L3893" s="142">
        <v>1</v>
      </c>
      <c r="M3893" s="142">
        <v>0</v>
      </c>
    </row>
    <row r="3894" spans="1:13" x14ac:dyDescent="0.45">
      <c r="A3894" s="142" t="s">
        <v>13001</v>
      </c>
      <c r="B3894" s="142" t="s">
        <v>15506</v>
      </c>
      <c r="C3894" s="142" t="s">
        <v>15847</v>
      </c>
      <c r="D3894" s="142" t="s">
        <v>15848</v>
      </c>
      <c r="E3894" s="142" t="s">
        <v>15849</v>
      </c>
      <c r="F3894" s="142" t="s">
        <v>11818</v>
      </c>
      <c r="G3894" s="142" t="s">
        <v>11817</v>
      </c>
      <c r="H3894" s="142" t="s">
        <v>19744</v>
      </c>
      <c r="I3894" s="142">
        <v>2</v>
      </c>
      <c r="J3894" s="142">
        <v>1</v>
      </c>
      <c r="K3894" s="142">
        <v>0</v>
      </c>
      <c r="L3894" s="142">
        <v>1</v>
      </c>
      <c r="M3894" s="142">
        <v>0</v>
      </c>
    </row>
    <row r="3895" spans="1:13" x14ac:dyDescent="0.45">
      <c r="A3895" s="142" t="s">
        <v>13050</v>
      </c>
      <c r="B3895" s="142" t="s">
        <v>15237</v>
      </c>
      <c r="C3895" s="142" t="s">
        <v>15847</v>
      </c>
      <c r="D3895" s="142" t="s">
        <v>15848</v>
      </c>
      <c r="E3895" s="142" t="s">
        <v>15849</v>
      </c>
      <c r="F3895" s="142" t="s">
        <v>11818</v>
      </c>
      <c r="G3895" s="142" t="s">
        <v>11817</v>
      </c>
      <c r="H3895" s="142" t="s">
        <v>19745</v>
      </c>
      <c r="I3895" s="142">
        <v>117</v>
      </c>
      <c r="J3895" s="142">
        <v>117</v>
      </c>
      <c r="K3895" s="142">
        <v>0</v>
      </c>
      <c r="L3895" s="142">
        <v>0</v>
      </c>
      <c r="M3895" s="142">
        <v>0</v>
      </c>
    </row>
    <row r="3896" spans="1:13" x14ac:dyDescent="0.45">
      <c r="A3896" s="142" t="s">
        <v>13002</v>
      </c>
      <c r="B3896" s="142" t="s">
        <v>15376</v>
      </c>
      <c r="C3896" s="142" t="s">
        <v>15847</v>
      </c>
      <c r="D3896" s="142" t="s">
        <v>15848</v>
      </c>
      <c r="E3896" s="142" t="s">
        <v>15849</v>
      </c>
      <c r="F3896" s="142" t="s">
        <v>11818</v>
      </c>
      <c r="G3896" s="142" t="s">
        <v>11817</v>
      </c>
      <c r="H3896" s="142" t="s">
        <v>19746</v>
      </c>
      <c r="I3896" s="142">
        <v>44</v>
      </c>
      <c r="J3896" s="142">
        <v>22</v>
      </c>
      <c r="K3896" s="142">
        <v>0</v>
      </c>
      <c r="L3896" s="142">
        <v>0</v>
      </c>
      <c r="M3896" s="142">
        <v>22</v>
      </c>
    </row>
    <row r="3897" spans="1:13" x14ac:dyDescent="0.45">
      <c r="A3897" s="142" t="s">
        <v>13003</v>
      </c>
      <c r="B3897" s="142" t="s">
        <v>15245</v>
      </c>
      <c r="C3897" s="142" t="s">
        <v>15847</v>
      </c>
      <c r="D3897" s="142" t="s">
        <v>15848</v>
      </c>
      <c r="E3897" s="142" t="s">
        <v>15849</v>
      </c>
      <c r="F3897" s="142" t="s">
        <v>11818</v>
      </c>
      <c r="G3897" s="142" t="s">
        <v>11817</v>
      </c>
      <c r="H3897" s="142" t="s">
        <v>19747</v>
      </c>
      <c r="I3897" s="142">
        <v>113</v>
      </c>
      <c r="J3897" s="142">
        <v>0</v>
      </c>
      <c r="K3897" s="142">
        <v>0</v>
      </c>
      <c r="L3897" s="142">
        <v>108</v>
      </c>
      <c r="M3897" s="142">
        <v>5</v>
      </c>
    </row>
    <row r="3898" spans="1:13" x14ac:dyDescent="0.45">
      <c r="A3898" s="142" t="s">
        <v>13100</v>
      </c>
      <c r="B3898" s="142" t="s">
        <v>15603</v>
      </c>
      <c r="C3898" s="142" t="s">
        <v>15847</v>
      </c>
      <c r="D3898" s="142" t="s">
        <v>15848</v>
      </c>
      <c r="E3898" s="142" t="s">
        <v>15849</v>
      </c>
      <c r="F3898" s="142" t="s">
        <v>11818</v>
      </c>
      <c r="G3898" s="142" t="s">
        <v>11817</v>
      </c>
      <c r="H3898" s="142" t="s">
        <v>19748</v>
      </c>
      <c r="I3898" s="142">
        <v>129</v>
      </c>
      <c r="J3898" s="142">
        <v>129</v>
      </c>
      <c r="K3898" s="142">
        <v>0</v>
      </c>
      <c r="L3898" s="142">
        <v>0</v>
      </c>
      <c r="M3898" s="142">
        <v>0</v>
      </c>
    </row>
    <row r="3899" spans="1:13" x14ac:dyDescent="0.45">
      <c r="A3899" s="142" t="s">
        <v>13005</v>
      </c>
      <c r="B3899" s="142" t="s">
        <v>15475</v>
      </c>
      <c r="C3899" s="142" t="s">
        <v>15847</v>
      </c>
      <c r="D3899" s="142" t="s">
        <v>15848</v>
      </c>
      <c r="E3899" s="142" t="s">
        <v>15849</v>
      </c>
      <c r="F3899" s="142" t="s">
        <v>11818</v>
      </c>
      <c r="G3899" s="142" t="s">
        <v>11817</v>
      </c>
      <c r="H3899" s="142" t="s">
        <v>19749</v>
      </c>
      <c r="I3899" s="142">
        <v>1954</v>
      </c>
      <c r="J3899" s="142">
        <v>1210</v>
      </c>
      <c r="K3899" s="142">
        <v>0</v>
      </c>
      <c r="L3899" s="142">
        <v>226</v>
      </c>
      <c r="M3899" s="142">
        <v>518</v>
      </c>
    </row>
    <row r="3900" spans="1:13" x14ac:dyDescent="0.45">
      <c r="A3900" s="142" t="s">
        <v>13101</v>
      </c>
      <c r="B3900" s="142" t="s">
        <v>15491</v>
      </c>
      <c r="C3900" s="142" t="s">
        <v>15847</v>
      </c>
      <c r="D3900" s="142" t="s">
        <v>15848</v>
      </c>
      <c r="E3900" s="142" t="s">
        <v>15849</v>
      </c>
      <c r="F3900" s="142" t="s">
        <v>11818</v>
      </c>
      <c r="G3900" s="142" t="s">
        <v>11817</v>
      </c>
      <c r="H3900" s="142" t="s">
        <v>19750</v>
      </c>
      <c r="I3900" s="142">
        <v>15</v>
      </c>
      <c r="J3900" s="142">
        <v>0</v>
      </c>
      <c r="K3900" s="142">
        <v>0</v>
      </c>
      <c r="L3900" s="142">
        <v>15</v>
      </c>
      <c r="M3900" s="142">
        <v>0</v>
      </c>
    </row>
    <row r="3901" spans="1:13" x14ac:dyDescent="0.45">
      <c r="A3901" s="142" t="s">
        <v>13577</v>
      </c>
      <c r="B3901" s="142" t="s">
        <v>14442</v>
      </c>
      <c r="C3901" s="142" t="s">
        <v>15860</v>
      </c>
      <c r="D3901" s="142" t="s">
        <v>15861</v>
      </c>
      <c r="E3901" s="142" t="s">
        <v>15849</v>
      </c>
      <c r="F3901" s="142" t="s">
        <v>11818</v>
      </c>
      <c r="G3901" s="142" t="s">
        <v>11817</v>
      </c>
      <c r="H3901" s="142" t="s">
        <v>19751</v>
      </c>
      <c r="I3901" s="142">
        <v>1</v>
      </c>
      <c r="J3901" s="142">
        <v>1</v>
      </c>
      <c r="K3901" s="142">
        <v>0</v>
      </c>
      <c r="L3901" s="142">
        <v>0</v>
      </c>
      <c r="M3901" s="142">
        <v>0</v>
      </c>
    </row>
    <row r="3902" spans="1:13" x14ac:dyDescent="0.45">
      <c r="A3902" s="142" t="s">
        <v>13006</v>
      </c>
      <c r="B3902" s="142" t="s">
        <v>15288</v>
      </c>
      <c r="C3902" s="142" t="s">
        <v>15847</v>
      </c>
      <c r="D3902" s="142" t="s">
        <v>15848</v>
      </c>
      <c r="E3902" s="142" t="s">
        <v>15849</v>
      </c>
      <c r="F3902" s="142" t="s">
        <v>11818</v>
      </c>
      <c r="G3902" s="142" t="s">
        <v>11817</v>
      </c>
      <c r="H3902" s="142" t="s">
        <v>19752</v>
      </c>
      <c r="I3902" s="142">
        <v>20</v>
      </c>
      <c r="J3902" s="142">
        <v>16</v>
      </c>
      <c r="K3902" s="142">
        <v>0</v>
      </c>
      <c r="L3902" s="142">
        <v>0</v>
      </c>
      <c r="M3902" s="142">
        <v>4</v>
      </c>
    </row>
    <row r="3903" spans="1:13" x14ac:dyDescent="0.45">
      <c r="A3903" s="142" t="s">
        <v>13007</v>
      </c>
      <c r="B3903" s="142" t="s">
        <v>15262</v>
      </c>
      <c r="C3903" s="142" t="s">
        <v>15847</v>
      </c>
      <c r="D3903" s="142" t="s">
        <v>15848</v>
      </c>
      <c r="E3903" s="142" t="s">
        <v>15849</v>
      </c>
      <c r="F3903" s="142" t="s">
        <v>11818</v>
      </c>
      <c r="G3903" s="142" t="s">
        <v>11817</v>
      </c>
      <c r="H3903" s="142" t="s">
        <v>19753</v>
      </c>
      <c r="I3903" s="142">
        <v>2</v>
      </c>
      <c r="J3903" s="142">
        <v>0</v>
      </c>
      <c r="K3903" s="142">
        <v>0</v>
      </c>
      <c r="L3903" s="142">
        <v>0</v>
      </c>
      <c r="M3903" s="142">
        <v>2</v>
      </c>
    </row>
    <row r="3904" spans="1:13" x14ac:dyDescent="0.45">
      <c r="A3904" s="142" t="s">
        <v>13102</v>
      </c>
      <c r="B3904" s="142" t="s">
        <v>15235</v>
      </c>
      <c r="C3904" s="142" t="s">
        <v>15847</v>
      </c>
      <c r="D3904" s="142" t="s">
        <v>15848</v>
      </c>
      <c r="E3904" s="142" t="s">
        <v>15849</v>
      </c>
      <c r="F3904" s="142" t="s">
        <v>11818</v>
      </c>
      <c r="G3904" s="142" t="s">
        <v>11817</v>
      </c>
      <c r="H3904" s="142" t="s">
        <v>19754</v>
      </c>
      <c r="I3904" s="142">
        <v>2</v>
      </c>
      <c r="J3904" s="142">
        <v>0</v>
      </c>
      <c r="K3904" s="142">
        <v>0</v>
      </c>
      <c r="L3904" s="142">
        <v>0</v>
      </c>
      <c r="M3904" s="142">
        <v>2</v>
      </c>
    </row>
    <row r="3905" spans="1:13" x14ac:dyDescent="0.45">
      <c r="A3905" s="142" t="s">
        <v>13103</v>
      </c>
      <c r="B3905" s="142" t="s">
        <v>14623</v>
      </c>
      <c r="C3905" s="142" t="s">
        <v>15847</v>
      </c>
      <c r="D3905" s="142" t="s">
        <v>15848</v>
      </c>
      <c r="E3905" s="142" t="s">
        <v>15849</v>
      </c>
      <c r="F3905" s="142" t="s">
        <v>11818</v>
      </c>
      <c r="G3905" s="142" t="s">
        <v>11817</v>
      </c>
      <c r="H3905" s="142" t="s">
        <v>19755</v>
      </c>
      <c r="I3905" s="142">
        <v>352</v>
      </c>
      <c r="J3905" s="142">
        <v>348</v>
      </c>
      <c r="K3905" s="142">
        <v>0</v>
      </c>
      <c r="L3905" s="142">
        <v>0</v>
      </c>
      <c r="M3905" s="142">
        <v>4</v>
      </c>
    </row>
    <row r="3906" spans="1:13" x14ac:dyDescent="0.45">
      <c r="A3906" s="142" t="s">
        <v>13054</v>
      </c>
      <c r="B3906" s="142" t="s">
        <v>15604</v>
      </c>
      <c r="C3906" s="142" t="s">
        <v>15847</v>
      </c>
      <c r="D3906" s="142" t="s">
        <v>15848</v>
      </c>
      <c r="E3906" s="142" t="s">
        <v>15849</v>
      </c>
      <c r="F3906" s="142" t="s">
        <v>11818</v>
      </c>
      <c r="G3906" s="142" t="s">
        <v>11817</v>
      </c>
      <c r="H3906" s="142" t="s">
        <v>19756</v>
      </c>
      <c r="I3906" s="142">
        <v>26</v>
      </c>
      <c r="J3906" s="142">
        <v>0</v>
      </c>
      <c r="K3906" s="142">
        <v>0</v>
      </c>
      <c r="L3906" s="142">
        <v>0</v>
      </c>
      <c r="M3906" s="142">
        <v>26</v>
      </c>
    </row>
    <row r="3907" spans="1:13" x14ac:dyDescent="0.45">
      <c r="A3907" s="142" t="s">
        <v>13008</v>
      </c>
      <c r="B3907" s="142" t="s">
        <v>15411</v>
      </c>
      <c r="C3907" s="142" t="s">
        <v>15847</v>
      </c>
      <c r="D3907" s="142" t="s">
        <v>15848</v>
      </c>
      <c r="E3907" s="142" t="s">
        <v>15849</v>
      </c>
      <c r="F3907" s="142" t="s">
        <v>11818</v>
      </c>
      <c r="G3907" s="142" t="s">
        <v>11817</v>
      </c>
      <c r="H3907" s="142" t="s">
        <v>19757</v>
      </c>
      <c r="I3907" s="142">
        <v>42</v>
      </c>
      <c r="J3907" s="142">
        <v>0</v>
      </c>
      <c r="K3907" s="142">
        <v>0</v>
      </c>
      <c r="L3907" s="142">
        <v>0</v>
      </c>
      <c r="M3907" s="142">
        <v>42</v>
      </c>
    </row>
    <row r="3908" spans="1:13" x14ac:dyDescent="0.45">
      <c r="A3908" s="142" t="s">
        <v>13104</v>
      </c>
      <c r="B3908" s="142" t="s">
        <v>14622</v>
      </c>
      <c r="C3908" s="142" t="s">
        <v>15847</v>
      </c>
      <c r="D3908" s="142" t="s">
        <v>15848</v>
      </c>
      <c r="E3908" s="142" t="s">
        <v>15849</v>
      </c>
      <c r="F3908" s="142" t="s">
        <v>11818</v>
      </c>
      <c r="G3908" s="142" t="s">
        <v>11817</v>
      </c>
      <c r="H3908" s="142" t="s">
        <v>19758</v>
      </c>
      <c r="I3908" s="142">
        <v>159</v>
      </c>
      <c r="J3908" s="142">
        <v>141</v>
      </c>
      <c r="K3908" s="142">
        <v>0</v>
      </c>
      <c r="L3908" s="142">
        <v>0</v>
      </c>
      <c r="M3908" s="142">
        <v>18</v>
      </c>
    </row>
    <row r="3909" spans="1:13" x14ac:dyDescent="0.45">
      <c r="A3909" s="142" t="s">
        <v>13011</v>
      </c>
      <c r="B3909" s="142" t="s">
        <v>14695</v>
      </c>
      <c r="C3909" s="142" t="s">
        <v>15847</v>
      </c>
      <c r="D3909" s="142" t="s">
        <v>15848</v>
      </c>
      <c r="E3909" s="142" t="s">
        <v>15849</v>
      </c>
      <c r="F3909" s="142" t="s">
        <v>11818</v>
      </c>
      <c r="G3909" s="142" t="s">
        <v>11817</v>
      </c>
      <c r="H3909" s="142" t="s">
        <v>19759</v>
      </c>
      <c r="I3909" s="142">
        <v>10</v>
      </c>
      <c r="J3909" s="142">
        <v>0</v>
      </c>
      <c r="K3909" s="142">
        <v>0</v>
      </c>
      <c r="L3909" s="142">
        <v>0</v>
      </c>
      <c r="M3909" s="142">
        <v>10</v>
      </c>
    </row>
    <row r="3910" spans="1:13" x14ac:dyDescent="0.45">
      <c r="A3910" s="142" t="s">
        <v>13106</v>
      </c>
      <c r="B3910" s="142" t="s">
        <v>15414</v>
      </c>
      <c r="C3910" s="142" t="s">
        <v>15847</v>
      </c>
      <c r="D3910" s="142" t="s">
        <v>15848</v>
      </c>
      <c r="E3910" s="142" t="s">
        <v>15849</v>
      </c>
      <c r="F3910" s="142" t="s">
        <v>11818</v>
      </c>
      <c r="G3910" s="142" t="s">
        <v>11817</v>
      </c>
      <c r="H3910" s="142" t="s">
        <v>19760</v>
      </c>
      <c r="I3910" s="142">
        <v>879</v>
      </c>
      <c r="J3910" s="142">
        <v>523</v>
      </c>
      <c r="K3910" s="142">
        <v>290</v>
      </c>
      <c r="L3910" s="142">
        <v>19</v>
      </c>
      <c r="M3910" s="142">
        <v>47</v>
      </c>
    </row>
    <row r="3911" spans="1:13" x14ac:dyDescent="0.45">
      <c r="A3911" s="142" t="s">
        <v>13014</v>
      </c>
      <c r="B3911" s="142" t="s">
        <v>14505</v>
      </c>
      <c r="C3911" s="142" t="s">
        <v>15847</v>
      </c>
      <c r="D3911" s="142" t="s">
        <v>15848</v>
      </c>
      <c r="E3911" s="142" t="s">
        <v>15849</v>
      </c>
      <c r="F3911" s="142" t="s">
        <v>11818</v>
      </c>
      <c r="G3911" s="142" t="s">
        <v>11817</v>
      </c>
      <c r="H3911" s="142" t="s">
        <v>19761</v>
      </c>
      <c r="I3911" s="142">
        <v>401</v>
      </c>
      <c r="J3911" s="142">
        <v>400</v>
      </c>
      <c r="K3911" s="142">
        <v>0</v>
      </c>
      <c r="L3911" s="142">
        <v>0</v>
      </c>
      <c r="M3911" s="142">
        <v>1</v>
      </c>
    </row>
    <row r="3912" spans="1:13" x14ac:dyDescent="0.45">
      <c r="A3912" s="142" t="s">
        <v>13042</v>
      </c>
      <c r="B3912" s="142" t="s">
        <v>15489</v>
      </c>
      <c r="C3912" s="142" t="s">
        <v>15847</v>
      </c>
      <c r="D3912" s="142" t="s">
        <v>15848</v>
      </c>
      <c r="E3912" s="142" t="s">
        <v>15849</v>
      </c>
      <c r="F3912" s="142" t="s">
        <v>11818</v>
      </c>
      <c r="G3912" s="142" t="s">
        <v>11817</v>
      </c>
      <c r="H3912" s="142" t="s">
        <v>19762</v>
      </c>
      <c r="I3912" s="142">
        <v>220</v>
      </c>
      <c r="J3912" s="142">
        <v>82</v>
      </c>
      <c r="K3912" s="142">
        <v>0</v>
      </c>
      <c r="L3912" s="142">
        <v>44</v>
      </c>
      <c r="M3912" s="142">
        <v>94</v>
      </c>
    </row>
    <row r="3913" spans="1:13" x14ac:dyDescent="0.45">
      <c r="A3913" s="142" t="s">
        <v>13222</v>
      </c>
      <c r="B3913" s="142" t="s">
        <v>14449</v>
      </c>
      <c r="C3913" s="142" t="s">
        <v>15860</v>
      </c>
      <c r="D3913" s="142" t="s">
        <v>15861</v>
      </c>
      <c r="E3913" s="142" t="s">
        <v>15849</v>
      </c>
      <c r="F3913" s="142" t="s">
        <v>11818</v>
      </c>
      <c r="G3913" s="142" t="s">
        <v>11817</v>
      </c>
      <c r="H3913" s="142" t="s">
        <v>19763</v>
      </c>
      <c r="I3913" s="142">
        <v>17</v>
      </c>
      <c r="J3913" s="142">
        <v>0</v>
      </c>
      <c r="K3913" s="142">
        <v>0</v>
      </c>
      <c r="L3913" s="142">
        <v>17</v>
      </c>
      <c r="M3913" s="142">
        <v>0</v>
      </c>
    </row>
    <row r="3914" spans="1:13" x14ac:dyDescent="0.45">
      <c r="A3914" s="142" t="s">
        <v>13016</v>
      </c>
      <c r="B3914" s="142" t="s">
        <v>14535</v>
      </c>
      <c r="C3914" s="142" t="s">
        <v>15860</v>
      </c>
      <c r="D3914" s="142" t="s">
        <v>15861</v>
      </c>
      <c r="E3914" s="142" t="s">
        <v>15849</v>
      </c>
      <c r="F3914" s="142" t="s">
        <v>11818</v>
      </c>
      <c r="G3914" s="142" t="s">
        <v>11817</v>
      </c>
      <c r="H3914" s="142" t="s">
        <v>19764</v>
      </c>
      <c r="I3914" s="142">
        <v>4</v>
      </c>
      <c r="J3914" s="142">
        <v>0</v>
      </c>
      <c r="K3914" s="142">
        <v>0</v>
      </c>
      <c r="L3914" s="142">
        <v>4</v>
      </c>
      <c r="M3914" s="142">
        <v>0</v>
      </c>
    </row>
    <row r="3915" spans="1:13" x14ac:dyDescent="0.45">
      <c r="A3915" s="142" t="s">
        <v>13108</v>
      </c>
      <c r="B3915" s="142" t="s">
        <v>15485</v>
      </c>
      <c r="C3915" s="142" t="s">
        <v>15860</v>
      </c>
      <c r="D3915" s="142" t="s">
        <v>15861</v>
      </c>
      <c r="E3915" s="142" t="s">
        <v>15849</v>
      </c>
      <c r="F3915" s="142" t="s">
        <v>11818</v>
      </c>
      <c r="G3915" s="142" t="s">
        <v>11817</v>
      </c>
      <c r="H3915" s="142" t="s">
        <v>19765</v>
      </c>
      <c r="I3915" s="142">
        <v>18</v>
      </c>
      <c r="J3915" s="142">
        <v>18</v>
      </c>
      <c r="K3915" s="142">
        <v>0</v>
      </c>
      <c r="L3915" s="142">
        <v>0</v>
      </c>
      <c r="M3915" s="142">
        <v>0</v>
      </c>
    </row>
    <row r="3916" spans="1:13" x14ac:dyDescent="0.45">
      <c r="A3916" s="142" t="s">
        <v>13021</v>
      </c>
      <c r="B3916" s="142" t="s">
        <v>15501</v>
      </c>
      <c r="C3916" s="142" t="s">
        <v>15847</v>
      </c>
      <c r="D3916" s="142" t="s">
        <v>15848</v>
      </c>
      <c r="E3916" s="142" t="s">
        <v>15849</v>
      </c>
      <c r="F3916" s="142" t="s">
        <v>1058</v>
      </c>
      <c r="G3916" s="142" t="s">
        <v>1057</v>
      </c>
      <c r="H3916" s="142" t="s">
        <v>19766</v>
      </c>
      <c r="I3916" s="142">
        <v>45</v>
      </c>
      <c r="J3916" s="142">
        <v>0</v>
      </c>
      <c r="K3916" s="142">
        <v>0</v>
      </c>
      <c r="L3916" s="142">
        <v>15</v>
      </c>
      <c r="M3916" s="142">
        <v>30</v>
      </c>
    </row>
    <row r="3917" spans="1:13" x14ac:dyDescent="0.45">
      <c r="A3917" s="142" t="s">
        <v>13023</v>
      </c>
      <c r="B3917" s="142" t="s">
        <v>15571</v>
      </c>
      <c r="C3917" s="142" t="s">
        <v>15847</v>
      </c>
      <c r="D3917" s="142" t="s">
        <v>15848</v>
      </c>
      <c r="E3917" s="142" t="s">
        <v>15849</v>
      </c>
      <c r="F3917" s="142" t="s">
        <v>1058</v>
      </c>
      <c r="G3917" s="142" t="s">
        <v>1057</v>
      </c>
      <c r="H3917" s="142" t="s">
        <v>19767</v>
      </c>
      <c r="I3917" s="142">
        <v>121</v>
      </c>
      <c r="J3917" s="142">
        <v>0</v>
      </c>
      <c r="K3917" s="142">
        <v>0</v>
      </c>
      <c r="L3917" s="142">
        <v>121</v>
      </c>
      <c r="M3917" s="142">
        <v>0</v>
      </c>
    </row>
    <row r="3918" spans="1:13" x14ac:dyDescent="0.45">
      <c r="A3918" s="142" t="s">
        <v>13065</v>
      </c>
      <c r="B3918" s="142" t="s">
        <v>14497</v>
      </c>
      <c r="C3918" s="142" t="s">
        <v>15847</v>
      </c>
      <c r="D3918" s="142" t="s">
        <v>15848</v>
      </c>
      <c r="E3918" s="142" t="s">
        <v>15849</v>
      </c>
      <c r="F3918" s="142" t="s">
        <v>1058</v>
      </c>
      <c r="G3918" s="142" t="s">
        <v>1057</v>
      </c>
      <c r="H3918" s="142" t="s">
        <v>19768</v>
      </c>
      <c r="I3918" s="142">
        <v>4</v>
      </c>
      <c r="J3918" s="142">
        <v>0</v>
      </c>
      <c r="K3918" s="142">
        <v>0</v>
      </c>
      <c r="L3918" s="142">
        <v>4</v>
      </c>
      <c r="M3918" s="142">
        <v>0</v>
      </c>
    </row>
    <row r="3919" spans="1:13" x14ac:dyDescent="0.45">
      <c r="A3919" s="142" t="s">
        <v>13235</v>
      </c>
      <c r="B3919" s="142" t="s">
        <v>14573</v>
      </c>
      <c r="C3919" s="142" t="s">
        <v>15847</v>
      </c>
      <c r="D3919" s="142" t="s">
        <v>15848</v>
      </c>
      <c r="E3919" s="142" t="s">
        <v>15849</v>
      </c>
      <c r="F3919" s="142" t="s">
        <v>1058</v>
      </c>
      <c r="G3919" s="142" t="s">
        <v>1057</v>
      </c>
      <c r="H3919" s="142" t="s">
        <v>19769</v>
      </c>
      <c r="I3919" s="142">
        <v>392</v>
      </c>
      <c r="J3919" s="142">
        <v>356</v>
      </c>
      <c r="K3919" s="142">
        <v>0</v>
      </c>
      <c r="L3919" s="142">
        <v>0</v>
      </c>
      <c r="M3919" s="142">
        <v>36</v>
      </c>
    </row>
    <row r="3920" spans="1:13" x14ac:dyDescent="0.45">
      <c r="A3920" s="142" t="s">
        <v>13237</v>
      </c>
      <c r="B3920" s="142" t="s">
        <v>14643</v>
      </c>
      <c r="C3920" s="142" t="s">
        <v>15847</v>
      </c>
      <c r="D3920" s="142" t="s">
        <v>15848</v>
      </c>
      <c r="E3920" s="142" t="s">
        <v>15849</v>
      </c>
      <c r="F3920" s="142" t="s">
        <v>1058</v>
      </c>
      <c r="G3920" s="142" t="s">
        <v>1057</v>
      </c>
      <c r="H3920" s="142" t="s">
        <v>19770</v>
      </c>
      <c r="I3920" s="142">
        <v>1323</v>
      </c>
      <c r="J3920" s="142">
        <v>982</v>
      </c>
      <c r="K3920" s="142">
        <v>0</v>
      </c>
      <c r="L3920" s="142">
        <v>111</v>
      </c>
      <c r="M3920" s="142">
        <v>230</v>
      </c>
    </row>
    <row r="3921" spans="1:13" x14ac:dyDescent="0.45">
      <c r="A3921" s="142" t="s">
        <v>13770</v>
      </c>
      <c r="B3921" s="142" t="s">
        <v>15595</v>
      </c>
      <c r="C3921" s="142" t="s">
        <v>15847</v>
      </c>
      <c r="D3921" s="142" t="s">
        <v>15848</v>
      </c>
      <c r="E3921" s="142" t="s">
        <v>15849</v>
      </c>
      <c r="F3921" s="142" t="s">
        <v>1058</v>
      </c>
      <c r="G3921" s="142" t="s">
        <v>1057</v>
      </c>
      <c r="H3921" s="142" t="s">
        <v>19771</v>
      </c>
      <c r="I3921" s="142">
        <v>5873</v>
      </c>
      <c r="J3921" s="142">
        <v>4727</v>
      </c>
      <c r="K3921" s="142">
        <v>0</v>
      </c>
      <c r="L3921" s="142">
        <v>954</v>
      </c>
      <c r="M3921" s="142">
        <v>192</v>
      </c>
    </row>
    <row r="3922" spans="1:13" x14ac:dyDescent="0.45">
      <c r="A3922" s="142" t="s">
        <v>13085</v>
      </c>
      <c r="B3922" s="142" t="s">
        <v>14460</v>
      </c>
      <c r="C3922" s="142" t="s">
        <v>15860</v>
      </c>
      <c r="D3922" s="142" t="s">
        <v>15861</v>
      </c>
      <c r="E3922" s="142" t="s">
        <v>15849</v>
      </c>
      <c r="F3922" s="142" t="s">
        <v>1058</v>
      </c>
      <c r="G3922" s="142" t="s">
        <v>1057</v>
      </c>
      <c r="H3922" s="142" t="s">
        <v>19772</v>
      </c>
      <c r="I3922" s="142">
        <v>3</v>
      </c>
      <c r="J3922" s="142">
        <v>0</v>
      </c>
      <c r="K3922" s="142">
        <v>0</v>
      </c>
      <c r="L3922" s="142">
        <v>3</v>
      </c>
      <c r="M3922" s="142">
        <v>0</v>
      </c>
    </row>
    <row r="3923" spans="1:13" x14ac:dyDescent="0.45">
      <c r="A3923" s="142" t="s">
        <v>13027</v>
      </c>
      <c r="B3923" s="142" t="s">
        <v>14562</v>
      </c>
      <c r="C3923" s="142" t="s">
        <v>15847</v>
      </c>
      <c r="D3923" s="142" t="s">
        <v>15848</v>
      </c>
      <c r="E3923" s="142" t="s">
        <v>15849</v>
      </c>
      <c r="F3923" s="142" t="s">
        <v>1058</v>
      </c>
      <c r="G3923" s="142" t="s">
        <v>1057</v>
      </c>
      <c r="H3923" s="142" t="s">
        <v>19773</v>
      </c>
      <c r="I3923" s="142">
        <v>9</v>
      </c>
      <c r="J3923" s="142">
        <v>0</v>
      </c>
      <c r="K3923" s="142">
        <v>0</v>
      </c>
      <c r="L3923" s="142">
        <v>9</v>
      </c>
      <c r="M3923" s="142">
        <v>0</v>
      </c>
    </row>
    <row r="3924" spans="1:13" x14ac:dyDescent="0.45">
      <c r="A3924" s="142" t="s">
        <v>13243</v>
      </c>
      <c r="B3924" s="142" t="s">
        <v>15560</v>
      </c>
      <c r="C3924" s="142" t="s">
        <v>15847</v>
      </c>
      <c r="D3924" s="142" t="s">
        <v>15848</v>
      </c>
      <c r="E3924" s="142" t="s">
        <v>15849</v>
      </c>
      <c r="F3924" s="142" t="s">
        <v>1058</v>
      </c>
      <c r="G3924" s="142" t="s">
        <v>1057</v>
      </c>
      <c r="H3924" s="142" t="s">
        <v>19774</v>
      </c>
      <c r="I3924" s="142">
        <v>1</v>
      </c>
      <c r="J3924" s="142">
        <v>1</v>
      </c>
      <c r="K3924" s="142">
        <v>0</v>
      </c>
      <c r="L3924" s="142">
        <v>0</v>
      </c>
      <c r="M3924" s="142">
        <v>0</v>
      </c>
    </row>
    <row r="3925" spans="1:13" x14ac:dyDescent="0.45">
      <c r="A3925" s="142" t="s">
        <v>13028</v>
      </c>
      <c r="B3925" s="142" t="s">
        <v>14462</v>
      </c>
      <c r="C3925" s="142" t="s">
        <v>15847</v>
      </c>
      <c r="D3925" s="142" t="s">
        <v>15848</v>
      </c>
      <c r="E3925" s="142" t="s">
        <v>15849</v>
      </c>
      <c r="F3925" s="142" t="s">
        <v>1058</v>
      </c>
      <c r="G3925" s="142" t="s">
        <v>1057</v>
      </c>
      <c r="H3925" s="142" t="s">
        <v>19775</v>
      </c>
      <c r="I3925" s="142">
        <v>29</v>
      </c>
      <c r="J3925" s="142">
        <v>0</v>
      </c>
      <c r="K3925" s="142">
        <v>0</v>
      </c>
      <c r="L3925" s="142">
        <v>0</v>
      </c>
      <c r="M3925" s="142">
        <v>29</v>
      </c>
    </row>
    <row r="3926" spans="1:13" x14ac:dyDescent="0.45">
      <c r="A3926" s="142" t="s">
        <v>13002</v>
      </c>
      <c r="B3926" s="142" t="s">
        <v>15376</v>
      </c>
      <c r="C3926" s="142" t="s">
        <v>15847</v>
      </c>
      <c r="D3926" s="142" t="s">
        <v>15848</v>
      </c>
      <c r="E3926" s="142" t="s">
        <v>15849</v>
      </c>
      <c r="F3926" s="142" t="s">
        <v>1058</v>
      </c>
      <c r="G3926" s="142" t="s">
        <v>1057</v>
      </c>
      <c r="H3926" s="142" t="s">
        <v>19776</v>
      </c>
      <c r="I3926" s="142">
        <v>37</v>
      </c>
      <c r="J3926" s="142">
        <v>0</v>
      </c>
      <c r="K3926" s="142">
        <v>0</v>
      </c>
      <c r="L3926" s="142">
        <v>37</v>
      </c>
      <c r="M3926" s="142">
        <v>0</v>
      </c>
    </row>
    <row r="3927" spans="1:13" x14ac:dyDescent="0.45">
      <c r="A3927" s="142" t="s">
        <v>13003</v>
      </c>
      <c r="B3927" s="142" t="s">
        <v>15245</v>
      </c>
      <c r="C3927" s="142" t="s">
        <v>15847</v>
      </c>
      <c r="D3927" s="142" t="s">
        <v>15848</v>
      </c>
      <c r="E3927" s="142" t="s">
        <v>15849</v>
      </c>
      <c r="F3927" s="142" t="s">
        <v>1058</v>
      </c>
      <c r="G3927" s="142" t="s">
        <v>1057</v>
      </c>
      <c r="H3927" s="142" t="s">
        <v>19777</v>
      </c>
      <c r="I3927" s="142">
        <v>85</v>
      </c>
      <c r="J3927" s="142">
        <v>0</v>
      </c>
      <c r="K3927" s="142">
        <v>0</v>
      </c>
      <c r="L3927" s="142">
        <v>85</v>
      </c>
      <c r="M3927" s="142">
        <v>0</v>
      </c>
    </row>
    <row r="3928" spans="1:13" x14ac:dyDescent="0.45">
      <c r="A3928" s="142" t="s">
        <v>13066</v>
      </c>
      <c r="B3928" s="142" t="s">
        <v>14459</v>
      </c>
      <c r="C3928" s="142" t="s">
        <v>15847</v>
      </c>
      <c r="D3928" s="142" t="s">
        <v>15848</v>
      </c>
      <c r="E3928" s="142" t="s">
        <v>15849</v>
      </c>
      <c r="F3928" s="142" t="s">
        <v>1058</v>
      </c>
      <c r="G3928" s="142" t="s">
        <v>1057</v>
      </c>
      <c r="H3928" s="142" t="s">
        <v>19778</v>
      </c>
      <c r="I3928" s="142">
        <v>16</v>
      </c>
      <c r="J3928" s="142">
        <v>0</v>
      </c>
      <c r="K3928" s="142">
        <v>0</v>
      </c>
      <c r="L3928" s="142">
        <v>16</v>
      </c>
      <c r="M3928" s="142">
        <v>0</v>
      </c>
    </row>
    <row r="3929" spans="1:13" x14ac:dyDescent="0.45">
      <c r="A3929" s="142" t="s">
        <v>13178</v>
      </c>
      <c r="B3929" s="142" t="s">
        <v>14683</v>
      </c>
      <c r="C3929" s="142" t="s">
        <v>15847</v>
      </c>
      <c r="D3929" s="142" t="s">
        <v>15848</v>
      </c>
      <c r="E3929" s="142" t="s">
        <v>15849</v>
      </c>
      <c r="F3929" s="142" t="s">
        <v>1058</v>
      </c>
      <c r="G3929" s="142" t="s">
        <v>1057</v>
      </c>
      <c r="H3929" s="142" t="s">
        <v>19779</v>
      </c>
      <c r="I3929" s="142">
        <v>17</v>
      </c>
      <c r="J3929" s="142">
        <v>17</v>
      </c>
      <c r="K3929" s="142">
        <v>0</v>
      </c>
      <c r="L3929" s="142">
        <v>0</v>
      </c>
      <c r="M3929" s="142">
        <v>0</v>
      </c>
    </row>
    <row r="3930" spans="1:13" x14ac:dyDescent="0.45">
      <c r="A3930" s="142" t="s">
        <v>13076</v>
      </c>
      <c r="B3930" s="142" t="s">
        <v>14636</v>
      </c>
      <c r="C3930" s="142" t="s">
        <v>15847</v>
      </c>
      <c r="D3930" s="142" t="s">
        <v>15848</v>
      </c>
      <c r="E3930" s="142" t="s">
        <v>15849</v>
      </c>
      <c r="F3930" s="142" t="s">
        <v>1058</v>
      </c>
      <c r="G3930" s="142" t="s">
        <v>1057</v>
      </c>
      <c r="H3930" s="142" t="s">
        <v>19780</v>
      </c>
      <c r="I3930" s="142">
        <v>84</v>
      </c>
      <c r="J3930" s="142">
        <v>32</v>
      </c>
      <c r="K3930" s="142">
        <v>0</v>
      </c>
      <c r="L3930" s="142">
        <v>0</v>
      </c>
      <c r="M3930" s="142">
        <v>52</v>
      </c>
    </row>
    <row r="3931" spans="1:13" x14ac:dyDescent="0.45">
      <c r="A3931" s="142" t="s">
        <v>13248</v>
      </c>
      <c r="B3931" s="142" t="s">
        <v>15463</v>
      </c>
      <c r="C3931" s="142" t="s">
        <v>15847</v>
      </c>
      <c r="D3931" s="142" t="s">
        <v>15848</v>
      </c>
      <c r="E3931" s="142" t="s">
        <v>15849</v>
      </c>
      <c r="F3931" s="142" t="s">
        <v>1058</v>
      </c>
      <c r="G3931" s="142" t="s">
        <v>1057</v>
      </c>
      <c r="H3931" s="142" t="s">
        <v>19781</v>
      </c>
      <c r="I3931" s="142">
        <v>27</v>
      </c>
      <c r="J3931" s="142">
        <v>0</v>
      </c>
      <c r="K3931" s="142">
        <v>0</v>
      </c>
      <c r="L3931" s="142">
        <v>27</v>
      </c>
      <c r="M3931" s="142">
        <v>0</v>
      </c>
    </row>
    <row r="3932" spans="1:13" x14ac:dyDescent="0.45">
      <c r="A3932" s="142" t="s">
        <v>13284</v>
      </c>
      <c r="B3932" s="142" t="s">
        <v>15364</v>
      </c>
      <c r="C3932" s="142" t="s">
        <v>15847</v>
      </c>
      <c r="D3932" s="142" t="s">
        <v>15848</v>
      </c>
      <c r="E3932" s="142" t="s">
        <v>15849</v>
      </c>
      <c r="F3932" s="142" t="s">
        <v>1058</v>
      </c>
      <c r="G3932" s="142" t="s">
        <v>1057</v>
      </c>
      <c r="H3932" s="142" t="s">
        <v>19782</v>
      </c>
      <c r="I3932" s="142">
        <v>19</v>
      </c>
      <c r="J3932" s="142">
        <v>19</v>
      </c>
      <c r="K3932" s="142">
        <v>0</v>
      </c>
      <c r="L3932" s="142">
        <v>0</v>
      </c>
      <c r="M3932" s="142">
        <v>0</v>
      </c>
    </row>
    <row r="3933" spans="1:13" x14ac:dyDescent="0.45">
      <c r="A3933" s="142" t="s">
        <v>13035</v>
      </c>
      <c r="B3933" s="142" t="s">
        <v>14648</v>
      </c>
      <c r="C3933" s="142" t="s">
        <v>15847</v>
      </c>
      <c r="D3933" s="142" t="s">
        <v>15848</v>
      </c>
      <c r="E3933" s="142" t="s">
        <v>15849</v>
      </c>
      <c r="F3933" s="142" t="s">
        <v>1058</v>
      </c>
      <c r="G3933" s="142" t="s">
        <v>1057</v>
      </c>
      <c r="H3933" s="142" t="s">
        <v>19783</v>
      </c>
      <c r="I3933" s="142">
        <v>2346</v>
      </c>
      <c r="J3933" s="142">
        <v>1646</v>
      </c>
      <c r="K3933" s="142">
        <v>0</v>
      </c>
      <c r="L3933" s="142">
        <v>282</v>
      </c>
      <c r="M3933" s="142">
        <v>418</v>
      </c>
    </row>
    <row r="3934" spans="1:13" x14ac:dyDescent="0.45">
      <c r="A3934" s="142" t="s">
        <v>13560</v>
      </c>
      <c r="B3934" s="142" t="s">
        <v>14778</v>
      </c>
      <c r="C3934" s="142" t="s">
        <v>15847</v>
      </c>
      <c r="D3934" s="142" t="s">
        <v>15848</v>
      </c>
      <c r="E3934" s="142" t="s">
        <v>15849</v>
      </c>
      <c r="F3934" s="142" t="s">
        <v>1058</v>
      </c>
      <c r="G3934" s="142" t="s">
        <v>1057</v>
      </c>
      <c r="H3934" s="142" t="s">
        <v>19784</v>
      </c>
      <c r="I3934" s="142">
        <v>44</v>
      </c>
      <c r="J3934" s="142">
        <v>0</v>
      </c>
      <c r="K3934" s="142">
        <v>0</v>
      </c>
      <c r="L3934" s="142">
        <v>44</v>
      </c>
      <c r="M3934" s="142">
        <v>0</v>
      </c>
    </row>
    <row r="3935" spans="1:13" x14ac:dyDescent="0.45">
      <c r="A3935" s="142" t="s">
        <v>13394</v>
      </c>
      <c r="B3935" s="142" t="s">
        <v>15569</v>
      </c>
      <c r="C3935" s="142" t="s">
        <v>15847</v>
      </c>
      <c r="D3935" s="142" t="s">
        <v>15848</v>
      </c>
      <c r="E3935" s="142" t="s">
        <v>15849</v>
      </c>
      <c r="F3935" s="142" t="s">
        <v>1058</v>
      </c>
      <c r="G3935" s="142" t="s">
        <v>1057</v>
      </c>
      <c r="H3935" s="142" t="s">
        <v>19785</v>
      </c>
      <c r="I3935" s="142">
        <v>10</v>
      </c>
      <c r="J3935" s="142">
        <v>4</v>
      </c>
      <c r="K3935" s="142">
        <v>0</v>
      </c>
      <c r="L3935" s="142">
        <v>6</v>
      </c>
      <c r="M3935" s="142">
        <v>0</v>
      </c>
    </row>
    <row r="3936" spans="1:13" x14ac:dyDescent="0.45">
      <c r="A3936" s="142" t="s">
        <v>13091</v>
      </c>
      <c r="B3936" s="142" t="s">
        <v>14473</v>
      </c>
      <c r="C3936" s="142" t="s">
        <v>15847</v>
      </c>
      <c r="D3936" s="142" t="s">
        <v>15848</v>
      </c>
      <c r="E3936" s="142" t="s">
        <v>15849</v>
      </c>
      <c r="F3936" s="142" t="s">
        <v>1058</v>
      </c>
      <c r="G3936" s="142" t="s">
        <v>1057</v>
      </c>
      <c r="H3936" s="142" t="s">
        <v>19786</v>
      </c>
      <c r="I3936" s="142">
        <v>28</v>
      </c>
      <c r="J3936" s="142">
        <v>7</v>
      </c>
      <c r="K3936" s="142">
        <v>0</v>
      </c>
      <c r="L3936" s="142">
        <v>10</v>
      </c>
      <c r="M3936" s="142">
        <v>11</v>
      </c>
    </row>
    <row r="3937" spans="1:13" x14ac:dyDescent="0.45">
      <c r="A3937" s="142" t="s">
        <v>13009</v>
      </c>
      <c r="B3937" s="142" t="s">
        <v>15256</v>
      </c>
      <c r="C3937" s="142" t="s">
        <v>15847</v>
      </c>
      <c r="D3937" s="142" t="s">
        <v>15848</v>
      </c>
      <c r="E3937" s="142" t="s">
        <v>15849</v>
      </c>
      <c r="F3937" s="142" t="s">
        <v>1058</v>
      </c>
      <c r="G3937" s="142" t="s">
        <v>1057</v>
      </c>
      <c r="H3937" s="142" t="s">
        <v>19787</v>
      </c>
      <c r="I3937" s="142">
        <v>47</v>
      </c>
      <c r="J3937" s="142">
        <v>37</v>
      </c>
      <c r="K3937" s="142">
        <v>0</v>
      </c>
      <c r="L3937" s="142">
        <v>8</v>
      </c>
      <c r="M3937" s="142">
        <v>2</v>
      </c>
    </row>
    <row r="3938" spans="1:13" x14ac:dyDescent="0.45">
      <c r="A3938" s="142" t="s">
        <v>13771</v>
      </c>
      <c r="B3938" s="142" t="s">
        <v>14812</v>
      </c>
      <c r="C3938" s="142" t="s">
        <v>15860</v>
      </c>
      <c r="D3938" s="142" t="s">
        <v>15861</v>
      </c>
      <c r="E3938" s="142" t="s">
        <v>15849</v>
      </c>
      <c r="F3938" s="142" t="s">
        <v>1058</v>
      </c>
      <c r="G3938" s="142" t="s">
        <v>1057</v>
      </c>
      <c r="H3938" s="142" t="s">
        <v>19788</v>
      </c>
      <c r="I3938" s="142">
        <v>23</v>
      </c>
      <c r="J3938" s="142">
        <v>0</v>
      </c>
      <c r="K3938" s="142">
        <v>0</v>
      </c>
      <c r="L3938" s="142">
        <v>23</v>
      </c>
      <c r="M3938" s="142">
        <v>0</v>
      </c>
    </row>
    <row r="3939" spans="1:13" x14ac:dyDescent="0.45">
      <c r="A3939" s="142" t="s">
        <v>13012</v>
      </c>
      <c r="B3939" s="142" t="s">
        <v>15337</v>
      </c>
      <c r="C3939" s="142" t="s">
        <v>15847</v>
      </c>
      <c r="D3939" s="142" t="s">
        <v>15848</v>
      </c>
      <c r="E3939" s="142" t="s">
        <v>15849</v>
      </c>
      <c r="F3939" s="142" t="s">
        <v>1058</v>
      </c>
      <c r="G3939" s="142" t="s">
        <v>1057</v>
      </c>
      <c r="H3939" s="142" t="s">
        <v>19789</v>
      </c>
      <c r="I3939" s="142">
        <v>2218</v>
      </c>
      <c r="J3939" s="142">
        <v>1858</v>
      </c>
      <c r="K3939" s="142">
        <v>0</v>
      </c>
      <c r="L3939" s="142">
        <v>231</v>
      </c>
      <c r="M3939" s="142">
        <v>129</v>
      </c>
    </row>
    <row r="3940" spans="1:13" x14ac:dyDescent="0.45">
      <c r="A3940" s="142" t="s">
        <v>13772</v>
      </c>
      <c r="B3940" s="142" t="s">
        <v>15191</v>
      </c>
      <c r="C3940" s="142" t="s">
        <v>15860</v>
      </c>
      <c r="D3940" s="142" t="s">
        <v>15861</v>
      </c>
      <c r="E3940" s="142" t="s">
        <v>15849</v>
      </c>
      <c r="F3940" s="142" t="s">
        <v>1058</v>
      </c>
      <c r="G3940" s="142" t="s">
        <v>1057</v>
      </c>
      <c r="H3940" s="142" t="s">
        <v>19790</v>
      </c>
      <c r="I3940" s="142">
        <v>11</v>
      </c>
      <c r="J3940" s="142">
        <v>0</v>
      </c>
      <c r="K3940" s="142">
        <v>0</v>
      </c>
      <c r="L3940" s="142">
        <v>11</v>
      </c>
      <c r="M3940" s="142">
        <v>0</v>
      </c>
    </row>
    <row r="3941" spans="1:13" x14ac:dyDescent="0.45">
      <c r="A3941" s="142" t="s">
        <v>13773</v>
      </c>
      <c r="B3941" s="142" t="s">
        <v>14618</v>
      </c>
      <c r="C3941" s="142" t="s">
        <v>15860</v>
      </c>
      <c r="D3941" s="142" t="s">
        <v>15861</v>
      </c>
      <c r="E3941" s="142" t="s">
        <v>15849</v>
      </c>
      <c r="F3941" s="142" t="s">
        <v>1058</v>
      </c>
      <c r="G3941" s="142" t="s">
        <v>1057</v>
      </c>
      <c r="H3941" s="142" t="s">
        <v>19791</v>
      </c>
      <c r="I3941" s="142">
        <v>9</v>
      </c>
      <c r="J3941" s="142">
        <v>9</v>
      </c>
      <c r="K3941" s="142">
        <v>0</v>
      </c>
      <c r="L3941" s="142">
        <v>0</v>
      </c>
      <c r="M3941" s="142">
        <v>0</v>
      </c>
    </row>
    <row r="3942" spans="1:13" x14ac:dyDescent="0.45">
      <c r="A3942" s="142" t="s">
        <v>13014</v>
      </c>
      <c r="B3942" s="142" t="s">
        <v>14505</v>
      </c>
      <c r="C3942" s="142" t="s">
        <v>15847</v>
      </c>
      <c r="D3942" s="142" t="s">
        <v>15848</v>
      </c>
      <c r="E3942" s="142" t="s">
        <v>15849</v>
      </c>
      <c r="F3942" s="142" t="s">
        <v>1058</v>
      </c>
      <c r="G3942" s="142" t="s">
        <v>1057</v>
      </c>
      <c r="H3942" s="142" t="s">
        <v>19792</v>
      </c>
      <c r="I3942" s="142">
        <v>76</v>
      </c>
      <c r="J3942" s="142">
        <v>74</v>
      </c>
      <c r="K3942" s="142">
        <v>0</v>
      </c>
      <c r="L3942" s="142">
        <v>0</v>
      </c>
      <c r="M3942" s="142">
        <v>2</v>
      </c>
    </row>
    <row r="3943" spans="1:13" x14ac:dyDescent="0.45">
      <c r="A3943" s="142" t="s">
        <v>13544</v>
      </c>
      <c r="B3943" s="142" t="s">
        <v>15450</v>
      </c>
      <c r="C3943" s="142" t="s">
        <v>15847</v>
      </c>
      <c r="D3943" s="142" t="s">
        <v>15848</v>
      </c>
      <c r="E3943" s="142" t="s">
        <v>15849</v>
      </c>
      <c r="F3943" s="142" t="s">
        <v>1058</v>
      </c>
      <c r="G3943" s="142" t="s">
        <v>1057</v>
      </c>
      <c r="H3943" s="142" t="s">
        <v>19793</v>
      </c>
      <c r="I3943" s="142">
        <v>126</v>
      </c>
      <c r="J3943" s="142">
        <v>90</v>
      </c>
      <c r="K3943" s="142">
        <v>0</v>
      </c>
      <c r="L3943" s="142">
        <v>0</v>
      </c>
      <c r="M3943" s="142">
        <v>36</v>
      </c>
    </row>
    <row r="3944" spans="1:13" x14ac:dyDescent="0.45">
      <c r="A3944" s="142" t="s">
        <v>13700</v>
      </c>
      <c r="B3944" s="142" t="s">
        <v>15351</v>
      </c>
      <c r="C3944" s="142" t="s">
        <v>15860</v>
      </c>
      <c r="D3944" s="142" t="s">
        <v>15861</v>
      </c>
      <c r="E3944" s="142" t="s">
        <v>15849</v>
      </c>
      <c r="F3944" s="142" t="s">
        <v>1058</v>
      </c>
      <c r="G3944" s="142" t="s">
        <v>1057</v>
      </c>
      <c r="H3944" s="142" t="s">
        <v>19794</v>
      </c>
      <c r="I3944" s="142">
        <v>31</v>
      </c>
      <c r="J3944" s="142">
        <v>31</v>
      </c>
      <c r="K3944" s="142">
        <v>0</v>
      </c>
      <c r="L3944" s="142">
        <v>0</v>
      </c>
      <c r="M3944" s="142">
        <v>0</v>
      </c>
    </row>
    <row r="3945" spans="1:13" x14ac:dyDescent="0.45">
      <c r="A3945" s="142" t="s">
        <v>13022</v>
      </c>
      <c r="B3945" s="142" t="s">
        <v>14634</v>
      </c>
      <c r="C3945" s="142" t="s">
        <v>15847</v>
      </c>
      <c r="D3945" s="142" t="s">
        <v>15848</v>
      </c>
      <c r="E3945" s="142" t="s">
        <v>15849</v>
      </c>
      <c r="F3945" s="142" t="s">
        <v>5268</v>
      </c>
      <c r="G3945" s="142" t="s">
        <v>5267</v>
      </c>
      <c r="H3945" s="142" t="s">
        <v>19795</v>
      </c>
      <c r="I3945" s="142">
        <v>5</v>
      </c>
      <c r="J3945" s="142">
        <v>0</v>
      </c>
      <c r="K3945" s="142">
        <v>0</v>
      </c>
      <c r="L3945" s="142">
        <v>5</v>
      </c>
      <c r="M3945" s="142">
        <v>0</v>
      </c>
    </row>
    <row r="3946" spans="1:13" x14ac:dyDescent="0.45">
      <c r="A3946" s="142" t="s">
        <v>13112</v>
      </c>
      <c r="B3946" s="142" t="s">
        <v>15552</v>
      </c>
      <c r="C3946" s="142" t="s">
        <v>15860</v>
      </c>
      <c r="D3946" s="142" t="s">
        <v>15861</v>
      </c>
      <c r="E3946" s="142" t="s">
        <v>15849</v>
      </c>
      <c r="F3946" s="142" t="s">
        <v>5268</v>
      </c>
      <c r="G3946" s="142" t="s">
        <v>5267</v>
      </c>
      <c r="H3946" s="142" t="s">
        <v>19796</v>
      </c>
      <c r="I3946" s="142">
        <v>16</v>
      </c>
      <c r="J3946" s="142">
        <v>16</v>
      </c>
      <c r="K3946" s="142">
        <v>0</v>
      </c>
      <c r="L3946" s="142">
        <v>0</v>
      </c>
      <c r="M3946" s="142">
        <v>0</v>
      </c>
    </row>
    <row r="3947" spans="1:13" x14ac:dyDescent="0.45">
      <c r="A3947" s="142" t="s">
        <v>13082</v>
      </c>
      <c r="B3947" s="142" t="s">
        <v>14478</v>
      </c>
      <c r="C3947" s="142" t="s">
        <v>15860</v>
      </c>
      <c r="D3947" s="142" t="s">
        <v>15861</v>
      </c>
      <c r="E3947" s="142" t="s">
        <v>15849</v>
      </c>
      <c r="F3947" s="142" t="s">
        <v>5268</v>
      </c>
      <c r="G3947" s="142" t="s">
        <v>5267</v>
      </c>
      <c r="H3947" s="142" t="s">
        <v>19797</v>
      </c>
      <c r="I3947" s="142">
        <v>17</v>
      </c>
      <c r="J3947" s="142">
        <v>0</v>
      </c>
      <c r="K3947" s="142">
        <v>0</v>
      </c>
      <c r="L3947" s="142">
        <v>17</v>
      </c>
      <c r="M3947" s="142">
        <v>0</v>
      </c>
    </row>
    <row r="3948" spans="1:13" x14ac:dyDescent="0.45">
      <c r="A3948" s="142" t="s">
        <v>13348</v>
      </c>
      <c r="B3948" s="142" t="s">
        <v>15458</v>
      </c>
      <c r="C3948" s="142" t="s">
        <v>15847</v>
      </c>
      <c r="D3948" s="142" t="s">
        <v>15848</v>
      </c>
      <c r="E3948" s="142" t="s">
        <v>15849</v>
      </c>
      <c r="F3948" s="142" t="s">
        <v>5268</v>
      </c>
      <c r="G3948" s="142" t="s">
        <v>5267</v>
      </c>
      <c r="H3948" s="142" t="s">
        <v>19798</v>
      </c>
      <c r="I3948" s="142">
        <v>10</v>
      </c>
      <c r="J3948" s="142">
        <v>4</v>
      </c>
      <c r="K3948" s="142">
        <v>0</v>
      </c>
      <c r="L3948" s="142">
        <v>0</v>
      </c>
      <c r="M3948" s="142">
        <v>6</v>
      </c>
    </row>
    <row r="3949" spans="1:13" x14ac:dyDescent="0.45">
      <c r="A3949" s="142" t="s">
        <v>13000</v>
      </c>
      <c r="B3949" s="142" t="s">
        <v>14610</v>
      </c>
      <c r="C3949" s="142" t="s">
        <v>15847</v>
      </c>
      <c r="D3949" s="142" t="s">
        <v>15848</v>
      </c>
      <c r="E3949" s="142" t="s">
        <v>15849</v>
      </c>
      <c r="F3949" s="142" t="s">
        <v>5268</v>
      </c>
      <c r="G3949" s="142" t="s">
        <v>5267</v>
      </c>
      <c r="H3949" s="142" t="s">
        <v>19799</v>
      </c>
      <c r="I3949" s="142">
        <v>4569</v>
      </c>
      <c r="J3949" s="142">
        <v>3892</v>
      </c>
      <c r="K3949" s="142">
        <v>0</v>
      </c>
      <c r="L3949" s="142">
        <v>523</v>
      </c>
      <c r="M3949" s="142">
        <v>154</v>
      </c>
    </row>
    <row r="3950" spans="1:13" x14ac:dyDescent="0.45">
      <c r="A3950" s="142" t="s">
        <v>13049</v>
      </c>
      <c r="B3950" s="142" t="s">
        <v>14534</v>
      </c>
      <c r="C3950" s="142" t="s">
        <v>15860</v>
      </c>
      <c r="D3950" s="142" t="s">
        <v>15861</v>
      </c>
      <c r="E3950" s="142" t="s">
        <v>15849</v>
      </c>
      <c r="F3950" s="142" t="s">
        <v>5268</v>
      </c>
      <c r="G3950" s="142" t="s">
        <v>5267</v>
      </c>
      <c r="H3950" s="142" t="s">
        <v>19800</v>
      </c>
      <c r="I3950" s="142">
        <v>10</v>
      </c>
      <c r="J3950" s="142">
        <v>0</v>
      </c>
      <c r="K3950" s="142">
        <v>0</v>
      </c>
      <c r="L3950" s="142">
        <v>10</v>
      </c>
      <c r="M3950" s="142">
        <v>0</v>
      </c>
    </row>
    <row r="3951" spans="1:13" x14ac:dyDescent="0.45">
      <c r="A3951" s="142" t="s">
        <v>13462</v>
      </c>
      <c r="B3951" s="142" t="s">
        <v>14653</v>
      </c>
      <c r="C3951" s="142" t="s">
        <v>15847</v>
      </c>
      <c r="D3951" s="142" t="s">
        <v>15848</v>
      </c>
      <c r="E3951" s="142" t="s">
        <v>15849</v>
      </c>
      <c r="F3951" s="142" t="s">
        <v>5268</v>
      </c>
      <c r="G3951" s="142" t="s">
        <v>5267</v>
      </c>
      <c r="H3951" s="142" t="s">
        <v>19801</v>
      </c>
      <c r="I3951" s="142">
        <v>6</v>
      </c>
      <c r="J3951" s="142">
        <v>6</v>
      </c>
      <c r="K3951" s="142">
        <v>0</v>
      </c>
      <c r="L3951" s="142">
        <v>0</v>
      </c>
      <c r="M3951" s="142">
        <v>0</v>
      </c>
    </row>
    <row r="3952" spans="1:13" x14ac:dyDescent="0.45">
      <c r="A3952" s="142" t="s">
        <v>13027</v>
      </c>
      <c r="B3952" s="142" t="s">
        <v>14562</v>
      </c>
      <c r="C3952" s="142" t="s">
        <v>15847</v>
      </c>
      <c r="D3952" s="142" t="s">
        <v>15848</v>
      </c>
      <c r="E3952" s="142" t="s">
        <v>15849</v>
      </c>
      <c r="F3952" s="142" t="s">
        <v>5268</v>
      </c>
      <c r="G3952" s="142" t="s">
        <v>5267</v>
      </c>
      <c r="H3952" s="142" t="s">
        <v>19802</v>
      </c>
      <c r="I3952" s="142">
        <v>1</v>
      </c>
      <c r="J3952" s="142">
        <v>0</v>
      </c>
      <c r="K3952" s="142">
        <v>0</v>
      </c>
      <c r="L3952" s="142">
        <v>1</v>
      </c>
      <c r="M3952" s="142">
        <v>0</v>
      </c>
    </row>
    <row r="3953" spans="1:13" x14ac:dyDescent="0.45">
      <c r="A3953" s="142" t="s">
        <v>13001</v>
      </c>
      <c r="B3953" s="142" t="s">
        <v>15506</v>
      </c>
      <c r="C3953" s="142" t="s">
        <v>15847</v>
      </c>
      <c r="D3953" s="142" t="s">
        <v>15848</v>
      </c>
      <c r="E3953" s="142" t="s">
        <v>15849</v>
      </c>
      <c r="F3953" s="142" t="s">
        <v>5268</v>
      </c>
      <c r="G3953" s="142" t="s">
        <v>5267</v>
      </c>
      <c r="H3953" s="142" t="s">
        <v>19803</v>
      </c>
      <c r="I3953" s="142">
        <v>3</v>
      </c>
      <c r="J3953" s="142">
        <v>2</v>
      </c>
      <c r="K3953" s="142">
        <v>0</v>
      </c>
      <c r="L3953" s="142">
        <v>0</v>
      </c>
      <c r="M3953" s="142">
        <v>1</v>
      </c>
    </row>
    <row r="3954" spans="1:13" x14ac:dyDescent="0.45">
      <c r="A3954" s="142" t="s">
        <v>13199</v>
      </c>
      <c r="B3954" s="142" t="s">
        <v>15362</v>
      </c>
      <c r="C3954" s="142" t="s">
        <v>15847</v>
      </c>
      <c r="D3954" s="142" t="s">
        <v>15848</v>
      </c>
      <c r="E3954" s="142" t="s">
        <v>15849</v>
      </c>
      <c r="F3954" s="142" t="s">
        <v>5268</v>
      </c>
      <c r="G3954" s="142" t="s">
        <v>5267</v>
      </c>
      <c r="H3954" s="142" t="s">
        <v>19804</v>
      </c>
      <c r="I3954" s="142">
        <v>303</v>
      </c>
      <c r="J3954" s="142">
        <v>213</v>
      </c>
      <c r="K3954" s="142">
        <v>0</v>
      </c>
      <c r="L3954" s="142">
        <v>49</v>
      </c>
      <c r="M3954" s="142">
        <v>41</v>
      </c>
    </row>
    <row r="3955" spans="1:13" x14ac:dyDescent="0.45">
      <c r="A3955" s="142" t="s">
        <v>13002</v>
      </c>
      <c r="B3955" s="142" t="s">
        <v>15376</v>
      </c>
      <c r="C3955" s="142" t="s">
        <v>15847</v>
      </c>
      <c r="D3955" s="142" t="s">
        <v>15848</v>
      </c>
      <c r="E3955" s="142" t="s">
        <v>15849</v>
      </c>
      <c r="F3955" s="142" t="s">
        <v>5268</v>
      </c>
      <c r="G3955" s="142" t="s">
        <v>5267</v>
      </c>
      <c r="H3955" s="142" t="s">
        <v>19805</v>
      </c>
      <c r="I3955" s="142">
        <v>111</v>
      </c>
      <c r="J3955" s="142">
        <v>57</v>
      </c>
      <c r="K3955" s="142">
        <v>0</v>
      </c>
      <c r="L3955" s="142">
        <v>21</v>
      </c>
      <c r="M3955" s="142">
        <v>33</v>
      </c>
    </row>
    <row r="3956" spans="1:13" x14ac:dyDescent="0.45">
      <c r="A3956" s="142" t="s">
        <v>13003</v>
      </c>
      <c r="B3956" s="142" t="s">
        <v>15245</v>
      </c>
      <c r="C3956" s="142" t="s">
        <v>15847</v>
      </c>
      <c r="D3956" s="142" t="s">
        <v>15848</v>
      </c>
      <c r="E3956" s="142" t="s">
        <v>15849</v>
      </c>
      <c r="F3956" s="142" t="s">
        <v>5268</v>
      </c>
      <c r="G3956" s="142" t="s">
        <v>5267</v>
      </c>
      <c r="H3956" s="142" t="s">
        <v>19806</v>
      </c>
      <c r="I3956" s="142">
        <v>79</v>
      </c>
      <c r="J3956" s="142">
        <v>0</v>
      </c>
      <c r="K3956" s="142">
        <v>0</v>
      </c>
      <c r="L3956" s="142">
        <v>79</v>
      </c>
      <c r="M3956" s="142">
        <v>0</v>
      </c>
    </row>
    <row r="3957" spans="1:13" x14ac:dyDescent="0.45">
      <c r="A3957" s="142" t="s">
        <v>13124</v>
      </c>
      <c r="B3957" s="142" t="s">
        <v>15554</v>
      </c>
      <c r="C3957" s="142" t="s">
        <v>15860</v>
      </c>
      <c r="D3957" s="142" t="s">
        <v>15861</v>
      </c>
      <c r="E3957" s="142" t="s">
        <v>15849</v>
      </c>
      <c r="F3957" s="142" t="s">
        <v>5268</v>
      </c>
      <c r="G3957" s="142" t="s">
        <v>5267</v>
      </c>
      <c r="H3957" s="142" t="s">
        <v>19807</v>
      </c>
      <c r="I3957" s="142">
        <v>3</v>
      </c>
      <c r="J3957" s="142">
        <v>3</v>
      </c>
      <c r="K3957" s="142">
        <v>0</v>
      </c>
      <c r="L3957" s="142">
        <v>0</v>
      </c>
      <c r="M3957" s="142">
        <v>0</v>
      </c>
    </row>
    <row r="3958" spans="1:13" x14ac:dyDescent="0.45">
      <c r="A3958" s="142" t="s">
        <v>13005</v>
      </c>
      <c r="B3958" s="142" t="s">
        <v>15475</v>
      </c>
      <c r="C3958" s="142" t="s">
        <v>15847</v>
      </c>
      <c r="D3958" s="142" t="s">
        <v>15848</v>
      </c>
      <c r="E3958" s="142" t="s">
        <v>15849</v>
      </c>
      <c r="F3958" s="142" t="s">
        <v>5268</v>
      </c>
      <c r="G3958" s="142" t="s">
        <v>5267</v>
      </c>
      <c r="H3958" s="142" t="s">
        <v>19808</v>
      </c>
      <c r="I3958" s="142">
        <v>1</v>
      </c>
      <c r="J3958" s="142">
        <v>0</v>
      </c>
      <c r="K3958" s="142">
        <v>0</v>
      </c>
      <c r="L3958" s="142">
        <v>0</v>
      </c>
      <c r="M3958" s="142">
        <v>1</v>
      </c>
    </row>
    <row r="3959" spans="1:13" x14ac:dyDescent="0.45">
      <c r="A3959" s="142" t="s">
        <v>13006</v>
      </c>
      <c r="B3959" s="142" t="s">
        <v>15288</v>
      </c>
      <c r="C3959" s="142" t="s">
        <v>15847</v>
      </c>
      <c r="D3959" s="142" t="s">
        <v>15848</v>
      </c>
      <c r="E3959" s="142" t="s">
        <v>15849</v>
      </c>
      <c r="F3959" s="142" t="s">
        <v>5268</v>
      </c>
      <c r="G3959" s="142" t="s">
        <v>5267</v>
      </c>
      <c r="H3959" s="142" t="s">
        <v>19809</v>
      </c>
      <c r="I3959" s="142">
        <v>101</v>
      </c>
      <c r="J3959" s="142">
        <v>62</v>
      </c>
      <c r="K3959" s="142">
        <v>0</v>
      </c>
      <c r="L3959" s="142">
        <v>0</v>
      </c>
      <c r="M3959" s="142">
        <v>39</v>
      </c>
    </row>
    <row r="3960" spans="1:13" x14ac:dyDescent="0.45">
      <c r="A3960" s="142" t="s">
        <v>13103</v>
      </c>
      <c r="B3960" s="142" t="s">
        <v>14623</v>
      </c>
      <c r="C3960" s="142" t="s">
        <v>15847</v>
      </c>
      <c r="D3960" s="142" t="s">
        <v>15848</v>
      </c>
      <c r="E3960" s="142" t="s">
        <v>15849</v>
      </c>
      <c r="F3960" s="142" t="s">
        <v>5268</v>
      </c>
      <c r="G3960" s="142" t="s">
        <v>5267</v>
      </c>
      <c r="H3960" s="142" t="s">
        <v>19810</v>
      </c>
      <c r="I3960" s="142">
        <v>286</v>
      </c>
      <c r="J3960" s="142">
        <v>217</v>
      </c>
      <c r="K3960" s="142">
        <v>0</v>
      </c>
      <c r="L3960" s="142">
        <v>1</v>
      </c>
      <c r="M3960" s="142">
        <v>68</v>
      </c>
    </row>
    <row r="3961" spans="1:13" x14ac:dyDescent="0.45">
      <c r="A3961" s="142" t="s">
        <v>13054</v>
      </c>
      <c r="B3961" s="142" t="s">
        <v>15604</v>
      </c>
      <c r="C3961" s="142" t="s">
        <v>15847</v>
      </c>
      <c r="D3961" s="142" t="s">
        <v>15848</v>
      </c>
      <c r="E3961" s="142" t="s">
        <v>15849</v>
      </c>
      <c r="F3961" s="142" t="s">
        <v>5268</v>
      </c>
      <c r="G3961" s="142" t="s">
        <v>5267</v>
      </c>
      <c r="H3961" s="142" t="s">
        <v>19811</v>
      </c>
      <c r="I3961" s="142">
        <v>4</v>
      </c>
      <c r="J3961" s="142">
        <v>0</v>
      </c>
      <c r="K3961" s="142">
        <v>0</v>
      </c>
      <c r="L3961" s="142">
        <v>0</v>
      </c>
      <c r="M3961" s="142">
        <v>4</v>
      </c>
    </row>
    <row r="3962" spans="1:13" x14ac:dyDescent="0.45">
      <c r="A3962" s="142" t="s">
        <v>13131</v>
      </c>
      <c r="B3962" s="142" t="s">
        <v>15233</v>
      </c>
      <c r="C3962" s="142" t="s">
        <v>15860</v>
      </c>
      <c r="D3962" s="142" t="s">
        <v>15861</v>
      </c>
      <c r="E3962" s="142" t="s">
        <v>15849</v>
      </c>
      <c r="F3962" s="142" t="s">
        <v>5268</v>
      </c>
      <c r="G3962" s="142" t="s">
        <v>5267</v>
      </c>
      <c r="H3962" s="142" t="s">
        <v>19812</v>
      </c>
      <c r="I3962" s="142">
        <v>24</v>
      </c>
      <c r="J3962" s="142">
        <v>0</v>
      </c>
      <c r="K3962" s="142">
        <v>0</v>
      </c>
      <c r="L3962" s="142">
        <v>24</v>
      </c>
      <c r="M3962" s="142">
        <v>0</v>
      </c>
    </row>
    <row r="3963" spans="1:13" x14ac:dyDescent="0.45">
      <c r="A3963" s="142" t="s">
        <v>13133</v>
      </c>
      <c r="B3963" s="142" t="s">
        <v>15291</v>
      </c>
      <c r="C3963" s="142" t="s">
        <v>15847</v>
      </c>
      <c r="D3963" s="142" t="s">
        <v>15848</v>
      </c>
      <c r="E3963" s="142" t="s">
        <v>15849</v>
      </c>
      <c r="F3963" s="142" t="s">
        <v>5268</v>
      </c>
      <c r="G3963" s="142" t="s">
        <v>5267</v>
      </c>
      <c r="H3963" s="142" t="s">
        <v>19813</v>
      </c>
      <c r="I3963" s="142">
        <v>65</v>
      </c>
      <c r="J3963" s="142">
        <v>56</v>
      </c>
      <c r="K3963" s="142">
        <v>0</v>
      </c>
      <c r="L3963" s="142">
        <v>0</v>
      </c>
      <c r="M3963" s="142">
        <v>9</v>
      </c>
    </row>
    <row r="3964" spans="1:13" x14ac:dyDescent="0.45">
      <c r="A3964" s="142" t="s">
        <v>13135</v>
      </c>
      <c r="B3964" s="142" t="s">
        <v>15575</v>
      </c>
      <c r="C3964" s="142" t="s">
        <v>15847</v>
      </c>
      <c r="D3964" s="142" t="s">
        <v>15848</v>
      </c>
      <c r="E3964" s="142" t="s">
        <v>15849</v>
      </c>
      <c r="F3964" s="142" t="s">
        <v>5268</v>
      </c>
      <c r="G3964" s="142" t="s">
        <v>5267</v>
      </c>
      <c r="H3964" s="142" t="s">
        <v>19814</v>
      </c>
      <c r="I3964" s="142">
        <v>145</v>
      </c>
      <c r="J3964" s="142">
        <v>111</v>
      </c>
      <c r="K3964" s="142">
        <v>0</v>
      </c>
      <c r="L3964" s="142">
        <v>0</v>
      </c>
      <c r="M3964" s="142">
        <v>34</v>
      </c>
    </row>
    <row r="3965" spans="1:13" x14ac:dyDescent="0.45">
      <c r="A3965" s="142" t="s">
        <v>13104</v>
      </c>
      <c r="B3965" s="142" t="s">
        <v>14622</v>
      </c>
      <c r="C3965" s="142" t="s">
        <v>15847</v>
      </c>
      <c r="D3965" s="142" t="s">
        <v>15848</v>
      </c>
      <c r="E3965" s="142" t="s">
        <v>15849</v>
      </c>
      <c r="F3965" s="142" t="s">
        <v>5268</v>
      </c>
      <c r="G3965" s="142" t="s">
        <v>5267</v>
      </c>
      <c r="H3965" s="142" t="s">
        <v>19815</v>
      </c>
      <c r="I3965" s="142">
        <v>1652</v>
      </c>
      <c r="J3965" s="142">
        <v>1457</v>
      </c>
      <c r="K3965" s="142">
        <v>0</v>
      </c>
      <c r="L3965" s="142">
        <v>150</v>
      </c>
      <c r="M3965" s="142">
        <v>45</v>
      </c>
    </row>
    <row r="3966" spans="1:13" x14ac:dyDescent="0.45">
      <c r="A3966" s="142" t="s">
        <v>13774</v>
      </c>
      <c r="B3966" s="142" t="s">
        <v>15352</v>
      </c>
      <c r="C3966" s="142" t="s">
        <v>15860</v>
      </c>
      <c r="D3966" s="142" t="s">
        <v>15861</v>
      </c>
      <c r="E3966" s="142" t="s">
        <v>15849</v>
      </c>
      <c r="F3966" s="142" t="s">
        <v>5268</v>
      </c>
      <c r="G3966" s="142" t="s">
        <v>5267</v>
      </c>
      <c r="H3966" s="142" t="s">
        <v>19816</v>
      </c>
      <c r="I3966" s="142">
        <v>118</v>
      </c>
      <c r="J3966" s="142">
        <v>118</v>
      </c>
      <c r="K3966" s="142">
        <v>0</v>
      </c>
      <c r="L3966" s="142">
        <v>0</v>
      </c>
      <c r="M3966" s="142">
        <v>0</v>
      </c>
    </row>
    <row r="3967" spans="1:13" x14ac:dyDescent="0.45">
      <c r="A3967" s="142" t="s">
        <v>13033</v>
      </c>
      <c r="B3967" s="142" t="s">
        <v>15276</v>
      </c>
      <c r="C3967" s="142" t="s">
        <v>15847</v>
      </c>
      <c r="D3967" s="142" t="s">
        <v>15848</v>
      </c>
      <c r="E3967" s="142" t="s">
        <v>15849</v>
      </c>
      <c r="F3967" s="142" t="s">
        <v>5268</v>
      </c>
      <c r="G3967" s="142" t="s">
        <v>5267</v>
      </c>
      <c r="H3967" s="142" t="s">
        <v>19817</v>
      </c>
      <c r="I3967" s="142">
        <v>53</v>
      </c>
      <c r="J3967" s="142">
        <v>53</v>
      </c>
      <c r="K3967" s="142">
        <v>0</v>
      </c>
      <c r="L3967" s="142">
        <v>0</v>
      </c>
      <c r="M3967" s="142">
        <v>0</v>
      </c>
    </row>
    <row r="3968" spans="1:13" x14ac:dyDescent="0.45">
      <c r="A3968" s="142" t="s">
        <v>13037</v>
      </c>
      <c r="B3968" s="142" t="s">
        <v>14519</v>
      </c>
      <c r="C3968" s="142" t="s">
        <v>15847</v>
      </c>
      <c r="D3968" s="142" t="s">
        <v>15848</v>
      </c>
      <c r="E3968" s="142" t="s">
        <v>15849</v>
      </c>
      <c r="F3968" s="142" t="s">
        <v>5268</v>
      </c>
      <c r="G3968" s="142" t="s">
        <v>5267</v>
      </c>
      <c r="H3968" s="142" t="s">
        <v>19818</v>
      </c>
      <c r="I3968" s="142">
        <v>1</v>
      </c>
      <c r="J3968" s="142">
        <v>0</v>
      </c>
      <c r="K3968" s="142">
        <v>0</v>
      </c>
      <c r="L3968" s="142">
        <v>1</v>
      </c>
      <c r="M3968" s="142">
        <v>0</v>
      </c>
    </row>
    <row r="3969" spans="1:13" x14ac:dyDescent="0.45">
      <c r="A3969" s="142" t="s">
        <v>13009</v>
      </c>
      <c r="B3969" s="142" t="s">
        <v>15256</v>
      </c>
      <c r="C3969" s="142" t="s">
        <v>15847</v>
      </c>
      <c r="D3969" s="142" t="s">
        <v>15848</v>
      </c>
      <c r="E3969" s="142" t="s">
        <v>15849</v>
      </c>
      <c r="F3969" s="142" t="s">
        <v>5268</v>
      </c>
      <c r="G3969" s="142" t="s">
        <v>5267</v>
      </c>
      <c r="H3969" s="142" t="s">
        <v>19819</v>
      </c>
      <c r="I3969" s="142">
        <v>129</v>
      </c>
      <c r="J3969" s="142">
        <v>100</v>
      </c>
      <c r="K3969" s="142">
        <v>0</v>
      </c>
      <c r="L3969" s="142">
        <v>29</v>
      </c>
      <c r="M3969" s="142">
        <v>0</v>
      </c>
    </row>
    <row r="3970" spans="1:13" x14ac:dyDescent="0.45">
      <c r="A3970" s="142" t="s">
        <v>13343</v>
      </c>
      <c r="B3970" s="142" t="s">
        <v>15161</v>
      </c>
      <c r="C3970" s="142" t="s">
        <v>15860</v>
      </c>
      <c r="D3970" s="142" t="s">
        <v>15861</v>
      </c>
      <c r="E3970" s="142" t="s">
        <v>15849</v>
      </c>
      <c r="F3970" s="142" t="s">
        <v>5268</v>
      </c>
      <c r="G3970" s="142" t="s">
        <v>5267</v>
      </c>
      <c r="H3970" s="142" t="s">
        <v>19820</v>
      </c>
      <c r="I3970" s="142">
        <v>30</v>
      </c>
      <c r="J3970" s="142">
        <v>0</v>
      </c>
      <c r="K3970" s="142">
        <v>0</v>
      </c>
      <c r="L3970" s="142">
        <v>30</v>
      </c>
      <c r="M3970" s="142">
        <v>0</v>
      </c>
    </row>
    <row r="3971" spans="1:13" x14ac:dyDescent="0.45">
      <c r="A3971" s="142" t="s">
        <v>13203</v>
      </c>
      <c r="B3971" s="142" t="s">
        <v>15446</v>
      </c>
      <c r="C3971" s="142" t="s">
        <v>15847</v>
      </c>
      <c r="D3971" s="142" t="s">
        <v>15848</v>
      </c>
      <c r="E3971" s="142" t="s">
        <v>15849</v>
      </c>
      <c r="F3971" s="142" t="s">
        <v>5268</v>
      </c>
      <c r="G3971" s="142" t="s">
        <v>5267</v>
      </c>
      <c r="H3971" s="142" t="s">
        <v>19821</v>
      </c>
      <c r="I3971" s="142">
        <v>17</v>
      </c>
      <c r="J3971" s="142">
        <v>5</v>
      </c>
      <c r="K3971" s="142">
        <v>0</v>
      </c>
      <c r="L3971" s="142">
        <v>0</v>
      </c>
      <c r="M3971" s="142">
        <v>12</v>
      </c>
    </row>
    <row r="3972" spans="1:13" x14ac:dyDescent="0.45">
      <c r="A3972" s="142" t="s">
        <v>13011</v>
      </c>
      <c r="B3972" s="142" t="s">
        <v>14695</v>
      </c>
      <c r="C3972" s="142" t="s">
        <v>15847</v>
      </c>
      <c r="D3972" s="142" t="s">
        <v>15848</v>
      </c>
      <c r="E3972" s="142" t="s">
        <v>15849</v>
      </c>
      <c r="F3972" s="142" t="s">
        <v>5268</v>
      </c>
      <c r="G3972" s="142" t="s">
        <v>5267</v>
      </c>
      <c r="H3972" s="142" t="s">
        <v>19822</v>
      </c>
      <c r="I3972" s="142">
        <v>1</v>
      </c>
      <c r="J3972" s="142">
        <v>0</v>
      </c>
      <c r="K3972" s="142">
        <v>0</v>
      </c>
      <c r="L3972" s="142">
        <v>0</v>
      </c>
      <c r="M3972" s="142">
        <v>1</v>
      </c>
    </row>
    <row r="3973" spans="1:13" x14ac:dyDescent="0.45">
      <c r="A3973" s="142" t="s">
        <v>13058</v>
      </c>
      <c r="B3973" s="142" t="s">
        <v>14584</v>
      </c>
      <c r="C3973" s="142" t="s">
        <v>15847</v>
      </c>
      <c r="D3973" s="142" t="s">
        <v>15848</v>
      </c>
      <c r="E3973" s="142" t="s">
        <v>15849</v>
      </c>
      <c r="F3973" s="142" t="s">
        <v>5268</v>
      </c>
      <c r="G3973" s="142" t="s">
        <v>5267</v>
      </c>
      <c r="H3973" s="142" t="s">
        <v>19823</v>
      </c>
      <c r="I3973" s="142">
        <v>20</v>
      </c>
      <c r="J3973" s="142">
        <v>0</v>
      </c>
      <c r="K3973" s="142">
        <v>0</v>
      </c>
      <c r="L3973" s="142">
        <v>0</v>
      </c>
      <c r="M3973" s="142">
        <v>20</v>
      </c>
    </row>
    <row r="3974" spans="1:13" x14ac:dyDescent="0.45">
      <c r="A3974" s="142" t="s">
        <v>13344</v>
      </c>
      <c r="B3974" s="142" t="s">
        <v>15448</v>
      </c>
      <c r="C3974" s="142" t="s">
        <v>15860</v>
      </c>
      <c r="D3974" s="142" t="s">
        <v>15861</v>
      </c>
      <c r="E3974" s="142" t="s">
        <v>15849</v>
      </c>
      <c r="F3974" s="142" t="s">
        <v>5268</v>
      </c>
      <c r="G3974" s="142" t="s">
        <v>5267</v>
      </c>
      <c r="H3974" s="142" t="s">
        <v>19824</v>
      </c>
      <c r="I3974" s="142">
        <v>36</v>
      </c>
      <c r="J3974" s="142">
        <v>36</v>
      </c>
      <c r="K3974" s="142">
        <v>0</v>
      </c>
      <c r="L3974" s="142">
        <v>0</v>
      </c>
      <c r="M3974" s="142">
        <v>0</v>
      </c>
    </row>
    <row r="3975" spans="1:13" x14ac:dyDescent="0.45">
      <c r="A3975" s="142" t="s">
        <v>13014</v>
      </c>
      <c r="B3975" s="142" t="s">
        <v>14505</v>
      </c>
      <c r="C3975" s="142" t="s">
        <v>15847</v>
      </c>
      <c r="D3975" s="142" t="s">
        <v>15848</v>
      </c>
      <c r="E3975" s="142" t="s">
        <v>15849</v>
      </c>
      <c r="F3975" s="142" t="s">
        <v>5268</v>
      </c>
      <c r="G3975" s="142" t="s">
        <v>5267</v>
      </c>
      <c r="H3975" s="142" t="s">
        <v>19825</v>
      </c>
      <c r="I3975" s="142">
        <v>2</v>
      </c>
      <c r="J3975" s="142">
        <v>1</v>
      </c>
      <c r="K3975" s="142">
        <v>0</v>
      </c>
      <c r="L3975" s="142">
        <v>1</v>
      </c>
      <c r="M3975" s="142">
        <v>0</v>
      </c>
    </row>
    <row r="3976" spans="1:13" x14ac:dyDescent="0.45">
      <c r="A3976" s="142" t="s">
        <v>13141</v>
      </c>
      <c r="B3976" s="142" t="s">
        <v>15258</v>
      </c>
      <c r="C3976" s="142" t="s">
        <v>15847</v>
      </c>
      <c r="D3976" s="142" t="s">
        <v>15848</v>
      </c>
      <c r="E3976" s="142" t="s">
        <v>15849</v>
      </c>
      <c r="F3976" s="142" t="s">
        <v>5268</v>
      </c>
      <c r="G3976" s="142" t="s">
        <v>5267</v>
      </c>
      <c r="H3976" s="142" t="s">
        <v>19826</v>
      </c>
      <c r="I3976" s="142">
        <v>34</v>
      </c>
      <c r="J3976" s="142">
        <v>12</v>
      </c>
      <c r="K3976" s="142">
        <v>0</v>
      </c>
      <c r="L3976" s="142">
        <v>0</v>
      </c>
      <c r="M3976" s="142">
        <v>22</v>
      </c>
    </row>
    <row r="3977" spans="1:13" x14ac:dyDescent="0.45">
      <c r="A3977" s="142" t="s">
        <v>13395</v>
      </c>
      <c r="B3977" s="142" t="s">
        <v>15476</v>
      </c>
      <c r="C3977" s="142" t="s">
        <v>15847</v>
      </c>
      <c r="D3977" s="142" t="s">
        <v>15848</v>
      </c>
      <c r="E3977" s="142" t="s">
        <v>15849</v>
      </c>
      <c r="F3977" s="142" t="s">
        <v>5268</v>
      </c>
      <c r="G3977" s="142" t="s">
        <v>5267</v>
      </c>
      <c r="H3977" s="142" t="s">
        <v>19827</v>
      </c>
      <c r="I3977" s="142">
        <v>20</v>
      </c>
      <c r="J3977" s="142">
        <v>20</v>
      </c>
      <c r="K3977" s="142">
        <v>0</v>
      </c>
      <c r="L3977" s="142">
        <v>0</v>
      </c>
      <c r="M3977" s="142">
        <v>0</v>
      </c>
    </row>
    <row r="3978" spans="1:13" x14ac:dyDescent="0.45">
      <c r="A3978" s="142" t="s">
        <v>13142</v>
      </c>
      <c r="B3978" s="142" t="s">
        <v>15469</v>
      </c>
      <c r="C3978" s="142" t="s">
        <v>15847</v>
      </c>
      <c r="D3978" s="142" t="s">
        <v>15848</v>
      </c>
      <c r="E3978" s="142" t="s">
        <v>15849</v>
      </c>
      <c r="F3978" s="142" t="s">
        <v>5268</v>
      </c>
      <c r="G3978" s="142" t="s">
        <v>5267</v>
      </c>
      <c r="H3978" s="142" t="s">
        <v>19828</v>
      </c>
      <c r="I3978" s="142">
        <v>171</v>
      </c>
      <c r="J3978" s="142">
        <v>72</v>
      </c>
      <c r="K3978" s="142">
        <v>0</v>
      </c>
      <c r="L3978" s="142">
        <v>44</v>
      </c>
      <c r="M3978" s="142">
        <v>55</v>
      </c>
    </row>
    <row r="3979" spans="1:13" x14ac:dyDescent="0.45">
      <c r="A3979" s="142" t="s">
        <v>13020</v>
      </c>
      <c r="B3979" s="142" t="s">
        <v>15523</v>
      </c>
      <c r="C3979" s="142" t="s">
        <v>15860</v>
      </c>
      <c r="D3979" s="142" t="s">
        <v>15861</v>
      </c>
      <c r="E3979" s="142" t="s">
        <v>15849</v>
      </c>
      <c r="F3979" s="142" t="s">
        <v>3336</v>
      </c>
      <c r="G3979" s="142" t="s">
        <v>3335</v>
      </c>
      <c r="H3979" s="142" t="s">
        <v>19829</v>
      </c>
      <c r="I3979" s="142">
        <v>20</v>
      </c>
      <c r="J3979" s="142">
        <v>0</v>
      </c>
      <c r="K3979" s="142">
        <v>0</v>
      </c>
      <c r="L3979" s="142">
        <v>20</v>
      </c>
      <c r="M3979" s="142">
        <v>0</v>
      </c>
    </row>
    <row r="3980" spans="1:13" x14ac:dyDescent="0.45">
      <c r="A3980" s="142" t="s">
        <v>13023</v>
      </c>
      <c r="B3980" s="142" t="s">
        <v>15571</v>
      </c>
      <c r="C3980" s="142" t="s">
        <v>15847</v>
      </c>
      <c r="D3980" s="142" t="s">
        <v>15848</v>
      </c>
      <c r="E3980" s="142" t="s">
        <v>15849</v>
      </c>
      <c r="F3980" s="142" t="s">
        <v>3336</v>
      </c>
      <c r="G3980" s="142" t="s">
        <v>3335</v>
      </c>
      <c r="H3980" s="142" t="s">
        <v>19830</v>
      </c>
      <c r="I3980" s="142">
        <v>63</v>
      </c>
      <c r="J3980" s="142">
        <v>0</v>
      </c>
      <c r="K3980" s="142">
        <v>0</v>
      </c>
      <c r="L3980" s="142">
        <v>63</v>
      </c>
      <c r="M3980" s="142">
        <v>0</v>
      </c>
    </row>
    <row r="3981" spans="1:13" x14ac:dyDescent="0.45">
      <c r="A3981" s="142" t="s">
        <v>13289</v>
      </c>
      <c r="B3981" s="142" t="s">
        <v>14423</v>
      </c>
      <c r="C3981" s="142" t="s">
        <v>15847</v>
      </c>
      <c r="D3981" s="142" t="s">
        <v>15848</v>
      </c>
      <c r="E3981" s="142" t="s">
        <v>15849</v>
      </c>
      <c r="F3981" s="142" t="s">
        <v>3336</v>
      </c>
      <c r="G3981" s="142" t="s">
        <v>3335</v>
      </c>
      <c r="H3981" s="142" t="s">
        <v>19831</v>
      </c>
      <c r="I3981" s="142">
        <v>24</v>
      </c>
      <c r="J3981" s="142">
        <v>21</v>
      </c>
      <c r="K3981" s="142">
        <v>0</v>
      </c>
      <c r="L3981" s="142">
        <v>0</v>
      </c>
      <c r="M3981" s="142">
        <v>3</v>
      </c>
    </row>
    <row r="3982" spans="1:13" x14ac:dyDescent="0.45">
      <c r="A3982" s="142" t="s">
        <v>13481</v>
      </c>
      <c r="B3982" s="142" t="s">
        <v>15464</v>
      </c>
      <c r="C3982" s="142" t="s">
        <v>15847</v>
      </c>
      <c r="D3982" s="142" t="s">
        <v>15848</v>
      </c>
      <c r="E3982" s="142" t="s">
        <v>15849</v>
      </c>
      <c r="F3982" s="142" t="s">
        <v>3336</v>
      </c>
      <c r="G3982" s="142" t="s">
        <v>3335</v>
      </c>
      <c r="H3982" s="142" t="s">
        <v>19832</v>
      </c>
      <c r="I3982" s="142">
        <v>191</v>
      </c>
      <c r="J3982" s="142">
        <v>165</v>
      </c>
      <c r="K3982" s="142">
        <v>0</v>
      </c>
      <c r="L3982" s="142">
        <v>0</v>
      </c>
      <c r="M3982" s="142">
        <v>26</v>
      </c>
    </row>
    <row r="3983" spans="1:13" x14ac:dyDescent="0.45">
      <c r="A3983" s="142" t="s">
        <v>13024</v>
      </c>
      <c r="B3983" s="142" t="s">
        <v>14538</v>
      </c>
      <c r="C3983" s="142" t="s">
        <v>15847</v>
      </c>
      <c r="D3983" s="142" t="s">
        <v>15848</v>
      </c>
      <c r="E3983" s="142" t="s">
        <v>15849</v>
      </c>
      <c r="F3983" s="142" t="s">
        <v>3336</v>
      </c>
      <c r="G3983" s="142" t="s">
        <v>3335</v>
      </c>
      <c r="H3983" s="142" t="s">
        <v>19833</v>
      </c>
      <c r="I3983" s="142">
        <v>11</v>
      </c>
      <c r="J3983" s="142">
        <v>4</v>
      </c>
      <c r="K3983" s="142">
        <v>0</v>
      </c>
      <c r="L3983" s="142">
        <v>7</v>
      </c>
      <c r="M3983" s="142">
        <v>0</v>
      </c>
    </row>
    <row r="3984" spans="1:13" x14ac:dyDescent="0.45">
      <c r="A3984" s="142" t="s">
        <v>13025</v>
      </c>
      <c r="B3984" s="142" t="s">
        <v>15579</v>
      </c>
      <c r="C3984" s="142" t="s">
        <v>15847</v>
      </c>
      <c r="D3984" s="142" t="s">
        <v>15848</v>
      </c>
      <c r="E3984" s="142" t="s">
        <v>15849</v>
      </c>
      <c r="F3984" s="142" t="s">
        <v>3336</v>
      </c>
      <c r="G3984" s="142" t="s">
        <v>3335</v>
      </c>
      <c r="H3984" s="142" t="s">
        <v>19834</v>
      </c>
      <c r="I3984" s="142">
        <v>4</v>
      </c>
      <c r="J3984" s="142">
        <v>0</v>
      </c>
      <c r="K3984" s="142">
        <v>0</v>
      </c>
      <c r="L3984" s="142">
        <v>4</v>
      </c>
      <c r="M3984" s="142">
        <v>0</v>
      </c>
    </row>
    <row r="3985" spans="1:13" x14ac:dyDescent="0.45">
      <c r="A3985" s="142" t="s">
        <v>13027</v>
      </c>
      <c r="B3985" s="142" t="s">
        <v>14562</v>
      </c>
      <c r="C3985" s="142" t="s">
        <v>15847</v>
      </c>
      <c r="D3985" s="142" t="s">
        <v>15848</v>
      </c>
      <c r="E3985" s="142" t="s">
        <v>15849</v>
      </c>
      <c r="F3985" s="142" t="s">
        <v>3336</v>
      </c>
      <c r="G3985" s="142" t="s">
        <v>3335</v>
      </c>
      <c r="H3985" s="142" t="s">
        <v>19835</v>
      </c>
      <c r="I3985" s="142">
        <v>5</v>
      </c>
      <c r="J3985" s="142">
        <v>0</v>
      </c>
      <c r="K3985" s="142">
        <v>0</v>
      </c>
      <c r="L3985" s="142">
        <v>5</v>
      </c>
      <c r="M3985" s="142">
        <v>0</v>
      </c>
    </row>
    <row r="3986" spans="1:13" x14ac:dyDescent="0.45">
      <c r="A3986" s="142" t="s">
        <v>13148</v>
      </c>
      <c r="B3986" s="142" t="s">
        <v>15314</v>
      </c>
      <c r="C3986" s="142" t="s">
        <v>15847</v>
      </c>
      <c r="D3986" s="142" t="s">
        <v>15848</v>
      </c>
      <c r="E3986" s="142" t="s">
        <v>15849</v>
      </c>
      <c r="F3986" s="142" t="s">
        <v>3336</v>
      </c>
      <c r="G3986" s="142" t="s">
        <v>3335</v>
      </c>
      <c r="H3986" s="142" t="s">
        <v>19836</v>
      </c>
      <c r="I3986" s="142">
        <v>335</v>
      </c>
      <c r="J3986" s="142">
        <v>246</v>
      </c>
      <c r="K3986" s="142">
        <v>0</v>
      </c>
      <c r="L3986" s="142">
        <v>23</v>
      </c>
      <c r="M3986" s="142">
        <v>66</v>
      </c>
    </row>
    <row r="3987" spans="1:13" x14ac:dyDescent="0.45">
      <c r="A3987" s="142" t="s">
        <v>13028</v>
      </c>
      <c r="B3987" s="142" t="s">
        <v>14462</v>
      </c>
      <c r="C3987" s="142" t="s">
        <v>15847</v>
      </c>
      <c r="D3987" s="142" t="s">
        <v>15848</v>
      </c>
      <c r="E3987" s="142" t="s">
        <v>15849</v>
      </c>
      <c r="F3987" s="142" t="s">
        <v>3336</v>
      </c>
      <c r="G3987" s="142" t="s">
        <v>3335</v>
      </c>
      <c r="H3987" s="142" t="s">
        <v>19837</v>
      </c>
      <c r="I3987" s="142">
        <v>22</v>
      </c>
      <c r="J3987" s="142">
        <v>0</v>
      </c>
      <c r="K3987" s="142">
        <v>0</v>
      </c>
      <c r="L3987" s="142">
        <v>0</v>
      </c>
      <c r="M3987" s="142">
        <v>22</v>
      </c>
    </row>
    <row r="3988" spans="1:13" x14ac:dyDescent="0.45">
      <c r="A3988" s="142" t="s">
        <v>13066</v>
      </c>
      <c r="B3988" s="142" t="s">
        <v>14459</v>
      </c>
      <c r="C3988" s="142" t="s">
        <v>15847</v>
      </c>
      <c r="D3988" s="142" t="s">
        <v>15848</v>
      </c>
      <c r="E3988" s="142" t="s">
        <v>15849</v>
      </c>
      <c r="F3988" s="142" t="s">
        <v>3336</v>
      </c>
      <c r="G3988" s="142" t="s">
        <v>3335</v>
      </c>
      <c r="H3988" s="142" t="s">
        <v>19838</v>
      </c>
      <c r="I3988" s="142">
        <v>15</v>
      </c>
      <c r="J3988" s="142">
        <v>0</v>
      </c>
      <c r="K3988" s="142">
        <v>0</v>
      </c>
      <c r="L3988" s="142">
        <v>15</v>
      </c>
      <c r="M3988" s="142">
        <v>0</v>
      </c>
    </row>
    <row r="3989" spans="1:13" x14ac:dyDescent="0.45">
      <c r="A3989" s="142" t="s">
        <v>13412</v>
      </c>
      <c r="B3989" s="142" t="s">
        <v>15587</v>
      </c>
      <c r="C3989" s="142" t="s">
        <v>15847</v>
      </c>
      <c r="D3989" s="142" t="s">
        <v>15848</v>
      </c>
      <c r="E3989" s="142" t="s">
        <v>15849</v>
      </c>
      <c r="F3989" s="142" t="s">
        <v>3336</v>
      </c>
      <c r="G3989" s="142" t="s">
        <v>3335</v>
      </c>
      <c r="H3989" s="142" t="s">
        <v>19839</v>
      </c>
      <c r="I3989" s="142">
        <v>44</v>
      </c>
      <c r="J3989" s="142">
        <v>37</v>
      </c>
      <c r="K3989" s="142">
        <v>0</v>
      </c>
      <c r="L3989" s="142">
        <v>0</v>
      </c>
      <c r="M3989" s="142">
        <v>7</v>
      </c>
    </row>
    <row r="3990" spans="1:13" x14ac:dyDescent="0.45">
      <c r="A3990" s="142" t="s">
        <v>13030</v>
      </c>
      <c r="B3990" s="142" t="s">
        <v>14572</v>
      </c>
      <c r="C3990" s="142" t="s">
        <v>15847</v>
      </c>
      <c r="D3990" s="142" t="s">
        <v>15848</v>
      </c>
      <c r="E3990" s="142" t="s">
        <v>15849</v>
      </c>
      <c r="F3990" s="142" t="s">
        <v>3336</v>
      </c>
      <c r="G3990" s="142" t="s">
        <v>3335</v>
      </c>
      <c r="H3990" s="142" t="s">
        <v>19840</v>
      </c>
      <c r="I3990" s="142">
        <v>93</v>
      </c>
      <c r="J3990" s="142">
        <v>65</v>
      </c>
      <c r="K3990" s="142">
        <v>0</v>
      </c>
      <c r="L3990" s="142">
        <v>0</v>
      </c>
      <c r="M3990" s="142">
        <v>28</v>
      </c>
    </row>
    <row r="3991" spans="1:13" x14ac:dyDescent="0.45">
      <c r="A3991" s="142" t="s">
        <v>13276</v>
      </c>
      <c r="B3991" s="142" t="s">
        <v>15498</v>
      </c>
      <c r="C3991" s="142" t="s">
        <v>15847</v>
      </c>
      <c r="D3991" s="142" t="s">
        <v>15848</v>
      </c>
      <c r="E3991" s="142" t="s">
        <v>15849</v>
      </c>
      <c r="F3991" s="142" t="s">
        <v>3336</v>
      </c>
      <c r="G3991" s="142" t="s">
        <v>3335</v>
      </c>
      <c r="H3991" s="142" t="s">
        <v>19841</v>
      </c>
      <c r="I3991" s="142">
        <v>4</v>
      </c>
      <c r="J3991" s="142">
        <v>0</v>
      </c>
      <c r="K3991" s="142">
        <v>0</v>
      </c>
      <c r="L3991" s="142">
        <v>4</v>
      </c>
      <c r="M3991" s="142">
        <v>0</v>
      </c>
    </row>
    <row r="3992" spans="1:13" x14ac:dyDescent="0.45">
      <c r="A3992" s="142" t="s">
        <v>13032</v>
      </c>
      <c r="B3992" s="142" t="s">
        <v>14532</v>
      </c>
      <c r="C3992" s="142" t="s">
        <v>15860</v>
      </c>
      <c r="D3992" s="142" t="s">
        <v>15861</v>
      </c>
      <c r="E3992" s="142" t="s">
        <v>15849</v>
      </c>
      <c r="F3992" s="142" t="s">
        <v>3336</v>
      </c>
      <c r="G3992" s="142" t="s">
        <v>3335</v>
      </c>
      <c r="H3992" s="142" t="s">
        <v>19842</v>
      </c>
      <c r="I3992" s="142">
        <v>1</v>
      </c>
      <c r="J3992" s="142">
        <v>0</v>
      </c>
      <c r="K3992" s="142">
        <v>0</v>
      </c>
      <c r="L3992" s="142">
        <v>1</v>
      </c>
      <c r="M3992" s="142">
        <v>0</v>
      </c>
    </row>
    <row r="3993" spans="1:13" x14ac:dyDescent="0.45">
      <c r="A3993" s="142" t="s">
        <v>13613</v>
      </c>
      <c r="B3993" s="142" t="s">
        <v>15399</v>
      </c>
      <c r="C3993" s="142" t="s">
        <v>15860</v>
      </c>
      <c r="D3993" s="142" t="s">
        <v>15861</v>
      </c>
      <c r="E3993" s="142" t="s">
        <v>15849</v>
      </c>
      <c r="F3993" s="142" t="s">
        <v>3336</v>
      </c>
      <c r="G3993" s="142" t="s">
        <v>3335</v>
      </c>
      <c r="H3993" s="142" t="s">
        <v>19843</v>
      </c>
      <c r="I3993" s="142">
        <v>20</v>
      </c>
      <c r="J3993" s="142">
        <v>20</v>
      </c>
      <c r="K3993" s="142">
        <v>0</v>
      </c>
      <c r="L3993" s="142">
        <v>0</v>
      </c>
      <c r="M3993" s="142">
        <v>0</v>
      </c>
    </row>
    <row r="3994" spans="1:13" x14ac:dyDescent="0.45">
      <c r="A3994" s="142" t="s">
        <v>13034</v>
      </c>
      <c r="B3994" s="142" t="s">
        <v>15562</v>
      </c>
      <c r="C3994" s="142" t="s">
        <v>15847</v>
      </c>
      <c r="D3994" s="142" t="s">
        <v>15848</v>
      </c>
      <c r="E3994" s="142" t="s">
        <v>15849</v>
      </c>
      <c r="F3994" s="142" t="s">
        <v>3336</v>
      </c>
      <c r="G3994" s="142" t="s">
        <v>3335</v>
      </c>
      <c r="H3994" s="142" t="s">
        <v>19844</v>
      </c>
      <c r="I3994" s="142">
        <v>4</v>
      </c>
      <c r="J3994" s="142">
        <v>4</v>
      </c>
      <c r="K3994" s="142">
        <v>0</v>
      </c>
      <c r="L3994" s="142">
        <v>0</v>
      </c>
      <c r="M3994" s="142">
        <v>0</v>
      </c>
    </row>
    <row r="3995" spans="1:13" x14ac:dyDescent="0.45">
      <c r="A3995" s="142" t="s">
        <v>13105</v>
      </c>
      <c r="B3995" s="142" t="s">
        <v>14654</v>
      </c>
      <c r="C3995" s="142" t="s">
        <v>15847</v>
      </c>
      <c r="D3995" s="142" t="s">
        <v>15848</v>
      </c>
      <c r="E3995" s="142" t="s">
        <v>15849</v>
      </c>
      <c r="F3995" s="142" t="s">
        <v>3336</v>
      </c>
      <c r="G3995" s="142" t="s">
        <v>3335</v>
      </c>
      <c r="H3995" s="142" t="s">
        <v>19845</v>
      </c>
      <c r="I3995" s="142">
        <v>4</v>
      </c>
      <c r="J3995" s="142">
        <v>0</v>
      </c>
      <c r="K3995" s="142">
        <v>0</v>
      </c>
      <c r="L3995" s="142">
        <v>0</v>
      </c>
      <c r="M3995" s="142">
        <v>4</v>
      </c>
    </row>
    <row r="3996" spans="1:13" x14ac:dyDescent="0.45">
      <c r="A3996" s="142" t="s">
        <v>13038</v>
      </c>
      <c r="B3996" s="142" t="s">
        <v>14646</v>
      </c>
      <c r="C3996" s="142" t="s">
        <v>15847</v>
      </c>
      <c r="D3996" s="142" t="s">
        <v>15848</v>
      </c>
      <c r="E3996" s="142" t="s">
        <v>15849</v>
      </c>
      <c r="F3996" s="142" t="s">
        <v>3336</v>
      </c>
      <c r="G3996" s="142" t="s">
        <v>3335</v>
      </c>
      <c r="H3996" s="142" t="s">
        <v>19846</v>
      </c>
      <c r="I3996" s="142">
        <v>69</v>
      </c>
      <c r="J3996" s="142">
        <v>30</v>
      </c>
      <c r="K3996" s="142">
        <v>0</v>
      </c>
      <c r="L3996" s="142">
        <v>0</v>
      </c>
      <c r="M3996" s="142">
        <v>39</v>
      </c>
    </row>
    <row r="3997" spans="1:13" x14ac:dyDescent="0.45">
      <c r="A3997" s="142" t="s">
        <v>13039</v>
      </c>
      <c r="B3997" s="142" t="s">
        <v>14647</v>
      </c>
      <c r="C3997" s="142" t="s">
        <v>15847</v>
      </c>
      <c r="D3997" s="142" t="s">
        <v>15848</v>
      </c>
      <c r="E3997" s="142" t="s">
        <v>15849</v>
      </c>
      <c r="F3997" s="142" t="s">
        <v>3336</v>
      </c>
      <c r="G3997" s="142" t="s">
        <v>3335</v>
      </c>
      <c r="H3997" s="142" t="s">
        <v>19847</v>
      </c>
      <c r="I3997" s="142">
        <v>71</v>
      </c>
      <c r="J3997" s="142">
        <v>71</v>
      </c>
      <c r="K3997" s="142">
        <v>0</v>
      </c>
      <c r="L3997" s="142">
        <v>0</v>
      </c>
      <c r="M3997" s="142">
        <v>0</v>
      </c>
    </row>
    <row r="3998" spans="1:13" x14ac:dyDescent="0.45">
      <c r="A3998" s="142" t="s">
        <v>13009</v>
      </c>
      <c r="B3998" s="142" t="s">
        <v>15256</v>
      </c>
      <c r="C3998" s="142" t="s">
        <v>15847</v>
      </c>
      <c r="D3998" s="142" t="s">
        <v>15848</v>
      </c>
      <c r="E3998" s="142" t="s">
        <v>15849</v>
      </c>
      <c r="F3998" s="142" t="s">
        <v>3336</v>
      </c>
      <c r="G3998" s="142" t="s">
        <v>3335</v>
      </c>
      <c r="H3998" s="142" t="s">
        <v>19848</v>
      </c>
      <c r="I3998" s="142">
        <v>225</v>
      </c>
      <c r="J3998" s="142">
        <v>129</v>
      </c>
      <c r="K3998" s="142">
        <v>0</v>
      </c>
      <c r="L3998" s="142">
        <v>83</v>
      </c>
      <c r="M3998" s="142">
        <v>13</v>
      </c>
    </row>
    <row r="3999" spans="1:13" x14ac:dyDescent="0.45">
      <c r="A3999" s="142" t="s">
        <v>13152</v>
      </c>
      <c r="B3999" s="142" t="s">
        <v>15249</v>
      </c>
      <c r="C3999" s="142" t="s">
        <v>15847</v>
      </c>
      <c r="D3999" s="142" t="s">
        <v>15848</v>
      </c>
      <c r="E3999" s="142" t="s">
        <v>15849</v>
      </c>
      <c r="F3999" s="142" t="s">
        <v>3336</v>
      </c>
      <c r="G3999" s="142" t="s">
        <v>3335</v>
      </c>
      <c r="H3999" s="142" t="s">
        <v>19849</v>
      </c>
      <c r="I3999" s="142">
        <v>34</v>
      </c>
      <c r="J3999" s="142">
        <v>0</v>
      </c>
      <c r="K3999" s="142">
        <v>0</v>
      </c>
      <c r="L3999" s="142">
        <v>34</v>
      </c>
      <c r="M3999" s="142">
        <v>0</v>
      </c>
    </row>
    <row r="4000" spans="1:13" x14ac:dyDescent="0.45">
      <c r="A4000" s="142" t="s">
        <v>13041</v>
      </c>
      <c r="B4000" s="142" t="s">
        <v>14441</v>
      </c>
      <c r="C4000" s="142" t="s">
        <v>15847</v>
      </c>
      <c r="D4000" s="142" t="s">
        <v>15848</v>
      </c>
      <c r="E4000" s="142" t="s">
        <v>15849</v>
      </c>
      <c r="F4000" s="142" t="s">
        <v>3336</v>
      </c>
      <c r="G4000" s="142" t="s">
        <v>3335</v>
      </c>
      <c r="H4000" s="142" t="s">
        <v>19850</v>
      </c>
      <c r="I4000" s="142">
        <v>29</v>
      </c>
      <c r="J4000" s="142">
        <v>0</v>
      </c>
      <c r="K4000" s="142">
        <v>0</v>
      </c>
      <c r="L4000" s="142">
        <v>0</v>
      </c>
      <c r="M4000" s="142">
        <v>29</v>
      </c>
    </row>
    <row r="4001" spans="1:13" x14ac:dyDescent="0.45">
      <c r="A4001" s="142" t="s">
        <v>13012</v>
      </c>
      <c r="B4001" s="142" t="s">
        <v>15337</v>
      </c>
      <c r="C4001" s="142" t="s">
        <v>15847</v>
      </c>
      <c r="D4001" s="142" t="s">
        <v>15848</v>
      </c>
      <c r="E4001" s="142" t="s">
        <v>15849</v>
      </c>
      <c r="F4001" s="142" t="s">
        <v>3336</v>
      </c>
      <c r="G4001" s="142" t="s">
        <v>3335</v>
      </c>
      <c r="H4001" s="142" t="s">
        <v>19851</v>
      </c>
      <c r="I4001" s="142">
        <v>39</v>
      </c>
      <c r="J4001" s="142">
        <v>0</v>
      </c>
      <c r="K4001" s="142">
        <v>0</v>
      </c>
      <c r="L4001" s="142">
        <v>39</v>
      </c>
      <c r="M4001" s="142">
        <v>0</v>
      </c>
    </row>
    <row r="4002" spans="1:13" x14ac:dyDescent="0.45">
      <c r="A4002" s="142" t="s">
        <v>13014</v>
      </c>
      <c r="B4002" s="142" t="s">
        <v>14505</v>
      </c>
      <c r="C4002" s="142" t="s">
        <v>15847</v>
      </c>
      <c r="D4002" s="142" t="s">
        <v>15848</v>
      </c>
      <c r="E4002" s="142" t="s">
        <v>15849</v>
      </c>
      <c r="F4002" s="142" t="s">
        <v>3336</v>
      </c>
      <c r="G4002" s="142" t="s">
        <v>3335</v>
      </c>
      <c r="H4002" s="142" t="s">
        <v>19852</v>
      </c>
      <c r="I4002" s="142">
        <v>393</v>
      </c>
      <c r="J4002" s="142">
        <v>259</v>
      </c>
      <c r="K4002" s="142">
        <v>1</v>
      </c>
      <c r="L4002" s="142">
        <v>92</v>
      </c>
      <c r="M4002" s="142">
        <v>41</v>
      </c>
    </row>
    <row r="4003" spans="1:13" x14ac:dyDescent="0.45">
      <c r="A4003" s="142" t="s">
        <v>13286</v>
      </c>
      <c r="B4003" s="142" t="s">
        <v>15342</v>
      </c>
      <c r="C4003" s="142" t="s">
        <v>15847</v>
      </c>
      <c r="D4003" s="142" t="s">
        <v>15848</v>
      </c>
      <c r="E4003" s="142" t="s">
        <v>15849</v>
      </c>
      <c r="F4003" s="142" t="s">
        <v>3336</v>
      </c>
      <c r="G4003" s="142" t="s">
        <v>3335</v>
      </c>
      <c r="H4003" s="142" t="s">
        <v>19853</v>
      </c>
      <c r="I4003" s="142">
        <v>171</v>
      </c>
      <c r="J4003" s="142">
        <v>160</v>
      </c>
      <c r="K4003" s="142">
        <v>0</v>
      </c>
      <c r="L4003" s="142">
        <v>0</v>
      </c>
      <c r="M4003" s="142">
        <v>11</v>
      </c>
    </row>
    <row r="4004" spans="1:13" x14ac:dyDescent="0.45">
      <c r="A4004" s="142" t="s">
        <v>13110</v>
      </c>
      <c r="B4004" s="142" t="s">
        <v>15502</v>
      </c>
      <c r="C4004" s="142" t="s">
        <v>15847</v>
      </c>
      <c r="D4004" s="142" t="s">
        <v>15848</v>
      </c>
      <c r="E4004" s="142" t="s">
        <v>15849</v>
      </c>
      <c r="F4004" s="142" t="s">
        <v>11860</v>
      </c>
      <c r="G4004" s="142" t="s">
        <v>11859</v>
      </c>
      <c r="H4004" s="142" t="s">
        <v>19854</v>
      </c>
      <c r="I4004" s="142">
        <v>926</v>
      </c>
      <c r="J4004" s="142">
        <v>669</v>
      </c>
      <c r="K4004" s="142">
        <v>0</v>
      </c>
      <c r="L4004" s="142">
        <v>176</v>
      </c>
      <c r="M4004" s="142">
        <v>81</v>
      </c>
    </row>
    <row r="4005" spans="1:13" x14ac:dyDescent="0.45">
      <c r="A4005" s="142" t="s">
        <v>13308</v>
      </c>
      <c r="B4005" s="142" t="s">
        <v>15608</v>
      </c>
      <c r="C4005" s="142" t="s">
        <v>15847</v>
      </c>
      <c r="D4005" s="142" t="s">
        <v>15848</v>
      </c>
      <c r="E4005" s="142" t="s">
        <v>15849</v>
      </c>
      <c r="F4005" s="142" t="s">
        <v>11860</v>
      </c>
      <c r="G4005" s="142" t="s">
        <v>11859</v>
      </c>
      <c r="H4005" s="142" t="s">
        <v>19855</v>
      </c>
      <c r="I4005" s="142">
        <v>35</v>
      </c>
      <c r="J4005" s="142">
        <v>0</v>
      </c>
      <c r="K4005" s="142">
        <v>0</v>
      </c>
      <c r="L4005" s="142">
        <v>0</v>
      </c>
      <c r="M4005" s="142">
        <v>35</v>
      </c>
    </row>
    <row r="4006" spans="1:13" x14ac:dyDescent="0.45">
      <c r="A4006" s="142" t="s">
        <v>13166</v>
      </c>
      <c r="B4006" s="142" t="s">
        <v>15576</v>
      </c>
      <c r="C4006" s="142" t="s">
        <v>15847</v>
      </c>
      <c r="D4006" s="142" t="s">
        <v>15848</v>
      </c>
      <c r="E4006" s="142" t="s">
        <v>15849</v>
      </c>
      <c r="F4006" s="142" t="s">
        <v>11860</v>
      </c>
      <c r="G4006" s="142" t="s">
        <v>11859</v>
      </c>
      <c r="H4006" s="142" t="s">
        <v>19856</v>
      </c>
      <c r="I4006" s="142">
        <v>610</v>
      </c>
      <c r="J4006" s="142">
        <v>563</v>
      </c>
      <c r="K4006" s="142">
        <v>0</v>
      </c>
      <c r="L4006" s="142">
        <v>0</v>
      </c>
      <c r="M4006" s="142">
        <v>47</v>
      </c>
    </row>
    <row r="4007" spans="1:13" x14ac:dyDescent="0.45">
      <c r="A4007" s="142" t="s">
        <v>13046</v>
      </c>
      <c r="B4007" s="142" t="s">
        <v>15537</v>
      </c>
      <c r="C4007" s="142" t="s">
        <v>15860</v>
      </c>
      <c r="D4007" s="142" t="s">
        <v>15861</v>
      </c>
      <c r="E4007" s="142" t="s">
        <v>15849</v>
      </c>
      <c r="F4007" s="142" t="s">
        <v>11860</v>
      </c>
      <c r="G4007" s="142" t="s">
        <v>11859</v>
      </c>
      <c r="H4007" s="142" t="s">
        <v>19857</v>
      </c>
      <c r="I4007" s="142">
        <v>14</v>
      </c>
      <c r="J4007" s="142">
        <v>0</v>
      </c>
      <c r="K4007" s="142">
        <v>0</v>
      </c>
      <c r="L4007" s="142">
        <v>14</v>
      </c>
      <c r="M4007" s="142">
        <v>0</v>
      </c>
    </row>
    <row r="4008" spans="1:13" x14ac:dyDescent="0.45">
      <c r="A4008" s="142" t="s">
        <v>13023</v>
      </c>
      <c r="B4008" s="142" t="s">
        <v>15571</v>
      </c>
      <c r="C4008" s="142" t="s">
        <v>15847</v>
      </c>
      <c r="D4008" s="142" t="s">
        <v>15848</v>
      </c>
      <c r="E4008" s="142" t="s">
        <v>15849</v>
      </c>
      <c r="F4008" s="142" t="s">
        <v>11860</v>
      </c>
      <c r="G4008" s="142" t="s">
        <v>11859</v>
      </c>
      <c r="H4008" s="142" t="s">
        <v>19858</v>
      </c>
      <c r="I4008" s="142">
        <v>219</v>
      </c>
      <c r="J4008" s="142">
        <v>0</v>
      </c>
      <c r="K4008" s="142">
        <v>0</v>
      </c>
      <c r="L4008" s="142">
        <v>206</v>
      </c>
      <c r="M4008" s="142">
        <v>13</v>
      </c>
    </row>
    <row r="4009" spans="1:13" x14ac:dyDescent="0.45">
      <c r="A4009" s="142" t="s">
        <v>13082</v>
      </c>
      <c r="B4009" s="142" t="s">
        <v>14478</v>
      </c>
      <c r="C4009" s="142" t="s">
        <v>15860</v>
      </c>
      <c r="D4009" s="142" t="s">
        <v>15861</v>
      </c>
      <c r="E4009" s="142" t="s">
        <v>15849</v>
      </c>
      <c r="F4009" s="142" t="s">
        <v>11860</v>
      </c>
      <c r="G4009" s="142" t="s">
        <v>11859</v>
      </c>
      <c r="H4009" s="142" t="s">
        <v>19859</v>
      </c>
      <c r="I4009" s="142">
        <v>5</v>
      </c>
      <c r="J4009" s="142">
        <v>0</v>
      </c>
      <c r="K4009" s="142">
        <v>0</v>
      </c>
      <c r="L4009" s="142">
        <v>5</v>
      </c>
      <c r="M4009" s="142">
        <v>0</v>
      </c>
    </row>
    <row r="4010" spans="1:13" x14ac:dyDescent="0.45">
      <c r="A4010" s="142" t="s">
        <v>13065</v>
      </c>
      <c r="B4010" s="142" t="s">
        <v>14497</v>
      </c>
      <c r="C4010" s="142" t="s">
        <v>15847</v>
      </c>
      <c r="D4010" s="142" t="s">
        <v>15848</v>
      </c>
      <c r="E4010" s="142" t="s">
        <v>15849</v>
      </c>
      <c r="F4010" s="142" t="s">
        <v>11860</v>
      </c>
      <c r="G4010" s="142" t="s">
        <v>11859</v>
      </c>
      <c r="H4010" s="142" t="s">
        <v>19860</v>
      </c>
      <c r="I4010" s="142">
        <v>11</v>
      </c>
      <c r="J4010" s="142">
        <v>0</v>
      </c>
      <c r="K4010" s="142">
        <v>0</v>
      </c>
      <c r="L4010" s="142">
        <v>11</v>
      </c>
      <c r="M4010" s="142">
        <v>0</v>
      </c>
    </row>
    <row r="4011" spans="1:13" x14ac:dyDescent="0.45">
      <c r="A4011" s="142" t="s">
        <v>13433</v>
      </c>
      <c r="B4011" s="142" t="s">
        <v>15167</v>
      </c>
      <c r="C4011" s="142" t="s">
        <v>15847</v>
      </c>
      <c r="D4011" s="142" t="s">
        <v>15848</v>
      </c>
      <c r="E4011" s="142" t="s">
        <v>15849</v>
      </c>
      <c r="F4011" s="142" t="s">
        <v>11860</v>
      </c>
      <c r="G4011" s="142" t="s">
        <v>11859</v>
      </c>
      <c r="H4011" s="142" t="s">
        <v>19861</v>
      </c>
      <c r="I4011" s="142">
        <v>81</v>
      </c>
      <c r="J4011" s="142">
        <v>4</v>
      </c>
      <c r="K4011" s="142">
        <v>0</v>
      </c>
      <c r="L4011" s="142">
        <v>77</v>
      </c>
      <c r="M4011" s="142">
        <v>0</v>
      </c>
    </row>
    <row r="4012" spans="1:13" x14ac:dyDescent="0.45">
      <c r="A4012" s="142" t="s">
        <v>13632</v>
      </c>
      <c r="B4012" s="142" t="s">
        <v>15080</v>
      </c>
      <c r="C4012" s="142" t="s">
        <v>15860</v>
      </c>
      <c r="D4012" s="142" t="s">
        <v>15861</v>
      </c>
      <c r="E4012" s="142" t="s">
        <v>15849</v>
      </c>
      <c r="F4012" s="142" t="s">
        <v>11860</v>
      </c>
      <c r="G4012" s="142" t="s">
        <v>11859</v>
      </c>
      <c r="H4012" s="142" t="s">
        <v>19862</v>
      </c>
      <c r="I4012" s="142">
        <v>57</v>
      </c>
      <c r="J4012" s="142">
        <v>57</v>
      </c>
      <c r="K4012" s="142">
        <v>0</v>
      </c>
      <c r="L4012" s="142">
        <v>0</v>
      </c>
      <c r="M4012" s="142">
        <v>0</v>
      </c>
    </row>
    <row r="4013" spans="1:13" x14ac:dyDescent="0.45">
      <c r="A4013" s="142" t="s">
        <v>13098</v>
      </c>
      <c r="B4013" s="142" t="s">
        <v>14528</v>
      </c>
      <c r="C4013" s="142" t="s">
        <v>15860</v>
      </c>
      <c r="D4013" s="142" t="s">
        <v>15861</v>
      </c>
      <c r="E4013" s="142" t="s">
        <v>15849</v>
      </c>
      <c r="F4013" s="142" t="s">
        <v>11860</v>
      </c>
      <c r="G4013" s="142" t="s">
        <v>11859</v>
      </c>
      <c r="H4013" s="142" t="s">
        <v>19863</v>
      </c>
      <c r="I4013" s="142">
        <v>20</v>
      </c>
      <c r="J4013" s="142">
        <v>16</v>
      </c>
      <c r="K4013" s="142">
        <v>4</v>
      </c>
      <c r="L4013" s="142">
        <v>0</v>
      </c>
      <c r="M4013" s="142">
        <v>0</v>
      </c>
    </row>
    <row r="4014" spans="1:13" x14ac:dyDescent="0.45">
      <c r="A4014" s="142" t="s">
        <v>13777</v>
      </c>
      <c r="B4014" s="142" t="s">
        <v>15106</v>
      </c>
      <c r="C4014" s="142" t="s">
        <v>15860</v>
      </c>
      <c r="D4014" s="142" t="s">
        <v>15861</v>
      </c>
      <c r="E4014" s="142" t="s">
        <v>15849</v>
      </c>
      <c r="F4014" s="142" t="s">
        <v>11860</v>
      </c>
      <c r="G4014" s="142" t="s">
        <v>11859</v>
      </c>
      <c r="H4014" s="142" t="s">
        <v>19864</v>
      </c>
      <c r="I4014" s="142">
        <v>6</v>
      </c>
      <c r="J4014" s="142">
        <v>6</v>
      </c>
      <c r="K4014" s="142">
        <v>0</v>
      </c>
      <c r="L4014" s="142">
        <v>0</v>
      </c>
      <c r="M4014" s="142">
        <v>0</v>
      </c>
    </row>
    <row r="4015" spans="1:13" x14ac:dyDescent="0.45">
      <c r="A4015" s="142" t="s">
        <v>13027</v>
      </c>
      <c r="B4015" s="142" t="s">
        <v>14562</v>
      </c>
      <c r="C4015" s="142" t="s">
        <v>15847</v>
      </c>
      <c r="D4015" s="142" t="s">
        <v>15848</v>
      </c>
      <c r="E4015" s="142" t="s">
        <v>15849</v>
      </c>
      <c r="F4015" s="142" t="s">
        <v>11860</v>
      </c>
      <c r="G4015" s="142" t="s">
        <v>11859</v>
      </c>
      <c r="H4015" s="142" t="s">
        <v>19865</v>
      </c>
      <c r="I4015" s="142">
        <v>1</v>
      </c>
      <c r="J4015" s="142">
        <v>0</v>
      </c>
      <c r="K4015" s="142">
        <v>0</v>
      </c>
      <c r="L4015" s="142">
        <v>1</v>
      </c>
      <c r="M4015" s="142">
        <v>0</v>
      </c>
    </row>
    <row r="4016" spans="1:13" x14ac:dyDescent="0.45">
      <c r="A4016" s="142" t="s">
        <v>13398</v>
      </c>
      <c r="B4016" s="142" t="s">
        <v>15297</v>
      </c>
      <c r="C4016" s="142" t="s">
        <v>15860</v>
      </c>
      <c r="D4016" s="142" t="s">
        <v>15861</v>
      </c>
      <c r="E4016" s="142" t="s">
        <v>15849</v>
      </c>
      <c r="F4016" s="142" t="s">
        <v>11860</v>
      </c>
      <c r="G4016" s="142" t="s">
        <v>11859</v>
      </c>
      <c r="H4016" s="142" t="s">
        <v>19866</v>
      </c>
      <c r="I4016" s="142">
        <v>60</v>
      </c>
      <c r="J4016" s="142">
        <v>60</v>
      </c>
      <c r="K4016" s="142">
        <v>0</v>
      </c>
      <c r="L4016" s="142">
        <v>0</v>
      </c>
      <c r="M4016" s="142">
        <v>0</v>
      </c>
    </row>
    <row r="4017" spans="1:13" x14ac:dyDescent="0.45">
      <c r="A4017" s="142" t="s">
        <v>13001</v>
      </c>
      <c r="B4017" s="142" t="s">
        <v>15506</v>
      </c>
      <c r="C4017" s="142" t="s">
        <v>15847</v>
      </c>
      <c r="D4017" s="142" t="s">
        <v>15848</v>
      </c>
      <c r="E4017" s="142" t="s">
        <v>15849</v>
      </c>
      <c r="F4017" s="142" t="s">
        <v>11860</v>
      </c>
      <c r="G4017" s="142" t="s">
        <v>11859</v>
      </c>
      <c r="H4017" s="142" t="s">
        <v>19867</v>
      </c>
      <c r="I4017" s="142">
        <v>56</v>
      </c>
      <c r="J4017" s="142">
        <v>16</v>
      </c>
      <c r="K4017" s="142">
        <v>0</v>
      </c>
      <c r="L4017" s="142">
        <v>40</v>
      </c>
      <c r="M4017" s="142">
        <v>0</v>
      </c>
    </row>
    <row r="4018" spans="1:13" x14ac:dyDescent="0.45">
      <c r="A4018" s="142" t="s">
        <v>13778</v>
      </c>
      <c r="B4018" s="142" t="s">
        <v>14933</v>
      </c>
      <c r="C4018" s="142" t="s">
        <v>15860</v>
      </c>
      <c r="D4018" s="142" t="s">
        <v>15861</v>
      </c>
      <c r="E4018" s="142" t="s">
        <v>15849</v>
      </c>
      <c r="F4018" s="142" t="s">
        <v>11860</v>
      </c>
      <c r="G4018" s="142" t="s">
        <v>11859</v>
      </c>
      <c r="H4018" s="142" t="s">
        <v>19868</v>
      </c>
      <c r="I4018" s="142">
        <v>16</v>
      </c>
      <c r="J4018" s="142">
        <v>16</v>
      </c>
      <c r="K4018" s="142">
        <v>0</v>
      </c>
      <c r="L4018" s="142">
        <v>0</v>
      </c>
      <c r="M4018" s="142">
        <v>0</v>
      </c>
    </row>
    <row r="4019" spans="1:13" x14ac:dyDescent="0.45">
      <c r="A4019" s="142" t="s">
        <v>13050</v>
      </c>
      <c r="B4019" s="142" t="s">
        <v>15237</v>
      </c>
      <c r="C4019" s="142" t="s">
        <v>15847</v>
      </c>
      <c r="D4019" s="142" t="s">
        <v>15848</v>
      </c>
      <c r="E4019" s="142" t="s">
        <v>15849</v>
      </c>
      <c r="F4019" s="142" t="s">
        <v>11860</v>
      </c>
      <c r="G4019" s="142" t="s">
        <v>11859</v>
      </c>
      <c r="H4019" s="142" t="s">
        <v>19869</v>
      </c>
      <c r="I4019" s="142">
        <v>4</v>
      </c>
      <c r="J4019" s="142">
        <v>3</v>
      </c>
      <c r="K4019" s="142">
        <v>0</v>
      </c>
      <c r="L4019" s="142">
        <v>0</v>
      </c>
      <c r="M4019" s="142">
        <v>1</v>
      </c>
    </row>
    <row r="4020" spans="1:13" x14ac:dyDescent="0.45">
      <c r="A4020" s="142" t="s">
        <v>13002</v>
      </c>
      <c r="B4020" s="142" t="s">
        <v>15376</v>
      </c>
      <c r="C4020" s="142" t="s">
        <v>15847</v>
      </c>
      <c r="D4020" s="142" t="s">
        <v>15848</v>
      </c>
      <c r="E4020" s="142" t="s">
        <v>15849</v>
      </c>
      <c r="F4020" s="142" t="s">
        <v>11860</v>
      </c>
      <c r="G4020" s="142" t="s">
        <v>11859</v>
      </c>
      <c r="H4020" s="142" t="s">
        <v>19870</v>
      </c>
      <c r="I4020" s="142">
        <v>408</v>
      </c>
      <c r="J4020" s="142">
        <v>248</v>
      </c>
      <c r="K4020" s="142">
        <v>0</v>
      </c>
      <c r="L4020" s="142">
        <v>90</v>
      </c>
      <c r="M4020" s="142">
        <v>70</v>
      </c>
    </row>
    <row r="4021" spans="1:13" x14ac:dyDescent="0.45">
      <c r="A4021" s="142" t="s">
        <v>13066</v>
      </c>
      <c r="B4021" s="142" t="s">
        <v>14459</v>
      </c>
      <c r="C4021" s="142" t="s">
        <v>15847</v>
      </c>
      <c r="D4021" s="142" t="s">
        <v>15848</v>
      </c>
      <c r="E4021" s="142" t="s">
        <v>15849</v>
      </c>
      <c r="F4021" s="142" t="s">
        <v>11860</v>
      </c>
      <c r="G4021" s="142" t="s">
        <v>11859</v>
      </c>
      <c r="H4021" s="142" t="s">
        <v>19871</v>
      </c>
      <c r="I4021" s="142">
        <v>4</v>
      </c>
      <c r="J4021" s="142">
        <v>0</v>
      </c>
      <c r="K4021" s="142">
        <v>0</v>
      </c>
      <c r="L4021" s="142">
        <v>4</v>
      </c>
      <c r="M4021" s="142">
        <v>0</v>
      </c>
    </row>
    <row r="4022" spans="1:13" x14ac:dyDescent="0.45">
      <c r="A4022" s="142" t="s">
        <v>13124</v>
      </c>
      <c r="B4022" s="142" t="s">
        <v>15554</v>
      </c>
      <c r="C4022" s="142" t="s">
        <v>15860</v>
      </c>
      <c r="D4022" s="142" t="s">
        <v>15861</v>
      </c>
      <c r="E4022" s="142" t="s">
        <v>15849</v>
      </c>
      <c r="F4022" s="142" t="s">
        <v>11860</v>
      </c>
      <c r="G4022" s="142" t="s">
        <v>11859</v>
      </c>
      <c r="H4022" s="142" t="s">
        <v>19872</v>
      </c>
      <c r="I4022" s="142">
        <v>1</v>
      </c>
      <c r="J4022" s="142">
        <v>1</v>
      </c>
      <c r="K4022" s="142">
        <v>0</v>
      </c>
      <c r="L4022" s="142">
        <v>0</v>
      </c>
      <c r="M4022" s="142">
        <v>0</v>
      </c>
    </row>
    <row r="4023" spans="1:13" x14ac:dyDescent="0.45">
      <c r="A4023" s="142" t="s">
        <v>13127</v>
      </c>
      <c r="B4023" s="142" t="s">
        <v>15549</v>
      </c>
      <c r="C4023" s="142" t="s">
        <v>15847</v>
      </c>
      <c r="D4023" s="142" t="s">
        <v>15848</v>
      </c>
      <c r="E4023" s="142" t="s">
        <v>15849</v>
      </c>
      <c r="F4023" s="142" t="s">
        <v>11860</v>
      </c>
      <c r="G4023" s="142" t="s">
        <v>11859</v>
      </c>
      <c r="H4023" s="142" t="s">
        <v>19873</v>
      </c>
      <c r="I4023" s="142">
        <v>380</v>
      </c>
      <c r="J4023" s="142">
        <v>356</v>
      </c>
      <c r="K4023" s="142">
        <v>0</v>
      </c>
      <c r="L4023" s="142">
        <v>0</v>
      </c>
      <c r="M4023" s="142">
        <v>24</v>
      </c>
    </row>
    <row r="4024" spans="1:13" x14ac:dyDescent="0.45">
      <c r="A4024" s="142" t="s">
        <v>13005</v>
      </c>
      <c r="B4024" s="142" t="s">
        <v>15475</v>
      </c>
      <c r="C4024" s="142" t="s">
        <v>15847</v>
      </c>
      <c r="D4024" s="142" t="s">
        <v>15848</v>
      </c>
      <c r="E4024" s="142" t="s">
        <v>15849</v>
      </c>
      <c r="F4024" s="142" t="s">
        <v>11860</v>
      </c>
      <c r="G4024" s="142" t="s">
        <v>11859</v>
      </c>
      <c r="H4024" s="142" t="s">
        <v>19874</v>
      </c>
      <c r="I4024" s="142">
        <v>406</v>
      </c>
      <c r="J4024" s="142">
        <v>245</v>
      </c>
      <c r="K4024" s="142">
        <v>0</v>
      </c>
      <c r="L4024" s="142">
        <v>0</v>
      </c>
      <c r="M4024" s="142">
        <v>161</v>
      </c>
    </row>
    <row r="4025" spans="1:13" x14ac:dyDescent="0.45">
      <c r="A4025" s="142" t="s">
        <v>13101</v>
      </c>
      <c r="B4025" s="142" t="s">
        <v>15491</v>
      </c>
      <c r="C4025" s="142" t="s">
        <v>15847</v>
      </c>
      <c r="D4025" s="142" t="s">
        <v>15848</v>
      </c>
      <c r="E4025" s="142" t="s">
        <v>15849</v>
      </c>
      <c r="F4025" s="142" t="s">
        <v>11860</v>
      </c>
      <c r="G4025" s="142" t="s">
        <v>11859</v>
      </c>
      <c r="H4025" s="142" t="s">
        <v>19875</v>
      </c>
      <c r="I4025" s="142">
        <v>9</v>
      </c>
      <c r="J4025" s="142">
        <v>0</v>
      </c>
      <c r="K4025" s="142">
        <v>0</v>
      </c>
      <c r="L4025" s="142">
        <v>9</v>
      </c>
      <c r="M4025" s="142">
        <v>0</v>
      </c>
    </row>
    <row r="4026" spans="1:13" x14ac:dyDescent="0.45">
      <c r="A4026" s="142" t="s">
        <v>13006</v>
      </c>
      <c r="B4026" s="142" t="s">
        <v>15288</v>
      </c>
      <c r="C4026" s="142" t="s">
        <v>15847</v>
      </c>
      <c r="D4026" s="142" t="s">
        <v>15848</v>
      </c>
      <c r="E4026" s="142" t="s">
        <v>15849</v>
      </c>
      <c r="F4026" s="142" t="s">
        <v>11860</v>
      </c>
      <c r="G4026" s="142" t="s">
        <v>11859</v>
      </c>
      <c r="H4026" s="142" t="s">
        <v>19876</v>
      </c>
      <c r="I4026" s="142">
        <v>564</v>
      </c>
      <c r="J4026" s="142">
        <v>287</v>
      </c>
      <c r="K4026" s="142">
        <v>226</v>
      </c>
      <c r="L4026" s="142">
        <v>0</v>
      </c>
      <c r="M4026" s="142">
        <v>51</v>
      </c>
    </row>
    <row r="4027" spans="1:13" x14ac:dyDescent="0.45">
      <c r="A4027" s="142" t="s">
        <v>13103</v>
      </c>
      <c r="B4027" s="142" t="s">
        <v>14623</v>
      </c>
      <c r="C4027" s="142" t="s">
        <v>15847</v>
      </c>
      <c r="D4027" s="142" t="s">
        <v>15848</v>
      </c>
      <c r="E4027" s="142" t="s">
        <v>15849</v>
      </c>
      <c r="F4027" s="142" t="s">
        <v>11860</v>
      </c>
      <c r="G4027" s="142" t="s">
        <v>11859</v>
      </c>
      <c r="H4027" s="142" t="s">
        <v>19877</v>
      </c>
      <c r="I4027" s="142">
        <v>689</v>
      </c>
      <c r="J4027" s="142">
        <v>631</v>
      </c>
      <c r="K4027" s="142">
        <v>0</v>
      </c>
      <c r="L4027" s="142">
        <v>29</v>
      </c>
      <c r="M4027" s="142">
        <v>29</v>
      </c>
    </row>
    <row r="4028" spans="1:13" x14ac:dyDescent="0.45">
      <c r="A4028" s="142" t="s">
        <v>13054</v>
      </c>
      <c r="B4028" s="142" t="s">
        <v>15604</v>
      </c>
      <c r="C4028" s="142" t="s">
        <v>15847</v>
      </c>
      <c r="D4028" s="142" t="s">
        <v>15848</v>
      </c>
      <c r="E4028" s="142" t="s">
        <v>15849</v>
      </c>
      <c r="F4028" s="142" t="s">
        <v>11860</v>
      </c>
      <c r="G4028" s="142" t="s">
        <v>11859</v>
      </c>
      <c r="H4028" s="142" t="s">
        <v>19878</v>
      </c>
      <c r="I4028" s="142">
        <v>132</v>
      </c>
      <c r="J4028" s="142">
        <v>0</v>
      </c>
      <c r="K4028" s="142">
        <v>0</v>
      </c>
      <c r="L4028" s="142">
        <v>0</v>
      </c>
      <c r="M4028" s="142">
        <v>132</v>
      </c>
    </row>
    <row r="4029" spans="1:13" x14ac:dyDescent="0.45">
      <c r="A4029" s="142" t="s">
        <v>13340</v>
      </c>
      <c r="B4029" s="142" t="s">
        <v>14499</v>
      </c>
      <c r="C4029" s="142" t="s">
        <v>15860</v>
      </c>
      <c r="D4029" s="142" t="s">
        <v>15861</v>
      </c>
      <c r="E4029" s="142" t="s">
        <v>15849</v>
      </c>
      <c r="F4029" s="142" t="s">
        <v>11860</v>
      </c>
      <c r="G4029" s="142" t="s">
        <v>11859</v>
      </c>
      <c r="H4029" s="142" t="s">
        <v>19879</v>
      </c>
      <c r="I4029" s="142">
        <v>29</v>
      </c>
      <c r="J4029" s="142">
        <v>29</v>
      </c>
      <c r="K4029" s="142">
        <v>0</v>
      </c>
      <c r="L4029" s="142">
        <v>0</v>
      </c>
      <c r="M4029" s="142">
        <v>0</v>
      </c>
    </row>
    <row r="4030" spans="1:13" x14ac:dyDescent="0.45">
      <c r="A4030" s="142" t="s">
        <v>13135</v>
      </c>
      <c r="B4030" s="142" t="s">
        <v>15575</v>
      </c>
      <c r="C4030" s="142" t="s">
        <v>15847</v>
      </c>
      <c r="D4030" s="142" t="s">
        <v>15848</v>
      </c>
      <c r="E4030" s="142" t="s">
        <v>15849</v>
      </c>
      <c r="F4030" s="142" t="s">
        <v>11860</v>
      </c>
      <c r="G4030" s="142" t="s">
        <v>11859</v>
      </c>
      <c r="H4030" s="142" t="s">
        <v>19880</v>
      </c>
      <c r="I4030" s="142">
        <v>444</v>
      </c>
      <c r="J4030" s="142">
        <v>430</v>
      </c>
      <c r="K4030" s="142">
        <v>0</v>
      </c>
      <c r="L4030" s="142">
        <v>0</v>
      </c>
      <c r="M4030" s="142">
        <v>14</v>
      </c>
    </row>
    <row r="4031" spans="1:13" x14ac:dyDescent="0.45">
      <c r="A4031" s="142" t="s">
        <v>13055</v>
      </c>
      <c r="B4031" s="142" t="s">
        <v>14595</v>
      </c>
      <c r="C4031" s="142" t="s">
        <v>15847</v>
      </c>
      <c r="D4031" s="142" t="s">
        <v>15848</v>
      </c>
      <c r="E4031" s="142" t="s">
        <v>15849</v>
      </c>
      <c r="F4031" s="142" t="s">
        <v>11860</v>
      </c>
      <c r="G4031" s="142" t="s">
        <v>11859</v>
      </c>
      <c r="H4031" s="142" t="s">
        <v>19881</v>
      </c>
      <c r="I4031" s="142">
        <v>39</v>
      </c>
      <c r="J4031" s="142">
        <v>37</v>
      </c>
      <c r="K4031" s="142">
        <v>0</v>
      </c>
      <c r="L4031" s="142">
        <v>0</v>
      </c>
      <c r="M4031" s="142">
        <v>2</v>
      </c>
    </row>
    <row r="4032" spans="1:13" x14ac:dyDescent="0.45">
      <c r="A4032" s="142" t="s">
        <v>13104</v>
      </c>
      <c r="B4032" s="142" t="s">
        <v>14622</v>
      </c>
      <c r="C4032" s="142" t="s">
        <v>15847</v>
      </c>
      <c r="D4032" s="142" t="s">
        <v>15848</v>
      </c>
      <c r="E4032" s="142" t="s">
        <v>15849</v>
      </c>
      <c r="F4032" s="142" t="s">
        <v>11860</v>
      </c>
      <c r="G4032" s="142" t="s">
        <v>11859</v>
      </c>
      <c r="H4032" s="142" t="s">
        <v>19882</v>
      </c>
      <c r="I4032" s="142">
        <v>1745</v>
      </c>
      <c r="J4032" s="142">
        <v>1380</v>
      </c>
      <c r="K4032" s="142">
        <v>0</v>
      </c>
      <c r="L4032" s="142">
        <v>67</v>
      </c>
      <c r="M4032" s="142">
        <v>298</v>
      </c>
    </row>
    <row r="4033" spans="1:13" x14ac:dyDescent="0.45">
      <c r="A4033" s="142" t="s">
        <v>13388</v>
      </c>
      <c r="B4033" s="142" t="s">
        <v>14484</v>
      </c>
      <c r="C4033" s="142" t="s">
        <v>15860</v>
      </c>
      <c r="D4033" s="142" t="s">
        <v>15861</v>
      </c>
      <c r="E4033" s="142" t="s">
        <v>15849</v>
      </c>
      <c r="F4033" s="142" t="s">
        <v>11860</v>
      </c>
      <c r="G4033" s="142" t="s">
        <v>11859</v>
      </c>
      <c r="H4033" s="142" t="s">
        <v>19883</v>
      </c>
      <c r="I4033" s="142">
        <v>10</v>
      </c>
      <c r="J4033" s="142">
        <v>10</v>
      </c>
      <c r="K4033" s="142">
        <v>0</v>
      </c>
      <c r="L4033" s="142">
        <v>0</v>
      </c>
      <c r="M4033" s="142">
        <v>0</v>
      </c>
    </row>
    <row r="4034" spans="1:13" x14ac:dyDescent="0.45">
      <c r="A4034" s="142" t="s">
        <v>13033</v>
      </c>
      <c r="B4034" s="142" t="s">
        <v>15276</v>
      </c>
      <c r="C4034" s="142" t="s">
        <v>15847</v>
      </c>
      <c r="D4034" s="142" t="s">
        <v>15848</v>
      </c>
      <c r="E4034" s="142" t="s">
        <v>15849</v>
      </c>
      <c r="F4034" s="142" t="s">
        <v>11860</v>
      </c>
      <c r="G4034" s="142" t="s">
        <v>11859</v>
      </c>
      <c r="H4034" s="142" t="s">
        <v>19884</v>
      </c>
      <c r="I4034" s="142">
        <v>129</v>
      </c>
      <c r="J4034" s="142">
        <v>123</v>
      </c>
      <c r="K4034" s="142">
        <v>0</v>
      </c>
      <c r="L4034" s="142">
        <v>0</v>
      </c>
      <c r="M4034" s="142">
        <v>6</v>
      </c>
    </row>
    <row r="4035" spans="1:13" x14ac:dyDescent="0.45">
      <c r="A4035" s="142" t="s">
        <v>13779</v>
      </c>
      <c r="B4035" s="142" t="s">
        <v>15434</v>
      </c>
      <c r="C4035" s="142" t="s">
        <v>15847</v>
      </c>
      <c r="D4035" s="142" t="s">
        <v>15848</v>
      </c>
      <c r="E4035" s="142" t="s">
        <v>15849</v>
      </c>
      <c r="F4035" s="142" t="s">
        <v>11860</v>
      </c>
      <c r="G4035" s="142" t="s">
        <v>11859</v>
      </c>
      <c r="H4035" s="142" t="s">
        <v>19885</v>
      </c>
      <c r="I4035" s="142">
        <v>88</v>
      </c>
      <c r="J4035" s="142">
        <v>40</v>
      </c>
      <c r="K4035" s="142">
        <v>0</v>
      </c>
      <c r="L4035" s="142">
        <v>0</v>
      </c>
      <c r="M4035" s="142">
        <v>48</v>
      </c>
    </row>
    <row r="4036" spans="1:13" x14ac:dyDescent="0.45">
      <c r="A4036" s="142" t="s">
        <v>13038</v>
      </c>
      <c r="B4036" s="142" t="s">
        <v>14646</v>
      </c>
      <c r="C4036" s="142" t="s">
        <v>15847</v>
      </c>
      <c r="D4036" s="142" t="s">
        <v>15848</v>
      </c>
      <c r="E4036" s="142" t="s">
        <v>15849</v>
      </c>
      <c r="F4036" s="142" t="s">
        <v>11860</v>
      </c>
      <c r="G4036" s="142" t="s">
        <v>11859</v>
      </c>
      <c r="H4036" s="142" t="s">
        <v>19886</v>
      </c>
      <c r="I4036" s="142">
        <v>33</v>
      </c>
      <c r="J4036" s="142">
        <v>0</v>
      </c>
      <c r="K4036" s="142">
        <v>0</v>
      </c>
      <c r="L4036" s="142">
        <v>0</v>
      </c>
      <c r="M4036" s="142">
        <v>33</v>
      </c>
    </row>
    <row r="4037" spans="1:13" x14ac:dyDescent="0.45">
      <c r="A4037" s="142" t="s">
        <v>13039</v>
      </c>
      <c r="B4037" s="142" t="s">
        <v>14647</v>
      </c>
      <c r="C4037" s="142" t="s">
        <v>15847</v>
      </c>
      <c r="D4037" s="142" t="s">
        <v>15848</v>
      </c>
      <c r="E4037" s="142" t="s">
        <v>15849</v>
      </c>
      <c r="F4037" s="142" t="s">
        <v>11860</v>
      </c>
      <c r="G4037" s="142" t="s">
        <v>11859</v>
      </c>
      <c r="H4037" s="142" t="s">
        <v>19887</v>
      </c>
      <c r="I4037" s="142">
        <v>20</v>
      </c>
      <c r="J4037" s="142">
        <v>20</v>
      </c>
      <c r="K4037" s="142">
        <v>0</v>
      </c>
      <c r="L4037" s="142">
        <v>0</v>
      </c>
      <c r="M4037" s="142">
        <v>0</v>
      </c>
    </row>
    <row r="4038" spans="1:13" x14ac:dyDescent="0.45">
      <c r="A4038" s="142" t="s">
        <v>13009</v>
      </c>
      <c r="B4038" s="142" t="s">
        <v>15256</v>
      </c>
      <c r="C4038" s="142" t="s">
        <v>15847</v>
      </c>
      <c r="D4038" s="142" t="s">
        <v>15848</v>
      </c>
      <c r="E4038" s="142" t="s">
        <v>15849</v>
      </c>
      <c r="F4038" s="142" t="s">
        <v>11860</v>
      </c>
      <c r="G4038" s="142" t="s">
        <v>11859</v>
      </c>
      <c r="H4038" s="142" t="s">
        <v>19888</v>
      </c>
      <c r="I4038" s="142">
        <v>115</v>
      </c>
      <c r="J4038" s="142">
        <v>91</v>
      </c>
      <c r="K4038" s="142">
        <v>0</v>
      </c>
      <c r="L4038" s="142">
        <v>19</v>
      </c>
      <c r="M4038" s="142">
        <v>5</v>
      </c>
    </row>
    <row r="4039" spans="1:13" x14ac:dyDescent="0.45">
      <c r="A4039" s="142" t="s">
        <v>13011</v>
      </c>
      <c r="B4039" s="142" t="s">
        <v>14695</v>
      </c>
      <c r="C4039" s="142" t="s">
        <v>15847</v>
      </c>
      <c r="D4039" s="142" t="s">
        <v>15848</v>
      </c>
      <c r="E4039" s="142" t="s">
        <v>15849</v>
      </c>
      <c r="F4039" s="142" t="s">
        <v>11860</v>
      </c>
      <c r="G4039" s="142" t="s">
        <v>11859</v>
      </c>
      <c r="H4039" s="142" t="s">
        <v>19889</v>
      </c>
      <c r="I4039" s="142">
        <v>13</v>
      </c>
      <c r="J4039" s="142">
        <v>13</v>
      </c>
      <c r="K4039" s="142">
        <v>0</v>
      </c>
      <c r="L4039" s="142">
        <v>0</v>
      </c>
      <c r="M4039" s="142">
        <v>0</v>
      </c>
    </row>
    <row r="4040" spans="1:13" x14ac:dyDescent="0.45">
      <c r="A4040" s="142" t="s">
        <v>13058</v>
      </c>
      <c r="B4040" s="142" t="s">
        <v>14584</v>
      </c>
      <c r="C4040" s="142" t="s">
        <v>15847</v>
      </c>
      <c r="D4040" s="142" t="s">
        <v>15848</v>
      </c>
      <c r="E4040" s="142" t="s">
        <v>15849</v>
      </c>
      <c r="F4040" s="142" t="s">
        <v>11860</v>
      </c>
      <c r="G4040" s="142" t="s">
        <v>11859</v>
      </c>
      <c r="H4040" s="142" t="s">
        <v>19890</v>
      </c>
      <c r="I4040" s="142">
        <v>134</v>
      </c>
      <c r="J4040" s="142">
        <v>77</v>
      </c>
      <c r="K4040" s="142">
        <v>0</v>
      </c>
      <c r="L4040" s="142">
        <v>0</v>
      </c>
      <c r="M4040" s="142">
        <v>57</v>
      </c>
    </row>
    <row r="4041" spans="1:13" x14ac:dyDescent="0.45">
      <c r="A4041" s="142" t="s">
        <v>13041</v>
      </c>
      <c r="B4041" s="142" t="s">
        <v>14441</v>
      </c>
      <c r="C4041" s="142" t="s">
        <v>15847</v>
      </c>
      <c r="D4041" s="142" t="s">
        <v>15848</v>
      </c>
      <c r="E4041" s="142" t="s">
        <v>15849</v>
      </c>
      <c r="F4041" s="142" t="s">
        <v>11860</v>
      </c>
      <c r="G4041" s="142" t="s">
        <v>11859</v>
      </c>
      <c r="H4041" s="142" t="s">
        <v>19891</v>
      </c>
      <c r="I4041" s="142">
        <v>8</v>
      </c>
      <c r="J4041" s="142">
        <v>0</v>
      </c>
      <c r="K4041" s="142">
        <v>0</v>
      </c>
      <c r="L4041" s="142">
        <v>0</v>
      </c>
      <c r="M4041" s="142">
        <v>8</v>
      </c>
    </row>
    <row r="4042" spans="1:13" x14ac:dyDescent="0.45">
      <c r="A4042" s="142" t="s">
        <v>13138</v>
      </c>
      <c r="B4042" s="142" t="s">
        <v>14590</v>
      </c>
      <c r="C4042" s="142" t="s">
        <v>15860</v>
      </c>
      <c r="D4042" s="142" t="s">
        <v>15861</v>
      </c>
      <c r="E4042" s="142" t="s">
        <v>15849</v>
      </c>
      <c r="F4042" s="142" t="s">
        <v>11860</v>
      </c>
      <c r="G4042" s="142" t="s">
        <v>11859</v>
      </c>
      <c r="H4042" s="142" t="s">
        <v>19892</v>
      </c>
      <c r="I4042" s="142">
        <v>30</v>
      </c>
      <c r="J4042" s="142">
        <v>30</v>
      </c>
      <c r="K4042" s="142">
        <v>0</v>
      </c>
      <c r="L4042" s="142">
        <v>0</v>
      </c>
      <c r="M4042" s="142">
        <v>0</v>
      </c>
    </row>
    <row r="4043" spans="1:13" x14ac:dyDescent="0.45">
      <c r="A4043" s="142" t="s">
        <v>13780</v>
      </c>
      <c r="B4043" s="142" t="s">
        <v>15148</v>
      </c>
      <c r="C4043" s="142" t="s">
        <v>15860</v>
      </c>
      <c r="D4043" s="142" t="s">
        <v>15861</v>
      </c>
      <c r="E4043" s="142" t="s">
        <v>15849</v>
      </c>
      <c r="F4043" s="142" t="s">
        <v>11860</v>
      </c>
      <c r="G4043" s="142" t="s">
        <v>11859</v>
      </c>
      <c r="H4043" s="142" t="s">
        <v>19893</v>
      </c>
      <c r="I4043" s="142">
        <v>30</v>
      </c>
      <c r="J4043" s="142">
        <v>0</v>
      </c>
      <c r="K4043" s="142">
        <v>0</v>
      </c>
      <c r="L4043" s="142">
        <v>30</v>
      </c>
      <c r="M4043" s="142">
        <v>0</v>
      </c>
    </row>
    <row r="4044" spans="1:13" x14ac:dyDescent="0.45">
      <c r="A4044" s="142" t="s">
        <v>13014</v>
      </c>
      <c r="B4044" s="142" t="s">
        <v>14505</v>
      </c>
      <c r="C4044" s="142" t="s">
        <v>15847</v>
      </c>
      <c r="D4044" s="142" t="s">
        <v>15848</v>
      </c>
      <c r="E4044" s="142" t="s">
        <v>15849</v>
      </c>
      <c r="F4044" s="142" t="s">
        <v>11860</v>
      </c>
      <c r="G4044" s="142" t="s">
        <v>11859</v>
      </c>
      <c r="H4044" s="142" t="s">
        <v>19894</v>
      </c>
      <c r="I4044" s="142">
        <v>1457</v>
      </c>
      <c r="J4044" s="142">
        <v>1116</v>
      </c>
      <c r="K4044" s="142">
        <v>0</v>
      </c>
      <c r="L4044" s="142">
        <v>161</v>
      </c>
      <c r="M4044" s="142">
        <v>180</v>
      </c>
    </row>
    <row r="4045" spans="1:13" x14ac:dyDescent="0.45">
      <c r="A4045" s="142" t="s">
        <v>13042</v>
      </c>
      <c r="B4045" s="142" t="s">
        <v>15489</v>
      </c>
      <c r="C4045" s="142" t="s">
        <v>15847</v>
      </c>
      <c r="D4045" s="142" t="s">
        <v>15848</v>
      </c>
      <c r="E4045" s="142" t="s">
        <v>15849</v>
      </c>
      <c r="F4045" s="142" t="s">
        <v>11860</v>
      </c>
      <c r="G4045" s="142" t="s">
        <v>11859</v>
      </c>
      <c r="H4045" s="142" t="s">
        <v>19895</v>
      </c>
      <c r="I4045" s="142">
        <v>22</v>
      </c>
      <c r="J4045" s="142">
        <v>0</v>
      </c>
      <c r="K4045" s="142">
        <v>0</v>
      </c>
      <c r="L4045" s="142">
        <v>22</v>
      </c>
      <c r="M4045" s="142">
        <v>0</v>
      </c>
    </row>
    <row r="4046" spans="1:13" x14ac:dyDescent="0.45">
      <c r="A4046" s="142" t="s">
        <v>13444</v>
      </c>
      <c r="B4046" s="142" t="s">
        <v>15335</v>
      </c>
      <c r="C4046" s="142" t="s">
        <v>15860</v>
      </c>
      <c r="D4046" s="142" t="s">
        <v>15861</v>
      </c>
      <c r="E4046" s="142" t="s">
        <v>15849</v>
      </c>
      <c r="F4046" s="142" t="s">
        <v>11860</v>
      </c>
      <c r="G4046" s="142" t="s">
        <v>11859</v>
      </c>
      <c r="H4046" s="142" t="s">
        <v>19896</v>
      </c>
      <c r="I4046" s="142">
        <v>18</v>
      </c>
      <c r="J4046" s="142">
        <v>18</v>
      </c>
      <c r="K4046" s="142">
        <v>0</v>
      </c>
      <c r="L4046" s="142">
        <v>0</v>
      </c>
      <c r="M4046" s="142">
        <v>0</v>
      </c>
    </row>
    <row r="4047" spans="1:13" x14ac:dyDescent="0.45">
      <c r="A4047" s="142" t="s">
        <v>13640</v>
      </c>
      <c r="B4047" s="142" t="s">
        <v>15570</v>
      </c>
      <c r="C4047" s="142" t="s">
        <v>15847</v>
      </c>
      <c r="D4047" s="142" t="s">
        <v>15848</v>
      </c>
      <c r="E4047" s="142" t="s">
        <v>15849</v>
      </c>
      <c r="F4047" s="142" t="s">
        <v>11860</v>
      </c>
      <c r="G4047" s="142" t="s">
        <v>11859</v>
      </c>
      <c r="H4047" s="142" t="s">
        <v>19897</v>
      </c>
      <c r="I4047" s="142">
        <v>129</v>
      </c>
      <c r="J4047" s="142">
        <v>0</v>
      </c>
      <c r="K4047" s="142">
        <v>0</v>
      </c>
      <c r="L4047" s="142">
        <v>129</v>
      </c>
      <c r="M4047" s="142">
        <v>0</v>
      </c>
    </row>
    <row r="4048" spans="1:13" x14ac:dyDescent="0.45">
      <c r="A4048" s="142" t="s">
        <v>13020</v>
      </c>
      <c r="B4048" s="142" t="s">
        <v>15523</v>
      </c>
      <c r="C4048" s="142" t="s">
        <v>15860</v>
      </c>
      <c r="D4048" s="142" t="s">
        <v>15861</v>
      </c>
      <c r="E4048" s="142" t="s">
        <v>15849</v>
      </c>
      <c r="F4048" s="142" t="s">
        <v>6538</v>
      </c>
      <c r="G4048" s="142" t="s">
        <v>6537</v>
      </c>
      <c r="H4048" s="142" t="s">
        <v>19898</v>
      </c>
      <c r="I4048" s="142">
        <v>1</v>
      </c>
      <c r="J4048" s="142">
        <v>0</v>
      </c>
      <c r="K4048" s="142">
        <v>1</v>
      </c>
      <c r="L4048" s="142">
        <v>0</v>
      </c>
      <c r="M4048" s="142">
        <v>0</v>
      </c>
    </row>
    <row r="4049" spans="1:13" x14ac:dyDescent="0.45">
      <c r="A4049" s="142" t="s">
        <v>13021</v>
      </c>
      <c r="B4049" s="142" t="s">
        <v>15501</v>
      </c>
      <c r="C4049" s="142" t="s">
        <v>15847</v>
      </c>
      <c r="D4049" s="142" t="s">
        <v>15848</v>
      </c>
      <c r="E4049" s="142" t="s">
        <v>15849</v>
      </c>
      <c r="F4049" s="142" t="s">
        <v>6538</v>
      </c>
      <c r="G4049" s="142" t="s">
        <v>6537</v>
      </c>
      <c r="H4049" s="142" t="s">
        <v>19899</v>
      </c>
      <c r="I4049" s="142">
        <v>16</v>
      </c>
      <c r="J4049" s="142">
        <v>0</v>
      </c>
      <c r="K4049" s="142">
        <v>0</v>
      </c>
      <c r="L4049" s="142">
        <v>11</v>
      </c>
      <c r="M4049" s="142">
        <v>5</v>
      </c>
    </row>
    <row r="4050" spans="1:13" x14ac:dyDescent="0.45">
      <c r="A4050" s="142" t="s">
        <v>13023</v>
      </c>
      <c r="B4050" s="142" t="s">
        <v>15571</v>
      </c>
      <c r="C4050" s="142" t="s">
        <v>15847</v>
      </c>
      <c r="D4050" s="142" t="s">
        <v>15848</v>
      </c>
      <c r="E4050" s="142" t="s">
        <v>15849</v>
      </c>
      <c r="F4050" s="142" t="s">
        <v>6538</v>
      </c>
      <c r="G4050" s="142" t="s">
        <v>6537</v>
      </c>
      <c r="H4050" s="142" t="s">
        <v>19900</v>
      </c>
      <c r="I4050" s="142">
        <v>108</v>
      </c>
      <c r="J4050" s="142">
        <v>0</v>
      </c>
      <c r="K4050" s="142">
        <v>0</v>
      </c>
      <c r="L4050" s="142">
        <v>74</v>
      </c>
      <c r="M4050" s="142">
        <v>34</v>
      </c>
    </row>
    <row r="4051" spans="1:13" x14ac:dyDescent="0.45">
      <c r="A4051" s="142" t="s">
        <v>13082</v>
      </c>
      <c r="B4051" s="142" t="s">
        <v>14478</v>
      </c>
      <c r="C4051" s="142" t="s">
        <v>15860</v>
      </c>
      <c r="D4051" s="142" t="s">
        <v>15861</v>
      </c>
      <c r="E4051" s="142" t="s">
        <v>15849</v>
      </c>
      <c r="F4051" s="142" t="s">
        <v>6538</v>
      </c>
      <c r="G4051" s="142" t="s">
        <v>6537</v>
      </c>
      <c r="H4051" s="142" t="s">
        <v>19901</v>
      </c>
      <c r="I4051" s="142">
        <v>20</v>
      </c>
      <c r="J4051" s="142">
        <v>0</v>
      </c>
      <c r="K4051" s="142">
        <v>0</v>
      </c>
      <c r="L4051" s="142">
        <v>20</v>
      </c>
      <c r="M4051" s="142">
        <v>0</v>
      </c>
    </row>
    <row r="4052" spans="1:13" x14ac:dyDescent="0.45">
      <c r="A4052" s="142" t="s">
        <v>13065</v>
      </c>
      <c r="B4052" s="142" t="s">
        <v>14497</v>
      </c>
      <c r="C4052" s="142" t="s">
        <v>15847</v>
      </c>
      <c r="D4052" s="142" t="s">
        <v>15848</v>
      </c>
      <c r="E4052" s="142" t="s">
        <v>15849</v>
      </c>
      <c r="F4052" s="142" t="s">
        <v>6538</v>
      </c>
      <c r="G4052" s="142" t="s">
        <v>6537</v>
      </c>
      <c r="H4052" s="142" t="s">
        <v>19902</v>
      </c>
      <c r="I4052" s="142">
        <v>4</v>
      </c>
      <c r="J4052" s="142">
        <v>0</v>
      </c>
      <c r="K4052" s="142">
        <v>0</v>
      </c>
      <c r="L4052" s="142">
        <v>4</v>
      </c>
      <c r="M4052" s="142">
        <v>0</v>
      </c>
    </row>
    <row r="4053" spans="1:13" x14ac:dyDescent="0.45">
      <c r="A4053" s="142" t="s">
        <v>13024</v>
      </c>
      <c r="B4053" s="142" t="s">
        <v>14538</v>
      </c>
      <c r="C4053" s="142" t="s">
        <v>15847</v>
      </c>
      <c r="D4053" s="142" t="s">
        <v>15848</v>
      </c>
      <c r="E4053" s="142" t="s">
        <v>15849</v>
      </c>
      <c r="F4053" s="142" t="s">
        <v>6538</v>
      </c>
      <c r="G4053" s="142" t="s">
        <v>6537</v>
      </c>
      <c r="H4053" s="142" t="s">
        <v>19903</v>
      </c>
      <c r="I4053" s="142">
        <v>297</v>
      </c>
      <c r="J4053" s="142">
        <v>218</v>
      </c>
      <c r="K4053" s="142">
        <v>0</v>
      </c>
      <c r="L4053" s="142">
        <v>2</v>
      </c>
      <c r="M4053" s="142">
        <v>77</v>
      </c>
    </row>
    <row r="4054" spans="1:13" x14ac:dyDescent="0.45">
      <c r="A4054" s="142" t="s">
        <v>13049</v>
      </c>
      <c r="B4054" s="142" t="s">
        <v>14534</v>
      </c>
      <c r="C4054" s="142" t="s">
        <v>15860</v>
      </c>
      <c r="D4054" s="142" t="s">
        <v>15861</v>
      </c>
      <c r="E4054" s="142" t="s">
        <v>15849</v>
      </c>
      <c r="F4054" s="142" t="s">
        <v>6538</v>
      </c>
      <c r="G4054" s="142" t="s">
        <v>6537</v>
      </c>
      <c r="H4054" s="142" t="s">
        <v>19904</v>
      </c>
      <c r="I4054" s="142">
        <v>6</v>
      </c>
      <c r="J4054" s="142">
        <v>0</v>
      </c>
      <c r="K4054" s="142">
        <v>0</v>
      </c>
      <c r="L4054" s="142">
        <v>6</v>
      </c>
      <c r="M4054" s="142">
        <v>0</v>
      </c>
    </row>
    <row r="4055" spans="1:13" x14ac:dyDescent="0.45">
      <c r="A4055" s="142" t="s">
        <v>13026</v>
      </c>
      <c r="B4055" s="142" t="s">
        <v>15447</v>
      </c>
      <c r="C4055" s="142" t="s">
        <v>15847</v>
      </c>
      <c r="D4055" s="142" t="s">
        <v>15848</v>
      </c>
      <c r="E4055" s="142" t="s">
        <v>15849</v>
      </c>
      <c r="F4055" s="142" t="s">
        <v>6538</v>
      </c>
      <c r="G4055" s="142" t="s">
        <v>6537</v>
      </c>
      <c r="H4055" s="142" t="s">
        <v>19905</v>
      </c>
      <c r="I4055" s="142">
        <v>42</v>
      </c>
      <c r="J4055" s="142">
        <v>24</v>
      </c>
      <c r="K4055" s="142">
        <v>0</v>
      </c>
      <c r="L4055" s="142">
        <v>0</v>
      </c>
      <c r="M4055" s="142">
        <v>18</v>
      </c>
    </row>
    <row r="4056" spans="1:13" x14ac:dyDescent="0.45">
      <c r="A4056" s="142" t="s">
        <v>13271</v>
      </c>
      <c r="B4056" s="142" t="s">
        <v>15470</v>
      </c>
      <c r="C4056" s="142" t="s">
        <v>15847</v>
      </c>
      <c r="D4056" s="142" t="s">
        <v>15848</v>
      </c>
      <c r="E4056" s="142" t="s">
        <v>15849</v>
      </c>
      <c r="F4056" s="142" t="s">
        <v>6538</v>
      </c>
      <c r="G4056" s="142" t="s">
        <v>6537</v>
      </c>
      <c r="H4056" s="142" t="s">
        <v>19906</v>
      </c>
      <c r="I4056" s="142">
        <v>36</v>
      </c>
      <c r="J4056" s="142">
        <v>34</v>
      </c>
      <c r="K4056" s="142">
        <v>0</v>
      </c>
      <c r="L4056" s="142">
        <v>0</v>
      </c>
      <c r="M4056" s="142">
        <v>2</v>
      </c>
    </row>
    <row r="4057" spans="1:13" x14ac:dyDescent="0.45">
      <c r="A4057" s="142" t="s">
        <v>13027</v>
      </c>
      <c r="B4057" s="142" t="s">
        <v>14562</v>
      </c>
      <c r="C4057" s="142" t="s">
        <v>15847</v>
      </c>
      <c r="D4057" s="142" t="s">
        <v>15848</v>
      </c>
      <c r="E4057" s="142" t="s">
        <v>15849</v>
      </c>
      <c r="F4057" s="142" t="s">
        <v>6538</v>
      </c>
      <c r="G4057" s="142" t="s">
        <v>6537</v>
      </c>
      <c r="H4057" s="142" t="s">
        <v>19907</v>
      </c>
      <c r="I4057" s="142">
        <v>4</v>
      </c>
      <c r="J4057" s="142">
        <v>0</v>
      </c>
      <c r="K4057" s="142">
        <v>0</v>
      </c>
      <c r="L4057" s="142">
        <v>4</v>
      </c>
      <c r="M4057" s="142">
        <v>0</v>
      </c>
    </row>
    <row r="4058" spans="1:13" x14ac:dyDescent="0.45">
      <c r="A4058" s="142" t="s">
        <v>13066</v>
      </c>
      <c r="B4058" s="142" t="s">
        <v>14459</v>
      </c>
      <c r="C4058" s="142" t="s">
        <v>15847</v>
      </c>
      <c r="D4058" s="142" t="s">
        <v>15848</v>
      </c>
      <c r="E4058" s="142" t="s">
        <v>15849</v>
      </c>
      <c r="F4058" s="142" t="s">
        <v>6538</v>
      </c>
      <c r="G4058" s="142" t="s">
        <v>6537</v>
      </c>
      <c r="H4058" s="142" t="s">
        <v>19908</v>
      </c>
      <c r="I4058" s="142">
        <v>51</v>
      </c>
      <c r="J4058" s="142">
        <v>0</v>
      </c>
      <c r="K4058" s="142">
        <v>0</v>
      </c>
      <c r="L4058" s="142">
        <v>51</v>
      </c>
      <c r="M4058" s="142">
        <v>0</v>
      </c>
    </row>
    <row r="4059" spans="1:13" x14ac:dyDescent="0.45">
      <c r="A4059" s="142" t="s">
        <v>13076</v>
      </c>
      <c r="B4059" s="142" t="s">
        <v>14636</v>
      </c>
      <c r="C4059" s="142" t="s">
        <v>15847</v>
      </c>
      <c r="D4059" s="142" t="s">
        <v>15848</v>
      </c>
      <c r="E4059" s="142" t="s">
        <v>15849</v>
      </c>
      <c r="F4059" s="142" t="s">
        <v>6538</v>
      </c>
      <c r="G4059" s="142" t="s">
        <v>6537</v>
      </c>
      <c r="H4059" s="142" t="s">
        <v>19909</v>
      </c>
      <c r="I4059" s="142">
        <v>52</v>
      </c>
      <c r="J4059" s="142">
        <v>26</v>
      </c>
      <c r="K4059" s="142">
        <v>0</v>
      </c>
      <c r="L4059" s="142">
        <v>0</v>
      </c>
      <c r="M4059" s="142">
        <v>26</v>
      </c>
    </row>
    <row r="4060" spans="1:13" x14ac:dyDescent="0.45">
      <c r="A4060" s="142" t="s">
        <v>13029</v>
      </c>
      <c r="B4060" s="142" t="s">
        <v>14665</v>
      </c>
      <c r="C4060" s="142" t="s">
        <v>15847</v>
      </c>
      <c r="D4060" s="142" t="s">
        <v>15848</v>
      </c>
      <c r="E4060" s="142" t="s">
        <v>15849</v>
      </c>
      <c r="F4060" s="142" t="s">
        <v>6538</v>
      </c>
      <c r="G4060" s="142" t="s">
        <v>6537</v>
      </c>
      <c r="H4060" s="142" t="s">
        <v>19910</v>
      </c>
      <c r="I4060" s="142">
        <v>10</v>
      </c>
      <c r="J4060" s="142">
        <v>0</v>
      </c>
      <c r="K4060" s="142">
        <v>0</v>
      </c>
      <c r="L4060" s="142">
        <v>0</v>
      </c>
      <c r="M4060" s="142">
        <v>10</v>
      </c>
    </row>
    <row r="4061" spans="1:13" x14ac:dyDescent="0.45">
      <c r="A4061" s="142" t="s">
        <v>13248</v>
      </c>
      <c r="B4061" s="142" t="s">
        <v>15463</v>
      </c>
      <c r="C4061" s="142" t="s">
        <v>15847</v>
      </c>
      <c r="D4061" s="142" t="s">
        <v>15848</v>
      </c>
      <c r="E4061" s="142" t="s">
        <v>15849</v>
      </c>
      <c r="F4061" s="142" t="s">
        <v>6538</v>
      </c>
      <c r="G4061" s="142" t="s">
        <v>6537</v>
      </c>
      <c r="H4061" s="142" t="s">
        <v>19911</v>
      </c>
      <c r="I4061" s="142">
        <v>490</v>
      </c>
      <c r="J4061" s="142">
        <v>369</v>
      </c>
      <c r="K4061" s="142">
        <v>0</v>
      </c>
      <c r="L4061" s="142">
        <v>0</v>
      </c>
      <c r="M4061" s="142">
        <v>121</v>
      </c>
    </row>
    <row r="4062" spans="1:13" x14ac:dyDescent="0.45">
      <c r="A4062" s="142" t="s">
        <v>13292</v>
      </c>
      <c r="B4062" s="142" t="s">
        <v>14543</v>
      </c>
      <c r="C4062" s="142" t="s">
        <v>15860</v>
      </c>
      <c r="D4062" s="142" t="s">
        <v>15861</v>
      </c>
      <c r="E4062" s="142" t="s">
        <v>15849</v>
      </c>
      <c r="F4062" s="142" t="s">
        <v>6538</v>
      </c>
      <c r="G4062" s="142" t="s">
        <v>6537</v>
      </c>
      <c r="H4062" s="142" t="s">
        <v>19912</v>
      </c>
      <c r="I4062" s="142">
        <v>12</v>
      </c>
      <c r="J4062" s="142">
        <v>0</v>
      </c>
      <c r="K4062" s="142">
        <v>0</v>
      </c>
      <c r="L4062" s="142">
        <v>12</v>
      </c>
      <c r="M4062" s="142">
        <v>0</v>
      </c>
    </row>
    <row r="4063" spans="1:13" x14ac:dyDescent="0.45">
      <c r="A4063" s="142" t="s">
        <v>13030</v>
      </c>
      <c r="B4063" s="142" t="s">
        <v>14572</v>
      </c>
      <c r="C4063" s="142" t="s">
        <v>15847</v>
      </c>
      <c r="D4063" s="142" t="s">
        <v>15848</v>
      </c>
      <c r="E4063" s="142" t="s">
        <v>15849</v>
      </c>
      <c r="F4063" s="142" t="s">
        <v>6538</v>
      </c>
      <c r="G4063" s="142" t="s">
        <v>6537</v>
      </c>
      <c r="H4063" s="142" t="s">
        <v>19913</v>
      </c>
      <c r="I4063" s="142">
        <v>156</v>
      </c>
      <c r="J4063" s="142">
        <v>102</v>
      </c>
      <c r="K4063" s="142">
        <v>0</v>
      </c>
      <c r="L4063" s="142">
        <v>3</v>
      </c>
      <c r="M4063" s="142">
        <v>51</v>
      </c>
    </row>
    <row r="4064" spans="1:13" x14ac:dyDescent="0.45">
      <c r="A4064" s="142" t="s">
        <v>13008</v>
      </c>
      <c r="B4064" s="142" t="s">
        <v>15411</v>
      </c>
      <c r="C4064" s="142" t="s">
        <v>15847</v>
      </c>
      <c r="D4064" s="142" t="s">
        <v>15848</v>
      </c>
      <c r="E4064" s="142" t="s">
        <v>15849</v>
      </c>
      <c r="F4064" s="142" t="s">
        <v>6538</v>
      </c>
      <c r="G4064" s="142" t="s">
        <v>6537</v>
      </c>
      <c r="H4064" s="142" t="s">
        <v>19914</v>
      </c>
      <c r="I4064" s="142">
        <v>43</v>
      </c>
      <c r="J4064" s="142">
        <v>3</v>
      </c>
      <c r="K4064" s="142">
        <v>0</v>
      </c>
      <c r="L4064" s="142">
        <v>0</v>
      </c>
      <c r="M4064" s="142">
        <v>40</v>
      </c>
    </row>
    <row r="4065" spans="1:13" x14ac:dyDescent="0.45">
      <c r="A4065" s="142" t="s">
        <v>13077</v>
      </c>
      <c r="B4065" s="142" t="s">
        <v>15407</v>
      </c>
      <c r="C4065" s="142" t="s">
        <v>15847</v>
      </c>
      <c r="D4065" s="142" t="s">
        <v>15848</v>
      </c>
      <c r="E4065" s="142" t="s">
        <v>15849</v>
      </c>
      <c r="F4065" s="142" t="s">
        <v>6538</v>
      </c>
      <c r="G4065" s="142" t="s">
        <v>6537</v>
      </c>
      <c r="H4065" s="142" t="s">
        <v>19915</v>
      </c>
      <c r="I4065" s="142">
        <v>698</v>
      </c>
      <c r="J4065" s="142">
        <v>679</v>
      </c>
      <c r="K4065" s="142">
        <v>0</v>
      </c>
      <c r="L4065" s="142">
        <v>19</v>
      </c>
      <c r="M4065" s="142">
        <v>0</v>
      </c>
    </row>
    <row r="4066" spans="1:13" x14ac:dyDescent="0.45">
      <c r="A4066" s="142" t="s">
        <v>13055</v>
      </c>
      <c r="B4066" s="142" t="s">
        <v>14595</v>
      </c>
      <c r="C4066" s="142" t="s">
        <v>15847</v>
      </c>
      <c r="D4066" s="142" t="s">
        <v>15848</v>
      </c>
      <c r="E4066" s="142" t="s">
        <v>15849</v>
      </c>
      <c r="F4066" s="142" t="s">
        <v>6538</v>
      </c>
      <c r="G4066" s="142" t="s">
        <v>6537</v>
      </c>
      <c r="H4066" s="142" t="s">
        <v>19916</v>
      </c>
      <c r="I4066" s="142">
        <v>108</v>
      </c>
      <c r="J4066" s="142">
        <v>70</v>
      </c>
      <c r="K4066" s="142">
        <v>0</v>
      </c>
      <c r="L4066" s="142">
        <v>37</v>
      </c>
      <c r="M4066" s="142">
        <v>1</v>
      </c>
    </row>
    <row r="4067" spans="1:13" x14ac:dyDescent="0.45">
      <c r="A4067" s="142" t="s">
        <v>13034</v>
      </c>
      <c r="B4067" s="142" t="s">
        <v>15562</v>
      </c>
      <c r="C4067" s="142" t="s">
        <v>15847</v>
      </c>
      <c r="D4067" s="142" t="s">
        <v>15848</v>
      </c>
      <c r="E4067" s="142" t="s">
        <v>15849</v>
      </c>
      <c r="F4067" s="142" t="s">
        <v>6538</v>
      </c>
      <c r="G4067" s="142" t="s">
        <v>6537</v>
      </c>
      <c r="H4067" s="142" t="s">
        <v>19917</v>
      </c>
      <c r="I4067" s="142">
        <v>160</v>
      </c>
      <c r="J4067" s="142">
        <v>160</v>
      </c>
      <c r="K4067" s="142">
        <v>0</v>
      </c>
      <c r="L4067" s="142">
        <v>0</v>
      </c>
      <c r="M4067" s="142">
        <v>0</v>
      </c>
    </row>
    <row r="4068" spans="1:13" x14ac:dyDescent="0.45">
      <c r="A4068" s="142" t="s">
        <v>13035</v>
      </c>
      <c r="B4068" s="142" t="s">
        <v>14648</v>
      </c>
      <c r="C4068" s="142" t="s">
        <v>15847</v>
      </c>
      <c r="D4068" s="142" t="s">
        <v>15848</v>
      </c>
      <c r="E4068" s="142" t="s">
        <v>15849</v>
      </c>
      <c r="F4068" s="142" t="s">
        <v>6538</v>
      </c>
      <c r="G4068" s="142" t="s">
        <v>6537</v>
      </c>
      <c r="H4068" s="142" t="s">
        <v>19918</v>
      </c>
      <c r="I4068" s="142">
        <v>480</v>
      </c>
      <c r="J4068" s="142">
        <v>326</v>
      </c>
      <c r="K4068" s="142">
        <v>0</v>
      </c>
      <c r="L4068" s="142">
        <v>0</v>
      </c>
      <c r="M4068" s="142">
        <v>154</v>
      </c>
    </row>
    <row r="4069" spans="1:13" x14ac:dyDescent="0.45">
      <c r="A4069" s="142" t="s">
        <v>13036</v>
      </c>
      <c r="B4069" s="142" t="s">
        <v>15567</v>
      </c>
      <c r="C4069" s="142" t="s">
        <v>15847</v>
      </c>
      <c r="D4069" s="142" t="s">
        <v>15848</v>
      </c>
      <c r="E4069" s="142" t="s">
        <v>15849</v>
      </c>
      <c r="F4069" s="142" t="s">
        <v>6538</v>
      </c>
      <c r="G4069" s="142" t="s">
        <v>6537</v>
      </c>
      <c r="H4069" s="142" t="s">
        <v>19919</v>
      </c>
      <c r="I4069" s="142">
        <v>11</v>
      </c>
      <c r="J4069" s="142">
        <v>0</v>
      </c>
      <c r="K4069" s="142">
        <v>0</v>
      </c>
      <c r="L4069" s="142">
        <v>11</v>
      </c>
      <c r="M4069" s="142">
        <v>0</v>
      </c>
    </row>
    <row r="4070" spans="1:13" x14ac:dyDescent="0.45">
      <c r="A4070" s="142" t="s">
        <v>13012</v>
      </c>
      <c r="B4070" s="142" t="s">
        <v>15337</v>
      </c>
      <c r="C4070" s="142" t="s">
        <v>15847</v>
      </c>
      <c r="D4070" s="142" t="s">
        <v>15848</v>
      </c>
      <c r="E4070" s="142" t="s">
        <v>15849</v>
      </c>
      <c r="F4070" s="142" t="s">
        <v>6538</v>
      </c>
      <c r="G4070" s="142" t="s">
        <v>6537</v>
      </c>
      <c r="H4070" s="142" t="s">
        <v>19920</v>
      </c>
      <c r="I4070" s="142">
        <v>178</v>
      </c>
      <c r="J4070" s="142">
        <v>137</v>
      </c>
      <c r="K4070" s="142">
        <v>0</v>
      </c>
      <c r="L4070" s="142">
        <v>0</v>
      </c>
      <c r="M4070" s="142">
        <v>41</v>
      </c>
    </row>
    <row r="4071" spans="1:13" x14ac:dyDescent="0.45">
      <c r="A4071" s="142" t="s">
        <v>13042</v>
      </c>
      <c r="B4071" s="142" t="s">
        <v>15489</v>
      </c>
      <c r="C4071" s="142" t="s">
        <v>15847</v>
      </c>
      <c r="D4071" s="142" t="s">
        <v>15848</v>
      </c>
      <c r="E4071" s="142" t="s">
        <v>15849</v>
      </c>
      <c r="F4071" s="142" t="s">
        <v>6538</v>
      </c>
      <c r="G4071" s="142" t="s">
        <v>6537</v>
      </c>
      <c r="H4071" s="142" t="s">
        <v>19921</v>
      </c>
      <c r="I4071" s="142">
        <v>243</v>
      </c>
      <c r="J4071" s="142">
        <v>154</v>
      </c>
      <c r="K4071" s="142">
        <v>0</v>
      </c>
      <c r="L4071" s="142">
        <v>56</v>
      </c>
      <c r="M4071" s="142">
        <v>33</v>
      </c>
    </row>
    <row r="4072" spans="1:13" x14ac:dyDescent="0.45">
      <c r="A4072" s="142" t="s">
        <v>13222</v>
      </c>
      <c r="B4072" s="142" t="s">
        <v>14449</v>
      </c>
      <c r="C4072" s="142" t="s">
        <v>15860</v>
      </c>
      <c r="D4072" s="142" t="s">
        <v>15861</v>
      </c>
      <c r="E4072" s="142" t="s">
        <v>15849</v>
      </c>
      <c r="F4072" s="142" t="s">
        <v>6538</v>
      </c>
      <c r="G4072" s="142" t="s">
        <v>6537</v>
      </c>
      <c r="H4072" s="142" t="s">
        <v>19922</v>
      </c>
      <c r="I4072" s="142">
        <v>22</v>
      </c>
      <c r="J4072" s="142">
        <v>0</v>
      </c>
      <c r="K4072" s="142">
        <v>0</v>
      </c>
      <c r="L4072" s="142">
        <v>22</v>
      </c>
      <c r="M4072" s="142">
        <v>0</v>
      </c>
    </row>
    <row r="4073" spans="1:13" x14ac:dyDescent="0.45">
      <c r="A4073" s="142" t="s">
        <v>13070</v>
      </c>
      <c r="B4073" s="142" t="s">
        <v>15394</v>
      </c>
      <c r="C4073" s="142" t="s">
        <v>15847</v>
      </c>
      <c r="D4073" s="142" t="s">
        <v>15848</v>
      </c>
      <c r="E4073" s="142" t="s">
        <v>15849</v>
      </c>
      <c r="F4073" s="142" t="s">
        <v>6538</v>
      </c>
      <c r="G4073" s="142" t="s">
        <v>6537</v>
      </c>
      <c r="H4073" s="142" t="s">
        <v>19923</v>
      </c>
      <c r="I4073" s="142">
        <v>76</v>
      </c>
      <c r="J4073" s="142">
        <v>52</v>
      </c>
      <c r="K4073" s="142">
        <v>0</v>
      </c>
      <c r="L4073" s="142">
        <v>0</v>
      </c>
      <c r="M4073" s="142">
        <v>24</v>
      </c>
    </row>
    <row r="4074" spans="1:13" x14ac:dyDescent="0.45">
      <c r="A4074" s="142" t="s">
        <v>13308</v>
      </c>
      <c r="B4074" s="142" t="s">
        <v>15608</v>
      </c>
      <c r="C4074" s="142" t="s">
        <v>15847</v>
      </c>
      <c r="D4074" s="142" t="s">
        <v>15848</v>
      </c>
      <c r="E4074" s="142" t="s">
        <v>15849</v>
      </c>
      <c r="F4074" s="142" t="s">
        <v>9071</v>
      </c>
      <c r="G4074" s="142" t="s">
        <v>9070</v>
      </c>
      <c r="H4074" s="142" t="s">
        <v>19924</v>
      </c>
      <c r="I4074" s="142">
        <v>1</v>
      </c>
      <c r="J4074" s="142">
        <v>0</v>
      </c>
      <c r="K4074" s="142">
        <v>0</v>
      </c>
      <c r="L4074" s="142">
        <v>0</v>
      </c>
      <c r="M4074" s="142">
        <v>1</v>
      </c>
    </row>
    <row r="4075" spans="1:13" x14ac:dyDescent="0.45">
      <c r="A4075" s="142" t="s">
        <v>13166</v>
      </c>
      <c r="B4075" s="142" t="s">
        <v>15576</v>
      </c>
      <c r="C4075" s="142" t="s">
        <v>15847</v>
      </c>
      <c r="D4075" s="142" t="s">
        <v>15848</v>
      </c>
      <c r="E4075" s="142" t="s">
        <v>15849</v>
      </c>
      <c r="F4075" s="142" t="s">
        <v>9071</v>
      </c>
      <c r="G4075" s="142" t="s">
        <v>9070</v>
      </c>
      <c r="H4075" s="142" t="s">
        <v>19925</v>
      </c>
      <c r="I4075" s="142">
        <v>105</v>
      </c>
      <c r="J4075" s="142">
        <v>65</v>
      </c>
      <c r="K4075" s="142">
        <v>0</v>
      </c>
      <c r="L4075" s="142">
        <v>0</v>
      </c>
      <c r="M4075" s="142">
        <v>40</v>
      </c>
    </row>
    <row r="4076" spans="1:13" x14ac:dyDescent="0.45">
      <c r="A4076" s="142" t="s">
        <v>13023</v>
      </c>
      <c r="B4076" s="142" t="s">
        <v>15571</v>
      </c>
      <c r="C4076" s="142" t="s">
        <v>15847</v>
      </c>
      <c r="D4076" s="142" t="s">
        <v>15848</v>
      </c>
      <c r="E4076" s="142" t="s">
        <v>15849</v>
      </c>
      <c r="F4076" s="142" t="s">
        <v>9071</v>
      </c>
      <c r="G4076" s="142" t="s">
        <v>9070</v>
      </c>
      <c r="H4076" s="142" t="s">
        <v>19926</v>
      </c>
      <c r="I4076" s="142">
        <v>71</v>
      </c>
      <c r="J4076" s="142">
        <v>0</v>
      </c>
      <c r="K4076" s="142">
        <v>0</v>
      </c>
      <c r="L4076" s="142">
        <v>71</v>
      </c>
      <c r="M4076" s="142">
        <v>0</v>
      </c>
    </row>
    <row r="4077" spans="1:13" x14ac:dyDescent="0.45">
      <c r="A4077" s="142" t="s">
        <v>13048</v>
      </c>
      <c r="B4077" s="142" t="s">
        <v>14479</v>
      </c>
      <c r="C4077" s="142" t="s">
        <v>15847</v>
      </c>
      <c r="D4077" s="142" t="s">
        <v>15848</v>
      </c>
      <c r="E4077" s="142" t="s">
        <v>15849</v>
      </c>
      <c r="F4077" s="142" t="s">
        <v>9071</v>
      </c>
      <c r="G4077" s="142" t="s">
        <v>9070</v>
      </c>
      <c r="H4077" s="142" t="s">
        <v>19927</v>
      </c>
      <c r="I4077" s="142">
        <v>33</v>
      </c>
      <c r="J4077" s="142">
        <v>17</v>
      </c>
      <c r="K4077" s="142">
        <v>0</v>
      </c>
      <c r="L4077" s="142">
        <v>0</v>
      </c>
      <c r="M4077" s="142">
        <v>16</v>
      </c>
    </row>
    <row r="4078" spans="1:13" x14ac:dyDescent="0.45">
      <c r="A4078" s="142" t="s">
        <v>13000</v>
      </c>
      <c r="B4078" s="142" t="s">
        <v>14610</v>
      </c>
      <c r="C4078" s="142" t="s">
        <v>15847</v>
      </c>
      <c r="D4078" s="142" t="s">
        <v>15848</v>
      </c>
      <c r="E4078" s="142" t="s">
        <v>15849</v>
      </c>
      <c r="F4078" s="142" t="s">
        <v>9071</v>
      </c>
      <c r="G4078" s="142" t="s">
        <v>9070</v>
      </c>
      <c r="H4078" s="142" t="s">
        <v>19928</v>
      </c>
      <c r="I4078" s="142">
        <v>436</v>
      </c>
      <c r="J4078" s="142">
        <v>290</v>
      </c>
      <c r="K4078" s="142">
        <v>0</v>
      </c>
      <c r="L4078" s="142">
        <v>0</v>
      </c>
      <c r="M4078" s="142">
        <v>146</v>
      </c>
    </row>
    <row r="4079" spans="1:13" x14ac:dyDescent="0.45">
      <c r="A4079" s="142" t="s">
        <v>13074</v>
      </c>
      <c r="B4079" s="142" t="s">
        <v>15405</v>
      </c>
      <c r="C4079" s="142" t="s">
        <v>15847</v>
      </c>
      <c r="D4079" s="142" t="s">
        <v>15848</v>
      </c>
      <c r="E4079" s="142" t="s">
        <v>15849</v>
      </c>
      <c r="F4079" s="142" t="s">
        <v>9071</v>
      </c>
      <c r="G4079" s="142" t="s">
        <v>9070</v>
      </c>
      <c r="H4079" s="142" t="s">
        <v>19929</v>
      </c>
      <c r="I4079" s="142">
        <v>13</v>
      </c>
      <c r="J4079" s="142">
        <v>11</v>
      </c>
      <c r="K4079" s="142">
        <v>0</v>
      </c>
      <c r="L4079" s="142">
        <v>0</v>
      </c>
      <c r="M4079" s="142">
        <v>2</v>
      </c>
    </row>
    <row r="4080" spans="1:13" x14ac:dyDescent="0.45">
      <c r="A4080" s="142" t="s">
        <v>13050</v>
      </c>
      <c r="B4080" s="142" t="s">
        <v>15237</v>
      </c>
      <c r="C4080" s="142" t="s">
        <v>15847</v>
      </c>
      <c r="D4080" s="142" t="s">
        <v>15848</v>
      </c>
      <c r="E4080" s="142" t="s">
        <v>15849</v>
      </c>
      <c r="F4080" s="142" t="s">
        <v>9071</v>
      </c>
      <c r="G4080" s="142" t="s">
        <v>9070</v>
      </c>
      <c r="H4080" s="142" t="s">
        <v>19930</v>
      </c>
      <c r="I4080" s="142">
        <v>10</v>
      </c>
      <c r="J4080" s="142">
        <v>6</v>
      </c>
      <c r="K4080" s="142">
        <v>0</v>
      </c>
      <c r="L4080" s="142">
        <v>0</v>
      </c>
      <c r="M4080" s="142">
        <v>4</v>
      </c>
    </row>
    <row r="4081" spans="1:13" x14ac:dyDescent="0.45">
      <c r="A4081" s="142" t="s">
        <v>13028</v>
      </c>
      <c r="B4081" s="142" t="s">
        <v>14462</v>
      </c>
      <c r="C4081" s="142" t="s">
        <v>15847</v>
      </c>
      <c r="D4081" s="142" t="s">
        <v>15848</v>
      </c>
      <c r="E4081" s="142" t="s">
        <v>15849</v>
      </c>
      <c r="F4081" s="142" t="s">
        <v>9071</v>
      </c>
      <c r="G4081" s="142" t="s">
        <v>9070</v>
      </c>
      <c r="H4081" s="142" t="s">
        <v>19931</v>
      </c>
      <c r="I4081" s="142">
        <v>7</v>
      </c>
      <c r="J4081" s="142">
        <v>0</v>
      </c>
      <c r="K4081" s="142">
        <v>0</v>
      </c>
      <c r="L4081" s="142">
        <v>0</v>
      </c>
      <c r="M4081" s="142">
        <v>7</v>
      </c>
    </row>
    <row r="4082" spans="1:13" x14ac:dyDescent="0.45">
      <c r="A4082" s="142" t="s">
        <v>13002</v>
      </c>
      <c r="B4082" s="142" t="s">
        <v>15376</v>
      </c>
      <c r="C4082" s="142" t="s">
        <v>15847</v>
      </c>
      <c r="D4082" s="142" t="s">
        <v>15848</v>
      </c>
      <c r="E4082" s="142" t="s">
        <v>15849</v>
      </c>
      <c r="F4082" s="142" t="s">
        <v>9071</v>
      </c>
      <c r="G4082" s="142" t="s">
        <v>9070</v>
      </c>
      <c r="H4082" s="142" t="s">
        <v>19932</v>
      </c>
      <c r="I4082" s="142">
        <v>3</v>
      </c>
      <c r="J4082" s="142">
        <v>0</v>
      </c>
      <c r="K4082" s="142">
        <v>0</v>
      </c>
      <c r="L4082" s="142">
        <v>0</v>
      </c>
      <c r="M4082" s="142">
        <v>3</v>
      </c>
    </row>
    <row r="4083" spans="1:13" x14ac:dyDescent="0.45">
      <c r="A4083" s="142" t="s">
        <v>13003</v>
      </c>
      <c r="B4083" s="142" t="s">
        <v>15245</v>
      </c>
      <c r="C4083" s="142" t="s">
        <v>15847</v>
      </c>
      <c r="D4083" s="142" t="s">
        <v>15848</v>
      </c>
      <c r="E4083" s="142" t="s">
        <v>15849</v>
      </c>
      <c r="F4083" s="142" t="s">
        <v>9071</v>
      </c>
      <c r="G4083" s="142" t="s">
        <v>9070</v>
      </c>
      <c r="H4083" s="142" t="s">
        <v>19933</v>
      </c>
      <c r="I4083" s="142">
        <v>61</v>
      </c>
      <c r="J4083" s="142">
        <v>0</v>
      </c>
      <c r="K4083" s="142">
        <v>0</v>
      </c>
      <c r="L4083" s="142">
        <v>61</v>
      </c>
      <c r="M4083" s="142">
        <v>0</v>
      </c>
    </row>
    <row r="4084" spans="1:13" x14ac:dyDescent="0.45">
      <c r="A4084" s="142" t="s">
        <v>13004</v>
      </c>
      <c r="B4084" s="142" t="s">
        <v>15492</v>
      </c>
      <c r="C4084" s="142" t="s">
        <v>15847</v>
      </c>
      <c r="D4084" s="142" t="s">
        <v>15848</v>
      </c>
      <c r="E4084" s="142" t="s">
        <v>15849</v>
      </c>
      <c r="F4084" s="142" t="s">
        <v>9071</v>
      </c>
      <c r="G4084" s="142" t="s">
        <v>9070</v>
      </c>
      <c r="H4084" s="142" t="s">
        <v>19934</v>
      </c>
      <c r="I4084" s="142">
        <v>431</v>
      </c>
      <c r="J4084" s="142">
        <v>322</v>
      </c>
      <c r="K4084" s="142">
        <v>0</v>
      </c>
      <c r="L4084" s="142">
        <v>7</v>
      </c>
      <c r="M4084" s="142">
        <v>102</v>
      </c>
    </row>
    <row r="4085" spans="1:13" x14ac:dyDescent="0.45">
      <c r="A4085" s="142" t="s">
        <v>13178</v>
      </c>
      <c r="B4085" s="142" t="s">
        <v>14683</v>
      </c>
      <c r="C4085" s="142" t="s">
        <v>15847</v>
      </c>
      <c r="D4085" s="142" t="s">
        <v>15848</v>
      </c>
      <c r="E4085" s="142" t="s">
        <v>15849</v>
      </c>
      <c r="F4085" s="142" t="s">
        <v>9071</v>
      </c>
      <c r="G4085" s="142" t="s">
        <v>9070</v>
      </c>
      <c r="H4085" s="142" t="s">
        <v>19935</v>
      </c>
      <c r="I4085" s="142">
        <v>10</v>
      </c>
      <c r="J4085" s="142">
        <v>10</v>
      </c>
      <c r="K4085" s="142">
        <v>0</v>
      </c>
      <c r="L4085" s="142">
        <v>0</v>
      </c>
      <c r="M4085" s="142">
        <v>0</v>
      </c>
    </row>
    <row r="4086" spans="1:13" x14ac:dyDescent="0.45">
      <c r="A4086" s="142" t="s">
        <v>13076</v>
      </c>
      <c r="B4086" s="142" t="s">
        <v>14636</v>
      </c>
      <c r="C4086" s="142" t="s">
        <v>15847</v>
      </c>
      <c r="D4086" s="142" t="s">
        <v>15848</v>
      </c>
      <c r="E4086" s="142" t="s">
        <v>15849</v>
      </c>
      <c r="F4086" s="142" t="s">
        <v>9071</v>
      </c>
      <c r="G4086" s="142" t="s">
        <v>9070</v>
      </c>
      <c r="H4086" s="142" t="s">
        <v>19936</v>
      </c>
      <c r="I4086" s="142">
        <v>62</v>
      </c>
      <c r="J4086" s="142">
        <v>0</v>
      </c>
      <c r="K4086" s="142">
        <v>0</v>
      </c>
      <c r="L4086" s="142">
        <v>0</v>
      </c>
      <c r="M4086" s="142">
        <v>62</v>
      </c>
    </row>
    <row r="4087" spans="1:13" x14ac:dyDescent="0.45">
      <c r="A4087" s="142" t="s">
        <v>13331</v>
      </c>
      <c r="B4087" s="142" t="s">
        <v>14682</v>
      </c>
      <c r="C4087" s="142" t="s">
        <v>15860</v>
      </c>
      <c r="D4087" s="142" t="s">
        <v>15861</v>
      </c>
      <c r="E4087" s="142" t="s">
        <v>15849</v>
      </c>
      <c r="F4087" s="142" t="s">
        <v>9071</v>
      </c>
      <c r="G4087" s="142" t="s">
        <v>9070</v>
      </c>
      <c r="H4087" s="142" t="s">
        <v>19937</v>
      </c>
      <c r="I4087" s="142">
        <v>20</v>
      </c>
      <c r="J4087" s="142">
        <v>20</v>
      </c>
      <c r="K4087" s="142">
        <v>0</v>
      </c>
      <c r="L4087" s="142">
        <v>0</v>
      </c>
      <c r="M4087" s="142">
        <v>0</v>
      </c>
    </row>
    <row r="4088" spans="1:13" x14ac:dyDescent="0.45">
      <c r="A4088" s="142" t="s">
        <v>13005</v>
      </c>
      <c r="B4088" s="142" t="s">
        <v>15475</v>
      </c>
      <c r="C4088" s="142" t="s">
        <v>15847</v>
      </c>
      <c r="D4088" s="142" t="s">
        <v>15848</v>
      </c>
      <c r="E4088" s="142" t="s">
        <v>15849</v>
      </c>
      <c r="F4088" s="142" t="s">
        <v>9071</v>
      </c>
      <c r="G4088" s="142" t="s">
        <v>9070</v>
      </c>
      <c r="H4088" s="142" t="s">
        <v>19938</v>
      </c>
      <c r="I4088" s="142">
        <v>4</v>
      </c>
      <c r="J4088" s="142">
        <v>0</v>
      </c>
      <c r="K4088" s="142">
        <v>0</v>
      </c>
      <c r="L4088" s="142">
        <v>0</v>
      </c>
      <c r="M4088" s="142">
        <v>4</v>
      </c>
    </row>
    <row r="4089" spans="1:13" x14ac:dyDescent="0.45">
      <c r="A4089" s="142" t="s">
        <v>13006</v>
      </c>
      <c r="B4089" s="142" t="s">
        <v>15288</v>
      </c>
      <c r="C4089" s="142" t="s">
        <v>15847</v>
      </c>
      <c r="D4089" s="142" t="s">
        <v>15848</v>
      </c>
      <c r="E4089" s="142" t="s">
        <v>15849</v>
      </c>
      <c r="F4089" s="142" t="s">
        <v>9071</v>
      </c>
      <c r="G4089" s="142" t="s">
        <v>9070</v>
      </c>
      <c r="H4089" s="142" t="s">
        <v>19939</v>
      </c>
      <c r="I4089" s="142">
        <v>1</v>
      </c>
      <c r="J4089" s="142">
        <v>0</v>
      </c>
      <c r="K4089" s="142">
        <v>0</v>
      </c>
      <c r="L4089" s="142">
        <v>0</v>
      </c>
      <c r="M4089" s="142">
        <v>1</v>
      </c>
    </row>
    <row r="4090" spans="1:13" x14ac:dyDescent="0.45">
      <c r="A4090" s="142" t="s">
        <v>13007</v>
      </c>
      <c r="B4090" s="142" t="s">
        <v>15262</v>
      </c>
      <c r="C4090" s="142" t="s">
        <v>15847</v>
      </c>
      <c r="D4090" s="142" t="s">
        <v>15848</v>
      </c>
      <c r="E4090" s="142" t="s">
        <v>15849</v>
      </c>
      <c r="F4090" s="142" t="s">
        <v>9071</v>
      </c>
      <c r="G4090" s="142" t="s">
        <v>9070</v>
      </c>
      <c r="H4090" s="142" t="s">
        <v>19940</v>
      </c>
      <c r="I4090" s="142">
        <v>457</v>
      </c>
      <c r="J4090" s="142">
        <v>212</v>
      </c>
      <c r="K4090" s="142">
        <v>0</v>
      </c>
      <c r="L4090" s="142">
        <v>32</v>
      </c>
      <c r="M4090" s="142">
        <v>213</v>
      </c>
    </row>
    <row r="4091" spans="1:13" x14ac:dyDescent="0.45">
      <c r="A4091" s="142" t="s">
        <v>13568</v>
      </c>
      <c r="B4091" s="142" t="s">
        <v>15242</v>
      </c>
      <c r="C4091" s="142" t="s">
        <v>15847</v>
      </c>
      <c r="D4091" s="142" t="s">
        <v>15848</v>
      </c>
      <c r="E4091" s="142" t="s">
        <v>15849</v>
      </c>
      <c r="F4091" s="142" t="s">
        <v>9071</v>
      </c>
      <c r="G4091" s="142" t="s">
        <v>9070</v>
      </c>
      <c r="H4091" s="142" t="s">
        <v>19941</v>
      </c>
      <c r="I4091" s="142">
        <v>27</v>
      </c>
      <c r="J4091" s="142">
        <v>2</v>
      </c>
      <c r="K4091" s="142">
        <v>0</v>
      </c>
      <c r="L4091" s="142">
        <v>22</v>
      </c>
      <c r="M4091" s="142">
        <v>3</v>
      </c>
    </row>
    <row r="4092" spans="1:13" x14ac:dyDescent="0.45">
      <c r="A4092" s="142" t="s">
        <v>13008</v>
      </c>
      <c r="B4092" s="142" t="s">
        <v>15411</v>
      </c>
      <c r="C4092" s="142" t="s">
        <v>15847</v>
      </c>
      <c r="D4092" s="142" t="s">
        <v>15848</v>
      </c>
      <c r="E4092" s="142" t="s">
        <v>15849</v>
      </c>
      <c r="F4092" s="142" t="s">
        <v>9071</v>
      </c>
      <c r="G4092" s="142" t="s">
        <v>9070</v>
      </c>
      <c r="H4092" s="142" t="s">
        <v>19942</v>
      </c>
      <c r="I4092" s="142">
        <v>95</v>
      </c>
      <c r="J4092" s="142">
        <v>0</v>
      </c>
      <c r="K4092" s="142">
        <v>0</v>
      </c>
      <c r="L4092" s="142">
        <v>0</v>
      </c>
      <c r="M4092" s="142">
        <v>95</v>
      </c>
    </row>
    <row r="4093" spans="1:13" x14ac:dyDescent="0.45">
      <c r="A4093" s="142" t="s">
        <v>13077</v>
      </c>
      <c r="B4093" s="142" t="s">
        <v>15407</v>
      </c>
      <c r="C4093" s="142" t="s">
        <v>15847</v>
      </c>
      <c r="D4093" s="142" t="s">
        <v>15848</v>
      </c>
      <c r="E4093" s="142" t="s">
        <v>15849</v>
      </c>
      <c r="F4093" s="142" t="s">
        <v>9071</v>
      </c>
      <c r="G4093" s="142" t="s">
        <v>9070</v>
      </c>
      <c r="H4093" s="142" t="s">
        <v>19943</v>
      </c>
      <c r="I4093" s="142">
        <v>115</v>
      </c>
      <c r="J4093" s="142">
        <v>115</v>
      </c>
      <c r="K4093" s="142">
        <v>0</v>
      </c>
      <c r="L4093" s="142">
        <v>0</v>
      </c>
      <c r="M4093" s="142">
        <v>0</v>
      </c>
    </row>
    <row r="4094" spans="1:13" x14ac:dyDescent="0.45">
      <c r="A4094" s="142" t="s">
        <v>13033</v>
      </c>
      <c r="B4094" s="142" t="s">
        <v>15276</v>
      </c>
      <c r="C4094" s="142" t="s">
        <v>15847</v>
      </c>
      <c r="D4094" s="142" t="s">
        <v>15848</v>
      </c>
      <c r="E4094" s="142" t="s">
        <v>15849</v>
      </c>
      <c r="F4094" s="142" t="s">
        <v>9071</v>
      </c>
      <c r="G4094" s="142" t="s">
        <v>9070</v>
      </c>
      <c r="H4094" s="142" t="s">
        <v>19944</v>
      </c>
      <c r="I4094" s="142">
        <v>15</v>
      </c>
      <c r="J4094" s="142">
        <v>15</v>
      </c>
      <c r="K4094" s="142">
        <v>0</v>
      </c>
      <c r="L4094" s="142">
        <v>0</v>
      </c>
      <c r="M4094" s="142">
        <v>0</v>
      </c>
    </row>
    <row r="4095" spans="1:13" x14ac:dyDescent="0.45">
      <c r="A4095" s="142" t="s">
        <v>13569</v>
      </c>
      <c r="B4095" s="142" t="s">
        <v>15441</v>
      </c>
      <c r="C4095" s="142" t="s">
        <v>15847</v>
      </c>
      <c r="D4095" s="142" t="s">
        <v>15848</v>
      </c>
      <c r="E4095" s="142" t="s">
        <v>15849</v>
      </c>
      <c r="F4095" s="142" t="s">
        <v>9071</v>
      </c>
      <c r="G4095" s="142" t="s">
        <v>9070</v>
      </c>
      <c r="H4095" s="142" t="s">
        <v>19945</v>
      </c>
      <c r="I4095" s="142">
        <v>159</v>
      </c>
      <c r="J4095" s="142">
        <v>73</v>
      </c>
      <c r="K4095" s="142">
        <v>0</v>
      </c>
      <c r="L4095" s="142">
        <v>0</v>
      </c>
      <c r="M4095" s="142">
        <v>86</v>
      </c>
    </row>
    <row r="4096" spans="1:13" x14ac:dyDescent="0.45">
      <c r="A4096" s="142" t="s">
        <v>13782</v>
      </c>
      <c r="B4096" s="142" t="s">
        <v>15327</v>
      </c>
      <c r="C4096" s="142" t="s">
        <v>15860</v>
      </c>
      <c r="D4096" s="142" t="s">
        <v>15861</v>
      </c>
      <c r="E4096" s="142" t="s">
        <v>15849</v>
      </c>
      <c r="F4096" s="142" t="s">
        <v>9071</v>
      </c>
      <c r="G4096" s="142" t="s">
        <v>9070</v>
      </c>
      <c r="H4096" s="142" t="s">
        <v>19946</v>
      </c>
      <c r="I4096" s="142">
        <v>32</v>
      </c>
      <c r="J4096" s="142">
        <v>0</v>
      </c>
      <c r="K4096" s="142">
        <v>0</v>
      </c>
      <c r="L4096" s="142">
        <v>32</v>
      </c>
      <c r="M4096" s="142">
        <v>0</v>
      </c>
    </row>
    <row r="4097" spans="1:13" x14ac:dyDescent="0.45">
      <c r="A4097" s="142" t="s">
        <v>13039</v>
      </c>
      <c r="B4097" s="142" t="s">
        <v>14647</v>
      </c>
      <c r="C4097" s="142" t="s">
        <v>15847</v>
      </c>
      <c r="D4097" s="142" t="s">
        <v>15848</v>
      </c>
      <c r="E4097" s="142" t="s">
        <v>15849</v>
      </c>
      <c r="F4097" s="142" t="s">
        <v>9071</v>
      </c>
      <c r="G4097" s="142" t="s">
        <v>9070</v>
      </c>
      <c r="H4097" s="142" t="s">
        <v>19947</v>
      </c>
      <c r="I4097" s="142">
        <v>12</v>
      </c>
      <c r="J4097" s="142">
        <v>12</v>
      </c>
      <c r="K4097" s="142">
        <v>0</v>
      </c>
      <c r="L4097" s="142">
        <v>0</v>
      </c>
      <c r="M4097" s="142">
        <v>0</v>
      </c>
    </row>
    <row r="4098" spans="1:13" x14ac:dyDescent="0.45">
      <c r="A4098" s="142" t="s">
        <v>13009</v>
      </c>
      <c r="B4098" s="142" t="s">
        <v>15256</v>
      </c>
      <c r="C4098" s="142" t="s">
        <v>15847</v>
      </c>
      <c r="D4098" s="142" t="s">
        <v>15848</v>
      </c>
      <c r="E4098" s="142" t="s">
        <v>15849</v>
      </c>
      <c r="F4098" s="142" t="s">
        <v>9071</v>
      </c>
      <c r="G4098" s="142" t="s">
        <v>9070</v>
      </c>
      <c r="H4098" s="142" t="s">
        <v>19948</v>
      </c>
      <c r="I4098" s="142">
        <v>75</v>
      </c>
      <c r="J4098" s="142">
        <v>67</v>
      </c>
      <c r="K4098" s="142">
        <v>0</v>
      </c>
      <c r="L4098" s="142">
        <v>4</v>
      </c>
      <c r="M4098" s="142">
        <v>4</v>
      </c>
    </row>
    <row r="4099" spans="1:13" x14ac:dyDescent="0.45">
      <c r="A4099" s="142" t="s">
        <v>13056</v>
      </c>
      <c r="B4099" s="142" t="s">
        <v>15435</v>
      </c>
      <c r="C4099" s="142" t="s">
        <v>15847</v>
      </c>
      <c r="D4099" s="142" t="s">
        <v>15848</v>
      </c>
      <c r="E4099" s="142" t="s">
        <v>15849</v>
      </c>
      <c r="F4099" s="142" t="s">
        <v>9071</v>
      </c>
      <c r="G4099" s="142" t="s">
        <v>9070</v>
      </c>
      <c r="H4099" s="142" t="s">
        <v>19949</v>
      </c>
      <c r="I4099" s="142">
        <v>4799</v>
      </c>
      <c r="J4099" s="142">
        <v>3903</v>
      </c>
      <c r="K4099" s="142">
        <v>0</v>
      </c>
      <c r="L4099" s="142">
        <v>716</v>
      </c>
      <c r="M4099" s="142">
        <v>180</v>
      </c>
    </row>
    <row r="4100" spans="1:13" x14ac:dyDescent="0.45">
      <c r="A4100" s="142" t="s">
        <v>13010</v>
      </c>
      <c r="B4100" s="142" t="s">
        <v>15349</v>
      </c>
      <c r="C4100" s="142" t="s">
        <v>15860</v>
      </c>
      <c r="D4100" s="142" t="s">
        <v>15861</v>
      </c>
      <c r="E4100" s="142" t="s">
        <v>15849</v>
      </c>
      <c r="F4100" s="142" t="s">
        <v>9071</v>
      </c>
      <c r="G4100" s="142" t="s">
        <v>9070</v>
      </c>
      <c r="H4100" s="142" t="s">
        <v>19950</v>
      </c>
      <c r="I4100" s="142">
        <v>32</v>
      </c>
      <c r="J4100" s="142">
        <v>0</v>
      </c>
      <c r="K4100" s="142">
        <v>0</v>
      </c>
      <c r="L4100" s="142">
        <v>32</v>
      </c>
      <c r="M4100" s="142">
        <v>0</v>
      </c>
    </row>
    <row r="4101" spans="1:13" x14ac:dyDescent="0.45">
      <c r="A4101" s="142" t="s">
        <v>13011</v>
      </c>
      <c r="B4101" s="142" t="s">
        <v>14695</v>
      </c>
      <c r="C4101" s="142" t="s">
        <v>15847</v>
      </c>
      <c r="D4101" s="142" t="s">
        <v>15848</v>
      </c>
      <c r="E4101" s="142" t="s">
        <v>15849</v>
      </c>
      <c r="F4101" s="142" t="s">
        <v>9071</v>
      </c>
      <c r="G4101" s="142" t="s">
        <v>9070</v>
      </c>
      <c r="H4101" s="142" t="s">
        <v>19951</v>
      </c>
      <c r="I4101" s="142">
        <v>1176</v>
      </c>
      <c r="J4101" s="142">
        <v>916</v>
      </c>
      <c r="K4101" s="142">
        <v>0</v>
      </c>
      <c r="L4101" s="142">
        <v>105</v>
      </c>
      <c r="M4101" s="142">
        <v>155</v>
      </c>
    </row>
    <row r="4102" spans="1:13" x14ac:dyDescent="0.45">
      <c r="A4102" s="142" t="s">
        <v>13041</v>
      </c>
      <c r="B4102" s="142" t="s">
        <v>14441</v>
      </c>
      <c r="C4102" s="142" t="s">
        <v>15847</v>
      </c>
      <c r="D4102" s="142" t="s">
        <v>15848</v>
      </c>
      <c r="E4102" s="142" t="s">
        <v>15849</v>
      </c>
      <c r="F4102" s="142" t="s">
        <v>9071</v>
      </c>
      <c r="G4102" s="142" t="s">
        <v>9070</v>
      </c>
      <c r="H4102" s="142" t="s">
        <v>19952</v>
      </c>
      <c r="I4102" s="142">
        <v>5</v>
      </c>
      <c r="J4102" s="142">
        <v>0</v>
      </c>
      <c r="K4102" s="142">
        <v>0</v>
      </c>
      <c r="L4102" s="142">
        <v>0</v>
      </c>
      <c r="M4102" s="142">
        <v>5</v>
      </c>
    </row>
    <row r="4103" spans="1:13" x14ac:dyDescent="0.45">
      <c r="A4103" s="142" t="s">
        <v>13205</v>
      </c>
      <c r="B4103" s="142" t="s">
        <v>14496</v>
      </c>
      <c r="C4103" s="142" t="s">
        <v>15847</v>
      </c>
      <c r="D4103" s="142" t="s">
        <v>15848</v>
      </c>
      <c r="E4103" s="142" t="s">
        <v>15849</v>
      </c>
      <c r="F4103" s="142" t="s">
        <v>9071</v>
      </c>
      <c r="G4103" s="142" t="s">
        <v>9070</v>
      </c>
      <c r="H4103" s="142" t="s">
        <v>19953</v>
      </c>
      <c r="I4103" s="142">
        <v>37</v>
      </c>
      <c r="J4103" s="142">
        <v>34</v>
      </c>
      <c r="K4103" s="142">
        <v>0</v>
      </c>
      <c r="L4103" s="142">
        <v>0</v>
      </c>
      <c r="M4103" s="142">
        <v>3</v>
      </c>
    </row>
    <row r="4104" spans="1:13" x14ac:dyDescent="0.45">
      <c r="A4104" s="142" t="s">
        <v>13012</v>
      </c>
      <c r="B4104" s="142" t="s">
        <v>15337</v>
      </c>
      <c r="C4104" s="142" t="s">
        <v>15847</v>
      </c>
      <c r="D4104" s="142" t="s">
        <v>15848</v>
      </c>
      <c r="E4104" s="142" t="s">
        <v>15849</v>
      </c>
      <c r="F4104" s="142" t="s">
        <v>9071</v>
      </c>
      <c r="G4104" s="142" t="s">
        <v>9070</v>
      </c>
      <c r="H4104" s="142" t="s">
        <v>19954</v>
      </c>
      <c r="I4104" s="142">
        <v>118</v>
      </c>
      <c r="J4104" s="142">
        <v>112</v>
      </c>
      <c r="K4104" s="142">
        <v>0</v>
      </c>
      <c r="L4104" s="142">
        <v>0</v>
      </c>
      <c r="M4104" s="142">
        <v>6</v>
      </c>
    </row>
    <row r="4105" spans="1:13" x14ac:dyDescent="0.45">
      <c r="A4105" s="142" t="s">
        <v>13014</v>
      </c>
      <c r="B4105" s="142" t="s">
        <v>14505</v>
      </c>
      <c r="C4105" s="142" t="s">
        <v>15847</v>
      </c>
      <c r="D4105" s="142" t="s">
        <v>15848</v>
      </c>
      <c r="E4105" s="142" t="s">
        <v>15849</v>
      </c>
      <c r="F4105" s="142" t="s">
        <v>9071</v>
      </c>
      <c r="G4105" s="142" t="s">
        <v>9070</v>
      </c>
      <c r="H4105" s="142" t="s">
        <v>19955</v>
      </c>
      <c r="I4105" s="142">
        <v>14</v>
      </c>
      <c r="J4105" s="142">
        <v>14</v>
      </c>
      <c r="K4105" s="142">
        <v>0</v>
      </c>
      <c r="L4105" s="142">
        <v>0</v>
      </c>
      <c r="M4105" s="142">
        <v>0</v>
      </c>
    </row>
    <row r="4106" spans="1:13" x14ac:dyDescent="0.45">
      <c r="A4106" s="142" t="s">
        <v>13015</v>
      </c>
      <c r="B4106" s="142" t="s">
        <v>14596</v>
      </c>
      <c r="C4106" s="142" t="s">
        <v>15847</v>
      </c>
      <c r="D4106" s="142" t="s">
        <v>15848</v>
      </c>
      <c r="E4106" s="142" t="s">
        <v>15849</v>
      </c>
      <c r="F4106" s="142" t="s">
        <v>9071</v>
      </c>
      <c r="G4106" s="142" t="s">
        <v>9070</v>
      </c>
      <c r="H4106" s="142" t="s">
        <v>19956</v>
      </c>
      <c r="I4106" s="142">
        <v>53</v>
      </c>
      <c r="J4106" s="142">
        <v>35</v>
      </c>
      <c r="K4106" s="142">
        <v>0</v>
      </c>
      <c r="L4106" s="142">
        <v>0</v>
      </c>
      <c r="M4106" s="142">
        <v>18</v>
      </c>
    </row>
    <row r="4107" spans="1:13" x14ac:dyDescent="0.45">
      <c r="A4107" s="142" t="s">
        <v>13156</v>
      </c>
      <c r="B4107" s="142" t="s">
        <v>14493</v>
      </c>
      <c r="C4107" s="142" t="s">
        <v>15860</v>
      </c>
      <c r="D4107" s="142" t="s">
        <v>15861</v>
      </c>
      <c r="E4107" s="142" t="s">
        <v>15849</v>
      </c>
      <c r="F4107" s="142" t="s">
        <v>9071</v>
      </c>
      <c r="G4107" s="142" t="s">
        <v>9070</v>
      </c>
      <c r="H4107" s="142" t="s">
        <v>19957</v>
      </c>
      <c r="I4107" s="142">
        <v>8</v>
      </c>
      <c r="J4107" s="142">
        <v>0</v>
      </c>
      <c r="K4107" s="142">
        <v>0</v>
      </c>
      <c r="L4107" s="142">
        <v>8</v>
      </c>
      <c r="M4107" s="142">
        <v>0</v>
      </c>
    </row>
    <row r="4108" spans="1:13" x14ac:dyDescent="0.45">
      <c r="A4108" s="142" t="s">
        <v>13017</v>
      </c>
      <c r="B4108" s="142" t="s">
        <v>15580</v>
      </c>
      <c r="C4108" s="142" t="s">
        <v>15847</v>
      </c>
      <c r="D4108" s="142" t="s">
        <v>15848</v>
      </c>
      <c r="E4108" s="142" t="s">
        <v>15849</v>
      </c>
      <c r="F4108" s="142" t="s">
        <v>9071</v>
      </c>
      <c r="G4108" s="142" t="s">
        <v>9070</v>
      </c>
      <c r="H4108" s="142" t="s">
        <v>19958</v>
      </c>
      <c r="I4108" s="142">
        <v>26</v>
      </c>
      <c r="J4108" s="142">
        <v>18</v>
      </c>
      <c r="K4108" s="142">
        <v>0</v>
      </c>
      <c r="L4108" s="142">
        <v>0</v>
      </c>
      <c r="M4108" s="142">
        <v>8</v>
      </c>
    </row>
    <row r="4109" spans="1:13" x14ac:dyDescent="0.45">
      <c r="A4109" s="142" t="s">
        <v>13364</v>
      </c>
      <c r="B4109" s="142" t="s">
        <v>14448</v>
      </c>
      <c r="C4109" s="142" t="s">
        <v>15860</v>
      </c>
      <c r="D4109" s="142" t="s">
        <v>15861</v>
      </c>
      <c r="E4109" s="142" t="s">
        <v>15849</v>
      </c>
      <c r="F4109" s="142" t="s">
        <v>9071</v>
      </c>
      <c r="G4109" s="142" t="s">
        <v>9070</v>
      </c>
      <c r="H4109" s="142" t="s">
        <v>19959</v>
      </c>
      <c r="I4109" s="142">
        <v>50</v>
      </c>
      <c r="J4109" s="142">
        <v>0</v>
      </c>
      <c r="K4109" s="142">
        <v>0</v>
      </c>
      <c r="L4109" s="142">
        <v>50</v>
      </c>
      <c r="M4109" s="142">
        <v>0</v>
      </c>
    </row>
    <row r="4110" spans="1:13" x14ac:dyDescent="0.45">
      <c r="A4110" s="142" t="s">
        <v>13110</v>
      </c>
      <c r="B4110" s="142" t="s">
        <v>15502</v>
      </c>
      <c r="C4110" s="142" t="s">
        <v>15847</v>
      </c>
      <c r="D4110" s="142" t="s">
        <v>15848</v>
      </c>
      <c r="E4110" s="142" t="s">
        <v>15849</v>
      </c>
      <c r="F4110" s="142" t="s">
        <v>11902</v>
      </c>
      <c r="G4110" s="142" t="s">
        <v>11901</v>
      </c>
      <c r="H4110" s="142" t="s">
        <v>19960</v>
      </c>
      <c r="I4110" s="142">
        <v>1199</v>
      </c>
      <c r="J4110" s="142">
        <v>863</v>
      </c>
      <c r="K4110" s="142">
        <v>0</v>
      </c>
      <c r="L4110" s="142">
        <v>0</v>
      </c>
      <c r="M4110" s="142">
        <v>336</v>
      </c>
    </row>
    <row r="4111" spans="1:13" x14ac:dyDescent="0.45">
      <c r="A4111" s="142" t="s">
        <v>13308</v>
      </c>
      <c r="B4111" s="142" t="s">
        <v>15608</v>
      </c>
      <c r="C4111" s="142" t="s">
        <v>15847</v>
      </c>
      <c r="D4111" s="142" t="s">
        <v>15848</v>
      </c>
      <c r="E4111" s="142" t="s">
        <v>15849</v>
      </c>
      <c r="F4111" s="142" t="s">
        <v>11902</v>
      </c>
      <c r="G4111" s="142" t="s">
        <v>11901</v>
      </c>
      <c r="H4111" s="142" t="s">
        <v>19961</v>
      </c>
      <c r="I4111" s="142">
        <v>159</v>
      </c>
      <c r="J4111" s="142">
        <v>0</v>
      </c>
      <c r="K4111" s="142">
        <v>0</v>
      </c>
      <c r="L4111" s="142">
        <v>0</v>
      </c>
      <c r="M4111" s="142">
        <v>159</v>
      </c>
    </row>
    <row r="4112" spans="1:13" x14ac:dyDescent="0.45">
      <c r="A4112" s="142" t="s">
        <v>13166</v>
      </c>
      <c r="B4112" s="142" t="s">
        <v>15576</v>
      </c>
      <c r="C4112" s="142" t="s">
        <v>15847</v>
      </c>
      <c r="D4112" s="142" t="s">
        <v>15848</v>
      </c>
      <c r="E4112" s="142" t="s">
        <v>15849</v>
      </c>
      <c r="F4112" s="142" t="s">
        <v>11902</v>
      </c>
      <c r="G4112" s="142" t="s">
        <v>11901</v>
      </c>
      <c r="H4112" s="142" t="s">
        <v>19962</v>
      </c>
      <c r="I4112" s="142">
        <v>881</v>
      </c>
      <c r="J4112" s="142">
        <v>695</v>
      </c>
      <c r="K4112" s="142">
        <v>0</v>
      </c>
      <c r="L4112" s="142">
        <v>0</v>
      </c>
      <c r="M4112" s="142">
        <v>186</v>
      </c>
    </row>
    <row r="4113" spans="1:13" x14ac:dyDescent="0.45">
      <c r="A4113" s="142" t="s">
        <v>13022</v>
      </c>
      <c r="B4113" s="142" t="s">
        <v>14634</v>
      </c>
      <c r="C4113" s="142" t="s">
        <v>15847</v>
      </c>
      <c r="D4113" s="142" t="s">
        <v>15848</v>
      </c>
      <c r="E4113" s="142" t="s">
        <v>15849</v>
      </c>
      <c r="F4113" s="142" t="s">
        <v>11902</v>
      </c>
      <c r="G4113" s="142" t="s">
        <v>11901</v>
      </c>
      <c r="H4113" s="142" t="s">
        <v>19963</v>
      </c>
      <c r="I4113" s="142">
        <v>1</v>
      </c>
      <c r="J4113" s="142">
        <v>0</v>
      </c>
      <c r="K4113" s="142">
        <v>0</v>
      </c>
      <c r="L4113" s="142">
        <v>0</v>
      </c>
      <c r="M4113" s="142">
        <v>1</v>
      </c>
    </row>
    <row r="4114" spans="1:13" x14ac:dyDescent="0.45">
      <c r="A4114" s="142" t="s">
        <v>13784</v>
      </c>
      <c r="B4114" s="142" t="s">
        <v>15113</v>
      </c>
      <c r="C4114" s="142" t="s">
        <v>15860</v>
      </c>
      <c r="D4114" s="142" t="s">
        <v>15861</v>
      </c>
      <c r="E4114" s="142" t="s">
        <v>15849</v>
      </c>
      <c r="F4114" s="142" t="s">
        <v>11902</v>
      </c>
      <c r="G4114" s="142" t="s">
        <v>11901</v>
      </c>
      <c r="H4114" s="142" t="s">
        <v>19964</v>
      </c>
      <c r="I4114" s="142">
        <v>55</v>
      </c>
      <c r="J4114" s="142">
        <v>55</v>
      </c>
      <c r="K4114" s="142">
        <v>0</v>
      </c>
      <c r="L4114" s="142">
        <v>0</v>
      </c>
      <c r="M4114" s="142">
        <v>0</v>
      </c>
    </row>
    <row r="4115" spans="1:13" x14ac:dyDescent="0.45">
      <c r="A4115" s="142" t="s">
        <v>13115</v>
      </c>
      <c r="B4115" s="142" t="s">
        <v>14508</v>
      </c>
      <c r="C4115" s="142" t="s">
        <v>15860</v>
      </c>
      <c r="D4115" s="142" t="s">
        <v>15861</v>
      </c>
      <c r="E4115" s="142" t="s">
        <v>15849</v>
      </c>
      <c r="F4115" s="142" t="s">
        <v>11902</v>
      </c>
      <c r="G4115" s="142" t="s">
        <v>11901</v>
      </c>
      <c r="H4115" s="142" t="s">
        <v>19965</v>
      </c>
      <c r="I4115" s="142">
        <v>25</v>
      </c>
      <c r="J4115" s="142">
        <v>0</v>
      </c>
      <c r="K4115" s="142">
        <v>18</v>
      </c>
      <c r="L4115" s="142">
        <v>7</v>
      </c>
      <c r="M4115" s="142">
        <v>0</v>
      </c>
    </row>
    <row r="4116" spans="1:13" x14ac:dyDescent="0.45">
      <c r="A4116" s="142" t="s">
        <v>13433</v>
      </c>
      <c r="B4116" s="142" t="s">
        <v>15167</v>
      </c>
      <c r="C4116" s="142" t="s">
        <v>15847</v>
      </c>
      <c r="D4116" s="142" t="s">
        <v>15848</v>
      </c>
      <c r="E4116" s="142" t="s">
        <v>15849</v>
      </c>
      <c r="F4116" s="142" t="s">
        <v>11902</v>
      </c>
      <c r="G4116" s="142" t="s">
        <v>11901</v>
      </c>
      <c r="H4116" s="142" t="s">
        <v>19966</v>
      </c>
      <c r="I4116" s="142">
        <v>38</v>
      </c>
      <c r="J4116" s="142">
        <v>6</v>
      </c>
      <c r="K4116" s="142">
        <v>0</v>
      </c>
      <c r="L4116" s="142">
        <v>32</v>
      </c>
      <c r="M4116" s="142">
        <v>0</v>
      </c>
    </row>
    <row r="4117" spans="1:13" x14ac:dyDescent="0.45">
      <c r="A4117" s="142" t="s">
        <v>13159</v>
      </c>
      <c r="B4117" s="142" t="s">
        <v>14521</v>
      </c>
      <c r="C4117" s="142" t="s">
        <v>15860</v>
      </c>
      <c r="D4117" s="142" t="s">
        <v>15861</v>
      </c>
      <c r="E4117" s="142" t="s">
        <v>15849</v>
      </c>
      <c r="F4117" s="142" t="s">
        <v>11902</v>
      </c>
      <c r="G4117" s="142" t="s">
        <v>11901</v>
      </c>
      <c r="H4117" s="142" t="s">
        <v>19967</v>
      </c>
      <c r="I4117" s="142">
        <v>17</v>
      </c>
      <c r="J4117" s="142">
        <v>0</v>
      </c>
      <c r="K4117" s="142">
        <v>0</v>
      </c>
      <c r="L4117" s="142">
        <v>17</v>
      </c>
      <c r="M4117" s="142">
        <v>0</v>
      </c>
    </row>
    <row r="4118" spans="1:13" x14ac:dyDescent="0.45">
      <c r="A4118" s="142" t="s">
        <v>13000</v>
      </c>
      <c r="B4118" s="142" t="s">
        <v>14610</v>
      </c>
      <c r="C4118" s="142" t="s">
        <v>15847</v>
      </c>
      <c r="D4118" s="142" t="s">
        <v>15848</v>
      </c>
      <c r="E4118" s="142" t="s">
        <v>15849</v>
      </c>
      <c r="F4118" s="142" t="s">
        <v>11902</v>
      </c>
      <c r="G4118" s="142" t="s">
        <v>11901</v>
      </c>
      <c r="H4118" s="142" t="s">
        <v>19968</v>
      </c>
      <c r="I4118" s="142">
        <v>85</v>
      </c>
      <c r="J4118" s="142">
        <v>66</v>
      </c>
      <c r="K4118" s="142">
        <v>0</v>
      </c>
      <c r="L4118" s="142">
        <v>0</v>
      </c>
      <c r="M4118" s="142">
        <v>19</v>
      </c>
    </row>
    <row r="4119" spans="1:13" x14ac:dyDescent="0.45">
      <c r="A4119" s="142" t="s">
        <v>13632</v>
      </c>
      <c r="B4119" s="142" t="s">
        <v>15080</v>
      </c>
      <c r="C4119" s="142" t="s">
        <v>15860</v>
      </c>
      <c r="D4119" s="142" t="s">
        <v>15861</v>
      </c>
      <c r="E4119" s="142" t="s">
        <v>15849</v>
      </c>
      <c r="F4119" s="142" t="s">
        <v>11902</v>
      </c>
      <c r="G4119" s="142" t="s">
        <v>11901</v>
      </c>
      <c r="H4119" s="142" t="s">
        <v>19969</v>
      </c>
      <c r="I4119" s="142">
        <v>106</v>
      </c>
      <c r="J4119" s="142">
        <v>106</v>
      </c>
      <c r="K4119" s="142">
        <v>0</v>
      </c>
      <c r="L4119" s="142">
        <v>0</v>
      </c>
      <c r="M4119" s="142">
        <v>0</v>
      </c>
    </row>
    <row r="4120" spans="1:13" x14ac:dyDescent="0.45">
      <c r="A4120" s="142" t="s">
        <v>13098</v>
      </c>
      <c r="B4120" s="142" t="s">
        <v>14528</v>
      </c>
      <c r="C4120" s="142" t="s">
        <v>15860</v>
      </c>
      <c r="D4120" s="142" t="s">
        <v>15861</v>
      </c>
      <c r="E4120" s="142" t="s">
        <v>15849</v>
      </c>
      <c r="F4120" s="142" t="s">
        <v>11902</v>
      </c>
      <c r="G4120" s="142" t="s">
        <v>11901</v>
      </c>
      <c r="H4120" s="142" t="s">
        <v>19970</v>
      </c>
      <c r="I4120" s="142">
        <v>5</v>
      </c>
      <c r="J4120" s="142">
        <v>5</v>
      </c>
      <c r="K4120" s="142">
        <v>0</v>
      </c>
      <c r="L4120" s="142">
        <v>0</v>
      </c>
      <c r="M4120" s="142">
        <v>0</v>
      </c>
    </row>
    <row r="4121" spans="1:13" x14ac:dyDescent="0.45">
      <c r="A4121" s="142" t="s">
        <v>13785</v>
      </c>
      <c r="B4121" s="142" t="s">
        <v>15038</v>
      </c>
      <c r="C4121" s="142" t="s">
        <v>15860</v>
      </c>
      <c r="D4121" s="142" t="s">
        <v>15861</v>
      </c>
      <c r="E4121" s="142" t="s">
        <v>15849</v>
      </c>
      <c r="F4121" s="142" t="s">
        <v>11902</v>
      </c>
      <c r="G4121" s="142" t="s">
        <v>11901</v>
      </c>
      <c r="H4121" s="142" t="s">
        <v>19971</v>
      </c>
      <c r="I4121" s="142">
        <v>23</v>
      </c>
      <c r="J4121" s="142">
        <v>23</v>
      </c>
      <c r="K4121" s="142">
        <v>0</v>
      </c>
      <c r="L4121" s="142">
        <v>0</v>
      </c>
      <c r="M4121" s="142">
        <v>0</v>
      </c>
    </row>
    <row r="4122" spans="1:13" x14ac:dyDescent="0.45">
      <c r="A4122" s="142" t="s">
        <v>13786</v>
      </c>
      <c r="B4122" s="142" t="s">
        <v>15358</v>
      </c>
      <c r="C4122" s="142" t="s">
        <v>15860</v>
      </c>
      <c r="D4122" s="142" t="s">
        <v>15861</v>
      </c>
      <c r="E4122" s="142" t="s">
        <v>15849</v>
      </c>
      <c r="F4122" s="142" t="s">
        <v>11902</v>
      </c>
      <c r="G4122" s="142" t="s">
        <v>11901</v>
      </c>
      <c r="H4122" s="142" t="s">
        <v>19972</v>
      </c>
      <c r="I4122" s="142">
        <v>8</v>
      </c>
      <c r="J4122" s="142">
        <v>0</v>
      </c>
      <c r="K4122" s="142">
        <v>0</v>
      </c>
      <c r="L4122" s="142">
        <v>8</v>
      </c>
      <c r="M4122" s="142">
        <v>0</v>
      </c>
    </row>
    <row r="4123" spans="1:13" x14ac:dyDescent="0.45">
      <c r="A4123" s="142" t="s">
        <v>13119</v>
      </c>
      <c r="B4123" s="142" t="s">
        <v>14451</v>
      </c>
      <c r="C4123" s="142" t="s">
        <v>15860</v>
      </c>
      <c r="D4123" s="142" t="s">
        <v>15861</v>
      </c>
      <c r="E4123" s="142" t="s">
        <v>15849</v>
      </c>
      <c r="F4123" s="142" t="s">
        <v>11902</v>
      </c>
      <c r="G4123" s="142" t="s">
        <v>11901</v>
      </c>
      <c r="H4123" s="142" t="s">
        <v>19973</v>
      </c>
      <c r="I4123" s="142">
        <v>2</v>
      </c>
      <c r="J4123" s="142">
        <v>0</v>
      </c>
      <c r="K4123" s="142">
        <v>0</v>
      </c>
      <c r="L4123" s="142">
        <v>2</v>
      </c>
      <c r="M4123" s="142">
        <v>0</v>
      </c>
    </row>
    <row r="4124" spans="1:13" x14ac:dyDescent="0.45">
      <c r="A4124" s="142" t="s">
        <v>13787</v>
      </c>
      <c r="B4124" s="142" t="s">
        <v>14981</v>
      </c>
      <c r="C4124" s="142" t="s">
        <v>15860</v>
      </c>
      <c r="D4124" s="142" t="s">
        <v>15861</v>
      </c>
      <c r="E4124" s="142" t="s">
        <v>15849</v>
      </c>
      <c r="F4124" s="142" t="s">
        <v>11902</v>
      </c>
      <c r="G4124" s="142" t="s">
        <v>11901</v>
      </c>
      <c r="H4124" s="142" t="s">
        <v>19974</v>
      </c>
      <c r="I4124" s="142">
        <v>75</v>
      </c>
      <c r="J4124" s="142">
        <v>75</v>
      </c>
      <c r="K4124" s="142">
        <v>0</v>
      </c>
      <c r="L4124" s="142">
        <v>0</v>
      </c>
      <c r="M4124" s="142">
        <v>0</v>
      </c>
    </row>
    <row r="4125" spans="1:13" x14ac:dyDescent="0.45">
      <c r="A4125" s="142" t="s">
        <v>13398</v>
      </c>
      <c r="B4125" s="142" t="s">
        <v>15297</v>
      </c>
      <c r="C4125" s="142" t="s">
        <v>15860</v>
      </c>
      <c r="D4125" s="142" t="s">
        <v>15861</v>
      </c>
      <c r="E4125" s="142" t="s">
        <v>15849</v>
      </c>
      <c r="F4125" s="142" t="s">
        <v>11902</v>
      </c>
      <c r="G4125" s="142" t="s">
        <v>11901</v>
      </c>
      <c r="H4125" s="142" t="s">
        <v>19975</v>
      </c>
      <c r="I4125" s="142">
        <v>41</v>
      </c>
      <c r="J4125" s="142">
        <v>3</v>
      </c>
      <c r="K4125" s="142">
        <v>0</v>
      </c>
      <c r="L4125" s="142">
        <v>38</v>
      </c>
      <c r="M4125" s="142">
        <v>0</v>
      </c>
    </row>
    <row r="4126" spans="1:13" x14ac:dyDescent="0.45">
      <c r="A4126" s="142" t="s">
        <v>13001</v>
      </c>
      <c r="B4126" s="142" t="s">
        <v>15506</v>
      </c>
      <c r="C4126" s="142" t="s">
        <v>15847</v>
      </c>
      <c r="D4126" s="142" t="s">
        <v>15848</v>
      </c>
      <c r="E4126" s="142" t="s">
        <v>15849</v>
      </c>
      <c r="F4126" s="142" t="s">
        <v>11902</v>
      </c>
      <c r="G4126" s="142" t="s">
        <v>11901</v>
      </c>
      <c r="H4126" s="142" t="s">
        <v>19976</v>
      </c>
      <c r="I4126" s="142">
        <v>63</v>
      </c>
      <c r="J4126" s="142">
        <v>63</v>
      </c>
      <c r="K4126" s="142">
        <v>0</v>
      </c>
      <c r="L4126" s="142">
        <v>0</v>
      </c>
      <c r="M4126" s="142">
        <v>0</v>
      </c>
    </row>
    <row r="4127" spans="1:13" x14ac:dyDescent="0.45">
      <c r="A4127" s="142" t="s">
        <v>13028</v>
      </c>
      <c r="B4127" s="142" t="s">
        <v>14462</v>
      </c>
      <c r="C4127" s="142" t="s">
        <v>15847</v>
      </c>
      <c r="D4127" s="142" t="s">
        <v>15848</v>
      </c>
      <c r="E4127" s="142" t="s">
        <v>15849</v>
      </c>
      <c r="F4127" s="142" t="s">
        <v>11902</v>
      </c>
      <c r="G4127" s="142" t="s">
        <v>11901</v>
      </c>
      <c r="H4127" s="142" t="s">
        <v>19977</v>
      </c>
      <c r="I4127" s="142">
        <v>9</v>
      </c>
      <c r="J4127" s="142">
        <v>0</v>
      </c>
      <c r="K4127" s="142">
        <v>0</v>
      </c>
      <c r="L4127" s="142">
        <v>0</v>
      </c>
      <c r="M4127" s="142">
        <v>9</v>
      </c>
    </row>
    <row r="4128" spans="1:13" x14ac:dyDescent="0.45">
      <c r="A4128" s="142" t="s">
        <v>13002</v>
      </c>
      <c r="B4128" s="142" t="s">
        <v>15376</v>
      </c>
      <c r="C4128" s="142" t="s">
        <v>15847</v>
      </c>
      <c r="D4128" s="142" t="s">
        <v>15848</v>
      </c>
      <c r="E4128" s="142" t="s">
        <v>15849</v>
      </c>
      <c r="F4128" s="142" t="s">
        <v>11902</v>
      </c>
      <c r="G4128" s="142" t="s">
        <v>11901</v>
      </c>
      <c r="H4128" s="142" t="s">
        <v>19978</v>
      </c>
      <c r="I4128" s="142">
        <v>81</v>
      </c>
      <c r="J4128" s="142">
        <v>55</v>
      </c>
      <c r="K4128" s="142">
        <v>0</v>
      </c>
      <c r="L4128" s="142">
        <v>26</v>
      </c>
      <c r="M4128" s="142">
        <v>0</v>
      </c>
    </row>
    <row r="4129" spans="1:13" x14ac:dyDescent="0.45">
      <c r="A4129" s="142" t="s">
        <v>13003</v>
      </c>
      <c r="B4129" s="142" t="s">
        <v>15245</v>
      </c>
      <c r="C4129" s="142" t="s">
        <v>15847</v>
      </c>
      <c r="D4129" s="142" t="s">
        <v>15848</v>
      </c>
      <c r="E4129" s="142" t="s">
        <v>15849</v>
      </c>
      <c r="F4129" s="142" t="s">
        <v>11902</v>
      </c>
      <c r="G4129" s="142" t="s">
        <v>11901</v>
      </c>
      <c r="H4129" s="142" t="s">
        <v>19979</v>
      </c>
      <c r="I4129" s="142">
        <v>43</v>
      </c>
      <c r="J4129" s="142">
        <v>0</v>
      </c>
      <c r="K4129" s="142">
        <v>0</v>
      </c>
      <c r="L4129" s="142">
        <v>39</v>
      </c>
      <c r="M4129" s="142">
        <v>4</v>
      </c>
    </row>
    <row r="4130" spans="1:13" x14ac:dyDescent="0.45">
      <c r="A4130" s="142" t="s">
        <v>13337</v>
      </c>
      <c r="B4130" s="142" t="s">
        <v>15301</v>
      </c>
      <c r="C4130" s="142" t="s">
        <v>15860</v>
      </c>
      <c r="D4130" s="142" t="s">
        <v>15861</v>
      </c>
      <c r="E4130" s="142" t="s">
        <v>15849</v>
      </c>
      <c r="F4130" s="142" t="s">
        <v>11902</v>
      </c>
      <c r="G4130" s="142" t="s">
        <v>11901</v>
      </c>
      <c r="H4130" s="142" t="s">
        <v>19980</v>
      </c>
      <c r="I4130" s="142">
        <v>42</v>
      </c>
      <c r="J4130" s="142">
        <v>42</v>
      </c>
      <c r="K4130" s="142">
        <v>0</v>
      </c>
      <c r="L4130" s="142">
        <v>0</v>
      </c>
      <c r="M4130" s="142">
        <v>0</v>
      </c>
    </row>
    <row r="4131" spans="1:13" x14ac:dyDescent="0.45">
      <c r="A4131" s="142" t="s">
        <v>13066</v>
      </c>
      <c r="B4131" s="142" t="s">
        <v>14459</v>
      </c>
      <c r="C4131" s="142" t="s">
        <v>15847</v>
      </c>
      <c r="D4131" s="142" t="s">
        <v>15848</v>
      </c>
      <c r="E4131" s="142" t="s">
        <v>15849</v>
      </c>
      <c r="F4131" s="142" t="s">
        <v>11902</v>
      </c>
      <c r="G4131" s="142" t="s">
        <v>11901</v>
      </c>
      <c r="H4131" s="142" t="s">
        <v>19981</v>
      </c>
      <c r="I4131" s="142">
        <v>4</v>
      </c>
      <c r="J4131" s="142">
        <v>0</v>
      </c>
      <c r="K4131" s="142">
        <v>0</v>
      </c>
      <c r="L4131" s="142">
        <v>4</v>
      </c>
      <c r="M4131" s="142">
        <v>0</v>
      </c>
    </row>
    <row r="4132" spans="1:13" x14ac:dyDescent="0.45">
      <c r="A4132" s="142" t="s">
        <v>13788</v>
      </c>
      <c r="B4132" s="142" t="s">
        <v>14466</v>
      </c>
      <c r="C4132" s="142" t="s">
        <v>15860</v>
      </c>
      <c r="D4132" s="142" t="s">
        <v>15861</v>
      </c>
      <c r="E4132" s="142" t="s">
        <v>15849</v>
      </c>
      <c r="F4132" s="142" t="s">
        <v>11902</v>
      </c>
      <c r="G4132" s="142" t="s">
        <v>11901</v>
      </c>
      <c r="H4132" s="142" t="s">
        <v>19982</v>
      </c>
      <c r="I4132" s="142">
        <v>111</v>
      </c>
      <c r="J4132" s="142">
        <v>99</v>
      </c>
      <c r="K4132" s="142">
        <v>0</v>
      </c>
      <c r="L4132" s="142">
        <v>12</v>
      </c>
      <c r="M4132" s="142">
        <v>0</v>
      </c>
    </row>
    <row r="4133" spans="1:13" x14ac:dyDescent="0.45">
      <c r="A4133" s="142" t="s">
        <v>13789</v>
      </c>
      <c r="B4133" s="142" t="s">
        <v>15596</v>
      </c>
      <c r="C4133" s="142" t="s">
        <v>15860</v>
      </c>
      <c r="D4133" s="142" t="s">
        <v>15861</v>
      </c>
      <c r="E4133" s="142" t="s">
        <v>15849</v>
      </c>
      <c r="F4133" s="142" t="s">
        <v>11902</v>
      </c>
      <c r="G4133" s="142" t="s">
        <v>11901</v>
      </c>
      <c r="H4133" s="142" t="s">
        <v>19983</v>
      </c>
      <c r="I4133" s="142">
        <v>36</v>
      </c>
      <c r="J4133" s="142">
        <v>0</v>
      </c>
      <c r="K4133" s="142">
        <v>0</v>
      </c>
      <c r="L4133" s="142">
        <v>36</v>
      </c>
      <c r="M4133" s="142">
        <v>0</v>
      </c>
    </row>
    <row r="4134" spans="1:13" x14ac:dyDescent="0.45">
      <c r="A4134" s="142" t="s">
        <v>13127</v>
      </c>
      <c r="B4134" s="142" t="s">
        <v>15549</v>
      </c>
      <c r="C4134" s="142" t="s">
        <v>15847</v>
      </c>
      <c r="D4134" s="142" t="s">
        <v>15848</v>
      </c>
      <c r="E4134" s="142" t="s">
        <v>15849</v>
      </c>
      <c r="F4134" s="142" t="s">
        <v>11902</v>
      </c>
      <c r="G4134" s="142" t="s">
        <v>11901</v>
      </c>
      <c r="H4134" s="142" t="s">
        <v>19984</v>
      </c>
      <c r="I4134" s="142">
        <v>206</v>
      </c>
      <c r="J4134" s="142">
        <v>193</v>
      </c>
      <c r="K4134" s="142">
        <v>0</v>
      </c>
      <c r="L4134" s="142">
        <v>0</v>
      </c>
      <c r="M4134" s="142">
        <v>13</v>
      </c>
    </row>
    <row r="4135" spans="1:13" x14ac:dyDescent="0.45">
      <c r="A4135" s="142" t="s">
        <v>13178</v>
      </c>
      <c r="B4135" s="142" t="s">
        <v>14683</v>
      </c>
      <c r="C4135" s="142" t="s">
        <v>15847</v>
      </c>
      <c r="D4135" s="142" t="s">
        <v>15848</v>
      </c>
      <c r="E4135" s="142" t="s">
        <v>15849</v>
      </c>
      <c r="F4135" s="142" t="s">
        <v>11902</v>
      </c>
      <c r="G4135" s="142" t="s">
        <v>11901</v>
      </c>
      <c r="H4135" s="142" t="s">
        <v>19985</v>
      </c>
      <c r="I4135" s="142">
        <v>9</v>
      </c>
      <c r="J4135" s="142">
        <v>9</v>
      </c>
      <c r="K4135" s="142">
        <v>0</v>
      </c>
      <c r="L4135" s="142">
        <v>0</v>
      </c>
      <c r="M4135" s="142">
        <v>0</v>
      </c>
    </row>
    <row r="4136" spans="1:13" x14ac:dyDescent="0.45">
      <c r="A4136" s="142" t="s">
        <v>13076</v>
      </c>
      <c r="B4136" s="142" t="s">
        <v>14636</v>
      </c>
      <c r="C4136" s="142" t="s">
        <v>15847</v>
      </c>
      <c r="D4136" s="142" t="s">
        <v>15848</v>
      </c>
      <c r="E4136" s="142" t="s">
        <v>15849</v>
      </c>
      <c r="F4136" s="142" t="s">
        <v>11902</v>
      </c>
      <c r="G4136" s="142" t="s">
        <v>11901</v>
      </c>
      <c r="H4136" s="142" t="s">
        <v>19986</v>
      </c>
      <c r="I4136" s="142">
        <v>66</v>
      </c>
      <c r="J4136" s="142">
        <v>0</v>
      </c>
      <c r="K4136" s="142">
        <v>0</v>
      </c>
      <c r="L4136" s="142">
        <v>0</v>
      </c>
      <c r="M4136" s="142">
        <v>66</v>
      </c>
    </row>
    <row r="4137" spans="1:13" x14ac:dyDescent="0.45">
      <c r="A4137" s="142" t="s">
        <v>13005</v>
      </c>
      <c r="B4137" s="142" t="s">
        <v>15475</v>
      </c>
      <c r="C4137" s="142" t="s">
        <v>15847</v>
      </c>
      <c r="D4137" s="142" t="s">
        <v>15848</v>
      </c>
      <c r="E4137" s="142" t="s">
        <v>15849</v>
      </c>
      <c r="F4137" s="142" t="s">
        <v>11902</v>
      </c>
      <c r="G4137" s="142" t="s">
        <v>11901</v>
      </c>
      <c r="H4137" s="142" t="s">
        <v>19987</v>
      </c>
      <c r="I4137" s="142">
        <v>504</v>
      </c>
      <c r="J4137" s="142">
        <v>426</v>
      </c>
      <c r="K4137" s="142">
        <v>0</v>
      </c>
      <c r="L4137" s="142">
        <v>0</v>
      </c>
      <c r="M4137" s="142">
        <v>78</v>
      </c>
    </row>
    <row r="4138" spans="1:13" x14ac:dyDescent="0.45">
      <c r="A4138" s="142" t="s">
        <v>13006</v>
      </c>
      <c r="B4138" s="142" t="s">
        <v>15288</v>
      </c>
      <c r="C4138" s="142" t="s">
        <v>15847</v>
      </c>
      <c r="D4138" s="142" t="s">
        <v>15848</v>
      </c>
      <c r="E4138" s="142" t="s">
        <v>15849</v>
      </c>
      <c r="F4138" s="142" t="s">
        <v>11902</v>
      </c>
      <c r="G4138" s="142" t="s">
        <v>11901</v>
      </c>
      <c r="H4138" s="142" t="s">
        <v>19988</v>
      </c>
      <c r="I4138" s="142">
        <v>926</v>
      </c>
      <c r="J4138" s="142">
        <v>723</v>
      </c>
      <c r="K4138" s="142">
        <v>0</v>
      </c>
      <c r="L4138" s="142">
        <v>0</v>
      </c>
      <c r="M4138" s="142">
        <v>203</v>
      </c>
    </row>
    <row r="4139" spans="1:13" x14ac:dyDescent="0.45">
      <c r="A4139" s="142" t="s">
        <v>13103</v>
      </c>
      <c r="B4139" s="142" t="s">
        <v>14623</v>
      </c>
      <c r="C4139" s="142" t="s">
        <v>15847</v>
      </c>
      <c r="D4139" s="142" t="s">
        <v>15848</v>
      </c>
      <c r="E4139" s="142" t="s">
        <v>15849</v>
      </c>
      <c r="F4139" s="142" t="s">
        <v>11902</v>
      </c>
      <c r="G4139" s="142" t="s">
        <v>11901</v>
      </c>
      <c r="H4139" s="142" t="s">
        <v>19989</v>
      </c>
      <c r="I4139" s="142">
        <v>1267</v>
      </c>
      <c r="J4139" s="142">
        <v>1083</v>
      </c>
      <c r="K4139" s="142">
        <v>43</v>
      </c>
      <c r="L4139" s="142">
        <v>67</v>
      </c>
      <c r="M4139" s="142">
        <v>74</v>
      </c>
    </row>
    <row r="4140" spans="1:13" x14ac:dyDescent="0.45">
      <c r="A4140" s="142" t="s">
        <v>13054</v>
      </c>
      <c r="B4140" s="142" t="s">
        <v>15604</v>
      </c>
      <c r="C4140" s="142" t="s">
        <v>15847</v>
      </c>
      <c r="D4140" s="142" t="s">
        <v>15848</v>
      </c>
      <c r="E4140" s="142" t="s">
        <v>15849</v>
      </c>
      <c r="F4140" s="142" t="s">
        <v>11902</v>
      </c>
      <c r="G4140" s="142" t="s">
        <v>11901</v>
      </c>
      <c r="H4140" s="142" t="s">
        <v>19990</v>
      </c>
      <c r="I4140" s="142">
        <v>494</v>
      </c>
      <c r="J4140" s="142">
        <v>21</v>
      </c>
      <c r="K4140" s="142">
        <v>0</v>
      </c>
      <c r="L4140" s="142">
        <v>0</v>
      </c>
      <c r="M4140" s="142">
        <v>473</v>
      </c>
    </row>
    <row r="4141" spans="1:13" x14ac:dyDescent="0.45">
      <c r="A4141" s="142" t="s">
        <v>13129</v>
      </c>
      <c r="B4141" s="142" t="s">
        <v>15284</v>
      </c>
      <c r="C4141" s="142" t="s">
        <v>15847</v>
      </c>
      <c r="D4141" s="142" t="s">
        <v>15848</v>
      </c>
      <c r="E4141" s="142" t="s">
        <v>15849</v>
      </c>
      <c r="F4141" s="142" t="s">
        <v>11902</v>
      </c>
      <c r="G4141" s="142" t="s">
        <v>11901</v>
      </c>
      <c r="H4141" s="142" t="s">
        <v>19991</v>
      </c>
      <c r="I4141" s="142">
        <v>203</v>
      </c>
      <c r="J4141" s="142">
        <v>69</v>
      </c>
      <c r="K4141" s="142">
        <v>0</v>
      </c>
      <c r="L4141" s="142">
        <v>91</v>
      </c>
      <c r="M4141" s="142">
        <v>43</v>
      </c>
    </row>
    <row r="4142" spans="1:13" x14ac:dyDescent="0.45">
      <c r="A4142" s="142" t="s">
        <v>13790</v>
      </c>
      <c r="B4142" s="142" t="s">
        <v>15092</v>
      </c>
      <c r="C4142" s="142" t="s">
        <v>15860</v>
      </c>
      <c r="D4142" s="142" t="s">
        <v>15861</v>
      </c>
      <c r="E4142" s="142" t="s">
        <v>15849</v>
      </c>
      <c r="F4142" s="142" t="s">
        <v>11902</v>
      </c>
      <c r="G4142" s="142" t="s">
        <v>11901</v>
      </c>
      <c r="H4142" s="142" t="s">
        <v>19992</v>
      </c>
      <c r="I4142" s="142">
        <v>20</v>
      </c>
      <c r="J4142" s="142">
        <v>20</v>
      </c>
      <c r="K4142" s="142">
        <v>0</v>
      </c>
      <c r="L4142" s="142">
        <v>0</v>
      </c>
      <c r="M4142" s="142">
        <v>0</v>
      </c>
    </row>
    <row r="4143" spans="1:13" x14ac:dyDescent="0.45">
      <c r="A4143" s="142" t="s">
        <v>13133</v>
      </c>
      <c r="B4143" s="142" t="s">
        <v>15291</v>
      </c>
      <c r="C4143" s="142" t="s">
        <v>15847</v>
      </c>
      <c r="D4143" s="142" t="s">
        <v>15848</v>
      </c>
      <c r="E4143" s="142" t="s">
        <v>15849</v>
      </c>
      <c r="F4143" s="142" t="s">
        <v>11902</v>
      </c>
      <c r="G4143" s="142" t="s">
        <v>11901</v>
      </c>
      <c r="H4143" s="142" t="s">
        <v>19993</v>
      </c>
      <c r="I4143" s="142">
        <v>1</v>
      </c>
      <c r="J4143" s="142">
        <v>0</v>
      </c>
      <c r="K4143" s="142">
        <v>0</v>
      </c>
      <c r="L4143" s="142">
        <v>0</v>
      </c>
      <c r="M4143" s="142">
        <v>1</v>
      </c>
    </row>
    <row r="4144" spans="1:13" x14ac:dyDescent="0.45">
      <c r="A4144" s="142" t="s">
        <v>13055</v>
      </c>
      <c r="B4144" s="142" t="s">
        <v>14595</v>
      </c>
      <c r="C4144" s="142" t="s">
        <v>15847</v>
      </c>
      <c r="D4144" s="142" t="s">
        <v>15848</v>
      </c>
      <c r="E4144" s="142" t="s">
        <v>15849</v>
      </c>
      <c r="F4144" s="142" t="s">
        <v>11902</v>
      </c>
      <c r="G4144" s="142" t="s">
        <v>11901</v>
      </c>
      <c r="H4144" s="142" t="s">
        <v>19994</v>
      </c>
      <c r="I4144" s="142">
        <v>308</v>
      </c>
      <c r="J4144" s="142">
        <v>270</v>
      </c>
      <c r="K4144" s="142">
        <v>0</v>
      </c>
      <c r="L4144" s="142">
        <v>11</v>
      </c>
      <c r="M4144" s="142">
        <v>27</v>
      </c>
    </row>
    <row r="4145" spans="1:13" x14ac:dyDescent="0.45">
      <c r="A4145" s="142" t="s">
        <v>13104</v>
      </c>
      <c r="B4145" s="142" t="s">
        <v>14622</v>
      </c>
      <c r="C4145" s="142" t="s">
        <v>15847</v>
      </c>
      <c r="D4145" s="142" t="s">
        <v>15848</v>
      </c>
      <c r="E4145" s="142" t="s">
        <v>15849</v>
      </c>
      <c r="F4145" s="142" t="s">
        <v>11902</v>
      </c>
      <c r="G4145" s="142" t="s">
        <v>11901</v>
      </c>
      <c r="H4145" s="142" t="s">
        <v>19995</v>
      </c>
      <c r="I4145" s="142">
        <v>1020</v>
      </c>
      <c r="J4145" s="142">
        <v>806</v>
      </c>
      <c r="K4145" s="142">
        <v>0</v>
      </c>
      <c r="L4145" s="142">
        <v>40</v>
      </c>
      <c r="M4145" s="142">
        <v>174</v>
      </c>
    </row>
    <row r="4146" spans="1:13" x14ac:dyDescent="0.45">
      <c r="A4146" s="142" t="s">
        <v>13033</v>
      </c>
      <c r="B4146" s="142" t="s">
        <v>15276</v>
      </c>
      <c r="C4146" s="142" t="s">
        <v>15847</v>
      </c>
      <c r="D4146" s="142" t="s">
        <v>15848</v>
      </c>
      <c r="E4146" s="142" t="s">
        <v>15849</v>
      </c>
      <c r="F4146" s="142" t="s">
        <v>11902</v>
      </c>
      <c r="G4146" s="142" t="s">
        <v>11901</v>
      </c>
      <c r="H4146" s="142" t="s">
        <v>19996</v>
      </c>
      <c r="I4146" s="142">
        <v>963</v>
      </c>
      <c r="J4146" s="142">
        <v>890</v>
      </c>
      <c r="K4146" s="142">
        <v>0</v>
      </c>
      <c r="L4146" s="142">
        <v>0</v>
      </c>
      <c r="M4146" s="142">
        <v>73</v>
      </c>
    </row>
    <row r="4147" spans="1:13" x14ac:dyDescent="0.45">
      <c r="A4147" s="142" t="s">
        <v>13791</v>
      </c>
      <c r="B4147" s="142" t="s">
        <v>14506</v>
      </c>
      <c r="C4147" s="142" t="s">
        <v>15860</v>
      </c>
      <c r="D4147" s="142" t="s">
        <v>15861</v>
      </c>
      <c r="E4147" s="142" t="s">
        <v>15849</v>
      </c>
      <c r="F4147" s="142" t="s">
        <v>11902</v>
      </c>
      <c r="G4147" s="142" t="s">
        <v>11901</v>
      </c>
      <c r="H4147" s="142" t="s">
        <v>19997</v>
      </c>
      <c r="I4147" s="142">
        <v>8</v>
      </c>
      <c r="J4147" s="142">
        <v>0</v>
      </c>
      <c r="K4147" s="142">
        <v>0</v>
      </c>
      <c r="L4147" s="142">
        <v>8</v>
      </c>
      <c r="M4147" s="142">
        <v>0</v>
      </c>
    </row>
    <row r="4148" spans="1:13" x14ac:dyDescent="0.45">
      <c r="A4148" s="142" t="s">
        <v>13779</v>
      </c>
      <c r="B4148" s="142" t="s">
        <v>15434</v>
      </c>
      <c r="C4148" s="142" t="s">
        <v>15847</v>
      </c>
      <c r="D4148" s="142" t="s">
        <v>15848</v>
      </c>
      <c r="E4148" s="142" t="s">
        <v>15849</v>
      </c>
      <c r="F4148" s="142" t="s">
        <v>11902</v>
      </c>
      <c r="G4148" s="142" t="s">
        <v>11901</v>
      </c>
      <c r="H4148" s="142" t="s">
        <v>19998</v>
      </c>
      <c r="I4148" s="142">
        <v>802</v>
      </c>
      <c r="J4148" s="142">
        <v>726</v>
      </c>
      <c r="K4148" s="142">
        <v>0</v>
      </c>
      <c r="L4148" s="142">
        <v>0</v>
      </c>
      <c r="M4148" s="142">
        <v>76</v>
      </c>
    </row>
    <row r="4149" spans="1:13" x14ac:dyDescent="0.45">
      <c r="A4149" s="142" t="s">
        <v>13038</v>
      </c>
      <c r="B4149" s="142" t="s">
        <v>14646</v>
      </c>
      <c r="C4149" s="142" t="s">
        <v>15847</v>
      </c>
      <c r="D4149" s="142" t="s">
        <v>15848</v>
      </c>
      <c r="E4149" s="142" t="s">
        <v>15849</v>
      </c>
      <c r="F4149" s="142" t="s">
        <v>11902</v>
      </c>
      <c r="G4149" s="142" t="s">
        <v>11901</v>
      </c>
      <c r="H4149" s="142" t="s">
        <v>19999</v>
      </c>
      <c r="I4149" s="142">
        <v>6</v>
      </c>
      <c r="J4149" s="142">
        <v>0</v>
      </c>
      <c r="K4149" s="142">
        <v>0</v>
      </c>
      <c r="L4149" s="142">
        <v>0</v>
      </c>
      <c r="M4149" s="142">
        <v>6</v>
      </c>
    </row>
    <row r="4150" spans="1:13" x14ac:dyDescent="0.45">
      <c r="A4150" s="142" t="s">
        <v>13039</v>
      </c>
      <c r="B4150" s="142" t="s">
        <v>14647</v>
      </c>
      <c r="C4150" s="142" t="s">
        <v>15847</v>
      </c>
      <c r="D4150" s="142" t="s">
        <v>15848</v>
      </c>
      <c r="E4150" s="142" t="s">
        <v>15849</v>
      </c>
      <c r="F4150" s="142" t="s">
        <v>11902</v>
      </c>
      <c r="G4150" s="142" t="s">
        <v>11901</v>
      </c>
      <c r="H4150" s="142" t="s">
        <v>20000</v>
      </c>
      <c r="I4150" s="142">
        <v>8</v>
      </c>
      <c r="J4150" s="142">
        <v>8</v>
      </c>
      <c r="K4150" s="142">
        <v>0</v>
      </c>
      <c r="L4150" s="142">
        <v>0</v>
      </c>
      <c r="M4150" s="142">
        <v>0</v>
      </c>
    </row>
    <row r="4151" spans="1:13" x14ac:dyDescent="0.45">
      <c r="A4151" s="142" t="s">
        <v>13009</v>
      </c>
      <c r="B4151" s="142" t="s">
        <v>15256</v>
      </c>
      <c r="C4151" s="142" t="s">
        <v>15847</v>
      </c>
      <c r="D4151" s="142" t="s">
        <v>15848</v>
      </c>
      <c r="E4151" s="142" t="s">
        <v>15849</v>
      </c>
      <c r="F4151" s="142" t="s">
        <v>11902</v>
      </c>
      <c r="G4151" s="142" t="s">
        <v>11901</v>
      </c>
      <c r="H4151" s="142" t="s">
        <v>20001</v>
      </c>
      <c r="I4151" s="142">
        <v>13</v>
      </c>
      <c r="J4151" s="142">
        <v>4</v>
      </c>
      <c r="K4151" s="142">
        <v>0</v>
      </c>
      <c r="L4151" s="142">
        <v>9</v>
      </c>
      <c r="M4151" s="142">
        <v>0</v>
      </c>
    </row>
    <row r="4152" spans="1:13" x14ac:dyDescent="0.45">
      <c r="A4152" s="142" t="s">
        <v>13343</v>
      </c>
      <c r="B4152" s="142" t="s">
        <v>15161</v>
      </c>
      <c r="C4152" s="142" t="s">
        <v>15860</v>
      </c>
      <c r="D4152" s="142" t="s">
        <v>15861</v>
      </c>
      <c r="E4152" s="142" t="s">
        <v>15849</v>
      </c>
      <c r="F4152" s="142" t="s">
        <v>11902</v>
      </c>
      <c r="G4152" s="142" t="s">
        <v>11901</v>
      </c>
      <c r="H4152" s="142" t="s">
        <v>20002</v>
      </c>
      <c r="I4152" s="142">
        <v>27</v>
      </c>
      <c r="J4152" s="142">
        <v>27</v>
      </c>
      <c r="K4152" s="142">
        <v>0</v>
      </c>
      <c r="L4152" s="142">
        <v>0</v>
      </c>
      <c r="M4152" s="142">
        <v>0</v>
      </c>
    </row>
    <row r="4153" spans="1:13" x14ac:dyDescent="0.45">
      <c r="A4153" s="142" t="s">
        <v>13011</v>
      </c>
      <c r="B4153" s="142" t="s">
        <v>14695</v>
      </c>
      <c r="C4153" s="142" t="s">
        <v>15847</v>
      </c>
      <c r="D4153" s="142" t="s">
        <v>15848</v>
      </c>
      <c r="E4153" s="142" t="s">
        <v>15849</v>
      </c>
      <c r="F4153" s="142" t="s">
        <v>11902</v>
      </c>
      <c r="G4153" s="142" t="s">
        <v>11901</v>
      </c>
      <c r="H4153" s="142" t="s">
        <v>20003</v>
      </c>
      <c r="I4153" s="142">
        <v>2</v>
      </c>
      <c r="J4153" s="142">
        <v>0</v>
      </c>
      <c r="K4153" s="142">
        <v>0</v>
      </c>
      <c r="L4153" s="142">
        <v>0</v>
      </c>
      <c r="M4153" s="142">
        <v>2</v>
      </c>
    </row>
    <row r="4154" spans="1:13" x14ac:dyDescent="0.45">
      <c r="A4154" s="142" t="s">
        <v>13058</v>
      </c>
      <c r="B4154" s="142" t="s">
        <v>14584</v>
      </c>
      <c r="C4154" s="142" t="s">
        <v>15847</v>
      </c>
      <c r="D4154" s="142" t="s">
        <v>15848</v>
      </c>
      <c r="E4154" s="142" t="s">
        <v>15849</v>
      </c>
      <c r="F4154" s="142" t="s">
        <v>11902</v>
      </c>
      <c r="G4154" s="142" t="s">
        <v>11901</v>
      </c>
      <c r="H4154" s="142" t="s">
        <v>20004</v>
      </c>
      <c r="I4154" s="142">
        <v>473</v>
      </c>
      <c r="J4154" s="142">
        <v>320</v>
      </c>
      <c r="K4154" s="142">
        <v>0</v>
      </c>
      <c r="L4154" s="142">
        <v>0</v>
      </c>
      <c r="M4154" s="142">
        <v>153</v>
      </c>
    </row>
    <row r="4155" spans="1:13" x14ac:dyDescent="0.45">
      <c r="A4155" s="142" t="s">
        <v>13442</v>
      </c>
      <c r="B4155" s="142" t="s">
        <v>15606</v>
      </c>
      <c r="C4155" s="142" t="s">
        <v>15860</v>
      </c>
      <c r="D4155" s="142" t="s">
        <v>15861</v>
      </c>
      <c r="E4155" s="142" t="s">
        <v>15849</v>
      </c>
      <c r="F4155" s="142" t="s">
        <v>11902</v>
      </c>
      <c r="G4155" s="142" t="s">
        <v>11901</v>
      </c>
      <c r="H4155" s="142" t="s">
        <v>20005</v>
      </c>
      <c r="I4155" s="142">
        <v>72</v>
      </c>
      <c r="J4155" s="142">
        <v>72</v>
      </c>
      <c r="K4155" s="142">
        <v>0</v>
      </c>
      <c r="L4155" s="142">
        <v>0</v>
      </c>
      <c r="M4155" s="142">
        <v>0</v>
      </c>
    </row>
    <row r="4156" spans="1:13" x14ac:dyDescent="0.45">
      <c r="A4156" s="142" t="s">
        <v>13306</v>
      </c>
      <c r="B4156" s="142" t="s">
        <v>15500</v>
      </c>
      <c r="C4156" s="142" t="s">
        <v>15847</v>
      </c>
      <c r="D4156" s="142" t="s">
        <v>15848</v>
      </c>
      <c r="E4156" s="142" t="s">
        <v>15849</v>
      </c>
      <c r="F4156" s="142" t="s">
        <v>11902</v>
      </c>
      <c r="G4156" s="142" t="s">
        <v>11901</v>
      </c>
      <c r="H4156" s="142" t="s">
        <v>20006</v>
      </c>
      <c r="I4156" s="142">
        <v>40</v>
      </c>
      <c r="J4156" s="142">
        <v>0</v>
      </c>
      <c r="K4156" s="142">
        <v>24</v>
      </c>
      <c r="L4156" s="142">
        <v>16</v>
      </c>
      <c r="M4156" s="142">
        <v>0</v>
      </c>
    </row>
    <row r="4157" spans="1:13" x14ac:dyDescent="0.45">
      <c r="A4157" s="142" t="s">
        <v>13138</v>
      </c>
      <c r="B4157" s="142" t="s">
        <v>14590</v>
      </c>
      <c r="C4157" s="142" t="s">
        <v>15860</v>
      </c>
      <c r="D4157" s="142" t="s">
        <v>15861</v>
      </c>
      <c r="E4157" s="142" t="s">
        <v>15849</v>
      </c>
      <c r="F4157" s="142" t="s">
        <v>11902</v>
      </c>
      <c r="G4157" s="142" t="s">
        <v>11901</v>
      </c>
      <c r="H4157" s="142" t="s">
        <v>20007</v>
      </c>
      <c r="I4157" s="142">
        <v>3</v>
      </c>
      <c r="J4157" s="142">
        <v>3</v>
      </c>
      <c r="K4157" s="142">
        <v>0</v>
      </c>
      <c r="L4157" s="142">
        <v>0</v>
      </c>
      <c r="M4157" s="142">
        <v>0</v>
      </c>
    </row>
    <row r="4158" spans="1:13" x14ac:dyDescent="0.45">
      <c r="A4158" s="142" t="s">
        <v>13014</v>
      </c>
      <c r="B4158" s="142" t="s">
        <v>14505</v>
      </c>
      <c r="C4158" s="142" t="s">
        <v>15847</v>
      </c>
      <c r="D4158" s="142" t="s">
        <v>15848</v>
      </c>
      <c r="E4158" s="142" t="s">
        <v>15849</v>
      </c>
      <c r="F4158" s="142" t="s">
        <v>11902</v>
      </c>
      <c r="G4158" s="142" t="s">
        <v>11901</v>
      </c>
      <c r="H4158" s="142" t="s">
        <v>20008</v>
      </c>
      <c r="I4158" s="142">
        <v>761</v>
      </c>
      <c r="J4158" s="142">
        <v>596</v>
      </c>
      <c r="K4158" s="142">
        <v>12</v>
      </c>
      <c r="L4158" s="142">
        <v>0</v>
      </c>
      <c r="M4158" s="142">
        <v>153</v>
      </c>
    </row>
    <row r="4159" spans="1:13" x14ac:dyDescent="0.45">
      <c r="A4159" s="142" t="s">
        <v>13042</v>
      </c>
      <c r="B4159" s="142" t="s">
        <v>15489</v>
      </c>
      <c r="C4159" s="142" t="s">
        <v>15847</v>
      </c>
      <c r="D4159" s="142" t="s">
        <v>15848</v>
      </c>
      <c r="E4159" s="142" t="s">
        <v>15849</v>
      </c>
      <c r="F4159" s="142" t="s">
        <v>11902</v>
      </c>
      <c r="G4159" s="142" t="s">
        <v>11901</v>
      </c>
      <c r="H4159" s="142" t="s">
        <v>20009</v>
      </c>
      <c r="I4159" s="142">
        <v>39</v>
      </c>
      <c r="J4159" s="142">
        <v>32</v>
      </c>
      <c r="K4159" s="142">
        <v>0</v>
      </c>
      <c r="L4159" s="142">
        <v>0</v>
      </c>
      <c r="M4159" s="142">
        <v>7</v>
      </c>
    </row>
    <row r="4160" spans="1:13" x14ac:dyDescent="0.45">
      <c r="A4160" s="142" t="s">
        <v>13750</v>
      </c>
      <c r="B4160" s="142" t="s">
        <v>14858</v>
      </c>
      <c r="C4160" s="142" t="s">
        <v>15860</v>
      </c>
      <c r="D4160" s="142" t="s">
        <v>15861</v>
      </c>
      <c r="E4160" s="142" t="s">
        <v>15849</v>
      </c>
      <c r="F4160" s="142" t="s">
        <v>11902</v>
      </c>
      <c r="G4160" s="142" t="s">
        <v>11901</v>
      </c>
      <c r="H4160" s="142" t="s">
        <v>20010</v>
      </c>
      <c r="I4160" s="142">
        <v>36</v>
      </c>
      <c r="J4160" s="142">
        <v>0</v>
      </c>
      <c r="K4160" s="142">
        <v>0</v>
      </c>
      <c r="L4160" s="142">
        <v>36</v>
      </c>
      <c r="M4160" s="142">
        <v>0</v>
      </c>
    </row>
    <row r="4161" spans="1:13" x14ac:dyDescent="0.45">
      <c r="A4161" s="142" t="s">
        <v>13681</v>
      </c>
      <c r="B4161" s="142" t="s">
        <v>14834</v>
      </c>
      <c r="C4161" s="142" t="s">
        <v>15860</v>
      </c>
      <c r="D4161" s="142" t="s">
        <v>15861</v>
      </c>
      <c r="E4161" s="142" t="s">
        <v>15849</v>
      </c>
      <c r="F4161" s="142" t="s">
        <v>11902</v>
      </c>
      <c r="G4161" s="142" t="s">
        <v>11901</v>
      </c>
      <c r="H4161" s="142" t="s">
        <v>20011</v>
      </c>
      <c r="I4161" s="142">
        <v>38</v>
      </c>
      <c r="J4161" s="142">
        <v>0</v>
      </c>
      <c r="K4161" s="142">
        <v>0</v>
      </c>
      <c r="L4161" s="142">
        <v>38</v>
      </c>
      <c r="M4161" s="142">
        <v>0</v>
      </c>
    </row>
    <row r="4162" spans="1:13" x14ac:dyDescent="0.45">
      <c r="A4162" s="142" t="s">
        <v>13792</v>
      </c>
      <c r="B4162" s="142" t="s">
        <v>15091</v>
      </c>
      <c r="C4162" s="142" t="s">
        <v>15860</v>
      </c>
      <c r="D4162" s="142" t="s">
        <v>15861</v>
      </c>
      <c r="E4162" s="142" t="s">
        <v>15849</v>
      </c>
      <c r="F4162" s="142" t="s">
        <v>11902</v>
      </c>
      <c r="G4162" s="142" t="s">
        <v>11901</v>
      </c>
      <c r="H4162" s="142" t="s">
        <v>20012</v>
      </c>
      <c r="I4162" s="142">
        <v>92</v>
      </c>
      <c r="J4162" s="142">
        <v>92</v>
      </c>
      <c r="K4162" s="142">
        <v>0</v>
      </c>
      <c r="L4162" s="142">
        <v>0</v>
      </c>
      <c r="M4162" s="142">
        <v>0</v>
      </c>
    </row>
    <row r="4163" spans="1:13" x14ac:dyDescent="0.45">
      <c r="A4163" s="142" t="s">
        <v>13793</v>
      </c>
      <c r="B4163" s="142" t="s">
        <v>15103</v>
      </c>
      <c r="C4163" s="142" t="s">
        <v>15860</v>
      </c>
      <c r="D4163" s="142" t="s">
        <v>15861</v>
      </c>
      <c r="E4163" s="142" t="s">
        <v>15849</v>
      </c>
      <c r="F4163" s="142" t="s">
        <v>11902</v>
      </c>
      <c r="G4163" s="142" t="s">
        <v>11901</v>
      </c>
      <c r="H4163" s="142" t="s">
        <v>20013</v>
      </c>
      <c r="I4163" s="142">
        <v>24</v>
      </c>
      <c r="J4163" s="142">
        <v>24</v>
      </c>
      <c r="K4163" s="142">
        <v>0</v>
      </c>
      <c r="L4163" s="142">
        <v>0</v>
      </c>
      <c r="M4163" s="142">
        <v>0</v>
      </c>
    </row>
    <row r="4164" spans="1:13" x14ac:dyDescent="0.45">
      <c r="A4164" s="142" t="s">
        <v>13072</v>
      </c>
      <c r="B4164" s="142" t="s">
        <v>15530</v>
      </c>
      <c r="C4164" s="142" t="s">
        <v>15847</v>
      </c>
      <c r="D4164" s="142" t="s">
        <v>15848</v>
      </c>
      <c r="E4164" s="142" t="s">
        <v>15849</v>
      </c>
      <c r="F4164" s="142" t="s">
        <v>3042</v>
      </c>
      <c r="G4164" s="142" t="s">
        <v>3041</v>
      </c>
      <c r="H4164" s="142" t="s">
        <v>20014</v>
      </c>
      <c r="I4164" s="142">
        <v>684</v>
      </c>
      <c r="J4164" s="142">
        <v>570</v>
      </c>
      <c r="K4164" s="142">
        <v>0</v>
      </c>
      <c r="L4164" s="142">
        <v>63</v>
      </c>
      <c r="M4164" s="142">
        <v>51</v>
      </c>
    </row>
    <row r="4165" spans="1:13" x14ac:dyDescent="0.45">
      <c r="A4165" s="142" t="s">
        <v>13022</v>
      </c>
      <c r="B4165" s="142" t="s">
        <v>14634</v>
      </c>
      <c r="C4165" s="142" t="s">
        <v>15847</v>
      </c>
      <c r="D4165" s="142" t="s">
        <v>15848</v>
      </c>
      <c r="E4165" s="142" t="s">
        <v>15849</v>
      </c>
      <c r="F4165" s="142" t="s">
        <v>3042</v>
      </c>
      <c r="G4165" s="142" t="s">
        <v>3041</v>
      </c>
      <c r="H4165" s="142" t="s">
        <v>20015</v>
      </c>
      <c r="I4165" s="142">
        <v>643</v>
      </c>
      <c r="J4165" s="142">
        <v>459</v>
      </c>
      <c r="K4165" s="142">
        <v>0</v>
      </c>
      <c r="L4165" s="142">
        <v>88</v>
      </c>
      <c r="M4165" s="142">
        <v>96</v>
      </c>
    </row>
    <row r="4166" spans="1:13" x14ac:dyDescent="0.45">
      <c r="A4166" s="142" t="s">
        <v>13023</v>
      </c>
      <c r="B4166" s="142" t="s">
        <v>15571</v>
      </c>
      <c r="C4166" s="142" t="s">
        <v>15847</v>
      </c>
      <c r="D4166" s="142" t="s">
        <v>15848</v>
      </c>
      <c r="E4166" s="142" t="s">
        <v>15849</v>
      </c>
      <c r="F4166" s="142" t="s">
        <v>3042</v>
      </c>
      <c r="G4166" s="142" t="s">
        <v>3041</v>
      </c>
      <c r="H4166" s="142" t="s">
        <v>20016</v>
      </c>
      <c r="I4166" s="142">
        <v>192</v>
      </c>
      <c r="J4166" s="142">
        <v>0</v>
      </c>
      <c r="K4166" s="142">
        <v>0</v>
      </c>
      <c r="L4166" s="142">
        <v>192</v>
      </c>
      <c r="M4166" s="142">
        <v>0</v>
      </c>
    </row>
    <row r="4167" spans="1:13" x14ac:dyDescent="0.45">
      <c r="A4167" s="142" t="s">
        <v>13065</v>
      </c>
      <c r="B4167" s="142" t="s">
        <v>14497</v>
      </c>
      <c r="C4167" s="142" t="s">
        <v>15847</v>
      </c>
      <c r="D4167" s="142" t="s">
        <v>15848</v>
      </c>
      <c r="E4167" s="142" t="s">
        <v>15849</v>
      </c>
      <c r="F4167" s="142" t="s">
        <v>3042</v>
      </c>
      <c r="G4167" s="142" t="s">
        <v>3041</v>
      </c>
      <c r="H4167" s="142" t="s">
        <v>20017</v>
      </c>
      <c r="I4167" s="142">
        <v>4</v>
      </c>
      <c r="J4167" s="142">
        <v>0</v>
      </c>
      <c r="K4167" s="142">
        <v>0</v>
      </c>
      <c r="L4167" s="142">
        <v>4</v>
      </c>
      <c r="M4167" s="142">
        <v>0</v>
      </c>
    </row>
    <row r="4168" spans="1:13" x14ac:dyDescent="0.45">
      <c r="A4168" s="142" t="s">
        <v>13000</v>
      </c>
      <c r="B4168" s="142" t="s">
        <v>14610</v>
      </c>
      <c r="C4168" s="142" t="s">
        <v>15847</v>
      </c>
      <c r="D4168" s="142" t="s">
        <v>15848</v>
      </c>
      <c r="E4168" s="142" t="s">
        <v>15849</v>
      </c>
      <c r="F4168" s="142" t="s">
        <v>3042</v>
      </c>
      <c r="G4168" s="142" t="s">
        <v>3041</v>
      </c>
      <c r="H4168" s="142" t="s">
        <v>20018</v>
      </c>
      <c r="I4168" s="142">
        <v>126</v>
      </c>
      <c r="J4168" s="142">
        <v>109</v>
      </c>
      <c r="K4168" s="142">
        <v>0</v>
      </c>
      <c r="L4168" s="142">
        <v>0</v>
      </c>
      <c r="M4168" s="142">
        <v>17</v>
      </c>
    </row>
    <row r="4169" spans="1:13" x14ac:dyDescent="0.45">
      <c r="A4169" s="142" t="s">
        <v>13198</v>
      </c>
      <c r="B4169" s="142" t="s">
        <v>15602</v>
      </c>
      <c r="C4169" s="142" t="s">
        <v>15847</v>
      </c>
      <c r="D4169" s="142" t="s">
        <v>15848</v>
      </c>
      <c r="E4169" s="142" t="s">
        <v>15849</v>
      </c>
      <c r="F4169" s="142" t="s">
        <v>3042</v>
      </c>
      <c r="G4169" s="142" t="s">
        <v>3041</v>
      </c>
      <c r="H4169" s="142" t="s">
        <v>20019</v>
      </c>
      <c r="I4169" s="142">
        <v>672</v>
      </c>
      <c r="J4169" s="142">
        <v>469</v>
      </c>
      <c r="K4169" s="142">
        <v>0</v>
      </c>
      <c r="L4169" s="142">
        <v>0</v>
      </c>
      <c r="M4169" s="142">
        <v>203</v>
      </c>
    </row>
    <row r="4170" spans="1:13" x14ac:dyDescent="0.45">
      <c r="A4170" s="142" t="s">
        <v>13119</v>
      </c>
      <c r="B4170" s="142" t="s">
        <v>14451</v>
      </c>
      <c r="C4170" s="142" t="s">
        <v>15860</v>
      </c>
      <c r="D4170" s="142" t="s">
        <v>15861</v>
      </c>
      <c r="E4170" s="142" t="s">
        <v>15849</v>
      </c>
      <c r="F4170" s="142" t="s">
        <v>3042</v>
      </c>
      <c r="G4170" s="142" t="s">
        <v>3041</v>
      </c>
      <c r="H4170" s="142" t="s">
        <v>20020</v>
      </c>
      <c r="I4170" s="142">
        <v>4</v>
      </c>
      <c r="J4170" s="142">
        <v>0</v>
      </c>
      <c r="K4170" s="142">
        <v>0</v>
      </c>
      <c r="L4170" s="142">
        <v>4</v>
      </c>
      <c r="M4170" s="142">
        <v>0</v>
      </c>
    </row>
    <row r="4171" spans="1:13" x14ac:dyDescent="0.45">
      <c r="A4171" s="142" t="s">
        <v>13085</v>
      </c>
      <c r="B4171" s="142" t="s">
        <v>14460</v>
      </c>
      <c r="C4171" s="142" t="s">
        <v>15860</v>
      </c>
      <c r="D4171" s="142" t="s">
        <v>15861</v>
      </c>
      <c r="E4171" s="142" t="s">
        <v>15849</v>
      </c>
      <c r="F4171" s="142" t="s">
        <v>3042</v>
      </c>
      <c r="G4171" s="142" t="s">
        <v>3041</v>
      </c>
      <c r="H4171" s="142" t="s">
        <v>20021</v>
      </c>
      <c r="I4171" s="142">
        <v>3</v>
      </c>
      <c r="J4171" s="142">
        <v>0</v>
      </c>
      <c r="K4171" s="142">
        <v>0</v>
      </c>
      <c r="L4171" s="142">
        <v>3</v>
      </c>
      <c r="M4171" s="142">
        <v>0</v>
      </c>
    </row>
    <row r="4172" spans="1:13" x14ac:dyDescent="0.45">
      <c r="A4172" s="142" t="s">
        <v>13027</v>
      </c>
      <c r="B4172" s="142" t="s">
        <v>14562</v>
      </c>
      <c r="C4172" s="142" t="s">
        <v>15847</v>
      </c>
      <c r="D4172" s="142" t="s">
        <v>15848</v>
      </c>
      <c r="E4172" s="142" t="s">
        <v>15849</v>
      </c>
      <c r="F4172" s="142" t="s">
        <v>3042</v>
      </c>
      <c r="G4172" s="142" t="s">
        <v>3041</v>
      </c>
      <c r="H4172" s="142" t="s">
        <v>20022</v>
      </c>
      <c r="I4172" s="142">
        <v>14</v>
      </c>
      <c r="J4172" s="142">
        <v>0</v>
      </c>
      <c r="K4172" s="142">
        <v>0</v>
      </c>
      <c r="L4172" s="142">
        <v>14</v>
      </c>
      <c r="M4172" s="142">
        <v>0</v>
      </c>
    </row>
    <row r="4173" spans="1:13" x14ac:dyDescent="0.45">
      <c r="A4173" s="142" t="s">
        <v>13050</v>
      </c>
      <c r="B4173" s="142" t="s">
        <v>15237</v>
      </c>
      <c r="C4173" s="142" t="s">
        <v>15847</v>
      </c>
      <c r="D4173" s="142" t="s">
        <v>15848</v>
      </c>
      <c r="E4173" s="142" t="s">
        <v>15849</v>
      </c>
      <c r="F4173" s="142" t="s">
        <v>3042</v>
      </c>
      <c r="G4173" s="142" t="s">
        <v>3041</v>
      </c>
      <c r="H4173" s="142" t="s">
        <v>20023</v>
      </c>
      <c r="I4173" s="142">
        <v>57</v>
      </c>
      <c r="J4173" s="142">
        <v>46</v>
      </c>
      <c r="K4173" s="142">
        <v>0</v>
      </c>
      <c r="L4173" s="142">
        <v>0</v>
      </c>
      <c r="M4173" s="142">
        <v>11</v>
      </c>
    </row>
    <row r="4174" spans="1:13" x14ac:dyDescent="0.45">
      <c r="A4174" s="142" t="s">
        <v>13028</v>
      </c>
      <c r="B4174" s="142" t="s">
        <v>14462</v>
      </c>
      <c r="C4174" s="142" t="s">
        <v>15847</v>
      </c>
      <c r="D4174" s="142" t="s">
        <v>15848</v>
      </c>
      <c r="E4174" s="142" t="s">
        <v>15849</v>
      </c>
      <c r="F4174" s="142" t="s">
        <v>3042</v>
      </c>
      <c r="G4174" s="142" t="s">
        <v>3041</v>
      </c>
      <c r="H4174" s="142" t="s">
        <v>20024</v>
      </c>
      <c r="I4174" s="142">
        <v>91</v>
      </c>
      <c r="J4174" s="142">
        <v>0</v>
      </c>
      <c r="K4174" s="142">
        <v>0</v>
      </c>
      <c r="L4174" s="142">
        <v>0</v>
      </c>
      <c r="M4174" s="142">
        <v>91</v>
      </c>
    </row>
    <row r="4175" spans="1:13" x14ac:dyDescent="0.45">
      <c r="A4175" s="142" t="s">
        <v>13002</v>
      </c>
      <c r="B4175" s="142" t="s">
        <v>15376</v>
      </c>
      <c r="C4175" s="142" t="s">
        <v>15847</v>
      </c>
      <c r="D4175" s="142" t="s">
        <v>15848</v>
      </c>
      <c r="E4175" s="142" t="s">
        <v>15849</v>
      </c>
      <c r="F4175" s="142" t="s">
        <v>3042</v>
      </c>
      <c r="G4175" s="142" t="s">
        <v>3041</v>
      </c>
      <c r="H4175" s="142" t="s">
        <v>20025</v>
      </c>
      <c r="I4175" s="142">
        <v>18</v>
      </c>
      <c r="J4175" s="142">
        <v>0</v>
      </c>
      <c r="K4175" s="142">
        <v>0</v>
      </c>
      <c r="L4175" s="142">
        <v>18</v>
      </c>
      <c r="M4175" s="142">
        <v>0</v>
      </c>
    </row>
    <row r="4176" spans="1:13" x14ac:dyDescent="0.45">
      <c r="A4176" s="142" t="s">
        <v>13003</v>
      </c>
      <c r="B4176" s="142" t="s">
        <v>15245</v>
      </c>
      <c r="C4176" s="142" t="s">
        <v>15847</v>
      </c>
      <c r="D4176" s="142" t="s">
        <v>15848</v>
      </c>
      <c r="E4176" s="142" t="s">
        <v>15849</v>
      </c>
      <c r="F4176" s="142" t="s">
        <v>3042</v>
      </c>
      <c r="G4176" s="142" t="s">
        <v>3041</v>
      </c>
      <c r="H4176" s="142" t="s">
        <v>20026</v>
      </c>
      <c r="I4176" s="142">
        <v>107</v>
      </c>
      <c r="J4176" s="142">
        <v>1</v>
      </c>
      <c r="K4176" s="142">
        <v>0</v>
      </c>
      <c r="L4176" s="142">
        <v>106</v>
      </c>
      <c r="M4176" s="142">
        <v>0</v>
      </c>
    </row>
    <row r="4177" spans="1:13" x14ac:dyDescent="0.45">
      <c r="A4177" s="142" t="s">
        <v>13426</v>
      </c>
      <c r="B4177" s="142" t="s">
        <v>15285</v>
      </c>
      <c r="C4177" s="142" t="s">
        <v>15847</v>
      </c>
      <c r="D4177" s="142" t="s">
        <v>15848</v>
      </c>
      <c r="E4177" s="142" t="s">
        <v>15849</v>
      </c>
      <c r="F4177" s="142" t="s">
        <v>3042</v>
      </c>
      <c r="G4177" s="142" t="s">
        <v>3041</v>
      </c>
      <c r="H4177" s="142" t="s">
        <v>20027</v>
      </c>
      <c r="I4177" s="142">
        <v>22</v>
      </c>
      <c r="J4177" s="142">
        <v>19</v>
      </c>
      <c r="K4177" s="142">
        <v>0</v>
      </c>
      <c r="L4177" s="142">
        <v>0</v>
      </c>
      <c r="M4177" s="142">
        <v>3</v>
      </c>
    </row>
    <row r="4178" spans="1:13" x14ac:dyDescent="0.45">
      <c r="A4178" s="142" t="s">
        <v>13004</v>
      </c>
      <c r="B4178" s="142" t="s">
        <v>15492</v>
      </c>
      <c r="C4178" s="142" t="s">
        <v>15847</v>
      </c>
      <c r="D4178" s="142" t="s">
        <v>15848</v>
      </c>
      <c r="E4178" s="142" t="s">
        <v>15849</v>
      </c>
      <c r="F4178" s="142" t="s">
        <v>3042</v>
      </c>
      <c r="G4178" s="142" t="s">
        <v>3041</v>
      </c>
      <c r="H4178" s="142" t="s">
        <v>20028</v>
      </c>
      <c r="I4178" s="142">
        <v>155</v>
      </c>
      <c r="J4178" s="142">
        <v>115</v>
      </c>
      <c r="K4178" s="142">
        <v>0</v>
      </c>
      <c r="L4178" s="142">
        <v>40</v>
      </c>
      <c r="M4178" s="142">
        <v>0</v>
      </c>
    </row>
    <row r="4179" spans="1:13" x14ac:dyDescent="0.45">
      <c r="A4179" s="142" t="s">
        <v>13066</v>
      </c>
      <c r="B4179" s="142" t="s">
        <v>14459</v>
      </c>
      <c r="C4179" s="142" t="s">
        <v>15847</v>
      </c>
      <c r="D4179" s="142" t="s">
        <v>15848</v>
      </c>
      <c r="E4179" s="142" t="s">
        <v>15849</v>
      </c>
      <c r="F4179" s="142" t="s">
        <v>3042</v>
      </c>
      <c r="G4179" s="142" t="s">
        <v>3041</v>
      </c>
      <c r="H4179" s="142" t="s">
        <v>20029</v>
      </c>
      <c r="I4179" s="142">
        <v>3</v>
      </c>
      <c r="J4179" s="142">
        <v>0</v>
      </c>
      <c r="K4179" s="142">
        <v>0</v>
      </c>
      <c r="L4179" s="142">
        <v>3</v>
      </c>
      <c r="M4179" s="142">
        <v>0</v>
      </c>
    </row>
    <row r="4180" spans="1:13" x14ac:dyDescent="0.45">
      <c r="A4180" s="142" t="s">
        <v>13005</v>
      </c>
      <c r="B4180" s="142" t="s">
        <v>15475</v>
      </c>
      <c r="C4180" s="142" t="s">
        <v>15847</v>
      </c>
      <c r="D4180" s="142" t="s">
        <v>15848</v>
      </c>
      <c r="E4180" s="142" t="s">
        <v>15849</v>
      </c>
      <c r="F4180" s="142" t="s">
        <v>3042</v>
      </c>
      <c r="G4180" s="142" t="s">
        <v>3041</v>
      </c>
      <c r="H4180" s="142" t="s">
        <v>20030</v>
      </c>
      <c r="I4180" s="142">
        <v>41</v>
      </c>
      <c r="J4180" s="142">
        <v>12</v>
      </c>
      <c r="K4180" s="142">
        <v>0</v>
      </c>
      <c r="L4180" s="142">
        <v>0</v>
      </c>
      <c r="M4180" s="142">
        <v>29</v>
      </c>
    </row>
    <row r="4181" spans="1:13" x14ac:dyDescent="0.45">
      <c r="A4181" s="142" t="s">
        <v>13029</v>
      </c>
      <c r="B4181" s="142" t="s">
        <v>14665</v>
      </c>
      <c r="C4181" s="142" t="s">
        <v>15847</v>
      </c>
      <c r="D4181" s="142" t="s">
        <v>15848</v>
      </c>
      <c r="E4181" s="142" t="s">
        <v>15849</v>
      </c>
      <c r="F4181" s="142" t="s">
        <v>3042</v>
      </c>
      <c r="G4181" s="142" t="s">
        <v>3041</v>
      </c>
      <c r="H4181" s="142" t="s">
        <v>20031</v>
      </c>
      <c r="I4181" s="142">
        <v>18</v>
      </c>
      <c r="J4181" s="142">
        <v>0</v>
      </c>
      <c r="K4181" s="142">
        <v>0</v>
      </c>
      <c r="L4181" s="142">
        <v>0</v>
      </c>
      <c r="M4181" s="142">
        <v>18</v>
      </c>
    </row>
    <row r="4182" spans="1:13" x14ac:dyDescent="0.45">
      <c r="A4182" s="142" t="s">
        <v>13006</v>
      </c>
      <c r="B4182" s="142" t="s">
        <v>15288</v>
      </c>
      <c r="C4182" s="142" t="s">
        <v>15847</v>
      </c>
      <c r="D4182" s="142" t="s">
        <v>15848</v>
      </c>
      <c r="E4182" s="142" t="s">
        <v>15849</v>
      </c>
      <c r="F4182" s="142" t="s">
        <v>3042</v>
      </c>
      <c r="G4182" s="142" t="s">
        <v>3041</v>
      </c>
      <c r="H4182" s="142" t="s">
        <v>20032</v>
      </c>
      <c r="I4182" s="142">
        <v>393</v>
      </c>
      <c r="J4182" s="142">
        <v>311</v>
      </c>
      <c r="K4182" s="142">
        <v>0</v>
      </c>
      <c r="L4182" s="142">
        <v>29</v>
      </c>
      <c r="M4182" s="142">
        <v>53</v>
      </c>
    </row>
    <row r="4183" spans="1:13" x14ac:dyDescent="0.45">
      <c r="A4183" s="142" t="s">
        <v>13284</v>
      </c>
      <c r="B4183" s="142" t="s">
        <v>15364</v>
      </c>
      <c r="C4183" s="142" t="s">
        <v>15847</v>
      </c>
      <c r="D4183" s="142" t="s">
        <v>15848</v>
      </c>
      <c r="E4183" s="142" t="s">
        <v>15849</v>
      </c>
      <c r="F4183" s="142" t="s">
        <v>3042</v>
      </c>
      <c r="G4183" s="142" t="s">
        <v>3041</v>
      </c>
      <c r="H4183" s="142" t="s">
        <v>20033</v>
      </c>
      <c r="I4183" s="142">
        <v>670</v>
      </c>
      <c r="J4183" s="142">
        <v>563</v>
      </c>
      <c r="K4183" s="142">
        <v>0</v>
      </c>
      <c r="L4183" s="142">
        <v>74</v>
      </c>
      <c r="M4183" s="142">
        <v>33</v>
      </c>
    </row>
    <row r="4184" spans="1:13" x14ac:dyDescent="0.45">
      <c r="A4184" s="142" t="s">
        <v>13008</v>
      </c>
      <c r="B4184" s="142" t="s">
        <v>15411</v>
      </c>
      <c r="C4184" s="142" t="s">
        <v>15847</v>
      </c>
      <c r="D4184" s="142" t="s">
        <v>15848</v>
      </c>
      <c r="E4184" s="142" t="s">
        <v>15849</v>
      </c>
      <c r="F4184" s="142" t="s">
        <v>3042</v>
      </c>
      <c r="G4184" s="142" t="s">
        <v>3041</v>
      </c>
      <c r="H4184" s="142" t="s">
        <v>20034</v>
      </c>
      <c r="I4184" s="142">
        <v>20</v>
      </c>
      <c r="J4184" s="142">
        <v>0</v>
      </c>
      <c r="K4184" s="142">
        <v>0</v>
      </c>
      <c r="L4184" s="142">
        <v>0</v>
      </c>
      <c r="M4184" s="142">
        <v>20</v>
      </c>
    </row>
    <row r="4185" spans="1:13" x14ac:dyDescent="0.45">
      <c r="A4185" s="142" t="s">
        <v>13077</v>
      </c>
      <c r="B4185" s="142" t="s">
        <v>15407</v>
      </c>
      <c r="C4185" s="142" t="s">
        <v>15847</v>
      </c>
      <c r="D4185" s="142" t="s">
        <v>15848</v>
      </c>
      <c r="E4185" s="142" t="s">
        <v>15849</v>
      </c>
      <c r="F4185" s="142" t="s">
        <v>3042</v>
      </c>
      <c r="G4185" s="142" t="s">
        <v>3041</v>
      </c>
      <c r="H4185" s="142" t="s">
        <v>20035</v>
      </c>
      <c r="I4185" s="142">
        <v>51</v>
      </c>
      <c r="J4185" s="142">
        <v>51</v>
      </c>
      <c r="K4185" s="142">
        <v>0</v>
      </c>
      <c r="L4185" s="142">
        <v>0</v>
      </c>
      <c r="M4185" s="142">
        <v>0</v>
      </c>
    </row>
    <row r="4186" spans="1:13" x14ac:dyDescent="0.45">
      <c r="A4186" s="142" t="s">
        <v>13104</v>
      </c>
      <c r="B4186" s="142" t="s">
        <v>14622</v>
      </c>
      <c r="C4186" s="142" t="s">
        <v>15847</v>
      </c>
      <c r="D4186" s="142" t="s">
        <v>15848</v>
      </c>
      <c r="E4186" s="142" t="s">
        <v>15849</v>
      </c>
      <c r="F4186" s="142" t="s">
        <v>3042</v>
      </c>
      <c r="G4186" s="142" t="s">
        <v>3041</v>
      </c>
      <c r="H4186" s="142" t="s">
        <v>20036</v>
      </c>
      <c r="I4186" s="142">
        <v>49</v>
      </c>
      <c r="J4186" s="142">
        <v>49</v>
      </c>
      <c r="K4186" s="142">
        <v>0</v>
      </c>
      <c r="L4186" s="142">
        <v>0</v>
      </c>
      <c r="M4186" s="142">
        <v>0</v>
      </c>
    </row>
    <row r="4187" spans="1:13" x14ac:dyDescent="0.45">
      <c r="A4187" s="142" t="s">
        <v>13033</v>
      </c>
      <c r="B4187" s="142" t="s">
        <v>15276</v>
      </c>
      <c r="C4187" s="142" t="s">
        <v>15847</v>
      </c>
      <c r="D4187" s="142" t="s">
        <v>15848</v>
      </c>
      <c r="E4187" s="142" t="s">
        <v>15849</v>
      </c>
      <c r="F4187" s="142" t="s">
        <v>3042</v>
      </c>
      <c r="G4187" s="142" t="s">
        <v>3041</v>
      </c>
      <c r="H4187" s="142" t="s">
        <v>20037</v>
      </c>
      <c r="I4187" s="142">
        <v>71</v>
      </c>
      <c r="J4187" s="142">
        <v>60</v>
      </c>
      <c r="K4187" s="142">
        <v>0</v>
      </c>
      <c r="L4187" s="142">
        <v>0</v>
      </c>
      <c r="M4187" s="142">
        <v>11</v>
      </c>
    </row>
    <row r="4188" spans="1:13" x14ac:dyDescent="0.45">
      <c r="A4188" s="142" t="s">
        <v>13034</v>
      </c>
      <c r="B4188" s="142" t="s">
        <v>15562</v>
      </c>
      <c r="C4188" s="142" t="s">
        <v>15847</v>
      </c>
      <c r="D4188" s="142" t="s">
        <v>15848</v>
      </c>
      <c r="E4188" s="142" t="s">
        <v>15849</v>
      </c>
      <c r="F4188" s="142" t="s">
        <v>3042</v>
      </c>
      <c r="G4188" s="142" t="s">
        <v>3041</v>
      </c>
      <c r="H4188" s="142" t="s">
        <v>20038</v>
      </c>
      <c r="I4188" s="142">
        <v>6110</v>
      </c>
      <c r="J4188" s="142">
        <v>5324</v>
      </c>
      <c r="K4188" s="142">
        <v>0</v>
      </c>
      <c r="L4188" s="142">
        <v>672</v>
      </c>
      <c r="M4188" s="142">
        <v>114</v>
      </c>
    </row>
    <row r="4189" spans="1:13" x14ac:dyDescent="0.45">
      <c r="A4189" s="142" t="s">
        <v>13035</v>
      </c>
      <c r="B4189" s="142" t="s">
        <v>14648</v>
      </c>
      <c r="C4189" s="142" t="s">
        <v>15847</v>
      </c>
      <c r="D4189" s="142" t="s">
        <v>15848</v>
      </c>
      <c r="E4189" s="142" t="s">
        <v>15849</v>
      </c>
      <c r="F4189" s="142" t="s">
        <v>3042</v>
      </c>
      <c r="G4189" s="142" t="s">
        <v>3041</v>
      </c>
      <c r="H4189" s="142" t="s">
        <v>20039</v>
      </c>
      <c r="I4189" s="142">
        <v>49</v>
      </c>
      <c r="J4189" s="142">
        <v>23</v>
      </c>
      <c r="K4189" s="142">
        <v>0</v>
      </c>
      <c r="L4189" s="142">
        <v>0</v>
      </c>
      <c r="M4189" s="142">
        <v>26</v>
      </c>
    </row>
    <row r="4190" spans="1:13" x14ac:dyDescent="0.45">
      <c r="A4190" s="142" t="s">
        <v>13036</v>
      </c>
      <c r="B4190" s="142" t="s">
        <v>15567</v>
      </c>
      <c r="C4190" s="142" t="s">
        <v>15847</v>
      </c>
      <c r="D4190" s="142" t="s">
        <v>15848</v>
      </c>
      <c r="E4190" s="142" t="s">
        <v>15849</v>
      </c>
      <c r="F4190" s="142" t="s">
        <v>3042</v>
      </c>
      <c r="G4190" s="142" t="s">
        <v>3041</v>
      </c>
      <c r="H4190" s="142" t="s">
        <v>20040</v>
      </c>
      <c r="I4190" s="142">
        <v>3</v>
      </c>
      <c r="J4190" s="142">
        <v>0</v>
      </c>
      <c r="K4190" s="142">
        <v>0</v>
      </c>
      <c r="L4190" s="142">
        <v>3</v>
      </c>
      <c r="M4190" s="142">
        <v>0</v>
      </c>
    </row>
    <row r="4191" spans="1:13" x14ac:dyDescent="0.45">
      <c r="A4191" s="142" t="s">
        <v>13794</v>
      </c>
      <c r="B4191" s="142" t="s">
        <v>14833</v>
      </c>
      <c r="C4191" s="142" t="s">
        <v>15860</v>
      </c>
      <c r="D4191" s="142" t="s">
        <v>15861</v>
      </c>
      <c r="E4191" s="142" t="s">
        <v>15849</v>
      </c>
      <c r="F4191" s="142" t="s">
        <v>3042</v>
      </c>
      <c r="G4191" s="142" t="s">
        <v>3041</v>
      </c>
      <c r="H4191" s="142" t="s">
        <v>20041</v>
      </c>
      <c r="I4191" s="142">
        <v>44</v>
      </c>
      <c r="J4191" s="142">
        <v>0</v>
      </c>
      <c r="K4191" s="142">
        <v>0</v>
      </c>
      <c r="L4191" s="142">
        <v>44</v>
      </c>
      <c r="M4191" s="142">
        <v>0</v>
      </c>
    </row>
    <row r="4192" spans="1:13" x14ac:dyDescent="0.45">
      <c r="A4192" s="142" t="s">
        <v>13179</v>
      </c>
      <c r="B4192" s="142" t="s">
        <v>14704</v>
      </c>
      <c r="C4192" s="142" t="s">
        <v>15860</v>
      </c>
      <c r="D4192" s="142" t="s">
        <v>15861</v>
      </c>
      <c r="E4192" s="142" t="s">
        <v>15849</v>
      </c>
      <c r="F4192" s="142" t="s">
        <v>3042</v>
      </c>
      <c r="G4192" s="142" t="s">
        <v>3041</v>
      </c>
      <c r="H4192" s="142" t="s">
        <v>20042</v>
      </c>
      <c r="I4192" s="142">
        <v>22</v>
      </c>
      <c r="J4192" s="142">
        <v>22</v>
      </c>
      <c r="K4192" s="142">
        <v>0</v>
      </c>
      <c r="L4192" s="142">
        <v>0</v>
      </c>
      <c r="M4192" s="142">
        <v>0</v>
      </c>
    </row>
    <row r="4193" spans="1:13" x14ac:dyDescent="0.45">
      <c r="A4193" s="142" t="s">
        <v>13037</v>
      </c>
      <c r="B4193" s="142" t="s">
        <v>14519</v>
      </c>
      <c r="C4193" s="142" t="s">
        <v>15847</v>
      </c>
      <c r="D4193" s="142" t="s">
        <v>15848</v>
      </c>
      <c r="E4193" s="142" t="s">
        <v>15849</v>
      </c>
      <c r="F4193" s="142" t="s">
        <v>3042</v>
      </c>
      <c r="G4193" s="142" t="s">
        <v>3041</v>
      </c>
      <c r="H4193" s="142" t="s">
        <v>20043</v>
      </c>
      <c r="I4193" s="142">
        <v>31</v>
      </c>
      <c r="J4193" s="142">
        <v>0</v>
      </c>
      <c r="K4193" s="142">
        <v>0</v>
      </c>
      <c r="L4193" s="142">
        <v>31</v>
      </c>
      <c r="M4193" s="142">
        <v>0</v>
      </c>
    </row>
    <row r="4194" spans="1:13" x14ac:dyDescent="0.45">
      <c r="A4194" s="142" t="s">
        <v>13038</v>
      </c>
      <c r="B4194" s="142" t="s">
        <v>14646</v>
      </c>
      <c r="C4194" s="142" t="s">
        <v>15847</v>
      </c>
      <c r="D4194" s="142" t="s">
        <v>15848</v>
      </c>
      <c r="E4194" s="142" t="s">
        <v>15849</v>
      </c>
      <c r="F4194" s="142" t="s">
        <v>3042</v>
      </c>
      <c r="G4194" s="142" t="s">
        <v>3041</v>
      </c>
      <c r="H4194" s="142" t="s">
        <v>20044</v>
      </c>
      <c r="I4194" s="142">
        <v>326</v>
      </c>
      <c r="J4194" s="142">
        <v>183</v>
      </c>
      <c r="K4194" s="142">
        <v>0</v>
      </c>
      <c r="L4194" s="142">
        <v>0</v>
      </c>
      <c r="M4194" s="142">
        <v>143</v>
      </c>
    </row>
    <row r="4195" spans="1:13" x14ac:dyDescent="0.45">
      <c r="A4195" s="142" t="s">
        <v>13039</v>
      </c>
      <c r="B4195" s="142" t="s">
        <v>14647</v>
      </c>
      <c r="C4195" s="142" t="s">
        <v>15847</v>
      </c>
      <c r="D4195" s="142" t="s">
        <v>15848</v>
      </c>
      <c r="E4195" s="142" t="s">
        <v>15849</v>
      </c>
      <c r="F4195" s="142" t="s">
        <v>3042</v>
      </c>
      <c r="G4195" s="142" t="s">
        <v>3041</v>
      </c>
      <c r="H4195" s="142" t="s">
        <v>20045</v>
      </c>
      <c r="I4195" s="142">
        <v>228</v>
      </c>
      <c r="J4195" s="142">
        <v>228</v>
      </c>
      <c r="K4195" s="142">
        <v>0</v>
      </c>
      <c r="L4195" s="142">
        <v>0</v>
      </c>
      <c r="M4195" s="142">
        <v>0</v>
      </c>
    </row>
    <row r="4196" spans="1:13" x14ac:dyDescent="0.45">
      <c r="A4196" s="142" t="s">
        <v>13078</v>
      </c>
      <c r="B4196" s="142" t="s">
        <v>15540</v>
      </c>
      <c r="C4196" s="142" t="s">
        <v>15847</v>
      </c>
      <c r="D4196" s="142" t="s">
        <v>15848</v>
      </c>
      <c r="E4196" s="142" t="s">
        <v>15849</v>
      </c>
      <c r="F4196" s="142" t="s">
        <v>3042</v>
      </c>
      <c r="G4196" s="142" t="s">
        <v>3041</v>
      </c>
      <c r="H4196" s="142" t="s">
        <v>20046</v>
      </c>
      <c r="I4196" s="142">
        <v>36</v>
      </c>
      <c r="J4196" s="142">
        <v>0</v>
      </c>
      <c r="K4196" s="142">
        <v>0</v>
      </c>
      <c r="L4196" s="142">
        <v>36</v>
      </c>
      <c r="M4196" s="142">
        <v>0</v>
      </c>
    </row>
    <row r="4197" spans="1:13" x14ac:dyDescent="0.45">
      <c r="A4197" s="142" t="s">
        <v>13041</v>
      </c>
      <c r="B4197" s="142" t="s">
        <v>14441</v>
      </c>
      <c r="C4197" s="142" t="s">
        <v>15847</v>
      </c>
      <c r="D4197" s="142" t="s">
        <v>15848</v>
      </c>
      <c r="E4197" s="142" t="s">
        <v>15849</v>
      </c>
      <c r="F4197" s="142" t="s">
        <v>3042</v>
      </c>
      <c r="G4197" s="142" t="s">
        <v>3041</v>
      </c>
      <c r="H4197" s="142" t="s">
        <v>20047</v>
      </c>
      <c r="I4197" s="142">
        <v>59</v>
      </c>
      <c r="J4197" s="142">
        <v>0</v>
      </c>
      <c r="K4197" s="142">
        <v>0</v>
      </c>
      <c r="L4197" s="142">
        <v>0</v>
      </c>
      <c r="M4197" s="142">
        <v>59</v>
      </c>
    </row>
    <row r="4198" spans="1:13" x14ac:dyDescent="0.45">
      <c r="A4198" s="142" t="s">
        <v>13012</v>
      </c>
      <c r="B4198" s="142" t="s">
        <v>15337</v>
      </c>
      <c r="C4198" s="142" t="s">
        <v>15847</v>
      </c>
      <c r="D4198" s="142" t="s">
        <v>15848</v>
      </c>
      <c r="E4198" s="142" t="s">
        <v>15849</v>
      </c>
      <c r="F4198" s="142" t="s">
        <v>3042</v>
      </c>
      <c r="G4198" s="142" t="s">
        <v>3041</v>
      </c>
      <c r="H4198" s="142" t="s">
        <v>20048</v>
      </c>
      <c r="I4198" s="142">
        <v>181</v>
      </c>
      <c r="J4198" s="142">
        <v>111</v>
      </c>
      <c r="K4198" s="142">
        <v>0</v>
      </c>
      <c r="L4198" s="142">
        <v>14</v>
      </c>
      <c r="M4198" s="142">
        <v>56</v>
      </c>
    </row>
    <row r="4199" spans="1:13" x14ac:dyDescent="0.45">
      <c r="A4199" s="142" t="s">
        <v>13428</v>
      </c>
      <c r="B4199" s="142" t="s">
        <v>15303</v>
      </c>
      <c r="C4199" s="142" t="s">
        <v>15847</v>
      </c>
      <c r="D4199" s="142" t="s">
        <v>15848</v>
      </c>
      <c r="E4199" s="142" t="s">
        <v>15849</v>
      </c>
      <c r="F4199" s="142" t="s">
        <v>3042</v>
      </c>
      <c r="G4199" s="142" t="s">
        <v>3041</v>
      </c>
      <c r="H4199" s="142" t="s">
        <v>20049</v>
      </c>
      <c r="I4199" s="142">
        <v>390</v>
      </c>
      <c r="J4199" s="142">
        <v>306</v>
      </c>
      <c r="K4199" s="142">
        <v>0</v>
      </c>
      <c r="L4199" s="142">
        <v>6</v>
      </c>
      <c r="M4199" s="142">
        <v>78</v>
      </c>
    </row>
    <row r="4200" spans="1:13" x14ac:dyDescent="0.45">
      <c r="A4200" s="142" t="s">
        <v>13014</v>
      </c>
      <c r="B4200" s="142" t="s">
        <v>14505</v>
      </c>
      <c r="C4200" s="142" t="s">
        <v>15847</v>
      </c>
      <c r="D4200" s="142" t="s">
        <v>15848</v>
      </c>
      <c r="E4200" s="142" t="s">
        <v>15849</v>
      </c>
      <c r="F4200" s="142" t="s">
        <v>3042</v>
      </c>
      <c r="G4200" s="142" t="s">
        <v>3041</v>
      </c>
      <c r="H4200" s="142" t="s">
        <v>20050</v>
      </c>
      <c r="I4200" s="142">
        <v>88</v>
      </c>
      <c r="J4200" s="142">
        <v>67</v>
      </c>
      <c r="K4200" s="142">
        <v>0</v>
      </c>
      <c r="L4200" s="142">
        <v>0</v>
      </c>
      <c r="M4200" s="142">
        <v>21</v>
      </c>
    </row>
    <row r="4201" spans="1:13" x14ac:dyDescent="0.45">
      <c r="A4201" s="142" t="s">
        <v>13095</v>
      </c>
      <c r="B4201" s="142" t="s">
        <v>15592</v>
      </c>
      <c r="C4201" s="142" t="s">
        <v>15847</v>
      </c>
      <c r="D4201" s="142" t="s">
        <v>15848</v>
      </c>
      <c r="E4201" s="142" t="s">
        <v>15849</v>
      </c>
      <c r="F4201" s="142" t="s">
        <v>3042</v>
      </c>
      <c r="G4201" s="142" t="s">
        <v>3041</v>
      </c>
      <c r="H4201" s="142" t="s">
        <v>20051</v>
      </c>
      <c r="I4201" s="142">
        <v>67</v>
      </c>
      <c r="J4201" s="142">
        <v>50</v>
      </c>
      <c r="K4201" s="142">
        <v>0</v>
      </c>
      <c r="L4201" s="142">
        <v>0</v>
      </c>
      <c r="M4201" s="142">
        <v>17</v>
      </c>
    </row>
    <row r="4202" spans="1:13" x14ac:dyDescent="0.45">
      <c r="A4202" s="142" t="s">
        <v>13165</v>
      </c>
      <c r="B4202" s="142" t="s">
        <v>15525</v>
      </c>
      <c r="C4202" s="142" t="s">
        <v>15860</v>
      </c>
      <c r="D4202" s="142" t="s">
        <v>15861</v>
      </c>
      <c r="E4202" s="142" t="s">
        <v>15849</v>
      </c>
      <c r="F4202" s="142" t="s">
        <v>3042</v>
      </c>
      <c r="G4202" s="142" t="s">
        <v>3041</v>
      </c>
      <c r="H4202" s="142" t="s">
        <v>20052</v>
      </c>
      <c r="I4202" s="142">
        <v>34</v>
      </c>
      <c r="J4202" s="142">
        <v>0</v>
      </c>
      <c r="K4202" s="142">
        <v>0</v>
      </c>
      <c r="L4202" s="142">
        <v>34</v>
      </c>
      <c r="M4202" s="142">
        <v>0</v>
      </c>
    </row>
    <row r="4203" spans="1:13" x14ac:dyDescent="0.45">
      <c r="A4203" s="142" t="s">
        <v>13207</v>
      </c>
      <c r="B4203" s="142" t="s">
        <v>15558</v>
      </c>
      <c r="C4203" s="142" t="s">
        <v>15847</v>
      </c>
      <c r="D4203" s="142" t="s">
        <v>15848</v>
      </c>
      <c r="E4203" s="142" t="s">
        <v>15849</v>
      </c>
      <c r="F4203" s="142" t="s">
        <v>3042</v>
      </c>
      <c r="G4203" s="142" t="s">
        <v>3041</v>
      </c>
      <c r="H4203" s="142" t="s">
        <v>20053</v>
      </c>
      <c r="I4203" s="142">
        <v>956</v>
      </c>
      <c r="J4203" s="142">
        <v>652</v>
      </c>
      <c r="K4203" s="142">
        <v>0</v>
      </c>
      <c r="L4203" s="142">
        <v>13</v>
      </c>
      <c r="M4203" s="142">
        <v>291</v>
      </c>
    </row>
    <row r="4204" spans="1:13" x14ac:dyDescent="0.45">
      <c r="A4204" s="142" t="s">
        <v>13072</v>
      </c>
      <c r="B4204" s="142" t="s">
        <v>15530</v>
      </c>
      <c r="C4204" s="142" t="s">
        <v>15847</v>
      </c>
      <c r="D4204" s="142" t="s">
        <v>15848</v>
      </c>
      <c r="E4204" s="142" t="s">
        <v>15849</v>
      </c>
      <c r="F4204" s="142" t="s">
        <v>6036</v>
      </c>
      <c r="G4204" s="142" t="s">
        <v>6035</v>
      </c>
      <c r="H4204" s="142" t="s">
        <v>20054</v>
      </c>
      <c r="I4204" s="142">
        <v>474</v>
      </c>
      <c r="J4204" s="142">
        <v>312</v>
      </c>
      <c r="K4204" s="142">
        <v>0</v>
      </c>
      <c r="L4204" s="142">
        <v>160</v>
      </c>
      <c r="M4204" s="142">
        <v>2</v>
      </c>
    </row>
    <row r="4205" spans="1:13" x14ac:dyDescent="0.45">
      <c r="A4205" s="142" t="s">
        <v>13023</v>
      </c>
      <c r="B4205" s="142" t="s">
        <v>15571</v>
      </c>
      <c r="C4205" s="142" t="s">
        <v>15847</v>
      </c>
      <c r="D4205" s="142" t="s">
        <v>15848</v>
      </c>
      <c r="E4205" s="142" t="s">
        <v>15849</v>
      </c>
      <c r="F4205" s="142" t="s">
        <v>6036</v>
      </c>
      <c r="G4205" s="142" t="s">
        <v>6035</v>
      </c>
      <c r="H4205" s="142" t="s">
        <v>20055</v>
      </c>
      <c r="I4205" s="142">
        <v>149</v>
      </c>
      <c r="J4205" s="142">
        <v>0</v>
      </c>
      <c r="K4205" s="142">
        <v>0</v>
      </c>
      <c r="L4205" s="142">
        <v>149</v>
      </c>
      <c r="M4205" s="142">
        <v>0</v>
      </c>
    </row>
    <row r="4206" spans="1:13" x14ac:dyDescent="0.45">
      <c r="A4206" s="142" t="s">
        <v>13082</v>
      </c>
      <c r="B4206" s="142" t="s">
        <v>14478</v>
      </c>
      <c r="C4206" s="142" t="s">
        <v>15860</v>
      </c>
      <c r="D4206" s="142" t="s">
        <v>15861</v>
      </c>
      <c r="E4206" s="142" t="s">
        <v>15849</v>
      </c>
      <c r="F4206" s="142" t="s">
        <v>6036</v>
      </c>
      <c r="G4206" s="142" t="s">
        <v>6035</v>
      </c>
      <c r="H4206" s="142" t="s">
        <v>20056</v>
      </c>
      <c r="I4206" s="142">
        <v>21</v>
      </c>
      <c r="J4206" s="142">
        <v>0</v>
      </c>
      <c r="K4206" s="142">
        <v>0</v>
      </c>
      <c r="L4206" s="142">
        <v>21</v>
      </c>
      <c r="M4206" s="142">
        <v>0</v>
      </c>
    </row>
    <row r="4207" spans="1:13" x14ac:dyDescent="0.45">
      <c r="A4207" s="142" t="s">
        <v>13288</v>
      </c>
      <c r="B4207" s="142" t="s">
        <v>14444</v>
      </c>
      <c r="C4207" s="142" t="s">
        <v>15860</v>
      </c>
      <c r="D4207" s="142" t="s">
        <v>15861</v>
      </c>
      <c r="E4207" s="142" t="s">
        <v>15849</v>
      </c>
      <c r="F4207" s="142" t="s">
        <v>6036</v>
      </c>
      <c r="G4207" s="142" t="s">
        <v>6035</v>
      </c>
      <c r="H4207" s="142" t="s">
        <v>20057</v>
      </c>
      <c r="I4207" s="142">
        <v>2</v>
      </c>
      <c r="J4207" s="142">
        <v>0</v>
      </c>
      <c r="K4207" s="142">
        <v>0</v>
      </c>
      <c r="L4207" s="142">
        <v>2</v>
      </c>
      <c r="M4207" s="142">
        <v>0</v>
      </c>
    </row>
    <row r="4208" spans="1:13" x14ac:dyDescent="0.45">
      <c r="A4208" s="142" t="s">
        <v>13407</v>
      </c>
      <c r="B4208" s="142" t="s">
        <v>15432</v>
      </c>
      <c r="C4208" s="142" t="s">
        <v>15847</v>
      </c>
      <c r="D4208" s="142" t="s">
        <v>15848</v>
      </c>
      <c r="E4208" s="142" t="s">
        <v>15849</v>
      </c>
      <c r="F4208" s="142" t="s">
        <v>6036</v>
      </c>
      <c r="G4208" s="142" t="s">
        <v>6035</v>
      </c>
      <c r="H4208" s="142" t="s">
        <v>20058</v>
      </c>
      <c r="I4208" s="142">
        <v>14</v>
      </c>
      <c r="J4208" s="142">
        <v>0</v>
      </c>
      <c r="K4208" s="142">
        <v>0</v>
      </c>
      <c r="L4208" s="142">
        <v>14</v>
      </c>
      <c r="M4208" s="142">
        <v>0</v>
      </c>
    </row>
    <row r="4209" spans="1:13" x14ac:dyDescent="0.45">
      <c r="A4209" s="142" t="s">
        <v>13273</v>
      </c>
      <c r="B4209" s="142" t="s">
        <v>14465</v>
      </c>
      <c r="C4209" s="142" t="s">
        <v>15860</v>
      </c>
      <c r="D4209" s="142" t="s">
        <v>15861</v>
      </c>
      <c r="E4209" s="142" t="s">
        <v>15849</v>
      </c>
      <c r="F4209" s="142" t="s">
        <v>6036</v>
      </c>
      <c r="G4209" s="142" t="s">
        <v>6035</v>
      </c>
      <c r="H4209" s="142" t="s">
        <v>20059</v>
      </c>
      <c r="I4209" s="142">
        <v>2</v>
      </c>
      <c r="J4209" s="142">
        <v>0</v>
      </c>
      <c r="K4209" s="142">
        <v>0</v>
      </c>
      <c r="L4209" s="142">
        <v>2</v>
      </c>
      <c r="M4209" s="142">
        <v>0</v>
      </c>
    </row>
    <row r="4210" spans="1:13" x14ac:dyDescent="0.45">
      <c r="A4210" s="142" t="s">
        <v>13238</v>
      </c>
      <c r="B4210" s="142" t="s">
        <v>14477</v>
      </c>
      <c r="C4210" s="142" t="s">
        <v>15860</v>
      </c>
      <c r="D4210" s="142" t="s">
        <v>15861</v>
      </c>
      <c r="E4210" s="142" t="s">
        <v>15849</v>
      </c>
      <c r="F4210" s="142" t="s">
        <v>6036</v>
      </c>
      <c r="G4210" s="142" t="s">
        <v>6035</v>
      </c>
      <c r="H4210" s="142" t="s">
        <v>20060</v>
      </c>
      <c r="I4210" s="142">
        <v>25</v>
      </c>
      <c r="J4210" s="142">
        <v>0</v>
      </c>
      <c r="K4210" s="142">
        <v>0</v>
      </c>
      <c r="L4210" s="142">
        <v>25</v>
      </c>
      <c r="M4210" s="142">
        <v>0</v>
      </c>
    </row>
    <row r="4211" spans="1:13" x14ac:dyDescent="0.45">
      <c r="A4211" s="142" t="s">
        <v>13085</v>
      </c>
      <c r="B4211" s="142" t="s">
        <v>14460</v>
      </c>
      <c r="C4211" s="142" t="s">
        <v>15860</v>
      </c>
      <c r="D4211" s="142" t="s">
        <v>15861</v>
      </c>
      <c r="E4211" s="142" t="s">
        <v>15849</v>
      </c>
      <c r="F4211" s="142" t="s">
        <v>6036</v>
      </c>
      <c r="G4211" s="142" t="s">
        <v>6035</v>
      </c>
      <c r="H4211" s="142" t="s">
        <v>20061</v>
      </c>
      <c r="I4211" s="142">
        <v>10</v>
      </c>
      <c r="J4211" s="142">
        <v>0</v>
      </c>
      <c r="K4211" s="142">
        <v>0</v>
      </c>
      <c r="L4211" s="142">
        <v>10</v>
      </c>
      <c r="M4211" s="142">
        <v>0</v>
      </c>
    </row>
    <row r="4212" spans="1:13" x14ac:dyDescent="0.45">
      <c r="A4212" s="142" t="s">
        <v>13099</v>
      </c>
      <c r="B4212" s="142" t="s">
        <v>14547</v>
      </c>
      <c r="C4212" s="142" t="s">
        <v>15860</v>
      </c>
      <c r="D4212" s="142" t="s">
        <v>15861</v>
      </c>
      <c r="E4212" s="142" t="s">
        <v>15849</v>
      </c>
      <c r="F4212" s="142" t="s">
        <v>6036</v>
      </c>
      <c r="G4212" s="142" t="s">
        <v>6035</v>
      </c>
      <c r="H4212" s="142" t="s">
        <v>20062</v>
      </c>
      <c r="I4212" s="142">
        <v>14</v>
      </c>
      <c r="J4212" s="142">
        <v>0</v>
      </c>
      <c r="K4212" s="142">
        <v>0</v>
      </c>
      <c r="L4212" s="142">
        <v>14</v>
      </c>
      <c r="M4212" s="142">
        <v>0</v>
      </c>
    </row>
    <row r="4213" spans="1:13" x14ac:dyDescent="0.45">
      <c r="A4213" s="142" t="s">
        <v>13049</v>
      </c>
      <c r="B4213" s="142" t="s">
        <v>14534</v>
      </c>
      <c r="C4213" s="142" t="s">
        <v>15860</v>
      </c>
      <c r="D4213" s="142" t="s">
        <v>15861</v>
      </c>
      <c r="E4213" s="142" t="s">
        <v>15849</v>
      </c>
      <c r="F4213" s="142" t="s">
        <v>6036</v>
      </c>
      <c r="G4213" s="142" t="s">
        <v>6035</v>
      </c>
      <c r="H4213" s="142" t="s">
        <v>20063</v>
      </c>
      <c r="I4213" s="142">
        <v>26</v>
      </c>
      <c r="J4213" s="142">
        <v>0</v>
      </c>
      <c r="K4213" s="142">
        <v>0</v>
      </c>
      <c r="L4213" s="142">
        <v>26</v>
      </c>
      <c r="M4213" s="142">
        <v>0</v>
      </c>
    </row>
    <row r="4214" spans="1:13" x14ac:dyDescent="0.45">
      <c r="A4214" s="142" t="s">
        <v>13148</v>
      </c>
      <c r="B4214" s="142" t="s">
        <v>15314</v>
      </c>
      <c r="C4214" s="142" t="s">
        <v>15847</v>
      </c>
      <c r="D4214" s="142" t="s">
        <v>15848</v>
      </c>
      <c r="E4214" s="142" t="s">
        <v>15849</v>
      </c>
      <c r="F4214" s="142" t="s">
        <v>6036</v>
      </c>
      <c r="G4214" s="142" t="s">
        <v>6035</v>
      </c>
      <c r="H4214" s="142" t="s">
        <v>20064</v>
      </c>
      <c r="I4214" s="142">
        <v>189</v>
      </c>
      <c r="J4214" s="142">
        <v>189</v>
      </c>
      <c r="K4214" s="142">
        <v>0</v>
      </c>
      <c r="L4214" s="142">
        <v>0</v>
      </c>
      <c r="M4214" s="142">
        <v>0</v>
      </c>
    </row>
    <row r="4215" spans="1:13" x14ac:dyDescent="0.45">
      <c r="A4215" s="142" t="s">
        <v>13149</v>
      </c>
      <c r="B4215" s="142" t="s">
        <v>14458</v>
      </c>
      <c r="C4215" s="142" t="s">
        <v>15860</v>
      </c>
      <c r="D4215" s="142" t="s">
        <v>15861</v>
      </c>
      <c r="E4215" s="142" t="s">
        <v>15849</v>
      </c>
      <c r="F4215" s="142" t="s">
        <v>6036</v>
      </c>
      <c r="G4215" s="142" t="s">
        <v>6035</v>
      </c>
      <c r="H4215" s="142" t="s">
        <v>20065</v>
      </c>
      <c r="I4215" s="142">
        <v>13</v>
      </c>
      <c r="J4215" s="142">
        <v>0</v>
      </c>
      <c r="K4215" s="142">
        <v>0</v>
      </c>
      <c r="L4215" s="142">
        <v>13</v>
      </c>
      <c r="M4215" s="142">
        <v>0</v>
      </c>
    </row>
    <row r="4216" spans="1:13" x14ac:dyDescent="0.45">
      <c r="A4216" s="142" t="s">
        <v>13028</v>
      </c>
      <c r="B4216" s="142" t="s">
        <v>14462</v>
      </c>
      <c r="C4216" s="142" t="s">
        <v>15847</v>
      </c>
      <c r="D4216" s="142" t="s">
        <v>15848</v>
      </c>
      <c r="E4216" s="142" t="s">
        <v>15849</v>
      </c>
      <c r="F4216" s="142" t="s">
        <v>6036</v>
      </c>
      <c r="G4216" s="142" t="s">
        <v>6035</v>
      </c>
      <c r="H4216" s="142" t="s">
        <v>20066</v>
      </c>
      <c r="I4216" s="142">
        <v>39</v>
      </c>
      <c r="J4216" s="142">
        <v>0</v>
      </c>
      <c r="K4216" s="142">
        <v>0</v>
      </c>
      <c r="L4216" s="142">
        <v>0</v>
      </c>
      <c r="M4216" s="142">
        <v>39</v>
      </c>
    </row>
    <row r="4217" spans="1:13" x14ac:dyDescent="0.45">
      <c r="A4217" s="142" t="s">
        <v>13160</v>
      </c>
      <c r="B4217" s="142" t="s">
        <v>14525</v>
      </c>
      <c r="C4217" s="142" t="s">
        <v>15847</v>
      </c>
      <c r="D4217" s="142" t="s">
        <v>15848</v>
      </c>
      <c r="E4217" s="142" t="s">
        <v>15849</v>
      </c>
      <c r="F4217" s="142" t="s">
        <v>6036</v>
      </c>
      <c r="G4217" s="142" t="s">
        <v>6035</v>
      </c>
      <c r="H4217" s="142" t="s">
        <v>20067</v>
      </c>
      <c r="I4217" s="142">
        <v>12</v>
      </c>
      <c r="J4217" s="142">
        <v>0</v>
      </c>
      <c r="K4217" s="142">
        <v>0</v>
      </c>
      <c r="L4217" s="142">
        <v>12</v>
      </c>
      <c r="M4217" s="142">
        <v>0</v>
      </c>
    </row>
    <row r="4218" spans="1:13" x14ac:dyDescent="0.45">
      <c r="A4218" s="142" t="s">
        <v>13003</v>
      </c>
      <c r="B4218" s="142" t="s">
        <v>15245</v>
      </c>
      <c r="C4218" s="142" t="s">
        <v>15847</v>
      </c>
      <c r="D4218" s="142" t="s">
        <v>15848</v>
      </c>
      <c r="E4218" s="142" t="s">
        <v>15849</v>
      </c>
      <c r="F4218" s="142" t="s">
        <v>6036</v>
      </c>
      <c r="G4218" s="142" t="s">
        <v>6035</v>
      </c>
      <c r="H4218" s="142" t="s">
        <v>20068</v>
      </c>
      <c r="I4218" s="142">
        <v>30</v>
      </c>
      <c r="J4218" s="142">
        <v>0</v>
      </c>
      <c r="K4218" s="142">
        <v>0</v>
      </c>
      <c r="L4218" s="142">
        <v>30</v>
      </c>
      <c r="M4218" s="142">
        <v>0</v>
      </c>
    </row>
    <row r="4219" spans="1:13" x14ac:dyDescent="0.45">
      <c r="A4219" s="142" t="s">
        <v>13066</v>
      </c>
      <c r="B4219" s="142" t="s">
        <v>14459</v>
      </c>
      <c r="C4219" s="142" t="s">
        <v>15847</v>
      </c>
      <c r="D4219" s="142" t="s">
        <v>15848</v>
      </c>
      <c r="E4219" s="142" t="s">
        <v>15849</v>
      </c>
      <c r="F4219" s="142" t="s">
        <v>6036</v>
      </c>
      <c r="G4219" s="142" t="s">
        <v>6035</v>
      </c>
      <c r="H4219" s="142" t="s">
        <v>20069</v>
      </c>
      <c r="I4219" s="142">
        <v>12</v>
      </c>
      <c r="J4219" s="142">
        <v>0</v>
      </c>
      <c r="K4219" s="142">
        <v>0</v>
      </c>
      <c r="L4219" s="142">
        <v>12</v>
      </c>
      <c r="M4219" s="142">
        <v>0</v>
      </c>
    </row>
    <row r="4220" spans="1:13" x14ac:dyDescent="0.45">
      <c r="A4220" s="142" t="s">
        <v>13249</v>
      </c>
      <c r="B4220" s="142" t="s">
        <v>14602</v>
      </c>
      <c r="C4220" s="142" t="s">
        <v>15847</v>
      </c>
      <c r="D4220" s="142" t="s">
        <v>15848</v>
      </c>
      <c r="E4220" s="142" t="s">
        <v>15849</v>
      </c>
      <c r="F4220" s="142" t="s">
        <v>6036</v>
      </c>
      <c r="G4220" s="142" t="s">
        <v>6035</v>
      </c>
      <c r="H4220" s="142" t="s">
        <v>20070</v>
      </c>
      <c r="I4220" s="142">
        <v>87</v>
      </c>
      <c r="J4220" s="142">
        <v>76</v>
      </c>
      <c r="K4220" s="142">
        <v>0</v>
      </c>
      <c r="L4220" s="142">
        <v>11</v>
      </c>
      <c r="M4220" s="142">
        <v>0</v>
      </c>
    </row>
    <row r="4221" spans="1:13" x14ac:dyDescent="0.45">
      <c r="A4221" s="142" t="s">
        <v>13516</v>
      </c>
      <c r="B4221" s="142" t="s">
        <v>14461</v>
      </c>
      <c r="C4221" s="142" t="s">
        <v>15860</v>
      </c>
      <c r="D4221" s="142" t="s">
        <v>15861</v>
      </c>
      <c r="E4221" s="142" t="s">
        <v>15849</v>
      </c>
      <c r="F4221" s="142" t="s">
        <v>6036</v>
      </c>
      <c r="G4221" s="142" t="s">
        <v>6035</v>
      </c>
      <c r="H4221" s="142" t="s">
        <v>20071</v>
      </c>
      <c r="I4221" s="142">
        <v>5</v>
      </c>
      <c r="J4221" s="142">
        <v>0</v>
      </c>
      <c r="K4221" s="142">
        <v>0</v>
      </c>
      <c r="L4221" s="142">
        <v>5</v>
      </c>
      <c r="M4221" s="142">
        <v>0</v>
      </c>
    </row>
    <row r="4222" spans="1:13" x14ac:dyDescent="0.45">
      <c r="A4222" s="142" t="s">
        <v>13276</v>
      </c>
      <c r="B4222" s="142" t="s">
        <v>15498</v>
      </c>
      <c r="C4222" s="142" t="s">
        <v>15847</v>
      </c>
      <c r="D4222" s="142" t="s">
        <v>15848</v>
      </c>
      <c r="E4222" s="142" t="s">
        <v>15849</v>
      </c>
      <c r="F4222" s="142" t="s">
        <v>6036</v>
      </c>
      <c r="G4222" s="142" t="s">
        <v>6035</v>
      </c>
      <c r="H4222" s="142" t="s">
        <v>20072</v>
      </c>
      <c r="I4222" s="142">
        <v>3308</v>
      </c>
      <c r="J4222" s="142">
        <v>2150</v>
      </c>
      <c r="K4222" s="142">
        <v>0</v>
      </c>
      <c r="L4222" s="142">
        <v>1141</v>
      </c>
      <c r="M4222" s="142">
        <v>17</v>
      </c>
    </row>
    <row r="4223" spans="1:13" x14ac:dyDescent="0.45">
      <c r="A4223" s="142" t="s">
        <v>13032</v>
      </c>
      <c r="B4223" s="142" t="s">
        <v>14532</v>
      </c>
      <c r="C4223" s="142" t="s">
        <v>15860</v>
      </c>
      <c r="D4223" s="142" t="s">
        <v>15861</v>
      </c>
      <c r="E4223" s="142" t="s">
        <v>15849</v>
      </c>
      <c r="F4223" s="142" t="s">
        <v>6036</v>
      </c>
      <c r="G4223" s="142" t="s">
        <v>6035</v>
      </c>
      <c r="H4223" s="142" t="s">
        <v>20073</v>
      </c>
      <c r="I4223" s="142">
        <v>2</v>
      </c>
      <c r="J4223" s="142">
        <v>0</v>
      </c>
      <c r="K4223" s="142">
        <v>0</v>
      </c>
      <c r="L4223" s="142">
        <v>2</v>
      </c>
      <c r="M4223" s="142">
        <v>0</v>
      </c>
    </row>
    <row r="4224" spans="1:13" x14ac:dyDescent="0.45">
      <c r="A4224" s="142" t="s">
        <v>13033</v>
      </c>
      <c r="B4224" s="142" t="s">
        <v>15276</v>
      </c>
      <c r="C4224" s="142" t="s">
        <v>15847</v>
      </c>
      <c r="D4224" s="142" t="s">
        <v>15848</v>
      </c>
      <c r="E4224" s="142" t="s">
        <v>15849</v>
      </c>
      <c r="F4224" s="142" t="s">
        <v>6036</v>
      </c>
      <c r="G4224" s="142" t="s">
        <v>6035</v>
      </c>
      <c r="H4224" s="142" t="s">
        <v>20074</v>
      </c>
      <c r="I4224" s="142">
        <v>64</v>
      </c>
      <c r="J4224" s="142">
        <v>57</v>
      </c>
      <c r="K4224" s="142">
        <v>0</v>
      </c>
      <c r="L4224" s="142">
        <v>0</v>
      </c>
      <c r="M4224" s="142">
        <v>7</v>
      </c>
    </row>
    <row r="4225" spans="1:13" x14ac:dyDescent="0.45">
      <c r="A4225" s="142" t="s">
        <v>13034</v>
      </c>
      <c r="B4225" s="142" t="s">
        <v>15562</v>
      </c>
      <c r="C4225" s="142" t="s">
        <v>15847</v>
      </c>
      <c r="D4225" s="142" t="s">
        <v>15848</v>
      </c>
      <c r="E4225" s="142" t="s">
        <v>15849</v>
      </c>
      <c r="F4225" s="142" t="s">
        <v>6036</v>
      </c>
      <c r="G4225" s="142" t="s">
        <v>6035</v>
      </c>
      <c r="H4225" s="142" t="s">
        <v>20075</v>
      </c>
      <c r="I4225" s="142">
        <v>40</v>
      </c>
      <c r="J4225" s="142">
        <v>0</v>
      </c>
      <c r="K4225" s="142">
        <v>0</v>
      </c>
      <c r="L4225" s="142">
        <v>40</v>
      </c>
      <c r="M4225" s="142">
        <v>0</v>
      </c>
    </row>
    <row r="4226" spans="1:13" x14ac:dyDescent="0.45">
      <c r="A4226" s="142" t="s">
        <v>13036</v>
      </c>
      <c r="B4226" s="142" t="s">
        <v>15567</v>
      </c>
      <c r="C4226" s="142" t="s">
        <v>15847</v>
      </c>
      <c r="D4226" s="142" t="s">
        <v>15848</v>
      </c>
      <c r="E4226" s="142" t="s">
        <v>15849</v>
      </c>
      <c r="F4226" s="142" t="s">
        <v>6036</v>
      </c>
      <c r="G4226" s="142" t="s">
        <v>6035</v>
      </c>
      <c r="H4226" s="142" t="s">
        <v>20076</v>
      </c>
      <c r="I4226" s="142">
        <v>142</v>
      </c>
      <c r="J4226" s="142">
        <v>80</v>
      </c>
      <c r="K4226" s="142">
        <v>0</v>
      </c>
      <c r="L4226" s="142">
        <v>52</v>
      </c>
      <c r="M4226" s="142">
        <v>10</v>
      </c>
    </row>
    <row r="4227" spans="1:13" x14ac:dyDescent="0.45">
      <c r="A4227" s="142" t="s">
        <v>13039</v>
      </c>
      <c r="B4227" s="142" t="s">
        <v>14647</v>
      </c>
      <c r="C4227" s="142" t="s">
        <v>15847</v>
      </c>
      <c r="D4227" s="142" t="s">
        <v>15848</v>
      </c>
      <c r="E4227" s="142" t="s">
        <v>15849</v>
      </c>
      <c r="F4227" s="142" t="s">
        <v>6036</v>
      </c>
      <c r="G4227" s="142" t="s">
        <v>6035</v>
      </c>
      <c r="H4227" s="142" t="s">
        <v>20077</v>
      </c>
      <c r="I4227" s="142">
        <v>8</v>
      </c>
      <c r="J4227" s="142">
        <v>8</v>
      </c>
      <c r="K4227" s="142">
        <v>0</v>
      </c>
      <c r="L4227" s="142">
        <v>0</v>
      </c>
      <c r="M4227" s="142">
        <v>0</v>
      </c>
    </row>
    <row r="4228" spans="1:13" x14ac:dyDescent="0.45">
      <c r="A4228" s="142" t="s">
        <v>13091</v>
      </c>
      <c r="B4228" s="142" t="s">
        <v>14473</v>
      </c>
      <c r="C4228" s="142" t="s">
        <v>15847</v>
      </c>
      <c r="D4228" s="142" t="s">
        <v>15848</v>
      </c>
      <c r="E4228" s="142" t="s">
        <v>15849</v>
      </c>
      <c r="F4228" s="142" t="s">
        <v>6036</v>
      </c>
      <c r="G4228" s="142" t="s">
        <v>6035</v>
      </c>
      <c r="H4228" s="142" t="s">
        <v>20078</v>
      </c>
      <c r="I4228" s="142">
        <v>1</v>
      </c>
      <c r="J4228" s="142">
        <v>0</v>
      </c>
      <c r="K4228" s="142">
        <v>0</v>
      </c>
      <c r="L4228" s="142">
        <v>1</v>
      </c>
      <c r="M4228" s="142">
        <v>0</v>
      </c>
    </row>
    <row r="4229" spans="1:13" x14ac:dyDescent="0.45">
      <c r="A4229" s="142" t="s">
        <v>13154</v>
      </c>
      <c r="B4229" s="142" t="s">
        <v>15415</v>
      </c>
      <c r="C4229" s="142" t="s">
        <v>15847</v>
      </c>
      <c r="D4229" s="142" t="s">
        <v>15848</v>
      </c>
      <c r="E4229" s="142" t="s">
        <v>15849</v>
      </c>
      <c r="F4229" s="142" t="s">
        <v>6036</v>
      </c>
      <c r="G4229" s="142" t="s">
        <v>6035</v>
      </c>
      <c r="H4229" s="142" t="s">
        <v>20079</v>
      </c>
      <c r="I4229" s="142">
        <v>23</v>
      </c>
      <c r="J4229" s="142">
        <v>23</v>
      </c>
      <c r="K4229" s="142">
        <v>0</v>
      </c>
      <c r="L4229" s="142">
        <v>0</v>
      </c>
      <c r="M4229" s="142">
        <v>0</v>
      </c>
    </row>
    <row r="4230" spans="1:13" x14ac:dyDescent="0.45">
      <c r="A4230" s="142" t="s">
        <v>13222</v>
      </c>
      <c r="B4230" s="142" t="s">
        <v>14449</v>
      </c>
      <c r="C4230" s="142" t="s">
        <v>15860</v>
      </c>
      <c r="D4230" s="142" t="s">
        <v>15861</v>
      </c>
      <c r="E4230" s="142" t="s">
        <v>15849</v>
      </c>
      <c r="F4230" s="142" t="s">
        <v>6036</v>
      </c>
      <c r="G4230" s="142" t="s">
        <v>6035</v>
      </c>
      <c r="H4230" s="142" t="s">
        <v>20080</v>
      </c>
      <c r="I4230" s="142">
        <v>15</v>
      </c>
      <c r="J4230" s="142">
        <v>0</v>
      </c>
      <c r="K4230" s="142">
        <v>0</v>
      </c>
      <c r="L4230" s="142">
        <v>15</v>
      </c>
      <c r="M4230" s="142">
        <v>0</v>
      </c>
    </row>
    <row r="4231" spans="1:13" x14ac:dyDescent="0.45">
      <c r="A4231" s="142" t="s">
        <v>13286</v>
      </c>
      <c r="B4231" s="142" t="s">
        <v>15342</v>
      </c>
      <c r="C4231" s="142" t="s">
        <v>15847</v>
      </c>
      <c r="D4231" s="142" t="s">
        <v>15848</v>
      </c>
      <c r="E4231" s="142" t="s">
        <v>15849</v>
      </c>
      <c r="F4231" s="142" t="s">
        <v>6036</v>
      </c>
      <c r="G4231" s="142" t="s">
        <v>6035</v>
      </c>
      <c r="H4231" s="142" t="s">
        <v>20081</v>
      </c>
      <c r="I4231" s="142">
        <v>496</v>
      </c>
      <c r="J4231" s="142">
        <v>354</v>
      </c>
      <c r="K4231" s="142">
        <v>0</v>
      </c>
      <c r="L4231" s="142">
        <v>105</v>
      </c>
      <c r="M4231" s="142">
        <v>37</v>
      </c>
    </row>
    <row r="4232" spans="1:13" x14ac:dyDescent="0.45">
      <c r="A4232" s="142" t="s">
        <v>13023</v>
      </c>
      <c r="B4232" s="142" t="s">
        <v>15571</v>
      </c>
      <c r="C4232" s="142" t="s">
        <v>15847</v>
      </c>
      <c r="D4232" s="142" t="s">
        <v>15848</v>
      </c>
      <c r="E4232" s="142" t="s">
        <v>15849</v>
      </c>
      <c r="F4232" s="142" t="s">
        <v>8162</v>
      </c>
      <c r="G4232" s="142" t="s">
        <v>8161</v>
      </c>
      <c r="H4232" s="142" t="s">
        <v>20082</v>
      </c>
      <c r="I4232" s="142">
        <v>218</v>
      </c>
      <c r="J4232" s="142">
        <v>0</v>
      </c>
      <c r="K4232" s="142">
        <v>0</v>
      </c>
      <c r="L4232" s="142">
        <v>218</v>
      </c>
      <c r="M4232" s="142">
        <v>0</v>
      </c>
    </row>
    <row r="4233" spans="1:13" x14ac:dyDescent="0.45">
      <c r="A4233" s="142" t="s">
        <v>13330</v>
      </c>
      <c r="B4233" s="142" t="s">
        <v>15239</v>
      </c>
      <c r="C4233" s="142" t="s">
        <v>15847</v>
      </c>
      <c r="D4233" s="142" t="s">
        <v>15848</v>
      </c>
      <c r="E4233" s="142" t="s">
        <v>15849</v>
      </c>
      <c r="F4233" s="142" t="s">
        <v>8162</v>
      </c>
      <c r="G4233" s="142" t="s">
        <v>8161</v>
      </c>
      <c r="H4233" s="142" t="s">
        <v>20083</v>
      </c>
      <c r="I4233" s="142">
        <v>27</v>
      </c>
      <c r="J4233" s="142">
        <v>27</v>
      </c>
      <c r="K4233" s="142">
        <v>0</v>
      </c>
      <c r="L4233" s="142">
        <v>0</v>
      </c>
      <c r="M4233" s="142">
        <v>0</v>
      </c>
    </row>
    <row r="4234" spans="1:13" x14ac:dyDescent="0.45">
      <c r="A4234" s="142" t="s">
        <v>13084</v>
      </c>
      <c r="B4234" s="142" t="s">
        <v>15471</v>
      </c>
      <c r="C4234" s="142" t="s">
        <v>15847</v>
      </c>
      <c r="D4234" s="142" t="s">
        <v>15848</v>
      </c>
      <c r="E4234" s="142" t="s">
        <v>15849</v>
      </c>
      <c r="F4234" s="142" t="s">
        <v>8162</v>
      </c>
      <c r="G4234" s="142" t="s">
        <v>8161</v>
      </c>
      <c r="H4234" s="142" t="s">
        <v>20084</v>
      </c>
      <c r="I4234" s="142">
        <v>263</v>
      </c>
      <c r="J4234" s="142">
        <v>203</v>
      </c>
      <c r="K4234" s="142">
        <v>0</v>
      </c>
      <c r="L4234" s="142">
        <v>2</v>
      </c>
      <c r="M4234" s="142">
        <v>58</v>
      </c>
    </row>
    <row r="4235" spans="1:13" x14ac:dyDescent="0.45">
      <c r="A4235" s="142" t="s">
        <v>13085</v>
      </c>
      <c r="B4235" s="142" t="s">
        <v>14460</v>
      </c>
      <c r="C4235" s="142" t="s">
        <v>15860</v>
      </c>
      <c r="D4235" s="142" t="s">
        <v>15861</v>
      </c>
      <c r="E4235" s="142" t="s">
        <v>15849</v>
      </c>
      <c r="F4235" s="142" t="s">
        <v>8162</v>
      </c>
      <c r="G4235" s="142" t="s">
        <v>8161</v>
      </c>
      <c r="H4235" s="142" t="s">
        <v>20085</v>
      </c>
      <c r="I4235" s="142">
        <v>1</v>
      </c>
      <c r="J4235" s="142">
        <v>0</v>
      </c>
      <c r="K4235" s="142">
        <v>0</v>
      </c>
      <c r="L4235" s="142">
        <v>1</v>
      </c>
      <c r="M4235" s="142">
        <v>0</v>
      </c>
    </row>
    <row r="4236" spans="1:13" x14ac:dyDescent="0.45">
      <c r="A4236" s="142" t="s">
        <v>13049</v>
      </c>
      <c r="B4236" s="142" t="s">
        <v>14534</v>
      </c>
      <c r="C4236" s="142" t="s">
        <v>15860</v>
      </c>
      <c r="D4236" s="142" t="s">
        <v>15861</v>
      </c>
      <c r="E4236" s="142" t="s">
        <v>15849</v>
      </c>
      <c r="F4236" s="142" t="s">
        <v>8162</v>
      </c>
      <c r="G4236" s="142" t="s">
        <v>8161</v>
      </c>
      <c r="H4236" s="142" t="s">
        <v>20086</v>
      </c>
      <c r="I4236" s="142">
        <v>4</v>
      </c>
      <c r="J4236" s="142">
        <v>0</v>
      </c>
      <c r="K4236" s="142">
        <v>0</v>
      </c>
      <c r="L4236" s="142">
        <v>4</v>
      </c>
      <c r="M4236" s="142">
        <v>0</v>
      </c>
    </row>
    <row r="4237" spans="1:13" x14ac:dyDescent="0.45">
      <c r="A4237" s="142" t="s">
        <v>13087</v>
      </c>
      <c r="B4237" s="142" t="s">
        <v>14452</v>
      </c>
      <c r="C4237" s="142" t="s">
        <v>15847</v>
      </c>
      <c r="D4237" s="142" t="s">
        <v>15848</v>
      </c>
      <c r="E4237" s="142" t="s">
        <v>15849</v>
      </c>
      <c r="F4237" s="142" t="s">
        <v>8162</v>
      </c>
      <c r="G4237" s="142" t="s">
        <v>8161</v>
      </c>
      <c r="H4237" s="142" t="s">
        <v>20087</v>
      </c>
      <c r="I4237" s="142">
        <v>1716</v>
      </c>
      <c r="J4237" s="142">
        <v>1441</v>
      </c>
      <c r="K4237" s="142">
        <v>0</v>
      </c>
      <c r="L4237" s="142">
        <v>147</v>
      </c>
      <c r="M4237" s="142">
        <v>128</v>
      </c>
    </row>
    <row r="4238" spans="1:13" x14ac:dyDescent="0.45">
      <c r="A4238" s="142" t="s">
        <v>13001</v>
      </c>
      <c r="B4238" s="142" t="s">
        <v>15506</v>
      </c>
      <c r="C4238" s="142" t="s">
        <v>15847</v>
      </c>
      <c r="D4238" s="142" t="s">
        <v>15848</v>
      </c>
      <c r="E4238" s="142" t="s">
        <v>15849</v>
      </c>
      <c r="F4238" s="142" t="s">
        <v>8162</v>
      </c>
      <c r="G4238" s="142" t="s">
        <v>8161</v>
      </c>
      <c r="H4238" s="142" t="s">
        <v>20088</v>
      </c>
      <c r="I4238" s="142">
        <v>33</v>
      </c>
      <c r="J4238" s="142">
        <v>26</v>
      </c>
      <c r="K4238" s="142">
        <v>0</v>
      </c>
      <c r="L4238" s="142">
        <v>7</v>
      </c>
      <c r="M4238" s="142">
        <v>0</v>
      </c>
    </row>
    <row r="4239" spans="1:13" x14ac:dyDescent="0.45">
      <c r="A4239" s="142" t="s">
        <v>13028</v>
      </c>
      <c r="B4239" s="142" t="s">
        <v>14462</v>
      </c>
      <c r="C4239" s="142" t="s">
        <v>15847</v>
      </c>
      <c r="D4239" s="142" t="s">
        <v>15848</v>
      </c>
      <c r="E4239" s="142" t="s">
        <v>15849</v>
      </c>
      <c r="F4239" s="142" t="s">
        <v>8162</v>
      </c>
      <c r="G4239" s="142" t="s">
        <v>8161</v>
      </c>
      <c r="H4239" s="142" t="s">
        <v>20089</v>
      </c>
      <c r="I4239" s="142">
        <v>14</v>
      </c>
      <c r="J4239" s="142">
        <v>0</v>
      </c>
      <c r="K4239" s="142">
        <v>0</v>
      </c>
      <c r="L4239" s="142">
        <v>0</v>
      </c>
      <c r="M4239" s="142">
        <v>14</v>
      </c>
    </row>
    <row r="4240" spans="1:13" x14ac:dyDescent="0.45">
      <c r="A4240" s="142" t="s">
        <v>13002</v>
      </c>
      <c r="B4240" s="142" t="s">
        <v>15376</v>
      </c>
      <c r="C4240" s="142" t="s">
        <v>15847</v>
      </c>
      <c r="D4240" s="142" t="s">
        <v>15848</v>
      </c>
      <c r="E4240" s="142" t="s">
        <v>15849</v>
      </c>
      <c r="F4240" s="142" t="s">
        <v>8162</v>
      </c>
      <c r="G4240" s="142" t="s">
        <v>8161</v>
      </c>
      <c r="H4240" s="142" t="s">
        <v>20090</v>
      </c>
      <c r="I4240" s="142">
        <v>19</v>
      </c>
      <c r="J4240" s="142">
        <v>0</v>
      </c>
      <c r="K4240" s="142">
        <v>0</v>
      </c>
      <c r="L4240" s="142">
        <v>19</v>
      </c>
      <c r="M4240" s="142">
        <v>0</v>
      </c>
    </row>
    <row r="4241" spans="1:13" x14ac:dyDescent="0.45">
      <c r="A4241" s="142" t="s">
        <v>13003</v>
      </c>
      <c r="B4241" s="142" t="s">
        <v>15245</v>
      </c>
      <c r="C4241" s="142" t="s">
        <v>15847</v>
      </c>
      <c r="D4241" s="142" t="s">
        <v>15848</v>
      </c>
      <c r="E4241" s="142" t="s">
        <v>15849</v>
      </c>
      <c r="F4241" s="142" t="s">
        <v>8162</v>
      </c>
      <c r="G4241" s="142" t="s">
        <v>8161</v>
      </c>
      <c r="H4241" s="142" t="s">
        <v>20091</v>
      </c>
      <c r="I4241" s="142">
        <v>30</v>
      </c>
      <c r="J4241" s="142">
        <v>0</v>
      </c>
      <c r="K4241" s="142">
        <v>0</v>
      </c>
      <c r="L4241" s="142">
        <v>30</v>
      </c>
      <c r="M4241" s="142">
        <v>0</v>
      </c>
    </row>
    <row r="4242" spans="1:13" x14ac:dyDescent="0.45">
      <c r="A4242" s="142" t="s">
        <v>13076</v>
      </c>
      <c r="B4242" s="142" t="s">
        <v>14636</v>
      </c>
      <c r="C4242" s="142" t="s">
        <v>15847</v>
      </c>
      <c r="D4242" s="142" t="s">
        <v>15848</v>
      </c>
      <c r="E4242" s="142" t="s">
        <v>15849</v>
      </c>
      <c r="F4242" s="142" t="s">
        <v>8162</v>
      </c>
      <c r="G4242" s="142" t="s">
        <v>8161</v>
      </c>
      <c r="H4242" s="142" t="s">
        <v>20092</v>
      </c>
      <c r="I4242" s="142">
        <v>16</v>
      </c>
      <c r="J4242" s="142">
        <v>0</v>
      </c>
      <c r="K4242" s="142">
        <v>0</v>
      </c>
      <c r="L4242" s="142">
        <v>0</v>
      </c>
      <c r="M4242" s="142">
        <v>16</v>
      </c>
    </row>
    <row r="4243" spans="1:13" x14ac:dyDescent="0.45">
      <c r="A4243" s="142" t="s">
        <v>13103</v>
      </c>
      <c r="B4243" s="142" t="s">
        <v>14623</v>
      </c>
      <c r="C4243" s="142" t="s">
        <v>15847</v>
      </c>
      <c r="D4243" s="142" t="s">
        <v>15848</v>
      </c>
      <c r="E4243" s="142" t="s">
        <v>15849</v>
      </c>
      <c r="F4243" s="142" t="s">
        <v>8162</v>
      </c>
      <c r="G4243" s="142" t="s">
        <v>8161</v>
      </c>
      <c r="H4243" s="142" t="s">
        <v>20093</v>
      </c>
      <c r="I4243" s="142">
        <v>258</v>
      </c>
      <c r="J4243" s="142">
        <v>160</v>
      </c>
      <c r="K4243" s="142">
        <v>0</v>
      </c>
      <c r="L4243" s="142">
        <v>45</v>
      </c>
      <c r="M4243" s="142">
        <v>53</v>
      </c>
    </row>
    <row r="4244" spans="1:13" x14ac:dyDescent="0.45">
      <c r="A4244" s="142" t="s">
        <v>13340</v>
      </c>
      <c r="B4244" s="142" t="s">
        <v>14499</v>
      </c>
      <c r="C4244" s="142" t="s">
        <v>15860</v>
      </c>
      <c r="D4244" s="142" t="s">
        <v>15861</v>
      </c>
      <c r="E4244" s="142" t="s">
        <v>15849</v>
      </c>
      <c r="F4244" s="142" t="s">
        <v>8162</v>
      </c>
      <c r="G4244" s="142" t="s">
        <v>8161</v>
      </c>
      <c r="H4244" s="142" t="s">
        <v>20094</v>
      </c>
      <c r="I4244" s="142">
        <v>101</v>
      </c>
      <c r="J4244" s="142">
        <v>101</v>
      </c>
      <c r="K4244" s="142">
        <v>0</v>
      </c>
      <c r="L4244" s="142">
        <v>0</v>
      </c>
      <c r="M4244" s="142">
        <v>0</v>
      </c>
    </row>
    <row r="4245" spans="1:13" x14ac:dyDescent="0.45">
      <c r="A4245" s="142" t="s">
        <v>13008</v>
      </c>
      <c r="B4245" s="142" t="s">
        <v>15411</v>
      </c>
      <c r="C4245" s="142" t="s">
        <v>15847</v>
      </c>
      <c r="D4245" s="142" t="s">
        <v>15848</v>
      </c>
      <c r="E4245" s="142" t="s">
        <v>15849</v>
      </c>
      <c r="F4245" s="142" t="s">
        <v>8162</v>
      </c>
      <c r="G4245" s="142" t="s">
        <v>8161</v>
      </c>
      <c r="H4245" s="142" t="s">
        <v>20095</v>
      </c>
      <c r="I4245" s="142">
        <v>14</v>
      </c>
      <c r="J4245" s="142">
        <v>0</v>
      </c>
      <c r="K4245" s="142">
        <v>0</v>
      </c>
      <c r="L4245" s="142">
        <v>0</v>
      </c>
      <c r="M4245" s="142">
        <v>14</v>
      </c>
    </row>
    <row r="4246" spans="1:13" x14ac:dyDescent="0.45">
      <c r="A4246" s="142" t="s">
        <v>13077</v>
      </c>
      <c r="B4246" s="142" t="s">
        <v>15407</v>
      </c>
      <c r="C4246" s="142" t="s">
        <v>15847</v>
      </c>
      <c r="D4246" s="142" t="s">
        <v>15848</v>
      </c>
      <c r="E4246" s="142" t="s">
        <v>15849</v>
      </c>
      <c r="F4246" s="142" t="s">
        <v>8162</v>
      </c>
      <c r="G4246" s="142" t="s">
        <v>8161</v>
      </c>
      <c r="H4246" s="142" t="s">
        <v>20096</v>
      </c>
      <c r="I4246" s="142">
        <v>341</v>
      </c>
      <c r="J4246" s="142">
        <v>252</v>
      </c>
      <c r="K4246" s="142">
        <v>0</v>
      </c>
      <c r="L4246" s="142">
        <v>89</v>
      </c>
      <c r="M4246" s="142">
        <v>0</v>
      </c>
    </row>
    <row r="4247" spans="1:13" x14ac:dyDescent="0.45">
      <c r="A4247" s="142" t="s">
        <v>13089</v>
      </c>
      <c r="B4247" s="142" t="s">
        <v>15240</v>
      </c>
      <c r="C4247" s="142" t="s">
        <v>15847</v>
      </c>
      <c r="D4247" s="142" t="s">
        <v>15848</v>
      </c>
      <c r="E4247" s="142" t="s">
        <v>15849</v>
      </c>
      <c r="F4247" s="142" t="s">
        <v>8162</v>
      </c>
      <c r="G4247" s="142" t="s">
        <v>8161</v>
      </c>
      <c r="H4247" s="142" t="s">
        <v>20097</v>
      </c>
      <c r="I4247" s="142">
        <v>886</v>
      </c>
      <c r="J4247" s="142">
        <v>692</v>
      </c>
      <c r="K4247" s="142">
        <v>0</v>
      </c>
      <c r="L4247" s="142">
        <v>183</v>
      </c>
      <c r="M4247" s="142">
        <v>11</v>
      </c>
    </row>
    <row r="4248" spans="1:13" x14ac:dyDescent="0.45">
      <c r="A4248" s="142" t="s">
        <v>13034</v>
      </c>
      <c r="B4248" s="142" t="s">
        <v>15562</v>
      </c>
      <c r="C4248" s="142" t="s">
        <v>15847</v>
      </c>
      <c r="D4248" s="142" t="s">
        <v>15848</v>
      </c>
      <c r="E4248" s="142" t="s">
        <v>15849</v>
      </c>
      <c r="F4248" s="142" t="s">
        <v>8162</v>
      </c>
      <c r="G4248" s="142" t="s">
        <v>8161</v>
      </c>
      <c r="H4248" s="142" t="s">
        <v>20098</v>
      </c>
      <c r="I4248" s="142">
        <v>21</v>
      </c>
      <c r="J4248" s="142">
        <v>20</v>
      </c>
      <c r="K4248" s="142">
        <v>0</v>
      </c>
      <c r="L4248" s="142">
        <v>1</v>
      </c>
      <c r="M4248" s="142">
        <v>0</v>
      </c>
    </row>
    <row r="4249" spans="1:13" x14ac:dyDescent="0.45">
      <c r="A4249" s="142" t="s">
        <v>13036</v>
      </c>
      <c r="B4249" s="142" t="s">
        <v>15567</v>
      </c>
      <c r="C4249" s="142" t="s">
        <v>15847</v>
      </c>
      <c r="D4249" s="142" t="s">
        <v>15848</v>
      </c>
      <c r="E4249" s="142" t="s">
        <v>15849</v>
      </c>
      <c r="F4249" s="142" t="s">
        <v>8162</v>
      </c>
      <c r="G4249" s="142" t="s">
        <v>8161</v>
      </c>
      <c r="H4249" s="142" t="s">
        <v>20099</v>
      </c>
      <c r="I4249" s="142">
        <v>23</v>
      </c>
      <c r="J4249" s="142">
        <v>0</v>
      </c>
      <c r="K4249" s="142">
        <v>0</v>
      </c>
      <c r="L4249" s="142">
        <v>23</v>
      </c>
      <c r="M4249" s="142">
        <v>0</v>
      </c>
    </row>
    <row r="4250" spans="1:13" x14ac:dyDescent="0.45">
      <c r="A4250" s="142" t="s">
        <v>13090</v>
      </c>
      <c r="B4250" s="142" t="s">
        <v>15600</v>
      </c>
      <c r="C4250" s="142" t="s">
        <v>15847</v>
      </c>
      <c r="D4250" s="142" t="s">
        <v>15848</v>
      </c>
      <c r="E4250" s="142" t="s">
        <v>15849</v>
      </c>
      <c r="F4250" s="142" t="s">
        <v>8162</v>
      </c>
      <c r="G4250" s="142" t="s">
        <v>8161</v>
      </c>
      <c r="H4250" s="142" t="s">
        <v>20100</v>
      </c>
      <c r="I4250" s="142">
        <v>6</v>
      </c>
      <c r="J4250" s="142">
        <v>0</v>
      </c>
      <c r="K4250" s="142">
        <v>0</v>
      </c>
      <c r="L4250" s="142">
        <v>0</v>
      </c>
      <c r="M4250" s="142">
        <v>6</v>
      </c>
    </row>
    <row r="4251" spans="1:13" x14ac:dyDescent="0.45">
      <c r="A4251" s="142" t="s">
        <v>13078</v>
      </c>
      <c r="B4251" s="142" t="s">
        <v>15540</v>
      </c>
      <c r="C4251" s="142" t="s">
        <v>15847</v>
      </c>
      <c r="D4251" s="142" t="s">
        <v>15848</v>
      </c>
      <c r="E4251" s="142" t="s">
        <v>15849</v>
      </c>
      <c r="F4251" s="142" t="s">
        <v>8162</v>
      </c>
      <c r="G4251" s="142" t="s">
        <v>8161</v>
      </c>
      <c r="H4251" s="142" t="s">
        <v>20101</v>
      </c>
      <c r="I4251" s="142">
        <v>47</v>
      </c>
      <c r="J4251" s="142">
        <v>8</v>
      </c>
      <c r="K4251" s="142">
        <v>0</v>
      </c>
      <c r="L4251" s="142">
        <v>39</v>
      </c>
      <c r="M4251" s="142">
        <v>0</v>
      </c>
    </row>
    <row r="4252" spans="1:13" x14ac:dyDescent="0.45">
      <c r="A4252" s="142" t="s">
        <v>13091</v>
      </c>
      <c r="B4252" s="142" t="s">
        <v>14473</v>
      </c>
      <c r="C4252" s="142" t="s">
        <v>15847</v>
      </c>
      <c r="D4252" s="142" t="s">
        <v>15848</v>
      </c>
      <c r="E4252" s="142" t="s">
        <v>15849</v>
      </c>
      <c r="F4252" s="142" t="s">
        <v>8162</v>
      </c>
      <c r="G4252" s="142" t="s">
        <v>8161</v>
      </c>
      <c r="H4252" s="142" t="s">
        <v>20102</v>
      </c>
      <c r="I4252" s="142">
        <v>53</v>
      </c>
      <c r="J4252" s="142">
        <v>0</v>
      </c>
      <c r="K4252" s="142">
        <v>0</v>
      </c>
      <c r="L4252" s="142">
        <v>53</v>
      </c>
      <c r="M4252" s="142">
        <v>0</v>
      </c>
    </row>
    <row r="4253" spans="1:13" x14ac:dyDescent="0.45">
      <c r="A4253" s="142" t="s">
        <v>13009</v>
      </c>
      <c r="B4253" s="142" t="s">
        <v>15256</v>
      </c>
      <c r="C4253" s="142" t="s">
        <v>15847</v>
      </c>
      <c r="D4253" s="142" t="s">
        <v>15848</v>
      </c>
      <c r="E4253" s="142" t="s">
        <v>15849</v>
      </c>
      <c r="F4253" s="142" t="s">
        <v>8162</v>
      </c>
      <c r="G4253" s="142" t="s">
        <v>8161</v>
      </c>
      <c r="H4253" s="142" t="s">
        <v>20103</v>
      </c>
      <c r="I4253" s="142">
        <v>778</v>
      </c>
      <c r="J4253" s="142">
        <v>710</v>
      </c>
      <c r="K4253" s="142">
        <v>0</v>
      </c>
      <c r="L4253" s="142">
        <v>65</v>
      </c>
      <c r="M4253" s="142">
        <v>3</v>
      </c>
    </row>
    <row r="4254" spans="1:13" x14ac:dyDescent="0.45">
      <c r="A4254" s="142" t="s">
        <v>13093</v>
      </c>
      <c r="B4254" s="142" t="s">
        <v>14483</v>
      </c>
      <c r="C4254" s="142" t="s">
        <v>15860</v>
      </c>
      <c r="D4254" s="142" t="s">
        <v>15861</v>
      </c>
      <c r="E4254" s="142" t="s">
        <v>15849</v>
      </c>
      <c r="F4254" s="142" t="s">
        <v>8162</v>
      </c>
      <c r="G4254" s="142" t="s">
        <v>8161</v>
      </c>
      <c r="H4254" s="142" t="s">
        <v>20104</v>
      </c>
      <c r="I4254" s="142">
        <v>10</v>
      </c>
      <c r="J4254" s="142">
        <v>0</v>
      </c>
      <c r="K4254" s="142">
        <v>0</v>
      </c>
      <c r="L4254" s="142">
        <v>10</v>
      </c>
      <c r="M4254" s="142">
        <v>0</v>
      </c>
    </row>
    <row r="4255" spans="1:13" x14ac:dyDescent="0.45">
      <c r="A4255" s="142" t="s">
        <v>13041</v>
      </c>
      <c r="B4255" s="142" t="s">
        <v>14441</v>
      </c>
      <c r="C4255" s="142" t="s">
        <v>15847</v>
      </c>
      <c r="D4255" s="142" t="s">
        <v>15848</v>
      </c>
      <c r="E4255" s="142" t="s">
        <v>15849</v>
      </c>
      <c r="F4255" s="142" t="s">
        <v>8162</v>
      </c>
      <c r="G4255" s="142" t="s">
        <v>8161</v>
      </c>
      <c r="H4255" s="142" t="s">
        <v>20105</v>
      </c>
      <c r="I4255" s="142">
        <v>9</v>
      </c>
      <c r="J4255" s="142">
        <v>0</v>
      </c>
      <c r="K4255" s="142">
        <v>0</v>
      </c>
      <c r="L4255" s="142">
        <v>0</v>
      </c>
      <c r="M4255" s="142">
        <v>9</v>
      </c>
    </row>
    <row r="4256" spans="1:13" x14ac:dyDescent="0.45">
      <c r="A4256" s="142" t="s">
        <v>13796</v>
      </c>
      <c r="B4256" s="142" t="s">
        <v>15223</v>
      </c>
      <c r="C4256" s="142" t="s">
        <v>15860</v>
      </c>
      <c r="D4256" s="142" t="s">
        <v>15861</v>
      </c>
      <c r="E4256" s="142" t="s">
        <v>15849</v>
      </c>
      <c r="F4256" s="142" t="s">
        <v>8162</v>
      </c>
      <c r="G4256" s="142" t="s">
        <v>8161</v>
      </c>
      <c r="H4256" s="142" t="s">
        <v>20106</v>
      </c>
      <c r="I4256" s="142">
        <v>36</v>
      </c>
      <c r="J4256" s="142">
        <v>0</v>
      </c>
      <c r="K4256" s="142">
        <v>0</v>
      </c>
      <c r="L4256" s="142">
        <v>36</v>
      </c>
      <c r="M4256" s="142">
        <v>0</v>
      </c>
    </row>
    <row r="4257" spans="1:13" x14ac:dyDescent="0.45">
      <c r="A4257" s="142" t="s">
        <v>13014</v>
      </c>
      <c r="B4257" s="142" t="s">
        <v>14505</v>
      </c>
      <c r="C4257" s="142" t="s">
        <v>15847</v>
      </c>
      <c r="D4257" s="142" t="s">
        <v>15848</v>
      </c>
      <c r="E4257" s="142" t="s">
        <v>15849</v>
      </c>
      <c r="F4257" s="142" t="s">
        <v>8162</v>
      </c>
      <c r="G4257" s="142" t="s">
        <v>8161</v>
      </c>
      <c r="H4257" s="142" t="s">
        <v>20107</v>
      </c>
      <c r="I4257" s="142">
        <v>71</v>
      </c>
      <c r="J4257" s="142">
        <v>71</v>
      </c>
      <c r="K4257" s="142">
        <v>0</v>
      </c>
      <c r="L4257" s="142">
        <v>0</v>
      </c>
      <c r="M4257" s="142">
        <v>0</v>
      </c>
    </row>
    <row r="4258" spans="1:13" x14ac:dyDescent="0.45">
      <c r="A4258" s="142" t="s">
        <v>13797</v>
      </c>
      <c r="B4258" s="142" t="s">
        <v>14667</v>
      </c>
      <c r="C4258" s="142" t="s">
        <v>15860</v>
      </c>
      <c r="D4258" s="142" t="s">
        <v>15861</v>
      </c>
      <c r="E4258" s="142" t="s">
        <v>15849</v>
      </c>
      <c r="F4258" s="142" t="s">
        <v>8162</v>
      </c>
      <c r="G4258" s="142" t="s">
        <v>8161</v>
      </c>
      <c r="H4258" s="142" t="s">
        <v>20108</v>
      </c>
      <c r="I4258" s="142">
        <v>28</v>
      </c>
      <c r="J4258" s="142">
        <v>28</v>
      </c>
      <c r="K4258" s="142">
        <v>0</v>
      </c>
      <c r="L4258" s="142">
        <v>0</v>
      </c>
      <c r="M4258" s="142">
        <v>0</v>
      </c>
    </row>
    <row r="4259" spans="1:13" x14ac:dyDescent="0.45">
      <c r="A4259" s="142" t="s">
        <v>13165</v>
      </c>
      <c r="B4259" s="142" t="s">
        <v>15525</v>
      </c>
      <c r="C4259" s="142" t="s">
        <v>15860</v>
      </c>
      <c r="D4259" s="142" t="s">
        <v>15861</v>
      </c>
      <c r="E4259" s="142" t="s">
        <v>15849</v>
      </c>
      <c r="F4259" s="142" t="s">
        <v>8162</v>
      </c>
      <c r="G4259" s="142" t="s">
        <v>8161</v>
      </c>
      <c r="H4259" s="142" t="s">
        <v>20109</v>
      </c>
      <c r="I4259" s="142">
        <v>12</v>
      </c>
      <c r="J4259" s="142">
        <v>0</v>
      </c>
      <c r="K4259" s="142">
        <v>0</v>
      </c>
      <c r="L4259" s="142">
        <v>12</v>
      </c>
      <c r="M4259" s="142">
        <v>0</v>
      </c>
    </row>
    <row r="4260" spans="1:13" x14ac:dyDescent="0.45">
      <c r="A4260" s="142" t="s">
        <v>13042</v>
      </c>
      <c r="B4260" s="142" t="s">
        <v>15489</v>
      </c>
      <c r="C4260" s="142" t="s">
        <v>15847</v>
      </c>
      <c r="D4260" s="142" t="s">
        <v>15848</v>
      </c>
      <c r="E4260" s="142" t="s">
        <v>15849</v>
      </c>
      <c r="F4260" s="142" t="s">
        <v>8162</v>
      </c>
      <c r="G4260" s="142" t="s">
        <v>8161</v>
      </c>
      <c r="H4260" s="142" t="s">
        <v>20110</v>
      </c>
      <c r="I4260" s="142">
        <v>72</v>
      </c>
      <c r="J4260" s="142">
        <v>0</v>
      </c>
      <c r="K4260" s="142">
        <v>0</v>
      </c>
      <c r="L4260" s="142">
        <v>72</v>
      </c>
      <c r="M4260" s="142">
        <v>0</v>
      </c>
    </row>
    <row r="4261" spans="1:13" x14ac:dyDescent="0.45">
      <c r="A4261" s="142" t="s">
        <v>13156</v>
      </c>
      <c r="B4261" s="142" t="s">
        <v>14493</v>
      </c>
      <c r="C4261" s="142" t="s">
        <v>15860</v>
      </c>
      <c r="D4261" s="142" t="s">
        <v>15861</v>
      </c>
      <c r="E4261" s="142" t="s">
        <v>15849</v>
      </c>
      <c r="F4261" s="142" t="s">
        <v>8162</v>
      </c>
      <c r="G4261" s="142" t="s">
        <v>8161</v>
      </c>
      <c r="H4261" s="142" t="s">
        <v>20111</v>
      </c>
      <c r="I4261" s="142">
        <v>9</v>
      </c>
      <c r="J4261" s="142">
        <v>0</v>
      </c>
      <c r="K4261" s="142">
        <v>0</v>
      </c>
      <c r="L4261" s="142">
        <v>9</v>
      </c>
      <c r="M4261" s="142">
        <v>0</v>
      </c>
    </row>
    <row r="4262" spans="1:13" x14ac:dyDescent="0.45">
      <c r="A4262" s="142" t="s">
        <v>13798</v>
      </c>
      <c r="B4262" s="142" t="s">
        <v>14816</v>
      </c>
      <c r="C4262" s="142" t="s">
        <v>15860</v>
      </c>
      <c r="D4262" s="142" t="s">
        <v>15861</v>
      </c>
      <c r="E4262" s="142" t="s">
        <v>15849</v>
      </c>
      <c r="F4262" s="142" t="s">
        <v>8162</v>
      </c>
      <c r="G4262" s="142" t="s">
        <v>8161</v>
      </c>
      <c r="H4262" s="142" t="s">
        <v>20112</v>
      </c>
      <c r="I4262" s="142">
        <v>80</v>
      </c>
      <c r="J4262" s="142">
        <v>0</v>
      </c>
      <c r="K4262" s="142">
        <v>0</v>
      </c>
      <c r="L4262" s="142">
        <v>80</v>
      </c>
      <c r="M4262" s="142">
        <v>0</v>
      </c>
    </row>
    <row r="4263" spans="1:13" x14ac:dyDescent="0.45">
      <c r="A4263" s="142" t="s">
        <v>13416</v>
      </c>
      <c r="B4263" s="142" t="s">
        <v>15225</v>
      </c>
      <c r="C4263" s="142" t="s">
        <v>15860</v>
      </c>
      <c r="D4263" s="142" t="s">
        <v>15861</v>
      </c>
      <c r="E4263" s="142" t="s">
        <v>15849</v>
      </c>
      <c r="F4263" s="142" t="s">
        <v>8162</v>
      </c>
      <c r="G4263" s="142" t="s">
        <v>8161</v>
      </c>
      <c r="H4263" s="142" t="s">
        <v>20113</v>
      </c>
      <c r="I4263" s="142">
        <v>97</v>
      </c>
      <c r="J4263" s="142">
        <v>0</v>
      </c>
      <c r="K4263" s="142">
        <v>0</v>
      </c>
      <c r="L4263" s="142">
        <v>97</v>
      </c>
      <c r="M4263" s="142">
        <v>0</v>
      </c>
    </row>
    <row r="4264" spans="1:13" x14ac:dyDescent="0.45">
      <c r="A4264" s="142" t="s">
        <v>13023</v>
      </c>
      <c r="B4264" s="142" t="s">
        <v>15571</v>
      </c>
      <c r="C4264" s="142" t="s">
        <v>15847</v>
      </c>
      <c r="D4264" s="142" t="s">
        <v>15848</v>
      </c>
      <c r="E4264" s="142" t="s">
        <v>15849</v>
      </c>
      <c r="F4264" s="142" t="s">
        <v>2095</v>
      </c>
      <c r="G4264" s="142" t="s">
        <v>2094</v>
      </c>
      <c r="H4264" s="142" t="s">
        <v>20114</v>
      </c>
      <c r="I4264" s="142">
        <v>4</v>
      </c>
      <c r="J4264" s="142">
        <v>4</v>
      </c>
      <c r="K4264" s="142">
        <v>0</v>
      </c>
      <c r="L4264" s="142">
        <v>0</v>
      </c>
      <c r="M4264" s="142">
        <v>0</v>
      </c>
    </row>
    <row r="4265" spans="1:13" x14ac:dyDescent="0.45">
      <c r="A4265" s="142" t="s">
        <v>13028</v>
      </c>
      <c r="B4265" s="142" t="s">
        <v>14462</v>
      </c>
      <c r="C4265" s="142" t="s">
        <v>15847</v>
      </c>
      <c r="D4265" s="142" t="s">
        <v>15848</v>
      </c>
      <c r="E4265" s="142" t="s">
        <v>15849</v>
      </c>
      <c r="F4265" s="142" t="s">
        <v>2095</v>
      </c>
      <c r="G4265" s="142" t="s">
        <v>2094</v>
      </c>
      <c r="H4265" s="142" t="s">
        <v>20115</v>
      </c>
      <c r="I4265" s="142">
        <v>65</v>
      </c>
      <c r="J4265" s="142">
        <v>0</v>
      </c>
      <c r="K4265" s="142">
        <v>0</v>
      </c>
      <c r="L4265" s="142">
        <v>0</v>
      </c>
      <c r="M4265" s="142">
        <v>65</v>
      </c>
    </row>
    <row r="4266" spans="1:13" x14ac:dyDescent="0.45">
      <c r="A4266" s="142" t="s">
        <v>13003</v>
      </c>
      <c r="B4266" s="142" t="s">
        <v>15245</v>
      </c>
      <c r="C4266" s="142" t="s">
        <v>15847</v>
      </c>
      <c r="D4266" s="142" t="s">
        <v>15848</v>
      </c>
      <c r="E4266" s="142" t="s">
        <v>15849</v>
      </c>
      <c r="F4266" s="142" t="s">
        <v>2095</v>
      </c>
      <c r="G4266" s="142" t="s">
        <v>2094</v>
      </c>
      <c r="H4266" s="142" t="s">
        <v>20116</v>
      </c>
      <c r="I4266" s="142">
        <v>30</v>
      </c>
      <c r="J4266" s="142">
        <v>0</v>
      </c>
      <c r="K4266" s="142">
        <v>0</v>
      </c>
      <c r="L4266" s="142">
        <v>30</v>
      </c>
      <c r="M4266" s="142">
        <v>0</v>
      </c>
    </row>
    <row r="4267" spans="1:13" x14ac:dyDescent="0.45">
      <c r="A4267" s="142" t="s">
        <v>13800</v>
      </c>
      <c r="B4267" s="142" t="s">
        <v>15346</v>
      </c>
      <c r="C4267" s="142" t="s">
        <v>15860</v>
      </c>
      <c r="D4267" s="142" t="s">
        <v>15861</v>
      </c>
      <c r="E4267" s="142" t="s">
        <v>15849</v>
      </c>
      <c r="F4267" s="142" t="s">
        <v>2095</v>
      </c>
      <c r="G4267" s="142" t="s">
        <v>2094</v>
      </c>
      <c r="H4267" s="142" t="s">
        <v>20117</v>
      </c>
      <c r="I4267" s="142">
        <v>36</v>
      </c>
      <c r="J4267" s="142">
        <v>36</v>
      </c>
      <c r="K4267" s="142">
        <v>0</v>
      </c>
      <c r="L4267" s="142">
        <v>0</v>
      </c>
      <c r="M4267" s="142">
        <v>0</v>
      </c>
    </row>
    <row r="4268" spans="1:13" x14ac:dyDescent="0.45">
      <c r="A4268" s="142" t="s">
        <v>13007</v>
      </c>
      <c r="B4268" s="142" t="s">
        <v>15262</v>
      </c>
      <c r="C4268" s="142" t="s">
        <v>15847</v>
      </c>
      <c r="D4268" s="142" t="s">
        <v>15848</v>
      </c>
      <c r="E4268" s="142" t="s">
        <v>15849</v>
      </c>
      <c r="F4268" s="142" t="s">
        <v>2095</v>
      </c>
      <c r="G4268" s="142" t="s">
        <v>2094</v>
      </c>
      <c r="H4268" s="142" t="s">
        <v>20118</v>
      </c>
      <c r="I4268" s="142">
        <v>1</v>
      </c>
      <c r="J4268" s="142">
        <v>0</v>
      </c>
      <c r="K4268" s="142">
        <v>0</v>
      </c>
      <c r="L4268" s="142">
        <v>0</v>
      </c>
      <c r="M4268" s="142">
        <v>1</v>
      </c>
    </row>
    <row r="4269" spans="1:13" x14ac:dyDescent="0.45">
      <c r="A4269" s="142" t="s">
        <v>13033</v>
      </c>
      <c r="B4269" s="142" t="s">
        <v>15276</v>
      </c>
      <c r="C4269" s="142" t="s">
        <v>15847</v>
      </c>
      <c r="D4269" s="142" t="s">
        <v>15848</v>
      </c>
      <c r="E4269" s="142" t="s">
        <v>15849</v>
      </c>
      <c r="F4269" s="142" t="s">
        <v>2095</v>
      </c>
      <c r="G4269" s="142" t="s">
        <v>2094</v>
      </c>
      <c r="H4269" s="142" t="s">
        <v>20119</v>
      </c>
      <c r="I4269" s="142">
        <v>169</v>
      </c>
      <c r="J4269" s="142">
        <v>169</v>
      </c>
      <c r="K4269" s="142">
        <v>0</v>
      </c>
      <c r="L4269" s="142">
        <v>0</v>
      </c>
      <c r="M4269" s="142">
        <v>0</v>
      </c>
    </row>
    <row r="4270" spans="1:13" x14ac:dyDescent="0.45">
      <c r="A4270" s="142" t="s">
        <v>13037</v>
      </c>
      <c r="B4270" s="142" t="s">
        <v>14519</v>
      </c>
      <c r="C4270" s="142" t="s">
        <v>15847</v>
      </c>
      <c r="D4270" s="142" t="s">
        <v>15848</v>
      </c>
      <c r="E4270" s="142" t="s">
        <v>15849</v>
      </c>
      <c r="F4270" s="142" t="s">
        <v>2095</v>
      </c>
      <c r="G4270" s="142" t="s">
        <v>2094</v>
      </c>
      <c r="H4270" s="142" t="s">
        <v>20120</v>
      </c>
      <c r="I4270" s="142">
        <v>34</v>
      </c>
      <c r="J4270" s="142">
        <v>0</v>
      </c>
      <c r="K4270" s="142">
        <v>0</v>
      </c>
      <c r="L4270" s="142">
        <v>34</v>
      </c>
      <c r="M4270" s="142">
        <v>0</v>
      </c>
    </row>
    <row r="4271" spans="1:13" x14ac:dyDescent="0.45">
      <c r="A4271" s="142" t="s">
        <v>13011</v>
      </c>
      <c r="B4271" s="142" t="s">
        <v>14695</v>
      </c>
      <c r="C4271" s="142" t="s">
        <v>15847</v>
      </c>
      <c r="D4271" s="142" t="s">
        <v>15848</v>
      </c>
      <c r="E4271" s="142" t="s">
        <v>15849</v>
      </c>
      <c r="F4271" s="142" t="s">
        <v>2095</v>
      </c>
      <c r="G4271" s="142" t="s">
        <v>2094</v>
      </c>
      <c r="H4271" s="142" t="s">
        <v>20121</v>
      </c>
      <c r="I4271" s="142">
        <v>3389</v>
      </c>
      <c r="J4271" s="142">
        <v>2674</v>
      </c>
      <c r="K4271" s="142">
        <v>0</v>
      </c>
      <c r="L4271" s="142">
        <v>624</v>
      </c>
      <c r="M4271" s="142">
        <v>91</v>
      </c>
    </row>
    <row r="4272" spans="1:13" x14ac:dyDescent="0.45">
      <c r="A4272" s="142" t="s">
        <v>13058</v>
      </c>
      <c r="B4272" s="142" t="s">
        <v>14584</v>
      </c>
      <c r="C4272" s="142" t="s">
        <v>15847</v>
      </c>
      <c r="D4272" s="142" t="s">
        <v>15848</v>
      </c>
      <c r="E4272" s="142" t="s">
        <v>15849</v>
      </c>
      <c r="F4272" s="142" t="s">
        <v>2095</v>
      </c>
      <c r="G4272" s="142" t="s">
        <v>2094</v>
      </c>
      <c r="H4272" s="142" t="s">
        <v>20122</v>
      </c>
      <c r="I4272" s="142">
        <v>3436</v>
      </c>
      <c r="J4272" s="142">
        <v>2950</v>
      </c>
      <c r="K4272" s="142">
        <v>0</v>
      </c>
      <c r="L4272" s="142">
        <v>350</v>
      </c>
      <c r="M4272" s="142">
        <v>136</v>
      </c>
    </row>
    <row r="4273" spans="1:13" x14ac:dyDescent="0.45">
      <c r="A4273" s="142" t="s">
        <v>13801</v>
      </c>
      <c r="B4273" s="142" t="s">
        <v>15175</v>
      </c>
      <c r="C4273" s="142" t="s">
        <v>15860</v>
      </c>
      <c r="D4273" s="142" t="s">
        <v>15861</v>
      </c>
      <c r="E4273" s="142" t="s">
        <v>15849</v>
      </c>
      <c r="F4273" s="142" t="s">
        <v>2095</v>
      </c>
      <c r="G4273" s="142" t="s">
        <v>2094</v>
      </c>
      <c r="H4273" s="142" t="s">
        <v>20123</v>
      </c>
      <c r="I4273" s="142">
        <v>16</v>
      </c>
      <c r="J4273" s="142">
        <v>0</v>
      </c>
      <c r="K4273" s="142">
        <v>0</v>
      </c>
      <c r="L4273" s="142">
        <v>16</v>
      </c>
      <c r="M4273" s="142">
        <v>0</v>
      </c>
    </row>
    <row r="4274" spans="1:13" x14ac:dyDescent="0.45">
      <c r="A4274" s="142" t="s">
        <v>13285</v>
      </c>
      <c r="B4274" s="142" t="s">
        <v>15158</v>
      </c>
      <c r="C4274" s="142" t="s">
        <v>15860</v>
      </c>
      <c r="D4274" s="142" t="s">
        <v>15861</v>
      </c>
      <c r="E4274" s="142" t="s">
        <v>15849</v>
      </c>
      <c r="F4274" s="142" t="s">
        <v>2095</v>
      </c>
      <c r="G4274" s="142" t="s">
        <v>2094</v>
      </c>
      <c r="H4274" s="142" t="s">
        <v>20124</v>
      </c>
      <c r="I4274" s="142">
        <v>35</v>
      </c>
      <c r="J4274" s="142">
        <v>0</v>
      </c>
      <c r="K4274" s="142">
        <v>0</v>
      </c>
      <c r="L4274" s="142">
        <v>35</v>
      </c>
      <c r="M4274" s="142">
        <v>0</v>
      </c>
    </row>
    <row r="4275" spans="1:13" x14ac:dyDescent="0.45">
      <c r="A4275" s="142" t="s">
        <v>13174</v>
      </c>
      <c r="B4275" s="142" t="s">
        <v>15280</v>
      </c>
      <c r="C4275" s="142" t="s">
        <v>15847</v>
      </c>
      <c r="D4275" s="142" t="s">
        <v>15848</v>
      </c>
      <c r="E4275" s="142" t="s">
        <v>15849</v>
      </c>
      <c r="F4275" s="142" t="s">
        <v>2095</v>
      </c>
      <c r="G4275" s="142" t="s">
        <v>2094</v>
      </c>
      <c r="H4275" s="142" t="s">
        <v>20125</v>
      </c>
      <c r="I4275" s="142">
        <v>3</v>
      </c>
      <c r="J4275" s="142">
        <v>0</v>
      </c>
      <c r="K4275" s="142">
        <v>0</v>
      </c>
      <c r="L4275" s="142">
        <v>0</v>
      </c>
      <c r="M4275" s="142">
        <v>3</v>
      </c>
    </row>
    <row r="4276" spans="1:13" x14ac:dyDescent="0.45">
      <c r="A4276" s="142" t="s">
        <v>13175</v>
      </c>
      <c r="B4276" s="142" t="s">
        <v>15561</v>
      </c>
      <c r="C4276" s="142" t="s">
        <v>15860</v>
      </c>
      <c r="D4276" s="142" t="s">
        <v>15861</v>
      </c>
      <c r="E4276" s="142" t="s">
        <v>15849</v>
      </c>
      <c r="F4276" s="142" t="s">
        <v>2095</v>
      </c>
      <c r="G4276" s="142" t="s">
        <v>2094</v>
      </c>
      <c r="H4276" s="142" t="s">
        <v>20126</v>
      </c>
      <c r="I4276" s="142">
        <v>30</v>
      </c>
      <c r="J4276" s="142">
        <v>0</v>
      </c>
      <c r="K4276" s="142">
        <v>0</v>
      </c>
      <c r="L4276" s="142">
        <v>30</v>
      </c>
      <c r="M4276" s="142">
        <v>0</v>
      </c>
    </row>
    <row r="4277" spans="1:13" x14ac:dyDescent="0.45">
      <c r="A4277" s="142" t="s">
        <v>13802</v>
      </c>
      <c r="B4277" s="142" t="s">
        <v>15307</v>
      </c>
      <c r="C4277" s="142" t="s">
        <v>15860</v>
      </c>
      <c r="D4277" s="142" t="s">
        <v>15861</v>
      </c>
      <c r="E4277" s="142" t="s">
        <v>15849</v>
      </c>
      <c r="F4277" s="142" t="s">
        <v>2095</v>
      </c>
      <c r="G4277" s="142" t="s">
        <v>2094</v>
      </c>
      <c r="H4277" s="142" t="s">
        <v>20127</v>
      </c>
      <c r="I4277" s="142">
        <v>431</v>
      </c>
      <c r="J4277" s="142">
        <v>422</v>
      </c>
      <c r="K4277" s="142">
        <v>0</v>
      </c>
      <c r="L4277" s="142">
        <v>9</v>
      </c>
      <c r="M4277" s="142">
        <v>0</v>
      </c>
    </row>
    <row r="4278" spans="1:13" x14ac:dyDescent="0.45">
      <c r="A4278" s="142" t="s">
        <v>13176</v>
      </c>
      <c r="B4278" s="142" t="s">
        <v>14619</v>
      </c>
      <c r="C4278" s="142" t="s">
        <v>15860</v>
      </c>
      <c r="D4278" s="142" t="s">
        <v>15861</v>
      </c>
      <c r="E4278" s="142" t="s">
        <v>15849</v>
      </c>
      <c r="F4278" s="142" t="s">
        <v>2095</v>
      </c>
      <c r="G4278" s="142" t="s">
        <v>2094</v>
      </c>
      <c r="H4278" s="142" t="s">
        <v>20128</v>
      </c>
      <c r="I4278" s="142">
        <v>10</v>
      </c>
      <c r="J4278" s="142">
        <v>0</v>
      </c>
      <c r="K4278" s="142">
        <v>0</v>
      </c>
      <c r="L4278" s="142">
        <v>10</v>
      </c>
      <c r="M4278" s="142">
        <v>0</v>
      </c>
    </row>
    <row r="4279" spans="1:13" x14ac:dyDescent="0.45">
      <c r="A4279" s="142" t="s">
        <v>13532</v>
      </c>
      <c r="B4279" s="142" t="s">
        <v>15383</v>
      </c>
      <c r="C4279" s="142" t="s">
        <v>15860</v>
      </c>
      <c r="D4279" s="142" t="s">
        <v>15861</v>
      </c>
      <c r="E4279" s="142" t="s">
        <v>15849</v>
      </c>
      <c r="F4279" s="142" t="s">
        <v>2347</v>
      </c>
      <c r="G4279" s="142" t="s">
        <v>2346</v>
      </c>
      <c r="H4279" s="142" t="s">
        <v>20129</v>
      </c>
      <c r="I4279" s="142">
        <v>34</v>
      </c>
      <c r="J4279" s="142">
        <v>34</v>
      </c>
      <c r="K4279" s="142">
        <v>0</v>
      </c>
      <c r="L4279" s="142">
        <v>0</v>
      </c>
      <c r="M4279" s="142">
        <v>0</v>
      </c>
    </row>
    <row r="4280" spans="1:13" x14ac:dyDescent="0.45">
      <c r="A4280" s="142" t="s">
        <v>13190</v>
      </c>
      <c r="B4280" s="142" t="s">
        <v>14617</v>
      </c>
      <c r="C4280" s="142" t="s">
        <v>15847</v>
      </c>
      <c r="D4280" s="142" t="s">
        <v>15848</v>
      </c>
      <c r="E4280" s="142" t="s">
        <v>15849</v>
      </c>
      <c r="F4280" s="142" t="s">
        <v>2347</v>
      </c>
      <c r="G4280" s="142" t="s">
        <v>2346</v>
      </c>
      <c r="H4280" s="142" t="s">
        <v>20130</v>
      </c>
      <c r="I4280" s="142">
        <v>26</v>
      </c>
      <c r="J4280" s="142">
        <v>26</v>
      </c>
      <c r="K4280" s="142">
        <v>0</v>
      </c>
      <c r="L4280" s="142">
        <v>0</v>
      </c>
      <c r="M4280" s="142">
        <v>0</v>
      </c>
    </row>
    <row r="4281" spans="1:13" x14ac:dyDescent="0.45">
      <c r="A4281" s="142" t="s">
        <v>13023</v>
      </c>
      <c r="B4281" s="142" t="s">
        <v>15571</v>
      </c>
      <c r="C4281" s="142" t="s">
        <v>15847</v>
      </c>
      <c r="D4281" s="142" t="s">
        <v>15848</v>
      </c>
      <c r="E4281" s="142" t="s">
        <v>15849</v>
      </c>
      <c r="F4281" s="142" t="s">
        <v>11944</v>
      </c>
      <c r="G4281" s="142" t="s">
        <v>11943</v>
      </c>
      <c r="H4281" s="142" t="s">
        <v>20131</v>
      </c>
      <c r="I4281" s="142">
        <v>34</v>
      </c>
      <c r="J4281" s="142">
        <v>0</v>
      </c>
      <c r="K4281" s="142">
        <v>0</v>
      </c>
      <c r="L4281" s="142">
        <v>34</v>
      </c>
      <c r="M4281" s="142">
        <v>0</v>
      </c>
    </row>
    <row r="4282" spans="1:13" x14ac:dyDescent="0.45">
      <c r="A4282" s="142" t="s">
        <v>13112</v>
      </c>
      <c r="B4282" s="142" t="s">
        <v>15552</v>
      </c>
      <c r="C4282" s="142" t="s">
        <v>15860</v>
      </c>
      <c r="D4282" s="142" t="s">
        <v>15861</v>
      </c>
      <c r="E4282" s="142" t="s">
        <v>15849</v>
      </c>
      <c r="F4282" s="142" t="s">
        <v>11944</v>
      </c>
      <c r="G4282" s="142" t="s">
        <v>11943</v>
      </c>
      <c r="H4282" s="142" t="s">
        <v>20132</v>
      </c>
      <c r="I4282" s="142">
        <v>40</v>
      </c>
      <c r="J4282" s="142">
        <v>40</v>
      </c>
      <c r="K4282" s="142">
        <v>0</v>
      </c>
      <c r="L4282" s="142">
        <v>0</v>
      </c>
      <c r="M4282" s="142">
        <v>0</v>
      </c>
    </row>
    <row r="4283" spans="1:13" x14ac:dyDescent="0.45">
      <c r="A4283" s="142" t="s">
        <v>13729</v>
      </c>
      <c r="B4283" s="142" t="s">
        <v>15481</v>
      </c>
      <c r="C4283" s="142" t="s">
        <v>15860</v>
      </c>
      <c r="D4283" s="142" t="s">
        <v>15861</v>
      </c>
      <c r="E4283" s="142" t="s">
        <v>15849</v>
      </c>
      <c r="F4283" s="142" t="s">
        <v>11944</v>
      </c>
      <c r="G4283" s="142" t="s">
        <v>11943</v>
      </c>
      <c r="H4283" s="142" t="s">
        <v>20133</v>
      </c>
      <c r="I4283" s="142">
        <v>38</v>
      </c>
      <c r="J4283" s="142">
        <v>38</v>
      </c>
      <c r="K4283" s="142">
        <v>0</v>
      </c>
      <c r="L4283" s="142">
        <v>0</v>
      </c>
      <c r="M4283" s="142">
        <v>0</v>
      </c>
    </row>
    <row r="4284" spans="1:13" x14ac:dyDescent="0.45">
      <c r="A4284" s="142" t="s">
        <v>13805</v>
      </c>
      <c r="B4284" s="142" t="s">
        <v>15372</v>
      </c>
      <c r="C4284" s="142" t="s">
        <v>15860</v>
      </c>
      <c r="D4284" s="142" t="s">
        <v>15861</v>
      </c>
      <c r="E4284" s="142" t="s">
        <v>15849</v>
      </c>
      <c r="F4284" s="142" t="s">
        <v>11944</v>
      </c>
      <c r="G4284" s="142" t="s">
        <v>11943</v>
      </c>
      <c r="H4284" s="142" t="s">
        <v>20134</v>
      </c>
      <c r="I4284" s="142">
        <v>299</v>
      </c>
      <c r="J4284" s="142">
        <v>269</v>
      </c>
      <c r="K4284" s="142">
        <v>0</v>
      </c>
      <c r="L4284" s="142">
        <v>30</v>
      </c>
      <c r="M4284" s="142">
        <v>0</v>
      </c>
    </row>
    <row r="4285" spans="1:13" x14ac:dyDescent="0.45">
      <c r="A4285" s="142" t="s">
        <v>13433</v>
      </c>
      <c r="B4285" s="142" t="s">
        <v>15167</v>
      </c>
      <c r="C4285" s="142" t="s">
        <v>15847</v>
      </c>
      <c r="D4285" s="142" t="s">
        <v>15848</v>
      </c>
      <c r="E4285" s="142" t="s">
        <v>15849</v>
      </c>
      <c r="F4285" s="142" t="s">
        <v>11944</v>
      </c>
      <c r="G4285" s="142" t="s">
        <v>11943</v>
      </c>
      <c r="H4285" s="142" t="s">
        <v>20135</v>
      </c>
      <c r="I4285" s="142">
        <v>67</v>
      </c>
      <c r="J4285" s="142">
        <v>67</v>
      </c>
      <c r="K4285" s="142">
        <v>0</v>
      </c>
      <c r="L4285" s="142">
        <v>0</v>
      </c>
      <c r="M4285" s="142">
        <v>0</v>
      </c>
    </row>
    <row r="4286" spans="1:13" x14ac:dyDescent="0.45">
      <c r="A4286" s="142" t="s">
        <v>13000</v>
      </c>
      <c r="B4286" s="142" t="s">
        <v>14610</v>
      </c>
      <c r="C4286" s="142" t="s">
        <v>15847</v>
      </c>
      <c r="D4286" s="142" t="s">
        <v>15848</v>
      </c>
      <c r="E4286" s="142" t="s">
        <v>15849</v>
      </c>
      <c r="F4286" s="142" t="s">
        <v>11944</v>
      </c>
      <c r="G4286" s="142" t="s">
        <v>11943</v>
      </c>
      <c r="H4286" s="142" t="s">
        <v>20136</v>
      </c>
      <c r="I4286" s="142">
        <v>3315</v>
      </c>
      <c r="J4286" s="142">
        <v>2537</v>
      </c>
      <c r="K4286" s="142">
        <v>38</v>
      </c>
      <c r="L4286" s="142">
        <v>604</v>
      </c>
      <c r="M4286" s="142">
        <v>136</v>
      </c>
    </row>
    <row r="4287" spans="1:13" x14ac:dyDescent="0.45">
      <c r="A4287" s="142" t="s">
        <v>13574</v>
      </c>
      <c r="B4287" s="142" t="s">
        <v>14553</v>
      </c>
      <c r="C4287" s="142" t="s">
        <v>15860</v>
      </c>
      <c r="D4287" s="142" t="s">
        <v>15861</v>
      </c>
      <c r="E4287" s="142" t="s">
        <v>15849</v>
      </c>
      <c r="F4287" s="142" t="s">
        <v>11944</v>
      </c>
      <c r="G4287" s="142" t="s">
        <v>11943</v>
      </c>
      <c r="H4287" s="142" t="s">
        <v>20137</v>
      </c>
      <c r="I4287" s="142">
        <v>26</v>
      </c>
      <c r="J4287" s="142">
        <v>0</v>
      </c>
      <c r="K4287" s="142">
        <v>0</v>
      </c>
      <c r="L4287" s="142">
        <v>26</v>
      </c>
      <c r="M4287" s="142">
        <v>0</v>
      </c>
    </row>
    <row r="4288" spans="1:13" x14ac:dyDescent="0.45">
      <c r="A4288" s="142" t="s">
        <v>13099</v>
      </c>
      <c r="B4288" s="142" t="s">
        <v>14547</v>
      </c>
      <c r="C4288" s="142" t="s">
        <v>15860</v>
      </c>
      <c r="D4288" s="142" t="s">
        <v>15861</v>
      </c>
      <c r="E4288" s="142" t="s">
        <v>15849</v>
      </c>
      <c r="F4288" s="142" t="s">
        <v>11944</v>
      </c>
      <c r="G4288" s="142" t="s">
        <v>11943</v>
      </c>
      <c r="H4288" s="142" t="s">
        <v>20138</v>
      </c>
      <c r="I4288" s="142">
        <v>25</v>
      </c>
      <c r="J4288" s="142">
        <v>0</v>
      </c>
      <c r="K4288" s="142">
        <v>0</v>
      </c>
      <c r="L4288" s="142">
        <v>25</v>
      </c>
      <c r="M4288" s="142">
        <v>0</v>
      </c>
    </row>
    <row r="4289" spans="1:13" x14ac:dyDescent="0.45">
      <c r="A4289" s="142" t="s">
        <v>13806</v>
      </c>
      <c r="B4289" s="142" t="s">
        <v>15001</v>
      </c>
      <c r="C4289" s="142" t="s">
        <v>15860</v>
      </c>
      <c r="D4289" s="142" t="s">
        <v>15861</v>
      </c>
      <c r="E4289" s="142" t="s">
        <v>15849</v>
      </c>
      <c r="F4289" s="142" t="s">
        <v>11944</v>
      </c>
      <c r="G4289" s="142" t="s">
        <v>11943</v>
      </c>
      <c r="H4289" s="142" t="s">
        <v>20139</v>
      </c>
      <c r="I4289" s="142">
        <v>35</v>
      </c>
      <c r="J4289" s="142">
        <v>35</v>
      </c>
      <c r="K4289" s="142">
        <v>0</v>
      </c>
      <c r="L4289" s="142">
        <v>0</v>
      </c>
      <c r="M4289" s="142">
        <v>0</v>
      </c>
    </row>
    <row r="4290" spans="1:13" x14ac:dyDescent="0.45">
      <c r="A4290" s="142" t="s">
        <v>13807</v>
      </c>
      <c r="B4290" s="142" t="s">
        <v>15209</v>
      </c>
      <c r="C4290" s="142" t="s">
        <v>15860</v>
      </c>
      <c r="D4290" s="142" t="s">
        <v>15861</v>
      </c>
      <c r="E4290" s="142" t="s">
        <v>15849</v>
      </c>
      <c r="F4290" s="142" t="s">
        <v>11944</v>
      </c>
      <c r="G4290" s="142" t="s">
        <v>11943</v>
      </c>
      <c r="H4290" s="142" t="s">
        <v>20140</v>
      </c>
      <c r="I4290" s="142">
        <v>9</v>
      </c>
      <c r="J4290" s="142">
        <v>0</v>
      </c>
      <c r="K4290" s="142">
        <v>0</v>
      </c>
      <c r="L4290" s="142">
        <v>9</v>
      </c>
      <c r="M4290" s="142">
        <v>0</v>
      </c>
    </row>
    <row r="4291" spans="1:13" x14ac:dyDescent="0.45">
      <c r="A4291" s="142" t="s">
        <v>13001</v>
      </c>
      <c r="B4291" s="142" t="s">
        <v>15506</v>
      </c>
      <c r="C4291" s="142" t="s">
        <v>15847</v>
      </c>
      <c r="D4291" s="142" t="s">
        <v>15848</v>
      </c>
      <c r="E4291" s="142" t="s">
        <v>15849</v>
      </c>
      <c r="F4291" s="142" t="s">
        <v>11944</v>
      </c>
      <c r="G4291" s="142" t="s">
        <v>11943</v>
      </c>
      <c r="H4291" s="142" t="s">
        <v>20141</v>
      </c>
      <c r="I4291" s="142">
        <v>31</v>
      </c>
      <c r="J4291" s="142">
        <v>31</v>
      </c>
      <c r="K4291" s="142">
        <v>0</v>
      </c>
      <c r="L4291" s="142">
        <v>0</v>
      </c>
      <c r="M4291" s="142">
        <v>0</v>
      </c>
    </row>
    <row r="4292" spans="1:13" x14ac:dyDescent="0.45">
      <c r="A4292" s="142" t="s">
        <v>13002</v>
      </c>
      <c r="B4292" s="142" t="s">
        <v>15376</v>
      </c>
      <c r="C4292" s="142" t="s">
        <v>15847</v>
      </c>
      <c r="D4292" s="142" t="s">
        <v>15848</v>
      </c>
      <c r="E4292" s="142" t="s">
        <v>15849</v>
      </c>
      <c r="F4292" s="142" t="s">
        <v>11944</v>
      </c>
      <c r="G4292" s="142" t="s">
        <v>11943</v>
      </c>
      <c r="H4292" s="142" t="s">
        <v>20142</v>
      </c>
      <c r="I4292" s="142">
        <v>14</v>
      </c>
      <c r="J4292" s="142">
        <v>0</v>
      </c>
      <c r="K4292" s="142">
        <v>0</v>
      </c>
      <c r="L4292" s="142">
        <v>14</v>
      </c>
      <c r="M4292" s="142">
        <v>0</v>
      </c>
    </row>
    <row r="4293" spans="1:13" x14ac:dyDescent="0.45">
      <c r="A4293" s="142" t="s">
        <v>13003</v>
      </c>
      <c r="B4293" s="142" t="s">
        <v>15245</v>
      </c>
      <c r="C4293" s="142" t="s">
        <v>15847</v>
      </c>
      <c r="D4293" s="142" t="s">
        <v>15848</v>
      </c>
      <c r="E4293" s="142" t="s">
        <v>15849</v>
      </c>
      <c r="F4293" s="142" t="s">
        <v>11944</v>
      </c>
      <c r="G4293" s="142" t="s">
        <v>11943</v>
      </c>
      <c r="H4293" s="142" t="s">
        <v>20143</v>
      </c>
      <c r="I4293" s="142">
        <v>99</v>
      </c>
      <c r="J4293" s="142">
        <v>0</v>
      </c>
      <c r="K4293" s="142">
        <v>0</v>
      </c>
      <c r="L4293" s="142">
        <v>99</v>
      </c>
      <c r="M4293" s="142">
        <v>0</v>
      </c>
    </row>
    <row r="4294" spans="1:13" x14ac:dyDescent="0.45">
      <c r="A4294" s="142" t="s">
        <v>13004</v>
      </c>
      <c r="B4294" s="142" t="s">
        <v>15492</v>
      </c>
      <c r="C4294" s="142" t="s">
        <v>15847</v>
      </c>
      <c r="D4294" s="142" t="s">
        <v>15848</v>
      </c>
      <c r="E4294" s="142" t="s">
        <v>15849</v>
      </c>
      <c r="F4294" s="142" t="s">
        <v>11944</v>
      </c>
      <c r="G4294" s="142" t="s">
        <v>11943</v>
      </c>
      <c r="H4294" s="142" t="s">
        <v>20144</v>
      </c>
      <c r="I4294" s="142">
        <v>1072</v>
      </c>
      <c r="J4294" s="142">
        <v>1046</v>
      </c>
      <c r="K4294" s="142">
        <v>0</v>
      </c>
      <c r="L4294" s="142">
        <v>0</v>
      </c>
      <c r="M4294" s="142">
        <v>26</v>
      </c>
    </row>
    <row r="4295" spans="1:13" x14ac:dyDescent="0.45">
      <c r="A4295" s="142" t="s">
        <v>13124</v>
      </c>
      <c r="B4295" s="142" t="s">
        <v>15554</v>
      </c>
      <c r="C4295" s="142" t="s">
        <v>15860</v>
      </c>
      <c r="D4295" s="142" t="s">
        <v>15861</v>
      </c>
      <c r="E4295" s="142" t="s">
        <v>15849</v>
      </c>
      <c r="F4295" s="142" t="s">
        <v>11944</v>
      </c>
      <c r="G4295" s="142" t="s">
        <v>11943</v>
      </c>
      <c r="H4295" s="142" t="s">
        <v>20145</v>
      </c>
      <c r="I4295" s="142">
        <v>3</v>
      </c>
      <c r="J4295" s="142">
        <v>3</v>
      </c>
      <c r="K4295" s="142">
        <v>0</v>
      </c>
      <c r="L4295" s="142">
        <v>0</v>
      </c>
      <c r="M4295" s="142">
        <v>0</v>
      </c>
    </row>
    <row r="4296" spans="1:13" x14ac:dyDescent="0.45">
      <c r="A4296" s="142" t="s">
        <v>13808</v>
      </c>
      <c r="B4296" s="142" t="s">
        <v>14973</v>
      </c>
      <c r="C4296" s="142" t="s">
        <v>15860</v>
      </c>
      <c r="D4296" s="142" t="s">
        <v>15861</v>
      </c>
      <c r="E4296" s="142" t="s">
        <v>15849</v>
      </c>
      <c r="F4296" s="142" t="s">
        <v>11944</v>
      </c>
      <c r="G4296" s="142" t="s">
        <v>11943</v>
      </c>
      <c r="H4296" s="142" t="s">
        <v>20146</v>
      </c>
      <c r="I4296" s="142">
        <v>104</v>
      </c>
      <c r="J4296" s="142">
        <v>104</v>
      </c>
      <c r="K4296" s="142">
        <v>0</v>
      </c>
      <c r="L4296" s="142">
        <v>0</v>
      </c>
      <c r="M4296" s="142">
        <v>0</v>
      </c>
    </row>
    <row r="4297" spans="1:13" x14ac:dyDescent="0.45">
      <c r="A4297" s="142" t="s">
        <v>13437</v>
      </c>
      <c r="B4297" s="142" t="s">
        <v>15268</v>
      </c>
      <c r="C4297" s="142" t="s">
        <v>15847</v>
      </c>
      <c r="D4297" s="142" t="s">
        <v>15848</v>
      </c>
      <c r="E4297" s="142" t="s">
        <v>15849</v>
      </c>
      <c r="F4297" s="142" t="s">
        <v>11944</v>
      </c>
      <c r="G4297" s="142" t="s">
        <v>11943</v>
      </c>
      <c r="H4297" s="142" t="s">
        <v>20147</v>
      </c>
      <c r="I4297" s="142">
        <v>827</v>
      </c>
      <c r="J4297" s="142">
        <v>689</v>
      </c>
      <c r="K4297" s="142">
        <v>0</v>
      </c>
      <c r="L4297" s="142">
        <v>56</v>
      </c>
      <c r="M4297" s="142">
        <v>82</v>
      </c>
    </row>
    <row r="4298" spans="1:13" x14ac:dyDescent="0.45">
      <c r="A4298" s="142" t="s">
        <v>13735</v>
      </c>
      <c r="B4298" s="142" t="s">
        <v>14533</v>
      </c>
      <c r="C4298" s="142" t="s">
        <v>15860</v>
      </c>
      <c r="D4298" s="142" t="s">
        <v>15861</v>
      </c>
      <c r="E4298" s="142" t="s">
        <v>15849</v>
      </c>
      <c r="F4298" s="142" t="s">
        <v>11944</v>
      </c>
      <c r="G4298" s="142" t="s">
        <v>11943</v>
      </c>
      <c r="H4298" s="142" t="s">
        <v>20148</v>
      </c>
      <c r="I4298" s="142">
        <v>15</v>
      </c>
      <c r="J4298" s="142">
        <v>15</v>
      </c>
      <c r="K4298" s="142">
        <v>0</v>
      </c>
      <c r="L4298" s="142">
        <v>0</v>
      </c>
      <c r="M4298" s="142">
        <v>0</v>
      </c>
    </row>
    <row r="4299" spans="1:13" x14ac:dyDescent="0.45">
      <c r="A4299" s="142" t="s">
        <v>13216</v>
      </c>
      <c r="B4299" s="142" t="s">
        <v>15353</v>
      </c>
      <c r="C4299" s="142" t="s">
        <v>15860</v>
      </c>
      <c r="D4299" s="142" t="s">
        <v>15861</v>
      </c>
      <c r="E4299" s="142" t="s">
        <v>15849</v>
      </c>
      <c r="F4299" s="142" t="s">
        <v>11944</v>
      </c>
      <c r="G4299" s="142" t="s">
        <v>11943</v>
      </c>
      <c r="H4299" s="142" t="s">
        <v>20149</v>
      </c>
      <c r="I4299" s="142">
        <v>100</v>
      </c>
      <c r="J4299" s="142">
        <v>100</v>
      </c>
      <c r="K4299" s="142">
        <v>0</v>
      </c>
      <c r="L4299" s="142">
        <v>0</v>
      </c>
      <c r="M4299" s="142">
        <v>0</v>
      </c>
    </row>
    <row r="4300" spans="1:13" x14ac:dyDescent="0.45">
      <c r="A4300" s="142" t="s">
        <v>13005</v>
      </c>
      <c r="B4300" s="142" t="s">
        <v>15475</v>
      </c>
      <c r="C4300" s="142" t="s">
        <v>15847</v>
      </c>
      <c r="D4300" s="142" t="s">
        <v>15848</v>
      </c>
      <c r="E4300" s="142" t="s">
        <v>15849</v>
      </c>
      <c r="F4300" s="142" t="s">
        <v>11944</v>
      </c>
      <c r="G4300" s="142" t="s">
        <v>11943</v>
      </c>
      <c r="H4300" s="142" t="s">
        <v>20150</v>
      </c>
      <c r="I4300" s="142">
        <v>231</v>
      </c>
      <c r="J4300" s="142">
        <v>217</v>
      </c>
      <c r="K4300" s="142">
        <v>0</v>
      </c>
      <c r="L4300" s="142">
        <v>0</v>
      </c>
      <c r="M4300" s="142">
        <v>14</v>
      </c>
    </row>
    <row r="4301" spans="1:13" x14ac:dyDescent="0.45">
      <c r="A4301" s="142" t="s">
        <v>13809</v>
      </c>
      <c r="B4301" s="142" t="s">
        <v>14880</v>
      </c>
      <c r="C4301" s="142" t="s">
        <v>15860</v>
      </c>
      <c r="D4301" s="142" t="s">
        <v>15861</v>
      </c>
      <c r="E4301" s="142" t="s">
        <v>15849</v>
      </c>
      <c r="F4301" s="142" t="s">
        <v>11944</v>
      </c>
      <c r="G4301" s="142" t="s">
        <v>11943</v>
      </c>
      <c r="H4301" s="142" t="s">
        <v>20151</v>
      </c>
      <c r="I4301" s="142">
        <v>28</v>
      </c>
      <c r="J4301" s="142">
        <v>0</v>
      </c>
      <c r="K4301" s="142">
        <v>0</v>
      </c>
      <c r="L4301" s="142">
        <v>28</v>
      </c>
      <c r="M4301" s="142">
        <v>0</v>
      </c>
    </row>
    <row r="4302" spans="1:13" x14ac:dyDescent="0.45">
      <c r="A4302" s="142" t="s">
        <v>13006</v>
      </c>
      <c r="B4302" s="142" t="s">
        <v>15288</v>
      </c>
      <c r="C4302" s="142" t="s">
        <v>15847</v>
      </c>
      <c r="D4302" s="142" t="s">
        <v>15848</v>
      </c>
      <c r="E4302" s="142" t="s">
        <v>15849</v>
      </c>
      <c r="F4302" s="142" t="s">
        <v>11944</v>
      </c>
      <c r="G4302" s="142" t="s">
        <v>11943</v>
      </c>
      <c r="H4302" s="142" t="s">
        <v>20152</v>
      </c>
      <c r="I4302" s="142">
        <v>2</v>
      </c>
      <c r="J4302" s="142">
        <v>0</v>
      </c>
      <c r="K4302" s="142">
        <v>0</v>
      </c>
      <c r="L4302" s="142">
        <v>0</v>
      </c>
      <c r="M4302" s="142">
        <v>2</v>
      </c>
    </row>
    <row r="4303" spans="1:13" x14ac:dyDescent="0.45">
      <c r="A4303" s="142" t="s">
        <v>13755</v>
      </c>
      <c r="B4303" s="142" t="s">
        <v>14970</v>
      </c>
      <c r="C4303" s="142" t="s">
        <v>15860</v>
      </c>
      <c r="D4303" s="142" t="s">
        <v>15861</v>
      </c>
      <c r="E4303" s="142" t="s">
        <v>15849</v>
      </c>
      <c r="F4303" s="142" t="s">
        <v>11944</v>
      </c>
      <c r="G4303" s="142" t="s">
        <v>11943</v>
      </c>
      <c r="H4303" s="142" t="s">
        <v>20153</v>
      </c>
      <c r="I4303" s="142">
        <v>49</v>
      </c>
      <c r="J4303" s="142">
        <v>49</v>
      </c>
      <c r="K4303" s="142">
        <v>0</v>
      </c>
      <c r="L4303" s="142">
        <v>0</v>
      </c>
      <c r="M4303" s="142">
        <v>0</v>
      </c>
    </row>
    <row r="4304" spans="1:13" x14ac:dyDescent="0.45">
      <c r="A4304" s="142" t="s">
        <v>13102</v>
      </c>
      <c r="B4304" s="142" t="s">
        <v>15235</v>
      </c>
      <c r="C4304" s="142" t="s">
        <v>15847</v>
      </c>
      <c r="D4304" s="142" t="s">
        <v>15848</v>
      </c>
      <c r="E4304" s="142" t="s">
        <v>15849</v>
      </c>
      <c r="F4304" s="142" t="s">
        <v>11944</v>
      </c>
      <c r="G4304" s="142" t="s">
        <v>11943</v>
      </c>
      <c r="H4304" s="142" t="s">
        <v>20154</v>
      </c>
      <c r="I4304" s="142">
        <v>1581</v>
      </c>
      <c r="J4304" s="142">
        <v>1217</v>
      </c>
      <c r="K4304" s="142">
        <v>27</v>
      </c>
      <c r="L4304" s="142">
        <v>13</v>
      </c>
      <c r="M4304" s="142">
        <v>324</v>
      </c>
    </row>
    <row r="4305" spans="1:13" x14ac:dyDescent="0.45">
      <c r="A4305" s="142" t="s">
        <v>13103</v>
      </c>
      <c r="B4305" s="142" t="s">
        <v>14623</v>
      </c>
      <c r="C4305" s="142" t="s">
        <v>15847</v>
      </c>
      <c r="D4305" s="142" t="s">
        <v>15848</v>
      </c>
      <c r="E4305" s="142" t="s">
        <v>15849</v>
      </c>
      <c r="F4305" s="142" t="s">
        <v>11944</v>
      </c>
      <c r="G4305" s="142" t="s">
        <v>11943</v>
      </c>
      <c r="H4305" s="142" t="s">
        <v>20155</v>
      </c>
      <c r="I4305" s="142">
        <v>288</v>
      </c>
      <c r="J4305" s="142">
        <v>279</v>
      </c>
      <c r="K4305" s="142">
        <v>0</v>
      </c>
      <c r="L4305" s="142">
        <v>4</v>
      </c>
      <c r="M4305" s="142">
        <v>5</v>
      </c>
    </row>
    <row r="4306" spans="1:13" x14ac:dyDescent="0.45">
      <c r="A4306" s="142" t="s">
        <v>13054</v>
      </c>
      <c r="B4306" s="142" t="s">
        <v>15604</v>
      </c>
      <c r="C4306" s="142" t="s">
        <v>15847</v>
      </c>
      <c r="D4306" s="142" t="s">
        <v>15848</v>
      </c>
      <c r="E4306" s="142" t="s">
        <v>15849</v>
      </c>
      <c r="F4306" s="142" t="s">
        <v>11944</v>
      </c>
      <c r="G4306" s="142" t="s">
        <v>11943</v>
      </c>
      <c r="H4306" s="142" t="s">
        <v>20156</v>
      </c>
      <c r="I4306" s="142">
        <v>45</v>
      </c>
      <c r="J4306" s="142">
        <v>0</v>
      </c>
      <c r="K4306" s="142">
        <v>0</v>
      </c>
      <c r="L4306" s="142">
        <v>0</v>
      </c>
      <c r="M4306" s="142">
        <v>45</v>
      </c>
    </row>
    <row r="4307" spans="1:13" x14ac:dyDescent="0.45">
      <c r="A4307" s="142" t="s">
        <v>13810</v>
      </c>
      <c r="B4307" s="142" t="s">
        <v>15357</v>
      </c>
      <c r="C4307" s="142" t="s">
        <v>15860</v>
      </c>
      <c r="D4307" s="142" t="s">
        <v>15861</v>
      </c>
      <c r="E4307" s="142" t="s">
        <v>15849</v>
      </c>
      <c r="F4307" s="142" t="s">
        <v>11944</v>
      </c>
      <c r="G4307" s="142" t="s">
        <v>11943</v>
      </c>
      <c r="H4307" s="142" t="s">
        <v>20157</v>
      </c>
      <c r="I4307" s="142">
        <v>53</v>
      </c>
      <c r="J4307" s="142">
        <v>53</v>
      </c>
      <c r="K4307" s="142">
        <v>0</v>
      </c>
      <c r="L4307" s="142">
        <v>0</v>
      </c>
      <c r="M4307" s="142">
        <v>0</v>
      </c>
    </row>
    <row r="4308" spans="1:13" x14ac:dyDescent="0.45">
      <c r="A4308" s="142" t="s">
        <v>13133</v>
      </c>
      <c r="B4308" s="142" t="s">
        <v>15291</v>
      </c>
      <c r="C4308" s="142" t="s">
        <v>15847</v>
      </c>
      <c r="D4308" s="142" t="s">
        <v>15848</v>
      </c>
      <c r="E4308" s="142" t="s">
        <v>15849</v>
      </c>
      <c r="F4308" s="142" t="s">
        <v>11944</v>
      </c>
      <c r="G4308" s="142" t="s">
        <v>11943</v>
      </c>
      <c r="H4308" s="142" t="s">
        <v>20158</v>
      </c>
      <c r="I4308" s="142">
        <v>245</v>
      </c>
      <c r="J4308" s="142">
        <v>205</v>
      </c>
      <c r="K4308" s="142">
        <v>0</v>
      </c>
      <c r="L4308" s="142">
        <v>6</v>
      </c>
      <c r="M4308" s="142">
        <v>34</v>
      </c>
    </row>
    <row r="4309" spans="1:13" x14ac:dyDescent="0.45">
      <c r="A4309" s="142" t="s">
        <v>13055</v>
      </c>
      <c r="B4309" s="142" t="s">
        <v>14595</v>
      </c>
      <c r="C4309" s="142" t="s">
        <v>15847</v>
      </c>
      <c r="D4309" s="142" t="s">
        <v>15848</v>
      </c>
      <c r="E4309" s="142" t="s">
        <v>15849</v>
      </c>
      <c r="F4309" s="142" t="s">
        <v>11944</v>
      </c>
      <c r="G4309" s="142" t="s">
        <v>11943</v>
      </c>
      <c r="H4309" s="142" t="s">
        <v>20159</v>
      </c>
      <c r="I4309" s="142">
        <v>93</v>
      </c>
      <c r="J4309" s="142">
        <v>68</v>
      </c>
      <c r="K4309" s="142">
        <v>0</v>
      </c>
      <c r="L4309" s="142">
        <v>25</v>
      </c>
      <c r="M4309" s="142">
        <v>0</v>
      </c>
    </row>
    <row r="4310" spans="1:13" x14ac:dyDescent="0.45">
      <c r="A4310" s="142" t="s">
        <v>13104</v>
      </c>
      <c r="B4310" s="142" t="s">
        <v>14622</v>
      </c>
      <c r="C4310" s="142" t="s">
        <v>15847</v>
      </c>
      <c r="D4310" s="142" t="s">
        <v>15848</v>
      </c>
      <c r="E4310" s="142" t="s">
        <v>15849</v>
      </c>
      <c r="F4310" s="142" t="s">
        <v>11944</v>
      </c>
      <c r="G4310" s="142" t="s">
        <v>11943</v>
      </c>
      <c r="H4310" s="142" t="s">
        <v>20160</v>
      </c>
      <c r="I4310" s="142">
        <v>5366</v>
      </c>
      <c r="J4310" s="142">
        <v>4498</v>
      </c>
      <c r="K4310" s="142">
        <v>5</v>
      </c>
      <c r="L4310" s="142">
        <v>532</v>
      </c>
      <c r="M4310" s="142">
        <v>331</v>
      </c>
    </row>
    <row r="4311" spans="1:13" x14ac:dyDescent="0.45">
      <c r="A4311" s="142" t="s">
        <v>13736</v>
      </c>
      <c r="B4311" s="142" t="s">
        <v>15514</v>
      </c>
      <c r="C4311" s="142" t="s">
        <v>15860</v>
      </c>
      <c r="D4311" s="142" t="s">
        <v>15861</v>
      </c>
      <c r="E4311" s="142" t="s">
        <v>15849</v>
      </c>
      <c r="F4311" s="142" t="s">
        <v>11944</v>
      </c>
      <c r="G4311" s="142" t="s">
        <v>11943</v>
      </c>
      <c r="H4311" s="142" t="s">
        <v>20161</v>
      </c>
      <c r="I4311" s="142">
        <v>149</v>
      </c>
      <c r="J4311" s="142">
        <v>24</v>
      </c>
      <c r="K4311" s="142">
        <v>23</v>
      </c>
      <c r="L4311" s="142">
        <v>102</v>
      </c>
      <c r="M4311" s="142">
        <v>0</v>
      </c>
    </row>
    <row r="4312" spans="1:13" x14ac:dyDescent="0.45">
      <c r="A4312" s="142" t="s">
        <v>13387</v>
      </c>
      <c r="B4312" s="142" t="s">
        <v>15211</v>
      </c>
      <c r="C4312" s="142" t="s">
        <v>15860</v>
      </c>
      <c r="D4312" s="142" t="s">
        <v>15861</v>
      </c>
      <c r="E4312" s="142" t="s">
        <v>15849</v>
      </c>
      <c r="F4312" s="142" t="s">
        <v>11944</v>
      </c>
      <c r="G4312" s="142" t="s">
        <v>11943</v>
      </c>
      <c r="H4312" s="142" t="s">
        <v>20162</v>
      </c>
      <c r="I4312" s="142">
        <v>6</v>
      </c>
      <c r="J4312" s="142">
        <v>0</v>
      </c>
      <c r="K4312" s="142">
        <v>0</v>
      </c>
      <c r="L4312" s="142">
        <v>6</v>
      </c>
      <c r="M4312" s="142">
        <v>0</v>
      </c>
    </row>
    <row r="4313" spans="1:13" x14ac:dyDescent="0.45">
      <c r="A4313" s="142" t="s">
        <v>13033</v>
      </c>
      <c r="B4313" s="142" t="s">
        <v>15276</v>
      </c>
      <c r="C4313" s="142" t="s">
        <v>15847</v>
      </c>
      <c r="D4313" s="142" t="s">
        <v>15848</v>
      </c>
      <c r="E4313" s="142" t="s">
        <v>15849</v>
      </c>
      <c r="F4313" s="142" t="s">
        <v>11944</v>
      </c>
      <c r="G4313" s="142" t="s">
        <v>11943</v>
      </c>
      <c r="H4313" s="142" t="s">
        <v>20163</v>
      </c>
      <c r="I4313" s="142">
        <v>16</v>
      </c>
      <c r="J4313" s="142">
        <v>0</v>
      </c>
      <c r="K4313" s="142">
        <v>0</v>
      </c>
      <c r="L4313" s="142">
        <v>0</v>
      </c>
      <c r="M4313" s="142">
        <v>16</v>
      </c>
    </row>
    <row r="4314" spans="1:13" x14ac:dyDescent="0.45">
      <c r="A4314" s="142" t="s">
        <v>13034</v>
      </c>
      <c r="B4314" s="142" t="s">
        <v>15562</v>
      </c>
      <c r="C4314" s="142" t="s">
        <v>15847</v>
      </c>
      <c r="D4314" s="142" t="s">
        <v>15848</v>
      </c>
      <c r="E4314" s="142" t="s">
        <v>15849</v>
      </c>
      <c r="F4314" s="142" t="s">
        <v>11944</v>
      </c>
      <c r="G4314" s="142" t="s">
        <v>11943</v>
      </c>
      <c r="H4314" s="142" t="s">
        <v>20164</v>
      </c>
      <c r="I4314" s="142">
        <v>55</v>
      </c>
      <c r="J4314" s="142">
        <v>33</v>
      </c>
      <c r="K4314" s="142">
        <v>0</v>
      </c>
      <c r="L4314" s="142">
        <v>22</v>
      </c>
      <c r="M4314" s="142">
        <v>0</v>
      </c>
    </row>
    <row r="4315" spans="1:13" x14ac:dyDescent="0.45">
      <c r="A4315" s="142" t="s">
        <v>13740</v>
      </c>
      <c r="B4315" s="142" t="s">
        <v>14945</v>
      </c>
      <c r="C4315" s="142" t="s">
        <v>15860</v>
      </c>
      <c r="D4315" s="142" t="s">
        <v>15861</v>
      </c>
      <c r="E4315" s="142" t="s">
        <v>15849</v>
      </c>
      <c r="F4315" s="142" t="s">
        <v>11944</v>
      </c>
      <c r="G4315" s="142" t="s">
        <v>11943</v>
      </c>
      <c r="H4315" s="142" t="s">
        <v>20165</v>
      </c>
      <c r="I4315" s="142">
        <v>78</v>
      </c>
      <c r="J4315" s="142">
        <v>78</v>
      </c>
      <c r="K4315" s="142">
        <v>0</v>
      </c>
      <c r="L4315" s="142">
        <v>0</v>
      </c>
      <c r="M4315" s="142">
        <v>0</v>
      </c>
    </row>
    <row r="4316" spans="1:13" x14ac:dyDescent="0.45">
      <c r="A4316" s="142" t="s">
        <v>13811</v>
      </c>
      <c r="B4316" s="142" t="s">
        <v>15012</v>
      </c>
      <c r="C4316" s="142" t="s">
        <v>15860</v>
      </c>
      <c r="D4316" s="142" t="s">
        <v>15861</v>
      </c>
      <c r="E4316" s="142" t="s">
        <v>15849</v>
      </c>
      <c r="F4316" s="142" t="s">
        <v>11944</v>
      </c>
      <c r="G4316" s="142" t="s">
        <v>11943</v>
      </c>
      <c r="H4316" s="142" t="s">
        <v>20166</v>
      </c>
      <c r="I4316" s="142">
        <v>25</v>
      </c>
      <c r="J4316" s="142">
        <v>0</v>
      </c>
      <c r="K4316" s="142">
        <v>25</v>
      </c>
      <c r="L4316" s="142">
        <v>0</v>
      </c>
      <c r="M4316" s="142">
        <v>0</v>
      </c>
    </row>
    <row r="4317" spans="1:13" x14ac:dyDescent="0.45">
      <c r="A4317" s="142" t="s">
        <v>13009</v>
      </c>
      <c r="B4317" s="142" t="s">
        <v>15256</v>
      </c>
      <c r="C4317" s="142" t="s">
        <v>15847</v>
      </c>
      <c r="D4317" s="142" t="s">
        <v>15848</v>
      </c>
      <c r="E4317" s="142" t="s">
        <v>15849</v>
      </c>
      <c r="F4317" s="142" t="s">
        <v>11944</v>
      </c>
      <c r="G4317" s="142" t="s">
        <v>11943</v>
      </c>
      <c r="H4317" s="142" t="s">
        <v>20167</v>
      </c>
      <c r="I4317" s="142">
        <v>65</v>
      </c>
      <c r="J4317" s="142">
        <v>4</v>
      </c>
      <c r="K4317" s="142">
        <v>0</v>
      </c>
      <c r="L4317" s="142">
        <v>61</v>
      </c>
      <c r="M4317" s="142">
        <v>0</v>
      </c>
    </row>
    <row r="4318" spans="1:13" x14ac:dyDescent="0.45">
      <c r="A4318" s="142" t="s">
        <v>13343</v>
      </c>
      <c r="B4318" s="142" t="s">
        <v>15161</v>
      </c>
      <c r="C4318" s="142" t="s">
        <v>15860</v>
      </c>
      <c r="D4318" s="142" t="s">
        <v>15861</v>
      </c>
      <c r="E4318" s="142" t="s">
        <v>15849</v>
      </c>
      <c r="F4318" s="142" t="s">
        <v>11944</v>
      </c>
      <c r="G4318" s="142" t="s">
        <v>11943</v>
      </c>
      <c r="H4318" s="142" t="s">
        <v>20168</v>
      </c>
      <c r="I4318" s="142">
        <v>93</v>
      </c>
      <c r="J4318" s="142">
        <v>1</v>
      </c>
      <c r="K4318" s="142">
        <v>52</v>
      </c>
      <c r="L4318" s="142">
        <v>40</v>
      </c>
      <c r="M4318" s="142">
        <v>0</v>
      </c>
    </row>
    <row r="4319" spans="1:13" x14ac:dyDescent="0.45">
      <c r="A4319" s="142" t="s">
        <v>13741</v>
      </c>
      <c r="B4319" s="142" t="s">
        <v>15557</v>
      </c>
      <c r="C4319" s="142" t="s">
        <v>15860</v>
      </c>
      <c r="D4319" s="142" t="s">
        <v>15861</v>
      </c>
      <c r="E4319" s="142" t="s">
        <v>15849</v>
      </c>
      <c r="F4319" s="142" t="s">
        <v>11944</v>
      </c>
      <c r="G4319" s="142" t="s">
        <v>11943</v>
      </c>
      <c r="H4319" s="142" t="s">
        <v>20169</v>
      </c>
      <c r="I4319" s="142">
        <v>68</v>
      </c>
      <c r="J4319" s="142">
        <v>68</v>
      </c>
      <c r="K4319" s="142">
        <v>0</v>
      </c>
      <c r="L4319" s="142">
        <v>0</v>
      </c>
      <c r="M4319" s="142">
        <v>0</v>
      </c>
    </row>
    <row r="4320" spans="1:13" x14ac:dyDescent="0.45">
      <c r="A4320" s="142" t="s">
        <v>13812</v>
      </c>
      <c r="B4320" s="142" t="s">
        <v>14978</v>
      </c>
      <c r="C4320" s="142" t="s">
        <v>15860</v>
      </c>
      <c r="D4320" s="142" t="s">
        <v>15861</v>
      </c>
      <c r="E4320" s="142" t="s">
        <v>15849</v>
      </c>
      <c r="F4320" s="142" t="s">
        <v>11944</v>
      </c>
      <c r="G4320" s="142" t="s">
        <v>11943</v>
      </c>
      <c r="H4320" s="142" t="s">
        <v>20170</v>
      </c>
      <c r="I4320" s="142">
        <v>107</v>
      </c>
      <c r="J4320" s="142">
        <v>107</v>
      </c>
      <c r="K4320" s="142">
        <v>0</v>
      </c>
      <c r="L4320" s="142">
        <v>0</v>
      </c>
      <c r="M4320" s="142">
        <v>0</v>
      </c>
    </row>
    <row r="4321" spans="1:13" x14ac:dyDescent="0.45">
      <c r="A4321" s="142" t="s">
        <v>13057</v>
      </c>
      <c r="B4321" s="142" t="s">
        <v>15528</v>
      </c>
      <c r="C4321" s="142" t="s">
        <v>15860</v>
      </c>
      <c r="D4321" s="142" t="s">
        <v>15861</v>
      </c>
      <c r="E4321" s="142" t="s">
        <v>15849</v>
      </c>
      <c r="F4321" s="142" t="s">
        <v>11944</v>
      </c>
      <c r="G4321" s="142" t="s">
        <v>11943</v>
      </c>
      <c r="H4321" s="142" t="s">
        <v>20171</v>
      </c>
      <c r="I4321" s="142">
        <v>16</v>
      </c>
      <c r="J4321" s="142">
        <v>16</v>
      </c>
      <c r="K4321" s="142">
        <v>0</v>
      </c>
      <c r="L4321" s="142">
        <v>0</v>
      </c>
      <c r="M4321" s="142">
        <v>0</v>
      </c>
    </row>
    <row r="4322" spans="1:13" x14ac:dyDescent="0.45">
      <c r="A4322" s="142" t="s">
        <v>13011</v>
      </c>
      <c r="B4322" s="142" t="s">
        <v>14695</v>
      </c>
      <c r="C4322" s="142" t="s">
        <v>15847</v>
      </c>
      <c r="D4322" s="142" t="s">
        <v>15848</v>
      </c>
      <c r="E4322" s="142" t="s">
        <v>15849</v>
      </c>
      <c r="F4322" s="142" t="s">
        <v>11944</v>
      </c>
      <c r="G4322" s="142" t="s">
        <v>11943</v>
      </c>
      <c r="H4322" s="142" t="s">
        <v>20172</v>
      </c>
      <c r="I4322" s="142">
        <v>1326</v>
      </c>
      <c r="J4322" s="142">
        <v>1090</v>
      </c>
      <c r="K4322" s="142">
        <v>0</v>
      </c>
      <c r="L4322" s="142">
        <v>1</v>
      </c>
      <c r="M4322" s="142">
        <v>235</v>
      </c>
    </row>
    <row r="4323" spans="1:13" x14ac:dyDescent="0.45">
      <c r="A4323" s="142" t="s">
        <v>13058</v>
      </c>
      <c r="B4323" s="142" t="s">
        <v>14584</v>
      </c>
      <c r="C4323" s="142" t="s">
        <v>15847</v>
      </c>
      <c r="D4323" s="142" t="s">
        <v>15848</v>
      </c>
      <c r="E4323" s="142" t="s">
        <v>15849</v>
      </c>
      <c r="F4323" s="142" t="s">
        <v>11944</v>
      </c>
      <c r="G4323" s="142" t="s">
        <v>11943</v>
      </c>
      <c r="H4323" s="142" t="s">
        <v>20173</v>
      </c>
      <c r="I4323" s="142">
        <v>312</v>
      </c>
      <c r="J4323" s="142">
        <v>185</v>
      </c>
      <c r="K4323" s="142">
        <v>124</v>
      </c>
      <c r="L4323" s="142">
        <v>0</v>
      </c>
      <c r="M4323" s="142">
        <v>3</v>
      </c>
    </row>
    <row r="4324" spans="1:13" x14ac:dyDescent="0.45">
      <c r="A4324" s="142" t="s">
        <v>13390</v>
      </c>
      <c r="B4324" s="142" t="s">
        <v>15194</v>
      </c>
      <c r="C4324" s="142" t="s">
        <v>15860</v>
      </c>
      <c r="D4324" s="142" t="s">
        <v>15861</v>
      </c>
      <c r="E4324" s="142" t="s">
        <v>15849</v>
      </c>
      <c r="F4324" s="142" t="s">
        <v>11944</v>
      </c>
      <c r="G4324" s="142" t="s">
        <v>11943</v>
      </c>
      <c r="H4324" s="142" t="s">
        <v>20174</v>
      </c>
      <c r="I4324" s="142">
        <v>25</v>
      </c>
      <c r="J4324" s="142">
        <v>0</v>
      </c>
      <c r="K4324" s="142">
        <v>0</v>
      </c>
      <c r="L4324" s="142">
        <v>25</v>
      </c>
      <c r="M4324" s="142">
        <v>0</v>
      </c>
    </row>
    <row r="4325" spans="1:13" x14ac:dyDescent="0.45">
      <c r="A4325" s="142" t="s">
        <v>13306</v>
      </c>
      <c r="B4325" s="142" t="s">
        <v>15500</v>
      </c>
      <c r="C4325" s="142" t="s">
        <v>15847</v>
      </c>
      <c r="D4325" s="142" t="s">
        <v>15848</v>
      </c>
      <c r="E4325" s="142" t="s">
        <v>15849</v>
      </c>
      <c r="F4325" s="142" t="s">
        <v>11944</v>
      </c>
      <c r="G4325" s="142" t="s">
        <v>11943</v>
      </c>
      <c r="H4325" s="142" t="s">
        <v>20175</v>
      </c>
      <c r="I4325" s="142">
        <v>102</v>
      </c>
      <c r="J4325" s="142">
        <v>0</v>
      </c>
      <c r="K4325" s="142">
        <v>0</v>
      </c>
      <c r="L4325" s="142">
        <v>102</v>
      </c>
      <c r="M4325" s="142">
        <v>0</v>
      </c>
    </row>
    <row r="4326" spans="1:13" x14ac:dyDescent="0.45">
      <c r="A4326" s="142" t="s">
        <v>13138</v>
      </c>
      <c r="B4326" s="142" t="s">
        <v>14590</v>
      </c>
      <c r="C4326" s="142" t="s">
        <v>15860</v>
      </c>
      <c r="D4326" s="142" t="s">
        <v>15861</v>
      </c>
      <c r="E4326" s="142" t="s">
        <v>15849</v>
      </c>
      <c r="F4326" s="142" t="s">
        <v>11944</v>
      </c>
      <c r="G4326" s="142" t="s">
        <v>11943</v>
      </c>
      <c r="H4326" s="142" t="s">
        <v>20176</v>
      </c>
      <c r="I4326" s="142">
        <v>1</v>
      </c>
      <c r="J4326" s="142">
        <v>1</v>
      </c>
      <c r="K4326" s="142">
        <v>0</v>
      </c>
      <c r="L4326" s="142">
        <v>0</v>
      </c>
      <c r="M4326" s="142">
        <v>0</v>
      </c>
    </row>
    <row r="4327" spans="1:13" x14ac:dyDescent="0.45">
      <c r="A4327" s="142" t="s">
        <v>13344</v>
      </c>
      <c r="B4327" s="142" t="s">
        <v>15448</v>
      </c>
      <c r="C4327" s="142" t="s">
        <v>15860</v>
      </c>
      <c r="D4327" s="142" t="s">
        <v>15861</v>
      </c>
      <c r="E4327" s="142" t="s">
        <v>15849</v>
      </c>
      <c r="F4327" s="142" t="s">
        <v>11944</v>
      </c>
      <c r="G4327" s="142" t="s">
        <v>11943</v>
      </c>
      <c r="H4327" s="142" t="s">
        <v>20177</v>
      </c>
      <c r="I4327" s="142">
        <v>20</v>
      </c>
      <c r="J4327" s="142">
        <v>20</v>
      </c>
      <c r="K4327" s="142">
        <v>0</v>
      </c>
      <c r="L4327" s="142">
        <v>0</v>
      </c>
      <c r="M4327" s="142">
        <v>0</v>
      </c>
    </row>
    <row r="4328" spans="1:13" x14ac:dyDescent="0.45">
      <c r="A4328" s="142" t="s">
        <v>13014</v>
      </c>
      <c r="B4328" s="142" t="s">
        <v>14505</v>
      </c>
      <c r="C4328" s="142" t="s">
        <v>15847</v>
      </c>
      <c r="D4328" s="142" t="s">
        <v>15848</v>
      </c>
      <c r="E4328" s="142" t="s">
        <v>15849</v>
      </c>
      <c r="F4328" s="142" t="s">
        <v>11944</v>
      </c>
      <c r="G4328" s="142" t="s">
        <v>11943</v>
      </c>
      <c r="H4328" s="142" t="s">
        <v>20178</v>
      </c>
      <c r="I4328" s="142">
        <v>553</v>
      </c>
      <c r="J4328" s="142">
        <v>527</v>
      </c>
      <c r="K4328" s="142">
        <v>0</v>
      </c>
      <c r="L4328" s="142">
        <v>7</v>
      </c>
      <c r="M4328" s="142">
        <v>19</v>
      </c>
    </row>
    <row r="4329" spans="1:13" x14ac:dyDescent="0.45">
      <c r="A4329" s="142" t="s">
        <v>13042</v>
      </c>
      <c r="B4329" s="142" t="s">
        <v>15489</v>
      </c>
      <c r="C4329" s="142" t="s">
        <v>15847</v>
      </c>
      <c r="D4329" s="142" t="s">
        <v>15848</v>
      </c>
      <c r="E4329" s="142" t="s">
        <v>15849</v>
      </c>
      <c r="F4329" s="142" t="s">
        <v>11944</v>
      </c>
      <c r="G4329" s="142" t="s">
        <v>11943</v>
      </c>
      <c r="H4329" s="142" t="s">
        <v>20179</v>
      </c>
      <c r="I4329" s="142">
        <v>600</v>
      </c>
      <c r="J4329" s="142">
        <v>382</v>
      </c>
      <c r="K4329" s="142">
        <v>7</v>
      </c>
      <c r="L4329" s="142">
        <v>98</v>
      </c>
      <c r="M4329" s="142">
        <v>113</v>
      </c>
    </row>
    <row r="4330" spans="1:13" x14ac:dyDescent="0.45">
      <c r="A4330" s="142" t="s">
        <v>13813</v>
      </c>
      <c r="B4330" s="142" t="s">
        <v>14977</v>
      </c>
      <c r="C4330" s="142" t="s">
        <v>15860</v>
      </c>
      <c r="D4330" s="142" t="s">
        <v>15861</v>
      </c>
      <c r="E4330" s="142" t="s">
        <v>15849</v>
      </c>
      <c r="F4330" s="142" t="s">
        <v>11944</v>
      </c>
      <c r="G4330" s="142" t="s">
        <v>11943</v>
      </c>
      <c r="H4330" s="142" t="s">
        <v>20180</v>
      </c>
      <c r="I4330" s="142">
        <v>26</v>
      </c>
      <c r="J4330" s="142">
        <v>26</v>
      </c>
      <c r="K4330" s="142">
        <v>0</v>
      </c>
      <c r="L4330" s="142">
        <v>0</v>
      </c>
      <c r="M4330" s="142">
        <v>0</v>
      </c>
    </row>
    <row r="4331" spans="1:13" x14ac:dyDescent="0.45">
      <c r="A4331" s="142" t="s">
        <v>13156</v>
      </c>
      <c r="B4331" s="142" t="s">
        <v>14493</v>
      </c>
      <c r="C4331" s="142" t="s">
        <v>15860</v>
      </c>
      <c r="D4331" s="142" t="s">
        <v>15861</v>
      </c>
      <c r="E4331" s="142" t="s">
        <v>15849</v>
      </c>
      <c r="F4331" s="142" t="s">
        <v>11944</v>
      </c>
      <c r="G4331" s="142" t="s">
        <v>11943</v>
      </c>
      <c r="H4331" s="142" t="s">
        <v>20181</v>
      </c>
      <c r="I4331" s="142">
        <v>18</v>
      </c>
      <c r="J4331" s="142">
        <v>0</v>
      </c>
      <c r="K4331" s="142">
        <v>0</v>
      </c>
      <c r="L4331" s="142">
        <v>18</v>
      </c>
      <c r="M4331" s="142">
        <v>0</v>
      </c>
    </row>
    <row r="4332" spans="1:13" x14ac:dyDescent="0.45">
      <c r="A4332" s="142" t="s">
        <v>13743</v>
      </c>
      <c r="B4332" s="142" t="s">
        <v>15222</v>
      </c>
      <c r="C4332" s="142" t="s">
        <v>15860</v>
      </c>
      <c r="D4332" s="142" t="s">
        <v>15861</v>
      </c>
      <c r="E4332" s="142" t="s">
        <v>15849</v>
      </c>
      <c r="F4332" s="142" t="s">
        <v>11944</v>
      </c>
      <c r="G4332" s="142" t="s">
        <v>11943</v>
      </c>
      <c r="H4332" s="142" t="s">
        <v>20182</v>
      </c>
      <c r="I4332" s="142">
        <v>146</v>
      </c>
      <c r="J4332" s="142">
        <v>0</v>
      </c>
      <c r="K4332" s="142">
        <v>0</v>
      </c>
      <c r="L4332" s="142">
        <v>146</v>
      </c>
      <c r="M4332" s="142">
        <v>0</v>
      </c>
    </row>
    <row r="4333" spans="1:13" x14ac:dyDescent="0.45">
      <c r="A4333" s="142" t="s">
        <v>13110</v>
      </c>
      <c r="B4333" s="142" t="s">
        <v>15502</v>
      </c>
      <c r="C4333" s="142" t="s">
        <v>15847</v>
      </c>
      <c r="D4333" s="142" t="s">
        <v>15848</v>
      </c>
      <c r="E4333" s="142" t="s">
        <v>15849</v>
      </c>
      <c r="F4333" s="142" t="s">
        <v>11986</v>
      </c>
      <c r="G4333" s="142" t="s">
        <v>11985</v>
      </c>
      <c r="H4333" s="142" t="s">
        <v>20183</v>
      </c>
      <c r="I4333" s="142">
        <v>53</v>
      </c>
      <c r="J4333" s="142">
        <v>34</v>
      </c>
      <c r="K4333" s="142">
        <v>0</v>
      </c>
      <c r="L4333" s="142">
        <v>0</v>
      </c>
      <c r="M4333" s="142">
        <v>19</v>
      </c>
    </row>
    <row r="4334" spans="1:13" x14ac:dyDescent="0.45">
      <c r="A4334" s="142" t="s">
        <v>13023</v>
      </c>
      <c r="B4334" s="142" t="s">
        <v>15571</v>
      </c>
      <c r="C4334" s="142" t="s">
        <v>15847</v>
      </c>
      <c r="D4334" s="142" t="s">
        <v>15848</v>
      </c>
      <c r="E4334" s="142" t="s">
        <v>15849</v>
      </c>
      <c r="F4334" s="142" t="s">
        <v>11986</v>
      </c>
      <c r="G4334" s="142" t="s">
        <v>11985</v>
      </c>
      <c r="H4334" s="142" t="s">
        <v>20184</v>
      </c>
      <c r="I4334" s="142">
        <v>102</v>
      </c>
      <c r="J4334" s="142">
        <v>0</v>
      </c>
      <c r="K4334" s="142">
        <v>0</v>
      </c>
      <c r="L4334" s="142">
        <v>102</v>
      </c>
      <c r="M4334" s="142">
        <v>0</v>
      </c>
    </row>
    <row r="4335" spans="1:13" x14ac:dyDescent="0.45">
      <c r="A4335" s="142" t="s">
        <v>13112</v>
      </c>
      <c r="B4335" s="142" t="s">
        <v>15552</v>
      </c>
      <c r="C4335" s="142" t="s">
        <v>15860</v>
      </c>
      <c r="D4335" s="142" t="s">
        <v>15861</v>
      </c>
      <c r="E4335" s="142" t="s">
        <v>15849</v>
      </c>
      <c r="F4335" s="142" t="s">
        <v>11986</v>
      </c>
      <c r="G4335" s="142" t="s">
        <v>11985</v>
      </c>
      <c r="H4335" s="142" t="s">
        <v>20185</v>
      </c>
      <c r="I4335" s="142">
        <v>30</v>
      </c>
      <c r="J4335" s="142">
        <v>30</v>
      </c>
      <c r="K4335" s="142">
        <v>0</v>
      </c>
      <c r="L4335" s="142">
        <v>0</v>
      </c>
      <c r="M4335" s="142">
        <v>0</v>
      </c>
    </row>
    <row r="4336" spans="1:13" x14ac:dyDescent="0.45">
      <c r="A4336" s="142" t="s">
        <v>13433</v>
      </c>
      <c r="B4336" s="142" t="s">
        <v>15167</v>
      </c>
      <c r="C4336" s="142" t="s">
        <v>15847</v>
      </c>
      <c r="D4336" s="142" t="s">
        <v>15848</v>
      </c>
      <c r="E4336" s="142" t="s">
        <v>15849</v>
      </c>
      <c r="F4336" s="142" t="s">
        <v>11986</v>
      </c>
      <c r="G4336" s="142" t="s">
        <v>11985</v>
      </c>
      <c r="H4336" s="142" t="s">
        <v>20186</v>
      </c>
      <c r="I4336" s="142">
        <v>10</v>
      </c>
      <c r="J4336" s="142">
        <v>0</v>
      </c>
      <c r="K4336" s="142">
        <v>0</v>
      </c>
      <c r="L4336" s="142">
        <v>10</v>
      </c>
      <c r="M4336" s="142">
        <v>0</v>
      </c>
    </row>
    <row r="4337" spans="1:13" x14ac:dyDescent="0.45">
      <c r="A4337" s="142" t="s">
        <v>13000</v>
      </c>
      <c r="B4337" s="142" t="s">
        <v>14610</v>
      </c>
      <c r="C4337" s="142" t="s">
        <v>15847</v>
      </c>
      <c r="D4337" s="142" t="s">
        <v>15848</v>
      </c>
      <c r="E4337" s="142" t="s">
        <v>15849</v>
      </c>
      <c r="F4337" s="142" t="s">
        <v>11986</v>
      </c>
      <c r="G4337" s="142" t="s">
        <v>11985</v>
      </c>
      <c r="H4337" s="142" t="s">
        <v>20187</v>
      </c>
      <c r="I4337" s="142">
        <v>987</v>
      </c>
      <c r="J4337" s="142">
        <v>791</v>
      </c>
      <c r="K4337" s="142">
        <v>0</v>
      </c>
      <c r="L4337" s="142">
        <v>124</v>
      </c>
      <c r="M4337" s="142">
        <v>72</v>
      </c>
    </row>
    <row r="4338" spans="1:13" x14ac:dyDescent="0.45">
      <c r="A4338" s="142" t="s">
        <v>13576</v>
      </c>
      <c r="B4338" s="142" t="s">
        <v>15232</v>
      </c>
      <c r="C4338" s="142" t="s">
        <v>15860</v>
      </c>
      <c r="D4338" s="142" t="s">
        <v>15861</v>
      </c>
      <c r="E4338" s="142" t="s">
        <v>15849</v>
      </c>
      <c r="F4338" s="142" t="s">
        <v>11986</v>
      </c>
      <c r="G4338" s="142" t="s">
        <v>11985</v>
      </c>
      <c r="H4338" s="142" t="s">
        <v>20188</v>
      </c>
      <c r="I4338" s="142">
        <v>24</v>
      </c>
      <c r="J4338" s="142">
        <v>0</v>
      </c>
      <c r="K4338" s="142">
        <v>0</v>
      </c>
      <c r="L4338" s="142">
        <v>24</v>
      </c>
      <c r="M4338" s="142">
        <v>0</v>
      </c>
    </row>
    <row r="4339" spans="1:13" x14ac:dyDescent="0.45">
      <c r="A4339" s="142" t="s">
        <v>13001</v>
      </c>
      <c r="B4339" s="142" t="s">
        <v>15506</v>
      </c>
      <c r="C4339" s="142" t="s">
        <v>15847</v>
      </c>
      <c r="D4339" s="142" t="s">
        <v>15848</v>
      </c>
      <c r="E4339" s="142" t="s">
        <v>15849</v>
      </c>
      <c r="F4339" s="142" t="s">
        <v>11986</v>
      </c>
      <c r="G4339" s="142" t="s">
        <v>11985</v>
      </c>
      <c r="H4339" s="142" t="s">
        <v>20189</v>
      </c>
      <c r="I4339" s="142">
        <v>5</v>
      </c>
      <c r="J4339" s="142">
        <v>5</v>
      </c>
      <c r="K4339" s="142">
        <v>0</v>
      </c>
      <c r="L4339" s="142">
        <v>0</v>
      </c>
      <c r="M4339" s="142">
        <v>0</v>
      </c>
    </row>
    <row r="4340" spans="1:13" x14ac:dyDescent="0.45">
      <c r="A4340" s="142" t="s">
        <v>13435</v>
      </c>
      <c r="B4340" s="142" t="s">
        <v>14935</v>
      </c>
      <c r="C4340" s="142" t="s">
        <v>15860</v>
      </c>
      <c r="D4340" s="142" t="s">
        <v>15861</v>
      </c>
      <c r="E4340" s="142" t="s">
        <v>15849</v>
      </c>
      <c r="F4340" s="142" t="s">
        <v>11986</v>
      </c>
      <c r="G4340" s="142" t="s">
        <v>11985</v>
      </c>
      <c r="H4340" s="142" t="s">
        <v>20190</v>
      </c>
      <c r="I4340" s="142">
        <v>49</v>
      </c>
      <c r="J4340" s="142">
        <v>0</v>
      </c>
      <c r="K4340" s="142">
        <v>0</v>
      </c>
      <c r="L4340" s="142">
        <v>49</v>
      </c>
      <c r="M4340" s="142">
        <v>0</v>
      </c>
    </row>
    <row r="4341" spans="1:13" x14ac:dyDescent="0.45">
      <c r="A4341" s="142" t="s">
        <v>13337</v>
      </c>
      <c r="B4341" s="142" t="s">
        <v>15301</v>
      </c>
      <c r="C4341" s="142" t="s">
        <v>15860</v>
      </c>
      <c r="D4341" s="142" t="s">
        <v>15861</v>
      </c>
      <c r="E4341" s="142" t="s">
        <v>15849</v>
      </c>
      <c r="F4341" s="142" t="s">
        <v>11986</v>
      </c>
      <c r="G4341" s="142" t="s">
        <v>11985</v>
      </c>
      <c r="H4341" s="142" t="s">
        <v>20191</v>
      </c>
      <c r="I4341" s="142">
        <v>188</v>
      </c>
      <c r="J4341" s="142">
        <v>188</v>
      </c>
      <c r="K4341" s="142">
        <v>0</v>
      </c>
      <c r="L4341" s="142">
        <v>0</v>
      </c>
      <c r="M4341" s="142">
        <v>0</v>
      </c>
    </row>
    <row r="4342" spans="1:13" x14ac:dyDescent="0.45">
      <c r="A4342" s="142" t="s">
        <v>13127</v>
      </c>
      <c r="B4342" s="142" t="s">
        <v>15549</v>
      </c>
      <c r="C4342" s="142" t="s">
        <v>15847</v>
      </c>
      <c r="D4342" s="142" t="s">
        <v>15848</v>
      </c>
      <c r="E4342" s="142" t="s">
        <v>15849</v>
      </c>
      <c r="F4342" s="142" t="s">
        <v>11986</v>
      </c>
      <c r="G4342" s="142" t="s">
        <v>11985</v>
      </c>
      <c r="H4342" s="142" t="s">
        <v>20192</v>
      </c>
      <c r="I4342" s="142">
        <v>154</v>
      </c>
      <c r="J4342" s="142">
        <v>114</v>
      </c>
      <c r="K4342" s="142">
        <v>0</v>
      </c>
      <c r="L4342" s="142">
        <v>40</v>
      </c>
      <c r="M4342" s="142">
        <v>0</v>
      </c>
    </row>
    <row r="4343" spans="1:13" x14ac:dyDescent="0.45">
      <c r="A4343" s="142" t="s">
        <v>13005</v>
      </c>
      <c r="B4343" s="142" t="s">
        <v>15475</v>
      </c>
      <c r="C4343" s="142" t="s">
        <v>15847</v>
      </c>
      <c r="D4343" s="142" t="s">
        <v>15848</v>
      </c>
      <c r="E4343" s="142" t="s">
        <v>15849</v>
      </c>
      <c r="F4343" s="142" t="s">
        <v>11986</v>
      </c>
      <c r="G4343" s="142" t="s">
        <v>11985</v>
      </c>
      <c r="H4343" s="142" t="s">
        <v>20193</v>
      </c>
      <c r="I4343" s="142">
        <v>309</v>
      </c>
      <c r="J4343" s="142">
        <v>289</v>
      </c>
      <c r="K4343" s="142">
        <v>0</v>
      </c>
      <c r="L4343" s="142">
        <v>20</v>
      </c>
      <c r="M4343" s="142">
        <v>0</v>
      </c>
    </row>
    <row r="4344" spans="1:13" x14ac:dyDescent="0.45">
      <c r="A4344" s="142" t="s">
        <v>13101</v>
      </c>
      <c r="B4344" s="142" t="s">
        <v>15491</v>
      </c>
      <c r="C4344" s="142" t="s">
        <v>15847</v>
      </c>
      <c r="D4344" s="142" t="s">
        <v>15848</v>
      </c>
      <c r="E4344" s="142" t="s">
        <v>15849</v>
      </c>
      <c r="F4344" s="142" t="s">
        <v>11986</v>
      </c>
      <c r="G4344" s="142" t="s">
        <v>11985</v>
      </c>
      <c r="H4344" s="142" t="s">
        <v>20194</v>
      </c>
      <c r="I4344" s="142">
        <v>50</v>
      </c>
      <c r="J4344" s="142">
        <v>0</v>
      </c>
      <c r="K4344" s="142">
        <v>0</v>
      </c>
      <c r="L4344" s="142">
        <v>50</v>
      </c>
      <c r="M4344" s="142">
        <v>0</v>
      </c>
    </row>
    <row r="4345" spans="1:13" x14ac:dyDescent="0.45">
      <c r="A4345" s="142" t="s">
        <v>13006</v>
      </c>
      <c r="B4345" s="142" t="s">
        <v>15288</v>
      </c>
      <c r="C4345" s="142" t="s">
        <v>15847</v>
      </c>
      <c r="D4345" s="142" t="s">
        <v>15848</v>
      </c>
      <c r="E4345" s="142" t="s">
        <v>15849</v>
      </c>
      <c r="F4345" s="142" t="s">
        <v>11986</v>
      </c>
      <c r="G4345" s="142" t="s">
        <v>11985</v>
      </c>
      <c r="H4345" s="142" t="s">
        <v>20195</v>
      </c>
      <c r="I4345" s="142">
        <v>10</v>
      </c>
      <c r="J4345" s="142">
        <v>0</v>
      </c>
      <c r="K4345" s="142">
        <v>0</v>
      </c>
      <c r="L4345" s="142">
        <v>10</v>
      </c>
      <c r="M4345" s="142">
        <v>0</v>
      </c>
    </row>
    <row r="4346" spans="1:13" x14ac:dyDescent="0.45">
      <c r="A4346" s="142" t="s">
        <v>13815</v>
      </c>
      <c r="B4346" s="142" t="s">
        <v>15059</v>
      </c>
      <c r="C4346" s="142" t="s">
        <v>15860</v>
      </c>
      <c r="D4346" s="142" t="s">
        <v>15861</v>
      </c>
      <c r="E4346" s="142" t="s">
        <v>15849</v>
      </c>
      <c r="F4346" s="142" t="s">
        <v>11986</v>
      </c>
      <c r="G4346" s="142" t="s">
        <v>11985</v>
      </c>
      <c r="H4346" s="142" t="s">
        <v>20196</v>
      </c>
      <c r="I4346" s="142">
        <v>17</v>
      </c>
      <c r="J4346" s="142">
        <v>17</v>
      </c>
      <c r="K4346" s="142">
        <v>0</v>
      </c>
      <c r="L4346" s="142">
        <v>0</v>
      </c>
      <c r="M4346" s="142">
        <v>0</v>
      </c>
    </row>
    <row r="4347" spans="1:13" x14ac:dyDescent="0.45">
      <c r="A4347" s="142" t="s">
        <v>13103</v>
      </c>
      <c r="B4347" s="142" t="s">
        <v>14623</v>
      </c>
      <c r="C4347" s="142" t="s">
        <v>15847</v>
      </c>
      <c r="D4347" s="142" t="s">
        <v>15848</v>
      </c>
      <c r="E4347" s="142" t="s">
        <v>15849</v>
      </c>
      <c r="F4347" s="142" t="s">
        <v>11986</v>
      </c>
      <c r="G4347" s="142" t="s">
        <v>11985</v>
      </c>
      <c r="H4347" s="142" t="s">
        <v>20197</v>
      </c>
      <c r="I4347" s="142">
        <v>3695</v>
      </c>
      <c r="J4347" s="142">
        <v>3208</v>
      </c>
      <c r="K4347" s="142">
        <v>78</v>
      </c>
      <c r="L4347" s="142">
        <v>408</v>
      </c>
      <c r="M4347" s="142">
        <v>1</v>
      </c>
    </row>
    <row r="4348" spans="1:13" x14ac:dyDescent="0.45">
      <c r="A4348" s="142" t="s">
        <v>13054</v>
      </c>
      <c r="B4348" s="142" t="s">
        <v>15604</v>
      </c>
      <c r="C4348" s="142" t="s">
        <v>15847</v>
      </c>
      <c r="D4348" s="142" t="s">
        <v>15848</v>
      </c>
      <c r="E4348" s="142" t="s">
        <v>15849</v>
      </c>
      <c r="F4348" s="142" t="s">
        <v>11986</v>
      </c>
      <c r="G4348" s="142" t="s">
        <v>11985</v>
      </c>
      <c r="H4348" s="142" t="s">
        <v>20198</v>
      </c>
      <c r="I4348" s="142">
        <v>309</v>
      </c>
      <c r="J4348" s="142">
        <v>0</v>
      </c>
      <c r="K4348" s="142">
        <v>0</v>
      </c>
      <c r="L4348" s="142">
        <v>0</v>
      </c>
      <c r="M4348" s="142">
        <v>309</v>
      </c>
    </row>
    <row r="4349" spans="1:13" x14ac:dyDescent="0.45">
      <c r="A4349" s="142" t="s">
        <v>13129</v>
      </c>
      <c r="B4349" s="142" t="s">
        <v>15284</v>
      </c>
      <c r="C4349" s="142" t="s">
        <v>15847</v>
      </c>
      <c r="D4349" s="142" t="s">
        <v>15848</v>
      </c>
      <c r="E4349" s="142" t="s">
        <v>15849</v>
      </c>
      <c r="F4349" s="142" t="s">
        <v>11986</v>
      </c>
      <c r="G4349" s="142" t="s">
        <v>11985</v>
      </c>
      <c r="H4349" s="142" t="s">
        <v>20199</v>
      </c>
      <c r="I4349" s="142">
        <v>1140</v>
      </c>
      <c r="J4349" s="142">
        <v>871</v>
      </c>
      <c r="K4349" s="142">
        <v>73</v>
      </c>
      <c r="L4349" s="142">
        <v>182</v>
      </c>
      <c r="M4349" s="142">
        <v>14</v>
      </c>
    </row>
    <row r="4350" spans="1:13" x14ac:dyDescent="0.45">
      <c r="A4350" s="142" t="s">
        <v>13104</v>
      </c>
      <c r="B4350" s="142" t="s">
        <v>14622</v>
      </c>
      <c r="C4350" s="142" t="s">
        <v>15847</v>
      </c>
      <c r="D4350" s="142" t="s">
        <v>15848</v>
      </c>
      <c r="E4350" s="142" t="s">
        <v>15849</v>
      </c>
      <c r="F4350" s="142" t="s">
        <v>11986</v>
      </c>
      <c r="G4350" s="142" t="s">
        <v>11985</v>
      </c>
      <c r="H4350" s="142" t="s">
        <v>20200</v>
      </c>
      <c r="I4350" s="142">
        <v>3699</v>
      </c>
      <c r="J4350" s="142">
        <v>3250</v>
      </c>
      <c r="K4350" s="142">
        <v>0</v>
      </c>
      <c r="L4350" s="142">
        <v>330</v>
      </c>
      <c r="M4350" s="142">
        <v>119</v>
      </c>
    </row>
    <row r="4351" spans="1:13" x14ac:dyDescent="0.45">
      <c r="A4351" s="142" t="s">
        <v>13033</v>
      </c>
      <c r="B4351" s="142" t="s">
        <v>15276</v>
      </c>
      <c r="C4351" s="142" t="s">
        <v>15847</v>
      </c>
      <c r="D4351" s="142" t="s">
        <v>15848</v>
      </c>
      <c r="E4351" s="142" t="s">
        <v>15849</v>
      </c>
      <c r="F4351" s="142" t="s">
        <v>11986</v>
      </c>
      <c r="G4351" s="142" t="s">
        <v>11985</v>
      </c>
      <c r="H4351" s="142" t="s">
        <v>20201</v>
      </c>
      <c r="I4351" s="142">
        <v>13</v>
      </c>
      <c r="J4351" s="142">
        <v>10</v>
      </c>
      <c r="K4351" s="142">
        <v>0</v>
      </c>
      <c r="L4351" s="142">
        <v>0</v>
      </c>
      <c r="M4351" s="142">
        <v>3</v>
      </c>
    </row>
    <row r="4352" spans="1:13" x14ac:dyDescent="0.45">
      <c r="A4352" s="142" t="s">
        <v>13342</v>
      </c>
      <c r="B4352" s="142" t="s">
        <v>15040</v>
      </c>
      <c r="C4352" s="142" t="s">
        <v>15860</v>
      </c>
      <c r="D4352" s="142" t="s">
        <v>15861</v>
      </c>
      <c r="E4352" s="142" t="s">
        <v>15849</v>
      </c>
      <c r="F4352" s="142" t="s">
        <v>11986</v>
      </c>
      <c r="G4352" s="142" t="s">
        <v>11985</v>
      </c>
      <c r="H4352" s="142" t="s">
        <v>20202</v>
      </c>
      <c r="I4352" s="142">
        <v>16</v>
      </c>
      <c r="J4352" s="142">
        <v>16</v>
      </c>
      <c r="K4352" s="142">
        <v>0</v>
      </c>
      <c r="L4352" s="142">
        <v>0</v>
      </c>
      <c r="M4352" s="142">
        <v>0</v>
      </c>
    </row>
    <row r="4353" spans="1:13" x14ac:dyDescent="0.45">
      <c r="A4353" s="142" t="s">
        <v>13078</v>
      </c>
      <c r="B4353" s="142" t="s">
        <v>15540</v>
      </c>
      <c r="C4353" s="142" t="s">
        <v>15847</v>
      </c>
      <c r="D4353" s="142" t="s">
        <v>15848</v>
      </c>
      <c r="E4353" s="142" t="s">
        <v>15849</v>
      </c>
      <c r="F4353" s="142" t="s">
        <v>11986</v>
      </c>
      <c r="G4353" s="142" t="s">
        <v>11985</v>
      </c>
      <c r="H4353" s="142" t="s">
        <v>20203</v>
      </c>
      <c r="I4353" s="142">
        <v>26</v>
      </c>
      <c r="J4353" s="142">
        <v>0</v>
      </c>
      <c r="K4353" s="142">
        <v>0</v>
      </c>
      <c r="L4353" s="142">
        <v>26</v>
      </c>
      <c r="M4353" s="142">
        <v>0</v>
      </c>
    </row>
    <row r="4354" spans="1:13" x14ac:dyDescent="0.45">
      <c r="A4354" s="142" t="s">
        <v>13009</v>
      </c>
      <c r="B4354" s="142" t="s">
        <v>15256</v>
      </c>
      <c r="C4354" s="142" t="s">
        <v>15847</v>
      </c>
      <c r="D4354" s="142" t="s">
        <v>15848</v>
      </c>
      <c r="E4354" s="142" t="s">
        <v>15849</v>
      </c>
      <c r="F4354" s="142" t="s">
        <v>11986</v>
      </c>
      <c r="G4354" s="142" t="s">
        <v>11985</v>
      </c>
      <c r="H4354" s="142" t="s">
        <v>20204</v>
      </c>
      <c r="I4354" s="142">
        <v>44</v>
      </c>
      <c r="J4354" s="142">
        <v>44</v>
      </c>
      <c r="K4354" s="142">
        <v>0</v>
      </c>
      <c r="L4354" s="142">
        <v>0</v>
      </c>
      <c r="M4354" s="142">
        <v>0</v>
      </c>
    </row>
    <row r="4355" spans="1:13" x14ac:dyDescent="0.45">
      <c r="A4355" s="142" t="s">
        <v>13011</v>
      </c>
      <c r="B4355" s="142" t="s">
        <v>14695</v>
      </c>
      <c r="C4355" s="142" t="s">
        <v>15847</v>
      </c>
      <c r="D4355" s="142" t="s">
        <v>15848</v>
      </c>
      <c r="E4355" s="142" t="s">
        <v>15849</v>
      </c>
      <c r="F4355" s="142" t="s">
        <v>11986</v>
      </c>
      <c r="G4355" s="142" t="s">
        <v>11985</v>
      </c>
      <c r="H4355" s="142" t="s">
        <v>20205</v>
      </c>
      <c r="I4355" s="142">
        <v>914</v>
      </c>
      <c r="J4355" s="142">
        <v>697</v>
      </c>
      <c r="K4355" s="142">
        <v>127</v>
      </c>
      <c r="L4355" s="142">
        <v>90</v>
      </c>
      <c r="M4355" s="142">
        <v>0</v>
      </c>
    </row>
    <row r="4356" spans="1:13" x14ac:dyDescent="0.45">
      <c r="A4356" s="142" t="s">
        <v>13058</v>
      </c>
      <c r="B4356" s="142" t="s">
        <v>14584</v>
      </c>
      <c r="C4356" s="142" t="s">
        <v>15847</v>
      </c>
      <c r="D4356" s="142" t="s">
        <v>15848</v>
      </c>
      <c r="E4356" s="142" t="s">
        <v>15849</v>
      </c>
      <c r="F4356" s="142" t="s">
        <v>11986</v>
      </c>
      <c r="G4356" s="142" t="s">
        <v>11985</v>
      </c>
      <c r="H4356" s="142" t="s">
        <v>20206</v>
      </c>
      <c r="I4356" s="142">
        <v>158</v>
      </c>
      <c r="J4356" s="142">
        <v>144</v>
      </c>
      <c r="K4356" s="142">
        <v>0</v>
      </c>
      <c r="L4356" s="142">
        <v>0</v>
      </c>
      <c r="M4356" s="142">
        <v>14</v>
      </c>
    </row>
    <row r="4357" spans="1:13" x14ac:dyDescent="0.45">
      <c r="A4357" s="142" t="s">
        <v>13443</v>
      </c>
      <c r="B4357" s="142" t="s">
        <v>15531</v>
      </c>
      <c r="C4357" s="142" t="s">
        <v>15860</v>
      </c>
      <c r="D4357" s="142" t="s">
        <v>15861</v>
      </c>
      <c r="E4357" s="142" t="s">
        <v>15849</v>
      </c>
      <c r="F4357" s="142" t="s">
        <v>11986</v>
      </c>
      <c r="G4357" s="142" t="s">
        <v>11985</v>
      </c>
      <c r="H4357" s="142" t="s">
        <v>20207</v>
      </c>
      <c r="I4357" s="142">
        <v>24</v>
      </c>
      <c r="J4357" s="142">
        <v>0</v>
      </c>
      <c r="K4357" s="142">
        <v>0</v>
      </c>
      <c r="L4357" s="142">
        <v>24</v>
      </c>
      <c r="M4357" s="142">
        <v>0</v>
      </c>
    </row>
    <row r="4358" spans="1:13" x14ac:dyDescent="0.45">
      <c r="A4358" s="142" t="s">
        <v>13816</v>
      </c>
      <c r="B4358" s="142" t="s">
        <v>14860</v>
      </c>
      <c r="C4358" s="142" t="s">
        <v>15860</v>
      </c>
      <c r="D4358" s="142" t="s">
        <v>15861</v>
      </c>
      <c r="E4358" s="142" t="s">
        <v>15849</v>
      </c>
      <c r="F4358" s="142" t="s">
        <v>11986</v>
      </c>
      <c r="G4358" s="142" t="s">
        <v>11985</v>
      </c>
      <c r="H4358" s="142" t="s">
        <v>20208</v>
      </c>
      <c r="I4358" s="142">
        <v>10</v>
      </c>
      <c r="J4358" s="142">
        <v>0</v>
      </c>
      <c r="K4358" s="142">
        <v>0</v>
      </c>
      <c r="L4358" s="142">
        <v>10</v>
      </c>
      <c r="M4358" s="142">
        <v>0</v>
      </c>
    </row>
    <row r="4359" spans="1:13" x14ac:dyDescent="0.45">
      <c r="A4359" s="142" t="s">
        <v>13306</v>
      </c>
      <c r="B4359" s="142" t="s">
        <v>15500</v>
      </c>
      <c r="C4359" s="142" t="s">
        <v>15847</v>
      </c>
      <c r="D4359" s="142" t="s">
        <v>15848</v>
      </c>
      <c r="E4359" s="142" t="s">
        <v>15849</v>
      </c>
      <c r="F4359" s="142" t="s">
        <v>11986</v>
      </c>
      <c r="G4359" s="142" t="s">
        <v>11985</v>
      </c>
      <c r="H4359" s="142" t="s">
        <v>20209</v>
      </c>
      <c r="I4359" s="142">
        <v>74</v>
      </c>
      <c r="J4359" s="142">
        <v>0</v>
      </c>
      <c r="K4359" s="142">
        <v>0</v>
      </c>
      <c r="L4359" s="142">
        <v>74</v>
      </c>
      <c r="M4359" s="142">
        <v>0</v>
      </c>
    </row>
    <row r="4360" spans="1:13" x14ac:dyDescent="0.45">
      <c r="A4360" s="142" t="s">
        <v>13094</v>
      </c>
      <c r="B4360" s="142" t="s">
        <v>15542</v>
      </c>
      <c r="C4360" s="142" t="s">
        <v>15860</v>
      </c>
      <c r="D4360" s="142" t="s">
        <v>15861</v>
      </c>
      <c r="E4360" s="142" t="s">
        <v>15849</v>
      </c>
      <c r="F4360" s="142" t="s">
        <v>11986</v>
      </c>
      <c r="G4360" s="142" t="s">
        <v>11985</v>
      </c>
      <c r="H4360" s="142" t="s">
        <v>20210</v>
      </c>
      <c r="I4360" s="142">
        <v>19</v>
      </c>
      <c r="J4360" s="142">
        <v>0</v>
      </c>
      <c r="K4360" s="142">
        <v>0</v>
      </c>
      <c r="L4360" s="142">
        <v>19</v>
      </c>
      <c r="M4360" s="142">
        <v>0</v>
      </c>
    </row>
    <row r="4361" spans="1:13" x14ac:dyDescent="0.45">
      <c r="A4361" s="142" t="s">
        <v>13014</v>
      </c>
      <c r="B4361" s="142" t="s">
        <v>14505</v>
      </c>
      <c r="C4361" s="142" t="s">
        <v>15847</v>
      </c>
      <c r="D4361" s="142" t="s">
        <v>15848</v>
      </c>
      <c r="E4361" s="142" t="s">
        <v>15849</v>
      </c>
      <c r="F4361" s="142" t="s">
        <v>11986</v>
      </c>
      <c r="G4361" s="142" t="s">
        <v>11985</v>
      </c>
      <c r="H4361" s="142" t="s">
        <v>20211</v>
      </c>
      <c r="I4361" s="142">
        <v>464</v>
      </c>
      <c r="J4361" s="142">
        <v>451</v>
      </c>
      <c r="K4361" s="142">
        <v>12</v>
      </c>
      <c r="L4361" s="142">
        <v>0</v>
      </c>
      <c r="M4361" s="142">
        <v>1</v>
      </c>
    </row>
    <row r="4362" spans="1:13" x14ac:dyDescent="0.45">
      <c r="A4362" s="142" t="s">
        <v>13061</v>
      </c>
      <c r="B4362" s="142" t="s">
        <v>15184</v>
      </c>
      <c r="C4362" s="142" t="s">
        <v>15860</v>
      </c>
      <c r="D4362" s="142" t="s">
        <v>15861</v>
      </c>
      <c r="E4362" s="142" t="s">
        <v>15849</v>
      </c>
      <c r="F4362" s="142" t="s">
        <v>11986</v>
      </c>
      <c r="G4362" s="142" t="s">
        <v>11985</v>
      </c>
      <c r="H4362" s="142" t="s">
        <v>20212</v>
      </c>
      <c r="I4362" s="142">
        <v>22</v>
      </c>
      <c r="J4362" s="142">
        <v>0</v>
      </c>
      <c r="K4362" s="142">
        <v>0</v>
      </c>
      <c r="L4362" s="142">
        <v>22</v>
      </c>
      <c r="M4362" s="142">
        <v>0</v>
      </c>
    </row>
    <row r="4363" spans="1:13" x14ac:dyDescent="0.45">
      <c r="A4363" s="142" t="s">
        <v>13156</v>
      </c>
      <c r="B4363" s="142" t="s">
        <v>14493</v>
      </c>
      <c r="C4363" s="142" t="s">
        <v>15860</v>
      </c>
      <c r="D4363" s="142" t="s">
        <v>15861</v>
      </c>
      <c r="E4363" s="142" t="s">
        <v>15849</v>
      </c>
      <c r="F4363" s="142" t="s">
        <v>11986</v>
      </c>
      <c r="G4363" s="142" t="s">
        <v>11985</v>
      </c>
      <c r="H4363" s="142" t="s">
        <v>20213</v>
      </c>
      <c r="I4363" s="142">
        <v>22</v>
      </c>
      <c r="J4363" s="142">
        <v>0</v>
      </c>
      <c r="K4363" s="142">
        <v>0</v>
      </c>
      <c r="L4363" s="142">
        <v>22</v>
      </c>
      <c r="M4363" s="142">
        <v>0</v>
      </c>
    </row>
    <row r="4364" spans="1:13" x14ac:dyDescent="0.45">
      <c r="A4364" s="142" t="s">
        <v>13444</v>
      </c>
      <c r="B4364" s="142" t="s">
        <v>15335</v>
      </c>
      <c r="C4364" s="142" t="s">
        <v>15860</v>
      </c>
      <c r="D4364" s="142" t="s">
        <v>15861</v>
      </c>
      <c r="E4364" s="142" t="s">
        <v>15849</v>
      </c>
      <c r="F4364" s="142" t="s">
        <v>11986</v>
      </c>
      <c r="G4364" s="142" t="s">
        <v>11985</v>
      </c>
      <c r="H4364" s="142" t="s">
        <v>20214</v>
      </c>
      <c r="I4364" s="142">
        <v>634</v>
      </c>
      <c r="J4364" s="142">
        <v>432</v>
      </c>
      <c r="K4364" s="142">
        <v>20</v>
      </c>
      <c r="L4364" s="142">
        <v>182</v>
      </c>
      <c r="M4364" s="142">
        <v>0</v>
      </c>
    </row>
    <row r="4365" spans="1:13" x14ac:dyDescent="0.45">
      <c r="A4365" s="142" t="s">
        <v>13022</v>
      </c>
      <c r="B4365" s="142" t="s">
        <v>14634</v>
      </c>
      <c r="C4365" s="142" t="s">
        <v>15847</v>
      </c>
      <c r="D4365" s="142" t="s">
        <v>15848</v>
      </c>
      <c r="E4365" s="142" t="s">
        <v>15849</v>
      </c>
      <c r="F4365" s="142" t="s">
        <v>7125</v>
      </c>
      <c r="G4365" s="142" t="s">
        <v>7124</v>
      </c>
      <c r="H4365" s="142" t="s">
        <v>20215</v>
      </c>
      <c r="I4365" s="142">
        <v>677</v>
      </c>
      <c r="J4365" s="142">
        <v>529</v>
      </c>
      <c r="K4365" s="142">
        <v>0</v>
      </c>
      <c r="L4365" s="142">
        <v>115</v>
      </c>
      <c r="M4365" s="142">
        <v>33</v>
      </c>
    </row>
    <row r="4366" spans="1:13" x14ac:dyDescent="0.45">
      <c r="A4366" s="142" t="s">
        <v>13023</v>
      </c>
      <c r="B4366" s="142" t="s">
        <v>15571</v>
      </c>
      <c r="C4366" s="142" t="s">
        <v>15847</v>
      </c>
      <c r="D4366" s="142" t="s">
        <v>15848</v>
      </c>
      <c r="E4366" s="142" t="s">
        <v>15849</v>
      </c>
      <c r="F4366" s="142" t="s">
        <v>7125</v>
      </c>
      <c r="G4366" s="142" t="s">
        <v>7124</v>
      </c>
      <c r="H4366" s="142" t="s">
        <v>20216</v>
      </c>
      <c r="I4366" s="142">
        <v>96</v>
      </c>
      <c r="J4366" s="142">
        <v>0</v>
      </c>
      <c r="K4366" s="142">
        <v>0</v>
      </c>
      <c r="L4366" s="142">
        <v>96</v>
      </c>
      <c r="M4366" s="142">
        <v>0</v>
      </c>
    </row>
    <row r="4367" spans="1:13" x14ac:dyDescent="0.45">
      <c r="A4367" s="142" t="s">
        <v>13082</v>
      </c>
      <c r="B4367" s="142" t="s">
        <v>14478</v>
      </c>
      <c r="C4367" s="142" t="s">
        <v>15860</v>
      </c>
      <c r="D4367" s="142" t="s">
        <v>15861</v>
      </c>
      <c r="E4367" s="142" t="s">
        <v>15849</v>
      </c>
      <c r="F4367" s="142" t="s">
        <v>7125</v>
      </c>
      <c r="G4367" s="142" t="s">
        <v>7124</v>
      </c>
      <c r="H4367" s="142" t="s">
        <v>20217</v>
      </c>
      <c r="I4367" s="142">
        <v>12</v>
      </c>
      <c r="J4367" s="142">
        <v>0</v>
      </c>
      <c r="K4367" s="142">
        <v>0</v>
      </c>
      <c r="L4367" s="142">
        <v>12</v>
      </c>
      <c r="M4367" s="142">
        <v>0</v>
      </c>
    </row>
    <row r="4368" spans="1:13" x14ac:dyDescent="0.45">
      <c r="A4368" s="142" t="s">
        <v>13330</v>
      </c>
      <c r="B4368" s="142" t="s">
        <v>15239</v>
      </c>
      <c r="C4368" s="142" t="s">
        <v>15847</v>
      </c>
      <c r="D4368" s="142" t="s">
        <v>15848</v>
      </c>
      <c r="E4368" s="142" t="s">
        <v>15849</v>
      </c>
      <c r="F4368" s="142" t="s">
        <v>7125</v>
      </c>
      <c r="G4368" s="142" t="s">
        <v>7124</v>
      </c>
      <c r="H4368" s="142" t="s">
        <v>20218</v>
      </c>
      <c r="I4368" s="142">
        <v>869</v>
      </c>
      <c r="J4368" s="142">
        <v>670</v>
      </c>
      <c r="K4368" s="142">
        <v>0</v>
      </c>
      <c r="L4368" s="142">
        <v>163</v>
      </c>
      <c r="M4368" s="142">
        <v>36</v>
      </c>
    </row>
    <row r="4369" spans="1:13" x14ac:dyDescent="0.45">
      <c r="A4369" s="142" t="s">
        <v>13000</v>
      </c>
      <c r="B4369" s="142" t="s">
        <v>14610</v>
      </c>
      <c r="C4369" s="142" t="s">
        <v>15847</v>
      </c>
      <c r="D4369" s="142" t="s">
        <v>15848</v>
      </c>
      <c r="E4369" s="142" t="s">
        <v>15849</v>
      </c>
      <c r="F4369" s="142" t="s">
        <v>7125</v>
      </c>
      <c r="G4369" s="142" t="s">
        <v>7124</v>
      </c>
      <c r="H4369" s="142" t="s">
        <v>20219</v>
      </c>
      <c r="I4369" s="142">
        <v>427</v>
      </c>
      <c r="J4369" s="142">
        <v>356</v>
      </c>
      <c r="K4369" s="142">
        <v>0</v>
      </c>
      <c r="L4369" s="142">
        <v>23</v>
      </c>
      <c r="M4369" s="142">
        <v>48</v>
      </c>
    </row>
    <row r="4370" spans="1:13" x14ac:dyDescent="0.45">
      <c r="A4370" s="142" t="s">
        <v>13168</v>
      </c>
      <c r="B4370" s="142" t="s">
        <v>14486</v>
      </c>
      <c r="C4370" s="142" t="s">
        <v>15860</v>
      </c>
      <c r="D4370" s="142" t="s">
        <v>15861</v>
      </c>
      <c r="E4370" s="142" t="s">
        <v>15849</v>
      </c>
      <c r="F4370" s="142" t="s">
        <v>7125</v>
      </c>
      <c r="G4370" s="142" t="s">
        <v>7124</v>
      </c>
      <c r="H4370" s="142" t="s">
        <v>20220</v>
      </c>
      <c r="I4370" s="142">
        <v>11</v>
      </c>
      <c r="J4370" s="142">
        <v>0</v>
      </c>
      <c r="K4370" s="142">
        <v>0</v>
      </c>
      <c r="L4370" s="142">
        <v>11</v>
      </c>
      <c r="M4370" s="142">
        <v>0</v>
      </c>
    </row>
    <row r="4371" spans="1:13" x14ac:dyDescent="0.45">
      <c r="A4371" s="142" t="s">
        <v>13087</v>
      </c>
      <c r="B4371" s="142" t="s">
        <v>14452</v>
      </c>
      <c r="C4371" s="142" t="s">
        <v>15847</v>
      </c>
      <c r="D4371" s="142" t="s">
        <v>15848</v>
      </c>
      <c r="E4371" s="142" t="s">
        <v>15849</v>
      </c>
      <c r="F4371" s="142" t="s">
        <v>7125</v>
      </c>
      <c r="G4371" s="142" t="s">
        <v>7124</v>
      </c>
      <c r="H4371" s="142" t="s">
        <v>20221</v>
      </c>
      <c r="I4371" s="142">
        <v>303</v>
      </c>
      <c r="J4371" s="142">
        <v>253</v>
      </c>
      <c r="K4371" s="142">
        <v>0</v>
      </c>
      <c r="L4371" s="142">
        <v>18</v>
      </c>
      <c r="M4371" s="142">
        <v>32</v>
      </c>
    </row>
    <row r="4372" spans="1:13" x14ac:dyDescent="0.45">
      <c r="A4372" s="142" t="s">
        <v>13818</v>
      </c>
      <c r="B4372" s="142" t="s">
        <v>15462</v>
      </c>
      <c r="C4372" s="142" t="s">
        <v>15847</v>
      </c>
      <c r="D4372" s="142" t="s">
        <v>15848</v>
      </c>
      <c r="E4372" s="142" t="s">
        <v>15849</v>
      </c>
      <c r="F4372" s="142" t="s">
        <v>7125</v>
      </c>
      <c r="G4372" s="142" t="s">
        <v>7124</v>
      </c>
      <c r="H4372" s="142" t="s">
        <v>20222</v>
      </c>
      <c r="I4372" s="142">
        <v>6875</v>
      </c>
      <c r="J4372" s="142">
        <v>6186</v>
      </c>
      <c r="K4372" s="142">
        <v>22</v>
      </c>
      <c r="L4372" s="142">
        <v>593</v>
      </c>
      <c r="M4372" s="142">
        <v>74</v>
      </c>
    </row>
    <row r="4373" spans="1:13" x14ac:dyDescent="0.45">
      <c r="A4373" s="142" t="s">
        <v>13050</v>
      </c>
      <c r="B4373" s="142" t="s">
        <v>15237</v>
      </c>
      <c r="C4373" s="142" t="s">
        <v>15847</v>
      </c>
      <c r="D4373" s="142" t="s">
        <v>15848</v>
      </c>
      <c r="E4373" s="142" t="s">
        <v>15849</v>
      </c>
      <c r="F4373" s="142" t="s">
        <v>7125</v>
      </c>
      <c r="G4373" s="142" t="s">
        <v>7124</v>
      </c>
      <c r="H4373" s="142" t="s">
        <v>20223</v>
      </c>
      <c r="I4373" s="142">
        <v>176</v>
      </c>
      <c r="J4373" s="142">
        <v>143</v>
      </c>
      <c r="K4373" s="142">
        <v>0</v>
      </c>
      <c r="L4373" s="142">
        <v>0</v>
      </c>
      <c r="M4373" s="142">
        <v>33</v>
      </c>
    </row>
    <row r="4374" spans="1:13" x14ac:dyDescent="0.45">
      <c r="A4374" s="142" t="s">
        <v>13003</v>
      </c>
      <c r="B4374" s="142" t="s">
        <v>15245</v>
      </c>
      <c r="C4374" s="142" t="s">
        <v>15847</v>
      </c>
      <c r="D4374" s="142" t="s">
        <v>15848</v>
      </c>
      <c r="E4374" s="142" t="s">
        <v>15849</v>
      </c>
      <c r="F4374" s="142" t="s">
        <v>7125</v>
      </c>
      <c r="G4374" s="142" t="s">
        <v>7124</v>
      </c>
      <c r="H4374" s="142" t="s">
        <v>20224</v>
      </c>
      <c r="I4374" s="142">
        <v>122</v>
      </c>
      <c r="J4374" s="142">
        <v>0</v>
      </c>
      <c r="K4374" s="142">
        <v>0</v>
      </c>
      <c r="L4374" s="142">
        <v>122</v>
      </c>
      <c r="M4374" s="142">
        <v>0</v>
      </c>
    </row>
    <row r="4375" spans="1:13" x14ac:dyDescent="0.45">
      <c r="A4375" s="142" t="s">
        <v>13296</v>
      </c>
      <c r="B4375" s="142" t="s">
        <v>15387</v>
      </c>
      <c r="C4375" s="142" t="s">
        <v>15860</v>
      </c>
      <c r="D4375" s="142" t="s">
        <v>15861</v>
      </c>
      <c r="E4375" s="142" t="s">
        <v>15849</v>
      </c>
      <c r="F4375" s="142" t="s">
        <v>7125</v>
      </c>
      <c r="G4375" s="142" t="s">
        <v>7124</v>
      </c>
      <c r="H4375" s="142" t="s">
        <v>20225</v>
      </c>
      <c r="I4375" s="142">
        <v>8</v>
      </c>
      <c r="J4375" s="142">
        <v>8</v>
      </c>
      <c r="K4375" s="142">
        <v>0</v>
      </c>
      <c r="L4375" s="142">
        <v>0</v>
      </c>
      <c r="M4375" s="142">
        <v>0</v>
      </c>
    </row>
    <row r="4376" spans="1:13" x14ac:dyDescent="0.45">
      <c r="A4376" s="142" t="s">
        <v>13284</v>
      </c>
      <c r="B4376" s="142" t="s">
        <v>15364</v>
      </c>
      <c r="C4376" s="142" t="s">
        <v>15847</v>
      </c>
      <c r="D4376" s="142" t="s">
        <v>15848</v>
      </c>
      <c r="E4376" s="142" t="s">
        <v>15849</v>
      </c>
      <c r="F4376" s="142" t="s">
        <v>7125</v>
      </c>
      <c r="G4376" s="142" t="s">
        <v>7124</v>
      </c>
      <c r="H4376" s="142" t="s">
        <v>20226</v>
      </c>
      <c r="I4376" s="142">
        <v>3</v>
      </c>
      <c r="J4376" s="142">
        <v>0</v>
      </c>
      <c r="K4376" s="142">
        <v>0</v>
      </c>
      <c r="L4376" s="142">
        <v>3</v>
      </c>
      <c r="M4376" s="142">
        <v>0</v>
      </c>
    </row>
    <row r="4377" spans="1:13" x14ac:dyDescent="0.45">
      <c r="A4377" s="142" t="s">
        <v>13340</v>
      </c>
      <c r="B4377" s="142" t="s">
        <v>14499</v>
      </c>
      <c r="C4377" s="142" t="s">
        <v>15860</v>
      </c>
      <c r="D4377" s="142" t="s">
        <v>15861</v>
      </c>
      <c r="E4377" s="142" t="s">
        <v>15849</v>
      </c>
      <c r="F4377" s="142" t="s">
        <v>7125</v>
      </c>
      <c r="G4377" s="142" t="s">
        <v>7124</v>
      </c>
      <c r="H4377" s="142" t="s">
        <v>20227</v>
      </c>
      <c r="I4377" s="142">
        <v>82</v>
      </c>
      <c r="J4377" s="142">
        <v>82</v>
      </c>
      <c r="K4377" s="142">
        <v>0</v>
      </c>
      <c r="L4377" s="142">
        <v>0</v>
      </c>
      <c r="M4377" s="142">
        <v>0</v>
      </c>
    </row>
    <row r="4378" spans="1:13" x14ac:dyDescent="0.45">
      <c r="A4378" s="142" t="s">
        <v>13077</v>
      </c>
      <c r="B4378" s="142" t="s">
        <v>15407</v>
      </c>
      <c r="C4378" s="142" t="s">
        <v>15847</v>
      </c>
      <c r="D4378" s="142" t="s">
        <v>15848</v>
      </c>
      <c r="E4378" s="142" t="s">
        <v>15849</v>
      </c>
      <c r="F4378" s="142" t="s">
        <v>7125</v>
      </c>
      <c r="G4378" s="142" t="s">
        <v>7124</v>
      </c>
      <c r="H4378" s="142" t="s">
        <v>20228</v>
      </c>
      <c r="I4378" s="142">
        <v>72</v>
      </c>
      <c r="J4378" s="142">
        <v>72</v>
      </c>
      <c r="K4378" s="142">
        <v>0</v>
      </c>
      <c r="L4378" s="142">
        <v>0</v>
      </c>
      <c r="M4378" s="142">
        <v>0</v>
      </c>
    </row>
    <row r="4379" spans="1:13" x14ac:dyDescent="0.45">
      <c r="A4379" s="142" t="s">
        <v>13033</v>
      </c>
      <c r="B4379" s="142" t="s">
        <v>15276</v>
      </c>
      <c r="C4379" s="142" t="s">
        <v>15847</v>
      </c>
      <c r="D4379" s="142" t="s">
        <v>15848</v>
      </c>
      <c r="E4379" s="142" t="s">
        <v>15849</v>
      </c>
      <c r="F4379" s="142" t="s">
        <v>7125</v>
      </c>
      <c r="G4379" s="142" t="s">
        <v>7124</v>
      </c>
      <c r="H4379" s="142" t="s">
        <v>20229</v>
      </c>
      <c r="I4379" s="142">
        <v>71</v>
      </c>
      <c r="J4379" s="142">
        <v>71</v>
      </c>
      <c r="K4379" s="142">
        <v>0</v>
      </c>
      <c r="L4379" s="142">
        <v>0</v>
      </c>
      <c r="M4379" s="142">
        <v>0</v>
      </c>
    </row>
    <row r="4380" spans="1:13" x14ac:dyDescent="0.45">
      <c r="A4380" s="142" t="s">
        <v>13034</v>
      </c>
      <c r="B4380" s="142" t="s">
        <v>15562</v>
      </c>
      <c r="C4380" s="142" t="s">
        <v>15847</v>
      </c>
      <c r="D4380" s="142" t="s">
        <v>15848</v>
      </c>
      <c r="E4380" s="142" t="s">
        <v>15849</v>
      </c>
      <c r="F4380" s="142" t="s">
        <v>7125</v>
      </c>
      <c r="G4380" s="142" t="s">
        <v>7124</v>
      </c>
      <c r="H4380" s="142" t="s">
        <v>20230</v>
      </c>
      <c r="I4380" s="142">
        <v>35</v>
      </c>
      <c r="J4380" s="142">
        <v>34</v>
      </c>
      <c r="K4380" s="142">
        <v>0</v>
      </c>
      <c r="L4380" s="142">
        <v>0</v>
      </c>
      <c r="M4380" s="142">
        <v>1</v>
      </c>
    </row>
    <row r="4381" spans="1:13" x14ac:dyDescent="0.45">
      <c r="A4381" s="142" t="s">
        <v>13035</v>
      </c>
      <c r="B4381" s="142" t="s">
        <v>14648</v>
      </c>
      <c r="C4381" s="142" t="s">
        <v>15847</v>
      </c>
      <c r="D4381" s="142" t="s">
        <v>15848</v>
      </c>
      <c r="E4381" s="142" t="s">
        <v>15849</v>
      </c>
      <c r="F4381" s="142" t="s">
        <v>7125</v>
      </c>
      <c r="G4381" s="142" t="s">
        <v>7124</v>
      </c>
      <c r="H4381" s="142" t="s">
        <v>20231</v>
      </c>
      <c r="I4381" s="142">
        <v>111</v>
      </c>
      <c r="J4381" s="142">
        <v>63</v>
      </c>
      <c r="K4381" s="142">
        <v>0</v>
      </c>
      <c r="L4381" s="142">
        <v>0</v>
      </c>
      <c r="M4381" s="142">
        <v>48</v>
      </c>
    </row>
    <row r="4382" spans="1:13" x14ac:dyDescent="0.45">
      <c r="A4382" s="142" t="s">
        <v>13036</v>
      </c>
      <c r="B4382" s="142" t="s">
        <v>15567</v>
      </c>
      <c r="C4382" s="142" t="s">
        <v>15847</v>
      </c>
      <c r="D4382" s="142" t="s">
        <v>15848</v>
      </c>
      <c r="E4382" s="142" t="s">
        <v>15849</v>
      </c>
      <c r="F4382" s="142" t="s">
        <v>7125</v>
      </c>
      <c r="G4382" s="142" t="s">
        <v>7124</v>
      </c>
      <c r="H4382" s="142" t="s">
        <v>20232</v>
      </c>
      <c r="I4382" s="142">
        <v>24</v>
      </c>
      <c r="J4382" s="142">
        <v>0</v>
      </c>
      <c r="K4382" s="142">
        <v>0</v>
      </c>
      <c r="L4382" s="142">
        <v>24</v>
      </c>
      <c r="M4382" s="142">
        <v>0</v>
      </c>
    </row>
    <row r="4383" spans="1:13" x14ac:dyDescent="0.45">
      <c r="A4383" s="142" t="s">
        <v>13037</v>
      </c>
      <c r="B4383" s="142" t="s">
        <v>14519</v>
      </c>
      <c r="C4383" s="142" t="s">
        <v>15847</v>
      </c>
      <c r="D4383" s="142" t="s">
        <v>15848</v>
      </c>
      <c r="E4383" s="142" t="s">
        <v>15849</v>
      </c>
      <c r="F4383" s="142" t="s">
        <v>7125</v>
      </c>
      <c r="G4383" s="142" t="s">
        <v>7124</v>
      </c>
      <c r="H4383" s="142" t="s">
        <v>20233</v>
      </c>
      <c r="I4383" s="142">
        <v>18</v>
      </c>
      <c r="J4383" s="142">
        <v>0</v>
      </c>
      <c r="K4383" s="142">
        <v>0</v>
      </c>
      <c r="L4383" s="142">
        <v>18</v>
      </c>
      <c r="M4383" s="142">
        <v>0</v>
      </c>
    </row>
    <row r="4384" spans="1:13" x14ac:dyDescent="0.45">
      <c r="A4384" s="142" t="s">
        <v>13090</v>
      </c>
      <c r="B4384" s="142" t="s">
        <v>15600</v>
      </c>
      <c r="C4384" s="142" t="s">
        <v>15847</v>
      </c>
      <c r="D4384" s="142" t="s">
        <v>15848</v>
      </c>
      <c r="E4384" s="142" t="s">
        <v>15849</v>
      </c>
      <c r="F4384" s="142" t="s">
        <v>7125</v>
      </c>
      <c r="G4384" s="142" t="s">
        <v>7124</v>
      </c>
      <c r="H4384" s="142" t="s">
        <v>20234</v>
      </c>
      <c r="I4384" s="142">
        <v>31</v>
      </c>
      <c r="J4384" s="142">
        <v>0</v>
      </c>
      <c r="K4384" s="142">
        <v>0</v>
      </c>
      <c r="L4384" s="142">
        <v>30</v>
      </c>
      <c r="M4384" s="142">
        <v>1</v>
      </c>
    </row>
    <row r="4385" spans="1:13" x14ac:dyDescent="0.45">
      <c r="A4385" s="142" t="s">
        <v>13091</v>
      </c>
      <c r="B4385" s="142" t="s">
        <v>14473</v>
      </c>
      <c r="C4385" s="142" t="s">
        <v>15847</v>
      </c>
      <c r="D4385" s="142" t="s">
        <v>15848</v>
      </c>
      <c r="E4385" s="142" t="s">
        <v>15849</v>
      </c>
      <c r="F4385" s="142" t="s">
        <v>7125</v>
      </c>
      <c r="G4385" s="142" t="s">
        <v>7124</v>
      </c>
      <c r="H4385" s="142" t="s">
        <v>20235</v>
      </c>
      <c r="I4385" s="142">
        <v>28</v>
      </c>
      <c r="J4385" s="142">
        <v>0</v>
      </c>
      <c r="K4385" s="142">
        <v>0</v>
      </c>
      <c r="L4385" s="142">
        <v>28</v>
      </c>
      <c r="M4385" s="142">
        <v>0</v>
      </c>
    </row>
    <row r="4386" spans="1:13" x14ac:dyDescent="0.45">
      <c r="A4386" s="142" t="s">
        <v>13009</v>
      </c>
      <c r="B4386" s="142" t="s">
        <v>15256</v>
      </c>
      <c r="C4386" s="142" t="s">
        <v>15847</v>
      </c>
      <c r="D4386" s="142" t="s">
        <v>15848</v>
      </c>
      <c r="E4386" s="142" t="s">
        <v>15849</v>
      </c>
      <c r="F4386" s="142" t="s">
        <v>7125</v>
      </c>
      <c r="G4386" s="142" t="s">
        <v>7124</v>
      </c>
      <c r="H4386" s="142" t="s">
        <v>20236</v>
      </c>
      <c r="I4386" s="142">
        <v>120</v>
      </c>
      <c r="J4386" s="142">
        <v>120</v>
      </c>
      <c r="K4386" s="142">
        <v>0</v>
      </c>
      <c r="L4386" s="142">
        <v>0</v>
      </c>
      <c r="M4386" s="142">
        <v>0</v>
      </c>
    </row>
    <row r="4387" spans="1:13" x14ac:dyDescent="0.45">
      <c r="A4387" s="142" t="s">
        <v>13012</v>
      </c>
      <c r="B4387" s="142" t="s">
        <v>15337</v>
      </c>
      <c r="C4387" s="142" t="s">
        <v>15847</v>
      </c>
      <c r="D4387" s="142" t="s">
        <v>15848</v>
      </c>
      <c r="E4387" s="142" t="s">
        <v>15849</v>
      </c>
      <c r="F4387" s="142" t="s">
        <v>7125</v>
      </c>
      <c r="G4387" s="142" t="s">
        <v>7124</v>
      </c>
      <c r="H4387" s="142" t="s">
        <v>20237</v>
      </c>
      <c r="I4387" s="142">
        <v>39</v>
      </c>
      <c r="J4387" s="142">
        <v>39</v>
      </c>
      <c r="K4387" s="142">
        <v>0</v>
      </c>
      <c r="L4387" s="142">
        <v>0</v>
      </c>
      <c r="M4387" s="142">
        <v>0</v>
      </c>
    </row>
    <row r="4388" spans="1:13" x14ac:dyDescent="0.45">
      <c r="A4388" s="142" t="s">
        <v>13165</v>
      </c>
      <c r="B4388" s="142" t="s">
        <v>15525</v>
      </c>
      <c r="C4388" s="142" t="s">
        <v>15860</v>
      </c>
      <c r="D4388" s="142" t="s">
        <v>15861</v>
      </c>
      <c r="E4388" s="142" t="s">
        <v>15849</v>
      </c>
      <c r="F4388" s="142" t="s">
        <v>7125</v>
      </c>
      <c r="G4388" s="142" t="s">
        <v>7124</v>
      </c>
      <c r="H4388" s="142" t="s">
        <v>20238</v>
      </c>
      <c r="I4388" s="142">
        <v>2</v>
      </c>
      <c r="J4388" s="142">
        <v>0</v>
      </c>
      <c r="K4388" s="142">
        <v>0</v>
      </c>
      <c r="L4388" s="142">
        <v>2</v>
      </c>
      <c r="M4388" s="142">
        <v>0</v>
      </c>
    </row>
    <row r="4389" spans="1:13" x14ac:dyDescent="0.45">
      <c r="A4389" s="142" t="s">
        <v>13332</v>
      </c>
      <c r="B4389" s="142" t="s">
        <v>14612</v>
      </c>
      <c r="C4389" s="142" t="s">
        <v>15860</v>
      </c>
      <c r="D4389" s="142" t="s">
        <v>15861</v>
      </c>
      <c r="E4389" s="142" t="s">
        <v>15849</v>
      </c>
      <c r="F4389" s="142" t="s">
        <v>7125</v>
      </c>
      <c r="G4389" s="142" t="s">
        <v>7124</v>
      </c>
      <c r="H4389" s="142" t="s">
        <v>20239</v>
      </c>
      <c r="I4389" s="142">
        <v>3</v>
      </c>
      <c r="J4389" s="142">
        <v>3</v>
      </c>
      <c r="K4389" s="142">
        <v>0</v>
      </c>
      <c r="L4389" s="142">
        <v>0</v>
      </c>
      <c r="M4389" s="142">
        <v>0</v>
      </c>
    </row>
    <row r="4390" spans="1:13" x14ac:dyDescent="0.45">
      <c r="A4390" s="142" t="s">
        <v>13819</v>
      </c>
      <c r="B4390" s="142" t="s">
        <v>14631</v>
      </c>
      <c r="C4390" s="142" t="s">
        <v>15860</v>
      </c>
      <c r="D4390" s="142" t="s">
        <v>15861</v>
      </c>
      <c r="E4390" s="142" t="s">
        <v>15849</v>
      </c>
      <c r="F4390" s="142" t="s">
        <v>7125</v>
      </c>
      <c r="G4390" s="142" t="s">
        <v>7124</v>
      </c>
      <c r="H4390" s="142" t="s">
        <v>20240</v>
      </c>
      <c r="I4390" s="142">
        <v>11</v>
      </c>
      <c r="J4390" s="142">
        <v>7</v>
      </c>
      <c r="K4390" s="142">
        <v>0</v>
      </c>
      <c r="L4390" s="142">
        <v>4</v>
      </c>
      <c r="M4390" s="142">
        <v>0</v>
      </c>
    </row>
    <row r="4391" spans="1:13" x14ac:dyDescent="0.45">
      <c r="A4391" s="142" t="s">
        <v>13715</v>
      </c>
      <c r="B4391" s="142" t="s">
        <v>15216</v>
      </c>
      <c r="C4391" s="142" t="s">
        <v>15860</v>
      </c>
      <c r="D4391" s="142" t="s">
        <v>15861</v>
      </c>
      <c r="E4391" s="142" t="s">
        <v>15849</v>
      </c>
      <c r="F4391" s="142" t="s">
        <v>7125</v>
      </c>
      <c r="G4391" s="142" t="s">
        <v>7124</v>
      </c>
      <c r="H4391" s="142" t="s">
        <v>20241</v>
      </c>
      <c r="I4391" s="142">
        <v>19</v>
      </c>
      <c r="J4391" s="142">
        <v>0</v>
      </c>
      <c r="K4391" s="142">
        <v>0</v>
      </c>
      <c r="L4391" s="142">
        <v>19</v>
      </c>
      <c r="M4391" s="142">
        <v>0</v>
      </c>
    </row>
    <row r="4392" spans="1:13" x14ac:dyDescent="0.45">
      <c r="A4392" s="142" t="s">
        <v>13023</v>
      </c>
      <c r="B4392" s="142" t="s">
        <v>15571</v>
      </c>
      <c r="C4392" s="142" t="s">
        <v>15847</v>
      </c>
      <c r="D4392" s="142" t="s">
        <v>15848</v>
      </c>
      <c r="E4392" s="142" t="s">
        <v>15849</v>
      </c>
      <c r="F4392" s="142" t="s">
        <v>687</v>
      </c>
      <c r="G4392" s="142" t="s">
        <v>686</v>
      </c>
      <c r="H4392" s="142" t="s">
        <v>20242</v>
      </c>
      <c r="I4392" s="142">
        <v>364</v>
      </c>
      <c r="J4392" s="142">
        <v>0</v>
      </c>
      <c r="K4392" s="142">
        <v>0</v>
      </c>
      <c r="L4392" s="142">
        <v>364</v>
      </c>
      <c r="M4392" s="142">
        <v>0</v>
      </c>
    </row>
    <row r="4393" spans="1:13" x14ac:dyDescent="0.45">
      <c r="A4393" s="142" t="s">
        <v>13113</v>
      </c>
      <c r="B4393" s="142" t="s">
        <v>14503</v>
      </c>
      <c r="C4393" s="142" t="s">
        <v>15860</v>
      </c>
      <c r="D4393" s="142" t="s">
        <v>15861</v>
      </c>
      <c r="E4393" s="142" t="s">
        <v>15849</v>
      </c>
      <c r="F4393" s="142" t="s">
        <v>687</v>
      </c>
      <c r="G4393" s="142" t="s">
        <v>686</v>
      </c>
      <c r="H4393" s="142" t="s">
        <v>20243</v>
      </c>
      <c r="I4393" s="142">
        <v>7</v>
      </c>
      <c r="J4393" s="142">
        <v>7</v>
      </c>
      <c r="K4393" s="142">
        <v>0</v>
      </c>
      <c r="L4393" s="142">
        <v>0</v>
      </c>
      <c r="M4393" s="142">
        <v>0</v>
      </c>
    </row>
    <row r="4394" spans="1:13" x14ac:dyDescent="0.45">
      <c r="A4394" s="142" t="s">
        <v>13273</v>
      </c>
      <c r="B4394" s="142" t="s">
        <v>14465</v>
      </c>
      <c r="C4394" s="142" t="s">
        <v>15860</v>
      </c>
      <c r="D4394" s="142" t="s">
        <v>15861</v>
      </c>
      <c r="E4394" s="142" t="s">
        <v>15849</v>
      </c>
      <c r="F4394" s="142" t="s">
        <v>687</v>
      </c>
      <c r="G4394" s="142" t="s">
        <v>686</v>
      </c>
      <c r="H4394" s="142" t="s">
        <v>20244</v>
      </c>
      <c r="I4394" s="142">
        <v>10</v>
      </c>
      <c r="J4394" s="142">
        <v>0</v>
      </c>
      <c r="K4394" s="142">
        <v>0</v>
      </c>
      <c r="L4394" s="142">
        <v>10</v>
      </c>
      <c r="M4394" s="142">
        <v>0</v>
      </c>
    </row>
    <row r="4395" spans="1:13" x14ac:dyDescent="0.45">
      <c r="A4395" s="142" t="s">
        <v>13099</v>
      </c>
      <c r="B4395" s="142" t="s">
        <v>14547</v>
      </c>
      <c r="C4395" s="142" t="s">
        <v>15860</v>
      </c>
      <c r="D4395" s="142" t="s">
        <v>15861</v>
      </c>
      <c r="E4395" s="142" t="s">
        <v>15849</v>
      </c>
      <c r="F4395" s="142" t="s">
        <v>687</v>
      </c>
      <c r="G4395" s="142" t="s">
        <v>686</v>
      </c>
      <c r="H4395" s="142" t="s">
        <v>20245</v>
      </c>
      <c r="I4395" s="142">
        <v>21</v>
      </c>
      <c r="J4395" s="142">
        <v>0</v>
      </c>
      <c r="K4395" s="142">
        <v>0</v>
      </c>
      <c r="L4395" s="142">
        <v>21</v>
      </c>
      <c r="M4395" s="142">
        <v>0</v>
      </c>
    </row>
    <row r="4396" spans="1:13" x14ac:dyDescent="0.45">
      <c r="A4396" s="142" t="s">
        <v>13027</v>
      </c>
      <c r="B4396" s="142" t="s">
        <v>14562</v>
      </c>
      <c r="C4396" s="142" t="s">
        <v>15847</v>
      </c>
      <c r="D4396" s="142" t="s">
        <v>15848</v>
      </c>
      <c r="E4396" s="142" t="s">
        <v>15849</v>
      </c>
      <c r="F4396" s="142" t="s">
        <v>687</v>
      </c>
      <c r="G4396" s="142" t="s">
        <v>686</v>
      </c>
      <c r="H4396" s="142" t="s">
        <v>20246</v>
      </c>
      <c r="I4396" s="142">
        <v>8</v>
      </c>
      <c r="J4396" s="142">
        <v>0</v>
      </c>
      <c r="K4396" s="142">
        <v>0</v>
      </c>
      <c r="L4396" s="142">
        <v>8</v>
      </c>
      <c r="M4396" s="142">
        <v>0</v>
      </c>
    </row>
    <row r="4397" spans="1:13" x14ac:dyDescent="0.45">
      <c r="A4397" s="142" t="s">
        <v>13821</v>
      </c>
      <c r="B4397" s="142" t="s">
        <v>14559</v>
      </c>
      <c r="C4397" s="142" t="s">
        <v>15860</v>
      </c>
      <c r="D4397" s="142" t="s">
        <v>15861</v>
      </c>
      <c r="E4397" s="142" t="s">
        <v>15849</v>
      </c>
      <c r="F4397" s="142" t="s">
        <v>687</v>
      </c>
      <c r="G4397" s="142" t="s">
        <v>686</v>
      </c>
      <c r="H4397" s="142" t="s">
        <v>20247</v>
      </c>
      <c r="I4397" s="142">
        <v>68</v>
      </c>
      <c r="J4397" s="142">
        <v>62</v>
      </c>
      <c r="K4397" s="142">
        <v>0</v>
      </c>
      <c r="L4397" s="142">
        <v>6</v>
      </c>
      <c r="M4397" s="142">
        <v>0</v>
      </c>
    </row>
    <row r="4398" spans="1:13" x14ac:dyDescent="0.45">
      <c r="A4398" s="142" t="s">
        <v>13148</v>
      </c>
      <c r="B4398" s="142" t="s">
        <v>15314</v>
      </c>
      <c r="C4398" s="142" t="s">
        <v>15847</v>
      </c>
      <c r="D4398" s="142" t="s">
        <v>15848</v>
      </c>
      <c r="E4398" s="142" t="s">
        <v>15849</v>
      </c>
      <c r="F4398" s="142" t="s">
        <v>687</v>
      </c>
      <c r="G4398" s="142" t="s">
        <v>686</v>
      </c>
      <c r="H4398" s="142" t="s">
        <v>20248</v>
      </c>
      <c r="I4398" s="142">
        <v>15</v>
      </c>
      <c r="J4398" s="142">
        <v>0</v>
      </c>
      <c r="K4398" s="142">
        <v>0</v>
      </c>
      <c r="L4398" s="142">
        <v>15</v>
      </c>
      <c r="M4398" s="142">
        <v>0</v>
      </c>
    </row>
    <row r="4399" spans="1:13" x14ac:dyDescent="0.45">
      <c r="A4399" s="142" t="s">
        <v>13001</v>
      </c>
      <c r="B4399" s="142" t="s">
        <v>15506</v>
      </c>
      <c r="C4399" s="142" t="s">
        <v>15847</v>
      </c>
      <c r="D4399" s="142" t="s">
        <v>15848</v>
      </c>
      <c r="E4399" s="142" t="s">
        <v>15849</v>
      </c>
      <c r="F4399" s="142" t="s">
        <v>687</v>
      </c>
      <c r="G4399" s="142" t="s">
        <v>686</v>
      </c>
      <c r="H4399" s="142" t="s">
        <v>20249</v>
      </c>
      <c r="I4399" s="142">
        <v>230</v>
      </c>
      <c r="J4399" s="142">
        <v>193</v>
      </c>
      <c r="K4399" s="142">
        <v>0</v>
      </c>
      <c r="L4399" s="142">
        <v>37</v>
      </c>
      <c r="M4399" s="142">
        <v>0</v>
      </c>
    </row>
    <row r="4400" spans="1:13" x14ac:dyDescent="0.45">
      <c r="A4400" s="142" t="s">
        <v>13160</v>
      </c>
      <c r="B4400" s="142" t="s">
        <v>14525</v>
      </c>
      <c r="C4400" s="142" t="s">
        <v>15847</v>
      </c>
      <c r="D4400" s="142" t="s">
        <v>15848</v>
      </c>
      <c r="E4400" s="142" t="s">
        <v>15849</v>
      </c>
      <c r="F4400" s="142" t="s">
        <v>687</v>
      </c>
      <c r="G4400" s="142" t="s">
        <v>686</v>
      </c>
      <c r="H4400" s="142" t="s">
        <v>20250</v>
      </c>
      <c r="I4400" s="142">
        <v>21</v>
      </c>
      <c r="J4400" s="142">
        <v>0</v>
      </c>
      <c r="K4400" s="142">
        <v>0</v>
      </c>
      <c r="L4400" s="142">
        <v>21</v>
      </c>
      <c r="M4400" s="142">
        <v>0</v>
      </c>
    </row>
    <row r="4401" spans="1:13" x14ac:dyDescent="0.45">
      <c r="A4401" s="142" t="s">
        <v>13002</v>
      </c>
      <c r="B4401" s="142" t="s">
        <v>15376</v>
      </c>
      <c r="C4401" s="142" t="s">
        <v>15847</v>
      </c>
      <c r="D4401" s="142" t="s">
        <v>15848</v>
      </c>
      <c r="E4401" s="142" t="s">
        <v>15849</v>
      </c>
      <c r="F4401" s="142" t="s">
        <v>687</v>
      </c>
      <c r="G4401" s="142" t="s">
        <v>686</v>
      </c>
      <c r="H4401" s="142" t="s">
        <v>20251</v>
      </c>
      <c r="I4401" s="142">
        <v>170</v>
      </c>
      <c r="J4401" s="142">
        <v>107</v>
      </c>
      <c r="K4401" s="142">
        <v>0</v>
      </c>
      <c r="L4401" s="142">
        <v>22</v>
      </c>
      <c r="M4401" s="142">
        <v>41</v>
      </c>
    </row>
    <row r="4402" spans="1:13" x14ac:dyDescent="0.45">
      <c r="A4402" s="142" t="s">
        <v>13003</v>
      </c>
      <c r="B4402" s="142" t="s">
        <v>15245</v>
      </c>
      <c r="C4402" s="142" t="s">
        <v>15847</v>
      </c>
      <c r="D4402" s="142" t="s">
        <v>15848</v>
      </c>
      <c r="E4402" s="142" t="s">
        <v>15849</v>
      </c>
      <c r="F4402" s="142" t="s">
        <v>687</v>
      </c>
      <c r="G4402" s="142" t="s">
        <v>686</v>
      </c>
      <c r="H4402" s="142" t="s">
        <v>20252</v>
      </c>
      <c r="I4402" s="142">
        <v>36</v>
      </c>
      <c r="J4402" s="142">
        <v>0</v>
      </c>
      <c r="K4402" s="142">
        <v>0</v>
      </c>
      <c r="L4402" s="142">
        <v>36</v>
      </c>
      <c r="M4402" s="142">
        <v>0</v>
      </c>
    </row>
    <row r="4403" spans="1:13" x14ac:dyDescent="0.45">
      <c r="A4403" s="142" t="s">
        <v>13655</v>
      </c>
      <c r="B4403" s="142" t="s">
        <v>15378</v>
      </c>
      <c r="C4403" s="142" t="s">
        <v>15860</v>
      </c>
      <c r="D4403" s="142" t="s">
        <v>15861</v>
      </c>
      <c r="E4403" s="142" t="s">
        <v>15849</v>
      </c>
      <c r="F4403" s="142" t="s">
        <v>687</v>
      </c>
      <c r="G4403" s="142" t="s">
        <v>686</v>
      </c>
      <c r="H4403" s="142" t="s">
        <v>20253</v>
      </c>
      <c r="I4403" s="142">
        <v>359</v>
      </c>
      <c r="J4403" s="142">
        <v>111</v>
      </c>
      <c r="K4403" s="142">
        <v>0</v>
      </c>
      <c r="L4403" s="142">
        <v>248</v>
      </c>
      <c r="M4403" s="142">
        <v>0</v>
      </c>
    </row>
    <row r="4404" spans="1:13" x14ac:dyDescent="0.45">
      <c r="A4404" s="142" t="s">
        <v>13822</v>
      </c>
      <c r="B4404" s="142" t="s">
        <v>15369</v>
      </c>
      <c r="C4404" s="142" t="s">
        <v>15860</v>
      </c>
      <c r="D4404" s="142" t="s">
        <v>15861</v>
      </c>
      <c r="E4404" s="142" t="s">
        <v>15849</v>
      </c>
      <c r="F4404" s="142" t="s">
        <v>687</v>
      </c>
      <c r="G4404" s="142" t="s">
        <v>686</v>
      </c>
      <c r="H4404" s="142" t="s">
        <v>20254</v>
      </c>
      <c r="I4404" s="142">
        <v>45</v>
      </c>
      <c r="J4404" s="142">
        <v>45</v>
      </c>
      <c r="K4404" s="142">
        <v>0</v>
      </c>
      <c r="L4404" s="142">
        <v>0</v>
      </c>
      <c r="M4404" s="142">
        <v>0</v>
      </c>
    </row>
    <row r="4405" spans="1:13" x14ac:dyDescent="0.45">
      <c r="A4405" s="142" t="s">
        <v>13823</v>
      </c>
      <c r="B4405" s="142" t="s">
        <v>15230</v>
      </c>
      <c r="C4405" s="142" t="s">
        <v>15860</v>
      </c>
      <c r="D4405" s="142" t="s">
        <v>15861</v>
      </c>
      <c r="E4405" s="142" t="s">
        <v>15849</v>
      </c>
      <c r="F4405" s="142" t="s">
        <v>687</v>
      </c>
      <c r="G4405" s="142" t="s">
        <v>686</v>
      </c>
      <c r="H4405" s="142" t="s">
        <v>20255</v>
      </c>
      <c r="I4405" s="142">
        <v>73</v>
      </c>
      <c r="J4405" s="142">
        <v>0</v>
      </c>
      <c r="K4405" s="142">
        <v>0</v>
      </c>
      <c r="L4405" s="142">
        <v>73</v>
      </c>
      <c r="M4405" s="142">
        <v>0</v>
      </c>
    </row>
    <row r="4406" spans="1:13" x14ac:dyDescent="0.45">
      <c r="A4406" s="142" t="s">
        <v>13824</v>
      </c>
      <c r="B4406" s="142" t="s">
        <v>14710</v>
      </c>
      <c r="C4406" s="142" t="s">
        <v>15860</v>
      </c>
      <c r="D4406" s="142" t="s">
        <v>15861</v>
      </c>
      <c r="E4406" s="142" t="s">
        <v>15849</v>
      </c>
      <c r="F4406" s="142" t="s">
        <v>687</v>
      </c>
      <c r="G4406" s="142" t="s">
        <v>686</v>
      </c>
      <c r="H4406" s="142" t="s">
        <v>20256</v>
      </c>
      <c r="I4406" s="142">
        <v>62</v>
      </c>
      <c r="J4406" s="142">
        <v>0</v>
      </c>
      <c r="K4406" s="142">
        <v>0</v>
      </c>
      <c r="L4406" s="142">
        <v>62</v>
      </c>
      <c r="M4406" s="142">
        <v>0</v>
      </c>
    </row>
    <row r="4407" spans="1:13" x14ac:dyDescent="0.45">
      <c r="A4407" s="142" t="s">
        <v>13656</v>
      </c>
      <c r="B4407" s="142" t="s">
        <v>14581</v>
      </c>
      <c r="C4407" s="142" t="s">
        <v>15860</v>
      </c>
      <c r="D4407" s="142" t="s">
        <v>15861</v>
      </c>
      <c r="E4407" s="142" t="s">
        <v>15849</v>
      </c>
      <c r="F4407" s="142" t="s">
        <v>687</v>
      </c>
      <c r="G4407" s="142" t="s">
        <v>686</v>
      </c>
      <c r="H4407" s="142" t="s">
        <v>20257</v>
      </c>
      <c r="I4407" s="142">
        <v>69</v>
      </c>
      <c r="J4407" s="142">
        <v>0</v>
      </c>
      <c r="K4407" s="142">
        <v>0</v>
      </c>
      <c r="L4407" s="142">
        <v>69</v>
      </c>
      <c r="M4407" s="142">
        <v>0</v>
      </c>
    </row>
    <row r="4408" spans="1:13" x14ac:dyDescent="0.45">
      <c r="A4408" s="142" t="s">
        <v>13066</v>
      </c>
      <c r="B4408" s="142" t="s">
        <v>14459</v>
      </c>
      <c r="C4408" s="142" t="s">
        <v>15847</v>
      </c>
      <c r="D4408" s="142" t="s">
        <v>15848</v>
      </c>
      <c r="E4408" s="142" t="s">
        <v>15849</v>
      </c>
      <c r="F4408" s="142" t="s">
        <v>687</v>
      </c>
      <c r="G4408" s="142" t="s">
        <v>686</v>
      </c>
      <c r="H4408" s="142" t="s">
        <v>20258</v>
      </c>
      <c r="I4408" s="142">
        <v>75</v>
      </c>
      <c r="J4408" s="142">
        <v>0</v>
      </c>
      <c r="K4408" s="142">
        <v>0</v>
      </c>
      <c r="L4408" s="142">
        <v>75</v>
      </c>
      <c r="M4408" s="142">
        <v>0</v>
      </c>
    </row>
    <row r="4409" spans="1:13" x14ac:dyDescent="0.45">
      <c r="A4409" s="142" t="s">
        <v>13657</v>
      </c>
      <c r="B4409" s="142" t="s">
        <v>14644</v>
      </c>
      <c r="C4409" s="142" t="s">
        <v>15847</v>
      </c>
      <c r="D4409" s="142" t="s">
        <v>15848</v>
      </c>
      <c r="E4409" s="142" t="s">
        <v>15849</v>
      </c>
      <c r="F4409" s="142" t="s">
        <v>687</v>
      </c>
      <c r="G4409" s="142" t="s">
        <v>686</v>
      </c>
      <c r="H4409" s="142" t="s">
        <v>20259</v>
      </c>
      <c r="I4409" s="142">
        <v>6</v>
      </c>
      <c r="J4409" s="142">
        <v>0</v>
      </c>
      <c r="K4409" s="142">
        <v>0</v>
      </c>
      <c r="L4409" s="142">
        <v>0</v>
      </c>
      <c r="M4409" s="142">
        <v>6</v>
      </c>
    </row>
    <row r="4410" spans="1:13" x14ac:dyDescent="0.45">
      <c r="A4410" s="142" t="s">
        <v>13658</v>
      </c>
      <c r="B4410" s="142" t="s">
        <v>14911</v>
      </c>
      <c r="C4410" s="142" t="s">
        <v>15847</v>
      </c>
      <c r="D4410" s="142" t="s">
        <v>15848</v>
      </c>
      <c r="E4410" s="142" t="s">
        <v>15849</v>
      </c>
      <c r="F4410" s="142" t="s">
        <v>687</v>
      </c>
      <c r="G4410" s="142" t="s">
        <v>686</v>
      </c>
      <c r="H4410" s="142" t="s">
        <v>20260</v>
      </c>
      <c r="I4410" s="142">
        <v>1427</v>
      </c>
      <c r="J4410" s="142">
        <v>1236</v>
      </c>
      <c r="K4410" s="142">
        <v>0</v>
      </c>
      <c r="L4410" s="142">
        <v>191</v>
      </c>
      <c r="M4410" s="142">
        <v>0</v>
      </c>
    </row>
    <row r="4411" spans="1:13" x14ac:dyDescent="0.45">
      <c r="A4411" s="142" t="s">
        <v>13033</v>
      </c>
      <c r="B4411" s="142" t="s">
        <v>15276</v>
      </c>
      <c r="C4411" s="142" t="s">
        <v>15847</v>
      </c>
      <c r="D4411" s="142" t="s">
        <v>15848</v>
      </c>
      <c r="E4411" s="142" t="s">
        <v>15849</v>
      </c>
      <c r="F4411" s="142" t="s">
        <v>687</v>
      </c>
      <c r="G4411" s="142" t="s">
        <v>686</v>
      </c>
      <c r="H4411" s="142" t="s">
        <v>20261</v>
      </c>
      <c r="I4411" s="142">
        <v>2097</v>
      </c>
      <c r="J4411" s="142">
        <v>1822</v>
      </c>
      <c r="K4411" s="142">
        <v>0</v>
      </c>
      <c r="L4411" s="142">
        <v>157</v>
      </c>
      <c r="M4411" s="142">
        <v>118</v>
      </c>
    </row>
    <row r="4412" spans="1:13" x14ac:dyDescent="0.45">
      <c r="A4412" s="142" t="s">
        <v>13034</v>
      </c>
      <c r="B4412" s="142" t="s">
        <v>15562</v>
      </c>
      <c r="C4412" s="142" t="s">
        <v>15847</v>
      </c>
      <c r="D4412" s="142" t="s">
        <v>15848</v>
      </c>
      <c r="E4412" s="142" t="s">
        <v>15849</v>
      </c>
      <c r="F4412" s="142" t="s">
        <v>687</v>
      </c>
      <c r="G4412" s="142" t="s">
        <v>686</v>
      </c>
      <c r="H4412" s="142" t="s">
        <v>20262</v>
      </c>
      <c r="I4412" s="142">
        <v>64</v>
      </c>
      <c r="J4412" s="142">
        <v>1</v>
      </c>
      <c r="K4412" s="142">
        <v>0</v>
      </c>
      <c r="L4412" s="142">
        <v>63</v>
      </c>
      <c r="M4412" s="142">
        <v>0</v>
      </c>
    </row>
    <row r="4413" spans="1:13" x14ac:dyDescent="0.45">
      <c r="A4413" s="142" t="s">
        <v>13560</v>
      </c>
      <c r="B4413" s="142" t="s">
        <v>14778</v>
      </c>
      <c r="C4413" s="142" t="s">
        <v>15847</v>
      </c>
      <c r="D4413" s="142" t="s">
        <v>15848</v>
      </c>
      <c r="E4413" s="142" t="s">
        <v>15849</v>
      </c>
      <c r="F4413" s="142" t="s">
        <v>687</v>
      </c>
      <c r="G4413" s="142" t="s">
        <v>686</v>
      </c>
      <c r="H4413" s="142" t="s">
        <v>20263</v>
      </c>
      <c r="I4413" s="142">
        <v>151</v>
      </c>
      <c r="J4413" s="142">
        <v>34</v>
      </c>
      <c r="K4413" s="142">
        <v>0</v>
      </c>
      <c r="L4413" s="142">
        <v>95</v>
      </c>
      <c r="M4413" s="142">
        <v>22</v>
      </c>
    </row>
    <row r="4414" spans="1:13" x14ac:dyDescent="0.45">
      <c r="A4414" s="142" t="s">
        <v>13037</v>
      </c>
      <c r="B4414" s="142" t="s">
        <v>14519</v>
      </c>
      <c r="C4414" s="142" t="s">
        <v>15847</v>
      </c>
      <c r="D4414" s="142" t="s">
        <v>15848</v>
      </c>
      <c r="E4414" s="142" t="s">
        <v>15849</v>
      </c>
      <c r="F4414" s="142" t="s">
        <v>687</v>
      </c>
      <c r="G4414" s="142" t="s">
        <v>686</v>
      </c>
      <c r="H4414" s="142" t="s">
        <v>20264</v>
      </c>
      <c r="I4414" s="142">
        <v>1</v>
      </c>
      <c r="J4414" s="142">
        <v>0</v>
      </c>
      <c r="K4414" s="142">
        <v>0</v>
      </c>
      <c r="L4414" s="142">
        <v>1</v>
      </c>
      <c r="M4414" s="142">
        <v>0</v>
      </c>
    </row>
    <row r="4415" spans="1:13" x14ac:dyDescent="0.45">
      <c r="A4415" s="142" t="s">
        <v>13091</v>
      </c>
      <c r="B4415" s="142" t="s">
        <v>14473</v>
      </c>
      <c r="C4415" s="142" t="s">
        <v>15847</v>
      </c>
      <c r="D4415" s="142" t="s">
        <v>15848</v>
      </c>
      <c r="E4415" s="142" t="s">
        <v>15849</v>
      </c>
      <c r="F4415" s="142" t="s">
        <v>687</v>
      </c>
      <c r="G4415" s="142" t="s">
        <v>686</v>
      </c>
      <c r="H4415" s="142" t="s">
        <v>20265</v>
      </c>
      <c r="I4415" s="142">
        <v>91</v>
      </c>
      <c r="J4415" s="142">
        <v>91</v>
      </c>
      <c r="K4415" s="142">
        <v>0</v>
      </c>
      <c r="L4415" s="142">
        <v>0</v>
      </c>
      <c r="M4415" s="142">
        <v>0</v>
      </c>
    </row>
    <row r="4416" spans="1:13" x14ac:dyDescent="0.45">
      <c r="A4416" s="142" t="s">
        <v>13009</v>
      </c>
      <c r="B4416" s="142" t="s">
        <v>15256</v>
      </c>
      <c r="C4416" s="142" t="s">
        <v>15847</v>
      </c>
      <c r="D4416" s="142" t="s">
        <v>15848</v>
      </c>
      <c r="E4416" s="142" t="s">
        <v>15849</v>
      </c>
      <c r="F4416" s="142" t="s">
        <v>687</v>
      </c>
      <c r="G4416" s="142" t="s">
        <v>686</v>
      </c>
      <c r="H4416" s="142" t="s">
        <v>20266</v>
      </c>
      <c r="I4416" s="142">
        <v>1462</v>
      </c>
      <c r="J4416" s="142">
        <v>1185</v>
      </c>
      <c r="K4416" s="142">
        <v>0</v>
      </c>
      <c r="L4416" s="142">
        <v>186</v>
      </c>
      <c r="M4416" s="142">
        <v>91</v>
      </c>
    </row>
    <row r="4417" spans="1:13" x14ac:dyDescent="0.45">
      <c r="A4417" s="142" t="s">
        <v>13153</v>
      </c>
      <c r="B4417" s="142" t="s">
        <v>14469</v>
      </c>
      <c r="C4417" s="142" t="s">
        <v>15860</v>
      </c>
      <c r="D4417" s="142" t="s">
        <v>15861</v>
      </c>
      <c r="E4417" s="142" t="s">
        <v>15849</v>
      </c>
      <c r="F4417" s="142" t="s">
        <v>687</v>
      </c>
      <c r="G4417" s="142" t="s">
        <v>686</v>
      </c>
      <c r="H4417" s="142" t="s">
        <v>20267</v>
      </c>
      <c r="I4417" s="142">
        <v>4</v>
      </c>
      <c r="J4417" s="142">
        <v>0</v>
      </c>
      <c r="K4417" s="142">
        <v>0</v>
      </c>
      <c r="L4417" s="142">
        <v>4</v>
      </c>
      <c r="M4417" s="142">
        <v>0</v>
      </c>
    </row>
    <row r="4418" spans="1:13" x14ac:dyDescent="0.45">
      <c r="A4418" s="142" t="s">
        <v>13220</v>
      </c>
      <c r="B4418" s="142" t="s">
        <v>15505</v>
      </c>
      <c r="C4418" s="142" t="s">
        <v>15860</v>
      </c>
      <c r="D4418" s="142" t="s">
        <v>15861</v>
      </c>
      <c r="E4418" s="142" t="s">
        <v>15849</v>
      </c>
      <c r="F4418" s="142" t="s">
        <v>687</v>
      </c>
      <c r="G4418" s="142" t="s">
        <v>686</v>
      </c>
      <c r="H4418" s="142" t="s">
        <v>20268</v>
      </c>
      <c r="I4418" s="142">
        <v>35</v>
      </c>
      <c r="J4418" s="142">
        <v>0</v>
      </c>
      <c r="K4418" s="142">
        <v>0</v>
      </c>
      <c r="L4418" s="142">
        <v>35</v>
      </c>
      <c r="M4418" s="142">
        <v>0</v>
      </c>
    </row>
    <row r="4419" spans="1:13" x14ac:dyDescent="0.45">
      <c r="A4419" s="142" t="s">
        <v>13042</v>
      </c>
      <c r="B4419" s="142" t="s">
        <v>15489</v>
      </c>
      <c r="C4419" s="142" t="s">
        <v>15847</v>
      </c>
      <c r="D4419" s="142" t="s">
        <v>15848</v>
      </c>
      <c r="E4419" s="142" t="s">
        <v>15849</v>
      </c>
      <c r="F4419" s="142" t="s">
        <v>687</v>
      </c>
      <c r="G4419" s="142" t="s">
        <v>686</v>
      </c>
      <c r="H4419" s="142" t="s">
        <v>20269</v>
      </c>
      <c r="I4419" s="142">
        <v>1441</v>
      </c>
      <c r="J4419" s="142">
        <v>1181</v>
      </c>
      <c r="K4419" s="142">
        <v>0</v>
      </c>
      <c r="L4419" s="142">
        <v>258</v>
      </c>
      <c r="M4419" s="142">
        <v>2</v>
      </c>
    </row>
    <row r="4420" spans="1:13" x14ac:dyDescent="0.45">
      <c r="A4420" s="142" t="s">
        <v>13096</v>
      </c>
      <c r="B4420" s="142" t="s">
        <v>15478</v>
      </c>
      <c r="C4420" s="142" t="s">
        <v>15847</v>
      </c>
      <c r="D4420" s="142" t="s">
        <v>15848</v>
      </c>
      <c r="E4420" s="142" t="s">
        <v>15849</v>
      </c>
      <c r="F4420" s="142" t="s">
        <v>687</v>
      </c>
      <c r="G4420" s="142" t="s">
        <v>686</v>
      </c>
      <c r="H4420" s="142" t="s">
        <v>20270</v>
      </c>
      <c r="I4420" s="142">
        <v>743</v>
      </c>
      <c r="J4420" s="142">
        <v>666</v>
      </c>
      <c r="K4420" s="142">
        <v>0</v>
      </c>
      <c r="L4420" s="142">
        <v>36</v>
      </c>
      <c r="M4420" s="142">
        <v>41</v>
      </c>
    </row>
    <row r="4421" spans="1:13" x14ac:dyDescent="0.45">
      <c r="A4421" s="142" t="s">
        <v>13154</v>
      </c>
      <c r="B4421" s="142" t="s">
        <v>15415</v>
      </c>
      <c r="C4421" s="142" t="s">
        <v>15847</v>
      </c>
      <c r="D4421" s="142" t="s">
        <v>15848</v>
      </c>
      <c r="E4421" s="142" t="s">
        <v>15849</v>
      </c>
      <c r="F4421" s="142" t="s">
        <v>687</v>
      </c>
      <c r="G4421" s="142" t="s">
        <v>686</v>
      </c>
      <c r="H4421" s="142" t="s">
        <v>20271</v>
      </c>
      <c r="I4421" s="142">
        <v>900</v>
      </c>
      <c r="J4421" s="142">
        <v>714</v>
      </c>
      <c r="K4421" s="142">
        <v>0</v>
      </c>
      <c r="L4421" s="142">
        <v>30</v>
      </c>
      <c r="M4421" s="142">
        <v>156</v>
      </c>
    </row>
    <row r="4422" spans="1:13" x14ac:dyDescent="0.45">
      <c r="A4422" s="142" t="s">
        <v>13156</v>
      </c>
      <c r="B4422" s="142" t="s">
        <v>14493</v>
      </c>
      <c r="C4422" s="142" t="s">
        <v>15860</v>
      </c>
      <c r="D4422" s="142" t="s">
        <v>15861</v>
      </c>
      <c r="E4422" s="142" t="s">
        <v>15849</v>
      </c>
      <c r="F4422" s="142" t="s">
        <v>687</v>
      </c>
      <c r="G4422" s="142" t="s">
        <v>686</v>
      </c>
      <c r="H4422" s="142" t="s">
        <v>20272</v>
      </c>
      <c r="I4422" s="142">
        <v>6</v>
      </c>
      <c r="J4422" s="142">
        <v>6</v>
      </c>
      <c r="K4422" s="142">
        <v>0</v>
      </c>
      <c r="L4422" s="142">
        <v>0</v>
      </c>
      <c r="M4422" s="142">
        <v>0</v>
      </c>
    </row>
    <row r="4423" spans="1:13" x14ac:dyDescent="0.45">
      <c r="A4423" s="142" t="s">
        <v>13016</v>
      </c>
      <c r="B4423" s="142" t="s">
        <v>14535</v>
      </c>
      <c r="C4423" s="142" t="s">
        <v>15860</v>
      </c>
      <c r="D4423" s="142" t="s">
        <v>15861</v>
      </c>
      <c r="E4423" s="142" t="s">
        <v>15849</v>
      </c>
      <c r="F4423" s="142" t="s">
        <v>687</v>
      </c>
      <c r="G4423" s="142" t="s">
        <v>686</v>
      </c>
      <c r="H4423" s="142" t="s">
        <v>20273</v>
      </c>
      <c r="I4423" s="142">
        <v>4</v>
      </c>
      <c r="J4423" s="142">
        <v>0</v>
      </c>
      <c r="K4423" s="142">
        <v>0</v>
      </c>
      <c r="L4423" s="142">
        <v>4</v>
      </c>
      <c r="M4423" s="142">
        <v>0</v>
      </c>
    </row>
    <row r="4424" spans="1:13" x14ac:dyDescent="0.45">
      <c r="A4424" s="142" t="s">
        <v>13825</v>
      </c>
      <c r="B4424" s="142" t="s">
        <v>14526</v>
      </c>
      <c r="C4424" s="142" t="s">
        <v>15860</v>
      </c>
      <c r="D4424" s="142" t="s">
        <v>15861</v>
      </c>
      <c r="E4424" s="142" t="s">
        <v>15849</v>
      </c>
      <c r="F4424" s="142" t="s">
        <v>687</v>
      </c>
      <c r="G4424" s="142" t="s">
        <v>686</v>
      </c>
      <c r="H4424" s="142" t="s">
        <v>20274</v>
      </c>
      <c r="I4424" s="142">
        <v>55</v>
      </c>
      <c r="J4424" s="142">
        <v>9</v>
      </c>
      <c r="K4424" s="142">
        <v>0</v>
      </c>
      <c r="L4424" s="142">
        <v>46</v>
      </c>
      <c r="M4424" s="142">
        <v>0</v>
      </c>
    </row>
    <row r="4425" spans="1:13" x14ac:dyDescent="0.45">
      <c r="A4425" s="142" t="s">
        <v>13157</v>
      </c>
      <c r="B4425" s="142" t="s">
        <v>15477</v>
      </c>
      <c r="C4425" s="142" t="s">
        <v>15847</v>
      </c>
      <c r="D4425" s="142" t="s">
        <v>15848</v>
      </c>
      <c r="E4425" s="142" t="s">
        <v>15849</v>
      </c>
      <c r="F4425" s="142" t="s">
        <v>687</v>
      </c>
      <c r="G4425" s="142" t="s">
        <v>686</v>
      </c>
      <c r="H4425" s="142" t="s">
        <v>20275</v>
      </c>
      <c r="I4425" s="142">
        <v>41</v>
      </c>
      <c r="J4425" s="142">
        <v>23</v>
      </c>
      <c r="K4425" s="142">
        <v>0</v>
      </c>
      <c r="L4425" s="142">
        <v>0</v>
      </c>
      <c r="M4425" s="142">
        <v>18</v>
      </c>
    </row>
    <row r="4426" spans="1:13" x14ac:dyDescent="0.45">
      <c r="A4426" s="142" t="s">
        <v>13166</v>
      </c>
      <c r="B4426" s="142" t="s">
        <v>15576</v>
      </c>
      <c r="C4426" s="142" t="s">
        <v>15847</v>
      </c>
      <c r="D4426" s="142" t="s">
        <v>15848</v>
      </c>
      <c r="E4426" s="142" t="s">
        <v>15849</v>
      </c>
      <c r="F4426" s="142" t="s">
        <v>12028</v>
      </c>
      <c r="G4426" s="142" t="s">
        <v>12027</v>
      </c>
      <c r="H4426" s="142" t="s">
        <v>20276</v>
      </c>
      <c r="I4426" s="142">
        <v>5</v>
      </c>
      <c r="J4426" s="142">
        <v>3</v>
      </c>
      <c r="K4426" s="142">
        <v>0</v>
      </c>
      <c r="L4426" s="142">
        <v>0</v>
      </c>
      <c r="M4426" s="142">
        <v>2</v>
      </c>
    </row>
    <row r="4427" spans="1:13" x14ac:dyDescent="0.45">
      <c r="A4427" s="142" t="s">
        <v>13046</v>
      </c>
      <c r="B4427" s="142" t="s">
        <v>15537</v>
      </c>
      <c r="C4427" s="142" t="s">
        <v>15860</v>
      </c>
      <c r="D4427" s="142" t="s">
        <v>15861</v>
      </c>
      <c r="E4427" s="142" t="s">
        <v>15849</v>
      </c>
      <c r="F4427" s="142" t="s">
        <v>12028</v>
      </c>
      <c r="G4427" s="142" t="s">
        <v>12027</v>
      </c>
      <c r="H4427" s="142" t="s">
        <v>20277</v>
      </c>
      <c r="I4427" s="142">
        <v>1</v>
      </c>
      <c r="J4427" s="142">
        <v>0</v>
      </c>
      <c r="K4427" s="142">
        <v>0</v>
      </c>
      <c r="L4427" s="142">
        <v>1</v>
      </c>
      <c r="M4427" s="142">
        <v>0</v>
      </c>
    </row>
    <row r="4428" spans="1:13" x14ac:dyDescent="0.45">
      <c r="A4428" s="142" t="s">
        <v>13021</v>
      </c>
      <c r="B4428" s="142" t="s">
        <v>15501</v>
      </c>
      <c r="C4428" s="142" t="s">
        <v>15847</v>
      </c>
      <c r="D4428" s="142" t="s">
        <v>15848</v>
      </c>
      <c r="E4428" s="142" t="s">
        <v>15849</v>
      </c>
      <c r="F4428" s="142" t="s">
        <v>12028</v>
      </c>
      <c r="G4428" s="142" t="s">
        <v>12027</v>
      </c>
      <c r="H4428" s="142" t="s">
        <v>20278</v>
      </c>
      <c r="I4428" s="142">
        <v>1</v>
      </c>
      <c r="J4428" s="142">
        <v>1</v>
      </c>
      <c r="K4428" s="142">
        <v>0</v>
      </c>
      <c r="L4428" s="142">
        <v>0</v>
      </c>
      <c r="M4428" s="142">
        <v>0</v>
      </c>
    </row>
    <row r="4429" spans="1:13" x14ac:dyDescent="0.45">
      <c r="A4429" s="142" t="s">
        <v>13023</v>
      </c>
      <c r="B4429" s="142" t="s">
        <v>15571</v>
      </c>
      <c r="C4429" s="142" t="s">
        <v>15847</v>
      </c>
      <c r="D4429" s="142" t="s">
        <v>15848</v>
      </c>
      <c r="E4429" s="142" t="s">
        <v>15849</v>
      </c>
      <c r="F4429" s="142" t="s">
        <v>12028</v>
      </c>
      <c r="G4429" s="142" t="s">
        <v>12027</v>
      </c>
      <c r="H4429" s="142" t="s">
        <v>20279</v>
      </c>
      <c r="I4429" s="142">
        <v>86</v>
      </c>
      <c r="J4429" s="142">
        <v>0</v>
      </c>
      <c r="K4429" s="142">
        <v>0</v>
      </c>
      <c r="L4429" s="142">
        <v>86</v>
      </c>
      <c r="M4429" s="142">
        <v>0</v>
      </c>
    </row>
    <row r="4430" spans="1:13" x14ac:dyDescent="0.45">
      <c r="A4430" s="142" t="s">
        <v>13433</v>
      </c>
      <c r="B4430" s="142" t="s">
        <v>15167</v>
      </c>
      <c r="C4430" s="142" t="s">
        <v>15847</v>
      </c>
      <c r="D4430" s="142" t="s">
        <v>15848</v>
      </c>
      <c r="E4430" s="142" t="s">
        <v>15849</v>
      </c>
      <c r="F4430" s="142" t="s">
        <v>12028</v>
      </c>
      <c r="G4430" s="142" t="s">
        <v>12027</v>
      </c>
      <c r="H4430" s="142" t="s">
        <v>20280</v>
      </c>
      <c r="I4430" s="142">
        <v>83</v>
      </c>
      <c r="J4430" s="142">
        <v>5</v>
      </c>
      <c r="K4430" s="142">
        <v>0</v>
      </c>
      <c r="L4430" s="142">
        <v>78</v>
      </c>
      <c r="M4430" s="142">
        <v>0</v>
      </c>
    </row>
    <row r="4431" spans="1:13" x14ac:dyDescent="0.45">
      <c r="A4431" s="142" t="s">
        <v>13000</v>
      </c>
      <c r="B4431" s="142" t="s">
        <v>14610</v>
      </c>
      <c r="C4431" s="142" t="s">
        <v>15847</v>
      </c>
      <c r="D4431" s="142" t="s">
        <v>15848</v>
      </c>
      <c r="E4431" s="142" t="s">
        <v>15849</v>
      </c>
      <c r="F4431" s="142" t="s">
        <v>12028</v>
      </c>
      <c r="G4431" s="142" t="s">
        <v>12027</v>
      </c>
      <c r="H4431" s="142" t="s">
        <v>20281</v>
      </c>
      <c r="I4431" s="142">
        <v>275</v>
      </c>
      <c r="J4431" s="142">
        <v>209</v>
      </c>
      <c r="K4431" s="142">
        <v>0</v>
      </c>
      <c r="L4431" s="142">
        <v>0</v>
      </c>
      <c r="M4431" s="142">
        <v>66</v>
      </c>
    </row>
    <row r="4432" spans="1:13" x14ac:dyDescent="0.45">
      <c r="A4432" s="142" t="s">
        <v>13632</v>
      </c>
      <c r="B4432" s="142" t="s">
        <v>15080</v>
      </c>
      <c r="C4432" s="142" t="s">
        <v>15860</v>
      </c>
      <c r="D4432" s="142" t="s">
        <v>15861</v>
      </c>
      <c r="E4432" s="142" t="s">
        <v>15849</v>
      </c>
      <c r="F4432" s="142" t="s">
        <v>12028</v>
      </c>
      <c r="G4432" s="142" t="s">
        <v>12027</v>
      </c>
      <c r="H4432" s="142" t="s">
        <v>20282</v>
      </c>
      <c r="I4432" s="142">
        <v>15</v>
      </c>
      <c r="J4432" s="142">
        <v>15</v>
      </c>
      <c r="K4432" s="142">
        <v>0</v>
      </c>
      <c r="L4432" s="142">
        <v>0</v>
      </c>
      <c r="M4432" s="142">
        <v>0</v>
      </c>
    </row>
    <row r="4433" spans="1:13" x14ac:dyDescent="0.45">
      <c r="A4433" s="142" t="s">
        <v>13027</v>
      </c>
      <c r="B4433" s="142" t="s">
        <v>14562</v>
      </c>
      <c r="C4433" s="142" t="s">
        <v>15847</v>
      </c>
      <c r="D4433" s="142" t="s">
        <v>15848</v>
      </c>
      <c r="E4433" s="142" t="s">
        <v>15849</v>
      </c>
      <c r="F4433" s="142" t="s">
        <v>12028</v>
      </c>
      <c r="G4433" s="142" t="s">
        <v>12027</v>
      </c>
      <c r="H4433" s="142" t="s">
        <v>20283</v>
      </c>
      <c r="I4433" s="142">
        <v>3</v>
      </c>
      <c r="J4433" s="142">
        <v>0</v>
      </c>
      <c r="K4433" s="142">
        <v>0</v>
      </c>
      <c r="L4433" s="142">
        <v>3</v>
      </c>
      <c r="M4433" s="142">
        <v>0</v>
      </c>
    </row>
    <row r="4434" spans="1:13" x14ac:dyDescent="0.45">
      <c r="A4434" s="142" t="s">
        <v>13001</v>
      </c>
      <c r="B4434" s="142" t="s">
        <v>15506</v>
      </c>
      <c r="C4434" s="142" t="s">
        <v>15847</v>
      </c>
      <c r="D4434" s="142" t="s">
        <v>15848</v>
      </c>
      <c r="E4434" s="142" t="s">
        <v>15849</v>
      </c>
      <c r="F4434" s="142" t="s">
        <v>12028</v>
      </c>
      <c r="G4434" s="142" t="s">
        <v>12027</v>
      </c>
      <c r="H4434" s="142" t="s">
        <v>20284</v>
      </c>
      <c r="I4434" s="142">
        <v>23</v>
      </c>
      <c r="J4434" s="142">
        <v>0</v>
      </c>
      <c r="K4434" s="142">
        <v>0</v>
      </c>
      <c r="L4434" s="142">
        <v>23</v>
      </c>
      <c r="M4434" s="142">
        <v>0</v>
      </c>
    </row>
    <row r="4435" spans="1:13" x14ac:dyDescent="0.45">
      <c r="A4435" s="142" t="s">
        <v>13149</v>
      </c>
      <c r="B4435" s="142" t="s">
        <v>14458</v>
      </c>
      <c r="C4435" s="142" t="s">
        <v>15860</v>
      </c>
      <c r="D4435" s="142" t="s">
        <v>15861</v>
      </c>
      <c r="E4435" s="142" t="s">
        <v>15849</v>
      </c>
      <c r="F4435" s="142" t="s">
        <v>12028</v>
      </c>
      <c r="G4435" s="142" t="s">
        <v>12027</v>
      </c>
      <c r="H4435" s="142" t="s">
        <v>20285</v>
      </c>
      <c r="I4435" s="142">
        <v>6</v>
      </c>
      <c r="J4435" s="142">
        <v>0</v>
      </c>
      <c r="K4435" s="142">
        <v>0</v>
      </c>
      <c r="L4435" s="142">
        <v>6</v>
      </c>
      <c r="M4435" s="142">
        <v>0</v>
      </c>
    </row>
    <row r="4436" spans="1:13" x14ac:dyDescent="0.45">
      <c r="A4436" s="142" t="s">
        <v>13002</v>
      </c>
      <c r="B4436" s="142" t="s">
        <v>15376</v>
      </c>
      <c r="C4436" s="142" t="s">
        <v>15847</v>
      </c>
      <c r="D4436" s="142" t="s">
        <v>15848</v>
      </c>
      <c r="E4436" s="142" t="s">
        <v>15849</v>
      </c>
      <c r="F4436" s="142" t="s">
        <v>12028</v>
      </c>
      <c r="G4436" s="142" t="s">
        <v>12027</v>
      </c>
      <c r="H4436" s="142" t="s">
        <v>20286</v>
      </c>
      <c r="I4436" s="142">
        <v>39</v>
      </c>
      <c r="J4436" s="142">
        <v>39</v>
      </c>
      <c r="K4436" s="142">
        <v>0</v>
      </c>
      <c r="L4436" s="142">
        <v>0</v>
      </c>
      <c r="M4436" s="142">
        <v>0</v>
      </c>
    </row>
    <row r="4437" spans="1:13" x14ac:dyDescent="0.45">
      <c r="A4437" s="142" t="s">
        <v>13003</v>
      </c>
      <c r="B4437" s="142" t="s">
        <v>15245</v>
      </c>
      <c r="C4437" s="142" t="s">
        <v>15847</v>
      </c>
      <c r="D4437" s="142" t="s">
        <v>15848</v>
      </c>
      <c r="E4437" s="142" t="s">
        <v>15849</v>
      </c>
      <c r="F4437" s="142" t="s">
        <v>12028</v>
      </c>
      <c r="G4437" s="142" t="s">
        <v>12027</v>
      </c>
      <c r="H4437" s="142" t="s">
        <v>20287</v>
      </c>
      <c r="I4437" s="142">
        <v>33</v>
      </c>
      <c r="J4437" s="142">
        <v>0</v>
      </c>
      <c r="K4437" s="142">
        <v>0</v>
      </c>
      <c r="L4437" s="142">
        <v>33</v>
      </c>
      <c r="M4437" s="142">
        <v>0</v>
      </c>
    </row>
    <row r="4438" spans="1:13" x14ac:dyDescent="0.45">
      <c r="A4438" s="142" t="s">
        <v>13127</v>
      </c>
      <c r="B4438" s="142" t="s">
        <v>15549</v>
      </c>
      <c r="C4438" s="142" t="s">
        <v>15847</v>
      </c>
      <c r="D4438" s="142" t="s">
        <v>15848</v>
      </c>
      <c r="E4438" s="142" t="s">
        <v>15849</v>
      </c>
      <c r="F4438" s="142" t="s">
        <v>12028</v>
      </c>
      <c r="G4438" s="142" t="s">
        <v>12027</v>
      </c>
      <c r="H4438" s="142" t="s">
        <v>20288</v>
      </c>
      <c r="I4438" s="142">
        <v>10</v>
      </c>
      <c r="J4438" s="142">
        <v>10</v>
      </c>
      <c r="K4438" s="142">
        <v>0</v>
      </c>
      <c r="L4438" s="142">
        <v>0</v>
      </c>
      <c r="M4438" s="142">
        <v>0</v>
      </c>
    </row>
    <row r="4439" spans="1:13" x14ac:dyDescent="0.45">
      <c r="A4439" s="142" t="s">
        <v>13671</v>
      </c>
      <c r="B4439" s="142" t="s">
        <v>15293</v>
      </c>
      <c r="C4439" s="142" t="s">
        <v>15860</v>
      </c>
      <c r="D4439" s="142" t="s">
        <v>15861</v>
      </c>
      <c r="E4439" s="142" t="s">
        <v>15849</v>
      </c>
      <c r="F4439" s="142" t="s">
        <v>12028</v>
      </c>
      <c r="G4439" s="142" t="s">
        <v>12027</v>
      </c>
      <c r="H4439" s="142" t="s">
        <v>20289</v>
      </c>
      <c r="I4439" s="142">
        <v>204</v>
      </c>
      <c r="J4439" s="142">
        <v>187</v>
      </c>
      <c r="K4439" s="142">
        <v>0</v>
      </c>
      <c r="L4439" s="142">
        <v>17</v>
      </c>
      <c r="M4439" s="142">
        <v>0</v>
      </c>
    </row>
    <row r="4440" spans="1:13" x14ac:dyDescent="0.45">
      <c r="A4440" s="142" t="s">
        <v>13005</v>
      </c>
      <c r="B4440" s="142" t="s">
        <v>15475</v>
      </c>
      <c r="C4440" s="142" t="s">
        <v>15847</v>
      </c>
      <c r="D4440" s="142" t="s">
        <v>15848</v>
      </c>
      <c r="E4440" s="142" t="s">
        <v>15849</v>
      </c>
      <c r="F4440" s="142" t="s">
        <v>12028</v>
      </c>
      <c r="G4440" s="142" t="s">
        <v>12027</v>
      </c>
      <c r="H4440" s="142" t="s">
        <v>20290</v>
      </c>
      <c r="I4440" s="142">
        <v>359</v>
      </c>
      <c r="J4440" s="142">
        <v>308</v>
      </c>
      <c r="K4440" s="142">
        <v>0</v>
      </c>
      <c r="L4440" s="142">
        <v>0</v>
      </c>
      <c r="M4440" s="142">
        <v>51</v>
      </c>
    </row>
    <row r="4441" spans="1:13" x14ac:dyDescent="0.45">
      <c r="A4441" s="142" t="s">
        <v>13663</v>
      </c>
      <c r="B4441" s="142" t="s">
        <v>14637</v>
      </c>
      <c r="C4441" s="142" t="s">
        <v>15860</v>
      </c>
      <c r="D4441" s="142" t="s">
        <v>15861</v>
      </c>
      <c r="E4441" s="142" t="s">
        <v>15849</v>
      </c>
      <c r="F4441" s="142" t="s">
        <v>12028</v>
      </c>
      <c r="G4441" s="142" t="s">
        <v>12027</v>
      </c>
      <c r="H4441" s="142" t="s">
        <v>20291</v>
      </c>
      <c r="I4441" s="142">
        <v>48</v>
      </c>
      <c r="J4441" s="142">
        <v>48</v>
      </c>
      <c r="K4441" s="142">
        <v>0</v>
      </c>
      <c r="L4441" s="142">
        <v>0</v>
      </c>
      <c r="M4441" s="142">
        <v>0</v>
      </c>
    </row>
    <row r="4442" spans="1:13" x14ac:dyDescent="0.45">
      <c r="A4442" s="142" t="s">
        <v>13006</v>
      </c>
      <c r="B4442" s="142" t="s">
        <v>15288</v>
      </c>
      <c r="C4442" s="142" t="s">
        <v>15847</v>
      </c>
      <c r="D4442" s="142" t="s">
        <v>15848</v>
      </c>
      <c r="E4442" s="142" t="s">
        <v>15849</v>
      </c>
      <c r="F4442" s="142" t="s">
        <v>12028</v>
      </c>
      <c r="G4442" s="142" t="s">
        <v>12027</v>
      </c>
      <c r="H4442" s="142" t="s">
        <v>20292</v>
      </c>
      <c r="I4442" s="142">
        <v>167</v>
      </c>
      <c r="J4442" s="142">
        <v>121</v>
      </c>
      <c r="K4442" s="142">
        <v>0</v>
      </c>
      <c r="L4442" s="142">
        <v>0</v>
      </c>
      <c r="M4442" s="142">
        <v>46</v>
      </c>
    </row>
    <row r="4443" spans="1:13" x14ac:dyDescent="0.45">
      <c r="A4443" s="142" t="s">
        <v>13827</v>
      </c>
      <c r="B4443" s="142" t="s">
        <v>15402</v>
      </c>
      <c r="C4443" s="142" t="s">
        <v>15860</v>
      </c>
      <c r="D4443" s="142" t="s">
        <v>15861</v>
      </c>
      <c r="E4443" s="142" t="s">
        <v>15849</v>
      </c>
      <c r="F4443" s="142" t="s">
        <v>12028</v>
      </c>
      <c r="G4443" s="142" t="s">
        <v>12027</v>
      </c>
      <c r="H4443" s="142" t="s">
        <v>20293</v>
      </c>
      <c r="I4443" s="142">
        <v>5</v>
      </c>
      <c r="J4443" s="142">
        <v>4</v>
      </c>
      <c r="K4443" s="142">
        <v>1</v>
      </c>
      <c r="L4443" s="142">
        <v>0</v>
      </c>
      <c r="M4443" s="142">
        <v>0</v>
      </c>
    </row>
    <row r="4444" spans="1:13" x14ac:dyDescent="0.45">
      <c r="A4444" s="142" t="s">
        <v>13568</v>
      </c>
      <c r="B4444" s="142" t="s">
        <v>15242</v>
      </c>
      <c r="C4444" s="142" t="s">
        <v>15847</v>
      </c>
      <c r="D4444" s="142" t="s">
        <v>15848</v>
      </c>
      <c r="E4444" s="142" t="s">
        <v>15849</v>
      </c>
      <c r="F4444" s="142" t="s">
        <v>12028</v>
      </c>
      <c r="G4444" s="142" t="s">
        <v>12027</v>
      </c>
      <c r="H4444" s="142" t="s">
        <v>20294</v>
      </c>
      <c r="I4444" s="142">
        <v>24</v>
      </c>
      <c r="J4444" s="142">
        <v>24</v>
      </c>
      <c r="K4444" s="142">
        <v>0</v>
      </c>
      <c r="L4444" s="142">
        <v>0</v>
      </c>
      <c r="M4444" s="142">
        <v>0</v>
      </c>
    </row>
    <row r="4445" spans="1:13" x14ac:dyDescent="0.45">
      <c r="A4445" s="142" t="s">
        <v>13054</v>
      </c>
      <c r="B4445" s="142" t="s">
        <v>15604</v>
      </c>
      <c r="C4445" s="142" t="s">
        <v>15847</v>
      </c>
      <c r="D4445" s="142" t="s">
        <v>15848</v>
      </c>
      <c r="E4445" s="142" t="s">
        <v>15849</v>
      </c>
      <c r="F4445" s="142" t="s">
        <v>12028</v>
      </c>
      <c r="G4445" s="142" t="s">
        <v>12027</v>
      </c>
      <c r="H4445" s="142" t="s">
        <v>20295</v>
      </c>
      <c r="I4445" s="142">
        <v>12</v>
      </c>
      <c r="J4445" s="142">
        <v>0</v>
      </c>
      <c r="K4445" s="142">
        <v>0</v>
      </c>
      <c r="L4445" s="142">
        <v>0</v>
      </c>
      <c r="M4445" s="142">
        <v>12</v>
      </c>
    </row>
    <row r="4446" spans="1:13" x14ac:dyDescent="0.45">
      <c r="A4446" s="142" t="s">
        <v>13133</v>
      </c>
      <c r="B4446" s="142" t="s">
        <v>15291</v>
      </c>
      <c r="C4446" s="142" t="s">
        <v>15847</v>
      </c>
      <c r="D4446" s="142" t="s">
        <v>15848</v>
      </c>
      <c r="E4446" s="142" t="s">
        <v>15849</v>
      </c>
      <c r="F4446" s="142" t="s">
        <v>12028</v>
      </c>
      <c r="G4446" s="142" t="s">
        <v>12027</v>
      </c>
      <c r="H4446" s="142" t="s">
        <v>20296</v>
      </c>
      <c r="I4446" s="142">
        <v>1</v>
      </c>
      <c r="J4446" s="142">
        <v>0</v>
      </c>
      <c r="K4446" s="142">
        <v>0</v>
      </c>
      <c r="L4446" s="142">
        <v>0</v>
      </c>
      <c r="M4446" s="142">
        <v>1</v>
      </c>
    </row>
    <row r="4447" spans="1:13" x14ac:dyDescent="0.45">
      <c r="A4447" s="142" t="s">
        <v>13055</v>
      </c>
      <c r="B4447" s="142" t="s">
        <v>14595</v>
      </c>
      <c r="C4447" s="142" t="s">
        <v>15847</v>
      </c>
      <c r="D4447" s="142" t="s">
        <v>15848</v>
      </c>
      <c r="E4447" s="142" t="s">
        <v>15849</v>
      </c>
      <c r="F4447" s="142" t="s">
        <v>12028</v>
      </c>
      <c r="G4447" s="142" t="s">
        <v>12027</v>
      </c>
      <c r="H4447" s="142" t="s">
        <v>20297</v>
      </c>
      <c r="I4447" s="142">
        <v>951</v>
      </c>
      <c r="J4447" s="142">
        <v>787</v>
      </c>
      <c r="K4447" s="142">
        <v>0</v>
      </c>
      <c r="L4447" s="142">
        <v>54</v>
      </c>
      <c r="M4447" s="142">
        <v>110</v>
      </c>
    </row>
    <row r="4448" spans="1:13" x14ac:dyDescent="0.45">
      <c r="A4448" s="142" t="s">
        <v>13069</v>
      </c>
      <c r="B4448" s="142" t="s">
        <v>14630</v>
      </c>
      <c r="C4448" s="142" t="s">
        <v>15860</v>
      </c>
      <c r="D4448" s="142" t="s">
        <v>15861</v>
      </c>
      <c r="E4448" s="142" t="s">
        <v>15849</v>
      </c>
      <c r="F4448" s="142" t="s">
        <v>12028</v>
      </c>
      <c r="G4448" s="142" t="s">
        <v>12027</v>
      </c>
      <c r="H4448" s="142" t="s">
        <v>20298</v>
      </c>
      <c r="I4448" s="142">
        <v>9</v>
      </c>
      <c r="J4448" s="142">
        <v>9</v>
      </c>
      <c r="K4448" s="142">
        <v>0</v>
      </c>
      <c r="L4448" s="142">
        <v>0</v>
      </c>
      <c r="M4448" s="142">
        <v>0</v>
      </c>
    </row>
    <row r="4449" spans="1:13" x14ac:dyDescent="0.45">
      <c r="A4449" s="142" t="s">
        <v>13033</v>
      </c>
      <c r="B4449" s="142" t="s">
        <v>15276</v>
      </c>
      <c r="C4449" s="142" t="s">
        <v>15847</v>
      </c>
      <c r="D4449" s="142" t="s">
        <v>15848</v>
      </c>
      <c r="E4449" s="142" t="s">
        <v>15849</v>
      </c>
      <c r="F4449" s="142" t="s">
        <v>12028</v>
      </c>
      <c r="G4449" s="142" t="s">
        <v>12027</v>
      </c>
      <c r="H4449" s="142" t="s">
        <v>20299</v>
      </c>
      <c r="I4449" s="142">
        <v>18</v>
      </c>
      <c r="J4449" s="142">
        <v>16</v>
      </c>
      <c r="K4449" s="142">
        <v>0</v>
      </c>
      <c r="L4449" s="142">
        <v>0</v>
      </c>
      <c r="M4449" s="142">
        <v>2</v>
      </c>
    </row>
    <row r="4450" spans="1:13" x14ac:dyDescent="0.45">
      <c r="A4450" s="142" t="s">
        <v>13037</v>
      </c>
      <c r="B4450" s="142" t="s">
        <v>14519</v>
      </c>
      <c r="C4450" s="142" t="s">
        <v>15847</v>
      </c>
      <c r="D4450" s="142" t="s">
        <v>15848</v>
      </c>
      <c r="E4450" s="142" t="s">
        <v>15849</v>
      </c>
      <c r="F4450" s="142" t="s">
        <v>12028</v>
      </c>
      <c r="G4450" s="142" t="s">
        <v>12027</v>
      </c>
      <c r="H4450" s="142" t="s">
        <v>20300</v>
      </c>
      <c r="I4450" s="142">
        <v>33</v>
      </c>
      <c r="J4450" s="142">
        <v>0</v>
      </c>
      <c r="K4450" s="142">
        <v>0</v>
      </c>
      <c r="L4450" s="142">
        <v>33</v>
      </c>
      <c r="M4450" s="142">
        <v>0</v>
      </c>
    </row>
    <row r="4451" spans="1:13" x14ac:dyDescent="0.45">
      <c r="A4451" s="142" t="s">
        <v>13779</v>
      </c>
      <c r="B4451" s="142" t="s">
        <v>15434</v>
      </c>
      <c r="C4451" s="142" t="s">
        <v>15847</v>
      </c>
      <c r="D4451" s="142" t="s">
        <v>15848</v>
      </c>
      <c r="E4451" s="142" t="s">
        <v>15849</v>
      </c>
      <c r="F4451" s="142" t="s">
        <v>12028</v>
      </c>
      <c r="G4451" s="142" t="s">
        <v>12027</v>
      </c>
      <c r="H4451" s="142" t="s">
        <v>20301</v>
      </c>
      <c r="I4451" s="142">
        <v>300</v>
      </c>
      <c r="J4451" s="142">
        <v>274</v>
      </c>
      <c r="K4451" s="142">
        <v>0</v>
      </c>
      <c r="L4451" s="142">
        <v>0</v>
      </c>
      <c r="M4451" s="142">
        <v>26</v>
      </c>
    </row>
    <row r="4452" spans="1:13" x14ac:dyDescent="0.45">
      <c r="A4452" s="142" t="s">
        <v>13039</v>
      </c>
      <c r="B4452" s="142" t="s">
        <v>14647</v>
      </c>
      <c r="C4452" s="142" t="s">
        <v>15847</v>
      </c>
      <c r="D4452" s="142" t="s">
        <v>15848</v>
      </c>
      <c r="E4452" s="142" t="s">
        <v>15849</v>
      </c>
      <c r="F4452" s="142" t="s">
        <v>12028</v>
      </c>
      <c r="G4452" s="142" t="s">
        <v>12027</v>
      </c>
      <c r="H4452" s="142" t="s">
        <v>20302</v>
      </c>
      <c r="I4452" s="142">
        <v>6</v>
      </c>
      <c r="J4452" s="142">
        <v>6</v>
      </c>
      <c r="K4452" s="142">
        <v>0</v>
      </c>
      <c r="L4452" s="142">
        <v>0</v>
      </c>
      <c r="M4452" s="142">
        <v>0</v>
      </c>
    </row>
    <row r="4453" spans="1:13" x14ac:dyDescent="0.45">
      <c r="A4453" s="142" t="s">
        <v>13011</v>
      </c>
      <c r="B4453" s="142" t="s">
        <v>14695</v>
      </c>
      <c r="C4453" s="142" t="s">
        <v>15847</v>
      </c>
      <c r="D4453" s="142" t="s">
        <v>15848</v>
      </c>
      <c r="E4453" s="142" t="s">
        <v>15849</v>
      </c>
      <c r="F4453" s="142" t="s">
        <v>12028</v>
      </c>
      <c r="G4453" s="142" t="s">
        <v>12027</v>
      </c>
      <c r="H4453" s="142" t="s">
        <v>20303</v>
      </c>
      <c r="I4453" s="142">
        <v>113</v>
      </c>
      <c r="J4453" s="142">
        <v>4</v>
      </c>
      <c r="K4453" s="142">
        <v>78</v>
      </c>
      <c r="L4453" s="142">
        <v>0</v>
      </c>
      <c r="M4453" s="142">
        <v>31</v>
      </c>
    </row>
    <row r="4454" spans="1:13" x14ac:dyDescent="0.45">
      <c r="A4454" s="142" t="s">
        <v>13058</v>
      </c>
      <c r="B4454" s="142" t="s">
        <v>14584</v>
      </c>
      <c r="C4454" s="142" t="s">
        <v>15847</v>
      </c>
      <c r="D4454" s="142" t="s">
        <v>15848</v>
      </c>
      <c r="E4454" s="142" t="s">
        <v>15849</v>
      </c>
      <c r="F4454" s="142" t="s">
        <v>12028</v>
      </c>
      <c r="G4454" s="142" t="s">
        <v>12027</v>
      </c>
      <c r="H4454" s="142" t="s">
        <v>20304</v>
      </c>
      <c r="I4454" s="142">
        <v>11</v>
      </c>
      <c r="J4454" s="142">
        <v>11</v>
      </c>
      <c r="K4454" s="142">
        <v>0</v>
      </c>
      <c r="L4454" s="142">
        <v>0</v>
      </c>
      <c r="M4454" s="142">
        <v>0</v>
      </c>
    </row>
    <row r="4455" spans="1:13" x14ac:dyDescent="0.45">
      <c r="A4455" s="142" t="s">
        <v>13041</v>
      </c>
      <c r="B4455" s="142" t="s">
        <v>14441</v>
      </c>
      <c r="C4455" s="142" t="s">
        <v>15847</v>
      </c>
      <c r="D4455" s="142" t="s">
        <v>15848</v>
      </c>
      <c r="E4455" s="142" t="s">
        <v>15849</v>
      </c>
      <c r="F4455" s="142" t="s">
        <v>12028</v>
      </c>
      <c r="G4455" s="142" t="s">
        <v>12027</v>
      </c>
      <c r="H4455" s="142" t="s">
        <v>20305</v>
      </c>
      <c r="I4455" s="142">
        <v>3</v>
      </c>
      <c r="J4455" s="142">
        <v>0</v>
      </c>
      <c r="K4455" s="142">
        <v>0</v>
      </c>
      <c r="L4455" s="142">
        <v>0</v>
      </c>
      <c r="M4455" s="142">
        <v>3</v>
      </c>
    </row>
    <row r="4456" spans="1:13" x14ac:dyDescent="0.45">
      <c r="A4456" s="142" t="s">
        <v>13137</v>
      </c>
      <c r="B4456" s="142" t="s">
        <v>14690</v>
      </c>
      <c r="C4456" s="142" t="s">
        <v>15860</v>
      </c>
      <c r="D4456" s="142" t="s">
        <v>15861</v>
      </c>
      <c r="E4456" s="142" t="s">
        <v>15849</v>
      </c>
      <c r="F4456" s="142" t="s">
        <v>12028</v>
      </c>
      <c r="G4456" s="142" t="s">
        <v>12027</v>
      </c>
      <c r="H4456" s="142" t="s">
        <v>20306</v>
      </c>
      <c r="I4456" s="142">
        <v>11</v>
      </c>
      <c r="J4456" s="142">
        <v>11</v>
      </c>
      <c r="K4456" s="142">
        <v>0</v>
      </c>
      <c r="L4456" s="142">
        <v>0</v>
      </c>
      <c r="M4456" s="142">
        <v>0</v>
      </c>
    </row>
    <row r="4457" spans="1:13" x14ac:dyDescent="0.45">
      <c r="A4457" s="142" t="s">
        <v>13220</v>
      </c>
      <c r="B4457" s="142" t="s">
        <v>15505</v>
      </c>
      <c r="C4457" s="142" t="s">
        <v>15860</v>
      </c>
      <c r="D4457" s="142" t="s">
        <v>15861</v>
      </c>
      <c r="E4457" s="142" t="s">
        <v>15849</v>
      </c>
      <c r="F4457" s="142" t="s">
        <v>12028</v>
      </c>
      <c r="G4457" s="142" t="s">
        <v>12027</v>
      </c>
      <c r="H4457" s="142" t="s">
        <v>20307</v>
      </c>
      <c r="I4457" s="142">
        <v>77</v>
      </c>
      <c r="J4457" s="142">
        <v>77</v>
      </c>
      <c r="K4457" s="142">
        <v>0</v>
      </c>
      <c r="L4457" s="142">
        <v>0</v>
      </c>
      <c r="M4457" s="142">
        <v>0</v>
      </c>
    </row>
    <row r="4458" spans="1:13" x14ac:dyDescent="0.45">
      <c r="A4458" s="142" t="s">
        <v>13014</v>
      </c>
      <c r="B4458" s="142" t="s">
        <v>14505</v>
      </c>
      <c r="C4458" s="142" t="s">
        <v>15847</v>
      </c>
      <c r="D4458" s="142" t="s">
        <v>15848</v>
      </c>
      <c r="E4458" s="142" t="s">
        <v>15849</v>
      </c>
      <c r="F4458" s="142" t="s">
        <v>12028</v>
      </c>
      <c r="G4458" s="142" t="s">
        <v>12027</v>
      </c>
      <c r="H4458" s="142" t="s">
        <v>20308</v>
      </c>
      <c r="I4458" s="142">
        <v>217</v>
      </c>
      <c r="J4458" s="142">
        <v>93</v>
      </c>
      <c r="K4458" s="142">
        <v>0</v>
      </c>
      <c r="L4458" s="142">
        <v>0</v>
      </c>
      <c r="M4458" s="142">
        <v>124</v>
      </c>
    </row>
    <row r="4459" spans="1:13" x14ac:dyDescent="0.45">
      <c r="A4459" s="142" t="s">
        <v>13042</v>
      </c>
      <c r="B4459" s="142" t="s">
        <v>15489</v>
      </c>
      <c r="C4459" s="142" t="s">
        <v>15847</v>
      </c>
      <c r="D4459" s="142" t="s">
        <v>15848</v>
      </c>
      <c r="E4459" s="142" t="s">
        <v>15849</v>
      </c>
      <c r="F4459" s="142" t="s">
        <v>12028</v>
      </c>
      <c r="G4459" s="142" t="s">
        <v>12027</v>
      </c>
      <c r="H4459" s="142" t="s">
        <v>20309</v>
      </c>
      <c r="I4459" s="142">
        <v>28</v>
      </c>
      <c r="J4459" s="142">
        <v>10</v>
      </c>
      <c r="K4459" s="142">
        <v>5</v>
      </c>
      <c r="L4459" s="142">
        <v>12</v>
      </c>
      <c r="M4459" s="142">
        <v>1</v>
      </c>
    </row>
    <row r="4460" spans="1:13" x14ac:dyDescent="0.45">
      <c r="A4460" s="142" t="s">
        <v>13673</v>
      </c>
      <c r="B4460" s="142" t="s">
        <v>15591</v>
      </c>
      <c r="C4460" s="142" t="s">
        <v>15860</v>
      </c>
      <c r="D4460" s="142" t="s">
        <v>15861</v>
      </c>
      <c r="E4460" s="142" t="s">
        <v>15849</v>
      </c>
      <c r="F4460" s="142" t="s">
        <v>12028</v>
      </c>
      <c r="G4460" s="142" t="s">
        <v>12027</v>
      </c>
      <c r="H4460" s="142" t="s">
        <v>20310</v>
      </c>
      <c r="I4460" s="142">
        <v>10</v>
      </c>
      <c r="J4460" s="142">
        <v>0</v>
      </c>
      <c r="K4460" s="142">
        <v>10</v>
      </c>
      <c r="L4460" s="142">
        <v>0</v>
      </c>
      <c r="M4460" s="142">
        <v>0</v>
      </c>
    </row>
    <row r="4461" spans="1:13" x14ac:dyDescent="0.45">
      <c r="A4461" s="142" t="s">
        <v>13062</v>
      </c>
      <c r="B4461" s="142" t="s">
        <v>15259</v>
      </c>
      <c r="C4461" s="142" t="s">
        <v>15847</v>
      </c>
      <c r="D4461" s="142" t="s">
        <v>15848</v>
      </c>
      <c r="E4461" s="142" t="s">
        <v>15849</v>
      </c>
      <c r="F4461" s="142" t="s">
        <v>12028</v>
      </c>
      <c r="G4461" s="142" t="s">
        <v>12027</v>
      </c>
      <c r="H4461" s="142" t="s">
        <v>20311</v>
      </c>
      <c r="I4461" s="142">
        <v>155</v>
      </c>
      <c r="J4461" s="142">
        <v>83</v>
      </c>
      <c r="K4461" s="142">
        <v>0</v>
      </c>
      <c r="L4461" s="142">
        <v>0</v>
      </c>
      <c r="M4461" s="142">
        <v>72</v>
      </c>
    </row>
    <row r="4462" spans="1:13" x14ac:dyDescent="0.45">
      <c r="A4462" s="142" t="s">
        <v>13016</v>
      </c>
      <c r="B4462" s="142" t="s">
        <v>14535</v>
      </c>
      <c r="C4462" s="142" t="s">
        <v>15860</v>
      </c>
      <c r="D4462" s="142" t="s">
        <v>15861</v>
      </c>
      <c r="E4462" s="142" t="s">
        <v>15849</v>
      </c>
      <c r="F4462" s="142" t="s">
        <v>12028</v>
      </c>
      <c r="G4462" s="142" t="s">
        <v>12027</v>
      </c>
      <c r="H4462" s="142" t="s">
        <v>20312</v>
      </c>
      <c r="I4462" s="142">
        <v>3</v>
      </c>
      <c r="J4462" s="142">
        <v>0</v>
      </c>
      <c r="K4462" s="142">
        <v>0</v>
      </c>
      <c r="L4462" s="142">
        <v>3</v>
      </c>
      <c r="M4462" s="142">
        <v>0</v>
      </c>
    </row>
    <row r="4463" spans="1:13" x14ac:dyDescent="0.45">
      <c r="A4463" s="142" t="s">
        <v>13444</v>
      </c>
      <c r="B4463" s="142" t="s">
        <v>15335</v>
      </c>
      <c r="C4463" s="142" t="s">
        <v>15860</v>
      </c>
      <c r="D4463" s="142" t="s">
        <v>15861</v>
      </c>
      <c r="E4463" s="142" t="s">
        <v>15849</v>
      </c>
      <c r="F4463" s="142" t="s">
        <v>12028</v>
      </c>
      <c r="G4463" s="142" t="s">
        <v>12027</v>
      </c>
      <c r="H4463" s="142" t="s">
        <v>20313</v>
      </c>
      <c r="I4463" s="142">
        <v>3</v>
      </c>
      <c r="J4463" s="142">
        <v>3</v>
      </c>
      <c r="K4463" s="142">
        <v>0</v>
      </c>
      <c r="L4463" s="142">
        <v>0</v>
      </c>
      <c r="M4463" s="142">
        <v>0</v>
      </c>
    </row>
    <row r="4464" spans="1:13" x14ac:dyDescent="0.45">
      <c r="A4464" s="142" t="s">
        <v>13640</v>
      </c>
      <c r="B4464" s="142" t="s">
        <v>15570</v>
      </c>
      <c r="C4464" s="142" t="s">
        <v>15847</v>
      </c>
      <c r="D4464" s="142" t="s">
        <v>15848</v>
      </c>
      <c r="E4464" s="142" t="s">
        <v>15849</v>
      </c>
      <c r="F4464" s="142" t="s">
        <v>12028</v>
      </c>
      <c r="G4464" s="142" t="s">
        <v>12027</v>
      </c>
      <c r="H4464" s="142" t="s">
        <v>20314</v>
      </c>
      <c r="I4464" s="142">
        <v>150</v>
      </c>
      <c r="J4464" s="142">
        <v>0</v>
      </c>
      <c r="K4464" s="142">
        <v>0</v>
      </c>
      <c r="L4464" s="142">
        <v>150</v>
      </c>
      <c r="M4464" s="142">
        <v>0</v>
      </c>
    </row>
    <row r="4465" spans="1:13" x14ac:dyDescent="0.45">
      <c r="A4465" s="142" t="s">
        <v>13146</v>
      </c>
      <c r="B4465" s="142" t="s">
        <v>15310</v>
      </c>
      <c r="C4465" s="142" t="s">
        <v>15847</v>
      </c>
      <c r="D4465" s="142" t="s">
        <v>15848</v>
      </c>
      <c r="E4465" s="142" t="s">
        <v>15849</v>
      </c>
      <c r="F4465" s="142" t="s">
        <v>11020</v>
      </c>
      <c r="G4465" s="142" t="s">
        <v>11019</v>
      </c>
      <c r="H4465" s="142" t="s">
        <v>20315</v>
      </c>
      <c r="I4465" s="142">
        <v>8</v>
      </c>
      <c r="J4465" s="142">
        <v>8</v>
      </c>
      <c r="K4465" s="142">
        <v>0</v>
      </c>
      <c r="L4465" s="142">
        <v>0</v>
      </c>
      <c r="M4465" s="142">
        <v>0</v>
      </c>
    </row>
    <row r="4466" spans="1:13" x14ac:dyDescent="0.45">
      <c r="A4466" s="142" t="s">
        <v>13072</v>
      </c>
      <c r="B4466" s="142" t="s">
        <v>15530</v>
      </c>
      <c r="C4466" s="142" t="s">
        <v>15847</v>
      </c>
      <c r="D4466" s="142" t="s">
        <v>15848</v>
      </c>
      <c r="E4466" s="142" t="s">
        <v>15849</v>
      </c>
      <c r="F4466" s="142" t="s">
        <v>11020</v>
      </c>
      <c r="G4466" s="142" t="s">
        <v>11019</v>
      </c>
      <c r="H4466" s="142" t="s">
        <v>20316</v>
      </c>
      <c r="I4466" s="142">
        <v>250</v>
      </c>
      <c r="J4466" s="142">
        <v>218</v>
      </c>
      <c r="K4466" s="142">
        <v>0</v>
      </c>
      <c r="L4466" s="142">
        <v>32</v>
      </c>
      <c r="M4466" s="142">
        <v>0</v>
      </c>
    </row>
    <row r="4467" spans="1:13" x14ac:dyDescent="0.45">
      <c r="A4467" s="142" t="s">
        <v>13410</v>
      </c>
      <c r="B4467" s="142" t="s">
        <v>15311</v>
      </c>
      <c r="C4467" s="142" t="s">
        <v>15860</v>
      </c>
      <c r="D4467" s="142" t="s">
        <v>15861</v>
      </c>
      <c r="E4467" s="142" t="s">
        <v>15849</v>
      </c>
      <c r="F4467" s="142" t="s">
        <v>11020</v>
      </c>
      <c r="G4467" s="142" t="s">
        <v>11019</v>
      </c>
      <c r="H4467" s="142" t="s">
        <v>20317</v>
      </c>
      <c r="I4467" s="142">
        <v>46</v>
      </c>
      <c r="J4467" s="142">
        <v>0</v>
      </c>
      <c r="K4467" s="142">
        <v>0</v>
      </c>
      <c r="L4467" s="142">
        <v>46</v>
      </c>
      <c r="M4467" s="142">
        <v>0</v>
      </c>
    </row>
    <row r="4468" spans="1:13" x14ac:dyDescent="0.45">
      <c r="A4468" s="142" t="s">
        <v>13023</v>
      </c>
      <c r="B4468" s="142" t="s">
        <v>15571</v>
      </c>
      <c r="C4468" s="142" t="s">
        <v>15847</v>
      </c>
      <c r="D4468" s="142" t="s">
        <v>15848</v>
      </c>
      <c r="E4468" s="142" t="s">
        <v>15849</v>
      </c>
      <c r="F4468" s="142" t="s">
        <v>11020</v>
      </c>
      <c r="G4468" s="142" t="s">
        <v>11019</v>
      </c>
      <c r="H4468" s="142" t="s">
        <v>20318</v>
      </c>
      <c r="I4468" s="142">
        <v>182</v>
      </c>
      <c r="J4468" s="142">
        <v>0</v>
      </c>
      <c r="K4468" s="142">
        <v>0</v>
      </c>
      <c r="L4468" s="142">
        <v>182</v>
      </c>
      <c r="M4468" s="142">
        <v>0</v>
      </c>
    </row>
    <row r="4469" spans="1:13" x14ac:dyDescent="0.45">
      <c r="A4469" s="142" t="s">
        <v>13113</v>
      </c>
      <c r="B4469" s="142" t="s">
        <v>14503</v>
      </c>
      <c r="C4469" s="142" t="s">
        <v>15860</v>
      </c>
      <c r="D4469" s="142" t="s">
        <v>15861</v>
      </c>
      <c r="E4469" s="142" t="s">
        <v>15849</v>
      </c>
      <c r="F4469" s="142" t="s">
        <v>11020</v>
      </c>
      <c r="G4469" s="142" t="s">
        <v>11019</v>
      </c>
      <c r="H4469" s="142" t="s">
        <v>20319</v>
      </c>
      <c r="I4469" s="142">
        <v>1</v>
      </c>
      <c r="J4469" s="142">
        <v>1</v>
      </c>
      <c r="K4469" s="142">
        <v>0</v>
      </c>
      <c r="L4469" s="142">
        <v>0</v>
      </c>
      <c r="M4469" s="142">
        <v>0</v>
      </c>
    </row>
    <row r="4470" spans="1:13" x14ac:dyDescent="0.45">
      <c r="A4470" s="142" t="s">
        <v>13115</v>
      </c>
      <c r="B4470" s="142" t="s">
        <v>14508</v>
      </c>
      <c r="C4470" s="142" t="s">
        <v>15860</v>
      </c>
      <c r="D4470" s="142" t="s">
        <v>15861</v>
      </c>
      <c r="E4470" s="142" t="s">
        <v>15849</v>
      </c>
      <c r="F4470" s="142" t="s">
        <v>11020</v>
      </c>
      <c r="G4470" s="142" t="s">
        <v>11019</v>
      </c>
      <c r="H4470" s="142" t="s">
        <v>20320</v>
      </c>
      <c r="I4470" s="142">
        <v>12</v>
      </c>
      <c r="J4470" s="142">
        <v>0</v>
      </c>
      <c r="K4470" s="142">
        <v>0</v>
      </c>
      <c r="L4470" s="142">
        <v>12</v>
      </c>
      <c r="M4470" s="142">
        <v>0</v>
      </c>
    </row>
    <row r="4471" spans="1:13" x14ac:dyDescent="0.45">
      <c r="A4471" s="142" t="s">
        <v>13273</v>
      </c>
      <c r="B4471" s="142" t="s">
        <v>14465</v>
      </c>
      <c r="C4471" s="142" t="s">
        <v>15860</v>
      </c>
      <c r="D4471" s="142" t="s">
        <v>15861</v>
      </c>
      <c r="E4471" s="142" t="s">
        <v>15849</v>
      </c>
      <c r="F4471" s="142" t="s">
        <v>11020</v>
      </c>
      <c r="G4471" s="142" t="s">
        <v>11019</v>
      </c>
      <c r="H4471" s="142" t="s">
        <v>20321</v>
      </c>
      <c r="I4471" s="142">
        <v>26</v>
      </c>
      <c r="J4471" s="142">
        <v>0</v>
      </c>
      <c r="K4471" s="142">
        <v>0</v>
      </c>
      <c r="L4471" s="142">
        <v>26</v>
      </c>
      <c r="M4471" s="142">
        <v>0</v>
      </c>
    </row>
    <row r="4472" spans="1:13" x14ac:dyDescent="0.45">
      <c r="A4472" s="142" t="s">
        <v>13320</v>
      </c>
      <c r="B4472" s="142" t="s">
        <v>14575</v>
      </c>
      <c r="C4472" s="142" t="s">
        <v>15860</v>
      </c>
      <c r="D4472" s="142" t="s">
        <v>15861</v>
      </c>
      <c r="E4472" s="142" t="s">
        <v>15849</v>
      </c>
      <c r="F4472" s="142" t="s">
        <v>11020</v>
      </c>
      <c r="G4472" s="142" t="s">
        <v>11019</v>
      </c>
      <c r="H4472" s="142" t="s">
        <v>20322</v>
      </c>
      <c r="I4472" s="142">
        <v>28</v>
      </c>
      <c r="J4472" s="142">
        <v>0</v>
      </c>
      <c r="K4472" s="142">
        <v>0</v>
      </c>
      <c r="L4472" s="142">
        <v>28</v>
      </c>
      <c r="M4472" s="142">
        <v>0</v>
      </c>
    </row>
    <row r="4473" spans="1:13" x14ac:dyDescent="0.45">
      <c r="A4473" s="142" t="s">
        <v>13321</v>
      </c>
      <c r="B4473" s="142" t="s">
        <v>15367</v>
      </c>
      <c r="C4473" s="142" t="s">
        <v>15847</v>
      </c>
      <c r="D4473" s="142" t="s">
        <v>15848</v>
      </c>
      <c r="E4473" s="142" t="s">
        <v>15849</v>
      </c>
      <c r="F4473" s="142" t="s">
        <v>11020</v>
      </c>
      <c r="G4473" s="142" t="s">
        <v>11019</v>
      </c>
      <c r="H4473" s="142" t="s">
        <v>20323</v>
      </c>
      <c r="I4473" s="142">
        <v>908</v>
      </c>
      <c r="J4473" s="142">
        <v>369</v>
      </c>
      <c r="K4473" s="142">
        <v>0</v>
      </c>
      <c r="L4473" s="142">
        <v>475</v>
      </c>
      <c r="M4473" s="142">
        <v>64</v>
      </c>
    </row>
    <row r="4474" spans="1:13" x14ac:dyDescent="0.45">
      <c r="A4474" s="142" t="s">
        <v>13829</v>
      </c>
      <c r="B4474" s="142" t="s">
        <v>14429</v>
      </c>
      <c r="C4474" s="142" t="s">
        <v>15847</v>
      </c>
      <c r="D4474" s="142" t="s">
        <v>15848</v>
      </c>
      <c r="E4474" s="142" t="s">
        <v>15849</v>
      </c>
      <c r="F4474" s="142" t="s">
        <v>11020</v>
      </c>
      <c r="G4474" s="142" t="s">
        <v>11019</v>
      </c>
      <c r="H4474" s="142" t="s">
        <v>20324</v>
      </c>
      <c r="I4474" s="142">
        <v>25</v>
      </c>
      <c r="J4474" s="142">
        <v>10</v>
      </c>
      <c r="K4474" s="142">
        <v>0</v>
      </c>
      <c r="L4474" s="142">
        <v>0</v>
      </c>
      <c r="M4474" s="142">
        <v>15</v>
      </c>
    </row>
    <row r="4475" spans="1:13" x14ac:dyDescent="0.45">
      <c r="A4475" s="142" t="s">
        <v>13552</v>
      </c>
      <c r="B4475" s="142" t="s">
        <v>14476</v>
      </c>
      <c r="C4475" s="142" t="s">
        <v>15860</v>
      </c>
      <c r="D4475" s="142" t="s">
        <v>15861</v>
      </c>
      <c r="E4475" s="142" t="s">
        <v>15849</v>
      </c>
      <c r="F4475" s="142" t="s">
        <v>11020</v>
      </c>
      <c r="G4475" s="142" t="s">
        <v>11019</v>
      </c>
      <c r="H4475" s="142" t="s">
        <v>20325</v>
      </c>
      <c r="I4475" s="142">
        <v>13</v>
      </c>
      <c r="J4475" s="142">
        <v>0</v>
      </c>
      <c r="K4475" s="142">
        <v>0</v>
      </c>
      <c r="L4475" s="142">
        <v>13</v>
      </c>
      <c r="M4475" s="142">
        <v>0</v>
      </c>
    </row>
    <row r="4476" spans="1:13" x14ac:dyDescent="0.45">
      <c r="A4476" s="142" t="s">
        <v>13500</v>
      </c>
      <c r="B4476" s="142" t="s">
        <v>15422</v>
      </c>
      <c r="C4476" s="142" t="s">
        <v>15847</v>
      </c>
      <c r="D4476" s="142" t="s">
        <v>15848</v>
      </c>
      <c r="E4476" s="142" t="s">
        <v>15849</v>
      </c>
      <c r="F4476" s="142" t="s">
        <v>11020</v>
      </c>
      <c r="G4476" s="142" t="s">
        <v>11019</v>
      </c>
      <c r="H4476" s="142" t="s">
        <v>20326</v>
      </c>
      <c r="I4476" s="142">
        <v>6</v>
      </c>
      <c r="J4476" s="142">
        <v>0</v>
      </c>
      <c r="K4476" s="142">
        <v>0</v>
      </c>
      <c r="L4476" s="142">
        <v>0</v>
      </c>
      <c r="M4476" s="142">
        <v>6</v>
      </c>
    </row>
    <row r="4477" spans="1:13" x14ac:dyDescent="0.45">
      <c r="A4477" s="142" t="s">
        <v>13027</v>
      </c>
      <c r="B4477" s="142" t="s">
        <v>14562</v>
      </c>
      <c r="C4477" s="142" t="s">
        <v>15847</v>
      </c>
      <c r="D4477" s="142" t="s">
        <v>15848</v>
      </c>
      <c r="E4477" s="142" t="s">
        <v>15849</v>
      </c>
      <c r="F4477" s="142" t="s">
        <v>11020</v>
      </c>
      <c r="G4477" s="142" t="s">
        <v>11019</v>
      </c>
      <c r="H4477" s="142" t="s">
        <v>20327</v>
      </c>
      <c r="I4477" s="142">
        <v>10</v>
      </c>
      <c r="J4477" s="142">
        <v>0</v>
      </c>
      <c r="K4477" s="142">
        <v>0</v>
      </c>
      <c r="L4477" s="142">
        <v>10</v>
      </c>
      <c r="M4477" s="142">
        <v>0</v>
      </c>
    </row>
    <row r="4478" spans="1:13" x14ac:dyDescent="0.45">
      <c r="A4478" s="142" t="s">
        <v>13149</v>
      </c>
      <c r="B4478" s="142" t="s">
        <v>14458</v>
      </c>
      <c r="C4478" s="142" t="s">
        <v>15860</v>
      </c>
      <c r="D4478" s="142" t="s">
        <v>15861</v>
      </c>
      <c r="E4478" s="142" t="s">
        <v>15849</v>
      </c>
      <c r="F4478" s="142" t="s">
        <v>11020</v>
      </c>
      <c r="G4478" s="142" t="s">
        <v>11019</v>
      </c>
      <c r="H4478" s="142" t="s">
        <v>20328</v>
      </c>
      <c r="I4478" s="142">
        <v>12</v>
      </c>
      <c r="J4478" s="142">
        <v>0</v>
      </c>
      <c r="K4478" s="142">
        <v>0</v>
      </c>
      <c r="L4478" s="142">
        <v>12</v>
      </c>
      <c r="M4478" s="142">
        <v>0</v>
      </c>
    </row>
    <row r="4479" spans="1:13" x14ac:dyDescent="0.45">
      <c r="A4479" s="142" t="s">
        <v>13028</v>
      </c>
      <c r="B4479" s="142" t="s">
        <v>14462</v>
      </c>
      <c r="C4479" s="142" t="s">
        <v>15847</v>
      </c>
      <c r="D4479" s="142" t="s">
        <v>15848</v>
      </c>
      <c r="E4479" s="142" t="s">
        <v>15849</v>
      </c>
      <c r="F4479" s="142" t="s">
        <v>11020</v>
      </c>
      <c r="G4479" s="142" t="s">
        <v>11019</v>
      </c>
      <c r="H4479" s="142" t="s">
        <v>20329</v>
      </c>
      <c r="I4479" s="142">
        <v>25</v>
      </c>
      <c r="J4479" s="142">
        <v>0</v>
      </c>
      <c r="K4479" s="142">
        <v>0</v>
      </c>
      <c r="L4479" s="142">
        <v>0</v>
      </c>
      <c r="M4479" s="142">
        <v>25</v>
      </c>
    </row>
    <row r="4480" spans="1:13" x14ac:dyDescent="0.45">
      <c r="A4480" s="142" t="s">
        <v>13150</v>
      </c>
      <c r="B4480" s="142" t="s">
        <v>14539</v>
      </c>
      <c r="C4480" s="142" t="s">
        <v>15860</v>
      </c>
      <c r="D4480" s="142" t="s">
        <v>15861</v>
      </c>
      <c r="E4480" s="142" t="s">
        <v>15849</v>
      </c>
      <c r="F4480" s="142" t="s">
        <v>11020</v>
      </c>
      <c r="G4480" s="142" t="s">
        <v>11019</v>
      </c>
      <c r="H4480" s="142" t="s">
        <v>20330</v>
      </c>
      <c r="I4480" s="142">
        <v>41</v>
      </c>
      <c r="J4480" s="142">
        <v>2</v>
      </c>
      <c r="K4480" s="142">
        <v>0</v>
      </c>
      <c r="L4480" s="142">
        <v>39</v>
      </c>
      <c r="M4480" s="142">
        <v>0</v>
      </c>
    </row>
    <row r="4481" spans="1:13" x14ac:dyDescent="0.45">
      <c r="A4481" s="142" t="s">
        <v>13160</v>
      </c>
      <c r="B4481" s="142" t="s">
        <v>14525</v>
      </c>
      <c r="C4481" s="142" t="s">
        <v>15847</v>
      </c>
      <c r="D4481" s="142" t="s">
        <v>15848</v>
      </c>
      <c r="E4481" s="142" t="s">
        <v>15849</v>
      </c>
      <c r="F4481" s="142" t="s">
        <v>11020</v>
      </c>
      <c r="G4481" s="142" t="s">
        <v>11019</v>
      </c>
      <c r="H4481" s="142" t="s">
        <v>20331</v>
      </c>
      <c r="I4481" s="142">
        <v>27</v>
      </c>
      <c r="J4481" s="142">
        <v>0</v>
      </c>
      <c r="K4481" s="142">
        <v>0</v>
      </c>
      <c r="L4481" s="142">
        <v>27</v>
      </c>
      <c r="M4481" s="142">
        <v>0</v>
      </c>
    </row>
    <row r="4482" spans="1:13" x14ac:dyDescent="0.45">
      <c r="A4482" s="142" t="s">
        <v>13002</v>
      </c>
      <c r="B4482" s="142" t="s">
        <v>15376</v>
      </c>
      <c r="C4482" s="142" t="s">
        <v>15847</v>
      </c>
      <c r="D4482" s="142" t="s">
        <v>15848</v>
      </c>
      <c r="E4482" s="142" t="s">
        <v>15849</v>
      </c>
      <c r="F4482" s="142" t="s">
        <v>11020</v>
      </c>
      <c r="G4482" s="142" t="s">
        <v>11019</v>
      </c>
      <c r="H4482" s="142" t="s">
        <v>20332</v>
      </c>
      <c r="I4482" s="142">
        <v>282</v>
      </c>
      <c r="J4482" s="142">
        <v>196</v>
      </c>
      <c r="K4482" s="142">
        <v>0</v>
      </c>
      <c r="L4482" s="142">
        <v>46</v>
      </c>
      <c r="M4482" s="142">
        <v>40</v>
      </c>
    </row>
    <row r="4483" spans="1:13" x14ac:dyDescent="0.45">
      <c r="A4483" s="142" t="s">
        <v>13003</v>
      </c>
      <c r="B4483" s="142" t="s">
        <v>15245</v>
      </c>
      <c r="C4483" s="142" t="s">
        <v>15847</v>
      </c>
      <c r="D4483" s="142" t="s">
        <v>15848</v>
      </c>
      <c r="E4483" s="142" t="s">
        <v>15849</v>
      </c>
      <c r="F4483" s="142" t="s">
        <v>11020</v>
      </c>
      <c r="G4483" s="142" t="s">
        <v>11019</v>
      </c>
      <c r="H4483" s="142" t="s">
        <v>20333</v>
      </c>
      <c r="I4483" s="142">
        <v>202</v>
      </c>
      <c r="J4483" s="142">
        <v>0</v>
      </c>
      <c r="K4483" s="142">
        <v>0</v>
      </c>
      <c r="L4483" s="142">
        <v>202</v>
      </c>
      <c r="M4483" s="142">
        <v>0</v>
      </c>
    </row>
    <row r="4484" spans="1:13" x14ac:dyDescent="0.45">
      <c r="A4484" s="142" t="s">
        <v>13420</v>
      </c>
      <c r="B4484" s="142" t="s">
        <v>14576</v>
      </c>
      <c r="C4484" s="142" t="s">
        <v>15860</v>
      </c>
      <c r="D4484" s="142" t="s">
        <v>15861</v>
      </c>
      <c r="E4484" s="142" t="s">
        <v>15849</v>
      </c>
      <c r="F4484" s="142" t="s">
        <v>11020</v>
      </c>
      <c r="G4484" s="142" t="s">
        <v>11019</v>
      </c>
      <c r="H4484" s="142" t="s">
        <v>20334</v>
      </c>
      <c r="I4484" s="142">
        <v>7</v>
      </c>
      <c r="J4484" s="142">
        <v>0</v>
      </c>
      <c r="K4484" s="142">
        <v>0</v>
      </c>
      <c r="L4484" s="142">
        <v>7</v>
      </c>
      <c r="M4484" s="142">
        <v>0</v>
      </c>
    </row>
    <row r="4485" spans="1:13" x14ac:dyDescent="0.45">
      <c r="A4485" s="142" t="s">
        <v>13066</v>
      </c>
      <c r="B4485" s="142" t="s">
        <v>14459</v>
      </c>
      <c r="C4485" s="142" t="s">
        <v>15847</v>
      </c>
      <c r="D4485" s="142" t="s">
        <v>15848</v>
      </c>
      <c r="E4485" s="142" t="s">
        <v>15849</v>
      </c>
      <c r="F4485" s="142" t="s">
        <v>11020</v>
      </c>
      <c r="G4485" s="142" t="s">
        <v>11019</v>
      </c>
      <c r="H4485" s="142" t="s">
        <v>20335</v>
      </c>
      <c r="I4485" s="142">
        <v>9</v>
      </c>
      <c r="J4485" s="142">
        <v>0</v>
      </c>
      <c r="K4485" s="142">
        <v>0</v>
      </c>
      <c r="L4485" s="142">
        <v>9</v>
      </c>
      <c r="M4485" s="142">
        <v>0</v>
      </c>
    </row>
    <row r="4486" spans="1:13" x14ac:dyDescent="0.45">
      <c r="A4486" s="142" t="s">
        <v>13323</v>
      </c>
      <c r="B4486" s="142" t="s">
        <v>15466</v>
      </c>
      <c r="C4486" s="142" t="s">
        <v>15847</v>
      </c>
      <c r="D4486" s="142" t="s">
        <v>15848</v>
      </c>
      <c r="E4486" s="142" t="s">
        <v>15849</v>
      </c>
      <c r="F4486" s="142" t="s">
        <v>11020</v>
      </c>
      <c r="G4486" s="142" t="s">
        <v>11019</v>
      </c>
      <c r="H4486" s="142" t="s">
        <v>20336</v>
      </c>
      <c r="I4486" s="142">
        <v>1034</v>
      </c>
      <c r="J4486" s="142">
        <v>952</v>
      </c>
      <c r="K4486" s="142">
        <v>0</v>
      </c>
      <c r="L4486" s="142">
        <v>37</v>
      </c>
      <c r="M4486" s="142">
        <v>45</v>
      </c>
    </row>
    <row r="4487" spans="1:13" x14ac:dyDescent="0.45">
      <c r="A4487" s="142" t="s">
        <v>13830</v>
      </c>
      <c r="B4487" s="142" t="s">
        <v>14510</v>
      </c>
      <c r="C4487" s="142" t="s">
        <v>15860</v>
      </c>
      <c r="D4487" s="142" t="s">
        <v>15861</v>
      </c>
      <c r="E4487" s="142" t="s">
        <v>15849</v>
      </c>
      <c r="F4487" s="142" t="s">
        <v>11020</v>
      </c>
      <c r="G4487" s="142" t="s">
        <v>11019</v>
      </c>
      <c r="H4487" s="142" t="s">
        <v>20337</v>
      </c>
      <c r="I4487" s="142">
        <v>8</v>
      </c>
      <c r="J4487" s="142">
        <v>8</v>
      </c>
      <c r="K4487" s="142">
        <v>0</v>
      </c>
      <c r="L4487" s="142">
        <v>0</v>
      </c>
      <c r="M4487" s="142">
        <v>0</v>
      </c>
    </row>
    <row r="4488" spans="1:13" x14ac:dyDescent="0.45">
      <c r="A4488" s="142" t="s">
        <v>13652</v>
      </c>
      <c r="B4488" s="142" t="s">
        <v>15519</v>
      </c>
      <c r="C4488" s="142" t="s">
        <v>15847</v>
      </c>
      <c r="D4488" s="142" t="s">
        <v>15848</v>
      </c>
      <c r="E4488" s="142" t="s">
        <v>15849</v>
      </c>
      <c r="F4488" s="142" t="s">
        <v>11020</v>
      </c>
      <c r="G4488" s="142" t="s">
        <v>11019</v>
      </c>
      <c r="H4488" s="142" t="s">
        <v>20338</v>
      </c>
      <c r="I4488" s="142">
        <v>51</v>
      </c>
      <c r="J4488" s="142">
        <v>32</v>
      </c>
      <c r="K4488" s="142">
        <v>0</v>
      </c>
      <c r="L4488" s="142">
        <v>0</v>
      </c>
      <c r="M4488" s="142">
        <v>19</v>
      </c>
    </row>
    <row r="4489" spans="1:13" x14ac:dyDescent="0.45">
      <c r="A4489" s="142" t="s">
        <v>13076</v>
      </c>
      <c r="B4489" s="142" t="s">
        <v>14636</v>
      </c>
      <c r="C4489" s="142" t="s">
        <v>15847</v>
      </c>
      <c r="D4489" s="142" t="s">
        <v>15848</v>
      </c>
      <c r="E4489" s="142" t="s">
        <v>15849</v>
      </c>
      <c r="F4489" s="142" t="s">
        <v>11020</v>
      </c>
      <c r="G4489" s="142" t="s">
        <v>11019</v>
      </c>
      <c r="H4489" s="142" t="s">
        <v>20339</v>
      </c>
      <c r="I4489" s="142">
        <v>2</v>
      </c>
      <c r="J4489" s="142">
        <v>0</v>
      </c>
      <c r="K4489" s="142">
        <v>0</v>
      </c>
      <c r="L4489" s="142">
        <v>0</v>
      </c>
      <c r="M4489" s="142">
        <v>2</v>
      </c>
    </row>
    <row r="4490" spans="1:13" x14ac:dyDescent="0.45">
      <c r="A4490" s="142" t="s">
        <v>13192</v>
      </c>
      <c r="B4490" s="142" t="s">
        <v>15539</v>
      </c>
      <c r="C4490" s="142" t="s">
        <v>15860</v>
      </c>
      <c r="D4490" s="142" t="s">
        <v>15861</v>
      </c>
      <c r="E4490" s="142" t="s">
        <v>15849</v>
      </c>
      <c r="F4490" s="142" t="s">
        <v>11020</v>
      </c>
      <c r="G4490" s="142" t="s">
        <v>11019</v>
      </c>
      <c r="H4490" s="142" t="s">
        <v>20340</v>
      </c>
      <c r="I4490" s="142">
        <v>46</v>
      </c>
      <c r="J4490" s="142">
        <v>0</v>
      </c>
      <c r="K4490" s="142">
        <v>0</v>
      </c>
      <c r="L4490" s="142">
        <v>46</v>
      </c>
      <c r="M4490" s="142">
        <v>0</v>
      </c>
    </row>
    <row r="4491" spans="1:13" x14ac:dyDescent="0.45">
      <c r="A4491" s="142" t="s">
        <v>13831</v>
      </c>
      <c r="B4491" s="142" t="s">
        <v>14485</v>
      </c>
      <c r="C4491" s="142" t="s">
        <v>15860</v>
      </c>
      <c r="D4491" s="142" t="s">
        <v>15861</v>
      </c>
      <c r="E4491" s="142" t="s">
        <v>15849</v>
      </c>
      <c r="F4491" s="142" t="s">
        <v>11020</v>
      </c>
      <c r="G4491" s="142" t="s">
        <v>11019</v>
      </c>
      <c r="H4491" s="142" t="s">
        <v>20341</v>
      </c>
      <c r="I4491" s="142">
        <v>1</v>
      </c>
      <c r="J4491" s="142">
        <v>1</v>
      </c>
      <c r="K4491" s="142">
        <v>0</v>
      </c>
      <c r="L4491" s="142">
        <v>0</v>
      </c>
      <c r="M4491" s="142">
        <v>0</v>
      </c>
    </row>
    <row r="4492" spans="1:13" x14ac:dyDescent="0.45">
      <c r="A4492" s="142" t="s">
        <v>13033</v>
      </c>
      <c r="B4492" s="142" t="s">
        <v>15276</v>
      </c>
      <c r="C4492" s="142" t="s">
        <v>15847</v>
      </c>
      <c r="D4492" s="142" t="s">
        <v>15848</v>
      </c>
      <c r="E4492" s="142" t="s">
        <v>15849</v>
      </c>
      <c r="F4492" s="142" t="s">
        <v>11020</v>
      </c>
      <c r="G4492" s="142" t="s">
        <v>11019</v>
      </c>
      <c r="H4492" s="142" t="s">
        <v>20342</v>
      </c>
      <c r="I4492" s="142">
        <v>326</v>
      </c>
      <c r="J4492" s="142">
        <v>258</v>
      </c>
      <c r="K4492" s="142">
        <v>0</v>
      </c>
      <c r="L4492" s="142">
        <v>31</v>
      </c>
      <c r="M4492" s="142">
        <v>37</v>
      </c>
    </row>
    <row r="4493" spans="1:13" x14ac:dyDescent="0.45">
      <c r="A4493" s="142" t="s">
        <v>13038</v>
      </c>
      <c r="B4493" s="142" t="s">
        <v>14646</v>
      </c>
      <c r="C4493" s="142" t="s">
        <v>15847</v>
      </c>
      <c r="D4493" s="142" t="s">
        <v>15848</v>
      </c>
      <c r="E4493" s="142" t="s">
        <v>15849</v>
      </c>
      <c r="F4493" s="142" t="s">
        <v>11020</v>
      </c>
      <c r="G4493" s="142" t="s">
        <v>11019</v>
      </c>
      <c r="H4493" s="142" t="s">
        <v>20343</v>
      </c>
      <c r="I4493" s="142">
        <v>9</v>
      </c>
      <c r="J4493" s="142">
        <v>0</v>
      </c>
      <c r="K4493" s="142">
        <v>0</v>
      </c>
      <c r="L4493" s="142">
        <v>0</v>
      </c>
      <c r="M4493" s="142">
        <v>9</v>
      </c>
    </row>
    <row r="4494" spans="1:13" x14ac:dyDescent="0.45">
      <c r="A4494" s="142" t="s">
        <v>13039</v>
      </c>
      <c r="B4494" s="142" t="s">
        <v>14647</v>
      </c>
      <c r="C4494" s="142" t="s">
        <v>15847</v>
      </c>
      <c r="D4494" s="142" t="s">
        <v>15848</v>
      </c>
      <c r="E4494" s="142" t="s">
        <v>15849</v>
      </c>
      <c r="F4494" s="142" t="s">
        <v>11020</v>
      </c>
      <c r="G4494" s="142" t="s">
        <v>11019</v>
      </c>
      <c r="H4494" s="142" t="s">
        <v>20344</v>
      </c>
      <c r="I4494" s="142">
        <v>24</v>
      </c>
      <c r="J4494" s="142">
        <v>24</v>
      </c>
      <c r="K4494" s="142">
        <v>0</v>
      </c>
      <c r="L4494" s="142">
        <v>0</v>
      </c>
      <c r="M4494" s="142">
        <v>0</v>
      </c>
    </row>
    <row r="4495" spans="1:13" x14ac:dyDescent="0.45">
      <c r="A4495" s="142" t="s">
        <v>13091</v>
      </c>
      <c r="B4495" s="142" t="s">
        <v>14473</v>
      </c>
      <c r="C4495" s="142" t="s">
        <v>15847</v>
      </c>
      <c r="D4495" s="142" t="s">
        <v>15848</v>
      </c>
      <c r="E4495" s="142" t="s">
        <v>15849</v>
      </c>
      <c r="F4495" s="142" t="s">
        <v>11020</v>
      </c>
      <c r="G4495" s="142" t="s">
        <v>11019</v>
      </c>
      <c r="H4495" s="142" t="s">
        <v>20345</v>
      </c>
      <c r="I4495" s="142">
        <v>7</v>
      </c>
      <c r="J4495" s="142">
        <v>0</v>
      </c>
      <c r="K4495" s="142">
        <v>0</v>
      </c>
      <c r="L4495" s="142">
        <v>7</v>
      </c>
      <c r="M4495" s="142">
        <v>0</v>
      </c>
    </row>
    <row r="4496" spans="1:13" x14ac:dyDescent="0.45">
      <c r="A4496" s="142" t="s">
        <v>13009</v>
      </c>
      <c r="B4496" s="142" t="s">
        <v>15256</v>
      </c>
      <c r="C4496" s="142" t="s">
        <v>15847</v>
      </c>
      <c r="D4496" s="142" t="s">
        <v>15848</v>
      </c>
      <c r="E4496" s="142" t="s">
        <v>15849</v>
      </c>
      <c r="F4496" s="142" t="s">
        <v>11020</v>
      </c>
      <c r="G4496" s="142" t="s">
        <v>11019</v>
      </c>
      <c r="H4496" s="142" t="s">
        <v>20346</v>
      </c>
      <c r="I4496" s="142">
        <v>387</v>
      </c>
      <c r="J4496" s="142">
        <v>276</v>
      </c>
      <c r="K4496" s="142">
        <v>0</v>
      </c>
      <c r="L4496" s="142">
        <v>60</v>
      </c>
      <c r="M4496" s="142">
        <v>51</v>
      </c>
    </row>
    <row r="4497" spans="1:13" x14ac:dyDescent="0.45">
      <c r="A4497" s="142" t="s">
        <v>13041</v>
      </c>
      <c r="B4497" s="142" t="s">
        <v>14441</v>
      </c>
      <c r="C4497" s="142" t="s">
        <v>15847</v>
      </c>
      <c r="D4497" s="142" t="s">
        <v>15848</v>
      </c>
      <c r="E4497" s="142" t="s">
        <v>15849</v>
      </c>
      <c r="F4497" s="142" t="s">
        <v>11020</v>
      </c>
      <c r="G4497" s="142" t="s">
        <v>11019</v>
      </c>
      <c r="H4497" s="142" t="s">
        <v>20347</v>
      </c>
      <c r="I4497" s="142">
        <v>7</v>
      </c>
      <c r="J4497" s="142">
        <v>0</v>
      </c>
      <c r="K4497" s="142">
        <v>0</v>
      </c>
      <c r="L4497" s="142">
        <v>0</v>
      </c>
      <c r="M4497" s="142">
        <v>7</v>
      </c>
    </row>
    <row r="4498" spans="1:13" x14ac:dyDescent="0.45">
      <c r="A4498" s="142" t="s">
        <v>13832</v>
      </c>
      <c r="B4498" s="142" t="s">
        <v>15195</v>
      </c>
      <c r="C4498" s="142" t="s">
        <v>15860</v>
      </c>
      <c r="D4498" s="142" t="s">
        <v>15861</v>
      </c>
      <c r="E4498" s="142" t="s">
        <v>15849</v>
      </c>
      <c r="F4498" s="142" t="s">
        <v>11020</v>
      </c>
      <c r="G4498" s="142" t="s">
        <v>11019</v>
      </c>
      <c r="H4498" s="142" t="s">
        <v>20348</v>
      </c>
      <c r="I4498" s="142">
        <v>16</v>
      </c>
      <c r="J4498" s="142">
        <v>0</v>
      </c>
      <c r="K4498" s="142">
        <v>0</v>
      </c>
      <c r="L4498" s="142">
        <v>16</v>
      </c>
      <c r="M4498" s="142">
        <v>0</v>
      </c>
    </row>
    <row r="4499" spans="1:13" x14ac:dyDescent="0.45">
      <c r="A4499" s="142" t="s">
        <v>13012</v>
      </c>
      <c r="B4499" s="142" t="s">
        <v>15337</v>
      </c>
      <c r="C4499" s="142" t="s">
        <v>15847</v>
      </c>
      <c r="D4499" s="142" t="s">
        <v>15848</v>
      </c>
      <c r="E4499" s="142" t="s">
        <v>15849</v>
      </c>
      <c r="F4499" s="142" t="s">
        <v>11020</v>
      </c>
      <c r="G4499" s="142" t="s">
        <v>11019</v>
      </c>
      <c r="H4499" s="142" t="s">
        <v>20349</v>
      </c>
      <c r="I4499" s="142">
        <v>230</v>
      </c>
      <c r="J4499" s="142">
        <v>204</v>
      </c>
      <c r="K4499" s="142">
        <v>0</v>
      </c>
      <c r="L4499" s="142">
        <v>0</v>
      </c>
      <c r="M4499" s="142">
        <v>26</v>
      </c>
    </row>
    <row r="4500" spans="1:13" x14ac:dyDescent="0.45">
      <c r="A4500" s="142" t="s">
        <v>13042</v>
      </c>
      <c r="B4500" s="142" t="s">
        <v>15489</v>
      </c>
      <c r="C4500" s="142" t="s">
        <v>15847</v>
      </c>
      <c r="D4500" s="142" t="s">
        <v>15848</v>
      </c>
      <c r="E4500" s="142" t="s">
        <v>15849</v>
      </c>
      <c r="F4500" s="142" t="s">
        <v>11020</v>
      </c>
      <c r="G4500" s="142" t="s">
        <v>11019</v>
      </c>
      <c r="H4500" s="142" t="s">
        <v>20350</v>
      </c>
      <c r="I4500" s="142">
        <v>53</v>
      </c>
      <c r="J4500" s="142">
        <v>0</v>
      </c>
      <c r="K4500" s="142">
        <v>0</v>
      </c>
      <c r="L4500" s="142">
        <v>53</v>
      </c>
      <c r="M4500" s="142">
        <v>0</v>
      </c>
    </row>
    <row r="4501" spans="1:13" x14ac:dyDescent="0.45">
      <c r="A4501" s="142" t="s">
        <v>13154</v>
      </c>
      <c r="B4501" s="142" t="s">
        <v>15415</v>
      </c>
      <c r="C4501" s="142" t="s">
        <v>15847</v>
      </c>
      <c r="D4501" s="142" t="s">
        <v>15848</v>
      </c>
      <c r="E4501" s="142" t="s">
        <v>15849</v>
      </c>
      <c r="F4501" s="142" t="s">
        <v>11020</v>
      </c>
      <c r="G4501" s="142" t="s">
        <v>11019</v>
      </c>
      <c r="H4501" s="142" t="s">
        <v>20351</v>
      </c>
      <c r="I4501" s="142">
        <v>764</v>
      </c>
      <c r="J4501" s="142">
        <v>600</v>
      </c>
      <c r="K4501" s="142">
        <v>0</v>
      </c>
      <c r="L4501" s="142">
        <v>53</v>
      </c>
      <c r="M4501" s="142">
        <v>111</v>
      </c>
    </row>
    <row r="4502" spans="1:13" x14ac:dyDescent="0.45">
      <c r="A4502" s="142" t="s">
        <v>13222</v>
      </c>
      <c r="B4502" s="142" t="s">
        <v>14449</v>
      </c>
      <c r="C4502" s="142" t="s">
        <v>15860</v>
      </c>
      <c r="D4502" s="142" t="s">
        <v>15861</v>
      </c>
      <c r="E4502" s="142" t="s">
        <v>15849</v>
      </c>
      <c r="F4502" s="142" t="s">
        <v>11020</v>
      </c>
      <c r="G4502" s="142" t="s">
        <v>11019</v>
      </c>
      <c r="H4502" s="142" t="s">
        <v>20352</v>
      </c>
      <c r="I4502" s="142">
        <v>1</v>
      </c>
      <c r="J4502" s="142">
        <v>1</v>
      </c>
      <c r="K4502" s="142">
        <v>0</v>
      </c>
      <c r="L4502" s="142">
        <v>0</v>
      </c>
      <c r="M4502" s="142">
        <v>0</v>
      </c>
    </row>
    <row r="4503" spans="1:13" x14ac:dyDescent="0.45">
      <c r="A4503" s="142" t="s">
        <v>13833</v>
      </c>
      <c r="B4503" s="142" t="s">
        <v>15550</v>
      </c>
      <c r="C4503" s="142" t="s">
        <v>15847</v>
      </c>
      <c r="D4503" s="142" t="s">
        <v>15848</v>
      </c>
      <c r="E4503" s="142" t="s">
        <v>15849</v>
      </c>
      <c r="F4503" s="142" t="s">
        <v>11020</v>
      </c>
      <c r="G4503" s="142" t="s">
        <v>11019</v>
      </c>
      <c r="H4503" s="142" t="s">
        <v>20353</v>
      </c>
      <c r="I4503" s="142">
        <v>55</v>
      </c>
      <c r="J4503" s="142">
        <v>55</v>
      </c>
      <c r="K4503" s="142">
        <v>0</v>
      </c>
      <c r="L4503" s="142">
        <v>0</v>
      </c>
      <c r="M4503" s="142">
        <v>0</v>
      </c>
    </row>
    <row r="4504" spans="1:13" x14ac:dyDescent="0.45">
      <c r="A4504" s="142" t="s">
        <v>13155</v>
      </c>
      <c r="B4504" s="142" t="s">
        <v>15455</v>
      </c>
      <c r="C4504" s="142" t="s">
        <v>15847</v>
      </c>
      <c r="D4504" s="142" t="s">
        <v>15848</v>
      </c>
      <c r="E4504" s="142" t="s">
        <v>15849</v>
      </c>
      <c r="F4504" s="142" t="s">
        <v>11020</v>
      </c>
      <c r="G4504" s="142" t="s">
        <v>11019</v>
      </c>
      <c r="H4504" s="142" t="s">
        <v>20354</v>
      </c>
      <c r="I4504" s="142">
        <v>43</v>
      </c>
      <c r="J4504" s="142">
        <v>28</v>
      </c>
      <c r="K4504" s="142">
        <v>0</v>
      </c>
      <c r="L4504" s="142">
        <v>0</v>
      </c>
      <c r="M4504" s="142">
        <v>15</v>
      </c>
    </row>
    <row r="4505" spans="1:13" x14ac:dyDescent="0.45">
      <c r="A4505" s="142" t="s">
        <v>13156</v>
      </c>
      <c r="B4505" s="142" t="s">
        <v>14493</v>
      </c>
      <c r="C4505" s="142" t="s">
        <v>15860</v>
      </c>
      <c r="D4505" s="142" t="s">
        <v>15861</v>
      </c>
      <c r="E4505" s="142" t="s">
        <v>15849</v>
      </c>
      <c r="F4505" s="142" t="s">
        <v>11020</v>
      </c>
      <c r="G4505" s="142" t="s">
        <v>11019</v>
      </c>
      <c r="H4505" s="142" t="s">
        <v>20355</v>
      </c>
      <c r="I4505" s="142">
        <v>3</v>
      </c>
      <c r="J4505" s="142">
        <v>0</v>
      </c>
      <c r="K4505" s="142">
        <v>0</v>
      </c>
      <c r="L4505" s="142">
        <v>3</v>
      </c>
      <c r="M4505" s="142">
        <v>0</v>
      </c>
    </row>
    <row r="4506" spans="1:13" x14ac:dyDescent="0.45">
      <c r="A4506" s="142" t="s">
        <v>13157</v>
      </c>
      <c r="B4506" s="142" t="s">
        <v>15477</v>
      </c>
      <c r="C4506" s="142" t="s">
        <v>15847</v>
      </c>
      <c r="D4506" s="142" t="s">
        <v>15848</v>
      </c>
      <c r="E4506" s="142" t="s">
        <v>15849</v>
      </c>
      <c r="F4506" s="142" t="s">
        <v>11020</v>
      </c>
      <c r="G4506" s="142" t="s">
        <v>11019</v>
      </c>
      <c r="H4506" s="142" t="s">
        <v>20356</v>
      </c>
      <c r="I4506" s="142">
        <v>1737</v>
      </c>
      <c r="J4506" s="142">
        <v>1324</v>
      </c>
      <c r="K4506" s="142">
        <v>0</v>
      </c>
      <c r="L4506" s="142">
        <v>213</v>
      </c>
      <c r="M4506" s="142">
        <v>200</v>
      </c>
    </row>
    <row r="4507" spans="1:13" x14ac:dyDescent="0.45">
      <c r="A4507" s="142" t="s">
        <v>13286</v>
      </c>
      <c r="B4507" s="142" t="s">
        <v>15342</v>
      </c>
      <c r="C4507" s="142" t="s">
        <v>15847</v>
      </c>
      <c r="D4507" s="142" t="s">
        <v>15848</v>
      </c>
      <c r="E4507" s="142" t="s">
        <v>15849</v>
      </c>
      <c r="F4507" s="142" t="s">
        <v>11020</v>
      </c>
      <c r="G4507" s="142" t="s">
        <v>11019</v>
      </c>
      <c r="H4507" s="142" t="s">
        <v>20357</v>
      </c>
      <c r="I4507" s="142">
        <v>20</v>
      </c>
      <c r="J4507" s="142">
        <v>20</v>
      </c>
      <c r="K4507" s="142">
        <v>0</v>
      </c>
      <c r="L4507" s="142">
        <v>0</v>
      </c>
      <c r="M4507" s="142">
        <v>0</v>
      </c>
    </row>
    <row r="4508" spans="1:13" x14ac:dyDescent="0.45">
      <c r="A4508" s="142" t="s">
        <v>13023</v>
      </c>
      <c r="B4508" s="142" t="s">
        <v>15571</v>
      </c>
      <c r="C4508" s="142" t="s">
        <v>15847</v>
      </c>
      <c r="D4508" s="142" t="s">
        <v>15848</v>
      </c>
      <c r="E4508" s="142" t="s">
        <v>15849</v>
      </c>
      <c r="F4508" s="142" t="s">
        <v>10101</v>
      </c>
      <c r="G4508" s="142" t="s">
        <v>10100</v>
      </c>
      <c r="H4508" s="142" t="s">
        <v>20358</v>
      </c>
      <c r="I4508" s="142">
        <v>134</v>
      </c>
      <c r="J4508" s="142">
        <v>0</v>
      </c>
      <c r="K4508" s="142">
        <v>0</v>
      </c>
      <c r="L4508" s="142">
        <v>134</v>
      </c>
      <c r="M4508" s="142">
        <v>0</v>
      </c>
    </row>
    <row r="4509" spans="1:13" x14ac:dyDescent="0.45">
      <c r="A4509" s="142" t="s">
        <v>13065</v>
      </c>
      <c r="B4509" s="142" t="s">
        <v>14497</v>
      </c>
      <c r="C4509" s="142" t="s">
        <v>15847</v>
      </c>
      <c r="D4509" s="142" t="s">
        <v>15848</v>
      </c>
      <c r="E4509" s="142" t="s">
        <v>15849</v>
      </c>
      <c r="F4509" s="142" t="s">
        <v>10101</v>
      </c>
      <c r="G4509" s="142" t="s">
        <v>10100</v>
      </c>
      <c r="H4509" s="142" t="s">
        <v>20359</v>
      </c>
      <c r="I4509" s="142">
        <v>3</v>
      </c>
      <c r="J4509" s="142">
        <v>0</v>
      </c>
      <c r="K4509" s="142">
        <v>0</v>
      </c>
      <c r="L4509" s="142">
        <v>3</v>
      </c>
      <c r="M4509" s="142">
        <v>0</v>
      </c>
    </row>
    <row r="4510" spans="1:13" x14ac:dyDescent="0.45">
      <c r="A4510" s="142" t="s">
        <v>13834</v>
      </c>
      <c r="B4510" s="142" t="s">
        <v>15070</v>
      </c>
      <c r="C4510" s="142" t="s">
        <v>15860</v>
      </c>
      <c r="D4510" s="142" t="s">
        <v>15861</v>
      </c>
      <c r="E4510" s="142" t="s">
        <v>15849</v>
      </c>
      <c r="F4510" s="142" t="s">
        <v>10101</v>
      </c>
      <c r="G4510" s="142" t="s">
        <v>10100</v>
      </c>
      <c r="H4510" s="142" t="s">
        <v>20360</v>
      </c>
      <c r="I4510" s="142">
        <v>19</v>
      </c>
      <c r="J4510" s="142">
        <v>19</v>
      </c>
      <c r="K4510" s="142">
        <v>0</v>
      </c>
      <c r="L4510" s="142">
        <v>0</v>
      </c>
      <c r="M4510" s="142">
        <v>0</v>
      </c>
    </row>
    <row r="4511" spans="1:13" x14ac:dyDescent="0.45">
      <c r="A4511" s="142" t="s">
        <v>13835</v>
      </c>
      <c r="B4511" s="142" t="s">
        <v>15444</v>
      </c>
      <c r="C4511" s="142" t="s">
        <v>15847</v>
      </c>
      <c r="D4511" s="142" t="s">
        <v>15848</v>
      </c>
      <c r="E4511" s="142" t="s">
        <v>15849</v>
      </c>
      <c r="F4511" s="142" t="s">
        <v>10101</v>
      </c>
      <c r="G4511" s="142" t="s">
        <v>10100</v>
      </c>
      <c r="H4511" s="142" t="s">
        <v>20361</v>
      </c>
      <c r="I4511" s="142">
        <v>5</v>
      </c>
      <c r="J4511" s="142">
        <v>5</v>
      </c>
      <c r="K4511" s="142">
        <v>0</v>
      </c>
      <c r="L4511" s="142">
        <v>0</v>
      </c>
      <c r="M4511" s="142">
        <v>0</v>
      </c>
    </row>
    <row r="4512" spans="1:13" x14ac:dyDescent="0.45">
      <c r="A4512" s="142" t="s">
        <v>13085</v>
      </c>
      <c r="B4512" s="142" t="s">
        <v>14460</v>
      </c>
      <c r="C4512" s="142" t="s">
        <v>15860</v>
      </c>
      <c r="D4512" s="142" t="s">
        <v>15861</v>
      </c>
      <c r="E4512" s="142" t="s">
        <v>15849</v>
      </c>
      <c r="F4512" s="142" t="s">
        <v>10101</v>
      </c>
      <c r="G4512" s="142" t="s">
        <v>10100</v>
      </c>
      <c r="H4512" s="142" t="s">
        <v>20362</v>
      </c>
      <c r="I4512" s="142">
        <v>1</v>
      </c>
      <c r="J4512" s="142">
        <v>0</v>
      </c>
      <c r="K4512" s="142">
        <v>0</v>
      </c>
      <c r="L4512" s="142">
        <v>1</v>
      </c>
      <c r="M4512" s="142">
        <v>0</v>
      </c>
    </row>
    <row r="4513" spans="1:13" x14ac:dyDescent="0.45">
      <c r="A4513" s="142" t="s">
        <v>13499</v>
      </c>
      <c r="B4513" s="142" t="s">
        <v>15479</v>
      </c>
      <c r="C4513" s="142" t="s">
        <v>15847</v>
      </c>
      <c r="D4513" s="142" t="s">
        <v>15848</v>
      </c>
      <c r="E4513" s="142" t="s">
        <v>15849</v>
      </c>
      <c r="F4513" s="142" t="s">
        <v>10101</v>
      </c>
      <c r="G4513" s="142" t="s">
        <v>10100</v>
      </c>
      <c r="H4513" s="142" t="s">
        <v>20363</v>
      </c>
      <c r="I4513" s="142">
        <v>1879</v>
      </c>
      <c r="J4513" s="142">
        <v>1687</v>
      </c>
      <c r="K4513" s="142">
        <v>0</v>
      </c>
      <c r="L4513" s="142">
        <v>165</v>
      </c>
      <c r="M4513" s="142">
        <v>27</v>
      </c>
    </row>
    <row r="4514" spans="1:13" x14ac:dyDescent="0.45">
      <c r="A4514" s="142" t="s">
        <v>13149</v>
      </c>
      <c r="B4514" s="142" t="s">
        <v>14458</v>
      </c>
      <c r="C4514" s="142" t="s">
        <v>15860</v>
      </c>
      <c r="D4514" s="142" t="s">
        <v>15861</v>
      </c>
      <c r="E4514" s="142" t="s">
        <v>15849</v>
      </c>
      <c r="F4514" s="142" t="s">
        <v>10101</v>
      </c>
      <c r="G4514" s="142" t="s">
        <v>10100</v>
      </c>
      <c r="H4514" s="142" t="s">
        <v>20364</v>
      </c>
      <c r="I4514" s="142">
        <v>52</v>
      </c>
      <c r="J4514" s="142">
        <v>0</v>
      </c>
      <c r="K4514" s="142">
        <v>0</v>
      </c>
      <c r="L4514" s="142">
        <v>52</v>
      </c>
      <c r="M4514" s="142">
        <v>0</v>
      </c>
    </row>
    <row r="4515" spans="1:13" x14ac:dyDescent="0.45">
      <c r="A4515" s="142" t="s">
        <v>13515</v>
      </c>
      <c r="B4515" s="142" t="s">
        <v>14552</v>
      </c>
      <c r="C4515" s="142" t="s">
        <v>15860</v>
      </c>
      <c r="D4515" s="142" t="s">
        <v>15861</v>
      </c>
      <c r="E4515" s="142" t="s">
        <v>15849</v>
      </c>
      <c r="F4515" s="142" t="s">
        <v>10101</v>
      </c>
      <c r="G4515" s="142" t="s">
        <v>10100</v>
      </c>
      <c r="H4515" s="142" t="s">
        <v>20365</v>
      </c>
      <c r="I4515" s="142">
        <v>7</v>
      </c>
      <c r="J4515" s="142">
        <v>0</v>
      </c>
      <c r="K4515" s="142">
        <v>0</v>
      </c>
      <c r="L4515" s="142">
        <v>7</v>
      </c>
      <c r="M4515" s="142">
        <v>0</v>
      </c>
    </row>
    <row r="4516" spans="1:13" x14ac:dyDescent="0.45">
      <c r="A4516" s="142" t="s">
        <v>13028</v>
      </c>
      <c r="B4516" s="142" t="s">
        <v>14462</v>
      </c>
      <c r="C4516" s="142" t="s">
        <v>15847</v>
      </c>
      <c r="D4516" s="142" t="s">
        <v>15848</v>
      </c>
      <c r="E4516" s="142" t="s">
        <v>15849</v>
      </c>
      <c r="F4516" s="142" t="s">
        <v>10101</v>
      </c>
      <c r="G4516" s="142" t="s">
        <v>10100</v>
      </c>
      <c r="H4516" s="142" t="s">
        <v>20366</v>
      </c>
      <c r="I4516" s="142">
        <v>38</v>
      </c>
      <c r="J4516" s="142">
        <v>0</v>
      </c>
      <c r="K4516" s="142">
        <v>0</v>
      </c>
      <c r="L4516" s="142">
        <v>0</v>
      </c>
      <c r="M4516" s="142">
        <v>38</v>
      </c>
    </row>
    <row r="4517" spans="1:13" x14ac:dyDescent="0.45">
      <c r="A4517" s="142" t="s">
        <v>13003</v>
      </c>
      <c r="B4517" s="142" t="s">
        <v>15245</v>
      </c>
      <c r="C4517" s="142" t="s">
        <v>15847</v>
      </c>
      <c r="D4517" s="142" t="s">
        <v>15848</v>
      </c>
      <c r="E4517" s="142" t="s">
        <v>15849</v>
      </c>
      <c r="F4517" s="142" t="s">
        <v>10101</v>
      </c>
      <c r="G4517" s="142" t="s">
        <v>10100</v>
      </c>
      <c r="H4517" s="142" t="s">
        <v>20367</v>
      </c>
      <c r="I4517" s="142">
        <v>111</v>
      </c>
      <c r="J4517" s="142">
        <v>0</v>
      </c>
      <c r="K4517" s="142">
        <v>0</v>
      </c>
      <c r="L4517" s="142">
        <v>111</v>
      </c>
      <c r="M4517" s="142">
        <v>0</v>
      </c>
    </row>
    <row r="4518" spans="1:13" x14ac:dyDescent="0.45">
      <c r="A4518" s="142" t="s">
        <v>13836</v>
      </c>
      <c r="B4518" s="142" t="s">
        <v>15062</v>
      </c>
      <c r="C4518" s="142" t="s">
        <v>15860</v>
      </c>
      <c r="D4518" s="142" t="s">
        <v>15861</v>
      </c>
      <c r="E4518" s="142" t="s">
        <v>15849</v>
      </c>
      <c r="F4518" s="142" t="s">
        <v>10101</v>
      </c>
      <c r="G4518" s="142" t="s">
        <v>10100</v>
      </c>
      <c r="H4518" s="142" t="s">
        <v>20368</v>
      </c>
      <c r="I4518" s="142">
        <v>65</v>
      </c>
      <c r="J4518" s="142">
        <v>0</v>
      </c>
      <c r="K4518" s="142">
        <v>0</v>
      </c>
      <c r="L4518" s="142">
        <v>65</v>
      </c>
      <c r="M4518" s="142">
        <v>0</v>
      </c>
    </row>
    <row r="4519" spans="1:13" x14ac:dyDescent="0.45">
      <c r="A4519" s="142" t="s">
        <v>13837</v>
      </c>
      <c r="B4519" s="142" t="s">
        <v>15067</v>
      </c>
      <c r="C4519" s="142" t="s">
        <v>15860</v>
      </c>
      <c r="D4519" s="142" t="s">
        <v>15861</v>
      </c>
      <c r="E4519" s="142" t="s">
        <v>15849</v>
      </c>
      <c r="F4519" s="142" t="s">
        <v>10101</v>
      </c>
      <c r="G4519" s="142" t="s">
        <v>10100</v>
      </c>
      <c r="H4519" s="142" t="s">
        <v>20369</v>
      </c>
      <c r="I4519" s="142">
        <v>24</v>
      </c>
      <c r="J4519" s="142">
        <v>24</v>
      </c>
      <c r="K4519" s="142">
        <v>0</v>
      </c>
      <c r="L4519" s="142">
        <v>0</v>
      </c>
      <c r="M4519" s="142">
        <v>0</v>
      </c>
    </row>
    <row r="4520" spans="1:13" x14ac:dyDescent="0.45">
      <c r="A4520" s="142" t="s">
        <v>13274</v>
      </c>
      <c r="B4520" s="142" t="s">
        <v>14608</v>
      </c>
      <c r="C4520" s="142" t="s">
        <v>15860</v>
      </c>
      <c r="D4520" s="142" t="s">
        <v>15861</v>
      </c>
      <c r="E4520" s="142" t="s">
        <v>15849</v>
      </c>
      <c r="F4520" s="142" t="s">
        <v>10101</v>
      </c>
      <c r="G4520" s="142" t="s">
        <v>10100</v>
      </c>
      <c r="H4520" s="142" t="s">
        <v>20370</v>
      </c>
      <c r="I4520" s="142">
        <v>1</v>
      </c>
      <c r="J4520" s="142">
        <v>0</v>
      </c>
      <c r="K4520" s="142">
        <v>0</v>
      </c>
      <c r="L4520" s="142">
        <v>1</v>
      </c>
      <c r="M4520" s="142">
        <v>0</v>
      </c>
    </row>
    <row r="4521" spans="1:13" x14ac:dyDescent="0.45">
      <c r="A4521" s="142" t="s">
        <v>13744</v>
      </c>
      <c r="B4521" s="142" t="s">
        <v>15593</v>
      </c>
      <c r="C4521" s="142" t="s">
        <v>15847</v>
      </c>
      <c r="D4521" s="142" t="s">
        <v>15848</v>
      </c>
      <c r="E4521" s="142" t="s">
        <v>15849</v>
      </c>
      <c r="F4521" s="142" t="s">
        <v>10101</v>
      </c>
      <c r="G4521" s="142" t="s">
        <v>10100</v>
      </c>
      <c r="H4521" s="142" t="s">
        <v>20371</v>
      </c>
      <c r="I4521" s="142">
        <v>12818</v>
      </c>
      <c r="J4521" s="142">
        <v>11682</v>
      </c>
      <c r="K4521" s="142">
        <v>4</v>
      </c>
      <c r="L4521" s="142">
        <v>802</v>
      </c>
      <c r="M4521" s="142">
        <v>330</v>
      </c>
    </row>
    <row r="4522" spans="1:13" x14ac:dyDescent="0.45">
      <c r="A4522" s="142" t="s">
        <v>13284</v>
      </c>
      <c r="B4522" s="142" t="s">
        <v>15364</v>
      </c>
      <c r="C4522" s="142" t="s">
        <v>15847</v>
      </c>
      <c r="D4522" s="142" t="s">
        <v>15848</v>
      </c>
      <c r="E4522" s="142" t="s">
        <v>15849</v>
      </c>
      <c r="F4522" s="142" t="s">
        <v>10101</v>
      </c>
      <c r="G4522" s="142" t="s">
        <v>10100</v>
      </c>
      <c r="H4522" s="142" t="s">
        <v>20372</v>
      </c>
      <c r="I4522" s="142">
        <v>40</v>
      </c>
      <c r="J4522" s="142">
        <v>40</v>
      </c>
      <c r="K4522" s="142">
        <v>0</v>
      </c>
      <c r="L4522" s="142">
        <v>0</v>
      </c>
      <c r="M4522" s="142">
        <v>0</v>
      </c>
    </row>
    <row r="4523" spans="1:13" x14ac:dyDescent="0.45">
      <c r="A4523" s="142" t="s">
        <v>13486</v>
      </c>
      <c r="B4523" s="142" t="s">
        <v>14563</v>
      </c>
      <c r="C4523" s="142" t="s">
        <v>15847</v>
      </c>
      <c r="D4523" s="142" t="s">
        <v>15848</v>
      </c>
      <c r="E4523" s="142" t="s">
        <v>15849</v>
      </c>
      <c r="F4523" s="142" t="s">
        <v>10101</v>
      </c>
      <c r="G4523" s="142" t="s">
        <v>10100</v>
      </c>
      <c r="H4523" s="142" t="s">
        <v>20373</v>
      </c>
      <c r="I4523" s="142">
        <v>36</v>
      </c>
      <c r="J4523" s="142">
        <v>33</v>
      </c>
      <c r="K4523" s="142">
        <v>0</v>
      </c>
      <c r="L4523" s="142">
        <v>0</v>
      </c>
      <c r="M4523" s="142">
        <v>3</v>
      </c>
    </row>
    <row r="4524" spans="1:13" x14ac:dyDescent="0.45">
      <c r="A4524" s="142" t="s">
        <v>13276</v>
      </c>
      <c r="B4524" s="142" t="s">
        <v>15498</v>
      </c>
      <c r="C4524" s="142" t="s">
        <v>15847</v>
      </c>
      <c r="D4524" s="142" t="s">
        <v>15848</v>
      </c>
      <c r="E4524" s="142" t="s">
        <v>15849</v>
      </c>
      <c r="F4524" s="142" t="s">
        <v>10101</v>
      </c>
      <c r="G4524" s="142" t="s">
        <v>10100</v>
      </c>
      <c r="H4524" s="142" t="s">
        <v>20374</v>
      </c>
      <c r="I4524" s="142">
        <v>662</v>
      </c>
      <c r="J4524" s="142">
        <v>402</v>
      </c>
      <c r="K4524" s="142">
        <v>0</v>
      </c>
      <c r="L4524" s="142">
        <v>198</v>
      </c>
      <c r="M4524" s="142">
        <v>62</v>
      </c>
    </row>
    <row r="4525" spans="1:13" x14ac:dyDescent="0.45">
      <c r="A4525" s="142" t="s">
        <v>13033</v>
      </c>
      <c r="B4525" s="142" t="s">
        <v>15276</v>
      </c>
      <c r="C4525" s="142" t="s">
        <v>15847</v>
      </c>
      <c r="D4525" s="142" t="s">
        <v>15848</v>
      </c>
      <c r="E4525" s="142" t="s">
        <v>15849</v>
      </c>
      <c r="F4525" s="142" t="s">
        <v>10101</v>
      </c>
      <c r="G4525" s="142" t="s">
        <v>10100</v>
      </c>
      <c r="H4525" s="142" t="s">
        <v>20375</v>
      </c>
      <c r="I4525" s="142">
        <v>1</v>
      </c>
      <c r="J4525" s="142">
        <v>0</v>
      </c>
      <c r="K4525" s="142">
        <v>0</v>
      </c>
      <c r="L4525" s="142">
        <v>0</v>
      </c>
      <c r="M4525" s="142">
        <v>1</v>
      </c>
    </row>
    <row r="4526" spans="1:13" x14ac:dyDescent="0.45">
      <c r="A4526" s="142" t="s">
        <v>13487</v>
      </c>
      <c r="B4526" s="142" t="s">
        <v>15490</v>
      </c>
      <c r="C4526" s="142" t="s">
        <v>15847</v>
      </c>
      <c r="D4526" s="142" t="s">
        <v>15848</v>
      </c>
      <c r="E4526" s="142" t="s">
        <v>15849</v>
      </c>
      <c r="F4526" s="142" t="s">
        <v>10101</v>
      </c>
      <c r="G4526" s="142" t="s">
        <v>10100</v>
      </c>
      <c r="H4526" s="142" t="s">
        <v>20376</v>
      </c>
      <c r="I4526" s="142">
        <v>515</v>
      </c>
      <c r="J4526" s="142">
        <v>390</v>
      </c>
      <c r="K4526" s="142">
        <v>0</v>
      </c>
      <c r="L4526" s="142">
        <v>117</v>
      </c>
      <c r="M4526" s="142">
        <v>8</v>
      </c>
    </row>
    <row r="4527" spans="1:13" x14ac:dyDescent="0.45">
      <c r="A4527" s="142" t="s">
        <v>13838</v>
      </c>
      <c r="B4527" s="142" t="s">
        <v>15305</v>
      </c>
      <c r="C4527" s="142" t="s">
        <v>15847</v>
      </c>
      <c r="D4527" s="142" t="s">
        <v>15848</v>
      </c>
      <c r="E4527" s="142" t="s">
        <v>15849</v>
      </c>
      <c r="F4527" s="142" t="s">
        <v>10101</v>
      </c>
      <c r="G4527" s="142" t="s">
        <v>10100</v>
      </c>
      <c r="H4527" s="142" t="s">
        <v>20377</v>
      </c>
      <c r="I4527" s="142">
        <v>34</v>
      </c>
      <c r="J4527" s="142">
        <v>34</v>
      </c>
      <c r="K4527" s="142">
        <v>0</v>
      </c>
      <c r="L4527" s="142">
        <v>0</v>
      </c>
      <c r="M4527" s="142">
        <v>0</v>
      </c>
    </row>
    <row r="4528" spans="1:13" x14ac:dyDescent="0.45">
      <c r="A4528" s="142" t="s">
        <v>13036</v>
      </c>
      <c r="B4528" s="142" t="s">
        <v>15567</v>
      </c>
      <c r="C4528" s="142" t="s">
        <v>15847</v>
      </c>
      <c r="D4528" s="142" t="s">
        <v>15848</v>
      </c>
      <c r="E4528" s="142" t="s">
        <v>15849</v>
      </c>
      <c r="F4528" s="142" t="s">
        <v>10101</v>
      </c>
      <c r="G4528" s="142" t="s">
        <v>10100</v>
      </c>
      <c r="H4528" s="142" t="s">
        <v>20378</v>
      </c>
      <c r="I4528" s="142">
        <v>9</v>
      </c>
      <c r="J4528" s="142">
        <v>0</v>
      </c>
      <c r="K4528" s="142">
        <v>0</v>
      </c>
      <c r="L4528" s="142">
        <v>9</v>
      </c>
      <c r="M4528" s="142">
        <v>0</v>
      </c>
    </row>
    <row r="4529" spans="1:13" x14ac:dyDescent="0.45">
      <c r="A4529" s="142" t="s">
        <v>13839</v>
      </c>
      <c r="B4529" s="142" t="s">
        <v>15292</v>
      </c>
      <c r="C4529" s="142" t="s">
        <v>15860</v>
      </c>
      <c r="D4529" s="142" t="s">
        <v>15861</v>
      </c>
      <c r="E4529" s="142" t="s">
        <v>15849</v>
      </c>
      <c r="F4529" s="142" t="s">
        <v>10101</v>
      </c>
      <c r="G4529" s="142" t="s">
        <v>10100</v>
      </c>
      <c r="H4529" s="142" t="s">
        <v>20379</v>
      </c>
      <c r="I4529" s="142">
        <v>8</v>
      </c>
      <c r="J4529" s="142">
        <v>0</v>
      </c>
      <c r="K4529" s="142">
        <v>0</v>
      </c>
      <c r="L4529" s="142">
        <v>8</v>
      </c>
      <c r="M4529" s="142">
        <v>0</v>
      </c>
    </row>
    <row r="4530" spans="1:13" x14ac:dyDescent="0.45">
      <c r="A4530" s="142" t="s">
        <v>13037</v>
      </c>
      <c r="B4530" s="142" t="s">
        <v>14519</v>
      </c>
      <c r="C4530" s="142" t="s">
        <v>15847</v>
      </c>
      <c r="D4530" s="142" t="s">
        <v>15848</v>
      </c>
      <c r="E4530" s="142" t="s">
        <v>15849</v>
      </c>
      <c r="F4530" s="142" t="s">
        <v>10101</v>
      </c>
      <c r="G4530" s="142" t="s">
        <v>10100</v>
      </c>
      <c r="H4530" s="142" t="s">
        <v>20380</v>
      </c>
      <c r="I4530" s="142">
        <v>10</v>
      </c>
      <c r="J4530" s="142">
        <v>0</v>
      </c>
      <c r="K4530" s="142">
        <v>0</v>
      </c>
      <c r="L4530" s="142">
        <v>10</v>
      </c>
      <c r="M4530" s="142">
        <v>0</v>
      </c>
    </row>
    <row r="4531" spans="1:13" x14ac:dyDescent="0.45">
      <c r="A4531" s="142" t="s">
        <v>13009</v>
      </c>
      <c r="B4531" s="142" t="s">
        <v>15256</v>
      </c>
      <c r="C4531" s="142" t="s">
        <v>15847</v>
      </c>
      <c r="D4531" s="142" t="s">
        <v>15848</v>
      </c>
      <c r="E4531" s="142" t="s">
        <v>15849</v>
      </c>
      <c r="F4531" s="142" t="s">
        <v>10101</v>
      </c>
      <c r="G4531" s="142" t="s">
        <v>10100</v>
      </c>
      <c r="H4531" s="142" t="s">
        <v>20381</v>
      </c>
      <c r="I4531" s="142">
        <v>205</v>
      </c>
      <c r="J4531" s="142">
        <v>138</v>
      </c>
      <c r="K4531" s="142">
        <v>0</v>
      </c>
      <c r="L4531" s="142">
        <v>59</v>
      </c>
      <c r="M4531" s="142">
        <v>8</v>
      </c>
    </row>
    <row r="4532" spans="1:13" x14ac:dyDescent="0.45">
      <c r="A4532" s="142" t="s">
        <v>13840</v>
      </c>
      <c r="B4532" s="142" t="s">
        <v>15085</v>
      </c>
      <c r="C4532" s="142" t="s">
        <v>15860</v>
      </c>
      <c r="D4532" s="142" t="s">
        <v>15861</v>
      </c>
      <c r="E4532" s="142" t="s">
        <v>15849</v>
      </c>
      <c r="F4532" s="142" t="s">
        <v>10101</v>
      </c>
      <c r="G4532" s="142" t="s">
        <v>10100</v>
      </c>
      <c r="H4532" s="142" t="s">
        <v>20382</v>
      </c>
      <c r="I4532" s="142">
        <v>24</v>
      </c>
      <c r="J4532" s="142">
        <v>24</v>
      </c>
      <c r="K4532" s="142">
        <v>0</v>
      </c>
      <c r="L4532" s="142">
        <v>0</v>
      </c>
      <c r="M4532" s="142">
        <v>0</v>
      </c>
    </row>
    <row r="4533" spans="1:13" x14ac:dyDescent="0.45">
      <c r="A4533" s="142" t="s">
        <v>13042</v>
      </c>
      <c r="B4533" s="142" t="s">
        <v>15489</v>
      </c>
      <c r="C4533" s="142" t="s">
        <v>15847</v>
      </c>
      <c r="D4533" s="142" t="s">
        <v>15848</v>
      </c>
      <c r="E4533" s="142" t="s">
        <v>15849</v>
      </c>
      <c r="F4533" s="142" t="s">
        <v>10101</v>
      </c>
      <c r="G4533" s="142" t="s">
        <v>10100</v>
      </c>
      <c r="H4533" s="142" t="s">
        <v>20383</v>
      </c>
      <c r="I4533" s="142">
        <v>1016</v>
      </c>
      <c r="J4533" s="142">
        <v>629</v>
      </c>
      <c r="K4533" s="142">
        <v>0</v>
      </c>
      <c r="L4533" s="142">
        <v>286</v>
      </c>
      <c r="M4533" s="142">
        <v>101</v>
      </c>
    </row>
    <row r="4534" spans="1:13" x14ac:dyDescent="0.45">
      <c r="A4534" s="142" t="s">
        <v>13493</v>
      </c>
      <c r="B4534" s="142" t="s">
        <v>14639</v>
      </c>
      <c r="C4534" s="142" t="s">
        <v>15847</v>
      </c>
      <c r="D4534" s="142" t="s">
        <v>15848</v>
      </c>
      <c r="E4534" s="142" t="s">
        <v>15849</v>
      </c>
      <c r="F4534" s="142" t="s">
        <v>10101</v>
      </c>
      <c r="G4534" s="142" t="s">
        <v>10100</v>
      </c>
      <c r="H4534" s="142" t="s">
        <v>20384</v>
      </c>
      <c r="I4534" s="142">
        <v>626</v>
      </c>
      <c r="J4534" s="142">
        <v>355</v>
      </c>
      <c r="K4534" s="142">
        <v>0</v>
      </c>
      <c r="L4534" s="142">
        <v>116</v>
      </c>
      <c r="M4534" s="142">
        <v>155</v>
      </c>
    </row>
    <row r="4535" spans="1:13" x14ac:dyDescent="0.45">
      <c r="A4535" s="142" t="s">
        <v>13841</v>
      </c>
      <c r="B4535" s="142" t="s">
        <v>15089</v>
      </c>
      <c r="C4535" s="142" t="s">
        <v>15860</v>
      </c>
      <c r="D4535" s="142" t="s">
        <v>15861</v>
      </c>
      <c r="E4535" s="142" t="s">
        <v>15849</v>
      </c>
      <c r="F4535" s="142" t="s">
        <v>10101</v>
      </c>
      <c r="G4535" s="142" t="s">
        <v>10100</v>
      </c>
      <c r="H4535" s="142" t="s">
        <v>20385</v>
      </c>
      <c r="I4535" s="142">
        <v>35</v>
      </c>
      <c r="J4535" s="142">
        <v>35</v>
      </c>
      <c r="K4535" s="142">
        <v>0</v>
      </c>
      <c r="L4535" s="142">
        <v>0</v>
      </c>
      <c r="M4535" s="142">
        <v>0</v>
      </c>
    </row>
    <row r="4536" spans="1:13" x14ac:dyDescent="0.45">
      <c r="A4536" s="142" t="s">
        <v>13286</v>
      </c>
      <c r="B4536" s="142" t="s">
        <v>15342</v>
      </c>
      <c r="C4536" s="142" t="s">
        <v>15847</v>
      </c>
      <c r="D4536" s="142" t="s">
        <v>15848</v>
      </c>
      <c r="E4536" s="142" t="s">
        <v>15849</v>
      </c>
      <c r="F4536" s="142" t="s">
        <v>10101</v>
      </c>
      <c r="G4536" s="142" t="s">
        <v>10100</v>
      </c>
      <c r="H4536" s="142" t="s">
        <v>20386</v>
      </c>
      <c r="I4536" s="142">
        <v>767</v>
      </c>
      <c r="J4536" s="142">
        <v>579</v>
      </c>
      <c r="K4536" s="142">
        <v>0</v>
      </c>
      <c r="L4536" s="142">
        <v>68</v>
      </c>
      <c r="M4536" s="142">
        <v>120</v>
      </c>
    </row>
    <row r="4537" spans="1:13" x14ac:dyDescent="0.45">
      <c r="A4537" s="142" t="s">
        <v>13110</v>
      </c>
      <c r="B4537" s="142" t="s">
        <v>15502</v>
      </c>
      <c r="C4537" s="142" t="s">
        <v>15847</v>
      </c>
      <c r="D4537" s="142" t="s">
        <v>15848</v>
      </c>
      <c r="E4537" s="142" t="s">
        <v>15849</v>
      </c>
      <c r="F4537" s="142" t="s">
        <v>12072</v>
      </c>
      <c r="G4537" s="142" t="s">
        <v>12071</v>
      </c>
      <c r="H4537" s="142" t="s">
        <v>20387</v>
      </c>
      <c r="I4537" s="142">
        <v>51</v>
      </c>
      <c r="J4537" s="142">
        <v>29</v>
      </c>
      <c r="K4537" s="142">
        <v>0</v>
      </c>
      <c r="L4537" s="142">
        <v>0</v>
      </c>
      <c r="M4537" s="142">
        <v>22</v>
      </c>
    </row>
    <row r="4538" spans="1:13" x14ac:dyDescent="0.45">
      <c r="A4538" s="142" t="s">
        <v>13021</v>
      </c>
      <c r="B4538" s="142" t="s">
        <v>15501</v>
      </c>
      <c r="C4538" s="142" t="s">
        <v>15847</v>
      </c>
      <c r="D4538" s="142" t="s">
        <v>15848</v>
      </c>
      <c r="E4538" s="142" t="s">
        <v>15849</v>
      </c>
      <c r="F4538" s="142" t="s">
        <v>12072</v>
      </c>
      <c r="G4538" s="142" t="s">
        <v>12071</v>
      </c>
      <c r="H4538" s="142" t="s">
        <v>20388</v>
      </c>
      <c r="I4538" s="142">
        <v>1</v>
      </c>
      <c r="J4538" s="142">
        <v>0</v>
      </c>
      <c r="K4538" s="142">
        <v>0</v>
      </c>
      <c r="L4538" s="142">
        <v>1</v>
      </c>
      <c r="M4538" s="142">
        <v>0</v>
      </c>
    </row>
    <row r="4539" spans="1:13" x14ac:dyDescent="0.45">
      <c r="A4539" s="142" t="s">
        <v>13023</v>
      </c>
      <c r="B4539" s="142" t="s">
        <v>15571</v>
      </c>
      <c r="C4539" s="142" t="s">
        <v>15847</v>
      </c>
      <c r="D4539" s="142" t="s">
        <v>15848</v>
      </c>
      <c r="E4539" s="142" t="s">
        <v>15849</v>
      </c>
      <c r="F4539" s="142" t="s">
        <v>12072</v>
      </c>
      <c r="G4539" s="142" t="s">
        <v>12071</v>
      </c>
      <c r="H4539" s="142" t="s">
        <v>20389</v>
      </c>
      <c r="I4539" s="142">
        <v>156</v>
      </c>
      <c r="J4539" s="142">
        <v>0</v>
      </c>
      <c r="K4539" s="142">
        <v>0</v>
      </c>
      <c r="L4539" s="142">
        <v>156</v>
      </c>
      <c r="M4539" s="142">
        <v>0</v>
      </c>
    </row>
    <row r="4540" spans="1:13" x14ac:dyDescent="0.45">
      <c r="A4540" s="142" t="s">
        <v>13112</v>
      </c>
      <c r="B4540" s="142" t="s">
        <v>15552</v>
      </c>
      <c r="C4540" s="142" t="s">
        <v>15860</v>
      </c>
      <c r="D4540" s="142" t="s">
        <v>15861</v>
      </c>
      <c r="E4540" s="142" t="s">
        <v>15849</v>
      </c>
      <c r="F4540" s="142" t="s">
        <v>12072</v>
      </c>
      <c r="G4540" s="142" t="s">
        <v>12071</v>
      </c>
      <c r="H4540" s="142" t="s">
        <v>20390</v>
      </c>
      <c r="I4540" s="142">
        <v>12</v>
      </c>
      <c r="J4540" s="142">
        <v>12</v>
      </c>
      <c r="K4540" s="142">
        <v>0</v>
      </c>
      <c r="L4540" s="142">
        <v>0</v>
      </c>
      <c r="M4540" s="142">
        <v>0</v>
      </c>
    </row>
    <row r="4541" spans="1:13" x14ac:dyDescent="0.45">
      <c r="A4541" s="142" t="s">
        <v>13573</v>
      </c>
      <c r="B4541" s="142" t="s">
        <v>15104</v>
      </c>
      <c r="C4541" s="142" t="s">
        <v>15860</v>
      </c>
      <c r="D4541" s="142" t="s">
        <v>15861</v>
      </c>
      <c r="E4541" s="142" t="s">
        <v>15849</v>
      </c>
      <c r="F4541" s="142" t="s">
        <v>12072</v>
      </c>
      <c r="G4541" s="142" t="s">
        <v>12071</v>
      </c>
      <c r="H4541" s="142" t="s">
        <v>20391</v>
      </c>
      <c r="I4541" s="142">
        <v>138</v>
      </c>
      <c r="J4541" s="142">
        <v>128</v>
      </c>
      <c r="K4541" s="142">
        <v>10</v>
      </c>
      <c r="L4541" s="142">
        <v>0</v>
      </c>
      <c r="M4541" s="142">
        <v>0</v>
      </c>
    </row>
    <row r="4542" spans="1:13" x14ac:dyDescent="0.45">
      <c r="A4542" s="142" t="s">
        <v>13082</v>
      </c>
      <c r="B4542" s="142" t="s">
        <v>14478</v>
      </c>
      <c r="C4542" s="142" t="s">
        <v>15860</v>
      </c>
      <c r="D4542" s="142" t="s">
        <v>15861</v>
      </c>
      <c r="E4542" s="142" t="s">
        <v>15849</v>
      </c>
      <c r="F4542" s="142" t="s">
        <v>12072</v>
      </c>
      <c r="G4542" s="142" t="s">
        <v>12071</v>
      </c>
      <c r="H4542" s="142" t="s">
        <v>20392</v>
      </c>
      <c r="I4542" s="142">
        <v>13</v>
      </c>
      <c r="J4542" s="142">
        <v>0</v>
      </c>
      <c r="K4542" s="142">
        <v>0</v>
      </c>
      <c r="L4542" s="142">
        <v>13</v>
      </c>
      <c r="M4542" s="142">
        <v>0</v>
      </c>
    </row>
    <row r="4543" spans="1:13" x14ac:dyDescent="0.45">
      <c r="A4543" s="142" t="s">
        <v>13843</v>
      </c>
      <c r="B4543" s="142" t="s">
        <v>14994</v>
      </c>
      <c r="C4543" s="142" t="s">
        <v>15860</v>
      </c>
      <c r="D4543" s="142" t="s">
        <v>15861</v>
      </c>
      <c r="E4543" s="142" t="s">
        <v>15849</v>
      </c>
      <c r="F4543" s="142" t="s">
        <v>12072</v>
      </c>
      <c r="G4543" s="142" t="s">
        <v>12071</v>
      </c>
      <c r="H4543" s="142" t="s">
        <v>20393</v>
      </c>
      <c r="I4543" s="142">
        <v>39</v>
      </c>
      <c r="J4543" s="142">
        <v>39</v>
      </c>
      <c r="K4543" s="142">
        <v>0</v>
      </c>
      <c r="L4543" s="142">
        <v>0</v>
      </c>
      <c r="M4543" s="142">
        <v>0</v>
      </c>
    </row>
    <row r="4544" spans="1:13" x14ac:dyDescent="0.45">
      <c r="A4544" s="142" t="s">
        <v>13844</v>
      </c>
      <c r="B4544" s="142" t="s">
        <v>14971</v>
      </c>
      <c r="C4544" s="142" t="s">
        <v>15860</v>
      </c>
      <c r="D4544" s="142" t="s">
        <v>15861</v>
      </c>
      <c r="E4544" s="142" t="s">
        <v>15849</v>
      </c>
      <c r="F4544" s="142" t="s">
        <v>12072</v>
      </c>
      <c r="G4544" s="142" t="s">
        <v>12071</v>
      </c>
      <c r="H4544" s="142" t="s">
        <v>20394</v>
      </c>
      <c r="I4544" s="142">
        <v>86</v>
      </c>
      <c r="J4544" s="142">
        <v>86</v>
      </c>
      <c r="K4544" s="142">
        <v>0</v>
      </c>
      <c r="L4544" s="142">
        <v>0</v>
      </c>
      <c r="M4544" s="142">
        <v>0</v>
      </c>
    </row>
    <row r="4545" spans="1:13" x14ac:dyDescent="0.45">
      <c r="A4545" s="142" t="s">
        <v>13000</v>
      </c>
      <c r="B4545" s="142" t="s">
        <v>14610</v>
      </c>
      <c r="C4545" s="142" t="s">
        <v>15847</v>
      </c>
      <c r="D4545" s="142" t="s">
        <v>15848</v>
      </c>
      <c r="E4545" s="142" t="s">
        <v>15849</v>
      </c>
      <c r="F4545" s="142" t="s">
        <v>12072</v>
      </c>
      <c r="G4545" s="142" t="s">
        <v>12071</v>
      </c>
      <c r="H4545" s="142" t="s">
        <v>20395</v>
      </c>
      <c r="I4545" s="142">
        <v>163</v>
      </c>
      <c r="J4545" s="142">
        <v>31</v>
      </c>
      <c r="K4545" s="142">
        <v>78</v>
      </c>
      <c r="L4545" s="142">
        <v>0</v>
      </c>
      <c r="M4545" s="142">
        <v>54</v>
      </c>
    </row>
    <row r="4546" spans="1:13" x14ac:dyDescent="0.45">
      <c r="A4546" s="142" t="s">
        <v>13845</v>
      </c>
      <c r="B4546" s="142" t="s">
        <v>15093</v>
      </c>
      <c r="C4546" s="142" t="s">
        <v>15860</v>
      </c>
      <c r="D4546" s="142" t="s">
        <v>15861</v>
      </c>
      <c r="E4546" s="142" t="s">
        <v>15849</v>
      </c>
      <c r="F4546" s="142" t="s">
        <v>12072</v>
      </c>
      <c r="G4546" s="142" t="s">
        <v>12071</v>
      </c>
      <c r="H4546" s="142" t="s">
        <v>20396</v>
      </c>
      <c r="I4546" s="142">
        <v>86</v>
      </c>
      <c r="J4546" s="142">
        <v>86</v>
      </c>
      <c r="K4546" s="142">
        <v>0</v>
      </c>
      <c r="L4546" s="142">
        <v>0</v>
      </c>
      <c r="M4546" s="142">
        <v>0</v>
      </c>
    </row>
    <row r="4547" spans="1:13" x14ac:dyDescent="0.45">
      <c r="A4547" s="142" t="s">
        <v>13098</v>
      </c>
      <c r="B4547" s="142" t="s">
        <v>14528</v>
      </c>
      <c r="C4547" s="142" t="s">
        <v>15860</v>
      </c>
      <c r="D4547" s="142" t="s">
        <v>15861</v>
      </c>
      <c r="E4547" s="142" t="s">
        <v>15849</v>
      </c>
      <c r="F4547" s="142" t="s">
        <v>12072</v>
      </c>
      <c r="G4547" s="142" t="s">
        <v>12071</v>
      </c>
      <c r="H4547" s="142" t="s">
        <v>20397</v>
      </c>
      <c r="I4547" s="142">
        <v>2</v>
      </c>
      <c r="J4547" s="142">
        <v>1</v>
      </c>
      <c r="K4547" s="142">
        <v>1</v>
      </c>
      <c r="L4547" s="142">
        <v>0</v>
      </c>
      <c r="M4547" s="142">
        <v>0</v>
      </c>
    </row>
    <row r="4548" spans="1:13" x14ac:dyDescent="0.45">
      <c r="A4548" s="142" t="s">
        <v>13846</v>
      </c>
      <c r="B4548" s="142" t="s">
        <v>14570</v>
      </c>
      <c r="C4548" s="142" t="s">
        <v>15860</v>
      </c>
      <c r="D4548" s="142" t="s">
        <v>15861</v>
      </c>
      <c r="E4548" s="142" t="s">
        <v>15849</v>
      </c>
      <c r="F4548" s="142" t="s">
        <v>12072</v>
      </c>
      <c r="G4548" s="142" t="s">
        <v>12071</v>
      </c>
      <c r="H4548" s="142" t="s">
        <v>20398</v>
      </c>
      <c r="I4548" s="142">
        <v>2</v>
      </c>
      <c r="J4548" s="142">
        <v>2</v>
      </c>
      <c r="K4548" s="142">
        <v>0</v>
      </c>
      <c r="L4548" s="142">
        <v>0</v>
      </c>
      <c r="M4548" s="142">
        <v>0</v>
      </c>
    </row>
    <row r="4549" spans="1:13" x14ac:dyDescent="0.45">
      <c r="A4549" s="142" t="s">
        <v>13847</v>
      </c>
      <c r="B4549" s="142" t="s">
        <v>14989</v>
      </c>
      <c r="C4549" s="142" t="s">
        <v>15860</v>
      </c>
      <c r="D4549" s="142" t="s">
        <v>15861</v>
      </c>
      <c r="E4549" s="142" t="s">
        <v>15849</v>
      </c>
      <c r="F4549" s="142" t="s">
        <v>12072</v>
      </c>
      <c r="G4549" s="142" t="s">
        <v>12071</v>
      </c>
      <c r="H4549" s="142" t="s">
        <v>20399</v>
      </c>
      <c r="I4549" s="142">
        <v>69</v>
      </c>
      <c r="J4549" s="142">
        <v>69</v>
      </c>
      <c r="K4549" s="142">
        <v>0</v>
      </c>
      <c r="L4549" s="142">
        <v>0</v>
      </c>
      <c r="M4549" s="142">
        <v>0</v>
      </c>
    </row>
    <row r="4550" spans="1:13" x14ac:dyDescent="0.45">
      <c r="A4550" s="142" t="s">
        <v>13384</v>
      </c>
      <c r="B4550" s="142" t="s">
        <v>15563</v>
      </c>
      <c r="C4550" s="142" t="s">
        <v>15860</v>
      </c>
      <c r="D4550" s="142" t="s">
        <v>15861</v>
      </c>
      <c r="E4550" s="142" t="s">
        <v>15849</v>
      </c>
      <c r="F4550" s="142" t="s">
        <v>12072</v>
      </c>
      <c r="G4550" s="142" t="s">
        <v>12071</v>
      </c>
      <c r="H4550" s="142" t="s">
        <v>20400</v>
      </c>
      <c r="I4550" s="142">
        <v>266</v>
      </c>
      <c r="J4550" s="142">
        <v>232</v>
      </c>
      <c r="K4550" s="142">
        <v>0</v>
      </c>
      <c r="L4550" s="142">
        <v>34</v>
      </c>
      <c r="M4550" s="142">
        <v>0</v>
      </c>
    </row>
    <row r="4551" spans="1:13" x14ac:dyDescent="0.45">
      <c r="A4551" s="142" t="s">
        <v>13576</v>
      </c>
      <c r="B4551" s="142" t="s">
        <v>15232</v>
      </c>
      <c r="C4551" s="142" t="s">
        <v>15860</v>
      </c>
      <c r="D4551" s="142" t="s">
        <v>15861</v>
      </c>
      <c r="E4551" s="142" t="s">
        <v>15849</v>
      </c>
      <c r="F4551" s="142" t="s">
        <v>12072</v>
      </c>
      <c r="G4551" s="142" t="s">
        <v>12071</v>
      </c>
      <c r="H4551" s="142" t="s">
        <v>20401</v>
      </c>
      <c r="I4551" s="142">
        <v>119</v>
      </c>
      <c r="J4551" s="142">
        <v>0</v>
      </c>
      <c r="K4551" s="142">
        <v>0</v>
      </c>
      <c r="L4551" s="142">
        <v>119</v>
      </c>
      <c r="M4551" s="142">
        <v>0</v>
      </c>
    </row>
    <row r="4552" spans="1:13" x14ac:dyDescent="0.45">
      <c r="A4552" s="142" t="s">
        <v>13049</v>
      </c>
      <c r="B4552" s="142" t="s">
        <v>14534</v>
      </c>
      <c r="C4552" s="142" t="s">
        <v>15860</v>
      </c>
      <c r="D4552" s="142" t="s">
        <v>15861</v>
      </c>
      <c r="E4552" s="142" t="s">
        <v>15849</v>
      </c>
      <c r="F4552" s="142" t="s">
        <v>12072</v>
      </c>
      <c r="G4552" s="142" t="s">
        <v>12071</v>
      </c>
      <c r="H4552" s="142" t="s">
        <v>20402</v>
      </c>
      <c r="I4552" s="142">
        <v>19</v>
      </c>
      <c r="J4552" s="142">
        <v>0</v>
      </c>
      <c r="K4552" s="142">
        <v>0</v>
      </c>
      <c r="L4552" s="142">
        <v>19</v>
      </c>
      <c r="M4552" s="142">
        <v>0</v>
      </c>
    </row>
    <row r="4553" spans="1:13" x14ac:dyDescent="0.45">
      <c r="A4553" s="142" t="s">
        <v>13350</v>
      </c>
      <c r="B4553" s="142" t="s">
        <v>15272</v>
      </c>
      <c r="C4553" s="142" t="s">
        <v>15847</v>
      </c>
      <c r="D4553" s="142" t="s">
        <v>15848</v>
      </c>
      <c r="E4553" s="142" t="s">
        <v>15849</v>
      </c>
      <c r="F4553" s="142" t="s">
        <v>12072</v>
      </c>
      <c r="G4553" s="142" t="s">
        <v>12071</v>
      </c>
      <c r="H4553" s="142" t="s">
        <v>20403</v>
      </c>
      <c r="I4553" s="142">
        <v>1</v>
      </c>
      <c r="J4553" s="142">
        <v>0</v>
      </c>
      <c r="K4553" s="142">
        <v>0</v>
      </c>
      <c r="L4553" s="142">
        <v>0</v>
      </c>
      <c r="M4553" s="142">
        <v>1</v>
      </c>
    </row>
    <row r="4554" spans="1:13" x14ac:dyDescent="0.45">
      <c r="A4554" s="142" t="s">
        <v>13027</v>
      </c>
      <c r="B4554" s="142" t="s">
        <v>14562</v>
      </c>
      <c r="C4554" s="142" t="s">
        <v>15847</v>
      </c>
      <c r="D4554" s="142" t="s">
        <v>15848</v>
      </c>
      <c r="E4554" s="142" t="s">
        <v>15849</v>
      </c>
      <c r="F4554" s="142" t="s">
        <v>12072</v>
      </c>
      <c r="G4554" s="142" t="s">
        <v>12071</v>
      </c>
      <c r="H4554" s="142" t="s">
        <v>20404</v>
      </c>
      <c r="I4554" s="142">
        <v>10</v>
      </c>
      <c r="J4554" s="142">
        <v>0</v>
      </c>
      <c r="K4554" s="142">
        <v>0</v>
      </c>
      <c r="L4554" s="142">
        <v>10</v>
      </c>
      <c r="M4554" s="142">
        <v>0</v>
      </c>
    </row>
    <row r="4555" spans="1:13" x14ac:dyDescent="0.45">
      <c r="A4555" s="142" t="s">
        <v>13848</v>
      </c>
      <c r="B4555" s="142" t="s">
        <v>14638</v>
      </c>
      <c r="C4555" s="142" t="s">
        <v>15860</v>
      </c>
      <c r="D4555" s="142" t="s">
        <v>15861</v>
      </c>
      <c r="E4555" s="142" t="s">
        <v>15849</v>
      </c>
      <c r="F4555" s="142" t="s">
        <v>12072</v>
      </c>
      <c r="G4555" s="142" t="s">
        <v>12071</v>
      </c>
      <c r="H4555" s="142" t="s">
        <v>20405</v>
      </c>
      <c r="I4555" s="142">
        <v>196</v>
      </c>
      <c r="J4555" s="142">
        <v>196</v>
      </c>
      <c r="K4555" s="142">
        <v>0</v>
      </c>
      <c r="L4555" s="142">
        <v>0</v>
      </c>
      <c r="M4555" s="142">
        <v>0</v>
      </c>
    </row>
    <row r="4556" spans="1:13" x14ac:dyDescent="0.45">
      <c r="A4556" s="142" t="s">
        <v>13435</v>
      </c>
      <c r="B4556" s="142" t="s">
        <v>14935</v>
      </c>
      <c r="C4556" s="142" t="s">
        <v>15860</v>
      </c>
      <c r="D4556" s="142" t="s">
        <v>15861</v>
      </c>
      <c r="E4556" s="142" t="s">
        <v>15849</v>
      </c>
      <c r="F4556" s="142" t="s">
        <v>12072</v>
      </c>
      <c r="G4556" s="142" t="s">
        <v>12071</v>
      </c>
      <c r="H4556" s="142" t="s">
        <v>20406</v>
      </c>
      <c r="I4556" s="142">
        <v>19</v>
      </c>
      <c r="J4556" s="142">
        <v>19</v>
      </c>
      <c r="K4556" s="142">
        <v>0</v>
      </c>
      <c r="L4556" s="142">
        <v>0</v>
      </c>
      <c r="M4556" s="142">
        <v>0</v>
      </c>
    </row>
    <row r="4557" spans="1:13" x14ac:dyDescent="0.45">
      <c r="A4557" s="142" t="s">
        <v>13849</v>
      </c>
      <c r="B4557" s="142" t="s">
        <v>14950</v>
      </c>
      <c r="C4557" s="142" t="s">
        <v>15860</v>
      </c>
      <c r="D4557" s="142" t="s">
        <v>15861</v>
      </c>
      <c r="E4557" s="142" t="s">
        <v>15849</v>
      </c>
      <c r="F4557" s="142" t="s">
        <v>12072</v>
      </c>
      <c r="G4557" s="142" t="s">
        <v>12071</v>
      </c>
      <c r="H4557" s="142" t="s">
        <v>20407</v>
      </c>
      <c r="I4557" s="142">
        <v>19</v>
      </c>
      <c r="J4557" s="142">
        <v>19</v>
      </c>
      <c r="K4557" s="142">
        <v>0</v>
      </c>
      <c r="L4557" s="142">
        <v>0</v>
      </c>
      <c r="M4557" s="142">
        <v>0</v>
      </c>
    </row>
    <row r="4558" spans="1:13" x14ac:dyDescent="0.45">
      <c r="A4558" s="142" t="s">
        <v>13215</v>
      </c>
      <c r="B4558" s="142" t="s">
        <v>15334</v>
      </c>
      <c r="C4558" s="142" t="s">
        <v>15847</v>
      </c>
      <c r="D4558" s="142" t="s">
        <v>15848</v>
      </c>
      <c r="E4558" s="142" t="s">
        <v>15849</v>
      </c>
      <c r="F4558" s="142" t="s">
        <v>12072</v>
      </c>
      <c r="G4558" s="142" t="s">
        <v>12071</v>
      </c>
      <c r="H4558" s="142" t="s">
        <v>20408</v>
      </c>
      <c r="I4558" s="142">
        <v>5</v>
      </c>
      <c r="J4558" s="142">
        <v>0</v>
      </c>
      <c r="K4558" s="142">
        <v>0</v>
      </c>
      <c r="L4558" s="142">
        <v>5</v>
      </c>
      <c r="M4558" s="142">
        <v>0</v>
      </c>
    </row>
    <row r="4559" spans="1:13" x14ac:dyDescent="0.45">
      <c r="A4559" s="142" t="s">
        <v>13028</v>
      </c>
      <c r="B4559" s="142" t="s">
        <v>14462</v>
      </c>
      <c r="C4559" s="142" t="s">
        <v>15847</v>
      </c>
      <c r="D4559" s="142" t="s">
        <v>15848</v>
      </c>
      <c r="E4559" s="142" t="s">
        <v>15849</v>
      </c>
      <c r="F4559" s="142" t="s">
        <v>12072</v>
      </c>
      <c r="G4559" s="142" t="s">
        <v>12071</v>
      </c>
      <c r="H4559" s="142" t="s">
        <v>20409</v>
      </c>
      <c r="I4559" s="142">
        <v>5</v>
      </c>
      <c r="J4559" s="142">
        <v>0</v>
      </c>
      <c r="K4559" s="142">
        <v>0</v>
      </c>
      <c r="L4559" s="142">
        <v>0</v>
      </c>
      <c r="M4559" s="142">
        <v>5</v>
      </c>
    </row>
    <row r="4560" spans="1:13" x14ac:dyDescent="0.45">
      <c r="A4560" s="142" t="s">
        <v>13850</v>
      </c>
      <c r="B4560" s="142" t="s">
        <v>14810</v>
      </c>
      <c r="C4560" s="142" t="s">
        <v>15860</v>
      </c>
      <c r="D4560" s="142" t="s">
        <v>15861</v>
      </c>
      <c r="E4560" s="142" t="s">
        <v>15849</v>
      </c>
      <c r="F4560" s="142" t="s">
        <v>12072</v>
      </c>
      <c r="G4560" s="142" t="s">
        <v>12071</v>
      </c>
      <c r="H4560" s="142" t="s">
        <v>20410</v>
      </c>
      <c r="I4560" s="142">
        <v>8</v>
      </c>
      <c r="J4560" s="142">
        <v>0</v>
      </c>
      <c r="K4560" s="142">
        <v>0</v>
      </c>
      <c r="L4560" s="142">
        <v>8</v>
      </c>
      <c r="M4560" s="142">
        <v>0</v>
      </c>
    </row>
    <row r="4561" spans="1:13" x14ac:dyDescent="0.45">
      <c r="A4561" s="142" t="s">
        <v>13160</v>
      </c>
      <c r="B4561" s="142" t="s">
        <v>14525</v>
      </c>
      <c r="C4561" s="142" t="s">
        <v>15847</v>
      </c>
      <c r="D4561" s="142" t="s">
        <v>15848</v>
      </c>
      <c r="E4561" s="142" t="s">
        <v>15849</v>
      </c>
      <c r="F4561" s="142" t="s">
        <v>12072</v>
      </c>
      <c r="G4561" s="142" t="s">
        <v>12071</v>
      </c>
      <c r="H4561" s="142" t="s">
        <v>20411</v>
      </c>
      <c r="I4561" s="142">
        <v>7</v>
      </c>
      <c r="J4561" s="142">
        <v>0</v>
      </c>
      <c r="K4561" s="142">
        <v>0</v>
      </c>
      <c r="L4561" s="142">
        <v>7</v>
      </c>
      <c r="M4561" s="142">
        <v>0</v>
      </c>
    </row>
    <row r="4562" spans="1:13" x14ac:dyDescent="0.45">
      <c r="A4562" s="142" t="s">
        <v>13002</v>
      </c>
      <c r="B4562" s="142" t="s">
        <v>15376</v>
      </c>
      <c r="C4562" s="142" t="s">
        <v>15847</v>
      </c>
      <c r="D4562" s="142" t="s">
        <v>15848</v>
      </c>
      <c r="E4562" s="142" t="s">
        <v>15849</v>
      </c>
      <c r="F4562" s="142" t="s">
        <v>12072</v>
      </c>
      <c r="G4562" s="142" t="s">
        <v>12071</v>
      </c>
      <c r="H4562" s="142" t="s">
        <v>20412</v>
      </c>
      <c r="I4562" s="142">
        <v>15</v>
      </c>
      <c r="J4562" s="142">
        <v>0</v>
      </c>
      <c r="K4562" s="142">
        <v>0</v>
      </c>
      <c r="L4562" s="142">
        <v>15</v>
      </c>
      <c r="M4562" s="142">
        <v>0</v>
      </c>
    </row>
    <row r="4563" spans="1:13" x14ac:dyDescent="0.45">
      <c r="A4563" s="142" t="s">
        <v>13851</v>
      </c>
      <c r="B4563" s="142" t="s">
        <v>15013</v>
      </c>
      <c r="C4563" s="142" t="s">
        <v>15860</v>
      </c>
      <c r="D4563" s="142" t="s">
        <v>15861</v>
      </c>
      <c r="E4563" s="142" t="s">
        <v>15849</v>
      </c>
      <c r="F4563" s="142" t="s">
        <v>12072</v>
      </c>
      <c r="G4563" s="142" t="s">
        <v>12071</v>
      </c>
      <c r="H4563" s="142" t="s">
        <v>20413</v>
      </c>
      <c r="I4563" s="142">
        <v>15</v>
      </c>
      <c r="J4563" s="142">
        <v>15</v>
      </c>
      <c r="K4563" s="142">
        <v>0</v>
      </c>
      <c r="L4563" s="142">
        <v>0</v>
      </c>
      <c r="M4563" s="142">
        <v>0</v>
      </c>
    </row>
    <row r="4564" spans="1:13" x14ac:dyDescent="0.45">
      <c r="A4564" s="142" t="s">
        <v>13003</v>
      </c>
      <c r="B4564" s="142" t="s">
        <v>15245</v>
      </c>
      <c r="C4564" s="142" t="s">
        <v>15847</v>
      </c>
      <c r="D4564" s="142" t="s">
        <v>15848</v>
      </c>
      <c r="E4564" s="142" t="s">
        <v>15849</v>
      </c>
      <c r="F4564" s="142" t="s">
        <v>12072</v>
      </c>
      <c r="G4564" s="142" t="s">
        <v>12071</v>
      </c>
      <c r="H4564" s="142" t="s">
        <v>20414</v>
      </c>
      <c r="I4564" s="142">
        <v>84</v>
      </c>
      <c r="J4564" s="142">
        <v>0</v>
      </c>
      <c r="K4564" s="142">
        <v>0</v>
      </c>
      <c r="L4564" s="142">
        <v>66</v>
      </c>
      <c r="M4564" s="142">
        <v>18</v>
      </c>
    </row>
    <row r="4565" spans="1:13" x14ac:dyDescent="0.45">
      <c r="A4565" s="142" t="s">
        <v>13004</v>
      </c>
      <c r="B4565" s="142" t="s">
        <v>15492</v>
      </c>
      <c r="C4565" s="142" t="s">
        <v>15847</v>
      </c>
      <c r="D4565" s="142" t="s">
        <v>15848</v>
      </c>
      <c r="E4565" s="142" t="s">
        <v>15849</v>
      </c>
      <c r="F4565" s="142" t="s">
        <v>12072</v>
      </c>
      <c r="G4565" s="142" t="s">
        <v>12071</v>
      </c>
      <c r="H4565" s="142" t="s">
        <v>20415</v>
      </c>
      <c r="I4565" s="142">
        <v>180</v>
      </c>
      <c r="J4565" s="142">
        <v>127</v>
      </c>
      <c r="K4565" s="142">
        <v>0</v>
      </c>
      <c r="L4565" s="142">
        <v>52</v>
      </c>
      <c r="M4565" s="142">
        <v>1</v>
      </c>
    </row>
    <row r="4566" spans="1:13" x14ac:dyDescent="0.45">
      <c r="A4566" s="142" t="s">
        <v>13852</v>
      </c>
      <c r="B4566" s="142" t="s">
        <v>15427</v>
      </c>
      <c r="C4566" s="142" t="s">
        <v>15847</v>
      </c>
      <c r="D4566" s="142" t="s">
        <v>15848</v>
      </c>
      <c r="E4566" s="142" t="s">
        <v>15849</v>
      </c>
      <c r="F4566" s="142" t="s">
        <v>12072</v>
      </c>
      <c r="G4566" s="142" t="s">
        <v>12071</v>
      </c>
      <c r="H4566" s="142" t="s">
        <v>20416</v>
      </c>
      <c r="I4566" s="142">
        <v>2240</v>
      </c>
      <c r="J4566" s="142">
        <v>2171</v>
      </c>
      <c r="K4566" s="142">
        <v>0</v>
      </c>
      <c r="L4566" s="142">
        <v>42</v>
      </c>
      <c r="M4566" s="142">
        <v>27</v>
      </c>
    </row>
    <row r="4567" spans="1:13" x14ac:dyDescent="0.45">
      <c r="A4567" s="142" t="s">
        <v>13066</v>
      </c>
      <c r="B4567" s="142" t="s">
        <v>14459</v>
      </c>
      <c r="C4567" s="142" t="s">
        <v>15847</v>
      </c>
      <c r="D4567" s="142" t="s">
        <v>15848</v>
      </c>
      <c r="E4567" s="142" t="s">
        <v>15849</v>
      </c>
      <c r="F4567" s="142" t="s">
        <v>12072</v>
      </c>
      <c r="G4567" s="142" t="s">
        <v>12071</v>
      </c>
      <c r="H4567" s="142" t="s">
        <v>20417</v>
      </c>
      <c r="I4567" s="142">
        <v>5</v>
      </c>
      <c r="J4567" s="142">
        <v>0</v>
      </c>
      <c r="K4567" s="142">
        <v>0</v>
      </c>
      <c r="L4567" s="142">
        <v>5</v>
      </c>
      <c r="M4567" s="142">
        <v>0</v>
      </c>
    </row>
    <row r="4568" spans="1:13" x14ac:dyDescent="0.45">
      <c r="A4568" s="142" t="s">
        <v>13124</v>
      </c>
      <c r="B4568" s="142" t="s">
        <v>15554</v>
      </c>
      <c r="C4568" s="142" t="s">
        <v>15860</v>
      </c>
      <c r="D4568" s="142" t="s">
        <v>15861</v>
      </c>
      <c r="E4568" s="142" t="s">
        <v>15849</v>
      </c>
      <c r="F4568" s="142" t="s">
        <v>12072</v>
      </c>
      <c r="G4568" s="142" t="s">
        <v>12071</v>
      </c>
      <c r="H4568" s="142" t="s">
        <v>20418</v>
      </c>
      <c r="I4568" s="142">
        <v>7</v>
      </c>
      <c r="J4568" s="142">
        <v>7</v>
      </c>
      <c r="K4568" s="142">
        <v>0</v>
      </c>
      <c r="L4568" s="142">
        <v>0</v>
      </c>
      <c r="M4568" s="142">
        <v>0</v>
      </c>
    </row>
    <row r="4569" spans="1:13" x14ac:dyDescent="0.45">
      <c r="A4569" s="142" t="s">
        <v>13853</v>
      </c>
      <c r="B4569" s="142" t="s">
        <v>15130</v>
      </c>
      <c r="C4569" s="142" t="s">
        <v>15860</v>
      </c>
      <c r="D4569" s="142" t="s">
        <v>15861</v>
      </c>
      <c r="E4569" s="142" t="s">
        <v>15849</v>
      </c>
      <c r="F4569" s="142" t="s">
        <v>12072</v>
      </c>
      <c r="G4569" s="142" t="s">
        <v>12071</v>
      </c>
      <c r="H4569" s="142" t="s">
        <v>20419</v>
      </c>
      <c r="I4569" s="142">
        <v>59</v>
      </c>
      <c r="J4569" s="142">
        <v>59</v>
      </c>
      <c r="K4569" s="142">
        <v>0</v>
      </c>
      <c r="L4569" s="142">
        <v>0</v>
      </c>
      <c r="M4569" s="142">
        <v>0</v>
      </c>
    </row>
    <row r="4570" spans="1:13" x14ac:dyDescent="0.45">
      <c r="A4570" s="142" t="s">
        <v>13125</v>
      </c>
      <c r="B4570" s="142" t="s">
        <v>15515</v>
      </c>
      <c r="C4570" s="142" t="s">
        <v>15860</v>
      </c>
      <c r="D4570" s="142" t="s">
        <v>15861</v>
      </c>
      <c r="E4570" s="142" t="s">
        <v>15849</v>
      </c>
      <c r="F4570" s="142" t="s">
        <v>12072</v>
      </c>
      <c r="G4570" s="142" t="s">
        <v>12071</v>
      </c>
      <c r="H4570" s="142" t="s">
        <v>20420</v>
      </c>
      <c r="I4570" s="142">
        <v>26</v>
      </c>
      <c r="J4570" s="142">
        <v>0</v>
      </c>
      <c r="K4570" s="142">
        <v>0</v>
      </c>
      <c r="L4570" s="142">
        <v>26</v>
      </c>
      <c r="M4570" s="142">
        <v>0</v>
      </c>
    </row>
    <row r="4571" spans="1:13" x14ac:dyDescent="0.45">
      <c r="A4571" s="142" t="s">
        <v>13789</v>
      </c>
      <c r="B4571" s="142" t="s">
        <v>15596</v>
      </c>
      <c r="C4571" s="142" t="s">
        <v>15860</v>
      </c>
      <c r="D4571" s="142" t="s">
        <v>15861</v>
      </c>
      <c r="E4571" s="142" t="s">
        <v>15849</v>
      </c>
      <c r="F4571" s="142" t="s">
        <v>12072</v>
      </c>
      <c r="G4571" s="142" t="s">
        <v>12071</v>
      </c>
      <c r="H4571" s="142" t="s">
        <v>20421</v>
      </c>
      <c r="I4571" s="142">
        <v>15</v>
      </c>
      <c r="J4571" s="142">
        <v>0</v>
      </c>
      <c r="K4571" s="142">
        <v>0</v>
      </c>
      <c r="L4571" s="142">
        <v>15</v>
      </c>
      <c r="M4571" s="142">
        <v>0</v>
      </c>
    </row>
    <row r="4572" spans="1:13" x14ac:dyDescent="0.45">
      <c r="A4572" s="142" t="s">
        <v>13216</v>
      </c>
      <c r="B4572" s="142" t="s">
        <v>15353</v>
      </c>
      <c r="C4572" s="142" t="s">
        <v>15860</v>
      </c>
      <c r="D4572" s="142" t="s">
        <v>15861</v>
      </c>
      <c r="E4572" s="142" t="s">
        <v>15849</v>
      </c>
      <c r="F4572" s="142" t="s">
        <v>12072</v>
      </c>
      <c r="G4572" s="142" t="s">
        <v>12071</v>
      </c>
      <c r="H4572" s="142" t="s">
        <v>20422</v>
      </c>
      <c r="I4572" s="142">
        <v>10</v>
      </c>
      <c r="J4572" s="142">
        <v>10</v>
      </c>
      <c r="K4572" s="142">
        <v>0</v>
      </c>
      <c r="L4572" s="142">
        <v>0</v>
      </c>
      <c r="M4572" s="142">
        <v>0</v>
      </c>
    </row>
    <row r="4573" spans="1:13" x14ac:dyDescent="0.45">
      <c r="A4573" s="142" t="s">
        <v>13854</v>
      </c>
      <c r="B4573" s="142" t="s">
        <v>15443</v>
      </c>
      <c r="C4573" s="142" t="s">
        <v>15860</v>
      </c>
      <c r="D4573" s="142" t="s">
        <v>15861</v>
      </c>
      <c r="E4573" s="142" t="s">
        <v>15849</v>
      </c>
      <c r="F4573" s="142" t="s">
        <v>12072</v>
      </c>
      <c r="G4573" s="142" t="s">
        <v>12071</v>
      </c>
      <c r="H4573" s="142" t="s">
        <v>20423</v>
      </c>
      <c r="I4573" s="142">
        <v>51</v>
      </c>
      <c r="J4573" s="142">
        <v>51</v>
      </c>
      <c r="K4573" s="142">
        <v>0</v>
      </c>
      <c r="L4573" s="142">
        <v>0</v>
      </c>
      <c r="M4573" s="142">
        <v>0</v>
      </c>
    </row>
    <row r="4574" spans="1:13" x14ac:dyDescent="0.45">
      <c r="A4574" s="142" t="s">
        <v>13855</v>
      </c>
      <c r="B4574" s="142" t="s">
        <v>15298</v>
      </c>
      <c r="C4574" s="142" t="s">
        <v>15860</v>
      </c>
      <c r="D4574" s="142" t="s">
        <v>15861</v>
      </c>
      <c r="E4574" s="142" t="s">
        <v>15849</v>
      </c>
      <c r="F4574" s="142" t="s">
        <v>12072</v>
      </c>
      <c r="G4574" s="142" t="s">
        <v>12071</v>
      </c>
      <c r="H4574" s="142" t="s">
        <v>20424</v>
      </c>
      <c r="I4574" s="142">
        <v>104</v>
      </c>
      <c r="J4574" s="142">
        <v>104</v>
      </c>
      <c r="K4574" s="142">
        <v>0</v>
      </c>
      <c r="L4574" s="142">
        <v>0</v>
      </c>
      <c r="M4574" s="142">
        <v>0</v>
      </c>
    </row>
    <row r="4575" spans="1:13" x14ac:dyDescent="0.45">
      <c r="A4575" s="142" t="s">
        <v>13178</v>
      </c>
      <c r="B4575" s="142" t="s">
        <v>14683</v>
      </c>
      <c r="C4575" s="142" t="s">
        <v>15847</v>
      </c>
      <c r="D4575" s="142" t="s">
        <v>15848</v>
      </c>
      <c r="E4575" s="142" t="s">
        <v>15849</v>
      </c>
      <c r="F4575" s="142" t="s">
        <v>12072</v>
      </c>
      <c r="G4575" s="142" t="s">
        <v>12071</v>
      </c>
      <c r="H4575" s="142" t="s">
        <v>20425</v>
      </c>
      <c r="I4575" s="142">
        <v>90</v>
      </c>
      <c r="J4575" s="142">
        <v>90</v>
      </c>
      <c r="K4575" s="142">
        <v>0</v>
      </c>
      <c r="L4575" s="142">
        <v>0</v>
      </c>
      <c r="M4575" s="142">
        <v>0</v>
      </c>
    </row>
    <row r="4576" spans="1:13" x14ac:dyDescent="0.45">
      <c r="A4576" s="142" t="s">
        <v>13005</v>
      </c>
      <c r="B4576" s="142" t="s">
        <v>15475</v>
      </c>
      <c r="C4576" s="142" t="s">
        <v>15847</v>
      </c>
      <c r="D4576" s="142" t="s">
        <v>15848</v>
      </c>
      <c r="E4576" s="142" t="s">
        <v>15849</v>
      </c>
      <c r="F4576" s="142" t="s">
        <v>12072</v>
      </c>
      <c r="G4576" s="142" t="s">
        <v>12071</v>
      </c>
      <c r="H4576" s="142" t="s">
        <v>20426</v>
      </c>
      <c r="I4576" s="142">
        <v>4066</v>
      </c>
      <c r="J4576" s="142">
        <v>3213</v>
      </c>
      <c r="K4576" s="142">
        <v>2</v>
      </c>
      <c r="L4576" s="142">
        <v>563</v>
      </c>
      <c r="M4576" s="142">
        <v>288</v>
      </c>
    </row>
    <row r="4577" spans="1:13" x14ac:dyDescent="0.45">
      <c r="A4577" s="142" t="s">
        <v>13029</v>
      </c>
      <c r="B4577" s="142" t="s">
        <v>14665</v>
      </c>
      <c r="C4577" s="142" t="s">
        <v>15847</v>
      </c>
      <c r="D4577" s="142" t="s">
        <v>15848</v>
      </c>
      <c r="E4577" s="142" t="s">
        <v>15849</v>
      </c>
      <c r="F4577" s="142" t="s">
        <v>12072</v>
      </c>
      <c r="G4577" s="142" t="s">
        <v>12071</v>
      </c>
      <c r="H4577" s="142" t="s">
        <v>20427</v>
      </c>
      <c r="I4577" s="142">
        <v>30</v>
      </c>
      <c r="J4577" s="142">
        <v>0</v>
      </c>
      <c r="K4577" s="142">
        <v>0</v>
      </c>
      <c r="L4577" s="142">
        <v>0</v>
      </c>
      <c r="M4577" s="142">
        <v>30</v>
      </c>
    </row>
    <row r="4578" spans="1:13" x14ac:dyDescent="0.45">
      <c r="A4578" s="142" t="s">
        <v>13006</v>
      </c>
      <c r="B4578" s="142" t="s">
        <v>15288</v>
      </c>
      <c r="C4578" s="142" t="s">
        <v>15847</v>
      </c>
      <c r="D4578" s="142" t="s">
        <v>15848</v>
      </c>
      <c r="E4578" s="142" t="s">
        <v>15849</v>
      </c>
      <c r="F4578" s="142" t="s">
        <v>12072</v>
      </c>
      <c r="G4578" s="142" t="s">
        <v>12071</v>
      </c>
      <c r="H4578" s="142" t="s">
        <v>20428</v>
      </c>
      <c r="I4578" s="142">
        <v>5058</v>
      </c>
      <c r="J4578" s="142">
        <v>3893</v>
      </c>
      <c r="K4578" s="142">
        <v>0</v>
      </c>
      <c r="L4578" s="142">
        <v>795</v>
      </c>
      <c r="M4578" s="142">
        <v>370</v>
      </c>
    </row>
    <row r="4579" spans="1:13" x14ac:dyDescent="0.45">
      <c r="A4579" s="142" t="s">
        <v>13856</v>
      </c>
      <c r="B4579" s="142" t="s">
        <v>15076</v>
      </c>
      <c r="C4579" s="142" t="s">
        <v>15860</v>
      </c>
      <c r="D4579" s="142" t="s">
        <v>15861</v>
      </c>
      <c r="E4579" s="142" t="s">
        <v>15849</v>
      </c>
      <c r="F4579" s="142" t="s">
        <v>12072</v>
      </c>
      <c r="G4579" s="142" t="s">
        <v>12071</v>
      </c>
      <c r="H4579" s="142" t="s">
        <v>20429</v>
      </c>
      <c r="I4579" s="142">
        <v>13</v>
      </c>
      <c r="J4579" s="142">
        <v>13</v>
      </c>
      <c r="K4579" s="142">
        <v>0</v>
      </c>
      <c r="L4579" s="142">
        <v>0</v>
      </c>
      <c r="M4579" s="142">
        <v>0</v>
      </c>
    </row>
    <row r="4580" spans="1:13" x14ac:dyDescent="0.45">
      <c r="A4580" s="142" t="s">
        <v>13857</v>
      </c>
      <c r="B4580" s="142" t="s">
        <v>15074</v>
      </c>
      <c r="C4580" s="142" t="s">
        <v>15860</v>
      </c>
      <c r="D4580" s="142" t="s">
        <v>15861</v>
      </c>
      <c r="E4580" s="142" t="s">
        <v>15849</v>
      </c>
      <c r="F4580" s="142" t="s">
        <v>12072</v>
      </c>
      <c r="G4580" s="142" t="s">
        <v>12071</v>
      </c>
      <c r="H4580" s="142" t="s">
        <v>20430</v>
      </c>
      <c r="I4580" s="142">
        <v>56</v>
      </c>
      <c r="J4580" s="142">
        <v>56</v>
      </c>
      <c r="K4580" s="142">
        <v>0</v>
      </c>
      <c r="L4580" s="142">
        <v>0</v>
      </c>
      <c r="M4580" s="142">
        <v>0</v>
      </c>
    </row>
    <row r="4581" spans="1:13" x14ac:dyDescent="0.45">
      <c r="A4581" s="142" t="s">
        <v>13718</v>
      </c>
      <c r="B4581" s="142" t="s">
        <v>15565</v>
      </c>
      <c r="C4581" s="142" t="s">
        <v>15860</v>
      </c>
      <c r="D4581" s="142" t="s">
        <v>15861</v>
      </c>
      <c r="E4581" s="142" t="s">
        <v>15849</v>
      </c>
      <c r="F4581" s="142" t="s">
        <v>12072</v>
      </c>
      <c r="G4581" s="142" t="s">
        <v>12071</v>
      </c>
      <c r="H4581" s="142" t="s">
        <v>20431</v>
      </c>
      <c r="I4581" s="142">
        <v>91</v>
      </c>
      <c r="J4581" s="142">
        <v>71</v>
      </c>
      <c r="K4581" s="142">
        <v>0</v>
      </c>
      <c r="L4581" s="142">
        <v>20</v>
      </c>
      <c r="M4581" s="142">
        <v>0</v>
      </c>
    </row>
    <row r="4582" spans="1:13" x14ac:dyDescent="0.45">
      <c r="A4582" s="142" t="s">
        <v>13103</v>
      </c>
      <c r="B4582" s="142" t="s">
        <v>14623</v>
      </c>
      <c r="C4582" s="142" t="s">
        <v>15847</v>
      </c>
      <c r="D4582" s="142" t="s">
        <v>15848</v>
      </c>
      <c r="E4582" s="142" t="s">
        <v>15849</v>
      </c>
      <c r="F4582" s="142" t="s">
        <v>12072</v>
      </c>
      <c r="G4582" s="142" t="s">
        <v>12071</v>
      </c>
      <c r="H4582" s="142" t="s">
        <v>20432</v>
      </c>
      <c r="I4582" s="142">
        <v>2486</v>
      </c>
      <c r="J4582" s="142">
        <v>2275</v>
      </c>
      <c r="K4582" s="142">
        <v>6</v>
      </c>
      <c r="L4582" s="142">
        <v>79</v>
      </c>
      <c r="M4582" s="142">
        <v>126</v>
      </c>
    </row>
    <row r="4583" spans="1:13" x14ac:dyDescent="0.45">
      <c r="A4583" s="142" t="s">
        <v>13054</v>
      </c>
      <c r="B4583" s="142" t="s">
        <v>15604</v>
      </c>
      <c r="C4583" s="142" t="s">
        <v>15847</v>
      </c>
      <c r="D4583" s="142" t="s">
        <v>15848</v>
      </c>
      <c r="E4583" s="142" t="s">
        <v>15849</v>
      </c>
      <c r="F4583" s="142" t="s">
        <v>12072</v>
      </c>
      <c r="G4583" s="142" t="s">
        <v>12071</v>
      </c>
      <c r="H4583" s="142" t="s">
        <v>20433</v>
      </c>
      <c r="I4583" s="142">
        <v>368</v>
      </c>
      <c r="J4583" s="142">
        <v>0</v>
      </c>
      <c r="K4583" s="142">
        <v>0</v>
      </c>
      <c r="L4583" s="142">
        <v>0</v>
      </c>
      <c r="M4583" s="142">
        <v>368</v>
      </c>
    </row>
    <row r="4584" spans="1:13" x14ac:dyDescent="0.45">
      <c r="A4584" s="142" t="s">
        <v>13133</v>
      </c>
      <c r="B4584" s="142" t="s">
        <v>15291</v>
      </c>
      <c r="C4584" s="142" t="s">
        <v>15847</v>
      </c>
      <c r="D4584" s="142" t="s">
        <v>15848</v>
      </c>
      <c r="E4584" s="142" t="s">
        <v>15849</v>
      </c>
      <c r="F4584" s="142" t="s">
        <v>12072</v>
      </c>
      <c r="G4584" s="142" t="s">
        <v>12071</v>
      </c>
      <c r="H4584" s="142" t="s">
        <v>20434</v>
      </c>
      <c r="I4584" s="142">
        <v>2</v>
      </c>
      <c r="J4584" s="142">
        <v>0</v>
      </c>
      <c r="K4584" s="142">
        <v>0</v>
      </c>
      <c r="L4584" s="142">
        <v>0</v>
      </c>
      <c r="M4584" s="142">
        <v>2</v>
      </c>
    </row>
    <row r="4585" spans="1:13" x14ac:dyDescent="0.45">
      <c r="A4585" s="142" t="s">
        <v>13858</v>
      </c>
      <c r="B4585" s="142" t="s">
        <v>15116</v>
      </c>
      <c r="C4585" s="142" t="s">
        <v>15860</v>
      </c>
      <c r="D4585" s="142" t="s">
        <v>15861</v>
      </c>
      <c r="E4585" s="142" t="s">
        <v>15849</v>
      </c>
      <c r="F4585" s="142" t="s">
        <v>12072</v>
      </c>
      <c r="G4585" s="142" t="s">
        <v>12071</v>
      </c>
      <c r="H4585" s="142" t="s">
        <v>20435</v>
      </c>
      <c r="I4585" s="142">
        <v>27</v>
      </c>
      <c r="J4585" s="142">
        <v>27</v>
      </c>
      <c r="K4585" s="142">
        <v>0</v>
      </c>
      <c r="L4585" s="142">
        <v>0</v>
      </c>
      <c r="M4585" s="142">
        <v>0</v>
      </c>
    </row>
    <row r="4586" spans="1:13" x14ac:dyDescent="0.45">
      <c r="A4586" s="142" t="s">
        <v>13055</v>
      </c>
      <c r="B4586" s="142" t="s">
        <v>14595</v>
      </c>
      <c r="C4586" s="142" t="s">
        <v>15847</v>
      </c>
      <c r="D4586" s="142" t="s">
        <v>15848</v>
      </c>
      <c r="E4586" s="142" t="s">
        <v>15849</v>
      </c>
      <c r="F4586" s="142" t="s">
        <v>12072</v>
      </c>
      <c r="G4586" s="142" t="s">
        <v>12071</v>
      </c>
      <c r="H4586" s="142" t="s">
        <v>20436</v>
      </c>
      <c r="I4586" s="142">
        <v>276</v>
      </c>
      <c r="J4586" s="142">
        <v>197</v>
      </c>
      <c r="K4586" s="142">
        <v>0</v>
      </c>
      <c r="L4586" s="142">
        <v>50</v>
      </c>
      <c r="M4586" s="142">
        <v>29</v>
      </c>
    </row>
    <row r="4587" spans="1:13" x14ac:dyDescent="0.45">
      <c r="A4587" s="142" t="s">
        <v>13859</v>
      </c>
      <c r="B4587" s="142" t="s">
        <v>15075</v>
      </c>
      <c r="C4587" s="142" t="s">
        <v>15860</v>
      </c>
      <c r="D4587" s="142" t="s">
        <v>15861</v>
      </c>
      <c r="E4587" s="142" t="s">
        <v>15849</v>
      </c>
      <c r="F4587" s="142" t="s">
        <v>12072</v>
      </c>
      <c r="G4587" s="142" t="s">
        <v>12071</v>
      </c>
      <c r="H4587" s="142" t="s">
        <v>20437</v>
      </c>
      <c r="I4587" s="142">
        <v>25</v>
      </c>
      <c r="J4587" s="142">
        <v>25</v>
      </c>
      <c r="K4587" s="142">
        <v>0</v>
      </c>
      <c r="L4587" s="142">
        <v>0</v>
      </c>
      <c r="M4587" s="142">
        <v>0</v>
      </c>
    </row>
    <row r="4588" spans="1:13" x14ac:dyDescent="0.45">
      <c r="A4588" s="142" t="s">
        <v>13522</v>
      </c>
      <c r="B4588" s="142" t="s">
        <v>15398</v>
      </c>
      <c r="C4588" s="142" t="s">
        <v>15860</v>
      </c>
      <c r="D4588" s="142" t="s">
        <v>15861</v>
      </c>
      <c r="E4588" s="142" t="s">
        <v>15849</v>
      </c>
      <c r="F4588" s="142" t="s">
        <v>12072</v>
      </c>
      <c r="G4588" s="142" t="s">
        <v>12071</v>
      </c>
      <c r="H4588" s="142" t="s">
        <v>20438</v>
      </c>
      <c r="I4588" s="142">
        <v>58</v>
      </c>
      <c r="J4588" s="142">
        <v>58</v>
      </c>
      <c r="K4588" s="142">
        <v>0</v>
      </c>
      <c r="L4588" s="142">
        <v>0</v>
      </c>
      <c r="M4588" s="142">
        <v>0</v>
      </c>
    </row>
    <row r="4589" spans="1:13" x14ac:dyDescent="0.45">
      <c r="A4589" s="142" t="s">
        <v>13104</v>
      </c>
      <c r="B4589" s="142" t="s">
        <v>14622</v>
      </c>
      <c r="C4589" s="142" t="s">
        <v>15847</v>
      </c>
      <c r="D4589" s="142" t="s">
        <v>15848</v>
      </c>
      <c r="E4589" s="142" t="s">
        <v>15849</v>
      </c>
      <c r="F4589" s="142" t="s">
        <v>12072</v>
      </c>
      <c r="G4589" s="142" t="s">
        <v>12071</v>
      </c>
      <c r="H4589" s="142" t="s">
        <v>20439</v>
      </c>
      <c r="I4589" s="142">
        <v>3004</v>
      </c>
      <c r="J4589" s="142">
        <v>2533</v>
      </c>
      <c r="K4589" s="142">
        <v>0</v>
      </c>
      <c r="L4589" s="142">
        <v>300</v>
      </c>
      <c r="M4589" s="142">
        <v>171</v>
      </c>
    </row>
    <row r="4590" spans="1:13" x14ac:dyDescent="0.45">
      <c r="A4590" s="142" t="s">
        <v>13860</v>
      </c>
      <c r="B4590" s="142" t="s">
        <v>14954</v>
      </c>
      <c r="C4590" s="142" t="s">
        <v>15860</v>
      </c>
      <c r="D4590" s="142" t="s">
        <v>15861</v>
      </c>
      <c r="E4590" s="142" t="s">
        <v>15849</v>
      </c>
      <c r="F4590" s="142" t="s">
        <v>12072</v>
      </c>
      <c r="G4590" s="142" t="s">
        <v>12071</v>
      </c>
      <c r="H4590" s="142" t="s">
        <v>20440</v>
      </c>
      <c r="I4590" s="142">
        <v>27</v>
      </c>
      <c r="J4590" s="142">
        <v>27</v>
      </c>
      <c r="K4590" s="142">
        <v>0</v>
      </c>
      <c r="L4590" s="142">
        <v>0</v>
      </c>
      <c r="M4590" s="142">
        <v>0</v>
      </c>
    </row>
    <row r="4591" spans="1:13" x14ac:dyDescent="0.45">
      <c r="A4591" s="142" t="s">
        <v>13218</v>
      </c>
      <c r="B4591" s="142" t="s">
        <v>15316</v>
      </c>
      <c r="C4591" s="142" t="s">
        <v>15860</v>
      </c>
      <c r="D4591" s="142" t="s">
        <v>15861</v>
      </c>
      <c r="E4591" s="142" t="s">
        <v>15849</v>
      </c>
      <c r="F4591" s="142" t="s">
        <v>12072</v>
      </c>
      <c r="G4591" s="142" t="s">
        <v>12071</v>
      </c>
      <c r="H4591" s="142" t="s">
        <v>20441</v>
      </c>
      <c r="I4591" s="142">
        <v>4</v>
      </c>
      <c r="J4591" s="142">
        <v>4</v>
      </c>
      <c r="K4591" s="142">
        <v>0</v>
      </c>
      <c r="L4591" s="142">
        <v>0</v>
      </c>
      <c r="M4591" s="142">
        <v>0</v>
      </c>
    </row>
    <row r="4592" spans="1:13" x14ac:dyDescent="0.45">
      <c r="A4592" s="142" t="s">
        <v>13387</v>
      </c>
      <c r="B4592" s="142" t="s">
        <v>15211</v>
      </c>
      <c r="C4592" s="142" t="s">
        <v>15860</v>
      </c>
      <c r="D4592" s="142" t="s">
        <v>15861</v>
      </c>
      <c r="E4592" s="142" t="s">
        <v>15849</v>
      </c>
      <c r="F4592" s="142" t="s">
        <v>12072</v>
      </c>
      <c r="G4592" s="142" t="s">
        <v>12071</v>
      </c>
      <c r="H4592" s="142" t="s">
        <v>20442</v>
      </c>
      <c r="I4592" s="142">
        <v>12</v>
      </c>
      <c r="J4592" s="142">
        <v>0</v>
      </c>
      <c r="K4592" s="142">
        <v>0</v>
      </c>
      <c r="L4592" s="142">
        <v>12</v>
      </c>
      <c r="M4592" s="142">
        <v>0</v>
      </c>
    </row>
    <row r="4593" spans="1:13" x14ac:dyDescent="0.45">
      <c r="A4593" s="142" t="s">
        <v>13033</v>
      </c>
      <c r="B4593" s="142" t="s">
        <v>15276</v>
      </c>
      <c r="C4593" s="142" t="s">
        <v>15847</v>
      </c>
      <c r="D4593" s="142" t="s">
        <v>15848</v>
      </c>
      <c r="E4593" s="142" t="s">
        <v>15849</v>
      </c>
      <c r="F4593" s="142" t="s">
        <v>12072</v>
      </c>
      <c r="G4593" s="142" t="s">
        <v>12071</v>
      </c>
      <c r="H4593" s="142" t="s">
        <v>20443</v>
      </c>
      <c r="I4593" s="142">
        <v>3</v>
      </c>
      <c r="J4593" s="142">
        <v>3</v>
      </c>
      <c r="K4593" s="142">
        <v>0</v>
      </c>
      <c r="L4593" s="142">
        <v>0</v>
      </c>
      <c r="M4593" s="142">
        <v>0</v>
      </c>
    </row>
    <row r="4594" spans="1:13" x14ac:dyDescent="0.45">
      <c r="A4594" s="142" t="s">
        <v>13389</v>
      </c>
      <c r="B4594" s="142" t="s">
        <v>15361</v>
      </c>
      <c r="C4594" s="142" t="s">
        <v>15860</v>
      </c>
      <c r="D4594" s="142" t="s">
        <v>15861</v>
      </c>
      <c r="E4594" s="142" t="s">
        <v>15849</v>
      </c>
      <c r="F4594" s="142" t="s">
        <v>12072</v>
      </c>
      <c r="G4594" s="142" t="s">
        <v>12071</v>
      </c>
      <c r="H4594" s="142" t="s">
        <v>20444</v>
      </c>
      <c r="I4594" s="142">
        <v>24</v>
      </c>
      <c r="J4594" s="142">
        <v>24</v>
      </c>
      <c r="K4594" s="142">
        <v>0</v>
      </c>
      <c r="L4594" s="142">
        <v>0</v>
      </c>
      <c r="M4594" s="142">
        <v>0</v>
      </c>
    </row>
    <row r="4595" spans="1:13" x14ac:dyDescent="0.45">
      <c r="A4595" s="142" t="s">
        <v>13078</v>
      </c>
      <c r="B4595" s="142" t="s">
        <v>15540</v>
      </c>
      <c r="C4595" s="142" t="s">
        <v>15847</v>
      </c>
      <c r="D4595" s="142" t="s">
        <v>15848</v>
      </c>
      <c r="E4595" s="142" t="s">
        <v>15849</v>
      </c>
      <c r="F4595" s="142" t="s">
        <v>12072</v>
      </c>
      <c r="G4595" s="142" t="s">
        <v>12071</v>
      </c>
      <c r="H4595" s="142" t="s">
        <v>20445</v>
      </c>
      <c r="I4595" s="142">
        <v>34</v>
      </c>
      <c r="J4595" s="142">
        <v>0</v>
      </c>
      <c r="K4595" s="142">
        <v>0</v>
      </c>
      <c r="L4595" s="142">
        <v>34</v>
      </c>
      <c r="M4595" s="142">
        <v>0</v>
      </c>
    </row>
    <row r="4596" spans="1:13" x14ac:dyDescent="0.45">
      <c r="A4596" s="142" t="s">
        <v>13009</v>
      </c>
      <c r="B4596" s="142" t="s">
        <v>15256</v>
      </c>
      <c r="C4596" s="142" t="s">
        <v>15847</v>
      </c>
      <c r="D4596" s="142" t="s">
        <v>15848</v>
      </c>
      <c r="E4596" s="142" t="s">
        <v>15849</v>
      </c>
      <c r="F4596" s="142" t="s">
        <v>12072</v>
      </c>
      <c r="G4596" s="142" t="s">
        <v>12071</v>
      </c>
      <c r="H4596" s="142" t="s">
        <v>20446</v>
      </c>
      <c r="I4596" s="142">
        <v>220</v>
      </c>
      <c r="J4596" s="142">
        <v>4</v>
      </c>
      <c r="K4596" s="142">
        <v>0</v>
      </c>
      <c r="L4596" s="142">
        <v>207</v>
      </c>
      <c r="M4596" s="142">
        <v>9</v>
      </c>
    </row>
    <row r="4597" spans="1:13" x14ac:dyDescent="0.45">
      <c r="A4597" s="142" t="s">
        <v>13011</v>
      </c>
      <c r="B4597" s="142" t="s">
        <v>14695</v>
      </c>
      <c r="C4597" s="142" t="s">
        <v>15847</v>
      </c>
      <c r="D4597" s="142" t="s">
        <v>15848</v>
      </c>
      <c r="E4597" s="142" t="s">
        <v>15849</v>
      </c>
      <c r="F4597" s="142" t="s">
        <v>12072</v>
      </c>
      <c r="G4597" s="142" t="s">
        <v>12071</v>
      </c>
      <c r="H4597" s="142" t="s">
        <v>20447</v>
      </c>
      <c r="I4597" s="142">
        <v>2719</v>
      </c>
      <c r="J4597" s="142">
        <v>2480</v>
      </c>
      <c r="K4597" s="142">
        <v>0</v>
      </c>
      <c r="L4597" s="142">
        <v>89</v>
      </c>
      <c r="M4597" s="142">
        <v>150</v>
      </c>
    </row>
    <row r="4598" spans="1:13" x14ac:dyDescent="0.45">
      <c r="A4598" s="142" t="s">
        <v>13058</v>
      </c>
      <c r="B4598" s="142" t="s">
        <v>14584</v>
      </c>
      <c r="C4598" s="142" t="s">
        <v>15847</v>
      </c>
      <c r="D4598" s="142" t="s">
        <v>15848</v>
      </c>
      <c r="E4598" s="142" t="s">
        <v>15849</v>
      </c>
      <c r="F4598" s="142" t="s">
        <v>12072</v>
      </c>
      <c r="G4598" s="142" t="s">
        <v>12071</v>
      </c>
      <c r="H4598" s="142" t="s">
        <v>20448</v>
      </c>
      <c r="I4598" s="142">
        <v>1258</v>
      </c>
      <c r="J4598" s="142">
        <v>1028</v>
      </c>
      <c r="K4598" s="142">
        <v>0</v>
      </c>
      <c r="L4598" s="142">
        <v>105</v>
      </c>
      <c r="M4598" s="142">
        <v>125</v>
      </c>
    </row>
    <row r="4599" spans="1:13" x14ac:dyDescent="0.45">
      <c r="A4599" s="142" t="s">
        <v>13390</v>
      </c>
      <c r="B4599" s="142" t="s">
        <v>15194</v>
      </c>
      <c r="C4599" s="142" t="s">
        <v>15860</v>
      </c>
      <c r="D4599" s="142" t="s">
        <v>15861</v>
      </c>
      <c r="E4599" s="142" t="s">
        <v>15849</v>
      </c>
      <c r="F4599" s="142" t="s">
        <v>12072</v>
      </c>
      <c r="G4599" s="142" t="s">
        <v>12071</v>
      </c>
      <c r="H4599" s="142" t="s">
        <v>20449</v>
      </c>
      <c r="I4599" s="142">
        <v>18</v>
      </c>
      <c r="J4599" s="142">
        <v>0</v>
      </c>
      <c r="K4599" s="142">
        <v>0</v>
      </c>
      <c r="L4599" s="142">
        <v>18</v>
      </c>
      <c r="M4599" s="142">
        <v>0</v>
      </c>
    </row>
    <row r="4600" spans="1:13" x14ac:dyDescent="0.45">
      <c r="A4600" s="142" t="s">
        <v>13306</v>
      </c>
      <c r="B4600" s="142" t="s">
        <v>15500</v>
      </c>
      <c r="C4600" s="142" t="s">
        <v>15847</v>
      </c>
      <c r="D4600" s="142" t="s">
        <v>15848</v>
      </c>
      <c r="E4600" s="142" t="s">
        <v>15849</v>
      </c>
      <c r="F4600" s="142" t="s">
        <v>12072</v>
      </c>
      <c r="G4600" s="142" t="s">
        <v>12071</v>
      </c>
      <c r="H4600" s="142" t="s">
        <v>20450</v>
      </c>
      <c r="I4600" s="142">
        <v>113</v>
      </c>
      <c r="J4600" s="142">
        <v>0</v>
      </c>
      <c r="K4600" s="142">
        <v>0</v>
      </c>
      <c r="L4600" s="142">
        <v>113</v>
      </c>
      <c r="M4600" s="142">
        <v>0</v>
      </c>
    </row>
    <row r="4601" spans="1:13" x14ac:dyDescent="0.45">
      <c r="A4601" s="142" t="s">
        <v>13861</v>
      </c>
      <c r="B4601" s="142" t="s">
        <v>14696</v>
      </c>
      <c r="C4601" s="142" t="s">
        <v>15860</v>
      </c>
      <c r="D4601" s="142" t="s">
        <v>15861</v>
      </c>
      <c r="E4601" s="142" t="s">
        <v>15849</v>
      </c>
      <c r="F4601" s="142" t="s">
        <v>12072</v>
      </c>
      <c r="G4601" s="142" t="s">
        <v>12071</v>
      </c>
      <c r="H4601" s="142" t="s">
        <v>20451</v>
      </c>
      <c r="I4601" s="142">
        <v>42</v>
      </c>
      <c r="J4601" s="142">
        <v>0</v>
      </c>
      <c r="K4601" s="142">
        <v>0</v>
      </c>
      <c r="L4601" s="142">
        <v>42</v>
      </c>
      <c r="M4601" s="142">
        <v>0</v>
      </c>
    </row>
    <row r="4602" spans="1:13" x14ac:dyDescent="0.45">
      <c r="A4602" s="142" t="s">
        <v>13862</v>
      </c>
      <c r="B4602" s="142" t="s">
        <v>15202</v>
      </c>
      <c r="C4602" s="142" t="s">
        <v>15860</v>
      </c>
      <c r="D4602" s="142" t="s">
        <v>15861</v>
      </c>
      <c r="E4602" s="142" t="s">
        <v>15849</v>
      </c>
      <c r="F4602" s="142" t="s">
        <v>12072</v>
      </c>
      <c r="G4602" s="142" t="s">
        <v>12071</v>
      </c>
      <c r="H4602" s="142" t="s">
        <v>20452</v>
      </c>
      <c r="I4602" s="142">
        <v>7</v>
      </c>
      <c r="J4602" s="142">
        <v>0</v>
      </c>
      <c r="K4602" s="142">
        <v>0</v>
      </c>
      <c r="L4602" s="142">
        <v>7</v>
      </c>
      <c r="M4602" s="142">
        <v>0</v>
      </c>
    </row>
    <row r="4603" spans="1:13" x14ac:dyDescent="0.45">
      <c r="A4603" s="142" t="s">
        <v>13014</v>
      </c>
      <c r="B4603" s="142" t="s">
        <v>14505</v>
      </c>
      <c r="C4603" s="142" t="s">
        <v>15847</v>
      </c>
      <c r="D4603" s="142" t="s">
        <v>15848</v>
      </c>
      <c r="E4603" s="142" t="s">
        <v>15849</v>
      </c>
      <c r="F4603" s="142" t="s">
        <v>12072</v>
      </c>
      <c r="G4603" s="142" t="s">
        <v>12071</v>
      </c>
      <c r="H4603" s="142" t="s">
        <v>20453</v>
      </c>
      <c r="I4603" s="142">
        <v>745</v>
      </c>
      <c r="J4603" s="142">
        <v>577</v>
      </c>
      <c r="K4603" s="142">
        <v>0</v>
      </c>
      <c r="L4603" s="142">
        <v>47</v>
      </c>
      <c r="M4603" s="142">
        <v>121</v>
      </c>
    </row>
    <row r="4604" spans="1:13" x14ac:dyDescent="0.45">
      <c r="A4604" s="142" t="s">
        <v>13863</v>
      </c>
      <c r="B4604" s="142" t="s">
        <v>15078</v>
      </c>
      <c r="C4604" s="142" t="s">
        <v>15860</v>
      </c>
      <c r="D4604" s="142" t="s">
        <v>15861</v>
      </c>
      <c r="E4604" s="142" t="s">
        <v>15849</v>
      </c>
      <c r="F4604" s="142" t="s">
        <v>12072</v>
      </c>
      <c r="G4604" s="142" t="s">
        <v>12071</v>
      </c>
      <c r="H4604" s="142" t="s">
        <v>20454</v>
      </c>
      <c r="I4604" s="142">
        <v>42</v>
      </c>
      <c r="J4604" s="142">
        <v>42</v>
      </c>
      <c r="K4604" s="142">
        <v>0</v>
      </c>
      <c r="L4604" s="142">
        <v>0</v>
      </c>
      <c r="M4604" s="142">
        <v>0</v>
      </c>
    </row>
    <row r="4605" spans="1:13" x14ac:dyDescent="0.45">
      <c r="A4605" s="142" t="s">
        <v>13042</v>
      </c>
      <c r="B4605" s="142" t="s">
        <v>15489</v>
      </c>
      <c r="C4605" s="142" t="s">
        <v>15847</v>
      </c>
      <c r="D4605" s="142" t="s">
        <v>15848</v>
      </c>
      <c r="E4605" s="142" t="s">
        <v>15849</v>
      </c>
      <c r="F4605" s="142" t="s">
        <v>12072</v>
      </c>
      <c r="G4605" s="142" t="s">
        <v>12071</v>
      </c>
      <c r="H4605" s="142" t="s">
        <v>20455</v>
      </c>
      <c r="I4605" s="142">
        <v>318</v>
      </c>
      <c r="J4605" s="142">
        <v>156</v>
      </c>
      <c r="K4605" s="142">
        <v>0</v>
      </c>
      <c r="L4605" s="142">
        <v>147</v>
      </c>
      <c r="M4605" s="142">
        <v>15</v>
      </c>
    </row>
    <row r="4606" spans="1:13" x14ac:dyDescent="0.45">
      <c r="A4606" s="142" t="s">
        <v>13864</v>
      </c>
      <c r="B4606" s="142" t="s">
        <v>14571</v>
      </c>
      <c r="C4606" s="142" t="s">
        <v>15860</v>
      </c>
      <c r="D4606" s="142" t="s">
        <v>15861</v>
      </c>
      <c r="E4606" s="142" t="s">
        <v>15849</v>
      </c>
      <c r="F4606" s="142" t="s">
        <v>12072</v>
      </c>
      <c r="G4606" s="142" t="s">
        <v>12071</v>
      </c>
      <c r="H4606" s="142" t="s">
        <v>20456</v>
      </c>
      <c r="I4606" s="142">
        <v>17</v>
      </c>
      <c r="J4606" s="142">
        <v>17</v>
      </c>
      <c r="K4606" s="142">
        <v>0</v>
      </c>
      <c r="L4606" s="142">
        <v>0</v>
      </c>
      <c r="M4606" s="142">
        <v>0</v>
      </c>
    </row>
    <row r="4607" spans="1:13" x14ac:dyDescent="0.45">
      <c r="A4607" s="142" t="s">
        <v>13865</v>
      </c>
      <c r="B4607" s="142" t="s">
        <v>14807</v>
      </c>
      <c r="C4607" s="142" t="s">
        <v>15860</v>
      </c>
      <c r="D4607" s="142" t="s">
        <v>15861</v>
      </c>
      <c r="E4607" s="142" t="s">
        <v>15849</v>
      </c>
      <c r="F4607" s="142" t="s">
        <v>12072</v>
      </c>
      <c r="G4607" s="142" t="s">
        <v>12071</v>
      </c>
      <c r="H4607" s="142" t="s">
        <v>20457</v>
      </c>
      <c r="I4607" s="142">
        <v>17</v>
      </c>
      <c r="J4607" s="142">
        <v>0</v>
      </c>
      <c r="K4607" s="142">
        <v>0</v>
      </c>
      <c r="L4607" s="142">
        <v>17</v>
      </c>
      <c r="M4607" s="142">
        <v>0</v>
      </c>
    </row>
    <row r="4608" spans="1:13" x14ac:dyDescent="0.45">
      <c r="A4608" s="142" t="s">
        <v>13866</v>
      </c>
      <c r="B4608" s="142" t="s">
        <v>15056</v>
      </c>
      <c r="C4608" s="142" t="s">
        <v>15860</v>
      </c>
      <c r="D4608" s="142" t="s">
        <v>15861</v>
      </c>
      <c r="E4608" s="142" t="s">
        <v>15849</v>
      </c>
      <c r="F4608" s="142" t="s">
        <v>12072</v>
      </c>
      <c r="G4608" s="142" t="s">
        <v>12071</v>
      </c>
      <c r="H4608" s="142" t="s">
        <v>20458</v>
      </c>
      <c r="I4608" s="142">
        <v>50</v>
      </c>
      <c r="J4608" s="142">
        <v>50</v>
      </c>
      <c r="K4608" s="142">
        <v>0</v>
      </c>
      <c r="L4608" s="142">
        <v>0</v>
      </c>
      <c r="M4608" s="142">
        <v>0</v>
      </c>
    </row>
    <row r="4609" spans="1:13" x14ac:dyDescent="0.45">
      <c r="A4609" s="142" t="s">
        <v>13062</v>
      </c>
      <c r="B4609" s="142" t="s">
        <v>15259</v>
      </c>
      <c r="C4609" s="142" t="s">
        <v>15847</v>
      </c>
      <c r="D4609" s="142" t="s">
        <v>15848</v>
      </c>
      <c r="E4609" s="142" t="s">
        <v>15849</v>
      </c>
      <c r="F4609" s="142" t="s">
        <v>12072</v>
      </c>
      <c r="G4609" s="142" t="s">
        <v>12071</v>
      </c>
      <c r="H4609" s="142" t="s">
        <v>20459</v>
      </c>
      <c r="I4609" s="142">
        <v>498</v>
      </c>
      <c r="J4609" s="142">
        <v>411</v>
      </c>
      <c r="K4609" s="142">
        <v>0</v>
      </c>
      <c r="L4609" s="142">
        <v>0</v>
      </c>
      <c r="M4609" s="142">
        <v>87</v>
      </c>
    </row>
    <row r="4610" spans="1:13" x14ac:dyDescent="0.45">
      <c r="A4610" s="142" t="s">
        <v>13867</v>
      </c>
      <c r="B4610" s="142" t="s">
        <v>15449</v>
      </c>
      <c r="C4610" s="142" t="s">
        <v>15847</v>
      </c>
      <c r="D4610" s="142" t="s">
        <v>15848</v>
      </c>
      <c r="E4610" s="142" t="s">
        <v>15849</v>
      </c>
      <c r="F4610" s="142" t="s">
        <v>12072</v>
      </c>
      <c r="G4610" s="142" t="s">
        <v>12071</v>
      </c>
      <c r="H4610" s="142" t="s">
        <v>20460</v>
      </c>
      <c r="I4610" s="142">
        <v>921</v>
      </c>
      <c r="J4610" s="142">
        <v>835</v>
      </c>
      <c r="K4610" s="142">
        <v>0</v>
      </c>
      <c r="L4610" s="142">
        <v>86</v>
      </c>
      <c r="M4610" s="142">
        <v>0</v>
      </c>
    </row>
    <row r="4611" spans="1:13" x14ac:dyDescent="0.45">
      <c r="A4611" s="142" t="s">
        <v>13868</v>
      </c>
      <c r="B4611" s="142" t="s">
        <v>15544</v>
      </c>
      <c r="C4611" s="142" t="s">
        <v>15860</v>
      </c>
      <c r="D4611" s="142" t="s">
        <v>15861</v>
      </c>
      <c r="E4611" s="142" t="s">
        <v>15849</v>
      </c>
      <c r="F4611" s="142" t="s">
        <v>12072</v>
      </c>
      <c r="G4611" s="142" t="s">
        <v>12071</v>
      </c>
      <c r="H4611" s="142" t="s">
        <v>20461</v>
      </c>
      <c r="I4611" s="142">
        <v>44</v>
      </c>
      <c r="J4611" s="142">
        <v>27</v>
      </c>
      <c r="K4611" s="142">
        <v>0</v>
      </c>
      <c r="L4611" s="142">
        <v>17</v>
      </c>
      <c r="M4611" s="142">
        <v>0</v>
      </c>
    </row>
    <row r="4612" spans="1:13" x14ac:dyDescent="0.45">
      <c r="A4612" s="142" t="s">
        <v>13016</v>
      </c>
      <c r="B4612" s="142" t="s">
        <v>14535</v>
      </c>
      <c r="C4612" s="142" t="s">
        <v>15860</v>
      </c>
      <c r="D4612" s="142" t="s">
        <v>15861</v>
      </c>
      <c r="E4612" s="142" t="s">
        <v>15849</v>
      </c>
      <c r="F4612" s="142" t="s">
        <v>12072</v>
      </c>
      <c r="G4612" s="142" t="s">
        <v>12071</v>
      </c>
      <c r="H4612" s="142" t="s">
        <v>20462</v>
      </c>
      <c r="I4612" s="142">
        <v>18</v>
      </c>
      <c r="J4612" s="142">
        <v>0</v>
      </c>
      <c r="K4612" s="142">
        <v>0</v>
      </c>
      <c r="L4612" s="142">
        <v>18</v>
      </c>
      <c r="M4612" s="142">
        <v>0</v>
      </c>
    </row>
    <row r="4613" spans="1:13" x14ac:dyDescent="0.45">
      <c r="A4613" s="142" t="s">
        <v>13869</v>
      </c>
      <c r="B4613" s="142" t="s">
        <v>14840</v>
      </c>
      <c r="C4613" s="142" t="s">
        <v>15860</v>
      </c>
      <c r="D4613" s="142" t="s">
        <v>15861</v>
      </c>
      <c r="E4613" s="142" t="s">
        <v>15849</v>
      </c>
      <c r="F4613" s="142" t="s">
        <v>12072</v>
      </c>
      <c r="G4613" s="142" t="s">
        <v>12071</v>
      </c>
      <c r="H4613" s="142" t="s">
        <v>20463</v>
      </c>
      <c r="I4613" s="142">
        <v>6</v>
      </c>
      <c r="J4613" s="142">
        <v>6</v>
      </c>
      <c r="K4613" s="142">
        <v>0</v>
      </c>
      <c r="L4613" s="142">
        <v>0</v>
      </c>
      <c r="M4613" s="142">
        <v>0</v>
      </c>
    </row>
    <row r="4614" spans="1:13" x14ac:dyDescent="0.45">
      <c r="A4614" s="142" t="s">
        <v>13144</v>
      </c>
      <c r="B4614" s="142" t="s">
        <v>14464</v>
      </c>
      <c r="C4614" s="142" t="s">
        <v>15860</v>
      </c>
      <c r="D4614" s="142" t="s">
        <v>15861</v>
      </c>
      <c r="E4614" s="142" t="s">
        <v>15849</v>
      </c>
      <c r="F4614" s="142" t="s">
        <v>12072</v>
      </c>
      <c r="G4614" s="142" t="s">
        <v>12071</v>
      </c>
      <c r="H4614" s="142" t="s">
        <v>20464</v>
      </c>
      <c r="I4614" s="142">
        <v>18</v>
      </c>
      <c r="J4614" s="142">
        <v>0</v>
      </c>
      <c r="K4614" s="142">
        <v>0</v>
      </c>
      <c r="L4614" s="142">
        <v>18</v>
      </c>
      <c r="M4614" s="142">
        <v>0</v>
      </c>
    </row>
    <row r="4615" spans="1:13" x14ac:dyDescent="0.45">
      <c r="A4615" s="142" t="s">
        <v>13023</v>
      </c>
      <c r="B4615" s="142" t="s">
        <v>15571</v>
      </c>
      <c r="C4615" s="142" t="s">
        <v>15847</v>
      </c>
      <c r="D4615" s="142" t="s">
        <v>15848</v>
      </c>
      <c r="E4615" s="142" t="s">
        <v>15849</v>
      </c>
      <c r="F4615" s="142" t="s">
        <v>6078</v>
      </c>
      <c r="G4615" s="142" t="s">
        <v>6077</v>
      </c>
      <c r="H4615" s="142" t="s">
        <v>20465</v>
      </c>
      <c r="I4615" s="142">
        <v>190</v>
      </c>
      <c r="J4615" s="142">
        <v>0</v>
      </c>
      <c r="K4615" s="142">
        <v>0</v>
      </c>
      <c r="L4615" s="142">
        <v>190</v>
      </c>
      <c r="M4615" s="142">
        <v>0</v>
      </c>
    </row>
    <row r="4616" spans="1:13" x14ac:dyDescent="0.45">
      <c r="A4616" s="142" t="s">
        <v>13113</v>
      </c>
      <c r="B4616" s="142" t="s">
        <v>14503</v>
      </c>
      <c r="C4616" s="142" t="s">
        <v>15860</v>
      </c>
      <c r="D4616" s="142" t="s">
        <v>15861</v>
      </c>
      <c r="E4616" s="142" t="s">
        <v>15849</v>
      </c>
      <c r="F4616" s="142" t="s">
        <v>6078</v>
      </c>
      <c r="G4616" s="142" t="s">
        <v>6077</v>
      </c>
      <c r="H4616" s="142" t="s">
        <v>20466</v>
      </c>
      <c r="I4616" s="142">
        <v>2</v>
      </c>
      <c r="J4616" s="142">
        <v>2</v>
      </c>
      <c r="K4616" s="142">
        <v>0</v>
      </c>
      <c r="L4616" s="142">
        <v>0</v>
      </c>
      <c r="M4616" s="142">
        <v>0</v>
      </c>
    </row>
    <row r="4617" spans="1:13" x14ac:dyDescent="0.45">
      <c r="A4617" s="142" t="s">
        <v>13279</v>
      </c>
      <c r="B4617" s="142" t="s">
        <v>14507</v>
      </c>
      <c r="C4617" s="142" t="s">
        <v>15860</v>
      </c>
      <c r="D4617" s="142" t="s">
        <v>15861</v>
      </c>
      <c r="E4617" s="142" t="s">
        <v>15849</v>
      </c>
      <c r="F4617" s="142" t="s">
        <v>6078</v>
      </c>
      <c r="G4617" s="142" t="s">
        <v>6077</v>
      </c>
      <c r="H4617" s="142" t="s">
        <v>20467</v>
      </c>
      <c r="I4617" s="142">
        <v>2</v>
      </c>
      <c r="J4617" s="142">
        <v>0</v>
      </c>
      <c r="K4617" s="142">
        <v>0</v>
      </c>
      <c r="L4617" s="142">
        <v>2</v>
      </c>
      <c r="M4617" s="142">
        <v>0</v>
      </c>
    </row>
    <row r="4618" spans="1:13" x14ac:dyDescent="0.45">
      <c r="A4618" s="142" t="s">
        <v>13082</v>
      </c>
      <c r="B4618" s="142" t="s">
        <v>14478</v>
      </c>
      <c r="C4618" s="142" t="s">
        <v>15860</v>
      </c>
      <c r="D4618" s="142" t="s">
        <v>15861</v>
      </c>
      <c r="E4618" s="142" t="s">
        <v>15849</v>
      </c>
      <c r="F4618" s="142" t="s">
        <v>6078</v>
      </c>
      <c r="G4618" s="142" t="s">
        <v>6077</v>
      </c>
      <c r="H4618" s="142" t="s">
        <v>20468</v>
      </c>
      <c r="I4618" s="142">
        <v>5</v>
      </c>
      <c r="J4618" s="142">
        <v>0</v>
      </c>
      <c r="K4618" s="142">
        <v>0</v>
      </c>
      <c r="L4618" s="142">
        <v>5</v>
      </c>
      <c r="M4618" s="142">
        <v>0</v>
      </c>
    </row>
    <row r="4619" spans="1:13" x14ac:dyDescent="0.45">
      <c r="A4619" s="142" t="s">
        <v>13407</v>
      </c>
      <c r="B4619" s="142" t="s">
        <v>15432</v>
      </c>
      <c r="C4619" s="142" t="s">
        <v>15847</v>
      </c>
      <c r="D4619" s="142" t="s">
        <v>15848</v>
      </c>
      <c r="E4619" s="142" t="s">
        <v>15849</v>
      </c>
      <c r="F4619" s="142" t="s">
        <v>6078</v>
      </c>
      <c r="G4619" s="142" t="s">
        <v>6077</v>
      </c>
      <c r="H4619" s="142" t="s">
        <v>20469</v>
      </c>
      <c r="I4619" s="142">
        <v>24</v>
      </c>
      <c r="J4619" s="142">
        <v>0</v>
      </c>
      <c r="K4619" s="142">
        <v>0</v>
      </c>
      <c r="L4619" s="142">
        <v>24</v>
      </c>
      <c r="M4619" s="142">
        <v>0</v>
      </c>
    </row>
    <row r="4620" spans="1:13" x14ac:dyDescent="0.45">
      <c r="A4620" s="142" t="s">
        <v>13273</v>
      </c>
      <c r="B4620" s="142" t="s">
        <v>14465</v>
      </c>
      <c r="C4620" s="142" t="s">
        <v>15860</v>
      </c>
      <c r="D4620" s="142" t="s">
        <v>15861</v>
      </c>
      <c r="E4620" s="142" t="s">
        <v>15849</v>
      </c>
      <c r="F4620" s="142" t="s">
        <v>6078</v>
      </c>
      <c r="G4620" s="142" t="s">
        <v>6077</v>
      </c>
      <c r="H4620" s="142" t="s">
        <v>20470</v>
      </c>
      <c r="I4620" s="142">
        <v>10</v>
      </c>
      <c r="J4620" s="142">
        <v>0</v>
      </c>
      <c r="K4620" s="142">
        <v>0</v>
      </c>
      <c r="L4620" s="142">
        <v>10</v>
      </c>
      <c r="M4620" s="142">
        <v>0</v>
      </c>
    </row>
    <row r="4621" spans="1:13" x14ac:dyDescent="0.45">
      <c r="A4621" s="142" t="s">
        <v>13871</v>
      </c>
      <c r="B4621" s="142" t="s">
        <v>14491</v>
      </c>
      <c r="C4621" s="142" t="s">
        <v>15860</v>
      </c>
      <c r="D4621" s="142" t="s">
        <v>15861</v>
      </c>
      <c r="E4621" s="142" t="s">
        <v>15849</v>
      </c>
      <c r="F4621" s="142" t="s">
        <v>6078</v>
      </c>
      <c r="G4621" s="142" t="s">
        <v>6077</v>
      </c>
      <c r="H4621" s="142" t="s">
        <v>20471</v>
      </c>
      <c r="I4621" s="142">
        <v>49</v>
      </c>
      <c r="J4621" s="142">
        <v>0</v>
      </c>
      <c r="K4621" s="142">
        <v>0</v>
      </c>
      <c r="L4621" s="142">
        <v>49</v>
      </c>
      <c r="M4621" s="142">
        <v>0</v>
      </c>
    </row>
    <row r="4622" spans="1:13" x14ac:dyDescent="0.45">
      <c r="A4622" s="142" t="s">
        <v>13549</v>
      </c>
      <c r="B4622" s="142" t="s">
        <v>14603</v>
      </c>
      <c r="C4622" s="142" t="s">
        <v>15847</v>
      </c>
      <c r="D4622" s="142" t="s">
        <v>15848</v>
      </c>
      <c r="E4622" s="142" t="s">
        <v>15849</v>
      </c>
      <c r="F4622" s="142" t="s">
        <v>6078</v>
      </c>
      <c r="G4622" s="142" t="s">
        <v>6077</v>
      </c>
      <c r="H4622" s="142" t="s">
        <v>20472</v>
      </c>
      <c r="I4622" s="142">
        <v>33</v>
      </c>
      <c r="J4622" s="142">
        <v>31</v>
      </c>
      <c r="K4622" s="142">
        <v>0</v>
      </c>
      <c r="L4622" s="142">
        <v>0</v>
      </c>
      <c r="M4622" s="142">
        <v>2</v>
      </c>
    </row>
    <row r="4623" spans="1:13" x14ac:dyDescent="0.45">
      <c r="A4623" s="142" t="s">
        <v>13238</v>
      </c>
      <c r="B4623" s="142" t="s">
        <v>14477</v>
      </c>
      <c r="C4623" s="142" t="s">
        <v>15860</v>
      </c>
      <c r="D4623" s="142" t="s">
        <v>15861</v>
      </c>
      <c r="E4623" s="142" t="s">
        <v>15849</v>
      </c>
      <c r="F4623" s="142" t="s">
        <v>6078</v>
      </c>
      <c r="G4623" s="142" t="s">
        <v>6077</v>
      </c>
      <c r="H4623" s="142" t="s">
        <v>20473</v>
      </c>
      <c r="I4623" s="142">
        <v>8</v>
      </c>
      <c r="J4623" s="142">
        <v>0</v>
      </c>
      <c r="K4623" s="142">
        <v>0</v>
      </c>
      <c r="L4623" s="142">
        <v>8</v>
      </c>
      <c r="M4623" s="142">
        <v>0</v>
      </c>
    </row>
    <row r="4624" spans="1:13" x14ac:dyDescent="0.45">
      <c r="A4624" s="142" t="s">
        <v>13119</v>
      </c>
      <c r="B4624" s="142" t="s">
        <v>14451</v>
      </c>
      <c r="C4624" s="142" t="s">
        <v>15860</v>
      </c>
      <c r="D4624" s="142" t="s">
        <v>15861</v>
      </c>
      <c r="E4624" s="142" t="s">
        <v>15849</v>
      </c>
      <c r="F4624" s="142" t="s">
        <v>6078</v>
      </c>
      <c r="G4624" s="142" t="s">
        <v>6077</v>
      </c>
      <c r="H4624" s="142" t="s">
        <v>20474</v>
      </c>
      <c r="I4624" s="142">
        <v>11</v>
      </c>
      <c r="J4624" s="142">
        <v>0</v>
      </c>
      <c r="K4624" s="142">
        <v>0</v>
      </c>
      <c r="L4624" s="142">
        <v>11</v>
      </c>
      <c r="M4624" s="142">
        <v>0</v>
      </c>
    </row>
    <row r="4625" spans="1:13" x14ac:dyDescent="0.45">
      <c r="A4625" s="142" t="s">
        <v>13085</v>
      </c>
      <c r="B4625" s="142" t="s">
        <v>14460</v>
      </c>
      <c r="C4625" s="142" t="s">
        <v>15860</v>
      </c>
      <c r="D4625" s="142" t="s">
        <v>15861</v>
      </c>
      <c r="E4625" s="142" t="s">
        <v>15849</v>
      </c>
      <c r="F4625" s="142" t="s">
        <v>6078</v>
      </c>
      <c r="G4625" s="142" t="s">
        <v>6077</v>
      </c>
      <c r="H4625" s="142" t="s">
        <v>20475</v>
      </c>
      <c r="I4625" s="142">
        <v>18</v>
      </c>
      <c r="J4625" s="142">
        <v>0</v>
      </c>
      <c r="K4625" s="142">
        <v>0</v>
      </c>
      <c r="L4625" s="142">
        <v>18</v>
      </c>
      <c r="M4625" s="142">
        <v>0</v>
      </c>
    </row>
    <row r="4626" spans="1:13" x14ac:dyDescent="0.45">
      <c r="A4626" s="142" t="s">
        <v>13049</v>
      </c>
      <c r="B4626" s="142" t="s">
        <v>14534</v>
      </c>
      <c r="C4626" s="142" t="s">
        <v>15860</v>
      </c>
      <c r="D4626" s="142" t="s">
        <v>15861</v>
      </c>
      <c r="E4626" s="142" t="s">
        <v>15849</v>
      </c>
      <c r="F4626" s="142" t="s">
        <v>6078</v>
      </c>
      <c r="G4626" s="142" t="s">
        <v>6077</v>
      </c>
      <c r="H4626" s="142" t="s">
        <v>20476</v>
      </c>
      <c r="I4626" s="142">
        <v>1</v>
      </c>
      <c r="J4626" s="142">
        <v>0</v>
      </c>
      <c r="K4626" s="142">
        <v>0</v>
      </c>
      <c r="L4626" s="142">
        <v>1</v>
      </c>
      <c r="M4626" s="142">
        <v>0</v>
      </c>
    </row>
    <row r="4627" spans="1:13" x14ac:dyDescent="0.45">
      <c r="A4627" s="142" t="s">
        <v>13148</v>
      </c>
      <c r="B4627" s="142" t="s">
        <v>15314</v>
      </c>
      <c r="C4627" s="142" t="s">
        <v>15847</v>
      </c>
      <c r="D4627" s="142" t="s">
        <v>15848</v>
      </c>
      <c r="E4627" s="142" t="s">
        <v>15849</v>
      </c>
      <c r="F4627" s="142" t="s">
        <v>6078</v>
      </c>
      <c r="G4627" s="142" t="s">
        <v>6077</v>
      </c>
      <c r="H4627" s="142" t="s">
        <v>20477</v>
      </c>
      <c r="I4627" s="142">
        <v>351</v>
      </c>
      <c r="J4627" s="142">
        <v>297</v>
      </c>
      <c r="K4627" s="142">
        <v>0</v>
      </c>
      <c r="L4627" s="142">
        <v>16</v>
      </c>
      <c r="M4627" s="142">
        <v>38</v>
      </c>
    </row>
    <row r="4628" spans="1:13" x14ac:dyDescent="0.45">
      <c r="A4628" s="142" t="s">
        <v>13149</v>
      </c>
      <c r="B4628" s="142" t="s">
        <v>14458</v>
      </c>
      <c r="C4628" s="142" t="s">
        <v>15860</v>
      </c>
      <c r="D4628" s="142" t="s">
        <v>15861</v>
      </c>
      <c r="E4628" s="142" t="s">
        <v>15849</v>
      </c>
      <c r="F4628" s="142" t="s">
        <v>6078</v>
      </c>
      <c r="G4628" s="142" t="s">
        <v>6077</v>
      </c>
      <c r="H4628" s="142" t="s">
        <v>20478</v>
      </c>
      <c r="I4628" s="142">
        <v>35</v>
      </c>
      <c r="J4628" s="142">
        <v>0</v>
      </c>
      <c r="K4628" s="142">
        <v>0</v>
      </c>
      <c r="L4628" s="142">
        <v>35</v>
      </c>
      <c r="M4628" s="142">
        <v>0</v>
      </c>
    </row>
    <row r="4629" spans="1:13" x14ac:dyDescent="0.45">
      <c r="A4629" s="142" t="s">
        <v>13028</v>
      </c>
      <c r="B4629" s="142" t="s">
        <v>14462</v>
      </c>
      <c r="C4629" s="142" t="s">
        <v>15847</v>
      </c>
      <c r="D4629" s="142" t="s">
        <v>15848</v>
      </c>
      <c r="E4629" s="142" t="s">
        <v>15849</v>
      </c>
      <c r="F4629" s="142" t="s">
        <v>6078</v>
      </c>
      <c r="G4629" s="142" t="s">
        <v>6077</v>
      </c>
      <c r="H4629" s="142" t="s">
        <v>20479</v>
      </c>
      <c r="I4629" s="142">
        <v>80</v>
      </c>
      <c r="J4629" s="142">
        <v>0</v>
      </c>
      <c r="K4629" s="142">
        <v>0</v>
      </c>
      <c r="L4629" s="142">
        <v>0</v>
      </c>
      <c r="M4629" s="142">
        <v>80</v>
      </c>
    </row>
    <row r="4630" spans="1:13" x14ac:dyDescent="0.45">
      <c r="A4630" s="142" t="s">
        <v>13160</v>
      </c>
      <c r="B4630" s="142" t="s">
        <v>14525</v>
      </c>
      <c r="C4630" s="142" t="s">
        <v>15847</v>
      </c>
      <c r="D4630" s="142" t="s">
        <v>15848</v>
      </c>
      <c r="E4630" s="142" t="s">
        <v>15849</v>
      </c>
      <c r="F4630" s="142" t="s">
        <v>6078</v>
      </c>
      <c r="G4630" s="142" t="s">
        <v>6077</v>
      </c>
      <c r="H4630" s="142" t="s">
        <v>20480</v>
      </c>
      <c r="I4630" s="142">
        <v>21</v>
      </c>
      <c r="J4630" s="142">
        <v>0</v>
      </c>
      <c r="K4630" s="142">
        <v>0</v>
      </c>
      <c r="L4630" s="142">
        <v>21</v>
      </c>
      <c r="M4630" s="142">
        <v>0</v>
      </c>
    </row>
    <row r="4631" spans="1:13" x14ac:dyDescent="0.45">
      <c r="A4631" s="142" t="s">
        <v>13002</v>
      </c>
      <c r="B4631" s="142" t="s">
        <v>15376</v>
      </c>
      <c r="C4631" s="142" t="s">
        <v>15847</v>
      </c>
      <c r="D4631" s="142" t="s">
        <v>15848</v>
      </c>
      <c r="E4631" s="142" t="s">
        <v>15849</v>
      </c>
      <c r="F4631" s="142" t="s">
        <v>6078</v>
      </c>
      <c r="G4631" s="142" t="s">
        <v>6077</v>
      </c>
      <c r="H4631" s="142" t="s">
        <v>20481</v>
      </c>
      <c r="I4631" s="142">
        <v>71</v>
      </c>
      <c r="J4631" s="142">
        <v>38</v>
      </c>
      <c r="K4631" s="142">
        <v>0</v>
      </c>
      <c r="L4631" s="142">
        <v>0</v>
      </c>
      <c r="M4631" s="142">
        <v>33</v>
      </c>
    </row>
    <row r="4632" spans="1:13" x14ac:dyDescent="0.45">
      <c r="A4632" s="142" t="s">
        <v>13003</v>
      </c>
      <c r="B4632" s="142" t="s">
        <v>15245</v>
      </c>
      <c r="C4632" s="142" t="s">
        <v>15847</v>
      </c>
      <c r="D4632" s="142" t="s">
        <v>15848</v>
      </c>
      <c r="E4632" s="142" t="s">
        <v>15849</v>
      </c>
      <c r="F4632" s="142" t="s">
        <v>6078</v>
      </c>
      <c r="G4632" s="142" t="s">
        <v>6077</v>
      </c>
      <c r="H4632" s="142" t="s">
        <v>20482</v>
      </c>
      <c r="I4632" s="142">
        <v>35</v>
      </c>
      <c r="J4632" s="142">
        <v>0</v>
      </c>
      <c r="K4632" s="142">
        <v>0</v>
      </c>
      <c r="L4632" s="142">
        <v>35</v>
      </c>
      <c r="M4632" s="142">
        <v>0</v>
      </c>
    </row>
    <row r="4633" spans="1:13" x14ac:dyDescent="0.45">
      <c r="A4633" s="142" t="s">
        <v>13066</v>
      </c>
      <c r="B4633" s="142" t="s">
        <v>14459</v>
      </c>
      <c r="C4633" s="142" t="s">
        <v>15847</v>
      </c>
      <c r="D4633" s="142" t="s">
        <v>15848</v>
      </c>
      <c r="E4633" s="142" t="s">
        <v>15849</v>
      </c>
      <c r="F4633" s="142" t="s">
        <v>6078</v>
      </c>
      <c r="G4633" s="142" t="s">
        <v>6077</v>
      </c>
      <c r="H4633" s="142" t="s">
        <v>20483</v>
      </c>
      <c r="I4633" s="142">
        <v>28</v>
      </c>
      <c r="J4633" s="142">
        <v>0</v>
      </c>
      <c r="K4633" s="142">
        <v>0</v>
      </c>
      <c r="L4633" s="142">
        <v>28</v>
      </c>
      <c r="M4633" s="142">
        <v>0</v>
      </c>
    </row>
    <row r="4634" spans="1:13" x14ac:dyDescent="0.45">
      <c r="A4634" s="142" t="s">
        <v>13291</v>
      </c>
      <c r="B4634" s="142" t="s">
        <v>15495</v>
      </c>
      <c r="C4634" s="142" t="s">
        <v>15847</v>
      </c>
      <c r="D4634" s="142" t="s">
        <v>15848</v>
      </c>
      <c r="E4634" s="142" t="s">
        <v>15849</v>
      </c>
      <c r="F4634" s="142" t="s">
        <v>6078</v>
      </c>
      <c r="G4634" s="142" t="s">
        <v>6077</v>
      </c>
      <c r="H4634" s="142" t="s">
        <v>20484</v>
      </c>
      <c r="I4634" s="142">
        <v>780</v>
      </c>
      <c r="J4634" s="142">
        <v>516</v>
      </c>
      <c r="K4634" s="142">
        <v>0</v>
      </c>
      <c r="L4634" s="142">
        <v>98</v>
      </c>
      <c r="M4634" s="142">
        <v>166</v>
      </c>
    </row>
    <row r="4635" spans="1:13" x14ac:dyDescent="0.45">
      <c r="A4635" s="142" t="s">
        <v>13201</v>
      </c>
      <c r="B4635" s="142" t="s">
        <v>14481</v>
      </c>
      <c r="C4635" s="142" t="s">
        <v>15860</v>
      </c>
      <c r="D4635" s="142" t="s">
        <v>15861</v>
      </c>
      <c r="E4635" s="142" t="s">
        <v>15849</v>
      </c>
      <c r="F4635" s="142" t="s">
        <v>6078</v>
      </c>
      <c r="G4635" s="142" t="s">
        <v>6077</v>
      </c>
      <c r="H4635" s="142" t="s">
        <v>20485</v>
      </c>
      <c r="I4635" s="142">
        <v>5</v>
      </c>
      <c r="J4635" s="142">
        <v>0</v>
      </c>
      <c r="K4635" s="142">
        <v>0</v>
      </c>
      <c r="L4635" s="142">
        <v>5</v>
      </c>
      <c r="M4635" s="142">
        <v>0</v>
      </c>
    </row>
    <row r="4636" spans="1:13" x14ac:dyDescent="0.45">
      <c r="A4636" s="142" t="s">
        <v>13178</v>
      </c>
      <c r="B4636" s="142" t="s">
        <v>14683</v>
      </c>
      <c r="C4636" s="142" t="s">
        <v>15847</v>
      </c>
      <c r="D4636" s="142" t="s">
        <v>15848</v>
      </c>
      <c r="E4636" s="142" t="s">
        <v>15849</v>
      </c>
      <c r="F4636" s="142" t="s">
        <v>6078</v>
      </c>
      <c r="G4636" s="142" t="s">
        <v>6077</v>
      </c>
      <c r="H4636" s="142" t="s">
        <v>20486</v>
      </c>
      <c r="I4636" s="142">
        <v>10</v>
      </c>
      <c r="J4636" s="142">
        <v>10</v>
      </c>
      <c r="K4636" s="142">
        <v>0</v>
      </c>
      <c r="L4636" s="142">
        <v>0</v>
      </c>
      <c r="M4636" s="142">
        <v>0</v>
      </c>
    </row>
    <row r="4637" spans="1:13" x14ac:dyDescent="0.45">
      <c r="A4637" s="142" t="s">
        <v>13076</v>
      </c>
      <c r="B4637" s="142" t="s">
        <v>14636</v>
      </c>
      <c r="C4637" s="142" t="s">
        <v>15847</v>
      </c>
      <c r="D4637" s="142" t="s">
        <v>15848</v>
      </c>
      <c r="E4637" s="142" t="s">
        <v>15849</v>
      </c>
      <c r="F4637" s="142" t="s">
        <v>6078</v>
      </c>
      <c r="G4637" s="142" t="s">
        <v>6077</v>
      </c>
      <c r="H4637" s="142" t="s">
        <v>20487</v>
      </c>
      <c r="I4637" s="142">
        <v>7</v>
      </c>
      <c r="J4637" s="142">
        <v>0</v>
      </c>
      <c r="K4637" s="142">
        <v>0</v>
      </c>
      <c r="L4637" s="142">
        <v>0</v>
      </c>
      <c r="M4637" s="142">
        <v>7</v>
      </c>
    </row>
    <row r="4638" spans="1:13" x14ac:dyDescent="0.45">
      <c r="A4638" s="142" t="s">
        <v>13872</v>
      </c>
      <c r="B4638" s="142" t="s">
        <v>15396</v>
      </c>
      <c r="C4638" s="142" t="s">
        <v>15860</v>
      </c>
      <c r="D4638" s="142" t="s">
        <v>15861</v>
      </c>
      <c r="E4638" s="142" t="s">
        <v>15849</v>
      </c>
      <c r="F4638" s="142" t="s">
        <v>6078</v>
      </c>
      <c r="G4638" s="142" t="s">
        <v>6077</v>
      </c>
      <c r="H4638" s="142" t="s">
        <v>20488</v>
      </c>
      <c r="I4638" s="142">
        <v>49</v>
      </c>
      <c r="J4638" s="142">
        <v>49</v>
      </c>
      <c r="K4638" s="142">
        <v>0</v>
      </c>
      <c r="L4638" s="142">
        <v>0</v>
      </c>
      <c r="M4638" s="142">
        <v>0</v>
      </c>
    </row>
    <row r="4639" spans="1:13" x14ac:dyDescent="0.45">
      <c r="A4639" s="142" t="s">
        <v>13276</v>
      </c>
      <c r="B4639" s="142" t="s">
        <v>15498</v>
      </c>
      <c r="C4639" s="142" t="s">
        <v>15847</v>
      </c>
      <c r="D4639" s="142" t="s">
        <v>15848</v>
      </c>
      <c r="E4639" s="142" t="s">
        <v>15849</v>
      </c>
      <c r="F4639" s="142" t="s">
        <v>6078</v>
      </c>
      <c r="G4639" s="142" t="s">
        <v>6077</v>
      </c>
      <c r="H4639" s="142" t="s">
        <v>20489</v>
      </c>
      <c r="I4639" s="142">
        <v>107</v>
      </c>
      <c r="J4639" s="142">
        <v>69</v>
      </c>
      <c r="K4639" s="142">
        <v>0</v>
      </c>
      <c r="L4639" s="142">
        <v>38</v>
      </c>
      <c r="M4639" s="142">
        <v>0</v>
      </c>
    </row>
    <row r="4640" spans="1:13" x14ac:dyDescent="0.45">
      <c r="A4640" s="142" t="s">
        <v>13033</v>
      </c>
      <c r="B4640" s="142" t="s">
        <v>15276</v>
      </c>
      <c r="C4640" s="142" t="s">
        <v>15847</v>
      </c>
      <c r="D4640" s="142" t="s">
        <v>15848</v>
      </c>
      <c r="E4640" s="142" t="s">
        <v>15849</v>
      </c>
      <c r="F4640" s="142" t="s">
        <v>6078</v>
      </c>
      <c r="G4640" s="142" t="s">
        <v>6077</v>
      </c>
      <c r="H4640" s="142" t="s">
        <v>20490</v>
      </c>
      <c r="I4640" s="142">
        <v>588</v>
      </c>
      <c r="J4640" s="142">
        <v>474</v>
      </c>
      <c r="K4640" s="142">
        <v>1</v>
      </c>
      <c r="L4640" s="142">
        <v>63</v>
      </c>
      <c r="M4640" s="142">
        <v>50</v>
      </c>
    </row>
    <row r="4641" spans="1:13" x14ac:dyDescent="0.45">
      <c r="A4641" s="142" t="s">
        <v>13034</v>
      </c>
      <c r="B4641" s="142" t="s">
        <v>15562</v>
      </c>
      <c r="C4641" s="142" t="s">
        <v>15847</v>
      </c>
      <c r="D4641" s="142" t="s">
        <v>15848</v>
      </c>
      <c r="E4641" s="142" t="s">
        <v>15849</v>
      </c>
      <c r="F4641" s="142" t="s">
        <v>6078</v>
      </c>
      <c r="G4641" s="142" t="s">
        <v>6077</v>
      </c>
      <c r="H4641" s="142" t="s">
        <v>20491</v>
      </c>
      <c r="I4641" s="142">
        <v>61</v>
      </c>
      <c r="J4641" s="142">
        <v>0</v>
      </c>
      <c r="K4641" s="142">
        <v>0</v>
      </c>
      <c r="L4641" s="142">
        <v>61</v>
      </c>
      <c r="M4641" s="142">
        <v>0</v>
      </c>
    </row>
    <row r="4642" spans="1:13" x14ac:dyDescent="0.45">
      <c r="A4642" s="142" t="s">
        <v>13036</v>
      </c>
      <c r="B4642" s="142" t="s">
        <v>15567</v>
      </c>
      <c r="C4642" s="142" t="s">
        <v>15847</v>
      </c>
      <c r="D4642" s="142" t="s">
        <v>15848</v>
      </c>
      <c r="E4642" s="142" t="s">
        <v>15849</v>
      </c>
      <c r="F4642" s="142" t="s">
        <v>6078</v>
      </c>
      <c r="G4642" s="142" t="s">
        <v>6077</v>
      </c>
      <c r="H4642" s="142" t="s">
        <v>20492</v>
      </c>
      <c r="I4642" s="142">
        <v>82</v>
      </c>
      <c r="J4642" s="142">
        <v>24</v>
      </c>
      <c r="K4642" s="142">
        <v>0</v>
      </c>
      <c r="L4642" s="142">
        <v>31</v>
      </c>
      <c r="M4642" s="142">
        <v>27</v>
      </c>
    </row>
    <row r="4643" spans="1:13" x14ac:dyDescent="0.45">
      <c r="A4643" s="142" t="s">
        <v>13078</v>
      </c>
      <c r="B4643" s="142" t="s">
        <v>15540</v>
      </c>
      <c r="C4643" s="142" t="s">
        <v>15847</v>
      </c>
      <c r="D4643" s="142" t="s">
        <v>15848</v>
      </c>
      <c r="E4643" s="142" t="s">
        <v>15849</v>
      </c>
      <c r="F4643" s="142" t="s">
        <v>6078</v>
      </c>
      <c r="G4643" s="142" t="s">
        <v>6077</v>
      </c>
      <c r="H4643" s="142" t="s">
        <v>20493</v>
      </c>
      <c r="I4643" s="142">
        <v>32</v>
      </c>
      <c r="J4643" s="142">
        <v>3</v>
      </c>
      <c r="K4643" s="142">
        <v>0</v>
      </c>
      <c r="L4643" s="142">
        <v>29</v>
      </c>
      <c r="M4643" s="142">
        <v>0</v>
      </c>
    </row>
    <row r="4644" spans="1:13" x14ac:dyDescent="0.45">
      <c r="A4644" s="142" t="s">
        <v>13009</v>
      </c>
      <c r="B4644" s="142" t="s">
        <v>15256</v>
      </c>
      <c r="C4644" s="142" t="s">
        <v>15847</v>
      </c>
      <c r="D4644" s="142" t="s">
        <v>15848</v>
      </c>
      <c r="E4644" s="142" t="s">
        <v>15849</v>
      </c>
      <c r="F4644" s="142" t="s">
        <v>6078</v>
      </c>
      <c r="G4644" s="142" t="s">
        <v>6077</v>
      </c>
      <c r="H4644" s="142" t="s">
        <v>20494</v>
      </c>
      <c r="I4644" s="142">
        <v>77</v>
      </c>
      <c r="J4644" s="142">
        <v>0</v>
      </c>
      <c r="K4644" s="142">
        <v>0</v>
      </c>
      <c r="L4644" s="142">
        <v>77</v>
      </c>
      <c r="M4644" s="142">
        <v>0</v>
      </c>
    </row>
    <row r="4645" spans="1:13" x14ac:dyDescent="0.45">
      <c r="A4645" s="142" t="s">
        <v>13873</v>
      </c>
      <c r="B4645" s="142" t="s">
        <v>14474</v>
      </c>
      <c r="C4645" s="142" t="s">
        <v>15847</v>
      </c>
      <c r="D4645" s="142" t="s">
        <v>15848</v>
      </c>
      <c r="E4645" s="142" t="s">
        <v>15849</v>
      </c>
      <c r="F4645" s="142" t="s">
        <v>6078</v>
      </c>
      <c r="G4645" s="142" t="s">
        <v>6077</v>
      </c>
      <c r="H4645" s="142" t="s">
        <v>20495</v>
      </c>
      <c r="I4645" s="142">
        <v>46</v>
      </c>
      <c r="J4645" s="142">
        <v>35</v>
      </c>
      <c r="K4645" s="142">
        <v>0</v>
      </c>
      <c r="L4645" s="142">
        <v>0</v>
      </c>
      <c r="M4645" s="142">
        <v>11</v>
      </c>
    </row>
    <row r="4646" spans="1:13" x14ac:dyDescent="0.45">
      <c r="A4646" s="142" t="s">
        <v>13285</v>
      </c>
      <c r="B4646" s="142" t="s">
        <v>15158</v>
      </c>
      <c r="C4646" s="142" t="s">
        <v>15860</v>
      </c>
      <c r="D4646" s="142" t="s">
        <v>15861</v>
      </c>
      <c r="E4646" s="142" t="s">
        <v>15849</v>
      </c>
      <c r="F4646" s="142" t="s">
        <v>6078</v>
      </c>
      <c r="G4646" s="142" t="s">
        <v>6077</v>
      </c>
      <c r="H4646" s="142" t="s">
        <v>20496</v>
      </c>
      <c r="I4646" s="142">
        <v>13</v>
      </c>
      <c r="J4646" s="142">
        <v>0</v>
      </c>
      <c r="K4646" s="142">
        <v>0</v>
      </c>
      <c r="L4646" s="142">
        <v>13</v>
      </c>
      <c r="M4646" s="142">
        <v>0</v>
      </c>
    </row>
    <row r="4647" spans="1:13" x14ac:dyDescent="0.45">
      <c r="A4647" s="142" t="s">
        <v>13562</v>
      </c>
      <c r="B4647" s="142" t="s">
        <v>15482</v>
      </c>
      <c r="C4647" s="142" t="s">
        <v>15860</v>
      </c>
      <c r="D4647" s="142" t="s">
        <v>15861</v>
      </c>
      <c r="E4647" s="142" t="s">
        <v>15849</v>
      </c>
      <c r="F4647" s="142" t="s">
        <v>6078</v>
      </c>
      <c r="G4647" s="142" t="s">
        <v>6077</v>
      </c>
      <c r="H4647" s="142" t="s">
        <v>20497</v>
      </c>
      <c r="I4647" s="142">
        <v>2</v>
      </c>
      <c r="J4647" s="142">
        <v>0</v>
      </c>
      <c r="K4647" s="142">
        <v>0</v>
      </c>
      <c r="L4647" s="142">
        <v>2</v>
      </c>
      <c r="M4647" s="142">
        <v>0</v>
      </c>
    </row>
    <row r="4648" spans="1:13" x14ac:dyDescent="0.45">
      <c r="A4648" s="142" t="s">
        <v>13014</v>
      </c>
      <c r="B4648" s="142" t="s">
        <v>14505</v>
      </c>
      <c r="C4648" s="142" t="s">
        <v>15847</v>
      </c>
      <c r="D4648" s="142" t="s">
        <v>15848</v>
      </c>
      <c r="E4648" s="142" t="s">
        <v>15849</v>
      </c>
      <c r="F4648" s="142" t="s">
        <v>6078</v>
      </c>
      <c r="G4648" s="142" t="s">
        <v>6077</v>
      </c>
      <c r="H4648" s="142" t="s">
        <v>20498</v>
      </c>
      <c r="I4648" s="142">
        <v>613</v>
      </c>
      <c r="J4648" s="142">
        <v>526</v>
      </c>
      <c r="K4648" s="142">
        <v>0</v>
      </c>
      <c r="L4648" s="142">
        <v>66</v>
      </c>
      <c r="M4648" s="142">
        <v>21</v>
      </c>
    </row>
    <row r="4649" spans="1:13" x14ac:dyDescent="0.45">
      <c r="A4649" s="142" t="s">
        <v>13042</v>
      </c>
      <c r="B4649" s="142" t="s">
        <v>15489</v>
      </c>
      <c r="C4649" s="142" t="s">
        <v>15847</v>
      </c>
      <c r="D4649" s="142" t="s">
        <v>15848</v>
      </c>
      <c r="E4649" s="142" t="s">
        <v>15849</v>
      </c>
      <c r="F4649" s="142" t="s">
        <v>6078</v>
      </c>
      <c r="G4649" s="142" t="s">
        <v>6077</v>
      </c>
      <c r="H4649" s="142" t="s">
        <v>20499</v>
      </c>
      <c r="I4649" s="142">
        <v>57</v>
      </c>
      <c r="J4649" s="142">
        <v>45</v>
      </c>
      <c r="K4649" s="142">
        <v>0</v>
      </c>
      <c r="L4649" s="142">
        <v>12</v>
      </c>
      <c r="M4649" s="142">
        <v>0</v>
      </c>
    </row>
    <row r="4650" spans="1:13" x14ac:dyDescent="0.45">
      <c r="A4650" s="142" t="s">
        <v>13286</v>
      </c>
      <c r="B4650" s="142" t="s">
        <v>15342</v>
      </c>
      <c r="C4650" s="142" t="s">
        <v>15847</v>
      </c>
      <c r="D4650" s="142" t="s">
        <v>15848</v>
      </c>
      <c r="E4650" s="142" t="s">
        <v>15849</v>
      </c>
      <c r="F4650" s="142" t="s">
        <v>6078</v>
      </c>
      <c r="G4650" s="142" t="s">
        <v>6077</v>
      </c>
      <c r="H4650" s="142" t="s">
        <v>20500</v>
      </c>
      <c r="I4650" s="142">
        <v>1</v>
      </c>
      <c r="J4650" s="142">
        <v>0</v>
      </c>
      <c r="K4650" s="142">
        <v>0</v>
      </c>
      <c r="L4650" s="142">
        <v>0</v>
      </c>
      <c r="M4650" s="142">
        <v>1</v>
      </c>
    </row>
    <row r="4651" spans="1:13" x14ac:dyDescent="0.45">
      <c r="A4651" s="142" t="s">
        <v>13146</v>
      </c>
      <c r="B4651" s="142" t="s">
        <v>15310</v>
      </c>
      <c r="C4651" s="142" t="s">
        <v>15847</v>
      </c>
      <c r="D4651" s="142" t="s">
        <v>15848</v>
      </c>
      <c r="E4651" s="142" t="s">
        <v>15849</v>
      </c>
      <c r="F4651" s="142" t="s">
        <v>11062</v>
      </c>
      <c r="G4651" s="142" t="s">
        <v>11061</v>
      </c>
      <c r="H4651" s="142" t="s">
        <v>20501</v>
      </c>
      <c r="I4651" s="142">
        <v>1519</v>
      </c>
      <c r="J4651" s="142">
        <v>1369</v>
      </c>
      <c r="K4651" s="142">
        <v>0</v>
      </c>
      <c r="L4651" s="142">
        <v>67</v>
      </c>
      <c r="M4651" s="142">
        <v>83</v>
      </c>
    </row>
    <row r="4652" spans="1:13" x14ac:dyDescent="0.45">
      <c r="A4652" s="142" t="s">
        <v>13312</v>
      </c>
      <c r="B4652" s="142" t="s">
        <v>14640</v>
      </c>
      <c r="C4652" s="142" t="s">
        <v>15860</v>
      </c>
      <c r="D4652" s="142" t="s">
        <v>15861</v>
      </c>
      <c r="E4652" s="142" t="s">
        <v>15849</v>
      </c>
      <c r="F4652" s="142" t="s">
        <v>11062</v>
      </c>
      <c r="G4652" s="142" t="s">
        <v>11061</v>
      </c>
      <c r="H4652" s="142" t="s">
        <v>20502</v>
      </c>
      <c r="I4652" s="142">
        <v>6</v>
      </c>
      <c r="J4652" s="142">
        <v>0</v>
      </c>
      <c r="K4652" s="142">
        <v>0</v>
      </c>
      <c r="L4652" s="142">
        <v>6</v>
      </c>
      <c r="M4652" s="142">
        <v>0</v>
      </c>
    </row>
    <row r="4653" spans="1:13" x14ac:dyDescent="0.45">
      <c r="A4653" s="142" t="s">
        <v>13072</v>
      </c>
      <c r="B4653" s="142" t="s">
        <v>15530</v>
      </c>
      <c r="C4653" s="142" t="s">
        <v>15847</v>
      </c>
      <c r="D4653" s="142" t="s">
        <v>15848</v>
      </c>
      <c r="E4653" s="142" t="s">
        <v>15849</v>
      </c>
      <c r="F4653" s="142" t="s">
        <v>11062</v>
      </c>
      <c r="G4653" s="142" t="s">
        <v>11061</v>
      </c>
      <c r="H4653" s="142" t="s">
        <v>20503</v>
      </c>
      <c r="I4653" s="142">
        <v>405</v>
      </c>
      <c r="J4653" s="142">
        <v>323</v>
      </c>
      <c r="K4653" s="142">
        <v>0</v>
      </c>
      <c r="L4653" s="142">
        <v>37</v>
      </c>
      <c r="M4653" s="142">
        <v>45</v>
      </c>
    </row>
    <row r="4654" spans="1:13" x14ac:dyDescent="0.45">
      <c r="A4654" s="142" t="s">
        <v>13410</v>
      </c>
      <c r="B4654" s="142" t="s">
        <v>15311</v>
      </c>
      <c r="C4654" s="142" t="s">
        <v>15860</v>
      </c>
      <c r="D4654" s="142" t="s">
        <v>15861</v>
      </c>
      <c r="E4654" s="142" t="s">
        <v>15849</v>
      </c>
      <c r="F4654" s="142" t="s">
        <v>11062</v>
      </c>
      <c r="G4654" s="142" t="s">
        <v>11061</v>
      </c>
      <c r="H4654" s="142" t="s">
        <v>20504</v>
      </c>
      <c r="I4654" s="142">
        <v>48</v>
      </c>
      <c r="J4654" s="142">
        <v>0</v>
      </c>
      <c r="K4654" s="142">
        <v>0</v>
      </c>
      <c r="L4654" s="142">
        <v>48</v>
      </c>
      <c r="M4654" s="142">
        <v>0</v>
      </c>
    </row>
    <row r="4655" spans="1:13" x14ac:dyDescent="0.45">
      <c r="A4655" s="142" t="s">
        <v>13023</v>
      </c>
      <c r="B4655" s="142" t="s">
        <v>15571</v>
      </c>
      <c r="C4655" s="142" t="s">
        <v>15847</v>
      </c>
      <c r="D4655" s="142" t="s">
        <v>15848</v>
      </c>
      <c r="E4655" s="142" t="s">
        <v>15849</v>
      </c>
      <c r="F4655" s="142" t="s">
        <v>11062</v>
      </c>
      <c r="G4655" s="142" t="s">
        <v>11061</v>
      </c>
      <c r="H4655" s="142" t="s">
        <v>20505</v>
      </c>
      <c r="I4655" s="142">
        <v>1010</v>
      </c>
      <c r="J4655" s="142">
        <v>0</v>
      </c>
      <c r="K4655" s="142">
        <v>0</v>
      </c>
      <c r="L4655" s="142">
        <v>942</v>
      </c>
      <c r="M4655" s="142">
        <v>68</v>
      </c>
    </row>
    <row r="4656" spans="1:13" x14ac:dyDescent="0.45">
      <c r="A4656" s="142" t="s">
        <v>13113</v>
      </c>
      <c r="B4656" s="142" t="s">
        <v>14503</v>
      </c>
      <c r="C4656" s="142" t="s">
        <v>15860</v>
      </c>
      <c r="D4656" s="142" t="s">
        <v>15861</v>
      </c>
      <c r="E4656" s="142" t="s">
        <v>15849</v>
      </c>
      <c r="F4656" s="142" t="s">
        <v>11062</v>
      </c>
      <c r="G4656" s="142" t="s">
        <v>11061</v>
      </c>
      <c r="H4656" s="142" t="s">
        <v>20506</v>
      </c>
      <c r="I4656" s="142">
        <v>3</v>
      </c>
      <c r="J4656" s="142">
        <v>3</v>
      </c>
      <c r="K4656" s="142">
        <v>0</v>
      </c>
      <c r="L4656" s="142">
        <v>0</v>
      </c>
      <c r="M4656" s="142">
        <v>0</v>
      </c>
    </row>
    <row r="4657" spans="1:13" x14ac:dyDescent="0.45">
      <c r="A4657" s="142" t="s">
        <v>13082</v>
      </c>
      <c r="B4657" s="142" t="s">
        <v>14478</v>
      </c>
      <c r="C4657" s="142" t="s">
        <v>15860</v>
      </c>
      <c r="D4657" s="142" t="s">
        <v>15861</v>
      </c>
      <c r="E4657" s="142" t="s">
        <v>15849</v>
      </c>
      <c r="F4657" s="142" t="s">
        <v>11062</v>
      </c>
      <c r="G4657" s="142" t="s">
        <v>11061</v>
      </c>
      <c r="H4657" s="142" t="s">
        <v>20507</v>
      </c>
      <c r="I4657" s="142">
        <v>8</v>
      </c>
      <c r="J4657" s="142">
        <v>0</v>
      </c>
      <c r="K4657" s="142">
        <v>0</v>
      </c>
      <c r="L4657" s="142">
        <v>8</v>
      </c>
      <c r="M4657" s="142">
        <v>0</v>
      </c>
    </row>
    <row r="4658" spans="1:13" x14ac:dyDescent="0.45">
      <c r="A4658" s="142" t="s">
        <v>13065</v>
      </c>
      <c r="B4658" s="142" t="s">
        <v>14497</v>
      </c>
      <c r="C4658" s="142" t="s">
        <v>15847</v>
      </c>
      <c r="D4658" s="142" t="s">
        <v>15848</v>
      </c>
      <c r="E4658" s="142" t="s">
        <v>15849</v>
      </c>
      <c r="F4658" s="142" t="s">
        <v>11062</v>
      </c>
      <c r="G4658" s="142" t="s">
        <v>11061</v>
      </c>
      <c r="H4658" s="142" t="s">
        <v>20508</v>
      </c>
      <c r="I4658" s="142">
        <v>35</v>
      </c>
      <c r="J4658" s="142">
        <v>0</v>
      </c>
      <c r="K4658" s="142">
        <v>0</v>
      </c>
      <c r="L4658" s="142">
        <v>35</v>
      </c>
      <c r="M4658" s="142">
        <v>0</v>
      </c>
    </row>
    <row r="4659" spans="1:13" x14ac:dyDescent="0.45">
      <c r="A4659" s="142" t="s">
        <v>13115</v>
      </c>
      <c r="B4659" s="142" t="s">
        <v>14508</v>
      </c>
      <c r="C4659" s="142" t="s">
        <v>15860</v>
      </c>
      <c r="D4659" s="142" t="s">
        <v>15861</v>
      </c>
      <c r="E4659" s="142" t="s">
        <v>15849</v>
      </c>
      <c r="F4659" s="142" t="s">
        <v>11062</v>
      </c>
      <c r="G4659" s="142" t="s">
        <v>11061</v>
      </c>
      <c r="H4659" s="142" t="s">
        <v>20509</v>
      </c>
      <c r="I4659" s="142">
        <v>114</v>
      </c>
      <c r="J4659" s="142">
        <v>0</v>
      </c>
      <c r="K4659" s="142">
        <v>0</v>
      </c>
      <c r="L4659" s="142">
        <v>114</v>
      </c>
      <c r="M4659" s="142">
        <v>0</v>
      </c>
    </row>
    <row r="4660" spans="1:13" x14ac:dyDescent="0.45">
      <c r="A4660" s="142" t="s">
        <v>13315</v>
      </c>
      <c r="B4660" s="142" t="s">
        <v>14511</v>
      </c>
      <c r="C4660" s="142" t="s">
        <v>15860</v>
      </c>
      <c r="D4660" s="142" t="s">
        <v>15861</v>
      </c>
      <c r="E4660" s="142" t="s">
        <v>15849</v>
      </c>
      <c r="F4660" s="142" t="s">
        <v>11062</v>
      </c>
      <c r="G4660" s="142" t="s">
        <v>11061</v>
      </c>
      <c r="H4660" s="142" t="s">
        <v>20510</v>
      </c>
      <c r="I4660" s="142">
        <v>14</v>
      </c>
      <c r="J4660" s="142">
        <v>0</v>
      </c>
      <c r="K4660" s="142">
        <v>14</v>
      </c>
      <c r="L4660" s="142">
        <v>0</v>
      </c>
      <c r="M4660" s="142">
        <v>0</v>
      </c>
    </row>
    <row r="4661" spans="1:13" x14ac:dyDescent="0.45">
      <c r="A4661" s="142" t="s">
        <v>13595</v>
      </c>
      <c r="B4661" s="142" t="s">
        <v>15566</v>
      </c>
      <c r="C4661" s="142" t="s">
        <v>15847</v>
      </c>
      <c r="D4661" s="142" t="s">
        <v>15848</v>
      </c>
      <c r="E4661" s="142" t="s">
        <v>15849</v>
      </c>
      <c r="F4661" s="142" t="s">
        <v>11062</v>
      </c>
      <c r="G4661" s="142" t="s">
        <v>11061</v>
      </c>
      <c r="H4661" s="142" t="s">
        <v>20511</v>
      </c>
      <c r="I4661" s="142">
        <v>40</v>
      </c>
      <c r="J4661" s="142">
        <v>26</v>
      </c>
      <c r="K4661" s="142">
        <v>0</v>
      </c>
      <c r="L4661" s="142">
        <v>0</v>
      </c>
      <c r="M4661" s="142">
        <v>14</v>
      </c>
    </row>
    <row r="4662" spans="1:13" x14ac:dyDescent="0.45">
      <c r="A4662" s="142" t="s">
        <v>13159</v>
      </c>
      <c r="B4662" s="142" t="s">
        <v>14521</v>
      </c>
      <c r="C4662" s="142" t="s">
        <v>15860</v>
      </c>
      <c r="D4662" s="142" t="s">
        <v>15861</v>
      </c>
      <c r="E4662" s="142" t="s">
        <v>15849</v>
      </c>
      <c r="F4662" s="142" t="s">
        <v>11062</v>
      </c>
      <c r="G4662" s="142" t="s">
        <v>11061</v>
      </c>
      <c r="H4662" s="142" t="s">
        <v>20512</v>
      </c>
      <c r="I4662" s="142">
        <v>3</v>
      </c>
      <c r="J4662" s="142">
        <v>0</v>
      </c>
      <c r="K4662" s="142">
        <v>0</v>
      </c>
      <c r="L4662" s="142">
        <v>3</v>
      </c>
      <c r="M4662" s="142">
        <v>0</v>
      </c>
    </row>
    <row r="4663" spans="1:13" x14ac:dyDescent="0.45">
      <c r="A4663" s="142" t="s">
        <v>13000</v>
      </c>
      <c r="B4663" s="142" t="s">
        <v>14610</v>
      </c>
      <c r="C4663" s="142" t="s">
        <v>15847</v>
      </c>
      <c r="D4663" s="142" t="s">
        <v>15848</v>
      </c>
      <c r="E4663" s="142" t="s">
        <v>15849</v>
      </c>
      <c r="F4663" s="142" t="s">
        <v>11062</v>
      </c>
      <c r="G4663" s="142" t="s">
        <v>11061</v>
      </c>
      <c r="H4663" s="142" t="s">
        <v>20513</v>
      </c>
      <c r="I4663" s="142">
        <v>657</v>
      </c>
      <c r="J4663" s="142">
        <v>611</v>
      </c>
      <c r="K4663" s="142">
        <v>0</v>
      </c>
      <c r="L4663" s="142">
        <v>9</v>
      </c>
      <c r="M4663" s="142">
        <v>37</v>
      </c>
    </row>
    <row r="4664" spans="1:13" x14ac:dyDescent="0.45">
      <c r="A4664" s="142" t="s">
        <v>13321</v>
      </c>
      <c r="B4664" s="142" t="s">
        <v>15367</v>
      </c>
      <c r="C4664" s="142" t="s">
        <v>15847</v>
      </c>
      <c r="D4664" s="142" t="s">
        <v>15848</v>
      </c>
      <c r="E4664" s="142" t="s">
        <v>15849</v>
      </c>
      <c r="F4664" s="142" t="s">
        <v>11062</v>
      </c>
      <c r="G4664" s="142" t="s">
        <v>11061</v>
      </c>
      <c r="H4664" s="142" t="s">
        <v>20514</v>
      </c>
      <c r="I4664" s="142">
        <v>2097</v>
      </c>
      <c r="J4664" s="142">
        <v>1475</v>
      </c>
      <c r="K4664" s="142">
        <v>8</v>
      </c>
      <c r="L4664" s="142">
        <v>468</v>
      </c>
      <c r="M4664" s="142">
        <v>146</v>
      </c>
    </row>
    <row r="4665" spans="1:13" x14ac:dyDescent="0.45">
      <c r="A4665" s="142" t="s">
        <v>13238</v>
      </c>
      <c r="B4665" s="142" t="s">
        <v>14477</v>
      </c>
      <c r="C4665" s="142" t="s">
        <v>15860</v>
      </c>
      <c r="D4665" s="142" t="s">
        <v>15861</v>
      </c>
      <c r="E4665" s="142" t="s">
        <v>15849</v>
      </c>
      <c r="F4665" s="142" t="s">
        <v>11062</v>
      </c>
      <c r="G4665" s="142" t="s">
        <v>11061</v>
      </c>
      <c r="H4665" s="142" t="s">
        <v>20515</v>
      </c>
      <c r="I4665" s="142">
        <v>24</v>
      </c>
      <c r="J4665" s="142">
        <v>0</v>
      </c>
      <c r="K4665" s="142">
        <v>0</v>
      </c>
      <c r="L4665" s="142">
        <v>24</v>
      </c>
      <c r="M4665" s="142">
        <v>0</v>
      </c>
    </row>
    <row r="4666" spans="1:13" x14ac:dyDescent="0.45">
      <c r="A4666" s="142" t="s">
        <v>13119</v>
      </c>
      <c r="B4666" s="142" t="s">
        <v>14451</v>
      </c>
      <c r="C4666" s="142" t="s">
        <v>15860</v>
      </c>
      <c r="D4666" s="142" t="s">
        <v>15861</v>
      </c>
      <c r="E4666" s="142" t="s">
        <v>15849</v>
      </c>
      <c r="F4666" s="142" t="s">
        <v>11062</v>
      </c>
      <c r="G4666" s="142" t="s">
        <v>11061</v>
      </c>
      <c r="H4666" s="142" t="s">
        <v>20516</v>
      </c>
      <c r="I4666" s="142">
        <v>3</v>
      </c>
      <c r="J4666" s="142">
        <v>0</v>
      </c>
      <c r="K4666" s="142">
        <v>0</v>
      </c>
      <c r="L4666" s="142">
        <v>3</v>
      </c>
      <c r="M4666" s="142">
        <v>0</v>
      </c>
    </row>
    <row r="4667" spans="1:13" x14ac:dyDescent="0.45">
      <c r="A4667" s="142" t="s">
        <v>13120</v>
      </c>
      <c r="B4667" s="142" t="s">
        <v>14549</v>
      </c>
      <c r="C4667" s="142" t="s">
        <v>15860</v>
      </c>
      <c r="D4667" s="142" t="s">
        <v>15861</v>
      </c>
      <c r="E4667" s="142" t="s">
        <v>15849</v>
      </c>
      <c r="F4667" s="142" t="s">
        <v>11062</v>
      </c>
      <c r="G4667" s="142" t="s">
        <v>11061</v>
      </c>
      <c r="H4667" s="142" t="s">
        <v>20517</v>
      </c>
      <c r="I4667" s="142">
        <v>55</v>
      </c>
      <c r="J4667" s="142">
        <v>55</v>
      </c>
      <c r="K4667" s="142">
        <v>0</v>
      </c>
      <c r="L4667" s="142">
        <v>0</v>
      </c>
      <c r="M4667" s="142">
        <v>0</v>
      </c>
    </row>
    <row r="4668" spans="1:13" x14ac:dyDescent="0.45">
      <c r="A4668" s="142" t="s">
        <v>13875</v>
      </c>
      <c r="B4668" s="142" t="s">
        <v>15520</v>
      </c>
      <c r="C4668" s="142" t="s">
        <v>15860</v>
      </c>
      <c r="D4668" s="142" t="s">
        <v>15861</v>
      </c>
      <c r="E4668" s="142" t="s">
        <v>15849</v>
      </c>
      <c r="F4668" s="142" t="s">
        <v>11062</v>
      </c>
      <c r="G4668" s="142" t="s">
        <v>11061</v>
      </c>
      <c r="H4668" s="142" t="s">
        <v>20518</v>
      </c>
      <c r="I4668" s="142">
        <v>30</v>
      </c>
      <c r="J4668" s="142">
        <v>0</v>
      </c>
      <c r="K4668" s="142">
        <v>0</v>
      </c>
      <c r="L4668" s="142">
        <v>30</v>
      </c>
      <c r="M4668" s="142">
        <v>0</v>
      </c>
    </row>
    <row r="4669" spans="1:13" x14ac:dyDescent="0.45">
      <c r="A4669" s="142" t="s">
        <v>13552</v>
      </c>
      <c r="B4669" s="142" t="s">
        <v>14476</v>
      </c>
      <c r="C4669" s="142" t="s">
        <v>15860</v>
      </c>
      <c r="D4669" s="142" t="s">
        <v>15861</v>
      </c>
      <c r="E4669" s="142" t="s">
        <v>15849</v>
      </c>
      <c r="F4669" s="142" t="s">
        <v>11062</v>
      </c>
      <c r="G4669" s="142" t="s">
        <v>11061</v>
      </c>
      <c r="H4669" s="142" t="s">
        <v>20519</v>
      </c>
      <c r="I4669" s="142">
        <v>106</v>
      </c>
      <c r="J4669" s="142">
        <v>7</v>
      </c>
      <c r="K4669" s="142">
        <v>0</v>
      </c>
      <c r="L4669" s="142">
        <v>99</v>
      </c>
      <c r="M4669" s="142">
        <v>0</v>
      </c>
    </row>
    <row r="4670" spans="1:13" x14ac:dyDescent="0.45">
      <c r="A4670" s="142" t="s">
        <v>13500</v>
      </c>
      <c r="B4670" s="142" t="s">
        <v>15422</v>
      </c>
      <c r="C4670" s="142" t="s">
        <v>15847</v>
      </c>
      <c r="D4670" s="142" t="s">
        <v>15848</v>
      </c>
      <c r="E4670" s="142" t="s">
        <v>15849</v>
      </c>
      <c r="F4670" s="142" t="s">
        <v>11062</v>
      </c>
      <c r="G4670" s="142" t="s">
        <v>11061</v>
      </c>
      <c r="H4670" s="142" t="s">
        <v>20520</v>
      </c>
      <c r="I4670" s="142">
        <v>51</v>
      </c>
      <c r="J4670" s="142">
        <v>20</v>
      </c>
      <c r="K4670" s="142">
        <v>0</v>
      </c>
      <c r="L4670" s="142">
        <v>0</v>
      </c>
      <c r="M4670" s="142">
        <v>31</v>
      </c>
    </row>
    <row r="4671" spans="1:13" x14ac:dyDescent="0.45">
      <c r="A4671" s="142" t="s">
        <v>13027</v>
      </c>
      <c r="B4671" s="142" t="s">
        <v>14562</v>
      </c>
      <c r="C4671" s="142" t="s">
        <v>15847</v>
      </c>
      <c r="D4671" s="142" t="s">
        <v>15848</v>
      </c>
      <c r="E4671" s="142" t="s">
        <v>15849</v>
      </c>
      <c r="F4671" s="142" t="s">
        <v>11062</v>
      </c>
      <c r="G4671" s="142" t="s">
        <v>11061</v>
      </c>
      <c r="H4671" s="142" t="s">
        <v>20521</v>
      </c>
      <c r="I4671" s="142">
        <v>26</v>
      </c>
      <c r="J4671" s="142">
        <v>0</v>
      </c>
      <c r="K4671" s="142">
        <v>0</v>
      </c>
      <c r="L4671" s="142">
        <v>26</v>
      </c>
      <c r="M4671" s="142">
        <v>0</v>
      </c>
    </row>
    <row r="4672" spans="1:13" x14ac:dyDescent="0.45">
      <c r="A4672" s="142" t="s">
        <v>13001</v>
      </c>
      <c r="B4672" s="142" t="s">
        <v>15506</v>
      </c>
      <c r="C4672" s="142" t="s">
        <v>15847</v>
      </c>
      <c r="D4672" s="142" t="s">
        <v>15848</v>
      </c>
      <c r="E4672" s="142" t="s">
        <v>15849</v>
      </c>
      <c r="F4672" s="142" t="s">
        <v>11062</v>
      </c>
      <c r="G4672" s="142" t="s">
        <v>11061</v>
      </c>
      <c r="H4672" s="142" t="s">
        <v>20522</v>
      </c>
      <c r="I4672" s="142">
        <v>70</v>
      </c>
      <c r="J4672" s="142">
        <v>50</v>
      </c>
      <c r="K4672" s="142">
        <v>0</v>
      </c>
      <c r="L4672" s="142">
        <v>20</v>
      </c>
      <c r="M4672" s="142">
        <v>0</v>
      </c>
    </row>
    <row r="4673" spans="1:13" x14ac:dyDescent="0.45">
      <c r="A4673" s="142" t="s">
        <v>13149</v>
      </c>
      <c r="B4673" s="142" t="s">
        <v>14458</v>
      </c>
      <c r="C4673" s="142" t="s">
        <v>15860</v>
      </c>
      <c r="D4673" s="142" t="s">
        <v>15861</v>
      </c>
      <c r="E4673" s="142" t="s">
        <v>15849</v>
      </c>
      <c r="F4673" s="142" t="s">
        <v>11062</v>
      </c>
      <c r="G4673" s="142" t="s">
        <v>11061</v>
      </c>
      <c r="H4673" s="142" t="s">
        <v>20523</v>
      </c>
      <c r="I4673" s="142">
        <v>6</v>
      </c>
      <c r="J4673" s="142">
        <v>0</v>
      </c>
      <c r="K4673" s="142">
        <v>0</v>
      </c>
      <c r="L4673" s="142">
        <v>6</v>
      </c>
      <c r="M4673" s="142">
        <v>0</v>
      </c>
    </row>
    <row r="4674" spans="1:13" x14ac:dyDescent="0.45">
      <c r="A4674" s="142" t="s">
        <v>13876</v>
      </c>
      <c r="B4674" s="142" t="s">
        <v>14780</v>
      </c>
      <c r="C4674" s="142" t="s">
        <v>15860</v>
      </c>
      <c r="D4674" s="142" t="s">
        <v>15861</v>
      </c>
      <c r="E4674" s="142" t="s">
        <v>15849</v>
      </c>
      <c r="F4674" s="142" t="s">
        <v>11062</v>
      </c>
      <c r="G4674" s="142" t="s">
        <v>11061</v>
      </c>
      <c r="H4674" s="142" t="s">
        <v>20524</v>
      </c>
      <c r="I4674" s="142">
        <v>52</v>
      </c>
      <c r="J4674" s="142">
        <v>0</v>
      </c>
      <c r="K4674" s="142">
        <v>0</v>
      </c>
      <c r="L4674" s="142">
        <v>52</v>
      </c>
      <c r="M4674" s="142">
        <v>0</v>
      </c>
    </row>
    <row r="4675" spans="1:13" x14ac:dyDescent="0.45">
      <c r="A4675" s="142" t="s">
        <v>13554</v>
      </c>
      <c r="B4675" s="142" t="s">
        <v>14518</v>
      </c>
      <c r="C4675" s="142" t="s">
        <v>15860</v>
      </c>
      <c r="D4675" s="142" t="s">
        <v>15861</v>
      </c>
      <c r="E4675" s="142" t="s">
        <v>15849</v>
      </c>
      <c r="F4675" s="142" t="s">
        <v>11062</v>
      </c>
      <c r="G4675" s="142" t="s">
        <v>11061</v>
      </c>
      <c r="H4675" s="142" t="s">
        <v>20525</v>
      </c>
      <c r="I4675" s="142">
        <v>11</v>
      </c>
      <c r="J4675" s="142">
        <v>11</v>
      </c>
      <c r="K4675" s="142">
        <v>0</v>
      </c>
      <c r="L4675" s="142">
        <v>0</v>
      </c>
      <c r="M4675" s="142">
        <v>0</v>
      </c>
    </row>
    <row r="4676" spans="1:13" x14ac:dyDescent="0.45">
      <c r="A4676" s="142" t="s">
        <v>13028</v>
      </c>
      <c r="B4676" s="142" t="s">
        <v>14462</v>
      </c>
      <c r="C4676" s="142" t="s">
        <v>15847</v>
      </c>
      <c r="D4676" s="142" t="s">
        <v>15848</v>
      </c>
      <c r="E4676" s="142" t="s">
        <v>15849</v>
      </c>
      <c r="F4676" s="142" t="s">
        <v>11062</v>
      </c>
      <c r="G4676" s="142" t="s">
        <v>11061</v>
      </c>
      <c r="H4676" s="142" t="s">
        <v>20526</v>
      </c>
      <c r="I4676" s="142">
        <v>54</v>
      </c>
      <c r="J4676" s="142">
        <v>0</v>
      </c>
      <c r="K4676" s="142">
        <v>0</v>
      </c>
      <c r="L4676" s="142">
        <v>0</v>
      </c>
      <c r="M4676" s="142">
        <v>54</v>
      </c>
    </row>
    <row r="4677" spans="1:13" x14ac:dyDescent="0.45">
      <c r="A4677" s="142" t="s">
        <v>13002</v>
      </c>
      <c r="B4677" s="142" t="s">
        <v>15376</v>
      </c>
      <c r="C4677" s="142" t="s">
        <v>15847</v>
      </c>
      <c r="D4677" s="142" t="s">
        <v>15848</v>
      </c>
      <c r="E4677" s="142" t="s">
        <v>15849</v>
      </c>
      <c r="F4677" s="142" t="s">
        <v>11062</v>
      </c>
      <c r="G4677" s="142" t="s">
        <v>11061</v>
      </c>
      <c r="H4677" s="142" t="s">
        <v>20527</v>
      </c>
      <c r="I4677" s="142">
        <v>513</v>
      </c>
      <c r="J4677" s="142">
        <v>255</v>
      </c>
      <c r="K4677" s="142">
        <v>0</v>
      </c>
      <c r="L4677" s="142">
        <v>199</v>
      </c>
      <c r="M4677" s="142">
        <v>59</v>
      </c>
    </row>
    <row r="4678" spans="1:13" x14ac:dyDescent="0.45">
      <c r="A4678" s="142" t="s">
        <v>13003</v>
      </c>
      <c r="B4678" s="142" t="s">
        <v>15245</v>
      </c>
      <c r="C4678" s="142" t="s">
        <v>15847</v>
      </c>
      <c r="D4678" s="142" t="s">
        <v>15848</v>
      </c>
      <c r="E4678" s="142" t="s">
        <v>15849</v>
      </c>
      <c r="F4678" s="142" t="s">
        <v>11062</v>
      </c>
      <c r="G4678" s="142" t="s">
        <v>11061</v>
      </c>
      <c r="H4678" s="142" t="s">
        <v>20528</v>
      </c>
      <c r="I4678" s="142">
        <v>314</v>
      </c>
      <c r="J4678" s="142">
        <v>0</v>
      </c>
      <c r="K4678" s="142">
        <v>0</v>
      </c>
      <c r="L4678" s="142">
        <v>254</v>
      </c>
      <c r="M4678" s="142">
        <v>60</v>
      </c>
    </row>
    <row r="4679" spans="1:13" x14ac:dyDescent="0.45">
      <c r="A4679" s="142" t="s">
        <v>13420</v>
      </c>
      <c r="B4679" s="142" t="s">
        <v>14576</v>
      </c>
      <c r="C4679" s="142" t="s">
        <v>15860</v>
      </c>
      <c r="D4679" s="142" t="s">
        <v>15861</v>
      </c>
      <c r="E4679" s="142" t="s">
        <v>15849</v>
      </c>
      <c r="F4679" s="142" t="s">
        <v>11062</v>
      </c>
      <c r="G4679" s="142" t="s">
        <v>11061</v>
      </c>
      <c r="H4679" s="142" t="s">
        <v>20529</v>
      </c>
      <c r="I4679" s="142">
        <v>25</v>
      </c>
      <c r="J4679" s="142">
        <v>0</v>
      </c>
      <c r="K4679" s="142">
        <v>0</v>
      </c>
      <c r="L4679" s="142">
        <v>25</v>
      </c>
      <c r="M4679" s="142">
        <v>0</v>
      </c>
    </row>
    <row r="4680" spans="1:13" x14ac:dyDescent="0.45">
      <c r="A4680" s="142" t="s">
        <v>13066</v>
      </c>
      <c r="B4680" s="142" t="s">
        <v>14459</v>
      </c>
      <c r="C4680" s="142" t="s">
        <v>15847</v>
      </c>
      <c r="D4680" s="142" t="s">
        <v>15848</v>
      </c>
      <c r="E4680" s="142" t="s">
        <v>15849</v>
      </c>
      <c r="F4680" s="142" t="s">
        <v>11062</v>
      </c>
      <c r="G4680" s="142" t="s">
        <v>11061</v>
      </c>
      <c r="H4680" s="142" t="s">
        <v>20530</v>
      </c>
      <c r="I4680" s="142">
        <v>59</v>
      </c>
      <c r="J4680" s="142">
        <v>0</v>
      </c>
      <c r="K4680" s="142">
        <v>0</v>
      </c>
      <c r="L4680" s="142">
        <v>59</v>
      </c>
      <c r="M4680" s="142">
        <v>0</v>
      </c>
    </row>
    <row r="4681" spans="1:13" x14ac:dyDescent="0.45">
      <c r="A4681" s="142" t="s">
        <v>13323</v>
      </c>
      <c r="B4681" s="142" t="s">
        <v>15466</v>
      </c>
      <c r="C4681" s="142" t="s">
        <v>15847</v>
      </c>
      <c r="D4681" s="142" t="s">
        <v>15848</v>
      </c>
      <c r="E4681" s="142" t="s">
        <v>15849</v>
      </c>
      <c r="F4681" s="142" t="s">
        <v>11062</v>
      </c>
      <c r="G4681" s="142" t="s">
        <v>11061</v>
      </c>
      <c r="H4681" s="142" t="s">
        <v>20531</v>
      </c>
      <c r="I4681" s="142">
        <v>176</v>
      </c>
      <c r="J4681" s="142">
        <v>116</v>
      </c>
      <c r="K4681" s="142">
        <v>0</v>
      </c>
      <c r="L4681" s="142">
        <v>0</v>
      </c>
      <c r="M4681" s="142">
        <v>60</v>
      </c>
    </row>
    <row r="4682" spans="1:13" x14ac:dyDescent="0.45">
      <c r="A4682" s="142" t="s">
        <v>13877</v>
      </c>
      <c r="B4682" s="142" t="s">
        <v>15100</v>
      </c>
      <c r="C4682" s="142" t="s">
        <v>15860</v>
      </c>
      <c r="D4682" s="142" t="s">
        <v>15861</v>
      </c>
      <c r="E4682" s="142" t="s">
        <v>15849</v>
      </c>
      <c r="F4682" s="142" t="s">
        <v>11062</v>
      </c>
      <c r="G4682" s="142" t="s">
        <v>11061</v>
      </c>
      <c r="H4682" s="142" t="s">
        <v>20532</v>
      </c>
      <c r="I4682" s="142">
        <v>8</v>
      </c>
      <c r="J4682" s="142">
        <v>8</v>
      </c>
      <c r="K4682" s="142">
        <v>0</v>
      </c>
      <c r="L4682" s="142">
        <v>0</v>
      </c>
      <c r="M4682" s="142">
        <v>0</v>
      </c>
    </row>
    <row r="4683" spans="1:13" x14ac:dyDescent="0.45">
      <c r="A4683" s="142" t="s">
        <v>13657</v>
      </c>
      <c r="B4683" s="142" t="s">
        <v>14644</v>
      </c>
      <c r="C4683" s="142" t="s">
        <v>15847</v>
      </c>
      <c r="D4683" s="142" t="s">
        <v>15848</v>
      </c>
      <c r="E4683" s="142" t="s">
        <v>15849</v>
      </c>
      <c r="F4683" s="142" t="s">
        <v>11062</v>
      </c>
      <c r="G4683" s="142" t="s">
        <v>11061</v>
      </c>
      <c r="H4683" s="142" t="s">
        <v>20533</v>
      </c>
      <c r="I4683" s="142">
        <v>32</v>
      </c>
      <c r="J4683" s="142">
        <v>7</v>
      </c>
      <c r="K4683" s="142">
        <v>0</v>
      </c>
      <c r="L4683" s="142">
        <v>2</v>
      </c>
      <c r="M4683" s="142">
        <v>23</v>
      </c>
    </row>
    <row r="4684" spans="1:13" x14ac:dyDescent="0.45">
      <c r="A4684" s="142" t="s">
        <v>13557</v>
      </c>
      <c r="B4684" s="142" t="s">
        <v>14592</v>
      </c>
      <c r="C4684" s="142" t="s">
        <v>15847</v>
      </c>
      <c r="D4684" s="142" t="s">
        <v>15848</v>
      </c>
      <c r="E4684" s="142" t="s">
        <v>15849</v>
      </c>
      <c r="F4684" s="142" t="s">
        <v>11062</v>
      </c>
      <c r="G4684" s="142" t="s">
        <v>11061</v>
      </c>
      <c r="H4684" s="142" t="s">
        <v>20534</v>
      </c>
      <c r="I4684" s="142">
        <v>28</v>
      </c>
      <c r="J4684" s="142">
        <v>16</v>
      </c>
      <c r="K4684" s="142">
        <v>0</v>
      </c>
      <c r="L4684" s="142">
        <v>0</v>
      </c>
      <c r="M4684" s="142">
        <v>12</v>
      </c>
    </row>
    <row r="4685" spans="1:13" x14ac:dyDescent="0.45">
      <c r="A4685" s="142" t="s">
        <v>13652</v>
      </c>
      <c r="B4685" s="142" t="s">
        <v>15519</v>
      </c>
      <c r="C4685" s="142" t="s">
        <v>15847</v>
      </c>
      <c r="D4685" s="142" t="s">
        <v>15848</v>
      </c>
      <c r="E4685" s="142" t="s">
        <v>15849</v>
      </c>
      <c r="F4685" s="142" t="s">
        <v>11062</v>
      </c>
      <c r="G4685" s="142" t="s">
        <v>11061</v>
      </c>
      <c r="H4685" s="142" t="s">
        <v>20535</v>
      </c>
      <c r="I4685" s="142">
        <v>3759</v>
      </c>
      <c r="J4685" s="142">
        <v>3059</v>
      </c>
      <c r="K4685" s="142">
        <v>0</v>
      </c>
      <c r="L4685" s="142">
        <v>425</v>
      </c>
      <c r="M4685" s="142">
        <v>275</v>
      </c>
    </row>
    <row r="4686" spans="1:13" x14ac:dyDescent="0.45">
      <c r="A4686" s="142" t="s">
        <v>13878</v>
      </c>
      <c r="B4686" s="142" t="s">
        <v>15266</v>
      </c>
      <c r="C4686" s="142" t="s">
        <v>15860</v>
      </c>
      <c r="D4686" s="142" t="s">
        <v>15861</v>
      </c>
      <c r="E4686" s="142" t="s">
        <v>15849</v>
      </c>
      <c r="F4686" s="142" t="s">
        <v>11062</v>
      </c>
      <c r="G4686" s="142" t="s">
        <v>11061</v>
      </c>
      <c r="H4686" s="142" t="s">
        <v>20536</v>
      </c>
      <c r="I4686" s="142">
        <v>474</v>
      </c>
      <c r="J4686" s="142">
        <v>229</v>
      </c>
      <c r="K4686" s="142">
        <v>0</v>
      </c>
      <c r="L4686" s="142">
        <v>245</v>
      </c>
      <c r="M4686" s="142">
        <v>0</v>
      </c>
    </row>
    <row r="4687" spans="1:13" x14ac:dyDescent="0.45">
      <c r="A4687" s="142" t="s">
        <v>13274</v>
      </c>
      <c r="B4687" s="142" t="s">
        <v>14608</v>
      </c>
      <c r="C4687" s="142" t="s">
        <v>15860</v>
      </c>
      <c r="D4687" s="142" t="s">
        <v>15861</v>
      </c>
      <c r="E4687" s="142" t="s">
        <v>15849</v>
      </c>
      <c r="F4687" s="142" t="s">
        <v>11062</v>
      </c>
      <c r="G4687" s="142" t="s">
        <v>11061</v>
      </c>
      <c r="H4687" s="142" t="s">
        <v>20537</v>
      </c>
      <c r="I4687" s="142">
        <v>2</v>
      </c>
      <c r="J4687" s="142">
        <v>0</v>
      </c>
      <c r="K4687" s="142">
        <v>0</v>
      </c>
      <c r="L4687" s="142">
        <v>2</v>
      </c>
      <c r="M4687" s="142">
        <v>0</v>
      </c>
    </row>
    <row r="4688" spans="1:13" x14ac:dyDescent="0.45">
      <c r="A4688" s="142" t="s">
        <v>13879</v>
      </c>
      <c r="B4688" s="142" t="s">
        <v>14896</v>
      </c>
      <c r="C4688" s="142" t="s">
        <v>15860</v>
      </c>
      <c r="D4688" s="142" t="s">
        <v>15861</v>
      </c>
      <c r="E4688" s="142" t="s">
        <v>15849</v>
      </c>
      <c r="F4688" s="142" t="s">
        <v>11062</v>
      </c>
      <c r="G4688" s="142" t="s">
        <v>11061</v>
      </c>
      <c r="H4688" s="142" t="s">
        <v>20538</v>
      </c>
      <c r="I4688" s="142">
        <v>6</v>
      </c>
      <c r="J4688" s="142">
        <v>0</v>
      </c>
      <c r="K4688" s="142">
        <v>0</v>
      </c>
      <c r="L4688" s="142">
        <v>6</v>
      </c>
      <c r="M4688" s="142">
        <v>0</v>
      </c>
    </row>
    <row r="4689" spans="1:13" x14ac:dyDescent="0.45">
      <c r="A4689" s="142" t="s">
        <v>13192</v>
      </c>
      <c r="B4689" s="142" t="s">
        <v>15539</v>
      </c>
      <c r="C4689" s="142" t="s">
        <v>15860</v>
      </c>
      <c r="D4689" s="142" t="s">
        <v>15861</v>
      </c>
      <c r="E4689" s="142" t="s">
        <v>15849</v>
      </c>
      <c r="F4689" s="142" t="s">
        <v>11062</v>
      </c>
      <c r="G4689" s="142" t="s">
        <v>11061</v>
      </c>
      <c r="H4689" s="142" t="s">
        <v>20539</v>
      </c>
      <c r="I4689" s="142">
        <v>137</v>
      </c>
      <c r="J4689" s="142">
        <v>0</v>
      </c>
      <c r="K4689" s="142">
        <v>0</v>
      </c>
      <c r="L4689" s="142">
        <v>137</v>
      </c>
      <c r="M4689" s="142">
        <v>0</v>
      </c>
    </row>
    <row r="4690" spans="1:13" x14ac:dyDescent="0.45">
      <c r="A4690" s="142" t="s">
        <v>13069</v>
      </c>
      <c r="B4690" s="142" t="s">
        <v>14630</v>
      </c>
      <c r="C4690" s="142" t="s">
        <v>15860</v>
      </c>
      <c r="D4690" s="142" t="s">
        <v>15861</v>
      </c>
      <c r="E4690" s="142" t="s">
        <v>15849</v>
      </c>
      <c r="F4690" s="142" t="s">
        <v>11062</v>
      </c>
      <c r="G4690" s="142" t="s">
        <v>11061</v>
      </c>
      <c r="H4690" s="142" t="s">
        <v>20540</v>
      </c>
      <c r="I4690" s="142">
        <v>12</v>
      </c>
      <c r="J4690" s="142">
        <v>12</v>
      </c>
      <c r="K4690" s="142">
        <v>0</v>
      </c>
      <c r="L4690" s="142">
        <v>0</v>
      </c>
      <c r="M4690" s="142">
        <v>0</v>
      </c>
    </row>
    <row r="4691" spans="1:13" x14ac:dyDescent="0.45">
      <c r="A4691" s="142" t="s">
        <v>13032</v>
      </c>
      <c r="B4691" s="142" t="s">
        <v>14532</v>
      </c>
      <c r="C4691" s="142" t="s">
        <v>15860</v>
      </c>
      <c r="D4691" s="142" t="s">
        <v>15861</v>
      </c>
      <c r="E4691" s="142" t="s">
        <v>15849</v>
      </c>
      <c r="F4691" s="142" t="s">
        <v>11062</v>
      </c>
      <c r="G4691" s="142" t="s">
        <v>11061</v>
      </c>
      <c r="H4691" s="142" t="s">
        <v>20541</v>
      </c>
      <c r="I4691" s="142">
        <v>3</v>
      </c>
      <c r="J4691" s="142">
        <v>0</v>
      </c>
      <c r="K4691" s="142">
        <v>0</v>
      </c>
      <c r="L4691" s="142">
        <v>3</v>
      </c>
      <c r="M4691" s="142">
        <v>0</v>
      </c>
    </row>
    <row r="4692" spans="1:13" x14ac:dyDescent="0.45">
      <c r="A4692" s="142" t="s">
        <v>13033</v>
      </c>
      <c r="B4692" s="142" t="s">
        <v>15276</v>
      </c>
      <c r="C4692" s="142" t="s">
        <v>15847</v>
      </c>
      <c r="D4692" s="142" t="s">
        <v>15848</v>
      </c>
      <c r="E4692" s="142" t="s">
        <v>15849</v>
      </c>
      <c r="F4692" s="142" t="s">
        <v>11062</v>
      </c>
      <c r="G4692" s="142" t="s">
        <v>11061</v>
      </c>
      <c r="H4692" s="142" t="s">
        <v>20542</v>
      </c>
      <c r="I4692" s="142">
        <v>889</v>
      </c>
      <c r="J4692" s="142">
        <v>679</v>
      </c>
      <c r="K4692" s="142">
        <v>0</v>
      </c>
      <c r="L4692" s="142">
        <v>93</v>
      </c>
      <c r="M4692" s="142">
        <v>117</v>
      </c>
    </row>
    <row r="4693" spans="1:13" x14ac:dyDescent="0.45">
      <c r="A4693" s="142" t="s">
        <v>13034</v>
      </c>
      <c r="B4693" s="142" t="s">
        <v>15562</v>
      </c>
      <c r="C4693" s="142" t="s">
        <v>15847</v>
      </c>
      <c r="D4693" s="142" t="s">
        <v>15848</v>
      </c>
      <c r="E4693" s="142" t="s">
        <v>15849</v>
      </c>
      <c r="F4693" s="142" t="s">
        <v>11062</v>
      </c>
      <c r="G4693" s="142" t="s">
        <v>11061</v>
      </c>
      <c r="H4693" s="142" t="s">
        <v>20543</v>
      </c>
      <c r="I4693" s="142">
        <v>412</v>
      </c>
      <c r="J4693" s="142">
        <v>340</v>
      </c>
      <c r="K4693" s="142">
        <v>0</v>
      </c>
      <c r="L4693" s="142">
        <v>72</v>
      </c>
      <c r="M4693" s="142">
        <v>0</v>
      </c>
    </row>
    <row r="4694" spans="1:13" x14ac:dyDescent="0.45">
      <c r="A4694" s="142" t="s">
        <v>13171</v>
      </c>
      <c r="B4694" s="142" t="s">
        <v>14523</v>
      </c>
      <c r="C4694" s="142" t="s">
        <v>15860</v>
      </c>
      <c r="D4694" s="142" t="s">
        <v>15861</v>
      </c>
      <c r="E4694" s="142" t="s">
        <v>15849</v>
      </c>
      <c r="F4694" s="142" t="s">
        <v>11062</v>
      </c>
      <c r="G4694" s="142" t="s">
        <v>11061</v>
      </c>
      <c r="H4694" s="142" t="s">
        <v>20544</v>
      </c>
      <c r="I4694" s="142">
        <v>43</v>
      </c>
      <c r="J4694" s="142">
        <v>43</v>
      </c>
      <c r="K4694" s="142">
        <v>0</v>
      </c>
      <c r="L4694" s="142">
        <v>0</v>
      </c>
      <c r="M4694" s="142">
        <v>0</v>
      </c>
    </row>
    <row r="4695" spans="1:13" x14ac:dyDescent="0.45">
      <c r="A4695" s="142" t="s">
        <v>13880</v>
      </c>
      <c r="B4695" s="142" t="s">
        <v>14655</v>
      </c>
      <c r="C4695" s="142" t="s">
        <v>15860</v>
      </c>
      <c r="D4695" s="142" t="s">
        <v>15861</v>
      </c>
      <c r="E4695" s="142" t="s">
        <v>15849</v>
      </c>
      <c r="F4695" s="142" t="s">
        <v>11062</v>
      </c>
      <c r="G4695" s="142" t="s">
        <v>11061</v>
      </c>
      <c r="H4695" s="142" t="s">
        <v>20545</v>
      </c>
      <c r="I4695" s="142">
        <v>63</v>
      </c>
      <c r="J4695" s="142">
        <v>0</v>
      </c>
      <c r="K4695" s="142">
        <v>0</v>
      </c>
      <c r="L4695" s="142">
        <v>63</v>
      </c>
      <c r="M4695" s="142">
        <v>0</v>
      </c>
    </row>
    <row r="4696" spans="1:13" x14ac:dyDescent="0.45">
      <c r="A4696" s="142" t="s">
        <v>13036</v>
      </c>
      <c r="B4696" s="142" t="s">
        <v>15567</v>
      </c>
      <c r="C4696" s="142" t="s">
        <v>15847</v>
      </c>
      <c r="D4696" s="142" t="s">
        <v>15848</v>
      </c>
      <c r="E4696" s="142" t="s">
        <v>15849</v>
      </c>
      <c r="F4696" s="142" t="s">
        <v>11062</v>
      </c>
      <c r="G4696" s="142" t="s">
        <v>11061</v>
      </c>
      <c r="H4696" s="142" t="s">
        <v>20546</v>
      </c>
      <c r="I4696" s="142">
        <v>411</v>
      </c>
      <c r="J4696" s="142">
        <v>0</v>
      </c>
      <c r="K4696" s="142">
        <v>0</v>
      </c>
      <c r="L4696" s="142">
        <v>408</v>
      </c>
      <c r="M4696" s="142">
        <v>3</v>
      </c>
    </row>
    <row r="4697" spans="1:13" x14ac:dyDescent="0.45">
      <c r="A4697" s="142" t="s">
        <v>13560</v>
      </c>
      <c r="B4697" s="142" t="s">
        <v>14778</v>
      </c>
      <c r="C4697" s="142" t="s">
        <v>15847</v>
      </c>
      <c r="D4697" s="142" t="s">
        <v>15848</v>
      </c>
      <c r="E4697" s="142" t="s">
        <v>15849</v>
      </c>
      <c r="F4697" s="142" t="s">
        <v>11062</v>
      </c>
      <c r="G4697" s="142" t="s">
        <v>11061</v>
      </c>
      <c r="H4697" s="142" t="s">
        <v>20547</v>
      </c>
      <c r="I4697" s="142">
        <v>67</v>
      </c>
      <c r="J4697" s="142">
        <v>3</v>
      </c>
      <c r="K4697" s="142">
        <v>0</v>
      </c>
      <c r="L4697" s="142">
        <v>44</v>
      </c>
      <c r="M4697" s="142">
        <v>20</v>
      </c>
    </row>
    <row r="4698" spans="1:13" x14ac:dyDescent="0.45">
      <c r="A4698" s="142" t="s">
        <v>13037</v>
      </c>
      <c r="B4698" s="142" t="s">
        <v>14519</v>
      </c>
      <c r="C4698" s="142" t="s">
        <v>15847</v>
      </c>
      <c r="D4698" s="142" t="s">
        <v>15848</v>
      </c>
      <c r="E4698" s="142" t="s">
        <v>15849</v>
      </c>
      <c r="F4698" s="142" t="s">
        <v>11062</v>
      </c>
      <c r="G4698" s="142" t="s">
        <v>11061</v>
      </c>
      <c r="H4698" s="142" t="s">
        <v>20548</v>
      </c>
      <c r="I4698" s="142">
        <v>47</v>
      </c>
      <c r="J4698" s="142">
        <v>0</v>
      </c>
      <c r="K4698" s="142">
        <v>0</v>
      </c>
      <c r="L4698" s="142">
        <v>47</v>
      </c>
      <c r="M4698" s="142">
        <v>0</v>
      </c>
    </row>
    <row r="4699" spans="1:13" x14ac:dyDescent="0.45">
      <c r="A4699" s="142" t="s">
        <v>13038</v>
      </c>
      <c r="B4699" s="142" t="s">
        <v>14646</v>
      </c>
      <c r="C4699" s="142" t="s">
        <v>15847</v>
      </c>
      <c r="D4699" s="142" t="s">
        <v>15848</v>
      </c>
      <c r="E4699" s="142" t="s">
        <v>15849</v>
      </c>
      <c r="F4699" s="142" t="s">
        <v>11062</v>
      </c>
      <c r="G4699" s="142" t="s">
        <v>11061</v>
      </c>
      <c r="H4699" s="142" t="s">
        <v>20549</v>
      </c>
      <c r="I4699" s="142">
        <v>2</v>
      </c>
      <c r="J4699" s="142">
        <v>0</v>
      </c>
      <c r="K4699" s="142">
        <v>0</v>
      </c>
      <c r="L4699" s="142">
        <v>0</v>
      </c>
      <c r="M4699" s="142">
        <v>2</v>
      </c>
    </row>
    <row r="4700" spans="1:13" x14ac:dyDescent="0.45">
      <c r="A4700" s="142" t="s">
        <v>13078</v>
      </c>
      <c r="B4700" s="142" t="s">
        <v>15540</v>
      </c>
      <c r="C4700" s="142" t="s">
        <v>15847</v>
      </c>
      <c r="D4700" s="142" t="s">
        <v>15848</v>
      </c>
      <c r="E4700" s="142" t="s">
        <v>15849</v>
      </c>
      <c r="F4700" s="142" t="s">
        <v>11062</v>
      </c>
      <c r="G4700" s="142" t="s">
        <v>11061</v>
      </c>
      <c r="H4700" s="142" t="s">
        <v>20550</v>
      </c>
      <c r="I4700" s="142">
        <v>82</v>
      </c>
      <c r="J4700" s="142">
        <v>82</v>
      </c>
      <c r="K4700" s="142">
        <v>0</v>
      </c>
      <c r="L4700" s="142">
        <v>0</v>
      </c>
      <c r="M4700" s="142">
        <v>0</v>
      </c>
    </row>
    <row r="4701" spans="1:13" x14ac:dyDescent="0.45">
      <c r="A4701" s="142" t="s">
        <v>13091</v>
      </c>
      <c r="B4701" s="142" t="s">
        <v>14473</v>
      </c>
      <c r="C4701" s="142" t="s">
        <v>15847</v>
      </c>
      <c r="D4701" s="142" t="s">
        <v>15848</v>
      </c>
      <c r="E4701" s="142" t="s">
        <v>15849</v>
      </c>
      <c r="F4701" s="142" t="s">
        <v>11062</v>
      </c>
      <c r="G4701" s="142" t="s">
        <v>11061</v>
      </c>
      <c r="H4701" s="142" t="s">
        <v>20551</v>
      </c>
      <c r="I4701" s="142">
        <v>145</v>
      </c>
      <c r="J4701" s="142">
        <v>102</v>
      </c>
      <c r="K4701" s="142">
        <v>0</v>
      </c>
      <c r="L4701" s="142">
        <v>30</v>
      </c>
      <c r="M4701" s="142">
        <v>13</v>
      </c>
    </row>
    <row r="4702" spans="1:13" x14ac:dyDescent="0.45">
      <c r="A4702" s="142" t="s">
        <v>13009</v>
      </c>
      <c r="B4702" s="142" t="s">
        <v>15256</v>
      </c>
      <c r="C4702" s="142" t="s">
        <v>15847</v>
      </c>
      <c r="D4702" s="142" t="s">
        <v>15848</v>
      </c>
      <c r="E4702" s="142" t="s">
        <v>15849</v>
      </c>
      <c r="F4702" s="142" t="s">
        <v>11062</v>
      </c>
      <c r="G4702" s="142" t="s">
        <v>11061</v>
      </c>
      <c r="H4702" s="142" t="s">
        <v>20552</v>
      </c>
      <c r="I4702" s="142">
        <v>867</v>
      </c>
      <c r="J4702" s="142">
        <v>793</v>
      </c>
      <c r="K4702" s="142">
        <v>0</v>
      </c>
      <c r="L4702" s="142">
        <v>66</v>
      </c>
      <c r="M4702" s="142">
        <v>8</v>
      </c>
    </row>
    <row r="4703" spans="1:13" x14ac:dyDescent="0.45">
      <c r="A4703" s="142" t="s">
        <v>13041</v>
      </c>
      <c r="B4703" s="142" t="s">
        <v>14441</v>
      </c>
      <c r="C4703" s="142" t="s">
        <v>15847</v>
      </c>
      <c r="D4703" s="142" t="s">
        <v>15848</v>
      </c>
      <c r="E4703" s="142" t="s">
        <v>15849</v>
      </c>
      <c r="F4703" s="142" t="s">
        <v>11062</v>
      </c>
      <c r="G4703" s="142" t="s">
        <v>11061</v>
      </c>
      <c r="H4703" s="142" t="s">
        <v>20553</v>
      </c>
      <c r="I4703" s="142">
        <v>17</v>
      </c>
      <c r="J4703" s="142">
        <v>0</v>
      </c>
      <c r="K4703" s="142">
        <v>0</v>
      </c>
      <c r="L4703" s="142">
        <v>0</v>
      </c>
      <c r="M4703" s="142">
        <v>17</v>
      </c>
    </row>
    <row r="4704" spans="1:13" x14ac:dyDescent="0.45">
      <c r="A4704" s="142" t="s">
        <v>13832</v>
      </c>
      <c r="B4704" s="142" t="s">
        <v>15195</v>
      </c>
      <c r="C4704" s="142" t="s">
        <v>15860</v>
      </c>
      <c r="D4704" s="142" t="s">
        <v>15861</v>
      </c>
      <c r="E4704" s="142" t="s">
        <v>15849</v>
      </c>
      <c r="F4704" s="142" t="s">
        <v>11062</v>
      </c>
      <c r="G4704" s="142" t="s">
        <v>11061</v>
      </c>
      <c r="H4704" s="142" t="s">
        <v>20554</v>
      </c>
      <c r="I4704" s="142">
        <v>185</v>
      </c>
      <c r="J4704" s="142">
        <v>0</v>
      </c>
      <c r="K4704" s="142">
        <v>0</v>
      </c>
      <c r="L4704" s="142">
        <v>185</v>
      </c>
      <c r="M4704" s="142">
        <v>0</v>
      </c>
    </row>
    <row r="4705" spans="1:13" x14ac:dyDescent="0.45">
      <c r="A4705" s="142" t="s">
        <v>13012</v>
      </c>
      <c r="B4705" s="142" t="s">
        <v>15337</v>
      </c>
      <c r="C4705" s="142" t="s">
        <v>15847</v>
      </c>
      <c r="D4705" s="142" t="s">
        <v>15848</v>
      </c>
      <c r="E4705" s="142" t="s">
        <v>15849</v>
      </c>
      <c r="F4705" s="142" t="s">
        <v>11062</v>
      </c>
      <c r="G4705" s="142" t="s">
        <v>11061</v>
      </c>
      <c r="H4705" s="142" t="s">
        <v>20555</v>
      </c>
      <c r="I4705" s="142">
        <v>289</v>
      </c>
      <c r="J4705" s="142">
        <v>217</v>
      </c>
      <c r="K4705" s="142">
        <v>0</v>
      </c>
      <c r="L4705" s="142">
        <v>0</v>
      </c>
      <c r="M4705" s="142">
        <v>72</v>
      </c>
    </row>
    <row r="4706" spans="1:13" x14ac:dyDescent="0.45">
      <c r="A4706" s="142" t="s">
        <v>13881</v>
      </c>
      <c r="B4706" s="142" t="s">
        <v>15005</v>
      </c>
      <c r="C4706" s="142" t="s">
        <v>15860</v>
      </c>
      <c r="D4706" s="142" t="s">
        <v>15861</v>
      </c>
      <c r="E4706" s="142" t="s">
        <v>15849</v>
      </c>
      <c r="F4706" s="142" t="s">
        <v>11062</v>
      </c>
      <c r="G4706" s="142" t="s">
        <v>11061</v>
      </c>
      <c r="H4706" s="142" t="s">
        <v>20556</v>
      </c>
      <c r="I4706" s="142">
        <v>38</v>
      </c>
      <c r="J4706" s="142">
        <v>38</v>
      </c>
      <c r="K4706" s="142">
        <v>0</v>
      </c>
      <c r="L4706" s="142">
        <v>0</v>
      </c>
      <c r="M4706" s="142">
        <v>0</v>
      </c>
    </row>
    <row r="4707" spans="1:13" x14ac:dyDescent="0.45">
      <c r="A4707" s="142" t="s">
        <v>13882</v>
      </c>
      <c r="B4707" s="142" t="s">
        <v>14718</v>
      </c>
      <c r="C4707" s="142" t="s">
        <v>15860</v>
      </c>
      <c r="D4707" s="142" t="s">
        <v>15861</v>
      </c>
      <c r="E4707" s="142" t="s">
        <v>15849</v>
      </c>
      <c r="F4707" s="142" t="s">
        <v>11062</v>
      </c>
      <c r="G4707" s="142" t="s">
        <v>11061</v>
      </c>
      <c r="H4707" s="142" t="s">
        <v>20557</v>
      </c>
      <c r="I4707" s="142">
        <v>28</v>
      </c>
      <c r="J4707" s="142">
        <v>0</v>
      </c>
      <c r="K4707" s="142">
        <v>0</v>
      </c>
      <c r="L4707" s="142">
        <v>28</v>
      </c>
      <c r="M4707" s="142">
        <v>0</v>
      </c>
    </row>
    <row r="4708" spans="1:13" x14ac:dyDescent="0.45">
      <c r="A4708" s="142" t="s">
        <v>13014</v>
      </c>
      <c r="B4708" s="142" t="s">
        <v>14505</v>
      </c>
      <c r="C4708" s="142" t="s">
        <v>15847</v>
      </c>
      <c r="D4708" s="142" t="s">
        <v>15848</v>
      </c>
      <c r="E4708" s="142" t="s">
        <v>15849</v>
      </c>
      <c r="F4708" s="142" t="s">
        <v>11062</v>
      </c>
      <c r="G4708" s="142" t="s">
        <v>11061</v>
      </c>
      <c r="H4708" s="142" t="s">
        <v>20558</v>
      </c>
      <c r="I4708" s="142">
        <v>301</v>
      </c>
      <c r="J4708" s="142">
        <v>116</v>
      </c>
      <c r="K4708" s="142">
        <v>0</v>
      </c>
      <c r="L4708" s="142">
        <v>78</v>
      </c>
      <c r="M4708" s="142">
        <v>107</v>
      </c>
    </row>
    <row r="4709" spans="1:13" x14ac:dyDescent="0.45">
      <c r="A4709" s="142" t="s">
        <v>13042</v>
      </c>
      <c r="B4709" s="142" t="s">
        <v>15489</v>
      </c>
      <c r="C4709" s="142" t="s">
        <v>15847</v>
      </c>
      <c r="D4709" s="142" t="s">
        <v>15848</v>
      </c>
      <c r="E4709" s="142" t="s">
        <v>15849</v>
      </c>
      <c r="F4709" s="142" t="s">
        <v>11062</v>
      </c>
      <c r="G4709" s="142" t="s">
        <v>11061</v>
      </c>
      <c r="H4709" s="142" t="s">
        <v>20559</v>
      </c>
      <c r="I4709" s="142">
        <v>91</v>
      </c>
      <c r="J4709" s="142">
        <v>0</v>
      </c>
      <c r="K4709" s="142">
        <v>0</v>
      </c>
      <c r="L4709" s="142">
        <v>91</v>
      </c>
      <c r="M4709" s="142">
        <v>0</v>
      </c>
    </row>
    <row r="4710" spans="1:13" x14ac:dyDescent="0.45">
      <c r="A4710" s="142" t="s">
        <v>13883</v>
      </c>
      <c r="B4710" s="142" t="s">
        <v>14875</v>
      </c>
      <c r="C4710" s="142" t="s">
        <v>15860</v>
      </c>
      <c r="D4710" s="142" t="s">
        <v>15861</v>
      </c>
      <c r="E4710" s="142" t="s">
        <v>15849</v>
      </c>
      <c r="F4710" s="142" t="s">
        <v>11062</v>
      </c>
      <c r="G4710" s="142" t="s">
        <v>11061</v>
      </c>
      <c r="H4710" s="142" t="s">
        <v>20560</v>
      </c>
      <c r="I4710" s="142">
        <v>7</v>
      </c>
      <c r="J4710" s="142">
        <v>0</v>
      </c>
      <c r="K4710" s="142">
        <v>0</v>
      </c>
      <c r="L4710" s="142">
        <v>7</v>
      </c>
      <c r="M4710" s="142">
        <v>0</v>
      </c>
    </row>
    <row r="4711" spans="1:13" x14ac:dyDescent="0.45">
      <c r="A4711" s="142" t="s">
        <v>13154</v>
      </c>
      <c r="B4711" s="142" t="s">
        <v>15415</v>
      </c>
      <c r="C4711" s="142" t="s">
        <v>15847</v>
      </c>
      <c r="D4711" s="142" t="s">
        <v>15848</v>
      </c>
      <c r="E4711" s="142" t="s">
        <v>15849</v>
      </c>
      <c r="F4711" s="142" t="s">
        <v>11062</v>
      </c>
      <c r="G4711" s="142" t="s">
        <v>11061</v>
      </c>
      <c r="H4711" s="142" t="s">
        <v>20561</v>
      </c>
      <c r="I4711" s="142">
        <v>860</v>
      </c>
      <c r="J4711" s="142">
        <v>681</v>
      </c>
      <c r="K4711" s="142">
        <v>0</v>
      </c>
      <c r="L4711" s="142">
        <v>46</v>
      </c>
      <c r="M4711" s="142">
        <v>133</v>
      </c>
    </row>
    <row r="4712" spans="1:13" x14ac:dyDescent="0.45">
      <c r="A4712" s="142" t="s">
        <v>13833</v>
      </c>
      <c r="B4712" s="142" t="s">
        <v>15550</v>
      </c>
      <c r="C4712" s="142" t="s">
        <v>15847</v>
      </c>
      <c r="D4712" s="142" t="s">
        <v>15848</v>
      </c>
      <c r="E4712" s="142" t="s">
        <v>15849</v>
      </c>
      <c r="F4712" s="142" t="s">
        <v>11062</v>
      </c>
      <c r="G4712" s="142" t="s">
        <v>11061</v>
      </c>
      <c r="H4712" s="142" t="s">
        <v>20562</v>
      </c>
      <c r="I4712" s="142">
        <v>1327</v>
      </c>
      <c r="J4712" s="142">
        <v>1244</v>
      </c>
      <c r="K4712" s="142">
        <v>0</v>
      </c>
      <c r="L4712" s="142">
        <v>24</v>
      </c>
      <c r="M4712" s="142">
        <v>59</v>
      </c>
    </row>
    <row r="4713" spans="1:13" x14ac:dyDescent="0.45">
      <c r="A4713" s="142" t="s">
        <v>13155</v>
      </c>
      <c r="B4713" s="142" t="s">
        <v>15455</v>
      </c>
      <c r="C4713" s="142" t="s">
        <v>15847</v>
      </c>
      <c r="D4713" s="142" t="s">
        <v>15848</v>
      </c>
      <c r="E4713" s="142" t="s">
        <v>15849</v>
      </c>
      <c r="F4713" s="142" t="s">
        <v>11062</v>
      </c>
      <c r="G4713" s="142" t="s">
        <v>11061</v>
      </c>
      <c r="H4713" s="142" t="s">
        <v>20563</v>
      </c>
      <c r="I4713" s="142">
        <v>32</v>
      </c>
      <c r="J4713" s="142">
        <v>15</v>
      </c>
      <c r="K4713" s="142">
        <v>0</v>
      </c>
      <c r="L4713" s="142">
        <v>0</v>
      </c>
      <c r="M4713" s="142">
        <v>17</v>
      </c>
    </row>
    <row r="4714" spans="1:13" x14ac:dyDescent="0.45">
      <c r="A4714" s="142" t="s">
        <v>13016</v>
      </c>
      <c r="B4714" s="142" t="s">
        <v>14535</v>
      </c>
      <c r="C4714" s="142" t="s">
        <v>15860</v>
      </c>
      <c r="D4714" s="142" t="s">
        <v>15861</v>
      </c>
      <c r="E4714" s="142" t="s">
        <v>15849</v>
      </c>
      <c r="F4714" s="142" t="s">
        <v>11062</v>
      </c>
      <c r="G4714" s="142" t="s">
        <v>11061</v>
      </c>
      <c r="H4714" s="142" t="s">
        <v>20564</v>
      </c>
      <c r="I4714" s="142">
        <v>1</v>
      </c>
      <c r="J4714" s="142">
        <v>0</v>
      </c>
      <c r="K4714" s="142">
        <v>0</v>
      </c>
      <c r="L4714" s="142">
        <v>1</v>
      </c>
      <c r="M4714" s="142">
        <v>0</v>
      </c>
    </row>
    <row r="4715" spans="1:13" x14ac:dyDescent="0.45">
      <c r="A4715" s="142" t="s">
        <v>13157</v>
      </c>
      <c r="B4715" s="142" t="s">
        <v>15477</v>
      </c>
      <c r="C4715" s="142" t="s">
        <v>15847</v>
      </c>
      <c r="D4715" s="142" t="s">
        <v>15848</v>
      </c>
      <c r="E4715" s="142" t="s">
        <v>15849</v>
      </c>
      <c r="F4715" s="142" t="s">
        <v>11062</v>
      </c>
      <c r="G4715" s="142" t="s">
        <v>11061</v>
      </c>
      <c r="H4715" s="142" t="s">
        <v>20565</v>
      </c>
      <c r="I4715" s="142">
        <v>2226</v>
      </c>
      <c r="J4715" s="142">
        <v>1844</v>
      </c>
      <c r="K4715" s="142">
        <v>0</v>
      </c>
      <c r="L4715" s="142">
        <v>71</v>
      </c>
      <c r="M4715" s="142">
        <v>311</v>
      </c>
    </row>
    <row r="4716" spans="1:13" x14ac:dyDescent="0.45">
      <c r="A4716" s="142" t="s">
        <v>13286</v>
      </c>
      <c r="B4716" s="142" t="s">
        <v>15342</v>
      </c>
      <c r="C4716" s="142" t="s">
        <v>15847</v>
      </c>
      <c r="D4716" s="142" t="s">
        <v>15848</v>
      </c>
      <c r="E4716" s="142" t="s">
        <v>15849</v>
      </c>
      <c r="F4716" s="142" t="s">
        <v>11062</v>
      </c>
      <c r="G4716" s="142" t="s">
        <v>11061</v>
      </c>
      <c r="H4716" s="142" t="s">
        <v>20566</v>
      </c>
      <c r="I4716" s="142">
        <v>411</v>
      </c>
      <c r="J4716" s="142">
        <v>302</v>
      </c>
      <c r="K4716" s="142">
        <v>0</v>
      </c>
      <c r="L4716" s="142">
        <v>69</v>
      </c>
      <c r="M4716" s="142">
        <v>40</v>
      </c>
    </row>
    <row r="4717" spans="1:13" x14ac:dyDescent="0.45">
      <c r="A4717" s="142" t="s">
        <v>13020</v>
      </c>
      <c r="B4717" s="142" t="s">
        <v>15523</v>
      </c>
      <c r="C4717" s="142" t="s">
        <v>15860</v>
      </c>
      <c r="D4717" s="142" t="s">
        <v>15861</v>
      </c>
      <c r="E4717" s="142" t="s">
        <v>15849</v>
      </c>
      <c r="F4717" s="142" t="s">
        <v>940</v>
      </c>
      <c r="G4717" s="142" t="s">
        <v>939</v>
      </c>
      <c r="H4717" s="142" t="s">
        <v>20567</v>
      </c>
      <c r="I4717" s="142">
        <v>39</v>
      </c>
      <c r="J4717" s="142">
        <v>0</v>
      </c>
      <c r="K4717" s="142">
        <v>0</v>
      </c>
      <c r="L4717" s="142">
        <v>39</v>
      </c>
      <c r="M4717" s="142">
        <v>0</v>
      </c>
    </row>
    <row r="4718" spans="1:13" x14ac:dyDescent="0.45">
      <c r="A4718" s="142" t="s">
        <v>13021</v>
      </c>
      <c r="B4718" s="142" t="s">
        <v>15501</v>
      </c>
      <c r="C4718" s="142" t="s">
        <v>15847</v>
      </c>
      <c r="D4718" s="142" t="s">
        <v>15848</v>
      </c>
      <c r="E4718" s="142" t="s">
        <v>15849</v>
      </c>
      <c r="F4718" s="142" t="s">
        <v>940</v>
      </c>
      <c r="G4718" s="142" t="s">
        <v>939</v>
      </c>
      <c r="H4718" s="142" t="s">
        <v>20568</v>
      </c>
      <c r="I4718" s="142">
        <v>138</v>
      </c>
      <c r="J4718" s="142">
        <v>0</v>
      </c>
      <c r="K4718" s="142">
        <v>0</v>
      </c>
      <c r="L4718" s="142">
        <v>115</v>
      </c>
      <c r="M4718" s="142">
        <v>23</v>
      </c>
    </row>
    <row r="4719" spans="1:13" x14ac:dyDescent="0.45">
      <c r="A4719" s="142" t="s">
        <v>13022</v>
      </c>
      <c r="B4719" s="142" t="s">
        <v>14634</v>
      </c>
      <c r="C4719" s="142" t="s">
        <v>15847</v>
      </c>
      <c r="D4719" s="142" t="s">
        <v>15848</v>
      </c>
      <c r="E4719" s="142" t="s">
        <v>15849</v>
      </c>
      <c r="F4719" s="142" t="s">
        <v>940</v>
      </c>
      <c r="G4719" s="142" t="s">
        <v>939</v>
      </c>
      <c r="H4719" s="142" t="s">
        <v>20569</v>
      </c>
      <c r="I4719" s="142">
        <v>46</v>
      </c>
      <c r="J4719" s="142">
        <v>46</v>
      </c>
      <c r="K4719" s="142">
        <v>0</v>
      </c>
      <c r="L4719" s="142">
        <v>0</v>
      </c>
      <c r="M4719" s="142">
        <v>0</v>
      </c>
    </row>
    <row r="4720" spans="1:13" x14ac:dyDescent="0.45">
      <c r="A4720" s="142" t="s">
        <v>13023</v>
      </c>
      <c r="B4720" s="142" t="s">
        <v>15571</v>
      </c>
      <c r="C4720" s="142" t="s">
        <v>15847</v>
      </c>
      <c r="D4720" s="142" t="s">
        <v>15848</v>
      </c>
      <c r="E4720" s="142" t="s">
        <v>15849</v>
      </c>
      <c r="F4720" s="142" t="s">
        <v>940</v>
      </c>
      <c r="G4720" s="142" t="s">
        <v>939</v>
      </c>
      <c r="H4720" s="142" t="s">
        <v>20570</v>
      </c>
      <c r="I4720" s="142">
        <v>129</v>
      </c>
      <c r="J4720" s="142">
        <v>0</v>
      </c>
      <c r="K4720" s="142">
        <v>0</v>
      </c>
      <c r="L4720" s="142">
        <v>125</v>
      </c>
      <c r="M4720" s="142">
        <v>4</v>
      </c>
    </row>
    <row r="4721" spans="1:13" x14ac:dyDescent="0.45">
      <c r="A4721" s="142" t="s">
        <v>13113</v>
      </c>
      <c r="B4721" s="142" t="s">
        <v>14503</v>
      </c>
      <c r="C4721" s="142" t="s">
        <v>15860</v>
      </c>
      <c r="D4721" s="142" t="s">
        <v>15861</v>
      </c>
      <c r="E4721" s="142" t="s">
        <v>15849</v>
      </c>
      <c r="F4721" s="142" t="s">
        <v>940</v>
      </c>
      <c r="G4721" s="142" t="s">
        <v>939</v>
      </c>
      <c r="H4721" s="142" t="s">
        <v>20571</v>
      </c>
      <c r="I4721" s="142">
        <v>1</v>
      </c>
      <c r="J4721" s="142">
        <v>1</v>
      </c>
      <c r="K4721" s="142">
        <v>0</v>
      </c>
      <c r="L4721" s="142">
        <v>0</v>
      </c>
      <c r="M4721" s="142">
        <v>0</v>
      </c>
    </row>
    <row r="4722" spans="1:13" x14ac:dyDescent="0.45">
      <c r="A4722" s="142" t="s">
        <v>13885</v>
      </c>
      <c r="B4722" s="142" t="s">
        <v>14941</v>
      </c>
      <c r="C4722" s="142" t="s">
        <v>15860</v>
      </c>
      <c r="D4722" s="142" t="s">
        <v>15861</v>
      </c>
      <c r="E4722" s="142" t="s">
        <v>15849</v>
      </c>
      <c r="F4722" s="142" t="s">
        <v>940</v>
      </c>
      <c r="G4722" s="142" t="s">
        <v>939</v>
      </c>
      <c r="H4722" s="142" t="s">
        <v>20572</v>
      </c>
      <c r="I4722" s="142">
        <v>378</v>
      </c>
      <c r="J4722" s="142">
        <v>357</v>
      </c>
      <c r="K4722" s="142">
        <v>0</v>
      </c>
      <c r="L4722" s="142">
        <v>21</v>
      </c>
      <c r="M4722" s="142">
        <v>0</v>
      </c>
    </row>
    <row r="4723" spans="1:13" x14ac:dyDescent="0.45">
      <c r="A4723" s="142" t="s">
        <v>13065</v>
      </c>
      <c r="B4723" s="142" t="s">
        <v>14497</v>
      </c>
      <c r="C4723" s="142" t="s">
        <v>15847</v>
      </c>
      <c r="D4723" s="142" t="s">
        <v>15848</v>
      </c>
      <c r="E4723" s="142" t="s">
        <v>15849</v>
      </c>
      <c r="F4723" s="142" t="s">
        <v>940</v>
      </c>
      <c r="G4723" s="142" t="s">
        <v>939</v>
      </c>
      <c r="H4723" s="142" t="s">
        <v>20573</v>
      </c>
      <c r="I4723" s="142">
        <v>4</v>
      </c>
      <c r="J4723" s="142">
        <v>0</v>
      </c>
      <c r="K4723" s="142">
        <v>0</v>
      </c>
      <c r="L4723" s="142">
        <v>4</v>
      </c>
      <c r="M4723" s="142">
        <v>0</v>
      </c>
    </row>
    <row r="4724" spans="1:13" x14ac:dyDescent="0.45">
      <c r="A4724" s="142" t="s">
        <v>13886</v>
      </c>
      <c r="B4724" s="142" t="s">
        <v>14993</v>
      </c>
      <c r="C4724" s="142" t="s">
        <v>15860</v>
      </c>
      <c r="D4724" s="142" t="s">
        <v>15861</v>
      </c>
      <c r="E4724" s="142" t="s">
        <v>15849</v>
      </c>
      <c r="F4724" s="142" t="s">
        <v>940</v>
      </c>
      <c r="G4724" s="142" t="s">
        <v>939</v>
      </c>
      <c r="H4724" s="142" t="s">
        <v>20574</v>
      </c>
      <c r="I4724" s="142">
        <v>139</v>
      </c>
      <c r="J4724" s="142">
        <v>125</v>
      </c>
      <c r="K4724" s="142">
        <v>0</v>
      </c>
      <c r="L4724" s="142">
        <v>14</v>
      </c>
      <c r="M4724" s="142">
        <v>0</v>
      </c>
    </row>
    <row r="4725" spans="1:13" x14ac:dyDescent="0.45">
      <c r="A4725" s="142" t="s">
        <v>13238</v>
      </c>
      <c r="B4725" s="142" t="s">
        <v>14477</v>
      </c>
      <c r="C4725" s="142" t="s">
        <v>15860</v>
      </c>
      <c r="D4725" s="142" t="s">
        <v>15861</v>
      </c>
      <c r="E4725" s="142" t="s">
        <v>15849</v>
      </c>
      <c r="F4725" s="142" t="s">
        <v>940</v>
      </c>
      <c r="G4725" s="142" t="s">
        <v>939</v>
      </c>
      <c r="H4725" s="142" t="s">
        <v>20575</v>
      </c>
      <c r="I4725" s="142">
        <v>4</v>
      </c>
      <c r="J4725" s="142">
        <v>0</v>
      </c>
      <c r="K4725" s="142">
        <v>0</v>
      </c>
      <c r="L4725" s="142">
        <v>4</v>
      </c>
      <c r="M4725" s="142">
        <v>0</v>
      </c>
    </row>
    <row r="4726" spans="1:13" x14ac:dyDescent="0.45">
      <c r="A4726" s="142" t="s">
        <v>13119</v>
      </c>
      <c r="B4726" s="142" t="s">
        <v>14451</v>
      </c>
      <c r="C4726" s="142" t="s">
        <v>15860</v>
      </c>
      <c r="D4726" s="142" t="s">
        <v>15861</v>
      </c>
      <c r="E4726" s="142" t="s">
        <v>15849</v>
      </c>
      <c r="F4726" s="142" t="s">
        <v>940</v>
      </c>
      <c r="G4726" s="142" t="s">
        <v>939</v>
      </c>
      <c r="H4726" s="142" t="s">
        <v>20576</v>
      </c>
      <c r="I4726" s="142">
        <v>3</v>
      </c>
      <c r="J4726" s="142">
        <v>0</v>
      </c>
      <c r="K4726" s="142">
        <v>0</v>
      </c>
      <c r="L4726" s="142">
        <v>3</v>
      </c>
      <c r="M4726" s="142">
        <v>0</v>
      </c>
    </row>
    <row r="4727" spans="1:13" x14ac:dyDescent="0.45">
      <c r="A4727" s="142" t="s">
        <v>13024</v>
      </c>
      <c r="B4727" s="142" t="s">
        <v>14538</v>
      </c>
      <c r="C4727" s="142" t="s">
        <v>15847</v>
      </c>
      <c r="D4727" s="142" t="s">
        <v>15848</v>
      </c>
      <c r="E4727" s="142" t="s">
        <v>15849</v>
      </c>
      <c r="F4727" s="142" t="s">
        <v>940</v>
      </c>
      <c r="G4727" s="142" t="s">
        <v>939</v>
      </c>
      <c r="H4727" s="142" t="s">
        <v>20577</v>
      </c>
      <c r="I4727" s="142">
        <v>1487</v>
      </c>
      <c r="J4727" s="142">
        <v>1248</v>
      </c>
      <c r="K4727" s="142">
        <v>0</v>
      </c>
      <c r="L4727" s="142">
        <v>194</v>
      </c>
      <c r="M4727" s="142">
        <v>45</v>
      </c>
    </row>
    <row r="4728" spans="1:13" x14ac:dyDescent="0.45">
      <c r="A4728" s="142" t="s">
        <v>13099</v>
      </c>
      <c r="B4728" s="142" t="s">
        <v>14547</v>
      </c>
      <c r="C4728" s="142" t="s">
        <v>15860</v>
      </c>
      <c r="D4728" s="142" t="s">
        <v>15861</v>
      </c>
      <c r="E4728" s="142" t="s">
        <v>15849</v>
      </c>
      <c r="F4728" s="142" t="s">
        <v>940</v>
      </c>
      <c r="G4728" s="142" t="s">
        <v>939</v>
      </c>
      <c r="H4728" s="142" t="s">
        <v>20578</v>
      </c>
      <c r="I4728" s="142">
        <v>20</v>
      </c>
      <c r="J4728" s="142">
        <v>0</v>
      </c>
      <c r="K4728" s="142">
        <v>0</v>
      </c>
      <c r="L4728" s="142">
        <v>20</v>
      </c>
      <c r="M4728" s="142">
        <v>0</v>
      </c>
    </row>
    <row r="4729" spans="1:13" x14ac:dyDescent="0.45">
      <c r="A4729" s="142" t="s">
        <v>13049</v>
      </c>
      <c r="B4729" s="142" t="s">
        <v>14534</v>
      </c>
      <c r="C4729" s="142" t="s">
        <v>15860</v>
      </c>
      <c r="D4729" s="142" t="s">
        <v>15861</v>
      </c>
      <c r="E4729" s="142" t="s">
        <v>15849</v>
      </c>
      <c r="F4729" s="142" t="s">
        <v>940</v>
      </c>
      <c r="G4729" s="142" t="s">
        <v>939</v>
      </c>
      <c r="H4729" s="142" t="s">
        <v>20579</v>
      </c>
      <c r="I4729" s="142">
        <v>6</v>
      </c>
      <c r="J4729" s="142">
        <v>0</v>
      </c>
      <c r="K4729" s="142">
        <v>0</v>
      </c>
      <c r="L4729" s="142">
        <v>6</v>
      </c>
      <c r="M4729" s="142">
        <v>0</v>
      </c>
    </row>
    <row r="4730" spans="1:13" x14ac:dyDescent="0.45">
      <c r="A4730" s="142" t="s">
        <v>13168</v>
      </c>
      <c r="B4730" s="142" t="s">
        <v>14486</v>
      </c>
      <c r="C4730" s="142" t="s">
        <v>15860</v>
      </c>
      <c r="D4730" s="142" t="s">
        <v>15861</v>
      </c>
      <c r="E4730" s="142" t="s">
        <v>15849</v>
      </c>
      <c r="F4730" s="142" t="s">
        <v>940</v>
      </c>
      <c r="G4730" s="142" t="s">
        <v>939</v>
      </c>
      <c r="H4730" s="142" t="s">
        <v>20580</v>
      </c>
      <c r="I4730" s="142">
        <v>14</v>
      </c>
      <c r="J4730" s="142">
        <v>0</v>
      </c>
      <c r="K4730" s="142">
        <v>0</v>
      </c>
      <c r="L4730" s="142">
        <v>14</v>
      </c>
      <c r="M4730" s="142">
        <v>0</v>
      </c>
    </row>
    <row r="4731" spans="1:13" x14ac:dyDescent="0.45">
      <c r="A4731" s="142" t="s">
        <v>13025</v>
      </c>
      <c r="B4731" s="142" t="s">
        <v>15579</v>
      </c>
      <c r="C4731" s="142" t="s">
        <v>15847</v>
      </c>
      <c r="D4731" s="142" t="s">
        <v>15848</v>
      </c>
      <c r="E4731" s="142" t="s">
        <v>15849</v>
      </c>
      <c r="F4731" s="142" t="s">
        <v>940</v>
      </c>
      <c r="G4731" s="142" t="s">
        <v>939</v>
      </c>
      <c r="H4731" s="142" t="s">
        <v>20581</v>
      </c>
      <c r="I4731" s="142">
        <v>11</v>
      </c>
      <c r="J4731" s="142">
        <v>0</v>
      </c>
      <c r="K4731" s="142">
        <v>0</v>
      </c>
      <c r="L4731" s="142">
        <v>11</v>
      </c>
      <c r="M4731" s="142">
        <v>0</v>
      </c>
    </row>
    <row r="4732" spans="1:13" x14ac:dyDescent="0.45">
      <c r="A4732" s="142" t="s">
        <v>13149</v>
      </c>
      <c r="B4732" s="142" t="s">
        <v>14458</v>
      </c>
      <c r="C4732" s="142" t="s">
        <v>15860</v>
      </c>
      <c r="D4732" s="142" t="s">
        <v>15861</v>
      </c>
      <c r="E4732" s="142" t="s">
        <v>15849</v>
      </c>
      <c r="F4732" s="142" t="s">
        <v>940</v>
      </c>
      <c r="G4732" s="142" t="s">
        <v>939</v>
      </c>
      <c r="H4732" s="142" t="s">
        <v>20582</v>
      </c>
      <c r="I4732" s="142">
        <v>1</v>
      </c>
      <c r="J4732" s="142">
        <v>0</v>
      </c>
      <c r="K4732" s="142">
        <v>0</v>
      </c>
      <c r="L4732" s="142">
        <v>1</v>
      </c>
      <c r="M4732" s="142">
        <v>0</v>
      </c>
    </row>
    <row r="4733" spans="1:13" x14ac:dyDescent="0.45">
      <c r="A4733" s="142" t="s">
        <v>13160</v>
      </c>
      <c r="B4733" s="142" t="s">
        <v>14525</v>
      </c>
      <c r="C4733" s="142" t="s">
        <v>15847</v>
      </c>
      <c r="D4733" s="142" t="s">
        <v>15848</v>
      </c>
      <c r="E4733" s="142" t="s">
        <v>15849</v>
      </c>
      <c r="F4733" s="142" t="s">
        <v>940</v>
      </c>
      <c r="G4733" s="142" t="s">
        <v>939</v>
      </c>
      <c r="H4733" s="142" t="s">
        <v>20583</v>
      </c>
      <c r="I4733" s="142">
        <v>13</v>
      </c>
      <c r="J4733" s="142">
        <v>0</v>
      </c>
      <c r="K4733" s="142">
        <v>0</v>
      </c>
      <c r="L4733" s="142">
        <v>13</v>
      </c>
      <c r="M4733" s="142">
        <v>0</v>
      </c>
    </row>
    <row r="4734" spans="1:13" x14ac:dyDescent="0.45">
      <c r="A4734" s="142" t="s">
        <v>13002</v>
      </c>
      <c r="B4734" s="142" t="s">
        <v>15376</v>
      </c>
      <c r="C4734" s="142" t="s">
        <v>15847</v>
      </c>
      <c r="D4734" s="142" t="s">
        <v>15848</v>
      </c>
      <c r="E4734" s="142" t="s">
        <v>15849</v>
      </c>
      <c r="F4734" s="142" t="s">
        <v>940</v>
      </c>
      <c r="G4734" s="142" t="s">
        <v>939</v>
      </c>
      <c r="H4734" s="142" t="s">
        <v>20584</v>
      </c>
      <c r="I4734" s="142">
        <v>13</v>
      </c>
      <c r="J4734" s="142">
        <v>0</v>
      </c>
      <c r="K4734" s="142">
        <v>0</v>
      </c>
      <c r="L4734" s="142">
        <v>13</v>
      </c>
      <c r="M4734" s="142">
        <v>0</v>
      </c>
    </row>
    <row r="4735" spans="1:13" x14ac:dyDescent="0.45">
      <c r="A4735" s="142" t="s">
        <v>13066</v>
      </c>
      <c r="B4735" s="142" t="s">
        <v>14459</v>
      </c>
      <c r="C4735" s="142" t="s">
        <v>15847</v>
      </c>
      <c r="D4735" s="142" t="s">
        <v>15848</v>
      </c>
      <c r="E4735" s="142" t="s">
        <v>15849</v>
      </c>
      <c r="F4735" s="142" t="s">
        <v>940</v>
      </c>
      <c r="G4735" s="142" t="s">
        <v>939</v>
      </c>
      <c r="H4735" s="142" t="s">
        <v>20585</v>
      </c>
      <c r="I4735" s="142">
        <v>40</v>
      </c>
      <c r="J4735" s="142">
        <v>0</v>
      </c>
      <c r="K4735" s="142">
        <v>0</v>
      </c>
      <c r="L4735" s="142">
        <v>40</v>
      </c>
      <c r="M4735" s="142">
        <v>0</v>
      </c>
    </row>
    <row r="4736" spans="1:13" x14ac:dyDescent="0.45">
      <c r="A4736" s="142" t="s">
        <v>13274</v>
      </c>
      <c r="B4736" s="142" t="s">
        <v>14608</v>
      </c>
      <c r="C4736" s="142" t="s">
        <v>15860</v>
      </c>
      <c r="D4736" s="142" t="s">
        <v>15861</v>
      </c>
      <c r="E4736" s="142" t="s">
        <v>15849</v>
      </c>
      <c r="F4736" s="142" t="s">
        <v>940</v>
      </c>
      <c r="G4736" s="142" t="s">
        <v>939</v>
      </c>
      <c r="H4736" s="142" t="s">
        <v>20586</v>
      </c>
      <c r="I4736" s="142">
        <v>9</v>
      </c>
      <c r="J4736" s="142">
        <v>0</v>
      </c>
      <c r="K4736" s="142">
        <v>0</v>
      </c>
      <c r="L4736" s="142">
        <v>9</v>
      </c>
      <c r="M4736" s="142">
        <v>0</v>
      </c>
    </row>
    <row r="4737" spans="1:13" x14ac:dyDescent="0.45">
      <c r="A4737" s="142" t="s">
        <v>13029</v>
      </c>
      <c r="B4737" s="142" t="s">
        <v>14665</v>
      </c>
      <c r="C4737" s="142" t="s">
        <v>15847</v>
      </c>
      <c r="D4737" s="142" t="s">
        <v>15848</v>
      </c>
      <c r="E4737" s="142" t="s">
        <v>15849</v>
      </c>
      <c r="F4737" s="142" t="s">
        <v>940</v>
      </c>
      <c r="G4737" s="142" t="s">
        <v>939</v>
      </c>
      <c r="H4737" s="142" t="s">
        <v>20587</v>
      </c>
      <c r="I4737" s="142">
        <v>16</v>
      </c>
      <c r="J4737" s="142">
        <v>0</v>
      </c>
      <c r="K4737" s="142">
        <v>0</v>
      </c>
      <c r="L4737" s="142">
        <v>0</v>
      </c>
      <c r="M4737" s="142">
        <v>16</v>
      </c>
    </row>
    <row r="4738" spans="1:13" x14ac:dyDescent="0.45">
      <c r="A4738" s="142" t="s">
        <v>13887</v>
      </c>
      <c r="B4738" s="142" t="s">
        <v>14965</v>
      </c>
      <c r="C4738" s="142" t="s">
        <v>15860</v>
      </c>
      <c r="D4738" s="142" t="s">
        <v>15861</v>
      </c>
      <c r="E4738" s="142" t="s">
        <v>15849</v>
      </c>
      <c r="F4738" s="142" t="s">
        <v>940</v>
      </c>
      <c r="G4738" s="142" t="s">
        <v>939</v>
      </c>
      <c r="H4738" s="142" t="s">
        <v>20588</v>
      </c>
      <c r="I4738" s="142">
        <v>117</v>
      </c>
      <c r="J4738" s="142">
        <v>117</v>
      </c>
      <c r="K4738" s="142">
        <v>0</v>
      </c>
      <c r="L4738" s="142">
        <v>0</v>
      </c>
      <c r="M4738" s="142">
        <v>0</v>
      </c>
    </row>
    <row r="4739" spans="1:13" x14ac:dyDescent="0.45">
      <c r="A4739" s="142" t="s">
        <v>13006</v>
      </c>
      <c r="B4739" s="142" t="s">
        <v>15288</v>
      </c>
      <c r="C4739" s="142" t="s">
        <v>15847</v>
      </c>
      <c r="D4739" s="142" t="s">
        <v>15848</v>
      </c>
      <c r="E4739" s="142" t="s">
        <v>15849</v>
      </c>
      <c r="F4739" s="142" t="s">
        <v>940</v>
      </c>
      <c r="G4739" s="142" t="s">
        <v>939</v>
      </c>
      <c r="H4739" s="142" t="s">
        <v>20589</v>
      </c>
      <c r="I4739" s="142">
        <v>90</v>
      </c>
      <c r="J4739" s="142">
        <v>69</v>
      </c>
      <c r="K4739" s="142">
        <v>0</v>
      </c>
      <c r="L4739" s="142">
        <v>0</v>
      </c>
      <c r="M4739" s="142">
        <v>21</v>
      </c>
    </row>
    <row r="4740" spans="1:13" x14ac:dyDescent="0.45">
      <c r="A4740" s="142" t="s">
        <v>13248</v>
      </c>
      <c r="B4740" s="142" t="s">
        <v>15463</v>
      </c>
      <c r="C4740" s="142" t="s">
        <v>15847</v>
      </c>
      <c r="D4740" s="142" t="s">
        <v>15848</v>
      </c>
      <c r="E4740" s="142" t="s">
        <v>15849</v>
      </c>
      <c r="F4740" s="142" t="s">
        <v>940</v>
      </c>
      <c r="G4740" s="142" t="s">
        <v>939</v>
      </c>
      <c r="H4740" s="142" t="s">
        <v>20590</v>
      </c>
      <c r="I4740" s="142">
        <v>1121</v>
      </c>
      <c r="J4740" s="142">
        <v>1001</v>
      </c>
      <c r="K4740" s="142">
        <v>0</v>
      </c>
      <c r="L4740" s="142">
        <v>1</v>
      </c>
      <c r="M4740" s="142">
        <v>119</v>
      </c>
    </row>
    <row r="4741" spans="1:13" x14ac:dyDescent="0.45">
      <c r="A4741" s="142" t="s">
        <v>13272</v>
      </c>
      <c r="B4741" s="142" t="s">
        <v>14467</v>
      </c>
      <c r="C4741" s="142" t="s">
        <v>15860</v>
      </c>
      <c r="D4741" s="142" t="s">
        <v>15861</v>
      </c>
      <c r="E4741" s="142" t="s">
        <v>15849</v>
      </c>
      <c r="F4741" s="142" t="s">
        <v>940</v>
      </c>
      <c r="G4741" s="142" t="s">
        <v>939</v>
      </c>
      <c r="H4741" s="142" t="s">
        <v>20591</v>
      </c>
      <c r="I4741" s="142">
        <v>14</v>
      </c>
      <c r="J4741" s="142">
        <v>0</v>
      </c>
      <c r="K4741" s="142">
        <v>0</v>
      </c>
      <c r="L4741" s="142">
        <v>14</v>
      </c>
      <c r="M4741" s="142">
        <v>0</v>
      </c>
    </row>
    <row r="4742" spans="1:13" x14ac:dyDescent="0.45">
      <c r="A4742" s="142" t="s">
        <v>13030</v>
      </c>
      <c r="B4742" s="142" t="s">
        <v>14572</v>
      </c>
      <c r="C4742" s="142" t="s">
        <v>15847</v>
      </c>
      <c r="D4742" s="142" t="s">
        <v>15848</v>
      </c>
      <c r="E4742" s="142" t="s">
        <v>15849</v>
      </c>
      <c r="F4742" s="142" t="s">
        <v>940</v>
      </c>
      <c r="G4742" s="142" t="s">
        <v>939</v>
      </c>
      <c r="H4742" s="142" t="s">
        <v>20592</v>
      </c>
      <c r="I4742" s="142">
        <v>588</v>
      </c>
      <c r="J4742" s="142">
        <v>418</v>
      </c>
      <c r="K4742" s="142">
        <v>0</v>
      </c>
      <c r="L4742" s="142">
        <v>126</v>
      </c>
      <c r="M4742" s="142">
        <v>44</v>
      </c>
    </row>
    <row r="4743" spans="1:13" x14ac:dyDescent="0.45">
      <c r="A4743" s="142" t="s">
        <v>13055</v>
      </c>
      <c r="B4743" s="142" t="s">
        <v>14595</v>
      </c>
      <c r="C4743" s="142" t="s">
        <v>15847</v>
      </c>
      <c r="D4743" s="142" t="s">
        <v>15848</v>
      </c>
      <c r="E4743" s="142" t="s">
        <v>15849</v>
      </c>
      <c r="F4743" s="142" t="s">
        <v>940</v>
      </c>
      <c r="G4743" s="142" t="s">
        <v>939</v>
      </c>
      <c r="H4743" s="142" t="s">
        <v>20593</v>
      </c>
      <c r="I4743" s="142">
        <v>3605</v>
      </c>
      <c r="J4743" s="142">
        <v>2898</v>
      </c>
      <c r="K4743" s="142">
        <v>0</v>
      </c>
      <c r="L4743" s="142">
        <v>645</v>
      </c>
      <c r="M4743" s="142">
        <v>62</v>
      </c>
    </row>
    <row r="4744" spans="1:13" x14ac:dyDescent="0.45">
      <c r="A4744" s="142" t="s">
        <v>13033</v>
      </c>
      <c r="B4744" s="142" t="s">
        <v>15276</v>
      </c>
      <c r="C4744" s="142" t="s">
        <v>15847</v>
      </c>
      <c r="D4744" s="142" t="s">
        <v>15848</v>
      </c>
      <c r="E4744" s="142" t="s">
        <v>15849</v>
      </c>
      <c r="F4744" s="142" t="s">
        <v>940</v>
      </c>
      <c r="G4744" s="142" t="s">
        <v>939</v>
      </c>
      <c r="H4744" s="142" t="s">
        <v>20594</v>
      </c>
      <c r="I4744" s="142">
        <v>182</v>
      </c>
      <c r="J4744" s="142">
        <v>178</v>
      </c>
      <c r="K4744" s="142">
        <v>0</v>
      </c>
      <c r="L4744" s="142">
        <v>4</v>
      </c>
      <c r="M4744" s="142">
        <v>0</v>
      </c>
    </row>
    <row r="4745" spans="1:13" x14ac:dyDescent="0.45">
      <c r="A4745" s="142" t="s">
        <v>13034</v>
      </c>
      <c r="B4745" s="142" t="s">
        <v>15562</v>
      </c>
      <c r="C4745" s="142" t="s">
        <v>15847</v>
      </c>
      <c r="D4745" s="142" t="s">
        <v>15848</v>
      </c>
      <c r="E4745" s="142" t="s">
        <v>15849</v>
      </c>
      <c r="F4745" s="142" t="s">
        <v>940</v>
      </c>
      <c r="G4745" s="142" t="s">
        <v>939</v>
      </c>
      <c r="H4745" s="142" t="s">
        <v>20595</v>
      </c>
      <c r="I4745" s="142">
        <v>77</v>
      </c>
      <c r="J4745" s="142">
        <v>27</v>
      </c>
      <c r="K4745" s="142">
        <v>0</v>
      </c>
      <c r="L4745" s="142">
        <v>50</v>
      </c>
      <c r="M4745" s="142">
        <v>0</v>
      </c>
    </row>
    <row r="4746" spans="1:13" x14ac:dyDescent="0.45">
      <c r="A4746" s="142" t="s">
        <v>13035</v>
      </c>
      <c r="B4746" s="142" t="s">
        <v>14648</v>
      </c>
      <c r="C4746" s="142" t="s">
        <v>15847</v>
      </c>
      <c r="D4746" s="142" t="s">
        <v>15848</v>
      </c>
      <c r="E4746" s="142" t="s">
        <v>15849</v>
      </c>
      <c r="F4746" s="142" t="s">
        <v>940</v>
      </c>
      <c r="G4746" s="142" t="s">
        <v>939</v>
      </c>
      <c r="H4746" s="142" t="s">
        <v>20596</v>
      </c>
      <c r="I4746" s="142">
        <v>1231</v>
      </c>
      <c r="J4746" s="142">
        <v>980</v>
      </c>
      <c r="K4746" s="142">
        <v>0</v>
      </c>
      <c r="L4746" s="142">
        <v>65</v>
      </c>
      <c r="M4746" s="142">
        <v>186</v>
      </c>
    </row>
    <row r="4747" spans="1:13" x14ac:dyDescent="0.45">
      <c r="A4747" s="142" t="s">
        <v>13036</v>
      </c>
      <c r="B4747" s="142" t="s">
        <v>15567</v>
      </c>
      <c r="C4747" s="142" t="s">
        <v>15847</v>
      </c>
      <c r="D4747" s="142" t="s">
        <v>15848</v>
      </c>
      <c r="E4747" s="142" t="s">
        <v>15849</v>
      </c>
      <c r="F4747" s="142" t="s">
        <v>940</v>
      </c>
      <c r="G4747" s="142" t="s">
        <v>939</v>
      </c>
      <c r="H4747" s="142" t="s">
        <v>20597</v>
      </c>
      <c r="I4747" s="142">
        <v>43</v>
      </c>
      <c r="J4747" s="142">
        <v>0</v>
      </c>
      <c r="K4747" s="142">
        <v>0</v>
      </c>
      <c r="L4747" s="142">
        <v>43</v>
      </c>
      <c r="M4747" s="142">
        <v>0</v>
      </c>
    </row>
    <row r="4748" spans="1:13" x14ac:dyDescent="0.45">
      <c r="A4748" s="142" t="s">
        <v>13888</v>
      </c>
      <c r="B4748" s="142" t="s">
        <v>15004</v>
      </c>
      <c r="C4748" s="142" t="s">
        <v>15860</v>
      </c>
      <c r="D4748" s="142" t="s">
        <v>15861</v>
      </c>
      <c r="E4748" s="142" t="s">
        <v>15849</v>
      </c>
      <c r="F4748" s="142" t="s">
        <v>940</v>
      </c>
      <c r="G4748" s="142" t="s">
        <v>939</v>
      </c>
      <c r="H4748" s="142" t="s">
        <v>20598</v>
      </c>
      <c r="I4748" s="142">
        <v>121</v>
      </c>
      <c r="J4748" s="142">
        <v>121</v>
      </c>
      <c r="K4748" s="142">
        <v>0</v>
      </c>
      <c r="L4748" s="142">
        <v>0</v>
      </c>
      <c r="M4748" s="142">
        <v>0</v>
      </c>
    </row>
    <row r="4749" spans="1:13" x14ac:dyDescent="0.45">
      <c r="A4749" s="142" t="s">
        <v>13038</v>
      </c>
      <c r="B4749" s="142" t="s">
        <v>14646</v>
      </c>
      <c r="C4749" s="142" t="s">
        <v>15847</v>
      </c>
      <c r="D4749" s="142" t="s">
        <v>15848</v>
      </c>
      <c r="E4749" s="142" t="s">
        <v>15849</v>
      </c>
      <c r="F4749" s="142" t="s">
        <v>940</v>
      </c>
      <c r="G4749" s="142" t="s">
        <v>939</v>
      </c>
      <c r="H4749" s="142" t="s">
        <v>20599</v>
      </c>
      <c r="I4749" s="142">
        <v>58</v>
      </c>
      <c r="J4749" s="142">
        <v>34</v>
      </c>
      <c r="K4749" s="142">
        <v>0</v>
      </c>
      <c r="L4749" s="142">
        <v>0</v>
      </c>
      <c r="M4749" s="142">
        <v>24</v>
      </c>
    </row>
    <row r="4750" spans="1:13" x14ac:dyDescent="0.45">
      <c r="A4750" s="142" t="s">
        <v>13039</v>
      </c>
      <c r="B4750" s="142" t="s">
        <v>14647</v>
      </c>
      <c r="C4750" s="142" t="s">
        <v>15847</v>
      </c>
      <c r="D4750" s="142" t="s">
        <v>15848</v>
      </c>
      <c r="E4750" s="142" t="s">
        <v>15849</v>
      </c>
      <c r="F4750" s="142" t="s">
        <v>940</v>
      </c>
      <c r="G4750" s="142" t="s">
        <v>939</v>
      </c>
      <c r="H4750" s="142" t="s">
        <v>20600</v>
      </c>
      <c r="I4750" s="142">
        <v>15</v>
      </c>
      <c r="J4750" s="142">
        <v>15</v>
      </c>
      <c r="K4750" s="142">
        <v>0</v>
      </c>
      <c r="L4750" s="142">
        <v>0</v>
      </c>
      <c r="M4750" s="142">
        <v>0</v>
      </c>
    </row>
    <row r="4751" spans="1:13" x14ac:dyDescent="0.45">
      <c r="A4751" s="142" t="s">
        <v>13009</v>
      </c>
      <c r="B4751" s="142" t="s">
        <v>15256</v>
      </c>
      <c r="C4751" s="142" t="s">
        <v>15847</v>
      </c>
      <c r="D4751" s="142" t="s">
        <v>15848</v>
      </c>
      <c r="E4751" s="142" t="s">
        <v>15849</v>
      </c>
      <c r="F4751" s="142" t="s">
        <v>940</v>
      </c>
      <c r="G4751" s="142" t="s">
        <v>939</v>
      </c>
      <c r="H4751" s="142" t="s">
        <v>20601</v>
      </c>
      <c r="I4751" s="142">
        <v>65</v>
      </c>
      <c r="J4751" s="142">
        <v>19</v>
      </c>
      <c r="K4751" s="142">
        <v>0</v>
      </c>
      <c r="L4751" s="142">
        <v>42</v>
      </c>
      <c r="M4751" s="142">
        <v>4</v>
      </c>
    </row>
    <row r="4752" spans="1:13" x14ac:dyDescent="0.45">
      <c r="A4752" s="142" t="s">
        <v>13205</v>
      </c>
      <c r="B4752" s="142" t="s">
        <v>14496</v>
      </c>
      <c r="C4752" s="142" t="s">
        <v>15847</v>
      </c>
      <c r="D4752" s="142" t="s">
        <v>15848</v>
      </c>
      <c r="E4752" s="142" t="s">
        <v>15849</v>
      </c>
      <c r="F4752" s="142" t="s">
        <v>940</v>
      </c>
      <c r="G4752" s="142" t="s">
        <v>939</v>
      </c>
      <c r="H4752" s="142" t="s">
        <v>20602</v>
      </c>
      <c r="I4752" s="142">
        <v>23</v>
      </c>
      <c r="J4752" s="142">
        <v>23</v>
      </c>
      <c r="K4752" s="142">
        <v>0</v>
      </c>
      <c r="L4752" s="142">
        <v>0</v>
      </c>
      <c r="M4752" s="142">
        <v>0</v>
      </c>
    </row>
    <row r="4753" spans="1:13" x14ac:dyDescent="0.45">
      <c r="A4753" s="142" t="s">
        <v>13012</v>
      </c>
      <c r="B4753" s="142" t="s">
        <v>15337</v>
      </c>
      <c r="C4753" s="142" t="s">
        <v>15847</v>
      </c>
      <c r="D4753" s="142" t="s">
        <v>15848</v>
      </c>
      <c r="E4753" s="142" t="s">
        <v>15849</v>
      </c>
      <c r="F4753" s="142" t="s">
        <v>940</v>
      </c>
      <c r="G4753" s="142" t="s">
        <v>939</v>
      </c>
      <c r="H4753" s="142" t="s">
        <v>20603</v>
      </c>
      <c r="I4753" s="142">
        <v>95</v>
      </c>
      <c r="J4753" s="142">
        <v>94</v>
      </c>
      <c r="K4753" s="142">
        <v>0</v>
      </c>
      <c r="L4753" s="142">
        <v>0</v>
      </c>
      <c r="M4753" s="142">
        <v>1</v>
      </c>
    </row>
    <row r="4754" spans="1:13" x14ac:dyDescent="0.45">
      <c r="A4754" s="142" t="s">
        <v>13042</v>
      </c>
      <c r="B4754" s="142" t="s">
        <v>15489</v>
      </c>
      <c r="C4754" s="142" t="s">
        <v>15847</v>
      </c>
      <c r="D4754" s="142" t="s">
        <v>15848</v>
      </c>
      <c r="E4754" s="142" t="s">
        <v>15849</v>
      </c>
      <c r="F4754" s="142" t="s">
        <v>940</v>
      </c>
      <c r="G4754" s="142" t="s">
        <v>939</v>
      </c>
      <c r="H4754" s="142" t="s">
        <v>20604</v>
      </c>
      <c r="I4754" s="142">
        <v>1395</v>
      </c>
      <c r="J4754" s="142">
        <v>1266</v>
      </c>
      <c r="K4754" s="142">
        <v>0</v>
      </c>
      <c r="L4754" s="142">
        <v>75</v>
      </c>
      <c r="M4754" s="142">
        <v>54</v>
      </c>
    </row>
    <row r="4755" spans="1:13" x14ac:dyDescent="0.45">
      <c r="A4755" s="142" t="s">
        <v>13889</v>
      </c>
      <c r="B4755" s="142" t="s">
        <v>15165</v>
      </c>
      <c r="C4755" s="142" t="s">
        <v>15860</v>
      </c>
      <c r="D4755" s="142" t="s">
        <v>15861</v>
      </c>
      <c r="E4755" s="142" t="s">
        <v>15849</v>
      </c>
      <c r="F4755" s="142" t="s">
        <v>940</v>
      </c>
      <c r="G4755" s="142" t="s">
        <v>939</v>
      </c>
      <c r="H4755" s="142" t="s">
        <v>20605</v>
      </c>
      <c r="I4755" s="142">
        <v>14</v>
      </c>
      <c r="J4755" s="142">
        <v>0</v>
      </c>
      <c r="K4755" s="142">
        <v>0</v>
      </c>
      <c r="L4755" s="142">
        <v>14</v>
      </c>
      <c r="M4755" s="142">
        <v>0</v>
      </c>
    </row>
    <row r="4756" spans="1:13" x14ac:dyDescent="0.45">
      <c r="A4756" s="142" t="s">
        <v>13222</v>
      </c>
      <c r="B4756" s="142" t="s">
        <v>14449</v>
      </c>
      <c r="C4756" s="142" t="s">
        <v>15860</v>
      </c>
      <c r="D4756" s="142" t="s">
        <v>15861</v>
      </c>
      <c r="E4756" s="142" t="s">
        <v>15849</v>
      </c>
      <c r="F4756" s="142" t="s">
        <v>940</v>
      </c>
      <c r="G4756" s="142" t="s">
        <v>939</v>
      </c>
      <c r="H4756" s="142" t="s">
        <v>20606</v>
      </c>
      <c r="I4756" s="142">
        <v>24</v>
      </c>
      <c r="J4756" s="142">
        <v>0</v>
      </c>
      <c r="K4756" s="142">
        <v>0</v>
      </c>
      <c r="L4756" s="142">
        <v>24</v>
      </c>
      <c r="M4756" s="142">
        <v>0</v>
      </c>
    </row>
    <row r="4757" spans="1:13" x14ac:dyDescent="0.45">
      <c r="A4757" s="142" t="s">
        <v>13070</v>
      </c>
      <c r="B4757" s="142" t="s">
        <v>15394</v>
      </c>
      <c r="C4757" s="142" t="s">
        <v>15847</v>
      </c>
      <c r="D4757" s="142" t="s">
        <v>15848</v>
      </c>
      <c r="E4757" s="142" t="s">
        <v>15849</v>
      </c>
      <c r="F4757" s="142" t="s">
        <v>940</v>
      </c>
      <c r="G4757" s="142" t="s">
        <v>939</v>
      </c>
      <c r="H4757" s="142" t="s">
        <v>20607</v>
      </c>
      <c r="I4757" s="142">
        <v>91</v>
      </c>
      <c r="J4757" s="142">
        <v>91</v>
      </c>
      <c r="K4757" s="142">
        <v>0</v>
      </c>
      <c r="L4757" s="142">
        <v>0</v>
      </c>
      <c r="M4757" s="142">
        <v>0</v>
      </c>
    </row>
    <row r="4758" spans="1:13" x14ac:dyDescent="0.45">
      <c r="A4758" s="142" t="s">
        <v>13890</v>
      </c>
      <c r="B4758" s="142" t="s">
        <v>15180</v>
      </c>
      <c r="C4758" s="142" t="s">
        <v>15860</v>
      </c>
      <c r="D4758" s="142" t="s">
        <v>15861</v>
      </c>
      <c r="E4758" s="142" t="s">
        <v>15849</v>
      </c>
      <c r="F4758" s="142" t="s">
        <v>940</v>
      </c>
      <c r="G4758" s="142" t="s">
        <v>939</v>
      </c>
      <c r="H4758" s="142" t="s">
        <v>20608</v>
      </c>
      <c r="I4758" s="142">
        <v>117</v>
      </c>
      <c r="J4758" s="142">
        <v>0</v>
      </c>
      <c r="K4758" s="142">
        <v>0</v>
      </c>
      <c r="L4758" s="142">
        <v>117</v>
      </c>
      <c r="M4758" s="142">
        <v>0</v>
      </c>
    </row>
    <row r="4759" spans="1:13" x14ac:dyDescent="0.45">
      <c r="A4759" s="142" t="s">
        <v>13110</v>
      </c>
      <c r="B4759" s="142" t="s">
        <v>15502</v>
      </c>
      <c r="C4759" s="142" t="s">
        <v>15847</v>
      </c>
      <c r="D4759" s="142" t="s">
        <v>15848</v>
      </c>
      <c r="E4759" s="142" t="s">
        <v>15849</v>
      </c>
      <c r="F4759" s="142" t="s">
        <v>3879</v>
      </c>
      <c r="G4759" s="142" t="s">
        <v>3878</v>
      </c>
      <c r="H4759" s="142" t="s">
        <v>20609</v>
      </c>
      <c r="I4759" s="142">
        <v>2</v>
      </c>
      <c r="J4759" s="142">
        <v>0</v>
      </c>
      <c r="K4759" s="142">
        <v>0</v>
      </c>
      <c r="L4759" s="142">
        <v>2</v>
      </c>
      <c r="M4759" s="142">
        <v>0</v>
      </c>
    </row>
    <row r="4760" spans="1:13" x14ac:dyDescent="0.45">
      <c r="A4760" s="142" t="s">
        <v>13082</v>
      </c>
      <c r="B4760" s="142" t="s">
        <v>14478</v>
      </c>
      <c r="C4760" s="142" t="s">
        <v>15860</v>
      </c>
      <c r="D4760" s="142" t="s">
        <v>15861</v>
      </c>
      <c r="E4760" s="142" t="s">
        <v>15849</v>
      </c>
      <c r="F4760" s="142" t="s">
        <v>3879</v>
      </c>
      <c r="G4760" s="142" t="s">
        <v>3878</v>
      </c>
      <c r="H4760" s="142" t="s">
        <v>20610</v>
      </c>
      <c r="I4760" s="142">
        <v>4</v>
      </c>
      <c r="J4760" s="142">
        <v>0</v>
      </c>
      <c r="K4760" s="142">
        <v>0</v>
      </c>
      <c r="L4760" s="142">
        <v>4</v>
      </c>
      <c r="M4760" s="142">
        <v>0</v>
      </c>
    </row>
    <row r="4761" spans="1:13" x14ac:dyDescent="0.45">
      <c r="A4761" s="142" t="s">
        <v>13000</v>
      </c>
      <c r="B4761" s="142" t="s">
        <v>14610</v>
      </c>
      <c r="C4761" s="142" t="s">
        <v>15847</v>
      </c>
      <c r="D4761" s="142" t="s">
        <v>15848</v>
      </c>
      <c r="E4761" s="142" t="s">
        <v>15849</v>
      </c>
      <c r="F4761" s="142" t="s">
        <v>3879</v>
      </c>
      <c r="G4761" s="142" t="s">
        <v>3878</v>
      </c>
      <c r="H4761" s="142" t="s">
        <v>20611</v>
      </c>
      <c r="I4761" s="142">
        <v>181</v>
      </c>
      <c r="J4761" s="142">
        <v>122</v>
      </c>
      <c r="K4761" s="142">
        <v>0</v>
      </c>
      <c r="L4761" s="142">
        <v>0</v>
      </c>
      <c r="M4761" s="142">
        <v>59</v>
      </c>
    </row>
    <row r="4762" spans="1:13" x14ac:dyDescent="0.45">
      <c r="A4762" s="142" t="s">
        <v>13892</v>
      </c>
      <c r="B4762" s="142" t="s">
        <v>14800</v>
      </c>
      <c r="C4762" s="142" t="s">
        <v>15860</v>
      </c>
      <c r="D4762" s="142" t="s">
        <v>15861</v>
      </c>
      <c r="E4762" s="142" t="s">
        <v>15849</v>
      </c>
      <c r="F4762" s="142" t="s">
        <v>3879</v>
      </c>
      <c r="G4762" s="142" t="s">
        <v>3878</v>
      </c>
      <c r="H4762" s="142" t="s">
        <v>20612</v>
      </c>
      <c r="I4762" s="142">
        <v>14</v>
      </c>
      <c r="J4762" s="142">
        <v>0</v>
      </c>
      <c r="K4762" s="142">
        <v>0</v>
      </c>
      <c r="L4762" s="142">
        <v>14</v>
      </c>
      <c r="M4762" s="142">
        <v>0</v>
      </c>
    </row>
    <row r="4763" spans="1:13" x14ac:dyDescent="0.45">
      <c r="A4763" s="142" t="s">
        <v>13027</v>
      </c>
      <c r="B4763" s="142" t="s">
        <v>14562</v>
      </c>
      <c r="C4763" s="142" t="s">
        <v>15847</v>
      </c>
      <c r="D4763" s="142" t="s">
        <v>15848</v>
      </c>
      <c r="E4763" s="142" t="s">
        <v>15849</v>
      </c>
      <c r="F4763" s="142" t="s">
        <v>3879</v>
      </c>
      <c r="G4763" s="142" t="s">
        <v>3878</v>
      </c>
      <c r="H4763" s="142" t="s">
        <v>20613</v>
      </c>
      <c r="I4763" s="142">
        <v>10</v>
      </c>
      <c r="J4763" s="142">
        <v>0</v>
      </c>
      <c r="K4763" s="142">
        <v>0</v>
      </c>
      <c r="L4763" s="142">
        <v>10</v>
      </c>
      <c r="M4763" s="142">
        <v>0</v>
      </c>
    </row>
    <row r="4764" spans="1:13" x14ac:dyDescent="0.45">
      <c r="A4764" s="142" t="s">
        <v>13001</v>
      </c>
      <c r="B4764" s="142" t="s">
        <v>15506</v>
      </c>
      <c r="C4764" s="142" t="s">
        <v>15847</v>
      </c>
      <c r="D4764" s="142" t="s">
        <v>15848</v>
      </c>
      <c r="E4764" s="142" t="s">
        <v>15849</v>
      </c>
      <c r="F4764" s="142" t="s">
        <v>3879</v>
      </c>
      <c r="G4764" s="142" t="s">
        <v>3878</v>
      </c>
      <c r="H4764" s="142" t="s">
        <v>20614</v>
      </c>
      <c r="I4764" s="142">
        <v>2</v>
      </c>
      <c r="J4764" s="142">
        <v>2</v>
      </c>
      <c r="K4764" s="142">
        <v>0</v>
      </c>
      <c r="L4764" s="142">
        <v>0</v>
      </c>
      <c r="M4764" s="142">
        <v>0</v>
      </c>
    </row>
    <row r="4765" spans="1:13" x14ac:dyDescent="0.45">
      <c r="A4765" s="142" t="s">
        <v>13050</v>
      </c>
      <c r="B4765" s="142" t="s">
        <v>15237</v>
      </c>
      <c r="C4765" s="142" t="s">
        <v>15847</v>
      </c>
      <c r="D4765" s="142" t="s">
        <v>15848</v>
      </c>
      <c r="E4765" s="142" t="s">
        <v>15849</v>
      </c>
      <c r="F4765" s="142" t="s">
        <v>3879</v>
      </c>
      <c r="G4765" s="142" t="s">
        <v>3878</v>
      </c>
      <c r="H4765" s="142" t="s">
        <v>20615</v>
      </c>
      <c r="I4765" s="142">
        <v>93</v>
      </c>
      <c r="J4765" s="142">
        <v>72</v>
      </c>
      <c r="K4765" s="142">
        <v>0</v>
      </c>
      <c r="L4765" s="142">
        <v>0</v>
      </c>
      <c r="M4765" s="142">
        <v>21</v>
      </c>
    </row>
    <row r="4766" spans="1:13" x14ac:dyDescent="0.45">
      <c r="A4766" s="142" t="s">
        <v>13028</v>
      </c>
      <c r="B4766" s="142" t="s">
        <v>14462</v>
      </c>
      <c r="C4766" s="142" t="s">
        <v>15847</v>
      </c>
      <c r="D4766" s="142" t="s">
        <v>15848</v>
      </c>
      <c r="E4766" s="142" t="s">
        <v>15849</v>
      </c>
      <c r="F4766" s="142" t="s">
        <v>3879</v>
      </c>
      <c r="G4766" s="142" t="s">
        <v>3878</v>
      </c>
      <c r="H4766" s="142" t="s">
        <v>20616</v>
      </c>
      <c r="I4766" s="142">
        <v>7</v>
      </c>
      <c r="J4766" s="142">
        <v>0</v>
      </c>
      <c r="K4766" s="142">
        <v>0</v>
      </c>
      <c r="L4766" s="142">
        <v>0</v>
      </c>
      <c r="M4766" s="142">
        <v>7</v>
      </c>
    </row>
    <row r="4767" spans="1:13" x14ac:dyDescent="0.45">
      <c r="A4767" s="142" t="s">
        <v>13002</v>
      </c>
      <c r="B4767" s="142" t="s">
        <v>15376</v>
      </c>
      <c r="C4767" s="142" t="s">
        <v>15847</v>
      </c>
      <c r="D4767" s="142" t="s">
        <v>15848</v>
      </c>
      <c r="E4767" s="142" t="s">
        <v>15849</v>
      </c>
      <c r="F4767" s="142" t="s">
        <v>3879</v>
      </c>
      <c r="G4767" s="142" t="s">
        <v>3878</v>
      </c>
      <c r="H4767" s="142" t="s">
        <v>20617</v>
      </c>
      <c r="I4767" s="142">
        <v>21</v>
      </c>
      <c r="J4767" s="142">
        <v>21</v>
      </c>
      <c r="K4767" s="142">
        <v>0</v>
      </c>
      <c r="L4767" s="142">
        <v>0</v>
      </c>
      <c r="M4767" s="142">
        <v>0</v>
      </c>
    </row>
    <row r="4768" spans="1:13" x14ac:dyDescent="0.45">
      <c r="A4768" s="142" t="s">
        <v>13003</v>
      </c>
      <c r="B4768" s="142" t="s">
        <v>15245</v>
      </c>
      <c r="C4768" s="142" t="s">
        <v>15847</v>
      </c>
      <c r="D4768" s="142" t="s">
        <v>15848</v>
      </c>
      <c r="E4768" s="142" t="s">
        <v>15849</v>
      </c>
      <c r="F4768" s="142" t="s">
        <v>3879</v>
      </c>
      <c r="G4768" s="142" t="s">
        <v>3878</v>
      </c>
      <c r="H4768" s="142" t="s">
        <v>20618</v>
      </c>
      <c r="I4768" s="142">
        <v>43</v>
      </c>
      <c r="J4768" s="142">
        <v>0</v>
      </c>
      <c r="K4768" s="142">
        <v>0</v>
      </c>
      <c r="L4768" s="142">
        <v>43</v>
      </c>
      <c r="M4768" s="142">
        <v>0</v>
      </c>
    </row>
    <row r="4769" spans="1:13" x14ac:dyDescent="0.45">
      <c r="A4769" s="142" t="s">
        <v>13004</v>
      </c>
      <c r="B4769" s="142" t="s">
        <v>15492</v>
      </c>
      <c r="C4769" s="142" t="s">
        <v>15847</v>
      </c>
      <c r="D4769" s="142" t="s">
        <v>15848</v>
      </c>
      <c r="E4769" s="142" t="s">
        <v>15849</v>
      </c>
      <c r="F4769" s="142" t="s">
        <v>3879</v>
      </c>
      <c r="G4769" s="142" t="s">
        <v>3878</v>
      </c>
      <c r="H4769" s="142" t="s">
        <v>20619</v>
      </c>
      <c r="I4769" s="142">
        <v>29</v>
      </c>
      <c r="J4769" s="142">
        <v>25</v>
      </c>
      <c r="K4769" s="142">
        <v>0</v>
      </c>
      <c r="L4769" s="142">
        <v>0</v>
      </c>
      <c r="M4769" s="142">
        <v>4</v>
      </c>
    </row>
    <row r="4770" spans="1:13" x14ac:dyDescent="0.45">
      <c r="A4770" s="142" t="s">
        <v>13066</v>
      </c>
      <c r="B4770" s="142" t="s">
        <v>14459</v>
      </c>
      <c r="C4770" s="142" t="s">
        <v>15847</v>
      </c>
      <c r="D4770" s="142" t="s">
        <v>15848</v>
      </c>
      <c r="E4770" s="142" t="s">
        <v>15849</v>
      </c>
      <c r="F4770" s="142" t="s">
        <v>3879</v>
      </c>
      <c r="G4770" s="142" t="s">
        <v>3878</v>
      </c>
      <c r="H4770" s="142" t="s">
        <v>20620</v>
      </c>
      <c r="I4770" s="142">
        <v>4</v>
      </c>
      <c r="J4770" s="142">
        <v>0</v>
      </c>
      <c r="K4770" s="142">
        <v>0</v>
      </c>
      <c r="L4770" s="142">
        <v>4</v>
      </c>
      <c r="M4770" s="142">
        <v>0</v>
      </c>
    </row>
    <row r="4771" spans="1:13" x14ac:dyDescent="0.45">
      <c r="A4771" s="142" t="s">
        <v>13178</v>
      </c>
      <c r="B4771" s="142" t="s">
        <v>14683</v>
      </c>
      <c r="C4771" s="142" t="s">
        <v>15847</v>
      </c>
      <c r="D4771" s="142" t="s">
        <v>15848</v>
      </c>
      <c r="E4771" s="142" t="s">
        <v>15849</v>
      </c>
      <c r="F4771" s="142" t="s">
        <v>3879</v>
      </c>
      <c r="G4771" s="142" t="s">
        <v>3878</v>
      </c>
      <c r="H4771" s="142" t="s">
        <v>20621</v>
      </c>
      <c r="I4771" s="142">
        <v>23</v>
      </c>
      <c r="J4771" s="142">
        <v>23</v>
      </c>
      <c r="K4771" s="142">
        <v>0</v>
      </c>
      <c r="L4771" s="142">
        <v>0</v>
      </c>
      <c r="M4771" s="142">
        <v>0</v>
      </c>
    </row>
    <row r="4772" spans="1:13" x14ac:dyDescent="0.45">
      <c r="A4772" s="142" t="s">
        <v>13076</v>
      </c>
      <c r="B4772" s="142" t="s">
        <v>14636</v>
      </c>
      <c r="C4772" s="142" t="s">
        <v>15847</v>
      </c>
      <c r="D4772" s="142" t="s">
        <v>15848</v>
      </c>
      <c r="E4772" s="142" t="s">
        <v>15849</v>
      </c>
      <c r="F4772" s="142" t="s">
        <v>3879</v>
      </c>
      <c r="G4772" s="142" t="s">
        <v>3878</v>
      </c>
      <c r="H4772" s="142" t="s">
        <v>20622</v>
      </c>
      <c r="I4772" s="142">
        <v>23</v>
      </c>
      <c r="J4772" s="142">
        <v>0</v>
      </c>
      <c r="K4772" s="142">
        <v>0</v>
      </c>
      <c r="L4772" s="142">
        <v>0</v>
      </c>
      <c r="M4772" s="142">
        <v>23</v>
      </c>
    </row>
    <row r="4773" spans="1:13" x14ac:dyDescent="0.45">
      <c r="A4773" s="142" t="s">
        <v>13274</v>
      </c>
      <c r="B4773" s="142" t="s">
        <v>14608</v>
      </c>
      <c r="C4773" s="142" t="s">
        <v>15860</v>
      </c>
      <c r="D4773" s="142" t="s">
        <v>15861</v>
      </c>
      <c r="E4773" s="142" t="s">
        <v>15849</v>
      </c>
      <c r="F4773" s="142" t="s">
        <v>3879</v>
      </c>
      <c r="G4773" s="142" t="s">
        <v>3878</v>
      </c>
      <c r="H4773" s="142" t="s">
        <v>20623</v>
      </c>
      <c r="I4773" s="142">
        <v>1</v>
      </c>
      <c r="J4773" s="142">
        <v>0</v>
      </c>
      <c r="K4773" s="142">
        <v>0</v>
      </c>
      <c r="L4773" s="142">
        <v>1</v>
      </c>
      <c r="M4773" s="142">
        <v>0</v>
      </c>
    </row>
    <row r="4774" spans="1:13" x14ac:dyDescent="0.45">
      <c r="A4774" s="142" t="s">
        <v>13005</v>
      </c>
      <c r="B4774" s="142" t="s">
        <v>15475</v>
      </c>
      <c r="C4774" s="142" t="s">
        <v>15847</v>
      </c>
      <c r="D4774" s="142" t="s">
        <v>15848</v>
      </c>
      <c r="E4774" s="142" t="s">
        <v>15849</v>
      </c>
      <c r="F4774" s="142" t="s">
        <v>3879</v>
      </c>
      <c r="G4774" s="142" t="s">
        <v>3878</v>
      </c>
      <c r="H4774" s="142" t="s">
        <v>20624</v>
      </c>
      <c r="I4774" s="142">
        <v>3</v>
      </c>
      <c r="J4774" s="142">
        <v>0</v>
      </c>
      <c r="K4774" s="142">
        <v>0</v>
      </c>
      <c r="L4774" s="142">
        <v>0</v>
      </c>
      <c r="M4774" s="142">
        <v>3</v>
      </c>
    </row>
    <row r="4775" spans="1:13" x14ac:dyDescent="0.45">
      <c r="A4775" s="142" t="s">
        <v>13053</v>
      </c>
      <c r="B4775" s="142" t="s">
        <v>15436</v>
      </c>
      <c r="C4775" s="142" t="s">
        <v>15847</v>
      </c>
      <c r="D4775" s="142" t="s">
        <v>15848</v>
      </c>
      <c r="E4775" s="142" t="s">
        <v>15849</v>
      </c>
      <c r="F4775" s="142" t="s">
        <v>3879</v>
      </c>
      <c r="G4775" s="142" t="s">
        <v>3878</v>
      </c>
      <c r="H4775" s="142" t="s">
        <v>20625</v>
      </c>
      <c r="I4775" s="142">
        <v>30</v>
      </c>
      <c r="J4775" s="142">
        <v>0</v>
      </c>
      <c r="K4775" s="142">
        <v>0</v>
      </c>
      <c r="L4775" s="142">
        <v>0</v>
      </c>
      <c r="M4775" s="142">
        <v>30</v>
      </c>
    </row>
    <row r="4776" spans="1:13" x14ac:dyDescent="0.45">
      <c r="A4776" s="142" t="s">
        <v>13007</v>
      </c>
      <c r="B4776" s="142" t="s">
        <v>15262</v>
      </c>
      <c r="C4776" s="142" t="s">
        <v>15847</v>
      </c>
      <c r="D4776" s="142" t="s">
        <v>15848</v>
      </c>
      <c r="E4776" s="142" t="s">
        <v>15849</v>
      </c>
      <c r="F4776" s="142" t="s">
        <v>3879</v>
      </c>
      <c r="G4776" s="142" t="s">
        <v>3878</v>
      </c>
      <c r="H4776" s="142" t="s">
        <v>20626</v>
      </c>
      <c r="I4776" s="142">
        <v>2</v>
      </c>
      <c r="J4776" s="142">
        <v>1</v>
      </c>
      <c r="K4776" s="142">
        <v>0</v>
      </c>
      <c r="L4776" s="142">
        <v>0</v>
      </c>
      <c r="M4776" s="142">
        <v>1</v>
      </c>
    </row>
    <row r="4777" spans="1:13" x14ac:dyDescent="0.45">
      <c r="A4777" s="142" t="s">
        <v>13893</v>
      </c>
      <c r="B4777" s="142" t="s">
        <v>14777</v>
      </c>
      <c r="C4777" s="142" t="s">
        <v>15860</v>
      </c>
      <c r="D4777" s="142" t="s">
        <v>15861</v>
      </c>
      <c r="E4777" s="142" t="s">
        <v>15849</v>
      </c>
      <c r="F4777" s="142" t="s">
        <v>3879</v>
      </c>
      <c r="G4777" s="142" t="s">
        <v>3878</v>
      </c>
      <c r="H4777" s="142" t="s">
        <v>20627</v>
      </c>
      <c r="I4777" s="142">
        <v>41</v>
      </c>
      <c r="J4777" s="142">
        <v>0</v>
      </c>
      <c r="K4777" s="142">
        <v>0</v>
      </c>
      <c r="L4777" s="142">
        <v>41</v>
      </c>
      <c r="M4777" s="142">
        <v>0</v>
      </c>
    </row>
    <row r="4778" spans="1:13" x14ac:dyDescent="0.45">
      <c r="A4778" s="142" t="s">
        <v>13008</v>
      </c>
      <c r="B4778" s="142" t="s">
        <v>15411</v>
      </c>
      <c r="C4778" s="142" t="s">
        <v>15847</v>
      </c>
      <c r="D4778" s="142" t="s">
        <v>15848</v>
      </c>
      <c r="E4778" s="142" t="s">
        <v>15849</v>
      </c>
      <c r="F4778" s="142" t="s">
        <v>3879</v>
      </c>
      <c r="G4778" s="142" t="s">
        <v>3878</v>
      </c>
      <c r="H4778" s="142" t="s">
        <v>20628</v>
      </c>
      <c r="I4778" s="142">
        <v>35</v>
      </c>
      <c r="J4778" s="142">
        <v>0</v>
      </c>
      <c r="K4778" s="142">
        <v>0</v>
      </c>
      <c r="L4778" s="142">
        <v>0</v>
      </c>
      <c r="M4778" s="142">
        <v>35</v>
      </c>
    </row>
    <row r="4779" spans="1:13" x14ac:dyDescent="0.45">
      <c r="A4779" s="142" t="s">
        <v>13077</v>
      </c>
      <c r="B4779" s="142" t="s">
        <v>15407</v>
      </c>
      <c r="C4779" s="142" t="s">
        <v>15847</v>
      </c>
      <c r="D4779" s="142" t="s">
        <v>15848</v>
      </c>
      <c r="E4779" s="142" t="s">
        <v>15849</v>
      </c>
      <c r="F4779" s="142" t="s">
        <v>3879</v>
      </c>
      <c r="G4779" s="142" t="s">
        <v>3878</v>
      </c>
      <c r="H4779" s="142" t="s">
        <v>20629</v>
      </c>
      <c r="I4779" s="142">
        <v>53</v>
      </c>
      <c r="J4779" s="142">
        <v>46</v>
      </c>
      <c r="K4779" s="142">
        <v>0</v>
      </c>
      <c r="L4779" s="142">
        <v>7</v>
      </c>
      <c r="M4779" s="142">
        <v>0</v>
      </c>
    </row>
    <row r="4780" spans="1:13" x14ac:dyDescent="0.45">
      <c r="A4780" s="142" t="s">
        <v>13894</v>
      </c>
      <c r="B4780" s="142" t="s">
        <v>15329</v>
      </c>
      <c r="C4780" s="142" t="s">
        <v>15860</v>
      </c>
      <c r="D4780" s="142" t="s">
        <v>15861</v>
      </c>
      <c r="E4780" s="142" t="s">
        <v>15849</v>
      </c>
      <c r="F4780" s="142" t="s">
        <v>3879</v>
      </c>
      <c r="G4780" s="142" t="s">
        <v>3878</v>
      </c>
      <c r="H4780" s="142" t="s">
        <v>20630</v>
      </c>
      <c r="I4780" s="142">
        <v>17</v>
      </c>
      <c r="J4780" s="142">
        <v>0</v>
      </c>
      <c r="K4780" s="142">
        <v>0</v>
      </c>
      <c r="L4780" s="142">
        <v>17</v>
      </c>
      <c r="M4780" s="142">
        <v>0</v>
      </c>
    </row>
    <row r="4781" spans="1:13" x14ac:dyDescent="0.45">
      <c r="A4781" s="142" t="s">
        <v>13033</v>
      </c>
      <c r="B4781" s="142" t="s">
        <v>15276</v>
      </c>
      <c r="C4781" s="142" t="s">
        <v>15847</v>
      </c>
      <c r="D4781" s="142" t="s">
        <v>15848</v>
      </c>
      <c r="E4781" s="142" t="s">
        <v>15849</v>
      </c>
      <c r="F4781" s="142" t="s">
        <v>3879</v>
      </c>
      <c r="G4781" s="142" t="s">
        <v>3878</v>
      </c>
      <c r="H4781" s="142" t="s">
        <v>20631</v>
      </c>
      <c r="I4781" s="142">
        <v>69</v>
      </c>
      <c r="J4781" s="142">
        <v>69</v>
      </c>
      <c r="K4781" s="142">
        <v>0</v>
      </c>
      <c r="L4781" s="142">
        <v>0</v>
      </c>
      <c r="M4781" s="142">
        <v>0</v>
      </c>
    </row>
    <row r="4782" spans="1:13" x14ac:dyDescent="0.45">
      <c r="A4782" s="142" t="s">
        <v>13569</v>
      </c>
      <c r="B4782" s="142" t="s">
        <v>15441</v>
      </c>
      <c r="C4782" s="142" t="s">
        <v>15847</v>
      </c>
      <c r="D4782" s="142" t="s">
        <v>15848</v>
      </c>
      <c r="E4782" s="142" t="s">
        <v>15849</v>
      </c>
      <c r="F4782" s="142" t="s">
        <v>3879</v>
      </c>
      <c r="G4782" s="142" t="s">
        <v>3878</v>
      </c>
      <c r="H4782" s="142" t="s">
        <v>20632</v>
      </c>
      <c r="I4782" s="142">
        <v>21</v>
      </c>
      <c r="J4782" s="142">
        <v>6</v>
      </c>
      <c r="K4782" s="142">
        <v>0</v>
      </c>
      <c r="L4782" s="142">
        <v>0</v>
      </c>
      <c r="M4782" s="142">
        <v>15</v>
      </c>
    </row>
    <row r="4783" spans="1:13" x14ac:dyDescent="0.45">
      <c r="A4783" s="142" t="s">
        <v>13038</v>
      </c>
      <c r="B4783" s="142" t="s">
        <v>14646</v>
      </c>
      <c r="C4783" s="142" t="s">
        <v>15847</v>
      </c>
      <c r="D4783" s="142" t="s">
        <v>15848</v>
      </c>
      <c r="E4783" s="142" t="s">
        <v>15849</v>
      </c>
      <c r="F4783" s="142" t="s">
        <v>3879</v>
      </c>
      <c r="G4783" s="142" t="s">
        <v>3878</v>
      </c>
      <c r="H4783" s="142" t="s">
        <v>20633</v>
      </c>
      <c r="I4783" s="142">
        <v>75</v>
      </c>
      <c r="J4783" s="142">
        <v>55</v>
      </c>
      <c r="K4783" s="142">
        <v>0</v>
      </c>
      <c r="L4783" s="142">
        <v>0</v>
      </c>
      <c r="M4783" s="142">
        <v>20</v>
      </c>
    </row>
    <row r="4784" spans="1:13" x14ac:dyDescent="0.45">
      <c r="A4784" s="142" t="s">
        <v>13039</v>
      </c>
      <c r="B4784" s="142" t="s">
        <v>14647</v>
      </c>
      <c r="C4784" s="142" t="s">
        <v>15847</v>
      </c>
      <c r="D4784" s="142" t="s">
        <v>15848</v>
      </c>
      <c r="E4784" s="142" t="s">
        <v>15849</v>
      </c>
      <c r="F4784" s="142" t="s">
        <v>3879</v>
      </c>
      <c r="G4784" s="142" t="s">
        <v>3878</v>
      </c>
      <c r="H4784" s="142" t="s">
        <v>20634</v>
      </c>
      <c r="I4784" s="142">
        <v>66</v>
      </c>
      <c r="J4784" s="142">
        <v>66</v>
      </c>
      <c r="K4784" s="142">
        <v>0</v>
      </c>
      <c r="L4784" s="142">
        <v>0</v>
      </c>
      <c r="M4784" s="142">
        <v>0</v>
      </c>
    </row>
    <row r="4785" spans="1:13" x14ac:dyDescent="0.45">
      <c r="A4785" s="142" t="s">
        <v>13078</v>
      </c>
      <c r="B4785" s="142" t="s">
        <v>15540</v>
      </c>
      <c r="C4785" s="142" t="s">
        <v>15847</v>
      </c>
      <c r="D4785" s="142" t="s">
        <v>15848</v>
      </c>
      <c r="E4785" s="142" t="s">
        <v>15849</v>
      </c>
      <c r="F4785" s="142" t="s">
        <v>3879</v>
      </c>
      <c r="G4785" s="142" t="s">
        <v>3878</v>
      </c>
      <c r="H4785" s="142" t="s">
        <v>20635</v>
      </c>
      <c r="I4785" s="142">
        <v>42</v>
      </c>
      <c r="J4785" s="142">
        <v>0</v>
      </c>
      <c r="K4785" s="142">
        <v>0</v>
      </c>
      <c r="L4785" s="142">
        <v>42</v>
      </c>
      <c r="M4785" s="142">
        <v>0</v>
      </c>
    </row>
    <row r="4786" spans="1:13" x14ac:dyDescent="0.45">
      <c r="A4786" s="142" t="s">
        <v>13009</v>
      </c>
      <c r="B4786" s="142" t="s">
        <v>15256</v>
      </c>
      <c r="C4786" s="142" t="s">
        <v>15847</v>
      </c>
      <c r="D4786" s="142" t="s">
        <v>15848</v>
      </c>
      <c r="E4786" s="142" t="s">
        <v>15849</v>
      </c>
      <c r="F4786" s="142" t="s">
        <v>3879</v>
      </c>
      <c r="G4786" s="142" t="s">
        <v>3878</v>
      </c>
      <c r="H4786" s="142" t="s">
        <v>20636</v>
      </c>
      <c r="I4786" s="142">
        <v>5</v>
      </c>
      <c r="J4786" s="142">
        <v>5</v>
      </c>
      <c r="K4786" s="142">
        <v>0</v>
      </c>
      <c r="L4786" s="142">
        <v>0</v>
      </c>
      <c r="M4786" s="142">
        <v>0</v>
      </c>
    </row>
    <row r="4787" spans="1:13" x14ac:dyDescent="0.45">
      <c r="A4787" s="142" t="s">
        <v>13056</v>
      </c>
      <c r="B4787" s="142" t="s">
        <v>15435</v>
      </c>
      <c r="C4787" s="142" t="s">
        <v>15847</v>
      </c>
      <c r="D4787" s="142" t="s">
        <v>15848</v>
      </c>
      <c r="E4787" s="142" t="s">
        <v>15849</v>
      </c>
      <c r="F4787" s="142" t="s">
        <v>3879</v>
      </c>
      <c r="G4787" s="142" t="s">
        <v>3878</v>
      </c>
      <c r="H4787" s="142" t="s">
        <v>20637</v>
      </c>
      <c r="I4787" s="142">
        <v>74</v>
      </c>
      <c r="J4787" s="142">
        <v>24</v>
      </c>
      <c r="K4787" s="142">
        <v>0</v>
      </c>
      <c r="L4787" s="142">
        <v>39</v>
      </c>
      <c r="M4787" s="142">
        <v>11</v>
      </c>
    </row>
    <row r="4788" spans="1:13" x14ac:dyDescent="0.45">
      <c r="A4788" s="142" t="s">
        <v>13010</v>
      </c>
      <c r="B4788" s="142" t="s">
        <v>15349</v>
      </c>
      <c r="C4788" s="142" t="s">
        <v>15860</v>
      </c>
      <c r="D4788" s="142" t="s">
        <v>15861</v>
      </c>
      <c r="E4788" s="142" t="s">
        <v>15849</v>
      </c>
      <c r="F4788" s="142" t="s">
        <v>3879</v>
      </c>
      <c r="G4788" s="142" t="s">
        <v>3878</v>
      </c>
      <c r="H4788" s="142" t="s">
        <v>20638</v>
      </c>
      <c r="I4788" s="142">
        <v>54</v>
      </c>
      <c r="J4788" s="142">
        <v>0</v>
      </c>
      <c r="K4788" s="142">
        <v>0</v>
      </c>
      <c r="L4788" s="142">
        <v>54</v>
      </c>
      <c r="M4788" s="142">
        <v>0</v>
      </c>
    </row>
    <row r="4789" spans="1:13" x14ac:dyDescent="0.45">
      <c r="A4789" s="142" t="s">
        <v>13011</v>
      </c>
      <c r="B4789" s="142" t="s">
        <v>14695</v>
      </c>
      <c r="C4789" s="142" t="s">
        <v>15847</v>
      </c>
      <c r="D4789" s="142" t="s">
        <v>15848</v>
      </c>
      <c r="E4789" s="142" t="s">
        <v>15849</v>
      </c>
      <c r="F4789" s="142" t="s">
        <v>3879</v>
      </c>
      <c r="G4789" s="142" t="s">
        <v>3878</v>
      </c>
      <c r="H4789" s="142" t="s">
        <v>20639</v>
      </c>
      <c r="I4789" s="142">
        <v>707</v>
      </c>
      <c r="J4789" s="142">
        <v>514</v>
      </c>
      <c r="K4789" s="142">
        <v>0</v>
      </c>
      <c r="L4789" s="142">
        <v>99</v>
      </c>
      <c r="M4789" s="142">
        <v>94</v>
      </c>
    </row>
    <row r="4790" spans="1:13" x14ac:dyDescent="0.45">
      <c r="A4790" s="142" t="s">
        <v>13041</v>
      </c>
      <c r="B4790" s="142" t="s">
        <v>14441</v>
      </c>
      <c r="C4790" s="142" t="s">
        <v>15847</v>
      </c>
      <c r="D4790" s="142" t="s">
        <v>15848</v>
      </c>
      <c r="E4790" s="142" t="s">
        <v>15849</v>
      </c>
      <c r="F4790" s="142" t="s">
        <v>3879</v>
      </c>
      <c r="G4790" s="142" t="s">
        <v>3878</v>
      </c>
      <c r="H4790" s="142" t="s">
        <v>20640</v>
      </c>
      <c r="I4790" s="142">
        <v>35</v>
      </c>
      <c r="J4790" s="142">
        <v>0</v>
      </c>
      <c r="K4790" s="142">
        <v>0</v>
      </c>
      <c r="L4790" s="142">
        <v>0</v>
      </c>
      <c r="M4790" s="142">
        <v>35</v>
      </c>
    </row>
    <row r="4791" spans="1:13" x14ac:dyDescent="0.45">
      <c r="A4791" s="142" t="s">
        <v>13012</v>
      </c>
      <c r="B4791" s="142" t="s">
        <v>15337</v>
      </c>
      <c r="C4791" s="142" t="s">
        <v>15847</v>
      </c>
      <c r="D4791" s="142" t="s">
        <v>15848</v>
      </c>
      <c r="E4791" s="142" t="s">
        <v>15849</v>
      </c>
      <c r="F4791" s="142" t="s">
        <v>3879</v>
      </c>
      <c r="G4791" s="142" t="s">
        <v>3878</v>
      </c>
      <c r="H4791" s="142" t="s">
        <v>20641</v>
      </c>
      <c r="I4791" s="142">
        <v>196</v>
      </c>
      <c r="J4791" s="142">
        <v>97</v>
      </c>
      <c r="K4791" s="142">
        <v>0</v>
      </c>
      <c r="L4791" s="142">
        <v>0</v>
      </c>
      <c r="M4791" s="142">
        <v>99</v>
      </c>
    </row>
    <row r="4792" spans="1:13" x14ac:dyDescent="0.45">
      <c r="A4792" s="142" t="s">
        <v>13361</v>
      </c>
      <c r="B4792" s="142" t="s">
        <v>15493</v>
      </c>
      <c r="C4792" s="142" t="s">
        <v>15860</v>
      </c>
      <c r="D4792" s="142" t="s">
        <v>15861</v>
      </c>
      <c r="E4792" s="142" t="s">
        <v>15849</v>
      </c>
      <c r="F4792" s="142" t="s">
        <v>3879</v>
      </c>
      <c r="G4792" s="142" t="s">
        <v>3878</v>
      </c>
      <c r="H4792" s="142" t="s">
        <v>20642</v>
      </c>
      <c r="I4792" s="142">
        <v>134</v>
      </c>
      <c r="J4792" s="142">
        <v>0</v>
      </c>
      <c r="K4792" s="142">
        <v>0</v>
      </c>
      <c r="L4792" s="142">
        <v>134</v>
      </c>
      <c r="M4792" s="142">
        <v>0</v>
      </c>
    </row>
    <row r="4793" spans="1:13" x14ac:dyDescent="0.45">
      <c r="A4793" s="142" t="s">
        <v>13895</v>
      </c>
      <c r="B4793" s="142" t="s">
        <v>15178</v>
      </c>
      <c r="C4793" s="142" t="s">
        <v>15860</v>
      </c>
      <c r="D4793" s="142" t="s">
        <v>15861</v>
      </c>
      <c r="E4793" s="142" t="s">
        <v>15849</v>
      </c>
      <c r="F4793" s="142" t="s">
        <v>3879</v>
      </c>
      <c r="G4793" s="142" t="s">
        <v>3878</v>
      </c>
      <c r="H4793" s="142" t="s">
        <v>20643</v>
      </c>
      <c r="I4793" s="142">
        <v>9</v>
      </c>
      <c r="J4793" s="142">
        <v>0</v>
      </c>
      <c r="K4793" s="142">
        <v>0</v>
      </c>
      <c r="L4793" s="142">
        <v>9</v>
      </c>
      <c r="M4793" s="142">
        <v>0</v>
      </c>
    </row>
    <row r="4794" spans="1:13" x14ac:dyDescent="0.45">
      <c r="A4794" s="142" t="s">
        <v>13014</v>
      </c>
      <c r="B4794" s="142" t="s">
        <v>14505</v>
      </c>
      <c r="C4794" s="142" t="s">
        <v>15847</v>
      </c>
      <c r="D4794" s="142" t="s">
        <v>15848</v>
      </c>
      <c r="E4794" s="142" t="s">
        <v>15849</v>
      </c>
      <c r="F4794" s="142" t="s">
        <v>3879</v>
      </c>
      <c r="G4794" s="142" t="s">
        <v>3878</v>
      </c>
      <c r="H4794" s="142" t="s">
        <v>20644</v>
      </c>
      <c r="I4794" s="142">
        <v>410</v>
      </c>
      <c r="J4794" s="142">
        <v>256</v>
      </c>
      <c r="K4794" s="142">
        <v>0</v>
      </c>
      <c r="L4794" s="142">
        <v>70</v>
      </c>
      <c r="M4794" s="142">
        <v>84</v>
      </c>
    </row>
    <row r="4795" spans="1:13" x14ac:dyDescent="0.45">
      <c r="A4795" s="142" t="s">
        <v>13110</v>
      </c>
      <c r="B4795" s="142" t="s">
        <v>15502</v>
      </c>
      <c r="C4795" s="142" t="s">
        <v>15847</v>
      </c>
      <c r="D4795" s="142" t="s">
        <v>15848</v>
      </c>
      <c r="E4795" s="142" t="s">
        <v>15849</v>
      </c>
      <c r="F4795" s="142" t="s">
        <v>12114</v>
      </c>
      <c r="G4795" s="142" t="s">
        <v>12113</v>
      </c>
      <c r="H4795" s="142" t="s">
        <v>20645</v>
      </c>
      <c r="I4795" s="142">
        <v>29</v>
      </c>
      <c r="J4795" s="142">
        <v>29</v>
      </c>
      <c r="K4795" s="142">
        <v>0</v>
      </c>
      <c r="L4795" s="142">
        <v>0</v>
      </c>
      <c r="M4795" s="142">
        <v>0</v>
      </c>
    </row>
    <row r="4796" spans="1:13" x14ac:dyDescent="0.45">
      <c r="A4796" s="142" t="s">
        <v>13023</v>
      </c>
      <c r="B4796" s="142" t="s">
        <v>15571</v>
      </c>
      <c r="C4796" s="142" t="s">
        <v>15847</v>
      </c>
      <c r="D4796" s="142" t="s">
        <v>15848</v>
      </c>
      <c r="E4796" s="142" t="s">
        <v>15849</v>
      </c>
      <c r="F4796" s="142" t="s">
        <v>12114</v>
      </c>
      <c r="G4796" s="142" t="s">
        <v>12113</v>
      </c>
      <c r="H4796" s="142" t="s">
        <v>20646</v>
      </c>
      <c r="I4796" s="142">
        <v>68</v>
      </c>
      <c r="J4796" s="142">
        <v>0</v>
      </c>
      <c r="K4796" s="142">
        <v>0</v>
      </c>
      <c r="L4796" s="142">
        <v>68</v>
      </c>
      <c r="M4796" s="142">
        <v>0</v>
      </c>
    </row>
    <row r="4797" spans="1:13" x14ac:dyDescent="0.45">
      <c r="A4797" s="142" t="s">
        <v>13112</v>
      </c>
      <c r="B4797" s="142" t="s">
        <v>15552</v>
      </c>
      <c r="C4797" s="142" t="s">
        <v>15860</v>
      </c>
      <c r="D4797" s="142" t="s">
        <v>15861</v>
      </c>
      <c r="E4797" s="142" t="s">
        <v>15849</v>
      </c>
      <c r="F4797" s="142" t="s">
        <v>12114</v>
      </c>
      <c r="G4797" s="142" t="s">
        <v>12113</v>
      </c>
      <c r="H4797" s="142" t="s">
        <v>20647</v>
      </c>
      <c r="I4797" s="142">
        <v>8</v>
      </c>
      <c r="J4797" s="142">
        <v>8</v>
      </c>
      <c r="K4797" s="142">
        <v>0</v>
      </c>
      <c r="L4797" s="142">
        <v>0</v>
      </c>
      <c r="M4797" s="142">
        <v>0</v>
      </c>
    </row>
    <row r="4798" spans="1:13" x14ac:dyDescent="0.45">
      <c r="A4798" s="142" t="s">
        <v>13114</v>
      </c>
      <c r="B4798" s="142" t="s">
        <v>15328</v>
      </c>
      <c r="C4798" s="142" t="s">
        <v>15860</v>
      </c>
      <c r="D4798" s="142" t="s">
        <v>15861</v>
      </c>
      <c r="E4798" s="142" t="s">
        <v>15849</v>
      </c>
      <c r="F4798" s="142" t="s">
        <v>12114</v>
      </c>
      <c r="G4798" s="142" t="s">
        <v>12113</v>
      </c>
      <c r="H4798" s="142" t="s">
        <v>20648</v>
      </c>
      <c r="I4798" s="142">
        <v>4</v>
      </c>
      <c r="J4798" s="142">
        <v>0</v>
      </c>
      <c r="K4798" s="142">
        <v>0</v>
      </c>
      <c r="L4798" s="142">
        <v>4</v>
      </c>
      <c r="M4798" s="142">
        <v>0</v>
      </c>
    </row>
    <row r="4799" spans="1:13" x14ac:dyDescent="0.45">
      <c r="A4799" s="142" t="s">
        <v>13897</v>
      </c>
      <c r="B4799" s="142" t="s">
        <v>14960</v>
      </c>
      <c r="C4799" s="142" t="s">
        <v>15860</v>
      </c>
      <c r="D4799" s="142" t="s">
        <v>15861</v>
      </c>
      <c r="E4799" s="142" t="s">
        <v>15849</v>
      </c>
      <c r="F4799" s="142" t="s">
        <v>12114</v>
      </c>
      <c r="G4799" s="142" t="s">
        <v>12113</v>
      </c>
      <c r="H4799" s="142" t="s">
        <v>20649</v>
      </c>
      <c r="I4799" s="142">
        <v>90</v>
      </c>
      <c r="J4799" s="142">
        <v>90</v>
      </c>
      <c r="K4799" s="142">
        <v>0</v>
      </c>
      <c r="L4799" s="142">
        <v>0</v>
      </c>
      <c r="M4799" s="142">
        <v>0</v>
      </c>
    </row>
    <row r="4800" spans="1:13" x14ac:dyDescent="0.45">
      <c r="A4800" s="142" t="s">
        <v>13318</v>
      </c>
      <c r="B4800" s="142" t="s">
        <v>15172</v>
      </c>
      <c r="C4800" s="142" t="s">
        <v>15860</v>
      </c>
      <c r="D4800" s="142" t="s">
        <v>15861</v>
      </c>
      <c r="E4800" s="142" t="s">
        <v>15849</v>
      </c>
      <c r="F4800" s="142" t="s">
        <v>12114</v>
      </c>
      <c r="G4800" s="142" t="s">
        <v>12113</v>
      </c>
      <c r="H4800" s="142" t="s">
        <v>20650</v>
      </c>
      <c r="I4800" s="142">
        <v>20</v>
      </c>
      <c r="J4800" s="142">
        <v>16</v>
      </c>
      <c r="K4800" s="142">
        <v>4</v>
      </c>
      <c r="L4800" s="142">
        <v>0</v>
      </c>
      <c r="M4800" s="142">
        <v>0</v>
      </c>
    </row>
    <row r="4801" spans="1:13" x14ac:dyDescent="0.45">
      <c r="A4801" s="142" t="s">
        <v>13358</v>
      </c>
      <c r="B4801" s="142" t="s">
        <v>15385</v>
      </c>
      <c r="C4801" s="142" t="s">
        <v>15860</v>
      </c>
      <c r="D4801" s="142" t="s">
        <v>15861</v>
      </c>
      <c r="E4801" s="142" t="s">
        <v>15849</v>
      </c>
      <c r="F4801" s="142" t="s">
        <v>12114</v>
      </c>
      <c r="G4801" s="142" t="s">
        <v>12113</v>
      </c>
      <c r="H4801" s="142" t="s">
        <v>20651</v>
      </c>
      <c r="I4801" s="142">
        <v>141</v>
      </c>
      <c r="J4801" s="142">
        <v>122</v>
      </c>
      <c r="K4801" s="142">
        <v>19</v>
      </c>
      <c r="L4801" s="142">
        <v>0</v>
      </c>
      <c r="M4801" s="142">
        <v>0</v>
      </c>
    </row>
    <row r="4802" spans="1:13" x14ac:dyDescent="0.45">
      <c r="A4802" s="142" t="s">
        <v>13211</v>
      </c>
      <c r="B4802" s="142" t="s">
        <v>15341</v>
      </c>
      <c r="C4802" s="142" t="s">
        <v>15860</v>
      </c>
      <c r="D4802" s="142" t="s">
        <v>15861</v>
      </c>
      <c r="E4802" s="142" t="s">
        <v>15849</v>
      </c>
      <c r="F4802" s="142" t="s">
        <v>12114</v>
      </c>
      <c r="G4802" s="142" t="s">
        <v>12113</v>
      </c>
      <c r="H4802" s="142" t="s">
        <v>20652</v>
      </c>
      <c r="I4802" s="142">
        <v>16</v>
      </c>
      <c r="J4802" s="142">
        <v>0</v>
      </c>
      <c r="K4802" s="142">
        <v>0</v>
      </c>
      <c r="L4802" s="142">
        <v>16</v>
      </c>
      <c r="M4802" s="142">
        <v>0</v>
      </c>
    </row>
    <row r="4803" spans="1:13" x14ac:dyDescent="0.45">
      <c r="A4803" s="142" t="s">
        <v>13000</v>
      </c>
      <c r="B4803" s="142" t="s">
        <v>14610</v>
      </c>
      <c r="C4803" s="142" t="s">
        <v>15847</v>
      </c>
      <c r="D4803" s="142" t="s">
        <v>15848</v>
      </c>
      <c r="E4803" s="142" t="s">
        <v>15849</v>
      </c>
      <c r="F4803" s="142" t="s">
        <v>12114</v>
      </c>
      <c r="G4803" s="142" t="s">
        <v>12113</v>
      </c>
      <c r="H4803" s="142" t="s">
        <v>20653</v>
      </c>
      <c r="I4803" s="142">
        <v>1052</v>
      </c>
      <c r="J4803" s="142">
        <v>700</v>
      </c>
      <c r="K4803" s="142">
        <v>0</v>
      </c>
      <c r="L4803" s="142">
        <v>111</v>
      </c>
      <c r="M4803" s="142">
        <v>241</v>
      </c>
    </row>
    <row r="4804" spans="1:13" x14ac:dyDescent="0.45">
      <c r="A4804" s="142" t="s">
        <v>13212</v>
      </c>
      <c r="B4804" s="142" t="s">
        <v>15497</v>
      </c>
      <c r="C4804" s="142" t="s">
        <v>15860</v>
      </c>
      <c r="D4804" s="142" t="s">
        <v>15861</v>
      </c>
      <c r="E4804" s="142" t="s">
        <v>15849</v>
      </c>
      <c r="F4804" s="142" t="s">
        <v>12114</v>
      </c>
      <c r="G4804" s="142" t="s">
        <v>12113</v>
      </c>
      <c r="H4804" s="142" t="s">
        <v>20654</v>
      </c>
      <c r="I4804" s="142">
        <v>12</v>
      </c>
      <c r="J4804" s="142">
        <v>6</v>
      </c>
      <c r="K4804" s="142">
        <v>6</v>
      </c>
      <c r="L4804" s="142">
        <v>0</v>
      </c>
      <c r="M4804" s="142">
        <v>0</v>
      </c>
    </row>
    <row r="4805" spans="1:13" x14ac:dyDescent="0.45">
      <c r="A4805" s="142" t="s">
        <v>13117</v>
      </c>
      <c r="B4805" s="142" t="s">
        <v>14544</v>
      </c>
      <c r="C4805" s="142" t="s">
        <v>15860</v>
      </c>
      <c r="D4805" s="142" t="s">
        <v>15861</v>
      </c>
      <c r="E4805" s="142" t="s">
        <v>15849</v>
      </c>
      <c r="F4805" s="142" t="s">
        <v>12114</v>
      </c>
      <c r="G4805" s="142" t="s">
        <v>12113</v>
      </c>
      <c r="H4805" s="142" t="s">
        <v>20655</v>
      </c>
      <c r="I4805" s="142">
        <v>22</v>
      </c>
      <c r="J4805" s="142">
        <v>0</v>
      </c>
      <c r="K4805" s="142">
        <v>22</v>
      </c>
      <c r="L4805" s="142">
        <v>0</v>
      </c>
      <c r="M4805" s="142">
        <v>0</v>
      </c>
    </row>
    <row r="4806" spans="1:13" x14ac:dyDescent="0.45">
      <c r="A4806" s="142" t="s">
        <v>13098</v>
      </c>
      <c r="B4806" s="142" t="s">
        <v>14528</v>
      </c>
      <c r="C4806" s="142" t="s">
        <v>15860</v>
      </c>
      <c r="D4806" s="142" t="s">
        <v>15861</v>
      </c>
      <c r="E4806" s="142" t="s">
        <v>15849</v>
      </c>
      <c r="F4806" s="142" t="s">
        <v>12114</v>
      </c>
      <c r="G4806" s="142" t="s">
        <v>12113</v>
      </c>
      <c r="H4806" s="142" t="s">
        <v>20656</v>
      </c>
      <c r="I4806" s="142">
        <v>5</v>
      </c>
      <c r="J4806" s="142">
        <v>5</v>
      </c>
      <c r="K4806" s="142">
        <v>0</v>
      </c>
      <c r="L4806" s="142">
        <v>0</v>
      </c>
      <c r="M4806" s="142">
        <v>0</v>
      </c>
    </row>
    <row r="4807" spans="1:13" x14ac:dyDescent="0.45">
      <c r="A4807" s="142" t="s">
        <v>13898</v>
      </c>
      <c r="B4807" s="142" t="s">
        <v>15083</v>
      </c>
      <c r="C4807" s="142" t="s">
        <v>15860</v>
      </c>
      <c r="D4807" s="142" t="s">
        <v>15861</v>
      </c>
      <c r="E4807" s="142" t="s">
        <v>15849</v>
      </c>
      <c r="F4807" s="142" t="s">
        <v>12114</v>
      </c>
      <c r="G4807" s="142" t="s">
        <v>12113</v>
      </c>
      <c r="H4807" s="142" t="s">
        <v>20657</v>
      </c>
      <c r="I4807" s="142">
        <v>19</v>
      </c>
      <c r="J4807" s="142">
        <v>19</v>
      </c>
      <c r="K4807" s="142">
        <v>0</v>
      </c>
      <c r="L4807" s="142">
        <v>0</v>
      </c>
      <c r="M4807" s="142">
        <v>0</v>
      </c>
    </row>
    <row r="4808" spans="1:13" x14ac:dyDescent="0.45">
      <c r="A4808" s="142" t="s">
        <v>13384</v>
      </c>
      <c r="B4808" s="142" t="s">
        <v>15563</v>
      </c>
      <c r="C4808" s="142" t="s">
        <v>15860</v>
      </c>
      <c r="D4808" s="142" t="s">
        <v>15861</v>
      </c>
      <c r="E4808" s="142" t="s">
        <v>15849</v>
      </c>
      <c r="F4808" s="142" t="s">
        <v>12114</v>
      </c>
      <c r="G4808" s="142" t="s">
        <v>12113</v>
      </c>
      <c r="H4808" s="142" t="s">
        <v>20658</v>
      </c>
      <c r="I4808" s="142">
        <v>34</v>
      </c>
      <c r="J4808" s="142">
        <v>26</v>
      </c>
      <c r="K4808" s="142">
        <v>0</v>
      </c>
      <c r="L4808" s="142">
        <v>8</v>
      </c>
      <c r="M4808" s="142">
        <v>0</v>
      </c>
    </row>
    <row r="4809" spans="1:13" x14ac:dyDescent="0.45">
      <c r="A4809" s="142" t="s">
        <v>13001</v>
      </c>
      <c r="B4809" s="142" t="s">
        <v>15506</v>
      </c>
      <c r="C4809" s="142" t="s">
        <v>15847</v>
      </c>
      <c r="D4809" s="142" t="s">
        <v>15848</v>
      </c>
      <c r="E4809" s="142" t="s">
        <v>15849</v>
      </c>
      <c r="F4809" s="142" t="s">
        <v>12114</v>
      </c>
      <c r="G4809" s="142" t="s">
        <v>12113</v>
      </c>
      <c r="H4809" s="142" t="s">
        <v>20659</v>
      </c>
      <c r="I4809" s="142">
        <v>22</v>
      </c>
      <c r="J4809" s="142">
        <v>20</v>
      </c>
      <c r="K4809" s="142">
        <v>0</v>
      </c>
      <c r="L4809" s="142">
        <v>2</v>
      </c>
      <c r="M4809" s="142">
        <v>0</v>
      </c>
    </row>
    <row r="4810" spans="1:13" x14ac:dyDescent="0.45">
      <c r="A4810" s="142" t="s">
        <v>13215</v>
      </c>
      <c r="B4810" s="142" t="s">
        <v>15334</v>
      </c>
      <c r="C4810" s="142" t="s">
        <v>15847</v>
      </c>
      <c r="D4810" s="142" t="s">
        <v>15848</v>
      </c>
      <c r="E4810" s="142" t="s">
        <v>15849</v>
      </c>
      <c r="F4810" s="142" t="s">
        <v>12114</v>
      </c>
      <c r="G4810" s="142" t="s">
        <v>12113</v>
      </c>
      <c r="H4810" s="142" t="s">
        <v>20660</v>
      </c>
      <c r="I4810" s="142">
        <v>1359</v>
      </c>
      <c r="J4810" s="142">
        <v>1203</v>
      </c>
      <c r="K4810" s="142">
        <v>28</v>
      </c>
      <c r="L4810" s="142">
        <v>68</v>
      </c>
      <c r="M4810" s="142">
        <v>60</v>
      </c>
    </row>
    <row r="4811" spans="1:13" x14ac:dyDescent="0.45">
      <c r="A4811" s="142" t="s">
        <v>13003</v>
      </c>
      <c r="B4811" s="142" t="s">
        <v>15245</v>
      </c>
      <c r="C4811" s="142" t="s">
        <v>15847</v>
      </c>
      <c r="D4811" s="142" t="s">
        <v>15848</v>
      </c>
      <c r="E4811" s="142" t="s">
        <v>15849</v>
      </c>
      <c r="F4811" s="142" t="s">
        <v>12114</v>
      </c>
      <c r="G4811" s="142" t="s">
        <v>12113</v>
      </c>
      <c r="H4811" s="142" t="s">
        <v>20661</v>
      </c>
      <c r="I4811" s="142">
        <v>171</v>
      </c>
      <c r="J4811" s="142">
        <v>0</v>
      </c>
      <c r="K4811" s="142">
        <v>0</v>
      </c>
      <c r="L4811" s="142">
        <v>171</v>
      </c>
      <c r="M4811" s="142">
        <v>0</v>
      </c>
    </row>
    <row r="4812" spans="1:13" x14ac:dyDescent="0.45">
      <c r="A4812" s="142" t="s">
        <v>13337</v>
      </c>
      <c r="B4812" s="142" t="s">
        <v>15301</v>
      </c>
      <c r="C4812" s="142" t="s">
        <v>15860</v>
      </c>
      <c r="D4812" s="142" t="s">
        <v>15861</v>
      </c>
      <c r="E4812" s="142" t="s">
        <v>15849</v>
      </c>
      <c r="F4812" s="142" t="s">
        <v>12114</v>
      </c>
      <c r="G4812" s="142" t="s">
        <v>12113</v>
      </c>
      <c r="H4812" s="142" t="s">
        <v>20662</v>
      </c>
      <c r="I4812" s="142">
        <v>208</v>
      </c>
      <c r="J4812" s="142">
        <v>208</v>
      </c>
      <c r="K4812" s="142">
        <v>0</v>
      </c>
      <c r="L4812" s="142">
        <v>0</v>
      </c>
      <c r="M4812" s="142">
        <v>0</v>
      </c>
    </row>
    <row r="4813" spans="1:13" x14ac:dyDescent="0.45">
      <c r="A4813" s="142" t="s">
        <v>13004</v>
      </c>
      <c r="B4813" s="142" t="s">
        <v>15492</v>
      </c>
      <c r="C4813" s="142" t="s">
        <v>15847</v>
      </c>
      <c r="D4813" s="142" t="s">
        <v>15848</v>
      </c>
      <c r="E4813" s="142" t="s">
        <v>15849</v>
      </c>
      <c r="F4813" s="142" t="s">
        <v>12114</v>
      </c>
      <c r="G4813" s="142" t="s">
        <v>12113</v>
      </c>
      <c r="H4813" s="142" t="s">
        <v>20663</v>
      </c>
      <c r="I4813" s="142">
        <v>2883</v>
      </c>
      <c r="J4813" s="142">
        <v>2322</v>
      </c>
      <c r="K4813" s="142">
        <v>0</v>
      </c>
      <c r="L4813" s="142">
        <v>323</v>
      </c>
      <c r="M4813" s="142">
        <v>238</v>
      </c>
    </row>
    <row r="4814" spans="1:13" x14ac:dyDescent="0.45">
      <c r="A4814" s="142" t="s">
        <v>13124</v>
      </c>
      <c r="B4814" s="142" t="s">
        <v>15554</v>
      </c>
      <c r="C4814" s="142" t="s">
        <v>15860</v>
      </c>
      <c r="D4814" s="142" t="s">
        <v>15861</v>
      </c>
      <c r="E4814" s="142" t="s">
        <v>15849</v>
      </c>
      <c r="F4814" s="142" t="s">
        <v>12114</v>
      </c>
      <c r="G4814" s="142" t="s">
        <v>12113</v>
      </c>
      <c r="H4814" s="142" t="s">
        <v>20664</v>
      </c>
      <c r="I4814" s="142">
        <v>5</v>
      </c>
      <c r="J4814" s="142">
        <v>5</v>
      </c>
      <c r="K4814" s="142">
        <v>0</v>
      </c>
      <c r="L4814" s="142">
        <v>0</v>
      </c>
      <c r="M4814" s="142">
        <v>0</v>
      </c>
    </row>
    <row r="4815" spans="1:13" x14ac:dyDescent="0.45">
      <c r="A4815" s="142" t="s">
        <v>13899</v>
      </c>
      <c r="B4815" s="142" t="s">
        <v>14684</v>
      </c>
      <c r="C4815" s="142" t="s">
        <v>15860</v>
      </c>
      <c r="D4815" s="142" t="s">
        <v>15861</v>
      </c>
      <c r="E4815" s="142" t="s">
        <v>15849</v>
      </c>
      <c r="F4815" s="142" t="s">
        <v>12114</v>
      </c>
      <c r="G4815" s="142" t="s">
        <v>12113</v>
      </c>
      <c r="H4815" s="142" t="s">
        <v>20665</v>
      </c>
      <c r="I4815" s="142">
        <v>33</v>
      </c>
      <c r="J4815" s="142">
        <v>33</v>
      </c>
      <c r="K4815" s="142">
        <v>0</v>
      </c>
      <c r="L4815" s="142">
        <v>0</v>
      </c>
      <c r="M4815" s="142">
        <v>0</v>
      </c>
    </row>
    <row r="4816" spans="1:13" x14ac:dyDescent="0.45">
      <c r="A4816" s="142" t="s">
        <v>13900</v>
      </c>
      <c r="B4816" s="142" t="s">
        <v>15042</v>
      </c>
      <c r="C4816" s="142" t="s">
        <v>15860</v>
      </c>
      <c r="D4816" s="142" t="s">
        <v>15861</v>
      </c>
      <c r="E4816" s="142" t="s">
        <v>15849</v>
      </c>
      <c r="F4816" s="142" t="s">
        <v>12114</v>
      </c>
      <c r="G4816" s="142" t="s">
        <v>12113</v>
      </c>
      <c r="H4816" s="142" t="s">
        <v>20666</v>
      </c>
      <c r="I4816" s="142">
        <v>38</v>
      </c>
      <c r="J4816" s="142">
        <v>28</v>
      </c>
      <c r="K4816" s="142">
        <v>10</v>
      </c>
      <c r="L4816" s="142">
        <v>0</v>
      </c>
      <c r="M4816" s="142">
        <v>0</v>
      </c>
    </row>
    <row r="4817" spans="1:13" x14ac:dyDescent="0.45">
      <c r="A4817" s="142" t="s">
        <v>13855</v>
      </c>
      <c r="B4817" s="142" t="s">
        <v>15298</v>
      </c>
      <c r="C4817" s="142" t="s">
        <v>15860</v>
      </c>
      <c r="D4817" s="142" t="s">
        <v>15861</v>
      </c>
      <c r="E4817" s="142" t="s">
        <v>15849</v>
      </c>
      <c r="F4817" s="142" t="s">
        <v>12114</v>
      </c>
      <c r="G4817" s="142" t="s">
        <v>12113</v>
      </c>
      <c r="H4817" s="142" t="s">
        <v>20667</v>
      </c>
      <c r="I4817" s="142">
        <v>29</v>
      </c>
      <c r="J4817" s="142">
        <v>29</v>
      </c>
      <c r="K4817" s="142">
        <v>0</v>
      </c>
      <c r="L4817" s="142">
        <v>0</v>
      </c>
      <c r="M4817" s="142">
        <v>0</v>
      </c>
    </row>
    <row r="4818" spans="1:13" x14ac:dyDescent="0.45">
      <c r="A4818" s="142" t="s">
        <v>13901</v>
      </c>
      <c r="B4818" s="142" t="s">
        <v>15082</v>
      </c>
      <c r="C4818" s="142" t="s">
        <v>15860</v>
      </c>
      <c r="D4818" s="142" t="s">
        <v>15861</v>
      </c>
      <c r="E4818" s="142" t="s">
        <v>15849</v>
      </c>
      <c r="F4818" s="142" t="s">
        <v>12114</v>
      </c>
      <c r="G4818" s="142" t="s">
        <v>12113</v>
      </c>
      <c r="H4818" s="142" t="s">
        <v>20668</v>
      </c>
      <c r="I4818" s="142">
        <v>15</v>
      </c>
      <c r="J4818" s="142">
        <v>15</v>
      </c>
      <c r="K4818" s="142">
        <v>0</v>
      </c>
      <c r="L4818" s="142">
        <v>0</v>
      </c>
      <c r="M4818" s="142">
        <v>0</v>
      </c>
    </row>
    <row r="4819" spans="1:13" x14ac:dyDescent="0.45">
      <c r="A4819" s="142" t="s">
        <v>13902</v>
      </c>
      <c r="B4819" s="142" t="s">
        <v>14951</v>
      </c>
      <c r="C4819" s="142" t="s">
        <v>15860</v>
      </c>
      <c r="D4819" s="142" t="s">
        <v>15861</v>
      </c>
      <c r="E4819" s="142" t="s">
        <v>15849</v>
      </c>
      <c r="F4819" s="142" t="s">
        <v>12114</v>
      </c>
      <c r="G4819" s="142" t="s">
        <v>12113</v>
      </c>
      <c r="H4819" s="142" t="s">
        <v>20669</v>
      </c>
      <c r="I4819" s="142">
        <v>42</v>
      </c>
      <c r="J4819" s="142">
        <v>41</v>
      </c>
      <c r="K4819" s="142">
        <v>1</v>
      </c>
      <c r="L4819" s="142">
        <v>0</v>
      </c>
      <c r="M4819" s="142">
        <v>0</v>
      </c>
    </row>
    <row r="4820" spans="1:13" x14ac:dyDescent="0.45">
      <c r="A4820" s="142" t="s">
        <v>13100</v>
      </c>
      <c r="B4820" s="142" t="s">
        <v>15603</v>
      </c>
      <c r="C4820" s="142" t="s">
        <v>15847</v>
      </c>
      <c r="D4820" s="142" t="s">
        <v>15848</v>
      </c>
      <c r="E4820" s="142" t="s">
        <v>15849</v>
      </c>
      <c r="F4820" s="142" t="s">
        <v>12114</v>
      </c>
      <c r="G4820" s="142" t="s">
        <v>12113</v>
      </c>
      <c r="H4820" s="142" t="s">
        <v>20670</v>
      </c>
      <c r="I4820" s="142">
        <v>2</v>
      </c>
      <c r="J4820" s="142">
        <v>2</v>
      </c>
      <c r="K4820" s="142">
        <v>0</v>
      </c>
      <c r="L4820" s="142">
        <v>0</v>
      </c>
      <c r="M4820" s="142">
        <v>0</v>
      </c>
    </row>
    <row r="4821" spans="1:13" x14ac:dyDescent="0.45">
      <c r="A4821" s="142" t="s">
        <v>13005</v>
      </c>
      <c r="B4821" s="142" t="s">
        <v>15475</v>
      </c>
      <c r="C4821" s="142" t="s">
        <v>15847</v>
      </c>
      <c r="D4821" s="142" t="s">
        <v>15848</v>
      </c>
      <c r="E4821" s="142" t="s">
        <v>15849</v>
      </c>
      <c r="F4821" s="142" t="s">
        <v>12114</v>
      </c>
      <c r="G4821" s="142" t="s">
        <v>12113</v>
      </c>
      <c r="H4821" s="142" t="s">
        <v>20671</v>
      </c>
      <c r="I4821" s="142">
        <v>6614</v>
      </c>
      <c r="J4821" s="142">
        <v>5619</v>
      </c>
      <c r="K4821" s="142">
        <v>0</v>
      </c>
      <c r="L4821" s="142">
        <v>259</v>
      </c>
      <c r="M4821" s="142">
        <v>736</v>
      </c>
    </row>
    <row r="4822" spans="1:13" x14ac:dyDescent="0.45">
      <c r="A4822" s="142" t="s">
        <v>13029</v>
      </c>
      <c r="B4822" s="142" t="s">
        <v>14665</v>
      </c>
      <c r="C4822" s="142" t="s">
        <v>15847</v>
      </c>
      <c r="D4822" s="142" t="s">
        <v>15848</v>
      </c>
      <c r="E4822" s="142" t="s">
        <v>15849</v>
      </c>
      <c r="F4822" s="142" t="s">
        <v>12114</v>
      </c>
      <c r="G4822" s="142" t="s">
        <v>12113</v>
      </c>
      <c r="H4822" s="142" t="s">
        <v>20672</v>
      </c>
      <c r="I4822" s="142">
        <v>17</v>
      </c>
      <c r="J4822" s="142">
        <v>0</v>
      </c>
      <c r="K4822" s="142">
        <v>0</v>
      </c>
      <c r="L4822" s="142">
        <v>0</v>
      </c>
      <c r="M4822" s="142">
        <v>17</v>
      </c>
    </row>
    <row r="4823" spans="1:13" x14ac:dyDescent="0.45">
      <c r="A4823" s="142" t="s">
        <v>13577</v>
      </c>
      <c r="B4823" s="142" t="s">
        <v>14442</v>
      </c>
      <c r="C4823" s="142" t="s">
        <v>15860</v>
      </c>
      <c r="D4823" s="142" t="s">
        <v>15861</v>
      </c>
      <c r="E4823" s="142" t="s">
        <v>15849</v>
      </c>
      <c r="F4823" s="142" t="s">
        <v>12114</v>
      </c>
      <c r="G4823" s="142" t="s">
        <v>12113</v>
      </c>
      <c r="H4823" s="142" t="s">
        <v>20673</v>
      </c>
      <c r="I4823" s="142">
        <v>3</v>
      </c>
      <c r="J4823" s="142">
        <v>3</v>
      </c>
      <c r="K4823" s="142">
        <v>0</v>
      </c>
      <c r="L4823" s="142">
        <v>0</v>
      </c>
      <c r="M4823" s="142">
        <v>0</v>
      </c>
    </row>
    <row r="4824" spans="1:13" x14ac:dyDescent="0.45">
      <c r="A4824" s="142" t="s">
        <v>13903</v>
      </c>
      <c r="B4824" s="142" t="s">
        <v>15065</v>
      </c>
      <c r="C4824" s="142" t="s">
        <v>15860</v>
      </c>
      <c r="D4824" s="142" t="s">
        <v>15861</v>
      </c>
      <c r="E4824" s="142" t="s">
        <v>15849</v>
      </c>
      <c r="F4824" s="142" t="s">
        <v>12114</v>
      </c>
      <c r="G4824" s="142" t="s">
        <v>12113</v>
      </c>
      <c r="H4824" s="142" t="s">
        <v>20674</v>
      </c>
      <c r="I4824" s="142">
        <v>18</v>
      </c>
      <c r="J4824" s="142">
        <v>18</v>
      </c>
      <c r="K4824" s="142">
        <v>0</v>
      </c>
      <c r="L4824" s="142">
        <v>0</v>
      </c>
      <c r="M4824" s="142">
        <v>0</v>
      </c>
    </row>
    <row r="4825" spans="1:13" x14ac:dyDescent="0.45">
      <c r="A4825" s="142" t="s">
        <v>13006</v>
      </c>
      <c r="B4825" s="142" t="s">
        <v>15288</v>
      </c>
      <c r="C4825" s="142" t="s">
        <v>15847</v>
      </c>
      <c r="D4825" s="142" t="s">
        <v>15848</v>
      </c>
      <c r="E4825" s="142" t="s">
        <v>15849</v>
      </c>
      <c r="F4825" s="142" t="s">
        <v>12114</v>
      </c>
      <c r="G4825" s="142" t="s">
        <v>12113</v>
      </c>
      <c r="H4825" s="142" t="s">
        <v>20675</v>
      </c>
      <c r="I4825" s="142">
        <v>163</v>
      </c>
      <c r="J4825" s="142">
        <v>40</v>
      </c>
      <c r="K4825" s="142">
        <v>0</v>
      </c>
      <c r="L4825" s="142">
        <v>121</v>
      </c>
      <c r="M4825" s="142">
        <v>2</v>
      </c>
    </row>
    <row r="4826" spans="1:13" x14ac:dyDescent="0.45">
      <c r="A4826" s="142" t="s">
        <v>13007</v>
      </c>
      <c r="B4826" s="142" t="s">
        <v>15262</v>
      </c>
      <c r="C4826" s="142" t="s">
        <v>15847</v>
      </c>
      <c r="D4826" s="142" t="s">
        <v>15848</v>
      </c>
      <c r="E4826" s="142" t="s">
        <v>15849</v>
      </c>
      <c r="F4826" s="142" t="s">
        <v>12114</v>
      </c>
      <c r="G4826" s="142" t="s">
        <v>12113</v>
      </c>
      <c r="H4826" s="142" t="s">
        <v>20676</v>
      </c>
      <c r="I4826" s="142">
        <v>147</v>
      </c>
      <c r="J4826" s="142">
        <v>41</v>
      </c>
      <c r="K4826" s="142">
        <v>0</v>
      </c>
      <c r="L4826" s="142">
        <v>40</v>
      </c>
      <c r="M4826" s="142">
        <v>66</v>
      </c>
    </row>
    <row r="4827" spans="1:13" x14ac:dyDescent="0.45">
      <c r="A4827" s="142" t="s">
        <v>13904</v>
      </c>
      <c r="B4827" s="142" t="s">
        <v>15048</v>
      </c>
      <c r="C4827" s="142" t="s">
        <v>15860</v>
      </c>
      <c r="D4827" s="142" t="s">
        <v>15861</v>
      </c>
      <c r="E4827" s="142" t="s">
        <v>15849</v>
      </c>
      <c r="F4827" s="142" t="s">
        <v>12114</v>
      </c>
      <c r="G4827" s="142" t="s">
        <v>12113</v>
      </c>
      <c r="H4827" s="142" t="s">
        <v>20677</v>
      </c>
      <c r="I4827" s="142">
        <v>27</v>
      </c>
      <c r="J4827" s="142">
        <v>0</v>
      </c>
      <c r="K4827" s="142">
        <v>0</v>
      </c>
      <c r="L4827" s="142">
        <v>27</v>
      </c>
      <c r="M4827" s="142">
        <v>0</v>
      </c>
    </row>
    <row r="4828" spans="1:13" x14ac:dyDescent="0.45">
      <c r="A4828" s="142" t="s">
        <v>13718</v>
      </c>
      <c r="B4828" s="142" t="s">
        <v>15565</v>
      </c>
      <c r="C4828" s="142" t="s">
        <v>15860</v>
      </c>
      <c r="D4828" s="142" t="s">
        <v>15861</v>
      </c>
      <c r="E4828" s="142" t="s">
        <v>15849</v>
      </c>
      <c r="F4828" s="142" t="s">
        <v>12114</v>
      </c>
      <c r="G4828" s="142" t="s">
        <v>12113</v>
      </c>
      <c r="H4828" s="142" t="s">
        <v>20678</v>
      </c>
      <c r="I4828" s="142">
        <v>132</v>
      </c>
      <c r="J4828" s="142">
        <v>132</v>
      </c>
      <c r="K4828" s="142">
        <v>0</v>
      </c>
      <c r="L4828" s="142">
        <v>0</v>
      </c>
      <c r="M4828" s="142">
        <v>0</v>
      </c>
    </row>
    <row r="4829" spans="1:13" x14ac:dyDescent="0.45">
      <c r="A4829" s="142" t="s">
        <v>13103</v>
      </c>
      <c r="B4829" s="142" t="s">
        <v>14623</v>
      </c>
      <c r="C4829" s="142" t="s">
        <v>15847</v>
      </c>
      <c r="D4829" s="142" t="s">
        <v>15848</v>
      </c>
      <c r="E4829" s="142" t="s">
        <v>15849</v>
      </c>
      <c r="F4829" s="142" t="s">
        <v>12114</v>
      </c>
      <c r="G4829" s="142" t="s">
        <v>12113</v>
      </c>
      <c r="H4829" s="142" t="s">
        <v>20679</v>
      </c>
      <c r="I4829" s="142">
        <v>300</v>
      </c>
      <c r="J4829" s="142">
        <v>300</v>
      </c>
      <c r="K4829" s="142">
        <v>0</v>
      </c>
      <c r="L4829" s="142">
        <v>0</v>
      </c>
      <c r="M4829" s="142">
        <v>0</v>
      </c>
    </row>
    <row r="4830" spans="1:13" x14ac:dyDescent="0.45">
      <c r="A4830" s="142" t="s">
        <v>13054</v>
      </c>
      <c r="B4830" s="142" t="s">
        <v>15604</v>
      </c>
      <c r="C4830" s="142" t="s">
        <v>15847</v>
      </c>
      <c r="D4830" s="142" t="s">
        <v>15848</v>
      </c>
      <c r="E4830" s="142" t="s">
        <v>15849</v>
      </c>
      <c r="F4830" s="142" t="s">
        <v>12114</v>
      </c>
      <c r="G4830" s="142" t="s">
        <v>12113</v>
      </c>
      <c r="H4830" s="142" t="s">
        <v>20680</v>
      </c>
      <c r="I4830" s="142">
        <v>5</v>
      </c>
      <c r="J4830" s="142">
        <v>0</v>
      </c>
      <c r="K4830" s="142">
        <v>0</v>
      </c>
      <c r="L4830" s="142">
        <v>0</v>
      </c>
      <c r="M4830" s="142">
        <v>5</v>
      </c>
    </row>
    <row r="4831" spans="1:13" x14ac:dyDescent="0.45">
      <c r="A4831" s="142" t="s">
        <v>13055</v>
      </c>
      <c r="B4831" s="142" t="s">
        <v>14595</v>
      </c>
      <c r="C4831" s="142" t="s">
        <v>15847</v>
      </c>
      <c r="D4831" s="142" t="s">
        <v>15848</v>
      </c>
      <c r="E4831" s="142" t="s">
        <v>15849</v>
      </c>
      <c r="F4831" s="142" t="s">
        <v>12114</v>
      </c>
      <c r="G4831" s="142" t="s">
        <v>12113</v>
      </c>
      <c r="H4831" s="142" t="s">
        <v>20681</v>
      </c>
      <c r="I4831" s="142">
        <v>284</v>
      </c>
      <c r="J4831" s="142">
        <v>194</v>
      </c>
      <c r="K4831" s="142">
        <v>0</v>
      </c>
      <c r="L4831" s="142">
        <v>7</v>
      </c>
      <c r="M4831" s="142">
        <v>83</v>
      </c>
    </row>
    <row r="4832" spans="1:13" x14ac:dyDescent="0.45">
      <c r="A4832" s="142" t="s">
        <v>13104</v>
      </c>
      <c r="B4832" s="142" t="s">
        <v>14622</v>
      </c>
      <c r="C4832" s="142" t="s">
        <v>15847</v>
      </c>
      <c r="D4832" s="142" t="s">
        <v>15848</v>
      </c>
      <c r="E4832" s="142" t="s">
        <v>15849</v>
      </c>
      <c r="F4832" s="142" t="s">
        <v>12114</v>
      </c>
      <c r="G4832" s="142" t="s">
        <v>12113</v>
      </c>
      <c r="H4832" s="142" t="s">
        <v>20682</v>
      </c>
      <c r="I4832" s="142">
        <v>2377</v>
      </c>
      <c r="J4832" s="142">
        <v>1907</v>
      </c>
      <c r="K4832" s="142">
        <v>0</v>
      </c>
      <c r="L4832" s="142">
        <v>106</v>
      </c>
      <c r="M4832" s="142">
        <v>364</v>
      </c>
    </row>
    <row r="4833" spans="1:13" x14ac:dyDescent="0.45">
      <c r="A4833" s="142" t="s">
        <v>13218</v>
      </c>
      <c r="B4833" s="142" t="s">
        <v>15316</v>
      </c>
      <c r="C4833" s="142" t="s">
        <v>15860</v>
      </c>
      <c r="D4833" s="142" t="s">
        <v>15861</v>
      </c>
      <c r="E4833" s="142" t="s">
        <v>15849</v>
      </c>
      <c r="F4833" s="142" t="s">
        <v>12114</v>
      </c>
      <c r="G4833" s="142" t="s">
        <v>12113</v>
      </c>
      <c r="H4833" s="142" t="s">
        <v>20683</v>
      </c>
      <c r="I4833" s="142">
        <v>22</v>
      </c>
      <c r="J4833" s="142">
        <v>22</v>
      </c>
      <c r="K4833" s="142">
        <v>0</v>
      </c>
      <c r="L4833" s="142">
        <v>0</v>
      </c>
      <c r="M4833" s="142">
        <v>0</v>
      </c>
    </row>
    <row r="4834" spans="1:13" x14ac:dyDescent="0.45">
      <c r="A4834" s="142" t="s">
        <v>13386</v>
      </c>
      <c r="B4834" s="142" t="s">
        <v>15472</v>
      </c>
      <c r="C4834" s="142" t="s">
        <v>15847</v>
      </c>
      <c r="D4834" s="142" t="s">
        <v>15848</v>
      </c>
      <c r="E4834" s="142" t="s">
        <v>15849</v>
      </c>
      <c r="F4834" s="142" t="s">
        <v>12114</v>
      </c>
      <c r="G4834" s="142" t="s">
        <v>12113</v>
      </c>
      <c r="H4834" s="142" t="s">
        <v>20684</v>
      </c>
      <c r="I4834" s="142">
        <v>6500</v>
      </c>
      <c r="J4834" s="142">
        <v>6417</v>
      </c>
      <c r="K4834" s="142">
        <v>0</v>
      </c>
      <c r="L4834" s="142">
        <v>60</v>
      </c>
      <c r="M4834" s="142">
        <v>23</v>
      </c>
    </row>
    <row r="4835" spans="1:13" x14ac:dyDescent="0.45">
      <c r="A4835" s="142" t="s">
        <v>13831</v>
      </c>
      <c r="B4835" s="142" t="s">
        <v>14485</v>
      </c>
      <c r="C4835" s="142" t="s">
        <v>15860</v>
      </c>
      <c r="D4835" s="142" t="s">
        <v>15861</v>
      </c>
      <c r="E4835" s="142" t="s">
        <v>15849</v>
      </c>
      <c r="F4835" s="142" t="s">
        <v>12114</v>
      </c>
      <c r="G4835" s="142" t="s">
        <v>12113</v>
      </c>
      <c r="H4835" s="142" t="s">
        <v>20685</v>
      </c>
      <c r="I4835" s="142">
        <v>110</v>
      </c>
      <c r="J4835" s="142">
        <v>110</v>
      </c>
      <c r="K4835" s="142">
        <v>0</v>
      </c>
      <c r="L4835" s="142">
        <v>0</v>
      </c>
      <c r="M4835" s="142">
        <v>0</v>
      </c>
    </row>
    <row r="4836" spans="1:13" x14ac:dyDescent="0.45">
      <c r="A4836" s="142" t="s">
        <v>13033</v>
      </c>
      <c r="B4836" s="142" t="s">
        <v>15276</v>
      </c>
      <c r="C4836" s="142" t="s">
        <v>15847</v>
      </c>
      <c r="D4836" s="142" t="s">
        <v>15848</v>
      </c>
      <c r="E4836" s="142" t="s">
        <v>15849</v>
      </c>
      <c r="F4836" s="142" t="s">
        <v>12114</v>
      </c>
      <c r="G4836" s="142" t="s">
        <v>12113</v>
      </c>
      <c r="H4836" s="142" t="s">
        <v>20686</v>
      </c>
      <c r="I4836" s="142">
        <v>6</v>
      </c>
      <c r="J4836" s="142">
        <v>0</v>
      </c>
      <c r="K4836" s="142">
        <v>0</v>
      </c>
      <c r="L4836" s="142">
        <v>6</v>
      </c>
      <c r="M4836" s="142">
        <v>0</v>
      </c>
    </row>
    <row r="4837" spans="1:13" x14ac:dyDescent="0.45">
      <c r="A4837" s="142" t="s">
        <v>13578</v>
      </c>
      <c r="B4837" s="142" t="s">
        <v>14488</v>
      </c>
      <c r="C4837" s="142" t="s">
        <v>15860</v>
      </c>
      <c r="D4837" s="142" t="s">
        <v>15861</v>
      </c>
      <c r="E4837" s="142" t="s">
        <v>15849</v>
      </c>
      <c r="F4837" s="142" t="s">
        <v>12114</v>
      </c>
      <c r="G4837" s="142" t="s">
        <v>12113</v>
      </c>
      <c r="H4837" s="142" t="s">
        <v>20687</v>
      </c>
      <c r="I4837" s="142">
        <v>651</v>
      </c>
      <c r="J4837" s="142">
        <v>0</v>
      </c>
      <c r="K4837" s="142">
        <v>0</v>
      </c>
      <c r="L4837" s="142">
        <v>651</v>
      </c>
      <c r="M4837" s="142">
        <v>0</v>
      </c>
    </row>
    <row r="4838" spans="1:13" x14ac:dyDescent="0.45">
      <c r="A4838" s="142" t="s">
        <v>13037</v>
      </c>
      <c r="B4838" s="142" t="s">
        <v>14519</v>
      </c>
      <c r="C4838" s="142" t="s">
        <v>15847</v>
      </c>
      <c r="D4838" s="142" t="s">
        <v>15848</v>
      </c>
      <c r="E4838" s="142" t="s">
        <v>15849</v>
      </c>
      <c r="F4838" s="142" t="s">
        <v>12114</v>
      </c>
      <c r="G4838" s="142" t="s">
        <v>12113</v>
      </c>
      <c r="H4838" s="142" t="s">
        <v>20688</v>
      </c>
      <c r="I4838" s="142">
        <v>8</v>
      </c>
      <c r="J4838" s="142">
        <v>0</v>
      </c>
      <c r="K4838" s="142">
        <v>0</v>
      </c>
      <c r="L4838" s="142">
        <v>8</v>
      </c>
      <c r="M4838" s="142">
        <v>0</v>
      </c>
    </row>
    <row r="4839" spans="1:13" x14ac:dyDescent="0.45">
      <c r="A4839" s="142" t="s">
        <v>13039</v>
      </c>
      <c r="B4839" s="142" t="s">
        <v>14647</v>
      </c>
      <c r="C4839" s="142" t="s">
        <v>15847</v>
      </c>
      <c r="D4839" s="142" t="s">
        <v>15848</v>
      </c>
      <c r="E4839" s="142" t="s">
        <v>15849</v>
      </c>
      <c r="F4839" s="142" t="s">
        <v>12114</v>
      </c>
      <c r="G4839" s="142" t="s">
        <v>12113</v>
      </c>
      <c r="H4839" s="142" t="s">
        <v>20689</v>
      </c>
      <c r="I4839" s="142">
        <v>23</v>
      </c>
      <c r="J4839" s="142">
        <v>23</v>
      </c>
      <c r="K4839" s="142">
        <v>0</v>
      </c>
      <c r="L4839" s="142">
        <v>0</v>
      </c>
      <c r="M4839" s="142">
        <v>0</v>
      </c>
    </row>
    <row r="4840" spans="1:13" x14ac:dyDescent="0.45">
      <c r="A4840" s="142" t="s">
        <v>13009</v>
      </c>
      <c r="B4840" s="142" t="s">
        <v>15256</v>
      </c>
      <c r="C4840" s="142" t="s">
        <v>15847</v>
      </c>
      <c r="D4840" s="142" t="s">
        <v>15848</v>
      </c>
      <c r="E4840" s="142" t="s">
        <v>15849</v>
      </c>
      <c r="F4840" s="142" t="s">
        <v>12114</v>
      </c>
      <c r="G4840" s="142" t="s">
        <v>12113</v>
      </c>
      <c r="H4840" s="142" t="s">
        <v>20690</v>
      </c>
      <c r="I4840" s="142">
        <v>61</v>
      </c>
      <c r="J4840" s="142">
        <v>0</v>
      </c>
      <c r="K4840" s="142">
        <v>0</v>
      </c>
      <c r="L4840" s="142">
        <v>61</v>
      </c>
      <c r="M4840" s="142">
        <v>0</v>
      </c>
    </row>
    <row r="4841" spans="1:13" x14ac:dyDescent="0.45">
      <c r="A4841" s="142" t="s">
        <v>13011</v>
      </c>
      <c r="B4841" s="142" t="s">
        <v>14695</v>
      </c>
      <c r="C4841" s="142" t="s">
        <v>15847</v>
      </c>
      <c r="D4841" s="142" t="s">
        <v>15848</v>
      </c>
      <c r="E4841" s="142" t="s">
        <v>15849</v>
      </c>
      <c r="F4841" s="142" t="s">
        <v>12114</v>
      </c>
      <c r="G4841" s="142" t="s">
        <v>12113</v>
      </c>
      <c r="H4841" s="142" t="s">
        <v>20691</v>
      </c>
      <c r="I4841" s="142">
        <v>1266</v>
      </c>
      <c r="J4841" s="142">
        <v>989</v>
      </c>
      <c r="K4841" s="142">
        <v>26</v>
      </c>
      <c r="L4841" s="142">
        <v>100</v>
      </c>
      <c r="M4841" s="142">
        <v>151</v>
      </c>
    </row>
    <row r="4842" spans="1:13" x14ac:dyDescent="0.45">
      <c r="A4842" s="142" t="s">
        <v>13041</v>
      </c>
      <c r="B4842" s="142" t="s">
        <v>14441</v>
      </c>
      <c r="C4842" s="142" t="s">
        <v>15847</v>
      </c>
      <c r="D4842" s="142" t="s">
        <v>15848</v>
      </c>
      <c r="E4842" s="142" t="s">
        <v>15849</v>
      </c>
      <c r="F4842" s="142" t="s">
        <v>12114</v>
      </c>
      <c r="G4842" s="142" t="s">
        <v>12113</v>
      </c>
      <c r="H4842" s="142" t="s">
        <v>20692</v>
      </c>
      <c r="I4842" s="142">
        <v>9</v>
      </c>
      <c r="J4842" s="142">
        <v>0</v>
      </c>
      <c r="K4842" s="142">
        <v>0</v>
      </c>
      <c r="L4842" s="142">
        <v>0</v>
      </c>
      <c r="M4842" s="142">
        <v>9</v>
      </c>
    </row>
    <row r="4843" spans="1:13" x14ac:dyDescent="0.45">
      <c r="A4843" s="142" t="s">
        <v>13137</v>
      </c>
      <c r="B4843" s="142" t="s">
        <v>14690</v>
      </c>
      <c r="C4843" s="142" t="s">
        <v>15860</v>
      </c>
      <c r="D4843" s="142" t="s">
        <v>15861</v>
      </c>
      <c r="E4843" s="142" t="s">
        <v>15849</v>
      </c>
      <c r="F4843" s="142" t="s">
        <v>12114</v>
      </c>
      <c r="G4843" s="142" t="s">
        <v>12113</v>
      </c>
      <c r="H4843" s="142" t="s">
        <v>20693</v>
      </c>
      <c r="I4843" s="142">
        <v>25</v>
      </c>
      <c r="J4843" s="142">
        <v>25</v>
      </c>
      <c r="K4843" s="142">
        <v>0</v>
      </c>
      <c r="L4843" s="142">
        <v>0</v>
      </c>
      <c r="M4843" s="142">
        <v>0</v>
      </c>
    </row>
    <row r="4844" spans="1:13" x14ac:dyDescent="0.45">
      <c r="A4844" s="142" t="s">
        <v>13443</v>
      </c>
      <c r="B4844" s="142" t="s">
        <v>15531</v>
      </c>
      <c r="C4844" s="142" t="s">
        <v>15860</v>
      </c>
      <c r="D4844" s="142" t="s">
        <v>15861</v>
      </c>
      <c r="E4844" s="142" t="s">
        <v>15849</v>
      </c>
      <c r="F4844" s="142" t="s">
        <v>12114</v>
      </c>
      <c r="G4844" s="142" t="s">
        <v>12113</v>
      </c>
      <c r="H4844" s="142" t="s">
        <v>20694</v>
      </c>
      <c r="I4844" s="142">
        <v>16</v>
      </c>
      <c r="J4844" s="142">
        <v>0</v>
      </c>
      <c r="K4844" s="142">
        <v>0</v>
      </c>
      <c r="L4844" s="142">
        <v>16</v>
      </c>
      <c r="M4844" s="142">
        <v>0</v>
      </c>
    </row>
    <row r="4845" spans="1:13" x14ac:dyDescent="0.45">
      <c r="A4845" s="142" t="s">
        <v>13306</v>
      </c>
      <c r="B4845" s="142" t="s">
        <v>15500</v>
      </c>
      <c r="C4845" s="142" t="s">
        <v>15847</v>
      </c>
      <c r="D4845" s="142" t="s">
        <v>15848</v>
      </c>
      <c r="E4845" s="142" t="s">
        <v>15849</v>
      </c>
      <c r="F4845" s="142" t="s">
        <v>12114</v>
      </c>
      <c r="G4845" s="142" t="s">
        <v>12113</v>
      </c>
      <c r="H4845" s="142" t="s">
        <v>20695</v>
      </c>
      <c r="I4845" s="142">
        <v>161</v>
      </c>
      <c r="J4845" s="142">
        <v>0</v>
      </c>
      <c r="K4845" s="142">
        <v>0</v>
      </c>
      <c r="L4845" s="142">
        <v>161</v>
      </c>
      <c r="M4845" s="142">
        <v>0</v>
      </c>
    </row>
    <row r="4846" spans="1:13" x14ac:dyDescent="0.45">
      <c r="A4846" s="142" t="s">
        <v>13905</v>
      </c>
      <c r="B4846" s="142" t="s">
        <v>15023</v>
      </c>
      <c r="C4846" s="142" t="s">
        <v>15860</v>
      </c>
      <c r="D4846" s="142" t="s">
        <v>15861</v>
      </c>
      <c r="E4846" s="142" t="s">
        <v>15849</v>
      </c>
      <c r="F4846" s="142" t="s">
        <v>12114</v>
      </c>
      <c r="G4846" s="142" t="s">
        <v>12113</v>
      </c>
      <c r="H4846" s="142" t="s">
        <v>20696</v>
      </c>
      <c r="I4846" s="142">
        <v>23</v>
      </c>
      <c r="J4846" s="142">
        <v>23</v>
      </c>
      <c r="K4846" s="142">
        <v>0</v>
      </c>
      <c r="L4846" s="142">
        <v>0</v>
      </c>
      <c r="M4846" s="142">
        <v>0</v>
      </c>
    </row>
    <row r="4847" spans="1:13" x14ac:dyDescent="0.45">
      <c r="A4847" s="142" t="s">
        <v>13344</v>
      </c>
      <c r="B4847" s="142" t="s">
        <v>15448</v>
      </c>
      <c r="C4847" s="142" t="s">
        <v>15860</v>
      </c>
      <c r="D4847" s="142" t="s">
        <v>15861</v>
      </c>
      <c r="E4847" s="142" t="s">
        <v>15849</v>
      </c>
      <c r="F4847" s="142" t="s">
        <v>12114</v>
      </c>
      <c r="G4847" s="142" t="s">
        <v>12113</v>
      </c>
      <c r="H4847" s="142" t="s">
        <v>20697</v>
      </c>
      <c r="I4847" s="142">
        <v>31</v>
      </c>
      <c r="J4847" s="142">
        <v>31</v>
      </c>
      <c r="K4847" s="142">
        <v>0</v>
      </c>
      <c r="L4847" s="142">
        <v>0</v>
      </c>
      <c r="M4847" s="142">
        <v>0</v>
      </c>
    </row>
    <row r="4848" spans="1:13" x14ac:dyDescent="0.45">
      <c r="A4848" s="142" t="s">
        <v>13906</v>
      </c>
      <c r="B4848" s="142" t="s">
        <v>15190</v>
      </c>
      <c r="C4848" s="142" t="s">
        <v>15860</v>
      </c>
      <c r="D4848" s="142" t="s">
        <v>15861</v>
      </c>
      <c r="E4848" s="142" t="s">
        <v>15849</v>
      </c>
      <c r="F4848" s="142" t="s">
        <v>12114</v>
      </c>
      <c r="G4848" s="142" t="s">
        <v>12113</v>
      </c>
      <c r="H4848" s="142" t="s">
        <v>20698</v>
      </c>
      <c r="I4848" s="142">
        <v>5</v>
      </c>
      <c r="J4848" s="142">
        <v>0</v>
      </c>
      <c r="K4848" s="142">
        <v>0</v>
      </c>
      <c r="L4848" s="142">
        <v>5</v>
      </c>
      <c r="M4848" s="142">
        <v>0</v>
      </c>
    </row>
    <row r="4849" spans="1:13" x14ac:dyDescent="0.45">
      <c r="A4849" s="142" t="s">
        <v>13907</v>
      </c>
      <c r="B4849" s="142" t="s">
        <v>14793</v>
      </c>
      <c r="C4849" s="142" t="s">
        <v>15860</v>
      </c>
      <c r="D4849" s="142" t="s">
        <v>15861</v>
      </c>
      <c r="E4849" s="142" t="s">
        <v>15849</v>
      </c>
      <c r="F4849" s="142" t="s">
        <v>12114</v>
      </c>
      <c r="G4849" s="142" t="s">
        <v>12113</v>
      </c>
      <c r="H4849" s="142" t="s">
        <v>20699</v>
      </c>
      <c r="I4849" s="142">
        <v>75</v>
      </c>
      <c r="J4849" s="142">
        <v>75</v>
      </c>
      <c r="K4849" s="142">
        <v>0</v>
      </c>
      <c r="L4849" s="142">
        <v>0</v>
      </c>
      <c r="M4849" s="142">
        <v>0</v>
      </c>
    </row>
    <row r="4850" spans="1:13" x14ac:dyDescent="0.45">
      <c r="A4850" s="142" t="s">
        <v>13042</v>
      </c>
      <c r="B4850" s="142" t="s">
        <v>15489</v>
      </c>
      <c r="C4850" s="142" t="s">
        <v>15847</v>
      </c>
      <c r="D4850" s="142" t="s">
        <v>15848</v>
      </c>
      <c r="E4850" s="142" t="s">
        <v>15849</v>
      </c>
      <c r="F4850" s="142" t="s">
        <v>12114</v>
      </c>
      <c r="G4850" s="142" t="s">
        <v>12113</v>
      </c>
      <c r="H4850" s="142" t="s">
        <v>20700</v>
      </c>
      <c r="I4850" s="142">
        <v>347</v>
      </c>
      <c r="J4850" s="142">
        <v>139</v>
      </c>
      <c r="K4850" s="142">
        <v>0</v>
      </c>
      <c r="L4850" s="142">
        <v>165</v>
      </c>
      <c r="M4850" s="142">
        <v>43</v>
      </c>
    </row>
    <row r="4851" spans="1:13" x14ac:dyDescent="0.45">
      <c r="A4851" s="142" t="s">
        <v>13062</v>
      </c>
      <c r="B4851" s="142" t="s">
        <v>15259</v>
      </c>
      <c r="C4851" s="142" t="s">
        <v>15847</v>
      </c>
      <c r="D4851" s="142" t="s">
        <v>15848</v>
      </c>
      <c r="E4851" s="142" t="s">
        <v>15849</v>
      </c>
      <c r="F4851" s="142" t="s">
        <v>12114</v>
      </c>
      <c r="G4851" s="142" t="s">
        <v>12113</v>
      </c>
      <c r="H4851" s="142" t="s">
        <v>20701</v>
      </c>
      <c r="I4851" s="142">
        <v>294</v>
      </c>
      <c r="J4851" s="142">
        <v>279</v>
      </c>
      <c r="K4851" s="142">
        <v>0</v>
      </c>
      <c r="L4851" s="142">
        <v>0</v>
      </c>
      <c r="M4851" s="142">
        <v>15</v>
      </c>
    </row>
    <row r="4852" spans="1:13" x14ac:dyDescent="0.45">
      <c r="A4852" s="142" t="s">
        <v>13021</v>
      </c>
      <c r="B4852" s="142" t="s">
        <v>15501</v>
      </c>
      <c r="C4852" s="142" t="s">
        <v>15847</v>
      </c>
      <c r="D4852" s="142" t="s">
        <v>15848</v>
      </c>
      <c r="E4852" s="142" t="s">
        <v>15849</v>
      </c>
      <c r="F4852" s="142" t="s">
        <v>7871</v>
      </c>
      <c r="G4852" s="142" t="s">
        <v>7870</v>
      </c>
      <c r="H4852" s="142" t="s">
        <v>20702</v>
      </c>
      <c r="I4852" s="142">
        <v>9</v>
      </c>
      <c r="J4852" s="142">
        <v>0</v>
      </c>
      <c r="K4852" s="142">
        <v>0</v>
      </c>
      <c r="L4852" s="142">
        <v>9</v>
      </c>
      <c r="M4852" s="142">
        <v>0</v>
      </c>
    </row>
    <row r="4853" spans="1:13" x14ac:dyDescent="0.45">
      <c r="A4853" s="142" t="s">
        <v>13235</v>
      </c>
      <c r="B4853" s="142" t="s">
        <v>14573</v>
      </c>
      <c r="C4853" s="142" t="s">
        <v>15847</v>
      </c>
      <c r="D4853" s="142" t="s">
        <v>15848</v>
      </c>
      <c r="E4853" s="142" t="s">
        <v>15849</v>
      </c>
      <c r="F4853" s="142" t="s">
        <v>7871</v>
      </c>
      <c r="G4853" s="142" t="s">
        <v>7870</v>
      </c>
      <c r="H4853" s="142" t="s">
        <v>20703</v>
      </c>
      <c r="I4853" s="142">
        <v>5182</v>
      </c>
      <c r="J4853" s="142">
        <v>4613</v>
      </c>
      <c r="K4853" s="142">
        <v>0</v>
      </c>
      <c r="L4853" s="142">
        <v>275</v>
      </c>
      <c r="M4853" s="142">
        <v>294</v>
      </c>
    </row>
    <row r="4854" spans="1:13" x14ac:dyDescent="0.45">
      <c r="A4854" s="142" t="s">
        <v>13237</v>
      </c>
      <c r="B4854" s="142" t="s">
        <v>14643</v>
      </c>
      <c r="C4854" s="142" t="s">
        <v>15847</v>
      </c>
      <c r="D4854" s="142" t="s">
        <v>15848</v>
      </c>
      <c r="E4854" s="142" t="s">
        <v>15849</v>
      </c>
      <c r="F4854" s="142" t="s">
        <v>7871</v>
      </c>
      <c r="G4854" s="142" t="s">
        <v>7870</v>
      </c>
      <c r="H4854" s="142" t="s">
        <v>20704</v>
      </c>
      <c r="I4854" s="142">
        <v>14</v>
      </c>
      <c r="J4854" s="142">
        <v>14</v>
      </c>
      <c r="K4854" s="142">
        <v>0</v>
      </c>
      <c r="L4854" s="142">
        <v>0</v>
      </c>
      <c r="M4854" s="142">
        <v>0</v>
      </c>
    </row>
    <row r="4855" spans="1:13" x14ac:dyDescent="0.45">
      <c r="A4855" s="142" t="s">
        <v>13000</v>
      </c>
      <c r="B4855" s="142" t="s">
        <v>14610</v>
      </c>
      <c r="C4855" s="142" t="s">
        <v>15847</v>
      </c>
      <c r="D4855" s="142" t="s">
        <v>15848</v>
      </c>
      <c r="E4855" s="142" t="s">
        <v>15849</v>
      </c>
      <c r="F4855" s="142" t="s">
        <v>7871</v>
      </c>
      <c r="G4855" s="142" t="s">
        <v>7870</v>
      </c>
      <c r="H4855" s="142" t="s">
        <v>20705</v>
      </c>
      <c r="I4855" s="142">
        <v>49</v>
      </c>
      <c r="J4855" s="142">
        <v>9</v>
      </c>
      <c r="K4855" s="142">
        <v>0</v>
      </c>
      <c r="L4855" s="142">
        <v>0</v>
      </c>
      <c r="M4855" s="142">
        <v>40</v>
      </c>
    </row>
    <row r="4856" spans="1:13" x14ac:dyDescent="0.45">
      <c r="A4856" s="142" t="s">
        <v>13099</v>
      </c>
      <c r="B4856" s="142" t="s">
        <v>14547</v>
      </c>
      <c r="C4856" s="142" t="s">
        <v>15860</v>
      </c>
      <c r="D4856" s="142" t="s">
        <v>15861</v>
      </c>
      <c r="E4856" s="142" t="s">
        <v>15849</v>
      </c>
      <c r="F4856" s="142" t="s">
        <v>7871</v>
      </c>
      <c r="G4856" s="142" t="s">
        <v>7870</v>
      </c>
      <c r="H4856" s="142" t="s">
        <v>20706</v>
      </c>
      <c r="I4856" s="142">
        <v>2</v>
      </c>
      <c r="J4856" s="142">
        <v>0</v>
      </c>
      <c r="K4856" s="142">
        <v>0</v>
      </c>
      <c r="L4856" s="142">
        <v>2</v>
      </c>
      <c r="M4856" s="142">
        <v>0</v>
      </c>
    </row>
    <row r="4857" spans="1:13" x14ac:dyDescent="0.45">
      <c r="A4857" s="142" t="s">
        <v>13243</v>
      </c>
      <c r="B4857" s="142" t="s">
        <v>15560</v>
      </c>
      <c r="C4857" s="142" t="s">
        <v>15847</v>
      </c>
      <c r="D4857" s="142" t="s">
        <v>15848</v>
      </c>
      <c r="E4857" s="142" t="s">
        <v>15849</v>
      </c>
      <c r="F4857" s="142" t="s">
        <v>7871</v>
      </c>
      <c r="G4857" s="142" t="s">
        <v>7870</v>
      </c>
      <c r="H4857" s="142" t="s">
        <v>20707</v>
      </c>
      <c r="I4857" s="142">
        <v>56</v>
      </c>
      <c r="J4857" s="142">
        <v>0</v>
      </c>
      <c r="K4857" s="142">
        <v>0</v>
      </c>
      <c r="L4857" s="142">
        <v>0</v>
      </c>
      <c r="M4857" s="142">
        <v>56</v>
      </c>
    </row>
    <row r="4858" spans="1:13" x14ac:dyDescent="0.45">
      <c r="A4858" s="142" t="s">
        <v>13028</v>
      </c>
      <c r="B4858" s="142" t="s">
        <v>14462</v>
      </c>
      <c r="C4858" s="142" t="s">
        <v>15847</v>
      </c>
      <c r="D4858" s="142" t="s">
        <v>15848</v>
      </c>
      <c r="E4858" s="142" t="s">
        <v>15849</v>
      </c>
      <c r="F4858" s="142" t="s">
        <v>7871</v>
      </c>
      <c r="G4858" s="142" t="s">
        <v>7870</v>
      </c>
      <c r="H4858" s="142" t="s">
        <v>20708</v>
      </c>
      <c r="I4858" s="142">
        <v>17</v>
      </c>
      <c r="J4858" s="142">
        <v>0</v>
      </c>
      <c r="K4858" s="142">
        <v>0</v>
      </c>
      <c r="L4858" s="142">
        <v>0</v>
      </c>
      <c r="M4858" s="142">
        <v>17</v>
      </c>
    </row>
    <row r="4859" spans="1:13" x14ac:dyDescent="0.45">
      <c r="A4859" s="142" t="s">
        <v>13003</v>
      </c>
      <c r="B4859" s="142" t="s">
        <v>15245</v>
      </c>
      <c r="C4859" s="142" t="s">
        <v>15847</v>
      </c>
      <c r="D4859" s="142" t="s">
        <v>15848</v>
      </c>
      <c r="E4859" s="142" t="s">
        <v>15849</v>
      </c>
      <c r="F4859" s="142" t="s">
        <v>7871</v>
      </c>
      <c r="G4859" s="142" t="s">
        <v>7870</v>
      </c>
      <c r="H4859" s="142" t="s">
        <v>20709</v>
      </c>
      <c r="I4859" s="142">
        <v>62</v>
      </c>
      <c r="J4859" s="142">
        <v>0</v>
      </c>
      <c r="K4859" s="142">
        <v>0</v>
      </c>
      <c r="L4859" s="142">
        <v>62</v>
      </c>
      <c r="M4859" s="142">
        <v>0</v>
      </c>
    </row>
    <row r="4860" spans="1:13" x14ac:dyDescent="0.45">
      <c r="A4860" s="142" t="s">
        <v>13066</v>
      </c>
      <c r="B4860" s="142" t="s">
        <v>14459</v>
      </c>
      <c r="C4860" s="142" t="s">
        <v>15847</v>
      </c>
      <c r="D4860" s="142" t="s">
        <v>15848</v>
      </c>
      <c r="E4860" s="142" t="s">
        <v>15849</v>
      </c>
      <c r="F4860" s="142" t="s">
        <v>7871</v>
      </c>
      <c r="G4860" s="142" t="s">
        <v>7870</v>
      </c>
      <c r="H4860" s="142" t="s">
        <v>20710</v>
      </c>
      <c r="I4860" s="142">
        <v>24</v>
      </c>
      <c r="J4860" s="142">
        <v>0</v>
      </c>
      <c r="K4860" s="142">
        <v>0</v>
      </c>
      <c r="L4860" s="142">
        <v>24</v>
      </c>
      <c r="M4860" s="142">
        <v>0</v>
      </c>
    </row>
    <row r="4861" spans="1:13" x14ac:dyDescent="0.45">
      <c r="A4861" s="142" t="s">
        <v>13006</v>
      </c>
      <c r="B4861" s="142" t="s">
        <v>15288</v>
      </c>
      <c r="C4861" s="142" t="s">
        <v>15847</v>
      </c>
      <c r="D4861" s="142" t="s">
        <v>15848</v>
      </c>
      <c r="E4861" s="142" t="s">
        <v>15849</v>
      </c>
      <c r="F4861" s="142" t="s">
        <v>7871</v>
      </c>
      <c r="G4861" s="142" t="s">
        <v>7870</v>
      </c>
      <c r="H4861" s="142" t="s">
        <v>20711</v>
      </c>
      <c r="I4861" s="142">
        <v>2</v>
      </c>
      <c r="J4861" s="142">
        <v>2</v>
      </c>
      <c r="K4861" s="142">
        <v>0</v>
      </c>
      <c r="L4861" s="142">
        <v>0</v>
      </c>
      <c r="M4861" s="142">
        <v>0</v>
      </c>
    </row>
    <row r="4862" spans="1:13" x14ac:dyDescent="0.45">
      <c r="A4862" s="142" t="s">
        <v>13248</v>
      </c>
      <c r="B4862" s="142" t="s">
        <v>15463</v>
      </c>
      <c r="C4862" s="142" t="s">
        <v>15847</v>
      </c>
      <c r="D4862" s="142" t="s">
        <v>15848</v>
      </c>
      <c r="E4862" s="142" t="s">
        <v>15849</v>
      </c>
      <c r="F4862" s="142" t="s">
        <v>7871</v>
      </c>
      <c r="G4862" s="142" t="s">
        <v>7870</v>
      </c>
      <c r="H4862" s="142" t="s">
        <v>20712</v>
      </c>
      <c r="I4862" s="142">
        <v>651</v>
      </c>
      <c r="J4862" s="142">
        <v>520</v>
      </c>
      <c r="K4862" s="142">
        <v>0</v>
      </c>
      <c r="L4862" s="142">
        <v>63</v>
      </c>
      <c r="M4862" s="142">
        <v>68</v>
      </c>
    </row>
    <row r="4863" spans="1:13" x14ac:dyDescent="0.45">
      <c r="A4863" s="142" t="s">
        <v>13008</v>
      </c>
      <c r="B4863" s="142" t="s">
        <v>15411</v>
      </c>
      <c r="C4863" s="142" t="s">
        <v>15847</v>
      </c>
      <c r="D4863" s="142" t="s">
        <v>15848</v>
      </c>
      <c r="E4863" s="142" t="s">
        <v>15849</v>
      </c>
      <c r="F4863" s="142" t="s">
        <v>7871</v>
      </c>
      <c r="G4863" s="142" t="s">
        <v>7870</v>
      </c>
      <c r="H4863" s="142" t="s">
        <v>20713</v>
      </c>
      <c r="I4863" s="142">
        <v>141</v>
      </c>
      <c r="J4863" s="142">
        <v>0</v>
      </c>
      <c r="K4863" s="142">
        <v>0</v>
      </c>
      <c r="L4863" s="142">
        <v>0</v>
      </c>
      <c r="M4863" s="142">
        <v>141</v>
      </c>
    </row>
    <row r="4864" spans="1:13" x14ac:dyDescent="0.45">
      <c r="A4864" s="142" t="s">
        <v>13077</v>
      </c>
      <c r="B4864" s="142" t="s">
        <v>15407</v>
      </c>
      <c r="C4864" s="142" t="s">
        <v>15847</v>
      </c>
      <c r="D4864" s="142" t="s">
        <v>15848</v>
      </c>
      <c r="E4864" s="142" t="s">
        <v>15849</v>
      </c>
      <c r="F4864" s="142" t="s">
        <v>7871</v>
      </c>
      <c r="G4864" s="142" t="s">
        <v>7870</v>
      </c>
      <c r="H4864" s="142" t="s">
        <v>20714</v>
      </c>
      <c r="I4864" s="142">
        <v>193</v>
      </c>
      <c r="J4864" s="142">
        <v>193</v>
      </c>
      <c r="K4864" s="142">
        <v>0</v>
      </c>
      <c r="L4864" s="142">
        <v>0</v>
      </c>
      <c r="M4864" s="142">
        <v>0</v>
      </c>
    </row>
    <row r="4865" spans="1:13" x14ac:dyDescent="0.45">
      <c r="A4865" s="142" t="s">
        <v>13035</v>
      </c>
      <c r="B4865" s="142" t="s">
        <v>14648</v>
      </c>
      <c r="C4865" s="142" t="s">
        <v>15847</v>
      </c>
      <c r="D4865" s="142" t="s">
        <v>15848</v>
      </c>
      <c r="E4865" s="142" t="s">
        <v>15849</v>
      </c>
      <c r="F4865" s="142" t="s">
        <v>7871</v>
      </c>
      <c r="G4865" s="142" t="s">
        <v>7870</v>
      </c>
      <c r="H4865" s="142" t="s">
        <v>20715</v>
      </c>
      <c r="I4865" s="142">
        <v>352</v>
      </c>
      <c r="J4865" s="142">
        <v>263</v>
      </c>
      <c r="K4865" s="142">
        <v>0</v>
      </c>
      <c r="L4865" s="142">
        <v>0</v>
      </c>
      <c r="M4865" s="142">
        <v>89</v>
      </c>
    </row>
    <row r="4866" spans="1:13" x14ac:dyDescent="0.45">
      <c r="A4866" s="142" t="s">
        <v>13009</v>
      </c>
      <c r="B4866" s="142" t="s">
        <v>15256</v>
      </c>
      <c r="C4866" s="142" t="s">
        <v>15847</v>
      </c>
      <c r="D4866" s="142" t="s">
        <v>15848</v>
      </c>
      <c r="E4866" s="142" t="s">
        <v>15849</v>
      </c>
      <c r="F4866" s="142" t="s">
        <v>7871</v>
      </c>
      <c r="G4866" s="142" t="s">
        <v>7870</v>
      </c>
      <c r="H4866" s="142" t="s">
        <v>20716</v>
      </c>
      <c r="I4866" s="142">
        <v>187</v>
      </c>
      <c r="J4866" s="142">
        <v>187</v>
      </c>
      <c r="K4866" s="142">
        <v>0</v>
      </c>
      <c r="L4866" s="142">
        <v>0</v>
      </c>
      <c r="M4866" s="142">
        <v>0</v>
      </c>
    </row>
    <row r="4867" spans="1:13" x14ac:dyDescent="0.45">
      <c r="A4867" s="142" t="s">
        <v>13258</v>
      </c>
      <c r="B4867" s="142" t="s">
        <v>15379</v>
      </c>
      <c r="C4867" s="142" t="s">
        <v>15860</v>
      </c>
      <c r="D4867" s="142" t="s">
        <v>15861</v>
      </c>
      <c r="E4867" s="142" t="s">
        <v>15849</v>
      </c>
      <c r="F4867" s="142" t="s">
        <v>7871</v>
      </c>
      <c r="G4867" s="142" t="s">
        <v>7870</v>
      </c>
      <c r="H4867" s="142" t="s">
        <v>20717</v>
      </c>
      <c r="I4867" s="142">
        <v>6</v>
      </c>
      <c r="J4867" s="142">
        <v>0</v>
      </c>
      <c r="K4867" s="142">
        <v>0</v>
      </c>
      <c r="L4867" s="142">
        <v>6</v>
      </c>
      <c r="M4867" s="142">
        <v>0</v>
      </c>
    </row>
    <row r="4868" spans="1:13" x14ac:dyDescent="0.45">
      <c r="A4868" s="142" t="s">
        <v>13012</v>
      </c>
      <c r="B4868" s="142" t="s">
        <v>15337</v>
      </c>
      <c r="C4868" s="142" t="s">
        <v>15847</v>
      </c>
      <c r="D4868" s="142" t="s">
        <v>15848</v>
      </c>
      <c r="E4868" s="142" t="s">
        <v>15849</v>
      </c>
      <c r="F4868" s="142" t="s">
        <v>7871</v>
      </c>
      <c r="G4868" s="142" t="s">
        <v>7870</v>
      </c>
      <c r="H4868" s="142" t="s">
        <v>20718</v>
      </c>
      <c r="I4868" s="142">
        <v>5</v>
      </c>
      <c r="J4868" s="142">
        <v>5</v>
      </c>
      <c r="K4868" s="142">
        <v>0</v>
      </c>
      <c r="L4868" s="142">
        <v>0</v>
      </c>
      <c r="M4868" s="142">
        <v>0</v>
      </c>
    </row>
    <row r="4869" spans="1:13" x14ac:dyDescent="0.45">
      <c r="A4869" s="142" t="s">
        <v>13449</v>
      </c>
      <c r="B4869" s="142" t="s">
        <v>14913</v>
      </c>
      <c r="C4869" s="142" t="s">
        <v>15860</v>
      </c>
      <c r="D4869" s="142" t="s">
        <v>15861</v>
      </c>
      <c r="E4869" s="142" t="s">
        <v>15849</v>
      </c>
      <c r="F4869" s="142" t="s">
        <v>7871</v>
      </c>
      <c r="G4869" s="142" t="s">
        <v>7870</v>
      </c>
      <c r="H4869" s="142" t="s">
        <v>20719</v>
      </c>
      <c r="I4869" s="142">
        <v>2</v>
      </c>
      <c r="J4869" s="142">
        <v>2</v>
      </c>
      <c r="K4869" s="142">
        <v>0</v>
      </c>
      <c r="L4869" s="142">
        <v>0</v>
      </c>
      <c r="M4869" s="142">
        <v>0</v>
      </c>
    </row>
    <row r="4870" spans="1:13" x14ac:dyDescent="0.45">
      <c r="A4870" s="142" t="s">
        <v>13042</v>
      </c>
      <c r="B4870" s="142" t="s">
        <v>15489</v>
      </c>
      <c r="C4870" s="142" t="s">
        <v>15847</v>
      </c>
      <c r="D4870" s="142" t="s">
        <v>15848</v>
      </c>
      <c r="E4870" s="142" t="s">
        <v>15849</v>
      </c>
      <c r="F4870" s="142" t="s">
        <v>7871</v>
      </c>
      <c r="G4870" s="142" t="s">
        <v>7870</v>
      </c>
      <c r="H4870" s="142" t="s">
        <v>20720</v>
      </c>
      <c r="I4870" s="142">
        <v>10</v>
      </c>
      <c r="J4870" s="142">
        <v>10</v>
      </c>
      <c r="K4870" s="142">
        <v>0</v>
      </c>
      <c r="L4870" s="142">
        <v>0</v>
      </c>
      <c r="M4870" s="142">
        <v>0</v>
      </c>
    </row>
    <row r="4871" spans="1:13" x14ac:dyDescent="0.45">
      <c r="A4871" s="142" t="s">
        <v>13451</v>
      </c>
      <c r="B4871" s="142" t="s">
        <v>15582</v>
      </c>
      <c r="C4871" s="142" t="s">
        <v>15847</v>
      </c>
      <c r="D4871" s="142" t="s">
        <v>15848</v>
      </c>
      <c r="E4871" s="142" t="s">
        <v>15849</v>
      </c>
      <c r="F4871" s="142" t="s">
        <v>7871</v>
      </c>
      <c r="G4871" s="142" t="s">
        <v>7870</v>
      </c>
      <c r="H4871" s="142" t="s">
        <v>20721</v>
      </c>
      <c r="I4871" s="142">
        <v>21</v>
      </c>
      <c r="J4871" s="142">
        <v>14</v>
      </c>
      <c r="K4871" s="142">
        <v>0</v>
      </c>
      <c r="L4871" s="142">
        <v>0</v>
      </c>
      <c r="M4871" s="142">
        <v>7</v>
      </c>
    </row>
    <row r="4872" spans="1:13" x14ac:dyDescent="0.45">
      <c r="A4872" s="142" t="s">
        <v>13608</v>
      </c>
      <c r="B4872" s="142" t="s">
        <v>15437</v>
      </c>
      <c r="C4872" s="142" t="s">
        <v>15847</v>
      </c>
      <c r="D4872" s="142" t="s">
        <v>15848</v>
      </c>
      <c r="E4872" s="142" t="s">
        <v>15849</v>
      </c>
      <c r="F4872" s="142" t="s">
        <v>7871</v>
      </c>
      <c r="G4872" s="142" t="s">
        <v>7870</v>
      </c>
      <c r="H4872" s="142" t="s">
        <v>20722</v>
      </c>
      <c r="I4872" s="142">
        <v>18</v>
      </c>
      <c r="J4872" s="142">
        <v>10</v>
      </c>
      <c r="K4872" s="142">
        <v>0</v>
      </c>
      <c r="L4872" s="142">
        <v>0</v>
      </c>
      <c r="M4872" s="142">
        <v>8</v>
      </c>
    </row>
    <row r="4873" spans="1:13" x14ac:dyDescent="0.45">
      <c r="A4873" s="142" t="s">
        <v>13264</v>
      </c>
      <c r="B4873" s="142" t="s">
        <v>15302</v>
      </c>
      <c r="C4873" s="142" t="s">
        <v>15847</v>
      </c>
      <c r="D4873" s="142" t="s">
        <v>15848</v>
      </c>
      <c r="E4873" s="142" t="s">
        <v>15849</v>
      </c>
      <c r="F4873" s="142" t="s">
        <v>7871</v>
      </c>
      <c r="G4873" s="142" t="s">
        <v>7870</v>
      </c>
      <c r="H4873" s="142" t="s">
        <v>20723</v>
      </c>
      <c r="I4873" s="142">
        <v>27</v>
      </c>
      <c r="J4873" s="142">
        <v>27</v>
      </c>
      <c r="K4873" s="142">
        <v>0</v>
      </c>
      <c r="L4873" s="142">
        <v>0</v>
      </c>
      <c r="M4873" s="142">
        <v>0</v>
      </c>
    </row>
    <row r="4874" spans="1:13" x14ac:dyDescent="0.45">
      <c r="A4874" s="142" t="s">
        <v>13267</v>
      </c>
      <c r="B4874" s="142" t="s">
        <v>15451</v>
      </c>
      <c r="C4874" s="142" t="s">
        <v>15847</v>
      </c>
      <c r="D4874" s="142" t="s">
        <v>15848</v>
      </c>
      <c r="E4874" s="142" t="s">
        <v>15849</v>
      </c>
      <c r="F4874" s="142" t="s">
        <v>7871</v>
      </c>
      <c r="G4874" s="142" t="s">
        <v>7870</v>
      </c>
      <c r="H4874" s="142" t="s">
        <v>20724</v>
      </c>
      <c r="I4874" s="142">
        <v>199</v>
      </c>
      <c r="J4874" s="142">
        <v>129</v>
      </c>
      <c r="K4874" s="142">
        <v>0</v>
      </c>
      <c r="L4874" s="142">
        <v>0</v>
      </c>
      <c r="M4874" s="142">
        <v>70</v>
      </c>
    </row>
    <row r="4875" spans="1:13" x14ac:dyDescent="0.45">
      <c r="A4875" s="142" t="s">
        <v>13286</v>
      </c>
      <c r="B4875" s="142" t="s">
        <v>15342</v>
      </c>
      <c r="C4875" s="142" t="s">
        <v>15847</v>
      </c>
      <c r="D4875" s="142" t="s">
        <v>15848</v>
      </c>
      <c r="E4875" s="142" t="s">
        <v>15849</v>
      </c>
      <c r="F4875" s="142" t="s">
        <v>7871</v>
      </c>
      <c r="G4875" s="142" t="s">
        <v>7870</v>
      </c>
      <c r="H4875" s="142" t="s">
        <v>20725</v>
      </c>
      <c r="I4875" s="142">
        <v>1</v>
      </c>
      <c r="J4875" s="142">
        <v>0</v>
      </c>
      <c r="K4875" s="142">
        <v>0</v>
      </c>
      <c r="L4875" s="142">
        <v>0</v>
      </c>
      <c r="M4875" s="142">
        <v>1</v>
      </c>
    </row>
    <row r="4876" spans="1:13" x14ac:dyDescent="0.45">
      <c r="A4876" s="142" t="s">
        <v>13064</v>
      </c>
      <c r="B4876" s="142" t="s">
        <v>15428</v>
      </c>
      <c r="C4876" s="142" t="s">
        <v>15847</v>
      </c>
      <c r="D4876" s="142" t="s">
        <v>15848</v>
      </c>
      <c r="E4876" s="142" t="s">
        <v>15849</v>
      </c>
      <c r="F4876" s="142" t="s">
        <v>6790</v>
      </c>
      <c r="G4876" s="142" t="s">
        <v>6789</v>
      </c>
      <c r="H4876" s="142" t="s">
        <v>20726</v>
      </c>
      <c r="I4876" s="142">
        <v>17</v>
      </c>
      <c r="J4876" s="142">
        <v>10</v>
      </c>
      <c r="K4876" s="142">
        <v>0</v>
      </c>
      <c r="L4876" s="142">
        <v>0</v>
      </c>
      <c r="M4876" s="142">
        <v>7</v>
      </c>
    </row>
    <row r="4877" spans="1:13" x14ac:dyDescent="0.45">
      <c r="A4877" s="142" t="s">
        <v>13021</v>
      </c>
      <c r="B4877" s="142" t="s">
        <v>15501</v>
      </c>
      <c r="C4877" s="142" t="s">
        <v>15847</v>
      </c>
      <c r="D4877" s="142" t="s">
        <v>15848</v>
      </c>
      <c r="E4877" s="142" t="s">
        <v>15849</v>
      </c>
      <c r="F4877" s="142" t="s">
        <v>6790</v>
      </c>
      <c r="G4877" s="142" t="s">
        <v>6789</v>
      </c>
      <c r="H4877" s="142" t="s">
        <v>20727</v>
      </c>
      <c r="I4877" s="142">
        <v>34</v>
      </c>
      <c r="J4877" s="142">
        <v>0</v>
      </c>
      <c r="K4877" s="142">
        <v>0</v>
      </c>
      <c r="L4877" s="142">
        <v>29</v>
      </c>
      <c r="M4877" s="142">
        <v>5</v>
      </c>
    </row>
    <row r="4878" spans="1:13" x14ac:dyDescent="0.45">
      <c r="A4878" s="142" t="s">
        <v>13022</v>
      </c>
      <c r="B4878" s="142" t="s">
        <v>14634</v>
      </c>
      <c r="C4878" s="142" t="s">
        <v>15847</v>
      </c>
      <c r="D4878" s="142" t="s">
        <v>15848</v>
      </c>
      <c r="E4878" s="142" t="s">
        <v>15849</v>
      </c>
      <c r="F4878" s="142" t="s">
        <v>6790</v>
      </c>
      <c r="G4878" s="142" t="s">
        <v>6789</v>
      </c>
      <c r="H4878" s="142" t="s">
        <v>20728</v>
      </c>
      <c r="I4878" s="142">
        <v>770</v>
      </c>
      <c r="J4878" s="142">
        <v>612</v>
      </c>
      <c r="K4878" s="142">
        <v>0</v>
      </c>
      <c r="L4878" s="142">
        <v>74</v>
      </c>
      <c r="M4878" s="142">
        <v>84</v>
      </c>
    </row>
    <row r="4879" spans="1:13" x14ac:dyDescent="0.45">
      <c r="A4879" s="142" t="s">
        <v>13023</v>
      </c>
      <c r="B4879" s="142" t="s">
        <v>15571</v>
      </c>
      <c r="C4879" s="142" t="s">
        <v>15847</v>
      </c>
      <c r="D4879" s="142" t="s">
        <v>15848</v>
      </c>
      <c r="E4879" s="142" t="s">
        <v>15849</v>
      </c>
      <c r="F4879" s="142" t="s">
        <v>6790</v>
      </c>
      <c r="G4879" s="142" t="s">
        <v>6789</v>
      </c>
      <c r="H4879" s="142" t="s">
        <v>20729</v>
      </c>
      <c r="I4879" s="142">
        <v>32</v>
      </c>
      <c r="J4879" s="142">
        <v>0</v>
      </c>
      <c r="K4879" s="142">
        <v>0</v>
      </c>
      <c r="L4879" s="142">
        <v>32</v>
      </c>
      <c r="M4879" s="142">
        <v>0</v>
      </c>
    </row>
    <row r="4880" spans="1:13" x14ac:dyDescent="0.45">
      <c r="A4880" s="142" t="s">
        <v>13065</v>
      </c>
      <c r="B4880" s="142" t="s">
        <v>14497</v>
      </c>
      <c r="C4880" s="142" t="s">
        <v>15847</v>
      </c>
      <c r="D4880" s="142" t="s">
        <v>15848</v>
      </c>
      <c r="E4880" s="142" t="s">
        <v>15849</v>
      </c>
      <c r="F4880" s="142" t="s">
        <v>6790</v>
      </c>
      <c r="G4880" s="142" t="s">
        <v>6789</v>
      </c>
      <c r="H4880" s="142" t="s">
        <v>20730</v>
      </c>
      <c r="I4880" s="142">
        <v>19</v>
      </c>
      <c r="J4880" s="142">
        <v>0</v>
      </c>
      <c r="K4880" s="142">
        <v>0</v>
      </c>
      <c r="L4880" s="142">
        <v>19</v>
      </c>
      <c r="M4880" s="142">
        <v>0</v>
      </c>
    </row>
    <row r="4881" spans="1:13" x14ac:dyDescent="0.45">
      <c r="A4881" s="142" t="s">
        <v>13024</v>
      </c>
      <c r="B4881" s="142" t="s">
        <v>14538</v>
      </c>
      <c r="C4881" s="142" t="s">
        <v>15847</v>
      </c>
      <c r="D4881" s="142" t="s">
        <v>15848</v>
      </c>
      <c r="E4881" s="142" t="s">
        <v>15849</v>
      </c>
      <c r="F4881" s="142" t="s">
        <v>6790</v>
      </c>
      <c r="G4881" s="142" t="s">
        <v>6789</v>
      </c>
      <c r="H4881" s="142" t="s">
        <v>20731</v>
      </c>
      <c r="I4881" s="142">
        <v>1</v>
      </c>
      <c r="J4881" s="142">
        <v>0</v>
      </c>
      <c r="K4881" s="142">
        <v>0</v>
      </c>
      <c r="L4881" s="142">
        <v>0</v>
      </c>
      <c r="M4881" s="142">
        <v>1</v>
      </c>
    </row>
    <row r="4882" spans="1:13" x14ac:dyDescent="0.45">
      <c r="A4882" s="142" t="s">
        <v>13025</v>
      </c>
      <c r="B4882" s="142" t="s">
        <v>15579</v>
      </c>
      <c r="C4882" s="142" t="s">
        <v>15847</v>
      </c>
      <c r="D4882" s="142" t="s">
        <v>15848</v>
      </c>
      <c r="E4882" s="142" t="s">
        <v>15849</v>
      </c>
      <c r="F4882" s="142" t="s">
        <v>6790</v>
      </c>
      <c r="G4882" s="142" t="s">
        <v>6789</v>
      </c>
      <c r="H4882" s="142" t="s">
        <v>20732</v>
      </c>
      <c r="I4882" s="142">
        <v>94</v>
      </c>
      <c r="J4882" s="142">
        <v>0</v>
      </c>
      <c r="K4882" s="142">
        <v>0</v>
      </c>
      <c r="L4882" s="142">
        <v>94</v>
      </c>
      <c r="M4882" s="142">
        <v>0</v>
      </c>
    </row>
    <row r="4883" spans="1:13" x14ac:dyDescent="0.45">
      <c r="A4883" s="142" t="s">
        <v>13027</v>
      </c>
      <c r="B4883" s="142" t="s">
        <v>14562</v>
      </c>
      <c r="C4883" s="142" t="s">
        <v>15847</v>
      </c>
      <c r="D4883" s="142" t="s">
        <v>15848</v>
      </c>
      <c r="E4883" s="142" t="s">
        <v>15849</v>
      </c>
      <c r="F4883" s="142" t="s">
        <v>6790</v>
      </c>
      <c r="G4883" s="142" t="s">
        <v>6789</v>
      </c>
      <c r="H4883" s="142" t="s">
        <v>20733</v>
      </c>
      <c r="I4883" s="142">
        <v>3</v>
      </c>
      <c r="J4883" s="142">
        <v>0</v>
      </c>
      <c r="K4883" s="142">
        <v>0</v>
      </c>
      <c r="L4883" s="142">
        <v>3</v>
      </c>
      <c r="M4883" s="142">
        <v>0</v>
      </c>
    </row>
    <row r="4884" spans="1:13" x14ac:dyDescent="0.45">
      <c r="A4884" s="142" t="s">
        <v>13066</v>
      </c>
      <c r="B4884" s="142" t="s">
        <v>14459</v>
      </c>
      <c r="C4884" s="142" t="s">
        <v>15847</v>
      </c>
      <c r="D4884" s="142" t="s">
        <v>15848</v>
      </c>
      <c r="E4884" s="142" t="s">
        <v>15849</v>
      </c>
      <c r="F4884" s="142" t="s">
        <v>6790</v>
      </c>
      <c r="G4884" s="142" t="s">
        <v>6789</v>
      </c>
      <c r="H4884" s="142" t="s">
        <v>20734</v>
      </c>
      <c r="I4884" s="142">
        <v>6</v>
      </c>
      <c r="J4884" s="142">
        <v>0</v>
      </c>
      <c r="K4884" s="142">
        <v>0</v>
      </c>
      <c r="L4884" s="142">
        <v>6</v>
      </c>
      <c r="M4884" s="142">
        <v>0</v>
      </c>
    </row>
    <row r="4885" spans="1:13" x14ac:dyDescent="0.45">
      <c r="A4885" s="142" t="s">
        <v>13651</v>
      </c>
      <c r="B4885" s="142" t="s">
        <v>15265</v>
      </c>
      <c r="C4885" s="142" t="s">
        <v>15860</v>
      </c>
      <c r="D4885" s="142" t="s">
        <v>15861</v>
      </c>
      <c r="E4885" s="142" t="s">
        <v>15849</v>
      </c>
      <c r="F4885" s="142" t="s">
        <v>6790</v>
      </c>
      <c r="G4885" s="142" t="s">
        <v>6789</v>
      </c>
      <c r="H4885" s="142" t="s">
        <v>20735</v>
      </c>
      <c r="I4885" s="142">
        <v>76</v>
      </c>
      <c r="J4885" s="142">
        <v>29</v>
      </c>
      <c r="K4885" s="142">
        <v>0</v>
      </c>
      <c r="L4885" s="142">
        <v>47</v>
      </c>
      <c r="M4885" s="142">
        <v>0</v>
      </c>
    </row>
    <row r="4886" spans="1:13" x14ac:dyDescent="0.45">
      <c r="A4886" s="142" t="s">
        <v>13910</v>
      </c>
      <c r="B4886" s="142" t="s">
        <v>14556</v>
      </c>
      <c r="C4886" s="142" t="s">
        <v>15860</v>
      </c>
      <c r="D4886" s="142" t="s">
        <v>15861</v>
      </c>
      <c r="E4886" s="142" t="s">
        <v>15849</v>
      </c>
      <c r="F4886" s="142" t="s">
        <v>6790</v>
      </c>
      <c r="G4886" s="142" t="s">
        <v>6789</v>
      </c>
      <c r="H4886" s="142" t="s">
        <v>20736</v>
      </c>
      <c r="I4886" s="142">
        <v>40</v>
      </c>
      <c r="J4886" s="142">
        <v>0</v>
      </c>
      <c r="K4886" s="142">
        <v>0</v>
      </c>
      <c r="L4886" s="142">
        <v>40</v>
      </c>
      <c r="M4886" s="142">
        <v>0</v>
      </c>
    </row>
    <row r="4887" spans="1:13" x14ac:dyDescent="0.45">
      <c r="A4887" s="142" t="s">
        <v>13911</v>
      </c>
      <c r="B4887" s="142" t="s">
        <v>15185</v>
      </c>
      <c r="C4887" s="142" t="s">
        <v>15860</v>
      </c>
      <c r="D4887" s="142" t="s">
        <v>15861</v>
      </c>
      <c r="E4887" s="142" t="s">
        <v>15849</v>
      </c>
      <c r="F4887" s="142" t="s">
        <v>6790</v>
      </c>
      <c r="G4887" s="142" t="s">
        <v>6789</v>
      </c>
      <c r="H4887" s="142" t="s">
        <v>20737</v>
      </c>
      <c r="I4887" s="142">
        <v>171</v>
      </c>
      <c r="J4887" s="142">
        <v>0</v>
      </c>
      <c r="K4887" s="142">
        <v>0</v>
      </c>
      <c r="L4887" s="142">
        <v>171</v>
      </c>
      <c r="M4887" s="142">
        <v>0</v>
      </c>
    </row>
    <row r="4888" spans="1:13" x14ac:dyDescent="0.45">
      <c r="A4888" s="142" t="s">
        <v>13029</v>
      </c>
      <c r="B4888" s="142" t="s">
        <v>14665</v>
      </c>
      <c r="C4888" s="142" t="s">
        <v>15847</v>
      </c>
      <c r="D4888" s="142" t="s">
        <v>15848</v>
      </c>
      <c r="E4888" s="142" t="s">
        <v>15849</v>
      </c>
      <c r="F4888" s="142" t="s">
        <v>6790</v>
      </c>
      <c r="G4888" s="142" t="s">
        <v>6789</v>
      </c>
      <c r="H4888" s="142" t="s">
        <v>20738</v>
      </c>
      <c r="I4888" s="142">
        <v>3</v>
      </c>
      <c r="J4888" s="142">
        <v>0</v>
      </c>
      <c r="K4888" s="142">
        <v>0</v>
      </c>
      <c r="L4888" s="142">
        <v>0</v>
      </c>
      <c r="M4888" s="142">
        <v>3</v>
      </c>
    </row>
    <row r="4889" spans="1:13" x14ac:dyDescent="0.45">
      <c r="A4889" s="142" t="s">
        <v>13162</v>
      </c>
      <c r="B4889" s="142" t="s">
        <v>14545</v>
      </c>
      <c r="C4889" s="142" t="s">
        <v>15860</v>
      </c>
      <c r="D4889" s="142" t="s">
        <v>15861</v>
      </c>
      <c r="E4889" s="142" t="s">
        <v>15849</v>
      </c>
      <c r="F4889" s="142" t="s">
        <v>6790</v>
      </c>
      <c r="G4889" s="142" t="s">
        <v>6789</v>
      </c>
      <c r="H4889" s="142" t="s">
        <v>20739</v>
      </c>
      <c r="I4889" s="142">
        <v>24</v>
      </c>
      <c r="J4889" s="142">
        <v>0</v>
      </c>
      <c r="K4889" s="142">
        <v>0</v>
      </c>
      <c r="L4889" s="142">
        <v>24</v>
      </c>
      <c r="M4889" s="142">
        <v>0</v>
      </c>
    </row>
    <row r="4890" spans="1:13" x14ac:dyDescent="0.45">
      <c r="A4890" s="142" t="s">
        <v>13030</v>
      </c>
      <c r="B4890" s="142" t="s">
        <v>14572</v>
      </c>
      <c r="C4890" s="142" t="s">
        <v>15847</v>
      </c>
      <c r="D4890" s="142" t="s">
        <v>15848</v>
      </c>
      <c r="E4890" s="142" t="s">
        <v>15849</v>
      </c>
      <c r="F4890" s="142" t="s">
        <v>6790</v>
      </c>
      <c r="G4890" s="142" t="s">
        <v>6789</v>
      </c>
      <c r="H4890" s="142" t="s">
        <v>20740</v>
      </c>
      <c r="I4890" s="142">
        <v>26</v>
      </c>
      <c r="J4890" s="142">
        <v>0</v>
      </c>
      <c r="K4890" s="142">
        <v>0</v>
      </c>
      <c r="L4890" s="142">
        <v>26</v>
      </c>
      <c r="M4890" s="142">
        <v>0</v>
      </c>
    </row>
    <row r="4891" spans="1:13" x14ac:dyDescent="0.45">
      <c r="A4891" s="142" t="s">
        <v>13068</v>
      </c>
      <c r="B4891" s="142" t="s">
        <v>15468</v>
      </c>
      <c r="C4891" s="142" t="s">
        <v>15847</v>
      </c>
      <c r="D4891" s="142" t="s">
        <v>15848</v>
      </c>
      <c r="E4891" s="142" t="s">
        <v>15849</v>
      </c>
      <c r="F4891" s="142" t="s">
        <v>6790</v>
      </c>
      <c r="G4891" s="142" t="s">
        <v>6789</v>
      </c>
      <c r="H4891" s="142" t="s">
        <v>20741</v>
      </c>
      <c r="I4891" s="142">
        <v>106</v>
      </c>
      <c r="J4891" s="142">
        <v>76</v>
      </c>
      <c r="K4891" s="142">
        <v>0</v>
      </c>
      <c r="L4891" s="142">
        <v>0</v>
      </c>
      <c r="M4891" s="142">
        <v>30</v>
      </c>
    </row>
    <row r="4892" spans="1:13" x14ac:dyDescent="0.45">
      <c r="A4892" s="142" t="s">
        <v>13033</v>
      </c>
      <c r="B4892" s="142" t="s">
        <v>15276</v>
      </c>
      <c r="C4892" s="142" t="s">
        <v>15847</v>
      </c>
      <c r="D4892" s="142" t="s">
        <v>15848</v>
      </c>
      <c r="E4892" s="142" t="s">
        <v>15849</v>
      </c>
      <c r="F4892" s="142" t="s">
        <v>6790</v>
      </c>
      <c r="G4892" s="142" t="s">
        <v>6789</v>
      </c>
      <c r="H4892" s="142" t="s">
        <v>20742</v>
      </c>
      <c r="I4892" s="142">
        <v>210</v>
      </c>
      <c r="J4892" s="142">
        <v>210</v>
      </c>
      <c r="K4892" s="142">
        <v>0</v>
      </c>
      <c r="L4892" s="142">
        <v>0</v>
      </c>
      <c r="M4892" s="142">
        <v>0</v>
      </c>
    </row>
    <row r="4893" spans="1:13" x14ac:dyDescent="0.45">
      <c r="A4893" s="142" t="s">
        <v>13034</v>
      </c>
      <c r="B4893" s="142" t="s">
        <v>15562</v>
      </c>
      <c r="C4893" s="142" t="s">
        <v>15847</v>
      </c>
      <c r="D4893" s="142" t="s">
        <v>15848</v>
      </c>
      <c r="E4893" s="142" t="s">
        <v>15849</v>
      </c>
      <c r="F4893" s="142" t="s">
        <v>6790</v>
      </c>
      <c r="G4893" s="142" t="s">
        <v>6789</v>
      </c>
      <c r="H4893" s="142" t="s">
        <v>20743</v>
      </c>
      <c r="I4893" s="142">
        <v>205</v>
      </c>
      <c r="J4893" s="142">
        <v>200</v>
      </c>
      <c r="K4893" s="142">
        <v>0</v>
      </c>
      <c r="L4893" s="142">
        <v>0</v>
      </c>
      <c r="M4893" s="142">
        <v>5</v>
      </c>
    </row>
    <row r="4894" spans="1:13" x14ac:dyDescent="0.45">
      <c r="A4894" s="142" t="s">
        <v>13035</v>
      </c>
      <c r="B4894" s="142" t="s">
        <v>14648</v>
      </c>
      <c r="C4894" s="142" t="s">
        <v>15847</v>
      </c>
      <c r="D4894" s="142" t="s">
        <v>15848</v>
      </c>
      <c r="E4894" s="142" t="s">
        <v>15849</v>
      </c>
      <c r="F4894" s="142" t="s">
        <v>6790</v>
      </c>
      <c r="G4894" s="142" t="s">
        <v>6789</v>
      </c>
      <c r="H4894" s="142" t="s">
        <v>20744</v>
      </c>
      <c r="I4894" s="142">
        <v>355</v>
      </c>
      <c r="J4894" s="142">
        <v>199</v>
      </c>
      <c r="K4894" s="142">
        <v>0</v>
      </c>
      <c r="L4894" s="142">
        <v>0</v>
      </c>
      <c r="M4894" s="142">
        <v>156</v>
      </c>
    </row>
    <row r="4895" spans="1:13" x14ac:dyDescent="0.45">
      <c r="A4895" s="142" t="s">
        <v>13036</v>
      </c>
      <c r="B4895" s="142" t="s">
        <v>15567</v>
      </c>
      <c r="C4895" s="142" t="s">
        <v>15847</v>
      </c>
      <c r="D4895" s="142" t="s">
        <v>15848</v>
      </c>
      <c r="E4895" s="142" t="s">
        <v>15849</v>
      </c>
      <c r="F4895" s="142" t="s">
        <v>6790</v>
      </c>
      <c r="G4895" s="142" t="s">
        <v>6789</v>
      </c>
      <c r="H4895" s="142" t="s">
        <v>20745</v>
      </c>
      <c r="I4895" s="142">
        <v>10</v>
      </c>
      <c r="J4895" s="142">
        <v>0</v>
      </c>
      <c r="K4895" s="142">
        <v>0</v>
      </c>
      <c r="L4895" s="142">
        <v>10</v>
      </c>
      <c r="M4895" s="142">
        <v>0</v>
      </c>
    </row>
    <row r="4896" spans="1:13" x14ac:dyDescent="0.45">
      <c r="A4896" s="142" t="s">
        <v>13037</v>
      </c>
      <c r="B4896" s="142" t="s">
        <v>14519</v>
      </c>
      <c r="C4896" s="142" t="s">
        <v>15847</v>
      </c>
      <c r="D4896" s="142" t="s">
        <v>15848</v>
      </c>
      <c r="E4896" s="142" t="s">
        <v>15849</v>
      </c>
      <c r="F4896" s="142" t="s">
        <v>6790</v>
      </c>
      <c r="G4896" s="142" t="s">
        <v>6789</v>
      </c>
      <c r="H4896" s="142" t="s">
        <v>20746</v>
      </c>
      <c r="I4896" s="142">
        <v>10</v>
      </c>
      <c r="J4896" s="142">
        <v>0</v>
      </c>
      <c r="K4896" s="142">
        <v>0</v>
      </c>
      <c r="L4896" s="142">
        <v>10</v>
      </c>
      <c r="M4896" s="142">
        <v>0</v>
      </c>
    </row>
    <row r="4897" spans="1:13" x14ac:dyDescent="0.45">
      <c r="A4897" s="142" t="s">
        <v>13009</v>
      </c>
      <c r="B4897" s="142" t="s">
        <v>15256</v>
      </c>
      <c r="C4897" s="142" t="s">
        <v>15847</v>
      </c>
      <c r="D4897" s="142" t="s">
        <v>15848</v>
      </c>
      <c r="E4897" s="142" t="s">
        <v>15849</v>
      </c>
      <c r="F4897" s="142" t="s">
        <v>6790</v>
      </c>
      <c r="G4897" s="142" t="s">
        <v>6789</v>
      </c>
      <c r="H4897" s="142" t="s">
        <v>20747</v>
      </c>
      <c r="I4897" s="142">
        <v>23</v>
      </c>
      <c r="J4897" s="142">
        <v>23</v>
      </c>
      <c r="K4897" s="142">
        <v>0</v>
      </c>
      <c r="L4897" s="142">
        <v>0</v>
      </c>
      <c r="M4897" s="142">
        <v>0</v>
      </c>
    </row>
    <row r="4898" spans="1:13" x14ac:dyDescent="0.45">
      <c r="A4898" s="142" t="s">
        <v>13285</v>
      </c>
      <c r="B4898" s="142" t="s">
        <v>15158</v>
      </c>
      <c r="C4898" s="142" t="s">
        <v>15860</v>
      </c>
      <c r="D4898" s="142" t="s">
        <v>15861</v>
      </c>
      <c r="E4898" s="142" t="s">
        <v>15849</v>
      </c>
      <c r="F4898" s="142" t="s">
        <v>6790</v>
      </c>
      <c r="G4898" s="142" t="s">
        <v>6789</v>
      </c>
      <c r="H4898" s="142" t="s">
        <v>20748</v>
      </c>
      <c r="I4898" s="142">
        <v>11</v>
      </c>
      <c r="J4898" s="142">
        <v>0</v>
      </c>
      <c r="K4898" s="142">
        <v>0</v>
      </c>
      <c r="L4898" s="142">
        <v>11</v>
      </c>
      <c r="M4898" s="142">
        <v>0</v>
      </c>
    </row>
    <row r="4899" spans="1:13" x14ac:dyDescent="0.45">
      <c r="A4899" s="142" t="s">
        <v>13016</v>
      </c>
      <c r="B4899" s="142" t="s">
        <v>14535</v>
      </c>
      <c r="C4899" s="142" t="s">
        <v>15860</v>
      </c>
      <c r="D4899" s="142" t="s">
        <v>15861</v>
      </c>
      <c r="E4899" s="142" t="s">
        <v>15849</v>
      </c>
      <c r="F4899" s="142" t="s">
        <v>6790</v>
      </c>
      <c r="G4899" s="142" t="s">
        <v>6789</v>
      </c>
      <c r="H4899" s="142" t="s">
        <v>20749</v>
      </c>
      <c r="I4899" s="142">
        <v>31</v>
      </c>
      <c r="J4899" s="142">
        <v>0</v>
      </c>
      <c r="K4899" s="142">
        <v>0</v>
      </c>
      <c r="L4899" s="142">
        <v>31</v>
      </c>
      <c r="M4899" s="142">
        <v>0</v>
      </c>
    </row>
    <row r="4900" spans="1:13" x14ac:dyDescent="0.45">
      <c r="A4900" s="142" t="s">
        <v>13020</v>
      </c>
      <c r="B4900" s="142" t="s">
        <v>15523</v>
      </c>
      <c r="C4900" s="142" t="s">
        <v>15860</v>
      </c>
      <c r="D4900" s="142" t="s">
        <v>15861</v>
      </c>
      <c r="E4900" s="142" t="s">
        <v>15849</v>
      </c>
      <c r="F4900" s="142" t="s">
        <v>10143</v>
      </c>
      <c r="G4900" s="142" t="s">
        <v>10142</v>
      </c>
      <c r="H4900" s="142" t="s">
        <v>20750</v>
      </c>
      <c r="I4900" s="142">
        <v>10</v>
      </c>
      <c r="J4900" s="142">
        <v>0</v>
      </c>
      <c r="K4900" s="142">
        <v>10</v>
      </c>
      <c r="L4900" s="142">
        <v>0</v>
      </c>
      <c r="M4900" s="142">
        <v>0</v>
      </c>
    </row>
    <row r="4901" spans="1:13" x14ac:dyDescent="0.45">
      <c r="A4901" s="142" t="s">
        <v>13913</v>
      </c>
      <c r="B4901" s="142" t="s">
        <v>14963</v>
      </c>
      <c r="C4901" s="142" t="s">
        <v>15860</v>
      </c>
      <c r="D4901" s="142" t="s">
        <v>15861</v>
      </c>
      <c r="E4901" s="142" t="s">
        <v>15849</v>
      </c>
      <c r="F4901" s="142" t="s">
        <v>10143</v>
      </c>
      <c r="G4901" s="142" t="s">
        <v>10142</v>
      </c>
      <c r="H4901" s="142" t="s">
        <v>20751</v>
      </c>
      <c r="I4901" s="142">
        <v>138</v>
      </c>
      <c r="J4901" s="142">
        <v>138</v>
      </c>
      <c r="K4901" s="142">
        <v>0</v>
      </c>
      <c r="L4901" s="142">
        <v>0</v>
      </c>
      <c r="M4901" s="142">
        <v>0</v>
      </c>
    </row>
    <row r="4902" spans="1:13" x14ac:dyDescent="0.45">
      <c r="A4902" s="142" t="s">
        <v>13023</v>
      </c>
      <c r="B4902" s="142" t="s">
        <v>15571</v>
      </c>
      <c r="C4902" s="142" t="s">
        <v>15847</v>
      </c>
      <c r="D4902" s="142" t="s">
        <v>15848</v>
      </c>
      <c r="E4902" s="142" t="s">
        <v>15849</v>
      </c>
      <c r="F4902" s="142" t="s">
        <v>10143</v>
      </c>
      <c r="G4902" s="142" t="s">
        <v>10142</v>
      </c>
      <c r="H4902" s="142" t="s">
        <v>20752</v>
      </c>
      <c r="I4902" s="142">
        <v>545</v>
      </c>
      <c r="J4902" s="142">
        <v>58</v>
      </c>
      <c r="K4902" s="142">
        <v>0</v>
      </c>
      <c r="L4902" s="142">
        <v>487</v>
      </c>
      <c r="M4902" s="142">
        <v>0</v>
      </c>
    </row>
    <row r="4903" spans="1:13" x14ac:dyDescent="0.45">
      <c r="A4903" s="142" t="s">
        <v>13279</v>
      </c>
      <c r="B4903" s="142" t="s">
        <v>14507</v>
      </c>
      <c r="C4903" s="142" t="s">
        <v>15860</v>
      </c>
      <c r="D4903" s="142" t="s">
        <v>15861</v>
      </c>
      <c r="E4903" s="142" t="s">
        <v>15849</v>
      </c>
      <c r="F4903" s="142" t="s">
        <v>10143</v>
      </c>
      <c r="G4903" s="142" t="s">
        <v>10142</v>
      </c>
      <c r="H4903" s="142" t="s">
        <v>20753</v>
      </c>
      <c r="I4903" s="142">
        <v>4</v>
      </c>
      <c r="J4903" s="142">
        <v>0</v>
      </c>
      <c r="K4903" s="142">
        <v>0</v>
      </c>
      <c r="L4903" s="142">
        <v>4</v>
      </c>
      <c r="M4903" s="142">
        <v>0</v>
      </c>
    </row>
    <row r="4904" spans="1:13" x14ac:dyDescent="0.45">
      <c r="A4904" s="142" t="s">
        <v>13065</v>
      </c>
      <c r="B4904" s="142" t="s">
        <v>14497</v>
      </c>
      <c r="C4904" s="142" t="s">
        <v>15847</v>
      </c>
      <c r="D4904" s="142" t="s">
        <v>15848</v>
      </c>
      <c r="E4904" s="142" t="s">
        <v>15849</v>
      </c>
      <c r="F4904" s="142" t="s">
        <v>10143</v>
      </c>
      <c r="G4904" s="142" t="s">
        <v>10142</v>
      </c>
      <c r="H4904" s="142" t="s">
        <v>20754</v>
      </c>
      <c r="I4904" s="142">
        <v>3</v>
      </c>
      <c r="J4904" s="142">
        <v>0</v>
      </c>
      <c r="K4904" s="142">
        <v>0</v>
      </c>
      <c r="L4904" s="142">
        <v>3</v>
      </c>
      <c r="M4904" s="142">
        <v>0</v>
      </c>
    </row>
    <row r="4905" spans="1:13" x14ac:dyDescent="0.45">
      <c r="A4905" s="142" t="s">
        <v>13914</v>
      </c>
      <c r="B4905" s="142" t="s">
        <v>15087</v>
      </c>
      <c r="C4905" s="142" t="s">
        <v>15860</v>
      </c>
      <c r="D4905" s="142" t="s">
        <v>15861</v>
      </c>
      <c r="E4905" s="142" t="s">
        <v>15849</v>
      </c>
      <c r="F4905" s="142" t="s">
        <v>10143</v>
      </c>
      <c r="G4905" s="142" t="s">
        <v>10142</v>
      </c>
      <c r="H4905" s="142" t="s">
        <v>20755</v>
      </c>
      <c r="I4905" s="142">
        <v>15</v>
      </c>
      <c r="J4905" s="142">
        <v>15</v>
      </c>
      <c r="K4905" s="142">
        <v>0</v>
      </c>
      <c r="L4905" s="142">
        <v>0</v>
      </c>
      <c r="M4905" s="142">
        <v>0</v>
      </c>
    </row>
    <row r="4906" spans="1:13" x14ac:dyDescent="0.45">
      <c r="A4906" s="142" t="s">
        <v>13915</v>
      </c>
      <c r="B4906" s="142" t="s">
        <v>14943</v>
      </c>
      <c r="C4906" s="142" t="s">
        <v>15860</v>
      </c>
      <c r="D4906" s="142" t="s">
        <v>15861</v>
      </c>
      <c r="E4906" s="142" t="s">
        <v>15849</v>
      </c>
      <c r="F4906" s="142" t="s">
        <v>10143</v>
      </c>
      <c r="G4906" s="142" t="s">
        <v>10142</v>
      </c>
      <c r="H4906" s="142" t="s">
        <v>20756</v>
      </c>
      <c r="I4906" s="142">
        <v>119</v>
      </c>
      <c r="J4906" s="142">
        <v>119</v>
      </c>
      <c r="K4906" s="142">
        <v>0</v>
      </c>
      <c r="L4906" s="142">
        <v>0</v>
      </c>
      <c r="M4906" s="142">
        <v>0</v>
      </c>
    </row>
    <row r="4907" spans="1:13" x14ac:dyDescent="0.45">
      <c r="A4907" s="142" t="s">
        <v>13273</v>
      </c>
      <c r="B4907" s="142" t="s">
        <v>14465</v>
      </c>
      <c r="C4907" s="142" t="s">
        <v>15860</v>
      </c>
      <c r="D4907" s="142" t="s">
        <v>15861</v>
      </c>
      <c r="E4907" s="142" t="s">
        <v>15849</v>
      </c>
      <c r="F4907" s="142" t="s">
        <v>10143</v>
      </c>
      <c r="G4907" s="142" t="s">
        <v>10142</v>
      </c>
      <c r="H4907" s="142" t="s">
        <v>20757</v>
      </c>
      <c r="I4907" s="142">
        <v>5</v>
      </c>
      <c r="J4907" s="142">
        <v>0</v>
      </c>
      <c r="K4907" s="142">
        <v>0</v>
      </c>
      <c r="L4907" s="142">
        <v>5</v>
      </c>
      <c r="M4907" s="142">
        <v>0</v>
      </c>
    </row>
    <row r="4908" spans="1:13" x14ac:dyDescent="0.45">
      <c r="A4908" s="142" t="s">
        <v>13916</v>
      </c>
      <c r="B4908" s="142" t="s">
        <v>15105</v>
      </c>
      <c r="C4908" s="142" t="s">
        <v>15860</v>
      </c>
      <c r="D4908" s="142" t="s">
        <v>15861</v>
      </c>
      <c r="E4908" s="142" t="s">
        <v>15849</v>
      </c>
      <c r="F4908" s="142" t="s">
        <v>10143</v>
      </c>
      <c r="G4908" s="142" t="s">
        <v>10142</v>
      </c>
      <c r="H4908" s="142" t="s">
        <v>20758</v>
      </c>
      <c r="I4908" s="142">
        <v>18</v>
      </c>
      <c r="J4908" s="142">
        <v>18</v>
      </c>
      <c r="K4908" s="142">
        <v>0</v>
      </c>
      <c r="L4908" s="142">
        <v>0</v>
      </c>
      <c r="M4908" s="142">
        <v>0</v>
      </c>
    </row>
    <row r="4909" spans="1:13" x14ac:dyDescent="0.45">
      <c r="A4909" s="142" t="s">
        <v>13917</v>
      </c>
      <c r="B4909" s="142" t="s">
        <v>15171</v>
      </c>
      <c r="C4909" s="142" t="s">
        <v>15860</v>
      </c>
      <c r="D4909" s="142" t="s">
        <v>15861</v>
      </c>
      <c r="E4909" s="142" t="s">
        <v>15849</v>
      </c>
      <c r="F4909" s="142" t="s">
        <v>10143</v>
      </c>
      <c r="G4909" s="142" t="s">
        <v>10142</v>
      </c>
      <c r="H4909" s="142" t="s">
        <v>20759</v>
      </c>
      <c r="I4909" s="142">
        <v>129</v>
      </c>
      <c r="J4909" s="142">
        <v>0</v>
      </c>
      <c r="K4909" s="142">
        <v>0</v>
      </c>
      <c r="L4909" s="142">
        <v>129</v>
      </c>
      <c r="M4909" s="142">
        <v>0</v>
      </c>
    </row>
    <row r="4910" spans="1:13" x14ac:dyDescent="0.45">
      <c r="A4910" s="142" t="s">
        <v>13918</v>
      </c>
      <c r="B4910" s="142" t="s">
        <v>15098</v>
      </c>
      <c r="C4910" s="142" t="s">
        <v>15860</v>
      </c>
      <c r="D4910" s="142" t="s">
        <v>15861</v>
      </c>
      <c r="E4910" s="142" t="s">
        <v>15849</v>
      </c>
      <c r="F4910" s="142" t="s">
        <v>10143</v>
      </c>
      <c r="G4910" s="142" t="s">
        <v>10142</v>
      </c>
      <c r="H4910" s="142" t="s">
        <v>20760</v>
      </c>
      <c r="I4910" s="142">
        <v>20</v>
      </c>
      <c r="J4910" s="142">
        <v>20</v>
      </c>
      <c r="K4910" s="142">
        <v>0</v>
      </c>
      <c r="L4910" s="142">
        <v>0</v>
      </c>
      <c r="M4910" s="142">
        <v>0</v>
      </c>
    </row>
    <row r="4911" spans="1:13" x14ac:dyDescent="0.45">
      <c r="A4911" s="142" t="s">
        <v>13835</v>
      </c>
      <c r="B4911" s="142" t="s">
        <v>15444</v>
      </c>
      <c r="C4911" s="142" t="s">
        <v>15847</v>
      </c>
      <c r="D4911" s="142" t="s">
        <v>15848</v>
      </c>
      <c r="E4911" s="142" t="s">
        <v>15849</v>
      </c>
      <c r="F4911" s="142" t="s">
        <v>10143</v>
      </c>
      <c r="G4911" s="142" t="s">
        <v>10142</v>
      </c>
      <c r="H4911" s="142" t="s">
        <v>20761</v>
      </c>
      <c r="I4911" s="142">
        <v>5768</v>
      </c>
      <c r="J4911" s="142">
        <v>5762</v>
      </c>
      <c r="K4911" s="142">
        <v>0</v>
      </c>
      <c r="L4911" s="142">
        <v>0</v>
      </c>
      <c r="M4911" s="142">
        <v>6</v>
      </c>
    </row>
    <row r="4912" spans="1:13" x14ac:dyDescent="0.45">
      <c r="A4912" s="142" t="s">
        <v>13919</v>
      </c>
      <c r="B4912" s="142" t="s">
        <v>14956</v>
      </c>
      <c r="C4912" s="142" t="s">
        <v>15860</v>
      </c>
      <c r="D4912" s="142" t="s">
        <v>15861</v>
      </c>
      <c r="E4912" s="142" t="s">
        <v>15849</v>
      </c>
      <c r="F4912" s="142" t="s">
        <v>10143</v>
      </c>
      <c r="G4912" s="142" t="s">
        <v>10142</v>
      </c>
      <c r="H4912" s="142" t="s">
        <v>20762</v>
      </c>
      <c r="I4912" s="142">
        <v>75</v>
      </c>
      <c r="J4912" s="142">
        <v>75</v>
      </c>
      <c r="K4912" s="142">
        <v>0</v>
      </c>
      <c r="L4912" s="142">
        <v>0</v>
      </c>
      <c r="M4912" s="142">
        <v>0</v>
      </c>
    </row>
    <row r="4913" spans="1:13" x14ac:dyDescent="0.45">
      <c r="A4913" s="142" t="s">
        <v>13238</v>
      </c>
      <c r="B4913" s="142" t="s">
        <v>14477</v>
      </c>
      <c r="C4913" s="142" t="s">
        <v>15860</v>
      </c>
      <c r="D4913" s="142" t="s">
        <v>15861</v>
      </c>
      <c r="E4913" s="142" t="s">
        <v>15849</v>
      </c>
      <c r="F4913" s="142" t="s">
        <v>10143</v>
      </c>
      <c r="G4913" s="142" t="s">
        <v>10142</v>
      </c>
      <c r="H4913" s="142" t="s">
        <v>20763</v>
      </c>
      <c r="I4913" s="142">
        <v>16</v>
      </c>
      <c r="J4913" s="142">
        <v>0</v>
      </c>
      <c r="K4913" s="142">
        <v>0</v>
      </c>
      <c r="L4913" s="142">
        <v>16</v>
      </c>
      <c r="M4913" s="142">
        <v>0</v>
      </c>
    </row>
    <row r="4914" spans="1:13" x14ac:dyDescent="0.45">
      <c r="A4914" s="142" t="s">
        <v>13920</v>
      </c>
      <c r="B4914" s="142" t="s">
        <v>14494</v>
      </c>
      <c r="C4914" s="142" t="s">
        <v>15860</v>
      </c>
      <c r="D4914" s="142" t="s">
        <v>15861</v>
      </c>
      <c r="E4914" s="142" t="s">
        <v>15849</v>
      </c>
      <c r="F4914" s="142" t="s">
        <v>10143</v>
      </c>
      <c r="G4914" s="142" t="s">
        <v>10142</v>
      </c>
      <c r="H4914" s="142" t="s">
        <v>20764</v>
      </c>
      <c r="I4914" s="142">
        <v>167</v>
      </c>
      <c r="J4914" s="142">
        <v>0</v>
      </c>
      <c r="K4914" s="142">
        <v>0</v>
      </c>
      <c r="L4914" s="142">
        <v>167</v>
      </c>
      <c r="M4914" s="142">
        <v>0</v>
      </c>
    </row>
    <row r="4915" spans="1:13" x14ac:dyDescent="0.45">
      <c r="A4915" s="142" t="s">
        <v>13921</v>
      </c>
      <c r="B4915" s="142" t="s">
        <v>15345</v>
      </c>
      <c r="C4915" s="142" t="s">
        <v>15860</v>
      </c>
      <c r="D4915" s="142" t="s">
        <v>15861</v>
      </c>
      <c r="E4915" s="142" t="s">
        <v>15849</v>
      </c>
      <c r="F4915" s="142" t="s">
        <v>10143</v>
      </c>
      <c r="G4915" s="142" t="s">
        <v>10142</v>
      </c>
      <c r="H4915" s="142" t="s">
        <v>20765</v>
      </c>
      <c r="I4915" s="142">
        <v>13</v>
      </c>
      <c r="J4915" s="142">
        <v>0</v>
      </c>
      <c r="K4915" s="142">
        <v>0</v>
      </c>
      <c r="L4915" s="142">
        <v>13</v>
      </c>
      <c r="M4915" s="142">
        <v>0</v>
      </c>
    </row>
    <row r="4916" spans="1:13" x14ac:dyDescent="0.45">
      <c r="A4916" s="142" t="s">
        <v>13922</v>
      </c>
      <c r="B4916" s="142" t="s">
        <v>15028</v>
      </c>
      <c r="C4916" s="142" t="s">
        <v>15860</v>
      </c>
      <c r="D4916" s="142" t="s">
        <v>15861</v>
      </c>
      <c r="E4916" s="142" t="s">
        <v>15849</v>
      </c>
      <c r="F4916" s="142" t="s">
        <v>10143</v>
      </c>
      <c r="G4916" s="142" t="s">
        <v>10142</v>
      </c>
      <c r="H4916" s="142" t="s">
        <v>20766</v>
      </c>
      <c r="I4916" s="142">
        <v>32</v>
      </c>
      <c r="J4916" s="142">
        <v>32</v>
      </c>
      <c r="K4916" s="142">
        <v>0</v>
      </c>
      <c r="L4916" s="142">
        <v>0</v>
      </c>
      <c r="M4916" s="142">
        <v>0</v>
      </c>
    </row>
    <row r="4917" spans="1:13" x14ac:dyDescent="0.45">
      <c r="A4917" s="142" t="s">
        <v>13923</v>
      </c>
      <c r="B4917" s="142" t="s">
        <v>15071</v>
      </c>
      <c r="C4917" s="142" t="s">
        <v>15860</v>
      </c>
      <c r="D4917" s="142" t="s">
        <v>15861</v>
      </c>
      <c r="E4917" s="142" t="s">
        <v>15849</v>
      </c>
      <c r="F4917" s="142" t="s">
        <v>10143</v>
      </c>
      <c r="G4917" s="142" t="s">
        <v>10142</v>
      </c>
      <c r="H4917" s="142" t="s">
        <v>20767</v>
      </c>
      <c r="I4917" s="142">
        <v>382</v>
      </c>
      <c r="J4917" s="142">
        <v>303</v>
      </c>
      <c r="K4917" s="142">
        <v>0</v>
      </c>
      <c r="L4917" s="142">
        <v>79</v>
      </c>
      <c r="M4917" s="142">
        <v>0</v>
      </c>
    </row>
    <row r="4918" spans="1:13" x14ac:dyDescent="0.45">
      <c r="A4918" s="142" t="s">
        <v>13085</v>
      </c>
      <c r="B4918" s="142" t="s">
        <v>14460</v>
      </c>
      <c r="C4918" s="142" t="s">
        <v>15860</v>
      </c>
      <c r="D4918" s="142" t="s">
        <v>15861</v>
      </c>
      <c r="E4918" s="142" t="s">
        <v>15849</v>
      </c>
      <c r="F4918" s="142" t="s">
        <v>10143</v>
      </c>
      <c r="G4918" s="142" t="s">
        <v>10142</v>
      </c>
      <c r="H4918" s="142" t="s">
        <v>20768</v>
      </c>
      <c r="I4918" s="142">
        <v>20</v>
      </c>
      <c r="J4918" s="142">
        <v>0</v>
      </c>
      <c r="K4918" s="142">
        <v>0</v>
      </c>
      <c r="L4918" s="142">
        <v>20</v>
      </c>
      <c r="M4918" s="142">
        <v>0</v>
      </c>
    </row>
    <row r="4919" spans="1:13" x14ac:dyDescent="0.45">
      <c r="A4919" s="142" t="s">
        <v>13099</v>
      </c>
      <c r="B4919" s="142" t="s">
        <v>14547</v>
      </c>
      <c r="C4919" s="142" t="s">
        <v>15860</v>
      </c>
      <c r="D4919" s="142" t="s">
        <v>15861</v>
      </c>
      <c r="E4919" s="142" t="s">
        <v>15849</v>
      </c>
      <c r="F4919" s="142" t="s">
        <v>10143</v>
      </c>
      <c r="G4919" s="142" t="s">
        <v>10142</v>
      </c>
      <c r="H4919" s="142" t="s">
        <v>20769</v>
      </c>
      <c r="I4919" s="142">
        <v>16</v>
      </c>
      <c r="J4919" s="142">
        <v>0</v>
      </c>
      <c r="K4919" s="142">
        <v>0</v>
      </c>
      <c r="L4919" s="142">
        <v>16</v>
      </c>
      <c r="M4919" s="142">
        <v>0</v>
      </c>
    </row>
    <row r="4920" spans="1:13" x14ac:dyDescent="0.45">
      <c r="A4920" s="142" t="s">
        <v>13924</v>
      </c>
      <c r="B4920" s="142" t="s">
        <v>14555</v>
      </c>
      <c r="C4920" s="142" t="s">
        <v>15860</v>
      </c>
      <c r="D4920" s="142" t="s">
        <v>15861</v>
      </c>
      <c r="E4920" s="142" t="s">
        <v>15849</v>
      </c>
      <c r="F4920" s="142" t="s">
        <v>10143</v>
      </c>
      <c r="G4920" s="142" t="s">
        <v>10142</v>
      </c>
      <c r="H4920" s="142" t="s">
        <v>20770</v>
      </c>
      <c r="I4920" s="142">
        <v>82</v>
      </c>
      <c r="J4920" s="142">
        <v>0</v>
      </c>
      <c r="K4920" s="142">
        <v>0</v>
      </c>
      <c r="L4920" s="142">
        <v>82</v>
      </c>
      <c r="M4920" s="142">
        <v>0</v>
      </c>
    </row>
    <row r="4921" spans="1:13" x14ac:dyDescent="0.45">
      <c r="A4921" s="142" t="s">
        <v>13049</v>
      </c>
      <c r="B4921" s="142" t="s">
        <v>14534</v>
      </c>
      <c r="C4921" s="142" t="s">
        <v>15860</v>
      </c>
      <c r="D4921" s="142" t="s">
        <v>15861</v>
      </c>
      <c r="E4921" s="142" t="s">
        <v>15849</v>
      </c>
      <c r="F4921" s="142" t="s">
        <v>10143</v>
      </c>
      <c r="G4921" s="142" t="s">
        <v>10142</v>
      </c>
      <c r="H4921" s="142" t="s">
        <v>20771</v>
      </c>
      <c r="I4921" s="142">
        <v>5</v>
      </c>
      <c r="J4921" s="142">
        <v>0</v>
      </c>
      <c r="K4921" s="142">
        <v>0</v>
      </c>
      <c r="L4921" s="142">
        <v>5</v>
      </c>
      <c r="M4921" s="142">
        <v>0</v>
      </c>
    </row>
    <row r="4922" spans="1:13" x14ac:dyDescent="0.45">
      <c r="A4922" s="142" t="s">
        <v>13168</v>
      </c>
      <c r="B4922" s="142" t="s">
        <v>14486</v>
      </c>
      <c r="C4922" s="142" t="s">
        <v>15860</v>
      </c>
      <c r="D4922" s="142" t="s">
        <v>15861</v>
      </c>
      <c r="E4922" s="142" t="s">
        <v>15849</v>
      </c>
      <c r="F4922" s="142" t="s">
        <v>10143</v>
      </c>
      <c r="G4922" s="142" t="s">
        <v>10142</v>
      </c>
      <c r="H4922" s="142" t="s">
        <v>20772</v>
      </c>
      <c r="I4922" s="142">
        <v>28</v>
      </c>
      <c r="J4922" s="142">
        <v>0</v>
      </c>
      <c r="K4922" s="142">
        <v>0</v>
      </c>
      <c r="L4922" s="142">
        <v>28</v>
      </c>
      <c r="M4922" s="142">
        <v>0</v>
      </c>
    </row>
    <row r="4923" spans="1:13" x14ac:dyDescent="0.45">
      <c r="A4923" s="142" t="s">
        <v>13027</v>
      </c>
      <c r="B4923" s="142" t="s">
        <v>14562</v>
      </c>
      <c r="C4923" s="142" t="s">
        <v>15847</v>
      </c>
      <c r="D4923" s="142" t="s">
        <v>15848</v>
      </c>
      <c r="E4923" s="142" t="s">
        <v>15849</v>
      </c>
      <c r="F4923" s="142" t="s">
        <v>10143</v>
      </c>
      <c r="G4923" s="142" t="s">
        <v>10142</v>
      </c>
      <c r="H4923" s="142" t="s">
        <v>20773</v>
      </c>
      <c r="I4923" s="142">
        <v>7</v>
      </c>
      <c r="J4923" s="142">
        <v>0</v>
      </c>
      <c r="K4923" s="142">
        <v>0</v>
      </c>
      <c r="L4923" s="142">
        <v>7</v>
      </c>
      <c r="M4923" s="142">
        <v>0</v>
      </c>
    </row>
    <row r="4924" spans="1:13" x14ac:dyDescent="0.45">
      <c r="A4924" s="142" t="s">
        <v>13925</v>
      </c>
      <c r="B4924" s="142" t="s">
        <v>15029</v>
      </c>
      <c r="C4924" s="142" t="s">
        <v>15860</v>
      </c>
      <c r="D4924" s="142" t="s">
        <v>15861</v>
      </c>
      <c r="E4924" s="142" t="s">
        <v>15849</v>
      </c>
      <c r="F4924" s="142" t="s">
        <v>10143</v>
      </c>
      <c r="G4924" s="142" t="s">
        <v>10142</v>
      </c>
      <c r="H4924" s="142" t="s">
        <v>20774</v>
      </c>
      <c r="I4924" s="142">
        <v>30</v>
      </c>
      <c r="J4924" s="142">
        <v>30</v>
      </c>
      <c r="K4924" s="142">
        <v>0</v>
      </c>
      <c r="L4924" s="142">
        <v>0</v>
      </c>
      <c r="M4924" s="142">
        <v>0</v>
      </c>
    </row>
    <row r="4925" spans="1:13" x14ac:dyDescent="0.45">
      <c r="A4925" s="142" t="s">
        <v>13149</v>
      </c>
      <c r="B4925" s="142" t="s">
        <v>14458</v>
      </c>
      <c r="C4925" s="142" t="s">
        <v>15860</v>
      </c>
      <c r="D4925" s="142" t="s">
        <v>15861</v>
      </c>
      <c r="E4925" s="142" t="s">
        <v>15849</v>
      </c>
      <c r="F4925" s="142" t="s">
        <v>10143</v>
      </c>
      <c r="G4925" s="142" t="s">
        <v>10142</v>
      </c>
      <c r="H4925" s="142" t="s">
        <v>20775</v>
      </c>
      <c r="I4925" s="142">
        <v>92</v>
      </c>
      <c r="J4925" s="142">
        <v>0</v>
      </c>
      <c r="K4925" s="142">
        <v>0</v>
      </c>
      <c r="L4925" s="142">
        <v>92</v>
      </c>
      <c r="M4925" s="142">
        <v>0</v>
      </c>
    </row>
    <row r="4926" spans="1:13" x14ac:dyDescent="0.45">
      <c r="A4926" s="142" t="s">
        <v>13926</v>
      </c>
      <c r="B4926" s="142" t="s">
        <v>15090</v>
      </c>
      <c r="C4926" s="142" t="s">
        <v>15860</v>
      </c>
      <c r="D4926" s="142" t="s">
        <v>15861</v>
      </c>
      <c r="E4926" s="142" t="s">
        <v>15849</v>
      </c>
      <c r="F4926" s="142" t="s">
        <v>10143</v>
      </c>
      <c r="G4926" s="142" t="s">
        <v>10142</v>
      </c>
      <c r="H4926" s="142" t="s">
        <v>20776</v>
      </c>
      <c r="I4926" s="142">
        <v>40</v>
      </c>
      <c r="J4926" s="142">
        <v>40</v>
      </c>
      <c r="K4926" s="142">
        <v>0</v>
      </c>
      <c r="L4926" s="142">
        <v>0</v>
      </c>
      <c r="M4926" s="142">
        <v>0</v>
      </c>
    </row>
    <row r="4927" spans="1:13" x14ac:dyDescent="0.45">
      <c r="A4927" s="142" t="s">
        <v>13515</v>
      </c>
      <c r="B4927" s="142" t="s">
        <v>14552</v>
      </c>
      <c r="C4927" s="142" t="s">
        <v>15860</v>
      </c>
      <c r="D4927" s="142" t="s">
        <v>15861</v>
      </c>
      <c r="E4927" s="142" t="s">
        <v>15849</v>
      </c>
      <c r="F4927" s="142" t="s">
        <v>10143</v>
      </c>
      <c r="G4927" s="142" t="s">
        <v>10142</v>
      </c>
      <c r="H4927" s="142" t="s">
        <v>20777</v>
      </c>
      <c r="I4927" s="142">
        <v>135</v>
      </c>
      <c r="J4927" s="142">
        <v>0</v>
      </c>
      <c r="K4927" s="142">
        <v>0</v>
      </c>
      <c r="L4927" s="142">
        <v>135</v>
      </c>
      <c r="M4927" s="142">
        <v>0</v>
      </c>
    </row>
    <row r="4928" spans="1:13" x14ac:dyDescent="0.45">
      <c r="A4928" s="142" t="s">
        <v>13927</v>
      </c>
      <c r="B4928" s="142" t="s">
        <v>15003</v>
      </c>
      <c r="C4928" s="142" t="s">
        <v>15860</v>
      </c>
      <c r="D4928" s="142" t="s">
        <v>15861</v>
      </c>
      <c r="E4928" s="142" t="s">
        <v>15849</v>
      </c>
      <c r="F4928" s="142" t="s">
        <v>10143</v>
      </c>
      <c r="G4928" s="142" t="s">
        <v>10142</v>
      </c>
      <c r="H4928" s="142" t="s">
        <v>20778</v>
      </c>
      <c r="I4928" s="142">
        <v>42</v>
      </c>
      <c r="J4928" s="142">
        <v>42</v>
      </c>
      <c r="K4928" s="142">
        <v>0</v>
      </c>
      <c r="L4928" s="142">
        <v>0</v>
      </c>
      <c r="M4928" s="142">
        <v>0</v>
      </c>
    </row>
    <row r="4929" spans="1:13" x14ac:dyDescent="0.45">
      <c r="A4929" s="142" t="s">
        <v>13028</v>
      </c>
      <c r="B4929" s="142" t="s">
        <v>14462</v>
      </c>
      <c r="C4929" s="142" t="s">
        <v>15847</v>
      </c>
      <c r="D4929" s="142" t="s">
        <v>15848</v>
      </c>
      <c r="E4929" s="142" t="s">
        <v>15849</v>
      </c>
      <c r="F4929" s="142" t="s">
        <v>10143</v>
      </c>
      <c r="G4929" s="142" t="s">
        <v>10142</v>
      </c>
      <c r="H4929" s="142" t="s">
        <v>20779</v>
      </c>
      <c r="I4929" s="142">
        <v>25</v>
      </c>
      <c r="J4929" s="142">
        <v>0</v>
      </c>
      <c r="K4929" s="142">
        <v>0</v>
      </c>
      <c r="L4929" s="142">
        <v>0</v>
      </c>
      <c r="M4929" s="142">
        <v>25</v>
      </c>
    </row>
    <row r="4930" spans="1:13" x14ac:dyDescent="0.45">
      <c r="A4930" s="142" t="s">
        <v>13160</v>
      </c>
      <c r="B4930" s="142" t="s">
        <v>14525</v>
      </c>
      <c r="C4930" s="142" t="s">
        <v>15847</v>
      </c>
      <c r="D4930" s="142" t="s">
        <v>15848</v>
      </c>
      <c r="E4930" s="142" t="s">
        <v>15849</v>
      </c>
      <c r="F4930" s="142" t="s">
        <v>10143</v>
      </c>
      <c r="G4930" s="142" t="s">
        <v>10142</v>
      </c>
      <c r="H4930" s="142" t="s">
        <v>20780</v>
      </c>
      <c r="I4930" s="142">
        <v>53</v>
      </c>
      <c r="J4930" s="142">
        <v>0</v>
      </c>
      <c r="K4930" s="142">
        <v>0</v>
      </c>
      <c r="L4930" s="142">
        <v>53</v>
      </c>
      <c r="M4930" s="142">
        <v>0</v>
      </c>
    </row>
    <row r="4931" spans="1:13" x14ac:dyDescent="0.45">
      <c r="A4931" s="142" t="s">
        <v>13928</v>
      </c>
      <c r="B4931" s="142" t="s">
        <v>15034</v>
      </c>
      <c r="C4931" s="142" t="s">
        <v>15860</v>
      </c>
      <c r="D4931" s="142" t="s">
        <v>15861</v>
      </c>
      <c r="E4931" s="142" t="s">
        <v>15849</v>
      </c>
      <c r="F4931" s="142" t="s">
        <v>10143</v>
      </c>
      <c r="G4931" s="142" t="s">
        <v>10142</v>
      </c>
      <c r="H4931" s="142" t="s">
        <v>20781</v>
      </c>
      <c r="I4931" s="142">
        <v>34</v>
      </c>
      <c r="J4931" s="142">
        <v>34</v>
      </c>
      <c r="K4931" s="142">
        <v>0</v>
      </c>
      <c r="L4931" s="142">
        <v>0</v>
      </c>
      <c r="M4931" s="142">
        <v>0</v>
      </c>
    </row>
    <row r="4932" spans="1:13" x14ac:dyDescent="0.45">
      <c r="A4932" s="142" t="s">
        <v>13929</v>
      </c>
      <c r="B4932" s="142" t="s">
        <v>14959</v>
      </c>
      <c r="C4932" s="142" t="s">
        <v>15860</v>
      </c>
      <c r="D4932" s="142" t="s">
        <v>15861</v>
      </c>
      <c r="E4932" s="142" t="s">
        <v>15849</v>
      </c>
      <c r="F4932" s="142" t="s">
        <v>10143</v>
      </c>
      <c r="G4932" s="142" t="s">
        <v>10142</v>
      </c>
      <c r="H4932" s="142" t="s">
        <v>20782</v>
      </c>
      <c r="I4932" s="142">
        <v>117</v>
      </c>
      <c r="J4932" s="142">
        <v>117</v>
      </c>
      <c r="K4932" s="142">
        <v>0</v>
      </c>
      <c r="L4932" s="142">
        <v>0</v>
      </c>
      <c r="M4932" s="142">
        <v>0</v>
      </c>
    </row>
    <row r="4933" spans="1:13" x14ac:dyDescent="0.45">
      <c r="A4933" s="142" t="s">
        <v>13003</v>
      </c>
      <c r="B4933" s="142" t="s">
        <v>15245</v>
      </c>
      <c r="C4933" s="142" t="s">
        <v>15847</v>
      </c>
      <c r="D4933" s="142" t="s">
        <v>15848</v>
      </c>
      <c r="E4933" s="142" t="s">
        <v>15849</v>
      </c>
      <c r="F4933" s="142" t="s">
        <v>10143</v>
      </c>
      <c r="G4933" s="142" t="s">
        <v>10142</v>
      </c>
      <c r="H4933" s="142" t="s">
        <v>20783</v>
      </c>
      <c r="I4933" s="142">
        <v>184</v>
      </c>
      <c r="J4933" s="142">
        <v>0</v>
      </c>
      <c r="K4933" s="142">
        <v>0</v>
      </c>
      <c r="L4933" s="142">
        <v>184</v>
      </c>
      <c r="M4933" s="142">
        <v>0</v>
      </c>
    </row>
    <row r="4934" spans="1:13" x14ac:dyDescent="0.45">
      <c r="A4934" s="142" t="s">
        <v>13066</v>
      </c>
      <c r="B4934" s="142" t="s">
        <v>14459</v>
      </c>
      <c r="C4934" s="142" t="s">
        <v>15847</v>
      </c>
      <c r="D4934" s="142" t="s">
        <v>15848</v>
      </c>
      <c r="E4934" s="142" t="s">
        <v>15849</v>
      </c>
      <c r="F4934" s="142" t="s">
        <v>10143</v>
      </c>
      <c r="G4934" s="142" t="s">
        <v>10142</v>
      </c>
      <c r="H4934" s="142" t="s">
        <v>20784</v>
      </c>
      <c r="I4934" s="142">
        <v>104</v>
      </c>
      <c r="J4934" s="142">
        <v>0</v>
      </c>
      <c r="K4934" s="142">
        <v>0</v>
      </c>
      <c r="L4934" s="142">
        <v>104</v>
      </c>
      <c r="M4934" s="142">
        <v>0</v>
      </c>
    </row>
    <row r="4935" spans="1:13" x14ac:dyDescent="0.45">
      <c r="A4935" s="142" t="s">
        <v>13930</v>
      </c>
      <c r="B4935" s="142" t="s">
        <v>14577</v>
      </c>
      <c r="C4935" s="142" t="s">
        <v>15860</v>
      </c>
      <c r="D4935" s="142" t="s">
        <v>15861</v>
      </c>
      <c r="E4935" s="142" t="s">
        <v>15849</v>
      </c>
      <c r="F4935" s="142" t="s">
        <v>10143</v>
      </c>
      <c r="G4935" s="142" t="s">
        <v>10142</v>
      </c>
      <c r="H4935" s="142" t="s">
        <v>20785</v>
      </c>
      <c r="I4935" s="142">
        <v>64</v>
      </c>
      <c r="J4935" s="142">
        <v>64</v>
      </c>
      <c r="K4935" s="142">
        <v>0</v>
      </c>
      <c r="L4935" s="142">
        <v>0</v>
      </c>
      <c r="M4935" s="142">
        <v>0</v>
      </c>
    </row>
    <row r="4936" spans="1:13" x14ac:dyDescent="0.45">
      <c r="A4936" s="142" t="s">
        <v>13931</v>
      </c>
      <c r="B4936" s="142" t="s">
        <v>15102</v>
      </c>
      <c r="C4936" s="142" t="s">
        <v>15860</v>
      </c>
      <c r="D4936" s="142" t="s">
        <v>15861</v>
      </c>
      <c r="E4936" s="142" t="s">
        <v>15849</v>
      </c>
      <c r="F4936" s="142" t="s">
        <v>10143</v>
      </c>
      <c r="G4936" s="142" t="s">
        <v>10142</v>
      </c>
      <c r="H4936" s="142" t="s">
        <v>20786</v>
      </c>
      <c r="I4936" s="142">
        <v>48</v>
      </c>
      <c r="J4936" s="142">
        <v>48</v>
      </c>
      <c r="K4936" s="142">
        <v>0</v>
      </c>
      <c r="L4936" s="142">
        <v>0</v>
      </c>
      <c r="M4936" s="142">
        <v>0</v>
      </c>
    </row>
    <row r="4937" spans="1:13" x14ac:dyDescent="0.45">
      <c r="A4937" s="142" t="s">
        <v>13932</v>
      </c>
      <c r="B4937" s="142" t="s">
        <v>14955</v>
      </c>
      <c r="C4937" s="142" t="s">
        <v>15860</v>
      </c>
      <c r="D4937" s="142" t="s">
        <v>15861</v>
      </c>
      <c r="E4937" s="142" t="s">
        <v>15849</v>
      </c>
      <c r="F4937" s="142" t="s">
        <v>10143</v>
      </c>
      <c r="G4937" s="142" t="s">
        <v>10142</v>
      </c>
      <c r="H4937" s="142" t="s">
        <v>20787</v>
      </c>
      <c r="I4937" s="142">
        <v>128</v>
      </c>
      <c r="J4937" s="142">
        <v>128</v>
      </c>
      <c r="K4937" s="142">
        <v>0</v>
      </c>
      <c r="L4937" s="142">
        <v>0</v>
      </c>
      <c r="M4937" s="142">
        <v>0</v>
      </c>
    </row>
    <row r="4938" spans="1:13" x14ac:dyDescent="0.45">
      <c r="A4938" s="142" t="s">
        <v>13933</v>
      </c>
      <c r="B4938" s="142" t="s">
        <v>15027</v>
      </c>
      <c r="C4938" s="142" t="s">
        <v>15860</v>
      </c>
      <c r="D4938" s="142" t="s">
        <v>15861</v>
      </c>
      <c r="E4938" s="142" t="s">
        <v>15849</v>
      </c>
      <c r="F4938" s="142" t="s">
        <v>10143</v>
      </c>
      <c r="G4938" s="142" t="s">
        <v>10142</v>
      </c>
      <c r="H4938" s="142" t="s">
        <v>20788</v>
      </c>
      <c r="I4938" s="142">
        <v>40</v>
      </c>
      <c r="J4938" s="142">
        <v>40</v>
      </c>
      <c r="K4938" s="142">
        <v>0</v>
      </c>
      <c r="L4938" s="142">
        <v>0</v>
      </c>
      <c r="M4938" s="142">
        <v>0</v>
      </c>
    </row>
    <row r="4939" spans="1:13" x14ac:dyDescent="0.45">
      <c r="A4939" s="142" t="s">
        <v>13934</v>
      </c>
      <c r="B4939" s="142" t="s">
        <v>14996</v>
      </c>
      <c r="C4939" s="142" t="s">
        <v>15860</v>
      </c>
      <c r="D4939" s="142" t="s">
        <v>15861</v>
      </c>
      <c r="E4939" s="142" t="s">
        <v>15849</v>
      </c>
      <c r="F4939" s="142" t="s">
        <v>10143</v>
      </c>
      <c r="G4939" s="142" t="s">
        <v>10142</v>
      </c>
      <c r="H4939" s="142" t="s">
        <v>20789</v>
      </c>
      <c r="I4939" s="142">
        <v>37</v>
      </c>
      <c r="J4939" s="142">
        <v>37</v>
      </c>
      <c r="K4939" s="142">
        <v>0</v>
      </c>
      <c r="L4939" s="142">
        <v>0</v>
      </c>
      <c r="M4939" s="142">
        <v>0</v>
      </c>
    </row>
    <row r="4940" spans="1:13" x14ac:dyDescent="0.45">
      <c r="A4940" s="142" t="s">
        <v>13935</v>
      </c>
      <c r="B4940" s="142" t="s">
        <v>15247</v>
      </c>
      <c r="C4940" s="142" t="s">
        <v>15860</v>
      </c>
      <c r="D4940" s="142" t="s">
        <v>15861</v>
      </c>
      <c r="E4940" s="142" t="s">
        <v>15849</v>
      </c>
      <c r="F4940" s="142" t="s">
        <v>10143</v>
      </c>
      <c r="G4940" s="142" t="s">
        <v>10142</v>
      </c>
      <c r="H4940" s="142" t="s">
        <v>20790</v>
      </c>
      <c r="I4940" s="142">
        <v>206</v>
      </c>
      <c r="J4940" s="142">
        <v>40</v>
      </c>
      <c r="K4940" s="142">
        <v>0</v>
      </c>
      <c r="L4940" s="142">
        <v>166</v>
      </c>
      <c r="M4940" s="142">
        <v>0</v>
      </c>
    </row>
    <row r="4941" spans="1:13" x14ac:dyDescent="0.45">
      <c r="A4941" s="142" t="s">
        <v>13744</v>
      </c>
      <c r="B4941" s="142" t="s">
        <v>15593</v>
      </c>
      <c r="C4941" s="142" t="s">
        <v>15847</v>
      </c>
      <c r="D4941" s="142" t="s">
        <v>15848</v>
      </c>
      <c r="E4941" s="142" t="s">
        <v>15849</v>
      </c>
      <c r="F4941" s="142" t="s">
        <v>10143</v>
      </c>
      <c r="G4941" s="142" t="s">
        <v>10142</v>
      </c>
      <c r="H4941" s="142" t="s">
        <v>20791</v>
      </c>
      <c r="I4941" s="142">
        <v>10</v>
      </c>
      <c r="J4941" s="142">
        <v>10</v>
      </c>
      <c r="K4941" s="142">
        <v>0</v>
      </c>
      <c r="L4941" s="142">
        <v>0</v>
      </c>
      <c r="M4941" s="142">
        <v>0</v>
      </c>
    </row>
    <row r="4942" spans="1:13" x14ac:dyDescent="0.45">
      <c r="A4942" s="142" t="s">
        <v>13936</v>
      </c>
      <c r="B4942" s="142" t="s">
        <v>14939</v>
      </c>
      <c r="C4942" s="142" t="s">
        <v>15860</v>
      </c>
      <c r="D4942" s="142" t="s">
        <v>15861</v>
      </c>
      <c r="E4942" s="142" t="s">
        <v>15849</v>
      </c>
      <c r="F4942" s="142" t="s">
        <v>10143</v>
      </c>
      <c r="G4942" s="142" t="s">
        <v>10142</v>
      </c>
      <c r="H4942" s="142" t="s">
        <v>20792</v>
      </c>
      <c r="I4942" s="142">
        <v>215</v>
      </c>
      <c r="J4942" s="142">
        <v>215</v>
      </c>
      <c r="K4942" s="142">
        <v>0</v>
      </c>
      <c r="L4942" s="142">
        <v>0</v>
      </c>
      <c r="M4942" s="142">
        <v>0</v>
      </c>
    </row>
    <row r="4943" spans="1:13" x14ac:dyDescent="0.45">
      <c r="A4943" s="142" t="s">
        <v>13937</v>
      </c>
      <c r="B4943" s="142" t="s">
        <v>15047</v>
      </c>
      <c r="C4943" s="142" t="s">
        <v>15860</v>
      </c>
      <c r="D4943" s="142" t="s">
        <v>15861</v>
      </c>
      <c r="E4943" s="142" t="s">
        <v>15849</v>
      </c>
      <c r="F4943" s="142" t="s">
        <v>10143</v>
      </c>
      <c r="G4943" s="142" t="s">
        <v>10142</v>
      </c>
      <c r="H4943" s="142" t="s">
        <v>20793</v>
      </c>
      <c r="I4943" s="142">
        <v>54</v>
      </c>
      <c r="J4943" s="142">
        <v>54</v>
      </c>
      <c r="K4943" s="142">
        <v>0</v>
      </c>
      <c r="L4943" s="142">
        <v>0</v>
      </c>
      <c r="M4943" s="142">
        <v>0</v>
      </c>
    </row>
    <row r="4944" spans="1:13" x14ac:dyDescent="0.45">
      <c r="A4944" s="142" t="s">
        <v>13284</v>
      </c>
      <c r="B4944" s="142" t="s">
        <v>15364</v>
      </c>
      <c r="C4944" s="142" t="s">
        <v>15847</v>
      </c>
      <c r="D4944" s="142" t="s">
        <v>15848</v>
      </c>
      <c r="E4944" s="142" t="s">
        <v>15849</v>
      </c>
      <c r="F4944" s="142" t="s">
        <v>10143</v>
      </c>
      <c r="G4944" s="142" t="s">
        <v>10142</v>
      </c>
      <c r="H4944" s="142" t="s">
        <v>20794</v>
      </c>
      <c r="I4944" s="142">
        <v>21</v>
      </c>
      <c r="J4944" s="142">
        <v>21</v>
      </c>
      <c r="K4944" s="142">
        <v>0</v>
      </c>
      <c r="L4944" s="142">
        <v>0</v>
      </c>
      <c r="M4944" s="142">
        <v>0</v>
      </c>
    </row>
    <row r="4945" spans="1:13" x14ac:dyDescent="0.45">
      <c r="A4945" s="142" t="s">
        <v>13516</v>
      </c>
      <c r="B4945" s="142" t="s">
        <v>14461</v>
      </c>
      <c r="C4945" s="142" t="s">
        <v>15860</v>
      </c>
      <c r="D4945" s="142" t="s">
        <v>15861</v>
      </c>
      <c r="E4945" s="142" t="s">
        <v>15849</v>
      </c>
      <c r="F4945" s="142" t="s">
        <v>10143</v>
      </c>
      <c r="G4945" s="142" t="s">
        <v>10142</v>
      </c>
      <c r="H4945" s="142" t="s">
        <v>20795</v>
      </c>
      <c r="I4945" s="142">
        <v>13</v>
      </c>
      <c r="J4945" s="142">
        <v>0</v>
      </c>
      <c r="K4945" s="142">
        <v>0</v>
      </c>
      <c r="L4945" s="142">
        <v>13</v>
      </c>
      <c r="M4945" s="142">
        <v>0</v>
      </c>
    </row>
    <row r="4946" spans="1:13" x14ac:dyDescent="0.45">
      <c r="A4946" s="142" t="s">
        <v>13938</v>
      </c>
      <c r="B4946" s="142" t="s">
        <v>15009</v>
      </c>
      <c r="C4946" s="142" t="s">
        <v>15860</v>
      </c>
      <c r="D4946" s="142" t="s">
        <v>15861</v>
      </c>
      <c r="E4946" s="142" t="s">
        <v>15849</v>
      </c>
      <c r="F4946" s="142" t="s">
        <v>10143</v>
      </c>
      <c r="G4946" s="142" t="s">
        <v>10142</v>
      </c>
      <c r="H4946" s="142" t="s">
        <v>20796</v>
      </c>
      <c r="I4946" s="142">
        <v>87</v>
      </c>
      <c r="J4946" s="142">
        <v>87</v>
      </c>
      <c r="K4946" s="142">
        <v>0</v>
      </c>
      <c r="L4946" s="142">
        <v>0</v>
      </c>
      <c r="M4946" s="142">
        <v>0</v>
      </c>
    </row>
    <row r="4947" spans="1:13" x14ac:dyDescent="0.45">
      <c r="A4947" s="142" t="s">
        <v>13486</v>
      </c>
      <c r="B4947" s="142" t="s">
        <v>14563</v>
      </c>
      <c r="C4947" s="142" t="s">
        <v>15847</v>
      </c>
      <c r="D4947" s="142" t="s">
        <v>15848</v>
      </c>
      <c r="E4947" s="142" t="s">
        <v>15849</v>
      </c>
      <c r="F4947" s="142" t="s">
        <v>10143</v>
      </c>
      <c r="G4947" s="142" t="s">
        <v>10142</v>
      </c>
      <c r="H4947" s="142" t="s">
        <v>20797</v>
      </c>
      <c r="I4947" s="142">
        <v>980</v>
      </c>
      <c r="J4947" s="142">
        <v>882</v>
      </c>
      <c r="K4947" s="142">
        <v>0</v>
      </c>
      <c r="L4947" s="142">
        <v>53</v>
      </c>
      <c r="M4947" s="142">
        <v>45</v>
      </c>
    </row>
    <row r="4948" spans="1:13" x14ac:dyDescent="0.45">
      <c r="A4948" s="142" t="s">
        <v>13276</v>
      </c>
      <c r="B4948" s="142" t="s">
        <v>15498</v>
      </c>
      <c r="C4948" s="142" t="s">
        <v>15847</v>
      </c>
      <c r="D4948" s="142" t="s">
        <v>15848</v>
      </c>
      <c r="E4948" s="142" t="s">
        <v>15849</v>
      </c>
      <c r="F4948" s="142" t="s">
        <v>10143</v>
      </c>
      <c r="G4948" s="142" t="s">
        <v>10142</v>
      </c>
      <c r="H4948" s="142" t="s">
        <v>20798</v>
      </c>
      <c r="I4948" s="142">
        <v>6568</v>
      </c>
      <c r="J4948" s="142">
        <v>5437</v>
      </c>
      <c r="K4948" s="142">
        <v>0</v>
      </c>
      <c r="L4948" s="142">
        <v>995</v>
      </c>
      <c r="M4948" s="142">
        <v>136</v>
      </c>
    </row>
    <row r="4949" spans="1:13" x14ac:dyDescent="0.45">
      <c r="A4949" s="142" t="s">
        <v>13032</v>
      </c>
      <c r="B4949" s="142" t="s">
        <v>14532</v>
      </c>
      <c r="C4949" s="142" t="s">
        <v>15860</v>
      </c>
      <c r="D4949" s="142" t="s">
        <v>15861</v>
      </c>
      <c r="E4949" s="142" t="s">
        <v>15849</v>
      </c>
      <c r="F4949" s="142" t="s">
        <v>10143</v>
      </c>
      <c r="G4949" s="142" t="s">
        <v>10142</v>
      </c>
      <c r="H4949" s="142" t="s">
        <v>20799</v>
      </c>
      <c r="I4949" s="142">
        <v>21</v>
      </c>
      <c r="J4949" s="142">
        <v>2</v>
      </c>
      <c r="K4949" s="142">
        <v>0</v>
      </c>
      <c r="L4949" s="142">
        <v>19</v>
      </c>
      <c r="M4949" s="142">
        <v>0</v>
      </c>
    </row>
    <row r="4950" spans="1:13" x14ac:dyDescent="0.45">
      <c r="A4950" s="142" t="s">
        <v>13939</v>
      </c>
      <c r="B4950" s="142" t="s">
        <v>15386</v>
      </c>
      <c r="C4950" s="142" t="s">
        <v>15860</v>
      </c>
      <c r="D4950" s="142" t="s">
        <v>15861</v>
      </c>
      <c r="E4950" s="142" t="s">
        <v>15849</v>
      </c>
      <c r="F4950" s="142" t="s">
        <v>10143</v>
      </c>
      <c r="G4950" s="142" t="s">
        <v>10142</v>
      </c>
      <c r="H4950" s="142" t="s">
        <v>20800</v>
      </c>
      <c r="I4950" s="142">
        <v>412</v>
      </c>
      <c r="J4950" s="142">
        <v>374</v>
      </c>
      <c r="K4950" s="142">
        <v>0</v>
      </c>
      <c r="L4950" s="142">
        <v>38</v>
      </c>
      <c r="M4950" s="142">
        <v>0</v>
      </c>
    </row>
    <row r="4951" spans="1:13" x14ac:dyDescent="0.45">
      <c r="A4951" s="142" t="s">
        <v>13033</v>
      </c>
      <c r="B4951" s="142" t="s">
        <v>15276</v>
      </c>
      <c r="C4951" s="142" t="s">
        <v>15847</v>
      </c>
      <c r="D4951" s="142" t="s">
        <v>15848</v>
      </c>
      <c r="E4951" s="142" t="s">
        <v>15849</v>
      </c>
      <c r="F4951" s="142" t="s">
        <v>10143</v>
      </c>
      <c r="G4951" s="142" t="s">
        <v>10142</v>
      </c>
      <c r="H4951" s="142" t="s">
        <v>20801</v>
      </c>
      <c r="I4951" s="142">
        <v>1</v>
      </c>
      <c r="J4951" s="142">
        <v>0</v>
      </c>
      <c r="K4951" s="142">
        <v>0</v>
      </c>
      <c r="L4951" s="142">
        <v>0</v>
      </c>
      <c r="M4951" s="142">
        <v>1</v>
      </c>
    </row>
    <row r="4952" spans="1:13" x14ac:dyDescent="0.45">
      <c r="A4952" s="142" t="s">
        <v>13034</v>
      </c>
      <c r="B4952" s="142" t="s">
        <v>15562</v>
      </c>
      <c r="C4952" s="142" t="s">
        <v>15847</v>
      </c>
      <c r="D4952" s="142" t="s">
        <v>15848</v>
      </c>
      <c r="E4952" s="142" t="s">
        <v>15849</v>
      </c>
      <c r="F4952" s="142" t="s">
        <v>10143</v>
      </c>
      <c r="G4952" s="142" t="s">
        <v>10142</v>
      </c>
      <c r="H4952" s="142" t="s">
        <v>20802</v>
      </c>
      <c r="I4952" s="142">
        <v>3</v>
      </c>
      <c r="J4952" s="142">
        <v>0</v>
      </c>
      <c r="K4952" s="142">
        <v>0</v>
      </c>
      <c r="L4952" s="142">
        <v>3</v>
      </c>
      <c r="M4952" s="142">
        <v>0</v>
      </c>
    </row>
    <row r="4953" spans="1:13" x14ac:dyDescent="0.45">
      <c r="A4953" s="142" t="s">
        <v>13487</v>
      </c>
      <c r="B4953" s="142" t="s">
        <v>15490</v>
      </c>
      <c r="C4953" s="142" t="s">
        <v>15847</v>
      </c>
      <c r="D4953" s="142" t="s">
        <v>15848</v>
      </c>
      <c r="E4953" s="142" t="s">
        <v>15849</v>
      </c>
      <c r="F4953" s="142" t="s">
        <v>10143</v>
      </c>
      <c r="G4953" s="142" t="s">
        <v>10142</v>
      </c>
      <c r="H4953" s="142" t="s">
        <v>20803</v>
      </c>
      <c r="I4953" s="142">
        <v>4952</v>
      </c>
      <c r="J4953" s="142">
        <v>4582</v>
      </c>
      <c r="K4953" s="142">
        <v>0</v>
      </c>
      <c r="L4953" s="142">
        <v>286</v>
      </c>
      <c r="M4953" s="142">
        <v>84</v>
      </c>
    </row>
    <row r="4954" spans="1:13" x14ac:dyDescent="0.45">
      <c r="A4954" s="142" t="s">
        <v>13838</v>
      </c>
      <c r="B4954" s="142" t="s">
        <v>15305</v>
      </c>
      <c r="C4954" s="142" t="s">
        <v>15847</v>
      </c>
      <c r="D4954" s="142" t="s">
        <v>15848</v>
      </c>
      <c r="E4954" s="142" t="s">
        <v>15849</v>
      </c>
      <c r="F4954" s="142" t="s">
        <v>10143</v>
      </c>
      <c r="G4954" s="142" t="s">
        <v>10142</v>
      </c>
      <c r="H4954" s="142" t="s">
        <v>20804</v>
      </c>
      <c r="I4954" s="142">
        <v>853</v>
      </c>
      <c r="J4954" s="142">
        <v>768</v>
      </c>
      <c r="K4954" s="142">
        <v>0</v>
      </c>
      <c r="L4954" s="142">
        <v>85</v>
      </c>
      <c r="M4954" s="142">
        <v>0</v>
      </c>
    </row>
    <row r="4955" spans="1:13" x14ac:dyDescent="0.45">
      <c r="A4955" s="142" t="s">
        <v>13940</v>
      </c>
      <c r="B4955" s="142" t="s">
        <v>15022</v>
      </c>
      <c r="C4955" s="142" t="s">
        <v>15860</v>
      </c>
      <c r="D4955" s="142" t="s">
        <v>15861</v>
      </c>
      <c r="E4955" s="142" t="s">
        <v>15849</v>
      </c>
      <c r="F4955" s="142" t="s">
        <v>10143</v>
      </c>
      <c r="G4955" s="142" t="s">
        <v>10142</v>
      </c>
      <c r="H4955" s="142" t="s">
        <v>20805</v>
      </c>
      <c r="I4955" s="142">
        <v>19</v>
      </c>
      <c r="J4955" s="142">
        <v>19</v>
      </c>
      <c r="K4955" s="142">
        <v>0</v>
      </c>
      <c r="L4955" s="142">
        <v>0</v>
      </c>
      <c r="M4955" s="142">
        <v>0</v>
      </c>
    </row>
    <row r="4956" spans="1:13" x14ac:dyDescent="0.45">
      <c r="A4956" s="142" t="s">
        <v>13941</v>
      </c>
      <c r="B4956" s="142" t="s">
        <v>14958</v>
      </c>
      <c r="C4956" s="142" t="s">
        <v>15860</v>
      </c>
      <c r="D4956" s="142" t="s">
        <v>15861</v>
      </c>
      <c r="E4956" s="142" t="s">
        <v>15849</v>
      </c>
      <c r="F4956" s="142" t="s">
        <v>10143</v>
      </c>
      <c r="G4956" s="142" t="s">
        <v>10142</v>
      </c>
      <c r="H4956" s="142" t="s">
        <v>20806</v>
      </c>
      <c r="I4956" s="142">
        <v>99</v>
      </c>
      <c r="J4956" s="142">
        <v>99</v>
      </c>
      <c r="K4956" s="142">
        <v>0</v>
      </c>
      <c r="L4956" s="142">
        <v>0</v>
      </c>
      <c r="M4956" s="142">
        <v>0</v>
      </c>
    </row>
    <row r="4957" spans="1:13" x14ac:dyDescent="0.45">
      <c r="A4957" s="142" t="s">
        <v>13036</v>
      </c>
      <c r="B4957" s="142" t="s">
        <v>15567</v>
      </c>
      <c r="C4957" s="142" t="s">
        <v>15847</v>
      </c>
      <c r="D4957" s="142" t="s">
        <v>15848</v>
      </c>
      <c r="E4957" s="142" t="s">
        <v>15849</v>
      </c>
      <c r="F4957" s="142" t="s">
        <v>10143</v>
      </c>
      <c r="G4957" s="142" t="s">
        <v>10142</v>
      </c>
      <c r="H4957" s="142" t="s">
        <v>20807</v>
      </c>
      <c r="I4957" s="142">
        <v>102</v>
      </c>
      <c r="J4957" s="142">
        <v>0</v>
      </c>
      <c r="K4957" s="142">
        <v>0</v>
      </c>
      <c r="L4957" s="142">
        <v>102</v>
      </c>
      <c r="M4957" s="142">
        <v>0</v>
      </c>
    </row>
    <row r="4958" spans="1:13" x14ac:dyDescent="0.45">
      <c r="A4958" s="142" t="s">
        <v>13942</v>
      </c>
      <c r="B4958" s="142" t="s">
        <v>14675</v>
      </c>
      <c r="C4958" s="142" t="s">
        <v>15860</v>
      </c>
      <c r="D4958" s="142" t="s">
        <v>15861</v>
      </c>
      <c r="E4958" s="142" t="s">
        <v>15849</v>
      </c>
      <c r="F4958" s="142" t="s">
        <v>10143</v>
      </c>
      <c r="G4958" s="142" t="s">
        <v>10142</v>
      </c>
      <c r="H4958" s="142" t="s">
        <v>20808</v>
      </c>
      <c r="I4958" s="142">
        <v>7</v>
      </c>
      <c r="J4958" s="142">
        <v>7</v>
      </c>
      <c r="K4958" s="142">
        <v>0</v>
      </c>
      <c r="L4958" s="142">
        <v>0</v>
      </c>
      <c r="M4958" s="142">
        <v>0</v>
      </c>
    </row>
    <row r="4959" spans="1:13" x14ac:dyDescent="0.45">
      <c r="A4959" s="142" t="s">
        <v>13839</v>
      </c>
      <c r="B4959" s="142" t="s">
        <v>15292</v>
      </c>
      <c r="C4959" s="142" t="s">
        <v>15860</v>
      </c>
      <c r="D4959" s="142" t="s">
        <v>15861</v>
      </c>
      <c r="E4959" s="142" t="s">
        <v>15849</v>
      </c>
      <c r="F4959" s="142" t="s">
        <v>10143</v>
      </c>
      <c r="G4959" s="142" t="s">
        <v>10142</v>
      </c>
      <c r="H4959" s="142" t="s">
        <v>20809</v>
      </c>
      <c r="I4959" s="142">
        <v>118</v>
      </c>
      <c r="J4959" s="142">
        <v>62</v>
      </c>
      <c r="K4959" s="142">
        <v>0</v>
      </c>
      <c r="L4959" s="142">
        <v>56</v>
      </c>
      <c r="M4959" s="142">
        <v>0</v>
      </c>
    </row>
    <row r="4960" spans="1:13" x14ac:dyDescent="0.45">
      <c r="A4960" s="142" t="s">
        <v>13277</v>
      </c>
      <c r="B4960" s="142" t="s">
        <v>14454</v>
      </c>
      <c r="C4960" s="142" t="s">
        <v>15847</v>
      </c>
      <c r="D4960" s="142" t="s">
        <v>15848</v>
      </c>
      <c r="E4960" s="142" t="s">
        <v>15849</v>
      </c>
      <c r="F4960" s="142" t="s">
        <v>10143</v>
      </c>
      <c r="G4960" s="142" t="s">
        <v>10142</v>
      </c>
      <c r="H4960" s="142" t="s">
        <v>20810</v>
      </c>
      <c r="I4960" s="142">
        <v>1016</v>
      </c>
      <c r="J4960" s="142">
        <v>729</v>
      </c>
      <c r="K4960" s="142">
        <v>0</v>
      </c>
      <c r="L4960" s="142">
        <v>213</v>
      </c>
      <c r="M4960" s="142">
        <v>74</v>
      </c>
    </row>
    <row r="4961" spans="1:13" x14ac:dyDescent="0.45">
      <c r="A4961" s="142" t="s">
        <v>13037</v>
      </c>
      <c r="B4961" s="142" t="s">
        <v>14519</v>
      </c>
      <c r="C4961" s="142" t="s">
        <v>15847</v>
      </c>
      <c r="D4961" s="142" t="s">
        <v>15848</v>
      </c>
      <c r="E4961" s="142" t="s">
        <v>15849</v>
      </c>
      <c r="F4961" s="142" t="s">
        <v>10143</v>
      </c>
      <c r="G4961" s="142" t="s">
        <v>10142</v>
      </c>
      <c r="H4961" s="142" t="s">
        <v>20811</v>
      </c>
      <c r="I4961" s="142">
        <v>12</v>
      </c>
      <c r="J4961" s="142">
        <v>0</v>
      </c>
      <c r="K4961" s="142">
        <v>0</v>
      </c>
      <c r="L4961" s="142">
        <v>12</v>
      </c>
      <c r="M4961" s="142">
        <v>0</v>
      </c>
    </row>
    <row r="4962" spans="1:13" x14ac:dyDescent="0.45">
      <c r="A4962" s="142" t="s">
        <v>13136</v>
      </c>
      <c r="B4962" s="142" t="s">
        <v>15445</v>
      </c>
      <c r="C4962" s="142" t="s">
        <v>15860</v>
      </c>
      <c r="D4962" s="142" t="s">
        <v>15861</v>
      </c>
      <c r="E4962" s="142" t="s">
        <v>15849</v>
      </c>
      <c r="F4962" s="142" t="s">
        <v>10143</v>
      </c>
      <c r="G4962" s="142" t="s">
        <v>10142</v>
      </c>
      <c r="H4962" s="142" t="s">
        <v>20812</v>
      </c>
      <c r="I4962" s="142">
        <v>46</v>
      </c>
      <c r="J4962" s="142">
        <v>0</v>
      </c>
      <c r="K4962" s="142">
        <v>0</v>
      </c>
      <c r="L4962" s="142">
        <v>46</v>
      </c>
      <c r="M4962" s="142">
        <v>0</v>
      </c>
    </row>
    <row r="4963" spans="1:13" x14ac:dyDescent="0.45">
      <c r="A4963" s="142" t="s">
        <v>13943</v>
      </c>
      <c r="B4963" s="142" t="s">
        <v>15084</v>
      </c>
      <c r="C4963" s="142" t="s">
        <v>15860</v>
      </c>
      <c r="D4963" s="142" t="s">
        <v>15861</v>
      </c>
      <c r="E4963" s="142" t="s">
        <v>15849</v>
      </c>
      <c r="F4963" s="142" t="s">
        <v>10143</v>
      </c>
      <c r="G4963" s="142" t="s">
        <v>10142</v>
      </c>
      <c r="H4963" s="142" t="s">
        <v>20813</v>
      </c>
      <c r="I4963" s="142">
        <v>37</v>
      </c>
      <c r="J4963" s="142">
        <v>37</v>
      </c>
      <c r="K4963" s="142">
        <v>0</v>
      </c>
      <c r="L4963" s="142">
        <v>0</v>
      </c>
      <c r="M4963" s="142">
        <v>0</v>
      </c>
    </row>
    <row r="4964" spans="1:13" x14ac:dyDescent="0.45">
      <c r="A4964" s="142" t="s">
        <v>13078</v>
      </c>
      <c r="B4964" s="142" t="s">
        <v>15540</v>
      </c>
      <c r="C4964" s="142" t="s">
        <v>15847</v>
      </c>
      <c r="D4964" s="142" t="s">
        <v>15848</v>
      </c>
      <c r="E4964" s="142" t="s">
        <v>15849</v>
      </c>
      <c r="F4964" s="142" t="s">
        <v>10143</v>
      </c>
      <c r="G4964" s="142" t="s">
        <v>10142</v>
      </c>
      <c r="H4964" s="142" t="s">
        <v>20814</v>
      </c>
      <c r="I4964" s="142">
        <v>142</v>
      </c>
      <c r="J4964" s="142">
        <v>6</v>
      </c>
      <c r="K4964" s="142">
        <v>0</v>
      </c>
      <c r="L4964" s="142">
        <v>136</v>
      </c>
      <c r="M4964" s="142">
        <v>0</v>
      </c>
    </row>
    <row r="4965" spans="1:13" x14ac:dyDescent="0.45">
      <c r="A4965" s="142" t="s">
        <v>13091</v>
      </c>
      <c r="B4965" s="142" t="s">
        <v>14473</v>
      </c>
      <c r="C4965" s="142" t="s">
        <v>15847</v>
      </c>
      <c r="D4965" s="142" t="s">
        <v>15848</v>
      </c>
      <c r="E4965" s="142" t="s">
        <v>15849</v>
      </c>
      <c r="F4965" s="142" t="s">
        <v>10143</v>
      </c>
      <c r="G4965" s="142" t="s">
        <v>10142</v>
      </c>
      <c r="H4965" s="142" t="s">
        <v>20815</v>
      </c>
      <c r="I4965" s="142">
        <v>40</v>
      </c>
      <c r="J4965" s="142">
        <v>28</v>
      </c>
      <c r="K4965" s="142">
        <v>0</v>
      </c>
      <c r="L4965" s="142">
        <v>0</v>
      </c>
      <c r="M4965" s="142">
        <v>12</v>
      </c>
    </row>
    <row r="4966" spans="1:13" x14ac:dyDescent="0.45">
      <c r="A4966" s="142" t="s">
        <v>13009</v>
      </c>
      <c r="B4966" s="142" t="s">
        <v>15256</v>
      </c>
      <c r="C4966" s="142" t="s">
        <v>15847</v>
      </c>
      <c r="D4966" s="142" t="s">
        <v>15848</v>
      </c>
      <c r="E4966" s="142" t="s">
        <v>15849</v>
      </c>
      <c r="F4966" s="142" t="s">
        <v>10143</v>
      </c>
      <c r="G4966" s="142" t="s">
        <v>10142</v>
      </c>
      <c r="H4966" s="142" t="s">
        <v>20816</v>
      </c>
      <c r="I4966" s="142">
        <v>1084</v>
      </c>
      <c r="J4966" s="142">
        <v>856</v>
      </c>
      <c r="K4966" s="142">
        <v>0</v>
      </c>
      <c r="L4966" s="142">
        <v>201</v>
      </c>
      <c r="M4966" s="142">
        <v>27</v>
      </c>
    </row>
    <row r="4967" spans="1:13" x14ac:dyDescent="0.45">
      <c r="A4967" s="142" t="s">
        <v>13944</v>
      </c>
      <c r="B4967" s="142" t="s">
        <v>15049</v>
      </c>
      <c r="C4967" s="142" t="s">
        <v>15860</v>
      </c>
      <c r="D4967" s="142" t="s">
        <v>15861</v>
      </c>
      <c r="E4967" s="142" t="s">
        <v>15849</v>
      </c>
      <c r="F4967" s="142" t="s">
        <v>10143</v>
      </c>
      <c r="G4967" s="142" t="s">
        <v>10142</v>
      </c>
      <c r="H4967" s="142" t="s">
        <v>20817</v>
      </c>
      <c r="I4967" s="142">
        <v>46</v>
      </c>
      <c r="J4967" s="142">
        <v>46</v>
      </c>
      <c r="K4967" s="142">
        <v>0</v>
      </c>
      <c r="L4967" s="142">
        <v>0</v>
      </c>
      <c r="M4967" s="142">
        <v>0</v>
      </c>
    </row>
    <row r="4968" spans="1:13" x14ac:dyDescent="0.45">
      <c r="A4968" s="142" t="s">
        <v>13945</v>
      </c>
      <c r="B4968" s="142" t="s">
        <v>15429</v>
      </c>
      <c r="C4968" s="142" t="s">
        <v>15847</v>
      </c>
      <c r="D4968" s="142" t="s">
        <v>15848</v>
      </c>
      <c r="E4968" s="142" t="s">
        <v>15849</v>
      </c>
      <c r="F4968" s="142" t="s">
        <v>10143</v>
      </c>
      <c r="G4968" s="142" t="s">
        <v>10142</v>
      </c>
      <c r="H4968" s="142" t="s">
        <v>20818</v>
      </c>
      <c r="I4968" s="142">
        <v>3815</v>
      </c>
      <c r="J4968" s="142">
        <v>3652</v>
      </c>
      <c r="K4968" s="142">
        <v>0</v>
      </c>
      <c r="L4968" s="142">
        <v>123</v>
      </c>
      <c r="M4968" s="142">
        <v>40</v>
      </c>
    </row>
    <row r="4969" spans="1:13" x14ac:dyDescent="0.45">
      <c r="A4969" s="142" t="s">
        <v>13946</v>
      </c>
      <c r="B4969" s="142" t="s">
        <v>15066</v>
      </c>
      <c r="C4969" s="142" t="s">
        <v>15860</v>
      </c>
      <c r="D4969" s="142" t="s">
        <v>15861</v>
      </c>
      <c r="E4969" s="142" t="s">
        <v>15849</v>
      </c>
      <c r="F4969" s="142" t="s">
        <v>10143</v>
      </c>
      <c r="G4969" s="142" t="s">
        <v>10142</v>
      </c>
      <c r="H4969" s="142" t="s">
        <v>20819</v>
      </c>
      <c r="I4969" s="142">
        <v>23</v>
      </c>
      <c r="J4969" s="142">
        <v>23</v>
      </c>
      <c r="K4969" s="142">
        <v>0</v>
      </c>
      <c r="L4969" s="142">
        <v>0</v>
      </c>
      <c r="M4969" s="142">
        <v>0</v>
      </c>
    </row>
    <row r="4970" spans="1:13" x14ac:dyDescent="0.45">
      <c r="A4970" s="142" t="s">
        <v>13947</v>
      </c>
      <c r="B4970" s="142" t="s">
        <v>15037</v>
      </c>
      <c r="C4970" s="142" t="s">
        <v>15860</v>
      </c>
      <c r="D4970" s="142" t="s">
        <v>15861</v>
      </c>
      <c r="E4970" s="142" t="s">
        <v>15849</v>
      </c>
      <c r="F4970" s="142" t="s">
        <v>10143</v>
      </c>
      <c r="G4970" s="142" t="s">
        <v>10142</v>
      </c>
      <c r="H4970" s="142" t="s">
        <v>20820</v>
      </c>
      <c r="I4970" s="142">
        <v>40</v>
      </c>
      <c r="J4970" s="142">
        <v>40</v>
      </c>
      <c r="K4970" s="142">
        <v>0</v>
      </c>
      <c r="L4970" s="142">
        <v>0</v>
      </c>
      <c r="M4970" s="142">
        <v>0</v>
      </c>
    </row>
    <row r="4971" spans="1:13" x14ac:dyDescent="0.45">
      <c r="A4971" s="142" t="s">
        <v>13948</v>
      </c>
      <c r="B4971" s="142" t="s">
        <v>15388</v>
      </c>
      <c r="C4971" s="142" t="s">
        <v>15860</v>
      </c>
      <c r="D4971" s="142" t="s">
        <v>15861</v>
      </c>
      <c r="E4971" s="142" t="s">
        <v>15849</v>
      </c>
      <c r="F4971" s="142" t="s">
        <v>10143</v>
      </c>
      <c r="G4971" s="142" t="s">
        <v>10142</v>
      </c>
      <c r="H4971" s="142" t="s">
        <v>20821</v>
      </c>
      <c r="I4971" s="142">
        <v>276</v>
      </c>
      <c r="J4971" s="142">
        <v>194</v>
      </c>
      <c r="K4971" s="142">
        <v>0</v>
      </c>
      <c r="L4971" s="142">
        <v>82</v>
      </c>
      <c r="M4971" s="142">
        <v>0</v>
      </c>
    </row>
    <row r="4972" spans="1:13" x14ac:dyDescent="0.45">
      <c r="A4972" s="142" t="s">
        <v>13491</v>
      </c>
      <c r="B4972" s="142" t="s">
        <v>14520</v>
      </c>
      <c r="C4972" s="142" t="s">
        <v>15860</v>
      </c>
      <c r="D4972" s="142" t="s">
        <v>15861</v>
      </c>
      <c r="E4972" s="142" t="s">
        <v>15849</v>
      </c>
      <c r="F4972" s="142" t="s">
        <v>10143</v>
      </c>
      <c r="G4972" s="142" t="s">
        <v>10142</v>
      </c>
      <c r="H4972" s="142" t="s">
        <v>20822</v>
      </c>
      <c r="I4972" s="142">
        <v>33</v>
      </c>
      <c r="J4972" s="142">
        <v>0</v>
      </c>
      <c r="K4972" s="142">
        <v>0</v>
      </c>
      <c r="L4972" s="142">
        <v>33</v>
      </c>
      <c r="M4972" s="142">
        <v>0</v>
      </c>
    </row>
    <row r="4973" spans="1:13" x14ac:dyDescent="0.45">
      <c r="A4973" s="142" t="s">
        <v>13042</v>
      </c>
      <c r="B4973" s="142" t="s">
        <v>15489</v>
      </c>
      <c r="C4973" s="142" t="s">
        <v>15847</v>
      </c>
      <c r="D4973" s="142" t="s">
        <v>15848</v>
      </c>
      <c r="E4973" s="142" t="s">
        <v>15849</v>
      </c>
      <c r="F4973" s="142" t="s">
        <v>10143</v>
      </c>
      <c r="G4973" s="142" t="s">
        <v>10142</v>
      </c>
      <c r="H4973" s="142" t="s">
        <v>20823</v>
      </c>
      <c r="I4973" s="142">
        <v>11136</v>
      </c>
      <c r="J4973" s="142">
        <v>9781</v>
      </c>
      <c r="K4973" s="142">
        <v>6</v>
      </c>
      <c r="L4973" s="142">
        <v>1037</v>
      </c>
      <c r="M4973" s="142">
        <v>312</v>
      </c>
    </row>
    <row r="4974" spans="1:13" x14ac:dyDescent="0.45">
      <c r="A4974" s="142" t="s">
        <v>13949</v>
      </c>
      <c r="B4974" s="142" t="s">
        <v>15026</v>
      </c>
      <c r="C4974" s="142" t="s">
        <v>15860</v>
      </c>
      <c r="D4974" s="142" t="s">
        <v>15861</v>
      </c>
      <c r="E4974" s="142" t="s">
        <v>15849</v>
      </c>
      <c r="F4974" s="142" t="s">
        <v>10143</v>
      </c>
      <c r="G4974" s="142" t="s">
        <v>10142</v>
      </c>
      <c r="H4974" s="142" t="s">
        <v>20824</v>
      </c>
      <c r="I4974" s="142">
        <v>40</v>
      </c>
      <c r="J4974" s="142">
        <v>40</v>
      </c>
      <c r="K4974" s="142">
        <v>0</v>
      </c>
      <c r="L4974" s="142">
        <v>0</v>
      </c>
      <c r="M4974" s="142">
        <v>0</v>
      </c>
    </row>
    <row r="4975" spans="1:13" x14ac:dyDescent="0.45">
      <c r="A4975" s="142" t="s">
        <v>13493</v>
      </c>
      <c r="B4975" s="142" t="s">
        <v>14639</v>
      </c>
      <c r="C4975" s="142" t="s">
        <v>15847</v>
      </c>
      <c r="D4975" s="142" t="s">
        <v>15848</v>
      </c>
      <c r="E4975" s="142" t="s">
        <v>15849</v>
      </c>
      <c r="F4975" s="142" t="s">
        <v>10143</v>
      </c>
      <c r="G4975" s="142" t="s">
        <v>10142</v>
      </c>
      <c r="H4975" s="142" t="s">
        <v>20825</v>
      </c>
      <c r="I4975" s="142">
        <v>15181</v>
      </c>
      <c r="J4975" s="142">
        <v>14177</v>
      </c>
      <c r="K4975" s="142">
        <v>0</v>
      </c>
      <c r="L4975" s="142">
        <v>874</v>
      </c>
      <c r="M4975" s="142">
        <v>130</v>
      </c>
    </row>
    <row r="4976" spans="1:13" x14ac:dyDescent="0.45">
      <c r="A4976" s="142" t="s">
        <v>13222</v>
      </c>
      <c r="B4976" s="142" t="s">
        <v>14449</v>
      </c>
      <c r="C4976" s="142" t="s">
        <v>15860</v>
      </c>
      <c r="D4976" s="142" t="s">
        <v>15861</v>
      </c>
      <c r="E4976" s="142" t="s">
        <v>15849</v>
      </c>
      <c r="F4976" s="142" t="s">
        <v>10143</v>
      </c>
      <c r="G4976" s="142" t="s">
        <v>10142</v>
      </c>
      <c r="H4976" s="142" t="s">
        <v>20826</v>
      </c>
      <c r="I4976" s="142">
        <v>15</v>
      </c>
      <c r="J4976" s="142">
        <v>0</v>
      </c>
      <c r="K4976" s="142">
        <v>0</v>
      </c>
      <c r="L4976" s="142">
        <v>15</v>
      </c>
      <c r="M4976" s="142">
        <v>0</v>
      </c>
    </row>
    <row r="4977" spans="1:13" x14ac:dyDescent="0.45">
      <c r="A4977" s="142" t="s">
        <v>13156</v>
      </c>
      <c r="B4977" s="142" t="s">
        <v>14493</v>
      </c>
      <c r="C4977" s="142" t="s">
        <v>15860</v>
      </c>
      <c r="D4977" s="142" t="s">
        <v>15861</v>
      </c>
      <c r="E4977" s="142" t="s">
        <v>15849</v>
      </c>
      <c r="F4977" s="142" t="s">
        <v>10143</v>
      </c>
      <c r="G4977" s="142" t="s">
        <v>10142</v>
      </c>
      <c r="H4977" s="142" t="s">
        <v>20827</v>
      </c>
      <c r="I4977" s="142">
        <v>25</v>
      </c>
      <c r="J4977" s="142">
        <v>0</v>
      </c>
      <c r="K4977" s="142">
        <v>0</v>
      </c>
      <c r="L4977" s="142">
        <v>25</v>
      </c>
      <c r="M4977" s="142">
        <v>0</v>
      </c>
    </row>
    <row r="4978" spans="1:13" x14ac:dyDescent="0.45">
      <c r="A4978" s="142" t="s">
        <v>13950</v>
      </c>
      <c r="B4978" s="142" t="s">
        <v>14983</v>
      </c>
      <c r="C4978" s="142" t="s">
        <v>15860</v>
      </c>
      <c r="D4978" s="142" t="s">
        <v>15861</v>
      </c>
      <c r="E4978" s="142" t="s">
        <v>15849</v>
      </c>
      <c r="F4978" s="142" t="s">
        <v>10143</v>
      </c>
      <c r="G4978" s="142" t="s">
        <v>10142</v>
      </c>
      <c r="H4978" s="142" t="s">
        <v>20828</v>
      </c>
      <c r="I4978" s="142">
        <v>67</v>
      </c>
      <c r="J4978" s="142">
        <v>67</v>
      </c>
      <c r="K4978" s="142">
        <v>0</v>
      </c>
      <c r="L4978" s="142">
        <v>0</v>
      </c>
      <c r="M4978" s="142">
        <v>0</v>
      </c>
    </row>
    <row r="4979" spans="1:13" x14ac:dyDescent="0.45">
      <c r="A4979" s="142" t="s">
        <v>13286</v>
      </c>
      <c r="B4979" s="142" t="s">
        <v>15342</v>
      </c>
      <c r="C4979" s="142" t="s">
        <v>15847</v>
      </c>
      <c r="D4979" s="142" t="s">
        <v>15848</v>
      </c>
      <c r="E4979" s="142" t="s">
        <v>15849</v>
      </c>
      <c r="F4979" s="142" t="s">
        <v>10143</v>
      </c>
      <c r="G4979" s="142" t="s">
        <v>10142</v>
      </c>
      <c r="H4979" s="142" t="s">
        <v>20829</v>
      </c>
      <c r="I4979" s="142">
        <v>2872</v>
      </c>
      <c r="J4979" s="142">
        <v>2599</v>
      </c>
      <c r="K4979" s="142">
        <v>0</v>
      </c>
      <c r="L4979" s="142">
        <v>173</v>
      </c>
      <c r="M4979" s="142">
        <v>100</v>
      </c>
    </row>
    <row r="4980" spans="1:13" x14ac:dyDescent="0.45">
      <c r="A4980" s="142" t="s">
        <v>13021</v>
      </c>
      <c r="B4980" s="142" t="s">
        <v>15501</v>
      </c>
      <c r="C4980" s="142" t="s">
        <v>15847</v>
      </c>
      <c r="D4980" s="142" t="s">
        <v>15848</v>
      </c>
      <c r="E4980" s="142" t="s">
        <v>15849</v>
      </c>
      <c r="F4980" s="142" t="s">
        <v>1519</v>
      </c>
      <c r="G4980" s="142" t="s">
        <v>1518</v>
      </c>
      <c r="H4980" s="142" t="s">
        <v>20830</v>
      </c>
      <c r="I4980" s="142">
        <v>16</v>
      </c>
      <c r="J4980" s="142">
        <v>0</v>
      </c>
      <c r="K4980" s="142">
        <v>0</v>
      </c>
      <c r="L4980" s="142">
        <v>16</v>
      </c>
      <c r="M4980" s="142">
        <v>0</v>
      </c>
    </row>
    <row r="4981" spans="1:13" x14ac:dyDescent="0.45">
      <c r="A4981" s="142" t="s">
        <v>13022</v>
      </c>
      <c r="B4981" s="142" t="s">
        <v>14634</v>
      </c>
      <c r="C4981" s="142" t="s">
        <v>15847</v>
      </c>
      <c r="D4981" s="142" t="s">
        <v>15848</v>
      </c>
      <c r="E4981" s="142" t="s">
        <v>15849</v>
      </c>
      <c r="F4981" s="142" t="s">
        <v>1519</v>
      </c>
      <c r="G4981" s="142" t="s">
        <v>1518</v>
      </c>
      <c r="H4981" s="142" t="s">
        <v>20831</v>
      </c>
      <c r="I4981" s="142">
        <v>41</v>
      </c>
      <c r="J4981" s="142">
        <v>20</v>
      </c>
      <c r="K4981" s="142">
        <v>0</v>
      </c>
      <c r="L4981" s="142">
        <v>21</v>
      </c>
      <c r="M4981" s="142">
        <v>0</v>
      </c>
    </row>
    <row r="4982" spans="1:13" x14ac:dyDescent="0.45">
      <c r="A4982" s="142" t="s">
        <v>13023</v>
      </c>
      <c r="B4982" s="142" t="s">
        <v>15571</v>
      </c>
      <c r="C4982" s="142" t="s">
        <v>15847</v>
      </c>
      <c r="D4982" s="142" t="s">
        <v>15848</v>
      </c>
      <c r="E4982" s="142" t="s">
        <v>15849</v>
      </c>
      <c r="F4982" s="142" t="s">
        <v>1519</v>
      </c>
      <c r="G4982" s="142" t="s">
        <v>1518</v>
      </c>
      <c r="H4982" s="142" t="s">
        <v>20832</v>
      </c>
      <c r="I4982" s="142">
        <v>76</v>
      </c>
      <c r="J4982" s="142">
        <v>0</v>
      </c>
      <c r="K4982" s="142">
        <v>0</v>
      </c>
      <c r="L4982" s="142">
        <v>76</v>
      </c>
      <c r="M4982" s="142">
        <v>0</v>
      </c>
    </row>
    <row r="4983" spans="1:13" x14ac:dyDescent="0.45">
      <c r="A4983" s="142" t="s">
        <v>13952</v>
      </c>
      <c r="B4983" s="142" t="s">
        <v>14716</v>
      </c>
      <c r="C4983" s="142" t="s">
        <v>15860</v>
      </c>
      <c r="D4983" s="142" t="s">
        <v>15861</v>
      </c>
      <c r="E4983" s="142" t="s">
        <v>15849</v>
      </c>
      <c r="F4983" s="142" t="s">
        <v>1519</v>
      </c>
      <c r="G4983" s="142" t="s">
        <v>1518</v>
      </c>
      <c r="H4983" s="142" t="s">
        <v>20833</v>
      </c>
      <c r="I4983" s="142">
        <v>36</v>
      </c>
      <c r="J4983" s="142">
        <v>0</v>
      </c>
      <c r="K4983" s="142">
        <v>0</v>
      </c>
      <c r="L4983" s="142">
        <v>36</v>
      </c>
      <c r="M4983" s="142">
        <v>0</v>
      </c>
    </row>
    <row r="4984" spans="1:13" x14ac:dyDescent="0.45">
      <c r="A4984" s="142" t="s">
        <v>13000</v>
      </c>
      <c r="B4984" s="142" t="s">
        <v>14610</v>
      </c>
      <c r="C4984" s="142" t="s">
        <v>15847</v>
      </c>
      <c r="D4984" s="142" t="s">
        <v>15848</v>
      </c>
      <c r="E4984" s="142" t="s">
        <v>15849</v>
      </c>
      <c r="F4984" s="142" t="s">
        <v>1519</v>
      </c>
      <c r="G4984" s="142" t="s">
        <v>1518</v>
      </c>
      <c r="H4984" s="142" t="s">
        <v>20834</v>
      </c>
      <c r="I4984" s="142">
        <v>850</v>
      </c>
      <c r="J4984" s="142">
        <v>795</v>
      </c>
      <c r="K4984" s="142">
        <v>0</v>
      </c>
      <c r="L4984" s="142">
        <v>49</v>
      </c>
      <c r="M4984" s="142">
        <v>6</v>
      </c>
    </row>
    <row r="4985" spans="1:13" x14ac:dyDescent="0.45">
      <c r="A4985" s="142" t="s">
        <v>13050</v>
      </c>
      <c r="B4985" s="142" t="s">
        <v>15237</v>
      </c>
      <c r="C4985" s="142" t="s">
        <v>15847</v>
      </c>
      <c r="D4985" s="142" t="s">
        <v>15848</v>
      </c>
      <c r="E4985" s="142" t="s">
        <v>15849</v>
      </c>
      <c r="F4985" s="142" t="s">
        <v>1519</v>
      </c>
      <c r="G4985" s="142" t="s">
        <v>1518</v>
      </c>
      <c r="H4985" s="142" t="s">
        <v>20835</v>
      </c>
      <c r="I4985" s="142">
        <v>20</v>
      </c>
      <c r="J4985" s="142">
        <v>20</v>
      </c>
      <c r="K4985" s="142">
        <v>0</v>
      </c>
      <c r="L4985" s="142">
        <v>0</v>
      </c>
      <c r="M4985" s="142">
        <v>0</v>
      </c>
    </row>
    <row r="4986" spans="1:13" x14ac:dyDescent="0.45">
      <c r="A4986" s="142" t="s">
        <v>13028</v>
      </c>
      <c r="B4986" s="142" t="s">
        <v>14462</v>
      </c>
      <c r="C4986" s="142" t="s">
        <v>15847</v>
      </c>
      <c r="D4986" s="142" t="s">
        <v>15848</v>
      </c>
      <c r="E4986" s="142" t="s">
        <v>15849</v>
      </c>
      <c r="F4986" s="142" t="s">
        <v>1519</v>
      </c>
      <c r="G4986" s="142" t="s">
        <v>1518</v>
      </c>
      <c r="H4986" s="142" t="s">
        <v>20836</v>
      </c>
      <c r="I4986" s="142">
        <v>20</v>
      </c>
      <c r="J4986" s="142">
        <v>0</v>
      </c>
      <c r="K4986" s="142">
        <v>0</v>
      </c>
      <c r="L4986" s="142">
        <v>0</v>
      </c>
      <c r="M4986" s="142">
        <v>20</v>
      </c>
    </row>
    <row r="4987" spans="1:13" x14ac:dyDescent="0.45">
      <c r="A4987" s="142" t="s">
        <v>13199</v>
      </c>
      <c r="B4987" s="142" t="s">
        <v>15362</v>
      </c>
      <c r="C4987" s="142" t="s">
        <v>15847</v>
      </c>
      <c r="D4987" s="142" t="s">
        <v>15848</v>
      </c>
      <c r="E4987" s="142" t="s">
        <v>15849</v>
      </c>
      <c r="F4987" s="142" t="s">
        <v>1519</v>
      </c>
      <c r="G4987" s="142" t="s">
        <v>1518</v>
      </c>
      <c r="H4987" s="142" t="s">
        <v>20837</v>
      </c>
      <c r="I4987" s="142">
        <v>295</v>
      </c>
      <c r="J4987" s="142">
        <v>263</v>
      </c>
      <c r="K4987" s="142">
        <v>0</v>
      </c>
      <c r="L4987" s="142">
        <v>0</v>
      </c>
      <c r="M4987" s="142">
        <v>32</v>
      </c>
    </row>
    <row r="4988" spans="1:13" x14ac:dyDescent="0.45">
      <c r="A4988" s="142" t="s">
        <v>13002</v>
      </c>
      <c r="B4988" s="142" t="s">
        <v>15376</v>
      </c>
      <c r="C4988" s="142" t="s">
        <v>15847</v>
      </c>
      <c r="D4988" s="142" t="s">
        <v>15848</v>
      </c>
      <c r="E4988" s="142" t="s">
        <v>15849</v>
      </c>
      <c r="F4988" s="142" t="s">
        <v>1519</v>
      </c>
      <c r="G4988" s="142" t="s">
        <v>1518</v>
      </c>
      <c r="H4988" s="142" t="s">
        <v>20838</v>
      </c>
      <c r="I4988" s="142">
        <v>56</v>
      </c>
      <c r="J4988" s="142">
        <v>0</v>
      </c>
      <c r="K4988" s="142">
        <v>0</v>
      </c>
      <c r="L4988" s="142">
        <v>56</v>
      </c>
      <c r="M4988" s="142">
        <v>0</v>
      </c>
    </row>
    <row r="4989" spans="1:13" x14ac:dyDescent="0.45">
      <c r="A4989" s="142" t="s">
        <v>13200</v>
      </c>
      <c r="B4989" s="142" t="s">
        <v>15214</v>
      </c>
      <c r="C4989" s="142" t="s">
        <v>15860</v>
      </c>
      <c r="D4989" s="142" t="s">
        <v>15861</v>
      </c>
      <c r="E4989" s="142" t="s">
        <v>15849</v>
      </c>
      <c r="F4989" s="142" t="s">
        <v>1519</v>
      </c>
      <c r="G4989" s="142" t="s">
        <v>1518</v>
      </c>
      <c r="H4989" s="142" t="s">
        <v>20839</v>
      </c>
      <c r="I4989" s="142">
        <v>15</v>
      </c>
      <c r="J4989" s="142">
        <v>0</v>
      </c>
      <c r="K4989" s="142">
        <v>0</v>
      </c>
      <c r="L4989" s="142">
        <v>15</v>
      </c>
      <c r="M4989" s="142">
        <v>0</v>
      </c>
    </row>
    <row r="4990" spans="1:13" x14ac:dyDescent="0.45">
      <c r="A4990" s="142" t="s">
        <v>13953</v>
      </c>
      <c r="B4990" s="142" t="s">
        <v>14502</v>
      </c>
      <c r="C4990" s="142" t="s">
        <v>15860</v>
      </c>
      <c r="D4990" s="142" t="s">
        <v>15861</v>
      </c>
      <c r="E4990" s="142" t="s">
        <v>15849</v>
      </c>
      <c r="F4990" s="142" t="s">
        <v>1519</v>
      </c>
      <c r="G4990" s="142" t="s">
        <v>1518</v>
      </c>
      <c r="H4990" s="142" t="s">
        <v>20840</v>
      </c>
      <c r="I4990" s="142">
        <v>37</v>
      </c>
      <c r="J4990" s="142">
        <v>14</v>
      </c>
      <c r="K4990" s="142">
        <v>0</v>
      </c>
      <c r="L4990" s="142">
        <v>23</v>
      </c>
      <c r="M4990" s="142">
        <v>0</v>
      </c>
    </row>
    <row r="4991" spans="1:13" x14ac:dyDescent="0.45">
      <c r="A4991" s="142" t="s">
        <v>13201</v>
      </c>
      <c r="B4991" s="142" t="s">
        <v>14481</v>
      </c>
      <c r="C4991" s="142" t="s">
        <v>15860</v>
      </c>
      <c r="D4991" s="142" t="s">
        <v>15861</v>
      </c>
      <c r="E4991" s="142" t="s">
        <v>15849</v>
      </c>
      <c r="F4991" s="142" t="s">
        <v>1519</v>
      </c>
      <c r="G4991" s="142" t="s">
        <v>1518</v>
      </c>
      <c r="H4991" s="142" t="s">
        <v>20841</v>
      </c>
      <c r="I4991" s="142">
        <v>3</v>
      </c>
      <c r="J4991" s="142">
        <v>0</v>
      </c>
      <c r="K4991" s="142">
        <v>0</v>
      </c>
      <c r="L4991" s="142">
        <v>3</v>
      </c>
      <c r="M4991" s="142">
        <v>0</v>
      </c>
    </row>
    <row r="4992" spans="1:13" x14ac:dyDescent="0.45">
      <c r="A4992" s="142" t="s">
        <v>13005</v>
      </c>
      <c r="B4992" s="142" t="s">
        <v>15475</v>
      </c>
      <c r="C4992" s="142" t="s">
        <v>15847</v>
      </c>
      <c r="D4992" s="142" t="s">
        <v>15848</v>
      </c>
      <c r="E4992" s="142" t="s">
        <v>15849</v>
      </c>
      <c r="F4992" s="142" t="s">
        <v>1519</v>
      </c>
      <c r="G4992" s="142" t="s">
        <v>1518</v>
      </c>
      <c r="H4992" s="142" t="s">
        <v>20842</v>
      </c>
      <c r="I4992" s="142">
        <v>8</v>
      </c>
      <c r="J4992" s="142">
        <v>0</v>
      </c>
      <c r="K4992" s="142">
        <v>0</v>
      </c>
      <c r="L4992" s="142">
        <v>0</v>
      </c>
      <c r="M4992" s="142">
        <v>8</v>
      </c>
    </row>
    <row r="4993" spans="1:13" x14ac:dyDescent="0.45">
      <c r="A4993" s="142" t="s">
        <v>13463</v>
      </c>
      <c r="B4993" s="142" t="s">
        <v>15330</v>
      </c>
      <c r="C4993" s="142" t="s">
        <v>15860</v>
      </c>
      <c r="D4993" s="142" t="s">
        <v>15861</v>
      </c>
      <c r="E4993" s="142" t="s">
        <v>15849</v>
      </c>
      <c r="F4993" s="142" t="s">
        <v>1519</v>
      </c>
      <c r="G4993" s="142" t="s">
        <v>1518</v>
      </c>
      <c r="H4993" s="142" t="s">
        <v>20843</v>
      </c>
      <c r="I4993" s="142">
        <v>360</v>
      </c>
      <c r="J4993" s="142">
        <v>265</v>
      </c>
      <c r="K4993" s="142">
        <v>0</v>
      </c>
      <c r="L4993" s="142">
        <v>95</v>
      </c>
      <c r="M4993" s="142">
        <v>0</v>
      </c>
    </row>
    <row r="4994" spans="1:13" x14ac:dyDescent="0.45">
      <c r="A4994" s="142" t="s">
        <v>13006</v>
      </c>
      <c r="B4994" s="142" t="s">
        <v>15288</v>
      </c>
      <c r="C4994" s="142" t="s">
        <v>15847</v>
      </c>
      <c r="D4994" s="142" t="s">
        <v>15848</v>
      </c>
      <c r="E4994" s="142" t="s">
        <v>15849</v>
      </c>
      <c r="F4994" s="142" t="s">
        <v>1519</v>
      </c>
      <c r="G4994" s="142" t="s">
        <v>1518</v>
      </c>
      <c r="H4994" s="142" t="s">
        <v>20844</v>
      </c>
      <c r="I4994" s="142">
        <v>1</v>
      </c>
      <c r="J4994" s="142">
        <v>0</v>
      </c>
      <c r="K4994" s="142">
        <v>0</v>
      </c>
      <c r="L4994" s="142">
        <v>0</v>
      </c>
      <c r="M4994" s="142">
        <v>1</v>
      </c>
    </row>
    <row r="4995" spans="1:13" x14ac:dyDescent="0.45">
      <c r="A4995" s="142" t="s">
        <v>13103</v>
      </c>
      <c r="B4995" s="142" t="s">
        <v>14623</v>
      </c>
      <c r="C4995" s="142" t="s">
        <v>15847</v>
      </c>
      <c r="D4995" s="142" t="s">
        <v>15848</v>
      </c>
      <c r="E4995" s="142" t="s">
        <v>15849</v>
      </c>
      <c r="F4995" s="142" t="s">
        <v>1519</v>
      </c>
      <c r="G4995" s="142" t="s">
        <v>1518</v>
      </c>
      <c r="H4995" s="142" t="s">
        <v>20845</v>
      </c>
      <c r="I4995" s="142">
        <v>72</v>
      </c>
      <c r="J4995" s="142">
        <v>72</v>
      </c>
      <c r="K4995" s="142">
        <v>0</v>
      </c>
      <c r="L4995" s="142">
        <v>0</v>
      </c>
      <c r="M4995" s="142">
        <v>0</v>
      </c>
    </row>
    <row r="4996" spans="1:13" x14ac:dyDescent="0.45">
      <c r="A4996" s="142" t="s">
        <v>13636</v>
      </c>
      <c r="B4996" s="142" t="s">
        <v>14440</v>
      </c>
      <c r="C4996" s="142" t="s">
        <v>15860</v>
      </c>
      <c r="D4996" s="142" t="s">
        <v>15861</v>
      </c>
      <c r="E4996" s="142" t="s">
        <v>15849</v>
      </c>
      <c r="F4996" s="142" t="s">
        <v>1519</v>
      </c>
      <c r="G4996" s="142" t="s">
        <v>1518</v>
      </c>
      <c r="H4996" s="142" t="s">
        <v>20846</v>
      </c>
      <c r="I4996" s="142">
        <v>7</v>
      </c>
      <c r="J4996" s="142">
        <v>7</v>
      </c>
      <c r="K4996" s="142">
        <v>0</v>
      </c>
      <c r="L4996" s="142">
        <v>0</v>
      </c>
      <c r="M4996" s="142">
        <v>0</v>
      </c>
    </row>
    <row r="4997" spans="1:13" x14ac:dyDescent="0.45">
      <c r="A4997" s="142" t="s">
        <v>13135</v>
      </c>
      <c r="B4997" s="142" t="s">
        <v>15575</v>
      </c>
      <c r="C4997" s="142" t="s">
        <v>15847</v>
      </c>
      <c r="D4997" s="142" t="s">
        <v>15848</v>
      </c>
      <c r="E4997" s="142" t="s">
        <v>15849</v>
      </c>
      <c r="F4997" s="142" t="s">
        <v>1519</v>
      </c>
      <c r="G4997" s="142" t="s">
        <v>1518</v>
      </c>
      <c r="H4997" s="142" t="s">
        <v>20847</v>
      </c>
      <c r="I4997" s="142">
        <v>532</v>
      </c>
      <c r="J4997" s="142">
        <v>439</v>
      </c>
      <c r="K4997" s="142">
        <v>0</v>
      </c>
      <c r="L4997" s="142">
        <v>0</v>
      </c>
      <c r="M4997" s="142">
        <v>93</v>
      </c>
    </row>
    <row r="4998" spans="1:13" x14ac:dyDescent="0.45">
      <c r="A4998" s="142" t="s">
        <v>13104</v>
      </c>
      <c r="B4998" s="142" t="s">
        <v>14622</v>
      </c>
      <c r="C4998" s="142" t="s">
        <v>15847</v>
      </c>
      <c r="D4998" s="142" t="s">
        <v>15848</v>
      </c>
      <c r="E4998" s="142" t="s">
        <v>15849</v>
      </c>
      <c r="F4998" s="142" t="s">
        <v>1519</v>
      </c>
      <c r="G4998" s="142" t="s">
        <v>1518</v>
      </c>
      <c r="H4998" s="142" t="s">
        <v>20848</v>
      </c>
      <c r="I4998" s="142">
        <v>1503</v>
      </c>
      <c r="J4998" s="142">
        <v>1307</v>
      </c>
      <c r="K4998" s="142">
        <v>0</v>
      </c>
      <c r="L4998" s="142">
        <v>91</v>
      </c>
      <c r="M4998" s="142">
        <v>105</v>
      </c>
    </row>
    <row r="4999" spans="1:13" x14ac:dyDescent="0.45">
      <c r="A4999" s="142" t="s">
        <v>13033</v>
      </c>
      <c r="B4999" s="142" t="s">
        <v>15276</v>
      </c>
      <c r="C4999" s="142" t="s">
        <v>15847</v>
      </c>
      <c r="D4999" s="142" t="s">
        <v>15848</v>
      </c>
      <c r="E4999" s="142" t="s">
        <v>15849</v>
      </c>
      <c r="F4999" s="142" t="s">
        <v>1519</v>
      </c>
      <c r="G4999" s="142" t="s">
        <v>1518</v>
      </c>
      <c r="H4999" s="142" t="s">
        <v>20849</v>
      </c>
      <c r="I4999" s="142">
        <v>56</v>
      </c>
      <c r="J4999" s="142">
        <v>46</v>
      </c>
      <c r="K4999" s="142">
        <v>0</v>
      </c>
      <c r="L4999" s="142">
        <v>0</v>
      </c>
      <c r="M4999" s="142">
        <v>10</v>
      </c>
    </row>
    <row r="5000" spans="1:13" x14ac:dyDescent="0.45">
      <c r="A5000" s="142" t="s">
        <v>13034</v>
      </c>
      <c r="B5000" s="142" t="s">
        <v>15562</v>
      </c>
      <c r="C5000" s="142" t="s">
        <v>15847</v>
      </c>
      <c r="D5000" s="142" t="s">
        <v>15848</v>
      </c>
      <c r="E5000" s="142" t="s">
        <v>15849</v>
      </c>
      <c r="F5000" s="142" t="s">
        <v>1519</v>
      </c>
      <c r="G5000" s="142" t="s">
        <v>1518</v>
      </c>
      <c r="H5000" s="142" t="s">
        <v>20850</v>
      </c>
      <c r="I5000" s="142">
        <v>24</v>
      </c>
      <c r="J5000" s="142">
        <v>4</v>
      </c>
      <c r="K5000" s="142">
        <v>0</v>
      </c>
      <c r="L5000" s="142">
        <v>20</v>
      </c>
      <c r="M5000" s="142">
        <v>0</v>
      </c>
    </row>
    <row r="5001" spans="1:13" x14ac:dyDescent="0.45">
      <c r="A5001" s="142" t="s">
        <v>13038</v>
      </c>
      <c r="B5001" s="142" t="s">
        <v>14646</v>
      </c>
      <c r="C5001" s="142" t="s">
        <v>15847</v>
      </c>
      <c r="D5001" s="142" t="s">
        <v>15848</v>
      </c>
      <c r="E5001" s="142" t="s">
        <v>15849</v>
      </c>
      <c r="F5001" s="142" t="s">
        <v>1519</v>
      </c>
      <c r="G5001" s="142" t="s">
        <v>1518</v>
      </c>
      <c r="H5001" s="142" t="s">
        <v>20851</v>
      </c>
      <c r="I5001" s="142">
        <v>25</v>
      </c>
      <c r="J5001" s="142">
        <v>0</v>
      </c>
      <c r="K5001" s="142">
        <v>0</v>
      </c>
      <c r="L5001" s="142">
        <v>0</v>
      </c>
      <c r="M5001" s="142">
        <v>25</v>
      </c>
    </row>
    <row r="5002" spans="1:13" x14ac:dyDescent="0.45">
      <c r="A5002" s="142" t="s">
        <v>13009</v>
      </c>
      <c r="B5002" s="142" t="s">
        <v>15256</v>
      </c>
      <c r="C5002" s="142" t="s">
        <v>15847</v>
      </c>
      <c r="D5002" s="142" t="s">
        <v>15848</v>
      </c>
      <c r="E5002" s="142" t="s">
        <v>15849</v>
      </c>
      <c r="F5002" s="142" t="s">
        <v>1519</v>
      </c>
      <c r="G5002" s="142" t="s">
        <v>1518</v>
      </c>
      <c r="H5002" s="142" t="s">
        <v>20852</v>
      </c>
      <c r="I5002" s="142">
        <v>12</v>
      </c>
      <c r="J5002" s="142">
        <v>12</v>
      </c>
      <c r="K5002" s="142">
        <v>0</v>
      </c>
      <c r="L5002" s="142">
        <v>0</v>
      </c>
      <c r="M5002" s="142">
        <v>0</v>
      </c>
    </row>
    <row r="5003" spans="1:13" x14ac:dyDescent="0.45">
      <c r="A5003" s="142" t="s">
        <v>13203</v>
      </c>
      <c r="B5003" s="142" t="s">
        <v>15446</v>
      </c>
      <c r="C5003" s="142" t="s">
        <v>15847</v>
      </c>
      <c r="D5003" s="142" t="s">
        <v>15848</v>
      </c>
      <c r="E5003" s="142" t="s">
        <v>15849</v>
      </c>
      <c r="F5003" s="142" t="s">
        <v>1519</v>
      </c>
      <c r="G5003" s="142" t="s">
        <v>1518</v>
      </c>
      <c r="H5003" s="142" t="s">
        <v>20853</v>
      </c>
      <c r="I5003" s="142">
        <v>28</v>
      </c>
      <c r="J5003" s="142">
        <v>24</v>
      </c>
      <c r="K5003" s="142">
        <v>0</v>
      </c>
      <c r="L5003" s="142">
        <v>0</v>
      </c>
      <c r="M5003" s="142">
        <v>4</v>
      </c>
    </row>
    <row r="5004" spans="1:13" x14ac:dyDescent="0.45">
      <c r="A5004" s="142" t="s">
        <v>13011</v>
      </c>
      <c r="B5004" s="142" t="s">
        <v>14695</v>
      </c>
      <c r="C5004" s="142" t="s">
        <v>15847</v>
      </c>
      <c r="D5004" s="142" t="s">
        <v>15848</v>
      </c>
      <c r="E5004" s="142" t="s">
        <v>15849</v>
      </c>
      <c r="F5004" s="142" t="s">
        <v>1519</v>
      </c>
      <c r="G5004" s="142" t="s">
        <v>1518</v>
      </c>
      <c r="H5004" s="142" t="s">
        <v>20854</v>
      </c>
      <c r="I5004" s="142">
        <v>242</v>
      </c>
      <c r="J5004" s="142">
        <v>71</v>
      </c>
      <c r="K5004" s="142">
        <v>171</v>
      </c>
      <c r="L5004" s="142">
        <v>0</v>
      </c>
      <c r="M5004" s="142">
        <v>0</v>
      </c>
    </row>
    <row r="5005" spans="1:13" x14ac:dyDescent="0.45">
      <c r="A5005" s="142" t="s">
        <v>13012</v>
      </c>
      <c r="B5005" s="142" t="s">
        <v>15337</v>
      </c>
      <c r="C5005" s="142" t="s">
        <v>15847</v>
      </c>
      <c r="D5005" s="142" t="s">
        <v>15848</v>
      </c>
      <c r="E5005" s="142" t="s">
        <v>15849</v>
      </c>
      <c r="F5005" s="142" t="s">
        <v>1519</v>
      </c>
      <c r="G5005" s="142" t="s">
        <v>1518</v>
      </c>
      <c r="H5005" s="142" t="s">
        <v>20855</v>
      </c>
      <c r="I5005" s="142">
        <v>478</v>
      </c>
      <c r="J5005" s="142">
        <v>472</v>
      </c>
      <c r="K5005" s="142">
        <v>0</v>
      </c>
      <c r="L5005" s="142">
        <v>0</v>
      </c>
      <c r="M5005" s="142">
        <v>6</v>
      </c>
    </row>
    <row r="5006" spans="1:13" x14ac:dyDescent="0.45">
      <c r="A5006" s="142" t="s">
        <v>13138</v>
      </c>
      <c r="B5006" s="142" t="s">
        <v>14590</v>
      </c>
      <c r="C5006" s="142" t="s">
        <v>15860</v>
      </c>
      <c r="D5006" s="142" t="s">
        <v>15861</v>
      </c>
      <c r="E5006" s="142" t="s">
        <v>15849</v>
      </c>
      <c r="F5006" s="142" t="s">
        <v>1519</v>
      </c>
      <c r="G5006" s="142" t="s">
        <v>1518</v>
      </c>
      <c r="H5006" s="142" t="s">
        <v>20856</v>
      </c>
      <c r="I5006" s="142">
        <v>16</v>
      </c>
      <c r="J5006" s="142">
        <v>16</v>
      </c>
      <c r="K5006" s="142">
        <v>0</v>
      </c>
      <c r="L5006" s="142">
        <v>0</v>
      </c>
      <c r="M5006" s="142">
        <v>0</v>
      </c>
    </row>
    <row r="5007" spans="1:13" x14ac:dyDescent="0.45">
      <c r="A5007" s="142" t="s">
        <v>13014</v>
      </c>
      <c r="B5007" s="142" t="s">
        <v>14505</v>
      </c>
      <c r="C5007" s="142" t="s">
        <v>15847</v>
      </c>
      <c r="D5007" s="142" t="s">
        <v>15848</v>
      </c>
      <c r="E5007" s="142" t="s">
        <v>15849</v>
      </c>
      <c r="F5007" s="142" t="s">
        <v>1519</v>
      </c>
      <c r="G5007" s="142" t="s">
        <v>1518</v>
      </c>
      <c r="H5007" s="142" t="s">
        <v>20857</v>
      </c>
      <c r="I5007" s="142">
        <v>1</v>
      </c>
      <c r="J5007" s="142">
        <v>0</v>
      </c>
      <c r="K5007" s="142">
        <v>0</v>
      </c>
      <c r="L5007" s="142">
        <v>0</v>
      </c>
      <c r="M5007" s="142">
        <v>1</v>
      </c>
    </row>
    <row r="5008" spans="1:13" x14ac:dyDescent="0.45">
      <c r="A5008" s="142" t="s">
        <v>13165</v>
      </c>
      <c r="B5008" s="142" t="s">
        <v>15525</v>
      </c>
      <c r="C5008" s="142" t="s">
        <v>15860</v>
      </c>
      <c r="D5008" s="142" t="s">
        <v>15861</v>
      </c>
      <c r="E5008" s="142" t="s">
        <v>15849</v>
      </c>
      <c r="F5008" s="142" t="s">
        <v>1519</v>
      </c>
      <c r="G5008" s="142" t="s">
        <v>1518</v>
      </c>
      <c r="H5008" s="142" t="s">
        <v>20858</v>
      </c>
      <c r="I5008" s="142">
        <v>18</v>
      </c>
      <c r="J5008" s="142">
        <v>0</v>
      </c>
      <c r="K5008" s="142">
        <v>0</v>
      </c>
      <c r="L5008" s="142">
        <v>18</v>
      </c>
      <c r="M5008" s="142">
        <v>0</v>
      </c>
    </row>
    <row r="5009" spans="1:13" x14ac:dyDescent="0.45">
      <c r="A5009" s="142" t="s">
        <v>13144</v>
      </c>
      <c r="B5009" s="142" t="s">
        <v>14464</v>
      </c>
      <c r="C5009" s="142" t="s">
        <v>15860</v>
      </c>
      <c r="D5009" s="142" t="s">
        <v>15861</v>
      </c>
      <c r="E5009" s="142" t="s">
        <v>15849</v>
      </c>
      <c r="F5009" s="142" t="s">
        <v>1519</v>
      </c>
      <c r="G5009" s="142" t="s">
        <v>1518</v>
      </c>
      <c r="H5009" s="142" t="s">
        <v>20859</v>
      </c>
      <c r="I5009" s="142">
        <v>6</v>
      </c>
      <c r="J5009" s="142">
        <v>0</v>
      </c>
      <c r="K5009" s="142">
        <v>0</v>
      </c>
      <c r="L5009" s="142">
        <v>6</v>
      </c>
      <c r="M5009" s="142">
        <v>0</v>
      </c>
    </row>
    <row r="5010" spans="1:13" x14ac:dyDescent="0.45">
      <c r="A5010" s="142" t="s">
        <v>13207</v>
      </c>
      <c r="B5010" s="142" t="s">
        <v>15558</v>
      </c>
      <c r="C5010" s="142" t="s">
        <v>15847</v>
      </c>
      <c r="D5010" s="142" t="s">
        <v>15848</v>
      </c>
      <c r="E5010" s="142" t="s">
        <v>15849</v>
      </c>
      <c r="F5010" s="142" t="s">
        <v>1519</v>
      </c>
      <c r="G5010" s="142" t="s">
        <v>1518</v>
      </c>
      <c r="H5010" s="142" t="s">
        <v>20860</v>
      </c>
      <c r="I5010" s="142">
        <v>255</v>
      </c>
      <c r="J5010" s="142">
        <v>118</v>
      </c>
      <c r="K5010" s="142">
        <v>0</v>
      </c>
      <c r="L5010" s="142">
        <v>113</v>
      </c>
      <c r="M5010" s="142">
        <v>24</v>
      </c>
    </row>
    <row r="5011" spans="1:13" x14ac:dyDescent="0.45">
      <c r="A5011" s="142" t="s">
        <v>13955</v>
      </c>
      <c r="B5011" s="142" t="s">
        <v>14567</v>
      </c>
      <c r="C5011" s="142" t="s">
        <v>15860</v>
      </c>
      <c r="D5011" s="142" t="s">
        <v>15861</v>
      </c>
      <c r="E5011" s="142" t="s">
        <v>15849</v>
      </c>
      <c r="F5011" s="142" t="s">
        <v>5636</v>
      </c>
      <c r="G5011" s="142" t="s">
        <v>5635</v>
      </c>
      <c r="H5011" s="142" t="s">
        <v>20861</v>
      </c>
      <c r="I5011" s="142">
        <v>80</v>
      </c>
      <c r="J5011" s="142">
        <v>0</v>
      </c>
      <c r="K5011" s="142">
        <v>0</v>
      </c>
      <c r="L5011" s="142">
        <v>80</v>
      </c>
      <c r="M5011" s="142">
        <v>0</v>
      </c>
    </row>
    <row r="5012" spans="1:13" x14ac:dyDescent="0.45">
      <c r="A5012" s="142" t="s">
        <v>13021</v>
      </c>
      <c r="B5012" s="142" t="s">
        <v>15501</v>
      </c>
      <c r="C5012" s="142" t="s">
        <v>15847</v>
      </c>
      <c r="D5012" s="142" t="s">
        <v>15848</v>
      </c>
      <c r="E5012" s="142" t="s">
        <v>15849</v>
      </c>
      <c r="F5012" s="142" t="s">
        <v>5636</v>
      </c>
      <c r="G5012" s="142" t="s">
        <v>5635</v>
      </c>
      <c r="H5012" s="142" t="s">
        <v>20862</v>
      </c>
      <c r="I5012" s="142">
        <v>8</v>
      </c>
      <c r="J5012" s="142">
        <v>0</v>
      </c>
      <c r="K5012" s="142">
        <v>0</v>
      </c>
      <c r="L5012" s="142">
        <v>0</v>
      </c>
      <c r="M5012" s="142">
        <v>8</v>
      </c>
    </row>
    <row r="5013" spans="1:13" x14ac:dyDescent="0.45">
      <c r="A5013" s="142" t="s">
        <v>13956</v>
      </c>
      <c r="B5013" s="142" t="s">
        <v>15122</v>
      </c>
      <c r="C5013" s="142" t="s">
        <v>15860</v>
      </c>
      <c r="D5013" s="142" t="s">
        <v>15861</v>
      </c>
      <c r="E5013" s="142" t="s">
        <v>15849</v>
      </c>
      <c r="F5013" s="142" t="s">
        <v>5636</v>
      </c>
      <c r="G5013" s="142" t="s">
        <v>5635</v>
      </c>
      <c r="H5013" s="142" t="s">
        <v>20863</v>
      </c>
      <c r="I5013" s="142">
        <v>46</v>
      </c>
      <c r="J5013" s="142">
        <v>46</v>
      </c>
      <c r="K5013" s="142">
        <v>0</v>
      </c>
      <c r="L5013" s="142">
        <v>0</v>
      </c>
      <c r="M5013" s="142">
        <v>0</v>
      </c>
    </row>
    <row r="5014" spans="1:13" x14ac:dyDescent="0.45">
      <c r="A5014" s="142" t="s">
        <v>13023</v>
      </c>
      <c r="B5014" s="142" t="s">
        <v>15571</v>
      </c>
      <c r="C5014" s="142" t="s">
        <v>15847</v>
      </c>
      <c r="D5014" s="142" t="s">
        <v>15848</v>
      </c>
      <c r="E5014" s="142" t="s">
        <v>15849</v>
      </c>
      <c r="F5014" s="142" t="s">
        <v>5636</v>
      </c>
      <c r="G5014" s="142" t="s">
        <v>5635</v>
      </c>
      <c r="H5014" s="142" t="s">
        <v>20864</v>
      </c>
      <c r="I5014" s="142">
        <v>31</v>
      </c>
      <c r="J5014" s="142">
        <v>0</v>
      </c>
      <c r="K5014" s="142">
        <v>0</v>
      </c>
      <c r="L5014" s="142">
        <v>31</v>
      </c>
      <c r="M5014" s="142">
        <v>0</v>
      </c>
    </row>
    <row r="5015" spans="1:13" x14ac:dyDescent="0.45">
      <c r="A5015" s="142" t="s">
        <v>13082</v>
      </c>
      <c r="B5015" s="142" t="s">
        <v>14478</v>
      </c>
      <c r="C5015" s="142" t="s">
        <v>15860</v>
      </c>
      <c r="D5015" s="142" t="s">
        <v>15861</v>
      </c>
      <c r="E5015" s="142" t="s">
        <v>15849</v>
      </c>
      <c r="F5015" s="142" t="s">
        <v>5636</v>
      </c>
      <c r="G5015" s="142" t="s">
        <v>5635</v>
      </c>
      <c r="H5015" s="142" t="s">
        <v>20865</v>
      </c>
      <c r="I5015" s="142">
        <v>3</v>
      </c>
      <c r="J5015" s="142">
        <v>0</v>
      </c>
      <c r="K5015" s="142">
        <v>0</v>
      </c>
      <c r="L5015" s="142">
        <v>3</v>
      </c>
      <c r="M5015" s="142">
        <v>0</v>
      </c>
    </row>
    <row r="5016" spans="1:13" x14ac:dyDescent="0.45">
      <c r="A5016" s="142" t="s">
        <v>13000</v>
      </c>
      <c r="B5016" s="142" t="s">
        <v>14610</v>
      </c>
      <c r="C5016" s="142" t="s">
        <v>15847</v>
      </c>
      <c r="D5016" s="142" t="s">
        <v>15848</v>
      </c>
      <c r="E5016" s="142" t="s">
        <v>15849</v>
      </c>
      <c r="F5016" s="142" t="s">
        <v>5636</v>
      </c>
      <c r="G5016" s="142" t="s">
        <v>5635</v>
      </c>
      <c r="H5016" s="142" t="s">
        <v>20866</v>
      </c>
      <c r="I5016" s="142">
        <v>346</v>
      </c>
      <c r="J5016" s="142">
        <v>245</v>
      </c>
      <c r="K5016" s="142">
        <v>0</v>
      </c>
      <c r="L5016" s="142">
        <v>0</v>
      </c>
      <c r="M5016" s="142">
        <v>101</v>
      </c>
    </row>
    <row r="5017" spans="1:13" x14ac:dyDescent="0.45">
      <c r="A5017" s="142" t="s">
        <v>13074</v>
      </c>
      <c r="B5017" s="142" t="s">
        <v>15405</v>
      </c>
      <c r="C5017" s="142" t="s">
        <v>15847</v>
      </c>
      <c r="D5017" s="142" t="s">
        <v>15848</v>
      </c>
      <c r="E5017" s="142" t="s">
        <v>15849</v>
      </c>
      <c r="F5017" s="142" t="s">
        <v>5636</v>
      </c>
      <c r="G5017" s="142" t="s">
        <v>5635</v>
      </c>
      <c r="H5017" s="142" t="s">
        <v>20867</v>
      </c>
      <c r="I5017" s="142">
        <v>26</v>
      </c>
      <c r="J5017" s="142">
        <v>19</v>
      </c>
      <c r="K5017" s="142">
        <v>0</v>
      </c>
      <c r="L5017" s="142">
        <v>0</v>
      </c>
      <c r="M5017" s="142">
        <v>7</v>
      </c>
    </row>
    <row r="5018" spans="1:13" x14ac:dyDescent="0.45">
      <c r="A5018" s="142" t="s">
        <v>13049</v>
      </c>
      <c r="B5018" s="142" t="s">
        <v>14534</v>
      </c>
      <c r="C5018" s="142" t="s">
        <v>15860</v>
      </c>
      <c r="D5018" s="142" t="s">
        <v>15861</v>
      </c>
      <c r="E5018" s="142" t="s">
        <v>15849</v>
      </c>
      <c r="F5018" s="142" t="s">
        <v>5636</v>
      </c>
      <c r="G5018" s="142" t="s">
        <v>5635</v>
      </c>
      <c r="H5018" s="142" t="s">
        <v>20868</v>
      </c>
      <c r="I5018" s="142">
        <v>19</v>
      </c>
      <c r="J5018" s="142">
        <v>0</v>
      </c>
      <c r="K5018" s="142">
        <v>0</v>
      </c>
      <c r="L5018" s="142">
        <v>19</v>
      </c>
      <c r="M5018" s="142">
        <v>0</v>
      </c>
    </row>
    <row r="5019" spans="1:13" x14ac:dyDescent="0.45">
      <c r="A5019" s="142" t="s">
        <v>13027</v>
      </c>
      <c r="B5019" s="142" t="s">
        <v>14562</v>
      </c>
      <c r="C5019" s="142" t="s">
        <v>15847</v>
      </c>
      <c r="D5019" s="142" t="s">
        <v>15848</v>
      </c>
      <c r="E5019" s="142" t="s">
        <v>15849</v>
      </c>
      <c r="F5019" s="142" t="s">
        <v>5636</v>
      </c>
      <c r="G5019" s="142" t="s">
        <v>5635</v>
      </c>
      <c r="H5019" s="142" t="s">
        <v>20869</v>
      </c>
      <c r="I5019" s="142">
        <v>2</v>
      </c>
      <c r="J5019" s="142">
        <v>0</v>
      </c>
      <c r="K5019" s="142">
        <v>0</v>
      </c>
      <c r="L5019" s="142">
        <v>2</v>
      </c>
      <c r="M5019" s="142">
        <v>0</v>
      </c>
    </row>
    <row r="5020" spans="1:13" x14ac:dyDescent="0.45">
      <c r="A5020" s="142" t="s">
        <v>13075</v>
      </c>
      <c r="B5020" s="142" t="s">
        <v>15598</v>
      </c>
      <c r="C5020" s="142" t="s">
        <v>15847</v>
      </c>
      <c r="D5020" s="142" t="s">
        <v>15848</v>
      </c>
      <c r="E5020" s="142" t="s">
        <v>15849</v>
      </c>
      <c r="F5020" s="142" t="s">
        <v>5636</v>
      </c>
      <c r="G5020" s="142" t="s">
        <v>5635</v>
      </c>
      <c r="H5020" s="142" t="s">
        <v>20870</v>
      </c>
      <c r="I5020" s="142">
        <v>6846</v>
      </c>
      <c r="J5020" s="142">
        <v>6201</v>
      </c>
      <c r="K5020" s="142">
        <v>0</v>
      </c>
      <c r="L5020" s="142">
        <v>382</v>
      </c>
      <c r="M5020" s="142">
        <v>263</v>
      </c>
    </row>
    <row r="5021" spans="1:13" x14ac:dyDescent="0.45">
      <c r="A5021" s="142" t="s">
        <v>13602</v>
      </c>
      <c r="B5021" s="142" t="s">
        <v>15512</v>
      </c>
      <c r="C5021" s="142" t="s">
        <v>15860</v>
      </c>
      <c r="D5021" s="142" t="s">
        <v>15861</v>
      </c>
      <c r="E5021" s="142" t="s">
        <v>15849</v>
      </c>
      <c r="F5021" s="142" t="s">
        <v>5636</v>
      </c>
      <c r="G5021" s="142" t="s">
        <v>5635</v>
      </c>
      <c r="H5021" s="142" t="s">
        <v>20871</v>
      </c>
      <c r="I5021" s="142">
        <v>35</v>
      </c>
      <c r="J5021" s="142">
        <v>35</v>
      </c>
      <c r="K5021" s="142">
        <v>0</v>
      </c>
      <c r="L5021" s="142">
        <v>0</v>
      </c>
      <c r="M5021" s="142">
        <v>0</v>
      </c>
    </row>
    <row r="5022" spans="1:13" x14ac:dyDescent="0.45">
      <c r="A5022" s="142" t="s">
        <v>13603</v>
      </c>
      <c r="B5022" s="142" t="s">
        <v>14439</v>
      </c>
      <c r="C5022" s="142" t="s">
        <v>15847</v>
      </c>
      <c r="D5022" s="142" t="s">
        <v>15848</v>
      </c>
      <c r="E5022" s="142" t="s">
        <v>15849</v>
      </c>
      <c r="F5022" s="142" t="s">
        <v>5636</v>
      </c>
      <c r="G5022" s="142" t="s">
        <v>5635</v>
      </c>
      <c r="H5022" s="142" t="s">
        <v>20872</v>
      </c>
      <c r="I5022" s="142">
        <v>346</v>
      </c>
      <c r="J5022" s="142">
        <v>243</v>
      </c>
      <c r="K5022" s="142">
        <v>0</v>
      </c>
      <c r="L5022" s="142">
        <v>0</v>
      </c>
      <c r="M5022" s="142">
        <v>103</v>
      </c>
    </row>
    <row r="5023" spans="1:13" x14ac:dyDescent="0.45">
      <c r="A5023" s="142" t="s">
        <v>13028</v>
      </c>
      <c r="B5023" s="142" t="s">
        <v>14462</v>
      </c>
      <c r="C5023" s="142" t="s">
        <v>15847</v>
      </c>
      <c r="D5023" s="142" t="s">
        <v>15848</v>
      </c>
      <c r="E5023" s="142" t="s">
        <v>15849</v>
      </c>
      <c r="F5023" s="142" t="s">
        <v>5636</v>
      </c>
      <c r="G5023" s="142" t="s">
        <v>5635</v>
      </c>
      <c r="H5023" s="142" t="s">
        <v>20873</v>
      </c>
      <c r="I5023" s="142">
        <v>20</v>
      </c>
      <c r="J5023" s="142">
        <v>0</v>
      </c>
      <c r="K5023" s="142">
        <v>0</v>
      </c>
      <c r="L5023" s="142">
        <v>0</v>
      </c>
      <c r="M5023" s="142">
        <v>20</v>
      </c>
    </row>
    <row r="5024" spans="1:13" x14ac:dyDescent="0.45">
      <c r="A5024" s="142" t="s">
        <v>13160</v>
      </c>
      <c r="B5024" s="142" t="s">
        <v>14525</v>
      </c>
      <c r="C5024" s="142" t="s">
        <v>15847</v>
      </c>
      <c r="D5024" s="142" t="s">
        <v>15848</v>
      </c>
      <c r="E5024" s="142" t="s">
        <v>15849</v>
      </c>
      <c r="F5024" s="142" t="s">
        <v>5636</v>
      </c>
      <c r="G5024" s="142" t="s">
        <v>5635</v>
      </c>
      <c r="H5024" s="142" t="s">
        <v>20874</v>
      </c>
      <c r="I5024" s="142">
        <v>7</v>
      </c>
      <c r="J5024" s="142">
        <v>0</v>
      </c>
      <c r="K5024" s="142">
        <v>0</v>
      </c>
      <c r="L5024" s="142">
        <v>7</v>
      </c>
      <c r="M5024" s="142">
        <v>0</v>
      </c>
    </row>
    <row r="5025" spans="1:13" x14ac:dyDescent="0.45">
      <c r="A5025" s="142" t="s">
        <v>13002</v>
      </c>
      <c r="B5025" s="142" t="s">
        <v>15376</v>
      </c>
      <c r="C5025" s="142" t="s">
        <v>15847</v>
      </c>
      <c r="D5025" s="142" t="s">
        <v>15848</v>
      </c>
      <c r="E5025" s="142" t="s">
        <v>15849</v>
      </c>
      <c r="F5025" s="142" t="s">
        <v>5636</v>
      </c>
      <c r="G5025" s="142" t="s">
        <v>5635</v>
      </c>
      <c r="H5025" s="142" t="s">
        <v>20875</v>
      </c>
      <c r="I5025" s="142">
        <v>62</v>
      </c>
      <c r="J5025" s="142">
        <v>28</v>
      </c>
      <c r="K5025" s="142">
        <v>0</v>
      </c>
      <c r="L5025" s="142">
        <v>15</v>
      </c>
      <c r="M5025" s="142">
        <v>19</v>
      </c>
    </row>
    <row r="5026" spans="1:13" x14ac:dyDescent="0.45">
      <c r="A5026" s="142" t="s">
        <v>13003</v>
      </c>
      <c r="B5026" s="142" t="s">
        <v>15245</v>
      </c>
      <c r="C5026" s="142" t="s">
        <v>15847</v>
      </c>
      <c r="D5026" s="142" t="s">
        <v>15848</v>
      </c>
      <c r="E5026" s="142" t="s">
        <v>15849</v>
      </c>
      <c r="F5026" s="142" t="s">
        <v>5636</v>
      </c>
      <c r="G5026" s="142" t="s">
        <v>5635</v>
      </c>
      <c r="H5026" s="142" t="s">
        <v>20876</v>
      </c>
      <c r="I5026" s="142">
        <v>57</v>
      </c>
      <c r="J5026" s="142">
        <v>0</v>
      </c>
      <c r="K5026" s="142">
        <v>0</v>
      </c>
      <c r="L5026" s="142">
        <v>57</v>
      </c>
      <c r="M5026" s="142">
        <v>0</v>
      </c>
    </row>
    <row r="5027" spans="1:13" x14ac:dyDescent="0.45">
      <c r="A5027" s="142" t="s">
        <v>13004</v>
      </c>
      <c r="B5027" s="142" t="s">
        <v>15492</v>
      </c>
      <c r="C5027" s="142" t="s">
        <v>15847</v>
      </c>
      <c r="D5027" s="142" t="s">
        <v>15848</v>
      </c>
      <c r="E5027" s="142" t="s">
        <v>15849</v>
      </c>
      <c r="F5027" s="142" t="s">
        <v>5636</v>
      </c>
      <c r="G5027" s="142" t="s">
        <v>5635</v>
      </c>
      <c r="H5027" s="142" t="s">
        <v>20877</v>
      </c>
      <c r="I5027" s="142">
        <v>859</v>
      </c>
      <c r="J5027" s="142">
        <v>610</v>
      </c>
      <c r="K5027" s="142">
        <v>0</v>
      </c>
      <c r="L5027" s="142">
        <v>65</v>
      </c>
      <c r="M5027" s="142">
        <v>184</v>
      </c>
    </row>
    <row r="5028" spans="1:13" x14ac:dyDescent="0.45">
      <c r="A5028" s="142" t="s">
        <v>13066</v>
      </c>
      <c r="B5028" s="142" t="s">
        <v>14459</v>
      </c>
      <c r="C5028" s="142" t="s">
        <v>15847</v>
      </c>
      <c r="D5028" s="142" t="s">
        <v>15848</v>
      </c>
      <c r="E5028" s="142" t="s">
        <v>15849</v>
      </c>
      <c r="F5028" s="142" t="s">
        <v>5636</v>
      </c>
      <c r="G5028" s="142" t="s">
        <v>5635</v>
      </c>
      <c r="H5028" s="142" t="s">
        <v>20878</v>
      </c>
      <c r="I5028" s="142">
        <v>17</v>
      </c>
      <c r="J5028" s="142">
        <v>0</v>
      </c>
      <c r="K5028" s="142">
        <v>0</v>
      </c>
      <c r="L5028" s="142">
        <v>17</v>
      </c>
      <c r="M5028" s="142">
        <v>0</v>
      </c>
    </row>
    <row r="5029" spans="1:13" x14ac:dyDescent="0.45">
      <c r="A5029" s="142" t="s">
        <v>13005</v>
      </c>
      <c r="B5029" s="142" t="s">
        <v>15475</v>
      </c>
      <c r="C5029" s="142" t="s">
        <v>15847</v>
      </c>
      <c r="D5029" s="142" t="s">
        <v>15848</v>
      </c>
      <c r="E5029" s="142" t="s">
        <v>15849</v>
      </c>
      <c r="F5029" s="142" t="s">
        <v>5636</v>
      </c>
      <c r="G5029" s="142" t="s">
        <v>5635</v>
      </c>
      <c r="H5029" s="142" t="s">
        <v>20879</v>
      </c>
      <c r="I5029" s="142">
        <v>15</v>
      </c>
      <c r="J5029" s="142">
        <v>0</v>
      </c>
      <c r="K5029" s="142">
        <v>0</v>
      </c>
      <c r="L5029" s="142">
        <v>0</v>
      </c>
      <c r="M5029" s="142">
        <v>15</v>
      </c>
    </row>
    <row r="5030" spans="1:13" x14ac:dyDescent="0.45">
      <c r="A5030" s="142" t="s">
        <v>13029</v>
      </c>
      <c r="B5030" s="142" t="s">
        <v>14665</v>
      </c>
      <c r="C5030" s="142" t="s">
        <v>15847</v>
      </c>
      <c r="D5030" s="142" t="s">
        <v>15848</v>
      </c>
      <c r="E5030" s="142" t="s">
        <v>15849</v>
      </c>
      <c r="F5030" s="142" t="s">
        <v>5636</v>
      </c>
      <c r="G5030" s="142" t="s">
        <v>5635</v>
      </c>
      <c r="H5030" s="142" t="s">
        <v>20880</v>
      </c>
      <c r="I5030" s="142">
        <v>28</v>
      </c>
      <c r="J5030" s="142">
        <v>0</v>
      </c>
      <c r="K5030" s="142">
        <v>0</v>
      </c>
      <c r="L5030" s="142">
        <v>0</v>
      </c>
      <c r="M5030" s="142">
        <v>28</v>
      </c>
    </row>
    <row r="5031" spans="1:13" x14ac:dyDescent="0.45">
      <c r="A5031" s="142" t="s">
        <v>13007</v>
      </c>
      <c r="B5031" s="142" t="s">
        <v>15262</v>
      </c>
      <c r="C5031" s="142" t="s">
        <v>15847</v>
      </c>
      <c r="D5031" s="142" t="s">
        <v>15848</v>
      </c>
      <c r="E5031" s="142" t="s">
        <v>15849</v>
      </c>
      <c r="F5031" s="142" t="s">
        <v>5636</v>
      </c>
      <c r="G5031" s="142" t="s">
        <v>5635</v>
      </c>
      <c r="H5031" s="142" t="s">
        <v>20881</v>
      </c>
      <c r="I5031" s="142">
        <v>413</v>
      </c>
      <c r="J5031" s="142">
        <v>201</v>
      </c>
      <c r="K5031" s="142">
        <v>0</v>
      </c>
      <c r="L5031" s="142">
        <v>6</v>
      </c>
      <c r="M5031" s="142">
        <v>206</v>
      </c>
    </row>
    <row r="5032" spans="1:13" x14ac:dyDescent="0.45">
      <c r="A5032" s="142" t="s">
        <v>13340</v>
      </c>
      <c r="B5032" s="142" t="s">
        <v>14499</v>
      </c>
      <c r="C5032" s="142" t="s">
        <v>15860</v>
      </c>
      <c r="D5032" s="142" t="s">
        <v>15861</v>
      </c>
      <c r="E5032" s="142" t="s">
        <v>15849</v>
      </c>
      <c r="F5032" s="142" t="s">
        <v>5636</v>
      </c>
      <c r="G5032" s="142" t="s">
        <v>5635</v>
      </c>
      <c r="H5032" s="142" t="s">
        <v>20882</v>
      </c>
      <c r="I5032" s="142">
        <v>1</v>
      </c>
      <c r="J5032" s="142">
        <v>1</v>
      </c>
      <c r="K5032" s="142">
        <v>0</v>
      </c>
      <c r="L5032" s="142">
        <v>0</v>
      </c>
      <c r="M5032" s="142">
        <v>0</v>
      </c>
    </row>
    <row r="5033" spans="1:13" x14ac:dyDescent="0.45">
      <c r="A5033" s="142" t="s">
        <v>13957</v>
      </c>
      <c r="B5033" s="142" t="s">
        <v>15119</v>
      </c>
      <c r="C5033" s="142" t="s">
        <v>15860</v>
      </c>
      <c r="D5033" s="142" t="s">
        <v>15861</v>
      </c>
      <c r="E5033" s="142" t="s">
        <v>15849</v>
      </c>
      <c r="F5033" s="142" t="s">
        <v>5636</v>
      </c>
      <c r="G5033" s="142" t="s">
        <v>5635</v>
      </c>
      <c r="H5033" s="142" t="s">
        <v>20883</v>
      </c>
      <c r="I5033" s="142">
        <v>25</v>
      </c>
      <c r="J5033" s="142">
        <v>25</v>
      </c>
      <c r="K5033" s="142">
        <v>0</v>
      </c>
      <c r="L5033" s="142">
        <v>0</v>
      </c>
      <c r="M5033" s="142">
        <v>0</v>
      </c>
    </row>
    <row r="5034" spans="1:13" x14ac:dyDescent="0.45">
      <c r="A5034" s="142" t="s">
        <v>13958</v>
      </c>
      <c r="B5034" s="142" t="s">
        <v>15115</v>
      </c>
      <c r="C5034" s="142" t="s">
        <v>15860</v>
      </c>
      <c r="D5034" s="142" t="s">
        <v>15861</v>
      </c>
      <c r="E5034" s="142" t="s">
        <v>15849</v>
      </c>
      <c r="F5034" s="142" t="s">
        <v>5636</v>
      </c>
      <c r="G5034" s="142" t="s">
        <v>5635</v>
      </c>
      <c r="H5034" s="142" t="s">
        <v>20884</v>
      </c>
      <c r="I5034" s="142">
        <v>36</v>
      </c>
      <c r="J5034" s="142">
        <v>36</v>
      </c>
      <c r="K5034" s="142">
        <v>0</v>
      </c>
      <c r="L5034" s="142">
        <v>0</v>
      </c>
      <c r="M5034" s="142">
        <v>0</v>
      </c>
    </row>
    <row r="5035" spans="1:13" x14ac:dyDescent="0.45">
      <c r="A5035" s="142" t="s">
        <v>13008</v>
      </c>
      <c r="B5035" s="142" t="s">
        <v>15411</v>
      </c>
      <c r="C5035" s="142" t="s">
        <v>15847</v>
      </c>
      <c r="D5035" s="142" t="s">
        <v>15848</v>
      </c>
      <c r="E5035" s="142" t="s">
        <v>15849</v>
      </c>
      <c r="F5035" s="142" t="s">
        <v>5636</v>
      </c>
      <c r="G5035" s="142" t="s">
        <v>5635</v>
      </c>
      <c r="H5035" s="142" t="s">
        <v>20885</v>
      </c>
      <c r="I5035" s="142">
        <v>160</v>
      </c>
      <c r="J5035" s="142">
        <v>27</v>
      </c>
      <c r="K5035" s="142">
        <v>0</v>
      </c>
      <c r="L5035" s="142">
        <v>0</v>
      </c>
      <c r="M5035" s="142">
        <v>133</v>
      </c>
    </row>
    <row r="5036" spans="1:13" x14ac:dyDescent="0.45">
      <c r="A5036" s="142" t="s">
        <v>13077</v>
      </c>
      <c r="B5036" s="142" t="s">
        <v>15407</v>
      </c>
      <c r="C5036" s="142" t="s">
        <v>15847</v>
      </c>
      <c r="D5036" s="142" t="s">
        <v>15848</v>
      </c>
      <c r="E5036" s="142" t="s">
        <v>15849</v>
      </c>
      <c r="F5036" s="142" t="s">
        <v>5636</v>
      </c>
      <c r="G5036" s="142" t="s">
        <v>5635</v>
      </c>
      <c r="H5036" s="142" t="s">
        <v>20886</v>
      </c>
      <c r="I5036" s="142">
        <v>244</v>
      </c>
      <c r="J5036" s="142">
        <v>244</v>
      </c>
      <c r="K5036" s="142">
        <v>0</v>
      </c>
      <c r="L5036" s="142">
        <v>0</v>
      </c>
      <c r="M5036" s="142">
        <v>0</v>
      </c>
    </row>
    <row r="5037" spans="1:13" x14ac:dyDescent="0.45">
      <c r="A5037" s="142" t="s">
        <v>13959</v>
      </c>
      <c r="B5037" s="142" t="s">
        <v>14882</v>
      </c>
      <c r="C5037" s="142" t="s">
        <v>15860</v>
      </c>
      <c r="D5037" s="142" t="s">
        <v>15861</v>
      </c>
      <c r="E5037" s="142" t="s">
        <v>15849</v>
      </c>
      <c r="F5037" s="142" t="s">
        <v>5636</v>
      </c>
      <c r="G5037" s="142" t="s">
        <v>5635</v>
      </c>
      <c r="H5037" s="142" t="s">
        <v>20887</v>
      </c>
      <c r="I5037" s="142">
        <v>5</v>
      </c>
      <c r="J5037" s="142">
        <v>0</v>
      </c>
      <c r="K5037" s="142">
        <v>0</v>
      </c>
      <c r="L5037" s="142">
        <v>5</v>
      </c>
      <c r="M5037" s="142">
        <v>0</v>
      </c>
    </row>
    <row r="5038" spans="1:13" x14ac:dyDescent="0.45">
      <c r="A5038" s="142" t="s">
        <v>13033</v>
      </c>
      <c r="B5038" s="142" t="s">
        <v>15276</v>
      </c>
      <c r="C5038" s="142" t="s">
        <v>15847</v>
      </c>
      <c r="D5038" s="142" t="s">
        <v>15848</v>
      </c>
      <c r="E5038" s="142" t="s">
        <v>15849</v>
      </c>
      <c r="F5038" s="142" t="s">
        <v>5636</v>
      </c>
      <c r="G5038" s="142" t="s">
        <v>5635</v>
      </c>
      <c r="H5038" s="142" t="s">
        <v>20888</v>
      </c>
      <c r="I5038" s="142">
        <v>104</v>
      </c>
      <c r="J5038" s="142">
        <v>71</v>
      </c>
      <c r="K5038" s="142">
        <v>0</v>
      </c>
      <c r="L5038" s="142">
        <v>0</v>
      </c>
      <c r="M5038" s="142">
        <v>33</v>
      </c>
    </row>
    <row r="5039" spans="1:13" x14ac:dyDescent="0.45">
      <c r="A5039" s="142" t="s">
        <v>13034</v>
      </c>
      <c r="B5039" s="142" t="s">
        <v>15562</v>
      </c>
      <c r="C5039" s="142" t="s">
        <v>15847</v>
      </c>
      <c r="D5039" s="142" t="s">
        <v>15848</v>
      </c>
      <c r="E5039" s="142" t="s">
        <v>15849</v>
      </c>
      <c r="F5039" s="142" t="s">
        <v>5636</v>
      </c>
      <c r="G5039" s="142" t="s">
        <v>5635</v>
      </c>
      <c r="H5039" s="142" t="s">
        <v>20889</v>
      </c>
      <c r="I5039" s="142">
        <v>5</v>
      </c>
      <c r="J5039" s="142">
        <v>0</v>
      </c>
      <c r="K5039" s="142">
        <v>0</v>
      </c>
      <c r="L5039" s="142">
        <v>5</v>
      </c>
      <c r="M5039" s="142">
        <v>0</v>
      </c>
    </row>
    <row r="5040" spans="1:13" x14ac:dyDescent="0.45">
      <c r="A5040" s="142" t="s">
        <v>13037</v>
      </c>
      <c r="B5040" s="142" t="s">
        <v>14519</v>
      </c>
      <c r="C5040" s="142" t="s">
        <v>15847</v>
      </c>
      <c r="D5040" s="142" t="s">
        <v>15848</v>
      </c>
      <c r="E5040" s="142" t="s">
        <v>15849</v>
      </c>
      <c r="F5040" s="142" t="s">
        <v>5636</v>
      </c>
      <c r="G5040" s="142" t="s">
        <v>5635</v>
      </c>
      <c r="H5040" s="142" t="s">
        <v>20890</v>
      </c>
      <c r="I5040" s="142">
        <v>9</v>
      </c>
      <c r="J5040" s="142">
        <v>0</v>
      </c>
      <c r="K5040" s="142">
        <v>0</v>
      </c>
      <c r="L5040" s="142">
        <v>9</v>
      </c>
      <c r="M5040" s="142">
        <v>0</v>
      </c>
    </row>
    <row r="5041" spans="1:13" x14ac:dyDescent="0.45">
      <c r="A5041" s="142" t="s">
        <v>13038</v>
      </c>
      <c r="B5041" s="142" t="s">
        <v>14646</v>
      </c>
      <c r="C5041" s="142" t="s">
        <v>15847</v>
      </c>
      <c r="D5041" s="142" t="s">
        <v>15848</v>
      </c>
      <c r="E5041" s="142" t="s">
        <v>15849</v>
      </c>
      <c r="F5041" s="142" t="s">
        <v>5636</v>
      </c>
      <c r="G5041" s="142" t="s">
        <v>5635</v>
      </c>
      <c r="H5041" s="142" t="s">
        <v>20891</v>
      </c>
      <c r="I5041" s="142">
        <v>48</v>
      </c>
      <c r="J5041" s="142">
        <v>25</v>
      </c>
      <c r="K5041" s="142">
        <v>0</v>
      </c>
      <c r="L5041" s="142">
        <v>0</v>
      </c>
      <c r="M5041" s="142">
        <v>23</v>
      </c>
    </row>
    <row r="5042" spans="1:13" x14ac:dyDescent="0.45">
      <c r="A5042" s="142" t="s">
        <v>13039</v>
      </c>
      <c r="B5042" s="142" t="s">
        <v>14647</v>
      </c>
      <c r="C5042" s="142" t="s">
        <v>15847</v>
      </c>
      <c r="D5042" s="142" t="s">
        <v>15848</v>
      </c>
      <c r="E5042" s="142" t="s">
        <v>15849</v>
      </c>
      <c r="F5042" s="142" t="s">
        <v>5636</v>
      </c>
      <c r="G5042" s="142" t="s">
        <v>5635</v>
      </c>
      <c r="H5042" s="142" t="s">
        <v>20892</v>
      </c>
      <c r="I5042" s="142">
        <v>110</v>
      </c>
      <c r="J5042" s="142">
        <v>110</v>
      </c>
      <c r="K5042" s="142">
        <v>0</v>
      </c>
      <c r="L5042" s="142">
        <v>0</v>
      </c>
      <c r="M5042" s="142">
        <v>0</v>
      </c>
    </row>
    <row r="5043" spans="1:13" x14ac:dyDescent="0.45">
      <c r="A5043" s="142" t="s">
        <v>13009</v>
      </c>
      <c r="B5043" s="142" t="s">
        <v>15256</v>
      </c>
      <c r="C5043" s="142" t="s">
        <v>15847</v>
      </c>
      <c r="D5043" s="142" t="s">
        <v>15848</v>
      </c>
      <c r="E5043" s="142" t="s">
        <v>15849</v>
      </c>
      <c r="F5043" s="142" t="s">
        <v>5636</v>
      </c>
      <c r="G5043" s="142" t="s">
        <v>5635</v>
      </c>
      <c r="H5043" s="142" t="s">
        <v>20893</v>
      </c>
      <c r="I5043" s="142">
        <v>154</v>
      </c>
      <c r="J5043" s="142">
        <v>121</v>
      </c>
      <c r="K5043" s="142">
        <v>0</v>
      </c>
      <c r="L5043" s="142">
        <v>33</v>
      </c>
      <c r="M5043" s="142">
        <v>0</v>
      </c>
    </row>
    <row r="5044" spans="1:13" x14ac:dyDescent="0.45">
      <c r="A5044" s="142" t="s">
        <v>13960</v>
      </c>
      <c r="B5044" s="142" t="s">
        <v>15060</v>
      </c>
      <c r="C5044" s="142" t="s">
        <v>15860</v>
      </c>
      <c r="D5044" s="142" t="s">
        <v>15861</v>
      </c>
      <c r="E5044" s="142" t="s">
        <v>15849</v>
      </c>
      <c r="F5044" s="142" t="s">
        <v>5636</v>
      </c>
      <c r="G5044" s="142" t="s">
        <v>5635</v>
      </c>
      <c r="H5044" s="142" t="s">
        <v>20894</v>
      </c>
      <c r="I5044" s="142">
        <v>77</v>
      </c>
      <c r="J5044" s="142">
        <v>77</v>
      </c>
      <c r="K5044" s="142">
        <v>0</v>
      </c>
      <c r="L5044" s="142">
        <v>0</v>
      </c>
      <c r="M5044" s="142">
        <v>0</v>
      </c>
    </row>
    <row r="5045" spans="1:13" x14ac:dyDescent="0.45">
      <c r="A5045" s="142" t="s">
        <v>13011</v>
      </c>
      <c r="B5045" s="142" t="s">
        <v>14695</v>
      </c>
      <c r="C5045" s="142" t="s">
        <v>15847</v>
      </c>
      <c r="D5045" s="142" t="s">
        <v>15848</v>
      </c>
      <c r="E5045" s="142" t="s">
        <v>15849</v>
      </c>
      <c r="F5045" s="142" t="s">
        <v>5636</v>
      </c>
      <c r="G5045" s="142" t="s">
        <v>5635</v>
      </c>
      <c r="H5045" s="142" t="s">
        <v>20895</v>
      </c>
      <c r="I5045" s="142">
        <v>137</v>
      </c>
      <c r="J5045" s="142">
        <v>96</v>
      </c>
      <c r="K5045" s="142">
        <v>0</v>
      </c>
      <c r="L5045" s="142">
        <v>0</v>
      </c>
      <c r="M5045" s="142">
        <v>41</v>
      </c>
    </row>
    <row r="5046" spans="1:13" x14ac:dyDescent="0.45">
      <c r="A5046" s="142" t="s">
        <v>13041</v>
      </c>
      <c r="B5046" s="142" t="s">
        <v>14441</v>
      </c>
      <c r="C5046" s="142" t="s">
        <v>15847</v>
      </c>
      <c r="D5046" s="142" t="s">
        <v>15848</v>
      </c>
      <c r="E5046" s="142" t="s">
        <v>15849</v>
      </c>
      <c r="F5046" s="142" t="s">
        <v>5636</v>
      </c>
      <c r="G5046" s="142" t="s">
        <v>5635</v>
      </c>
      <c r="H5046" s="142" t="s">
        <v>20896</v>
      </c>
      <c r="I5046" s="142">
        <v>69</v>
      </c>
      <c r="J5046" s="142">
        <v>0</v>
      </c>
      <c r="K5046" s="142">
        <v>0</v>
      </c>
      <c r="L5046" s="142">
        <v>0</v>
      </c>
      <c r="M5046" s="142">
        <v>69</v>
      </c>
    </row>
    <row r="5047" spans="1:13" x14ac:dyDescent="0.45">
      <c r="A5047" s="142" t="s">
        <v>13961</v>
      </c>
      <c r="B5047" s="142" t="s">
        <v>14909</v>
      </c>
      <c r="C5047" s="142" t="s">
        <v>15860</v>
      </c>
      <c r="D5047" s="142" t="s">
        <v>15861</v>
      </c>
      <c r="E5047" s="142" t="s">
        <v>15849</v>
      </c>
      <c r="F5047" s="142" t="s">
        <v>5636</v>
      </c>
      <c r="G5047" s="142" t="s">
        <v>5635</v>
      </c>
      <c r="H5047" s="142" t="s">
        <v>20897</v>
      </c>
      <c r="I5047" s="142">
        <v>29</v>
      </c>
      <c r="J5047" s="142">
        <v>29</v>
      </c>
      <c r="K5047" s="142">
        <v>0</v>
      </c>
      <c r="L5047" s="142">
        <v>0</v>
      </c>
      <c r="M5047" s="142">
        <v>0</v>
      </c>
    </row>
    <row r="5048" spans="1:13" x14ac:dyDescent="0.45">
      <c r="A5048" s="142" t="s">
        <v>13042</v>
      </c>
      <c r="B5048" s="142" t="s">
        <v>15489</v>
      </c>
      <c r="C5048" s="142" t="s">
        <v>15847</v>
      </c>
      <c r="D5048" s="142" t="s">
        <v>15848</v>
      </c>
      <c r="E5048" s="142" t="s">
        <v>15849</v>
      </c>
      <c r="F5048" s="142" t="s">
        <v>5636</v>
      </c>
      <c r="G5048" s="142" t="s">
        <v>5635</v>
      </c>
      <c r="H5048" s="142" t="s">
        <v>20898</v>
      </c>
      <c r="I5048" s="142">
        <v>181</v>
      </c>
      <c r="J5048" s="142">
        <v>128</v>
      </c>
      <c r="K5048" s="142">
        <v>0</v>
      </c>
      <c r="L5048" s="142">
        <v>44</v>
      </c>
      <c r="M5048" s="142">
        <v>9</v>
      </c>
    </row>
    <row r="5049" spans="1:13" x14ac:dyDescent="0.45">
      <c r="A5049" s="142" t="s">
        <v>13079</v>
      </c>
      <c r="B5049" s="142" t="s">
        <v>15431</v>
      </c>
      <c r="C5049" s="142" t="s">
        <v>15847</v>
      </c>
      <c r="D5049" s="142" t="s">
        <v>15848</v>
      </c>
      <c r="E5049" s="142" t="s">
        <v>15849</v>
      </c>
      <c r="F5049" s="142" t="s">
        <v>5636</v>
      </c>
      <c r="G5049" s="142" t="s">
        <v>5635</v>
      </c>
      <c r="H5049" s="142" t="s">
        <v>20899</v>
      </c>
      <c r="I5049" s="142">
        <v>481</v>
      </c>
      <c r="J5049" s="142">
        <v>374</v>
      </c>
      <c r="K5049" s="142">
        <v>0</v>
      </c>
      <c r="L5049" s="142">
        <v>9</v>
      </c>
      <c r="M5049" s="142">
        <v>98</v>
      </c>
    </row>
    <row r="5050" spans="1:13" x14ac:dyDescent="0.45">
      <c r="A5050" s="142" t="s">
        <v>13222</v>
      </c>
      <c r="B5050" s="142" t="s">
        <v>14449</v>
      </c>
      <c r="C5050" s="142" t="s">
        <v>15860</v>
      </c>
      <c r="D5050" s="142" t="s">
        <v>15861</v>
      </c>
      <c r="E5050" s="142" t="s">
        <v>15849</v>
      </c>
      <c r="F5050" s="142" t="s">
        <v>5636</v>
      </c>
      <c r="G5050" s="142" t="s">
        <v>5635</v>
      </c>
      <c r="H5050" s="142" t="s">
        <v>20900</v>
      </c>
      <c r="I5050" s="142">
        <v>7</v>
      </c>
      <c r="J5050" s="142">
        <v>0</v>
      </c>
      <c r="K5050" s="142">
        <v>0</v>
      </c>
      <c r="L5050" s="142">
        <v>7</v>
      </c>
      <c r="M5050" s="142">
        <v>0</v>
      </c>
    </row>
    <row r="5051" spans="1:13" x14ac:dyDescent="0.45">
      <c r="A5051" s="142" t="s">
        <v>13080</v>
      </c>
      <c r="B5051" s="142" t="s">
        <v>15553</v>
      </c>
      <c r="C5051" s="142" t="s">
        <v>15847</v>
      </c>
      <c r="D5051" s="142" t="s">
        <v>15848</v>
      </c>
      <c r="E5051" s="142" t="s">
        <v>15849</v>
      </c>
      <c r="F5051" s="142" t="s">
        <v>5636</v>
      </c>
      <c r="G5051" s="142" t="s">
        <v>5635</v>
      </c>
      <c r="H5051" s="142" t="s">
        <v>20901</v>
      </c>
      <c r="I5051" s="142">
        <v>544</v>
      </c>
      <c r="J5051" s="142">
        <v>343</v>
      </c>
      <c r="K5051" s="142">
        <v>0</v>
      </c>
      <c r="L5051" s="142">
        <v>11</v>
      </c>
      <c r="M5051" s="142">
        <v>190</v>
      </c>
    </row>
    <row r="5052" spans="1:13" x14ac:dyDescent="0.45">
      <c r="A5052" s="142" t="s">
        <v>13962</v>
      </c>
      <c r="B5052" s="142" t="s">
        <v>15128</v>
      </c>
      <c r="C5052" s="142" t="s">
        <v>15860</v>
      </c>
      <c r="D5052" s="142" t="s">
        <v>15861</v>
      </c>
      <c r="E5052" s="142" t="s">
        <v>15849</v>
      </c>
      <c r="F5052" s="142" t="s">
        <v>5636</v>
      </c>
      <c r="G5052" s="142" t="s">
        <v>5635</v>
      </c>
      <c r="H5052" s="142" t="s">
        <v>20902</v>
      </c>
      <c r="I5052" s="142">
        <v>34</v>
      </c>
      <c r="J5052" s="142">
        <v>34</v>
      </c>
      <c r="K5052" s="142">
        <v>0</v>
      </c>
      <c r="L5052" s="142">
        <v>0</v>
      </c>
      <c r="M5052" s="142">
        <v>0</v>
      </c>
    </row>
    <row r="5053" spans="1:13" x14ac:dyDescent="0.45">
      <c r="A5053" s="142" t="s">
        <v>13144</v>
      </c>
      <c r="B5053" s="142" t="s">
        <v>14464</v>
      </c>
      <c r="C5053" s="142" t="s">
        <v>15860</v>
      </c>
      <c r="D5053" s="142" t="s">
        <v>15861</v>
      </c>
      <c r="E5053" s="142" t="s">
        <v>15849</v>
      </c>
      <c r="F5053" s="142" t="s">
        <v>5636</v>
      </c>
      <c r="G5053" s="142" t="s">
        <v>5635</v>
      </c>
      <c r="H5053" s="142" t="s">
        <v>20903</v>
      </c>
      <c r="I5053" s="142">
        <v>6</v>
      </c>
      <c r="J5053" s="142">
        <v>0</v>
      </c>
      <c r="K5053" s="142">
        <v>0</v>
      </c>
      <c r="L5053" s="142">
        <v>6</v>
      </c>
      <c r="M5053" s="142">
        <v>0</v>
      </c>
    </row>
    <row r="5054" spans="1:13" x14ac:dyDescent="0.45">
      <c r="A5054" s="142" t="s">
        <v>13083</v>
      </c>
      <c r="B5054" s="142" t="s">
        <v>15440</v>
      </c>
      <c r="C5054" s="142" t="s">
        <v>15847</v>
      </c>
      <c r="D5054" s="142" t="s">
        <v>15848</v>
      </c>
      <c r="E5054" s="142" t="s">
        <v>15849</v>
      </c>
      <c r="F5054" s="142" t="s">
        <v>4340</v>
      </c>
      <c r="G5054" s="142" t="s">
        <v>4339</v>
      </c>
      <c r="H5054" s="142" t="s">
        <v>20904</v>
      </c>
      <c r="I5054" s="142">
        <v>262</v>
      </c>
      <c r="J5054" s="142">
        <v>240</v>
      </c>
      <c r="K5054" s="142">
        <v>0</v>
      </c>
      <c r="L5054" s="142">
        <v>0</v>
      </c>
      <c r="M5054" s="142">
        <v>22</v>
      </c>
    </row>
    <row r="5055" spans="1:13" x14ac:dyDescent="0.45">
      <c r="A5055" s="142" t="s">
        <v>13084</v>
      </c>
      <c r="B5055" s="142" t="s">
        <v>15471</v>
      </c>
      <c r="C5055" s="142" t="s">
        <v>15847</v>
      </c>
      <c r="D5055" s="142" t="s">
        <v>15848</v>
      </c>
      <c r="E5055" s="142" t="s">
        <v>15849</v>
      </c>
      <c r="F5055" s="142" t="s">
        <v>4340</v>
      </c>
      <c r="G5055" s="142" t="s">
        <v>4339</v>
      </c>
      <c r="H5055" s="142" t="s">
        <v>20905</v>
      </c>
      <c r="I5055" s="142">
        <v>519</v>
      </c>
      <c r="J5055" s="142">
        <v>421</v>
      </c>
      <c r="K5055" s="142">
        <v>0</v>
      </c>
      <c r="L5055" s="142">
        <v>65</v>
      </c>
      <c r="M5055" s="142">
        <v>33</v>
      </c>
    </row>
    <row r="5056" spans="1:13" x14ac:dyDescent="0.45">
      <c r="A5056" s="142" t="s">
        <v>13074</v>
      </c>
      <c r="B5056" s="142" t="s">
        <v>15405</v>
      </c>
      <c r="C5056" s="142" t="s">
        <v>15847</v>
      </c>
      <c r="D5056" s="142" t="s">
        <v>15848</v>
      </c>
      <c r="E5056" s="142" t="s">
        <v>15849</v>
      </c>
      <c r="F5056" s="142" t="s">
        <v>4340</v>
      </c>
      <c r="G5056" s="142" t="s">
        <v>4339</v>
      </c>
      <c r="H5056" s="142" t="s">
        <v>20906</v>
      </c>
      <c r="I5056" s="142">
        <v>10</v>
      </c>
      <c r="J5056" s="142">
        <v>8</v>
      </c>
      <c r="K5056" s="142">
        <v>0</v>
      </c>
      <c r="L5056" s="142">
        <v>0</v>
      </c>
      <c r="M5056" s="142">
        <v>2</v>
      </c>
    </row>
    <row r="5057" spans="1:13" x14ac:dyDescent="0.45">
      <c r="A5057" s="142" t="s">
        <v>13086</v>
      </c>
      <c r="B5057" s="142" t="s">
        <v>15380</v>
      </c>
      <c r="C5057" s="142" t="s">
        <v>15847</v>
      </c>
      <c r="D5057" s="142" t="s">
        <v>15848</v>
      </c>
      <c r="E5057" s="142" t="s">
        <v>15849</v>
      </c>
      <c r="F5057" s="142" t="s">
        <v>4340</v>
      </c>
      <c r="G5057" s="142" t="s">
        <v>4339</v>
      </c>
      <c r="H5057" s="142" t="s">
        <v>20907</v>
      </c>
      <c r="I5057" s="142">
        <v>305</v>
      </c>
      <c r="J5057" s="142">
        <v>273</v>
      </c>
      <c r="K5057" s="142">
        <v>0</v>
      </c>
      <c r="L5057" s="142">
        <v>0</v>
      </c>
      <c r="M5057" s="142">
        <v>32</v>
      </c>
    </row>
    <row r="5058" spans="1:13" x14ac:dyDescent="0.45">
      <c r="A5058" s="142" t="s">
        <v>13050</v>
      </c>
      <c r="B5058" s="142" t="s">
        <v>15237</v>
      </c>
      <c r="C5058" s="142" t="s">
        <v>15847</v>
      </c>
      <c r="D5058" s="142" t="s">
        <v>15848</v>
      </c>
      <c r="E5058" s="142" t="s">
        <v>15849</v>
      </c>
      <c r="F5058" s="142" t="s">
        <v>4340</v>
      </c>
      <c r="G5058" s="142" t="s">
        <v>4339</v>
      </c>
      <c r="H5058" s="142" t="s">
        <v>20908</v>
      </c>
      <c r="I5058" s="142">
        <v>13</v>
      </c>
      <c r="J5058" s="142">
        <v>10</v>
      </c>
      <c r="K5058" s="142">
        <v>0</v>
      </c>
      <c r="L5058" s="142">
        <v>0</v>
      </c>
      <c r="M5058" s="142">
        <v>3</v>
      </c>
    </row>
    <row r="5059" spans="1:13" x14ac:dyDescent="0.45">
      <c r="A5059" s="142" t="s">
        <v>13028</v>
      </c>
      <c r="B5059" s="142" t="s">
        <v>14462</v>
      </c>
      <c r="C5059" s="142" t="s">
        <v>15847</v>
      </c>
      <c r="D5059" s="142" t="s">
        <v>15848</v>
      </c>
      <c r="E5059" s="142" t="s">
        <v>15849</v>
      </c>
      <c r="F5059" s="142" t="s">
        <v>4340</v>
      </c>
      <c r="G5059" s="142" t="s">
        <v>4339</v>
      </c>
      <c r="H5059" s="142" t="s">
        <v>20909</v>
      </c>
      <c r="I5059" s="142">
        <v>21</v>
      </c>
      <c r="J5059" s="142">
        <v>0</v>
      </c>
      <c r="K5059" s="142">
        <v>0</v>
      </c>
      <c r="L5059" s="142">
        <v>0</v>
      </c>
      <c r="M5059" s="142">
        <v>21</v>
      </c>
    </row>
    <row r="5060" spans="1:13" x14ac:dyDescent="0.45">
      <c r="A5060" s="142" t="s">
        <v>13178</v>
      </c>
      <c r="B5060" s="142" t="s">
        <v>14683</v>
      </c>
      <c r="C5060" s="142" t="s">
        <v>15847</v>
      </c>
      <c r="D5060" s="142" t="s">
        <v>15848</v>
      </c>
      <c r="E5060" s="142" t="s">
        <v>15849</v>
      </c>
      <c r="F5060" s="142" t="s">
        <v>4340</v>
      </c>
      <c r="G5060" s="142" t="s">
        <v>4339</v>
      </c>
      <c r="H5060" s="142" t="s">
        <v>20910</v>
      </c>
      <c r="I5060" s="142">
        <v>20</v>
      </c>
      <c r="J5060" s="142">
        <v>20</v>
      </c>
      <c r="K5060" s="142">
        <v>0</v>
      </c>
      <c r="L5060" s="142">
        <v>0</v>
      </c>
      <c r="M5060" s="142">
        <v>0</v>
      </c>
    </row>
    <row r="5061" spans="1:13" x14ac:dyDescent="0.45">
      <c r="A5061" s="142" t="s">
        <v>13076</v>
      </c>
      <c r="B5061" s="142" t="s">
        <v>14636</v>
      </c>
      <c r="C5061" s="142" t="s">
        <v>15847</v>
      </c>
      <c r="D5061" s="142" t="s">
        <v>15848</v>
      </c>
      <c r="E5061" s="142" t="s">
        <v>15849</v>
      </c>
      <c r="F5061" s="142" t="s">
        <v>4340</v>
      </c>
      <c r="G5061" s="142" t="s">
        <v>4339</v>
      </c>
      <c r="H5061" s="142" t="s">
        <v>20911</v>
      </c>
      <c r="I5061" s="142">
        <v>53</v>
      </c>
      <c r="J5061" s="142">
        <v>0</v>
      </c>
      <c r="K5061" s="142">
        <v>0</v>
      </c>
      <c r="L5061" s="142">
        <v>0</v>
      </c>
      <c r="M5061" s="142">
        <v>53</v>
      </c>
    </row>
    <row r="5062" spans="1:13" x14ac:dyDescent="0.45">
      <c r="A5062" s="142" t="s">
        <v>13331</v>
      </c>
      <c r="B5062" s="142" t="s">
        <v>14682</v>
      </c>
      <c r="C5062" s="142" t="s">
        <v>15860</v>
      </c>
      <c r="D5062" s="142" t="s">
        <v>15861</v>
      </c>
      <c r="E5062" s="142" t="s">
        <v>15849</v>
      </c>
      <c r="F5062" s="142" t="s">
        <v>4340</v>
      </c>
      <c r="G5062" s="142" t="s">
        <v>4339</v>
      </c>
      <c r="H5062" s="142" t="s">
        <v>20912</v>
      </c>
      <c r="I5062" s="142">
        <v>11</v>
      </c>
      <c r="J5062" s="142">
        <v>11</v>
      </c>
      <c r="K5062" s="142">
        <v>0</v>
      </c>
      <c r="L5062" s="142">
        <v>0</v>
      </c>
      <c r="M5062" s="142">
        <v>0</v>
      </c>
    </row>
    <row r="5063" spans="1:13" x14ac:dyDescent="0.45">
      <c r="A5063" s="142" t="s">
        <v>13005</v>
      </c>
      <c r="B5063" s="142" t="s">
        <v>15475</v>
      </c>
      <c r="C5063" s="142" t="s">
        <v>15847</v>
      </c>
      <c r="D5063" s="142" t="s">
        <v>15848</v>
      </c>
      <c r="E5063" s="142" t="s">
        <v>15849</v>
      </c>
      <c r="F5063" s="142" t="s">
        <v>4340</v>
      </c>
      <c r="G5063" s="142" t="s">
        <v>4339</v>
      </c>
      <c r="H5063" s="142" t="s">
        <v>20913</v>
      </c>
      <c r="I5063" s="142">
        <v>1</v>
      </c>
      <c r="J5063" s="142">
        <v>0</v>
      </c>
      <c r="K5063" s="142">
        <v>0</v>
      </c>
      <c r="L5063" s="142">
        <v>0</v>
      </c>
      <c r="M5063" s="142">
        <v>1</v>
      </c>
    </row>
    <row r="5064" spans="1:13" x14ac:dyDescent="0.45">
      <c r="A5064" s="142" t="s">
        <v>13029</v>
      </c>
      <c r="B5064" s="142" t="s">
        <v>14665</v>
      </c>
      <c r="C5064" s="142" t="s">
        <v>15847</v>
      </c>
      <c r="D5064" s="142" t="s">
        <v>15848</v>
      </c>
      <c r="E5064" s="142" t="s">
        <v>15849</v>
      </c>
      <c r="F5064" s="142" t="s">
        <v>4340</v>
      </c>
      <c r="G5064" s="142" t="s">
        <v>4339</v>
      </c>
      <c r="H5064" s="142" t="s">
        <v>20914</v>
      </c>
      <c r="I5064" s="142">
        <v>36</v>
      </c>
      <c r="J5064" s="142">
        <v>0</v>
      </c>
      <c r="K5064" s="142">
        <v>0</v>
      </c>
      <c r="L5064" s="142">
        <v>0</v>
      </c>
      <c r="M5064" s="142">
        <v>36</v>
      </c>
    </row>
    <row r="5065" spans="1:13" x14ac:dyDescent="0.45">
      <c r="A5065" s="142" t="s">
        <v>13964</v>
      </c>
      <c r="B5065" s="142" t="s">
        <v>15336</v>
      </c>
      <c r="C5065" s="142" t="s">
        <v>15860</v>
      </c>
      <c r="D5065" s="142" t="s">
        <v>15861</v>
      </c>
      <c r="E5065" s="142" t="s">
        <v>15849</v>
      </c>
      <c r="F5065" s="142" t="s">
        <v>4340</v>
      </c>
      <c r="G5065" s="142" t="s">
        <v>4339</v>
      </c>
      <c r="H5065" s="142" t="s">
        <v>20915</v>
      </c>
      <c r="I5065" s="142">
        <v>57</v>
      </c>
      <c r="J5065" s="142">
        <v>0</v>
      </c>
      <c r="K5065" s="142">
        <v>0</v>
      </c>
      <c r="L5065" s="142">
        <v>57</v>
      </c>
      <c r="M5065" s="142">
        <v>0</v>
      </c>
    </row>
    <row r="5066" spans="1:13" x14ac:dyDescent="0.45">
      <c r="A5066" s="142" t="s">
        <v>13006</v>
      </c>
      <c r="B5066" s="142" t="s">
        <v>15288</v>
      </c>
      <c r="C5066" s="142" t="s">
        <v>15847</v>
      </c>
      <c r="D5066" s="142" t="s">
        <v>15848</v>
      </c>
      <c r="E5066" s="142" t="s">
        <v>15849</v>
      </c>
      <c r="F5066" s="142" t="s">
        <v>4340</v>
      </c>
      <c r="G5066" s="142" t="s">
        <v>4339</v>
      </c>
      <c r="H5066" s="142" t="s">
        <v>20916</v>
      </c>
      <c r="I5066" s="142">
        <v>6</v>
      </c>
      <c r="J5066" s="142">
        <v>0</v>
      </c>
      <c r="K5066" s="142">
        <v>0</v>
      </c>
      <c r="L5066" s="142">
        <v>6</v>
      </c>
      <c r="M5066" s="142">
        <v>0</v>
      </c>
    </row>
    <row r="5067" spans="1:13" x14ac:dyDescent="0.45">
      <c r="A5067" s="142" t="s">
        <v>13007</v>
      </c>
      <c r="B5067" s="142" t="s">
        <v>15262</v>
      </c>
      <c r="C5067" s="142" t="s">
        <v>15847</v>
      </c>
      <c r="D5067" s="142" t="s">
        <v>15848</v>
      </c>
      <c r="E5067" s="142" t="s">
        <v>15849</v>
      </c>
      <c r="F5067" s="142" t="s">
        <v>4340</v>
      </c>
      <c r="G5067" s="142" t="s">
        <v>4339</v>
      </c>
      <c r="H5067" s="142" t="s">
        <v>20917</v>
      </c>
      <c r="I5067" s="142">
        <v>2072</v>
      </c>
      <c r="J5067" s="142">
        <v>1433</v>
      </c>
      <c r="K5067" s="142">
        <v>0</v>
      </c>
      <c r="L5067" s="142">
        <v>610</v>
      </c>
      <c r="M5067" s="142">
        <v>29</v>
      </c>
    </row>
    <row r="5068" spans="1:13" x14ac:dyDescent="0.45">
      <c r="A5068" s="142" t="s">
        <v>13054</v>
      </c>
      <c r="B5068" s="142" t="s">
        <v>15604</v>
      </c>
      <c r="C5068" s="142" t="s">
        <v>15847</v>
      </c>
      <c r="D5068" s="142" t="s">
        <v>15848</v>
      </c>
      <c r="E5068" s="142" t="s">
        <v>15849</v>
      </c>
      <c r="F5068" s="142" t="s">
        <v>4340</v>
      </c>
      <c r="G5068" s="142" t="s">
        <v>4339</v>
      </c>
      <c r="H5068" s="142" t="s">
        <v>20918</v>
      </c>
      <c r="I5068" s="142">
        <v>1</v>
      </c>
      <c r="J5068" s="142">
        <v>0</v>
      </c>
      <c r="K5068" s="142">
        <v>0</v>
      </c>
      <c r="L5068" s="142">
        <v>0</v>
      </c>
      <c r="M5068" s="142">
        <v>1</v>
      </c>
    </row>
    <row r="5069" spans="1:13" x14ac:dyDescent="0.45">
      <c r="A5069" s="142" t="s">
        <v>13104</v>
      </c>
      <c r="B5069" s="142" t="s">
        <v>14622</v>
      </c>
      <c r="C5069" s="142" t="s">
        <v>15847</v>
      </c>
      <c r="D5069" s="142" t="s">
        <v>15848</v>
      </c>
      <c r="E5069" s="142" t="s">
        <v>15849</v>
      </c>
      <c r="F5069" s="142" t="s">
        <v>4340</v>
      </c>
      <c r="G5069" s="142" t="s">
        <v>4339</v>
      </c>
      <c r="H5069" s="142" t="s">
        <v>20919</v>
      </c>
      <c r="I5069" s="142">
        <v>152</v>
      </c>
      <c r="J5069" s="142">
        <v>113</v>
      </c>
      <c r="K5069" s="142">
        <v>0</v>
      </c>
      <c r="L5069" s="142">
        <v>16</v>
      </c>
      <c r="M5069" s="142">
        <v>23</v>
      </c>
    </row>
    <row r="5070" spans="1:13" x14ac:dyDescent="0.45">
      <c r="A5070" s="142" t="s">
        <v>13033</v>
      </c>
      <c r="B5070" s="142" t="s">
        <v>15276</v>
      </c>
      <c r="C5070" s="142" t="s">
        <v>15847</v>
      </c>
      <c r="D5070" s="142" t="s">
        <v>15848</v>
      </c>
      <c r="E5070" s="142" t="s">
        <v>15849</v>
      </c>
      <c r="F5070" s="142" t="s">
        <v>4340</v>
      </c>
      <c r="G5070" s="142" t="s">
        <v>4339</v>
      </c>
      <c r="H5070" s="142" t="s">
        <v>20920</v>
      </c>
      <c r="I5070" s="142">
        <v>40</v>
      </c>
      <c r="J5070" s="142">
        <v>40</v>
      </c>
      <c r="K5070" s="142">
        <v>0</v>
      </c>
      <c r="L5070" s="142">
        <v>0</v>
      </c>
      <c r="M5070" s="142">
        <v>0</v>
      </c>
    </row>
    <row r="5071" spans="1:13" x14ac:dyDescent="0.45">
      <c r="A5071" s="142" t="s">
        <v>13037</v>
      </c>
      <c r="B5071" s="142" t="s">
        <v>14519</v>
      </c>
      <c r="C5071" s="142" t="s">
        <v>15847</v>
      </c>
      <c r="D5071" s="142" t="s">
        <v>15848</v>
      </c>
      <c r="E5071" s="142" t="s">
        <v>15849</v>
      </c>
      <c r="F5071" s="142" t="s">
        <v>4340</v>
      </c>
      <c r="G5071" s="142" t="s">
        <v>4339</v>
      </c>
      <c r="H5071" s="142" t="s">
        <v>20921</v>
      </c>
      <c r="I5071" s="142">
        <v>3</v>
      </c>
      <c r="J5071" s="142">
        <v>0</v>
      </c>
      <c r="K5071" s="142">
        <v>0</v>
      </c>
      <c r="L5071" s="142">
        <v>3</v>
      </c>
      <c r="M5071" s="142">
        <v>0</v>
      </c>
    </row>
    <row r="5072" spans="1:13" x14ac:dyDescent="0.45">
      <c r="A5072" s="142" t="s">
        <v>13038</v>
      </c>
      <c r="B5072" s="142" t="s">
        <v>14646</v>
      </c>
      <c r="C5072" s="142" t="s">
        <v>15847</v>
      </c>
      <c r="D5072" s="142" t="s">
        <v>15848</v>
      </c>
      <c r="E5072" s="142" t="s">
        <v>15849</v>
      </c>
      <c r="F5072" s="142" t="s">
        <v>4340</v>
      </c>
      <c r="G5072" s="142" t="s">
        <v>4339</v>
      </c>
      <c r="H5072" s="142" t="s">
        <v>20922</v>
      </c>
      <c r="I5072" s="142">
        <v>78</v>
      </c>
      <c r="J5072" s="142">
        <v>44</v>
      </c>
      <c r="K5072" s="142">
        <v>0</v>
      </c>
      <c r="L5072" s="142">
        <v>0</v>
      </c>
      <c r="M5072" s="142">
        <v>34</v>
      </c>
    </row>
    <row r="5073" spans="1:13" x14ac:dyDescent="0.45">
      <c r="A5073" s="142" t="s">
        <v>13039</v>
      </c>
      <c r="B5073" s="142" t="s">
        <v>14647</v>
      </c>
      <c r="C5073" s="142" t="s">
        <v>15847</v>
      </c>
      <c r="D5073" s="142" t="s">
        <v>15848</v>
      </c>
      <c r="E5073" s="142" t="s">
        <v>15849</v>
      </c>
      <c r="F5073" s="142" t="s">
        <v>4340</v>
      </c>
      <c r="G5073" s="142" t="s">
        <v>4339</v>
      </c>
      <c r="H5073" s="142" t="s">
        <v>20923</v>
      </c>
      <c r="I5073" s="142">
        <v>35</v>
      </c>
      <c r="J5073" s="142">
        <v>35</v>
      </c>
      <c r="K5073" s="142">
        <v>0</v>
      </c>
      <c r="L5073" s="142">
        <v>0</v>
      </c>
      <c r="M5073" s="142">
        <v>0</v>
      </c>
    </row>
    <row r="5074" spans="1:13" x14ac:dyDescent="0.45">
      <c r="A5074" s="142" t="s">
        <v>13078</v>
      </c>
      <c r="B5074" s="142" t="s">
        <v>15540</v>
      </c>
      <c r="C5074" s="142" t="s">
        <v>15847</v>
      </c>
      <c r="D5074" s="142" t="s">
        <v>15848</v>
      </c>
      <c r="E5074" s="142" t="s">
        <v>15849</v>
      </c>
      <c r="F5074" s="142" t="s">
        <v>4340</v>
      </c>
      <c r="G5074" s="142" t="s">
        <v>4339</v>
      </c>
      <c r="H5074" s="142" t="s">
        <v>20924</v>
      </c>
      <c r="I5074" s="142">
        <v>84</v>
      </c>
      <c r="J5074" s="142">
        <v>58</v>
      </c>
      <c r="K5074" s="142">
        <v>0</v>
      </c>
      <c r="L5074" s="142">
        <v>26</v>
      </c>
      <c r="M5074" s="142">
        <v>0</v>
      </c>
    </row>
    <row r="5075" spans="1:13" x14ac:dyDescent="0.45">
      <c r="A5075" s="142" t="s">
        <v>13009</v>
      </c>
      <c r="B5075" s="142" t="s">
        <v>15256</v>
      </c>
      <c r="C5075" s="142" t="s">
        <v>15847</v>
      </c>
      <c r="D5075" s="142" t="s">
        <v>15848</v>
      </c>
      <c r="E5075" s="142" t="s">
        <v>15849</v>
      </c>
      <c r="F5075" s="142" t="s">
        <v>4340</v>
      </c>
      <c r="G5075" s="142" t="s">
        <v>4339</v>
      </c>
      <c r="H5075" s="142" t="s">
        <v>20925</v>
      </c>
      <c r="I5075" s="142">
        <v>41</v>
      </c>
      <c r="J5075" s="142">
        <v>1</v>
      </c>
      <c r="K5075" s="142">
        <v>0</v>
      </c>
      <c r="L5075" s="142">
        <v>40</v>
      </c>
      <c r="M5075" s="142">
        <v>0</v>
      </c>
    </row>
    <row r="5076" spans="1:13" x14ac:dyDescent="0.45">
      <c r="A5076" s="142" t="s">
        <v>13041</v>
      </c>
      <c r="B5076" s="142" t="s">
        <v>14441</v>
      </c>
      <c r="C5076" s="142" t="s">
        <v>15847</v>
      </c>
      <c r="D5076" s="142" t="s">
        <v>15848</v>
      </c>
      <c r="E5076" s="142" t="s">
        <v>15849</v>
      </c>
      <c r="F5076" s="142" t="s">
        <v>4340</v>
      </c>
      <c r="G5076" s="142" t="s">
        <v>4339</v>
      </c>
      <c r="H5076" s="142" t="s">
        <v>20926</v>
      </c>
      <c r="I5076" s="142">
        <v>4</v>
      </c>
      <c r="J5076" s="142">
        <v>0</v>
      </c>
      <c r="K5076" s="142">
        <v>0</v>
      </c>
      <c r="L5076" s="142">
        <v>0</v>
      </c>
      <c r="M5076" s="142">
        <v>4</v>
      </c>
    </row>
    <row r="5077" spans="1:13" x14ac:dyDescent="0.45">
      <c r="A5077" s="142" t="s">
        <v>13106</v>
      </c>
      <c r="B5077" s="142" t="s">
        <v>15414</v>
      </c>
      <c r="C5077" s="142" t="s">
        <v>15847</v>
      </c>
      <c r="D5077" s="142" t="s">
        <v>15848</v>
      </c>
      <c r="E5077" s="142" t="s">
        <v>15849</v>
      </c>
      <c r="F5077" s="142" t="s">
        <v>4340</v>
      </c>
      <c r="G5077" s="142" t="s">
        <v>4339</v>
      </c>
      <c r="H5077" s="142" t="s">
        <v>20927</v>
      </c>
      <c r="I5077" s="142">
        <v>4</v>
      </c>
      <c r="J5077" s="142">
        <v>0</v>
      </c>
      <c r="K5077" s="142">
        <v>0</v>
      </c>
      <c r="L5077" s="142">
        <v>4</v>
      </c>
      <c r="M5077" s="142">
        <v>0</v>
      </c>
    </row>
    <row r="5078" spans="1:13" x14ac:dyDescent="0.45">
      <c r="A5078" s="142" t="s">
        <v>13021</v>
      </c>
      <c r="B5078" s="142" t="s">
        <v>15501</v>
      </c>
      <c r="C5078" s="142" t="s">
        <v>15847</v>
      </c>
      <c r="D5078" s="142" t="s">
        <v>15848</v>
      </c>
      <c r="E5078" s="142" t="s">
        <v>15849</v>
      </c>
      <c r="F5078" s="142" t="s">
        <v>9230</v>
      </c>
      <c r="G5078" s="142" t="s">
        <v>9229</v>
      </c>
      <c r="H5078" s="142" t="s">
        <v>20928</v>
      </c>
      <c r="I5078" s="142">
        <v>9</v>
      </c>
      <c r="J5078" s="142">
        <v>0</v>
      </c>
      <c r="K5078" s="142">
        <v>0</v>
      </c>
      <c r="L5078" s="142">
        <v>7</v>
      </c>
      <c r="M5078" s="142">
        <v>2</v>
      </c>
    </row>
    <row r="5079" spans="1:13" x14ac:dyDescent="0.45">
      <c r="A5079" s="142" t="s">
        <v>13023</v>
      </c>
      <c r="B5079" s="142" t="s">
        <v>15571</v>
      </c>
      <c r="C5079" s="142" t="s">
        <v>15847</v>
      </c>
      <c r="D5079" s="142" t="s">
        <v>15848</v>
      </c>
      <c r="E5079" s="142" t="s">
        <v>15849</v>
      </c>
      <c r="F5079" s="142" t="s">
        <v>9230</v>
      </c>
      <c r="G5079" s="142" t="s">
        <v>9229</v>
      </c>
      <c r="H5079" s="142" t="s">
        <v>20929</v>
      </c>
      <c r="I5079" s="142">
        <v>35</v>
      </c>
      <c r="J5079" s="142">
        <v>0</v>
      </c>
      <c r="K5079" s="142">
        <v>0</v>
      </c>
      <c r="L5079" s="142">
        <v>35</v>
      </c>
      <c r="M5079" s="142">
        <v>0</v>
      </c>
    </row>
    <row r="5080" spans="1:13" x14ac:dyDescent="0.45">
      <c r="A5080" s="142" t="s">
        <v>13235</v>
      </c>
      <c r="B5080" s="142" t="s">
        <v>14573</v>
      </c>
      <c r="C5080" s="142" t="s">
        <v>15847</v>
      </c>
      <c r="D5080" s="142" t="s">
        <v>15848</v>
      </c>
      <c r="E5080" s="142" t="s">
        <v>15849</v>
      </c>
      <c r="F5080" s="142" t="s">
        <v>9230</v>
      </c>
      <c r="G5080" s="142" t="s">
        <v>9229</v>
      </c>
      <c r="H5080" s="142" t="s">
        <v>20930</v>
      </c>
      <c r="I5080" s="142">
        <v>262</v>
      </c>
      <c r="J5080" s="142">
        <v>213</v>
      </c>
      <c r="K5080" s="142">
        <v>0</v>
      </c>
      <c r="L5080" s="142">
        <v>0</v>
      </c>
      <c r="M5080" s="142">
        <v>49</v>
      </c>
    </row>
    <row r="5081" spans="1:13" x14ac:dyDescent="0.45">
      <c r="A5081" s="142" t="s">
        <v>13237</v>
      </c>
      <c r="B5081" s="142" t="s">
        <v>14643</v>
      </c>
      <c r="C5081" s="142" t="s">
        <v>15847</v>
      </c>
      <c r="D5081" s="142" t="s">
        <v>15848</v>
      </c>
      <c r="E5081" s="142" t="s">
        <v>15849</v>
      </c>
      <c r="F5081" s="142" t="s">
        <v>9230</v>
      </c>
      <c r="G5081" s="142" t="s">
        <v>9229</v>
      </c>
      <c r="H5081" s="142" t="s">
        <v>20931</v>
      </c>
      <c r="I5081" s="142">
        <v>488</v>
      </c>
      <c r="J5081" s="142">
        <v>392</v>
      </c>
      <c r="K5081" s="142">
        <v>0</v>
      </c>
      <c r="L5081" s="142">
        <v>21</v>
      </c>
      <c r="M5081" s="142">
        <v>75</v>
      </c>
    </row>
    <row r="5082" spans="1:13" x14ac:dyDescent="0.45">
      <c r="A5082" s="142" t="s">
        <v>13049</v>
      </c>
      <c r="B5082" s="142" t="s">
        <v>14534</v>
      </c>
      <c r="C5082" s="142" t="s">
        <v>15860</v>
      </c>
      <c r="D5082" s="142" t="s">
        <v>15861</v>
      </c>
      <c r="E5082" s="142" t="s">
        <v>15849</v>
      </c>
      <c r="F5082" s="142" t="s">
        <v>9230</v>
      </c>
      <c r="G5082" s="142" t="s">
        <v>9229</v>
      </c>
      <c r="H5082" s="142" t="s">
        <v>20932</v>
      </c>
      <c r="I5082" s="142">
        <v>4</v>
      </c>
      <c r="J5082" s="142">
        <v>0</v>
      </c>
      <c r="K5082" s="142">
        <v>0</v>
      </c>
      <c r="L5082" s="142">
        <v>4</v>
      </c>
      <c r="M5082" s="142">
        <v>0</v>
      </c>
    </row>
    <row r="5083" spans="1:13" x14ac:dyDescent="0.45">
      <c r="A5083" s="142" t="s">
        <v>13027</v>
      </c>
      <c r="B5083" s="142" t="s">
        <v>14562</v>
      </c>
      <c r="C5083" s="142" t="s">
        <v>15847</v>
      </c>
      <c r="D5083" s="142" t="s">
        <v>15848</v>
      </c>
      <c r="E5083" s="142" t="s">
        <v>15849</v>
      </c>
      <c r="F5083" s="142" t="s">
        <v>9230</v>
      </c>
      <c r="G5083" s="142" t="s">
        <v>9229</v>
      </c>
      <c r="H5083" s="142" t="s">
        <v>20933</v>
      </c>
      <c r="I5083" s="142">
        <v>5</v>
      </c>
      <c r="J5083" s="142">
        <v>0</v>
      </c>
      <c r="K5083" s="142">
        <v>0</v>
      </c>
      <c r="L5083" s="142">
        <v>5</v>
      </c>
      <c r="M5083" s="142">
        <v>0</v>
      </c>
    </row>
    <row r="5084" spans="1:13" x14ac:dyDescent="0.45">
      <c r="A5084" s="142" t="s">
        <v>13028</v>
      </c>
      <c r="B5084" s="142" t="s">
        <v>14462</v>
      </c>
      <c r="C5084" s="142" t="s">
        <v>15847</v>
      </c>
      <c r="D5084" s="142" t="s">
        <v>15848</v>
      </c>
      <c r="E5084" s="142" t="s">
        <v>15849</v>
      </c>
      <c r="F5084" s="142" t="s">
        <v>9230</v>
      </c>
      <c r="G5084" s="142" t="s">
        <v>9229</v>
      </c>
      <c r="H5084" s="142" t="s">
        <v>20934</v>
      </c>
      <c r="I5084" s="142">
        <v>7</v>
      </c>
      <c r="J5084" s="142">
        <v>0</v>
      </c>
      <c r="K5084" s="142">
        <v>0</v>
      </c>
      <c r="L5084" s="142">
        <v>0</v>
      </c>
      <c r="M5084" s="142">
        <v>7</v>
      </c>
    </row>
    <row r="5085" spans="1:13" x14ac:dyDescent="0.45">
      <c r="A5085" s="142" t="s">
        <v>13003</v>
      </c>
      <c r="B5085" s="142" t="s">
        <v>15245</v>
      </c>
      <c r="C5085" s="142" t="s">
        <v>15847</v>
      </c>
      <c r="D5085" s="142" t="s">
        <v>15848</v>
      </c>
      <c r="E5085" s="142" t="s">
        <v>15849</v>
      </c>
      <c r="F5085" s="142" t="s">
        <v>9230</v>
      </c>
      <c r="G5085" s="142" t="s">
        <v>9229</v>
      </c>
      <c r="H5085" s="142" t="s">
        <v>20935</v>
      </c>
      <c r="I5085" s="142">
        <v>32</v>
      </c>
      <c r="J5085" s="142">
        <v>0</v>
      </c>
      <c r="K5085" s="142">
        <v>0</v>
      </c>
      <c r="L5085" s="142">
        <v>32</v>
      </c>
      <c r="M5085" s="142">
        <v>0</v>
      </c>
    </row>
    <row r="5086" spans="1:13" x14ac:dyDescent="0.45">
      <c r="A5086" s="142" t="s">
        <v>13076</v>
      </c>
      <c r="B5086" s="142" t="s">
        <v>14636</v>
      </c>
      <c r="C5086" s="142" t="s">
        <v>15847</v>
      </c>
      <c r="D5086" s="142" t="s">
        <v>15848</v>
      </c>
      <c r="E5086" s="142" t="s">
        <v>15849</v>
      </c>
      <c r="F5086" s="142" t="s">
        <v>9230</v>
      </c>
      <c r="G5086" s="142" t="s">
        <v>9229</v>
      </c>
      <c r="H5086" s="142" t="s">
        <v>20936</v>
      </c>
      <c r="I5086" s="142">
        <v>21</v>
      </c>
      <c r="J5086" s="142">
        <v>18</v>
      </c>
      <c r="K5086" s="142">
        <v>0</v>
      </c>
      <c r="L5086" s="142">
        <v>0</v>
      </c>
      <c r="M5086" s="142">
        <v>3</v>
      </c>
    </row>
    <row r="5087" spans="1:13" x14ac:dyDescent="0.45">
      <c r="A5087" s="142" t="s">
        <v>13965</v>
      </c>
      <c r="B5087" s="142" t="s">
        <v>14551</v>
      </c>
      <c r="C5087" s="142" t="s">
        <v>15860</v>
      </c>
      <c r="D5087" s="142" t="s">
        <v>15861</v>
      </c>
      <c r="E5087" s="142" t="s">
        <v>15849</v>
      </c>
      <c r="F5087" s="142" t="s">
        <v>9230</v>
      </c>
      <c r="G5087" s="142" t="s">
        <v>9229</v>
      </c>
      <c r="H5087" s="142" t="s">
        <v>20937</v>
      </c>
      <c r="I5087" s="142">
        <v>1</v>
      </c>
      <c r="J5087" s="142">
        <v>1</v>
      </c>
      <c r="K5087" s="142">
        <v>0</v>
      </c>
      <c r="L5087" s="142">
        <v>0</v>
      </c>
      <c r="M5087" s="142">
        <v>0</v>
      </c>
    </row>
    <row r="5088" spans="1:13" x14ac:dyDescent="0.45">
      <c r="A5088" s="142" t="s">
        <v>13035</v>
      </c>
      <c r="B5088" s="142" t="s">
        <v>14648</v>
      </c>
      <c r="C5088" s="142" t="s">
        <v>15847</v>
      </c>
      <c r="D5088" s="142" t="s">
        <v>15848</v>
      </c>
      <c r="E5088" s="142" t="s">
        <v>15849</v>
      </c>
      <c r="F5088" s="142" t="s">
        <v>9230</v>
      </c>
      <c r="G5088" s="142" t="s">
        <v>9229</v>
      </c>
      <c r="H5088" s="142" t="s">
        <v>20938</v>
      </c>
      <c r="I5088" s="142">
        <v>4634</v>
      </c>
      <c r="J5088" s="142">
        <v>3693</v>
      </c>
      <c r="K5088" s="142">
        <v>0</v>
      </c>
      <c r="L5088" s="142">
        <v>540</v>
      </c>
      <c r="M5088" s="142">
        <v>401</v>
      </c>
    </row>
    <row r="5089" spans="1:13" x14ac:dyDescent="0.45">
      <c r="A5089" s="142" t="s">
        <v>13394</v>
      </c>
      <c r="B5089" s="142" t="s">
        <v>15569</v>
      </c>
      <c r="C5089" s="142" t="s">
        <v>15847</v>
      </c>
      <c r="D5089" s="142" t="s">
        <v>15848</v>
      </c>
      <c r="E5089" s="142" t="s">
        <v>15849</v>
      </c>
      <c r="F5089" s="142" t="s">
        <v>9230</v>
      </c>
      <c r="G5089" s="142" t="s">
        <v>9229</v>
      </c>
      <c r="H5089" s="142" t="s">
        <v>20939</v>
      </c>
      <c r="I5089" s="142">
        <v>68</v>
      </c>
      <c r="J5089" s="142">
        <v>40</v>
      </c>
      <c r="K5089" s="142">
        <v>0</v>
      </c>
      <c r="L5089" s="142">
        <v>0</v>
      </c>
      <c r="M5089" s="142">
        <v>28</v>
      </c>
    </row>
    <row r="5090" spans="1:13" x14ac:dyDescent="0.45">
      <c r="A5090" s="142" t="s">
        <v>13091</v>
      </c>
      <c r="B5090" s="142" t="s">
        <v>14473</v>
      </c>
      <c r="C5090" s="142" t="s">
        <v>15847</v>
      </c>
      <c r="D5090" s="142" t="s">
        <v>15848</v>
      </c>
      <c r="E5090" s="142" t="s">
        <v>15849</v>
      </c>
      <c r="F5090" s="142" t="s">
        <v>9230</v>
      </c>
      <c r="G5090" s="142" t="s">
        <v>9229</v>
      </c>
      <c r="H5090" s="142" t="s">
        <v>20940</v>
      </c>
      <c r="I5090" s="142">
        <v>67</v>
      </c>
      <c r="J5090" s="142">
        <v>32</v>
      </c>
      <c r="K5090" s="142">
        <v>0</v>
      </c>
      <c r="L5090" s="142">
        <v>0</v>
      </c>
      <c r="M5090" s="142">
        <v>35</v>
      </c>
    </row>
    <row r="5091" spans="1:13" x14ac:dyDescent="0.45">
      <c r="A5091" s="142" t="s">
        <v>13009</v>
      </c>
      <c r="B5091" s="142" t="s">
        <v>15256</v>
      </c>
      <c r="C5091" s="142" t="s">
        <v>15847</v>
      </c>
      <c r="D5091" s="142" t="s">
        <v>15848</v>
      </c>
      <c r="E5091" s="142" t="s">
        <v>15849</v>
      </c>
      <c r="F5091" s="142" t="s">
        <v>9230</v>
      </c>
      <c r="G5091" s="142" t="s">
        <v>9229</v>
      </c>
      <c r="H5091" s="142" t="s">
        <v>20941</v>
      </c>
      <c r="I5091" s="142">
        <v>145</v>
      </c>
      <c r="J5091" s="142">
        <v>113</v>
      </c>
      <c r="K5091" s="142">
        <v>0</v>
      </c>
      <c r="L5091" s="142">
        <v>27</v>
      </c>
      <c r="M5091" s="142">
        <v>5</v>
      </c>
    </row>
    <row r="5092" spans="1:13" x14ac:dyDescent="0.45">
      <c r="A5092" s="142" t="s">
        <v>13012</v>
      </c>
      <c r="B5092" s="142" t="s">
        <v>15337</v>
      </c>
      <c r="C5092" s="142" t="s">
        <v>15847</v>
      </c>
      <c r="D5092" s="142" t="s">
        <v>15848</v>
      </c>
      <c r="E5092" s="142" t="s">
        <v>15849</v>
      </c>
      <c r="F5092" s="142" t="s">
        <v>9230</v>
      </c>
      <c r="G5092" s="142" t="s">
        <v>9229</v>
      </c>
      <c r="H5092" s="142" t="s">
        <v>20942</v>
      </c>
      <c r="I5092" s="142">
        <v>375</v>
      </c>
      <c r="J5092" s="142">
        <v>354</v>
      </c>
      <c r="K5092" s="142">
        <v>0</v>
      </c>
      <c r="L5092" s="142">
        <v>1</v>
      </c>
      <c r="M5092" s="142">
        <v>20</v>
      </c>
    </row>
    <row r="5093" spans="1:13" x14ac:dyDescent="0.45">
      <c r="A5093" s="142" t="s">
        <v>13966</v>
      </c>
      <c r="B5093" s="142" t="s">
        <v>15586</v>
      </c>
      <c r="C5093" s="142" t="s">
        <v>15847</v>
      </c>
      <c r="D5093" s="142" t="s">
        <v>15848</v>
      </c>
      <c r="E5093" s="142" t="s">
        <v>15849</v>
      </c>
      <c r="F5093" s="142" t="s">
        <v>9230</v>
      </c>
      <c r="G5093" s="142" t="s">
        <v>9229</v>
      </c>
      <c r="H5093" s="142" t="s">
        <v>20943</v>
      </c>
      <c r="I5093" s="142">
        <v>67</v>
      </c>
      <c r="J5093" s="142">
        <v>56</v>
      </c>
      <c r="K5093" s="142">
        <v>0</v>
      </c>
      <c r="L5093" s="142">
        <v>0</v>
      </c>
      <c r="M5093" s="142">
        <v>11</v>
      </c>
    </row>
    <row r="5094" spans="1:13" x14ac:dyDescent="0.45">
      <c r="A5094" s="142" t="s">
        <v>13267</v>
      </c>
      <c r="B5094" s="142" t="s">
        <v>15451</v>
      </c>
      <c r="C5094" s="142" t="s">
        <v>15847</v>
      </c>
      <c r="D5094" s="142" t="s">
        <v>15848</v>
      </c>
      <c r="E5094" s="142" t="s">
        <v>15849</v>
      </c>
      <c r="F5094" s="142" t="s">
        <v>9230</v>
      </c>
      <c r="G5094" s="142" t="s">
        <v>9229</v>
      </c>
      <c r="H5094" s="142" t="s">
        <v>20944</v>
      </c>
      <c r="I5094" s="142">
        <v>14</v>
      </c>
      <c r="J5094" s="142">
        <v>10</v>
      </c>
      <c r="K5094" s="142">
        <v>0</v>
      </c>
      <c r="L5094" s="142">
        <v>0</v>
      </c>
      <c r="M5094" s="142">
        <v>4</v>
      </c>
    </row>
    <row r="5095" spans="1:13" x14ac:dyDescent="0.45">
      <c r="A5095" s="142" t="s">
        <v>13111</v>
      </c>
      <c r="B5095" s="142" t="s">
        <v>15546</v>
      </c>
      <c r="C5095" s="142" t="s">
        <v>15860</v>
      </c>
      <c r="D5095" s="142" t="s">
        <v>15861</v>
      </c>
      <c r="E5095" s="142" t="s">
        <v>15849</v>
      </c>
      <c r="F5095" s="142" t="s">
        <v>9769</v>
      </c>
      <c r="G5095" s="142" t="s">
        <v>9768</v>
      </c>
      <c r="H5095" s="142" t="s">
        <v>20945</v>
      </c>
      <c r="I5095" s="142">
        <v>2</v>
      </c>
      <c r="J5095" s="142">
        <v>2</v>
      </c>
      <c r="K5095" s="142">
        <v>0</v>
      </c>
      <c r="L5095" s="142">
        <v>0</v>
      </c>
      <c r="M5095" s="142">
        <v>0</v>
      </c>
    </row>
    <row r="5096" spans="1:13" x14ac:dyDescent="0.45">
      <c r="A5096" s="142" t="s">
        <v>13023</v>
      </c>
      <c r="B5096" s="142" t="s">
        <v>15571</v>
      </c>
      <c r="C5096" s="142" t="s">
        <v>15847</v>
      </c>
      <c r="D5096" s="142" t="s">
        <v>15848</v>
      </c>
      <c r="E5096" s="142" t="s">
        <v>15849</v>
      </c>
      <c r="F5096" s="142" t="s">
        <v>9769</v>
      </c>
      <c r="G5096" s="142" t="s">
        <v>9768</v>
      </c>
      <c r="H5096" s="142" t="s">
        <v>20946</v>
      </c>
      <c r="I5096" s="142">
        <v>475</v>
      </c>
      <c r="J5096" s="142">
        <v>0</v>
      </c>
      <c r="K5096" s="142">
        <v>0</v>
      </c>
      <c r="L5096" s="142">
        <v>446</v>
      </c>
      <c r="M5096" s="142">
        <v>29</v>
      </c>
    </row>
    <row r="5097" spans="1:13" x14ac:dyDescent="0.45">
      <c r="A5097" s="142" t="s">
        <v>13968</v>
      </c>
      <c r="B5097" s="142" t="s">
        <v>15389</v>
      </c>
      <c r="C5097" s="142" t="s">
        <v>15847</v>
      </c>
      <c r="D5097" s="142" t="s">
        <v>15848</v>
      </c>
      <c r="E5097" s="142" t="s">
        <v>15849</v>
      </c>
      <c r="F5097" s="142" t="s">
        <v>9769</v>
      </c>
      <c r="G5097" s="142" t="s">
        <v>9768</v>
      </c>
      <c r="H5097" s="142" t="s">
        <v>20947</v>
      </c>
      <c r="I5097" s="142">
        <v>1022</v>
      </c>
      <c r="J5097" s="142">
        <v>873</v>
      </c>
      <c r="K5097" s="142">
        <v>0</v>
      </c>
      <c r="L5097" s="142">
        <v>147</v>
      </c>
      <c r="M5097" s="142">
        <v>2</v>
      </c>
    </row>
    <row r="5098" spans="1:13" x14ac:dyDescent="0.45">
      <c r="A5098" s="142" t="s">
        <v>13113</v>
      </c>
      <c r="B5098" s="142" t="s">
        <v>14503</v>
      </c>
      <c r="C5098" s="142" t="s">
        <v>15860</v>
      </c>
      <c r="D5098" s="142" t="s">
        <v>15861</v>
      </c>
      <c r="E5098" s="142" t="s">
        <v>15849</v>
      </c>
      <c r="F5098" s="142" t="s">
        <v>9769</v>
      </c>
      <c r="G5098" s="142" t="s">
        <v>9768</v>
      </c>
      <c r="H5098" s="142" t="s">
        <v>20948</v>
      </c>
      <c r="I5098" s="142">
        <v>2</v>
      </c>
      <c r="J5098" s="142">
        <v>2</v>
      </c>
      <c r="K5098" s="142">
        <v>0</v>
      </c>
      <c r="L5098" s="142">
        <v>0</v>
      </c>
      <c r="M5098" s="142">
        <v>0</v>
      </c>
    </row>
    <row r="5099" spans="1:13" x14ac:dyDescent="0.45">
      <c r="A5099" s="142" t="s">
        <v>13289</v>
      </c>
      <c r="B5099" s="142" t="s">
        <v>14423</v>
      </c>
      <c r="C5099" s="142" t="s">
        <v>15847</v>
      </c>
      <c r="D5099" s="142" t="s">
        <v>15848</v>
      </c>
      <c r="E5099" s="142" t="s">
        <v>15849</v>
      </c>
      <c r="F5099" s="142" t="s">
        <v>9769</v>
      </c>
      <c r="G5099" s="142" t="s">
        <v>9768</v>
      </c>
      <c r="H5099" s="142" t="s">
        <v>20949</v>
      </c>
      <c r="I5099" s="142">
        <v>512</v>
      </c>
      <c r="J5099" s="142">
        <v>497</v>
      </c>
      <c r="K5099" s="142">
        <v>0</v>
      </c>
      <c r="L5099" s="142">
        <v>4</v>
      </c>
      <c r="M5099" s="142">
        <v>11</v>
      </c>
    </row>
    <row r="5100" spans="1:13" x14ac:dyDescent="0.45">
      <c r="A5100" s="142" t="s">
        <v>13407</v>
      </c>
      <c r="B5100" s="142" t="s">
        <v>15432</v>
      </c>
      <c r="C5100" s="142" t="s">
        <v>15847</v>
      </c>
      <c r="D5100" s="142" t="s">
        <v>15848</v>
      </c>
      <c r="E5100" s="142" t="s">
        <v>15849</v>
      </c>
      <c r="F5100" s="142" t="s">
        <v>9769</v>
      </c>
      <c r="G5100" s="142" t="s">
        <v>9768</v>
      </c>
      <c r="H5100" s="142" t="s">
        <v>20950</v>
      </c>
      <c r="I5100" s="142">
        <v>21</v>
      </c>
      <c r="J5100" s="142">
        <v>0</v>
      </c>
      <c r="K5100" s="142">
        <v>0</v>
      </c>
      <c r="L5100" s="142">
        <v>21</v>
      </c>
      <c r="M5100" s="142">
        <v>0</v>
      </c>
    </row>
    <row r="5101" spans="1:13" x14ac:dyDescent="0.45">
      <c r="A5101" s="142" t="s">
        <v>13273</v>
      </c>
      <c r="B5101" s="142" t="s">
        <v>14465</v>
      </c>
      <c r="C5101" s="142" t="s">
        <v>15860</v>
      </c>
      <c r="D5101" s="142" t="s">
        <v>15861</v>
      </c>
      <c r="E5101" s="142" t="s">
        <v>15849</v>
      </c>
      <c r="F5101" s="142" t="s">
        <v>9769</v>
      </c>
      <c r="G5101" s="142" t="s">
        <v>9768</v>
      </c>
      <c r="H5101" s="142" t="s">
        <v>20951</v>
      </c>
      <c r="I5101" s="142">
        <v>1</v>
      </c>
      <c r="J5101" s="142">
        <v>0</v>
      </c>
      <c r="K5101" s="142">
        <v>0</v>
      </c>
      <c r="L5101" s="142">
        <v>1</v>
      </c>
      <c r="M5101" s="142">
        <v>0</v>
      </c>
    </row>
    <row r="5102" spans="1:13" x14ac:dyDescent="0.45">
      <c r="A5102" s="142" t="s">
        <v>13318</v>
      </c>
      <c r="B5102" s="142" t="s">
        <v>15172</v>
      </c>
      <c r="C5102" s="142" t="s">
        <v>15860</v>
      </c>
      <c r="D5102" s="142" t="s">
        <v>15861</v>
      </c>
      <c r="E5102" s="142" t="s">
        <v>15849</v>
      </c>
      <c r="F5102" s="142" t="s">
        <v>9769</v>
      </c>
      <c r="G5102" s="142" t="s">
        <v>9768</v>
      </c>
      <c r="H5102" s="142" t="s">
        <v>20952</v>
      </c>
      <c r="I5102" s="142">
        <v>32</v>
      </c>
      <c r="J5102" s="142">
        <v>4</v>
      </c>
      <c r="K5102" s="142">
        <v>14</v>
      </c>
      <c r="L5102" s="142">
        <v>14</v>
      </c>
      <c r="M5102" s="142">
        <v>0</v>
      </c>
    </row>
    <row r="5103" spans="1:13" x14ac:dyDescent="0.45">
      <c r="A5103" s="142" t="s">
        <v>13000</v>
      </c>
      <c r="B5103" s="142" t="s">
        <v>14610</v>
      </c>
      <c r="C5103" s="142" t="s">
        <v>15847</v>
      </c>
      <c r="D5103" s="142" t="s">
        <v>15848</v>
      </c>
      <c r="E5103" s="142" t="s">
        <v>15849</v>
      </c>
      <c r="F5103" s="142" t="s">
        <v>9769</v>
      </c>
      <c r="G5103" s="142" t="s">
        <v>9768</v>
      </c>
      <c r="H5103" s="142" t="s">
        <v>20953</v>
      </c>
      <c r="I5103" s="142">
        <v>534</v>
      </c>
      <c r="J5103" s="142">
        <v>408</v>
      </c>
      <c r="K5103" s="142">
        <v>0</v>
      </c>
      <c r="L5103" s="142">
        <v>22</v>
      </c>
      <c r="M5103" s="142">
        <v>104</v>
      </c>
    </row>
    <row r="5104" spans="1:13" x14ac:dyDescent="0.45">
      <c r="A5104" s="142" t="s">
        <v>13969</v>
      </c>
      <c r="B5104" s="142" t="s">
        <v>14964</v>
      </c>
      <c r="C5104" s="142" t="s">
        <v>15860</v>
      </c>
      <c r="D5104" s="142" t="s">
        <v>15861</v>
      </c>
      <c r="E5104" s="142" t="s">
        <v>15849</v>
      </c>
      <c r="F5104" s="142" t="s">
        <v>9769</v>
      </c>
      <c r="G5104" s="142" t="s">
        <v>9768</v>
      </c>
      <c r="H5104" s="142" t="s">
        <v>20954</v>
      </c>
      <c r="I5104" s="142">
        <v>16</v>
      </c>
      <c r="J5104" s="142">
        <v>1</v>
      </c>
      <c r="K5104" s="142">
        <v>15</v>
      </c>
      <c r="L5104" s="142">
        <v>0</v>
      </c>
      <c r="M5104" s="142">
        <v>0</v>
      </c>
    </row>
    <row r="5105" spans="1:13" x14ac:dyDescent="0.45">
      <c r="A5105" s="142" t="s">
        <v>13238</v>
      </c>
      <c r="B5105" s="142" t="s">
        <v>14477</v>
      </c>
      <c r="C5105" s="142" t="s">
        <v>15860</v>
      </c>
      <c r="D5105" s="142" t="s">
        <v>15861</v>
      </c>
      <c r="E5105" s="142" t="s">
        <v>15849</v>
      </c>
      <c r="F5105" s="142" t="s">
        <v>9769</v>
      </c>
      <c r="G5105" s="142" t="s">
        <v>9768</v>
      </c>
      <c r="H5105" s="142" t="s">
        <v>20955</v>
      </c>
      <c r="I5105" s="142">
        <v>100</v>
      </c>
      <c r="J5105" s="142">
        <v>0</v>
      </c>
      <c r="K5105" s="142">
        <v>0</v>
      </c>
      <c r="L5105" s="142">
        <v>100</v>
      </c>
      <c r="M5105" s="142">
        <v>0</v>
      </c>
    </row>
    <row r="5106" spans="1:13" x14ac:dyDescent="0.45">
      <c r="A5106" s="142" t="s">
        <v>13574</v>
      </c>
      <c r="B5106" s="142" t="s">
        <v>14553</v>
      </c>
      <c r="C5106" s="142" t="s">
        <v>15860</v>
      </c>
      <c r="D5106" s="142" t="s">
        <v>15861</v>
      </c>
      <c r="E5106" s="142" t="s">
        <v>15849</v>
      </c>
      <c r="F5106" s="142" t="s">
        <v>9769</v>
      </c>
      <c r="G5106" s="142" t="s">
        <v>9768</v>
      </c>
      <c r="H5106" s="142" t="s">
        <v>20956</v>
      </c>
      <c r="I5106" s="142">
        <v>158</v>
      </c>
      <c r="J5106" s="142">
        <v>0</v>
      </c>
      <c r="K5106" s="142">
        <v>0</v>
      </c>
      <c r="L5106" s="142">
        <v>158</v>
      </c>
      <c r="M5106" s="142">
        <v>0</v>
      </c>
    </row>
    <row r="5107" spans="1:13" x14ac:dyDescent="0.45">
      <c r="A5107" s="142" t="s">
        <v>13500</v>
      </c>
      <c r="B5107" s="142" t="s">
        <v>15422</v>
      </c>
      <c r="C5107" s="142" t="s">
        <v>15847</v>
      </c>
      <c r="D5107" s="142" t="s">
        <v>15848</v>
      </c>
      <c r="E5107" s="142" t="s">
        <v>15849</v>
      </c>
      <c r="F5107" s="142" t="s">
        <v>9769</v>
      </c>
      <c r="G5107" s="142" t="s">
        <v>9768</v>
      </c>
      <c r="H5107" s="142" t="s">
        <v>20957</v>
      </c>
      <c r="I5107" s="142">
        <v>145</v>
      </c>
      <c r="J5107" s="142">
        <v>40</v>
      </c>
      <c r="K5107" s="142">
        <v>105</v>
      </c>
      <c r="L5107" s="142">
        <v>0</v>
      </c>
      <c r="M5107" s="142">
        <v>0</v>
      </c>
    </row>
    <row r="5108" spans="1:13" x14ac:dyDescent="0.45">
      <c r="A5108" s="142" t="s">
        <v>13027</v>
      </c>
      <c r="B5108" s="142" t="s">
        <v>14562</v>
      </c>
      <c r="C5108" s="142" t="s">
        <v>15847</v>
      </c>
      <c r="D5108" s="142" t="s">
        <v>15848</v>
      </c>
      <c r="E5108" s="142" t="s">
        <v>15849</v>
      </c>
      <c r="F5108" s="142" t="s">
        <v>9769</v>
      </c>
      <c r="G5108" s="142" t="s">
        <v>9768</v>
      </c>
      <c r="H5108" s="142" t="s">
        <v>20958</v>
      </c>
      <c r="I5108" s="142">
        <v>17</v>
      </c>
      <c r="J5108" s="142">
        <v>0</v>
      </c>
      <c r="K5108" s="142">
        <v>0</v>
      </c>
      <c r="L5108" s="142">
        <v>17</v>
      </c>
      <c r="M5108" s="142">
        <v>0</v>
      </c>
    </row>
    <row r="5109" spans="1:13" x14ac:dyDescent="0.45">
      <c r="A5109" s="142" t="s">
        <v>13148</v>
      </c>
      <c r="B5109" s="142" t="s">
        <v>15314</v>
      </c>
      <c r="C5109" s="142" t="s">
        <v>15847</v>
      </c>
      <c r="D5109" s="142" t="s">
        <v>15848</v>
      </c>
      <c r="E5109" s="142" t="s">
        <v>15849</v>
      </c>
      <c r="F5109" s="142" t="s">
        <v>9769</v>
      </c>
      <c r="G5109" s="142" t="s">
        <v>9768</v>
      </c>
      <c r="H5109" s="142" t="s">
        <v>20959</v>
      </c>
      <c r="I5109" s="142">
        <v>2854</v>
      </c>
      <c r="J5109" s="142">
        <v>2303</v>
      </c>
      <c r="K5109" s="142">
        <v>0</v>
      </c>
      <c r="L5109" s="142">
        <v>345</v>
      </c>
      <c r="M5109" s="142">
        <v>206</v>
      </c>
    </row>
    <row r="5110" spans="1:13" x14ac:dyDescent="0.45">
      <c r="A5110" s="142" t="s">
        <v>13001</v>
      </c>
      <c r="B5110" s="142" t="s">
        <v>15506</v>
      </c>
      <c r="C5110" s="142" t="s">
        <v>15847</v>
      </c>
      <c r="D5110" s="142" t="s">
        <v>15848</v>
      </c>
      <c r="E5110" s="142" t="s">
        <v>15849</v>
      </c>
      <c r="F5110" s="142" t="s">
        <v>9769</v>
      </c>
      <c r="G5110" s="142" t="s">
        <v>9768</v>
      </c>
      <c r="H5110" s="142" t="s">
        <v>20960</v>
      </c>
      <c r="I5110" s="142">
        <v>2</v>
      </c>
      <c r="J5110" s="142">
        <v>1</v>
      </c>
      <c r="K5110" s="142">
        <v>0</v>
      </c>
      <c r="L5110" s="142">
        <v>1</v>
      </c>
      <c r="M5110" s="142">
        <v>0</v>
      </c>
    </row>
    <row r="5111" spans="1:13" x14ac:dyDescent="0.45">
      <c r="A5111" s="142" t="s">
        <v>13149</v>
      </c>
      <c r="B5111" s="142" t="s">
        <v>14458</v>
      </c>
      <c r="C5111" s="142" t="s">
        <v>15860</v>
      </c>
      <c r="D5111" s="142" t="s">
        <v>15861</v>
      </c>
      <c r="E5111" s="142" t="s">
        <v>15849</v>
      </c>
      <c r="F5111" s="142" t="s">
        <v>9769</v>
      </c>
      <c r="G5111" s="142" t="s">
        <v>9768</v>
      </c>
      <c r="H5111" s="142" t="s">
        <v>20961</v>
      </c>
      <c r="I5111" s="142">
        <v>17</v>
      </c>
      <c r="J5111" s="142">
        <v>0</v>
      </c>
      <c r="K5111" s="142">
        <v>0</v>
      </c>
      <c r="L5111" s="142">
        <v>17</v>
      </c>
      <c r="M5111" s="142">
        <v>0</v>
      </c>
    </row>
    <row r="5112" spans="1:13" x14ac:dyDescent="0.45">
      <c r="A5112" s="142" t="s">
        <v>13028</v>
      </c>
      <c r="B5112" s="142" t="s">
        <v>14462</v>
      </c>
      <c r="C5112" s="142" t="s">
        <v>15847</v>
      </c>
      <c r="D5112" s="142" t="s">
        <v>15848</v>
      </c>
      <c r="E5112" s="142" t="s">
        <v>15849</v>
      </c>
      <c r="F5112" s="142" t="s">
        <v>9769</v>
      </c>
      <c r="G5112" s="142" t="s">
        <v>9768</v>
      </c>
      <c r="H5112" s="142" t="s">
        <v>20962</v>
      </c>
      <c r="I5112" s="142">
        <v>3</v>
      </c>
      <c r="J5112" s="142">
        <v>0</v>
      </c>
      <c r="K5112" s="142">
        <v>0</v>
      </c>
      <c r="L5112" s="142">
        <v>0</v>
      </c>
      <c r="M5112" s="142">
        <v>3</v>
      </c>
    </row>
    <row r="5113" spans="1:13" x14ac:dyDescent="0.45">
      <c r="A5113" s="142" t="s">
        <v>13160</v>
      </c>
      <c r="B5113" s="142" t="s">
        <v>14525</v>
      </c>
      <c r="C5113" s="142" t="s">
        <v>15847</v>
      </c>
      <c r="D5113" s="142" t="s">
        <v>15848</v>
      </c>
      <c r="E5113" s="142" t="s">
        <v>15849</v>
      </c>
      <c r="F5113" s="142" t="s">
        <v>9769</v>
      </c>
      <c r="G5113" s="142" t="s">
        <v>9768</v>
      </c>
      <c r="H5113" s="142" t="s">
        <v>20963</v>
      </c>
      <c r="I5113" s="142">
        <v>27</v>
      </c>
      <c r="J5113" s="142">
        <v>0</v>
      </c>
      <c r="K5113" s="142">
        <v>0</v>
      </c>
      <c r="L5113" s="142">
        <v>27</v>
      </c>
      <c r="M5113" s="142">
        <v>0</v>
      </c>
    </row>
    <row r="5114" spans="1:13" x14ac:dyDescent="0.45">
      <c r="A5114" s="142" t="s">
        <v>13002</v>
      </c>
      <c r="B5114" s="142" t="s">
        <v>15376</v>
      </c>
      <c r="C5114" s="142" t="s">
        <v>15847</v>
      </c>
      <c r="D5114" s="142" t="s">
        <v>15848</v>
      </c>
      <c r="E5114" s="142" t="s">
        <v>15849</v>
      </c>
      <c r="F5114" s="142" t="s">
        <v>9769</v>
      </c>
      <c r="G5114" s="142" t="s">
        <v>9768</v>
      </c>
      <c r="H5114" s="142" t="s">
        <v>20964</v>
      </c>
      <c r="I5114" s="142">
        <v>18</v>
      </c>
      <c r="J5114" s="142">
        <v>0</v>
      </c>
      <c r="K5114" s="142">
        <v>0</v>
      </c>
      <c r="L5114" s="142">
        <v>18</v>
      </c>
      <c r="M5114" s="142">
        <v>0</v>
      </c>
    </row>
    <row r="5115" spans="1:13" x14ac:dyDescent="0.45">
      <c r="A5115" s="142" t="s">
        <v>13970</v>
      </c>
      <c r="B5115" s="142" t="s">
        <v>15107</v>
      </c>
      <c r="C5115" s="142" t="s">
        <v>15860</v>
      </c>
      <c r="D5115" s="142" t="s">
        <v>15861</v>
      </c>
      <c r="E5115" s="142" t="s">
        <v>15849</v>
      </c>
      <c r="F5115" s="142" t="s">
        <v>9769</v>
      </c>
      <c r="G5115" s="142" t="s">
        <v>9768</v>
      </c>
      <c r="H5115" s="142" t="s">
        <v>20965</v>
      </c>
      <c r="I5115" s="142">
        <v>75</v>
      </c>
      <c r="J5115" s="142">
        <v>75</v>
      </c>
      <c r="K5115" s="142">
        <v>0</v>
      </c>
      <c r="L5115" s="142">
        <v>0</v>
      </c>
      <c r="M5115" s="142">
        <v>0</v>
      </c>
    </row>
    <row r="5116" spans="1:13" x14ac:dyDescent="0.45">
      <c r="A5116" s="142" t="s">
        <v>13003</v>
      </c>
      <c r="B5116" s="142" t="s">
        <v>15245</v>
      </c>
      <c r="C5116" s="142" t="s">
        <v>15847</v>
      </c>
      <c r="D5116" s="142" t="s">
        <v>15848</v>
      </c>
      <c r="E5116" s="142" t="s">
        <v>15849</v>
      </c>
      <c r="F5116" s="142" t="s">
        <v>9769</v>
      </c>
      <c r="G5116" s="142" t="s">
        <v>9768</v>
      </c>
      <c r="H5116" s="142" t="s">
        <v>20966</v>
      </c>
      <c r="I5116" s="142">
        <v>77</v>
      </c>
      <c r="J5116" s="142">
        <v>0</v>
      </c>
      <c r="K5116" s="142">
        <v>0</v>
      </c>
      <c r="L5116" s="142">
        <v>77</v>
      </c>
      <c r="M5116" s="142">
        <v>0</v>
      </c>
    </row>
    <row r="5117" spans="1:13" x14ac:dyDescent="0.45">
      <c r="A5117" s="142" t="s">
        <v>13290</v>
      </c>
      <c r="B5117" s="142" t="s">
        <v>15246</v>
      </c>
      <c r="C5117" s="142" t="s">
        <v>15847</v>
      </c>
      <c r="D5117" s="142" t="s">
        <v>15848</v>
      </c>
      <c r="E5117" s="142" t="s">
        <v>15849</v>
      </c>
      <c r="F5117" s="142" t="s">
        <v>9769</v>
      </c>
      <c r="G5117" s="142" t="s">
        <v>9768</v>
      </c>
      <c r="H5117" s="142" t="s">
        <v>20967</v>
      </c>
      <c r="I5117" s="142">
        <v>515</v>
      </c>
      <c r="J5117" s="142">
        <v>389</v>
      </c>
      <c r="K5117" s="142">
        <v>0</v>
      </c>
      <c r="L5117" s="142">
        <v>81</v>
      </c>
      <c r="M5117" s="142">
        <v>45</v>
      </c>
    </row>
    <row r="5118" spans="1:13" x14ac:dyDescent="0.45">
      <c r="A5118" s="142" t="s">
        <v>13291</v>
      </c>
      <c r="B5118" s="142" t="s">
        <v>15495</v>
      </c>
      <c r="C5118" s="142" t="s">
        <v>15847</v>
      </c>
      <c r="D5118" s="142" t="s">
        <v>15848</v>
      </c>
      <c r="E5118" s="142" t="s">
        <v>15849</v>
      </c>
      <c r="F5118" s="142" t="s">
        <v>9769</v>
      </c>
      <c r="G5118" s="142" t="s">
        <v>9768</v>
      </c>
      <c r="H5118" s="142" t="s">
        <v>20968</v>
      </c>
      <c r="I5118" s="142">
        <v>3068</v>
      </c>
      <c r="J5118" s="142">
        <v>2342</v>
      </c>
      <c r="K5118" s="142">
        <v>0</v>
      </c>
      <c r="L5118" s="142">
        <v>568</v>
      </c>
      <c r="M5118" s="142">
        <v>158</v>
      </c>
    </row>
    <row r="5119" spans="1:13" x14ac:dyDescent="0.45">
      <c r="A5119" s="142" t="s">
        <v>13413</v>
      </c>
      <c r="B5119" s="142" t="s">
        <v>15343</v>
      </c>
      <c r="C5119" s="142" t="s">
        <v>15860</v>
      </c>
      <c r="D5119" s="142" t="s">
        <v>15861</v>
      </c>
      <c r="E5119" s="142" t="s">
        <v>15849</v>
      </c>
      <c r="F5119" s="142" t="s">
        <v>9769</v>
      </c>
      <c r="G5119" s="142" t="s">
        <v>9768</v>
      </c>
      <c r="H5119" s="142" t="s">
        <v>20969</v>
      </c>
      <c r="I5119" s="142">
        <v>19</v>
      </c>
      <c r="J5119" s="142">
        <v>6</v>
      </c>
      <c r="K5119" s="142">
        <v>0</v>
      </c>
      <c r="L5119" s="142">
        <v>13</v>
      </c>
      <c r="M5119" s="142">
        <v>0</v>
      </c>
    </row>
    <row r="5120" spans="1:13" x14ac:dyDescent="0.45">
      <c r="A5120" s="142" t="s">
        <v>13249</v>
      </c>
      <c r="B5120" s="142" t="s">
        <v>14602</v>
      </c>
      <c r="C5120" s="142" t="s">
        <v>15847</v>
      </c>
      <c r="D5120" s="142" t="s">
        <v>15848</v>
      </c>
      <c r="E5120" s="142" t="s">
        <v>15849</v>
      </c>
      <c r="F5120" s="142" t="s">
        <v>9769</v>
      </c>
      <c r="G5120" s="142" t="s">
        <v>9768</v>
      </c>
      <c r="H5120" s="142" t="s">
        <v>20970</v>
      </c>
      <c r="I5120" s="142">
        <v>4005</v>
      </c>
      <c r="J5120" s="142">
        <v>3237</v>
      </c>
      <c r="K5120" s="142">
        <v>17</v>
      </c>
      <c r="L5120" s="142">
        <v>597</v>
      </c>
      <c r="M5120" s="142">
        <v>154</v>
      </c>
    </row>
    <row r="5121" spans="1:13" x14ac:dyDescent="0.45">
      <c r="A5121" s="142" t="s">
        <v>13162</v>
      </c>
      <c r="B5121" s="142" t="s">
        <v>14545</v>
      </c>
      <c r="C5121" s="142" t="s">
        <v>15860</v>
      </c>
      <c r="D5121" s="142" t="s">
        <v>15861</v>
      </c>
      <c r="E5121" s="142" t="s">
        <v>15849</v>
      </c>
      <c r="F5121" s="142" t="s">
        <v>9769</v>
      </c>
      <c r="G5121" s="142" t="s">
        <v>9768</v>
      </c>
      <c r="H5121" s="142" t="s">
        <v>20971</v>
      </c>
      <c r="I5121" s="142">
        <v>79</v>
      </c>
      <c r="J5121" s="142">
        <v>0</v>
      </c>
      <c r="K5121" s="142">
        <v>0</v>
      </c>
      <c r="L5121" s="142">
        <v>79</v>
      </c>
      <c r="M5121" s="142">
        <v>0</v>
      </c>
    </row>
    <row r="5122" spans="1:13" x14ac:dyDescent="0.45">
      <c r="A5122" s="142" t="s">
        <v>13971</v>
      </c>
      <c r="B5122" s="142" t="s">
        <v>15068</v>
      </c>
      <c r="C5122" s="142" t="s">
        <v>15860</v>
      </c>
      <c r="D5122" s="142" t="s">
        <v>15861</v>
      </c>
      <c r="E5122" s="142" t="s">
        <v>15849</v>
      </c>
      <c r="F5122" s="142" t="s">
        <v>9769</v>
      </c>
      <c r="G5122" s="142" t="s">
        <v>9768</v>
      </c>
      <c r="H5122" s="142" t="s">
        <v>20972</v>
      </c>
      <c r="I5122" s="142">
        <v>85</v>
      </c>
      <c r="J5122" s="142">
        <v>0</v>
      </c>
      <c r="K5122" s="142">
        <v>85</v>
      </c>
      <c r="L5122" s="142">
        <v>0</v>
      </c>
      <c r="M5122" s="142">
        <v>0</v>
      </c>
    </row>
    <row r="5123" spans="1:13" x14ac:dyDescent="0.45">
      <c r="A5123" s="142" t="s">
        <v>13972</v>
      </c>
      <c r="B5123" s="142" t="s">
        <v>14565</v>
      </c>
      <c r="C5123" s="142" t="s">
        <v>15847</v>
      </c>
      <c r="D5123" s="142" t="s">
        <v>15848</v>
      </c>
      <c r="E5123" s="142" t="s">
        <v>15849</v>
      </c>
      <c r="F5123" s="142" t="s">
        <v>9769</v>
      </c>
      <c r="G5123" s="142" t="s">
        <v>9768</v>
      </c>
      <c r="H5123" s="142" t="s">
        <v>20973</v>
      </c>
      <c r="I5123" s="142">
        <v>11925</v>
      </c>
      <c r="J5123" s="142">
        <v>11491</v>
      </c>
      <c r="K5123" s="142">
        <v>0</v>
      </c>
      <c r="L5123" s="142">
        <v>272</v>
      </c>
      <c r="M5123" s="142">
        <v>162</v>
      </c>
    </row>
    <row r="5124" spans="1:13" x14ac:dyDescent="0.45">
      <c r="A5124" s="142" t="s">
        <v>13276</v>
      </c>
      <c r="B5124" s="142" t="s">
        <v>15498</v>
      </c>
      <c r="C5124" s="142" t="s">
        <v>15847</v>
      </c>
      <c r="D5124" s="142" t="s">
        <v>15848</v>
      </c>
      <c r="E5124" s="142" t="s">
        <v>15849</v>
      </c>
      <c r="F5124" s="142" t="s">
        <v>9769</v>
      </c>
      <c r="G5124" s="142" t="s">
        <v>9768</v>
      </c>
      <c r="H5124" s="142" t="s">
        <v>20974</v>
      </c>
      <c r="I5124" s="142">
        <v>536</v>
      </c>
      <c r="J5124" s="142">
        <v>400</v>
      </c>
      <c r="K5124" s="142">
        <v>0</v>
      </c>
      <c r="L5124" s="142">
        <v>112</v>
      </c>
      <c r="M5124" s="142">
        <v>24</v>
      </c>
    </row>
    <row r="5125" spans="1:13" x14ac:dyDescent="0.45">
      <c r="A5125" s="142" t="s">
        <v>13032</v>
      </c>
      <c r="B5125" s="142" t="s">
        <v>14532</v>
      </c>
      <c r="C5125" s="142" t="s">
        <v>15860</v>
      </c>
      <c r="D5125" s="142" t="s">
        <v>15861</v>
      </c>
      <c r="E5125" s="142" t="s">
        <v>15849</v>
      </c>
      <c r="F5125" s="142" t="s">
        <v>9769</v>
      </c>
      <c r="G5125" s="142" t="s">
        <v>9768</v>
      </c>
      <c r="H5125" s="142" t="s">
        <v>20975</v>
      </c>
      <c r="I5125" s="142">
        <v>3</v>
      </c>
      <c r="J5125" s="142">
        <v>0</v>
      </c>
      <c r="K5125" s="142">
        <v>0</v>
      </c>
      <c r="L5125" s="142">
        <v>3</v>
      </c>
      <c r="M5125" s="142">
        <v>0</v>
      </c>
    </row>
    <row r="5126" spans="1:13" x14ac:dyDescent="0.45">
      <c r="A5126" s="142" t="s">
        <v>13973</v>
      </c>
      <c r="B5126" s="142" t="s">
        <v>15409</v>
      </c>
      <c r="C5126" s="142" t="s">
        <v>15860</v>
      </c>
      <c r="D5126" s="142" t="s">
        <v>15861</v>
      </c>
      <c r="E5126" s="142" t="s">
        <v>15849</v>
      </c>
      <c r="F5126" s="142" t="s">
        <v>9769</v>
      </c>
      <c r="G5126" s="142" t="s">
        <v>9768</v>
      </c>
      <c r="H5126" s="142" t="s">
        <v>20976</v>
      </c>
      <c r="I5126" s="142">
        <v>275</v>
      </c>
      <c r="J5126" s="142">
        <v>275</v>
      </c>
      <c r="K5126" s="142">
        <v>0</v>
      </c>
      <c r="L5126" s="142">
        <v>0</v>
      </c>
      <c r="M5126" s="142">
        <v>0</v>
      </c>
    </row>
    <row r="5127" spans="1:13" x14ac:dyDescent="0.45">
      <c r="A5127" s="142" t="s">
        <v>13033</v>
      </c>
      <c r="B5127" s="142" t="s">
        <v>15276</v>
      </c>
      <c r="C5127" s="142" t="s">
        <v>15847</v>
      </c>
      <c r="D5127" s="142" t="s">
        <v>15848</v>
      </c>
      <c r="E5127" s="142" t="s">
        <v>15849</v>
      </c>
      <c r="F5127" s="142" t="s">
        <v>9769</v>
      </c>
      <c r="G5127" s="142" t="s">
        <v>9768</v>
      </c>
      <c r="H5127" s="142" t="s">
        <v>20977</v>
      </c>
      <c r="I5127" s="142">
        <v>1000</v>
      </c>
      <c r="J5127" s="142">
        <v>939</v>
      </c>
      <c r="K5127" s="142">
        <v>0</v>
      </c>
      <c r="L5127" s="142">
        <v>8</v>
      </c>
      <c r="M5127" s="142">
        <v>53</v>
      </c>
    </row>
    <row r="5128" spans="1:13" x14ac:dyDescent="0.45">
      <c r="A5128" s="142" t="s">
        <v>13034</v>
      </c>
      <c r="B5128" s="142" t="s">
        <v>15562</v>
      </c>
      <c r="C5128" s="142" t="s">
        <v>15847</v>
      </c>
      <c r="D5128" s="142" t="s">
        <v>15848</v>
      </c>
      <c r="E5128" s="142" t="s">
        <v>15849</v>
      </c>
      <c r="F5128" s="142" t="s">
        <v>9769</v>
      </c>
      <c r="G5128" s="142" t="s">
        <v>9768</v>
      </c>
      <c r="H5128" s="142" t="s">
        <v>20978</v>
      </c>
      <c r="I5128" s="142">
        <v>165</v>
      </c>
      <c r="J5128" s="142">
        <v>38</v>
      </c>
      <c r="K5128" s="142">
        <v>0</v>
      </c>
      <c r="L5128" s="142">
        <v>127</v>
      </c>
      <c r="M5128" s="142">
        <v>0</v>
      </c>
    </row>
    <row r="5129" spans="1:13" x14ac:dyDescent="0.45">
      <c r="A5129" s="142" t="s">
        <v>13036</v>
      </c>
      <c r="B5129" s="142" t="s">
        <v>15567</v>
      </c>
      <c r="C5129" s="142" t="s">
        <v>15847</v>
      </c>
      <c r="D5129" s="142" t="s">
        <v>15848</v>
      </c>
      <c r="E5129" s="142" t="s">
        <v>15849</v>
      </c>
      <c r="F5129" s="142" t="s">
        <v>9769</v>
      </c>
      <c r="G5129" s="142" t="s">
        <v>9768</v>
      </c>
      <c r="H5129" s="142" t="s">
        <v>20979</v>
      </c>
      <c r="I5129" s="142">
        <v>2</v>
      </c>
      <c r="J5129" s="142">
        <v>0</v>
      </c>
      <c r="K5129" s="142">
        <v>0</v>
      </c>
      <c r="L5129" s="142">
        <v>2</v>
      </c>
      <c r="M5129" s="142">
        <v>0</v>
      </c>
    </row>
    <row r="5130" spans="1:13" x14ac:dyDescent="0.45">
      <c r="A5130" s="142" t="s">
        <v>13277</v>
      </c>
      <c r="B5130" s="142" t="s">
        <v>14454</v>
      </c>
      <c r="C5130" s="142" t="s">
        <v>15847</v>
      </c>
      <c r="D5130" s="142" t="s">
        <v>15848</v>
      </c>
      <c r="E5130" s="142" t="s">
        <v>15849</v>
      </c>
      <c r="F5130" s="142" t="s">
        <v>9769</v>
      </c>
      <c r="G5130" s="142" t="s">
        <v>9768</v>
      </c>
      <c r="H5130" s="142" t="s">
        <v>20980</v>
      </c>
      <c r="I5130" s="142">
        <v>16</v>
      </c>
      <c r="J5130" s="142">
        <v>0</v>
      </c>
      <c r="K5130" s="142">
        <v>0</v>
      </c>
      <c r="L5130" s="142">
        <v>16</v>
      </c>
      <c r="M5130" s="142">
        <v>0</v>
      </c>
    </row>
    <row r="5131" spans="1:13" x14ac:dyDescent="0.45">
      <c r="A5131" s="142" t="s">
        <v>13078</v>
      </c>
      <c r="B5131" s="142" t="s">
        <v>15540</v>
      </c>
      <c r="C5131" s="142" t="s">
        <v>15847</v>
      </c>
      <c r="D5131" s="142" t="s">
        <v>15848</v>
      </c>
      <c r="E5131" s="142" t="s">
        <v>15849</v>
      </c>
      <c r="F5131" s="142" t="s">
        <v>9769</v>
      </c>
      <c r="G5131" s="142" t="s">
        <v>9768</v>
      </c>
      <c r="H5131" s="142" t="s">
        <v>20981</v>
      </c>
      <c r="I5131" s="142">
        <v>115</v>
      </c>
      <c r="J5131" s="142">
        <v>46</v>
      </c>
      <c r="K5131" s="142">
        <v>0</v>
      </c>
      <c r="L5131" s="142">
        <v>69</v>
      </c>
      <c r="M5131" s="142">
        <v>0</v>
      </c>
    </row>
    <row r="5132" spans="1:13" x14ac:dyDescent="0.45">
      <c r="A5132" s="142" t="s">
        <v>13009</v>
      </c>
      <c r="B5132" s="142" t="s">
        <v>15256</v>
      </c>
      <c r="C5132" s="142" t="s">
        <v>15847</v>
      </c>
      <c r="D5132" s="142" t="s">
        <v>15848</v>
      </c>
      <c r="E5132" s="142" t="s">
        <v>15849</v>
      </c>
      <c r="F5132" s="142" t="s">
        <v>9769</v>
      </c>
      <c r="G5132" s="142" t="s">
        <v>9768</v>
      </c>
      <c r="H5132" s="142" t="s">
        <v>20982</v>
      </c>
      <c r="I5132" s="142">
        <v>795</v>
      </c>
      <c r="J5132" s="142">
        <v>194</v>
      </c>
      <c r="K5132" s="142">
        <v>0</v>
      </c>
      <c r="L5132" s="142">
        <v>514</v>
      </c>
      <c r="M5132" s="142">
        <v>87</v>
      </c>
    </row>
    <row r="5133" spans="1:13" x14ac:dyDescent="0.45">
      <c r="A5133" s="142" t="s">
        <v>13974</v>
      </c>
      <c r="B5133" s="142" t="s">
        <v>14500</v>
      </c>
      <c r="C5133" s="142" t="s">
        <v>15860</v>
      </c>
      <c r="D5133" s="142" t="s">
        <v>15861</v>
      </c>
      <c r="E5133" s="142" t="s">
        <v>15849</v>
      </c>
      <c r="F5133" s="142" t="s">
        <v>9769</v>
      </c>
      <c r="G5133" s="142" t="s">
        <v>9768</v>
      </c>
      <c r="H5133" s="142" t="s">
        <v>20983</v>
      </c>
      <c r="I5133" s="142">
        <v>33</v>
      </c>
      <c r="J5133" s="142">
        <v>5</v>
      </c>
      <c r="K5133" s="142">
        <v>6</v>
      </c>
      <c r="L5133" s="142">
        <v>22</v>
      </c>
      <c r="M5133" s="142">
        <v>0</v>
      </c>
    </row>
    <row r="5134" spans="1:13" x14ac:dyDescent="0.45">
      <c r="A5134" s="142" t="s">
        <v>13489</v>
      </c>
      <c r="B5134" s="142" t="s">
        <v>15473</v>
      </c>
      <c r="C5134" s="142" t="s">
        <v>15847</v>
      </c>
      <c r="D5134" s="142" t="s">
        <v>15848</v>
      </c>
      <c r="E5134" s="142" t="s">
        <v>15849</v>
      </c>
      <c r="F5134" s="142" t="s">
        <v>9769</v>
      </c>
      <c r="G5134" s="142" t="s">
        <v>9768</v>
      </c>
      <c r="H5134" s="142" t="s">
        <v>20984</v>
      </c>
      <c r="I5134" s="142">
        <v>5997</v>
      </c>
      <c r="J5134" s="142">
        <v>5670</v>
      </c>
      <c r="K5134" s="142">
        <v>0</v>
      </c>
      <c r="L5134" s="142">
        <v>210</v>
      </c>
      <c r="M5134" s="142">
        <v>117</v>
      </c>
    </row>
    <row r="5135" spans="1:13" x14ac:dyDescent="0.45">
      <c r="A5135" s="142" t="s">
        <v>13106</v>
      </c>
      <c r="B5135" s="142" t="s">
        <v>15414</v>
      </c>
      <c r="C5135" s="142" t="s">
        <v>15847</v>
      </c>
      <c r="D5135" s="142" t="s">
        <v>15848</v>
      </c>
      <c r="E5135" s="142" t="s">
        <v>15849</v>
      </c>
      <c r="F5135" s="142" t="s">
        <v>9769</v>
      </c>
      <c r="G5135" s="142" t="s">
        <v>9768</v>
      </c>
      <c r="H5135" s="142" t="s">
        <v>20985</v>
      </c>
      <c r="I5135" s="142">
        <v>1</v>
      </c>
      <c r="J5135" s="142">
        <v>0</v>
      </c>
      <c r="K5135" s="142">
        <v>0</v>
      </c>
      <c r="L5135" s="142">
        <v>0</v>
      </c>
      <c r="M5135" s="142">
        <v>1</v>
      </c>
    </row>
    <row r="5136" spans="1:13" x14ac:dyDescent="0.45">
      <c r="A5136" s="142" t="s">
        <v>13975</v>
      </c>
      <c r="B5136" s="142" t="s">
        <v>14531</v>
      </c>
      <c r="C5136" s="142" t="s">
        <v>15860</v>
      </c>
      <c r="D5136" s="142" t="s">
        <v>15861</v>
      </c>
      <c r="E5136" s="142" t="s">
        <v>15849</v>
      </c>
      <c r="F5136" s="142" t="s">
        <v>9769</v>
      </c>
      <c r="G5136" s="142" t="s">
        <v>9768</v>
      </c>
      <c r="H5136" s="142" t="s">
        <v>20986</v>
      </c>
      <c r="I5136" s="142">
        <v>77</v>
      </c>
      <c r="J5136" s="142">
        <v>0</v>
      </c>
      <c r="K5136" s="142">
        <v>0</v>
      </c>
      <c r="L5136" s="142">
        <v>77</v>
      </c>
      <c r="M5136" s="142">
        <v>0</v>
      </c>
    </row>
    <row r="5137" spans="1:13" x14ac:dyDescent="0.45">
      <c r="A5137" s="142" t="s">
        <v>13014</v>
      </c>
      <c r="B5137" s="142" t="s">
        <v>14505</v>
      </c>
      <c r="C5137" s="142" t="s">
        <v>15847</v>
      </c>
      <c r="D5137" s="142" t="s">
        <v>15848</v>
      </c>
      <c r="E5137" s="142" t="s">
        <v>15849</v>
      </c>
      <c r="F5137" s="142" t="s">
        <v>9769</v>
      </c>
      <c r="G5137" s="142" t="s">
        <v>9768</v>
      </c>
      <c r="H5137" s="142" t="s">
        <v>20987</v>
      </c>
      <c r="I5137" s="142">
        <v>3261</v>
      </c>
      <c r="J5137" s="142">
        <v>2705</v>
      </c>
      <c r="K5137" s="142">
        <v>3</v>
      </c>
      <c r="L5137" s="142">
        <v>298</v>
      </c>
      <c r="M5137" s="142">
        <v>255</v>
      </c>
    </row>
    <row r="5138" spans="1:13" x14ac:dyDescent="0.45">
      <c r="A5138" s="142" t="s">
        <v>13042</v>
      </c>
      <c r="B5138" s="142" t="s">
        <v>15489</v>
      </c>
      <c r="C5138" s="142" t="s">
        <v>15847</v>
      </c>
      <c r="D5138" s="142" t="s">
        <v>15848</v>
      </c>
      <c r="E5138" s="142" t="s">
        <v>15849</v>
      </c>
      <c r="F5138" s="142" t="s">
        <v>9769</v>
      </c>
      <c r="G5138" s="142" t="s">
        <v>9768</v>
      </c>
      <c r="H5138" s="142" t="s">
        <v>20988</v>
      </c>
      <c r="I5138" s="142">
        <v>605</v>
      </c>
      <c r="J5138" s="142">
        <v>162</v>
      </c>
      <c r="K5138" s="142">
        <v>0</v>
      </c>
      <c r="L5138" s="142">
        <v>393</v>
      </c>
      <c r="M5138" s="142">
        <v>50</v>
      </c>
    </row>
    <row r="5139" spans="1:13" x14ac:dyDescent="0.45">
      <c r="A5139" s="142" t="s">
        <v>13222</v>
      </c>
      <c r="B5139" s="142" t="s">
        <v>14449</v>
      </c>
      <c r="C5139" s="142" t="s">
        <v>15860</v>
      </c>
      <c r="D5139" s="142" t="s">
        <v>15861</v>
      </c>
      <c r="E5139" s="142" t="s">
        <v>15849</v>
      </c>
      <c r="F5139" s="142" t="s">
        <v>9769</v>
      </c>
      <c r="G5139" s="142" t="s">
        <v>9768</v>
      </c>
      <c r="H5139" s="142" t="s">
        <v>20989</v>
      </c>
      <c r="I5139" s="142">
        <v>5</v>
      </c>
      <c r="J5139" s="142">
        <v>0</v>
      </c>
      <c r="K5139" s="142">
        <v>0</v>
      </c>
      <c r="L5139" s="142">
        <v>5</v>
      </c>
      <c r="M5139" s="142">
        <v>0</v>
      </c>
    </row>
    <row r="5140" spans="1:13" x14ac:dyDescent="0.45">
      <c r="A5140" s="142" t="s">
        <v>13061</v>
      </c>
      <c r="B5140" s="142" t="s">
        <v>15184</v>
      </c>
      <c r="C5140" s="142" t="s">
        <v>15860</v>
      </c>
      <c r="D5140" s="142" t="s">
        <v>15861</v>
      </c>
      <c r="E5140" s="142" t="s">
        <v>15849</v>
      </c>
      <c r="F5140" s="142" t="s">
        <v>9769</v>
      </c>
      <c r="G5140" s="142" t="s">
        <v>9768</v>
      </c>
      <c r="H5140" s="142" t="s">
        <v>20990</v>
      </c>
      <c r="I5140" s="142">
        <v>11</v>
      </c>
      <c r="J5140" s="142">
        <v>0</v>
      </c>
      <c r="K5140" s="142">
        <v>0</v>
      </c>
      <c r="L5140" s="142">
        <v>11</v>
      </c>
      <c r="M5140" s="142">
        <v>0</v>
      </c>
    </row>
    <row r="5141" spans="1:13" x14ac:dyDescent="0.45">
      <c r="A5141" s="142" t="s">
        <v>13156</v>
      </c>
      <c r="B5141" s="142" t="s">
        <v>14493</v>
      </c>
      <c r="C5141" s="142" t="s">
        <v>15860</v>
      </c>
      <c r="D5141" s="142" t="s">
        <v>15861</v>
      </c>
      <c r="E5141" s="142" t="s">
        <v>15849</v>
      </c>
      <c r="F5141" s="142" t="s">
        <v>9769</v>
      </c>
      <c r="G5141" s="142" t="s">
        <v>9768</v>
      </c>
      <c r="H5141" s="142" t="s">
        <v>20991</v>
      </c>
      <c r="I5141" s="142">
        <v>12</v>
      </c>
      <c r="J5141" s="142">
        <v>0</v>
      </c>
      <c r="K5141" s="142">
        <v>0</v>
      </c>
      <c r="L5141" s="142">
        <v>12</v>
      </c>
      <c r="M5141" s="142">
        <v>0</v>
      </c>
    </row>
    <row r="5142" spans="1:13" x14ac:dyDescent="0.45">
      <c r="A5142" s="142" t="s">
        <v>13495</v>
      </c>
      <c r="B5142" s="142" t="s">
        <v>15426</v>
      </c>
      <c r="C5142" s="142" t="s">
        <v>15847</v>
      </c>
      <c r="D5142" s="142" t="s">
        <v>15848</v>
      </c>
      <c r="E5142" s="142" t="s">
        <v>15849</v>
      </c>
      <c r="F5142" s="142" t="s">
        <v>9769</v>
      </c>
      <c r="G5142" s="142" t="s">
        <v>9768</v>
      </c>
      <c r="H5142" s="142" t="s">
        <v>20992</v>
      </c>
      <c r="I5142" s="142">
        <v>13703</v>
      </c>
      <c r="J5142" s="142">
        <v>13182</v>
      </c>
      <c r="K5142" s="142">
        <v>5</v>
      </c>
      <c r="L5142" s="142">
        <v>185</v>
      </c>
      <c r="M5142" s="142">
        <v>331</v>
      </c>
    </row>
    <row r="5143" spans="1:13" x14ac:dyDescent="0.45">
      <c r="A5143" s="142" t="s">
        <v>13286</v>
      </c>
      <c r="B5143" s="142" t="s">
        <v>15342</v>
      </c>
      <c r="C5143" s="142" t="s">
        <v>15847</v>
      </c>
      <c r="D5143" s="142" t="s">
        <v>15848</v>
      </c>
      <c r="E5143" s="142" t="s">
        <v>15849</v>
      </c>
      <c r="F5143" s="142" t="s">
        <v>9769</v>
      </c>
      <c r="G5143" s="142" t="s">
        <v>9768</v>
      </c>
      <c r="H5143" s="142" t="s">
        <v>20993</v>
      </c>
      <c r="I5143" s="142">
        <v>1618</v>
      </c>
      <c r="J5143" s="142">
        <v>1188</v>
      </c>
      <c r="K5143" s="142">
        <v>0</v>
      </c>
      <c r="L5143" s="142">
        <v>294</v>
      </c>
      <c r="M5143" s="142">
        <v>136</v>
      </c>
    </row>
    <row r="5144" spans="1:13" x14ac:dyDescent="0.45">
      <c r="A5144" s="142" t="s">
        <v>13976</v>
      </c>
      <c r="B5144" s="142" t="s">
        <v>15044</v>
      </c>
      <c r="C5144" s="142" t="s">
        <v>15860</v>
      </c>
      <c r="D5144" s="142" t="s">
        <v>15861</v>
      </c>
      <c r="E5144" s="142" t="s">
        <v>15849</v>
      </c>
      <c r="F5144" s="142" t="s">
        <v>9769</v>
      </c>
      <c r="G5144" s="142" t="s">
        <v>9768</v>
      </c>
      <c r="H5144" s="142" t="s">
        <v>20994</v>
      </c>
      <c r="I5144" s="142">
        <v>6</v>
      </c>
      <c r="J5144" s="142">
        <v>6</v>
      </c>
      <c r="K5144" s="142">
        <v>0</v>
      </c>
      <c r="L5144" s="142">
        <v>0</v>
      </c>
      <c r="M5144" s="142">
        <v>0</v>
      </c>
    </row>
    <row r="5145" spans="1:13" x14ac:dyDescent="0.45">
      <c r="A5145" s="142" t="s">
        <v>13064</v>
      </c>
      <c r="B5145" s="142" t="s">
        <v>15428</v>
      </c>
      <c r="C5145" s="142" t="s">
        <v>15847</v>
      </c>
      <c r="D5145" s="142" t="s">
        <v>15848</v>
      </c>
      <c r="E5145" s="142" t="s">
        <v>15849</v>
      </c>
      <c r="F5145" s="142" t="s">
        <v>7461</v>
      </c>
      <c r="G5145" s="142" t="s">
        <v>7460</v>
      </c>
      <c r="H5145" s="142" t="s">
        <v>20995</v>
      </c>
      <c r="I5145" s="142">
        <v>17</v>
      </c>
      <c r="J5145" s="142">
        <v>11</v>
      </c>
      <c r="K5145" s="142">
        <v>0</v>
      </c>
      <c r="L5145" s="142">
        <v>0</v>
      </c>
      <c r="M5145" s="142">
        <v>6</v>
      </c>
    </row>
    <row r="5146" spans="1:13" x14ac:dyDescent="0.45">
      <c r="A5146" s="142" t="s">
        <v>13019</v>
      </c>
      <c r="B5146" s="142" t="s">
        <v>14457</v>
      </c>
      <c r="C5146" s="142" t="s">
        <v>15860</v>
      </c>
      <c r="D5146" s="142" t="s">
        <v>15861</v>
      </c>
      <c r="E5146" s="142" t="s">
        <v>15849</v>
      </c>
      <c r="F5146" s="142" t="s">
        <v>7461</v>
      </c>
      <c r="G5146" s="142" t="s">
        <v>7460</v>
      </c>
      <c r="H5146" s="142" t="s">
        <v>20996</v>
      </c>
      <c r="I5146" s="142">
        <v>15</v>
      </c>
      <c r="J5146" s="142">
        <v>0</v>
      </c>
      <c r="K5146" s="142">
        <v>0</v>
      </c>
      <c r="L5146" s="142">
        <v>15</v>
      </c>
      <c r="M5146" s="142">
        <v>0</v>
      </c>
    </row>
    <row r="5147" spans="1:13" x14ac:dyDescent="0.45">
      <c r="A5147" s="142" t="s">
        <v>13021</v>
      </c>
      <c r="B5147" s="142" t="s">
        <v>15501</v>
      </c>
      <c r="C5147" s="142" t="s">
        <v>15847</v>
      </c>
      <c r="D5147" s="142" t="s">
        <v>15848</v>
      </c>
      <c r="E5147" s="142" t="s">
        <v>15849</v>
      </c>
      <c r="F5147" s="142" t="s">
        <v>7461</v>
      </c>
      <c r="G5147" s="142" t="s">
        <v>7460</v>
      </c>
      <c r="H5147" s="142" t="s">
        <v>20997</v>
      </c>
      <c r="I5147" s="142">
        <v>9</v>
      </c>
      <c r="J5147" s="142">
        <v>0</v>
      </c>
      <c r="K5147" s="142">
        <v>0</v>
      </c>
      <c r="L5147" s="142">
        <v>7</v>
      </c>
      <c r="M5147" s="142">
        <v>2</v>
      </c>
    </row>
    <row r="5148" spans="1:13" x14ac:dyDescent="0.45">
      <c r="A5148" s="142" t="s">
        <v>13022</v>
      </c>
      <c r="B5148" s="142" t="s">
        <v>14634</v>
      </c>
      <c r="C5148" s="142" t="s">
        <v>15847</v>
      </c>
      <c r="D5148" s="142" t="s">
        <v>15848</v>
      </c>
      <c r="E5148" s="142" t="s">
        <v>15849</v>
      </c>
      <c r="F5148" s="142" t="s">
        <v>7461</v>
      </c>
      <c r="G5148" s="142" t="s">
        <v>7460</v>
      </c>
      <c r="H5148" s="142" t="s">
        <v>20998</v>
      </c>
      <c r="I5148" s="142">
        <v>95</v>
      </c>
      <c r="J5148" s="142">
        <v>95</v>
      </c>
      <c r="K5148" s="142">
        <v>0</v>
      </c>
      <c r="L5148" s="142">
        <v>0</v>
      </c>
      <c r="M5148" s="142">
        <v>0</v>
      </c>
    </row>
    <row r="5149" spans="1:13" x14ac:dyDescent="0.45">
      <c r="A5149" s="142" t="s">
        <v>13065</v>
      </c>
      <c r="B5149" s="142" t="s">
        <v>14497</v>
      </c>
      <c r="C5149" s="142" t="s">
        <v>15847</v>
      </c>
      <c r="D5149" s="142" t="s">
        <v>15848</v>
      </c>
      <c r="E5149" s="142" t="s">
        <v>15849</v>
      </c>
      <c r="F5149" s="142" t="s">
        <v>7461</v>
      </c>
      <c r="G5149" s="142" t="s">
        <v>7460</v>
      </c>
      <c r="H5149" s="142" t="s">
        <v>20999</v>
      </c>
      <c r="I5149" s="142">
        <v>6</v>
      </c>
      <c r="J5149" s="142">
        <v>0</v>
      </c>
      <c r="K5149" s="142">
        <v>0</v>
      </c>
      <c r="L5149" s="142">
        <v>6</v>
      </c>
      <c r="M5149" s="142">
        <v>0</v>
      </c>
    </row>
    <row r="5150" spans="1:13" x14ac:dyDescent="0.45">
      <c r="A5150" s="142" t="s">
        <v>13978</v>
      </c>
      <c r="B5150" s="142" t="s">
        <v>14821</v>
      </c>
      <c r="C5150" s="142" t="s">
        <v>15860</v>
      </c>
      <c r="D5150" s="142" t="s">
        <v>15861</v>
      </c>
      <c r="E5150" s="142" t="s">
        <v>15849</v>
      </c>
      <c r="F5150" s="142" t="s">
        <v>7461</v>
      </c>
      <c r="G5150" s="142" t="s">
        <v>7460</v>
      </c>
      <c r="H5150" s="142" t="s">
        <v>21000</v>
      </c>
      <c r="I5150" s="142">
        <v>153</v>
      </c>
      <c r="J5150" s="142">
        <v>0</v>
      </c>
      <c r="K5150" s="142">
        <v>0</v>
      </c>
      <c r="L5150" s="142">
        <v>153</v>
      </c>
      <c r="M5150" s="142">
        <v>0</v>
      </c>
    </row>
    <row r="5151" spans="1:13" x14ac:dyDescent="0.45">
      <c r="A5151" s="142" t="s">
        <v>13024</v>
      </c>
      <c r="B5151" s="142" t="s">
        <v>14538</v>
      </c>
      <c r="C5151" s="142" t="s">
        <v>15847</v>
      </c>
      <c r="D5151" s="142" t="s">
        <v>15848</v>
      </c>
      <c r="E5151" s="142" t="s">
        <v>15849</v>
      </c>
      <c r="F5151" s="142" t="s">
        <v>7461</v>
      </c>
      <c r="G5151" s="142" t="s">
        <v>7460</v>
      </c>
      <c r="H5151" s="142" t="s">
        <v>21001</v>
      </c>
      <c r="I5151" s="142">
        <v>202</v>
      </c>
      <c r="J5151" s="142">
        <v>177</v>
      </c>
      <c r="K5151" s="142">
        <v>0</v>
      </c>
      <c r="L5151" s="142">
        <v>0</v>
      </c>
      <c r="M5151" s="142">
        <v>25</v>
      </c>
    </row>
    <row r="5152" spans="1:13" x14ac:dyDescent="0.45">
      <c r="A5152" s="142" t="s">
        <v>13099</v>
      </c>
      <c r="B5152" s="142" t="s">
        <v>14547</v>
      </c>
      <c r="C5152" s="142" t="s">
        <v>15860</v>
      </c>
      <c r="D5152" s="142" t="s">
        <v>15861</v>
      </c>
      <c r="E5152" s="142" t="s">
        <v>15849</v>
      </c>
      <c r="F5152" s="142" t="s">
        <v>7461</v>
      </c>
      <c r="G5152" s="142" t="s">
        <v>7460</v>
      </c>
      <c r="H5152" s="142" t="s">
        <v>21002</v>
      </c>
      <c r="I5152" s="142">
        <v>6</v>
      </c>
      <c r="J5152" s="142">
        <v>0</v>
      </c>
      <c r="K5152" s="142">
        <v>0</v>
      </c>
      <c r="L5152" s="142">
        <v>6</v>
      </c>
      <c r="M5152" s="142">
        <v>0</v>
      </c>
    </row>
    <row r="5153" spans="1:13" x14ac:dyDescent="0.45">
      <c r="A5153" s="142" t="s">
        <v>13025</v>
      </c>
      <c r="B5153" s="142" t="s">
        <v>15579</v>
      </c>
      <c r="C5153" s="142" t="s">
        <v>15847</v>
      </c>
      <c r="D5153" s="142" t="s">
        <v>15848</v>
      </c>
      <c r="E5153" s="142" t="s">
        <v>15849</v>
      </c>
      <c r="F5153" s="142" t="s">
        <v>7461</v>
      </c>
      <c r="G5153" s="142" t="s">
        <v>7460</v>
      </c>
      <c r="H5153" s="142" t="s">
        <v>21003</v>
      </c>
      <c r="I5153" s="142">
        <v>79</v>
      </c>
      <c r="J5153" s="142">
        <v>0</v>
      </c>
      <c r="K5153" s="142">
        <v>0</v>
      </c>
      <c r="L5153" s="142">
        <v>79</v>
      </c>
      <c r="M5153" s="142">
        <v>0</v>
      </c>
    </row>
    <row r="5154" spans="1:13" x14ac:dyDescent="0.45">
      <c r="A5154" s="142" t="s">
        <v>13027</v>
      </c>
      <c r="B5154" s="142" t="s">
        <v>14562</v>
      </c>
      <c r="C5154" s="142" t="s">
        <v>15847</v>
      </c>
      <c r="D5154" s="142" t="s">
        <v>15848</v>
      </c>
      <c r="E5154" s="142" t="s">
        <v>15849</v>
      </c>
      <c r="F5154" s="142" t="s">
        <v>7461</v>
      </c>
      <c r="G5154" s="142" t="s">
        <v>7460</v>
      </c>
      <c r="H5154" s="142" t="s">
        <v>21004</v>
      </c>
      <c r="I5154" s="142">
        <v>8</v>
      </c>
      <c r="J5154" s="142">
        <v>0</v>
      </c>
      <c r="K5154" s="142">
        <v>0</v>
      </c>
      <c r="L5154" s="142">
        <v>8</v>
      </c>
      <c r="M5154" s="142">
        <v>0</v>
      </c>
    </row>
    <row r="5155" spans="1:13" x14ac:dyDescent="0.45">
      <c r="A5155" s="142" t="s">
        <v>13028</v>
      </c>
      <c r="B5155" s="142" t="s">
        <v>14462</v>
      </c>
      <c r="C5155" s="142" t="s">
        <v>15847</v>
      </c>
      <c r="D5155" s="142" t="s">
        <v>15848</v>
      </c>
      <c r="E5155" s="142" t="s">
        <v>15849</v>
      </c>
      <c r="F5155" s="142" t="s">
        <v>7461</v>
      </c>
      <c r="G5155" s="142" t="s">
        <v>7460</v>
      </c>
      <c r="H5155" s="142" t="s">
        <v>21005</v>
      </c>
      <c r="I5155" s="142">
        <v>47</v>
      </c>
      <c r="J5155" s="142">
        <v>0</v>
      </c>
      <c r="K5155" s="142">
        <v>0</v>
      </c>
      <c r="L5155" s="142">
        <v>0</v>
      </c>
      <c r="M5155" s="142">
        <v>47</v>
      </c>
    </row>
    <row r="5156" spans="1:13" x14ac:dyDescent="0.45">
      <c r="A5156" s="142" t="s">
        <v>13003</v>
      </c>
      <c r="B5156" s="142" t="s">
        <v>15245</v>
      </c>
      <c r="C5156" s="142" t="s">
        <v>15847</v>
      </c>
      <c r="D5156" s="142" t="s">
        <v>15848</v>
      </c>
      <c r="E5156" s="142" t="s">
        <v>15849</v>
      </c>
      <c r="F5156" s="142" t="s">
        <v>7461</v>
      </c>
      <c r="G5156" s="142" t="s">
        <v>7460</v>
      </c>
      <c r="H5156" s="142" t="s">
        <v>21006</v>
      </c>
      <c r="I5156" s="142">
        <v>27</v>
      </c>
      <c r="J5156" s="142">
        <v>0</v>
      </c>
      <c r="K5156" s="142">
        <v>0</v>
      </c>
      <c r="L5156" s="142">
        <v>27</v>
      </c>
      <c r="M5156" s="142">
        <v>0</v>
      </c>
    </row>
    <row r="5157" spans="1:13" x14ac:dyDescent="0.45">
      <c r="A5157" s="142" t="s">
        <v>13066</v>
      </c>
      <c r="B5157" s="142" t="s">
        <v>14459</v>
      </c>
      <c r="C5157" s="142" t="s">
        <v>15847</v>
      </c>
      <c r="D5157" s="142" t="s">
        <v>15848</v>
      </c>
      <c r="E5157" s="142" t="s">
        <v>15849</v>
      </c>
      <c r="F5157" s="142" t="s">
        <v>7461</v>
      </c>
      <c r="G5157" s="142" t="s">
        <v>7460</v>
      </c>
      <c r="H5157" s="142" t="s">
        <v>21007</v>
      </c>
      <c r="I5157" s="142">
        <v>33</v>
      </c>
      <c r="J5157" s="142">
        <v>0</v>
      </c>
      <c r="K5157" s="142">
        <v>0</v>
      </c>
      <c r="L5157" s="142">
        <v>33</v>
      </c>
      <c r="M5157" s="142">
        <v>0</v>
      </c>
    </row>
    <row r="5158" spans="1:13" x14ac:dyDescent="0.45">
      <c r="A5158" s="142" t="s">
        <v>13067</v>
      </c>
      <c r="B5158" s="142" t="s">
        <v>15480</v>
      </c>
      <c r="C5158" s="142" t="s">
        <v>15847</v>
      </c>
      <c r="D5158" s="142" t="s">
        <v>15848</v>
      </c>
      <c r="E5158" s="142" t="s">
        <v>15849</v>
      </c>
      <c r="F5158" s="142" t="s">
        <v>7461</v>
      </c>
      <c r="G5158" s="142" t="s">
        <v>7460</v>
      </c>
      <c r="H5158" s="142" t="s">
        <v>21008</v>
      </c>
      <c r="I5158" s="142">
        <v>13</v>
      </c>
      <c r="J5158" s="142">
        <v>13</v>
      </c>
      <c r="K5158" s="142">
        <v>0</v>
      </c>
      <c r="L5158" s="142">
        <v>0</v>
      </c>
      <c r="M5158" s="142">
        <v>0</v>
      </c>
    </row>
    <row r="5159" spans="1:13" x14ac:dyDescent="0.45">
      <c r="A5159" s="142" t="s">
        <v>13076</v>
      </c>
      <c r="B5159" s="142" t="s">
        <v>14636</v>
      </c>
      <c r="C5159" s="142" t="s">
        <v>15847</v>
      </c>
      <c r="D5159" s="142" t="s">
        <v>15848</v>
      </c>
      <c r="E5159" s="142" t="s">
        <v>15849</v>
      </c>
      <c r="F5159" s="142" t="s">
        <v>7461</v>
      </c>
      <c r="G5159" s="142" t="s">
        <v>7460</v>
      </c>
      <c r="H5159" s="142" t="s">
        <v>21009</v>
      </c>
      <c r="I5159" s="142">
        <v>3</v>
      </c>
      <c r="J5159" s="142">
        <v>3</v>
      </c>
      <c r="K5159" s="142">
        <v>0</v>
      </c>
      <c r="L5159" s="142">
        <v>0</v>
      </c>
      <c r="M5159" s="142">
        <v>0</v>
      </c>
    </row>
    <row r="5160" spans="1:13" x14ac:dyDescent="0.45">
      <c r="A5160" s="142" t="s">
        <v>13331</v>
      </c>
      <c r="B5160" s="142" t="s">
        <v>14682</v>
      </c>
      <c r="C5160" s="142" t="s">
        <v>15860</v>
      </c>
      <c r="D5160" s="142" t="s">
        <v>15861</v>
      </c>
      <c r="E5160" s="142" t="s">
        <v>15849</v>
      </c>
      <c r="F5160" s="142" t="s">
        <v>7461</v>
      </c>
      <c r="G5160" s="142" t="s">
        <v>7460</v>
      </c>
      <c r="H5160" s="142" t="s">
        <v>21010</v>
      </c>
      <c r="I5160" s="142">
        <v>7</v>
      </c>
      <c r="J5160" s="142">
        <v>7</v>
      </c>
      <c r="K5160" s="142">
        <v>0</v>
      </c>
      <c r="L5160" s="142">
        <v>0</v>
      </c>
      <c r="M5160" s="142">
        <v>0</v>
      </c>
    </row>
    <row r="5161" spans="1:13" x14ac:dyDescent="0.45">
      <c r="A5161" s="142" t="s">
        <v>13029</v>
      </c>
      <c r="B5161" s="142" t="s">
        <v>14665</v>
      </c>
      <c r="C5161" s="142" t="s">
        <v>15847</v>
      </c>
      <c r="D5161" s="142" t="s">
        <v>15848</v>
      </c>
      <c r="E5161" s="142" t="s">
        <v>15849</v>
      </c>
      <c r="F5161" s="142" t="s">
        <v>7461</v>
      </c>
      <c r="G5161" s="142" t="s">
        <v>7460</v>
      </c>
      <c r="H5161" s="142" t="s">
        <v>21011</v>
      </c>
      <c r="I5161" s="142">
        <v>21</v>
      </c>
      <c r="J5161" s="142">
        <v>0</v>
      </c>
      <c r="K5161" s="142">
        <v>0</v>
      </c>
      <c r="L5161" s="142">
        <v>0</v>
      </c>
      <c r="M5161" s="142">
        <v>21</v>
      </c>
    </row>
    <row r="5162" spans="1:13" x14ac:dyDescent="0.45">
      <c r="A5162" s="142" t="s">
        <v>13006</v>
      </c>
      <c r="B5162" s="142" t="s">
        <v>15288</v>
      </c>
      <c r="C5162" s="142" t="s">
        <v>15847</v>
      </c>
      <c r="D5162" s="142" t="s">
        <v>15848</v>
      </c>
      <c r="E5162" s="142" t="s">
        <v>15849</v>
      </c>
      <c r="F5162" s="142" t="s">
        <v>7461</v>
      </c>
      <c r="G5162" s="142" t="s">
        <v>7460</v>
      </c>
      <c r="H5162" s="142" t="s">
        <v>21012</v>
      </c>
      <c r="I5162" s="142">
        <v>134</v>
      </c>
      <c r="J5162" s="142">
        <v>110</v>
      </c>
      <c r="K5162" s="142">
        <v>0</v>
      </c>
      <c r="L5162" s="142">
        <v>22</v>
      </c>
      <c r="M5162" s="142">
        <v>2</v>
      </c>
    </row>
    <row r="5163" spans="1:13" x14ac:dyDescent="0.45">
      <c r="A5163" s="142" t="s">
        <v>13030</v>
      </c>
      <c r="B5163" s="142" t="s">
        <v>14572</v>
      </c>
      <c r="C5163" s="142" t="s">
        <v>15847</v>
      </c>
      <c r="D5163" s="142" t="s">
        <v>15848</v>
      </c>
      <c r="E5163" s="142" t="s">
        <v>15849</v>
      </c>
      <c r="F5163" s="142" t="s">
        <v>7461</v>
      </c>
      <c r="G5163" s="142" t="s">
        <v>7460</v>
      </c>
      <c r="H5163" s="142" t="s">
        <v>21013</v>
      </c>
      <c r="I5163" s="142">
        <v>206</v>
      </c>
      <c r="J5163" s="142">
        <v>180</v>
      </c>
      <c r="K5163" s="142">
        <v>0</v>
      </c>
      <c r="L5163" s="142">
        <v>19</v>
      </c>
      <c r="M5163" s="142">
        <v>7</v>
      </c>
    </row>
    <row r="5164" spans="1:13" x14ac:dyDescent="0.45">
      <c r="A5164" s="142" t="s">
        <v>13068</v>
      </c>
      <c r="B5164" s="142" t="s">
        <v>15468</v>
      </c>
      <c r="C5164" s="142" t="s">
        <v>15847</v>
      </c>
      <c r="D5164" s="142" t="s">
        <v>15848</v>
      </c>
      <c r="E5164" s="142" t="s">
        <v>15849</v>
      </c>
      <c r="F5164" s="142" t="s">
        <v>7461</v>
      </c>
      <c r="G5164" s="142" t="s">
        <v>7460</v>
      </c>
      <c r="H5164" s="142" t="s">
        <v>21014</v>
      </c>
      <c r="I5164" s="142">
        <v>28</v>
      </c>
      <c r="J5164" s="142">
        <v>28</v>
      </c>
      <c r="K5164" s="142">
        <v>0</v>
      </c>
      <c r="L5164" s="142">
        <v>0</v>
      </c>
      <c r="M5164" s="142">
        <v>0</v>
      </c>
    </row>
    <row r="5165" spans="1:13" x14ac:dyDescent="0.45">
      <c r="A5165" s="142" t="s">
        <v>13055</v>
      </c>
      <c r="B5165" s="142" t="s">
        <v>14595</v>
      </c>
      <c r="C5165" s="142" t="s">
        <v>15847</v>
      </c>
      <c r="D5165" s="142" t="s">
        <v>15848</v>
      </c>
      <c r="E5165" s="142" t="s">
        <v>15849</v>
      </c>
      <c r="F5165" s="142" t="s">
        <v>7461</v>
      </c>
      <c r="G5165" s="142" t="s">
        <v>7460</v>
      </c>
      <c r="H5165" s="142" t="s">
        <v>21015</v>
      </c>
      <c r="I5165" s="142">
        <v>733</v>
      </c>
      <c r="J5165" s="142">
        <v>666</v>
      </c>
      <c r="K5165" s="142">
        <v>0</v>
      </c>
      <c r="L5165" s="142">
        <v>53</v>
      </c>
      <c r="M5165" s="142">
        <v>14</v>
      </c>
    </row>
    <row r="5166" spans="1:13" x14ac:dyDescent="0.45">
      <c r="A5166" s="142" t="s">
        <v>13033</v>
      </c>
      <c r="B5166" s="142" t="s">
        <v>15276</v>
      </c>
      <c r="C5166" s="142" t="s">
        <v>15847</v>
      </c>
      <c r="D5166" s="142" t="s">
        <v>15848</v>
      </c>
      <c r="E5166" s="142" t="s">
        <v>15849</v>
      </c>
      <c r="F5166" s="142" t="s">
        <v>7461</v>
      </c>
      <c r="G5166" s="142" t="s">
        <v>7460</v>
      </c>
      <c r="H5166" s="142" t="s">
        <v>21016</v>
      </c>
      <c r="I5166" s="142">
        <v>291</v>
      </c>
      <c r="J5166" s="142">
        <v>240</v>
      </c>
      <c r="K5166" s="142">
        <v>0</v>
      </c>
      <c r="L5166" s="142">
        <v>24</v>
      </c>
      <c r="M5166" s="142">
        <v>27</v>
      </c>
    </row>
    <row r="5167" spans="1:13" x14ac:dyDescent="0.45">
      <c r="A5167" s="142" t="s">
        <v>13034</v>
      </c>
      <c r="B5167" s="142" t="s">
        <v>15562</v>
      </c>
      <c r="C5167" s="142" t="s">
        <v>15847</v>
      </c>
      <c r="D5167" s="142" t="s">
        <v>15848</v>
      </c>
      <c r="E5167" s="142" t="s">
        <v>15849</v>
      </c>
      <c r="F5167" s="142" t="s">
        <v>7461</v>
      </c>
      <c r="G5167" s="142" t="s">
        <v>7460</v>
      </c>
      <c r="H5167" s="142" t="s">
        <v>21017</v>
      </c>
      <c r="I5167" s="142">
        <v>114</v>
      </c>
      <c r="J5167" s="142">
        <v>110</v>
      </c>
      <c r="K5167" s="142">
        <v>0</v>
      </c>
      <c r="L5167" s="142">
        <v>4</v>
      </c>
      <c r="M5167" s="142">
        <v>0</v>
      </c>
    </row>
    <row r="5168" spans="1:13" x14ac:dyDescent="0.45">
      <c r="A5168" s="142" t="s">
        <v>13036</v>
      </c>
      <c r="B5168" s="142" t="s">
        <v>15567</v>
      </c>
      <c r="C5168" s="142" t="s">
        <v>15847</v>
      </c>
      <c r="D5168" s="142" t="s">
        <v>15848</v>
      </c>
      <c r="E5168" s="142" t="s">
        <v>15849</v>
      </c>
      <c r="F5168" s="142" t="s">
        <v>7461</v>
      </c>
      <c r="G5168" s="142" t="s">
        <v>7460</v>
      </c>
      <c r="H5168" s="142" t="s">
        <v>21018</v>
      </c>
      <c r="I5168" s="142">
        <v>69</v>
      </c>
      <c r="J5168" s="142">
        <v>0</v>
      </c>
      <c r="K5168" s="142">
        <v>0</v>
      </c>
      <c r="L5168" s="142">
        <v>69</v>
      </c>
      <c r="M5168" s="142">
        <v>0</v>
      </c>
    </row>
    <row r="5169" spans="1:13" x14ac:dyDescent="0.45">
      <c r="A5169" s="142" t="s">
        <v>13037</v>
      </c>
      <c r="B5169" s="142" t="s">
        <v>14519</v>
      </c>
      <c r="C5169" s="142" t="s">
        <v>15847</v>
      </c>
      <c r="D5169" s="142" t="s">
        <v>15848</v>
      </c>
      <c r="E5169" s="142" t="s">
        <v>15849</v>
      </c>
      <c r="F5169" s="142" t="s">
        <v>7461</v>
      </c>
      <c r="G5169" s="142" t="s">
        <v>7460</v>
      </c>
      <c r="H5169" s="142" t="s">
        <v>21019</v>
      </c>
      <c r="I5169" s="142">
        <v>5</v>
      </c>
      <c r="J5169" s="142">
        <v>0</v>
      </c>
      <c r="K5169" s="142">
        <v>0</v>
      </c>
      <c r="L5169" s="142">
        <v>5</v>
      </c>
      <c r="M5169" s="142">
        <v>0</v>
      </c>
    </row>
    <row r="5170" spans="1:13" x14ac:dyDescent="0.45">
      <c r="A5170" s="142" t="s">
        <v>13009</v>
      </c>
      <c r="B5170" s="142" t="s">
        <v>15256</v>
      </c>
      <c r="C5170" s="142" t="s">
        <v>15847</v>
      </c>
      <c r="D5170" s="142" t="s">
        <v>15848</v>
      </c>
      <c r="E5170" s="142" t="s">
        <v>15849</v>
      </c>
      <c r="F5170" s="142" t="s">
        <v>7461</v>
      </c>
      <c r="G5170" s="142" t="s">
        <v>7460</v>
      </c>
      <c r="H5170" s="142" t="s">
        <v>21020</v>
      </c>
      <c r="I5170" s="142">
        <v>63</v>
      </c>
      <c r="J5170" s="142">
        <v>63</v>
      </c>
      <c r="K5170" s="142">
        <v>0</v>
      </c>
      <c r="L5170" s="142">
        <v>0</v>
      </c>
      <c r="M5170" s="142">
        <v>0</v>
      </c>
    </row>
    <row r="5171" spans="1:13" x14ac:dyDescent="0.45">
      <c r="A5171" s="142" t="s">
        <v>13152</v>
      </c>
      <c r="B5171" s="142" t="s">
        <v>15249</v>
      </c>
      <c r="C5171" s="142" t="s">
        <v>15847</v>
      </c>
      <c r="D5171" s="142" t="s">
        <v>15848</v>
      </c>
      <c r="E5171" s="142" t="s">
        <v>15849</v>
      </c>
      <c r="F5171" s="142" t="s">
        <v>7461</v>
      </c>
      <c r="G5171" s="142" t="s">
        <v>7460</v>
      </c>
      <c r="H5171" s="142" t="s">
        <v>21021</v>
      </c>
      <c r="I5171" s="142">
        <v>4</v>
      </c>
      <c r="J5171" s="142">
        <v>4</v>
      </c>
      <c r="K5171" s="142">
        <v>0</v>
      </c>
      <c r="L5171" s="142">
        <v>0</v>
      </c>
      <c r="M5171" s="142">
        <v>0</v>
      </c>
    </row>
    <row r="5172" spans="1:13" x14ac:dyDescent="0.45">
      <c r="A5172" s="142" t="s">
        <v>13467</v>
      </c>
      <c r="B5172" s="142" t="s">
        <v>14585</v>
      </c>
      <c r="C5172" s="142" t="s">
        <v>15860</v>
      </c>
      <c r="D5172" s="142" t="s">
        <v>15861</v>
      </c>
      <c r="E5172" s="142" t="s">
        <v>15849</v>
      </c>
      <c r="F5172" s="142" t="s">
        <v>7461</v>
      </c>
      <c r="G5172" s="142" t="s">
        <v>7460</v>
      </c>
      <c r="H5172" s="142" t="s">
        <v>21022</v>
      </c>
      <c r="I5172" s="142">
        <v>6</v>
      </c>
      <c r="J5172" s="142">
        <v>0</v>
      </c>
      <c r="K5172" s="142">
        <v>0</v>
      </c>
      <c r="L5172" s="142">
        <v>6</v>
      </c>
      <c r="M5172" s="142">
        <v>0</v>
      </c>
    </row>
    <row r="5173" spans="1:13" x14ac:dyDescent="0.45">
      <c r="A5173" s="142" t="s">
        <v>13070</v>
      </c>
      <c r="B5173" s="142" t="s">
        <v>15394</v>
      </c>
      <c r="C5173" s="142" t="s">
        <v>15847</v>
      </c>
      <c r="D5173" s="142" t="s">
        <v>15848</v>
      </c>
      <c r="E5173" s="142" t="s">
        <v>15849</v>
      </c>
      <c r="F5173" s="142" t="s">
        <v>7461</v>
      </c>
      <c r="G5173" s="142" t="s">
        <v>7460</v>
      </c>
      <c r="H5173" s="142" t="s">
        <v>21023</v>
      </c>
      <c r="I5173" s="142">
        <v>105</v>
      </c>
      <c r="J5173" s="142">
        <v>81</v>
      </c>
      <c r="K5173" s="142">
        <v>0</v>
      </c>
      <c r="L5173" s="142">
        <v>0</v>
      </c>
      <c r="M5173" s="142">
        <v>24</v>
      </c>
    </row>
    <row r="5174" spans="1:13" x14ac:dyDescent="0.45">
      <c r="A5174" s="142" t="s">
        <v>13660</v>
      </c>
      <c r="B5174" s="142" t="s">
        <v>15198</v>
      </c>
      <c r="C5174" s="142" t="s">
        <v>15860</v>
      </c>
      <c r="D5174" s="142" t="s">
        <v>15861</v>
      </c>
      <c r="E5174" s="142" t="s">
        <v>15849</v>
      </c>
      <c r="F5174" s="142" t="s">
        <v>7461</v>
      </c>
      <c r="G5174" s="142" t="s">
        <v>7460</v>
      </c>
      <c r="H5174" s="142" t="s">
        <v>21024</v>
      </c>
      <c r="I5174" s="142">
        <v>30</v>
      </c>
      <c r="J5174" s="142">
        <v>0</v>
      </c>
      <c r="K5174" s="142">
        <v>0</v>
      </c>
      <c r="L5174" s="142">
        <v>30</v>
      </c>
      <c r="M5174" s="142">
        <v>0</v>
      </c>
    </row>
    <row r="5175" spans="1:13" x14ac:dyDescent="0.45">
      <c r="A5175" s="142" t="s">
        <v>13021</v>
      </c>
      <c r="B5175" s="142" t="s">
        <v>15501</v>
      </c>
      <c r="C5175" s="142" t="s">
        <v>15847</v>
      </c>
      <c r="D5175" s="142" t="s">
        <v>15848</v>
      </c>
      <c r="E5175" s="142" t="s">
        <v>15849</v>
      </c>
      <c r="F5175" s="142" t="s">
        <v>1643</v>
      </c>
      <c r="G5175" s="142" t="s">
        <v>1642</v>
      </c>
      <c r="H5175" s="142" t="s">
        <v>21025</v>
      </c>
      <c r="I5175" s="142">
        <v>8</v>
      </c>
      <c r="J5175" s="142">
        <v>0</v>
      </c>
      <c r="K5175" s="142">
        <v>0</v>
      </c>
      <c r="L5175" s="142">
        <v>5</v>
      </c>
      <c r="M5175" s="142">
        <v>3</v>
      </c>
    </row>
    <row r="5176" spans="1:13" x14ac:dyDescent="0.45">
      <c r="A5176" s="142" t="s">
        <v>13023</v>
      </c>
      <c r="B5176" s="142" t="s">
        <v>15571</v>
      </c>
      <c r="C5176" s="142" t="s">
        <v>15847</v>
      </c>
      <c r="D5176" s="142" t="s">
        <v>15848</v>
      </c>
      <c r="E5176" s="142" t="s">
        <v>15849</v>
      </c>
      <c r="F5176" s="142" t="s">
        <v>1643</v>
      </c>
      <c r="G5176" s="142" t="s">
        <v>1642</v>
      </c>
      <c r="H5176" s="142" t="s">
        <v>21026</v>
      </c>
      <c r="I5176" s="142">
        <v>310</v>
      </c>
      <c r="J5176" s="142">
        <v>0</v>
      </c>
      <c r="K5176" s="142">
        <v>0</v>
      </c>
      <c r="L5176" s="142">
        <v>211</v>
      </c>
      <c r="M5176" s="142">
        <v>99</v>
      </c>
    </row>
    <row r="5177" spans="1:13" x14ac:dyDescent="0.45">
      <c r="A5177" s="142" t="s">
        <v>13980</v>
      </c>
      <c r="B5177" s="142" t="s">
        <v>14501</v>
      </c>
      <c r="C5177" s="142" t="s">
        <v>15860</v>
      </c>
      <c r="D5177" s="142" t="s">
        <v>15861</v>
      </c>
      <c r="E5177" s="142" t="s">
        <v>15849</v>
      </c>
      <c r="F5177" s="142" t="s">
        <v>1643</v>
      </c>
      <c r="G5177" s="142" t="s">
        <v>1642</v>
      </c>
      <c r="H5177" s="142" t="s">
        <v>21027</v>
      </c>
      <c r="I5177" s="142">
        <v>96</v>
      </c>
      <c r="J5177" s="142">
        <v>0</v>
      </c>
      <c r="K5177" s="142">
        <v>0</v>
      </c>
      <c r="L5177" s="142">
        <v>96</v>
      </c>
      <c r="M5177" s="142">
        <v>0</v>
      </c>
    </row>
    <row r="5178" spans="1:13" x14ac:dyDescent="0.45">
      <c r="A5178" s="142" t="s">
        <v>13000</v>
      </c>
      <c r="B5178" s="142" t="s">
        <v>14610</v>
      </c>
      <c r="C5178" s="142" t="s">
        <v>15847</v>
      </c>
      <c r="D5178" s="142" t="s">
        <v>15848</v>
      </c>
      <c r="E5178" s="142" t="s">
        <v>15849</v>
      </c>
      <c r="F5178" s="142" t="s">
        <v>1643</v>
      </c>
      <c r="G5178" s="142" t="s">
        <v>1642</v>
      </c>
      <c r="H5178" s="142" t="s">
        <v>21028</v>
      </c>
      <c r="I5178" s="142">
        <v>256</v>
      </c>
      <c r="J5178" s="142">
        <v>197</v>
      </c>
      <c r="K5178" s="142">
        <v>0</v>
      </c>
      <c r="L5178" s="142">
        <v>0</v>
      </c>
      <c r="M5178" s="142">
        <v>59</v>
      </c>
    </row>
    <row r="5179" spans="1:13" x14ac:dyDescent="0.45">
      <c r="A5179" s="142" t="s">
        <v>13981</v>
      </c>
      <c r="B5179" s="142" t="s">
        <v>15118</v>
      </c>
      <c r="C5179" s="142" t="s">
        <v>15860</v>
      </c>
      <c r="D5179" s="142" t="s">
        <v>15861</v>
      </c>
      <c r="E5179" s="142" t="s">
        <v>15849</v>
      </c>
      <c r="F5179" s="142" t="s">
        <v>1643</v>
      </c>
      <c r="G5179" s="142" t="s">
        <v>1642</v>
      </c>
      <c r="H5179" s="142" t="s">
        <v>21029</v>
      </c>
      <c r="I5179" s="142">
        <v>29</v>
      </c>
      <c r="J5179" s="142">
        <v>29</v>
      </c>
      <c r="K5179" s="142">
        <v>0</v>
      </c>
      <c r="L5179" s="142">
        <v>0</v>
      </c>
      <c r="M5179" s="142">
        <v>0</v>
      </c>
    </row>
    <row r="5180" spans="1:13" x14ac:dyDescent="0.45">
      <c r="A5180" s="142" t="s">
        <v>13075</v>
      </c>
      <c r="B5180" s="142" t="s">
        <v>15598</v>
      </c>
      <c r="C5180" s="142" t="s">
        <v>15847</v>
      </c>
      <c r="D5180" s="142" t="s">
        <v>15848</v>
      </c>
      <c r="E5180" s="142" t="s">
        <v>15849</v>
      </c>
      <c r="F5180" s="142" t="s">
        <v>1643</v>
      </c>
      <c r="G5180" s="142" t="s">
        <v>1642</v>
      </c>
      <c r="H5180" s="142" t="s">
        <v>21030</v>
      </c>
      <c r="I5180" s="142">
        <v>181</v>
      </c>
      <c r="J5180" s="142">
        <v>135</v>
      </c>
      <c r="K5180" s="142">
        <v>0</v>
      </c>
      <c r="L5180" s="142">
        <v>0</v>
      </c>
      <c r="M5180" s="142">
        <v>46</v>
      </c>
    </row>
    <row r="5181" spans="1:13" x14ac:dyDescent="0.45">
      <c r="A5181" s="142" t="s">
        <v>13001</v>
      </c>
      <c r="B5181" s="142" t="s">
        <v>15506</v>
      </c>
      <c r="C5181" s="142" t="s">
        <v>15847</v>
      </c>
      <c r="D5181" s="142" t="s">
        <v>15848</v>
      </c>
      <c r="E5181" s="142" t="s">
        <v>15849</v>
      </c>
      <c r="F5181" s="142" t="s">
        <v>1643</v>
      </c>
      <c r="G5181" s="142" t="s">
        <v>1642</v>
      </c>
      <c r="H5181" s="142" t="s">
        <v>21031</v>
      </c>
      <c r="I5181" s="142">
        <v>75</v>
      </c>
      <c r="J5181" s="142">
        <v>51</v>
      </c>
      <c r="K5181" s="142">
        <v>0</v>
      </c>
      <c r="L5181" s="142">
        <v>24</v>
      </c>
      <c r="M5181" s="142">
        <v>0</v>
      </c>
    </row>
    <row r="5182" spans="1:13" x14ac:dyDescent="0.45">
      <c r="A5182" s="142" t="s">
        <v>13603</v>
      </c>
      <c r="B5182" s="142" t="s">
        <v>14439</v>
      </c>
      <c r="C5182" s="142" t="s">
        <v>15847</v>
      </c>
      <c r="D5182" s="142" t="s">
        <v>15848</v>
      </c>
      <c r="E5182" s="142" t="s">
        <v>15849</v>
      </c>
      <c r="F5182" s="142" t="s">
        <v>1643</v>
      </c>
      <c r="G5182" s="142" t="s">
        <v>1642</v>
      </c>
      <c r="H5182" s="142" t="s">
        <v>21032</v>
      </c>
      <c r="I5182" s="142">
        <v>593</v>
      </c>
      <c r="J5182" s="142">
        <v>379</v>
      </c>
      <c r="K5182" s="142">
        <v>0</v>
      </c>
      <c r="L5182" s="142">
        <v>90</v>
      </c>
      <c r="M5182" s="142">
        <v>124</v>
      </c>
    </row>
    <row r="5183" spans="1:13" x14ac:dyDescent="0.45">
      <c r="A5183" s="142" t="s">
        <v>13028</v>
      </c>
      <c r="B5183" s="142" t="s">
        <v>14462</v>
      </c>
      <c r="C5183" s="142" t="s">
        <v>15847</v>
      </c>
      <c r="D5183" s="142" t="s">
        <v>15848</v>
      </c>
      <c r="E5183" s="142" t="s">
        <v>15849</v>
      </c>
      <c r="F5183" s="142" t="s">
        <v>1643</v>
      </c>
      <c r="G5183" s="142" t="s">
        <v>1642</v>
      </c>
      <c r="H5183" s="142" t="s">
        <v>21033</v>
      </c>
      <c r="I5183" s="142">
        <v>7</v>
      </c>
      <c r="J5183" s="142">
        <v>0</v>
      </c>
      <c r="K5183" s="142">
        <v>0</v>
      </c>
      <c r="L5183" s="142">
        <v>0</v>
      </c>
      <c r="M5183" s="142">
        <v>7</v>
      </c>
    </row>
    <row r="5184" spans="1:13" x14ac:dyDescent="0.45">
      <c r="A5184" s="142" t="s">
        <v>13002</v>
      </c>
      <c r="B5184" s="142" t="s">
        <v>15376</v>
      </c>
      <c r="C5184" s="142" t="s">
        <v>15847</v>
      </c>
      <c r="D5184" s="142" t="s">
        <v>15848</v>
      </c>
      <c r="E5184" s="142" t="s">
        <v>15849</v>
      </c>
      <c r="F5184" s="142" t="s">
        <v>1643</v>
      </c>
      <c r="G5184" s="142" t="s">
        <v>1642</v>
      </c>
      <c r="H5184" s="142" t="s">
        <v>21034</v>
      </c>
      <c r="I5184" s="142">
        <v>16</v>
      </c>
      <c r="J5184" s="142">
        <v>0</v>
      </c>
      <c r="K5184" s="142">
        <v>0</v>
      </c>
      <c r="L5184" s="142">
        <v>3</v>
      </c>
      <c r="M5184" s="142">
        <v>13</v>
      </c>
    </row>
    <row r="5185" spans="1:13" x14ac:dyDescent="0.45">
      <c r="A5185" s="142" t="s">
        <v>13003</v>
      </c>
      <c r="B5185" s="142" t="s">
        <v>15245</v>
      </c>
      <c r="C5185" s="142" t="s">
        <v>15847</v>
      </c>
      <c r="D5185" s="142" t="s">
        <v>15848</v>
      </c>
      <c r="E5185" s="142" t="s">
        <v>15849</v>
      </c>
      <c r="F5185" s="142" t="s">
        <v>1643</v>
      </c>
      <c r="G5185" s="142" t="s">
        <v>1642</v>
      </c>
      <c r="H5185" s="142" t="s">
        <v>21035</v>
      </c>
      <c r="I5185" s="142">
        <v>223</v>
      </c>
      <c r="J5185" s="142">
        <v>0</v>
      </c>
      <c r="K5185" s="142">
        <v>0</v>
      </c>
      <c r="L5185" s="142">
        <v>223</v>
      </c>
      <c r="M5185" s="142">
        <v>0</v>
      </c>
    </row>
    <row r="5186" spans="1:13" x14ac:dyDescent="0.45">
      <c r="A5186" s="142" t="s">
        <v>13004</v>
      </c>
      <c r="B5186" s="142" t="s">
        <v>15492</v>
      </c>
      <c r="C5186" s="142" t="s">
        <v>15847</v>
      </c>
      <c r="D5186" s="142" t="s">
        <v>15848</v>
      </c>
      <c r="E5186" s="142" t="s">
        <v>15849</v>
      </c>
      <c r="F5186" s="142" t="s">
        <v>1643</v>
      </c>
      <c r="G5186" s="142" t="s">
        <v>1642</v>
      </c>
      <c r="H5186" s="142" t="s">
        <v>21036</v>
      </c>
      <c r="I5186" s="142">
        <v>550</v>
      </c>
      <c r="J5186" s="142">
        <v>393</v>
      </c>
      <c r="K5186" s="142">
        <v>0</v>
      </c>
      <c r="L5186" s="142">
        <v>26</v>
      </c>
      <c r="M5186" s="142">
        <v>131</v>
      </c>
    </row>
    <row r="5187" spans="1:13" x14ac:dyDescent="0.45">
      <c r="A5187" s="142" t="s">
        <v>13066</v>
      </c>
      <c r="B5187" s="142" t="s">
        <v>14459</v>
      </c>
      <c r="C5187" s="142" t="s">
        <v>15847</v>
      </c>
      <c r="D5187" s="142" t="s">
        <v>15848</v>
      </c>
      <c r="E5187" s="142" t="s">
        <v>15849</v>
      </c>
      <c r="F5187" s="142" t="s">
        <v>1643</v>
      </c>
      <c r="G5187" s="142" t="s">
        <v>1642</v>
      </c>
      <c r="H5187" s="142" t="s">
        <v>21037</v>
      </c>
      <c r="I5187" s="142">
        <v>12</v>
      </c>
      <c r="J5187" s="142">
        <v>0</v>
      </c>
      <c r="K5187" s="142">
        <v>0</v>
      </c>
      <c r="L5187" s="142">
        <v>12</v>
      </c>
      <c r="M5187" s="142">
        <v>0</v>
      </c>
    </row>
    <row r="5188" spans="1:13" x14ac:dyDescent="0.45">
      <c r="A5188" s="142" t="s">
        <v>13982</v>
      </c>
      <c r="B5188" s="142" t="s">
        <v>14795</v>
      </c>
      <c r="C5188" s="142" t="s">
        <v>15860</v>
      </c>
      <c r="D5188" s="142" t="s">
        <v>15861</v>
      </c>
      <c r="E5188" s="142" t="s">
        <v>15849</v>
      </c>
      <c r="F5188" s="142" t="s">
        <v>1643</v>
      </c>
      <c r="G5188" s="142" t="s">
        <v>1642</v>
      </c>
      <c r="H5188" s="142" t="s">
        <v>21038</v>
      </c>
      <c r="I5188" s="142">
        <v>12</v>
      </c>
      <c r="J5188" s="142">
        <v>0</v>
      </c>
      <c r="K5188" s="142">
        <v>0</v>
      </c>
      <c r="L5188" s="142">
        <v>12</v>
      </c>
      <c r="M5188" s="142">
        <v>0</v>
      </c>
    </row>
    <row r="5189" spans="1:13" x14ac:dyDescent="0.45">
      <c r="A5189" s="142" t="s">
        <v>13201</v>
      </c>
      <c r="B5189" s="142" t="s">
        <v>14481</v>
      </c>
      <c r="C5189" s="142" t="s">
        <v>15860</v>
      </c>
      <c r="D5189" s="142" t="s">
        <v>15861</v>
      </c>
      <c r="E5189" s="142" t="s">
        <v>15849</v>
      </c>
      <c r="F5189" s="142" t="s">
        <v>1643</v>
      </c>
      <c r="G5189" s="142" t="s">
        <v>1642</v>
      </c>
      <c r="H5189" s="142" t="s">
        <v>21039</v>
      </c>
      <c r="I5189" s="142">
        <v>52</v>
      </c>
      <c r="J5189" s="142">
        <v>0</v>
      </c>
      <c r="K5189" s="142">
        <v>0</v>
      </c>
      <c r="L5189" s="142">
        <v>52</v>
      </c>
      <c r="M5189" s="142">
        <v>0</v>
      </c>
    </row>
    <row r="5190" spans="1:13" x14ac:dyDescent="0.45">
      <c r="A5190" s="142" t="s">
        <v>13076</v>
      </c>
      <c r="B5190" s="142" t="s">
        <v>14636</v>
      </c>
      <c r="C5190" s="142" t="s">
        <v>15847</v>
      </c>
      <c r="D5190" s="142" t="s">
        <v>15848</v>
      </c>
      <c r="E5190" s="142" t="s">
        <v>15849</v>
      </c>
      <c r="F5190" s="142" t="s">
        <v>1643</v>
      </c>
      <c r="G5190" s="142" t="s">
        <v>1642</v>
      </c>
      <c r="H5190" s="142" t="s">
        <v>21040</v>
      </c>
      <c r="I5190" s="142">
        <v>139</v>
      </c>
      <c r="J5190" s="142">
        <v>0</v>
      </c>
      <c r="K5190" s="142">
        <v>0</v>
      </c>
      <c r="L5190" s="142">
        <v>0</v>
      </c>
      <c r="M5190" s="142">
        <v>139</v>
      </c>
    </row>
    <row r="5191" spans="1:13" x14ac:dyDescent="0.45">
      <c r="A5191" s="142" t="s">
        <v>13331</v>
      </c>
      <c r="B5191" s="142" t="s">
        <v>14682</v>
      </c>
      <c r="C5191" s="142" t="s">
        <v>15860</v>
      </c>
      <c r="D5191" s="142" t="s">
        <v>15861</v>
      </c>
      <c r="E5191" s="142" t="s">
        <v>15849</v>
      </c>
      <c r="F5191" s="142" t="s">
        <v>1643</v>
      </c>
      <c r="G5191" s="142" t="s">
        <v>1642</v>
      </c>
      <c r="H5191" s="142" t="s">
        <v>21041</v>
      </c>
      <c r="I5191" s="142">
        <v>98</v>
      </c>
      <c r="J5191" s="142">
        <v>98</v>
      </c>
      <c r="K5191" s="142">
        <v>0</v>
      </c>
      <c r="L5191" s="142">
        <v>0</v>
      </c>
      <c r="M5191" s="142">
        <v>0</v>
      </c>
    </row>
    <row r="5192" spans="1:13" x14ac:dyDescent="0.45">
      <c r="A5192" s="142" t="s">
        <v>13005</v>
      </c>
      <c r="B5192" s="142" t="s">
        <v>15475</v>
      </c>
      <c r="C5192" s="142" t="s">
        <v>15847</v>
      </c>
      <c r="D5192" s="142" t="s">
        <v>15848</v>
      </c>
      <c r="E5192" s="142" t="s">
        <v>15849</v>
      </c>
      <c r="F5192" s="142" t="s">
        <v>1643</v>
      </c>
      <c r="G5192" s="142" t="s">
        <v>1642</v>
      </c>
      <c r="H5192" s="142" t="s">
        <v>21042</v>
      </c>
      <c r="I5192" s="142">
        <v>816</v>
      </c>
      <c r="J5192" s="142">
        <v>649</v>
      </c>
      <c r="K5192" s="142">
        <v>0</v>
      </c>
      <c r="L5192" s="142">
        <v>38</v>
      </c>
      <c r="M5192" s="142">
        <v>129</v>
      </c>
    </row>
    <row r="5193" spans="1:13" x14ac:dyDescent="0.45">
      <c r="A5193" s="142" t="s">
        <v>13007</v>
      </c>
      <c r="B5193" s="142" t="s">
        <v>15262</v>
      </c>
      <c r="C5193" s="142" t="s">
        <v>15847</v>
      </c>
      <c r="D5193" s="142" t="s">
        <v>15848</v>
      </c>
      <c r="E5193" s="142" t="s">
        <v>15849</v>
      </c>
      <c r="F5193" s="142" t="s">
        <v>1643</v>
      </c>
      <c r="G5193" s="142" t="s">
        <v>1642</v>
      </c>
      <c r="H5193" s="142" t="s">
        <v>21043</v>
      </c>
      <c r="I5193" s="142">
        <v>1174</v>
      </c>
      <c r="J5193" s="142">
        <v>704</v>
      </c>
      <c r="K5193" s="142">
        <v>0</v>
      </c>
      <c r="L5193" s="142">
        <v>85</v>
      </c>
      <c r="M5193" s="142">
        <v>385</v>
      </c>
    </row>
    <row r="5194" spans="1:13" x14ac:dyDescent="0.45">
      <c r="A5194" s="142" t="s">
        <v>13054</v>
      </c>
      <c r="B5194" s="142" t="s">
        <v>15604</v>
      </c>
      <c r="C5194" s="142" t="s">
        <v>15847</v>
      </c>
      <c r="D5194" s="142" t="s">
        <v>15848</v>
      </c>
      <c r="E5194" s="142" t="s">
        <v>15849</v>
      </c>
      <c r="F5194" s="142" t="s">
        <v>1643</v>
      </c>
      <c r="G5194" s="142" t="s">
        <v>1642</v>
      </c>
      <c r="H5194" s="142" t="s">
        <v>21044</v>
      </c>
      <c r="I5194" s="142">
        <v>1</v>
      </c>
      <c r="J5194" s="142">
        <v>0</v>
      </c>
      <c r="K5194" s="142">
        <v>0</v>
      </c>
      <c r="L5194" s="142">
        <v>0</v>
      </c>
      <c r="M5194" s="142">
        <v>1</v>
      </c>
    </row>
    <row r="5195" spans="1:13" x14ac:dyDescent="0.45">
      <c r="A5195" s="142" t="s">
        <v>13340</v>
      </c>
      <c r="B5195" s="142" t="s">
        <v>14499</v>
      </c>
      <c r="C5195" s="142" t="s">
        <v>15860</v>
      </c>
      <c r="D5195" s="142" t="s">
        <v>15861</v>
      </c>
      <c r="E5195" s="142" t="s">
        <v>15849</v>
      </c>
      <c r="F5195" s="142" t="s">
        <v>1643</v>
      </c>
      <c r="G5195" s="142" t="s">
        <v>1642</v>
      </c>
      <c r="H5195" s="142" t="s">
        <v>21045</v>
      </c>
      <c r="I5195" s="142">
        <v>2</v>
      </c>
      <c r="J5195" s="142">
        <v>2</v>
      </c>
      <c r="K5195" s="142">
        <v>0</v>
      </c>
      <c r="L5195" s="142">
        <v>0</v>
      </c>
      <c r="M5195" s="142">
        <v>0</v>
      </c>
    </row>
    <row r="5196" spans="1:13" x14ac:dyDescent="0.45">
      <c r="A5196" s="142" t="s">
        <v>13008</v>
      </c>
      <c r="B5196" s="142" t="s">
        <v>15411</v>
      </c>
      <c r="C5196" s="142" t="s">
        <v>15847</v>
      </c>
      <c r="D5196" s="142" t="s">
        <v>15848</v>
      </c>
      <c r="E5196" s="142" t="s">
        <v>15849</v>
      </c>
      <c r="F5196" s="142" t="s">
        <v>1643</v>
      </c>
      <c r="G5196" s="142" t="s">
        <v>1642</v>
      </c>
      <c r="H5196" s="142" t="s">
        <v>21046</v>
      </c>
      <c r="I5196" s="142">
        <v>291</v>
      </c>
      <c r="J5196" s="142">
        <v>0</v>
      </c>
      <c r="K5196" s="142">
        <v>0</v>
      </c>
      <c r="L5196" s="142">
        <v>0</v>
      </c>
      <c r="M5196" s="142">
        <v>291</v>
      </c>
    </row>
    <row r="5197" spans="1:13" x14ac:dyDescent="0.45">
      <c r="A5197" s="142" t="s">
        <v>13077</v>
      </c>
      <c r="B5197" s="142" t="s">
        <v>15407</v>
      </c>
      <c r="C5197" s="142" t="s">
        <v>15847</v>
      </c>
      <c r="D5197" s="142" t="s">
        <v>15848</v>
      </c>
      <c r="E5197" s="142" t="s">
        <v>15849</v>
      </c>
      <c r="F5197" s="142" t="s">
        <v>1643</v>
      </c>
      <c r="G5197" s="142" t="s">
        <v>1642</v>
      </c>
      <c r="H5197" s="142" t="s">
        <v>21047</v>
      </c>
      <c r="I5197" s="142">
        <v>724</v>
      </c>
      <c r="J5197" s="142">
        <v>622</v>
      </c>
      <c r="K5197" s="142">
        <v>8</v>
      </c>
      <c r="L5197" s="142">
        <v>94</v>
      </c>
      <c r="M5197" s="142">
        <v>0</v>
      </c>
    </row>
    <row r="5198" spans="1:13" x14ac:dyDescent="0.45">
      <c r="A5198" s="142" t="s">
        <v>13033</v>
      </c>
      <c r="B5198" s="142" t="s">
        <v>15276</v>
      </c>
      <c r="C5198" s="142" t="s">
        <v>15847</v>
      </c>
      <c r="D5198" s="142" t="s">
        <v>15848</v>
      </c>
      <c r="E5198" s="142" t="s">
        <v>15849</v>
      </c>
      <c r="F5198" s="142" t="s">
        <v>1643</v>
      </c>
      <c r="G5198" s="142" t="s">
        <v>1642</v>
      </c>
      <c r="H5198" s="142" t="s">
        <v>21048</v>
      </c>
      <c r="I5198" s="142">
        <v>2</v>
      </c>
      <c r="J5198" s="142">
        <v>2</v>
      </c>
      <c r="K5198" s="142">
        <v>0</v>
      </c>
      <c r="L5198" s="142">
        <v>0</v>
      </c>
      <c r="M5198" s="142">
        <v>0</v>
      </c>
    </row>
    <row r="5199" spans="1:13" x14ac:dyDescent="0.45">
      <c r="A5199" s="142" t="s">
        <v>13105</v>
      </c>
      <c r="B5199" s="142" t="s">
        <v>14654</v>
      </c>
      <c r="C5199" s="142" t="s">
        <v>15847</v>
      </c>
      <c r="D5199" s="142" t="s">
        <v>15848</v>
      </c>
      <c r="E5199" s="142" t="s">
        <v>15849</v>
      </c>
      <c r="F5199" s="142" t="s">
        <v>1643</v>
      </c>
      <c r="G5199" s="142" t="s">
        <v>1642</v>
      </c>
      <c r="H5199" s="142" t="s">
        <v>21049</v>
      </c>
      <c r="I5199" s="142">
        <v>19</v>
      </c>
      <c r="J5199" s="142">
        <v>0</v>
      </c>
      <c r="K5199" s="142">
        <v>0</v>
      </c>
      <c r="L5199" s="142">
        <v>0</v>
      </c>
      <c r="M5199" s="142">
        <v>19</v>
      </c>
    </row>
    <row r="5200" spans="1:13" x14ac:dyDescent="0.45">
      <c r="A5200" s="142" t="s">
        <v>13037</v>
      </c>
      <c r="B5200" s="142" t="s">
        <v>14519</v>
      </c>
      <c r="C5200" s="142" t="s">
        <v>15847</v>
      </c>
      <c r="D5200" s="142" t="s">
        <v>15848</v>
      </c>
      <c r="E5200" s="142" t="s">
        <v>15849</v>
      </c>
      <c r="F5200" s="142" t="s">
        <v>1643</v>
      </c>
      <c r="G5200" s="142" t="s">
        <v>1642</v>
      </c>
      <c r="H5200" s="142" t="s">
        <v>21050</v>
      </c>
      <c r="I5200" s="142">
        <v>20</v>
      </c>
      <c r="J5200" s="142">
        <v>0</v>
      </c>
      <c r="K5200" s="142">
        <v>0</v>
      </c>
      <c r="L5200" s="142">
        <v>20</v>
      </c>
      <c r="M5200" s="142">
        <v>0</v>
      </c>
    </row>
    <row r="5201" spans="1:13" x14ac:dyDescent="0.45">
      <c r="A5201" s="142" t="s">
        <v>13038</v>
      </c>
      <c r="B5201" s="142" t="s">
        <v>14646</v>
      </c>
      <c r="C5201" s="142" t="s">
        <v>15847</v>
      </c>
      <c r="D5201" s="142" t="s">
        <v>15848</v>
      </c>
      <c r="E5201" s="142" t="s">
        <v>15849</v>
      </c>
      <c r="F5201" s="142" t="s">
        <v>1643</v>
      </c>
      <c r="G5201" s="142" t="s">
        <v>1642</v>
      </c>
      <c r="H5201" s="142" t="s">
        <v>21051</v>
      </c>
      <c r="I5201" s="142">
        <v>46</v>
      </c>
      <c r="J5201" s="142">
        <v>13</v>
      </c>
      <c r="K5201" s="142">
        <v>0</v>
      </c>
      <c r="L5201" s="142">
        <v>0</v>
      </c>
      <c r="M5201" s="142">
        <v>33</v>
      </c>
    </row>
    <row r="5202" spans="1:13" x14ac:dyDescent="0.45">
      <c r="A5202" s="142" t="s">
        <v>13039</v>
      </c>
      <c r="B5202" s="142" t="s">
        <v>14647</v>
      </c>
      <c r="C5202" s="142" t="s">
        <v>15847</v>
      </c>
      <c r="D5202" s="142" t="s">
        <v>15848</v>
      </c>
      <c r="E5202" s="142" t="s">
        <v>15849</v>
      </c>
      <c r="F5202" s="142" t="s">
        <v>1643</v>
      </c>
      <c r="G5202" s="142" t="s">
        <v>1642</v>
      </c>
      <c r="H5202" s="142" t="s">
        <v>21052</v>
      </c>
      <c r="I5202" s="142">
        <v>36</v>
      </c>
      <c r="J5202" s="142">
        <v>36</v>
      </c>
      <c r="K5202" s="142">
        <v>0</v>
      </c>
      <c r="L5202" s="142">
        <v>0</v>
      </c>
      <c r="M5202" s="142">
        <v>0</v>
      </c>
    </row>
    <row r="5203" spans="1:13" x14ac:dyDescent="0.45">
      <c r="A5203" s="142" t="s">
        <v>13009</v>
      </c>
      <c r="B5203" s="142" t="s">
        <v>15256</v>
      </c>
      <c r="C5203" s="142" t="s">
        <v>15847</v>
      </c>
      <c r="D5203" s="142" t="s">
        <v>15848</v>
      </c>
      <c r="E5203" s="142" t="s">
        <v>15849</v>
      </c>
      <c r="F5203" s="142" t="s">
        <v>1643</v>
      </c>
      <c r="G5203" s="142" t="s">
        <v>1642</v>
      </c>
      <c r="H5203" s="142" t="s">
        <v>21053</v>
      </c>
      <c r="I5203" s="142">
        <v>131</v>
      </c>
      <c r="J5203" s="142">
        <v>101</v>
      </c>
      <c r="K5203" s="142">
        <v>0</v>
      </c>
      <c r="L5203" s="142">
        <v>30</v>
      </c>
      <c r="M5203" s="142">
        <v>0</v>
      </c>
    </row>
    <row r="5204" spans="1:13" x14ac:dyDescent="0.45">
      <c r="A5204" s="142" t="s">
        <v>13011</v>
      </c>
      <c r="B5204" s="142" t="s">
        <v>14695</v>
      </c>
      <c r="C5204" s="142" t="s">
        <v>15847</v>
      </c>
      <c r="D5204" s="142" t="s">
        <v>15848</v>
      </c>
      <c r="E5204" s="142" t="s">
        <v>15849</v>
      </c>
      <c r="F5204" s="142" t="s">
        <v>1643</v>
      </c>
      <c r="G5204" s="142" t="s">
        <v>1642</v>
      </c>
      <c r="H5204" s="142" t="s">
        <v>21054</v>
      </c>
      <c r="I5204" s="142">
        <v>670</v>
      </c>
      <c r="J5204" s="142">
        <v>321</v>
      </c>
      <c r="K5204" s="142">
        <v>0</v>
      </c>
      <c r="L5204" s="142">
        <v>203</v>
      </c>
      <c r="M5204" s="142">
        <v>146</v>
      </c>
    </row>
    <row r="5205" spans="1:13" x14ac:dyDescent="0.45">
      <c r="A5205" s="142" t="s">
        <v>13042</v>
      </c>
      <c r="B5205" s="142" t="s">
        <v>15489</v>
      </c>
      <c r="C5205" s="142" t="s">
        <v>15847</v>
      </c>
      <c r="D5205" s="142" t="s">
        <v>15848</v>
      </c>
      <c r="E5205" s="142" t="s">
        <v>15849</v>
      </c>
      <c r="F5205" s="142" t="s">
        <v>1643</v>
      </c>
      <c r="G5205" s="142" t="s">
        <v>1642</v>
      </c>
      <c r="H5205" s="142" t="s">
        <v>21055</v>
      </c>
      <c r="I5205" s="142">
        <v>184</v>
      </c>
      <c r="J5205" s="142">
        <v>111</v>
      </c>
      <c r="K5205" s="142">
        <v>0</v>
      </c>
      <c r="L5205" s="142">
        <v>69</v>
      </c>
      <c r="M5205" s="142">
        <v>4</v>
      </c>
    </row>
    <row r="5206" spans="1:13" x14ac:dyDescent="0.45">
      <c r="A5206" s="142" t="s">
        <v>13079</v>
      </c>
      <c r="B5206" s="142" t="s">
        <v>15431</v>
      </c>
      <c r="C5206" s="142" t="s">
        <v>15847</v>
      </c>
      <c r="D5206" s="142" t="s">
        <v>15848</v>
      </c>
      <c r="E5206" s="142" t="s">
        <v>15849</v>
      </c>
      <c r="F5206" s="142" t="s">
        <v>1643</v>
      </c>
      <c r="G5206" s="142" t="s">
        <v>1642</v>
      </c>
      <c r="H5206" s="142" t="s">
        <v>21056</v>
      </c>
      <c r="I5206" s="142">
        <v>314</v>
      </c>
      <c r="J5206" s="142">
        <v>247</v>
      </c>
      <c r="K5206" s="142">
        <v>0</v>
      </c>
      <c r="L5206" s="142">
        <v>0</v>
      </c>
      <c r="M5206" s="142">
        <v>67</v>
      </c>
    </row>
    <row r="5207" spans="1:13" x14ac:dyDescent="0.45">
      <c r="A5207" s="142" t="s">
        <v>13080</v>
      </c>
      <c r="B5207" s="142" t="s">
        <v>15553</v>
      </c>
      <c r="C5207" s="142" t="s">
        <v>15847</v>
      </c>
      <c r="D5207" s="142" t="s">
        <v>15848</v>
      </c>
      <c r="E5207" s="142" t="s">
        <v>15849</v>
      </c>
      <c r="F5207" s="142" t="s">
        <v>1643</v>
      </c>
      <c r="G5207" s="142" t="s">
        <v>1642</v>
      </c>
      <c r="H5207" s="142" t="s">
        <v>21057</v>
      </c>
      <c r="I5207" s="142">
        <v>510</v>
      </c>
      <c r="J5207" s="142">
        <v>302</v>
      </c>
      <c r="K5207" s="142">
        <v>0</v>
      </c>
      <c r="L5207" s="142">
        <v>62</v>
      </c>
      <c r="M5207" s="142">
        <v>146</v>
      </c>
    </row>
    <row r="5208" spans="1:13" x14ac:dyDescent="0.45">
      <c r="A5208" s="142" t="s">
        <v>13021</v>
      </c>
      <c r="B5208" s="142" t="s">
        <v>15501</v>
      </c>
      <c r="C5208" s="142" t="s">
        <v>15847</v>
      </c>
      <c r="D5208" s="142" t="s">
        <v>15848</v>
      </c>
      <c r="E5208" s="142" t="s">
        <v>15849</v>
      </c>
      <c r="F5208" s="142" t="s">
        <v>6580</v>
      </c>
      <c r="G5208" s="142" t="s">
        <v>6579</v>
      </c>
      <c r="H5208" s="142" t="s">
        <v>21058</v>
      </c>
      <c r="I5208" s="142">
        <v>7</v>
      </c>
      <c r="J5208" s="142">
        <v>0</v>
      </c>
      <c r="K5208" s="142">
        <v>0</v>
      </c>
      <c r="L5208" s="142">
        <v>7</v>
      </c>
      <c r="M5208" s="142">
        <v>0</v>
      </c>
    </row>
    <row r="5209" spans="1:13" x14ac:dyDescent="0.45">
      <c r="A5209" s="142" t="s">
        <v>13022</v>
      </c>
      <c r="B5209" s="142" t="s">
        <v>14634</v>
      </c>
      <c r="C5209" s="142" t="s">
        <v>15847</v>
      </c>
      <c r="D5209" s="142" t="s">
        <v>15848</v>
      </c>
      <c r="E5209" s="142" t="s">
        <v>15849</v>
      </c>
      <c r="F5209" s="142" t="s">
        <v>6580</v>
      </c>
      <c r="G5209" s="142" t="s">
        <v>6579</v>
      </c>
      <c r="H5209" s="142" t="s">
        <v>21059</v>
      </c>
      <c r="I5209" s="142">
        <v>50</v>
      </c>
      <c r="J5209" s="142">
        <v>27</v>
      </c>
      <c r="K5209" s="142">
        <v>0</v>
      </c>
      <c r="L5209" s="142">
        <v>0</v>
      </c>
      <c r="M5209" s="142">
        <v>23</v>
      </c>
    </row>
    <row r="5210" spans="1:13" x14ac:dyDescent="0.45">
      <c r="A5210" s="142" t="s">
        <v>13024</v>
      </c>
      <c r="B5210" s="142" t="s">
        <v>14538</v>
      </c>
      <c r="C5210" s="142" t="s">
        <v>15847</v>
      </c>
      <c r="D5210" s="142" t="s">
        <v>15848</v>
      </c>
      <c r="E5210" s="142" t="s">
        <v>15849</v>
      </c>
      <c r="F5210" s="142" t="s">
        <v>6580</v>
      </c>
      <c r="G5210" s="142" t="s">
        <v>6579</v>
      </c>
      <c r="H5210" s="142" t="s">
        <v>21060</v>
      </c>
      <c r="I5210" s="142">
        <v>312</v>
      </c>
      <c r="J5210" s="142">
        <v>196</v>
      </c>
      <c r="K5210" s="142">
        <v>0</v>
      </c>
      <c r="L5210" s="142">
        <v>28</v>
      </c>
      <c r="M5210" s="142">
        <v>88</v>
      </c>
    </row>
    <row r="5211" spans="1:13" x14ac:dyDescent="0.45">
      <c r="A5211" s="142" t="s">
        <v>13074</v>
      </c>
      <c r="B5211" s="142" t="s">
        <v>15405</v>
      </c>
      <c r="C5211" s="142" t="s">
        <v>15847</v>
      </c>
      <c r="D5211" s="142" t="s">
        <v>15848</v>
      </c>
      <c r="E5211" s="142" t="s">
        <v>15849</v>
      </c>
      <c r="F5211" s="142" t="s">
        <v>6580</v>
      </c>
      <c r="G5211" s="142" t="s">
        <v>6579</v>
      </c>
      <c r="H5211" s="142" t="s">
        <v>21061</v>
      </c>
      <c r="I5211" s="142">
        <v>12</v>
      </c>
      <c r="J5211" s="142">
        <v>12</v>
      </c>
      <c r="K5211" s="142">
        <v>0</v>
      </c>
      <c r="L5211" s="142">
        <v>0</v>
      </c>
      <c r="M5211" s="142">
        <v>0</v>
      </c>
    </row>
    <row r="5212" spans="1:13" x14ac:dyDescent="0.45">
      <c r="A5212" s="142" t="s">
        <v>13049</v>
      </c>
      <c r="B5212" s="142" t="s">
        <v>14534</v>
      </c>
      <c r="C5212" s="142" t="s">
        <v>15860</v>
      </c>
      <c r="D5212" s="142" t="s">
        <v>15861</v>
      </c>
      <c r="E5212" s="142" t="s">
        <v>15849</v>
      </c>
      <c r="F5212" s="142" t="s">
        <v>6580</v>
      </c>
      <c r="G5212" s="142" t="s">
        <v>6579</v>
      </c>
      <c r="H5212" s="142" t="s">
        <v>21062</v>
      </c>
      <c r="I5212" s="142">
        <v>13</v>
      </c>
      <c r="J5212" s="142">
        <v>0</v>
      </c>
      <c r="K5212" s="142">
        <v>0</v>
      </c>
      <c r="L5212" s="142">
        <v>13</v>
      </c>
      <c r="M5212" s="142">
        <v>0</v>
      </c>
    </row>
    <row r="5213" spans="1:13" x14ac:dyDescent="0.45">
      <c r="A5213" s="142" t="s">
        <v>13027</v>
      </c>
      <c r="B5213" s="142" t="s">
        <v>14562</v>
      </c>
      <c r="C5213" s="142" t="s">
        <v>15847</v>
      </c>
      <c r="D5213" s="142" t="s">
        <v>15848</v>
      </c>
      <c r="E5213" s="142" t="s">
        <v>15849</v>
      </c>
      <c r="F5213" s="142" t="s">
        <v>6580</v>
      </c>
      <c r="G5213" s="142" t="s">
        <v>6579</v>
      </c>
      <c r="H5213" s="142" t="s">
        <v>21063</v>
      </c>
      <c r="I5213" s="142">
        <v>1</v>
      </c>
      <c r="J5213" s="142">
        <v>0</v>
      </c>
      <c r="K5213" s="142">
        <v>0</v>
      </c>
      <c r="L5213" s="142">
        <v>1</v>
      </c>
      <c r="M5213" s="142">
        <v>0</v>
      </c>
    </row>
    <row r="5214" spans="1:13" x14ac:dyDescent="0.45">
      <c r="A5214" s="142" t="s">
        <v>13028</v>
      </c>
      <c r="B5214" s="142" t="s">
        <v>14462</v>
      </c>
      <c r="C5214" s="142" t="s">
        <v>15847</v>
      </c>
      <c r="D5214" s="142" t="s">
        <v>15848</v>
      </c>
      <c r="E5214" s="142" t="s">
        <v>15849</v>
      </c>
      <c r="F5214" s="142" t="s">
        <v>6580</v>
      </c>
      <c r="G5214" s="142" t="s">
        <v>6579</v>
      </c>
      <c r="H5214" s="142" t="s">
        <v>21064</v>
      </c>
      <c r="I5214" s="142">
        <v>2</v>
      </c>
      <c r="J5214" s="142">
        <v>0</v>
      </c>
      <c r="K5214" s="142">
        <v>0</v>
      </c>
      <c r="L5214" s="142">
        <v>0</v>
      </c>
      <c r="M5214" s="142">
        <v>2</v>
      </c>
    </row>
    <row r="5215" spans="1:13" x14ac:dyDescent="0.45">
      <c r="A5215" s="142" t="s">
        <v>13003</v>
      </c>
      <c r="B5215" s="142" t="s">
        <v>15245</v>
      </c>
      <c r="C5215" s="142" t="s">
        <v>15847</v>
      </c>
      <c r="D5215" s="142" t="s">
        <v>15848</v>
      </c>
      <c r="E5215" s="142" t="s">
        <v>15849</v>
      </c>
      <c r="F5215" s="142" t="s">
        <v>6580</v>
      </c>
      <c r="G5215" s="142" t="s">
        <v>6579</v>
      </c>
      <c r="H5215" s="142" t="s">
        <v>21065</v>
      </c>
      <c r="I5215" s="142">
        <v>46</v>
      </c>
      <c r="J5215" s="142">
        <v>0</v>
      </c>
      <c r="K5215" s="142">
        <v>0</v>
      </c>
      <c r="L5215" s="142">
        <v>46</v>
      </c>
      <c r="M5215" s="142">
        <v>0</v>
      </c>
    </row>
    <row r="5216" spans="1:13" x14ac:dyDescent="0.45">
      <c r="A5216" s="142" t="s">
        <v>13076</v>
      </c>
      <c r="B5216" s="142" t="s">
        <v>14636</v>
      </c>
      <c r="C5216" s="142" t="s">
        <v>15847</v>
      </c>
      <c r="D5216" s="142" t="s">
        <v>15848</v>
      </c>
      <c r="E5216" s="142" t="s">
        <v>15849</v>
      </c>
      <c r="F5216" s="142" t="s">
        <v>6580</v>
      </c>
      <c r="G5216" s="142" t="s">
        <v>6579</v>
      </c>
      <c r="H5216" s="142" t="s">
        <v>21066</v>
      </c>
      <c r="I5216" s="142">
        <v>15</v>
      </c>
      <c r="J5216" s="142">
        <v>2</v>
      </c>
      <c r="K5216" s="142">
        <v>0</v>
      </c>
      <c r="L5216" s="142">
        <v>0</v>
      </c>
      <c r="M5216" s="142">
        <v>13</v>
      </c>
    </row>
    <row r="5217" spans="1:13" x14ac:dyDescent="0.45">
      <c r="A5217" s="142" t="s">
        <v>13331</v>
      </c>
      <c r="B5217" s="142" t="s">
        <v>14682</v>
      </c>
      <c r="C5217" s="142" t="s">
        <v>15860</v>
      </c>
      <c r="D5217" s="142" t="s">
        <v>15861</v>
      </c>
      <c r="E5217" s="142" t="s">
        <v>15849</v>
      </c>
      <c r="F5217" s="142" t="s">
        <v>6580</v>
      </c>
      <c r="G5217" s="142" t="s">
        <v>6579</v>
      </c>
      <c r="H5217" s="142" t="s">
        <v>21067</v>
      </c>
      <c r="I5217" s="142">
        <v>13</v>
      </c>
      <c r="J5217" s="142">
        <v>13</v>
      </c>
      <c r="K5217" s="142">
        <v>0</v>
      </c>
      <c r="L5217" s="142">
        <v>0</v>
      </c>
      <c r="M5217" s="142">
        <v>0</v>
      </c>
    </row>
    <row r="5218" spans="1:13" x14ac:dyDescent="0.45">
      <c r="A5218" s="142" t="s">
        <v>13029</v>
      </c>
      <c r="B5218" s="142" t="s">
        <v>14665</v>
      </c>
      <c r="C5218" s="142" t="s">
        <v>15847</v>
      </c>
      <c r="D5218" s="142" t="s">
        <v>15848</v>
      </c>
      <c r="E5218" s="142" t="s">
        <v>15849</v>
      </c>
      <c r="F5218" s="142" t="s">
        <v>6580</v>
      </c>
      <c r="G5218" s="142" t="s">
        <v>6579</v>
      </c>
      <c r="H5218" s="142" t="s">
        <v>21068</v>
      </c>
      <c r="I5218" s="142">
        <v>8</v>
      </c>
      <c r="J5218" s="142">
        <v>0</v>
      </c>
      <c r="K5218" s="142">
        <v>0</v>
      </c>
      <c r="L5218" s="142">
        <v>0</v>
      </c>
      <c r="M5218" s="142">
        <v>8</v>
      </c>
    </row>
    <row r="5219" spans="1:13" x14ac:dyDescent="0.45">
      <c r="A5219" s="142" t="s">
        <v>13284</v>
      </c>
      <c r="B5219" s="142" t="s">
        <v>15364</v>
      </c>
      <c r="C5219" s="142" t="s">
        <v>15847</v>
      </c>
      <c r="D5219" s="142" t="s">
        <v>15848</v>
      </c>
      <c r="E5219" s="142" t="s">
        <v>15849</v>
      </c>
      <c r="F5219" s="142" t="s">
        <v>6580</v>
      </c>
      <c r="G5219" s="142" t="s">
        <v>6579</v>
      </c>
      <c r="H5219" s="142" t="s">
        <v>21069</v>
      </c>
      <c r="I5219" s="142">
        <v>61</v>
      </c>
      <c r="J5219" s="142">
        <v>61</v>
      </c>
      <c r="K5219" s="142">
        <v>0</v>
      </c>
      <c r="L5219" s="142">
        <v>0</v>
      </c>
      <c r="M5219" s="142">
        <v>0</v>
      </c>
    </row>
    <row r="5220" spans="1:13" x14ac:dyDescent="0.45">
      <c r="A5220" s="142" t="s">
        <v>13030</v>
      </c>
      <c r="B5220" s="142" t="s">
        <v>14572</v>
      </c>
      <c r="C5220" s="142" t="s">
        <v>15847</v>
      </c>
      <c r="D5220" s="142" t="s">
        <v>15848</v>
      </c>
      <c r="E5220" s="142" t="s">
        <v>15849</v>
      </c>
      <c r="F5220" s="142" t="s">
        <v>6580</v>
      </c>
      <c r="G5220" s="142" t="s">
        <v>6579</v>
      </c>
      <c r="H5220" s="142" t="s">
        <v>21070</v>
      </c>
      <c r="I5220" s="142">
        <v>258</v>
      </c>
      <c r="J5220" s="142">
        <v>184</v>
      </c>
      <c r="K5220" s="142">
        <v>0</v>
      </c>
      <c r="L5220" s="142">
        <v>22</v>
      </c>
      <c r="M5220" s="142">
        <v>52</v>
      </c>
    </row>
    <row r="5221" spans="1:13" x14ac:dyDescent="0.45">
      <c r="A5221" s="142" t="s">
        <v>13055</v>
      </c>
      <c r="B5221" s="142" t="s">
        <v>14595</v>
      </c>
      <c r="C5221" s="142" t="s">
        <v>15847</v>
      </c>
      <c r="D5221" s="142" t="s">
        <v>15848</v>
      </c>
      <c r="E5221" s="142" t="s">
        <v>15849</v>
      </c>
      <c r="F5221" s="142" t="s">
        <v>6580</v>
      </c>
      <c r="G5221" s="142" t="s">
        <v>6579</v>
      </c>
      <c r="H5221" s="142" t="s">
        <v>21071</v>
      </c>
      <c r="I5221" s="142">
        <v>122</v>
      </c>
      <c r="J5221" s="142">
        <v>54</v>
      </c>
      <c r="K5221" s="142">
        <v>0</v>
      </c>
      <c r="L5221" s="142">
        <v>39</v>
      </c>
      <c r="M5221" s="142">
        <v>29</v>
      </c>
    </row>
    <row r="5222" spans="1:13" x14ac:dyDescent="0.45">
      <c r="A5222" s="142" t="s">
        <v>13034</v>
      </c>
      <c r="B5222" s="142" t="s">
        <v>15562</v>
      </c>
      <c r="C5222" s="142" t="s">
        <v>15847</v>
      </c>
      <c r="D5222" s="142" t="s">
        <v>15848</v>
      </c>
      <c r="E5222" s="142" t="s">
        <v>15849</v>
      </c>
      <c r="F5222" s="142" t="s">
        <v>6580</v>
      </c>
      <c r="G5222" s="142" t="s">
        <v>6579</v>
      </c>
      <c r="H5222" s="142" t="s">
        <v>21072</v>
      </c>
      <c r="I5222" s="142">
        <v>11</v>
      </c>
      <c r="J5222" s="142">
        <v>11</v>
      </c>
      <c r="K5222" s="142">
        <v>0</v>
      </c>
      <c r="L5222" s="142">
        <v>0</v>
      </c>
      <c r="M5222" s="142">
        <v>0</v>
      </c>
    </row>
    <row r="5223" spans="1:13" x14ac:dyDescent="0.45">
      <c r="A5223" s="142" t="s">
        <v>13035</v>
      </c>
      <c r="B5223" s="142" t="s">
        <v>14648</v>
      </c>
      <c r="C5223" s="142" t="s">
        <v>15847</v>
      </c>
      <c r="D5223" s="142" t="s">
        <v>15848</v>
      </c>
      <c r="E5223" s="142" t="s">
        <v>15849</v>
      </c>
      <c r="F5223" s="142" t="s">
        <v>6580</v>
      </c>
      <c r="G5223" s="142" t="s">
        <v>6579</v>
      </c>
      <c r="H5223" s="142" t="s">
        <v>21073</v>
      </c>
      <c r="I5223" s="142">
        <v>227</v>
      </c>
      <c r="J5223" s="142">
        <v>151</v>
      </c>
      <c r="K5223" s="142">
        <v>0</v>
      </c>
      <c r="L5223" s="142">
        <v>0</v>
      </c>
      <c r="M5223" s="142">
        <v>76</v>
      </c>
    </row>
    <row r="5224" spans="1:13" x14ac:dyDescent="0.45">
      <c r="A5224" s="142" t="s">
        <v>13036</v>
      </c>
      <c r="B5224" s="142" t="s">
        <v>15567</v>
      </c>
      <c r="C5224" s="142" t="s">
        <v>15847</v>
      </c>
      <c r="D5224" s="142" t="s">
        <v>15848</v>
      </c>
      <c r="E5224" s="142" t="s">
        <v>15849</v>
      </c>
      <c r="F5224" s="142" t="s">
        <v>6580</v>
      </c>
      <c r="G5224" s="142" t="s">
        <v>6579</v>
      </c>
      <c r="H5224" s="142" t="s">
        <v>21074</v>
      </c>
      <c r="I5224" s="142">
        <v>4</v>
      </c>
      <c r="J5224" s="142">
        <v>0</v>
      </c>
      <c r="K5224" s="142">
        <v>0</v>
      </c>
      <c r="L5224" s="142">
        <v>4</v>
      </c>
      <c r="M5224" s="142">
        <v>0</v>
      </c>
    </row>
    <row r="5225" spans="1:13" x14ac:dyDescent="0.45">
      <c r="A5225" s="142" t="s">
        <v>13012</v>
      </c>
      <c r="B5225" s="142" t="s">
        <v>15337</v>
      </c>
      <c r="C5225" s="142" t="s">
        <v>15847</v>
      </c>
      <c r="D5225" s="142" t="s">
        <v>15848</v>
      </c>
      <c r="E5225" s="142" t="s">
        <v>15849</v>
      </c>
      <c r="F5225" s="142" t="s">
        <v>6580</v>
      </c>
      <c r="G5225" s="142" t="s">
        <v>6579</v>
      </c>
      <c r="H5225" s="142" t="s">
        <v>21075</v>
      </c>
      <c r="I5225" s="142">
        <v>54</v>
      </c>
      <c r="J5225" s="142">
        <v>54</v>
      </c>
      <c r="K5225" s="142">
        <v>0</v>
      </c>
      <c r="L5225" s="142">
        <v>0</v>
      </c>
      <c r="M5225" s="142">
        <v>0</v>
      </c>
    </row>
    <row r="5226" spans="1:13" x14ac:dyDescent="0.45">
      <c r="A5226" s="142" t="s">
        <v>13042</v>
      </c>
      <c r="B5226" s="142" t="s">
        <v>15489</v>
      </c>
      <c r="C5226" s="142" t="s">
        <v>15847</v>
      </c>
      <c r="D5226" s="142" t="s">
        <v>15848</v>
      </c>
      <c r="E5226" s="142" t="s">
        <v>15849</v>
      </c>
      <c r="F5226" s="142" t="s">
        <v>6580</v>
      </c>
      <c r="G5226" s="142" t="s">
        <v>6579</v>
      </c>
      <c r="H5226" s="142" t="s">
        <v>21076</v>
      </c>
      <c r="I5226" s="142">
        <v>93</v>
      </c>
      <c r="J5226" s="142">
        <v>54</v>
      </c>
      <c r="K5226" s="142">
        <v>0</v>
      </c>
      <c r="L5226" s="142">
        <v>0</v>
      </c>
      <c r="M5226" s="142">
        <v>39</v>
      </c>
    </row>
    <row r="5227" spans="1:13" x14ac:dyDescent="0.45">
      <c r="A5227" s="142" t="s">
        <v>13046</v>
      </c>
      <c r="B5227" s="142" t="s">
        <v>15537</v>
      </c>
      <c r="C5227" s="142" t="s">
        <v>15860</v>
      </c>
      <c r="D5227" s="142" t="s">
        <v>15861</v>
      </c>
      <c r="E5227" s="142" t="s">
        <v>15849</v>
      </c>
      <c r="F5227" s="142" t="s">
        <v>12156</v>
      </c>
      <c r="G5227" s="142" t="s">
        <v>12155</v>
      </c>
      <c r="H5227" s="142" t="s">
        <v>21077</v>
      </c>
      <c r="I5227" s="142">
        <v>78</v>
      </c>
      <c r="J5227" s="142">
        <v>0</v>
      </c>
      <c r="K5227" s="142">
        <v>0</v>
      </c>
      <c r="L5227" s="142">
        <v>78</v>
      </c>
      <c r="M5227" s="142">
        <v>0</v>
      </c>
    </row>
    <row r="5228" spans="1:13" x14ac:dyDescent="0.45">
      <c r="A5228" s="142" t="s">
        <v>13021</v>
      </c>
      <c r="B5228" s="142" t="s">
        <v>15501</v>
      </c>
      <c r="C5228" s="142" t="s">
        <v>15847</v>
      </c>
      <c r="D5228" s="142" t="s">
        <v>15848</v>
      </c>
      <c r="E5228" s="142" t="s">
        <v>15849</v>
      </c>
      <c r="F5228" s="142" t="s">
        <v>12156</v>
      </c>
      <c r="G5228" s="142" t="s">
        <v>12155</v>
      </c>
      <c r="H5228" s="142" t="s">
        <v>21078</v>
      </c>
      <c r="I5228" s="142">
        <v>6</v>
      </c>
      <c r="J5228" s="142">
        <v>0</v>
      </c>
      <c r="K5228" s="142">
        <v>0</v>
      </c>
      <c r="L5228" s="142">
        <v>6</v>
      </c>
      <c r="M5228" s="142">
        <v>0</v>
      </c>
    </row>
    <row r="5229" spans="1:13" x14ac:dyDescent="0.45">
      <c r="A5229" s="142" t="s">
        <v>13023</v>
      </c>
      <c r="B5229" s="142" t="s">
        <v>15571</v>
      </c>
      <c r="C5229" s="142" t="s">
        <v>15847</v>
      </c>
      <c r="D5229" s="142" t="s">
        <v>15848</v>
      </c>
      <c r="E5229" s="142" t="s">
        <v>15849</v>
      </c>
      <c r="F5229" s="142" t="s">
        <v>12156</v>
      </c>
      <c r="G5229" s="142" t="s">
        <v>12155</v>
      </c>
      <c r="H5229" s="142" t="s">
        <v>21079</v>
      </c>
      <c r="I5229" s="142">
        <v>323</v>
      </c>
      <c r="J5229" s="142">
        <v>0</v>
      </c>
      <c r="K5229" s="142">
        <v>0</v>
      </c>
      <c r="L5229" s="142">
        <v>323</v>
      </c>
      <c r="M5229" s="142">
        <v>0</v>
      </c>
    </row>
    <row r="5230" spans="1:13" x14ac:dyDescent="0.45">
      <c r="A5230" s="142" t="s">
        <v>13433</v>
      </c>
      <c r="B5230" s="142" t="s">
        <v>15167</v>
      </c>
      <c r="C5230" s="142" t="s">
        <v>15847</v>
      </c>
      <c r="D5230" s="142" t="s">
        <v>15848</v>
      </c>
      <c r="E5230" s="142" t="s">
        <v>15849</v>
      </c>
      <c r="F5230" s="142" t="s">
        <v>12156</v>
      </c>
      <c r="G5230" s="142" t="s">
        <v>12155</v>
      </c>
      <c r="H5230" s="142" t="s">
        <v>21080</v>
      </c>
      <c r="I5230" s="142">
        <v>71</v>
      </c>
      <c r="J5230" s="142">
        <v>4</v>
      </c>
      <c r="K5230" s="142">
        <v>0</v>
      </c>
      <c r="L5230" s="142">
        <v>47</v>
      </c>
      <c r="M5230" s="142">
        <v>20</v>
      </c>
    </row>
    <row r="5231" spans="1:13" x14ac:dyDescent="0.45">
      <c r="A5231" s="142" t="s">
        <v>13210</v>
      </c>
      <c r="B5231" s="142" t="s">
        <v>14446</v>
      </c>
      <c r="C5231" s="142" t="s">
        <v>15860</v>
      </c>
      <c r="D5231" s="142" t="s">
        <v>15861</v>
      </c>
      <c r="E5231" s="142" t="s">
        <v>15849</v>
      </c>
      <c r="F5231" s="142" t="s">
        <v>12156</v>
      </c>
      <c r="G5231" s="142" t="s">
        <v>12155</v>
      </c>
      <c r="H5231" s="142" t="s">
        <v>21081</v>
      </c>
      <c r="I5231" s="142">
        <v>22</v>
      </c>
      <c r="J5231" s="142">
        <v>0</v>
      </c>
      <c r="K5231" s="142">
        <v>22</v>
      </c>
      <c r="L5231" s="142">
        <v>0</v>
      </c>
      <c r="M5231" s="142">
        <v>0</v>
      </c>
    </row>
    <row r="5232" spans="1:13" x14ac:dyDescent="0.45">
      <c r="A5232" s="142" t="s">
        <v>13000</v>
      </c>
      <c r="B5232" s="142" t="s">
        <v>14610</v>
      </c>
      <c r="C5232" s="142" t="s">
        <v>15847</v>
      </c>
      <c r="D5232" s="142" t="s">
        <v>15848</v>
      </c>
      <c r="E5232" s="142" t="s">
        <v>15849</v>
      </c>
      <c r="F5232" s="142" t="s">
        <v>12156</v>
      </c>
      <c r="G5232" s="142" t="s">
        <v>12155</v>
      </c>
      <c r="H5232" s="142" t="s">
        <v>21082</v>
      </c>
      <c r="I5232" s="142">
        <v>6160</v>
      </c>
      <c r="J5232" s="142">
        <v>5804</v>
      </c>
      <c r="K5232" s="142">
        <v>0</v>
      </c>
      <c r="L5232" s="142">
        <v>237</v>
      </c>
      <c r="M5232" s="142">
        <v>119</v>
      </c>
    </row>
    <row r="5233" spans="1:13" x14ac:dyDescent="0.45">
      <c r="A5233" s="142" t="s">
        <v>13098</v>
      </c>
      <c r="B5233" s="142" t="s">
        <v>14528</v>
      </c>
      <c r="C5233" s="142" t="s">
        <v>15860</v>
      </c>
      <c r="D5233" s="142" t="s">
        <v>15861</v>
      </c>
      <c r="E5233" s="142" t="s">
        <v>15849</v>
      </c>
      <c r="F5233" s="142" t="s">
        <v>12156</v>
      </c>
      <c r="G5233" s="142" t="s">
        <v>12155</v>
      </c>
      <c r="H5233" s="142" t="s">
        <v>21083</v>
      </c>
      <c r="I5233" s="142">
        <v>4</v>
      </c>
      <c r="J5233" s="142">
        <v>1</v>
      </c>
      <c r="K5233" s="142">
        <v>3</v>
      </c>
      <c r="L5233" s="142">
        <v>0</v>
      </c>
      <c r="M5233" s="142">
        <v>0</v>
      </c>
    </row>
    <row r="5234" spans="1:13" x14ac:dyDescent="0.45">
      <c r="A5234" s="142" t="s">
        <v>13120</v>
      </c>
      <c r="B5234" s="142" t="s">
        <v>14549</v>
      </c>
      <c r="C5234" s="142" t="s">
        <v>15860</v>
      </c>
      <c r="D5234" s="142" t="s">
        <v>15861</v>
      </c>
      <c r="E5234" s="142" t="s">
        <v>15849</v>
      </c>
      <c r="F5234" s="142" t="s">
        <v>12156</v>
      </c>
      <c r="G5234" s="142" t="s">
        <v>12155</v>
      </c>
      <c r="H5234" s="142" t="s">
        <v>21084</v>
      </c>
      <c r="I5234" s="142">
        <v>3</v>
      </c>
      <c r="J5234" s="142">
        <v>3</v>
      </c>
      <c r="K5234" s="142">
        <v>0</v>
      </c>
      <c r="L5234" s="142">
        <v>0</v>
      </c>
      <c r="M5234" s="142">
        <v>0</v>
      </c>
    </row>
    <row r="5235" spans="1:13" x14ac:dyDescent="0.45">
      <c r="A5235" s="142" t="s">
        <v>13384</v>
      </c>
      <c r="B5235" s="142" t="s">
        <v>15563</v>
      </c>
      <c r="C5235" s="142" t="s">
        <v>15860</v>
      </c>
      <c r="D5235" s="142" t="s">
        <v>15861</v>
      </c>
      <c r="E5235" s="142" t="s">
        <v>15849</v>
      </c>
      <c r="F5235" s="142" t="s">
        <v>12156</v>
      </c>
      <c r="G5235" s="142" t="s">
        <v>12155</v>
      </c>
      <c r="H5235" s="142" t="s">
        <v>21085</v>
      </c>
      <c r="I5235" s="142">
        <v>1</v>
      </c>
      <c r="J5235" s="142">
        <v>1</v>
      </c>
      <c r="K5235" s="142">
        <v>0</v>
      </c>
      <c r="L5235" s="142">
        <v>0</v>
      </c>
      <c r="M5235" s="142">
        <v>0</v>
      </c>
    </row>
    <row r="5236" spans="1:13" x14ac:dyDescent="0.45">
      <c r="A5236" s="142" t="s">
        <v>13002</v>
      </c>
      <c r="B5236" s="142" t="s">
        <v>15376</v>
      </c>
      <c r="C5236" s="142" t="s">
        <v>15847</v>
      </c>
      <c r="D5236" s="142" t="s">
        <v>15848</v>
      </c>
      <c r="E5236" s="142" t="s">
        <v>15849</v>
      </c>
      <c r="F5236" s="142" t="s">
        <v>12156</v>
      </c>
      <c r="G5236" s="142" t="s">
        <v>12155</v>
      </c>
      <c r="H5236" s="142" t="s">
        <v>21086</v>
      </c>
      <c r="I5236" s="142">
        <v>16</v>
      </c>
      <c r="J5236" s="142">
        <v>16</v>
      </c>
      <c r="K5236" s="142">
        <v>0</v>
      </c>
      <c r="L5236" s="142">
        <v>0</v>
      </c>
      <c r="M5236" s="142">
        <v>0</v>
      </c>
    </row>
    <row r="5237" spans="1:13" x14ac:dyDescent="0.45">
      <c r="A5237" s="142" t="s">
        <v>13003</v>
      </c>
      <c r="B5237" s="142" t="s">
        <v>15245</v>
      </c>
      <c r="C5237" s="142" t="s">
        <v>15847</v>
      </c>
      <c r="D5237" s="142" t="s">
        <v>15848</v>
      </c>
      <c r="E5237" s="142" t="s">
        <v>15849</v>
      </c>
      <c r="F5237" s="142" t="s">
        <v>12156</v>
      </c>
      <c r="G5237" s="142" t="s">
        <v>12155</v>
      </c>
      <c r="H5237" s="142" t="s">
        <v>21087</v>
      </c>
      <c r="I5237" s="142">
        <v>33</v>
      </c>
      <c r="J5237" s="142">
        <v>0</v>
      </c>
      <c r="K5237" s="142">
        <v>0</v>
      </c>
      <c r="L5237" s="142">
        <v>23</v>
      </c>
      <c r="M5237" s="142">
        <v>10</v>
      </c>
    </row>
    <row r="5238" spans="1:13" x14ac:dyDescent="0.45">
      <c r="A5238" s="142" t="s">
        <v>13004</v>
      </c>
      <c r="B5238" s="142" t="s">
        <v>15492</v>
      </c>
      <c r="C5238" s="142" t="s">
        <v>15847</v>
      </c>
      <c r="D5238" s="142" t="s">
        <v>15848</v>
      </c>
      <c r="E5238" s="142" t="s">
        <v>15849</v>
      </c>
      <c r="F5238" s="142" t="s">
        <v>12156</v>
      </c>
      <c r="G5238" s="142" t="s">
        <v>12155</v>
      </c>
      <c r="H5238" s="142" t="s">
        <v>21088</v>
      </c>
      <c r="I5238" s="142">
        <v>5</v>
      </c>
      <c r="J5238" s="142">
        <v>5</v>
      </c>
      <c r="K5238" s="142">
        <v>0</v>
      </c>
      <c r="L5238" s="142">
        <v>0</v>
      </c>
      <c r="M5238" s="142">
        <v>0</v>
      </c>
    </row>
    <row r="5239" spans="1:13" x14ac:dyDescent="0.45">
      <c r="A5239" s="142" t="s">
        <v>13671</v>
      </c>
      <c r="B5239" s="142" t="s">
        <v>15293</v>
      </c>
      <c r="C5239" s="142" t="s">
        <v>15860</v>
      </c>
      <c r="D5239" s="142" t="s">
        <v>15861</v>
      </c>
      <c r="E5239" s="142" t="s">
        <v>15849</v>
      </c>
      <c r="F5239" s="142" t="s">
        <v>12156</v>
      </c>
      <c r="G5239" s="142" t="s">
        <v>12155</v>
      </c>
      <c r="H5239" s="142" t="s">
        <v>21089</v>
      </c>
      <c r="I5239" s="142">
        <v>59</v>
      </c>
      <c r="J5239" s="142">
        <v>0</v>
      </c>
      <c r="K5239" s="142">
        <v>0</v>
      </c>
      <c r="L5239" s="142">
        <v>59</v>
      </c>
      <c r="M5239" s="142">
        <v>0</v>
      </c>
    </row>
    <row r="5240" spans="1:13" x14ac:dyDescent="0.45">
      <c r="A5240" s="142" t="s">
        <v>13005</v>
      </c>
      <c r="B5240" s="142" t="s">
        <v>15475</v>
      </c>
      <c r="C5240" s="142" t="s">
        <v>15847</v>
      </c>
      <c r="D5240" s="142" t="s">
        <v>15848</v>
      </c>
      <c r="E5240" s="142" t="s">
        <v>15849</v>
      </c>
      <c r="F5240" s="142" t="s">
        <v>12156</v>
      </c>
      <c r="G5240" s="142" t="s">
        <v>12155</v>
      </c>
      <c r="H5240" s="142" t="s">
        <v>21090</v>
      </c>
      <c r="I5240" s="142">
        <v>1068</v>
      </c>
      <c r="J5240" s="142">
        <v>856</v>
      </c>
      <c r="K5240" s="142">
        <v>0</v>
      </c>
      <c r="L5240" s="142">
        <v>0</v>
      </c>
      <c r="M5240" s="142">
        <v>212</v>
      </c>
    </row>
    <row r="5241" spans="1:13" x14ac:dyDescent="0.45">
      <c r="A5241" s="142" t="s">
        <v>13663</v>
      </c>
      <c r="B5241" s="142" t="s">
        <v>14637</v>
      </c>
      <c r="C5241" s="142" t="s">
        <v>15860</v>
      </c>
      <c r="D5241" s="142" t="s">
        <v>15861</v>
      </c>
      <c r="E5241" s="142" t="s">
        <v>15849</v>
      </c>
      <c r="F5241" s="142" t="s">
        <v>12156</v>
      </c>
      <c r="G5241" s="142" t="s">
        <v>12155</v>
      </c>
      <c r="H5241" s="142" t="s">
        <v>21091</v>
      </c>
      <c r="I5241" s="142">
        <v>34</v>
      </c>
      <c r="J5241" s="142">
        <v>34</v>
      </c>
      <c r="K5241" s="142">
        <v>0</v>
      </c>
      <c r="L5241" s="142">
        <v>0</v>
      </c>
      <c r="M5241" s="142">
        <v>0</v>
      </c>
    </row>
    <row r="5242" spans="1:13" x14ac:dyDescent="0.45">
      <c r="A5242" s="142" t="s">
        <v>13006</v>
      </c>
      <c r="B5242" s="142" t="s">
        <v>15288</v>
      </c>
      <c r="C5242" s="142" t="s">
        <v>15847</v>
      </c>
      <c r="D5242" s="142" t="s">
        <v>15848</v>
      </c>
      <c r="E5242" s="142" t="s">
        <v>15849</v>
      </c>
      <c r="F5242" s="142" t="s">
        <v>12156</v>
      </c>
      <c r="G5242" s="142" t="s">
        <v>12155</v>
      </c>
      <c r="H5242" s="142" t="s">
        <v>21092</v>
      </c>
      <c r="I5242" s="142">
        <v>184</v>
      </c>
      <c r="J5242" s="142">
        <v>89</v>
      </c>
      <c r="K5242" s="142">
        <v>0</v>
      </c>
      <c r="L5242" s="142">
        <v>16</v>
      </c>
      <c r="M5242" s="142">
        <v>79</v>
      </c>
    </row>
    <row r="5243" spans="1:13" x14ac:dyDescent="0.45">
      <c r="A5243" s="142" t="s">
        <v>13827</v>
      </c>
      <c r="B5243" s="142" t="s">
        <v>15402</v>
      </c>
      <c r="C5243" s="142" t="s">
        <v>15860</v>
      </c>
      <c r="D5243" s="142" t="s">
        <v>15861</v>
      </c>
      <c r="E5243" s="142" t="s">
        <v>15849</v>
      </c>
      <c r="F5243" s="142" t="s">
        <v>12156</v>
      </c>
      <c r="G5243" s="142" t="s">
        <v>12155</v>
      </c>
      <c r="H5243" s="142" t="s">
        <v>21093</v>
      </c>
      <c r="I5243" s="142">
        <v>51</v>
      </c>
      <c r="J5243" s="142">
        <v>35</v>
      </c>
      <c r="K5243" s="142">
        <v>0</v>
      </c>
      <c r="L5243" s="142">
        <v>16</v>
      </c>
      <c r="M5243" s="142">
        <v>0</v>
      </c>
    </row>
    <row r="5244" spans="1:13" x14ac:dyDescent="0.45">
      <c r="A5244" s="142" t="s">
        <v>13007</v>
      </c>
      <c r="B5244" s="142" t="s">
        <v>15262</v>
      </c>
      <c r="C5244" s="142" t="s">
        <v>15847</v>
      </c>
      <c r="D5244" s="142" t="s">
        <v>15848</v>
      </c>
      <c r="E5244" s="142" t="s">
        <v>15849</v>
      </c>
      <c r="F5244" s="142" t="s">
        <v>12156</v>
      </c>
      <c r="G5244" s="142" t="s">
        <v>12155</v>
      </c>
      <c r="H5244" s="142" t="s">
        <v>21094</v>
      </c>
      <c r="I5244" s="142">
        <v>938</v>
      </c>
      <c r="J5244" s="142">
        <v>924</v>
      </c>
      <c r="K5244" s="142">
        <v>0</v>
      </c>
      <c r="L5244" s="142">
        <v>0</v>
      </c>
      <c r="M5244" s="142">
        <v>14</v>
      </c>
    </row>
    <row r="5245" spans="1:13" x14ac:dyDescent="0.45">
      <c r="A5245" s="142" t="s">
        <v>13103</v>
      </c>
      <c r="B5245" s="142" t="s">
        <v>14623</v>
      </c>
      <c r="C5245" s="142" t="s">
        <v>15847</v>
      </c>
      <c r="D5245" s="142" t="s">
        <v>15848</v>
      </c>
      <c r="E5245" s="142" t="s">
        <v>15849</v>
      </c>
      <c r="F5245" s="142" t="s">
        <v>12156</v>
      </c>
      <c r="G5245" s="142" t="s">
        <v>12155</v>
      </c>
      <c r="H5245" s="142" t="s">
        <v>21095</v>
      </c>
      <c r="I5245" s="142">
        <v>285</v>
      </c>
      <c r="J5245" s="142">
        <v>254</v>
      </c>
      <c r="K5245" s="142">
        <v>0</v>
      </c>
      <c r="L5245" s="142">
        <v>25</v>
      </c>
      <c r="M5245" s="142">
        <v>6</v>
      </c>
    </row>
    <row r="5246" spans="1:13" x14ac:dyDescent="0.45">
      <c r="A5246" s="142" t="s">
        <v>13054</v>
      </c>
      <c r="B5246" s="142" t="s">
        <v>15604</v>
      </c>
      <c r="C5246" s="142" t="s">
        <v>15847</v>
      </c>
      <c r="D5246" s="142" t="s">
        <v>15848</v>
      </c>
      <c r="E5246" s="142" t="s">
        <v>15849</v>
      </c>
      <c r="F5246" s="142" t="s">
        <v>12156</v>
      </c>
      <c r="G5246" s="142" t="s">
        <v>12155</v>
      </c>
      <c r="H5246" s="142" t="s">
        <v>21096</v>
      </c>
      <c r="I5246" s="142">
        <v>119</v>
      </c>
      <c r="J5246" s="142">
        <v>0</v>
      </c>
      <c r="K5246" s="142">
        <v>0</v>
      </c>
      <c r="L5246" s="142">
        <v>0</v>
      </c>
      <c r="M5246" s="142">
        <v>119</v>
      </c>
    </row>
    <row r="5247" spans="1:13" x14ac:dyDescent="0.45">
      <c r="A5247" s="142" t="s">
        <v>13008</v>
      </c>
      <c r="B5247" s="142" t="s">
        <v>15411</v>
      </c>
      <c r="C5247" s="142" t="s">
        <v>15847</v>
      </c>
      <c r="D5247" s="142" t="s">
        <v>15848</v>
      </c>
      <c r="E5247" s="142" t="s">
        <v>15849</v>
      </c>
      <c r="F5247" s="142" t="s">
        <v>12156</v>
      </c>
      <c r="G5247" s="142" t="s">
        <v>12155</v>
      </c>
      <c r="H5247" s="142" t="s">
        <v>21097</v>
      </c>
      <c r="I5247" s="142">
        <v>2</v>
      </c>
      <c r="J5247" s="142">
        <v>0</v>
      </c>
      <c r="K5247" s="142">
        <v>0</v>
      </c>
      <c r="L5247" s="142">
        <v>0</v>
      </c>
      <c r="M5247" s="142">
        <v>2</v>
      </c>
    </row>
    <row r="5248" spans="1:13" x14ac:dyDescent="0.45">
      <c r="A5248" s="142" t="s">
        <v>13133</v>
      </c>
      <c r="B5248" s="142" t="s">
        <v>15291</v>
      </c>
      <c r="C5248" s="142" t="s">
        <v>15847</v>
      </c>
      <c r="D5248" s="142" t="s">
        <v>15848</v>
      </c>
      <c r="E5248" s="142" t="s">
        <v>15849</v>
      </c>
      <c r="F5248" s="142" t="s">
        <v>12156</v>
      </c>
      <c r="G5248" s="142" t="s">
        <v>12155</v>
      </c>
      <c r="H5248" s="142" t="s">
        <v>21098</v>
      </c>
      <c r="I5248" s="142">
        <v>1</v>
      </c>
      <c r="J5248" s="142">
        <v>0</v>
      </c>
      <c r="K5248" s="142">
        <v>0</v>
      </c>
      <c r="L5248" s="142">
        <v>0</v>
      </c>
      <c r="M5248" s="142">
        <v>1</v>
      </c>
    </row>
    <row r="5249" spans="1:13" x14ac:dyDescent="0.45">
      <c r="A5249" s="142" t="s">
        <v>13055</v>
      </c>
      <c r="B5249" s="142" t="s">
        <v>14595</v>
      </c>
      <c r="C5249" s="142" t="s">
        <v>15847</v>
      </c>
      <c r="D5249" s="142" t="s">
        <v>15848</v>
      </c>
      <c r="E5249" s="142" t="s">
        <v>15849</v>
      </c>
      <c r="F5249" s="142" t="s">
        <v>12156</v>
      </c>
      <c r="G5249" s="142" t="s">
        <v>12155</v>
      </c>
      <c r="H5249" s="142" t="s">
        <v>21099</v>
      </c>
      <c r="I5249" s="142">
        <v>91</v>
      </c>
      <c r="J5249" s="142">
        <v>38</v>
      </c>
      <c r="K5249" s="142">
        <v>0</v>
      </c>
      <c r="L5249" s="142">
        <v>0</v>
      </c>
      <c r="M5249" s="142">
        <v>53</v>
      </c>
    </row>
    <row r="5250" spans="1:13" x14ac:dyDescent="0.45">
      <c r="A5250" s="142" t="s">
        <v>13104</v>
      </c>
      <c r="B5250" s="142" t="s">
        <v>14622</v>
      </c>
      <c r="C5250" s="142" t="s">
        <v>15847</v>
      </c>
      <c r="D5250" s="142" t="s">
        <v>15848</v>
      </c>
      <c r="E5250" s="142" t="s">
        <v>15849</v>
      </c>
      <c r="F5250" s="142" t="s">
        <v>12156</v>
      </c>
      <c r="G5250" s="142" t="s">
        <v>12155</v>
      </c>
      <c r="H5250" s="142" t="s">
        <v>21100</v>
      </c>
      <c r="I5250" s="142">
        <v>418</v>
      </c>
      <c r="J5250" s="142">
        <v>236</v>
      </c>
      <c r="K5250" s="142">
        <v>0</v>
      </c>
      <c r="L5250" s="142">
        <v>0</v>
      </c>
      <c r="M5250" s="142">
        <v>182</v>
      </c>
    </row>
    <row r="5251" spans="1:13" x14ac:dyDescent="0.45">
      <c r="A5251" s="142" t="s">
        <v>13218</v>
      </c>
      <c r="B5251" s="142" t="s">
        <v>15316</v>
      </c>
      <c r="C5251" s="142" t="s">
        <v>15860</v>
      </c>
      <c r="D5251" s="142" t="s">
        <v>15861</v>
      </c>
      <c r="E5251" s="142" t="s">
        <v>15849</v>
      </c>
      <c r="F5251" s="142" t="s">
        <v>12156</v>
      </c>
      <c r="G5251" s="142" t="s">
        <v>12155</v>
      </c>
      <c r="H5251" s="142" t="s">
        <v>21101</v>
      </c>
      <c r="I5251" s="142">
        <v>2</v>
      </c>
      <c r="J5251" s="142">
        <v>2</v>
      </c>
      <c r="K5251" s="142">
        <v>0</v>
      </c>
      <c r="L5251" s="142">
        <v>0</v>
      </c>
      <c r="M5251" s="142">
        <v>0</v>
      </c>
    </row>
    <row r="5252" spans="1:13" x14ac:dyDescent="0.45">
      <c r="A5252" s="142" t="s">
        <v>13033</v>
      </c>
      <c r="B5252" s="142" t="s">
        <v>15276</v>
      </c>
      <c r="C5252" s="142" t="s">
        <v>15847</v>
      </c>
      <c r="D5252" s="142" t="s">
        <v>15848</v>
      </c>
      <c r="E5252" s="142" t="s">
        <v>15849</v>
      </c>
      <c r="F5252" s="142" t="s">
        <v>12156</v>
      </c>
      <c r="G5252" s="142" t="s">
        <v>12155</v>
      </c>
      <c r="H5252" s="142" t="s">
        <v>21102</v>
      </c>
      <c r="I5252" s="142">
        <v>1</v>
      </c>
      <c r="J5252" s="142">
        <v>1</v>
      </c>
      <c r="K5252" s="142">
        <v>0</v>
      </c>
      <c r="L5252" s="142">
        <v>0</v>
      </c>
      <c r="M5252" s="142">
        <v>0</v>
      </c>
    </row>
    <row r="5253" spans="1:13" x14ac:dyDescent="0.45">
      <c r="A5253" s="142" t="s">
        <v>13009</v>
      </c>
      <c r="B5253" s="142" t="s">
        <v>15256</v>
      </c>
      <c r="C5253" s="142" t="s">
        <v>15847</v>
      </c>
      <c r="D5253" s="142" t="s">
        <v>15848</v>
      </c>
      <c r="E5253" s="142" t="s">
        <v>15849</v>
      </c>
      <c r="F5253" s="142" t="s">
        <v>12156</v>
      </c>
      <c r="G5253" s="142" t="s">
        <v>12155</v>
      </c>
      <c r="H5253" s="142" t="s">
        <v>21103</v>
      </c>
      <c r="I5253" s="142">
        <v>111</v>
      </c>
      <c r="J5253" s="142">
        <v>36</v>
      </c>
      <c r="K5253" s="142">
        <v>0</v>
      </c>
      <c r="L5253" s="142">
        <v>75</v>
      </c>
      <c r="M5253" s="142">
        <v>0</v>
      </c>
    </row>
    <row r="5254" spans="1:13" x14ac:dyDescent="0.45">
      <c r="A5254" s="142" t="s">
        <v>13011</v>
      </c>
      <c r="B5254" s="142" t="s">
        <v>14695</v>
      </c>
      <c r="C5254" s="142" t="s">
        <v>15847</v>
      </c>
      <c r="D5254" s="142" t="s">
        <v>15848</v>
      </c>
      <c r="E5254" s="142" t="s">
        <v>15849</v>
      </c>
      <c r="F5254" s="142" t="s">
        <v>12156</v>
      </c>
      <c r="G5254" s="142" t="s">
        <v>12155</v>
      </c>
      <c r="H5254" s="142" t="s">
        <v>21104</v>
      </c>
      <c r="I5254" s="142">
        <v>570</v>
      </c>
      <c r="J5254" s="142">
        <v>463</v>
      </c>
      <c r="K5254" s="142">
        <v>0</v>
      </c>
      <c r="L5254" s="142">
        <v>25</v>
      </c>
      <c r="M5254" s="142">
        <v>82</v>
      </c>
    </row>
    <row r="5255" spans="1:13" x14ac:dyDescent="0.45">
      <c r="A5255" s="142" t="s">
        <v>13443</v>
      </c>
      <c r="B5255" s="142" t="s">
        <v>15531</v>
      </c>
      <c r="C5255" s="142" t="s">
        <v>15860</v>
      </c>
      <c r="D5255" s="142" t="s">
        <v>15861</v>
      </c>
      <c r="E5255" s="142" t="s">
        <v>15849</v>
      </c>
      <c r="F5255" s="142" t="s">
        <v>12156</v>
      </c>
      <c r="G5255" s="142" t="s">
        <v>12155</v>
      </c>
      <c r="H5255" s="142" t="s">
        <v>21105</v>
      </c>
      <c r="I5255" s="142">
        <v>4</v>
      </c>
      <c r="J5255" s="142">
        <v>4</v>
      </c>
      <c r="K5255" s="142">
        <v>0</v>
      </c>
      <c r="L5255" s="142">
        <v>0</v>
      </c>
      <c r="M5255" s="142">
        <v>0</v>
      </c>
    </row>
    <row r="5256" spans="1:13" x14ac:dyDescent="0.45">
      <c r="A5256" s="142" t="s">
        <v>13638</v>
      </c>
      <c r="B5256" s="142" t="s">
        <v>15271</v>
      </c>
      <c r="C5256" s="142" t="s">
        <v>15847</v>
      </c>
      <c r="D5256" s="142" t="s">
        <v>15848</v>
      </c>
      <c r="E5256" s="142" t="s">
        <v>15849</v>
      </c>
      <c r="F5256" s="142" t="s">
        <v>12156</v>
      </c>
      <c r="G5256" s="142" t="s">
        <v>12155</v>
      </c>
      <c r="H5256" s="142" t="s">
        <v>21106</v>
      </c>
      <c r="I5256" s="142">
        <v>114</v>
      </c>
      <c r="J5256" s="142">
        <v>82</v>
      </c>
      <c r="K5256" s="142">
        <v>0</v>
      </c>
      <c r="L5256" s="142">
        <v>0</v>
      </c>
      <c r="M5256" s="142">
        <v>32</v>
      </c>
    </row>
    <row r="5257" spans="1:13" x14ac:dyDescent="0.45">
      <c r="A5257" s="142" t="s">
        <v>13985</v>
      </c>
      <c r="B5257" s="142" t="s">
        <v>14887</v>
      </c>
      <c r="C5257" s="142" t="s">
        <v>15860</v>
      </c>
      <c r="D5257" s="142" t="s">
        <v>15861</v>
      </c>
      <c r="E5257" s="142" t="s">
        <v>15849</v>
      </c>
      <c r="F5257" s="142" t="s">
        <v>12156</v>
      </c>
      <c r="G5257" s="142" t="s">
        <v>12155</v>
      </c>
      <c r="H5257" s="142" t="s">
        <v>21107</v>
      </c>
      <c r="I5257" s="142">
        <v>8</v>
      </c>
      <c r="J5257" s="142">
        <v>8</v>
      </c>
      <c r="K5257" s="142">
        <v>0</v>
      </c>
      <c r="L5257" s="142">
        <v>0</v>
      </c>
      <c r="M5257" s="142">
        <v>0</v>
      </c>
    </row>
    <row r="5258" spans="1:13" x14ac:dyDescent="0.45">
      <c r="A5258" s="142" t="s">
        <v>13014</v>
      </c>
      <c r="B5258" s="142" t="s">
        <v>14505</v>
      </c>
      <c r="C5258" s="142" t="s">
        <v>15847</v>
      </c>
      <c r="D5258" s="142" t="s">
        <v>15848</v>
      </c>
      <c r="E5258" s="142" t="s">
        <v>15849</v>
      </c>
      <c r="F5258" s="142" t="s">
        <v>12156</v>
      </c>
      <c r="G5258" s="142" t="s">
        <v>12155</v>
      </c>
      <c r="H5258" s="142" t="s">
        <v>21108</v>
      </c>
      <c r="I5258" s="142">
        <v>1</v>
      </c>
      <c r="J5258" s="142">
        <v>0</v>
      </c>
      <c r="K5258" s="142">
        <v>0</v>
      </c>
      <c r="L5258" s="142">
        <v>0</v>
      </c>
      <c r="M5258" s="142">
        <v>1</v>
      </c>
    </row>
    <row r="5259" spans="1:13" x14ac:dyDescent="0.45">
      <c r="A5259" s="142" t="s">
        <v>13042</v>
      </c>
      <c r="B5259" s="142" t="s">
        <v>15489</v>
      </c>
      <c r="C5259" s="142" t="s">
        <v>15847</v>
      </c>
      <c r="D5259" s="142" t="s">
        <v>15848</v>
      </c>
      <c r="E5259" s="142" t="s">
        <v>15849</v>
      </c>
      <c r="F5259" s="142" t="s">
        <v>12156</v>
      </c>
      <c r="G5259" s="142" t="s">
        <v>12155</v>
      </c>
      <c r="H5259" s="142" t="s">
        <v>21109</v>
      </c>
      <c r="I5259" s="142">
        <v>103</v>
      </c>
      <c r="J5259" s="142">
        <v>102</v>
      </c>
      <c r="K5259" s="142">
        <v>0</v>
      </c>
      <c r="L5259" s="142">
        <v>1</v>
      </c>
      <c r="M5259" s="142">
        <v>0</v>
      </c>
    </row>
    <row r="5260" spans="1:13" x14ac:dyDescent="0.45">
      <c r="A5260" s="142" t="s">
        <v>13062</v>
      </c>
      <c r="B5260" s="142" t="s">
        <v>15259</v>
      </c>
      <c r="C5260" s="142" t="s">
        <v>15847</v>
      </c>
      <c r="D5260" s="142" t="s">
        <v>15848</v>
      </c>
      <c r="E5260" s="142" t="s">
        <v>15849</v>
      </c>
      <c r="F5260" s="142" t="s">
        <v>12156</v>
      </c>
      <c r="G5260" s="142" t="s">
        <v>12155</v>
      </c>
      <c r="H5260" s="142" t="s">
        <v>21110</v>
      </c>
      <c r="I5260" s="142">
        <v>1324</v>
      </c>
      <c r="J5260" s="142">
        <v>1115</v>
      </c>
      <c r="K5260" s="142">
        <v>0</v>
      </c>
      <c r="L5260" s="142">
        <v>95</v>
      </c>
      <c r="M5260" s="142">
        <v>114</v>
      </c>
    </row>
    <row r="5261" spans="1:13" x14ac:dyDescent="0.45">
      <c r="A5261" s="142" t="s">
        <v>13640</v>
      </c>
      <c r="B5261" s="142" t="s">
        <v>15570</v>
      </c>
      <c r="C5261" s="142" t="s">
        <v>15847</v>
      </c>
      <c r="D5261" s="142" t="s">
        <v>15848</v>
      </c>
      <c r="E5261" s="142" t="s">
        <v>15849</v>
      </c>
      <c r="F5261" s="142" t="s">
        <v>12156</v>
      </c>
      <c r="G5261" s="142" t="s">
        <v>12155</v>
      </c>
      <c r="H5261" s="142" t="s">
        <v>21111</v>
      </c>
      <c r="I5261" s="142">
        <v>157</v>
      </c>
      <c r="J5261" s="142">
        <v>36</v>
      </c>
      <c r="K5261" s="142">
        <v>0</v>
      </c>
      <c r="L5261" s="142">
        <v>121</v>
      </c>
      <c r="M5261" s="142">
        <v>0</v>
      </c>
    </row>
    <row r="5262" spans="1:13" x14ac:dyDescent="0.45">
      <c r="A5262" s="142" t="s">
        <v>13167</v>
      </c>
      <c r="B5262" s="142" t="s">
        <v>15418</v>
      </c>
      <c r="C5262" s="142" t="s">
        <v>15847</v>
      </c>
      <c r="D5262" s="142" t="s">
        <v>15848</v>
      </c>
      <c r="E5262" s="142" t="s">
        <v>15849</v>
      </c>
      <c r="F5262" s="142" t="s">
        <v>3546</v>
      </c>
      <c r="G5262" s="142" t="s">
        <v>3545</v>
      </c>
      <c r="H5262" s="142" t="s">
        <v>21112</v>
      </c>
      <c r="I5262" s="142">
        <v>132</v>
      </c>
      <c r="J5262" s="142">
        <v>84</v>
      </c>
      <c r="K5262" s="142">
        <v>0</v>
      </c>
      <c r="L5262" s="142">
        <v>0</v>
      </c>
      <c r="M5262" s="142">
        <v>48</v>
      </c>
    </row>
    <row r="5263" spans="1:13" x14ac:dyDescent="0.45">
      <c r="A5263" s="142" t="s">
        <v>13021</v>
      </c>
      <c r="B5263" s="142" t="s">
        <v>15501</v>
      </c>
      <c r="C5263" s="142" t="s">
        <v>15847</v>
      </c>
      <c r="D5263" s="142" t="s">
        <v>15848</v>
      </c>
      <c r="E5263" s="142" t="s">
        <v>15849</v>
      </c>
      <c r="F5263" s="142" t="s">
        <v>3546</v>
      </c>
      <c r="G5263" s="142" t="s">
        <v>3545</v>
      </c>
      <c r="H5263" s="142" t="s">
        <v>21113</v>
      </c>
      <c r="I5263" s="142">
        <v>3</v>
      </c>
      <c r="J5263" s="142">
        <v>0</v>
      </c>
      <c r="K5263" s="142">
        <v>0</v>
      </c>
      <c r="L5263" s="142">
        <v>0</v>
      </c>
      <c r="M5263" s="142">
        <v>3</v>
      </c>
    </row>
    <row r="5264" spans="1:13" x14ac:dyDescent="0.45">
      <c r="A5264" s="142" t="s">
        <v>13048</v>
      </c>
      <c r="B5264" s="142" t="s">
        <v>14479</v>
      </c>
      <c r="C5264" s="142" t="s">
        <v>15847</v>
      </c>
      <c r="D5264" s="142" t="s">
        <v>15848</v>
      </c>
      <c r="E5264" s="142" t="s">
        <v>15849</v>
      </c>
      <c r="F5264" s="142" t="s">
        <v>3546</v>
      </c>
      <c r="G5264" s="142" t="s">
        <v>3545</v>
      </c>
      <c r="H5264" s="142" t="s">
        <v>21114</v>
      </c>
      <c r="I5264" s="142">
        <v>23</v>
      </c>
      <c r="J5264" s="142">
        <v>18</v>
      </c>
      <c r="K5264" s="142">
        <v>0</v>
      </c>
      <c r="L5264" s="142">
        <v>0</v>
      </c>
      <c r="M5264" s="142">
        <v>5</v>
      </c>
    </row>
    <row r="5265" spans="1:13" x14ac:dyDescent="0.45">
      <c r="A5265" s="142" t="s">
        <v>13183</v>
      </c>
      <c r="B5265" s="142" t="s">
        <v>15226</v>
      </c>
      <c r="C5265" s="142" t="s">
        <v>15860</v>
      </c>
      <c r="D5265" s="142" t="s">
        <v>15861</v>
      </c>
      <c r="E5265" s="142" t="s">
        <v>15849</v>
      </c>
      <c r="F5265" s="142" t="s">
        <v>3546</v>
      </c>
      <c r="G5265" s="142" t="s">
        <v>3545</v>
      </c>
      <c r="H5265" s="142" t="s">
        <v>21115</v>
      </c>
      <c r="I5265" s="142">
        <v>18</v>
      </c>
      <c r="J5265" s="142">
        <v>0</v>
      </c>
      <c r="K5265" s="142">
        <v>0</v>
      </c>
      <c r="L5265" s="142">
        <v>18</v>
      </c>
      <c r="M5265" s="142">
        <v>0</v>
      </c>
    </row>
    <row r="5266" spans="1:13" x14ac:dyDescent="0.45">
      <c r="A5266" s="142" t="s">
        <v>13000</v>
      </c>
      <c r="B5266" s="142" t="s">
        <v>14610</v>
      </c>
      <c r="C5266" s="142" t="s">
        <v>15847</v>
      </c>
      <c r="D5266" s="142" t="s">
        <v>15848</v>
      </c>
      <c r="E5266" s="142" t="s">
        <v>15849</v>
      </c>
      <c r="F5266" s="142" t="s">
        <v>3546</v>
      </c>
      <c r="G5266" s="142" t="s">
        <v>3545</v>
      </c>
      <c r="H5266" s="142" t="s">
        <v>21116</v>
      </c>
      <c r="I5266" s="142">
        <v>20</v>
      </c>
      <c r="J5266" s="142">
        <v>20</v>
      </c>
      <c r="K5266" s="142">
        <v>0</v>
      </c>
      <c r="L5266" s="142">
        <v>0</v>
      </c>
      <c r="M5266" s="142">
        <v>0</v>
      </c>
    </row>
    <row r="5267" spans="1:13" x14ac:dyDescent="0.45">
      <c r="A5267" s="142" t="s">
        <v>13644</v>
      </c>
      <c r="B5267" s="142" t="s">
        <v>15253</v>
      </c>
      <c r="C5267" s="142" t="s">
        <v>15847</v>
      </c>
      <c r="D5267" s="142" t="s">
        <v>15848</v>
      </c>
      <c r="E5267" s="142" t="s">
        <v>15849</v>
      </c>
      <c r="F5267" s="142" t="s">
        <v>3546</v>
      </c>
      <c r="G5267" s="142" t="s">
        <v>3545</v>
      </c>
      <c r="H5267" s="142" t="s">
        <v>21117</v>
      </c>
      <c r="I5267" s="142">
        <v>25</v>
      </c>
      <c r="J5267" s="142">
        <v>24</v>
      </c>
      <c r="K5267" s="142">
        <v>0</v>
      </c>
      <c r="L5267" s="142">
        <v>0</v>
      </c>
      <c r="M5267" s="142">
        <v>1</v>
      </c>
    </row>
    <row r="5268" spans="1:13" x14ac:dyDescent="0.45">
      <c r="A5268" s="142" t="s">
        <v>13049</v>
      </c>
      <c r="B5268" s="142" t="s">
        <v>14534</v>
      </c>
      <c r="C5268" s="142" t="s">
        <v>15860</v>
      </c>
      <c r="D5268" s="142" t="s">
        <v>15861</v>
      </c>
      <c r="E5268" s="142" t="s">
        <v>15849</v>
      </c>
      <c r="F5268" s="142" t="s">
        <v>3546</v>
      </c>
      <c r="G5268" s="142" t="s">
        <v>3545</v>
      </c>
      <c r="H5268" s="142" t="s">
        <v>21118</v>
      </c>
      <c r="I5268" s="142">
        <v>11</v>
      </c>
      <c r="J5268" s="142">
        <v>0</v>
      </c>
      <c r="K5268" s="142">
        <v>0</v>
      </c>
      <c r="L5268" s="142">
        <v>11</v>
      </c>
      <c r="M5268" s="142">
        <v>0</v>
      </c>
    </row>
    <row r="5269" spans="1:13" x14ac:dyDescent="0.45">
      <c r="A5269" s="142" t="s">
        <v>13987</v>
      </c>
      <c r="B5269" s="142" t="s">
        <v>15384</v>
      </c>
      <c r="C5269" s="142" t="s">
        <v>15860</v>
      </c>
      <c r="D5269" s="142" t="s">
        <v>15861</v>
      </c>
      <c r="E5269" s="142" t="s">
        <v>15849</v>
      </c>
      <c r="F5269" s="142" t="s">
        <v>3546</v>
      </c>
      <c r="G5269" s="142" t="s">
        <v>3545</v>
      </c>
      <c r="H5269" s="142" t="s">
        <v>21119</v>
      </c>
      <c r="I5269" s="142">
        <v>32</v>
      </c>
      <c r="J5269" s="142">
        <v>32</v>
      </c>
      <c r="K5269" s="142">
        <v>0</v>
      </c>
      <c r="L5269" s="142">
        <v>0</v>
      </c>
      <c r="M5269" s="142">
        <v>0</v>
      </c>
    </row>
    <row r="5270" spans="1:13" x14ac:dyDescent="0.45">
      <c r="A5270" s="142" t="s">
        <v>13050</v>
      </c>
      <c r="B5270" s="142" t="s">
        <v>15237</v>
      </c>
      <c r="C5270" s="142" t="s">
        <v>15847</v>
      </c>
      <c r="D5270" s="142" t="s">
        <v>15848</v>
      </c>
      <c r="E5270" s="142" t="s">
        <v>15849</v>
      </c>
      <c r="F5270" s="142" t="s">
        <v>3546</v>
      </c>
      <c r="G5270" s="142" t="s">
        <v>3545</v>
      </c>
      <c r="H5270" s="142" t="s">
        <v>21120</v>
      </c>
      <c r="I5270" s="142">
        <v>127</v>
      </c>
      <c r="J5270" s="142">
        <v>87</v>
      </c>
      <c r="K5270" s="142">
        <v>0</v>
      </c>
      <c r="L5270" s="142">
        <v>0</v>
      </c>
      <c r="M5270" s="142">
        <v>40</v>
      </c>
    </row>
    <row r="5271" spans="1:13" x14ac:dyDescent="0.45">
      <c r="A5271" s="142" t="s">
        <v>13028</v>
      </c>
      <c r="B5271" s="142" t="s">
        <v>14462</v>
      </c>
      <c r="C5271" s="142" t="s">
        <v>15847</v>
      </c>
      <c r="D5271" s="142" t="s">
        <v>15848</v>
      </c>
      <c r="E5271" s="142" t="s">
        <v>15849</v>
      </c>
      <c r="F5271" s="142" t="s">
        <v>3546</v>
      </c>
      <c r="G5271" s="142" t="s">
        <v>3545</v>
      </c>
      <c r="H5271" s="142" t="s">
        <v>21121</v>
      </c>
      <c r="I5271" s="142">
        <v>1</v>
      </c>
      <c r="J5271" s="142">
        <v>0</v>
      </c>
      <c r="K5271" s="142">
        <v>0</v>
      </c>
      <c r="L5271" s="142">
        <v>0</v>
      </c>
      <c r="M5271" s="142">
        <v>1</v>
      </c>
    </row>
    <row r="5272" spans="1:13" x14ac:dyDescent="0.45">
      <c r="A5272" s="142" t="s">
        <v>13003</v>
      </c>
      <c r="B5272" s="142" t="s">
        <v>15245</v>
      </c>
      <c r="C5272" s="142" t="s">
        <v>15847</v>
      </c>
      <c r="D5272" s="142" t="s">
        <v>15848</v>
      </c>
      <c r="E5272" s="142" t="s">
        <v>15849</v>
      </c>
      <c r="F5272" s="142" t="s">
        <v>3546</v>
      </c>
      <c r="G5272" s="142" t="s">
        <v>3545</v>
      </c>
      <c r="H5272" s="142" t="s">
        <v>21122</v>
      </c>
      <c r="I5272" s="142">
        <v>39</v>
      </c>
      <c r="J5272" s="142">
        <v>0</v>
      </c>
      <c r="K5272" s="142">
        <v>0</v>
      </c>
      <c r="L5272" s="142">
        <v>39</v>
      </c>
      <c r="M5272" s="142">
        <v>0</v>
      </c>
    </row>
    <row r="5273" spans="1:13" x14ac:dyDescent="0.45">
      <c r="A5273" s="142" t="s">
        <v>13190</v>
      </c>
      <c r="B5273" s="142" t="s">
        <v>14617</v>
      </c>
      <c r="C5273" s="142" t="s">
        <v>15847</v>
      </c>
      <c r="D5273" s="142" t="s">
        <v>15848</v>
      </c>
      <c r="E5273" s="142" t="s">
        <v>15849</v>
      </c>
      <c r="F5273" s="142" t="s">
        <v>3546</v>
      </c>
      <c r="G5273" s="142" t="s">
        <v>3545</v>
      </c>
      <c r="H5273" s="142" t="s">
        <v>21123</v>
      </c>
      <c r="I5273" s="142">
        <v>467</v>
      </c>
      <c r="J5273" s="142">
        <v>354</v>
      </c>
      <c r="K5273" s="142">
        <v>0</v>
      </c>
      <c r="L5273" s="142">
        <v>0</v>
      </c>
      <c r="M5273" s="142">
        <v>113</v>
      </c>
    </row>
    <row r="5274" spans="1:13" x14ac:dyDescent="0.45">
      <c r="A5274" s="142" t="s">
        <v>13034</v>
      </c>
      <c r="B5274" s="142" t="s">
        <v>15562</v>
      </c>
      <c r="C5274" s="142" t="s">
        <v>15847</v>
      </c>
      <c r="D5274" s="142" t="s">
        <v>15848</v>
      </c>
      <c r="E5274" s="142" t="s">
        <v>15849</v>
      </c>
      <c r="F5274" s="142" t="s">
        <v>3546</v>
      </c>
      <c r="G5274" s="142" t="s">
        <v>3545</v>
      </c>
      <c r="H5274" s="142" t="s">
        <v>21124</v>
      </c>
      <c r="I5274" s="142">
        <v>2</v>
      </c>
      <c r="J5274" s="142">
        <v>2</v>
      </c>
      <c r="K5274" s="142">
        <v>0</v>
      </c>
      <c r="L5274" s="142">
        <v>0</v>
      </c>
      <c r="M5274" s="142">
        <v>0</v>
      </c>
    </row>
    <row r="5275" spans="1:13" x14ac:dyDescent="0.45">
      <c r="A5275" s="142" t="s">
        <v>13036</v>
      </c>
      <c r="B5275" s="142" t="s">
        <v>15567</v>
      </c>
      <c r="C5275" s="142" t="s">
        <v>15847</v>
      </c>
      <c r="D5275" s="142" t="s">
        <v>15848</v>
      </c>
      <c r="E5275" s="142" t="s">
        <v>15849</v>
      </c>
      <c r="F5275" s="142" t="s">
        <v>3546</v>
      </c>
      <c r="G5275" s="142" t="s">
        <v>3545</v>
      </c>
      <c r="H5275" s="142" t="s">
        <v>21125</v>
      </c>
      <c r="I5275" s="142">
        <v>3</v>
      </c>
      <c r="J5275" s="142">
        <v>0</v>
      </c>
      <c r="K5275" s="142">
        <v>0</v>
      </c>
      <c r="L5275" s="142">
        <v>3</v>
      </c>
      <c r="M5275" s="142">
        <v>0</v>
      </c>
    </row>
    <row r="5276" spans="1:13" x14ac:dyDescent="0.45">
      <c r="A5276" s="142" t="s">
        <v>13105</v>
      </c>
      <c r="B5276" s="142" t="s">
        <v>14654</v>
      </c>
      <c r="C5276" s="142" t="s">
        <v>15847</v>
      </c>
      <c r="D5276" s="142" t="s">
        <v>15848</v>
      </c>
      <c r="E5276" s="142" t="s">
        <v>15849</v>
      </c>
      <c r="F5276" s="142" t="s">
        <v>3546</v>
      </c>
      <c r="G5276" s="142" t="s">
        <v>3545</v>
      </c>
      <c r="H5276" s="142" t="s">
        <v>21126</v>
      </c>
      <c r="I5276" s="142">
        <v>16</v>
      </c>
      <c r="J5276" s="142">
        <v>0</v>
      </c>
      <c r="K5276" s="142">
        <v>0</v>
      </c>
      <c r="L5276" s="142">
        <v>0</v>
      </c>
      <c r="M5276" s="142">
        <v>16</v>
      </c>
    </row>
    <row r="5277" spans="1:13" x14ac:dyDescent="0.45">
      <c r="A5277" s="142" t="s">
        <v>13038</v>
      </c>
      <c r="B5277" s="142" t="s">
        <v>14646</v>
      </c>
      <c r="C5277" s="142" t="s">
        <v>15847</v>
      </c>
      <c r="D5277" s="142" t="s">
        <v>15848</v>
      </c>
      <c r="E5277" s="142" t="s">
        <v>15849</v>
      </c>
      <c r="F5277" s="142" t="s">
        <v>3546</v>
      </c>
      <c r="G5277" s="142" t="s">
        <v>3545</v>
      </c>
      <c r="H5277" s="142" t="s">
        <v>21127</v>
      </c>
      <c r="I5277" s="142">
        <v>8</v>
      </c>
      <c r="J5277" s="142">
        <v>0</v>
      </c>
      <c r="K5277" s="142">
        <v>0</v>
      </c>
      <c r="L5277" s="142">
        <v>0</v>
      </c>
      <c r="M5277" s="142">
        <v>8</v>
      </c>
    </row>
    <row r="5278" spans="1:13" x14ac:dyDescent="0.45">
      <c r="A5278" s="142" t="s">
        <v>13009</v>
      </c>
      <c r="B5278" s="142" t="s">
        <v>15256</v>
      </c>
      <c r="C5278" s="142" t="s">
        <v>15847</v>
      </c>
      <c r="D5278" s="142" t="s">
        <v>15848</v>
      </c>
      <c r="E5278" s="142" t="s">
        <v>15849</v>
      </c>
      <c r="F5278" s="142" t="s">
        <v>3546</v>
      </c>
      <c r="G5278" s="142" t="s">
        <v>3545</v>
      </c>
      <c r="H5278" s="142" t="s">
        <v>21128</v>
      </c>
      <c r="I5278" s="142">
        <v>61</v>
      </c>
      <c r="J5278" s="142">
        <v>33</v>
      </c>
      <c r="K5278" s="142">
        <v>0</v>
      </c>
      <c r="L5278" s="142">
        <v>27</v>
      </c>
      <c r="M5278" s="142">
        <v>1</v>
      </c>
    </row>
    <row r="5279" spans="1:13" x14ac:dyDescent="0.45">
      <c r="A5279" s="142" t="s">
        <v>13058</v>
      </c>
      <c r="B5279" s="142" t="s">
        <v>14584</v>
      </c>
      <c r="C5279" s="142" t="s">
        <v>15847</v>
      </c>
      <c r="D5279" s="142" t="s">
        <v>15848</v>
      </c>
      <c r="E5279" s="142" t="s">
        <v>15849</v>
      </c>
      <c r="F5279" s="142" t="s">
        <v>3546</v>
      </c>
      <c r="G5279" s="142" t="s">
        <v>3545</v>
      </c>
      <c r="H5279" s="142" t="s">
        <v>21129</v>
      </c>
      <c r="I5279" s="142">
        <v>351</v>
      </c>
      <c r="J5279" s="142">
        <v>266</v>
      </c>
      <c r="K5279" s="142">
        <v>0</v>
      </c>
      <c r="L5279" s="142">
        <v>0</v>
      </c>
      <c r="M5279" s="142">
        <v>85</v>
      </c>
    </row>
    <row r="5280" spans="1:13" x14ac:dyDescent="0.45">
      <c r="A5280" s="142" t="s">
        <v>13205</v>
      </c>
      <c r="B5280" s="142" t="s">
        <v>14496</v>
      </c>
      <c r="C5280" s="142" t="s">
        <v>15847</v>
      </c>
      <c r="D5280" s="142" t="s">
        <v>15848</v>
      </c>
      <c r="E5280" s="142" t="s">
        <v>15849</v>
      </c>
      <c r="F5280" s="142" t="s">
        <v>3546</v>
      </c>
      <c r="G5280" s="142" t="s">
        <v>3545</v>
      </c>
      <c r="H5280" s="142" t="s">
        <v>21130</v>
      </c>
      <c r="I5280" s="142">
        <v>30</v>
      </c>
      <c r="J5280" s="142">
        <v>30</v>
      </c>
      <c r="K5280" s="142">
        <v>0</v>
      </c>
      <c r="L5280" s="142">
        <v>0</v>
      </c>
      <c r="M5280" s="142">
        <v>0</v>
      </c>
    </row>
    <row r="5281" spans="1:13" x14ac:dyDescent="0.45">
      <c r="A5281" s="142" t="s">
        <v>13012</v>
      </c>
      <c r="B5281" s="142" t="s">
        <v>15337</v>
      </c>
      <c r="C5281" s="142" t="s">
        <v>15847</v>
      </c>
      <c r="D5281" s="142" t="s">
        <v>15848</v>
      </c>
      <c r="E5281" s="142" t="s">
        <v>15849</v>
      </c>
      <c r="F5281" s="142" t="s">
        <v>3546</v>
      </c>
      <c r="G5281" s="142" t="s">
        <v>3545</v>
      </c>
      <c r="H5281" s="142" t="s">
        <v>21131</v>
      </c>
      <c r="I5281" s="142">
        <v>21</v>
      </c>
      <c r="J5281" s="142">
        <v>18</v>
      </c>
      <c r="K5281" s="142">
        <v>0</v>
      </c>
      <c r="L5281" s="142">
        <v>0</v>
      </c>
      <c r="M5281" s="142">
        <v>3</v>
      </c>
    </row>
    <row r="5282" spans="1:13" x14ac:dyDescent="0.45">
      <c r="A5282" s="142" t="s">
        <v>13646</v>
      </c>
      <c r="B5282" s="142" t="s">
        <v>15599</v>
      </c>
      <c r="C5282" s="142" t="s">
        <v>15847</v>
      </c>
      <c r="D5282" s="142" t="s">
        <v>15848</v>
      </c>
      <c r="E5282" s="142" t="s">
        <v>15849</v>
      </c>
      <c r="F5282" s="142" t="s">
        <v>3546</v>
      </c>
      <c r="G5282" s="142" t="s">
        <v>3545</v>
      </c>
      <c r="H5282" s="142" t="s">
        <v>21132</v>
      </c>
      <c r="I5282" s="142">
        <v>29</v>
      </c>
      <c r="J5282" s="142">
        <v>22</v>
      </c>
      <c r="K5282" s="142">
        <v>0</v>
      </c>
      <c r="L5282" s="142">
        <v>0</v>
      </c>
      <c r="M5282" s="142">
        <v>7</v>
      </c>
    </row>
    <row r="5283" spans="1:13" x14ac:dyDescent="0.45">
      <c r="A5283" s="142" t="s">
        <v>13988</v>
      </c>
      <c r="B5283" s="142" t="s">
        <v>15150</v>
      </c>
      <c r="C5283" s="142" t="s">
        <v>15860</v>
      </c>
      <c r="D5283" s="142" t="s">
        <v>15861</v>
      </c>
      <c r="E5283" s="142" t="s">
        <v>15849</v>
      </c>
      <c r="F5283" s="142" t="s">
        <v>3546</v>
      </c>
      <c r="G5283" s="142" t="s">
        <v>3545</v>
      </c>
      <c r="H5283" s="142" t="s">
        <v>21133</v>
      </c>
      <c r="I5283" s="142">
        <v>10</v>
      </c>
      <c r="J5283" s="142">
        <v>0</v>
      </c>
      <c r="K5283" s="142">
        <v>0</v>
      </c>
      <c r="L5283" s="142">
        <v>10</v>
      </c>
      <c r="M5283" s="142">
        <v>0</v>
      </c>
    </row>
    <row r="5284" spans="1:13" x14ac:dyDescent="0.45">
      <c r="A5284" s="142" t="s">
        <v>13014</v>
      </c>
      <c r="B5284" s="142" t="s">
        <v>14505</v>
      </c>
      <c r="C5284" s="142" t="s">
        <v>15847</v>
      </c>
      <c r="D5284" s="142" t="s">
        <v>15848</v>
      </c>
      <c r="E5284" s="142" t="s">
        <v>15849</v>
      </c>
      <c r="F5284" s="142" t="s">
        <v>3546</v>
      </c>
      <c r="G5284" s="142" t="s">
        <v>3545</v>
      </c>
      <c r="H5284" s="142" t="s">
        <v>21134</v>
      </c>
      <c r="I5284" s="142">
        <v>98</v>
      </c>
      <c r="J5284" s="142">
        <v>25</v>
      </c>
      <c r="K5284" s="142">
        <v>0</v>
      </c>
      <c r="L5284" s="142">
        <v>73</v>
      </c>
      <c r="M5284" s="142">
        <v>0</v>
      </c>
    </row>
    <row r="5285" spans="1:13" x14ac:dyDescent="0.45">
      <c r="A5285" s="142" t="s">
        <v>13989</v>
      </c>
      <c r="B5285" s="142" t="s">
        <v>14757</v>
      </c>
      <c r="C5285" s="142" t="s">
        <v>15860</v>
      </c>
      <c r="D5285" s="142" t="s">
        <v>15861</v>
      </c>
      <c r="E5285" s="142" t="s">
        <v>15849</v>
      </c>
      <c r="F5285" s="142" t="s">
        <v>3546</v>
      </c>
      <c r="G5285" s="142" t="s">
        <v>3545</v>
      </c>
      <c r="H5285" s="142" t="s">
        <v>21135</v>
      </c>
      <c r="I5285" s="142">
        <v>85</v>
      </c>
      <c r="J5285" s="142">
        <v>0</v>
      </c>
      <c r="K5285" s="142">
        <v>0</v>
      </c>
      <c r="L5285" s="142">
        <v>85</v>
      </c>
      <c r="M5285" s="142">
        <v>0</v>
      </c>
    </row>
    <row r="5286" spans="1:13" x14ac:dyDescent="0.45">
      <c r="A5286" s="142" t="s">
        <v>13990</v>
      </c>
      <c r="B5286" s="142" t="s">
        <v>14606</v>
      </c>
      <c r="C5286" s="142" t="s">
        <v>15860</v>
      </c>
      <c r="D5286" s="142" t="s">
        <v>15861</v>
      </c>
      <c r="E5286" s="142" t="s">
        <v>15849</v>
      </c>
      <c r="F5286" s="142" t="s">
        <v>3546</v>
      </c>
      <c r="G5286" s="142" t="s">
        <v>3545</v>
      </c>
      <c r="H5286" s="142" t="s">
        <v>21136</v>
      </c>
      <c r="I5286" s="142">
        <v>4</v>
      </c>
      <c r="J5286" s="142">
        <v>4</v>
      </c>
      <c r="K5286" s="142">
        <v>0</v>
      </c>
      <c r="L5286" s="142">
        <v>0</v>
      </c>
      <c r="M5286" s="142">
        <v>0</v>
      </c>
    </row>
    <row r="5287" spans="1:13" x14ac:dyDescent="0.45">
      <c r="A5287" s="142" t="s">
        <v>13016</v>
      </c>
      <c r="B5287" s="142" t="s">
        <v>14535</v>
      </c>
      <c r="C5287" s="142" t="s">
        <v>15860</v>
      </c>
      <c r="D5287" s="142" t="s">
        <v>15861</v>
      </c>
      <c r="E5287" s="142" t="s">
        <v>15849</v>
      </c>
      <c r="F5287" s="142" t="s">
        <v>3546</v>
      </c>
      <c r="G5287" s="142" t="s">
        <v>3545</v>
      </c>
      <c r="H5287" s="142" t="s">
        <v>21137</v>
      </c>
      <c r="I5287" s="142">
        <v>20</v>
      </c>
      <c r="J5287" s="142">
        <v>0</v>
      </c>
      <c r="K5287" s="142">
        <v>0</v>
      </c>
      <c r="L5287" s="142">
        <v>20</v>
      </c>
      <c r="M5287" s="142">
        <v>0</v>
      </c>
    </row>
    <row r="5288" spans="1:13" x14ac:dyDescent="0.45">
      <c r="A5288" s="142" t="s">
        <v>13541</v>
      </c>
      <c r="B5288" s="142" t="s">
        <v>14579</v>
      </c>
      <c r="C5288" s="142" t="s">
        <v>15847</v>
      </c>
      <c r="D5288" s="142" t="s">
        <v>15848</v>
      </c>
      <c r="E5288" s="142" t="s">
        <v>15849</v>
      </c>
      <c r="F5288" s="142" t="s">
        <v>3546</v>
      </c>
      <c r="G5288" s="142" t="s">
        <v>3545</v>
      </c>
      <c r="H5288" s="142" t="s">
        <v>21138</v>
      </c>
      <c r="I5288" s="142">
        <v>315</v>
      </c>
      <c r="J5288" s="142">
        <v>221</v>
      </c>
      <c r="K5288" s="142">
        <v>0</v>
      </c>
      <c r="L5288" s="142">
        <v>71</v>
      </c>
      <c r="M5288" s="142">
        <v>23</v>
      </c>
    </row>
    <row r="5289" spans="1:13" x14ac:dyDescent="0.45">
      <c r="A5289" s="142" t="s">
        <v>13542</v>
      </c>
      <c r="B5289" s="142" t="s">
        <v>15368</v>
      </c>
      <c r="C5289" s="142" t="s">
        <v>15847</v>
      </c>
      <c r="D5289" s="142" t="s">
        <v>15848</v>
      </c>
      <c r="E5289" s="142" t="s">
        <v>15849</v>
      </c>
      <c r="F5289" s="142" t="s">
        <v>3546</v>
      </c>
      <c r="G5289" s="142" t="s">
        <v>3545</v>
      </c>
      <c r="H5289" s="142" t="s">
        <v>21139</v>
      </c>
      <c r="I5289" s="142">
        <v>95</v>
      </c>
      <c r="J5289" s="142">
        <v>85</v>
      </c>
      <c r="K5289" s="142">
        <v>0</v>
      </c>
      <c r="L5289" s="142">
        <v>0</v>
      </c>
      <c r="M5289" s="142">
        <v>10</v>
      </c>
    </row>
    <row r="5290" spans="1:13" x14ac:dyDescent="0.45">
      <c r="A5290" s="142" t="s">
        <v>13023</v>
      </c>
      <c r="B5290" s="142" t="s">
        <v>15571</v>
      </c>
      <c r="C5290" s="142" t="s">
        <v>15847</v>
      </c>
      <c r="D5290" s="142" t="s">
        <v>15848</v>
      </c>
      <c r="E5290" s="142" t="s">
        <v>15849</v>
      </c>
      <c r="F5290" s="142" t="s">
        <v>8204</v>
      </c>
      <c r="G5290" s="142" t="s">
        <v>8203</v>
      </c>
      <c r="H5290" s="142" t="s">
        <v>21140</v>
      </c>
      <c r="I5290" s="142">
        <v>31</v>
      </c>
      <c r="J5290" s="142">
        <v>0</v>
      </c>
      <c r="K5290" s="142">
        <v>0</v>
      </c>
      <c r="L5290" s="142">
        <v>31</v>
      </c>
      <c r="M5290" s="142">
        <v>0</v>
      </c>
    </row>
    <row r="5291" spans="1:13" x14ac:dyDescent="0.45">
      <c r="A5291" s="142" t="s">
        <v>13084</v>
      </c>
      <c r="B5291" s="142" t="s">
        <v>15471</v>
      </c>
      <c r="C5291" s="142" t="s">
        <v>15847</v>
      </c>
      <c r="D5291" s="142" t="s">
        <v>15848</v>
      </c>
      <c r="E5291" s="142" t="s">
        <v>15849</v>
      </c>
      <c r="F5291" s="142" t="s">
        <v>8204</v>
      </c>
      <c r="G5291" s="142" t="s">
        <v>8203</v>
      </c>
      <c r="H5291" s="142" t="s">
        <v>21141</v>
      </c>
      <c r="I5291" s="142">
        <v>216</v>
      </c>
      <c r="J5291" s="142">
        <v>102</v>
      </c>
      <c r="K5291" s="142">
        <v>0</v>
      </c>
      <c r="L5291" s="142">
        <v>0</v>
      </c>
      <c r="M5291" s="142">
        <v>114</v>
      </c>
    </row>
    <row r="5292" spans="1:13" x14ac:dyDescent="0.45">
      <c r="A5292" s="142" t="s">
        <v>13087</v>
      </c>
      <c r="B5292" s="142" t="s">
        <v>14452</v>
      </c>
      <c r="C5292" s="142" t="s">
        <v>15847</v>
      </c>
      <c r="D5292" s="142" t="s">
        <v>15848</v>
      </c>
      <c r="E5292" s="142" t="s">
        <v>15849</v>
      </c>
      <c r="F5292" s="142" t="s">
        <v>8204</v>
      </c>
      <c r="G5292" s="142" t="s">
        <v>8203</v>
      </c>
      <c r="H5292" s="142" t="s">
        <v>21142</v>
      </c>
      <c r="I5292" s="142">
        <v>1026</v>
      </c>
      <c r="J5292" s="142">
        <v>792</v>
      </c>
      <c r="K5292" s="142">
        <v>0</v>
      </c>
      <c r="L5292" s="142">
        <v>13</v>
      </c>
      <c r="M5292" s="142">
        <v>221</v>
      </c>
    </row>
    <row r="5293" spans="1:13" x14ac:dyDescent="0.45">
      <c r="A5293" s="142" t="s">
        <v>13027</v>
      </c>
      <c r="B5293" s="142" t="s">
        <v>14562</v>
      </c>
      <c r="C5293" s="142" t="s">
        <v>15847</v>
      </c>
      <c r="D5293" s="142" t="s">
        <v>15848</v>
      </c>
      <c r="E5293" s="142" t="s">
        <v>15849</v>
      </c>
      <c r="F5293" s="142" t="s">
        <v>8204</v>
      </c>
      <c r="G5293" s="142" t="s">
        <v>8203</v>
      </c>
      <c r="H5293" s="142" t="s">
        <v>21143</v>
      </c>
      <c r="I5293" s="142">
        <v>1</v>
      </c>
      <c r="J5293" s="142">
        <v>0</v>
      </c>
      <c r="K5293" s="142">
        <v>0</v>
      </c>
      <c r="L5293" s="142">
        <v>1</v>
      </c>
      <c r="M5293" s="142">
        <v>0</v>
      </c>
    </row>
    <row r="5294" spans="1:13" x14ac:dyDescent="0.45">
      <c r="A5294" s="142" t="s">
        <v>13050</v>
      </c>
      <c r="B5294" s="142" t="s">
        <v>15237</v>
      </c>
      <c r="C5294" s="142" t="s">
        <v>15847</v>
      </c>
      <c r="D5294" s="142" t="s">
        <v>15848</v>
      </c>
      <c r="E5294" s="142" t="s">
        <v>15849</v>
      </c>
      <c r="F5294" s="142" t="s">
        <v>8204</v>
      </c>
      <c r="G5294" s="142" t="s">
        <v>8203</v>
      </c>
      <c r="H5294" s="142" t="s">
        <v>21144</v>
      </c>
      <c r="I5294" s="142">
        <v>77</v>
      </c>
      <c r="J5294" s="142">
        <v>35</v>
      </c>
      <c r="K5294" s="142">
        <v>0</v>
      </c>
      <c r="L5294" s="142">
        <v>0</v>
      </c>
      <c r="M5294" s="142">
        <v>42</v>
      </c>
    </row>
    <row r="5295" spans="1:13" x14ac:dyDescent="0.45">
      <c r="A5295" s="142" t="s">
        <v>13028</v>
      </c>
      <c r="B5295" s="142" t="s">
        <v>14462</v>
      </c>
      <c r="C5295" s="142" t="s">
        <v>15847</v>
      </c>
      <c r="D5295" s="142" t="s">
        <v>15848</v>
      </c>
      <c r="E5295" s="142" t="s">
        <v>15849</v>
      </c>
      <c r="F5295" s="142" t="s">
        <v>8204</v>
      </c>
      <c r="G5295" s="142" t="s">
        <v>8203</v>
      </c>
      <c r="H5295" s="142" t="s">
        <v>21145</v>
      </c>
      <c r="I5295" s="142">
        <v>65</v>
      </c>
      <c r="J5295" s="142">
        <v>0</v>
      </c>
      <c r="K5295" s="142">
        <v>0</v>
      </c>
      <c r="L5295" s="142">
        <v>0</v>
      </c>
      <c r="M5295" s="142">
        <v>65</v>
      </c>
    </row>
    <row r="5296" spans="1:13" x14ac:dyDescent="0.45">
      <c r="A5296" s="142" t="s">
        <v>13003</v>
      </c>
      <c r="B5296" s="142" t="s">
        <v>15245</v>
      </c>
      <c r="C5296" s="142" t="s">
        <v>15847</v>
      </c>
      <c r="D5296" s="142" t="s">
        <v>15848</v>
      </c>
      <c r="E5296" s="142" t="s">
        <v>15849</v>
      </c>
      <c r="F5296" s="142" t="s">
        <v>8204</v>
      </c>
      <c r="G5296" s="142" t="s">
        <v>8203</v>
      </c>
      <c r="H5296" s="142" t="s">
        <v>21146</v>
      </c>
      <c r="I5296" s="142">
        <v>65</v>
      </c>
      <c r="J5296" s="142">
        <v>0</v>
      </c>
      <c r="K5296" s="142">
        <v>0</v>
      </c>
      <c r="L5296" s="142">
        <v>33</v>
      </c>
      <c r="M5296" s="142">
        <v>32</v>
      </c>
    </row>
    <row r="5297" spans="1:13" x14ac:dyDescent="0.45">
      <c r="A5297" s="142" t="s">
        <v>13178</v>
      </c>
      <c r="B5297" s="142" t="s">
        <v>14683</v>
      </c>
      <c r="C5297" s="142" t="s">
        <v>15847</v>
      </c>
      <c r="D5297" s="142" t="s">
        <v>15848</v>
      </c>
      <c r="E5297" s="142" t="s">
        <v>15849</v>
      </c>
      <c r="F5297" s="142" t="s">
        <v>8204</v>
      </c>
      <c r="G5297" s="142" t="s">
        <v>8203</v>
      </c>
      <c r="H5297" s="142" t="s">
        <v>21147</v>
      </c>
      <c r="I5297" s="142">
        <v>24</v>
      </c>
      <c r="J5297" s="142">
        <v>24</v>
      </c>
      <c r="K5297" s="142">
        <v>0</v>
      </c>
      <c r="L5297" s="142">
        <v>0</v>
      </c>
      <c r="M5297" s="142">
        <v>0</v>
      </c>
    </row>
    <row r="5298" spans="1:13" x14ac:dyDescent="0.45">
      <c r="A5298" s="142" t="s">
        <v>13076</v>
      </c>
      <c r="B5298" s="142" t="s">
        <v>14636</v>
      </c>
      <c r="C5298" s="142" t="s">
        <v>15847</v>
      </c>
      <c r="D5298" s="142" t="s">
        <v>15848</v>
      </c>
      <c r="E5298" s="142" t="s">
        <v>15849</v>
      </c>
      <c r="F5298" s="142" t="s">
        <v>8204</v>
      </c>
      <c r="G5298" s="142" t="s">
        <v>8203</v>
      </c>
      <c r="H5298" s="142" t="s">
        <v>21148</v>
      </c>
      <c r="I5298" s="142">
        <v>13</v>
      </c>
      <c r="J5298" s="142">
        <v>0</v>
      </c>
      <c r="K5298" s="142">
        <v>0</v>
      </c>
      <c r="L5298" s="142">
        <v>0</v>
      </c>
      <c r="M5298" s="142">
        <v>13</v>
      </c>
    </row>
    <row r="5299" spans="1:13" x14ac:dyDescent="0.45">
      <c r="A5299" s="142" t="s">
        <v>13008</v>
      </c>
      <c r="B5299" s="142" t="s">
        <v>15411</v>
      </c>
      <c r="C5299" s="142" t="s">
        <v>15847</v>
      </c>
      <c r="D5299" s="142" t="s">
        <v>15848</v>
      </c>
      <c r="E5299" s="142" t="s">
        <v>15849</v>
      </c>
      <c r="F5299" s="142" t="s">
        <v>8204</v>
      </c>
      <c r="G5299" s="142" t="s">
        <v>8203</v>
      </c>
      <c r="H5299" s="142" t="s">
        <v>21149</v>
      </c>
      <c r="I5299" s="142">
        <v>88</v>
      </c>
      <c r="J5299" s="142">
        <v>0</v>
      </c>
      <c r="K5299" s="142">
        <v>0</v>
      </c>
      <c r="L5299" s="142">
        <v>0</v>
      </c>
      <c r="M5299" s="142">
        <v>88</v>
      </c>
    </row>
    <row r="5300" spans="1:13" x14ac:dyDescent="0.45">
      <c r="A5300" s="142" t="s">
        <v>13077</v>
      </c>
      <c r="B5300" s="142" t="s">
        <v>15407</v>
      </c>
      <c r="C5300" s="142" t="s">
        <v>15847</v>
      </c>
      <c r="D5300" s="142" t="s">
        <v>15848</v>
      </c>
      <c r="E5300" s="142" t="s">
        <v>15849</v>
      </c>
      <c r="F5300" s="142" t="s">
        <v>8204</v>
      </c>
      <c r="G5300" s="142" t="s">
        <v>8203</v>
      </c>
      <c r="H5300" s="142" t="s">
        <v>21150</v>
      </c>
      <c r="I5300" s="142">
        <v>384</v>
      </c>
      <c r="J5300" s="142">
        <v>361</v>
      </c>
      <c r="K5300" s="142">
        <v>0</v>
      </c>
      <c r="L5300" s="142">
        <v>23</v>
      </c>
      <c r="M5300" s="142">
        <v>0</v>
      </c>
    </row>
    <row r="5301" spans="1:13" x14ac:dyDescent="0.45">
      <c r="A5301" s="142" t="s">
        <v>13089</v>
      </c>
      <c r="B5301" s="142" t="s">
        <v>15240</v>
      </c>
      <c r="C5301" s="142" t="s">
        <v>15847</v>
      </c>
      <c r="D5301" s="142" t="s">
        <v>15848</v>
      </c>
      <c r="E5301" s="142" t="s">
        <v>15849</v>
      </c>
      <c r="F5301" s="142" t="s">
        <v>8204</v>
      </c>
      <c r="G5301" s="142" t="s">
        <v>8203</v>
      </c>
      <c r="H5301" s="142" t="s">
        <v>21151</v>
      </c>
      <c r="I5301" s="142">
        <v>385</v>
      </c>
      <c r="J5301" s="142">
        <v>274</v>
      </c>
      <c r="K5301" s="142">
        <v>0</v>
      </c>
      <c r="L5301" s="142">
        <v>88</v>
      </c>
      <c r="M5301" s="142">
        <v>23</v>
      </c>
    </row>
    <row r="5302" spans="1:13" x14ac:dyDescent="0.45">
      <c r="A5302" s="142" t="s">
        <v>13033</v>
      </c>
      <c r="B5302" s="142" t="s">
        <v>15276</v>
      </c>
      <c r="C5302" s="142" t="s">
        <v>15847</v>
      </c>
      <c r="D5302" s="142" t="s">
        <v>15848</v>
      </c>
      <c r="E5302" s="142" t="s">
        <v>15849</v>
      </c>
      <c r="F5302" s="142" t="s">
        <v>8204</v>
      </c>
      <c r="G5302" s="142" t="s">
        <v>8203</v>
      </c>
      <c r="H5302" s="142" t="s">
        <v>21152</v>
      </c>
      <c r="I5302" s="142">
        <v>39</v>
      </c>
      <c r="J5302" s="142">
        <v>39</v>
      </c>
      <c r="K5302" s="142">
        <v>0</v>
      </c>
      <c r="L5302" s="142">
        <v>0</v>
      </c>
      <c r="M5302" s="142">
        <v>0</v>
      </c>
    </row>
    <row r="5303" spans="1:13" x14ac:dyDescent="0.45">
      <c r="A5303" s="142" t="s">
        <v>13034</v>
      </c>
      <c r="B5303" s="142" t="s">
        <v>15562</v>
      </c>
      <c r="C5303" s="142" t="s">
        <v>15847</v>
      </c>
      <c r="D5303" s="142" t="s">
        <v>15848</v>
      </c>
      <c r="E5303" s="142" t="s">
        <v>15849</v>
      </c>
      <c r="F5303" s="142" t="s">
        <v>8204</v>
      </c>
      <c r="G5303" s="142" t="s">
        <v>8203</v>
      </c>
      <c r="H5303" s="142" t="s">
        <v>21153</v>
      </c>
      <c r="I5303" s="142">
        <v>6</v>
      </c>
      <c r="J5303" s="142">
        <v>6</v>
      </c>
      <c r="K5303" s="142">
        <v>0</v>
      </c>
      <c r="L5303" s="142">
        <v>0</v>
      </c>
      <c r="M5303" s="142">
        <v>0</v>
      </c>
    </row>
    <row r="5304" spans="1:13" x14ac:dyDescent="0.45">
      <c r="A5304" s="142" t="s">
        <v>13036</v>
      </c>
      <c r="B5304" s="142" t="s">
        <v>15567</v>
      </c>
      <c r="C5304" s="142" t="s">
        <v>15847</v>
      </c>
      <c r="D5304" s="142" t="s">
        <v>15848</v>
      </c>
      <c r="E5304" s="142" t="s">
        <v>15849</v>
      </c>
      <c r="F5304" s="142" t="s">
        <v>8204</v>
      </c>
      <c r="G5304" s="142" t="s">
        <v>8203</v>
      </c>
      <c r="H5304" s="142" t="s">
        <v>21154</v>
      </c>
      <c r="I5304" s="142">
        <v>3</v>
      </c>
      <c r="J5304" s="142">
        <v>0</v>
      </c>
      <c r="K5304" s="142">
        <v>0</v>
      </c>
      <c r="L5304" s="142">
        <v>3</v>
      </c>
      <c r="M5304" s="142">
        <v>0</v>
      </c>
    </row>
    <row r="5305" spans="1:13" x14ac:dyDescent="0.45">
      <c r="A5305" s="142" t="s">
        <v>13992</v>
      </c>
      <c r="B5305" s="142" t="s">
        <v>15354</v>
      </c>
      <c r="C5305" s="142" t="s">
        <v>15860</v>
      </c>
      <c r="D5305" s="142" t="s">
        <v>15861</v>
      </c>
      <c r="E5305" s="142" t="s">
        <v>15849</v>
      </c>
      <c r="F5305" s="142" t="s">
        <v>8204</v>
      </c>
      <c r="G5305" s="142" t="s">
        <v>8203</v>
      </c>
      <c r="H5305" s="142" t="s">
        <v>21155</v>
      </c>
      <c r="I5305" s="142">
        <v>1</v>
      </c>
      <c r="J5305" s="142">
        <v>1</v>
      </c>
      <c r="K5305" s="142">
        <v>0</v>
      </c>
      <c r="L5305" s="142">
        <v>0</v>
      </c>
      <c r="M5305" s="142">
        <v>0</v>
      </c>
    </row>
    <row r="5306" spans="1:13" x14ac:dyDescent="0.45">
      <c r="A5306" s="142" t="s">
        <v>13090</v>
      </c>
      <c r="B5306" s="142" t="s">
        <v>15600</v>
      </c>
      <c r="C5306" s="142" t="s">
        <v>15847</v>
      </c>
      <c r="D5306" s="142" t="s">
        <v>15848</v>
      </c>
      <c r="E5306" s="142" t="s">
        <v>15849</v>
      </c>
      <c r="F5306" s="142" t="s">
        <v>8204</v>
      </c>
      <c r="G5306" s="142" t="s">
        <v>8203</v>
      </c>
      <c r="H5306" s="142" t="s">
        <v>21156</v>
      </c>
      <c r="I5306" s="142">
        <v>51</v>
      </c>
      <c r="J5306" s="142">
        <v>20</v>
      </c>
      <c r="K5306" s="142">
        <v>0</v>
      </c>
      <c r="L5306" s="142">
        <v>5</v>
      </c>
      <c r="M5306" s="142">
        <v>26</v>
      </c>
    </row>
    <row r="5307" spans="1:13" x14ac:dyDescent="0.45">
      <c r="A5307" s="142" t="s">
        <v>13038</v>
      </c>
      <c r="B5307" s="142" t="s">
        <v>14646</v>
      </c>
      <c r="C5307" s="142" t="s">
        <v>15847</v>
      </c>
      <c r="D5307" s="142" t="s">
        <v>15848</v>
      </c>
      <c r="E5307" s="142" t="s">
        <v>15849</v>
      </c>
      <c r="F5307" s="142" t="s">
        <v>8204</v>
      </c>
      <c r="G5307" s="142" t="s">
        <v>8203</v>
      </c>
      <c r="H5307" s="142" t="s">
        <v>21157</v>
      </c>
      <c r="I5307" s="142">
        <v>98</v>
      </c>
      <c r="J5307" s="142">
        <v>12</v>
      </c>
      <c r="K5307" s="142">
        <v>0</v>
      </c>
      <c r="L5307" s="142">
        <v>0</v>
      </c>
      <c r="M5307" s="142">
        <v>86</v>
      </c>
    </row>
    <row r="5308" spans="1:13" x14ac:dyDescent="0.45">
      <c r="A5308" s="142" t="s">
        <v>13039</v>
      </c>
      <c r="B5308" s="142" t="s">
        <v>14647</v>
      </c>
      <c r="C5308" s="142" t="s">
        <v>15847</v>
      </c>
      <c r="D5308" s="142" t="s">
        <v>15848</v>
      </c>
      <c r="E5308" s="142" t="s">
        <v>15849</v>
      </c>
      <c r="F5308" s="142" t="s">
        <v>8204</v>
      </c>
      <c r="G5308" s="142" t="s">
        <v>8203</v>
      </c>
      <c r="H5308" s="142" t="s">
        <v>21158</v>
      </c>
      <c r="I5308" s="142">
        <v>86</v>
      </c>
      <c r="J5308" s="142">
        <v>86</v>
      </c>
      <c r="K5308" s="142">
        <v>0</v>
      </c>
      <c r="L5308" s="142">
        <v>0</v>
      </c>
      <c r="M5308" s="142">
        <v>0</v>
      </c>
    </row>
    <row r="5309" spans="1:13" x14ac:dyDescent="0.45">
      <c r="A5309" s="142" t="s">
        <v>13091</v>
      </c>
      <c r="B5309" s="142" t="s">
        <v>14473</v>
      </c>
      <c r="C5309" s="142" t="s">
        <v>15847</v>
      </c>
      <c r="D5309" s="142" t="s">
        <v>15848</v>
      </c>
      <c r="E5309" s="142" t="s">
        <v>15849</v>
      </c>
      <c r="F5309" s="142" t="s">
        <v>8204</v>
      </c>
      <c r="G5309" s="142" t="s">
        <v>8203</v>
      </c>
      <c r="H5309" s="142" t="s">
        <v>21159</v>
      </c>
      <c r="I5309" s="142">
        <v>9</v>
      </c>
      <c r="J5309" s="142">
        <v>0</v>
      </c>
      <c r="K5309" s="142">
        <v>0</v>
      </c>
      <c r="L5309" s="142">
        <v>0</v>
      </c>
      <c r="M5309" s="142">
        <v>9</v>
      </c>
    </row>
    <row r="5310" spans="1:13" x14ac:dyDescent="0.45">
      <c r="A5310" s="142" t="s">
        <v>13009</v>
      </c>
      <c r="B5310" s="142" t="s">
        <v>15256</v>
      </c>
      <c r="C5310" s="142" t="s">
        <v>15847</v>
      </c>
      <c r="D5310" s="142" t="s">
        <v>15848</v>
      </c>
      <c r="E5310" s="142" t="s">
        <v>15849</v>
      </c>
      <c r="F5310" s="142" t="s">
        <v>8204</v>
      </c>
      <c r="G5310" s="142" t="s">
        <v>8203</v>
      </c>
      <c r="H5310" s="142" t="s">
        <v>21160</v>
      </c>
      <c r="I5310" s="142">
        <v>162</v>
      </c>
      <c r="J5310" s="142">
        <v>99</v>
      </c>
      <c r="K5310" s="142">
        <v>0</v>
      </c>
      <c r="L5310" s="142">
        <v>57</v>
      </c>
      <c r="M5310" s="142">
        <v>6</v>
      </c>
    </row>
    <row r="5311" spans="1:13" x14ac:dyDescent="0.45">
      <c r="A5311" s="142" t="s">
        <v>13093</v>
      </c>
      <c r="B5311" s="142" t="s">
        <v>14483</v>
      </c>
      <c r="C5311" s="142" t="s">
        <v>15860</v>
      </c>
      <c r="D5311" s="142" t="s">
        <v>15861</v>
      </c>
      <c r="E5311" s="142" t="s">
        <v>15849</v>
      </c>
      <c r="F5311" s="142" t="s">
        <v>8204</v>
      </c>
      <c r="G5311" s="142" t="s">
        <v>8203</v>
      </c>
      <c r="H5311" s="142" t="s">
        <v>21161</v>
      </c>
      <c r="I5311" s="142">
        <v>14</v>
      </c>
      <c r="J5311" s="142">
        <v>0</v>
      </c>
      <c r="K5311" s="142">
        <v>0</v>
      </c>
      <c r="L5311" s="142">
        <v>14</v>
      </c>
      <c r="M5311" s="142">
        <v>0</v>
      </c>
    </row>
    <row r="5312" spans="1:13" x14ac:dyDescent="0.45">
      <c r="A5312" s="142" t="s">
        <v>13041</v>
      </c>
      <c r="B5312" s="142" t="s">
        <v>14441</v>
      </c>
      <c r="C5312" s="142" t="s">
        <v>15847</v>
      </c>
      <c r="D5312" s="142" t="s">
        <v>15848</v>
      </c>
      <c r="E5312" s="142" t="s">
        <v>15849</v>
      </c>
      <c r="F5312" s="142" t="s">
        <v>8204</v>
      </c>
      <c r="G5312" s="142" t="s">
        <v>8203</v>
      </c>
      <c r="H5312" s="142" t="s">
        <v>21162</v>
      </c>
      <c r="I5312" s="142">
        <v>35</v>
      </c>
      <c r="J5312" s="142">
        <v>0</v>
      </c>
      <c r="K5312" s="142">
        <v>0</v>
      </c>
      <c r="L5312" s="142">
        <v>0</v>
      </c>
      <c r="M5312" s="142">
        <v>35</v>
      </c>
    </row>
    <row r="5313" spans="1:13" x14ac:dyDescent="0.45">
      <c r="A5313" s="142" t="s">
        <v>13095</v>
      </c>
      <c r="B5313" s="142" t="s">
        <v>15592</v>
      </c>
      <c r="C5313" s="142" t="s">
        <v>15847</v>
      </c>
      <c r="D5313" s="142" t="s">
        <v>15848</v>
      </c>
      <c r="E5313" s="142" t="s">
        <v>15849</v>
      </c>
      <c r="F5313" s="142" t="s">
        <v>8204</v>
      </c>
      <c r="G5313" s="142" t="s">
        <v>8203</v>
      </c>
      <c r="H5313" s="142" t="s">
        <v>21163</v>
      </c>
      <c r="I5313" s="142">
        <v>432</v>
      </c>
      <c r="J5313" s="142">
        <v>335</v>
      </c>
      <c r="K5313" s="142">
        <v>0</v>
      </c>
      <c r="L5313" s="142">
        <v>0</v>
      </c>
      <c r="M5313" s="142">
        <v>97</v>
      </c>
    </row>
    <row r="5314" spans="1:13" x14ac:dyDescent="0.45">
      <c r="A5314" s="142" t="s">
        <v>13165</v>
      </c>
      <c r="B5314" s="142" t="s">
        <v>15525</v>
      </c>
      <c r="C5314" s="142" t="s">
        <v>15860</v>
      </c>
      <c r="D5314" s="142" t="s">
        <v>15861</v>
      </c>
      <c r="E5314" s="142" t="s">
        <v>15849</v>
      </c>
      <c r="F5314" s="142" t="s">
        <v>8204</v>
      </c>
      <c r="G5314" s="142" t="s">
        <v>8203</v>
      </c>
      <c r="H5314" s="142" t="s">
        <v>21164</v>
      </c>
      <c r="I5314" s="142">
        <v>9</v>
      </c>
      <c r="J5314" s="142">
        <v>0</v>
      </c>
      <c r="K5314" s="142">
        <v>0</v>
      </c>
      <c r="L5314" s="142">
        <v>9</v>
      </c>
      <c r="M5314" s="142">
        <v>0</v>
      </c>
    </row>
    <row r="5315" spans="1:13" x14ac:dyDescent="0.45">
      <c r="A5315" s="142" t="s">
        <v>13042</v>
      </c>
      <c r="B5315" s="142" t="s">
        <v>15489</v>
      </c>
      <c r="C5315" s="142" t="s">
        <v>15847</v>
      </c>
      <c r="D5315" s="142" t="s">
        <v>15848</v>
      </c>
      <c r="E5315" s="142" t="s">
        <v>15849</v>
      </c>
      <c r="F5315" s="142" t="s">
        <v>8204</v>
      </c>
      <c r="G5315" s="142" t="s">
        <v>8203</v>
      </c>
      <c r="H5315" s="142" t="s">
        <v>21165</v>
      </c>
      <c r="I5315" s="142">
        <v>19</v>
      </c>
      <c r="J5315" s="142">
        <v>0</v>
      </c>
      <c r="K5315" s="142">
        <v>0</v>
      </c>
      <c r="L5315" s="142">
        <v>19</v>
      </c>
      <c r="M5315" s="142">
        <v>0</v>
      </c>
    </row>
    <row r="5316" spans="1:13" x14ac:dyDescent="0.45">
      <c r="A5316" s="142" t="s">
        <v>13332</v>
      </c>
      <c r="B5316" s="142" t="s">
        <v>14612</v>
      </c>
      <c r="C5316" s="142" t="s">
        <v>15860</v>
      </c>
      <c r="D5316" s="142" t="s">
        <v>15861</v>
      </c>
      <c r="E5316" s="142" t="s">
        <v>15849</v>
      </c>
      <c r="F5316" s="142" t="s">
        <v>8204</v>
      </c>
      <c r="G5316" s="142" t="s">
        <v>8203</v>
      </c>
      <c r="H5316" s="142" t="s">
        <v>21166</v>
      </c>
      <c r="I5316" s="142">
        <v>4</v>
      </c>
      <c r="J5316" s="142">
        <v>4</v>
      </c>
      <c r="K5316" s="142">
        <v>0</v>
      </c>
      <c r="L5316" s="142">
        <v>0</v>
      </c>
      <c r="M5316" s="142">
        <v>0</v>
      </c>
    </row>
    <row r="5317" spans="1:13" x14ac:dyDescent="0.45">
      <c r="A5317" s="142" t="s">
        <v>13167</v>
      </c>
      <c r="B5317" s="142" t="s">
        <v>15418</v>
      </c>
      <c r="C5317" s="142" t="s">
        <v>15847</v>
      </c>
      <c r="D5317" s="142" t="s">
        <v>15848</v>
      </c>
      <c r="E5317" s="142" t="s">
        <v>15849</v>
      </c>
      <c r="F5317" s="142" t="s">
        <v>9113</v>
      </c>
      <c r="G5317" s="142" t="s">
        <v>9112</v>
      </c>
      <c r="H5317" s="142" t="s">
        <v>21167</v>
      </c>
      <c r="I5317" s="142">
        <v>101</v>
      </c>
      <c r="J5317" s="142">
        <v>42</v>
      </c>
      <c r="K5317" s="142">
        <v>0</v>
      </c>
      <c r="L5317" s="142">
        <v>0</v>
      </c>
      <c r="M5317" s="142">
        <v>59</v>
      </c>
    </row>
    <row r="5318" spans="1:13" x14ac:dyDescent="0.45">
      <c r="A5318" s="142" t="s">
        <v>13072</v>
      </c>
      <c r="B5318" s="142" t="s">
        <v>15530</v>
      </c>
      <c r="C5318" s="142" t="s">
        <v>15847</v>
      </c>
      <c r="D5318" s="142" t="s">
        <v>15848</v>
      </c>
      <c r="E5318" s="142" t="s">
        <v>15849</v>
      </c>
      <c r="F5318" s="142" t="s">
        <v>9113</v>
      </c>
      <c r="G5318" s="142" t="s">
        <v>9112</v>
      </c>
      <c r="H5318" s="142" t="s">
        <v>21168</v>
      </c>
      <c r="I5318" s="142">
        <v>114</v>
      </c>
      <c r="J5318" s="142">
        <v>104</v>
      </c>
      <c r="K5318" s="142">
        <v>0</v>
      </c>
      <c r="L5318" s="142">
        <v>0</v>
      </c>
      <c r="M5318" s="142">
        <v>10</v>
      </c>
    </row>
    <row r="5319" spans="1:13" x14ac:dyDescent="0.45">
      <c r="A5319" s="142" t="s">
        <v>13023</v>
      </c>
      <c r="B5319" s="142" t="s">
        <v>15571</v>
      </c>
      <c r="C5319" s="142" t="s">
        <v>15847</v>
      </c>
      <c r="D5319" s="142" t="s">
        <v>15848</v>
      </c>
      <c r="E5319" s="142" t="s">
        <v>15849</v>
      </c>
      <c r="F5319" s="142" t="s">
        <v>9113</v>
      </c>
      <c r="G5319" s="142" t="s">
        <v>9112</v>
      </c>
      <c r="H5319" s="142" t="s">
        <v>21169</v>
      </c>
      <c r="I5319" s="142">
        <v>140</v>
      </c>
      <c r="J5319" s="142">
        <v>0</v>
      </c>
      <c r="K5319" s="142">
        <v>0</v>
      </c>
      <c r="L5319" s="142">
        <v>140</v>
      </c>
      <c r="M5319" s="142">
        <v>0</v>
      </c>
    </row>
    <row r="5320" spans="1:13" x14ac:dyDescent="0.45">
      <c r="A5320" s="142" t="s">
        <v>13048</v>
      </c>
      <c r="B5320" s="142" t="s">
        <v>14479</v>
      </c>
      <c r="C5320" s="142" t="s">
        <v>15847</v>
      </c>
      <c r="D5320" s="142" t="s">
        <v>15848</v>
      </c>
      <c r="E5320" s="142" t="s">
        <v>15849</v>
      </c>
      <c r="F5320" s="142" t="s">
        <v>9113</v>
      </c>
      <c r="G5320" s="142" t="s">
        <v>9112</v>
      </c>
      <c r="H5320" s="142" t="s">
        <v>21170</v>
      </c>
      <c r="I5320" s="142">
        <v>8</v>
      </c>
      <c r="J5320" s="142">
        <v>8</v>
      </c>
      <c r="K5320" s="142">
        <v>0</v>
      </c>
      <c r="L5320" s="142">
        <v>0</v>
      </c>
      <c r="M5320" s="142">
        <v>0</v>
      </c>
    </row>
    <row r="5321" spans="1:13" x14ac:dyDescent="0.45">
      <c r="A5321" s="142" t="s">
        <v>13354</v>
      </c>
      <c r="B5321" s="142" t="s">
        <v>15170</v>
      </c>
      <c r="C5321" s="142" t="s">
        <v>15860</v>
      </c>
      <c r="D5321" s="142" t="s">
        <v>15861</v>
      </c>
      <c r="E5321" s="142" t="s">
        <v>15849</v>
      </c>
      <c r="F5321" s="142" t="s">
        <v>9113</v>
      </c>
      <c r="G5321" s="142" t="s">
        <v>9112</v>
      </c>
      <c r="H5321" s="142" t="s">
        <v>21171</v>
      </c>
      <c r="I5321" s="142">
        <v>18</v>
      </c>
      <c r="J5321" s="142">
        <v>0</v>
      </c>
      <c r="K5321" s="142">
        <v>0</v>
      </c>
      <c r="L5321" s="142">
        <v>18</v>
      </c>
      <c r="M5321" s="142">
        <v>0</v>
      </c>
    </row>
    <row r="5322" spans="1:13" x14ac:dyDescent="0.45">
      <c r="A5322" s="142" t="s">
        <v>13000</v>
      </c>
      <c r="B5322" s="142" t="s">
        <v>14610</v>
      </c>
      <c r="C5322" s="142" t="s">
        <v>15847</v>
      </c>
      <c r="D5322" s="142" t="s">
        <v>15848</v>
      </c>
      <c r="E5322" s="142" t="s">
        <v>15849</v>
      </c>
      <c r="F5322" s="142" t="s">
        <v>9113</v>
      </c>
      <c r="G5322" s="142" t="s">
        <v>9112</v>
      </c>
      <c r="H5322" s="142" t="s">
        <v>21172</v>
      </c>
      <c r="I5322" s="142">
        <v>4605</v>
      </c>
      <c r="J5322" s="142">
        <v>4086</v>
      </c>
      <c r="K5322" s="142">
        <v>0</v>
      </c>
      <c r="L5322" s="142">
        <v>363</v>
      </c>
      <c r="M5322" s="142">
        <v>156</v>
      </c>
    </row>
    <row r="5323" spans="1:13" x14ac:dyDescent="0.45">
      <c r="A5323" s="142" t="s">
        <v>13575</v>
      </c>
      <c r="B5323" s="142" t="s">
        <v>15377</v>
      </c>
      <c r="C5323" s="142" t="s">
        <v>15860</v>
      </c>
      <c r="D5323" s="142" t="s">
        <v>15861</v>
      </c>
      <c r="E5323" s="142" t="s">
        <v>15849</v>
      </c>
      <c r="F5323" s="142" t="s">
        <v>9113</v>
      </c>
      <c r="G5323" s="142" t="s">
        <v>9112</v>
      </c>
      <c r="H5323" s="142" t="s">
        <v>21173</v>
      </c>
      <c r="I5323" s="142">
        <v>73</v>
      </c>
      <c r="J5323" s="142">
        <v>0</v>
      </c>
      <c r="K5323" s="142">
        <v>0</v>
      </c>
      <c r="L5323" s="142">
        <v>73</v>
      </c>
      <c r="M5323" s="142">
        <v>0</v>
      </c>
    </row>
    <row r="5324" spans="1:13" x14ac:dyDescent="0.45">
      <c r="A5324" s="142" t="s">
        <v>13074</v>
      </c>
      <c r="B5324" s="142" t="s">
        <v>15405</v>
      </c>
      <c r="C5324" s="142" t="s">
        <v>15847</v>
      </c>
      <c r="D5324" s="142" t="s">
        <v>15848</v>
      </c>
      <c r="E5324" s="142" t="s">
        <v>15849</v>
      </c>
      <c r="F5324" s="142" t="s">
        <v>9113</v>
      </c>
      <c r="G5324" s="142" t="s">
        <v>9112</v>
      </c>
      <c r="H5324" s="142" t="s">
        <v>21174</v>
      </c>
      <c r="I5324" s="142">
        <v>30</v>
      </c>
      <c r="J5324" s="142">
        <v>28</v>
      </c>
      <c r="K5324" s="142">
        <v>0</v>
      </c>
      <c r="L5324" s="142">
        <v>0</v>
      </c>
      <c r="M5324" s="142">
        <v>2</v>
      </c>
    </row>
    <row r="5325" spans="1:13" x14ac:dyDescent="0.45">
      <c r="A5325" s="142" t="s">
        <v>13993</v>
      </c>
      <c r="B5325" s="142" t="s">
        <v>15340</v>
      </c>
      <c r="C5325" s="142" t="s">
        <v>15860</v>
      </c>
      <c r="D5325" s="142" t="s">
        <v>15861</v>
      </c>
      <c r="E5325" s="142" t="s">
        <v>15849</v>
      </c>
      <c r="F5325" s="142" t="s">
        <v>9113</v>
      </c>
      <c r="G5325" s="142" t="s">
        <v>9112</v>
      </c>
      <c r="H5325" s="142" t="s">
        <v>21175</v>
      </c>
      <c r="I5325" s="142">
        <v>283</v>
      </c>
      <c r="J5325" s="142">
        <v>283</v>
      </c>
      <c r="K5325" s="142">
        <v>0</v>
      </c>
      <c r="L5325" s="142">
        <v>0</v>
      </c>
      <c r="M5325" s="142">
        <v>0</v>
      </c>
    </row>
    <row r="5326" spans="1:13" x14ac:dyDescent="0.45">
      <c r="A5326" s="142" t="s">
        <v>13027</v>
      </c>
      <c r="B5326" s="142" t="s">
        <v>14562</v>
      </c>
      <c r="C5326" s="142" t="s">
        <v>15847</v>
      </c>
      <c r="D5326" s="142" t="s">
        <v>15848</v>
      </c>
      <c r="E5326" s="142" t="s">
        <v>15849</v>
      </c>
      <c r="F5326" s="142" t="s">
        <v>9113</v>
      </c>
      <c r="G5326" s="142" t="s">
        <v>9112</v>
      </c>
      <c r="H5326" s="142" t="s">
        <v>21176</v>
      </c>
      <c r="I5326" s="142">
        <v>5</v>
      </c>
      <c r="J5326" s="142">
        <v>0</v>
      </c>
      <c r="K5326" s="142">
        <v>0</v>
      </c>
      <c r="L5326" s="142">
        <v>5</v>
      </c>
      <c r="M5326" s="142">
        <v>0</v>
      </c>
    </row>
    <row r="5327" spans="1:13" x14ac:dyDescent="0.45">
      <c r="A5327" s="142" t="s">
        <v>13050</v>
      </c>
      <c r="B5327" s="142" t="s">
        <v>15237</v>
      </c>
      <c r="C5327" s="142" t="s">
        <v>15847</v>
      </c>
      <c r="D5327" s="142" t="s">
        <v>15848</v>
      </c>
      <c r="E5327" s="142" t="s">
        <v>15849</v>
      </c>
      <c r="F5327" s="142" t="s">
        <v>9113</v>
      </c>
      <c r="G5327" s="142" t="s">
        <v>9112</v>
      </c>
      <c r="H5327" s="142" t="s">
        <v>21177</v>
      </c>
      <c r="I5327" s="142">
        <v>83</v>
      </c>
      <c r="J5327" s="142">
        <v>68</v>
      </c>
      <c r="K5327" s="142">
        <v>0</v>
      </c>
      <c r="L5327" s="142">
        <v>0</v>
      </c>
      <c r="M5327" s="142">
        <v>15</v>
      </c>
    </row>
    <row r="5328" spans="1:13" x14ac:dyDescent="0.45">
      <c r="A5328" s="142" t="s">
        <v>13028</v>
      </c>
      <c r="B5328" s="142" t="s">
        <v>14462</v>
      </c>
      <c r="C5328" s="142" t="s">
        <v>15847</v>
      </c>
      <c r="D5328" s="142" t="s">
        <v>15848</v>
      </c>
      <c r="E5328" s="142" t="s">
        <v>15849</v>
      </c>
      <c r="F5328" s="142" t="s">
        <v>9113</v>
      </c>
      <c r="G5328" s="142" t="s">
        <v>9112</v>
      </c>
      <c r="H5328" s="142" t="s">
        <v>21178</v>
      </c>
      <c r="I5328" s="142">
        <v>29</v>
      </c>
      <c r="J5328" s="142">
        <v>0</v>
      </c>
      <c r="K5328" s="142">
        <v>0</v>
      </c>
      <c r="L5328" s="142">
        <v>0</v>
      </c>
      <c r="M5328" s="142">
        <v>29</v>
      </c>
    </row>
    <row r="5329" spans="1:13" x14ac:dyDescent="0.45">
      <c r="A5329" s="142" t="s">
        <v>13002</v>
      </c>
      <c r="B5329" s="142" t="s">
        <v>15376</v>
      </c>
      <c r="C5329" s="142" t="s">
        <v>15847</v>
      </c>
      <c r="D5329" s="142" t="s">
        <v>15848</v>
      </c>
      <c r="E5329" s="142" t="s">
        <v>15849</v>
      </c>
      <c r="F5329" s="142" t="s">
        <v>9113</v>
      </c>
      <c r="G5329" s="142" t="s">
        <v>9112</v>
      </c>
      <c r="H5329" s="142" t="s">
        <v>21179</v>
      </c>
      <c r="I5329" s="142">
        <v>46</v>
      </c>
      <c r="J5329" s="142">
        <v>17</v>
      </c>
      <c r="K5329" s="142">
        <v>0</v>
      </c>
      <c r="L5329" s="142">
        <v>29</v>
      </c>
      <c r="M5329" s="142">
        <v>0</v>
      </c>
    </row>
    <row r="5330" spans="1:13" x14ac:dyDescent="0.45">
      <c r="A5330" s="142" t="s">
        <v>13003</v>
      </c>
      <c r="B5330" s="142" t="s">
        <v>15245</v>
      </c>
      <c r="C5330" s="142" t="s">
        <v>15847</v>
      </c>
      <c r="D5330" s="142" t="s">
        <v>15848</v>
      </c>
      <c r="E5330" s="142" t="s">
        <v>15849</v>
      </c>
      <c r="F5330" s="142" t="s">
        <v>9113</v>
      </c>
      <c r="G5330" s="142" t="s">
        <v>9112</v>
      </c>
      <c r="H5330" s="142" t="s">
        <v>21180</v>
      </c>
      <c r="I5330" s="142">
        <v>63</v>
      </c>
      <c r="J5330" s="142">
        <v>0</v>
      </c>
      <c r="K5330" s="142">
        <v>0</v>
      </c>
      <c r="L5330" s="142">
        <v>63</v>
      </c>
      <c r="M5330" s="142">
        <v>0</v>
      </c>
    </row>
    <row r="5331" spans="1:13" x14ac:dyDescent="0.45">
      <c r="A5331" s="142" t="s">
        <v>13004</v>
      </c>
      <c r="B5331" s="142" t="s">
        <v>15492</v>
      </c>
      <c r="C5331" s="142" t="s">
        <v>15847</v>
      </c>
      <c r="D5331" s="142" t="s">
        <v>15848</v>
      </c>
      <c r="E5331" s="142" t="s">
        <v>15849</v>
      </c>
      <c r="F5331" s="142" t="s">
        <v>9113</v>
      </c>
      <c r="G5331" s="142" t="s">
        <v>9112</v>
      </c>
      <c r="H5331" s="142" t="s">
        <v>21181</v>
      </c>
      <c r="I5331" s="142">
        <v>587</v>
      </c>
      <c r="J5331" s="142">
        <v>467</v>
      </c>
      <c r="K5331" s="142">
        <v>0</v>
      </c>
      <c r="L5331" s="142">
        <v>40</v>
      </c>
      <c r="M5331" s="142">
        <v>80</v>
      </c>
    </row>
    <row r="5332" spans="1:13" x14ac:dyDescent="0.45">
      <c r="A5332" s="142" t="s">
        <v>13994</v>
      </c>
      <c r="B5332" s="142" t="s">
        <v>14836</v>
      </c>
      <c r="C5332" s="142" t="s">
        <v>15860</v>
      </c>
      <c r="D5332" s="142" t="s">
        <v>15861</v>
      </c>
      <c r="E5332" s="142" t="s">
        <v>15849</v>
      </c>
      <c r="F5332" s="142" t="s">
        <v>9113</v>
      </c>
      <c r="G5332" s="142" t="s">
        <v>9112</v>
      </c>
      <c r="H5332" s="142" t="s">
        <v>21182</v>
      </c>
      <c r="I5332" s="142">
        <v>6</v>
      </c>
      <c r="J5332" s="142">
        <v>6</v>
      </c>
      <c r="K5332" s="142">
        <v>0</v>
      </c>
      <c r="L5332" s="142">
        <v>0</v>
      </c>
      <c r="M5332" s="142">
        <v>0</v>
      </c>
    </row>
    <row r="5333" spans="1:13" x14ac:dyDescent="0.45">
      <c r="A5333" s="142" t="s">
        <v>13178</v>
      </c>
      <c r="B5333" s="142" t="s">
        <v>14683</v>
      </c>
      <c r="C5333" s="142" t="s">
        <v>15847</v>
      </c>
      <c r="D5333" s="142" t="s">
        <v>15848</v>
      </c>
      <c r="E5333" s="142" t="s">
        <v>15849</v>
      </c>
      <c r="F5333" s="142" t="s">
        <v>9113</v>
      </c>
      <c r="G5333" s="142" t="s">
        <v>9112</v>
      </c>
      <c r="H5333" s="142" t="s">
        <v>21183</v>
      </c>
      <c r="I5333" s="142">
        <v>32</v>
      </c>
      <c r="J5333" s="142">
        <v>32</v>
      </c>
      <c r="K5333" s="142">
        <v>0</v>
      </c>
      <c r="L5333" s="142">
        <v>0</v>
      </c>
      <c r="M5333" s="142">
        <v>0</v>
      </c>
    </row>
    <row r="5334" spans="1:13" x14ac:dyDescent="0.45">
      <c r="A5334" s="142" t="s">
        <v>13076</v>
      </c>
      <c r="B5334" s="142" t="s">
        <v>14636</v>
      </c>
      <c r="C5334" s="142" t="s">
        <v>15847</v>
      </c>
      <c r="D5334" s="142" t="s">
        <v>15848</v>
      </c>
      <c r="E5334" s="142" t="s">
        <v>15849</v>
      </c>
      <c r="F5334" s="142" t="s">
        <v>9113</v>
      </c>
      <c r="G5334" s="142" t="s">
        <v>9112</v>
      </c>
      <c r="H5334" s="142" t="s">
        <v>21184</v>
      </c>
      <c r="I5334" s="142">
        <v>18</v>
      </c>
      <c r="J5334" s="142">
        <v>9</v>
      </c>
      <c r="K5334" s="142">
        <v>0</v>
      </c>
      <c r="L5334" s="142">
        <v>0</v>
      </c>
      <c r="M5334" s="142">
        <v>9</v>
      </c>
    </row>
    <row r="5335" spans="1:13" x14ac:dyDescent="0.45">
      <c r="A5335" s="142" t="s">
        <v>13005</v>
      </c>
      <c r="B5335" s="142" t="s">
        <v>15475</v>
      </c>
      <c r="C5335" s="142" t="s">
        <v>15847</v>
      </c>
      <c r="D5335" s="142" t="s">
        <v>15848</v>
      </c>
      <c r="E5335" s="142" t="s">
        <v>15849</v>
      </c>
      <c r="F5335" s="142" t="s">
        <v>9113</v>
      </c>
      <c r="G5335" s="142" t="s">
        <v>9112</v>
      </c>
      <c r="H5335" s="142" t="s">
        <v>21185</v>
      </c>
      <c r="I5335" s="142">
        <v>1</v>
      </c>
      <c r="J5335" s="142">
        <v>0</v>
      </c>
      <c r="K5335" s="142">
        <v>0</v>
      </c>
      <c r="L5335" s="142">
        <v>0</v>
      </c>
      <c r="M5335" s="142">
        <v>1</v>
      </c>
    </row>
    <row r="5336" spans="1:13" x14ac:dyDescent="0.45">
      <c r="A5336" s="142" t="s">
        <v>13006</v>
      </c>
      <c r="B5336" s="142" t="s">
        <v>15288</v>
      </c>
      <c r="C5336" s="142" t="s">
        <v>15847</v>
      </c>
      <c r="D5336" s="142" t="s">
        <v>15848</v>
      </c>
      <c r="E5336" s="142" t="s">
        <v>15849</v>
      </c>
      <c r="F5336" s="142" t="s">
        <v>9113</v>
      </c>
      <c r="G5336" s="142" t="s">
        <v>9112</v>
      </c>
      <c r="H5336" s="142" t="s">
        <v>21186</v>
      </c>
      <c r="I5336" s="142">
        <v>1</v>
      </c>
      <c r="J5336" s="142">
        <v>0</v>
      </c>
      <c r="K5336" s="142">
        <v>0</v>
      </c>
      <c r="L5336" s="142">
        <v>0</v>
      </c>
      <c r="M5336" s="142">
        <v>1</v>
      </c>
    </row>
    <row r="5337" spans="1:13" x14ac:dyDescent="0.45">
      <c r="A5337" s="142" t="s">
        <v>13007</v>
      </c>
      <c r="B5337" s="142" t="s">
        <v>15262</v>
      </c>
      <c r="C5337" s="142" t="s">
        <v>15847</v>
      </c>
      <c r="D5337" s="142" t="s">
        <v>15848</v>
      </c>
      <c r="E5337" s="142" t="s">
        <v>15849</v>
      </c>
      <c r="F5337" s="142" t="s">
        <v>9113</v>
      </c>
      <c r="G5337" s="142" t="s">
        <v>9112</v>
      </c>
      <c r="H5337" s="142" t="s">
        <v>21187</v>
      </c>
      <c r="I5337" s="142">
        <v>673</v>
      </c>
      <c r="J5337" s="142">
        <v>361</v>
      </c>
      <c r="K5337" s="142">
        <v>0</v>
      </c>
      <c r="L5337" s="142">
        <v>53</v>
      </c>
      <c r="M5337" s="142">
        <v>259</v>
      </c>
    </row>
    <row r="5338" spans="1:13" x14ac:dyDescent="0.45">
      <c r="A5338" s="142" t="s">
        <v>13008</v>
      </c>
      <c r="B5338" s="142" t="s">
        <v>15411</v>
      </c>
      <c r="C5338" s="142" t="s">
        <v>15847</v>
      </c>
      <c r="D5338" s="142" t="s">
        <v>15848</v>
      </c>
      <c r="E5338" s="142" t="s">
        <v>15849</v>
      </c>
      <c r="F5338" s="142" t="s">
        <v>9113</v>
      </c>
      <c r="G5338" s="142" t="s">
        <v>9112</v>
      </c>
      <c r="H5338" s="142" t="s">
        <v>21188</v>
      </c>
      <c r="I5338" s="142">
        <v>12</v>
      </c>
      <c r="J5338" s="142">
        <v>0</v>
      </c>
      <c r="K5338" s="142">
        <v>0</v>
      </c>
      <c r="L5338" s="142">
        <v>0</v>
      </c>
      <c r="M5338" s="142">
        <v>12</v>
      </c>
    </row>
    <row r="5339" spans="1:13" x14ac:dyDescent="0.45">
      <c r="A5339" s="142" t="s">
        <v>13077</v>
      </c>
      <c r="B5339" s="142" t="s">
        <v>15407</v>
      </c>
      <c r="C5339" s="142" t="s">
        <v>15847</v>
      </c>
      <c r="D5339" s="142" t="s">
        <v>15848</v>
      </c>
      <c r="E5339" s="142" t="s">
        <v>15849</v>
      </c>
      <c r="F5339" s="142" t="s">
        <v>9113</v>
      </c>
      <c r="G5339" s="142" t="s">
        <v>9112</v>
      </c>
      <c r="H5339" s="142" t="s">
        <v>21189</v>
      </c>
      <c r="I5339" s="142">
        <v>10</v>
      </c>
      <c r="J5339" s="142">
        <v>10</v>
      </c>
      <c r="K5339" s="142">
        <v>0</v>
      </c>
      <c r="L5339" s="142">
        <v>0</v>
      </c>
      <c r="M5339" s="142">
        <v>0</v>
      </c>
    </row>
    <row r="5340" spans="1:13" x14ac:dyDescent="0.45">
      <c r="A5340" s="142" t="s">
        <v>13104</v>
      </c>
      <c r="B5340" s="142" t="s">
        <v>14622</v>
      </c>
      <c r="C5340" s="142" t="s">
        <v>15847</v>
      </c>
      <c r="D5340" s="142" t="s">
        <v>15848</v>
      </c>
      <c r="E5340" s="142" t="s">
        <v>15849</v>
      </c>
      <c r="F5340" s="142" t="s">
        <v>9113</v>
      </c>
      <c r="G5340" s="142" t="s">
        <v>9112</v>
      </c>
      <c r="H5340" s="142" t="s">
        <v>21190</v>
      </c>
      <c r="I5340" s="142">
        <v>50</v>
      </c>
      <c r="J5340" s="142">
        <v>0</v>
      </c>
      <c r="K5340" s="142">
        <v>0</v>
      </c>
      <c r="L5340" s="142">
        <v>50</v>
      </c>
      <c r="M5340" s="142">
        <v>0</v>
      </c>
    </row>
    <row r="5341" spans="1:13" x14ac:dyDescent="0.45">
      <c r="A5341" s="142" t="s">
        <v>13831</v>
      </c>
      <c r="B5341" s="142" t="s">
        <v>14485</v>
      </c>
      <c r="C5341" s="142" t="s">
        <v>15860</v>
      </c>
      <c r="D5341" s="142" t="s">
        <v>15861</v>
      </c>
      <c r="E5341" s="142" t="s">
        <v>15849</v>
      </c>
      <c r="F5341" s="142" t="s">
        <v>9113</v>
      </c>
      <c r="G5341" s="142" t="s">
        <v>9112</v>
      </c>
      <c r="H5341" s="142" t="s">
        <v>21191</v>
      </c>
      <c r="I5341" s="142">
        <v>44</v>
      </c>
      <c r="J5341" s="142">
        <v>44</v>
      </c>
      <c r="K5341" s="142">
        <v>0</v>
      </c>
      <c r="L5341" s="142">
        <v>0</v>
      </c>
      <c r="M5341" s="142">
        <v>0</v>
      </c>
    </row>
    <row r="5342" spans="1:13" x14ac:dyDescent="0.45">
      <c r="A5342" s="142" t="s">
        <v>13033</v>
      </c>
      <c r="B5342" s="142" t="s">
        <v>15276</v>
      </c>
      <c r="C5342" s="142" t="s">
        <v>15847</v>
      </c>
      <c r="D5342" s="142" t="s">
        <v>15848</v>
      </c>
      <c r="E5342" s="142" t="s">
        <v>15849</v>
      </c>
      <c r="F5342" s="142" t="s">
        <v>9113</v>
      </c>
      <c r="G5342" s="142" t="s">
        <v>9112</v>
      </c>
      <c r="H5342" s="142" t="s">
        <v>21192</v>
      </c>
      <c r="I5342" s="142">
        <v>67</v>
      </c>
      <c r="J5342" s="142">
        <v>57</v>
      </c>
      <c r="K5342" s="142">
        <v>0</v>
      </c>
      <c r="L5342" s="142">
        <v>0</v>
      </c>
      <c r="M5342" s="142">
        <v>10</v>
      </c>
    </row>
    <row r="5343" spans="1:13" x14ac:dyDescent="0.45">
      <c r="A5343" s="142" t="s">
        <v>13569</v>
      </c>
      <c r="B5343" s="142" t="s">
        <v>15441</v>
      </c>
      <c r="C5343" s="142" t="s">
        <v>15847</v>
      </c>
      <c r="D5343" s="142" t="s">
        <v>15848</v>
      </c>
      <c r="E5343" s="142" t="s">
        <v>15849</v>
      </c>
      <c r="F5343" s="142" t="s">
        <v>9113</v>
      </c>
      <c r="G5343" s="142" t="s">
        <v>9112</v>
      </c>
      <c r="H5343" s="142" t="s">
        <v>21193</v>
      </c>
      <c r="I5343" s="142">
        <v>560</v>
      </c>
      <c r="J5343" s="142">
        <v>432</v>
      </c>
      <c r="K5343" s="142">
        <v>0</v>
      </c>
      <c r="L5343" s="142">
        <v>0</v>
      </c>
      <c r="M5343" s="142">
        <v>128</v>
      </c>
    </row>
    <row r="5344" spans="1:13" x14ac:dyDescent="0.45">
      <c r="A5344" s="142" t="s">
        <v>13179</v>
      </c>
      <c r="B5344" s="142" t="s">
        <v>14704</v>
      </c>
      <c r="C5344" s="142" t="s">
        <v>15860</v>
      </c>
      <c r="D5344" s="142" t="s">
        <v>15861</v>
      </c>
      <c r="E5344" s="142" t="s">
        <v>15849</v>
      </c>
      <c r="F5344" s="142" t="s">
        <v>9113</v>
      </c>
      <c r="G5344" s="142" t="s">
        <v>9112</v>
      </c>
      <c r="H5344" s="142" t="s">
        <v>21194</v>
      </c>
      <c r="I5344" s="142">
        <v>8</v>
      </c>
      <c r="J5344" s="142">
        <v>8</v>
      </c>
      <c r="K5344" s="142">
        <v>0</v>
      </c>
      <c r="L5344" s="142">
        <v>0</v>
      </c>
      <c r="M5344" s="142">
        <v>0</v>
      </c>
    </row>
    <row r="5345" spans="1:13" x14ac:dyDescent="0.45">
      <c r="A5345" s="142" t="s">
        <v>13038</v>
      </c>
      <c r="B5345" s="142" t="s">
        <v>14646</v>
      </c>
      <c r="C5345" s="142" t="s">
        <v>15847</v>
      </c>
      <c r="D5345" s="142" t="s">
        <v>15848</v>
      </c>
      <c r="E5345" s="142" t="s">
        <v>15849</v>
      </c>
      <c r="F5345" s="142" t="s">
        <v>9113</v>
      </c>
      <c r="G5345" s="142" t="s">
        <v>9112</v>
      </c>
      <c r="H5345" s="142" t="s">
        <v>21195</v>
      </c>
      <c r="I5345" s="142">
        <v>320</v>
      </c>
      <c r="J5345" s="142">
        <v>226</v>
      </c>
      <c r="K5345" s="142">
        <v>0</v>
      </c>
      <c r="L5345" s="142">
        <v>0</v>
      </c>
      <c r="M5345" s="142">
        <v>94</v>
      </c>
    </row>
    <row r="5346" spans="1:13" x14ac:dyDescent="0.45">
      <c r="A5346" s="142" t="s">
        <v>13039</v>
      </c>
      <c r="B5346" s="142" t="s">
        <v>14647</v>
      </c>
      <c r="C5346" s="142" t="s">
        <v>15847</v>
      </c>
      <c r="D5346" s="142" t="s">
        <v>15848</v>
      </c>
      <c r="E5346" s="142" t="s">
        <v>15849</v>
      </c>
      <c r="F5346" s="142" t="s">
        <v>9113</v>
      </c>
      <c r="G5346" s="142" t="s">
        <v>9112</v>
      </c>
      <c r="H5346" s="142" t="s">
        <v>21196</v>
      </c>
      <c r="I5346" s="142">
        <v>170</v>
      </c>
      <c r="J5346" s="142">
        <v>170</v>
      </c>
      <c r="K5346" s="142">
        <v>0</v>
      </c>
      <c r="L5346" s="142">
        <v>0</v>
      </c>
      <c r="M5346" s="142">
        <v>0</v>
      </c>
    </row>
    <row r="5347" spans="1:13" x14ac:dyDescent="0.45">
      <c r="A5347" s="142" t="s">
        <v>13056</v>
      </c>
      <c r="B5347" s="142" t="s">
        <v>15435</v>
      </c>
      <c r="C5347" s="142" t="s">
        <v>15847</v>
      </c>
      <c r="D5347" s="142" t="s">
        <v>15848</v>
      </c>
      <c r="E5347" s="142" t="s">
        <v>15849</v>
      </c>
      <c r="F5347" s="142" t="s">
        <v>9113</v>
      </c>
      <c r="G5347" s="142" t="s">
        <v>9112</v>
      </c>
      <c r="H5347" s="142" t="s">
        <v>21197</v>
      </c>
      <c r="I5347" s="142">
        <v>176</v>
      </c>
      <c r="J5347" s="142">
        <v>128</v>
      </c>
      <c r="K5347" s="142">
        <v>0</v>
      </c>
      <c r="L5347" s="142">
        <v>0</v>
      </c>
      <c r="M5347" s="142">
        <v>48</v>
      </c>
    </row>
    <row r="5348" spans="1:13" x14ac:dyDescent="0.45">
      <c r="A5348" s="142" t="s">
        <v>13010</v>
      </c>
      <c r="B5348" s="142" t="s">
        <v>15349</v>
      </c>
      <c r="C5348" s="142" t="s">
        <v>15860</v>
      </c>
      <c r="D5348" s="142" t="s">
        <v>15861</v>
      </c>
      <c r="E5348" s="142" t="s">
        <v>15849</v>
      </c>
      <c r="F5348" s="142" t="s">
        <v>9113</v>
      </c>
      <c r="G5348" s="142" t="s">
        <v>9112</v>
      </c>
      <c r="H5348" s="142" t="s">
        <v>21198</v>
      </c>
      <c r="I5348" s="142">
        <v>5</v>
      </c>
      <c r="J5348" s="142">
        <v>0</v>
      </c>
      <c r="K5348" s="142">
        <v>0</v>
      </c>
      <c r="L5348" s="142">
        <v>5</v>
      </c>
      <c r="M5348" s="142">
        <v>0</v>
      </c>
    </row>
    <row r="5349" spans="1:13" x14ac:dyDescent="0.45">
      <c r="A5349" s="142" t="s">
        <v>13011</v>
      </c>
      <c r="B5349" s="142" t="s">
        <v>14695</v>
      </c>
      <c r="C5349" s="142" t="s">
        <v>15847</v>
      </c>
      <c r="D5349" s="142" t="s">
        <v>15848</v>
      </c>
      <c r="E5349" s="142" t="s">
        <v>15849</v>
      </c>
      <c r="F5349" s="142" t="s">
        <v>9113</v>
      </c>
      <c r="G5349" s="142" t="s">
        <v>9112</v>
      </c>
      <c r="H5349" s="142" t="s">
        <v>21199</v>
      </c>
      <c r="I5349" s="142">
        <v>246</v>
      </c>
      <c r="J5349" s="142">
        <v>219</v>
      </c>
      <c r="K5349" s="142">
        <v>0</v>
      </c>
      <c r="L5349" s="142">
        <v>20</v>
      </c>
      <c r="M5349" s="142">
        <v>7</v>
      </c>
    </row>
    <row r="5350" spans="1:13" x14ac:dyDescent="0.45">
      <c r="A5350" s="142" t="s">
        <v>13058</v>
      </c>
      <c r="B5350" s="142" t="s">
        <v>14584</v>
      </c>
      <c r="C5350" s="142" t="s">
        <v>15847</v>
      </c>
      <c r="D5350" s="142" t="s">
        <v>15848</v>
      </c>
      <c r="E5350" s="142" t="s">
        <v>15849</v>
      </c>
      <c r="F5350" s="142" t="s">
        <v>9113</v>
      </c>
      <c r="G5350" s="142" t="s">
        <v>9112</v>
      </c>
      <c r="H5350" s="142" t="s">
        <v>21200</v>
      </c>
      <c r="I5350" s="142">
        <v>71</v>
      </c>
      <c r="J5350" s="142">
        <v>52</v>
      </c>
      <c r="K5350" s="142">
        <v>0</v>
      </c>
      <c r="L5350" s="142">
        <v>0</v>
      </c>
      <c r="M5350" s="142">
        <v>19</v>
      </c>
    </row>
    <row r="5351" spans="1:13" x14ac:dyDescent="0.45">
      <c r="A5351" s="142" t="s">
        <v>13041</v>
      </c>
      <c r="B5351" s="142" t="s">
        <v>14441</v>
      </c>
      <c r="C5351" s="142" t="s">
        <v>15847</v>
      </c>
      <c r="D5351" s="142" t="s">
        <v>15848</v>
      </c>
      <c r="E5351" s="142" t="s">
        <v>15849</v>
      </c>
      <c r="F5351" s="142" t="s">
        <v>9113</v>
      </c>
      <c r="G5351" s="142" t="s">
        <v>9112</v>
      </c>
      <c r="H5351" s="142" t="s">
        <v>21201</v>
      </c>
      <c r="I5351" s="142">
        <v>36</v>
      </c>
      <c r="J5351" s="142">
        <v>0</v>
      </c>
      <c r="K5351" s="142">
        <v>0</v>
      </c>
      <c r="L5351" s="142">
        <v>0</v>
      </c>
      <c r="M5351" s="142">
        <v>36</v>
      </c>
    </row>
    <row r="5352" spans="1:13" x14ac:dyDescent="0.45">
      <c r="A5352" s="142" t="s">
        <v>13205</v>
      </c>
      <c r="B5352" s="142" t="s">
        <v>14496</v>
      </c>
      <c r="C5352" s="142" t="s">
        <v>15847</v>
      </c>
      <c r="D5352" s="142" t="s">
        <v>15848</v>
      </c>
      <c r="E5352" s="142" t="s">
        <v>15849</v>
      </c>
      <c r="F5352" s="142" t="s">
        <v>9113</v>
      </c>
      <c r="G5352" s="142" t="s">
        <v>9112</v>
      </c>
      <c r="H5352" s="142" t="s">
        <v>21202</v>
      </c>
      <c r="I5352" s="142">
        <v>14</v>
      </c>
      <c r="J5352" s="142">
        <v>14</v>
      </c>
      <c r="K5352" s="142">
        <v>0</v>
      </c>
      <c r="L5352" s="142">
        <v>0</v>
      </c>
      <c r="M5352" s="142">
        <v>0</v>
      </c>
    </row>
    <row r="5353" spans="1:13" x14ac:dyDescent="0.45">
      <c r="A5353" s="142" t="s">
        <v>13012</v>
      </c>
      <c r="B5353" s="142" t="s">
        <v>15337</v>
      </c>
      <c r="C5353" s="142" t="s">
        <v>15847</v>
      </c>
      <c r="D5353" s="142" t="s">
        <v>15848</v>
      </c>
      <c r="E5353" s="142" t="s">
        <v>15849</v>
      </c>
      <c r="F5353" s="142" t="s">
        <v>9113</v>
      </c>
      <c r="G5353" s="142" t="s">
        <v>9112</v>
      </c>
      <c r="H5353" s="142" t="s">
        <v>21203</v>
      </c>
      <c r="I5353" s="142">
        <v>50</v>
      </c>
      <c r="J5353" s="142">
        <v>50</v>
      </c>
      <c r="K5353" s="142">
        <v>0</v>
      </c>
      <c r="L5353" s="142">
        <v>0</v>
      </c>
      <c r="M5353" s="142">
        <v>0</v>
      </c>
    </row>
    <row r="5354" spans="1:13" x14ac:dyDescent="0.45">
      <c r="A5354" s="142" t="s">
        <v>13491</v>
      </c>
      <c r="B5354" s="142" t="s">
        <v>14520</v>
      </c>
      <c r="C5354" s="142" t="s">
        <v>15860</v>
      </c>
      <c r="D5354" s="142" t="s">
        <v>15861</v>
      </c>
      <c r="E5354" s="142" t="s">
        <v>15849</v>
      </c>
      <c r="F5354" s="142" t="s">
        <v>9113</v>
      </c>
      <c r="G5354" s="142" t="s">
        <v>9112</v>
      </c>
      <c r="H5354" s="142" t="s">
        <v>21204</v>
      </c>
      <c r="I5354" s="142">
        <v>4</v>
      </c>
      <c r="J5354" s="142">
        <v>0</v>
      </c>
      <c r="K5354" s="142">
        <v>0</v>
      </c>
      <c r="L5354" s="142">
        <v>4</v>
      </c>
      <c r="M5354" s="142">
        <v>0</v>
      </c>
    </row>
    <row r="5355" spans="1:13" x14ac:dyDescent="0.45">
      <c r="A5355" s="142" t="s">
        <v>13361</v>
      </c>
      <c r="B5355" s="142" t="s">
        <v>15493</v>
      </c>
      <c r="C5355" s="142" t="s">
        <v>15860</v>
      </c>
      <c r="D5355" s="142" t="s">
        <v>15861</v>
      </c>
      <c r="E5355" s="142" t="s">
        <v>15849</v>
      </c>
      <c r="F5355" s="142" t="s">
        <v>9113</v>
      </c>
      <c r="G5355" s="142" t="s">
        <v>9112</v>
      </c>
      <c r="H5355" s="142" t="s">
        <v>21205</v>
      </c>
      <c r="I5355" s="142">
        <v>76</v>
      </c>
      <c r="J5355" s="142">
        <v>0</v>
      </c>
      <c r="K5355" s="142">
        <v>0</v>
      </c>
      <c r="L5355" s="142">
        <v>76</v>
      </c>
      <c r="M5355" s="142">
        <v>0</v>
      </c>
    </row>
    <row r="5356" spans="1:13" x14ac:dyDescent="0.45">
      <c r="A5356" s="142" t="s">
        <v>13014</v>
      </c>
      <c r="B5356" s="142" t="s">
        <v>14505</v>
      </c>
      <c r="C5356" s="142" t="s">
        <v>15847</v>
      </c>
      <c r="D5356" s="142" t="s">
        <v>15848</v>
      </c>
      <c r="E5356" s="142" t="s">
        <v>15849</v>
      </c>
      <c r="F5356" s="142" t="s">
        <v>9113</v>
      </c>
      <c r="G5356" s="142" t="s">
        <v>9112</v>
      </c>
      <c r="H5356" s="142" t="s">
        <v>21206</v>
      </c>
      <c r="I5356" s="142">
        <v>71</v>
      </c>
      <c r="J5356" s="142">
        <v>59</v>
      </c>
      <c r="K5356" s="142">
        <v>0</v>
      </c>
      <c r="L5356" s="142">
        <v>0</v>
      </c>
      <c r="M5356" s="142">
        <v>12</v>
      </c>
    </row>
    <row r="5357" spans="1:13" x14ac:dyDescent="0.45">
      <c r="A5357" s="142" t="s">
        <v>13174</v>
      </c>
      <c r="B5357" s="142" t="s">
        <v>15280</v>
      </c>
      <c r="C5357" s="142" t="s">
        <v>15847</v>
      </c>
      <c r="D5357" s="142" t="s">
        <v>15848</v>
      </c>
      <c r="E5357" s="142" t="s">
        <v>15849</v>
      </c>
      <c r="F5357" s="142" t="s">
        <v>9113</v>
      </c>
      <c r="G5357" s="142" t="s">
        <v>9112</v>
      </c>
      <c r="H5357" s="142" t="s">
        <v>21207</v>
      </c>
      <c r="I5357" s="142">
        <v>90</v>
      </c>
      <c r="J5357" s="142">
        <v>66</v>
      </c>
      <c r="K5357" s="142">
        <v>0</v>
      </c>
      <c r="L5357" s="142">
        <v>0</v>
      </c>
      <c r="M5357" s="142">
        <v>24</v>
      </c>
    </row>
    <row r="5358" spans="1:13" x14ac:dyDescent="0.45">
      <c r="A5358" s="142" t="s">
        <v>13079</v>
      </c>
      <c r="B5358" s="142" t="s">
        <v>15431</v>
      </c>
      <c r="C5358" s="142" t="s">
        <v>15847</v>
      </c>
      <c r="D5358" s="142" t="s">
        <v>15848</v>
      </c>
      <c r="E5358" s="142" t="s">
        <v>15849</v>
      </c>
      <c r="F5358" s="142" t="s">
        <v>9113</v>
      </c>
      <c r="G5358" s="142" t="s">
        <v>9112</v>
      </c>
      <c r="H5358" s="142" t="s">
        <v>21208</v>
      </c>
      <c r="I5358" s="142">
        <v>24</v>
      </c>
      <c r="J5358" s="142">
        <v>19</v>
      </c>
      <c r="K5358" s="142">
        <v>0</v>
      </c>
      <c r="L5358" s="142">
        <v>0</v>
      </c>
      <c r="M5358" s="142">
        <v>5</v>
      </c>
    </row>
    <row r="5359" spans="1:13" x14ac:dyDescent="0.45">
      <c r="A5359" s="142" t="s">
        <v>13017</v>
      </c>
      <c r="B5359" s="142" t="s">
        <v>15580</v>
      </c>
      <c r="C5359" s="142" t="s">
        <v>15847</v>
      </c>
      <c r="D5359" s="142" t="s">
        <v>15848</v>
      </c>
      <c r="E5359" s="142" t="s">
        <v>15849</v>
      </c>
      <c r="F5359" s="142" t="s">
        <v>9113</v>
      </c>
      <c r="G5359" s="142" t="s">
        <v>9112</v>
      </c>
      <c r="H5359" s="142" t="s">
        <v>21209</v>
      </c>
      <c r="I5359" s="142">
        <v>58</v>
      </c>
      <c r="J5359" s="142">
        <v>30</v>
      </c>
      <c r="K5359" s="142">
        <v>0</v>
      </c>
      <c r="L5359" s="142">
        <v>20</v>
      </c>
      <c r="M5359" s="142">
        <v>8</v>
      </c>
    </row>
    <row r="5360" spans="1:13" x14ac:dyDescent="0.45">
      <c r="A5360" s="142" t="s">
        <v>13072</v>
      </c>
      <c r="B5360" s="142" t="s">
        <v>15530</v>
      </c>
      <c r="C5360" s="142" t="s">
        <v>15847</v>
      </c>
      <c r="D5360" s="142" t="s">
        <v>15848</v>
      </c>
      <c r="E5360" s="142" t="s">
        <v>15849</v>
      </c>
      <c r="F5360" s="142" t="s">
        <v>352</v>
      </c>
      <c r="G5360" s="142" t="s">
        <v>351</v>
      </c>
      <c r="H5360" s="142" t="s">
        <v>21210</v>
      </c>
      <c r="I5360" s="142">
        <v>490</v>
      </c>
      <c r="J5360" s="142">
        <v>421</v>
      </c>
      <c r="K5360" s="142">
        <v>0</v>
      </c>
      <c r="L5360" s="142">
        <v>54</v>
      </c>
      <c r="M5360" s="142">
        <v>15</v>
      </c>
    </row>
    <row r="5361" spans="1:13" x14ac:dyDescent="0.45">
      <c r="A5361" s="142" t="s">
        <v>13023</v>
      </c>
      <c r="B5361" s="142" t="s">
        <v>15571</v>
      </c>
      <c r="C5361" s="142" t="s">
        <v>15847</v>
      </c>
      <c r="D5361" s="142" t="s">
        <v>15848</v>
      </c>
      <c r="E5361" s="142" t="s">
        <v>15849</v>
      </c>
      <c r="F5361" s="142" t="s">
        <v>352</v>
      </c>
      <c r="G5361" s="142" t="s">
        <v>351</v>
      </c>
      <c r="H5361" s="142" t="s">
        <v>21211</v>
      </c>
      <c r="I5361" s="142">
        <v>167</v>
      </c>
      <c r="J5361" s="142">
        <v>0</v>
      </c>
      <c r="K5361" s="142">
        <v>0</v>
      </c>
      <c r="L5361" s="142">
        <v>167</v>
      </c>
      <c r="M5361" s="142">
        <v>0</v>
      </c>
    </row>
    <row r="5362" spans="1:13" x14ac:dyDescent="0.45">
      <c r="A5362" s="142" t="s">
        <v>13113</v>
      </c>
      <c r="B5362" s="142" t="s">
        <v>14503</v>
      </c>
      <c r="C5362" s="142" t="s">
        <v>15860</v>
      </c>
      <c r="D5362" s="142" t="s">
        <v>15861</v>
      </c>
      <c r="E5362" s="142" t="s">
        <v>15849</v>
      </c>
      <c r="F5362" s="142" t="s">
        <v>352</v>
      </c>
      <c r="G5362" s="142" t="s">
        <v>351</v>
      </c>
      <c r="H5362" s="142" t="s">
        <v>21212</v>
      </c>
      <c r="I5362" s="142">
        <v>1</v>
      </c>
      <c r="J5362" s="142">
        <v>1</v>
      </c>
      <c r="K5362" s="142">
        <v>0</v>
      </c>
      <c r="L5362" s="142">
        <v>0</v>
      </c>
      <c r="M5362" s="142">
        <v>0</v>
      </c>
    </row>
    <row r="5363" spans="1:13" x14ac:dyDescent="0.45">
      <c r="A5363" s="142" t="s">
        <v>13547</v>
      </c>
      <c r="B5363" s="142" t="s">
        <v>14613</v>
      </c>
      <c r="C5363" s="142" t="s">
        <v>15847</v>
      </c>
      <c r="D5363" s="142" t="s">
        <v>15848</v>
      </c>
      <c r="E5363" s="142" t="s">
        <v>15849</v>
      </c>
      <c r="F5363" s="142" t="s">
        <v>352</v>
      </c>
      <c r="G5363" s="142" t="s">
        <v>351</v>
      </c>
      <c r="H5363" s="142" t="s">
        <v>21213</v>
      </c>
      <c r="I5363" s="142">
        <v>15</v>
      </c>
      <c r="J5363" s="142">
        <v>0</v>
      </c>
      <c r="K5363" s="142">
        <v>0</v>
      </c>
      <c r="L5363" s="142">
        <v>15</v>
      </c>
      <c r="M5363" s="142">
        <v>0</v>
      </c>
    </row>
    <row r="5364" spans="1:13" x14ac:dyDescent="0.45">
      <c r="A5364" s="142" t="s">
        <v>13594</v>
      </c>
      <c r="B5364" s="142" t="s">
        <v>15597</v>
      </c>
      <c r="C5364" s="142" t="s">
        <v>15847</v>
      </c>
      <c r="D5364" s="142" t="s">
        <v>15848</v>
      </c>
      <c r="E5364" s="142" t="s">
        <v>15849</v>
      </c>
      <c r="F5364" s="142" t="s">
        <v>352</v>
      </c>
      <c r="G5364" s="142" t="s">
        <v>351</v>
      </c>
      <c r="H5364" s="142" t="s">
        <v>21214</v>
      </c>
      <c r="I5364" s="142">
        <v>117</v>
      </c>
      <c r="J5364" s="142">
        <v>97</v>
      </c>
      <c r="K5364" s="142">
        <v>0</v>
      </c>
      <c r="L5364" s="142">
        <v>7</v>
      </c>
      <c r="M5364" s="142">
        <v>13</v>
      </c>
    </row>
    <row r="5365" spans="1:13" x14ac:dyDescent="0.45">
      <c r="A5365" s="142" t="s">
        <v>13238</v>
      </c>
      <c r="B5365" s="142" t="s">
        <v>14477</v>
      </c>
      <c r="C5365" s="142" t="s">
        <v>15860</v>
      </c>
      <c r="D5365" s="142" t="s">
        <v>15861</v>
      </c>
      <c r="E5365" s="142" t="s">
        <v>15849</v>
      </c>
      <c r="F5365" s="142" t="s">
        <v>352</v>
      </c>
      <c r="G5365" s="142" t="s">
        <v>351</v>
      </c>
      <c r="H5365" s="142" t="s">
        <v>21215</v>
      </c>
      <c r="I5365" s="142">
        <v>7</v>
      </c>
      <c r="J5365" s="142">
        <v>0</v>
      </c>
      <c r="K5365" s="142">
        <v>0</v>
      </c>
      <c r="L5365" s="142">
        <v>7</v>
      </c>
      <c r="M5365" s="142">
        <v>0</v>
      </c>
    </row>
    <row r="5366" spans="1:13" x14ac:dyDescent="0.45">
      <c r="A5366" s="142" t="s">
        <v>13574</v>
      </c>
      <c r="B5366" s="142" t="s">
        <v>14553</v>
      </c>
      <c r="C5366" s="142" t="s">
        <v>15860</v>
      </c>
      <c r="D5366" s="142" t="s">
        <v>15861</v>
      </c>
      <c r="E5366" s="142" t="s">
        <v>15849</v>
      </c>
      <c r="F5366" s="142" t="s">
        <v>352</v>
      </c>
      <c r="G5366" s="142" t="s">
        <v>351</v>
      </c>
      <c r="H5366" s="142" t="s">
        <v>21216</v>
      </c>
      <c r="I5366" s="142">
        <v>14</v>
      </c>
      <c r="J5366" s="142">
        <v>0</v>
      </c>
      <c r="K5366" s="142">
        <v>0</v>
      </c>
      <c r="L5366" s="142">
        <v>14</v>
      </c>
      <c r="M5366" s="142">
        <v>0</v>
      </c>
    </row>
    <row r="5367" spans="1:13" x14ac:dyDescent="0.45">
      <c r="A5367" s="142" t="s">
        <v>13119</v>
      </c>
      <c r="B5367" s="142" t="s">
        <v>14451</v>
      </c>
      <c r="C5367" s="142" t="s">
        <v>15860</v>
      </c>
      <c r="D5367" s="142" t="s">
        <v>15861</v>
      </c>
      <c r="E5367" s="142" t="s">
        <v>15849</v>
      </c>
      <c r="F5367" s="142" t="s">
        <v>352</v>
      </c>
      <c r="G5367" s="142" t="s">
        <v>351</v>
      </c>
      <c r="H5367" s="142" t="s">
        <v>21217</v>
      </c>
      <c r="I5367" s="142">
        <v>5</v>
      </c>
      <c r="J5367" s="142">
        <v>0</v>
      </c>
      <c r="K5367" s="142">
        <v>0</v>
      </c>
      <c r="L5367" s="142">
        <v>5</v>
      </c>
      <c r="M5367" s="142">
        <v>0</v>
      </c>
    </row>
    <row r="5368" spans="1:13" x14ac:dyDescent="0.45">
      <c r="A5368" s="142" t="s">
        <v>13099</v>
      </c>
      <c r="B5368" s="142" t="s">
        <v>14547</v>
      </c>
      <c r="C5368" s="142" t="s">
        <v>15860</v>
      </c>
      <c r="D5368" s="142" t="s">
        <v>15861</v>
      </c>
      <c r="E5368" s="142" t="s">
        <v>15849</v>
      </c>
      <c r="F5368" s="142" t="s">
        <v>352</v>
      </c>
      <c r="G5368" s="142" t="s">
        <v>351</v>
      </c>
      <c r="H5368" s="142" t="s">
        <v>21218</v>
      </c>
      <c r="I5368" s="142">
        <v>9</v>
      </c>
      <c r="J5368" s="142">
        <v>0</v>
      </c>
      <c r="K5368" s="142">
        <v>0</v>
      </c>
      <c r="L5368" s="142">
        <v>9</v>
      </c>
      <c r="M5368" s="142">
        <v>0</v>
      </c>
    </row>
    <row r="5369" spans="1:13" x14ac:dyDescent="0.45">
      <c r="A5369" s="142" t="s">
        <v>13027</v>
      </c>
      <c r="B5369" s="142" t="s">
        <v>14562</v>
      </c>
      <c r="C5369" s="142" t="s">
        <v>15847</v>
      </c>
      <c r="D5369" s="142" t="s">
        <v>15848</v>
      </c>
      <c r="E5369" s="142" t="s">
        <v>15849</v>
      </c>
      <c r="F5369" s="142" t="s">
        <v>352</v>
      </c>
      <c r="G5369" s="142" t="s">
        <v>351</v>
      </c>
      <c r="H5369" s="142" t="s">
        <v>21219</v>
      </c>
      <c r="I5369" s="142">
        <v>6</v>
      </c>
      <c r="J5369" s="142">
        <v>0</v>
      </c>
      <c r="K5369" s="142">
        <v>0</v>
      </c>
      <c r="L5369" s="142">
        <v>6</v>
      </c>
      <c r="M5369" s="142">
        <v>0</v>
      </c>
    </row>
    <row r="5370" spans="1:13" x14ac:dyDescent="0.45">
      <c r="A5370" s="142" t="s">
        <v>13001</v>
      </c>
      <c r="B5370" s="142" t="s">
        <v>15506</v>
      </c>
      <c r="C5370" s="142" t="s">
        <v>15847</v>
      </c>
      <c r="D5370" s="142" t="s">
        <v>15848</v>
      </c>
      <c r="E5370" s="142" t="s">
        <v>15849</v>
      </c>
      <c r="F5370" s="142" t="s">
        <v>352</v>
      </c>
      <c r="G5370" s="142" t="s">
        <v>351</v>
      </c>
      <c r="H5370" s="142" t="s">
        <v>21220</v>
      </c>
      <c r="I5370" s="142">
        <v>237</v>
      </c>
      <c r="J5370" s="142">
        <v>197</v>
      </c>
      <c r="K5370" s="142">
        <v>0</v>
      </c>
      <c r="L5370" s="142">
        <v>40</v>
      </c>
      <c r="M5370" s="142">
        <v>0</v>
      </c>
    </row>
    <row r="5371" spans="1:13" x14ac:dyDescent="0.45">
      <c r="A5371" s="142" t="s">
        <v>13028</v>
      </c>
      <c r="B5371" s="142" t="s">
        <v>14462</v>
      </c>
      <c r="C5371" s="142" t="s">
        <v>15847</v>
      </c>
      <c r="D5371" s="142" t="s">
        <v>15848</v>
      </c>
      <c r="E5371" s="142" t="s">
        <v>15849</v>
      </c>
      <c r="F5371" s="142" t="s">
        <v>352</v>
      </c>
      <c r="G5371" s="142" t="s">
        <v>351</v>
      </c>
      <c r="H5371" s="142" t="s">
        <v>21221</v>
      </c>
      <c r="I5371" s="142">
        <v>25</v>
      </c>
      <c r="J5371" s="142">
        <v>0</v>
      </c>
      <c r="K5371" s="142">
        <v>0</v>
      </c>
      <c r="L5371" s="142">
        <v>0</v>
      </c>
      <c r="M5371" s="142">
        <v>25</v>
      </c>
    </row>
    <row r="5372" spans="1:13" x14ac:dyDescent="0.45">
      <c r="A5372" s="142" t="s">
        <v>13002</v>
      </c>
      <c r="B5372" s="142" t="s">
        <v>15376</v>
      </c>
      <c r="C5372" s="142" t="s">
        <v>15847</v>
      </c>
      <c r="D5372" s="142" t="s">
        <v>15848</v>
      </c>
      <c r="E5372" s="142" t="s">
        <v>15849</v>
      </c>
      <c r="F5372" s="142" t="s">
        <v>352</v>
      </c>
      <c r="G5372" s="142" t="s">
        <v>351</v>
      </c>
      <c r="H5372" s="142" t="s">
        <v>21222</v>
      </c>
      <c r="I5372" s="142">
        <v>890</v>
      </c>
      <c r="J5372" s="142">
        <v>687</v>
      </c>
      <c r="K5372" s="142">
        <v>0</v>
      </c>
      <c r="L5372" s="142">
        <v>170</v>
      </c>
      <c r="M5372" s="142">
        <v>33</v>
      </c>
    </row>
    <row r="5373" spans="1:13" x14ac:dyDescent="0.45">
      <c r="A5373" s="142" t="s">
        <v>13003</v>
      </c>
      <c r="B5373" s="142" t="s">
        <v>15245</v>
      </c>
      <c r="C5373" s="142" t="s">
        <v>15847</v>
      </c>
      <c r="D5373" s="142" t="s">
        <v>15848</v>
      </c>
      <c r="E5373" s="142" t="s">
        <v>15849</v>
      </c>
      <c r="F5373" s="142" t="s">
        <v>352</v>
      </c>
      <c r="G5373" s="142" t="s">
        <v>351</v>
      </c>
      <c r="H5373" s="142" t="s">
        <v>21223</v>
      </c>
      <c r="I5373" s="142">
        <v>71</v>
      </c>
      <c r="J5373" s="142">
        <v>0</v>
      </c>
      <c r="K5373" s="142">
        <v>0</v>
      </c>
      <c r="L5373" s="142">
        <v>71</v>
      </c>
      <c r="M5373" s="142">
        <v>0</v>
      </c>
    </row>
    <row r="5374" spans="1:13" x14ac:dyDescent="0.45">
      <c r="A5374" s="142" t="s">
        <v>13066</v>
      </c>
      <c r="B5374" s="142" t="s">
        <v>14459</v>
      </c>
      <c r="C5374" s="142" t="s">
        <v>15847</v>
      </c>
      <c r="D5374" s="142" t="s">
        <v>15848</v>
      </c>
      <c r="E5374" s="142" t="s">
        <v>15849</v>
      </c>
      <c r="F5374" s="142" t="s">
        <v>352</v>
      </c>
      <c r="G5374" s="142" t="s">
        <v>351</v>
      </c>
      <c r="H5374" s="142" t="s">
        <v>21224</v>
      </c>
      <c r="I5374" s="142">
        <v>3</v>
      </c>
      <c r="J5374" s="142">
        <v>0</v>
      </c>
      <c r="K5374" s="142">
        <v>0</v>
      </c>
      <c r="L5374" s="142">
        <v>3</v>
      </c>
      <c r="M5374" s="142">
        <v>0</v>
      </c>
    </row>
    <row r="5375" spans="1:13" x14ac:dyDescent="0.45">
      <c r="A5375" s="142" t="s">
        <v>13557</v>
      </c>
      <c r="B5375" s="142" t="s">
        <v>14592</v>
      </c>
      <c r="C5375" s="142" t="s">
        <v>15847</v>
      </c>
      <c r="D5375" s="142" t="s">
        <v>15848</v>
      </c>
      <c r="E5375" s="142" t="s">
        <v>15849</v>
      </c>
      <c r="F5375" s="142" t="s">
        <v>352</v>
      </c>
      <c r="G5375" s="142" t="s">
        <v>351</v>
      </c>
      <c r="H5375" s="142" t="s">
        <v>21225</v>
      </c>
      <c r="I5375" s="142">
        <v>212</v>
      </c>
      <c r="J5375" s="142">
        <v>152</v>
      </c>
      <c r="K5375" s="142">
        <v>0</v>
      </c>
      <c r="L5375" s="142">
        <v>42</v>
      </c>
      <c r="M5375" s="142">
        <v>18</v>
      </c>
    </row>
    <row r="5376" spans="1:13" x14ac:dyDescent="0.45">
      <c r="A5376" s="142" t="s">
        <v>13076</v>
      </c>
      <c r="B5376" s="142" t="s">
        <v>14636</v>
      </c>
      <c r="C5376" s="142" t="s">
        <v>15847</v>
      </c>
      <c r="D5376" s="142" t="s">
        <v>15848</v>
      </c>
      <c r="E5376" s="142" t="s">
        <v>15849</v>
      </c>
      <c r="F5376" s="142" t="s">
        <v>352</v>
      </c>
      <c r="G5376" s="142" t="s">
        <v>351</v>
      </c>
      <c r="H5376" s="142" t="s">
        <v>21226</v>
      </c>
      <c r="I5376" s="142">
        <v>1</v>
      </c>
      <c r="J5376" s="142">
        <v>0</v>
      </c>
      <c r="K5376" s="142">
        <v>0</v>
      </c>
      <c r="L5376" s="142">
        <v>0</v>
      </c>
      <c r="M5376" s="142">
        <v>1</v>
      </c>
    </row>
    <row r="5377" spans="1:13" x14ac:dyDescent="0.45">
      <c r="A5377" s="142" t="s">
        <v>13596</v>
      </c>
      <c r="B5377" s="142" t="s">
        <v>14527</v>
      </c>
      <c r="C5377" s="142" t="s">
        <v>15860</v>
      </c>
      <c r="D5377" s="142" t="s">
        <v>15861</v>
      </c>
      <c r="E5377" s="142" t="s">
        <v>15849</v>
      </c>
      <c r="F5377" s="142" t="s">
        <v>352</v>
      </c>
      <c r="G5377" s="142" t="s">
        <v>351</v>
      </c>
      <c r="H5377" s="142" t="s">
        <v>21227</v>
      </c>
      <c r="I5377" s="142">
        <v>46</v>
      </c>
      <c r="J5377" s="142">
        <v>0</v>
      </c>
      <c r="K5377" s="142">
        <v>0</v>
      </c>
      <c r="L5377" s="142">
        <v>46</v>
      </c>
      <c r="M5377" s="142">
        <v>0</v>
      </c>
    </row>
    <row r="5378" spans="1:13" x14ac:dyDescent="0.45">
      <c r="A5378" s="142" t="s">
        <v>13559</v>
      </c>
      <c r="B5378" s="142" t="s">
        <v>15494</v>
      </c>
      <c r="C5378" s="142" t="s">
        <v>15847</v>
      </c>
      <c r="D5378" s="142" t="s">
        <v>15848</v>
      </c>
      <c r="E5378" s="142" t="s">
        <v>15849</v>
      </c>
      <c r="F5378" s="142" t="s">
        <v>352</v>
      </c>
      <c r="G5378" s="142" t="s">
        <v>351</v>
      </c>
      <c r="H5378" s="142" t="s">
        <v>21228</v>
      </c>
      <c r="I5378" s="142">
        <v>941</v>
      </c>
      <c r="J5378" s="142">
        <v>708</v>
      </c>
      <c r="K5378" s="142">
        <v>0</v>
      </c>
      <c r="L5378" s="142">
        <v>214</v>
      </c>
      <c r="M5378" s="142">
        <v>19</v>
      </c>
    </row>
    <row r="5379" spans="1:13" x14ac:dyDescent="0.45">
      <c r="A5379" s="142" t="s">
        <v>13996</v>
      </c>
      <c r="B5379" s="142" t="s">
        <v>15032</v>
      </c>
      <c r="C5379" s="142" t="s">
        <v>15860</v>
      </c>
      <c r="D5379" s="142" t="s">
        <v>15861</v>
      </c>
      <c r="E5379" s="142" t="s">
        <v>15849</v>
      </c>
      <c r="F5379" s="142" t="s">
        <v>352</v>
      </c>
      <c r="G5379" s="142" t="s">
        <v>351</v>
      </c>
      <c r="H5379" s="142" t="s">
        <v>21229</v>
      </c>
      <c r="I5379" s="142">
        <v>29</v>
      </c>
      <c r="J5379" s="142">
        <v>29</v>
      </c>
      <c r="K5379" s="142">
        <v>0</v>
      </c>
      <c r="L5379" s="142">
        <v>0</v>
      </c>
      <c r="M5379" s="142">
        <v>0</v>
      </c>
    </row>
    <row r="5380" spans="1:13" x14ac:dyDescent="0.45">
      <c r="A5380" s="142" t="s">
        <v>13033</v>
      </c>
      <c r="B5380" s="142" t="s">
        <v>15276</v>
      </c>
      <c r="C5380" s="142" t="s">
        <v>15847</v>
      </c>
      <c r="D5380" s="142" t="s">
        <v>15848</v>
      </c>
      <c r="E5380" s="142" t="s">
        <v>15849</v>
      </c>
      <c r="F5380" s="142" t="s">
        <v>352</v>
      </c>
      <c r="G5380" s="142" t="s">
        <v>351</v>
      </c>
      <c r="H5380" s="142" t="s">
        <v>21230</v>
      </c>
      <c r="I5380" s="142">
        <v>249</v>
      </c>
      <c r="J5380" s="142">
        <v>242</v>
      </c>
      <c r="K5380" s="142">
        <v>0</v>
      </c>
      <c r="L5380" s="142">
        <v>0</v>
      </c>
      <c r="M5380" s="142">
        <v>7</v>
      </c>
    </row>
    <row r="5381" spans="1:13" x14ac:dyDescent="0.45">
      <c r="A5381" s="142" t="s">
        <v>13034</v>
      </c>
      <c r="B5381" s="142" t="s">
        <v>15562</v>
      </c>
      <c r="C5381" s="142" t="s">
        <v>15847</v>
      </c>
      <c r="D5381" s="142" t="s">
        <v>15848</v>
      </c>
      <c r="E5381" s="142" t="s">
        <v>15849</v>
      </c>
      <c r="F5381" s="142" t="s">
        <v>352</v>
      </c>
      <c r="G5381" s="142" t="s">
        <v>351</v>
      </c>
      <c r="H5381" s="142" t="s">
        <v>21231</v>
      </c>
      <c r="I5381" s="142">
        <v>1</v>
      </c>
      <c r="J5381" s="142">
        <v>0</v>
      </c>
      <c r="K5381" s="142">
        <v>0</v>
      </c>
      <c r="L5381" s="142">
        <v>1</v>
      </c>
      <c r="M5381" s="142">
        <v>0</v>
      </c>
    </row>
    <row r="5382" spans="1:13" x14ac:dyDescent="0.45">
      <c r="A5382" s="142" t="s">
        <v>13036</v>
      </c>
      <c r="B5382" s="142" t="s">
        <v>15567</v>
      </c>
      <c r="C5382" s="142" t="s">
        <v>15847</v>
      </c>
      <c r="D5382" s="142" t="s">
        <v>15848</v>
      </c>
      <c r="E5382" s="142" t="s">
        <v>15849</v>
      </c>
      <c r="F5382" s="142" t="s">
        <v>352</v>
      </c>
      <c r="G5382" s="142" t="s">
        <v>351</v>
      </c>
      <c r="H5382" s="142" t="s">
        <v>21232</v>
      </c>
      <c r="I5382" s="142">
        <v>8</v>
      </c>
      <c r="J5382" s="142">
        <v>0</v>
      </c>
      <c r="K5382" s="142">
        <v>0</v>
      </c>
      <c r="L5382" s="142">
        <v>8</v>
      </c>
      <c r="M5382" s="142">
        <v>0</v>
      </c>
    </row>
    <row r="5383" spans="1:13" x14ac:dyDescent="0.45">
      <c r="A5383" s="142" t="s">
        <v>13560</v>
      </c>
      <c r="B5383" s="142" t="s">
        <v>14778</v>
      </c>
      <c r="C5383" s="142" t="s">
        <v>15847</v>
      </c>
      <c r="D5383" s="142" t="s">
        <v>15848</v>
      </c>
      <c r="E5383" s="142" t="s">
        <v>15849</v>
      </c>
      <c r="F5383" s="142" t="s">
        <v>352</v>
      </c>
      <c r="G5383" s="142" t="s">
        <v>351</v>
      </c>
      <c r="H5383" s="142" t="s">
        <v>21233</v>
      </c>
      <c r="I5383" s="142">
        <v>16</v>
      </c>
      <c r="J5383" s="142">
        <v>0</v>
      </c>
      <c r="K5383" s="142">
        <v>0</v>
      </c>
      <c r="L5383" s="142">
        <v>16</v>
      </c>
      <c r="M5383" s="142">
        <v>0</v>
      </c>
    </row>
    <row r="5384" spans="1:13" x14ac:dyDescent="0.45">
      <c r="A5384" s="142" t="s">
        <v>13038</v>
      </c>
      <c r="B5384" s="142" t="s">
        <v>14646</v>
      </c>
      <c r="C5384" s="142" t="s">
        <v>15847</v>
      </c>
      <c r="D5384" s="142" t="s">
        <v>15848</v>
      </c>
      <c r="E5384" s="142" t="s">
        <v>15849</v>
      </c>
      <c r="F5384" s="142" t="s">
        <v>352</v>
      </c>
      <c r="G5384" s="142" t="s">
        <v>351</v>
      </c>
      <c r="H5384" s="142" t="s">
        <v>21234</v>
      </c>
      <c r="I5384" s="142">
        <v>15</v>
      </c>
      <c r="J5384" s="142">
        <v>0</v>
      </c>
      <c r="K5384" s="142">
        <v>0</v>
      </c>
      <c r="L5384" s="142">
        <v>0</v>
      </c>
      <c r="M5384" s="142">
        <v>15</v>
      </c>
    </row>
    <row r="5385" spans="1:13" x14ac:dyDescent="0.45">
      <c r="A5385" s="142" t="s">
        <v>13078</v>
      </c>
      <c r="B5385" s="142" t="s">
        <v>15540</v>
      </c>
      <c r="C5385" s="142" t="s">
        <v>15847</v>
      </c>
      <c r="D5385" s="142" t="s">
        <v>15848</v>
      </c>
      <c r="E5385" s="142" t="s">
        <v>15849</v>
      </c>
      <c r="F5385" s="142" t="s">
        <v>352</v>
      </c>
      <c r="G5385" s="142" t="s">
        <v>351</v>
      </c>
      <c r="H5385" s="142" t="s">
        <v>21235</v>
      </c>
      <c r="I5385" s="142">
        <v>13</v>
      </c>
      <c r="J5385" s="142">
        <v>0</v>
      </c>
      <c r="K5385" s="142">
        <v>0</v>
      </c>
      <c r="L5385" s="142">
        <v>13</v>
      </c>
      <c r="M5385" s="142">
        <v>0</v>
      </c>
    </row>
    <row r="5386" spans="1:13" x14ac:dyDescent="0.45">
      <c r="A5386" s="142" t="s">
        <v>13009</v>
      </c>
      <c r="B5386" s="142" t="s">
        <v>15256</v>
      </c>
      <c r="C5386" s="142" t="s">
        <v>15847</v>
      </c>
      <c r="D5386" s="142" t="s">
        <v>15848</v>
      </c>
      <c r="E5386" s="142" t="s">
        <v>15849</v>
      </c>
      <c r="F5386" s="142" t="s">
        <v>352</v>
      </c>
      <c r="G5386" s="142" t="s">
        <v>351</v>
      </c>
      <c r="H5386" s="142" t="s">
        <v>21236</v>
      </c>
      <c r="I5386" s="142">
        <v>13</v>
      </c>
      <c r="J5386" s="142">
        <v>0</v>
      </c>
      <c r="K5386" s="142">
        <v>0</v>
      </c>
      <c r="L5386" s="142">
        <v>13</v>
      </c>
      <c r="M5386" s="142">
        <v>0</v>
      </c>
    </row>
    <row r="5387" spans="1:13" x14ac:dyDescent="0.45">
      <c r="A5387" s="142" t="s">
        <v>13107</v>
      </c>
      <c r="B5387" s="142" t="s">
        <v>14522</v>
      </c>
      <c r="C5387" s="142" t="s">
        <v>15860</v>
      </c>
      <c r="D5387" s="142" t="s">
        <v>15861</v>
      </c>
      <c r="E5387" s="142" t="s">
        <v>15849</v>
      </c>
      <c r="F5387" s="142" t="s">
        <v>352</v>
      </c>
      <c r="G5387" s="142" t="s">
        <v>351</v>
      </c>
      <c r="H5387" s="142" t="s">
        <v>21237</v>
      </c>
      <c r="I5387" s="142">
        <v>13</v>
      </c>
      <c r="J5387" s="142">
        <v>0</v>
      </c>
      <c r="K5387" s="142">
        <v>0</v>
      </c>
      <c r="L5387" s="142">
        <v>13</v>
      </c>
      <c r="M5387" s="142">
        <v>0</v>
      </c>
    </row>
    <row r="5388" spans="1:13" x14ac:dyDescent="0.45">
      <c r="A5388" s="142" t="s">
        <v>13042</v>
      </c>
      <c r="B5388" s="142" t="s">
        <v>15489</v>
      </c>
      <c r="C5388" s="142" t="s">
        <v>15847</v>
      </c>
      <c r="D5388" s="142" t="s">
        <v>15848</v>
      </c>
      <c r="E5388" s="142" t="s">
        <v>15849</v>
      </c>
      <c r="F5388" s="142" t="s">
        <v>352</v>
      </c>
      <c r="G5388" s="142" t="s">
        <v>351</v>
      </c>
      <c r="H5388" s="142" t="s">
        <v>21238</v>
      </c>
      <c r="I5388" s="142">
        <v>79</v>
      </c>
      <c r="J5388" s="142">
        <v>0</v>
      </c>
      <c r="K5388" s="142">
        <v>0</v>
      </c>
      <c r="L5388" s="142">
        <v>79</v>
      </c>
      <c r="M5388" s="142">
        <v>0</v>
      </c>
    </row>
    <row r="5389" spans="1:13" x14ac:dyDescent="0.45">
      <c r="A5389" s="142" t="s">
        <v>13096</v>
      </c>
      <c r="B5389" s="142" t="s">
        <v>15478</v>
      </c>
      <c r="C5389" s="142" t="s">
        <v>15847</v>
      </c>
      <c r="D5389" s="142" t="s">
        <v>15848</v>
      </c>
      <c r="E5389" s="142" t="s">
        <v>15849</v>
      </c>
      <c r="F5389" s="142" t="s">
        <v>352</v>
      </c>
      <c r="G5389" s="142" t="s">
        <v>351</v>
      </c>
      <c r="H5389" s="142" t="s">
        <v>21239</v>
      </c>
      <c r="I5389" s="142">
        <v>11653</v>
      </c>
      <c r="J5389" s="142">
        <v>10451</v>
      </c>
      <c r="K5389" s="142">
        <v>2</v>
      </c>
      <c r="L5389" s="142">
        <v>953</v>
      </c>
      <c r="M5389" s="142">
        <v>247</v>
      </c>
    </row>
    <row r="5390" spans="1:13" x14ac:dyDescent="0.45">
      <c r="A5390" s="142" t="s">
        <v>13154</v>
      </c>
      <c r="B5390" s="142" t="s">
        <v>15415</v>
      </c>
      <c r="C5390" s="142" t="s">
        <v>15847</v>
      </c>
      <c r="D5390" s="142" t="s">
        <v>15848</v>
      </c>
      <c r="E5390" s="142" t="s">
        <v>15849</v>
      </c>
      <c r="F5390" s="142" t="s">
        <v>352</v>
      </c>
      <c r="G5390" s="142" t="s">
        <v>351</v>
      </c>
      <c r="H5390" s="142" t="s">
        <v>21240</v>
      </c>
      <c r="I5390" s="142">
        <v>26</v>
      </c>
      <c r="J5390" s="142">
        <v>0</v>
      </c>
      <c r="K5390" s="142">
        <v>0</v>
      </c>
      <c r="L5390" s="142">
        <v>0</v>
      </c>
      <c r="M5390" s="142">
        <v>26</v>
      </c>
    </row>
    <row r="5391" spans="1:13" x14ac:dyDescent="0.45">
      <c r="A5391" s="142" t="s">
        <v>13998</v>
      </c>
      <c r="B5391" s="142" t="s">
        <v>14524</v>
      </c>
      <c r="C5391" s="142" t="s">
        <v>15860</v>
      </c>
      <c r="D5391" s="142" t="s">
        <v>15861</v>
      </c>
      <c r="E5391" s="142" t="s">
        <v>15849</v>
      </c>
      <c r="F5391" s="142" t="s">
        <v>1927</v>
      </c>
      <c r="G5391" s="142" t="s">
        <v>1926</v>
      </c>
      <c r="H5391" s="142" t="s">
        <v>21241</v>
      </c>
      <c r="I5391" s="142">
        <v>7</v>
      </c>
      <c r="J5391" s="142">
        <v>7</v>
      </c>
      <c r="K5391" s="142">
        <v>0</v>
      </c>
      <c r="L5391" s="142">
        <v>0</v>
      </c>
      <c r="M5391" s="142">
        <v>0</v>
      </c>
    </row>
    <row r="5392" spans="1:13" x14ac:dyDescent="0.45">
      <c r="A5392" s="142" t="s">
        <v>13110</v>
      </c>
      <c r="B5392" s="142" t="s">
        <v>15502</v>
      </c>
      <c r="C5392" s="142" t="s">
        <v>15847</v>
      </c>
      <c r="D5392" s="142" t="s">
        <v>15848</v>
      </c>
      <c r="E5392" s="142" t="s">
        <v>15849</v>
      </c>
      <c r="F5392" s="142" t="s">
        <v>1927</v>
      </c>
      <c r="G5392" s="142" t="s">
        <v>1926</v>
      </c>
      <c r="H5392" s="142" t="s">
        <v>21242</v>
      </c>
      <c r="I5392" s="142">
        <v>22</v>
      </c>
      <c r="J5392" s="142">
        <v>6</v>
      </c>
      <c r="K5392" s="142">
        <v>0</v>
      </c>
      <c r="L5392" s="142">
        <v>0</v>
      </c>
      <c r="M5392" s="142">
        <v>16</v>
      </c>
    </row>
    <row r="5393" spans="1:13" x14ac:dyDescent="0.45">
      <c r="A5393" s="142" t="s">
        <v>13072</v>
      </c>
      <c r="B5393" s="142" t="s">
        <v>15530</v>
      </c>
      <c r="C5393" s="142" t="s">
        <v>15847</v>
      </c>
      <c r="D5393" s="142" t="s">
        <v>15848</v>
      </c>
      <c r="E5393" s="142" t="s">
        <v>15849</v>
      </c>
      <c r="F5393" s="142" t="s">
        <v>1927</v>
      </c>
      <c r="G5393" s="142" t="s">
        <v>1926</v>
      </c>
      <c r="H5393" s="142" t="s">
        <v>21243</v>
      </c>
      <c r="I5393" s="142">
        <v>191</v>
      </c>
      <c r="J5393" s="142">
        <v>136</v>
      </c>
      <c r="K5393" s="142">
        <v>0</v>
      </c>
      <c r="L5393" s="142">
        <v>0</v>
      </c>
      <c r="M5393" s="142">
        <v>55</v>
      </c>
    </row>
    <row r="5394" spans="1:13" x14ac:dyDescent="0.45">
      <c r="A5394" s="142" t="s">
        <v>13021</v>
      </c>
      <c r="B5394" s="142" t="s">
        <v>15501</v>
      </c>
      <c r="C5394" s="142" t="s">
        <v>15847</v>
      </c>
      <c r="D5394" s="142" t="s">
        <v>15848</v>
      </c>
      <c r="E5394" s="142" t="s">
        <v>15849</v>
      </c>
      <c r="F5394" s="142" t="s">
        <v>1927</v>
      </c>
      <c r="G5394" s="142" t="s">
        <v>1926</v>
      </c>
      <c r="H5394" s="142" t="s">
        <v>21244</v>
      </c>
      <c r="I5394" s="142">
        <v>4</v>
      </c>
      <c r="J5394" s="142">
        <v>0</v>
      </c>
      <c r="K5394" s="142">
        <v>0</v>
      </c>
      <c r="L5394" s="142">
        <v>0</v>
      </c>
      <c r="M5394" s="142">
        <v>4</v>
      </c>
    </row>
    <row r="5395" spans="1:13" x14ac:dyDescent="0.45">
      <c r="A5395" s="142" t="s">
        <v>13999</v>
      </c>
      <c r="B5395" s="142" t="s">
        <v>14835</v>
      </c>
      <c r="C5395" s="142" t="s">
        <v>15860</v>
      </c>
      <c r="D5395" s="142" t="s">
        <v>15861</v>
      </c>
      <c r="E5395" s="142" t="s">
        <v>15849</v>
      </c>
      <c r="F5395" s="142" t="s">
        <v>1927</v>
      </c>
      <c r="G5395" s="142" t="s">
        <v>1926</v>
      </c>
      <c r="H5395" s="142" t="s">
        <v>21245</v>
      </c>
      <c r="I5395" s="142">
        <v>12</v>
      </c>
      <c r="J5395" s="142">
        <v>12</v>
      </c>
      <c r="K5395" s="142">
        <v>0</v>
      </c>
      <c r="L5395" s="142">
        <v>0</v>
      </c>
      <c r="M5395" s="142">
        <v>0</v>
      </c>
    </row>
    <row r="5396" spans="1:13" x14ac:dyDescent="0.45">
      <c r="A5396" s="142" t="s">
        <v>13022</v>
      </c>
      <c r="B5396" s="142" t="s">
        <v>14634</v>
      </c>
      <c r="C5396" s="142" t="s">
        <v>15847</v>
      </c>
      <c r="D5396" s="142" t="s">
        <v>15848</v>
      </c>
      <c r="E5396" s="142" t="s">
        <v>15849</v>
      </c>
      <c r="F5396" s="142" t="s">
        <v>1927</v>
      </c>
      <c r="G5396" s="142" t="s">
        <v>1926</v>
      </c>
      <c r="H5396" s="142" t="s">
        <v>21246</v>
      </c>
      <c r="I5396" s="142">
        <v>487</v>
      </c>
      <c r="J5396" s="142">
        <v>203</v>
      </c>
      <c r="K5396" s="142">
        <v>0</v>
      </c>
      <c r="L5396" s="142">
        <v>114</v>
      </c>
      <c r="M5396" s="142">
        <v>170</v>
      </c>
    </row>
    <row r="5397" spans="1:13" x14ac:dyDescent="0.45">
      <c r="A5397" s="142" t="s">
        <v>13023</v>
      </c>
      <c r="B5397" s="142" t="s">
        <v>15571</v>
      </c>
      <c r="C5397" s="142" t="s">
        <v>15847</v>
      </c>
      <c r="D5397" s="142" t="s">
        <v>15848</v>
      </c>
      <c r="E5397" s="142" t="s">
        <v>15849</v>
      </c>
      <c r="F5397" s="142" t="s">
        <v>1927</v>
      </c>
      <c r="G5397" s="142" t="s">
        <v>1926</v>
      </c>
      <c r="H5397" s="142" t="s">
        <v>21247</v>
      </c>
      <c r="I5397" s="142">
        <v>153</v>
      </c>
      <c r="J5397" s="142">
        <v>0</v>
      </c>
      <c r="K5397" s="142">
        <v>0</v>
      </c>
      <c r="L5397" s="142">
        <v>153</v>
      </c>
      <c r="M5397" s="142">
        <v>0</v>
      </c>
    </row>
    <row r="5398" spans="1:13" x14ac:dyDescent="0.45">
      <c r="A5398" s="142" t="s">
        <v>13082</v>
      </c>
      <c r="B5398" s="142" t="s">
        <v>14478</v>
      </c>
      <c r="C5398" s="142" t="s">
        <v>15860</v>
      </c>
      <c r="D5398" s="142" t="s">
        <v>15861</v>
      </c>
      <c r="E5398" s="142" t="s">
        <v>15849</v>
      </c>
      <c r="F5398" s="142" t="s">
        <v>1927</v>
      </c>
      <c r="G5398" s="142" t="s">
        <v>1926</v>
      </c>
      <c r="H5398" s="142" t="s">
        <v>21248</v>
      </c>
      <c r="I5398" s="142">
        <v>1</v>
      </c>
      <c r="J5398" s="142">
        <v>0</v>
      </c>
      <c r="K5398" s="142">
        <v>0</v>
      </c>
      <c r="L5398" s="142">
        <v>1</v>
      </c>
      <c r="M5398" s="142">
        <v>0</v>
      </c>
    </row>
    <row r="5399" spans="1:13" x14ac:dyDescent="0.45">
      <c r="A5399" s="142" t="s">
        <v>13065</v>
      </c>
      <c r="B5399" s="142" t="s">
        <v>14497</v>
      </c>
      <c r="C5399" s="142" t="s">
        <v>15847</v>
      </c>
      <c r="D5399" s="142" t="s">
        <v>15848</v>
      </c>
      <c r="E5399" s="142" t="s">
        <v>15849</v>
      </c>
      <c r="F5399" s="142" t="s">
        <v>1927</v>
      </c>
      <c r="G5399" s="142" t="s">
        <v>1926</v>
      </c>
      <c r="H5399" s="142" t="s">
        <v>21249</v>
      </c>
      <c r="I5399" s="142">
        <v>9</v>
      </c>
      <c r="J5399" s="142">
        <v>0</v>
      </c>
      <c r="K5399" s="142">
        <v>0</v>
      </c>
      <c r="L5399" s="142">
        <v>9</v>
      </c>
      <c r="M5399" s="142">
        <v>0</v>
      </c>
    </row>
    <row r="5400" spans="1:13" x14ac:dyDescent="0.45">
      <c r="A5400" s="142" t="s">
        <v>13000</v>
      </c>
      <c r="B5400" s="142" t="s">
        <v>14610</v>
      </c>
      <c r="C5400" s="142" t="s">
        <v>15847</v>
      </c>
      <c r="D5400" s="142" t="s">
        <v>15848</v>
      </c>
      <c r="E5400" s="142" t="s">
        <v>15849</v>
      </c>
      <c r="F5400" s="142" t="s">
        <v>1927</v>
      </c>
      <c r="G5400" s="142" t="s">
        <v>1926</v>
      </c>
      <c r="H5400" s="142" t="s">
        <v>21250</v>
      </c>
      <c r="I5400" s="142">
        <v>845</v>
      </c>
      <c r="J5400" s="142">
        <v>638</v>
      </c>
      <c r="K5400" s="142">
        <v>0</v>
      </c>
      <c r="L5400" s="142">
        <v>92</v>
      </c>
      <c r="M5400" s="142">
        <v>115</v>
      </c>
    </row>
    <row r="5401" spans="1:13" x14ac:dyDescent="0.45">
      <c r="A5401" s="142" t="s">
        <v>13212</v>
      </c>
      <c r="B5401" s="142" t="s">
        <v>15497</v>
      </c>
      <c r="C5401" s="142" t="s">
        <v>15860</v>
      </c>
      <c r="D5401" s="142" t="s">
        <v>15861</v>
      </c>
      <c r="E5401" s="142" t="s">
        <v>15849</v>
      </c>
      <c r="F5401" s="142" t="s">
        <v>1927</v>
      </c>
      <c r="G5401" s="142" t="s">
        <v>1926</v>
      </c>
      <c r="H5401" s="142" t="s">
        <v>21251</v>
      </c>
      <c r="I5401" s="142">
        <v>130</v>
      </c>
      <c r="J5401" s="142">
        <v>130</v>
      </c>
      <c r="K5401" s="142">
        <v>0</v>
      </c>
      <c r="L5401" s="142">
        <v>0</v>
      </c>
      <c r="M5401" s="142">
        <v>0</v>
      </c>
    </row>
    <row r="5402" spans="1:13" x14ac:dyDescent="0.45">
      <c r="A5402" s="142" t="s">
        <v>13198</v>
      </c>
      <c r="B5402" s="142" t="s">
        <v>15602</v>
      </c>
      <c r="C5402" s="142" t="s">
        <v>15847</v>
      </c>
      <c r="D5402" s="142" t="s">
        <v>15848</v>
      </c>
      <c r="E5402" s="142" t="s">
        <v>15849</v>
      </c>
      <c r="F5402" s="142" t="s">
        <v>1927</v>
      </c>
      <c r="G5402" s="142" t="s">
        <v>1926</v>
      </c>
      <c r="H5402" s="142" t="s">
        <v>21252</v>
      </c>
      <c r="I5402" s="142">
        <v>294</v>
      </c>
      <c r="J5402" s="142">
        <v>72</v>
      </c>
      <c r="K5402" s="142">
        <v>0</v>
      </c>
      <c r="L5402" s="142">
        <v>0</v>
      </c>
      <c r="M5402" s="142">
        <v>222</v>
      </c>
    </row>
    <row r="5403" spans="1:13" x14ac:dyDescent="0.45">
      <c r="A5403" s="142" t="s">
        <v>13119</v>
      </c>
      <c r="B5403" s="142" t="s">
        <v>14451</v>
      </c>
      <c r="C5403" s="142" t="s">
        <v>15860</v>
      </c>
      <c r="D5403" s="142" t="s">
        <v>15861</v>
      </c>
      <c r="E5403" s="142" t="s">
        <v>15849</v>
      </c>
      <c r="F5403" s="142" t="s">
        <v>1927</v>
      </c>
      <c r="G5403" s="142" t="s">
        <v>1926</v>
      </c>
      <c r="H5403" s="142" t="s">
        <v>21253</v>
      </c>
      <c r="I5403" s="142">
        <v>21</v>
      </c>
      <c r="J5403" s="142">
        <v>0</v>
      </c>
      <c r="K5403" s="142">
        <v>0</v>
      </c>
      <c r="L5403" s="142">
        <v>21</v>
      </c>
      <c r="M5403" s="142">
        <v>0</v>
      </c>
    </row>
    <row r="5404" spans="1:13" x14ac:dyDescent="0.45">
      <c r="A5404" s="142" t="s">
        <v>13397</v>
      </c>
      <c r="B5404" s="142" t="s">
        <v>15465</v>
      </c>
      <c r="C5404" s="142" t="s">
        <v>15847</v>
      </c>
      <c r="D5404" s="142" t="s">
        <v>15848</v>
      </c>
      <c r="E5404" s="142" t="s">
        <v>15849</v>
      </c>
      <c r="F5404" s="142" t="s">
        <v>1927</v>
      </c>
      <c r="G5404" s="142" t="s">
        <v>1926</v>
      </c>
      <c r="H5404" s="142" t="s">
        <v>21254</v>
      </c>
      <c r="I5404" s="142">
        <v>139</v>
      </c>
      <c r="J5404" s="142">
        <v>64</v>
      </c>
      <c r="K5404" s="142">
        <v>0</v>
      </c>
      <c r="L5404" s="142">
        <v>0</v>
      </c>
      <c r="M5404" s="142">
        <v>75</v>
      </c>
    </row>
    <row r="5405" spans="1:13" x14ac:dyDescent="0.45">
      <c r="A5405" s="142" t="s">
        <v>13027</v>
      </c>
      <c r="B5405" s="142" t="s">
        <v>14562</v>
      </c>
      <c r="C5405" s="142" t="s">
        <v>15847</v>
      </c>
      <c r="D5405" s="142" t="s">
        <v>15848</v>
      </c>
      <c r="E5405" s="142" t="s">
        <v>15849</v>
      </c>
      <c r="F5405" s="142" t="s">
        <v>1927</v>
      </c>
      <c r="G5405" s="142" t="s">
        <v>1926</v>
      </c>
      <c r="H5405" s="142" t="s">
        <v>21255</v>
      </c>
      <c r="I5405" s="142">
        <v>32</v>
      </c>
      <c r="J5405" s="142">
        <v>0</v>
      </c>
      <c r="K5405" s="142">
        <v>0</v>
      </c>
      <c r="L5405" s="142">
        <v>32</v>
      </c>
      <c r="M5405" s="142">
        <v>0</v>
      </c>
    </row>
    <row r="5406" spans="1:13" x14ac:dyDescent="0.45">
      <c r="A5406" s="142" t="s">
        <v>13001</v>
      </c>
      <c r="B5406" s="142" t="s">
        <v>15506</v>
      </c>
      <c r="C5406" s="142" t="s">
        <v>15847</v>
      </c>
      <c r="D5406" s="142" t="s">
        <v>15848</v>
      </c>
      <c r="E5406" s="142" t="s">
        <v>15849</v>
      </c>
      <c r="F5406" s="142" t="s">
        <v>1927</v>
      </c>
      <c r="G5406" s="142" t="s">
        <v>1926</v>
      </c>
      <c r="H5406" s="142" t="s">
        <v>21256</v>
      </c>
      <c r="I5406" s="142">
        <v>140</v>
      </c>
      <c r="J5406" s="142">
        <v>139</v>
      </c>
      <c r="K5406" s="142">
        <v>0</v>
      </c>
      <c r="L5406" s="142">
        <v>1</v>
      </c>
      <c r="M5406" s="142">
        <v>0</v>
      </c>
    </row>
    <row r="5407" spans="1:13" x14ac:dyDescent="0.45">
      <c r="A5407" s="142" t="s">
        <v>13359</v>
      </c>
      <c r="B5407" s="142" t="s">
        <v>14671</v>
      </c>
      <c r="C5407" s="142" t="s">
        <v>15860</v>
      </c>
      <c r="D5407" s="142" t="s">
        <v>15861</v>
      </c>
      <c r="E5407" s="142" t="s">
        <v>15849</v>
      </c>
      <c r="F5407" s="142" t="s">
        <v>1927</v>
      </c>
      <c r="G5407" s="142" t="s">
        <v>1926</v>
      </c>
      <c r="H5407" s="142" t="s">
        <v>21257</v>
      </c>
      <c r="I5407" s="142">
        <v>107</v>
      </c>
      <c r="J5407" s="142">
        <v>107</v>
      </c>
      <c r="K5407" s="142">
        <v>0</v>
      </c>
      <c r="L5407" s="142">
        <v>0</v>
      </c>
      <c r="M5407" s="142">
        <v>0</v>
      </c>
    </row>
    <row r="5408" spans="1:13" x14ac:dyDescent="0.45">
      <c r="A5408" s="142" t="s">
        <v>13050</v>
      </c>
      <c r="B5408" s="142" t="s">
        <v>15237</v>
      </c>
      <c r="C5408" s="142" t="s">
        <v>15847</v>
      </c>
      <c r="D5408" s="142" t="s">
        <v>15848</v>
      </c>
      <c r="E5408" s="142" t="s">
        <v>15849</v>
      </c>
      <c r="F5408" s="142" t="s">
        <v>1927</v>
      </c>
      <c r="G5408" s="142" t="s">
        <v>1926</v>
      </c>
      <c r="H5408" s="142" t="s">
        <v>21258</v>
      </c>
      <c r="I5408" s="142">
        <v>261</v>
      </c>
      <c r="J5408" s="142">
        <v>239</v>
      </c>
      <c r="K5408" s="142">
        <v>0</v>
      </c>
      <c r="L5408" s="142">
        <v>0</v>
      </c>
      <c r="M5408" s="142">
        <v>22</v>
      </c>
    </row>
    <row r="5409" spans="1:13" x14ac:dyDescent="0.45">
      <c r="A5409" s="142" t="s">
        <v>13028</v>
      </c>
      <c r="B5409" s="142" t="s">
        <v>14462</v>
      </c>
      <c r="C5409" s="142" t="s">
        <v>15847</v>
      </c>
      <c r="D5409" s="142" t="s">
        <v>15848</v>
      </c>
      <c r="E5409" s="142" t="s">
        <v>15849</v>
      </c>
      <c r="F5409" s="142" t="s">
        <v>1927</v>
      </c>
      <c r="G5409" s="142" t="s">
        <v>1926</v>
      </c>
      <c r="H5409" s="142" t="s">
        <v>21259</v>
      </c>
      <c r="I5409" s="142">
        <v>78</v>
      </c>
      <c r="J5409" s="142">
        <v>0</v>
      </c>
      <c r="K5409" s="142">
        <v>0</v>
      </c>
      <c r="L5409" s="142">
        <v>0</v>
      </c>
      <c r="M5409" s="142">
        <v>78</v>
      </c>
    </row>
    <row r="5410" spans="1:13" x14ac:dyDescent="0.45">
      <c r="A5410" s="142" t="s">
        <v>13199</v>
      </c>
      <c r="B5410" s="142" t="s">
        <v>15362</v>
      </c>
      <c r="C5410" s="142" t="s">
        <v>15847</v>
      </c>
      <c r="D5410" s="142" t="s">
        <v>15848</v>
      </c>
      <c r="E5410" s="142" t="s">
        <v>15849</v>
      </c>
      <c r="F5410" s="142" t="s">
        <v>1927</v>
      </c>
      <c r="G5410" s="142" t="s">
        <v>1926</v>
      </c>
      <c r="H5410" s="142" t="s">
        <v>21260</v>
      </c>
      <c r="I5410" s="142">
        <v>195</v>
      </c>
      <c r="J5410" s="142">
        <v>161</v>
      </c>
      <c r="K5410" s="142">
        <v>0</v>
      </c>
      <c r="L5410" s="142">
        <v>0</v>
      </c>
      <c r="M5410" s="142">
        <v>34</v>
      </c>
    </row>
    <row r="5411" spans="1:13" x14ac:dyDescent="0.45">
      <c r="A5411" s="142" t="s">
        <v>13002</v>
      </c>
      <c r="B5411" s="142" t="s">
        <v>15376</v>
      </c>
      <c r="C5411" s="142" t="s">
        <v>15847</v>
      </c>
      <c r="D5411" s="142" t="s">
        <v>15848</v>
      </c>
      <c r="E5411" s="142" t="s">
        <v>15849</v>
      </c>
      <c r="F5411" s="142" t="s">
        <v>1927</v>
      </c>
      <c r="G5411" s="142" t="s">
        <v>1926</v>
      </c>
      <c r="H5411" s="142" t="s">
        <v>21261</v>
      </c>
      <c r="I5411" s="142">
        <v>532</v>
      </c>
      <c r="J5411" s="142">
        <v>517</v>
      </c>
      <c r="K5411" s="142">
        <v>0</v>
      </c>
      <c r="L5411" s="142">
        <v>15</v>
      </c>
      <c r="M5411" s="142">
        <v>0</v>
      </c>
    </row>
    <row r="5412" spans="1:13" x14ac:dyDescent="0.45">
      <c r="A5412" s="142" t="s">
        <v>13003</v>
      </c>
      <c r="B5412" s="142" t="s">
        <v>15245</v>
      </c>
      <c r="C5412" s="142" t="s">
        <v>15847</v>
      </c>
      <c r="D5412" s="142" t="s">
        <v>15848</v>
      </c>
      <c r="E5412" s="142" t="s">
        <v>15849</v>
      </c>
      <c r="F5412" s="142" t="s">
        <v>1927</v>
      </c>
      <c r="G5412" s="142" t="s">
        <v>1926</v>
      </c>
      <c r="H5412" s="142" t="s">
        <v>21262</v>
      </c>
      <c r="I5412" s="142">
        <v>64</v>
      </c>
      <c r="J5412" s="142">
        <v>0</v>
      </c>
      <c r="K5412" s="142">
        <v>0</v>
      </c>
      <c r="L5412" s="142">
        <v>64</v>
      </c>
      <c r="M5412" s="142">
        <v>0</v>
      </c>
    </row>
    <row r="5413" spans="1:13" x14ac:dyDescent="0.45">
      <c r="A5413" s="142" t="s">
        <v>13004</v>
      </c>
      <c r="B5413" s="142" t="s">
        <v>15492</v>
      </c>
      <c r="C5413" s="142" t="s">
        <v>15847</v>
      </c>
      <c r="D5413" s="142" t="s">
        <v>15848</v>
      </c>
      <c r="E5413" s="142" t="s">
        <v>15849</v>
      </c>
      <c r="F5413" s="142" t="s">
        <v>1927</v>
      </c>
      <c r="G5413" s="142" t="s">
        <v>1926</v>
      </c>
      <c r="H5413" s="142" t="s">
        <v>21263</v>
      </c>
      <c r="I5413" s="142">
        <v>113</v>
      </c>
      <c r="J5413" s="142">
        <v>82</v>
      </c>
      <c r="K5413" s="142">
        <v>0</v>
      </c>
      <c r="L5413" s="142">
        <v>0</v>
      </c>
      <c r="M5413" s="142">
        <v>31</v>
      </c>
    </row>
    <row r="5414" spans="1:13" x14ac:dyDescent="0.45">
      <c r="A5414" s="142" t="s">
        <v>13178</v>
      </c>
      <c r="B5414" s="142" t="s">
        <v>14683</v>
      </c>
      <c r="C5414" s="142" t="s">
        <v>15847</v>
      </c>
      <c r="D5414" s="142" t="s">
        <v>15848</v>
      </c>
      <c r="E5414" s="142" t="s">
        <v>15849</v>
      </c>
      <c r="F5414" s="142" t="s">
        <v>1927</v>
      </c>
      <c r="G5414" s="142" t="s">
        <v>1926</v>
      </c>
      <c r="H5414" s="142" t="s">
        <v>21264</v>
      </c>
      <c r="I5414" s="142">
        <v>75</v>
      </c>
      <c r="J5414" s="142">
        <v>75</v>
      </c>
      <c r="K5414" s="142">
        <v>0</v>
      </c>
      <c r="L5414" s="142">
        <v>0</v>
      </c>
      <c r="M5414" s="142">
        <v>0</v>
      </c>
    </row>
    <row r="5415" spans="1:13" x14ac:dyDescent="0.45">
      <c r="A5415" s="142" t="s">
        <v>13076</v>
      </c>
      <c r="B5415" s="142" t="s">
        <v>14636</v>
      </c>
      <c r="C5415" s="142" t="s">
        <v>15847</v>
      </c>
      <c r="D5415" s="142" t="s">
        <v>15848</v>
      </c>
      <c r="E5415" s="142" t="s">
        <v>15849</v>
      </c>
      <c r="F5415" s="142" t="s">
        <v>1927</v>
      </c>
      <c r="G5415" s="142" t="s">
        <v>1926</v>
      </c>
      <c r="H5415" s="142" t="s">
        <v>21265</v>
      </c>
      <c r="I5415" s="142">
        <v>35</v>
      </c>
      <c r="J5415" s="142">
        <v>10</v>
      </c>
      <c r="K5415" s="142">
        <v>0</v>
      </c>
      <c r="L5415" s="142">
        <v>0</v>
      </c>
      <c r="M5415" s="142">
        <v>25</v>
      </c>
    </row>
    <row r="5416" spans="1:13" x14ac:dyDescent="0.45">
      <c r="A5416" s="142" t="s">
        <v>13005</v>
      </c>
      <c r="B5416" s="142" t="s">
        <v>15475</v>
      </c>
      <c r="C5416" s="142" t="s">
        <v>15847</v>
      </c>
      <c r="D5416" s="142" t="s">
        <v>15848</v>
      </c>
      <c r="E5416" s="142" t="s">
        <v>15849</v>
      </c>
      <c r="F5416" s="142" t="s">
        <v>1927</v>
      </c>
      <c r="G5416" s="142" t="s">
        <v>1926</v>
      </c>
      <c r="H5416" s="142" t="s">
        <v>21266</v>
      </c>
      <c r="I5416" s="142">
        <v>423</v>
      </c>
      <c r="J5416" s="142">
        <v>282</v>
      </c>
      <c r="K5416" s="142">
        <v>0</v>
      </c>
      <c r="L5416" s="142">
        <v>0</v>
      </c>
      <c r="M5416" s="142">
        <v>141</v>
      </c>
    </row>
    <row r="5417" spans="1:13" x14ac:dyDescent="0.45">
      <c r="A5417" s="142" t="s">
        <v>13029</v>
      </c>
      <c r="B5417" s="142" t="s">
        <v>14665</v>
      </c>
      <c r="C5417" s="142" t="s">
        <v>15847</v>
      </c>
      <c r="D5417" s="142" t="s">
        <v>15848</v>
      </c>
      <c r="E5417" s="142" t="s">
        <v>15849</v>
      </c>
      <c r="F5417" s="142" t="s">
        <v>1927</v>
      </c>
      <c r="G5417" s="142" t="s">
        <v>1926</v>
      </c>
      <c r="H5417" s="142" t="s">
        <v>21267</v>
      </c>
      <c r="I5417" s="142">
        <v>45</v>
      </c>
      <c r="J5417" s="142">
        <v>0</v>
      </c>
      <c r="K5417" s="142">
        <v>0</v>
      </c>
      <c r="L5417" s="142">
        <v>0</v>
      </c>
      <c r="M5417" s="142">
        <v>45</v>
      </c>
    </row>
    <row r="5418" spans="1:13" x14ac:dyDescent="0.45">
      <c r="A5418" s="142" t="s">
        <v>13006</v>
      </c>
      <c r="B5418" s="142" t="s">
        <v>15288</v>
      </c>
      <c r="C5418" s="142" t="s">
        <v>15847</v>
      </c>
      <c r="D5418" s="142" t="s">
        <v>15848</v>
      </c>
      <c r="E5418" s="142" t="s">
        <v>15849</v>
      </c>
      <c r="F5418" s="142" t="s">
        <v>1927</v>
      </c>
      <c r="G5418" s="142" t="s">
        <v>1926</v>
      </c>
      <c r="H5418" s="142" t="s">
        <v>21268</v>
      </c>
      <c r="I5418" s="142">
        <v>3</v>
      </c>
      <c r="J5418" s="142">
        <v>0</v>
      </c>
      <c r="K5418" s="142">
        <v>0</v>
      </c>
      <c r="L5418" s="142">
        <v>0</v>
      </c>
      <c r="M5418" s="142">
        <v>3</v>
      </c>
    </row>
    <row r="5419" spans="1:13" x14ac:dyDescent="0.45">
      <c r="A5419" s="142" t="s">
        <v>13248</v>
      </c>
      <c r="B5419" s="142" t="s">
        <v>15463</v>
      </c>
      <c r="C5419" s="142" t="s">
        <v>15847</v>
      </c>
      <c r="D5419" s="142" t="s">
        <v>15848</v>
      </c>
      <c r="E5419" s="142" t="s">
        <v>15849</v>
      </c>
      <c r="F5419" s="142" t="s">
        <v>1927</v>
      </c>
      <c r="G5419" s="142" t="s">
        <v>1926</v>
      </c>
      <c r="H5419" s="142" t="s">
        <v>21269</v>
      </c>
      <c r="I5419" s="142">
        <v>100</v>
      </c>
      <c r="J5419" s="142">
        <v>0</v>
      </c>
      <c r="K5419" s="142">
        <v>0</v>
      </c>
      <c r="L5419" s="142">
        <v>100</v>
      </c>
      <c r="M5419" s="142">
        <v>0</v>
      </c>
    </row>
    <row r="5420" spans="1:13" x14ac:dyDescent="0.45">
      <c r="A5420" s="142" t="s">
        <v>14000</v>
      </c>
      <c r="B5420" s="142" t="s">
        <v>14614</v>
      </c>
      <c r="C5420" s="142" t="s">
        <v>15860</v>
      </c>
      <c r="D5420" s="142" t="s">
        <v>15861</v>
      </c>
      <c r="E5420" s="142" t="s">
        <v>15849</v>
      </c>
      <c r="F5420" s="142" t="s">
        <v>1927</v>
      </c>
      <c r="G5420" s="142" t="s">
        <v>1926</v>
      </c>
      <c r="H5420" s="142" t="s">
        <v>21270</v>
      </c>
      <c r="I5420" s="142">
        <v>244</v>
      </c>
      <c r="J5420" s="142">
        <v>5</v>
      </c>
      <c r="K5420" s="142">
        <v>0</v>
      </c>
      <c r="L5420" s="142">
        <v>239</v>
      </c>
      <c r="M5420" s="142">
        <v>0</v>
      </c>
    </row>
    <row r="5421" spans="1:13" x14ac:dyDescent="0.45">
      <c r="A5421" s="142" t="s">
        <v>13103</v>
      </c>
      <c r="B5421" s="142" t="s">
        <v>14623</v>
      </c>
      <c r="C5421" s="142" t="s">
        <v>15847</v>
      </c>
      <c r="D5421" s="142" t="s">
        <v>15848</v>
      </c>
      <c r="E5421" s="142" t="s">
        <v>15849</v>
      </c>
      <c r="F5421" s="142" t="s">
        <v>1927</v>
      </c>
      <c r="G5421" s="142" t="s">
        <v>1926</v>
      </c>
      <c r="H5421" s="142" t="s">
        <v>21271</v>
      </c>
      <c r="I5421" s="142">
        <v>90</v>
      </c>
      <c r="J5421" s="142">
        <v>22</v>
      </c>
      <c r="K5421" s="142">
        <v>0</v>
      </c>
      <c r="L5421" s="142">
        <v>0</v>
      </c>
      <c r="M5421" s="142">
        <v>68</v>
      </c>
    </row>
    <row r="5422" spans="1:13" x14ac:dyDescent="0.45">
      <c r="A5422" s="142" t="s">
        <v>13054</v>
      </c>
      <c r="B5422" s="142" t="s">
        <v>15604</v>
      </c>
      <c r="C5422" s="142" t="s">
        <v>15847</v>
      </c>
      <c r="D5422" s="142" t="s">
        <v>15848</v>
      </c>
      <c r="E5422" s="142" t="s">
        <v>15849</v>
      </c>
      <c r="F5422" s="142" t="s">
        <v>1927</v>
      </c>
      <c r="G5422" s="142" t="s">
        <v>1926</v>
      </c>
      <c r="H5422" s="142" t="s">
        <v>21272</v>
      </c>
      <c r="I5422" s="142">
        <v>2</v>
      </c>
      <c r="J5422" s="142">
        <v>0</v>
      </c>
      <c r="K5422" s="142">
        <v>0</v>
      </c>
      <c r="L5422" s="142">
        <v>0</v>
      </c>
      <c r="M5422" s="142">
        <v>2</v>
      </c>
    </row>
    <row r="5423" spans="1:13" x14ac:dyDescent="0.45">
      <c r="A5423" s="142" t="s">
        <v>14001</v>
      </c>
      <c r="B5423" s="142" t="s">
        <v>15112</v>
      </c>
      <c r="C5423" s="142" t="s">
        <v>15860</v>
      </c>
      <c r="D5423" s="142" t="s">
        <v>15861</v>
      </c>
      <c r="E5423" s="142" t="s">
        <v>15849</v>
      </c>
      <c r="F5423" s="142" t="s">
        <v>1927</v>
      </c>
      <c r="G5423" s="142" t="s">
        <v>1926</v>
      </c>
      <c r="H5423" s="142" t="s">
        <v>21273</v>
      </c>
      <c r="I5423" s="142">
        <v>42</v>
      </c>
      <c r="J5423" s="142">
        <v>42</v>
      </c>
      <c r="K5423" s="142">
        <v>0</v>
      </c>
      <c r="L5423" s="142">
        <v>0</v>
      </c>
      <c r="M5423" s="142">
        <v>0</v>
      </c>
    </row>
    <row r="5424" spans="1:13" x14ac:dyDescent="0.45">
      <c r="A5424" s="142" t="s">
        <v>13008</v>
      </c>
      <c r="B5424" s="142" t="s">
        <v>15411</v>
      </c>
      <c r="C5424" s="142" t="s">
        <v>15847</v>
      </c>
      <c r="D5424" s="142" t="s">
        <v>15848</v>
      </c>
      <c r="E5424" s="142" t="s">
        <v>15849</v>
      </c>
      <c r="F5424" s="142" t="s">
        <v>1927</v>
      </c>
      <c r="G5424" s="142" t="s">
        <v>1926</v>
      </c>
      <c r="H5424" s="142" t="s">
        <v>21274</v>
      </c>
      <c r="I5424" s="142">
        <v>219</v>
      </c>
      <c r="J5424" s="142">
        <v>0</v>
      </c>
      <c r="K5424" s="142">
        <v>0</v>
      </c>
      <c r="L5424" s="142">
        <v>0</v>
      </c>
      <c r="M5424" s="142">
        <v>219</v>
      </c>
    </row>
    <row r="5425" spans="1:13" x14ac:dyDescent="0.45">
      <c r="A5425" s="142" t="s">
        <v>13077</v>
      </c>
      <c r="B5425" s="142" t="s">
        <v>15407</v>
      </c>
      <c r="C5425" s="142" t="s">
        <v>15847</v>
      </c>
      <c r="D5425" s="142" t="s">
        <v>15848</v>
      </c>
      <c r="E5425" s="142" t="s">
        <v>15849</v>
      </c>
      <c r="F5425" s="142" t="s">
        <v>1927</v>
      </c>
      <c r="G5425" s="142" t="s">
        <v>1926</v>
      </c>
      <c r="H5425" s="142" t="s">
        <v>21275</v>
      </c>
      <c r="I5425" s="142">
        <v>447</v>
      </c>
      <c r="J5425" s="142">
        <v>395</v>
      </c>
      <c r="K5425" s="142">
        <v>0</v>
      </c>
      <c r="L5425" s="142">
        <v>52</v>
      </c>
      <c r="M5425" s="142">
        <v>0</v>
      </c>
    </row>
    <row r="5426" spans="1:13" x14ac:dyDescent="0.45">
      <c r="A5426" s="142" t="s">
        <v>13135</v>
      </c>
      <c r="B5426" s="142" t="s">
        <v>15575</v>
      </c>
      <c r="C5426" s="142" t="s">
        <v>15847</v>
      </c>
      <c r="D5426" s="142" t="s">
        <v>15848</v>
      </c>
      <c r="E5426" s="142" t="s">
        <v>15849</v>
      </c>
      <c r="F5426" s="142" t="s">
        <v>1927</v>
      </c>
      <c r="G5426" s="142" t="s">
        <v>1926</v>
      </c>
      <c r="H5426" s="142" t="s">
        <v>21276</v>
      </c>
      <c r="I5426" s="142">
        <v>2152</v>
      </c>
      <c r="J5426" s="142">
        <v>870</v>
      </c>
      <c r="K5426" s="142">
        <v>0</v>
      </c>
      <c r="L5426" s="142">
        <v>0</v>
      </c>
      <c r="M5426" s="142">
        <v>1282</v>
      </c>
    </row>
    <row r="5427" spans="1:13" x14ac:dyDescent="0.45">
      <c r="A5427" s="142" t="s">
        <v>13104</v>
      </c>
      <c r="B5427" s="142" t="s">
        <v>14622</v>
      </c>
      <c r="C5427" s="142" t="s">
        <v>15847</v>
      </c>
      <c r="D5427" s="142" t="s">
        <v>15848</v>
      </c>
      <c r="E5427" s="142" t="s">
        <v>15849</v>
      </c>
      <c r="F5427" s="142" t="s">
        <v>1927</v>
      </c>
      <c r="G5427" s="142" t="s">
        <v>1926</v>
      </c>
      <c r="H5427" s="142" t="s">
        <v>21277</v>
      </c>
      <c r="I5427" s="142">
        <v>598</v>
      </c>
      <c r="J5427" s="142">
        <v>451</v>
      </c>
      <c r="K5427" s="142">
        <v>0</v>
      </c>
      <c r="L5427" s="142">
        <v>23</v>
      </c>
      <c r="M5427" s="142">
        <v>124</v>
      </c>
    </row>
    <row r="5428" spans="1:13" x14ac:dyDescent="0.45">
      <c r="A5428" s="142" t="s">
        <v>13831</v>
      </c>
      <c r="B5428" s="142" t="s">
        <v>14485</v>
      </c>
      <c r="C5428" s="142" t="s">
        <v>15860</v>
      </c>
      <c r="D5428" s="142" t="s">
        <v>15861</v>
      </c>
      <c r="E5428" s="142" t="s">
        <v>15849</v>
      </c>
      <c r="F5428" s="142" t="s">
        <v>1927</v>
      </c>
      <c r="G5428" s="142" t="s">
        <v>1926</v>
      </c>
      <c r="H5428" s="142" t="s">
        <v>21278</v>
      </c>
      <c r="I5428" s="142">
        <v>16</v>
      </c>
      <c r="J5428" s="142">
        <v>16</v>
      </c>
      <c r="K5428" s="142">
        <v>0</v>
      </c>
      <c r="L5428" s="142">
        <v>0</v>
      </c>
      <c r="M5428" s="142">
        <v>0</v>
      </c>
    </row>
    <row r="5429" spans="1:13" x14ac:dyDescent="0.45">
      <c r="A5429" s="142" t="s">
        <v>13033</v>
      </c>
      <c r="B5429" s="142" t="s">
        <v>15276</v>
      </c>
      <c r="C5429" s="142" t="s">
        <v>15847</v>
      </c>
      <c r="D5429" s="142" t="s">
        <v>15848</v>
      </c>
      <c r="E5429" s="142" t="s">
        <v>15849</v>
      </c>
      <c r="F5429" s="142" t="s">
        <v>1927</v>
      </c>
      <c r="G5429" s="142" t="s">
        <v>1926</v>
      </c>
      <c r="H5429" s="142" t="s">
        <v>21279</v>
      </c>
      <c r="I5429" s="142">
        <v>1356</v>
      </c>
      <c r="J5429" s="142">
        <v>1083</v>
      </c>
      <c r="K5429" s="142">
        <v>0</v>
      </c>
      <c r="L5429" s="142">
        <v>1</v>
      </c>
      <c r="M5429" s="142">
        <v>272</v>
      </c>
    </row>
    <row r="5430" spans="1:13" x14ac:dyDescent="0.45">
      <c r="A5430" s="142" t="s">
        <v>13034</v>
      </c>
      <c r="B5430" s="142" t="s">
        <v>15562</v>
      </c>
      <c r="C5430" s="142" t="s">
        <v>15847</v>
      </c>
      <c r="D5430" s="142" t="s">
        <v>15848</v>
      </c>
      <c r="E5430" s="142" t="s">
        <v>15849</v>
      </c>
      <c r="F5430" s="142" t="s">
        <v>1927</v>
      </c>
      <c r="G5430" s="142" t="s">
        <v>1926</v>
      </c>
      <c r="H5430" s="142" t="s">
        <v>21280</v>
      </c>
      <c r="I5430" s="142">
        <v>107</v>
      </c>
      <c r="J5430" s="142">
        <v>44</v>
      </c>
      <c r="K5430" s="142">
        <v>0</v>
      </c>
      <c r="L5430" s="142">
        <v>3</v>
      </c>
      <c r="M5430" s="142">
        <v>60</v>
      </c>
    </row>
    <row r="5431" spans="1:13" x14ac:dyDescent="0.45">
      <c r="A5431" s="142" t="s">
        <v>13037</v>
      </c>
      <c r="B5431" s="142" t="s">
        <v>14519</v>
      </c>
      <c r="C5431" s="142" t="s">
        <v>15847</v>
      </c>
      <c r="D5431" s="142" t="s">
        <v>15848</v>
      </c>
      <c r="E5431" s="142" t="s">
        <v>15849</v>
      </c>
      <c r="F5431" s="142" t="s">
        <v>1927</v>
      </c>
      <c r="G5431" s="142" t="s">
        <v>1926</v>
      </c>
      <c r="H5431" s="142" t="s">
        <v>21281</v>
      </c>
      <c r="I5431" s="142">
        <v>1</v>
      </c>
      <c r="J5431" s="142">
        <v>0</v>
      </c>
      <c r="K5431" s="142">
        <v>0</v>
      </c>
      <c r="L5431" s="142">
        <v>1</v>
      </c>
      <c r="M5431" s="142">
        <v>0</v>
      </c>
    </row>
    <row r="5432" spans="1:13" x14ac:dyDescent="0.45">
      <c r="A5432" s="142" t="s">
        <v>13038</v>
      </c>
      <c r="B5432" s="142" t="s">
        <v>14646</v>
      </c>
      <c r="C5432" s="142" t="s">
        <v>15847</v>
      </c>
      <c r="D5432" s="142" t="s">
        <v>15848</v>
      </c>
      <c r="E5432" s="142" t="s">
        <v>15849</v>
      </c>
      <c r="F5432" s="142" t="s">
        <v>1927</v>
      </c>
      <c r="G5432" s="142" t="s">
        <v>1926</v>
      </c>
      <c r="H5432" s="142" t="s">
        <v>21282</v>
      </c>
      <c r="I5432" s="142">
        <v>433</v>
      </c>
      <c r="J5432" s="142">
        <v>277</v>
      </c>
      <c r="K5432" s="142">
        <v>0</v>
      </c>
      <c r="L5432" s="142">
        <v>0</v>
      </c>
      <c r="M5432" s="142">
        <v>156</v>
      </c>
    </row>
    <row r="5433" spans="1:13" x14ac:dyDescent="0.45">
      <c r="A5433" s="142" t="s">
        <v>13039</v>
      </c>
      <c r="B5433" s="142" t="s">
        <v>14647</v>
      </c>
      <c r="C5433" s="142" t="s">
        <v>15847</v>
      </c>
      <c r="D5433" s="142" t="s">
        <v>15848</v>
      </c>
      <c r="E5433" s="142" t="s">
        <v>15849</v>
      </c>
      <c r="F5433" s="142" t="s">
        <v>1927</v>
      </c>
      <c r="G5433" s="142" t="s">
        <v>1926</v>
      </c>
      <c r="H5433" s="142" t="s">
        <v>21283</v>
      </c>
      <c r="I5433" s="142">
        <v>261</v>
      </c>
      <c r="J5433" s="142">
        <v>261</v>
      </c>
      <c r="K5433" s="142">
        <v>0</v>
      </c>
      <c r="L5433" s="142">
        <v>0</v>
      </c>
      <c r="M5433" s="142">
        <v>0</v>
      </c>
    </row>
    <row r="5434" spans="1:13" x14ac:dyDescent="0.45">
      <c r="A5434" s="142" t="s">
        <v>13009</v>
      </c>
      <c r="B5434" s="142" t="s">
        <v>15256</v>
      </c>
      <c r="C5434" s="142" t="s">
        <v>15847</v>
      </c>
      <c r="D5434" s="142" t="s">
        <v>15848</v>
      </c>
      <c r="E5434" s="142" t="s">
        <v>15849</v>
      </c>
      <c r="F5434" s="142" t="s">
        <v>1927</v>
      </c>
      <c r="G5434" s="142" t="s">
        <v>1926</v>
      </c>
      <c r="H5434" s="142" t="s">
        <v>21284</v>
      </c>
      <c r="I5434" s="142">
        <v>13</v>
      </c>
      <c r="J5434" s="142">
        <v>0</v>
      </c>
      <c r="K5434" s="142">
        <v>0</v>
      </c>
      <c r="L5434" s="142">
        <v>13</v>
      </c>
      <c r="M5434" s="142">
        <v>0</v>
      </c>
    </row>
    <row r="5435" spans="1:13" x14ac:dyDescent="0.45">
      <c r="A5435" s="142" t="s">
        <v>13203</v>
      </c>
      <c r="B5435" s="142" t="s">
        <v>15446</v>
      </c>
      <c r="C5435" s="142" t="s">
        <v>15847</v>
      </c>
      <c r="D5435" s="142" t="s">
        <v>15848</v>
      </c>
      <c r="E5435" s="142" t="s">
        <v>15849</v>
      </c>
      <c r="F5435" s="142" t="s">
        <v>1927</v>
      </c>
      <c r="G5435" s="142" t="s">
        <v>1926</v>
      </c>
      <c r="H5435" s="142" t="s">
        <v>21285</v>
      </c>
      <c r="I5435" s="142">
        <v>6</v>
      </c>
      <c r="J5435" s="142">
        <v>0</v>
      </c>
      <c r="K5435" s="142">
        <v>0</v>
      </c>
      <c r="L5435" s="142">
        <v>0</v>
      </c>
      <c r="M5435" s="142">
        <v>6</v>
      </c>
    </row>
    <row r="5436" spans="1:13" x14ac:dyDescent="0.45">
      <c r="A5436" s="142" t="s">
        <v>13011</v>
      </c>
      <c r="B5436" s="142" t="s">
        <v>14695</v>
      </c>
      <c r="C5436" s="142" t="s">
        <v>15847</v>
      </c>
      <c r="D5436" s="142" t="s">
        <v>15848</v>
      </c>
      <c r="E5436" s="142" t="s">
        <v>15849</v>
      </c>
      <c r="F5436" s="142" t="s">
        <v>1927</v>
      </c>
      <c r="G5436" s="142" t="s">
        <v>1926</v>
      </c>
      <c r="H5436" s="142" t="s">
        <v>21286</v>
      </c>
      <c r="I5436" s="142">
        <v>412</v>
      </c>
      <c r="J5436" s="142">
        <v>291</v>
      </c>
      <c r="K5436" s="142">
        <v>14</v>
      </c>
      <c r="L5436" s="142">
        <v>0</v>
      </c>
      <c r="M5436" s="142">
        <v>107</v>
      </c>
    </row>
    <row r="5437" spans="1:13" x14ac:dyDescent="0.45">
      <c r="A5437" s="142" t="s">
        <v>13058</v>
      </c>
      <c r="B5437" s="142" t="s">
        <v>14584</v>
      </c>
      <c r="C5437" s="142" t="s">
        <v>15847</v>
      </c>
      <c r="D5437" s="142" t="s">
        <v>15848</v>
      </c>
      <c r="E5437" s="142" t="s">
        <v>15849</v>
      </c>
      <c r="F5437" s="142" t="s">
        <v>1927</v>
      </c>
      <c r="G5437" s="142" t="s">
        <v>1926</v>
      </c>
      <c r="H5437" s="142" t="s">
        <v>21287</v>
      </c>
      <c r="I5437" s="142">
        <v>143</v>
      </c>
      <c r="J5437" s="142">
        <v>72</v>
      </c>
      <c r="K5437" s="142">
        <v>0</v>
      </c>
      <c r="L5437" s="142">
        <v>0</v>
      </c>
      <c r="M5437" s="142">
        <v>71</v>
      </c>
    </row>
    <row r="5438" spans="1:13" x14ac:dyDescent="0.45">
      <c r="A5438" s="142" t="s">
        <v>13041</v>
      </c>
      <c r="B5438" s="142" t="s">
        <v>14441</v>
      </c>
      <c r="C5438" s="142" t="s">
        <v>15847</v>
      </c>
      <c r="D5438" s="142" t="s">
        <v>15848</v>
      </c>
      <c r="E5438" s="142" t="s">
        <v>15849</v>
      </c>
      <c r="F5438" s="142" t="s">
        <v>1927</v>
      </c>
      <c r="G5438" s="142" t="s">
        <v>1926</v>
      </c>
      <c r="H5438" s="142" t="s">
        <v>21288</v>
      </c>
      <c r="I5438" s="142">
        <v>101</v>
      </c>
      <c r="J5438" s="142">
        <v>0</v>
      </c>
      <c r="K5438" s="142">
        <v>0</v>
      </c>
      <c r="L5438" s="142">
        <v>0</v>
      </c>
      <c r="M5438" s="142">
        <v>101</v>
      </c>
    </row>
    <row r="5439" spans="1:13" x14ac:dyDescent="0.45">
      <c r="A5439" s="142" t="s">
        <v>13012</v>
      </c>
      <c r="B5439" s="142" t="s">
        <v>15337</v>
      </c>
      <c r="C5439" s="142" t="s">
        <v>15847</v>
      </c>
      <c r="D5439" s="142" t="s">
        <v>15848</v>
      </c>
      <c r="E5439" s="142" t="s">
        <v>15849</v>
      </c>
      <c r="F5439" s="142" t="s">
        <v>1927</v>
      </c>
      <c r="G5439" s="142" t="s">
        <v>1926</v>
      </c>
      <c r="H5439" s="142" t="s">
        <v>21289</v>
      </c>
      <c r="I5439" s="142">
        <v>916</v>
      </c>
      <c r="J5439" s="142">
        <v>776</v>
      </c>
      <c r="K5439" s="142">
        <v>0</v>
      </c>
      <c r="L5439" s="142">
        <v>31</v>
      </c>
      <c r="M5439" s="142">
        <v>109</v>
      </c>
    </row>
    <row r="5440" spans="1:13" x14ac:dyDescent="0.45">
      <c r="A5440" s="142" t="s">
        <v>13206</v>
      </c>
      <c r="B5440" s="142" t="s">
        <v>14489</v>
      </c>
      <c r="C5440" s="142" t="s">
        <v>15860</v>
      </c>
      <c r="D5440" s="142" t="s">
        <v>15861</v>
      </c>
      <c r="E5440" s="142" t="s">
        <v>15849</v>
      </c>
      <c r="F5440" s="142" t="s">
        <v>1927</v>
      </c>
      <c r="G5440" s="142" t="s">
        <v>1926</v>
      </c>
      <c r="H5440" s="142" t="s">
        <v>21290</v>
      </c>
      <c r="I5440" s="142">
        <v>75</v>
      </c>
      <c r="J5440" s="142">
        <v>0</v>
      </c>
      <c r="K5440" s="142">
        <v>0</v>
      </c>
      <c r="L5440" s="142">
        <v>75</v>
      </c>
      <c r="M5440" s="142">
        <v>0</v>
      </c>
    </row>
    <row r="5441" spans="1:13" x14ac:dyDescent="0.45">
      <c r="A5441" s="142" t="s">
        <v>13014</v>
      </c>
      <c r="B5441" s="142" t="s">
        <v>14505</v>
      </c>
      <c r="C5441" s="142" t="s">
        <v>15847</v>
      </c>
      <c r="D5441" s="142" t="s">
        <v>15848</v>
      </c>
      <c r="E5441" s="142" t="s">
        <v>15849</v>
      </c>
      <c r="F5441" s="142" t="s">
        <v>1927</v>
      </c>
      <c r="G5441" s="142" t="s">
        <v>1926</v>
      </c>
      <c r="H5441" s="142" t="s">
        <v>21291</v>
      </c>
      <c r="I5441" s="142">
        <v>4265</v>
      </c>
      <c r="J5441" s="142">
        <v>1820</v>
      </c>
      <c r="K5441" s="142">
        <v>0</v>
      </c>
      <c r="L5441" s="142">
        <v>96</v>
      </c>
      <c r="M5441" s="142">
        <v>2349</v>
      </c>
    </row>
    <row r="5442" spans="1:13" x14ac:dyDescent="0.45">
      <c r="A5442" s="142" t="s">
        <v>13395</v>
      </c>
      <c r="B5442" s="142" t="s">
        <v>15476</v>
      </c>
      <c r="C5442" s="142" t="s">
        <v>15847</v>
      </c>
      <c r="D5442" s="142" t="s">
        <v>15848</v>
      </c>
      <c r="E5442" s="142" t="s">
        <v>15849</v>
      </c>
      <c r="F5442" s="142" t="s">
        <v>1927</v>
      </c>
      <c r="G5442" s="142" t="s">
        <v>1926</v>
      </c>
      <c r="H5442" s="142" t="s">
        <v>21292</v>
      </c>
      <c r="I5442" s="142">
        <v>202</v>
      </c>
      <c r="J5442" s="142">
        <v>145</v>
      </c>
      <c r="K5442" s="142">
        <v>0</v>
      </c>
      <c r="L5442" s="142">
        <v>0</v>
      </c>
      <c r="M5442" s="142">
        <v>57</v>
      </c>
    </row>
    <row r="5443" spans="1:13" x14ac:dyDescent="0.45">
      <c r="A5443" s="142" t="s">
        <v>13156</v>
      </c>
      <c r="B5443" s="142" t="s">
        <v>14493</v>
      </c>
      <c r="C5443" s="142" t="s">
        <v>15860</v>
      </c>
      <c r="D5443" s="142" t="s">
        <v>15861</v>
      </c>
      <c r="E5443" s="142" t="s">
        <v>15849</v>
      </c>
      <c r="F5443" s="142" t="s">
        <v>1927</v>
      </c>
      <c r="G5443" s="142" t="s">
        <v>1926</v>
      </c>
      <c r="H5443" s="142" t="s">
        <v>21293</v>
      </c>
      <c r="I5443" s="142">
        <v>11</v>
      </c>
      <c r="J5443" s="142">
        <v>0</v>
      </c>
      <c r="K5443" s="142">
        <v>0</v>
      </c>
      <c r="L5443" s="142">
        <v>11</v>
      </c>
      <c r="M5443" s="142">
        <v>0</v>
      </c>
    </row>
    <row r="5444" spans="1:13" x14ac:dyDescent="0.45">
      <c r="A5444" s="142" t="s">
        <v>13207</v>
      </c>
      <c r="B5444" s="142" t="s">
        <v>15558</v>
      </c>
      <c r="C5444" s="142" t="s">
        <v>15847</v>
      </c>
      <c r="D5444" s="142" t="s">
        <v>15848</v>
      </c>
      <c r="E5444" s="142" t="s">
        <v>15849</v>
      </c>
      <c r="F5444" s="142" t="s">
        <v>1927</v>
      </c>
      <c r="G5444" s="142" t="s">
        <v>1926</v>
      </c>
      <c r="H5444" s="142" t="s">
        <v>21294</v>
      </c>
      <c r="I5444" s="142">
        <v>1352</v>
      </c>
      <c r="J5444" s="142">
        <v>704</v>
      </c>
      <c r="K5444" s="142">
        <v>100</v>
      </c>
      <c r="L5444" s="142">
        <v>39</v>
      </c>
      <c r="M5444" s="142">
        <v>509</v>
      </c>
    </row>
    <row r="5445" spans="1:13" x14ac:dyDescent="0.45">
      <c r="A5445" s="142" t="s">
        <v>13110</v>
      </c>
      <c r="B5445" s="142" t="s">
        <v>15502</v>
      </c>
      <c r="C5445" s="142" t="s">
        <v>15847</v>
      </c>
      <c r="D5445" s="142" t="s">
        <v>15848</v>
      </c>
      <c r="E5445" s="142" t="s">
        <v>15849</v>
      </c>
      <c r="F5445" s="142" t="s">
        <v>8372</v>
      </c>
      <c r="G5445" s="142" t="s">
        <v>8371</v>
      </c>
      <c r="H5445" s="142" t="s">
        <v>21295</v>
      </c>
      <c r="I5445" s="142">
        <v>14</v>
      </c>
      <c r="J5445" s="142">
        <v>11</v>
      </c>
      <c r="K5445" s="142">
        <v>0</v>
      </c>
      <c r="L5445" s="142">
        <v>0</v>
      </c>
      <c r="M5445" s="142">
        <v>3</v>
      </c>
    </row>
    <row r="5446" spans="1:13" x14ac:dyDescent="0.45">
      <c r="A5446" s="142" t="s">
        <v>13308</v>
      </c>
      <c r="B5446" s="142" t="s">
        <v>15608</v>
      </c>
      <c r="C5446" s="142" t="s">
        <v>15847</v>
      </c>
      <c r="D5446" s="142" t="s">
        <v>15848</v>
      </c>
      <c r="E5446" s="142" t="s">
        <v>15849</v>
      </c>
      <c r="F5446" s="142" t="s">
        <v>8372</v>
      </c>
      <c r="G5446" s="142" t="s">
        <v>8371</v>
      </c>
      <c r="H5446" s="142" t="s">
        <v>21296</v>
      </c>
      <c r="I5446" s="142">
        <v>23</v>
      </c>
      <c r="J5446" s="142">
        <v>0</v>
      </c>
      <c r="K5446" s="142">
        <v>0</v>
      </c>
      <c r="L5446" s="142">
        <v>0</v>
      </c>
      <c r="M5446" s="142">
        <v>23</v>
      </c>
    </row>
    <row r="5447" spans="1:13" x14ac:dyDescent="0.45">
      <c r="A5447" s="142" t="s">
        <v>13166</v>
      </c>
      <c r="B5447" s="142" t="s">
        <v>15576</v>
      </c>
      <c r="C5447" s="142" t="s">
        <v>15847</v>
      </c>
      <c r="D5447" s="142" t="s">
        <v>15848</v>
      </c>
      <c r="E5447" s="142" t="s">
        <v>15849</v>
      </c>
      <c r="F5447" s="142" t="s">
        <v>8372</v>
      </c>
      <c r="G5447" s="142" t="s">
        <v>8371</v>
      </c>
      <c r="H5447" s="142" t="s">
        <v>21297</v>
      </c>
      <c r="I5447" s="142">
        <v>62</v>
      </c>
      <c r="J5447" s="142">
        <v>35</v>
      </c>
      <c r="K5447" s="142">
        <v>0</v>
      </c>
      <c r="L5447" s="142">
        <v>0</v>
      </c>
      <c r="M5447" s="142">
        <v>27</v>
      </c>
    </row>
    <row r="5448" spans="1:13" x14ac:dyDescent="0.45">
      <c r="A5448" s="142" t="s">
        <v>13046</v>
      </c>
      <c r="B5448" s="142" t="s">
        <v>15537</v>
      </c>
      <c r="C5448" s="142" t="s">
        <v>15860</v>
      </c>
      <c r="D5448" s="142" t="s">
        <v>15861</v>
      </c>
      <c r="E5448" s="142" t="s">
        <v>15849</v>
      </c>
      <c r="F5448" s="142" t="s">
        <v>8372</v>
      </c>
      <c r="G5448" s="142" t="s">
        <v>8371</v>
      </c>
      <c r="H5448" s="142" t="s">
        <v>21298</v>
      </c>
      <c r="I5448" s="142">
        <v>21</v>
      </c>
      <c r="J5448" s="142">
        <v>0</v>
      </c>
      <c r="K5448" s="142">
        <v>0</v>
      </c>
      <c r="L5448" s="142">
        <v>21</v>
      </c>
      <c r="M5448" s="142">
        <v>0</v>
      </c>
    </row>
    <row r="5449" spans="1:13" x14ac:dyDescent="0.45">
      <c r="A5449" s="142" t="s">
        <v>13021</v>
      </c>
      <c r="B5449" s="142" t="s">
        <v>15501</v>
      </c>
      <c r="C5449" s="142" t="s">
        <v>15847</v>
      </c>
      <c r="D5449" s="142" t="s">
        <v>15848</v>
      </c>
      <c r="E5449" s="142" t="s">
        <v>15849</v>
      </c>
      <c r="F5449" s="142" t="s">
        <v>8372</v>
      </c>
      <c r="G5449" s="142" t="s">
        <v>8371</v>
      </c>
      <c r="H5449" s="142" t="s">
        <v>21299</v>
      </c>
      <c r="I5449" s="142">
        <v>4</v>
      </c>
      <c r="J5449" s="142">
        <v>0</v>
      </c>
      <c r="K5449" s="142">
        <v>0</v>
      </c>
      <c r="L5449" s="142">
        <v>0</v>
      </c>
      <c r="M5449" s="142">
        <v>4</v>
      </c>
    </row>
    <row r="5450" spans="1:13" x14ac:dyDescent="0.45">
      <c r="A5450" s="142" t="s">
        <v>13023</v>
      </c>
      <c r="B5450" s="142" t="s">
        <v>15571</v>
      </c>
      <c r="C5450" s="142" t="s">
        <v>15847</v>
      </c>
      <c r="D5450" s="142" t="s">
        <v>15848</v>
      </c>
      <c r="E5450" s="142" t="s">
        <v>15849</v>
      </c>
      <c r="F5450" s="142" t="s">
        <v>8372</v>
      </c>
      <c r="G5450" s="142" t="s">
        <v>8371</v>
      </c>
      <c r="H5450" s="142" t="s">
        <v>21300</v>
      </c>
      <c r="I5450" s="142">
        <v>21</v>
      </c>
      <c r="J5450" s="142">
        <v>0</v>
      </c>
      <c r="K5450" s="142">
        <v>0</v>
      </c>
      <c r="L5450" s="142">
        <v>21</v>
      </c>
      <c r="M5450" s="142">
        <v>0</v>
      </c>
    </row>
    <row r="5451" spans="1:13" x14ac:dyDescent="0.45">
      <c r="A5451" s="142" t="s">
        <v>13065</v>
      </c>
      <c r="B5451" s="142" t="s">
        <v>14497</v>
      </c>
      <c r="C5451" s="142" t="s">
        <v>15847</v>
      </c>
      <c r="D5451" s="142" t="s">
        <v>15848</v>
      </c>
      <c r="E5451" s="142" t="s">
        <v>15849</v>
      </c>
      <c r="F5451" s="142" t="s">
        <v>8372</v>
      </c>
      <c r="G5451" s="142" t="s">
        <v>8371</v>
      </c>
      <c r="H5451" s="142" t="s">
        <v>21301</v>
      </c>
      <c r="I5451" s="142">
        <v>8</v>
      </c>
      <c r="J5451" s="142">
        <v>0</v>
      </c>
      <c r="K5451" s="142">
        <v>0</v>
      </c>
      <c r="L5451" s="142">
        <v>8</v>
      </c>
      <c r="M5451" s="142">
        <v>0</v>
      </c>
    </row>
    <row r="5452" spans="1:13" x14ac:dyDescent="0.45">
      <c r="A5452" s="142" t="s">
        <v>13000</v>
      </c>
      <c r="B5452" s="142" t="s">
        <v>14610</v>
      </c>
      <c r="C5452" s="142" t="s">
        <v>15847</v>
      </c>
      <c r="D5452" s="142" t="s">
        <v>15848</v>
      </c>
      <c r="E5452" s="142" t="s">
        <v>15849</v>
      </c>
      <c r="F5452" s="142" t="s">
        <v>8372</v>
      </c>
      <c r="G5452" s="142" t="s">
        <v>8371</v>
      </c>
      <c r="H5452" s="142" t="s">
        <v>21302</v>
      </c>
      <c r="I5452" s="142">
        <v>3619</v>
      </c>
      <c r="J5452" s="142">
        <v>2974</v>
      </c>
      <c r="K5452" s="142">
        <v>0</v>
      </c>
      <c r="L5452" s="142">
        <v>533</v>
      </c>
      <c r="M5452" s="142">
        <v>112</v>
      </c>
    </row>
    <row r="5453" spans="1:13" x14ac:dyDescent="0.45">
      <c r="A5453" s="142" t="s">
        <v>14003</v>
      </c>
      <c r="B5453" s="142" t="s">
        <v>14796</v>
      </c>
      <c r="C5453" s="142" t="s">
        <v>15860</v>
      </c>
      <c r="D5453" s="142" t="s">
        <v>15861</v>
      </c>
      <c r="E5453" s="142" t="s">
        <v>15849</v>
      </c>
      <c r="F5453" s="142" t="s">
        <v>8372</v>
      </c>
      <c r="G5453" s="142" t="s">
        <v>8371</v>
      </c>
      <c r="H5453" s="142" t="s">
        <v>21303</v>
      </c>
      <c r="I5453" s="142">
        <v>20</v>
      </c>
      <c r="J5453" s="142">
        <v>0</v>
      </c>
      <c r="K5453" s="142">
        <v>0</v>
      </c>
      <c r="L5453" s="142">
        <v>20</v>
      </c>
      <c r="M5453" s="142">
        <v>0</v>
      </c>
    </row>
    <row r="5454" spans="1:13" x14ac:dyDescent="0.45">
      <c r="A5454" s="142" t="s">
        <v>13074</v>
      </c>
      <c r="B5454" s="142" t="s">
        <v>15405</v>
      </c>
      <c r="C5454" s="142" t="s">
        <v>15847</v>
      </c>
      <c r="D5454" s="142" t="s">
        <v>15848</v>
      </c>
      <c r="E5454" s="142" t="s">
        <v>15849</v>
      </c>
      <c r="F5454" s="142" t="s">
        <v>8372</v>
      </c>
      <c r="G5454" s="142" t="s">
        <v>8371</v>
      </c>
      <c r="H5454" s="142" t="s">
        <v>21304</v>
      </c>
      <c r="I5454" s="142">
        <v>18</v>
      </c>
      <c r="J5454" s="142">
        <v>11</v>
      </c>
      <c r="K5454" s="142">
        <v>0</v>
      </c>
      <c r="L5454" s="142">
        <v>0</v>
      </c>
      <c r="M5454" s="142">
        <v>7</v>
      </c>
    </row>
    <row r="5455" spans="1:13" x14ac:dyDescent="0.45">
      <c r="A5455" s="142" t="s">
        <v>13168</v>
      </c>
      <c r="B5455" s="142" t="s">
        <v>14486</v>
      </c>
      <c r="C5455" s="142" t="s">
        <v>15860</v>
      </c>
      <c r="D5455" s="142" t="s">
        <v>15861</v>
      </c>
      <c r="E5455" s="142" t="s">
        <v>15849</v>
      </c>
      <c r="F5455" s="142" t="s">
        <v>8372</v>
      </c>
      <c r="G5455" s="142" t="s">
        <v>8371</v>
      </c>
      <c r="H5455" s="142" t="s">
        <v>21305</v>
      </c>
      <c r="I5455" s="142">
        <v>6</v>
      </c>
      <c r="J5455" s="142">
        <v>0</v>
      </c>
      <c r="K5455" s="142">
        <v>0</v>
      </c>
      <c r="L5455" s="142">
        <v>6</v>
      </c>
      <c r="M5455" s="142">
        <v>0</v>
      </c>
    </row>
    <row r="5456" spans="1:13" x14ac:dyDescent="0.45">
      <c r="A5456" s="142" t="s">
        <v>13028</v>
      </c>
      <c r="B5456" s="142" t="s">
        <v>14462</v>
      </c>
      <c r="C5456" s="142" t="s">
        <v>15847</v>
      </c>
      <c r="D5456" s="142" t="s">
        <v>15848</v>
      </c>
      <c r="E5456" s="142" t="s">
        <v>15849</v>
      </c>
      <c r="F5456" s="142" t="s">
        <v>8372</v>
      </c>
      <c r="G5456" s="142" t="s">
        <v>8371</v>
      </c>
      <c r="H5456" s="142" t="s">
        <v>21306</v>
      </c>
      <c r="I5456" s="142">
        <v>6</v>
      </c>
      <c r="J5456" s="142">
        <v>0</v>
      </c>
      <c r="K5456" s="142">
        <v>0</v>
      </c>
      <c r="L5456" s="142">
        <v>0</v>
      </c>
      <c r="M5456" s="142">
        <v>6</v>
      </c>
    </row>
    <row r="5457" spans="1:13" x14ac:dyDescent="0.45">
      <c r="A5457" s="142" t="s">
        <v>13002</v>
      </c>
      <c r="B5457" s="142" t="s">
        <v>15376</v>
      </c>
      <c r="C5457" s="142" t="s">
        <v>15847</v>
      </c>
      <c r="D5457" s="142" t="s">
        <v>15848</v>
      </c>
      <c r="E5457" s="142" t="s">
        <v>15849</v>
      </c>
      <c r="F5457" s="142" t="s">
        <v>8372</v>
      </c>
      <c r="G5457" s="142" t="s">
        <v>8371</v>
      </c>
      <c r="H5457" s="142" t="s">
        <v>21307</v>
      </c>
      <c r="I5457" s="142">
        <v>27</v>
      </c>
      <c r="J5457" s="142">
        <v>0</v>
      </c>
      <c r="K5457" s="142">
        <v>0</v>
      </c>
      <c r="L5457" s="142">
        <v>27</v>
      </c>
      <c r="M5457" s="142">
        <v>0</v>
      </c>
    </row>
    <row r="5458" spans="1:13" x14ac:dyDescent="0.45">
      <c r="A5458" s="142" t="s">
        <v>13005</v>
      </c>
      <c r="B5458" s="142" t="s">
        <v>15475</v>
      </c>
      <c r="C5458" s="142" t="s">
        <v>15847</v>
      </c>
      <c r="D5458" s="142" t="s">
        <v>15848</v>
      </c>
      <c r="E5458" s="142" t="s">
        <v>15849</v>
      </c>
      <c r="F5458" s="142" t="s">
        <v>8372</v>
      </c>
      <c r="G5458" s="142" t="s">
        <v>8371</v>
      </c>
      <c r="H5458" s="142" t="s">
        <v>21308</v>
      </c>
      <c r="I5458" s="142">
        <v>6</v>
      </c>
      <c r="J5458" s="142">
        <v>0</v>
      </c>
      <c r="K5458" s="142">
        <v>0</v>
      </c>
      <c r="L5458" s="142">
        <v>0</v>
      </c>
      <c r="M5458" s="142">
        <v>6</v>
      </c>
    </row>
    <row r="5459" spans="1:13" x14ac:dyDescent="0.45">
      <c r="A5459" s="142" t="s">
        <v>13006</v>
      </c>
      <c r="B5459" s="142" t="s">
        <v>15288</v>
      </c>
      <c r="C5459" s="142" t="s">
        <v>15847</v>
      </c>
      <c r="D5459" s="142" t="s">
        <v>15848</v>
      </c>
      <c r="E5459" s="142" t="s">
        <v>15849</v>
      </c>
      <c r="F5459" s="142" t="s">
        <v>8372</v>
      </c>
      <c r="G5459" s="142" t="s">
        <v>8371</v>
      </c>
      <c r="H5459" s="142" t="s">
        <v>21309</v>
      </c>
      <c r="I5459" s="142">
        <v>70</v>
      </c>
      <c r="J5459" s="142">
        <v>17</v>
      </c>
      <c r="K5459" s="142">
        <v>0</v>
      </c>
      <c r="L5459" s="142">
        <v>0</v>
      </c>
      <c r="M5459" s="142">
        <v>53</v>
      </c>
    </row>
    <row r="5460" spans="1:13" x14ac:dyDescent="0.45">
      <c r="A5460" s="142" t="s">
        <v>13568</v>
      </c>
      <c r="B5460" s="142" t="s">
        <v>15242</v>
      </c>
      <c r="C5460" s="142" t="s">
        <v>15847</v>
      </c>
      <c r="D5460" s="142" t="s">
        <v>15848</v>
      </c>
      <c r="E5460" s="142" t="s">
        <v>15849</v>
      </c>
      <c r="F5460" s="142" t="s">
        <v>8372</v>
      </c>
      <c r="G5460" s="142" t="s">
        <v>8371</v>
      </c>
      <c r="H5460" s="142" t="s">
        <v>21310</v>
      </c>
      <c r="I5460" s="142">
        <v>450</v>
      </c>
      <c r="J5460" s="142">
        <v>342</v>
      </c>
      <c r="K5460" s="142">
        <v>0</v>
      </c>
      <c r="L5460" s="142">
        <v>63</v>
      </c>
      <c r="M5460" s="142">
        <v>45</v>
      </c>
    </row>
    <row r="5461" spans="1:13" x14ac:dyDescent="0.45">
      <c r="A5461" s="142" t="s">
        <v>13054</v>
      </c>
      <c r="B5461" s="142" t="s">
        <v>15604</v>
      </c>
      <c r="C5461" s="142" t="s">
        <v>15847</v>
      </c>
      <c r="D5461" s="142" t="s">
        <v>15848</v>
      </c>
      <c r="E5461" s="142" t="s">
        <v>15849</v>
      </c>
      <c r="F5461" s="142" t="s">
        <v>8372</v>
      </c>
      <c r="G5461" s="142" t="s">
        <v>8371</v>
      </c>
      <c r="H5461" s="142" t="s">
        <v>21311</v>
      </c>
      <c r="I5461" s="142">
        <v>5</v>
      </c>
      <c r="J5461" s="142">
        <v>0</v>
      </c>
      <c r="K5461" s="142">
        <v>0</v>
      </c>
      <c r="L5461" s="142">
        <v>0</v>
      </c>
      <c r="M5461" s="142">
        <v>5</v>
      </c>
    </row>
    <row r="5462" spans="1:13" x14ac:dyDescent="0.45">
      <c r="A5462" s="142" t="s">
        <v>14004</v>
      </c>
      <c r="B5462" s="142" t="s">
        <v>15248</v>
      </c>
      <c r="C5462" s="142" t="s">
        <v>15860</v>
      </c>
      <c r="D5462" s="142" t="s">
        <v>15861</v>
      </c>
      <c r="E5462" s="142" t="s">
        <v>15849</v>
      </c>
      <c r="F5462" s="142" t="s">
        <v>8372</v>
      </c>
      <c r="G5462" s="142" t="s">
        <v>8371</v>
      </c>
      <c r="H5462" s="142" t="s">
        <v>21312</v>
      </c>
      <c r="I5462" s="142">
        <v>15</v>
      </c>
      <c r="J5462" s="142">
        <v>3</v>
      </c>
      <c r="K5462" s="142">
        <v>0</v>
      </c>
      <c r="L5462" s="142">
        <v>12</v>
      </c>
      <c r="M5462" s="142">
        <v>0</v>
      </c>
    </row>
    <row r="5463" spans="1:13" x14ac:dyDescent="0.45">
      <c r="A5463" s="142" t="s">
        <v>13055</v>
      </c>
      <c r="B5463" s="142" t="s">
        <v>14595</v>
      </c>
      <c r="C5463" s="142" t="s">
        <v>15847</v>
      </c>
      <c r="D5463" s="142" t="s">
        <v>15848</v>
      </c>
      <c r="E5463" s="142" t="s">
        <v>15849</v>
      </c>
      <c r="F5463" s="142" t="s">
        <v>8372</v>
      </c>
      <c r="G5463" s="142" t="s">
        <v>8371</v>
      </c>
      <c r="H5463" s="142" t="s">
        <v>21313</v>
      </c>
      <c r="I5463" s="142">
        <v>20</v>
      </c>
      <c r="J5463" s="142">
        <v>20</v>
      </c>
      <c r="K5463" s="142">
        <v>0</v>
      </c>
      <c r="L5463" s="142">
        <v>0</v>
      </c>
      <c r="M5463" s="142">
        <v>0</v>
      </c>
    </row>
    <row r="5464" spans="1:13" x14ac:dyDescent="0.45">
      <c r="A5464" s="142" t="s">
        <v>13569</v>
      </c>
      <c r="B5464" s="142" t="s">
        <v>15441</v>
      </c>
      <c r="C5464" s="142" t="s">
        <v>15847</v>
      </c>
      <c r="D5464" s="142" t="s">
        <v>15848</v>
      </c>
      <c r="E5464" s="142" t="s">
        <v>15849</v>
      </c>
      <c r="F5464" s="142" t="s">
        <v>8372</v>
      </c>
      <c r="G5464" s="142" t="s">
        <v>8371</v>
      </c>
      <c r="H5464" s="142" t="s">
        <v>21314</v>
      </c>
      <c r="I5464" s="142">
        <v>41</v>
      </c>
      <c r="J5464" s="142">
        <v>33</v>
      </c>
      <c r="K5464" s="142">
        <v>0</v>
      </c>
      <c r="L5464" s="142">
        <v>0</v>
      </c>
      <c r="M5464" s="142">
        <v>8</v>
      </c>
    </row>
    <row r="5465" spans="1:13" x14ac:dyDescent="0.45">
      <c r="A5465" s="142" t="s">
        <v>13037</v>
      </c>
      <c r="B5465" s="142" t="s">
        <v>14519</v>
      </c>
      <c r="C5465" s="142" t="s">
        <v>15847</v>
      </c>
      <c r="D5465" s="142" t="s">
        <v>15848</v>
      </c>
      <c r="E5465" s="142" t="s">
        <v>15849</v>
      </c>
      <c r="F5465" s="142" t="s">
        <v>8372</v>
      </c>
      <c r="G5465" s="142" t="s">
        <v>8371</v>
      </c>
      <c r="H5465" s="142" t="s">
        <v>21315</v>
      </c>
      <c r="I5465" s="142">
        <v>5</v>
      </c>
      <c r="J5465" s="142">
        <v>0</v>
      </c>
      <c r="K5465" s="142">
        <v>0</v>
      </c>
      <c r="L5465" s="142">
        <v>5</v>
      </c>
      <c r="M5465" s="142">
        <v>0</v>
      </c>
    </row>
    <row r="5466" spans="1:13" x14ac:dyDescent="0.45">
      <c r="A5466" s="142" t="s">
        <v>13011</v>
      </c>
      <c r="B5466" s="142" t="s">
        <v>14695</v>
      </c>
      <c r="C5466" s="142" t="s">
        <v>15847</v>
      </c>
      <c r="D5466" s="142" t="s">
        <v>15848</v>
      </c>
      <c r="E5466" s="142" t="s">
        <v>15849</v>
      </c>
      <c r="F5466" s="142" t="s">
        <v>8372</v>
      </c>
      <c r="G5466" s="142" t="s">
        <v>8371</v>
      </c>
      <c r="H5466" s="142" t="s">
        <v>21316</v>
      </c>
      <c r="I5466" s="142">
        <v>104</v>
      </c>
      <c r="J5466" s="142">
        <v>71</v>
      </c>
      <c r="K5466" s="142">
        <v>0</v>
      </c>
      <c r="L5466" s="142">
        <v>17</v>
      </c>
      <c r="M5466" s="142">
        <v>16</v>
      </c>
    </row>
    <row r="5467" spans="1:13" x14ac:dyDescent="0.45">
      <c r="A5467" s="142" t="s">
        <v>13058</v>
      </c>
      <c r="B5467" s="142" t="s">
        <v>14584</v>
      </c>
      <c r="C5467" s="142" t="s">
        <v>15847</v>
      </c>
      <c r="D5467" s="142" t="s">
        <v>15848</v>
      </c>
      <c r="E5467" s="142" t="s">
        <v>15849</v>
      </c>
      <c r="F5467" s="142" t="s">
        <v>8372</v>
      </c>
      <c r="G5467" s="142" t="s">
        <v>8371</v>
      </c>
      <c r="H5467" s="142" t="s">
        <v>21317</v>
      </c>
      <c r="I5467" s="142">
        <v>1</v>
      </c>
      <c r="J5467" s="142">
        <v>0</v>
      </c>
      <c r="K5467" s="142">
        <v>0</v>
      </c>
      <c r="L5467" s="142">
        <v>0</v>
      </c>
      <c r="M5467" s="142">
        <v>1</v>
      </c>
    </row>
    <row r="5468" spans="1:13" x14ac:dyDescent="0.45">
      <c r="A5468" s="142" t="s">
        <v>13012</v>
      </c>
      <c r="B5468" s="142" t="s">
        <v>15337</v>
      </c>
      <c r="C5468" s="142" t="s">
        <v>15847</v>
      </c>
      <c r="D5468" s="142" t="s">
        <v>15848</v>
      </c>
      <c r="E5468" s="142" t="s">
        <v>15849</v>
      </c>
      <c r="F5468" s="142" t="s">
        <v>8372</v>
      </c>
      <c r="G5468" s="142" t="s">
        <v>8371</v>
      </c>
      <c r="H5468" s="142" t="s">
        <v>21318</v>
      </c>
      <c r="I5468" s="142">
        <v>1</v>
      </c>
      <c r="J5468" s="142">
        <v>0</v>
      </c>
      <c r="K5468" s="142">
        <v>0</v>
      </c>
      <c r="L5468" s="142">
        <v>1</v>
      </c>
      <c r="M5468" s="142">
        <v>0</v>
      </c>
    </row>
    <row r="5469" spans="1:13" x14ac:dyDescent="0.45">
      <c r="A5469" s="142" t="s">
        <v>13094</v>
      </c>
      <c r="B5469" s="142" t="s">
        <v>15542</v>
      </c>
      <c r="C5469" s="142" t="s">
        <v>15860</v>
      </c>
      <c r="D5469" s="142" t="s">
        <v>15861</v>
      </c>
      <c r="E5469" s="142" t="s">
        <v>15849</v>
      </c>
      <c r="F5469" s="142" t="s">
        <v>8372</v>
      </c>
      <c r="G5469" s="142" t="s">
        <v>8371</v>
      </c>
      <c r="H5469" s="142" t="s">
        <v>21319</v>
      </c>
      <c r="I5469" s="142">
        <v>5</v>
      </c>
      <c r="J5469" s="142">
        <v>0</v>
      </c>
      <c r="K5469" s="142">
        <v>0</v>
      </c>
      <c r="L5469" s="142">
        <v>5</v>
      </c>
      <c r="M5469" s="142">
        <v>0</v>
      </c>
    </row>
    <row r="5470" spans="1:13" x14ac:dyDescent="0.45">
      <c r="A5470" s="142" t="s">
        <v>13686</v>
      </c>
      <c r="B5470" s="142" t="s">
        <v>15207</v>
      </c>
      <c r="C5470" s="142" t="s">
        <v>15860</v>
      </c>
      <c r="D5470" s="142" t="s">
        <v>15861</v>
      </c>
      <c r="E5470" s="142" t="s">
        <v>15849</v>
      </c>
      <c r="F5470" s="142" t="s">
        <v>8372</v>
      </c>
      <c r="G5470" s="142" t="s">
        <v>8371</v>
      </c>
      <c r="H5470" s="142" t="s">
        <v>21320</v>
      </c>
      <c r="I5470" s="142">
        <v>62</v>
      </c>
      <c r="J5470" s="142">
        <v>0</v>
      </c>
      <c r="K5470" s="142">
        <v>0</v>
      </c>
      <c r="L5470" s="142">
        <v>62</v>
      </c>
      <c r="M5470" s="142">
        <v>0</v>
      </c>
    </row>
    <row r="5471" spans="1:13" x14ac:dyDescent="0.45">
      <c r="A5471" s="142" t="s">
        <v>13042</v>
      </c>
      <c r="B5471" s="142" t="s">
        <v>15489</v>
      </c>
      <c r="C5471" s="142" t="s">
        <v>15847</v>
      </c>
      <c r="D5471" s="142" t="s">
        <v>15848</v>
      </c>
      <c r="E5471" s="142" t="s">
        <v>15849</v>
      </c>
      <c r="F5471" s="142" t="s">
        <v>8372</v>
      </c>
      <c r="G5471" s="142" t="s">
        <v>8371</v>
      </c>
      <c r="H5471" s="142" t="s">
        <v>21321</v>
      </c>
      <c r="I5471" s="142">
        <v>9</v>
      </c>
      <c r="J5471" s="142">
        <v>0</v>
      </c>
      <c r="K5471" s="142">
        <v>0</v>
      </c>
      <c r="L5471" s="142">
        <v>9</v>
      </c>
      <c r="M5471" s="142">
        <v>0</v>
      </c>
    </row>
    <row r="5472" spans="1:13" x14ac:dyDescent="0.45">
      <c r="A5472" s="142" t="s">
        <v>13079</v>
      </c>
      <c r="B5472" s="142" t="s">
        <v>15431</v>
      </c>
      <c r="C5472" s="142" t="s">
        <v>15847</v>
      </c>
      <c r="D5472" s="142" t="s">
        <v>15848</v>
      </c>
      <c r="E5472" s="142" t="s">
        <v>15849</v>
      </c>
      <c r="F5472" s="142" t="s">
        <v>8372</v>
      </c>
      <c r="G5472" s="142" t="s">
        <v>8371</v>
      </c>
      <c r="H5472" s="142" t="s">
        <v>21322</v>
      </c>
      <c r="I5472" s="142">
        <v>7</v>
      </c>
      <c r="J5472" s="142">
        <v>1</v>
      </c>
      <c r="K5472" s="142">
        <v>0</v>
      </c>
      <c r="L5472" s="142">
        <v>0</v>
      </c>
      <c r="M5472" s="142">
        <v>6</v>
      </c>
    </row>
    <row r="5473" spans="1:13" x14ac:dyDescent="0.45">
      <c r="A5473" s="142" t="s">
        <v>13570</v>
      </c>
      <c r="B5473" s="142" t="s">
        <v>15181</v>
      </c>
      <c r="C5473" s="142" t="s">
        <v>15860</v>
      </c>
      <c r="D5473" s="142" t="s">
        <v>15861</v>
      </c>
      <c r="E5473" s="142" t="s">
        <v>15849</v>
      </c>
      <c r="F5473" s="142" t="s">
        <v>8372</v>
      </c>
      <c r="G5473" s="142" t="s">
        <v>8371</v>
      </c>
      <c r="H5473" s="142" t="s">
        <v>21323</v>
      </c>
      <c r="I5473" s="142">
        <v>61</v>
      </c>
      <c r="J5473" s="142">
        <v>1</v>
      </c>
      <c r="K5473" s="142">
        <v>0</v>
      </c>
      <c r="L5473" s="142">
        <v>60</v>
      </c>
      <c r="M5473" s="142">
        <v>0</v>
      </c>
    </row>
    <row r="5474" spans="1:13" x14ac:dyDescent="0.45">
      <c r="A5474" s="142" t="s">
        <v>13046</v>
      </c>
      <c r="B5474" s="142" t="s">
        <v>15537</v>
      </c>
      <c r="C5474" s="142" t="s">
        <v>15860</v>
      </c>
      <c r="D5474" s="142" t="s">
        <v>15861</v>
      </c>
      <c r="E5474" s="142" t="s">
        <v>15849</v>
      </c>
      <c r="F5474" s="142" t="s">
        <v>5026</v>
      </c>
      <c r="G5474" s="142" t="s">
        <v>5025</v>
      </c>
      <c r="H5474" s="142" t="s">
        <v>21324</v>
      </c>
      <c r="I5474" s="142">
        <v>11</v>
      </c>
      <c r="J5474" s="142">
        <v>0</v>
      </c>
      <c r="K5474" s="142">
        <v>0</v>
      </c>
      <c r="L5474" s="142">
        <v>11</v>
      </c>
      <c r="M5474" s="142">
        <v>0</v>
      </c>
    </row>
    <row r="5475" spans="1:13" x14ac:dyDescent="0.45">
      <c r="A5475" s="142" t="s">
        <v>13167</v>
      </c>
      <c r="B5475" s="142" t="s">
        <v>15418</v>
      </c>
      <c r="C5475" s="142" t="s">
        <v>15847</v>
      </c>
      <c r="D5475" s="142" t="s">
        <v>15848</v>
      </c>
      <c r="E5475" s="142" t="s">
        <v>15849</v>
      </c>
      <c r="F5475" s="142" t="s">
        <v>5026</v>
      </c>
      <c r="G5475" s="142" t="s">
        <v>5025</v>
      </c>
      <c r="H5475" s="142" t="s">
        <v>21325</v>
      </c>
      <c r="I5475" s="142">
        <v>373</v>
      </c>
      <c r="J5475" s="142">
        <v>371</v>
      </c>
      <c r="K5475" s="142">
        <v>0</v>
      </c>
      <c r="L5475" s="142">
        <v>0</v>
      </c>
      <c r="M5475" s="142">
        <v>2</v>
      </c>
    </row>
    <row r="5476" spans="1:13" x14ac:dyDescent="0.45">
      <c r="A5476" s="142" t="s">
        <v>13021</v>
      </c>
      <c r="B5476" s="142" t="s">
        <v>15501</v>
      </c>
      <c r="C5476" s="142" t="s">
        <v>15847</v>
      </c>
      <c r="D5476" s="142" t="s">
        <v>15848</v>
      </c>
      <c r="E5476" s="142" t="s">
        <v>15849</v>
      </c>
      <c r="F5476" s="142" t="s">
        <v>5026</v>
      </c>
      <c r="G5476" s="142" t="s">
        <v>5025</v>
      </c>
      <c r="H5476" s="142" t="s">
        <v>21326</v>
      </c>
      <c r="I5476" s="142">
        <v>16</v>
      </c>
      <c r="J5476" s="142">
        <v>0</v>
      </c>
      <c r="K5476" s="142">
        <v>0</v>
      </c>
      <c r="L5476" s="142">
        <v>1</v>
      </c>
      <c r="M5476" s="142">
        <v>15</v>
      </c>
    </row>
    <row r="5477" spans="1:13" x14ac:dyDescent="0.45">
      <c r="A5477" s="142" t="s">
        <v>13023</v>
      </c>
      <c r="B5477" s="142" t="s">
        <v>15571</v>
      </c>
      <c r="C5477" s="142" t="s">
        <v>15847</v>
      </c>
      <c r="D5477" s="142" t="s">
        <v>15848</v>
      </c>
      <c r="E5477" s="142" t="s">
        <v>15849</v>
      </c>
      <c r="F5477" s="142" t="s">
        <v>5026</v>
      </c>
      <c r="G5477" s="142" t="s">
        <v>5025</v>
      </c>
      <c r="H5477" s="142" t="s">
        <v>21327</v>
      </c>
      <c r="I5477" s="142">
        <v>72</v>
      </c>
      <c r="J5477" s="142">
        <v>0</v>
      </c>
      <c r="K5477" s="142">
        <v>0</v>
      </c>
      <c r="L5477" s="142">
        <v>72</v>
      </c>
      <c r="M5477" s="142">
        <v>0</v>
      </c>
    </row>
    <row r="5478" spans="1:13" x14ac:dyDescent="0.45">
      <c r="A5478" s="142" t="s">
        <v>13048</v>
      </c>
      <c r="B5478" s="142" t="s">
        <v>14479</v>
      </c>
      <c r="C5478" s="142" t="s">
        <v>15847</v>
      </c>
      <c r="D5478" s="142" t="s">
        <v>15848</v>
      </c>
      <c r="E5478" s="142" t="s">
        <v>15849</v>
      </c>
      <c r="F5478" s="142" t="s">
        <v>5026</v>
      </c>
      <c r="G5478" s="142" t="s">
        <v>5025</v>
      </c>
      <c r="H5478" s="142" t="s">
        <v>21328</v>
      </c>
      <c r="I5478" s="142">
        <v>99</v>
      </c>
      <c r="J5478" s="142">
        <v>46</v>
      </c>
      <c r="K5478" s="142">
        <v>0</v>
      </c>
      <c r="L5478" s="142">
        <v>0</v>
      </c>
      <c r="M5478" s="142">
        <v>53</v>
      </c>
    </row>
    <row r="5479" spans="1:13" x14ac:dyDescent="0.45">
      <c r="A5479" s="142" t="s">
        <v>13000</v>
      </c>
      <c r="B5479" s="142" t="s">
        <v>14610</v>
      </c>
      <c r="C5479" s="142" t="s">
        <v>15847</v>
      </c>
      <c r="D5479" s="142" t="s">
        <v>15848</v>
      </c>
      <c r="E5479" s="142" t="s">
        <v>15849</v>
      </c>
      <c r="F5479" s="142" t="s">
        <v>5026</v>
      </c>
      <c r="G5479" s="142" t="s">
        <v>5025</v>
      </c>
      <c r="H5479" s="142" t="s">
        <v>21329</v>
      </c>
      <c r="I5479" s="142">
        <v>11</v>
      </c>
      <c r="J5479" s="142">
        <v>0</v>
      </c>
      <c r="K5479" s="142">
        <v>0</v>
      </c>
      <c r="L5479" s="142">
        <v>11</v>
      </c>
      <c r="M5479" s="142">
        <v>0</v>
      </c>
    </row>
    <row r="5480" spans="1:13" x14ac:dyDescent="0.45">
      <c r="A5480" s="142" t="s">
        <v>13085</v>
      </c>
      <c r="B5480" s="142" t="s">
        <v>14460</v>
      </c>
      <c r="C5480" s="142" t="s">
        <v>15860</v>
      </c>
      <c r="D5480" s="142" t="s">
        <v>15861</v>
      </c>
      <c r="E5480" s="142" t="s">
        <v>15849</v>
      </c>
      <c r="F5480" s="142" t="s">
        <v>5026</v>
      </c>
      <c r="G5480" s="142" t="s">
        <v>5025</v>
      </c>
      <c r="H5480" s="142" t="s">
        <v>21330</v>
      </c>
      <c r="I5480" s="142">
        <v>1</v>
      </c>
      <c r="J5480" s="142">
        <v>0</v>
      </c>
      <c r="K5480" s="142">
        <v>0</v>
      </c>
      <c r="L5480" s="142">
        <v>1</v>
      </c>
      <c r="M5480" s="142">
        <v>0</v>
      </c>
    </row>
    <row r="5481" spans="1:13" x14ac:dyDescent="0.45">
      <c r="A5481" s="142" t="s">
        <v>13074</v>
      </c>
      <c r="B5481" s="142" t="s">
        <v>15405</v>
      </c>
      <c r="C5481" s="142" t="s">
        <v>15847</v>
      </c>
      <c r="D5481" s="142" t="s">
        <v>15848</v>
      </c>
      <c r="E5481" s="142" t="s">
        <v>15849</v>
      </c>
      <c r="F5481" s="142" t="s">
        <v>5026</v>
      </c>
      <c r="G5481" s="142" t="s">
        <v>5025</v>
      </c>
      <c r="H5481" s="142" t="s">
        <v>21331</v>
      </c>
      <c r="I5481" s="142">
        <v>47</v>
      </c>
      <c r="J5481" s="142">
        <v>47</v>
      </c>
      <c r="K5481" s="142">
        <v>0</v>
      </c>
      <c r="L5481" s="142">
        <v>0</v>
      </c>
      <c r="M5481" s="142">
        <v>0</v>
      </c>
    </row>
    <row r="5482" spans="1:13" x14ac:dyDescent="0.45">
      <c r="A5482" s="142" t="s">
        <v>13027</v>
      </c>
      <c r="B5482" s="142" t="s">
        <v>14562</v>
      </c>
      <c r="C5482" s="142" t="s">
        <v>15847</v>
      </c>
      <c r="D5482" s="142" t="s">
        <v>15848</v>
      </c>
      <c r="E5482" s="142" t="s">
        <v>15849</v>
      </c>
      <c r="F5482" s="142" t="s">
        <v>5026</v>
      </c>
      <c r="G5482" s="142" t="s">
        <v>5025</v>
      </c>
      <c r="H5482" s="142" t="s">
        <v>21332</v>
      </c>
      <c r="I5482" s="142">
        <v>28</v>
      </c>
      <c r="J5482" s="142">
        <v>0</v>
      </c>
      <c r="K5482" s="142">
        <v>0</v>
      </c>
      <c r="L5482" s="142">
        <v>28</v>
      </c>
      <c r="M5482" s="142">
        <v>0</v>
      </c>
    </row>
    <row r="5483" spans="1:13" x14ac:dyDescent="0.45">
      <c r="A5483" s="142" t="s">
        <v>13002</v>
      </c>
      <c r="B5483" s="142" t="s">
        <v>15376</v>
      </c>
      <c r="C5483" s="142" t="s">
        <v>15847</v>
      </c>
      <c r="D5483" s="142" t="s">
        <v>15848</v>
      </c>
      <c r="E5483" s="142" t="s">
        <v>15849</v>
      </c>
      <c r="F5483" s="142" t="s">
        <v>5026</v>
      </c>
      <c r="G5483" s="142" t="s">
        <v>5025</v>
      </c>
      <c r="H5483" s="142" t="s">
        <v>21333</v>
      </c>
      <c r="I5483" s="142">
        <v>28</v>
      </c>
      <c r="J5483" s="142">
        <v>0</v>
      </c>
      <c r="K5483" s="142">
        <v>0</v>
      </c>
      <c r="L5483" s="142">
        <v>28</v>
      </c>
      <c r="M5483" s="142">
        <v>0</v>
      </c>
    </row>
    <row r="5484" spans="1:13" x14ac:dyDescent="0.45">
      <c r="A5484" s="142" t="s">
        <v>13003</v>
      </c>
      <c r="B5484" s="142" t="s">
        <v>15245</v>
      </c>
      <c r="C5484" s="142" t="s">
        <v>15847</v>
      </c>
      <c r="D5484" s="142" t="s">
        <v>15848</v>
      </c>
      <c r="E5484" s="142" t="s">
        <v>15849</v>
      </c>
      <c r="F5484" s="142" t="s">
        <v>5026</v>
      </c>
      <c r="G5484" s="142" t="s">
        <v>5025</v>
      </c>
      <c r="H5484" s="142" t="s">
        <v>21334</v>
      </c>
      <c r="I5484" s="142">
        <v>63</v>
      </c>
      <c r="J5484" s="142">
        <v>0</v>
      </c>
      <c r="K5484" s="142">
        <v>0</v>
      </c>
      <c r="L5484" s="142">
        <v>63</v>
      </c>
      <c r="M5484" s="142">
        <v>0</v>
      </c>
    </row>
    <row r="5485" spans="1:13" x14ac:dyDescent="0.45">
      <c r="A5485" s="142" t="s">
        <v>13006</v>
      </c>
      <c r="B5485" s="142" t="s">
        <v>15288</v>
      </c>
      <c r="C5485" s="142" t="s">
        <v>15847</v>
      </c>
      <c r="D5485" s="142" t="s">
        <v>15848</v>
      </c>
      <c r="E5485" s="142" t="s">
        <v>15849</v>
      </c>
      <c r="F5485" s="142" t="s">
        <v>5026</v>
      </c>
      <c r="G5485" s="142" t="s">
        <v>5025</v>
      </c>
      <c r="H5485" s="142" t="s">
        <v>21335</v>
      </c>
      <c r="I5485" s="142">
        <v>2</v>
      </c>
      <c r="J5485" s="142">
        <v>0</v>
      </c>
      <c r="K5485" s="142">
        <v>0</v>
      </c>
      <c r="L5485" s="142">
        <v>0</v>
      </c>
      <c r="M5485" s="142">
        <v>2</v>
      </c>
    </row>
    <row r="5486" spans="1:13" x14ac:dyDescent="0.45">
      <c r="A5486" s="142" t="s">
        <v>13007</v>
      </c>
      <c r="B5486" s="142" t="s">
        <v>15262</v>
      </c>
      <c r="C5486" s="142" t="s">
        <v>15847</v>
      </c>
      <c r="D5486" s="142" t="s">
        <v>15848</v>
      </c>
      <c r="E5486" s="142" t="s">
        <v>15849</v>
      </c>
      <c r="F5486" s="142" t="s">
        <v>5026</v>
      </c>
      <c r="G5486" s="142" t="s">
        <v>5025</v>
      </c>
      <c r="H5486" s="142" t="s">
        <v>21336</v>
      </c>
      <c r="I5486" s="142">
        <v>1</v>
      </c>
      <c r="J5486" s="142">
        <v>0</v>
      </c>
      <c r="K5486" s="142">
        <v>0</v>
      </c>
      <c r="L5486" s="142">
        <v>0</v>
      </c>
      <c r="M5486" s="142">
        <v>1</v>
      </c>
    </row>
    <row r="5487" spans="1:13" x14ac:dyDescent="0.45">
      <c r="A5487" s="142" t="s">
        <v>14006</v>
      </c>
      <c r="B5487" s="142" t="s">
        <v>15317</v>
      </c>
      <c r="C5487" s="142" t="s">
        <v>15860</v>
      </c>
      <c r="D5487" s="142" t="s">
        <v>15861</v>
      </c>
      <c r="E5487" s="142" t="s">
        <v>15849</v>
      </c>
      <c r="F5487" s="142" t="s">
        <v>5026</v>
      </c>
      <c r="G5487" s="142" t="s">
        <v>5025</v>
      </c>
      <c r="H5487" s="142" t="s">
        <v>21337</v>
      </c>
      <c r="I5487" s="142">
        <v>102</v>
      </c>
      <c r="J5487" s="142">
        <v>0</v>
      </c>
      <c r="K5487" s="142">
        <v>0</v>
      </c>
      <c r="L5487" s="142">
        <v>102</v>
      </c>
      <c r="M5487" s="142">
        <v>0</v>
      </c>
    </row>
    <row r="5488" spans="1:13" x14ac:dyDescent="0.45">
      <c r="A5488" s="142" t="s">
        <v>13054</v>
      </c>
      <c r="B5488" s="142" t="s">
        <v>15604</v>
      </c>
      <c r="C5488" s="142" t="s">
        <v>15847</v>
      </c>
      <c r="D5488" s="142" t="s">
        <v>15848</v>
      </c>
      <c r="E5488" s="142" t="s">
        <v>15849</v>
      </c>
      <c r="F5488" s="142" t="s">
        <v>5026</v>
      </c>
      <c r="G5488" s="142" t="s">
        <v>5025</v>
      </c>
      <c r="H5488" s="142" t="s">
        <v>21338</v>
      </c>
      <c r="I5488" s="142">
        <v>1</v>
      </c>
      <c r="J5488" s="142">
        <v>0</v>
      </c>
      <c r="K5488" s="142">
        <v>0</v>
      </c>
      <c r="L5488" s="142">
        <v>0</v>
      </c>
      <c r="M5488" s="142">
        <v>1</v>
      </c>
    </row>
    <row r="5489" spans="1:13" x14ac:dyDescent="0.45">
      <c r="A5489" s="142" t="s">
        <v>13033</v>
      </c>
      <c r="B5489" s="142" t="s">
        <v>15276</v>
      </c>
      <c r="C5489" s="142" t="s">
        <v>15847</v>
      </c>
      <c r="D5489" s="142" t="s">
        <v>15848</v>
      </c>
      <c r="E5489" s="142" t="s">
        <v>15849</v>
      </c>
      <c r="F5489" s="142" t="s">
        <v>5026</v>
      </c>
      <c r="G5489" s="142" t="s">
        <v>5025</v>
      </c>
      <c r="H5489" s="142" t="s">
        <v>21339</v>
      </c>
      <c r="I5489" s="142">
        <v>61</v>
      </c>
      <c r="J5489" s="142">
        <v>61</v>
      </c>
      <c r="K5489" s="142">
        <v>0</v>
      </c>
      <c r="L5489" s="142">
        <v>0</v>
      </c>
      <c r="M5489" s="142">
        <v>0</v>
      </c>
    </row>
    <row r="5490" spans="1:13" x14ac:dyDescent="0.45">
      <c r="A5490" s="142" t="s">
        <v>13034</v>
      </c>
      <c r="B5490" s="142" t="s">
        <v>15562</v>
      </c>
      <c r="C5490" s="142" t="s">
        <v>15847</v>
      </c>
      <c r="D5490" s="142" t="s">
        <v>15848</v>
      </c>
      <c r="E5490" s="142" t="s">
        <v>15849</v>
      </c>
      <c r="F5490" s="142" t="s">
        <v>5026</v>
      </c>
      <c r="G5490" s="142" t="s">
        <v>5025</v>
      </c>
      <c r="H5490" s="142" t="s">
        <v>21340</v>
      </c>
      <c r="I5490" s="142">
        <v>50</v>
      </c>
      <c r="J5490" s="142">
        <v>0</v>
      </c>
      <c r="K5490" s="142">
        <v>0</v>
      </c>
      <c r="L5490" s="142">
        <v>50</v>
      </c>
      <c r="M5490" s="142">
        <v>0</v>
      </c>
    </row>
    <row r="5491" spans="1:13" x14ac:dyDescent="0.45">
      <c r="A5491" s="142" t="s">
        <v>13037</v>
      </c>
      <c r="B5491" s="142" t="s">
        <v>14519</v>
      </c>
      <c r="C5491" s="142" t="s">
        <v>15847</v>
      </c>
      <c r="D5491" s="142" t="s">
        <v>15848</v>
      </c>
      <c r="E5491" s="142" t="s">
        <v>15849</v>
      </c>
      <c r="F5491" s="142" t="s">
        <v>5026</v>
      </c>
      <c r="G5491" s="142" t="s">
        <v>5025</v>
      </c>
      <c r="H5491" s="142" t="s">
        <v>21341</v>
      </c>
      <c r="I5491" s="142">
        <v>3</v>
      </c>
      <c r="J5491" s="142">
        <v>0</v>
      </c>
      <c r="K5491" s="142">
        <v>0</v>
      </c>
      <c r="L5491" s="142">
        <v>3</v>
      </c>
      <c r="M5491" s="142">
        <v>0</v>
      </c>
    </row>
    <row r="5492" spans="1:13" x14ac:dyDescent="0.45">
      <c r="A5492" s="142" t="s">
        <v>13009</v>
      </c>
      <c r="B5492" s="142" t="s">
        <v>15256</v>
      </c>
      <c r="C5492" s="142" t="s">
        <v>15847</v>
      </c>
      <c r="D5492" s="142" t="s">
        <v>15848</v>
      </c>
      <c r="E5492" s="142" t="s">
        <v>15849</v>
      </c>
      <c r="F5492" s="142" t="s">
        <v>5026</v>
      </c>
      <c r="G5492" s="142" t="s">
        <v>5025</v>
      </c>
      <c r="H5492" s="142" t="s">
        <v>21342</v>
      </c>
      <c r="I5492" s="142">
        <v>15</v>
      </c>
      <c r="J5492" s="142">
        <v>0</v>
      </c>
      <c r="K5492" s="142">
        <v>0</v>
      </c>
      <c r="L5492" s="142">
        <v>15</v>
      </c>
      <c r="M5492" s="142">
        <v>0</v>
      </c>
    </row>
    <row r="5493" spans="1:13" x14ac:dyDescent="0.45">
      <c r="A5493" s="142" t="s">
        <v>13305</v>
      </c>
      <c r="B5493" s="142" t="s">
        <v>15503</v>
      </c>
      <c r="C5493" s="142" t="s">
        <v>15860</v>
      </c>
      <c r="D5493" s="142" t="s">
        <v>15861</v>
      </c>
      <c r="E5493" s="142" t="s">
        <v>15849</v>
      </c>
      <c r="F5493" s="142" t="s">
        <v>5026</v>
      </c>
      <c r="G5493" s="142" t="s">
        <v>5025</v>
      </c>
      <c r="H5493" s="142" t="s">
        <v>21343</v>
      </c>
      <c r="I5493" s="142">
        <v>45</v>
      </c>
      <c r="J5493" s="142">
        <v>45</v>
      </c>
      <c r="K5493" s="142">
        <v>0</v>
      </c>
      <c r="L5493" s="142">
        <v>0</v>
      </c>
      <c r="M5493" s="142">
        <v>0</v>
      </c>
    </row>
    <row r="5494" spans="1:13" x14ac:dyDescent="0.45">
      <c r="A5494" s="142" t="s">
        <v>13011</v>
      </c>
      <c r="B5494" s="142" t="s">
        <v>14695</v>
      </c>
      <c r="C5494" s="142" t="s">
        <v>15847</v>
      </c>
      <c r="D5494" s="142" t="s">
        <v>15848</v>
      </c>
      <c r="E5494" s="142" t="s">
        <v>15849</v>
      </c>
      <c r="F5494" s="142" t="s">
        <v>5026</v>
      </c>
      <c r="G5494" s="142" t="s">
        <v>5025</v>
      </c>
      <c r="H5494" s="142" t="s">
        <v>21344</v>
      </c>
      <c r="I5494" s="142">
        <v>3</v>
      </c>
      <c r="J5494" s="142">
        <v>3</v>
      </c>
      <c r="K5494" s="142">
        <v>0</v>
      </c>
      <c r="L5494" s="142">
        <v>0</v>
      </c>
      <c r="M5494" s="142">
        <v>0</v>
      </c>
    </row>
    <row r="5495" spans="1:13" x14ac:dyDescent="0.45">
      <c r="A5495" s="142" t="s">
        <v>13058</v>
      </c>
      <c r="B5495" s="142" t="s">
        <v>14584</v>
      </c>
      <c r="C5495" s="142" t="s">
        <v>15847</v>
      </c>
      <c r="D5495" s="142" t="s">
        <v>15848</v>
      </c>
      <c r="E5495" s="142" t="s">
        <v>15849</v>
      </c>
      <c r="F5495" s="142" t="s">
        <v>5026</v>
      </c>
      <c r="G5495" s="142" t="s">
        <v>5025</v>
      </c>
      <c r="H5495" s="142" t="s">
        <v>21345</v>
      </c>
      <c r="I5495" s="142">
        <v>1888</v>
      </c>
      <c r="J5495" s="142">
        <v>1554</v>
      </c>
      <c r="K5495" s="142">
        <v>0</v>
      </c>
      <c r="L5495" s="142">
        <v>192</v>
      </c>
      <c r="M5495" s="142">
        <v>142</v>
      </c>
    </row>
    <row r="5496" spans="1:13" x14ac:dyDescent="0.45">
      <c r="A5496" s="142" t="s">
        <v>13012</v>
      </c>
      <c r="B5496" s="142" t="s">
        <v>15337</v>
      </c>
      <c r="C5496" s="142" t="s">
        <v>15847</v>
      </c>
      <c r="D5496" s="142" t="s">
        <v>15848</v>
      </c>
      <c r="E5496" s="142" t="s">
        <v>15849</v>
      </c>
      <c r="F5496" s="142" t="s">
        <v>5026</v>
      </c>
      <c r="G5496" s="142" t="s">
        <v>5025</v>
      </c>
      <c r="H5496" s="142" t="s">
        <v>21346</v>
      </c>
      <c r="I5496" s="142">
        <v>192</v>
      </c>
      <c r="J5496" s="142">
        <v>178</v>
      </c>
      <c r="K5496" s="142">
        <v>8</v>
      </c>
      <c r="L5496" s="142">
        <v>1</v>
      </c>
      <c r="M5496" s="142">
        <v>5</v>
      </c>
    </row>
    <row r="5497" spans="1:13" x14ac:dyDescent="0.45">
      <c r="A5497" s="142" t="s">
        <v>13060</v>
      </c>
      <c r="B5497" s="142" t="s">
        <v>14470</v>
      </c>
      <c r="C5497" s="142" t="s">
        <v>15847</v>
      </c>
      <c r="D5497" s="142" t="s">
        <v>15848</v>
      </c>
      <c r="E5497" s="142" t="s">
        <v>15849</v>
      </c>
      <c r="F5497" s="142" t="s">
        <v>5026</v>
      </c>
      <c r="G5497" s="142" t="s">
        <v>5025</v>
      </c>
      <c r="H5497" s="142" t="s">
        <v>21347</v>
      </c>
      <c r="I5497" s="142">
        <v>122</v>
      </c>
      <c r="J5497" s="142">
        <v>54</v>
      </c>
      <c r="K5497" s="142">
        <v>0</v>
      </c>
      <c r="L5497" s="142">
        <v>27</v>
      </c>
      <c r="M5497" s="142">
        <v>41</v>
      </c>
    </row>
    <row r="5498" spans="1:13" x14ac:dyDescent="0.45">
      <c r="A5498" s="142" t="s">
        <v>13174</v>
      </c>
      <c r="B5498" s="142" t="s">
        <v>15280</v>
      </c>
      <c r="C5498" s="142" t="s">
        <v>15847</v>
      </c>
      <c r="D5498" s="142" t="s">
        <v>15848</v>
      </c>
      <c r="E5498" s="142" t="s">
        <v>15849</v>
      </c>
      <c r="F5498" s="142" t="s">
        <v>5026</v>
      </c>
      <c r="G5498" s="142" t="s">
        <v>5025</v>
      </c>
      <c r="H5498" s="142" t="s">
        <v>21348</v>
      </c>
      <c r="I5498" s="142">
        <v>521</v>
      </c>
      <c r="J5498" s="142">
        <v>392</v>
      </c>
      <c r="K5498" s="142">
        <v>0</v>
      </c>
      <c r="L5498" s="142">
        <v>0</v>
      </c>
      <c r="M5498" s="142">
        <v>129</v>
      </c>
    </row>
    <row r="5499" spans="1:13" x14ac:dyDescent="0.45">
      <c r="A5499" s="142" t="s">
        <v>13015</v>
      </c>
      <c r="B5499" s="142" t="s">
        <v>14596</v>
      </c>
      <c r="C5499" s="142" t="s">
        <v>15847</v>
      </c>
      <c r="D5499" s="142" t="s">
        <v>15848</v>
      </c>
      <c r="E5499" s="142" t="s">
        <v>15849</v>
      </c>
      <c r="F5499" s="142" t="s">
        <v>5026</v>
      </c>
      <c r="G5499" s="142" t="s">
        <v>5025</v>
      </c>
      <c r="H5499" s="142" t="s">
        <v>21349</v>
      </c>
      <c r="I5499" s="142">
        <v>204</v>
      </c>
      <c r="J5499" s="142">
        <v>150</v>
      </c>
      <c r="K5499" s="142">
        <v>0</v>
      </c>
      <c r="L5499" s="142">
        <v>9</v>
      </c>
      <c r="M5499" s="142">
        <v>45</v>
      </c>
    </row>
    <row r="5500" spans="1:13" x14ac:dyDescent="0.45">
      <c r="A5500" s="142" t="s">
        <v>13072</v>
      </c>
      <c r="B5500" s="142" t="s">
        <v>15530</v>
      </c>
      <c r="C5500" s="142" t="s">
        <v>15847</v>
      </c>
      <c r="D5500" s="142" t="s">
        <v>15848</v>
      </c>
      <c r="E5500" s="142" t="s">
        <v>15849</v>
      </c>
      <c r="F5500" s="142" t="s">
        <v>7503</v>
      </c>
      <c r="G5500" s="142" t="s">
        <v>7502</v>
      </c>
      <c r="H5500" s="142" t="s">
        <v>21350</v>
      </c>
      <c r="I5500" s="142">
        <v>6</v>
      </c>
      <c r="J5500" s="142">
        <v>4</v>
      </c>
      <c r="K5500" s="142">
        <v>0</v>
      </c>
      <c r="L5500" s="142">
        <v>0</v>
      </c>
      <c r="M5500" s="142">
        <v>2</v>
      </c>
    </row>
    <row r="5501" spans="1:13" x14ac:dyDescent="0.45">
      <c r="A5501" s="142" t="s">
        <v>13064</v>
      </c>
      <c r="B5501" s="142" t="s">
        <v>15428</v>
      </c>
      <c r="C5501" s="142" t="s">
        <v>15847</v>
      </c>
      <c r="D5501" s="142" t="s">
        <v>15848</v>
      </c>
      <c r="E5501" s="142" t="s">
        <v>15849</v>
      </c>
      <c r="F5501" s="142" t="s">
        <v>7503</v>
      </c>
      <c r="G5501" s="142" t="s">
        <v>7502</v>
      </c>
      <c r="H5501" s="142" t="s">
        <v>21351</v>
      </c>
      <c r="I5501" s="142">
        <v>208</v>
      </c>
      <c r="J5501" s="142">
        <v>189</v>
      </c>
      <c r="K5501" s="142">
        <v>0</v>
      </c>
      <c r="L5501" s="142">
        <v>16</v>
      </c>
      <c r="M5501" s="142">
        <v>3</v>
      </c>
    </row>
    <row r="5502" spans="1:13" x14ac:dyDescent="0.45">
      <c r="A5502" s="142" t="s">
        <v>13021</v>
      </c>
      <c r="B5502" s="142" t="s">
        <v>15501</v>
      </c>
      <c r="C5502" s="142" t="s">
        <v>15847</v>
      </c>
      <c r="D5502" s="142" t="s">
        <v>15848</v>
      </c>
      <c r="E5502" s="142" t="s">
        <v>15849</v>
      </c>
      <c r="F5502" s="142" t="s">
        <v>7503</v>
      </c>
      <c r="G5502" s="142" t="s">
        <v>7502</v>
      </c>
      <c r="H5502" s="142" t="s">
        <v>21352</v>
      </c>
      <c r="I5502" s="142">
        <v>27</v>
      </c>
      <c r="J5502" s="142">
        <v>0</v>
      </c>
      <c r="K5502" s="142">
        <v>0</v>
      </c>
      <c r="L5502" s="142">
        <v>22</v>
      </c>
      <c r="M5502" s="142">
        <v>5</v>
      </c>
    </row>
    <row r="5503" spans="1:13" x14ac:dyDescent="0.45">
      <c r="A5503" s="142" t="s">
        <v>13022</v>
      </c>
      <c r="B5503" s="142" t="s">
        <v>14634</v>
      </c>
      <c r="C5503" s="142" t="s">
        <v>15847</v>
      </c>
      <c r="D5503" s="142" t="s">
        <v>15848</v>
      </c>
      <c r="E5503" s="142" t="s">
        <v>15849</v>
      </c>
      <c r="F5503" s="142" t="s">
        <v>7503</v>
      </c>
      <c r="G5503" s="142" t="s">
        <v>7502</v>
      </c>
      <c r="H5503" s="142" t="s">
        <v>21353</v>
      </c>
      <c r="I5503" s="142">
        <v>65</v>
      </c>
      <c r="J5503" s="142">
        <v>46</v>
      </c>
      <c r="K5503" s="142">
        <v>0</v>
      </c>
      <c r="L5503" s="142">
        <v>0</v>
      </c>
      <c r="M5503" s="142">
        <v>19</v>
      </c>
    </row>
    <row r="5504" spans="1:13" x14ac:dyDescent="0.45">
      <c r="A5504" s="142" t="s">
        <v>13023</v>
      </c>
      <c r="B5504" s="142" t="s">
        <v>15571</v>
      </c>
      <c r="C5504" s="142" t="s">
        <v>15847</v>
      </c>
      <c r="D5504" s="142" t="s">
        <v>15848</v>
      </c>
      <c r="E5504" s="142" t="s">
        <v>15849</v>
      </c>
      <c r="F5504" s="142" t="s">
        <v>7503</v>
      </c>
      <c r="G5504" s="142" t="s">
        <v>7502</v>
      </c>
      <c r="H5504" s="142" t="s">
        <v>21354</v>
      </c>
      <c r="I5504" s="142">
        <v>72</v>
      </c>
      <c r="J5504" s="142">
        <v>0</v>
      </c>
      <c r="K5504" s="142">
        <v>0</v>
      </c>
      <c r="L5504" s="142">
        <v>72</v>
      </c>
      <c r="M5504" s="142">
        <v>0</v>
      </c>
    </row>
    <row r="5505" spans="1:13" x14ac:dyDescent="0.45">
      <c r="A5505" s="142" t="s">
        <v>13065</v>
      </c>
      <c r="B5505" s="142" t="s">
        <v>14497</v>
      </c>
      <c r="C5505" s="142" t="s">
        <v>15847</v>
      </c>
      <c r="D5505" s="142" t="s">
        <v>15848</v>
      </c>
      <c r="E5505" s="142" t="s">
        <v>15849</v>
      </c>
      <c r="F5505" s="142" t="s">
        <v>7503</v>
      </c>
      <c r="G5505" s="142" t="s">
        <v>7502</v>
      </c>
      <c r="H5505" s="142" t="s">
        <v>21355</v>
      </c>
      <c r="I5505" s="142">
        <v>6</v>
      </c>
      <c r="J5505" s="142">
        <v>0</v>
      </c>
      <c r="K5505" s="142">
        <v>0</v>
      </c>
      <c r="L5505" s="142">
        <v>6</v>
      </c>
      <c r="M5505" s="142">
        <v>0</v>
      </c>
    </row>
    <row r="5506" spans="1:13" x14ac:dyDescent="0.45">
      <c r="A5506" s="142" t="s">
        <v>13024</v>
      </c>
      <c r="B5506" s="142" t="s">
        <v>14538</v>
      </c>
      <c r="C5506" s="142" t="s">
        <v>15847</v>
      </c>
      <c r="D5506" s="142" t="s">
        <v>15848</v>
      </c>
      <c r="E5506" s="142" t="s">
        <v>15849</v>
      </c>
      <c r="F5506" s="142" t="s">
        <v>7503</v>
      </c>
      <c r="G5506" s="142" t="s">
        <v>7502</v>
      </c>
      <c r="H5506" s="142" t="s">
        <v>21356</v>
      </c>
      <c r="I5506" s="142">
        <v>38</v>
      </c>
      <c r="J5506" s="142">
        <v>32</v>
      </c>
      <c r="K5506" s="142">
        <v>0</v>
      </c>
      <c r="L5506" s="142">
        <v>0</v>
      </c>
      <c r="M5506" s="142">
        <v>6</v>
      </c>
    </row>
    <row r="5507" spans="1:13" x14ac:dyDescent="0.45">
      <c r="A5507" s="142" t="s">
        <v>13085</v>
      </c>
      <c r="B5507" s="142" t="s">
        <v>14460</v>
      </c>
      <c r="C5507" s="142" t="s">
        <v>15860</v>
      </c>
      <c r="D5507" s="142" t="s">
        <v>15861</v>
      </c>
      <c r="E5507" s="142" t="s">
        <v>15849</v>
      </c>
      <c r="F5507" s="142" t="s">
        <v>7503</v>
      </c>
      <c r="G5507" s="142" t="s">
        <v>7502</v>
      </c>
      <c r="H5507" s="142" t="s">
        <v>21357</v>
      </c>
      <c r="I5507" s="142">
        <v>1</v>
      </c>
      <c r="J5507" s="142">
        <v>0</v>
      </c>
      <c r="K5507" s="142">
        <v>0</v>
      </c>
      <c r="L5507" s="142">
        <v>1</v>
      </c>
      <c r="M5507" s="142">
        <v>0</v>
      </c>
    </row>
    <row r="5508" spans="1:13" x14ac:dyDescent="0.45">
      <c r="A5508" s="142" t="s">
        <v>13025</v>
      </c>
      <c r="B5508" s="142" t="s">
        <v>15579</v>
      </c>
      <c r="C5508" s="142" t="s">
        <v>15847</v>
      </c>
      <c r="D5508" s="142" t="s">
        <v>15848</v>
      </c>
      <c r="E5508" s="142" t="s">
        <v>15849</v>
      </c>
      <c r="F5508" s="142" t="s">
        <v>7503</v>
      </c>
      <c r="G5508" s="142" t="s">
        <v>7502</v>
      </c>
      <c r="H5508" s="142" t="s">
        <v>21358</v>
      </c>
      <c r="I5508" s="142">
        <v>49</v>
      </c>
      <c r="J5508" s="142">
        <v>0</v>
      </c>
      <c r="K5508" s="142">
        <v>0</v>
      </c>
      <c r="L5508" s="142">
        <v>49</v>
      </c>
      <c r="M5508" s="142">
        <v>0</v>
      </c>
    </row>
    <row r="5509" spans="1:13" x14ac:dyDescent="0.45">
      <c r="A5509" s="142" t="s">
        <v>13027</v>
      </c>
      <c r="B5509" s="142" t="s">
        <v>14562</v>
      </c>
      <c r="C5509" s="142" t="s">
        <v>15847</v>
      </c>
      <c r="D5509" s="142" t="s">
        <v>15848</v>
      </c>
      <c r="E5509" s="142" t="s">
        <v>15849</v>
      </c>
      <c r="F5509" s="142" t="s">
        <v>7503</v>
      </c>
      <c r="G5509" s="142" t="s">
        <v>7502</v>
      </c>
      <c r="H5509" s="142" t="s">
        <v>21359</v>
      </c>
      <c r="I5509" s="142">
        <v>57</v>
      </c>
      <c r="J5509" s="142">
        <v>0</v>
      </c>
      <c r="K5509" s="142">
        <v>0</v>
      </c>
      <c r="L5509" s="142">
        <v>57</v>
      </c>
      <c r="M5509" s="142">
        <v>0</v>
      </c>
    </row>
    <row r="5510" spans="1:13" x14ac:dyDescent="0.45">
      <c r="A5510" s="142" t="s">
        <v>13028</v>
      </c>
      <c r="B5510" s="142" t="s">
        <v>14462</v>
      </c>
      <c r="C5510" s="142" t="s">
        <v>15847</v>
      </c>
      <c r="D5510" s="142" t="s">
        <v>15848</v>
      </c>
      <c r="E5510" s="142" t="s">
        <v>15849</v>
      </c>
      <c r="F5510" s="142" t="s">
        <v>7503</v>
      </c>
      <c r="G5510" s="142" t="s">
        <v>7502</v>
      </c>
      <c r="H5510" s="142" t="s">
        <v>21360</v>
      </c>
      <c r="I5510" s="142">
        <v>69</v>
      </c>
      <c r="J5510" s="142">
        <v>0</v>
      </c>
      <c r="K5510" s="142">
        <v>0</v>
      </c>
      <c r="L5510" s="142">
        <v>0</v>
      </c>
      <c r="M5510" s="142">
        <v>69</v>
      </c>
    </row>
    <row r="5511" spans="1:13" x14ac:dyDescent="0.45">
      <c r="A5511" s="142" t="s">
        <v>13002</v>
      </c>
      <c r="B5511" s="142" t="s">
        <v>15376</v>
      </c>
      <c r="C5511" s="142" t="s">
        <v>15847</v>
      </c>
      <c r="D5511" s="142" t="s">
        <v>15848</v>
      </c>
      <c r="E5511" s="142" t="s">
        <v>15849</v>
      </c>
      <c r="F5511" s="142" t="s">
        <v>7503</v>
      </c>
      <c r="G5511" s="142" t="s">
        <v>7502</v>
      </c>
      <c r="H5511" s="142" t="s">
        <v>21361</v>
      </c>
      <c r="I5511" s="142">
        <v>19</v>
      </c>
      <c r="J5511" s="142">
        <v>19</v>
      </c>
      <c r="K5511" s="142">
        <v>0</v>
      </c>
      <c r="L5511" s="142">
        <v>0</v>
      </c>
      <c r="M5511" s="142">
        <v>0</v>
      </c>
    </row>
    <row r="5512" spans="1:13" x14ac:dyDescent="0.45">
      <c r="A5512" s="142" t="s">
        <v>13066</v>
      </c>
      <c r="B5512" s="142" t="s">
        <v>14459</v>
      </c>
      <c r="C5512" s="142" t="s">
        <v>15847</v>
      </c>
      <c r="D5512" s="142" t="s">
        <v>15848</v>
      </c>
      <c r="E5512" s="142" t="s">
        <v>15849</v>
      </c>
      <c r="F5512" s="142" t="s">
        <v>7503</v>
      </c>
      <c r="G5512" s="142" t="s">
        <v>7502</v>
      </c>
      <c r="H5512" s="142" t="s">
        <v>21362</v>
      </c>
      <c r="I5512" s="142">
        <v>16</v>
      </c>
      <c r="J5512" s="142">
        <v>0</v>
      </c>
      <c r="K5512" s="142">
        <v>0</v>
      </c>
      <c r="L5512" s="142">
        <v>16</v>
      </c>
      <c r="M5512" s="142">
        <v>0</v>
      </c>
    </row>
    <row r="5513" spans="1:13" x14ac:dyDescent="0.45">
      <c r="A5513" s="142" t="s">
        <v>13067</v>
      </c>
      <c r="B5513" s="142" t="s">
        <v>15480</v>
      </c>
      <c r="C5513" s="142" t="s">
        <v>15847</v>
      </c>
      <c r="D5513" s="142" t="s">
        <v>15848</v>
      </c>
      <c r="E5513" s="142" t="s">
        <v>15849</v>
      </c>
      <c r="F5513" s="142" t="s">
        <v>7503</v>
      </c>
      <c r="G5513" s="142" t="s">
        <v>7502</v>
      </c>
      <c r="H5513" s="142" t="s">
        <v>21363</v>
      </c>
      <c r="I5513" s="142">
        <v>67</v>
      </c>
      <c r="J5513" s="142">
        <v>63</v>
      </c>
      <c r="K5513" s="142">
        <v>0</v>
      </c>
      <c r="L5513" s="142">
        <v>0</v>
      </c>
      <c r="M5513" s="142">
        <v>4</v>
      </c>
    </row>
    <row r="5514" spans="1:13" x14ac:dyDescent="0.45">
      <c r="A5514" s="142" t="s">
        <v>13076</v>
      </c>
      <c r="B5514" s="142" t="s">
        <v>14636</v>
      </c>
      <c r="C5514" s="142" t="s">
        <v>15847</v>
      </c>
      <c r="D5514" s="142" t="s">
        <v>15848</v>
      </c>
      <c r="E5514" s="142" t="s">
        <v>15849</v>
      </c>
      <c r="F5514" s="142" t="s">
        <v>7503</v>
      </c>
      <c r="G5514" s="142" t="s">
        <v>7502</v>
      </c>
      <c r="H5514" s="142" t="s">
        <v>21364</v>
      </c>
      <c r="I5514" s="142">
        <v>7</v>
      </c>
      <c r="J5514" s="142">
        <v>0</v>
      </c>
      <c r="K5514" s="142">
        <v>0</v>
      </c>
      <c r="L5514" s="142">
        <v>0</v>
      </c>
      <c r="M5514" s="142">
        <v>7</v>
      </c>
    </row>
    <row r="5515" spans="1:13" x14ac:dyDescent="0.45">
      <c r="A5515" s="142" t="s">
        <v>13029</v>
      </c>
      <c r="B5515" s="142" t="s">
        <v>14665</v>
      </c>
      <c r="C5515" s="142" t="s">
        <v>15847</v>
      </c>
      <c r="D5515" s="142" t="s">
        <v>15848</v>
      </c>
      <c r="E5515" s="142" t="s">
        <v>15849</v>
      </c>
      <c r="F5515" s="142" t="s">
        <v>7503</v>
      </c>
      <c r="G5515" s="142" t="s">
        <v>7502</v>
      </c>
      <c r="H5515" s="142" t="s">
        <v>21365</v>
      </c>
      <c r="I5515" s="142">
        <v>34</v>
      </c>
      <c r="J5515" s="142">
        <v>0</v>
      </c>
      <c r="K5515" s="142">
        <v>0</v>
      </c>
      <c r="L5515" s="142">
        <v>0</v>
      </c>
      <c r="M5515" s="142">
        <v>34</v>
      </c>
    </row>
    <row r="5516" spans="1:13" x14ac:dyDescent="0.45">
      <c r="A5516" s="142" t="s">
        <v>13006</v>
      </c>
      <c r="B5516" s="142" t="s">
        <v>15288</v>
      </c>
      <c r="C5516" s="142" t="s">
        <v>15847</v>
      </c>
      <c r="D5516" s="142" t="s">
        <v>15848</v>
      </c>
      <c r="E5516" s="142" t="s">
        <v>15849</v>
      </c>
      <c r="F5516" s="142" t="s">
        <v>7503</v>
      </c>
      <c r="G5516" s="142" t="s">
        <v>7502</v>
      </c>
      <c r="H5516" s="142" t="s">
        <v>21366</v>
      </c>
      <c r="I5516" s="142">
        <v>2</v>
      </c>
      <c r="J5516" s="142">
        <v>0</v>
      </c>
      <c r="K5516" s="142">
        <v>0</v>
      </c>
      <c r="L5516" s="142">
        <v>0</v>
      </c>
      <c r="M5516" s="142">
        <v>2</v>
      </c>
    </row>
    <row r="5517" spans="1:13" x14ac:dyDescent="0.45">
      <c r="A5517" s="142" t="s">
        <v>14008</v>
      </c>
      <c r="B5517" s="142" t="s">
        <v>15300</v>
      </c>
      <c r="C5517" s="142" t="s">
        <v>15860</v>
      </c>
      <c r="D5517" s="142" t="s">
        <v>15861</v>
      </c>
      <c r="E5517" s="142" t="s">
        <v>15849</v>
      </c>
      <c r="F5517" s="142" t="s">
        <v>7503</v>
      </c>
      <c r="G5517" s="142" t="s">
        <v>7502</v>
      </c>
      <c r="H5517" s="142" t="s">
        <v>21367</v>
      </c>
      <c r="I5517" s="142">
        <v>28</v>
      </c>
      <c r="J5517" s="142">
        <v>0</v>
      </c>
      <c r="K5517" s="142">
        <v>0</v>
      </c>
      <c r="L5517" s="142">
        <v>28</v>
      </c>
      <c r="M5517" s="142">
        <v>0</v>
      </c>
    </row>
    <row r="5518" spans="1:13" x14ac:dyDescent="0.45">
      <c r="A5518" s="142" t="s">
        <v>13030</v>
      </c>
      <c r="B5518" s="142" t="s">
        <v>14572</v>
      </c>
      <c r="C5518" s="142" t="s">
        <v>15847</v>
      </c>
      <c r="D5518" s="142" t="s">
        <v>15848</v>
      </c>
      <c r="E5518" s="142" t="s">
        <v>15849</v>
      </c>
      <c r="F5518" s="142" t="s">
        <v>7503</v>
      </c>
      <c r="G5518" s="142" t="s">
        <v>7502</v>
      </c>
      <c r="H5518" s="142" t="s">
        <v>21368</v>
      </c>
      <c r="I5518" s="142">
        <v>1745</v>
      </c>
      <c r="J5518" s="142">
        <v>1391</v>
      </c>
      <c r="K5518" s="142">
        <v>0</v>
      </c>
      <c r="L5518" s="142">
        <v>136</v>
      </c>
      <c r="M5518" s="142">
        <v>218</v>
      </c>
    </row>
    <row r="5519" spans="1:13" x14ac:dyDescent="0.45">
      <c r="A5519" s="142" t="s">
        <v>13068</v>
      </c>
      <c r="B5519" s="142" t="s">
        <v>15468</v>
      </c>
      <c r="C5519" s="142" t="s">
        <v>15847</v>
      </c>
      <c r="D5519" s="142" t="s">
        <v>15848</v>
      </c>
      <c r="E5519" s="142" t="s">
        <v>15849</v>
      </c>
      <c r="F5519" s="142" t="s">
        <v>7503</v>
      </c>
      <c r="G5519" s="142" t="s">
        <v>7502</v>
      </c>
      <c r="H5519" s="142" t="s">
        <v>21369</v>
      </c>
      <c r="I5519" s="142">
        <v>9</v>
      </c>
      <c r="J5519" s="142">
        <v>9</v>
      </c>
      <c r="K5519" s="142">
        <v>0</v>
      </c>
      <c r="L5519" s="142">
        <v>0</v>
      </c>
      <c r="M5519" s="142">
        <v>0</v>
      </c>
    </row>
    <row r="5520" spans="1:13" x14ac:dyDescent="0.45">
      <c r="A5520" s="142" t="s">
        <v>13055</v>
      </c>
      <c r="B5520" s="142" t="s">
        <v>14595</v>
      </c>
      <c r="C5520" s="142" t="s">
        <v>15847</v>
      </c>
      <c r="D5520" s="142" t="s">
        <v>15848</v>
      </c>
      <c r="E5520" s="142" t="s">
        <v>15849</v>
      </c>
      <c r="F5520" s="142" t="s">
        <v>7503</v>
      </c>
      <c r="G5520" s="142" t="s">
        <v>7502</v>
      </c>
      <c r="H5520" s="142" t="s">
        <v>21370</v>
      </c>
      <c r="I5520" s="142">
        <v>4</v>
      </c>
      <c r="J5520" s="142">
        <v>4</v>
      </c>
      <c r="K5520" s="142">
        <v>0</v>
      </c>
      <c r="L5520" s="142">
        <v>0</v>
      </c>
      <c r="M5520" s="142">
        <v>0</v>
      </c>
    </row>
    <row r="5521" spans="1:13" x14ac:dyDescent="0.45">
      <c r="A5521" s="142" t="s">
        <v>13033</v>
      </c>
      <c r="B5521" s="142" t="s">
        <v>15276</v>
      </c>
      <c r="C5521" s="142" t="s">
        <v>15847</v>
      </c>
      <c r="D5521" s="142" t="s">
        <v>15848</v>
      </c>
      <c r="E5521" s="142" t="s">
        <v>15849</v>
      </c>
      <c r="F5521" s="142" t="s">
        <v>7503</v>
      </c>
      <c r="G5521" s="142" t="s">
        <v>7502</v>
      </c>
      <c r="H5521" s="142" t="s">
        <v>21371</v>
      </c>
      <c r="I5521" s="142">
        <v>59</v>
      </c>
      <c r="J5521" s="142">
        <v>39</v>
      </c>
      <c r="K5521" s="142">
        <v>0</v>
      </c>
      <c r="L5521" s="142">
        <v>12</v>
      </c>
      <c r="M5521" s="142">
        <v>8</v>
      </c>
    </row>
    <row r="5522" spans="1:13" x14ac:dyDescent="0.45">
      <c r="A5522" s="142" t="s">
        <v>13034</v>
      </c>
      <c r="B5522" s="142" t="s">
        <v>15562</v>
      </c>
      <c r="C5522" s="142" t="s">
        <v>15847</v>
      </c>
      <c r="D5522" s="142" t="s">
        <v>15848</v>
      </c>
      <c r="E5522" s="142" t="s">
        <v>15849</v>
      </c>
      <c r="F5522" s="142" t="s">
        <v>7503</v>
      </c>
      <c r="G5522" s="142" t="s">
        <v>7502</v>
      </c>
      <c r="H5522" s="142" t="s">
        <v>21372</v>
      </c>
      <c r="I5522" s="142">
        <v>163</v>
      </c>
      <c r="J5522" s="142">
        <v>139</v>
      </c>
      <c r="K5522" s="142">
        <v>0</v>
      </c>
      <c r="L5522" s="142">
        <v>24</v>
      </c>
      <c r="M5522" s="142">
        <v>0</v>
      </c>
    </row>
    <row r="5523" spans="1:13" x14ac:dyDescent="0.45">
      <c r="A5523" s="142" t="s">
        <v>13035</v>
      </c>
      <c r="B5523" s="142" t="s">
        <v>14648</v>
      </c>
      <c r="C5523" s="142" t="s">
        <v>15847</v>
      </c>
      <c r="D5523" s="142" t="s">
        <v>15848</v>
      </c>
      <c r="E5523" s="142" t="s">
        <v>15849</v>
      </c>
      <c r="F5523" s="142" t="s">
        <v>7503</v>
      </c>
      <c r="G5523" s="142" t="s">
        <v>7502</v>
      </c>
      <c r="H5523" s="142" t="s">
        <v>21373</v>
      </c>
      <c r="I5523" s="142">
        <v>281</v>
      </c>
      <c r="J5523" s="142">
        <v>196</v>
      </c>
      <c r="K5523" s="142">
        <v>0</v>
      </c>
      <c r="L5523" s="142">
        <v>0</v>
      </c>
      <c r="M5523" s="142">
        <v>85</v>
      </c>
    </row>
    <row r="5524" spans="1:13" x14ac:dyDescent="0.45">
      <c r="A5524" s="142" t="s">
        <v>13036</v>
      </c>
      <c r="B5524" s="142" t="s">
        <v>15567</v>
      </c>
      <c r="C5524" s="142" t="s">
        <v>15847</v>
      </c>
      <c r="D5524" s="142" t="s">
        <v>15848</v>
      </c>
      <c r="E5524" s="142" t="s">
        <v>15849</v>
      </c>
      <c r="F5524" s="142" t="s">
        <v>7503</v>
      </c>
      <c r="G5524" s="142" t="s">
        <v>7502</v>
      </c>
      <c r="H5524" s="142" t="s">
        <v>21374</v>
      </c>
      <c r="I5524" s="142">
        <v>71</v>
      </c>
      <c r="J5524" s="142">
        <v>0</v>
      </c>
      <c r="K5524" s="142">
        <v>0</v>
      </c>
      <c r="L5524" s="142">
        <v>71</v>
      </c>
      <c r="M5524" s="142">
        <v>0</v>
      </c>
    </row>
    <row r="5525" spans="1:13" x14ac:dyDescent="0.45">
      <c r="A5525" s="142" t="s">
        <v>13038</v>
      </c>
      <c r="B5525" s="142" t="s">
        <v>14646</v>
      </c>
      <c r="C5525" s="142" t="s">
        <v>15847</v>
      </c>
      <c r="D5525" s="142" t="s">
        <v>15848</v>
      </c>
      <c r="E5525" s="142" t="s">
        <v>15849</v>
      </c>
      <c r="F5525" s="142" t="s">
        <v>7503</v>
      </c>
      <c r="G5525" s="142" t="s">
        <v>7502</v>
      </c>
      <c r="H5525" s="142" t="s">
        <v>21375</v>
      </c>
      <c r="I5525" s="142">
        <v>8</v>
      </c>
      <c r="J5525" s="142">
        <v>0</v>
      </c>
      <c r="K5525" s="142">
        <v>0</v>
      </c>
      <c r="L5525" s="142">
        <v>0</v>
      </c>
      <c r="M5525" s="142">
        <v>8</v>
      </c>
    </row>
    <row r="5526" spans="1:13" x14ac:dyDescent="0.45">
      <c r="A5526" s="142" t="s">
        <v>13009</v>
      </c>
      <c r="B5526" s="142" t="s">
        <v>15256</v>
      </c>
      <c r="C5526" s="142" t="s">
        <v>15847</v>
      </c>
      <c r="D5526" s="142" t="s">
        <v>15848</v>
      </c>
      <c r="E5526" s="142" t="s">
        <v>15849</v>
      </c>
      <c r="F5526" s="142" t="s">
        <v>7503</v>
      </c>
      <c r="G5526" s="142" t="s">
        <v>7502</v>
      </c>
      <c r="H5526" s="142" t="s">
        <v>21376</v>
      </c>
      <c r="I5526" s="142">
        <v>7</v>
      </c>
      <c r="J5526" s="142">
        <v>0</v>
      </c>
      <c r="K5526" s="142">
        <v>0</v>
      </c>
      <c r="L5526" s="142">
        <v>0</v>
      </c>
      <c r="M5526" s="142">
        <v>7</v>
      </c>
    </row>
    <row r="5527" spans="1:13" x14ac:dyDescent="0.45">
      <c r="A5527" s="142" t="s">
        <v>13205</v>
      </c>
      <c r="B5527" s="142" t="s">
        <v>14496</v>
      </c>
      <c r="C5527" s="142" t="s">
        <v>15847</v>
      </c>
      <c r="D5527" s="142" t="s">
        <v>15848</v>
      </c>
      <c r="E5527" s="142" t="s">
        <v>15849</v>
      </c>
      <c r="F5527" s="142" t="s">
        <v>7503</v>
      </c>
      <c r="G5527" s="142" t="s">
        <v>7502</v>
      </c>
      <c r="H5527" s="142" t="s">
        <v>21377</v>
      </c>
      <c r="I5527" s="142">
        <v>24</v>
      </c>
      <c r="J5527" s="142">
        <v>24</v>
      </c>
      <c r="K5527" s="142">
        <v>0</v>
      </c>
      <c r="L5527" s="142">
        <v>0</v>
      </c>
      <c r="M5527" s="142">
        <v>0</v>
      </c>
    </row>
    <row r="5528" spans="1:13" x14ac:dyDescent="0.45">
      <c r="A5528" s="142" t="s">
        <v>14009</v>
      </c>
      <c r="B5528" s="142" t="s">
        <v>14792</v>
      </c>
      <c r="C5528" s="142" t="s">
        <v>15860</v>
      </c>
      <c r="D5528" s="142" t="s">
        <v>15861</v>
      </c>
      <c r="E5528" s="142" t="s">
        <v>15849</v>
      </c>
      <c r="F5528" s="142" t="s">
        <v>7503</v>
      </c>
      <c r="G5528" s="142" t="s">
        <v>7502</v>
      </c>
      <c r="H5528" s="142" t="s">
        <v>21378</v>
      </c>
      <c r="I5528" s="142">
        <v>69</v>
      </c>
      <c r="J5528" s="142">
        <v>0</v>
      </c>
      <c r="K5528" s="142">
        <v>0</v>
      </c>
      <c r="L5528" s="142">
        <v>69</v>
      </c>
      <c r="M5528" s="142">
        <v>0</v>
      </c>
    </row>
    <row r="5529" spans="1:13" x14ac:dyDescent="0.45">
      <c r="A5529" s="142" t="s">
        <v>14010</v>
      </c>
      <c r="B5529" s="142" t="s">
        <v>14445</v>
      </c>
      <c r="C5529" s="142" t="s">
        <v>15860</v>
      </c>
      <c r="D5529" s="142" t="s">
        <v>15861</v>
      </c>
      <c r="E5529" s="142" t="s">
        <v>15849</v>
      </c>
      <c r="F5529" s="142" t="s">
        <v>7503</v>
      </c>
      <c r="G5529" s="142" t="s">
        <v>7502</v>
      </c>
      <c r="H5529" s="142" t="s">
        <v>21379</v>
      </c>
      <c r="I5529" s="142">
        <v>41</v>
      </c>
      <c r="J5529" s="142">
        <v>0</v>
      </c>
      <c r="K5529" s="142">
        <v>0</v>
      </c>
      <c r="L5529" s="142">
        <v>41</v>
      </c>
      <c r="M5529" s="142">
        <v>0</v>
      </c>
    </row>
    <row r="5530" spans="1:13" x14ac:dyDescent="0.45">
      <c r="A5530" s="142" t="s">
        <v>13042</v>
      </c>
      <c r="B5530" s="142" t="s">
        <v>15489</v>
      </c>
      <c r="C5530" s="142" t="s">
        <v>15847</v>
      </c>
      <c r="D5530" s="142" t="s">
        <v>15848</v>
      </c>
      <c r="E5530" s="142" t="s">
        <v>15849</v>
      </c>
      <c r="F5530" s="142" t="s">
        <v>7503</v>
      </c>
      <c r="G5530" s="142" t="s">
        <v>7502</v>
      </c>
      <c r="H5530" s="142" t="s">
        <v>21380</v>
      </c>
      <c r="I5530" s="142">
        <v>11</v>
      </c>
      <c r="J5530" s="142">
        <v>0</v>
      </c>
      <c r="K5530" s="142">
        <v>0</v>
      </c>
      <c r="L5530" s="142">
        <v>0</v>
      </c>
      <c r="M5530" s="142">
        <v>11</v>
      </c>
    </row>
    <row r="5531" spans="1:13" x14ac:dyDescent="0.45">
      <c r="A5531" s="142" t="s">
        <v>13222</v>
      </c>
      <c r="B5531" s="142" t="s">
        <v>14449</v>
      </c>
      <c r="C5531" s="142" t="s">
        <v>15860</v>
      </c>
      <c r="D5531" s="142" t="s">
        <v>15861</v>
      </c>
      <c r="E5531" s="142" t="s">
        <v>15849</v>
      </c>
      <c r="F5531" s="142" t="s">
        <v>7503</v>
      </c>
      <c r="G5531" s="142" t="s">
        <v>7502</v>
      </c>
      <c r="H5531" s="142" t="s">
        <v>21381</v>
      </c>
      <c r="I5531" s="142">
        <v>12</v>
      </c>
      <c r="J5531" s="142">
        <v>0</v>
      </c>
      <c r="K5531" s="142">
        <v>0</v>
      </c>
      <c r="L5531" s="142">
        <v>12</v>
      </c>
      <c r="M5531" s="142">
        <v>0</v>
      </c>
    </row>
    <row r="5532" spans="1:13" x14ac:dyDescent="0.45">
      <c r="A5532" s="142" t="s">
        <v>14012</v>
      </c>
      <c r="B5532" s="142" t="s">
        <v>15088</v>
      </c>
      <c r="C5532" s="142" t="s">
        <v>15860</v>
      </c>
      <c r="D5532" s="142" t="s">
        <v>15861</v>
      </c>
      <c r="E5532" s="142" t="s">
        <v>15849</v>
      </c>
      <c r="F5532" s="142" t="s">
        <v>10477</v>
      </c>
      <c r="G5532" s="142" t="s">
        <v>10476</v>
      </c>
      <c r="H5532" s="142" t="s">
        <v>21382</v>
      </c>
      <c r="I5532" s="142">
        <v>12</v>
      </c>
      <c r="J5532" s="142">
        <v>12</v>
      </c>
      <c r="K5532" s="142">
        <v>0</v>
      </c>
      <c r="L5532" s="142">
        <v>0</v>
      </c>
      <c r="M5532" s="142">
        <v>0</v>
      </c>
    </row>
    <row r="5533" spans="1:13" x14ac:dyDescent="0.45">
      <c r="A5533" s="142" t="s">
        <v>13023</v>
      </c>
      <c r="B5533" s="142" t="s">
        <v>15571</v>
      </c>
      <c r="C5533" s="142" t="s">
        <v>15847</v>
      </c>
      <c r="D5533" s="142" t="s">
        <v>15848</v>
      </c>
      <c r="E5533" s="142" t="s">
        <v>15849</v>
      </c>
      <c r="F5533" s="142" t="s">
        <v>10477</v>
      </c>
      <c r="G5533" s="142" t="s">
        <v>10476</v>
      </c>
      <c r="H5533" s="142" t="s">
        <v>21383</v>
      </c>
      <c r="I5533" s="142">
        <v>578</v>
      </c>
      <c r="J5533" s="142">
        <v>0</v>
      </c>
      <c r="K5533" s="142">
        <v>0</v>
      </c>
      <c r="L5533" s="142">
        <v>568</v>
      </c>
      <c r="M5533" s="142">
        <v>10</v>
      </c>
    </row>
    <row r="5534" spans="1:13" x14ac:dyDescent="0.45">
      <c r="A5534" s="142" t="s">
        <v>13113</v>
      </c>
      <c r="B5534" s="142" t="s">
        <v>14503</v>
      </c>
      <c r="C5534" s="142" t="s">
        <v>15860</v>
      </c>
      <c r="D5534" s="142" t="s">
        <v>15861</v>
      </c>
      <c r="E5534" s="142" t="s">
        <v>15849</v>
      </c>
      <c r="F5534" s="142" t="s">
        <v>10477</v>
      </c>
      <c r="G5534" s="142" t="s">
        <v>10476</v>
      </c>
      <c r="H5534" s="142" t="s">
        <v>21384</v>
      </c>
      <c r="I5534" s="142">
        <v>2</v>
      </c>
      <c r="J5534" s="142">
        <v>2</v>
      </c>
      <c r="K5534" s="142">
        <v>0</v>
      </c>
      <c r="L5534" s="142">
        <v>0</v>
      </c>
      <c r="M5534" s="142">
        <v>0</v>
      </c>
    </row>
    <row r="5535" spans="1:13" x14ac:dyDescent="0.45">
      <c r="A5535" s="142" t="s">
        <v>13147</v>
      </c>
      <c r="B5535" s="142" t="s">
        <v>14529</v>
      </c>
      <c r="C5535" s="142" t="s">
        <v>15860</v>
      </c>
      <c r="D5535" s="142" t="s">
        <v>15861</v>
      </c>
      <c r="E5535" s="142" t="s">
        <v>15849</v>
      </c>
      <c r="F5535" s="142" t="s">
        <v>10477</v>
      </c>
      <c r="G5535" s="142" t="s">
        <v>10476</v>
      </c>
      <c r="H5535" s="142" t="s">
        <v>21385</v>
      </c>
      <c r="I5535" s="142">
        <v>16</v>
      </c>
      <c r="J5535" s="142">
        <v>16</v>
      </c>
      <c r="K5535" s="142">
        <v>0</v>
      </c>
      <c r="L5535" s="142">
        <v>0</v>
      </c>
      <c r="M5535" s="142">
        <v>0</v>
      </c>
    </row>
    <row r="5536" spans="1:13" x14ac:dyDescent="0.45">
      <c r="A5536" s="142" t="s">
        <v>13547</v>
      </c>
      <c r="B5536" s="142" t="s">
        <v>14613</v>
      </c>
      <c r="C5536" s="142" t="s">
        <v>15847</v>
      </c>
      <c r="D5536" s="142" t="s">
        <v>15848</v>
      </c>
      <c r="E5536" s="142" t="s">
        <v>15849</v>
      </c>
      <c r="F5536" s="142" t="s">
        <v>10477</v>
      </c>
      <c r="G5536" s="142" t="s">
        <v>10476</v>
      </c>
      <c r="H5536" s="142" t="s">
        <v>21386</v>
      </c>
      <c r="I5536" s="142">
        <v>670</v>
      </c>
      <c r="J5536" s="142">
        <v>403</v>
      </c>
      <c r="K5536" s="142">
        <v>0</v>
      </c>
      <c r="L5536" s="142">
        <v>217</v>
      </c>
      <c r="M5536" s="142">
        <v>50</v>
      </c>
    </row>
    <row r="5537" spans="1:13" x14ac:dyDescent="0.45">
      <c r="A5537" s="142" t="s">
        <v>13549</v>
      </c>
      <c r="B5537" s="142" t="s">
        <v>14603</v>
      </c>
      <c r="C5537" s="142" t="s">
        <v>15847</v>
      </c>
      <c r="D5537" s="142" t="s">
        <v>15848</v>
      </c>
      <c r="E5537" s="142" t="s">
        <v>15849</v>
      </c>
      <c r="F5537" s="142" t="s">
        <v>10477</v>
      </c>
      <c r="G5537" s="142" t="s">
        <v>10476</v>
      </c>
      <c r="H5537" s="142" t="s">
        <v>21387</v>
      </c>
      <c r="I5537" s="142">
        <v>103</v>
      </c>
      <c r="J5537" s="142">
        <v>78</v>
      </c>
      <c r="K5537" s="142">
        <v>0</v>
      </c>
      <c r="L5537" s="142">
        <v>23</v>
      </c>
      <c r="M5537" s="142">
        <v>2</v>
      </c>
    </row>
    <row r="5538" spans="1:13" x14ac:dyDescent="0.45">
      <c r="A5538" s="142" t="s">
        <v>13119</v>
      </c>
      <c r="B5538" s="142" t="s">
        <v>14451</v>
      </c>
      <c r="C5538" s="142" t="s">
        <v>15860</v>
      </c>
      <c r="D5538" s="142" t="s">
        <v>15861</v>
      </c>
      <c r="E5538" s="142" t="s">
        <v>15849</v>
      </c>
      <c r="F5538" s="142" t="s">
        <v>10477</v>
      </c>
      <c r="G5538" s="142" t="s">
        <v>10476</v>
      </c>
      <c r="H5538" s="142" t="s">
        <v>21388</v>
      </c>
      <c r="I5538" s="142">
        <v>12</v>
      </c>
      <c r="J5538" s="142">
        <v>0</v>
      </c>
      <c r="K5538" s="142">
        <v>0</v>
      </c>
      <c r="L5538" s="142">
        <v>12</v>
      </c>
      <c r="M5538" s="142">
        <v>0</v>
      </c>
    </row>
    <row r="5539" spans="1:13" x14ac:dyDescent="0.45">
      <c r="A5539" s="142" t="s">
        <v>14013</v>
      </c>
      <c r="B5539" s="142" t="s">
        <v>14990</v>
      </c>
      <c r="C5539" s="142" t="s">
        <v>15860</v>
      </c>
      <c r="D5539" s="142" t="s">
        <v>15861</v>
      </c>
      <c r="E5539" s="142" t="s">
        <v>15849</v>
      </c>
      <c r="F5539" s="142" t="s">
        <v>10477</v>
      </c>
      <c r="G5539" s="142" t="s">
        <v>10476</v>
      </c>
      <c r="H5539" s="142" t="s">
        <v>21389</v>
      </c>
      <c r="I5539" s="142">
        <v>29</v>
      </c>
      <c r="J5539" s="142">
        <v>29</v>
      </c>
      <c r="K5539" s="142">
        <v>0</v>
      </c>
      <c r="L5539" s="142">
        <v>0</v>
      </c>
      <c r="M5539" s="142">
        <v>0</v>
      </c>
    </row>
    <row r="5540" spans="1:13" x14ac:dyDescent="0.45">
      <c r="A5540" s="142" t="s">
        <v>13028</v>
      </c>
      <c r="B5540" s="142" t="s">
        <v>14462</v>
      </c>
      <c r="C5540" s="142" t="s">
        <v>15847</v>
      </c>
      <c r="D5540" s="142" t="s">
        <v>15848</v>
      </c>
      <c r="E5540" s="142" t="s">
        <v>15849</v>
      </c>
      <c r="F5540" s="142" t="s">
        <v>10477</v>
      </c>
      <c r="G5540" s="142" t="s">
        <v>10476</v>
      </c>
      <c r="H5540" s="142" t="s">
        <v>21390</v>
      </c>
      <c r="I5540" s="142">
        <v>7</v>
      </c>
      <c r="J5540" s="142">
        <v>0</v>
      </c>
      <c r="K5540" s="142">
        <v>0</v>
      </c>
      <c r="L5540" s="142">
        <v>0</v>
      </c>
      <c r="M5540" s="142">
        <v>7</v>
      </c>
    </row>
    <row r="5541" spans="1:13" x14ac:dyDescent="0.45">
      <c r="A5541" s="142" t="s">
        <v>13002</v>
      </c>
      <c r="B5541" s="142" t="s">
        <v>15376</v>
      </c>
      <c r="C5541" s="142" t="s">
        <v>15847</v>
      </c>
      <c r="D5541" s="142" t="s">
        <v>15848</v>
      </c>
      <c r="E5541" s="142" t="s">
        <v>15849</v>
      </c>
      <c r="F5541" s="142" t="s">
        <v>10477</v>
      </c>
      <c r="G5541" s="142" t="s">
        <v>10476</v>
      </c>
      <c r="H5541" s="142" t="s">
        <v>21391</v>
      </c>
      <c r="I5541" s="142">
        <v>1728</v>
      </c>
      <c r="J5541" s="142">
        <v>1012</v>
      </c>
      <c r="K5541" s="142">
        <v>0</v>
      </c>
      <c r="L5541" s="142">
        <v>578</v>
      </c>
      <c r="M5541" s="142">
        <v>138</v>
      </c>
    </row>
    <row r="5542" spans="1:13" x14ac:dyDescent="0.45">
      <c r="A5542" s="142" t="s">
        <v>14014</v>
      </c>
      <c r="B5542" s="142" t="s">
        <v>14763</v>
      </c>
      <c r="C5542" s="142" t="s">
        <v>15860</v>
      </c>
      <c r="D5542" s="142" t="s">
        <v>15861</v>
      </c>
      <c r="E5542" s="142" t="s">
        <v>15849</v>
      </c>
      <c r="F5542" s="142" t="s">
        <v>10477</v>
      </c>
      <c r="G5542" s="142" t="s">
        <v>10476</v>
      </c>
      <c r="H5542" s="142" t="s">
        <v>21392</v>
      </c>
      <c r="I5542" s="142">
        <v>60</v>
      </c>
      <c r="J5542" s="142">
        <v>60</v>
      </c>
      <c r="K5542" s="142">
        <v>0</v>
      </c>
      <c r="L5542" s="142">
        <v>0</v>
      </c>
      <c r="M5542" s="142">
        <v>0</v>
      </c>
    </row>
    <row r="5543" spans="1:13" x14ac:dyDescent="0.45">
      <c r="A5543" s="142" t="s">
        <v>13003</v>
      </c>
      <c r="B5543" s="142" t="s">
        <v>15245</v>
      </c>
      <c r="C5543" s="142" t="s">
        <v>15847</v>
      </c>
      <c r="D5543" s="142" t="s">
        <v>15848</v>
      </c>
      <c r="E5543" s="142" t="s">
        <v>15849</v>
      </c>
      <c r="F5543" s="142" t="s">
        <v>10477</v>
      </c>
      <c r="G5543" s="142" t="s">
        <v>10476</v>
      </c>
      <c r="H5543" s="142" t="s">
        <v>21393</v>
      </c>
      <c r="I5543" s="142">
        <v>22</v>
      </c>
      <c r="J5543" s="142">
        <v>0</v>
      </c>
      <c r="K5543" s="142">
        <v>0</v>
      </c>
      <c r="L5543" s="142">
        <v>22</v>
      </c>
      <c r="M5543" s="142">
        <v>0</v>
      </c>
    </row>
    <row r="5544" spans="1:13" x14ac:dyDescent="0.45">
      <c r="A5544" s="142" t="s">
        <v>13066</v>
      </c>
      <c r="B5544" s="142" t="s">
        <v>14459</v>
      </c>
      <c r="C5544" s="142" t="s">
        <v>15847</v>
      </c>
      <c r="D5544" s="142" t="s">
        <v>15848</v>
      </c>
      <c r="E5544" s="142" t="s">
        <v>15849</v>
      </c>
      <c r="F5544" s="142" t="s">
        <v>10477</v>
      </c>
      <c r="G5544" s="142" t="s">
        <v>10476</v>
      </c>
      <c r="H5544" s="142" t="s">
        <v>21394</v>
      </c>
      <c r="I5544" s="142">
        <v>17</v>
      </c>
      <c r="J5544" s="142">
        <v>0</v>
      </c>
      <c r="K5544" s="142">
        <v>0</v>
      </c>
      <c r="L5544" s="142">
        <v>17</v>
      </c>
      <c r="M5544" s="142">
        <v>0</v>
      </c>
    </row>
    <row r="5545" spans="1:13" x14ac:dyDescent="0.45">
      <c r="A5545" s="142" t="s">
        <v>13557</v>
      </c>
      <c r="B5545" s="142" t="s">
        <v>14592</v>
      </c>
      <c r="C5545" s="142" t="s">
        <v>15847</v>
      </c>
      <c r="D5545" s="142" t="s">
        <v>15848</v>
      </c>
      <c r="E5545" s="142" t="s">
        <v>15849</v>
      </c>
      <c r="F5545" s="142" t="s">
        <v>10477</v>
      </c>
      <c r="G5545" s="142" t="s">
        <v>10476</v>
      </c>
      <c r="H5545" s="142" t="s">
        <v>21395</v>
      </c>
      <c r="I5545" s="142">
        <v>3688</v>
      </c>
      <c r="J5545" s="142">
        <v>3155</v>
      </c>
      <c r="K5545" s="142">
        <v>0</v>
      </c>
      <c r="L5545" s="142">
        <v>403</v>
      </c>
      <c r="M5545" s="142">
        <v>130</v>
      </c>
    </row>
    <row r="5546" spans="1:13" x14ac:dyDescent="0.45">
      <c r="A5546" s="142" t="s">
        <v>14015</v>
      </c>
      <c r="B5546" s="142" t="s">
        <v>14438</v>
      </c>
      <c r="C5546" s="142" t="s">
        <v>15860</v>
      </c>
      <c r="D5546" s="142" t="s">
        <v>15861</v>
      </c>
      <c r="E5546" s="142" t="s">
        <v>15849</v>
      </c>
      <c r="F5546" s="142" t="s">
        <v>10477</v>
      </c>
      <c r="G5546" s="142" t="s">
        <v>10476</v>
      </c>
      <c r="H5546" s="142" t="s">
        <v>21396</v>
      </c>
      <c r="I5546" s="142">
        <v>747</v>
      </c>
      <c r="J5546" s="142">
        <v>427</v>
      </c>
      <c r="K5546" s="142">
        <v>0</v>
      </c>
      <c r="L5546" s="142">
        <v>320</v>
      </c>
      <c r="M5546" s="142">
        <v>0</v>
      </c>
    </row>
    <row r="5547" spans="1:13" x14ac:dyDescent="0.45">
      <c r="A5547" s="142" t="s">
        <v>13029</v>
      </c>
      <c r="B5547" s="142" t="s">
        <v>14665</v>
      </c>
      <c r="C5547" s="142" t="s">
        <v>15847</v>
      </c>
      <c r="D5547" s="142" t="s">
        <v>15848</v>
      </c>
      <c r="E5547" s="142" t="s">
        <v>15849</v>
      </c>
      <c r="F5547" s="142" t="s">
        <v>10477</v>
      </c>
      <c r="G5547" s="142" t="s">
        <v>10476</v>
      </c>
      <c r="H5547" s="142" t="s">
        <v>21397</v>
      </c>
      <c r="I5547" s="142">
        <v>2</v>
      </c>
      <c r="J5547" s="142">
        <v>0</v>
      </c>
      <c r="K5547" s="142">
        <v>0</v>
      </c>
      <c r="L5547" s="142">
        <v>0</v>
      </c>
      <c r="M5547" s="142">
        <v>2</v>
      </c>
    </row>
    <row r="5548" spans="1:13" x14ac:dyDescent="0.45">
      <c r="A5548" s="142" t="s">
        <v>13192</v>
      </c>
      <c r="B5548" s="142" t="s">
        <v>15539</v>
      </c>
      <c r="C5548" s="142" t="s">
        <v>15860</v>
      </c>
      <c r="D5548" s="142" t="s">
        <v>15861</v>
      </c>
      <c r="E5548" s="142" t="s">
        <v>15849</v>
      </c>
      <c r="F5548" s="142" t="s">
        <v>10477</v>
      </c>
      <c r="G5548" s="142" t="s">
        <v>10476</v>
      </c>
      <c r="H5548" s="142" t="s">
        <v>21398</v>
      </c>
      <c r="I5548" s="142">
        <v>41</v>
      </c>
      <c r="J5548" s="142">
        <v>0</v>
      </c>
      <c r="K5548" s="142">
        <v>0</v>
      </c>
      <c r="L5548" s="142">
        <v>41</v>
      </c>
      <c r="M5548" s="142">
        <v>0</v>
      </c>
    </row>
    <row r="5549" spans="1:13" x14ac:dyDescent="0.45">
      <c r="A5549" s="142" t="s">
        <v>13516</v>
      </c>
      <c r="B5549" s="142" t="s">
        <v>14461</v>
      </c>
      <c r="C5549" s="142" t="s">
        <v>15860</v>
      </c>
      <c r="D5549" s="142" t="s">
        <v>15861</v>
      </c>
      <c r="E5549" s="142" t="s">
        <v>15849</v>
      </c>
      <c r="F5549" s="142" t="s">
        <v>10477</v>
      </c>
      <c r="G5549" s="142" t="s">
        <v>10476</v>
      </c>
      <c r="H5549" s="142" t="s">
        <v>21399</v>
      </c>
      <c r="I5549" s="142">
        <v>2</v>
      </c>
      <c r="J5549" s="142">
        <v>0</v>
      </c>
      <c r="K5549" s="142">
        <v>0</v>
      </c>
      <c r="L5549" s="142">
        <v>2</v>
      </c>
      <c r="M5549" s="142">
        <v>0</v>
      </c>
    </row>
    <row r="5550" spans="1:13" x14ac:dyDescent="0.45">
      <c r="A5550" s="142" t="s">
        <v>14016</v>
      </c>
      <c r="B5550" s="142" t="s">
        <v>15073</v>
      </c>
      <c r="C5550" s="142" t="s">
        <v>15860</v>
      </c>
      <c r="D5550" s="142" t="s">
        <v>15861</v>
      </c>
      <c r="E5550" s="142" t="s">
        <v>15849</v>
      </c>
      <c r="F5550" s="142" t="s">
        <v>10477</v>
      </c>
      <c r="G5550" s="142" t="s">
        <v>10476</v>
      </c>
      <c r="H5550" s="142" t="s">
        <v>21400</v>
      </c>
      <c r="I5550" s="142">
        <v>8</v>
      </c>
      <c r="J5550" s="142">
        <v>8</v>
      </c>
      <c r="K5550" s="142">
        <v>0</v>
      </c>
      <c r="L5550" s="142">
        <v>0</v>
      </c>
      <c r="M5550" s="142">
        <v>0</v>
      </c>
    </row>
    <row r="5551" spans="1:13" x14ac:dyDescent="0.45">
      <c r="A5551" s="142" t="s">
        <v>14017</v>
      </c>
      <c r="B5551" s="142" t="s">
        <v>15177</v>
      </c>
      <c r="C5551" s="142" t="s">
        <v>15860</v>
      </c>
      <c r="D5551" s="142" t="s">
        <v>15861</v>
      </c>
      <c r="E5551" s="142" t="s">
        <v>15849</v>
      </c>
      <c r="F5551" s="142" t="s">
        <v>10477</v>
      </c>
      <c r="G5551" s="142" t="s">
        <v>10476</v>
      </c>
      <c r="H5551" s="142" t="s">
        <v>21401</v>
      </c>
      <c r="I5551" s="142">
        <v>226</v>
      </c>
      <c r="J5551" s="142">
        <v>17</v>
      </c>
      <c r="K5551" s="142">
        <v>125</v>
      </c>
      <c r="L5551" s="142">
        <v>84</v>
      </c>
      <c r="M5551" s="142">
        <v>0</v>
      </c>
    </row>
    <row r="5552" spans="1:13" x14ac:dyDescent="0.45">
      <c r="A5552" s="142" t="s">
        <v>13387</v>
      </c>
      <c r="B5552" s="142" t="s">
        <v>15211</v>
      </c>
      <c r="C5552" s="142" t="s">
        <v>15860</v>
      </c>
      <c r="D5552" s="142" t="s">
        <v>15861</v>
      </c>
      <c r="E5552" s="142" t="s">
        <v>15849</v>
      </c>
      <c r="F5552" s="142" t="s">
        <v>10477</v>
      </c>
      <c r="G5552" s="142" t="s">
        <v>10476</v>
      </c>
      <c r="H5552" s="142" t="s">
        <v>21402</v>
      </c>
      <c r="I5552" s="142">
        <v>4</v>
      </c>
      <c r="J5552" s="142">
        <v>0</v>
      </c>
      <c r="K5552" s="142">
        <v>0</v>
      </c>
      <c r="L5552" s="142">
        <v>4</v>
      </c>
      <c r="M5552" s="142">
        <v>0</v>
      </c>
    </row>
    <row r="5553" spans="1:13" x14ac:dyDescent="0.45">
      <c r="A5553" s="142" t="s">
        <v>13033</v>
      </c>
      <c r="B5553" s="142" t="s">
        <v>15276</v>
      </c>
      <c r="C5553" s="142" t="s">
        <v>15847</v>
      </c>
      <c r="D5553" s="142" t="s">
        <v>15848</v>
      </c>
      <c r="E5553" s="142" t="s">
        <v>15849</v>
      </c>
      <c r="F5553" s="142" t="s">
        <v>10477</v>
      </c>
      <c r="G5553" s="142" t="s">
        <v>10476</v>
      </c>
      <c r="H5553" s="142" t="s">
        <v>21403</v>
      </c>
      <c r="I5553" s="142">
        <v>1492</v>
      </c>
      <c r="J5553" s="142">
        <v>1340</v>
      </c>
      <c r="K5553" s="142">
        <v>0</v>
      </c>
      <c r="L5553" s="142">
        <v>137</v>
      </c>
      <c r="M5553" s="142">
        <v>15</v>
      </c>
    </row>
    <row r="5554" spans="1:13" x14ac:dyDescent="0.45">
      <c r="A5554" s="142" t="s">
        <v>13034</v>
      </c>
      <c r="B5554" s="142" t="s">
        <v>15562</v>
      </c>
      <c r="C5554" s="142" t="s">
        <v>15847</v>
      </c>
      <c r="D5554" s="142" t="s">
        <v>15848</v>
      </c>
      <c r="E5554" s="142" t="s">
        <v>15849</v>
      </c>
      <c r="F5554" s="142" t="s">
        <v>10477</v>
      </c>
      <c r="G5554" s="142" t="s">
        <v>10476</v>
      </c>
      <c r="H5554" s="142" t="s">
        <v>21404</v>
      </c>
      <c r="I5554" s="142">
        <v>31</v>
      </c>
      <c r="J5554" s="142">
        <v>0</v>
      </c>
      <c r="K5554" s="142">
        <v>0</v>
      </c>
      <c r="L5554" s="142">
        <v>31</v>
      </c>
      <c r="M5554" s="142">
        <v>0</v>
      </c>
    </row>
    <row r="5555" spans="1:13" x14ac:dyDescent="0.45">
      <c r="A5555" s="142" t="s">
        <v>13036</v>
      </c>
      <c r="B5555" s="142" t="s">
        <v>15567</v>
      </c>
      <c r="C5555" s="142" t="s">
        <v>15847</v>
      </c>
      <c r="D5555" s="142" t="s">
        <v>15848</v>
      </c>
      <c r="E5555" s="142" t="s">
        <v>15849</v>
      </c>
      <c r="F5555" s="142" t="s">
        <v>10477</v>
      </c>
      <c r="G5555" s="142" t="s">
        <v>10476</v>
      </c>
      <c r="H5555" s="142" t="s">
        <v>21405</v>
      </c>
      <c r="I5555" s="142">
        <v>9</v>
      </c>
      <c r="J5555" s="142">
        <v>0</v>
      </c>
      <c r="K5555" s="142">
        <v>0</v>
      </c>
      <c r="L5555" s="142">
        <v>9</v>
      </c>
      <c r="M5555" s="142">
        <v>0</v>
      </c>
    </row>
    <row r="5556" spans="1:13" x14ac:dyDescent="0.45">
      <c r="A5556" s="142" t="s">
        <v>13560</v>
      </c>
      <c r="B5556" s="142" t="s">
        <v>14778</v>
      </c>
      <c r="C5556" s="142" t="s">
        <v>15847</v>
      </c>
      <c r="D5556" s="142" t="s">
        <v>15848</v>
      </c>
      <c r="E5556" s="142" t="s">
        <v>15849</v>
      </c>
      <c r="F5556" s="142" t="s">
        <v>10477</v>
      </c>
      <c r="G5556" s="142" t="s">
        <v>10476</v>
      </c>
      <c r="H5556" s="142" t="s">
        <v>21406</v>
      </c>
      <c r="I5556" s="142">
        <v>78</v>
      </c>
      <c r="J5556" s="142">
        <v>15</v>
      </c>
      <c r="K5556" s="142">
        <v>0</v>
      </c>
      <c r="L5556" s="142">
        <v>63</v>
      </c>
      <c r="M5556" s="142">
        <v>0</v>
      </c>
    </row>
    <row r="5557" spans="1:13" x14ac:dyDescent="0.45">
      <c r="A5557" s="142" t="s">
        <v>13078</v>
      </c>
      <c r="B5557" s="142" t="s">
        <v>15540</v>
      </c>
      <c r="C5557" s="142" t="s">
        <v>15847</v>
      </c>
      <c r="D5557" s="142" t="s">
        <v>15848</v>
      </c>
      <c r="E5557" s="142" t="s">
        <v>15849</v>
      </c>
      <c r="F5557" s="142" t="s">
        <v>10477</v>
      </c>
      <c r="G5557" s="142" t="s">
        <v>10476</v>
      </c>
      <c r="H5557" s="142" t="s">
        <v>21407</v>
      </c>
      <c r="I5557" s="142">
        <v>6</v>
      </c>
      <c r="J5557" s="142">
        <v>0</v>
      </c>
      <c r="K5557" s="142">
        <v>6</v>
      </c>
      <c r="L5557" s="142">
        <v>0</v>
      </c>
      <c r="M5557" s="142">
        <v>0</v>
      </c>
    </row>
    <row r="5558" spans="1:13" x14ac:dyDescent="0.45">
      <c r="A5558" s="142" t="s">
        <v>13009</v>
      </c>
      <c r="B5558" s="142" t="s">
        <v>15256</v>
      </c>
      <c r="C5558" s="142" t="s">
        <v>15847</v>
      </c>
      <c r="D5558" s="142" t="s">
        <v>15848</v>
      </c>
      <c r="E5558" s="142" t="s">
        <v>15849</v>
      </c>
      <c r="F5558" s="142" t="s">
        <v>10477</v>
      </c>
      <c r="G5558" s="142" t="s">
        <v>10476</v>
      </c>
      <c r="H5558" s="142" t="s">
        <v>21408</v>
      </c>
      <c r="I5558" s="142">
        <v>51</v>
      </c>
      <c r="J5558" s="142">
        <v>51</v>
      </c>
      <c r="K5558" s="142">
        <v>0</v>
      </c>
      <c r="L5558" s="142">
        <v>0</v>
      </c>
      <c r="M5558" s="142">
        <v>0</v>
      </c>
    </row>
    <row r="5559" spans="1:13" x14ac:dyDescent="0.45">
      <c r="A5559" s="142" t="s">
        <v>14018</v>
      </c>
      <c r="B5559" s="142" t="s">
        <v>15021</v>
      </c>
      <c r="C5559" s="142" t="s">
        <v>15860</v>
      </c>
      <c r="D5559" s="142" t="s">
        <v>15861</v>
      </c>
      <c r="E5559" s="142" t="s">
        <v>15849</v>
      </c>
      <c r="F5559" s="142" t="s">
        <v>10477</v>
      </c>
      <c r="G5559" s="142" t="s">
        <v>10476</v>
      </c>
      <c r="H5559" s="142" t="s">
        <v>21409</v>
      </c>
      <c r="I5559" s="142">
        <v>12</v>
      </c>
      <c r="J5559" s="142">
        <v>12</v>
      </c>
      <c r="K5559" s="142">
        <v>0</v>
      </c>
      <c r="L5559" s="142">
        <v>0</v>
      </c>
      <c r="M5559" s="142">
        <v>0</v>
      </c>
    </row>
    <row r="5560" spans="1:13" x14ac:dyDescent="0.45">
      <c r="A5560" s="142" t="s">
        <v>13107</v>
      </c>
      <c r="B5560" s="142" t="s">
        <v>14522</v>
      </c>
      <c r="C5560" s="142" t="s">
        <v>15860</v>
      </c>
      <c r="D5560" s="142" t="s">
        <v>15861</v>
      </c>
      <c r="E5560" s="142" t="s">
        <v>15849</v>
      </c>
      <c r="F5560" s="142" t="s">
        <v>10477</v>
      </c>
      <c r="G5560" s="142" t="s">
        <v>10476</v>
      </c>
      <c r="H5560" s="142" t="s">
        <v>21410</v>
      </c>
      <c r="I5560" s="142">
        <v>59</v>
      </c>
      <c r="J5560" s="142">
        <v>19</v>
      </c>
      <c r="K5560" s="142">
        <v>0</v>
      </c>
      <c r="L5560" s="142">
        <v>40</v>
      </c>
      <c r="M5560" s="142">
        <v>0</v>
      </c>
    </row>
    <row r="5561" spans="1:13" x14ac:dyDescent="0.45">
      <c r="A5561" s="142" t="s">
        <v>13042</v>
      </c>
      <c r="B5561" s="142" t="s">
        <v>15489</v>
      </c>
      <c r="C5561" s="142" t="s">
        <v>15847</v>
      </c>
      <c r="D5561" s="142" t="s">
        <v>15848</v>
      </c>
      <c r="E5561" s="142" t="s">
        <v>15849</v>
      </c>
      <c r="F5561" s="142" t="s">
        <v>10477</v>
      </c>
      <c r="G5561" s="142" t="s">
        <v>10476</v>
      </c>
      <c r="H5561" s="142" t="s">
        <v>21411</v>
      </c>
      <c r="I5561" s="142">
        <v>1153</v>
      </c>
      <c r="J5561" s="142">
        <v>762</v>
      </c>
      <c r="K5561" s="142">
        <v>0</v>
      </c>
      <c r="L5561" s="142">
        <v>272</v>
      </c>
      <c r="M5561" s="142">
        <v>119</v>
      </c>
    </row>
    <row r="5562" spans="1:13" x14ac:dyDescent="0.45">
      <c r="A5562" s="142" t="s">
        <v>13096</v>
      </c>
      <c r="B5562" s="142" t="s">
        <v>15478</v>
      </c>
      <c r="C5562" s="142" t="s">
        <v>15847</v>
      </c>
      <c r="D5562" s="142" t="s">
        <v>15848</v>
      </c>
      <c r="E5562" s="142" t="s">
        <v>15849</v>
      </c>
      <c r="F5562" s="142" t="s">
        <v>10477</v>
      </c>
      <c r="G5562" s="142" t="s">
        <v>10476</v>
      </c>
      <c r="H5562" s="142" t="s">
        <v>21412</v>
      </c>
      <c r="I5562" s="142">
        <v>111</v>
      </c>
      <c r="J5562" s="142">
        <v>58</v>
      </c>
      <c r="K5562" s="142">
        <v>0</v>
      </c>
      <c r="L5562" s="142">
        <v>36</v>
      </c>
      <c r="M5562" s="142">
        <v>17</v>
      </c>
    </row>
    <row r="5563" spans="1:13" x14ac:dyDescent="0.45">
      <c r="A5563" s="142" t="s">
        <v>13704</v>
      </c>
      <c r="B5563" s="142" t="s">
        <v>15588</v>
      </c>
      <c r="C5563" s="142" t="s">
        <v>15860</v>
      </c>
      <c r="D5563" s="142" t="s">
        <v>15861</v>
      </c>
      <c r="E5563" s="142" t="s">
        <v>15849</v>
      </c>
      <c r="F5563" s="142" t="s">
        <v>10477</v>
      </c>
      <c r="G5563" s="142" t="s">
        <v>10476</v>
      </c>
      <c r="H5563" s="142" t="s">
        <v>21413</v>
      </c>
      <c r="I5563" s="142">
        <v>221</v>
      </c>
      <c r="J5563" s="142">
        <v>2</v>
      </c>
      <c r="K5563" s="142">
        <v>0</v>
      </c>
      <c r="L5563" s="142">
        <v>219</v>
      </c>
      <c r="M5563" s="142">
        <v>0</v>
      </c>
    </row>
    <row r="5564" spans="1:13" x14ac:dyDescent="0.45">
      <c r="A5564" s="142" t="s">
        <v>14019</v>
      </c>
      <c r="B5564" s="142" t="s">
        <v>15002</v>
      </c>
      <c r="C5564" s="142" t="s">
        <v>15860</v>
      </c>
      <c r="D5564" s="142" t="s">
        <v>15861</v>
      </c>
      <c r="E5564" s="142" t="s">
        <v>15849</v>
      </c>
      <c r="F5564" s="142" t="s">
        <v>10477</v>
      </c>
      <c r="G5564" s="142" t="s">
        <v>10476</v>
      </c>
      <c r="H5564" s="142" t="s">
        <v>21414</v>
      </c>
      <c r="I5564" s="142">
        <v>12</v>
      </c>
      <c r="J5564" s="142">
        <v>12</v>
      </c>
      <c r="K5564" s="142">
        <v>0</v>
      </c>
      <c r="L5564" s="142">
        <v>0</v>
      </c>
      <c r="M5564" s="142">
        <v>0</v>
      </c>
    </row>
    <row r="5565" spans="1:13" x14ac:dyDescent="0.45">
      <c r="A5565" s="142" t="s">
        <v>13410</v>
      </c>
      <c r="B5565" s="142" t="s">
        <v>15311</v>
      </c>
      <c r="C5565" s="142" t="s">
        <v>15860</v>
      </c>
      <c r="D5565" s="142" t="s">
        <v>15861</v>
      </c>
      <c r="E5565" s="142" t="s">
        <v>15849</v>
      </c>
      <c r="F5565" s="142" t="s">
        <v>7913</v>
      </c>
      <c r="G5565" s="142" t="s">
        <v>7912</v>
      </c>
      <c r="H5565" s="142" t="s">
        <v>21415</v>
      </c>
      <c r="I5565" s="142">
        <v>71</v>
      </c>
      <c r="J5565" s="142">
        <v>0</v>
      </c>
      <c r="K5565" s="142">
        <v>0</v>
      </c>
      <c r="L5565" s="142">
        <v>71</v>
      </c>
      <c r="M5565" s="142">
        <v>0</v>
      </c>
    </row>
    <row r="5566" spans="1:13" x14ac:dyDescent="0.45">
      <c r="A5566" s="142" t="s">
        <v>13023</v>
      </c>
      <c r="B5566" s="142" t="s">
        <v>15571</v>
      </c>
      <c r="C5566" s="142" t="s">
        <v>15847</v>
      </c>
      <c r="D5566" s="142" t="s">
        <v>15848</v>
      </c>
      <c r="E5566" s="142" t="s">
        <v>15849</v>
      </c>
      <c r="F5566" s="142" t="s">
        <v>7913</v>
      </c>
      <c r="G5566" s="142" t="s">
        <v>7912</v>
      </c>
      <c r="H5566" s="142" t="s">
        <v>21416</v>
      </c>
      <c r="I5566" s="142">
        <v>41</v>
      </c>
      <c r="J5566" s="142">
        <v>0</v>
      </c>
      <c r="K5566" s="142">
        <v>0</v>
      </c>
      <c r="L5566" s="142">
        <v>41</v>
      </c>
      <c r="M5566" s="142">
        <v>0</v>
      </c>
    </row>
    <row r="5567" spans="1:13" x14ac:dyDescent="0.45">
      <c r="A5567" s="142" t="s">
        <v>13446</v>
      </c>
      <c r="B5567" s="142" t="s">
        <v>15430</v>
      </c>
      <c r="C5567" s="142" t="s">
        <v>15847</v>
      </c>
      <c r="D5567" s="142" t="s">
        <v>15848</v>
      </c>
      <c r="E5567" s="142" t="s">
        <v>15849</v>
      </c>
      <c r="F5567" s="142" t="s">
        <v>7913</v>
      </c>
      <c r="G5567" s="142" t="s">
        <v>7912</v>
      </c>
      <c r="H5567" s="142" t="s">
        <v>21417</v>
      </c>
      <c r="I5567" s="142">
        <v>8088</v>
      </c>
      <c r="J5567" s="142">
        <v>7389</v>
      </c>
      <c r="K5567" s="142">
        <v>0</v>
      </c>
      <c r="L5567" s="142">
        <v>543</v>
      </c>
      <c r="M5567" s="142">
        <v>156</v>
      </c>
    </row>
    <row r="5568" spans="1:13" x14ac:dyDescent="0.45">
      <c r="A5568" s="142" t="s">
        <v>14020</v>
      </c>
      <c r="B5568" s="142" t="s">
        <v>15231</v>
      </c>
      <c r="C5568" s="142" t="s">
        <v>15860</v>
      </c>
      <c r="D5568" s="142" t="s">
        <v>15861</v>
      </c>
      <c r="E5568" s="142" t="s">
        <v>15849</v>
      </c>
      <c r="F5568" s="142" t="s">
        <v>7913</v>
      </c>
      <c r="G5568" s="142" t="s">
        <v>7912</v>
      </c>
      <c r="H5568" s="142" t="s">
        <v>21418</v>
      </c>
      <c r="I5568" s="142">
        <v>6</v>
      </c>
      <c r="J5568" s="142">
        <v>0</v>
      </c>
      <c r="K5568" s="142">
        <v>0</v>
      </c>
      <c r="L5568" s="142">
        <v>6</v>
      </c>
      <c r="M5568" s="142">
        <v>0</v>
      </c>
    </row>
    <row r="5569" spans="1:13" x14ac:dyDescent="0.45">
      <c r="A5569" s="142" t="s">
        <v>14021</v>
      </c>
      <c r="B5569" s="142" t="s">
        <v>15419</v>
      </c>
      <c r="C5569" s="142" t="s">
        <v>15860</v>
      </c>
      <c r="D5569" s="142" t="s">
        <v>15861</v>
      </c>
      <c r="E5569" s="142" t="s">
        <v>15849</v>
      </c>
      <c r="F5569" s="142" t="s">
        <v>7913</v>
      </c>
      <c r="G5569" s="142" t="s">
        <v>7912</v>
      </c>
      <c r="H5569" s="142" t="s">
        <v>21419</v>
      </c>
      <c r="I5569" s="142">
        <v>8</v>
      </c>
      <c r="J5569" s="142">
        <v>0</v>
      </c>
      <c r="K5569" s="142">
        <v>0</v>
      </c>
      <c r="L5569" s="142">
        <v>8</v>
      </c>
      <c r="M5569" s="142">
        <v>0</v>
      </c>
    </row>
    <row r="5570" spans="1:13" x14ac:dyDescent="0.45">
      <c r="A5570" s="142" t="s">
        <v>13000</v>
      </c>
      <c r="B5570" s="142" t="s">
        <v>14610</v>
      </c>
      <c r="C5570" s="142" t="s">
        <v>15847</v>
      </c>
      <c r="D5570" s="142" t="s">
        <v>15848</v>
      </c>
      <c r="E5570" s="142" t="s">
        <v>15849</v>
      </c>
      <c r="F5570" s="142" t="s">
        <v>7913</v>
      </c>
      <c r="G5570" s="142" t="s">
        <v>7912</v>
      </c>
      <c r="H5570" s="142" t="s">
        <v>21420</v>
      </c>
      <c r="I5570" s="142">
        <v>79</v>
      </c>
      <c r="J5570" s="142">
        <v>79</v>
      </c>
      <c r="K5570" s="142">
        <v>0</v>
      </c>
      <c r="L5570" s="142">
        <v>0</v>
      </c>
      <c r="M5570" s="142">
        <v>0</v>
      </c>
    </row>
    <row r="5571" spans="1:13" x14ac:dyDescent="0.45">
      <c r="A5571" s="142" t="s">
        <v>14022</v>
      </c>
      <c r="B5571" s="142" t="s">
        <v>15416</v>
      </c>
      <c r="C5571" s="142" t="s">
        <v>15847</v>
      </c>
      <c r="D5571" s="142" t="s">
        <v>15848</v>
      </c>
      <c r="E5571" s="142" t="s">
        <v>15849</v>
      </c>
      <c r="F5571" s="142" t="s">
        <v>7913</v>
      </c>
      <c r="G5571" s="142" t="s">
        <v>7912</v>
      </c>
      <c r="H5571" s="142" t="s">
        <v>21421</v>
      </c>
      <c r="I5571" s="142">
        <v>34</v>
      </c>
      <c r="J5571" s="142">
        <v>34</v>
      </c>
      <c r="K5571" s="142">
        <v>0</v>
      </c>
      <c r="L5571" s="142">
        <v>0</v>
      </c>
      <c r="M5571" s="142">
        <v>0</v>
      </c>
    </row>
    <row r="5572" spans="1:13" x14ac:dyDescent="0.45">
      <c r="A5572" s="142" t="s">
        <v>13027</v>
      </c>
      <c r="B5572" s="142" t="s">
        <v>14562</v>
      </c>
      <c r="C5572" s="142" t="s">
        <v>15847</v>
      </c>
      <c r="D5572" s="142" t="s">
        <v>15848</v>
      </c>
      <c r="E5572" s="142" t="s">
        <v>15849</v>
      </c>
      <c r="F5572" s="142" t="s">
        <v>7913</v>
      </c>
      <c r="G5572" s="142" t="s">
        <v>7912</v>
      </c>
      <c r="H5572" s="142" t="s">
        <v>21422</v>
      </c>
      <c r="I5572" s="142">
        <v>6</v>
      </c>
      <c r="J5572" s="142">
        <v>0</v>
      </c>
      <c r="K5572" s="142">
        <v>0</v>
      </c>
      <c r="L5572" s="142">
        <v>6</v>
      </c>
      <c r="M5572" s="142">
        <v>0</v>
      </c>
    </row>
    <row r="5573" spans="1:13" x14ac:dyDescent="0.45">
      <c r="A5573" s="142" t="s">
        <v>13149</v>
      </c>
      <c r="B5573" s="142" t="s">
        <v>14458</v>
      </c>
      <c r="C5573" s="142" t="s">
        <v>15860</v>
      </c>
      <c r="D5573" s="142" t="s">
        <v>15861</v>
      </c>
      <c r="E5573" s="142" t="s">
        <v>15849</v>
      </c>
      <c r="F5573" s="142" t="s">
        <v>7913</v>
      </c>
      <c r="G5573" s="142" t="s">
        <v>7912</v>
      </c>
      <c r="H5573" s="142" t="s">
        <v>21423</v>
      </c>
      <c r="I5573" s="142">
        <v>1</v>
      </c>
      <c r="J5573" s="142">
        <v>0</v>
      </c>
      <c r="K5573" s="142">
        <v>0</v>
      </c>
      <c r="L5573" s="142">
        <v>1</v>
      </c>
      <c r="M5573" s="142">
        <v>0</v>
      </c>
    </row>
    <row r="5574" spans="1:13" x14ac:dyDescent="0.45">
      <c r="A5574" s="142" t="s">
        <v>13484</v>
      </c>
      <c r="B5574" s="142" t="s">
        <v>15536</v>
      </c>
      <c r="C5574" s="142" t="s">
        <v>15847</v>
      </c>
      <c r="D5574" s="142" t="s">
        <v>15848</v>
      </c>
      <c r="E5574" s="142" t="s">
        <v>15849</v>
      </c>
      <c r="F5574" s="142" t="s">
        <v>7913</v>
      </c>
      <c r="G5574" s="142" t="s">
        <v>7912</v>
      </c>
      <c r="H5574" s="142" t="s">
        <v>21424</v>
      </c>
      <c r="I5574" s="142">
        <v>518</v>
      </c>
      <c r="J5574" s="142">
        <v>496</v>
      </c>
      <c r="K5574" s="142">
        <v>10</v>
      </c>
      <c r="L5574" s="142">
        <v>3</v>
      </c>
      <c r="M5574" s="142">
        <v>9</v>
      </c>
    </row>
    <row r="5575" spans="1:13" x14ac:dyDescent="0.45">
      <c r="A5575" s="142" t="s">
        <v>13003</v>
      </c>
      <c r="B5575" s="142" t="s">
        <v>15245</v>
      </c>
      <c r="C5575" s="142" t="s">
        <v>15847</v>
      </c>
      <c r="D5575" s="142" t="s">
        <v>15848</v>
      </c>
      <c r="E5575" s="142" t="s">
        <v>15849</v>
      </c>
      <c r="F5575" s="142" t="s">
        <v>7913</v>
      </c>
      <c r="G5575" s="142" t="s">
        <v>7912</v>
      </c>
      <c r="H5575" s="142" t="s">
        <v>21425</v>
      </c>
      <c r="I5575" s="142">
        <v>63</v>
      </c>
      <c r="J5575" s="142">
        <v>0</v>
      </c>
      <c r="K5575" s="142">
        <v>0</v>
      </c>
      <c r="L5575" s="142">
        <v>50</v>
      </c>
      <c r="M5575" s="142">
        <v>13</v>
      </c>
    </row>
    <row r="5576" spans="1:13" x14ac:dyDescent="0.45">
      <c r="A5576" s="142" t="s">
        <v>13248</v>
      </c>
      <c r="B5576" s="142" t="s">
        <v>15463</v>
      </c>
      <c r="C5576" s="142" t="s">
        <v>15847</v>
      </c>
      <c r="D5576" s="142" t="s">
        <v>15848</v>
      </c>
      <c r="E5576" s="142" t="s">
        <v>15849</v>
      </c>
      <c r="F5576" s="142" t="s">
        <v>7913</v>
      </c>
      <c r="G5576" s="142" t="s">
        <v>7912</v>
      </c>
      <c r="H5576" s="142" t="s">
        <v>21426</v>
      </c>
      <c r="I5576" s="142">
        <v>23</v>
      </c>
      <c r="J5576" s="142">
        <v>2</v>
      </c>
      <c r="K5576" s="142">
        <v>0</v>
      </c>
      <c r="L5576" s="142">
        <v>17</v>
      </c>
      <c r="M5576" s="142">
        <v>4</v>
      </c>
    </row>
    <row r="5577" spans="1:13" x14ac:dyDescent="0.45">
      <c r="A5577" s="142" t="s">
        <v>13284</v>
      </c>
      <c r="B5577" s="142" t="s">
        <v>15364</v>
      </c>
      <c r="C5577" s="142" t="s">
        <v>15847</v>
      </c>
      <c r="D5577" s="142" t="s">
        <v>15848</v>
      </c>
      <c r="E5577" s="142" t="s">
        <v>15849</v>
      </c>
      <c r="F5577" s="142" t="s">
        <v>7913</v>
      </c>
      <c r="G5577" s="142" t="s">
        <v>7912</v>
      </c>
      <c r="H5577" s="142" t="s">
        <v>21427</v>
      </c>
      <c r="I5577" s="142">
        <v>8</v>
      </c>
      <c r="J5577" s="142">
        <v>5</v>
      </c>
      <c r="K5577" s="142">
        <v>0</v>
      </c>
      <c r="L5577" s="142">
        <v>0</v>
      </c>
      <c r="M5577" s="142">
        <v>3</v>
      </c>
    </row>
    <row r="5578" spans="1:13" x14ac:dyDescent="0.45">
      <c r="A5578" s="142" t="s">
        <v>13487</v>
      </c>
      <c r="B5578" s="142" t="s">
        <v>15490</v>
      </c>
      <c r="C5578" s="142" t="s">
        <v>15847</v>
      </c>
      <c r="D5578" s="142" t="s">
        <v>15848</v>
      </c>
      <c r="E5578" s="142" t="s">
        <v>15849</v>
      </c>
      <c r="F5578" s="142" t="s">
        <v>7913</v>
      </c>
      <c r="G5578" s="142" t="s">
        <v>7912</v>
      </c>
      <c r="H5578" s="142" t="s">
        <v>21428</v>
      </c>
      <c r="I5578" s="142">
        <v>4</v>
      </c>
      <c r="J5578" s="142">
        <v>0</v>
      </c>
      <c r="K5578" s="142">
        <v>0</v>
      </c>
      <c r="L5578" s="142">
        <v>4</v>
      </c>
      <c r="M5578" s="142">
        <v>0</v>
      </c>
    </row>
    <row r="5579" spans="1:13" x14ac:dyDescent="0.45">
      <c r="A5579" s="142" t="s">
        <v>13105</v>
      </c>
      <c r="B5579" s="142" t="s">
        <v>14654</v>
      </c>
      <c r="C5579" s="142" t="s">
        <v>15847</v>
      </c>
      <c r="D5579" s="142" t="s">
        <v>15848</v>
      </c>
      <c r="E5579" s="142" t="s">
        <v>15849</v>
      </c>
      <c r="F5579" s="142" t="s">
        <v>7913</v>
      </c>
      <c r="G5579" s="142" t="s">
        <v>7912</v>
      </c>
      <c r="H5579" s="142" t="s">
        <v>21429</v>
      </c>
      <c r="I5579" s="142">
        <v>10</v>
      </c>
      <c r="J5579" s="142">
        <v>0</v>
      </c>
      <c r="K5579" s="142">
        <v>0</v>
      </c>
      <c r="L5579" s="142">
        <v>0</v>
      </c>
      <c r="M5579" s="142">
        <v>10</v>
      </c>
    </row>
    <row r="5580" spans="1:13" x14ac:dyDescent="0.45">
      <c r="A5580" s="142" t="s">
        <v>13038</v>
      </c>
      <c r="B5580" s="142" t="s">
        <v>14646</v>
      </c>
      <c r="C5580" s="142" t="s">
        <v>15847</v>
      </c>
      <c r="D5580" s="142" t="s">
        <v>15848</v>
      </c>
      <c r="E5580" s="142" t="s">
        <v>15849</v>
      </c>
      <c r="F5580" s="142" t="s">
        <v>7913</v>
      </c>
      <c r="G5580" s="142" t="s">
        <v>7912</v>
      </c>
      <c r="H5580" s="142" t="s">
        <v>21430</v>
      </c>
      <c r="I5580" s="142">
        <v>12</v>
      </c>
      <c r="J5580" s="142">
        <v>0</v>
      </c>
      <c r="K5580" s="142">
        <v>0</v>
      </c>
      <c r="L5580" s="142">
        <v>0</v>
      </c>
      <c r="M5580" s="142">
        <v>12</v>
      </c>
    </row>
    <row r="5581" spans="1:13" x14ac:dyDescent="0.45">
      <c r="A5581" s="142" t="s">
        <v>13039</v>
      </c>
      <c r="B5581" s="142" t="s">
        <v>14647</v>
      </c>
      <c r="C5581" s="142" t="s">
        <v>15847</v>
      </c>
      <c r="D5581" s="142" t="s">
        <v>15848</v>
      </c>
      <c r="E5581" s="142" t="s">
        <v>15849</v>
      </c>
      <c r="F5581" s="142" t="s">
        <v>7913</v>
      </c>
      <c r="G5581" s="142" t="s">
        <v>7912</v>
      </c>
      <c r="H5581" s="142" t="s">
        <v>21431</v>
      </c>
      <c r="I5581" s="142">
        <v>12</v>
      </c>
      <c r="J5581" s="142">
        <v>12</v>
      </c>
      <c r="K5581" s="142">
        <v>0</v>
      </c>
      <c r="L5581" s="142">
        <v>0</v>
      </c>
      <c r="M5581" s="142">
        <v>0</v>
      </c>
    </row>
    <row r="5582" spans="1:13" x14ac:dyDescent="0.45">
      <c r="A5582" s="142" t="s">
        <v>13009</v>
      </c>
      <c r="B5582" s="142" t="s">
        <v>15256</v>
      </c>
      <c r="C5582" s="142" t="s">
        <v>15847</v>
      </c>
      <c r="D5582" s="142" t="s">
        <v>15848</v>
      </c>
      <c r="E5582" s="142" t="s">
        <v>15849</v>
      </c>
      <c r="F5582" s="142" t="s">
        <v>7913</v>
      </c>
      <c r="G5582" s="142" t="s">
        <v>7912</v>
      </c>
      <c r="H5582" s="142" t="s">
        <v>21432</v>
      </c>
      <c r="I5582" s="142">
        <v>767</v>
      </c>
      <c r="J5582" s="142">
        <v>594</v>
      </c>
      <c r="K5582" s="142">
        <v>0</v>
      </c>
      <c r="L5582" s="142">
        <v>117</v>
      </c>
      <c r="M5582" s="142">
        <v>56</v>
      </c>
    </row>
    <row r="5583" spans="1:13" x14ac:dyDescent="0.45">
      <c r="A5583" s="142" t="s">
        <v>13041</v>
      </c>
      <c r="B5583" s="142" t="s">
        <v>14441</v>
      </c>
      <c r="C5583" s="142" t="s">
        <v>15847</v>
      </c>
      <c r="D5583" s="142" t="s">
        <v>15848</v>
      </c>
      <c r="E5583" s="142" t="s">
        <v>15849</v>
      </c>
      <c r="F5583" s="142" t="s">
        <v>7913</v>
      </c>
      <c r="G5583" s="142" t="s">
        <v>7912</v>
      </c>
      <c r="H5583" s="142" t="s">
        <v>21433</v>
      </c>
      <c r="I5583" s="142">
        <v>36</v>
      </c>
      <c r="J5583" s="142">
        <v>0</v>
      </c>
      <c r="K5583" s="142">
        <v>0</v>
      </c>
      <c r="L5583" s="142">
        <v>0</v>
      </c>
      <c r="M5583" s="142">
        <v>36</v>
      </c>
    </row>
    <row r="5584" spans="1:13" x14ac:dyDescent="0.45">
      <c r="A5584" s="142" t="s">
        <v>13014</v>
      </c>
      <c r="B5584" s="142" t="s">
        <v>14505</v>
      </c>
      <c r="C5584" s="142" t="s">
        <v>15847</v>
      </c>
      <c r="D5584" s="142" t="s">
        <v>15848</v>
      </c>
      <c r="E5584" s="142" t="s">
        <v>15849</v>
      </c>
      <c r="F5584" s="142" t="s">
        <v>7913</v>
      </c>
      <c r="G5584" s="142" t="s">
        <v>7912</v>
      </c>
      <c r="H5584" s="142" t="s">
        <v>21434</v>
      </c>
      <c r="I5584" s="142">
        <v>5</v>
      </c>
      <c r="J5584" s="142">
        <v>2</v>
      </c>
      <c r="K5584" s="142">
        <v>0</v>
      </c>
      <c r="L5584" s="142">
        <v>0</v>
      </c>
      <c r="M5584" s="142">
        <v>3</v>
      </c>
    </row>
    <row r="5585" spans="1:13" x14ac:dyDescent="0.45">
      <c r="A5585" s="142" t="s">
        <v>13042</v>
      </c>
      <c r="B5585" s="142" t="s">
        <v>15489</v>
      </c>
      <c r="C5585" s="142" t="s">
        <v>15847</v>
      </c>
      <c r="D5585" s="142" t="s">
        <v>15848</v>
      </c>
      <c r="E5585" s="142" t="s">
        <v>15849</v>
      </c>
      <c r="F5585" s="142" t="s">
        <v>7913</v>
      </c>
      <c r="G5585" s="142" t="s">
        <v>7912</v>
      </c>
      <c r="H5585" s="142" t="s">
        <v>21435</v>
      </c>
      <c r="I5585" s="142">
        <v>5</v>
      </c>
      <c r="J5585" s="142">
        <v>0</v>
      </c>
      <c r="K5585" s="142">
        <v>0</v>
      </c>
      <c r="L5585" s="142">
        <v>5</v>
      </c>
      <c r="M5585" s="142">
        <v>0</v>
      </c>
    </row>
    <row r="5586" spans="1:13" x14ac:dyDescent="0.45">
      <c r="A5586" s="142" t="s">
        <v>13451</v>
      </c>
      <c r="B5586" s="142" t="s">
        <v>15582</v>
      </c>
      <c r="C5586" s="142" t="s">
        <v>15847</v>
      </c>
      <c r="D5586" s="142" t="s">
        <v>15848</v>
      </c>
      <c r="E5586" s="142" t="s">
        <v>15849</v>
      </c>
      <c r="F5586" s="142" t="s">
        <v>7913</v>
      </c>
      <c r="G5586" s="142" t="s">
        <v>7912</v>
      </c>
      <c r="H5586" s="142" t="s">
        <v>21436</v>
      </c>
      <c r="I5586" s="142">
        <v>108</v>
      </c>
      <c r="J5586" s="142">
        <v>42</v>
      </c>
      <c r="K5586" s="142">
        <v>0</v>
      </c>
      <c r="L5586" s="142">
        <v>65</v>
      </c>
      <c r="M5586" s="142">
        <v>1</v>
      </c>
    </row>
    <row r="5587" spans="1:13" x14ac:dyDescent="0.45">
      <c r="A5587" s="142" t="s">
        <v>13110</v>
      </c>
      <c r="B5587" s="142" t="s">
        <v>15502</v>
      </c>
      <c r="C5587" s="142" t="s">
        <v>15847</v>
      </c>
      <c r="D5587" s="142" t="s">
        <v>15848</v>
      </c>
      <c r="E5587" s="142" t="s">
        <v>15849</v>
      </c>
      <c r="F5587" s="142" t="s">
        <v>12198</v>
      </c>
      <c r="G5587" s="142" t="s">
        <v>12197</v>
      </c>
      <c r="H5587" s="142" t="s">
        <v>21437</v>
      </c>
      <c r="I5587" s="142">
        <v>122</v>
      </c>
      <c r="J5587" s="142">
        <v>44</v>
      </c>
      <c r="K5587" s="142">
        <v>0</v>
      </c>
      <c r="L5587" s="142">
        <v>0</v>
      </c>
      <c r="M5587" s="142">
        <v>78</v>
      </c>
    </row>
    <row r="5588" spans="1:13" x14ac:dyDescent="0.45">
      <c r="A5588" s="142" t="s">
        <v>13023</v>
      </c>
      <c r="B5588" s="142" t="s">
        <v>15571</v>
      </c>
      <c r="C5588" s="142" t="s">
        <v>15847</v>
      </c>
      <c r="D5588" s="142" t="s">
        <v>15848</v>
      </c>
      <c r="E5588" s="142" t="s">
        <v>15849</v>
      </c>
      <c r="F5588" s="142" t="s">
        <v>12198</v>
      </c>
      <c r="G5588" s="142" t="s">
        <v>12197</v>
      </c>
      <c r="H5588" s="142" t="s">
        <v>21438</v>
      </c>
      <c r="I5588" s="142">
        <v>214</v>
      </c>
      <c r="J5588" s="142">
        <v>0</v>
      </c>
      <c r="K5588" s="142">
        <v>0</v>
      </c>
      <c r="L5588" s="142">
        <v>206</v>
      </c>
      <c r="M5588" s="142">
        <v>8</v>
      </c>
    </row>
    <row r="5589" spans="1:13" x14ac:dyDescent="0.45">
      <c r="A5589" s="142" t="s">
        <v>13112</v>
      </c>
      <c r="B5589" s="142" t="s">
        <v>15552</v>
      </c>
      <c r="C5589" s="142" t="s">
        <v>15860</v>
      </c>
      <c r="D5589" s="142" t="s">
        <v>15861</v>
      </c>
      <c r="E5589" s="142" t="s">
        <v>15849</v>
      </c>
      <c r="F5589" s="142" t="s">
        <v>12198</v>
      </c>
      <c r="G5589" s="142" t="s">
        <v>12197</v>
      </c>
      <c r="H5589" s="142" t="s">
        <v>21439</v>
      </c>
      <c r="I5589" s="142">
        <v>231</v>
      </c>
      <c r="J5589" s="142">
        <v>218</v>
      </c>
      <c r="K5589" s="142">
        <v>0</v>
      </c>
      <c r="L5589" s="142">
        <v>13</v>
      </c>
      <c r="M5589" s="142">
        <v>0</v>
      </c>
    </row>
    <row r="5590" spans="1:13" x14ac:dyDescent="0.45">
      <c r="A5590" s="142" t="s">
        <v>14024</v>
      </c>
      <c r="B5590" s="142" t="s">
        <v>14536</v>
      </c>
      <c r="C5590" s="142" t="s">
        <v>15860</v>
      </c>
      <c r="D5590" s="142" t="s">
        <v>15861</v>
      </c>
      <c r="E5590" s="142" t="s">
        <v>15849</v>
      </c>
      <c r="F5590" s="142" t="s">
        <v>12198</v>
      </c>
      <c r="G5590" s="142" t="s">
        <v>12197</v>
      </c>
      <c r="H5590" s="142" t="s">
        <v>21440</v>
      </c>
      <c r="I5590" s="142">
        <v>2</v>
      </c>
      <c r="J5590" s="142">
        <v>2</v>
      </c>
      <c r="K5590" s="142">
        <v>0</v>
      </c>
      <c r="L5590" s="142">
        <v>0</v>
      </c>
      <c r="M5590" s="142">
        <v>0</v>
      </c>
    </row>
    <row r="5591" spans="1:13" x14ac:dyDescent="0.45">
      <c r="A5591" s="142" t="s">
        <v>13318</v>
      </c>
      <c r="B5591" s="142" t="s">
        <v>15172</v>
      </c>
      <c r="C5591" s="142" t="s">
        <v>15860</v>
      </c>
      <c r="D5591" s="142" t="s">
        <v>15861</v>
      </c>
      <c r="E5591" s="142" t="s">
        <v>15849</v>
      </c>
      <c r="F5591" s="142" t="s">
        <v>12198</v>
      </c>
      <c r="G5591" s="142" t="s">
        <v>12197</v>
      </c>
      <c r="H5591" s="142" t="s">
        <v>21441</v>
      </c>
      <c r="I5591" s="142">
        <v>6</v>
      </c>
      <c r="J5591" s="142">
        <v>6</v>
      </c>
      <c r="K5591" s="142">
        <v>0</v>
      </c>
      <c r="L5591" s="142">
        <v>0</v>
      </c>
      <c r="M5591" s="142">
        <v>0</v>
      </c>
    </row>
    <row r="5592" spans="1:13" x14ac:dyDescent="0.45">
      <c r="A5592" s="142" t="s">
        <v>13000</v>
      </c>
      <c r="B5592" s="142" t="s">
        <v>14610</v>
      </c>
      <c r="C5592" s="142" t="s">
        <v>15847</v>
      </c>
      <c r="D5592" s="142" t="s">
        <v>15848</v>
      </c>
      <c r="E5592" s="142" t="s">
        <v>15849</v>
      </c>
      <c r="F5592" s="142" t="s">
        <v>12198</v>
      </c>
      <c r="G5592" s="142" t="s">
        <v>12197</v>
      </c>
      <c r="H5592" s="142" t="s">
        <v>21442</v>
      </c>
      <c r="I5592" s="142">
        <v>500</v>
      </c>
      <c r="J5592" s="142">
        <v>283</v>
      </c>
      <c r="K5592" s="142">
        <v>0</v>
      </c>
      <c r="L5592" s="142">
        <v>0</v>
      </c>
      <c r="M5592" s="142">
        <v>217</v>
      </c>
    </row>
    <row r="5593" spans="1:13" x14ac:dyDescent="0.45">
      <c r="A5593" s="142" t="s">
        <v>13098</v>
      </c>
      <c r="B5593" s="142" t="s">
        <v>14528</v>
      </c>
      <c r="C5593" s="142" t="s">
        <v>15860</v>
      </c>
      <c r="D5593" s="142" t="s">
        <v>15861</v>
      </c>
      <c r="E5593" s="142" t="s">
        <v>15849</v>
      </c>
      <c r="F5593" s="142" t="s">
        <v>12198</v>
      </c>
      <c r="G5593" s="142" t="s">
        <v>12197</v>
      </c>
      <c r="H5593" s="142" t="s">
        <v>21443</v>
      </c>
      <c r="I5593" s="142">
        <v>2</v>
      </c>
      <c r="J5593" s="142">
        <v>1</v>
      </c>
      <c r="K5593" s="142">
        <v>1</v>
      </c>
      <c r="L5593" s="142">
        <v>0</v>
      </c>
      <c r="M5593" s="142">
        <v>0</v>
      </c>
    </row>
    <row r="5594" spans="1:13" x14ac:dyDescent="0.45">
      <c r="A5594" s="142" t="s">
        <v>13350</v>
      </c>
      <c r="B5594" s="142" t="s">
        <v>15272</v>
      </c>
      <c r="C5594" s="142" t="s">
        <v>15847</v>
      </c>
      <c r="D5594" s="142" t="s">
        <v>15848</v>
      </c>
      <c r="E5594" s="142" t="s">
        <v>15849</v>
      </c>
      <c r="F5594" s="142" t="s">
        <v>12198</v>
      </c>
      <c r="G5594" s="142" t="s">
        <v>12197</v>
      </c>
      <c r="H5594" s="142" t="s">
        <v>21444</v>
      </c>
      <c r="I5594" s="142">
        <v>189</v>
      </c>
      <c r="J5594" s="142">
        <v>66</v>
      </c>
      <c r="K5594" s="142">
        <v>0</v>
      </c>
      <c r="L5594" s="142">
        <v>15</v>
      </c>
      <c r="M5594" s="142">
        <v>108</v>
      </c>
    </row>
    <row r="5595" spans="1:13" x14ac:dyDescent="0.45">
      <c r="A5595" s="142" t="s">
        <v>13027</v>
      </c>
      <c r="B5595" s="142" t="s">
        <v>14562</v>
      </c>
      <c r="C5595" s="142" t="s">
        <v>15847</v>
      </c>
      <c r="D5595" s="142" t="s">
        <v>15848</v>
      </c>
      <c r="E5595" s="142" t="s">
        <v>15849</v>
      </c>
      <c r="F5595" s="142" t="s">
        <v>12198</v>
      </c>
      <c r="G5595" s="142" t="s">
        <v>12197</v>
      </c>
      <c r="H5595" s="142" t="s">
        <v>21445</v>
      </c>
      <c r="I5595" s="142">
        <v>11</v>
      </c>
      <c r="J5595" s="142">
        <v>0</v>
      </c>
      <c r="K5595" s="142">
        <v>0</v>
      </c>
      <c r="L5595" s="142">
        <v>11</v>
      </c>
      <c r="M5595" s="142">
        <v>0</v>
      </c>
    </row>
    <row r="5596" spans="1:13" x14ac:dyDescent="0.45">
      <c r="A5596" s="142" t="s">
        <v>13752</v>
      </c>
      <c r="B5596" s="142" t="s">
        <v>14517</v>
      </c>
      <c r="C5596" s="142" t="s">
        <v>15847</v>
      </c>
      <c r="D5596" s="142" t="s">
        <v>15848</v>
      </c>
      <c r="E5596" s="142" t="s">
        <v>15849</v>
      </c>
      <c r="F5596" s="142" t="s">
        <v>12198</v>
      </c>
      <c r="G5596" s="142" t="s">
        <v>12197</v>
      </c>
      <c r="H5596" s="142" t="s">
        <v>21446</v>
      </c>
      <c r="I5596" s="142">
        <v>82</v>
      </c>
      <c r="J5596" s="142">
        <v>82</v>
      </c>
      <c r="K5596" s="142">
        <v>0</v>
      </c>
      <c r="L5596" s="142">
        <v>0</v>
      </c>
      <c r="M5596" s="142">
        <v>0</v>
      </c>
    </row>
    <row r="5597" spans="1:13" x14ac:dyDescent="0.45">
      <c r="A5597" s="142" t="s">
        <v>13001</v>
      </c>
      <c r="B5597" s="142" t="s">
        <v>15506</v>
      </c>
      <c r="C5597" s="142" t="s">
        <v>15847</v>
      </c>
      <c r="D5597" s="142" t="s">
        <v>15848</v>
      </c>
      <c r="E5597" s="142" t="s">
        <v>15849</v>
      </c>
      <c r="F5597" s="142" t="s">
        <v>12198</v>
      </c>
      <c r="G5597" s="142" t="s">
        <v>12197</v>
      </c>
      <c r="H5597" s="142" t="s">
        <v>21447</v>
      </c>
      <c r="I5597" s="142">
        <v>25</v>
      </c>
      <c r="J5597" s="142">
        <v>24</v>
      </c>
      <c r="K5597" s="142">
        <v>0</v>
      </c>
      <c r="L5597" s="142">
        <v>1</v>
      </c>
      <c r="M5597" s="142">
        <v>0</v>
      </c>
    </row>
    <row r="5598" spans="1:13" x14ac:dyDescent="0.45">
      <c r="A5598" s="142" t="s">
        <v>13028</v>
      </c>
      <c r="B5598" s="142" t="s">
        <v>14462</v>
      </c>
      <c r="C5598" s="142" t="s">
        <v>15847</v>
      </c>
      <c r="D5598" s="142" t="s">
        <v>15848</v>
      </c>
      <c r="E5598" s="142" t="s">
        <v>15849</v>
      </c>
      <c r="F5598" s="142" t="s">
        <v>12198</v>
      </c>
      <c r="G5598" s="142" t="s">
        <v>12197</v>
      </c>
      <c r="H5598" s="142" t="s">
        <v>21448</v>
      </c>
      <c r="I5598" s="142">
        <v>17</v>
      </c>
      <c r="J5598" s="142">
        <v>0</v>
      </c>
      <c r="K5598" s="142">
        <v>0</v>
      </c>
      <c r="L5598" s="142">
        <v>0</v>
      </c>
      <c r="M5598" s="142">
        <v>17</v>
      </c>
    </row>
    <row r="5599" spans="1:13" x14ac:dyDescent="0.45">
      <c r="A5599" s="142" t="s">
        <v>13002</v>
      </c>
      <c r="B5599" s="142" t="s">
        <v>15376</v>
      </c>
      <c r="C5599" s="142" t="s">
        <v>15847</v>
      </c>
      <c r="D5599" s="142" t="s">
        <v>15848</v>
      </c>
      <c r="E5599" s="142" t="s">
        <v>15849</v>
      </c>
      <c r="F5599" s="142" t="s">
        <v>12198</v>
      </c>
      <c r="G5599" s="142" t="s">
        <v>12197</v>
      </c>
      <c r="H5599" s="142" t="s">
        <v>21449</v>
      </c>
      <c r="I5599" s="142">
        <v>12</v>
      </c>
      <c r="J5599" s="142">
        <v>12</v>
      </c>
      <c r="K5599" s="142">
        <v>0</v>
      </c>
      <c r="L5599" s="142">
        <v>0</v>
      </c>
      <c r="M5599" s="142">
        <v>0</v>
      </c>
    </row>
    <row r="5600" spans="1:13" x14ac:dyDescent="0.45">
      <c r="A5600" s="142" t="s">
        <v>14025</v>
      </c>
      <c r="B5600" s="142" t="s">
        <v>15099</v>
      </c>
      <c r="C5600" s="142" t="s">
        <v>15860</v>
      </c>
      <c r="D5600" s="142" t="s">
        <v>15861</v>
      </c>
      <c r="E5600" s="142" t="s">
        <v>15849</v>
      </c>
      <c r="F5600" s="142" t="s">
        <v>12198</v>
      </c>
      <c r="G5600" s="142" t="s">
        <v>12197</v>
      </c>
      <c r="H5600" s="142" t="s">
        <v>21450</v>
      </c>
      <c r="I5600" s="142">
        <v>39</v>
      </c>
      <c r="J5600" s="142">
        <v>24</v>
      </c>
      <c r="K5600" s="142">
        <v>0</v>
      </c>
      <c r="L5600" s="142">
        <v>15</v>
      </c>
      <c r="M5600" s="142">
        <v>0</v>
      </c>
    </row>
    <row r="5601" spans="1:13" x14ac:dyDescent="0.45">
      <c r="A5601" s="142" t="s">
        <v>13635</v>
      </c>
      <c r="B5601" s="142" t="s">
        <v>14723</v>
      </c>
      <c r="C5601" s="142" t="s">
        <v>15860</v>
      </c>
      <c r="D5601" s="142" t="s">
        <v>15861</v>
      </c>
      <c r="E5601" s="142" t="s">
        <v>15849</v>
      </c>
      <c r="F5601" s="142" t="s">
        <v>12198</v>
      </c>
      <c r="G5601" s="142" t="s">
        <v>12197</v>
      </c>
      <c r="H5601" s="142" t="s">
        <v>21451</v>
      </c>
      <c r="I5601" s="142">
        <v>8</v>
      </c>
      <c r="J5601" s="142">
        <v>0</v>
      </c>
      <c r="K5601" s="142">
        <v>0</v>
      </c>
      <c r="L5601" s="142">
        <v>8</v>
      </c>
      <c r="M5601" s="142">
        <v>0</v>
      </c>
    </row>
    <row r="5602" spans="1:13" x14ac:dyDescent="0.45">
      <c r="A5602" s="142" t="s">
        <v>13735</v>
      </c>
      <c r="B5602" s="142" t="s">
        <v>14533</v>
      </c>
      <c r="C5602" s="142" t="s">
        <v>15860</v>
      </c>
      <c r="D5602" s="142" t="s">
        <v>15861</v>
      </c>
      <c r="E5602" s="142" t="s">
        <v>15849</v>
      </c>
      <c r="F5602" s="142" t="s">
        <v>12198</v>
      </c>
      <c r="G5602" s="142" t="s">
        <v>12197</v>
      </c>
      <c r="H5602" s="142" t="s">
        <v>21452</v>
      </c>
      <c r="I5602" s="142">
        <v>11</v>
      </c>
      <c r="J5602" s="142">
        <v>11</v>
      </c>
      <c r="K5602" s="142">
        <v>0</v>
      </c>
      <c r="L5602" s="142">
        <v>0</v>
      </c>
      <c r="M5602" s="142">
        <v>0</v>
      </c>
    </row>
    <row r="5603" spans="1:13" x14ac:dyDescent="0.45">
      <c r="A5603" s="142" t="s">
        <v>13076</v>
      </c>
      <c r="B5603" s="142" t="s">
        <v>14636</v>
      </c>
      <c r="C5603" s="142" t="s">
        <v>15847</v>
      </c>
      <c r="D5603" s="142" t="s">
        <v>15848</v>
      </c>
      <c r="E5603" s="142" t="s">
        <v>15849</v>
      </c>
      <c r="F5603" s="142" t="s">
        <v>12198</v>
      </c>
      <c r="G5603" s="142" t="s">
        <v>12197</v>
      </c>
      <c r="H5603" s="142" t="s">
        <v>21453</v>
      </c>
      <c r="I5603" s="142">
        <v>87</v>
      </c>
      <c r="J5603" s="142">
        <v>0</v>
      </c>
      <c r="K5603" s="142">
        <v>0</v>
      </c>
      <c r="L5603" s="142">
        <v>0</v>
      </c>
      <c r="M5603" s="142">
        <v>87</v>
      </c>
    </row>
    <row r="5604" spans="1:13" x14ac:dyDescent="0.45">
      <c r="A5604" s="142" t="s">
        <v>13331</v>
      </c>
      <c r="B5604" s="142" t="s">
        <v>14682</v>
      </c>
      <c r="C5604" s="142" t="s">
        <v>15860</v>
      </c>
      <c r="D5604" s="142" t="s">
        <v>15861</v>
      </c>
      <c r="E5604" s="142" t="s">
        <v>15849</v>
      </c>
      <c r="F5604" s="142" t="s">
        <v>12198</v>
      </c>
      <c r="G5604" s="142" t="s">
        <v>12197</v>
      </c>
      <c r="H5604" s="142" t="s">
        <v>21454</v>
      </c>
      <c r="I5604" s="142">
        <v>120</v>
      </c>
      <c r="J5604" s="142">
        <v>120</v>
      </c>
      <c r="K5604" s="142">
        <v>0</v>
      </c>
      <c r="L5604" s="142">
        <v>0</v>
      </c>
      <c r="M5604" s="142">
        <v>0</v>
      </c>
    </row>
    <row r="5605" spans="1:13" x14ac:dyDescent="0.45">
      <c r="A5605" s="142" t="s">
        <v>13100</v>
      </c>
      <c r="B5605" s="142" t="s">
        <v>15603</v>
      </c>
      <c r="C5605" s="142" t="s">
        <v>15847</v>
      </c>
      <c r="D5605" s="142" t="s">
        <v>15848</v>
      </c>
      <c r="E5605" s="142" t="s">
        <v>15849</v>
      </c>
      <c r="F5605" s="142" t="s">
        <v>12198</v>
      </c>
      <c r="G5605" s="142" t="s">
        <v>12197</v>
      </c>
      <c r="H5605" s="142" t="s">
        <v>21455</v>
      </c>
      <c r="I5605" s="142">
        <v>638</v>
      </c>
      <c r="J5605" s="142">
        <v>592</v>
      </c>
      <c r="K5605" s="142">
        <v>0</v>
      </c>
      <c r="L5605" s="142">
        <v>46</v>
      </c>
      <c r="M5605" s="142">
        <v>0</v>
      </c>
    </row>
    <row r="5606" spans="1:13" x14ac:dyDescent="0.45">
      <c r="A5606" s="142" t="s">
        <v>13005</v>
      </c>
      <c r="B5606" s="142" t="s">
        <v>15475</v>
      </c>
      <c r="C5606" s="142" t="s">
        <v>15847</v>
      </c>
      <c r="D5606" s="142" t="s">
        <v>15848</v>
      </c>
      <c r="E5606" s="142" t="s">
        <v>15849</v>
      </c>
      <c r="F5606" s="142" t="s">
        <v>12198</v>
      </c>
      <c r="G5606" s="142" t="s">
        <v>12197</v>
      </c>
      <c r="H5606" s="142" t="s">
        <v>21456</v>
      </c>
      <c r="I5606" s="142">
        <v>7823</v>
      </c>
      <c r="J5606" s="142">
        <v>6495</v>
      </c>
      <c r="K5606" s="142">
        <v>8</v>
      </c>
      <c r="L5606" s="142">
        <v>415</v>
      </c>
      <c r="M5606" s="142">
        <v>905</v>
      </c>
    </row>
    <row r="5607" spans="1:13" x14ac:dyDescent="0.45">
      <c r="A5607" s="142" t="s">
        <v>14026</v>
      </c>
      <c r="B5607" s="142" t="s">
        <v>15030</v>
      </c>
      <c r="C5607" s="142" t="s">
        <v>15860</v>
      </c>
      <c r="D5607" s="142" t="s">
        <v>15861</v>
      </c>
      <c r="E5607" s="142" t="s">
        <v>15849</v>
      </c>
      <c r="F5607" s="142" t="s">
        <v>12198</v>
      </c>
      <c r="G5607" s="142" t="s">
        <v>12197</v>
      </c>
      <c r="H5607" s="142" t="s">
        <v>21457</v>
      </c>
      <c r="I5607" s="142">
        <v>64</v>
      </c>
      <c r="J5607" s="142">
        <v>64</v>
      </c>
      <c r="K5607" s="142">
        <v>0</v>
      </c>
      <c r="L5607" s="142">
        <v>0</v>
      </c>
      <c r="M5607" s="142">
        <v>0</v>
      </c>
    </row>
    <row r="5608" spans="1:13" x14ac:dyDescent="0.45">
      <c r="A5608" s="142" t="s">
        <v>13101</v>
      </c>
      <c r="B5608" s="142" t="s">
        <v>15491</v>
      </c>
      <c r="C5608" s="142" t="s">
        <v>15847</v>
      </c>
      <c r="D5608" s="142" t="s">
        <v>15848</v>
      </c>
      <c r="E5608" s="142" t="s">
        <v>15849</v>
      </c>
      <c r="F5608" s="142" t="s">
        <v>12198</v>
      </c>
      <c r="G5608" s="142" t="s">
        <v>12197</v>
      </c>
      <c r="H5608" s="142" t="s">
        <v>21458</v>
      </c>
      <c r="I5608" s="142">
        <v>185</v>
      </c>
      <c r="J5608" s="142">
        <v>27</v>
      </c>
      <c r="K5608" s="142">
        <v>0</v>
      </c>
      <c r="L5608" s="142">
        <v>158</v>
      </c>
      <c r="M5608" s="142">
        <v>0</v>
      </c>
    </row>
    <row r="5609" spans="1:13" x14ac:dyDescent="0.45">
      <c r="A5609" s="142" t="s">
        <v>13006</v>
      </c>
      <c r="B5609" s="142" t="s">
        <v>15288</v>
      </c>
      <c r="C5609" s="142" t="s">
        <v>15847</v>
      </c>
      <c r="D5609" s="142" t="s">
        <v>15848</v>
      </c>
      <c r="E5609" s="142" t="s">
        <v>15849</v>
      </c>
      <c r="F5609" s="142" t="s">
        <v>12198</v>
      </c>
      <c r="G5609" s="142" t="s">
        <v>12197</v>
      </c>
      <c r="H5609" s="142" t="s">
        <v>21459</v>
      </c>
      <c r="I5609" s="142">
        <v>186</v>
      </c>
      <c r="J5609" s="142">
        <v>145</v>
      </c>
      <c r="K5609" s="142">
        <v>0</v>
      </c>
      <c r="L5609" s="142">
        <v>0</v>
      </c>
      <c r="M5609" s="142">
        <v>41</v>
      </c>
    </row>
    <row r="5610" spans="1:13" x14ac:dyDescent="0.45">
      <c r="A5610" s="142" t="s">
        <v>13102</v>
      </c>
      <c r="B5610" s="142" t="s">
        <v>15235</v>
      </c>
      <c r="C5610" s="142" t="s">
        <v>15847</v>
      </c>
      <c r="D5610" s="142" t="s">
        <v>15848</v>
      </c>
      <c r="E5610" s="142" t="s">
        <v>15849</v>
      </c>
      <c r="F5610" s="142" t="s">
        <v>12198</v>
      </c>
      <c r="G5610" s="142" t="s">
        <v>12197</v>
      </c>
      <c r="H5610" s="142" t="s">
        <v>21460</v>
      </c>
      <c r="I5610" s="142">
        <v>1</v>
      </c>
      <c r="J5610" s="142">
        <v>0</v>
      </c>
      <c r="K5610" s="142">
        <v>0</v>
      </c>
      <c r="L5610" s="142">
        <v>0</v>
      </c>
      <c r="M5610" s="142">
        <v>1</v>
      </c>
    </row>
    <row r="5611" spans="1:13" x14ac:dyDescent="0.45">
      <c r="A5611" s="142" t="s">
        <v>13678</v>
      </c>
      <c r="B5611" s="142" t="s">
        <v>15555</v>
      </c>
      <c r="C5611" s="142" t="s">
        <v>15847</v>
      </c>
      <c r="D5611" s="142" t="s">
        <v>15848</v>
      </c>
      <c r="E5611" s="142" t="s">
        <v>15849</v>
      </c>
      <c r="F5611" s="142" t="s">
        <v>12198</v>
      </c>
      <c r="G5611" s="142" t="s">
        <v>12197</v>
      </c>
      <c r="H5611" s="142" t="s">
        <v>21461</v>
      </c>
      <c r="I5611" s="142">
        <v>54</v>
      </c>
      <c r="J5611" s="142">
        <v>54</v>
      </c>
      <c r="K5611" s="142">
        <v>0</v>
      </c>
      <c r="L5611" s="142">
        <v>0</v>
      </c>
      <c r="M5611" s="142">
        <v>0</v>
      </c>
    </row>
    <row r="5612" spans="1:13" x14ac:dyDescent="0.45">
      <c r="A5612" s="142" t="s">
        <v>13103</v>
      </c>
      <c r="B5612" s="142" t="s">
        <v>14623</v>
      </c>
      <c r="C5612" s="142" t="s">
        <v>15847</v>
      </c>
      <c r="D5612" s="142" t="s">
        <v>15848</v>
      </c>
      <c r="E5612" s="142" t="s">
        <v>15849</v>
      </c>
      <c r="F5612" s="142" t="s">
        <v>12198</v>
      </c>
      <c r="G5612" s="142" t="s">
        <v>12197</v>
      </c>
      <c r="H5612" s="142" t="s">
        <v>21462</v>
      </c>
      <c r="I5612" s="142">
        <v>1982</v>
      </c>
      <c r="J5612" s="142">
        <v>1513</v>
      </c>
      <c r="K5612" s="142">
        <v>0</v>
      </c>
      <c r="L5612" s="142">
        <v>310</v>
      </c>
      <c r="M5612" s="142">
        <v>159</v>
      </c>
    </row>
    <row r="5613" spans="1:13" x14ac:dyDescent="0.45">
      <c r="A5613" s="142" t="s">
        <v>13054</v>
      </c>
      <c r="B5613" s="142" t="s">
        <v>15604</v>
      </c>
      <c r="C5613" s="142" t="s">
        <v>15847</v>
      </c>
      <c r="D5613" s="142" t="s">
        <v>15848</v>
      </c>
      <c r="E5613" s="142" t="s">
        <v>15849</v>
      </c>
      <c r="F5613" s="142" t="s">
        <v>12198</v>
      </c>
      <c r="G5613" s="142" t="s">
        <v>12197</v>
      </c>
      <c r="H5613" s="142" t="s">
        <v>21463</v>
      </c>
      <c r="I5613" s="142">
        <v>637</v>
      </c>
      <c r="J5613" s="142">
        <v>0</v>
      </c>
      <c r="K5613" s="142">
        <v>0</v>
      </c>
      <c r="L5613" s="142">
        <v>0</v>
      </c>
      <c r="M5613" s="142">
        <v>637</v>
      </c>
    </row>
    <row r="5614" spans="1:13" x14ac:dyDescent="0.45">
      <c r="A5614" s="142" t="s">
        <v>13636</v>
      </c>
      <c r="B5614" s="142" t="s">
        <v>14440</v>
      </c>
      <c r="C5614" s="142" t="s">
        <v>15860</v>
      </c>
      <c r="D5614" s="142" t="s">
        <v>15861</v>
      </c>
      <c r="E5614" s="142" t="s">
        <v>15849</v>
      </c>
      <c r="F5614" s="142" t="s">
        <v>12198</v>
      </c>
      <c r="G5614" s="142" t="s">
        <v>12197</v>
      </c>
      <c r="H5614" s="142" t="s">
        <v>21464</v>
      </c>
      <c r="I5614" s="142">
        <v>1</v>
      </c>
      <c r="J5614" s="142">
        <v>1</v>
      </c>
      <c r="K5614" s="142">
        <v>0</v>
      </c>
      <c r="L5614" s="142">
        <v>0</v>
      </c>
      <c r="M5614" s="142">
        <v>0</v>
      </c>
    </row>
    <row r="5615" spans="1:13" x14ac:dyDescent="0.45">
      <c r="A5615" s="142" t="s">
        <v>13008</v>
      </c>
      <c r="B5615" s="142" t="s">
        <v>15411</v>
      </c>
      <c r="C5615" s="142" t="s">
        <v>15847</v>
      </c>
      <c r="D5615" s="142" t="s">
        <v>15848</v>
      </c>
      <c r="E5615" s="142" t="s">
        <v>15849</v>
      </c>
      <c r="F5615" s="142" t="s">
        <v>12198</v>
      </c>
      <c r="G5615" s="142" t="s">
        <v>12197</v>
      </c>
      <c r="H5615" s="142" t="s">
        <v>21465</v>
      </c>
      <c r="I5615" s="142">
        <v>2</v>
      </c>
      <c r="J5615" s="142">
        <v>0</v>
      </c>
      <c r="K5615" s="142">
        <v>0</v>
      </c>
      <c r="L5615" s="142">
        <v>0</v>
      </c>
      <c r="M5615" s="142">
        <v>2</v>
      </c>
    </row>
    <row r="5616" spans="1:13" x14ac:dyDescent="0.45">
      <c r="A5616" s="142" t="s">
        <v>13055</v>
      </c>
      <c r="B5616" s="142" t="s">
        <v>14595</v>
      </c>
      <c r="C5616" s="142" t="s">
        <v>15847</v>
      </c>
      <c r="D5616" s="142" t="s">
        <v>15848</v>
      </c>
      <c r="E5616" s="142" t="s">
        <v>15849</v>
      </c>
      <c r="F5616" s="142" t="s">
        <v>12198</v>
      </c>
      <c r="G5616" s="142" t="s">
        <v>12197</v>
      </c>
      <c r="H5616" s="142" t="s">
        <v>21466</v>
      </c>
      <c r="I5616" s="142">
        <v>248</v>
      </c>
      <c r="J5616" s="142">
        <v>187</v>
      </c>
      <c r="K5616" s="142">
        <v>0</v>
      </c>
      <c r="L5616" s="142">
        <v>52</v>
      </c>
      <c r="M5616" s="142">
        <v>9</v>
      </c>
    </row>
    <row r="5617" spans="1:13" x14ac:dyDescent="0.45">
      <c r="A5617" s="142" t="s">
        <v>13104</v>
      </c>
      <c r="B5617" s="142" t="s">
        <v>14622</v>
      </c>
      <c r="C5617" s="142" t="s">
        <v>15847</v>
      </c>
      <c r="D5617" s="142" t="s">
        <v>15848</v>
      </c>
      <c r="E5617" s="142" t="s">
        <v>15849</v>
      </c>
      <c r="F5617" s="142" t="s">
        <v>12198</v>
      </c>
      <c r="G5617" s="142" t="s">
        <v>12197</v>
      </c>
      <c r="H5617" s="142" t="s">
        <v>21467</v>
      </c>
      <c r="I5617" s="142">
        <v>1627</v>
      </c>
      <c r="J5617" s="142">
        <v>1273</v>
      </c>
      <c r="K5617" s="142">
        <v>0</v>
      </c>
      <c r="L5617" s="142">
        <v>105</v>
      </c>
      <c r="M5617" s="142">
        <v>249</v>
      </c>
    </row>
    <row r="5618" spans="1:13" x14ac:dyDescent="0.45">
      <c r="A5618" s="142" t="s">
        <v>13736</v>
      </c>
      <c r="B5618" s="142" t="s">
        <v>15514</v>
      </c>
      <c r="C5618" s="142" t="s">
        <v>15860</v>
      </c>
      <c r="D5618" s="142" t="s">
        <v>15861</v>
      </c>
      <c r="E5618" s="142" t="s">
        <v>15849</v>
      </c>
      <c r="F5618" s="142" t="s">
        <v>12198</v>
      </c>
      <c r="G5618" s="142" t="s">
        <v>12197</v>
      </c>
      <c r="H5618" s="142" t="s">
        <v>21468</v>
      </c>
      <c r="I5618" s="142">
        <v>21</v>
      </c>
      <c r="J5618" s="142">
        <v>0</v>
      </c>
      <c r="K5618" s="142">
        <v>0</v>
      </c>
      <c r="L5618" s="142">
        <v>21</v>
      </c>
      <c r="M5618" s="142">
        <v>0</v>
      </c>
    </row>
    <row r="5619" spans="1:13" x14ac:dyDescent="0.45">
      <c r="A5619" s="142" t="s">
        <v>13737</v>
      </c>
      <c r="B5619" s="142" t="s">
        <v>15064</v>
      </c>
      <c r="C5619" s="142" t="s">
        <v>15860</v>
      </c>
      <c r="D5619" s="142" t="s">
        <v>15861</v>
      </c>
      <c r="E5619" s="142" t="s">
        <v>15849</v>
      </c>
      <c r="F5619" s="142" t="s">
        <v>12198</v>
      </c>
      <c r="G5619" s="142" t="s">
        <v>12197</v>
      </c>
      <c r="H5619" s="142" t="s">
        <v>21469</v>
      </c>
      <c r="I5619" s="142">
        <v>5</v>
      </c>
      <c r="J5619" s="142">
        <v>0</v>
      </c>
      <c r="K5619" s="142">
        <v>5</v>
      </c>
      <c r="L5619" s="142">
        <v>0</v>
      </c>
      <c r="M5619" s="142">
        <v>0</v>
      </c>
    </row>
    <row r="5620" spans="1:13" x14ac:dyDescent="0.45">
      <c r="A5620" s="142" t="s">
        <v>13033</v>
      </c>
      <c r="B5620" s="142" t="s">
        <v>15276</v>
      </c>
      <c r="C5620" s="142" t="s">
        <v>15847</v>
      </c>
      <c r="D5620" s="142" t="s">
        <v>15848</v>
      </c>
      <c r="E5620" s="142" t="s">
        <v>15849</v>
      </c>
      <c r="F5620" s="142" t="s">
        <v>12198</v>
      </c>
      <c r="G5620" s="142" t="s">
        <v>12197</v>
      </c>
      <c r="H5620" s="142" t="s">
        <v>21470</v>
      </c>
      <c r="I5620" s="142">
        <v>26</v>
      </c>
      <c r="J5620" s="142">
        <v>0</v>
      </c>
      <c r="K5620" s="142">
        <v>0</v>
      </c>
      <c r="L5620" s="142">
        <v>0</v>
      </c>
      <c r="M5620" s="142">
        <v>26</v>
      </c>
    </row>
    <row r="5621" spans="1:13" x14ac:dyDescent="0.45">
      <c r="A5621" s="142" t="s">
        <v>13034</v>
      </c>
      <c r="B5621" s="142" t="s">
        <v>15562</v>
      </c>
      <c r="C5621" s="142" t="s">
        <v>15847</v>
      </c>
      <c r="D5621" s="142" t="s">
        <v>15848</v>
      </c>
      <c r="E5621" s="142" t="s">
        <v>15849</v>
      </c>
      <c r="F5621" s="142" t="s">
        <v>12198</v>
      </c>
      <c r="G5621" s="142" t="s">
        <v>12197</v>
      </c>
      <c r="H5621" s="142" t="s">
        <v>21471</v>
      </c>
      <c r="I5621" s="142">
        <v>37</v>
      </c>
      <c r="J5621" s="142">
        <v>37</v>
      </c>
      <c r="K5621" s="142">
        <v>0</v>
      </c>
      <c r="L5621" s="142">
        <v>0</v>
      </c>
      <c r="M5621" s="142">
        <v>0</v>
      </c>
    </row>
    <row r="5622" spans="1:13" x14ac:dyDescent="0.45">
      <c r="A5622" s="142" t="s">
        <v>14027</v>
      </c>
      <c r="B5622" s="142" t="s">
        <v>14664</v>
      </c>
      <c r="C5622" s="142" t="s">
        <v>15860</v>
      </c>
      <c r="D5622" s="142" t="s">
        <v>15861</v>
      </c>
      <c r="E5622" s="142" t="s">
        <v>15849</v>
      </c>
      <c r="F5622" s="142" t="s">
        <v>12198</v>
      </c>
      <c r="G5622" s="142" t="s">
        <v>12197</v>
      </c>
      <c r="H5622" s="142" t="s">
        <v>21472</v>
      </c>
      <c r="I5622" s="142">
        <v>235</v>
      </c>
      <c r="J5622" s="142">
        <v>235</v>
      </c>
      <c r="K5622" s="142">
        <v>0</v>
      </c>
      <c r="L5622" s="142">
        <v>0</v>
      </c>
      <c r="M5622" s="142">
        <v>0</v>
      </c>
    </row>
    <row r="5623" spans="1:13" x14ac:dyDescent="0.45">
      <c r="A5623" s="142" t="s">
        <v>13038</v>
      </c>
      <c r="B5623" s="142" t="s">
        <v>14646</v>
      </c>
      <c r="C5623" s="142" t="s">
        <v>15847</v>
      </c>
      <c r="D5623" s="142" t="s">
        <v>15848</v>
      </c>
      <c r="E5623" s="142" t="s">
        <v>15849</v>
      </c>
      <c r="F5623" s="142" t="s">
        <v>12198</v>
      </c>
      <c r="G5623" s="142" t="s">
        <v>12197</v>
      </c>
      <c r="H5623" s="142" t="s">
        <v>21473</v>
      </c>
      <c r="I5623" s="142">
        <v>24</v>
      </c>
      <c r="J5623" s="142">
        <v>8</v>
      </c>
      <c r="K5623" s="142">
        <v>0</v>
      </c>
      <c r="L5623" s="142">
        <v>0</v>
      </c>
      <c r="M5623" s="142">
        <v>16</v>
      </c>
    </row>
    <row r="5624" spans="1:13" x14ac:dyDescent="0.45">
      <c r="A5624" s="142" t="s">
        <v>13039</v>
      </c>
      <c r="B5624" s="142" t="s">
        <v>14647</v>
      </c>
      <c r="C5624" s="142" t="s">
        <v>15847</v>
      </c>
      <c r="D5624" s="142" t="s">
        <v>15848</v>
      </c>
      <c r="E5624" s="142" t="s">
        <v>15849</v>
      </c>
      <c r="F5624" s="142" t="s">
        <v>12198</v>
      </c>
      <c r="G5624" s="142" t="s">
        <v>12197</v>
      </c>
      <c r="H5624" s="142" t="s">
        <v>21474</v>
      </c>
      <c r="I5624" s="142">
        <v>11</v>
      </c>
      <c r="J5624" s="142">
        <v>11</v>
      </c>
      <c r="K5624" s="142">
        <v>0</v>
      </c>
      <c r="L5624" s="142">
        <v>0</v>
      </c>
      <c r="M5624" s="142">
        <v>0</v>
      </c>
    </row>
    <row r="5625" spans="1:13" x14ac:dyDescent="0.45">
      <c r="A5625" s="142" t="s">
        <v>13091</v>
      </c>
      <c r="B5625" s="142" t="s">
        <v>14473</v>
      </c>
      <c r="C5625" s="142" t="s">
        <v>15847</v>
      </c>
      <c r="D5625" s="142" t="s">
        <v>15848</v>
      </c>
      <c r="E5625" s="142" t="s">
        <v>15849</v>
      </c>
      <c r="F5625" s="142" t="s">
        <v>12198</v>
      </c>
      <c r="G5625" s="142" t="s">
        <v>12197</v>
      </c>
      <c r="H5625" s="142" t="s">
        <v>21475</v>
      </c>
      <c r="I5625" s="142">
        <v>40</v>
      </c>
      <c r="J5625" s="142">
        <v>33</v>
      </c>
      <c r="K5625" s="142">
        <v>0</v>
      </c>
      <c r="L5625" s="142">
        <v>0</v>
      </c>
      <c r="M5625" s="142">
        <v>7</v>
      </c>
    </row>
    <row r="5626" spans="1:13" x14ac:dyDescent="0.45">
      <c r="A5626" s="142" t="s">
        <v>13009</v>
      </c>
      <c r="B5626" s="142" t="s">
        <v>15256</v>
      </c>
      <c r="C5626" s="142" t="s">
        <v>15847</v>
      </c>
      <c r="D5626" s="142" t="s">
        <v>15848</v>
      </c>
      <c r="E5626" s="142" t="s">
        <v>15849</v>
      </c>
      <c r="F5626" s="142" t="s">
        <v>12198</v>
      </c>
      <c r="G5626" s="142" t="s">
        <v>12197</v>
      </c>
      <c r="H5626" s="142" t="s">
        <v>21476</v>
      </c>
      <c r="I5626" s="142">
        <v>131</v>
      </c>
      <c r="J5626" s="142">
        <v>44</v>
      </c>
      <c r="K5626" s="142">
        <v>0</v>
      </c>
      <c r="L5626" s="142">
        <v>86</v>
      </c>
      <c r="M5626" s="142">
        <v>1</v>
      </c>
    </row>
    <row r="5627" spans="1:13" x14ac:dyDescent="0.45">
      <c r="A5627" s="142" t="s">
        <v>13011</v>
      </c>
      <c r="B5627" s="142" t="s">
        <v>14695</v>
      </c>
      <c r="C5627" s="142" t="s">
        <v>15847</v>
      </c>
      <c r="D5627" s="142" t="s">
        <v>15848</v>
      </c>
      <c r="E5627" s="142" t="s">
        <v>15849</v>
      </c>
      <c r="F5627" s="142" t="s">
        <v>12198</v>
      </c>
      <c r="G5627" s="142" t="s">
        <v>12197</v>
      </c>
      <c r="H5627" s="142" t="s">
        <v>21477</v>
      </c>
      <c r="I5627" s="142">
        <v>566</v>
      </c>
      <c r="J5627" s="142">
        <v>411</v>
      </c>
      <c r="K5627" s="142">
        <v>0</v>
      </c>
      <c r="L5627" s="142">
        <v>101</v>
      </c>
      <c r="M5627" s="142">
        <v>54</v>
      </c>
    </row>
    <row r="5628" spans="1:13" x14ac:dyDescent="0.45">
      <c r="A5628" s="142" t="s">
        <v>13058</v>
      </c>
      <c r="B5628" s="142" t="s">
        <v>14584</v>
      </c>
      <c r="C5628" s="142" t="s">
        <v>15847</v>
      </c>
      <c r="D5628" s="142" t="s">
        <v>15848</v>
      </c>
      <c r="E5628" s="142" t="s">
        <v>15849</v>
      </c>
      <c r="F5628" s="142" t="s">
        <v>12198</v>
      </c>
      <c r="G5628" s="142" t="s">
        <v>12197</v>
      </c>
      <c r="H5628" s="142" t="s">
        <v>21478</v>
      </c>
      <c r="I5628" s="142">
        <v>316</v>
      </c>
      <c r="J5628" s="142">
        <v>296</v>
      </c>
      <c r="K5628" s="142">
        <v>0</v>
      </c>
      <c r="L5628" s="142">
        <v>0</v>
      </c>
      <c r="M5628" s="142">
        <v>20</v>
      </c>
    </row>
    <row r="5629" spans="1:13" x14ac:dyDescent="0.45">
      <c r="A5629" s="142" t="s">
        <v>14028</v>
      </c>
      <c r="B5629" s="142" t="s">
        <v>15006</v>
      </c>
      <c r="C5629" s="142" t="s">
        <v>15860</v>
      </c>
      <c r="D5629" s="142" t="s">
        <v>15861</v>
      </c>
      <c r="E5629" s="142" t="s">
        <v>15849</v>
      </c>
      <c r="F5629" s="142" t="s">
        <v>12198</v>
      </c>
      <c r="G5629" s="142" t="s">
        <v>12197</v>
      </c>
      <c r="H5629" s="142" t="s">
        <v>21479</v>
      </c>
      <c r="I5629" s="142">
        <v>4</v>
      </c>
      <c r="J5629" s="142">
        <v>4</v>
      </c>
      <c r="K5629" s="142">
        <v>0</v>
      </c>
      <c r="L5629" s="142">
        <v>0</v>
      </c>
      <c r="M5629" s="142">
        <v>0</v>
      </c>
    </row>
    <row r="5630" spans="1:13" x14ac:dyDescent="0.45">
      <c r="A5630" s="142" t="s">
        <v>13106</v>
      </c>
      <c r="B5630" s="142" t="s">
        <v>15414</v>
      </c>
      <c r="C5630" s="142" t="s">
        <v>15847</v>
      </c>
      <c r="D5630" s="142" t="s">
        <v>15848</v>
      </c>
      <c r="E5630" s="142" t="s">
        <v>15849</v>
      </c>
      <c r="F5630" s="142" t="s">
        <v>12198</v>
      </c>
      <c r="G5630" s="142" t="s">
        <v>12197</v>
      </c>
      <c r="H5630" s="142" t="s">
        <v>21480</v>
      </c>
      <c r="I5630" s="142">
        <v>4</v>
      </c>
      <c r="J5630" s="142">
        <v>4</v>
      </c>
      <c r="K5630" s="142">
        <v>0</v>
      </c>
      <c r="L5630" s="142">
        <v>0</v>
      </c>
      <c r="M5630" s="142">
        <v>0</v>
      </c>
    </row>
    <row r="5631" spans="1:13" x14ac:dyDescent="0.45">
      <c r="A5631" s="142" t="s">
        <v>13138</v>
      </c>
      <c r="B5631" s="142" t="s">
        <v>14590</v>
      </c>
      <c r="C5631" s="142" t="s">
        <v>15860</v>
      </c>
      <c r="D5631" s="142" t="s">
        <v>15861</v>
      </c>
      <c r="E5631" s="142" t="s">
        <v>15849</v>
      </c>
      <c r="F5631" s="142" t="s">
        <v>12198</v>
      </c>
      <c r="G5631" s="142" t="s">
        <v>12197</v>
      </c>
      <c r="H5631" s="142" t="s">
        <v>21481</v>
      </c>
      <c r="I5631" s="142">
        <v>1</v>
      </c>
      <c r="J5631" s="142">
        <v>1</v>
      </c>
      <c r="K5631" s="142">
        <v>0</v>
      </c>
      <c r="L5631" s="142">
        <v>0</v>
      </c>
      <c r="M5631" s="142">
        <v>0</v>
      </c>
    </row>
    <row r="5632" spans="1:13" x14ac:dyDescent="0.45">
      <c r="A5632" s="142" t="s">
        <v>13344</v>
      </c>
      <c r="B5632" s="142" t="s">
        <v>15448</v>
      </c>
      <c r="C5632" s="142" t="s">
        <v>15860</v>
      </c>
      <c r="D5632" s="142" t="s">
        <v>15861</v>
      </c>
      <c r="E5632" s="142" t="s">
        <v>15849</v>
      </c>
      <c r="F5632" s="142" t="s">
        <v>12198</v>
      </c>
      <c r="G5632" s="142" t="s">
        <v>12197</v>
      </c>
      <c r="H5632" s="142" t="s">
        <v>21482</v>
      </c>
      <c r="I5632" s="142">
        <v>39</v>
      </c>
      <c r="J5632" s="142">
        <v>39</v>
      </c>
      <c r="K5632" s="142">
        <v>0</v>
      </c>
      <c r="L5632" s="142">
        <v>0</v>
      </c>
      <c r="M5632" s="142">
        <v>0</v>
      </c>
    </row>
    <row r="5633" spans="1:13" x14ac:dyDescent="0.45">
      <c r="A5633" s="142" t="s">
        <v>13014</v>
      </c>
      <c r="B5633" s="142" t="s">
        <v>14505</v>
      </c>
      <c r="C5633" s="142" t="s">
        <v>15847</v>
      </c>
      <c r="D5633" s="142" t="s">
        <v>15848</v>
      </c>
      <c r="E5633" s="142" t="s">
        <v>15849</v>
      </c>
      <c r="F5633" s="142" t="s">
        <v>12198</v>
      </c>
      <c r="G5633" s="142" t="s">
        <v>12197</v>
      </c>
      <c r="H5633" s="142" t="s">
        <v>21483</v>
      </c>
      <c r="I5633" s="142">
        <v>6</v>
      </c>
      <c r="J5633" s="142">
        <v>6</v>
      </c>
      <c r="K5633" s="142">
        <v>0</v>
      </c>
      <c r="L5633" s="142">
        <v>0</v>
      </c>
      <c r="M5633" s="142">
        <v>0</v>
      </c>
    </row>
    <row r="5634" spans="1:13" x14ac:dyDescent="0.45">
      <c r="A5634" s="142" t="s">
        <v>13042</v>
      </c>
      <c r="B5634" s="142" t="s">
        <v>15489</v>
      </c>
      <c r="C5634" s="142" t="s">
        <v>15847</v>
      </c>
      <c r="D5634" s="142" t="s">
        <v>15848</v>
      </c>
      <c r="E5634" s="142" t="s">
        <v>15849</v>
      </c>
      <c r="F5634" s="142" t="s">
        <v>12198</v>
      </c>
      <c r="G5634" s="142" t="s">
        <v>12197</v>
      </c>
      <c r="H5634" s="142" t="s">
        <v>21484</v>
      </c>
      <c r="I5634" s="142">
        <v>2317</v>
      </c>
      <c r="J5634" s="142">
        <v>1408</v>
      </c>
      <c r="K5634" s="142">
        <v>0</v>
      </c>
      <c r="L5634" s="142">
        <v>183</v>
      </c>
      <c r="M5634" s="142">
        <v>726</v>
      </c>
    </row>
    <row r="5635" spans="1:13" x14ac:dyDescent="0.45">
      <c r="A5635" s="142" t="s">
        <v>14029</v>
      </c>
      <c r="B5635" s="142" t="s">
        <v>14852</v>
      </c>
      <c r="C5635" s="142" t="s">
        <v>15860</v>
      </c>
      <c r="D5635" s="142" t="s">
        <v>15861</v>
      </c>
      <c r="E5635" s="142" t="s">
        <v>15849</v>
      </c>
      <c r="F5635" s="142" t="s">
        <v>12198</v>
      </c>
      <c r="G5635" s="142" t="s">
        <v>12197</v>
      </c>
      <c r="H5635" s="142" t="s">
        <v>21485</v>
      </c>
      <c r="I5635" s="142">
        <v>18</v>
      </c>
      <c r="J5635" s="142">
        <v>18</v>
      </c>
      <c r="K5635" s="142">
        <v>0</v>
      </c>
      <c r="L5635" s="142">
        <v>0</v>
      </c>
      <c r="M5635" s="142">
        <v>0</v>
      </c>
    </row>
    <row r="5636" spans="1:13" x14ac:dyDescent="0.45">
      <c r="A5636" s="142" t="s">
        <v>14030</v>
      </c>
      <c r="B5636" s="142" t="s">
        <v>15086</v>
      </c>
      <c r="C5636" s="142" t="s">
        <v>15860</v>
      </c>
      <c r="D5636" s="142" t="s">
        <v>15861</v>
      </c>
      <c r="E5636" s="142" t="s">
        <v>15849</v>
      </c>
      <c r="F5636" s="142" t="s">
        <v>12198</v>
      </c>
      <c r="G5636" s="142" t="s">
        <v>12197</v>
      </c>
      <c r="H5636" s="142" t="s">
        <v>21486</v>
      </c>
      <c r="I5636" s="142">
        <v>24</v>
      </c>
      <c r="J5636" s="142">
        <v>24</v>
      </c>
      <c r="K5636" s="142">
        <v>0</v>
      </c>
      <c r="L5636" s="142">
        <v>0</v>
      </c>
      <c r="M5636" s="142">
        <v>0</v>
      </c>
    </row>
    <row r="5637" spans="1:13" x14ac:dyDescent="0.45">
      <c r="A5637" s="142" t="s">
        <v>14031</v>
      </c>
      <c r="B5637" s="142" t="s">
        <v>14588</v>
      </c>
      <c r="C5637" s="142" t="s">
        <v>15860</v>
      </c>
      <c r="D5637" s="142" t="s">
        <v>15861</v>
      </c>
      <c r="E5637" s="142" t="s">
        <v>15849</v>
      </c>
      <c r="F5637" s="142" t="s">
        <v>12198</v>
      </c>
      <c r="G5637" s="142" t="s">
        <v>12197</v>
      </c>
      <c r="H5637" s="142" t="s">
        <v>21487</v>
      </c>
      <c r="I5637" s="142">
        <v>155</v>
      </c>
      <c r="J5637" s="142">
        <v>0</v>
      </c>
      <c r="K5637" s="142">
        <v>0</v>
      </c>
      <c r="L5637" s="142">
        <v>155</v>
      </c>
      <c r="M5637" s="142">
        <v>0</v>
      </c>
    </row>
    <row r="5638" spans="1:13" x14ac:dyDescent="0.45">
      <c r="A5638" s="142" t="s">
        <v>13021</v>
      </c>
      <c r="B5638" s="142" t="s">
        <v>15501</v>
      </c>
      <c r="C5638" s="142" t="s">
        <v>15847</v>
      </c>
      <c r="D5638" s="142" t="s">
        <v>15848</v>
      </c>
      <c r="E5638" s="142" t="s">
        <v>15849</v>
      </c>
      <c r="F5638" s="142" t="s">
        <v>3588</v>
      </c>
      <c r="G5638" s="142" t="s">
        <v>3587</v>
      </c>
      <c r="H5638" s="142" t="s">
        <v>21488</v>
      </c>
      <c r="I5638" s="142">
        <v>7</v>
      </c>
      <c r="J5638" s="142">
        <v>0</v>
      </c>
      <c r="K5638" s="142">
        <v>0</v>
      </c>
      <c r="L5638" s="142">
        <v>0</v>
      </c>
      <c r="M5638" s="142">
        <v>7</v>
      </c>
    </row>
    <row r="5639" spans="1:13" x14ac:dyDescent="0.45">
      <c r="A5639" s="142" t="s">
        <v>13023</v>
      </c>
      <c r="B5639" s="142" t="s">
        <v>15571</v>
      </c>
      <c r="C5639" s="142" t="s">
        <v>15847</v>
      </c>
      <c r="D5639" s="142" t="s">
        <v>15848</v>
      </c>
      <c r="E5639" s="142" t="s">
        <v>15849</v>
      </c>
      <c r="F5639" s="142" t="s">
        <v>3588</v>
      </c>
      <c r="G5639" s="142" t="s">
        <v>3587</v>
      </c>
      <c r="H5639" s="142" t="s">
        <v>21489</v>
      </c>
      <c r="I5639" s="142">
        <v>28</v>
      </c>
      <c r="J5639" s="142">
        <v>0</v>
      </c>
      <c r="K5639" s="142">
        <v>0</v>
      </c>
      <c r="L5639" s="142">
        <v>28</v>
      </c>
      <c r="M5639" s="142">
        <v>0</v>
      </c>
    </row>
    <row r="5640" spans="1:13" x14ac:dyDescent="0.45">
      <c r="A5640" s="142" t="s">
        <v>13113</v>
      </c>
      <c r="B5640" s="142" t="s">
        <v>14503</v>
      </c>
      <c r="C5640" s="142" t="s">
        <v>15860</v>
      </c>
      <c r="D5640" s="142" t="s">
        <v>15861</v>
      </c>
      <c r="E5640" s="142" t="s">
        <v>15849</v>
      </c>
      <c r="F5640" s="142" t="s">
        <v>3588</v>
      </c>
      <c r="G5640" s="142" t="s">
        <v>3587</v>
      </c>
      <c r="H5640" s="142" t="s">
        <v>21490</v>
      </c>
      <c r="I5640" s="142">
        <v>1</v>
      </c>
      <c r="J5640" s="142">
        <v>0</v>
      </c>
      <c r="K5640" s="142">
        <v>0</v>
      </c>
      <c r="L5640" s="142">
        <v>1</v>
      </c>
      <c r="M5640" s="142">
        <v>0</v>
      </c>
    </row>
    <row r="5641" spans="1:13" x14ac:dyDescent="0.45">
      <c r="A5641" s="142" t="s">
        <v>13047</v>
      </c>
      <c r="B5641" s="142" t="s">
        <v>14616</v>
      </c>
      <c r="C5641" s="142" t="s">
        <v>15847</v>
      </c>
      <c r="D5641" s="142" t="s">
        <v>15848</v>
      </c>
      <c r="E5641" s="142" t="s">
        <v>15849</v>
      </c>
      <c r="F5641" s="142" t="s">
        <v>3588</v>
      </c>
      <c r="G5641" s="142" t="s">
        <v>3587</v>
      </c>
      <c r="H5641" s="142" t="s">
        <v>21491</v>
      </c>
      <c r="I5641" s="142">
        <v>17</v>
      </c>
      <c r="J5641" s="142">
        <v>13</v>
      </c>
      <c r="K5641" s="142">
        <v>0</v>
      </c>
      <c r="L5641" s="142">
        <v>0</v>
      </c>
      <c r="M5641" s="142">
        <v>4</v>
      </c>
    </row>
    <row r="5642" spans="1:13" x14ac:dyDescent="0.45">
      <c r="A5642" s="142" t="s">
        <v>13048</v>
      </c>
      <c r="B5642" s="142" t="s">
        <v>14479</v>
      </c>
      <c r="C5642" s="142" t="s">
        <v>15847</v>
      </c>
      <c r="D5642" s="142" t="s">
        <v>15848</v>
      </c>
      <c r="E5642" s="142" t="s">
        <v>15849</v>
      </c>
      <c r="F5642" s="142" t="s">
        <v>3588</v>
      </c>
      <c r="G5642" s="142" t="s">
        <v>3587</v>
      </c>
      <c r="H5642" s="142" t="s">
        <v>21492</v>
      </c>
      <c r="I5642" s="142">
        <v>138</v>
      </c>
      <c r="J5642" s="142">
        <v>105</v>
      </c>
      <c r="K5642" s="142">
        <v>0</v>
      </c>
      <c r="L5642" s="142">
        <v>0</v>
      </c>
      <c r="M5642" s="142">
        <v>33</v>
      </c>
    </row>
    <row r="5643" spans="1:13" x14ac:dyDescent="0.45">
      <c r="A5643" s="142" t="s">
        <v>13082</v>
      </c>
      <c r="B5643" s="142" t="s">
        <v>14478</v>
      </c>
      <c r="C5643" s="142" t="s">
        <v>15860</v>
      </c>
      <c r="D5643" s="142" t="s">
        <v>15861</v>
      </c>
      <c r="E5643" s="142" t="s">
        <v>15849</v>
      </c>
      <c r="F5643" s="142" t="s">
        <v>3588</v>
      </c>
      <c r="G5643" s="142" t="s">
        <v>3587</v>
      </c>
      <c r="H5643" s="142" t="s">
        <v>21493</v>
      </c>
      <c r="I5643" s="142">
        <v>4</v>
      </c>
      <c r="J5643" s="142">
        <v>0</v>
      </c>
      <c r="K5643" s="142">
        <v>0</v>
      </c>
      <c r="L5643" s="142">
        <v>4</v>
      </c>
      <c r="M5643" s="142">
        <v>0</v>
      </c>
    </row>
    <row r="5644" spans="1:13" x14ac:dyDescent="0.45">
      <c r="A5644" s="142" t="s">
        <v>13049</v>
      </c>
      <c r="B5644" s="142" t="s">
        <v>14534</v>
      </c>
      <c r="C5644" s="142" t="s">
        <v>15860</v>
      </c>
      <c r="D5644" s="142" t="s">
        <v>15861</v>
      </c>
      <c r="E5644" s="142" t="s">
        <v>15849</v>
      </c>
      <c r="F5644" s="142" t="s">
        <v>3588</v>
      </c>
      <c r="G5644" s="142" t="s">
        <v>3587</v>
      </c>
      <c r="H5644" s="142" t="s">
        <v>21494</v>
      </c>
      <c r="I5644" s="142">
        <v>27</v>
      </c>
      <c r="J5644" s="142">
        <v>0</v>
      </c>
      <c r="K5644" s="142">
        <v>0</v>
      </c>
      <c r="L5644" s="142">
        <v>27</v>
      </c>
      <c r="M5644" s="142">
        <v>0</v>
      </c>
    </row>
    <row r="5645" spans="1:13" x14ac:dyDescent="0.45">
      <c r="A5645" s="142" t="s">
        <v>13500</v>
      </c>
      <c r="B5645" s="142" t="s">
        <v>15422</v>
      </c>
      <c r="C5645" s="142" t="s">
        <v>15847</v>
      </c>
      <c r="D5645" s="142" t="s">
        <v>15848</v>
      </c>
      <c r="E5645" s="142" t="s">
        <v>15849</v>
      </c>
      <c r="F5645" s="142" t="s">
        <v>3588</v>
      </c>
      <c r="G5645" s="142" t="s">
        <v>3587</v>
      </c>
      <c r="H5645" s="142" t="s">
        <v>21495</v>
      </c>
      <c r="I5645" s="142">
        <v>7</v>
      </c>
      <c r="J5645" s="142">
        <v>0</v>
      </c>
      <c r="K5645" s="142">
        <v>0</v>
      </c>
      <c r="L5645" s="142">
        <v>0</v>
      </c>
      <c r="M5645" s="142">
        <v>7</v>
      </c>
    </row>
    <row r="5646" spans="1:13" x14ac:dyDescent="0.45">
      <c r="A5646" s="142" t="s">
        <v>13027</v>
      </c>
      <c r="B5646" s="142" t="s">
        <v>14562</v>
      </c>
      <c r="C5646" s="142" t="s">
        <v>15847</v>
      </c>
      <c r="D5646" s="142" t="s">
        <v>15848</v>
      </c>
      <c r="E5646" s="142" t="s">
        <v>15849</v>
      </c>
      <c r="F5646" s="142" t="s">
        <v>3588</v>
      </c>
      <c r="G5646" s="142" t="s">
        <v>3587</v>
      </c>
      <c r="H5646" s="142" t="s">
        <v>21496</v>
      </c>
      <c r="I5646" s="142">
        <v>1</v>
      </c>
      <c r="J5646" s="142">
        <v>0</v>
      </c>
      <c r="K5646" s="142">
        <v>0</v>
      </c>
      <c r="L5646" s="142">
        <v>1</v>
      </c>
      <c r="M5646" s="142">
        <v>0</v>
      </c>
    </row>
    <row r="5647" spans="1:13" x14ac:dyDescent="0.45">
      <c r="A5647" s="142" t="s">
        <v>13050</v>
      </c>
      <c r="B5647" s="142" t="s">
        <v>15237</v>
      </c>
      <c r="C5647" s="142" t="s">
        <v>15847</v>
      </c>
      <c r="D5647" s="142" t="s">
        <v>15848</v>
      </c>
      <c r="E5647" s="142" t="s">
        <v>15849</v>
      </c>
      <c r="F5647" s="142" t="s">
        <v>3588</v>
      </c>
      <c r="G5647" s="142" t="s">
        <v>3587</v>
      </c>
      <c r="H5647" s="142" t="s">
        <v>21497</v>
      </c>
      <c r="I5647" s="142">
        <v>116</v>
      </c>
      <c r="J5647" s="142">
        <v>113</v>
      </c>
      <c r="K5647" s="142">
        <v>0</v>
      </c>
      <c r="L5647" s="142">
        <v>0</v>
      </c>
      <c r="M5647" s="142">
        <v>3</v>
      </c>
    </row>
    <row r="5648" spans="1:13" x14ac:dyDescent="0.45">
      <c r="A5648" s="142" t="s">
        <v>13028</v>
      </c>
      <c r="B5648" s="142" t="s">
        <v>14462</v>
      </c>
      <c r="C5648" s="142" t="s">
        <v>15847</v>
      </c>
      <c r="D5648" s="142" t="s">
        <v>15848</v>
      </c>
      <c r="E5648" s="142" t="s">
        <v>15849</v>
      </c>
      <c r="F5648" s="142" t="s">
        <v>3588</v>
      </c>
      <c r="G5648" s="142" t="s">
        <v>3587</v>
      </c>
      <c r="H5648" s="142" t="s">
        <v>21498</v>
      </c>
      <c r="I5648" s="142">
        <v>85</v>
      </c>
      <c r="J5648" s="142">
        <v>0</v>
      </c>
      <c r="K5648" s="142">
        <v>0</v>
      </c>
      <c r="L5648" s="142">
        <v>0</v>
      </c>
      <c r="M5648" s="142">
        <v>85</v>
      </c>
    </row>
    <row r="5649" spans="1:13" x14ac:dyDescent="0.45">
      <c r="A5649" s="142" t="s">
        <v>13003</v>
      </c>
      <c r="B5649" s="142" t="s">
        <v>15245</v>
      </c>
      <c r="C5649" s="142" t="s">
        <v>15847</v>
      </c>
      <c r="D5649" s="142" t="s">
        <v>15848</v>
      </c>
      <c r="E5649" s="142" t="s">
        <v>15849</v>
      </c>
      <c r="F5649" s="142" t="s">
        <v>3588</v>
      </c>
      <c r="G5649" s="142" t="s">
        <v>3587</v>
      </c>
      <c r="H5649" s="142" t="s">
        <v>21499</v>
      </c>
      <c r="I5649" s="142">
        <v>29</v>
      </c>
      <c r="J5649" s="142">
        <v>0</v>
      </c>
      <c r="K5649" s="142">
        <v>0</v>
      </c>
      <c r="L5649" s="142">
        <v>29</v>
      </c>
      <c r="M5649" s="142">
        <v>0</v>
      </c>
    </row>
    <row r="5650" spans="1:13" x14ac:dyDescent="0.45">
      <c r="A5650" s="142" t="s">
        <v>13178</v>
      </c>
      <c r="B5650" s="142" t="s">
        <v>14683</v>
      </c>
      <c r="C5650" s="142" t="s">
        <v>15847</v>
      </c>
      <c r="D5650" s="142" t="s">
        <v>15848</v>
      </c>
      <c r="E5650" s="142" t="s">
        <v>15849</v>
      </c>
      <c r="F5650" s="142" t="s">
        <v>3588</v>
      </c>
      <c r="G5650" s="142" t="s">
        <v>3587</v>
      </c>
      <c r="H5650" s="142" t="s">
        <v>21500</v>
      </c>
      <c r="I5650" s="142">
        <v>58</v>
      </c>
      <c r="J5650" s="142">
        <v>58</v>
      </c>
      <c r="K5650" s="142">
        <v>0</v>
      </c>
      <c r="L5650" s="142">
        <v>0</v>
      </c>
      <c r="M5650" s="142">
        <v>0</v>
      </c>
    </row>
    <row r="5651" spans="1:13" x14ac:dyDescent="0.45">
      <c r="A5651" s="142" t="s">
        <v>13076</v>
      </c>
      <c r="B5651" s="142" t="s">
        <v>14636</v>
      </c>
      <c r="C5651" s="142" t="s">
        <v>15847</v>
      </c>
      <c r="D5651" s="142" t="s">
        <v>15848</v>
      </c>
      <c r="E5651" s="142" t="s">
        <v>15849</v>
      </c>
      <c r="F5651" s="142" t="s">
        <v>3588</v>
      </c>
      <c r="G5651" s="142" t="s">
        <v>3587</v>
      </c>
      <c r="H5651" s="142" t="s">
        <v>21501</v>
      </c>
      <c r="I5651" s="142">
        <v>13</v>
      </c>
      <c r="J5651" s="142">
        <v>0</v>
      </c>
      <c r="K5651" s="142">
        <v>0</v>
      </c>
      <c r="L5651" s="142">
        <v>0</v>
      </c>
      <c r="M5651" s="142">
        <v>13</v>
      </c>
    </row>
    <row r="5652" spans="1:13" x14ac:dyDescent="0.45">
      <c r="A5652" s="142" t="s">
        <v>13190</v>
      </c>
      <c r="B5652" s="142" t="s">
        <v>14617</v>
      </c>
      <c r="C5652" s="142" t="s">
        <v>15847</v>
      </c>
      <c r="D5652" s="142" t="s">
        <v>15848</v>
      </c>
      <c r="E5652" s="142" t="s">
        <v>15849</v>
      </c>
      <c r="F5652" s="142" t="s">
        <v>3588</v>
      </c>
      <c r="G5652" s="142" t="s">
        <v>3587</v>
      </c>
      <c r="H5652" s="142" t="s">
        <v>21502</v>
      </c>
      <c r="I5652" s="142">
        <v>1085</v>
      </c>
      <c r="J5652" s="142">
        <v>920</v>
      </c>
      <c r="K5652" s="142">
        <v>0</v>
      </c>
      <c r="L5652" s="142">
        <v>21</v>
      </c>
      <c r="M5652" s="142">
        <v>144</v>
      </c>
    </row>
    <row r="5653" spans="1:13" x14ac:dyDescent="0.45">
      <c r="A5653" s="142" t="s">
        <v>13192</v>
      </c>
      <c r="B5653" s="142" t="s">
        <v>15539</v>
      </c>
      <c r="C5653" s="142" t="s">
        <v>15860</v>
      </c>
      <c r="D5653" s="142" t="s">
        <v>15861</v>
      </c>
      <c r="E5653" s="142" t="s">
        <v>15849</v>
      </c>
      <c r="F5653" s="142" t="s">
        <v>3588</v>
      </c>
      <c r="G5653" s="142" t="s">
        <v>3587</v>
      </c>
      <c r="H5653" s="142" t="s">
        <v>21503</v>
      </c>
      <c r="I5653" s="142">
        <v>46</v>
      </c>
      <c r="J5653" s="142">
        <v>0</v>
      </c>
      <c r="K5653" s="142">
        <v>0</v>
      </c>
      <c r="L5653" s="142">
        <v>46</v>
      </c>
      <c r="M5653" s="142">
        <v>0</v>
      </c>
    </row>
    <row r="5654" spans="1:13" x14ac:dyDescent="0.45">
      <c r="A5654" s="142" t="s">
        <v>13007</v>
      </c>
      <c r="B5654" s="142" t="s">
        <v>15262</v>
      </c>
      <c r="C5654" s="142" t="s">
        <v>15847</v>
      </c>
      <c r="D5654" s="142" t="s">
        <v>15848</v>
      </c>
      <c r="E5654" s="142" t="s">
        <v>15849</v>
      </c>
      <c r="F5654" s="142" t="s">
        <v>3588</v>
      </c>
      <c r="G5654" s="142" t="s">
        <v>3587</v>
      </c>
      <c r="H5654" s="142" t="s">
        <v>21504</v>
      </c>
      <c r="I5654" s="142">
        <v>2</v>
      </c>
      <c r="J5654" s="142">
        <v>0</v>
      </c>
      <c r="K5654" s="142">
        <v>0</v>
      </c>
      <c r="L5654" s="142">
        <v>0</v>
      </c>
      <c r="M5654" s="142">
        <v>2</v>
      </c>
    </row>
    <row r="5655" spans="1:13" x14ac:dyDescent="0.45">
      <c r="A5655" s="142" t="s">
        <v>14032</v>
      </c>
      <c r="B5655" s="142" t="s">
        <v>15584</v>
      </c>
      <c r="C5655" s="142" t="s">
        <v>15847</v>
      </c>
      <c r="D5655" s="142" t="s">
        <v>15848</v>
      </c>
      <c r="E5655" s="142" t="s">
        <v>15849</v>
      </c>
      <c r="F5655" s="142" t="s">
        <v>3588</v>
      </c>
      <c r="G5655" s="142" t="s">
        <v>3587</v>
      </c>
      <c r="H5655" s="142" t="s">
        <v>21505</v>
      </c>
      <c r="I5655" s="142">
        <v>3325</v>
      </c>
      <c r="J5655" s="142">
        <v>2698</v>
      </c>
      <c r="K5655" s="142">
        <v>0</v>
      </c>
      <c r="L5655" s="142">
        <v>544</v>
      </c>
      <c r="M5655" s="142">
        <v>83</v>
      </c>
    </row>
    <row r="5656" spans="1:13" x14ac:dyDescent="0.45">
      <c r="A5656" s="142" t="s">
        <v>13036</v>
      </c>
      <c r="B5656" s="142" t="s">
        <v>15567</v>
      </c>
      <c r="C5656" s="142" t="s">
        <v>15847</v>
      </c>
      <c r="D5656" s="142" t="s">
        <v>15848</v>
      </c>
      <c r="E5656" s="142" t="s">
        <v>15849</v>
      </c>
      <c r="F5656" s="142" t="s">
        <v>3588</v>
      </c>
      <c r="G5656" s="142" t="s">
        <v>3587</v>
      </c>
      <c r="H5656" s="142" t="s">
        <v>21506</v>
      </c>
      <c r="I5656" s="142">
        <v>3</v>
      </c>
      <c r="J5656" s="142">
        <v>0</v>
      </c>
      <c r="K5656" s="142">
        <v>0</v>
      </c>
      <c r="L5656" s="142">
        <v>3</v>
      </c>
      <c r="M5656" s="142">
        <v>0</v>
      </c>
    </row>
    <row r="5657" spans="1:13" x14ac:dyDescent="0.45">
      <c r="A5657" s="142" t="s">
        <v>13038</v>
      </c>
      <c r="B5657" s="142" t="s">
        <v>14646</v>
      </c>
      <c r="C5657" s="142" t="s">
        <v>15847</v>
      </c>
      <c r="D5657" s="142" t="s">
        <v>15848</v>
      </c>
      <c r="E5657" s="142" t="s">
        <v>15849</v>
      </c>
      <c r="F5657" s="142" t="s">
        <v>3588</v>
      </c>
      <c r="G5657" s="142" t="s">
        <v>3587</v>
      </c>
      <c r="H5657" s="142" t="s">
        <v>21507</v>
      </c>
      <c r="I5657" s="142">
        <v>10</v>
      </c>
      <c r="J5657" s="142">
        <v>0</v>
      </c>
      <c r="K5657" s="142">
        <v>0</v>
      </c>
      <c r="L5657" s="142">
        <v>0</v>
      </c>
      <c r="M5657" s="142">
        <v>10</v>
      </c>
    </row>
    <row r="5658" spans="1:13" x14ac:dyDescent="0.45">
      <c r="A5658" s="142" t="s">
        <v>13091</v>
      </c>
      <c r="B5658" s="142" t="s">
        <v>14473</v>
      </c>
      <c r="C5658" s="142" t="s">
        <v>15847</v>
      </c>
      <c r="D5658" s="142" t="s">
        <v>15848</v>
      </c>
      <c r="E5658" s="142" t="s">
        <v>15849</v>
      </c>
      <c r="F5658" s="142" t="s">
        <v>3588</v>
      </c>
      <c r="G5658" s="142" t="s">
        <v>3587</v>
      </c>
      <c r="H5658" s="142" t="s">
        <v>21508</v>
      </c>
      <c r="I5658" s="142">
        <v>13</v>
      </c>
      <c r="J5658" s="142">
        <v>7</v>
      </c>
      <c r="K5658" s="142">
        <v>0</v>
      </c>
      <c r="L5658" s="142">
        <v>0</v>
      </c>
      <c r="M5658" s="142">
        <v>6</v>
      </c>
    </row>
    <row r="5659" spans="1:13" x14ac:dyDescent="0.45">
      <c r="A5659" s="142" t="s">
        <v>13009</v>
      </c>
      <c r="B5659" s="142" t="s">
        <v>15256</v>
      </c>
      <c r="C5659" s="142" t="s">
        <v>15847</v>
      </c>
      <c r="D5659" s="142" t="s">
        <v>15848</v>
      </c>
      <c r="E5659" s="142" t="s">
        <v>15849</v>
      </c>
      <c r="F5659" s="142" t="s">
        <v>3588</v>
      </c>
      <c r="G5659" s="142" t="s">
        <v>3587</v>
      </c>
      <c r="H5659" s="142" t="s">
        <v>21509</v>
      </c>
      <c r="I5659" s="142">
        <v>368</v>
      </c>
      <c r="J5659" s="142">
        <v>180</v>
      </c>
      <c r="K5659" s="142">
        <v>0</v>
      </c>
      <c r="L5659" s="142">
        <v>157</v>
      </c>
      <c r="M5659" s="142">
        <v>31</v>
      </c>
    </row>
    <row r="5660" spans="1:13" x14ac:dyDescent="0.45">
      <c r="A5660" s="142" t="s">
        <v>13060</v>
      </c>
      <c r="B5660" s="142" t="s">
        <v>14470</v>
      </c>
      <c r="C5660" s="142" t="s">
        <v>15847</v>
      </c>
      <c r="D5660" s="142" t="s">
        <v>15848</v>
      </c>
      <c r="E5660" s="142" t="s">
        <v>15849</v>
      </c>
      <c r="F5660" s="142" t="s">
        <v>3588</v>
      </c>
      <c r="G5660" s="142" t="s">
        <v>3587</v>
      </c>
      <c r="H5660" s="142" t="s">
        <v>21510</v>
      </c>
      <c r="I5660" s="142">
        <v>117</v>
      </c>
      <c r="J5660" s="142">
        <v>92</v>
      </c>
      <c r="K5660" s="142">
        <v>0</v>
      </c>
      <c r="L5660" s="142">
        <v>0</v>
      </c>
      <c r="M5660" s="142">
        <v>25</v>
      </c>
    </row>
    <row r="5661" spans="1:13" x14ac:dyDescent="0.45">
      <c r="A5661" s="142" t="s">
        <v>14033</v>
      </c>
      <c r="B5661" s="142" t="s">
        <v>15197</v>
      </c>
      <c r="C5661" s="142" t="s">
        <v>15860</v>
      </c>
      <c r="D5661" s="142" t="s">
        <v>15861</v>
      </c>
      <c r="E5661" s="142" t="s">
        <v>15849</v>
      </c>
      <c r="F5661" s="142" t="s">
        <v>3588</v>
      </c>
      <c r="G5661" s="142" t="s">
        <v>3587</v>
      </c>
      <c r="H5661" s="142" t="s">
        <v>21511</v>
      </c>
      <c r="I5661" s="142">
        <v>9</v>
      </c>
      <c r="J5661" s="142">
        <v>0</v>
      </c>
      <c r="K5661" s="142">
        <v>0</v>
      </c>
      <c r="L5661" s="142">
        <v>9</v>
      </c>
      <c r="M5661" s="142">
        <v>0</v>
      </c>
    </row>
    <row r="5662" spans="1:13" x14ac:dyDescent="0.45">
      <c r="A5662" s="142" t="s">
        <v>13222</v>
      </c>
      <c r="B5662" s="142" t="s">
        <v>14449</v>
      </c>
      <c r="C5662" s="142" t="s">
        <v>15860</v>
      </c>
      <c r="D5662" s="142" t="s">
        <v>15861</v>
      </c>
      <c r="E5662" s="142" t="s">
        <v>15849</v>
      </c>
      <c r="F5662" s="142" t="s">
        <v>3588</v>
      </c>
      <c r="G5662" s="142" t="s">
        <v>3587</v>
      </c>
      <c r="H5662" s="142" t="s">
        <v>21512</v>
      </c>
      <c r="I5662" s="142">
        <v>12</v>
      </c>
      <c r="J5662" s="142">
        <v>0</v>
      </c>
      <c r="K5662" s="142">
        <v>0</v>
      </c>
      <c r="L5662" s="142">
        <v>12</v>
      </c>
      <c r="M5662" s="142">
        <v>0</v>
      </c>
    </row>
    <row r="5663" spans="1:13" x14ac:dyDescent="0.45">
      <c r="A5663" s="142" t="s">
        <v>13541</v>
      </c>
      <c r="B5663" s="142" t="s">
        <v>14579</v>
      </c>
      <c r="C5663" s="142" t="s">
        <v>15847</v>
      </c>
      <c r="D5663" s="142" t="s">
        <v>15848</v>
      </c>
      <c r="E5663" s="142" t="s">
        <v>15849</v>
      </c>
      <c r="F5663" s="142" t="s">
        <v>3588</v>
      </c>
      <c r="G5663" s="142" t="s">
        <v>3587</v>
      </c>
      <c r="H5663" s="142" t="s">
        <v>21513</v>
      </c>
      <c r="I5663" s="142">
        <v>47</v>
      </c>
      <c r="J5663" s="142">
        <v>14</v>
      </c>
      <c r="K5663" s="142">
        <v>0</v>
      </c>
      <c r="L5663" s="142">
        <v>9</v>
      </c>
      <c r="M5663" s="142">
        <v>24</v>
      </c>
    </row>
    <row r="5664" spans="1:13" x14ac:dyDescent="0.45">
      <c r="A5664" s="142" t="s">
        <v>13064</v>
      </c>
      <c r="B5664" s="142" t="s">
        <v>15428</v>
      </c>
      <c r="C5664" s="142" t="s">
        <v>15847</v>
      </c>
      <c r="D5664" s="142" t="s">
        <v>15848</v>
      </c>
      <c r="E5664" s="142" t="s">
        <v>15849</v>
      </c>
      <c r="F5664" s="142" t="s">
        <v>3378</v>
      </c>
      <c r="G5664" s="142" t="s">
        <v>3377</v>
      </c>
      <c r="H5664" s="142" t="s">
        <v>21514</v>
      </c>
      <c r="I5664" s="142">
        <v>103</v>
      </c>
      <c r="J5664" s="142">
        <v>87</v>
      </c>
      <c r="K5664" s="142">
        <v>1</v>
      </c>
      <c r="L5664" s="142">
        <v>3</v>
      </c>
      <c r="M5664" s="142">
        <v>12</v>
      </c>
    </row>
    <row r="5665" spans="1:13" x14ac:dyDescent="0.45">
      <c r="A5665" s="142" t="s">
        <v>13019</v>
      </c>
      <c r="B5665" s="142" t="s">
        <v>14457</v>
      </c>
      <c r="C5665" s="142" t="s">
        <v>15860</v>
      </c>
      <c r="D5665" s="142" t="s">
        <v>15861</v>
      </c>
      <c r="E5665" s="142" t="s">
        <v>15849</v>
      </c>
      <c r="F5665" s="142" t="s">
        <v>3378</v>
      </c>
      <c r="G5665" s="142" t="s">
        <v>3377</v>
      </c>
      <c r="H5665" s="142" t="s">
        <v>21515</v>
      </c>
      <c r="I5665" s="142">
        <v>5</v>
      </c>
      <c r="J5665" s="142">
        <v>5</v>
      </c>
      <c r="K5665" s="142">
        <v>0</v>
      </c>
      <c r="L5665" s="142">
        <v>0</v>
      </c>
      <c r="M5665" s="142">
        <v>0</v>
      </c>
    </row>
    <row r="5666" spans="1:13" x14ac:dyDescent="0.45">
      <c r="A5666" s="142" t="s">
        <v>13020</v>
      </c>
      <c r="B5666" s="142" t="s">
        <v>15523</v>
      </c>
      <c r="C5666" s="142" t="s">
        <v>15860</v>
      </c>
      <c r="D5666" s="142" t="s">
        <v>15861</v>
      </c>
      <c r="E5666" s="142" t="s">
        <v>15849</v>
      </c>
      <c r="F5666" s="142" t="s">
        <v>3378</v>
      </c>
      <c r="G5666" s="142" t="s">
        <v>3377</v>
      </c>
      <c r="H5666" s="142" t="s">
        <v>21516</v>
      </c>
      <c r="I5666" s="142">
        <v>2</v>
      </c>
      <c r="J5666" s="142">
        <v>0</v>
      </c>
      <c r="K5666" s="142">
        <v>0</v>
      </c>
      <c r="L5666" s="142">
        <v>2</v>
      </c>
      <c r="M5666" s="142">
        <v>0</v>
      </c>
    </row>
    <row r="5667" spans="1:13" x14ac:dyDescent="0.45">
      <c r="A5667" s="142" t="s">
        <v>13507</v>
      </c>
      <c r="B5667" s="142" t="s">
        <v>14515</v>
      </c>
      <c r="C5667" s="142" t="s">
        <v>15860</v>
      </c>
      <c r="D5667" s="142" t="s">
        <v>15861</v>
      </c>
      <c r="E5667" s="142" t="s">
        <v>15849</v>
      </c>
      <c r="F5667" s="142" t="s">
        <v>3378</v>
      </c>
      <c r="G5667" s="142" t="s">
        <v>3377</v>
      </c>
      <c r="H5667" s="142" t="s">
        <v>21517</v>
      </c>
      <c r="I5667" s="142">
        <v>3</v>
      </c>
      <c r="J5667" s="142">
        <v>3</v>
      </c>
      <c r="K5667" s="142">
        <v>0</v>
      </c>
      <c r="L5667" s="142">
        <v>0</v>
      </c>
      <c r="M5667" s="142">
        <v>0</v>
      </c>
    </row>
    <row r="5668" spans="1:13" x14ac:dyDescent="0.45">
      <c r="A5668" s="142" t="s">
        <v>13508</v>
      </c>
      <c r="B5668" s="142" t="s">
        <v>15513</v>
      </c>
      <c r="C5668" s="142" t="s">
        <v>15847</v>
      </c>
      <c r="D5668" s="142" t="s">
        <v>15848</v>
      </c>
      <c r="E5668" s="142" t="s">
        <v>15849</v>
      </c>
      <c r="F5668" s="142" t="s">
        <v>3378</v>
      </c>
      <c r="G5668" s="142" t="s">
        <v>3377</v>
      </c>
      <c r="H5668" s="142" t="s">
        <v>21518</v>
      </c>
      <c r="I5668" s="142">
        <v>9</v>
      </c>
      <c r="J5668" s="142">
        <v>0</v>
      </c>
      <c r="K5668" s="142">
        <v>0</v>
      </c>
      <c r="L5668" s="142">
        <v>0</v>
      </c>
      <c r="M5668" s="142">
        <v>9</v>
      </c>
    </row>
    <row r="5669" spans="1:13" x14ac:dyDescent="0.45">
      <c r="A5669" s="142" t="s">
        <v>13024</v>
      </c>
      <c r="B5669" s="142" t="s">
        <v>14538</v>
      </c>
      <c r="C5669" s="142" t="s">
        <v>15847</v>
      </c>
      <c r="D5669" s="142" t="s">
        <v>15848</v>
      </c>
      <c r="E5669" s="142" t="s">
        <v>15849</v>
      </c>
      <c r="F5669" s="142" t="s">
        <v>3378</v>
      </c>
      <c r="G5669" s="142" t="s">
        <v>3377</v>
      </c>
      <c r="H5669" s="142" t="s">
        <v>21519</v>
      </c>
      <c r="I5669" s="142">
        <v>190</v>
      </c>
      <c r="J5669" s="142">
        <v>90</v>
      </c>
      <c r="K5669" s="142">
        <v>0</v>
      </c>
      <c r="L5669" s="142">
        <v>33</v>
      </c>
      <c r="M5669" s="142">
        <v>67</v>
      </c>
    </row>
    <row r="5670" spans="1:13" x14ac:dyDescent="0.45">
      <c r="A5670" s="142" t="s">
        <v>13025</v>
      </c>
      <c r="B5670" s="142" t="s">
        <v>15579</v>
      </c>
      <c r="C5670" s="142" t="s">
        <v>15847</v>
      </c>
      <c r="D5670" s="142" t="s">
        <v>15848</v>
      </c>
      <c r="E5670" s="142" t="s">
        <v>15849</v>
      </c>
      <c r="F5670" s="142" t="s">
        <v>3378</v>
      </c>
      <c r="G5670" s="142" t="s">
        <v>3377</v>
      </c>
      <c r="H5670" s="142" t="s">
        <v>21520</v>
      </c>
      <c r="I5670" s="142">
        <v>2</v>
      </c>
      <c r="J5670" s="142">
        <v>0</v>
      </c>
      <c r="K5670" s="142">
        <v>0</v>
      </c>
      <c r="L5670" s="142">
        <v>2</v>
      </c>
      <c r="M5670" s="142">
        <v>0</v>
      </c>
    </row>
    <row r="5671" spans="1:13" x14ac:dyDescent="0.45">
      <c r="A5671" s="142" t="s">
        <v>13026</v>
      </c>
      <c r="B5671" s="142" t="s">
        <v>15447</v>
      </c>
      <c r="C5671" s="142" t="s">
        <v>15847</v>
      </c>
      <c r="D5671" s="142" t="s">
        <v>15848</v>
      </c>
      <c r="E5671" s="142" t="s">
        <v>15849</v>
      </c>
      <c r="F5671" s="142" t="s">
        <v>3378</v>
      </c>
      <c r="G5671" s="142" t="s">
        <v>3377</v>
      </c>
      <c r="H5671" s="142" t="s">
        <v>21521</v>
      </c>
      <c r="I5671" s="142">
        <v>30</v>
      </c>
      <c r="J5671" s="142">
        <v>24</v>
      </c>
      <c r="K5671" s="142">
        <v>0</v>
      </c>
      <c r="L5671" s="142">
        <v>6</v>
      </c>
      <c r="M5671" s="142">
        <v>0</v>
      </c>
    </row>
    <row r="5672" spans="1:13" x14ac:dyDescent="0.45">
      <c r="A5672" s="142" t="s">
        <v>13027</v>
      </c>
      <c r="B5672" s="142" t="s">
        <v>14562</v>
      </c>
      <c r="C5672" s="142" t="s">
        <v>15847</v>
      </c>
      <c r="D5672" s="142" t="s">
        <v>15848</v>
      </c>
      <c r="E5672" s="142" t="s">
        <v>15849</v>
      </c>
      <c r="F5672" s="142" t="s">
        <v>3378</v>
      </c>
      <c r="G5672" s="142" t="s">
        <v>3377</v>
      </c>
      <c r="H5672" s="142" t="s">
        <v>21522</v>
      </c>
      <c r="I5672" s="142">
        <v>16</v>
      </c>
      <c r="J5672" s="142">
        <v>0</v>
      </c>
      <c r="K5672" s="142">
        <v>0</v>
      </c>
      <c r="L5672" s="142">
        <v>16</v>
      </c>
      <c r="M5672" s="142">
        <v>0</v>
      </c>
    </row>
    <row r="5673" spans="1:13" x14ac:dyDescent="0.45">
      <c r="A5673" s="142" t="s">
        <v>13148</v>
      </c>
      <c r="B5673" s="142" t="s">
        <v>15314</v>
      </c>
      <c r="C5673" s="142" t="s">
        <v>15847</v>
      </c>
      <c r="D5673" s="142" t="s">
        <v>15848</v>
      </c>
      <c r="E5673" s="142" t="s">
        <v>15849</v>
      </c>
      <c r="F5673" s="142" t="s">
        <v>3378</v>
      </c>
      <c r="G5673" s="142" t="s">
        <v>3377</v>
      </c>
      <c r="H5673" s="142" t="s">
        <v>21523</v>
      </c>
      <c r="I5673" s="142">
        <v>50</v>
      </c>
      <c r="J5673" s="142">
        <v>22</v>
      </c>
      <c r="K5673" s="142">
        <v>0</v>
      </c>
      <c r="L5673" s="142">
        <v>0</v>
      </c>
      <c r="M5673" s="142">
        <v>28</v>
      </c>
    </row>
    <row r="5674" spans="1:13" x14ac:dyDescent="0.45">
      <c r="A5674" s="142" t="s">
        <v>13028</v>
      </c>
      <c r="B5674" s="142" t="s">
        <v>14462</v>
      </c>
      <c r="C5674" s="142" t="s">
        <v>15847</v>
      </c>
      <c r="D5674" s="142" t="s">
        <v>15848</v>
      </c>
      <c r="E5674" s="142" t="s">
        <v>15849</v>
      </c>
      <c r="F5674" s="142" t="s">
        <v>3378</v>
      </c>
      <c r="G5674" s="142" t="s">
        <v>3377</v>
      </c>
      <c r="H5674" s="142" t="s">
        <v>21524</v>
      </c>
      <c r="I5674" s="142">
        <v>19</v>
      </c>
      <c r="J5674" s="142">
        <v>0</v>
      </c>
      <c r="K5674" s="142">
        <v>0</v>
      </c>
      <c r="L5674" s="142">
        <v>0</v>
      </c>
      <c r="M5674" s="142">
        <v>19</v>
      </c>
    </row>
    <row r="5675" spans="1:13" x14ac:dyDescent="0.45">
      <c r="A5675" s="142" t="s">
        <v>13003</v>
      </c>
      <c r="B5675" s="142" t="s">
        <v>15245</v>
      </c>
      <c r="C5675" s="142" t="s">
        <v>15847</v>
      </c>
      <c r="D5675" s="142" t="s">
        <v>15848</v>
      </c>
      <c r="E5675" s="142" t="s">
        <v>15849</v>
      </c>
      <c r="F5675" s="142" t="s">
        <v>3378</v>
      </c>
      <c r="G5675" s="142" t="s">
        <v>3377</v>
      </c>
      <c r="H5675" s="142" t="s">
        <v>21525</v>
      </c>
      <c r="I5675" s="142">
        <v>41</v>
      </c>
      <c r="J5675" s="142">
        <v>0</v>
      </c>
      <c r="K5675" s="142">
        <v>0</v>
      </c>
      <c r="L5675" s="142">
        <v>41</v>
      </c>
      <c r="M5675" s="142">
        <v>0</v>
      </c>
    </row>
    <row r="5676" spans="1:13" x14ac:dyDescent="0.45">
      <c r="A5676" s="142" t="s">
        <v>13420</v>
      </c>
      <c r="B5676" s="142" t="s">
        <v>14576</v>
      </c>
      <c r="C5676" s="142" t="s">
        <v>15860</v>
      </c>
      <c r="D5676" s="142" t="s">
        <v>15861</v>
      </c>
      <c r="E5676" s="142" t="s">
        <v>15849</v>
      </c>
      <c r="F5676" s="142" t="s">
        <v>3378</v>
      </c>
      <c r="G5676" s="142" t="s">
        <v>3377</v>
      </c>
      <c r="H5676" s="142" t="s">
        <v>21526</v>
      </c>
      <c r="I5676" s="142">
        <v>3</v>
      </c>
      <c r="J5676" s="142">
        <v>0</v>
      </c>
      <c r="K5676" s="142">
        <v>0</v>
      </c>
      <c r="L5676" s="142">
        <v>3</v>
      </c>
      <c r="M5676" s="142">
        <v>0</v>
      </c>
    </row>
    <row r="5677" spans="1:13" x14ac:dyDescent="0.45">
      <c r="A5677" s="142" t="s">
        <v>13066</v>
      </c>
      <c r="B5677" s="142" t="s">
        <v>14459</v>
      </c>
      <c r="C5677" s="142" t="s">
        <v>15847</v>
      </c>
      <c r="D5677" s="142" t="s">
        <v>15848</v>
      </c>
      <c r="E5677" s="142" t="s">
        <v>15849</v>
      </c>
      <c r="F5677" s="142" t="s">
        <v>3378</v>
      </c>
      <c r="G5677" s="142" t="s">
        <v>3377</v>
      </c>
      <c r="H5677" s="142" t="s">
        <v>21527</v>
      </c>
      <c r="I5677" s="142">
        <v>3</v>
      </c>
      <c r="J5677" s="142">
        <v>0</v>
      </c>
      <c r="K5677" s="142">
        <v>0</v>
      </c>
      <c r="L5677" s="142">
        <v>3</v>
      </c>
      <c r="M5677" s="142">
        <v>0</v>
      </c>
    </row>
    <row r="5678" spans="1:13" x14ac:dyDescent="0.45">
      <c r="A5678" s="142" t="s">
        <v>13029</v>
      </c>
      <c r="B5678" s="142" t="s">
        <v>14665</v>
      </c>
      <c r="C5678" s="142" t="s">
        <v>15847</v>
      </c>
      <c r="D5678" s="142" t="s">
        <v>15848</v>
      </c>
      <c r="E5678" s="142" t="s">
        <v>15849</v>
      </c>
      <c r="F5678" s="142" t="s">
        <v>3378</v>
      </c>
      <c r="G5678" s="142" t="s">
        <v>3377</v>
      </c>
      <c r="H5678" s="142" t="s">
        <v>21528</v>
      </c>
      <c r="I5678" s="142">
        <v>20</v>
      </c>
      <c r="J5678" s="142">
        <v>0</v>
      </c>
      <c r="K5678" s="142">
        <v>0</v>
      </c>
      <c r="L5678" s="142">
        <v>0</v>
      </c>
      <c r="M5678" s="142">
        <v>20</v>
      </c>
    </row>
    <row r="5679" spans="1:13" x14ac:dyDescent="0.45">
      <c r="A5679" s="142" t="s">
        <v>13006</v>
      </c>
      <c r="B5679" s="142" t="s">
        <v>15288</v>
      </c>
      <c r="C5679" s="142" t="s">
        <v>15847</v>
      </c>
      <c r="D5679" s="142" t="s">
        <v>15848</v>
      </c>
      <c r="E5679" s="142" t="s">
        <v>15849</v>
      </c>
      <c r="F5679" s="142" t="s">
        <v>3378</v>
      </c>
      <c r="G5679" s="142" t="s">
        <v>3377</v>
      </c>
      <c r="H5679" s="142" t="s">
        <v>21529</v>
      </c>
      <c r="I5679" s="142">
        <v>134</v>
      </c>
      <c r="J5679" s="142">
        <v>128</v>
      </c>
      <c r="K5679" s="142">
        <v>0</v>
      </c>
      <c r="L5679" s="142">
        <v>6</v>
      </c>
      <c r="M5679" s="142">
        <v>0</v>
      </c>
    </row>
    <row r="5680" spans="1:13" x14ac:dyDescent="0.45">
      <c r="A5680" s="142" t="s">
        <v>13030</v>
      </c>
      <c r="B5680" s="142" t="s">
        <v>14572</v>
      </c>
      <c r="C5680" s="142" t="s">
        <v>15847</v>
      </c>
      <c r="D5680" s="142" t="s">
        <v>15848</v>
      </c>
      <c r="E5680" s="142" t="s">
        <v>15849</v>
      </c>
      <c r="F5680" s="142" t="s">
        <v>3378</v>
      </c>
      <c r="G5680" s="142" t="s">
        <v>3377</v>
      </c>
      <c r="H5680" s="142" t="s">
        <v>21530</v>
      </c>
      <c r="I5680" s="142">
        <v>34</v>
      </c>
      <c r="J5680" s="142">
        <v>24</v>
      </c>
      <c r="K5680" s="142">
        <v>0</v>
      </c>
      <c r="L5680" s="142">
        <v>0</v>
      </c>
      <c r="M5680" s="142">
        <v>10</v>
      </c>
    </row>
    <row r="5681" spans="1:13" x14ac:dyDescent="0.45">
      <c r="A5681" s="142" t="s">
        <v>13069</v>
      </c>
      <c r="B5681" s="142" t="s">
        <v>14630</v>
      </c>
      <c r="C5681" s="142" t="s">
        <v>15860</v>
      </c>
      <c r="D5681" s="142" t="s">
        <v>15861</v>
      </c>
      <c r="E5681" s="142" t="s">
        <v>15849</v>
      </c>
      <c r="F5681" s="142" t="s">
        <v>3378</v>
      </c>
      <c r="G5681" s="142" t="s">
        <v>3377</v>
      </c>
      <c r="H5681" s="142" t="s">
        <v>21531</v>
      </c>
      <c r="I5681" s="142">
        <v>10</v>
      </c>
      <c r="J5681" s="142">
        <v>10</v>
      </c>
      <c r="K5681" s="142">
        <v>0</v>
      </c>
      <c r="L5681" s="142">
        <v>0</v>
      </c>
      <c r="M5681" s="142">
        <v>0</v>
      </c>
    </row>
    <row r="5682" spans="1:13" x14ac:dyDescent="0.45">
      <c r="A5682" s="142" t="s">
        <v>13613</v>
      </c>
      <c r="B5682" s="142" t="s">
        <v>15399</v>
      </c>
      <c r="C5682" s="142" t="s">
        <v>15860</v>
      </c>
      <c r="D5682" s="142" t="s">
        <v>15861</v>
      </c>
      <c r="E5682" s="142" t="s">
        <v>15849</v>
      </c>
      <c r="F5682" s="142" t="s">
        <v>3378</v>
      </c>
      <c r="G5682" s="142" t="s">
        <v>3377</v>
      </c>
      <c r="H5682" s="142" t="s">
        <v>21532</v>
      </c>
      <c r="I5682" s="142">
        <v>14</v>
      </c>
      <c r="J5682" s="142">
        <v>14</v>
      </c>
      <c r="K5682" s="142">
        <v>0</v>
      </c>
      <c r="L5682" s="142">
        <v>0</v>
      </c>
      <c r="M5682" s="142">
        <v>0</v>
      </c>
    </row>
    <row r="5683" spans="1:13" x14ac:dyDescent="0.45">
      <c r="A5683" s="142" t="s">
        <v>13034</v>
      </c>
      <c r="B5683" s="142" t="s">
        <v>15562</v>
      </c>
      <c r="C5683" s="142" t="s">
        <v>15847</v>
      </c>
      <c r="D5683" s="142" t="s">
        <v>15848</v>
      </c>
      <c r="E5683" s="142" t="s">
        <v>15849</v>
      </c>
      <c r="F5683" s="142" t="s">
        <v>3378</v>
      </c>
      <c r="G5683" s="142" t="s">
        <v>3377</v>
      </c>
      <c r="H5683" s="142" t="s">
        <v>21533</v>
      </c>
      <c r="I5683" s="142">
        <v>136</v>
      </c>
      <c r="J5683" s="142">
        <v>119</v>
      </c>
      <c r="K5683" s="142">
        <v>0</v>
      </c>
      <c r="L5683" s="142">
        <v>17</v>
      </c>
      <c r="M5683" s="142">
        <v>0</v>
      </c>
    </row>
    <row r="5684" spans="1:13" x14ac:dyDescent="0.45">
      <c r="A5684" s="142" t="s">
        <v>13035</v>
      </c>
      <c r="B5684" s="142" t="s">
        <v>14648</v>
      </c>
      <c r="C5684" s="142" t="s">
        <v>15847</v>
      </c>
      <c r="D5684" s="142" t="s">
        <v>15848</v>
      </c>
      <c r="E5684" s="142" t="s">
        <v>15849</v>
      </c>
      <c r="F5684" s="142" t="s">
        <v>3378</v>
      </c>
      <c r="G5684" s="142" t="s">
        <v>3377</v>
      </c>
      <c r="H5684" s="142" t="s">
        <v>21534</v>
      </c>
      <c r="I5684" s="142">
        <v>65</v>
      </c>
      <c r="J5684" s="142">
        <v>44</v>
      </c>
      <c r="K5684" s="142">
        <v>0</v>
      </c>
      <c r="L5684" s="142">
        <v>0</v>
      </c>
      <c r="M5684" s="142">
        <v>21</v>
      </c>
    </row>
    <row r="5685" spans="1:13" x14ac:dyDescent="0.45">
      <c r="A5685" s="142" t="s">
        <v>13179</v>
      </c>
      <c r="B5685" s="142" t="s">
        <v>14704</v>
      </c>
      <c r="C5685" s="142" t="s">
        <v>15860</v>
      </c>
      <c r="D5685" s="142" t="s">
        <v>15861</v>
      </c>
      <c r="E5685" s="142" t="s">
        <v>15849</v>
      </c>
      <c r="F5685" s="142" t="s">
        <v>3378</v>
      </c>
      <c r="G5685" s="142" t="s">
        <v>3377</v>
      </c>
      <c r="H5685" s="142" t="s">
        <v>21535</v>
      </c>
      <c r="I5685" s="142">
        <v>7</v>
      </c>
      <c r="J5685" s="142">
        <v>7</v>
      </c>
      <c r="K5685" s="142">
        <v>0</v>
      </c>
      <c r="L5685" s="142">
        <v>0</v>
      </c>
      <c r="M5685" s="142">
        <v>0</v>
      </c>
    </row>
    <row r="5686" spans="1:13" x14ac:dyDescent="0.45">
      <c r="A5686" s="142" t="s">
        <v>13037</v>
      </c>
      <c r="B5686" s="142" t="s">
        <v>14519</v>
      </c>
      <c r="C5686" s="142" t="s">
        <v>15847</v>
      </c>
      <c r="D5686" s="142" t="s">
        <v>15848</v>
      </c>
      <c r="E5686" s="142" t="s">
        <v>15849</v>
      </c>
      <c r="F5686" s="142" t="s">
        <v>3378</v>
      </c>
      <c r="G5686" s="142" t="s">
        <v>3377</v>
      </c>
      <c r="H5686" s="142" t="s">
        <v>21536</v>
      </c>
      <c r="I5686" s="142">
        <v>4</v>
      </c>
      <c r="J5686" s="142">
        <v>0</v>
      </c>
      <c r="K5686" s="142">
        <v>0</v>
      </c>
      <c r="L5686" s="142">
        <v>4</v>
      </c>
      <c r="M5686" s="142">
        <v>0</v>
      </c>
    </row>
    <row r="5687" spans="1:13" x14ac:dyDescent="0.45">
      <c r="A5687" s="142" t="s">
        <v>14035</v>
      </c>
      <c r="B5687" s="142" t="s">
        <v>14432</v>
      </c>
      <c r="C5687" s="142" t="s">
        <v>15860</v>
      </c>
      <c r="D5687" s="142" t="s">
        <v>15861</v>
      </c>
      <c r="E5687" s="142" t="s">
        <v>15849</v>
      </c>
      <c r="F5687" s="142" t="s">
        <v>3378</v>
      </c>
      <c r="G5687" s="142" t="s">
        <v>3377</v>
      </c>
      <c r="H5687" s="142" t="s">
        <v>21537</v>
      </c>
      <c r="I5687" s="142">
        <v>132</v>
      </c>
      <c r="J5687" s="142">
        <v>132</v>
      </c>
      <c r="K5687" s="142">
        <v>0</v>
      </c>
      <c r="L5687" s="142">
        <v>0</v>
      </c>
      <c r="M5687" s="142">
        <v>0</v>
      </c>
    </row>
    <row r="5688" spans="1:13" x14ac:dyDescent="0.45">
      <c r="A5688" s="142" t="s">
        <v>13038</v>
      </c>
      <c r="B5688" s="142" t="s">
        <v>14646</v>
      </c>
      <c r="C5688" s="142" t="s">
        <v>15847</v>
      </c>
      <c r="D5688" s="142" t="s">
        <v>15848</v>
      </c>
      <c r="E5688" s="142" t="s">
        <v>15849</v>
      </c>
      <c r="F5688" s="142" t="s">
        <v>3378</v>
      </c>
      <c r="G5688" s="142" t="s">
        <v>3377</v>
      </c>
      <c r="H5688" s="142" t="s">
        <v>21538</v>
      </c>
      <c r="I5688" s="142">
        <v>19</v>
      </c>
      <c r="J5688" s="142">
        <v>3</v>
      </c>
      <c r="K5688" s="142">
        <v>0</v>
      </c>
      <c r="L5688" s="142">
        <v>0</v>
      </c>
      <c r="M5688" s="142">
        <v>16</v>
      </c>
    </row>
    <row r="5689" spans="1:13" x14ac:dyDescent="0.45">
      <c r="A5689" s="142" t="s">
        <v>13039</v>
      </c>
      <c r="B5689" s="142" t="s">
        <v>14647</v>
      </c>
      <c r="C5689" s="142" t="s">
        <v>15847</v>
      </c>
      <c r="D5689" s="142" t="s">
        <v>15848</v>
      </c>
      <c r="E5689" s="142" t="s">
        <v>15849</v>
      </c>
      <c r="F5689" s="142" t="s">
        <v>3378</v>
      </c>
      <c r="G5689" s="142" t="s">
        <v>3377</v>
      </c>
      <c r="H5689" s="142" t="s">
        <v>21539</v>
      </c>
      <c r="I5689" s="142">
        <v>29</v>
      </c>
      <c r="J5689" s="142">
        <v>29</v>
      </c>
      <c r="K5689" s="142">
        <v>0</v>
      </c>
      <c r="L5689" s="142">
        <v>0</v>
      </c>
      <c r="M5689" s="142">
        <v>0</v>
      </c>
    </row>
    <row r="5690" spans="1:13" x14ac:dyDescent="0.45">
      <c r="A5690" s="142" t="s">
        <v>13091</v>
      </c>
      <c r="B5690" s="142" t="s">
        <v>14473</v>
      </c>
      <c r="C5690" s="142" t="s">
        <v>15847</v>
      </c>
      <c r="D5690" s="142" t="s">
        <v>15848</v>
      </c>
      <c r="E5690" s="142" t="s">
        <v>15849</v>
      </c>
      <c r="F5690" s="142" t="s">
        <v>3378</v>
      </c>
      <c r="G5690" s="142" t="s">
        <v>3377</v>
      </c>
      <c r="H5690" s="142" t="s">
        <v>21540</v>
      </c>
      <c r="I5690" s="142">
        <v>7</v>
      </c>
      <c r="J5690" s="142">
        <v>7</v>
      </c>
      <c r="K5690" s="142">
        <v>0</v>
      </c>
      <c r="L5690" s="142">
        <v>0</v>
      </c>
      <c r="M5690" s="142">
        <v>0</v>
      </c>
    </row>
    <row r="5691" spans="1:13" x14ac:dyDescent="0.45">
      <c r="A5691" s="142" t="s">
        <v>13009</v>
      </c>
      <c r="B5691" s="142" t="s">
        <v>15256</v>
      </c>
      <c r="C5691" s="142" t="s">
        <v>15847</v>
      </c>
      <c r="D5691" s="142" t="s">
        <v>15848</v>
      </c>
      <c r="E5691" s="142" t="s">
        <v>15849</v>
      </c>
      <c r="F5691" s="142" t="s">
        <v>3378</v>
      </c>
      <c r="G5691" s="142" t="s">
        <v>3377</v>
      </c>
      <c r="H5691" s="142" t="s">
        <v>21541</v>
      </c>
      <c r="I5691" s="142">
        <v>16</v>
      </c>
      <c r="J5691" s="142">
        <v>0</v>
      </c>
      <c r="K5691" s="142">
        <v>0</v>
      </c>
      <c r="L5691" s="142">
        <v>16</v>
      </c>
      <c r="M5691" s="142">
        <v>0</v>
      </c>
    </row>
    <row r="5692" spans="1:13" x14ac:dyDescent="0.45">
      <c r="A5692" s="142" t="s">
        <v>13152</v>
      </c>
      <c r="B5692" s="142" t="s">
        <v>15249</v>
      </c>
      <c r="C5692" s="142" t="s">
        <v>15847</v>
      </c>
      <c r="D5692" s="142" t="s">
        <v>15848</v>
      </c>
      <c r="E5692" s="142" t="s">
        <v>15849</v>
      </c>
      <c r="F5692" s="142" t="s">
        <v>3378</v>
      </c>
      <c r="G5692" s="142" t="s">
        <v>3377</v>
      </c>
      <c r="H5692" s="142" t="s">
        <v>21542</v>
      </c>
      <c r="I5692" s="142">
        <v>294</v>
      </c>
      <c r="J5692" s="142">
        <v>221</v>
      </c>
      <c r="K5692" s="142">
        <v>0</v>
      </c>
      <c r="L5692" s="142">
        <v>22</v>
      </c>
      <c r="M5692" s="142">
        <v>51</v>
      </c>
    </row>
    <row r="5693" spans="1:13" x14ac:dyDescent="0.45">
      <c r="A5693" s="142" t="s">
        <v>13041</v>
      </c>
      <c r="B5693" s="142" t="s">
        <v>14441</v>
      </c>
      <c r="C5693" s="142" t="s">
        <v>15847</v>
      </c>
      <c r="D5693" s="142" t="s">
        <v>15848</v>
      </c>
      <c r="E5693" s="142" t="s">
        <v>15849</v>
      </c>
      <c r="F5693" s="142" t="s">
        <v>3378</v>
      </c>
      <c r="G5693" s="142" t="s">
        <v>3377</v>
      </c>
      <c r="H5693" s="142" t="s">
        <v>21543</v>
      </c>
      <c r="I5693" s="142">
        <v>54</v>
      </c>
      <c r="J5693" s="142">
        <v>0</v>
      </c>
      <c r="K5693" s="142">
        <v>0</v>
      </c>
      <c r="L5693" s="142">
        <v>0</v>
      </c>
      <c r="M5693" s="142">
        <v>54</v>
      </c>
    </row>
    <row r="5694" spans="1:13" x14ac:dyDescent="0.45">
      <c r="A5694" s="142" t="s">
        <v>13014</v>
      </c>
      <c r="B5694" s="142" t="s">
        <v>14505</v>
      </c>
      <c r="C5694" s="142" t="s">
        <v>15847</v>
      </c>
      <c r="D5694" s="142" t="s">
        <v>15848</v>
      </c>
      <c r="E5694" s="142" t="s">
        <v>15849</v>
      </c>
      <c r="F5694" s="142" t="s">
        <v>3378</v>
      </c>
      <c r="G5694" s="142" t="s">
        <v>3377</v>
      </c>
      <c r="H5694" s="142" t="s">
        <v>21544</v>
      </c>
      <c r="I5694" s="142">
        <v>169</v>
      </c>
      <c r="J5694" s="142">
        <v>125</v>
      </c>
      <c r="K5694" s="142">
        <v>0</v>
      </c>
      <c r="L5694" s="142">
        <v>27</v>
      </c>
      <c r="M5694" s="142">
        <v>17</v>
      </c>
    </row>
    <row r="5695" spans="1:13" x14ac:dyDescent="0.45">
      <c r="A5695" s="142" t="s">
        <v>13154</v>
      </c>
      <c r="B5695" s="142" t="s">
        <v>15415</v>
      </c>
      <c r="C5695" s="142" t="s">
        <v>15847</v>
      </c>
      <c r="D5695" s="142" t="s">
        <v>15848</v>
      </c>
      <c r="E5695" s="142" t="s">
        <v>15849</v>
      </c>
      <c r="F5695" s="142" t="s">
        <v>3378</v>
      </c>
      <c r="G5695" s="142" t="s">
        <v>3377</v>
      </c>
      <c r="H5695" s="142" t="s">
        <v>21545</v>
      </c>
      <c r="I5695" s="142">
        <v>74</v>
      </c>
      <c r="J5695" s="142">
        <v>33</v>
      </c>
      <c r="K5695" s="142">
        <v>0</v>
      </c>
      <c r="L5695" s="142">
        <v>0</v>
      </c>
      <c r="M5695" s="142">
        <v>41</v>
      </c>
    </row>
    <row r="5696" spans="1:13" x14ac:dyDescent="0.45">
      <c r="A5696" s="142" t="s">
        <v>13064</v>
      </c>
      <c r="B5696" s="142" t="s">
        <v>15428</v>
      </c>
      <c r="C5696" s="142" t="s">
        <v>15847</v>
      </c>
      <c r="D5696" s="142" t="s">
        <v>15848</v>
      </c>
      <c r="E5696" s="142" t="s">
        <v>15849</v>
      </c>
      <c r="F5696" s="142" t="s">
        <v>772</v>
      </c>
      <c r="G5696" s="142" t="s">
        <v>771</v>
      </c>
      <c r="H5696" s="142" t="s">
        <v>21546</v>
      </c>
      <c r="I5696" s="142">
        <v>158</v>
      </c>
      <c r="J5696" s="142">
        <v>118</v>
      </c>
      <c r="K5696" s="142">
        <v>0</v>
      </c>
      <c r="L5696" s="142">
        <v>0</v>
      </c>
      <c r="M5696" s="142">
        <v>40</v>
      </c>
    </row>
    <row r="5697" spans="1:13" x14ac:dyDescent="0.45">
      <c r="A5697" s="142" t="s">
        <v>13021</v>
      </c>
      <c r="B5697" s="142" t="s">
        <v>15501</v>
      </c>
      <c r="C5697" s="142" t="s">
        <v>15847</v>
      </c>
      <c r="D5697" s="142" t="s">
        <v>15848</v>
      </c>
      <c r="E5697" s="142" t="s">
        <v>15849</v>
      </c>
      <c r="F5697" s="142" t="s">
        <v>772</v>
      </c>
      <c r="G5697" s="142" t="s">
        <v>771</v>
      </c>
      <c r="H5697" s="142" t="s">
        <v>21547</v>
      </c>
      <c r="I5697" s="142">
        <v>1</v>
      </c>
      <c r="J5697" s="142">
        <v>0</v>
      </c>
      <c r="K5697" s="142">
        <v>0</v>
      </c>
      <c r="L5697" s="142">
        <v>0</v>
      </c>
      <c r="M5697" s="142">
        <v>1</v>
      </c>
    </row>
    <row r="5698" spans="1:13" x14ac:dyDescent="0.45">
      <c r="A5698" s="142" t="s">
        <v>13022</v>
      </c>
      <c r="B5698" s="142" t="s">
        <v>14634</v>
      </c>
      <c r="C5698" s="142" t="s">
        <v>15847</v>
      </c>
      <c r="D5698" s="142" t="s">
        <v>15848</v>
      </c>
      <c r="E5698" s="142" t="s">
        <v>15849</v>
      </c>
      <c r="F5698" s="142" t="s">
        <v>772</v>
      </c>
      <c r="G5698" s="142" t="s">
        <v>771</v>
      </c>
      <c r="H5698" s="142" t="s">
        <v>21548</v>
      </c>
      <c r="I5698" s="142">
        <v>1569</v>
      </c>
      <c r="J5698" s="142">
        <v>1438</v>
      </c>
      <c r="K5698" s="142">
        <v>0</v>
      </c>
      <c r="L5698" s="142">
        <v>68</v>
      </c>
      <c r="M5698" s="142">
        <v>63</v>
      </c>
    </row>
    <row r="5699" spans="1:13" x14ac:dyDescent="0.45">
      <c r="A5699" s="142" t="s">
        <v>13023</v>
      </c>
      <c r="B5699" s="142" t="s">
        <v>15571</v>
      </c>
      <c r="C5699" s="142" t="s">
        <v>15847</v>
      </c>
      <c r="D5699" s="142" t="s">
        <v>15848</v>
      </c>
      <c r="E5699" s="142" t="s">
        <v>15849</v>
      </c>
      <c r="F5699" s="142" t="s">
        <v>772</v>
      </c>
      <c r="G5699" s="142" t="s">
        <v>771</v>
      </c>
      <c r="H5699" s="142" t="s">
        <v>21549</v>
      </c>
      <c r="I5699" s="142">
        <v>53</v>
      </c>
      <c r="J5699" s="142">
        <v>0</v>
      </c>
      <c r="K5699" s="142">
        <v>0</v>
      </c>
      <c r="L5699" s="142">
        <v>53</v>
      </c>
      <c r="M5699" s="142">
        <v>0</v>
      </c>
    </row>
    <row r="5700" spans="1:13" x14ac:dyDescent="0.45">
      <c r="A5700" s="142" t="s">
        <v>13113</v>
      </c>
      <c r="B5700" s="142" t="s">
        <v>14503</v>
      </c>
      <c r="C5700" s="142" t="s">
        <v>15860</v>
      </c>
      <c r="D5700" s="142" t="s">
        <v>15861</v>
      </c>
      <c r="E5700" s="142" t="s">
        <v>15849</v>
      </c>
      <c r="F5700" s="142" t="s">
        <v>772</v>
      </c>
      <c r="G5700" s="142" t="s">
        <v>771</v>
      </c>
      <c r="H5700" s="142" t="s">
        <v>21550</v>
      </c>
      <c r="I5700" s="142">
        <v>2</v>
      </c>
      <c r="J5700" s="142">
        <v>2</v>
      </c>
      <c r="K5700" s="142">
        <v>0</v>
      </c>
      <c r="L5700" s="142">
        <v>0</v>
      </c>
      <c r="M5700" s="142">
        <v>0</v>
      </c>
    </row>
    <row r="5701" spans="1:13" x14ac:dyDescent="0.45">
      <c r="A5701" s="142" t="s">
        <v>13082</v>
      </c>
      <c r="B5701" s="142" t="s">
        <v>14478</v>
      </c>
      <c r="C5701" s="142" t="s">
        <v>15860</v>
      </c>
      <c r="D5701" s="142" t="s">
        <v>15861</v>
      </c>
      <c r="E5701" s="142" t="s">
        <v>15849</v>
      </c>
      <c r="F5701" s="142" t="s">
        <v>772</v>
      </c>
      <c r="G5701" s="142" t="s">
        <v>771</v>
      </c>
      <c r="H5701" s="142" t="s">
        <v>21551</v>
      </c>
      <c r="I5701" s="142">
        <v>4</v>
      </c>
      <c r="J5701" s="142">
        <v>0</v>
      </c>
      <c r="K5701" s="142">
        <v>0</v>
      </c>
      <c r="L5701" s="142">
        <v>4</v>
      </c>
      <c r="M5701" s="142">
        <v>0</v>
      </c>
    </row>
    <row r="5702" spans="1:13" x14ac:dyDescent="0.45">
      <c r="A5702" s="142" t="s">
        <v>13065</v>
      </c>
      <c r="B5702" s="142" t="s">
        <v>14497</v>
      </c>
      <c r="C5702" s="142" t="s">
        <v>15847</v>
      </c>
      <c r="D5702" s="142" t="s">
        <v>15848</v>
      </c>
      <c r="E5702" s="142" t="s">
        <v>15849</v>
      </c>
      <c r="F5702" s="142" t="s">
        <v>772</v>
      </c>
      <c r="G5702" s="142" t="s">
        <v>771</v>
      </c>
      <c r="H5702" s="142" t="s">
        <v>21552</v>
      </c>
      <c r="I5702" s="142">
        <v>42</v>
      </c>
      <c r="J5702" s="142">
        <v>0</v>
      </c>
      <c r="K5702" s="142">
        <v>0</v>
      </c>
      <c r="L5702" s="142">
        <v>42</v>
      </c>
      <c r="M5702" s="142">
        <v>0</v>
      </c>
    </row>
    <row r="5703" spans="1:13" x14ac:dyDescent="0.45">
      <c r="A5703" s="142" t="s">
        <v>13159</v>
      </c>
      <c r="B5703" s="142" t="s">
        <v>14521</v>
      </c>
      <c r="C5703" s="142" t="s">
        <v>15860</v>
      </c>
      <c r="D5703" s="142" t="s">
        <v>15861</v>
      </c>
      <c r="E5703" s="142" t="s">
        <v>15849</v>
      </c>
      <c r="F5703" s="142" t="s">
        <v>772</v>
      </c>
      <c r="G5703" s="142" t="s">
        <v>771</v>
      </c>
      <c r="H5703" s="142" t="s">
        <v>21553</v>
      </c>
      <c r="I5703" s="142">
        <v>5</v>
      </c>
      <c r="J5703" s="142">
        <v>0</v>
      </c>
      <c r="K5703" s="142">
        <v>0</v>
      </c>
      <c r="L5703" s="142">
        <v>5</v>
      </c>
      <c r="M5703" s="142">
        <v>0</v>
      </c>
    </row>
    <row r="5704" spans="1:13" x14ac:dyDescent="0.45">
      <c r="A5704" s="142" t="s">
        <v>13027</v>
      </c>
      <c r="B5704" s="142" t="s">
        <v>14562</v>
      </c>
      <c r="C5704" s="142" t="s">
        <v>15847</v>
      </c>
      <c r="D5704" s="142" t="s">
        <v>15848</v>
      </c>
      <c r="E5704" s="142" t="s">
        <v>15849</v>
      </c>
      <c r="F5704" s="142" t="s">
        <v>772</v>
      </c>
      <c r="G5704" s="142" t="s">
        <v>771</v>
      </c>
      <c r="H5704" s="142" t="s">
        <v>21554</v>
      </c>
      <c r="I5704" s="142">
        <v>56</v>
      </c>
      <c r="J5704" s="142">
        <v>0</v>
      </c>
      <c r="K5704" s="142">
        <v>0</v>
      </c>
      <c r="L5704" s="142">
        <v>56</v>
      </c>
      <c r="M5704" s="142">
        <v>0</v>
      </c>
    </row>
    <row r="5705" spans="1:13" x14ac:dyDescent="0.45">
      <c r="A5705" s="142" t="s">
        <v>14036</v>
      </c>
      <c r="B5705" s="142" t="s">
        <v>14874</v>
      </c>
      <c r="C5705" s="142" t="s">
        <v>15860</v>
      </c>
      <c r="D5705" s="142" t="s">
        <v>15861</v>
      </c>
      <c r="E5705" s="142" t="s">
        <v>15849</v>
      </c>
      <c r="F5705" s="142" t="s">
        <v>772</v>
      </c>
      <c r="G5705" s="142" t="s">
        <v>771</v>
      </c>
      <c r="H5705" s="142" t="s">
        <v>21555</v>
      </c>
      <c r="I5705" s="142">
        <v>6</v>
      </c>
      <c r="J5705" s="142">
        <v>0</v>
      </c>
      <c r="K5705" s="142">
        <v>0</v>
      </c>
      <c r="L5705" s="142">
        <v>6</v>
      </c>
      <c r="M5705" s="142">
        <v>0</v>
      </c>
    </row>
    <row r="5706" spans="1:13" x14ac:dyDescent="0.45">
      <c r="A5706" s="142" t="s">
        <v>14037</v>
      </c>
      <c r="B5706" s="142" t="s">
        <v>14707</v>
      </c>
      <c r="C5706" s="142" t="s">
        <v>15860</v>
      </c>
      <c r="D5706" s="142" t="s">
        <v>15861</v>
      </c>
      <c r="E5706" s="142" t="s">
        <v>15849</v>
      </c>
      <c r="F5706" s="142" t="s">
        <v>772</v>
      </c>
      <c r="G5706" s="142" t="s">
        <v>771</v>
      </c>
      <c r="H5706" s="142" t="s">
        <v>21556</v>
      </c>
      <c r="I5706" s="142">
        <v>5</v>
      </c>
      <c r="J5706" s="142">
        <v>5</v>
      </c>
      <c r="K5706" s="142">
        <v>0</v>
      </c>
      <c r="L5706" s="142">
        <v>0</v>
      </c>
      <c r="M5706" s="142">
        <v>0</v>
      </c>
    </row>
    <row r="5707" spans="1:13" x14ac:dyDescent="0.45">
      <c r="A5707" s="142" t="s">
        <v>14038</v>
      </c>
      <c r="B5707" s="142" t="s">
        <v>15577</v>
      </c>
      <c r="C5707" s="142" t="s">
        <v>15860</v>
      </c>
      <c r="D5707" s="142" t="s">
        <v>15861</v>
      </c>
      <c r="E5707" s="142" t="s">
        <v>15849</v>
      </c>
      <c r="F5707" s="142" t="s">
        <v>772</v>
      </c>
      <c r="G5707" s="142" t="s">
        <v>771</v>
      </c>
      <c r="H5707" s="142" t="s">
        <v>21557</v>
      </c>
      <c r="I5707" s="142">
        <v>106</v>
      </c>
      <c r="J5707" s="142">
        <v>0</v>
      </c>
      <c r="K5707" s="142">
        <v>0</v>
      </c>
      <c r="L5707" s="142">
        <v>106</v>
      </c>
      <c r="M5707" s="142">
        <v>0</v>
      </c>
    </row>
    <row r="5708" spans="1:13" x14ac:dyDescent="0.45">
      <c r="A5708" s="142" t="s">
        <v>13028</v>
      </c>
      <c r="B5708" s="142" t="s">
        <v>14462</v>
      </c>
      <c r="C5708" s="142" t="s">
        <v>15847</v>
      </c>
      <c r="D5708" s="142" t="s">
        <v>15848</v>
      </c>
      <c r="E5708" s="142" t="s">
        <v>15849</v>
      </c>
      <c r="F5708" s="142" t="s">
        <v>772</v>
      </c>
      <c r="G5708" s="142" t="s">
        <v>771</v>
      </c>
      <c r="H5708" s="142" t="s">
        <v>21558</v>
      </c>
      <c r="I5708" s="142">
        <v>1</v>
      </c>
      <c r="J5708" s="142">
        <v>0</v>
      </c>
      <c r="K5708" s="142">
        <v>0</v>
      </c>
      <c r="L5708" s="142">
        <v>0</v>
      </c>
      <c r="M5708" s="142">
        <v>1</v>
      </c>
    </row>
    <row r="5709" spans="1:13" x14ac:dyDescent="0.45">
      <c r="A5709" s="142" t="s">
        <v>13003</v>
      </c>
      <c r="B5709" s="142" t="s">
        <v>15245</v>
      </c>
      <c r="C5709" s="142" t="s">
        <v>15847</v>
      </c>
      <c r="D5709" s="142" t="s">
        <v>15848</v>
      </c>
      <c r="E5709" s="142" t="s">
        <v>15849</v>
      </c>
      <c r="F5709" s="142" t="s">
        <v>772</v>
      </c>
      <c r="G5709" s="142" t="s">
        <v>771</v>
      </c>
      <c r="H5709" s="142" t="s">
        <v>21559</v>
      </c>
      <c r="I5709" s="142">
        <v>67</v>
      </c>
      <c r="J5709" s="142">
        <v>0</v>
      </c>
      <c r="K5709" s="142">
        <v>0</v>
      </c>
      <c r="L5709" s="142">
        <v>67</v>
      </c>
      <c r="M5709" s="142">
        <v>0</v>
      </c>
    </row>
    <row r="5710" spans="1:13" x14ac:dyDescent="0.45">
      <c r="A5710" s="142" t="s">
        <v>13066</v>
      </c>
      <c r="B5710" s="142" t="s">
        <v>14459</v>
      </c>
      <c r="C5710" s="142" t="s">
        <v>15847</v>
      </c>
      <c r="D5710" s="142" t="s">
        <v>15848</v>
      </c>
      <c r="E5710" s="142" t="s">
        <v>15849</v>
      </c>
      <c r="F5710" s="142" t="s">
        <v>772</v>
      </c>
      <c r="G5710" s="142" t="s">
        <v>771</v>
      </c>
      <c r="H5710" s="142" t="s">
        <v>21560</v>
      </c>
      <c r="I5710" s="142">
        <v>166</v>
      </c>
      <c r="J5710" s="142">
        <v>0</v>
      </c>
      <c r="K5710" s="142">
        <v>0</v>
      </c>
      <c r="L5710" s="142">
        <v>166</v>
      </c>
      <c r="M5710" s="142">
        <v>0</v>
      </c>
    </row>
    <row r="5711" spans="1:13" x14ac:dyDescent="0.45">
      <c r="A5711" s="142" t="s">
        <v>13295</v>
      </c>
      <c r="B5711" s="142" t="s">
        <v>14621</v>
      </c>
      <c r="C5711" s="142" t="s">
        <v>15847</v>
      </c>
      <c r="D5711" s="142" t="s">
        <v>15848</v>
      </c>
      <c r="E5711" s="142" t="s">
        <v>15849</v>
      </c>
      <c r="F5711" s="142" t="s">
        <v>772</v>
      </c>
      <c r="G5711" s="142" t="s">
        <v>771</v>
      </c>
      <c r="H5711" s="142" t="s">
        <v>21561</v>
      </c>
      <c r="I5711" s="142">
        <v>7133</v>
      </c>
      <c r="J5711" s="142">
        <v>6120</v>
      </c>
      <c r="K5711" s="142">
        <v>0</v>
      </c>
      <c r="L5711" s="142">
        <v>881</v>
      </c>
      <c r="M5711" s="142">
        <v>132</v>
      </c>
    </row>
    <row r="5712" spans="1:13" x14ac:dyDescent="0.45">
      <c r="A5712" s="142" t="s">
        <v>13068</v>
      </c>
      <c r="B5712" s="142" t="s">
        <v>15468</v>
      </c>
      <c r="C5712" s="142" t="s">
        <v>15847</v>
      </c>
      <c r="D5712" s="142" t="s">
        <v>15848</v>
      </c>
      <c r="E5712" s="142" t="s">
        <v>15849</v>
      </c>
      <c r="F5712" s="142" t="s">
        <v>772</v>
      </c>
      <c r="G5712" s="142" t="s">
        <v>771</v>
      </c>
      <c r="H5712" s="142" t="s">
        <v>21562</v>
      </c>
      <c r="I5712" s="142">
        <v>359</v>
      </c>
      <c r="J5712" s="142">
        <v>268</v>
      </c>
      <c r="K5712" s="142">
        <v>0</v>
      </c>
      <c r="L5712" s="142">
        <v>30</v>
      </c>
      <c r="M5712" s="142">
        <v>61</v>
      </c>
    </row>
    <row r="5713" spans="1:13" x14ac:dyDescent="0.45">
      <c r="A5713" s="142" t="s">
        <v>13033</v>
      </c>
      <c r="B5713" s="142" t="s">
        <v>15276</v>
      </c>
      <c r="C5713" s="142" t="s">
        <v>15847</v>
      </c>
      <c r="D5713" s="142" t="s">
        <v>15848</v>
      </c>
      <c r="E5713" s="142" t="s">
        <v>15849</v>
      </c>
      <c r="F5713" s="142" t="s">
        <v>772</v>
      </c>
      <c r="G5713" s="142" t="s">
        <v>771</v>
      </c>
      <c r="H5713" s="142" t="s">
        <v>21563</v>
      </c>
      <c r="I5713" s="142">
        <v>6</v>
      </c>
      <c r="J5713" s="142">
        <v>6</v>
      </c>
      <c r="K5713" s="142">
        <v>0</v>
      </c>
      <c r="L5713" s="142">
        <v>0</v>
      </c>
      <c r="M5713" s="142">
        <v>0</v>
      </c>
    </row>
    <row r="5714" spans="1:13" x14ac:dyDescent="0.45">
      <c r="A5714" s="142" t="s">
        <v>13034</v>
      </c>
      <c r="B5714" s="142" t="s">
        <v>15562</v>
      </c>
      <c r="C5714" s="142" t="s">
        <v>15847</v>
      </c>
      <c r="D5714" s="142" t="s">
        <v>15848</v>
      </c>
      <c r="E5714" s="142" t="s">
        <v>15849</v>
      </c>
      <c r="F5714" s="142" t="s">
        <v>772</v>
      </c>
      <c r="G5714" s="142" t="s">
        <v>771</v>
      </c>
      <c r="H5714" s="142" t="s">
        <v>21564</v>
      </c>
      <c r="I5714" s="142">
        <v>60</v>
      </c>
      <c r="J5714" s="142">
        <v>0</v>
      </c>
      <c r="K5714" s="142">
        <v>0</v>
      </c>
      <c r="L5714" s="142">
        <v>60</v>
      </c>
      <c r="M5714" s="142">
        <v>0</v>
      </c>
    </row>
    <row r="5715" spans="1:13" x14ac:dyDescent="0.45">
      <c r="A5715" s="142" t="s">
        <v>13035</v>
      </c>
      <c r="B5715" s="142" t="s">
        <v>14648</v>
      </c>
      <c r="C5715" s="142" t="s">
        <v>15847</v>
      </c>
      <c r="D5715" s="142" t="s">
        <v>15848</v>
      </c>
      <c r="E5715" s="142" t="s">
        <v>15849</v>
      </c>
      <c r="F5715" s="142" t="s">
        <v>772</v>
      </c>
      <c r="G5715" s="142" t="s">
        <v>771</v>
      </c>
      <c r="H5715" s="142" t="s">
        <v>21565</v>
      </c>
      <c r="I5715" s="142">
        <v>18</v>
      </c>
      <c r="J5715" s="142">
        <v>0</v>
      </c>
      <c r="K5715" s="142">
        <v>0</v>
      </c>
      <c r="L5715" s="142">
        <v>0</v>
      </c>
      <c r="M5715" s="142">
        <v>18</v>
      </c>
    </row>
    <row r="5716" spans="1:13" x14ac:dyDescent="0.45">
      <c r="A5716" s="142" t="s">
        <v>13036</v>
      </c>
      <c r="B5716" s="142" t="s">
        <v>15567</v>
      </c>
      <c r="C5716" s="142" t="s">
        <v>15847</v>
      </c>
      <c r="D5716" s="142" t="s">
        <v>15848</v>
      </c>
      <c r="E5716" s="142" t="s">
        <v>15849</v>
      </c>
      <c r="F5716" s="142" t="s">
        <v>772</v>
      </c>
      <c r="G5716" s="142" t="s">
        <v>771</v>
      </c>
      <c r="H5716" s="142" t="s">
        <v>21566</v>
      </c>
      <c r="I5716" s="142">
        <v>39</v>
      </c>
      <c r="J5716" s="142">
        <v>0</v>
      </c>
      <c r="K5716" s="142">
        <v>0</v>
      </c>
      <c r="L5716" s="142">
        <v>39</v>
      </c>
      <c r="M5716" s="142">
        <v>0</v>
      </c>
    </row>
    <row r="5717" spans="1:13" x14ac:dyDescent="0.45">
      <c r="A5717" s="142" t="s">
        <v>13038</v>
      </c>
      <c r="B5717" s="142" t="s">
        <v>14646</v>
      </c>
      <c r="C5717" s="142" t="s">
        <v>15847</v>
      </c>
      <c r="D5717" s="142" t="s">
        <v>15848</v>
      </c>
      <c r="E5717" s="142" t="s">
        <v>15849</v>
      </c>
      <c r="F5717" s="142" t="s">
        <v>772</v>
      </c>
      <c r="G5717" s="142" t="s">
        <v>771</v>
      </c>
      <c r="H5717" s="142" t="s">
        <v>21567</v>
      </c>
      <c r="I5717" s="142">
        <v>35</v>
      </c>
      <c r="J5717" s="142">
        <v>23</v>
      </c>
      <c r="K5717" s="142">
        <v>0</v>
      </c>
      <c r="L5717" s="142">
        <v>0</v>
      </c>
      <c r="M5717" s="142">
        <v>12</v>
      </c>
    </row>
    <row r="5718" spans="1:13" x14ac:dyDescent="0.45">
      <c r="A5718" s="142" t="s">
        <v>13039</v>
      </c>
      <c r="B5718" s="142" t="s">
        <v>14647</v>
      </c>
      <c r="C5718" s="142" t="s">
        <v>15847</v>
      </c>
      <c r="D5718" s="142" t="s">
        <v>15848</v>
      </c>
      <c r="E5718" s="142" t="s">
        <v>15849</v>
      </c>
      <c r="F5718" s="142" t="s">
        <v>772</v>
      </c>
      <c r="G5718" s="142" t="s">
        <v>771</v>
      </c>
      <c r="H5718" s="142" t="s">
        <v>21568</v>
      </c>
      <c r="I5718" s="142">
        <v>4</v>
      </c>
      <c r="J5718" s="142">
        <v>4</v>
      </c>
      <c r="K5718" s="142">
        <v>0</v>
      </c>
      <c r="L5718" s="142">
        <v>0</v>
      </c>
      <c r="M5718" s="142">
        <v>0</v>
      </c>
    </row>
    <row r="5719" spans="1:13" x14ac:dyDescent="0.45">
      <c r="A5719" s="142" t="s">
        <v>13009</v>
      </c>
      <c r="B5719" s="142" t="s">
        <v>15256</v>
      </c>
      <c r="C5719" s="142" t="s">
        <v>15847</v>
      </c>
      <c r="D5719" s="142" t="s">
        <v>15848</v>
      </c>
      <c r="E5719" s="142" t="s">
        <v>15849</v>
      </c>
      <c r="F5719" s="142" t="s">
        <v>772</v>
      </c>
      <c r="G5719" s="142" t="s">
        <v>771</v>
      </c>
      <c r="H5719" s="142" t="s">
        <v>21569</v>
      </c>
      <c r="I5719" s="142">
        <v>62</v>
      </c>
      <c r="J5719" s="142">
        <v>58</v>
      </c>
      <c r="K5719" s="142">
        <v>0</v>
      </c>
      <c r="L5719" s="142">
        <v>0</v>
      </c>
      <c r="M5719" s="142">
        <v>4</v>
      </c>
    </row>
    <row r="5720" spans="1:13" x14ac:dyDescent="0.45">
      <c r="A5720" s="142" t="s">
        <v>13014</v>
      </c>
      <c r="B5720" s="142" t="s">
        <v>14505</v>
      </c>
      <c r="C5720" s="142" t="s">
        <v>15847</v>
      </c>
      <c r="D5720" s="142" t="s">
        <v>15848</v>
      </c>
      <c r="E5720" s="142" t="s">
        <v>15849</v>
      </c>
      <c r="F5720" s="142" t="s">
        <v>772</v>
      </c>
      <c r="G5720" s="142" t="s">
        <v>771</v>
      </c>
      <c r="H5720" s="142" t="s">
        <v>21570</v>
      </c>
      <c r="I5720" s="142">
        <v>1</v>
      </c>
      <c r="J5720" s="142">
        <v>0</v>
      </c>
      <c r="K5720" s="142">
        <v>0</v>
      </c>
      <c r="L5720" s="142">
        <v>0</v>
      </c>
      <c r="M5720" s="142">
        <v>1</v>
      </c>
    </row>
    <row r="5721" spans="1:13" x14ac:dyDescent="0.45">
      <c r="A5721" s="142" t="s">
        <v>13042</v>
      </c>
      <c r="B5721" s="142" t="s">
        <v>15489</v>
      </c>
      <c r="C5721" s="142" t="s">
        <v>15847</v>
      </c>
      <c r="D5721" s="142" t="s">
        <v>15848</v>
      </c>
      <c r="E5721" s="142" t="s">
        <v>15849</v>
      </c>
      <c r="F5721" s="142" t="s">
        <v>772</v>
      </c>
      <c r="G5721" s="142" t="s">
        <v>771</v>
      </c>
      <c r="H5721" s="142" t="s">
        <v>21571</v>
      </c>
      <c r="I5721" s="142">
        <v>1</v>
      </c>
      <c r="J5721" s="142">
        <v>1</v>
      </c>
      <c r="K5721" s="142">
        <v>0</v>
      </c>
      <c r="L5721" s="142">
        <v>0</v>
      </c>
      <c r="M5721" s="142">
        <v>0</v>
      </c>
    </row>
    <row r="5722" spans="1:13" x14ac:dyDescent="0.45">
      <c r="A5722" s="142" t="s">
        <v>13154</v>
      </c>
      <c r="B5722" s="142" t="s">
        <v>15415</v>
      </c>
      <c r="C5722" s="142" t="s">
        <v>15847</v>
      </c>
      <c r="D5722" s="142" t="s">
        <v>15848</v>
      </c>
      <c r="E5722" s="142" t="s">
        <v>15849</v>
      </c>
      <c r="F5722" s="142" t="s">
        <v>772</v>
      </c>
      <c r="G5722" s="142" t="s">
        <v>771</v>
      </c>
      <c r="H5722" s="142" t="s">
        <v>21572</v>
      </c>
      <c r="I5722" s="142">
        <v>4</v>
      </c>
      <c r="J5722" s="142">
        <v>4</v>
      </c>
      <c r="K5722" s="142">
        <v>0</v>
      </c>
      <c r="L5722" s="142">
        <v>0</v>
      </c>
      <c r="M5722" s="142">
        <v>0</v>
      </c>
    </row>
    <row r="5723" spans="1:13" x14ac:dyDescent="0.45">
      <c r="A5723" s="142" t="s">
        <v>13021</v>
      </c>
      <c r="B5723" s="142" t="s">
        <v>15501</v>
      </c>
      <c r="C5723" s="142" t="s">
        <v>15847</v>
      </c>
      <c r="D5723" s="142" t="s">
        <v>15848</v>
      </c>
      <c r="E5723" s="142" t="s">
        <v>15849</v>
      </c>
      <c r="F5723" s="142" t="s">
        <v>5310</v>
      </c>
      <c r="G5723" s="142" t="s">
        <v>5309</v>
      </c>
      <c r="H5723" s="142" t="s">
        <v>21573</v>
      </c>
      <c r="I5723" s="142">
        <v>8</v>
      </c>
      <c r="J5723" s="142">
        <v>0</v>
      </c>
      <c r="K5723" s="142">
        <v>0</v>
      </c>
      <c r="L5723" s="142">
        <v>8</v>
      </c>
      <c r="M5723" s="142">
        <v>0</v>
      </c>
    </row>
    <row r="5724" spans="1:13" x14ac:dyDescent="0.45">
      <c r="A5724" s="142" t="s">
        <v>13022</v>
      </c>
      <c r="B5724" s="142" t="s">
        <v>14634</v>
      </c>
      <c r="C5724" s="142" t="s">
        <v>15847</v>
      </c>
      <c r="D5724" s="142" t="s">
        <v>15848</v>
      </c>
      <c r="E5724" s="142" t="s">
        <v>15849</v>
      </c>
      <c r="F5724" s="142" t="s">
        <v>5310</v>
      </c>
      <c r="G5724" s="142" t="s">
        <v>5309</v>
      </c>
      <c r="H5724" s="142" t="s">
        <v>21574</v>
      </c>
      <c r="I5724" s="142">
        <v>16</v>
      </c>
      <c r="J5724" s="142">
        <v>0</v>
      </c>
      <c r="K5724" s="142">
        <v>0</v>
      </c>
      <c r="L5724" s="142">
        <v>16</v>
      </c>
      <c r="M5724" s="142">
        <v>0</v>
      </c>
    </row>
    <row r="5725" spans="1:13" x14ac:dyDescent="0.45">
      <c r="A5725" s="142" t="s">
        <v>13023</v>
      </c>
      <c r="B5725" s="142" t="s">
        <v>15571</v>
      </c>
      <c r="C5725" s="142" t="s">
        <v>15847</v>
      </c>
      <c r="D5725" s="142" t="s">
        <v>15848</v>
      </c>
      <c r="E5725" s="142" t="s">
        <v>15849</v>
      </c>
      <c r="F5725" s="142" t="s">
        <v>5310</v>
      </c>
      <c r="G5725" s="142" t="s">
        <v>5309</v>
      </c>
      <c r="H5725" s="142" t="s">
        <v>21575</v>
      </c>
      <c r="I5725" s="142">
        <v>30</v>
      </c>
      <c r="J5725" s="142">
        <v>0</v>
      </c>
      <c r="K5725" s="142">
        <v>0</v>
      </c>
      <c r="L5725" s="142">
        <v>30</v>
      </c>
      <c r="M5725" s="142">
        <v>0</v>
      </c>
    </row>
    <row r="5726" spans="1:13" x14ac:dyDescent="0.45">
      <c r="A5726" s="142" t="s">
        <v>13348</v>
      </c>
      <c r="B5726" s="142" t="s">
        <v>15458</v>
      </c>
      <c r="C5726" s="142" t="s">
        <v>15847</v>
      </c>
      <c r="D5726" s="142" t="s">
        <v>15848</v>
      </c>
      <c r="E5726" s="142" t="s">
        <v>15849</v>
      </c>
      <c r="F5726" s="142" t="s">
        <v>5310</v>
      </c>
      <c r="G5726" s="142" t="s">
        <v>5309</v>
      </c>
      <c r="H5726" s="142" t="s">
        <v>21576</v>
      </c>
      <c r="I5726" s="142">
        <v>31</v>
      </c>
      <c r="J5726" s="142">
        <v>20</v>
      </c>
      <c r="K5726" s="142">
        <v>0</v>
      </c>
      <c r="L5726" s="142">
        <v>0</v>
      </c>
      <c r="M5726" s="142">
        <v>11</v>
      </c>
    </row>
    <row r="5727" spans="1:13" x14ac:dyDescent="0.45">
      <c r="A5727" s="142" t="s">
        <v>13000</v>
      </c>
      <c r="B5727" s="142" t="s">
        <v>14610</v>
      </c>
      <c r="C5727" s="142" t="s">
        <v>15847</v>
      </c>
      <c r="D5727" s="142" t="s">
        <v>15848</v>
      </c>
      <c r="E5727" s="142" t="s">
        <v>15849</v>
      </c>
      <c r="F5727" s="142" t="s">
        <v>5310</v>
      </c>
      <c r="G5727" s="142" t="s">
        <v>5309</v>
      </c>
      <c r="H5727" s="142" t="s">
        <v>21577</v>
      </c>
      <c r="I5727" s="142">
        <v>381</v>
      </c>
      <c r="J5727" s="142">
        <v>336</v>
      </c>
      <c r="K5727" s="142">
        <v>0</v>
      </c>
      <c r="L5727" s="142">
        <v>24</v>
      </c>
      <c r="M5727" s="142">
        <v>21</v>
      </c>
    </row>
    <row r="5728" spans="1:13" x14ac:dyDescent="0.45">
      <c r="A5728" s="142" t="s">
        <v>13462</v>
      </c>
      <c r="B5728" s="142" t="s">
        <v>14653</v>
      </c>
      <c r="C5728" s="142" t="s">
        <v>15847</v>
      </c>
      <c r="D5728" s="142" t="s">
        <v>15848</v>
      </c>
      <c r="E5728" s="142" t="s">
        <v>15849</v>
      </c>
      <c r="F5728" s="142" t="s">
        <v>5310</v>
      </c>
      <c r="G5728" s="142" t="s">
        <v>5309</v>
      </c>
      <c r="H5728" s="142" t="s">
        <v>21578</v>
      </c>
      <c r="I5728" s="142">
        <v>1319</v>
      </c>
      <c r="J5728" s="142">
        <v>1078</v>
      </c>
      <c r="K5728" s="142">
        <v>0</v>
      </c>
      <c r="L5728" s="142">
        <v>214</v>
      </c>
      <c r="M5728" s="142">
        <v>27</v>
      </c>
    </row>
    <row r="5729" spans="1:13" x14ac:dyDescent="0.45">
      <c r="A5729" s="142" t="s">
        <v>13001</v>
      </c>
      <c r="B5729" s="142" t="s">
        <v>15506</v>
      </c>
      <c r="C5729" s="142" t="s">
        <v>15847</v>
      </c>
      <c r="D5729" s="142" t="s">
        <v>15848</v>
      </c>
      <c r="E5729" s="142" t="s">
        <v>15849</v>
      </c>
      <c r="F5729" s="142" t="s">
        <v>5310</v>
      </c>
      <c r="G5729" s="142" t="s">
        <v>5309</v>
      </c>
      <c r="H5729" s="142" t="s">
        <v>21579</v>
      </c>
      <c r="I5729" s="142">
        <v>13</v>
      </c>
      <c r="J5729" s="142">
        <v>13</v>
      </c>
      <c r="K5729" s="142">
        <v>0</v>
      </c>
      <c r="L5729" s="142">
        <v>0</v>
      </c>
      <c r="M5729" s="142">
        <v>0</v>
      </c>
    </row>
    <row r="5730" spans="1:13" x14ac:dyDescent="0.45">
      <c r="A5730" s="142" t="s">
        <v>13050</v>
      </c>
      <c r="B5730" s="142" t="s">
        <v>15237</v>
      </c>
      <c r="C5730" s="142" t="s">
        <v>15847</v>
      </c>
      <c r="D5730" s="142" t="s">
        <v>15848</v>
      </c>
      <c r="E5730" s="142" t="s">
        <v>15849</v>
      </c>
      <c r="F5730" s="142" t="s">
        <v>5310</v>
      </c>
      <c r="G5730" s="142" t="s">
        <v>5309</v>
      </c>
      <c r="H5730" s="142" t="s">
        <v>21580</v>
      </c>
      <c r="I5730" s="142">
        <v>4</v>
      </c>
      <c r="J5730" s="142">
        <v>0</v>
      </c>
      <c r="K5730" s="142">
        <v>0</v>
      </c>
      <c r="L5730" s="142">
        <v>0</v>
      </c>
      <c r="M5730" s="142">
        <v>4</v>
      </c>
    </row>
    <row r="5731" spans="1:13" x14ac:dyDescent="0.45">
      <c r="A5731" s="142" t="s">
        <v>13028</v>
      </c>
      <c r="B5731" s="142" t="s">
        <v>14462</v>
      </c>
      <c r="C5731" s="142" t="s">
        <v>15847</v>
      </c>
      <c r="D5731" s="142" t="s">
        <v>15848</v>
      </c>
      <c r="E5731" s="142" t="s">
        <v>15849</v>
      </c>
      <c r="F5731" s="142" t="s">
        <v>5310</v>
      </c>
      <c r="G5731" s="142" t="s">
        <v>5309</v>
      </c>
      <c r="H5731" s="142" t="s">
        <v>21581</v>
      </c>
      <c r="I5731" s="142">
        <v>57</v>
      </c>
      <c r="J5731" s="142">
        <v>0</v>
      </c>
      <c r="K5731" s="142">
        <v>0</v>
      </c>
      <c r="L5731" s="142">
        <v>0</v>
      </c>
      <c r="M5731" s="142">
        <v>57</v>
      </c>
    </row>
    <row r="5732" spans="1:13" x14ac:dyDescent="0.45">
      <c r="A5732" s="142" t="s">
        <v>13199</v>
      </c>
      <c r="B5732" s="142" t="s">
        <v>15362</v>
      </c>
      <c r="C5732" s="142" t="s">
        <v>15847</v>
      </c>
      <c r="D5732" s="142" t="s">
        <v>15848</v>
      </c>
      <c r="E5732" s="142" t="s">
        <v>15849</v>
      </c>
      <c r="F5732" s="142" t="s">
        <v>5310</v>
      </c>
      <c r="G5732" s="142" t="s">
        <v>5309</v>
      </c>
      <c r="H5732" s="142" t="s">
        <v>21582</v>
      </c>
      <c r="I5732" s="142">
        <v>269</v>
      </c>
      <c r="J5732" s="142">
        <v>205</v>
      </c>
      <c r="K5732" s="142">
        <v>0</v>
      </c>
      <c r="L5732" s="142">
        <v>14</v>
      </c>
      <c r="M5732" s="142">
        <v>50</v>
      </c>
    </row>
    <row r="5733" spans="1:13" x14ac:dyDescent="0.45">
      <c r="A5733" s="142" t="s">
        <v>13002</v>
      </c>
      <c r="B5733" s="142" t="s">
        <v>15376</v>
      </c>
      <c r="C5733" s="142" t="s">
        <v>15847</v>
      </c>
      <c r="D5733" s="142" t="s">
        <v>15848</v>
      </c>
      <c r="E5733" s="142" t="s">
        <v>15849</v>
      </c>
      <c r="F5733" s="142" t="s">
        <v>5310</v>
      </c>
      <c r="G5733" s="142" t="s">
        <v>5309</v>
      </c>
      <c r="H5733" s="142" t="s">
        <v>21583</v>
      </c>
      <c r="I5733" s="142">
        <v>240</v>
      </c>
      <c r="J5733" s="142">
        <v>185</v>
      </c>
      <c r="K5733" s="142">
        <v>0</v>
      </c>
      <c r="L5733" s="142">
        <v>0</v>
      </c>
      <c r="M5733" s="142">
        <v>55</v>
      </c>
    </row>
    <row r="5734" spans="1:13" x14ac:dyDescent="0.45">
      <c r="A5734" s="142" t="s">
        <v>13003</v>
      </c>
      <c r="B5734" s="142" t="s">
        <v>15245</v>
      </c>
      <c r="C5734" s="142" t="s">
        <v>15847</v>
      </c>
      <c r="D5734" s="142" t="s">
        <v>15848</v>
      </c>
      <c r="E5734" s="142" t="s">
        <v>15849</v>
      </c>
      <c r="F5734" s="142" t="s">
        <v>5310</v>
      </c>
      <c r="G5734" s="142" t="s">
        <v>5309</v>
      </c>
      <c r="H5734" s="142" t="s">
        <v>21584</v>
      </c>
      <c r="I5734" s="142">
        <v>40</v>
      </c>
      <c r="J5734" s="142">
        <v>0</v>
      </c>
      <c r="K5734" s="142">
        <v>0</v>
      </c>
      <c r="L5734" s="142">
        <v>40</v>
      </c>
      <c r="M5734" s="142">
        <v>0</v>
      </c>
    </row>
    <row r="5735" spans="1:13" x14ac:dyDescent="0.45">
      <c r="A5735" s="142" t="s">
        <v>13066</v>
      </c>
      <c r="B5735" s="142" t="s">
        <v>14459</v>
      </c>
      <c r="C5735" s="142" t="s">
        <v>15847</v>
      </c>
      <c r="D5735" s="142" t="s">
        <v>15848</v>
      </c>
      <c r="E5735" s="142" t="s">
        <v>15849</v>
      </c>
      <c r="F5735" s="142" t="s">
        <v>5310</v>
      </c>
      <c r="G5735" s="142" t="s">
        <v>5309</v>
      </c>
      <c r="H5735" s="142" t="s">
        <v>21585</v>
      </c>
      <c r="I5735" s="142">
        <v>1</v>
      </c>
      <c r="J5735" s="142">
        <v>0</v>
      </c>
      <c r="K5735" s="142">
        <v>0</v>
      </c>
      <c r="L5735" s="142">
        <v>1</v>
      </c>
      <c r="M5735" s="142">
        <v>0</v>
      </c>
    </row>
    <row r="5736" spans="1:13" x14ac:dyDescent="0.45">
      <c r="A5736" s="142" t="s">
        <v>13005</v>
      </c>
      <c r="B5736" s="142" t="s">
        <v>15475</v>
      </c>
      <c r="C5736" s="142" t="s">
        <v>15847</v>
      </c>
      <c r="D5736" s="142" t="s">
        <v>15848</v>
      </c>
      <c r="E5736" s="142" t="s">
        <v>15849</v>
      </c>
      <c r="F5736" s="142" t="s">
        <v>5310</v>
      </c>
      <c r="G5736" s="142" t="s">
        <v>5309</v>
      </c>
      <c r="H5736" s="142" t="s">
        <v>21586</v>
      </c>
      <c r="I5736" s="142">
        <v>1</v>
      </c>
      <c r="J5736" s="142">
        <v>0</v>
      </c>
      <c r="K5736" s="142">
        <v>0</v>
      </c>
      <c r="L5736" s="142">
        <v>0</v>
      </c>
      <c r="M5736" s="142">
        <v>1</v>
      </c>
    </row>
    <row r="5737" spans="1:13" x14ac:dyDescent="0.45">
      <c r="A5737" s="142" t="s">
        <v>13101</v>
      </c>
      <c r="B5737" s="142" t="s">
        <v>15491</v>
      </c>
      <c r="C5737" s="142" t="s">
        <v>15847</v>
      </c>
      <c r="D5737" s="142" t="s">
        <v>15848</v>
      </c>
      <c r="E5737" s="142" t="s">
        <v>15849</v>
      </c>
      <c r="F5737" s="142" t="s">
        <v>5310</v>
      </c>
      <c r="G5737" s="142" t="s">
        <v>5309</v>
      </c>
      <c r="H5737" s="142" t="s">
        <v>21587</v>
      </c>
      <c r="I5737" s="142">
        <v>1</v>
      </c>
      <c r="J5737" s="142">
        <v>0</v>
      </c>
      <c r="K5737" s="142">
        <v>0</v>
      </c>
      <c r="L5737" s="142">
        <v>1</v>
      </c>
      <c r="M5737" s="142">
        <v>0</v>
      </c>
    </row>
    <row r="5738" spans="1:13" x14ac:dyDescent="0.45">
      <c r="A5738" s="142" t="s">
        <v>13006</v>
      </c>
      <c r="B5738" s="142" t="s">
        <v>15288</v>
      </c>
      <c r="C5738" s="142" t="s">
        <v>15847</v>
      </c>
      <c r="D5738" s="142" t="s">
        <v>15848</v>
      </c>
      <c r="E5738" s="142" t="s">
        <v>15849</v>
      </c>
      <c r="F5738" s="142" t="s">
        <v>5310</v>
      </c>
      <c r="G5738" s="142" t="s">
        <v>5309</v>
      </c>
      <c r="H5738" s="142" t="s">
        <v>21588</v>
      </c>
      <c r="I5738" s="142">
        <v>16</v>
      </c>
      <c r="J5738" s="142">
        <v>10</v>
      </c>
      <c r="K5738" s="142">
        <v>0</v>
      </c>
      <c r="L5738" s="142">
        <v>6</v>
      </c>
      <c r="M5738" s="142">
        <v>0</v>
      </c>
    </row>
    <row r="5739" spans="1:13" x14ac:dyDescent="0.45">
      <c r="A5739" s="142" t="s">
        <v>13103</v>
      </c>
      <c r="B5739" s="142" t="s">
        <v>14623</v>
      </c>
      <c r="C5739" s="142" t="s">
        <v>15847</v>
      </c>
      <c r="D5739" s="142" t="s">
        <v>15848</v>
      </c>
      <c r="E5739" s="142" t="s">
        <v>15849</v>
      </c>
      <c r="F5739" s="142" t="s">
        <v>5310</v>
      </c>
      <c r="G5739" s="142" t="s">
        <v>5309</v>
      </c>
      <c r="H5739" s="142" t="s">
        <v>21589</v>
      </c>
      <c r="I5739" s="142">
        <v>25</v>
      </c>
      <c r="J5739" s="142">
        <v>6</v>
      </c>
      <c r="K5739" s="142">
        <v>0</v>
      </c>
      <c r="L5739" s="142">
        <v>17</v>
      </c>
      <c r="M5739" s="142">
        <v>2</v>
      </c>
    </row>
    <row r="5740" spans="1:13" x14ac:dyDescent="0.45">
      <c r="A5740" s="142" t="s">
        <v>13054</v>
      </c>
      <c r="B5740" s="142" t="s">
        <v>15604</v>
      </c>
      <c r="C5740" s="142" t="s">
        <v>15847</v>
      </c>
      <c r="D5740" s="142" t="s">
        <v>15848</v>
      </c>
      <c r="E5740" s="142" t="s">
        <v>15849</v>
      </c>
      <c r="F5740" s="142" t="s">
        <v>5310</v>
      </c>
      <c r="G5740" s="142" t="s">
        <v>5309</v>
      </c>
      <c r="H5740" s="142" t="s">
        <v>21590</v>
      </c>
      <c r="I5740" s="142">
        <v>2</v>
      </c>
      <c r="J5740" s="142">
        <v>0</v>
      </c>
      <c r="K5740" s="142">
        <v>0</v>
      </c>
      <c r="L5740" s="142">
        <v>0</v>
      </c>
      <c r="M5740" s="142">
        <v>2</v>
      </c>
    </row>
    <row r="5741" spans="1:13" x14ac:dyDescent="0.45">
      <c r="A5741" s="142" t="s">
        <v>13131</v>
      </c>
      <c r="B5741" s="142" t="s">
        <v>15233</v>
      </c>
      <c r="C5741" s="142" t="s">
        <v>15860</v>
      </c>
      <c r="D5741" s="142" t="s">
        <v>15861</v>
      </c>
      <c r="E5741" s="142" t="s">
        <v>15849</v>
      </c>
      <c r="F5741" s="142" t="s">
        <v>5310</v>
      </c>
      <c r="G5741" s="142" t="s">
        <v>5309</v>
      </c>
      <c r="H5741" s="142" t="s">
        <v>21591</v>
      </c>
      <c r="I5741" s="142">
        <v>55</v>
      </c>
      <c r="J5741" s="142">
        <v>0</v>
      </c>
      <c r="K5741" s="142">
        <v>0</v>
      </c>
      <c r="L5741" s="142">
        <v>55</v>
      </c>
      <c r="M5741" s="142">
        <v>0</v>
      </c>
    </row>
    <row r="5742" spans="1:13" x14ac:dyDescent="0.45">
      <c r="A5742" s="142" t="s">
        <v>13341</v>
      </c>
      <c r="B5742" s="142" t="s">
        <v>14530</v>
      </c>
      <c r="C5742" s="142" t="s">
        <v>15860</v>
      </c>
      <c r="D5742" s="142" t="s">
        <v>15861</v>
      </c>
      <c r="E5742" s="142" t="s">
        <v>15849</v>
      </c>
      <c r="F5742" s="142" t="s">
        <v>5310</v>
      </c>
      <c r="G5742" s="142" t="s">
        <v>5309</v>
      </c>
      <c r="H5742" s="142" t="s">
        <v>21592</v>
      </c>
      <c r="I5742" s="142">
        <v>39</v>
      </c>
      <c r="J5742" s="142">
        <v>39</v>
      </c>
      <c r="K5742" s="142">
        <v>0</v>
      </c>
      <c r="L5742" s="142">
        <v>0</v>
      </c>
      <c r="M5742" s="142">
        <v>0</v>
      </c>
    </row>
    <row r="5743" spans="1:13" x14ac:dyDescent="0.45">
      <c r="A5743" s="142" t="s">
        <v>13133</v>
      </c>
      <c r="B5743" s="142" t="s">
        <v>15291</v>
      </c>
      <c r="C5743" s="142" t="s">
        <v>15847</v>
      </c>
      <c r="D5743" s="142" t="s">
        <v>15848</v>
      </c>
      <c r="E5743" s="142" t="s">
        <v>15849</v>
      </c>
      <c r="F5743" s="142" t="s">
        <v>5310</v>
      </c>
      <c r="G5743" s="142" t="s">
        <v>5309</v>
      </c>
      <c r="H5743" s="142" t="s">
        <v>21593</v>
      </c>
      <c r="I5743" s="142">
        <v>81</v>
      </c>
      <c r="J5743" s="142">
        <v>44</v>
      </c>
      <c r="K5743" s="142">
        <v>0</v>
      </c>
      <c r="L5743" s="142">
        <v>22</v>
      </c>
      <c r="M5743" s="142">
        <v>15</v>
      </c>
    </row>
    <row r="5744" spans="1:13" x14ac:dyDescent="0.45">
      <c r="A5744" s="142" t="s">
        <v>13135</v>
      </c>
      <c r="B5744" s="142" t="s">
        <v>15575</v>
      </c>
      <c r="C5744" s="142" t="s">
        <v>15847</v>
      </c>
      <c r="D5744" s="142" t="s">
        <v>15848</v>
      </c>
      <c r="E5744" s="142" t="s">
        <v>15849</v>
      </c>
      <c r="F5744" s="142" t="s">
        <v>5310</v>
      </c>
      <c r="G5744" s="142" t="s">
        <v>5309</v>
      </c>
      <c r="H5744" s="142" t="s">
        <v>21594</v>
      </c>
      <c r="I5744" s="142">
        <v>37</v>
      </c>
      <c r="J5744" s="142">
        <v>24</v>
      </c>
      <c r="K5744" s="142">
        <v>0</v>
      </c>
      <c r="L5744" s="142">
        <v>0</v>
      </c>
      <c r="M5744" s="142">
        <v>13</v>
      </c>
    </row>
    <row r="5745" spans="1:13" x14ac:dyDescent="0.45">
      <c r="A5745" s="142" t="s">
        <v>13104</v>
      </c>
      <c r="B5745" s="142" t="s">
        <v>14622</v>
      </c>
      <c r="C5745" s="142" t="s">
        <v>15847</v>
      </c>
      <c r="D5745" s="142" t="s">
        <v>15848</v>
      </c>
      <c r="E5745" s="142" t="s">
        <v>15849</v>
      </c>
      <c r="F5745" s="142" t="s">
        <v>5310</v>
      </c>
      <c r="G5745" s="142" t="s">
        <v>5309</v>
      </c>
      <c r="H5745" s="142" t="s">
        <v>21595</v>
      </c>
      <c r="I5745" s="142">
        <v>208</v>
      </c>
      <c r="J5745" s="142">
        <v>158</v>
      </c>
      <c r="K5745" s="142">
        <v>0</v>
      </c>
      <c r="L5745" s="142">
        <v>22</v>
      </c>
      <c r="M5745" s="142">
        <v>28</v>
      </c>
    </row>
    <row r="5746" spans="1:13" x14ac:dyDescent="0.45">
      <c r="A5746" s="142" t="s">
        <v>13033</v>
      </c>
      <c r="B5746" s="142" t="s">
        <v>15276</v>
      </c>
      <c r="C5746" s="142" t="s">
        <v>15847</v>
      </c>
      <c r="D5746" s="142" t="s">
        <v>15848</v>
      </c>
      <c r="E5746" s="142" t="s">
        <v>15849</v>
      </c>
      <c r="F5746" s="142" t="s">
        <v>5310</v>
      </c>
      <c r="G5746" s="142" t="s">
        <v>5309</v>
      </c>
      <c r="H5746" s="142" t="s">
        <v>21596</v>
      </c>
      <c r="I5746" s="142">
        <v>5</v>
      </c>
      <c r="J5746" s="142">
        <v>5</v>
      </c>
      <c r="K5746" s="142">
        <v>0</v>
      </c>
      <c r="L5746" s="142">
        <v>0</v>
      </c>
      <c r="M5746" s="142">
        <v>0</v>
      </c>
    </row>
    <row r="5747" spans="1:13" x14ac:dyDescent="0.45">
      <c r="A5747" s="142" t="s">
        <v>13037</v>
      </c>
      <c r="B5747" s="142" t="s">
        <v>14519</v>
      </c>
      <c r="C5747" s="142" t="s">
        <v>15847</v>
      </c>
      <c r="D5747" s="142" t="s">
        <v>15848</v>
      </c>
      <c r="E5747" s="142" t="s">
        <v>15849</v>
      </c>
      <c r="F5747" s="142" t="s">
        <v>5310</v>
      </c>
      <c r="G5747" s="142" t="s">
        <v>5309</v>
      </c>
      <c r="H5747" s="142" t="s">
        <v>21597</v>
      </c>
      <c r="I5747" s="142">
        <v>2</v>
      </c>
      <c r="J5747" s="142">
        <v>0</v>
      </c>
      <c r="K5747" s="142">
        <v>0</v>
      </c>
      <c r="L5747" s="142">
        <v>2</v>
      </c>
      <c r="M5747" s="142">
        <v>0</v>
      </c>
    </row>
    <row r="5748" spans="1:13" x14ac:dyDescent="0.45">
      <c r="A5748" s="142" t="s">
        <v>13038</v>
      </c>
      <c r="B5748" s="142" t="s">
        <v>14646</v>
      </c>
      <c r="C5748" s="142" t="s">
        <v>15847</v>
      </c>
      <c r="D5748" s="142" t="s">
        <v>15848</v>
      </c>
      <c r="E5748" s="142" t="s">
        <v>15849</v>
      </c>
      <c r="F5748" s="142" t="s">
        <v>5310</v>
      </c>
      <c r="G5748" s="142" t="s">
        <v>5309</v>
      </c>
      <c r="H5748" s="142" t="s">
        <v>21598</v>
      </c>
      <c r="I5748" s="142">
        <v>26</v>
      </c>
      <c r="J5748" s="142">
        <v>0</v>
      </c>
      <c r="K5748" s="142">
        <v>0</v>
      </c>
      <c r="L5748" s="142">
        <v>0</v>
      </c>
      <c r="M5748" s="142">
        <v>26</v>
      </c>
    </row>
    <row r="5749" spans="1:13" x14ac:dyDescent="0.45">
      <c r="A5749" s="142" t="s">
        <v>13039</v>
      </c>
      <c r="B5749" s="142" t="s">
        <v>14647</v>
      </c>
      <c r="C5749" s="142" t="s">
        <v>15847</v>
      </c>
      <c r="D5749" s="142" t="s">
        <v>15848</v>
      </c>
      <c r="E5749" s="142" t="s">
        <v>15849</v>
      </c>
      <c r="F5749" s="142" t="s">
        <v>5310</v>
      </c>
      <c r="G5749" s="142" t="s">
        <v>5309</v>
      </c>
      <c r="H5749" s="142" t="s">
        <v>21599</v>
      </c>
      <c r="I5749" s="142">
        <v>32</v>
      </c>
      <c r="J5749" s="142">
        <v>32</v>
      </c>
      <c r="K5749" s="142">
        <v>0</v>
      </c>
      <c r="L5749" s="142">
        <v>0</v>
      </c>
      <c r="M5749" s="142">
        <v>0</v>
      </c>
    </row>
    <row r="5750" spans="1:13" x14ac:dyDescent="0.45">
      <c r="A5750" s="142" t="s">
        <v>13091</v>
      </c>
      <c r="B5750" s="142" t="s">
        <v>14473</v>
      </c>
      <c r="C5750" s="142" t="s">
        <v>15847</v>
      </c>
      <c r="D5750" s="142" t="s">
        <v>15848</v>
      </c>
      <c r="E5750" s="142" t="s">
        <v>15849</v>
      </c>
      <c r="F5750" s="142" t="s">
        <v>5310</v>
      </c>
      <c r="G5750" s="142" t="s">
        <v>5309</v>
      </c>
      <c r="H5750" s="142" t="s">
        <v>21600</v>
      </c>
      <c r="I5750" s="142">
        <v>15</v>
      </c>
      <c r="J5750" s="142">
        <v>8</v>
      </c>
      <c r="K5750" s="142">
        <v>0</v>
      </c>
      <c r="L5750" s="142">
        <v>0</v>
      </c>
      <c r="M5750" s="142">
        <v>7</v>
      </c>
    </row>
    <row r="5751" spans="1:13" x14ac:dyDescent="0.45">
      <c r="A5751" s="142" t="s">
        <v>13009</v>
      </c>
      <c r="B5751" s="142" t="s">
        <v>15256</v>
      </c>
      <c r="C5751" s="142" t="s">
        <v>15847</v>
      </c>
      <c r="D5751" s="142" t="s">
        <v>15848</v>
      </c>
      <c r="E5751" s="142" t="s">
        <v>15849</v>
      </c>
      <c r="F5751" s="142" t="s">
        <v>5310</v>
      </c>
      <c r="G5751" s="142" t="s">
        <v>5309</v>
      </c>
      <c r="H5751" s="142" t="s">
        <v>21601</v>
      </c>
      <c r="I5751" s="142">
        <v>176</v>
      </c>
      <c r="J5751" s="142">
        <v>98</v>
      </c>
      <c r="K5751" s="142">
        <v>0</v>
      </c>
      <c r="L5751" s="142">
        <v>49</v>
      </c>
      <c r="M5751" s="142">
        <v>29</v>
      </c>
    </row>
    <row r="5752" spans="1:13" x14ac:dyDescent="0.45">
      <c r="A5752" s="142" t="s">
        <v>13203</v>
      </c>
      <c r="B5752" s="142" t="s">
        <v>15446</v>
      </c>
      <c r="C5752" s="142" t="s">
        <v>15847</v>
      </c>
      <c r="D5752" s="142" t="s">
        <v>15848</v>
      </c>
      <c r="E5752" s="142" t="s">
        <v>15849</v>
      </c>
      <c r="F5752" s="142" t="s">
        <v>5310</v>
      </c>
      <c r="G5752" s="142" t="s">
        <v>5309</v>
      </c>
      <c r="H5752" s="142" t="s">
        <v>21602</v>
      </c>
      <c r="I5752" s="142">
        <v>8142</v>
      </c>
      <c r="J5752" s="142">
        <v>7123</v>
      </c>
      <c r="K5752" s="142">
        <v>0</v>
      </c>
      <c r="L5752" s="142">
        <v>749</v>
      </c>
      <c r="M5752" s="142">
        <v>270</v>
      </c>
    </row>
    <row r="5753" spans="1:13" x14ac:dyDescent="0.45">
      <c r="A5753" s="142" t="s">
        <v>13011</v>
      </c>
      <c r="B5753" s="142" t="s">
        <v>14695</v>
      </c>
      <c r="C5753" s="142" t="s">
        <v>15847</v>
      </c>
      <c r="D5753" s="142" t="s">
        <v>15848</v>
      </c>
      <c r="E5753" s="142" t="s">
        <v>15849</v>
      </c>
      <c r="F5753" s="142" t="s">
        <v>5310</v>
      </c>
      <c r="G5753" s="142" t="s">
        <v>5309</v>
      </c>
      <c r="H5753" s="142" t="s">
        <v>21603</v>
      </c>
      <c r="I5753" s="142">
        <v>1</v>
      </c>
      <c r="J5753" s="142">
        <v>0</v>
      </c>
      <c r="K5753" s="142">
        <v>0</v>
      </c>
      <c r="L5753" s="142">
        <v>0</v>
      </c>
      <c r="M5753" s="142">
        <v>1</v>
      </c>
    </row>
    <row r="5754" spans="1:13" x14ac:dyDescent="0.45">
      <c r="A5754" s="142" t="s">
        <v>13012</v>
      </c>
      <c r="B5754" s="142" t="s">
        <v>15337</v>
      </c>
      <c r="C5754" s="142" t="s">
        <v>15847</v>
      </c>
      <c r="D5754" s="142" t="s">
        <v>15848</v>
      </c>
      <c r="E5754" s="142" t="s">
        <v>15849</v>
      </c>
      <c r="F5754" s="142" t="s">
        <v>5310</v>
      </c>
      <c r="G5754" s="142" t="s">
        <v>5309</v>
      </c>
      <c r="H5754" s="142" t="s">
        <v>21604</v>
      </c>
      <c r="I5754" s="142">
        <v>149</v>
      </c>
      <c r="J5754" s="142">
        <v>127</v>
      </c>
      <c r="K5754" s="142">
        <v>0</v>
      </c>
      <c r="L5754" s="142">
        <v>0</v>
      </c>
      <c r="M5754" s="142">
        <v>22</v>
      </c>
    </row>
    <row r="5755" spans="1:13" x14ac:dyDescent="0.45">
      <c r="A5755" s="142" t="s">
        <v>13014</v>
      </c>
      <c r="B5755" s="142" t="s">
        <v>14505</v>
      </c>
      <c r="C5755" s="142" t="s">
        <v>15847</v>
      </c>
      <c r="D5755" s="142" t="s">
        <v>15848</v>
      </c>
      <c r="E5755" s="142" t="s">
        <v>15849</v>
      </c>
      <c r="F5755" s="142" t="s">
        <v>5310</v>
      </c>
      <c r="G5755" s="142" t="s">
        <v>5309</v>
      </c>
      <c r="H5755" s="142" t="s">
        <v>21605</v>
      </c>
      <c r="I5755" s="142">
        <v>177</v>
      </c>
      <c r="J5755" s="142">
        <v>146</v>
      </c>
      <c r="K5755" s="142">
        <v>0</v>
      </c>
      <c r="L5755" s="142">
        <v>0</v>
      </c>
      <c r="M5755" s="142">
        <v>31</v>
      </c>
    </row>
    <row r="5756" spans="1:13" x14ac:dyDescent="0.45">
      <c r="A5756" s="142" t="s">
        <v>13165</v>
      </c>
      <c r="B5756" s="142" t="s">
        <v>15525</v>
      </c>
      <c r="C5756" s="142" t="s">
        <v>15860</v>
      </c>
      <c r="D5756" s="142" t="s">
        <v>15861</v>
      </c>
      <c r="E5756" s="142" t="s">
        <v>15849</v>
      </c>
      <c r="F5756" s="142" t="s">
        <v>5310</v>
      </c>
      <c r="G5756" s="142" t="s">
        <v>5309</v>
      </c>
      <c r="H5756" s="142" t="s">
        <v>21606</v>
      </c>
      <c r="I5756" s="142">
        <v>22</v>
      </c>
      <c r="J5756" s="142">
        <v>0</v>
      </c>
      <c r="K5756" s="142">
        <v>0</v>
      </c>
      <c r="L5756" s="142">
        <v>22</v>
      </c>
      <c r="M5756" s="142">
        <v>0</v>
      </c>
    </row>
    <row r="5757" spans="1:13" x14ac:dyDescent="0.45">
      <c r="A5757" s="142" t="s">
        <v>13395</v>
      </c>
      <c r="B5757" s="142" t="s">
        <v>15476</v>
      </c>
      <c r="C5757" s="142" t="s">
        <v>15847</v>
      </c>
      <c r="D5757" s="142" t="s">
        <v>15848</v>
      </c>
      <c r="E5757" s="142" t="s">
        <v>15849</v>
      </c>
      <c r="F5757" s="142" t="s">
        <v>5310</v>
      </c>
      <c r="G5757" s="142" t="s">
        <v>5309</v>
      </c>
      <c r="H5757" s="142" t="s">
        <v>21607</v>
      </c>
      <c r="I5757" s="142">
        <v>17</v>
      </c>
      <c r="J5757" s="142">
        <v>0</v>
      </c>
      <c r="K5757" s="142">
        <v>0</v>
      </c>
      <c r="L5757" s="142">
        <v>0</v>
      </c>
      <c r="M5757" s="142">
        <v>17</v>
      </c>
    </row>
    <row r="5758" spans="1:13" x14ac:dyDescent="0.45">
      <c r="A5758" s="142" t="s">
        <v>13064</v>
      </c>
      <c r="B5758" s="142" t="s">
        <v>15428</v>
      </c>
      <c r="C5758" s="142" t="s">
        <v>15847</v>
      </c>
      <c r="D5758" s="142" t="s">
        <v>15848</v>
      </c>
      <c r="E5758" s="142" t="s">
        <v>15849</v>
      </c>
      <c r="F5758" s="142" t="s">
        <v>6832</v>
      </c>
      <c r="G5758" s="142" t="s">
        <v>6831</v>
      </c>
      <c r="H5758" s="142" t="s">
        <v>21608</v>
      </c>
      <c r="I5758" s="142">
        <v>312</v>
      </c>
      <c r="J5758" s="142">
        <v>178</v>
      </c>
      <c r="K5758" s="142">
        <v>0</v>
      </c>
      <c r="L5758" s="142">
        <v>0</v>
      </c>
      <c r="M5758" s="142">
        <v>134</v>
      </c>
    </row>
    <row r="5759" spans="1:13" x14ac:dyDescent="0.45">
      <c r="A5759" s="142" t="s">
        <v>13021</v>
      </c>
      <c r="B5759" s="142" t="s">
        <v>15501</v>
      </c>
      <c r="C5759" s="142" t="s">
        <v>15847</v>
      </c>
      <c r="D5759" s="142" t="s">
        <v>15848</v>
      </c>
      <c r="E5759" s="142" t="s">
        <v>15849</v>
      </c>
      <c r="F5759" s="142" t="s">
        <v>6832</v>
      </c>
      <c r="G5759" s="142" t="s">
        <v>6831</v>
      </c>
      <c r="H5759" s="142" t="s">
        <v>21609</v>
      </c>
      <c r="I5759" s="142">
        <v>2</v>
      </c>
      <c r="J5759" s="142">
        <v>0</v>
      </c>
      <c r="K5759" s="142">
        <v>0</v>
      </c>
      <c r="L5759" s="142">
        <v>0</v>
      </c>
      <c r="M5759" s="142">
        <v>2</v>
      </c>
    </row>
    <row r="5760" spans="1:13" x14ac:dyDescent="0.45">
      <c r="A5760" s="142" t="s">
        <v>13022</v>
      </c>
      <c r="B5760" s="142" t="s">
        <v>14634</v>
      </c>
      <c r="C5760" s="142" t="s">
        <v>15847</v>
      </c>
      <c r="D5760" s="142" t="s">
        <v>15848</v>
      </c>
      <c r="E5760" s="142" t="s">
        <v>15849</v>
      </c>
      <c r="F5760" s="142" t="s">
        <v>6832</v>
      </c>
      <c r="G5760" s="142" t="s">
        <v>6831</v>
      </c>
      <c r="H5760" s="142" t="s">
        <v>21610</v>
      </c>
      <c r="I5760" s="142">
        <v>828</v>
      </c>
      <c r="J5760" s="142">
        <v>501</v>
      </c>
      <c r="K5760" s="142">
        <v>0</v>
      </c>
      <c r="L5760" s="142">
        <v>50</v>
      </c>
      <c r="M5760" s="142">
        <v>277</v>
      </c>
    </row>
    <row r="5761" spans="1:13" x14ac:dyDescent="0.45">
      <c r="A5761" s="142" t="s">
        <v>13065</v>
      </c>
      <c r="B5761" s="142" t="s">
        <v>14497</v>
      </c>
      <c r="C5761" s="142" t="s">
        <v>15847</v>
      </c>
      <c r="D5761" s="142" t="s">
        <v>15848</v>
      </c>
      <c r="E5761" s="142" t="s">
        <v>15849</v>
      </c>
      <c r="F5761" s="142" t="s">
        <v>6832</v>
      </c>
      <c r="G5761" s="142" t="s">
        <v>6831</v>
      </c>
      <c r="H5761" s="142" t="s">
        <v>21611</v>
      </c>
      <c r="I5761" s="142">
        <v>40</v>
      </c>
      <c r="J5761" s="142">
        <v>0</v>
      </c>
      <c r="K5761" s="142">
        <v>0</v>
      </c>
      <c r="L5761" s="142">
        <v>40</v>
      </c>
      <c r="M5761" s="142">
        <v>0</v>
      </c>
    </row>
    <row r="5762" spans="1:13" x14ac:dyDescent="0.45">
      <c r="A5762" s="142" t="s">
        <v>13024</v>
      </c>
      <c r="B5762" s="142" t="s">
        <v>14538</v>
      </c>
      <c r="C5762" s="142" t="s">
        <v>15847</v>
      </c>
      <c r="D5762" s="142" t="s">
        <v>15848</v>
      </c>
      <c r="E5762" s="142" t="s">
        <v>15849</v>
      </c>
      <c r="F5762" s="142" t="s">
        <v>6832</v>
      </c>
      <c r="G5762" s="142" t="s">
        <v>6831</v>
      </c>
      <c r="H5762" s="142" t="s">
        <v>21612</v>
      </c>
      <c r="I5762" s="142">
        <v>8</v>
      </c>
      <c r="J5762" s="142">
        <v>2</v>
      </c>
      <c r="K5762" s="142">
        <v>0</v>
      </c>
      <c r="L5762" s="142">
        <v>0</v>
      </c>
      <c r="M5762" s="142">
        <v>6</v>
      </c>
    </row>
    <row r="5763" spans="1:13" x14ac:dyDescent="0.45">
      <c r="A5763" s="142" t="s">
        <v>13085</v>
      </c>
      <c r="B5763" s="142" t="s">
        <v>14460</v>
      </c>
      <c r="C5763" s="142" t="s">
        <v>15860</v>
      </c>
      <c r="D5763" s="142" t="s">
        <v>15861</v>
      </c>
      <c r="E5763" s="142" t="s">
        <v>15849</v>
      </c>
      <c r="F5763" s="142" t="s">
        <v>6832</v>
      </c>
      <c r="G5763" s="142" t="s">
        <v>6831</v>
      </c>
      <c r="H5763" s="142" t="s">
        <v>21613</v>
      </c>
      <c r="I5763" s="142">
        <v>10</v>
      </c>
      <c r="J5763" s="142">
        <v>0</v>
      </c>
      <c r="K5763" s="142">
        <v>0</v>
      </c>
      <c r="L5763" s="142">
        <v>10</v>
      </c>
      <c r="M5763" s="142">
        <v>0</v>
      </c>
    </row>
    <row r="5764" spans="1:13" x14ac:dyDescent="0.45">
      <c r="A5764" s="142" t="s">
        <v>13025</v>
      </c>
      <c r="B5764" s="142" t="s">
        <v>15579</v>
      </c>
      <c r="C5764" s="142" t="s">
        <v>15847</v>
      </c>
      <c r="D5764" s="142" t="s">
        <v>15848</v>
      </c>
      <c r="E5764" s="142" t="s">
        <v>15849</v>
      </c>
      <c r="F5764" s="142" t="s">
        <v>6832</v>
      </c>
      <c r="G5764" s="142" t="s">
        <v>6831</v>
      </c>
      <c r="H5764" s="142" t="s">
        <v>21614</v>
      </c>
      <c r="I5764" s="142">
        <v>6</v>
      </c>
      <c r="J5764" s="142">
        <v>0</v>
      </c>
      <c r="K5764" s="142">
        <v>0</v>
      </c>
      <c r="L5764" s="142">
        <v>6</v>
      </c>
      <c r="M5764" s="142">
        <v>0</v>
      </c>
    </row>
    <row r="5765" spans="1:13" x14ac:dyDescent="0.45">
      <c r="A5765" s="142" t="s">
        <v>13027</v>
      </c>
      <c r="B5765" s="142" t="s">
        <v>14562</v>
      </c>
      <c r="C5765" s="142" t="s">
        <v>15847</v>
      </c>
      <c r="D5765" s="142" t="s">
        <v>15848</v>
      </c>
      <c r="E5765" s="142" t="s">
        <v>15849</v>
      </c>
      <c r="F5765" s="142" t="s">
        <v>6832</v>
      </c>
      <c r="G5765" s="142" t="s">
        <v>6831</v>
      </c>
      <c r="H5765" s="142" t="s">
        <v>21615</v>
      </c>
      <c r="I5765" s="142">
        <v>43</v>
      </c>
      <c r="J5765" s="142">
        <v>0</v>
      </c>
      <c r="K5765" s="142">
        <v>0</v>
      </c>
      <c r="L5765" s="142">
        <v>43</v>
      </c>
      <c r="M5765" s="142">
        <v>0</v>
      </c>
    </row>
    <row r="5766" spans="1:13" x14ac:dyDescent="0.45">
      <c r="A5766" s="142" t="s">
        <v>13028</v>
      </c>
      <c r="B5766" s="142" t="s">
        <v>14462</v>
      </c>
      <c r="C5766" s="142" t="s">
        <v>15847</v>
      </c>
      <c r="D5766" s="142" t="s">
        <v>15848</v>
      </c>
      <c r="E5766" s="142" t="s">
        <v>15849</v>
      </c>
      <c r="F5766" s="142" t="s">
        <v>6832</v>
      </c>
      <c r="G5766" s="142" t="s">
        <v>6831</v>
      </c>
      <c r="H5766" s="142" t="s">
        <v>21616</v>
      </c>
      <c r="I5766" s="142">
        <v>10</v>
      </c>
      <c r="J5766" s="142">
        <v>0</v>
      </c>
      <c r="K5766" s="142">
        <v>0</v>
      </c>
      <c r="L5766" s="142">
        <v>0</v>
      </c>
      <c r="M5766" s="142">
        <v>10</v>
      </c>
    </row>
    <row r="5767" spans="1:13" x14ac:dyDescent="0.45">
      <c r="A5767" s="142" t="s">
        <v>13003</v>
      </c>
      <c r="B5767" s="142" t="s">
        <v>15245</v>
      </c>
      <c r="C5767" s="142" t="s">
        <v>15847</v>
      </c>
      <c r="D5767" s="142" t="s">
        <v>15848</v>
      </c>
      <c r="E5767" s="142" t="s">
        <v>15849</v>
      </c>
      <c r="F5767" s="142" t="s">
        <v>6832</v>
      </c>
      <c r="G5767" s="142" t="s">
        <v>6831</v>
      </c>
      <c r="H5767" s="142" t="s">
        <v>21617</v>
      </c>
      <c r="I5767" s="142">
        <v>73</v>
      </c>
      <c r="J5767" s="142">
        <v>0</v>
      </c>
      <c r="K5767" s="142">
        <v>0</v>
      </c>
      <c r="L5767" s="142">
        <v>73</v>
      </c>
      <c r="M5767" s="142">
        <v>0</v>
      </c>
    </row>
    <row r="5768" spans="1:13" x14ac:dyDescent="0.45">
      <c r="A5768" s="142" t="s">
        <v>13066</v>
      </c>
      <c r="B5768" s="142" t="s">
        <v>14459</v>
      </c>
      <c r="C5768" s="142" t="s">
        <v>15847</v>
      </c>
      <c r="D5768" s="142" t="s">
        <v>15848</v>
      </c>
      <c r="E5768" s="142" t="s">
        <v>15849</v>
      </c>
      <c r="F5768" s="142" t="s">
        <v>6832</v>
      </c>
      <c r="G5768" s="142" t="s">
        <v>6831</v>
      </c>
      <c r="H5768" s="142" t="s">
        <v>21618</v>
      </c>
      <c r="I5768" s="142">
        <v>7</v>
      </c>
      <c r="J5768" s="142">
        <v>0</v>
      </c>
      <c r="K5768" s="142">
        <v>0</v>
      </c>
      <c r="L5768" s="142">
        <v>7</v>
      </c>
      <c r="M5768" s="142">
        <v>0</v>
      </c>
    </row>
    <row r="5769" spans="1:13" x14ac:dyDescent="0.45">
      <c r="A5769" s="142" t="s">
        <v>13651</v>
      </c>
      <c r="B5769" s="142" t="s">
        <v>15265</v>
      </c>
      <c r="C5769" s="142" t="s">
        <v>15860</v>
      </c>
      <c r="D5769" s="142" t="s">
        <v>15861</v>
      </c>
      <c r="E5769" s="142" t="s">
        <v>15849</v>
      </c>
      <c r="F5769" s="142" t="s">
        <v>6832</v>
      </c>
      <c r="G5769" s="142" t="s">
        <v>6831</v>
      </c>
      <c r="H5769" s="142" t="s">
        <v>21619</v>
      </c>
      <c r="I5769" s="142">
        <v>31</v>
      </c>
      <c r="J5769" s="142">
        <v>31</v>
      </c>
      <c r="K5769" s="142">
        <v>0</v>
      </c>
      <c r="L5769" s="142">
        <v>0</v>
      </c>
      <c r="M5769" s="142">
        <v>0</v>
      </c>
    </row>
    <row r="5770" spans="1:13" x14ac:dyDescent="0.45">
      <c r="A5770" s="142" t="s">
        <v>13296</v>
      </c>
      <c r="B5770" s="142" t="s">
        <v>15387</v>
      </c>
      <c r="C5770" s="142" t="s">
        <v>15860</v>
      </c>
      <c r="D5770" s="142" t="s">
        <v>15861</v>
      </c>
      <c r="E5770" s="142" t="s">
        <v>15849</v>
      </c>
      <c r="F5770" s="142" t="s">
        <v>6832</v>
      </c>
      <c r="G5770" s="142" t="s">
        <v>6831</v>
      </c>
      <c r="H5770" s="142" t="s">
        <v>21620</v>
      </c>
      <c r="I5770" s="142">
        <v>48</v>
      </c>
      <c r="J5770" s="142">
        <v>48</v>
      </c>
      <c r="K5770" s="142">
        <v>0</v>
      </c>
      <c r="L5770" s="142">
        <v>0</v>
      </c>
      <c r="M5770" s="142">
        <v>0</v>
      </c>
    </row>
    <row r="5771" spans="1:13" x14ac:dyDescent="0.45">
      <c r="A5771" s="142" t="s">
        <v>13030</v>
      </c>
      <c r="B5771" s="142" t="s">
        <v>14572</v>
      </c>
      <c r="C5771" s="142" t="s">
        <v>15847</v>
      </c>
      <c r="D5771" s="142" t="s">
        <v>15848</v>
      </c>
      <c r="E5771" s="142" t="s">
        <v>15849</v>
      </c>
      <c r="F5771" s="142" t="s">
        <v>6832</v>
      </c>
      <c r="G5771" s="142" t="s">
        <v>6831</v>
      </c>
      <c r="H5771" s="142" t="s">
        <v>21621</v>
      </c>
      <c r="I5771" s="142">
        <v>315</v>
      </c>
      <c r="J5771" s="142">
        <v>249</v>
      </c>
      <c r="K5771" s="142">
        <v>0</v>
      </c>
      <c r="L5771" s="142">
        <v>3</v>
      </c>
      <c r="M5771" s="142">
        <v>63</v>
      </c>
    </row>
    <row r="5772" spans="1:13" x14ac:dyDescent="0.45">
      <c r="A5772" s="142" t="s">
        <v>13068</v>
      </c>
      <c r="B5772" s="142" t="s">
        <v>15468</v>
      </c>
      <c r="C5772" s="142" t="s">
        <v>15847</v>
      </c>
      <c r="D5772" s="142" t="s">
        <v>15848</v>
      </c>
      <c r="E5772" s="142" t="s">
        <v>15849</v>
      </c>
      <c r="F5772" s="142" t="s">
        <v>6832</v>
      </c>
      <c r="G5772" s="142" t="s">
        <v>6831</v>
      </c>
      <c r="H5772" s="142" t="s">
        <v>21622</v>
      </c>
      <c r="I5772" s="142">
        <v>41</v>
      </c>
      <c r="J5772" s="142">
        <v>41</v>
      </c>
      <c r="K5772" s="142">
        <v>0</v>
      </c>
      <c r="L5772" s="142">
        <v>0</v>
      </c>
      <c r="M5772" s="142">
        <v>0</v>
      </c>
    </row>
    <row r="5773" spans="1:13" x14ac:dyDescent="0.45">
      <c r="A5773" s="142" t="s">
        <v>13032</v>
      </c>
      <c r="B5773" s="142" t="s">
        <v>14532</v>
      </c>
      <c r="C5773" s="142" t="s">
        <v>15860</v>
      </c>
      <c r="D5773" s="142" t="s">
        <v>15861</v>
      </c>
      <c r="E5773" s="142" t="s">
        <v>15849</v>
      </c>
      <c r="F5773" s="142" t="s">
        <v>6832</v>
      </c>
      <c r="G5773" s="142" t="s">
        <v>6831</v>
      </c>
      <c r="H5773" s="142" t="s">
        <v>21623</v>
      </c>
      <c r="I5773" s="142">
        <v>1</v>
      </c>
      <c r="J5773" s="142">
        <v>0</v>
      </c>
      <c r="K5773" s="142">
        <v>0</v>
      </c>
      <c r="L5773" s="142">
        <v>1</v>
      </c>
      <c r="M5773" s="142">
        <v>0</v>
      </c>
    </row>
    <row r="5774" spans="1:13" x14ac:dyDescent="0.45">
      <c r="A5774" s="142" t="s">
        <v>13033</v>
      </c>
      <c r="B5774" s="142" t="s">
        <v>15276</v>
      </c>
      <c r="C5774" s="142" t="s">
        <v>15847</v>
      </c>
      <c r="D5774" s="142" t="s">
        <v>15848</v>
      </c>
      <c r="E5774" s="142" t="s">
        <v>15849</v>
      </c>
      <c r="F5774" s="142" t="s">
        <v>6832</v>
      </c>
      <c r="G5774" s="142" t="s">
        <v>6831</v>
      </c>
      <c r="H5774" s="142" t="s">
        <v>21624</v>
      </c>
      <c r="I5774" s="142">
        <v>61</v>
      </c>
      <c r="J5774" s="142">
        <v>59</v>
      </c>
      <c r="K5774" s="142">
        <v>0</v>
      </c>
      <c r="L5774" s="142">
        <v>0</v>
      </c>
      <c r="M5774" s="142">
        <v>2</v>
      </c>
    </row>
    <row r="5775" spans="1:13" x14ac:dyDescent="0.45">
      <c r="A5775" s="142" t="s">
        <v>13034</v>
      </c>
      <c r="B5775" s="142" t="s">
        <v>15562</v>
      </c>
      <c r="C5775" s="142" t="s">
        <v>15847</v>
      </c>
      <c r="D5775" s="142" t="s">
        <v>15848</v>
      </c>
      <c r="E5775" s="142" t="s">
        <v>15849</v>
      </c>
      <c r="F5775" s="142" t="s">
        <v>6832</v>
      </c>
      <c r="G5775" s="142" t="s">
        <v>6831</v>
      </c>
      <c r="H5775" s="142" t="s">
        <v>21625</v>
      </c>
      <c r="I5775" s="142">
        <v>103</v>
      </c>
      <c r="J5775" s="142">
        <v>103</v>
      </c>
      <c r="K5775" s="142">
        <v>0</v>
      </c>
      <c r="L5775" s="142">
        <v>0</v>
      </c>
      <c r="M5775" s="142">
        <v>0</v>
      </c>
    </row>
    <row r="5776" spans="1:13" x14ac:dyDescent="0.45">
      <c r="A5776" s="142" t="s">
        <v>13035</v>
      </c>
      <c r="B5776" s="142" t="s">
        <v>14648</v>
      </c>
      <c r="C5776" s="142" t="s">
        <v>15847</v>
      </c>
      <c r="D5776" s="142" t="s">
        <v>15848</v>
      </c>
      <c r="E5776" s="142" t="s">
        <v>15849</v>
      </c>
      <c r="F5776" s="142" t="s">
        <v>6832</v>
      </c>
      <c r="G5776" s="142" t="s">
        <v>6831</v>
      </c>
      <c r="H5776" s="142" t="s">
        <v>21626</v>
      </c>
      <c r="I5776" s="142">
        <v>239</v>
      </c>
      <c r="J5776" s="142">
        <v>163</v>
      </c>
      <c r="K5776" s="142">
        <v>0</v>
      </c>
      <c r="L5776" s="142">
        <v>1</v>
      </c>
      <c r="M5776" s="142">
        <v>75</v>
      </c>
    </row>
    <row r="5777" spans="1:13" x14ac:dyDescent="0.45">
      <c r="A5777" s="142" t="s">
        <v>13036</v>
      </c>
      <c r="B5777" s="142" t="s">
        <v>15567</v>
      </c>
      <c r="C5777" s="142" t="s">
        <v>15847</v>
      </c>
      <c r="D5777" s="142" t="s">
        <v>15848</v>
      </c>
      <c r="E5777" s="142" t="s">
        <v>15849</v>
      </c>
      <c r="F5777" s="142" t="s">
        <v>6832</v>
      </c>
      <c r="G5777" s="142" t="s">
        <v>6831</v>
      </c>
      <c r="H5777" s="142" t="s">
        <v>21627</v>
      </c>
      <c r="I5777" s="142">
        <v>34</v>
      </c>
      <c r="J5777" s="142">
        <v>0</v>
      </c>
      <c r="K5777" s="142">
        <v>0</v>
      </c>
      <c r="L5777" s="142">
        <v>34</v>
      </c>
      <c r="M5777" s="142">
        <v>0</v>
      </c>
    </row>
    <row r="5778" spans="1:13" x14ac:dyDescent="0.45">
      <c r="A5778" s="142" t="s">
        <v>13105</v>
      </c>
      <c r="B5778" s="142" t="s">
        <v>14654</v>
      </c>
      <c r="C5778" s="142" t="s">
        <v>15847</v>
      </c>
      <c r="D5778" s="142" t="s">
        <v>15848</v>
      </c>
      <c r="E5778" s="142" t="s">
        <v>15849</v>
      </c>
      <c r="F5778" s="142" t="s">
        <v>6832</v>
      </c>
      <c r="G5778" s="142" t="s">
        <v>6831</v>
      </c>
      <c r="H5778" s="142" t="s">
        <v>21628</v>
      </c>
      <c r="I5778" s="142">
        <v>35</v>
      </c>
      <c r="J5778" s="142">
        <v>0</v>
      </c>
      <c r="K5778" s="142">
        <v>0</v>
      </c>
      <c r="L5778" s="142">
        <v>0</v>
      </c>
      <c r="M5778" s="142">
        <v>35</v>
      </c>
    </row>
    <row r="5779" spans="1:13" x14ac:dyDescent="0.45">
      <c r="A5779" s="142" t="s">
        <v>13037</v>
      </c>
      <c r="B5779" s="142" t="s">
        <v>14519</v>
      </c>
      <c r="C5779" s="142" t="s">
        <v>15847</v>
      </c>
      <c r="D5779" s="142" t="s">
        <v>15848</v>
      </c>
      <c r="E5779" s="142" t="s">
        <v>15849</v>
      </c>
      <c r="F5779" s="142" t="s">
        <v>6832</v>
      </c>
      <c r="G5779" s="142" t="s">
        <v>6831</v>
      </c>
      <c r="H5779" s="142" t="s">
        <v>21629</v>
      </c>
      <c r="I5779" s="142">
        <v>6</v>
      </c>
      <c r="J5779" s="142">
        <v>0</v>
      </c>
      <c r="K5779" s="142">
        <v>0</v>
      </c>
      <c r="L5779" s="142">
        <v>6</v>
      </c>
      <c r="M5779" s="142">
        <v>0</v>
      </c>
    </row>
    <row r="5780" spans="1:13" x14ac:dyDescent="0.45">
      <c r="A5780" s="142" t="s">
        <v>13038</v>
      </c>
      <c r="B5780" s="142" t="s">
        <v>14646</v>
      </c>
      <c r="C5780" s="142" t="s">
        <v>15847</v>
      </c>
      <c r="D5780" s="142" t="s">
        <v>15848</v>
      </c>
      <c r="E5780" s="142" t="s">
        <v>15849</v>
      </c>
      <c r="F5780" s="142" t="s">
        <v>6832</v>
      </c>
      <c r="G5780" s="142" t="s">
        <v>6831</v>
      </c>
      <c r="H5780" s="142" t="s">
        <v>21630</v>
      </c>
      <c r="I5780" s="142">
        <v>53</v>
      </c>
      <c r="J5780" s="142">
        <v>6</v>
      </c>
      <c r="K5780" s="142">
        <v>0</v>
      </c>
      <c r="L5780" s="142">
        <v>0</v>
      </c>
      <c r="M5780" s="142">
        <v>47</v>
      </c>
    </row>
    <row r="5781" spans="1:13" x14ac:dyDescent="0.45">
      <c r="A5781" s="142" t="s">
        <v>13039</v>
      </c>
      <c r="B5781" s="142" t="s">
        <v>14647</v>
      </c>
      <c r="C5781" s="142" t="s">
        <v>15847</v>
      </c>
      <c r="D5781" s="142" t="s">
        <v>15848</v>
      </c>
      <c r="E5781" s="142" t="s">
        <v>15849</v>
      </c>
      <c r="F5781" s="142" t="s">
        <v>6832</v>
      </c>
      <c r="G5781" s="142" t="s">
        <v>6831</v>
      </c>
      <c r="H5781" s="142" t="s">
        <v>21631</v>
      </c>
      <c r="I5781" s="142">
        <v>57</v>
      </c>
      <c r="J5781" s="142">
        <v>57</v>
      </c>
      <c r="K5781" s="142">
        <v>0</v>
      </c>
      <c r="L5781" s="142">
        <v>0</v>
      </c>
      <c r="M5781" s="142">
        <v>0</v>
      </c>
    </row>
    <row r="5782" spans="1:13" x14ac:dyDescent="0.45">
      <c r="A5782" s="142" t="s">
        <v>13009</v>
      </c>
      <c r="B5782" s="142" t="s">
        <v>15256</v>
      </c>
      <c r="C5782" s="142" t="s">
        <v>15847</v>
      </c>
      <c r="D5782" s="142" t="s">
        <v>15848</v>
      </c>
      <c r="E5782" s="142" t="s">
        <v>15849</v>
      </c>
      <c r="F5782" s="142" t="s">
        <v>6832</v>
      </c>
      <c r="G5782" s="142" t="s">
        <v>6831</v>
      </c>
      <c r="H5782" s="142" t="s">
        <v>21632</v>
      </c>
      <c r="I5782" s="142">
        <v>11</v>
      </c>
      <c r="J5782" s="142">
        <v>8</v>
      </c>
      <c r="K5782" s="142">
        <v>0</v>
      </c>
      <c r="L5782" s="142">
        <v>0</v>
      </c>
      <c r="M5782" s="142">
        <v>3</v>
      </c>
    </row>
    <row r="5783" spans="1:13" x14ac:dyDescent="0.45">
      <c r="A5783" s="142" t="s">
        <v>13041</v>
      </c>
      <c r="B5783" s="142" t="s">
        <v>14441</v>
      </c>
      <c r="C5783" s="142" t="s">
        <v>15847</v>
      </c>
      <c r="D5783" s="142" t="s">
        <v>15848</v>
      </c>
      <c r="E5783" s="142" t="s">
        <v>15849</v>
      </c>
      <c r="F5783" s="142" t="s">
        <v>6832</v>
      </c>
      <c r="G5783" s="142" t="s">
        <v>6831</v>
      </c>
      <c r="H5783" s="142" t="s">
        <v>21633</v>
      </c>
      <c r="I5783" s="142">
        <v>31</v>
      </c>
      <c r="J5783" s="142">
        <v>0</v>
      </c>
      <c r="K5783" s="142">
        <v>0</v>
      </c>
      <c r="L5783" s="142">
        <v>0</v>
      </c>
      <c r="M5783" s="142">
        <v>31</v>
      </c>
    </row>
    <row r="5784" spans="1:13" x14ac:dyDescent="0.45">
      <c r="A5784" s="142" t="s">
        <v>14040</v>
      </c>
      <c r="B5784" s="142" t="s">
        <v>14884</v>
      </c>
      <c r="C5784" s="142" t="s">
        <v>15860</v>
      </c>
      <c r="D5784" s="142" t="s">
        <v>15861</v>
      </c>
      <c r="E5784" s="142" t="s">
        <v>15849</v>
      </c>
      <c r="F5784" s="142" t="s">
        <v>6832</v>
      </c>
      <c r="G5784" s="142" t="s">
        <v>6831</v>
      </c>
      <c r="H5784" s="142" t="s">
        <v>21634</v>
      </c>
      <c r="I5784" s="142">
        <v>4</v>
      </c>
      <c r="J5784" s="142">
        <v>4</v>
      </c>
      <c r="K5784" s="142">
        <v>0</v>
      </c>
      <c r="L5784" s="142">
        <v>0</v>
      </c>
      <c r="M5784" s="142">
        <v>0</v>
      </c>
    </row>
    <row r="5785" spans="1:13" x14ac:dyDescent="0.45">
      <c r="A5785" s="142" t="s">
        <v>13016</v>
      </c>
      <c r="B5785" s="142" t="s">
        <v>14535</v>
      </c>
      <c r="C5785" s="142" t="s">
        <v>15860</v>
      </c>
      <c r="D5785" s="142" t="s">
        <v>15861</v>
      </c>
      <c r="E5785" s="142" t="s">
        <v>15849</v>
      </c>
      <c r="F5785" s="142" t="s">
        <v>6832</v>
      </c>
      <c r="G5785" s="142" t="s">
        <v>6831</v>
      </c>
      <c r="H5785" s="142" t="s">
        <v>21635</v>
      </c>
      <c r="I5785" s="142">
        <v>9</v>
      </c>
      <c r="J5785" s="142">
        <v>0</v>
      </c>
      <c r="K5785" s="142">
        <v>0</v>
      </c>
      <c r="L5785" s="142">
        <v>9</v>
      </c>
      <c r="M5785" s="142">
        <v>0</v>
      </c>
    </row>
    <row r="5786" spans="1:13" x14ac:dyDescent="0.45">
      <c r="A5786" s="142" t="s">
        <v>13064</v>
      </c>
      <c r="B5786" s="142" t="s">
        <v>15428</v>
      </c>
      <c r="C5786" s="142" t="s">
        <v>15847</v>
      </c>
      <c r="D5786" s="142" t="s">
        <v>15848</v>
      </c>
      <c r="E5786" s="142" t="s">
        <v>15849</v>
      </c>
      <c r="F5786" s="142" t="s">
        <v>814</v>
      </c>
      <c r="G5786" s="142" t="s">
        <v>813</v>
      </c>
      <c r="H5786" s="142" t="s">
        <v>21636</v>
      </c>
      <c r="I5786" s="142">
        <v>74</v>
      </c>
      <c r="J5786" s="142">
        <v>55</v>
      </c>
      <c r="K5786" s="142">
        <v>0</v>
      </c>
      <c r="L5786" s="142">
        <v>0</v>
      </c>
      <c r="M5786" s="142">
        <v>19</v>
      </c>
    </row>
    <row r="5787" spans="1:13" x14ac:dyDescent="0.45">
      <c r="A5787" s="142" t="s">
        <v>13022</v>
      </c>
      <c r="B5787" s="142" t="s">
        <v>14634</v>
      </c>
      <c r="C5787" s="142" t="s">
        <v>15847</v>
      </c>
      <c r="D5787" s="142" t="s">
        <v>15848</v>
      </c>
      <c r="E5787" s="142" t="s">
        <v>15849</v>
      </c>
      <c r="F5787" s="142" t="s">
        <v>814</v>
      </c>
      <c r="G5787" s="142" t="s">
        <v>813</v>
      </c>
      <c r="H5787" s="142" t="s">
        <v>21637</v>
      </c>
      <c r="I5787" s="142">
        <v>438</v>
      </c>
      <c r="J5787" s="142">
        <v>412</v>
      </c>
      <c r="K5787" s="142">
        <v>0</v>
      </c>
      <c r="L5787" s="142">
        <v>0</v>
      </c>
      <c r="M5787" s="142">
        <v>26</v>
      </c>
    </row>
    <row r="5788" spans="1:13" x14ac:dyDescent="0.45">
      <c r="A5788" s="142" t="s">
        <v>13023</v>
      </c>
      <c r="B5788" s="142" t="s">
        <v>15571</v>
      </c>
      <c r="C5788" s="142" t="s">
        <v>15847</v>
      </c>
      <c r="D5788" s="142" t="s">
        <v>15848</v>
      </c>
      <c r="E5788" s="142" t="s">
        <v>15849</v>
      </c>
      <c r="F5788" s="142" t="s">
        <v>814</v>
      </c>
      <c r="G5788" s="142" t="s">
        <v>813</v>
      </c>
      <c r="H5788" s="142" t="s">
        <v>21638</v>
      </c>
      <c r="I5788" s="142">
        <v>177</v>
      </c>
      <c r="J5788" s="142">
        <v>0</v>
      </c>
      <c r="K5788" s="142">
        <v>0</v>
      </c>
      <c r="L5788" s="142">
        <v>177</v>
      </c>
      <c r="M5788" s="142">
        <v>0</v>
      </c>
    </row>
    <row r="5789" spans="1:13" x14ac:dyDescent="0.45">
      <c r="A5789" s="142" t="s">
        <v>13065</v>
      </c>
      <c r="B5789" s="142" t="s">
        <v>14497</v>
      </c>
      <c r="C5789" s="142" t="s">
        <v>15847</v>
      </c>
      <c r="D5789" s="142" t="s">
        <v>15848</v>
      </c>
      <c r="E5789" s="142" t="s">
        <v>15849</v>
      </c>
      <c r="F5789" s="142" t="s">
        <v>814</v>
      </c>
      <c r="G5789" s="142" t="s">
        <v>813</v>
      </c>
      <c r="H5789" s="142" t="s">
        <v>21639</v>
      </c>
      <c r="I5789" s="142">
        <v>12</v>
      </c>
      <c r="J5789" s="142">
        <v>0</v>
      </c>
      <c r="K5789" s="142">
        <v>0</v>
      </c>
      <c r="L5789" s="142">
        <v>12</v>
      </c>
      <c r="M5789" s="142">
        <v>0</v>
      </c>
    </row>
    <row r="5790" spans="1:13" x14ac:dyDescent="0.45">
      <c r="A5790" s="142" t="s">
        <v>13273</v>
      </c>
      <c r="B5790" s="142" t="s">
        <v>14465</v>
      </c>
      <c r="C5790" s="142" t="s">
        <v>15860</v>
      </c>
      <c r="D5790" s="142" t="s">
        <v>15861</v>
      </c>
      <c r="E5790" s="142" t="s">
        <v>15849</v>
      </c>
      <c r="F5790" s="142" t="s">
        <v>814</v>
      </c>
      <c r="G5790" s="142" t="s">
        <v>813</v>
      </c>
      <c r="H5790" s="142" t="s">
        <v>21640</v>
      </c>
      <c r="I5790" s="142">
        <v>28</v>
      </c>
      <c r="J5790" s="142">
        <v>0</v>
      </c>
      <c r="K5790" s="142">
        <v>0</v>
      </c>
      <c r="L5790" s="142">
        <v>28</v>
      </c>
      <c r="M5790" s="142">
        <v>0</v>
      </c>
    </row>
    <row r="5791" spans="1:13" x14ac:dyDescent="0.45">
      <c r="A5791" s="142" t="s">
        <v>13025</v>
      </c>
      <c r="B5791" s="142" t="s">
        <v>15579</v>
      </c>
      <c r="C5791" s="142" t="s">
        <v>15847</v>
      </c>
      <c r="D5791" s="142" t="s">
        <v>15848</v>
      </c>
      <c r="E5791" s="142" t="s">
        <v>15849</v>
      </c>
      <c r="F5791" s="142" t="s">
        <v>814</v>
      </c>
      <c r="G5791" s="142" t="s">
        <v>813</v>
      </c>
      <c r="H5791" s="142" t="s">
        <v>21641</v>
      </c>
      <c r="I5791" s="142">
        <v>8</v>
      </c>
      <c r="J5791" s="142">
        <v>0</v>
      </c>
      <c r="K5791" s="142">
        <v>0</v>
      </c>
      <c r="L5791" s="142">
        <v>8</v>
      </c>
      <c r="M5791" s="142">
        <v>0</v>
      </c>
    </row>
    <row r="5792" spans="1:13" x14ac:dyDescent="0.45">
      <c r="A5792" s="142" t="s">
        <v>13027</v>
      </c>
      <c r="B5792" s="142" t="s">
        <v>14562</v>
      </c>
      <c r="C5792" s="142" t="s">
        <v>15847</v>
      </c>
      <c r="D5792" s="142" t="s">
        <v>15848</v>
      </c>
      <c r="E5792" s="142" t="s">
        <v>15849</v>
      </c>
      <c r="F5792" s="142" t="s">
        <v>814</v>
      </c>
      <c r="G5792" s="142" t="s">
        <v>813</v>
      </c>
      <c r="H5792" s="142" t="s">
        <v>21642</v>
      </c>
      <c r="I5792" s="142">
        <v>4</v>
      </c>
      <c r="J5792" s="142">
        <v>0</v>
      </c>
      <c r="K5792" s="142">
        <v>0</v>
      </c>
      <c r="L5792" s="142">
        <v>4</v>
      </c>
      <c r="M5792" s="142">
        <v>0</v>
      </c>
    </row>
    <row r="5793" spans="1:13" x14ac:dyDescent="0.45">
      <c r="A5793" s="142" t="s">
        <v>13028</v>
      </c>
      <c r="B5793" s="142" t="s">
        <v>14462</v>
      </c>
      <c r="C5793" s="142" t="s">
        <v>15847</v>
      </c>
      <c r="D5793" s="142" t="s">
        <v>15848</v>
      </c>
      <c r="E5793" s="142" t="s">
        <v>15849</v>
      </c>
      <c r="F5793" s="142" t="s">
        <v>814</v>
      </c>
      <c r="G5793" s="142" t="s">
        <v>813</v>
      </c>
      <c r="H5793" s="142" t="s">
        <v>21643</v>
      </c>
      <c r="I5793" s="142">
        <v>11</v>
      </c>
      <c r="J5793" s="142">
        <v>0</v>
      </c>
      <c r="K5793" s="142">
        <v>0</v>
      </c>
      <c r="L5793" s="142">
        <v>0</v>
      </c>
      <c r="M5793" s="142">
        <v>11</v>
      </c>
    </row>
    <row r="5794" spans="1:13" x14ac:dyDescent="0.45">
      <c r="A5794" s="142" t="s">
        <v>13002</v>
      </c>
      <c r="B5794" s="142" t="s">
        <v>15376</v>
      </c>
      <c r="C5794" s="142" t="s">
        <v>15847</v>
      </c>
      <c r="D5794" s="142" t="s">
        <v>15848</v>
      </c>
      <c r="E5794" s="142" t="s">
        <v>15849</v>
      </c>
      <c r="F5794" s="142" t="s">
        <v>814</v>
      </c>
      <c r="G5794" s="142" t="s">
        <v>813</v>
      </c>
      <c r="H5794" s="142" t="s">
        <v>21644</v>
      </c>
      <c r="I5794" s="142">
        <v>23</v>
      </c>
      <c r="J5794" s="142">
        <v>0</v>
      </c>
      <c r="K5794" s="142">
        <v>0</v>
      </c>
      <c r="L5794" s="142">
        <v>23</v>
      </c>
      <c r="M5794" s="142">
        <v>0</v>
      </c>
    </row>
    <row r="5795" spans="1:13" x14ac:dyDescent="0.45">
      <c r="A5795" s="142" t="s">
        <v>13003</v>
      </c>
      <c r="B5795" s="142" t="s">
        <v>15245</v>
      </c>
      <c r="C5795" s="142" t="s">
        <v>15847</v>
      </c>
      <c r="D5795" s="142" t="s">
        <v>15848</v>
      </c>
      <c r="E5795" s="142" t="s">
        <v>15849</v>
      </c>
      <c r="F5795" s="142" t="s">
        <v>814</v>
      </c>
      <c r="G5795" s="142" t="s">
        <v>813</v>
      </c>
      <c r="H5795" s="142" t="s">
        <v>21645</v>
      </c>
      <c r="I5795" s="142">
        <v>39</v>
      </c>
      <c r="J5795" s="142">
        <v>0</v>
      </c>
      <c r="K5795" s="142">
        <v>0</v>
      </c>
      <c r="L5795" s="142">
        <v>39</v>
      </c>
      <c r="M5795" s="142">
        <v>0</v>
      </c>
    </row>
    <row r="5796" spans="1:13" x14ac:dyDescent="0.45">
      <c r="A5796" s="142" t="s">
        <v>13066</v>
      </c>
      <c r="B5796" s="142" t="s">
        <v>14459</v>
      </c>
      <c r="C5796" s="142" t="s">
        <v>15847</v>
      </c>
      <c r="D5796" s="142" t="s">
        <v>15848</v>
      </c>
      <c r="E5796" s="142" t="s">
        <v>15849</v>
      </c>
      <c r="F5796" s="142" t="s">
        <v>814</v>
      </c>
      <c r="G5796" s="142" t="s">
        <v>813</v>
      </c>
      <c r="H5796" s="142" t="s">
        <v>21646</v>
      </c>
      <c r="I5796" s="142">
        <v>16</v>
      </c>
      <c r="J5796" s="142">
        <v>0</v>
      </c>
      <c r="K5796" s="142">
        <v>0</v>
      </c>
      <c r="L5796" s="142">
        <v>16</v>
      </c>
      <c r="M5796" s="142">
        <v>0</v>
      </c>
    </row>
    <row r="5797" spans="1:13" x14ac:dyDescent="0.45">
      <c r="A5797" s="142" t="s">
        <v>13651</v>
      </c>
      <c r="B5797" s="142" t="s">
        <v>15265</v>
      </c>
      <c r="C5797" s="142" t="s">
        <v>15860</v>
      </c>
      <c r="D5797" s="142" t="s">
        <v>15861</v>
      </c>
      <c r="E5797" s="142" t="s">
        <v>15849</v>
      </c>
      <c r="F5797" s="142" t="s">
        <v>814</v>
      </c>
      <c r="G5797" s="142" t="s">
        <v>813</v>
      </c>
      <c r="H5797" s="142" t="s">
        <v>21647</v>
      </c>
      <c r="I5797" s="142">
        <v>16</v>
      </c>
      <c r="J5797" s="142">
        <v>16</v>
      </c>
      <c r="K5797" s="142">
        <v>0</v>
      </c>
      <c r="L5797" s="142">
        <v>0</v>
      </c>
      <c r="M5797" s="142">
        <v>0</v>
      </c>
    </row>
    <row r="5798" spans="1:13" x14ac:dyDescent="0.45">
      <c r="A5798" s="142" t="s">
        <v>13296</v>
      </c>
      <c r="B5798" s="142" t="s">
        <v>15387</v>
      </c>
      <c r="C5798" s="142" t="s">
        <v>15860</v>
      </c>
      <c r="D5798" s="142" t="s">
        <v>15861</v>
      </c>
      <c r="E5798" s="142" t="s">
        <v>15849</v>
      </c>
      <c r="F5798" s="142" t="s">
        <v>814</v>
      </c>
      <c r="G5798" s="142" t="s">
        <v>813</v>
      </c>
      <c r="H5798" s="142" t="s">
        <v>21648</v>
      </c>
      <c r="I5798" s="142">
        <v>39</v>
      </c>
      <c r="J5798" s="142">
        <v>39</v>
      </c>
      <c r="K5798" s="142">
        <v>0</v>
      </c>
      <c r="L5798" s="142">
        <v>0</v>
      </c>
      <c r="M5798" s="142">
        <v>0</v>
      </c>
    </row>
    <row r="5799" spans="1:13" x14ac:dyDescent="0.45">
      <c r="A5799" s="142" t="s">
        <v>13068</v>
      </c>
      <c r="B5799" s="142" t="s">
        <v>15468</v>
      </c>
      <c r="C5799" s="142" t="s">
        <v>15847</v>
      </c>
      <c r="D5799" s="142" t="s">
        <v>15848</v>
      </c>
      <c r="E5799" s="142" t="s">
        <v>15849</v>
      </c>
      <c r="F5799" s="142" t="s">
        <v>814</v>
      </c>
      <c r="G5799" s="142" t="s">
        <v>813</v>
      </c>
      <c r="H5799" s="142" t="s">
        <v>21649</v>
      </c>
      <c r="I5799" s="142">
        <v>10426</v>
      </c>
      <c r="J5799" s="142">
        <v>10275</v>
      </c>
      <c r="K5799" s="142">
        <v>2</v>
      </c>
      <c r="L5799" s="142">
        <v>108</v>
      </c>
      <c r="M5799" s="142">
        <v>41</v>
      </c>
    </row>
    <row r="5800" spans="1:13" x14ac:dyDescent="0.45">
      <c r="A5800" s="142" t="s">
        <v>13033</v>
      </c>
      <c r="B5800" s="142" t="s">
        <v>15276</v>
      </c>
      <c r="C5800" s="142" t="s">
        <v>15847</v>
      </c>
      <c r="D5800" s="142" t="s">
        <v>15848</v>
      </c>
      <c r="E5800" s="142" t="s">
        <v>15849</v>
      </c>
      <c r="F5800" s="142" t="s">
        <v>814</v>
      </c>
      <c r="G5800" s="142" t="s">
        <v>813</v>
      </c>
      <c r="H5800" s="142" t="s">
        <v>21650</v>
      </c>
      <c r="I5800" s="142">
        <v>153</v>
      </c>
      <c r="J5800" s="142">
        <v>127</v>
      </c>
      <c r="K5800" s="142">
        <v>0</v>
      </c>
      <c r="L5800" s="142">
        <v>1</v>
      </c>
      <c r="M5800" s="142">
        <v>25</v>
      </c>
    </row>
    <row r="5801" spans="1:13" x14ac:dyDescent="0.45">
      <c r="A5801" s="142" t="s">
        <v>13034</v>
      </c>
      <c r="B5801" s="142" t="s">
        <v>15562</v>
      </c>
      <c r="C5801" s="142" t="s">
        <v>15847</v>
      </c>
      <c r="D5801" s="142" t="s">
        <v>15848</v>
      </c>
      <c r="E5801" s="142" t="s">
        <v>15849</v>
      </c>
      <c r="F5801" s="142" t="s">
        <v>814</v>
      </c>
      <c r="G5801" s="142" t="s">
        <v>813</v>
      </c>
      <c r="H5801" s="142" t="s">
        <v>21651</v>
      </c>
      <c r="I5801" s="142">
        <v>16</v>
      </c>
      <c r="J5801" s="142">
        <v>0</v>
      </c>
      <c r="K5801" s="142">
        <v>0</v>
      </c>
      <c r="L5801" s="142">
        <v>16</v>
      </c>
      <c r="M5801" s="142">
        <v>0</v>
      </c>
    </row>
    <row r="5802" spans="1:13" x14ac:dyDescent="0.45">
      <c r="A5802" s="142" t="s">
        <v>13035</v>
      </c>
      <c r="B5802" s="142" t="s">
        <v>14648</v>
      </c>
      <c r="C5802" s="142" t="s">
        <v>15847</v>
      </c>
      <c r="D5802" s="142" t="s">
        <v>15848</v>
      </c>
      <c r="E5802" s="142" t="s">
        <v>15849</v>
      </c>
      <c r="F5802" s="142" t="s">
        <v>814</v>
      </c>
      <c r="G5802" s="142" t="s">
        <v>813</v>
      </c>
      <c r="H5802" s="142" t="s">
        <v>21652</v>
      </c>
      <c r="I5802" s="142">
        <v>30</v>
      </c>
      <c r="J5802" s="142">
        <v>8</v>
      </c>
      <c r="K5802" s="142">
        <v>0</v>
      </c>
      <c r="L5802" s="142">
        <v>0</v>
      </c>
      <c r="M5802" s="142">
        <v>22</v>
      </c>
    </row>
    <row r="5803" spans="1:13" x14ac:dyDescent="0.45">
      <c r="A5803" s="142" t="s">
        <v>13036</v>
      </c>
      <c r="B5803" s="142" t="s">
        <v>15567</v>
      </c>
      <c r="C5803" s="142" t="s">
        <v>15847</v>
      </c>
      <c r="D5803" s="142" t="s">
        <v>15848</v>
      </c>
      <c r="E5803" s="142" t="s">
        <v>15849</v>
      </c>
      <c r="F5803" s="142" t="s">
        <v>814</v>
      </c>
      <c r="G5803" s="142" t="s">
        <v>813</v>
      </c>
      <c r="H5803" s="142" t="s">
        <v>21653</v>
      </c>
      <c r="I5803" s="142">
        <v>35</v>
      </c>
      <c r="J5803" s="142">
        <v>0</v>
      </c>
      <c r="K5803" s="142">
        <v>0</v>
      </c>
      <c r="L5803" s="142">
        <v>35</v>
      </c>
      <c r="M5803" s="142">
        <v>0</v>
      </c>
    </row>
    <row r="5804" spans="1:13" x14ac:dyDescent="0.45">
      <c r="A5804" s="142" t="s">
        <v>13038</v>
      </c>
      <c r="B5804" s="142" t="s">
        <v>14646</v>
      </c>
      <c r="C5804" s="142" t="s">
        <v>15847</v>
      </c>
      <c r="D5804" s="142" t="s">
        <v>15848</v>
      </c>
      <c r="E5804" s="142" t="s">
        <v>15849</v>
      </c>
      <c r="F5804" s="142" t="s">
        <v>814</v>
      </c>
      <c r="G5804" s="142" t="s">
        <v>813</v>
      </c>
      <c r="H5804" s="142" t="s">
        <v>21654</v>
      </c>
      <c r="I5804" s="142">
        <v>39</v>
      </c>
      <c r="J5804" s="142">
        <v>19</v>
      </c>
      <c r="K5804" s="142">
        <v>0</v>
      </c>
      <c r="L5804" s="142">
        <v>0</v>
      </c>
      <c r="M5804" s="142">
        <v>20</v>
      </c>
    </row>
    <row r="5805" spans="1:13" x14ac:dyDescent="0.45">
      <c r="A5805" s="142" t="s">
        <v>13009</v>
      </c>
      <c r="B5805" s="142" t="s">
        <v>15256</v>
      </c>
      <c r="C5805" s="142" t="s">
        <v>15847</v>
      </c>
      <c r="D5805" s="142" t="s">
        <v>15848</v>
      </c>
      <c r="E5805" s="142" t="s">
        <v>15849</v>
      </c>
      <c r="F5805" s="142" t="s">
        <v>814</v>
      </c>
      <c r="G5805" s="142" t="s">
        <v>813</v>
      </c>
      <c r="H5805" s="142" t="s">
        <v>21655</v>
      </c>
      <c r="I5805" s="142">
        <v>157</v>
      </c>
      <c r="J5805" s="142">
        <v>89</v>
      </c>
      <c r="K5805" s="142">
        <v>0</v>
      </c>
      <c r="L5805" s="142">
        <v>66</v>
      </c>
      <c r="M5805" s="142">
        <v>2</v>
      </c>
    </row>
    <row r="5806" spans="1:13" x14ac:dyDescent="0.45">
      <c r="A5806" s="142" t="s">
        <v>13042</v>
      </c>
      <c r="B5806" s="142" t="s">
        <v>15489</v>
      </c>
      <c r="C5806" s="142" t="s">
        <v>15847</v>
      </c>
      <c r="D5806" s="142" t="s">
        <v>15848</v>
      </c>
      <c r="E5806" s="142" t="s">
        <v>15849</v>
      </c>
      <c r="F5806" s="142" t="s">
        <v>814</v>
      </c>
      <c r="G5806" s="142" t="s">
        <v>813</v>
      </c>
      <c r="H5806" s="142" t="s">
        <v>21656</v>
      </c>
      <c r="I5806" s="142">
        <v>86</v>
      </c>
      <c r="J5806" s="142">
        <v>86</v>
      </c>
      <c r="K5806" s="142">
        <v>0</v>
      </c>
      <c r="L5806" s="142">
        <v>0</v>
      </c>
      <c r="M5806" s="142">
        <v>0</v>
      </c>
    </row>
    <row r="5807" spans="1:13" x14ac:dyDescent="0.45">
      <c r="A5807" s="142" t="s">
        <v>13023</v>
      </c>
      <c r="B5807" s="142" t="s">
        <v>15571</v>
      </c>
      <c r="C5807" s="142" t="s">
        <v>15847</v>
      </c>
      <c r="D5807" s="142" t="s">
        <v>15848</v>
      </c>
      <c r="E5807" s="142" t="s">
        <v>15849</v>
      </c>
      <c r="F5807" s="142" t="s">
        <v>7167</v>
      </c>
      <c r="G5807" s="142" t="s">
        <v>7166</v>
      </c>
      <c r="H5807" s="142" t="s">
        <v>21657</v>
      </c>
      <c r="I5807" s="142">
        <v>41</v>
      </c>
      <c r="J5807" s="142">
        <v>0</v>
      </c>
      <c r="K5807" s="142">
        <v>0</v>
      </c>
      <c r="L5807" s="142">
        <v>41</v>
      </c>
      <c r="M5807" s="142">
        <v>0</v>
      </c>
    </row>
    <row r="5808" spans="1:13" x14ac:dyDescent="0.45">
      <c r="A5808" s="142" t="s">
        <v>13330</v>
      </c>
      <c r="B5808" s="142" t="s">
        <v>15239</v>
      </c>
      <c r="C5808" s="142" t="s">
        <v>15847</v>
      </c>
      <c r="D5808" s="142" t="s">
        <v>15848</v>
      </c>
      <c r="E5808" s="142" t="s">
        <v>15849</v>
      </c>
      <c r="F5808" s="142" t="s">
        <v>7167</v>
      </c>
      <c r="G5808" s="142" t="s">
        <v>7166</v>
      </c>
      <c r="H5808" s="142" t="s">
        <v>21658</v>
      </c>
      <c r="I5808" s="142">
        <v>541</v>
      </c>
      <c r="J5808" s="142">
        <v>403</v>
      </c>
      <c r="K5808" s="142">
        <v>0</v>
      </c>
      <c r="L5808" s="142">
        <v>70</v>
      </c>
      <c r="M5808" s="142">
        <v>68</v>
      </c>
    </row>
    <row r="5809" spans="1:13" x14ac:dyDescent="0.45">
      <c r="A5809" s="142" t="s">
        <v>13000</v>
      </c>
      <c r="B5809" s="142" t="s">
        <v>14610</v>
      </c>
      <c r="C5809" s="142" t="s">
        <v>15847</v>
      </c>
      <c r="D5809" s="142" t="s">
        <v>15848</v>
      </c>
      <c r="E5809" s="142" t="s">
        <v>15849</v>
      </c>
      <c r="F5809" s="142" t="s">
        <v>7167</v>
      </c>
      <c r="G5809" s="142" t="s">
        <v>7166</v>
      </c>
      <c r="H5809" s="142" t="s">
        <v>21659</v>
      </c>
      <c r="I5809" s="142">
        <v>234</v>
      </c>
      <c r="J5809" s="142">
        <v>135</v>
      </c>
      <c r="K5809" s="142">
        <v>0</v>
      </c>
      <c r="L5809" s="142">
        <v>11</v>
      </c>
      <c r="M5809" s="142">
        <v>88</v>
      </c>
    </row>
    <row r="5810" spans="1:13" x14ac:dyDescent="0.45">
      <c r="A5810" s="142" t="s">
        <v>13085</v>
      </c>
      <c r="B5810" s="142" t="s">
        <v>14460</v>
      </c>
      <c r="C5810" s="142" t="s">
        <v>15860</v>
      </c>
      <c r="D5810" s="142" t="s">
        <v>15861</v>
      </c>
      <c r="E5810" s="142" t="s">
        <v>15849</v>
      </c>
      <c r="F5810" s="142" t="s">
        <v>7167</v>
      </c>
      <c r="G5810" s="142" t="s">
        <v>7166</v>
      </c>
      <c r="H5810" s="142" t="s">
        <v>21660</v>
      </c>
      <c r="I5810" s="142">
        <v>2</v>
      </c>
      <c r="J5810" s="142">
        <v>0</v>
      </c>
      <c r="K5810" s="142">
        <v>0</v>
      </c>
      <c r="L5810" s="142">
        <v>2</v>
      </c>
      <c r="M5810" s="142">
        <v>0</v>
      </c>
    </row>
    <row r="5811" spans="1:13" x14ac:dyDescent="0.45">
      <c r="A5811" s="142" t="s">
        <v>13087</v>
      </c>
      <c r="B5811" s="142" t="s">
        <v>14452</v>
      </c>
      <c r="C5811" s="142" t="s">
        <v>15847</v>
      </c>
      <c r="D5811" s="142" t="s">
        <v>15848</v>
      </c>
      <c r="E5811" s="142" t="s">
        <v>15849</v>
      </c>
      <c r="F5811" s="142" t="s">
        <v>7167</v>
      </c>
      <c r="G5811" s="142" t="s">
        <v>7166</v>
      </c>
      <c r="H5811" s="142" t="s">
        <v>21661</v>
      </c>
      <c r="I5811" s="142">
        <v>5052</v>
      </c>
      <c r="J5811" s="142">
        <v>4925</v>
      </c>
      <c r="K5811" s="142">
        <v>0</v>
      </c>
      <c r="L5811" s="142">
        <v>19</v>
      </c>
      <c r="M5811" s="142">
        <v>108</v>
      </c>
    </row>
    <row r="5812" spans="1:13" x14ac:dyDescent="0.45">
      <c r="A5812" s="142" t="s">
        <v>13001</v>
      </c>
      <c r="B5812" s="142" t="s">
        <v>15506</v>
      </c>
      <c r="C5812" s="142" t="s">
        <v>15847</v>
      </c>
      <c r="D5812" s="142" t="s">
        <v>15848</v>
      </c>
      <c r="E5812" s="142" t="s">
        <v>15849</v>
      </c>
      <c r="F5812" s="142" t="s">
        <v>7167</v>
      </c>
      <c r="G5812" s="142" t="s">
        <v>7166</v>
      </c>
      <c r="H5812" s="142" t="s">
        <v>21662</v>
      </c>
      <c r="I5812" s="142">
        <v>4</v>
      </c>
      <c r="J5812" s="142">
        <v>3</v>
      </c>
      <c r="K5812" s="142">
        <v>0</v>
      </c>
      <c r="L5812" s="142">
        <v>1</v>
      </c>
      <c r="M5812" s="142">
        <v>0</v>
      </c>
    </row>
    <row r="5813" spans="1:13" x14ac:dyDescent="0.45">
      <c r="A5813" s="142" t="s">
        <v>13050</v>
      </c>
      <c r="B5813" s="142" t="s">
        <v>15237</v>
      </c>
      <c r="C5813" s="142" t="s">
        <v>15847</v>
      </c>
      <c r="D5813" s="142" t="s">
        <v>15848</v>
      </c>
      <c r="E5813" s="142" t="s">
        <v>15849</v>
      </c>
      <c r="F5813" s="142" t="s">
        <v>7167</v>
      </c>
      <c r="G5813" s="142" t="s">
        <v>7166</v>
      </c>
      <c r="H5813" s="142" t="s">
        <v>21663</v>
      </c>
      <c r="I5813" s="142">
        <v>38</v>
      </c>
      <c r="J5813" s="142">
        <v>36</v>
      </c>
      <c r="K5813" s="142">
        <v>0</v>
      </c>
      <c r="L5813" s="142">
        <v>0</v>
      </c>
      <c r="M5813" s="142">
        <v>2</v>
      </c>
    </row>
    <row r="5814" spans="1:13" x14ac:dyDescent="0.45">
      <c r="A5814" s="142" t="s">
        <v>13002</v>
      </c>
      <c r="B5814" s="142" t="s">
        <v>15376</v>
      </c>
      <c r="C5814" s="142" t="s">
        <v>15847</v>
      </c>
      <c r="D5814" s="142" t="s">
        <v>15848</v>
      </c>
      <c r="E5814" s="142" t="s">
        <v>15849</v>
      </c>
      <c r="F5814" s="142" t="s">
        <v>7167</v>
      </c>
      <c r="G5814" s="142" t="s">
        <v>7166</v>
      </c>
      <c r="H5814" s="142" t="s">
        <v>21664</v>
      </c>
      <c r="I5814" s="142">
        <v>3</v>
      </c>
      <c r="J5814" s="142">
        <v>0</v>
      </c>
      <c r="K5814" s="142">
        <v>0</v>
      </c>
      <c r="L5814" s="142">
        <v>3</v>
      </c>
      <c r="M5814" s="142">
        <v>0</v>
      </c>
    </row>
    <row r="5815" spans="1:13" x14ac:dyDescent="0.45">
      <c r="A5815" s="142" t="s">
        <v>14042</v>
      </c>
      <c r="B5815" s="142" t="s">
        <v>14548</v>
      </c>
      <c r="C5815" s="142" t="s">
        <v>15860</v>
      </c>
      <c r="D5815" s="142" t="s">
        <v>15861</v>
      </c>
      <c r="E5815" s="142" t="s">
        <v>15849</v>
      </c>
      <c r="F5815" s="142" t="s">
        <v>7167</v>
      </c>
      <c r="G5815" s="142" t="s">
        <v>7166</v>
      </c>
      <c r="H5815" s="142" t="s">
        <v>21665</v>
      </c>
      <c r="I5815" s="142">
        <v>22</v>
      </c>
      <c r="J5815" s="142">
        <v>22</v>
      </c>
      <c r="K5815" s="142">
        <v>0</v>
      </c>
      <c r="L5815" s="142">
        <v>0</v>
      </c>
      <c r="M5815" s="142">
        <v>0</v>
      </c>
    </row>
    <row r="5816" spans="1:13" x14ac:dyDescent="0.45">
      <c r="A5816" s="142" t="s">
        <v>13003</v>
      </c>
      <c r="B5816" s="142" t="s">
        <v>15245</v>
      </c>
      <c r="C5816" s="142" t="s">
        <v>15847</v>
      </c>
      <c r="D5816" s="142" t="s">
        <v>15848</v>
      </c>
      <c r="E5816" s="142" t="s">
        <v>15849</v>
      </c>
      <c r="F5816" s="142" t="s">
        <v>7167</v>
      </c>
      <c r="G5816" s="142" t="s">
        <v>7166</v>
      </c>
      <c r="H5816" s="142" t="s">
        <v>21666</v>
      </c>
      <c r="I5816" s="142">
        <v>93</v>
      </c>
      <c r="J5816" s="142">
        <v>0</v>
      </c>
      <c r="K5816" s="142">
        <v>0</v>
      </c>
      <c r="L5816" s="142">
        <v>57</v>
      </c>
      <c r="M5816" s="142">
        <v>36</v>
      </c>
    </row>
    <row r="5817" spans="1:13" x14ac:dyDescent="0.45">
      <c r="A5817" s="142" t="s">
        <v>13066</v>
      </c>
      <c r="B5817" s="142" t="s">
        <v>14459</v>
      </c>
      <c r="C5817" s="142" t="s">
        <v>15847</v>
      </c>
      <c r="D5817" s="142" t="s">
        <v>15848</v>
      </c>
      <c r="E5817" s="142" t="s">
        <v>15849</v>
      </c>
      <c r="F5817" s="142" t="s">
        <v>7167</v>
      </c>
      <c r="G5817" s="142" t="s">
        <v>7166</v>
      </c>
      <c r="H5817" s="142" t="s">
        <v>21667</v>
      </c>
      <c r="I5817" s="142">
        <v>16</v>
      </c>
      <c r="J5817" s="142">
        <v>0</v>
      </c>
      <c r="K5817" s="142">
        <v>0</v>
      </c>
      <c r="L5817" s="142">
        <v>16</v>
      </c>
      <c r="M5817" s="142">
        <v>0</v>
      </c>
    </row>
    <row r="5818" spans="1:13" x14ac:dyDescent="0.45">
      <c r="A5818" s="142" t="s">
        <v>13077</v>
      </c>
      <c r="B5818" s="142" t="s">
        <v>15407</v>
      </c>
      <c r="C5818" s="142" t="s">
        <v>15847</v>
      </c>
      <c r="D5818" s="142" t="s">
        <v>15848</v>
      </c>
      <c r="E5818" s="142" t="s">
        <v>15849</v>
      </c>
      <c r="F5818" s="142" t="s">
        <v>7167</v>
      </c>
      <c r="G5818" s="142" t="s">
        <v>7166</v>
      </c>
      <c r="H5818" s="142" t="s">
        <v>21668</v>
      </c>
      <c r="I5818" s="142">
        <v>207</v>
      </c>
      <c r="J5818" s="142">
        <v>161</v>
      </c>
      <c r="K5818" s="142">
        <v>0</v>
      </c>
      <c r="L5818" s="142">
        <v>46</v>
      </c>
      <c r="M5818" s="142">
        <v>0</v>
      </c>
    </row>
    <row r="5819" spans="1:13" x14ac:dyDescent="0.45">
      <c r="A5819" s="142" t="s">
        <v>13033</v>
      </c>
      <c r="B5819" s="142" t="s">
        <v>15276</v>
      </c>
      <c r="C5819" s="142" t="s">
        <v>15847</v>
      </c>
      <c r="D5819" s="142" t="s">
        <v>15848</v>
      </c>
      <c r="E5819" s="142" t="s">
        <v>15849</v>
      </c>
      <c r="F5819" s="142" t="s">
        <v>7167</v>
      </c>
      <c r="G5819" s="142" t="s">
        <v>7166</v>
      </c>
      <c r="H5819" s="142" t="s">
        <v>21669</v>
      </c>
      <c r="I5819" s="142">
        <v>109</v>
      </c>
      <c r="J5819" s="142">
        <v>109</v>
      </c>
      <c r="K5819" s="142">
        <v>0</v>
      </c>
      <c r="L5819" s="142">
        <v>0</v>
      </c>
      <c r="M5819" s="142">
        <v>0</v>
      </c>
    </row>
    <row r="5820" spans="1:13" x14ac:dyDescent="0.45">
      <c r="A5820" s="142" t="s">
        <v>13034</v>
      </c>
      <c r="B5820" s="142" t="s">
        <v>15562</v>
      </c>
      <c r="C5820" s="142" t="s">
        <v>15847</v>
      </c>
      <c r="D5820" s="142" t="s">
        <v>15848</v>
      </c>
      <c r="E5820" s="142" t="s">
        <v>15849</v>
      </c>
      <c r="F5820" s="142" t="s">
        <v>7167</v>
      </c>
      <c r="G5820" s="142" t="s">
        <v>7166</v>
      </c>
      <c r="H5820" s="142" t="s">
        <v>21670</v>
      </c>
      <c r="I5820" s="142">
        <v>90</v>
      </c>
      <c r="J5820" s="142">
        <v>90</v>
      </c>
      <c r="K5820" s="142">
        <v>0</v>
      </c>
      <c r="L5820" s="142">
        <v>0</v>
      </c>
      <c r="M5820" s="142">
        <v>0</v>
      </c>
    </row>
    <row r="5821" spans="1:13" x14ac:dyDescent="0.45">
      <c r="A5821" s="142" t="s">
        <v>13036</v>
      </c>
      <c r="B5821" s="142" t="s">
        <v>15567</v>
      </c>
      <c r="C5821" s="142" t="s">
        <v>15847</v>
      </c>
      <c r="D5821" s="142" t="s">
        <v>15848</v>
      </c>
      <c r="E5821" s="142" t="s">
        <v>15849</v>
      </c>
      <c r="F5821" s="142" t="s">
        <v>7167</v>
      </c>
      <c r="G5821" s="142" t="s">
        <v>7166</v>
      </c>
      <c r="H5821" s="142" t="s">
        <v>21671</v>
      </c>
      <c r="I5821" s="142">
        <v>21</v>
      </c>
      <c r="J5821" s="142">
        <v>0</v>
      </c>
      <c r="K5821" s="142">
        <v>0</v>
      </c>
      <c r="L5821" s="142">
        <v>21</v>
      </c>
      <c r="M5821" s="142">
        <v>0</v>
      </c>
    </row>
    <row r="5822" spans="1:13" x14ac:dyDescent="0.45">
      <c r="A5822" s="142" t="s">
        <v>13090</v>
      </c>
      <c r="B5822" s="142" t="s">
        <v>15600</v>
      </c>
      <c r="C5822" s="142" t="s">
        <v>15847</v>
      </c>
      <c r="D5822" s="142" t="s">
        <v>15848</v>
      </c>
      <c r="E5822" s="142" t="s">
        <v>15849</v>
      </c>
      <c r="F5822" s="142" t="s">
        <v>7167</v>
      </c>
      <c r="G5822" s="142" t="s">
        <v>7166</v>
      </c>
      <c r="H5822" s="142" t="s">
        <v>21672</v>
      </c>
      <c r="I5822" s="142">
        <v>42</v>
      </c>
      <c r="J5822" s="142">
        <v>32</v>
      </c>
      <c r="K5822" s="142">
        <v>0</v>
      </c>
      <c r="L5822" s="142">
        <v>9</v>
      </c>
      <c r="M5822" s="142">
        <v>1</v>
      </c>
    </row>
    <row r="5823" spans="1:13" x14ac:dyDescent="0.45">
      <c r="A5823" s="142" t="s">
        <v>13091</v>
      </c>
      <c r="B5823" s="142" t="s">
        <v>14473</v>
      </c>
      <c r="C5823" s="142" t="s">
        <v>15847</v>
      </c>
      <c r="D5823" s="142" t="s">
        <v>15848</v>
      </c>
      <c r="E5823" s="142" t="s">
        <v>15849</v>
      </c>
      <c r="F5823" s="142" t="s">
        <v>7167</v>
      </c>
      <c r="G5823" s="142" t="s">
        <v>7166</v>
      </c>
      <c r="H5823" s="142" t="s">
        <v>21673</v>
      </c>
      <c r="I5823" s="142">
        <v>25</v>
      </c>
      <c r="J5823" s="142">
        <v>0</v>
      </c>
      <c r="K5823" s="142">
        <v>0</v>
      </c>
      <c r="L5823" s="142">
        <v>25</v>
      </c>
      <c r="M5823" s="142">
        <v>0</v>
      </c>
    </row>
    <row r="5824" spans="1:13" x14ac:dyDescent="0.45">
      <c r="A5824" s="142" t="s">
        <v>13016</v>
      </c>
      <c r="B5824" s="142" t="s">
        <v>14535</v>
      </c>
      <c r="C5824" s="142" t="s">
        <v>15860</v>
      </c>
      <c r="D5824" s="142" t="s">
        <v>15861</v>
      </c>
      <c r="E5824" s="142" t="s">
        <v>15849</v>
      </c>
      <c r="F5824" s="142" t="s">
        <v>7167</v>
      </c>
      <c r="G5824" s="142" t="s">
        <v>7166</v>
      </c>
      <c r="H5824" s="142" t="s">
        <v>21674</v>
      </c>
      <c r="I5824" s="142">
        <v>2</v>
      </c>
      <c r="J5824" s="142">
        <v>0</v>
      </c>
      <c r="K5824" s="142">
        <v>0</v>
      </c>
      <c r="L5824" s="142">
        <v>2</v>
      </c>
      <c r="M5824" s="142">
        <v>0</v>
      </c>
    </row>
    <row r="5825" spans="1:13" x14ac:dyDescent="0.45">
      <c r="A5825" s="142" t="s">
        <v>13072</v>
      </c>
      <c r="B5825" s="142" t="s">
        <v>15530</v>
      </c>
      <c r="C5825" s="142" t="s">
        <v>15847</v>
      </c>
      <c r="D5825" s="142" t="s">
        <v>15848</v>
      </c>
      <c r="E5825" s="142" t="s">
        <v>15849</v>
      </c>
      <c r="F5825" s="142" t="s">
        <v>2674</v>
      </c>
      <c r="G5825" s="142" t="s">
        <v>2673</v>
      </c>
      <c r="H5825" s="142" t="s">
        <v>21675</v>
      </c>
      <c r="I5825" s="142">
        <v>87</v>
      </c>
      <c r="J5825" s="142">
        <v>80</v>
      </c>
      <c r="K5825" s="142">
        <v>0</v>
      </c>
      <c r="L5825" s="142">
        <v>0</v>
      </c>
      <c r="M5825" s="142">
        <v>7</v>
      </c>
    </row>
    <row r="5826" spans="1:13" x14ac:dyDescent="0.45">
      <c r="A5826" s="142" t="s">
        <v>13021</v>
      </c>
      <c r="B5826" s="142" t="s">
        <v>15501</v>
      </c>
      <c r="C5826" s="142" t="s">
        <v>15847</v>
      </c>
      <c r="D5826" s="142" t="s">
        <v>15848</v>
      </c>
      <c r="E5826" s="142" t="s">
        <v>15849</v>
      </c>
      <c r="F5826" s="142" t="s">
        <v>2674</v>
      </c>
      <c r="G5826" s="142" t="s">
        <v>2673</v>
      </c>
      <c r="H5826" s="142" t="s">
        <v>21676</v>
      </c>
      <c r="I5826" s="142">
        <v>12</v>
      </c>
      <c r="J5826" s="142">
        <v>0</v>
      </c>
      <c r="K5826" s="142">
        <v>0</v>
      </c>
      <c r="L5826" s="142">
        <v>0</v>
      </c>
      <c r="M5826" s="142">
        <v>12</v>
      </c>
    </row>
    <row r="5827" spans="1:13" x14ac:dyDescent="0.45">
      <c r="A5827" s="142" t="s">
        <v>13022</v>
      </c>
      <c r="B5827" s="142" t="s">
        <v>14634</v>
      </c>
      <c r="C5827" s="142" t="s">
        <v>15847</v>
      </c>
      <c r="D5827" s="142" t="s">
        <v>15848</v>
      </c>
      <c r="E5827" s="142" t="s">
        <v>15849</v>
      </c>
      <c r="F5827" s="142" t="s">
        <v>2674</v>
      </c>
      <c r="G5827" s="142" t="s">
        <v>2673</v>
      </c>
      <c r="H5827" s="142" t="s">
        <v>21677</v>
      </c>
      <c r="I5827" s="142">
        <v>4875</v>
      </c>
      <c r="J5827" s="142">
        <v>4160</v>
      </c>
      <c r="K5827" s="142">
        <v>0</v>
      </c>
      <c r="L5827" s="142">
        <v>300</v>
      </c>
      <c r="M5827" s="142">
        <v>415</v>
      </c>
    </row>
    <row r="5828" spans="1:13" x14ac:dyDescent="0.45">
      <c r="A5828" s="142" t="s">
        <v>13023</v>
      </c>
      <c r="B5828" s="142" t="s">
        <v>15571</v>
      </c>
      <c r="C5828" s="142" t="s">
        <v>15847</v>
      </c>
      <c r="D5828" s="142" t="s">
        <v>15848</v>
      </c>
      <c r="E5828" s="142" t="s">
        <v>15849</v>
      </c>
      <c r="F5828" s="142" t="s">
        <v>2674</v>
      </c>
      <c r="G5828" s="142" t="s">
        <v>2673</v>
      </c>
      <c r="H5828" s="142" t="s">
        <v>21678</v>
      </c>
      <c r="I5828" s="142">
        <v>161</v>
      </c>
      <c r="J5828" s="142">
        <v>0</v>
      </c>
      <c r="K5828" s="142">
        <v>0</v>
      </c>
      <c r="L5828" s="142">
        <v>161</v>
      </c>
      <c r="M5828" s="142">
        <v>0</v>
      </c>
    </row>
    <row r="5829" spans="1:13" x14ac:dyDescent="0.45">
      <c r="A5829" s="142" t="s">
        <v>13082</v>
      </c>
      <c r="B5829" s="142" t="s">
        <v>14478</v>
      </c>
      <c r="C5829" s="142" t="s">
        <v>15860</v>
      </c>
      <c r="D5829" s="142" t="s">
        <v>15861</v>
      </c>
      <c r="E5829" s="142" t="s">
        <v>15849</v>
      </c>
      <c r="F5829" s="142" t="s">
        <v>2674</v>
      </c>
      <c r="G5829" s="142" t="s">
        <v>2673</v>
      </c>
      <c r="H5829" s="142" t="s">
        <v>21679</v>
      </c>
      <c r="I5829" s="142">
        <v>29</v>
      </c>
      <c r="J5829" s="142">
        <v>0</v>
      </c>
      <c r="K5829" s="142">
        <v>0</v>
      </c>
      <c r="L5829" s="142">
        <v>29</v>
      </c>
      <c r="M5829" s="142">
        <v>0</v>
      </c>
    </row>
    <row r="5830" spans="1:13" x14ac:dyDescent="0.45">
      <c r="A5830" s="142" t="s">
        <v>13065</v>
      </c>
      <c r="B5830" s="142" t="s">
        <v>14497</v>
      </c>
      <c r="C5830" s="142" t="s">
        <v>15847</v>
      </c>
      <c r="D5830" s="142" t="s">
        <v>15848</v>
      </c>
      <c r="E5830" s="142" t="s">
        <v>15849</v>
      </c>
      <c r="F5830" s="142" t="s">
        <v>2674</v>
      </c>
      <c r="G5830" s="142" t="s">
        <v>2673</v>
      </c>
      <c r="H5830" s="142" t="s">
        <v>21680</v>
      </c>
      <c r="I5830" s="142">
        <v>10</v>
      </c>
      <c r="J5830" s="142">
        <v>0</v>
      </c>
      <c r="K5830" s="142">
        <v>0</v>
      </c>
      <c r="L5830" s="142">
        <v>10</v>
      </c>
      <c r="M5830" s="142">
        <v>0</v>
      </c>
    </row>
    <row r="5831" spans="1:13" x14ac:dyDescent="0.45">
      <c r="A5831" s="142" t="s">
        <v>13159</v>
      </c>
      <c r="B5831" s="142" t="s">
        <v>14521</v>
      </c>
      <c r="C5831" s="142" t="s">
        <v>15860</v>
      </c>
      <c r="D5831" s="142" t="s">
        <v>15861</v>
      </c>
      <c r="E5831" s="142" t="s">
        <v>15849</v>
      </c>
      <c r="F5831" s="142" t="s">
        <v>2674</v>
      </c>
      <c r="G5831" s="142" t="s">
        <v>2673</v>
      </c>
      <c r="H5831" s="142" t="s">
        <v>21681</v>
      </c>
      <c r="I5831" s="142">
        <v>10</v>
      </c>
      <c r="J5831" s="142">
        <v>0</v>
      </c>
      <c r="K5831" s="142">
        <v>0</v>
      </c>
      <c r="L5831" s="142">
        <v>10</v>
      </c>
      <c r="M5831" s="142">
        <v>0</v>
      </c>
    </row>
    <row r="5832" spans="1:13" x14ac:dyDescent="0.45">
      <c r="A5832" s="142" t="s">
        <v>13238</v>
      </c>
      <c r="B5832" s="142" t="s">
        <v>14477</v>
      </c>
      <c r="C5832" s="142" t="s">
        <v>15860</v>
      </c>
      <c r="D5832" s="142" t="s">
        <v>15861</v>
      </c>
      <c r="E5832" s="142" t="s">
        <v>15849</v>
      </c>
      <c r="F5832" s="142" t="s">
        <v>2674</v>
      </c>
      <c r="G5832" s="142" t="s">
        <v>2673</v>
      </c>
      <c r="H5832" s="142" t="s">
        <v>21682</v>
      </c>
      <c r="I5832" s="142">
        <v>11</v>
      </c>
      <c r="J5832" s="142">
        <v>0</v>
      </c>
      <c r="K5832" s="142">
        <v>0</v>
      </c>
      <c r="L5832" s="142">
        <v>11</v>
      </c>
      <c r="M5832" s="142">
        <v>0</v>
      </c>
    </row>
    <row r="5833" spans="1:13" x14ac:dyDescent="0.45">
      <c r="A5833" s="142" t="s">
        <v>13198</v>
      </c>
      <c r="B5833" s="142" t="s">
        <v>15602</v>
      </c>
      <c r="C5833" s="142" t="s">
        <v>15847</v>
      </c>
      <c r="D5833" s="142" t="s">
        <v>15848</v>
      </c>
      <c r="E5833" s="142" t="s">
        <v>15849</v>
      </c>
      <c r="F5833" s="142" t="s">
        <v>2674</v>
      </c>
      <c r="G5833" s="142" t="s">
        <v>2673</v>
      </c>
      <c r="H5833" s="142" t="s">
        <v>21683</v>
      </c>
      <c r="I5833" s="142">
        <v>187</v>
      </c>
      <c r="J5833" s="142">
        <v>102</v>
      </c>
      <c r="K5833" s="142">
        <v>0</v>
      </c>
      <c r="L5833" s="142">
        <v>0</v>
      </c>
      <c r="M5833" s="142">
        <v>85</v>
      </c>
    </row>
    <row r="5834" spans="1:13" x14ac:dyDescent="0.45">
      <c r="A5834" s="142" t="s">
        <v>13119</v>
      </c>
      <c r="B5834" s="142" t="s">
        <v>14451</v>
      </c>
      <c r="C5834" s="142" t="s">
        <v>15860</v>
      </c>
      <c r="D5834" s="142" t="s">
        <v>15861</v>
      </c>
      <c r="E5834" s="142" t="s">
        <v>15849</v>
      </c>
      <c r="F5834" s="142" t="s">
        <v>2674</v>
      </c>
      <c r="G5834" s="142" t="s">
        <v>2673</v>
      </c>
      <c r="H5834" s="142" t="s">
        <v>21684</v>
      </c>
      <c r="I5834" s="142">
        <v>11</v>
      </c>
      <c r="J5834" s="142">
        <v>0</v>
      </c>
      <c r="K5834" s="142">
        <v>0</v>
      </c>
      <c r="L5834" s="142">
        <v>11</v>
      </c>
      <c r="M5834" s="142">
        <v>0</v>
      </c>
    </row>
    <row r="5835" spans="1:13" x14ac:dyDescent="0.45">
      <c r="A5835" s="142" t="s">
        <v>13024</v>
      </c>
      <c r="B5835" s="142" t="s">
        <v>14538</v>
      </c>
      <c r="C5835" s="142" t="s">
        <v>15847</v>
      </c>
      <c r="D5835" s="142" t="s">
        <v>15848</v>
      </c>
      <c r="E5835" s="142" t="s">
        <v>15849</v>
      </c>
      <c r="F5835" s="142" t="s">
        <v>2674</v>
      </c>
      <c r="G5835" s="142" t="s">
        <v>2673</v>
      </c>
      <c r="H5835" s="142" t="s">
        <v>21685</v>
      </c>
      <c r="I5835" s="142">
        <v>863</v>
      </c>
      <c r="J5835" s="142">
        <v>559</v>
      </c>
      <c r="K5835" s="142">
        <v>0</v>
      </c>
      <c r="L5835" s="142">
        <v>50</v>
      </c>
      <c r="M5835" s="142">
        <v>254</v>
      </c>
    </row>
    <row r="5836" spans="1:13" x14ac:dyDescent="0.45">
      <c r="A5836" s="142" t="s">
        <v>13085</v>
      </c>
      <c r="B5836" s="142" t="s">
        <v>14460</v>
      </c>
      <c r="C5836" s="142" t="s">
        <v>15860</v>
      </c>
      <c r="D5836" s="142" t="s">
        <v>15861</v>
      </c>
      <c r="E5836" s="142" t="s">
        <v>15849</v>
      </c>
      <c r="F5836" s="142" t="s">
        <v>2674</v>
      </c>
      <c r="G5836" s="142" t="s">
        <v>2673</v>
      </c>
      <c r="H5836" s="142" t="s">
        <v>21686</v>
      </c>
      <c r="I5836" s="142">
        <v>2</v>
      </c>
      <c r="J5836" s="142">
        <v>0</v>
      </c>
      <c r="K5836" s="142">
        <v>0</v>
      </c>
      <c r="L5836" s="142">
        <v>2</v>
      </c>
      <c r="M5836" s="142">
        <v>0</v>
      </c>
    </row>
    <row r="5837" spans="1:13" x14ac:dyDescent="0.45">
      <c r="A5837" s="142" t="s">
        <v>13049</v>
      </c>
      <c r="B5837" s="142" t="s">
        <v>14534</v>
      </c>
      <c r="C5837" s="142" t="s">
        <v>15860</v>
      </c>
      <c r="D5837" s="142" t="s">
        <v>15861</v>
      </c>
      <c r="E5837" s="142" t="s">
        <v>15849</v>
      </c>
      <c r="F5837" s="142" t="s">
        <v>2674</v>
      </c>
      <c r="G5837" s="142" t="s">
        <v>2673</v>
      </c>
      <c r="H5837" s="142" t="s">
        <v>21687</v>
      </c>
      <c r="I5837" s="142">
        <v>78</v>
      </c>
      <c r="J5837" s="142">
        <v>0</v>
      </c>
      <c r="K5837" s="142">
        <v>0</v>
      </c>
      <c r="L5837" s="142">
        <v>78</v>
      </c>
      <c r="M5837" s="142">
        <v>0</v>
      </c>
    </row>
    <row r="5838" spans="1:13" x14ac:dyDescent="0.45">
      <c r="A5838" s="142" t="s">
        <v>13026</v>
      </c>
      <c r="B5838" s="142" t="s">
        <v>15447</v>
      </c>
      <c r="C5838" s="142" t="s">
        <v>15847</v>
      </c>
      <c r="D5838" s="142" t="s">
        <v>15848</v>
      </c>
      <c r="E5838" s="142" t="s">
        <v>15849</v>
      </c>
      <c r="F5838" s="142" t="s">
        <v>2674</v>
      </c>
      <c r="G5838" s="142" t="s">
        <v>2673</v>
      </c>
      <c r="H5838" s="142" t="s">
        <v>21688</v>
      </c>
      <c r="I5838" s="142">
        <v>18</v>
      </c>
      <c r="J5838" s="142">
        <v>9</v>
      </c>
      <c r="K5838" s="142">
        <v>9</v>
      </c>
      <c r="L5838" s="142">
        <v>0</v>
      </c>
      <c r="M5838" s="142">
        <v>0</v>
      </c>
    </row>
    <row r="5839" spans="1:13" x14ac:dyDescent="0.45">
      <c r="A5839" s="142" t="s">
        <v>13027</v>
      </c>
      <c r="B5839" s="142" t="s">
        <v>14562</v>
      </c>
      <c r="C5839" s="142" t="s">
        <v>15847</v>
      </c>
      <c r="D5839" s="142" t="s">
        <v>15848</v>
      </c>
      <c r="E5839" s="142" t="s">
        <v>15849</v>
      </c>
      <c r="F5839" s="142" t="s">
        <v>2674</v>
      </c>
      <c r="G5839" s="142" t="s">
        <v>2673</v>
      </c>
      <c r="H5839" s="142" t="s">
        <v>21689</v>
      </c>
      <c r="I5839" s="142">
        <v>20</v>
      </c>
      <c r="J5839" s="142">
        <v>0</v>
      </c>
      <c r="K5839" s="142">
        <v>0</v>
      </c>
      <c r="L5839" s="142">
        <v>20</v>
      </c>
      <c r="M5839" s="142">
        <v>0</v>
      </c>
    </row>
    <row r="5840" spans="1:13" x14ac:dyDescent="0.45">
      <c r="A5840" s="142" t="s">
        <v>14044</v>
      </c>
      <c r="B5840" s="142" t="s">
        <v>15474</v>
      </c>
      <c r="C5840" s="142" t="s">
        <v>15847</v>
      </c>
      <c r="D5840" s="142" t="s">
        <v>15848</v>
      </c>
      <c r="E5840" s="142" t="s">
        <v>15849</v>
      </c>
      <c r="F5840" s="142" t="s">
        <v>2674</v>
      </c>
      <c r="G5840" s="142" t="s">
        <v>2673</v>
      </c>
      <c r="H5840" s="142" t="s">
        <v>21690</v>
      </c>
      <c r="I5840" s="142">
        <v>4967</v>
      </c>
      <c r="J5840" s="142">
        <v>4504</v>
      </c>
      <c r="K5840" s="142">
        <v>0</v>
      </c>
      <c r="L5840" s="142">
        <v>228</v>
      </c>
      <c r="M5840" s="142">
        <v>235</v>
      </c>
    </row>
    <row r="5841" spans="1:13" x14ac:dyDescent="0.45">
      <c r="A5841" s="142" t="s">
        <v>13243</v>
      </c>
      <c r="B5841" s="142" t="s">
        <v>15560</v>
      </c>
      <c r="C5841" s="142" t="s">
        <v>15847</v>
      </c>
      <c r="D5841" s="142" t="s">
        <v>15848</v>
      </c>
      <c r="E5841" s="142" t="s">
        <v>15849</v>
      </c>
      <c r="F5841" s="142" t="s">
        <v>2674</v>
      </c>
      <c r="G5841" s="142" t="s">
        <v>2673</v>
      </c>
      <c r="H5841" s="142" t="s">
        <v>21691</v>
      </c>
      <c r="I5841" s="142">
        <v>26</v>
      </c>
      <c r="J5841" s="142">
        <v>0</v>
      </c>
      <c r="K5841" s="142">
        <v>0</v>
      </c>
      <c r="L5841" s="142">
        <v>26</v>
      </c>
      <c r="M5841" s="142">
        <v>0</v>
      </c>
    </row>
    <row r="5842" spans="1:13" x14ac:dyDescent="0.45">
      <c r="A5842" s="142" t="s">
        <v>13028</v>
      </c>
      <c r="B5842" s="142" t="s">
        <v>14462</v>
      </c>
      <c r="C5842" s="142" t="s">
        <v>15847</v>
      </c>
      <c r="D5842" s="142" t="s">
        <v>15848</v>
      </c>
      <c r="E5842" s="142" t="s">
        <v>15849</v>
      </c>
      <c r="F5842" s="142" t="s">
        <v>2674</v>
      </c>
      <c r="G5842" s="142" t="s">
        <v>2673</v>
      </c>
      <c r="H5842" s="142" t="s">
        <v>21692</v>
      </c>
      <c r="I5842" s="142">
        <v>26</v>
      </c>
      <c r="J5842" s="142">
        <v>0</v>
      </c>
      <c r="K5842" s="142">
        <v>0</v>
      </c>
      <c r="L5842" s="142">
        <v>0</v>
      </c>
      <c r="M5842" s="142">
        <v>26</v>
      </c>
    </row>
    <row r="5843" spans="1:13" x14ac:dyDescent="0.45">
      <c r="A5843" s="142" t="s">
        <v>13002</v>
      </c>
      <c r="B5843" s="142" t="s">
        <v>15376</v>
      </c>
      <c r="C5843" s="142" t="s">
        <v>15847</v>
      </c>
      <c r="D5843" s="142" t="s">
        <v>15848</v>
      </c>
      <c r="E5843" s="142" t="s">
        <v>15849</v>
      </c>
      <c r="F5843" s="142" t="s">
        <v>2674</v>
      </c>
      <c r="G5843" s="142" t="s">
        <v>2673</v>
      </c>
      <c r="H5843" s="142" t="s">
        <v>21693</v>
      </c>
      <c r="I5843" s="142">
        <v>699</v>
      </c>
      <c r="J5843" s="142">
        <v>524</v>
      </c>
      <c r="K5843" s="142">
        <v>0</v>
      </c>
      <c r="L5843" s="142">
        <v>22</v>
      </c>
      <c r="M5843" s="142">
        <v>153</v>
      </c>
    </row>
    <row r="5844" spans="1:13" x14ac:dyDescent="0.45">
      <c r="A5844" s="142" t="s">
        <v>13003</v>
      </c>
      <c r="B5844" s="142" t="s">
        <v>15245</v>
      </c>
      <c r="C5844" s="142" t="s">
        <v>15847</v>
      </c>
      <c r="D5844" s="142" t="s">
        <v>15848</v>
      </c>
      <c r="E5844" s="142" t="s">
        <v>15849</v>
      </c>
      <c r="F5844" s="142" t="s">
        <v>2674</v>
      </c>
      <c r="G5844" s="142" t="s">
        <v>2673</v>
      </c>
      <c r="H5844" s="142" t="s">
        <v>21694</v>
      </c>
      <c r="I5844" s="142">
        <v>126</v>
      </c>
      <c r="J5844" s="142">
        <v>0</v>
      </c>
      <c r="K5844" s="142">
        <v>0</v>
      </c>
      <c r="L5844" s="142">
        <v>126</v>
      </c>
      <c r="M5844" s="142">
        <v>0</v>
      </c>
    </row>
    <row r="5845" spans="1:13" x14ac:dyDescent="0.45">
      <c r="A5845" s="142" t="s">
        <v>13004</v>
      </c>
      <c r="B5845" s="142" t="s">
        <v>15492</v>
      </c>
      <c r="C5845" s="142" t="s">
        <v>15847</v>
      </c>
      <c r="D5845" s="142" t="s">
        <v>15848</v>
      </c>
      <c r="E5845" s="142" t="s">
        <v>15849</v>
      </c>
      <c r="F5845" s="142" t="s">
        <v>2674</v>
      </c>
      <c r="G5845" s="142" t="s">
        <v>2673</v>
      </c>
      <c r="H5845" s="142" t="s">
        <v>21695</v>
      </c>
      <c r="I5845" s="142">
        <v>11</v>
      </c>
      <c r="J5845" s="142">
        <v>8</v>
      </c>
      <c r="K5845" s="142">
        <v>0</v>
      </c>
      <c r="L5845" s="142">
        <v>0</v>
      </c>
      <c r="M5845" s="142">
        <v>3</v>
      </c>
    </row>
    <row r="5846" spans="1:13" x14ac:dyDescent="0.45">
      <c r="A5846" s="142" t="s">
        <v>13066</v>
      </c>
      <c r="B5846" s="142" t="s">
        <v>14459</v>
      </c>
      <c r="C5846" s="142" t="s">
        <v>15847</v>
      </c>
      <c r="D5846" s="142" t="s">
        <v>15848</v>
      </c>
      <c r="E5846" s="142" t="s">
        <v>15849</v>
      </c>
      <c r="F5846" s="142" t="s">
        <v>2674</v>
      </c>
      <c r="G5846" s="142" t="s">
        <v>2673</v>
      </c>
      <c r="H5846" s="142" t="s">
        <v>21696</v>
      </c>
      <c r="I5846" s="142">
        <v>65</v>
      </c>
      <c r="J5846" s="142">
        <v>0</v>
      </c>
      <c r="K5846" s="142">
        <v>0</v>
      </c>
      <c r="L5846" s="142">
        <v>65</v>
      </c>
      <c r="M5846" s="142">
        <v>0</v>
      </c>
    </row>
    <row r="5847" spans="1:13" x14ac:dyDescent="0.45">
      <c r="A5847" s="142" t="s">
        <v>13201</v>
      </c>
      <c r="B5847" s="142" t="s">
        <v>14481</v>
      </c>
      <c r="C5847" s="142" t="s">
        <v>15860</v>
      </c>
      <c r="D5847" s="142" t="s">
        <v>15861</v>
      </c>
      <c r="E5847" s="142" t="s">
        <v>15849</v>
      </c>
      <c r="F5847" s="142" t="s">
        <v>2674</v>
      </c>
      <c r="G5847" s="142" t="s">
        <v>2673</v>
      </c>
      <c r="H5847" s="142" t="s">
        <v>21697</v>
      </c>
      <c r="I5847" s="142">
        <v>12</v>
      </c>
      <c r="J5847" s="142">
        <v>0</v>
      </c>
      <c r="K5847" s="142">
        <v>0</v>
      </c>
      <c r="L5847" s="142">
        <v>12</v>
      </c>
      <c r="M5847" s="142">
        <v>0</v>
      </c>
    </row>
    <row r="5848" spans="1:13" x14ac:dyDescent="0.45">
      <c r="A5848" s="142" t="s">
        <v>13076</v>
      </c>
      <c r="B5848" s="142" t="s">
        <v>14636</v>
      </c>
      <c r="C5848" s="142" t="s">
        <v>15847</v>
      </c>
      <c r="D5848" s="142" t="s">
        <v>15848</v>
      </c>
      <c r="E5848" s="142" t="s">
        <v>15849</v>
      </c>
      <c r="F5848" s="142" t="s">
        <v>2674</v>
      </c>
      <c r="G5848" s="142" t="s">
        <v>2673</v>
      </c>
      <c r="H5848" s="142" t="s">
        <v>21698</v>
      </c>
      <c r="I5848" s="142">
        <v>65</v>
      </c>
      <c r="J5848" s="142">
        <v>3</v>
      </c>
      <c r="K5848" s="142">
        <v>0</v>
      </c>
      <c r="L5848" s="142">
        <v>0</v>
      </c>
      <c r="M5848" s="142">
        <v>62</v>
      </c>
    </row>
    <row r="5849" spans="1:13" x14ac:dyDescent="0.45">
      <c r="A5849" s="142" t="s">
        <v>13005</v>
      </c>
      <c r="B5849" s="142" t="s">
        <v>15475</v>
      </c>
      <c r="C5849" s="142" t="s">
        <v>15847</v>
      </c>
      <c r="D5849" s="142" t="s">
        <v>15848</v>
      </c>
      <c r="E5849" s="142" t="s">
        <v>15849</v>
      </c>
      <c r="F5849" s="142" t="s">
        <v>2674</v>
      </c>
      <c r="G5849" s="142" t="s">
        <v>2673</v>
      </c>
      <c r="H5849" s="142" t="s">
        <v>21699</v>
      </c>
      <c r="I5849" s="142">
        <v>1</v>
      </c>
      <c r="J5849" s="142">
        <v>0</v>
      </c>
      <c r="K5849" s="142">
        <v>0</v>
      </c>
      <c r="L5849" s="142">
        <v>0</v>
      </c>
      <c r="M5849" s="142">
        <v>1</v>
      </c>
    </row>
    <row r="5850" spans="1:13" x14ac:dyDescent="0.45">
      <c r="A5850" s="142" t="s">
        <v>13029</v>
      </c>
      <c r="B5850" s="142" t="s">
        <v>14665</v>
      </c>
      <c r="C5850" s="142" t="s">
        <v>15847</v>
      </c>
      <c r="D5850" s="142" t="s">
        <v>15848</v>
      </c>
      <c r="E5850" s="142" t="s">
        <v>15849</v>
      </c>
      <c r="F5850" s="142" t="s">
        <v>2674</v>
      </c>
      <c r="G5850" s="142" t="s">
        <v>2673</v>
      </c>
      <c r="H5850" s="142" t="s">
        <v>21700</v>
      </c>
      <c r="I5850" s="142">
        <v>17</v>
      </c>
      <c r="J5850" s="142">
        <v>0</v>
      </c>
      <c r="K5850" s="142">
        <v>0</v>
      </c>
      <c r="L5850" s="142">
        <v>0</v>
      </c>
      <c r="M5850" s="142">
        <v>17</v>
      </c>
    </row>
    <row r="5851" spans="1:13" x14ac:dyDescent="0.45">
      <c r="A5851" s="142" t="s">
        <v>13400</v>
      </c>
      <c r="B5851" s="142" t="s">
        <v>15278</v>
      </c>
      <c r="C5851" s="142" t="s">
        <v>15860</v>
      </c>
      <c r="D5851" s="142" t="s">
        <v>15861</v>
      </c>
      <c r="E5851" s="142" t="s">
        <v>15849</v>
      </c>
      <c r="F5851" s="142" t="s">
        <v>2674</v>
      </c>
      <c r="G5851" s="142" t="s">
        <v>2673</v>
      </c>
      <c r="H5851" s="142" t="s">
        <v>21701</v>
      </c>
      <c r="I5851" s="142">
        <v>35</v>
      </c>
      <c r="J5851" s="142">
        <v>0</v>
      </c>
      <c r="K5851" s="142">
        <v>0</v>
      </c>
      <c r="L5851" s="142">
        <v>35</v>
      </c>
      <c r="M5851" s="142">
        <v>0</v>
      </c>
    </row>
    <row r="5852" spans="1:13" x14ac:dyDescent="0.45">
      <c r="A5852" s="142" t="s">
        <v>13006</v>
      </c>
      <c r="B5852" s="142" t="s">
        <v>15288</v>
      </c>
      <c r="C5852" s="142" t="s">
        <v>15847</v>
      </c>
      <c r="D5852" s="142" t="s">
        <v>15848</v>
      </c>
      <c r="E5852" s="142" t="s">
        <v>15849</v>
      </c>
      <c r="F5852" s="142" t="s">
        <v>2674</v>
      </c>
      <c r="G5852" s="142" t="s">
        <v>2673</v>
      </c>
      <c r="H5852" s="142" t="s">
        <v>21702</v>
      </c>
      <c r="I5852" s="142">
        <v>328</v>
      </c>
      <c r="J5852" s="142">
        <v>312</v>
      </c>
      <c r="K5852" s="142">
        <v>0</v>
      </c>
      <c r="L5852" s="142">
        <v>0</v>
      </c>
      <c r="M5852" s="142">
        <v>16</v>
      </c>
    </row>
    <row r="5853" spans="1:13" x14ac:dyDescent="0.45">
      <c r="A5853" s="142" t="s">
        <v>13248</v>
      </c>
      <c r="B5853" s="142" t="s">
        <v>15463</v>
      </c>
      <c r="C5853" s="142" t="s">
        <v>15847</v>
      </c>
      <c r="D5853" s="142" t="s">
        <v>15848</v>
      </c>
      <c r="E5853" s="142" t="s">
        <v>15849</v>
      </c>
      <c r="F5853" s="142" t="s">
        <v>2674</v>
      </c>
      <c r="G5853" s="142" t="s">
        <v>2673</v>
      </c>
      <c r="H5853" s="142" t="s">
        <v>21703</v>
      </c>
      <c r="I5853" s="142">
        <v>247</v>
      </c>
      <c r="J5853" s="142">
        <v>187</v>
      </c>
      <c r="K5853" s="142">
        <v>0</v>
      </c>
      <c r="L5853" s="142">
        <v>44</v>
      </c>
      <c r="M5853" s="142">
        <v>16</v>
      </c>
    </row>
    <row r="5854" spans="1:13" x14ac:dyDescent="0.45">
      <c r="A5854" s="142" t="s">
        <v>14045</v>
      </c>
      <c r="B5854" s="142" t="s">
        <v>15403</v>
      </c>
      <c r="C5854" s="142" t="s">
        <v>15860</v>
      </c>
      <c r="D5854" s="142" t="s">
        <v>15861</v>
      </c>
      <c r="E5854" s="142" t="s">
        <v>15849</v>
      </c>
      <c r="F5854" s="142" t="s">
        <v>2674</v>
      </c>
      <c r="G5854" s="142" t="s">
        <v>2673</v>
      </c>
      <c r="H5854" s="142" t="s">
        <v>21704</v>
      </c>
      <c r="I5854" s="142">
        <v>77</v>
      </c>
      <c r="J5854" s="142">
        <v>77</v>
      </c>
      <c r="K5854" s="142">
        <v>0</v>
      </c>
      <c r="L5854" s="142">
        <v>0</v>
      </c>
      <c r="M5854" s="142">
        <v>0</v>
      </c>
    </row>
    <row r="5855" spans="1:13" x14ac:dyDescent="0.45">
      <c r="A5855" s="142" t="s">
        <v>13030</v>
      </c>
      <c r="B5855" s="142" t="s">
        <v>14572</v>
      </c>
      <c r="C5855" s="142" t="s">
        <v>15847</v>
      </c>
      <c r="D5855" s="142" t="s">
        <v>15848</v>
      </c>
      <c r="E5855" s="142" t="s">
        <v>15849</v>
      </c>
      <c r="F5855" s="142" t="s">
        <v>2674</v>
      </c>
      <c r="G5855" s="142" t="s">
        <v>2673</v>
      </c>
      <c r="H5855" s="142" t="s">
        <v>21705</v>
      </c>
      <c r="I5855" s="142">
        <v>102</v>
      </c>
      <c r="J5855" s="142">
        <v>71</v>
      </c>
      <c r="K5855" s="142">
        <v>0</v>
      </c>
      <c r="L5855" s="142">
        <v>0</v>
      </c>
      <c r="M5855" s="142">
        <v>31</v>
      </c>
    </row>
    <row r="5856" spans="1:13" x14ac:dyDescent="0.45">
      <c r="A5856" s="142" t="s">
        <v>13008</v>
      </c>
      <c r="B5856" s="142" t="s">
        <v>15411</v>
      </c>
      <c r="C5856" s="142" t="s">
        <v>15847</v>
      </c>
      <c r="D5856" s="142" t="s">
        <v>15848</v>
      </c>
      <c r="E5856" s="142" t="s">
        <v>15849</v>
      </c>
      <c r="F5856" s="142" t="s">
        <v>2674</v>
      </c>
      <c r="G5856" s="142" t="s">
        <v>2673</v>
      </c>
      <c r="H5856" s="142" t="s">
        <v>21706</v>
      </c>
      <c r="I5856" s="142">
        <v>371</v>
      </c>
      <c r="J5856" s="142">
        <v>30</v>
      </c>
      <c r="K5856" s="142">
        <v>0</v>
      </c>
      <c r="L5856" s="142">
        <v>0</v>
      </c>
      <c r="M5856" s="142">
        <v>341</v>
      </c>
    </row>
    <row r="5857" spans="1:13" x14ac:dyDescent="0.45">
      <c r="A5857" s="142" t="s">
        <v>13077</v>
      </c>
      <c r="B5857" s="142" t="s">
        <v>15407</v>
      </c>
      <c r="C5857" s="142" t="s">
        <v>15847</v>
      </c>
      <c r="D5857" s="142" t="s">
        <v>15848</v>
      </c>
      <c r="E5857" s="142" t="s">
        <v>15849</v>
      </c>
      <c r="F5857" s="142" t="s">
        <v>2674</v>
      </c>
      <c r="G5857" s="142" t="s">
        <v>2673</v>
      </c>
      <c r="H5857" s="142" t="s">
        <v>21707</v>
      </c>
      <c r="I5857" s="142">
        <v>1593</v>
      </c>
      <c r="J5857" s="142">
        <v>1470</v>
      </c>
      <c r="K5857" s="142">
        <v>0</v>
      </c>
      <c r="L5857" s="142">
        <v>123</v>
      </c>
      <c r="M5857" s="142">
        <v>0</v>
      </c>
    </row>
    <row r="5858" spans="1:13" x14ac:dyDescent="0.45">
      <c r="A5858" s="142" t="s">
        <v>13055</v>
      </c>
      <c r="B5858" s="142" t="s">
        <v>14595</v>
      </c>
      <c r="C5858" s="142" t="s">
        <v>15847</v>
      </c>
      <c r="D5858" s="142" t="s">
        <v>15848</v>
      </c>
      <c r="E5858" s="142" t="s">
        <v>15849</v>
      </c>
      <c r="F5858" s="142" t="s">
        <v>2674</v>
      </c>
      <c r="G5858" s="142" t="s">
        <v>2673</v>
      </c>
      <c r="H5858" s="142" t="s">
        <v>21708</v>
      </c>
      <c r="I5858" s="142">
        <v>869</v>
      </c>
      <c r="J5858" s="142">
        <v>769</v>
      </c>
      <c r="K5858" s="142">
        <v>0</v>
      </c>
      <c r="L5858" s="142">
        <v>79</v>
      </c>
      <c r="M5858" s="142">
        <v>21</v>
      </c>
    </row>
    <row r="5859" spans="1:13" x14ac:dyDescent="0.45">
      <c r="A5859" s="142" t="s">
        <v>14046</v>
      </c>
      <c r="B5859" s="142" t="s">
        <v>14822</v>
      </c>
      <c r="C5859" s="142" t="s">
        <v>15860</v>
      </c>
      <c r="D5859" s="142" t="s">
        <v>15861</v>
      </c>
      <c r="E5859" s="142" t="s">
        <v>15849</v>
      </c>
      <c r="F5859" s="142" t="s">
        <v>2674</v>
      </c>
      <c r="G5859" s="142" t="s">
        <v>2673</v>
      </c>
      <c r="H5859" s="142" t="s">
        <v>21709</v>
      </c>
      <c r="I5859" s="142">
        <v>8</v>
      </c>
      <c r="J5859" s="142">
        <v>0</v>
      </c>
      <c r="K5859" s="142">
        <v>0</v>
      </c>
      <c r="L5859" s="142">
        <v>8</v>
      </c>
      <c r="M5859" s="142">
        <v>0</v>
      </c>
    </row>
    <row r="5860" spans="1:13" x14ac:dyDescent="0.45">
      <c r="A5860" s="142" t="s">
        <v>13104</v>
      </c>
      <c r="B5860" s="142" t="s">
        <v>14622</v>
      </c>
      <c r="C5860" s="142" t="s">
        <v>15847</v>
      </c>
      <c r="D5860" s="142" t="s">
        <v>15848</v>
      </c>
      <c r="E5860" s="142" t="s">
        <v>15849</v>
      </c>
      <c r="F5860" s="142" t="s">
        <v>2674</v>
      </c>
      <c r="G5860" s="142" t="s">
        <v>2673</v>
      </c>
      <c r="H5860" s="142" t="s">
        <v>21710</v>
      </c>
      <c r="I5860" s="142">
        <v>19</v>
      </c>
      <c r="J5860" s="142">
        <v>19</v>
      </c>
      <c r="K5860" s="142">
        <v>0</v>
      </c>
      <c r="L5860" s="142">
        <v>0</v>
      </c>
      <c r="M5860" s="142">
        <v>0</v>
      </c>
    </row>
    <row r="5861" spans="1:13" x14ac:dyDescent="0.45">
      <c r="A5861" s="142" t="s">
        <v>13033</v>
      </c>
      <c r="B5861" s="142" t="s">
        <v>15276</v>
      </c>
      <c r="C5861" s="142" t="s">
        <v>15847</v>
      </c>
      <c r="D5861" s="142" t="s">
        <v>15848</v>
      </c>
      <c r="E5861" s="142" t="s">
        <v>15849</v>
      </c>
      <c r="F5861" s="142" t="s">
        <v>2674</v>
      </c>
      <c r="G5861" s="142" t="s">
        <v>2673</v>
      </c>
      <c r="H5861" s="142" t="s">
        <v>21711</v>
      </c>
      <c r="I5861" s="142">
        <v>560</v>
      </c>
      <c r="J5861" s="142">
        <v>509</v>
      </c>
      <c r="K5861" s="142">
        <v>0</v>
      </c>
      <c r="L5861" s="142">
        <v>40</v>
      </c>
      <c r="M5861" s="142">
        <v>11</v>
      </c>
    </row>
    <row r="5862" spans="1:13" x14ac:dyDescent="0.45">
      <c r="A5862" s="142" t="s">
        <v>13034</v>
      </c>
      <c r="B5862" s="142" t="s">
        <v>15562</v>
      </c>
      <c r="C5862" s="142" t="s">
        <v>15847</v>
      </c>
      <c r="D5862" s="142" t="s">
        <v>15848</v>
      </c>
      <c r="E5862" s="142" t="s">
        <v>15849</v>
      </c>
      <c r="F5862" s="142" t="s">
        <v>2674</v>
      </c>
      <c r="G5862" s="142" t="s">
        <v>2673</v>
      </c>
      <c r="H5862" s="142" t="s">
        <v>21712</v>
      </c>
      <c r="I5862" s="142">
        <v>105</v>
      </c>
      <c r="J5862" s="142">
        <v>56</v>
      </c>
      <c r="K5862" s="142">
        <v>0</v>
      </c>
      <c r="L5862" s="142">
        <v>49</v>
      </c>
      <c r="M5862" s="142">
        <v>0</v>
      </c>
    </row>
    <row r="5863" spans="1:13" x14ac:dyDescent="0.45">
      <c r="A5863" s="142" t="s">
        <v>13035</v>
      </c>
      <c r="B5863" s="142" t="s">
        <v>14648</v>
      </c>
      <c r="C5863" s="142" t="s">
        <v>15847</v>
      </c>
      <c r="D5863" s="142" t="s">
        <v>15848</v>
      </c>
      <c r="E5863" s="142" t="s">
        <v>15849</v>
      </c>
      <c r="F5863" s="142" t="s">
        <v>2674</v>
      </c>
      <c r="G5863" s="142" t="s">
        <v>2673</v>
      </c>
      <c r="H5863" s="142" t="s">
        <v>21713</v>
      </c>
      <c r="I5863" s="142">
        <v>312</v>
      </c>
      <c r="J5863" s="142">
        <v>235</v>
      </c>
      <c r="K5863" s="142">
        <v>0</v>
      </c>
      <c r="L5863" s="142">
        <v>0</v>
      </c>
      <c r="M5863" s="142">
        <v>77</v>
      </c>
    </row>
    <row r="5864" spans="1:13" x14ac:dyDescent="0.45">
      <c r="A5864" s="142" t="s">
        <v>13105</v>
      </c>
      <c r="B5864" s="142" t="s">
        <v>14654</v>
      </c>
      <c r="C5864" s="142" t="s">
        <v>15847</v>
      </c>
      <c r="D5864" s="142" t="s">
        <v>15848</v>
      </c>
      <c r="E5864" s="142" t="s">
        <v>15849</v>
      </c>
      <c r="F5864" s="142" t="s">
        <v>2674</v>
      </c>
      <c r="G5864" s="142" t="s">
        <v>2673</v>
      </c>
      <c r="H5864" s="142" t="s">
        <v>21714</v>
      </c>
      <c r="I5864" s="142">
        <v>5</v>
      </c>
      <c r="J5864" s="142">
        <v>0</v>
      </c>
      <c r="K5864" s="142">
        <v>0</v>
      </c>
      <c r="L5864" s="142">
        <v>0</v>
      </c>
      <c r="M5864" s="142">
        <v>5</v>
      </c>
    </row>
    <row r="5865" spans="1:13" x14ac:dyDescent="0.45">
      <c r="A5865" s="142" t="s">
        <v>13038</v>
      </c>
      <c r="B5865" s="142" t="s">
        <v>14646</v>
      </c>
      <c r="C5865" s="142" t="s">
        <v>15847</v>
      </c>
      <c r="D5865" s="142" t="s">
        <v>15848</v>
      </c>
      <c r="E5865" s="142" t="s">
        <v>15849</v>
      </c>
      <c r="F5865" s="142" t="s">
        <v>2674</v>
      </c>
      <c r="G5865" s="142" t="s">
        <v>2673</v>
      </c>
      <c r="H5865" s="142" t="s">
        <v>21715</v>
      </c>
      <c r="I5865" s="142">
        <v>187</v>
      </c>
      <c r="J5865" s="142">
        <v>100</v>
      </c>
      <c r="K5865" s="142">
        <v>0</v>
      </c>
      <c r="L5865" s="142">
        <v>0</v>
      </c>
      <c r="M5865" s="142">
        <v>87</v>
      </c>
    </row>
    <row r="5866" spans="1:13" x14ac:dyDescent="0.45">
      <c r="A5866" s="142" t="s">
        <v>13039</v>
      </c>
      <c r="B5866" s="142" t="s">
        <v>14647</v>
      </c>
      <c r="C5866" s="142" t="s">
        <v>15847</v>
      </c>
      <c r="D5866" s="142" t="s">
        <v>15848</v>
      </c>
      <c r="E5866" s="142" t="s">
        <v>15849</v>
      </c>
      <c r="F5866" s="142" t="s">
        <v>2674</v>
      </c>
      <c r="G5866" s="142" t="s">
        <v>2673</v>
      </c>
      <c r="H5866" s="142" t="s">
        <v>21716</v>
      </c>
      <c r="I5866" s="142">
        <v>65</v>
      </c>
      <c r="J5866" s="142">
        <v>65</v>
      </c>
      <c r="K5866" s="142">
        <v>0</v>
      </c>
      <c r="L5866" s="142">
        <v>0</v>
      </c>
      <c r="M5866" s="142">
        <v>0</v>
      </c>
    </row>
    <row r="5867" spans="1:13" x14ac:dyDescent="0.45">
      <c r="A5867" s="142" t="s">
        <v>13009</v>
      </c>
      <c r="B5867" s="142" t="s">
        <v>15256</v>
      </c>
      <c r="C5867" s="142" t="s">
        <v>15847</v>
      </c>
      <c r="D5867" s="142" t="s">
        <v>15848</v>
      </c>
      <c r="E5867" s="142" t="s">
        <v>15849</v>
      </c>
      <c r="F5867" s="142" t="s">
        <v>2674</v>
      </c>
      <c r="G5867" s="142" t="s">
        <v>2673</v>
      </c>
      <c r="H5867" s="142" t="s">
        <v>21717</v>
      </c>
      <c r="I5867" s="142">
        <v>48</v>
      </c>
      <c r="J5867" s="142">
        <v>5</v>
      </c>
      <c r="K5867" s="142">
        <v>0</v>
      </c>
      <c r="L5867" s="142">
        <v>43</v>
      </c>
      <c r="M5867" s="142">
        <v>0</v>
      </c>
    </row>
    <row r="5868" spans="1:13" x14ac:dyDescent="0.45">
      <c r="A5868" s="142" t="s">
        <v>13011</v>
      </c>
      <c r="B5868" s="142" t="s">
        <v>14695</v>
      </c>
      <c r="C5868" s="142" t="s">
        <v>15847</v>
      </c>
      <c r="D5868" s="142" t="s">
        <v>15848</v>
      </c>
      <c r="E5868" s="142" t="s">
        <v>15849</v>
      </c>
      <c r="F5868" s="142" t="s">
        <v>2674</v>
      </c>
      <c r="G5868" s="142" t="s">
        <v>2673</v>
      </c>
      <c r="H5868" s="142" t="s">
        <v>21718</v>
      </c>
      <c r="I5868" s="142">
        <v>324</v>
      </c>
      <c r="J5868" s="142">
        <v>117</v>
      </c>
      <c r="K5868" s="142">
        <v>201</v>
      </c>
      <c r="L5868" s="142">
        <v>0</v>
      </c>
      <c r="M5868" s="142">
        <v>6</v>
      </c>
    </row>
    <row r="5869" spans="1:13" x14ac:dyDescent="0.45">
      <c r="A5869" s="142" t="s">
        <v>13041</v>
      </c>
      <c r="B5869" s="142" t="s">
        <v>14441</v>
      </c>
      <c r="C5869" s="142" t="s">
        <v>15847</v>
      </c>
      <c r="D5869" s="142" t="s">
        <v>15848</v>
      </c>
      <c r="E5869" s="142" t="s">
        <v>15849</v>
      </c>
      <c r="F5869" s="142" t="s">
        <v>2674</v>
      </c>
      <c r="G5869" s="142" t="s">
        <v>2673</v>
      </c>
      <c r="H5869" s="142" t="s">
        <v>21719</v>
      </c>
      <c r="I5869" s="142">
        <v>10</v>
      </c>
      <c r="J5869" s="142">
        <v>0</v>
      </c>
      <c r="K5869" s="142">
        <v>0</v>
      </c>
      <c r="L5869" s="142">
        <v>0</v>
      </c>
      <c r="M5869" s="142">
        <v>10</v>
      </c>
    </row>
    <row r="5870" spans="1:13" x14ac:dyDescent="0.45">
      <c r="A5870" s="142" t="s">
        <v>13205</v>
      </c>
      <c r="B5870" s="142" t="s">
        <v>14496</v>
      </c>
      <c r="C5870" s="142" t="s">
        <v>15847</v>
      </c>
      <c r="D5870" s="142" t="s">
        <v>15848</v>
      </c>
      <c r="E5870" s="142" t="s">
        <v>15849</v>
      </c>
      <c r="F5870" s="142" t="s">
        <v>2674</v>
      </c>
      <c r="G5870" s="142" t="s">
        <v>2673</v>
      </c>
      <c r="H5870" s="142" t="s">
        <v>21720</v>
      </c>
      <c r="I5870" s="142">
        <v>34</v>
      </c>
      <c r="J5870" s="142">
        <v>34</v>
      </c>
      <c r="K5870" s="142">
        <v>0</v>
      </c>
      <c r="L5870" s="142">
        <v>0</v>
      </c>
      <c r="M5870" s="142">
        <v>0</v>
      </c>
    </row>
    <row r="5871" spans="1:13" x14ac:dyDescent="0.45">
      <c r="A5871" s="142" t="s">
        <v>13012</v>
      </c>
      <c r="B5871" s="142" t="s">
        <v>15337</v>
      </c>
      <c r="C5871" s="142" t="s">
        <v>15847</v>
      </c>
      <c r="D5871" s="142" t="s">
        <v>15848</v>
      </c>
      <c r="E5871" s="142" t="s">
        <v>15849</v>
      </c>
      <c r="F5871" s="142" t="s">
        <v>2674</v>
      </c>
      <c r="G5871" s="142" t="s">
        <v>2673</v>
      </c>
      <c r="H5871" s="142" t="s">
        <v>21721</v>
      </c>
      <c r="I5871" s="142">
        <v>231</v>
      </c>
      <c r="J5871" s="142">
        <v>184</v>
      </c>
      <c r="K5871" s="142">
        <v>0</v>
      </c>
      <c r="L5871" s="142">
        <v>0</v>
      </c>
      <c r="M5871" s="142">
        <v>47</v>
      </c>
    </row>
    <row r="5872" spans="1:13" x14ac:dyDescent="0.45">
      <c r="A5872" s="142" t="s">
        <v>13206</v>
      </c>
      <c r="B5872" s="142" t="s">
        <v>14489</v>
      </c>
      <c r="C5872" s="142" t="s">
        <v>15860</v>
      </c>
      <c r="D5872" s="142" t="s">
        <v>15861</v>
      </c>
      <c r="E5872" s="142" t="s">
        <v>15849</v>
      </c>
      <c r="F5872" s="142" t="s">
        <v>2674</v>
      </c>
      <c r="G5872" s="142" t="s">
        <v>2673</v>
      </c>
      <c r="H5872" s="142" t="s">
        <v>21722</v>
      </c>
      <c r="I5872" s="142">
        <v>43</v>
      </c>
      <c r="J5872" s="142">
        <v>0</v>
      </c>
      <c r="K5872" s="142">
        <v>0</v>
      </c>
      <c r="L5872" s="142">
        <v>43</v>
      </c>
      <c r="M5872" s="142">
        <v>0</v>
      </c>
    </row>
    <row r="5873" spans="1:13" x14ac:dyDescent="0.45">
      <c r="A5873" s="142" t="s">
        <v>13014</v>
      </c>
      <c r="B5873" s="142" t="s">
        <v>14505</v>
      </c>
      <c r="C5873" s="142" t="s">
        <v>15847</v>
      </c>
      <c r="D5873" s="142" t="s">
        <v>15848</v>
      </c>
      <c r="E5873" s="142" t="s">
        <v>15849</v>
      </c>
      <c r="F5873" s="142" t="s">
        <v>2674</v>
      </c>
      <c r="G5873" s="142" t="s">
        <v>2673</v>
      </c>
      <c r="H5873" s="142" t="s">
        <v>21723</v>
      </c>
      <c r="I5873" s="142">
        <v>117</v>
      </c>
      <c r="J5873" s="142">
        <v>99</v>
      </c>
      <c r="K5873" s="142">
        <v>0</v>
      </c>
      <c r="L5873" s="142">
        <v>4</v>
      </c>
      <c r="M5873" s="142">
        <v>14</v>
      </c>
    </row>
    <row r="5874" spans="1:13" x14ac:dyDescent="0.45">
      <c r="A5874" s="142" t="s">
        <v>14047</v>
      </c>
      <c r="B5874" s="142" t="s">
        <v>14768</v>
      </c>
      <c r="C5874" s="142" t="s">
        <v>15860</v>
      </c>
      <c r="D5874" s="142" t="s">
        <v>15861</v>
      </c>
      <c r="E5874" s="142" t="s">
        <v>15849</v>
      </c>
      <c r="F5874" s="142" t="s">
        <v>2674</v>
      </c>
      <c r="G5874" s="142" t="s">
        <v>2673</v>
      </c>
      <c r="H5874" s="142" t="s">
        <v>21724</v>
      </c>
      <c r="I5874" s="142">
        <v>20</v>
      </c>
      <c r="J5874" s="142">
        <v>20</v>
      </c>
      <c r="K5874" s="142">
        <v>0</v>
      </c>
      <c r="L5874" s="142">
        <v>0</v>
      </c>
      <c r="M5874" s="142">
        <v>0</v>
      </c>
    </row>
    <row r="5875" spans="1:13" x14ac:dyDescent="0.45">
      <c r="A5875" s="142" t="s">
        <v>13042</v>
      </c>
      <c r="B5875" s="142" t="s">
        <v>15489</v>
      </c>
      <c r="C5875" s="142" t="s">
        <v>15847</v>
      </c>
      <c r="D5875" s="142" t="s">
        <v>15848</v>
      </c>
      <c r="E5875" s="142" t="s">
        <v>15849</v>
      </c>
      <c r="F5875" s="142" t="s">
        <v>2674</v>
      </c>
      <c r="G5875" s="142" t="s">
        <v>2673</v>
      </c>
      <c r="H5875" s="142" t="s">
        <v>21725</v>
      </c>
      <c r="I5875" s="142">
        <v>555</v>
      </c>
      <c r="J5875" s="142">
        <v>309</v>
      </c>
      <c r="K5875" s="142">
        <v>0</v>
      </c>
      <c r="L5875" s="142">
        <v>45</v>
      </c>
      <c r="M5875" s="142">
        <v>201</v>
      </c>
    </row>
    <row r="5876" spans="1:13" x14ac:dyDescent="0.45">
      <c r="A5876" s="142" t="s">
        <v>13016</v>
      </c>
      <c r="B5876" s="142" t="s">
        <v>14535</v>
      </c>
      <c r="C5876" s="142" t="s">
        <v>15860</v>
      </c>
      <c r="D5876" s="142" t="s">
        <v>15861</v>
      </c>
      <c r="E5876" s="142" t="s">
        <v>15849</v>
      </c>
      <c r="F5876" s="142" t="s">
        <v>2674</v>
      </c>
      <c r="G5876" s="142" t="s">
        <v>2673</v>
      </c>
      <c r="H5876" s="142" t="s">
        <v>21726</v>
      </c>
      <c r="I5876" s="142">
        <v>4</v>
      </c>
      <c r="J5876" s="142">
        <v>0</v>
      </c>
      <c r="K5876" s="142">
        <v>0</v>
      </c>
      <c r="L5876" s="142">
        <v>4</v>
      </c>
      <c r="M5876" s="142">
        <v>0</v>
      </c>
    </row>
    <row r="5877" spans="1:13" x14ac:dyDescent="0.45">
      <c r="A5877" s="142" t="s">
        <v>13144</v>
      </c>
      <c r="B5877" s="142" t="s">
        <v>14464</v>
      </c>
      <c r="C5877" s="142" t="s">
        <v>15860</v>
      </c>
      <c r="D5877" s="142" t="s">
        <v>15861</v>
      </c>
      <c r="E5877" s="142" t="s">
        <v>15849</v>
      </c>
      <c r="F5877" s="142" t="s">
        <v>2674</v>
      </c>
      <c r="G5877" s="142" t="s">
        <v>2673</v>
      </c>
      <c r="H5877" s="142" t="s">
        <v>21727</v>
      </c>
      <c r="I5877" s="142">
        <v>5</v>
      </c>
      <c r="J5877" s="142">
        <v>0</v>
      </c>
      <c r="K5877" s="142">
        <v>0</v>
      </c>
      <c r="L5877" s="142">
        <v>5</v>
      </c>
      <c r="M5877" s="142">
        <v>0</v>
      </c>
    </row>
    <row r="5878" spans="1:13" x14ac:dyDescent="0.45">
      <c r="A5878" s="142" t="s">
        <v>14048</v>
      </c>
      <c r="B5878" s="142" t="s">
        <v>14681</v>
      </c>
      <c r="C5878" s="142" t="s">
        <v>15860</v>
      </c>
      <c r="D5878" s="142" t="s">
        <v>15861</v>
      </c>
      <c r="E5878" s="142" t="s">
        <v>15849</v>
      </c>
      <c r="F5878" s="142" t="s">
        <v>2674</v>
      </c>
      <c r="G5878" s="142" t="s">
        <v>2673</v>
      </c>
      <c r="H5878" s="142" t="s">
        <v>21728</v>
      </c>
      <c r="I5878" s="142">
        <v>4</v>
      </c>
      <c r="J5878" s="142">
        <v>4</v>
      </c>
      <c r="K5878" s="142">
        <v>0</v>
      </c>
      <c r="L5878" s="142">
        <v>0</v>
      </c>
      <c r="M5878" s="142">
        <v>0</v>
      </c>
    </row>
    <row r="5879" spans="1:13" x14ac:dyDescent="0.45">
      <c r="A5879" s="142" t="s">
        <v>13207</v>
      </c>
      <c r="B5879" s="142" t="s">
        <v>15558</v>
      </c>
      <c r="C5879" s="142" t="s">
        <v>15847</v>
      </c>
      <c r="D5879" s="142" t="s">
        <v>15848</v>
      </c>
      <c r="E5879" s="142" t="s">
        <v>15849</v>
      </c>
      <c r="F5879" s="142" t="s">
        <v>2674</v>
      </c>
      <c r="G5879" s="142" t="s">
        <v>2673</v>
      </c>
      <c r="H5879" s="142" t="s">
        <v>21729</v>
      </c>
      <c r="I5879" s="142">
        <v>475</v>
      </c>
      <c r="J5879" s="142">
        <v>346</v>
      </c>
      <c r="K5879" s="142">
        <v>0</v>
      </c>
      <c r="L5879" s="142">
        <v>23</v>
      </c>
      <c r="M5879" s="142">
        <v>106</v>
      </c>
    </row>
    <row r="5880" spans="1:13" x14ac:dyDescent="0.45">
      <c r="A5880" s="142" t="s">
        <v>13167</v>
      </c>
      <c r="B5880" s="142" t="s">
        <v>15418</v>
      </c>
      <c r="C5880" s="142" t="s">
        <v>15847</v>
      </c>
      <c r="D5880" s="142" t="s">
        <v>15848</v>
      </c>
      <c r="E5880" s="142" t="s">
        <v>15849</v>
      </c>
      <c r="F5880" s="142" t="s">
        <v>1268</v>
      </c>
      <c r="G5880" s="142" t="s">
        <v>1267</v>
      </c>
      <c r="H5880" s="142" t="s">
        <v>21730</v>
      </c>
      <c r="I5880" s="142">
        <v>61</v>
      </c>
      <c r="J5880" s="142">
        <v>44</v>
      </c>
      <c r="K5880" s="142">
        <v>0</v>
      </c>
      <c r="L5880" s="142">
        <v>0</v>
      </c>
      <c r="M5880" s="142">
        <v>17</v>
      </c>
    </row>
    <row r="5881" spans="1:13" x14ac:dyDescent="0.45">
      <c r="A5881" s="142" t="s">
        <v>13021</v>
      </c>
      <c r="B5881" s="142" t="s">
        <v>15501</v>
      </c>
      <c r="C5881" s="142" t="s">
        <v>15847</v>
      </c>
      <c r="D5881" s="142" t="s">
        <v>15848</v>
      </c>
      <c r="E5881" s="142" t="s">
        <v>15849</v>
      </c>
      <c r="F5881" s="142" t="s">
        <v>1268</v>
      </c>
      <c r="G5881" s="142" t="s">
        <v>1267</v>
      </c>
      <c r="H5881" s="142" t="s">
        <v>21731</v>
      </c>
      <c r="I5881" s="142">
        <v>22</v>
      </c>
      <c r="J5881" s="142">
        <v>0</v>
      </c>
      <c r="K5881" s="142">
        <v>0</v>
      </c>
      <c r="L5881" s="142">
        <v>9</v>
      </c>
      <c r="M5881" s="142">
        <v>13</v>
      </c>
    </row>
    <row r="5882" spans="1:13" x14ac:dyDescent="0.45">
      <c r="A5882" s="142" t="s">
        <v>13023</v>
      </c>
      <c r="B5882" s="142" t="s">
        <v>15571</v>
      </c>
      <c r="C5882" s="142" t="s">
        <v>15847</v>
      </c>
      <c r="D5882" s="142" t="s">
        <v>15848</v>
      </c>
      <c r="E5882" s="142" t="s">
        <v>15849</v>
      </c>
      <c r="F5882" s="142" t="s">
        <v>1268</v>
      </c>
      <c r="G5882" s="142" t="s">
        <v>1267</v>
      </c>
      <c r="H5882" s="142" t="s">
        <v>21732</v>
      </c>
      <c r="I5882" s="142">
        <v>287</v>
      </c>
      <c r="J5882" s="142">
        <v>1</v>
      </c>
      <c r="K5882" s="142">
        <v>0</v>
      </c>
      <c r="L5882" s="142">
        <v>271</v>
      </c>
      <c r="M5882" s="142">
        <v>15</v>
      </c>
    </row>
    <row r="5883" spans="1:13" x14ac:dyDescent="0.45">
      <c r="A5883" s="142" t="s">
        <v>13048</v>
      </c>
      <c r="B5883" s="142" t="s">
        <v>14479</v>
      </c>
      <c r="C5883" s="142" t="s">
        <v>15847</v>
      </c>
      <c r="D5883" s="142" t="s">
        <v>15848</v>
      </c>
      <c r="E5883" s="142" t="s">
        <v>15849</v>
      </c>
      <c r="F5883" s="142" t="s">
        <v>1268</v>
      </c>
      <c r="G5883" s="142" t="s">
        <v>1267</v>
      </c>
      <c r="H5883" s="142" t="s">
        <v>21733</v>
      </c>
      <c r="I5883" s="142">
        <v>108</v>
      </c>
      <c r="J5883" s="142">
        <v>66</v>
      </c>
      <c r="K5883" s="142">
        <v>0</v>
      </c>
      <c r="L5883" s="142">
        <v>0</v>
      </c>
      <c r="M5883" s="142">
        <v>42</v>
      </c>
    </row>
    <row r="5884" spans="1:13" x14ac:dyDescent="0.45">
      <c r="A5884" s="142" t="s">
        <v>13082</v>
      </c>
      <c r="B5884" s="142" t="s">
        <v>14478</v>
      </c>
      <c r="C5884" s="142" t="s">
        <v>15860</v>
      </c>
      <c r="D5884" s="142" t="s">
        <v>15861</v>
      </c>
      <c r="E5884" s="142" t="s">
        <v>15849</v>
      </c>
      <c r="F5884" s="142" t="s">
        <v>1268</v>
      </c>
      <c r="G5884" s="142" t="s">
        <v>1267</v>
      </c>
      <c r="H5884" s="142" t="s">
        <v>21734</v>
      </c>
      <c r="I5884" s="142">
        <v>16</v>
      </c>
      <c r="J5884" s="142">
        <v>0</v>
      </c>
      <c r="K5884" s="142">
        <v>0</v>
      </c>
      <c r="L5884" s="142">
        <v>16</v>
      </c>
      <c r="M5884" s="142">
        <v>0</v>
      </c>
    </row>
    <row r="5885" spans="1:13" x14ac:dyDescent="0.45">
      <c r="A5885" s="142" t="s">
        <v>13183</v>
      </c>
      <c r="B5885" s="142" t="s">
        <v>15226</v>
      </c>
      <c r="C5885" s="142" t="s">
        <v>15860</v>
      </c>
      <c r="D5885" s="142" t="s">
        <v>15861</v>
      </c>
      <c r="E5885" s="142" t="s">
        <v>15849</v>
      </c>
      <c r="F5885" s="142" t="s">
        <v>1268</v>
      </c>
      <c r="G5885" s="142" t="s">
        <v>1267</v>
      </c>
      <c r="H5885" s="142" t="s">
        <v>21735</v>
      </c>
      <c r="I5885" s="142">
        <v>19</v>
      </c>
      <c r="J5885" s="142">
        <v>0</v>
      </c>
      <c r="K5885" s="142">
        <v>0</v>
      </c>
      <c r="L5885" s="142">
        <v>19</v>
      </c>
      <c r="M5885" s="142">
        <v>0</v>
      </c>
    </row>
    <row r="5886" spans="1:13" x14ac:dyDescent="0.45">
      <c r="A5886" s="142" t="s">
        <v>13184</v>
      </c>
      <c r="B5886" s="142" t="s">
        <v>15392</v>
      </c>
      <c r="C5886" s="142" t="s">
        <v>15847</v>
      </c>
      <c r="D5886" s="142" t="s">
        <v>15848</v>
      </c>
      <c r="E5886" s="142" t="s">
        <v>15849</v>
      </c>
      <c r="F5886" s="142" t="s">
        <v>1268</v>
      </c>
      <c r="G5886" s="142" t="s">
        <v>1267</v>
      </c>
      <c r="H5886" s="142" t="s">
        <v>21736</v>
      </c>
      <c r="I5886" s="142">
        <v>7</v>
      </c>
      <c r="J5886" s="142">
        <v>4</v>
      </c>
      <c r="K5886" s="142">
        <v>0</v>
      </c>
      <c r="L5886" s="142">
        <v>0</v>
      </c>
      <c r="M5886" s="142">
        <v>3</v>
      </c>
    </row>
    <row r="5887" spans="1:13" x14ac:dyDescent="0.45">
      <c r="A5887" s="142" t="s">
        <v>13369</v>
      </c>
      <c r="B5887" s="142" t="s">
        <v>15499</v>
      </c>
      <c r="C5887" s="142" t="s">
        <v>15847</v>
      </c>
      <c r="D5887" s="142" t="s">
        <v>15848</v>
      </c>
      <c r="E5887" s="142" t="s">
        <v>15849</v>
      </c>
      <c r="F5887" s="142" t="s">
        <v>1268</v>
      </c>
      <c r="G5887" s="142" t="s">
        <v>1267</v>
      </c>
      <c r="H5887" s="142" t="s">
        <v>21737</v>
      </c>
      <c r="I5887" s="142">
        <v>4</v>
      </c>
      <c r="J5887" s="142">
        <v>0</v>
      </c>
      <c r="K5887" s="142">
        <v>0</v>
      </c>
      <c r="L5887" s="142">
        <v>4</v>
      </c>
      <c r="M5887" s="142">
        <v>0</v>
      </c>
    </row>
    <row r="5888" spans="1:13" x14ac:dyDescent="0.45">
      <c r="A5888" s="142" t="s">
        <v>13186</v>
      </c>
      <c r="B5888" s="142" t="s">
        <v>15581</v>
      </c>
      <c r="C5888" s="142" t="s">
        <v>15847</v>
      </c>
      <c r="D5888" s="142" t="s">
        <v>15848</v>
      </c>
      <c r="E5888" s="142" t="s">
        <v>15849</v>
      </c>
      <c r="F5888" s="142" t="s">
        <v>1268</v>
      </c>
      <c r="G5888" s="142" t="s">
        <v>1267</v>
      </c>
      <c r="H5888" s="142" t="s">
        <v>21738</v>
      </c>
      <c r="I5888" s="142">
        <v>639</v>
      </c>
      <c r="J5888" s="142">
        <v>449</v>
      </c>
      <c r="K5888" s="142">
        <v>0</v>
      </c>
      <c r="L5888" s="142">
        <v>109</v>
      </c>
      <c r="M5888" s="142">
        <v>81</v>
      </c>
    </row>
    <row r="5889" spans="1:13" x14ac:dyDescent="0.45">
      <c r="A5889" s="142" t="s">
        <v>13119</v>
      </c>
      <c r="B5889" s="142" t="s">
        <v>14451</v>
      </c>
      <c r="C5889" s="142" t="s">
        <v>15860</v>
      </c>
      <c r="D5889" s="142" t="s">
        <v>15861</v>
      </c>
      <c r="E5889" s="142" t="s">
        <v>15849</v>
      </c>
      <c r="F5889" s="142" t="s">
        <v>1268</v>
      </c>
      <c r="G5889" s="142" t="s">
        <v>1267</v>
      </c>
      <c r="H5889" s="142" t="s">
        <v>21739</v>
      </c>
      <c r="I5889" s="142">
        <v>6</v>
      </c>
      <c r="J5889" s="142">
        <v>0</v>
      </c>
      <c r="K5889" s="142">
        <v>0</v>
      </c>
      <c r="L5889" s="142">
        <v>6</v>
      </c>
      <c r="M5889" s="142">
        <v>0</v>
      </c>
    </row>
    <row r="5890" spans="1:13" x14ac:dyDescent="0.45">
      <c r="A5890" s="142" t="s">
        <v>13187</v>
      </c>
      <c r="B5890" s="142" t="s">
        <v>15518</v>
      </c>
      <c r="C5890" s="142" t="s">
        <v>15860</v>
      </c>
      <c r="D5890" s="142" t="s">
        <v>15861</v>
      </c>
      <c r="E5890" s="142" t="s">
        <v>15849</v>
      </c>
      <c r="F5890" s="142" t="s">
        <v>1268</v>
      </c>
      <c r="G5890" s="142" t="s">
        <v>1267</v>
      </c>
      <c r="H5890" s="142" t="s">
        <v>21740</v>
      </c>
      <c r="I5890" s="142">
        <v>94</v>
      </c>
      <c r="J5890" s="142">
        <v>88</v>
      </c>
      <c r="K5890" s="142">
        <v>0</v>
      </c>
      <c r="L5890" s="142">
        <v>6</v>
      </c>
      <c r="M5890" s="142">
        <v>0</v>
      </c>
    </row>
    <row r="5891" spans="1:13" x14ac:dyDescent="0.45">
      <c r="A5891" s="142" t="s">
        <v>13074</v>
      </c>
      <c r="B5891" s="142" t="s">
        <v>15405</v>
      </c>
      <c r="C5891" s="142" t="s">
        <v>15847</v>
      </c>
      <c r="D5891" s="142" t="s">
        <v>15848</v>
      </c>
      <c r="E5891" s="142" t="s">
        <v>15849</v>
      </c>
      <c r="F5891" s="142" t="s">
        <v>1268</v>
      </c>
      <c r="G5891" s="142" t="s">
        <v>1267</v>
      </c>
      <c r="H5891" s="142" t="s">
        <v>21741</v>
      </c>
      <c r="I5891" s="142">
        <v>48</v>
      </c>
      <c r="J5891" s="142">
        <v>30</v>
      </c>
      <c r="K5891" s="142">
        <v>0</v>
      </c>
      <c r="L5891" s="142">
        <v>0</v>
      </c>
      <c r="M5891" s="142">
        <v>18</v>
      </c>
    </row>
    <row r="5892" spans="1:13" x14ac:dyDescent="0.45">
      <c r="A5892" s="142" t="s">
        <v>13049</v>
      </c>
      <c r="B5892" s="142" t="s">
        <v>14534</v>
      </c>
      <c r="C5892" s="142" t="s">
        <v>15860</v>
      </c>
      <c r="D5892" s="142" t="s">
        <v>15861</v>
      </c>
      <c r="E5892" s="142" t="s">
        <v>15849</v>
      </c>
      <c r="F5892" s="142" t="s">
        <v>1268</v>
      </c>
      <c r="G5892" s="142" t="s">
        <v>1267</v>
      </c>
      <c r="H5892" s="142" t="s">
        <v>21742</v>
      </c>
      <c r="I5892" s="142">
        <v>8</v>
      </c>
      <c r="J5892" s="142">
        <v>0</v>
      </c>
      <c r="K5892" s="142">
        <v>0</v>
      </c>
      <c r="L5892" s="142">
        <v>8</v>
      </c>
      <c r="M5892" s="142">
        <v>0</v>
      </c>
    </row>
    <row r="5893" spans="1:13" x14ac:dyDescent="0.45">
      <c r="A5893" s="142" t="s">
        <v>13027</v>
      </c>
      <c r="B5893" s="142" t="s">
        <v>14562</v>
      </c>
      <c r="C5893" s="142" t="s">
        <v>15847</v>
      </c>
      <c r="D5893" s="142" t="s">
        <v>15848</v>
      </c>
      <c r="E5893" s="142" t="s">
        <v>15849</v>
      </c>
      <c r="F5893" s="142" t="s">
        <v>1268</v>
      </c>
      <c r="G5893" s="142" t="s">
        <v>1267</v>
      </c>
      <c r="H5893" s="142" t="s">
        <v>21743</v>
      </c>
      <c r="I5893" s="142">
        <v>24</v>
      </c>
      <c r="J5893" s="142">
        <v>0</v>
      </c>
      <c r="K5893" s="142">
        <v>0</v>
      </c>
      <c r="L5893" s="142">
        <v>24</v>
      </c>
      <c r="M5893" s="142">
        <v>0</v>
      </c>
    </row>
    <row r="5894" spans="1:13" x14ac:dyDescent="0.45">
      <c r="A5894" s="142" t="s">
        <v>13001</v>
      </c>
      <c r="B5894" s="142" t="s">
        <v>15506</v>
      </c>
      <c r="C5894" s="142" t="s">
        <v>15847</v>
      </c>
      <c r="D5894" s="142" t="s">
        <v>15848</v>
      </c>
      <c r="E5894" s="142" t="s">
        <v>15849</v>
      </c>
      <c r="F5894" s="142" t="s">
        <v>1268</v>
      </c>
      <c r="G5894" s="142" t="s">
        <v>1267</v>
      </c>
      <c r="H5894" s="142" t="s">
        <v>21744</v>
      </c>
      <c r="I5894" s="142">
        <v>6</v>
      </c>
      <c r="J5894" s="142">
        <v>6</v>
      </c>
      <c r="K5894" s="142">
        <v>0</v>
      </c>
      <c r="L5894" s="142">
        <v>0</v>
      </c>
      <c r="M5894" s="142">
        <v>0</v>
      </c>
    </row>
    <row r="5895" spans="1:13" x14ac:dyDescent="0.45">
      <c r="A5895" s="142" t="s">
        <v>13028</v>
      </c>
      <c r="B5895" s="142" t="s">
        <v>14462</v>
      </c>
      <c r="C5895" s="142" t="s">
        <v>15847</v>
      </c>
      <c r="D5895" s="142" t="s">
        <v>15848</v>
      </c>
      <c r="E5895" s="142" t="s">
        <v>15849</v>
      </c>
      <c r="F5895" s="142" t="s">
        <v>1268</v>
      </c>
      <c r="G5895" s="142" t="s">
        <v>1267</v>
      </c>
      <c r="H5895" s="142" t="s">
        <v>21745</v>
      </c>
      <c r="I5895" s="142">
        <v>28</v>
      </c>
      <c r="J5895" s="142">
        <v>0</v>
      </c>
      <c r="K5895" s="142">
        <v>0</v>
      </c>
      <c r="L5895" s="142">
        <v>0</v>
      </c>
      <c r="M5895" s="142">
        <v>28</v>
      </c>
    </row>
    <row r="5896" spans="1:13" x14ac:dyDescent="0.45">
      <c r="A5896" s="142" t="s">
        <v>13160</v>
      </c>
      <c r="B5896" s="142" t="s">
        <v>14525</v>
      </c>
      <c r="C5896" s="142" t="s">
        <v>15847</v>
      </c>
      <c r="D5896" s="142" t="s">
        <v>15848</v>
      </c>
      <c r="E5896" s="142" t="s">
        <v>15849</v>
      </c>
      <c r="F5896" s="142" t="s">
        <v>1268</v>
      </c>
      <c r="G5896" s="142" t="s">
        <v>1267</v>
      </c>
      <c r="H5896" s="142" t="s">
        <v>21746</v>
      </c>
      <c r="I5896" s="142">
        <v>6</v>
      </c>
      <c r="J5896" s="142">
        <v>0</v>
      </c>
      <c r="K5896" s="142">
        <v>0</v>
      </c>
      <c r="L5896" s="142">
        <v>6</v>
      </c>
      <c r="M5896" s="142">
        <v>0</v>
      </c>
    </row>
    <row r="5897" spans="1:13" x14ac:dyDescent="0.45">
      <c r="A5897" s="142" t="s">
        <v>13002</v>
      </c>
      <c r="B5897" s="142" t="s">
        <v>15376</v>
      </c>
      <c r="C5897" s="142" t="s">
        <v>15847</v>
      </c>
      <c r="D5897" s="142" t="s">
        <v>15848</v>
      </c>
      <c r="E5897" s="142" t="s">
        <v>15849</v>
      </c>
      <c r="F5897" s="142" t="s">
        <v>1268</v>
      </c>
      <c r="G5897" s="142" t="s">
        <v>1267</v>
      </c>
      <c r="H5897" s="142" t="s">
        <v>21747</v>
      </c>
      <c r="I5897" s="142">
        <v>8</v>
      </c>
      <c r="J5897" s="142">
        <v>0</v>
      </c>
      <c r="K5897" s="142">
        <v>0</v>
      </c>
      <c r="L5897" s="142">
        <v>8</v>
      </c>
      <c r="M5897" s="142">
        <v>0</v>
      </c>
    </row>
    <row r="5898" spans="1:13" x14ac:dyDescent="0.45">
      <c r="A5898" s="142" t="s">
        <v>13003</v>
      </c>
      <c r="B5898" s="142" t="s">
        <v>15245</v>
      </c>
      <c r="C5898" s="142" t="s">
        <v>15847</v>
      </c>
      <c r="D5898" s="142" t="s">
        <v>15848</v>
      </c>
      <c r="E5898" s="142" t="s">
        <v>15849</v>
      </c>
      <c r="F5898" s="142" t="s">
        <v>1268</v>
      </c>
      <c r="G5898" s="142" t="s">
        <v>1267</v>
      </c>
      <c r="H5898" s="142" t="s">
        <v>21748</v>
      </c>
      <c r="I5898" s="142">
        <v>156</v>
      </c>
      <c r="J5898" s="142">
        <v>0</v>
      </c>
      <c r="K5898" s="142">
        <v>0</v>
      </c>
      <c r="L5898" s="142">
        <v>129</v>
      </c>
      <c r="M5898" s="142">
        <v>27</v>
      </c>
    </row>
    <row r="5899" spans="1:13" x14ac:dyDescent="0.45">
      <c r="A5899" s="142" t="s">
        <v>13066</v>
      </c>
      <c r="B5899" s="142" t="s">
        <v>14459</v>
      </c>
      <c r="C5899" s="142" t="s">
        <v>15847</v>
      </c>
      <c r="D5899" s="142" t="s">
        <v>15848</v>
      </c>
      <c r="E5899" s="142" t="s">
        <v>15849</v>
      </c>
      <c r="F5899" s="142" t="s">
        <v>1268</v>
      </c>
      <c r="G5899" s="142" t="s">
        <v>1267</v>
      </c>
      <c r="H5899" s="142" t="s">
        <v>21749</v>
      </c>
      <c r="I5899" s="142">
        <v>27</v>
      </c>
      <c r="J5899" s="142">
        <v>0</v>
      </c>
      <c r="K5899" s="142">
        <v>0</v>
      </c>
      <c r="L5899" s="142">
        <v>27</v>
      </c>
      <c r="M5899" s="142">
        <v>0</v>
      </c>
    </row>
    <row r="5900" spans="1:13" x14ac:dyDescent="0.45">
      <c r="A5900" s="142" t="s">
        <v>13170</v>
      </c>
      <c r="B5900" s="142" t="s">
        <v>15486</v>
      </c>
      <c r="C5900" s="142" t="s">
        <v>15860</v>
      </c>
      <c r="D5900" s="142" t="s">
        <v>15861</v>
      </c>
      <c r="E5900" s="142" t="s">
        <v>15849</v>
      </c>
      <c r="F5900" s="142" t="s">
        <v>1268</v>
      </c>
      <c r="G5900" s="142" t="s">
        <v>1267</v>
      </c>
      <c r="H5900" s="142" t="s">
        <v>21750</v>
      </c>
      <c r="I5900" s="142">
        <v>12</v>
      </c>
      <c r="J5900" s="142">
        <v>0</v>
      </c>
      <c r="K5900" s="142">
        <v>0</v>
      </c>
      <c r="L5900" s="142">
        <v>12</v>
      </c>
      <c r="M5900" s="142">
        <v>0</v>
      </c>
    </row>
    <row r="5901" spans="1:13" x14ac:dyDescent="0.45">
      <c r="A5901" s="142" t="s">
        <v>13190</v>
      </c>
      <c r="B5901" s="142" t="s">
        <v>14617</v>
      </c>
      <c r="C5901" s="142" t="s">
        <v>15847</v>
      </c>
      <c r="D5901" s="142" t="s">
        <v>15848</v>
      </c>
      <c r="E5901" s="142" t="s">
        <v>15849</v>
      </c>
      <c r="F5901" s="142" t="s">
        <v>1268</v>
      </c>
      <c r="G5901" s="142" t="s">
        <v>1267</v>
      </c>
      <c r="H5901" s="142" t="s">
        <v>21751</v>
      </c>
      <c r="I5901" s="142">
        <v>1662</v>
      </c>
      <c r="J5901" s="142">
        <v>1212</v>
      </c>
      <c r="K5901" s="142">
        <v>0</v>
      </c>
      <c r="L5901" s="142">
        <v>161</v>
      </c>
      <c r="M5901" s="142">
        <v>289</v>
      </c>
    </row>
    <row r="5902" spans="1:13" x14ac:dyDescent="0.45">
      <c r="A5902" s="142" t="s">
        <v>14050</v>
      </c>
      <c r="B5902" s="142" t="s">
        <v>15173</v>
      </c>
      <c r="C5902" s="142" t="s">
        <v>15860</v>
      </c>
      <c r="D5902" s="142" t="s">
        <v>15861</v>
      </c>
      <c r="E5902" s="142" t="s">
        <v>15849</v>
      </c>
      <c r="F5902" s="142" t="s">
        <v>1268</v>
      </c>
      <c r="G5902" s="142" t="s">
        <v>1267</v>
      </c>
      <c r="H5902" s="142" t="s">
        <v>21752</v>
      </c>
      <c r="I5902" s="142">
        <v>34</v>
      </c>
      <c r="J5902" s="142">
        <v>0</v>
      </c>
      <c r="K5902" s="142">
        <v>0</v>
      </c>
      <c r="L5902" s="142">
        <v>34</v>
      </c>
      <c r="M5902" s="142">
        <v>0</v>
      </c>
    </row>
    <row r="5903" spans="1:13" x14ac:dyDescent="0.45">
      <c r="A5903" s="142" t="s">
        <v>13005</v>
      </c>
      <c r="B5903" s="142" t="s">
        <v>15475</v>
      </c>
      <c r="C5903" s="142" t="s">
        <v>15847</v>
      </c>
      <c r="D5903" s="142" t="s">
        <v>15848</v>
      </c>
      <c r="E5903" s="142" t="s">
        <v>15849</v>
      </c>
      <c r="F5903" s="142" t="s">
        <v>1268</v>
      </c>
      <c r="G5903" s="142" t="s">
        <v>1267</v>
      </c>
      <c r="H5903" s="142" t="s">
        <v>21753</v>
      </c>
      <c r="I5903" s="142">
        <v>1</v>
      </c>
      <c r="J5903" s="142">
        <v>0</v>
      </c>
      <c r="K5903" s="142">
        <v>0</v>
      </c>
      <c r="L5903" s="142">
        <v>0</v>
      </c>
      <c r="M5903" s="142">
        <v>1</v>
      </c>
    </row>
    <row r="5904" spans="1:13" x14ac:dyDescent="0.45">
      <c r="A5904" s="142" t="s">
        <v>13029</v>
      </c>
      <c r="B5904" s="142" t="s">
        <v>14665</v>
      </c>
      <c r="C5904" s="142" t="s">
        <v>15847</v>
      </c>
      <c r="D5904" s="142" t="s">
        <v>15848</v>
      </c>
      <c r="E5904" s="142" t="s">
        <v>15849</v>
      </c>
      <c r="F5904" s="142" t="s">
        <v>1268</v>
      </c>
      <c r="G5904" s="142" t="s">
        <v>1267</v>
      </c>
      <c r="H5904" s="142" t="s">
        <v>21754</v>
      </c>
      <c r="I5904" s="142">
        <v>1</v>
      </c>
      <c r="J5904" s="142">
        <v>0</v>
      </c>
      <c r="K5904" s="142">
        <v>0</v>
      </c>
      <c r="L5904" s="142">
        <v>0</v>
      </c>
      <c r="M5904" s="142">
        <v>1</v>
      </c>
    </row>
    <row r="5905" spans="1:13" x14ac:dyDescent="0.45">
      <c r="A5905" s="142" t="s">
        <v>13191</v>
      </c>
      <c r="B5905" s="142" t="s">
        <v>15467</v>
      </c>
      <c r="C5905" s="142" t="s">
        <v>15847</v>
      </c>
      <c r="D5905" s="142" t="s">
        <v>15848</v>
      </c>
      <c r="E5905" s="142" t="s">
        <v>15849</v>
      </c>
      <c r="F5905" s="142" t="s">
        <v>1268</v>
      </c>
      <c r="G5905" s="142" t="s">
        <v>1267</v>
      </c>
      <c r="H5905" s="142" t="s">
        <v>21755</v>
      </c>
      <c r="I5905" s="142">
        <v>30</v>
      </c>
      <c r="J5905" s="142">
        <v>20</v>
      </c>
      <c r="K5905" s="142">
        <v>0</v>
      </c>
      <c r="L5905" s="142">
        <v>0</v>
      </c>
      <c r="M5905" s="142">
        <v>10</v>
      </c>
    </row>
    <row r="5906" spans="1:13" x14ac:dyDescent="0.45">
      <c r="A5906" s="142" t="s">
        <v>13192</v>
      </c>
      <c r="B5906" s="142" t="s">
        <v>15539</v>
      </c>
      <c r="C5906" s="142" t="s">
        <v>15860</v>
      </c>
      <c r="D5906" s="142" t="s">
        <v>15861</v>
      </c>
      <c r="E5906" s="142" t="s">
        <v>15849</v>
      </c>
      <c r="F5906" s="142" t="s">
        <v>1268</v>
      </c>
      <c r="G5906" s="142" t="s">
        <v>1267</v>
      </c>
      <c r="H5906" s="142" t="s">
        <v>21756</v>
      </c>
      <c r="I5906" s="142">
        <v>17</v>
      </c>
      <c r="J5906" s="142">
        <v>0</v>
      </c>
      <c r="K5906" s="142">
        <v>0</v>
      </c>
      <c r="L5906" s="142">
        <v>17</v>
      </c>
      <c r="M5906" s="142">
        <v>0</v>
      </c>
    </row>
    <row r="5907" spans="1:13" x14ac:dyDescent="0.45">
      <c r="A5907" s="142" t="s">
        <v>13007</v>
      </c>
      <c r="B5907" s="142" t="s">
        <v>15262</v>
      </c>
      <c r="C5907" s="142" t="s">
        <v>15847</v>
      </c>
      <c r="D5907" s="142" t="s">
        <v>15848</v>
      </c>
      <c r="E5907" s="142" t="s">
        <v>15849</v>
      </c>
      <c r="F5907" s="142" t="s">
        <v>1268</v>
      </c>
      <c r="G5907" s="142" t="s">
        <v>1267</v>
      </c>
      <c r="H5907" s="142" t="s">
        <v>21757</v>
      </c>
      <c r="I5907" s="142">
        <v>2</v>
      </c>
      <c r="J5907" s="142">
        <v>0</v>
      </c>
      <c r="K5907" s="142">
        <v>0</v>
      </c>
      <c r="L5907" s="142">
        <v>0</v>
      </c>
      <c r="M5907" s="142">
        <v>2</v>
      </c>
    </row>
    <row r="5908" spans="1:13" x14ac:dyDescent="0.45">
      <c r="A5908" s="142" t="s">
        <v>13193</v>
      </c>
      <c r="B5908" s="142" t="s">
        <v>15461</v>
      </c>
      <c r="C5908" s="142" t="s">
        <v>15847</v>
      </c>
      <c r="D5908" s="142" t="s">
        <v>15848</v>
      </c>
      <c r="E5908" s="142" t="s">
        <v>15849</v>
      </c>
      <c r="F5908" s="142" t="s">
        <v>1268</v>
      </c>
      <c r="G5908" s="142" t="s">
        <v>1267</v>
      </c>
      <c r="H5908" s="142" t="s">
        <v>21758</v>
      </c>
      <c r="I5908" s="142">
        <v>6782</v>
      </c>
      <c r="J5908" s="142">
        <v>6479</v>
      </c>
      <c r="K5908" s="142">
        <v>0</v>
      </c>
      <c r="L5908" s="142">
        <v>86</v>
      </c>
      <c r="M5908" s="142">
        <v>217</v>
      </c>
    </row>
    <row r="5909" spans="1:13" x14ac:dyDescent="0.45">
      <c r="A5909" s="142" t="s">
        <v>13516</v>
      </c>
      <c r="B5909" s="142" t="s">
        <v>14461</v>
      </c>
      <c r="C5909" s="142" t="s">
        <v>15860</v>
      </c>
      <c r="D5909" s="142" t="s">
        <v>15861</v>
      </c>
      <c r="E5909" s="142" t="s">
        <v>15849</v>
      </c>
      <c r="F5909" s="142" t="s">
        <v>1268</v>
      </c>
      <c r="G5909" s="142" t="s">
        <v>1267</v>
      </c>
      <c r="H5909" s="142" t="s">
        <v>21759</v>
      </c>
      <c r="I5909" s="142">
        <v>1</v>
      </c>
      <c r="J5909" s="142">
        <v>0</v>
      </c>
      <c r="K5909" s="142">
        <v>0</v>
      </c>
      <c r="L5909" s="142">
        <v>1</v>
      </c>
      <c r="M5909" s="142">
        <v>0</v>
      </c>
    </row>
    <row r="5910" spans="1:13" x14ac:dyDescent="0.45">
      <c r="A5910" s="142" t="s">
        <v>13033</v>
      </c>
      <c r="B5910" s="142" t="s">
        <v>15276</v>
      </c>
      <c r="C5910" s="142" t="s">
        <v>15847</v>
      </c>
      <c r="D5910" s="142" t="s">
        <v>15848</v>
      </c>
      <c r="E5910" s="142" t="s">
        <v>15849</v>
      </c>
      <c r="F5910" s="142" t="s">
        <v>1268</v>
      </c>
      <c r="G5910" s="142" t="s">
        <v>1267</v>
      </c>
      <c r="H5910" s="142" t="s">
        <v>21760</v>
      </c>
      <c r="I5910" s="142">
        <v>37</v>
      </c>
      <c r="J5910" s="142">
        <v>37</v>
      </c>
      <c r="K5910" s="142">
        <v>0</v>
      </c>
      <c r="L5910" s="142">
        <v>0</v>
      </c>
      <c r="M5910" s="142">
        <v>0</v>
      </c>
    </row>
    <row r="5911" spans="1:13" x14ac:dyDescent="0.45">
      <c r="A5911" s="142" t="s">
        <v>13034</v>
      </c>
      <c r="B5911" s="142" t="s">
        <v>15562</v>
      </c>
      <c r="C5911" s="142" t="s">
        <v>15847</v>
      </c>
      <c r="D5911" s="142" t="s">
        <v>15848</v>
      </c>
      <c r="E5911" s="142" t="s">
        <v>15849</v>
      </c>
      <c r="F5911" s="142" t="s">
        <v>1268</v>
      </c>
      <c r="G5911" s="142" t="s">
        <v>1267</v>
      </c>
      <c r="H5911" s="142" t="s">
        <v>21761</v>
      </c>
      <c r="I5911" s="142">
        <v>27</v>
      </c>
      <c r="J5911" s="142">
        <v>11</v>
      </c>
      <c r="K5911" s="142">
        <v>0</v>
      </c>
      <c r="L5911" s="142">
        <v>16</v>
      </c>
      <c r="M5911" s="142">
        <v>0</v>
      </c>
    </row>
    <row r="5912" spans="1:13" x14ac:dyDescent="0.45">
      <c r="A5912" s="142" t="s">
        <v>13394</v>
      </c>
      <c r="B5912" s="142" t="s">
        <v>15569</v>
      </c>
      <c r="C5912" s="142" t="s">
        <v>15847</v>
      </c>
      <c r="D5912" s="142" t="s">
        <v>15848</v>
      </c>
      <c r="E5912" s="142" t="s">
        <v>15849</v>
      </c>
      <c r="F5912" s="142" t="s">
        <v>1268</v>
      </c>
      <c r="G5912" s="142" t="s">
        <v>1267</v>
      </c>
      <c r="H5912" s="142" t="s">
        <v>21762</v>
      </c>
      <c r="I5912" s="142">
        <v>66</v>
      </c>
      <c r="J5912" s="142">
        <v>5</v>
      </c>
      <c r="K5912" s="142">
        <v>61</v>
      </c>
      <c r="L5912" s="142">
        <v>0</v>
      </c>
      <c r="M5912" s="142">
        <v>0</v>
      </c>
    </row>
    <row r="5913" spans="1:13" x14ac:dyDescent="0.45">
      <c r="A5913" s="142" t="s">
        <v>13038</v>
      </c>
      <c r="B5913" s="142" t="s">
        <v>14646</v>
      </c>
      <c r="C5913" s="142" t="s">
        <v>15847</v>
      </c>
      <c r="D5913" s="142" t="s">
        <v>15848</v>
      </c>
      <c r="E5913" s="142" t="s">
        <v>15849</v>
      </c>
      <c r="F5913" s="142" t="s">
        <v>1268</v>
      </c>
      <c r="G5913" s="142" t="s">
        <v>1267</v>
      </c>
      <c r="H5913" s="142" t="s">
        <v>21763</v>
      </c>
      <c r="I5913" s="142">
        <v>40</v>
      </c>
      <c r="J5913" s="142">
        <v>0</v>
      </c>
      <c r="K5913" s="142">
        <v>0</v>
      </c>
      <c r="L5913" s="142">
        <v>0</v>
      </c>
      <c r="M5913" s="142">
        <v>40</v>
      </c>
    </row>
    <row r="5914" spans="1:13" x14ac:dyDescent="0.45">
      <c r="A5914" s="142" t="s">
        <v>13078</v>
      </c>
      <c r="B5914" s="142" t="s">
        <v>15540</v>
      </c>
      <c r="C5914" s="142" t="s">
        <v>15847</v>
      </c>
      <c r="D5914" s="142" t="s">
        <v>15848</v>
      </c>
      <c r="E5914" s="142" t="s">
        <v>15849</v>
      </c>
      <c r="F5914" s="142" t="s">
        <v>1268</v>
      </c>
      <c r="G5914" s="142" t="s">
        <v>1267</v>
      </c>
      <c r="H5914" s="142" t="s">
        <v>21764</v>
      </c>
      <c r="I5914" s="142">
        <v>28</v>
      </c>
      <c r="J5914" s="142">
        <v>0</v>
      </c>
      <c r="K5914" s="142">
        <v>0</v>
      </c>
      <c r="L5914" s="142">
        <v>28</v>
      </c>
      <c r="M5914" s="142">
        <v>0</v>
      </c>
    </row>
    <row r="5915" spans="1:13" x14ac:dyDescent="0.45">
      <c r="A5915" s="142" t="s">
        <v>13009</v>
      </c>
      <c r="B5915" s="142" t="s">
        <v>15256</v>
      </c>
      <c r="C5915" s="142" t="s">
        <v>15847</v>
      </c>
      <c r="D5915" s="142" t="s">
        <v>15848</v>
      </c>
      <c r="E5915" s="142" t="s">
        <v>15849</v>
      </c>
      <c r="F5915" s="142" t="s">
        <v>1268</v>
      </c>
      <c r="G5915" s="142" t="s">
        <v>1267</v>
      </c>
      <c r="H5915" s="142" t="s">
        <v>21765</v>
      </c>
      <c r="I5915" s="142">
        <v>60</v>
      </c>
      <c r="J5915" s="142">
        <v>8</v>
      </c>
      <c r="K5915" s="142">
        <v>0</v>
      </c>
      <c r="L5915" s="142">
        <v>52</v>
      </c>
      <c r="M5915" s="142">
        <v>0</v>
      </c>
    </row>
    <row r="5916" spans="1:13" x14ac:dyDescent="0.45">
      <c r="A5916" s="142" t="s">
        <v>14051</v>
      </c>
      <c r="B5916" s="142" t="s">
        <v>15137</v>
      </c>
      <c r="C5916" s="142" t="s">
        <v>15860</v>
      </c>
      <c r="D5916" s="142" t="s">
        <v>15861</v>
      </c>
      <c r="E5916" s="142" t="s">
        <v>15849</v>
      </c>
      <c r="F5916" s="142" t="s">
        <v>1268</v>
      </c>
      <c r="G5916" s="142" t="s">
        <v>1267</v>
      </c>
      <c r="H5916" s="142" t="s">
        <v>21766</v>
      </c>
      <c r="I5916" s="142">
        <v>25</v>
      </c>
      <c r="J5916" s="142">
        <v>0</v>
      </c>
      <c r="K5916" s="142">
        <v>0</v>
      </c>
      <c r="L5916" s="142">
        <v>25</v>
      </c>
      <c r="M5916" s="142">
        <v>0</v>
      </c>
    </row>
    <row r="5917" spans="1:13" x14ac:dyDescent="0.45">
      <c r="A5917" s="142" t="s">
        <v>13058</v>
      </c>
      <c r="B5917" s="142" t="s">
        <v>14584</v>
      </c>
      <c r="C5917" s="142" t="s">
        <v>15847</v>
      </c>
      <c r="D5917" s="142" t="s">
        <v>15848</v>
      </c>
      <c r="E5917" s="142" t="s">
        <v>15849</v>
      </c>
      <c r="F5917" s="142" t="s">
        <v>1268</v>
      </c>
      <c r="G5917" s="142" t="s">
        <v>1267</v>
      </c>
      <c r="H5917" s="142" t="s">
        <v>21767</v>
      </c>
      <c r="I5917" s="142">
        <v>238</v>
      </c>
      <c r="J5917" s="142">
        <v>206</v>
      </c>
      <c r="K5917" s="142">
        <v>0</v>
      </c>
      <c r="L5917" s="142">
        <v>0</v>
      </c>
      <c r="M5917" s="142">
        <v>32</v>
      </c>
    </row>
    <row r="5918" spans="1:13" x14ac:dyDescent="0.45">
      <c r="A5918" s="142" t="s">
        <v>13205</v>
      </c>
      <c r="B5918" s="142" t="s">
        <v>14496</v>
      </c>
      <c r="C5918" s="142" t="s">
        <v>15847</v>
      </c>
      <c r="D5918" s="142" t="s">
        <v>15848</v>
      </c>
      <c r="E5918" s="142" t="s">
        <v>15849</v>
      </c>
      <c r="F5918" s="142" t="s">
        <v>1268</v>
      </c>
      <c r="G5918" s="142" t="s">
        <v>1267</v>
      </c>
      <c r="H5918" s="142" t="s">
        <v>21768</v>
      </c>
      <c r="I5918" s="142">
        <v>20</v>
      </c>
      <c r="J5918" s="142">
        <v>20</v>
      </c>
      <c r="K5918" s="142">
        <v>0</v>
      </c>
      <c r="L5918" s="142">
        <v>0</v>
      </c>
      <c r="M5918" s="142">
        <v>0</v>
      </c>
    </row>
    <row r="5919" spans="1:13" x14ac:dyDescent="0.45">
      <c r="A5919" s="142" t="s">
        <v>13012</v>
      </c>
      <c r="B5919" s="142" t="s">
        <v>15337</v>
      </c>
      <c r="C5919" s="142" t="s">
        <v>15847</v>
      </c>
      <c r="D5919" s="142" t="s">
        <v>15848</v>
      </c>
      <c r="E5919" s="142" t="s">
        <v>15849</v>
      </c>
      <c r="F5919" s="142" t="s">
        <v>1268</v>
      </c>
      <c r="G5919" s="142" t="s">
        <v>1267</v>
      </c>
      <c r="H5919" s="142" t="s">
        <v>21769</v>
      </c>
      <c r="I5919" s="142">
        <v>367</v>
      </c>
      <c r="J5919" s="142">
        <v>350</v>
      </c>
      <c r="K5919" s="142">
        <v>0</v>
      </c>
      <c r="L5919" s="142">
        <v>2</v>
      </c>
      <c r="M5919" s="142">
        <v>15</v>
      </c>
    </row>
    <row r="5920" spans="1:13" x14ac:dyDescent="0.45">
      <c r="A5920" s="142" t="s">
        <v>13285</v>
      </c>
      <c r="B5920" s="142" t="s">
        <v>15158</v>
      </c>
      <c r="C5920" s="142" t="s">
        <v>15860</v>
      </c>
      <c r="D5920" s="142" t="s">
        <v>15861</v>
      </c>
      <c r="E5920" s="142" t="s">
        <v>15849</v>
      </c>
      <c r="F5920" s="142" t="s">
        <v>1268</v>
      </c>
      <c r="G5920" s="142" t="s">
        <v>1267</v>
      </c>
      <c r="H5920" s="142" t="s">
        <v>21770</v>
      </c>
      <c r="I5920" s="142">
        <v>10</v>
      </c>
      <c r="J5920" s="142">
        <v>0</v>
      </c>
      <c r="K5920" s="142">
        <v>0</v>
      </c>
      <c r="L5920" s="142">
        <v>10</v>
      </c>
      <c r="M5920" s="142">
        <v>0</v>
      </c>
    </row>
    <row r="5921" spans="1:13" x14ac:dyDescent="0.45">
      <c r="A5921" s="142" t="s">
        <v>13014</v>
      </c>
      <c r="B5921" s="142" t="s">
        <v>14505</v>
      </c>
      <c r="C5921" s="142" t="s">
        <v>15847</v>
      </c>
      <c r="D5921" s="142" t="s">
        <v>15848</v>
      </c>
      <c r="E5921" s="142" t="s">
        <v>15849</v>
      </c>
      <c r="F5921" s="142" t="s">
        <v>1268</v>
      </c>
      <c r="G5921" s="142" t="s">
        <v>1267</v>
      </c>
      <c r="H5921" s="142" t="s">
        <v>21771</v>
      </c>
      <c r="I5921" s="142">
        <v>112</v>
      </c>
      <c r="J5921" s="142">
        <v>89</v>
      </c>
      <c r="K5921" s="142">
        <v>0</v>
      </c>
      <c r="L5921" s="142">
        <v>8</v>
      </c>
      <c r="M5921" s="142">
        <v>15</v>
      </c>
    </row>
    <row r="5922" spans="1:13" x14ac:dyDescent="0.45">
      <c r="A5922" s="142" t="s">
        <v>13156</v>
      </c>
      <c r="B5922" s="142" t="s">
        <v>14493</v>
      </c>
      <c r="C5922" s="142" t="s">
        <v>15860</v>
      </c>
      <c r="D5922" s="142" t="s">
        <v>15861</v>
      </c>
      <c r="E5922" s="142" t="s">
        <v>15849</v>
      </c>
      <c r="F5922" s="142" t="s">
        <v>1268</v>
      </c>
      <c r="G5922" s="142" t="s">
        <v>1267</v>
      </c>
      <c r="H5922" s="142" t="s">
        <v>21772</v>
      </c>
      <c r="I5922" s="142">
        <v>10</v>
      </c>
      <c r="J5922" s="142">
        <v>0</v>
      </c>
      <c r="K5922" s="142">
        <v>0</v>
      </c>
      <c r="L5922" s="142">
        <v>10</v>
      </c>
      <c r="M5922" s="142">
        <v>0</v>
      </c>
    </row>
    <row r="5923" spans="1:13" x14ac:dyDescent="0.45">
      <c r="A5923" s="142" t="s">
        <v>13016</v>
      </c>
      <c r="B5923" s="142" t="s">
        <v>14535</v>
      </c>
      <c r="C5923" s="142" t="s">
        <v>15860</v>
      </c>
      <c r="D5923" s="142" t="s">
        <v>15861</v>
      </c>
      <c r="E5923" s="142" t="s">
        <v>15849</v>
      </c>
      <c r="F5923" s="142" t="s">
        <v>1268</v>
      </c>
      <c r="G5923" s="142" t="s">
        <v>1267</v>
      </c>
      <c r="H5923" s="142" t="s">
        <v>21773</v>
      </c>
      <c r="I5923" s="142">
        <v>9</v>
      </c>
      <c r="J5923" s="142">
        <v>0</v>
      </c>
      <c r="K5923" s="142">
        <v>0</v>
      </c>
      <c r="L5923" s="142">
        <v>9</v>
      </c>
      <c r="M5923" s="142">
        <v>0</v>
      </c>
    </row>
    <row r="5924" spans="1:13" x14ac:dyDescent="0.45">
      <c r="A5924" s="142" t="s">
        <v>13542</v>
      </c>
      <c r="B5924" s="142" t="s">
        <v>15368</v>
      </c>
      <c r="C5924" s="142" t="s">
        <v>15847</v>
      </c>
      <c r="D5924" s="142" t="s">
        <v>15848</v>
      </c>
      <c r="E5924" s="142" t="s">
        <v>15849</v>
      </c>
      <c r="F5924" s="142" t="s">
        <v>1268</v>
      </c>
      <c r="G5924" s="142" t="s">
        <v>1267</v>
      </c>
      <c r="H5924" s="142" t="s">
        <v>21774</v>
      </c>
      <c r="I5924" s="142">
        <v>18</v>
      </c>
      <c r="J5924" s="142">
        <v>18</v>
      </c>
      <c r="K5924" s="142">
        <v>0</v>
      </c>
      <c r="L5924" s="142">
        <v>0</v>
      </c>
      <c r="M5924" s="142">
        <v>0</v>
      </c>
    </row>
    <row r="5925" spans="1:13" x14ac:dyDescent="0.45">
      <c r="A5925" s="142" t="s">
        <v>13023</v>
      </c>
      <c r="B5925" s="142" t="s">
        <v>15571</v>
      </c>
      <c r="C5925" s="142" t="s">
        <v>15847</v>
      </c>
      <c r="D5925" s="142" t="s">
        <v>15848</v>
      </c>
      <c r="E5925" s="142" t="s">
        <v>15849</v>
      </c>
      <c r="F5925" s="142" t="s">
        <v>10519</v>
      </c>
      <c r="G5925" s="142" t="s">
        <v>10518</v>
      </c>
      <c r="H5925" s="142" t="s">
        <v>21775</v>
      </c>
      <c r="I5925" s="142">
        <v>744</v>
      </c>
      <c r="J5925" s="142">
        <v>0</v>
      </c>
      <c r="K5925" s="142">
        <v>0</v>
      </c>
      <c r="L5925" s="142">
        <v>734</v>
      </c>
      <c r="M5925" s="142">
        <v>10</v>
      </c>
    </row>
    <row r="5926" spans="1:13" x14ac:dyDescent="0.45">
      <c r="A5926" s="142" t="s">
        <v>13113</v>
      </c>
      <c r="B5926" s="142" t="s">
        <v>14503</v>
      </c>
      <c r="C5926" s="142" t="s">
        <v>15860</v>
      </c>
      <c r="D5926" s="142" t="s">
        <v>15861</v>
      </c>
      <c r="E5926" s="142" t="s">
        <v>15849</v>
      </c>
      <c r="F5926" s="142" t="s">
        <v>10519</v>
      </c>
      <c r="G5926" s="142" t="s">
        <v>10518</v>
      </c>
      <c r="H5926" s="142" t="s">
        <v>21776</v>
      </c>
      <c r="I5926" s="142">
        <v>2</v>
      </c>
      <c r="J5926" s="142">
        <v>2</v>
      </c>
      <c r="K5926" s="142">
        <v>0</v>
      </c>
      <c r="L5926" s="142">
        <v>0</v>
      </c>
      <c r="M5926" s="142">
        <v>0</v>
      </c>
    </row>
    <row r="5927" spans="1:13" x14ac:dyDescent="0.45">
      <c r="A5927" s="142" t="s">
        <v>13547</v>
      </c>
      <c r="B5927" s="142" t="s">
        <v>14613</v>
      </c>
      <c r="C5927" s="142" t="s">
        <v>15847</v>
      </c>
      <c r="D5927" s="142" t="s">
        <v>15848</v>
      </c>
      <c r="E5927" s="142" t="s">
        <v>15849</v>
      </c>
      <c r="F5927" s="142" t="s">
        <v>10519</v>
      </c>
      <c r="G5927" s="142" t="s">
        <v>10518</v>
      </c>
      <c r="H5927" s="142" t="s">
        <v>21777</v>
      </c>
      <c r="I5927" s="142">
        <v>959</v>
      </c>
      <c r="J5927" s="142">
        <v>642</v>
      </c>
      <c r="K5927" s="142">
        <v>0</v>
      </c>
      <c r="L5927" s="142">
        <v>246</v>
      </c>
      <c r="M5927" s="142">
        <v>71</v>
      </c>
    </row>
    <row r="5928" spans="1:13" x14ac:dyDescent="0.45">
      <c r="A5928" s="142" t="s">
        <v>13065</v>
      </c>
      <c r="B5928" s="142" t="s">
        <v>14497</v>
      </c>
      <c r="C5928" s="142" t="s">
        <v>15847</v>
      </c>
      <c r="D5928" s="142" t="s">
        <v>15848</v>
      </c>
      <c r="E5928" s="142" t="s">
        <v>15849</v>
      </c>
      <c r="F5928" s="142" t="s">
        <v>10519</v>
      </c>
      <c r="G5928" s="142" t="s">
        <v>10518</v>
      </c>
      <c r="H5928" s="142" t="s">
        <v>21778</v>
      </c>
      <c r="I5928" s="142">
        <v>10</v>
      </c>
      <c r="J5928" s="142">
        <v>0</v>
      </c>
      <c r="K5928" s="142">
        <v>0</v>
      </c>
      <c r="L5928" s="142">
        <v>10</v>
      </c>
      <c r="M5928" s="142">
        <v>0</v>
      </c>
    </row>
    <row r="5929" spans="1:13" x14ac:dyDescent="0.45">
      <c r="A5929" s="142" t="s">
        <v>13549</v>
      </c>
      <c r="B5929" s="142" t="s">
        <v>14603</v>
      </c>
      <c r="C5929" s="142" t="s">
        <v>15847</v>
      </c>
      <c r="D5929" s="142" t="s">
        <v>15848</v>
      </c>
      <c r="E5929" s="142" t="s">
        <v>15849</v>
      </c>
      <c r="F5929" s="142" t="s">
        <v>10519</v>
      </c>
      <c r="G5929" s="142" t="s">
        <v>10518</v>
      </c>
      <c r="H5929" s="142" t="s">
        <v>21779</v>
      </c>
      <c r="I5929" s="142">
        <v>75</v>
      </c>
      <c r="J5929" s="142">
        <v>43</v>
      </c>
      <c r="K5929" s="142">
        <v>0</v>
      </c>
      <c r="L5929" s="142">
        <v>0</v>
      </c>
      <c r="M5929" s="142">
        <v>32</v>
      </c>
    </row>
    <row r="5930" spans="1:13" x14ac:dyDescent="0.45">
      <c r="A5930" s="142" t="s">
        <v>13238</v>
      </c>
      <c r="B5930" s="142" t="s">
        <v>14477</v>
      </c>
      <c r="C5930" s="142" t="s">
        <v>15860</v>
      </c>
      <c r="D5930" s="142" t="s">
        <v>15861</v>
      </c>
      <c r="E5930" s="142" t="s">
        <v>15849</v>
      </c>
      <c r="F5930" s="142" t="s">
        <v>10519</v>
      </c>
      <c r="G5930" s="142" t="s">
        <v>10518</v>
      </c>
      <c r="H5930" s="142" t="s">
        <v>21780</v>
      </c>
      <c r="I5930" s="142">
        <v>13</v>
      </c>
      <c r="J5930" s="142">
        <v>0</v>
      </c>
      <c r="K5930" s="142">
        <v>0</v>
      </c>
      <c r="L5930" s="142">
        <v>13</v>
      </c>
      <c r="M5930" s="142">
        <v>0</v>
      </c>
    </row>
    <row r="5931" spans="1:13" x14ac:dyDescent="0.45">
      <c r="A5931" s="142" t="s">
        <v>13574</v>
      </c>
      <c r="B5931" s="142" t="s">
        <v>14553</v>
      </c>
      <c r="C5931" s="142" t="s">
        <v>15860</v>
      </c>
      <c r="D5931" s="142" t="s">
        <v>15861</v>
      </c>
      <c r="E5931" s="142" t="s">
        <v>15849</v>
      </c>
      <c r="F5931" s="142" t="s">
        <v>10519</v>
      </c>
      <c r="G5931" s="142" t="s">
        <v>10518</v>
      </c>
      <c r="H5931" s="142" t="s">
        <v>21781</v>
      </c>
      <c r="I5931" s="142">
        <v>14</v>
      </c>
      <c r="J5931" s="142">
        <v>0</v>
      </c>
      <c r="K5931" s="142">
        <v>0</v>
      </c>
      <c r="L5931" s="142">
        <v>14</v>
      </c>
      <c r="M5931" s="142">
        <v>0</v>
      </c>
    </row>
    <row r="5932" spans="1:13" x14ac:dyDescent="0.45">
      <c r="A5932" s="142" t="s">
        <v>13119</v>
      </c>
      <c r="B5932" s="142" t="s">
        <v>14451</v>
      </c>
      <c r="C5932" s="142" t="s">
        <v>15860</v>
      </c>
      <c r="D5932" s="142" t="s">
        <v>15861</v>
      </c>
      <c r="E5932" s="142" t="s">
        <v>15849</v>
      </c>
      <c r="F5932" s="142" t="s">
        <v>10519</v>
      </c>
      <c r="G5932" s="142" t="s">
        <v>10518</v>
      </c>
      <c r="H5932" s="142" t="s">
        <v>21782</v>
      </c>
      <c r="I5932" s="142">
        <v>3</v>
      </c>
      <c r="J5932" s="142">
        <v>0</v>
      </c>
      <c r="K5932" s="142">
        <v>0</v>
      </c>
      <c r="L5932" s="142">
        <v>3</v>
      </c>
      <c r="M5932" s="142">
        <v>0</v>
      </c>
    </row>
    <row r="5933" spans="1:13" x14ac:dyDescent="0.45">
      <c r="A5933" s="142" t="s">
        <v>13553</v>
      </c>
      <c r="B5933" s="142" t="s">
        <v>15439</v>
      </c>
      <c r="C5933" s="142" t="s">
        <v>15847</v>
      </c>
      <c r="D5933" s="142" t="s">
        <v>15848</v>
      </c>
      <c r="E5933" s="142" t="s">
        <v>15849</v>
      </c>
      <c r="F5933" s="142" t="s">
        <v>10519</v>
      </c>
      <c r="G5933" s="142" t="s">
        <v>10518</v>
      </c>
      <c r="H5933" s="142" t="s">
        <v>21783</v>
      </c>
      <c r="I5933" s="142">
        <v>1</v>
      </c>
      <c r="J5933" s="142">
        <v>0</v>
      </c>
      <c r="K5933" s="142">
        <v>0</v>
      </c>
      <c r="L5933" s="142">
        <v>0</v>
      </c>
      <c r="M5933" s="142">
        <v>1</v>
      </c>
    </row>
    <row r="5934" spans="1:13" x14ac:dyDescent="0.45">
      <c r="A5934" s="142" t="s">
        <v>13001</v>
      </c>
      <c r="B5934" s="142" t="s">
        <v>15506</v>
      </c>
      <c r="C5934" s="142" t="s">
        <v>15847</v>
      </c>
      <c r="D5934" s="142" t="s">
        <v>15848</v>
      </c>
      <c r="E5934" s="142" t="s">
        <v>15849</v>
      </c>
      <c r="F5934" s="142" t="s">
        <v>10519</v>
      </c>
      <c r="G5934" s="142" t="s">
        <v>10518</v>
      </c>
      <c r="H5934" s="142" t="s">
        <v>21784</v>
      </c>
      <c r="I5934" s="142">
        <v>65</v>
      </c>
      <c r="J5934" s="142">
        <v>56</v>
      </c>
      <c r="K5934" s="142">
        <v>0</v>
      </c>
      <c r="L5934" s="142">
        <v>9</v>
      </c>
      <c r="M5934" s="142">
        <v>0</v>
      </c>
    </row>
    <row r="5935" spans="1:13" x14ac:dyDescent="0.45">
      <c r="A5935" s="142" t="s">
        <v>13149</v>
      </c>
      <c r="B5935" s="142" t="s">
        <v>14458</v>
      </c>
      <c r="C5935" s="142" t="s">
        <v>15860</v>
      </c>
      <c r="D5935" s="142" t="s">
        <v>15861</v>
      </c>
      <c r="E5935" s="142" t="s">
        <v>15849</v>
      </c>
      <c r="F5935" s="142" t="s">
        <v>10519</v>
      </c>
      <c r="G5935" s="142" t="s">
        <v>10518</v>
      </c>
      <c r="H5935" s="142" t="s">
        <v>21785</v>
      </c>
      <c r="I5935" s="142">
        <v>1</v>
      </c>
      <c r="J5935" s="142">
        <v>0</v>
      </c>
      <c r="K5935" s="142">
        <v>0</v>
      </c>
      <c r="L5935" s="142">
        <v>1</v>
      </c>
      <c r="M5935" s="142">
        <v>0</v>
      </c>
    </row>
    <row r="5936" spans="1:13" x14ac:dyDescent="0.45">
      <c r="A5936" s="142" t="s">
        <v>13554</v>
      </c>
      <c r="B5936" s="142" t="s">
        <v>14518</v>
      </c>
      <c r="C5936" s="142" t="s">
        <v>15860</v>
      </c>
      <c r="D5936" s="142" t="s">
        <v>15861</v>
      </c>
      <c r="E5936" s="142" t="s">
        <v>15849</v>
      </c>
      <c r="F5936" s="142" t="s">
        <v>10519</v>
      </c>
      <c r="G5936" s="142" t="s">
        <v>10518</v>
      </c>
      <c r="H5936" s="142" t="s">
        <v>21786</v>
      </c>
      <c r="I5936" s="142">
        <v>4</v>
      </c>
      <c r="J5936" s="142">
        <v>4</v>
      </c>
      <c r="K5936" s="142">
        <v>0</v>
      </c>
      <c r="L5936" s="142">
        <v>0</v>
      </c>
      <c r="M5936" s="142">
        <v>0</v>
      </c>
    </row>
    <row r="5937" spans="1:13" x14ac:dyDescent="0.45">
      <c r="A5937" s="142" t="s">
        <v>13028</v>
      </c>
      <c r="B5937" s="142" t="s">
        <v>14462</v>
      </c>
      <c r="C5937" s="142" t="s">
        <v>15847</v>
      </c>
      <c r="D5937" s="142" t="s">
        <v>15848</v>
      </c>
      <c r="E5937" s="142" t="s">
        <v>15849</v>
      </c>
      <c r="F5937" s="142" t="s">
        <v>10519</v>
      </c>
      <c r="G5937" s="142" t="s">
        <v>10518</v>
      </c>
      <c r="H5937" s="142" t="s">
        <v>21787</v>
      </c>
      <c r="I5937" s="142">
        <v>5</v>
      </c>
      <c r="J5937" s="142">
        <v>0</v>
      </c>
      <c r="K5937" s="142">
        <v>0</v>
      </c>
      <c r="L5937" s="142">
        <v>0</v>
      </c>
      <c r="M5937" s="142">
        <v>5</v>
      </c>
    </row>
    <row r="5938" spans="1:13" x14ac:dyDescent="0.45">
      <c r="A5938" s="142" t="s">
        <v>13002</v>
      </c>
      <c r="B5938" s="142" t="s">
        <v>15376</v>
      </c>
      <c r="C5938" s="142" t="s">
        <v>15847</v>
      </c>
      <c r="D5938" s="142" t="s">
        <v>15848</v>
      </c>
      <c r="E5938" s="142" t="s">
        <v>15849</v>
      </c>
      <c r="F5938" s="142" t="s">
        <v>10519</v>
      </c>
      <c r="G5938" s="142" t="s">
        <v>10518</v>
      </c>
      <c r="H5938" s="142" t="s">
        <v>21788</v>
      </c>
      <c r="I5938" s="142">
        <v>1554</v>
      </c>
      <c r="J5938" s="142">
        <v>1230</v>
      </c>
      <c r="K5938" s="142">
        <v>0</v>
      </c>
      <c r="L5938" s="142">
        <v>230</v>
      </c>
      <c r="M5938" s="142">
        <v>94</v>
      </c>
    </row>
    <row r="5939" spans="1:13" x14ac:dyDescent="0.45">
      <c r="A5939" s="142" t="s">
        <v>13003</v>
      </c>
      <c r="B5939" s="142" t="s">
        <v>15245</v>
      </c>
      <c r="C5939" s="142" t="s">
        <v>15847</v>
      </c>
      <c r="D5939" s="142" t="s">
        <v>15848</v>
      </c>
      <c r="E5939" s="142" t="s">
        <v>15849</v>
      </c>
      <c r="F5939" s="142" t="s">
        <v>10519</v>
      </c>
      <c r="G5939" s="142" t="s">
        <v>10518</v>
      </c>
      <c r="H5939" s="142" t="s">
        <v>21789</v>
      </c>
      <c r="I5939" s="142">
        <v>206</v>
      </c>
      <c r="J5939" s="142">
        <v>0</v>
      </c>
      <c r="K5939" s="142">
        <v>0</v>
      </c>
      <c r="L5939" s="142">
        <v>185</v>
      </c>
      <c r="M5939" s="142">
        <v>21</v>
      </c>
    </row>
    <row r="5940" spans="1:13" x14ac:dyDescent="0.45">
      <c r="A5940" s="142" t="s">
        <v>13066</v>
      </c>
      <c r="B5940" s="142" t="s">
        <v>14459</v>
      </c>
      <c r="C5940" s="142" t="s">
        <v>15847</v>
      </c>
      <c r="D5940" s="142" t="s">
        <v>15848</v>
      </c>
      <c r="E5940" s="142" t="s">
        <v>15849</v>
      </c>
      <c r="F5940" s="142" t="s">
        <v>10519</v>
      </c>
      <c r="G5940" s="142" t="s">
        <v>10518</v>
      </c>
      <c r="H5940" s="142" t="s">
        <v>21790</v>
      </c>
      <c r="I5940" s="142">
        <v>50</v>
      </c>
      <c r="J5940" s="142">
        <v>0</v>
      </c>
      <c r="K5940" s="142">
        <v>0</v>
      </c>
      <c r="L5940" s="142">
        <v>50</v>
      </c>
      <c r="M5940" s="142">
        <v>0</v>
      </c>
    </row>
    <row r="5941" spans="1:13" x14ac:dyDescent="0.45">
      <c r="A5941" s="142" t="s">
        <v>13557</v>
      </c>
      <c r="B5941" s="142" t="s">
        <v>14592</v>
      </c>
      <c r="C5941" s="142" t="s">
        <v>15847</v>
      </c>
      <c r="D5941" s="142" t="s">
        <v>15848</v>
      </c>
      <c r="E5941" s="142" t="s">
        <v>15849</v>
      </c>
      <c r="F5941" s="142" t="s">
        <v>10519</v>
      </c>
      <c r="G5941" s="142" t="s">
        <v>10518</v>
      </c>
      <c r="H5941" s="142" t="s">
        <v>21791</v>
      </c>
      <c r="I5941" s="142">
        <v>1696</v>
      </c>
      <c r="J5941" s="142">
        <v>1478</v>
      </c>
      <c r="K5941" s="142">
        <v>0</v>
      </c>
      <c r="L5941" s="142">
        <v>125</v>
      </c>
      <c r="M5941" s="142">
        <v>93</v>
      </c>
    </row>
    <row r="5942" spans="1:13" x14ac:dyDescent="0.45">
      <c r="A5942" s="142" t="s">
        <v>13005</v>
      </c>
      <c r="B5942" s="142" t="s">
        <v>15475</v>
      </c>
      <c r="C5942" s="142" t="s">
        <v>15847</v>
      </c>
      <c r="D5942" s="142" t="s">
        <v>15848</v>
      </c>
      <c r="E5942" s="142" t="s">
        <v>15849</v>
      </c>
      <c r="F5942" s="142" t="s">
        <v>10519</v>
      </c>
      <c r="G5942" s="142" t="s">
        <v>10518</v>
      </c>
      <c r="H5942" s="142" t="s">
        <v>21792</v>
      </c>
      <c r="I5942" s="142">
        <v>1</v>
      </c>
      <c r="J5942" s="142">
        <v>0</v>
      </c>
      <c r="K5942" s="142">
        <v>0</v>
      </c>
      <c r="L5942" s="142">
        <v>0</v>
      </c>
      <c r="M5942" s="142">
        <v>1</v>
      </c>
    </row>
    <row r="5943" spans="1:13" x14ac:dyDescent="0.45">
      <c r="A5943" s="142" t="s">
        <v>13006</v>
      </c>
      <c r="B5943" s="142" t="s">
        <v>15288</v>
      </c>
      <c r="C5943" s="142" t="s">
        <v>15847</v>
      </c>
      <c r="D5943" s="142" t="s">
        <v>15848</v>
      </c>
      <c r="E5943" s="142" t="s">
        <v>15849</v>
      </c>
      <c r="F5943" s="142" t="s">
        <v>10519</v>
      </c>
      <c r="G5943" s="142" t="s">
        <v>10518</v>
      </c>
      <c r="H5943" s="142" t="s">
        <v>21793</v>
      </c>
      <c r="I5943" s="142">
        <v>1</v>
      </c>
      <c r="J5943" s="142">
        <v>0</v>
      </c>
      <c r="K5943" s="142">
        <v>0</v>
      </c>
      <c r="L5943" s="142">
        <v>0</v>
      </c>
      <c r="M5943" s="142">
        <v>1</v>
      </c>
    </row>
    <row r="5944" spans="1:13" x14ac:dyDescent="0.45">
      <c r="A5944" s="142" t="s">
        <v>13596</v>
      </c>
      <c r="B5944" s="142" t="s">
        <v>14527</v>
      </c>
      <c r="C5944" s="142" t="s">
        <v>15860</v>
      </c>
      <c r="D5944" s="142" t="s">
        <v>15861</v>
      </c>
      <c r="E5944" s="142" t="s">
        <v>15849</v>
      </c>
      <c r="F5944" s="142" t="s">
        <v>10519</v>
      </c>
      <c r="G5944" s="142" t="s">
        <v>10518</v>
      </c>
      <c r="H5944" s="142" t="s">
        <v>21794</v>
      </c>
      <c r="I5944" s="142">
        <v>25</v>
      </c>
      <c r="J5944" s="142">
        <v>1</v>
      </c>
      <c r="K5944" s="142">
        <v>0</v>
      </c>
      <c r="L5944" s="142">
        <v>24</v>
      </c>
      <c r="M5944" s="142">
        <v>0</v>
      </c>
    </row>
    <row r="5945" spans="1:13" x14ac:dyDescent="0.45">
      <c r="A5945" s="142" t="s">
        <v>13033</v>
      </c>
      <c r="B5945" s="142" t="s">
        <v>15276</v>
      </c>
      <c r="C5945" s="142" t="s">
        <v>15847</v>
      </c>
      <c r="D5945" s="142" t="s">
        <v>15848</v>
      </c>
      <c r="E5945" s="142" t="s">
        <v>15849</v>
      </c>
      <c r="F5945" s="142" t="s">
        <v>10519</v>
      </c>
      <c r="G5945" s="142" t="s">
        <v>10518</v>
      </c>
      <c r="H5945" s="142" t="s">
        <v>21795</v>
      </c>
      <c r="I5945" s="142">
        <v>675</v>
      </c>
      <c r="J5945" s="142">
        <v>613</v>
      </c>
      <c r="K5945" s="142">
        <v>0</v>
      </c>
      <c r="L5945" s="142">
        <v>59</v>
      </c>
      <c r="M5945" s="142">
        <v>3</v>
      </c>
    </row>
    <row r="5946" spans="1:13" x14ac:dyDescent="0.45">
      <c r="A5946" s="142" t="s">
        <v>13034</v>
      </c>
      <c r="B5946" s="142" t="s">
        <v>15562</v>
      </c>
      <c r="C5946" s="142" t="s">
        <v>15847</v>
      </c>
      <c r="D5946" s="142" t="s">
        <v>15848</v>
      </c>
      <c r="E5946" s="142" t="s">
        <v>15849</v>
      </c>
      <c r="F5946" s="142" t="s">
        <v>10519</v>
      </c>
      <c r="G5946" s="142" t="s">
        <v>10518</v>
      </c>
      <c r="H5946" s="142" t="s">
        <v>21796</v>
      </c>
      <c r="I5946" s="142">
        <v>11</v>
      </c>
      <c r="J5946" s="142">
        <v>0</v>
      </c>
      <c r="K5946" s="142">
        <v>0</v>
      </c>
      <c r="L5946" s="142">
        <v>11</v>
      </c>
      <c r="M5946" s="142">
        <v>0</v>
      </c>
    </row>
    <row r="5947" spans="1:13" x14ac:dyDescent="0.45">
      <c r="A5947" s="142" t="s">
        <v>13036</v>
      </c>
      <c r="B5947" s="142" t="s">
        <v>15567</v>
      </c>
      <c r="C5947" s="142" t="s">
        <v>15847</v>
      </c>
      <c r="D5947" s="142" t="s">
        <v>15848</v>
      </c>
      <c r="E5947" s="142" t="s">
        <v>15849</v>
      </c>
      <c r="F5947" s="142" t="s">
        <v>10519</v>
      </c>
      <c r="G5947" s="142" t="s">
        <v>10518</v>
      </c>
      <c r="H5947" s="142" t="s">
        <v>21797</v>
      </c>
      <c r="I5947" s="142">
        <v>11</v>
      </c>
      <c r="J5947" s="142">
        <v>0</v>
      </c>
      <c r="K5947" s="142">
        <v>0</v>
      </c>
      <c r="L5947" s="142">
        <v>11</v>
      </c>
      <c r="M5947" s="142">
        <v>0</v>
      </c>
    </row>
    <row r="5948" spans="1:13" x14ac:dyDescent="0.45">
      <c r="A5948" s="142" t="s">
        <v>13560</v>
      </c>
      <c r="B5948" s="142" t="s">
        <v>14778</v>
      </c>
      <c r="C5948" s="142" t="s">
        <v>15847</v>
      </c>
      <c r="D5948" s="142" t="s">
        <v>15848</v>
      </c>
      <c r="E5948" s="142" t="s">
        <v>15849</v>
      </c>
      <c r="F5948" s="142" t="s">
        <v>10519</v>
      </c>
      <c r="G5948" s="142" t="s">
        <v>10518</v>
      </c>
      <c r="H5948" s="142" t="s">
        <v>21798</v>
      </c>
      <c r="I5948" s="142">
        <v>14</v>
      </c>
      <c r="J5948" s="142">
        <v>8</v>
      </c>
      <c r="K5948" s="142">
        <v>0</v>
      </c>
      <c r="L5948" s="142">
        <v>6</v>
      </c>
      <c r="M5948" s="142">
        <v>0</v>
      </c>
    </row>
    <row r="5949" spans="1:13" x14ac:dyDescent="0.45">
      <c r="A5949" s="142" t="s">
        <v>13037</v>
      </c>
      <c r="B5949" s="142" t="s">
        <v>14519</v>
      </c>
      <c r="C5949" s="142" t="s">
        <v>15847</v>
      </c>
      <c r="D5949" s="142" t="s">
        <v>15848</v>
      </c>
      <c r="E5949" s="142" t="s">
        <v>15849</v>
      </c>
      <c r="F5949" s="142" t="s">
        <v>10519</v>
      </c>
      <c r="G5949" s="142" t="s">
        <v>10518</v>
      </c>
      <c r="H5949" s="142" t="s">
        <v>21799</v>
      </c>
      <c r="I5949" s="142">
        <v>16</v>
      </c>
      <c r="J5949" s="142">
        <v>0</v>
      </c>
      <c r="K5949" s="142">
        <v>0</v>
      </c>
      <c r="L5949" s="142">
        <v>16</v>
      </c>
      <c r="M5949" s="142">
        <v>0</v>
      </c>
    </row>
    <row r="5950" spans="1:13" x14ac:dyDescent="0.45">
      <c r="A5950" s="142" t="s">
        <v>13009</v>
      </c>
      <c r="B5950" s="142" t="s">
        <v>15256</v>
      </c>
      <c r="C5950" s="142" t="s">
        <v>15847</v>
      </c>
      <c r="D5950" s="142" t="s">
        <v>15848</v>
      </c>
      <c r="E5950" s="142" t="s">
        <v>15849</v>
      </c>
      <c r="F5950" s="142" t="s">
        <v>10519</v>
      </c>
      <c r="G5950" s="142" t="s">
        <v>10518</v>
      </c>
      <c r="H5950" s="142" t="s">
        <v>21800</v>
      </c>
      <c r="I5950" s="142">
        <v>38</v>
      </c>
      <c r="J5950" s="142">
        <v>17</v>
      </c>
      <c r="K5950" s="142">
        <v>0</v>
      </c>
      <c r="L5950" s="142">
        <v>21</v>
      </c>
      <c r="M5950" s="142">
        <v>0</v>
      </c>
    </row>
    <row r="5951" spans="1:13" x14ac:dyDescent="0.45">
      <c r="A5951" s="142" t="s">
        <v>14053</v>
      </c>
      <c r="B5951" s="142" t="s">
        <v>15313</v>
      </c>
      <c r="C5951" s="142" t="s">
        <v>15860</v>
      </c>
      <c r="D5951" s="142" t="s">
        <v>15861</v>
      </c>
      <c r="E5951" s="142" t="s">
        <v>15849</v>
      </c>
      <c r="F5951" s="142" t="s">
        <v>10519</v>
      </c>
      <c r="G5951" s="142" t="s">
        <v>10518</v>
      </c>
      <c r="H5951" s="142" t="s">
        <v>21801</v>
      </c>
      <c r="I5951" s="142">
        <v>115</v>
      </c>
      <c r="J5951" s="142">
        <v>90</v>
      </c>
      <c r="K5951" s="142">
        <v>0</v>
      </c>
      <c r="L5951" s="142">
        <v>25</v>
      </c>
      <c r="M5951" s="142">
        <v>0</v>
      </c>
    </row>
    <row r="5952" spans="1:13" x14ac:dyDescent="0.45">
      <c r="A5952" s="142" t="s">
        <v>13107</v>
      </c>
      <c r="B5952" s="142" t="s">
        <v>14522</v>
      </c>
      <c r="C5952" s="142" t="s">
        <v>15860</v>
      </c>
      <c r="D5952" s="142" t="s">
        <v>15861</v>
      </c>
      <c r="E5952" s="142" t="s">
        <v>15849</v>
      </c>
      <c r="F5952" s="142" t="s">
        <v>10519</v>
      </c>
      <c r="G5952" s="142" t="s">
        <v>10518</v>
      </c>
      <c r="H5952" s="142" t="s">
        <v>21802</v>
      </c>
      <c r="I5952" s="142">
        <v>14</v>
      </c>
      <c r="J5952" s="142">
        <v>9</v>
      </c>
      <c r="K5952" s="142">
        <v>0</v>
      </c>
      <c r="L5952" s="142">
        <v>5</v>
      </c>
      <c r="M5952" s="142">
        <v>0</v>
      </c>
    </row>
    <row r="5953" spans="1:13" x14ac:dyDescent="0.45">
      <c r="A5953" s="142" t="s">
        <v>13042</v>
      </c>
      <c r="B5953" s="142" t="s">
        <v>15489</v>
      </c>
      <c r="C5953" s="142" t="s">
        <v>15847</v>
      </c>
      <c r="D5953" s="142" t="s">
        <v>15848</v>
      </c>
      <c r="E5953" s="142" t="s">
        <v>15849</v>
      </c>
      <c r="F5953" s="142" t="s">
        <v>10519</v>
      </c>
      <c r="G5953" s="142" t="s">
        <v>10518</v>
      </c>
      <c r="H5953" s="142" t="s">
        <v>21803</v>
      </c>
      <c r="I5953" s="142">
        <v>637</v>
      </c>
      <c r="J5953" s="142">
        <v>320</v>
      </c>
      <c r="K5953" s="142">
        <v>0</v>
      </c>
      <c r="L5953" s="142">
        <v>146</v>
      </c>
      <c r="M5953" s="142">
        <v>171</v>
      </c>
    </row>
    <row r="5954" spans="1:13" x14ac:dyDescent="0.45">
      <c r="A5954" s="142" t="s">
        <v>14054</v>
      </c>
      <c r="B5954" s="142" t="s">
        <v>14889</v>
      </c>
      <c r="C5954" s="142" t="s">
        <v>15860</v>
      </c>
      <c r="D5954" s="142" t="s">
        <v>15861</v>
      </c>
      <c r="E5954" s="142" t="s">
        <v>15849</v>
      </c>
      <c r="F5954" s="142" t="s">
        <v>10519</v>
      </c>
      <c r="G5954" s="142" t="s">
        <v>10518</v>
      </c>
      <c r="H5954" s="142" t="s">
        <v>21804</v>
      </c>
      <c r="I5954" s="142">
        <v>30</v>
      </c>
      <c r="J5954" s="142">
        <v>30</v>
      </c>
      <c r="K5954" s="142">
        <v>0</v>
      </c>
      <c r="L5954" s="142">
        <v>0</v>
      </c>
      <c r="M5954" s="142">
        <v>0</v>
      </c>
    </row>
    <row r="5955" spans="1:13" x14ac:dyDescent="0.45">
      <c r="A5955" s="142" t="s">
        <v>13096</v>
      </c>
      <c r="B5955" s="142" t="s">
        <v>15478</v>
      </c>
      <c r="C5955" s="142" t="s">
        <v>15847</v>
      </c>
      <c r="D5955" s="142" t="s">
        <v>15848</v>
      </c>
      <c r="E5955" s="142" t="s">
        <v>15849</v>
      </c>
      <c r="F5955" s="142" t="s">
        <v>10519</v>
      </c>
      <c r="G5955" s="142" t="s">
        <v>10518</v>
      </c>
      <c r="H5955" s="142" t="s">
        <v>21805</v>
      </c>
      <c r="I5955" s="142">
        <v>6</v>
      </c>
      <c r="J5955" s="142">
        <v>0</v>
      </c>
      <c r="K5955" s="142">
        <v>0</v>
      </c>
      <c r="L5955" s="142">
        <v>0</v>
      </c>
      <c r="M5955" s="142">
        <v>6</v>
      </c>
    </row>
    <row r="5956" spans="1:13" x14ac:dyDescent="0.45">
      <c r="A5956" s="142" t="s">
        <v>13061</v>
      </c>
      <c r="B5956" s="142" t="s">
        <v>15184</v>
      </c>
      <c r="C5956" s="142" t="s">
        <v>15860</v>
      </c>
      <c r="D5956" s="142" t="s">
        <v>15861</v>
      </c>
      <c r="E5956" s="142" t="s">
        <v>15849</v>
      </c>
      <c r="F5956" s="142" t="s">
        <v>10519</v>
      </c>
      <c r="G5956" s="142" t="s">
        <v>10518</v>
      </c>
      <c r="H5956" s="142" t="s">
        <v>21806</v>
      </c>
      <c r="I5956" s="142">
        <v>9</v>
      </c>
      <c r="J5956" s="142">
        <v>0</v>
      </c>
      <c r="K5956" s="142">
        <v>0</v>
      </c>
      <c r="L5956" s="142">
        <v>9</v>
      </c>
      <c r="M5956" s="142">
        <v>0</v>
      </c>
    </row>
    <row r="5957" spans="1:13" x14ac:dyDescent="0.45">
      <c r="A5957" s="142" t="s">
        <v>13704</v>
      </c>
      <c r="B5957" s="142" t="s">
        <v>15588</v>
      </c>
      <c r="C5957" s="142" t="s">
        <v>15860</v>
      </c>
      <c r="D5957" s="142" t="s">
        <v>15861</v>
      </c>
      <c r="E5957" s="142" t="s">
        <v>15849</v>
      </c>
      <c r="F5957" s="142" t="s">
        <v>10519</v>
      </c>
      <c r="G5957" s="142" t="s">
        <v>10518</v>
      </c>
      <c r="H5957" s="142" t="s">
        <v>21807</v>
      </c>
      <c r="I5957" s="142">
        <v>44</v>
      </c>
      <c r="J5957" s="142">
        <v>8</v>
      </c>
      <c r="K5957" s="142">
        <v>0</v>
      </c>
      <c r="L5957" s="142">
        <v>36</v>
      </c>
      <c r="M5957" s="142">
        <v>0</v>
      </c>
    </row>
    <row r="5958" spans="1:13" x14ac:dyDescent="0.45">
      <c r="A5958" s="142" t="s">
        <v>13156</v>
      </c>
      <c r="B5958" s="142" t="s">
        <v>14493</v>
      </c>
      <c r="C5958" s="142" t="s">
        <v>15860</v>
      </c>
      <c r="D5958" s="142" t="s">
        <v>15861</v>
      </c>
      <c r="E5958" s="142" t="s">
        <v>15849</v>
      </c>
      <c r="F5958" s="142" t="s">
        <v>10519</v>
      </c>
      <c r="G5958" s="142" t="s">
        <v>10518</v>
      </c>
      <c r="H5958" s="142" t="s">
        <v>21808</v>
      </c>
      <c r="I5958" s="142">
        <v>6</v>
      </c>
      <c r="J5958" s="142">
        <v>0</v>
      </c>
      <c r="K5958" s="142">
        <v>0</v>
      </c>
      <c r="L5958" s="142">
        <v>6</v>
      </c>
      <c r="M5958" s="142">
        <v>0</v>
      </c>
    </row>
    <row r="5959" spans="1:13" x14ac:dyDescent="0.45">
      <c r="A5959" s="142" t="s">
        <v>14055</v>
      </c>
      <c r="B5959" s="142" t="s">
        <v>14554</v>
      </c>
      <c r="C5959" s="142" t="s">
        <v>15860</v>
      </c>
      <c r="D5959" s="142" t="s">
        <v>15861</v>
      </c>
      <c r="E5959" s="142" t="s">
        <v>15849</v>
      </c>
      <c r="F5959" s="142" t="s">
        <v>10519</v>
      </c>
      <c r="G5959" s="142" t="s">
        <v>10518</v>
      </c>
      <c r="H5959" s="142" t="s">
        <v>21809</v>
      </c>
      <c r="I5959" s="142">
        <v>24</v>
      </c>
      <c r="J5959" s="142">
        <v>0</v>
      </c>
      <c r="K5959" s="142">
        <v>0</v>
      </c>
      <c r="L5959" s="142">
        <v>24</v>
      </c>
      <c r="M5959" s="142">
        <v>0</v>
      </c>
    </row>
    <row r="5960" spans="1:13" x14ac:dyDescent="0.45">
      <c r="A5960" s="142" t="s">
        <v>13021</v>
      </c>
      <c r="B5960" s="142" t="s">
        <v>15501</v>
      </c>
      <c r="C5960" s="142" t="s">
        <v>15847</v>
      </c>
      <c r="D5960" s="142" t="s">
        <v>15848</v>
      </c>
      <c r="E5960" s="142" t="s">
        <v>15849</v>
      </c>
      <c r="F5960" s="142" t="s">
        <v>8695</v>
      </c>
      <c r="G5960" s="142" t="s">
        <v>8694</v>
      </c>
      <c r="H5960" s="142" t="s">
        <v>21810</v>
      </c>
      <c r="I5960" s="142">
        <v>1</v>
      </c>
      <c r="J5960" s="142">
        <v>0</v>
      </c>
      <c r="K5960" s="142">
        <v>0</v>
      </c>
      <c r="L5960" s="142">
        <v>0</v>
      </c>
      <c r="M5960" s="142">
        <v>1</v>
      </c>
    </row>
    <row r="5961" spans="1:13" x14ac:dyDescent="0.45">
      <c r="A5961" s="142" t="s">
        <v>13082</v>
      </c>
      <c r="B5961" s="142" t="s">
        <v>14478</v>
      </c>
      <c r="C5961" s="142" t="s">
        <v>15860</v>
      </c>
      <c r="D5961" s="142" t="s">
        <v>15861</v>
      </c>
      <c r="E5961" s="142" t="s">
        <v>15849</v>
      </c>
      <c r="F5961" s="142" t="s">
        <v>8695</v>
      </c>
      <c r="G5961" s="142" t="s">
        <v>8694</v>
      </c>
      <c r="H5961" s="142" t="s">
        <v>21811</v>
      </c>
      <c r="I5961" s="142">
        <v>4</v>
      </c>
      <c r="J5961" s="142">
        <v>0</v>
      </c>
      <c r="K5961" s="142">
        <v>0</v>
      </c>
      <c r="L5961" s="142">
        <v>4</v>
      </c>
      <c r="M5961" s="142">
        <v>0</v>
      </c>
    </row>
    <row r="5962" spans="1:13" x14ac:dyDescent="0.45">
      <c r="A5962" s="142" t="s">
        <v>13237</v>
      </c>
      <c r="B5962" s="142" t="s">
        <v>14643</v>
      </c>
      <c r="C5962" s="142" t="s">
        <v>15847</v>
      </c>
      <c r="D5962" s="142" t="s">
        <v>15848</v>
      </c>
      <c r="E5962" s="142" t="s">
        <v>15849</v>
      </c>
      <c r="F5962" s="142" t="s">
        <v>8695</v>
      </c>
      <c r="G5962" s="142" t="s">
        <v>8694</v>
      </c>
      <c r="H5962" s="142" t="s">
        <v>21812</v>
      </c>
      <c r="I5962" s="142">
        <v>80</v>
      </c>
      <c r="J5962" s="142">
        <v>62</v>
      </c>
      <c r="K5962" s="142">
        <v>0</v>
      </c>
      <c r="L5962" s="142">
        <v>0</v>
      </c>
      <c r="M5962" s="142">
        <v>18</v>
      </c>
    </row>
    <row r="5963" spans="1:13" x14ac:dyDescent="0.45">
      <c r="A5963" s="142" t="s">
        <v>13310</v>
      </c>
      <c r="B5963" s="142" t="s">
        <v>14558</v>
      </c>
      <c r="C5963" s="142" t="s">
        <v>15860</v>
      </c>
      <c r="D5963" s="142" t="s">
        <v>15861</v>
      </c>
      <c r="E5963" s="142" t="s">
        <v>15849</v>
      </c>
      <c r="F5963" s="142" t="s">
        <v>8695</v>
      </c>
      <c r="G5963" s="142" t="s">
        <v>8694</v>
      </c>
      <c r="H5963" s="142" t="s">
        <v>21813</v>
      </c>
      <c r="I5963" s="142">
        <v>1</v>
      </c>
      <c r="J5963" s="142">
        <v>0</v>
      </c>
      <c r="K5963" s="142">
        <v>0</v>
      </c>
      <c r="L5963" s="142">
        <v>1</v>
      </c>
      <c r="M5963" s="142">
        <v>0</v>
      </c>
    </row>
    <row r="5964" spans="1:13" x14ac:dyDescent="0.45">
      <c r="A5964" s="142" t="s">
        <v>13027</v>
      </c>
      <c r="B5964" s="142" t="s">
        <v>14562</v>
      </c>
      <c r="C5964" s="142" t="s">
        <v>15847</v>
      </c>
      <c r="D5964" s="142" t="s">
        <v>15848</v>
      </c>
      <c r="E5964" s="142" t="s">
        <v>15849</v>
      </c>
      <c r="F5964" s="142" t="s">
        <v>8695</v>
      </c>
      <c r="G5964" s="142" t="s">
        <v>8694</v>
      </c>
      <c r="H5964" s="142" t="s">
        <v>21814</v>
      </c>
      <c r="I5964" s="142">
        <v>1</v>
      </c>
      <c r="J5964" s="142">
        <v>0</v>
      </c>
      <c r="K5964" s="142">
        <v>0</v>
      </c>
      <c r="L5964" s="142">
        <v>1</v>
      </c>
      <c r="M5964" s="142">
        <v>0</v>
      </c>
    </row>
    <row r="5965" spans="1:13" x14ac:dyDescent="0.45">
      <c r="A5965" s="142" t="s">
        <v>13066</v>
      </c>
      <c r="B5965" s="142" t="s">
        <v>14459</v>
      </c>
      <c r="C5965" s="142" t="s">
        <v>15847</v>
      </c>
      <c r="D5965" s="142" t="s">
        <v>15848</v>
      </c>
      <c r="E5965" s="142" t="s">
        <v>15849</v>
      </c>
      <c r="F5965" s="142" t="s">
        <v>8695</v>
      </c>
      <c r="G5965" s="142" t="s">
        <v>8694</v>
      </c>
      <c r="H5965" s="142" t="s">
        <v>21815</v>
      </c>
      <c r="I5965" s="142">
        <v>16</v>
      </c>
      <c r="J5965" s="142">
        <v>0</v>
      </c>
      <c r="K5965" s="142">
        <v>0</v>
      </c>
      <c r="L5965" s="142">
        <v>16</v>
      </c>
      <c r="M5965" s="142">
        <v>0</v>
      </c>
    </row>
    <row r="5966" spans="1:13" x14ac:dyDescent="0.45">
      <c r="A5966" s="142" t="s">
        <v>13076</v>
      </c>
      <c r="B5966" s="142" t="s">
        <v>14636</v>
      </c>
      <c r="C5966" s="142" t="s">
        <v>15847</v>
      </c>
      <c r="D5966" s="142" t="s">
        <v>15848</v>
      </c>
      <c r="E5966" s="142" t="s">
        <v>15849</v>
      </c>
      <c r="F5966" s="142" t="s">
        <v>8695</v>
      </c>
      <c r="G5966" s="142" t="s">
        <v>8694</v>
      </c>
      <c r="H5966" s="142" t="s">
        <v>21816</v>
      </c>
      <c r="I5966" s="142">
        <v>11</v>
      </c>
      <c r="J5966" s="142">
        <v>8</v>
      </c>
      <c r="K5966" s="142">
        <v>0</v>
      </c>
      <c r="L5966" s="142">
        <v>0</v>
      </c>
      <c r="M5966" s="142">
        <v>3</v>
      </c>
    </row>
    <row r="5967" spans="1:13" x14ac:dyDescent="0.45">
      <c r="A5967" s="142" t="s">
        <v>13248</v>
      </c>
      <c r="B5967" s="142" t="s">
        <v>15463</v>
      </c>
      <c r="C5967" s="142" t="s">
        <v>15847</v>
      </c>
      <c r="D5967" s="142" t="s">
        <v>15848</v>
      </c>
      <c r="E5967" s="142" t="s">
        <v>15849</v>
      </c>
      <c r="F5967" s="142" t="s">
        <v>8695</v>
      </c>
      <c r="G5967" s="142" t="s">
        <v>8694</v>
      </c>
      <c r="H5967" s="142" t="s">
        <v>21817</v>
      </c>
      <c r="I5967" s="142">
        <v>405</v>
      </c>
      <c r="J5967" s="142">
        <v>353</v>
      </c>
      <c r="K5967" s="142">
        <v>0</v>
      </c>
      <c r="L5967" s="142">
        <v>6</v>
      </c>
      <c r="M5967" s="142">
        <v>46</v>
      </c>
    </row>
    <row r="5968" spans="1:13" x14ac:dyDescent="0.45">
      <c r="A5968" s="142" t="s">
        <v>13008</v>
      </c>
      <c r="B5968" s="142" t="s">
        <v>15411</v>
      </c>
      <c r="C5968" s="142" t="s">
        <v>15847</v>
      </c>
      <c r="D5968" s="142" t="s">
        <v>15848</v>
      </c>
      <c r="E5968" s="142" t="s">
        <v>15849</v>
      </c>
      <c r="F5968" s="142" t="s">
        <v>8695</v>
      </c>
      <c r="G5968" s="142" t="s">
        <v>8694</v>
      </c>
      <c r="H5968" s="142" t="s">
        <v>21818</v>
      </c>
      <c r="I5968" s="142">
        <v>21</v>
      </c>
      <c r="J5968" s="142">
        <v>0</v>
      </c>
      <c r="K5968" s="142">
        <v>0</v>
      </c>
      <c r="L5968" s="142">
        <v>0</v>
      </c>
      <c r="M5968" s="142">
        <v>21</v>
      </c>
    </row>
    <row r="5969" spans="1:13" x14ac:dyDescent="0.45">
      <c r="A5969" s="142" t="s">
        <v>13077</v>
      </c>
      <c r="B5969" s="142" t="s">
        <v>15407</v>
      </c>
      <c r="C5969" s="142" t="s">
        <v>15847</v>
      </c>
      <c r="D5969" s="142" t="s">
        <v>15848</v>
      </c>
      <c r="E5969" s="142" t="s">
        <v>15849</v>
      </c>
      <c r="F5969" s="142" t="s">
        <v>8695</v>
      </c>
      <c r="G5969" s="142" t="s">
        <v>8694</v>
      </c>
      <c r="H5969" s="142" t="s">
        <v>21819</v>
      </c>
      <c r="I5969" s="142">
        <v>80</v>
      </c>
      <c r="J5969" s="142">
        <v>80</v>
      </c>
      <c r="K5969" s="142">
        <v>0</v>
      </c>
      <c r="L5969" s="142">
        <v>0</v>
      </c>
      <c r="M5969" s="142">
        <v>0</v>
      </c>
    </row>
    <row r="5970" spans="1:13" x14ac:dyDescent="0.45">
      <c r="A5970" s="142" t="s">
        <v>13055</v>
      </c>
      <c r="B5970" s="142" t="s">
        <v>14595</v>
      </c>
      <c r="C5970" s="142" t="s">
        <v>15847</v>
      </c>
      <c r="D5970" s="142" t="s">
        <v>15848</v>
      </c>
      <c r="E5970" s="142" t="s">
        <v>15849</v>
      </c>
      <c r="F5970" s="142" t="s">
        <v>8695</v>
      </c>
      <c r="G5970" s="142" t="s">
        <v>8694</v>
      </c>
      <c r="H5970" s="142" t="s">
        <v>21820</v>
      </c>
      <c r="I5970" s="142">
        <v>55</v>
      </c>
      <c r="J5970" s="142">
        <v>55</v>
      </c>
      <c r="K5970" s="142">
        <v>0</v>
      </c>
      <c r="L5970" s="142">
        <v>0</v>
      </c>
      <c r="M5970" s="142">
        <v>0</v>
      </c>
    </row>
    <row r="5971" spans="1:13" x14ac:dyDescent="0.45">
      <c r="A5971" s="142" t="s">
        <v>13034</v>
      </c>
      <c r="B5971" s="142" t="s">
        <v>15562</v>
      </c>
      <c r="C5971" s="142" t="s">
        <v>15847</v>
      </c>
      <c r="D5971" s="142" t="s">
        <v>15848</v>
      </c>
      <c r="E5971" s="142" t="s">
        <v>15849</v>
      </c>
      <c r="F5971" s="142" t="s">
        <v>8695</v>
      </c>
      <c r="G5971" s="142" t="s">
        <v>8694</v>
      </c>
      <c r="H5971" s="142" t="s">
        <v>21821</v>
      </c>
      <c r="I5971" s="142">
        <v>22</v>
      </c>
      <c r="J5971" s="142">
        <v>22</v>
      </c>
      <c r="K5971" s="142">
        <v>0</v>
      </c>
      <c r="L5971" s="142">
        <v>0</v>
      </c>
      <c r="M5971" s="142">
        <v>0</v>
      </c>
    </row>
    <row r="5972" spans="1:13" x14ac:dyDescent="0.45">
      <c r="A5972" s="142" t="s">
        <v>13035</v>
      </c>
      <c r="B5972" s="142" t="s">
        <v>14648</v>
      </c>
      <c r="C5972" s="142" t="s">
        <v>15847</v>
      </c>
      <c r="D5972" s="142" t="s">
        <v>15848</v>
      </c>
      <c r="E5972" s="142" t="s">
        <v>15849</v>
      </c>
      <c r="F5972" s="142" t="s">
        <v>8695</v>
      </c>
      <c r="G5972" s="142" t="s">
        <v>8694</v>
      </c>
      <c r="H5972" s="142" t="s">
        <v>21822</v>
      </c>
      <c r="I5972" s="142">
        <v>744</v>
      </c>
      <c r="J5972" s="142">
        <v>569</v>
      </c>
      <c r="K5972" s="142">
        <v>0</v>
      </c>
      <c r="L5972" s="142">
        <v>0</v>
      </c>
      <c r="M5972" s="142">
        <v>175</v>
      </c>
    </row>
    <row r="5973" spans="1:13" x14ac:dyDescent="0.45">
      <c r="A5973" s="142" t="s">
        <v>13039</v>
      </c>
      <c r="B5973" s="142" t="s">
        <v>14647</v>
      </c>
      <c r="C5973" s="142" t="s">
        <v>15847</v>
      </c>
      <c r="D5973" s="142" t="s">
        <v>15848</v>
      </c>
      <c r="E5973" s="142" t="s">
        <v>15849</v>
      </c>
      <c r="F5973" s="142" t="s">
        <v>8695</v>
      </c>
      <c r="G5973" s="142" t="s">
        <v>8694</v>
      </c>
      <c r="H5973" s="142" t="s">
        <v>21823</v>
      </c>
      <c r="I5973" s="142">
        <v>24</v>
      </c>
      <c r="J5973" s="142">
        <v>24</v>
      </c>
      <c r="K5973" s="142">
        <v>0</v>
      </c>
      <c r="L5973" s="142">
        <v>0</v>
      </c>
      <c r="M5973" s="142">
        <v>0</v>
      </c>
    </row>
    <row r="5974" spans="1:13" x14ac:dyDescent="0.45">
      <c r="A5974" s="142" t="s">
        <v>13011</v>
      </c>
      <c r="B5974" s="142" t="s">
        <v>14695</v>
      </c>
      <c r="C5974" s="142" t="s">
        <v>15847</v>
      </c>
      <c r="D5974" s="142" t="s">
        <v>15848</v>
      </c>
      <c r="E5974" s="142" t="s">
        <v>15849</v>
      </c>
      <c r="F5974" s="142" t="s">
        <v>8695</v>
      </c>
      <c r="G5974" s="142" t="s">
        <v>8694</v>
      </c>
      <c r="H5974" s="142" t="s">
        <v>21824</v>
      </c>
      <c r="I5974" s="142">
        <v>58</v>
      </c>
      <c r="J5974" s="142">
        <v>17</v>
      </c>
      <c r="K5974" s="142">
        <v>0</v>
      </c>
      <c r="L5974" s="142">
        <v>41</v>
      </c>
      <c r="M5974" s="142">
        <v>0</v>
      </c>
    </row>
    <row r="5975" spans="1:13" x14ac:dyDescent="0.45">
      <c r="A5975" s="142" t="s">
        <v>13041</v>
      </c>
      <c r="B5975" s="142" t="s">
        <v>14441</v>
      </c>
      <c r="C5975" s="142" t="s">
        <v>15847</v>
      </c>
      <c r="D5975" s="142" t="s">
        <v>15848</v>
      </c>
      <c r="E5975" s="142" t="s">
        <v>15849</v>
      </c>
      <c r="F5975" s="142" t="s">
        <v>8695</v>
      </c>
      <c r="G5975" s="142" t="s">
        <v>8694</v>
      </c>
      <c r="H5975" s="142" t="s">
        <v>21825</v>
      </c>
      <c r="I5975" s="142">
        <v>14</v>
      </c>
      <c r="J5975" s="142">
        <v>0</v>
      </c>
      <c r="K5975" s="142">
        <v>0</v>
      </c>
      <c r="L5975" s="142">
        <v>0</v>
      </c>
      <c r="M5975" s="142">
        <v>14</v>
      </c>
    </row>
    <row r="5976" spans="1:13" x14ac:dyDescent="0.45">
      <c r="A5976" s="142" t="s">
        <v>13012</v>
      </c>
      <c r="B5976" s="142" t="s">
        <v>15337</v>
      </c>
      <c r="C5976" s="142" t="s">
        <v>15847</v>
      </c>
      <c r="D5976" s="142" t="s">
        <v>15848</v>
      </c>
      <c r="E5976" s="142" t="s">
        <v>15849</v>
      </c>
      <c r="F5976" s="142" t="s">
        <v>8695</v>
      </c>
      <c r="G5976" s="142" t="s">
        <v>8694</v>
      </c>
      <c r="H5976" s="142" t="s">
        <v>21826</v>
      </c>
      <c r="I5976" s="142">
        <v>80</v>
      </c>
      <c r="J5976" s="142">
        <v>54</v>
      </c>
      <c r="K5976" s="142">
        <v>0</v>
      </c>
      <c r="L5976" s="142">
        <v>6</v>
      </c>
      <c r="M5976" s="142">
        <v>20</v>
      </c>
    </row>
    <row r="5977" spans="1:13" x14ac:dyDescent="0.45">
      <c r="A5977" s="142" t="s">
        <v>13608</v>
      </c>
      <c r="B5977" s="142" t="s">
        <v>15437</v>
      </c>
      <c r="C5977" s="142" t="s">
        <v>15847</v>
      </c>
      <c r="D5977" s="142" t="s">
        <v>15848</v>
      </c>
      <c r="E5977" s="142" t="s">
        <v>15849</v>
      </c>
      <c r="F5977" s="142" t="s">
        <v>8695</v>
      </c>
      <c r="G5977" s="142" t="s">
        <v>8694</v>
      </c>
      <c r="H5977" s="142" t="s">
        <v>21827</v>
      </c>
      <c r="I5977" s="142">
        <v>11</v>
      </c>
      <c r="J5977" s="142">
        <v>8</v>
      </c>
      <c r="K5977" s="142">
        <v>0</v>
      </c>
      <c r="L5977" s="142">
        <v>0</v>
      </c>
      <c r="M5977" s="142">
        <v>3</v>
      </c>
    </row>
    <row r="5978" spans="1:13" x14ac:dyDescent="0.45">
      <c r="A5978" s="142" t="s">
        <v>14057</v>
      </c>
      <c r="B5978" s="142" t="s">
        <v>15397</v>
      </c>
      <c r="C5978" s="142" t="s">
        <v>15860</v>
      </c>
      <c r="D5978" s="142" t="s">
        <v>15861</v>
      </c>
      <c r="E5978" s="142" t="s">
        <v>15849</v>
      </c>
      <c r="F5978" s="142" t="s">
        <v>8695</v>
      </c>
      <c r="G5978" s="142" t="s">
        <v>8694</v>
      </c>
      <c r="H5978" s="142" t="s">
        <v>21828</v>
      </c>
      <c r="I5978" s="142">
        <v>2</v>
      </c>
      <c r="J5978" s="142">
        <v>2</v>
      </c>
      <c r="K5978" s="142">
        <v>0</v>
      </c>
      <c r="L5978" s="142">
        <v>0</v>
      </c>
      <c r="M5978" s="142">
        <v>0</v>
      </c>
    </row>
    <row r="5979" spans="1:13" x14ac:dyDescent="0.45">
      <c r="A5979" s="142" t="s">
        <v>13269</v>
      </c>
      <c r="B5979" s="142" t="s">
        <v>14794</v>
      </c>
      <c r="C5979" s="142" t="s">
        <v>15860</v>
      </c>
      <c r="D5979" s="142" t="s">
        <v>15861</v>
      </c>
      <c r="E5979" s="142" t="s">
        <v>15849</v>
      </c>
      <c r="F5979" s="142" t="s">
        <v>8695</v>
      </c>
      <c r="G5979" s="142" t="s">
        <v>8694</v>
      </c>
      <c r="H5979" s="142" t="s">
        <v>21829</v>
      </c>
      <c r="I5979" s="142">
        <v>11</v>
      </c>
      <c r="J5979" s="142">
        <v>0</v>
      </c>
      <c r="K5979" s="142">
        <v>0</v>
      </c>
      <c r="L5979" s="142">
        <v>11</v>
      </c>
      <c r="M5979" s="142">
        <v>0</v>
      </c>
    </row>
    <row r="5980" spans="1:13" x14ac:dyDescent="0.45">
      <c r="A5980" s="142" t="s">
        <v>13020</v>
      </c>
      <c r="B5980" s="142" t="s">
        <v>15523</v>
      </c>
      <c r="C5980" s="142" t="s">
        <v>15860</v>
      </c>
      <c r="D5980" s="142" t="s">
        <v>15861</v>
      </c>
      <c r="E5980" s="142" t="s">
        <v>15849</v>
      </c>
      <c r="F5980" s="142" t="s">
        <v>6622</v>
      </c>
      <c r="G5980" s="142" t="s">
        <v>6621</v>
      </c>
      <c r="H5980" s="142" t="s">
        <v>21830</v>
      </c>
      <c r="I5980" s="142">
        <v>2</v>
      </c>
      <c r="J5980" s="142">
        <v>0</v>
      </c>
      <c r="K5980" s="142">
        <v>2</v>
      </c>
      <c r="L5980" s="142">
        <v>0</v>
      </c>
      <c r="M5980" s="142">
        <v>0</v>
      </c>
    </row>
    <row r="5981" spans="1:13" x14ac:dyDescent="0.45">
      <c r="A5981" s="142" t="s">
        <v>13021</v>
      </c>
      <c r="B5981" s="142" t="s">
        <v>15501</v>
      </c>
      <c r="C5981" s="142" t="s">
        <v>15847</v>
      </c>
      <c r="D5981" s="142" t="s">
        <v>15848</v>
      </c>
      <c r="E5981" s="142" t="s">
        <v>15849</v>
      </c>
      <c r="F5981" s="142" t="s">
        <v>6622</v>
      </c>
      <c r="G5981" s="142" t="s">
        <v>6621</v>
      </c>
      <c r="H5981" s="142" t="s">
        <v>21831</v>
      </c>
      <c r="I5981" s="142">
        <v>6</v>
      </c>
      <c r="J5981" s="142">
        <v>0</v>
      </c>
      <c r="K5981" s="142">
        <v>0</v>
      </c>
      <c r="L5981" s="142">
        <v>1</v>
      </c>
      <c r="M5981" s="142">
        <v>5</v>
      </c>
    </row>
    <row r="5982" spans="1:13" x14ac:dyDescent="0.45">
      <c r="A5982" s="142" t="s">
        <v>13022</v>
      </c>
      <c r="B5982" s="142" t="s">
        <v>14634</v>
      </c>
      <c r="C5982" s="142" t="s">
        <v>15847</v>
      </c>
      <c r="D5982" s="142" t="s">
        <v>15848</v>
      </c>
      <c r="E5982" s="142" t="s">
        <v>15849</v>
      </c>
      <c r="F5982" s="142" t="s">
        <v>6622</v>
      </c>
      <c r="G5982" s="142" t="s">
        <v>6621</v>
      </c>
      <c r="H5982" s="142" t="s">
        <v>21832</v>
      </c>
      <c r="I5982" s="142">
        <v>8</v>
      </c>
      <c r="J5982" s="142">
        <v>6</v>
      </c>
      <c r="K5982" s="142">
        <v>0</v>
      </c>
      <c r="L5982" s="142">
        <v>0</v>
      </c>
      <c r="M5982" s="142">
        <v>2</v>
      </c>
    </row>
    <row r="5983" spans="1:13" x14ac:dyDescent="0.45">
      <c r="A5983" s="142" t="s">
        <v>13115</v>
      </c>
      <c r="B5983" s="142" t="s">
        <v>14508</v>
      </c>
      <c r="C5983" s="142" t="s">
        <v>15860</v>
      </c>
      <c r="D5983" s="142" t="s">
        <v>15861</v>
      </c>
      <c r="E5983" s="142" t="s">
        <v>15849</v>
      </c>
      <c r="F5983" s="142" t="s">
        <v>6622</v>
      </c>
      <c r="G5983" s="142" t="s">
        <v>6621</v>
      </c>
      <c r="H5983" s="142" t="s">
        <v>21833</v>
      </c>
      <c r="I5983" s="142">
        <v>15</v>
      </c>
      <c r="J5983" s="142">
        <v>0</v>
      </c>
      <c r="K5983" s="142">
        <v>0</v>
      </c>
      <c r="L5983" s="142">
        <v>15</v>
      </c>
      <c r="M5983" s="142">
        <v>0</v>
      </c>
    </row>
    <row r="5984" spans="1:13" x14ac:dyDescent="0.45">
      <c r="A5984" s="142" t="s">
        <v>13024</v>
      </c>
      <c r="B5984" s="142" t="s">
        <v>14538</v>
      </c>
      <c r="C5984" s="142" t="s">
        <v>15847</v>
      </c>
      <c r="D5984" s="142" t="s">
        <v>15848</v>
      </c>
      <c r="E5984" s="142" t="s">
        <v>15849</v>
      </c>
      <c r="F5984" s="142" t="s">
        <v>6622</v>
      </c>
      <c r="G5984" s="142" t="s">
        <v>6621</v>
      </c>
      <c r="H5984" s="142" t="s">
        <v>21834</v>
      </c>
      <c r="I5984" s="142">
        <v>1715</v>
      </c>
      <c r="J5984" s="142">
        <v>1292</v>
      </c>
      <c r="K5984" s="142">
        <v>0</v>
      </c>
      <c r="L5984" s="142">
        <v>166</v>
      </c>
      <c r="M5984" s="142">
        <v>257</v>
      </c>
    </row>
    <row r="5985" spans="1:13" x14ac:dyDescent="0.45">
      <c r="A5985" s="142" t="s">
        <v>13074</v>
      </c>
      <c r="B5985" s="142" t="s">
        <v>15405</v>
      </c>
      <c r="C5985" s="142" t="s">
        <v>15847</v>
      </c>
      <c r="D5985" s="142" t="s">
        <v>15848</v>
      </c>
      <c r="E5985" s="142" t="s">
        <v>15849</v>
      </c>
      <c r="F5985" s="142" t="s">
        <v>6622</v>
      </c>
      <c r="G5985" s="142" t="s">
        <v>6621</v>
      </c>
      <c r="H5985" s="142" t="s">
        <v>21835</v>
      </c>
      <c r="I5985" s="142">
        <v>5</v>
      </c>
      <c r="J5985" s="142">
        <v>5</v>
      </c>
      <c r="K5985" s="142">
        <v>0</v>
      </c>
      <c r="L5985" s="142">
        <v>0</v>
      </c>
      <c r="M5985" s="142">
        <v>0</v>
      </c>
    </row>
    <row r="5986" spans="1:13" x14ac:dyDescent="0.45">
      <c r="A5986" s="142" t="s">
        <v>14059</v>
      </c>
      <c r="B5986" s="142" t="s">
        <v>14893</v>
      </c>
      <c r="C5986" s="142" t="s">
        <v>15860</v>
      </c>
      <c r="D5986" s="142" t="s">
        <v>15861</v>
      </c>
      <c r="E5986" s="142" t="s">
        <v>15849</v>
      </c>
      <c r="F5986" s="142" t="s">
        <v>6622</v>
      </c>
      <c r="G5986" s="142" t="s">
        <v>6621</v>
      </c>
      <c r="H5986" s="142" t="s">
        <v>21836</v>
      </c>
      <c r="I5986" s="142">
        <v>10</v>
      </c>
      <c r="J5986" s="142">
        <v>0</v>
      </c>
      <c r="K5986" s="142">
        <v>0</v>
      </c>
      <c r="L5986" s="142">
        <v>10</v>
      </c>
      <c r="M5986" s="142">
        <v>0</v>
      </c>
    </row>
    <row r="5987" spans="1:13" x14ac:dyDescent="0.45">
      <c r="A5987" s="142" t="s">
        <v>13026</v>
      </c>
      <c r="B5987" s="142" t="s">
        <v>15447</v>
      </c>
      <c r="C5987" s="142" t="s">
        <v>15847</v>
      </c>
      <c r="D5987" s="142" t="s">
        <v>15848</v>
      </c>
      <c r="E5987" s="142" t="s">
        <v>15849</v>
      </c>
      <c r="F5987" s="142" t="s">
        <v>6622</v>
      </c>
      <c r="G5987" s="142" t="s">
        <v>6621</v>
      </c>
      <c r="H5987" s="142" t="s">
        <v>21837</v>
      </c>
      <c r="I5987" s="142">
        <v>79</v>
      </c>
      <c r="J5987" s="142">
        <v>51</v>
      </c>
      <c r="K5987" s="142">
        <v>0</v>
      </c>
      <c r="L5987" s="142">
        <v>0</v>
      </c>
      <c r="M5987" s="142">
        <v>28</v>
      </c>
    </row>
    <row r="5988" spans="1:13" x14ac:dyDescent="0.45">
      <c r="A5988" s="142" t="s">
        <v>13271</v>
      </c>
      <c r="B5988" s="142" t="s">
        <v>15470</v>
      </c>
      <c r="C5988" s="142" t="s">
        <v>15847</v>
      </c>
      <c r="D5988" s="142" t="s">
        <v>15848</v>
      </c>
      <c r="E5988" s="142" t="s">
        <v>15849</v>
      </c>
      <c r="F5988" s="142" t="s">
        <v>6622</v>
      </c>
      <c r="G5988" s="142" t="s">
        <v>6621</v>
      </c>
      <c r="H5988" s="142" t="s">
        <v>21838</v>
      </c>
      <c r="I5988" s="142">
        <v>15</v>
      </c>
      <c r="J5988" s="142">
        <v>14</v>
      </c>
      <c r="K5988" s="142">
        <v>0</v>
      </c>
      <c r="L5988" s="142">
        <v>0</v>
      </c>
      <c r="M5988" s="142">
        <v>1</v>
      </c>
    </row>
    <row r="5989" spans="1:13" x14ac:dyDescent="0.45">
      <c r="A5989" s="142" t="s">
        <v>13027</v>
      </c>
      <c r="B5989" s="142" t="s">
        <v>14562</v>
      </c>
      <c r="C5989" s="142" t="s">
        <v>15847</v>
      </c>
      <c r="D5989" s="142" t="s">
        <v>15848</v>
      </c>
      <c r="E5989" s="142" t="s">
        <v>15849</v>
      </c>
      <c r="F5989" s="142" t="s">
        <v>6622</v>
      </c>
      <c r="G5989" s="142" t="s">
        <v>6621</v>
      </c>
      <c r="H5989" s="142" t="s">
        <v>21839</v>
      </c>
      <c r="I5989" s="142">
        <v>1</v>
      </c>
      <c r="J5989" s="142">
        <v>0</v>
      </c>
      <c r="K5989" s="142">
        <v>0</v>
      </c>
      <c r="L5989" s="142">
        <v>1</v>
      </c>
      <c r="M5989" s="142">
        <v>0</v>
      </c>
    </row>
    <row r="5990" spans="1:13" x14ac:dyDescent="0.45">
      <c r="A5990" s="142" t="s">
        <v>13028</v>
      </c>
      <c r="B5990" s="142" t="s">
        <v>14462</v>
      </c>
      <c r="C5990" s="142" t="s">
        <v>15847</v>
      </c>
      <c r="D5990" s="142" t="s">
        <v>15848</v>
      </c>
      <c r="E5990" s="142" t="s">
        <v>15849</v>
      </c>
      <c r="F5990" s="142" t="s">
        <v>6622</v>
      </c>
      <c r="G5990" s="142" t="s">
        <v>6621</v>
      </c>
      <c r="H5990" s="142" t="s">
        <v>21840</v>
      </c>
      <c r="I5990" s="142">
        <v>19</v>
      </c>
      <c r="J5990" s="142">
        <v>0</v>
      </c>
      <c r="K5990" s="142">
        <v>0</v>
      </c>
      <c r="L5990" s="142">
        <v>0</v>
      </c>
      <c r="M5990" s="142">
        <v>19</v>
      </c>
    </row>
    <row r="5991" spans="1:13" x14ac:dyDescent="0.45">
      <c r="A5991" s="142" t="s">
        <v>13003</v>
      </c>
      <c r="B5991" s="142" t="s">
        <v>15245</v>
      </c>
      <c r="C5991" s="142" t="s">
        <v>15847</v>
      </c>
      <c r="D5991" s="142" t="s">
        <v>15848</v>
      </c>
      <c r="E5991" s="142" t="s">
        <v>15849</v>
      </c>
      <c r="F5991" s="142" t="s">
        <v>6622</v>
      </c>
      <c r="G5991" s="142" t="s">
        <v>6621</v>
      </c>
      <c r="H5991" s="142" t="s">
        <v>21841</v>
      </c>
      <c r="I5991" s="142">
        <v>44</v>
      </c>
      <c r="J5991" s="142">
        <v>0</v>
      </c>
      <c r="K5991" s="142">
        <v>0</v>
      </c>
      <c r="L5991" s="142">
        <v>44</v>
      </c>
      <c r="M5991" s="142">
        <v>0</v>
      </c>
    </row>
    <row r="5992" spans="1:13" x14ac:dyDescent="0.45">
      <c r="A5992" s="142" t="s">
        <v>13076</v>
      </c>
      <c r="B5992" s="142" t="s">
        <v>14636</v>
      </c>
      <c r="C5992" s="142" t="s">
        <v>15847</v>
      </c>
      <c r="D5992" s="142" t="s">
        <v>15848</v>
      </c>
      <c r="E5992" s="142" t="s">
        <v>15849</v>
      </c>
      <c r="F5992" s="142" t="s">
        <v>6622</v>
      </c>
      <c r="G5992" s="142" t="s">
        <v>6621</v>
      </c>
      <c r="H5992" s="142" t="s">
        <v>21842</v>
      </c>
      <c r="I5992" s="142">
        <v>27</v>
      </c>
      <c r="J5992" s="142">
        <v>5</v>
      </c>
      <c r="K5992" s="142">
        <v>0</v>
      </c>
      <c r="L5992" s="142">
        <v>0</v>
      </c>
      <c r="M5992" s="142">
        <v>22</v>
      </c>
    </row>
    <row r="5993" spans="1:13" x14ac:dyDescent="0.45">
      <c r="A5993" s="142" t="s">
        <v>13029</v>
      </c>
      <c r="B5993" s="142" t="s">
        <v>14665</v>
      </c>
      <c r="C5993" s="142" t="s">
        <v>15847</v>
      </c>
      <c r="D5993" s="142" t="s">
        <v>15848</v>
      </c>
      <c r="E5993" s="142" t="s">
        <v>15849</v>
      </c>
      <c r="F5993" s="142" t="s">
        <v>6622</v>
      </c>
      <c r="G5993" s="142" t="s">
        <v>6621</v>
      </c>
      <c r="H5993" s="142" t="s">
        <v>21843</v>
      </c>
      <c r="I5993" s="142">
        <v>20</v>
      </c>
      <c r="J5993" s="142">
        <v>0</v>
      </c>
      <c r="K5993" s="142">
        <v>0</v>
      </c>
      <c r="L5993" s="142">
        <v>0</v>
      </c>
      <c r="M5993" s="142">
        <v>20</v>
      </c>
    </row>
    <row r="5994" spans="1:13" x14ac:dyDescent="0.45">
      <c r="A5994" s="142" t="s">
        <v>13248</v>
      </c>
      <c r="B5994" s="142" t="s">
        <v>15463</v>
      </c>
      <c r="C5994" s="142" t="s">
        <v>15847</v>
      </c>
      <c r="D5994" s="142" t="s">
        <v>15848</v>
      </c>
      <c r="E5994" s="142" t="s">
        <v>15849</v>
      </c>
      <c r="F5994" s="142" t="s">
        <v>6622</v>
      </c>
      <c r="G5994" s="142" t="s">
        <v>6621</v>
      </c>
      <c r="H5994" s="142" t="s">
        <v>21844</v>
      </c>
      <c r="I5994" s="142">
        <v>328</v>
      </c>
      <c r="J5994" s="142">
        <v>236</v>
      </c>
      <c r="K5994" s="142">
        <v>0</v>
      </c>
      <c r="L5994" s="142">
        <v>0</v>
      </c>
      <c r="M5994" s="142">
        <v>92</v>
      </c>
    </row>
    <row r="5995" spans="1:13" x14ac:dyDescent="0.45">
      <c r="A5995" s="142" t="s">
        <v>13030</v>
      </c>
      <c r="B5995" s="142" t="s">
        <v>14572</v>
      </c>
      <c r="C5995" s="142" t="s">
        <v>15847</v>
      </c>
      <c r="D5995" s="142" t="s">
        <v>15848</v>
      </c>
      <c r="E5995" s="142" t="s">
        <v>15849</v>
      </c>
      <c r="F5995" s="142" t="s">
        <v>6622</v>
      </c>
      <c r="G5995" s="142" t="s">
        <v>6621</v>
      </c>
      <c r="H5995" s="142" t="s">
        <v>21845</v>
      </c>
      <c r="I5995" s="142">
        <v>160</v>
      </c>
      <c r="J5995" s="142">
        <v>112</v>
      </c>
      <c r="K5995" s="142">
        <v>0</v>
      </c>
      <c r="L5995" s="142">
        <v>2</v>
      </c>
      <c r="M5995" s="142">
        <v>46</v>
      </c>
    </row>
    <row r="5996" spans="1:13" x14ac:dyDescent="0.45">
      <c r="A5996" s="142" t="s">
        <v>13055</v>
      </c>
      <c r="B5996" s="142" t="s">
        <v>14595</v>
      </c>
      <c r="C5996" s="142" t="s">
        <v>15847</v>
      </c>
      <c r="D5996" s="142" t="s">
        <v>15848</v>
      </c>
      <c r="E5996" s="142" t="s">
        <v>15849</v>
      </c>
      <c r="F5996" s="142" t="s">
        <v>6622</v>
      </c>
      <c r="G5996" s="142" t="s">
        <v>6621</v>
      </c>
      <c r="H5996" s="142" t="s">
        <v>21846</v>
      </c>
      <c r="I5996" s="142">
        <v>31</v>
      </c>
      <c r="J5996" s="142">
        <v>31</v>
      </c>
      <c r="K5996" s="142">
        <v>0</v>
      </c>
      <c r="L5996" s="142">
        <v>0</v>
      </c>
      <c r="M5996" s="142">
        <v>0</v>
      </c>
    </row>
    <row r="5997" spans="1:13" x14ac:dyDescent="0.45">
      <c r="A5997" s="142" t="s">
        <v>13033</v>
      </c>
      <c r="B5997" s="142" t="s">
        <v>15276</v>
      </c>
      <c r="C5997" s="142" t="s">
        <v>15847</v>
      </c>
      <c r="D5997" s="142" t="s">
        <v>15848</v>
      </c>
      <c r="E5997" s="142" t="s">
        <v>15849</v>
      </c>
      <c r="F5997" s="142" t="s">
        <v>6622</v>
      </c>
      <c r="G5997" s="142" t="s">
        <v>6621</v>
      </c>
      <c r="H5997" s="142" t="s">
        <v>21847</v>
      </c>
      <c r="I5997" s="142">
        <v>2</v>
      </c>
      <c r="J5997" s="142">
        <v>0</v>
      </c>
      <c r="K5997" s="142">
        <v>0</v>
      </c>
      <c r="L5997" s="142">
        <v>0</v>
      </c>
      <c r="M5997" s="142">
        <v>2</v>
      </c>
    </row>
    <row r="5998" spans="1:13" x14ac:dyDescent="0.45">
      <c r="A5998" s="142" t="s">
        <v>13034</v>
      </c>
      <c r="B5998" s="142" t="s">
        <v>15562</v>
      </c>
      <c r="C5998" s="142" t="s">
        <v>15847</v>
      </c>
      <c r="D5998" s="142" t="s">
        <v>15848</v>
      </c>
      <c r="E5998" s="142" t="s">
        <v>15849</v>
      </c>
      <c r="F5998" s="142" t="s">
        <v>6622</v>
      </c>
      <c r="G5998" s="142" t="s">
        <v>6621</v>
      </c>
      <c r="H5998" s="142" t="s">
        <v>21848</v>
      </c>
      <c r="I5998" s="142">
        <v>81</v>
      </c>
      <c r="J5998" s="142">
        <v>79</v>
      </c>
      <c r="K5998" s="142">
        <v>0</v>
      </c>
      <c r="L5998" s="142">
        <v>1</v>
      </c>
      <c r="M5998" s="142">
        <v>1</v>
      </c>
    </row>
    <row r="5999" spans="1:13" x14ac:dyDescent="0.45">
      <c r="A5999" s="142" t="s">
        <v>13035</v>
      </c>
      <c r="B5999" s="142" t="s">
        <v>14648</v>
      </c>
      <c r="C5999" s="142" t="s">
        <v>15847</v>
      </c>
      <c r="D5999" s="142" t="s">
        <v>15848</v>
      </c>
      <c r="E5999" s="142" t="s">
        <v>15849</v>
      </c>
      <c r="F5999" s="142" t="s">
        <v>6622</v>
      </c>
      <c r="G5999" s="142" t="s">
        <v>6621</v>
      </c>
      <c r="H5999" s="142" t="s">
        <v>21849</v>
      </c>
      <c r="I5999" s="142">
        <v>234</v>
      </c>
      <c r="J5999" s="142">
        <v>178</v>
      </c>
      <c r="K5999" s="142">
        <v>0</v>
      </c>
      <c r="L5999" s="142">
        <v>0</v>
      </c>
      <c r="M5999" s="142">
        <v>56</v>
      </c>
    </row>
    <row r="6000" spans="1:13" x14ac:dyDescent="0.45">
      <c r="A6000" s="142" t="s">
        <v>13036</v>
      </c>
      <c r="B6000" s="142" t="s">
        <v>15567</v>
      </c>
      <c r="C6000" s="142" t="s">
        <v>15847</v>
      </c>
      <c r="D6000" s="142" t="s">
        <v>15848</v>
      </c>
      <c r="E6000" s="142" t="s">
        <v>15849</v>
      </c>
      <c r="F6000" s="142" t="s">
        <v>6622</v>
      </c>
      <c r="G6000" s="142" t="s">
        <v>6621</v>
      </c>
      <c r="H6000" s="142" t="s">
        <v>21850</v>
      </c>
      <c r="I6000" s="142">
        <v>4</v>
      </c>
      <c r="J6000" s="142">
        <v>0</v>
      </c>
      <c r="K6000" s="142">
        <v>0</v>
      </c>
      <c r="L6000" s="142">
        <v>4</v>
      </c>
      <c r="M6000" s="142">
        <v>0</v>
      </c>
    </row>
    <row r="6001" spans="1:13" x14ac:dyDescent="0.45">
      <c r="A6001" s="142" t="s">
        <v>13091</v>
      </c>
      <c r="B6001" s="142" t="s">
        <v>14473</v>
      </c>
      <c r="C6001" s="142" t="s">
        <v>15847</v>
      </c>
      <c r="D6001" s="142" t="s">
        <v>15848</v>
      </c>
      <c r="E6001" s="142" t="s">
        <v>15849</v>
      </c>
      <c r="F6001" s="142" t="s">
        <v>6622</v>
      </c>
      <c r="G6001" s="142" t="s">
        <v>6621</v>
      </c>
      <c r="H6001" s="142" t="s">
        <v>21851</v>
      </c>
      <c r="I6001" s="142">
        <v>26</v>
      </c>
      <c r="J6001" s="142">
        <v>22</v>
      </c>
      <c r="K6001" s="142">
        <v>0</v>
      </c>
      <c r="L6001" s="142">
        <v>0</v>
      </c>
      <c r="M6001" s="142">
        <v>4</v>
      </c>
    </row>
    <row r="6002" spans="1:13" x14ac:dyDescent="0.45">
      <c r="A6002" s="142" t="s">
        <v>13009</v>
      </c>
      <c r="B6002" s="142" t="s">
        <v>15256</v>
      </c>
      <c r="C6002" s="142" t="s">
        <v>15847</v>
      </c>
      <c r="D6002" s="142" t="s">
        <v>15848</v>
      </c>
      <c r="E6002" s="142" t="s">
        <v>15849</v>
      </c>
      <c r="F6002" s="142" t="s">
        <v>6622</v>
      </c>
      <c r="G6002" s="142" t="s">
        <v>6621</v>
      </c>
      <c r="H6002" s="142" t="s">
        <v>21852</v>
      </c>
      <c r="I6002" s="142">
        <v>183</v>
      </c>
      <c r="J6002" s="142">
        <v>183</v>
      </c>
      <c r="K6002" s="142">
        <v>0</v>
      </c>
      <c r="L6002" s="142">
        <v>0</v>
      </c>
      <c r="M6002" s="142">
        <v>0</v>
      </c>
    </row>
    <row r="6003" spans="1:13" x14ac:dyDescent="0.45">
      <c r="A6003" s="142" t="s">
        <v>13012</v>
      </c>
      <c r="B6003" s="142" t="s">
        <v>15337</v>
      </c>
      <c r="C6003" s="142" t="s">
        <v>15847</v>
      </c>
      <c r="D6003" s="142" t="s">
        <v>15848</v>
      </c>
      <c r="E6003" s="142" t="s">
        <v>15849</v>
      </c>
      <c r="F6003" s="142" t="s">
        <v>6622</v>
      </c>
      <c r="G6003" s="142" t="s">
        <v>6621</v>
      </c>
      <c r="H6003" s="142" t="s">
        <v>21853</v>
      </c>
      <c r="I6003" s="142">
        <v>25</v>
      </c>
      <c r="J6003" s="142">
        <v>22</v>
      </c>
      <c r="K6003" s="142">
        <v>0</v>
      </c>
      <c r="L6003" s="142">
        <v>0</v>
      </c>
      <c r="M6003" s="142">
        <v>3</v>
      </c>
    </row>
    <row r="6004" spans="1:13" x14ac:dyDescent="0.45">
      <c r="A6004" s="142" t="s">
        <v>13467</v>
      </c>
      <c r="B6004" s="142" t="s">
        <v>14585</v>
      </c>
      <c r="C6004" s="142" t="s">
        <v>15860</v>
      </c>
      <c r="D6004" s="142" t="s">
        <v>15861</v>
      </c>
      <c r="E6004" s="142" t="s">
        <v>15849</v>
      </c>
      <c r="F6004" s="142" t="s">
        <v>6622</v>
      </c>
      <c r="G6004" s="142" t="s">
        <v>6621</v>
      </c>
      <c r="H6004" s="142" t="s">
        <v>21854</v>
      </c>
      <c r="I6004" s="142">
        <v>6</v>
      </c>
      <c r="J6004" s="142">
        <v>0</v>
      </c>
      <c r="K6004" s="142">
        <v>0</v>
      </c>
      <c r="L6004" s="142">
        <v>6</v>
      </c>
      <c r="M6004" s="142">
        <v>0</v>
      </c>
    </row>
    <row r="6005" spans="1:13" x14ac:dyDescent="0.45">
      <c r="A6005" s="142" t="s">
        <v>13042</v>
      </c>
      <c r="B6005" s="142" t="s">
        <v>15489</v>
      </c>
      <c r="C6005" s="142" t="s">
        <v>15847</v>
      </c>
      <c r="D6005" s="142" t="s">
        <v>15848</v>
      </c>
      <c r="E6005" s="142" t="s">
        <v>15849</v>
      </c>
      <c r="F6005" s="142" t="s">
        <v>6622</v>
      </c>
      <c r="G6005" s="142" t="s">
        <v>6621</v>
      </c>
      <c r="H6005" s="142" t="s">
        <v>21855</v>
      </c>
      <c r="I6005" s="142">
        <v>176</v>
      </c>
      <c r="J6005" s="142">
        <v>126</v>
      </c>
      <c r="K6005" s="142">
        <v>0</v>
      </c>
      <c r="L6005" s="142">
        <v>0</v>
      </c>
      <c r="M6005" s="142">
        <v>50</v>
      </c>
    </row>
    <row r="6006" spans="1:13" x14ac:dyDescent="0.45">
      <c r="A6006" s="142" t="s">
        <v>13608</v>
      </c>
      <c r="B6006" s="142" t="s">
        <v>15437</v>
      </c>
      <c r="C6006" s="142" t="s">
        <v>15847</v>
      </c>
      <c r="D6006" s="142" t="s">
        <v>15848</v>
      </c>
      <c r="E6006" s="142" t="s">
        <v>15849</v>
      </c>
      <c r="F6006" s="142" t="s">
        <v>6622</v>
      </c>
      <c r="G6006" s="142" t="s">
        <v>6621</v>
      </c>
      <c r="H6006" s="142" t="s">
        <v>21856</v>
      </c>
      <c r="I6006" s="142">
        <v>70</v>
      </c>
      <c r="J6006" s="142">
        <v>55</v>
      </c>
      <c r="K6006" s="142">
        <v>0</v>
      </c>
      <c r="L6006" s="142">
        <v>0</v>
      </c>
      <c r="M6006" s="142">
        <v>15</v>
      </c>
    </row>
    <row r="6007" spans="1:13" x14ac:dyDescent="0.45">
      <c r="A6007" s="142" t="s">
        <v>13264</v>
      </c>
      <c r="B6007" s="142" t="s">
        <v>15302</v>
      </c>
      <c r="C6007" s="142" t="s">
        <v>15847</v>
      </c>
      <c r="D6007" s="142" t="s">
        <v>15848</v>
      </c>
      <c r="E6007" s="142" t="s">
        <v>15849</v>
      </c>
      <c r="F6007" s="142" t="s">
        <v>6622</v>
      </c>
      <c r="G6007" s="142" t="s">
        <v>6621</v>
      </c>
      <c r="H6007" s="142" t="s">
        <v>21857</v>
      </c>
      <c r="I6007" s="142">
        <v>27</v>
      </c>
      <c r="J6007" s="142">
        <v>21</v>
      </c>
      <c r="K6007" s="142">
        <v>0</v>
      </c>
      <c r="L6007" s="142">
        <v>0</v>
      </c>
      <c r="M6007" s="142">
        <v>6</v>
      </c>
    </row>
    <row r="6008" spans="1:13" x14ac:dyDescent="0.45">
      <c r="A6008" s="142" t="s">
        <v>13146</v>
      </c>
      <c r="B6008" s="142" t="s">
        <v>15310</v>
      </c>
      <c r="C6008" s="142" t="s">
        <v>15847</v>
      </c>
      <c r="D6008" s="142" t="s">
        <v>15848</v>
      </c>
      <c r="E6008" s="142" t="s">
        <v>15849</v>
      </c>
      <c r="F6008" s="142" t="s">
        <v>2840</v>
      </c>
      <c r="G6008" s="142" t="s">
        <v>2839</v>
      </c>
      <c r="H6008" s="142" t="s">
        <v>21858</v>
      </c>
      <c r="I6008" s="142">
        <v>293</v>
      </c>
      <c r="J6008" s="142">
        <v>176</v>
      </c>
      <c r="K6008" s="142">
        <v>0</v>
      </c>
      <c r="L6008" s="142">
        <v>85</v>
      </c>
      <c r="M6008" s="142">
        <v>32</v>
      </c>
    </row>
    <row r="6009" spans="1:13" x14ac:dyDescent="0.45">
      <c r="A6009" s="142" t="s">
        <v>13072</v>
      </c>
      <c r="B6009" s="142" t="s">
        <v>15530</v>
      </c>
      <c r="C6009" s="142" t="s">
        <v>15847</v>
      </c>
      <c r="D6009" s="142" t="s">
        <v>15848</v>
      </c>
      <c r="E6009" s="142" t="s">
        <v>15849</v>
      </c>
      <c r="F6009" s="142" t="s">
        <v>2840</v>
      </c>
      <c r="G6009" s="142" t="s">
        <v>2839</v>
      </c>
      <c r="H6009" s="142" t="s">
        <v>21859</v>
      </c>
      <c r="I6009" s="142">
        <v>679</v>
      </c>
      <c r="J6009" s="142">
        <v>472</v>
      </c>
      <c r="K6009" s="142">
        <v>0</v>
      </c>
      <c r="L6009" s="142">
        <v>27</v>
      </c>
      <c r="M6009" s="142">
        <v>180</v>
      </c>
    </row>
    <row r="6010" spans="1:13" x14ac:dyDescent="0.45">
      <c r="A6010" s="142" t="s">
        <v>13023</v>
      </c>
      <c r="B6010" s="142" t="s">
        <v>15571</v>
      </c>
      <c r="C6010" s="142" t="s">
        <v>15847</v>
      </c>
      <c r="D6010" s="142" t="s">
        <v>15848</v>
      </c>
      <c r="E6010" s="142" t="s">
        <v>15849</v>
      </c>
      <c r="F6010" s="142" t="s">
        <v>2840</v>
      </c>
      <c r="G6010" s="142" t="s">
        <v>2839</v>
      </c>
      <c r="H6010" s="142" t="s">
        <v>21860</v>
      </c>
      <c r="I6010" s="142">
        <v>733</v>
      </c>
      <c r="J6010" s="142">
        <v>0</v>
      </c>
      <c r="K6010" s="142">
        <v>0</v>
      </c>
      <c r="L6010" s="142">
        <v>718</v>
      </c>
      <c r="M6010" s="142">
        <v>15</v>
      </c>
    </row>
    <row r="6011" spans="1:13" x14ac:dyDescent="0.45">
      <c r="A6011" s="142" t="s">
        <v>13065</v>
      </c>
      <c r="B6011" s="142" t="s">
        <v>14497</v>
      </c>
      <c r="C6011" s="142" t="s">
        <v>15847</v>
      </c>
      <c r="D6011" s="142" t="s">
        <v>15848</v>
      </c>
      <c r="E6011" s="142" t="s">
        <v>15849</v>
      </c>
      <c r="F6011" s="142" t="s">
        <v>2840</v>
      </c>
      <c r="G6011" s="142" t="s">
        <v>2839</v>
      </c>
      <c r="H6011" s="142" t="s">
        <v>21861</v>
      </c>
      <c r="I6011" s="142">
        <v>65</v>
      </c>
      <c r="J6011" s="142">
        <v>0</v>
      </c>
      <c r="K6011" s="142">
        <v>0</v>
      </c>
      <c r="L6011" s="142">
        <v>65</v>
      </c>
      <c r="M6011" s="142">
        <v>0</v>
      </c>
    </row>
    <row r="6012" spans="1:13" x14ac:dyDescent="0.45">
      <c r="A6012" s="142" t="s">
        <v>13594</v>
      </c>
      <c r="B6012" s="142" t="s">
        <v>15597</v>
      </c>
      <c r="C6012" s="142" t="s">
        <v>15847</v>
      </c>
      <c r="D6012" s="142" t="s">
        <v>15848</v>
      </c>
      <c r="E6012" s="142" t="s">
        <v>15849</v>
      </c>
      <c r="F6012" s="142" t="s">
        <v>2840</v>
      </c>
      <c r="G6012" s="142" t="s">
        <v>2839</v>
      </c>
      <c r="H6012" s="142" t="s">
        <v>21862</v>
      </c>
      <c r="I6012" s="142">
        <v>4723</v>
      </c>
      <c r="J6012" s="142">
        <v>4382</v>
      </c>
      <c r="K6012" s="142">
        <v>0</v>
      </c>
      <c r="L6012" s="142">
        <v>218</v>
      </c>
      <c r="M6012" s="142">
        <v>123</v>
      </c>
    </row>
    <row r="6013" spans="1:13" x14ac:dyDescent="0.45">
      <c r="A6013" s="142" t="s">
        <v>13288</v>
      </c>
      <c r="B6013" s="142" t="s">
        <v>14444</v>
      </c>
      <c r="C6013" s="142" t="s">
        <v>15860</v>
      </c>
      <c r="D6013" s="142" t="s">
        <v>15861</v>
      </c>
      <c r="E6013" s="142" t="s">
        <v>15849</v>
      </c>
      <c r="F6013" s="142" t="s">
        <v>2840</v>
      </c>
      <c r="G6013" s="142" t="s">
        <v>2839</v>
      </c>
      <c r="H6013" s="142" t="s">
        <v>21863</v>
      </c>
      <c r="I6013" s="142">
        <v>14</v>
      </c>
      <c r="J6013" s="142">
        <v>0</v>
      </c>
      <c r="K6013" s="142">
        <v>0</v>
      </c>
      <c r="L6013" s="142">
        <v>14</v>
      </c>
      <c r="M6013" s="142">
        <v>0</v>
      </c>
    </row>
    <row r="6014" spans="1:13" x14ac:dyDescent="0.45">
      <c r="A6014" s="142" t="s">
        <v>13595</v>
      </c>
      <c r="B6014" s="142" t="s">
        <v>15566</v>
      </c>
      <c r="C6014" s="142" t="s">
        <v>15847</v>
      </c>
      <c r="D6014" s="142" t="s">
        <v>15848</v>
      </c>
      <c r="E6014" s="142" t="s">
        <v>15849</v>
      </c>
      <c r="F6014" s="142" t="s">
        <v>2840</v>
      </c>
      <c r="G6014" s="142" t="s">
        <v>2839</v>
      </c>
      <c r="H6014" s="142" t="s">
        <v>21864</v>
      </c>
      <c r="I6014" s="142">
        <v>6623</v>
      </c>
      <c r="J6014" s="142">
        <v>5950</v>
      </c>
      <c r="K6014" s="142">
        <v>8</v>
      </c>
      <c r="L6014" s="142">
        <v>336</v>
      </c>
      <c r="M6014" s="142">
        <v>329</v>
      </c>
    </row>
    <row r="6015" spans="1:13" x14ac:dyDescent="0.45">
      <c r="A6015" s="142" t="s">
        <v>14061</v>
      </c>
      <c r="B6015" s="142" t="s">
        <v>14846</v>
      </c>
      <c r="C6015" s="142" t="s">
        <v>15860</v>
      </c>
      <c r="D6015" s="142" t="s">
        <v>15861</v>
      </c>
      <c r="E6015" s="142" t="s">
        <v>15849</v>
      </c>
      <c r="F6015" s="142" t="s">
        <v>2840</v>
      </c>
      <c r="G6015" s="142" t="s">
        <v>2839</v>
      </c>
      <c r="H6015" s="142" t="s">
        <v>21865</v>
      </c>
      <c r="I6015" s="142">
        <v>6</v>
      </c>
      <c r="J6015" s="142">
        <v>0</v>
      </c>
      <c r="K6015" s="142">
        <v>0</v>
      </c>
      <c r="L6015" s="142">
        <v>6</v>
      </c>
      <c r="M6015" s="142">
        <v>0</v>
      </c>
    </row>
    <row r="6016" spans="1:13" x14ac:dyDescent="0.45">
      <c r="A6016" s="142" t="s">
        <v>13549</v>
      </c>
      <c r="B6016" s="142" t="s">
        <v>14603</v>
      </c>
      <c r="C6016" s="142" t="s">
        <v>15847</v>
      </c>
      <c r="D6016" s="142" t="s">
        <v>15848</v>
      </c>
      <c r="E6016" s="142" t="s">
        <v>15849</v>
      </c>
      <c r="F6016" s="142" t="s">
        <v>2840</v>
      </c>
      <c r="G6016" s="142" t="s">
        <v>2839</v>
      </c>
      <c r="H6016" s="142" t="s">
        <v>21866</v>
      </c>
      <c r="I6016" s="142">
        <v>4</v>
      </c>
      <c r="J6016" s="142">
        <v>4</v>
      </c>
      <c r="K6016" s="142">
        <v>0</v>
      </c>
      <c r="L6016" s="142">
        <v>0</v>
      </c>
      <c r="M6016" s="142">
        <v>0</v>
      </c>
    </row>
    <row r="6017" spans="1:13" x14ac:dyDescent="0.45">
      <c r="A6017" s="142" t="s">
        <v>13320</v>
      </c>
      <c r="B6017" s="142" t="s">
        <v>14575</v>
      </c>
      <c r="C6017" s="142" t="s">
        <v>15860</v>
      </c>
      <c r="D6017" s="142" t="s">
        <v>15861</v>
      </c>
      <c r="E6017" s="142" t="s">
        <v>15849</v>
      </c>
      <c r="F6017" s="142" t="s">
        <v>2840</v>
      </c>
      <c r="G6017" s="142" t="s">
        <v>2839</v>
      </c>
      <c r="H6017" s="142" t="s">
        <v>21867</v>
      </c>
      <c r="I6017" s="142">
        <v>34</v>
      </c>
      <c r="J6017" s="142">
        <v>0</v>
      </c>
      <c r="K6017" s="142">
        <v>0</v>
      </c>
      <c r="L6017" s="142">
        <v>34</v>
      </c>
      <c r="M6017" s="142">
        <v>0</v>
      </c>
    </row>
    <row r="6018" spans="1:13" x14ac:dyDescent="0.45">
      <c r="A6018" s="142" t="s">
        <v>13159</v>
      </c>
      <c r="B6018" s="142" t="s">
        <v>14521</v>
      </c>
      <c r="C6018" s="142" t="s">
        <v>15860</v>
      </c>
      <c r="D6018" s="142" t="s">
        <v>15861</v>
      </c>
      <c r="E6018" s="142" t="s">
        <v>15849</v>
      </c>
      <c r="F6018" s="142" t="s">
        <v>2840</v>
      </c>
      <c r="G6018" s="142" t="s">
        <v>2839</v>
      </c>
      <c r="H6018" s="142" t="s">
        <v>21868</v>
      </c>
      <c r="I6018" s="142">
        <v>4</v>
      </c>
      <c r="J6018" s="142">
        <v>0</v>
      </c>
      <c r="K6018" s="142">
        <v>0</v>
      </c>
      <c r="L6018" s="142">
        <v>4</v>
      </c>
      <c r="M6018" s="142">
        <v>0</v>
      </c>
    </row>
    <row r="6019" spans="1:13" x14ac:dyDescent="0.45">
      <c r="A6019" s="142" t="s">
        <v>13119</v>
      </c>
      <c r="B6019" s="142" t="s">
        <v>14451</v>
      </c>
      <c r="C6019" s="142" t="s">
        <v>15860</v>
      </c>
      <c r="D6019" s="142" t="s">
        <v>15861</v>
      </c>
      <c r="E6019" s="142" t="s">
        <v>15849</v>
      </c>
      <c r="F6019" s="142" t="s">
        <v>2840</v>
      </c>
      <c r="G6019" s="142" t="s">
        <v>2839</v>
      </c>
      <c r="H6019" s="142" t="s">
        <v>21869</v>
      </c>
      <c r="I6019" s="142">
        <v>30</v>
      </c>
      <c r="J6019" s="142">
        <v>0</v>
      </c>
      <c r="K6019" s="142">
        <v>0</v>
      </c>
      <c r="L6019" s="142">
        <v>30</v>
      </c>
      <c r="M6019" s="142">
        <v>0</v>
      </c>
    </row>
    <row r="6020" spans="1:13" x14ac:dyDescent="0.45">
      <c r="A6020" s="142" t="s">
        <v>13024</v>
      </c>
      <c r="B6020" s="142" t="s">
        <v>14538</v>
      </c>
      <c r="C6020" s="142" t="s">
        <v>15847</v>
      </c>
      <c r="D6020" s="142" t="s">
        <v>15848</v>
      </c>
      <c r="E6020" s="142" t="s">
        <v>15849</v>
      </c>
      <c r="F6020" s="142" t="s">
        <v>2840</v>
      </c>
      <c r="G6020" s="142" t="s">
        <v>2839</v>
      </c>
      <c r="H6020" s="142" t="s">
        <v>21870</v>
      </c>
      <c r="I6020" s="142">
        <v>2</v>
      </c>
      <c r="J6020" s="142">
        <v>0</v>
      </c>
      <c r="K6020" s="142">
        <v>0</v>
      </c>
      <c r="L6020" s="142">
        <v>0</v>
      </c>
      <c r="M6020" s="142">
        <v>2</v>
      </c>
    </row>
    <row r="6021" spans="1:13" x14ac:dyDescent="0.45">
      <c r="A6021" s="142" t="s">
        <v>13099</v>
      </c>
      <c r="B6021" s="142" t="s">
        <v>14547</v>
      </c>
      <c r="C6021" s="142" t="s">
        <v>15860</v>
      </c>
      <c r="D6021" s="142" t="s">
        <v>15861</v>
      </c>
      <c r="E6021" s="142" t="s">
        <v>15849</v>
      </c>
      <c r="F6021" s="142" t="s">
        <v>2840</v>
      </c>
      <c r="G6021" s="142" t="s">
        <v>2839</v>
      </c>
      <c r="H6021" s="142" t="s">
        <v>21871</v>
      </c>
      <c r="I6021" s="142">
        <v>4</v>
      </c>
      <c r="J6021" s="142">
        <v>0</v>
      </c>
      <c r="K6021" s="142">
        <v>0</v>
      </c>
      <c r="L6021" s="142">
        <v>4</v>
      </c>
      <c r="M6021" s="142">
        <v>0</v>
      </c>
    </row>
    <row r="6022" spans="1:13" x14ac:dyDescent="0.45">
      <c r="A6022" s="142" t="s">
        <v>13552</v>
      </c>
      <c r="B6022" s="142" t="s">
        <v>14476</v>
      </c>
      <c r="C6022" s="142" t="s">
        <v>15860</v>
      </c>
      <c r="D6022" s="142" t="s">
        <v>15861</v>
      </c>
      <c r="E6022" s="142" t="s">
        <v>15849</v>
      </c>
      <c r="F6022" s="142" t="s">
        <v>2840</v>
      </c>
      <c r="G6022" s="142" t="s">
        <v>2839</v>
      </c>
      <c r="H6022" s="142" t="s">
        <v>21872</v>
      </c>
      <c r="I6022" s="142">
        <v>101</v>
      </c>
      <c r="J6022" s="142">
        <v>0</v>
      </c>
      <c r="K6022" s="142">
        <v>0</v>
      </c>
      <c r="L6022" s="142">
        <v>101</v>
      </c>
      <c r="M6022" s="142">
        <v>0</v>
      </c>
    </row>
    <row r="6023" spans="1:13" x14ac:dyDescent="0.45">
      <c r="A6023" s="142" t="s">
        <v>13500</v>
      </c>
      <c r="B6023" s="142" t="s">
        <v>15422</v>
      </c>
      <c r="C6023" s="142" t="s">
        <v>15847</v>
      </c>
      <c r="D6023" s="142" t="s">
        <v>15848</v>
      </c>
      <c r="E6023" s="142" t="s">
        <v>15849</v>
      </c>
      <c r="F6023" s="142" t="s">
        <v>2840</v>
      </c>
      <c r="G6023" s="142" t="s">
        <v>2839</v>
      </c>
      <c r="H6023" s="142" t="s">
        <v>21873</v>
      </c>
      <c r="I6023" s="142">
        <v>1</v>
      </c>
      <c r="J6023" s="142">
        <v>0</v>
      </c>
      <c r="K6023" s="142">
        <v>0</v>
      </c>
      <c r="L6023" s="142">
        <v>0</v>
      </c>
      <c r="M6023" s="142">
        <v>1</v>
      </c>
    </row>
    <row r="6024" spans="1:13" x14ac:dyDescent="0.45">
      <c r="A6024" s="142" t="s">
        <v>13027</v>
      </c>
      <c r="B6024" s="142" t="s">
        <v>14562</v>
      </c>
      <c r="C6024" s="142" t="s">
        <v>15847</v>
      </c>
      <c r="D6024" s="142" t="s">
        <v>15848</v>
      </c>
      <c r="E6024" s="142" t="s">
        <v>15849</v>
      </c>
      <c r="F6024" s="142" t="s">
        <v>2840</v>
      </c>
      <c r="G6024" s="142" t="s">
        <v>2839</v>
      </c>
      <c r="H6024" s="142" t="s">
        <v>21874</v>
      </c>
      <c r="I6024" s="142">
        <v>90</v>
      </c>
      <c r="J6024" s="142">
        <v>0</v>
      </c>
      <c r="K6024" s="142">
        <v>0</v>
      </c>
      <c r="L6024" s="142">
        <v>90</v>
      </c>
      <c r="M6024" s="142">
        <v>0</v>
      </c>
    </row>
    <row r="6025" spans="1:13" x14ac:dyDescent="0.45">
      <c r="A6025" s="142" t="s">
        <v>14062</v>
      </c>
      <c r="B6025" s="142" t="s">
        <v>15309</v>
      </c>
      <c r="C6025" s="142" t="s">
        <v>15860</v>
      </c>
      <c r="D6025" s="142" t="s">
        <v>15861</v>
      </c>
      <c r="E6025" s="142" t="s">
        <v>15849</v>
      </c>
      <c r="F6025" s="142" t="s">
        <v>2840</v>
      </c>
      <c r="G6025" s="142" t="s">
        <v>2839</v>
      </c>
      <c r="H6025" s="142" t="s">
        <v>21875</v>
      </c>
      <c r="I6025" s="142">
        <v>33</v>
      </c>
      <c r="J6025" s="142">
        <v>33</v>
      </c>
      <c r="K6025" s="142">
        <v>0</v>
      </c>
      <c r="L6025" s="142">
        <v>0</v>
      </c>
      <c r="M6025" s="142">
        <v>0</v>
      </c>
    </row>
    <row r="6026" spans="1:13" x14ac:dyDescent="0.45">
      <c r="A6026" s="142" t="s">
        <v>14063</v>
      </c>
      <c r="B6026" s="142" t="s">
        <v>15363</v>
      </c>
      <c r="C6026" s="142" t="s">
        <v>15860</v>
      </c>
      <c r="D6026" s="142" t="s">
        <v>15861</v>
      </c>
      <c r="E6026" s="142" t="s">
        <v>15849</v>
      </c>
      <c r="F6026" s="142" t="s">
        <v>2840</v>
      </c>
      <c r="G6026" s="142" t="s">
        <v>2839</v>
      </c>
      <c r="H6026" s="142" t="s">
        <v>21876</v>
      </c>
      <c r="I6026" s="142">
        <v>248</v>
      </c>
      <c r="J6026" s="142">
        <v>236</v>
      </c>
      <c r="K6026" s="142">
        <v>0</v>
      </c>
      <c r="L6026" s="142">
        <v>12</v>
      </c>
      <c r="M6026" s="142">
        <v>0</v>
      </c>
    </row>
    <row r="6027" spans="1:13" x14ac:dyDescent="0.45">
      <c r="A6027" s="142" t="s">
        <v>14064</v>
      </c>
      <c r="B6027" s="142" t="s">
        <v>15154</v>
      </c>
      <c r="C6027" s="142" t="s">
        <v>15860</v>
      </c>
      <c r="D6027" s="142" t="s">
        <v>15861</v>
      </c>
      <c r="E6027" s="142" t="s">
        <v>15849</v>
      </c>
      <c r="F6027" s="142" t="s">
        <v>2840</v>
      </c>
      <c r="G6027" s="142" t="s">
        <v>2839</v>
      </c>
      <c r="H6027" s="142" t="s">
        <v>21877</v>
      </c>
      <c r="I6027" s="142">
        <v>55</v>
      </c>
      <c r="J6027" s="142">
        <v>0</v>
      </c>
      <c r="K6027" s="142">
        <v>0</v>
      </c>
      <c r="L6027" s="142">
        <v>55</v>
      </c>
      <c r="M6027" s="142">
        <v>0</v>
      </c>
    </row>
    <row r="6028" spans="1:13" x14ac:dyDescent="0.45">
      <c r="A6028" s="142" t="s">
        <v>13028</v>
      </c>
      <c r="B6028" s="142" t="s">
        <v>14462</v>
      </c>
      <c r="C6028" s="142" t="s">
        <v>15847</v>
      </c>
      <c r="D6028" s="142" t="s">
        <v>15848</v>
      </c>
      <c r="E6028" s="142" t="s">
        <v>15849</v>
      </c>
      <c r="F6028" s="142" t="s">
        <v>2840</v>
      </c>
      <c r="G6028" s="142" t="s">
        <v>2839</v>
      </c>
      <c r="H6028" s="142" t="s">
        <v>21878</v>
      </c>
      <c r="I6028" s="142">
        <v>325</v>
      </c>
      <c r="J6028" s="142">
        <v>0</v>
      </c>
      <c r="K6028" s="142">
        <v>0</v>
      </c>
      <c r="L6028" s="142">
        <v>0</v>
      </c>
      <c r="M6028" s="142">
        <v>325</v>
      </c>
    </row>
    <row r="6029" spans="1:13" x14ac:dyDescent="0.45">
      <c r="A6029" s="142" t="s">
        <v>13150</v>
      </c>
      <c r="B6029" s="142" t="s">
        <v>14539</v>
      </c>
      <c r="C6029" s="142" t="s">
        <v>15860</v>
      </c>
      <c r="D6029" s="142" t="s">
        <v>15861</v>
      </c>
      <c r="E6029" s="142" t="s">
        <v>15849</v>
      </c>
      <c r="F6029" s="142" t="s">
        <v>2840</v>
      </c>
      <c r="G6029" s="142" t="s">
        <v>2839</v>
      </c>
      <c r="H6029" s="142" t="s">
        <v>21879</v>
      </c>
      <c r="I6029" s="142">
        <v>23</v>
      </c>
      <c r="J6029" s="142">
        <v>0</v>
      </c>
      <c r="K6029" s="142">
        <v>0</v>
      </c>
      <c r="L6029" s="142">
        <v>23</v>
      </c>
      <c r="M6029" s="142">
        <v>0</v>
      </c>
    </row>
    <row r="6030" spans="1:13" x14ac:dyDescent="0.45">
      <c r="A6030" s="142" t="s">
        <v>13160</v>
      </c>
      <c r="B6030" s="142" t="s">
        <v>14525</v>
      </c>
      <c r="C6030" s="142" t="s">
        <v>15847</v>
      </c>
      <c r="D6030" s="142" t="s">
        <v>15848</v>
      </c>
      <c r="E6030" s="142" t="s">
        <v>15849</v>
      </c>
      <c r="F6030" s="142" t="s">
        <v>2840</v>
      </c>
      <c r="G6030" s="142" t="s">
        <v>2839</v>
      </c>
      <c r="H6030" s="142" t="s">
        <v>21880</v>
      </c>
      <c r="I6030" s="142">
        <v>17</v>
      </c>
      <c r="J6030" s="142">
        <v>0</v>
      </c>
      <c r="K6030" s="142">
        <v>0</v>
      </c>
      <c r="L6030" s="142">
        <v>17</v>
      </c>
      <c r="M6030" s="142">
        <v>0</v>
      </c>
    </row>
    <row r="6031" spans="1:13" x14ac:dyDescent="0.45">
      <c r="A6031" s="142" t="s">
        <v>13002</v>
      </c>
      <c r="B6031" s="142" t="s">
        <v>15376</v>
      </c>
      <c r="C6031" s="142" t="s">
        <v>15847</v>
      </c>
      <c r="D6031" s="142" t="s">
        <v>15848</v>
      </c>
      <c r="E6031" s="142" t="s">
        <v>15849</v>
      </c>
      <c r="F6031" s="142" t="s">
        <v>2840</v>
      </c>
      <c r="G6031" s="142" t="s">
        <v>2839</v>
      </c>
      <c r="H6031" s="142" t="s">
        <v>21881</v>
      </c>
      <c r="I6031" s="142">
        <v>2126</v>
      </c>
      <c r="J6031" s="142">
        <v>1707</v>
      </c>
      <c r="K6031" s="142">
        <v>0</v>
      </c>
      <c r="L6031" s="142">
        <v>112</v>
      </c>
      <c r="M6031" s="142">
        <v>307</v>
      </c>
    </row>
    <row r="6032" spans="1:13" x14ac:dyDescent="0.45">
      <c r="A6032" s="142" t="s">
        <v>13003</v>
      </c>
      <c r="B6032" s="142" t="s">
        <v>15245</v>
      </c>
      <c r="C6032" s="142" t="s">
        <v>15847</v>
      </c>
      <c r="D6032" s="142" t="s">
        <v>15848</v>
      </c>
      <c r="E6032" s="142" t="s">
        <v>15849</v>
      </c>
      <c r="F6032" s="142" t="s">
        <v>2840</v>
      </c>
      <c r="G6032" s="142" t="s">
        <v>2839</v>
      </c>
      <c r="H6032" s="142" t="s">
        <v>21882</v>
      </c>
      <c r="I6032" s="142">
        <v>532</v>
      </c>
      <c r="J6032" s="142">
        <v>0</v>
      </c>
      <c r="K6032" s="142">
        <v>0</v>
      </c>
      <c r="L6032" s="142">
        <v>334</v>
      </c>
      <c r="M6032" s="142">
        <v>198</v>
      </c>
    </row>
    <row r="6033" spans="1:13" x14ac:dyDescent="0.45">
      <c r="A6033" s="142" t="s">
        <v>13066</v>
      </c>
      <c r="B6033" s="142" t="s">
        <v>14459</v>
      </c>
      <c r="C6033" s="142" t="s">
        <v>15847</v>
      </c>
      <c r="D6033" s="142" t="s">
        <v>15848</v>
      </c>
      <c r="E6033" s="142" t="s">
        <v>15849</v>
      </c>
      <c r="F6033" s="142" t="s">
        <v>2840</v>
      </c>
      <c r="G6033" s="142" t="s">
        <v>2839</v>
      </c>
      <c r="H6033" s="142" t="s">
        <v>21883</v>
      </c>
      <c r="I6033" s="142">
        <v>8</v>
      </c>
      <c r="J6033" s="142">
        <v>3</v>
      </c>
      <c r="K6033" s="142">
        <v>0</v>
      </c>
      <c r="L6033" s="142">
        <v>5</v>
      </c>
      <c r="M6033" s="142">
        <v>0</v>
      </c>
    </row>
    <row r="6034" spans="1:13" x14ac:dyDescent="0.45">
      <c r="A6034" s="142" t="s">
        <v>13323</v>
      </c>
      <c r="B6034" s="142" t="s">
        <v>15466</v>
      </c>
      <c r="C6034" s="142" t="s">
        <v>15847</v>
      </c>
      <c r="D6034" s="142" t="s">
        <v>15848</v>
      </c>
      <c r="E6034" s="142" t="s">
        <v>15849</v>
      </c>
      <c r="F6034" s="142" t="s">
        <v>2840</v>
      </c>
      <c r="G6034" s="142" t="s">
        <v>2839</v>
      </c>
      <c r="H6034" s="142" t="s">
        <v>21884</v>
      </c>
      <c r="I6034" s="142">
        <v>105</v>
      </c>
      <c r="J6034" s="142">
        <v>81</v>
      </c>
      <c r="K6034" s="142">
        <v>0</v>
      </c>
      <c r="L6034" s="142">
        <v>4</v>
      </c>
      <c r="M6034" s="142">
        <v>20</v>
      </c>
    </row>
    <row r="6035" spans="1:13" x14ac:dyDescent="0.45">
      <c r="A6035" s="142" t="s">
        <v>13291</v>
      </c>
      <c r="B6035" s="142" t="s">
        <v>15495</v>
      </c>
      <c r="C6035" s="142" t="s">
        <v>15847</v>
      </c>
      <c r="D6035" s="142" t="s">
        <v>15848</v>
      </c>
      <c r="E6035" s="142" t="s">
        <v>15849</v>
      </c>
      <c r="F6035" s="142" t="s">
        <v>2840</v>
      </c>
      <c r="G6035" s="142" t="s">
        <v>2839</v>
      </c>
      <c r="H6035" s="142" t="s">
        <v>21885</v>
      </c>
      <c r="I6035" s="142">
        <v>35</v>
      </c>
      <c r="J6035" s="142">
        <v>19</v>
      </c>
      <c r="K6035" s="142">
        <v>0</v>
      </c>
      <c r="L6035" s="142">
        <v>0</v>
      </c>
      <c r="M6035" s="142">
        <v>16</v>
      </c>
    </row>
    <row r="6036" spans="1:13" x14ac:dyDescent="0.45">
      <c r="A6036" s="142" t="s">
        <v>14065</v>
      </c>
      <c r="B6036" s="142" t="s">
        <v>14904</v>
      </c>
      <c r="C6036" s="142" t="s">
        <v>15860</v>
      </c>
      <c r="D6036" s="142" t="s">
        <v>15861</v>
      </c>
      <c r="E6036" s="142" t="s">
        <v>15849</v>
      </c>
      <c r="F6036" s="142" t="s">
        <v>2840</v>
      </c>
      <c r="G6036" s="142" t="s">
        <v>2839</v>
      </c>
      <c r="H6036" s="142" t="s">
        <v>21886</v>
      </c>
      <c r="I6036" s="142">
        <v>4</v>
      </c>
      <c r="J6036" s="142">
        <v>4</v>
      </c>
      <c r="K6036" s="142">
        <v>0</v>
      </c>
      <c r="L6036" s="142">
        <v>0</v>
      </c>
      <c r="M6036" s="142">
        <v>0</v>
      </c>
    </row>
    <row r="6037" spans="1:13" x14ac:dyDescent="0.45">
      <c r="A6037" s="142" t="s">
        <v>13657</v>
      </c>
      <c r="B6037" s="142" t="s">
        <v>14644</v>
      </c>
      <c r="C6037" s="142" t="s">
        <v>15847</v>
      </c>
      <c r="D6037" s="142" t="s">
        <v>15848</v>
      </c>
      <c r="E6037" s="142" t="s">
        <v>15849</v>
      </c>
      <c r="F6037" s="142" t="s">
        <v>2840</v>
      </c>
      <c r="G6037" s="142" t="s">
        <v>2839</v>
      </c>
      <c r="H6037" s="142" t="s">
        <v>21887</v>
      </c>
      <c r="I6037" s="142">
        <v>268</v>
      </c>
      <c r="J6037" s="142">
        <v>57</v>
      </c>
      <c r="K6037" s="142">
        <v>0</v>
      </c>
      <c r="L6037" s="142">
        <v>45</v>
      </c>
      <c r="M6037" s="142">
        <v>166</v>
      </c>
    </row>
    <row r="6038" spans="1:13" x14ac:dyDescent="0.45">
      <c r="A6038" s="142" t="s">
        <v>13557</v>
      </c>
      <c r="B6038" s="142" t="s">
        <v>14592</v>
      </c>
      <c r="C6038" s="142" t="s">
        <v>15847</v>
      </c>
      <c r="D6038" s="142" t="s">
        <v>15848</v>
      </c>
      <c r="E6038" s="142" t="s">
        <v>15849</v>
      </c>
      <c r="F6038" s="142" t="s">
        <v>2840</v>
      </c>
      <c r="G6038" s="142" t="s">
        <v>2839</v>
      </c>
      <c r="H6038" s="142" t="s">
        <v>21888</v>
      </c>
      <c r="I6038" s="142">
        <v>564</v>
      </c>
      <c r="J6038" s="142">
        <v>443</v>
      </c>
      <c r="K6038" s="142">
        <v>0</v>
      </c>
      <c r="L6038" s="142">
        <v>0</v>
      </c>
      <c r="M6038" s="142">
        <v>121</v>
      </c>
    </row>
    <row r="6039" spans="1:13" x14ac:dyDescent="0.45">
      <c r="A6039" s="142" t="s">
        <v>14066</v>
      </c>
      <c r="B6039" s="142" t="s">
        <v>14872</v>
      </c>
      <c r="C6039" s="142" t="s">
        <v>15860</v>
      </c>
      <c r="D6039" s="142" t="s">
        <v>15861</v>
      </c>
      <c r="E6039" s="142" t="s">
        <v>15849</v>
      </c>
      <c r="F6039" s="142" t="s">
        <v>2840</v>
      </c>
      <c r="G6039" s="142" t="s">
        <v>2839</v>
      </c>
      <c r="H6039" s="142" t="s">
        <v>21889</v>
      </c>
      <c r="I6039" s="142">
        <v>12</v>
      </c>
      <c r="J6039" s="142">
        <v>0</v>
      </c>
      <c r="K6039" s="142">
        <v>0</v>
      </c>
      <c r="L6039" s="142">
        <v>12</v>
      </c>
      <c r="M6039" s="142">
        <v>0</v>
      </c>
    </row>
    <row r="6040" spans="1:13" x14ac:dyDescent="0.45">
      <c r="A6040" s="142" t="s">
        <v>13652</v>
      </c>
      <c r="B6040" s="142" t="s">
        <v>15519</v>
      </c>
      <c r="C6040" s="142" t="s">
        <v>15847</v>
      </c>
      <c r="D6040" s="142" t="s">
        <v>15848</v>
      </c>
      <c r="E6040" s="142" t="s">
        <v>15849</v>
      </c>
      <c r="F6040" s="142" t="s">
        <v>2840</v>
      </c>
      <c r="G6040" s="142" t="s">
        <v>2839</v>
      </c>
      <c r="H6040" s="142" t="s">
        <v>21890</v>
      </c>
      <c r="I6040" s="142">
        <v>637</v>
      </c>
      <c r="J6040" s="142">
        <v>509</v>
      </c>
      <c r="K6040" s="142">
        <v>0</v>
      </c>
      <c r="L6040" s="142">
        <v>27</v>
      </c>
      <c r="M6040" s="142">
        <v>101</v>
      </c>
    </row>
    <row r="6041" spans="1:13" x14ac:dyDescent="0.45">
      <c r="A6041" s="142" t="s">
        <v>13872</v>
      </c>
      <c r="B6041" s="142" t="s">
        <v>15396</v>
      </c>
      <c r="C6041" s="142" t="s">
        <v>15860</v>
      </c>
      <c r="D6041" s="142" t="s">
        <v>15861</v>
      </c>
      <c r="E6041" s="142" t="s">
        <v>15849</v>
      </c>
      <c r="F6041" s="142" t="s">
        <v>2840</v>
      </c>
      <c r="G6041" s="142" t="s">
        <v>2839</v>
      </c>
      <c r="H6041" s="142" t="s">
        <v>21891</v>
      </c>
      <c r="I6041" s="142">
        <v>31</v>
      </c>
      <c r="J6041" s="142">
        <v>31</v>
      </c>
      <c r="K6041" s="142">
        <v>0</v>
      </c>
      <c r="L6041" s="142">
        <v>0</v>
      </c>
      <c r="M6041" s="142">
        <v>0</v>
      </c>
    </row>
    <row r="6042" spans="1:13" x14ac:dyDescent="0.45">
      <c r="A6042" s="142" t="s">
        <v>13202</v>
      </c>
      <c r="B6042" s="142" t="s">
        <v>15390</v>
      </c>
      <c r="C6042" s="142" t="s">
        <v>15847</v>
      </c>
      <c r="D6042" s="142" t="s">
        <v>15848</v>
      </c>
      <c r="E6042" s="142" t="s">
        <v>15849</v>
      </c>
      <c r="F6042" s="142" t="s">
        <v>2840</v>
      </c>
      <c r="G6042" s="142" t="s">
        <v>2839</v>
      </c>
      <c r="H6042" s="142" t="s">
        <v>21892</v>
      </c>
      <c r="I6042" s="142">
        <v>4</v>
      </c>
      <c r="J6042" s="142">
        <v>4</v>
      </c>
      <c r="K6042" s="142">
        <v>0</v>
      </c>
      <c r="L6042" s="142">
        <v>0</v>
      </c>
      <c r="M6042" s="142">
        <v>0</v>
      </c>
    </row>
    <row r="6043" spans="1:13" x14ac:dyDescent="0.45">
      <c r="A6043" s="142" t="s">
        <v>13284</v>
      </c>
      <c r="B6043" s="142" t="s">
        <v>15364</v>
      </c>
      <c r="C6043" s="142" t="s">
        <v>15847</v>
      </c>
      <c r="D6043" s="142" t="s">
        <v>15848</v>
      </c>
      <c r="E6043" s="142" t="s">
        <v>15849</v>
      </c>
      <c r="F6043" s="142" t="s">
        <v>2840</v>
      </c>
      <c r="G6043" s="142" t="s">
        <v>2839</v>
      </c>
      <c r="H6043" s="142" t="s">
        <v>21893</v>
      </c>
      <c r="I6043" s="142">
        <v>169</v>
      </c>
      <c r="J6043" s="142">
        <v>164</v>
      </c>
      <c r="K6043" s="142">
        <v>0</v>
      </c>
      <c r="L6043" s="142">
        <v>0</v>
      </c>
      <c r="M6043" s="142">
        <v>5</v>
      </c>
    </row>
    <row r="6044" spans="1:13" x14ac:dyDescent="0.45">
      <c r="A6044" s="142" t="s">
        <v>13516</v>
      </c>
      <c r="B6044" s="142" t="s">
        <v>14461</v>
      </c>
      <c r="C6044" s="142" t="s">
        <v>15860</v>
      </c>
      <c r="D6044" s="142" t="s">
        <v>15861</v>
      </c>
      <c r="E6044" s="142" t="s">
        <v>15849</v>
      </c>
      <c r="F6044" s="142" t="s">
        <v>2840</v>
      </c>
      <c r="G6044" s="142" t="s">
        <v>2839</v>
      </c>
      <c r="H6044" s="142" t="s">
        <v>21894</v>
      </c>
      <c r="I6044" s="142">
        <v>3</v>
      </c>
      <c r="J6044" s="142">
        <v>0</v>
      </c>
      <c r="K6044" s="142">
        <v>0</v>
      </c>
      <c r="L6044" s="142">
        <v>3</v>
      </c>
      <c r="M6044" s="142">
        <v>0</v>
      </c>
    </row>
    <row r="6045" spans="1:13" x14ac:dyDescent="0.45">
      <c r="A6045" s="142" t="s">
        <v>13559</v>
      </c>
      <c r="B6045" s="142" t="s">
        <v>15494</v>
      </c>
      <c r="C6045" s="142" t="s">
        <v>15847</v>
      </c>
      <c r="D6045" s="142" t="s">
        <v>15848</v>
      </c>
      <c r="E6045" s="142" t="s">
        <v>15849</v>
      </c>
      <c r="F6045" s="142" t="s">
        <v>2840</v>
      </c>
      <c r="G6045" s="142" t="s">
        <v>2839</v>
      </c>
      <c r="H6045" s="142" t="s">
        <v>21895</v>
      </c>
      <c r="I6045" s="142">
        <v>114</v>
      </c>
      <c r="J6045" s="142">
        <v>108</v>
      </c>
      <c r="K6045" s="142">
        <v>0</v>
      </c>
      <c r="L6045" s="142">
        <v>6</v>
      </c>
      <c r="M6045" s="142">
        <v>0</v>
      </c>
    </row>
    <row r="6046" spans="1:13" x14ac:dyDescent="0.45">
      <c r="A6046" s="142" t="s">
        <v>13033</v>
      </c>
      <c r="B6046" s="142" t="s">
        <v>15276</v>
      </c>
      <c r="C6046" s="142" t="s">
        <v>15847</v>
      </c>
      <c r="D6046" s="142" t="s">
        <v>15848</v>
      </c>
      <c r="E6046" s="142" t="s">
        <v>15849</v>
      </c>
      <c r="F6046" s="142" t="s">
        <v>2840</v>
      </c>
      <c r="G6046" s="142" t="s">
        <v>2839</v>
      </c>
      <c r="H6046" s="142" t="s">
        <v>21896</v>
      </c>
      <c r="I6046" s="142">
        <v>271</v>
      </c>
      <c r="J6046" s="142">
        <v>264</v>
      </c>
      <c r="K6046" s="142">
        <v>0</v>
      </c>
      <c r="L6046" s="142">
        <v>0</v>
      </c>
      <c r="M6046" s="142">
        <v>7</v>
      </c>
    </row>
    <row r="6047" spans="1:13" x14ac:dyDescent="0.45">
      <c r="A6047" s="142" t="s">
        <v>13036</v>
      </c>
      <c r="B6047" s="142" t="s">
        <v>15567</v>
      </c>
      <c r="C6047" s="142" t="s">
        <v>15847</v>
      </c>
      <c r="D6047" s="142" t="s">
        <v>15848</v>
      </c>
      <c r="E6047" s="142" t="s">
        <v>15849</v>
      </c>
      <c r="F6047" s="142" t="s">
        <v>2840</v>
      </c>
      <c r="G6047" s="142" t="s">
        <v>2839</v>
      </c>
      <c r="H6047" s="142" t="s">
        <v>21897</v>
      </c>
      <c r="I6047" s="142">
        <v>100</v>
      </c>
      <c r="J6047" s="142">
        <v>52</v>
      </c>
      <c r="K6047" s="142">
        <v>0</v>
      </c>
      <c r="L6047" s="142">
        <v>29</v>
      </c>
      <c r="M6047" s="142">
        <v>19</v>
      </c>
    </row>
    <row r="6048" spans="1:13" x14ac:dyDescent="0.45">
      <c r="A6048" s="142" t="s">
        <v>13560</v>
      </c>
      <c r="B6048" s="142" t="s">
        <v>14778</v>
      </c>
      <c r="C6048" s="142" t="s">
        <v>15847</v>
      </c>
      <c r="D6048" s="142" t="s">
        <v>15848</v>
      </c>
      <c r="E6048" s="142" t="s">
        <v>15849</v>
      </c>
      <c r="F6048" s="142" t="s">
        <v>2840</v>
      </c>
      <c r="G6048" s="142" t="s">
        <v>2839</v>
      </c>
      <c r="H6048" s="142" t="s">
        <v>21898</v>
      </c>
      <c r="I6048" s="142">
        <v>25</v>
      </c>
      <c r="J6048" s="142">
        <v>21</v>
      </c>
      <c r="K6048" s="142">
        <v>0</v>
      </c>
      <c r="L6048" s="142">
        <v>4</v>
      </c>
      <c r="M6048" s="142">
        <v>0</v>
      </c>
    </row>
    <row r="6049" spans="1:13" x14ac:dyDescent="0.45">
      <c r="A6049" s="142" t="s">
        <v>13179</v>
      </c>
      <c r="B6049" s="142" t="s">
        <v>14704</v>
      </c>
      <c r="C6049" s="142" t="s">
        <v>15860</v>
      </c>
      <c r="D6049" s="142" t="s">
        <v>15861</v>
      </c>
      <c r="E6049" s="142" t="s">
        <v>15849</v>
      </c>
      <c r="F6049" s="142" t="s">
        <v>2840</v>
      </c>
      <c r="G6049" s="142" t="s">
        <v>2839</v>
      </c>
      <c r="H6049" s="142" t="s">
        <v>21899</v>
      </c>
      <c r="I6049" s="142">
        <v>13</v>
      </c>
      <c r="J6049" s="142">
        <v>13</v>
      </c>
      <c r="K6049" s="142">
        <v>0</v>
      </c>
      <c r="L6049" s="142">
        <v>0</v>
      </c>
      <c r="M6049" s="142">
        <v>0</v>
      </c>
    </row>
    <row r="6050" spans="1:13" x14ac:dyDescent="0.45">
      <c r="A6050" s="142" t="s">
        <v>14067</v>
      </c>
      <c r="B6050" s="142" t="s">
        <v>14848</v>
      </c>
      <c r="C6050" s="142" t="s">
        <v>15860</v>
      </c>
      <c r="D6050" s="142" t="s">
        <v>15861</v>
      </c>
      <c r="E6050" s="142" t="s">
        <v>15849</v>
      </c>
      <c r="F6050" s="142" t="s">
        <v>2840</v>
      </c>
      <c r="G6050" s="142" t="s">
        <v>2839</v>
      </c>
      <c r="H6050" s="142" t="s">
        <v>21900</v>
      </c>
      <c r="I6050" s="142">
        <v>4</v>
      </c>
      <c r="J6050" s="142">
        <v>4</v>
      </c>
      <c r="K6050" s="142">
        <v>0</v>
      </c>
      <c r="L6050" s="142">
        <v>0</v>
      </c>
      <c r="M6050" s="142">
        <v>0</v>
      </c>
    </row>
    <row r="6051" spans="1:13" x14ac:dyDescent="0.45">
      <c r="A6051" s="142" t="s">
        <v>14068</v>
      </c>
      <c r="B6051" s="142" t="s">
        <v>15545</v>
      </c>
      <c r="C6051" s="142" t="s">
        <v>15860</v>
      </c>
      <c r="D6051" s="142" t="s">
        <v>15861</v>
      </c>
      <c r="E6051" s="142" t="s">
        <v>15849</v>
      </c>
      <c r="F6051" s="142" t="s">
        <v>2840</v>
      </c>
      <c r="G6051" s="142" t="s">
        <v>2839</v>
      </c>
      <c r="H6051" s="142" t="s">
        <v>21901</v>
      </c>
      <c r="I6051" s="142">
        <v>22</v>
      </c>
      <c r="J6051" s="142">
        <v>5</v>
      </c>
      <c r="K6051" s="142">
        <v>0</v>
      </c>
      <c r="L6051" s="142">
        <v>17</v>
      </c>
      <c r="M6051" s="142">
        <v>0</v>
      </c>
    </row>
    <row r="6052" spans="1:13" x14ac:dyDescent="0.45">
      <c r="A6052" s="142" t="s">
        <v>14069</v>
      </c>
      <c r="B6052" s="142" t="s">
        <v>14748</v>
      </c>
      <c r="C6052" s="142" t="s">
        <v>15860</v>
      </c>
      <c r="D6052" s="142" t="s">
        <v>15861</v>
      </c>
      <c r="E6052" s="142" t="s">
        <v>15849</v>
      </c>
      <c r="F6052" s="142" t="s">
        <v>2840</v>
      </c>
      <c r="G6052" s="142" t="s">
        <v>2839</v>
      </c>
      <c r="H6052" s="142" t="s">
        <v>21902</v>
      </c>
      <c r="I6052" s="142">
        <v>15</v>
      </c>
      <c r="J6052" s="142">
        <v>0</v>
      </c>
      <c r="K6052" s="142">
        <v>0</v>
      </c>
      <c r="L6052" s="142">
        <v>15</v>
      </c>
      <c r="M6052" s="142">
        <v>0</v>
      </c>
    </row>
    <row r="6053" spans="1:13" x14ac:dyDescent="0.45">
      <c r="A6053" s="142" t="s">
        <v>13038</v>
      </c>
      <c r="B6053" s="142" t="s">
        <v>14646</v>
      </c>
      <c r="C6053" s="142" t="s">
        <v>15847</v>
      </c>
      <c r="D6053" s="142" t="s">
        <v>15848</v>
      </c>
      <c r="E6053" s="142" t="s">
        <v>15849</v>
      </c>
      <c r="F6053" s="142" t="s">
        <v>2840</v>
      </c>
      <c r="G6053" s="142" t="s">
        <v>2839</v>
      </c>
      <c r="H6053" s="142" t="s">
        <v>21903</v>
      </c>
      <c r="I6053" s="142">
        <v>21</v>
      </c>
      <c r="J6053" s="142">
        <v>21</v>
      </c>
      <c r="K6053" s="142">
        <v>0</v>
      </c>
      <c r="L6053" s="142">
        <v>0</v>
      </c>
      <c r="M6053" s="142">
        <v>0</v>
      </c>
    </row>
    <row r="6054" spans="1:13" x14ac:dyDescent="0.45">
      <c r="A6054" s="142" t="s">
        <v>13039</v>
      </c>
      <c r="B6054" s="142" t="s">
        <v>14647</v>
      </c>
      <c r="C6054" s="142" t="s">
        <v>15847</v>
      </c>
      <c r="D6054" s="142" t="s">
        <v>15848</v>
      </c>
      <c r="E6054" s="142" t="s">
        <v>15849</v>
      </c>
      <c r="F6054" s="142" t="s">
        <v>2840</v>
      </c>
      <c r="G6054" s="142" t="s">
        <v>2839</v>
      </c>
      <c r="H6054" s="142" t="s">
        <v>21904</v>
      </c>
      <c r="I6054" s="142">
        <v>10</v>
      </c>
      <c r="J6054" s="142">
        <v>10</v>
      </c>
      <c r="K6054" s="142">
        <v>0</v>
      </c>
      <c r="L6054" s="142">
        <v>0</v>
      </c>
      <c r="M6054" s="142">
        <v>0</v>
      </c>
    </row>
    <row r="6055" spans="1:13" x14ac:dyDescent="0.45">
      <c r="A6055" s="142" t="s">
        <v>13091</v>
      </c>
      <c r="B6055" s="142" t="s">
        <v>14473</v>
      </c>
      <c r="C6055" s="142" t="s">
        <v>15847</v>
      </c>
      <c r="D6055" s="142" t="s">
        <v>15848</v>
      </c>
      <c r="E6055" s="142" t="s">
        <v>15849</v>
      </c>
      <c r="F6055" s="142" t="s">
        <v>2840</v>
      </c>
      <c r="G6055" s="142" t="s">
        <v>2839</v>
      </c>
      <c r="H6055" s="142" t="s">
        <v>21905</v>
      </c>
      <c r="I6055" s="142">
        <v>133</v>
      </c>
      <c r="J6055" s="142">
        <v>54</v>
      </c>
      <c r="K6055" s="142">
        <v>0</v>
      </c>
      <c r="L6055" s="142">
        <v>76</v>
      </c>
      <c r="M6055" s="142">
        <v>3</v>
      </c>
    </row>
    <row r="6056" spans="1:13" x14ac:dyDescent="0.45">
      <c r="A6056" s="142" t="s">
        <v>13009</v>
      </c>
      <c r="B6056" s="142" t="s">
        <v>15256</v>
      </c>
      <c r="C6056" s="142" t="s">
        <v>15847</v>
      </c>
      <c r="D6056" s="142" t="s">
        <v>15848</v>
      </c>
      <c r="E6056" s="142" t="s">
        <v>15849</v>
      </c>
      <c r="F6056" s="142" t="s">
        <v>2840</v>
      </c>
      <c r="G6056" s="142" t="s">
        <v>2839</v>
      </c>
      <c r="H6056" s="142" t="s">
        <v>21906</v>
      </c>
      <c r="I6056" s="142">
        <v>1110</v>
      </c>
      <c r="J6056" s="142">
        <v>936</v>
      </c>
      <c r="K6056" s="142">
        <v>0</v>
      </c>
      <c r="L6056" s="142">
        <v>82</v>
      </c>
      <c r="M6056" s="142">
        <v>92</v>
      </c>
    </row>
    <row r="6057" spans="1:13" x14ac:dyDescent="0.45">
      <c r="A6057" s="142" t="s">
        <v>13873</v>
      </c>
      <c r="B6057" s="142" t="s">
        <v>14474</v>
      </c>
      <c r="C6057" s="142" t="s">
        <v>15847</v>
      </c>
      <c r="D6057" s="142" t="s">
        <v>15848</v>
      </c>
      <c r="E6057" s="142" t="s">
        <v>15849</v>
      </c>
      <c r="F6057" s="142" t="s">
        <v>2840</v>
      </c>
      <c r="G6057" s="142" t="s">
        <v>2839</v>
      </c>
      <c r="H6057" s="142" t="s">
        <v>21907</v>
      </c>
      <c r="I6057" s="142">
        <v>2</v>
      </c>
      <c r="J6057" s="142">
        <v>0</v>
      </c>
      <c r="K6057" s="142">
        <v>0</v>
      </c>
      <c r="L6057" s="142">
        <v>0</v>
      </c>
      <c r="M6057" s="142">
        <v>2</v>
      </c>
    </row>
    <row r="6058" spans="1:13" x14ac:dyDescent="0.45">
      <c r="A6058" s="142" t="s">
        <v>13152</v>
      </c>
      <c r="B6058" s="142" t="s">
        <v>15249</v>
      </c>
      <c r="C6058" s="142" t="s">
        <v>15847</v>
      </c>
      <c r="D6058" s="142" t="s">
        <v>15848</v>
      </c>
      <c r="E6058" s="142" t="s">
        <v>15849</v>
      </c>
      <c r="F6058" s="142" t="s">
        <v>2840</v>
      </c>
      <c r="G6058" s="142" t="s">
        <v>2839</v>
      </c>
      <c r="H6058" s="142" t="s">
        <v>21908</v>
      </c>
      <c r="I6058" s="142">
        <v>223</v>
      </c>
      <c r="J6058" s="142">
        <v>204</v>
      </c>
      <c r="K6058" s="142">
        <v>0</v>
      </c>
      <c r="L6058" s="142">
        <v>0</v>
      </c>
      <c r="M6058" s="142">
        <v>19</v>
      </c>
    </row>
    <row r="6059" spans="1:13" x14ac:dyDescent="0.45">
      <c r="A6059" s="142" t="s">
        <v>13832</v>
      </c>
      <c r="B6059" s="142" t="s">
        <v>15195</v>
      </c>
      <c r="C6059" s="142" t="s">
        <v>15860</v>
      </c>
      <c r="D6059" s="142" t="s">
        <v>15861</v>
      </c>
      <c r="E6059" s="142" t="s">
        <v>15849</v>
      </c>
      <c r="F6059" s="142" t="s">
        <v>2840</v>
      </c>
      <c r="G6059" s="142" t="s">
        <v>2839</v>
      </c>
      <c r="H6059" s="142" t="s">
        <v>21909</v>
      </c>
      <c r="I6059" s="142">
        <v>5</v>
      </c>
      <c r="J6059" s="142">
        <v>0</v>
      </c>
      <c r="K6059" s="142">
        <v>0</v>
      </c>
      <c r="L6059" s="142">
        <v>5</v>
      </c>
      <c r="M6059" s="142">
        <v>0</v>
      </c>
    </row>
    <row r="6060" spans="1:13" x14ac:dyDescent="0.45">
      <c r="A6060" s="142" t="s">
        <v>13012</v>
      </c>
      <c r="B6060" s="142" t="s">
        <v>15337</v>
      </c>
      <c r="C6060" s="142" t="s">
        <v>15847</v>
      </c>
      <c r="D6060" s="142" t="s">
        <v>15848</v>
      </c>
      <c r="E6060" s="142" t="s">
        <v>15849</v>
      </c>
      <c r="F6060" s="142" t="s">
        <v>2840</v>
      </c>
      <c r="G6060" s="142" t="s">
        <v>2839</v>
      </c>
      <c r="H6060" s="142" t="s">
        <v>21910</v>
      </c>
      <c r="I6060" s="142">
        <v>493</v>
      </c>
      <c r="J6060" s="142">
        <v>406</v>
      </c>
      <c r="K6060" s="142">
        <v>0</v>
      </c>
      <c r="L6060" s="142">
        <v>2</v>
      </c>
      <c r="M6060" s="142">
        <v>85</v>
      </c>
    </row>
    <row r="6061" spans="1:13" x14ac:dyDescent="0.45">
      <c r="A6061" s="142" t="s">
        <v>14070</v>
      </c>
      <c r="B6061" s="142" t="s">
        <v>15136</v>
      </c>
      <c r="C6061" s="142" t="s">
        <v>15860</v>
      </c>
      <c r="D6061" s="142" t="s">
        <v>15861</v>
      </c>
      <c r="E6061" s="142" t="s">
        <v>15849</v>
      </c>
      <c r="F6061" s="142" t="s">
        <v>2840</v>
      </c>
      <c r="G6061" s="142" t="s">
        <v>2839</v>
      </c>
      <c r="H6061" s="142" t="s">
        <v>21911</v>
      </c>
      <c r="I6061" s="142">
        <v>10</v>
      </c>
      <c r="J6061" s="142">
        <v>0</v>
      </c>
      <c r="K6061" s="142">
        <v>0</v>
      </c>
      <c r="L6061" s="142">
        <v>10</v>
      </c>
      <c r="M6061" s="142">
        <v>0</v>
      </c>
    </row>
    <row r="6062" spans="1:13" x14ac:dyDescent="0.45">
      <c r="A6062" s="142" t="s">
        <v>13285</v>
      </c>
      <c r="B6062" s="142" t="s">
        <v>15158</v>
      </c>
      <c r="C6062" s="142" t="s">
        <v>15860</v>
      </c>
      <c r="D6062" s="142" t="s">
        <v>15861</v>
      </c>
      <c r="E6062" s="142" t="s">
        <v>15849</v>
      </c>
      <c r="F6062" s="142" t="s">
        <v>2840</v>
      </c>
      <c r="G6062" s="142" t="s">
        <v>2839</v>
      </c>
      <c r="H6062" s="142" t="s">
        <v>21912</v>
      </c>
      <c r="I6062" s="142">
        <v>50</v>
      </c>
      <c r="J6062" s="142">
        <v>0</v>
      </c>
      <c r="K6062" s="142">
        <v>0</v>
      </c>
      <c r="L6062" s="142">
        <v>50</v>
      </c>
      <c r="M6062" s="142">
        <v>0</v>
      </c>
    </row>
    <row r="6063" spans="1:13" x14ac:dyDescent="0.45">
      <c r="A6063" s="142" t="s">
        <v>14071</v>
      </c>
      <c r="B6063" s="142" t="s">
        <v>15201</v>
      </c>
      <c r="C6063" s="142" t="s">
        <v>15860</v>
      </c>
      <c r="D6063" s="142" t="s">
        <v>15861</v>
      </c>
      <c r="E6063" s="142" t="s">
        <v>15849</v>
      </c>
      <c r="F6063" s="142" t="s">
        <v>2840</v>
      </c>
      <c r="G6063" s="142" t="s">
        <v>2839</v>
      </c>
      <c r="H6063" s="142" t="s">
        <v>21913</v>
      </c>
      <c r="I6063" s="142">
        <v>20</v>
      </c>
      <c r="J6063" s="142">
        <v>8</v>
      </c>
      <c r="K6063" s="142">
        <v>0</v>
      </c>
      <c r="L6063" s="142">
        <v>12</v>
      </c>
      <c r="M6063" s="142">
        <v>0</v>
      </c>
    </row>
    <row r="6064" spans="1:13" x14ac:dyDescent="0.45">
      <c r="A6064" s="142" t="s">
        <v>13014</v>
      </c>
      <c r="B6064" s="142" t="s">
        <v>14505</v>
      </c>
      <c r="C6064" s="142" t="s">
        <v>15847</v>
      </c>
      <c r="D6064" s="142" t="s">
        <v>15848</v>
      </c>
      <c r="E6064" s="142" t="s">
        <v>15849</v>
      </c>
      <c r="F6064" s="142" t="s">
        <v>2840</v>
      </c>
      <c r="G6064" s="142" t="s">
        <v>2839</v>
      </c>
      <c r="H6064" s="142" t="s">
        <v>21914</v>
      </c>
      <c r="I6064" s="142">
        <v>482</v>
      </c>
      <c r="J6064" s="142">
        <v>330</v>
      </c>
      <c r="K6064" s="142">
        <v>0</v>
      </c>
      <c r="L6064" s="142">
        <v>58</v>
      </c>
      <c r="M6064" s="142">
        <v>94</v>
      </c>
    </row>
    <row r="6065" spans="1:13" x14ac:dyDescent="0.45">
      <c r="A6065" s="142" t="s">
        <v>14072</v>
      </c>
      <c r="B6065" s="142" t="s">
        <v>14907</v>
      </c>
      <c r="C6065" s="142" t="s">
        <v>15860</v>
      </c>
      <c r="D6065" s="142" t="s">
        <v>15861</v>
      </c>
      <c r="E6065" s="142" t="s">
        <v>15849</v>
      </c>
      <c r="F6065" s="142" t="s">
        <v>2840</v>
      </c>
      <c r="G6065" s="142" t="s">
        <v>2839</v>
      </c>
      <c r="H6065" s="142" t="s">
        <v>21915</v>
      </c>
      <c r="I6065" s="142">
        <v>8</v>
      </c>
      <c r="J6065" s="142">
        <v>0</v>
      </c>
      <c r="K6065" s="142">
        <v>0</v>
      </c>
      <c r="L6065" s="142">
        <v>8</v>
      </c>
      <c r="M6065" s="142">
        <v>0</v>
      </c>
    </row>
    <row r="6066" spans="1:13" x14ac:dyDescent="0.45">
      <c r="A6066" s="142" t="s">
        <v>14073</v>
      </c>
      <c r="B6066" s="142" t="s">
        <v>14829</v>
      </c>
      <c r="C6066" s="142" t="s">
        <v>15860</v>
      </c>
      <c r="D6066" s="142" t="s">
        <v>15861</v>
      </c>
      <c r="E6066" s="142" t="s">
        <v>15849</v>
      </c>
      <c r="F6066" s="142" t="s">
        <v>2840</v>
      </c>
      <c r="G6066" s="142" t="s">
        <v>2839</v>
      </c>
      <c r="H6066" s="142" t="s">
        <v>21916</v>
      </c>
      <c r="I6066" s="142">
        <v>20</v>
      </c>
      <c r="J6066" s="142">
        <v>20</v>
      </c>
      <c r="K6066" s="142">
        <v>0</v>
      </c>
      <c r="L6066" s="142">
        <v>0</v>
      </c>
      <c r="M6066" s="142">
        <v>0</v>
      </c>
    </row>
    <row r="6067" spans="1:13" x14ac:dyDescent="0.45">
      <c r="A6067" s="142" t="s">
        <v>13042</v>
      </c>
      <c r="B6067" s="142" t="s">
        <v>15489</v>
      </c>
      <c r="C6067" s="142" t="s">
        <v>15847</v>
      </c>
      <c r="D6067" s="142" t="s">
        <v>15848</v>
      </c>
      <c r="E6067" s="142" t="s">
        <v>15849</v>
      </c>
      <c r="F6067" s="142" t="s">
        <v>2840</v>
      </c>
      <c r="G6067" s="142" t="s">
        <v>2839</v>
      </c>
      <c r="H6067" s="142" t="s">
        <v>21917</v>
      </c>
      <c r="I6067" s="142">
        <v>91</v>
      </c>
      <c r="J6067" s="142">
        <v>27</v>
      </c>
      <c r="K6067" s="142">
        <v>0</v>
      </c>
      <c r="L6067" s="142">
        <v>64</v>
      </c>
      <c r="M6067" s="142">
        <v>0</v>
      </c>
    </row>
    <row r="6068" spans="1:13" x14ac:dyDescent="0.45">
      <c r="A6068" s="142" t="s">
        <v>13096</v>
      </c>
      <c r="B6068" s="142" t="s">
        <v>15478</v>
      </c>
      <c r="C6068" s="142" t="s">
        <v>15847</v>
      </c>
      <c r="D6068" s="142" t="s">
        <v>15848</v>
      </c>
      <c r="E6068" s="142" t="s">
        <v>15849</v>
      </c>
      <c r="F6068" s="142" t="s">
        <v>2840</v>
      </c>
      <c r="G6068" s="142" t="s">
        <v>2839</v>
      </c>
      <c r="H6068" s="142" t="s">
        <v>21918</v>
      </c>
      <c r="I6068" s="142">
        <v>663</v>
      </c>
      <c r="J6068" s="142">
        <v>432</v>
      </c>
      <c r="K6068" s="142">
        <v>0</v>
      </c>
      <c r="L6068" s="142">
        <v>72</v>
      </c>
      <c r="M6068" s="142">
        <v>159</v>
      </c>
    </row>
    <row r="6069" spans="1:13" x14ac:dyDescent="0.45">
      <c r="A6069" s="142" t="s">
        <v>13154</v>
      </c>
      <c r="B6069" s="142" t="s">
        <v>15415</v>
      </c>
      <c r="C6069" s="142" t="s">
        <v>15847</v>
      </c>
      <c r="D6069" s="142" t="s">
        <v>15848</v>
      </c>
      <c r="E6069" s="142" t="s">
        <v>15849</v>
      </c>
      <c r="F6069" s="142" t="s">
        <v>2840</v>
      </c>
      <c r="G6069" s="142" t="s">
        <v>2839</v>
      </c>
      <c r="H6069" s="142" t="s">
        <v>21919</v>
      </c>
      <c r="I6069" s="142">
        <v>1801</v>
      </c>
      <c r="J6069" s="142">
        <v>1499</v>
      </c>
      <c r="K6069" s="142">
        <v>0</v>
      </c>
      <c r="L6069" s="142">
        <v>42</v>
      </c>
      <c r="M6069" s="142">
        <v>260</v>
      </c>
    </row>
    <row r="6070" spans="1:13" x14ac:dyDescent="0.45">
      <c r="A6070" s="142" t="s">
        <v>13155</v>
      </c>
      <c r="B6070" s="142" t="s">
        <v>15455</v>
      </c>
      <c r="C6070" s="142" t="s">
        <v>15847</v>
      </c>
      <c r="D6070" s="142" t="s">
        <v>15848</v>
      </c>
      <c r="E6070" s="142" t="s">
        <v>15849</v>
      </c>
      <c r="F6070" s="142" t="s">
        <v>2840</v>
      </c>
      <c r="G6070" s="142" t="s">
        <v>2839</v>
      </c>
      <c r="H6070" s="142" t="s">
        <v>21920</v>
      </c>
      <c r="I6070" s="142">
        <v>389</v>
      </c>
      <c r="J6070" s="142">
        <v>254</v>
      </c>
      <c r="K6070" s="142">
        <v>0</v>
      </c>
      <c r="L6070" s="142">
        <v>0</v>
      </c>
      <c r="M6070" s="142">
        <v>135</v>
      </c>
    </row>
    <row r="6071" spans="1:13" x14ac:dyDescent="0.45">
      <c r="A6071" s="142" t="s">
        <v>13156</v>
      </c>
      <c r="B6071" s="142" t="s">
        <v>14493</v>
      </c>
      <c r="C6071" s="142" t="s">
        <v>15860</v>
      </c>
      <c r="D6071" s="142" t="s">
        <v>15861</v>
      </c>
      <c r="E6071" s="142" t="s">
        <v>15849</v>
      </c>
      <c r="F6071" s="142" t="s">
        <v>2840</v>
      </c>
      <c r="G6071" s="142" t="s">
        <v>2839</v>
      </c>
      <c r="H6071" s="142" t="s">
        <v>21921</v>
      </c>
      <c r="I6071" s="142">
        <v>9</v>
      </c>
      <c r="J6071" s="142">
        <v>0</v>
      </c>
      <c r="K6071" s="142">
        <v>0</v>
      </c>
      <c r="L6071" s="142">
        <v>9</v>
      </c>
      <c r="M6071" s="142">
        <v>0</v>
      </c>
    </row>
    <row r="6072" spans="1:13" x14ac:dyDescent="0.45">
      <c r="A6072" s="142" t="s">
        <v>13016</v>
      </c>
      <c r="B6072" s="142" t="s">
        <v>14535</v>
      </c>
      <c r="C6072" s="142" t="s">
        <v>15860</v>
      </c>
      <c r="D6072" s="142" t="s">
        <v>15861</v>
      </c>
      <c r="E6072" s="142" t="s">
        <v>15849</v>
      </c>
      <c r="F6072" s="142" t="s">
        <v>2840</v>
      </c>
      <c r="G6072" s="142" t="s">
        <v>2839</v>
      </c>
      <c r="H6072" s="142" t="s">
        <v>21922</v>
      </c>
      <c r="I6072" s="142">
        <v>5</v>
      </c>
      <c r="J6072" s="142">
        <v>0</v>
      </c>
      <c r="K6072" s="142">
        <v>0</v>
      </c>
      <c r="L6072" s="142">
        <v>5</v>
      </c>
      <c r="M6072" s="142">
        <v>0</v>
      </c>
    </row>
    <row r="6073" spans="1:13" x14ac:dyDescent="0.45">
      <c r="A6073" s="142" t="s">
        <v>14074</v>
      </c>
      <c r="B6073" s="142" t="s">
        <v>14914</v>
      </c>
      <c r="C6073" s="142" t="s">
        <v>15860</v>
      </c>
      <c r="D6073" s="142" t="s">
        <v>15861</v>
      </c>
      <c r="E6073" s="142" t="s">
        <v>15849</v>
      </c>
      <c r="F6073" s="142" t="s">
        <v>2840</v>
      </c>
      <c r="G6073" s="142" t="s">
        <v>2839</v>
      </c>
      <c r="H6073" s="142" t="s">
        <v>21923</v>
      </c>
      <c r="I6073" s="142">
        <v>20</v>
      </c>
      <c r="J6073" s="142">
        <v>0</v>
      </c>
      <c r="K6073" s="142">
        <v>0</v>
      </c>
      <c r="L6073" s="142">
        <v>20</v>
      </c>
      <c r="M6073" s="142">
        <v>0</v>
      </c>
    </row>
    <row r="6074" spans="1:13" x14ac:dyDescent="0.45">
      <c r="A6074" s="142" t="s">
        <v>13157</v>
      </c>
      <c r="B6074" s="142" t="s">
        <v>15477</v>
      </c>
      <c r="C6074" s="142" t="s">
        <v>15847</v>
      </c>
      <c r="D6074" s="142" t="s">
        <v>15848</v>
      </c>
      <c r="E6074" s="142" t="s">
        <v>15849</v>
      </c>
      <c r="F6074" s="142" t="s">
        <v>2840</v>
      </c>
      <c r="G6074" s="142" t="s">
        <v>2839</v>
      </c>
      <c r="H6074" s="142" t="s">
        <v>21924</v>
      </c>
      <c r="I6074" s="142">
        <v>5800</v>
      </c>
      <c r="J6074" s="142">
        <v>5176</v>
      </c>
      <c r="K6074" s="142">
        <v>0</v>
      </c>
      <c r="L6074" s="142">
        <v>194</v>
      </c>
      <c r="M6074" s="142">
        <v>430</v>
      </c>
    </row>
    <row r="6075" spans="1:13" x14ac:dyDescent="0.45">
      <c r="A6075" s="142" t="s">
        <v>13286</v>
      </c>
      <c r="B6075" s="142" t="s">
        <v>15342</v>
      </c>
      <c r="C6075" s="142" t="s">
        <v>15847</v>
      </c>
      <c r="D6075" s="142" t="s">
        <v>15848</v>
      </c>
      <c r="E6075" s="142" t="s">
        <v>15849</v>
      </c>
      <c r="F6075" s="142" t="s">
        <v>2840</v>
      </c>
      <c r="G6075" s="142" t="s">
        <v>2839</v>
      </c>
      <c r="H6075" s="142" t="s">
        <v>21925</v>
      </c>
      <c r="I6075" s="142">
        <v>51</v>
      </c>
      <c r="J6075" s="142">
        <v>48</v>
      </c>
      <c r="K6075" s="142">
        <v>0</v>
      </c>
      <c r="L6075" s="142">
        <v>0</v>
      </c>
      <c r="M6075" s="142">
        <v>3</v>
      </c>
    </row>
    <row r="6076" spans="1:13" x14ac:dyDescent="0.45">
      <c r="A6076" s="142" t="s">
        <v>14076</v>
      </c>
      <c r="B6076" s="142" t="s">
        <v>15151</v>
      </c>
      <c r="C6076" s="142" t="s">
        <v>15860</v>
      </c>
      <c r="D6076" s="142" t="s">
        <v>15861</v>
      </c>
      <c r="E6076" s="142" t="s">
        <v>15849</v>
      </c>
      <c r="F6076" s="142" t="s">
        <v>2506</v>
      </c>
      <c r="G6076" s="142" t="s">
        <v>2505</v>
      </c>
      <c r="H6076" s="142" t="s">
        <v>21926</v>
      </c>
      <c r="I6076" s="142">
        <v>21</v>
      </c>
      <c r="J6076" s="142">
        <v>0</v>
      </c>
      <c r="K6076" s="142">
        <v>0</v>
      </c>
      <c r="L6076" s="142">
        <v>21</v>
      </c>
      <c r="M6076" s="142">
        <v>0</v>
      </c>
    </row>
    <row r="6077" spans="1:13" x14ac:dyDescent="0.45">
      <c r="A6077" s="142" t="s">
        <v>13021</v>
      </c>
      <c r="B6077" s="142" t="s">
        <v>15501</v>
      </c>
      <c r="C6077" s="142" t="s">
        <v>15847</v>
      </c>
      <c r="D6077" s="142" t="s">
        <v>15848</v>
      </c>
      <c r="E6077" s="142" t="s">
        <v>15849</v>
      </c>
      <c r="F6077" s="142" t="s">
        <v>2506</v>
      </c>
      <c r="G6077" s="142" t="s">
        <v>2505</v>
      </c>
      <c r="H6077" s="142" t="s">
        <v>21927</v>
      </c>
      <c r="I6077" s="142">
        <v>1</v>
      </c>
      <c r="J6077" s="142">
        <v>0</v>
      </c>
      <c r="K6077" s="142">
        <v>0</v>
      </c>
      <c r="L6077" s="142">
        <v>0</v>
      </c>
      <c r="M6077" s="142">
        <v>1</v>
      </c>
    </row>
    <row r="6078" spans="1:13" x14ac:dyDescent="0.45">
      <c r="A6078" s="142" t="s">
        <v>13023</v>
      </c>
      <c r="B6078" s="142" t="s">
        <v>15571</v>
      </c>
      <c r="C6078" s="142" t="s">
        <v>15847</v>
      </c>
      <c r="D6078" s="142" t="s">
        <v>15848</v>
      </c>
      <c r="E6078" s="142" t="s">
        <v>15849</v>
      </c>
      <c r="F6078" s="142" t="s">
        <v>2506</v>
      </c>
      <c r="G6078" s="142" t="s">
        <v>2505</v>
      </c>
      <c r="H6078" s="142" t="s">
        <v>21928</v>
      </c>
      <c r="I6078" s="142">
        <v>545</v>
      </c>
      <c r="J6078" s="142">
        <v>0</v>
      </c>
      <c r="K6078" s="142">
        <v>0</v>
      </c>
      <c r="L6078" s="142">
        <v>545</v>
      </c>
      <c r="M6078" s="142">
        <v>0</v>
      </c>
    </row>
    <row r="6079" spans="1:13" x14ac:dyDescent="0.45">
      <c r="A6079" s="142" t="s">
        <v>13113</v>
      </c>
      <c r="B6079" s="142" t="s">
        <v>14503</v>
      </c>
      <c r="C6079" s="142" t="s">
        <v>15860</v>
      </c>
      <c r="D6079" s="142" t="s">
        <v>15861</v>
      </c>
      <c r="E6079" s="142" t="s">
        <v>15849</v>
      </c>
      <c r="F6079" s="142" t="s">
        <v>2506</v>
      </c>
      <c r="G6079" s="142" t="s">
        <v>2505</v>
      </c>
      <c r="H6079" s="142" t="s">
        <v>21929</v>
      </c>
      <c r="I6079" s="142">
        <v>1</v>
      </c>
      <c r="J6079" s="142">
        <v>1</v>
      </c>
      <c r="K6079" s="142">
        <v>0</v>
      </c>
      <c r="L6079" s="142">
        <v>0</v>
      </c>
      <c r="M6079" s="142">
        <v>0</v>
      </c>
    </row>
    <row r="6080" spans="1:13" x14ac:dyDescent="0.45">
      <c r="A6080" s="142" t="s">
        <v>13082</v>
      </c>
      <c r="B6080" s="142" t="s">
        <v>14478</v>
      </c>
      <c r="C6080" s="142" t="s">
        <v>15860</v>
      </c>
      <c r="D6080" s="142" t="s">
        <v>15861</v>
      </c>
      <c r="E6080" s="142" t="s">
        <v>15849</v>
      </c>
      <c r="F6080" s="142" t="s">
        <v>2506</v>
      </c>
      <c r="G6080" s="142" t="s">
        <v>2505</v>
      </c>
      <c r="H6080" s="142" t="s">
        <v>21930</v>
      </c>
      <c r="I6080" s="142">
        <v>22</v>
      </c>
      <c r="J6080" s="142">
        <v>0</v>
      </c>
      <c r="K6080" s="142">
        <v>0</v>
      </c>
      <c r="L6080" s="142">
        <v>22</v>
      </c>
      <c r="M6080" s="142">
        <v>0</v>
      </c>
    </row>
    <row r="6081" spans="1:13" x14ac:dyDescent="0.45">
      <c r="A6081" s="142" t="s">
        <v>14077</v>
      </c>
      <c r="B6081" s="142" t="s">
        <v>15551</v>
      </c>
      <c r="C6081" s="142" t="s">
        <v>15860</v>
      </c>
      <c r="D6081" s="142" t="s">
        <v>15861</v>
      </c>
      <c r="E6081" s="142" t="s">
        <v>15849</v>
      </c>
      <c r="F6081" s="142" t="s">
        <v>2506</v>
      </c>
      <c r="G6081" s="142" t="s">
        <v>2505</v>
      </c>
      <c r="H6081" s="142" t="s">
        <v>21931</v>
      </c>
      <c r="I6081" s="142">
        <v>9</v>
      </c>
      <c r="J6081" s="142">
        <v>0</v>
      </c>
      <c r="K6081" s="142">
        <v>0</v>
      </c>
      <c r="L6081" s="142">
        <v>9</v>
      </c>
      <c r="M6081" s="142">
        <v>0</v>
      </c>
    </row>
    <row r="6082" spans="1:13" x14ac:dyDescent="0.45">
      <c r="A6082" s="142" t="s">
        <v>13547</v>
      </c>
      <c r="B6082" s="142" t="s">
        <v>14613</v>
      </c>
      <c r="C6082" s="142" t="s">
        <v>15847</v>
      </c>
      <c r="D6082" s="142" t="s">
        <v>15848</v>
      </c>
      <c r="E6082" s="142" t="s">
        <v>15849</v>
      </c>
      <c r="F6082" s="142" t="s">
        <v>2506</v>
      </c>
      <c r="G6082" s="142" t="s">
        <v>2505</v>
      </c>
      <c r="H6082" s="142" t="s">
        <v>21932</v>
      </c>
      <c r="I6082" s="142">
        <v>7971</v>
      </c>
      <c r="J6082" s="142">
        <v>6019</v>
      </c>
      <c r="K6082" s="142">
        <v>0</v>
      </c>
      <c r="L6082" s="142">
        <v>1829</v>
      </c>
      <c r="M6082" s="142">
        <v>123</v>
      </c>
    </row>
    <row r="6083" spans="1:13" x14ac:dyDescent="0.45">
      <c r="A6083" s="142" t="s">
        <v>13065</v>
      </c>
      <c r="B6083" s="142" t="s">
        <v>14497</v>
      </c>
      <c r="C6083" s="142" t="s">
        <v>15847</v>
      </c>
      <c r="D6083" s="142" t="s">
        <v>15848</v>
      </c>
      <c r="E6083" s="142" t="s">
        <v>15849</v>
      </c>
      <c r="F6083" s="142" t="s">
        <v>2506</v>
      </c>
      <c r="G6083" s="142" t="s">
        <v>2505</v>
      </c>
      <c r="H6083" s="142" t="s">
        <v>21933</v>
      </c>
      <c r="I6083" s="142">
        <v>6</v>
      </c>
      <c r="J6083" s="142">
        <v>0</v>
      </c>
      <c r="K6083" s="142">
        <v>0</v>
      </c>
      <c r="L6083" s="142">
        <v>6</v>
      </c>
      <c r="M6083" s="142">
        <v>0</v>
      </c>
    </row>
    <row r="6084" spans="1:13" x14ac:dyDescent="0.45">
      <c r="A6084" s="142" t="s">
        <v>14078</v>
      </c>
      <c r="B6084" s="142" t="s">
        <v>15096</v>
      </c>
      <c r="C6084" s="142" t="s">
        <v>15860</v>
      </c>
      <c r="D6084" s="142" t="s">
        <v>15861</v>
      </c>
      <c r="E6084" s="142" t="s">
        <v>15849</v>
      </c>
      <c r="F6084" s="142" t="s">
        <v>2506</v>
      </c>
      <c r="G6084" s="142" t="s">
        <v>2505</v>
      </c>
      <c r="H6084" s="142" t="s">
        <v>21934</v>
      </c>
      <c r="I6084" s="142">
        <v>145</v>
      </c>
      <c r="J6084" s="142">
        <v>145</v>
      </c>
      <c r="K6084" s="142">
        <v>0</v>
      </c>
      <c r="L6084" s="142">
        <v>0</v>
      </c>
      <c r="M6084" s="142">
        <v>0</v>
      </c>
    </row>
    <row r="6085" spans="1:13" x14ac:dyDescent="0.45">
      <c r="A6085" s="142" t="s">
        <v>13549</v>
      </c>
      <c r="B6085" s="142" t="s">
        <v>14603</v>
      </c>
      <c r="C6085" s="142" t="s">
        <v>15847</v>
      </c>
      <c r="D6085" s="142" t="s">
        <v>15848</v>
      </c>
      <c r="E6085" s="142" t="s">
        <v>15849</v>
      </c>
      <c r="F6085" s="142" t="s">
        <v>2506</v>
      </c>
      <c r="G6085" s="142" t="s">
        <v>2505</v>
      </c>
      <c r="H6085" s="142" t="s">
        <v>21935</v>
      </c>
      <c r="I6085" s="142">
        <v>429</v>
      </c>
      <c r="J6085" s="142">
        <v>355</v>
      </c>
      <c r="K6085" s="142">
        <v>0</v>
      </c>
      <c r="L6085" s="142">
        <v>0</v>
      </c>
      <c r="M6085" s="142">
        <v>74</v>
      </c>
    </row>
    <row r="6086" spans="1:13" x14ac:dyDescent="0.45">
      <c r="A6086" s="142" t="s">
        <v>13119</v>
      </c>
      <c r="B6086" s="142" t="s">
        <v>14451</v>
      </c>
      <c r="C6086" s="142" t="s">
        <v>15860</v>
      </c>
      <c r="D6086" s="142" t="s">
        <v>15861</v>
      </c>
      <c r="E6086" s="142" t="s">
        <v>15849</v>
      </c>
      <c r="F6086" s="142" t="s">
        <v>2506</v>
      </c>
      <c r="G6086" s="142" t="s">
        <v>2505</v>
      </c>
      <c r="H6086" s="142" t="s">
        <v>21936</v>
      </c>
      <c r="I6086" s="142">
        <v>7</v>
      </c>
      <c r="J6086" s="142">
        <v>0</v>
      </c>
      <c r="K6086" s="142">
        <v>0</v>
      </c>
      <c r="L6086" s="142">
        <v>7</v>
      </c>
      <c r="M6086" s="142">
        <v>0</v>
      </c>
    </row>
    <row r="6087" spans="1:13" x14ac:dyDescent="0.45">
      <c r="A6087" s="142" t="s">
        <v>14079</v>
      </c>
      <c r="B6087" s="142" t="s">
        <v>14863</v>
      </c>
      <c r="C6087" s="142" t="s">
        <v>15860</v>
      </c>
      <c r="D6087" s="142" t="s">
        <v>15861</v>
      </c>
      <c r="E6087" s="142" t="s">
        <v>15849</v>
      </c>
      <c r="F6087" s="142" t="s">
        <v>2506</v>
      </c>
      <c r="G6087" s="142" t="s">
        <v>2505</v>
      </c>
      <c r="H6087" s="142" t="s">
        <v>21937</v>
      </c>
      <c r="I6087" s="142">
        <v>12</v>
      </c>
      <c r="J6087" s="142">
        <v>0</v>
      </c>
      <c r="K6087" s="142">
        <v>0</v>
      </c>
      <c r="L6087" s="142">
        <v>12</v>
      </c>
      <c r="M6087" s="142">
        <v>0</v>
      </c>
    </row>
    <row r="6088" spans="1:13" x14ac:dyDescent="0.45">
      <c r="A6088" s="142" t="s">
        <v>13553</v>
      </c>
      <c r="B6088" s="142" t="s">
        <v>15439</v>
      </c>
      <c r="C6088" s="142" t="s">
        <v>15847</v>
      </c>
      <c r="D6088" s="142" t="s">
        <v>15848</v>
      </c>
      <c r="E6088" s="142" t="s">
        <v>15849</v>
      </c>
      <c r="F6088" s="142" t="s">
        <v>2506</v>
      </c>
      <c r="G6088" s="142" t="s">
        <v>2505</v>
      </c>
      <c r="H6088" s="142" t="s">
        <v>21938</v>
      </c>
      <c r="I6088" s="142">
        <v>43</v>
      </c>
      <c r="J6088" s="142">
        <v>42</v>
      </c>
      <c r="K6088" s="142">
        <v>0</v>
      </c>
      <c r="L6088" s="142">
        <v>0</v>
      </c>
      <c r="M6088" s="142">
        <v>1</v>
      </c>
    </row>
    <row r="6089" spans="1:13" x14ac:dyDescent="0.45">
      <c r="A6089" s="142" t="s">
        <v>13027</v>
      </c>
      <c r="B6089" s="142" t="s">
        <v>14562</v>
      </c>
      <c r="C6089" s="142" t="s">
        <v>15847</v>
      </c>
      <c r="D6089" s="142" t="s">
        <v>15848</v>
      </c>
      <c r="E6089" s="142" t="s">
        <v>15849</v>
      </c>
      <c r="F6089" s="142" t="s">
        <v>2506</v>
      </c>
      <c r="G6089" s="142" t="s">
        <v>2505</v>
      </c>
      <c r="H6089" s="142" t="s">
        <v>21939</v>
      </c>
      <c r="I6089" s="142">
        <v>90</v>
      </c>
      <c r="J6089" s="142">
        <v>0</v>
      </c>
      <c r="K6089" s="142">
        <v>0</v>
      </c>
      <c r="L6089" s="142">
        <v>90</v>
      </c>
      <c r="M6089" s="142">
        <v>0</v>
      </c>
    </row>
    <row r="6090" spans="1:13" x14ac:dyDescent="0.45">
      <c r="A6090" s="142" t="s">
        <v>13149</v>
      </c>
      <c r="B6090" s="142" t="s">
        <v>14458</v>
      </c>
      <c r="C6090" s="142" t="s">
        <v>15860</v>
      </c>
      <c r="D6090" s="142" t="s">
        <v>15861</v>
      </c>
      <c r="E6090" s="142" t="s">
        <v>15849</v>
      </c>
      <c r="F6090" s="142" t="s">
        <v>2506</v>
      </c>
      <c r="G6090" s="142" t="s">
        <v>2505</v>
      </c>
      <c r="H6090" s="142" t="s">
        <v>21940</v>
      </c>
      <c r="I6090" s="142">
        <v>14</v>
      </c>
      <c r="J6090" s="142">
        <v>0</v>
      </c>
      <c r="K6090" s="142">
        <v>0</v>
      </c>
      <c r="L6090" s="142">
        <v>14</v>
      </c>
      <c r="M6090" s="142">
        <v>0</v>
      </c>
    </row>
    <row r="6091" spans="1:13" x14ac:dyDescent="0.45">
      <c r="A6091" s="142" t="s">
        <v>13554</v>
      </c>
      <c r="B6091" s="142" t="s">
        <v>14518</v>
      </c>
      <c r="C6091" s="142" t="s">
        <v>15860</v>
      </c>
      <c r="D6091" s="142" t="s">
        <v>15861</v>
      </c>
      <c r="E6091" s="142" t="s">
        <v>15849</v>
      </c>
      <c r="F6091" s="142" t="s">
        <v>2506</v>
      </c>
      <c r="G6091" s="142" t="s">
        <v>2505</v>
      </c>
      <c r="H6091" s="142" t="s">
        <v>21941</v>
      </c>
      <c r="I6091" s="142">
        <v>22</v>
      </c>
      <c r="J6091" s="142">
        <v>22</v>
      </c>
      <c r="K6091" s="142">
        <v>0</v>
      </c>
      <c r="L6091" s="142">
        <v>0</v>
      </c>
      <c r="M6091" s="142">
        <v>0</v>
      </c>
    </row>
    <row r="6092" spans="1:13" x14ac:dyDescent="0.45">
      <c r="A6092" s="142" t="s">
        <v>13028</v>
      </c>
      <c r="B6092" s="142" t="s">
        <v>14462</v>
      </c>
      <c r="C6092" s="142" t="s">
        <v>15847</v>
      </c>
      <c r="D6092" s="142" t="s">
        <v>15848</v>
      </c>
      <c r="E6092" s="142" t="s">
        <v>15849</v>
      </c>
      <c r="F6092" s="142" t="s">
        <v>2506</v>
      </c>
      <c r="G6092" s="142" t="s">
        <v>2505</v>
      </c>
      <c r="H6092" s="142" t="s">
        <v>21942</v>
      </c>
      <c r="I6092" s="142">
        <v>108</v>
      </c>
      <c r="J6092" s="142">
        <v>0</v>
      </c>
      <c r="K6092" s="142">
        <v>0</v>
      </c>
      <c r="L6092" s="142">
        <v>0</v>
      </c>
      <c r="M6092" s="142">
        <v>108</v>
      </c>
    </row>
    <row r="6093" spans="1:13" x14ac:dyDescent="0.45">
      <c r="A6093" s="142" t="s">
        <v>14080</v>
      </c>
      <c r="B6093" s="142" t="s">
        <v>15051</v>
      </c>
      <c r="C6093" s="142" t="s">
        <v>15860</v>
      </c>
      <c r="D6093" s="142" t="s">
        <v>15861</v>
      </c>
      <c r="E6093" s="142" t="s">
        <v>15849</v>
      </c>
      <c r="F6093" s="142" t="s">
        <v>2506</v>
      </c>
      <c r="G6093" s="142" t="s">
        <v>2505</v>
      </c>
      <c r="H6093" s="142" t="s">
        <v>21943</v>
      </c>
      <c r="I6093" s="142">
        <v>26</v>
      </c>
      <c r="J6093" s="142">
        <v>26</v>
      </c>
      <c r="K6093" s="142">
        <v>0</v>
      </c>
      <c r="L6093" s="142">
        <v>0</v>
      </c>
      <c r="M6093" s="142">
        <v>0</v>
      </c>
    </row>
    <row r="6094" spans="1:13" x14ac:dyDescent="0.45">
      <c r="A6094" s="142" t="s">
        <v>13002</v>
      </c>
      <c r="B6094" s="142" t="s">
        <v>15376</v>
      </c>
      <c r="C6094" s="142" t="s">
        <v>15847</v>
      </c>
      <c r="D6094" s="142" t="s">
        <v>15848</v>
      </c>
      <c r="E6094" s="142" t="s">
        <v>15849</v>
      </c>
      <c r="F6094" s="142" t="s">
        <v>2506</v>
      </c>
      <c r="G6094" s="142" t="s">
        <v>2505</v>
      </c>
      <c r="H6094" s="142" t="s">
        <v>21944</v>
      </c>
      <c r="I6094" s="142">
        <v>878</v>
      </c>
      <c r="J6094" s="142">
        <v>581</v>
      </c>
      <c r="K6094" s="142">
        <v>0</v>
      </c>
      <c r="L6094" s="142">
        <v>153</v>
      </c>
      <c r="M6094" s="142">
        <v>144</v>
      </c>
    </row>
    <row r="6095" spans="1:13" x14ac:dyDescent="0.45">
      <c r="A6095" s="142" t="s">
        <v>13003</v>
      </c>
      <c r="B6095" s="142" t="s">
        <v>15245</v>
      </c>
      <c r="C6095" s="142" t="s">
        <v>15847</v>
      </c>
      <c r="D6095" s="142" t="s">
        <v>15848</v>
      </c>
      <c r="E6095" s="142" t="s">
        <v>15849</v>
      </c>
      <c r="F6095" s="142" t="s">
        <v>2506</v>
      </c>
      <c r="G6095" s="142" t="s">
        <v>2505</v>
      </c>
      <c r="H6095" s="142" t="s">
        <v>21945</v>
      </c>
      <c r="I6095" s="142">
        <v>80</v>
      </c>
      <c r="J6095" s="142">
        <v>0</v>
      </c>
      <c r="K6095" s="142">
        <v>0</v>
      </c>
      <c r="L6095" s="142">
        <v>80</v>
      </c>
      <c r="M6095" s="142">
        <v>0</v>
      </c>
    </row>
    <row r="6096" spans="1:13" x14ac:dyDescent="0.45">
      <c r="A6096" s="142" t="s">
        <v>13066</v>
      </c>
      <c r="B6096" s="142" t="s">
        <v>14459</v>
      </c>
      <c r="C6096" s="142" t="s">
        <v>15847</v>
      </c>
      <c r="D6096" s="142" t="s">
        <v>15848</v>
      </c>
      <c r="E6096" s="142" t="s">
        <v>15849</v>
      </c>
      <c r="F6096" s="142" t="s">
        <v>2506</v>
      </c>
      <c r="G6096" s="142" t="s">
        <v>2505</v>
      </c>
      <c r="H6096" s="142" t="s">
        <v>21946</v>
      </c>
      <c r="I6096" s="142">
        <v>59</v>
      </c>
      <c r="J6096" s="142">
        <v>0</v>
      </c>
      <c r="K6096" s="142">
        <v>0</v>
      </c>
      <c r="L6096" s="142">
        <v>59</v>
      </c>
      <c r="M6096" s="142">
        <v>0</v>
      </c>
    </row>
    <row r="6097" spans="1:13" x14ac:dyDescent="0.45">
      <c r="A6097" s="142" t="s">
        <v>13557</v>
      </c>
      <c r="B6097" s="142" t="s">
        <v>14592</v>
      </c>
      <c r="C6097" s="142" t="s">
        <v>15847</v>
      </c>
      <c r="D6097" s="142" t="s">
        <v>15848</v>
      </c>
      <c r="E6097" s="142" t="s">
        <v>15849</v>
      </c>
      <c r="F6097" s="142" t="s">
        <v>2506</v>
      </c>
      <c r="G6097" s="142" t="s">
        <v>2505</v>
      </c>
      <c r="H6097" s="142" t="s">
        <v>21947</v>
      </c>
      <c r="I6097" s="142">
        <v>6463</v>
      </c>
      <c r="J6097" s="142">
        <v>5999</v>
      </c>
      <c r="K6097" s="142">
        <v>0</v>
      </c>
      <c r="L6097" s="142">
        <v>287</v>
      </c>
      <c r="M6097" s="142">
        <v>177</v>
      </c>
    </row>
    <row r="6098" spans="1:13" x14ac:dyDescent="0.45">
      <c r="A6098" s="142" t="s">
        <v>13516</v>
      </c>
      <c r="B6098" s="142" t="s">
        <v>14461</v>
      </c>
      <c r="C6098" s="142" t="s">
        <v>15860</v>
      </c>
      <c r="D6098" s="142" t="s">
        <v>15861</v>
      </c>
      <c r="E6098" s="142" t="s">
        <v>15849</v>
      </c>
      <c r="F6098" s="142" t="s">
        <v>2506</v>
      </c>
      <c r="G6098" s="142" t="s">
        <v>2505</v>
      </c>
      <c r="H6098" s="142" t="s">
        <v>21948</v>
      </c>
      <c r="I6098" s="142">
        <v>1</v>
      </c>
      <c r="J6098" s="142">
        <v>0</v>
      </c>
      <c r="K6098" s="142">
        <v>0</v>
      </c>
      <c r="L6098" s="142">
        <v>1</v>
      </c>
      <c r="M6098" s="142">
        <v>0</v>
      </c>
    </row>
    <row r="6099" spans="1:13" x14ac:dyDescent="0.45">
      <c r="A6099" s="142" t="s">
        <v>13596</v>
      </c>
      <c r="B6099" s="142" t="s">
        <v>14527</v>
      </c>
      <c r="C6099" s="142" t="s">
        <v>15860</v>
      </c>
      <c r="D6099" s="142" t="s">
        <v>15861</v>
      </c>
      <c r="E6099" s="142" t="s">
        <v>15849</v>
      </c>
      <c r="F6099" s="142" t="s">
        <v>2506</v>
      </c>
      <c r="G6099" s="142" t="s">
        <v>2505</v>
      </c>
      <c r="H6099" s="142" t="s">
        <v>21949</v>
      </c>
      <c r="I6099" s="142">
        <v>12</v>
      </c>
      <c r="J6099" s="142">
        <v>12</v>
      </c>
      <c r="K6099" s="142">
        <v>0</v>
      </c>
      <c r="L6099" s="142">
        <v>0</v>
      </c>
      <c r="M6099" s="142">
        <v>0</v>
      </c>
    </row>
    <row r="6100" spans="1:13" x14ac:dyDescent="0.45">
      <c r="A6100" s="142" t="s">
        <v>13033</v>
      </c>
      <c r="B6100" s="142" t="s">
        <v>15276</v>
      </c>
      <c r="C6100" s="142" t="s">
        <v>15847</v>
      </c>
      <c r="D6100" s="142" t="s">
        <v>15848</v>
      </c>
      <c r="E6100" s="142" t="s">
        <v>15849</v>
      </c>
      <c r="F6100" s="142" t="s">
        <v>2506</v>
      </c>
      <c r="G6100" s="142" t="s">
        <v>2505</v>
      </c>
      <c r="H6100" s="142" t="s">
        <v>21950</v>
      </c>
      <c r="I6100" s="142">
        <v>577</v>
      </c>
      <c r="J6100" s="142">
        <v>504</v>
      </c>
      <c r="K6100" s="142">
        <v>0</v>
      </c>
      <c r="L6100" s="142">
        <v>52</v>
      </c>
      <c r="M6100" s="142">
        <v>21</v>
      </c>
    </row>
    <row r="6101" spans="1:13" x14ac:dyDescent="0.45">
      <c r="A6101" s="142" t="s">
        <v>13034</v>
      </c>
      <c r="B6101" s="142" t="s">
        <v>15562</v>
      </c>
      <c r="C6101" s="142" t="s">
        <v>15847</v>
      </c>
      <c r="D6101" s="142" t="s">
        <v>15848</v>
      </c>
      <c r="E6101" s="142" t="s">
        <v>15849</v>
      </c>
      <c r="F6101" s="142" t="s">
        <v>2506</v>
      </c>
      <c r="G6101" s="142" t="s">
        <v>2505</v>
      </c>
      <c r="H6101" s="142" t="s">
        <v>21951</v>
      </c>
      <c r="I6101" s="142">
        <v>25</v>
      </c>
      <c r="J6101" s="142">
        <v>0</v>
      </c>
      <c r="K6101" s="142">
        <v>0</v>
      </c>
      <c r="L6101" s="142">
        <v>25</v>
      </c>
      <c r="M6101" s="142">
        <v>0</v>
      </c>
    </row>
    <row r="6102" spans="1:13" x14ac:dyDescent="0.45">
      <c r="A6102" s="142" t="s">
        <v>13560</v>
      </c>
      <c r="B6102" s="142" t="s">
        <v>14778</v>
      </c>
      <c r="C6102" s="142" t="s">
        <v>15847</v>
      </c>
      <c r="D6102" s="142" t="s">
        <v>15848</v>
      </c>
      <c r="E6102" s="142" t="s">
        <v>15849</v>
      </c>
      <c r="F6102" s="142" t="s">
        <v>2506</v>
      </c>
      <c r="G6102" s="142" t="s">
        <v>2505</v>
      </c>
      <c r="H6102" s="142" t="s">
        <v>21952</v>
      </c>
      <c r="I6102" s="142">
        <v>34</v>
      </c>
      <c r="J6102" s="142">
        <v>11</v>
      </c>
      <c r="K6102" s="142">
        <v>0</v>
      </c>
      <c r="L6102" s="142">
        <v>8</v>
      </c>
      <c r="M6102" s="142">
        <v>15</v>
      </c>
    </row>
    <row r="6103" spans="1:13" x14ac:dyDescent="0.45">
      <c r="A6103" s="142" t="s">
        <v>13105</v>
      </c>
      <c r="B6103" s="142" t="s">
        <v>14654</v>
      </c>
      <c r="C6103" s="142" t="s">
        <v>15847</v>
      </c>
      <c r="D6103" s="142" t="s">
        <v>15848</v>
      </c>
      <c r="E6103" s="142" t="s">
        <v>15849</v>
      </c>
      <c r="F6103" s="142" t="s">
        <v>2506</v>
      </c>
      <c r="G6103" s="142" t="s">
        <v>2505</v>
      </c>
      <c r="H6103" s="142" t="s">
        <v>21953</v>
      </c>
      <c r="I6103" s="142">
        <v>6</v>
      </c>
      <c r="J6103" s="142">
        <v>0</v>
      </c>
      <c r="K6103" s="142">
        <v>0</v>
      </c>
      <c r="L6103" s="142">
        <v>0</v>
      </c>
      <c r="M6103" s="142">
        <v>6</v>
      </c>
    </row>
    <row r="6104" spans="1:13" x14ac:dyDescent="0.45">
      <c r="A6104" s="142" t="s">
        <v>13179</v>
      </c>
      <c r="B6104" s="142" t="s">
        <v>14704</v>
      </c>
      <c r="C6104" s="142" t="s">
        <v>15860</v>
      </c>
      <c r="D6104" s="142" t="s">
        <v>15861</v>
      </c>
      <c r="E6104" s="142" t="s">
        <v>15849</v>
      </c>
      <c r="F6104" s="142" t="s">
        <v>2506</v>
      </c>
      <c r="G6104" s="142" t="s">
        <v>2505</v>
      </c>
      <c r="H6104" s="142" t="s">
        <v>21954</v>
      </c>
      <c r="I6104" s="142">
        <v>9</v>
      </c>
      <c r="J6104" s="142">
        <v>9</v>
      </c>
      <c r="K6104" s="142">
        <v>0</v>
      </c>
      <c r="L6104" s="142">
        <v>0</v>
      </c>
      <c r="M6104" s="142">
        <v>0</v>
      </c>
    </row>
    <row r="6105" spans="1:13" x14ac:dyDescent="0.45">
      <c r="A6105" s="142" t="s">
        <v>13037</v>
      </c>
      <c r="B6105" s="142" t="s">
        <v>14519</v>
      </c>
      <c r="C6105" s="142" t="s">
        <v>15847</v>
      </c>
      <c r="D6105" s="142" t="s">
        <v>15848</v>
      </c>
      <c r="E6105" s="142" t="s">
        <v>15849</v>
      </c>
      <c r="F6105" s="142" t="s">
        <v>2506</v>
      </c>
      <c r="G6105" s="142" t="s">
        <v>2505</v>
      </c>
      <c r="H6105" s="142" t="s">
        <v>21955</v>
      </c>
      <c r="I6105" s="142">
        <v>9</v>
      </c>
      <c r="J6105" s="142">
        <v>0</v>
      </c>
      <c r="K6105" s="142">
        <v>0</v>
      </c>
      <c r="L6105" s="142">
        <v>9</v>
      </c>
      <c r="M6105" s="142">
        <v>0</v>
      </c>
    </row>
    <row r="6106" spans="1:13" x14ac:dyDescent="0.45">
      <c r="A6106" s="142" t="s">
        <v>13038</v>
      </c>
      <c r="B6106" s="142" t="s">
        <v>14646</v>
      </c>
      <c r="C6106" s="142" t="s">
        <v>15847</v>
      </c>
      <c r="D6106" s="142" t="s">
        <v>15848</v>
      </c>
      <c r="E6106" s="142" t="s">
        <v>15849</v>
      </c>
      <c r="F6106" s="142" t="s">
        <v>2506</v>
      </c>
      <c r="G6106" s="142" t="s">
        <v>2505</v>
      </c>
      <c r="H6106" s="142" t="s">
        <v>21956</v>
      </c>
      <c r="I6106" s="142">
        <v>11</v>
      </c>
      <c r="J6106" s="142">
        <v>11</v>
      </c>
      <c r="K6106" s="142">
        <v>0</v>
      </c>
      <c r="L6106" s="142">
        <v>0</v>
      </c>
      <c r="M6106" s="142">
        <v>0</v>
      </c>
    </row>
    <row r="6107" spans="1:13" x14ac:dyDescent="0.45">
      <c r="A6107" s="142" t="s">
        <v>13039</v>
      </c>
      <c r="B6107" s="142" t="s">
        <v>14647</v>
      </c>
      <c r="C6107" s="142" t="s">
        <v>15847</v>
      </c>
      <c r="D6107" s="142" t="s">
        <v>15848</v>
      </c>
      <c r="E6107" s="142" t="s">
        <v>15849</v>
      </c>
      <c r="F6107" s="142" t="s">
        <v>2506</v>
      </c>
      <c r="G6107" s="142" t="s">
        <v>2505</v>
      </c>
      <c r="H6107" s="142" t="s">
        <v>21957</v>
      </c>
      <c r="I6107" s="142">
        <v>4</v>
      </c>
      <c r="J6107" s="142">
        <v>4</v>
      </c>
      <c r="K6107" s="142">
        <v>0</v>
      </c>
      <c r="L6107" s="142">
        <v>0</v>
      </c>
      <c r="M6107" s="142">
        <v>0</v>
      </c>
    </row>
    <row r="6108" spans="1:13" x14ac:dyDescent="0.45">
      <c r="A6108" s="142" t="s">
        <v>13009</v>
      </c>
      <c r="B6108" s="142" t="s">
        <v>15256</v>
      </c>
      <c r="C6108" s="142" t="s">
        <v>15847</v>
      </c>
      <c r="D6108" s="142" t="s">
        <v>15848</v>
      </c>
      <c r="E6108" s="142" t="s">
        <v>15849</v>
      </c>
      <c r="F6108" s="142" t="s">
        <v>2506</v>
      </c>
      <c r="G6108" s="142" t="s">
        <v>2505</v>
      </c>
      <c r="H6108" s="142" t="s">
        <v>21958</v>
      </c>
      <c r="I6108" s="142">
        <v>732</v>
      </c>
      <c r="J6108" s="142">
        <v>512</v>
      </c>
      <c r="K6108" s="142">
        <v>0</v>
      </c>
      <c r="L6108" s="142">
        <v>178</v>
      </c>
      <c r="M6108" s="142">
        <v>42</v>
      </c>
    </row>
    <row r="6109" spans="1:13" x14ac:dyDescent="0.45">
      <c r="A6109" s="142" t="s">
        <v>13107</v>
      </c>
      <c r="B6109" s="142" t="s">
        <v>14522</v>
      </c>
      <c r="C6109" s="142" t="s">
        <v>15860</v>
      </c>
      <c r="D6109" s="142" t="s">
        <v>15861</v>
      </c>
      <c r="E6109" s="142" t="s">
        <v>15849</v>
      </c>
      <c r="F6109" s="142" t="s">
        <v>2506</v>
      </c>
      <c r="G6109" s="142" t="s">
        <v>2505</v>
      </c>
      <c r="H6109" s="142" t="s">
        <v>21959</v>
      </c>
      <c r="I6109" s="142">
        <v>45</v>
      </c>
      <c r="J6109" s="142">
        <v>9</v>
      </c>
      <c r="K6109" s="142">
        <v>0</v>
      </c>
      <c r="L6109" s="142">
        <v>36</v>
      </c>
      <c r="M6109" s="142">
        <v>0</v>
      </c>
    </row>
    <row r="6110" spans="1:13" x14ac:dyDescent="0.45">
      <c r="A6110" s="142" t="s">
        <v>13285</v>
      </c>
      <c r="B6110" s="142" t="s">
        <v>15158</v>
      </c>
      <c r="C6110" s="142" t="s">
        <v>15860</v>
      </c>
      <c r="D6110" s="142" t="s">
        <v>15861</v>
      </c>
      <c r="E6110" s="142" t="s">
        <v>15849</v>
      </c>
      <c r="F6110" s="142" t="s">
        <v>2506</v>
      </c>
      <c r="G6110" s="142" t="s">
        <v>2505</v>
      </c>
      <c r="H6110" s="142" t="s">
        <v>21960</v>
      </c>
      <c r="I6110" s="142">
        <v>19</v>
      </c>
      <c r="J6110" s="142">
        <v>0</v>
      </c>
      <c r="K6110" s="142">
        <v>0</v>
      </c>
      <c r="L6110" s="142">
        <v>19</v>
      </c>
      <c r="M6110" s="142">
        <v>0</v>
      </c>
    </row>
    <row r="6111" spans="1:13" x14ac:dyDescent="0.45">
      <c r="A6111" s="142" t="s">
        <v>13562</v>
      </c>
      <c r="B6111" s="142" t="s">
        <v>15482</v>
      </c>
      <c r="C6111" s="142" t="s">
        <v>15860</v>
      </c>
      <c r="D6111" s="142" t="s">
        <v>15861</v>
      </c>
      <c r="E6111" s="142" t="s">
        <v>15849</v>
      </c>
      <c r="F6111" s="142" t="s">
        <v>2506</v>
      </c>
      <c r="G6111" s="142" t="s">
        <v>2505</v>
      </c>
      <c r="H6111" s="142" t="s">
        <v>21961</v>
      </c>
      <c r="I6111" s="142">
        <v>7</v>
      </c>
      <c r="J6111" s="142">
        <v>0</v>
      </c>
      <c r="K6111" s="142">
        <v>0</v>
      </c>
      <c r="L6111" s="142">
        <v>7</v>
      </c>
      <c r="M6111" s="142">
        <v>0</v>
      </c>
    </row>
    <row r="6112" spans="1:13" x14ac:dyDescent="0.45">
      <c r="A6112" s="142" t="s">
        <v>14081</v>
      </c>
      <c r="B6112" s="142" t="s">
        <v>14472</v>
      </c>
      <c r="C6112" s="142" t="s">
        <v>15860</v>
      </c>
      <c r="D6112" s="142" t="s">
        <v>15861</v>
      </c>
      <c r="E6112" s="142" t="s">
        <v>15849</v>
      </c>
      <c r="F6112" s="142" t="s">
        <v>2506</v>
      </c>
      <c r="G6112" s="142" t="s">
        <v>2505</v>
      </c>
      <c r="H6112" s="142" t="s">
        <v>21962</v>
      </c>
      <c r="I6112" s="142">
        <v>20</v>
      </c>
      <c r="J6112" s="142">
        <v>20</v>
      </c>
      <c r="K6112" s="142">
        <v>0</v>
      </c>
      <c r="L6112" s="142">
        <v>0</v>
      </c>
      <c r="M6112" s="142">
        <v>0</v>
      </c>
    </row>
    <row r="6113" spans="1:13" x14ac:dyDescent="0.45">
      <c r="A6113" s="142" t="s">
        <v>14082</v>
      </c>
      <c r="B6113" s="142" t="s">
        <v>14815</v>
      </c>
      <c r="C6113" s="142" t="s">
        <v>15860</v>
      </c>
      <c r="D6113" s="142" t="s">
        <v>15861</v>
      </c>
      <c r="E6113" s="142" t="s">
        <v>15849</v>
      </c>
      <c r="F6113" s="142" t="s">
        <v>2506</v>
      </c>
      <c r="G6113" s="142" t="s">
        <v>2505</v>
      </c>
      <c r="H6113" s="142" t="s">
        <v>21963</v>
      </c>
      <c r="I6113" s="142">
        <v>10</v>
      </c>
      <c r="J6113" s="142">
        <v>10</v>
      </c>
      <c r="K6113" s="142">
        <v>0</v>
      </c>
      <c r="L6113" s="142">
        <v>0</v>
      </c>
      <c r="M6113" s="142">
        <v>0</v>
      </c>
    </row>
    <row r="6114" spans="1:13" x14ac:dyDescent="0.45">
      <c r="A6114" s="142" t="s">
        <v>13042</v>
      </c>
      <c r="B6114" s="142" t="s">
        <v>15489</v>
      </c>
      <c r="C6114" s="142" t="s">
        <v>15847</v>
      </c>
      <c r="D6114" s="142" t="s">
        <v>15848</v>
      </c>
      <c r="E6114" s="142" t="s">
        <v>15849</v>
      </c>
      <c r="F6114" s="142" t="s">
        <v>2506</v>
      </c>
      <c r="G6114" s="142" t="s">
        <v>2505</v>
      </c>
      <c r="H6114" s="142" t="s">
        <v>21964</v>
      </c>
      <c r="I6114" s="142">
        <v>468</v>
      </c>
      <c r="J6114" s="142">
        <v>320</v>
      </c>
      <c r="K6114" s="142">
        <v>0</v>
      </c>
      <c r="L6114" s="142">
        <v>30</v>
      </c>
      <c r="M6114" s="142">
        <v>118</v>
      </c>
    </row>
    <row r="6115" spans="1:13" x14ac:dyDescent="0.45">
      <c r="A6115" s="142" t="s">
        <v>13096</v>
      </c>
      <c r="B6115" s="142" t="s">
        <v>15478</v>
      </c>
      <c r="C6115" s="142" t="s">
        <v>15847</v>
      </c>
      <c r="D6115" s="142" t="s">
        <v>15848</v>
      </c>
      <c r="E6115" s="142" t="s">
        <v>15849</v>
      </c>
      <c r="F6115" s="142" t="s">
        <v>2506</v>
      </c>
      <c r="G6115" s="142" t="s">
        <v>2505</v>
      </c>
      <c r="H6115" s="142" t="s">
        <v>21965</v>
      </c>
      <c r="I6115" s="142">
        <v>224</v>
      </c>
      <c r="J6115" s="142">
        <v>178</v>
      </c>
      <c r="K6115" s="142">
        <v>0</v>
      </c>
      <c r="L6115" s="142">
        <v>0</v>
      </c>
      <c r="M6115" s="142">
        <v>46</v>
      </c>
    </row>
    <row r="6116" spans="1:13" x14ac:dyDescent="0.45">
      <c r="A6116" s="142" t="s">
        <v>13061</v>
      </c>
      <c r="B6116" s="142" t="s">
        <v>15184</v>
      </c>
      <c r="C6116" s="142" t="s">
        <v>15860</v>
      </c>
      <c r="D6116" s="142" t="s">
        <v>15861</v>
      </c>
      <c r="E6116" s="142" t="s">
        <v>15849</v>
      </c>
      <c r="F6116" s="142" t="s">
        <v>2506</v>
      </c>
      <c r="G6116" s="142" t="s">
        <v>2505</v>
      </c>
      <c r="H6116" s="142" t="s">
        <v>21966</v>
      </c>
      <c r="I6116" s="142">
        <v>8</v>
      </c>
      <c r="J6116" s="142">
        <v>0</v>
      </c>
      <c r="K6116" s="142">
        <v>0</v>
      </c>
      <c r="L6116" s="142">
        <v>8</v>
      </c>
      <c r="M6116" s="142">
        <v>0</v>
      </c>
    </row>
    <row r="6117" spans="1:13" x14ac:dyDescent="0.45">
      <c r="A6117" s="142" t="s">
        <v>13704</v>
      </c>
      <c r="B6117" s="142" t="s">
        <v>15588</v>
      </c>
      <c r="C6117" s="142" t="s">
        <v>15860</v>
      </c>
      <c r="D6117" s="142" t="s">
        <v>15861</v>
      </c>
      <c r="E6117" s="142" t="s">
        <v>15849</v>
      </c>
      <c r="F6117" s="142" t="s">
        <v>2506</v>
      </c>
      <c r="G6117" s="142" t="s">
        <v>2505</v>
      </c>
      <c r="H6117" s="142" t="s">
        <v>21967</v>
      </c>
      <c r="I6117" s="142">
        <v>16</v>
      </c>
      <c r="J6117" s="142">
        <v>0</v>
      </c>
      <c r="K6117" s="142">
        <v>0</v>
      </c>
      <c r="L6117" s="142">
        <v>16</v>
      </c>
      <c r="M6117" s="142">
        <v>0</v>
      </c>
    </row>
    <row r="6118" spans="1:13" x14ac:dyDescent="0.45">
      <c r="A6118" s="142" t="s">
        <v>13016</v>
      </c>
      <c r="B6118" s="142" t="s">
        <v>14535</v>
      </c>
      <c r="C6118" s="142" t="s">
        <v>15860</v>
      </c>
      <c r="D6118" s="142" t="s">
        <v>15861</v>
      </c>
      <c r="E6118" s="142" t="s">
        <v>15849</v>
      </c>
      <c r="F6118" s="142" t="s">
        <v>2506</v>
      </c>
      <c r="G6118" s="142" t="s">
        <v>2505</v>
      </c>
      <c r="H6118" s="142" t="s">
        <v>21968</v>
      </c>
      <c r="I6118" s="142">
        <v>5</v>
      </c>
      <c r="J6118" s="142">
        <v>0</v>
      </c>
      <c r="K6118" s="142">
        <v>0</v>
      </c>
      <c r="L6118" s="142">
        <v>5</v>
      </c>
      <c r="M6118" s="142">
        <v>0</v>
      </c>
    </row>
    <row r="6119" spans="1:13" x14ac:dyDescent="0.45">
      <c r="A6119" s="142" t="s">
        <v>13023</v>
      </c>
      <c r="B6119" s="142" t="s">
        <v>15571</v>
      </c>
      <c r="C6119" s="142" t="s">
        <v>15847</v>
      </c>
      <c r="D6119" s="142" t="s">
        <v>15848</v>
      </c>
      <c r="E6119" s="142" t="s">
        <v>15849</v>
      </c>
      <c r="F6119" s="142" t="s">
        <v>7209</v>
      </c>
      <c r="G6119" s="142" t="s">
        <v>7208</v>
      </c>
      <c r="H6119" s="142" t="s">
        <v>21969</v>
      </c>
      <c r="I6119" s="142">
        <v>155</v>
      </c>
      <c r="J6119" s="142">
        <v>3</v>
      </c>
      <c r="K6119" s="142">
        <v>0</v>
      </c>
      <c r="L6119" s="142">
        <v>152</v>
      </c>
      <c r="M6119" s="142">
        <v>0</v>
      </c>
    </row>
    <row r="6120" spans="1:13" x14ac:dyDescent="0.45">
      <c r="A6120" s="142" t="s">
        <v>13330</v>
      </c>
      <c r="B6120" s="142" t="s">
        <v>15239</v>
      </c>
      <c r="C6120" s="142" t="s">
        <v>15847</v>
      </c>
      <c r="D6120" s="142" t="s">
        <v>15848</v>
      </c>
      <c r="E6120" s="142" t="s">
        <v>15849</v>
      </c>
      <c r="F6120" s="142" t="s">
        <v>7209</v>
      </c>
      <c r="G6120" s="142" t="s">
        <v>7208</v>
      </c>
      <c r="H6120" s="142" t="s">
        <v>21970</v>
      </c>
      <c r="I6120" s="142">
        <v>1961</v>
      </c>
      <c r="J6120" s="142">
        <v>1672</v>
      </c>
      <c r="K6120" s="142">
        <v>4</v>
      </c>
      <c r="L6120" s="142">
        <v>231</v>
      </c>
      <c r="M6120" s="142">
        <v>54</v>
      </c>
    </row>
    <row r="6121" spans="1:13" x14ac:dyDescent="0.45">
      <c r="A6121" s="142" t="s">
        <v>13000</v>
      </c>
      <c r="B6121" s="142" t="s">
        <v>14610</v>
      </c>
      <c r="C6121" s="142" t="s">
        <v>15847</v>
      </c>
      <c r="D6121" s="142" t="s">
        <v>15848</v>
      </c>
      <c r="E6121" s="142" t="s">
        <v>15849</v>
      </c>
      <c r="F6121" s="142" t="s">
        <v>7209</v>
      </c>
      <c r="G6121" s="142" t="s">
        <v>7208</v>
      </c>
      <c r="H6121" s="142" t="s">
        <v>21971</v>
      </c>
      <c r="I6121" s="142">
        <v>249</v>
      </c>
      <c r="J6121" s="142">
        <v>189</v>
      </c>
      <c r="K6121" s="142">
        <v>0</v>
      </c>
      <c r="L6121" s="142">
        <v>2</v>
      </c>
      <c r="M6121" s="142">
        <v>58</v>
      </c>
    </row>
    <row r="6122" spans="1:13" x14ac:dyDescent="0.45">
      <c r="A6122" s="142" t="s">
        <v>13632</v>
      </c>
      <c r="B6122" s="142" t="s">
        <v>15080</v>
      </c>
      <c r="C6122" s="142" t="s">
        <v>15860</v>
      </c>
      <c r="D6122" s="142" t="s">
        <v>15861</v>
      </c>
      <c r="E6122" s="142" t="s">
        <v>15849</v>
      </c>
      <c r="F6122" s="142" t="s">
        <v>7209</v>
      </c>
      <c r="G6122" s="142" t="s">
        <v>7208</v>
      </c>
      <c r="H6122" s="142" t="s">
        <v>21972</v>
      </c>
      <c r="I6122" s="142">
        <v>1</v>
      </c>
      <c r="J6122" s="142">
        <v>1</v>
      </c>
      <c r="K6122" s="142">
        <v>0</v>
      </c>
      <c r="L6122" s="142">
        <v>0</v>
      </c>
      <c r="M6122" s="142">
        <v>0</v>
      </c>
    </row>
    <row r="6123" spans="1:13" x14ac:dyDescent="0.45">
      <c r="A6123" s="142" t="s">
        <v>14084</v>
      </c>
      <c r="B6123" s="142" t="s">
        <v>15534</v>
      </c>
      <c r="C6123" s="142" t="s">
        <v>15860</v>
      </c>
      <c r="D6123" s="142" t="s">
        <v>15861</v>
      </c>
      <c r="E6123" s="142" t="s">
        <v>15849</v>
      </c>
      <c r="F6123" s="142" t="s">
        <v>7209</v>
      </c>
      <c r="G6123" s="142" t="s">
        <v>7208</v>
      </c>
      <c r="H6123" s="142" t="s">
        <v>21973</v>
      </c>
      <c r="I6123" s="142">
        <v>51</v>
      </c>
      <c r="J6123" s="142">
        <v>0</v>
      </c>
      <c r="K6123" s="142">
        <v>0</v>
      </c>
      <c r="L6123" s="142">
        <v>51</v>
      </c>
      <c r="M6123" s="142">
        <v>0</v>
      </c>
    </row>
    <row r="6124" spans="1:13" x14ac:dyDescent="0.45">
      <c r="A6124" s="142" t="s">
        <v>13119</v>
      </c>
      <c r="B6124" s="142" t="s">
        <v>14451</v>
      </c>
      <c r="C6124" s="142" t="s">
        <v>15860</v>
      </c>
      <c r="D6124" s="142" t="s">
        <v>15861</v>
      </c>
      <c r="E6124" s="142" t="s">
        <v>15849</v>
      </c>
      <c r="F6124" s="142" t="s">
        <v>7209</v>
      </c>
      <c r="G6124" s="142" t="s">
        <v>7208</v>
      </c>
      <c r="H6124" s="142" t="s">
        <v>21974</v>
      </c>
      <c r="I6124" s="142">
        <v>2</v>
      </c>
      <c r="J6124" s="142">
        <v>0</v>
      </c>
      <c r="K6124" s="142">
        <v>0</v>
      </c>
      <c r="L6124" s="142">
        <v>2</v>
      </c>
      <c r="M6124" s="142">
        <v>0</v>
      </c>
    </row>
    <row r="6125" spans="1:13" x14ac:dyDescent="0.45">
      <c r="A6125" s="142" t="s">
        <v>13087</v>
      </c>
      <c r="B6125" s="142" t="s">
        <v>14452</v>
      </c>
      <c r="C6125" s="142" t="s">
        <v>15847</v>
      </c>
      <c r="D6125" s="142" t="s">
        <v>15848</v>
      </c>
      <c r="E6125" s="142" t="s">
        <v>15849</v>
      </c>
      <c r="F6125" s="142" t="s">
        <v>7209</v>
      </c>
      <c r="G6125" s="142" t="s">
        <v>7208</v>
      </c>
      <c r="H6125" s="142" t="s">
        <v>21975</v>
      </c>
      <c r="I6125" s="142">
        <v>568</v>
      </c>
      <c r="J6125" s="142">
        <v>502</v>
      </c>
      <c r="K6125" s="142">
        <v>0</v>
      </c>
      <c r="L6125" s="142">
        <v>17</v>
      </c>
      <c r="M6125" s="142">
        <v>49</v>
      </c>
    </row>
    <row r="6126" spans="1:13" x14ac:dyDescent="0.45">
      <c r="A6126" s="142" t="s">
        <v>13027</v>
      </c>
      <c r="B6126" s="142" t="s">
        <v>14562</v>
      </c>
      <c r="C6126" s="142" t="s">
        <v>15847</v>
      </c>
      <c r="D6126" s="142" t="s">
        <v>15848</v>
      </c>
      <c r="E6126" s="142" t="s">
        <v>15849</v>
      </c>
      <c r="F6126" s="142" t="s">
        <v>7209</v>
      </c>
      <c r="G6126" s="142" t="s">
        <v>7208</v>
      </c>
      <c r="H6126" s="142" t="s">
        <v>21976</v>
      </c>
      <c r="I6126" s="142">
        <v>6</v>
      </c>
      <c r="J6126" s="142">
        <v>0</v>
      </c>
      <c r="K6126" s="142">
        <v>0</v>
      </c>
      <c r="L6126" s="142">
        <v>6</v>
      </c>
      <c r="M6126" s="142">
        <v>0</v>
      </c>
    </row>
    <row r="6127" spans="1:13" x14ac:dyDescent="0.45">
      <c r="A6127" s="142" t="s">
        <v>14085</v>
      </c>
      <c r="B6127" s="142" t="s">
        <v>14751</v>
      </c>
      <c r="C6127" s="142" t="s">
        <v>15860</v>
      </c>
      <c r="D6127" s="142" t="s">
        <v>15861</v>
      </c>
      <c r="E6127" s="142" t="s">
        <v>15849</v>
      </c>
      <c r="F6127" s="142" t="s">
        <v>7209</v>
      </c>
      <c r="G6127" s="142" t="s">
        <v>7208</v>
      </c>
      <c r="H6127" s="142" t="s">
        <v>21977</v>
      </c>
      <c r="I6127" s="142">
        <v>100</v>
      </c>
      <c r="J6127" s="142">
        <v>0</v>
      </c>
      <c r="K6127" s="142">
        <v>0</v>
      </c>
      <c r="L6127" s="142">
        <v>100</v>
      </c>
      <c r="M6127" s="142">
        <v>0</v>
      </c>
    </row>
    <row r="6128" spans="1:13" x14ac:dyDescent="0.45">
      <c r="A6128" s="142" t="s">
        <v>13001</v>
      </c>
      <c r="B6128" s="142" t="s">
        <v>15506</v>
      </c>
      <c r="C6128" s="142" t="s">
        <v>15847</v>
      </c>
      <c r="D6128" s="142" t="s">
        <v>15848</v>
      </c>
      <c r="E6128" s="142" t="s">
        <v>15849</v>
      </c>
      <c r="F6128" s="142" t="s">
        <v>7209</v>
      </c>
      <c r="G6128" s="142" t="s">
        <v>7208</v>
      </c>
      <c r="H6128" s="142" t="s">
        <v>21978</v>
      </c>
      <c r="I6128" s="142">
        <v>46</v>
      </c>
      <c r="J6128" s="142">
        <v>46</v>
      </c>
      <c r="K6128" s="142">
        <v>0</v>
      </c>
      <c r="L6128" s="142">
        <v>0</v>
      </c>
      <c r="M6128" s="142">
        <v>0</v>
      </c>
    </row>
    <row r="6129" spans="1:13" x14ac:dyDescent="0.45">
      <c r="A6129" s="142" t="s">
        <v>13002</v>
      </c>
      <c r="B6129" s="142" t="s">
        <v>15376</v>
      </c>
      <c r="C6129" s="142" t="s">
        <v>15847</v>
      </c>
      <c r="D6129" s="142" t="s">
        <v>15848</v>
      </c>
      <c r="E6129" s="142" t="s">
        <v>15849</v>
      </c>
      <c r="F6129" s="142" t="s">
        <v>7209</v>
      </c>
      <c r="G6129" s="142" t="s">
        <v>7208</v>
      </c>
      <c r="H6129" s="142" t="s">
        <v>21979</v>
      </c>
      <c r="I6129" s="142">
        <v>34</v>
      </c>
      <c r="J6129" s="142">
        <v>0</v>
      </c>
      <c r="K6129" s="142">
        <v>0</v>
      </c>
      <c r="L6129" s="142">
        <v>34</v>
      </c>
      <c r="M6129" s="142">
        <v>0</v>
      </c>
    </row>
    <row r="6130" spans="1:13" x14ac:dyDescent="0.45">
      <c r="A6130" s="142" t="s">
        <v>13003</v>
      </c>
      <c r="B6130" s="142" t="s">
        <v>15245</v>
      </c>
      <c r="C6130" s="142" t="s">
        <v>15847</v>
      </c>
      <c r="D6130" s="142" t="s">
        <v>15848</v>
      </c>
      <c r="E6130" s="142" t="s">
        <v>15849</v>
      </c>
      <c r="F6130" s="142" t="s">
        <v>7209</v>
      </c>
      <c r="G6130" s="142" t="s">
        <v>7208</v>
      </c>
      <c r="H6130" s="142" t="s">
        <v>21980</v>
      </c>
      <c r="I6130" s="142">
        <v>73</v>
      </c>
      <c r="J6130" s="142">
        <v>0</v>
      </c>
      <c r="K6130" s="142">
        <v>0</v>
      </c>
      <c r="L6130" s="142">
        <v>73</v>
      </c>
      <c r="M6130" s="142">
        <v>0</v>
      </c>
    </row>
    <row r="6131" spans="1:13" x14ac:dyDescent="0.45">
      <c r="A6131" s="142" t="s">
        <v>13005</v>
      </c>
      <c r="B6131" s="142" t="s">
        <v>15475</v>
      </c>
      <c r="C6131" s="142" t="s">
        <v>15847</v>
      </c>
      <c r="D6131" s="142" t="s">
        <v>15848</v>
      </c>
      <c r="E6131" s="142" t="s">
        <v>15849</v>
      </c>
      <c r="F6131" s="142" t="s">
        <v>7209</v>
      </c>
      <c r="G6131" s="142" t="s">
        <v>7208</v>
      </c>
      <c r="H6131" s="142" t="s">
        <v>21981</v>
      </c>
      <c r="I6131" s="142">
        <v>1</v>
      </c>
      <c r="J6131" s="142">
        <v>0</v>
      </c>
      <c r="K6131" s="142">
        <v>0</v>
      </c>
      <c r="L6131" s="142">
        <v>0</v>
      </c>
      <c r="M6131" s="142">
        <v>1</v>
      </c>
    </row>
    <row r="6132" spans="1:13" x14ac:dyDescent="0.45">
      <c r="A6132" s="142" t="s">
        <v>13007</v>
      </c>
      <c r="B6132" s="142" t="s">
        <v>15262</v>
      </c>
      <c r="C6132" s="142" t="s">
        <v>15847</v>
      </c>
      <c r="D6132" s="142" t="s">
        <v>15848</v>
      </c>
      <c r="E6132" s="142" t="s">
        <v>15849</v>
      </c>
      <c r="F6132" s="142" t="s">
        <v>7209</v>
      </c>
      <c r="G6132" s="142" t="s">
        <v>7208</v>
      </c>
      <c r="H6132" s="142" t="s">
        <v>21982</v>
      </c>
      <c r="I6132" s="142">
        <v>2</v>
      </c>
      <c r="J6132" s="142">
        <v>0</v>
      </c>
      <c r="K6132" s="142">
        <v>0</v>
      </c>
      <c r="L6132" s="142">
        <v>0</v>
      </c>
      <c r="M6132" s="142">
        <v>2</v>
      </c>
    </row>
    <row r="6133" spans="1:13" x14ac:dyDescent="0.45">
      <c r="A6133" s="142" t="s">
        <v>14086</v>
      </c>
      <c r="B6133" s="142" t="s">
        <v>14727</v>
      </c>
      <c r="C6133" s="142" t="s">
        <v>15860</v>
      </c>
      <c r="D6133" s="142" t="s">
        <v>15861</v>
      </c>
      <c r="E6133" s="142" t="s">
        <v>15849</v>
      </c>
      <c r="F6133" s="142" t="s">
        <v>7209</v>
      </c>
      <c r="G6133" s="142" t="s">
        <v>7208</v>
      </c>
      <c r="H6133" s="142" t="s">
        <v>21983</v>
      </c>
      <c r="I6133" s="142">
        <v>69</v>
      </c>
      <c r="J6133" s="142">
        <v>0</v>
      </c>
      <c r="K6133" s="142">
        <v>0</v>
      </c>
      <c r="L6133" s="142">
        <v>69</v>
      </c>
      <c r="M6133" s="142">
        <v>0</v>
      </c>
    </row>
    <row r="6134" spans="1:13" x14ac:dyDescent="0.45">
      <c r="A6134" s="142" t="s">
        <v>14087</v>
      </c>
      <c r="B6134" s="142" t="s">
        <v>15325</v>
      </c>
      <c r="C6134" s="142" t="s">
        <v>15860</v>
      </c>
      <c r="D6134" s="142" t="s">
        <v>15861</v>
      </c>
      <c r="E6134" s="142" t="s">
        <v>15849</v>
      </c>
      <c r="F6134" s="142" t="s">
        <v>7209</v>
      </c>
      <c r="G6134" s="142" t="s">
        <v>7208</v>
      </c>
      <c r="H6134" s="142" t="s">
        <v>21984</v>
      </c>
      <c r="I6134" s="142">
        <v>301</v>
      </c>
      <c r="J6134" s="142">
        <v>3</v>
      </c>
      <c r="K6134" s="142">
        <v>0</v>
      </c>
      <c r="L6134" s="142">
        <v>298</v>
      </c>
      <c r="M6134" s="142">
        <v>0</v>
      </c>
    </row>
    <row r="6135" spans="1:13" x14ac:dyDescent="0.45">
      <c r="A6135" s="142" t="s">
        <v>13008</v>
      </c>
      <c r="B6135" s="142" t="s">
        <v>15411</v>
      </c>
      <c r="C6135" s="142" t="s">
        <v>15847</v>
      </c>
      <c r="D6135" s="142" t="s">
        <v>15848</v>
      </c>
      <c r="E6135" s="142" t="s">
        <v>15849</v>
      </c>
      <c r="F6135" s="142" t="s">
        <v>7209</v>
      </c>
      <c r="G6135" s="142" t="s">
        <v>7208</v>
      </c>
      <c r="H6135" s="142" t="s">
        <v>21985</v>
      </c>
      <c r="I6135" s="142">
        <v>121</v>
      </c>
      <c r="J6135" s="142">
        <v>0</v>
      </c>
      <c r="K6135" s="142">
        <v>0</v>
      </c>
      <c r="L6135" s="142">
        <v>0</v>
      </c>
      <c r="M6135" s="142">
        <v>121</v>
      </c>
    </row>
    <row r="6136" spans="1:13" x14ac:dyDescent="0.45">
      <c r="A6136" s="142" t="s">
        <v>13077</v>
      </c>
      <c r="B6136" s="142" t="s">
        <v>15407</v>
      </c>
      <c r="C6136" s="142" t="s">
        <v>15847</v>
      </c>
      <c r="D6136" s="142" t="s">
        <v>15848</v>
      </c>
      <c r="E6136" s="142" t="s">
        <v>15849</v>
      </c>
      <c r="F6136" s="142" t="s">
        <v>7209</v>
      </c>
      <c r="G6136" s="142" t="s">
        <v>7208</v>
      </c>
      <c r="H6136" s="142" t="s">
        <v>21986</v>
      </c>
      <c r="I6136" s="142">
        <v>703</v>
      </c>
      <c r="J6136" s="142">
        <v>642</v>
      </c>
      <c r="K6136" s="142">
        <v>0</v>
      </c>
      <c r="L6136" s="142">
        <v>61</v>
      </c>
      <c r="M6136" s="142">
        <v>0</v>
      </c>
    </row>
    <row r="6137" spans="1:13" x14ac:dyDescent="0.45">
      <c r="A6137" s="142" t="s">
        <v>13089</v>
      </c>
      <c r="B6137" s="142" t="s">
        <v>15240</v>
      </c>
      <c r="C6137" s="142" t="s">
        <v>15847</v>
      </c>
      <c r="D6137" s="142" t="s">
        <v>15848</v>
      </c>
      <c r="E6137" s="142" t="s">
        <v>15849</v>
      </c>
      <c r="F6137" s="142" t="s">
        <v>7209</v>
      </c>
      <c r="G6137" s="142" t="s">
        <v>7208</v>
      </c>
      <c r="H6137" s="142" t="s">
        <v>21987</v>
      </c>
      <c r="I6137" s="142">
        <v>262</v>
      </c>
      <c r="J6137" s="142">
        <v>218</v>
      </c>
      <c r="K6137" s="142">
        <v>0</v>
      </c>
      <c r="L6137" s="142">
        <v>33</v>
      </c>
      <c r="M6137" s="142">
        <v>11</v>
      </c>
    </row>
    <row r="6138" spans="1:13" x14ac:dyDescent="0.45">
      <c r="A6138" s="142" t="s">
        <v>13033</v>
      </c>
      <c r="B6138" s="142" t="s">
        <v>15276</v>
      </c>
      <c r="C6138" s="142" t="s">
        <v>15847</v>
      </c>
      <c r="D6138" s="142" t="s">
        <v>15848</v>
      </c>
      <c r="E6138" s="142" t="s">
        <v>15849</v>
      </c>
      <c r="F6138" s="142" t="s">
        <v>7209</v>
      </c>
      <c r="G6138" s="142" t="s">
        <v>7208</v>
      </c>
      <c r="H6138" s="142" t="s">
        <v>21988</v>
      </c>
      <c r="I6138" s="142">
        <v>278</v>
      </c>
      <c r="J6138" s="142">
        <v>278</v>
      </c>
      <c r="K6138" s="142">
        <v>0</v>
      </c>
      <c r="L6138" s="142">
        <v>0</v>
      </c>
      <c r="M6138" s="142">
        <v>0</v>
      </c>
    </row>
    <row r="6139" spans="1:13" x14ac:dyDescent="0.45">
      <c r="A6139" s="142" t="s">
        <v>13034</v>
      </c>
      <c r="B6139" s="142" t="s">
        <v>15562</v>
      </c>
      <c r="C6139" s="142" t="s">
        <v>15847</v>
      </c>
      <c r="D6139" s="142" t="s">
        <v>15848</v>
      </c>
      <c r="E6139" s="142" t="s">
        <v>15849</v>
      </c>
      <c r="F6139" s="142" t="s">
        <v>7209</v>
      </c>
      <c r="G6139" s="142" t="s">
        <v>7208</v>
      </c>
      <c r="H6139" s="142" t="s">
        <v>21989</v>
      </c>
      <c r="I6139" s="142">
        <v>713</v>
      </c>
      <c r="J6139" s="142">
        <v>572</v>
      </c>
      <c r="K6139" s="142">
        <v>0</v>
      </c>
      <c r="L6139" s="142">
        <v>112</v>
      </c>
      <c r="M6139" s="142">
        <v>29</v>
      </c>
    </row>
    <row r="6140" spans="1:13" x14ac:dyDescent="0.45">
      <c r="A6140" s="142" t="s">
        <v>13037</v>
      </c>
      <c r="B6140" s="142" t="s">
        <v>14519</v>
      </c>
      <c r="C6140" s="142" t="s">
        <v>15847</v>
      </c>
      <c r="D6140" s="142" t="s">
        <v>15848</v>
      </c>
      <c r="E6140" s="142" t="s">
        <v>15849</v>
      </c>
      <c r="F6140" s="142" t="s">
        <v>7209</v>
      </c>
      <c r="G6140" s="142" t="s">
        <v>7208</v>
      </c>
      <c r="H6140" s="142" t="s">
        <v>21990</v>
      </c>
      <c r="I6140" s="142">
        <v>29</v>
      </c>
      <c r="J6140" s="142">
        <v>0</v>
      </c>
      <c r="K6140" s="142">
        <v>0</v>
      </c>
      <c r="L6140" s="142">
        <v>29</v>
      </c>
      <c r="M6140" s="142">
        <v>0</v>
      </c>
    </row>
    <row r="6141" spans="1:13" x14ac:dyDescent="0.45">
      <c r="A6141" s="142" t="s">
        <v>14088</v>
      </c>
      <c r="B6141" s="142" t="s">
        <v>15527</v>
      </c>
      <c r="C6141" s="142" t="s">
        <v>15860</v>
      </c>
      <c r="D6141" s="142" t="s">
        <v>15861</v>
      </c>
      <c r="E6141" s="142" t="s">
        <v>15849</v>
      </c>
      <c r="F6141" s="142" t="s">
        <v>7209</v>
      </c>
      <c r="G6141" s="142" t="s">
        <v>7208</v>
      </c>
      <c r="H6141" s="142" t="s">
        <v>21991</v>
      </c>
      <c r="I6141" s="142">
        <v>20</v>
      </c>
      <c r="J6141" s="142">
        <v>0</v>
      </c>
      <c r="K6141" s="142">
        <v>0</v>
      </c>
      <c r="L6141" s="142">
        <v>20</v>
      </c>
      <c r="M6141" s="142">
        <v>0</v>
      </c>
    </row>
    <row r="6142" spans="1:13" x14ac:dyDescent="0.45">
      <c r="A6142" s="142" t="s">
        <v>13090</v>
      </c>
      <c r="B6142" s="142" t="s">
        <v>15600</v>
      </c>
      <c r="C6142" s="142" t="s">
        <v>15847</v>
      </c>
      <c r="D6142" s="142" t="s">
        <v>15848</v>
      </c>
      <c r="E6142" s="142" t="s">
        <v>15849</v>
      </c>
      <c r="F6142" s="142" t="s">
        <v>7209</v>
      </c>
      <c r="G6142" s="142" t="s">
        <v>7208</v>
      </c>
      <c r="H6142" s="142" t="s">
        <v>21992</v>
      </c>
      <c r="I6142" s="142">
        <v>152</v>
      </c>
      <c r="J6142" s="142">
        <v>58</v>
      </c>
      <c r="K6142" s="142">
        <v>0</v>
      </c>
      <c r="L6142" s="142">
        <v>92</v>
      </c>
      <c r="M6142" s="142">
        <v>2</v>
      </c>
    </row>
    <row r="6143" spans="1:13" x14ac:dyDescent="0.45">
      <c r="A6143" s="142" t="s">
        <v>13091</v>
      </c>
      <c r="B6143" s="142" t="s">
        <v>14473</v>
      </c>
      <c r="C6143" s="142" t="s">
        <v>15847</v>
      </c>
      <c r="D6143" s="142" t="s">
        <v>15848</v>
      </c>
      <c r="E6143" s="142" t="s">
        <v>15849</v>
      </c>
      <c r="F6143" s="142" t="s">
        <v>7209</v>
      </c>
      <c r="G6143" s="142" t="s">
        <v>7208</v>
      </c>
      <c r="H6143" s="142" t="s">
        <v>21993</v>
      </c>
      <c r="I6143" s="142">
        <v>51</v>
      </c>
      <c r="J6143" s="142">
        <v>0</v>
      </c>
      <c r="K6143" s="142">
        <v>0</v>
      </c>
      <c r="L6143" s="142">
        <v>51</v>
      </c>
      <c r="M6143" s="142">
        <v>0</v>
      </c>
    </row>
    <row r="6144" spans="1:13" x14ac:dyDescent="0.45">
      <c r="A6144" s="142" t="s">
        <v>13011</v>
      </c>
      <c r="B6144" s="142" t="s">
        <v>14695</v>
      </c>
      <c r="C6144" s="142" t="s">
        <v>15847</v>
      </c>
      <c r="D6144" s="142" t="s">
        <v>15848</v>
      </c>
      <c r="E6144" s="142" t="s">
        <v>15849</v>
      </c>
      <c r="F6144" s="142" t="s">
        <v>7209</v>
      </c>
      <c r="G6144" s="142" t="s">
        <v>7208</v>
      </c>
      <c r="H6144" s="142" t="s">
        <v>21994</v>
      </c>
      <c r="I6144" s="142">
        <v>1</v>
      </c>
      <c r="J6144" s="142">
        <v>0</v>
      </c>
      <c r="K6144" s="142">
        <v>0</v>
      </c>
      <c r="L6144" s="142">
        <v>0</v>
      </c>
      <c r="M6144" s="142">
        <v>1</v>
      </c>
    </row>
    <row r="6145" spans="1:13" x14ac:dyDescent="0.45">
      <c r="A6145" s="142" t="s">
        <v>13012</v>
      </c>
      <c r="B6145" s="142" t="s">
        <v>15337</v>
      </c>
      <c r="C6145" s="142" t="s">
        <v>15847</v>
      </c>
      <c r="D6145" s="142" t="s">
        <v>15848</v>
      </c>
      <c r="E6145" s="142" t="s">
        <v>15849</v>
      </c>
      <c r="F6145" s="142" t="s">
        <v>7209</v>
      </c>
      <c r="G6145" s="142" t="s">
        <v>7208</v>
      </c>
      <c r="H6145" s="142" t="s">
        <v>21995</v>
      </c>
      <c r="I6145" s="142">
        <v>25</v>
      </c>
      <c r="J6145" s="142">
        <v>25</v>
      </c>
      <c r="K6145" s="142">
        <v>0</v>
      </c>
      <c r="L6145" s="142">
        <v>0</v>
      </c>
      <c r="M6145" s="142">
        <v>0</v>
      </c>
    </row>
    <row r="6146" spans="1:13" x14ac:dyDescent="0.45">
      <c r="A6146" s="142" t="s">
        <v>13014</v>
      </c>
      <c r="B6146" s="142" t="s">
        <v>14505</v>
      </c>
      <c r="C6146" s="142" t="s">
        <v>15847</v>
      </c>
      <c r="D6146" s="142" t="s">
        <v>15848</v>
      </c>
      <c r="E6146" s="142" t="s">
        <v>15849</v>
      </c>
      <c r="F6146" s="142" t="s">
        <v>7209</v>
      </c>
      <c r="G6146" s="142" t="s">
        <v>7208</v>
      </c>
      <c r="H6146" s="142" t="s">
        <v>21996</v>
      </c>
      <c r="I6146" s="142">
        <v>1</v>
      </c>
      <c r="J6146" s="142">
        <v>1</v>
      </c>
      <c r="K6146" s="142">
        <v>0</v>
      </c>
      <c r="L6146" s="142">
        <v>0</v>
      </c>
      <c r="M6146" s="142">
        <v>0</v>
      </c>
    </row>
    <row r="6147" spans="1:13" x14ac:dyDescent="0.45">
      <c r="A6147" s="142" t="s">
        <v>14089</v>
      </c>
      <c r="B6147" s="142" t="s">
        <v>14825</v>
      </c>
      <c r="C6147" s="142" t="s">
        <v>15860</v>
      </c>
      <c r="D6147" s="142" t="s">
        <v>15861</v>
      </c>
      <c r="E6147" s="142" t="s">
        <v>15849</v>
      </c>
      <c r="F6147" s="142" t="s">
        <v>7209</v>
      </c>
      <c r="G6147" s="142" t="s">
        <v>7208</v>
      </c>
      <c r="H6147" s="142" t="s">
        <v>21997</v>
      </c>
      <c r="I6147" s="142">
        <v>29</v>
      </c>
      <c r="J6147" s="142">
        <v>3</v>
      </c>
      <c r="K6147" s="142">
        <v>0</v>
      </c>
      <c r="L6147" s="142">
        <v>26</v>
      </c>
      <c r="M6147" s="142">
        <v>0</v>
      </c>
    </row>
    <row r="6148" spans="1:13" x14ac:dyDescent="0.45">
      <c r="A6148" s="142" t="s">
        <v>13715</v>
      </c>
      <c r="B6148" s="142" t="s">
        <v>15216</v>
      </c>
      <c r="C6148" s="142" t="s">
        <v>15860</v>
      </c>
      <c r="D6148" s="142" t="s">
        <v>15861</v>
      </c>
      <c r="E6148" s="142" t="s">
        <v>15849</v>
      </c>
      <c r="F6148" s="142" t="s">
        <v>7209</v>
      </c>
      <c r="G6148" s="142" t="s">
        <v>7208</v>
      </c>
      <c r="H6148" s="142" t="s">
        <v>21998</v>
      </c>
      <c r="I6148" s="142">
        <v>156</v>
      </c>
      <c r="J6148" s="142">
        <v>0</v>
      </c>
      <c r="K6148" s="142">
        <v>0</v>
      </c>
      <c r="L6148" s="142">
        <v>156</v>
      </c>
      <c r="M6148" s="142">
        <v>0</v>
      </c>
    </row>
    <row r="6149" spans="1:13" x14ac:dyDescent="0.45">
      <c r="A6149" s="142" t="s">
        <v>13207</v>
      </c>
      <c r="B6149" s="142" t="s">
        <v>15558</v>
      </c>
      <c r="C6149" s="142" t="s">
        <v>15847</v>
      </c>
      <c r="D6149" s="142" t="s">
        <v>15848</v>
      </c>
      <c r="E6149" s="142" t="s">
        <v>15849</v>
      </c>
      <c r="F6149" s="142" t="s">
        <v>7209</v>
      </c>
      <c r="G6149" s="142" t="s">
        <v>7208</v>
      </c>
      <c r="H6149" s="142" t="s">
        <v>21999</v>
      </c>
      <c r="I6149" s="142">
        <v>1</v>
      </c>
      <c r="J6149" s="142">
        <v>0</v>
      </c>
      <c r="K6149" s="142">
        <v>0</v>
      </c>
      <c r="L6149" s="142">
        <v>0</v>
      </c>
      <c r="M6149" s="142">
        <v>1</v>
      </c>
    </row>
    <row r="6150" spans="1:13" x14ac:dyDescent="0.45">
      <c r="A6150" s="142" t="s">
        <v>13072</v>
      </c>
      <c r="B6150" s="142" t="s">
        <v>15530</v>
      </c>
      <c r="C6150" s="142" t="s">
        <v>15847</v>
      </c>
      <c r="D6150" s="142" t="s">
        <v>15848</v>
      </c>
      <c r="E6150" s="142" t="s">
        <v>15849</v>
      </c>
      <c r="F6150" s="142" t="s">
        <v>1016</v>
      </c>
      <c r="G6150" s="142" t="s">
        <v>1015</v>
      </c>
      <c r="H6150" s="142" t="s">
        <v>22000</v>
      </c>
      <c r="I6150" s="142">
        <v>64</v>
      </c>
      <c r="J6150" s="142">
        <v>12</v>
      </c>
      <c r="K6150" s="142">
        <v>0</v>
      </c>
      <c r="L6150" s="142">
        <v>52</v>
      </c>
      <c r="M6150" s="142">
        <v>0</v>
      </c>
    </row>
    <row r="6151" spans="1:13" x14ac:dyDescent="0.45">
      <c r="A6151" s="142" t="s">
        <v>13021</v>
      </c>
      <c r="B6151" s="142" t="s">
        <v>15501</v>
      </c>
      <c r="C6151" s="142" t="s">
        <v>15847</v>
      </c>
      <c r="D6151" s="142" t="s">
        <v>15848</v>
      </c>
      <c r="E6151" s="142" t="s">
        <v>15849</v>
      </c>
      <c r="F6151" s="142" t="s">
        <v>1016</v>
      </c>
      <c r="G6151" s="142" t="s">
        <v>1015</v>
      </c>
      <c r="H6151" s="142" t="s">
        <v>22001</v>
      </c>
      <c r="I6151" s="142">
        <v>7</v>
      </c>
      <c r="J6151" s="142">
        <v>0</v>
      </c>
      <c r="K6151" s="142">
        <v>0</v>
      </c>
      <c r="L6151" s="142">
        <v>4</v>
      </c>
      <c r="M6151" s="142">
        <v>3</v>
      </c>
    </row>
    <row r="6152" spans="1:13" x14ac:dyDescent="0.45">
      <c r="A6152" s="142" t="s">
        <v>13022</v>
      </c>
      <c r="B6152" s="142" t="s">
        <v>14634</v>
      </c>
      <c r="C6152" s="142" t="s">
        <v>15847</v>
      </c>
      <c r="D6152" s="142" t="s">
        <v>15848</v>
      </c>
      <c r="E6152" s="142" t="s">
        <v>15849</v>
      </c>
      <c r="F6152" s="142" t="s">
        <v>1016</v>
      </c>
      <c r="G6152" s="142" t="s">
        <v>1015</v>
      </c>
      <c r="H6152" s="142" t="s">
        <v>22002</v>
      </c>
      <c r="I6152" s="142">
        <v>206</v>
      </c>
      <c r="J6152" s="142">
        <v>205</v>
      </c>
      <c r="K6152" s="142">
        <v>0</v>
      </c>
      <c r="L6152" s="142">
        <v>0</v>
      </c>
      <c r="M6152" s="142">
        <v>1</v>
      </c>
    </row>
    <row r="6153" spans="1:13" x14ac:dyDescent="0.45">
      <c r="A6153" s="142" t="s">
        <v>13023</v>
      </c>
      <c r="B6153" s="142" t="s">
        <v>15571</v>
      </c>
      <c r="C6153" s="142" t="s">
        <v>15847</v>
      </c>
      <c r="D6153" s="142" t="s">
        <v>15848</v>
      </c>
      <c r="E6153" s="142" t="s">
        <v>15849</v>
      </c>
      <c r="F6153" s="142" t="s">
        <v>1016</v>
      </c>
      <c r="G6153" s="142" t="s">
        <v>1015</v>
      </c>
      <c r="H6153" s="142" t="s">
        <v>22003</v>
      </c>
      <c r="I6153" s="142">
        <v>430</v>
      </c>
      <c r="J6153" s="142">
        <v>0</v>
      </c>
      <c r="K6153" s="142">
        <v>0</v>
      </c>
      <c r="L6153" s="142">
        <v>422</v>
      </c>
      <c r="M6153" s="142">
        <v>8</v>
      </c>
    </row>
    <row r="6154" spans="1:13" x14ac:dyDescent="0.45">
      <c r="A6154" s="142" t="s">
        <v>13082</v>
      </c>
      <c r="B6154" s="142" t="s">
        <v>14478</v>
      </c>
      <c r="C6154" s="142" t="s">
        <v>15860</v>
      </c>
      <c r="D6154" s="142" t="s">
        <v>15861</v>
      </c>
      <c r="E6154" s="142" t="s">
        <v>15849</v>
      </c>
      <c r="F6154" s="142" t="s">
        <v>1016</v>
      </c>
      <c r="G6154" s="142" t="s">
        <v>1015</v>
      </c>
      <c r="H6154" s="142" t="s">
        <v>22004</v>
      </c>
      <c r="I6154" s="142">
        <v>15</v>
      </c>
      <c r="J6154" s="142">
        <v>0</v>
      </c>
      <c r="K6154" s="142">
        <v>0</v>
      </c>
      <c r="L6154" s="142">
        <v>15</v>
      </c>
      <c r="M6154" s="142">
        <v>0</v>
      </c>
    </row>
    <row r="6155" spans="1:13" x14ac:dyDescent="0.45">
      <c r="A6155" s="142" t="s">
        <v>13065</v>
      </c>
      <c r="B6155" s="142" t="s">
        <v>14497</v>
      </c>
      <c r="C6155" s="142" t="s">
        <v>15847</v>
      </c>
      <c r="D6155" s="142" t="s">
        <v>15848</v>
      </c>
      <c r="E6155" s="142" t="s">
        <v>15849</v>
      </c>
      <c r="F6155" s="142" t="s">
        <v>1016</v>
      </c>
      <c r="G6155" s="142" t="s">
        <v>1015</v>
      </c>
      <c r="H6155" s="142" t="s">
        <v>22005</v>
      </c>
      <c r="I6155" s="142">
        <v>24</v>
      </c>
      <c r="J6155" s="142">
        <v>0</v>
      </c>
      <c r="K6155" s="142">
        <v>0</v>
      </c>
      <c r="L6155" s="142">
        <v>24</v>
      </c>
      <c r="M6155" s="142">
        <v>0</v>
      </c>
    </row>
    <row r="6156" spans="1:13" x14ac:dyDescent="0.45">
      <c r="A6156" s="142" t="s">
        <v>13273</v>
      </c>
      <c r="B6156" s="142" t="s">
        <v>14465</v>
      </c>
      <c r="C6156" s="142" t="s">
        <v>15860</v>
      </c>
      <c r="D6156" s="142" t="s">
        <v>15861</v>
      </c>
      <c r="E6156" s="142" t="s">
        <v>15849</v>
      </c>
      <c r="F6156" s="142" t="s">
        <v>1016</v>
      </c>
      <c r="G6156" s="142" t="s">
        <v>1015</v>
      </c>
      <c r="H6156" s="142" t="s">
        <v>22006</v>
      </c>
      <c r="I6156" s="142">
        <v>8</v>
      </c>
      <c r="J6156" s="142">
        <v>0</v>
      </c>
      <c r="K6156" s="142">
        <v>0</v>
      </c>
      <c r="L6156" s="142">
        <v>8</v>
      </c>
      <c r="M6156" s="142">
        <v>0</v>
      </c>
    </row>
    <row r="6157" spans="1:13" x14ac:dyDescent="0.45">
      <c r="A6157" s="142" t="s">
        <v>13159</v>
      </c>
      <c r="B6157" s="142" t="s">
        <v>14521</v>
      </c>
      <c r="C6157" s="142" t="s">
        <v>15860</v>
      </c>
      <c r="D6157" s="142" t="s">
        <v>15861</v>
      </c>
      <c r="E6157" s="142" t="s">
        <v>15849</v>
      </c>
      <c r="F6157" s="142" t="s">
        <v>1016</v>
      </c>
      <c r="G6157" s="142" t="s">
        <v>1015</v>
      </c>
      <c r="H6157" s="142" t="s">
        <v>22007</v>
      </c>
      <c r="I6157" s="142">
        <v>3</v>
      </c>
      <c r="J6157" s="142">
        <v>0</v>
      </c>
      <c r="K6157" s="142">
        <v>0</v>
      </c>
      <c r="L6157" s="142">
        <v>3</v>
      </c>
      <c r="M6157" s="142">
        <v>0</v>
      </c>
    </row>
    <row r="6158" spans="1:13" x14ac:dyDescent="0.45">
      <c r="A6158" s="142" t="s">
        <v>13024</v>
      </c>
      <c r="B6158" s="142" t="s">
        <v>14538</v>
      </c>
      <c r="C6158" s="142" t="s">
        <v>15847</v>
      </c>
      <c r="D6158" s="142" t="s">
        <v>15848</v>
      </c>
      <c r="E6158" s="142" t="s">
        <v>15849</v>
      </c>
      <c r="F6158" s="142" t="s">
        <v>1016</v>
      </c>
      <c r="G6158" s="142" t="s">
        <v>1015</v>
      </c>
      <c r="H6158" s="142" t="s">
        <v>22008</v>
      </c>
      <c r="I6158" s="142">
        <v>98</v>
      </c>
      <c r="J6158" s="142">
        <v>66</v>
      </c>
      <c r="K6158" s="142">
        <v>0</v>
      </c>
      <c r="L6158" s="142">
        <v>23</v>
      </c>
      <c r="M6158" s="142">
        <v>9</v>
      </c>
    </row>
    <row r="6159" spans="1:13" x14ac:dyDescent="0.45">
      <c r="A6159" s="142" t="s">
        <v>13099</v>
      </c>
      <c r="B6159" s="142" t="s">
        <v>14547</v>
      </c>
      <c r="C6159" s="142" t="s">
        <v>15860</v>
      </c>
      <c r="D6159" s="142" t="s">
        <v>15861</v>
      </c>
      <c r="E6159" s="142" t="s">
        <v>15849</v>
      </c>
      <c r="F6159" s="142" t="s">
        <v>1016</v>
      </c>
      <c r="G6159" s="142" t="s">
        <v>1015</v>
      </c>
      <c r="H6159" s="142" t="s">
        <v>22009</v>
      </c>
      <c r="I6159" s="142">
        <v>1</v>
      </c>
      <c r="J6159" s="142">
        <v>0</v>
      </c>
      <c r="K6159" s="142">
        <v>0</v>
      </c>
      <c r="L6159" s="142">
        <v>1</v>
      </c>
      <c r="M6159" s="142">
        <v>0</v>
      </c>
    </row>
    <row r="6160" spans="1:13" x14ac:dyDescent="0.45">
      <c r="A6160" s="142" t="s">
        <v>13049</v>
      </c>
      <c r="B6160" s="142" t="s">
        <v>14534</v>
      </c>
      <c r="C6160" s="142" t="s">
        <v>15860</v>
      </c>
      <c r="D6160" s="142" t="s">
        <v>15861</v>
      </c>
      <c r="E6160" s="142" t="s">
        <v>15849</v>
      </c>
      <c r="F6160" s="142" t="s">
        <v>1016</v>
      </c>
      <c r="G6160" s="142" t="s">
        <v>1015</v>
      </c>
      <c r="H6160" s="142" t="s">
        <v>22010</v>
      </c>
      <c r="I6160" s="142">
        <v>1</v>
      </c>
      <c r="J6160" s="142">
        <v>0</v>
      </c>
      <c r="K6160" s="142">
        <v>0</v>
      </c>
      <c r="L6160" s="142">
        <v>1</v>
      </c>
      <c r="M6160" s="142">
        <v>0</v>
      </c>
    </row>
    <row r="6161" spans="1:13" x14ac:dyDescent="0.45">
      <c r="A6161" s="142" t="s">
        <v>13025</v>
      </c>
      <c r="B6161" s="142" t="s">
        <v>15579</v>
      </c>
      <c r="C6161" s="142" t="s">
        <v>15847</v>
      </c>
      <c r="D6161" s="142" t="s">
        <v>15848</v>
      </c>
      <c r="E6161" s="142" t="s">
        <v>15849</v>
      </c>
      <c r="F6161" s="142" t="s">
        <v>1016</v>
      </c>
      <c r="G6161" s="142" t="s">
        <v>1015</v>
      </c>
      <c r="H6161" s="142" t="s">
        <v>22011</v>
      </c>
      <c r="I6161" s="142">
        <v>539</v>
      </c>
      <c r="J6161" s="142">
        <v>0</v>
      </c>
      <c r="K6161" s="142">
        <v>0</v>
      </c>
      <c r="L6161" s="142">
        <v>539</v>
      </c>
      <c r="M6161" s="142">
        <v>0</v>
      </c>
    </row>
    <row r="6162" spans="1:13" x14ac:dyDescent="0.45">
      <c r="A6162" s="142" t="s">
        <v>13027</v>
      </c>
      <c r="B6162" s="142" t="s">
        <v>14562</v>
      </c>
      <c r="C6162" s="142" t="s">
        <v>15847</v>
      </c>
      <c r="D6162" s="142" t="s">
        <v>15848</v>
      </c>
      <c r="E6162" s="142" t="s">
        <v>15849</v>
      </c>
      <c r="F6162" s="142" t="s">
        <v>1016</v>
      </c>
      <c r="G6162" s="142" t="s">
        <v>1015</v>
      </c>
      <c r="H6162" s="142" t="s">
        <v>22012</v>
      </c>
      <c r="I6162" s="142">
        <v>36</v>
      </c>
      <c r="J6162" s="142">
        <v>0</v>
      </c>
      <c r="K6162" s="142">
        <v>0</v>
      </c>
      <c r="L6162" s="142">
        <v>36</v>
      </c>
      <c r="M6162" s="142">
        <v>0</v>
      </c>
    </row>
    <row r="6163" spans="1:13" x14ac:dyDescent="0.45">
      <c r="A6163" s="142" t="s">
        <v>13149</v>
      </c>
      <c r="B6163" s="142" t="s">
        <v>14458</v>
      </c>
      <c r="C6163" s="142" t="s">
        <v>15860</v>
      </c>
      <c r="D6163" s="142" t="s">
        <v>15861</v>
      </c>
      <c r="E6163" s="142" t="s">
        <v>15849</v>
      </c>
      <c r="F6163" s="142" t="s">
        <v>1016</v>
      </c>
      <c r="G6163" s="142" t="s">
        <v>1015</v>
      </c>
      <c r="H6163" s="142" t="s">
        <v>22013</v>
      </c>
      <c r="I6163" s="142">
        <v>1</v>
      </c>
      <c r="J6163" s="142">
        <v>0</v>
      </c>
      <c r="K6163" s="142">
        <v>0</v>
      </c>
      <c r="L6163" s="142">
        <v>1</v>
      </c>
      <c r="M6163" s="142">
        <v>0</v>
      </c>
    </row>
    <row r="6164" spans="1:13" x14ac:dyDescent="0.45">
      <c r="A6164" s="142" t="s">
        <v>13028</v>
      </c>
      <c r="B6164" s="142" t="s">
        <v>14462</v>
      </c>
      <c r="C6164" s="142" t="s">
        <v>15847</v>
      </c>
      <c r="D6164" s="142" t="s">
        <v>15848</v>
      </c>
      <c r="E6164" s="142" t="s">
        <v>15849</v>
      </c>
      <c r="F6164" s="142" t="s">
        <v>1016</v>
      </c>
      <c r="G6164" s="142" t="s">
        <v>1015</v>
      </c>
      <c r="H6164" s="142" t="s">
        <v>22014</v>
      </c>
      <c r="I6164" s="142">
        <v>8</v>
      </c>
      <c r="J6164" s="142">
        <v>0</v>
      </c>
      <c r="K6164" s="142">
        <v>0</v>
      </c>
      <c r="L6164" s="142">
        <v>0</v>
      </c>
      <c r="M6164" s="142">
        <v>8</v>
      </c>
    </row>
    <row r="6165" spans="1:13" x14ac:dyDescent="0.45">
      <c r="A6165" s="142" t="s">
        <v>13160</v>
      </c>
      <c r="B6165" s="142" t="s">
        <v>14525</v>
      </c>
      <c r="C6165" s="142" t="s">
        <v>15847</v>
      </c>
      <c r="D6165" s="142" t="s">
        <v>15848</v>
      </c>
      <c r="E6165" s="142" t="s">
        <v>15849</v>
      </c>
      <c r="F6165" s="142" t="s">
        <v>1016</v>
      </c>
      <c r="G6165" s="142" t="s">
        <v>1015</v>
      </c>
      <c r="H6165" s="142" t="s">
        <v>22015</v>
      </c>
      <c r="I6165" s="142">
        <v>43</v>
      </c>
      <c r="J6165" s="142">
        <v>0</v>
      </c>
      <c r="K6165" s="142">
        <v>0</v>
      </c>
      <c r="L6165" s="142">
        <v>43</v>
      </c>
      <c r="M6165" s="142">
        <v>0</v>
      </c>
    </row>
    <row r="6166" spans="1:13" x14ac:dyDescent="0.45">
      <c r="A6166" s="142" t="s">
        <v>13003</v>
      </c>
      <c r="B6166" s="142" t="s">
        <v>15245</v>
      </c>
      <c r="C6166" s="142" t="s">
        <v>15847</v>
      </c>
      <c r="D6166" s="142" t="s">
        <v>15848</v>
      </c>
      <c r="E6166" s="142" t="s">
        <v>15849</v>
      </c>
      <c r="F6166" s="142" t="s">
        <v>1016</v>
      </c>
      <c r="G6166" s="142" t="s">
        <v>1015</v>
      </c>
      <c r="H6166" s="142" t="s">
        <v>22016</v>
      </c>
      <c r="I6166" s="142">
        <v>229</v>
      </c>
      <c r="J6166" s="142">
        <v>0</v>
      </c>
      <c r="K6166" s="142">
        <v>0</v>
      </c>
      <c r="L6166" s="142">
        <v>229</v>
      </c>
      <c r="M6166" s="142">
        <v>0</v>
      </c>
    </row>
    <row r="6167" spans="1:13" x14ac:dyDescent="0.45">
      <c r="A6167" s="142" t="s">
        <v>13066</v>
      </c>
      <c r="B6167" s="142" t="s">
        <v>14459</v>
      </c>
      <c r="C6167" s="142" t="s">
        <v>15847</v>
      </c>
      <c r="D6167" s="142" t="s">
        <v>15848</v>
      </c>
      <c r="E6167" s="142" t="s">
        <v>15849</v>
      </c>
      <c r="F6167" s="142" t="s">
        <v>1016</v>
      </c>
      <c r="G6167" s="142" t="s">
        <v>1015</v>
      </c>
      <c r="H6167" s="142" t="s">
        <v>22017</v>
      </c>
      <c r="I6167" s="142">
        <v>109</v>
      </c>
      <c r="J6167" s="142">
        <v>0</v>
      </c>
      <c r="K6167" s="142">
        <v>0</v>
      </c>
      <c r="L6167" s="142">
        <v>109</v>
      </c>
      <c r="M6167" s="142">
        <v>0</v>
      </c>
    </row>
    <row r="6168" spans="1:13" x14ac:dyDescent="0.45">
      <c r="A6168" s="142" t="s">
        <v>13067</v>
      </c>
      <c r="B6168" s="142" t="s">
        <v>15480</v>
      </c>
      <c r="C6168" s="142" t="s">
        <v>15847</v>
      </c>
      <c r="D6168" s="142" t="s">
        <v>15848</v>
      </c>
      <c r="E6168" s="142" t="s">
        <v>15849</v>
      </c>
      <c r="F6168" s="142" t="s">
        <v>1016</v>
      </c>
      <c r="G6168" s="142" t="s">
        <v>1015</v>
      </c>
      <c r="H6168" s="142" t="s">
        <v>22018</v>
      </c>
      <c r="I6168" s="142">
        <v>3</v>
      </c>
      <c r="J6168" s="142">
        <v>3</v>
      </c>
      <c r="K6168" s="142">
        <v>0</v>
      </c>
      <c r="L6168" s="142">
        <v>0</v>
      </c>
      <c r="M6168" s="142">
        <v>0</v>
      </c>
    </row>
    <row r="6169" spans="1:13" x14ac:dyDescent="0.45">
      <c r="A6169" s="142" t="s">
        <v>13029</v>
      </c>
      <c r="B6169" s="142" t="s">
        <v>14665</v>
      </c>
      <c r="C6169" s="142" t="s">
        <v>15847</v>
      </c>
      <c r="D6169" s="142" t="s">
        <v>15848</v>
      </c>
      <c r="E6169" s="142" t="s">
        <v>15849</v>
      </c>
      <c r="F6169" s="142" t="s">
        <v>1016</v>
      </c>
      <c r="G6169" s="142" t="s">
        <v>1015</v>
      </c>
      <c r="H6169" s="142" t="s">
        <v>22019</v>
      </c>
      <c r="I6169" s="142">
        <v>7</v>
      </c>
      <c r="J6169" s="142">
        <v>0</v>
      </c>
      <c r="K6169" s="142">
        <v>0</v>
      </c>
      <c r="L6169" s="142">
        <v>0</v>
      </c>
      <c r="M6169" s="142">
        <v>7</v>
      </c>
    </row>
    <row r="6170" spans="1:13" x14ac:dyDescent="0.45">
      <c r="A6170" s="142" t="s">
        <v>14091</v>
      </c>
      <c r="B6170" s="142" t="s">
        <v>15516</v>
      </c>
      <c r="C6170" s="142" t="s">
        <v>15860</v>
      </c>
      <c r="D6170" s="142" t="s">
        <v>15861</v>
      </c>
      <c r="E6170" s="142" t="s">
        <v>15849</v>
      </c>
      <c r="F6170" s="142" t="s">
        <v>1016</v>
      </c>
      <c r="G6170" s="142" t="s">
        <v>1015</v>
      </c>
      <c r="H6170" s="142" t="s">
        <v>22020</v>
      </c>
      <c r="I6170" s="142">
        <v>110</v>
      </c>
      <c r="J6170" s="142">
        <v>0</v>
      </c>
      <c r="K6170" s="142">
        <v>0</v>
      </c>
      <c r="L6170" s="142">
        <v>110</v>
      </c>
      <c r="M6170" s="142">
        <v>0</v>
      </c>
    </row>
    <row r="6171" spans="1:13" x14ac:dyDescent="0.45">
      <c r="A6171" s="142" t="s">
        <v>13006</v>
      </c>
      <c r="B6171" s="142" t="s">
        <v>15288</v>
      </c>
      <c r="C6171" s="142" t="s">
        <v>15847</v>
      </c>
      <c r="D6171" s="142" t="s">
        <v>15848</v>
      </c>
      <c r="E6171" s="142" t="s">
        <v>15849</v>
      </c>
      <c r="F6171" s="142" t="s">
        <v>1016</v>
      </c>
      <c r="G6171" s="142" t="s">
        <v>1015</v>
      </c>
      <c r="H6171" s="142" t="s">
        <v>22021</v>
      </c>
      <c r="I6171" s="142">
        <v>1931</v>
      </c>
      <c r="J6171" s="142">
        <v>1201</v>
      </c>
      <c r="K6171" s="142">
        <v>0</v>
      </c>
      <c r="L6171" s="142">
        <v>627</v>
      </c>
      <c r="M6171" s="142">
        <v>103</v>
      </c>
    </row>
    <row r="6172" spans="1:13" x14ac:dyDescent="0.45">
      <c r="A6172" s="142" t="s">
        <v>13248</v>
      </c>
      <c r="B6172" s="142" t="s">
        <v>15463</v>
      </c>
      <c r="C6172" s="142" t="s">
        <v>15847</v>
      </c>
      <c r="D6172" s="142" t="s">
        <v>15848</v>
      </c>
      <c r="E6172" s="142" t="s">
        <v>15849</v>
      </c>
      <c r="F6172" s="142" t="s">
        <v>1016</v>
      </c>
      <c r="G6172" s="142" t="s">
        <v>1015</v>
      </c>
      <c r="H6172" s="142" t="s">
        <v>22022</v>
      </c>
      <c r="I6172" s="142">
        <v>1</v>
      </c>
      <c r="J6172" s="142">
        <v>0</v>
      </c>
      <c r="K6172" s="142">
        <v>0</v>
      </c>
      <c r="L6172" s="142">
        <v>0</v>
      </c>
      <c r="M6172" s="142">
        <v>1</v>
      </c>
    </row>
    <row r="6173" spans="1:13" x14ac:dyDescent="0.45">
      <c r="A6173" s="142" t="s">
        <v>13162</v>
      </c>
      <c r="B6173" s="142" t="s">
        <v>14545</v>
      </c>
      <c r="C6173" s="142" t="s">
        <v>15860</v>
      </c>
      <c r="D6173" s="142" t="s">
        <v>15861</v>
      </c>
      <c r="E6173" s="142" t="s">
        <v>15849</v>
      </c>
      <c r="F6173" s="142" t="s">
        <v>1016</v>
      </c>
      <c r="G6173" s="142" t="s">
        <v>1015</v>
      </c>
      <c r="H6173" s="142" t="s">
        <v>22023</v>
      </c>
      <c r="I6173" s="142">
        <v>24</v>
      </c>
      <c r="J6173" s="142">
        <v>0</v>
      </c>
      <c r="K6173" s="142">
        <v>0</v>
      </c>
      <c r="L6173" s="142">
        <v>24</v>
      </c>
      <c r="M6173" s="142">
        <v>0</v>
      </c>
    </row>
    <row r="6174" spans="1:13" x14ac:dyDescent="0.45">
      <c r="A6174" s="142" t="s">
        <v>14092</v>
      </c>
      <c r="B6174" s="142" t="s">
        <v>14607</v>
      </c>
      <c r="C6174" s="142" t="s">
        <v>15860</v>
      </c>
      <c r="D6174" s="142" t="s">
        <v>15861</v>
      </c>
      <c r="E6174" s="142" t="s">
        <v>15849</v>
      </c>
      <c r="F6174" s="142" t="s">
        <v>1016</v>
      </c>
      <c r="G6174" s="142" t="s">
        <v>1015</v>
      </c>
      <c r="H6174" s="142" t="s">
        <v>22024</v>
      </c>
      <c r="I6174" s="142">
        <v>45</v>
      </c>
      <c r="J6174" s="142">
        <v>31</v>
      </c>
      <c r="K6174" s="142">
        <v>0</v>
      </c>
      <c r="L6174" s="142">
        <v>14</v>
      </c>
      <c r="M6174" s="142">
        <v>0</v>
      </c>
    </row>
    <row r="6175" spans="1:13" x14ac:dyDescent="0.45">
      <c r="A6175" s="142" t="s">
        <v>13030</v>
      </c>
      <c r="B6175" s="142" t="s">
        <v>14572</v>
      </c>
      <c r="C6175" s="142" t="s">
        <v>15847</v>
      </c>
      <c r="D6175" s="142" t="s">
        <v>15848</v>
      </c>
      <c r="E6175" s="142" t="s">
        <v>15849</v>
      </c>
      <c r="F6175" s="142" t="s">
        <v>1016</v>
      </c>
      <c r="G6175" s="142" t="s">
        <v>1015</v>
      </c>
      <c r="H6175" s="142" t="s">
        <v>22025</v>
      </c>
      <c r="I6175" s="142">
        <v>2460</v>
      </c>
      <c r="J6175" s="142">
        <v>1948</v>
      </c>
      <c r="K6175" s="142">
        <v>0</v>
      </c>
      <c r="L6175" s="142">
        <v>408</v>
      </c>
      <c r="M6175" s="142">
        <v>104</v>
      </c>
    </row>
    <row r="6176" spans="1:13" x14ac:dyDescent="0.45">
      <c r="A6176" s="142" t="s">
        <v>13055</v>
      </c>
      <c r="B6176" s="142" t="s">
        <v>14595</v>
      </c>
      <c r="C6176" s="142" t="s">
        <v>15847</v>
      </c>
      <c r="D6176" s="142" t="s">
        <v>15848</v>
      </c>
      <c r="E6176" s="142" t="s">
        <v>15849</v>
      </c>
      <c r="F6176" s="142" t="s">
        <v>1016</v>
      </c>
      <c r="G6176" s="142" t="s">
        <v>1015</v>
      </c>
      <c r="H6176" s="142" t="s">
        <v>22026</v>
      </c>
      <c r="I6176" s="142">
        <v>879</v>
      </c>
      <c r="J6176" s="142">
        <v>727</v>
      </c>
      <c r="K6176" s="142">
        <v>0</v>
      </c>
      <c r="L6176" s="142">
        <v>129</v>
      </c>
      <c r="M6176" s="142">
        <v>23</v>
      </c>
    </row>
    <row r="6177" spans="1:13" x14ac:dyDescent="0.45">
      <c r="A6177" s="142" t="s">
        <v>13032</v>
      </c>
      <c r="B6177" s="142" t="s">
        <v>14532</v>
      </c>
      <c r="C6177" s="142" t="s">
        <v>15860</v>
      </c>
      <c r="D6177" s="142" t="s">
        <v>15861</v>
      </c>
      <c r="E6177" s="142" t="s">
        <v>15849</v>
      </c>
      <c r="F6177" s="142" t="s">
        <v>1016</v>
      </c>
      <c r="G6177" s="142" t="s">
        <v>1015</v>
      </c>
      <c r="H6177" s="142" t="s">
        <v>22027</v>
      </c>
      <c r="I6177" s="142">
        <v>4</v>
      </c>
      <c r="J6177" s="142">
        <v>0</v>
      </c>
      <c r="K6177" s="142">
        <v>0</v>
      </c>
      <c r="L6177" s="142">
        <v>4</v>
      </c>
      <c r="M6177" s="142">
        <v>0</v>
      </c>
    </row>
    <row r="6178" spans="1:13" x14ac:dyDescent="0.45">
      <c r="A6178" s="142" t="s">
        <v>13033</v>
      </c>
      <c r="B6178" s="142" t="s">
        <v>15276</v>
      </c>
      <c r="C6178" s="142" t="s">
        <v>15847</v>
      </c>
      <c r="D6178" s="142" t="s">
        <v>15848</v>
      </c>
      <c r="E6178" s="142" t="s">
        <v>15849</v>
      </c>
      <c r="F6178" s="142" t="s">
        <v>1016</v>
      </c>
      <c r="G6178" s="142" t="s">
        <v>1015</v>
      </c>
      <c r="H6178" s="142" t="s">
        <v>22028</v>
      </c>
      <c r="I6178" s="142">
        <v>948</v>
      </c>
      <c r="J6178" s="142">
        <v>876</v>
      </c>
      <c r="K6178" s="142">
        <v>0</v>
      </c>
      <c r="L6178" s="142">
        <v>70</v>
      </c>
      <c r="M6178" s="142">
        <v>2</v>
      </c>
    </row>
    <row r="6179" spans="1:13" x14ac:dyDescent="0.45">
      <c r="A6179" s="142" t="s">
        <v>13034</v>
      </c>
      <c r="B6179" s="142" t="s">
        <v>15562</v>
      </c>
      <c r="C6179" s="142" t="s">
        <v>15847</v>
      </c>
      <c r="D6179" s="142" t="s">
        <v>15848</v>
      </c>
      <c r="E6179" s="142" t="s">
        <v>15849</v>
      </c>
      <c r="F6179" s="142" t="s">
        <v>1016</v>
      </c>
      <c r="G6179" s="142" t="s">
        <v>1015</v>
      </c>
      <c r="H6179" s="142" t="s">
        <v>22029</v>
      </c>
      <c r="I6179" s="142">
        <v>537</v>
      </c>
      <c r="J6179" s="142">
        <v>226</v>
      </c>
      <c r="K6179" s="142">
        <v>150</v>
      </c>
      <c r="L6179" s="142">
        <v>133</v>
      </c>
      <c r="M6179" s="142">
        <v>28</v>
      </c>
    </row>
    <row r="6180" spans="1:13" x14ac:dyDescent="0.45">
      <c r="A6180" s="142" t="s">
        <v>13035</v>
      </c>
      <c r="B6180" s="142" t="s">
        <v>14648</v>
      </c>
      <c r="C6180" s="142" t="s">
        <v>15847</v>
      </c>
      <c r="D6180" s="142" t="s">
        <v>15848</v>
      </c>
      <c r="E6180" s="142" t="s">
        <v>15849</v>
      </c>
      <c r="F6180" s="142" t="s">
        <v>1016</v>
      </c>
      <c r="G6180" s="142" t="s">
        <v>1015</v>
      </c>
      <c r="H6180" s="142" t="s">
        <v>22030</v>
      </c>
      <c r="I6180" s="142">
        <v>39</v>
      </c>
      <c r="J6180" s="142">
        <v>39</v>
      </c>
      <c r="K6180" s="142">
        <v>0</v>
      </c>
      <c r="L6180" s="142">
        <v>0</v>
      </c>
      <c r="M6180" s="142">
        <v>0</v>
      </c>
    </row>
    <row r="6181" spans="1:13" x14ac:dyDescent="0.45">
      <c r="A6181" s="142" t="s">
        <v>13036</v>
      </c>
      <c r="B6181" s="142" t="s">
        <v>15567</v>
      </c>
      <c r="C6181" s="142" t="s">
        <v>15847</v>
      </c>
      <c r="D6181" s="142" t="s">
        <v>15848</v>
      </c>
      <c r="E6181" s="142" t="s">
        <v>15849</v>
      </c>
      <c r="F6181" s="142" t="s">
        <v>1016</v>
      </c>
      <c r="G6181" s="142" t="s">
        <v>1015</v>
      </c>
      <c r="H6181" s="142" t="s">
        <v>22031</v>
      </c>
      <c r="I6181" s="142">
        <v>37</v>
      </c>
      <c r="J6181" s="142">
        <v>0</v>
      </c>
      <c r="K6181" s="142">
        <v>0</v>
      </c>
      <c r="L6181" s="142">
        <v>37</v>
      </c>
      <c r="M6181" s="142">
        <v>0</v>
      </c>
    </row>
    <row r="6182" spans="1:13" x14ac:dyDescent="0.45">
      <c r="A6182" s="142" t="s">
        <v>14093</v>
      </c>
      <c r="B6182" s="142" t="s">
        <v>15061</v>
      </c>
      <c r="C6182" s="142" t="s">
        <v>15860</v>
      </c>
      <c r="D6182" s="142" t="s">
        <v>15861</v>
      </c>
      <c r="E6182" s="142" t="s">
        <v>15849</v>
      </c>
      <c r="F6182" s="142" t="s">
        <v>1016</v>
      </c>
      <c r="G6182" s="142" t="s">
        <v>1015</v>
      </c>
      <c r="H6182" s="142" t="s">
        <v>22032</v>
      </c>
      <c r="I6182" s="142">
        <v>12</v>
      </c>
      <c r="J6182" s="142">
        <v>12</v>
      </c>
      <c r="K6182" s="142">
        <v>0</v>
      </c>
      <c r="L6182" s="142">
        <v>0</v>
      </c>
      <c r="M6182" s="142">
        <v>0</v>
      </c>
    </row>
    <row r="6183" spans="1:13" x14ac:dyDescent="0.45">
      <c r="A6183" s="142" t="s">
        <v>13038</v>
      </c>
      <c r="B6183" s="142" t="s">
        <v>14646</v>
      </c>
      <c r="C6183" s="142" t="s">
        <v>15847</v>
      </c>
      <c r="D6183" s="142" t="s">
        <v>15848</v>
      </c>
      <c r="E6183" s="142" t="s">
        <v>15849</v>
      </c>
      <c r="F6183" s="142" t="s">
        <v>1016</v>
      </c>
      <c r="G6183" s="142" t="s">
        <v>1015</v>
      </c>
      <c r="H6183" s="142" t="s">
        <v>22033</v>
      </c>
      <c r="I6183" s="142">
        <v>6</v>
      </c>
      <c r="J6183" s="142">
        <v>0</v>
      </c>
      <c r="K6183" s="142">
        <v>0</v>
      </c>
      <c r="L6183" s="142">
        <v>0</v>
      </c>
      <c r="M6183" s="142">
        <v>6</v>
      </c>
    </row>
    <row r="6184" spans="1:13" x14ac:dyDescent="0.45">
      <c r="A6184" s="142" t="s">
        <v>13078</v>
      </c>
      <c r="B6184" s="142" t="s">
        <v>15540</v>
      </c>
      <c r="C6184" s="142" t="s">
        <v>15847</v>
      </c>
      <c r="D6184" s="142" t="s">
        <v>15848</v>
      </c>
      <c r="E6184" s="142" t="s">
        <v>15849</v>
      </c>
      <c r="F6184" s="142" t="s">
        <v>1016</v>
      </c>
      <c r="G6184" s="142" t="s">
        <v>1015</v>
      </c>
      <c r="H6184" s="142" t="s">
        <v>22034</v>
      </c>
      <c r="I6184" s="142">
        <v>77</v>
      </c>
      <c r="J6184" s="142">
        <v>77</v>
      </c>
      <c r="K6184" s="142">
        <v>0</v>
      </c>
      <c r="L6184" s="142">
        <v>0</v>
      </c>
      <c r="M6184" s="142">
        <v>0</v>
      </c>
    </row>
    <row r="6185" spans="1:13" x14ac:dyDescent="0.45">
      <c r="A6185" s="142" t="s">
        <v>13009</v>
      </c>
      <c r="B6185" s="142" t="s">
        <v>15256</v>
      </c>
      <c r="C6185" s="142" t="s">
        <v>15847</v>
      </c>
      <c r="D6185" s="142" t="s">
        <v>15848</v>
      </c>
      <c r="E6185" s="142" t="s">
        <v>15849</v>
      </c>
      <c r="F6185" s="142" t="s">
        <v>1016</v>
      </c>
      <c r="G6185" s="142" t="s">
        <v>1015</v>
      </c>
      <c r="H6185" s="142" t="s">
        <v>22035</v>
      </c>
      <c r="I6185" s="142">
        <v>68</v>
      </c>
      <c r="J6185" s="142">
        <v>0</v>
      </c>
      <c r="K6185" s="142">
        <v>0</v>
      </c>
      <c r="L6185" s="142">
        <v>68</v>
      </c>
      <c r="M6185" s="142">
        <v>0</v>
      </c>
    </row>
    <row r="6186" spans="1:13" x14ac:dyDescent="0.45">
      <c r="A6186" s="142" t="s">
        <v>13058</v>
      </c>
      <c r="B6186" s="142" t="s">
        <v>14584</v>
      </c>
      <c r="C6186" s="142" t="s">
        <v>15847</v>
      </c>
      <c r="D6186" s="142" t="s">
        <v>15848</v>
      </c>
      <c r="E6186" s="142" t="s">
        <v>15849</v>
      </c>
      <c r="F6186" s="142" t="s">
        <v>1016</v>
      </c>
      <c r="G6186" s="142" t="s">
        <v>1015</v>
      </c>
      <c r="H6186" s="142" t="s">
        <v>22036</v>
      </c>
      <c r="I6186" s="142">
        <v>1</v>
      </c>
      <c r="J6186" s="142">
        <v>0</v>
      </c>
      <c r="K6186" s="142">
        <v>0</v>
      </c>
      <c r="L6186" s="142">
        <v>0</v>
      </c>
      <c r="M6186" s="142">
        <v>1</v>
      </c>
    </row>
    <row r="6187" spans="1:13" x14ac:dyDescent="0.45">
      <c r="A6187" s="142" t="s">
        <v>13205</v>
      </c>
      <c r="B6187" s="142" t="s">
        <v>14496</v>
      </c>
      <c r="C6187" s="142" t="s">
        <v>15847</v>
      </c>
      <c r="D6187" s="142" t="s">
        <v>15848</v>
      </c>
      <c r="E6187" s="142" t="s">
        <v>15849</v>
      </c>
      <c r="F6187" s="142" t="s">
        <v>1016</v>
      </c>
      <c r="G6187" s="142" t="s">
        <v>1015</v>
      </c>
      <c r="H6187" s="142" t="s">
        <v>22037</v>
      </c>
      <c r="I6187" s="142">
        <v>52</v>
      </c>
      <c r="J6187" s="142">
        <v>52</v>
      </c>
      <c r="K6187" s="142">
        <v>0</v>
      </c>
      <c r="L6187" s="142">
        <v>0</v>
      </c>
      <c r="M6187" s="142">
        <v>0</v>
      </c>
    </row>
    <row r="6188" spans="1:13" x14ac:dyDescent="0.45">
      <c r="A6188" s="142" t="s">
        <v>13012</v>
      </c>
      <c r="B6188" s="142" t="s">
        <v>15337</v>
      </c>
      <c r="C6188" s="142" t="s">
        <v>15847</v>
      </c>
      <c r="D6188" s="142" t="s">
        <v>15848</v>
      </c>
      <c r="E6188" s="142" t="s">
        <v>15849</v>
      </c>
      <c r="F6188" s="142" t="s">
        <v>1016</v>
      </c>
      <c r="G6188" s="142" t="s">
        <v>1015</v>
      </c>
      <c r="H6188" s="142" t="s">
        <v>22038</v>
      </c>
      <c r="I6188" s="142">
        <v>133</v>
      </c>
      <c r="J6188" s="142">
        <v>46</v>
      </c>
      <c r="K6188" s="142">
        <v>0</v>
      </c>
      <c r="L6188" s="142">
        <v>87</v>
      </c>
      <c r="M6188" s="142">
        <v>0</v>
      </c>
    </row>
    <row r="6189" spans="1:13" x14ac:dyDescent="0.45">
      <c r="A6189" s="142" t="s">
        <v>13285</v>
      </c>
      <c r="B6189" s="142" t="s">
        <v>15158</v>
      </c>
      <c r="C6189" s="142" t="s">
        <v>15860</v>
      </c>
      <c r="D6189" s="142" t="s">
        <v>15861</v>
      </c>
      <c r="E6189" s="142" t="s">
        <v>15849</v>
      </c>
      <c r="F6189" s="142" t="s">
        <v>1016</v>
      </c>
      <c r="G6189" s="142" t="s">
        <v>1015</v>
      </c>
      <c r="H6189" s="142" t="s">
        <v>22039</v>
      </c>
      <c r="I6189" s="142">
        <v>29</v>
      </c>
      <c r="J6189" s="142">
        <v>0</v>
      </c>
      <c r="K6189" s="142">
        <v>0</v>
      </c>
      <c r="L6189" s="142">
        <v>29</v>
      </c>
      <c r="M6189" s="142">
        <v>0</v>
      </c>
    </row>
    <row r="6190" spans="1:13" x14ac:dyDescent="0.45">
      <c r="A6190" s="142" t="s">
        <v>13206</v>
      </c>
      <c r="B6190" s="142" t="s">
        <v>14489</v>
      </c>
      <c r="C6190" s="142" t="s">
        <v>15860</v>
      </c>
      <c r="D6190" s="142" t="s">
        <v>15861</v>
      </c>
      <c r="E6190" s="142" t="s">
        <v>15849</v>
      </c>
      <c r="F6190" s="142" t="s">
        <v>1016</v>
      </c>
      <c r="G6190" s="142" t="s">
        <v>1015</v>
      </c>
      <c r="H6190" s="142" t="s">
        <v>22040</v>
      </c>
      <c r="I6190" s="142">
        <v>84</v>
      </c>
      <c r="J6190" s="142">
        <v>0</v>
      </c>
      <c r="K6190" s="142">
        <v>0</v>
      </c>
      <c r="L6190" s="142">
        <v>84</v>
      </c>
      <c r="M6190" s="142">
        <v>0</v>
      </c>
    </row>
    <row r="6191" spans="1:13" x14ac:dyDescent="0.45">
      <c r="A6191" s="142" t="s">
        <v>13014</v>
      </c>
      <c r="B6191" s="142" t="s">
        <v>14505</v>
      </c>
      <c r="C6191" s="142" t="s">
        <v>15847</v>
      </c>
      <c r="D6191" s="142" t="s">
        <v>15848</v>
      </c>
      <c r="E6191" s="142" t="s">
        <v>15849</v>
      </c>
      <c r="F6191" s="142" t="s">
        <v>1016</v>
      </c>
      <c r="G6191" s="142" t="s">
        <v>1015</v>
      </c>
      <c r="H6191" s="142" t="s">
        <v>22041</v>
      </c>
      <c r="I6191" s="142">
        <v>396</v>
      </c>
      <c r="J6191" s="142">
        <v>335</v>
      </c>
      <c r="K6191" s="142">
        <v>0</v>
      </c>
      <c r="L6191" s="142">
        <v>61</v>
      </c>
      <c r="M6191" s="142">
        <v>0</v>
      </c>
    </row>
    <row r="6192" spans="1:13" x14ac:dyDescent="0.45">
      <c r="A6192" s="142" t="s">
        <v>13042</v>
      </c>
      <c r="B6192" s="142" t="s">
        <v>15489</v>
      </c>
      <c r="C6192" s="142" t="s">
        <v>15847</v>
      </c>
      <c r="D6192" s="142" t="s">
        <v>15848</v>
      </c>
      <c r="E6192" s="142" t="s">
        <v>15849</v>
      </c>
      <c r="F6192" s="142" t="s">
        <v>1016</v>
      </c>
      <c r="G6192" s="142" t="s">
        <v>1015</v>
      </c>
      <c r="H6192" s="142" t="s">
        <v>22042</v>
      </c>
      <c r="I6192" s="142">
        <v>137</v>
      </c>
      <c r="J6192" s="142">
        <v>70</v>
      </c>
      <c r="K6192" s="142">
        <v>0</v>
      </c>
      <c r="L6192" s="142">
        <v>43</v>
      </c>
      <c r="M6192" s="142">
        <v>24</v>
      </c>
    </row>
    <row r="6193" spans="1:13" x14ac:dyDescent="0.45">
      <c r="A6193" s="142" t="s">
        <v>13070</v>
      </c>
      <c r="B6193" s="142" t="s">
        <v>15394</v>
      </c>
      <c r="C6193" s="142" t="s">
        <v>15847</v>
      </c>
      <c r="D6193" s="142" t="s">
        <v>15848</v>
      </c>
      <c r="E6193" s="142" t="s">
        <v>15849</v>
      </c>
      <c r="F6193" s="142" t="s">
        <v>1016</v>
      </c>
      <c r="G6193" s="142" t="s">
        <v>1015</v>
      </c>
      <c r="H6193" s="142" t="s">
        <v>22043</v>
      </c>
      <c r="I6193" s="142">
        <v>988</v>
      </c>
      <c r="J6193" s="142">
        <v>792</v>
      </c>
      <c r="K6193" s="142">
        <v>0</v>
      </c>
      <c r="L6193" s="142">
        <v>170</v>
      </c>
      <c r="M6193" s="142">
        <v>26</v>
      </c>
    </row>
    <row r="6194" spans="1:13" x14ac:dyDescent="0.45">
      <c r="A6194" s="142" t="s">
        <v>13016</v>
      </c>
      <c r="B6194" s="142" t="s">
        <v>14535</v>
      </c>
      <c r="C6194" s="142" t="s">
        <v>15860</v>
      </c>
      <c r="D6194" s="142" t="s">
        <v>15861</v>
      </c>
      <c r="E6194" s="142" t="s">
        <v>15849</v>
      </c>
      <c r="F6194" s="142" t="s">
        <v>1016</v>
      </c>
      <c r="G6194" s="142" t="s">
        <v>1015</v>
      </c>
      <c r="H6194" s="142" t="s">
        <v>22044</v>
      </c>
      <c r="I6194" s="142">
        <v>44</v>
      </c>
      <c r="J6194" s="142">
        <v>0</v>
      </c>
      <c r="K6194" s="142">
        <v>0</v>
      </c>
      <c r="L6194" s="142">
        <v>44</v>
      </c>
      <c r="M6194" s="142">
        <v>0</v>
      </c>
    </row>
    <row r="6195" spans="1:13" x14ac:dyDescent="0.45">
      <c r="A6195" s="142" t="s">
        <v>14094</v>
      </c>
      <c r="B6195" s="142" t="s">
        <v>14767</v>
      </c>
      <c r="C6195" s="142" t="s">
        <v>15860</v>
      </c>
      <c r="D6195" s="142" t="s">
        <v>15861</v>
      </c>
      <c r="E6195" s="142" t="s">
        <v>15849</v>
      </c>
      <c r="F6195" s="142" t="s">
        <v>1016</v>
      </c>
      <c r="G6195" s="142" t="s">
        <v>1015</v>
      </c>
      <c r="H6195" s="142" t="s">
        <v>22045</v>
      </c>
      <c r="I6195" s="142">
        <v>20</v>
      </c>
      <c r="J6195" s="142">
        <v>20</v>
      </c>
      <c r="K6195" s="142">
        <v>0</v>
      </c>
      <c r="L6195" s="142">
        <v>0</v>
      </c>
      <c r="M6195" s="142">
        <v>0</v>
      </c>
    </row>
    <row r="6196" spans="1:13" x14ac:dyDescent="0.45">
      <c r="A6196" s="142" t="s">
        <v>13660</v>
      </c>
      <c r="B6196" s="142" t="s">
        <v>15198</v>
      </c>
      <c r="C6196" s="142" t="s">
        <v>15860</v>
      </c>
      <c r="D6196" s="142" t="s">
        <v>15861</v>
      </c>
      <c r="E6196" s="142" t="s">
        <v>15849</v>
      </c>
      <c r="F6196" s="142" t="s">
        <v>1016</v>
      </c>
      <c r="G6196" s="142" t="s">
        <v>1015</v>
      </c>
      <c r="H6196" s="142" t="s">
        <v>22046</v>
      </c>
      <c r="I6196" s="142">
        <v>115</v>
      </c>
      <c r="J6196" s="142">
        <v>0</v>
      </c>
      <c r="K6196" s="142">
        <v>0</v>
      </c>
      <c r="L6196" s="142">
        <v>115</v>
      </c>
      <c r="M6196" s="142">
        <v>0</v>
      </c>
    </row>
    <row r="6197" spans="1:13" x14ac:dyDescent="0.45">
      <c r="A6197" s="142" t="s">
        <v>13021</v>
      </c>
      <c r="B6197" s="142" t="s">
        <v>15501</v>
      </c>
      <c r="C6197" s="142" t="s">
        <v>15847</v>
      </c>
      <c r="D6197" s="142" t="s">
        <v>15848</v>
      </c>
      <c r="E6197" s="142" t="s">
        <v>15849</v>
      </c>
      <c r="F6197" s="142" t="s">
        <v>8737</v>
      </c>
      <c r="G6197" s="142" t="s">
        <v>8736</v>
      </c>
      <c r="H6197" s="142" t="s">
        <v>22047</v>
      </c>
      <c r="I6197" s="142">
        <v>16</v>
      </c>
      <c r="J6197" s="142">
        <v>0</v>
      </c>
      <c r="K6197" s="142">
        <v>0</v>
      </c>
      <c r="L6197" s="142">
        <v>12</v>
      </c>
      <c r="M6197" s="142">
        <v>4</v>
      </c>
    </row>
    <row r="6198" spans="1:13" x14ac:dyDescent="0.45">
      <c r="A6198" s="142" t="s">
        <v>13022</v>
      </c>
      <c r="B6198" s="142" t="s">
        <v>14634</v>
      </c>
      <c r="C6198" s="142" t="s">
        <v>15847</v>
      </c>
      <c r="D6198" s="142" t="s">
        <v>15848</v>
      </c>
      <c r="E6198" s="142" t="s">
        <v>15849</v>
      </c>
      <c r="F6198" s="142" t="s">
        <v>8737</v>
      </c>
      <c r="G6198" s="142" t="s">
        <v>8736</v>
      </c>
      <c r="H6198" s="142" t="s">
        <v>22048</v>
      </c>
      <c r="I6198" s="142">
        <v>125</v>
      </c>
      <c r="J6198" s="142">
        <v>101</v>
      </c>
      <c r="K6198" s="142">
        <v>0</v>
      </c>
      <c r="L6198" s="142">
        <v>20</v>
      </c>
      <c r="M6198" s="142">
        <v>4</v>
      </c>
    </row>
    <row r="6199" spans="1:13" x14ac:dyDescent="0.45">
      <c r="A6199" s="142" t="s">
        <v>13023</v>
      </c>
      <c r="B6199" s="142" t="s">
        <v>15571</v>
      </c>
      <c r="C6199" s="142" t="s">
        <v>15847</v>
      </c>
      <c r="D6199" s="142" t="s">
        <v>15848</v>
      </c>
      <c r="E6199" s="142" t="s">
        <v>15849</v>
      </c>
      <c r="F6199" s="142" t="s">
        <v>8737</v>
      </c>
      <c r="G6199" s="142" t="s">
        <v>8736</v>
      </c>
      <c r="H6199" s="142" t="s">
        <v>22049</v>
      </c>
      <c r="I6199" s="142">
        <v>124</v>
      </c>
      <c r="J6199" s="142">
        <v>0</v>
      </c>
      <c r="K6199" s="142">
        <v>0</v>
      </c>
      <c r="L6199" s="142">
        <v>124</v>
      </c>
      <c r="M6199" s="142">
        <v>0</v>
      </c>
    </row>
    <row r="6200" spans="1:13" x14ac:dyDescent="0.45">
      <c r="A6200" s="142" t="s">
        <v>13065</v>
      </c>
      <c r="B6200" s="142" t="s">
        <v>14497</v>
      </c>
      <c r="C6200" s="142" t="s">
        <v>15847</v>
      </c>
      <c r="D6200" s="142" t="s">
        <v>15848</v>
      </c>
      <c r="E6200" s="142" t="s">
        <v>15849</v>
      </c>
      <c r="F6200" s="142" t="s">
        <v>8737</v>
      </c>
      <c r="G6200" s="142" t="s">
        <v>8736</v>
      </c>
      <c r="H6200" s="142" t="s">
        <v>22050</v>
      </c>
      <c r="I6200" s="142">
        <v>44</v>
      </c>
      <c r="J6200" s="142">
        <v>0</v>
      </c>
      <c r="K6200" s="142">
        <v>0</v>
      </c>
      <c r="L6200" s="142">
        <v>44</v>
      </c>
      <c r="M6200" s="142">
        <v>0</v>
      </c>
    </row>
    <row r="6201" spans="1:13" x14ac:dyDescent="0.45">
      <c r="A6201" s="142" t="s">
        <v>13115</v>
      </c>
      <c r="B6201" s="142" t="s">
        <v>14508</v>
      </c>
      <c r="C6201" s="142" t="s">
        <v>15860</v>
      </c>
      <c r="D6201" s="142" t="s">
        <v>15861</v>
      </c>
      <c r="E6201" s="142" t="s">
        <v>15849</v>
      </c>
      <c r="F6201" s="142" t="s">
        <v>8737</v>
      </c>
      <c r="G6201" s="142" t="s">
        <v>8736</v>
      </c>
      <c r="H6201" s="142" t="s">
        <v>22051</v>
      </c>
      <c r="I6201" s="142">
        <v>10</v>
      </c>
      <c r="J6201" s="142">
        <v>0</v>
      </c>
      <c r="K6201" s="142">
        <v>0</v>
      </c>
      <c r="L6201" s="142">
        <v>10</v>
      </c>
      <c r="M6201" s="142">
        <v>0</v>
      </c>
    </row>
    <row r="6202" spans="1:13" x14ac:dyDescent="0.45">
      <c r="A6202" s="142" t="s">
        <v>13235</v>
      </c>
      <c r="B6202" s="142" t="s">
        <v>14573</v>
      </c>
      <c r="C6202" s="142" t="s">
        <v>15847</v>
      </c>
      <c r="D6202" s="142" t="s">
        <v>15848</v>
      </c>
      <c r="E6202" s="142" t="s">
        <v>15849</v>
      </c>
      <c r="F6202" s="142" t="s">
        <v>8737</v>
      </c>
      <c r="G6202" s="142" t="s">
        <v>8736</v>
      </c>
      <c r="H6202" s="142" t="s">
        <v>22052</v>
      </c>
      <c r="I6202" s="142">
        <v>410</v>
      </c>
      <c r="J6202" s="142">
        <v>343</v>
      </c>
      <c r="K6202" s="142">
        <v>0</v>
      </c>
      <c r="L6202" s="142">
        <v>20</v>
      </c>
      <c r="M6202" s="142">
        <v>47</v>
      </c>
    </row>
    <row r="6203" spans="1:13" x14ac:dyDescent="0.45">
      <c r="A6203" s="142" t="s">
        <v>13237</v>
      </c>
      <c r="B6203" s="142" t="s">
        <v>14643</v>
      </c>
      <c r="C6203" s="142" t="s">
        <v>15847</v>
      </c>
      <c r="D6203" s="142" t="s">
        <v>15848</v>
      </c>
      <c r="E6203" s="142" t="s">
        <v>15849</v>
      </c>
      <c r="F6203" s="142" t="s">
        <v>8737</v>
      </c>
      <c r="G6203" s="142" t="s">
        <v>8736</v>
      </c>
      <c r="H6203" s="142" t="s">
        <v>22053</v>
      </c>
      <c r="I6203" s="142">
        <v>401</v>
      </c>
      <c r="J6203" s="142">
        <v>285</v>
      </c>
      <c r="K6203" s="142">
        <v>0</v>
      </c>
      <c r="L6203" s="142">
        <v>0</v>
      </c>
      <c r="M6203" s="142">
        <v>116</v>
      </c>
    </row>
    <row r="6204" spans="1:13" x14ac:dyDescent="0.45">
      <c r="A6204" s="142" t="s">
        <v>13000</v>
      </c>
      <c r="B6204" s="142" t="s">
        <v>14610</v>
      </c>
      <c r="C6204" s="142" t="s">
        <v>15847</v>
      </c>
      <c r="D6204" s="142" t="s">
        <v>15848</v>
      </c>
      <c r="E6204" s="142" t="s">
        <v>15849</v>
      </c>
      <c r="F6204" s="142" t="s">
        <v>8737</v>
      </c>
      <c r="G6204" s="142" t="s">
        <v>8736</v>
      </c>
      <c r="H6204" s="142" t="s">
        <v>22054</v>
      </c>
      <c r="I6204" s="142">
        <v>122</v>
      </c>
      <c r="J6204" s="142">
        <v>76</v>
      </c>
      <c r="K6204" s="142">
        <v>0</v>
      </c>
      <c r="L6204" s="142">
        <v>0</v>
      </c>
      <c r="M6204" s="142">
        <v>46</v>
      </c>
    </row>
    <row r="6205" spans="1:13" x14ac:dyDescent="0.45">
      <c r="A6205" s="142" t="s">
        <v>13024</v>
      </c>
      <c r="B6205" s="142" t="s">
        <v>14538</v>
      </c>
      <c r="C6205" s="142" t="s">
        <v>15847</v>
      </c>
      <c r="D6205" s="142" t="s">
        <v>15848</v>
      </c>
      <c r="E6205" s="142" t="s">
        <v>15849</v>
      </c>
      <c r="F6205" s="142" t="s">
        <v>8737</v>
      </c>
      <c r="G6205" s="142" t="s">
        <v>8736</v>
      </c>
      <c r="H6205" s="142" t="s">
        <v>22055</v>
      </c>
      <c r="I6205" s="142">
        <v>1</v>
      </c>
      <c r="J6205" s="142">
        <v>0</v>
      </c>
      <c r="K6205" s="142">
        <v>0</v>
      </c>
      <c r="L6205" s="142">
        <v>0</v>
      </c>
      <c r="M6205" s="142">
        <v>1</v>
      </c>
    </row>
    <row r="6206" spans="1:13" x14ac:dyDescent="0.45">
      <c r="A6206" s="142" t="s">
        <v>13310</v>
      </c>
      <c r="B6206" s="142" t="s">
        <v>14558</v>
      </c>
      <c r="C6206" s="142" t="s">
        <v>15860</v>
      </c>
      <c r="D6206" s="142" t="s">
        <v>15861</v>
      </c>
      <c r="E6206" s="142" t="s">
        <v>15849</v>
      </c>
      <c r="F6206" s="142" t="s">
        <v>8737</v>
      </c>
      <c r="G6206" s="142" t="s">
        <v>8736</v>
      </c>
      <c r="H6206" s="142" t="s">
        <v>22056</v>
      </c>
      <c r="I6206" s="142">
        <v>14</v>
      </c>
      <c r="J6206" s="142">
        <v>0</v>
      </c>
      <c r="K6206" s="142">
        <v>0</v>
      </c>
      <c r="L6206" s="142">
        <v>14</v>
      </c>
      <c r="M6206" s="142">
        <v>0</v>
      </c>
    </row>
    <row r="6207" spans="1:13" x14ac:dyDescent="0.45">
      <c r="A6207" s="142" t="s">
        <v>13049</v>
      </c>
      <c r="B6207" s="142" t="s">
        <v>14534</v>
      </c>
      <c r="C6207" s="142" t="s">
        <v>15860</v>
      </c>
      <c r="D6207" s="142" t="s">
        <v>15861</v>
      </c>
      <c r="E6207" s="142" t="s">
        <v>15849</v>
      </c>
      <c r="F6207" s="142" t="s">
        <v>8737</v>
      </c>
      <c r="G6207" s="142" t="s">
        <v>8736</v>
      </c>
      <c r="H6207" s="142" t="s">
        <v>22057</v>
      </c>
      <c r="I6207" s="142">
        <v>5</v>
      </c>
      <c r="J6207" s="142">
        <v>0</v>
      </c>
      <c r="K6207" s="142">
        <v>0</v>
      </c>
      <c r="L6207" s="142">
        <v>5</v>
      </c>
      <c r="M6207" s="142">
        <v>0</v>
      </c>
    </row>
    <row r="6208" spans="1:13" x14ac:dyDescent="0.45">
      <c r="A6208" s="142" t="s">
        <v>14096</v>
      </c>
      <c r="B6208" s="142" t="s">
        <v>14678</v>
      </c>
      <c r="C6208" s="142" t="s">
        <v>15860</v>
      </c>
      <c r="D6208" s="142" t="s">
        <v>15861</v>
      </c>
      <c r="E6208" s="142" t="s">
        <v>15849</v>
      </c>
      <c r="F6208" s="142" t="s">
        <v>8737</v>
      </c>
      <c r="G6208" s="142" t="s">
        <v>8736</v>
      </c>
      <c r="H6208" s="142" t="s">
        <v>22058</v>
      </c>
      <c r="I6208" s="142">
        <v>17</v>
      </c>
      <c r="J6208" s="142">
        <v>17</v>
      </c>
      <c r="K6208" s="142">
        <v>0</v>
      </c>
      <c r="L6208" s="142">
        <v>0</v>
      </c>
      <c r="M6208" s="142">
        <v>0</v>
      </c>
    </row>
    <row r="6209" spans="1:13" x14ac:dyDescent="0.45">
      <c r="A6209" s="142" t="s">
        <v>13027</v>
      </c>
      <c r="B6209" s="142" t="s">
        <v>14562</v>
      </c>
      <c r="C6209" s="142" t="s">
        <v>15847</v>
      </c>
      <c r="D6209" s="142" t="s">
        <v>15848</v>
      </c>
      <c r="E6209" s="142" t="s">
        <v>15849</v>
      </c>
      <c r="F6209" s="142" t="s">
        <v>8737</v>
      </c>
      <c r="G6209" s="142" t="s">
        <v>8736</v>
      </c>
      <c r="H6209" s="142" t="s">
        <v>22059</v>
      </c>
      <c r="I6209" s="142">
        <v>28</v>
      </c>
      <c r="J6209" s="142">
        <v>0</v>
      </c>
      <c r="K6209" s="142">
        <v>0</v>
      </c>
      <c r="L6209" s="142">
        <v>28</v>
      </c>
      <c r="M6209" s="142">
        <v>0</v>
      </c>
    </row>
    <row r="6210" spans="1:13" x14ac:dyDescent="0.45">
      <c r="A6210" s="142" t="s">
        <v>13243</v>
      </c>
      <c r="B6210" s="142" t="s">
        <v>15560</v>
      </c>
      <c r="C6210" s="142" t="s">
        <v>15847</v>
      </c>
      <c r="D6210" s="142" t="s">
        <v>15848</v>
      </c>
      <c r="E6210" s="142" t="s">
        <v>15849</v>
      </c>
      <c r="F6210" s="142" t="s">
        <v>8737</v>
      </c>
      <c r="G6210" s="142" t="s">
        <v>8736</v>
      </c>
      <c r="H6210" s="142" t="s">
        <v>22060</v>
      </c>
      <c r="I6210" s="142">
        <v>21</v>
      </c>
      <c r="J6210" s="142">
        <v>6</v>
      </c>
      <c r="K6210" s="142">
        <v>0</v>
      </c>
      <c r="L6210" s="142">
        <v>15</v>
      </c>
      <c r="M6210" s="142">
        <v>0</v>
      </c>
    </row>
    <row r="6211" spans="1:13" x14ac:dyDescent="0.45">
      <c r="A6211" s="142" t="s">
        <v>13028</v>
      </c>
      <c r="B6211" s="142" t="s">
        <v>14462</v>
      </c>
      <c r="C6211" s="142" t="s">
        <v>15847</v>
      </c>
      <c r="D6211" s="142" t="s">
        <v>15848</v>
      </c>
      <c r="E6211" s="142" t="s">
        <v>15849</v>
      </c>
      <c r="F6211" s="142" t="s">
        <v>8737</v>
      </c>
      <c r="G6211" s="142" t="s">
        <v>8736</v>
      </c>
      <c r="H6211" s="142" t="s">
        <v>22061</v>
      </c>
      <c r="I6211" s="142">
        <v>34</v>
      </c>
      <c r="J6211" s="142">
        <v>0</v>
      </c>
      <c r="K6211" s="142">
        <v>0</v>
      </c>
      <c r="L6211" s="142">
        <v>0</v>
      </c>
      <c r="M6211" s="142">
        <v>34</v>
      </c>
    </row>
    <row r="6212" spans="1:13" x14ac:dyDescent="0.45">
      <c r="A6212" s="142" t="s">
        <v>13003</v>
      </c>
      <c r="B6212" s="142" t="s">
        <v>15245</v>
      </c>
      <c r="C6212" s="142" t="s">
        <v>15847</v>
      </c>
      <c r="D6212" s="142" t="s">
        <v>15848</v>
      </c>
      <c r="E6212" s="142" t="s">
        <v>15849</v>
      </c>
      <c r="F6212" s="142" t="s">
        <v>8737</v>
      </c>
      <c r="G6212" s="142" t="s">
        <v>8736</v>
      </c>
      <c r="H6212" s="142" t="s">
        <v>22062</v>
      </c>
      <c r="I6212" s="142">
        <v>199</v>
      </c>
      <c r="J6212" s="142">
        <v>0</v>
      </c>
      <c r="K6212" s="142">
        <v>0</v>
      </c>
      <c r="L6212" s="142">
        <v>174</v>
      </c>
      <c r="M6212" s="142">
        <v>25</v>
      </c>
    </row>
    <row r="6213" spans="1:13" x14ac:dyDescent="0.45">
      <c r="A6213" s="142" t="s">
        <v>13420</v>
      </c>
      <c r="B6213" s="142" t="s">
        <v>14576</v>
      </c>
      <c r="C6213" s="142" t="s">
        <v>15860</v>
      </c>
      <c r="D6213" s="142" t="s">
        <v>15861</v>
      </c>
      <c r="E6213" s="142" t="s">
        <v>15849</v>
      </c>
      <c r="F6213" s="142" t="s">
        <v>8737</v>
      </c>
      <c r="G6213" s="142" t="s">
        <v>8736</v>
      </c>
      <c r="H6213" s="142" t="s">
        <v>22063</v>
      </c>
      <c r="I6213" s="142">
        <v>2</v>
      </c>
      <c r="J6213" s="142">
        <v>0</v>
      </c>
      <c r="K6213" s="142">
        <v>0</v>
      </c>
      <c r="L6213" s="142">
        <v>2</v>
      </c>
      <c r="M6213" s="142">
        <v>0</v>
      </c>
    </row>
    <row r="6214" spans="1:13" x14ac:dyDescent="0.45">
      <c r="A6214" s="142" t="s">
        <v>13066</v>
      </c>
      <c r="B6214" s="142" t="s">
        <v>14459</v>
      </c>
      <c r="C6214" s="142" t="s">
        <v>15847</v>
      </c>
      <c r="D6214" s="142" t="s">
        <v>15848</v>
      </c>
      <c r="E6214" s="142" t="s">
        <v>15849</v>
      </c>
      <c r="F6214" s="142" t="s">
        <v>8737</v>
      </c>
      <c r="G6214" s="142" t="s">
        <v>8736</v>
      </c>
      <c r="H6214" s="142" t="s">
        <v>22064</v>
      </c>
      <c r="I6214" s="142">
        <v>53</v>
      </c>
      <c r="J6214" s="142">
        <v>0</v>
      </c>
      <c r="K6214" s="142">
        <v>0</v>
      </c>
      <c r="L6214" s="142">
        <v>53</v>
      </c>
      <c r="M6214" s="142">
        <v>0</v>
      </c>
    </row>
    <row r="6215" spans="1:13" x14ac:dyDescent="0.45">
      <c r="A6215" s="142" t="s">
        <v>13076</v>
      </c>
      <c r="B6215" s="142" t="s">
        <v>14636</v>
      </c>
      <c r="C6215" s="142" t="s">
        <v>15847</v>
      </c>
      <c r="D6215" s="142" t="s">
        <v>15848</v>
      </c>
      <c r="E6215" s="142" t="s">
        <v>15849</v>
      </c>
      <c r="F6215" s="142" t="s">
        <v>8737</v>
      </c>
      <c r="G6215" s="142" t="s">
        <v>8736</v>
      </c>
      <c r="H6215" s="142" t="s">
        <v>22065</v>
      </c>
      <c r="I6215" s="142">
        <v>58</v>
      </c>
      <c r="J6215" s="142">
        <v>14</v>
      </c>
      <c r="K6215" s="142">
        <v>0</v>
      </c>
      <c r="L6215" s="142">
        <v>0</v>
      </c>
      <c r="M6215" s="142">
        <v>44</v>
      </c>
    </row>
    <row r="6216" spans="1:13" x14ac:dyDescent="0.45">
      <c r="A6216" s="142" t="s">
        <v>13029</v>
      </c>
      <c r="B6216" s="142" t="s">
        <v>14665</v>
      </c>
      <c r="C6216" s="142" t="s">
        <v>15847</v>
      </c>
      <c r="D6216" s="142" t="s">
        <v>15848</v>
      </c>
      <c r="E6216" s="142" t="s">
        <v>15849</v>
      </c>
      <c r="F6216" s="142" t="s">
        <v>8737</v>
      </c>
      <c r="G6216" s="142" t="s">
        <v>8736</v>
      </c>
      <c r="H6216" s="142" t="s">
        <v>22066</v>
      </c>
      <c r="I6216" s="142">
        <v>4</v>
      </c>
      <c r="J6216" s="142">
        <v>0</v>
      </c>
      <c r="K6216" s="142">
        <v>0</v>
      </c>
      <c r="L6216" s="142">
        <v>0</v>
      </c>
      <c r="M6216" s="142">
        <v>4</v>
      </c>
    </row>
    <row r="6217" spans="1:13" x14ac:dyDescent="0.45">
      <c r="A6217" s="142" t="s">
        <v>13192</v>
      </c>
      <c r="B6217" s="142" t="s">
        <v>15539</v>
      </c>
      <c r="C6217" s="142" t="s">
        <v>15860</v>
      </c>
      <c r="D6217" s="142" t="s">
        <v>15861</v>
      </c>
      <c r="E6217" s="142" t="s">
        <v>15849</v>
      </c>
      <c r="F6217" s="142" t="s">
        <v>8737</v>
      </c>
      <c r="G6217" s="142" t="s">
        <v>8736</v>
      </c>
      <c r="H6217" s="142" t="s">
        <v>22067</v>
      </c>
      <c r="I6217" s="142">
        <v>34</v>
      </c>
      <c r="J6217" s="142">
        <v>0</v>
      </c>
      <c r="K6217" s="142">
        <v>0</v>
      </c>
      <c r="L6217" s="142">
        <v>34</v>
      </c>
      <c r="M6217" s="142">
        <v>0</v>
      </c>
    </row>
    <row r="6218" spans="1:13" x14ac:dyDescent="0.45">
      <c r="A6218" s="142" t="s">
        <v>13248</v>
      </c>
      <c r="B6218" s="142" t="s">
        <v>15463</v>
      </c>
      <c r="C6218" s="142" t="s">
        <v>15847</v>
      </c>
      <c r="D6218" s="142" t="s">
        <v>15848</v>
      </c>
      <c r="E6218" s="142" t="s">
        <v>15849</v>
      </c>
      <c r="F6218" s="142" t="s">
        <v>8737</v>
      </c>
      <c r="G6218" s="142" t="s">
        <v>8736</v>
      </c>
      <c r="H6218" s="142" t="s">
        <v>22068</v>
      </c>
      <c r="I6218" s="142">
        <v>1002</v>
      </c>
      <c r="J6218" s="142">
        <v>808</v>
      </c>
      <c r="K6218" s="142">
        <v>0</v>
      </c>
      <c r="L6218" s="142">
        <v>0</v>
      </c>
      <c r="M6218" s="142">
        <v>194</v>
      </c>
    </row>
    <row r="6219" spans="1:13" x14ac:dyDescent="0.45">
      <c r="A6219" s="142" t="s">
        <v>14097</v>
      </c>
      <c r="B6219" s="142" t="s">
        <v>14737</v>
      </c>
      <c r="C6219" s="142" t="s">
        <v>15860</v>
      </c>
      <c r="D6219" s="142" t="s">
        <v>15861</v>
      </c>
      <c r="E6219" s="142" t="s">
        <v>15849</v>
      </c>
      <c r="F6219" s="142" t="s">
        <v>8737</v>
      </c>
      <c r="G6219" s="142" t="s">
        <v>8736</v>
      </c>
      <c r="H6219" s="142" t="s">
        <v>22069</v>
      </c>
      <c r="I6219" s="142">
        <v>30</v>
      </c>
      <c r="J6219" s="142">
        <v>0</v>
      </c>
      <c r="K6219" s="142">
        <v>0</v>
      </c>
      <c r="L6219" s="142">
        <v>30</v>
      </c>
      <c r="M6219" s="142">
        <v>0</v>
      </c>
    </row>
    <row r="6220" spans="1:13" x14ac:dyDescent="0.45">
      <c r="A6220" s="142" t="s">
        <v>13008</v>
      </c>
      <c r="B6220" s="142" t="s">
        <v>15411</v>
      </c>
      <c r="C6220" s="142" t="s">
        <v>15847</v>
      </c>
      <c r="D6220" s="142" t="s">
        <v>15848</v>
      </c>
      <c r="E6220" s="142" t="s">
        <v>15849</v>
      </c>
      <c r="F6220" s="142" t="s">
        <v>8737</v>
      </c>
      <c r="G6220" s="142" t="s">
        <v>8736</v>
      </c>
      <c r="H6220" s="142" t="s">
        <v>22070</v>
      </c>
      <c r="I6220" s="142">
        <v>81</v>
      </c>
      <c r="J6220" s="142">
        <v>2</v>
      </c>
      <c r="K6220" s="142">
        <v>0</v>
      </c>
      <c r="L6220" s="142">
        <v>0</v>
      </c>
      <c r="M6220" s="142">
        <v>79</v>
      </c>
    </row>
    <row r="6221" spans="1:13" x14ac:dyDescent="0.45">
      <c r="A6221" s="142" t="s">
        <v>13077</v>
      </c>
      <c r="B6221" s="142" t="s">
        <v>15407</v>
      </c>
      <c r="C6221" s="142" t="s">
        <v>15847</v>
      </c>
      <c r="D6221" s="142" t="s">
        <v>15848</v>
      </c>
      <c r="E6221" s="142" t="s">
        <v>15849</v>
      </c>
      <c r="F6221" s="142" t="s">
        <v>8737</v>
      </c>
      <c r="G6221" s="142" t="s">
        <v>8736</v>
      </c>
      <c r="H6221" s="142" t="s">
        <v>22071</v>
      </c>
      <c r="I6221" s="142">
        <v>756</v>
      </c>
      <c r="J6221" s="142">
        <v>756</v>
      </c>
      <c r="K6221" s="142">
        <v>0</v>
      </c>
      <c r="L6221" s="142">
        <v>0</v>
      </c>
      <c r="M6221" s="142">
        <v>0</v>
      </c>
    </row>
    <row r="6222" spans="1:13" x14ac:dyDescent="0.45">
      <c r="A6222" s="142" t="s">
        <v>13055</v>
      </c>
      <c r="B6222" s="142" t="s">
        <v>14595</v>
      </c>
      <c r="C6222" s="142" t="s">
        <v>15847</v>
      </c>
      <c r="D6222" s="142" t="s">
        <v>15848</v>
      </c>
      <c r="E6222" s="142" t="s">
        <v>15849</v>
      </c>
      <c r="F6222" s="142" t="s">
        <v>8737</v>
      </c>
      <c r="G6222" s="142" t="s">
        <v>8736</v>
      </c>
      <c r="H6222" s="142" t="s">
        <v>22072</v>
      </c>
      <c r="I6222" s="142">
        <v>93</v>
      </c>
      <c r="J6222" s="142">
        <v>80</v>
      </c>
      <c r="K6222" s="142">
        <v>0</v>
      </c>
      <c r="L6222" s="142">
        <v>3</v>
      </c>
      <c r="M6222" s="142">
        <v>10</v>
      </c>
    </row>
    <row r="6223" spans="1:13" x14ac:dyDescent="0.45">
      <c r="A6223" s="142" t="s">
        <v>13033</v>
      </c>
      <c r="B6223" s="142" t="s">
        <v>15276</v>
      </c>
      <c r="C6223" s="142" t="s">
        <v>15847</v>
      </c>
      <c r="D6223" s="142" t="s">
        <v>15848</v>
      </c>
      <c r="E6223" s="142" t="s">
        <v>15849</v>
      </c>
      <c r="F6223" s="142" t="s">
        <v>8737</v>
      </c>
      <c r="G6223" s="142" t="s">
        <v>8736</v>
      </c>
      <c r="H6223" s="142" t="s">
        <v>22073</v>
      </c>
      <c r="I6223" s="142">
        <v>20</v>
      </c>
      <c r="J6223" s="142">
        <v>8</v>
      </c>
      <c r="K6223" s="142">
        <v>0</v>
      </c>
      <c r="L6223" s="142">
        <v>0</v>
      </c>
      <c r="M6223" s="142">
        <v>12</v>
      </c>
    </row>
    <row r="6224" spans="1:13" x14ac:dyDescent="0.45">
      <c r="A6224" s="142" t="s">
        <v>13034</v>
      </c>
      <c r="B6224" s="142" t="s">
        <v>15562</v>
      </c>
      <c r="C6224" s="142" t="s">
        <v>15847</v>
      </c>
      <c r="D6224" s="142" t="s">
        <v>15848</v>
      </c>
      <c r="E6224" s="142" t="s">
        <v>15849</v>
      </c>
      <c r="F6224" s="142" t="s">
        <v>8737</v>
      </c>
      <c r="G6224" s="142" t="s">
        <v>8736</v>
      </c>
      <c r="H6224" s="142" t="s">
        <v>22074</v>
      </c>
      <c r="I6224" s="142">
        <v>12</v>
      </c>
      <c r="J6224" s="142">
        <v>11</v>
      </c>
      <c r="K6224" s="142">
        <v>0</v>
      </c>
      <c r="L6224" s="142">
        <v>1</v>
      </c>
      <c r="M6224" s="142">
        <v>0</v>
      </c>
    </row>
    <row r="6225" spans="1:13" x14ac:dyDescent="0.45">
      <c r="A6225" s="142" t="s">
        <v>13035</v>
      </c>
      <c r="B6225" s="142" t="s">
        <v>14648</v>
      </c>
      <c r="C6225" s="142" t="s">
        <v>15847</v>
      </c>
      <c r="D6225" s="142" t="s">
        <v>15848</v>
      </c>
      <c r="E6225" s="142" t="s">
        <v>15849</v>
      </c>
      <c r="F6225" s="142" t="s">
        <v>8737</v>
      </c>
      <c r="G6225" s="142" t="s">
        <v>8736</v>
      </c>
      <c r="H6225" s="142" t="s">
        <v>22075</v>
      </c>
      <c r="I6225" s="142">
        <v>232</v>
      </c>
      <c r="J6225" s="142">
        <v>137</v>
      </c>
      <c r="K6225" s="142">
        <v>0</v>
      </c>
      <c r="L6225" s="142">
        <v>0</v>
      </c>
      <c r="M6225" s="142">
        <v>95</v>
      </c>
    </row>
    <row r="6226" spans="1:13" x14ac:dyDescent="0.45">
      <c r="A6226" s="142" t="s">
        <v>13037</v>
      </c>
      <c r="B6226" s="142" t="s">
        <v>14519</v>
      </c>
      <c r="C6226" s="142" t="s">
        <v>15847</v>
      </c>
      <c r="D6226" s="142" t="s">
        <v>15848</v>
      </c>
      <c r="E6226" s="142" t="s">
        <v>15849</v>
      </c>
      <c r="F6226" s="142" t="s">
        <v>8737</v>
      </c>
      <c r="G6226" s="142" t="s">
        <v>8736</v>
      </c>
      <c r="H6226" s="142" t="s">
        <v>22076</v>
      </c>
      <c r="I6226" s="142">
        <v>2</v>
      </c>
      <c r="J6226" s="142">
        <v>0</v>
      </c>
      <c r="K6226" s="142">
        <v>0</v>
      </c>
      <c r="L6226" s="142">
        <v>2</v>
      </c>
      <c r="M6226" s="142">
        <v>0</v>
      </c>
    </row>
    <row r="6227" spans="1:13" x14ac:dyDescent="0.45">
      <c r="A6227" s="142" t="s">
        <v>13038</v>
      </c>
      <c r="B6227" s="142" t="s">
        <v>14646</v>
      </c>
      <c r="C6227" s="142" t="s">
        <v>15847</v>
      </c>
      <c r="D6227" s="142" t="s">
        <v>15848</v>
      </c>
      <c r="E6227" s="142" t="s">
        <v>15849</v>
      </c>
      <c r="F6227" s="142" t="s">
        <v>8737</v>
      </c>
      <c r="G6227" s="142" t="s">
        <v>8736</v>
      </c>
      <c r="H6227" s="142" t="s">
        <v>22077</v>
      </c>
      <c r="I6227" s="142">
        <v>133</v>
      </c>
      <c r="J6227" s="142">
        <v>57</v>
      </c>
      <c r="K6227" s="142">
        <v>0</v>
      </c>
      <c r="L6227" s="142">
        <v>0</v>
      </c>
      <c r="M6227" s="142">
        <v>76</v>
      </c>
    </row>
    <row r="6228" spans="1:13" x14ac:dyDescent="0.45">
      <c r="A6228" s="142" t="s">
        <v>13039</v>
      </c>
      <c r="B6228" s="142" t="s">
        <v>14647</v>
      </c>
      <c r="C6228" s="142" t="s">
        <v>15847</v>
      </c>
      <c r="D6228" s="142" t="s">
        <v>15848</v>
      </c>
      <c r="E6228" s="142" t="s">
        <v>15849</v>
      </c>
      <c r="F6228" s="142" t="s">
        <v>8737</v>
      </c>
      <c r="G6228" s="142" t="s">
        <v>8736</v>
      </c>
      <c r="H6228" s="142" t="s">
        <v>22078</v>
      </c>
      <c r="I6228" s="142">
        <v>52</v>
      </c>
      <c r="J6228" s="142">
        <v>52</v>
      </c>
      <c r="K6228" s="142">
        <v>0</v>
      </c>
      <c r="L6228" s="142">
        <v>0</v>
      </c>
      <c r="M6228" s="142">
        <v>0</v>
      </c>
    </row>
    <row r="6229" spans="1:13" x14ac:dyDescent="0.45">
      <c r="A6229" s="142" t="s">
        <v>13009</v>
      </c>
      <c r="B6229" s="142" t="s">
        <v>15256</v>
      </c>
      <c r="C6229" s="142" t="s">
        <v>15847</v>
      </c>
      <c r="D6229" s="142" t="s">
        <v>15848</v>
      </c>
      <c r="E6229" s="142" t="s">
        <v>15849</v>
      </c>
      <c r="F6229" s="142" t="s">
        <v>8737</v>
      </c>
      <c r="G6229" s="142" t="s">
        <v>8736</v>
      </c>
      <c r="H6229" s="142" t="s">
        <v>22079</v>
      </c>
      <c r="I6229" s="142">
        <v>36</v>
      </c>
      <c r="J6229" s="142">
        <v>36</v>
      </c>
      <c r="K6229" s="142">
        <v>0</v>
      </c>
      <c r="L6229" s="142">
        <v>0</v>
      </c>
      <c r="M6229" s="142">
        <v>0</v>
      </c>
    </row>
    <row r="6230" spans="1:13" x14ac:dyDescent="0.45">
      <c r="A6230" s="142" t="s">
        <v>13041</v>
      </c>
      <c r="B6230" s="142" t="s">
        <v>14441</v>
      </c>
      <c r="C6230" s="142" t="s">
        <v>15847</v>
      </c>
      <c r="D6230" s="142" t="s">
        <v>15848</v>
      </c>
      <c r="E6230" s="142" t="s">
        <v>15849</v>
      </c>
      <c r="F6230" s="142" t="s">
        <v>8737</v>
      </c>
      <c r="G6230" s="142" t="s">
        <v>8736</v>
      </c>
      <c r="H6230" s="142" t="s">
        <v>22080</v>
      </c>
      <c r="I6230" s="142">
        <v>13</v>
      </c>
      <c r="J6230" s="142">
        <v>0</v>
      </c>
      <c r="K6230" s="142">
        <v>0</v>
      </c>
      <c r="L6230" s="142">
        <v>0</v>
      </c>
      <c r="M6230" s="142">
        <v>13</v>
      </c>
    </row>
    <row r="6231" spans="1:13" x14ac:dyDescent="0.45">
      <c r="A6231" s="142" t="s">
        <v>13012</v>
      </c>
      <c r="B6231" s="142" t="s">
        <v>15337</v>
      </c>
      <c r="C6231" s="142" t="s">
        <v>15847</v>
      </c>
      <c r="D6231" s="142" t="s">
        <v>15848</v>
      </c>
      <c r="E6231" s="142" t="s">
        <v>15849</v>
      </c>
      <c r="F6231" s="142" t="s">
        <v>8737</v>
      </c>
      <c r="G6231" s="142" t="s">
        <v>8736</v>
      </c>
      <c r="H6231" s="142" t="s">
        <v>22081</v>
      </c>
      <c r="I6231" s="142">
        <v>303</v>
      </c>
      <c r="J6231" s="142">
        <v>256</v>
      </c>
      <c r="K6231" s="142">
        <v>0</v>
      </c>
      <c r="L6231" s="142">
        <v>0</v>
      </c>
      <c r="M6231" s="142">
        <v>47</v>
      </c>
    </row>
    <row r="6232" spans="1:13" x14ac:dyDescent="0.45">
      <c r="A6232" s="142" t="s">
        <v>13467</v>
      </c>
      <c r="B6232" s="142" t="s">
        <v>14585</v>
      </c>
      <c r="C6232" s="142" t="s">
        <v>15860</v>
      </c>
      <c r="D6232" s="142" t="s">
        <v>15861</v>
      </c>
      <c r="E6232" s="142" t="s">
        <v>15849</v>
      </c>
      <c r="F6232" s="142" t="s">
        <v>8737</v>
      </c>
      <c r="G6232" s="142" t="s">
        <v>8736</v>
      </c>
      <c r="H6232" s="142" t="s">
        <v>22082</v>
      </c>
      <c r="I6232" s="142">
        <v>4</v>
      </c>
      <c r="J6232" s="142">
        <v>0</v>
      </c>
      <c r="K6232" s="142">
        <v>0</v>
      </c>
      <c r="L6232" s="142">
        <v>4</v>
      </c>
      <c r="M6232" s="142">
        <v>0</v>
      </c>
    </row>
    <row r="6233" spans="1:13" x14ac:dyDescent="0.45">
      <c r="A6233" s="142" t="s">
        <v>13222</v>
      </c>
      <c r="B6233" s="142" t="s">
        <v>14449</v>
      </c>
      <c r="C6233" s="142" t="s">
        <v>15860</v>
      </c>
      <c r="D6233" s="142" t="s">
        <v>15861</v>
      </c>
      <c r="E6233" s="142" t="s">
        <v>15849</v>
      </c>
      <c r="F6233" s="142" t="s">
        <v>8737</v>
      </c>
      <c r="G6233" s="142" t="s">
        <v>8736</v>
      </c>
      <c r="H6233" s="142" t="s">
        <v>22083</v>
      </c>
      <c r="I6233" s="142">
        <v>8</v>
      </c>
      <c r="J6233" s="142">
        <v>0</v>
      </c>
      <c r="K6233" s="142">
        <v>0</v>
      </c>
      <c r="L6233" s="142">
        <v>8</v>
      </c>
      <c r="M6233" s="142">
        <v>0</v>
      </c>
    </row>
    <row r="6234" spans="1:13" x14ac:dyDescent="0.45">
      <c r="A6234" s="142" t="s">
        <v>13267</v>
      </c>
      <c r="B6234" s="142" t="s">
        <v>15451</v>
      </c>
      <c r="C6234" s="142" t="s">
        <v>15847</v>
      </c>
      <c r="D6234" s="142" t="s">
        <v>15848</v>
      </c>
      <c r="E6234" s="142" t="s">
        <v>15849</v>
      </c>
      <c r="F6234" s="142" t="s">
        <v>8737</v>
      </c>
      <c r="G6234" s="142" t="s">
        <v>8736</v>
      </c>
      <c r="H6234" s="142" t="s">
        <v>22084</v>
      </c>
      <c r="I6234" s="142">
        <v>38</v>
      </c>
      <c r="J6234" s="142">
        <v>26</v>
      </c>
      <c r="K6234" s="142">
        <v>0</v>
      </c>
      <c r="L6234" s="142">
        <v>0</v>
      </c>
      <c r="M6234" s="142">
        <v>12</v>
      </c>
    </row>
    <row r="6235" spans="1:13" x14ac:dyDescent="0.45">
      <c r="A6235" s="142" t="s">
        <v>13016</v>
      </c>
      <c r="B6235" s="142" t="s">
        <v>14535</v>
      </c>
      <c r="C6235" s="142" t="s">
        <v>15860</v>
      </c>
      <c r="D6235" s="142" t="s">
        <v>15861</v>
      </c>
      <c r="E6235" s="142" t="s">
        <v>15849</v>
      </c>
      <c r="F6235" s="142" t="s">
        <v>8737</v>
      </c>
      <c r="G6235" s="142" t="s">
        <v>8736</v>
      </c>
      <c r="H6235" s="142" t="s">
        <v>22085</v>
      </c>
      <c r="I6235" s="142">
        <v>1</v>
      </c>
      <c r="J6235" s="142">
        <v>0</v>
      </c>
      <c r="K6235" s="142">
        <v>0</v>
      </c>
      <c r="L6235" s="142">
        <v>1</v>
      </c>
      <c r="M6235" s="142">
        <v>0</v>
      </c>
    </row>
    <row r="6236" spans="1:13" x14ac:dyDescent="0.45">
      <c r="A6236" s="142" t="s">
        <v>13020</v>
      </c>
      <c r="B6236" s="142" t="s">
        <v>15523</v>
      </c>
      <c r="C6236" s="142" t="s">
        <v>15860</v>
      </c>
      <c r="D6236" s="142" t="s">
        <v>15861</v>
      </c>
      <c r="E6236" s="142" t="s">
        <v>15849</v>
      </c>
      <c r="F6236" s="142" t="s">
        <v>6664</v>
      </c>
      <c r="G6236" s="142" t="s">
        <v>6663</v>
      </c>
      <c r="H6236" s="142" t="s">
        <v>22086</v>
      </c>
      <c r="I6236" s="142">
        <v>5</v>
      </c>
      <c r="J6236" s="142">
        <v>0</v>
      </c>
      <c r="K6236" s="142">
        <v>0</v>
      </c>
      <c r="L6236" s="142">
        <v>5</v>
      </c>
      <c r="M6236" s="142">
        <v>0</v>
      </c>
    </row>
    <row r="6237" spans="1:13" x14ac:dyDescent="0.45">
      <c r="A6237" s="142" t="s">
        <v>13021</v>
      </c>
      <c r="B6237" s="142" t="s">
        <v>15501</v>
      </c>
      <c r="C6237" s="142" t="s">
        <v>15847</v>
      </c>
      <c r="D6237" s="142" t="s">
        <v>15848</v>
      </c>
      <c r="E6237" s="142" t="s">
        <v>15849</v>
      </c>
      <c r="F6237" s="142" t="s">
        <v>6664</v>
      </c>
      <c r="G6237" s="142" t="s">
        <v>6663</v>
      </c>
      <c r="H6237" s="142" t="s">
        <v>22087</v>
      </c>
      <c r="I6237" s="142">
        <v>11</v>
      </c>
      <c r="J6237" s="142">
        <v>0</v>
      </c>
      <c r="K6237" s="142">
        <v>0</v>
      </c>
      <c r="L6237" s="142">
        <v>8</v>
      </c>
      <c r="M6237" s="142">
        <v>3</v>
      </c>
    </row>
    <row r="6238" spans="1:13" x14ac:dyDescent="0.45">
      <c r="A6238" s="142" t="s">
        <v>13022</v>
      </c>
      <c r="B6238" s="142" t="s">
        <v>14634</v>
      </c>
      <c r="C6238" s="142" t="s">
        <v>15847</v>
      </c>
      <c r="D6238" s="142" t="s">
        <v>15848</v>
      </c>
      <c r="E6238" s="142" t="s">
        <v>15849</v>
      </c>
      <c r="F6238" s="142" t="s">
        <v>6664</v>
      </c>
      <c r="G6238" s="142" t="s">
        <v>6663</v>
      </c>
      <c r="H6238" s="142" t="s">
        <v>22088</v>
      </c>
      <c r="I6238" s="142">
        <v>21</v>
      </c>
      <c r="J6238" s="142">
        <v>13</v>
      </c>
      <c r="K6238" s="142">
        <v>0</v>
      </c>
      <c r="L6238" s="142">
        <v>0</v>
      </c>
      <c r="M6238" s="142">
        <v>8</v>
      </c>
    </row>
    <row r="6239" spans="1:13" x14ac:dyDescent="0.45">
      <c r="A6239" s="142" t="s">
        <v>13023</v>
      </c>
      <c r="B6239" s="142" t="s">
        <v>15571</v>
      </c>
      <c r="C6239" s="142" t="s">
        <v>15847</v>
      </c>
      <c r="D6239" s="142" t="s">
        <v>15848</v>
      </c>
      <c r="E6239" s="142" t="s">
        <v>15849</v>
      </c>
      <c r="F6239" s="142" t="s">
        <v>6664</v>
      </c>
      <c r="G6239" s="142" t="s">
        <v>6663</v>
      </c>
      <c r="H6239" s="142" t="s">
        <v>22089</v>
      </c>
      <c r="I6239" s="142">
        <v>50</v>
      </c>
      <c r="J6239" s="142">
        <v>0</v>
      </c>
      <c r="K6239" s="142">
        <v>0</v>
      </c>
      <c r="L6239" s="142">
        <v>50</v>
      </c>
      <c r="M6239" s="142">
        <v>0</v>
      </c>
    </row>
    <row r="6240" spans="1:13" x14ac:dyDescent="0.45">
      <c r="A6240" s="142" t="s">
        <v>14099</v>
      </c>
      <c r="B6240" s="142" t="s">
        <v>15312</v>
      </c>
      <c r="C6240" s="142" t="s">
        <v>15860</v>
      </c>
      <c r="D6240" s="142" t="s">
        <v>15861</v>
      </c>
      <c r="E6240" s="142" t="s">
        <v>15849</v>
      </c>
      <c r="F6240" s="142" t="s">
        <v>6664</v>
      </c>
      <c r="G6240" s="142" t="s">
        <v>6663</v>
      </c>
      <c r="H6240" s="142" t="s">
        <v>22090</v>
      </c>
      <c r="I6240" s="142">
        <v>8</v>
      </c>
      <c r="J6240" s="142">
        <v>0</v>
      </c>
      <c r="K6240" s="142">
        <v>0</v>
      </c>
      <c r="L6240" s="142">
        <v>8</v>
      </c>
      <c r="M6240" s="142">
        <v>0</v>
      </c>
    </row>
    <row r="6241" spans="1:13" x14ac:dyDescent="0.45">
      <c r="A6241" s="142" t="s">
        <v>13024</v>
      </c>
      <c r="B6241" s="142" t="s">
        <v>14538</v>
      </c>
      <c r="C6241" s="142" t="s">
        <v>15847</v>
      </c>
      <c r="D6241" s="142" t="s">
        <v>15848</v>
      </c>
      <c r="E6241" s="142" t="s">
        <v>15849</v>
      </c>
      <c r="F6241" s="142" t="s">
        <v>6664</v>
      </c>
      <c r="G6241" s="142" t="s">
        <v>6663</v>
      </c>
      <c r="H6241" s="142" t="s">
        <v>22091</v>
      </c>
      <c r="I6241" s="142">
        <v>44</v>
      </c>
      <c r="J6241" s="142">
        <v>34</v>
      </c>
      <c r="K6241" s="142">
        <v>0</v>
      </c>
      <c r="L6241" s="142">
        <v>0</v>
      </c>
      <c r="M6241" s="142">
        <v>10</v>
      </c>
    </row>
    <row r="6242" spans="1:13" x14ac:dyDescent="0.45">
      <c r="A6242" s="142" t="s">
        <v>13003</v>
      </c>
      <c r="B6242" s="142" t="s">
        <v>15245</v>
      </c>
      <c r="C6242" s="142" t="s">
        <v>15847</v>
      </c>
      <c r="D6242" s="142" t="s">
        <v>15848</v>
      </c>
      <c r="E6242" s="142" t="s">
        <v>15849</v>
      </c>
      <c r="F6242" s="142" t="s">
        <v>6664</v>
      </c>
      <c r="G6242" s="142" t="s">
        <v>6663</v>
      </c>
      <c r="H6242" s="142" t="s">
        <v>22092</v>
      </c>
      <c r="I6242" s="142">
        <v>36</v>
      </c>
      <c r="J6242" s="142">
        <v>0</v>
      </c>
      <c r="K6242" s="142">
        <v>0</v>
      </c>
      <c r="L6242" s="142">
        <v>36</v>
      </c>
      <c r="M6242" s="142">
        <v>0</v>
      </c>
    </row>
    <row r="6243" spans="1:13" x14ac:dyDescent="0.45">
      <c r="A6243" s="142" t="s">
        <v>13066</v>
      </c>
      <c r="B6243" s="142" t="s">
        <v>14459</v>
      </c>
      <c r="C6243" s="142" t="s">
        <v>15847</v>
      </c>
      <c r="D6243" s="142" t="s">
        <v>15848</v>
      </c>
      <c r="E6243" s="142" t="s">
        <v>15849</v>
      </c>
      <c r="F6243" s="142" t="s">
        <v>6664</v>
      </c>
      <c r="G6243" s="142" t="s">
        <v>6663</v>
      </c>
      <c r="H6243" s="142" t="s">
        <v>22093</v>
      </c>
      <c r="I6243" s="142">
        <v>3</v>
      </c>
      <c r="J6243" s="142">
        <v>0</v>
      </c>
      <c r="K6243" s="142">
        <v>0</v>
      </c>
      <c r="L6243" s="142">
        <v>3</v>
      </c>
      <c r="M6243" s="142">
        <v>0</v>
      </c>
    </row>
    <row r="6244" spans="1:13" x14ac:dyDescent="0.45">
      <c r="A6244" s="142" t="s">
        <v>13178</v>
      </c>
      <c r="B6244" s="142" t="s">
        <v>14683</v>
      </c>
      <c r="C6244" s="142" t="s">
        <v>15847</v>
      </c>
      <c r="D6244" s="142" t="s">
        <v>15848</v>
      </c>
      <c r="E6244" s="142" t="s">
        <v>15849</v>
      </c>
      <c r="F6244" s="142" t="s">
        <v>6664</v>
      </c>
      <c r="G6244" s="142" t="s">
        <v>6663</v>
      </c>
      <c r="H6244" s="142" t="s">
        <v>22094</v>
      </c>
      <c r="I6244" s="142">
        <v>31</v>
      </c>
      <c r="J6244" s="142">
        <v>31</v>
      </c>
      <c r="K6244" s="142">
        <v>0</v>
      </c>
      <c r="L6244" s="142">
        <v>0</v>
      </c>
      <c r="M6244" s="142">
        <v>0</v>
      </c>
    </row>
    <row r="6245" spans="1:13" x14ac:dyDescent="0.45">
      <c r="A6245" s="142" t="s">
        <v>13076</v>
      </c>
      <c r="B6245" s="142" t="s">
        <v>14636</v>
      </c>
      <c r="C6245" s="142" t="s">
        <v>15847</v>
      </c>
      <c r="D6245" s="142" t="s">
        <v>15848</v>
      </c>
      <c r="E6245" s="142" t="s">
        <v>15849</v>
      </c>
      <c r="F6245" s="142" t="s">
        <v>6664</v>
      </c>
      <c r="G6245" s="142" t="s">
        <v>6663</v>
      </c>
      <c r="H6245" s="142" t="s">
        <v>22095</v>
      </c>
      <c r="I6245" s="142">
        <v>64</v>
      </c>
      <c r="J6245" s="142">
        <v>17</v>
      </c>
      <c r="K6245" s="142">
        <v>0</v>
      </c>
      <c r="L6245" s="142">
        <v>0</v>
      </c>
      <c r="M6245" s="142">
        <v>47</v>
      </c>
    </row>
    <row r="6246" spans="1:13" x14ac:dyDescent="0.45">
      <c r="A6246" s="142" t="s">
        <v>13006</v>
      </c>
      <c r="B6246" s="142" t="s">
        <v>15288</v>
      </c>
      <c r="C6246" s="142" t="s">
        <v>15847</v>
      </c>
      <c r="D6246" s="142" t="s">
        <v>15848</v>
      </c>
      <c r="E6246" s="142" t="s">
        <v>15849</v>
      </c>
      <c r="F6246" s="142" t="s">
        <v>6664</v>
      </c>
      <c r="G6246" s="142" t="s">
        <v>6663</v>
      </c>
      <c r="H6246" s="142" t="s">
        <v>22096</v>
      </c>
      <c r="I6246" s="142">
        <v>34</v>
      </c>
      <c r="J6246" s="142">
        <v>34</v>
      </c>
      <c r="K6246" s="142">
        <v>0</v>
      </c>
      <c r="L6246" s="142">
        <v>0</v>
      </c>
      <c r="M6246" s="142">
        <v>0</v>
      </c>
    </row>
    <row r="6247" spans="1:13" x14ac:dyDescent="0.45">
      <c r="A6247" s="142" t="s">
        <v>13248</v>
      </c>
      <c r="B6247" s="142" t="s">
        <v>15463</v>
      </c>
      <c r="C6247" s="142" t="s">
        <v>15847</v>
      </c>
      <c r="D6247" s="142" t="s">
        <v>15848</v>
      </c>
      <c r="E6247" s="142" t="s">
        <v>15849</v>
      </c>
      <c r="F6247" s="142" t="s">
        <v>6664</v>
      </c>
      <c r="G6247" s="142" t="s">
        <v>6663</v>
      </c>
      <c r="H6247" s="142" t="s">
        <v>22097</v>
      </c>
      <c r="I6247" s="142">
        <v>51</v>
      </c>
      <c r="J6247" s="142">
        <v>36</v>
      </c>
      <c r="K6247" s="142">
        <v>0</v>
      </c>
      <c r="L6247" s="142">
        <v>0</v>
      </c>
      <c r="M6247" s="142">
        <v>15</v>
      </c>
    </row>
    <row r="6248" spans="1:13" x14ac:dyDescent="0.45">
      <c r="A6248" s="142" t="s">
        <v>13272</v>
      </c>
      <c r="B6248" s="142" t="s">
        <v>14467</v>
      </c>
      <c r="C6248" s="142" t="s">
        <v>15860</v>
      </c>
      <c r="D6248" s="142" t="s">
        <v>15861</v>
      </c>
      <c r="E6248" s="142" t="s">
        <v>15849</v>
      </c>
      <c r="F6248" s="142" t="s">
        <v>6664</v>
      </c>
      <c r="G6248" s="142" t="s">
        <v>6663</v>
      </c>
      <c r="H6248" s="142" t="s">
        <v>22098</v>
      </c>
      <c r="I6248" s="142">
        <v>6</v>
      </c>
      <c r="J6248" s="142">
        <v>0</v>
      </c>
      <c r="K6248" s="142">
        <v>0</v>
      </c>
      <c r="L6248" s="142">
        <v>6</v>
      </c>
      <c r="M6248" s="142">
        <v>0</v>
      </c>
    </row>
    <row r="6249" spans="1:13" x14ac:dyDescent="0.45">
      <c r="A6249" s="142" t="s">
        <v>13030</v>
      </c>
      <c r="B6249" s="142" t="s">
        <v>14572</v>
      </c>
      <c r="C6249" s="142" t="s">
        <v>15847</v>
      </c>
      <c r="D6249" s="142" t="s">
        <v>15848</v>
      </c>
      <c r="E6249" s="142" t="s">
        <v>15849</v>
      </c>
      <c r="F6249" s="142" t="s">
        <v>6664</v>
      </c>
      <c r="G6249" s="142" t="s">
        <v>6663</v>
      </c>
      <c r="H6249" s="142" t="s">
        <v>22099</v>
      </c>
      <c r="I6249" s="142">
        <v>17</v>
      </c>
      <c r="J6249" s="142">
        <v>12</v>
      </c>
      <c r="K6249" s="142">
        <v>0</v>
      </c>
      <c r="L6249" s="142">
        <v>0</v>
      </c>
      <c r="M6249" s="142">
        <v>5</v>
      </c>
    </row>
    <row r="6250" spans="1:13" x14ac:dyDescent="0.45">
      <c r="A6250" s="142" t="s">
        <v>13055</v>
      </c>
      <c r="B6250" s="142" t="s">
        <v>14595</v>
      </c>
      <c r="C6250" s="142" t="s">
        <v>15847</v>
      </c>
      <c r="D6250" s="142" t="s">
        <v>15848</v>
      </c>
      <c r="E6250" s="142" t="s">
        <v>15849</v>
      </c>
      <c r="F6250" s="142" t="s">
        <v>6664</v>
      </c>
      <c r="G6250" s="142" t="s">
        <v>6663</v>
      </c>
      <c r="H6250" s="142" t="s">
        <v>22100</v>
      </c>
      <c r="I6250" s="142">
        <v>124</v>
      </c>
      <c r="J6250" s="142">
        <v>109</v>
      </c>
      <c r="K6250" s="142">
        <v>0</v>
      </c>
      <c r="L6250" s="142">
        <v>10</v>
      </c>
      <c r="M6250" s="142">
        <v>5</v>
      </c>
    </row>
    <row r="6251" spans="1:13" x14ac:dyDescent="0.45">
      <c r="A6251" s="142" t="s">
        <v>13035</v>
      </c>
      <c r="B6251" s="142" t="s">
        <v>14648</v>
      </c>
      <c r="C6251" s="142" t="s">
        <v>15847</v>
      </c>
      <c r="D6251" s="142" t="s">
        <v>15848</v>
      </c>
      <c r="E6251" s="142" t="s">
        <v>15849</v>
      </c>
      <c r="F6251" s="142" t="s">
        <v>6664</v>
      </c>
      <c r="G6251" s="142" t="s">
        <v>6663</v>
      </c>
      <c r="H6251" s="142" t="s">
        <v>22101</v>
      </c>
      <c r="I6251" s="142">
        <v>223</v>
      </c>
      <c r="J6251" s="142">
        <v>163</v>
      </c>
      <c r="K6251" s="142">
        <v>0</v>
      </c>
      <c r="L6251" s="142">
        <v>0</v>
      </c>
      <c r="M6251" s="142">
        <v>60</v>
      </c>
    </row>
    <row r="6252" spans="1:13" x14ac:dyDescent="0.45">
      <c r="A6252" s="142" t="s">
        <v>13036</v>
      </c>
      <c r="B6252" s="142" t="s">
        <v>15567</v>
      </c>
      <c r="C6252" s="142" t="s">
        <v>15847</v>
      </c>
      <c r="D6252" s="142" t="s">
        <v>15848</v>
      </c>
      <c r="E6252" s="142" t="s">
        <v>15849</v>
      </c>
      <c r="F6252" s="142" t="s">
        <v>6664</v>
      </c>
      <c r="G6252" s="142" t="s">
        <v>6663</v>
      </c>
      <c r="H6252" s="142" t="s">
        <v>22102</v>
      </c>
      <c r="I6252" s="142">
        <v>18</v>
      </c>
      <c r="J6252" s="142">
        <v>0</v>
      </c>
      <c r="K6252" s="142">
        <v>0</v>
      </c>
      <c r="L6252" s="142">
        <v>18</v>
      </c>
      <c r="M6252" s="142">
        <v>0</v>
      </c>
    </row>
    <row r="6253" spans="1:13" x14ac:dyDescent="0.45">
      <c r="A6253" s="142" t="s">
        <v>13038</v>
      </c>
      <c r="B6253" s="142" t="s">
        <v>14646</v>
      </c>
      <c r="C6253" s="142" t="s">
        <v>15847</v>
      </c>
      <c r="D6253" s="142" t="s">
        <v>15848</v>
      </c>
      <c r="E6253" s="142" t="s">
        <v>15849</v>
      </c>
      <c r="F6253" s="142" t="s">
        <v>6664</v>
      </c>
      <c r="G6253" s="142" t="s">
        <v>6663</v>
      </c>
      <c r="H6253" s="142" t="s">
        <v>22103</v>
      </c>
      <c r="I6253" s="142">
        <v>78</v>
      </c>
      <c r="J6253" s="142">
        <v>31</v>
      </c>
      <c r="K6253" s="142">
        <v>0</v>
      </c>
      <c r="L6253" s="142">
        <v>0</v>
      </c>
      <c r="M6253" s="142">
        <v>47</v>
      </c>
    </row>
    <row r="6254" spans="1:13" x14ac:dyDescent="0.45">
      <c r="A6254" s="142" t="s">
        <v>13039</v>
      </c>
      <c r="B6254" s="142" t="s">
        <v>14647</v>
      </c>
      <c r="C6254" s="142" t="s">
        <v>15847</v>
      </c>
      <c r="D6254" s="142" t="s">
        <v>15848</v>
      </c>
      <c r="E6254" s="142" t="s">
        <v>15849</v>
      </c>
      <c r="F6254" s="142" t="s">
        <v>6664</v>
      </c>
      <c r="G6254" s="142" t="s">
        <v>6663</v>
      </c>
      <c r="H6254" s="142" t="s">
        <v>22104</v>
      </c>
      <c r="I6254" s="142">
        <v>15</v>
      </c>
      <c r="J6254" s="142">
        <v>15</v>
      </c>
      <c r="K6254" s="142">
        <v>0</v>
      </c>
      <c r="L6254" s="142">
        <v>0</v>
      </c>
      <c r="M6254" s="142">
        <v>0</v>
      </c>
    </row>
    <row r="6255" spans="1:13" x14ac:dyDescent="0.45">
      <c r="A6255" s="142" t="s">
        <v>13012</v>
      </c>
      <c r="B6255" s="142" t="s">
        <v>15337</v>
      </c>
      <c r="C6255" s="142" t="s">
        <v>15847</v>
      </c>
      <c r="D6255" s="142" t="s">
        <v>15848</v>
      </c>
      <c r="E6255" s="142" t="s">
        <v>15849</v>
      </c>
      <c r="F6255" s="142" t="s">
        <v>6664</v>
      </c>
      <c r="G6255" s="142" t="s">
        <v>6663</v>
      </c>
      <c r="H6255" s="142" t="s">
        <v>22105</v>
      </c>
      <c r="I6255" s="142">
        <v>46</v>
      </c>
      <c r="J6255" s="142">
        <v>36</v>
      </c>
      <c r="K6255" s="142">
        <v>0</v>
      </c>
      <c r="L6255" s="142">
        <v>0</v>
      </c>
      <c r="M6255" s="142">
        <v>10</v>
      </c>
    </row>
    <row r="6256" spans="1:13" x14ac:dyDescent="0.45">
      <c r="A6256" s="142" t="s">
        <v>14100</v>
      </c>
      <c r="B6256" s="142" t="s">
        <v>15374</v>
      </c>
      <c r="C6256" s="142" t="s">
        <v>15860</v>
      </c>
      <c r="D6256" s="142" t="s">
        <v>15861</v>
      </c>
      <c r="E6256" s="142" t="s">
        <v>15849</v>
      </c>
      <c r="F6256" s="142" t="s">
        <v>6664</v>
      </c>
      <c r="G6256" s="142" t="s">
        <v>6663</v>
      </c>
      <c r="H6256" s="142" t="s">
        <v>22106</v>
      </c>
      <c r="I6256" s="142">
        <v>35</v>
      </c>
      <c r="J6256" s="142">
        <v>35</v>
      </c>
      <c r="K6256" s="142">
        <v>0</v>
      </c>
      <c r="L6256" s="142">
        <v>0</v>
      </c>
      <c r="M6256" s="142">
        <v>0</v>
      </c>
    </row>
    <row r="6257" spans="1:13" x14ac:dyDescent="0.45">
      <c r="A6257" s="142" t="s">
        <v>13042</v>
      </c>
      <c r="B6257" s="142" t="s">
        <v>15489</v>
      </c>
      <c r="C6257" s="142" t="s">
        <v>15847</v>
      </c>
      <c r="D6257" s="142" t="s">
        <v>15848</v>
      </c>
      <c r="E6257" s="142" t="s">
        <v>15849</v>
      </c>
      <c r="F6257" s="142" t="s">
        <v>6664</v>
      </c>
      <c r="G6257" s="142" t="s">
        <v>6663</v>
      </c>
      <c r="H6257" s="142" t="s">
        <v>22107</v>
      </c>
      <c r="I6257" s="142">
        <v>141</v>
      </c>
      <c r="J6257" s="142">
        <v>97</v>
      </c>
      <c r="K6257" s="142">
        <v>0</v>
      </c>
      <c r="L6257" s="142">
        <v>10</v>
      </c>
      <c r="M6257" s="142">
        <v>34</v>
      </c>
    </row>
    <row r="6258" spans="1:13" x14ac:dyDescent="0.45">
      <c r="A6258" s="142" t="s">
        <v>13222</v>
      </c>
      <c r="B6258" s="142" t="s">
        <v>14449</v>
      </c>
      <c r="C6258" s="142" t="s">
        <v>15860</v>
      </c>
      <c r="D6258" s="142" t="s">
        <v>15861</v>
      </c>
      <c r="E6258" s="142" t="s">
        <v>15849</v>
      </c>
      <c r="F6258" s="142" t="s">
        <v>6664</v>
      </c>
      <c r="G6258" s="142" t="s">
        <v>6663</v>
      </c>
      <c r="H6258" s="142" t="s">
        <v>22108</v>
      </c>
      <c r="I6258" s="142">
        <v>7</v>
      </c>
      <c r="J6258" s="142">
        <v>0</v>
      </c>
      <c r="K6258" s="142">
        <v>0</v>
      </c>
      <c r="L6258" s="142">
        <v>7</v>
      </c>
      <c r="M6258" s="142">
        <v>0</v>
      </c>
    </row>
    <row r="6259" spans="1:13" x14ac:dyDescent="0.45">
      <c r="A6259" s="142" t="s">
        <v>13016</v>
      </c>
      <c r="B6259" s="142" t="s">
        <v>14535</v>
      </c>
      <c r="C6259" s="142" t="s">
        <v>15860</v>
      </c>
      <c r="D6259" s="142" t="s">
        <v>15861</v>
      </c>
      <c r="E6259" s="142" t="s">
        <v>15849</v>
      </c>
      <c r="F6259" s="142" t="s">
        <v>6664</v>
      </c>
      <c r="G6259" s="142" t="s">
        <v>6663</v>
      </c>
      <c r="H6259" s="142" t="s">
        <v>22109</v>
      </c>
      <c r="I6259" s="142">
        <v>14</v>
      </c>
      <c r="J6259" s="142">
        <v>0</v>
      </c>
      <c r="K6259" s="142">
        <v>0</v>
      </c>
      <c r="L6259" s="142">
        <v>14</v>
      </c>
      <c r="M6259" s="142">
        <v>0</v>
      </c>
    </row>
    <row r="6260" spans="1:13" x14ac:dyDescent="0.45">
      <c r="A6260" s="142" t="s">
        <v>13023</v>
      </c>
      <c r="B6260" s="142" t="s">
        <v>15571</v>
      </c>
      <c r="C6260" s="142" t="s">
        <v>15847</v>
      </c>
      <c r="D6260" s="142" t="s">
        <v>15848</v>
      </c>
      <c r="E6260" s="142" t="s">
        <v>15849</v>
      </c>
      <c r="F6260" s="142" t="s">
        <v>9811</v>
      </c>
      <c r="G6260" s="142" t="s">
        <v>9810</v>
      </c>
      <c r="H6260" s="142" t="s">
        <v>22110</v>
      </c>
      <c r="I6260" s="142">
        <v>312</v>
      </c>
      <c r="J6260" s="142">
        <v>0</v>
      </c>
      <c r="K6260" s="142">
        <v>0</v>
      </c>
      <c r="L6260" s="142">
        <v>312</v>
      </c>
      <c r="M6260" s="142">
        <v>0</v>
      </c>
    </row>
    <row r="6261" spans="1:13" x14ac:dyDescent="0.45">
      <c r="A6261" s="142" t="s">
        <v>13289</v>
      </c>
      <c r="B6261" s="142" t="s">
        <v>14423</v>
      </c>
      <c r="C6261" s="142" t="s">
        <v>15847</v>
      </c>
      <c r="D6261" s="142" t="s">
        <v>15848</v>
      </c>
      <c r="E6261" s="142" t="s">
        <v>15849</v>
      </c>
      <c r="F6261" s="142" t="s">
        <v>9811</v>
      </c>
      <c r="G6261" s="142" t="s">
        <v>9810</v>
      </c>
      <c r="H6261" s="142" t="s">
        <v>22111</v>
      </c>
      <c r="I6261" s="142">
        <v>65</v>
      </c>
      <c r="J6261" s="142">
        <v>61</v>
      </c>
      <c r="K6261" s="142">
        <v>0</v>
      </c>
      <c r="L6261" s="142">
        <v>0</v>
      </c>
      <c r="M6261" s="142">
        <v>4</v>
      </c>
    </row>
    <row r="6262" spans="1:13" x14ac:dyDescent="0.45">
      <c r="A6262" s="142" t="s">
        <v>13098</v>
      </c>
      <c r="B6262" s="142" t="s">
        <v>14528</v>
      </c>
      <c r="C6262" s="142" t="s">
        <v>15860</v>
      </c>
      <c r="D6262" s="142" t="s">
        <v>15861</v>
      </c>
      <c r="E6262" s="142" t="s">
        <v>15849</v>
      </c>
      <c r="F6262" s="142" t="s">
        <v>9811</v>
      </c>
      <c r="G6262" s="142" t="s">
        <v>9810</v>
      </c>
      <c r="H6262" s="142" t="s">
        <v>22112</v>
      </c>
      <c r="I6262" s="142">
        <v>18</v>
      </c>
      <c r="J6262" s="142">
        <v>18</v>
      </c>
      <c r="K6262" s="142">
        <v>0</v>
      </c>
      <c r="L6262" s="142">
        <v>0</v>
      </c>
      <c r="M6262" s="142">
        <v>0</v>
      </c>
    </row>
    <row r="6263" spans="1:13" x14ac:dyDescent="0.45">
      <c r="A6263" s="142" t="s">
        <v>13574</v>
      </c>
      <c r="B6263" s="142" t="s">
        <v>14553</v>
      </c>
      <c r="C6263" s="142" t="s">
        <v>15860</v>
      </c>
      <c r="D6263" s="142" t="s">
        <v>15861</v>
      </c>
      <c r="E6263" s="142" t="s">
        <v>15849</v>
      </c>
      <c r="F6263" s="142" t="s">
        <v>9811</v>
      </c>
      <c r="G6263" s="142" t="s">
        <v>9810</v>
      </c>
      <c r="H6263" s="142" t="s">
        <v>22113</v>
      </c>
      <c r="I6263" s="142">
        <v>21</v>
      </c>
      <c r="J6263" s="142">
        <v>0</v>
      </c>
      <c r="K6263" s="142">
        <v>0</v>
      </c>
      <c r="L6263" s="142">
        <v>21</v>
      </c>
      <c r="M6263" s="142">
        <v>0</v>
      </c>
    </row>
    <row r="6264" spans="1:13" x14ac:dyDescent="0.45">
      <c r="A6264" s="142" t="s">
        <v>13099</v>
      </c>
      <c r="B6264" s="142" t="s">
        <v>14547</v>
      </c>
      <c r="C6264" s="142" t="s">
        <v>15860</v>
      </c>
      <c r="D6264" s="142" t="s">
        <v>15861</v>
      </c>
      <c r="E6264" s="142" t="s">
        <v>15849</v>
      </c>
      <c r="F6264" s="142" t="s">
        <v>9811</v>
      </c>
      <c r="G6264" s="142" t="s">
        <v>9810</v>
      </c>
      <c r="H6264" s="142" t="s">
        <v>22114</v>
      </c>
      <c r="I6264" s="142">
        <v>5</v>
      </c>
      <c r="J6264" s="142">
        <v>0</v>
      </c>
      <c r="K6264" s="142">
        <v>0</v>
      </c>
      <c r="L6264" s="142">
        <v>5</v>
      </c>
      <c r="M6264" s="142">
        <v>0</v>
      </c>
    </row>
    <row r="6265" spans="1:13" x14ac:dyDescent="0.45">
      <c r="A6265" s="142" t="s">
        <v>13829</v>
      </c>
      <c r="B6265" s="142" t="s">
        <v>14429</v>
      </c>
      <c r="C6265" s="142" t="s">
        <v>15847</v>
      </c>
      <c r="D6265" s="142" t="s">
        <v>15848</v>
      </c>
      <c r="E6265" s="142" t="s">
        <v>15849</v>
      </c>
      <c r="F6265" s="142" t="s">
        <v>9811</v>
      </c>
      <c r="G6265" s="142" t="s">
        <v>9810</v>
      </c>
      <c r="H6265" s="142" t="s">
        <v>22115</v>
      </c>
      <c r="I6265" s="142">
        <v>11356</v>
      </c>
      <c r="J6265" s="142">
        <v>11261</v>
      </c>
      <c r="K6265" s="142">
        <v>3</v>
      </c>
      <c r="L6265" s="142">
        <v>0</v>
      </c>
      <c r="M6265" s="142">
        <v>92</v>
      </c>
    </row>
    <row r="6266" spans="1:13" x14ac:dyDescent="0.45">
      <c r="A6266" s="142" t="s">
        <v>13499</v>
      </c>
      <c r="B6266" s="142" t="s">
        <v>15479</v>
      </c>
      <c r="C6266" s="142" t="s">
        <v>15847</v>
      </c>
      <c r="D6266" s="142" t="s">
        <v>15848</v>
      </c>
      <c r="E6266" s="142" t="s">
        <v>15849</v>
      </c>
      <c r="F6266" s="142" t="s">
        <v>9811</v>
      </c>
      <c r="G6266" s="142" t="s">
        <v>9810</v>
      </c>
      <c r="H6266" s="142" t="s">
        <v>22116</v>
      </c>
      <c r="I6266" s="142">
        <v>900</v>
      </c>
      <c r="J6266" s="142">
        <v>757</v>
      </c>
      <c r="K6266" s="142">
        <v>0</v>
      </c>
      <c r="L6266" s="142">
        <v>143</v>
      </c>
      <c r="M6266" s="142">
        <v>0</v>
      </c>
    </row>
    <row r="6267" spans="1:13" x14ac:dyDescent="0.45">
      <c r="A6267" s="142" t="s">
        <v>13027</v>
      </c>
      <c r="B6267" s="142" t="s">
        <v>14562</v>
      </c>
      <c r="C6267" s="142" t="s">
        <v>15847</v>
      </c>
      <c r="D6267" s="142" t="s">
        <v>15848</v>
      </c>
      <c r="E6267" s="142" t="s">
        <v>15849</v>
      </c>
      <c r="F6267" s="142" t="s">
        <v>9811</v>
      </c>
      <c r="G6267" s="142" t="s">
        <v>9810</v>
      </c>
      <c r="H6267" s="142" t="s">
        <v>22117</v>
      </c>
      <c r="I6267" s="142">
        <v>2</v>
      </c>
      <c r="J6267" s="142">
        <v>0</v>
      </c>
      <c r="K6267" s="142">
        <v>0</v>
      </c>
      <c r="L6267" s="142">
        <v>2</v>
      </c>
      <c r="M6267" s="142">
        <v>0</v>
      </c>
    </row>
    <row r="6268" spans="1:13" x14ac:dyDescent="0.45">
      <c r="A6268" s="142" t="s">
        <v>13148</v>
      </c>
      <c r="B6268" s="142" t="s">
        <v>15314</v>
      </c>
      <c r="C6268" s="142" t="s">
        <v>15847</v>
      </c>
      <c r="D6268" s="142" t="s">
        <v>15848</v>
      </c>
      <c r="E6268" s="142" t="s">
        <v>15849</v>
      </c>
      <c r="F6268" s="142" t="s">
        <v>9811</v>
      </c>
      <c r="G6268" s="142" t="s">
        <v>9810</v>
      </c>
      <c r="H6268" s="142" t="s">
        <v>22118</v>
      </c>
      <c r="I6268" s="142">
        <v>1547</v>
      </c>
      <c r="J6268" s="142">
        <v>1187</v>
      </c>
      <c r="K6268" s="142">
        <v>0</v>
      </c>
      <c r="L6268" s="142">
        <v>134</v>
      </c>
      <c r="M6268" s="142">
        <v>226</v>
      </c>
    </row>
    <row r="6269" spans="1:13" x14ac:dyDescent="0.45">
      <c r="A6269" s="142" t="s">
        <v>13149</v>
      </c>
      <c r="B6269" s="142" t="s">
        <v>14458</v>
      </c>
      <c r="C6269" s="142" t="s">
        <v>15860</v>
      </c>
      <c r="D6269" s="142" t="s">
        <v>15861</v>
      </c>
      <c r="E6269" s="142" t="s">
        <v>15849</v>
      </c>
      <c r="F6269" s="142" t="s">
        <v>9811</v>
      </c>
      <c r="G6269" s="142" t="s">
        <v>9810</v>
      </c>
      <c r="H6269" s="142" t="s">
        <v>22119</v>
      </c>
      <c r="I6269" s="142">
        <v>6</v>
      </c>
      <c r="J6269" s="142">
        <v>0</v>
      </c>
      <c r="K6269" s="142">
        <v>0</v>
      </c>
      <c r="L6269" s="142">
        <v>6</v>
      </c>
      <c r="M6269" s="142">
        <v>0</v>
      </c>
    </row>
    <row r="6270" spans="1:13" x14ac:dyDescent="0.45">
      <c r="A6270" s="142" t="s">
        <v>13160</v>
      </c>
      <c r="B6270" s="142" t="s">
        <v>14525</v>
      </c>
      <c r="C6270" s="142" t="s">
        <v>15847</v>
      </c>
      <c r="D6270" s="142" t="s">
        <v>15848</v>
      </c>
      <c r="E6270" s="142" t="s">
        <v>15849</v>
      </c>
      <c r="F6270" s="142" t="s">
        <v>9811</v>
      </c>
      <c r="G6270" s="142" t="s">
        <v>9810</v>
      </c>
      <c r="H6270" s="142" t="s">
        <v>22120</v>
      </c>
      <c r="I6270" s="142">
        <v>23</v>
      </c>
      <c r="J6270" s="142">
        <v>0</v>
      </c>
      <c r="K6270" s="142">
        <v>0</v>
      </c>
      <c r="L6270" s="142">
        <v>23</v>
      </c>
      <c r="M6270" s="142">
        <v>0</v>
      </c>
    </row>
    <row r="6271" spans="1:13" x14ac:dyDescent="0.45">
      <c r="A6271" s="142" t="s">
        <v>13003</v>
      </c>
      <c r="B6271" s="142" t="s">
        <v>15245</v>
      </c>
      <c r="C6271" s="142" t="s">
        <v>15847</v>
      </c>
      <c r="D6271" s="142" t="s">
        <v>15848</v>
      </c>
      <c r="E6271" s="142" t="s">
        <v>15849</v>
      </c>
      <c r="F6271" s="142" t="s">
        <v>9811</v>
      </c>
      <c r="G6271" s="142" t="s">
        <v>9810</v>
      </c>
      <c r="H6271" s="142" t="s">
        <v>22121</v>
      </c>
      <c r="I6271" s="142">
        <v>36</v>
      </c>
      <c r="J6271" s="142">
        <v>0</v>
      </c>
      <c r="K6271" s="142">
        <v>0</v>
      </c>
      <c r="L6271" s="142">
        <v>36</v>
      </c>
      <c r="M6271" s="142">
        <v>0</v>
      </c>
    </row>
    <row r="6272" spans="1:13" x14ac:dyDescent="0.45">
      <c r="A6272" s="142" t="s">
        <v>13291</v>
      </c>
      <c r="B6272" s="142" t="s">
        <v>15495</v>
      </c>
      <c r="C6272" s="142" t="s">
        <v>15847</v>
      </c>
      <c r="D6272" s="142" t="s">
        <v>15848</v>
      </c>
      <c r="E6272" s="142" t="s">
        <v>15849</v>
      </c>
      <c r="F6272" s="142" t="s">
        <v>9811</v>
      </c>
      <c r="G6272" s="142" t="s">
        <v>9810</v>
      </c>
      <c r="H6272" s="142" t="s">
        <v>22122</v>
      </c>
      <c r="I6272" s="142">
        <v>603</v>
      </c>
      <c r="J6272" s="142">
        <v>602</v>
      </c>
      <c r="K6272" s="142">
        <v>0</v>
      </c>
      <c r="L6272" s="142">
        <v>1</v>
      </c>
      <c r="M6272" s="142">
        <v>0</v>
      </c>
    </row>
    <row r="6273" spans="1:13" x14ac:dyDescent="0.45">
      <c r="A6273" s="142" t="s">
        <v>13516</v>
      </c>
      <c r="B6273" s="142" t="s">
        <v>14461</v>
      </c>
      <c r="C6273" s="142" t="s">
        <v>15860</v>
      </c>
      <c r="D6273" s="142" t="s">
        <v>15861</v>
      </c>
      <c r="E6273" s="142" t="s">
        <v>15849</v>
      </c>
      <c r="F6273" s="142" t="s">
        <v>9811</v>
      </c>
      <c r="G6273" s="142" t="s">
        <v>9810</v>
      </c>
      <c r="H6273" s="142" t="s">
        <v>22123</v>
      </c>
      <c r="I6273" s="142">
        <v>3</v>
      </c>
      <c r="J6273" s="142">
        <v>0</v>
      </c>
      <c r="K6273" s="142">
        <v>0</v>
      </c>
      <c r="L6273" s="142">
        <v>3</v>
      </c>
      <c r="M6273" s="142">
        <v>0</v>
      </c>
    </row>
    <row r="6274" spans="1:13" x14ac:dyDescent="0.45">
      <c r="A6274" s="142" t="s">
        <v>13276</v>
      </c>
      <c r="B6274" s="142" t="s">
        <v>15498</v>
      </c>
      <c r="C6274" s="142" t="s">
        <v>15847</v>
      </c>
      <c r="D6274" s="142" t="s">
        <v>15848</v>
      </c>
      <c r="E6274" s="142" t="s">
        <v>15849</v>
      </c>
      <c r="F6274" s="142" t="s">
        <v>9811</v>
      </c>
      <c r="G6274" s="142" t="s">
        <v>9810</v>
      </c>
      <c r="H6274" s="142" t="s">
        <v>22124</v>
      </c>
      <c r="I6274" s="142">
        <v>1146</v>
      </c>
      <c r="J6274" s="142">
        <v>1031</v>
      </c>
      <c r="K6274" s="142">
        <v>0</v>
      </c>
      <c r="L6274" s="142">
        <v>72</v>
      </c>
      <c r="M6274" s="142">
        <v>43</v>
      </c>
    </row>
    <row r="6275" spans="1:13" x14ac:dyDescent="0.45">
      <c r="A6275" s="142" t="s">
        <v>13032</v>
      </c>
      <c r="B6275" s="142" t="s">
        <v>14532</v>
      </c>
      <c r="C6275" s="142" t="s">
        <v>15860</v>
      </c>
      <c r="D6275" s="142" t="s">
        <v>15861</v>
      </c>
      <c r="E6275" s="142" t="s">
        <v>15849</v>
      </c>
      <c r="F6275" s="142" t="s">
        <v>9811</v>
      </c>
      <c r="G6275" s="142" t="s">
        <v>9810</v>
      </c>
      <c r="H6275" s="142" t="s">
        <v>22125</v>
      </c>
      <c r="I6275" s="142">
        <v>26</v>
      </c>
      <c r="J6275" s="142">
        <v>0</v>
      </c>
      <c r="K6275" s="142">
        <v>0</v>
      </c>
      <c r="L6275" s="142">
        <v>26</v>
      </c>
      <c r="M6275" s="142">
        <v>0</v>
      </c>
    </row>
    <row r="6276" spans="1:13" x14ac:dyDescent="0.45">
      <c r="A6276" s="142" t="s">
        <v>13033</v>
      </c>
      <c r="B6276" s="142" t="s">
        <v>15276</v>
      </c>
      <c r="C6276" s="142" t="s">
        <v>15847</v>
      </c>
      <c r="D6276" s="142" t="s">
        <v>15848</v>
      </c>
      <c r="E6276" s="142" t="s">
        <v>15849</v>
      </c>
      <c r="F6276" s="142" t="s">
        <v>9811</v>
      </c>
      <c r="G6276" s="142" t="s">
        <v>9810</v>
      </c>
      <c r="H6276" s="142" t="s">
        <v>22126</v>
      </c>
      <c r="I6276" s="142">
        <v>406</v>
      </c>
      <c r="J6276" s="142">
        <v>337</v>
      </c>
      <c r="K6276" s="142">
        <v>0</v>
      </c>
      <c r="L6276" s="142">
        <v>62</v>
      </c>
      <c r="M6276" s="142">
        <v>7</v>
      </c>
    </row>
    <row r="6277" spans="1:13" x14ac:dyDescent="0.45">
      <c r="A6277" s="142" t="s">
        <v>13034</v>
      </c>
      <c r="B6277" s="142" t="s">
        <v>15562</v>
      </c>
      <c r="C6277" s="142" t="s">
        <v>15847</v>
      </c>
      <c r="D6277" s="142" t="s">
        <v>15848</v>
      </c>
      <c r="E6277" s="142" t="s">
        <v>15849</v>
      </c>
      <c r="F6277" s="142" t="s">
        <v>9811</v>
      </c>
      <c r="G6277" s="142" t="s">
        <v>9810</v>
      </c>
      <c r="H6277" s="142" t="s">
        <v>22127</v>
      </c>
      <c r="I6277" s="142">
        <v>101</v>
      </c>
      <c r="J6277" s="142">
        <v>20</v>
      </c>
      <c r="K6277" s="142">
        <v>0</v>
      </c>
      <c r="L6277" s="142">
        <v>81</v>
      </c>
      <c r="M6277" s="142">
        <v>0</v>
      </c>
    </row>
    <row r="6278" spans="1:13" x14ac:dyDescent="0.45">
      <c r="A6278" s="142" t="s">
        <v>13277</v>
      </c>
      <c r="B6278" s="142" t="s">
        <v>14454</v>
      </c>
      <c r="C6278" s="142" t="s">
        <v>15847</v>
      </c>
      <c r="D6278" s="142" t="s">
        <v>15848</v>
      </c>
      <c r="E6278" s="142" t="s">
        <v>15849</v>
      </c>
      <c r="F6278" s="142" t="s">
        <v>9811</v>
      </c>
      <c r="G6278" s="142" t="s">
        <v>9810</v>
      </c>
      <c r="H6278" s="142" t="s">
        <v>22128</v>
      </c>
      <c r="I6278" s="142">
        <v>1384</v>
      </c>
      <c r="J6278" s="142">
        <v>1238</v>
      </c>
      <c r="K6278" s="142">
        <v>0</v>
      </c>
      <c r="L6278" s="142">
        <v>139</v>
      </c>
      <c r="M6278" s="142">
        <v>7</v>
      </c>
    </row>
    <row r="6279" spans="1:13" x14ac:dyDescent="0.45">
      <c r="A6279" s="142" t="s">
        <v>13038</v>
      </c>
      <c r="B6279" s="142" t="s">
        <v>14646</v>
      </c>
      <c r="C6279" s="142" t="s">
        <v>15847</v>
      </c>
      <c r="D6279" s="142" t="s">
        <v>15848</v>
      </c>
      <c r="E6279" s="142" t="s">
        <v>15849</v>
      </c>
      <c r="F6279" s="142" t="s">
        <v>9811</v>
      </c>
      <c r="G6279" s="142" t="s">
        <v>9810</v>
      </c>
      <c r="H6279" s="142" t="s">
        <v>22129</v>
      </c>
      <c r="I6279" s="142">
        <v>5</v>
      </c>
      <c r="J6279" s="142">
        <v>0</v>
      </c>
      <c r="K6279" s="142">
        <v>0</v>
      </c>
      <c r="L6279" s="142">
        <v>0</v>
      </c>
      <c r="M6279" s="142">
        <v>5</v>
      </c>
    </row>
    <row r="6280" spans="1:13" x14ac:dyDescent="0.45">
      <c r="A6280" s="142" t="s">
        <v>13974</v>
      </c>
      <c r="B6280" s="142" t="s">
        <v>14500</v>
      </c>
      <c r="C6280" s="142" t="s">
        <v>15860</v>
      </c>
      <c r="D6280" s="142" t="s">
        <v>15861</v>
      </c>
      <c r="E6280" s="142" t="s">
        <v>15849</v>
      </c>
      <c r="F6280" s="142" t="s">
        <v>9811</v>
      </c>
      <c r="G6280" s="142" t="s">
        <v>9810</v>
      </c>
      <c r="H6280" s="142" t="s">
        <v>22130</v>
      </c>
      <c r="I6280" s="142">
        <v>8</v>
      </c>
      <c r="J6280" s="142">
        <v>8</v>
      </c>
      <c r="K6280" s="142">
        <v>0</v>
      </c>
      <c r="L6280" s="142">
        <v>0</v>
      </c>
      <c r="M6280" s="142">
        <v>0</v>
      </c>
    </row>
    <row r="6281" spans="1:13" x14ac:dyDescent="0.45">
      <c r="A6281" s="142" t="s">
        <v>13014</v>
      </c>
      <c r="B6281" s="142" t="s">
        <v>14505</v>
      </c>
      <c r="C6281" s="142" t="s">
        <v>15847</v>
      </c>
      <c r="D6281" s="142" t="s">
        <v>15848</v>
      </c>
      <c r="E6281" s="142" t="s">
        <v>15849</v>
      </c>
      <c r="F6281" s="142" t="s">
        <v>9811</v>
      </c>
      <c r="G6281" s="142" t="s">
        <v>9810</v>
      </c>
      <c r="H6281" s="142" t="s">
        <v>22131</v>
      </c>
      <c r="I6281" s="142">
        <v>1159</v>
      </c>
      <c r="J6281" s="142">
        <v>784</v>
      </c>
      <c r="K6281" s="142">
        <v>2</v>
      </c>
      <c r="L6281" s="142">
        <v>278</v>
      </c>
      <c r="M6281" s="142">
        <v>95</v>
      </c>
    </row>
    <row r="6282" spans="1:13" x14ac:dyDescent="0.45">
      <c r="A6282" s="142" t="s">
        <v>13042</v>
      </c>
      <c r="B6282" s="142" t="s">
        <v>15489</v>
      </c>
      <c r="C6282" s="142" t="s">
        <v>15847</v>
      </c>
      <c r="D6282" s="142" t="s">
        <v>15848</v>
      </c>
      <c r="E6282" s="142" t="s">
        <v>15849</v>
      </c>
      <c r="F6282" s="142" t="s">
        <v>9811</v>
      </c>
      <c r="G6282" s="142" t="s">
        <v>9810</v>
      </c>
      <c r="H6282" s="142" t="s">
        <v>22132</v>
      </c>
      <c r="I6282" s="142">
        <v>32</v>
      </c>
      <c r="J6282" s="142">
        <v>0</v>
      </c>
      <c r="K6282" s="142">
        <v>0</v>
      </c>
      <c r="L6282" s="142">
        <v>32</v>
      </c>
      <c r="M6282" s="142">
        <v>0</v>
      </c>
    </row>
    <row r="6283" spans="1:13" x14ac:dyDescent="0.45">
      <c r="A6283" s="142" t="s">
        <v>13110</v>
      </c>
      <c r="B6283" s="142" t="s">
        <v>15502</v>
      </c>
      <c r="C6283" s="142" t="s">
        <v>15847</v>
      </c>
      <c r="D6283" s="142" t="s">
        <v>15848</v>
      </c>
      <c r="E6283" s="142" t="s">
        <v>15849</v>
      </c>
      <c r="F6283" s="142" t="s">
        <v>7629</v>
      </c>
      <c r="G6283" s="142" t="s">
        <v>7628</v>
      </c>
      <c r="H6283" s="142" t="s">
        <v>22133</v>
      </c>
      <c r="I6283" s="142">
        <v>1028</v>
      </c>
      <c r="J6283" s="142">
        <v>828</v>
      </c>
      <c r="K6283" s="142">
        <v>2</v>
      </c>
      <c r="L6283" s="142">
        <v>153</v>
      </c>
      <c r="M6283" s="142">
        <v>45</v>
      </c>
    </row>
    <row r="6284" spans="1:13" x14ac:dyDescent="0.45">
      <c r="A6284" s="142" t="s">
        <v>13166</v>
      </c>
      <c r="B6284" s="142" t="s">
        <v>15576</v>
      </c>
      <c r="C6284" s="142" t="s">
        <v>15847</v>
      </c>
      <c r="D6284" s="142" t="s">
        <v>15848</v>
      </c>
      <c r="E6284" s="142" t="s">
        <v>15849</v>
      </c>
      <c r="F6284" s="142" t="s">
        <v>7629</v>
      </c>
      <c r="G6284" s="142" t="s">
        <v>7628</v>
      </c>
      <c r="H6284" s="142" t="s">
        <v>22134</v>
      </c>
      <c r="I6284" s="142">
        <v>14</v>
      </c>
      <c r="J6284" s="142">
        <v>11</v>
      </c>
      <c r="K6284" s="142">
        <v>0</v>
      </c>
      <c r="L6284" s="142">
        <v>0</v>
      </c>
      <c r="M6284" s="142">
        <v>3</v>
      </c>
    </row>
    <row r="6285" spans="1:13" x14ac:dyDescent="0.45">
      <c r="A6285" s="142" t="s">
        <v>13021</v>
      </c>
      <c r="B6285" s="142" t="s">
        <v>15501</v>
      </c>
      <c r="C6285" s="142" t="s">
        <v>15847</v>
      </c>
      <c r="D6285" s="142" t="s">
        <v>15848</v>
      </c>
      <c r="E6285" s="142" t="s">
        <v>15849</v>
      </c>
      <c r="F6285" s="142" t="s">
        <v>7629</v>
      </c>
      <c r="G6285" s="142" t="s">
        <v>7628</v>
      </c>
      <c r="H6285" s="142" t="s">
        <v>22135</v>
      </c>
      <c r="I6285" s="142">
        <v>70</v>
      </c>
      <c r="J6285" s="142">
        <v>0</v>
      </c>
      <c r="K6285" s="142">
        <v>0</v>
      </c>
      <c r="L6285" s="142">
        <v>63</v>
      </c>
      <c r="M6285" s="142">
        <v>7</v>
      </c>
    </row>
    <row r="6286" spans="1:13" x14ac:dyDescent="0.45">
      <c r="A6286" s="142" t="s">
        <v>13023</v>
      </c>
      <c r="B6286" s="142" t="s">
        <v>15571</v>
      </c>
      <c r="C6286" s="142" t="s">
        <v>15847</v>
      </c>
      <c r="D6286" s="142" t="s">
        <v>15848</v>
      </c>
      <c r="E6286" s="142" t="s">
        <v>15849</v>
      </c>
      <c r="F6286" s="142" t="s">
        <v>7629</v>
      </c>
      <c r="G6286" s="142" t="s">
        <v>7628</v>
      </c>
      <c r="H6286" s="142" t="s">
        <v>22136</v>
      </c>
      <c r="I6286" s="142">
        <v>253</v>
      </c>
      <c r="J6286" s="142">
        <v>0</v>
      </c>
      <c r="K6286" s="142">
        <v>0</v>
      </c>
      <c r="L6286" s="142">
        <v>232</v>
      </c>
      <c r="M6286" s="142">
        <v>21</v>
      </c>
    </row>
    <row r="6287" spans="1:13" x14ac:dyDescent="0.45">
      <c r="A6287" s="142" t="s">
        <v>13082</v>
      </c>
      <c r="B6287" s="142" t="s">
        <v>14478</v>
      </c>
      <c r="C6287" s="142" t="s">
        <v>15860</v>
      </c>
      <c r="D6287" s="142" t="s">
        <v>15861</v>
      </c>
      <c r="E6287" s="142" t="s">
        <v>15849</v>
      </c>
      <c r="F6287" s="142" t="s">
        <v>7629</v>
      </c>
      <c r="G6287" s="142" t="s">
        <v>7628</v>
      </c>
      <c r="H6287" s="142" t="s">
        <v>22137</v>
      </c>
      <c r="I6287" s="142">
        <v>10</v>
      </c>
      <c r="J6287" s="142">
        <v>0</v>
      </c>
      <c r="K6287" s="142">
        <v>0</v>
      </c>
      <c r="L6287" s="142">
        <v>10</v>
      </c>
      <c r="M6287" s="142">
        <v>0</v>
      </c>
    </row>
    <row r="6288" spans="1:13" x14ac:dyDescent="0.45">
      <c r="A6288" s="142" t="s">
        <v>13235</v>
      </c>
      <c r="B6288" s="142" t="s">
        <v>14573</v>
      </c>
      <c r="C6288" s="142" t="s">
        <v>15847</v>
      </c>
      <c r="D6288" s="142" t="s">
        <v>15848</v>
      </c>
      <c r="E6288" s="142" t="s">
        <v>15849</v>
      </c>
      <c r="F6288" s="142" t="s">
        <v>7629</v>
      </c>
      <c r="G6288" s="142" t="s">
        <v>7628</v>
      </c>
      <c r="H6288" s="142" t="s">
        <v>22138</v>
      </c>
      <c r="I6288" s="142">
        <v>6</v>
      </c>
      <c r="J6288" s="142">
        <v>4</v>
      </c>
      <c r="K6288" s="142">
        <v>0</v>
      </c>
      <c r="L6288" s="142">
        <v>0</v>
      </c>
      <c r="M6288" s="142">
        <v>2</v>
      </c>
    </row>
    <row r="6289" spans="1:13" x14ac:dyDescent="0.45">
      <c r="A6289" s="142" t="s">
        <v>13500</v>
      </c>
      <c r="B6289" s="142" t="s">
        <v>15422</v>
      </c>
      <c r="C6289" s="142" t="s">
        <v>15847</v>
      </c>
      <c r="D6289" s="142" t="s">
        <v>15848</v>
      </c>
      <c r="E6289" s="142" t="s">
        <v>15849</v>
      </c>
      <c r="F6289" s="142" t="s">
        <v>7629</v>
      </c>
      <c r="G6289" s="142" t="s">
        <v>7628</v>
      </c>
      <c r="H6289" s="142" t="s">
        <v>22139</v>
      </c>
      <c r="I6289" s="142">
        <v>1</v>
      </c>
      <c r="J6289" s="142">
        <v>0</v>
      </c>
      <c r="K6289" s="142">
        <v>0</v>
      </c>
      <c r="L6289" s="142">
        <v>0</v>
      </c>
      <c r="M6289" s="142">
        <v>1</v>
      </c>
    </row>
    <row r="6290" spans="1:13" x14ac:dyDescent="0.45">
      <c r="A6290" s="142" t="s">
        <v>13027</v>
      </c>
      <c r="B6290" s="142" t="s">
        <v>14562</v>
      </c>
      <c r="C6290" s="142" t="s">
        <v>15847</v>
      </c>
      <c r="D6290" s="142" t="s">
        <v>15848</v>
      </c>
      <c r="E6290" s="142" t="s">
        <v>15849</v>
      </c>
      <c r="F6290" s="142" t="s">
        <v>7629</v>
      </c>
      <c r="G6290" s="142" t="s">
        <v>7628</v>
      </c>
      <c r="H6290" s="142" t="s">
        <v>22140</v>
      </c>
      <c r="I6290" s="142">
        <v>3</v>
      </c>
      <c r="J6290" s="142">
        <v>0</v>
      </c>
      <c r="K6290" s="142">
        <v>0</v>
      </c>
      <c r="L6290" s="142">
        <v>3</v>
      </c>
      <c r="M6290" s="142">
        <v>0</v>
      </c>
    </row>
    <row r="6291" spans="1:13" x14ac:dyDescent="0.45">
      <c r="A6291" s="142" t="s">
        <v>13243</v>
      </c>
      <c r="B6291" s="142" t="s">
        <v>15560</v>
      </c>
      <c r="C6291" s="142" t="s">
        <v>15847</v>
      </c>
      <c r="D6291" s="142" t="s">
        <v>15848</v>
      </c>
      <c r="E6291" s="142" t="s">
        <v>15849</v>
      </c>
      <c r="F6291" s="142" t="s">
        <v>7629</v>
      </c>
      <c r="G6291" s="142" t="s">
        <v>7628</v>
      </c>
      <c r="H6291" s="142" t="s">
        <v>22141</v>
      </c>
      <c r="I6291" s="142">
        <v>1432</v>
      </c>
      <c r="J6291" s="142">
        <v>814</v>
      </c>
      <c r="K6291" s="142">
        <v>0</v>
      </c>
      <c r="L6291" s="142">
        <v>432</v>
      </c>
      <c r="M6291" s="142">
        <v>186</v>
      </c>
    </row>
    <row r="6292" spans="1:13" x14ac:dyDescent="0.45">
      <c r="A6292" s="142" t="s">
        <v>13050</v>
      </c>
      <c r="B6292" s="142" t="s">
        <v>15237</v>
      </c>
      <c r="C6292" s="142" t="s">
        <v>15847</v>
      </c>
      <c r="D6292" s="142" t="s">
        <v>15848</v>
      </c>
      <c r="E6292" s="142" t="s">
        <v>15849</v>
      </c>
      <c r="F6292" s="142" t="s">
        <v>7629</v>
      </c>
      <c r="G6292" s="142" t="s">
        <v>7628</v>
      </c>
      <c r="H6292" s="142" t="s">
        <v>22142</v>
      </c>
      <c r="I6292" s="142">
        <v>47</v>
      </c>
      <c r="J6292" s="142">
        <v>47</v>
      </c>
      <c r="K6292" s="142">
        <v>0</v>
      </c>
      <c r="L6292" s="142">
        <v>0</v>
      </c>
      <c r="M6292" s="142">
        <v>0</v>
      </c>
    </row>
    <row r="6293" spans="1:13" x14ac:dyDescent="0.45">
      <c r="A6293" s="142" t="s">
        <v>13002</v>
      </c>
      <c r="B6293" s="142" t="s">
        <v>15376</v>
      </c>
      <c r="C6293" s="142" t="s">
        <v>15847</v>
      </c>
      <c r="D6293" s="142" t="s">
        <v>15848</v>
      </c>
      <c r="E6293" s="142" t="s">
        <v>15849</v>
      </c>
      <c r="F6293" s="142" t="s">
        <v>7629</v>
      </c>
      <c r="G6293" s="142" t="s">
        <v>7628</v>
      </c>
      <c r="H6293" s="142" t="s">
        <v>22143</v>
      </c>
      <c r="I6293" s="142">
        <v>254</v>
      </c>
      <c r="J6293" s="142">
        <v>156</v>
      </c>
      <c r="K6293" s="142">
        <v>0</v>
      </c>
      <c r="L6293" s="142">
        <v>82</v>
      </c>
      <c r="M6293" s="142">
        <v>16</v>
      </c>
    </row>
    <row r="6294" spans="1:13" x14ac:dyDescent="0.45">
      <c r="A6294" s="142" t="s">
        <v>13003</v>
      </c>
      <c r="B6294" s="142" t="s">
        <v>15245</v>
      </c>
      <c r="C6294" s="142" t="s">
        <v>15847</v>
      </c>
      <c r="D6294" s="142" t="s">
        <v>15848</v>
      </c>
      <c r="E6294" s="142" t="s">
        <v>15849</v>
      </c>
      <c r="F6294" s="142" t="s">
        <v>7629</v>
      </c>
      <c r="G6294" s="142" t="s">
        <v>7628</v>
      </c>
      <c r="H6294" s="142" t="s">
        <v>22144</v>
      </c>
      <c r="I6294" s="142">
        <v>26</v>
      </c>
      <c r="J6294" s="142">
        <v>0</v>
      </c>
      <c r="K6294" s="142">
        <v>0</v>
      </c>
      <c r="L6294" s="142">
        <v>26</v>
      </c>
      <c r="M6294" s="142">
        <v>0</v>
      </c>
    </row>
    <row r="6295" spans="1:13" x14ac:dyDescent="0.45">
      <c r="A6295" s="142" t="s">
        <v>13066</v>
      </c>
      <c r="B6295" s="142" t="s">
        <v>14459</v>
      </c>
      <c r="C6295" s="142" t="s">
        <v>15847</v>
      </c>
      <c r="D6295" s="142" t="s">
        <v>15848</v>
      </c>
      <c r="E6295" s="142" t="s">
        <v>15849</v>
      </c>
      <c r="F6295" s="142" t="s">
        <v>7629</v>
      </c>
      <c r="G6295" s="142" t="s">
        <v>7628</v>
      </c>
      <c r="H6295" s="142" t="s">
        <v>22145</v>
      </c>
      <c r="I6295" s="142">
        <v>16</v>
      </c>
      <c r="J6295" s="142">
        <v>0</v>
      </c>
      <c r="K6295" s="142">
        <v>0</v>
      </c>
      <c r="L6295" s="142">
        <v>16</v>
      </c>
      <c r="M6295" s="142">
        <v>0</v>
      </c>
    </row>
    <row r="6296" spans="1:13" x14ac:dyDescent="0.45">
      <c r="A6296" s="142" t="s">
        <v>13178</v>
      </c>
      <c r="B6296" s="142" t="s">
        <v>14683</v>
      </c>
      <c r="C6296" s="142" t="s">
        <v>15847</v>
      </c>
      <c r="D6296" s="142" t="s">
        <v>15848</v>
      </c>
      <c r="E6296" s="142" t="s">
        <v>15849</v>
      </c>
      <c r="F6296" s="142" t="s">
        <v>7629</v>
      </c>
      <c r="G6296" s="142" t="s">
        <v>7628</v>
      </c>
      <c r="H6296" s="142" t="s">
        <v>22146</v>
      </c>
      <c r="I6296" s="142">
        <v>50</v>
      </c>
      <c r="J6296" s="142">
        <v>50</v>
      </c>
      <c r="K6296" s="142">
        <v>0</v>
      </c>
      <c r="L6296" s="142">
        <v>0</v>
      </c>
      <c r="M6296" s="142">
        <v>0</v>
      </c>
    </row>
    <row r="6297" spans="1:13" x14ac:dyDescent="0.45">
      <c r="A6297" s="142" t="s">
        <v>13076</v>
      </c>
      <c r="B6297" s="142" t="s">
        <v>14636</v>
      </c>
      <c r="C6297" s="142" t="s">
        <v>15847</v>
      </c>
      <c r="D6297" s="142" t="s">
        <v>15848</v>
      </c>
      <c r="E6297" s="142" t="s">
        <v>15849</v>
      </c>
      <c r="F6297" s="142" t="s">
        <v>7629</v>
      </c>
      <c r="G6297" s="142" t="s">
        <v>7628</v>
      </c>
      <c r="H6297" s="142" t="s">
        <v>22147</v>
      </c>
      <c r="I6297" s="142">
        <v>33</v>
      </c>
      <c r="J6297" s="142">
        <v>0</v>
      </c>
      <c r="K6297" s="142">
        <v>0</v>
      </c>
      <c r="L6297" s="142">
        <v>0</v>
      </c>
      <c r="M6297" s="142">
        <v>33</v>
      </c>
    </row>
    <row r="6298" spans="1:13" x14ac:dyDescent="0.45">
      <c r="A6298" s="142" t="s">
        <v>13051</v>
      </c>
      <c r="B6298" s="142" t="s">
        <v>14509</v>
      </c>
      <c r="C6298" s="142" t="s">
        <v>15860</v>
      </c>
      <c r="D6298" s="142" t="s">
        <v>15861</v>
      </c>
      <c r="E6298" s="142" t="s">
        <v>15849</v>
      </c>
      <c r="F6298" s="142" t="s">
        <v>7629</v>
      </c>
      <c r="G6298" s="142" t="s">
        <v>7628</v>
      </c>
      <c r="H6298" s="142" t="s">
        <v>22148</v>
      </c>
      <c r="I6298" s="142">
        <v>5</v>
      </c>
      <c r="J6298" s="142">
        <v>0</v>
      </c>
      <c r="K6298" s="142">
        <v>0</v>
      </c>
      <c r="L6298" s="142">
        <v>5</v>
      </c>
      <c r="M6298" s="142">
        <v>0</v>
      </c>
    </row>
    <row r="6299" spans="1:13" x14ac:dyDescent="0.45">
      <c r="A6299" s="142" t="s">
        <v>13006</v>
      </c>
      <c r="B6299" s="142" t="s">
        <v>15288</v>
      </c>
      <c r="C6299" s="142" t="s">
        <v>15847</v>
      </c>
      <c r="D6299" s="142" t="s">
        <v>15848</v>
      </c>
      <c r="E6299" s="142" t="s">
        <v>15849</v>
      </c>
      <c r="F6299" s="142" t="s">
        <v>7629</v>
      </c>
      <c r="G6299" s="142" t="s">
        <v>7628</v>
      </c>
      <c r="H6299" s="142" t="s">
        <v>22149</v>
      </c>
      <c r="I6299" s="142">
        <v>91</v>
      </c>
      <c r="J6299" s="142">
        <v>40</v>
      </c>
      <c r="K6299" s="142">
        <v>51</v>
      </c>
      <c r="L6299" s="142">
        <v>0</v>
      </c>
      <c r="M6299" s="142">
        <v>0</v>
      </c>
    </row>
    <row r="6300" spans="1:13" x14ac:dyDescent="0.45">
      <c r="A6300" s="142" t="s">
        <v>13008</v>
      </c>
      <c r="B6300" s="142" t="s">
        <v>15411</v>
      </c>
      <c r="C6300" s="142" t="s">
        <v>15847</v>
      </c>
      <c r="D6300" s="142" t="s">
        <v>15848</v>
      </c>
      <c r="E6300" s="142" t="s">
        <v>15849</v>
      </c>
      <c r="F6300" s="142" t="s">
        <v>7629</v>
      </c>
      <c r="G6300" s="142" t="s">
        <v>7628</v>
      </c>
      <c r="H6300" s="142" t="s">
        <v>22150</v>
      </c>
      <c r="I6300" s="142">
        <v>1</v>
      </c>
      <c r="J6300" s="142">
        <v>0</v>
      </c>
      <c r="K6300" s="142">
        <v>0</v>
      </c>
      <c r="L6300" s="142">
        <v>0</v>
      </c>
      <c r="M6300" s="142">
        <v>1</v>
      </c>
    </row>
    <row r="6301" spans="1:13" x14ac:dyDescent="0.45">
      <c r="A6301" s="142" t="s">
        <v>13077</v>
      </c>
      <c r="B6301" s="142" t="s">
        <v>15407</v>
      </c>
      <c r="C6301" s="142" t="s">
        <v>15847</v>
      </c>
      <c r="D6301" s="142" t="s">
        <v>15848</v>
      </c>
      <c r="E6301" s="142" t="s">
        <v>15849</v>
      </c>
      <c r="F6301" s="142" t="s">
        <v>7629</v>
      </c>
      <c r="G6301" s="142" t="s">
        <v>7628</v>
      </c>
      <c r="H6301" s="142" t="s">
        <v>22151</v>
      </c>
      <c r="I6301" s="142">
        <v>134</v>
      </c>
      <c r="J6301" s="142">
        <v>118</v>
      </c>
      <c r="K6301" s="142">
        <v>0</v>
      </c>
      <c r="L6301" s="142">
        <v>9</v>
      </c>
      <c r="M6301" s="142">
        <v>7</v>
      </c>
    </row>
    <row r="6302" spans="1:13" x14ac:dyDescent="0.45">
      <c r="A6302" s="142" t="s">
        <v>13104</v>
      </c>
      <c r="B6302" s="142" t="s">
        <v>14622</v>
      </c>
      <c r="C6302" s="142" t="s">
        <v>15847</v>
      </c>
      <c r="D6302" s="142" t="s">
        <v>15848</v>
      </c>
      <c r="E6302" s="142" t="s">
        <v>15849</v>
      </c>
      <c r="F6302" s="142" t="s">
        <v>7629</v>
      </c>
      <c r="G6302" s="142" t="s">
        <v>7628</v>
      </c>
      <c r="H6302" s="142" t="s">
        <v>22152</v>
      </c>
      <c r="I6302" s="142">
        <v>1416</v>
      </c>
      <c r="J6302" s="142">
        <v>916</v>
      </c>
      <c r="K6302" s="142">
        <v>0</v>
      </c>
      <c r="L6302" s="142">
        <v>79</v>
      </c>
      <c r="M6302" s="142">
        <v>421</v>
      </c>
    </row>
    <row r="6303" spans="1:13" x14ac:dyDescent="0.45">
      <c r="A6303" s="142" t="s">
        <v>13039</v>
      </c>
      <c r="B6303" s="142" t="s">
        <v>14647</v>
      </c>
      <c r="C6303" s="142" t="s">
        <v>15847</v>
      </c>
      <c r="D6303" s="142" t="s">
        <v>15848</v>
      </c>
      <c r="E6303" s="142" t="s">
        <v>15849</v>
      </c>
      <c r="F6303" s="142" t="s">
        <v>7629</v>
      </c>
      <c r="G6303" s="142" t="s">
        <v>7628</v>
      </c>
      <c r="H6303" s="142" t="s">
        <v>22153</v>
      </c>
      <c r="I6303" s="142">
        <v>13</v>
      </c>
      <c r="J6303" s="142">
        <v>13</v>
      </c>
      <c r="K6303" s="142">
        <v>0</v>
      </c>
      <c r="L6303" s="142">
        <v>0</v>
      </c>
      <c r="M6303" s="142">
        <v>0</v>
      </c>
    </row>
    <row r="6304" spans="1:13" x14ac:dyDescent="0.45">
      <c r="A6304" s="142" t="s">
        <v>13403</v>
      </c>
      <c r="B6304" s="142" t="s">
        <v>15412</v>
      </c>
      <c r="C6304" s="142" t="s">
        <v>15847</v>
      </c>
      <c r="D6304" s="142" t="s">
        <v>15848</v>
      </c>
      <c r="E6304" s="142" t="s">
        <v>15849</v>
      </c>
      <c r="F6304" s="142" t="s">
        <v>7629</v>
      </c>
      <c r="G6304" s="142" t="s">
        <v>7628</v>
      </c>
      <c r="H6304" s="142" t="s">
        <v>22154</v>
      </c>
      <c r="I6304" s="142">
        <v>99</v>
      </c>
      <c r="J6304" s="142">
        <v>83</v>
      </c>
      <c r="K6304" s="142">
        <v>0</v>
      </c>
      <c r="L6304" s="142">
        <v>0</v>
      </c>
      <c r="M6304" s="142">
        <v>16</v>
      </c>
    </row>
    <row r="6305" spans="1:13" x14ac:dyDescent="0.45">
      <c r="A6305" s="142" t="s">
        <v>13058</v>
      </c>
      <c r="B6305" s="142" t="s">
        <v>14584</v>
      </c>
      <c r="C6305" s="142" t="s">
        <v>15847</v>
      </c>
      <c r="D6305" s="142" t="s">
        <v>15848</v>
      </c>
      <c r="E6305" s="142" t="s">
        <v>15849</v>
      </c>
      <c r="F6305" s="142" t="s">
        <v>7629</v>
      </c>
      <c r="G6305" s="142" t="s">
        <v>7628</v>
      </c>
      <c r="H6305" s="142" t="s">
        <v>22155</v>
      </c>
      <c r="I6305" s="142">
        <v>41</v>
      </c>
      <c r="J6305" s="142">
        <v>33</v>
      </c>
      <c r="K6305" s="142">
        <v>0</v>
      </c>
      <c r="L6305" s="142">
        <v>0</v>
      </c>
      <c r="M6305" s="142">
        <v>8</v>
      </c>
    </row>
    <row r="6306" spans="1:13" x14ac:dyDescent="0.45">
      <c r="A6306" s="142" t="s">
        <v>13041</v>
      </c>
      <c r="B6306" s="142" t="s">
        <v>14441</v>
      </c>
      <c r="C6306" s="142" t="s">
        <v>15847</v>
      </c>
      <c r="D6306" s="142" t="s">
        <v>15848</v>
      </c>
      <c r="E6306" s="142" t="s">
        <v>15849</v>
      </c>
      <c r="F6306" s="142" t="s">
        <v>7629</v>
      </c>
      <c r="G6306" s="142" t="s">
        <v>7628</v>
      </c>
      <c r="H6306" s="142" t="s">
        <v>22156</v>
      </c>
      <c r="I6306" s="142">
        <v>4</v>
      </c>
      <c r="J6306" s="142">
        <v>0</v>
      </c>
      <c r="K6306" s="142">
        <v>0</v>
      </c>
      <c r="L6306" s="142">
        <v>0</v>
      </c>
      <c r="M6306" s="142">
        <v>4</v>
      </c>
    </row>
    <row r="6307" spans="1:13" x14ac:dyDescent="0.45">
      <c r="A6307" s="142" t="s">
        <v>14103</v>
      </c>
      <c r="B6307" s="142" t="s">
        <v>15348</v>
      </c>
      <c r="C6307" s="142" t="s">
        <v>15860</v>
      </c>
      <c r="D6307" s="142" t="s">
        <v>15861</v>
      </c>
      <c r="E6307" s="142" t="s">
        <v>15849</v>
      </c>
      <c r="F6307" s="142" t="s">
        <v>7629</v>
      </c>
      <c r="G6307" s="142" t="s">
        <v>7628</v>
      </c>
      <c r="H6307" s="142" t="s">
        <v>22157</v>
      </c>
      <c r="I6307" s="142">
        <v>38</v>
      </c>
      <c r="J6307" s="142">
        <v>0</v>
      </c>
      <c r="K6307" s="142">
        <v>0</v>
      </c>
      <c r="L6307" s="142">
        <v>38</v>
      </c>
      <c r="M6307" s="142">
        <v>0</v>
      </c>
    </row>
    <row r="6308" spans="1:13" x14ac:dyDescent="0.45">
      <c r="A6308" s="142" t="s">
        <v>13012</v>
      </c>
      <c r="B6308" s="142" t="s">
        <v>15337</v>
      </c>
      <c r="C6308" s="142" t="s">
        <v>15847</v>
      </c>
      <c r="D6308" s="142" t="s">
        <v>15848</v>
      </c>
      <c r="E6308" s="142" t="s">
        <v>15849</v>
      </c>
      <c r="F6308" s="142" t="s">
        <v>7629</v>
      </c>
      <c r="G6308" s="142" t="s">
        <v>7628</v>
      </c>
      <c r="H6308" s="142" t="s">
        <v>22158</v>
      </c>
      <c r="I6308" s="142">
        <v>98</v>
      </c>
      <c r="J6308" s="142">
        <v>92</v>
      </c>
      <c r="K6308" s="142">
        <v>0</v>
      </c>
      <c r="L6308" s="142">
        <v>0</v>
      </c>
      <c r="M6308" s="142">
        <v>6</v>
      </c>
    </row>
    <row r="6309" spans="1:13" x14ac:dyDescent="0.45">
      <c r="A6309" s="142" t="s">
        <v>14104</v>
      </c>
      <c r="B6309" s="142" t="s">
        <v>15189</v>
      </c>
      <c r="C6309" s="142" t="s">
        <v>15860</v>
      </c>
      <c r="D6309" s="142" t="s">
        <v>15861</v>
      </c>
      <c r="E6309" s="142" t="s">
        <v>15849</v>
      </c>
      <c r="F6309" s="142" t="s">
        <v>7629</v>
      </c>
      <c r="G6309" s="142" t="s">
        <v>7628</v>
      </c>
      <c r="H6309" s="142" t="s">
        <v>22159</v>
      </c>
      <c r="I6309" s="142">
        <v>11</v>
      </c>
      <c r="J6309" s="142">
        <v>0</v>
      </c>
      <c r="K6309" s="142">
        <v>0</v>
      </c>
      <c r="L6309" s="142">
        <v>11</v>
      </c>
      <c r="M6309" s="142">
        <v>0</v>
      </c>
    </row>
    <row r="6310" spans="1:13" x14ac:dyDescent="0.45">
      <c r="A6310" s="142" t="s">
        <v>13042</v>
      </c>
      <c r="B6310" s="142" t="s">
        <v>15489</v>
      </c>
      <c r="C6310" s="142" t="s">
        <v>15847</v>
      </c>
      <c r="D6310" s="142" t="s">
        <v>15848</v>
      </c>
      <c r="E6310" s="142" t="s">
        <v>15849</v>
      </c>
      <c r="F6310" s="142" t="s">
        <v>7629</v>
      </c>
      <c r="G6310" s="142" t="s">
        <v>7628</v>
      </c>
      <c r="H6310" s="142" t="s">
        <v>22160</v>
      </c>
      <c r="I6310" s="142">
        <v>8</v>
      </c>
      <c r="J6310" s="142">
        <v>0</v>
      </c>
      <c r="K6310" s="142">
        <v>0</v>
      </c>
      <c r="L6310" s="142">
        <v>8</v>
      </c>
      <c r="M6310" s="142">
        <v>0</v>
      </c>
    </row>
    <row r="6311" spans="1:13" x14ac:dyDescent="0.45">
      <c r="A6311" s="142" t="s">
        <v>13061</v>
      </c>
      <c r="B6311" s="142" t="s">
        <v>15184</v>
      </c>
      <c r="C6311" s="142" t="s">
        <v>15860</v>
      </c>
      <c r="D6311" s="142" t="s">
        <v>15861</v>
      </c>
      <c r="E6311" s="142" t="s">
        <v>15849</v>
      </c>
      <c r="F6311" s="142" t="s">
        <v>7629</v>
      </c>
      <c r="G6311" s="142" t="s">
        <v>7628</v>
      </c>
      <c r="H6311" s="142" t="s">
        <v>22161</v>
      </c>
      <c r="I6311" s="142">
        <v>4</v>
      </c>
      <c r="J6311" s="142">
        <v>0</v>
      </c>
      <c r="K6311" s="142">
        <v>0</v>
      </c>
      <c r="L6311" s="142">
        <v>4</v>
      </c>
      <c r="M6311" s="142">
        <v>0</v>
      </c>
    </row>
    <row r="6312" spans="1:13" x14ac:dyDescent="0.45">
      <c r="A6312" s="142" t="s">
        <v>13207</v>
      </c>
      <c r="B6312" s="142" t="s">
        <v>15558</v>
      </c>
      <c r="C6312" s="142" t="s">
        <v>15847</v>
      </c>
      <c r="D6312" s="142" t="s">
        <v>15848</v>
      </c>
      <c r="E6312" s="142" t="s">
        <v>15849</v>
      </c>
      <c r="F6312" s="142" t="s">
        <v>7629</v>
      </c>
      <c r="G6312" s="142" t="s">
        <v>7628</v>
      </c>
      <c r="H6312" s="142" t="s">
        <v>22162</v>
      </c>
      <c r="I6312" s="142">
        <v>81</v>
      </c>
      <c r="J6312" s="142">
        <v>5</v>
      </c>
      <c r="K6312" s="142">
        <v>0</v>
      </c>
      <c r="L6312" s="142">
        <v>57</v>
      </c>
      <c r="M6312" s="142">
        <v>19</v>
      </c>
    </row>
    <row r="6313" spans="1:13" x14ac:dyDescent="0.45">
      <c r="A6313" s="142" t="s">
        <v>13072</v>
      </c>
      <c r="B6313" s="142" t="s">
        <v>15530</v>
      </c>
      <c r="C6313" s="142" t="s">
        <v>15847</v>
      </c>
      <c r="D6313" s="142" t="s">
        <v>15848</v>
      </c>
      <c r="E6313" s="142" t="s">
        <v>15849</v>
      </c>
      <c r="F6313" s="142" t="s">
        <v>6120</v>
      </c>
      <c r="G6313" s="142" t="s">
        <v>6119</v>
      </c>
      <c r="H6313" s="142" t="s">
        <v>22163</v>
      </c>
      <c r="I6313" s="142">
        <v>384</v>
      </c>
      <c r="J6313" s="142">
        <v>381</v>
      </c>
      <c r="K6313" s="142">
        <v>0</v>
      </c>
      <c r="L6313" s="142">
        <v>2</v>
      </c>
      <c r="M6313" s="142">
        <v>1</v>
      </c>
    </row>
    <row r="6314" spans="1:13" x14ac:dyDescent="0.45">
      <c r="A6314" s="142" t="s">
        <v>13023</v>
      </c>
      <c r="B6314" s="142" t="s">
        <v>15571</v>
      </c>
      <c r="C6314" s="142" t="s">
        <v>15847</v>
      </c>
      <c r="D6314" s="142" t="s">
        <v>15848</v>
      </c>
      <c r="E6314" s="142" t="s">
        <v>15849</v>
      </c>
      <c r="F6314" s="142" t="s">
        <v>6120</v>
      </c>
      <c r="G6314" s="142" t="s">
        <v>6119</v>
      </c>
      <c r="H6314" s="142" t="s">
        <v>22164</v>
      </c>
      <c r="I6314" s="142">
        <v>146</v>
      </c>
      <c r="J6314" s="142">
        <v>0</v>
      </c>
      <c r="K6314" s="142">
        <v>0</v>
      </c>
      <c r="L6314" s="142">
        <v>146</v>
      </c>
      <c r="M6314" s="142">
        <v>0</v>
      </c>
    </row>
    <row r="6315" spans="1:13" x14ac:dyDescent="0.45">
      <c r="A6315" s="142" t="s">
        <v>13113</v>
      </c>
      <c r="B6315" s="142" t="s">
        <v>14503</v>
      </c>
      <c r="C6315" s="142" t="s">
        <v>15860</v>
      </c>
      <c r="D6315" s="142" t="s">
        <v>15861</v>
      </c>
      <c r="E6315" s="142" t="s">
        <v>15849</v>
      </c>
      <c r="F6315" s="142" t="s">
        <v>6120</v>
      </c>
      <c r="G6315" s="142" t="s">
        <v>6119</v>
      </c>
      <c r="H6315" s="142" t="s">
        <v>22165</v>
      </c>
      <c r="I6315" s="142">
        <v>1</v>
      </c>
      <c r="J6315" s="142">
        <v>1</v>
      </c>
      <c r="K6315" s="142">
        <v>0</v>
      </c>
      <c r="L6315" s="142">
        <v>0</v>
      </c>
      <c r="M6315" s="142">
        <v>0</v>
      </c>
    </row>
    <row r="6316" spans="1:13" x14ac:dyDescent="0.45">
      <c r="A6316" s="142" t="s">
        <v>13288</v>
      </c>
      <c r="B6316" s="142" t="s">
        <v>14444</v>
      </c>
      <c r="C6316" s="142" t="s">
        <v>15860</v>
      </c>
      <c r="D6316" s="142" t="s">
        <v>15861</v>
      </c>
      <c r="E6316" s="142" t="s">
        <v>15849</v>
      </c>
      <c r="F6316" s="142" t="s">
        <v>6120</v>
      </c>
      <c r="G6316" s="142" t="s">
        <v>6119</v>
      </c>
      <c r="H6316" s="142" t="s">
        <v>22166</v>
      </c>
      <c r="I6316" s="142">
        <v>4</v>
      </c>
      <c r="J6316" s="142">
        <v>0</v>
      </c>
      <c r="K6316" s="142">
        <v>0</v>
      </c>
      <c r="L6316" s="142">
        <v>4</v>
      </c>
      <c r="M6316" s="142">
        <v>0</v>
      </c>
    </row>
    <row r="6317" spans="1:13" x14ac:dyDescent="0.45">
      <c r="A6317" s="142" t="s">
        <v>13407</v>
      </c>
      <c r="B6317" s="142" t="s">
        <v>15432</v>
      </c>
      <c r="C6317" s="142" t="s">
        <v>15847</v>
      </c>
      <c r="D6317" s="142" t="s">
        <v>15848</v>
      </c>
      <c r="E6317" s="142" t="s">
        <v>15849</v>
      </c>
      <c r="F6317" s="142" t="s">
        <v>6120</v>
      </c>
      <c r="G6317" s="142" t="s">
        <v>6119</v>
      </c>
      <c r="H6317" s="142" t="s">
        <v>22167</v>
      </c>
      <c r="I6317" s="142">
        <v>129</v>
      </c>
      <c r="J6317" s="142">
        <v>80</v>
      </c>
      <c r="K6317" s="142">
        <v>0</v>
      </c>
      <c r="L6317" s="142">
        <v>49</v>
      </c>
      <c r="M6317" s="142">
        <v>0</v>
      </c>
    </row>
    <row r="6318" spans="1:13" x14ac:dyDescent="0.45">
      <c r="A6318" s="142" t="s">
        <v>13273</v>
      </c>
      <c r="B6318" s="142" t="s">
        <v>14465</v>
      </c>
      <c r="C6318" s="142" t="s">
        <v>15860</v>
      </c>
      <c r="D6318" s="142" t="s">
        <v>15861</v>
      </c>
      <c r="E6318" s="142" t="s">
        <v>15849</v>
      </c>
      <c r="F6318" s="142" t="s">
        <v>6120</v>
      </c>
      <c r="G6318" s="142" t="s">
        <v>6119</v>
      </c>
      <c r="H6318" s="142" t="s">
        <v>22168</v>
      </c>
      <c r="I6318" s="142">
        <v>3</v>
      </c>
      <c r="J6318" s="142">
        <v>0</v>
      </c>
      <c r="K6318" s="142">
        <v>0</v>
      </c>
      <c r="L6318" s="142">
        <v>3</v>
      </c>
      <c r="M6318" s="142">
        <v>0</v>
      </c>
    </row>
    <row r="6319" spans="1:13" x14ac:dyDescent="0.45">
      <c r="A6319" s="142" t="s">
        <v>13085</v>
      </c>
      <c r="B6319" s="142" t="s">
        <v>14460</v>
      </c>
      <c r="C6319" s="142" t="s">
        <v>15860</v>
      </c>
      <c r="D6319" s="142" t="s">
        <v>15861</v>
      </c>
      <c r="E6319" s="142" t="s">
        <v>15849</v>
      </c>
      <c r="F6319" s="142" t="s">
        <v>6120</v>
      </c>
      <c r="G6319" s="142" t="s">
        <v>6119</v>
      </c>
      <c r="H6319" s="142" t="s">
        <v>22169</v>
      </c>
      <c r="I6319" s="142">
        <v>34</v>
      </c>
      <c r="J6319" s="142">
        <v>0</v>
      </c>
      <c r="K6319" s="142">
        <v>0</v>
      </c>
      <c r="L6319" s="142">
        <v>34</v>
      </c>
      <c r="M6319" s="142">
        <v>0</v>
      </c>
    </row>
    <row r="6320" spans="1:13" x14ac:dyDescent="0.45">
      <c r="A6320" s="142" t="s">
        <v>13049</v>
      </c>
      <c r="B6320" s="142" t="s">
        <v>14534</v>
      </c>
      <c r="C6320" s="142" t="s">
        <v>15860</v>
      </c>
      <c r="D6320" s="142" t="s">
        <v>15861</v>
      </c>
      <c r="E6320" s="142" t="s">
        <v>15849</v>
      </c>
      <c r="F6320" s="142" t="s">
        <v>6120</v>
      </c>
      <c r="G6320" s="142" t="s">
        <v>6119</v>
      </c>
      <c r="H6320" s="142" t="s">
        <v>22170</v>
      </c>
      <c r="I6320" s="142">
        <v>7</v>
      </c>
      <c r="J6320" s="142">
        <v>0</v>
      </c>
      <c r="K6320" s="142">
        <v>0</v>
      </c>
      <c r="L6320" s="142">
        <v>7</v>
      </c>
      <c r="M6320" s="142">
        <v>0</v>
      </c>
    </row>
    <row r="6321" spans="1:13" x14ac:dyDescent="0.45">
      <c r="A6321" s="142" t="s">
        <v>13027</v>
      </c>
      <c r="B6321" s="142" t="s">
        <v>14562</v>
      </c>
      <c r="C6321" s="142" t="s">
        <v>15847</v>
      </c>
      <c r="D6321" s="142" t="s">
        <v>15848</v>
      </c>
      <c r="E6321" s="142" t="s">
        <v>15849</v>
      </c>
      <c r="F6321" s="142" t="s">
        <v>6120</v>
      </c>
      <c r="G6321" s="142" t="s">
        <v>6119</v>
      </c>
      <c r="H6321" s="142" t="s">
        <v>22171</v>
      </c>
      <c r="I6321" s="142">
        <v>4</v>
      </c>
      <c r="J6321" s="142">
        <v>0</v>
      </c>
      <c r="K6321" s="142">
        <v>0</v>
      </c>
      <c r="L6321" s="142">
        <v>4</v>
      </c>
      <c r="M6321" s="142">
        <v>0</v>
      </c>
    </row>
    <row r="6322" spans="1:13" x14ac:dyDescent="0.45">
      <c r="A6322" s="142" t="s">
        <v>13148</v>
      </c>
      <c r="B6322" s="142" t="s">
        <v>15314</v>
      </c>
      <c r="C6322" s="142" t="s">
        <v>15847</v>
      </c>
      <c r="D6322" s="142" t="s">
        <v>15848</v>
      </c>
      <c r="E6322" s="142" t="s">
        <v>15849</v>
      </c>
      <c r="F6322" s="142" t="s">
        <v>6120</v>
      </c>
      <c r="G6322" s="142" t="s">
        <v>6119</v>
      </c>
      <c r="H6322" s="142" t="s">
        <v>22172</v>
      </c>
      <c r="I6322" s="142">
        <v>196</v>
      </c>
      <c r="J6322" s="142">
        <v>196</v>
      </c>
      <c r="K6322" s="142">
        <v>0</v>
      </c>
      <c r="L6322" s="142">
        <v>0</v>
      </c>
      <c r="M6322" s="142">
        <v>0</v>
      </c>
    </row>
    <row r="6323" spans="1:13" x14ac:dyDescent="0.45">
      <c r="A6323" s="142" t="s">
        <v>13028</v>
      </c>
      <c r="B6323" s="142" t="s">
        <v>14462</v>
      </c>
      <c r="C6323" s="142" t="s">
        <v>15847</v>
      </c>
      <c r="D6323" s="142" t="s">
        <v>15848</v>
      </c>
      <c r="E6323" s="142" t="s">
        <v>15849</v>
      </c>
      <c r="F6323" s="142" t="s">
        <v>6120</v>
      </c>
      <c r="G6323" s="142" t="s">
        <v>6119</v>
      </c>
      <c r="H6323" s="142" t="s">
        <v>22173</v>
      </c>
      <c r="I6323" s="142">
        <v>19</v>
      </c>
      <c r="J6323" s="142">
        <v>0</v>
      </c>
      <c r="K6323" s="142">
        <v>0</v>
      </c>
      <c r="L6323" s="142">
        <v>0</v>
      </c>
      <c r="M6323" s="142">
        <v>19</v>
      </c>
    </row>
    <row r="6324" spans="1:13" x14ac:dyDescent="0.45">
      <c r="A6324" s="142" t="s">
        <v>13003</v>
      </c>
      <c r="B6324" s="142" t="s">
        <v>15245</v>
      </c>
      <c r="C6324" s="142" t="s">
        <v>15847</v>
      </c>
      <c r="D6324" s="142" t="s">
        <v>15848</v>
      </c>
      <c r="E6324" s="142" t="s">
        <v>15849</v>
      </c>
      <c r="F6324" s="142" t="s">
        <v>6120</v>
      </c>
      <c r="G6324" s="142" t="s">
        <v>6119</v>
      </c>
      <c r="H6324" s="142" t="s">
        <v>22174</v>
      </c>
      <c r="I6324" s="142">
        <v>29</v>
      </c>
      <c r="J6324" s="142">
        <v>1</v>
      </c>
      <c r="K6324" s="142">
        <v>0</v>
      </c>
      <c r="L6324" s="142">
        <v>28</v>
      </c>
      <c r="M6324" s="142">
        <v>0</v>
      </c>
    </row>
    <row r="6325" spans="1:13" x14ac:dyDescent="0.45">
      <c r="A6325" s="142" t="s">
        <v>13066</v>
      </c>
      <c r="B6325" s="142" t="s">
        <v>14459</v>
      </c>
      <c r="C6325" s="142" t="s">
        <v>15847</v>
      </c>
      <c r="D6325" s="142" t="s">
        <v>15848</v>
      </c>
      <c r="E6325" s="142" t="s">
        <v>15849</v>
      </c>
      <c r="F6325" s="142" t="s">
        <v>6120</v>
      </c>
      <c r="G6325" s="142" t="s">
        <v>6119</v>
      </c>
      <c r="H6325" s="142" t="s">
        <v>22175</v>
      </c>
      <c r="I6325" s="142">
        <v>18</v>
      </c>
      <c r="J6325" s="142">
        <v>0</v>
      </c>
      <c r="K6325" s="142">
        <v>0</v>
      </c>
      <c r="L6325" s="142">
        <v>18</v>
      </c>
      <c r="M6325" s="142">
        <v>0</v>
      </c>
    </row>
    <row r="6326" spans="1:13" x14ac:dyDescent="0.45">
      <c r="A6326" s="142" t="s">
        <v>13323</v>
      </c>
      <c r="B6326" s="142" t="s">
        <v>15466</v>
      </c>
      <c r="C6326" s="142" t="s">
        <v>15847</v>
      </c>
      <c r="D6326" s="142" t="s">
        <v>15848</v>
      </c>
      <c r="E6326" s="142" t="s">
        <v>15849</v>
      </c>
      <c r="F6326" s="142" t="s">
        <v>6120</v>
      </c>
      <c r="G6326" s="142" t="s">
        <v>6119</v>
      </c>
      <c r="H6326" s="142" t="s">
        <v>22176</v>
      </c>
      <c r="I6326" s="142">
        <v>4</v>
      </c>
      <c r="J6326" s="142">
        <v>4</v>
      </c>
      <c r="K6326" s="142">
        <v>0</v>
      </c>
      <c r="L6326" s="142">
        <v>0</v>
      </c>
      <c r="M6326" s="142">
        <v>0</v>
      </c>
    </row>
    <row r="6327" spans="1:13" x14ac:dyDescent="0.45">
      <c r="A6327" s="142" t="s">
        <v>13290</v>
      </c>
      <c r="B6327" s="142" t="s">
        <v>15246</v>
      </c>
      <c r="C6327" s="142" t="s">
        <v>15847</v>
      </c>
      <c r="D6327" s="142" t="s">
        <v>15848</v>
      </c>
      <c r="E6327" s="142" t="s">
        <v>15849</v>
      </c>
      <c r="F6327" s="142" t="s">
        <v>6120</v>
      </c>
      <c r="G6327" s="142" t="s">
        <v>6119</v>
      </c>
      <c r="H6327" s="142" t="s">
        <v>22177</v>
      </c>
      <c r="I6327" s="142">
        <v>27</v>
      </c>
      <c r="J6327" s="142">
        <v>27</v>
      </c>
      <c r="K6327" s="142">
        <v>0</v>
      </c>
      <c r="L6327" s="142">
        <v>0</v>
      </c>
      <c r="M6327" s="142">
        <v>0</v>
      </c>
    </row>
    <row r="6328" spans="1:13" x14ac:dyDescent="0.45">
      <c r="A6328" s="142" t="s">
        <v>13291</v>
      </c>
      <c r="B6328" s="142" t="s">
        <v>15495</v>
      </c>
      <c r="C6328" s="142" t="s">
        <v>15847</v>
      </c>
      <c r="D6328" s="142" t="s">
        <v>15848</v>
      </c>
      <c r="E6328" s="142" t="s">
        <v>15849</v>
      </c>
      <c r="F6328" s="142" t="s">
        <v>6120</v>
      </c>
      <c r="G6328" s="142" t="s">
        <v>6119</v>
      </c>
      <c r="H6328" s="142" t="s">
        <v>22178</v>
      </c>
      <c r="I6328" s="142">
        <v>3</v>
      </c>
      <c r="J6328" s="142">
        <v>3</v>
      </c>
      <c r="K6328" s="142">
        <v>0</v>
      </c>
      <c r="L6328" s="142">
        <v>0</v>
      </c>
      <c r="M6328" s="142">
        <v>0</v>
      </c>
    </row>
    <row r="6329" spans="1:13" x14ac:dyDescent="0.45">
      <c r="A6329" s="142" t="s">
        <v>13005</v>
      </c>
      <c r="B6329" s="142" t="s">
        <v>15475</v>
      </c>
      <c r="C6329" s="142" t="s">
        <v>15847</v>
      </c>
      <c r="D6329" s="142" t="s">
        <v>15848</v>
      </c>
      <c r="E6329" s="142" t="s">
        <v>15849</v>
      </c>
      <c r="F6329" s="142" t="s">
        <v>6120</v>
      </c>
      <c r="G6329" s="142" t="s">
        <v>6119</v>
      </c>
      <c r="H6329" s="142" t="s">
        <v>22179</v>
      </c>
      <c r="I6329" s="142">
        <v>22</v>
      </c>
      <c r="J6329" s="142">
        <v>12</v>
      </c>
      <c r="K6329" s="142">
        <v>0</v>
      </c>
      <c r="L6329" s="142">
        <v>0</v>
      </c>
      <c r="M6329" s="142">
        <v>10</v>
      </c>
    </row>
    <row r="6330" spans="1:13" x14ac:dyDescent="0.45">
      <c r="A6330" s="142" t="s">
        <v>13249</v>
      </c>
      <c r="B6330" s="142" t="s">
        <v>14602</v>
      </c>
      <c r="C6330" s="142" t="s">
        <v>15847</v>
      </c>
      <c r="D6330" s="142" t="s">
        <v>15848</v>
      </c>
      <c r="E6330" s="142" t="s">
        <v>15849</v>
      </c>
      <c r="F6330" s="142" t="s">
        <v>6120</v>
      </c>
      <c r="G6330" s="142" t="s">
        <v>6119</v>
      </c>
      <c r="H6330" s="142" t="s">
        <v>22180</v>
      </c>
      <c r="I6330" s="142">
        <v>97</v>
      </c>
      <c r="J6330" s="142">
        <v>92</v>
      </c>
      <c r="K6330" s="142">
        <v>0</v>
      </c>
      <c r="L6330" s="142">
        <v>5</v>
      </c>
      <c r="M6330" s="142">
        <v>0</v>
      </c>
    </row>
    <row r="6331" spans="1:13" x14ac:dyDescent="0.45">
      <c r="A6331" s="142" t="s">
        <v>13284</v>
      </c>
      <c r="B6331" s="142" t="s">
        <v>15364</v>
      </c>
      <c r="C6331" s="142" t="s">
        <v>15847</v>
      </c>
      <c r="D6331" s="142" t="s">
        <v>15848</v>
      </c>
      <c r="E6331" s="142" t="s">
        <v>15849</v>
      </c>
      <c r="F6331" s="142" t="s">
        <v>6120</v>
      </c>
      <c r="G6331" s="142" t="s">
        <v>6119</v>
      </c>
      <c r="H6331" s="142" t="s">
        <v>22181</v>
      </c>
      <c r="I6331" s="142">
        <v>91</v>
      </c>
      <c r="J6331" s="142">
        <v>91</v>
      </c>
      <c r="K6331" s="142">
        <v>0</v>
      </c>
      <c r="L6331" s="142">
        <v>0</v>
      </c>
      <c r="M6331" s="142">
        <v>0</v>
      </c>
    </row>
    <row r="6332" spans="1:13" x14ac:dyDescent="0.45">
      <c r="A6332" s="142" t="s">
        <v>14105</v>
      </c>
      <c r="B6332" s="142" t="s">
        <v>14649</v>
      </c>
      <c r="C6332" s="142" t="s">
        <v>15860</v>
      </c>
      <c r="D6332" s="142" t="s">
        <v>15861</v>
      </c>
      <c r="E6332" s="142" t="s">
        <v>15849</v>
      </c>
      <c r="F6332" s="142" t="s">
        <v>6120</v>
      </c>
      <c r="G6332" s="142" t="s">
        <v>6119</v>
      </c>
      <c r="H6332" s="142" t="s">
        <v>22182</v>
      </c>
      <c r="I6332" s="142">
        <v>95</v>
      </c>
      <c r="J6332" s="142">
        <v>0</v>
      </c>
      <c r="K6332" s="142">
        <v>0</v>
      </c>
      <c r="L6332" s="142">
        <v>95</v>
      </c>
      <c r="M6332" s="142">
        <v>0</v>
      </c>
    </row>
    <row r="6333" spans="1:13" x14ac:dyDescent="0.45">
      <c r="A6333" s="142" t="s">
        <v>13033</v>
      </c>
      <c r="B6333" s="142" t="s">
        <v>15276</v>
      </c>
      <c r="C6333" s="142" t="s">
        <v>15847</v>
      </c>
      <c r="D6333" s="142" t="s">
        <v>15848</v>
      </c>
      <c r="E6333" s="142" t="s">
        <v>15849</v>
      </c>
      <c r="F6333" s="142" t="s">
        <v>6120</v>
      </c>
      <c r="G6333" s="142" t="s">
        <v>6119</v>
      </c>
      <c r="H6333" s="142" t="s">
        <v>22183</v>
      </c>
      <c r="I6333" s="142">
        <v>18</v>
      </c>
      <c r="J6333" s="142">
        <v>18</v>
      </c>
      <c r="K6333" s="142">
        <v>0</v>
      </c>
      <c r="L6333" s="142">
        <v>0</v>
      </c>
      <c r="M6333" s="142">
        <v>0</v>
      </c>
    </row>
    <row r="6334" spans="1:13" x14ac:dyDescent="0.45">
      <c r="A6334" s="142" t="s">
        <v>13034</v>
      </c>
      <c r="B6334" s="142" t="s">
        <v>15562</v>
      </c>
      <c r="C6334" s="142" t="s">
        <v>15847</v>
      </c>
      <c r="D6334" s="142" t="s">
        <v>15848</v>
      </c>
      <c r="E6334" s="142" t="s">
        <v>15849</v>
      </c>
      <c r="F6334" s="142" t="s">
        <v>6120</v>
      </c>
      <c r="G6334" s="142" t="s">
        <v>6119</v>
      </c>
      <c r="H6334" s="142" t="s">
        <v>22184</v>
      </c>
      <c r="I6334" s="142">
        <v>1</v>
      </c>
      <c r="J6334" s="142">
        <v>0</v>
      </c>
      <c r="K6334" s="142">
        <v>0</v>
      </c>
      <c r="L6334" s="142">
        <v>1</v>
      </c>
      <c r="M6334" s="142">
        <v>0</v>
      </c>
    </row>
    <row r="6335" spans="1:13" x14ac:dyDescent="0.45">
      <c r="A6335" s="142" t="s">
        <v>13036</v>
      </c>
      <c r="B6335" s="142" t="s">
        <v>15567</v>
      </c>
      <c r="C6335" s="142" t="s">
        <v>15847</v>
      </c>
      <c r="D6335" s="142" t="s">
        <v>15848</v>
      </c>
      <c r="E6335" s="142" t="s">
        <v>15849</v>
      </c>
      <c r="F6335" s="142" t="s">
        <v>6120</v>
      </c>
      <c r="G6335" s="142" t="s">
        <v>6119</v>
      </c>
      <c r="H6335" s="142" t="s">
        <v>22185</v>
      </c>
      <c r="I6335" s="142">
        <v>22</v>
      </c>
      <c r="J6335" s="142">
        <v>1</v>
      </c>
      <c r="K6335" s="142">
        <v>0</v>
      </c>
      <c r="L6335" s="142">
        <v>21</v>
      </c>
      <c r="M6335" s="142">
        <v>0</v>
      </c>
    </row>
    <row r="6336" spans="1:13" x14ac:dyDescent="0.45">
      <c r="A6336" s="142" t="s">
        <v>13091</v>
      </c>
      <c r="B6336" s="142" t="s">
        <v>14473</v>
      </c>
      <c r="C6336" s="142" t="s">
        <v>15847</v>
      </c>
      <c r="D6336" s="142" t="s">
        <v>15848</v>
      </c>
      <c r="E6336" s="142" t="s">
        <v>15849</v>
      </c>
      <c r="F6336" s="142" t="s">
        <v>6120</v>
      </c>
      <c r="G6336" s="142" t="s">
        <v>6119</v>
      </c>
      <c r="H6336" s="142" t="s">
        <v>22186</v>
      </c>
      <c r="I6336" s="142">
        <v>19</v>
      </c>
      <c r="J6336" s="142">
        <v>0</v>
      </c>
      <c r="K6336" s="142">
        <v>0</v>
      </c>
      <c r="L6336" s="142">
        <v>19</v>
      </c>
      <c r="M6336" s="142">
        <v>0</v>
      </c>
    </row>
    <row r="6337" spans="1:13" x14ac:dyDescent="0.45">
      <c r="A6337" s="142" t="s">
        <v>13285</v>
      </c>
      <c r="B6337" s="142" t="s">
        <v>15158</v>
      </c>
      <c r="C6337" s="142" t="s">
        <v>15860</v>
      </c>
      <c r="D6337" s="142" t="s">
        <v>15861</v>
      </c>
      <c r="E6337" s="142" t="s">
        <v>15849</v>
      </c>
      <c r="F6337" s="142" t="s">
        <v>6120</v>
      </c>
      <c r="G6337" s="142" t="s">
        <v>6119</v>
      </c>
      <c r="H6337" s="142" t="s">
        <v>22187</v>
      </c>
      <c r="I6337" s="142">
        <v>12</v>
      </c>
      <c r="J6337" s="142">
        <v>0</v>
      </c>
      <c r="K6337" s="142">
        <v>0</v>
      </c>
      <c r="L6337" s="142">
        <v>12</v>
      </c>
      <c r="M6337" s="142">
        <v>0</v>
      </c>
    </row>
    <row r="6338" spans="1:13" x14ac:dyDescent="0.45">
      <c r="A6338" s="142" t="s">
        <v>13154</v>
      </c>
      <c r="B6338" s="142" t="s">
        <v>15415</v>
      </c>
      <c r="C6338" s="142" t="s">
        <v>15847</v>
      </c>
      <c r="D6338" s="142" t="s">
        <v>15848</v>
      </c>
      <c r="E6338" s="142" t="s">
        <v>15849</v>
      </c>
      <c r="F6338" s="142" t="s">
        <v>6120</v>
      </c>
      <c r="G6338" s="142" t="s">
        <v>6119</v>
      </c>
      <c r="H6338" s="142" t="s">
        <v>22188</v>
      </c>
      <c r="I6338" s="142">
        <v>3388</v>
      </c>
      <c r="J6338" s="142">
        <v>3357</v>
      </c>
      <c r="K6338" s="142">
        <v>0</v>
      </c>
      <c r="L6338" s="142">
        <v>19</v>
      </c>
      <c r="M6338" s="142">
        <v>12</v>
      </c>
    </row>
    <row r="6339" spans="1:13" x14ac:dyDescent="0.45">
      <c r="A6339" s="142" t="s">
        <v>13157</v>
      </c>
      <c r="B6339" s="142" t="s">
        <v>15477</v>
      </c>
      <c r="C6339" s="142" t="s">
        <v>15847</v>
      </c>
      <c r="D6339" s="142" t="s">
        <v>15848</v>
      </c>
      <c r="E6339" s="142" t="s">
        <v>15849</v>
      </c>
      <c r="F6339" s="142" t="s">
        <v>6120</v>
      </c>
      <c r="G6339" s="142" t="s">
        <v>6119</v>
      </c>
      <c r="H6339" s="142" t="s">
        <v>22189</v>
      </c>
      <c r="I6339" s="142">
        <v>24</v>
      </c>
      <c r="J6339" s="142">
        <v>1</v>
      </c>
      <c r="K6339" s="142">
        <v>0</v>
      </c>
      <c r="L6339" s="142">
        <v>23</v>
      </c>
      <c r="M6339" s="142">
        <v>0</v>
      </c>
    </row>
    <row r="6340" spans="1:13" x14ac:dyDescent="0.45">
      <c r="A6340" s="142" t="s">
        <v>13286</v>
      </c>
      <c r="B6340" s="142" t="s">
        <v>15342</v>
      </c>
      <c r="C6340" s="142" t="s">
        <v>15847</v>
      </c>
      <c r="D6340" s="142" t="s">
        <v>15848</v>
      </c>
      <c r="E6340" s="142" t="s">
        <v>15849</v>
      </c>
      <c r="F6340" s="142" t="s">
        <v>6120</v>
      </c>
      <c r="G6340" s="142" t="s">
        <v>6119</v>
      </c>
      <c r="H6340" s="142" t="s">
        <v>22190</v>
      </c>
      <c r="I6340" s="142">
        <v>93</v>
      </c>
      <c r="J6340" s="142">
        <v>93</v>
      </c>
      <c r="K6340" s="142">
        <v>0</v>
      </c>
      <c r="L6340" s="142">
        <v>0</v>
      </c>
      <c r="M6340" s="142">
        <v>0</v>
      </c>
    </row>
    <row r="6341" spans="1:13" x14ac:dyDescent="0.45">
      <c r="A6341" s="142" t="s">
        <v>13072</v>
      </c>
      <c r="B6341" s="142" t="s">
        <v>15530</v>
      </c>
      <c r="C6341" s="142" t="s">
        <v>15847</v>
      </c>
      <c r="D6341" s="142" t="s">
        <v>15848</v>
      </c>
      <c r="E6341" s="142" t="s">
        <v>15849</v>
      </c>
      <c r="F6341" s="142" t="s">
        <v>1476</v>
      </c>
      <c r="G6341" s="142" t="s">
        <v>1475</v>
      </c>
      <c r="H6341" s="142" t="s">
        <v>22191</v>
      </c>
      <c r="I6341" s="142">
        <v>1838</v>
      </c>
      <c r="J6341" s="142">
        <v>1507</v>
      </c>
      <c r="K6341" s="142">
        <v>0</v>
      </c>
      <c r="L6341" s="142">
        <v>190</v>
      </c>
      <c r="M6341" s="142">
        <v>141</v>
      </c>
    </row>
    <row r="6342" spans="1:13" x14ac:dyDescent="0.45">
      <c r="A6342" s="142" t="s">
        <v>13022</v>
      </c>
      <c r="B6342" s="142" t="s">
        <v>14634</v>
      </c>
      <c r="C6342" s="142" t="s">
        <v>15847</v>
      </c>
      <c r="D6342" s="142" t="s">
        <v>15848</v>
      </c>
      <c r="E6342" s="142" t="s">
        <v>15849</v>
      </c>
      <c r="F6342" s="142" t="s">
        <v>1476</v>
      </c>
      <c r="G6342" s="142" t="s">
        <v>1475</v>
      </c>
      <c r="H6342" s="142" t="s">
        <v>22192</v>
      </c>
      <c r="I6342" s="142">
        <v>1817</v>
      </c>
      <c r="J6342" s="142">
        <v>1158</v>
      </c>
      <c r="K6342" s="142">
        <v>0</v>
      </c>
      <c r="L6342" s="142">
        <v>485</v>
      </c>
      <c r="M6342" s="142">
        <v>174</v>
      </c>
    </row>
    <row r="6343" spans="1:13" x14ac:dyDescent="0.45">
      <c r="A6343" s="142" t="s">
        <v>13023</v>
      </c>
      <c r="B6343" s="142" t="s">
        <v>15571</v>
      </c>
      <c r="C6343" s="142" t="s">
        <v>15847</v>
      </c>
      <c r="D6343" s="142" t="s">
        <v>15848</v>
      </c>
      <c r="E6343" s="142" t="s">
        <v>15849</v>
      </c>
      <c r="F6343" s="142" t="s">
        <v>1476</v>
      </c>
      <c r="G6343" s="142" t="s">
        <v>1475</v>
      </c>
      <c r="H6343" s="142" t="s">
        <v>22193</v>
      </c>
      <c r="I6343" s="142">
        <v>145</v>
      </c>
      <c r="J6343" s="142">
        <v>0</v>
      </c>
      <c r="K6343" s="142">
        <v>0</v>
      </c>
      <c r="L6343" s="142">
        <v>145</v>
      </c>
      <c r="M6343" s="142">
        <v>0</v>
      </c>
    </row>
    <row r="6344" spans="1:13" x14ac:dyDescent="0.45">
      <c r="A6344" s="142" t="s">
        <v>13082</v>
      </c>
      <c r="B6344" s="142" t="s">
        <v>14478</v>
      </c>
      <c r="C6344" s="142" t="s">
        <v>15860</v>
      </c>
      <c r="D6344" s="142" t="s">
        <v>15861</v>
      </c>
      <c r="E6344" s="142" t="s">
        <v>15849</v>
      </c>
      <c r="F6344" s="142" t="s">
        <v>1476</v>
      </c>
      <c r="G6344" s="142" t="s">
        <v>1475</v>
      </c>
      <c r="H6344" s="142" t="s">
        <v>22194</v>
      </c>
      <c r="I6344" s="142">
        <v>6</v>
      </c>
      <c r="J6344" s="142">
        <v>0</v>
      </c>
      <c r="K6344" s="142">
        <v>0</v>
      </c>
      <c r="L6344" s="142">
        <v>6</v>
      </c>
      <c r="M6344" s="142">
        <v>0</v>
      </c>
    </row>
    <row r="6345" spans="1:13" x14ac:dyDescent="0.45">
      <c r="A6345" s="142" t="s">
        <v>13065</v>
      </c>
      <c r="B6345" s="142" t="s">
        <v>14497</v>
      </c>
      <c r="C6345" s="142" t="s">
        <v>15847</v>
      </c>
      <c r="D6345" s="142" t="s">
        <v>15848</v>
      </c>
      <c r="E6345" s="142" t="s">
        <v>15849</v>
      </c>
      <c r="F6345" s="142" t="s">
        <v>1476</v>
      </c>
      <c r="G6345" s="142" t="s">
        <v>1475</v>
      </c>
      <c r="H6345" s="142" t="s">
        <v>22195</v>
      </c>
      <c r="I6345" s="142">
        <v>6</v>
      </c>
      <c r="J6345" s="142">
        <v>0</v>
      </c>
      <c r="K6345" s="142">
        <v>0</v>
      </c>
      <c r="L6345" s="142">
        <v>6</v>
      </c>
      <c r="M6345" s="142">
        <v>0</v>
      </c>
    </row>
    <row r="6346" spans="1:13" x14ac:dyDescent="0.45">
      <c r="A6346" s="142" t="s">
        <v>13159</v>
      </c>
      <c r="B6346" s="142" t="s">
        <v>14521</v>
      </c>
      <c r="C6346" s="142" t="s">
        <v>15860</v>
      </c>
      <c r="D6346" s="142" t="s">
        <v>15861</v>
      </c>
      <c r="E6346" s="142" t="s">
        <v>15849</v>
      </c>
      <c r="F6346" s="142" t="s">
        <v>1476</v>
      </c>
      <c r="G6346" s="142" t="s">
        <v>1475</v>
      </c>
      <c r="H6346" s="142" t="s">
        <v>22196</v>
      </c>
      <c r="I6346" s="142">
        <v>21</v>
      </c>
      <c r="J6346" s="142">
        <v>0</v>
      </c>
      <c r="K6346" s="142">
        <v>0</v>
      </c>
      <c r="L6346" s="142">
        <v>21</v>
      </c>
      <c r="M6346" s="142">
        <v>0</v>
      </c>
    </row>
    <row r="6347" spans="1:13" x14ac:dyDescent="0.45">
      <c r="A6347" s="142" t="s">
        <v>13000</v>
      </c>
      <c r="B6347" s="142" t="s">
        <v>14610</v>
      </c>
      <c r="C6347" s="142" t="s">
        <v>15847</v>
      </c>
      <c r="D6347" s="142" t="s">
        <v>15848</v>
      </c>
      <c r="E6347" s="142" t="s">
        <v>15849</v>
      </c>
      <c r="F6347" s="142" t="s">
        <v>1476</v>
      </c>
      <c r="G6347" s="142" t="s">
        <v>1475</v>
      </c>
      <c r="H6347" s="142" t="s">
        <v>22197</v>
      </c>
      <c r="I6347" s="142">
        <v>334</v>
      </c>
      <c r="J6347" s="142">
        <v>329</v>
      </c>
      <c r="K6347" s="142">
        <v>0</v>
      </c>
      <c r="L6347" s="142">
        <v>0</v>
      </c>
      <c r="M6347" s="142">
        <v>5</v>
      </c>
    </row>
    <row r="6348" spans="1:13" x14ac:dyDescent="0.45">
      <c r="A6348" s="142" t="s">
        <v>13198</v>
      </c>
      <c r="B6348" s="142" t="s">
        <v>15602</v>
      </c>
      <c r="C6348" s="142" t="s">
        <v>15847</v>
      </c>
      <c r="D6348" s="142" t="s">
        <v>15848</v>
      </c>
      <c r="E6348" s="142" t="s">
        <v>15849</v>
      </c>
      <c r="F6348" s="142" t="s">
        <v>1476</v>
      </c>
      <c r="G6348" s="142" t="s">
        <v>1475</v>
      </c>
      <c r="H6348" s="142" t="s">
        <v>22198</v>
      </c>
      <c r="I6348" s="142">
        <v>11072</v>
      </c>
      <c r="J6348" s="142">
        <v>9075</v>
      </c>
      <c r="K6348" s="142">
        <v>6</v>
      </c>
      <c r="L6348" s="142">
        <v>1375</v>
      </c>
      <c r="M6348" s="142">
        <v>616</v>
      </c>
    </row>
    <row r="6349" spans="1:13" x14ac:dyDescent="0.45">
      <c r="A6349" s="142" t="s">
        <v>13049</v>
      </c>
      <c r="B6349" s="142" t="s">
        <v>14534</v>
      </c>
      <c r="C6349" s="142" t="s">
        <v>15860</v>
      </c>
      <c r="D6349" s="142" t="s">
        <v>15861</v>
      </c>
      <c r="E6349" s="142" t="s">
        <v>15849</v>
      </c>
      <c r="F6349" s="142" t="s">
        <v>1476</v>
      </c>
      <c r="G6349" s="142" t="s">
        <v>1475</v>
      </c>
      <c r="H6349" s="142" t="s">
        <v>22199</v>
      </c>
      <c r="I6349" s="142">
        <v>4</v>
      </c>
      <c r="J6349" s="142">
        <v>0</v>
      </c>
      <c r="K6349" s="142">
        <v>0</v>
      </c>
      <c r="L6349" s="142">
        <v>4</v>
      </c>
      <c r="M6349" s="142">
        <v>0</v>
      </c>
    </row>
    <row r="6350" spans="1:13" x14ac:dyDescent="0.45">
      <c r="A6350" s="142" t="s">
        <v>13168</v>
      </c>
      <c r="B6350" s="142" t="s">
        <v>14486</v>
      </c>
      <c r="C6350" s="142" t="s">
        <v>15860</v>
      </c>
      <c r="D6350" s="142" t="s">
        <v>15861</v>
      </c>
      <c r="E6350" s="142" t="s">
        <v>15849</v>
      </c>
      <c r="F6350" s="142" t="s">
        <v>1476</v>
      </c>
      <c r="G6350" s="142" t="s">
        <v>1475</v>
      </c>
      <c r="H6350" s="142" t="s">
        <v>22200</v>
      </c>
      <c r="I6350" s="142">
        <v>40</v>
      </c>
      <c r="J6350" s="142">
        <v>0</v>
      </c>
      <c r="K6350" s="142">
        <v>0</v>
      </c>
      <c r="L6350" s="142">
        <v>40</v>
      </c>
      <c r="M6350" s="142">
        <v>0</v>
      </c>
    </row>
    <row r="6351" spans="1:13" x14ac:dyDescent="0.45">
      <c r="A6351" s="142" t="s">
        <v>13026</v>
      </c>
      <c r="B6351" s="142" t="s">
        <v>15447</v>
      </c>
      <c r="C6351" s="142" t="s">
        <v>15847</v>
      </c>
      <c r="D6351" s="142" t="s">
        <v>15848</v>
      </c>
      <c r="E6351" s="142" t="s">
        <v>15849</v>
      </c>
      <c r="F6351" s="142" t="s">
        <v>1476</v>
      </c>
      <c r="G6351" s="142" t="s">
        <v>1475</v>
      </c>
      <c r="H6351" s="142" t="s">
        <v>22201</v>
      </c>
      <c r="I6351" s="142">
        <v>26</v>
      </c>
      <c r="J6351" s="142">
        <v>10</v>
      </c>
      <c r="K6351" s="142">
        <v>16</v>
      </c>
      <c r="L6351" s="142">
        <v>0</v>
      </c>
      <c r="M6351" s="142">
        <v>0</v>
      </c>
    </row>
    <row r="6352" spans="1:13" x14ac:dyDescent="0.45">
      <c r="A6352" s="142" t="s">
        <v>13027</v>
      </c>
      <c r="B6352" s="142" t="s">
        <v>14562</v>
      </c>
      <c r="C6352" s="142" t="s">
        <v>15847</v>
      </c>
      <c r="D6352" s="142" t="s">
        <v>15848</v>
      </c>
      <c r="E6352" s="142" t="s">
        <v>15849</v>
      </c>
      <c r="F6352" s="142" t="s">
        <v>1476</v>
      </c>
      <c r="G6352" s="142" t="s">
        <v>1475</v>
      </c>
      <c r="H6352" s="142" t="s">
        <v>22202</v>
      </c>
      <c r="I6352" s="142">
        <v>17</v>
      </c>
      <c r="J6352" s="142">
        <v>0</v>
      </c>
      <c r="K6352" s="142">
        <v>0</v>
      </c>
      <c r="L6352" s="142">
        <v>17</v>
      </c>
      <c r="M6352" s="142">
        <v>0</v>
      </c>
    </row>
    <row r="6353" spans="1:13" x14ac:dyDescent="0.45">
      <c r="A6353" s="142" t="s">
        <v>13001</v>
      </c>
      <c r="B6353" s="142" t="s">
        <v>15506</v>
      </c>
      <c r="C6353" s="142" t="s">
        <v>15847</v>
      </c>
      <c r="D6353" s="142" t="s">
        <v>15848</v>
      </c>
      <c r="E6353" s="142" t="s">
        <v>15849</v>
      </c>
      <c r="F6353" s="142" t="s">
        <v>1476</v>
      </c>
      <c r="G6353" s="142" t="s">
        <v>1475</v>
      </c>
      <c r="H6353" s="142" t="s">
        <v>22203</v>
      </c>
      <c r="I6353" s="142">
        <v>7</v>
      </c>
      <c r="J6353" s="142">
        <v>7</v>
      </c>
      <c r="K6353" s="142">
        <v>0</v>
      </c>
      <c r="L6353" s="142">
        <v>0</v>
      </c>
      <c r="M6353" s="142">
        <v>0</v>
      </c>
    </row>
    <row r="6354" spans="1:13" x14ac:dyDescent="0.45">
      <c r="A6354" s="142" t="s">
        <v>13028</v>
      </c>
      <c r="B6354" s="142" t="s">
        <v>14462</v>
      </c>
      <c r="C6354" s="142" t="s">
        <v>15847</v>
      </c>
      <c r="D6354" s="142" t="s">
        <v>15848</v>
      </c>
      <c r="E6354" s="142" t="s">
        <v>15849</v>
      </c>
      <c r="F6354" s="142" t="s">
        <v>1476</v>
      </c>
      <c r="G6354" s="142" t="s">
        <v>1475</v>
      </c>
      <c r="H6354" s="142" t="s">
        <v>22204</v>
      </c>
      <c r="I6354" s="142">
        <v>166</v>
      </c>
      <c r="J6354" s="142">
        <v>0</v>
      </c>
      <c r="K6354" s="142">
        <v>0</v>
      </c>
      <c r="L6354" s="142">
        <v>0</v>
      </c>
      <c r="M6354" s="142">
        <v>166</v>
      </c>
    </row>
    <row r="6355" spans="1:13" x14ac:dyDescent="0.45">
      <c r="A6355" s="142" t="s">
        <v>13002</v>
      </c>
      <c r="B6355" s="142" t="s">
        <v>15376</v>
      </c>
      <c r="C6355" s="142" t="s">
        <v>15847</v>
      </c>
      <c r="D6355" s="142" t="s">
        <v>15848</v>
      </c>
      <c r="E6355" s="142" t="s">
        <v>15849</v>
      </c>
      <c r="F6355" s="142" t="s">
        <v>1476</v>
      </c>
      <c r="G6355" s="142" t="s">
        <v>1475</v>
      </c>
      <c r="H6355" s="142" t="s">
        <v>22205</v>
      </c>
      <c r="I6355" s="142">
        <v>513</v>
      </c>
      <c r="J6355" s="142">
        <v>457</v>
      </c>
      <c r="K6355" s="142">
        <v>0</v>
      </c>
      <c r="L6355" s="142">
        <v>31</v>
      </c>
      <c r="M6355" s="142">
        <v>25</v>
      </c>
    </row>
    <row r="6356" spans="1:13" x14ac:dyDescent="0.45">
      <c r="A6356" s="142" t="s">
        <v>13003</v>
      </c>
      <c r="B6356" s="142" t="s">
        <v>15245</v>
      </c>
      <c r="C6356" s="142" t="s">
        <v>15847</v>
      </c>
      <c r="D6356" s="142" t="s">
        <v>15848</v>
      </c>
      <c r="E6356" s="142" t="s">
        <v>15849</v>
      </c>
      <c r="F6356" s="142" t="s">
        <v>1476</v>
      </c>
      <c r="G6356" s="142" t="s">
        <v>1475</v>
      </c>
      <c r="H6356" s="142" t="s">
        <v>22206</v>
      </c>
      <c r="I6356" s="142">
        <v>130</v>
      </c>
      <c r="J6356" s="142">
        <v>0</v>
      </c>
      <c r="K6356" s="142">
        <v>0</v>
      </c>
      <c r="L6356" s="142">
        <v>130</v>
      </c>
      <c r="M6356" s="142">
        <v>0</v>
      </c>
    </row>
    <row r="6357" spans="1:13" x14ac:dyDescent="0.45">
      <c r="A6357" s="142" t="s">
        <v>13426</v>
      </c>
      <c r="B6357" s="142" t="s">
        <v>15285</v>
      </c>
      <c r="C6357" s="142" t="s">
        <v>15847</v>
      </c>
      <c r="D6357" s="142" t="s">
        <v>15848</v>
      </c>
      <c r="E6357" s="142" t="s">
        <v>15849</v>
      </c>
      <c r="F6357" s="142" t="s">
        <v>1476</v>
      </c>
      <c r="G6357" s="142" t="s">
        <v>1475</v>
      </c>
      <c r="H6357" s="142" t="s">
        <v>22207</v>
      </c>
      <c r="I6357" s="142">
        <v>1</v>
      </c>
      <c r="J6357" s="142">
        <v>1</v>
      </c>
      <c r="K6357" s="142">
        <v>0</v>
      </c>
      <c r="L6357" s="142">
        <v>0</v>
      </c>
      <c r="M6357" s="142">
        <v>0</v>
      </c>
    </row>
    <row r="6358" spans="1:13" x14ac:dyDescent="0.45">
      <c r="A6358" s="142" t="s">
        <v>13004</v>
      </c>
      <c r="B6358" s="142" t="s">
        <v>15492</v>
      </c>
      <c r="C6358" s="142" t="s">
        <v>15847</v>
      </c>
      <c r="D6358" s="142" t="s">
        <v>15848</v>
      </c>
      <c r="E6358" s="142" t="s">
        <v>15849</v>
      </c>
      <c r="F6358" s="142" t="s">
        <v>1476</v>
      </c>
      <c r="G6358" s="142" t="s">
        <v>1475</v>
      </c>
      <c r="H6358" s="142" t="s">
        <v>22208</v>
      </c>
      <c r="I6358" s="142">
        <v>972</v>
      </c>
      <c r="J6358" s="142">
        <v>669</v>
      </c>
      <c r="K6358" s="142">
        <v>3</v>
      </c>
      <c r="L6358" s="142">
        <v>289</v>
      </c>
      <c r="M6358" s="142">
        <v>11</v>
      </c>
    </row>
    <row r="6359" spans="1:13" x14ac:dyDescent="0.45">
      <c r="A6359" s="142" t="s">
        <v>13200</v>
      </c>
      <c r="B6359" s="142" t="s">
        <v>15214</v>
      </c>
      <c r="C6359" s="142" t="s">
        <v>15860</v>
      </c>
      <c r="D6359" s="142" t="s">
        <v>15861</v>
      </c>
      <c r="E6359" s="142" t="s">
        <v>15849</v>
      </c>
      <c r="F6359" s="142" t="s">
        <v>1476</v>
      </c>
      <c r="G6359" s="142" t="s">
        <v>1475</v>
      </c>
      <c r="H6359" s="142" t="s">
        <v>22209</v>
      </c>
      <c r="I6359" s="142">
        <v>2</v>
      </c>
      <c r="J6359" s="142">
        <v>0</v>
      </c>
      <c r="K6359" s="142">
        <v>0</v>
      </c>
      <c r="L6359" s="142">
        <v>2</v>
      </c>
      <c r="M6359" s="142">
        <v>0</v>
      </c>
    </row>
    <row r="6360" spans="1:13" x14ac:dyDescent="0.45">
      <c r="A6360" s="142" t="s">
        <v>13066</v>
      </c>
      <c r="B6360" s="142" t="s">
        <v>14459</v>
      </c>
      <c r="C6360" s="142" t="s">
        <v>15847</v>
      </c>
      <c r="D6360" s="142" t="s">
        <v>15848</v>
      </c>
      <c r="E6360" s="142" t="s">
        <v>15849</v>
      </c>
      <c r="F6360" s="142" t="s">
        <v>1476</v>
      </c>
      <c r="G6360" s="142" t="s">
        <v>1475</v>
      </c>
      <c r="H6360" s="142" t="s">
        <v>22210</v>
      </c>
      <c r="I6360" s="142">
        <v>22</v>
      </c>
      <c r="J6360" s="142">
        <v>0</v>
      </c>
      <c r="K6360" s="142">
        <v>0</v>
      </c>
      <c r="L6360" s="142">
        <v>22</v>
      </c>
      <c r="M6360" s="142">
        <v>0</v>
      </c>
    </row>
    <row r="6361" spans="1:13" x14ac:dyDescent="0.45">
      <c r="A6361" s="142" t="s">
        <v>13005</v>
      </c>
      <c r="B6361" s="142" t="s">
        <v>15475</v>
      </c>
      <c r="C6361" s="142" t="s">
        <v>15847</v>
      </c>
      <c r="D6361" s="142" t="s">
        <v>15848</v>
      </c>
      <c r="E6361" s="142" t="s">
        <v>15849</v>
      </c>
      <c r="F6361" s="142" t="s">
        <v>1476</v>
      </c>
      <c r="G6361" s="142" t="s">
        <v>1475</v>
      </c>
      <c r="H6361" s="142" t="s">
        <v>22211</v>
      </c>
      <c r="I6361" s="142">
        <v>1</v>
      </c>
      <c r="J6361" s="142">
        <v>0</v>
      </c>
      <c r="K6361" s="142">
        <v>0</v>
      </c>
      <c r="L6361" s="142">
        <v>0</v>
      </c>
      <c r="M6361" s="142">
        <v>1</v>
      </c>
    </row>
    <row r="6362" spans="1:13" x14ac:dyDescent="0.45">
      <c r="A6362" s="142" t="s">
        <v>13284</v>
      </c>
      <c r="B6362" s="142" t="s">
        <v>15364</v>
      </c>
      <c r="C6362" s="142" t="s">
        <v>15847</v>
      </c>
      <c r="D6362" s="142" t="s">
        <v>15848</v>
      </c>
      <c r="E6362" s="142" t="s">
        <v>15849</v>
      </c>
      <c r="F6362" s="142" t="s">
        <v>1476</v>
      </c>
      <c r="G6362" s="142" t="s">
        <v>1475</v>
      </c>
      <c r="H6362" s="142" t="s">
        <v>22212</v>
      </c>
      <c r="I6362" s="142">
        <v>28</v>
      </c>
      <c r="J6362" s="142">
        <v>23</v>
      </c>
      <c r="K6362" s="142">
        <v>0</v>
      </c>
      <c r="L6362" s="142">
        <v>0</v>
      </c>
      <c r="M6362" s="142">
        <v>5</v>
      </c>
    </row>
    <row r="6363" spans="1:13" x14ac:dyDescent="0.45">
      <c r="A6363" s="142" t="s">
        <v>13217</v>
      </c>
      <c r="B6363" s="142" t="s">
        <v>14578</v>
      </c>
      <c r="C6363" s="142" t="s">
        <v>15860</v>
      </c>
      <c r="D6363" s="142" t="s">
        <v>15861</v>
      </c>
      <c r="E6363" s="142" t="s">
        <v>15849</v>
      </c>
      <c r="F6363" s="142" t="s">
        <v>1476</v>
      </c>
      <c r="G6363" s="142" t="s">
        <v>1475</v>
      </c>
      <c r="H6363" s="142" t="s">
        <v>22213</v>
      </c>
      <c r="I6363" s="142">
        <v>17</v>
      </c>
      <c r="J6363" s="142">
        <v>17</v>
      </c>
      <c r="K6363" s="142">
        <v>0</v>
      </c>
      <c r="L6363" s="142">
        <v>0</v>
      </c>
      <c r="M6363" s="142">
        <v>0</v>
      </c>
    </row>
    <row r="6364" spans="1:13" x14ac:dyDescent="0.45">
      <c r="A6364" s="142" t="s">
        <v>13033</v>
      </c>
      <c r="B6364" s="142" t="s">
        <v>15276</v>
      </c>
      <c r="C6364" s="142" t="s">
        <v>15847</v>
      </c>
      <c r="D6364" s="142" t="s">
        <v>15848</v>
      </c>
      <c r="E6364" s="142" t="s">
        <v>15849</v>
      </c>
      <c r="F6364" s="142" t="s">
        <v>1476</v>
      </c>
      <c r="G6364" s="142" t="s">
        <v>1475</v>
      </c>
      <c r="H6364" s="142" t="s">
        <v>22214</v>
      </c>
      <c r="I6364" s="142">
        <v>70</v>
      </c>
      <c r="J6364" s="142">
        <v>70</v>
      </c>
      <c r="K6364" s="142">
        <v>0</v>
      </c>
      <c r="L6364" s="142">
        <v>0</v>
      </c>
      <c r="M6364" s="142">
        <v>0</v>
      </c>
    </row>
    <row r="6365" spans="1:13" x14ac:dyDescent="0.45">
      <c r="A6365" s="142" t="s">
        <v>13034</v>
      </c>
      <c r="B6365" s="142" t="s">
        <v>15562</v>
      </c>
      <c r="C6365" s="142" t="s">
        <v>15847</v>
      </c>
      <c r="D6365" s="142" t="s">
        <v>15848</v>
      </c>
      <c r="E6365" s="142" t="s">
        <v>15849</v>
      </c>
      <c r="F6365" s="142" t="s">
        <v>1476</v>
      </c>
      <c r="G6365" s="142" t="s">
        <v>1475</v>
      </c>
      <c r="H6365" s="142" t="s">
        <v>22215</v>
      </c>
      <c r="I6365" s="142">
        <v>39</v>
      </c>
      <c r="J6365" s="142">
        <v>17</v>
      </c>
      <c r="K6365" s="142">
        <v>0</v>
      </c>
      <c r="L6365" s="142">
        <v>22</v>
      </c>
      <c r="M6365" s="142">
        <v>0</v>
      </c>
    </row>
    <row r="6366" spans="1:13" x14ac:dyDescent="0.45">
      <c r="A6366" s="142" t="s">
        <v>13035</v>
      </c>
      <c r="B6366" s="142" t="s">
        <v>14648</v>
      </c>
      <c r="C6366" s="142" t="s">
        <v>15847</v>
      </c>
      <c r="D6366" s="142" t="s">
        <v>15848</v>
      </c>
      <c r="E6366" s="142" t="s">
        <v>15849</v>
      </c>
      <c r="F6366" s="142" t="s">
        <v>1476</v>
      </c>
      <c r="G6366" s="142" t="s">
        <v>1475</v>
      </c>
      <c r="H6366" s="142" t="s">
        <v>22216</v>
      </c>
      <c r="I6366" s="142">
        <v>56</v>
      </c>
      <c r="J6366" s="142">
        <v>30</v>
      </c>
      <c r="K6366" s="142">
        <v>0</v>
      </c>
      <c r="L6366" s="142">
        <v>0</v>
      </c>
      <c r="M6366" s="142">
        <v>26</v>
      </c>
    </row>
    <row r="6367" spans="1:13" x14ac:dyDescent="0.45">
      <c r="A6367" s="142" t="s">
        <v>13090</v>
      </c>
      <c r="B6367" s="142" t="s">
        <v>15600</v>
      </c>
      <c r="C6367" s="142" t="s">
        <v>15847</v>
      </c>
      <c r="D6367" s="142" t="s">
        <v>15848</v>
      </c>
      <c r="E6367" s="142" t="s">
        <v>15849</v>
      </c>
      <c r="F6367" s="142" t="s">
        <v>1476</v>
      </c>
      <c r="G6367" s="142" t="s">
        <v>1475</v>
      </c>
      <c r="H6367" s="142" t="s">
        <v>22217</v>
      </c>
      <c r="I6367" s="142">
        <v>1</v>
      </c>
      <c r="J6367" s="142">
        <v>0</v>
      </c>
      <c r="K6367" s="142">
        <v>0</v>
      </c>
      <c r="L6367" s="142">
        <v>0</v>
      </c>
      <c r="M6367" s="142">
        <v>1</v>
      </c>
    </row>
    <row r="6368" spans="1:13" x14ac:dyDescent="0.45">
      <c r="A6368" s="142" t="s">
        <v>13038</v>
      </c>
      <c r="B6368" s="142" t="s">
        <v>14646</v>
      </c>
      <c r="C6368" s="142" t="s">
        <v>15847</v>
      </c>
      <c r="D6368" s="142" t="s">
        <v>15848</v>
      </c>
      <c r="E6368" s="142" t="s">
        <v>15849</v>
      </c>
      <c r="F6368" s="142" t="s">
        <v>1476</v>
      </c>
      <c r="G6368" s="142" t="s">
        <v>1475</v>
      </c>
      <c r="H6368" s="142" t="s">
        <v>22218</v>
      </c>
      <c r="I6368" s="142">
        <v>85</v>
      </c>
      <c r="J6368" s="142">
        <v>40</v>
      </c>
      <c r="K6368" s="142">
        <v>0</v>
      </c>
      <c r="L6368" s="142">
        <v>0</v>
      </c>
      <c r="M6368" s="142">
        <v>45</v>
      </c>
    </row>
    <row r="6369" spans="1:13" x14ac:dyDescent="0.45">
      <c r="A6369" s="142" t="s">
        <v>13039</v>
      </c>
      <c r="B6369" s="142" t="s">
        <v>14647</v>
      </c>
      <c r="C6369" s="142" t="s">
        <v>15847</v>
      </c>
      <c r="D6369" s="142" t="s">
        <v>15848</v>
      </c>
      <c r="E6369" s="142" t="s">
        <v>15849</v>
      </c>
      <c r="F6369" s="142" t="s">
        <v>1476</v>
      </c>
      <c r="G6369" s="142" t="s">
        <v>1475</v>
      </c>
      <c r="H6369" s="142" t="s">
        <v>22219</v>
      </c>
      <c r="I6369" s="142">
        <v>44</v>
      </c>
      <c r="J6369" s="142">
        <v>44</v>
      </c>
      <c r="K6369" s="142">
        <v>0</v>
      </c>
      <c r="L6369" s="142">
        <v>0</v>
      </c>
      <c r="M6369" s="142">
        <v>0</v>
      </c>
    </row>
    <row r="6370" spans="1:13" x14ac:dyDescent="0.45">
      <c r="A6370" s="142" t="s">
        <v>13041</v>
      </c>
      <c r="B6370" s="142" t="s">
        <v>14441</v>
      </c>
      <c r="C6370" s="142" t="s">
        <v>15847</v>
      </c>
      <c r="D6370" s="142" t="s">
        <v>15848</v>
      </c>
      <c r="E6370" s="142" t="s">
        <v>15849</v>
      </c>
      <c r="F6370" s="142" t="s">
        <v>1476</v>
      </c>
      <c r="G6370" s="142" t="s">
        <v>1475</v>
      </c>
      <c r="H6370" s="142" t="s">
        <v>22220</v>
      </c>
      <c r="I6370" s="142">
        <v>8</v>
      </c>
      <c r="J6370" s="142">
        <v>0</v>
      </c>
      <c r="K6370" s="142">
        <v>0</v>
      </c>
      <c r="L6370" s="142">
        <v>0</v>
      </c>
      <c r="M6370" s="142">
        <v>8</v>
      </c>
    </row>
    <row r="6371" spans="1:13" x14ac:dyDescent="0.45">
      <c r="A6371" s="142" t="s">
        <v>13012</v>
      </c>
      <c r="B6371" s="142" t="s">
        <v>15337</v>
      </c>
      <c r="C6371" s="142" t="s">
        <v>15847</v>
      </c>
      <c r="D6371" s="142" t="s">
        <v>15848</v>
      </c>
      <c r="E6371" s="142" t="s">
        <v>15849</v>
      </c>
      <c r="F6371" s="142" t="s">
        <v>1476</v>
      </c>
      <c r="G6371" s="142" t="s">
        <v>1475</v>
      </c>
      <c r="H6371" s="142" t="s">
        <v>22221</v>
      </c>
      <c r="I6371" s="142">
        <v>5</v>
      </c>
      <c r="J6371" s="142">
        <v>0</v>
      </c>
      <c r="K6371" s="142">
        <v>0</v>
      </c>
      <c r="L6371" s="142">
        <v>5</v>
      </c>
      <c r="M6371" s="142">
        <v>0</v>
      </c>
    </row>
    <row r="6372" spans="1:13" x14ac:dyDescent="0.45">
      <c r="A6372" s="142" t="s">
        <v>13138</v>
      </c>
      <c r="B6372" s="142" t="s">
        <v>14590</v>
      </c>
      <c r="C6372" s="142" t="s">
        <v>15860</v>
      </c>
      <c r="D6372" s="142" t="s">
        <v>15861</v>
      </c>
      <c r="E6372" s="142" t="s">
        <v>15849</v>
      </c>
      <c r="F6372" s="142" t="s">
        <v>1476</v>
      </c>
      <c r="G6372" s="142" t="s">
        <v>1475</v>
      </c>
      <c r="H6372" s="142" t="s">
        <v>22222</v>
      </c>
      <c r="I6372" s="142">
        <v>28</v>
      </c>
      <c r="J6372" s="142">
        <v>28</v>
      </c>
      <c r="K6372" s="142">
        <v>0</v>
      </c>
      <c r="L6372" s="142">
        <v>0</v>
      </c>
      <c r="M6372" s="142">
        <v>0</v>
      </c>
    </row>
    <row r="6373" spans="1:13" x14ac:dyDescent="0.45">
      <c r="A6373" s="142" t="s">
        <v>13014</v>
      </c>
      <c r="B6373" s="142" t="s">
        <v>14505</v>
      </c>
      <c r="C6373" s="142" t="s">
        <v>15847</v>
      </c>
      <c r="D6373" s="142" t="s">
        <v>15848</v>
      </c>
      <c r="E6373" s="142" t="s">
        <v>15849</v>
      </c>
      <c r="F6373" s="142" t="s">
        <v>1476</v>
      </c>
      <c r="G6373" s="142" t="s">
        <v>1475</v>
      </c>
      <c r="H6373" s="142" t="s">
        <v>22223</v>
      </c>
      <c r="I6373" s="142">
        <v>3</v>
      </c>
      <c r="J6373" s="142">
        <v>3</v>
      </c>
      <c r="K6373" s="142">
        <v>0</v>
      </c>
      <c r="L6373" s="142">
        <v>0</v>
      </c>
      <c r="M6373" s="142">
        <v>0</v>
      </c>
    </row>
    <row r="6374" spans="1:13" x14ac:dyDescent="0.45">
      <c r="A6374" s="142" t="s">
        <v>13165</v>
      </c>
      <c r="B6374" s="142" t="s">
        <v>15525</v>
      </c>
      <c r="C6374" s="142" t="s">
        <v>15860</v>
      </c>
      <c r="D6374" s="142" t="s">
        <v>15861</v>
      </c>
      <c r="E6374" s="142" t="s">
        <v>15849</v>
      </c>
      <c r="F6374" s="142" t="s">
        <v>1476</v>
      </c>
      <c r="G6374" s="142" t="s">
        <v>1475</v>
      </c>
      <c r="H6374" s="142" t="s">
        <v>22224</v>
      </c>
      <c r="I6374" s="142">
        <v>31</v>
      </c>
      <c r="J6374" s="142">
        <v>0</v>
      </c>
      <c r="K6374" s="142">
        <v>0</v>
      </c>
      <c r="L6374" s="142">
        <v>31</v>
      </c>
      <c r="M6374" s="142">
        <v>0</v>
      </c>
    </row>
    <row r="6375" spans="1:13" x14ac:dyDescent="0.45">
      <c r="A6375" s="142" t="s">
        <v>13016</v>
      </c>
      <c r="B6375" s="142" t="s">
        <v>14535</v>
      </c>
      <c r="C6375" s="142" t="s">
        <v>15860</v>
      </c>
      <c r="D6375" s="142" t="s">
        <v>15861</v>
      </c>
      <c r="E6375" s="142" t="s">
        <v>15849</v>
      </c>
      <c r="F6375" s="142" t="s">
        <v>1476</v>
      </c>
      <c r="G6375" s="142" t="s">
        <v>1475</v>
      </c>
      <c r="H6375" s="142" t="s">
        <v>22225</v>
      </c>
      <c r="I6375" s="142">
        <v>22</v>
      </c>
      <c r="J6375" s="142">
        <v>0</v>
      </c>
      <c r="K6375" s="142">
        <v>0</v>
      </c>
      <c r="L6375" s="142">
        <v>22</v>
      </c>
      <c r="M6375" s="142">
        <v>0</v>
      </c>
    </row>
    <row r="6376" spans="1:13" x14ac:dyDescent="0.45">
      <c r="A6376" s="142" t="s">
        <v>13144</v>
      </c>
      <c r="B6376" s="142" t="s">
        <v>14464</v>
      </c>
      <c r="C6376" s="142" t="s">
        <v>15860</v>
      </c>
      <c r="D6376" s="142" t="s">
        <v>15861</v>
      </c>
      <c r="E6376" s="142" t="s">
        <v>15849</v>
      </c>
      <c r="F6376" s="142" t="s">
        <v>1476</v>
      </c>
      <c r="G6376" s="142" t="s">
        <v>1475</v>
      </c>
      <c r="H6376" s="142" t="s">
        <v>22226</v>
      </c>
      <c r="I6376" s="142">
        <v>11</v>
      </c>
      <c r="J6376" s="142">
        <v>0</v>
      </c>
      <c r="K6376" s="142">
        <v>0</v>
      </c>
      <c r="L6376" s="142">
        <v>11</v>
      </c>
      <c r="M6376" s="142">
        <v>0</v>
      </c>
    </row>
    <row r="6377" spans="1:13" x14ac:dyDescent="0.45">
      <c r="A6377" s="142" t="s">
        <v>13416</v>
      </c>
      <c r="B6377" s="142" t="s">
        <v>15225</v>
      </c>
      <c r="C6377" s="142" t="s">
        <v>15860</v>
      </c>
      <c r="D6377" s="142" t="s">
        <v>15861</v>
      </c>
      <c r="E6377" s="142" t="s">
        <v>15849</v>
      </c>
      <c r="F6377" s="142" t="s">
        <v>1476</v>
      </c>
      <c r="G6377" s="142" t="s">
        <v>1475</v>
      </c>
      <c r="H6377" s="142" t="s">
        <v>22227</v>
      </c>
      <c r="I6377" s="142">
        <v>118</v>
      </c>
      <c r="J6377" s="142">
        <v>0</v>
      </c>
      <c r="K6377" s="142">
        <v>0</v>
      </c>
      <c r="L6377" s="142">
        <v>118</v>
      </c>
      <c r="M6377" s="142">
        <v>0</v>
      </c>
    </row>
    <row r="6378" spans="1:13" x14ac:dyDescent="0.45">
      <c r="A6378" s="142" t="s">
        <v>13207</v>
      </c>
      <c r="B6378" s="142" t="s">
        <v>15558</v>
      </c>
      <c r="C6378" s="142" t="s">
        <v>15847</v>
      </c>
      <c r="D6378" s="142" t="s">
        <v>15848</v>
      </c>
      <c r="E6378" s="142" t="s">
        <v>15849</v>
      </c>
      <c r="F6378" s="142" t="s">
        <v>1476</v>
      </c>
      <c r="G6378" s="142" t="s">
        <v>1475</v>
      </c>
      <c r="H6378" s="142" t="s">
        <v>22228</v>
      </c>
      <c r="I6378" s="142">
        <v>515</v>
      </c>
      <c r="J6378" s="142">
        <v>336</v>
      </c>
      <c r="K6378" s="142">
        <v>0</v>
      </c>
      <c r="L6378" s="142">
        <v>0</v>
      </c>
      <c r="M6378" s="142">
        <v>179</v>
      </c>
    </row>
    <row r="6379" spans="1:13" x14ac:dyDescent="0.45">
      <c r="A6379" s="142" t="s">
        <v>13021</v>
      </c>
      <c r="B6379" s="142" t="s">
        <v>15501</v>
      </c>
      <c r="C6379" s="142" t="s">
        <v>15847</v>
      </c>
      <c r="D6379" s="142" t="s">
        <v>15848</v>
      </c>
      <c r="E6379" s="142" t="s">
        <v>15849</v>
      </c>
      <c r="F6379" s="142" t="s">
        <v>1352</v>
      </c>
      <c r="G6379" s="142" t="s">
        <v>1351</v>
      </c>
      <c r="H6379" s="142" t="s">
        <v>22229</v>
      </c>
      <c r="I6379" s="142">
        <v>17</v>
      </c>
      <c r="J6379" s="142">
        <v>0</v>
      </c>
      <c r="K6379" s="142">
        <v>0</v>
      </c>
      <c r="L6379" s="142">
        <v>0</v>
      </c>
      <c r="M6379" s="142">
        <v>17</v>
      </c>
    </row>
    <row r="6380" spans="1:13" x14ac:dyDescent="0.45">
      <c r="A6380" s="142" t="s">
        <v>13023</v>
      </c>
      <c r="B6380" s="142" t="s">
        <v>15571</v>
      </c>
      <c r="C6380" s="142" t="s">
        <v>15847</v>
      </c>
      <c r="D6380" s="142" t="s">
        <v>15848</v>
      </c>
      <c r="E6380" s="142" t="s">
        <v>15849</v>
      </c>
      <c r="F6380" s="142" t="s">
        <v>1352</v>
      </c>
      <c r="G6380" s="142" t="s">
        <v>1351</v>
      </c>
      <c r="H6380" s="142" t="s">
        <v>22230</v>
      </c>
      <c r="I6380" s="142">
        <v>123</v>
      </c>
      <c r="J6380" s="142">
        <v>0</v>
      </c>
      <c r="K6380" s="142">
        <v>0</v>
      </c>
      <c r="L6380" s="142">
        <v>123</v>
      </c>
      <c r="M6380" s="142">
        <v>0</v>
      </c>
    </row>
    <row r="6381" spans="1:13" x14ac:dyDescent="0.45">
      <c r="A6381" s="142" t="s">
        <v>13048</v>
      </c>
      <c r="B6381" s="142" t="s">
        <v>14479</v>
      </c>
      <c r="C6381" s="142" t="s">
        <v>15847</v>
      </c>
      <c r="D6381" s="142" t="s">
        <v>15848</v>
      </c>
      <c r="E6381" s="142" t="s">
        <v>15849</v>
      </c>
      <c r="F6381" s="142" t="s">
        <v>1352</v>
      </c>
      <c r="G6381" s="142" t="s">
        <v>1351</v>
      </c>
      <c r="H6381" s="142" t="s">
        <v>22231</v>
      </c>
      <c r="I6381" s="142">
        <v>405</v>
      </c>
      <c r="J6381" s="142">
        <v>231</v>
      </c>
      <c r="K6381" s="142">
        <v>0</v>
      </c>
      <c r="L6381" s="142">
        <v>123</v>
      </c>
      <c r="M6381" s="142">
        <v>51</v>
      </c>
    </row>
    <row r="6382" spans="1:13" x14ac:dyDescent="0.45">
      <c r="A6382" s="142" t="s">
        <v>13301</v>
      </c>
      <c r="B6382" s="142" t="s">
        <v>15496</v>
      </c>
      <c r="C6382" s="142" t="s">
        <v>15847</v>
      </c>
      <c r="D6382" s="142" t="s">
        <v>15848</v>
      </c>
      <c r="E6382" s="142" t="s">
        <v>15849</v>
      </c>
      <c r="F6382" s="142" t="s">
        <v>1352</v>
      </c>
      <c r="G6382" s="142" t="s">
        <v>1351</v>
      </c>
      <c r="H6382" s="142" t="s">
        <v>22232</v>
      </c>
      <c r="I6382" s="142">
        <v>197</v>
      </c>
      <c r="J6382" s="142">
        <v>41</v>
      </c>
      <c r="K6382" s="142">
        <v>0</v>
      </c>
      <c r="L6382" s="142">
        <v>156</v>
      </c>
      <c r="M6382" s="142">
        <v>0</v>
      </c>
    </row>
    <row r="6383" spans="1:13" x14ac:dyDescent="0.45">
      <c r="A6383" s="142" t="s">
        <v>13528</v>
      </c>
      <c r="B6383" s="142" t="s">
        <v>15218</v>
      </c>
      <c r="C6383" s="142" t="s">
        <v>15860</v>
      </c>
      <c r="D6383" s="142" t="s">
        <v>15861</v>
      </c>
      <c r="E6383" s="142" t="s">
        <v>15849</v>
      </c>
      <c r="F6383" s="142" t="s">
        <v>1352</v>
      </c>
      <c r="G6383" s="142" t="s">
        <v>1351</v>
      </c>
      <c r="H6383" s="142" t="s">
        <v>22233</v>
      </c>
      <c r="I6383" s="142">
        <v>27</v>
      </c>
      <c r="J6383" s="142">
        <v>0</v>
      </c>
      <c r="K6383" s="142">
        <v>0</v>
      </c>
      <c r="L6383" s="142">
        <v>27</v>
      </c>
      <c r="M6383" s="142">
        <v>0</v>
      </c>
    </row>
    <row r="6384" spans="1:13" x14ac:dyDescent="0.45">
      <c r="A6384" s="142" t="s">
        <v>13000</v>
      </c>
      <c r="B6384" s="142" t="s">
        <v>14610</v>
      </c>
      <c r="C6384" s="142" t="s">
        <v>15847</v>
      </c>
      <c r="D6384" s="142" t="s">
        <v>15848</v>
      </c>
      <c r="E6384" s="142" t="s">
        <v>15849</v>
      </c>
      <c r="F6384" s="142" t="s">
        <v>1352</v>
      </c>
      <c r="G6384" s="142" t="s">
        <v>1351</v>
      </c>
      <c r="H6384" s="142" t="s">
        <v>22234</v>
      </c>
      <c r="I6384" s="142">
        <v>1342</v>
      </c>
      <c r="J6384" s="142">
        <v>1276</v>
      </c>
      <c r="K6384" s="142">
        <v>0</v>
      </c>
      <c r="L6384" s="142">
        <v>56</v>
      </c>
      <c r="M6384" s="142">
        <v>10</v>
      </c>
    </row>
    <row r="6385" spans="1:13" x14ac:dyDescent="0.45">
      <c r="A6385" s="142" t="s">
        <v>14108</v>
      </c>
      <c r="B6385" s="142" t="s">
        <v>14934</v>
      </c>
      <c r="C6385" s="142" t="s">
        <v>15860</v>
      </c>
      <c r="D6385" s="142" t="s">
        <v>15861</v>
      </c>
      <c r="E6385" s="142" t="s">
        <v>15849</v>
      </c>
      <c r="F6385" s="142" t="s">
        <v>1352</v>
      </c>
      <c r="G6385" s="142" t="s">
        <v>1351</v>
      </c>
      <c r="H6385" s="142" t="s">
        <v>22235</v>
      </c>
      <c r="I6385" s="142">
        <v>2</v>
      </c>
      <c r="J6385" s="142">
        <v>2</v>
      </c>
      <c r="K6385" s="142">
        <v>0</v>
      </c>
      <c r="L6385" s="142">
        <v>0</v>
      </c>
      <c r="M6385" s="142">
        <v>0</v>
      </c>
    </row>
    <row r="6386" spans="1:13" x14ac:dyDescent="0.45">
      <c r="A6386" s="142" t="s">
        <v>13099</v>
      </c>
      <c r="B6386" s="142" t="s">
        <v>14547</v>
      </c>
      <c r="C6386" s="142" t="s">
        <v>15860</v>
      </c>
      <c r="D6386" s="142" t="s">
        <v>15861</v>
      </c>
      <c r="E6386" s="142" t="s">
        <v>15849</v>
      </c>
      <c r="F6386" s="142" t="s">
        <v>1352</v>
      </c>
      <c r="G6386" s="142" t="s">
        <v>1351</v>
      </c>
      <c r="H6386" s="142" t="s">
        <v>22236</v>
      </c>
      <c r="I6386" s="142">
        <v>4</v>
      </c>
      <c r="J6386" s="142">
        <v>0</v>
      </c>
      <c r="K6386" s="142">
        <v>0</v>
      </c>
      <c r="L6386" s="142">
        <v>4</v>
      </c>
      <c r="M6386" s="142">
        <v>0</v>
      </c>
    </row>
    <row r="6387" spans="1:13" x14ac:dyDescent="0.45">
      <c r="A6387" s="142" t="s">
        <v>13027</v>
      </c>
      <c r="B6387" s="142" t="s">
        <v>14562</v>
      </c>
      <c r="C6387" s="142" t="s">
        <v>15847</v>
      </c>
      <c r="D6387" s="142" t="s">
        <v>15848</v>
      </c>
      <c r="E6387" s="142" t="s">
        <v>15849</v>
      </c>
      <c r="F6387" s="142" t="s">
        <v>1352</v>
      </c>
      <c r="G6387" s="142" t="s">
        <v>1351</v>
      </c>
      <c r="H6387" s="142" t="s">
        <v>22237</v>
      </c>
      <c r="I6387" s="142">
        <v>10</v>
      </c>
      <c r="J6387" s="142">
        <v>0</v>
      </c>
      <c r="K6387" s="142">
        <v>0</v>
      </c>
      <c r="L6387" s="142">
        <v>10</v>
      </c>
      <c r="M6387" s="142">
        <v>0</v>
      </c>
    </row>
    <row r="6388" spans="1:13" x14ac:dyDescent="0.45">
      <c r="A6388" s="142" t="s">
        <v>13050</v>
      </c>
      <c r="B6388" s="142" t="s">
        <v>15237</v>
      </c>
      <c r="C6388" s="142" t="s">
        <v>15847</v>
      </c>
      <c r="D6388" s="142" t="s">
        <v>15848</v>
      </c>
      <c r="E6388" s="142" t="s">
        <v>15849</v>
      </c>
      <c r="F6388" s="142" t="s">
        <v>1352</v>
      </c>
      <c r="G6388" s="142" t="s">
        <v>1351</v>
      </c>
      <c r="H6388" s="142" t="s">
        <v>22238</v>
      </c>
      <c r="I6388" s="142">
        <v>47</v>
      </c>
      <c r="J6388" s="142">
        <v>47</v>
      </c>
      <c r="K6388" s="142">
        <v>0</v>
      </c>
      <c r="L6388" s="142">
        <v>0</v>
      </c>
      <c r="M6388" s="142">
        <v>0</v>
      </c>
    </row>
    <row r="6389" spans="1:13" x14ac:dyDescent="0.45">
      <c r="A6389" s="142" t="s">
        <v>13028</v>
      </c>
      <c r="B6389" s="142" t="s">
        <v>14462</v>
      </c>
      <c r="C6389" s="142" t="s">
        <v>15847</v>
      </c>
      <c r="D6389" s="142" t="s">
        <v>15848</v>
      </c>
      <c r="E6389" s="142" t="s">
        <v>15849</v>
      </c>
      <c r="F6389" s="142" t="s">
        <v>1352</v>
      </c>
      <c r="G6389" s="142" t="s">
        <v>1351</v>
      </c>
      <c r="H6389" s="142" t="s">
        <v>22239</v>
      </c>
      <c r="I6389" s="142">
        <v>30</v>
      </c>
      <c r="J6389" s="142">
        <v>0</v>
      </c>
      <c r="K6389" s="142">
        <v>0</v>
      </c>
      <c r="L6389" s="142">
        <v>0</v>
      </c>
      <c r="M6389" s="142">
        <v>30</v>
      </c>
    </row>
    <row r="6390" spans="1:13" x14ac:dyDescent="0.45">
      <c r="A6390" s="142" t="s">
        <v>13003</v>
      </c>
      <c r="B6390" s="142" t="s">
        <v>15245</v>
      </c>
      <c r="C6390" s="142" t="s">
        <v>15847</v>
      </c>
      <c r="D6390" s="142" t="s">
        <v>15848</v>
      </c>
      <c r="E6390" s="142" t="s">
        <v>15849</v>
      </c>
      <c r="F6390" s="142" t="s">
        <v>1352</v>
      </c>
      <c r="G6390" s="142" t="s">
        <v>1351</v>
      </c>
      <c r="H6390" s="142" t="s">
        <v>22240</v>
      </c>
      <c r="I6390" s="142">
        <v>121</v>
      </c>
      <c r="J6390" s="142">
        <v>0</v>
      </c>
      <c r="K6390" s="142">
        <v>0</v>
      </c>
      <c r="L6390" s="142">
        <v>121</v>
      </c>
      <c r="M6390" s="142">
        <v>0</v>
      </c>
    </row>
    <row r="6391" spans="1:13" x14ac:dyDescent="0.45">
      <c r="A6391" s="142" t="s">
        <v>13274</v>
      </c>
      <c r="B6391" s="142" t="s">
        <v>14608</v>
      </c>
      <c r="C6391" s="142" t="s">
        <v>15860</v>
      </c>
      <c r="D6391" s="142" t="s">
        <v>15861</v>
      </c>
      <c r="E6391" s="142" t="s">
        <v>15849</v>
      </c>
      <c r="F6391" s="142" t="s">
        <v>1352</v>
      </c>
      <c r="G6391" s="142" t="s">
        <v>1351</v>
      </c>
      <c r="H6391" s="142" t="s">
        <v>22241</v>
      </c>
      <c r="I6391" s="142">
        <v>12</v>
      </c>
      <c r="J6391" s="142">
        <v>0</v>
      </c>
      <c r="K6391" s="142">
        <v>0</v>
      </c>
      <c r="L6391" s="142">
        <v>12</v>
      </c>
      <c r="M6391" s="142">
        <v>0</v>
      </c>
    </row>
    <row r="6392" spans="1:13" x14ac:dyDescent="0.45">
      <c r="A6392" s="142" t="s">
        <v>13190</v>
      </c>
      <c r="B6392" s="142" t="s">
        <v>14617</v>
      </c>
      <c r="C6392" s="142" t="s">
        <v>15847</v>
      </c>
      <c r="D6392" s="142" t="s">
        <v>15848</v>
      </c>
      <c r="E6392" s="142" t="s">
        <v>15849</v>
      </c>
      <c r="F6392" s="142" t="s">
        <v>1352</v>
      </c>
      <c r="G6392" s="142" t="s">
        <v>1351</v>
      </c>
      <c r="H6392" s="142" t="s">
        <v>22242</v>
      </c>
      <c r="I6392" s="142">
        <v>2903</v>
      </c>
      <c r="J6392" s="142">
        <v>1963</v>
      </c>
      <c r="K6392" s="142">
        <v>6</v>
      </c>
      <c r="L6392" s="142">
        <v>492</v>
      </c>
      <c r="M6392" s="142">
        <v>442</v>
      </c>
    </row>
    <row r="6393" spans="1:13" x14ac:dyDescent="0.45">
      <c r="A6393" s="142" t="s">
        <v>13007</v>
      </c>
      <c r="B6393" s="142" t="s">
        <v>15262</v>
      </c>
      <c r="C6393" s="142" t="s">
        <v>15847</v>
      </c>
      <c r="D6393" s="142" t="s">
        <v>15848</v>
      </c>
      <c r="E6393" s="142" t="s">
        <v>15849</v>
      </c>
      <c r="F6393" s="142" t="s">
        <v>1352</v>
      </c>
      <c r="G6393" s="142" t="s">
        <v>1351</v>
      </c>
      <c r="H6393" s="142" t="s">
        <v>22243</v>
      </c>
      <c r="I6393" s="142">
        <v>4</v>
      </c>
      <c r="J6393" s="142">
        <v>0</v>
      </c>
      <c r="K6393" s="142">
        <v>0</v>
      </c>
      <c r="L6393" s="142">
        <v>0</v>
      </c>
      <c r="M6393" s="142">
        <v>4</v>
      </c>
    </row>
    <row r="6394" spans="1:13" x14ac:dyDescent="0.45">
      <c r="A6394" s="142" t="s">
        <v>14109</v>
      </c>
      <c r="B6394" s="142" t="s">
        <v>14747</v>
      </c>
      <c r="C6394" s="142" t="s">
        <v>15860</v>
      </c>
      <c r="D6394" s="142" t="s">
        <v>15861</v>
      </c>
      <c r="E6394" s="142" t="s">
        <v>15849</v>
      </c>
      <c r="F6394" s="142" t="s">
        <v>1352</v>
      </c>
      <c r="G6394" s="142" t="s">
        <v>1351</v>
      </c>
      <c r="H6394" s="142" t="s">
        <v>22244</v>
      </c>
      <c r="I6394" s="142">
        <v>16</v>
      </c>
      <c r="J6394" s="142">
        <v>0</v>
      </c>
      <c r="K6394" s="142">
        <v>0</v>
      </c>
      <c r="L6394" s="142">
        <v>16</v>
      </c>
      <c r="M6394" s="142">
        <v>0</v>
      </c>
    </row>
    <row r="6395" spans="1:13" x14ac:dyDescent="0.45">
      <c r="A6395" s="142" t="s">
        <v>13033</v>
      </c>
      <c r="B6395" s="142" t="s">
        <v>15276</v>
      </c>
      <c r="C6395" s="142" t="s">
        <v>15847</v>
      </c>
      <c r="D6395" s="142" t="s">
        <v>15848</v>
      </c>
      <c r="E6395" s="142" t="s">
        <v>15849</v>
      </c>
      <c r="F6395" s="142" t="s">
        <v>1352</v>
      </c>
      <c r="G6395" s="142" t="s">
        <v>1351</v>
      </c>
      <c r="H6395" s="142" t="s">
        <v>22245</v>
      </c>
      <c r="I6395" s="142">
        <v>20</v>
      </c>
      <c r="J6395" s="142">
        <v>19</v>
      </c>
      <c r="K6395" s="142">
        <v>0</v>
      </c>
      <c r="L6395" s="142">
        <v>0</v>
      </c>
      <c r="M6395" s="142">
        <v>1</v>
      </c>
    </row>
    <row r="6396" spans="1:13" x14ac:dyDescent="0.45">
      <c r="A6396" s="142" t="s">
        <v>13034</v>
      </c>
      <c r="B6396" s="142" t="s">
        <v>15562</v>
      </c>
      <c r="C6396" s="142" t="s">
        <v>15847</v>
      </c>
      <c r="D6396" s="142" t="s">
        <v>15848</v>
      </c>
      <c r="E6396" s="142" t="s">
        <v>15849</v>
      </c>
      <c r="F6396" s="142" t="s">
        <v>1352</v>
      </c>
      <c r="G6396" s="142" t="s">
        <v>1351</v>
      </c>
      <c r="H6396" s="142" t="s">
        <v>22246</v>
      </c>
      <c r="I6396" s="142">
        <v>6</v>
      </c>
      <c r="J6396" s="142">
        <v>6</v>
      </c>
      <c r="K6396" s="142">
        <v>0</v>
      </c>
      <c r="L6396" s="142">
        <v>0</v>
      </c>
      <c r="M6396" s="142">
        <v>0</v>
      </c>
    </row>
    <row r="6397" spans="1:13" x14ac:dyDescent="0.45">
      <c r="A6397" s="142" t="s">
        <v>14110</v>
      </c>
      <c r="B6397" s="142" t="s">
        <v>14930</v>
      </c>
      <c r="C6397" s="142" t="s">
        <v>15860</v>
      </c>
      <c r="D6397" s="142" t="s">
        <v>15861</v>
      </c>
      <c r="E6397" s="142" t="s">
        <v>15849</v>
      </c>
      <c r="F6397" s="142" t="s">
        <v>1352</v>
      </c>
      <c r="G6397" s="142" t="s">
        <v>1351</v>
      </c>
      <c r="H6397" s="142" t="s">
        <v>22247</v>
      </c>
      <c r="I6397" s="142">
        <v>73</v>
      </c>
      <c r="J6397" s="142">
        <v>0</v>
      </c>
      <c r="K6397" s="142">
        <v>0</v>
      </c>
      <c r="L6397" s="142">
        <v>73</v>
      </c>
      <c r="M6397" s="142">
        <v>0</v>
      </c>
    </row>
    <row r="6398" spans="1:13" x14ac:dyDescent="0.45">
      <c r="A6398" s="142" t="s">
        <v>13536</v>
      </c>
      <c r="B6398" s="142" t="s">
        <v>15484</v>
      </c>
      <c r="C6398" s="142" t="s">
        <v>15847</v>
      </c>
      <c r="D6398" s="142" t="s">
        <v>15848</v>
      </c>
      <c r="E6398" s="142" t="s">
        <v>15849</v>
      </c>
      <c r="F6398" s="142" t="s">
        <v>1352</v>
      </c>
      <c r="G6398" s="142" t="s">
        <v>1351</v>
      </c>
      <c r="H6398" s="142" t="s">
        <v>22248</v>
      </c>
      <c r="I6398" s="142">
        <v>14370</v>
      </c>
      <c r="J6398" s="142">
        <v>12313</v>
      </c>
      <c r="K6398" s="142">
        <v>0</v>
      </c>
      <c r="L6398" s="142">
        <v>1733</v>
      </c>
      <c r="M6398" s="142">
        <v>324</v>
      </c>
    </row>
    <row r="6399" spans="1:13" x14ac:dyDescent="0.45">
      <c r="A6399" s="142" t="s">
        <v>13038</v>
      </c>
      <c r="B6399" s="142" t="s">
        <v>14646</v>
      </c>
      <c r="C6399" s="142" t="s">
        <v>15847</v>
      </c>
      <c r="D6399" s="142" t="s">
        <v>15848</v>
      </c>
      <c r="E6399" s="142" t="s">
        <v>15849</v>
      </c>
      <c r="F6399" s="142" t="s">
        <v>1352</v>
      </c>
      <c r="G6399" s="142" t="s">
        <v>1351</v>
      </c>
      <c r="H6399" s="142" t="s">
        <v>22249</v>
      </c>
      <c r="I6399" s="142">
        <v>7</v>
      </c>
      <c r="J6399" s="142">
        <v>0</v>
      </c>
      <c r="K6399" s="142">
        <v>0</v>
      </c>
      <c r="L6399" s="142">
        <v>0</v>
      </c>
      <c r="M6399" s="142">
        <v>7</v>
      </c>
    </row>
    <row r="6400" spans="1:13" x14ac:dyDescent="0.45">
      <c r="A6400" s="142" t="s">
        <v>13078</v>
      </c>
      <c r="B6400" s="142" t="s">
        <v>15540</v>
      </c>
      <c r="C6400" s="142" t="s">
        <v>15847</v>
      </c>
      <c r="D6400" s="142" t="s">
        <v>15848</v>
      </c>
      <c r="E6400" s="142" t="s">
        <v>15849</v>
      </c>
      <c r="F6400" s="142" t="s">
        <v>1352</v>
      </c>
      <c r="G6400" s="142" t="s">
        <v>1351</v>
      </c>
      <c r="H6400" s="142" t="s">
        <v>22250</v>
      </c>
      <c r="I6400" s="142">
        <v>30</v>
      </c>
      <c r="J6400" s="142">
        <v>30</v>
      </c>
      <c r="K6400" s="142">
        <v>0</v>
      </c>
      <c r="L6400" s="142">
        <v>0</v>
      </c>
      <c r="M6400" s="142">
        <v>0</v>
      </c>
    </row>
    <row r="6401" spans="1:13" x14ac:dyDescent="0.45">
      <c r="A6401" s="142" t="s">
        <v>13091</v>
      </c>
      <c r="B6401" s="142" t="s">
        <v>14473</v>
      </c>
      <c r="C6401" s="142" t="s">
        <v>15847</v>
      </c>
      <c r="D6401" s="142" t="s">
        <v>15848</v>
      </c>
      <c r="E6401" s="142" t="s">
        <v>15849</v>
      </c>
      <c r="F6401" s="142" t="s">
        <v>1352</v>
      </c>
      <c r="G6401" s="142" t="s">
        <v>1351</v>
      </c>
      <c r="H6401" s="142" t="s">
        <v>22251</v>
      </c>
      <c r="I6401" s="142">
        <v>27</v>
      </c>
      <c r="J6401" s="142">
        <v>26</v>
      </c>
      <c r="K6401" s="142">
        <v>0</v>
      </c>
      <c r="L6401" s="142">
        <v>1</v>
      </c>
      <c r="M6401" s="142">
        <v>0</v>
      </c>
    </row>
    <row r="6402" spans="1:13" x14ac:dyDescent="0.45">
      <c r="A6402" s="142" t="s">
        <v>13009</v>
      </c>
      <c r="B6402" s="142" t="s">
        <v>15256</v>
      </c>
      <c r="C6402" s="142" t="s">
        <v>15847</v>
      </c>
      <c r="D6402" s="142" t="s">
        <v>15848</v>
      </c>
      <c r="E6402" s="142" t="s">
        <v>15849</v>
      </c>
      <c r="F6402" s="142" t="s">
        <v>1352</v>
      </c>
      <c r="G6402" s="142" t="s">
        <v>1351</v>
      </c>
      <c r="H6402" s="142" t="s">
        <v>22252</v>
      </c>
      <c r="I6402" s="142">
        <v>579</v>
      </c>
      <c r="J6402" s="142">
        <v>486</v>
      </c>
      <c r="K6402" s="142">
        <v>0</v>
      </c>
      <c r="L6402" s="142">
        <v>72</v>
      </c>
      <c r="M6402" s="142">
        <v>21</v>
      </c>
    </row>
    <row r="6403" spans="1:13" x14ac:dyDescent="0.45">
      <c r="A6403" s="142" t="s">
        <v>13058</v>
      </c>
      <c r="B6403" s="142" t="s">
        <v>14584</v>
      </c>
      <c r="C6403" s="142" t="s">
        <v>15847</v>
      </c>
      <c r="D6403" s="142" t="s">
        <v>15848</v>
      </c>
      <c r="E6403" s="142" t="s">
        <v>15849</v>
      </c>
      <c r="F6403" s="142" t="s">
        <v>1352</v>
      </c>
      <c r="G6403" s="142" t="s">
        <v>1351</v>
      </c>
      <c r="H6403" s="142" t="s">
        <v>22253</v>
      </c>
      <c r="I6403" s="142">
        <v>1324</v>
      </c>
      <c r="J6403" s="142">
        <v>914</v>
      </c>
      <c r="K6403" s="142">
        <v>0</v>
      </c>
      <c r="L6403" s="142">
        <v>238</v>
      </c>
      <c r="M6403" s="142">
        <v>172</v>
      </c>
    </row>
    <row r="6404" spans="1:13" x14ac:dyDescent="0.45">
      <c r="A6404" s="142" t="s">
        <v>13060</v>
      </c>
      <c r="B6404" s="142" t="s">
        <v>14470</v>
      </c>
      <c r="C6404" s="142" t="s">
        <v>15847</v>
      </c>
      <c r="D6404" s="142" t="s">
        <v>15848</v>
      </c>
      <c r="E6404" s="142" t="s">
        <v>15849</v>
      </c>
      <c r="F6404" s="142" t="s">
        <v>1352</v>
      </c>
      <c r="G6404" s="142" t="s">
        <v>1351</v>
      </c>
      <c r="H6404" s="142" t="s">
        <v>22254</v>
      </c>
      <c r="I6404" s="142">
        <v>5</v>
      </c>
      <c r="J6404" s="142">
        <v>5</v>
      </c>
      <c r="K6404" s="142">
        <v>0</v>
      </c>
      <c r="L6404" s="142">
        <v>0</v>
      </c>
      <c r="M6404" s="142">
        <v>0</v>
      </c>
    </row>
    <row r="6405" spans="1:13" x14ac:dyDescent="0.45">
      <c r="A6405" s="142" t="s">
        <v>13014</v>
      </c>
      <c r="B6405" s="142" t="s">
        <v>14505</v>
      </c>
      <c r="C6405" s="142" t="s">
        <v>15847</v>
      </c>
      <c r="D6405" s="142" t="s">
        <v>15848</v>
      </c>
      <c r="E6405" s="142" t="s">
        <v>15849</v>
      </c>
      <c r="F6405" s="142" t="s">
        <v>1352</v>
      </c>
      <c r="G6405" s="142" t="s">
        <v>1351</v>
      </c>
      <c r="H6405" s="142" t="s">
        <v>22255</v>
      </c>
      <c r="I6405" s="142">
        <v>524</v>
      </c>
      <c r="J6405" s="142">
        <v>507</v>
      </c>
      <c r="K6405" s="142">
        <v>0</v>
      </c>
      <c r="L6405" s="142">
        <v>0</v>
      </c>
      <c r="M6405" s="142">
        <v>17</v>
      </c>
    </row>
    <row r="6406" spans="1:13" x14ac:dyDescent="0.45">
      <c r="A6406" s="142" t="s">
        <v>13079</v>
      </c>
      <c r="B6406" s="142" t="s">
        <v>15431</v>
      </c>
      <c r="C6406" s="142" t="s">
        <v>15847</v>
      </c>
      <c r="D6406" s="142" t="s">
        <v>15848</v>
      </c>
      <c r="E6406" s="142" t="s">
        <v>15849</v>
      </c>
      <c r="F6406" s="142" t="s">
        <v>1352</v>
      </c>
      <c r="G6406" s="142" t="s">
        <v>1351</v>
      </c>
      <c r="H6406" s="142" t="s">
        <v>22256</v>
      </c>
      <c r="I6406" s="142">
        <v>1</v>
      </c>
      <c r="J6406" s="142">
        <v>0</v>
      </c>
      <c r="K6406" s="142">
        <v>0</v>
      </c>
      <c r="L6406" s="142">
        <v>0</v>
      </c>
      <c r="M6406" s="142">
        <v>1</v>
      </c>
    </row>
    <row r="6407" spans="1:13" x14ac:dyDescent="0.45">
      <c r="A6407" s="142" t="s">
        <v>13541</v>
      </c>
      <c r="B6407" s="142" t="s">
        <v>14579</v>
      </c>
      <c r="C6407" s="142" t="s">
        <v>15847</v>
      </c>
      <c r="D6407" s="142" t="s">
        <v>15848</v>
      </c>
      <c r="E6407" s="142" t="s">
        <v>15849</v>
      </c>
      <c r="F6407" s="142" t="s">
        <v>1352</v>
      </c>
      <c r="G6407" s="142" t="s">
        <v>1351</v>
      </c>
      <c r="H6407" s="142" t="s">
        <v>22257</v>
      </c>
      <c r="I6407" s="142">
        <v>808</v>
      </c>
      <c r="J6407" s="142">
        <v>593</v>
      </c>
      <c r="K6407" s="142">
        <v>0</v>
      </c>
      <c r="L6407" s="142">
        <v>108</v>
      </c>
      <c r="M6407" s="142">
        <v>107</v>
      </c>
    </row>
    <row r="6408" spans="1:13" x14ac:dyDescent="0.45">
      <c r="A6408" s="142" t="s">
        <v>13542</v>
      </c>
      <c r="B6408" s="142" t="s">
        <v>15368</v>
      </c>
      <c r="C6408" s="142" t="s">
        <v>15847</v>
      </c>
      <c r="D6408" s="142" t="s">
        <v>15848</v>
      </c>
      <c r="E6408" s="142" t="s">
        <v>15849</v>
      </c>
      <c r="F6408" s="142" t="s">
        <v>1352</v>
      </c>
      <c r="G6408" s="142" t="s">
        <v>1351</v>
      </c>
      <c r="H6408" s="142" t="s">
        <v>22258</v>
      </c>
      <c r="I6408" s="142">
        <v>495</v>
      </c>
      <c r="J6408" s="142">
        <v>467</v>
      </c>
      <c r="K6408" s="142">
        <v>0</v>
      </c>
      <c r="L6408" s="142">
        <v>0</v>
      </c>
      <c r="M6408" s="142">
        <v>28</v>
      </c>
    </row>
    <row r="6409" spans="1:13" x14ac:dyDescent="0.45">
      <c r="A6409" s="142" t="s">
        <v>13167</v>
      </c>
      <c r="B6409" s="142" t="s">
        <v>15418</v>
      </c>
      <c r="C6409" s="142" t="s">
        <v>15847</v>
      </c>
      <c r="D6409" s="142" t="s">
        <v>15848</v>
      </c>
      <c r="E6409" s="142" t="s">
        <v>15849</v>
      </c>
      <c r="F6409" s="142" t="s">
        <v>2011</v>
      </c>
      <c r="G6409" s="142" t="s">
        <v>2010</v>
      </c>
      <c r="H6409" s="142" t="s">
        <v>22259</v>
      </c>
      <c r="I6409" s="142">
        <v>489</v>
      </c>
      <c r="J6409" s="142">
        <v>448</v>
      </c>
      <c r="K6409" s="142">
        <v>0</v>
      </c>
      <c r="L6409" s="142">
        <v>0</v>
      </c>
      <c r="M6409" s="142">
        <v>41</v>
      </c>
    </row>
    <row r="6410" spans="1:13" x14ac:dyDescent="0.45">
      <c r="A6410" s="142" t="s">
        <v>13021</v>
      </c>
      <c r="B6410" s="142" t="s">
        <v>15501</v>
      </c>
      <c r="C6410" s="142" t="s">
        <v>15847</v>
      </c>
      <c r="D6410" s="142" t="s">
        <v>15848</v>
      </c>
      <c r="E6410" s="142" t="s">
        <v>15849</v>
      </c>
      <c r="F6410" s="142" t="s">
        <v>2011</v>
      </c>
      <c r="G6410" s="142" t="s">
        <v>2010</v>
      </c>
      <c r="H6410" s="142" t="s">
        <v>22260</v>
      </c>
      <c r="I6410" s="142">
        <v>8</v>
      </c>
      <c r="J6410" s="142">
        <v>0</v>
      </c>
      <c r="K6410" s="142">
        <v>0</v>
      </c>
      <c r="L6410" s="142">
        <v>6</v>
      </c>
      <c r="M6410" s="142">
        <v>2</v>
      </c>
    </row>
    <row r="6411" spans="1:13" x14ac:dyDescent="0.45">
      <c r="A6411" s="142" t="s">
        <v>13708</v>
      </c>
      <c r="B6411" s="142" t="s">
        <v>15296</v>
      </c>
      <c r="C6411" s="142" t="s">
        <v>15860</v>
      </c>
      <c r="D6411" s="142" t="s">
        <v>15861</v>
      </c>
      <c r="E6411" s="142" t="s">
        <v>15849</v>
      </c>
      <c r="F6411" s="142" t="s">
        <v>2011</v>
      </c>
      <c r="G6411" s="142" t="s">
        <v>2010</v>
      </c>
      <c r="H6411" s="142" t="s">
        <v>22261</v>
      </c>
      <c r="I6411" s="142">
        <v>142</v>
      </c>
      <c r="J6411" s="142">
        <v>0</v>
      </c>
      <c r="K6411" s="142">
        <v>0</v>
      </c>
      <c r="L6411" s="142">
        <v>142</v>
      </c>
      <c r="M6411" s="142">
        <v>0</v>
      </c>
    </row>
    <row r="6412" spans="1:13" x14ac:dyDescent="0.45">
      <c r="A6412" s="142" t="s">
        <v>13023</v>
      </c>
      <c r="B6412" s="142" t="s">
        <v>15571</v>
      </c>
      <c r="C6412" s="142" t="s">
        <v>15847</v>
      </c>
      <c r="D6412" s="142" t="s">
        <v>15848</v>
      </c>
      <c r="E6412" s="142" t="s">
        <v>15849</v>
      </c>
      <c r="F6412" s="142" t="s">
        <v>2011</v>
      </c>
      <c r="G6412" s="142" t="s">
        <v>2010</v>
      </c>
      <c r="H6412" s="142" t="s">
        <v>22262</v>
      </c>
      <c r="I6412" s="142">
        <v>11</v>
      </c>
      <c r="J6412" s="142">
        <v>0</v>
      </c>
      <c r="K6412" s="142">
        <v>0</v>
      </c>
      <c r="L6412" s="142">
        <v>11</v>
      </c>
      <c r="M6412" s="142">
        <v>0</v>
      </c>
    </row>
    <row r="6413" spans="1:13" x14ac:dyDescent="0.45">
      <c r="A6413" s="142" t="s">
        <v>13065</v>
      </c>
      <c r="B6413" s="142" t="s">
        <v>14497</v>
      </c>
      <c r="C6413" s="142" t="s">
        <v>15847</v>
      </c>
      <c r="D6413" s="142" t="s">
        <v>15848</v>
      </c>
      <c r="E6413" s="142" t="s">
        <v>15849</v>
      </c>
      <c r="F6413" s="142" t="s">
        <v>2011</v>
      </c>
      <c r="G6413" s="142" t="s">
        <v>2010</v>
      </c>
      <c r="H6413" s="142" t="s">
        <v>22263</v>
      </c>
      <c r="I6413" s="142">
        <v>13</v>
      </c>
      <c r="J6413" s="142">
        <v>0</v>
      </c>
      <c r="K6413" s="142">
        <v>0</v>
      </c>
      <c r="L6413" s="142">
        <v>13</v>
      </c>
      <c r="M6413" s="142">
        <v>0</v>
      </c>
    </row>
    <row r="6414" spans="1:13" x14ac:dyDescent="0.45">
      <c r="A6414" s="142" t="s">
        <v>13114</v>
      </c>
      <c r="B6414" s="142" t="s">
        <v>15328</v>
      </c>
      <c r="C6414" s="142" t="s">
        <v>15860</v>
      </c>
      <c r="D6414" s="142" t="s">
        <v>15861</v>
      </c>
      <c r="E6414" s="142" t="s">
        <v>15849</v>
      </c>
      <c r="F6414" s="142" t="s">
        <v>2011</v>
      </c>
      <c r="G6414" s="142" t="s">
        <v>2010</v>
      </c>
      <c r="H6414" s="142" t="s">
        <v>22264</v>
      </c>
      <c r="I6414" s="142">
        <v>3</v>
      </c>
      <c r="J6414" s="142">
        <v>3</v>
      </c>
      <c r="K6414" s="142">
        <v>0</v>
      </c>
      <c r="L6414" s="142">
        <v>0</v>
      </c>
      <c r="M6414" s="142">
        <v>0</v>
      </c>
    </row>
    <row r="6415" spans="1:13" x14ac:dyDescent="0.45">
      <c r="A6415" s="142" t="s">
        <v>13301</v>
      </c>
      <c r="B6415" s="142" t="s">
        <v>15496</v>
      </c>
      <c r="C6415" s="142" t="s">
        <v>15847</v>
      </c>
      <c r="D6415" s="142" t="s">
        <v>15848</v>
      </c>
      <c r="E6415" s="142" t="s">
        <v>15849</v>
      </c>
      <c r="F6415" s="142" t="s">
        <v>2011</v>
      </c>
      <c r="G6415" s="142" t="s">
        <v>2010</v>
      </c>
      <c r="H6415" s="142" t="s">
        <v>22265</v>
      </c>
      <c r="I6415" s="142">
        <v>2</v>
      </c>
      <c r="J6415" s="142">
        <v>0</v>
      </c>
      <c r="K6415" s="142">
        <v>0</v>
      </c>
      <c r="L6415" s="142">
        <v>2</v>
      </c>
      <c r="M6415" s="142">
        <v>0</v>
      </c>
    </row>
    <row r="6416" spans="1:13" x14ac:dyDescent="0.45">
      <c r="A6416" s="142" t="s">
        <v>13690</v>
      </c>
      <c r="B6416" s="142" t="s">
        <v>15251</v>
      </c>
      <c r="C6416" s="142" t="s">
        <v>15860</v>
      </c>
      <c r="D6416" s="142" t="s">
        <v>15861</v>
      </c>
      <c r="E6416" s="142" t="s">
        <v>15849</v>
      </c>
      <c r="F6416" s="142" t="s">
        <v>2011</v>
      </c>
      <c r="G6416" s="142" t="s">
        <v>2010</v>
      </c>
      <c r="H6416" s="142" t="s">
        <v>22266</v>
      </c>
      <c r="I6416" s="142">
        <v>80</v>
      </c>
      <c r="J6416" s="142">
        <v>0</v>
      </c>
      <c r="K6416" s="142">
        <v>0</v>
      </c>
      <c r="L6416" s="142">
        <v>80</v>
      </c>
      <c r="M6416" s="142">
        <v>0</v>
      </c>
    </row>
    <row r="6417" spans="1:13" x14ac:dyDescent="0.45">
      <c r="A6417" s="142" t="s">
        <v>13000</v>
      </c>
      <c r="B6417" s="142" t="s">
        <v>14610</v>
      </c>
      <c r="C6417" s="142" t="s">
        <v>15847</v>
      </c>
      <c r="D6417" s="142" t="s">
        <v>15848</v>
      </c>
      <c r="E6417" s="142" t="s">
        <v>15849</v>
      </c>
      <c r="F6417" s="142" t="s">
        <v>2011</v>
      </c>
      <c r="G6417" s="142" t="s">
        <v>2010</v>
      </c>
      <c r="H6417" s="142" t="s">
        <v>22267</v>
      </c>
      <c r="I6417" s="142">
        <v>61</v>
      </c>
      <c r="J6417" s="142">
        <v>37</v>
      </c>
      <c r="K6417" s="142">
        <v>0</v>
      </c>
      <c r="L6417" s="142">
        <v>3</v>
      </c>
      <c r="M6417" s="142">
        <v>21</v>
      </c>
    </row>
    <row r="6418" spans="1:13" x14ac:dyDescent="0.45">
      <c r="A6418" s="142" t="s">
        <v>14112</v>
      </c>
      <c r="B6418" s="142" t="s">
        <v>15144</v>
      </c>
      <c r="C6418" s="142" t="s">
        <v>15860</v>
      </c>
      <c r="D6418" s="142" t="s">
        <v>15861</v>
      </c>
      <c r="E6418" s="142" t="s">
        <v>15849</v>
      </c>
      <c r="F6418" s="142" t="s">
        <v>2011</v>
      </c>
      <c r="G6418" s="142" t="s">
        <v>2010</v>
      </c>
      <c r="H6418" s="142" t="s">
        <v>22268</v>
      </c>
      <c r="I6418" s="142">
        <v>28</v>
      </c>
      <c r="J6418" s="142">
        <v>0</v>
      </c>
      <c r="K6418" s="142">
        <v>0</v>
      </c>
      <c r="L6418" s="142">
        <v>28</v>
      </c>
      <c r="M6418" s="142">
        <v>0</v>
      </c>
    </row>
    <row r="6419" spans="1:13" x14ac:dyDescent="0.45">
      <c r="A6419" s="142" t="s">
        <v>13027</v>
      </c>
      <c r="B6419" s="142" t="s">
        <v>14562</v>
      </c>
      <c r="C6419" s="142" t="s">
        <v>15847</v>
      </c>
      <c r="D6419" s="142" t="s">
        <v>15848</v>
      </c>
      <c r="E6419" s="142" t="s">
        <v>15849</v>
      </c>
      <c r="F6419" s="142" t="s">
        <v>2011</v>
      </c>
      <c r="G6419" s="142" t="s">
        <v>2010</v>
      </c>
      <c r="H6419" s="142" t="s">
        <v>22269</v>
      </c>
      <c r="I6419" s="142">
        <v>1</v>
      </c>
      <c r="J6419" s="142">
        <v>0</v>
      </c>
      <c r="K6419" s="142">
        <v>0</v>
      </c>
      <c r="L6419" s="142">
        <v>1</v>
      </c>
      <c r="M6419" s="142">
        <v>0</v>
      </c>
    </row>
    <row r="6420" spans="1:13" x14ac:dyDescent="0.45">
      <c r="A6420" s="142" t="s">
        <v>13001</v>
      </c>
      <c r="B6420" s="142" t="s">
        <v>15506</v>
      </c>
      <c r="C6420" s="142" t="s">
        <v>15847</v>
      </c>
      <c r="D6420" s="142" t="s">
        <v>15848</v>
      </c>
      <c r="E6420" s="142" t="s">
        <v>15849</v>
      </c>
      <c r="F6420" s="142" t="s">
        <v>2011</v>
      </c>
      <c r="G6420" s="142" t="s">
        <v>2010</v>
      </c>
      <c r="H6420" s="142" t="s">
        <v>22270</v>
      </c>
      <c r="I6420" s="142">
        <v>23</v>
      </c>
      <c r="J6420" s="142">
        <v>16</v>
      </c>
      <c r="K6420" s="142">
        <v>0</v>
      </c>
      <c r="L6420" s="142">
        <v>7</v>
      </c>
      <c r="M6420" s="142">
        <v>0</v>
      </c>
    </row>
    <row r="6421" spans="1:13" x14ac:dyDescent="0.45">
      <c r="A6421" s="142" t="s">
        <v>13767</v>
      </c>
      <c r="B6421" s="142" t="s">
        <v>15559</v>
      </c>
      <c r="C6421" s="142" t="s">
        <v>15860</v>
      </c>
      <c r="D6421" s="142" t="s">
        <v>15861</v>
      </c>
      <c r="E6421" s="142" t="s">
        <v>15849</v>
      </c>
      <c r="F6421" s="142" t="s">
        <v>2011</v>
      </c>
      <c r="G6421" s="142" t="s">
        <v>2010</v>
      </c>
      <c r="H6421" s="142" t="s">
        <v>22271</v>
      </c>
      <c r="I6421" s="142">
        <v>29</v>
      </c>
      <c r="J6421" s="142">
        <v>0</v>
      </c>
      <c r="K6421" s="142">
        <v>0</v>
      </c>
      <c r="L6421" s="142">
        <v>29</v>
      </c>
      <c r="M6421" s="142">
        <v>0</v>
      </c>
    </row>
    <row r="6422" spans="1:13" x14ac:dyDescent="0.45">
      <c r="A6422" s="142" t="s">
        <v>13028</v>
      </c>
      <c r="B6422" s="142" t="s">
        <v>14462</v>
      </c>
      <c r="C6422" s="142" t="s">
        <v>15847</v>
      </c>
      <c r="D6422" s="142" t="s">
        <v>15848</v>
      </c>
      <c r="E6422" s="142" t="s">
        <v>15849</v>
      </c>
      <c r="F6422" s="142" t="s">
        <v>2011</v>
      </c>
      <c r="G6422" s="142" t="s">
        <v>2010</v>
      </c>
      <c r="H6422" s="142" t="s">
        <v>22272</v>
      </c>
      <c r="I6422" s="142">
        <v>2</v>
      </c>
      <c r="J6422" s="142">
        <v>0</v>
      </c>
      <c r="K6422" s="142">
        <v>0</v>
      </c>
      <c r="L6422" s="142">
        <v>0</v>
      </c>
      <c r="M6422" s="142">
        <v>2</v>
      </c>
    </row>
    <row r="6423" spans="1:13" x14ac:dyDescent="0.45">
      <c r="A6423" s="142" t="s">
        <v>13002</v>
      </c>
      <c r="B6423" s="142" t="s">
        <v>15376</v>
      </c>
      <c r="C6423" s="142" t="s">
        <v>15847</v>
      </c>
      <c r="D6423" s="142" t="s">
        <v>15848</v>
      </c>
      <c r="E6423" s="142" t="s">
        <v>15849</v>
      </c>
      <c r="F6423" s="142" t="s">
        <v>2011</v>
      </c>
      <c r="G6423" s="142" t="s">
        <v>2010</v>
      </c>
      <c r="H6423" s="142" t="s">
        <v>22273</v>
      </c>
      <c r="I6423" s="142">
        <v>139</v>
      </c>
      <c r="J6423" s="142">
        <v>109</v>
      </c>
      <c r="K6423" s="142">
        <v>0</v>
      </c>
      <c r="L6423" s="142">
        <v>24</v>
      </c>
      <c r="M6423" s="142">
        <v>6</v>
      </c>
    </row>
    <row r="6424" spans="1:13" x14ac:dyDescent="0.45">
      <c r="A6424" s="142" t="s">
        <v>13003</v>
      </c>
      <c r="B6424" s="142" t="s">
        <v>15245</v>
      </c>
      <c r="C6424" s="142" t="s">
        <v>15847</v>
      </c>
      <c r="D6424" s="142" t="s">
        <v>15848</v>
      </c>
      <c r="E6424" s="142" t="s">
        <v>15849</v>
      </c>
      <c r="F6424" s="142" t="s">
        <v>2011</v>
      </c>
      <c r="G6424" s="142" t="s">
        <v>2010</v>
      </c>
      <c r="H6424" s="142" t="s">
        <v>22274</v>
      </c>
      <c r="I6424" s="142">
        <v>283</v>
      </c>
      <c r="J6424" s="142">
        <v>0</v>
      </c>
      <c r="K6424" s="142">
        <v>0</v>
      </c>
      <c r="L6424" s="142">
        <v>243</v>
      </c>
      <c r="M6424" s="142">
        <v>40</v>
      </c>
    </row>
    <row r="6425" spans="1:13" x14ac:dyDescent="0.45">
      <c r="A6425" s="142" t="s">
        <v>13004</v>
      </c>
      <c r="B6425" s="142" t="s">
        <v>15492</v>
      </c>
      <c r="C6425" s="142" t="s">
        <v>15847</v>
      </c>
      <c r="D6425" s="142" t="s">
        <v>15848</v>
      </c>
      <c r="E6425" s="142" t="s">
        <v>15849</v>
      </c>
      <c r="F6425" s="142" t="s">
        <v>2011</v>
      </c>
      <c r="G6425" s="142" t="s">
        <v>2010</v>
      </c>
      <c r="H6425" s="142" t="s">
        <v>22275</v>
      </c>
      <c r="I6425" s="142">
        <v>202</v>
      </c>
      <c r="J6425" s="142">
        <v>197</v>
      </c>
      <c r="K6425" s="142">
        <v>0</v>
      </c>
      <c r="L6425" s="142">
        <v>0</v>
      </c>
      <c r="M6425" s="142">
        <v>5</v>
      </c>
    </row>
    <row r="6426" spans="1:13" x14ac:dyDescent="0.45">
      <c r="A6426" s="142" t="s">
        <v>13053</v>
      </c>
      <c r="B6426" s="142" t="s">
        <v>15436</v>
      </c>
      <c r="C6426" s="142" t="s">
        <v>15847</v>
      </c>
      <c r="D6426" s="142" t="s">
        <v>15848</v>
      </c>
      <c r="E6426" s="142" t="s">
        <v>15849</v>
      </c>
      <c r="F6426" s="142" t="s">
        <v>2011</v>
      </c>
      <c r="G6426" s="142" t="s">
        <v>2010</v>
      </c>
      <c r="H6426" s="142" t="s">
        <v>22276</v>
      </c>
      <c r="I6426" s="142">
        <v>87</v>
      </c>
      <c r="J6426" s="142">
        <v>87</v>
      </c>
      <c r="K6426" s="142">
        <v>0</v>
      </c>
      <c r="L6426" s="142">
        <v>0</v>
      </c>
      <c r="M6426" s="142">
        <v>0</v>
      </c>
    </row>
    <row r="6427" spans="1:13" x14ac:dyDescent="0.45">
      <c r="A6427" s="142" t="s">
        <v>13007</v>
      </c>
      <c r="B6427" s="142" t="s">
        <v>15262</v>
      </c>
      <c r="C6427" s="142" t="s">
        <v>15847</v>
      </c>
      <c r="D6427" s="142" t="s">
        <v>15848</v>
      </c>
      <c r="E6427" s="142" t="s">
        <v>15849</v>
      </c>
      <c r="F6427" s="142" t="s">
        <v>2011</v>
      </c>
      <c r="G6427" s="142" t="s">
        <v>2010</v>
      </c>
      <c r="H6427" s="142" t="s">
        <v>22277</v>
      </c>
      <c r="I6427" s="142">
        <v>2</v>
      </c>
      <c r="J6427" s="142">
        <v>0</v>
      </c>
      <c r="K6427" s="142">
        <v>0</v>
      </c>
      <c r="L6427" s="142">
        <v>0</v>
      </c>
      <c r="M6427" s="142">
        <v>2</v>
      </c>
    </row>
    <row r="6428" spans="1:13" x14ac:dyDescent="0.45">
      <c r="A6428" s="142" t="s">
        <v>13033</v>
      </c>
      <c r="B6428" s="142" t="s">
        <v>15276</v>
      </c>
      <c r="C6428" s="142" t="s">
        <v>15847</v>
      </c>
      <c r="D6428" s="142" t="s">
        <v>15848</v>
      </c>
      <c r="E6428" s="142" t="s">
        <v>15849</v>
      </c>
      <c r="F6428" s="142" t="s">
        <v>2011</v>
      </c>
      <c r="G6428" s="142" t="s">
        <v>2010</v>
      </c>
      <c r="H6428" s="142" t="s">
        <v>22278</v>
      </c>
      <c r="I6428" s="142">
        <v>85</v>
      </c>
      <c r="J6428" s="142">
        <v>85</v>
      </c>
      <c r="K6428" s="142">
        <v>0</v>
      </c>
      <c r="L6428" s="142">
        <v>0</v>
      </c>
      <c r="M6428" s="142">
        <v>0</v>
      </c>
    </row>
    <row r="6429" spans="1:13" x14ac:dyDescent="0.45">
      <c r="A6429" s="142" t="s">
        <v>14113</v>
      </c>
      <c r="B6429" s="142" t="s">
        <v>15186</v>
      </c>
      <c r="C6429" s="142" t="s">
        <v>15860</v>
      </c>
      <c r="D6429" s="142" t="s">
        <v>15861</v>
      </c>
      <c r="E6429" s="142" t="s">
        <v>15849</v>
      </c>
      <c r="F6429" s="142" t="s">
        <v>2011</v>
      </c>
      <c r="G6429" s="142" t="s">
        <v>2010</v>
      </c>
      <c r="H6429" s="142" t="s">
        <v>22279</v>
      </c>
      <c r="I6429" s="142">
        <v>41</v>
      </c>
      <c r="J6429" s="142">
        <v>10</v>
      </c>
      <c r="K6429" s="142">
        <v>0</v>
      </c>
      <c r="L6429" s="142">
        <v>31</v>
      </c>
      <c r="M6429" s="142">
        <v>0</v>
      </c>
    </row>
    <row r="6430" spans="1:13" x14ac:dyDescent="0.45">
      <c r="A6430" s="142" t="s">
        <v>13691</v>
      </c>
      <c r="B6430" s="142" t="s">
        <v>15279</v>
      </c>
      <c r="C6430" s="142" t="s">
        <v>15860</v>
      </c>
      <c r="D6430" s="142" t="s">
        <v>15861</v>
      </c>
      <c r="E6430" s="142" t="s">
        <v>15849</v>
      </c>
      <c r="F6430" s="142" t="s">
        <v>2011</v>
      </c>
      <c r="G6430" s="142" t="s">
        <v>2010</v>
      </c>
      <c r="H6430" s="142" t="s">
        <v>22280</v>
      </c>
      <c r="I6430" s="142">
        <v>147</v>
      </c>
      <c r="J6430" s="142">
        <v>35</v>
      </c>
      <c r="K6430" s="142">
        <v>0</v>
      </c>
      <c r="L6430" s="142">
        <v>112</v>
      </c>
      <c r="M6430" s="142">
        <v>0</v>
      </c>
    </row>
    <row r="6431" spans="1:13" x14ac:dyDescent="0.45">
      <c r="A6431" s="142" t="s">
        <v>13078</v>
      </c>
      <c r="B6431" s="142" t="s">
        <v>15540</v>
      </c>
      <c r="C6431" s="142" t="s">
        <v>15847</v>
      </c>
      <c r="D6431" s="142" t="s">
        <v>15848</v>
      </c>
      <c r="E6431" s="142" t="s">
        <v>15849</v>
      </c>
      <c r="F6431" s="142" t="s">
        <v>2011</v>
      </c>
      <c r="G6431" s="142" t="s">
        <v>2010</v>
      </c>
      <c r="H6431" s="142" t="s">
        <v>22281</v>
      </c>
      <c r="I6431" s="142">
        <v>24</v>
      </c>
      <c r="J6431" s="142">
        <v>24</v>
      </c>
      <c r="K6431" s="142">
        <v>0</v>
      </c>
      <c r="L6431" s="142">
        <v>0</v>
      </c>
      <c r="M6431" s="142">
        <v>0</v>
      </c>
    </row>
    <row r="6432" spans="1:13" x14ac:dyDescent="0.45">
      <c r="A6432" s="142" t="s">
        <v>13009</v>
      </c>
      <c r="B6432" s="142" t="s">
        <v>15256</v>
      </c>
      <c r="C6432" s="142" t="s">
        <v>15847</v>
      </c>
      <c r="D6432" s="142" t="s">
        <v>15848</v>
      </c>
      <c r="E6432" s="142" t="s">
        <v>15849</v>
      </c>
      <c r="F6432" s="142" t="s">
        <v>2011</v>
      </c>
      <c r="G6432" s="142" t="s">
        <v>2010</v>
      </c>
      <c r="H6432" s="142" t="s">
        <v>22282</v>
      </c>
      <c r="I6432" s="142">
        <v>128</v>
      </c>
      <c r="J6432" s="142">
        <v>128</v>
      </c>
      <c r="K6432" s="142">
        <v>0</v>
      </c>
      <c r="L6432" s="142">
        <v>0</v>
      </c>
      <c r="M6432" s="142">
        <v>0</v>
      </c>
    </row>
    <row r="6433" spans="1:13" x14ac:dyDescent="0.45">
      <c r="A6433" s="142" t="s">
        <v>13011</v>
      </c>
      <c r="B6433" s="142" t="s">
        <v>14695</v>
      </c>
      <c r="C6433" s="142" t="s">
        <v>15847</v>
      </c>
      <c r="D6433" s="142" t="s">
        <v>15848</v>
      </c>
      <c r="E6433" s="142" t="s">
        <v>15849</v>
      </c>
      <c r="F6433" s="142" t="s">
        <v>2011</v>
      </c>
      <c r="G6433" s="142" t="s">
        <v>2010</v>
      </c>
      <c r="H6433" s="142" t="s">
        <v>22283</v>
      </c>
      <c r="I6433" s="142">
        <v>685</v>
      </c>
      <c r="J6433" s="142">
        <v>487</v>
      </c>
      <c r="K6433" s="142">
        <v>0</v>
      </c>
      <c r="L6433" s="142">
        <v>155</v>
      </c>
      <c r="M6433" s="142">
        <v>43</v>
      </c>
    </row>
    <row r="6434" spans="1:13" x14ac:dyDescent="0.45">
      <c r="A6434" s="142" t="s">
        <v>14114</v>
      </c>
      <c r="B6434" s="142" t="s">
        <v>15063</v>
      </c>
      <c r="C6434" s="142" t="s">
        <v>15860</v>
      </c>
      <c r="D6434" s="142" t="s">
        <v>15861</v>
      </c>
      <c r="E6434" s="142" t="s">
        <v>15849</v>
      </c>
      <c r="F6434" s="142" t="s">
        <v>2011</v>
      </c>
      <c r="G6434" s="142" t="s">
        <v>2010</v>
      </c>
      <c r="H6434" s="142" t="s">
        <v>22284</v>
      </c>
      <c r="I6434" s="142">
        <v>36</v>
      </c>
      <c r="J6434" s="142">
        <v>34</v>
      </c>
      <c r="K6434" s="142">
        <v>2</v>
      </c>
      <c r="L6434" s="142">
        <v>0</v>
      </c>
      <c r="M6434" s="142">
        <v>0</v>
      </c>
    </row>
    <row r="6435" spans="1:13" x14ac:dyDescent="0.45">
      <c r="A6435" s="142" t="s">
        <v>13058</v>
      </c>
      <c r="B6435" s="142" t="s">
        <v>14584</v>
      </c>
      <c r="C6435" s="142" t="s">
        <v>15847</v>
      </c>
      <c r="D6435" s="142" t="s">
        <v>15848</v>
      </c>
      <c r="E6435" s="142" t="s">
        <v>15849</v>
      </c>
      <c r="F6435" s="142" t="s">
        <v>2011</v>
      </c>
      <c r="G6435" s="142" t="s">
        <v>2010</v>
      </c>
      <c r="H6435" s="142" t="s">
        <v>22285</v>
      </c>
      <c r="I6435" s="142">
        <v>2</v>
      </c>
      <c r="J6435" s="142">
        <v>0</v>
      </c>
      <c r="K6435" s="142">
        <v>0</v>
      </c>
      <c r="L6435" s="142">
        <v>0</v>
      </c>
      <c r="M6435" s="142">
        <v>2</v>
      </c>
    </row>
    <row r="6436" spans="1:13" x14ac:dyDescent="0.45">
      <c r="A6436" s="142" t="s">
        <v>13012</v>
      </c>
      <c r="B6436" s="142" t="s">
        <v>15337</v>
      </c>
      <c r="C6436" s="142" t="s">
        <v>15847</v>
      </c>
      <c r="D6436" s="142" t="s">
        <v>15848</v>
      </c>
      <c r="E6436" s="142" t="s">
        <v>15849</v>
      </c>
      <c r="F6436" s="142" t="s">
        <v>2011</v>
      </c>
      <c r="G6436" s="142" t="s">
        <v>2010</v>
      </c>
      <c r="H6436" s="142" t="s">
        <v>22286</v>
      </c>
      <c r="I6436" s="142">
        <v>101</v>
      </c>
      <c r="J6436" s="142">
        <v>94</v>
      </c>
      <c r="K6436" s="142">
        <v>0</v>
      </c>
      <c r="L6436" s="142">
        <v>7</v>
      </c>
      <c r="M6436" s="142">
        <v>0</v>
      </c>
    </row>
    <row r="6437" spans="1:13" x14ac:dyDescent="0.45">
      <c r="A6437" s="142" t="s">
        <v>13014</v>
      </c>
      <c r="B6437" s="142" t="s">
        <v>14505</v>
      </c>
      <c r="C6437" s="142" t="s">
        <v>15847</v>
      </c>
      <c r="D6437" s="142" t="s">
        <v>15848</v>
      </c>
      <c r="E6437" s="142" t="s">
        <v>15849</v>
      </c>
      <c r="F6437" s="142" t="s">
        <v>2011</v>
      </c>
      <c r="G6437" s="142" t="s">
        <v>2010</v>
      </c>
      <c r="H6437" s="142" t="s">
        <v>22287</v>
      </c>
      <c r="I6437" s="142">
        <v>328</v>
      </c>
      <c r="J6437" s="142">
        <v>239</v>
      </c>
      <c r="K6437" s="142">
        <v>0</v>
      </c>
      <c r="L6437" s="142">
        <v>40</v>
      </c>
      <c r="M6437" s="142">
        <v>49</v>
      </c>
    </row>
    <row r="6438" spans="1:13" x14ac:dyDescent="0.45">
      <c r="A6438" s="142" t="s">
        <v>14115</v>
      </c>
      <c r="B6438" s="142" t="s">
        <v>15423</v>
      </c>
      <c r="C6438" s="142" t="s">
        <v>15860</v>
      </c>
      <c r="D6438" s="142" t="s">
        <v>15861</v>
      </c>
      <c r="E6438" s="142" t="s">
        <v>15849</v>
      </c>
      <c r="F6438" s="142" t="s">
        <v>2011</v>
      </c>
      <c r="G6438" s="142" t="s">
        <v>2010</v>
      </c>
      <c r="H6438" s="142" t="s">
        <v>22288</v>
      </c>
      <c r="I6438" s="142">
        <v>82</v>
      </c>
      <c r="J6438" s="142">
        <v>0</v>
      </c>
      <c r="K6438" s="142">
        <v>0</v>
      </c>
      <c r="L6438" s="142">
        <v>82</v>
      </c>
      <c r="M6438" s="142">
        <v>0</v>
      </c>
    </row>
    <row r="6439" spans="1:13" x14ac:dyDescent="0.45">
      <c r="A6439" s="142" t="s">
        <v>13173</v>
      </c>
      <c r="B6439" s="142" t="s">
        <v>15590</v>
      </c>
      <c r="C6439" s="142" t="s">
        <v>15860</v>
      </c>
      <c r="D6439" s="142" t="s">
        <v>15861</v>
      </c>
      <c r="E6439" s="142" t="s">
        <v>15849</v>
      </c>
      <c r="F6439" s="142" t="s">
        <v>2011</v>
      </c>
      <c r="G6439" s="142" t="s">
        <v>2010</v>
      </c>
      <c r="H6439" s="142" t="s">
        <v>22289</v>
      </c>
      <c r="I6439" s="142">
        <v>75</v>
      </c>
      <c r="J6439" s="142">
        <v>13</v>
      </c>
      <c r="K6439" s="142">
        <v>5</v>
      </c>
      <c r="L6439" s="142">
        <v>57</v>
      </c>
      <c r="M6439" s="142">
        <v>0</v>
      </c>
    </row>
    <row r="6440" spans="1:13" x14ac:dyDescent="0.45">
      <c r="A6440" s="142" t="s">
        <v>13174</v>
      </c>
      <c r="B6440" s="142" t="s">
        <v>15280</v>
      </c>
      <c r="C6440" s="142" t="s">
        <v>15847</v>
      </c>
      <c r="D6440" s="142" t="s">
        <v>15848</v>
      </c>
      <c r="E6440" s="142" t="s">
        <v>15849</v>
      </c>
      <c r="F6440" s="142" t="s">
        <v>2011</v>
      </c>
      <c r="G6440" s="142" t="s">
        <v>2010</v>
      </c>
      <c r="H6440" s="142" t="s">
        <v>22290</v>
      </c>
      <c r="I6440" s="142">
        <v>357</v>
      </c>
      <c r="J6440" s="142">
        <v>339</v>
      </c>
      <c r="K6440" s="142">
        <v>0</v>
      </c>
      <c r="L6440" s="142">
        <v>0</v>
      </c>
      <c r="M6440" s="142">
        <v>18</v>
      </c>
    </row>
    <row r="6441" spans="1:13" x14ac:dyDescent="0.45">
      <c r="A6441" s="142" t="s">
        <v>13175</v>
      </c>
      <c r="B6441" s="142" t="s">
        <v>15561</v>
      </c>
      <c r="C6441" s="142" t="s">
        <v>15860</v>
      </c>
      <c r="D6441" s="142" t="s">
        <v>15861</v>
      </c>
      <c r="E6441" s="142" t="s">
        <v>15849</v>
      </c>
      <c r="F6441" s="142" t="s">
        <v>2011</v>
      </c>
      <c r="G6441" s="142" t="s">
        <v>2010</v>
      </c>
      <c r="H6441" s="142" t="s">
        <v>22291</v>
      </c>
      <c r="I6441" s="142">
        <v>273</v>
      </c>
      <c r="J6441" s="142">
        <v>0</v>
      </c>
      <c r="K6441" s="142">
        <v>0</v>
      </c>
      <c r="L6441" s="142">
        <v>273</v>
      </c>
      <c r="M6441" s="142">
        <v>0</v>
      </c>
    </row>
    <row r="6442" spans="1:13" x14ac:dyDescent="0.45">
      <c r="A6442" s="142" t="s">
        <v>13015</v>
      </c>
      <c r="B6442" s="142" t="s">
        <v>14596</v>
      </c>
      <c r="C6442" s="142" t="s">
        <v>15847</v>
      </c>
      <c r="D6442" s="142" t="s">
        <v>15848</v>
      </c>
      <c r="E6442" s="142" t="s">
        <v>15849</v>
      </c>
      <c r="F6442" s="142" t="s">
        <v>2011</v>
      </c>
      <c r="G6442" s="142" t="s">
        <v>2010</v>
      </c>
      <c r="H6442" s="142" t="s">
        <v>22292</v>
      </c>
      <c r="I6442" s="142">
        <v>2911</v>
      </c>
      <c r="J6442" s="142">
        <v>2288</v>
      </c>
      <c r="K6442" s="142">
        <v>0</v>
      </c>
      <c r="L6442" s="142">
        <v>189</v>
      </c>
      <c r="M6442" s="142">
        <v>434</v>
      </c>
    </row>
    <row r="6443" spans="1:13" x14ac:dyDescent="0.45">
      <c r="A6443" s="142" t="s">
        <v>13016</v>
      </c>
      <c r="B6443" s="142" t="s">
        <v>14535</v>
      </c>
      <c r="C6443" s="142" t="s">
        <v>15860</v>
      </c>
      <c r="D6443" s="142" t="s">
        <v>15861</v>
      </c>
      <c r="E6443" s="142" t="s">
        <v>15849</v>
      </c>
      <c r="F6443" s="142" t="s">
        <v>2011</v>
      </c>
      <c r="G6443" s="142" t="s">
        <v>2010</v>
      </c>
      <c r="H6443" s="142" t="s">
        <v>22293</v>
      </c>
      <c r="I6443" s="142">
        <v>21</v>
      </c>
      <c r="J6443" s="142">
        <v>0</v>
      </c>
      <c r="K6443" s="142">
        <v>0</v>
      </c>
      <c r="L6443" s="142">
        <v>21</v>
      </c>
      <c r="M6443" s="142">
        <v>0</v>
      </c>
    </row>
    <row r="6444" spans="1:13" x14ac:dyDescent="0.45">
      <c r="A6444" s="142" t="s">
        <v>13072</v>
      </c>
      <c r="B6444" s="142" t="s">
        <v>15530</v>
      </c>
      <c r="C6444" s="142" t="s">
        <v>15847</v>
      </c>
      <c r="D6444" s="142" t="s">
        <v>15848</v>
      </c>
      <c r="E6444" s="142" t="s">
        <v>15849</v>
      </c>
      <c r="F6444" s="142" t="s">
        <v>6162</v>
      </c>
      <c r="G6444" s="142" t="s">
        <v>6161</v>
      </c>
      <c r="H6444" s="142" t="s">
        <v>22294</v>
      </c>
      <c r="I6444" s="142">
        <v>3</v>
      </c>
      <c r="J6444" s="142">
        <v>0</v>
      </c>
      <c r="K6444" s="142">
        <v>0</v>
      </c>
      <c r="L6444" s="142">
        <v>0</v>
      </c>
      <c r="M6444" s="142">
        <v>3</v>
      </c>
    </row>
    <row r="6445" spans="1:13" x14ac:dyDescent="0.45">
      <c r="A6445" s="142" t="s">
        <v>13023</v>
      </c>
      <c r="B6445" s="142" t="s">
        <v>15571</v>
      </c>
      <c r="C6445" s="142" t="s">
        <v>15847</v>
      </c>
      <c r="D6445" s="142" t="s">
        <v>15848</v>
      </c>
      <c r="E6445" s="142" t="s">
        <v>15849</v>
      </c>
      <c r="F6445" s="142" t="s">
        <v>6162</v>
      </c>
      <c r="G6445" s="142" t="s">
        <v>6161</v>
      </c>
      <c r="H6445" s="142" t="s">
        <v>22295</v>
      </c>
      <c r="I6445" s="142">
        <v>94</v>
      </c>
      <c r="J6445" s="142">
        <v>0</v>
      </c>
      <c r="K6445" s="142">
        <v>0</v>
      </c>
      <c r="L6445" s="142">
        <v>63</v>
      </c>
      <c r="M6445" s="142">
        <v>31</v>
      </c>
    </row>
    <row r="6446" spans="1:13" x14ac:dyDescent="0.45">
      <c r="A6446" s="142" t="s">
        <v>13113</v>
      </c>
      <c r="B6446" s="142" t="s">
        <v>14503</v>
      </c>
      <c r="C6446" s="142" t="s">
        <v>15860</v>
      </c>
      <c r="D6446" s="142" t="s">
        <v>15861</v>
      </c>
      <c r="E6446" s="142" t="s">
        <v>15849</v>
      </c>
      <c r="F6446" s="142" t="s">
        <v>6162</v>
      </c>
      <c r="G6446" s="142" t="s">
        <v>6161</v>
      </c>
      <c r="H6446" s="142" t="s">
        <v>22296</v>
      </c>
      <c r="I6446" s="142">
        <v>20</v>
      </c>
      <c r="J6446" s="142">
        <v>20</v>
      </c>
      <c r="K6446" s="142">
        <v>0</v>
      </c>
      <c r="L6446" s="142">
        <v>0</v>
      </c>
      <c r="M6446" s="142">
        <v>0</v>
      </c>
    </row>
    <row r="6447" spans="1:13" x14ac:dyDescent="0.45">
      <c r="A6447" s="142" t="s">
        <v>13279</v>
      </c>
      <c r="B6447" s="142" t="s">
        <v>14507</v>
      </c>
      <c r="C6447" s="142" t="s">
        <v>15860</v>
      </c>
      <c r="D6447" s="142" t="s">
        <v>15861</v>
      </c>
      <c r="E6447" s="142" t="s">
        <v>15849</v>
      </c>
      <c r="F6447" s="142" t="s">
        <v>6162</v>
      </c>
      <c r="G6447" s="142" t="s">
        <v>6161</v>
      </c>
      <c r="H6447" s="142" t="s">
        <v>22297</v>
      </c>
      <c r="I6447" s="142">
        <v>12</v>
      </c>
      <c r="J6447" s="142">
        <v>0</v>
      </c>
      <c r="K6447" s="142">
        <v>0</v>
      </c>
      <c r="L6447" s="142">
        <v>12</v>
      </c>
      <c r="M6447" s="142">
        <v>0</v>
      </c>
    </row>
    <row r="6448" spans="1:13" x14ac:dyDescent="0.45">
      <c r="A6448" s="142" t="s">
        <v>13147</v>
      </c>
      <c r="B6448" s="142" t="s">
        <v>14529</v>
      </c>
      <c r="C6448" s="142" t="s">
        <v>15860</v>
      </c>
      <c r="D6448" s="142" t="s">
        <v>15861</v>
      </c>
      <c r="E6448" s="142" t="s">
        <v>15849</v>
      </c>
      <c r="F6448" s="142" t="s">
        <v>6162</v>
      </c>
      <c r="G6448" s="142" t="s">
        <v>6161</v>
      </c>
      <c r="H6448" s="142" t="s">
        <v>22298</v>
      </c>
      <c r="I6448" s="142">
        <v>14</v>
      </c>
      <c r="J6448" s="142">
        <v>14</v>
      </c>
      <c r="K6448" s="142">
        <v>0</v>
      </c>
      <c r="L6448" s="142">
        <v>0</v>
      </c>
      <c r="M6448" s="142">
        <v>0</v>
      </c>
    </row>
    <row r="6449" spans="1:13" x14ac:dyDescent="0.45">
      <c r="A6449" s="142" t="s">
        <v>13065</v>
      </c>
      <c r="B6449" s="142" t="s">
        <v>14497</v>
      </c>
      <c r="C6449" s="142" t="s">
        <v>15847</v>
      </c>
      <c r="D6449" s="142" t="s">
        <v>15848</v>
      </c>
      <c r="E6449" s="142" t="s">
        <v>15849</v>
      </c>
      <c r="F6449" s="142" t="s">
        <v>6162</v>
      </c>
      <c r="G6449" s="142" t="s">
        <v>6161</v>
      </c>
      <c r="H6449" s="142" t="s">
        <v>22299</v>
      </c>
      <c r="I6449" s="142">
        <v>10</v>
      </c>
      <c r="J6449" s="142">
        <v>0</v>
      </c>
      <c r="K6449" s="142">
        <v>0</v>
      </c>
      <c r="L6449" s="142">
        <v>10</v>
      </c>
      <c r="M6449" s="142">
        <v>0</v>
      </c>
    </row>
    <row r="6450" spans="1:13" x14ac:dyDescent="0.45">
      <c r="A6450" s="142" t="s">
        <v>13289</v>
      </c>
      <c r="B6450" s="142" t="s">
        <v>14423</v>
      </c>
      <c r="C6450" s="142" t="s">
        <v>15847</v>
      </c>
      <c r="D6450" s="142" t="s">
        <v>15848</v>
      </c>
      <c r="E6450" s="142" t="s">
        <v>15849</v>
      </c>
      <c r="F6450" s="142" t="s">
        <v>6162</v>
      </c>
      <c r="G6450" s="142" t="s">
        <v>6161</v>
      </c>
      <c r="H6450" s="142" t="s">
        <v>22300</v>
      </c>
      <c r="I6450" s="142">
        <v>64</v>
      </c>
      <c r="J6450" s="142">
        <v>53</v>
      </c>
      <c r="K6450" s="142">
        <v>0</v>
      </c>
      <c r="L6450" s="142">
        <v>0</v>
      </c>
      <c r="M6450" s="142">
        <v>11</v>
      </c>
    </row>
    <row r="6451" spans="1:13" x14ac:dyDescent="0.45">
      <c r="A6451" s="142" t="s">
        <v>13407</v>
      </c>
      <c r="B6451" s="142" t="s">
        <v>15432</v>
      </c>
      <c r="C6451" s="142" t="s">
        <v>15847</v>
      </c>
      <c r="D6451" s="142" t="s">
        <v>15848</v>
      </c>
      <c r="E6451" s="142" t="s">
        <v>15849</v>
      </c>
      <c r="F6451" s="142" t="s">
        <v>6162</v>
      </c>
      <c r="G6451" s="142" t="s">
        <v>6161</v>
      </c>
      <c r="H6451" s="142" t="s">
        <v>22301</v>
      </c>
      <c r="I6451" s="142">
        <v>8</v>
      </c>
      <c r="J6451" s="142">
        <v>0</v>
      </c>
      <c r="K6451" s="142">
        <v>0</v>
      </c>
      <c r="L6451" s="142">
        <v>8</v>
      </c>
      <c r="M6451" s="142">
        <v>0</v>
      </c>
    </row>
    <row r="6452" spans="1:13" x14ac:dyDescent="0.45">
      <c r="A6452" s="142" t="s">
        <v>13273</v>
      </c>
      <c r="B6452" s="142" t="s">
        <v>14465</v>
      </c>
      <c r="C6452" s="142" t="s">
        <v>15860</v>
      </c>
      <c r="D6452" s="142" t="s">
        <v>15861</v>
      </c>
      <c r="E6452" s="142" t="s">
        <v>15849</v>
      </c>
      <c r="F6452" s="142" t="s">
        <v>6162</v>
      </c>
      <c r="G6452" s="142" t="s">
        <v>6161</v>
      </c>
      <c r="H6452" s="142" t="s">
        <v>22302</v>
      </c>
      <c r="I6452" s="142">
        <v>14</v>
      </c>
      <c r="J6452" s="142">
        <v>0</v>
      </c>
      <c r="K6452" s="142">
        <v>0</v>
      </c>
      <c r="L6452" s="142">
        <v>14</v>
      </c>
      <c r="M6452" s="142">
        <v>0</v>
      </c>
    </row>
    <row r="6453" spans="1:13" x14ac:dyDescent="0.45">
      <c r="A6453" s="142" t="s">
        <v>13280</v>
      </c>
      <c r="B6453" s="142" t="s">
        <v>15460</v>
      </c>
      <c r="C6453" s="142" t="s">
        <v>15847</v>
      </c>
      <c r="D6453" s="142" t="s">
        <v>15848</v>
      </c>
      <c r="E6453" s="142" t="s">
        <v>15849</v>
      </c>
      <c r="F6453" s="142" t="s">
        <v>6162</v>
      </c>
      <c r="G6453" s="142" t="s">
        <v>6161</v>
      </c>
      <c r="H6453" s="142" t="s">
        <v>22303</v>
      </c>
      <c r="I6453" s="142">
        <v>6821</v>
      </c>
      <c r="J6453" s="142">
        <v>6093</v>
      </c>
      <c r="K6453" s="142">
        <v>0</v>
      </c>
      <c r="L6453" s="142">
        <v>657</v>
      </c>
      <c r="M6453" s="142">
        <v>71</v>
      </c>
    </row>
    <row r="6454" spans="1:13" x14ac:dyDescent="0.45">
      <c r="A6454" s="142" t="s">
        <v>13238</v>
      </c>
      <c r="B6454" s="142" t="s">
        <v>14477</v>
      </c>
      <c r="C6454" s="142" t="s">
        <v>15860</v>
      </c>
      <c r="D6454" s="142" t="s">
        <v>15861</v>
      </c>
      <c r="E6454" s="142" t="s">
        <v>15849</v>
      </c>
      <c r="F6454" s="142" t="s">
        <v>6162</v>
      </c>
      <c r="G6454" s="142" t="s">
        <v>6161</v>
      </c>
      <c r="H6454" s="142" t="s">
        <v>22304</v>
      </c>
      <c r="I6454" s="142">
        <v>1</v>
      </c>
      <c r="J6454" s="142">
        <v>0</v>
      </c>
      <c r="K6454" s="142">
        <v>0</v>
      </c>
      <c r="L6454" s="142">
        <v>1</v>
      </c>
      <c r="M6454" s="142">
        <v>0</v>
      </c>
    </row>
    <row r="6455" spans="1:13" x14ac:dyDescent="0.45">
      <c r="A6455" s="142" t="s">
        <v>13085</v>
      </c>
      <c r="B6455" s="142" t="s">
        <v>14460</v>
      </c>
      <c r="C6455" s="142" t="s">
        <v>15860</v>
      </c>
      <c r="D6455" s="142" t="s">
        <v>15861</v>
      </c>
      <c r="E6455" s="142" t="s">
        <v>15849</v>
      </c>
      <c r="F6455" s="142" t="s">
        <v>6162</v>
      </c>
      <c r="G6455" s="142" t="s">
        <v>6161</v>
      </c>
      <c r="H6455" s="142" t="s">
        <v>22305</v>
      </c>
      <c r="I6455" s="142">
        <v>3</v>
      </c>
      <c r="J6455" s="142">
        <v>0</v>
      </c>
      <c r="K6455" s="142">
        <v>0</v>
      </c>
      <c r="L6455" s="142">
        <v>3</v>
      </c>
      <c r="M6455" s="142">
        <v>0</v>
      </c>
    </row>
    <row r="6456" spans="1:13" x14ac:dyDescent="0.45">
      <c r="A6456" s="142" t="s">
        <v>13099</v>
      </c>
      <c r="B6456" s="142" t="s">
        <v>14547</v>
      </c>
      <c r="C6456" s="142" t="s">
        <v>15860</v>
      </c>
      <c r="D6456" s="142" t="s">
        <v>15861</v>
      </c>
      <c r="E6456" s="142" t="s">
        <v>15849</v>
      </c>
      <c r="F6456" s="142" t="s">
        <v>6162</v>
      </c>
      <c r="G6456" s="142" t="s">
        <v>6161</v>
      </c>
      <c r="H6456" s="142" t="s">
        <v>22306</v>
      </c>
      <c r="I6456" s="142">
        <v>18</v>
      </c>
      <c r="J6456" s="142">
        <v>0</v>
      </c>
      <c r="K6456" s="142">
        <v>0</v>
      </c>
      <c r="L6456" s="142">
        <v>18</v>
      </c>
      <c r="M6456" s="142">
        <v>0</v>
      </c>
    </row>
    <row r="6457" spans="1:13" x14ac:dyDescent="0.45">
      <c r="A6457" s="142" t="s">
        <v>13027</v>
      </c>
      <c r="B6457" s="142" t="s">
        <v>14562</v>
      </c>
      <c r="C6457" s="142" t="s">
        <v>15847</v>
      </c>
      <c r="D6457" s="142" t="s">
        <v>15848</v>
      </c>
      <c r="E6457" s="142" t="s">
        <v>15849</v>
      </c>
      <c r="F6457" s="142" t="s">
        <v>6162</v>
      </c>
      <c r="G6457" s="142" t="s">
        <v>6161</v>
      </c>
      <c r="H6457" s="142" t="s">
        <v>22307</v>
      </c>
      <c r="I6457" s="142">
        <v>14</v>
      </c>
      <c r="J6457" s="142">
        <v>0</v>
      </c>
      <c r="K6457" s="142">
        <v>0</v>
      </c>
      <c r="L6457" s="142">
        <v>14</v>
      </c>
      <c r="M6457" s="142">
        <v>0</v>
      </c>
    </row>
    <row r="6458" spans="1:13" x14ac:dyDescent="0.45">
      <c r="A6458" s="142" t="s">
        <v>13148</v>
      </c>
      <c r="B6458" s="142" t="s">
        <v>15314</v>
      </c>
      <c r="C6458" s="142" t="s">
        <v>15847</v>
      </c>
      <c r="D6458" s="142" t="s">
        <v>15848</v>
      </c>
      <c r="E6458" s="142" t="s">
        <v>15849</v>
      </c>
      <c r="F6458" s="142" t="s">
        <v>6162</v>
      </c>
      <c r="G6458" s="142" t="s">
        <v>6161</v>
      </c>
      <c r="H6458" s="142" t="s">
        <v>22308</v>
      </c>
      <c r="I6458" s="142">
        <v>246</v>
      </c>
      <c r="J6458" s="142">
        <v>198</v>
      </c>
      <c r="K6458" s="142">
        <v>0</v>
      </c>
      <c r="L6458" s="142">
        <v>8</v>
      </c>
      <c r="M6458" s="142">
        <v>40</v>
      </c>
    </row>
    <row r="6459" spans="1:13" x14ac:dyDescent="0.45">
      <c r="A6459" s="142" t="s">
        <v>13149</v>
      </c>
      <c r="B6459" s="142" t="s">
        <v>14458</v>
      </c>
      <c r="C6459" s="142" t="s">
        <v>15860</v>
      </c>
      <c r="D6459" s="142" t="s">
        <v>15861</v>
      </c>
      <c r="E6459" s="142" t="s">
        <v>15849</v>
      </c>
      <c r="F6459" s="142" t="s">
        <v>6162</v>
      </c>
      <c r="G6459" s="142" t="s">
        <v>6161</v>
      </c>
      <c r="H6459" s="142" t="s">
        <v>22309</v>
      </c>
      <c r="I6459" s="142">
        <v>38</v>
      </c>
      <c r="J6459" s="142">
        <v>0</v>
      </c>
      <c r="K6459" s="142">
        <v>0</v>
      </c>
      <c r="L6459" s="142">
        <v>38</v>
      </c>
      <c r="M6459" s="142">
        <v>0</v>
      </c>
    </row>
    <row r="6460" spans="1:13" x14ac:dyDescent="0.45">
      <c r="A6460" s="142" t="s">
        <v>13028</v>
      </c>
      <c r="B6460" s="142" t="s">
        <v>14462</v>
      </c>
      <c r="C6460" s="142" t="s">
        <v>15847</v>
      </c>
      <c r="D6460" s="142" t="s">
        <v>15848</v>
      </c>
      <c r="E6460" s="142" t="s">
        <v>15849</v>
      </c>
      <c r="F6460" s="142" t="s">
        <v>6162</v>
      </c>
      <c r="G6460" s="142" t="s">
        <v>6161</v>
      </c>
      <c r="H6460" s="142" t="s">
        <v>22310</v>
      </c>
      <c r="I6460" s="142">
        <v>181</v>
      </c>
      <c r="J6460" s="142">
        <v>0</v>
      </c>
      <c r="K6460" s="142">
        <v>0</v>
      </c>
      <c r="L6460" s="142">
        <v>0</v>
      </c>
      <c r="M6460" s="142">
        <v>181</v>
      </c>
    </row>
    <row r="6461" spans="1:13" x14ac:dyDescent="0.45">
      <c r="A6461" s="142" t="s">
        <v>13160</v>
      </c>
      <c r="B6461" s="142" t="s">
        <v>14525</v>
      </c>
      <c r="C6461" s="142" t="s">
        <v>15847</v>
      </c>
      <c r="D6461" s="142" t="s">
        <v>15848</v>
      </c>
      <c r="E6461" s="142" t="s">
        <v>15849</v>
      </c>
      <c r="F6461" s="142" t="s">
        <v>6162</v>
      </c>
      <c r="G6461" s="142" t="s">
        <v>6161</v>
      </c>
      <c r="H6461" s="142" t="s">
        <v>22311</v>
      </c>
      <c r="I6461" s="142">
        <v>18</v>
      </c>
      <c r="J6461" s="142">
        <v>0</v>
      </c>
      <c r="K6461" s="142">
        <v>0</v>
      </c>
      <c r="L6461" s="142">
        <v>18</v>
      </c>
      <c r="M6461" s="142">
        <v>0</v>
      </c>
    </row>
    <row r="6462" spans="1:13" x14ac:dyDescent="0.45">
      <c r="A6462" s="142" t="s">
        <v>13003</v>
      </c>
      <c r="B6462" s="142" t="s">
        <v>15245</v>
      </c>
      <c r="C6462" s="142" t="s">
        <v>15847</v>
      </c>
      <c r="D6462" s="142" t="s">
        <v>15848</v>
      </c>
      <c r="E6462" s="142" t="s">
        <v>15849</v>
      </c>
      <c r="F6462" s="142" t="s">
        <v>6162</v>
      </c>
      <c r="G6462" s="142" t="s">
        <v>6161</v>
      </c>
      <c r="H6462" s="142" t="s">
        <v>22312</v>
      </c>
      <c r="I6462" s="142">
        <v>41</v>
      </c>
      <c r="J6462" s="142">
        <v>0</v>
      </c>
      <c r="K6462" s="142">
        <v>0</v>
      </c>
      <c r="L6462" s="142">
        <v>41</v>
      </c>
      <c r="M6462" s="142">
        <v>0</v>
      </c>
    </row>
    <row r="6463" spans="1:13" x14ac:dyDescent="0.45">
      <c r="A6463" s="142" t="s">
        <v>13066</v>
      </c>
      <c r="B6463" s="142" t="s">
        <v>14459</v>
      </c>
      <c r="C6463" s="142" t="s">
        <v>15847</v>
      </c>
      <c r="D6463" s="142" t="s">
        <v>15848</v>
      </c>
      <c r="E6463" s="142" t="s">
        <v>15849</v>
      </c>
      <c r="F6463" s="142" t="s">
        <v>6162</v>
      </c>
      <c r="G6463" s="142" t="s">
        <v>6161</v>
      </c>
      <c r="H6463" s="142" t="s">
        <v>22313</v>
      </c>
      <c r="I6463" s="142">
        <v>21</v>
      </c>
      <c r="J6463" s="142">
        <v>0</v>
      </c>
      <c r="K6463" s="142">
        <v>0</v>
      </c>
      <c r="L6463" s="142">
        <v>21</v>
      </c>
      <c r="M6463" s="142">
        <v>0</v>
      </c>
    </row>
    <row r="6464" spans="1:13" x14ac:dyDescent="0.45">
      <c r="A6464" s="142" t="s">
        <v>13291</v>
      </c>
      <c r="B6464" s="142" t="s">
        <v>15495</v>
      </c>
      <c r="C6464" s="142" t="s">
        <v>15847</v>
      </c>
      <c r="D6464" s="142" t="s">
        <v>15848</v>
      </c>
      <c r="E6464" s="142" t="s">
        <v>15849</v>
      </c>
      <c r="F6464" s="142" t="s">
        <v>6162</v>
      </c>
      <c r="G6464" s="142" t="s">
        <v>6161</v>
      </c>
      <c r="H6464" s="142" t="s">
        <v>22314</v>
      </c>
      <c r="I6464" s="142">
        <v>735</v>
      </c>
      <c r="J6464" s="142">
        <v>622</v>
      </c>
      <c r="K6464" s="142">
        <v>0</v>
      </c>
      <c r="L6464" s="142">
        <v>0</v>
      </c>
      <c r="M6464" s="142">
        <v>113</v>
      </c>
    </row>
    <row r="6465" spans="1:13" x14ac:dyDescent="0.45">
      <c r="A6465" s="142" t="s">
        <v>13076</v>
      </c>
      <c r="B6465" s="142" t="s">
        <v>14636</v>
      </c>
      <c r="C6465" s="142" t="s">
        <v>15847</v>
      </c>
      <c r="D6465" s="142" t="s">
        <v>15848</v>
      </c>
      <c r="E6465" s="142" t="s">
        <v>15849</v>
      </c>
      <c r="F6465" s="142" t="s">
        <v>6162</v>
      </c>
      <c r="G6465" s="142" t="s">
        <v>6161</v>
      </c>
      <c r="H6465" s="142" t="s">
        <v>22315</v>
      </c>
      <c r="I6465" s="142">
        <v>157</v>
      </c>
      <c r="J6465" s="142">
        <v>107</v>
      </c>
      <c r="K6465" s="142">
        <v>0</v>
      </c>
      <c r="L6465" s="142">
        <v>0</v>
      </c>
      <c r="M6465" s="142">
        <v>50</v>
      </c>
    </row>
    <row r="6466" spans="1:13" x14ac:dyDescent="0.45">
      <c r="A6466" s="142" t="s">
        <v>13005</v>
      </c>
      <c r="B6466" s="142" t="s">
        <v>15475</v>
      </c>
      <c r="C6466" s="142" t="s">
        <v>15847</v>
      </c>
      <c r="D6466" s="142" t="s">
        <v>15848</v>
      </c>
      <c r="E6466" s="142" t="s">
        <v>15849</v>
      </c>
      <c r="F6466" s="142" t="s">
        <v>6162</v>
      </c>
      <c r="G6466" s="142" t="s">
        <v>6161</v>
      </c>
      <c r="H6466" s="142" t="s">
        <v>22316</v>
      </c>
      <c r="I6466" s="142">
        <v>111</v>
      </c>
      <c r="J6466" s="142">
        <v>43</v>
      </c>
      <c r="K6466" s="142">
        <v>0</v>
      </c>
      <c r="L6466" s="142">
        <v>0</v>
      </c>
      <c r="M6466" s="142">
        <v>68</v>
      </c>
    </row>
    <row r="6467" spans="1:13" x14ac:dyDescent="0.45">
      <c r="A6467" s="142" t="s">
        <v>13516</v>
      </c>
      <c r="B6467" s="142" t="s">
        <v>14461</v>
      </c>
      <c r="C6467" s="142" t="s">
        <v>15860</v>
      </c>
      <c r="D6467" s="142" t="s">
        <v>15861</v>
      </c>
      <c r="E6467" s="142" t="s">
        <v>15849</v>
      </c>
      <c r="F6467" s="142" t="s">
        <v>6162</v>
      </c>
      <c r="G6467" s="142" t="s">
        <v>6161</v>
      </c>
      <c r="H6467" s="142" t="s">
        <v>22317</v>
      </c>
      <c r="I6467" s="142">
        <v>8</v>
      </c>
      <c r="J6467" s="142">
        <v>0</v>
      </c>
      <c r="K6467" s="142">
        <v>0</v>
      </c>
      <c r="L6467" s="142">
        <v>8</v>
      </c>
      <c r="M6467" s="142">
        <v>0</v>
      </c>
    </row>
    <row r="6468" spans="1:13" x14ac:dyDescent="0.45">
      <c r="A6468" s="142" t="s">
        <v>13486</v>
      </c>
      <c r="B6468" s="142" t="s">
        <v>14563</v>
      </c>
      <c r="C6468" s="142" t="s">
        <v>15847</v>
      </c>
      <c r="D6468" s="142" t="s">
        <v>15848</v>
      </c>
      <c r="E6468" s="142" t="s">
        <v>15849</v>
      </c>
      <c r="F6468" s="142" t="s">
        <v>6162</v>
      </c>
      <c r="G6468" s="142" t="s">
        <v>6161</v>
      </c>
      <c r="H6468" s="142" t="s">
        <v>22318</v>
      </c>
      <c r="I6468" s="142">
        <v>15</v>
      </c>
      <c r="J6468" s="142">
        <v>11</v>
      </c>
      <c r="K6468" s="142">
        <v>0</v>
      </c>
      <c r="L6468" s="142">
        <v>0</v>
      </c>
      <c r="M6468" s="142">
        <v>4</v>
      </c>
    </row>
    <row r="6469" spans="1:13" x14ac:dyDescent="0.45">
      <c r="A6469" s="142" t="s">
        <v>13276</v>
      </c>
      <c r="B6469" s="142" t="s">
        <v>15498</v>
      </c>
      <c r="C6469" s="142" t="s">
        <v>15847</v>
      </c>
      <c r="D6469" s="142" t="s">
        <v>15848</v>
      </c>
      <c r="E6469" s="142" t="s">
        <v>15849</v>
      </c>
      <c r="F6469" s="142" t="s">
        <v>6162</v>
      </c>
      <c r="G6469" s="142" t="s">
        <v>6161</v>
      </c>
      <c r="H6469" s="142" t="s">
        <v>22319</v>
      </c>
      <c r="I6469" s="142">
        <v>1079</v>
      </c>
      <c r="J6469" s="142">
        <v>918</v>
      </c>
      <c r="K6469" s="142">
        <v>0</v>
      </c>
      <c r="L6469" s="142">
        <v>81</v>
      </c>
      <c r="M6469" s="142">
        <v>80</v>
      </c>
    </row>
    <row r="6470" spans="1:13" x14ac:dyDescent="0.45">
      <c r="A6470" s="142" t="s">
        <v>13387</v>
      </c>
      <c r="B6470" s="142" t="s">
        <v>15211</v>
      </c>
      <c r="C6470" s="142" t="s">
        <v>15860</v>
      </c>
      <c r="D6470" s="142" t="s">
        <v>15861</v>
      </c>
      <c r="E6470" s="142" t="s">
        <v>15849</v>
      </c>
      <c r="F6470" s="142" t="s">
        <v>6162</v>
      </c>
      <c r="G6470" s="142" t="s">
        <v>6161</v>
      </c>
      <c r="H6470" s="142" t="s">
        <v>22320</v>
      </c>
      <c r="I6470" s="142">
        <v>16</v>
      </c>
      <c r="J6470" s="142">
        <v>0</v>
      </c>
      <c r="K6470" s="142">
        <v>0</v>
      </c>
      <c r="L6470" s="142">
        <v>16</v>
      </c>
      <c r="M6470" s="142">
        <v>0</v>
      </c>
    </row>
    <row r="6471" spans="1:13" x14ac:dyDescent="0.45">
      <c r="A6471" s="142" t="s">
        <v>13033</v>
      </c>
      <c r="B6471" s="142" t="s">
        <v>15276</v>
      </c>
      <c r="C6471" s="142" t="s">
        <v>15847</v>
      </c>
      <c r="D6471" s="142" t="s">
        <v>15848</v>
      </c>
      <c r="E6471" s="142" t="s">
        <v>15849</v>
      </c>
      <c r="F6471" s="142" t="s">
        <v>6162</v>
      </c>
      <c r="G6471" s="142" t="s">
        <v>6161</v>
      </c>
      <c r="H6471" s="142" t="s">
        <v>22321</v>
      </c>
      <c r="I6471" s="142">
        <v>2269</v>
      </c>
      <c r="J6471" s="142">
        <v>1922</v>
      </c>
      <c r="K6471" s="142">
        <v>0</v>
      </c>
      <c r="L6471" s="142">
        <v>245</v>
      </c>
      <c r="M6471" s="142">
        <v>102</v>
      </c>
    </row>
    <row r="6472" spans="1:13" x14ac:dyDescent="0.45">
      <c r="A6472" s="142" t="s">
        <v>13034</v>
      </c>
      <c r="B6472" s="142" t="s">
        <v>15562</v>
      </c>
      <c r="C6472" s="142" t="s">
        <v>15847</v>
      </c>
      <c r="D6472" s="142" t="s">
        <v>15848</v>
      </c>
      <c r="E6472" s="142" t="s">
        <v>15849</v>
      </c>
      <c r="F6472" s="142" t="s">
        <v>6162</v>
      </c>
      <c r="G6472" s="142" t="s">
        <v>6161</v>
      </c>
      <c r="H6472" s="142" t="s">
        <v>22322</v>
      </c>
      <c r="I6472" s="142">
        <v>196</v>
      </c>
      <c r="J6472" s="142">
        <v>2</v>
      </c>
      <c r="K6472" s="142">
        <v>0</v>
      </c>
      <c r="L6472" s="142">
        <v>194</v>
      </c>
      <c r="M6472" s="142">
        <v>0</v>
      </c>
    </row>
    <row r="6473" spans="1:13" x14ac:dyDescent="0.45">
      <c r="A6473" s="142" t="s">
        <v>13036</v>
      </c>
      <c r="B6473" s="142" t="s">
        <v>15567</v>
      </c>
      <c r="C6473" s="142" t="s">
        <v>15847</v>
      </c>
      <c r="D6473" s="142" t="s">
        <v>15848</v>
      </c>
      <c r="E6473" s="142" t="s">
        <v>15849</v>
      </c>
      <c r="F6473" s="142" t="s">
        <v>6162</v>
      </c>
      <c r="G6473" s="142" t="s">
        <v>6161</v>
      </c>
      <c r="H6473" s="142" t="s">
        <v>22323</v>
      </c>
      <c r="I6473" s="142">
        <v>264</v>
      </c>
      <c r="J6473" s="142">
        <v>129</v>
      </c>
      <c r="K6473" s="142">
        <v>0</v>
      </c>
      <c r="L6473" s="142">
        <v>75</v>
      </c>
      <c r="M6473" s="142">
        <v>60</v>
      </c>
    </row>
    <row r="6474" spans="1:13" x14ac:dyDescent="0.45">
      <c r="A6474" s="142" t="s">
        <v>13277</v>
      </c>
      <c r="B6474" s="142" t="s">
        <v>14454</v>
      </c>
      <c r="C6474" s="142" t="s">
        <v>15847</v>
      </c>
      <c r="D6474" s="142" t="s">
        <v>15848</v>
      </c>
      <c r="E6474" s="142" t="s">
        <v>15849</v>
      </c>
      <c r="F6474" s="142" t="s">
        <v>6162</v>
      </c>
      <c r="G6474" s="142" t="s">
        <v>6161</v>
      </c>
      <c r="H6474" s="142" t="s">
        <v>22324</v>
      </c>
      <c r="I6474" s="142">
        <v>14</v>
      </c>
      <c r="J6474" s="142">
        <v>14</v>
      </c>
      <c r="K6474" s="142">
        <v>0</v>
      </c>
      <c r="L6474" s="142">
        <v>0</v>
      </c>
      <c r="M6474" s="142">
        <v>0</v>
      </c>
    </row>
    <row r="6475" spans="1:13" x14ac:dyDescent="0.45">
      <c r="A6475" s="142" t="s">
        <v>13038</v>
      </c>
      <c r="B6475" s="142" t="s">
        <v>14646</v>
      </c>
      <c r="C6475" s="142" t="s">
        <v>15847</v>
      </c>
      <c r="D6475" s="142" t="s">
        <v>15848</v>
      </c>
      <c r="E6475" s="142" t="s">
        <v>15849</v>
      </c>
      <c r="F6475" s="142" t="s">
        <v>6162</v>
      </c>
      <c r="G6475" s="142" t="s">
        <v>6161</v>
      </c>
      <c r="H6475" s="142" t="s">
        <v>22325</v>
      </c>
      <c r="I6475" s="142">
        <v>8</v>
      </c>
      <c r="J6475" s="142">
        <v>8</v>
      </c>
      <c r="K6475" s="142">
        <v>0</v>
      </c>
      <c r="L6475" s="142">
        <v>0</v>
      </c>
      <c r="M6475" s="142">
        <v>0</v>
      </c>
    </row>
    <row r="6476" spans="1:13" x14ac:dyDescent="0.45">
      <c r="A6476" s="142" t="s">
        <v>13039</v>
      </c>
      <c r="B6476" s="142" t="s">
        <v>14647</v>
      </c>
      <c r="C6476" s="142" t="s">
        <v>15847</v>
      </c>
      <c r="D6476" s="142" t="s">
        <v>15848</v>
      </c>
      <c r="E6476" s="142" t="s">
        <v>15849</v>
      </c>
      <c r="F6476" s="142" t="s">
        <v>6162</v>
      </c>
      <c r="G6476" s="142" t="s">
        <v>6161</v>
      </c>
      <c r="H6476" s="142" t="s">
        <v>22326</v>
      </c>
      <c r="I6476" s="142">
        <v>44</v>
      </c>
      <c r="J6476" s="142">
        <v>44</v>
      </c>
      <c r="K6476" s="142">
        <v>0</v>
      </c>
      <c r="L6476" s="142">
        <v>0</v>
      </c>
      <c r="M6476" s="142">
        <v>0</v>
      </c>
    </row>
    <row r="6477" spans="1:13" x14ac:dyDescent="0.45">
      <c r="A6477" s="142" t="s">
        <v>13078</v>
      </c>
      <c r="B6477" s="142" t="s">
        <v>15540</v>
      </c>
      <c r="C6477" s="142" t="s">
        <v>15847</v>
      </c>
      <c r="D6477" s="142" t="s">
        <v>15848</v>
      </c>
      <c r="E6477" s="142" t="s">
        <v>15849</v>
      </c>
      <c r="F6477" s="142" t="s">
        <v>6162</v>
      </c>
      <c r="G6477" s="142" t="s">
        <v>6161</v>
      </c>
      <c r="H6477" s="142" t="s">
        <v>22327</v>
      </c>
      <c r="I6477" s="142">
        <v>16</v>
      </c>
      <c r="J6477" s="142">
        <v>0</v>
      </c>
      <c r="K6477" s="142">
        <v>0</v>
      </c>
      <c r="L6477" s="142">
        <v>16</v>
      </c>
      <c r="M6477" s="142">
        <v>0</v>
      </c>
    </row>
    <row r="6478" spans="1:13" x14ac:dyDescent="0.45">
      <c r="A6478" s="142" t="s">
        <v>13041</v>
      </c>
      <c r="B6478" s="142" t="s">
        <v>14441</v>
      </c>
      <c r="C6478" s="142" t="s">
        <v>15847</v>
      </c>
      <c r="D6478" s="142" t="s">
        <v>15848</v>
      </c>
      <c r="E6478" s="142" t="s">
        <v>15849</v>
      </c>
      <c r="F6478" s="142" t="s">
        <v>6162</v>
      </c>
      <c r="G6478" s="142" t="s">
        <v>6161</v>
      </c>
      <c r="H6478" s="142" t="s">
        <v>22328</v>
      </c>
      <c r="I6478" s="142">
        <v>40</v>
      </c>
      <c r="J6478" s="142">
        <v>0</v>
      </c>
      <c r="K6478" s="142">
        <v>0</v>
      </c>
      <c r="L6478" s="142">
        <v>0</v>
      </c>
      <c r="M6478" s="142">
        <v>40</v>
      </c>
    </row>
    <row r="6479" spans="1:13" x14ac:dyDescent="0.45">
      <c r="A6479" s="142" t="s">
        <v>13154</v>
      </c>
      <c r="B6479" s="142" t="s">
        <v>15415</v>
      </c>
      <c r="C6479" s="142" t="s">
        <v>15847</v>
      </c>
      <c r="D6479" s="142" t="s">
        <v>15848</v>
      </c>
      <c r="E6479" s="142" t="s">
        <v>15849</v>
      </c>
      <c r="F6479" s="142" t="s">
        <v>6162</v>
      </c>
      <c r="G6479" s="142" t="s">
        <v>6161</v>
      </c>
      <c r="H6479" s="142" t="s">
        <v>22329</v>
      </c>
      <c r="I6479" s="142">
        <v>54</v>
      </c>
      <c r="J6479" s="142">
        <v>29</v>
      </c>
      <c r="K6479" s="142">
        <v>0</v>
      </c>
      <c r="L6479" s="142">
        <v>0</v>
      </c>
      <c r="M6479" s="142">
        <v>25</v>
      </c>
    </row>
    <row r="6480" spans="1:13" x14ac:dyDescent="0.45">
      <c r="A6480" s="142" t="s">
        <v>13286</v>
      </c>
      <c r="B6480" s="142" t="s">
        <v>15342</v>
      </c>
      <c r="C6480" s="142" t="s">
        <v>15847</v>
      </c>
      <c r="D6480" s="142" t="s">
        <v>15848</v>
      </c>
      <c r="E6480" s="142" t="s">
        <v>15849</v>
      </c>
      <c r="F6480" s="142" t="s">
        <v>6162</v>
      </c>
      <c r="G6480" s="142" t="s">
        <v>6161</v>
      </c>
      <c r="H6480" s="142" t="s">
        <v>22330</v>
      </c>
      <c r="I6480" s="142">
        <v>958</v>
      </c>
      <c r="J6480" s="142">
        <v>609</v>
      </c>
      <c r="K6480" s="142">
        <v>0</v>
      </c>
      <c r="L6480" s="142">
        <v>282</v>
      </c>
      <c r="M6480" s="142">
        <v>67</v>
      </c>
    </row>
    <row r="6481" spans="1:13" x14ac:dyDescent="0.45">
      <c r="A6481" s="142" t="s">
        <v>13110</v>
      </c>
      <c r="B6481" s="142" t="s">
        <v>15502</v>
      </c>
      <c r="C6481" s="142" t="s">
        <v>15847</v>
      </c>
      <c r="D6481" s="142" t="s">
        <v>15848</v>
      </c>
      <c r="E6481" s="142" t="s">
        <v>15849</v>
      </c>
      <c r="F6481" s="142" t="s">
        <v>1761</v>
      </c>
      <c r="G6481" s="142" t="s">
        <v>1760</v>
      </c>
      <c r="H6481" s="142" t="s">
        <v>22331</v>
      </c>
      <c r="I6481" s="142">
        <v>95</v>
      </c>
      <c r="J6481" s="142">
        <v>63</v>
      </c>
      <c r="K6481" s="142">
        <v>0</v>
      </c>
      <c r="L6481" s="142">
        <v>7</v>
      </c>
      <c r="M6481" s="142">
        <v>25</v>
      </c>
    </row>
    <row r="6482" spans="1:13" x14ac:dyDescent="0.45">
      <c r="A6482" s="142" t="s">
        <v>13308</v>
      </c>
      <c r="B6482" s="142" t="s">
        <v>15608</v>
      </c>
      <c r="C6482" s="142" t="s">
        <v>15847</v>
      </c>
      <c r="D6482" s="142" t="s">
        <v>15848</v>
      </c>
      <c r="E6482" s="142" t="s">
        <v>15849</v>
      </c>
      <c r="F6482" s="142" t="s">
        <v>1761</v>
      </c>
      <c r="G6482" s="142" t="s">
        <v>1760</v>
      </c>
      <c r="H6482" s="142" t="s">
        <v>22332</v>
      </c>
      <c r="I6482" s="142">
        <v>45</v>
      </c>
      <c r="J6482" s="142">
        <v>16</v>
      </c>
      <c r="K6482" s="142">
        <v>0</v>
      </c>
      <c r="L6482" s="142">
        <v>0</v>
      </c>
      <c r="M6482" s="142">
        <v>29</v>
      </c>
    </row>
    <row r="6483" spans="1:13" x14ac:dyDescent="0.45">
      <c r="A6483" s="142" t="s">
        <v>13166</v>
      </c>
      <c r="B6483" s="142" t="s">
        <v>15576</v>
      </c>
      <c r="C6483" s="142" t="s">
        <v>15847</v>
      </c>
      <c r="D6483" s="142" t="s">
        <v>15848</v>
      </c>
      <c r="E6483" s="142" t="s">
        <v>15849</v>
      </c>
      <c r="F6483" s="142" t="s">
        <v>1761</v>
      </c>
      <c r="G6483" s="142" t="s">
        <v>1760</v>
      </c>
      <c r="H6483" s="142" t="s">
        <v>22333</v>
      </c>
      <c r="I6483" s="142">
        <v>195</v>
      </c>
      <c r="J6483" s="142">
        <v>51</v>
      </c>
      <c r="K6483" s="142">
        <v>0</v>
      </c>
      <c r="L6483" s="142">
        <v>144</v>
      </c>
      <c r="M6483" s="142">
        <v>0</v>
      </c>
    </row>
    <row r="6484" spans="1:13" x14ac:dyDescent="0.45">
      <c r="A6484" s="142" t="s">
        <v>13046</v>
      </c>
      <c r="B6484" s="142" t="s">
        <v>15537</v>
      </c>
      <c r="C6484" s="142" t="s">
        <v>15860</v>
      </c>
      <c r="D6484" s="142" t="s">
        <v>15861</v>
      </c>
      <c r="E6484" s="142" t="s">
        <v>15849</v>
      </c>
      <c r="F6484" s="142" t="s">
        <v>1761</v>
      </c>
      <c r="G6484" s="142" t="s">
        <v>1760</v>
      </c>
      <c r="H6484" s="142" t="s">
        <v>22334</v>
      </c>
      <c r="I6484" s="142">
        <v>63</v>
      </c>
      <c r="J6484" s="142">
        <v>5</v>
      </c>
      <c r="K6484" s="142">
        <v>0</v>
      </c>
      <c r="L6484" s="142">
        <v>58</v>
      </c>
      <c r="M6484" s="142">
        <v>0</v>
      </c>
    </row>
    <row r="6485" spans="1:13" x14ac:dyDescent="0.45">
      <c r="A6485" s="142" t="s">
        <v>13167</v>
      </c>
      <c r="B6485" s="142" t="s">
        <v>15418</v>
      </c>
      <c r="C6485" s="142" t="s">
        <v>15847</v>
      </c>
      <c r="D6485" s="142" t="s">
        <v>15848</v>
      </c>
      <c r="E6485" s="142" t="s">
        <v>15849</v>
      </c>
      <c r="F6485" s="142" t="s">
        <v>1761</v>
      </c>
      <c r="G6485" s="142" t="s">
        <v>1760</v>
      </c>
      <c r="H6485" s="142" t="s">
        <v>22335</v>
      </c>
      <c r="I6485" s="142">
        <v>158</v>
      </c>
      <c r="J6485" s="142">
        <v>101</v>
      </c>
      <c r="K6485" s="142">
        <v>0</v>
      </c>
      <c r="L6485" s="142">
        <v>8</v>
      </c>
      <c r="M6485" s="142">
        <v>49</v>
      </c>
    </row>
    <row r="6486" spans="1:13" x14ac:dyDescent="0.45">
      <c r="A6486" s="142" t="s">
        <v>13021</v>
      </c>
      <c r="B6486" s="142" t="s">
        <v>15501</v>
      </c>
      <c r="C6486" s="142" t="s">
        <v>15847</v>
      </c>
      <c r="D6486" s="142" t="s">
        <v>15848</v>
      </c>
      <c r="E6486" s="142" t="s">
        <v>15849</v>
      </c>
      <c r="F6486" s="142" t="s">
        <v>1761</v>
      </c>
      <c r="G6486" s="142" t="s">
        <v>1760</v>
      </c>
      <c r="H6486" s="142" t="s">
        <v>22336</v>
      </c>
      <c r="I6486" s="142">
        <v>1</v>
      </c>
      <c r="J6486" s="142">
        <v>0</v>
      </c>
      <c r="K6486" s="142">
        <v>0</v>
      </c>
      <c r="L6486" s="142">
        <v>0</v>
      </c>
      <c r="M6486" s="142">
        <v>1</v>
      </c>
    </row>
    <row r="6487" spans="1:13" x14ac:dyDescent="0.45">
      <c r="A6487" s="142" t="s">
        <v>13023</v>
      </c>
      <c r="B6487" s="142" t="s">
        <v>15571</v>
      </c>
      <c r="C6487" s="142" t="s">
        <v>15847</v>
      </c>
      <c r="D6487" s="142" t="s">
        <v>15848</v>
      </c>
      <c r="E6487" s="142" t="s">
        <v>15849</v>
      </c>
      <c r="F6487" s="142" t="s">
        <v>1761</v>
      </c>
      <c r="G6487" s="142" t="s">
        <v>1760</v>
      </c>
      <c r="H6487" s="142" t="s">
        <v>22337</v>
      </c>
      <c r="I6487" s="142">
        <v>86</v>
      </c>
      <c r="J6487" s="142">
        <v>0</v>
      </c>
      <c r="K6487" s="142">
        <v>0</v>
      </c>
      <c r="L6487" s="142">
        <v>86</v>
      </c>
      <c r="M6487" s="142">
        <v>0</v>
      </c>
    </row>
    <row r="6488" spans="1:13" x14ac:dyDescent="0.45">
      <c r="A6488" s="142" t="s">
        <v>13065</v>
      </c>
      <c r="B6488" s="142" t="s">
        <v>14497</v>
      </c>
      <c r="C6488" s="142" t="s">
        <v>15847</v>
      </c>
      <c r="D6488" s="142" t="s">
        <v>15848</v>
      </c>
      <c r="E6488" s="142" t="s">
        <v>15849</v>
      </c>
      <c r="F6488" s="142" t="s">
        <v>1761</v>
      </c>
      <c r="G6488" s="142" t="s">
        <v>1760</v>
      </c>
      <c r="H6488" s="142" t="s">
        <v>22338</v>
      </c>
      <c r="I6488" s="142">
        <v>14</v>
      </c>
      <c r="J6488" s="142">
        <v>0</v>
      </c>
      <c r="K6488" s="142">
        <v>0</v>
      </c>
      <c r="L6488" s="142">
        <v>14</v>
      </c>
      <c r="M6488" s="142">
        <v>0</v>
      </c>
    </row>
    <row r="6489" spans="1:13" x14ac:dyDescent="0.45">
      <c r="A6489" s="142" t="s">
        <v>13000</v>
      </c>
      <c r="B6489" s="142" t="s">
        <v>14610</v>
      </c>
      <c r="C6489" s="142" t="s">
        <v>15847</v>
      </c>
      <c r="D6489" s="142" t="s">
        <v>15848</v>
      </c>
      <c r="E6489" s="142" t="s">
        <v>15849</v>
      </c>
      <c r="F6489" s="142" t="s">
        <v>1761</v>
      </c>
      <c r="G6489" s="142" t="s">
        <v>1760</v>
      </c>
      <c r="H6489" s="142" t="s">
        <v>22339</v>
      </c>
      <c r="I6489" s="142">
        <v>81</v>
      </c>
      <c r="J6489" s="142">
        <v>67</v>
      </c>
      <c r="K6489" s="142">
        <v>0</v>
      </c>
      <c r="L6489" s="142">
        <v>0</v>
      </c>
      <c r="M6489" s="142">
        <v>14</v>
      </c>
    </row>
    <row r="6490" spans="1:13" x14ac:dyDescent="0.45">
      <c r="A6490" s="142" t="s">
        <v>13632</v>
      </c>
      <c r="B6490" s="142" t="s">
        <v>15080</v>
      </c>
      <c r="C6490" s="142" t="s">
        <v>15860</v>
      </c>
      <c r="D6490" s="142" t="s">
        <v>15861</v>
      </c>
      <c r="E6490" s="142" t="s">
        <v>15849</v>
      </c>
      <c r="F6490" s="142" t="s">
        <v>1761</v>
      </c>
      <c r="G6490" s="142" t="s">
        <v>1760</v>
      </c>
      <c r="H6490" s="142" t="s">
        <v>22340</v>
      </c>
      <c r="I6490" s="142">
        <v>59</v>
      </c>
      <c r="J6490" s="142">
        <v>59</v>
      </c>
      <c r="K6490" s="142">
        <v>0</v>
      </c>
      <c r="L6490" s="142">
        <v>0</v>
      </c>
      <c r="M6490" s="142">
        <v>0</v>
      </c>
    </row>
    <row r="6491" spans="1:13" x14ac:dyDescent="0.45">
      <c r="A6491" s="142" t="s">
        <v>13238</v>
      </c>
      <c r="B6491" s="142" t="s">
        <v>14477</v>
      </c>
      <c r="C6491" s="142" t="s">
        <v>15860</v>
      </c>
      <c r="D6491" s="142" t="s">
        <v>15861</v>
      </c>
      <c r="E6491" s="142" t="s">
        <v>15849</v>
      </c>
      <c r="F6491" s="142" t="s">
        <v>1761</v>
      </c>
      <c r="G6491" s="142" t="s">
        <v>1760</v>
      </c>
      <c r="H6491" s="142" t="s">
        <v>22341</v>
      </c>
      <c r="I6491" s="142">
        <v>13</v>
      </c>
      <c r="J6491" s="142">
        <v>0</v>
      </c>
      <c r="K6491" s="142">
        <v>0</v>
      </c>
      <c r="L6491" s="142">
        <v>13</v>
      </c>
      <c r="M6491" s="142">
        <v>0</v>
      </c>
    </row>
    <row r="6492" spans="1:13" x14ac:dyDescent="0.45">
      <c r="A6492" s="142" t="s">
        <v>13119</v>
      </c>
      <c r="B6492" s="142" t="s">
        <v>14451</v>
      </c>
      <c r="C6492" s="142" t="s">
        <v>15860</v>
      </c>
      <c r="D6492" s="142" t="s">
        <v>15861</v>
      </c>
      <c r="E6492" s="142" t="s">
        <v>15849</v>
      </c>
      <c r="F6492" s="142" t="s">
        <v>1761</v>
      </c>
      <c r="G6492" s="142" t="s">
        <v>1760</v>
      </c>
      <c r="H6492" s="142" t="s">
        <v>22342</v>
      </c>
      <c r="I6492" s="142">
        <v>6</v>
      </c>
      <c r="J6492" s="142">
        <v>0</v>
      </c>
      <c r="K6492" s="142">
        <v>0</v>
      </c>
      <c r="L6492" s="142">
        <v>6</v>
      </c>
      <c r="M6492" s="142">
        <v>0</v>
      </c>
    </row>
    <row r="6493" spans="1:13" x14ac:dyDescent="0.45">
      <c r="A6493" s="142" t="s">
        <v>13028</v>
      </c>
      <c r="B6493" s="142" t="s">
        <v>14462</v>
      </c>
      <c r="C6493" s="142" t="s">
        <v>15847</v>
      </c>
      <c r="D6493" s="142" t="s">
        <v>15848</v>
      </c>
      <c r="E6493" s="142" t="s">
        <v>15849</v>
      </c>
      <c r="F6493" s="142" t="s">
        <v>1761</v>
      </c>
      <c r="G6493" s="142" t="s">
        <v>1760</v>
      </c>
      <c r="H6493" s="142" t="s">
        <v>22343</v>
      </c>
      <c r="I6493" s="142">
        <v>2</v>
      </c>
      <c r="J6493" s="142">
        <v>0</v>
      </c>
      <c r="K6493" s="142">
        <v>0</v>
      </c>
      <c r="L6493" s="142">
        <v>0</v>
      </c>
      <c r="M6493" s="142">
        <v>2</v>
      </c>
    </row>
    <row r="6494" spans="1:13" x14ac:dyDescent="0.45">
      <c r="A6494" s="142" t="s">
        <v>13002</v>
      </c>
      <c r="B6494" s="142" t="s">
        <v>15376</v>
      </c>
      <c r="C6494" s="142" t="s">
        <v>15847</v>
      </c>
      <c r="D6494" s="142" t="s">
        <v>15848</v>
      </c>
      <c r="E6494" s="142" t="s">
        <v>15849</v>
      </c>
      <c r="F6494" s="142" t="s">
        <v>1761</v>
      </c>
      <c r="G6494" s="142" t="s">
        <v>1760</v>
      </c>
      <c r="H6494" s="142" t="s">
        <v>22344</v>
      </c>
      <c r="I6494" s="142">
        <v>398</v>
      </c>
      <c r="J6494" s="142">
        <v>247</v>
      </c>
      <c r="K6494" s="142">
        <v>0</v>
      </c>
      <c r="L6494" s="142">
        <v>118</v>
      </c>
      <c r="M6494" s="142">
        <v>33</v>
      </c>
    </row>
    <row r="6495" spans="1:13" x14ac:dyDescent="0.45">
      <c r="A6495" s="142" t="s">
        <v>13169</v>
      </c>
      <c r="B6495" s="142" t="s">
        <v>15408</v>
      </c>
      <c r="C6495" s="142" t="s">
        <v>15847</v>
      </c>
      <c r="D6495" s="142" t="s">
        <v>15848</v>
      </c>
      <c r="E6495" s="142" t="s">
        <v>15849</v>
      </c>
      <c r="F6495" s="142" t="s">
        <v>1761</v>
      </c>
      <c r="G6495" s="142" t="s">
        <v>1760</v>
      </c>
      <c r="H6495" s="142" t="s">
        <v>22345</v>
      </c>
      <c r="I6495" s="142">
        <v>128</v>
      </c>
      <c r="J6495" s="142">
        <v>119</v>
      </c>
      <c r="K6495" s="142">
        <v>0</v>
      </c>
      <c r="L6495" s="142">
        <v>0</v>
      </c>
      <c r="M6495" s="142">
        <v>9</v>
      </c>
    </row>
    <row r="6496" spans="1:13" x14ac:dyDescent="0.45">
      <c r="A6496" s="142" t="s">
        <v>13066</v>
      </c>
      <c r="B6496" s="142" t="s">
        <v>14459</v>
      </c>
      <c r="C6496" s="142" t="s">
        <v>15847</v>
      </c>
      <c r="D6496" s="142" t="s">
        <v>15848</v>
      </c>
      <c r="E6496" s="142" t="s">
        <v>15849</v>
      </c>
      <c r="F6496" s="142" t="s">
        <v>1761</v>
      </c>
      <c r="G6496" s="142" t="s">
        <v>1760</v>
      </c>
      <c r="H6496" s="142" t="s">
        <v>22346</v>
      </c>
      <c r="I6496" s="142">
        <v>1</v>
      </c>
      <c r="J6496" s="142">
        <v>0</v>
      </c>
      <c r="K6496" s="142">
        <v>0</v>
      </c>
      <c r="L6496" s="142">
        <v>1</v>
      </c>
      <c r="M6496" s="142">
        <v>0</v>
      </c>
    </row>
    <row r="6497" spans="1:13" x14ac:dyDescent="0.45">
      <c r="A6497" s="142" t="s">
        <v>13005</v>
      </c>
      <c r="B6497" s="142" t="s">
        <v>15475</v>
      </c>
      <c r="C6497" s="142" t="s">
        <v>15847</v>
      </c>
      <c r="D6497" s="142" t="s">
        <v>15848</v>
      </c>
      <c r="E6497" s="142" t="s">
        <v>15849</v>
      </c>
      <c r="F6497" s="142" t="s">
        <v>1761</v>
      </c>
      <c r="G6497" s="142" t="s">
        <v>1760</v>
      </c>
      <c r="H6497" s="142" t="s">
        <v>22347</v>
      </c>
      <c r="I6497" s="142">
        <v>518</v>
      </c>
      <c r="J6497" s="142">
        <v>265</v>
      </c>
      <c r="K6497" s="142">
        <v>0</v>
      </c>
      <c r="L6497" s="142">
        <v>0</v>
      </c>
      <c r="M6497" s="142">
        <v>253</v>
      </c>
    </row>
    <row r="6498" spans="1:13" x14ac:dyDescent="0.45">
      <c r="A6498" s="142" t="s">
        <v>13685</v>
      </c>
      <c r="B6498" s="142" t="s">
        <v>14540</v>
      </c>
      <c r="C6498" s="142" t="s">
        <v>15860</v>
      </c>
      <c r="D6498" s="142" t="s">
        <v>15861</v>
      </c>
      <c r="E6498" s="142" t="s">
        <v>15849</v>
      </c>
      <c r="F6498" s="142" t="s">
        <v>1761</v>
      </c>
      <c r="G6498" s="142" t="s">
        <v>1760</v>
      </c>
      <c r="H6498" s="142" t="s">
        <v>22348</v>
      </c>
      <c r="I6498" s="142">
        <v>1</v>
      </c>
      <c r="J6498" s="142">
        <v>1</v>
      </c>
      <c r="K6498" s="142">
        <v>0</v>
      </c>
      <c r="L6498" s="142">
        <v>0</v>
      </c>
      <c r="M6498" s="142">
        <v>0</v>
      </c>
    </row>
    <row r="6499" spans="1:13" x14ac:dyDescent="0.45">
      <c r="A6499" s="142" t="s">
        <v>13006</v>
      </c>
      <c r="B6499" s="142" t="s">
        <v>15288</v>
      </c>
      <c r="C6499" s="142" t="s">
        <v>15847</v>
      </c>
      <c r="D6499" s="142" t="s">
        <v>15848</v>
      </c>
      <c r="E6499" s="142" t="s">
        <v>15849</v>
      </c>
      <c r="F6499" s="142" t="s">
        <v>1761</v>
      </c>
      <c r="G6499" s="142" t="s">
        <v>1760</v>
      </c>
      <c r="H6499" s="142" t="s">
        <v>22349</v>
      </c>
      <c r="I6499" s="142">
        <v>704</v>
      </c>
      <c r="J6499" s="142">
        <v>439</v>
      </c>
      <c r="K6499" s="142">
        <v>0</v>
      </c>
      <c r="L6499" s="142">
        <v>0</v>
      </c>
      <c r="M6499" s="142">
        <v>265</v>
      </c>
    </row>
    <row r="6500" spans="1:13" x14ac:dyDescent="0.45">
      <c r="A6500" s="142" t="s">
        <v>13284</v>
      </c>
      <c r="B6500" s="142" t="s">
        <v>15364</v>
      </c>
      <c r="C6500" s="142" t="s">
        <v>15847</v>
      </c>
      <c r="D6500" s="142" t="s">
        <v>15848</v>
      </c>
      <c r="E6500" s="142" t="s">
        <v>15849</v>
      </c>
      <c r="F6500" s="142" t="s">
        <v>1761</v>
      </c>
      <c r="G6500" s="142" t="s">
        <v>1760</v>
      </c>
      <c r="H6500" s="142" t="s">
        <v>22350</v>
      </c>
      <c r="I6500" s="142">
        <v>52</v>
      </c>
      <c r="J6500" s="142">
        <v>52</v>
      </c>
      <c r="K6500" s="142">
        <v>0</v>
      </c>
      <c r="L6500" s="142">
        <v>0</v>
      </c>
      <c r="M6500" s="142">
        <v>0</v>
      </c>
    </row>
    <row r="6501" spans="1:13" x14ac:dyDescent="0.45">
      <c r="A6501" s="142" t="s">
        <v>14117</v>
      </c>
      <c r="B6501" s="142" t="s">
        <v>14944</v>
      </c>
      <c r="C6501" s="142" t="s">
        <v>15860</v>
      </c>
      <c r="D6501" s="142" t="s">
        <v>15861</v>
      </c>
      <c r="E6501" s="142" t="s">
        <v>15849</v>
      </c>
      <c r="F6501" s="142" t="s">
        <v>1761</v>
      </c>
      <c r="G6501" s="142" t="s">
        <v>1760</v>
      </c>
      <c r="H6501" s="142" t="s">
        <v>22351</v>
      </c>
      <c r="I6501" s="142">
        <v>92</v>
      </c>
      <c r="J6501" s="142">
        <v>92</v>
      </c>
      <c r="K6501" s="142">
        <v>0</v>
      </c>
      <c r="L6501" s="142">
        <v>0</v>
      </c>
      <c r="M6501" s="142">
        <v>0</v>
      </c>
    </row>
    <row r="6502" spans="1:13" x14ac:dyDescent="0.45">
      <c r="A6502" s="142" t="s">
        <v>13055</v>
      </c>
      <c r="B6502" s="142" t="s">
        <v>14595</v>
      </c>
      <c r="C6502" s="142" t="s">
        <v>15847</v>
      </c>
      <c r="D6502" s="142" t="s">
        <v>15848</v>
      </c>
      <c r="E6502" s="142" t="s">
        <v>15849</v>
      </c>
      <c r="F6502" s="142" t="s">
        <v>1761</v>
      </c>
      <c r="G6502" s="142" t="s">
        <v>1760</v>
      </c>
      <c r="H6502" s="142" t="s">
        <v>22352</v>
      </c>
      <c r="I6502" s="142">
        <v>26</v>
      </c>
      <c r="J6502" s="142">
        <v>26</v>
      </c>
      <c r="K6502" s="142">
        <v>0</v>
      </c>
      <c r="L6502" s="142">
        <v>0</v>
      </c>
      <c r="M6502" s="142">
        <v>0</v>
      </c>
    </row>
    <row r="6503" spans="1:13" x14ac:dyDescent="0.45">
      <c r="A6503" s="142" t="s">
        <v>13104</v>
      </c>
      <c r="B6503" s="142" t="s">
        <v>14622</v>
      </c>
      <c r="C6503" s="142" t="s">
        <v>15847</v>
      </c>
      <c r="D6503" s="142" t="s">
        <v>15848</v>
      </c>
      <c r="E6503" s="142" t="s">
        <v>15849</v>
      </c>
      <c r="F6503" s="142" t="s">
        <v>1761</v>
      </c>
      <c r="G6503" s="142" t="s">
        <v>1760</v>
      </c>
      <c r="H6503" s="142" t="s">
        <v>22353</v>
      </c>
      <c r="I6503" s="142">
        <v>1013</v>
      </c>
      <c r="J6503" s="142">
        <v>757</v>
      </c>
      <c r="K6503" s="142">
        <v>0</v>
      </c>
      <c r="L6503" s="142">
        <v>92</v>
      </c>
      <c r="M6503" s="142">
        <v>164</v>
      </c>
    </row>
    <row r="6504" spans="1:13" x14ac:dyDescent="0.45">
      <c r="A6504" s="142" t="s">
        <v>13033</v>
      </c>
      <c r="B6504" s="142" t="s">
        <v>15276</v>
      </c>
      <c r="C6504" s="142" t="s">
        <v>15847</v>
      </c>
      <c r="D6504" s="142" t="s">
        <v>15848</v>
      </c>
      <c r="E6504" s="142" t="s">
        <v>15849</v>
      </c>
      <c r="F6504" s="142" t="s">
        <v>1761</v>
      </c>
      <c r="G6504" s="142" t="s">
        <v>1760</v>
      </c>
      <c r="H6504" s="142" t="s">
        <v>22354</v>
      </c>
      <c r="I6504" s="142">
        <v>16</v>
      </c>
      <c r="J6504" s="142">
        <v>0</v>
      </c>
      <c r="K6504" s="142">
        <v>0</v>
      </c>
      <c r="L6504" s="142">
        <v>0</v>
      </c>
      <c r="M6504" s="142">
        <v>16</v>
      </c>
    </row>
    <row r="6505" spans="1:13" x14ac:dyDescent="0.45">
      <c r="A6505" s="142" t="s">
        <v>14118</v>
      </c>
      <c r="B6505" s="142" t="s">
        <v>15488</v>
      </c>
      <c r="C6505" s="142" t="s">
        <v>15860</v>
      </c>
      <c r="D6505" s="142" t="s">
        <v>15861</v>
      </c>
      <c r="E6505" s="142" t="s">
        <v>15849</v>
      </c>
      <c r="F6505" s="142" t="s">
        <v>1761</v>
      </c>
      <c r="G6505" s="142" t="s">
        <v>1760</v>
      </c>
      <c r="H6505" s="142" t="s">
        <v>22355</v>
      </c>
      <c r="I6505" s="142">
        <v>40</v>
      </c>
      <c r="J6505" s="142">
        <v>0</v>
      </c>
      <c r="K6505" s="142">
        <v>0</v>
      </c>
      <c r="L6505" s="142">
        <v>40</v>
      </c>
      <c r="M6505" s="142">
        <v>0</v>
      </c>
    </row>
    <row r="6506" spans="1:13" x14ac:dyDescent="0.45">
      <c r="A6506" s="142" t="s">
        <v>13038</v>
      </c>
      <c r="B6506" s="142" t="s">
        <v>14646</v>
      </c>
      <c r="C6506" s="142" t="s">
        <v>15847</v>
      </c>
      <c r="D6506" s="142" t="s">
        <v>15848</v>
      </c>
      <c r="E6506" s="142" t="s">
        <v>15849</v>
      </c>
      <c r="F6506" s="142" t="s">
        <v>1761</v>
      </c>
      <c r="G6506" s="142" t="s">
        <v>1760</v>
      </c>
      <c r="H6506" s="142" t="s">
        <v>22356</v>
      </c>
      <c r="I6506" s="142">
        <v>5</v>
      </c>
      <c r="J6506" s="142">
        <v>0</v>
      </c>
      <c r="K6506" s="142">
        <v>0</v>
      </c>
      <c r="L6506" s="142">
        <v>0</v>
      </c>
      <c r="M6506" s="142">
        <v>5</v>
      </c>
    </row>
    <row r="6507" spans="1:13" x14ac:dyDescent="0.45">
      <c r="A6507" s="142" t="s">
        <v>13039</v>
      </c>
      <c r="B6507" s="142" t="s">
        <v>14647</v>
      </c>
      <c r="C6507" s="142" t="s">
        <v>15847</v>
      </c>
      <c r="D6507" s="142" t="s">
        <v>15848</v>
      </c>
      <c r="E6507" s="142" t="s">
        <v>15849</v>
      </c>
      <c r="F6507" s="142" t="s">
        <v>1761</v>
      </c>
      <c r="G6507" s="142" t="s">
        <v>1760</v>
      </c>
      <c r="H6507" s="142" t="s">
        <v>22357</v>
      </c>
      <c r="I6507" s="142">
        <v>20</v>
      </c>
      <c r="J6507" s="142">
        <v>20</v>
      </c>
      <c r="K6507" s="142">
        <v>0</v>
      </c>
      <c r="L6507" s="142">
        <v>0</v>
      </c>
      <c r="M6507" s="142">
        <v>0</v>
      </c>
    </row>
    <row r="6508" spans="1:13" x14ac:dyDescent="0.45">
      <c r="A6508" s="142" t="s">
        <v>13078</v>
      </c>
      <c r="B6508" s="142" t="s">
        <v>15540</v>
      </c>
      <c r="C6508" s="142" t="s">
        <v>15847</v>
      </c>
      <c r="D6508" s="142" t="s">
        <v>15848</v>
      </c>
      <c r="E6508" s="142" t="s">
        <v>15849</v>
      </c>
      <c r="F6508" s="142" t="s">
        <v>1761</v>
      </c>
      <c r="G6508" s="142" t="s">
        <v>1760</v>
      </c>
      <c r="H6508" s="142" t="s">
        <v>22358</v>
      </c>
      <c r="I6508" s="142">
        <v>39</v>
      </c>
      <c r="J6508" s="142">
        <v>0</v>
      </c>
      <c r="K6508" s="142">
        <v>0</v>
      </c>
      <c r="L6508" s="142">
        <v>39</v>
      </c>
      <c r="M6508" s="142">
        <v>0</v>
      </c>
    </row>
    <row r="6509" spans="1:13" x14ac:dyDescent="0.45">
      <c r="A6509" s="142" t="s">
        <v>13009</v>
      </c>
      <c r="B6509" s="142" t="s">
        <v>15256</v>
      </c>
      <c r="C6509" s="142" t="s">
        <v>15847</v>
      </c>
      <c r="D6509" s="142" t="s">
        <v>15848</v>
      </c>
      <c r="E6509" s="142" t="s">
        <v>15849</v>
      </c>
      <c r="F6509" s="142" t="s">
        <v>1761</v>
      </c>
      <c r="G6509" s="142" t="s">
        <v>1760</v>
      </c>
      <c r="H6509" s="142" t="s">
        <v>22359</v>
      </c>
      <c r="I6509" s="142">
        <v>254</v>
      </c>
      <c r="J6509" s="142">
        <v>237</v>
      </c>
      <c r="K6509" s="142">
        <v>0</v>
      </c>
      <c r="L6509" s="142">
        <v>0</v>
      </c>
      <c r="M6509" s="142">
        <v>17</v>
      </c>
    </row>
    <row r="6510" spans="1:13" x14ac:dyDescent="0.45">
      <c r="A6510" s="142" t="s">
        <v>13403</v>
      </c>
      <c r="B6510" s="142" t="s">
        <v>15412</v>
      </c>
      <c r="C6510" s="142" t="s">
        <v>15847</v>
      </c>
      <c r="D6510" s="142" t="s">
        <v>15848</v>
      </c>
      <c r="E6510" s="142" t="s">
        <v>15849</v>
      </c>
      <c r="F6510" s="142" t="s">
        <v>1761</v>
      </c>
      <c r="G6510" s="142" t="s">
        <v>1760</v>
      </c>
      <c r="H6510" s="142" t="s">
        <v>22360</v>
      </c>
      <c r="I6510" s="142">
        <v>1</v>
      </c>
      <c r="J6510" s="142">
        <v>0</v>
      </c>
      <c r="K6510" s="142">
        <v>0</v>
      </c>
      <c r="L6510" s="142">
        <v>0</v>
      </c>
      <c r="M6510" s="142">
        <v>1</v>
      </c>
    </row>
    <row r="6511" spans="1:13" x14ac:dyDescent="0.45">
      <c r="A6511" s="142" t="s">
        <v>13011</v>
      </c>
      <c r="B6511" s="142" t="s">
        <v>14695</v>
      </c>
      <c r="C6511" s="142" t="s">
        <v>15847</v>
      </c>
      <c r="D6511" s="142" t="s">
        <v>15848</v>
      </c>
      <c r="E6511" s="142" t="s">
        <v>15849</v>
      </c>
      <c r="F6511" s="142" t="s">
        <v>1761</v>
      </c>
      <c r="G6511" s="142" t="s">
        <v>1760</v>
      </c>
      <c r="H6511" s="142" t="s">
        <v>22361</v>
      </c>
      <c r="I6511" s="142">
        <v>789</v>
      </c>
      <c r="J6511" s="142">
        <v>581</v>
      </c>
      <c r="K6511" s="142">
        <v>0</v>
      </c>
      <c r="L6511" s="142">
        <v>142</v>
      </c>
      <c r="M6511" s="142">
        <v>66</v>
      </c>
    </row>
    <row r="6512" spans="1:13" x14ac:dyDescent="0.45">
      <c r="A6512" s="142" t="s">
        <v>13058</v>
      </c>
      <c r="B6512" s="142" t="s">
        <v>14584</v>
      </c>
      <c r="C6512" s="142" t="s">
        <v>15847</v>
      </c>
      <c r="D6512" s="142" t="s">
        <v>15848</v>
      </c>
      <c r="E6512" s="142" t="s">
        <v>15849</v>
      </c>
      <c r="F6512" s="142" t="s">
        <v>1761</v>
      </c>
      <c r="G6512" s="142" t="s">
        <v>1760</v>
      </c>
      <c r="H6512" s="142" t="s">
        <v>22362</v>
      </c>
      <c r="I6512" s="142">
        <v>346</v>
      </c>
      <c r="J6512" s="142">
        <v>217</v>
      </c>
      <c r="K6512" s="142">
        <v>0</v>
      </c>
      <c r="L6512" s="142">
        <v>6</v>
      </c>
      <c r="M6512" s="142">
        <v>123</v>
      </c>
    </row>
    <row r="6513" spans="1:13" x14ac:dyDescent="0.45">
      <c r="A6513" s="142" t="s">
        <v>13012</v>
      </c>
      <c r="B6513" s="142" t="s">
        <v>15337</v>
      </c>
      <c r="C6513" s="142" t="s">
        <v>15847</v>
      </c>
      <c r="D6513" s="142" t="s">
        <v>15848</v>
      </c>
      <c r="E6513" s="142" t="s">
        <v>15849</v>
      </c>
      <c r="F6513" s="142" t="s">
        <v>1761</v>
      </c>
      <c r="G6513" s="142" t="s">
        <v>1760</v>
      </c>
      <c r="H6513" s="142" t="s">
        <v>22363</v>
      </c>
      <c r="I6513" s="142">
        <v>510</v>
      </c>
      <c r="J6513" s="142">
        <v>466</v>
      </c>
      <c r="K6513" s="142">
        <v>0</v>
      </c>
      <c r="L6513" s="142">
        <v>28</v>
      </c>
      <c r="M6513" s="142">
        <v>16</v>
      </c>
    </row>
    <row r="6514" spans="1:13" x14ac:dyDescent="0.45">
      <c r="A6514" s="142" t="s">
        <v>13174</v>
      </c>
      <c r="B6514" s="142" t="s">
        <v>15280</v>
      </c>
      <c r="C6514" s="142" t="s">
        <v>15847</v>
      </c>
      <c r="D6514" s="142" t="s">
        <v>15848</v>
      </c>
      <c r="E6514" s="142" t="s">
        <v>15849</v>
      </c>
      <c r="F6514" s="142" t="s">
        <v>1761</v>
      </c>
      <c r="G6514" s="142" t="s">
        <v>1760</v>
      </c>
      <c r="H6514" s="142" t="s">
        <v>22364</v>
      </c>
      <c r="I6514" s="142">
        <v>8</v>
      </c>
      <c r="J6514" s="142">
        <v>8</v>
      </c>
      <c r="K6514" s="142">
        <v>0</v>
      </c>
      <c r="L6514" s="142">
        <v>0</v>
      </c>
      <c r="M6514" s="142">
        <v>0</v>
      </c>
    </row>
    <row r="6515" spans="1:13" x14ac:dyDescent="0.45">
      <c r="A6515" s="142" t="s">
        <v>13222</v>
      </c>
      <c r="B6515" s="142" t="s">
        <v>14449</v>
      </c>
      <c r="C6515" s="142" t="s">
        <v>15860</v>
      </c>
      <c r="D6515" s="142" t="s">
        <v>15861</v>
      </c>
      <c r="E6515" s="142" t="s">
        <v>15849</v>
      </c>
      <c r="F6515" s="142" t="s">
        <v>1761</v>
      </c>
      <c r="G6515" s="142" t="s">
        <v>1760</v>
      </c>
      <c r="H6515" s="142" t="s">
        <v>22365</v>
      </c>
      <c r="I6515" s="142">
        <v>14</v>
      </c>
      <c r="J6515" s="142">
        <v>0</v>
      </c>
      <c r="K6515" s="142">
        <v>0</v>
      </c>
      <c r="L6515" s="142">
        <v>14</v>
      </c>
      <c r="M6515" s="142">
        <v>0</v>
      </c>
    </row>
    <row r="6516" spans="1:13" x14ac:dyDescent="0.45">
      <c r="A6516" s="142" t="s">
        <v>13015</v>
      </c>
      <c r="B6516" s="142" t="s">
        <v>14596</v>
      </c>
      <c r="C6516" s="142" t="s">
        <v>15847</v>
      </c>
      <c r="D6516" s="142" t="s">
        <v>15848</v>
      </c>
      <c r="E6516" s="142" t="s">
        <v>15849</v>
      </c>
      <c r="F6516" s="142" t="s">
        <v>1761</v>
      </c>
      <c r="G6516" s="142" t="s">
        <v>1760</v>
      </c>
      <c r="H6516" s="142" t="s">
        <v>22366</v>
      </c>
      <c r="I6516" s="142">
        <v>40</v>
      </c>
      <c r="J6516" s="142">
        <v>27</v>
      </c>
      <c r="K6516" s="142">
        <v>0</v>
      </c>
      <c r="L6516" s="142">
        <v>13</v>
      </c>
      <c r="M6516" s="142">
        <v>0</v>
      </c>
    </row>
    <row r="6517" spans="1:13" x14ac:dyDescent="0.45">
      <c r="A6517" s="142" t="s">
        <v>13021</v>
      </c>
      <c r="B6517" s="142" t="s">
        <v>15501</v>
      </c>
      <c r="C6517" s="142" t="s">
        <v>15847</v>
      </c>
      <c r="D6517" s="142" t="s">
        <v>15848</v>
      </c>
      <c r="E6517" s="142" t="s">
        <v>15849</v>
      </c>
      <c r="F6517" s="142" t="s">
        <v>12240</v>
      </c>
      <c r="G6517" s="142" t="s">
        <v>12239</v>
      </c>
      <c r="H6517" s="142" t="s">
        <v>22367</v>
      </c>
      <c r="I6517" s="142">
        <v>15</v>
      </c>
      <c r="J6517" s="142">
        <v>0</v>
      </c>
      <c r="K6517" s="142">
        <v>0</v>
      </c>
      <c r="L6517" s="142">
        <v>15</v>
      </c>
      <c r="M6517" s="142">
        <v>0</v>
      </c>
    </row>
    <row r="6518" spans="1:13" x14ac:dyDescent="0.45">
      <c r="A6518" s="142" t="s">
        <v>13023</v>
      </c>
      <c r="B6518" s="142" t="s">
        <v>15571</v>
      </c>
      <c r="C6518" s="142" t="s">
        <v>15847</v>
      </c>
      <c r="D6518" s="142" t="s">
        <v>15848</v>
      </c>
      <c r="E6518" s="142" t="s">
        <v>15849</v>
      </c>
      <c r="F6518" s="142" t="s">
        <v>12240</v>
      </c>
      <c r="G6518" s="142" t="s">
        <v>12239</v>
      </c>
      <c r="H6518" s="142" t="s">
        <v>22368</v>
      </c>
      <c r="I6518" s="142">
        <v>326</v>
      </c>
      <c r="J6518" s="142">
        <v>0</v>
      </c>
      <c r="K6518" s="142">
        <v>0</v>
      </c>
      <c r="L6518" s="142">
        <v>292</v>
      </c>
      <c r="M6518" s="142">
        <v>34</v>
      </c>
    </row>
    <row r="6519" spans="1:13" x14ac:dyDescent="0.45">
      <c r="A6519" s="142" t="s">
        <v>13318</v>
      </c>
      <c r="B6519" s="142" t="s">
        <v>15172</v>
      </c>
      <c r="C6519" s="142" t="s">
        <v>15860</v>
      </c>
      <c r="D6519" s="142" t="s">
        <v>15861</v>
      </c>
      <c r="E6519" s="142" t="s">
        <v>15849</v>
      </c>
      <c r="F6519" s="142" t="s">
        <v>12240</v>
      </c>
      <c r="G6519" s="142" t="s">
        <v>12239</v>
      </c>
      <c r="H6519" s="142" t="s">
        <v>22369</v>
      </c>
      <c r="I6519" s="142">
        <v>67</v>
      </c>
      <c r="J6519" s="142">
        <v>2</v>
      </c>
      <c r="K6519" s="142">
        <v>0</v>
      </c>
      <c r="L6519" s="142">
        <v>65</v>
      </c>
      <c r="M6519" s="142">
        <v>0</v>
      </c>
    </row>
    <row r="6520" spans="1:13" x14ac:dyDescent="0.45">
      <c r="A6520" s="142" t="s">
        <v>13000</v>
      </c>
      <c r="B6520" s="142" t="s">
        <v>14610</v>
      </c>
      <c r="C6520" s="142" t="s">
        <v>15847</v>
      </c>
      <c r="D6520" s="142" t="s">
        <v>15848</v>
      </c>
      <c r="E6520" s="142" t="s">
        <v>15849</v>
      </c>
      <c r="F6520" s="142" t="s">
        <v>12240</v>
      </c>
      <c r="G6520" s="142" t="s">
        <v>12239</v>
      </c>
      <c r="H6520" s="142" t="s">
        <v>22370</v>
      </c>
      <c r="I6520" s="142">
        <v>536</v>
      </c>
      <c r="J6520" s="142">
        <v>436</v>
      </c>
      <c r="K6520" s="142">
        <v>0</v>
      </c>
      <c r="L6520" s="142">
        <v>0</v>
      </c>
      <c r="M6520" s="142">
        <v>100</v>
      </c>
    </row>
    <row r="6521" spans="1:13" x14ac:dyDescent="0.45">
      <c r="A6521" s="142" t="s">
        <v>13098</v>
      </c>
      <c r="B6521" s="142" t="s">
        <v>14528</v>
      </c>
      <c r="C6521" s="142" t="s">
        <v>15860</v>
      </c>
      <c r="D6521" s="142" t="s">
        <v>15861</v>
      </c>
      <c r="E6521" s="142" t="s">
        <v>15849</v>
      </c>
      <c r="F6521" s="142" t="s">
        <v>12240</v>
      </c>
      <c r="G6521" s="142" t="s">
        <v>12239</v>
      </c>
      <c r="H6521" s="142" t="s">
        <v>22371</v>
      </c>
      <c r="I6521" s="142">
        <v>9</v>
      </c>
      <c r="J6521" s="142">
        <v>9</v>
      </c>
      <c r="K6521" s="142">
        <v>0</v>
      </c>
      <c r="L6521" s="142">
        <v>0</v>
      </c>
      <c r="M6521" s="142">
        <v>0</v>
      </c>
    </row>
    <row r="6522" spans="1:13" x14ac:dyDescent="0.45">
      <c r="A6522" s="142" t="s">
        <v>13086</v>
      </c>
      <c r="B6522" s="142" t="s">
        <v>15380</v>
      </c>
      <c r="C6522" s="142" t="s">
        <v>15847</v>
      </c>
      <c r="D6522" s="142" t="s">
        <v>15848</v>
      </c>
      <c r="E6522" s="142" t="s">
        <v>15849</v>
      </c>
      <c r="F6522" s="142" t="s">
        <v>12240</v>
      </c>
      <c r="G6522" s="142" t="s">
        <v>12239</v>
      </c>
      <c r="H6522" s="142" t="s">
        <v>22372</v>
      </c>
      <c r="I6522" s="142">
        <v>42</v>
      </c>
      <c r="J6522" s="142">
        <v>42</v>
      </c>
      <c r="K6522" s="142">
        <v>0</v>
      </c>
      <c r="L6522" s="142">
        <v>0</v>
      </c>
      <c r="M6522" s="142">
        <v>0</v>
      </c>
    </row>
    <row r="6523" spans="1:13" x14ac:dyDescent="0.45">
      <c r="A6523" s="142" t="s">
        <v>14120</v>
      </c>
      <c r="B6523" s="142" t="s">
        <v>15250</v>
      </c>
      <c r="C6523" s="142" t="s">
        <v>15860</v>
      </c>
      <c r="D6523" s="142" t="s">
        <v>15861</v>
      </c>
      <c r="E6523" s="142" t="s">
        <v>15849</v>
      </c>
      <c r="F6523" s="142" t="s">
        <v>12240</v>
      </c>
      <c r="G6523" s="142" t="s">
        <v>12239</v>
      </c>
      <c r="H6523" s="142" t="s">
        <v>22373</v>
      </c>
      <c r="I6523" s="142">
        <v>124</v>
      </c>
      <c r="J6523" s="142">
        <v>124</v>
      </c>
      <c r="K6523" s="142">
        <v>0</v>
      </c>
      <c r="L6523" s="142">
        <v>0</v>
      </c>
      <c r="M6523" s="142">
        <v>0</v>
      </c>
    </row>
    <row r="6524" spans="1:13" x14ac:dyDescent="0.45">
      <c r="A6524" s="142" t="s">
        <v>13027</v>
      </c>
      <c r="B6524" s="142" t="s">
        <v>14562</v>
      </c>
      <c r="C6524" s="142" t="s">
        <v>15847</v>
      </c>
      <c r="D6524" s="142" t="s">
        <v>15848</v>
      </c>
      <c r="E6524" s="142" t="s">
        <v>15849</v>
      </c>
      <c r="F6524" s="142" t="s">
        <v>12240</v>
      </c>
      <c r="G6524" s="142" t="s">
        <v>12239</v>
      </c>
      <c r="H6524" s="142" t="s">
        <v>22374</v>
      </c>
      <c r="I6524" s="142">
        <v>17</v>
      </c>
      <c r="J6524" s="142">
        <v>0</v>
      </c>
      <c r="K6524" s="142">
        <v>0</v>
      </c>
      <c r="L6524" s="142">
        <v>17</v>
      </c>
      <c r="M6524" s="142">
        <v>0</v>
      </c>
    </row>
    <row r="6525" spans="1:13" x14ac:dyDescent="0.45">
      <c r="A6525" s="142" t="s">
        <v>13001</v>
      </c>
      <c r="B6525" s="142" t="s">
        <v>15506</v>
      </c>
      <c r="C6525" s="142" t="s">
        <v>15847</v>
      </c>
      <c r="D6525" s="142" t="s">
        <v>15848</v>
      </c>
      <c r="E6525" s="142" t="s">
        <v>15849</v>
      </c>
      <c r="F6525" s="142" t="s">
        <v>12240</v>
      </c>
      <c r="G6525" s="142" t="s">
        <v>12239</v>
      </c>
      <c r="H6525" s="142" t="s">
        <v>22375</v>
      </c>
      <c r="I6525" s="142">
        <v>46</v>
      </c>
      <c r="J6525" s="142">
        <v>17</v>
      </c>
      <c r="K6525" s="142">
        <v>0</v>
      </c>
      <c r="L6525" s="142">
        <v>29</v>
      </c>
      <c r="M6525" s="142">
        <v>0</v>
      </c>
    </row>
    <row r="6526" spans="1:13" x14ac:dyDescent="0.45">
      <c r="A6526" s="142" t="s">
        <v>13028</v>
      </c>
      <c r="B6526" s="142" t="s">
        <v>14462</v>
      </c>
      <c r="C6526" s="142" t="s">
        <v>15847</v>
      </c>
      <c r="D6526" s="142" t="s">
        <v>15848</v>
      </c>
      <c r="E6526" s="142" t="s">
        <v>15849</v>
      </c>
      <c r="F6526" s="142" t="s">
        <v>12240</v>
      </c>
      <c r="G6526" s="142" t="s">
        <v>12239</v>
      </c>
      <c r="H6526" s="142" t="s">
        <v>22376</v>
      </c>
      <c r="I6526" s="142">
        <v>6</v>
      </c>
      <c r="J6526" s="142">
        <v>0</v>
      </c>
      <c r="K6526" s="142">
        <v>0</v>
      </c>
      <c r="L6526" s="142">
        <v>0</v>
      </c>
      <c r="M6526" s="142">
        <v>6</v>
      </c>
    </row>
    <row r="6527" spans="1:13" x14ac:dyDescent="0.45">
      <c r="A6527" s="142" t="s">
        <v>13002</v>
      </c>
      <c r="B6527" s="142" t="s">
        <v>15376</v>
      </c>
      <c r="C6527" s="142" t="s">
        <v>15847</v>
      </c>
      <c r="D6527" s="142" t="s">
        <v>15848</v>
      </c>
      <c r="E6527" s="142" t="s">
        <v>15849</v>
      </c>
      <c r="F6527" s="142" t="s">
        <v>12240</v>
      </c>
      <c r="G6527" s="142" t="s">
        <v>12239</v>
      </c>
      <c r="H6527" s="142" t="s">
        <v>22377</v>
      </c>
      <c r="I6527" s="142">
        <v>73</v>
      </c>
      <c r="J6527" s="142">
        <v>73</v>
      </c>
      <c r="K6527" s="142">
        <v>0</v>
      </c>
      <c r="L6527" s="142">
        <v>0</v>
      </c>
      <c r="M6527" s="142">
        <v>0</v>
      </c>
    </row>
    <row r="6528" spans="1:13" x14ac:dyDescent="0.45">
      <c r="A6528" s="142" t="s">
        <v>14121</v>
      </c>
      <c r="B6528" s="142" t="s">
        <v>15535</v>
      </c>
      <c r="C6528" s="142" t="s">
        <v>15860</v>
      </c>
      <c r="D6528" s="142" t="s">
        <v>15861</v>
      </c>
      <c r="E6528" s="142" t="s">
        <v>15849</v>
      </c>
      <c r="F6528" s="142" t="s">
        <v>12240</v>
      </c>
      <c r="G6528" s="142" t="s">
        <v>12239</v>
      </c>
      <c r="H6528" s="142" t="s">
        <v>22378</v>
      </c>
      <c r="I6528" s="142">
        <v>70</v>
      </c>
      <c r="J6528" s="142">
        <v>0</v>
      </c>
      <c r="K6528" s="142">
        <v>0</v>
      </c>
      <c r="L6528" s="142">
        <v>70</v>
      </c>
      <c r="M6528" s="142">
        <v>0</v>
      </c>
    </row>
    <row r="6529" spans="1:13" x14ac:dyDescent="0.45">
      <c r="A6529" s="142" t="s">
        <v>13003</v>
      </c>
      <c r="B6529" s="142" t="s">
        <v>15245</v>
      </c>
      <c r="C6529" s="142" t="s">
        <v>15847</v>
      </c>
      <c r="D6529" s="142" t="s">
        <v>15848</v>
      </c>
      <c r="E6529" s="142" t="s">
        <v>15849</v>
      </c>
      <c r="F6529" s="142" t="s">
        <v>12240</v>
      </c>
      <c r="G6529" s="142" t="s">
        <v>12239</v>
      </c>
      <c r="H6529" s="142" t="s">
        <v>22379</v>
      </c>
      <c r="I6529" s="142">
        <v>232</v>
      </c>
      <c r="J6529" s="142">
        <v>0</v>
      </c>
      <c r="K6529" s="142">
        <v>0</v>
      </c>
      <c r="L6529" s="142">
        <v>220</v>
      </c>
      <c r="M6529" s="142">
        <v>12</v>
      </c>
    </row>
    <row r="6530" spans="1:13" x14ac:dyDescent="0.45">
      <c r="A6530" s="142" t="s">
        <v>13100</v>
      </c>
      <c r="B6530" s="142" t="s">
        <v>15603</v>
      </c>
      <c r="C6530" s="142" t="s">
        <v>15847</v>
      </c>
      <c r="D6530" s="142" t="s">
        <v>15848</v>
      </c>
      <c r="E6530" s="142" t="s">
        <v>15849</v>
      </c>
      <c r="F6530" s="142" t="s">
        <v>12240</v>
      </c>
      <c r="G6530" s="142" t="s">
        <v>12239</v>
      </c>
      <c r="H6530" s="142" t="s">
        <v>22380</v>
      </c>
      <c r="I6530" s="142">
        <v>9</v>
      </c>
      <c r="J6530" s="142">
        <v>9</v>
      </c>
      <c r="K6530" s="142">
        <v>0</v>
      </c>
      <c r="L6530" s="142">
        <v>0</v>
      </c>
      <c r="M6530" s="142">
        <v>0</v>
      </c>
    </row>
    <row r="6531" spans="1:13" x14ac:dyDescent="0.45">
      <c r="A6531" s="142" t="s">
        <v>13005</v>
      </c>
      <c r="B6531" s="142" t="s">
        <v>15475</v>
      </c>
      <c r="C6531" s="142" t="s">
        <v>15847</v>
      </c>
      <c r="D6531" s="142" t="s">
        <v>15848</v>
      </c>
      <c r="E6531" s="142" t="s">
        <v>15849</v>
      </c>
      <c r="F6531" s="142" t="s">
        <v>12240</v>
      </c>
      <c r="G6531" s="142" t="s">
        <v>12239</v>
      </c>
      <c r="H6531" s="142" t="s">
        <v>22381</v>
      </c>
      <c r="I6531" s="142">
        <v>2122</v>
      </c>
      <c r="J6531" s="142">
        <v>1459</v>
      </c>
      <c r="K6531" s="142">
        <v>0</v>
      </c>
      <c r="L6531" s="142">
        <v>257</v>
      </c>
      <c r="M6531" s="142">
        <v>406</v>
      </c>
    </row>
    <row r="6532" spans="1:13" x14ac:dyDescent="0.45">
      <c r="A6532" s="142" t="s">
        <v>13101</v>
      </c>
      <c r="B6532" s="142" t="s">
        <v>15491</v>
      </c>
      <c r="C6532" s="142" t="s">
        <v>15847</v>
      </c>
      <c r="D6532" s="142" t="s">
        <v>15848</v>
      </c>
      <c r="E6532" s="142" t="s">
        <v>15849</v>
      </c>
      <c r="F6532" s="142" t="s">
        <v>12240</v>
      </c>
      <c r="G6532" s="142" t="s">
        <v>12239</v>
      </c>
      <c r="H6532" s="142" t="s">
        <v>22382</v>
      </c>
      <c r="I6532" s="142">
        <v>7</v>
      </c>
      <c r="J6532" s="142">
        <v>0</v>
      </c>
      <c r="K6532" s="142">
        <v>0</v>
      </c>
      <c r="L6532" s="142">
        <v>7</v>
      </c>
      <c r="M6532" s="142">
        <v>0</v>
      </c>
    </row>
    <row r="6533" spans="1:13" x14ac:dyDescent="0.45">
      <c r="A6533" s="142" t="s">
        <v>13577</v>
      </c>
      <c r="B6533" s="142" t="s">
        <v>14442</v>
      </c>
      <c r="C6533" s="142" t="s">
        <v>15860</v>
      </c>
      <c r="D6533" s="142" t="s">
        <v>15861</v>
      </c>
      <c r="E6533" s="142" t="s">
        <v>15849</v>
      </c>
      <c r="F6533" s="142" t="s">
        <v>12240</v>
      </c>
      <c r="G6533" s="142" t="s">
        <v>12239</v>
      </c>
      <c r="H6533" s="142" t="s">
        <v>22383</v>
      </c>
      <c r="I6533" s="142">
        <v>65</v>
      </c>
      <c r="J6533" s="142">
        <v>65</v>
      </c>
      <c r="K6533" s="142">
        <v>0</v>
      </c>
      <c r="L6533" s="142">
        <v>0</v>
      </c>
      <c r="M6533" s="142">
        <v>0</v>
      </c>
    </row>
    <row r="6534" spans="1:13" x14ac:dyDescent="0.45">
      <c r="A6534" s="142" t="s">
        <v>13006</v>
      </c>
      <c r="B6534" s="142" t="s">
        <v>15288</v>
      </c>
      <c r="C6534" s="142" t="s">
        <v>15847</v>
      </c>
      <c r="D6534" s="142" t="s">
        <v>15848</v>
      </c>
      <c r="E6534" s="142" t="s">
        <v>15849</v>
      </c>
      <c r="F6534" s="142" t="s">
        <v>12240</v>
      </c>
      <c r="G6534" s="142" t="s">
        <v>12239</v>
      </c>
      <c r="H6534" s="142" t="s">
        <v>22384</v>
      </c>
      <c r="I6534" s="142">
        <v>169</v>
      </c>
      <c r="J6534" s="142">
        <v>104</v>
      </c>
      <c r="K6534" s="142">
        <v>0</v>
      </c>
      <c r="L6534" s="142">
        <v>0</v>
      </c>
      <c r="M6534" s="142">
        <v>65</v>
      </c>
    </row>
    <row r="6535" spans="1:13" x14ac:dyDescent="0.45">
      <c r="A6535" s="142" t="s">
        <v>13102</v>
      </c>
      <c r="B6535" s="142" t="s">
        <v>15235</v>
      </c>
      <c r="C6535" s="142" t="s">
        <v>15847</v>
      </c>
      <c r="D6535" s="142" t="s">
        <v>15848</v>
      </c>
      <c r="E6535" s="142" t="s">
        <v>15849</v>
      </c>
      <c r="F6535" s="142" t="s">
        <v>12240</v>
      </c>
      <c r="G6535" s="142" t="s">
        <v>12239</v>
      </c>
      <c r="H6535" s="142" t="s">
        <v>22385</v>
      </c>
      <c r="I6535" s="142">
        <v>67</v>
      </c>
      <c r="J6535" s="142">
        <v>46</v>
      </c>
      <c r="K6535" s="142">
        <v>0</v>
      </c>
      <c r="L6535" s="142">
        <v>0</v>
      </c>
      <c r="M6535" s="142">
        <v>21</v>
      </c>
    </row>
    <row r="6536" spans="1:13" x14ac:dyDescent="0.45">
      <c r="A6536" s="142" t="s">
        <v>13103</v>
      </c>
      <c r="B6536" s="142" t="s">
        <v>14623</v>
      </c>
      <c r="C6536" s="142" t="s">
        <v>15847</v>
      </c>
      <c r="D6536" s="142" t="s">
        <v>15848</v>
      </c>
      <c r="E6536" s="142" t="s">
        <v>15849</v>
      </c>
      <c r="F6536" s="142" t="s">
        <v>12240</v>
      </c>
      <c r="G6536" s="142" t="s">
        <v>12239</v>
      </c>
      <c r="H6536" s="142" t="s">
        <v>22386</v>
      </c>
      <c r="I6536" s="142">
        <v>398</v>
      </c>
      <c r="J6536" s="142">
        <v>213</v>
      </c>
      <c r="K6536" s="142">
        <v>1</v>
      </c>
      <c r="L6536" s="142">
        <v>162</v>
      </c>
      <c r="M6536" s="142">
        <v>22</v>
      </c>
    </row>
    <row r="6537" spans="1:13" x14ac:dyDescent="0.45">
      <c r="A6537" s="142" t="s">
        <v>13054</v>
      </c>
      <c r="B6537" s="142" t="s">
        <v>15604</v>
      </c>
      <c r="C6537" s="142" t="s">
        <v>15847</v>
      </c>
      <c r="D6537" s="142" t="s">
        <v>15848</v>
      </c>
      <c r="E6537" s="142" t="s">
        <v>15849</v>
      </c>
      <c r="F6537" s="142" t="s">
        <v>12240</v>
      </c>
      <c r="G6537" s="142" t="s">
        <v>12239</v>
      </c>
      <c r="H6537" s="142" t="s">
        <v>22387</v>
      </c>
      <c r="I6537" s="142">
        <v>1</v>
      </c>
      <c r="J6537" s="142">
        <v>0</v>
      </c>
      <c r="K6537" s="142">
        <v>0</v>
      </c>
      <c r="L6537" s="142">
        <v>0</v>
      </c>
      <c r="M6537" s="142">
        <v>1</v>
      </c>
    </row>
    <row r="6538" spans="1:13" x14ac:dyDescent="0.45">
      <c r="A6538" s="142" t="s">
        <v>13008</v>
      </c>
      <c r="B6538" s="142" t="s">
        <v>15411</v>
      </c>
      <c r="C6538" s="142" t="s">
        <v>15847</v>
      </c>
      <c r="D6538" s="142" t="s">
        <v>15848</v>
      </c>
      <c r="E6538" s="142" t="s">
        <v>15849</v>
      </c>
      <c r="F6538" s="142" t="s">
        <v>12240</v>
      </c>
      <c r="G6538" s="142" t="s">
        <v>12239</v>
      </c>
      <c r="H6538" s="142" t="s">
        <v>22388</v>
      </c>
      <c r="I6538" s="142">
        <v>36</v>
      </c>
      <c r="J6538" s="142">
        <v>0</v>
      </c>
      <c r="K6538" s="142">
        <v>0</v>
      </c>
      <c r="L6538" s="142">
        <v>0</v>
      </c>
      <c r="M6538" s="142">
        <v>36</v>
      </c>
    </row>
    <row r="6539" spans="1:13" x14ac:dyDescent="0.45">
      <c r="A6539" s="142" t="s">
        <v>13133</v>
      </c>
      <c r="B6539" s="142" t="s">
        <v>15291</v>
      </c>
      <c r="C6539" s="142" t="s">
        <v>15847</v>
      </c>
      <c r="D6539" s="142" t="s">
        <v>15848</v>
      </c>
      <c r="E6539" s="142" t="s">
        <v>15849</v>
      </c>
      <c r="F6539" s="142" t="s">
        <v>12240</v>
      </c>
      <c r="G6539" s="142" t="s">
        <v>12239</v>
      </c>
      <c r="H6539" s="142" t="s">
        <v>22389</v>
      </c>
      <c r="I6539" s="142">
        <v>1</v>
      </c>
      <c r="J6539" s="142">
        <v>0</v>
      </c>
      <c r="K6539" s="142">
        <v>0</v>
      </c>
      <c r="L6539" s="142">
        <v>0</v>
      </c>
      <c r="M6539" s="142">
        <v>1</v>
      </c>
    </row>
    <row r="6540" spans="1:13" x14ac:dyDescent="0.45">
      <c r="A6540" s="142" t="s">
        <v>13055</v>
      </c>
      <c r="B6540" s="142" t="s">
        <v>14595</v>
      </c>
      <c r="C6540" s="142" t="s">
        <v>15847</v>
      </c>
      <c r="D6540" s="142" t="s">
        <v>15848</v>
      </c>
      <c r="E6540" s="142" t="s">
        <v>15849</v>
      </c>
      <c r="F6540" s="142" t="s">
        <v>12240</v>
      </c>
      <c r="G6540" s="142" t="s">
        <v>12239</v>
      </c>
      <c r="H6540" s="142" t="s">
        <v>22390</v>
      </c>
      <c r="I6540" s="142">
        <v>30</v>
      </c>
      <c r="J6540" s="142">
        <v>30</v>
      </c>
      <c r="K6540" s="142">
        <v>0</v>
      </c>
      <c r="L6540" s="142">
        <v>0</v>
      </c>
      <c r="M6540" s="142">
        <v>0</v>
      </c>
    </row>
    <row r="6541" spans="1:13" x14ac:dyDescent="0.45">
      <c r="A6541" s="142" t="s">
        <v>13104</v>
      </c>
      <c r="B6541" s="142" t="s">
        <v>14622</v>
      </c>
      <c r="C6541" s="142" t="s">
        <v>15847</v>
      </c>
      <c r="D6541" s="142" t="s">
        <v>15848</v>
      </c>
      <c r="E6541" s="142" t="s">
        <v>15849</v>
      </c>
      <c r="F6541" s="142" t="s">
        <v>12240</v>
      </c>
      <c r="G6541" s="142" t="s">
        <v>12239</v>
      </c>
      <c r="H6541" s="142" t="s">
        <v>22391</v>
      </c>
      <c r="I6541" s="142">
        <v>342</v>
      </c>
      <c r="J6541" s="142">
        <v>270</v>
      </c>
      <c r="K6541" s="142">
        <v>0</v>
      </c>
      <c r="L6541" s="142">
        <v>72</v>
      </c>
      <c r="M6541" s="142">
        <v>0</v>
      </c>
    </row>
    <row r="6542" spans="1:13" x14ac:dyDescent="0.45">
      <c r="A6542" s="142" t="s">
        <v>13033</v>
      </c>
      <c r="B6542" s="142" t="s">
        <v>15276</v>
      </c>
      <c r="C6542" s="142" t="s">
        <v>15847</v>
      </c>
      <c r="D6542" s="142" t="s">
        <v>15848</v>
      </c>
      <c r="E6542" s="142" t="s">
        <v>15849</v>
      </c>
      <c r="F6542" s="142" t="s">
        <v>12240</v>
      </c>
      <c r="G6542" s="142" t="s">
        <v>12239</v>
      </c>
      <c r="H6542" s="142" t="s">
        <v>22392</v>
      </c>
      <c r="I6542" s="142">
        <v>27</v>
      </c>
      <c r="J6542" s="142">
        <v>27</v>
      </c>
      <c r="K6542" s="142">
        <v>0</v>
      </c>
      <c r="L6542" s="142">
        <v>0</v>
      </c>
      <c r="M6542" s="142">
        <v>0</v>
      </c>
    </row>
    <row r="6543" spans="1:13" x14ac:dyDescent="0.45">
      <c r="A6543" s="142" t="s">
        <v>13034</v>
      </c>
      <c r="B6543" s="142" t="s">
        <v>15562</v>
      </c>
      <c r="C6543" s="142" t="s">
        <v>15847</v>
      </c>
      <c r="D6543" s="142" t="s">
        <v>15848</v>
      </c>
      <c r="E6543" s="142" t="s">
        <v>15849</v>
      </c>
      <c r="F6543" s="142" t="s">
        <v>12240</v>
      </c>
      <c r="G6543" s="142" t="s">
        <v>12239</v>
      </c>
      <c r="H6543" s="142" t="s">
        <v>22393</v>
      </c>
      <c r="I6543" s="142">
        <v>9</v>
      </c>
      <c r="J6543" s="142">
        <v>8</v>
      </c>
      <c r="K6543" s="142">
        <v>0</v>
      </c>
      <c r="L6543" s="142">
        <v>0</v>
      </c>
      <c r="M6543" s="142">
        <v>1</v>
      </c>
    </row>
    <row r="6544" spans="1:13" x14ac:dyDescent="0.45">
      <c r="A6544" s="142" t="s">
        <v>13105</v>
      </c>
      <c r="B6544" s="142" t="s">
        <v>14654</v>
      </c>
      <c r="C6544" s="142" t="s">
        <v>15847</v>
      </c>
      <c r="D6544" s="142" t="s">
        <v>15848</v>
      </c>
      <c r="E6544" s="142" t="s">
        <v>15849</v>
      </c>
      <c r="F6544" s="142" t="s">
        <v>12240</v>
      </c>
      <c r="G6544" s="142" t="s">
        <v>12239</v>
      </c>
      <c r="H6544" s="142" t="s">
        <v>22394</v>
      </c>
      <c r="I6544" s="142">
        <v>89</v>
      </c>
      <c r="J6544" s="142">
        <v>0</v>
      </c>
      <c r="K6544" s="142">
        <v>0</v>
      </c>
      <c r="L6544" s="142">
        <v>0</v>
      </c>
      <c r="M6544" s="142">
        <v>89</v>
      </c>
    </row>
    <row r="6545" spans="1:13" x14ac:dyDescent="0.45">
      <c r="A6545" s="142" t="s">
        <v>13038</v>
      </c>
      <c r="B6545" s="142" t="s">
        <v>14646</v>
      </c>
      <c r="C6545" s="142" t="s">
        <v>15847</v>
      </c>
      <c r="D6545" s="142" t="s">
        <v>15848</v>
      </c>
      <c r="E6545" s="142" t="s">
        <v>15849</v>
      </c>
      <c r="F6545" s="142" t="s">
        <v>12240</v>
      </c>
      <c r="G6545" s="142" t="s">
        <v>12239</v>
      </c>
      <c r="H6545" s="142" t="s">
        <v>22395</v>
      </c>
      <c r="I6545" s="142">
        <v>20</v>
      </c>
      <c r="J6545" s="142">
        <v>11</v>
      </c>
      <c r="K6545" s="142">
        <v>0</v>
      </c>
      <c r="L6545" s="142">
        <v>0</v>
      </c>
      <c r="M6545" s="142">
        <v>9</v>
      </c>
    </row>
    <row r="6546" spans="1:13" x14ac:dyDescent="0.45">
      <c r="A6546" s="142" t="s">
        <v>13009</v>
      </c>
      <c r="B6546" s="142" t="s">
        <v>15256</v>
      </c>
      <c r="C6546" s="142" t="s">
        <v>15847</v>
      </c>
      <c r="D6546" s="142" t="s">
        <v>15848</v>
      </c>
      <c r="E6546" s="142" t="s">
        <v>15849</v>
      </c>
      <c r="F6546" s="142" t="s">
        <v>12240</v>
      </c>
      <c r="G6546" s="142" t="s">
        <v>12239</v>
      </c>
      <c r="H6546" s="142" t="s">
        <v>22396</v>
      </c>
      <c r="I6546" s="142">
        <v>33</v>
      </c>
      <c r="J6546" s="142">
        <v>17</v>
      </c>
      <c r="K6546" s="142">
        <v>0</v>
      </c>
      <c r="L6546" s="142">
        <v>16</v>
      </c>
      <c r="M6546" s="142">
        <v>0</v>
      </c>
    </row>
    <row r="6547" spans="1:13" x14ac:dyDescent="0.45">
      <c r="A6547" s="142" t="s">
        <v>13011</v>
      </c>
      <c r="B6547" s="142" t="s">
        <v>14695</v>
      </c>
      <c r="C6547" s="142" t="s">
        <v>15847</v>
      </c>
      <c r="D6547" s="142" t="s">
        <v>15848</v>
      </c>
      <c r="E6547" s="142" t="s">
        <v>15849</v>
      </c>
      <c r="F6547" s="142" t="s">
        <v>12240</v>
      </c>
      <c r="G6547" s="142" t="s">
        <v>12239</v>
      </c>
      <c r="H6547" s="142" t="s">
        <v>22397</v>
      </c>
      <c r="I6547" s="142">
        <v>144</v>
      </c>
      <c r="J6547" s="142">
        <v>73</v>
      </c>
      <c r="K6547" s="142">
        <v>0</v>
      </c>
      <c r="L6547" s="142">
        <v>0</v>
      </c>
      <c r="M6547" s="142">
        <v>71</v>
      </c>
    </row>
    <row r="6548" spans="1:13" x14ac:dyDescent="0.45">
      <c r="A6548" s="142" t="s">
        <v>13058</v>
      </c>
      <c r="B6548" s="142" t="s">
        <v>14584</v>
      </c>
      <c r="C6548" s="142" t="s">
        <v>15847</v>
      </c>
      <c r="D6548" s="142" t="s">
        <v>15848</v>
      </c>
      <c r="E6548" s="142" t="s">
        <v>15849</v>
      </c>
      <c r="F6548" s="142" t="s">
        <v>12240</v>
      </c>
      <c r="G6548" s="142" t="s">
        <v>12239</v>
      </c>
      <c r="H6548" s="142" t="s">
        <v>22398</v>
      </c>
      <c r="I6548" s="142">
        <v>43</v>
      </c>
      <c r="J6548" s="142">
        <v>43</v>
      </c>
      <c r="K6548" s="142">
        <v>0</v>
      </c>
      <c r="L6548" s="142">
        <v>0</v>
      </c>
      <c r="M6548" s="142">
        <v>0</v>
      </c>
    </row>
    <row r="6549" spans="1:13" x14ac:dyDescent="0.45">
      <c r="A6549" s="142" t="s">
        <v>13106</v>
      </c>
      <c r="B6549" s="142" t="s">
        <v>15414</v>
      </c>
      <c r="C6549" s="142" t="s">
        <v>15847</v>
      </c>
      <c r="D6549" s="142" t="s">
        <v>15848</v>
      </c>
      <c r="E6549" s="142" t="s">
        <v>15849</v>
      </c>
      <c r="F6549" s="142" t="s">
        <v>12240</v>
      </c>
      <c r="G6549" s="142" t="s">
        <v>12239</v>
      </c>
      <c r="H6549" s="142" t="s">
        <v>22399</v>
      </c>
      <c r="I6549" s="142">
        <v>526</v>
      </c>
      <c r="J6549" s="142">
        <v>500</v>
      </c>
      <c r="K6549" s="142">
        <v>0</v>
      </c>
      <c r="L6549" s="142">
        <v>8</v>
      </c>
      <c r="M6549" s="142">
        <v>18</v>
      </c>
    </row>
    <row r="6550" spans="1:13" x14ac:dyDescent="0.45">
      <c r="A6550" s="142" t="s">
        <v>13014</v>
      </c>
      <c r="B6550" s="142" t="s">
        <v>14505</v>
      </c>
      <c r="C6550" s="142" t="s">
        <v>15847</v>
      </c>
      <c r="D6550" s="142" t="s">
        <v>15848</v>
      </c>
      <c r="E6550" s="142" t="s">
        <v>15849</v>
      </c>
      <c r="F6550" s="142" t="s">
        <v>12240</v>
      </c>
      <c r="G6550" s="142" t="s">
        <v>12239</v>
      </c>
      <c r="H6550" s="142" t="s">
        <v>22400</v>
      </c>
      <c r="I6550" s="142">
        <v>53</v>
      </c>
      <c r="J6550" s="142">
        <v>52</v>
      </c>
      <c r="K6550" s="142">
        <v>0</v>
      </c>
      <c r="L6550" s="142">
        <v>0</v>
      </c>
      <c r="M6550" s="142">
        <v>1</v>
      </c>
    </row>
    <row r="6551" spans="1:13" x14ac:dyDescent="0.45">
      <c r="A6551" s="142" t="s">
        <v>13141</v>
      </c>
      <c r="B6551" s="142" t="s">
        <v>15258</v>
      </c>
      <c r="C6551" s="142" t="s">
        <v>15847</v>
      </c>
      <c r="D6551" s="142" t="s">
        <v>15848</v>
      </c>
      <c r="E6551" s="142" t="s">
        <v>15849</v>
      </c>
      <c r="F6551" s="142" t="s">
        <v>12240</v>
      </c>
      <c r="G6551" s="142" t="s">
        <v>12239</v>
      </c>
      <c r="H6551" s="142" t="s">
        <v>22401</v>
      </c>
      <c r="I6551" s="142">
        <v>89</v>
      </c>
      <c r="J6551" s="142">
        <v>14</v>
      </c>
      <c r="K6551" s="142">
        <v>0</v>
      </c>
      <c r="L6551" s="142">
        <v>70</v>
      </c>
      <c r="M6551" s="142">
        <v>5</v>
      </c>
    </row>
    <row r="6552" spans="1:13" x14ac:dyDescent="0.45">
      <c r="A6552" s="142" t="s">
        <v>13042</v>
      </c>
      <c r="B6552" s="142" t="s">
        <v>15489</v>
      </c>
      <c r="C6552" s="142" t="s">
        <v>15847</v>
      </c>
      <c r="D6552" s="142" t="s">
        <v>15848</v>
      </c>
      <c r="E6552" s="142" t="s">
        <v>15849</v>
      </c>
      <c r="F6552" s="142" t="s">
        <v>12240</v>
      </c>
      <c r="G6552" s="142" t="s">
        <v>12239</v>
      </c>
      <c r="H6552" s="142" t="s">
        <v>22402</v>
      </c>
      <c r="I6552" s="142">
        <v>60</v>
      </c>
      <c r="J6552" s="142">
        <v>12</v>
      </c>
      <c r="K6552" s="142">
        <v>0</v>
      </c>
      <c r="L6552" s="142">
        <v>36</v>
      </c>
      <c r="M6552" s="142">
        <v>12</v>
      </c>
    </row>
    <row r="6553" spans="1:13" x14ac:dyDescent="0.45">
      <c r="A6553" s="142" t="s">
        <v>13072</v>
      </c>
      <c r="B6553" s="142" t="s">
        <v>15530</v>
      </c>
      <c r="C6553" s="142" t="s">
        <v>15847</v>
      </c>
      <c r="D6553" s="142" t="s">
        <v>15848</v>
      </c>
      <c r="E6553" s="142" t="s">
        <v>15849</v>
      </c>
      <c r="F6553" s="142" t="s">
        <v>394</v>
      </c>
      <c r="G6553" s="142" t="s">
        <v>393</v>
      </c>
      <c r="H6553" s="142" t="s">
        <v>22403</v>
      </c>
      <c r="I6553" s="142">
        <v>396</v>
      </c>
      <c r="J6553" s="142">
        <v>353</v>
      </c>
      <c r="K6553" s="142">
        <v>0</v>
      </c>
      <c r="L6553" s="142">
        <v>39</v>
      </c>
      <c r="M6553" s="142">
        <v>4</v>
      </c>
    </row>
    <row r="6554" spans="1:13" x14ac:dyDescent="0.45">
      <c r="A6554" s="142" t="s">
        <v>13023</v>
      </c>
      <c r="B6554" s="142" t="s">
        <v>15571</v>
      </c>
      <c r="C6554" s="142" t="s">
        <v>15847</v>
      </c>
      <c r="D6554" s="142" t="s">
        <v>15848</v>
      </c>
      <c r="E6554" s="142" t="s">
        <v>15849</v>
      </c>
      <c r="F6554" s="142" t="s">
        <v>394</v>
      </c>
      <c r="G6554" s="142" t="s">
        <v>393</v>
      </c>
      <c r="H6554" s="142" t="s">
        <v>22404</v>
      </c>
      <c r="I6554" s="142">
        <v>235</v>
      </c>
      <c r="J6554" s="142">
        <v>0</v>
      </c>
      <c r="K6554" s="142">
        <v>0</v>
      </c>
      <c r="L6554" s="142">
        <v>235</v>
      </c>
      <c r="M6554" s="142">
        <v>0</v>
      </c>
    </row>
    <row r="6555" spans="1:13" x14ac:dyDescent="0.45">
      <c r="A6555" s="142" t="s">
        <v>13547</v>
      </c>
      <c r="B6555" s="142" t="s">
        <v>14613</v>
      </c>
      <c r="C6555" s="142" t="s">
        <v>15847</v>
      </c>
      <c r="D6555" s="142" t="s">
        <v>15848</v>
      </c>
      <c r="E6555" s="142" t="s">
        <v>15849</v>
      </c>
      <c r="F6555" s="142" t="s">
        <v>394</v>
      </c>
      <c r="G6555" s="142" t="s">
        <v>393</v>
      </c>
      <c r="H6555" s="142" t="s">
        <v>22405</v>
      </c>
      <c r="I6555" s="142">
        <v>31</v>
      </c>
      <c r="J6555" s="142">
        <v>8</v>
      </c>
      <c r="K6555" s="142">
        <v>0</v>
      </c>
      <c r="L6555" s="142">
        <v>23</v>
      </c>
      <c r="M6555" s="142">
        <v>0</v>
      </c>
    </row>
    <row r="6556" spans="1:13" x14ac:dyDescent="0.45">
      <c r="A6556" s="142" t="s">
        <v>13065</v>
      </c>
      <c r="B6556" s="142" t="s">
        <v>14497</v>
      </c>
      <c r="C6556" s="142" t="s">
        <v>15847</v>
      </c>
      <c r="D6556" s="142" t="s">
        <v>15848</v>
      </c>
      <c r="E6556" s="142" t="s">
        <v>15849</v>
      </c>
      <c r="F6556" s="142" t="s">
        <v>394</v>
      </c>
      <c r="G6556" s="142" t="s">
        <v>393</v>
      </c>
      <c r="H6556" s="142" t="s">
        <v>22406</v>
      </c>
      <c r="I6556" s="142">
        <v>5</v>
      </c>
      <c r="J6556" s="142">
        <v>0</v>
      </c>
      <c r="K6556" s="142">
        <v>0</v>
      </c>
      <c r="L6556" s="142">
        <v>5</v>
      </c>
      <c r="M6556" s="142">
        <v>0</v>
      </c>
    </row>
    <row r="6557" spans="1:13" x14ac:dyDescent="0.45">
      <c r="A6557" s="142" t="s">
        <v>13594</v>
      </c>
      <c r="B6557" s="142" t="s">
        <v>15597</v>
      </c>
      <c r="C6557" s="142" t="s">
        <v>15847</v>
      </c>
      <c r="D6557" s="142" t="s">
        <v>15848</v>
      </c>
      <c r="E6557" s="142" t="s">
        <v>15849</v>
      </c>
      <c r="F6557" s="142" t="s">
        <v>394</v>
      </c>
      <c r="G6557" s="142" t="s">
        <v>393</v>
      </c>
      <c r="H6557" s="142" t="s">
        <v>22407</v>
      </c>
      <c r="I6557" s="142">
        <v>10404</v>
      </c>
      <c r="J6557" s="142">
        <v>9973</v>
      </c>
      <c r="K6557" s="142">
        <v>0</v>
      </c>
      <c r="L6557" s="142">
        <v>275</v>
      </c>
      <c r="M6557" s="142">
        <v>156</v>
      </c>
    </row>
    <row r="6558" spans="1:13" x14ac:dyDescent="0.45">
      <c r="A6558" s="142" t="s">
        <v>13595</v>
      </c>
      <c r="B6558" s="142" t="s">
        <v>15566</v>
      </c>
      <c r="C6558" s="142" t="s">
        <v>15847</v>
      </c>
      <c r="D6558" s="142" t="s">
        <v>15848</v>
      </c>
      <c r="E6558" s="142" t="s">
        <v>15849</v>
      </c>
      <c r="F6558" s="142" t="s">
        <v>394</v>
      </c>
      <c r="G6558" s="142" t="s">
        <v>393</v>
      </c>
      <c r="H6558" s="142" t="s">
        <v>22408</v>
      </c>
      <c r="I6558" s="142">
        <v>19</v>
      </c>
      <c r="J6558" s="142">
        <v>19</v>
      </c>
      <c r="K6558" s="142">
        <v>0</v>
      </c>
      <c r="L6558" s="142">
        <v>0</v>
      </c>
      <c r="M6558" s="142">
        <v>0</v>
      </c>
    </row>
    <row r="6559" spans="1:13" x14ac:dyDescent="0.45">
      <c r="A6559" s="142" t="s">
        <v>13238</v>
      </c>
      <c r="B6559" s="142" t="s">
        <v>14477</v>
      </c>
      <c r="C6559" s="142" t="s">
        <v>15860</v>
      </c>
      <c r="D6559" s="142" t="s">
        <v>15861</v>
      </c>
      <c r="E6559" s="142" t="s">
        <v>15849</v>
      </c>
      <c r="F6559" s="142" t="s">
        <v>394</v>
      </c>
      <c r="G6559" s="142" t="s">
        <v>393</v>
      </c>
      <c r="H6559" s="142" t="s">
        <v>22409</v>
      </c>
      <c r="I6559" s="142">
        <v>3</v>
      </c>
      <c r="J6559" s="142">
        <v>0</v>
      </c>
      <c r="K6559" s="142">
        <v>0</v>
      </c>
      <c r="L6559" s="142">
        <v>3</v>
      </c>
      <c r="M6559" s="142">
        <v>0</v>
      </c>
    </row>
    <row r="6560" spans="1:13" x14ac:dyDescent="0.45">
      <c r="A6560" s="142" t="s">
        <v>13119</v>
      </c>
      <c r="B6560" s="142" t="s">
        <v>14451</v>
      </c>
      <c r="C6560" s="142" t="s">
        <v>15860</v>
      </c>
      <c r="D6560" s="142" t="s">
        <v>15861</v>
      </c>
      <c r="E6560" s="142" t="s">
        <v>15849</v>
      </c>
      <c r="F6560" s="142" t="s">
        <v>394</v>
      </c>
      <c r="G6560" s="142" t="s">
        <v>393</v>
      </c>
      <c r="H6560" s="142" t="s">
        <v>22410</v>
      </c>
      <c r="I6560" s="142">
        <v>5</v>
      </c>
      <c r="J6560" s="142">
        <v>0</v>
      </c>
      <c r="K6560" s="142">
        <v>0</v>
      </c>
      <c r="L6560" s="142">
        <v>5</v>
      </c>
      <c r="M6560" s="142">
        <v>0</v>
      </c>
    </row>
    <row r="6561" spans="1:13" x14ac:dyDescent="0.45">
      <c r="A6561" s="142" t="s">
        <v>13099</v>
      </c>
      <c r="B6561" s="142" t="s">
        <v>14547</v>
      </c>
      <c r="C6561" s="142" t="s">
        <v>15860</v>
      </c>
      <c r="D6561" s="142" t="s">
        <v>15861</v>
      </c>
      <c r="E6561" s="142" t="s">
        <v>15849</v>
      </c>
      <c r="F6561" s="142" t="s">
        <v>394</v>
      </c>
      <c r="G6561" s="142" t="s">
        <v>393</v>
      </c>
      <c r="H6561" s="142" t="s">
        <v>22411</v>
      </c>
      <c r="I6561" s="142">
        <v>44</v>
      </c>
      <c r="J6561" s="142">
        <v>0</v>
      </c>
      <c r="K6561" s="142">
        <v>0</v>
      </c>
      <c r="L6561" s="142">
        <v>44</v>
      </c>
      <c r="M6561" s="142">
        <v>0</v>
      </c>
    </row>
    <row r="6562" spans="1:13" x14ac:dyDescent="0.45">
      <c r="A6562" s="142" t="s">
        <v>13553</v>
      </c>
      <c r="B6562" s="142" t="s">
        <v>15439</v>
      </c>
      <c r="C6562" s="142" t="s">
        <v>15847</v>
      </c>
      <c r="D6562" s="142" t="s">
        <v>15848</v>
      </c>
      <c r="E6562" s="142" t="s">
        <v>15849</v>
      </c>
      <c r="F6562" s="142" t="s">
        <v>394</v>
      </c>
      <c r="G6562" s="142" t="s">
        <v>393</v>
      </c>
      <c r="H6562" s="142" t="s">
        <v>22412</v>
      </c>
      <c r="I6562" s="142">
        <v>17</v>
      </c>
      <c r="J6562" s="142">
        <v>13</v>
      </c>
      <c r="K6562" s="142">
        <v>0</v>
      </c>
      <c r="L6562" s="142">
        <v>0</v>
      </c>
      <c r="M6562" s="142">
        <v>4</v>
      </c>
    </row>
    <row r="6563" spans="1:13" x14ac:dyDescent="0.45">
      <c r="A6563" s="142" t="s">
        <v>13027</v>
      </c>
      <c r="B6563" s="142" t="s">
        <v>14562</v>
      </c>
      <c r="C6563" s="142" t="s">
        <v>15847</v>
      </c>
      <c r="D6563" s="142" t="s">
        <v>15848</v>
      </c>
      <c r="E6563" s="142" t="s">
        <v>15849</v>
      </c>
      <c r="F6563" s="142" t="s">
        <v>394</v>
      </c>
      <c r="G6563" s="142" t="s">
        <v>393</v>
      </c>
      <c r="H6563" s="142" t="s">
        <v>22413</v>
      </c>
      <c r="I6563" s="142">
        <v>7</v>
      </c>
      <c r="J6563" s="142">
        <v>0</v>
      </c>
      <c r="K6563" s="142">
        <v>0</v>
      </c>
      <c r="L6563" s="142">
        <v>7</v>
      </c>
      <c r="M6563" s="142">
        <v>0</v>
      </c>
    </row>
    <row r="6564" spans="1:13" x14ac:dyDescent="0.45">
      <c r="A6564" s="142" t="s">
        <v>13028</v>
      </c>
      <c r="B6564" s="142" t="s">
        <v>14462</v>
      </c>
      <c r="C6564" s="142" t="s">
        <v>15847</v>
      </c>
      <c r="D6564" s="142" t="s">
        <v>15848</v>
      </c>
      <c r="E6564" s="142" t="s">
        <v>15849</v>
      </c>
      <c r="F6564" s="142" t="s">
        <v>394</v>
      </c>
      <c r="G6564" s="142" t="s">
        <v>393</v>
      </c>
      <c r="H6564" s="142" t="s">
        <v>22414</v>
      </c>
      <c r="I6564" s="142">
        <v>10</v>
      </c>
      <c r="J6564" s="142">
        <v>0</v>
      </c>
      <c r="K6564" s="142">
        <v>0</v>
      </c>
      <c r="L6564" s="142">
        <v>0</v>
      </c>
      <c r="M6564" s="142">
        <v>10</v>
      </c>
    </row>
    <row r="6565" spans="1:13" x14ac:dyDescent="0.45">
      <c r="A6565" s="142" t="s">
        <v>13160</v>
      </c>
      <c r="B6565" s="142" t="s">
        <v>14525</v>
      </c>
      <c r="C6565" s="142" t="s">
        <v>15847</v>
      </c>
      <c r="D6565" s="142" t="s">
        <v>15848</v>
      </c>
      <c r="E6565" s="142" t="s">
        <v>15849</v>
      </c>
      <c r="F6565" s="142" t="s">
        <v>394</v>
      </c>
      <c r="G6565" s="142" t="s">
        <v>393</v>
      </c>
      <c r="H6565" s="142" t="s">
        <v>22415</v>
      </c>
      <c r="I6565" s="142">
        <v>6</v>
      </c>
      <c r="J6565" s="142">
        <v>0</v>
      </c>
      <c r="K6565" s="142">
        <v>0</v>
      </c>
      <c r="L6565" s="142">
        <v>6</v>
      </c>
      <c r="M6565" s="142">
        <v>0</v>
      </c>
    </row>
    <row r="6566" spans="1:13" x14ac:dyDescent="0.45">
      <c r="A6566" s="142" t="s">
        <v>13002</v>
      </c>
      <c r="B6566" s="142" t="s">
        <v>15376</v>
      </c>
      <c r="C6566" s="142" t="s">
        <v>15847</v>
      </c>
      <c r="D6566" s="142" t="s">
        <v>15848</v>
      </c>
      <c r="E6566" s="142" t="s">
        <v>15849</v>
      </c>
      <c r="F6566" s="142" t="s">
        <v>394</v>
      </c>
      <c r="G6566" s="142" t="s">
        <v>393</v>
      </c>
      <c r="H6566" s="142" t="s">
        <v>22416</v>
      </c>
      <c r="I6566" s="142">
        <v>359</v>
      </c>
      <c r="J6566" s="142">
        <v>250</v>
      </c>
      <c r="K6566" s="142">
        <v>0</v>
      </c>
      <c r="L6566" s="142">
        <v>85</v>
      </c>
      <c r="M6566" s="142">
        <v>24</v>
      </c>
    </row>
    <row r="6567" spans="1:13" x14ac:dyDescent="0.45">
      <c r="A6567" s="142" t="s">
        <v>13003</v>
      </c>
      <c r="B6567" s="142" t="s">
        <v>15245</v>
      </c>
      <c r="C6567" s="142" t="s">
        <v>15847</v>
      </c>
      <c r="D6567" s="142" t="s">
        <v>15848</v>
      </c>
      <c r="E6567" s="142" t="s">
        <v>15849</v>
      </c>
      <c r="F6567" s="142" t="s">
        <v>394</v>
      </c>
      <c r="G6567" s="142" t="s">
        <v>393</v>
      </c>
      <c r="H6567" s="142" t="s">
        <v>22417</v>
      </c>
      <c r="I6567" s="142">
        <v>83</v>
      </c>
      <c r="J6567" s="142">
        <v>0</v>
      </c>
      <c r="K6567" s="142">
        <v>0</v>
      </c>
      <c r="L6567" s="142">
        <v>71</v>
      </c>
      <c r="M6567" s="142">
        <v>12</v>
      </c>
    </row>
    <row r="6568" spans="1:13" x14ac:dyDescent="0.45">
      <c r="A6568" s="142" t="s">
        <v>13066</v>
      </c>
      <c r="B6568" s="142" t="s">
        <v>14459</v>
      </c>
      <c r="C6568" s="142" t="s">
        <v>15847</v>
      </c>
      <c r="D6568" s="142" t="s">
        <v>15848</v>
      </c>
      <c r="E6568" s="142" t="s">
        <v>15849</v>
      </c>
      <c r="F6568" s="142" t="s">
        <v>394</v>
      </c>
      <c r="G6568" s="142" t="s">
        <v>393</v>
      </c>
      <c r="H6568" s="142" t="s">
        <v>22418</v>
      </c>
      <c r="I6568" s="142">
        <v>14</v>
      </c>
      <c r="J6568" s="142">
        <v>0</v>
      </c>
      <c r="K6568" s="142">
        <v>0</v>
      </c>
      <c r="L6568" s="142">
        <v>14</v>
      </c>
      <c r="M6568" s="142">
        <v>0</v>
      </c>
    </row>
    <row r="6569" spans="1:13" x14ac:dyDescent="0.45">
      <c r="A6569" s="142" t="s">
        <v>13557</v>
      </c>
      <c r="B6569" s="142" t="s">
        <v>14592</v>
      </c>
      <c r="C6569" s="142" t="s">
        <v>15847</v>
      </c>
      <c r="D6569" s="142" t="s">
        <v>15848</v>
      </c>
      <c r="E6569" s="142" t="s">
        <v>15849</v>
      </c>
      <c r="F6569" s="142" t="s">
        <v>394</v>
      </c>
      <c r="G6569" s="142" t="s">
        <v>393</v>
      </c>
      <c r="H6569" s="142" t="s">
        <v>22419</v>
      </c>
      <c r="I6569" s="142">
        <v>184</v>
      </c>
      <c r="J6569" s="142">
        <v>121</v>
      </c>
      <c r="K6569" s="142">
        <v>0</v>
      </c>
      <c r="L6569" s="142">
        <v>62</v>
      </c>
      <c r="M6569" s="142">
        <v>1</v>
      </c>
    </row>
    <row r="6570" spans="1:13" x14ac:dyDescent="0.45">
      <c r="A6570" s="142" t="s">
        <v>13005</v>
      </c>
      <c r="B6570" s="142" t="s">
        <v>15475</v>
      </c>
      <c r="C6570" s="142" t="s">
        <v>15847</v>
      </c>
      <c r="D6570" s="142" t="s">
        <v>15848</v>
      </c>
      <c r="E6570" s="142" t="s">
        <v>15849</v>
      </c>
      <c r="F6570" s="142" t="s">
        <v>394</v>
      </c>
      <c r="G6570" s="142" t="s">
        <v>393</v>
      </c>
      <c r="H6570" s="142" t="s">
        <v>22420</v>
      </c>
      <c r="I6570" s="142">
        <v>1</v>
      </c>
      <c r="J6570" s="142">
        <v>0</v>
      </c>
      <c r="K6570" s="142">
        <v>0</v>
      </c>
      <c r="L6570" s="142">
        <v>0</v>
      </c>
      <c r="M6570" s="142">
        <v>1</v>
      </c>
    </row>
    <row r="6571" spans="1:13" x14ac:dyDescent="0.45">
      <c r="A6571" s="142" t="s">
        <v>13559</v>
      </c>
      <c r="B6571" s="142" t="s">
        <v>15494</v>
      </c>
      <c r="C6571" s="142" t="s">
        <v>15847</v>
      </c>
      <c r="D6571" s="142" t="s">
        <v>15848</v>
      </c>
      <c r="E6571" s="142" t="s">
        <v>15849</v>
      </c>
      <c r="F6571" s="142" t="s">
        <v>394</v>
      </c>
      <c r="G6571" s="142" t="s">
        <v>393</v>
      </c>
      <c r="H6571" s="142" t="s">
        <v>22421</v>
      </c>
      <c r="I6571" s="142">
        <v>137</v>
      </c>
      <c r="J6571" s="142">
        <v>130</v>
      </c>
      <c r="K6571" s="142">
        <v>0</v>
      </c>
      <c r="L6571" s="142">
        <v>6</v>
      </c>
      <c r="M6571" s="142">
        <v>1</v>
      </c>
    </row>
    <row r="6572" spans="1:13" x14ac:dyDescent="0.45">
      <c r="A6572" s="142" t="s">
        <v>13032</v>
      </c>
      <c r="B6572" s="142" t="s">
        <v>14532</v>
      </c>
      <c r="C6572" s="142" t="s">
        <v>15860</v>
      </c>
      <c r="D6572" s="142" t="s">
        <v>15861</v>
      </c>
      <c r="E6572" s="142" t="s">
        <v>15849</v>
      </c>
      <c r="F6572" s="142" t="s">
        <v>394</v>
      </c>
      <c r="G6572" s="142" t="s">
        <v>393</v>
      </c>
      <c r="H6572" s="142" t="s">
        <v>22422</v>
      </c>
      <c r="I6572" s="142">
        <v>7</v>
      </c>
      <c r="J6572" s="142">
        <v>0</v>
      </c>
      <c r="K6572" s="142">
        <v>0</v>
      </c>
      <c r="L6572" s="142">
        <v>7</v>
      </c>
      <c r="M6572" s="142">
        <v>0</v>
      </c>
    </row>
    <row r="6573" spans="1:13" x14ac:dyDescent="0.45">
      <c r="A6573" s="142" t="s">
        <v>13033</v>
      </c>
      <c r="B6573" s="142" t="s">
        <v>15276</v>
      </c>
      <c r="C6573" s="142" t="s">
        <v>15847</v>
      </c>
      <c r="D6573" s="142" t="s">
        <v>15848</v>
      </c>
      <c r="E6573" s="142" t="s">
        <v>15849</v>
      </c>
      <c r="F6573" s="142" t="s">
        <v>394</v>
      </c>
      <c r="G6573" s="142" t="s">
        <v>393</v>
      </c>
      <c r="H6573" s="142" t="s">
        <v>22423</v>
      </c>
      <c r="I6573" s="142">
        <v>4</v>
      </c>
      <c r="J6573" s="142">
        <v>2</v>
      </c>
      <c r="K6573" s="142">
        <v>0</v>
      </c>
      <c r="L6573" s="142">
        <v>0</v>
      </c>
      <c r="M6573" s="142">
        <v>2</v>
      </c>
    </row>
    <row r="6574" spans="1:13" x14ac:dyDescent="0.45">
      <c r="A6574" s="142" t="s">
        <v>13036</v>
      </c>
      <c r="B6574" s="142" t="s">
        <v>15567</v>
      </c>
      <c r="C6574" s="142" t="s">
        <v>15847</v>
      </c>
      <c r="D6574" s="142" t="s">
        <v>15848</v>
      </c>
      <c r="E6574" s="142" t="s">
        <v>15849</v>
      </c>
      <c r="F6574" s="142" t="s">
        <v>394</v>
      </c>
      <c r="G6574" s="142" t="s">
        <v>393</v>
      </c>
      <c r="H6574" s="142" t="s">
        <v>22424</v>
      </c>
      <c r="I6574" s="142">
        <v>1</v>
      </c>
      <c r="J6574" s="142">
        <v>0</v>
      </c>
      <c r="K6574" s="142">
        <v>0</v>
      </c>
      <c r="L6574" s="142">
        <v>0</v>
      </c>
      <c r="M6574" s="142">
        <v>1</v>
      </c>
    </row>
    <row r="6575" spans="1:13" x14ac:dyDescent="0.45">
      <c r="A6575" s="142" t="s">
        <v>13560</v>
      </c>
      <c r="B6575" s="142" t="s">
        <v>14778</v>
      </c>
      <c r="C6575" s="142" t="s">
        <v>15847</v>
      </c>
      <c r="D6575" s="142" t="s">
        <v>15848</v>
      </c>
      <c r="E6575" s="142" t="s">
        <v>15849</v>
      </c>
      <c r="F6575" s="142" t="s">
        <v>394</v>
      </c>
      <c r="G6575" s="142" t="s">
        <v>393</v>
      </c>
      <c r="H6575" s="142" t="s">
        <v>22425</v>
      </c>
      <c r="I6575" s="142">
        <v>24</v>
      </c>
      <c r="J6575" s="142">
        <v>0</v>
      </c>
      <c r="K6575" s="142">
        <v>0</v>
      </c>
      <c r="L6575" s="142">
        <v>24</v>
      </c>
      <c r="M6575" s="142">
        <v>0</v>
      </c>
    </row>
    <row r="6576" spans="1:13" x14ac:dyDescent="0.45">
      <c r="A6576" s="142" t="s">
        <v>13038</v>
      </c>
      <c r="B6576" s="142" t="s">
        <v>14646</v>
      </c>
      <c r="C6576" s="142" t="s">
        <v>15847</v>
      </c>
      <c r="D6576" s="142" t="s">
        <v>15848</v>
      </c>
      <c r="E6576" s="142" t="s">
        <v>15849</v>
      </c>
      <c r="F6576" s="142" t="s">
        <v>394</v>
      </c>
      <c r="G6576" s="142" t="s">
        <v>393</v>
      </c>
      <c r="H6576" s="142" t="s">
        <v>22426</v>
      </c>
      <c r="I6576" s="142">
        <v>18</v>
      </c>
      <c r="J6576" s="142">
        <v>0</v>
      </c>
      <c r="K6576" s="142">
        <v>0</v>
      </c>
      <c r="L6576" s="142">
        <v>0</v>
      </c>
      <c r="M6576" s="142">
        <v>18</v>
      </c>
    </row>
    <row r="6577" spans="1:13" x14ac:dyDescent="0.45">
      <c r="A6577" s="142" t="s">
        <v>14122</v>
      </c>
      <c r="B6577" s="142" t="s">
        <v>14931</v>
      </c>
      <c r="C6577" s="142" t="s">
        <v>15860</v>
      </c>
      <c r="D6577" s="142" t="s">
        <v>15861</v>
      </c>
      <c r="E6577" s="142" t="s">
        <v>15849</v>
      </c>
      <c r="F6577" s="142" t="s">
        <v>394</v>
      </c>
      <c r="G6577" s="142" t="s">
        <v>393</v>
      </c>
      <c r="H6577" s="142" t="s">
        <v>22427</v>
      </c>
      <c r="I6577" s="142">
        <v>25</v>
      </c>
      <c r="J6577" s="142">
        <v>0</v>
      </c>
      <c r="K6577" s="142">
        <v>0</v>
      </c>
      <c r="L6577" s="142">
        <v>25</v>
      </c>
      <c r="M6577" s="142">
        <v>0</v>
      </c>
    </row>
    <row r="6578" spans="1:13" x14ac:dyDescent="0.45">
      <c r="A6578" s="142" t="s">
        <v>13042</v>
      </c>
      <c r="B6578" s="142" t="s">
        <v>15489</v>
      </c>
      <c r="C6578" s="142" t="s">
        <v>15847</v>
      </c>
      <c r="D6578" s="142" t="s">
        <v>15848</v>
      </c>
      <c r="E6578" s="142" t="s">
        <v>15849</v>
      </c>
      <c r="F6578" s="142" t="s">
        <v>394</v>
      </c>
      <c r="G6578" s="142" t="s">
        <v>393</v>
      </c>
      <c r="H6578" s="142" t="s">
        <v>22428</v>
      </c>
      <c r="I6578" s="142">
        <v>49</v>
      </c>
      <c r="J6578" s="142">
        <v>0</v>
      </c>
      <c r="K6578" s="142">
        <v>0</v>
      </c>
      <c r="L6578" s="142">
        <v>49</v>
      </c>
      <c r="M6578" s="142">
        <v>0</v>
      </c>
    </row>
    <row r="6579" spans="1:13" x14ac:dyDescent="0.45">
      <c r="A6579" s="142" t="s">
        <v>13096</v>
      </c>
      <c r="B6579" s="142" t="s">
        <v>15478</v>
      </c>
      <c r="C6579" s="142" t="s">
        <v>15847</v>
      </c>
      <c r="D6579" s="142" t="s">
        <v>15848</v>
      </c>
      <c r="E6579" s="142" t="s">
        <v>15849</v>
      </c>
      <c r="F6579" s="142" t="s">
        <v>394</v>
      </c>
      <c r="G6579" s="142" t="s">
        <v>393</v>
      </c>
      <c r="H6579" s="142" t="s">
        <v>22429</v>
      </c>
      <c r="I6579" s="142">
        <v>1250</v>
      </c>
      <c r="J6579" s="142">
        <v>919</v>
      </c>
      <c r="K6579" s="142">
        <v>0</v>
      </c>
      <c r="L6579" s="142">
        <v>133</v>
      </c>
      <c r="M6579" s="142">
        <v>198</v>
      </c>
    </row>
    <row r="6580" spans="1:13" x14ac:dyDescent="0.45">
      <c r="A6580" s="142" t="s">
        <v>13156</v>
      </c>
      <c r="B6580" s="142" t="s">
        <v>14493</v>
      </c>
      <c r="C6580" s="142" t="s">
        <v>15860</v>
      </c>
      <c r="D6580" s="142" t="s">
        <v>15861</v>
      </c>
      <c r="E6580" s="142" t="s">
        <v>15849</v>
      </c>
      <c r="F6580" s="142" t="s">
        <v>394</v>
      </c>
      <c r="G6580" s="142" t="s">
        <v>393</v>
      </c>
      <c r="H6580" s="142" t="s">
        <v>22430</v>
      </c>
      <c r="I6580" s="142">
        <v>11</v>
      </c>
      <c r="J6580" s="142">
        <v>0</v>
      </c>
      <c r="K6580" s="142">
        <v>0</v>
      </c>
      <c r="L6580" s="142">
        <v>11</v>
      </c>
      <c r="M6580" s="142">
        <v>0</v>
      </c>
    </row>
    <row r="6581" spans="1:13" x14ac:dyDescent="0.45">
      <c r="A6581" s="142" t="s">
        <v>13021</v>
      </c>
      <c r="B6581" s="142" t="s">
        <v>15501</v>
      </c>
      <c r="C6581" s="142" t="s">
        <v>15847</v>
      </c>
      <c r="D6581" s="142" t="s">
        <v>15848</v>
      </c>
      <c r="E6581" s="142" t="s">
        <v>15849</v>
      </c>
      <c r="F6581" s="142" t="s">
        <v>9272</v>
      </c>
      <c r="G6581" s="142" t="s">
        <v>9271</v>
      </c>
      <c r="H6581" s="142" t="s">
        <v>22431</v>
      </c>
      <c r="I6581" s="142">
        <v>13</v>
      </c>
      <c r="J6581" s="142">
        <v>0</v>
      </c>
      <c r="K6581" s="142">
        <v>0</v>
      </c>
      <c r="L6581" s="142">
        <v>13</v>
      </c>
      <c r="M6581" s="142">
        <v>0</v>
      </c>
    </row>
    <row r="6582" spans="1:13" x14ac:dyDescent="0.45">
      <c r="A6582" s="142" t="s">
        <v>13023</v>
      </c>
      <c r="B6582" s="142" t="s">
        <v>15571</v>
      </c>
      <c r="C6582" s="142" t="s">
        <v>15847</v>
      </c>
      <c r="D6582" s="142" t="s">
        <v>15848</v>
      </c>
      <c r="E6582" s="142" t="s">
        <v>15849</v>
      </c>
      <c r="F6582" s="142" t="s">
        <v>9272</v>
      </c>
      <c r="G6582" s="142" t="s">
        <v>9271</v>
      </c>
      <c r="H6582" s="142" t="s">
        <v>22432</v>
      </c>
      <c r="I6582" s="142">
        <v>58</v>
      </c>
      <c r="J6582" s="142">
        <v>0</v>
      </c>
      <c r="K6582" s="142">
        <v>0</v>
      </c>
      <c r="L6582" s="142">
        <v>58</v>
      </c>
      <c r="M6582" s="142">
        <v>0</v>
      </c>
    </row>
    <row r="6583" spans="1:13" x14ac:dyDescent="0.45">
      <c r="A6583" s="142" t="s">
        <v>13235</v>
      </c>
      <c r="B6583" s="142" t="s">
        <v>14573</v>
      </c>
      <c r="C6583" s="142" t="s">
        <v>15847</v>
      </c>
      <c r="D6583" s="142" t="s">
        <v>15848</v>
      </c>
      <c r="E6583" s="142" t="s">
        <v>15849</v>
      </c>
      <c r="F6583" s="142" t="s">
        <v>9272</v>
      </c>
      <c r="G6583" s="142" t="s">
        <v>9271</v>
      </c>
      <c r="H6583" s="142" t="s">
        <v>22433</v>
      </c>
      <c r="I6583" s="142">
        <v>250</v>
      </c>
      <c r="J6583" s="142">
        <v>220</v>
      </c>
      <c r="K6583" s="142">
        <v>0</v>
      </c>
      <c r="L6583" s="142">
        <v>16</v>
      </c>
      <c r="M6583" s="142">
        <v>14</v>
      </c>
    </row>
    <row r="6584" spans="1:13" x14ac:dyDescent="0.45">
      <c r="A6584" s="142" t="s">
        <v>13236</v>
      </c>
      <c r="B6584" s="142" t="s">
        <v>15601</v>
      </c>
      <c r="C6584" s="142" t="s">
        <v>15847</v>
      </c>
      <c r="D6584" s="142" t="s">
        <v>15848</v>
      </c>
      <c r="E6584" s="142" t="s">
        <v>15849</v>
      </c>
      <c r="F6584" s="142" t="s">
        <v>9272</v>
      </c>
      <c r="G6584" s="142" t="s">
        <v>9271</v>
      </c>
      <c r="H6584" s="142" t="s">
        <v>22434</v>
      </c>
      <c r="I6584" s="142">
        <v>188</v>
      </c>
      <c r="J6584" s="142">
        <v>138</v>
      </c>
      <c r="K6584" s="142">
        <v>0</v>
      </c>
      <c r="L6584" s="142">
        <v>0</v>
      </c>
      <c r="M6584" s="142">
        <v>50</v>
      </c>
    </row>
    <row r="6585" spans="1:13" x14ac:dyDescent="0.45">
      <c r="A6585" s="142" t="s">
        <v>13237</v>
      </c>
      <c r="B6585" s="142" t="s">
        <v>14643</v>
      </c>
      <c r="C6585" s="142" t="s">
        <v>15847</v>
      </c>
      <c r="D6585" s="142" t="s">
        <v>15848</v>
      </c>
      <c r="E6585" s="142" t="s">
        <v>15849</v>
      </c>
      <c r="F6585" s="142" t="s">
        <v>9272</v>
      </c>
      <c r="G6585" s="142" t="s">
        <v>9271</v>
      </c>
      <c r="H6585" s="142" t="s">
        <v>22435</v>
      </c>
      <c r="I6585" s="142">
        <v>145</v>
      </c>
      <c r="J6585" s="142">
        <v>136</v>
      </c>
      <c r="K6585" s="142">
        <v>0</v>
      </c>
      <c r="L6585" s="142">
        <v>0</v>
      </c>
      <c r="M6585" s="142">
        <v>9</v>
      </c>
    </row>
    <row r="6586" spans="1:13" x14ac:dyDescent="0.45">
      <c r="A6586" s="142" t="s">
        <v>13119</v>
      </c>
      <c r="B6586" s="142" t="s">
        <v>14451</v>
      </c>
      <c r="C6586" s="142" t="s">
        <v>15860</v>
      </c>
      <c r="D6586" s="142" t="s">
        <v>15861</v>
      </c>
      <c r="E6586" s="142" t="s">
        <v>15849</v>
      </c>
      <c r="F6586" s="142" t="s">
        <v>9272</v>
      </c>
      <c r="G6586" s="142" t="s">
        <v>9271</v>
      </c>
      <c r="H6586" s="142" t="s">
        <v>22436</v>
      </c>
      <c r="I6586" s="142">
        <v>1</v>
      </c>
      <c r="J6586" s="142">
        <v>0</v>
      </c>
      <c r="K6586" s="142">
        <v>0</v>
      </c>
      <c r="L6586" s="142">
        <v>1</v>
      </c>
      <c r="M6586" s="142">
        <v>0</v>
      </c>
    </row>
    <row r="6587" spans="1:13" x14ac:dyDescent="0.45">
      <c r="A6587" s="142" t="s">
        <v>13099</v>
      </c>
      <c r="B6587" s="142" t="s">
        <v>14547</v>
      </c>
      <c r="C6587" s="142" t="s">
        <v>15860</v>
      </c>
      <c r="D6587" s="142" t="s">
        <v>15861</v>
      </c>
      <c r="E6587" s="142" t="s">
        <v>15849</v>
      </c>
      <c r="F6587" s="142" t="s">
        <v>9272</v>
      </c>
      <c r="G6587" s="142" t="s">
        <v>9271</v>
      </c>
      <c r="H6587" s="142" t="s">
        <v>22437</v>
      </c>
      <c r="I6587" s="142">
        <v>2</v>
      </c>
      <c r="J6587" s="142">
        <v>0</v>
      </c>
      <c r="K6587" s="142">
        <v>0</v>
      </c>
      <c r="L6587" s="142">
        <v>2</v>
      </c>
      <c r="M6587" s="142">
        <v>0</v>
      </c>
    </row>
    <row r="6588" spans="1:13" x14ac:dyDescent="0.45">
      <c r="A6588" s="142" t="s">
        <v>13243</v>
      </c>
      <c r="B6588" s="142" t="s">
        <v>15560</v>
      </c>
      <c r="C6588" s="142" t="s">
        <v>15847</v>
      </c>
      <c r="D6588" s="142" t="s">
        <v>15848</v>
      </c>
      <c r="E6588" s="142" t="s">
        <v>15849</v>
      </c>
      <c r="F6588" s="142" t="s">
        <v>9272</v>
      </c>
      <c r="G6588" s="142" t="s">
        <v>9271</v>
      </c>
      <c r="H6588" s="142" t="s">
        <v>22438</v>
      </c>
      <c r="I6588" s="142">
        <v>677</v>
      </c>
      <c r="J6588" s="142">
        <v>633</v>
      </c>
      <c r="K6588" s="142">
        <v>0</v>
      </c>
      <c r="L6588" s="142">
        <v>0</v>
      </c>
      <c r="M6588" s="142">
        <v>44</v>
      </c>
    </row>
    <row r="6589" spans="1:13" x14ac:dyDescent="0.45">
      <c r="A6589" s="142" t="s">
        <v>13149</v>
      </c>
      <c r="B6589" s="142" t="s">
        <v>14458</v>
      </c>
      <c r="C6589" s="142" t="s">
        <v>15860</v>
      </c>
      <c r="D6589" s="142" t="s">
        <v>15861</v>
      </c>
      <c r="E6589" s="142" t="s">
        <v>15849</v>
      </c>
      <c r="F6589" s="142" t="s">
        <v>9272</v>
      </c>
      <c r="G6589" s="142" t="s">
        <v>9271</v>
      </c>
      <c r="H6589" s="142" t="s">
        <v>22439</v>
      </c>
      <c r="I6589" s="142">
        <v>2</v>
      </c>
      <c r="J6589" s="142">
        <v>0</v>
      </c>
      <c r="K6589" s="142">
        <v>0</v>
      </c>
      <c r="L6589" s="142">
        <v>2</v>
      </c>
      <c r="M6589" s="142">
        <v>0</v>
      </c>
    </row>
    <row r="6590" spans="1:13" x14ac:dyDescent="0.45">
      <c r="A6590" s="142" t="s">
        <v>13028</v>
      </c>
      <c r="B6590" s="142" t="s">
        <v>14462</v>
      </c>
      <c r="C6590" s="142" t="s">
        <v>15847</v>
      </c>
      <c r="D6590" s="142" t="s">
        <v>15848</v>
      </c>
      <c r="E6590" s="142" t="s">
        <v>15849</v>
      </c>
      <c r="F6590" s="142" t="s">
        <v>9272</v>
      </c>
      <c r="G6590" s="142" t="s">
        <v>9271</v>
      </c>
      <c r="H6590" s="142" t="s">
        <v>22440</v>
      </c>
      <c r="I6590" s="142">
        <v>11</v>
      </c>
      <c r="J6590" s="142">
        <v>0</v>
      </c>
      <c r="K6590" s="142">
        <v>0</v>
      </c>
      <c r="L6590" s="142">
        <v>0</v>
      </c>
      <c r="M6590" s="142">
        <v>11</v>
      </c>
    </row>
    <row r="6591" spans="1:13" x14ac:dyDescent="0.45">
      <c r="A6591" s="142" t="s">
        <v>13003</v>
      </c>
      <c r="B6591" s="142" t="s">
        <v>15245</v>
      </c>
      <c r="C6591" s="142" t="s">
        <v>15847</v>
      </c>
      <c r="D6591" s="142" t="s">
        <v>15848</v>
      </c>
      <c r="E6591" s="142" t="s">
        <v>15849</v>
      </c>
      <c r="F6591" s="142" t="s">
        <v>9272</v>
      </c>
      <c r="G6591" s="142" t="s">
        <v>9271</v>
      </c>
      <c r="H6591" s="142" t="s">
        <v>22441</v>
      </c>
      <c r="I6591" s="142">
        <v>123</v>
      </c>
      <c r="J6591" s="142">
        <v>0</v>
      </c>
      <c r="K6591" s="142">
        <v>0</v>
      </c>
      <c r="L6591" s="142">
        <v>123</v>
      </c>
      <c r="M6591" s="142">
        <v>0</v>
      </c>
    </row>
    <row r="6592" spans="1:13" x14ac:dyDescent="0.45">
      <c r="A6592" s="142" t="s">
        <v>13066</v>
      </c>
      <c r="B6592" s="142" t="s">
        <v>14459</v>
      </c>
      <c r="C6592" s="142" t="s">
        <v>15847</v>
      </c>
      <c r="D6592" s="142" t="s">
        <v>15848</v>
      </c>
      <c r="E6592" s="142" t="s">
        <v>15849</v>
      </c>
      <c r="F6592" s="142" t="s">
        <v>9272</v>
      </c>
      <c r="G6592" s="142" t="s">
        <v>9271</v>
      </c>
      <c r="H6592" s="142" t="s">
        <v>22442</v>
      </c>
      <c r="I6592" s="142">
        <v>46</v>
      </c>
      <c r="J6592" s="142">
        <v>0</v>
      </c>
      <c r="K6592" s="142">
        <v>0</v>
      </c>
      <c r="L6592" s="142">
        <v>46</v>
      </c>
      <c r="M6592" s="142">
        <v>0</v>
      </c>
    </row>
    <row r="6593" spans="1:13" x14ac:dyDescent="0.45">
      <c r="A6593" s="142" t="s">
        <v>13248</v>
      </c>
      <c r="B6593" s="142" t="s">
        <v>15463</v>
      </c>
      <c r="C6593" s="142" t="s">
        <v>15847</v>
      </c>
      <c r="D6593" s="142" t="s">
        <v>15848</v>
      </c>
      <c r="E6593" s="142" t="s">
        <v>15849</v>
      </c>
      <c r="F6593" s="142" t="s">
        <v>9272</v>
      </c>
      <c r="G6593" s="142" t="s">
        <v>9271</v>
      </c>
      <c r="H6593" s="142" t="s">
        <v>22443</v>
      </c>
      <c r="I6593" s="142">
        <v>83</v>
      </c>
      <c r="J6593" s="142">
        <v>76</v>
      </c>
      <c r="K6593" s="142">
        <v>0</v>
      </c>
      <c r="L6593" s="142">
        <v>4</v>
      </c>
      <c r="M6593" s="142">
        <v>3</v>
      </c>
    </row>
    <row r="6594" spans="1:13" x14ac:dyDescent="0.45">
      <c r="A6594" s="142" t="s">
        <v>14124</v>
      </c>
      <c r="B6594" s="142" t="s">
        <v>15157</v>
      </c>
      <c r="C6594" s="142" t="s">
        <v>15860</v>
      </c>
      <c r="D6594" s="142" t="s">
        <v>15861</v>
      </c>
      <c r="E6594" s="142" t="s">
        <v>15849</v>
      </c>
      <c r="F6594" s="142" t="s">
        <v>9272</v>
      </c>
      <c r="G6594" s="142" t="s">
        <v>9271</v>
      </c>
      <c r="H6594" s="142" t="s">
        <v>22444</v>
      </c>
      <c r="I6594" s="142">
        <v>106</v>
      </c>
      <c r="J6594" s="142">
        <v>52</v>
      </c>
      <c r="K6594" s="142">
        <v>0</v>
      </c>
      <c r="L6594" s="142">
        <v>54</v>
      </c>
      <c r="M6594" s="142">
        <v>0</v>
      </c>
    </row>
    <row r="6595" spans="1:13" x14ac:dyDescent="0.45">
      <c r="A6595" s="142" t="s">
        <v>13077</v>
      </c>
      <c r="B6595" s="142" t="s">
        <v>15407</v>
      </c>
      <c r="C6595" s="142" t="s">
        <v>15847</v>
      </c>
      <c r="D6595" s="142" t="s">
        <v>15848</v>
      </c>
      <c r="E6595" s="142" t="s">
        <v>15849</v>
      </c>
      <c r="F6595" s="142" t="s">
        <v>9272</v>
      </c>
      <c r="G6595" s="142" t="s">
        <v>9271</v>
      </c>
      <c r="H6595" s="142" t="s">
        <v>22445</v>
      </c>
      <c r="I6595" s="142">
        <v>54</v>
      </c>
      <c r="J6595" s="142">
        <v>54</v>
      </c>
      <c r="K6595" s="142">
        <v>0</v>
      </c>
      <c r="L6595" s="142">
        <v>0</v>
      </c>
      <c r="M6595" s="142">
        <v>0</v>
      </c>
    </row>
    <row r="6596" spans="1:13" x14ac:dyDescent="0.45">
      <c r="A6596" s="142" t="s">
        <v>13035</v>
      </c>
      <c r="B6596" s="142" t="s">
        <v>14648</v>
      </c>
      <c r="C6596" s="142" t="s">
        <v>15847</v>
      </c>
      <c r="D6596" s="142" t="s">
        <v>15848</v>
      </c>
      <c r="E6596" s="142" t="s">
        <v>15849</v>
      </c>
      <c r="F6596" s="142" t="s">
        <v>9272</v>
      </c>
      <c r="G6596" s="142" t="s">
        <v>9271</v>
      </c>
      <c r="H6596" s="142" t="s">
        <v>22446</v>
      </c>
      <c r="I6596" s="142">
        <v>456</v>
      </c>
      <c r="J6596" s="142">
        <v>364</v>
      </c>
      <c r="K6596" s="142">
        <v>0</v>
      </c>
      <c r="L6596" s="142">
        <v>0</v>
      </c>
      <c r="M6596" s="142">
        <v>92</v>
      </c>
    </row>
    <row r="6597" spans="1:13" x14ac:dyDescent="0.45">
      <c r="A6597" s="142" t="s">
        <v>13394</v>
      </c>
      <c r="B6597" s="142" t="s">
        <v>15569</v>
      </c>
      <c r="C6597" s="142" t="s">
        <v>15847</v>
      </c>
      <c r="D6597" s="142" t="s">
        <v>15848</v>
      </c>
      <c r="E6597" s="142" t="s">
        <v>15849</v>
      </c>
      <c r="F6597" s="142" t="s">
        <v>9272</v>
      </c>
      <c r="G6597" s="142" t="s">
        <v>9271</v>
      </c>
      <c r="H6597" s="142" t="s">
        <v>22447</v>
      </c>
      <c r="I6597" s="142">
        <v>136</v>
      </c>
      <c r="J6597" s="142">
        <v>84</v>
      </c>
      <c r="K6597" s="142">
        <v>0</v>
      </c>
      <c r="L6597" s="142">
        <v>32</v>
      </c>
      <c r="M6597" s="142">
        <v>20</v>
      </c>
    </row>
    <row r="6598" spans="1:13" x14ac:dyDescent="0.45">
      <c r="A6598" s="142" t="s">
        <v>13091</v>
      </c>
      <c r="B6598" s="142" t="s">
        <v>14473</v>
      </c>
      <c r="C6598" s="142" t="s">
        <v>15847</v>
      </c>
      <c r="D6598" s="142" t="s">
        <v>15848</v>
      </c>
      <c r="E6598" s="142" t="s">
        <v>15849</v>
      </c>
      <c r="F6598" s="142" t="s">
        <v>9272</v>
      </c>
      <c r="G6598" s="142" t="s">
        <v>9271</v>
      </c>
      <c r="H6598" s="142" t="s">
        <v>22448</v>
      </c>
      <c r="I6598" s="142">
        <v>11</v>
      </c>
      <c r="J6598" s="142">
        <v>0</v>
      </c>
      <c r="K6598" s="142">
        <v>0</v>
      </c>
      <c r="L6598" s="142">
        <v>0</v>
      </c>
      <c r="M6598" s="142">
        <v>11</v>
      </c>
    </row>
    <row r="6599" spans="1:13" x14ac:dyDescent="0.45">
      <c r="A6599" s="142" t="s">
        <v>13009</v>
      </c>
      <c r="B6599" s="142" t="s">
        <v>15256</v>
      </c>
      <c r="C6599" s="142" t="s">
        <v>15847</v>
      </c>
      <c r="D6599" s="142" t="s">
        <v>15848</v>
      </c>
      <c r="E6599" s="142" t="s">
        <v>15849</v>
      </c>
      <c r="F6599" s="142" t="s">
        <v>9272</v>
      </c>
      <c r="G6599" s="142" t="s">
        <v>9271</v>
      </c>
      <c r="H6599" s="142" t="s">
        <v>22449</v>
      </c>
      <c r="I6599" s="142">
        <v>23</v>
      </c>
      <c r="J6599" s="142">
        <v>23</v>
      </c>
      <c r="K6599" s="142">
        <v>0</v>
      </c>
      <c r="L6599" s="142">
        <v>0</v>
      </c>
      <c r="M6599" s="142">
        <v>0</v>
      </c>
    </row>
    <row r="6600" spans="1:13" x14ac:dyDescent="0.45">
      <c r="A6600" s="142" t="s">
        <v>13012</v>
      </c>
      <c r="B6600" s="142" t="s">
        <v>15337</v>
      </c>
      <c r="C6600" s="142" t="s">
        <v>15847</v>
      </c>
      <c r="D6600" s="142" t="s">
        <v>15848</v>
      </c>
      <c r="E6600" s="142" t="s">
        <v>15849</v>
      </c>
      <c r="F6600" s="142" t="s">
        <v>9272</v>
      </c>
      <c r="G6600" s="142" t="s">
        <v>9271</v>
      </c>
      <c r="H6600" s="142" t="s">
        <v>22450</v>
      </c>
      <c r="I6600" s="142">
        <v>28</v>
      </c>
      <c r="J6600" s="142">
        <v>28</v>
      </c>
      <c r="K6600" s="142">
        <v>0</v>
      </c>
      <c r="L6600" s="142">
        <v>0</v>
      </c>
      <c r="M6600" s="142">
        <v>0</v>
      </c>
    </row>
    <row r="6601" spans="1:13" x14ac:dyDescent="0.45">
      <c r="A6601" s="142" t="s">
        <v>13264</v>
      </c>
      <c r="B6601" s="142" t="s">
        <v>15302</v>
      </c>
      <c r="C6601" s="142" t="s">
        <v>15847</v>
      </c>
      <c r="D6601" s="142" t="s">
        <v>15848</v>
      </c>
      <c r="E6601" s="142" t="s">
        <v>15849</v>
      </c>
      <c r="F6601" s="142" t="s">
        <v>9272</v>
      </c>
      <c r="G6601" s="142" t="s">
        <v>9271</v>
      </c>
      <c r="H6601" s="142" t="s">
        <v>22451</v>
      </c>
      <c r="I6601" s="142">
        <v>13</v>
      </c>
      <c r="J6601" s="142">
        <v>13</v>
      </c>
      <c r="K6601" s="142">
        <v>0</v>
      </c>
      <c r="L6601" s="142">
        <v>0</v>
      </c>
      <c r="M6601" s="142">
        <v>0</v>
      </c>
    </row>
    <row r="6602" spans="1:13" x14ac:dyDescent="0.45">
      <c r="A6602" s="142" t="s">
        <v>13267</v>
      </c>
      <c r="B6602" s="142" t="s">
        <v>15451</v>
      </c>
      <c r="C6602" s="142" t="s">
        <v>15847</v>
      </c>
      <c r="D6602" s="142" t="s">
        <v>15848</v>
      </c>
      <c r="E6602" s="142" t="s">
        <v>15849</v>
      </c>
      <c r="F6602" s="142" t="s">
        <v>9272</v>
      </c>
      <c r="G6602" s="142" t="s">
        <v>9271</v>
      </c>
      <c r="H6602" s="142" t="s">
        <v>22452</v>
      </c>
      <c r="I6602" s="142">
        <v>123</v>
      </c>
      <c r="J6602" s="142">
        <v>97</v>
      </c>
      <c r="K6602" s="142">
        <v>0</v>
      </c>
      <c r="L6602" s="142">
        <v>0</v>
      </c>
      <c r="M6602" s="142">
        <v>26</v>
      </c>
    </row>
    <row r="6603" spans="1:13" x14ac:dyDescent="0.45">
      <c r="A6603" s="142" t="s">
        <v>14125</v>
      </c>
      <c r="B6603" s="142" t="s">
        <v>15548</v>
      </c>
      <c r="C6603" s="142" t="s">
        <v>15860</v>
      </c>
      <c r="D6603" s="142" t="s">
        <v>15861</v>
      </c>
      <c r="E6603" s="142" t="s">
        <v>15849</v>
      </c>
      <c r="F6603" s="142" t="s">
        <v>9272</v>
      </c>
      <c r="G6603" s="142" t="s">
        <v>9271</v>
      </c>
      <c r="H6603" s="142" t="s">
        <v>22453</v>
      </c>
      <c r="I6603" s="142">
        <v>165</v>
      </c>
      <c r="J6603" s="142">
        <v>113</v>
      </c>
      <c r="K6603" s="142">
        <v>0</v>
      </c>
      <c r="L6603" s="142">
        <v>52</v>
      </c>
      <c r="M6603" s="142">
        <v>0</v>
      </c>
    </row>
    <row r="6604" spans="1:13" x14ac:dyDescent="0.45">
      <c r="A6604" s="142" t="s">
        <v>13308</v>
      </c>
      <c r="B6604" s="142" t="s">
        <v>15608</v>
      </c>
      <c r="C6604" s="142" t="s">
        <v>15847</v>
      </c>
      <c r="D6604" s="142" t="s">
        <v>15848</v>
      </c>
      <c r="E6604" s="142" t="s">
        <v>15849</v>
      </c>
      <c r="F6604" s="142" t="s">
        <v>8414</v>
      </c>
      <c r="G6604" s="142" t="s">
        <v>8413</v>
      </c>
      <c r="H6604" s="142" t="s">
        <v>22454</v>
      </c>
      <c r="I6604" s="142">
        <v>42</v>
      </c>
      <c r="J6604" s="142">
        <v>0</v>
      </c>
      <c r="K6604" s="142">
        <v>0</v>
      </c>
      <c r="L6604" s="142">
        <v>0</v>
      </c>
      <c r="M6604" s="142">
        <v>42</v>
      </c>
    </row>
    <row r="6605" spans="1:13" x14ac:dyDescent="0.45">
      <c r="A6605" s="142" t="s">
        <v>13166</v>
      </c>
      <c r="B6605" s="142" t="s">
        <v>15576</v>
      </c>
      <c r="C6605" s="142" t="s">
        <v>15847</v>
      </c>
      <c r="D6605" s="142" t="s">
        <v>15848</v>
      </c>
      <c r="E6605" s="142" t="s">
        <v>15849</v>
      </c>
      <c r="F6605" s="142" t="s">
        <v>8414</v>
      </c>
      <c r="G6605" s="142" t="s">
        <v>8413</v>
      </c>
      <c r="H6605" s="142" t="s">
        <v>22455</v>
      </c>
      <c r="I6605" s="142">
        <v>38</v>
      </c>
      <c r="J6605" s="142">
        <v>38</v>
      </c>
      <c r="K6605" s="142">
        <v>0</v>
      </c>
      <c r="L6605" s="142">
        <v>0</v>
      </c>
      <c r="M6605" s="142">
        <v>0</v>
      </c>
    </row>
    <row r="6606" spans="1:13" x14ac:dyDescent="0.45">
      <c r="A6606" s="142" t="s">
        <v>13072</v>
      </c>
      <c r="B6606" s="142" t="s">
        <v>15530</v>
      </c>
      <c r="C6606" s="142" t="s">
        <v>15847</v>
      </c>
      <c r="D6606" s="142" t="s">
        <v>15848</v>
      </c>
      <c r="E6606" s="142" t="s">
        <v>15849</v>
      </c>
      <c r="F6606" s="142" t="s">
        <v>8414</v>
      </c>
      <c r="G6606" s="142" t="s">
        <v>8413</v>
      </c>
      <c r="H6606" s="142" t="s">
        <v>22456</v>
      </c>
      <c r="I6606" s="142">
        <v>65</v>
      </c>
      <c r="J6606" s="142">
        <v>65</v>
      </c>
      <c r="K6606" s="142">
        <v>0</v>
      </c>
      <c r="L6606" s="142">
        <v>0</v>
      </c>
      <c r="M6606" s="142">
        <v>0</v>
      </c>
    </row>
    <row r="6607" spans="1:13" x14ac:dyDescent="0.45">
      <c r="A6607" s="142" t="s">
        <v>13021</v>
      </c>
      <c r="B6607" s="142" t="s">
        <v>15501</v>
      </c>
      <c r="C6607" s="142" t="s">
        <v>15847</v>
      </c>
      <c r="D6607" s="142" t="s">
        <v>15848</v>
      </c>
      <c r="E6607" s="142" t="s">
        <v>15849</v>
      </c>
      <c r="F6607" s="142" t="s">
        <v>8414</v>
      </c>
      <c r="G6607" s="142" t="s">
        <v>8413</v>
      </c>
      <c r="H6607" s="142" t="s">
        <v>22457</v>
      </c>
      <c r="I6607" s="142">
        <v>7</v>
      </c>
      <c r="J6607" s="142">
        <v>0</v>
      </c>
      <c r="K6607" s="142">
        <v>0</v>
      </c>
      <c r="L6607" s="142">
        <v>6</v>
      </c>
      <c r="M6607" s="142">
        <v>1</v>
      </c>
    </row>
    <row r="6608" spans="1:13" x14ac:dyDescent="0.45">
      <c r="A6608" s="142" t="s">
        <v>13023</v>
      </c>
      <c r="B6608" s="142" t="s">
        <v>15571</v>
      </c>
      <c r="C6608" s="142" t="s">
        <v>15847</v>
      </c>
      <c r="D6608" s="142" t="s">
        <v>15848</v>
      </c>
      <c r="E6608" s="142" t="s">
        <v>15849</v>
      </c>
      <c r="F6608" s="142" t="s">
        <v>8414</v>
      </c>
      <c r="G6608" s="142" t="s">
        <v>8413</v>
      </c>
      <c r="H6608" s="142" t="s">
        <v>22458</v>
      </c>
      <c r="I6608" s="142">
        <v>81</v>
      </c>
      <c r="J6608" s="142">
        <v>0</v>
      </c>
      <c r="K6608" s="142">
        <v>0</v>
      </c>
      <c r="L6608" s="142">
        <v>81</v>
      </c>
      <c r="M6608" s="142">
        <v>0</v>
      </c>
    </row>
    <row r="6609" spans="1:13" x14ac:dyDescent="0.45">
      <c r="A6609" s="142" t="s">
        <v>13082</v>
      </c>
      <c r="B6609" s="142" t="s">
        <v>14478</v>
      </c>
      <c r="C6609" s="142" t="s">
        <v>15860</v>
      </c>
      <c r="D6609" s="142" t="s">
        <v>15861</v>
      </c>
      <c r="E6609" s="142" t="s">
        <v>15849</v>
      </c>
      <c r="F6609" s="142" t="s">
        <v>8414</v>
      </c>
      <c r="G6609" s="142" t="s">
        <v>8413</v>
      </c>
      <c r="H6609" s="142" t="s">
        <v>22459</v>
      </c>
      <c r="I6609" s="142">
        <v>11</v>
      </c>
      <c r="J6609" s="142">
        <v>0</v>
      </c>
      <c r="K6609" s="142">
        <v>0</v>
      </c>
      <c r="L6609" s="142">
        <v>11</v>
      </c>
      <c r="M6609" s="142">
        <v>0</v>
      </c>
    </row>
    <row r="6610" spans="1:13" x14ac:dyDescent="0.45">
      <c r="A6610" s="142" t="s">
        <v>13065</v>
      </c>
      <c r="B6610" s="142" t="s">
        <v>14497</v>
      </c>
      <c r="C6610" s="142" t="s">
        <v>15847</v>
      </c>
      <c r="D6610" s="142" t="s">
        <v>15848</v>
      </c>
      <c r="E6610" s="142" t="s">
        <v>15849</v>
      </c>
      <c r="F6610" s="142" t="s">
        <v>8414</v>
      </c>
      <c r="G6610" s="142" t="s">
        <v>8413</v>
      </c>
      <c r="H6610" s="142" t="s">
        <v>22460</v>
      </c>
      <c r="I6610" s="142">
        <v>11</v>
      </c>
      <c r="J6610" s="142">
        <v>0</v>
      </c>
      <c r="K6610" s="142">
        <v>0</v>
      </c>
      <c r="L6610" s="142">
        <v>11</v>
      </c>
      <c r="M6610" s="142">
        <v>0</v>
      </c>
    </row>
    <row r="6611" spans="1:13" x14ac:dyDescent="0.45">
      <c r="A6611" s="142" t="s">
        <v>13027</v>
      </c>
      <c r="B6611" s="142" t="s">
        <v>14562</v>
      </c>
      <c r="C6611" s="142" t="s">
        <v>15847</v>
      </c>
      <c r="D6611" s="142" t="s">
        <v>15848</v>
      </c>
      <c r="E6611" s="142" t="s">
        <v>15849</v>
      </c>
      <c r="F6611" s="142" t="s">
        <v>8414</v>
      </c>
      <c r="G6611" s="142" t="s">
        <v>8413</v>
      </c>
      <c r="H6611" s="142" t="s">
        <v>22461</v>
      </c>
      <c r="I6611" s="142">
        <v>1</v>
      </c>
      <c r="J6611" s="142">
        <v>0</v>
      </c>
      <c r="K6611" s="142">
        <v>0</v>
      </c>
      <c r="L6611" s="142">
        <v>1</v>
      </c>
      <c r="M6611" s="142">
        <v>0</v>
      </c>
    </row>
    <row r="6612" spans="1:13" x14ac:dyDescent="0.45">
      <c r="A6612" s="142" t="s">
        <v>13028</v>
      </c>
      <c r="B6612" s="142" t="s">
        <v>14462</v>
      </c>
      <c r="C6612" s="142" t="s">
        <v>15847</v>
      </c>
      <c r="D6612" s="142" t="s">
        <v>15848</v>
      </c>
      <c r="E6612" s="142" t="s">
        <v>15849</v>
      </c>
      <c r="F6612" s="142" t="s">
        <v>8414</v>
      </c>
      <c r="G6612" s="142" t="s">
        <v>8413</v>
      </c>
      <c r="H6612" s="142" t="s">
        <v>22462</v>
      </c>
      <c r="I6612" s="142">
        <v>58</v>
      </c>
      <c r="J6612" s="142">
        <v>0</v>
      </c>
      <c r="K6612" s="142">
        <v>0</v>
      </c>
      <c r="L6612" s="142">
        <v>0</v>
      </c>
      <c r="M6612" s="142">
        <v>58</v>
      </c>
    </row>
    <row r="6613" spans="1:13" x14ac:dyDescent="0.45">
      <c r="A6613" s="142" t="s">
        <v>13160</v>
      </c>
      <c r="B6613" s="142" t="s">
        <v>14525</v>
      </c>
      <c r="C6613" s="142" t="s">
        <v>15847</v>
      </c>
      <c r="D6613" s="142" t="s">
        <v>15848</v>
      </c>
      <c r="E6613" s="142" t="s">
        <v>15849</v>
      </c>
      <c r="F6613" s="142" t="s">
        <v>8414</v>
      </c>
      <c r="G6613" s="142" t="s">
        <v>8413</v>
      </c>
      <c r="H6613" s="142" t="s">
        <v>22463</v>
      </c>
      <c r="I6613" s="142">
        <v>14</v>
      </c>
      <c r="J6613" s="142">
        <v>0</v>
      </c>
      <c r="K6613" s="142">
        <v>0</v>
      </c>
      <c r="L6613" s="142">
        <v>14</v>
      </c>
      <c r="M6613" s="142">
        <v>0</v>
      </c>
    </row>
    <row r="6614" spans="1:13" x14ac:dyDescent="0.45">
      <c r="A6614" s="142" t="s">
        <v>13002</v>
      </c>
      <c r="B6614" s="142" t="s">
        <v>15376</v>
      </c>
      <c r="C6614" s="142" t="s">
        <v>15847</v>
      </c>
      <c r="D6614" s="142" t="s">
        <v>15848</v>
      </c>
      <c r="E6614" s="142" t="s">
        <v>15849</v>
      </c>
      <c r="F6614" s="142" t="s">
        <v>8414</v>
      </c>
      <c r="G6614" s="142" t="s">
        <v>8413</v>
      </c>
      <c r="H6614" s="142" t="s">
        <v>22464</v>
      </c>
      <c r="I6614" s="142">
        <v>10</v>
      </c>
      <c r="J6614" s="142">
        <v>0</v>
      </c>
      <c r="K6614" s="142">
        <v>0</v>
      </c>
      <c r="L6614" s="142">
        <v>10</v>
      </c>
      <c r="M6614" s="142">
        <v>0</v>
      </c>
    </row>
    <row r="6615" spans="1:13" x14ac:dyDescent="0.45">
      <c r="A6615" s="142" t="s">
        <v>13003</v>
      </c>
      <c r="B6615" s="142" t="s">
        <v>15245</v>
      </c>
      <c r="C6615" s="142" t="s">
        <v>15847</v>
      </c>
      <c r="D6615" s="142" t="s">
        <v>15848</v>
      </c>
      <c r="E6615" s="142" t="s">
        <v>15849</v>
      </c>
      <c r="F6615" s="142" t="s">
        <v>8414</v>
      </c>
      <c r="G6615" s="142" t="s">
        <v>8413</v>
      </c>
      <c r="H6615" s="142" t="s">
        <v>22465</v>
      </c>
      <c r="I6615" s="142">
        <v>60</v>
      </c>
      <c r="J6615" s="142">
        <v>0</v>
      </c>
      <c r="K6615" s="142">
        <v>0</v>
      </c>
      <c r="L6615" s="142">
        <v>45</v>
      </c>
      <c r="M6615" s="142">
        <v>15</v>
      </c>
    </row>
    <row r="6616" spans="1:13" x14ac:dyDescent="0.45">
      <c r="A6616" s="142" t="s">
        <v>13004</v>
      </c>
      <c r="B6616" s="142" t="s">
        <v>15492</v>
      </c>
      <c r="C6616" s="142" t="s">
        <v>15847</v>
      </c>
      <c r="D6616" s="142" t="s">
        <v>15848</v>
      </c>
      <c r="E6616" s="142" t="s">
        <v>15849</v>
      </c>
      <c r="F6616" s="142" t="s">
        <v>8414</v>
      </c>
      <c r="G6616" s="142" t="s">
        <v>8413</v>
      </c>
      <c r="H6616" s="142" t="s">
        <v>22466</v>
      </c>
      <c r="I6616" s="142">
        <v>341</v>
      </c>
      <c r="J6616" s="142">
        <v>264</v>
      </c>
      <c r="K6616" s="142">
        <v>0</v>
      </c>
      <c r="L6616" s="142">
        <v>47</v>
      </c>
      <c r="M6616" s="142">
        <v>30</v>
      </c>
    </row>
    <row r="6617" spans="1:13" x14ac:dyDescent="0.45">
      <c r="A6617" s="142" t="s">
        <v>13066</v>
      </c>
      <c r="B6617" s="142" t="s">
        <v>14459</v>
      </c>
      <c r="C6617" s="142" t="s">
        <v>15847</v>
      </c>
      <c r="D6617" s="142" t="s">
        <v>15848</v>
      </c>
      <c r="E6617" s="142" t="s">
        <v>15849</v>
      </c>
      <c r="F6617" s="142" t="s">
        <v>8414</v>
      </c>
      <c r="G6617" s="142" t="s">
        <v>8413</v>
      </c>
      <c r="H6617" s="142" t="s">
        <v>22467</v>
      </c>
      <c r="I6617" s="142">
        <v>14</v>
      </c>
      <c r="J6617" s="142">
        <v>0</v>
      </c>
      <c r="K6617" s="142">
        <v>0</v>
      </c>
      <c r="L6617" s="142">
        <v>14</v>
      </c>
      <c r="M6617" s="142">
        <v>0</v>
      </c>
    </row>
    <row r="6618" spans="1:13" x14ac:dyDescent="0.45">
      <c r="A6618" s="142" t="s">
        <v>13076</v>
      </c>
      <c r="B6618" s="142" t="s">
        <v>14636</v>
      </c>
      <c r="C6618" s="142" t="s">
        <v>15847</v>
      </c>
      <c r="D6618" s="142" t="s">
        <v>15848</v>
      </c>
      <c r="E6618" s="142" t="s">
        <v>15849</v>
      </c>
      <c r="F6618" s="142" t="s">
        <v>8414</v>
      </c>
      <c r="G6618" s="142" t="s">
        <v>8413</v>
      </c>
      <c r="H6618" s="142" t="s">
        <v>22468</v>
      </c>
      <c r="I6618" s="142">
        <v>17</v>
      </c>
      <c r="J6618" s="142">
        <v>7</v>
      </c>
      <c r="K6618" s="142">
        <v>0</v>
      </c>
      <c r="L6618" s="142">
        <v>0</v>
      </c>
      <c r="M6618" s="142">
        <v>10</v>
      </c>
    </row>
    <row r="6619" spans="1:13" x14ac:dyDescent="0.45">
      <c r="A6619" s="142" t="s">
        <v>13005</v>
      </c>
      <c r="B6619" s="142" t="s">
        <v>15475</v>
      </c>
      <c r="C6619" s="142" t="s">
        <v>15847</v>
      </c>
      <c r="D6619" s="142" t="s">
        <v>15848</v>
      </c>
      <c r="E6619" s="142" t="s">
        <v>15849</v>
      </c>
      <c r="F6619" s="142" t="s">
        <v>8414</v>
      </c>
      <c r="G6619" s="142" t="s">
        <v>8413</v>
      </c>
      <c r="H6619" s="142" t="s">
        <v>22469</v>
      </c>
      <c r="I6619" s="142">
        <v>21</v>
      </c>
      <c r="J6619" s="142">
        <v>0</v>
      </c>
      <c r="K6619" s="142">
        <v>0</v>
      </c>
      <c r="L6619" s="142">
        <v>0</v>
      </c>
      <c r="M6619" s="142">
        <v>21</v>
      </c>
    </row>
    <row r="6620" spans="1:13" x14ac:dyDescent="0.45">
      <c r="A6620" s="142" t="s">
        <v>13029</v>
      </c>
      <c r="B6620" s="142" t="s">
        <v>14665</v>
      </c>
      <c r="C6620" s="142" t="s">
        <v>15847</v>
      </c>
      <c r="D6620" s="142" t="s">
        <v>15848</v>
      </c>
      <c r="E6620" s="142" t="s">
        <v>15849</v>
      </c>
      <c r="F6620" s="142" t="s">
        <v>8414</v>
      </c>
      <c r="G6620" s="142" t="s">
        <v>8413</v>
      </c>
      <c r="H6620" s="142" t="s">
        <v>22470</v>
      </c>
      <c r="I6620" s="142">
        <v>10</v>
      </c>
      <c r="J6620" s="142">
        <v>0</v>
      </c>
      <c r="K6620" s="142">
        <v>0</v>
      </c>
      <c r="L6620" s="142">
        <v>0</v>
      </c>
      <c r="M6620" s="142">
        <v>10</v>
      </c>
    </row>
    <row r="6621" spans="1:13" x14ac:dyDescent="0.45">
      <c r="A6621" s="142" t="s">
        <v>13006</v>
      </c>
      <c r="B6621" s="142" t="s">
        <v>15288</v>
      </c>
      <c r="C6621" s="142" t="s">
        <v>15847</v>
      </c>
      <c r="D6621" s="142" t="s">
        <v>15848</v>
      </c>
      <c r="E6621" s="142" t="s">
        <v>15849</v>
      </c>
      <c r="F6621" s="142" t="s">
        <v>8414</v>
      </c>
      <c r="G6621" s="142" t="s">
        <v>8413</v>
      </c>
      <c r="H6621" s="142" t="s">
        <v>22471</v>
      </c>
      <c r="I6621" s="142">
        <v>327</v>
      </c>
      <c r="J6621" s="142">
        <v>115</v>
      </c>
      <c r="K6621" s="142">
        <v>0</v>
      </c>
      <c r="L6621" s="142">
        <v>6</v>
      </c>
      <c r="M6621" s="142">
        <v>206</v>
      </c>
    </row>
    <row r="6622" spans="1:13" x14ac:dyDescent="0.45">
      <c r="A6622" s="142" t="s">
        <v>13007</v>
      </c>
      <c r="B6622" s="142" t="s">
        <v>15262</v>
      </c>
      <c r="C6622" s="142" t="s">
        <v>15847</v>
      </c>
      <c r="D6622" s="142" t="s">
        <v>15848</v>
      </c>
      <c r="E6622" s="142" t="s">
        <v>15849</v>
      </c>
      <c r="F6622" s="142" t="s">
        <v>8414</v>
      </c>
      <c r="G6622" s="142" t="s">
        <v>8413</v>
      </c>
      <c r="H6622" s="142" t="s">
        <v>22472</v>
      </c>
      <c r="I6622" s="142">
        <v>1</v>
      </c>
      <c r="J6622" s="142">
        <v>0</v>
      </c>
      <c r="K6622" s="142">
        <v>0</v>
      </c>
      <c r="L6622" s="142">
        <v>0</v>
      </c>
      <c r="M6622" s="142">
        <v>1</v>
      </c>
    </row>
    <row r="6623" spans="1:13" x14ac:dyDescent="0.45">
      <c r="A6623" s="142" t="s">
        <v>13568</v>
      </c>
      <c r="B6623" s="142" t="s">
        <v>15242</v>
      </c>
      <c r="C6623" s="142" t="s">
        <v>15847</v>
      </c>
      <c r="D6623" s="142" t="s">
        <v>15848</v>
      </c>
      <c r="E6623" s="142" t="s">
        <v>15849</v>
      </c>
      <c r="F6623" s="142" t="s">
        <v>8414</v>
      </c>
      <c r="G6623" s="142" t="s">
        <v>8413</v>
      </c>
      <c r="H6623" s="142" t="s">
        <v>22473</v>
      </c>
      <c r="I6623" s="142">
        <v>250</v>
      </c>
      <c r="J6623" s="142">
        <v>173</v>
      </c>
      <c r="K6623" s="142">
        <v>0</v>
      </c>
      <c r="L6623" s="142">
        <v>46</v>
      </c>
      <c r="M6623" s="142">
        <v>31</v>
      </c>
    </row>
    <row r="6624" spans="1:13" x14ac:dyDescent="0.45">
      <c r="A6624" s="142" t="s">
        <v>13054</v>
      </c>
      <c r="B6624" s="142" t="s">
        <v>15604</v>
      </c>
      <c r="C6624" s="142" t="s">
        <v>15847</v>
      </c>
      <c r="D6624" s="142" t="s">
        <v>15848</v>
      </c>
      <c r="E6624" s="142" t="s">
        <v>15849</v>
      </c>
      <c r="F6624" s="142" t="s">
        <v>8414</v>
      </c>
      <c r="G6624" s="142" t="s">
        <v>8413</v>
      </c>
      <c r="H6624" s="142" t="s">
        <v>22474</v>
      </c>
      <c r="I6624" s="142">
        <v>1</v>
      </c>
      <c r="J6624" s="142">
        <v>0</v>
      </c>
      <c r="K6624" s="142">
        <v>0</v>
      </c>
      <c r="L6624" s="142">
        <v>0</v>
      </c>
      <c r="M6624" s="142">
        <v>1</v>
      </c>
    </row>
    <row r="6625" spans="1:13" x14ac:dyDescent="0.45">
      <c r="A6625" s="142" t="s">
        <v>13008</v>
      </c>
      <c r="B6625" s="142" t="s">
        <v>15411</v>
      </c>
      <c r="C6625" s="142" t="s">
        <v>15847</v>
      </c>
      <c r="D6625" s="142" t="s">
        <v>15848</v>
      </c>
      <c r="E6625" s="142" t="s">
        <v>15849</v>
      </c>
      <c r="F6625" s="142" t="s">
        <v>8414</v>
      </c>
      <c r="G6625" s="142" t="s">
        <v>8413</v>
      </c>
      <c r="H6625" s="142" t="s">
        <v>22475</v>
      </c>
      <c r="I6625" s="142">
        <v>87</v>
      </c>
      <c r="J6625" s="142">
        <v>0</v>
      </c>
      <c r="K6625" s="142">
        <v>0</v>
      </c>
      <c r="L6625" s="142">
        <v>0</v>
      </c>
      <c r="M6625" s="142">
        <v>87</v>
      </c>
    </row>
    <row r="6626" spans="1:13" x14ac:dyDescent="0.45">
      <c r="A6626" s="142" t="s">
        <v>13077</v>
      </c>
      <c r="B6626" s="142" t="s">
        <v>15407</v>
      </c>
      <c r="C6626" s="142" t="s">
        <v>15847</v>
      </c>
      <c r="D6626" s="142" t="s">
        <v>15848</v>
      </c>
      <c r="E6626" s="142" t="s">
        <v>15849</v>
      </c>
      <c r="F6626" s="142" t="s">
        <v>8414</v>
      </c>
      <c r="G6626" s="142" t="s">
        <v>8413</v>
      </c>
      <c r="H6626" s="142" t="s">
        <v>22476</v>
      </c>
      <c r="I6626" s="142">
        <v>256</v>
      </c>
      <c r="J6626" s="142">
        <v>229</v>
      </c>
      <c r="K6626" s="142">
        <v>0</v>
      </c>
      <c r="L6626" s="142">
        <v>27</v>
      </c>
      <c r="M6626" s="142">
        <v>0</v>
      </c>
    </row>
    <row r="6627" spans="1:13" x14ac:dyDescent="0.45">
      <c r="A6627" s="142" t="s">
        <v>13569</v>
      </c>
      <c r="B6627" s="142" t="s">
        <v>15441</v>
      </c>
      <c r="C6627" s="142" t="s">
        <v>15847</v>
      </c>
      <c r="D6627" s="142" t="s">
        <v>15848</v>
      </c>
      <c r="E6627" s="142" t="s">
        <v>15849</v>
      </c>
      <c r="F6627" s="142" t="s">
        <v>8414</v>
      </c>
      <c r="G6627" s="142" t="s">
        <v>8413</v>
      </c>
      <c r="H6627" s="142" t="s">
        <v>22477</v>
      </c>
      <c r="I6627" s="142">
        <v>5088</v>
      </c>
      <c r="J6627" s="142">
        <v>4546</v>
      </c>
      <c r="K6627" s="142">
        <v>0</v>
      </c>
      <c r="L6627" s="142">
        <v>340</v>
      </c>
      <c r="M6627" s="142">
        <v>202</v>
      </c>
    </row>
    <row r="6628" spans="1:13" x14ac:dyDescent="0.45">
      <c r="A6628" s="142" t="s">
        <v>13037</v>
      </c>
      <c r="B6628" s="142" t="s">
        <v>14519</v>
      </c>
      <c r="C6628" s="142" t="s">
        <v>15847</v>
      </c>
      <c r="D6628" s="142" t="s">
        <v>15848</v>
      </c>
      <c r="E6628" s="142" t="s">
        <v>15849</v>
      </c>
      <c r="F6628" s="142" t="s">
        <v>8414</v>
      </c>
      <c r="G6628" s="142" t="s">
        <v>8413</v>
      </c>
      <c r="H6628" s="142" t="s">
        <v>22478</v>
      </c>
      <c r="I6628" s="142">
        <v>45</v>
      </c>
      <c r="J6628" s="142">
        <v>0</v>
      </c>
      <c r="K6628" s="142">
        <v>0</v>
      </c>
      <c r="L6628" s="142">
        <v>45</v>
      </c>
      <c r="M6628" s="142">
        <v>0</v>
      </c>
    </row>
    <row r="6629" spans="1:13" x14ac:dyDescent="0.45">
      <c r="A6629" s="142" t="s">
        <v>13038</v>
      </c>
      <c r="B6629" s="142" t="s">
        <v>14646</v>
      </c>
      <c r="C6629" s="142" t="s">
        <v>15847</v>
      </c>
      <c r="D6629" s="142" t="s">
        <v>15848</v>
      </c>
      <c r="E6629" s="142" t="s">
        <v>15849</v>
      </c>
      <c r="F6629" s="142" t="s">
        <v>8414</v>
      </c>
      <c r="G6629" s="142" t="s">
        <v>8413</v>
      </c>
      <c r="H6629" s="142" t="s">
        <v>22479</v>
      </c>
      <c r="I6629" s="142">
        <v>12</v>
      </c>
      <c r="J6629" s="142">
        <v>0</v>
      </c>
      <c r="K6629" s="142">
        <v>0</v>
      </c>
      <c r="L6629" s="142">
        <v>0</v>
      </c>
      <c r="M6629" s="142">
        <v>12</v>
      </c>
    </row>
    <row r="6630" spans="1:13" x14ac:dyDescent="0.45">
      <c r="A6630" s="142" t="s">
        <v>13039</v>
      </c>
      <c r="B6630" s="142" t="s">
        <v>14647</v>
      </c>
      <c r="C6630" s="142" t="s">
        <v>15847</v>
      </c>
      <c r="D6630" s="142" t="s">
        <v>15848</v>
      </c>
      <c r="E6630" s="142" t="s">
        <v>15849</v>
      </c>
      <c r="F6630" s="142" t="s">
        <v>8414</v>
      </c>
      <c r="G6630" s="142" t="s">
        <v>8413</v>
      </c>
      <c r="H6630" s="142" t="s">
        <v>22480</v>
      </c>
      <c r="I6630" s="142">
        <v>30</v>
      </c>
      <c r="J6630" s="142">
        <v>30</v>
      </c>
      <c r="K6630" s="142">
        <v>0</v>
      </c>
      <c r="L6630" s="142">
        <v>0</v>
      </c>
      <c r="M6630" s="142">
        <v>0</v>
      </c>
    </row>
    <row r="6631" spans="1:13" x14ac:dyDescent="0.45">
      <c r="A6631" s="142" t="s">
        <v>13091</v>
      </c>
      <c r="B6631" s="142" t="s">
        <v>14473</v>
      </c>
      <c r="C6631" s="142" t="s">
        <v>15847</v>
      </c>
      <c r="D6631" s="142" t="s">
        <v>15848</v>
      </c>
      <c r="E6631" s="142" t="s">
        <v>15849</v>
      </c>
      <c r="F6631" s="142" t="s">
        <v>8414</v>
      </c>
      <c r="G6631" s="142" t="s">
        <v>8413</v>
      </c>
      <c r="H6631" s="142" t="s">
        <v>22481</v>
      </c>
      <c r="I6631" s="142">
        <v>13</v>
      </c>
      <c r="J6631" s="142">
        <v>0</v>
      </c>
      <c r="K6631" s="142">
        <v>0</v>
      </c>
      <c r="L6631" s="142">
        <v>0</v>
      </c>
      <c r="M6631" s="142">
        <v>13</v>
      </c>
    </row>
    <row r="6632" spans="1:13" x14ac:dyDescent="0.45">
      <c r="A6632" s="142" t="s">
        <v>13011</v>
      </c>
      <c r="B6632" s="142" t="s">
        <v>14695</v>
      </c>
      <c r="C6632" s="142" t="s">
        <v>15847</v>
      </c>
      <c r="D6632" s="142" t="s">
        <v>15848</v>
      </c>
      <c r="E6632" s="142" t="s">
        <v>15849</v>
      </c>
      <c r="F6632" s="142" t="s">
        <v>8414</v>
      </c>
      <c r="G6632" s="142" t="s">
        <v>8413</v>
      </c>
      <c r="H6632" s="142" t="s">
        <v>22482</v>
      </c>
      <c r="I6632" s="142">
        <v>836</v>
      </c>
      <c r="J6632" s="142">
        <v>626</v>
      </c>
      <c r="K6632" s="142">
        <v>0</v>
      </c>
      <c r="L6632" s="142">
        <v>27</v>
      </c>
      <c r="M6632" s="142">
        <v>183</v>
      </c>
    </row>
    <row r="6633" spans="1:13" x14ac:dyDescent="0.45">
      <c r="A6633" s="142" t="s">
        <v>13041</v>
      </c>
      <c r="B6633" s="142" t="s">
        <v>14441</v>
      </c>
      <c r="C6633" s="142" t="s">
        <v>15847</v>
      </c>
      <c r="D6633" s="142" t="s">
        <v>15848</v>
      </c>
      <c r="E6633" s="142" t="s">
        <v>15849</v>
      </c>
      <c r="F6633" s="142" t="s">
        <v>8414</v>
      </c>
      <c r="G6633" s="142" t="s">
        <v>8413</v>
      </c>
      <c r="H6633" s="142" t="s">
        <v>22483</v>
      </c>
      <c r="I6633" s="142">
        <v>34</v>
      </c>
      <c r="J6633" s="142">
        <v>0</v>
      </c>
      <c r="K6633" s="142">
        <v>0</v>
      </c>
      <c r="L6633" s="142">
        <v>0</v>
      </c>
      <c r="M6633" s="142">
        <v>34</v>
      </c>
    </row>
    <row r="6634" spans="1:13" x14ac:dyDescent="0.45">
      <c r="A6634" s="142" t="s">
        <v>13012</v>
      </c>
      <c r="B6634" s="142" t="s">
        <v>15337</v>
      </c>
      <c r="C6634" s="142" t="s">
        <v>15847</v>
      </c>
      <c r="D6634" s="142" t="s">
        <v>15848</v>
      </c>
      <c r="E6634" s="142" t="s">
        <v>15849</v>
      </c>
      <c r="F6634" s="142" t="s">
        <v>8414</v>
      </c>
      <c r="G6634" s="142" t="s">
        <v>8413</v>
      </c>
      <c r="H6634" s="142" t="s">
        <v>22484</v>
      </c>
      <c r="I6634" s="142">
        <v>46</v>
      </c>
      <c r="J6634" s="142">
        <v>40</v>
      </c>
      <c r="K6634" s="142">
        <v>0</v>
      </c>
      <c r="L6634" s="142">
        <v>0</v>
      </c>
      <c r="M6634" s="142">
        <v>6</v>
      </c>
    </row>
    <row r="6635" spans="1:13" x14ac:dyDescent="0.45">
      <c r="A6635" s="142" t="s">
        <v>13060</v>
      </c>
      <c r="B6635" s="142" t="s">
        <v>14470</v>
      </c>
      <c r="C6635" s="142" t="s">
        <v>15847</v>
      </c>
      <c r="D6635" s="142" t="s">
        <v>15848</v>
      </c>
      <c r="E6635" s="142" t="s">
        <v>15849</v>
      </c>
      <c r="F6635" s="142" t="s">
        <v>8414</v>
      </c>
      <c r="G6635" s="142" t="s">
        <v>8413</v>
      </c>
      <c r="H6635" s="142" t="s">
        <v>22485</v>
      </c>
      <c r="I6635" s="142">
        <v>25</v>
      </c>
      <c r="J6635" s="142">
        <v>10</v>
      </c>
      <c r="K6635" s="142">
        <v>0</v>
      </c>
      <c r="L6635" s="142">
        <v>0</v>
      </c>
      <c r="M6635" s="142">
        <v>15</v>
      </c>
    </row>
    <row r="6636" spans="1:13" x14ac:dyDescent="0.45">
      <c r="A6636" s="142" t="s">
        <v>13094</v>
      </c>
      <c r="B6636" s="142" t="s">
        <v>15542</v>
      </c>
      <c r="C6636" s="142" t="s">
        <v>15860</v>
      </c>
      <c r="D6636" s="142" t="s">
        <v>15861</v>
      </c>
      <c r="E6636" s="142" t="s">
        <v>15849</v>
      </c>
      <c r="F6636" s="142" t="s">
        <v>8414</v>
      </c>
      <c r="G6636" s="142" t="s">
        <v>8413</v>
      </c>
      <c r="H6636" s="142" t="s">
        <v>22486</v>
      </c>
      <c r="I6636" s="142">
        <v>36</v>
      </c>
      <c r="J6636" s="142">
        <v>0</v>
      </c>
      <c r="K6636" s="142">
        <v>0</v>
      </c>
      <c r="L6636" s="142">
        <v>36</v>
      </c>
      <c r="M6636" s="142">
        <v>0</v>
      </c>
    </row>
    <row r="6637" spans="1:13" x14ac:dyDescent="0.45">
      <c r="A6637" s="142" t="s">
        <v>13014</v>
      </c>
      <c r="B6637" s="142" t="s">
        <v>14505</v>
      </c>
      <c r="C6637" s="142" t="s">
        <v>15847</v>
      </c>
      <c r="D6637" s="142" t="s">
        <v>15848</v>
      </c>
      <c r="E6637" s="142" t="s">
        <v>15849</v>
      </c>
      <c r="F6637" s="142" t="s">
        <v>8414</v>
      </c>
      <c r="G6637" s="142" t="s">
        <v>8413</v>
      </c>
      <c r="H6637" s="142" t="s">
        <v>22487</v>
      </c>
      <c r="I6637" s="142">
        <v>130</v>
      </c>
      <c r="J6637" s="142">
        <v>92</v>
      </c>
      <c r="K6637" s="142">
        <v>0</v>
      </c>
      <c r="L6637" s="142">
        <v>0</v>
      </c>
      <c r="M6637" s="142">
        <v>38</v>
      </c>
    </row>
    <row r="6638" spans="1:13" x14ac:dyDescent="0.45">
      <c r="A6638" s="142" t="s">
        <v>13079</v>
      </c>
      <c r="B6638" s="142" t="s">
        <v>15431</v>
      </c>
      <c r="C6638" s="142" t="s">
        <v>15847</v>
      </c>
      <c r="D6638" s="142" t="s">
        <v>15848</v>
      </c>
      <c r="E6638" s="142" t="s">
        <v>15849</v>
      </c>
      <c r="F6638" s="142" t="s">
        <v>8414</v>
      </c>
      <c r="G6638" s="142" t="s">
        <v>8413</v>
      </c>
      <c r="H6638" s="142" t="s">
        <v>22488</v>
      </c>
      <c r="I6638" s="142">
        <v>41</v>
      </c>
      <c r="J6638" s="142">
        <v>21</v>
      </c>
      <c r="K6638" s="142">
        <v>0</v>
      </c>
      <c r="L6638" s="142">
        <v>0</v>
      </c>
      <c r="M6638" s="142">
        <v>20</v>
      </c>
    </row>
    <row r="6639" spans="1:13" x14ac:dyDescent="0.45">
      <c r="A6639" s="142" t="s">
        <v>13570</v>
      </c>
      <c r="B6639" s="142" t="s">
        <v>15181</v>
      </c>
      <c r="C6639" s="142" t="s">
        <v>15860</v>
      </c>
      <c r="D6639" s="142" t="s">
        <v>15861</v>
      </c>
      <c r="E6639" s="142" t="s">
        <v>15849</v>
      </c>
      <c r="F6639" s="142" t="s">
        <v>8414</v>
      </c>
      <c r="G6639" s="142" t="s">
        <v>8413</v>
      </c>
      <c r="H6639" s="142" t="s">
        <v>22489</v>
      </c>
      <c r="I6639" s="142">
        <v>185</v>
      </c>
      <c r="J6639" s="142">
        <v>0</v>
      </c>
      <c r="K6639" s="142">
        <v>0</v>
      </c>
      <c r="L6639" s="142">
        <v>185</v>
      </c>
      <c r="M6639" s="142">
        <v>0</v>
      </c>
    </row>
    <row r="6640" spans="1:13" x14ac:dyDescent="0.45">
      <c r="A6640" s="142" t="s">
        <v>13016</v>
      </c>
      <c r="B6640" s="142" t="s">
        <v>14535</v>
      </c>
      <c r="C6640" s="142" t="s">
        <v>15860</v>
      </c>
      <c r="D6640" s="142" t="s">
        <v>15861</v>
      </c>
      <c r="E6640" s="142" t="s">
        <v>15849</v>
      </c>
      <c r="F6640" s="142" t="s">
        <v>8414</v>
      </c>
      <c r="G6640" s="142" t="s">
        <v>8413</v>
      </c>
      <c r="H6640" s="142" t="s">
        <v>22490</v>
      </c>
      <c r="I6640" s="142">
        <v>4</v>
      </c>
      <c r="J6640" s="142">
        <v>0</v>
      </c>
      <c r="K6640" s="142">
        <v>0</v>
      </c>
      <c r="L6640" s="142">
        <v>4</v>
      </c>
      <c r="M6640" s="142">
        <v>0</v>
      </c>
    </row>
    <row r="6641" spans="1:13" x14ac:dyDescent="0.45">
      <c r="A6641" s="142" t="s">
        <v>13144</v>
      </c>
      <c r="B6641" s="142" t="s">
        <v>14464</v>
      </c>
      <c r="C6641" s="142" t="s">
        <v>15860</v>
      </c>
      <c r="D6641" s="142" t="s">
        <v>15861</v>
      </c>
      <c r="E6641" s="142" t="s">
        <v>15849</v>
      </c>
      <c r="F6641" s="142" t="s">
        <v>8414</v>
      </c>
      <c r="G6641" s="142" t="s">
        <v>8413</v>
      </c>
      <c r="H6641" s="142" t="s">
        <v>22491</v>
      </c>
      <c r="I6641" s="142">
        <v>6</v>
      </c>
      <c r="J6641" s="142">
        <v>0</v>
      </c>
      <c r="K6641" s="142">
        <v>0</v>
      </c>
      <c r="L6641" s="142">
        <v>6</v>
      </c>
      <c r="M6641" s="142">
        <v>0</v>
      </c>
    </row>
    <row r="6642" spans="1:13" x14ac:dyDescent="0.45">
      <c r="A6642" s="142" t="s">
        <v>14127</v>
      </c>
      <c r="B6642" s="142" t="s">
        <v>14599</v>
      </c>
      <c r="C6642" s="142" t="s">
        <v>15860</v>
      </c>
      <c r="D6642" s="142" t="s">
        <v>15861</v>
      </c>
      <c r="E6642" s="142" t="s">
        <v>15849</v>
      </c>
      <c r="F6642" s="142" t="s">
        <v>8414</v>
      </c>
      <c r="G6642" s="142" t="s">
        <v>8413</v>
      </c>
      <c r="H6642" s="142" t="s">
        <v>22492</v>
      </c>
      <c r="I6642" s="142">
        <v>75</v>
      </c>
      <c r="J6642" s="142">
        <v>0</v>
      </c>
      <c r="K6642" s="142">
        <v>0</v>
      </c>
      <c r="L6642" s="142">
        <v>75</v>
      </c>
      <c r="M6642" s="142">
        <v>0</v>
      </c>
    </row>
    <row r="6643" spans="1:13" x14ac:dyDescent="0.45">
      <c r="A6643" s="142" t="s">
        <v>13072</v>
      </c>
      <c r="B6643" s="142" t="s">
        <v>15530</v>
      </c>
      <c r="C6643" s="142" t="s">
        <v>15847</v>
      </c>
      <c r="D6643" s="142" t="s">
        <v>15848</v>
      </c>
      <c r="E6643" s="142" t="s">
        <v>15849</v>
      </c>
      <c r="F6643" s="142" t="s">
        <v>6204</v>
      </c>
      <c r="G6643" s="142" t="s">
        <v>6203</v>
      </c>
      <c r="H6643" s="142" t="s">
        <v>22493</v>
      </c>
      <c r="I6643" s="142">
        <v>76</v>
      </c>
      <c r="J6643" s="142">
        <v>72</v>
      </c>
      <c r="K6643" s="142">
        <v>0</v>
      </c>
      <c r="L6643" s="142">
        <v>0</v>
      </c>
      <c r="M6643" s="142">
        <v>4</v>
      </c>
    </row>
    <row r="6644" spans="1:13" x14ac:dyDescent="0.45">
      <c r="A6644" s="142" t="s">
        <v>13407</v>
      </c>
      <c r="B6644" s="142" t="s">
        <v>15432</v>
      </c>
      <c r="C6644" s="142" t="s">
        <v>15847</v>
      </c>
      <c r="D6644" s="142" t="s">
        <v>15848</v>
      </c>
      <c r="E6644" s="142" t="s">
        <v>15849</v>
      </c>
      <c r="F6644" s="142" t="s">
        <v>6204</v>
      </c>
      <c r="G6644" s="142" t="s">
        <v>6203</v>
      </c>
      <c r="H6644" s="142" t="s">
        <v>22494</v>
      </c>
      <c r="I6644" s="142">
        <v>33</v>
      </c>
      <c r="J6644" s="142">
        <v>31</v>
      </c>
      <c r="K6644" s="142">
        <v>0</v>
      </c>
      <c r="L6644" s="142">
        <v>0</v>
      </c>
      <c r="M6644" s="142">
        <v>2</v>
      </c>
    </row>
    <row r="6645" spans="1:13" x14ac:dyDescent="0.45">
      <c r="A6645" s="142" t="s">
        <v>13273</v>
      </c>
      <c r="B6645" s="142" t="s">
        <v>14465</v>
      </c>
      <c r="C6645" s="142" t="s">
        <v>15860</v>
      </c>
      <c r="D6645" s="142" t="s">
        <v>15861</v>
      </c>
      <c r="E6645" s="142" t="s">
        <v>15849</v>
      </c>
      <c r="F6645" s="142" t="s">
        <v>6204</v>
      </c>
      <c r="G6645" s="142" t="s">
        <v>6203</v>
      </c>
      <c r="H6645" s="142" t="s">
        <v>22495</v>
      </c>
      <c r="I6645" s="142">
        <v>11</v>
      </c>
      <c r="J6645" s="142">
        <v>0</v>
      </c>
      <c r="K6645" s="142">
        <v>0</v>
      </c>
      <c r="L6645" s="142">
        <v>11</v>
      </c>
      <c r="M6645" s="142">
        <v>0</v>
      </c>
    </row>
    <row r="6646" spans="1:13" x14ac:dyDescent="0.45">
      <c r="A6646" s="142" t="s">
        <v>13027</v>
      </c>
      <c r="B6646" s="142" t="s">
        <v>14562</v>
      </c>
      <c r="C6646" s="142" t="s">
        <v>15847</v>
      </c>
      <c r="D6646" s="142" t="s">
        <v>15848</v>
      </c>
      <c r="E6646" s="142" t="s">
        <v>15849</v>
      </c>
      <c r="F6646" s="142" t="s">
        <v>6204</v>
      </c>
      <c r="G6646" s="142" t="s">
        <v>6203</v>
      </c>
      <c r="H6646" s="142" t="s">
        <v>22496</v>
      </c>
      <c r="I6646" s="142">
        <v>3</v>
      </c>
      <c r="J6646" s="142">
        <v>0</v>
      </c>
      <c r="K6646" s="142">
        <v>0</v>
      </c>
      <c r="L6646" s="142">
        <v>3</v>
      </c>
      <c r="M6646" s="142">
        <v>0</v>
      </c>
    </row>
    <row r="6647" spans="1:13" x14ac:dyDescent="0.45">
      <c r="A6647" s="142" t="s">
        <v>13148</v>
      </c>
      <c r="B6647" s="142" t="s">
        <v>15314</v>
      </c>
      <c r="C6647" s="142" t="s">
        <v>15847</v>
      </c>
      <c r="D6647" s="142" t="s">
        <v>15848</v>
      </c>
      <c r="E6647" s="142" t="s">
        <v>15849</v>
      </c>
      <c r="F6647" s="142" t="s">
        <v>6204</v>
      </c>
      <c r="G6647" s="142" t="s">
        <v>6203</v>
      </c>
      <c r="H6647" s="142" t="s">
        <v>22497</v>
      </c>
      <c r="I6647" s="142">
        <v>330</v>
      </c>
      <c r="J6647" s="142">
        <v>177</v>
      </c>
      <c r="K6647" s="142">
        <v>0</v>
      </c>
      <c r="L6647" s="142">
        <v>9</v>
      </c>
      <c r="M6647" s="142">
        <v>144</v>
      </c>
    </row>
    <row r="6648" spans="1:13" x14ac:dyDescent="0.45">
      <c r="A6648" s="142" t="s">
        <v>13028</v>
      </c>
      <c r="B6648" s="142" t="s">
        <v>14462</v>
      </c>
      <c r="C6648" s="142" t="s">
        <v>15847</v>
      </c>
      <c r="D6648" s="142" t="s">
        <v>15848</v>
      </c>
      <c r="E6648" s="142" t="s">
        <v>15849</v>
      </c>
      <c r="F6648" s="142" t="s">
        <v>6204</v>
      </c>
      <c r="G6648" s="142" t="s">
        <v>6203</v>
      </c>
      <c r="H6648" s="142" t="s">
        <v>22498</v>
      </c>
      <c r="I6648" s="142">
        <v>131</v>
      </c>
      <c r="J6648" s="142">
        <v>0</v>
      </c>
      <c r="K6648" s="142">
        <v>0</v>
      </c>
      <c r="L6648" s="142">
        <v>0</v>
      </c>
      <c r="M6648" s="142">
        <v>131</v>
      </c>
    </row>
    <row r="6649" spans="1:13" x14ac:dyDescent="0.45">
      <c r="A6649" s="142" t="s">
        <v>13003</v>
      </c>
      <c r="B6649" s="142" t="s">
        <v>15245</v>
      </c>
      <c r="C6649" s="142" t="s">
        <v>15847</v>
      </c>
      <c r="D6649" s="142" t="s">
        <v>15848</v>
      </c>
      <c r="E6649" s="142" t="s">
        <v>15849</v>
      </c>
      <c r="F6649" s="142" t="s">
        <v>6204</v>
      </c>
      <c r="G6649" s="142" t="s">
        <v>6203</v>
      </c>
      <c r="H6649" s="142" t="s">
        <v>22499</v>
      </c>
      <c r="I6649" s="142">
        <v>40</v>
      </c>
      <c r="J6649" s="142">
        <v>0</v>
      </c>
      <c r="K6649" s="142">
        <v>0</v>
      </c>
      <c r="L6649" s="142">
        <v>40</v>
      </c>
      <c r="M6649" s="142">
        <v>0</v>
      </c>
    </row>
    <row r="6650" spans="1:13" x14ac:dyDescent="0.45">
      <c r="A6650" s="142" t="s">
        <v>13291</v>
      </c>
      <c r="B6650" s="142" t="s">
        <v>15495</v>
      </c>
      <c r="C6650" s="142" t="s">
        <v>15847</v>
      </c>
      <c r="D6650" s="142" t="s">
        <v>15848</v>
      </c>
      <c r="E6650" s="142" t="s">
        <v>15849</v>
      </c>
      <c r="F6650" s="142" t="s">
        <v>6204</v>
      </c>
      <c r="G6650" s="142" t="s">
        <v>6203</v>
      </c>
      <c r="H6650" s="142" t="s">
        <v>22500</v>
      </c>
      <c r="I6650" s="142">
        <v>273</v>
      </c>
      <c r="J6650" s="142">
        <v>215</v>
      </c>
      <c r="K6650" s="142">
        <v>0</v>
      </c>
      <c r="L6650" s="142">
        <v>0</v>
      </c>
      <c r="M6650" s="142">
        <v>58</v>
      </c>
    </row>
    <row r="6651" spans="1:13" x14ac:dyDescent="0.45">
      <c r="A6651" s="142" t="s">
        <v>13005</v>
      </c>
      <c r="B6651" s="142" t="s">
        <v>15475</v>
      </c>
      <c r="C6651" s="142" t="s">
        <v>15847</v>
      </c>
      <c r="D6651" s="142" t="s">
        <v>15848</v>
      </c>
      <c r="E6651" s="142" t="s">
        <v>15849</v>
      </c>
      <c r="F6651" s="142" t="s">
        <v>6204</v>
      </c>
      <c r="G6651" s="142" t="s">
        <v>6203</v>
      </c>
      <c r="H6651" s="142" t="s">
        <v>22501</v>
      </c>
      <c r="I6651" s="142">
        <v>37</v>
      </c>
      <c r="J6651" s="142">
        <v>19</v>
      </c>
      <c r="K6651" s="142">
        <v>0</v>
      </c>
      <c r="L6651" s="142">
        <v>0</v>
      </c>
      <c r="M6651" s="142">
        <v>18</v>
      </c>
    </row>
    <row r="6652" spans="1:13" x14ac:dyDescent="0.45">
      <c r="A6652" s="142" t="s">
        <v>13249</v>
      </c>
      <c r="B6652" s="142" t="s">
        <v>14602</v>
      </c>
      <c r="C6652" s="142" t="s">
        <v>15847</v>
      </c>
      <c r="D6652" s="142" t="s">
        <v>15848</v>
      </c>
      <c r="E6652" s="142" t="s">
        <v>15849</v>
      </c>
      <c r="F6652" s="142" t="s">
        <v>6204</v>
      </c>
      <c r="G6652" s="142" t="s">
        <v>6203</v>
      </c>
      <c r="H6652" s="142" t="s">
        <v>22502</v>
      </c>
      <c r="I6652" s="142">
        <v>367</v>
      </c>
      <c r="J6652" s="142">
        <v>252</v>
      </c>
      <c r="K6652" s="142">
        <v>0</v>
      </c>
      <c r="L6652" s="142">
        <v>52</v>
      </c>
      <c r="M6652" s="142">
        <v>63</v>
      </c>
    </row>
    <row r="6653" spans="1:13" x14ac:dyDescent="0.45">
      <c r="A6653" s="142" t="s">
        <v>13516</v>
      </c>
      <c r="B6653" s="142" t="s">
        <v>14461</v>
      </c>
      <c r="C6653" s="142" t="s">
        <v>15860</v>
      </c>
      <c r="D6653" s="142" t="s">
        <v>15861</v>
      </c>
      <c r="E6653" s="142" t="s">
        <v>15849</v>
      </c>
      <c r="F6653" s="142" t="s">
        <v>6204</v>
      </c>
      <c r="G6653" s="142" t="s">
        <v>6203</v>
      </c>
      <c r="H6653" s="142" t="s">
        <v>22503</v>
      </c>
      <c r="I6653" s="142">
        <v>2</v>
      </c>
      <c r="J6653" s="142">
        <v>0</v>
      </c>
      <c r="K6653" s="142">
        <v>0</v>
      </c>
      <c r="L6653" s="142">
        <v>2</v>
      </c>
      <c r="M6653" s="142">
        <v>0</v>
      </c>
    </row>
    <row r="6654" spans="1:13" x14ac:dyDescent="0.45">
      <c r="A6654" s="142" t="s">
        <v>13276</v>
      </c>
      <c r="B6654" s="142" t="s">
        <v>15498</v>
      </c>
      <c r="C6654" s="142" t="s">
        <v>15847</v>
      </c>
      <c r="D6654" s="142" t="s">
        <v>15848</v>
      </c>
      <c r="E6654" s="142" t="s">
        <v>15849</v>
      </c>
      <c r="F6654" s="142" t="s">
        <v>6204</v>
      </c>
      <c r="G6654" s="142" t="s">
        <v>6203</v>
      </c>
      <c r="H6654" s="142" t="s">
        <v>22504</v>
      </c>
      <c r="I6654" s="142">
        <v>1318</v>
      </c>
      <c r="J6654" s="142">
        <v>637</v>
      </c>
      <c r="K6654" s="142">
        <v>0</v>
      </c>
      <c r="L6654" s="142">
        <v>615</v>
      </c>
      <c r="M6654" s="142">
        <v>66</v>
      </c>
    </row>
    <row r="6655" spans="1:13" x14ac:dyDescent="0.45">
      <c r="A6655" s="142" t="s">
        <v>13033</v>
      </c>
      <c r="B6655" s="142" t="s">
        <v>15276</v>
      </c>
      <c r="C6655" s="142" t="s">
        <v>15847</v>
      </c>
      <c r="D6655" s="142" t="s">
        <v>15848</v>
      </c>
      <c r="E6655" s="142" t="s">
        <v>15849</v>
      </c>
      <c r="F6655" s="142" t="s">
        <v>6204</v>
      </c>
      <c r="G6655" s="142" t="s">
        <v>6203</v>
      </c>
      <c r="H6655" s="142" t="s">
        <v>22505</v>
      </c>
      <c r="I6655" s="142">
        <v>28</v>
      </c>
      <c r="J6655" s="142">
        <v>25</v>
      </c>
      <c r="K6655" s="142">
        <v>0</v>
      </c>
      <c r="L6655" s="142">
        <v>0</v>
      </c>
      <c r="M6655" s="142">
        <v>3</v>
      </c>
    </row>
    <row r="6656" spans="1:13" x14ac:dyDescent="0.45">
      <c r="A6656" s="142" t="s">
        <v>13034</v>
      </c>
      <c r="B6656" s="142" t="s">
        <v>15562</v>
      </c>
      <c r="C6656" s="142" t="s">
        <v>15847</v>
      </c>
      <c r="D6656" s="142" t="s">
        <v>15848</v>
      </c>
      <c r="E6656" s="142" t="s">
        <v>15849</v>
      </c>
      <c r="F6656" s="142" t="s">
        <v>6204</v>
      </c>
      <c r="G6656" s="142" t="s">
        <v>6203</v>
      </c>
      <c r="H6656" s="142" t="s">
        <v>22506</v>
      </c>
      <c r="I6656" s="142">
        <v>18</v>
      </c>
      <c r="J6656" s="142">
        <v>0</v>
      </c>
      <c r="K6656" s="142">
        <v>0</v>
      </c>
      <c r="L6656" s="142">
        <v>18</v>
      </c>
      <c r="M6656" s="142">
        <v>0</v>
      </c>
    </row>
    <row r="6657" spans="1:13" x14ac:dyDescent="0.45">
      <c r="A6657" s="142" t="s">
        <v>13036</v>
      </c>
      <c r="B6657" s="142" t="s">
        <v>15567</v>
      </c>
      <c r="C6657" s="142" t="s">
        <v>15847</v>
      </c>
      <c r="D6657" s="142" t="s">
        <v>15848</v>
      </c>
      <c r="E6657" s="142" t="s">
        <v>15849</v>
      </c>
      <c r="F6657" s="142" t="s">
        <v>6204</v>
      </c>
      <c r="G6657" s="142" t="s">
        <v>6203</v>
      </c>
      <c r="H6657" s="142" t="s">
        <v>22507</v>
      </c>
      <c r="I6657" s="142">
        <v>50</v>
      </c>
      <c r="J6657" s="142">
        <v>17</v>
      </c>
      <c r="K6657" s="142">
        <v>0</v>
      </c>
      <c r="L6657" s="142">
        <v>12</v>
      </c>
      <c r="M6657" s="142">
        <v>21</v>
      </c>
    </row>
    <row r="6658" spans="1:13" x14ac:dyDescent="0.45">
      <c r="A6658" s="142" t="s">
        <v>13277</v>
      </c>
      <c r="B6658" s="142" t="s">
        <v>14454</v>
      </c>
      <c r="C6658" s="142" t="s">
        <v>15847</v>
      </c>
      <c r="D6658" s="142" t="s">
        <v>15848</v>
      </c>
      <c r="E6658" s="142" t="s">
        <v>15849</v>
      </c>
      <c r="F6658" s="142" t="s">
        <v>6204</v>
      </c>
      <c r="G6658" s="142" t="s">
        <v>6203</v>
      </c>
      <c r="H6658" s="142" t="s">
        <v>22508</v>
      </c>
      <c r="I6658" s="142">
        <v>8</v>
      </c>
      <c r="J6658" s="142">
        <v>0</v>
      </c>
      <c r="K6658" s="142">
        <v>0</v>
      </c>
      <c r="L6658" s="142">
        <v>8</v>
      </c>
      <c r="M6658" s="142">
        <v>0</v>
      </c>
    </row>
    <row r="6659" spans="1:13" x14ac:dyDescent="0.45">
      <c r="A6659" s="142" t="s">
        <v>13039</v>
      </c>
      <c r="B6659" s="142" t="s">
        <v>14647</v>
      </c>
      <c r="C6659" s="142" t="s">
        <v>15847</v>
      </c>
      <c r="D6659" s="142" t="s">
        <v>15848</v>
      </c>
      <c r="E6659" s="142" t="s">
        <v>15849</v>
      </c>
      <c r="F6659" s="142" t="s">
        <v>6204</v>
      </c>
      <c r="G6659" s="142" t="s">
        <v>6203</v>
      </c>
      <c r="H6659" s="142" t="s">
        <v>22509</v>
      </c>
      <c r="I6659" s="142">
        <v>34</v>
      </c>
      <c r="J6659" s="142">
        <v>34</v>
      </c>
      <c r="K6659" s="142">
        <v>0</v>
      </c>
      <c r="L6659" s="142">
        <v>0</v>
      </c>
      <c r="M6659" s="142">
        <v>0</v>
      </c>
    </row>
    <row r="6660" spans="1:13" x14ac:dyDescent="0.45">
      <c r="A6660" s="142" t="s">
        <v>13009</v>
      </c>
      <c r="B6660" s="142" t="s">
        <v>15256</v>
      </c>
      <c r="C6660" s="142" t="s">
        <v>15847</v>
      </c>
      <c r="D6660" s="142" t="s">
        <v>15848</v>
      </c>
      <c r="E6660" s="142" t="s">
        <v>15849</v>
      </c>
      <c r="F6660" s="142" t="s">
        <v>6204</v>
      </c>
      <c r="G6660" s="142" t="s">
        <v>6203</v>
      </c>
      <c r="H6660" s="142" t="s">
        <v>22510</v>
      </c>
      <c r="I6660" s="142">
        <v>6</v>
      </c>
      <c r="J6660" s="142">
        <v>6</v>
      </c>
      <c r="K6660" s="142">
        <v>0</v>
      </c>
      <c r="L6660" s="142">
        <v>0</v>
      </c>
      <c r="M6660" s="142">
        <v>0</v>
      </c>
    </row>
    <row r="6661" spans="1:13" x14ac:dyDescent="0.45">
      <c r="A6661" s="142" t="s">
        <v>13041</v>
      </c>
      <c r="B6661" s="142" t="s">
        <v>14441</v>
      </c>
      <c r="C6661" s="142" t="s">
        <v>15847</v>
      </c>
      <c r="D6661" s="142" t="s">
        <v>15848</v>
      </c>
      <c r="E6661" s="142" t="s">
        <v>15849</v>
      </c>
      <c r="F6661" s="142" t="s">
        <v>6204</v>
      </c>
      <c r="G6661" s="142" t="s">
        <v>6203</v>
      </c>
      <c r="H6661" s="142" t="s">
        <v>22511</v>
      </c>
      <c r="I6661" s="142">
        <v>31</v>
      </c>
      <c r="J6661" s="142">
        <v>0</v>
      </c>
      <c r="K6661" s="142">
        <v>0</v>
      </c>
      <c r="L6661" s="142">
        <v>0</v>
      </c>
      <c r="M6661" s="142">
        <v>31</v>
      </c>
    </row>
    <row r="6662" spans="1:13" x14ac:dyDescent="0.45">
      <c r="A6662" s="142" t="s">
        <v>14129</v>
      </c>
      <c r="B6662" s="142" t="s">
        <v>15217</v>
      </c>
      <c r="C6662" s="142" t="s">
        <v>15860</v>
      </c>
      <c r="D6662" s="142" t="s">
        <v>15861</v>
      </c>
      <c r="E6662" s="142" t="s">
        <v>15849</v>
      </c>
      <c r="F6662" s="142" t="s">
        <v>6204</v>
      </c>
      <c r="G6662" s="142" t="s">
        <v>6203</v>
      </c>
      <c r="H6662" s="142" t="s">
        <v>22512</v>
      </c>
      <c r="I6662" s="142">
        <v>10</v>
      </c>
      <c r="J6662" s="142">
        <v>0</v>
      </c>
      <c r="K6662" s="142">
        <v>0</v>
      </c>
      <c r="L6662" s="142">
        <v>10</v>
      </c>
      <c r="M6662" s="142">
        <v>0</v>
      </c>
    </row>
    <row r="6663" spans="1:13" x14ac:dyDescent="0.45">
      <c r="A6663" s="142" t="s">
        <v>13154</v>
      </c>
      <c r="B6663" s="142" t="s">
        <v>15415</v>
      </c>
      <c r="C6663" s="142" t="s">
        <v>15847</v>
      </c>
      <c r="D6663" s="142" t="s">
        <v>15848</v>
      </c>
      <c r="E6663" s="142" t="s">
        <v>15849</v>
      </c>
      <c r="F6663" s="142" t="s">
        <v>6204</v>
      </c>
      <c r="G6663" s="142" t="s">
        <v>6203</v>
      </c>
      <c r="H6663" s="142" t="s">
        <v>22513</v>
      </c>
      <c r="I6663" s="142">
        <v>110</v>
      </c>
      <c r="J6663" s="142">
        <v>40</v>
      </c>
      <c r="K6663" s="142">
        <v>0</v>
      </c>
      <c r="L6663" s="142">
        <v>0</v>
      </c>
      <c r="M6663" s="142">
        <v>70</v>
      </c>
    </row>
    <row r="6664" spans="1:13" x14ac:dyDescent="0.45">
      <c r="A6664" s="142" t="s">
        <v>14130</v>
      </c>
      <c r="B6664" s="142" t="s">
        <v>14873</v>
      </c>
      <c r="C6664" s="142" t="s">
        <v>15860</v>
      </c>
      <c r="D6664" s="142" t="s">
        <v>15861</v>
      </c>
      <c r="E6664" s="142" t="s">
        <v>15849</v>
      </c>
      <c r="F6664" s="142" t="s">
        <v>6204</v>
      </c>
      <c r="G6664" s="142" t="s">
        <v>6203</v>
      </c>
      <c r="H6664" s="142" t="s">
        <v>22514</v>
      </c>
      <c r="I6664" s="142">
        <v>25</v>
      </c>
      <c r="J6664" s="142">
        <v>0</v>
      </c>
      <c r="K6664" s="142">
        <v>0</v>
      </c>
      <c r="L6664" s="142">
        <v>25</v>
      </c>
      <c r="M6664" s="142">
        <v>0</v>
      </c>
    </row>
    <row r="6665" spans="1:13" x14ac:dyDescent="0.45">
      <c r="A6665" s="142" t="s">
        <v>13286</v>
      </c>
      <c r="B6665" s="142" t="s">
        <v>15342</v>
      </c>
      <c r="C6665" s="142" t="s">
        <v>15847</v>
      </c>
      <c r="D6665" s="142" t="s">
        <v>15848</v>
      </c>
      <c r="E6665" s="142" t="s">
        <v>15849</v>
      </c>
      <c r="F6665" s="142" t="s">
        <v>6204</v>
      </c>
      <c r="G6665" s="142" t="s">
        <v>6203</v>
      </c>
      <c r="H6665" s="142" t="s">
        <v>22515</v>
      </c>
      <c r="I6665" s="142">
        <v>39</v>
      </c>
      <c r="J6665" s="142">
        <v>14</v>
      </c>
      <c r="K6665" s="142">
        <v>0</v>
      </c>
      <c r="L6665" s="142">
        <v>25</v>
      </c>
      <c r="M6665" s="142">
        <v>0</v>
      </c>
    </row>
    <row r="6666" spans="1:13" x14ac:dyDescent="0.45">
      <c r="A6666" s="142" t="s">
        <v>13110</v>
      </c>
      <c r="B6666" s="142" t="s">
        <v>15502</v>
      </c>
      <c r="C6666" s="142" t="s">
        <v>15847</v>
      </c>
      <c r="D6666" s="142" t="s">
        <v>15848</v>
      </c>
      <c r="E6666" s="142" t="s">
        <v>15849</v>
      </c>
      <c r="F6666" s="142" t="s">
        <v>12282</v>
      </c>
      <c r="G6666" s="142" t="s">
        <v>12281</v>
      </c>
      <c r="H6666" s="142" t="s">
        <v>22516</v>
      </c>
      <c r="I6666" s="142">
        <v>58</v>
      </c>
      <c r="J6666" s="142">
        <v>31</v>
      </c>
      <c r="K6666" s="142">
        <v>0</v>
      </c>
      <c r="L6666" s="142">
        <v>27</v>
      </c>
      <c r="M6666" s="142">
        <v>0</v>
      </c>
    </row>
    <row r="6667" spans="1:13" x14ac:dyDescent="0.45">
      <c r="A6667" s="142" t="s">
        <v>13166</v>
      </c>
      <c r="B6667" s="142" t="s">
        <v>15576</v>
      </c>
      <c r="C6667" s="142" t="s">
        <v>15847</v>
      </c>
      <c r="D6667" s="142" t="s">
        <v>15848</v>
      </c>
      <c r="E6667" s="142" t="s">
        <v>15849</v>
      </c>
      <c r="F6667" s="142" t="s">
        <v>12282</v>
      </c>
      <c r="G6667" s="142" t="s">
        <v>12281</v>
      </c>
      <c r="H6667" s="142" t="s">
        <v>22517</v>
      </c>
      <c r="I6667" s="142">
        <v>78</v>
      </c>
      <c r="J6667" s="142">
        <v>68</v>
      </c>
      <c r="K6667" s="142">
        <v>0</v>
      </c>
      <c r="L6667" s="142">
        <v>0</v>
      </c>
      <c r="M6667" s="142">
        <v>10</v>
      </c>
    </row>
    <row r="6668" spans="1:13" x14ac:dyDescent="0.45">
      <c r="A6668" s="142" t="s">
        <v>13023</v>
      </c>
      <c r="B6668" s="142" t="s">
        <v>15571</v>
      </c>
      <c r="C6668" s="142" t="s">
        <v>15847</v>
      </c>
      <c r="D6668" s="142" t="s">
        <v>15848</v>
      </c>
      <c r="E6668" s="142" t="s">
        <v>15849</v>
      </c>
      <c r="F6668" s="142" t="s">
        <v>12282</v>
      </c>
      <c r="G6668" s="142" t="s">
        <v>12281</v>
      </c>
      <c r="H6668" s="142" t="s">
        <v>22518</v>
      </c>
      <c r="I6668" s="142">
        <v>39</v>
      </c>
      <c r="J6668" s="142">
        <v>0</v>
      </c>
      <c r="K6668" s="142">
        <v>0</v>
      </c>
      <c r="L6668" s="142">
        <v>39</v>
      </c>
      <c r="M6668" s="142">
        <v>0</v>
      </c>
    </row>
    <row r="6669" spans="1:13" x14ac:dyDescent="0.45">
      <c r="A6669" s="142" t="s">
        <v>13433</v>
      </c>
      <c r="B6669" s="142" t="s">
        <v>15167</v>
      </c>
      <c r="C6669" s="142" t="s">
        <v>15847</v>
      </c>
      <c r="D6669" s="142" t="s">
        <v>15848</v>
      </c>
      <c r="E6669" s="142" t="s">
        <v>15849</v>
      </c>
      <c r="F6669" s="142" t="s">
        <v>12282</v>
      </c>
      <c r="G6669" s="142" t="s">
        <v>12281</v>
      </c>
      <c r="H6669" s="142" t="s">
        <v>22519</v>
      </c>
      <c r="I6669" s="142">
        <v>20</v>
      </c>
      <c r="J6669" s="142">
        <v>0</v>
      </c>
      <c r="K6669" s="142">
        <v>0</v>
      </c>
      <c r="L6669" s="142">
        <v>20</v>
      </c>
      <c r="M6669" s="142">
        <v>0</v>
      </c>
    </row>
    <row r="6670" spans="1:13" x14ac:dyDescent="0.45">
      <c r="A6670" s="142" t="s">
        <v>13098</v>
      </c>
      <c r="B6670" s="142" t="s">
        <v>14528</v>
      </c>
      <c r="C6670" s="142" t="s">
        <v>15860</v>
      </c>
      <c r="D6670" s="142" t="s">
        <v>15861</v>
      </c>
      <c r="E6670" s="142" t="s">
        <v>15849</v>
      </c>
      <c r="F6670" s="142" t="s">
        <v>12282</v>
      </c>
      <c r="G6670" s="142" t="s">
        <v>12281</v>
      </c>
      <c r="H6670" s="142" t="s">
        <v>22520</v>
      </c>
      <c r="I6670" s="142">
        <v>1</v>
      </c>
      <c r="J6670" s="142">
        <v>1</v>
      </c>
      <c r="K6670" s="142">
        <v>0</v>
      </c>
      <c r="L6670" s="142">
        <v>0</v>
      </c>
      <c r="M6670" s="142">
        <v>0</v>
      </c>
    </row>
    <row r="6671" spans="1:13" x14ac:dyDescent="0.45">
      <c r="A6671" s="142" t="s">
        <v>13027</v>
      </c>
      <c r="B6671" s="142" t="s">
        <v>14562</v>
      </c>
      <c r="C6671" s="142" t="s">
        <v>15847</v>
      </c>
      <c r="D6671" s="142" t="s">
        <v>15848</v>
      </c>
      <c r="E6671" s="142" t="s">
        <v>15849</v>
      </c>
      <c r="F6671" s="142" t="s">
        <v>12282</v>
      </c>
      <c r="G6671" s="142" t="s">
        <v>12281</v>
      </c>
      <c r="H6671" s="142" t="s">
        <v>22521</v>
      </c>
      <c r="I6671" s="142">
        <v>7</v>
      </c>
      <c r="J6671" s="142">
        <v>0</v>
      </c>
      <c r="K6671" s="142">
        <v>0</v>
      </c>
      <c r="L6671" s="142">
        <v>7</v>
      </c>
      <c r="M6671" s="142">
        <v>0</v>
      </c>
    </row>
    <row r="6672" spans="1:13" x14ac:dyDescent="0.45">
      <c r="A6672" s="142" t="s">
        <v>13050</v>
      </c>
      <c r="B6672" s="142" t="s">
        <v>15237</v>
      </c>
      <c r="C6672" s="142" t="s">
        <v>15847</v>
      </c>
      <c r="D6672" s="142" t="s">
        <v>15848</v>
      </c>
      <c r="E6672" s="142" t="s">
        <v>15849</v>
      </c>
      <c r="F6672" s="142" t="s">
        <v>12282</v>
      </c>
      <c r="G6672" s="142" t="s">
        <v>12281</v>
      </c>
      <c r="H6672" s="142" t="s">
        <v>22522</v>
      </c>
      <c r="I6672" s="142">
        <v>30</v>
      </c>
      <c r="J6672" s="142">
        <v>30</v>
      </c>
      <c r="K6672" s="142">
        <v>0</v>
      </c>
      <c r="L6672" s="142">
        <v>0</v>
      </c>
      <c r="M6672" s="142">
        <v>0</v>
      </c>
    </row>
    <row r="6673" spans="1:13" x14ac:dyDescent="0.45">
      <c r="A6673" s="142" t="s">
        <v>13002</v>
      </c>
      <c r="B6673" s="142" t="s">
        <v>15376</v>
      </c>
      <c r="C6673" s="142" t="s">
        <v>15847</v>
      </c>
      <c r="D6673" s="142" t="s">
        <v>15848</v>
      </c>
      <c r="E6673" s="142" t="s">
        <v>15849</v>
      </c>
      <c r="F6673" s="142" t="s">
        <v>12282</v>
      </c>
      <c r="G6673" s="142" t="s">
        <v>12281</v>
      </c>
      <c r="H6673" s="142" t="s">
        <v>22523</v>
      </c>
      <c r="I6673" s="142">
        <v>11</v>
      </c>
      <c r="J6673" s="142">
        <v>0</v>
      </c>
      <c r="K6673" s="142">
        <v>0</v>
      </c>
      <c r="L6673" s="142">
        <v>11</v>
      </c>
      <c r="M6673" s="142">
        <v>0</v>
      </c>
    </row>
    <row r="6674" spans="1:13" x14ac:dyDescent="0.45">
      <c r="A6674" s="142" t="s">
        <v>13789</v>
      </c>
      <c r="B6674" s="142" t="s">
        <v>15596</v>
      </c>
      <c r="C6674" s="142" t="s">
        <v>15860</v>
      </c>
      <c r="D6674" s="142" t="s">
        <v>15861</v>
      </c>
      <c r="E6674" s="142" t="s">
        <v>15849</v>
      </c>
      <c r="F6674" s="142" t="s">
        <v>12282</v>
      </c>
      <c r="G6674" s="142" t="s">
        <v>12281</v>
      </c>
      <c r="H6674" s="142" t="s">
        <v>22524</v>
      </c>
      <c r="I6674" s="142">
        <v>15</v>
      </c>
      <c r="J6674" s="142">
        <v>0</v>
      </c>
      <c r="K6674" s="142">
        <v>0</v>
      </c>
      <c r="L6674" s="142">
        <v>15</v>
      </c>
      <c r="M6674" s="142">
        <v>0</v>
      </c>
    </row>
    <row r="6675" spans="1:13" x14ac:dyDescent="0.45">
      <c r="A6675" s="142" t="s">
        <v>13127</v>
      </c>
      <c r="B6675" s="142" t="s">
        <v>15549</v>
      </c>
      <c r="C6675" s="142" t="s">
        <v>15847</v>
      </c>
      <c r="D6675" s="142" t="s">
        <v>15848</v>
      </c>
      <c r="E6675" s="142" t="s">
        <v>15849</v>
      </c>
      <c r="F6675" s="142" t="s">
        <v>12282</v>
      </c>
      <c r="G6675" s="142" t="s">
        <v>12281</v>
      </c>
      <c r="H6675" s="142" t="s">
        <v>22525</v>
      </c>
      <c r="I6675" s="142">
        <v>30</v>
      </c>
      <c r="J6675" s="142">
        <v>27</v>
      </c>
      <c r="K6675" s="142">
        <v>0</v>
      </c>
      <c r="L6675" s="142">
        <v>0</v>
      </c>
      <c r="M6675" s="142">
        <v>3</v>
      </c>
    </row>
    <row r="6676" spans="1:13" x14ac:dyDescent="0.45">
      <c r="A6676" s="142" t="s">
        <v>13005</v>
      </c>
      <c r="B6676" s="142" t="s">
        <v>15475</v>
      </c>
      <c r="C6676" s="142" t="s">
        <v>15847</v>
      </c>
      <c r="D6676" s="142" t="s">
        <v>15848</v>
      </c>
      <c r="E6676" s="142" t="s">
        <v>15849</v>
      </c>
      <c r="F6676" s="142" t="s">
        <v>12282</v>
      </c>
      <c r="G6676" s="142" t="s">
        <v>12281</v>
      </c>
      <c r="H6676" s="142" t="s">
        <v>22526</v>
      </c>
      <c r="I6676" s="142">
        <v>588</v>
      </c>
      <c r="J6676" s="142">
        <v>452</v>
      </c>
      <c r="K6676" s="142">
        <v>0</v>
      </c>
      <c r="L6676" s="142">
        <v>109</v>
      </c>
      <c r="M6676" s="142">
        <v>27</v>
      </c>
    </row>
    <row r="6677" spans="1:13" x14ac:dyDescent="0.45">
      <c r="A6677" s="142" t="s">
        <v>13101</v>
      </c>
      <c r="B6677" s="142" t="s">
        <v>15491</v>
      </c>
      <c r="C6677" s="142" t="s">
        <v>15847</v>
      </c>
      <c r="D6677" s="142" t="s">
        <v>15848</v>
      </c>
      <c r="E6677" s="142" t="s">
        <v>15849</v>
      </c>
      <c r="F6677" s="142" t="s">
        <v>12282</v>
      </c>
      <c r="G6677" s="142" t="s">
        <v>12281</v>
      </c>
      <c r="H6677" s="142" t="s">
        <v>22527</v>
      </c>
      <c r="I6677" s="142">
        <v>12</v>
      </c>
      <c r="J6677" s="142">
        <v>0</v>
      </c>
      <c r="K6677" s="142">
        <v>0</v>
      </c>
      <c r="L6677" s="142">
        <v>12</v>
      </c>
      <c r="M6677" s="142">
        <v>0</v>
      </c>
    </row>
    <row r="6678" spans="1:13" x14ac:dyDescent="0.45">
      <c r="A6678" s="142" t="s">
        <v>13006</v>
      </c>
      <c r="B6678" s="142" t="s">
        <v>15288</v>
      </c>
      <c r="C6678" s="142" t="s">
        <v>15847</v>
      </c>
      <c r="D6678" s="142" t="s">
        <v>15848</v>
      </c>
      <c r="E6678" s="142" t="s">
        <v>15849</v>
      </c>
      <c r="F6678" s="142" t="s">
        <v>12282</v>
      </c>
      <c r="G6678" s="142" t="s">
        <v>12281</v>
      </c>
      <c r="H6678" s="142" t="s">
        <v>22528</v>
      </c>
      <c r="I6678" s="142">
        <v>523</v>
      </c>
      <c r="J6678" s="142">
        <v>347</v>
      </c>
      <c r="K6678" s="142">
        <v>0</v>
      </c>
      <c r="L6678" s="142">
        <v>25</v>
      </c>
      <c r="M6678" s="142">
        <v>151</v>
      </c>
    </row>
    <row r="6679" spans="1:13" x14ac:dyDescent="0.45">
      <c r="A6679" s="142" t="s">
        <v>13103</v>
      </c>
      <c r="B6679" s="142" t="s">
        <v>14623</v>
      </c>
      <c r="C6679" s="142" t="s">
        <v>15847</v>
      </c>
      <c r="D6679" s="142" t="s">
        <v>15848</v>
      </c>
      <c r="E6679" s="142" t="s">
        <v>15849</v>
      </c>
      <c r="F6679" s="142" t="s">
        <v>12282</v>
      </c>
      <c r="G6679" s="142" t="s">
        <v>12281</v>
      </c>
      <c r="H6679" s="142" t="s">
        <v>22529</v>
      </c>
      <c r="I6679" s="142">
        <v>79</v>
      </c>
      <c r="J6679" s="142">
        <v>79</v>
      </c>
      <c r="K6679" s="142">
        <v>0</v>
      </c>
      <c r="L6679" s="142">
        <v>0</v>
      </c>
      <c r="M6679" s="142">
        <v>0</v>
      </c>
    </row>
    <row r="6680" spans="1:13" x14ac:dyDescent="0.45">
      <c r="A6680" s="142" t="s">
        <v>13054</v>
      </c>
      <c r="B6680" s="142" t="s">
        <v>15604</v>
      </c>
      <c r="C6680" s="142" t="s">
        <v>15847</v>
      </c>
      <c r="D6680" s="142" t="s">
        <v>15848</v>
      </c>
      <c r="E6680" s="142" t="s">
        <v>15849</v>
      </c>
      <c r="F6680" s="142" t="s">
        <v>12282</v>
      </c>
      <c r="G6680" s="142" t="s">
        <v>12281</v>
      </c>
      <c r="H6680" s="142" t="s">
        <v>22530</v>
      </c>
      <c r="I6680" s="142">
        <v>44</v>
      </c>
      <c r="J6680" s="142">
        <v>0</v>
      </c>
      <c r="K6680" s="142">
        <v>0</v>
      </c>
      <c r="L6680" s="142">
        <v>0</v>
      </c>
      <c r="M6680" s="142">
        <v>44</v>
      </c>
    </row>
    <row r="6681" spans="1:13" x14ac:dyDescent="0.45">
      <c r="A6681" s="142" t="s">
        <v>13133</v>
      </c>
      <c r="B6681" s="142" t="s">
        <v>15291</v>
      </c>
      <c r="C6681" s="142" t="s">
        <v>15847</v>
      </c>
      <c r="D6681" s="142" t="s">
        <v>15848</v>
      </c>
      <c r="E6681" s="142" t="s">
        <v>15849</v>
      </c>
      <c r="F6681" s="142" t="s">
        <v>12282</v>
      </c>
      <c r="G6681" s="142" t="s">
        <v>12281</v>
      </c>
      <c r="H6681" s="142" t="s">
        <v>22531</v>
      </c>
      <c r="I6681" s="142">
        <v>147</v>
      </c>
      <c r="J6681" s="142">
        <v>145</v>
      </c>
      <c r="K6681" s="142">
        <v>0</v>
      </c>
      <c r="L6681" s="142">
        <v>0</v>
      </c>
      <c r="M6681" s="142">
        <v>2</v>
      </c>
    </row>
    <row r="6682" spans="1:13" x14ac:dyDescent="0.45">
      <c r="A6682" s="142" t="s">
        <v>13055</v>
      </c>
      <c r="B6682" s="142" t="s">
        <v>14595</v>
      </c>
      <c r="C6682" s="142" t="s">
        <v>15847</v>
      </c>
      <c r="D6682" s="142" t="s">
        <v>15848</v>
      </c>
      <c r="E6682" s="142" t="s">
        <v>15849</v>
      </c>
      <c r="F6682" s="142" t="s">
        <v>12282</v>
      </c>
      <c r="G6682" s="142" t="s">
        <v>12281</v>
      </c>
      <c r="H6682" s="142" t="s">
        <v>22532</v>
      </c>
      <c r="I6682" s="142">
        <v>1836</v>
      </c>
      <c r="J6682" s="142">
        <v>1421</v>
      </c>
      <c r="K6682" s="142">
        <v>0</v>
      </c>
      <c r="L6682" s="142">
        <v>301</v>
      </c>
      <c r="M6682" s="142">
        <v>114</v>
      </c>
    </row>
    <row r="6683" spans="1:13" x14ac:dyDescent="0.45">
      <c r="A6683" s="142" t="s">
        <v>13104</v>
      </c>
      <c r="B6683" s="142" t="s">
        <v>14622</v>
      </c>
      <c r="C6683" s="142" t="s">
        <v>15847</v>
      </c>
      <c r="D6683" s="142" t="s">
        <v>15848</v>
      </c>
      <c r="E6683" s="142" t="s">
        <v>15849</v>
      </c>
      <c r="F6683" s="142" t="s">
        <v>12282</v>
      </c>
      <c r="G6683" s="142" t="s">
        <v>12281</v>
      </c>
      <c r="H6683" s="142" t="s">
        <v>22533</v>
      </c>
      <c r="I6683" s="142">
        <v>1</v>
      </c>
      <c r="J6683" s="142">
        <v>0</v>
      </c>
      <c r="K6683" s="142">
        <v>0</v>
      </c>
      <c r="L6683" s="142">
        <v>0</v>
      </c>
      <c r="M6683" s="142">
        <v>1</v>
      </c>
    </row>
    <row r="6684" spans="1:13" x14ac:dyDescent="0.45">
      <c r="A6684" s="142" t="s">
        <v>13037</v>
      </c>
      <c r="B6684" s="142" t="s">
        <v>14519</v>
      </c>
      <c r="C6684" s="142" t="s">
        <v>15847</v>
      </c>
      <c r="D6684" s="142" t="s">
        <v>15848</v>
      </c>
      <c r="E6684" s="142" t="s">
        <v>15849</v>
      </c>
      <c r="F6684" s="142" t="s">
        <v>12282</v>
      </c>
      <c r="G6684" s="142" t="s">
        <v>12281</v>
      </c>
      <c r="H6684" s="142" t="s">
        <v>22534</v>
      </c>
      <c r="I6684" s="142">
        <v>11</v>
      </c>
      <c r="J6684" s="142">
        <v>0</v>
      </c>
      <c r="K6684" s="142">
        <v>0</v>
      </c>
      <c r="L6684" s="142">
        <v>11</v>
      </c>
      <c r="M6684" s="142">
        <v>0</v>
      </c>
    </row>
    <row r="6685" spans="1:13" x14ac:dyDescent="0.45">
      <c r="A6685" s="142" t="s">
        <v>14132</v>
      </c>
      <c r="B6685" s="142" t="s">
        <v>14984</v>
      </c>
      <c r="C6685" s="142" t="s">
        <v>15860</v>
      </c>
      <c r="D6685" s="142" t="s">
        <v>15861</v>
      </c>
      <c r="E6685" s="142" t="s">
        <v>15849</v>
      </c>
      <c r="F6685" s="142" t="s">
        <v>12282</v>
      </c>
      <c r="G6685" s="142" t="s">
        <v>12281</v>
      </c>
      <c r="H6685" s="142" t="s">
        <v>22535</v>
      </c>
      <c r="I6685" s="142">
        <v>25</v>
      </c>
      <c r="J6685" s="142">
        <v>25</v>
      </c>
      <c r="K6685" s="142">
        <v>0</v>
      </c>
      <c r="L6685" s="142">
        <v>0</v>
      </c>
      <c r="M6685" s="142">
        <v>0</v>
      </c>
    </row>
    <row r="6686" spans="1:13" x14ac:dyDescent="0.45">
      <c r="A6686" s="142" t="s">
        <v>13779</v>
      </c>
      <c r="B6686" s="142" t="s">
        <v>15434</v>
      </c>
      <c r="C6686" s="142" t="s">
        <v>15847</v>
      </c>
      <c r="D6686" s="142" t="s">
        <v>15848</v>
      </c>
      <c r="E6686" s="142" t="s">
        <v>15849</v>
      </c>
      <c r="F6686" s="142" t="s">
        <v>12282</v>
      </c>
      <c r="G6686" s="142" t="s">
        <v>12281</v>
      </c>
      <c r="H6686" s="142" t="s">
        <v>22536</v>
      </c>
      <c r="I6686" s="142">
        <v>6397</v>
      </c>
      <c r="J6686" s="142">
        <v>5929</v>
      </c>
      <c r="K6686" s="142">
        <v>0</v>
      </c>
      <c r="L6686" s="142">
        <v>414</v>
      </c>
      <c r="M6686" s="142">
        <v>54</v>
      </c>
    </row>
    <row r="6687" spans="1:13" x14ac:dyDescent="0.45">
      <c r="A6687" s="142" t="s">
        <v>13011</v>
      </c>
      <c r="B6687" s="142" t="s">
        <v>14695</v>
      </c>
      <c r="C6687" s="142" t="s">
        <v>15847</v>
      </c>
      <c r="D6687" s="142" t="s">
        <v>15848</v>
      </c>
      <c r="E6687" s="142" t="s">
        <v>15849</v>
      </c>
      <c r="F6687" s="142" t="s">
        <v>12282</v>
      </c>
      <c r="G6687" s="142" t="s">
        <v>12281</v>
      </c>
      <c r="H6687" s="142" t="s">
        <v>22537</v>
      </c>
      <c r="I6687" s="142">
        <v>1</v>
      </c>
      <c r="J6687" s="142">
        <v>0</v>
      </c>
      <c r="K6687" s="142">
        <v>0</v>
      </c>
      <c r="L6687" s="142">
        <v>0</v>
      </c>
      <c r="M6687" s="142">
        <v>1</v>
      </c>
    </row>
    <row r="6688" spans="1:13" x14ac:dyDescent="0.45">
      <c r="A6688" s="142" t="s">
        <v>13058</v>
      </c>
      <c r="B6688" s="142" t="s">
        <v>14584</v>
      </c>
      <c r="C6688" s="142" t="s">
        <v>15847</v>
      </c>
      <c r="D6688" s="142" t="s">
        <v>15848</v>
      </c>
      <c r="E6688" s="142" t="s">
        <v>15849</v>
      </c>
      <c r="F6688" s="142" t="s">
        <v>12282</v>
      </c>
      <c r="G6688" s="142" t="s">
        <v>12281</v>
      </c>
      <c r="H6688" s="142" t="s">
        <v>22538</v>
      </c>
      <c r="I6688" s="142">
        <v>113</v>
      </c>
      <c r="J6688" s="142">
        <v>107</v>
      </c>
      <c r="K6688" s="142">
        <v>0</v>
      </c>
      <c r="L6688" s="142">
        <v>0</v>
      </c>
      <c r="M6688" s="142">
        <v>6</v>
      </c>
    </row>
    <row r="6689" spans="1:13" x14ac:dyDescent="0.45">
      <c r="A6689" s="142" t="s">
        <v>13012</v>
      </c>
      <c r="B6689" s="142" t="s">
        <v>15337</v>
      </c>
      <c r="C6689" s="142" t="s">
        <v>15847</v>
      </c>
      <c r="D6689" s="142" t="s">
        <v>15848</v>
      </c>
      <c r="E6689" s="142" t="s">
        <v>15849</v>
      </c>
      <c r="F6689" s="142" t="s">
        <v>12282</v>
      </c>
      <c r="G6689" s="142" t="s">
        <v>12281</v>
      </c>
      <c r="H6689" s="142" t="s">
        <v>22539</v>
      </c>
      <c r="I6689" s="142">
        <v>5</v>
      </c>
      <c r="J6689" s="142">
        <v>5</v>
      </c>
      <c r="K6689" s="142">
        <v>0</v>
      </c>
      <c r="L6689" s="142">
        <v>0</v>
      </c>
      <c r="M6689" s="142">
        <v>0</v>
      </c>
    </row>
    <row r="6690" spans="1:13" x14ac:dyDescent="0.45">
      <c r="A6690" s="142" t="s">
        <v>14133</v>
      </c>
      <c r="B6690" s="142" t="s">
        <v>14786</v>
      </c>
      <c r="C6690" s="142" t="s">
        <v>15860</v>
      </c>
      <c r="D6690" s="142" t="s">
        <v>15861</v>
      </c>
      <c r="E6690" s="142" t="s">
        <v>15849</v>
      </c>
      <c r="F6690" s="142" t="s">
        <v>12282</v>
      </c>
      <c r="G6690" s="142" t="s">
        <v>12281</v>
      </c>
      <c r="H6690" s="142" t="s">
        <v>22540</v>
      </c>
      <c r="I6690" s="142">
        <v>33</v>
      </c>
      <c r="J6690" s="142">
        <v>0</v>
      </c>
      <c r="K6690" s="142">
        <v>0</v>
      </c>
      <c r="L6690" s="142">
        <v>33</v>
      </c>
      <c r="M6690" s="142">
        <v>0</v>
      </c>
    </row>
    <row r="6691" spans="1:13" x14ac:dyDescent="0.45">
      <c r="A6691" s="142" t="s">
        <v>13014</v>
      </c>
      <c r="B6691" s="142" t="s">
        <v>14505</v>
      </c>
      <c r="C6691" s="142" t="s">
        <v>15847</v>
      </c>
      <c r="D6691" s="142" t="s">
        <v>15848</v>
      </c>
      <c r="E6691" s="142" t="s">
        <v>15849</v>
      </c>
      <c r="F6691" s="142" t="s">
        <v>12282</v>
      </c>
      <c r="G6691" s="142" t="s">
        <v>12281</v>
      </c>
      <c r="H6691" s="142" t="s">
        <v>22541</v>
      </c>
      <c r="I6691" s="142">
        <v>206</v>
      </c>
      <c r="J6691" s="142">
        <v>150</v>
      </c>
      <c r="K6691" s="142">
        <v>0</v>
      </c>
      <c r="L6691" s="142">
        <v>34</v>
      </c>
      <c r="M6691" s="142">
        <v>22</v>
      </c>
    </row>
    <row r="6692" spans="1:13" x14ac:dyDescent="0.45">
      <c r="A6692" s="142" t="s">
        <v>14134</v>
      </c>
      <c r="B6692" s="142" t="s">
        <v>14771</v>
      </c>
      <c r="C6692" s="142" t="s">
        <v>15860</v>
      </c>
      <c r="D6692" s="142" t="s">
        <v>15861</v>
      </c>
      <c r="E6692" s="142" t="s">
        <v>15849</v>
      </c>
      <c r="F6692" s="142" t="s">
        <v>12282</v>
      </c>
      <c r="G6692" s="142" t="s">
        <v>12281</v>
      </c>
      <c r="H6692" s="142" t="s">
        <v>22542</v>
      </c>
      <c r="I6692" s="142">
        <v>12</v>
      </c>
      <c r="J6692" s="142">
        <v>0</v>
      </c>
      <c r="K6692" s="142">
        <v>0</v>
      </c>
      <c r="L6692" s="142">
        <v>12</v>
      </c>
      <c r="M6692" s="142">
        <v>0</v>
      </c>
    </row>
    <row r="6693" spans="1:13" x14ac:dyDescent="0.45">
      <c r="A6693" s="142" t="s">
        <v>13673</v>
      </c>
      <c r="B6693" s="142" t="s">
        <v>15591</v>
      </c>
      <c r="C6693" s="142" t="s">
        <v>15860</v>
      </c>
      <c r="D6693" s="142" t="s">
        <v>15861</v>
      </c>
      <c r="E6693" s="142" t="s">
        <v>15849</v>
      </c>
      <c r="F6693" s="142" t="s">
        <v>12282</v>
      </c>
      <c r="G6693" s="142" t="s">
        <v>12281</v>
      </c>
      <c r="H6693" s="142" t="s">
        <v>22543</v>
      </c>
      <c r="I6693" s="142">
        <v>21</v>
      </c>
      <c r="J6693" s="142">
        <v>21</v>
      </c>
      <c r="K6693" s="142">
        <v>0</v>
      </c>
      <c r="L6693" s="142">
        <v>0</v>
      </c>
      <c r="M6693" s="142">
        <v>0</v>
      </c>
    </row>
    <row r="6694" spans="1:13" x14ac:dyDescent="0.45">
      <c r="A6694" s="142" t="s">
        <v>13072</v>
      </c>
      <c r="B6694" s="142" t="s">
        <v>15530</v>
      </c>
      <c r="C6694" s="142" t="s">
        <v>15847</v>
      </c>
      <c r="D6694" s="142" t="s">
        <v>15848</v>
      </c>
      <c r="E6694" s="142" t="s">
        <v>15849</v>
      </c>
      <c r="F6694" s="142" t="s">
        <v>9853</v>
      </c>
      <c r="G6694" s="142" t="s">
        <v>9852</v>
      </c>
      <c r="H6694" s="142" t="s">
        <v>22544</v>
      </c>
      <c r="I6694" s="142">
        <v>55</v>
      </c>
      <c r="J6694" s="142">
        <v>55</v>
      </c>
      <c r="K6694" s="142">
        <v>0</v>
      </c>
      <c r="L6694" s="142">
        <v>0</v>
      </c>
      <c r="M6694" s="142">
        <v>0</v>
      </c>
    </row>
    <row r="6695" spans="1:13" x14ac:dyDescent="0.45">
      <c r="A6695" s="142" t="s">
        <v>13023</v>
      </c>
      <c r="B6695" s="142" t="s">
        <v>15571</v>
      </c>
      <c r="C6695" s="142" t="s">
        <v>15847</v>
      </c>
      <c r="D6695" s="142" t="s">
        <v>15848</v>
      </c>
      <c r="E6695" s="142" t="s">
        <v>15849</v>
      </c>
      <c r="F6695" s="142" t="s">
        <v>9853</v>
      </c>
      <c r="G6695" s="142" t="s">
        <v>9852</v>
      </c>
      <c r="H6695" s="142" t="s">
        <v>22545</v>
      </c>
      <c r="I6695" s="142">
        <v>224</v>
      </c>
      <c r="J6695" s="142">
        <v>0</v>
      </c>
      <c r="K6695" s="142">
        <v>0</v>
      </c>
      <c r="L6695" s="142">
        <v>224</v>
      </c>
      <c r="M6695" s="142">
        <v>0</v>
      </c>
    </row>
    <row r="6696" spans="1:13" x14ac:dyDescent="0.45">
      <c r="A6696" s="142" t="s">
        <v>14135</v>
      </c>
      <c r="B6696" s="142" t="s">
        <v>14498</v>
      </c>
      <c r="C6696" s="142" t="s">
        <v>15860</v>
      </c>
      <c r="D6696" s="142" t="s">
        <v>15861</v>
      </c>
      <c r="E6696" s="142" t="s">
        <v>15849</v>
      </c>
      <c r="F6696" s="142" t="s">
        <v>9853</v>
      </c>
      <c r="G6696" s="142" t="s">
        <v>9852</v>
      </c>
      <c r="H6696" s="142" t="s">
        <v>22546</v>
      </c>
      <c r="I6696" s="142">
        <v>44</v>
      </c>
      <c r="J6696" s="142">
        <v>0</v>
      </c>
      <c r="K6696" s="142">
        <v>0</v>
      </c>
      <c r="L6696" s="142">
        <v>44</v>
      </c>
      <c r="M6696" s="142">
        <v>0</v>
      </c>
    </row>
    <row r="6697" spans="1:13" x14ac:dyDescent="0.45">
      <c r="A6697" s="142" t="s">
        <v>13289</v>
      </c>
      <c r="B6697" s="142" t="s">
        <v>14423</v>
      </c>
      <c r="C6697" s="142" t="s">
        <v>15847</v>
      </c>
      <c r="D6697" s="142" t="s">
        <v>15848</v>
      </c>
      <c r="E6697" s="142" t="s">
        <v>15849</v>
      </c>
      <c r="F6697" s="142" t="s">
        <v>9853</v>
      </c>
      <c r="G6697" s="142" t="s">
        <v>9852</v>
      </c>
      <c r="H6697" s="142" t="s">
        <v>22547</v>
      </c>
      <c r="I6697" s="142">
        <v>183</v>
      </c>
      <c r="J6697" s="142">
        <v>183</v>
      </c>
      <c r="K6697" s="142">
        <v>0</v>
      </c>
      <c r="L6697" s="142">
        <v>0</v>
      </c>
      <c r="M6697" s="142">
        <v>0</v>
      </c>
    </row>
    <row r="6698" spans="1:13" x14ac:dyDescent="0.45">
      <c r="A6698" s="142" t="s">
        <v>13574</v>
      </c>
      <c r="B6698" s="142" t="s">
        <v>14553</v>
      </c>
      <c r="C6698" s="142" t="s">
        <v>15860</v>
      </c>
      <c r="D6698" s="142" t="s">
        <v>15861</v>
      </c>
      <c r="E6698" s="142" t="s">
        <v>15849</v>
      </c>
      <c r="F6698" s="142" t="s">
        <v>9853</v>
      </c>
      <c r="G6698" s="142" t="s">
        <v>9852</v>
      </c>
      <c r="H6698" s="142" t="s">
        <v>22548</v>
      </c>
      <c r="I6698" s="142">
        <v>5</v>
      </c>
      <c r="J6698" s="142">
        <v>0</v>
      </c>
      <c r="K6698" s="142">
        <v>0</v>
      </c>
      <c r="L6698" s="142">
        <v>5</v>
      </c>
      <c r="M6698" s="142">
        <v>0</v>
      </c>
    </row>
    <row r="6699" spans="1:13" x14ac:dyDescent="0.45">
      <c r="A6699" s="142" t="s">
        <v>13049</v>
      </c>
      <c r="B6699" s="142" t="s">
        <v>14534</v>
      </c>
      <c r="C6699" s="142" t="s">
        <v>15860</v>
      </c>
      <c r="D6699" s="142" t="s">
        <v>15861</v>
      </c>
      <c r="E6699" s="142" t="s">
        <v>15849</v>
      </c>
      <c r="F6699" s="142" t="s">
        <v>9853</v>
      </c>
      <c r="G6699" s="142" t="s">
        <v>9852</v>
      </c>
      <c r="H6699" s="142" t="s">
        <v>22549</v>
      </c>
      <c r="I6699" s="142">
        <v>10</v>
      </c>
      <c r="J6699" s="142">
        <v>0</v>
      </c>
      <c r="K6699" s="142">
        <v>0</v>
      </c>
      <c r="L6699" s="142">
        <v>10</v>
      </c>
      <c r="M6699" s="142">
        <v>0</v>
      </c>
    </row>
    <row r="6700" spans="1:13" x14ac:dyDescent="0.45">
      <c r="A6700" s="142" t="s">
        <v>13829</v>
      </c>
      <c r="B6700" s="142" t="s">
        <v>14429</v>
      </c>
      <c r="C6700" s="142" t="s">
        <v>15847</v>
      </c>
      <c r="D6700" s="142" t="s">
        <v>15848</v>
      </c>
      <c r="E6700" s="142" t="s">
        <v>15849</v>
      </c>
      <c r="F6700" s="142" t="s">
        <v>9853</v>
      </c>
      <c r="G6700" s="142" t="s">
        <v>9852</v>
      </c>
      <c r="H6700" s="142" t="s">
        <v>22550</v>
      </c>
      <c r="I6700" s="142">
        <v>211</v>
      </c>
      <c r="J6700" s="142">
        <v>163</v>
      </c>
      <c r="K6700" s="142">
        <v>0</v>
      </c>
      <c r="L6700" s="142">
        <v>0</v>
      </c>
      <c r="M6700" s="142">
        <v>48</v>
      </c>
    </row>
    <row r="6701" spans="1:13" x14ac:dyDescent="0.45">
      <c r="A6701" s="142" t="s">
        <v>13027</v>
      </c>
      <c r="B6701" s="142" t="s">
        <v>14562</v>
      </c>
      <c r="C6701" s="142" t="s">
        <v>15847</v>
      </c>
      <c r="D6701" s="142" t="s">
        <v>15848</v>
      </c>
      <c r="E6701" s="142" t="s">
        <v>15849</v>
      </c>
      <c r="F6701" s="142" t="s">
        <v>9853</v>
      </c>
      <c r="G6701" s="142" t="s">
        <v>9852</v>
      </c>
      <c r="H6701" s="142" t="s">
        <v>22551</v>
      </c>
      <c r="I6701" s="142">
        <v>12</v>
      </c>
      <c r="J6701" s="142">
        <v>0</v>
      </c>
      <c r="K6701" s="142">
        <v>0</v>
      </c>
      <c r="L6701" s="142">
        <v>12</v>
      </c>
      <c r="M6701" s="142">
        <v>0</v>
      </c>
    </row>
    <row r="6702" spans="1:13" x14ac:dyDescent="0.45">
      <c r="A6702" s="142" t="s">
        <v>13148</v>
      </c>
      <c r="B6702" s="142" t="s">
        <v>15314</v>
      </c>
      <c r="C6702" s="142" t="s">
        <v>15847</v>
      </c>
      <c r="D6702" s="142" t="s">
        <v>15848</v>
      </c>
      <c r="E6702" s="142" t="s">
        <v>15849</v>
      </c>
      <c r="F6702" s="142" t="s">
        <v>9853</v>
      </c>
      <c r="G6702" s="142" t="s">
        <v>9852</v>
      </c>
      <c r="H6702" s="142" t="s">
        <v>22552</v>
      </c>
      <c r="I6702" s="142">
        <v>761</v>
      </c>
      <c r="J6702" s="142">
        <v>688</v>
      </c>
      <c r="K6702" s="142">
        <v>0</v>
      </c>
      <c r="L6702" s="142">
        <v>2</v>
      </c>
      <c r="M6702" s="142">
        <v>71</v>
      </c>
    </row>
    <row r="6703" spans="1:13" x14ac:dyDescent="0.45">
      <c r="A6703" s="142" t="s">
        <v>13149</v>
      </c>
      <c r="B6703" s="142" t="s">
        <v>14458</v>
      </c>
      <c r="C6703" s="142" t="s">
        <v>15860</v>
      </c>
      <c r="D6703" s="142" t="s">
        <v>15861</v>
      </c>
      <c r="E6703" s="142" t="s">
        <v>15849</v>
      </c>
      <c r="F6703" s="142" t="s">
        <v>9853</v>
      </c>
      <c r="G6703" s="142" t="s">
        <v>9852</v>
      </c>
      <c r="H6703" s="142" t="s">
        <v>22553</v>
      </c>
      <c r="I6703" s="142">
        <v>19</v>
      </c>
      <c r="J6703" s="142">
        <v>0</v>
      </c>
      <c r="K6703" s="142">
        <v>0</v>
      </c>
      <c r="L6703" s="142">
        <v>19</v>
      </c>
      <c r="M6703" s="142">
        <v>0</v>
      </c>
    </row>
    <row r="6704" spans="1:13" x14ac:dyDescent="0.45">
      <c r="A6704" s="142" t="s">
        <v>13028</v>
      </c>
      <c r="B6704" s="142" t="s">
        <v>14462</v>
      </c>
      <c r="C6704" s="142" t="s">
        <v>15847</v>
      </c>
      <c r="D6704" s="142" t="s">
        <v>15848</v>
      </c>
      <c r="E6704" s="142" t="s">
        <v>15849</v>
      </c>
      <c r="F6704" s="142" t="s">
        <v>9853</v>
      </c>
      <c r="G6704" s="142" t="s">
        <v>9852</v>
      </c>
      <c r="H6704" s="142" t="s">
        <v>22554</v>
      </c>
      <c r="I6704" s="142">
        <v>18</v>
      </c>
      <c r="J6704" s="142">
        <v>0</v>
      </c>
      <c r="K6704" s="142">
        <v>0</v>
      </c>
      <c r="L6704" s="142">
        <v>0</v>
      </c>
      <c r="M6704" s="142">
        <v>18</v>
      </c>
    </row>
    <row r="6705" spans="1:13" x14ac:dyDescent="0.45">
      <c r="A6705" s="142" t="s">
        <v>13003</v>
      </c>
      <c r="B6705" s="142" t="s">
        <v>15245</v>
      </c>
      <c r="C6705" s="142" t="s">
        <v>15847</v>
      </c>
      <c r="D6705" s="142" t="s">
        <v>15848</v>
      </c>
      <c r="E6705" s="142" t="s">
        <v>15849</v>
      </c>
      <c r="F6705" s="142" t="s">
        <v>9853</v>
      </c>
      <c r="G6705" s="142" t="s">
        <v>9852</v>
      </c>
      <c r="H6705" s="142" t="s">
        <v>22555</v>
      </c>
      <c r="I6705" s="142">
        <v>94</v>
      </c>
      <c r="J6705" s="142">
        <v>0</v>
      </c>
      <c r="K6705" s="142">
        <v>0</v>
      </c>
      <c r="L6705" s="142">
        <v>94</v>
      </c>
      <c r="M6705" s="142">
        <v>0</v>
      </c>
    </row>
    <row r="6706" spans="1:13" x14ac:dyDescent="0.45">
      <c r="A6706" s="142" t="s">
        <v>13066</v>
      </c>
      <c r="B6706" s="142" t="s">
        <v>14459</v>
      </c>
      <c r="C6706" s="142" t="s">
        <v>15847</v>
      </c>
      <c r="D6706" s="142" t="s">
        <v>15848</v>
      </c>
      <c r="E6706" s="142" t="s">
        <v>15849</v>
      </c>
      <c r="F6706" s="142" t="s">
        <v>9853</v>
      </c>
      <c r="G6706" s="142" t="s">
        <v>9852</v>
      </c>
      <c r="H6706" s="142" t="s">
        <v>22556</v>
      </c>
      <c r="I6706" s="142">
        <v>37</v>
      </c>
      <c r="J6706" s="142">
        <v>0</v>
      </c>
      <c r="K6706" s="142">
        <v>0</v>
      </c>
      <c r="L6706" s="142">
        <v>37</v>
      </c>
      <c r="M6706" s="142">
        <v>0</v>
      </c>
    </row>
    <row r="6707" spans="1:13" x14ac:dyDescent="0.45">
      <c r="A6707" s="142" t="s">
        <v>13151</v>
      </c>
      <c r="B6707" s="142" t="s">
        <v>14512</v>
      </c>
      <c r="C6707" s="142" t="s">
        <v>15860</v>
      </c>
      <c r="D6707" s="142" t="s">
        <v>15861</v>
      </c>
      <c r="E6707" s="142" t="s">
        <v>15849</v>
      </c>
      <c r="F6707" s="142" t="s">
        <v>9853</v>
      </c>
      <c r="G6707" s="142" t="s">
        <v>9852</v>
      </c>
      <c r="H6707" s="142" t="s">
        <v>22557</v>
      </c>
      <c r="I6707" s="142">
        <v>86</v>
      </c>
      <c r="J6707" s="142">
        <v>86</v>
      </c>
      <c r="K6707" s="142">
        <v>0</v>
      </c>
      <c r="L6707" s="142">
        <v>0</v>
      </c>
      <c r="M6707" s="142">
        <v>0</v>
      </c>
    </row>
    <row r="6708" spans="1:13" x14ac:dyDescent="0.45">
      <c r="A6708" s="142" t="s">
        <v>13291</v>
      </c>
      <c r="B6708" s="142" t="s">
        <v>15495</v>
      </c>
      <c r="C6708" s="142" t="s">
        <v>15847</v>
      </c>
      <c r="D6708" s="142" t="s">
        <v>15848</v>
      </c>
      <c r="E6708" s="142" t="s">
        <v>15849</v>
      </c>
      <c r="F6708" s="142" t="s">
        <v>9853</v>
      </c>
      <c r="G6708" s="142" t="s">
        <v>9852</v>
      </c>
      <c r="H6708" s="142" t="s">
        <v>22558</v>
      </c>
      <c r="I6708" s="142">
        <v>25</v>
      </c>
      <c r="J6708" s="142">
        <v>23</v>
      </c>
      <c r="K6708" s="142">
        <v>0</v>
      </c>
      <c r="L6708" s="142">
        <v>2</v>
      </c>
      <c r="M6708" s="142">
        <v>0</v>
      </c>
    </row>
    <row r="6709" spans="1:13" x14ac:dyDescent="0.45">
      <c r="A6709" s="142" t="s">
        <v>13201</v>
      </c>
      <c r="B6709" s="142" t="s">
        <v>14481</v>
      </c>
      <c r="C6709" s="142" t="s">
        <v>15860</v>
      </c>
      <c r="D6709" s="142" t="s">
        <v>15861</v>
      </c>
      <c r="E6709" s="142" t="s">
        <v>15849</v>
      </c>
      <c r="F6709" s="142" t="s">
        <v>9853</v>
      </c>
      <c r="G6709" s="142" t="s">
        <v>9852</v>
      </c>
      <c r="H6709" s="142" t="s">
        <v>22559</v>
      </c>
      <c r="I6709" s="142">
        <v>43</v>
      </c>
      <c r="J6709" s="142">
        <v>0</v>
      </c>
      <c r="K6709" s="142">
        <v>0</v>
      </c>
      <c r="L6709" s="142">
        <v>43</v>
      </c>
      <c r="M6709" s="142">
        <v>0</v>
      </c>
    </row>
    <row r="6710" spans="1:13" x14ac:dyDescent="0.45">
      <c r="A6710" s="142" t="s">
        <v>13249</v>
      </c>
      <c r="B6710" s="142" t="s">
        <v>14602</v>
      </c>
      <c r="C6710" s="142" t="s">
        <v>15847</v>
      </c>
      <c r="D6710" s="142" t="s">
        <v>15848</v>
      </c>
      <c r="E6710" s="142" t="s">
        <v>15849</v>
      </c>
      <c r="F6710" s="142" t="s">
        <v>9853</v>
      </c>
      <c r="G6710" s="142" t="s">
        <v>9852</v>
      </c>
      <c r="H6710" s="142" t="s">
        <v>22560</v>
      </c>
      <c r="I6710" s="142">
        <v>835</v>
      </c>
      <c r="J6710" s="142">
        <v>572</v>
      </c>
      <c r="K6710" s="142">
        <v>0</v>
      </c>
      <c r="L6710" s="142">
        <v>257</v>
      </c>
      <c r="M6710" s="142">
        <v>6</v>
      </c>
    </row>
    <row r="6711" spans="1:13" x14ac:dyDescent="0.45">
      <c r="A6711" s="142" t="s">
        <v>13276</v>
      </c>
      <c r="B6711" s="142" t="s">
        <v>15498</v>
      </c>
      <c r="C6711" s="142" t="s">
        <v>15847</v>
      </c>
      <c r="D6711" s="142" t="s">
        <v>15848</v>
      </c>
      <c r="E6711" s="142" t="s">
        <v>15849</v>
      </c>
      <c r="F6711" s="142" t="s">
        <v>9853</v>
      </c>
      <c r="G6711" s="142" t="s">
        <v>9852</v>
      </c>
      <c r="H6711" s="142" t="s">
        <v>22561</v>
      </c>
      <c r="I6711" s="142">
        <v>875</v>
      </c>
      <c r="J6711" s="142">
        <v>473</v>
      </c>
      <c r="K6711" s="142">
        <v>0</v>
      </c>
      <c r="L6711" s="142">
        <v>319</v>
      </c>
      <c r="M6711" s="142">
        <v>83</v>
      </c>
    </row>
    <row r="6712" spans="1:13" x14ac:dyDescent="0.45">
      <c r="A6712" s="142" t="s">
        <v>13032</v>
      </c>
      <c r="B6712" s="142" t="s">
        <v>14532</v>
      </c>
      <c r="C6712" s="142" t="s">
        <v>15860</v>
      </c>
      <c r="D6712" s="142" t="s">
        <v>15861</v>
      </c>
      <c r="E6712" s="142" t="s">
        <v>15849</v>
      </c>
      <c r="F6712" s="142" t="s">
        <v>9853</v>
      </c>
      <c r="G6712" s="142" t="s">
        <v>9852</v>
      </c>
      <c r="H6712" s="142" t="s">
        <v>22562</v>
      </c>
      <c r="I6712" s="142">
        <v>60</v>
      </c>
      <c r="J6712" s="142">
        <v>1</v>
      </c>
      <c r="K6712" s="142">
        <v>0</v>
      </c>
      <c r="L6712" s="142">
        <v>59</v>
      </c>
      <c r="M6712" s="142">
        <v>0</v>
      </c>
    </row>
    <row r="6713" spans="1:13" x14ac:dyDescent="0.45">
      <c r="A6713" s="142" t="s">
        <v>13033</v>
      </c>
      <c r="B6713" s="142" t="s">
        <v>15276</v>
      </c>
      <c r="C6713" s="142" t="s">
        <v>15847</v>
      </c>
      <c r="D6713" s="142" t="s">
        <v>15848</v>
      </c>
      <c r="E6713" s="142" t="s">
        <v>15849</v>
      </c>
      <c r="F6713" s="142" t="s">
        <v>9853</v>
      </c>
      <c r="G6713" s="142" t="s">
        <v>9852</v>
      </c>
      <c r="H6713" s="142" t="s">
        <v>22563</v>
      </c>
      <c r="I6713" s="142">
        <v>1</v>
      </c>
      <c r="J6713" s="142">
        <v>1</v>
      </c>
      <c r="K6713" s="142">
        <v>0</v>
      </c>
      <c r="L6713" s="142">
        <v>0</v>
      </c>
      <c r="M6713" s="142">
        <v>0</v>
      </c>
    </row>
    <row r="6714" spans="1:13" x14ac:dyDescent="0.45">
      <c r="A6714" s="142" t="s">
        <v>13036</v>
      </c>
      <c r="B6714" s="142" t="s">
        <v>15567</v>
      </c>
      <c r="C6714" s="142" t="s">
        <v>15847</v>
      </c>
      <c r="D6714" s="142" t="s">
        <v>15848</v>
      </c>
      <c r="E6714" s="142" t="s">
        <v>15849</v>
      </c>
      <c r="F6714" s="142" t="s">
        <v>9853</v>
      </c>
      <c r="G6714" s="142" t="s">
        <v>9852</v>
      </c>
      <c r="H6714" s="142" t="s">
        <v>22564</v>
      </c>
      <c r="I6714" s="142">
        <v>43</v>
      </c>
      <c r="J6714" s="142">
        <v>0</v>
      </c>
      <c r="K6714" s="142">
        <v>0</v>
      </c>
      <c r="L6714" s="142">
        <v>42</v>
      </c>
      <c r="M6714" s="142">
        <v>1</v>
      </c>
    </row>
    <row r="6715" spans="1:13" x14ac:dyDescent="0.45">
      <c r="A6715" s="142" t="s">
        <v>13277</v>
      </c>
      <c r="B6715" s="142" t="s">
        <v>14454</v>
      </c>
      <c r="C6715" s="142" t="s">
        <v>15847</v>
      </c>
      <c r="D6715" s="142" t="s">
        <v>15848</v>
      </c>
      <c r="E6715" s="142" t="s">
        <v>15849</v>
      </c>
      <c r="F6715" s="142" t="s">
        <v>9853</v>
      </c>
      <c r="G6715" s="142" t="s">
        <v>9852</v>
      </c>
      <c r="H6715" s="142" t="s">
        <v>22565</v>
      </c>
      <c r="I6715" s="142">
        <v>628</v>
      </c>
      <c r="J6715" s="142">
        <v>492</v>
      </c>
      <c r="K6715" s="142">
        <v>0</v>
      </c>
      <c r="L6715" s="142">
        <v>136</v>
      </c>
      <c r="M6715" s="142">
        <v>0</v>
      </c>
    </row>
    <row r="6716" spans="1:13" x14ac:dyDescent="0.45">
      <c r="A6716" s="142" t="s">
        <v>13037</v>
      </c>
      <c r="B6716" s="142" t="s">
        <v>14519</v>
      </c>
      <c r="C6716" s="142" t="s">
        <v>15847</v>
      </c>
      <c r="D6716" s="142" t="s">
        <v>15848</v>
      </c>
      <c r="E6716" s="142" t="s">
        <v>15849</v>
      </c>
      <c r="F6716" s="142" t="s">
        <v>9853</v>
      </c>
      <c r="G6716" s="142" t="s">
        <v>9852</v>
      </c>
      <c r="H6716" s="142" t="s">
        <v>22566</v>
      </c>
      <c r="I6716" s="142">
        <v>12</v>
      </c>
      <c r="J6716" s="142">
        <v>0</v>
      </c>
      <c r="K6716" s="142">
        <v>0</v>
      </c>
      <c r="L6716" s="142">
        <v>12</v>
      </c>
      <c r="M6716" s="142">
        <v>0</v>
      </c>
    </row>
    <row r="6717" spans="1:13" x14ac:dyDescent="0.45">
      <c r="A6717" s="142" t="s">
        <v>14136</v>
      </c>
      <c r="B6717" s="142" t="s">
        <v>14431</v>
      </c>
      <c r="C6717" s="142" t="s">
        <v>15847</v>
      </c>
      <c r="D6717" s="142" t="s">
        <v>15848</v>
      </c>
      <c r="E6717" s="142" t="s">
        <v>15849</v>
      </c>
      <c r="F6717" s="142" t="s">
        <v>9853</v>
      </c>
      <c r="G6717" s="142" t="s">
        <v>9852</v>
      </c>
      <c r="H6717" s="142" t="s">
        <v>22567</v>
      </c>
      <c r="I6717" s="142">
        <v>12275</v>
      </c>
      <c r="J6717" s="142">
        <v>11320</v>
      </c>
      <c r="K6717" s="142">
        <v>0</v>
      </c>
      <c r="L6717" s="142">
        <v>911</v>
      </c>
      <c r="M6717" s="142">
        <v>44</v>
      </c>
    </row>
    <row r="6718" spans="1:13" x14ac:dyDescent="0.45">
      <c r="A6718" s="142" t="s">
        <v>13009</v>
      </c>
      <c r="B6718" s="142" t="s">
        <v>15256</v>
      </c>
      <c r="C6718" s="142" t="s">
        <v>15847</v>
      </c>
      <c r="D6718" s="142" t="s">
        <v>15848</v>
      </c>
      <c r="E6718" s="142" t="s">
        <v>15849</v>
      </c>
      <c r="F6718" s="142" t="s">
        <v>9853</v>
      </c>
      <c r="G6718" s="142" t="s">
        <v>9852</v>
      </c>
      <c r="H6718" s="142" t="s">
        <v>22568</v>
      </c>
      <c r="I6718" s="142">
        <v>46</v>
      </c>
      <c r="J6718" s="142">
        <v>0</v>
      </c>
      <c r="K6718" s="142">
        <v>0</v>
      </c>
      <c r="L6718" s="142">
        <v>46</v>
      </c>
      <c r="M6718" s="142">
        <v>0</v>
      </c>
    </row>
    <row r="6719" spans="1:13" x14ac:dyDescent="0.45">
      <c r="A6719" s="142" t="s">
        <v>13974</v>
      </c>
      <c r="B6719" s="142" t="s">
        <v>14500</v>
      </c>
      <c r="C6719" s="142" t="s">
        <v>15860</v>
      </c>
      <c r="D6719" s="142" t="s">
        <v>15861</v>
      </c>
      <c r="E6719" s="142" t="s">
        <v>15849</v>
      </c>
      <c r="F6719" s="142" t="s">
        <v>9853</v>
      </c>
      <c r="G6719" s="142" t="s">
        <v>9852</v>
      </c>
      <c r="H6719" s="142" t="s">
        <v>22569</v>
      </c>
      <c r="I6719" s="142">
        <v>25</v>
      </c>
      <c r="J6719" s="142">
        <v>0</v>
      </c>
      <c r="K6719" s="142">
        <v>0</v>
      </c>
      <c r="L6719" s="142">
        <v>25</v>
      </c>
      <c r="M6719" s="142">
        <v>0</v>
      </c>
    </row>
    <row r="6720" spans="1:13" x14ac:dyDescent="0.45">
      <c r="A6720" s="142" t="s">
        <v>14137</v>
      </c>
      <c r="B6720" s="142" t="s">
        <v>15605</v>
      </c>
      <c r="C6720" s="142" t="s">
        <v>15860</v>
      </c>
      <c r="D6720" s="142" t="s">
        <v>15861</v>
      </c>
      <c r="E6720" s="142" t="s">
        <v>15849</v>
      </c>
      <c r="F6720" s="142" t="s">
        <v>9853</v>
      </c>
      <c r="G6720" s="142" t="s">
        <v>9852</v>
      </c>
      <c r="H6720" s="142" t="s">
        <v>22570</v>
      </c>
      <c r="I6720" s="142">
        <v>30</v>
      </c>
      <c r="J6720" s="142">
        <v>30</v>
      </c>
      <c r="K6720" s="142">
        <v>0</v>
      </c>
      <c r="L6720" s="142">
        <v>0</v>
      </c>
      <c r="M6720" s="142">
        <v>0</v>
      </c>
    </row>
    <row r="6721" spans="1:13" x14ac:dyDescent="0.45">
      <c r="A6721" s="142" t="s">
        <v>13014</v>
      </c>
      <c r="B6721" s="142" t="s">
        <v>14505</v>
      </c>
      <c r="C6721" s="142" t="s">
        <v>15847</v>
      </c>
      <c r="D6721" s="142" t="s">
        <v>15848</v>
      </c>
      <c r="E6721" s="142" t="s">
        <v>15849</v>
      </c>
      <c r="F6721" s="142" t="s">
        <v>9853</v>
      </c>
      <c r="G6721" s="142" t="s">
        <v>9852</v>
      </c>
      <c r="H6721" s="142" t="s">
        <v>22571</v>
      </c>
      <c r="I6721" s="142">
        <v>2127</v>
      </c>
      <c r="J6721" s="142">
        <v>1768</v>
      </c>
      <c r="K6721" s="142">
        <v>0</v>
      </c>
      <c r="L6721" s="142">
        <v>288</v>
      </c>
      <c r="M6721" s="142">
        <v>71</v>
      </c>
    </row>
    <row r="6722" spans="1:13" x14ac:dyDescent="0.45">
      <c r="A6722" s="142" t="s">
        <v>13042</v>
      </c>
      <c r="B6722" s="142" t="s">
        <v>15489</v>
      </c>
      <c r="C6722" s="142" t="s">
        <v>15847</v>
      </c>
      <c r="D6722" s="142" t="s">
        <v>15848</v>
      </c>
      <c r="E6722" s="142" t="s">
        <v>15849</v>
      </c>
      <c r="F6722" s="142" t="s">
        <v>9853</v>
      </c>
      <c r="G6722" s="142" t="s">
        <v>9852</v>
      </c>
      <c r="H6722" s="142" t="s">
        <v>22572</v>
      </c>
      <c r="I6722" s="142">
        <v>2203</v>
      </c>
      <c r="J6722" s="142">
        <v>2052</v>
      </c>
      <c r="K6722" s="142">
        <v>0</v>
      </c>
      <c r="L6722" s="142">
        <v>130</v>
      </c>
      <c r="M6722" s="142">
        <v>21</v>
      </c>
    </row>
    <row r="6723" spans="1:13" x14ac:dyDescent="0.45">
      <c r="A6723" s="142" t="s">
        <v>13222</v>
      </c>
      <c r="B6723" s="142" t="s">
        <v>14449</v>
      </c>
      <c r="C6723" s="142" t="s">
        <v>15860</v>
      </c>
      <c r="D6723" s="142" t="s">
        <v>15861</v>
      </c>
      <c r="E6723" s="142" t="s">
        <v>15849</v>
      </c>
      <c r="F6723" s="142" t="s">
        <v>9853</v>
      </c>
      <c r="G6723" s="142" t="s">
        <v>9852</v>
      </c>
      <c r="H6723" s="142" t="s">
        <v>22573</v>
      </c>
      <c r="I6723" s="142">
        <v>6</v>
      </c>
      <c r="J6723" s="142">
        <v>0</v>
      </c>
      <c r="K6723" s="142">
        <v>0</v>
      </c>
      <c r="L6723" s="142">
        <v>6</v>
      </c>
      <c r="M6723" s="142">
        <v>0</v>
      </c>
    </row>
    <row r="6724" spans="1:13" x14ac:dyDescent="0.45">
      <c r="A6724" s="142" t="s">
        <v>13286</v>
      </c>
      <c r="B6724" s="142" t="s">
        <v>15342</v>
      </c>
      <c r="C6724" s="142" t="s">
        <v>15847</v>
      </c>
      <c r="D6724" s="142" t="s">
        <v>15848</v>
      </c>
      <c r="E6724" s="142" t="s">
        <v>15849</v>
      </c>
      <c r="F6724" s="142" t="s">
        <v>9853</v>
      </c>
      <c r="G6724" s="142" t="s">
        <v>9852</v>
      </c>
      <c r="H6724" s="142" t="s">
        <v>22574</v>
      </c>
      <c r="I6724" s="142">
        <v>65</v>
      </c>
      <c r="J6724" s="142">
        <v>65</v>
      </c>
      <c r="K6724" s="142">
        <v>0</v>
      </c>
      <c r="L6724" s="142">
        <v>0</v>
      </c>
      <c r="M6724" s="142">
        <v>0</v>
      </c>
    </row>
    <row r="6725" spans="1:13" x14ac:dyDescent="0.45">
      <c r="A6725" s="142" t="s">
        <v>13021</v>
      </c>
      <c r="B6725" s="142" t="s">
        <v>15501</v>
      </c>
      <c r="C6725" s="142" t="s">
        <v>15847</v>
      </c>
      <c r="D6725" s="142" t="s">
        <v>15848</v>
      </c>
      <c r="E6725" s="142" t="s">
        <v>15849</v>
      </c>
      <c r="F6725" s="142" t="s">
        <v>4382</v>
      </c>
      <c r="G6725" s="142" t="s">
        <v>4381</v>
      </c>
      <c r="H6725" s="142" t="s">
        <v>22575</v>
      </c>
      <c r="I6725" s="142">
        <v>2</v>
      </c>
      <c r="J6725" s="142">
        <v>0</v>
      </c>
      <c r="K6725" s="142">
        <v>0</v>
      </c>
      <c r="L6725" s="142">
        <v>2</v>
      </c>
      <c r="M6725" s="142">
        <v>0</v>
      </c>
    </row>
    <row r="6726" spans="1:13" x14ac:dyDescent="0.45">
      <c r="A6726" s="142" t="s">
        <v>13023</v>
      </c>
      <c r="B6726" s="142" t="s">
        <v>15571</v>
      </c>
      <c r="C6726" s="142" t="s">
        <v>15847</v>
      </c>
      <c r="D6726" s="142" t="s">
        <v>15848</v>
      </c>
      <c r="E6726" s="142" t="s">
        <v>15849</v>
      </c>
      <c r="F6726" s="142" t="s">
        <v>4382</v>
      </c>
      <c r="G6726" s="142" t="s">
        <v>4381</v>
      </c>
      <c r="H6726" s="142" t="s">
        <v>22576</v>
      </c>
      <c r="I6726" s="142">
        <v>20</v>
      </c>
      <c r="J6726" s="142">
        <v>0</v>
      </c>
      <c r="K6726" s="142">
        <v>0</v>
      </c>
      <c r="L6726" s="142">
        <v>20</v>
      </c>
      <c r="M6726" s="142">
        <v>0</v>
      </c>
    </row>
    <row r="6727" spans="1:13" x14ac:dyDescent="0.45">
      <c r="A6727" s="142" t="s">
        <v>13083</v>
      </c>
      <c r="B6727" s="142" t="s">
        <v>15440</v>
      </c>
      <c r="C6727" s="142" t="s">
        <v>15847</v>
      </c>
      <c r="D6727" s="142" t="s">
        <v>15848</v>
      </c>
      <c r="E6727" s="142" t="s">
        <v>15849</v>
      </c>
      <c r="F6727" s="142" t="s">
        <v>4382</v>
      </c>
      <c r="G6727" s="142" t="s">
        <v>4381</v>
      </c>
      <c r="H6727" s="142" t="s">
        <v>22577</v>
      </c>
      <c r="I6727" s="142">
        <v>358</v>
      </c>
      <c r="J6727" s="142">
        <v>341</v>
      </c>
      <c r="K6727" s="142">
        <v>0</v>
      </c>
      <c r="L6727" s="142">
        <v>0</v>
      </c>
      <c r="M6727" s="142">
        <v>17</v>
      </c>
    </row>
    <row r="6728" spans="1:13" x14ac:dyDescent="0.45">
      <c r="A6728" s="142" t="s">
        <v>13084</v>
      </c>
      <c r="B6728" s="142" t="s">
        <v>15471</v>
      </c>
      <c r="C6728" s="142" t="s">
        <v>15847</v>
      </c>
      <c r="D6728" s="142" t="s">
        <v>15848</v>
      </c>
      <c r="E6728" s="142" t="s">
        <v>15849</v>
      </c>
      <c r="F6728" s="142" t="s">
        <v>4382</v>
      </c>
      <c r="G6728" s="142" t="s">
        <v>4381</v>
      </c>
      <c r="H6728" s="142" t="s">
        <v>22578</v>
      </c>
      <c r="I6728" s="142">
        <v>118</v>
      </c>
      <c r="J6728" s="142">
        <v>73</v>
      </c>
      <c r="K6728" s="142">
        <v>0</v>
      </c>
      <c r="L6728" s="142">
        <v>0</v>
      </c>
      <c r="M6728" s="142">
        <v>45</v>
      </c>
    </row>
    <row r="6729" spans="1:13" x14ac:dyDescent="0.45">
      <c r="A6729" s="142" t="s">
        <v>13085</v>
      </c>
      <c r="B6729" s="142" t="s">
        <v>14460</v>
      </c>
      <c r="C6729" s="142" t="s">
        <v>15860</v>
      </c>
      <c r="D6729" s="142" t="s">
        <v>15861</v>
      </c>
      <c r="E6729" s="142" t="s">
        <v>15849</v>
      </c>
      <c r="F6729" s="142" t="s">
        <v>4382</v>
      </c>
      <c r="G6729" s="142" t="s">
        <v>4381</v>
      </c>
      <c r="H6729" s="142" t="s">
        <v>22579</v>
      </c>
      <c r="I6729" s="142">
        <v>3</v>
      </c>
      <c r="J6729" s="142">
        <v>0</v>
      </c>
      <c r="K6729" s="142">
        <v>0</v>
      </c>
      <c r="L6729" s="142">
        <v>3</v>
      </c>
      <c r="M6729" s="142">
        <v>0</v>
      </c>
    </row>
    <row r="6730" spans="1:13" x14ac:dyDescent="0.45">
      <c r="A6730" s="142" t="s">
        <v>13086</v>
      </c>
      <c r="B6730" s="142" t="s">
        <v>15380</v>
      </c>
      <c r="C6730" s="142" t="s">
        <v>15847</v>
      </c>
      <c r="D6730" s="142" t="s">
        <v>15848</v>
      </c>
      <c r="E6730" s="142" t="s">
        <v>15849</v>
      </c>
      <c r="F6730" s="142" t="s">
        <v>4382</v>
      </c>
      <c r="G6730" s="142" t="s">
        <v>4381</v>
      </c>
      <c r="H6730" s="142" t="s">
        <v>22580</v>
      </c>
      <c r="I6730" s="142">
        <v>54</v>
      </c>
      <c r="J6730" s="142">
        <v>38</v>
      </c>
      <c r="K6730" s="142">
        <v>0</v>
      </c>
      <c r="L6730" s="142">
        <v>4</v>
      </c>
      <c r="M6730" s="142">
        <v>12</v>
      </c>
    </row>
    <row r="6731" spans="1:13" x14ac:dyDescent="0.45">
      <c r="A6731" s="142" t="s">
        <v>13001</v>
      </c>
      <c r="B6731" s="142" t="s">
        <v>15506</v>
      </c>
      <c r="C6731" s="142" t="s">
        <v>15847</v>
      </c>
      <c r="D6731" s="142" t="s">
        <v>15848</v>
      </c>
      <c r="E6731" s="142" t="s">
        <v>15849</v>
      </c>
      <c r="F6731" s="142" t="s">
        <v>4382</v>
      </c>
      <c r="G6731" s="142" t="s">
        <v>4381</v>
      </c>
      <c r="H6731" s="142" t="s">
        <v>22581</v>
      </c>
      <c r="I6731" s="142">
        <v>19</v>
      </c>
      <c r="J6731" s="142">
        <v>19</v>
      </c>
      <c r="K6731" s="142">
        <v>0</v>
      </c>
      <c r="L6731" s="142">
        <v>0</v>
      </c>
      <c r="M6731" s="142">
        <v>0</v>
      </c>
    </row>
    <row r="6732" spans="1:13" x14ac:dyDescent="0.45">
      <c r="A6732" s="142" t="s">
        <v>13003</v>
      </c>
      <c r="B6732" s="142" t="s">
        <v>15245</v>
      </c>
      <c r="C6732" s="142" t="s">
        <v>15847</v>
      </c>
      <c r="D6732" s="142" t="s">
        <v>15848</v>
      </c>
      <c r="E6732" s="142" t="s">
        <v>15849</v>
      </c>
      <c r="F6732" s="142" t="s">
        <v>4382</v>
      </c>
      <c r="G6732" s="142" t="s">
        <v>4381</v>
      </c>
      <c r="H6732" s="142" t="s">
        <v>22582</v>
      </c>
      <c r="I6732" s="142">
        <v>34</v>
      </c>
      <c r="J6732" s="142">
        <v>0</v>
      </c>
      <c r="K6732" s="142">
        <v>0</v>
      </c>
      <c r="L6732" s="142">
        <v>34</v>
      </c>
      <c r="M6732" s="142">
        <v>0</v>
      </c>
    </row>
    <row r="6733" spans="1:13" x14ac:dyDescent="0.45">
      <c r="A6733" s="142" t="s">
        <v>13076</v>
      </c>
      <c r="B6733" s="142" t="s">
        <v>14636</v>
      </c>
      <c r="C6733" s="142" t="s">
        <v>15847</v>
      </c>
      <c r="D6733" s="142" t="s">
        <v>15848</v>
      </c>
      <c r="E6733" s="142" t="s">
        <v>15849</v>
      </c>
      <c r="F6733" s="142" t="s">
        <v>4382</v>
      </c>
      <c r="G6733" s="142" t="s">
        <v>4381</v>
      </c>
      <c r="H6733" s="142" t="s">
        <v>22583</v>
      </c>
      <c r="I6733" s="142">
        <v>34</v>
      </c>
      <c r="J6733" s="142">
        <v>0</v>
      </c>
      <c r="K6733" s="142">
        <v>0</v>
      </c>
      <c r="L6733" s="142">
        <v>0</v>
      </c>
      <c r="M6733" s="142">
        <v>34</v>
      </c>
    </row>
    <row r="6734" spans="1:13" x14ac:dyDescent="0.45">
      <c r="A6734" s="142" t="s">
        <v>13005</v>
      </c>
      <c r="B6734" s="142" t="s">
        <v>15475</v>
      </c>
      <c r="C6734" s="142" t="s">
        <v>15847</v>
      </c>
      <c r="D6734" s="142" t="s">
        <v>15848</v>
      </c>
      <c r="E6734" s="142" t="s">
        <v>15849</v>
      </c>
      <c r="F6734" s="142" t="s">
        <v>4382</v>
      </c>
      <c r="G6734" s="142" t="s">
        <v>4381</v>
      </c>
      <c r="H6734" s="142" t="s">
        <v>22584</v>
      </c>
      <c r="I6734" s="142">
        <v>1</v>
      </c>
      <c r="J6734" s="142">
        <v>0</v>
      </c>
      <c r="K6734" s="142">
        <v>0</v>
      </c>
      <c r="L6734" s="142">
        <v>0</v>
      </c>
      <c r="M6734" s="142">
        <v>1</v>
      </c>
    </row>
    <row r="6735" spans="1:13" x14ac:dyDescent="0.45">
      <c r="A6735" s="142" t="s">
        <v>13101</v>
      </c>
      <c r="B6735" s="142" t="s">
        <v>15491</v>
      </c>
      <c r="C6735" s="142" t="s">
        <v>15847</v>
      </c>
      <c r="D6735" s="142" t="s">
        <v>15848</v>
      </c>
      <c r="E6735" s="142" t="s">
        <v>15849</v>
      </c>
      <c r="F6735" s="142" t="s">
        <v>4382</v>
      </c>
      <c r="G6735" s="142" t="s">
        <v>4381</v>
      </c>
      <c r="H6735" s="142" t="s">
        <v>22585</v>
      </c>
      <c r="I6735" s="142">
        <v>3</v>
      </c>
      <c r="J6735" s="142">
        <v>0</v>
      </c>
      <c r="K6735" s="142">
        <v>0</v>
      </c>
      <c r="L6735" s="142">
        <v>3</v>
      </c>
      <c r="M6735" s="142">
        <v>0</v>
      </c>
    </row>
    <row r="6736" spans="1:13" x14ac:dyDescent="0.45">
      <c r="A6736" s="142" t="s">
        <v>13029</v>
      </c>
      <c r="B6736" s="142" t="s">
        <v>14665</v>
      </c>
      <c r="C6736" s="142" t="s">
        <v>15847</v>
      </c>
      <c r="D6736" s="142" t="s">
        <v>15848</v>
      </c>
      <c r="E6736" s="142" t="s">
        <v>15849</v>
      </c>
      <c r="F6736" s="142" t="s">
        <v>4382</v>
      </c>
      <c r="G6736" s="142" t="s">
        <v>4381</v>
      </c>
      <c r="H6736" s="142" t="s">
        <v>22586</v>
      </c>
      <c r="I6736" s="142">
        <v>90</v>
      </c>
      <c r="J6736" s="142">
        <v>0</v>
      </c>
      <c r="K6736" s="142">
        <v>0</v>
      </c>
      <c r="L6736" s="142">
        <v>0</v>
      </c>
      <c r="M6736" s="142">
        <v>90</v>
      </c>
    </row>
    <row r="6737" spans="1:13" x14ac:dyDescent="0.45">
      <c r="A6737" s="142" t="s">
        <v>13007</v>
      </c>
      <c r="B6737" s="142" t="s">
        <v>15262</v>
      </c>
      <c r="C6737" s="142" t="s">
        <v>15847</v>
      </c>
      <c r="D6737" s="142" t="s">
        <v>15848</v>
      </c>
      <c r="E6737" s="142" t="s">
        <v>15849</v>
      </c>
      <c r="F6737" s="142" t="s">
        <v>4382</v>
      </c>
      <c r="G6737" s="142" t="s">
        <v>4381</v>
      </c>
      <c r="H6737" s="142" t="s">
        <v>22587</v>
      </c>
      <c r="I6737" s="142">
        <v>195</v>
      </c>
      <c r="J6737" s="142">
        <v>173</v>
      </c>
      <c r="K6737" s="142">
        <v>0</v>
      </c>
      <c r="L6737" s="142">
        <v>0</v>
      </c>
      <c r="M6737" s="142">
        <v>22</v>
      </c>
    </row>
    <row r="6738" spans="1:13" x14ac:dyDescent="0.45">
      <c r="A6738" s="142" t="s">
        <v>13103</v>
      </c>
      <c r="B6738" s="142" t="s">
        <v>14623</v>
      </c>
      <c r="C6738" s="142" t="s">
        <v>15847</v>
      </c>
      <c r="D6738" s="142" t="s">
        <v>15848</v>
      </c>
      <c r="E6738" s="142" t="s">
        <v>15849</v>
      </c>
      <c r="F6738" s="142" t="s">
        <v>4382</v>
      </c>
      <c r="G6738" s="142" t="s">
        <v>4381</v>
      </c>
      <c r="H6738" s="142" t="s">
        <v>22588</v>
      </c>
      <c r="I6738" s="142">
        <v>649</v>
      </c>
      <c r="J6738" s="142">
        <v>370</v>
      </c>
      <c r="K6738" s="142">
        <v>0</v>
      </c>
      <c r="L6738" s="142">
        <v>163</v>
      </c>
      <c r="M6738" s="142">
        <v>116</v>
      </c>
    </row>
    <row r="6739" spans="1:13" x14ac:dyDescent="0.45">
      <c r="A6739" s="142" t="s">
        <v>13033</v>
      </c>
      <c r="B6739" s="142" t="s">
        <v>15276</v>
      </c>
      <c r="C6739" s="142" t="s">
        <v>15847</v>
      </c>
      <c r="D6739" s="142" t="s">
        <v>15848</v>
      </c>
      <c r="E6739" s="142" t="s">
        <v>15849</v>
      </c>
      <c r="F6739" s="142" t="s">
        <v>4382</v>
      </c>
      <c r="G6739" s="142" t="s">
        <v>4381</v>
      </c>
      <c r="H6739" s="142" t="s">
        <v>22589</v>
      </c>
      <c r="I6739" s="142">
        <v>2</v>
      </c>
      <c r="J6739" s="142">
        <v>2</v>
      </c>
      <c r="K6739" s="142">
        <v>0</v>
      </c>
      <c r="L6739" s="142">
        <v>0</v>
      </c>
      <c r="M6739" s="142">
        <v>0</v>
      </c>
    </row>
    <row r="6740" spans="1:13" x14ac:dyDescent="0.45">
      <c r="A6740" s="142" t="s">
        <v>13038</v>
      </c>
      <c r="B6740" s="142" t="s">
        <v>14646</v>
      </c>
      <c r="C6740" s="142" t="s">
        <v>15847</v>
      </c>
      <c r="D6740" s="142" t="s">
        <v>15848</v>
      </c>
      <c r="E6740" s="142" t="s">
        <v>15849</v>
      </c>
      <c r="F6740" s="142" t="s">
        <v>4382</v>
      </c>
      <c r="G6740" s="142" t="s">
        <v>4381</v>
      </c>
      <c r="H6740" s="142" t="s">
        <v>22590</v>
      </c>
      <c r="I6740" s="142">
        <v>2</v>
      </c>
      <c r="J6740" s="142">
        <v>0</v>
      </c>
      <c r="K6740" s="142">
        <v>0</v>
      </c>
      <c r="L6740" s="142">
        <v>0</v>
      </c>
      <c r="M6740" s="142">
        <v>2</v>
      </c>
    </row>
    <row r="6741" spans="1:13" x14ac:dyDescent="0.45">
      <c r="A6741" s="142" t="s">
        <v>13091</v>
      </c>
      <c r="B6741" s="142" t="s">
        <v>14473</v>
      </c>
      <c r="C6741" s="142" t="s">
        <v>15847</v>
      </c>
      <c r="D6741" s="142" t="s">
        <v>15848</v>
      </c>
      <c r="E6741" s="142" t="s">
        <v>15849</v>
      </c>
      <c r="F6741" s="142" t="s">
        <v>4382</v>
      </c>
      <c r="G6741" s="142" t="s">
        <v>4381</v>
      </c>
      <c r="H6741" s="142" t="s">
        <v>22591</v>
      </c>
      <c r="I6741" s="142">
        <v>439</v>
      </c>
      <c r="J6741" s="142">
        <v>323</v>
      </c>
      <c r="K6741" s="142">
        <v>0</v>
      </c>
      <c r="L6741" s="142">
        <v>0</v>
      </c>
      <c r="M6741" s="142">
        <v>116</v>
      </c>
    </row>
    <row r="6742" spans="1:13" x14ac:dyDescent="0.45">
      <c r="A6742" s="142" t="s">
        <v>13009</v>
      </c>
      <c r="B6742" s="142" t="s">
        <v>15256</v>
      </c>
      <c r="C6742" s="142" t="s">
        <v>15847</v>
      </c>
      <c r="D6742" s="142" t="s">
        <v>15848</v>
      </c>
      <c r="E6742" s="142" t="s">
        <v>15849</v>
      </c>
      <c r="F6742" s="142" t="s">
        <v>4382</v>
      </c>
      <c r="G6742" s="142" t="s">
        <v>4381</v>
      </c>
      <c r="H6742" s="142" t="s">
        <v>22592</v>
      </c>
      <c r="I6742" s="142">
        <v>1799</v>
      </c>
      <c r="J6742" s="142">
        <v>1346</v>
      </c>
      <c r="K6742" s="142">
        <v>0</v>
      </c>
      <c r="L6742" s="142">
        <v>449</v>
      </c>
      <c r="M6742" s="142">
        <v>4</v>
      </c>
    </row>
    <row r="6743" spans="1:13" x14ac:dyDescent="0.45">
      <c r="A6743" s="142" t="s">
        <v>13011</v>
      </c>
      <c r="B6743" s="142" t="s">
        <v>14695</v>
      </c>
      <c r="C6743" s="142" t="s">
        <v>15847</v>
      </c>
      <c r="D6743" s="142" t="s">
        <v>15848</v>
      </c>
      <c r="E6743" s="142" t="s">
        <v>15849</v>
      </c>
      <c r="F6743" s="142" t="s">
        <v>4382</v>
      </c>
      <c r="G6743" s="142" t="s">
        <v>4381</v>
      </c>
      <c r="H6743" s="142" t="s">
        <v>22593</v>
      </c>
      <c r="I6743" s="142">
        <v>1</v>
      </c>
      <c r="J6743" s="142">
        <v>0</v>
      </c>
      <c r="K6743" s="142">
        <v>0</v>
      </c>
      <c r="L6743" s="142">
        <v>0</v>
      </c>
      <c r="M6743" s="142">
        <v>1</v>
      </c>
    </row>
    <row r="6744" spans="1:13" x14ac:dyDescent="0.45">
      <c r="A6744" s="142" t="s">
        <v>13106</v>
      </c>
      <c r="B6744" s="142" t="s">
        <v>15414</v>
      </c>
      <c r="C6744" s="142" t="s">
        <v>15847</v>
      </c>
      <c r="D6744" s="142" t="s">
        <v>15848</v>
      </c>
      <c r="E6744" s="142" t="s">
        <v>15849</v>
      </c>
      <c r="F6744" s="142" t="s">
        <v>4382</v>
      </c>
      <c r="G6744" s="142" t="s">
        <v>4381</v>
      </c>
      <c r="H6744" s="142" t="s">
        <v>22594</v>
      </c>
      <c r="I6744" s="142">
        <v>128</v>
      </c>
      <c r="J6744" s="142">
        <v>81</v>
      </c>
      <c r="K6744" s="142">
        <v>0</v>
      </c>
      <c r="L6744" s="142">
        <v>47</v>
      </c>
      <c r="M6744" s="142">
        <v>0</v>
      </c>
    </row>
    <row r="6745" spans="1:13" x14ac:dyDescent="0.45">
      <c r="A6745" s="142" t="s">
        <v>13023</v>
      </c>
      <c r="B6745" s="142" t="s">
        <v>15571</v>
      </c>
      <c r="C6745" s="142" t="s">
        <v>15847</v>
      </c>
      <c r="D6745" s="142" t="s">
        <v>15848</v>
      </c>
      <c r="E6745" s="142" t="s">
        <v>15849</v>
      </c>
      <c r="F6745" s="142" t="s">
        <v>6246</v>
      </c>
      <c r="G6745" s="142" t="s">
        <v>6245</v>
      </c>
      <c r="H6745" s="142" t="s">
        <v>22595</v>
      </c>
      <c r="I6745" s="142">
        <v>71</v>
      </c>
      <c r="J6745" s="142">
        <v>0</v>
      </c>
      <c r="K6745" s="142">
        <v>0</v>
      </c>
      <c r="L6745" s="142">
        <v>71</v>
      </c>
      <c r="M6745" s="142">
        <v>0</v>
      </c>
    </row>
    <row r="6746" spans="1:13" x14ac:dyDescent="0.45">
      <c r="A6746" s="142" t="s">
        <v>13407</v>
      </c>
      <c r="B6746" s="142" t="s">
        <v>15432</v>
      </c>
      <c r="C6746" s="142" t="s">
        <v>15847</v>
      </c>
      <c r="D6746" s="142" t="s">
        <v>15848</v>
      </c>
      <c r="E6746" s="142" t="s">
        <v>15849</v>
      </c>
      <c r="F6746" s="142" t="s">
        <v>6246</v>
      </c>
      <c r="G6746" s="142" t="s">
        <v>6245</v>
      </c>
      <c r="H6746" s="142" t="s">
        <v>22596</v>
      </c>
      <c r="I6746" s="142">
        <v>121</v>
      </c>
      <c r="J6746" s="142">
        <v>119</v>
      </c>
      <c r="K6746" s="142">
        <v>0</v>
      </c>
      <c r="L6746" s="142">
        <v>2</v>
      </c>
      <c r="M6746" s="142">
        <v>0</v>
      </c>
    </row>
    <row r="6747" spans="1:13" x14ac:dyDescent="0.45">
      <c r="A6747" s="142" t="s">
        <v>13273</v>
      </c>
      <c r="B6747" s="142" t="s">
        <v>14465</v>
      </c>
      <c r="C6747" s="142" t="s">
        <v>15860</v>
      </c>
      <c r="D6747" s="142" t="s">
        <v>15861</v>
      </c>
      <c r="E6747" s="142" t="s">
        <v>15849</v>
      </c>
      <c r="F6747" s="142" t="s">
        <v>6246</v>
      </c>
      <c r="G6747" s="142" t="s">
        <v>6245</v>
      </c>
      <c r="H6747" s="142" t="s">
        <v>22597</v>
      </c>
      <c r="I6747" s="142">
        <v>14</v>
      </c>
      <c r="J6747" s="142">
        <v>0</v>
      </c>
      <c r="K6747" s="142">
        <v>0</v>
      </c>
      <c r="L6747" s="142">
        <v>14</v>
      </c>
      <c r="M6747" s="142">
        <v>0</v>
      </c>
    </row>
    <row r="6748" spans="1:13" x14ac:dyDescent="0.45">
      <c r="A6748" s="142" t="s">
        <v>13117</v>
      </c>
      <c r="B6748" s="142" t="s">
        <v>14544</v>
      </c>
      <c r="C6748" s="142" t="s">
        <v>15860</v>
      </c>
      <c r="D6748" s="142" t="s">
        <v>15861</v>
      </c>
      <c r="E6748" s="142" t="s">
        <v>15849</v>
      </c>
      <c r="F6748" s="142" t="s">
        <v>6246</v>
      </c>
      <c r="G6748" s="142" t="s">
        <v>6245</v>
      </c>
      <c r="H6748" s="142" t="s">
        <v>22598</v>
      </c>
      <c r="I6748" s="142">
        <v>4</v>
      </c>
      <c r="J6748" s="142">
        <v>4</v>
      </c>
      <c r="K6748" s="142">
        <v>0</v>
      </c>
      <c r="L6748" s="142">
        <v>0</v>
      </c>
      <c r="M6748" s="142">
        <v>0</v>
      </c>
    </row>
    <row r="6749" spans="1:13" x14ac:dyDescent="0.45">
      <c r="A6749" s="142" t="s">
        <v>13085</v>
      </c>
      <c r="B6749" s="142" t="s">
        <v>14460</v>
      </c>
      <c r="C6749" s="142" t="s">
        <v>15860</v>
      </c>
      <c r="D6749" s="142" t="s">
        <v>15861</v>
      </c>
      <c r="E6749" s="142" t="s">
        <v>15849</v>
      </c>
      <c r="F6749" s="142" t="s">
        <v>6246</v>
      </c>
      <c r="G6749" s="142" t="s">
        <v>6245</v>
      </c>
      <c r="H6749" s="142" t="s">
        <v>22599</v>
      </c>
      <c r="I6749" s="142">
        <v>7</v>
      </c>
      <c r="J6749" s="142">
        <v>0</v>
      </c>
      <c r="K6749" s="142">
        <v>0</v>
      </c>
      <c r="L6749" s="142">
        <v>7</v>
      </c>
      <c r="M6749" s="142">
        <v>0</v>
      </c>
    </row>
    <row r="6750" spans="1:13" x14ac:dyDescent="0.45">
      <c r="A6750" s="142" t="s">
        <v>13148</v>
      </c>
      <c r="B6750" s="142" t="s">
        <v>15314</v>
      </c>
      <c r="C6750" s="142" t="s">
        <v>15847</v>
      </c>
      <c r="D6750" s="142" t="s">
        <v>15848</v>
      </c>
      <c r="E6750" s="142" t="s">
        <v>15849</v>
      </c>
      <c r="F6750" s="142" t="s">
        <v>6246</v>
      </c>
      <c r="G6750" s="142" t="s">
        <v>6245</v>
      </c>
      <c r="H6750" s="142" t="s">
        <v>22600</v>
      </c>
      <c r="I6750" s="142">
        <v>57</v>
      </c>
      <c r="J6750" s="142">
        <v>45</v>
      </c>
      <c r="K6750" s="142">
        <v>0</v>
      </c>
      <c r="L6750" s="142">
        <v>0</v>
      </c>
      <c r="M6750" s="142">
        <v>12</v>
      </c>
    </row>
    <row r="6751" spans="1:13" x14ac:dyDescent="0.45">
      <c r="A6751" s="142" t="s">
        <v>13149</v>
      </c>
      <c r="B6751" s="142" t="s">
        <v>14458</v>
      </c>
      <c r="C6751" s="142" t="s">
        <v>15860</v>
      </c>
      <c r="D6751" s="142" t="s">
        <v>15861</v>
      </c>
      <c r="E6751" s="142" t="s">
        <v>15849</v>
      </c>
      <c r="F6751" s="142" t="s">
        <v>6246</v>
      </c>
      <c r="G6751" s="142" t="s">
        <v>6245</v>
      </c>
      <c r="H6751" s="142" t="s">
        <v>22601</v>
      </c>
      <c r="I6751" s="142">
        <v>6</v>
      </c>
      <c r="J6751" s="142">
        <v>0</v>
      </c>
      <c r="K6751" s="142">
        <v>0</v>
      </c>
      <c r="L6751" s="142">
        <v>6</v>
      </c>
      <c r="M6751" s="142">
        <v>0</v>
      </c>
    </row>
    <row r="6752" spans="1:13" x14ac:dyDescent="0.45">
      <c r="A6752" s="142" t="s">
        <v>13028</v>
      </c>
      <c r="B6752" s="142" t="s">
        <v>14462</v>
      </c>
      <c r="C6752" s="142" t="s">
        <v>15847</v>
      </c>
      <c r="D6752" s="142" t="s">
        <v>15848</v>
      </c>
      <c r="E6752" s="142" t="s">
        <v>15849</v>
      </c>
      <c r="F6752" s="142" t="s">
        <v>6246</v>
      </c>
      <c r="G6752" s="142" t="s">
        <v>6245</v>
      </c>
      <c r="H6752" s="142" t="s">
        <v>22602</v>
      </c>
      <c r="I6752" s="142">
        <v>9</v>
      </c>
      <c r="J6752" s="142">
        <v>0</v>
      </c>
      <c r="K6752" s="142">
        <v>0</v>
      </c>
      <c r="L6752" s="142">
        <v>0</v>
      </c>
      <c r="M6752" s="142">
        <v>9</v>
      </c>
    </row>
    <row r="6753" spans="1:13" x14ac:dyDescent="0.45">
      <c r="A6753" s="142" t="s">
        <v>13003</v>
      </c>
      <c r="B6753" s="142" t="s">
        <v>15245</v>
      </c>
      <c r="C6753" s="142" t="s">
        <v>15847</v>
      </c>
      <c r="D6753" s="142" t="s">
        <v>15848</v>
      </c>
      <c r="E6753" s="142" t="s">
        <v>15849</v>
      </c>
      <c r="F6753" s="142" t="s">
        <v>6246</v>
      </c>
      <c r="G6753" s="142" t="s">
        <v>6245</v>
      </c>
      <c r="H6753" s="142" t="s">
        <v>22603</v>
      </c>
      <c r="I6753" s="142">
        <v>99</v>
      </c>
      <c r="J6753" s="142">
        <v>0</v>
      </c>
      <c r="K6753" s="142">
        <v>0</v>
      </c>
      <c r="L6753" s="142">
        <v>99</v>
      </c>
      <c r="M6753" s="142">
        <v>0</v>
      </c>
    </row>
    <row r="6754" spans="1:13" x14ac:dyDescent="0.45">
      <c r="A6754" s="142" t="s">
        <v>13290</v>
      </c>
      <c r="B6754" s="142" t="s">
        <v>15246</v>
      </c>
      <c r="C6754" s="142" t="s">
        <v>15847</v>
      </c>
      <c r="D6754" s="142" t="s">
        <v>15848</v>
      </c>
      <c r="E6754" s="142" t="s">
        <v>15849</v>
      </c>
      <c r="F6754" s="142" t="s">
        <v>6246</v>
      </c>
      <c r="G6754" s="142" t="s">
        <v>6245</v>
      </c>
      <c r="H6754" s="142" t="s">
        <v>22604</v>
      </c>
      <c r="I6754" s="142">
        <v>5</v>
      </c>
      <c r="J6754" s="142">
        <v>5</v>
      </c>
      <c r="K6754" s="142">
        <v>0</v>
      </c>
      <c r="L6754" s="142">
        <v>0</v>
      </c>
      <c r="M6754" s="142">
        <v>0</v>
      </c>
    </row>
    <row r="6755" spans="1:13" x14ac:dyDescent="0.45">
      <c r="A6755" s="142" t="s">
        <v>13291</v>
      </c>
      <c r="B6755" s="142" t="s">
        <v>15495</v>
      </c>
      <c r="C6755" s="142" t="s">
        <v>15847</v>
      </c>
      <c r="D6755" s="142" t="s">
        <v>15848</v>
      </c>
      <c r="E6755" s="142" t="s">
        <v>15849</v>
      </c>
      <c r="F6755" s="142" t="s">
        <v>6246</v>
      </c>
      <c r="G6755" s="142" t="s">
        <v>6245</v>
      </c>
      <c r="H6755" s="142" t="s">
        <v>22605</v>
      </c>
      <c r="I6755" s="142">
        <v>37</v>
      </c>
      <c r="J6755" s="142">
        <v>37</v>
      </c>
      <c r="K6755" s="142">
        <v>0</v>
      </c>
      <c r="L6755" s="142">
        <v>0</v>
      </c>
      <c r="M6755" s="142">
        <v>0</v>
      </c>
    </row>
    <row r="6756" spans="1:13" x14ac:dyDescent="0.45">
      <c r="A6756" s="142" t="s">
        <v>13201</v>
      </c>
      <c r="B6756" s="142" t="s">
        <v>14481</v>
      </c>
      <c r="C6756" s="142" t="s">
        <v>15860</v>
      </c>
      <c r="D6756" s="142" t="s">
        <v>15861</v>
      </c>
      <c r="E6756" s="142" t="s">
        <v>15849</v>
      </c>
      <c r="F6756" s="142" t="s">
        <v>6246</v>
      </c>
      <c r="G6756" s="142" t="s">
        <v>6245</v>
      </c>
      <c r="H6756" s="142" t="s">
        <v>22606</v>
      </c>
      <c r="I6756" s="142">
        <v>3</v>
      </c>
      <c r="J6756" s="142">
        <v>0</v>
      </c>
      <c r="K6756" s="142">
        <v>0</v>
      </c>
      <c r="L6756" s="142">
        <v>3</v>
      </c>
      <c r="M6756" s="142">
        <v>0</v>
      </c>
    </row>
    <row r="6757" spans="1:13" x14ac:dyDescent="0.45">
      <c r="A6757" s="142" t="s">
        <v>13249</v>
      </c>
      <c r="B6757" s="142" t="s">
        <v>14602</v>
      </c>
      <c r="C6757" s="142" t="s">
        <v>15847</v>
      </c>
      <c r="D6757" s="142" t="s">
        <v>15848</v>
      </c>
      <c r="E6757" s="142" t="s">
        <v>15849</v>
      </c>
      <c r="F6757" s="142" t="s">
        <v>6246</v>
      </c>
      <c r="G6757" s="142" t="s">
        <v>6245</v>
      </c>
      <c r="H6757" s="142" t="s">
        <v>22607</v>
      </c>
      <c r="I6757" s="142">
        <v>46</v>
      </c>
      <c r="J6757" s="142">
        <v>46</v>
      </c>
      <c r="K6757" s="142">
        <v>0</v>
      </c>
      <c r="L6757" s="142">
        <v>0</v>
      </c>
      <c r="M6757" s="142">
        <v>0</v>
      </c>
    </row>
    <row r="6758" spans="1:13" x14ac:dyDescent="0.45">
      <c r="A6758" s="142" t="s">
        <v>13516</v>
      </c>
      <c r="B6758" s="142" t="s">
        <v>14461</v>
      </c>
      <c r="C6758" s="142" t="s">
        <v>15860</v>
      </c>
      <c r="D6758" s="142" t="s">
        <v>15861</v>
      </c>
      <c r="E6758" s="142" t="s">
        <v>15849</v>
      </c>
      <c r="F6758" s="142" t="s">
        <v>6246</v>
      </c>
      <c r="G6758" s="142" t="s">
        <v>6245</v>
      </c>
      <c r="H6758" s="142" t="s">
        <v>22608</v>
      </c>
      <c r="I6758" s="142">
        <v>3</v>
      </c>
      <c r="J6758" s="142">
        <v>0</v>
      </c>
      <c r="K6758" s="142">
        <v>0</v>
      </c>
      <c r="L6758" s="142">
        <v>3</v>
      </c>
      <c r="M6758" s="142">
        <v>0</v>
      </c>
    </row>
    <row r="6759" spans="1:13" x14ac:dyDescent="0.45">
      <c r="A6759" s="142" t="s">
        <v>13276</v>
      </c>
      <c r="B6759" s="142" t="s">
        <v>15498</v>
      </c>
      <c r="C6759" s="142" t="s">
        <v>15847</v>
      </c>
      <c r="D6759" s="142" t="s">
        <v>15848</v>
      </c>
      <c r="E6759" s="142" t="s">
        <v>15849</v>
      </c>
      <c r="F6759" s="142" t="s">
        <v>6246</v>
      </c>
      <c r="G6759" s="142" t="s">
        <v>6245</v>
      </c>
      <c r="H6759" s="142" t="s">
        <v>22609</v>
      </c>
      <c r="I6759" s="142">
        <v>2</v>
      </c>
      <c r="J6759" s="142">
        <v>0</v>
      </c>
      <c r="K6759" s="142">
        <v>0</v>
      </c>
      <c r="L6759" s="142">
        <v>2</v>
      </c>
      <c r="M6759" s="142">
        <v>0</v>
      </c>
    </row>
    <row r="6760" spans="1:13" x14ac:dyDescent="0.45">
      <c r="A6760" s="142" t="s">
        <v>13032</v>
      </c>
      <c r="B6760" s="142" t="s">
        <v>14532</v>
      </c>
      <c r="C6760" s="142" t="s">
        <v>15860</v>
      </c>
      <c r="D6760" s="142" t="s">
        <v>15861</v>
      </c>
      <c r="E6760" s="142" t="s">
        <v>15849</v>
      </c>
      <c r="F6760" s="142" t="s">
        <v>6246</v>
      </c>
      <c r="G6760" s="142" t="s">
        <v>6245</v>
      </c>
      <c r="H6760" s="142" t="s">
        <v>22610</v>
      </c>
      <c r="I6760" s="142">
        <v>7</v>
      </c>
      <c r="J6760" s="142">
        <v>0</v>
      </c>
      <c r="K6760" s="142">
        <v>0</v>
      </c>
      <c r="L6760" s="142">
        <v>7</v>
      </c>
      <c r="M6760" s="142">
        <v>0</v>
      </c>
    </row>
    <row r="6761" spans="1:13" x14ac:dyDescent="0.45">
      <c r="A6761" s="142" t="s">
        <v>13033</v>
      </c>
      <c r="B6761" s="142" t="s">
        <v>15276</v>
      </c>
      <c r="C6761" s="142" t="s">
        <v>15847</v>
      </c>
      <c r="D6761" s="142" t="s">
        <v>15848</v>
      </c>
      <c r="E6761" s="142" t="s">
        <v>15849</v>
      </c>
      <c r="F6761" s="142" t="s">
        <v>6246</v>
      </c>
      <c r="G6761" s="142" t="s">
        <v>6245</v>
      </c>
      <c r="H6761" s="142" t="s">
        <v>22611</v>
      </c>
      <c r="I6761" s="142">
        <v>189</v>
      </c>
      <c r="J6761" s="142">
        <v>64</v>
      </c>
      <c r="K6761" s="142">
        <v>0</v>
      </c>
      <c r="L6761" s="142">
        <v>106</v>
      </c>
      <c r="M6761" s="142">
        <v>19</v>
      </c>
    </row>
    <row r="6762" spans="1:13" x14ac:dyDescent="0.45">
      <c r="A6762" s="142" t="s">
        <v>13034</v>
      </c>
      <c r="B6762" s="142" t="s">
        <v>15562</v>
      </c>
      <c r="C6762" s="142" t="s">
        <v>15847</v>
      </c>
      <c r="D6762" s="142" t="s">
        <v>15848</v>
      </c>
      <c r="E6762" s="142" t="s">
        <v>15849</v>
      </c>
      <c r="F6762" s="142" t="s">
        <v>6246</v>
      </c>
      <c r="G6762" s="142" t="s">
        <v>6245</v>
      </c>
      <c r="H6762" s="142" t="s">
        <v>22612</v>
      </c>
      <c r="I6762" s="142">
        <v>11</v>
      </c>
      <c r="J6762" s="142">
        <v>0</v>
      </c>
      <c r="K6762" s="142">
        <v>0</v>
      </c>
      <c r="L6762" s="142">
        <v>11</v>
      </c>
      <c r="M6762" s="142">
        <v>0</v>
      </c>
    </row>
    <row r="6763" spans="1:13" x14ac:dyDescent="0.45">
      <c r="A6763" s="142" t="s">
        <v>13036</v>
      </c>
      <c r="B6763" s="142" t="s">
        <v>15567</v>
      </c>
      <c r="C6763" s="142" t="s">
        <v>15847</v>
      </c>
      <c r="D6763" s="142" t="s">
        <v>15848</v>
      </c>
      <c r="E6763" s="142" t="s">
        <v>15849</v>
      </c>
      <c r="F6763" s="142" t="s">
        <v>6246</v>
      </c>
      <c r="G6763" s="142" t="s">
        <v>6245</v>
      </c>
      <c r="H6763" s="142" t="s">
        <v>22613</v>
      </c>
      <c r="I6763" s="142">
        <v>2</v>
      </c>
      <c r="J6763" s="142">
        <v>0</v>
      </c>
      <c r="K6763" s="142">
        <v>0</v>
      </c>
      <c r="L6763" s="142">
        <v>2</v>
      </c>
      <c r="M6763" s="142">
        <v>0</v>
      </c>
    </row>
    <row r="6764" spans="1:13" x14ac:dyDescent="0.45">
      <c r="A6764" s="142" t="s">
        <v>13277</v>
      </c>
      <c r="B6764" s="142" t="s">
        <v>14454</v>
      </c>
      <c r="C6764" s="142" t="s">
        <v>15847</v>
      </c>
      <c r="D6764" s="142" t="s">
        <v>15848</v>
      </c>
      <c r="E6764" s="142" t="s">
        <v>15849</v>
      </c>
      <c r="F6764" s="142" t="s">
        <v>6246</v>
      </c>
      <c r="G6764" s="142" t="s">
        <v>6245</v>
      </c>
      <c r="H6764" s="142" t="s">
        <v>22614</v>
      </c>
      <c r="I6764" s="142">
        <v>175</v>
      </c>
      <c r="J6764" s="142">
        <v>120</v>
      </c>
      <c r="K6764" s="142">
        <v>0</v>
      </c>
      <c r="L6764" s="142">
        <v>55</v>
      </c>
      <c r="M6764" s="142">
        <v>0</v>
      </c>
    </row>
    <row r="6765" spans="1:13" x14ac:dyDescent="0.45">
      <c r="A6765" s="142" t="s">
        <v>13014</v>
      </c>
      <c r="B6765" s="142" t="s">
        <v>14505</v>
      </c>
      <c r="C6765" s="142" t="s">
        <v>15847</v>
      </c>
      <c r="D6765" s="142" t="s">
        <v>15848</v>
      </c>
      <c r="E6765" s="142" t="s">
        <v>15849</v>
      </c>
      <c r="F6765" s="142" t="s">
        <v>6246</v>
      </c>
      <c r="G6765" s="142" t="s">
        <v>6245</v>
      </c>
      <c r="H6765" s="142" t="s">
        <v>22615</v>
      </c>
      <c r="I6765" s="142">
        <v>68</v>
      </c>
      <c r="J6765" s="142">
        <v>44</v>
      </c>
      <c r="K6765" s="142">
        <v>0</v>
      </c>
      <c r="L6765" s="142">
        <v>24</v>
      </c>
      <c r="M6765" s="142">
        <v>0</v>
      </c>
    </row>
    <row r="6766" spans="1:13" x14ac:dyDescent="0.45">
      <c r="A6766" s="142" t="s">
        <v>13154</v>
      </c>
      <c r="B6766" s="142" t="s">
        <v>15415</v>
      </c>
      <c r="C6766" s="142" t="s">
        <v>15847</v>
      </c>
      <c r="D6766" s="142" t="s">
        <v>15848</v>
      </c>
      <c r="E6766" s="142" t="s">
        <v>15849</v>
      </c>
      <c r="F6766" s="142" t="s">
        <v>6246</v>
      </c>
      <c r="G6766" s="142" t="s">
        <v>6245</v>
      </c>
      <c r="H6766" s="142" t="s">
        <v>22616</v>
      </c>
      <c r="I6766" s="142">
        <v>3669</v>
      </c>
      <c r="J6766" s="142">
        <v>3627</v>
      </c>
      <c r="K6766" s="142">
        <v>0</v>
      </c>
      <c r="L6766" s="142">
        <v>42</v>
      </c>
      <c r="M6766" s="142">
        <v>0</v>
      </c>
    </row>
    <row r="6767" spans="1:13" x14ac:dyDescent="0.45">
      <c r="A6767" s="142" t="s">
        <v>13286</v>
      </c>
      <c r="B6767" s="142" t="s">
        <v>15342</v>
      </c>
      <c r="C6767" s="142" t="s">
        <v>15847</v>
      </c>
      <c r="D6767" s="142" t="s">
        <v>15848</v>
      </c>
      <c r="E6767" s="142" t="s">
        <v>15849</v>
      </c>
      <c r="F6767" s="142" t="s">
        <v>6246</v>
      </c>
      <c r="G6767" s="142" t="s">
        <v>6245</v>
      </c>
      <c r="H6767" s="142" t="s">
        <v>22617</v>
      </c>
      <c r="I6767" s="142">
        <v>175</v>
      </c>
      <c r="J6767" s="142">
        <v>173</v>
      </c>
      <c r="K6767" s="142">
        <v>0</v>
      </c>
      <c r="L6767" s="142">
        <v>2</v>
      </c>
      <c r="M6767" s="142">
        <v>0</v>
      </c>
    </row>
    <row r="6768" spans="1:13" x14ac:dyDescent="0.45">
      <c r="A6768" s="142" t="s">
        <v>13046</v>
      </c>
      <c r="B6768" s="142" t="s">
        <v>15537</v>
      </c>
      <c r="C6768" s="142" t="s">
        <v>15860</v>
      </c>
      <c r="D6768" s="142" t="s">
        <v>15861</v>
      </c>
      <c r="E6768" s="142" t="s">
        <v>15849</v>
      </c>
      <c r="F6768" s="142" t="s">
        <v>3921</v>
      </c>
      <c r="G6768" s="142" t="s">
        <v>3920</v>
      </c>
      <c r="H6768" s="142" t="s">
        <v>22618</v>
      </c>
      <c r="I6768" s="142">
        <v>13</v>
      </c>
      <c r="J6768" s="142">
        <v>0</v>
      </c>
      <c r="K6768" s="142">
        <v>0</v>
      </c>
      <c r="L6768" s="142">
        <v>13</v>
      </c>
      <c r="M6768" s="142">
        <v>0</v>
      </c>
    </row>
    <row r="6769" spans="1:13" x14ac:dyDescent="0.45">
      <c r="A6769" s="142" t="s">
        <v>13065</v>
      </c>
      <c r="B6769" s="142" t="s">
        <v>14497</v>
      </c>
      <c r="C6769" s="142" t="s">
        <v>15847</v>
      </c>
      <c r="D6769" s="142" t="s">
        <v>15848</v>
      </c>
      <c r="E6769" s="142" t="s">
        <v>15849</v>
      </c>
      <c r="F6769" s="142" t="s">
        <v>3921</v>
      </c>
      <c r="G6769" s="142" t="s">
        <v>3920</v>
      </c>
      <c r="H6769" s="142" t="s">
        <v>22619</v>
      </c>
      <c r="I6769" s="142">
        <v>12</v>
      </c>
      <c r="J6769" s="142">
        <v>0</v>
      </c>
      <c r="K6769" s="142">
        <v>0</v>
      </c>
      <c r="L6769" s="142">
        <v>12</v>
      </c>
      <c r="M6769" s="142">
        <v>0</v>
      </c>
    </row>
    <row r="6770" spans="1:13" x14ac:dyDescent="0.45">
      <c r="A6770" s="142" t="s">
        <v>13074</v>
      </c>
      <c r="B6770" s="142" t="s">
        <v>15405</v>
      </c>
      <c r="C6770" s="142" t="s">
        <v>15847</v>
      </c>
      <c r="D6770" s="142" t="s">
        <v>15848</v>
      </c>
      <c r="E6770" s="142" t="s">
        <v>15849</v>
      </c>
      <c r="F6770" s="142" t="s">
        <v>3921</v>
      </c>
      <c r="G6770" s="142" t="s">
        <v>3920</v>
      </c>
      <c r="H6770" s="142" t="s">
        <v>22620</v>
      </c>
      <c r="I6770" s="142">
        <v>7</v>
      </c>
      <c r="J6770" s="142">
        <v>7</v>
      </c>
      <c r="K6770" s="142">
        <v>0</v>
      </c>
      <c r="L6770" s="142">
        <v>0</v>
      </c>
      <c r="M6770" s="142">
        <v>0</v>
      </c>
    </row>
    <row r="6771" spans="1:13" x14ac:dyDescent="0.45">
      <c r="A6771" s="142" t="s">
        <v>13049</v>
      </c>
      <c r="B6771" s="142" t="s">
        <v>14534</v>
      </c>
      <c r="C6771" s="142" t="s">
        <v>15860</v>
      </c>
      <c r="D6771" s="142" t="s">
        <v>15861</v>
      </c>
      <c r="E6771" s="142" t="s">
        <v>15849</v>
      </c>
      <c r="F6771" s="142" t="s">
        <v>3921</v>
      </c>
      <c r="G6771" s="142" t="s">
        <v>3920</v>
      </c>
      <c r="H6771" s="142" t="s">
        <v>22621</v>
      </c>
      <c r="I6771" s="142">
        <v>5</v>
      </c>
      <c r="J6771" s="142">
        <v>0</v>
      </c>
      <c r="K6771" s="142">
        <v>0</v>
      </c>
      <c r="L6771" s="142">
        <v>5</v>
      </c>
      <c r="M6771" s="142">
        <v>0</v>
      </c>
    </row>
    <row r="6772" spans="1:13" x14ac:dyDescent="0.45">
      <c r="A6772" s="142" t="s">
        <v>14140</v>
      </c>
      <c r="B6772" s="142" t="s">
        <v>15365</v>
      </c>
      <c r="C6772" s="142" t="s">
        <v>15860</v>
      </c>
      <c r="D6772" s="142" t="s">
        <v>15861</v>
      </c>
      <c r="E6772" s="142" t="s">
        <v>15849</v>
      </c>
      <c r="F6772" s="142" t="s">
        <v>3921</v>
      </c>
      <c r="G6772" s="142" t="s">
        <v>3920</v>
      </c>
      <c r="H6772" s="142" t="s">
        <v>22622</v>
      </c>
      <c r="I6772" s="142">
        <v>52</v>
      </c>
      <c r="J6772" s="142">
        <v>0</v>
      </c>
      <c r="K6772" s="142">
        <v>0</v>
      </c>
      <c r="L6772" s="142">
        <v>52</v>
      </c>
      <c r="M6772" s="142">
        <v>0</v>
      </c>
    </row>
    <row r="6773" spans="1:13" x14ac:dyDescent="0.45">
      <c r="A6773" s="142" t="s">
        <v>13050</v>
      </c>
      <c r="B6773" s="142" t="s">
        <v>15237</v>
      </c>
      <c r="C6773" s="142" t="s">
        <v>15847</v>
      </c>
      <c r="D6773" s="142" t="s">
        <v>15848</v>
      </c>
      <c r="E6773" s="142" t="s">
        <v>15849</v>
      </c>
      <c r="F6773" s="142" t="s">
        <v>3921</v>
      </c>
      <c r="G6773" s="142" t="s">
        <v>3920</v>
      </c>
      <c r="H6773" s="142" t="s">
        <v>22623</v>
      </c>
      <c r="I6773" s="142">
        <v>90</v>
      </c>
      <c r="J6773" s="142">
        <v>66</v>
      </c>
      <c r="K6773" s="142">
        <v>0</v>
      </c>
      <c r="L6773" s="142">
        <v>0</v>
      </c>
      <c r="M6773" s="142">
        <v>24</v>
      </c>
    </row>
    <row r="6774" spans="1:13" x14ac:dyDescent="0.45">
      <c r="A6774" s="142" t="s">
        <v>13028</v>
      </c>
      <c r="B6774" s="142" t="s">
        <v>14462</v>
      </c>
      <c r="C6774" s="142" t="s">
        <v>15847</v>
      </c>
      <c r="D6774" s="142" t="s">
        <v>15848</v>
      </c>
      <c r="E6774" s="142" t="s">
        <v>15849</v>
      </c>
      <c r="F6774" s="142" t="s">
        <v>3921</v>
      </c>
      <c r="G6774" s="142" t="s">
        <v>3920</v>
      </c>
      <c r="H6774" s="142" t="s">
        <v>22624</v>
      </c>
      <c r="I6774" s="142">
        <v>24</v>
      </c>
      <c r="J6774" s="142">
        <v>0</v>
      </c>
      <c r="K6774" s="142">
        <v>0</v>
      </c>
      <c r="L6774" s="142">
        <v>0</v>
      </c>
      <c r="M6774" s="142">
        <v>24</v>
      </c>
    </row>
    <row r="6775" spans="1:13" x14ac:dyDescent="0.45">
      <c r="A6775" s="142" t="s">
        <v>13002</v>
      </c>
      <c r="B6775" s="142" t="s">
        <v>15376</v>
      </c>
      <c r="C6775" s="142" t="s">
        <v>15847</v>
      </c>
      <c r="D6775" s="142" t="s">
        <v>15848</v>
      </c>
      <c r="E6775" s="142" t="s">
        <v>15849</v>
      </c>
      <c r="F6775" s="142" t="s">
        <v>3921</v>
      </c>
      <c r="G6775" s="142" t="s">
        <v>3920</v>
      </c>
      <c r="H6775" s="142" t="s">
        <v>22625</v>
      </c>
      <c r="I6775" s="142">
        <v>2</v>
      </c>
      <c r="J6775" s="142">
        <v>2</v>
      </c>
      <c r="K6775" s="142">
        <v>0</v>
      </c>
      <c r="L6775" s="142">
        <v>0</v>
      </c>
      <c r="M6775" s="142">
        <v>0</v>
      </c>
    </row>
    <row r="6776" spans="1:13" x14ac:dyDescent="0.45">
      <c r="A6776" s="142" t="s">
        <v>13003</v>
      </c>
      <c r="B6776" s="142" t="s">
        <v>15245</v>
      </c>
      <c r="C6776" s="142" t="s">
        <v>15847</v>
      </c>
      <c r="D6776" s="142" t="s">
        <v>15848</v>
      </c>
      <c r="E6776" s="142" t="s">
        <v>15849</v>
      </c>
      <c r="F6776" s="142" t="s">
        <v>3921</v>
      </c>
      <c r="G6776" s="142" t="s">
        <v>3920</v>
      </c>
      <c r="H6776" s="142" t="s">
        <v>22626</v>
      </c>
      <c r="I6776" s="142">
        <v>41</v>
      </c>
      <c r="J6776" s="142">
        <v>0</v>
      </c>
      <c r="K6776" s="142">
        <v>0</v>
      </c>
      <c r="L6776" s="142">
        <v>41</v>
      </c>
      <c r="M6776" s="142">
        <v>0</v>
      </c>
    </row>
    <row r="6777" spans="1:13" x14ac:dyDescent="0.45">
      <c r="A6777" s="142" t="s">
        <v>13076</v>
      </c>
      <c r="B6777" s="142" t="s">
        <v>14636</v>
      </c>
      <c r="C6777" s="142" t="s">
        <v>15847</v>
      </c>
      <c r="D6777" s="142" t="s">
        <v>15848</v>
      </c>
      <c r="E6777" s="142" t="s">
        <v>15849</v>
      </c>
      <c r="F6777" s="142" t="s">
        <v>3921</v>
      </c>
      <c r="G6777" s="142" t="s">
        <v>3920</v>
      </c>
      <c r="H6777" s="142" t="s">
        <v>22627</v>
      </c>
      <c r="I6777" s="142">
        <v>5</v>
      </c>
      <c r="J6777" s="142">
        <v>3</v>
      </c>
      <c r="K6777" s="142">
        <v>0</v>
      </c>
      <c r="L6777" s="142">
        <v>0</v>
      </c>
      <c r="M6777" s="142">
        <v>2</v>
      </c>
    </row>
    <row r="6778" spans="1:13" x14ac:dyDescent="0.45">
      <c r="A6778" s="142" t="s">
        <v>13005</v>
      </c>
      <c r="B6778" s="142" t="s">
        <v>15475</v>
      </c>
      <c r="C6778" s="142" t="s">
        <v>15847</v>
      </c>
      <c r="D6778" s="142" t="s">
        <v>15848</v>
      </c>
      <c r="E6778" s="142" t="s">
        <v>15849</v>
      </c>
      <c r="F6778" s="142" t="s">
        <v>3921</v>
      </c>
      <c r="G6778" s="142" t="s">
        <v>3920</v>
      </c>
      <c r="H6778" s="142" t="s">
        <v>22628</v>
      </c>
      <c r="I6778" s="142">
        <v>2</v>
      </c>
      <c r="J6778" s="142">
        <v>0</v>
      </c>
      <c r="K6778" s="142">
        <v>0</v>
      </c>
      <c r="L6778" s="142">
        <v>0</v>
      </c>
      <c r="M6778" s="142">
        <v>2</v>
      </c>
    </row>
    <row r="6779" spans="1:13" x14ac:dyDescent="0.45">
      <c r="A6779" s="142" t="s">
        <v>13008</v>
      </c>
      <c r="B6779" s="142" t="s">
        <v>15411</v>
      </c>
      <c r="C6779" s="142" t="s">
        <v>15847</v>
      </c>
      <c r="D6779" s="142" t="s">
        <v>15848</v>
      </c>
      <c r="E6779" s="142" t="s">
        <v>15849</v>
      </c>
      <c r="F6779" s="142" t="s">
        <v>3921</v>
      </c>
      <c r="G6779" s="142" t="s">
        <v>3920</v>
      </c>
      <c r="H6779" s="142" t="s">
        <v>22629</v>
      </c>
      <c r="I6779" s="142">
        <v>89</v>
      </c>
      <c r="J6779" s="142">
        <v>0</v>
      </c>
      <c r="K6779" s="142">
        <v>0</v>
      </c>
      <c r="L6779" s="142">
        <v>0</v>
      </c>
      <c r="M6779" s="142">
        <v>89</v>
      </c>
    </row>
    <row r="6780" spans="1:13" x14ac:dyDescent="0.45">
      <c r="A6780" s="142" t="s">
        <v>13077</v>
      </c>
      <c r="B6780" s="142" t="s">
        <v>15407</v>
      </c>
      <c r="C6780" s="142" t="s">
        <v>15847</v>
      </c>
      <c r="D6780" s="142" t="s">
        <v>15848</v>
      </c>
      <c r="E6780" s="142" t="s">
        <v>15849</v>
      </c>
      <c r="F6780" s="142" t="s">
        <v>3921</v>
      </c>
      <c r="G6780" s="142" t="s">
        <v>3920</v>
      </c>
      <c r="H6780" s="142" t="s">
        <v>22630</v>
      </c>
      <c r="I6780" s="142">
        <v>511</v>
      </c>
      <c r="J6780" s="142">
        <v>503</v>
      </c>
      <c r="K6780" s="142">
        <v>0</v>
      </c>
      <c r="L6780" s="142">
        <v>7</v>
      </c>
      <c r="M6780" s="142">
        <v>1</v>
      </c>
    </row>
    <row r="6781" spans="1:13" x14ac:dyDescent="0.45">
      <c r="A6781" s="142" t="s">
        <v>13033</v>
      </c>
      <c r="B6781" s="142" t="s">
        <v>15276</v>
      </c>
      <c r="C6781" s="142" t="s">
        <v>15847</v>
      </c>
      <c r="D6781" s="142" t="s">
        <v>15848</v>
      </c>
      <c r="E6781" s="142" t="s">
        <v>15849</v>
      </c>
      <c r="F6781" s="142" t="s">
        <v>3921</v>
      </c>
      <c r="G6781" s="142" t="s">
        <v>3920</v>
      </c>
      <c r="H6781" s="142" t="s">
        <v>22631</v>
      </c>
      <c r="I6781" s="142">
        <v>359</v>
      </c>
      <c r="J6781" s="142">
        <v>359</v>
      </c>
      <c r="K6781" s="142">
        <v>0</v>
      </c>
      <c r="L6781" s="142">
        <v>0</v>
      </c>
      <c r="M6781" s="142">
        <v>0</v>
      </c>
    </row>
    <row r="6782" spans="1:13" x14ac:dyDescent="0.45">
      <c r="A6782" s="142" t="s">
        <v>13179</v>
      </c>
      <c r="B6782" s="142" t="s">
        <v>14704</v>
      </c>
      <c r="C6782" s="142" t="s">
        <v>15860</v>
      </c>
      <c r="D6782" s="142" t="s">
        <v>15861</v>
      </c>
      <c r="E6782" s="142" t="s">
        <v>15849</v>
      </c>
      <c r="F6782" s="142" t="s">
        <v>3921</v>
      </c>
      <c r="G6782" s="142" t="s">
        <v>3920</v>
      </c>
      <c r="H6782" s="142" t="s">
        <v>22632</v>
      </c>
      <c r="I6782" s="142">
        <v>8</v>
      </c>
      <c r="J6782" s="142">
        <v>8</v>
      </c>
      <c r="K6782" s="142">
        <v>0</v>
      </c>
      <c r="L6782" s="142">
        <v>0</v>
      </c>
      <c r="M6782" s="142">
        <v>0</v>
      </c>
    </row>
    <row r="6783" spans="1:13" x14ac:dyDescent="0.45">
      <c r="A6783" s="142" t="s">
        <v>13038</v>
      </c>
      <c r="B6783" s="142" t="s">
        <v>14646</v>
      </c>
      <c r="C6783" s="142" t="s">
        <v>15847</v>
      </c>
      <c r="D6783" s="142" t="s">
        <v>15848</v>
      </c>
      <c r="E6783" s="142" t="s">
        <v>15849</v>
      </c>
      <c r="F6783" s="142" t="s">
        <v>3921</v>
      </c>
      <c r="G6783" s="142" t="s">
        <v>3920</v>
      </c>
      <c r="H6783" s="142" t="s">
        <v>22633</v>
      </c>
      <c r="I6783" s="142">
        <v>78</v>
      </c>
      <c r="J6783" s="142">
        <v>7</v>
      </c>
      <c r="K6783" s="142">
        <v>0</v>
      </c>
      <c r="L6783" s="142">
        <v>0</v>
      </c>
      <c r="M6783" s="142">
        <v>71</v>
      </c>
    </row>
    <row r="6784" spans="1:13" x14ac:dyDescent="0.45">
      <c r="A6784" s="142" t="s">
        <v>13039</v>
      </c>
      <c r="B6784" s="142" t="s">
        <v>14647</v>
      </c>
      <c r="C6784" s="142" t="s">
        <v>15847</v>
      </c>
      <c r="D6784" s="142" t="s">
        <v>15848</v>
      </c>
      <c r="E6784" s="142" t="s">
        <v>15849</v>
      </c>
      <c r="F6784" s="142" t="s">
        <v>3921</v>
      </c>
      <c r="G6784" s="142" t="s">
        <v>3920</v>
      </c>
      <c r="H6784" s="142" t="s">
        <v>22634</v>
      </c>
      <c r="I6784" s="142">
        <v>15</v>
      </c>
      <c r="J6784" s="142">
        <v>15</v>
      </c>
      <c r="K6784" s="142">
        <v>0</v>
      </c>
      <c r="L6784" s="142">
        <v>0</v>
      </c>
      <c r="M6784" s="142">
        <v>0</v>
      </c>
    </row>
    <row r="6785" spans="1:13" x14ac:dyDescent="0.45">
      <c r="A6785" s="142" t="s">
        <v>13078</v>
      </c>
      <c r="B6785" s="142" t="s">
        <v>15540</v>
      </c>
      <c r="C6785" s="142" t="s">
        <v>15847</v>
      </c>
      <c r="D6785" s="142" t="s">
        <v>15848</v>
      </c>
      <c r="E6785" s="142" t="s">
        <v>15849</v>
      </c>
      <c r="F6785" s="142" t="s">
        <v>3921</v>
      </c>
      <c r="G6785" s="142" t="s">
        <v>3920</v>
      </c>
      <c r="H6785" s="142" t="s">
        <v>22635</v>
      </c>
      <c r="I6785" s="142">
        <v>14</v>
      </c>
      <c r="J6785" s="142">
        <v>0</v>
      </c>
      <c r="K6785" s="142">
        <v>0</v>
      </c>
      <c r="L6785" s="142">
        <v>14</v>
      </c>
      <c r="M6785" s="142">
        <v>0</v>
      </c>
    </row>
    <row r="6786" spans="1:13" x14ac:dyDescent="0.45">
      <c r="A6786" s="142" t="s">
        <v>13009</v>
      </c>
      <c r="B6786" s="142" t="s">
        <v>15256</v>
      </c>
      <c r="C6786" s="142" t="s">
        <v>15847</v>
      </c>
      <c r="D6786" s="142" t="s">
        <v>15848</v>
      </c>
      <c r="E6786" s="142" t="s">
        <v>15849</v>
      </c>
      <c r="F6786" s="142" t="s">
        <v>3921</v>
      </c>
      <c r="G6786" s="142" t="s">
        <v>3920</v>
      </c>
      <c r="H6786" s="142" t="s">
        <v>22636</v>
      </c>
      <c r="I6786" s="142">
        <v>109</v>
      </c>
      <c r="J6786" s="142">
        <v>37</v>
      </c>
      <c r="K6786" s="142">
        <v>0</v>
      </c>
      <c r="L6786" s="142">
        <v>53</v>
      </c>
      <c r="M6786" s="142">
        <v>19</v>
      </c>
    </row>
    <row r="6787" spans="1:13" x14ac:dyDescent="0.45">
      <c r="A6787" s="142" t="s">
        <v>13011</v>
      </c>
      <c r="B6787" s="142" t="s">
        <v>14695</v>
      </c>
      <c r="C6787" s="142" t="s">
        <v>15847</v>
      </c>
      <c r="D6787" s="142" t="s">
        <v>15848</v>
      </c>
      <c r="E6787" s="142" t="s">
        <v>15849</v>
      </c>
      <c r="F6787" s="142" t="s">
        <v>3921</v>
      </c>
      <c r="G6787" s="142" t="s">
        <v>3920</v>
      </c>
      <c r="H6787" s="142" t="s">
        <v>22637</v>
      </c>
      <c r="I6787" s="142">
        <v>3525</v>
      </c>
      <c r="J6787" s="142">
        <v>2821</v>
      </c>
      <c r="K6787" s="142">
        <v>0</v>
      </c>
      <c r="L6787" s="142">
        <v>499</v>
      </c>
      <c r="M6787" s="142">
        <v>205</v>
      </c>
    </row>
    <row r="6788" spans="1:13" x14ac:dyDescent="0.45">
      <c r="A6788" s="142" t="s">
        <v>13041</v>
      </c>
      <c r="B6788" s="142" t="s">
        <v>14441</v>
      </c>
      <c r="C6788" s="142" t="s">
        <v>15847</v>
      </c>
      <c r="D6788" s="142" t="s">
        <v>15848</v>
      </c>
      <c r="E6788" s="142" t="s">
        <v>15849</v>
      </c>
      <c r="F6788" s="142" t="s">
        <v>3921</v>
      </c>
      <c r="G6788" s="142" t="s">
        <v>3920</v>
      </c>
      <c r="H6788" s="142" t="s">
        <v>22638</v>
      </c>
      <c r="I6788" s="142">
        <v>12</v>
      </c>
      <c r="J6788" s="142">
        <v>0</v>
      </c>
      <c r="K6788" s="142">
        <v>0</v>
      </c>
      <c r="L6788" s="142">
        <v>0</v>
      </c>
      <c r="M6788" s="142">
        <v>12</v>
      </c>
    </row>
    <row r="6789" spans="1:13" x14ac:dyDescent="0.45">
      <c r="A6789" s="142" t="s">
        <v>13012</v>
      </c>
      <c r="B6789" s="142" t="s">
        <v>15337</v>
      </c>
      <c r="C6789" s="142" t="s">
        <v>15847</v>
      </c>
      <c r="D6789" s="142" t="s">
        <v>15848</v>
      </c>
      <c r="E6789" s="142" t="s">
        <v>15849</v>
      </c>
      <c r="F6789" s="142" t="s">
        <v>3921</v>
      </c>
      <c r="G6789" s="142" t="s">
        <v>3920</v>
      </c>
      <c r="H6789" s="142" t="s">
        <v>22639</v>
      </c>
      <c r="I6789" s="142">
        <v>2</v>
      </c>
      <c r="J6789" s="142">
        <v>1</v>
      </c>
      <c r="K6789" s="142">
        <v>0</v>
      </c>
      <c r="L6789" s="142">
        <v>0</v>
      </c>
      <c r="M6789" s="142">
        <v>1</v>
      </c>
    </row>
    <row r="6790" spans="1:13" x14ac:dyDescent="0.45">
      <c r="A6790" s="142" t="s">
        <v>13361</v>
      </c>
      <c r="B6790" s="142" t="s">
        <v>15493</v>
      </c>
      <c r="C6790" s="142" t="s">
        <v>15860</v>
      </c>
      <c r="D6790" s="142" t="s">
        <v>15861</v>
      </c>
      <c r="E6790" s="142" t="s">
        <v>15849</v>
      </c>
      <c r="F6790" s="142" t="s">
        <v>3921</v>
      </c>
      <c r="G6790" s="142" t="s">
        <v>3920</v>
      </c>
      <c r="H6790" s="142" t="s">
        <v>22640</v>
      </c>
      <c r="I6790" s="142">
        <v>64</v>
      </c>
      <c r="J6790" s="142">
        <v>0</v>
      </c>
      <c r="K6790" s="142">
        <v>0</v>
      </c>
      <c r="L6790" s="142">
        <v>64</v>
      </c>
      <c r="M6790" s="142">
        <v>0</v>
      </c>
    </row>
    <row r="6791" spans="1:13" x14ac:dyDescent="0.45">
      <c r="A6791" s="142" t="s">
        <v>13064</v>
      </c>
      <c r="B6791" s="142" t="s">
        <v>15428</v>
      </c>
      <c r="C6791" s="142" t="s">
        <v>15847</v>
      </c>
      <c r="D6791" s="142" t="s">
        <v>15848</v>
      </c>
      <c r="E6791" s="142" t="s">
        <v>15849</v>
      </c>
      <c r="F6791" s="142" t="s">
        <v>10393</v>
      </c>
      <c r="G6791" s="142" t="s">
        <v>10392</v>
      </c>
      <c r="H6791" s="142" t="s">
        <v>22641</v>
      </c>
      <c r="I6791" s="142">
        <v>158</v>
      </c>
      <c r="J6791" s="142">
        <v>129</v>
      </c>
      <c r="K6791" s="142">
        <v>0</v>
      </c>
      <c r="L6791" s="142">
        <v>0</v>
      </c>
      <c r="M6791" s="142">
        <v>29</v>
      </c>
    </row>
    <row r="6792" spans="1:13" x14ac:dyDescent="0.45">
      <c r="A6792" s="142" t="s">
        <v>13019</v>
      </c>
      <c r="B6792" s="142" t="s">
        <v>14457</v>
      </c>
      <c r="C6792" s="142" t="s">
        <v>15860</v>
      </c>
      <c r="D6792" s="142" t="s">
        <v>15861</v>
      </c>
      <c r="E6792" s="142" t="s">
        <v>15849</v>
      </c>
      <c r="F6792" s="142" t="s">
        <v>10393</v>
      </c>
      <c r="G6792" s="142" t="s">
        <v>10392</v>
      </c>
      <c r="H6792" s="142" t="s">
        <v>22642</v>
      </c>
      <c r="I6792" s="142">
        <v>61</v>
      </c>
      <c r="J6792" s="142">
        <v>13</v>
      </c>
      <c r="K6792" s="142">
        <v>0</v>
      </c>
      <c r="L6792" s="142">
        <v>48</v>
      </c>
      <c r="M6792" s="142">
        <v>0</v>
      </c>
    </row>
    <row r="6793" spans="1:13" x14ac:dyDescent="0.45">
      <c r="A6793" s="142" t="s">
        <v>13507</v>
      </c>
      <c r="B6793" s="142" t="s">
        <v>14515</v>
      </c>
      <c r="C6793" s="142" t="s">
        <v>15860</v>
      </c>
      <c r="D6793" s="142" t="s">
        <v>15861</v>
      </c>
      <c r="E6793" s="142" t="s">
        <v>15849</v>
      </c>
      <c r="F6793" s="142" t="s">
        <v>10393</v>
      </c>
      <c r="G6793" s="142" t="s">
        <v>10392</v>
      </c>
      <c r="H6793" s="142" t="s">
        <v>22643</v>
      </c>
      <c r="I6793" s="142">
        <v>26</v>
      </c>
      <c r="J6793" s="142">
        <v>26</v>
      </c>
      <c r="K6793" s="142">
        <v>0</v>
      </c>
      <c r="L6793" s="142">
        <v>0</v>
      </c>
      <c r="M6793" s="142">
        <v>0</v>
      </c>
    </row>
    <row r="6794" spans="1:13" x14ac:dyDescent="0.45">
      <c r="A6794" s="142" t="s">
        <v>13023</v>
      </c>
      <c r="B6794" s="142" t="s">
        <v>15571</v>
      </c>
      <c r="C6794" s="142" t="s">
        <v>15847</v>
      </c>
      <c r="D6794" s="142" t="s">
        <v>15848</v>
      </c>
      <c r="E6794" s="142" t="s">
        <v>15849</v>
      </c>
      <c r="F6794" s="142" t="s">
        <v>10393</v>
      </c>
      <c r="G6794" s="142" t="s">
        <v>10392</v>
      </c>
      <c r="H6794" s="142" t="s">
        <v>22644</v>
      </c>
      <c r="I6794" s="142">
        <v>161</v>
      </c>
      <c r="J6794" s="142">
        <v>8</v>
      </c>
      <c r="K6794" s="142">
        <v>0</v>
      </c>
      <c r="L6794" s="142">
        <v>153</v>
      </c>
      <c r="M6794" s="142">
        <v>0</v>
      </c>
    </row>
    <row r="6795" spans="1:13" x14ac:dyDescent="0.45">
      <c r="A6795" s="142" t="s">
        <v>13508</v>
      </c>
      <c r="B6795" s="142" t="s">
        <v>15513</v>
      </c>
      <c r="C6795" s="142" t="s">
        <v>15847</v>
      </c>
      <c r="D6795" s="142" t="s">
        <v>15848</v>
      </c>
      <c r="E6795" s="142" t="s">
        <v>15849</v>
      </c>
      <c r="F6795" s="142" t="s">
        <v>10393</v>
      </c>
      <c r="G6795" s="142" t="s">
        <v>10392</v>
      </c>
      <c r="H6795" s="142" t="s">
        <v>22645</v>
      </c>
      <c r="I6795" s="142">
        <v>382</v>
      </c>
      <c r="J6795" s="142">
        <v>306</v>
      </c>
      <c r="K6795" s="142">
        <v>0</v>
      </c>
      <c r="L6795" s="142">
        <v>0</v>
      </c>
      <c r="M6795" s="142">
        <v>76</v>
      </c>
    </row>
    <row r="6796" spans="1:13" x14ac:dyDescent="0.45">
      <c r="A6796" s="142" t="s">
        <v>13082</v>
      </c>
      <c r="B6796" s="142" t="s">
        <v>14478</v>
      </c>
      <c r="C6796" s="142" t="s">
        <v>15860</v>
      </c>
      <c r="D6796" s="142" t="s">
        <v>15861</v>
      </c>
      <c r="E6796" s="142" t="s">
        <v>15849</v>
      </c>
      <c r="F6796" s="142" t="s">
        <v>10393</v>
      </c>
      <c r="G6796" s="142" t="s">
        <v>10392</v>
      </c>
      <c r="H6796" s="142" t="s">
        <v>22646</v>
      </c>
      <c r="I6796" s="142">
        <v>3</v>
      </c>
      <c r="J6796" s="142">
        <v>0</v>
      </c>
      <c r="K6796" s="142">
        <v>0</v>
      </c>
      <c r="L6796" s="142">
        <v>3</v>
      </c>
      <c r="M6796" s="142">
        <v>0</v>
      </c>
    </row>
    <row r="6797" spans="1:13" x14ac:dyDescent="0.45">
      <c r="A6797" s="142" t="s">
        <v>13147</v>
      </c>
      <c r="B6797" s="142" t="s">
        <v>14529</v>
      </c>
      <c r="C6797" s="142" t="s">
        <v>15860</v>
      </c>
      <c r="D6797" s="142" t="s">
        <v>15861</v>
      </c>
      <c r="E6797" s="142" t="s">
        <v>15849</v>
      </c>
      <c r="F6797" s="142" t="s">
        <v>10393</v>
      </c>
      <c r="G6797" s="142" t="s">
        <v>10392</v>
      </c>
      <c r="H6797" s="142" t="s">
        <v>22647</v>
      </c>
      <c r="I6797" s="142">
        <v>5</v>
      </c>
      <c r="J6797" s="142">
        <v>5</v>
      </c>
      <c r="K6797" s="142">
        <v>0</v>
      </c>
      <c r="L6797" s="142">
        <v>0</v>
      </c>
      <c r="M6797" s="142">
        <v>0</v>
      </c>
    </row>
    <row r="6798" spans="1:13" x14ac:dyDescent="0.45">
      <c r="A6798" s="142" t="s">
        <v>13065</v>
      </c>
      <c r="B6798" s="142" t="s">
        <v>14497</v>
      </c>
      <c r="C6798" s="142" t="s">
        <v>15847</v>
      </c>
      <c r="D6798" s="142" t="s">
        <v>15848</v>
      </c>
      <c r="E6798" s="142" t="s">
        <v>15849</v>
      </c>
      <c r="F6798" s="142" t="s">
        <v>10393</v>
      </c>
      <c r="G6798" s="142" t="s">
        <v>10392</v>
      </c>
      <c r="H6798" s="142" t="s">
        <v>22648</v>
      </c>
      <c r="I6798" s="142">
        <v>17</v>
      </c>
      <c r="J6798" s="142">
        <v>0</v>
      </c>
      <c r="K6798" s="142">
        <v>0</v>
      </c>
      <c r="L6798" s="142">
        <v>17</v>
      </c>
      <c r="M6798" s="142">
        <v>0</v>
      </c>
    </row>
    <row r="6799" spans="1:13" x14ac:dyDescent="0.45">
      <c r="A6799" s="142" t="s">
        <v>13099</v>
      </c>
      <c r="B6799" s="142" t="s">
        <v>14547</v>
      </c>
      <c r="C6799" s="142" t="s">
        <v>15860</v>
      </c>
      <c r="D6799" s="142" t="s">
        <v>15861</v>
      </c>
      <c r="E6799" s="142" t="s">
        <v>15849</v>
      </c>
      <c r="F6799" s="142" t="s">
        <v>10393</v>
      </c>
      <c r="G6799" s="142" t="s">
        <v>10392</v>
      </c>
      <c r="H6799" s="142" t="s">
        <v>22649</v>
      </c>
      <c r="I6799" s="142">
        <v>1</v>
      </c>
      <c r="J6799" s="142">
        <v>0</v>
      </c>
      <c r="K6799" s="142">
        <v>0</v>
      </c>
      <c r="L6799" s="142">
        <v>1</v>
      </c>
      <c r="M6799" s="142">
        <v>0</v>
      </c>
    </row>
    <row r="6800" spans="1:13" x14ac:dyDescent="0.45">
      <c r="A6800" s="142" t="s">
        <v>13049</v>
      </c>
      <c r="B6800" s="142" t="s">
        <v>14534</v>
      </c>
      <c r="C6800" s="142" t="s">
        <v>15860</v>
      </c>
      <c r="D6800" s="142" t="s">
        <v>15861</v>
      </c>
      <c r="E6800" s="142" t="s">
        <v>15849</v>
      </c>
      <c r="F6800" s="142" t="s">
        <v>10393</v>
      </c>
      <c r="G6800" s="142" t="s">
        <v>10392</v>
      </c>
      <c r="H6800" s="142" t="s">
        <v>22650</v>
      </c>
      <c r="I6800" s="142">
        <v>1</v>
      </c>
      <c r="J6800" s="142">
        <v>0</v>
      </c>
      <c r="K6800" s="142">
        <v>0</v>
      </c>
      <c r="L6800" s="142">
        <v>1</v>
      </c>
      <c r="M6800" s="142">
        <v>0</v>
      </c>
    </row>
    <row r="6801" spans="1:13" x14ac:dyDescent="0.45">
      <c r="A6801" s="142" t="s">
        <v>13027</v>
      </c>
      <c r="B6801" s="142" t="s">
        <v>14562</v>
      </c>
      <c r="C6801" s="142" t="s">
        <v>15847</v>
      </c>
      <c r="D6801" s="142" t="s">
        <v>15848</v>
      </c>
      <c r="E6801" s="142" t="s">
        <v>15849</v>
      </c>
      <c r="F6801" s="142" t="s">
        <v>10393</v>
      </c>
      <c r="G6801" s="142" t="s">
        <v>10392</v>
      </c>
      <c r="H6801" s="142" t="s">
        <v>22651</v>
      </c>
      <c r="I6801" s="142">
        <v>92</v>
      </c>
      <c r="J6801" s="142">
        <v>0</v>
      </c>
      <c r="K6801" s="142">
        <v>0</v>
      </c>
      <c r="L6801" s="142">
        <v>92</v>
      </c>
      <c r="M6801" s="142">
        <v>0</v>
      </c>
    </row>
    <row r="6802" spans="1:13" x14ac:dyDescent="0.45">
      <c r="A6802" s="142" t="s">
        <v>13148</v>
      </c>
      <c r="B6802" s="142" t="s">
        <v>15314</v>
      </c>
      <c r="C6802" s="142" t="s">
        <v>15847</v>
      </c>
      <c r="D6802" s="142" t="s">
        <v>15848</v>
      </c>
      <c r="E6802" s="142" t="s">
        <v>15849</v>
      </c>
      <c r="F6802" s="142" t="s">
        <v>10393</v>
      </c>
      <c r="G6802" s="142" t="s">
        <v>10392</v>
      </c>
      <c r="H6802" s="142" t="s">
        <v>22652</v>
      </c>
      <c r="I6802" s="142">
        <v>503</v>
      </c>
      <c r="J6802" s="142">
        <v>433</v>
      </c>
      <c r="K6802" s="142">
        <v>0</v>
      </c>
      <c r="L6802" s="142">
        <v>10</v>
      </c>
      <c r="M6802" s="142">
        <v>60</v>
      </c>
    </row>
    <row r="6803" spans="1:13" x14ac:dyDescent="0.45">
      <c r="A6803" s="142" t="s">
        <v>13001</v>
      </c>
      <c r="B6803" s="142" t="s">
        <v>15506</v>
      </c>
      <c r="C6803" s="142" t="s">
        <v>15847</v>
      </c>
      <c r="D6803" s="142" t="s">
        <v>15848</v>
      </c>
      <c r="E6803" s="142" t="s">
        <v>15849</v>
      </c>
      <c r="F6803" s="142" t="s">
        <v>10393</v>
      </c>
      <c r="G6803" s="142" t="s">
        <v>10392</v>
      </c>
      <c r="H6803" s="142" t="s">
        <v>22653</v>
      </c>
      <c r="I6803" s="142">
        <v>46</v>
      </c>
      <c r="J6803" s="142">
        <v>36</v>
      </c>
      <c r="K6803" s="142">
        <v>0</v>
      </c>
      <c r="L6803" s="142">
        <v>10</v>
      </c>
      <c r="M6803" s="142">
        <v>0</v>
      </c>
    </row>
    <row r="6804" spans="1:13" x14ac:dyDescent="0.45">
      <c r="A6804" s="142" t="s">
        <v>13028</v>
      </c>
      <c r="B6804" s="142" t="s">
        <v>14462</v>
      </c>
      <c r="C6804" s="142" t="s">
        <v>15847</v>
      </c>
      <c r="D6804" s="142" t="s">
        <v>15848</v>
      </c>
      <c r="E6804" s="142" t="s">
        <v>15849</v>
      </c>
      <c r="F6804" s="142" t="s">
        <v>10393</v>
      </c>
      <c r="G6804" s="142" t="s">
        <v>10392</v>
      </c>
      <c r="H6804" s="142" t="s">
        <v>22654</v>
      </c>
      <c r="I6804" s="142">
        <v>6</v>
      </c>
      <c r="J6804" s="142">
        <v>0</v>
      </c>
      <c r="K6804" s="142">
        <v>0</v>
      </c>
      <c r="L6804" s="142">
        <v>0</v>
      </c>
      <c r="M6804" s="142">
        <v>6</v>
      </c>
    </row>
    <row r="6805" spans="1:13" x14ac:dyDescent="0.45">
      <c r="A6805" s="142" t="s">
        <v>13160</v>
      </c>
      <c r="B6805" s="142" t="s">
        <v>14525</v>
      </c>
      <c r="C6805" s="142" t="s">
        <v>15847</v>
      </c>
      <c r="D6805" s="142" t="s">
        <v>15848</v>
      </c>
      <c r="E6805" s="142" t="s">
        <v>15849</v>
      </c>
      <c r="F6805" s="142" t="s">
        <v>10393</v>
      </c>
      <c r="G6805" s="142" t="s">
        <v>10392</v>
      </c>
      <c r="H6805" s="142" t="s">
        <v>22655</v>
      </c>
      <c r="I6805" s="142">
        <v>14</v>
      </c>
      <c r="J6805" s="142">
        <v>0</v>
      </c>
      <c r="K6805" s="142">
        <v>0</v>
      </c>
      <c r="L6805" s="142">
        <v>14</v>
      </c>
      <c r="M6805" s="142">
        <v>0</v>
      </c>
    </row>
    <row r="6806" spans="1:13" x14ac:dyDescent="0.45">
      <c r="A6806" s="142" t="s">
        <v>13003</v>
      </c>
      <c r="B6806" s="142" t="s">
        <v>15245</v>
      </c>
      <c r="C6806" s="142" t="s">
        <v>15847</v>
      </c>
      <c r="D6806" s="142" t="s">
        <v>15848</v>
      </c>
      <c r="E6806" s="142" t="s">
        <v>15849</v>
      </c>
      <c r="F6806" s="142" t="s">
        <v>10393</v>
      </c>
      <c r="G6806" s="142" t="s">
        <v>10392</v>
      </c>
      <c r="H6806" s="142" t="s">
        <v>22656</v>
      </c>
      <c r="I6806" s="142">
        <v>122</v>
      </c>
      <c r="J6806" s="142">
        <v>0</v>
      </c>
      <c r="K6806" s="142">
        <v>0</v>
      </c>
      <c r="L6806" s="142">
        <v>122</v>
      </c>
      <c r="M6806" s="142">
        <v>0</v>
      </c>
    </row>
    <row r="6807" spans="1:13" x14ac:dyDescent="0.45">
      <c r="A6807" s="142" t="s">
        <v>13420</v>
      </c>
      <c r="B6807" s="142" t="s">
        <v>14576</v>
      </c>
      <c r="C6807" s="142" t="s">
        <v>15860</v>
      </c>
      <c r="D6807" s="142" t="s">
        <v>15861</v>
      </c>
      <c r="E6807" s="142" t="s">
        <v>15849</v>
      </c>
      <c r="F6807" s="142" t="s">
        <v>10393</v>
      </c>
      <c r="G6807" s="142" t="s">
        <v>10392</v>
      </c>
      <c r="H6807" s="142" t="s">
        <v>22657</v>
      </c>
      <c r="I6807" s="142">
        <v>11</v>
      </c>
      <c r="J6807" s="142">
        <v>0</v>
      </c>
      <c r="K6807" s="142">
        <v>0</v>
      </c>
      <c r="L6807" s="142">
        <v>11</v>
      </c>
      <c r="M6807" s="142">
        <v>0</v>
      </c>
    </row>
    <row r="6808" spans="1:13" x14ac:dyDescent="0.45">
      <c r="A6808" s="142" t="s">
        <v>13323</v>
      </c>
      <c r="B6808" s="142" t="s">
        <v>15466</v>
      </c>
      <c r="C6808" s="142" t="s">
        <v>15847</v>
      </c>
      <c r="D6808" s="142" t="s">
        <v>15848</v>
      </c>
      <c r="E6808" s="142" t="s">
        <v>15849</v>
      </c>
      <c r="F6808" s="142" t="s">
        <v>10393</v>
      </c>
      <c r="G6808" s="142" t="s">
        <v>10392</v>
      </c>
      <c r="H6808" s="142" t="s">
        <v>22658</v>
      </c>
      <c r="I6808" s="142">
        <v>37</v>
      </c>
      <c r="J6808" s="142">
        <v>37</v>
      </c>
      <c r="K6808" s="142">
        <v>0</v>
      </c>
      <c r="L6808" s="142">
        <v>0</v>
      </c>
      <c r="M6808" s="142">
        <v>0</v>
      </c>
    </row>
    <row r="6809" spans="1:13" x14ac:dyDescent="0.45">
      <c r="A6809" s="142" t="s">
        <v>13032</v>
      </c>
      <c r="B6809" s="142" t="s">
        <v>14532</v>
      </c>
      <c r="C6809" s="142" t="s">
        <v>15860</v>
      </c>
      <c r="D6809" s="142" t="s">
        <v>15861</v>
      </c>
      <c r="E6809" s="142" t="s">
        <v>15849</v>
      </c>
      <c r="F6809" s="142" t="s">
        <v>10393</v>
      </c>
      <c r="G6809" s="142" t="s">
        <v>10392</v>
      </c>
      <c r="H6809" s="142" t="s">
        <v>22659</v>
      </c>
      <c r="I6809" s="142">
        <v>3</v>
      </c>
      <c r="J6809" s="142">
        <v>0</v>
      </c>
      <c r="K6809" s="142">
        <v>0</v>
      </c>
      <c r="L6809" s="142">
        <v>3</v>
      </c>
      <c r="M6809" s="142">
        <v>0</v>
      </c>
    </row>
    <row r="6810" spans="1:13" x14ac:dyDescent="0.45">
      <c r="A6810" s="142" t="s">
        <v>13033</v>
      </c>
      <c r="B6810" s="142" t="s">
        <v>15276</v>
      </c>
      <c r="C6810" s="142" t="s">
        <v>15847</v>
      </c>
      <c r="D6810" s="142" t="s">
        <v>15848</v>
      </c>
      <c r="E6810" s="142" t="s">
        <v>15849</v>
      </c>
      <c r="F6810" s="142" t="s">
        <v>10393</v>
      </c>
      <c r="G6810" s="142" t="s">
        <v>10392</v>
      </c>
      <c r="H6810" s="142" t="s">
        <v>22660</v>
      </c>
      <c r="I6810" s="142">
        <v>207</v>
      </c>
      <c r="J6810" s="142">
        <v>167</v>
      </c>
      <c r="K6810" s="142">
        <v>0</v>
      </c>
      <c r="L6810" s="142">
        <v>40</v>
      </c>
      <c r="M6810" s="142">
        <v>0</v>
      </c>
    </row>
    <row r="6811" spans="1:13" x14ac:dyDescent="0.45">
      <c r="A6811" s="142" t="s">
        <v>13034</v>
      </c>
      <c r="B6811" s="142" t="s">
        <v>15562</v>
      </c>
      <c r="C6811" s="142" t="s">
        <v>15847</v>
      </c>
      <c r="D6811" s="142" t="s">
        <v>15848</v>
      </c>
      <c r="E6811" s="142" t="s">
        <v>15849</v>
      </c>
      <c r="F6811" s="142" t="s">
        <v>10393</v>
      </c>
      <c r="G6811" s="142" t="s">
        <v>10392</v>
      </c>
      <c r="H6811" s="142" t="s">
        <v>22661</v>
      </c>
      <c r="I6811" s="142">
        <v>48</v>
      </c>
      <c r="J6811" s="142">
        <v>0</v>
      </c>
      <c r="K6811" s="142">
        <v>0</v>
      </c>
      <c r="L6811" s="142">
        <v>48</v>
      </c>
      <c r="M6811" s="142">
        <v>0</v>
      </c>
    </row>
    <row r="6812" spans="1:13" x14ac:dyDescent="0.45">
      <c r="A6812" s="142" t="s">
        <v>13036</v>
      </c>
      <c r="B6812" s="142" t="s">
        <v>15567</v>
      </c>
      <c r="C6812" s="142" t="s">
        <v>15847</v>
      </c>
      <c r="D6812" s="142" t="s">
        <v>15848</v>
      </c>
      <c r="E6812" s="142" t="s">
        <v>15849</v>
      </c>
      <c r="F6812" s="142" t="s">
        <v>10393</v>
      </c>
      <c r="G6812" s="142" t="s">
        <v>10392</v>
      </c>
      <c r="H6812" s="142" t="s">
        <v>22662</v>
      </c>
      <c r="I6812" s="142">
        <v>18</v>
      </c>
      <c r="J6812" s="142">
        <v>0</v>
      </c>
      <c r="K6812" s="142">
        <v>0</v>
      </c>
      <c r="L6812" s="142">
        <v>18</v>
      </c>
      <c r="M6812" s="142">
        <v>0</v>
      </c>
    </row>
    <row r="6813" spans="1:13" x14ac:dyDescent="0.45">
      <c r="A6813" s="142" t="s">
        <v>13078</v>
      </c>
      <c r="B6813" s="142" t="s">
        <v>15540</v>
      </c>
      <c r="C6813" s="142" t="s">
        <v>15847</v>
      </c>
      <c r="D6813" s="142" t="s">
        <v>15848</v>
      </c>
      <c r="E6813" s="142" t="s">
        <v>15849</v>
      </c>
      <c r="F6813" s="142" t="s">
        <v>10393</v>
      </c>
      <c r="G6813" s="142" t="s">
        <v>10392</v>
      </c>
      <c r="H6813" s="142" t="s">
        <v>22663</v>
      </c>
      <c r="I6813" s="142">
        <v>8</v>
      </c>
      <c r="J6813" s="142">
        <v>0</v>
      </c>
      <c r="K6813" s="142">
        <v>0</v>
      </c>
      <c r="L6813" s="142">
        <v>8</v>
      </c>
      <c r="M6813" s="142">
        <v>0</v>
      </c>
    </row>
    <row r="6814" spans="1:13" x14ac:dyDescent="0.45">
      <c r="A6814" s="142" t="s">
        <v>13091</v>
      </c>
      <c r="B6814" s="142" t="s">
        <v>14473</v>
      </c>
      <c r="C6814" s="142" t="s">
        <v>15847</v>
      </c>
      <c r="D6814" s="142" t="s">
        <v>15848</v>
      </c>
      <c r="E6814" s="142" t="s">
        <v>15849</v>
      </c>
      <c r="F6814" s="142" t="s">
        <v>10393</v>
      </c>
      <c r="G6814" s="142" t="s">
        <v>10392</v>
      </c>
      <c r="H6814" s="142" t="s">
        <v>22664</v>
      </c>
      <c r="I6814" s="142">
        <v>73</v>
      </c>
      <c r="J6814" s="142">
        <v>62</v>
      </c>
      <c r="K6814" s="142">
        <v>0</v>
      </c>
      <c r="L6814" s="142">
        <v>0</v>
      </c>
      <c r="M6814" s="142">
        <v>11</v>
      </c>
    </row>
    <row r="6815" spans="1:13" x14ac:dyDescent="0.45">
      <c r="A6815" s="142" t="s">
        <v>13009</v>
      </c>
      <c r="B6815" s="142" t="s">
        <v>15256</v>
      </c>
      <c r="C6815" s="142" t="s">
        <v>15847</v>
      </c>
      <c r="D6815" s="142" t="s">
        <v>15848</v>
      </c>
      <c r="E6815" s="142" t="s">
        <v>15849</v>
      </c>
      <c r="F6815" s="142" t="s">
        <v>10393</v>
      </c>
      <c r="G6815" s="142" t="s">
        <v>10392</v>
      </c>
      <c r="H6815" s="142" t="s">
        <v>22665</v>
      </c>
      <c r="I6815" s="142">
        <v>730</v>
      </c>
      <c r="J6815" s="142">
        <v>454</v>
      </c>
      <c r="K6815" s="142">
        <v>0</v>
      </c>
      <c r="L6815" s="142">
        <v>214</v>
      </c>
      <c r="M6815" s="142">
        <v>62</v>
      </c>
    </row>
    <row r="6816" spans="1:13" x14ac:dyDescent="0.45">
      <c r="A6816" s="142" t="s">
        <v>13152</v>
      </c>
      <c r="B6816" s="142" t="s">
        <v>15249</v>
      </c>
      <c r="C6816" s="142" t="s">
        <v>15847</v>
      </c>
      <c r="D6816" s="142" t="s">
        <v>15848</v>
      </c>
      <c r="E6816" s="142" t="s">
        <v>15849</v>
      </c>
      <c r="F6816" s="142" t="s">
        <v>10393</v>
      </c>
      <c r="G6816" s="142" t="s">
        <v>10392</v>
      </c>
      <c r="H6816" s="142" t="s">
        <v>22666</v>
      </c>
      <c r="I6816" s="142">
        <v>1176</v>
      </c>
      <c r="J6816" s="142">
        <v>966</v>
      </c>
      <c r="K6816" s="142">
        <v>0</v>
      </c>
      <c r="L6816" s="142">
        <v>170</v>
      </c>
      <c r="M6816" s="142">
        <v>40</v>
      </c>
    </row>
    <row r="6817" spans="1:13" x14ac:dyDescent="0.45">
      <c r="A6817" s="142" t="s">
        <v>13012</v>
      </c>
      <c r="B6817" s="142" t="s">
        <v>15337</v>
      </c>
      <c r="C6817" s="142" t="s">
        <v>15847</v>
      </c>
      <c r="D6817" s="142" t="s">
        <v>15848</v>
      </c>
      <c r="E6817" s="142" t="s">
        <v>15849</v>
      </c>
      <c r="F6817" s="142" t="s">
        <v>10393</v>
      </c>
      <c r="G6817" s="142" t="s">
        <v>10392</v>
      </c>
      <c r="H6817" s="142" t="s">
        <v>22667</v>
      </c>
      <c r="I6817" s="142">
        <v>36</v>
      </c>
      <c r="J6817" s="142">
        <v>30</v>
      </c>
      <c r="K6817" s="142">
        <v>0</v>
      </c>
      <c r="L6817" s="142">
        <v>0</v>
      </c>
      <c r="M6817" s="142">
        <v>6</v>
      </c>
    </row>
    <row r="6818" spans="1:13" x14ac:dyDescent="0.45">
      <c r="A6818" s="142" t="s">
        <v>13153</v>
      </c>
      <c r="B6818" s="142" t="s">
        <v>14469</v>
      </c>
      <c r="C6818" s="142" t="s">
        <v>15860</v>
      </c>
      <c r="D6818" s="142" t="s">
        <v>15861</v>
      </c>
      <c r="E6818" s="142" t="s">
        <v>15849</v>
      </c>
      <c r="F6818" s="142" t="s">
        <v>10393</v>
      </c>
      <c r="G6818" s="142" t="s">
        <v>10392</v>
      </c>
      <c r="H6818" s="142" t="s">
        <v>22668</v>
      </c>
      <c r="I6818" s="142">
        <v>18</v>
      </c>
      <c r="J6818" s="142">
        <v>0</v>
      </c>
      <c r="K6818" s="142">
        <v>0</v>
      </c>
      <c r="L6818" s="142">
        <v>18</v>
      </c>
      <c r="M6818" s="142">
        <v>0</v>
      </c>
    </row>
    <row r="6819" spans="1:13" x14ac:dyDescent="0.45">
      <c r="A6819" s="142" t="s">
        <v>13014</v>
      </c>
      <c r="B6819" s="142" t="s">
        <v>14505</v>
      </c>
      <c r="C6819" s="142" t="s">
        <v>15847</v>
      </c>
      <c r="D6819" s="142" t="s">
        <v>15848</v>
      </c>
      <c r="E6819" s="142" t="s">
        <v>15849</v>
      </c>
      <c r="F6819" s="142" t="s">
        <v>10393</v>
      </c>
      <c r="G6819" s="142" t="s">
        <v>10392</v>
      </c>
      <c r="H6819" s="142" t="s">
        <v>22669</v>
      </c>
      <c r="I6819" s="142">
        <v>760</v>
      </c>
      <c r="J6819" s="142">
        <v>586</v>
      </c>
      <c r="K6819" s="142">
        <v>0</v>
      </c>
      <c r="L6819" s="142">
        <v>125</v>
      </c>
      <c r="M6819" s="142">
        <v>49</v>
      </c>
    </row>
    <row r="6820" spans="1:13" x14ac:dyDescent="0.45">
      <c r="A6820" s="142" t="s">
        <v>13154</v>
      </c>
      <c r="B6820" s="142" t="s">
        <v>15415</v>
      </c>
      <c r="C6820" s="142" t="s">
        <v>15847</v>
      </c>
      <c r="D6820" s="142" t="s">
        <v>15848</v>
      </c>
      <c r="E6820" s="142" t="s">
        <v>15849</v>
      </c>
      <c r="F6820" s="142" t="s">
        <v>10393</v>
      </c>
      <c r="G6820" s="142" t="s">
        <v>10392</v>
      </c>
      <c r="H6820" s="142" t="s">
        <v>22670</v>
      </c>
      <c r="I6820" s="142">
        <v>568</v>
      </c>
      <c r="J6820" s="142">
        <v>403</v>
      </c>
      <c r="K6820" s="142">
        <v>0</v>
      </c>
      <c r="L6820" s="142">
        <v>139</v>
      </c>
      <c r="M6820" s="142">
        <v>26</v>
      </c>
    </row>
    <row r="6821" spans="1:13" x14ac:dyDescent="0.45">
      <c r="A6821" s="142" t="s">
        <v>13155</v>
      </c>
      <c r="B6821" s="142" t="s">
        <v>15455</v>
      </c>
      <c r="C6821" s="142" t="s">
        <v>15847</v>
      </c>
      <c r="D6821" s="142" t="s">
        <v>15848</v>
      </c>
      <c r="E6821" s="142" t="s">
        <v>15849</v>
      </c>
      <c r="F6821" s="142" t="s">
        <v>10393</v>
      </c>
      <c r="G6821" s="142" t="s">
        <v>10392</v>
      </c>
      <c r="H6821" s="142" t="s">
        <v>22671</v>
      </c>
      <c r="I6821" s="142">
        <v>167</v>
      </c>
      <c r="J6821" s="142">
        <v>119</v>
      </c>
      <c r="K6821" s="142">
        <v>0</v>
      </c>
      <c r="L6821" s="142">
        <v>0</v>
      </c>
      <c r="M6821" s="142">
        <v>48</v>
      </c>
    </row>
    <row r="6822" spans="1:13" x14ac:dyDescent="0.45">
      <c r="A6822" s="142" t="s">
        <v>13157</v>
      </c>
      <c r="B6822" s="142" t="s">
        <v>15477</v>
      </c>
      <c r="C6822" s="142" t="s">
        <v>15847</v>
      </c>
      <c r="D6822" s="142" t="s">
        <v>15848</v>
      </c>
      <c r="E6822" s="142" t="s">
        <v>15849</v>
      </c>
      <c r="F6822" s="142" t="s">
        <v>10393</v>
      </c>
      <c r="G6822" s="142" t="s">
        <v>10392</v>
      </c>
      <c r="H6822" s="142" t="s">
        <v>22672</v>
      </c>
      <c r="I6822" s="142">
        <v>190</v>
      </c>
      <c r="J6822" s="142">
        <v>175</v>
      </c>
      <c r="K6822" s="142">
        <v>0</v>
      </c>
      <c r="L6822" s="142">
        <v>0</v>
      </c>
      <c r="M6822" s="142">
        <v>15</v>
      </c>
    </row>
    <row r="6823" spans="1:13" x14ac:dyDescent="0.45">
      <c r="A6823" s="142" t="s">
        <v>13021</v>
      </c>
      <c r="B6823" s="142" t="s">
        <v>15501</v>
      </c>
      <c r="C6823" s="142" t="s">
        <v>15847</v>
      </c>
      <c r="D6823" s="142" t="s">
        <v>15848</v>
      </c>
      <c r="E6823" s="142" t="s">
        <v>15849</v>
      </c>
      <c r="F6823" s="142" t="s">
        <v>8779</v>
      </c>
      <c r="G6823" s="142" t="s">
        <v>8778</v>
      </c>
      <c r="H6823" s="142" t="s">
        <v>22673</v>
      </c>
      <c r="I6823" s="142">
        <v>8</v>
      </c>
      <c r="J6823" s="142">
        <v>0</v>
      </c>
      <c r="K6823" s="142">
        <v>0</v>
      </c>
      <c r="L6823" s="142">
        <v>1</v>
      </c>
      <c r="M6823" s="142">
        <v>7</v>
      </c>
    </row>
    <row r="6824" spans="1:13" x14ac:dyDescent="0.45">
      <c r="A6824" s="142" t="s">
        <v>13022</v>
      </c>
      <c r="B6824" s="142" t="s">
        <v>14634</v>
      </c>
      <c r="C6824" s="142" t="s">
        <v>15847</v>
      </c>
      <c r="D6824" s="142" t="s">
        <v>15848</v>
      </c>
      <c r="E6824" s="142" t="s">
        <v>15849</v>
      </c>
      <c r="F6824" s="142" t="s">
        <v>8779</v>
      </c>
      <c r="G6824" s="142" t="s">
        <v>8778</v>
      </c>
      <c r="H6824" s="142" t="s">
        <v>22674</v>
      </c>
      <c r="I6824" s="142">
        <v>6</v>
      </c>
      <c r="J6824" s="142">
        <v>0</v>
      </c>
      <c r="K6824" s="142">
        <v>0</v>
      </c>
      <c r="L6824" s="142">
        <v>6</v>
      </c>
      <c r="M6824" s="142">
        <v>0</v>
      </c>
    </row>
    <row r="6825" spans="1:13" x14ac:dyDescent="0.45">
      <c r="A6825" s="142" t="s">
        <v>13023</v>
      </c>
      <c r="B6825" s="142" t="s">
        <v>15571</v>
      </c>
      <c r="C6825" s="142" t="s">
        <v>15847</v>
      </c>
      <c r="D6825" s="142" t="s">
        <v>15848</v>
      </c>
      <c r="E6825" s="142" t="s">
        <v>15849</v>
      </c>
      <c r="F6825" s="142" t="s">
        <v>8779</v>
      </c>
      <c r="G6825" s="142" t="s">
        <v>8778</v>
      </c>
      <c r="H6825" s="142" t="s">
        <v>22675</v>
      </c>
      <c r="I6825" s="142">
        <v>20</v>
      </c>
      <c r="J6825" s="142">
        <v>0</v>
      </c>
      <c r="K6825" s="142">
        <v>0</v>
      </c>
      <c r="L6825" s="142">
        <v>20</v>
      </c>
      <c r="M6825" s="142">
        <v>0</v>
      </c>
    </row>
    <row r="6826" spans="1:13" x14ac:dyDescent="0.45">
      <c r="A6826" s="142" t="s">
        <v>14077</v>
      </c>
      <c r="B6826" s="142" t="s">
        <v>15551</v>
      </c>
      <c r="C6826" s="142" t="s">
        <v>15860</v>
      </c>
      <c r="D6826" s="142" t="s">
        <v>15861</v>
      </c>
      <c r="E6826" s="142" t="s">
        <v>15849</v>
      </c>
      <c r="F6826" s="142" t="s">
        <v>8779</v>
      </c>
      <c r="G6826" s="142" t="s">
        <v>8778</v>
      </c>
      <c r="H6826" s="142" t="s">
        <v>22676</v>
      </c>
      <c r="I6826" s="142">
        <v>23</v>
      </c>
      <c r="J6826" s="142">
        <v>0</v>
      </c>
      <c r="K6826" s="142">
        <v>0</v>
      </c>
      <c r="L6826" s="142">
        <v>23</v>
      </c>
      <c r="M6826" s="142">
        <v>0</v>
      </c>
    </row>
    <row r="6827" spans="1:13" x14ac:dyDescent="0.45">
      <c r="A6827" s="142" t="s">
        <v>13235</v>
      </c>
      <c r="B6827" s="142" t="s">
        <v>14573</v>
      </c>
      <c r="C6827" s="142" t="s">
        <v>15847</v>
      </c>
      <c r="D6827" s="142" t="s">
        <v>15848</v>
      </c>
      <c r="E6827" s="142" t="s">
        <v>15849</v>
      </c>
      <c r="F6827" s="142" t="s">
        <v>8779</v>
      </c>
      <c r="G6827" s="142" t="s">
        <v>8778</v>
      </c>
      <c r="H6827" s="142" t="s">
        <v>22677</v>
      </c>
      <c r="I6827" s="142">
        <v>91</v>
      </c>
      <c r="J6827" s="142">
        <v>45</v>
      </c>
      <c r="K6827" s="142">
        <v>0</v>
      </c>
      <c r="L6827" s="142">
        <v>0</v>
      </c>
      <c r="M6827" s="142">
        <v>46</v>
      </c>
    </row>
    <row r="6828" spans="1:13" x14ac:dyDescent="0.45">
      <c r="A6828" s="142" t="s">
        <v>14143</v>
      </c>
      <c r="B6828" s="142" t="s">
        <v>14624</v>
      </c>
      <c r="C6828" s="142" t="s">
        <v>15860</v>
      </c>
      <c r="D6828" s="142" t="s">
        <v>15861</v>
      </c>
      <c r="E6828" s="142" t="s">
        <v>15849</v>
      </c>
      <c r="F6828" s="142" t="s">
        <v>8779</v>
      </c>
      <c r="G6828" s="142" t="s">
        <v>8778</v>
      </c>
      <c r="H6828" s="142" t="s">
        <v>22678</v>
      </c>
      <c r="I6828" s="142">
        <v>12</v>
      </c>
      <c r="J6828" s="142">
        <v>12</v>
      </c>
      <c r="K6828" s="142">
        <v>0</v>
      </c>
      <c r="L6828" s="142">
        <v>0</v>
      </c>
      <c r="M6828" s="142">
        <v>0</v>
      </c>
    </row>
    <row r="6829" spans="1:13" x14ac:dyDescent="0.45">
      <c r="A6829" s="142" t="s">
        <v>13237</v>
      </c>
      <c r="B6829" s="142" t="s">
        <v>14643</v>
      </c>
      <c r="C6829" s="142" t="s">
        <v>15847</v>
      </c>
      <c r="D6829" s="142" t="s">
        <v>15848</v>
      </c>
      <c r="E6829" s="142" t="s">
        <v>15849</v>
      </c>
      <c r="F6829" s="142" t="s">
        <v>8779</v>
      </c>
      <c r="G6829" s="142" t="s">
        <v>8778</v>
      </c>
      <c r="H6829" s="142" t="s">
        <v>22679</v>
      </c>
      <c r="I6829" s="142">
        <v>172</v>
      </c>
      <c r="J6829" s="142">
        <v>115</v>
      </c>
      <c r="K6829" s="142">
        <v>0</v>
      </c>
      <c r="L6829" s="142">
        <v>0</v>
      </c>
      <c r="M6829" s="142">
        <v>57</v>
      </c>
    </row>
    <row r="6830" spans="1:13" x14ac:dyDescent="0.45">
      <c r="A6830" s="142" t="s">
        <v>13000</v>
      </c>
      <c r="B6830" s="142" t="s">
        <v>14610</v>
      </c>
      <c r="C6830" s="142" t="s">
        <v>15847</v>
      </c>
      <c r="D6830" s="142" t="s">
        <v>15848</v>
      </c>
      <c r="E6830" s="142" t="s">
        <v>15849</v>
      </c>
      <c r="F6830" s="142" t="s">
        <v>8779</v>
      </c>
      <c r="G6830" s="142" t="s">
        <v>8778</v>
      </c>
      <c r="H6830" s="142" t="s">
        <v>22680</v>
      </c>
      <c r="I6830" s="142">
        <v>678</v>
      </c>
      <c r="J6830" s="142">
        <v>581</v>
      </c>
      <c r="K6830" s="142">
        <v>0</v>
      </c>
      <c r="L6830" s="142">
        <v>0</v>
      </c>
      <c r="M6830" s="142">
        <v>97</v>
      </c>
    </row>
    <row r="6831" spans="1:13" x14ac:dyDescent="0.45">
      <c r="A6831" s="142" t="s">
        <v>14144</v>
      </c>
      <c r="B6831" s="142" t="s">
        <v>14754</v>
      </c>
      <c r="C6831" s="142" t="s">
        <v>15860</v>
      </c>
      <c r="D6831" s="142" t="s">
        <v>15861</v>
      </c>
      <c r="E6831" s="142" t="s">
        <v>15849</v>
      </c>
      <c r="F6831" s="142" t="s">
        <v>8779</v>
      </c>
      <c r="G6831" s="142" t="s">
        <v>8778</v>
      </c>
      <c r="H6831" s="142" t="s">
        <v>22681</v>
      </c>
      <c r="I6831" s="142">
        <v>16</v>
      </c>
      <c r="J6831" s="142">
        <v>16</v>
      </c>
      <c r="K6831" s="142">
        <v>0</v>
      </c>
      <c r="L6831" s="142">
        <v>0</v>
      </c>
      <c r="M6831" s="142">
        <v>0</v>
      </c>
    </row>
    <row r="6832" spans="1:13" x14ac:dyDescent="0.45">
      <c r="A6832" s="142" t="s">
        <v>13238</v>
      </c>
      <c r="B6832" s="142" t="s">
        <v>14477</v>
      </c>
      <c r="C6832" s="142" t="s">
        <v>15860</v>
      </c>
      <c r="D6832" s="142" t="s">
        <v>15861</v>
      </c>
      <c r="E6832" s="142" t="s">
        <v>15849</v>
      </c>
      <c r="F6832" s="142" t="s">
        <v>8779</v>
      </c>
      <c r="G6832" s="142" t="s">
        <v>8778</v>
      </c>
      <c r="H6832" s="142" t="s">
        <v>22682</v>
      </c>
      <c r="I6832" s="142">
        <v>17</v>
      </c>
      <c r="J6832" s="142">
        <v>0</v>
      </c>
      <c r="K6832" s="142">
        <v>0</v>
      </c>
      <c r="L6832" s="142">
        <v>17</v>
      </c>
      <c r="M6832" s="142">
        <v>0</v>
      </c>
    </row>
    <row r="6833" spans="1:13" x14ac:dyDescent="0.45">
      <c r="A6833" s="142" t="s">
        <v>13027</v>
      </c>
      <c r="B6833" s="142" t="s">
        <v>14562</v>
      </c>
      <c r="C6833" s="142" t="s">
        <v>15847</v>
      </c>
      <c r="D6833" s="142" t="s">
        <v>15848</v>
      </c>
      <c r="E6833" s="142" t="s">
        <v>15849</v>
      </c>
      <c r="F6833" s="142" t="s">
        <v>8779</v>
      </c>
      <c r="G6833" s="142" t="s">
        <v>8778</v>
      </c>
      <c r="H6833" s="142" t="s">
        <v>22683</v>
      </c>
      <c r="I6833" s="142">
        <v>14</v>
      </c>
      <c r="J6833" s="142">
        <v>0</v>
      </c>
      <c r="K6833" s="142">
        <v>0</v>
      </c>
      <c r="L6833" s="142">
        <v>14</v>
      </c>
      <c r="M6833" s="142">
        <v>0</v>
      </c>
    </row>
    <row r="6834" spans="1:13" x14ac:dyDescent="0.45">
      <c r="A6834" s="142" t="s">
        <v>13028</v>
      </c>
      <c r="B6834" s="142" t="s">
        <v>14462</v>
      </c>
      <c r="C6834" s="142" t="s">
        <v>15847</v>
      </c>
      <c r="D6834" s="142" t="s">
        <v>15848</v>
      </c>
      <c r="E6834" s="142" t="s">
        <v>15849</v>
      </c>
      <c r="F6834" s="142" t="s">
        <v>8779</v>
      </c>
      <c r="G6834" s="142" t="s">
        <v>8778</v>
      </c>
      <c r="H6834" s="142" t="s">
        <v>22684</v>
      </c>
      <c r="I6834" s="142">
        <v>22</v>
      </c>
      <c r="J6834" s="142">
        <v>0</v>
      </c>
      <c r="K6834" s="142">
        <v>0</v>
      </c>
      <c r="L6834" s="142">
        <v>0</v>
      </c>
      <c r="M6834" s="142">
        <v>22</v>
      </c>
    </row>
    <row r="6835" spans="1:13" x14ac:dyDescent="0.45">
      <c r="A6835" s="142" t="s">
        <v>13003</v>
      </c>
      <c r="B6835" s="142" t="s">
        <v>15245</v>
      </c>
      <c r="C6835" s="142" t="s">
        <v>15847</v>
      </c>
      <c r="D6835" s="142" t="s">
        <v>15848</v>
      </c>
      <c r="E6835" s="142" t="s">
        <v>15849</v>
      </c>
      <c r="F6835" s="142" t="s">
        <v>8779</v>
      </c>
      <c r="G6835" s="142" t="s">
        <v>8778</v>
      </c>
      <c r="H6835" s="142" t="s">
        <v>22685</v>
      </c>
      <c r="I6835" s="142">
        <v>107</v>
      </c>
      <c r="J6835" s="142">
        <v>0</v>
      </c>
      <c r="K6835" s="142">
        <v>0</v>
      </c>
      <c r="L6835" s="142">
        <v>87</v>
      </c>
      <c r="M6835" s="142">
        <v>20</v>
      </c>
    </row>
    <row r="6836" spans="1:13" x14ac:dyDescent="0.45">
      <c r="A6836" s="142" t="s">
        <v>13005</v>
      </c>
      <c r="B6836" s="142" t="s">
        <v>15475</v>
      </c>
      <c r="C6836" s="142" t="s">
        <v>15847</v>
      </c>
      <c r="D6836" s="142" t="s">
        <v>15848</v>
      </c>
      <c r="E6836" s="142" t="s">
        <v>15849</v>
      </c>
      <c r="F6836" s="142" t="s">
        <v>8779</v>
      </c>
      <c r="G6836" s="142" t="s">
        <v>8778</v>
      </c>
      <c r="H6836" s="142" t="s">
        <v>22686</v>
      </c>
      <c r="I6836" s="142">
        <v>309</v>
      </c>
      <c r="J6836" s="142">
        <v>239</v>
      </c>
      <c r="K6836" s="142">
        <v>0</v>
      </c>
      <c r="L6836" s="142">
        <v>0</v>
      </c>
      <c r="M6836" s="142">
        <v>70</v>
      </c>
    </row>
    <row r="6837" spans="1:13" x14ac:dyDescent="0.45">
      <c r="A6837" s="142" t="s">
        <v>13248</v>
      </c>
      <c r="B6837" s="142" t="s">
        <v>15463</v>
      </c>
      <c r="C6837" s="142" t="s">
        <v>15847</v>
      </c>
      <c r="D6837" s="142" t="s">
        <v>15848</v>
      </c>
      <c r="E6837" s="142" t="s">
        <v>15849</v>
      </c>
      <c r="F6837" s="142" t="s">
        <v>8779</v>
      </c>
      <c r="G6837" s="142" t="s">
        <v>8778</v>
      </c>
      <c r="H6837" s="142" t="s">
        <v>22687</v>
      </c>
      <c r="I6837" s="142">
        <v>698</v>
      </c>
      <c r="J6837" s="142">
        <v>545</v>
      </c>
      <c r="K6837" s="142">
        <v>0</v>
      </c>
      <c r="L6837" s="142">
        <v>28</v>
      </c>
      <c r="M6837" s="142">
        <v>125</v>
      </c>
    </row>
    <row r="6838" spans="1:13" x14ac:dyDescent="0.45">
      <c r="A6838" s="142" t="s">
        <v>13008</v>
      </c>
      <c r="B6838" s="142" t="s">
        <v>15411</v>
      </c>
      <c r="C6838" s="142" t="s">
        <v>15847</v>
      </c>
      <c r="D6838" s="142" t="s">
        <v>15848</v>
      </c>
      <c r="E6838" s="142" t="s">
        <v>15849</v>
      </c>
      <c r="F6838" s="142" t="s">
        <v>8779</v>
      </c>
      <c r="G6838" s="142" t="s">
        <v>8778</v>
      </c>
      <c r="H6838" s="142" t="s">
        <v>22688</v>
      </c>
      <c r="I6838" s="142">
        <v>193</v>
      </c>
      <c r="J6838" s="142">
        <v>0</v>
      </c>
      <c r="K6838" s="142">
        <v>0</v>
      </c>
      <c r="L6838" s="142">
        <v>0</v>
      </c>
      <c r="M6838" s="142">
        <v>193</v>
      </c>
    </row>
    <row r="6839" spans="1:13" x14ac:dyDescent="0.45">
      <c r="A6839" s="142" t="s">
        <v>13077</v>
      </c>
      <c r="B6839" s="142" t="s">
        <v>15407</v>
      </c>
      <c r="C6839" s="142" t="s">
        <v>15847</v>
      </c>
      <c r="D6839" s="142" t="s">
        <v>15848</v>
      </c>
      <c r="E6839" s="142" t="s">
        <v>15849</v>
      </c>
      <c r="F6839" s="142" t="s">
        <v>8779</v>
      </c>
      <c r="G6839" s="142" t="s">
        <v>8778</v>
      </c>
      <c r="H6839" s="142" t="s">
        <v>22689</v>
      </c>
      <c r="I6839" s="142">
        <v>1150</v>
      </c>
      <c r="J6839" s="142">
        <v>1065</v>
      </c>
      <c r="K6839" s="142">
        <v>0</v>
      </c>
      <c r="L6839" s="142">
        <v>85</v>
      </c>
      <c r="M6839" s="142">
        <v>0</v>
      </c>
    </row>
    <row r="6840" spans="1:13" x14ac:dyDescent="0.45">
      <c r="A6840" s="142" t="s">
        <v>13055</v>
      </c>
      <c r="B6840" s="142" t="s">
        <v>14595</v>
      </c>
      <c r="C6840" s="142" t="s">
        <v>15847</v>
      </c>
      <c r="D6840" s="142" t="s">
        <v>15848</v>
      </c>
      <c r="E6840" s="142" t="s">
        <v>15849</v>
      </c>
      <c r="F6840" s="142" t="s">
        <v>8779</v>
      </c>
      <c r="G6840" s="142" t="s">
        <v>8778</v>
      </c>
      <c r="H6840" s="142" t="s">
        <v>22690</v>
      </c>
      <c r="I6840" s="142">
        <v>56</v>
      </c>
      <c r="J6840" s="142">
        <v>52</v>
      </c>
      <c r="K6840" s="142">
        <v>0</v>
      </c>
      <c r="L6840" s="142">
        <v>4</v>
      </c>
      <c r="M6840" s="142">
        <v>0</v>
      </c>
    </row>
    <row r="6841" spans="1:13" x14ac:dyDescent="0.45">
      <c r="A6841" s="142" t="s">
        <v>13034</v>
      </c>
      <c r="B6841" s="142" t="s">
        <v>15562</v>
      </c>
      <c r="C6841" s="142" t="s">
        <v>15847</v>
      </c>
      <c r="D6841" s="142" t="s">
        <v>15848</v>
      </c>
      <c r="E6841" s="142" t="s">
        <v>15849</v>
      </c>
      <c r="F6841" s="142" t="s">
        <v>8779</v>
      </c>
      <c r="G6841" s="142" t="s">
        <v>8778</v>
      </c>
      <c r="H6841" s="142" t="s">
        <v>22691</v>
      </c>
      <c r="I6841" s="142">
        <v>24</v>
      </c>
      <c r="J6841" s="142">
        <v>12</v>
      </c>
      <c r="K6841" s="142">
        <v>0</v>
      </c>
      <c r="L6841" s="142">
        <v>0</v>
      </c>
      <c r="M6841" s="142">
        <v>12</v>
      </c>
    </row>
    <row r="6842" spans="1:13" x14ac:dyDescent="0.45">
      <c r="A6842" s="142" t="s">
        <v>13035</v>
      </c>
      <c r="B6842" s="142" t="s">
        <v>14648</v>
      </c>
      <c r="C6842" s="142" t="s">
        <v>15847</v>
      </c>
      <c r="D6842" s="142" t="s">
        <v>15848</v>
      </c>
      <c r="E6842" s="142" t="s">
        <v>15849</v>
      </c>
      <c r="F6842" s="142" t="s">
        <v>8779</v>
      </c>
      <c r="G6842" s="142" t="s">
        <v>8778</v>
      </c>
      <c r="H6842" s="142" t="s">
        <v>22692</v>
      </c>
      <c r="I6842" s="142">
        <v>198</v>
      </c>
      <c r="J6842" s="142">
        <v>118</v>
      </c>
      <c r="K6842" s="142">
        <v>0</v>
      </c>
      <c r="L6842" s="142">
        <v>0</v>
      </c>
      <c r="M6842" s="142">
        <v>80</v>
      </c>
    </row>
    <row r="6843" spans="1:13" x14ac:dyDescent="0.45">
      <c r="A6843" s="142" t="s">
        <v>13105</v>
      </c>
      <c r="B6843" s="142" t="s">
        <v>14654</v>
      </c>
      <c r="C6843" s="142" t="s">
        <v>15847</v>
      </c>
      <c r="D6843" s="142" t="s">
        <v>15848</v>
      </c>
      <c r="E6843" s="142" t="s">
        <v>15849</v>
      </c>
      <c r="F6843" s="142" t="s">
        <v>8779</v>
      </c>
      <c r="G6843" s="142" t="s">
        <v>8778</v>
      </c>
      <c r="H6843" s="142" t="s">
        <v>22693</v>
      </c>
      <c r="I6843" s="142">
        <v>12</v>
      </c>
      <c r="J6843" s="142">
        <v>0</v>
      </c>
      <c r="K6843" s="142">
        <v>0</v>
      </c>
      <c r="L6843" s="142">
        <v>0</v>
      </c>
      <c r="M6843" s="142">
        <v>12</v>
      </c>
    </row>
    <row r="6844" spans="1:13" x14ac:dyDescent="0.45">
      <c r="A6844" s="142" t="s">
        <v>13038</v>
      </c>
      <c r="B6844" s="142" t="s">
        <v>14646</v>
      </c>
      <c r="C6844" s="142" t="s">
        <v>15847</v>
      </c>
      <c r="D6844" s="142" t="s">
        <v>15848</v>
      </c>
      <c r="E6844" s="142" t="s">
        <v>15849</v>
      </c>
      <c r="F6844" s="142" t="s">
        <v>8779</v>
      </c>
      <c r="G6844" s="142" t="s">
        <v>8778</v>
      </c>
      <c r="H6844" s="142" t="s">
        <v>22694</v>
      </c>
      <c r="I6844" s="142">
        <v>27</v>
      </c>
      <c r="J6844" s="142">
        <v>15</v>
      </c>
      <c r="K6844" s="142">
        <v>0</v>
      </c>
      <c r="L6844" s="142">
        <v>0</v>
      </c>
      <c r="M6844" s="142">
        <v>12</v>
      </c>
    </row>
    <row r="6845" spans="1:13" x14ac:dyDescent="0.45">
      <c r="A6845" s="142" t="s">
        <v>13039</v>
      </c>
      <c r="B6845" s="142" t="s">
        <v>14647</v>
      </c>
      <c r="C6845" s="142" t="s">
        <v>15847</v>
      </c>
      <c r="D6845" s="142" t="s">
        <v>15848</v>
      </c>
      <c r="E6845" s="142" t="s">
        <v>15849</v>
      </c>
      <c r="F6845" s="142" t="s">
        <v>8779</v>
      </c>
      <c r="G6845" s="142" t="s">
        <v>8778</v>
      </c>
      <c r="H6845" s="142" t="s">
        <v>22695</v>
      </c>
      <c r="I6845" s="142">
        <v>15</v>
      </c>
      <c r="J6845" s="142">
        <v>15</v>
      </c>
      <c r="K6845" s="142">
        <v>0</v>
      </c>
      <c r="L6845" s="142">
        <v>0</v>
      </c>
      <c r="M6845" s="142">
        <v>0</v>
      </c>
    </row>
    <row r="6846" spans="1:13" x14ac:dyDescent="0.45">
      <c r="A6846" s="142" t="s">
        <v>13091</v>
      </c>
      <c r="B6846" s="142" t="s">
        <v>14473</v>
      </c>
      <c r="C6846" s="142" t="s">
        <v>15847</v>
      </c>
      <c r="D6846" s="142" t="s">
        <v>15848</v>
      </c>
      <c r="E6846" s="142" t="s">
        <v>15849</v>
      </c>
      <c r="F6846" s="142" t="s">
        <v>8779</v>
      </c>
      <c r="G6846" s="142" t="s">
        <v>8778</v>
      </c>
      <c r="H6846" s="142" t="s">
        <v>22696</v>
      </c>
      <c r="I6846" s="142">
        <v>10</v>
      </c>
      <c r="J6846" s="142">
        <v>10</v>
      </c>
      <c r="K6846" s="142">
        <v>0</v>
      </c>
      <c r="L6846" s="142">
        <v>0</v>
      </c>
      <c r="M6846" s="142">
        <v>0</v>
      </c>
    </row>
    <row r="6847" spans="1:13" x14ac:dyDescent="0.45">
      <c r="A6847" s="142" t="s">
        <v>13009</v>
      </c>
      <c r="B6847" s="142" t="s">
        <v>15256</v>
      </c>
      <c r="C6847" s="142" t="s">
        <v>15847</v>
      </c>
      <c r="D6847" s="142" t="s">
        <v>15848</v>
      </c>
      <c r="E6847" s="142" t="s">
        <v>15849</v>
      </c>
      <c r="F6847" s="142" t="s">
        <v>8779</v>
      </c>
      <c r="G6847" s="142" t="s">
        <v>8778</v>
      </c>
      <c r="H6847" s="142" t="s">
        <v>22697</v>
      </c>
      <c r="I6847" s="142">
        <v>123</v>
      </c>
      <c r="J6847" s="142">
        <v>123</v>
      </c>
      <c r="K6847" s="142">
        <v>0</v>
      </c>
      <c r="L6847" s="142">
        <v>0</v>
      </c>
      <c r="M6847" s="142">
        <v>0</v>
      </c>
    </row>
    <row r="6848" spans="1:13" x14ac:dyDescent="0.45">
      <c r="A6848" s="142" t="s">
        <v>13041</v>
      </c>
      <c r="B6848" s="142" t="s">
        <v>14441</v>
      </c>
      <c r="C6848" s="142" t="s">
        <v>15847</v>
      </c>
      <c r="D6848" s="142" t="s">
        <v>15848</v>
      </c>
      <c r="E6848" s="142" t="s">
        <v>15849</v>
      </c>
      <c r="F6848" s="142" t="s">
        <v>8779</v>
      </c>
      <c r="G6848" s="142" t="s">
        <v>8778</v>
      </c>
      <c r="H6848" s="142" t="s">
        <v>22698</v>
      </c>
      <c r="I6848" s="142">
        <v>11</v>
      </c>
      <c r="J6848" s="142">
        <v>0</v>
      </c>
      <c r="K6848" s="142">
        <v>0</v>
      </c>
      <c r="L6848" s="142">
        <v>0</v>
      </c>
      <c r="M6848" s="142">
        <v>11</v>
      </c>
    </row>
    <row r="6849" spans="1:13" x14ac:dyDescent="0.45">
      <c r="A6849" s="142" t="s">
        <v>13012</v>
      </c>
      <c r="B6849" s="142" t="s">
        <v>15337</v>
      </c>
      <c r="C6849" s="142" t="s">
        <v>15847</v>
      </c>
      <c r="D6849" s="142" t="s">
        <v>15848</v>
      </c>
      <c r="E6849" s="142" t="s">
        <v>15849</v>
      </c>
      <c r="F6849" s="142" t="s">
        <v>8779</v>
      </c>
      <c r="G6849" s="142" t="s">
        <v>8778</v>
      </c>
      <c r="H6849" s="142" t="s">
        <v>22699</v>
      </c>
      <c r="I6849" s="142">
        <v>10</v>
      </c>
      <c r="J6849" s="142">
        <v>0</v>
      </c>
      <c r="K6849" s="142">
        <v>0</v>
      </c>
      <c r="L6849" s="142">
        <v>0</v>
      </c>
      <c r="M6849" s="142">
        <v>10</v>
      </c>
    </row>
    <row r="6850" spans="1:13" x14ac:dyDescent="0.45">
      <c r="A6850" s="142" t="s">
        <v>13014</v>
      </c>
      <c r="B6850" s="142" t="s">
        <v>14505</v>
      </c>
      <c r="C6850" s="142" t="s">
        <v>15847</v>
      </c>
      <c r="D6850" s="142" t="s">
        <v>15848</v>
      </c>
      <c r="E6850" s="142" t="s">
        <v>15849</v>
      </c>
      <c r="F6850" s="142" t="s">
        <v>8779</v>
      </c>
      <c r="G6850" s="142" t="s">
        <v>8778</v>
      </c>
      <c r="H6850" s="142" t="s">
        <v>22700</v>
      </c>
      <c r="I6850" s="142">
        <v>11</v>
      </c>
      <c r="J6850" s="142">
        <v>0</v>
      </c>
      <c r="K6850" s="142">
        <v>0</v>
      </c>
      <c r="L6850" s="142">
        <v>0</v>
      </c>
      <c r="M6850" s="142">
        <v>11</v>
      </c>
    </row>
    <row r="6851" spans="1:13" x14ac:dyDescent="0.45">
      <c r="A6851" s="142" t="s">
        <v>13042</v>
      </c>
      <c r="B6851" s="142" t="s">
        <v>15489</v>
      </c>
      <c r="C6851" s="142" t="s">
        <v>15847</v>
      </c>
      <c r="D6851" s="142" t="s">
        <v>15848</v>
      </c>
      <c r="E6851" s="142" t="s">
        <v>15849</v>
      </c>
      <c r="F6851" s="142" t="s">
        <v>8779</v>
      </c>
      <c r="G6851" s="142" t="s">
        <v>8778</v>
      </c>
      <c r="H6851" s="142" t="s">
        <v>22701</v>
      </c>
      <c r="I6851" s="142">
        <v>6</v>
      </c>
      <c r="J6851" s="142">
        <v>0</v>
      </c>
      <c r="K6851" s="142">
        <v>0</v>
      </c>
      <c r="L6851" s="142">
        <v>6</v>
      </c>
      <c r="M6851" s="142">
        <v>0</v>
      </c>
    </row>
    <row r="6852" spans="1:13" x14ac:dyDescent="0.45">
      <c r="A6852" s="142" t="s">
        <v>13267</v>
      </c>
      <c r="B6852" s="142" t="s">
        <v>15451</v>
      </c>
      <c r="C6852" s="142" t="s">
        <v>15847</v>
      </c>
      <c r="D6852" s="142" t="s">
        <v>15848</v>
      </c>
      <c r="E6852" s="142" t="s">
        <v>15849</v>
      </c>
      <c r="F6852" s="142" t="s">
        <v>8779</v>
      </c>
      <c r="G6852" s="142" t="s">
        <v>8778</v>
      </c>
      <c r="H6852" s="142" t="s">
        <v>22702</v>
      </c>
      <c r="I6852" s="142">
        <v>67</v>
      </c>
      <c r="J6852" s="142">
        <v>56</v>
      </c>
      <c r="K6852" s="142">
        <v>0</v>
      </c>
      <c r="L6852" s="142">
        <v>0</v>
      </c>
      <c r="M6852" s="142">
        <v>11</v>
      </c>
    </row>
    <row r="6853" spans="1:13" x14ac:dyDescent="0.45">
      <c r="A6853" s="142" t="s">
        <v>14057</v>
      </c>
      <c r="B6853" s="142" t="s">
        <v>15397</v>
      </c>
      <c r="C6853" s="142" t="s">
        <v>15860</v>
      </c>
      <c r="D6853" s="142" t="s">
        <v>15861</v>
      </c>
      <c r="E6853" s="142" t="s">
        <v>15849</v>
      </c>
      <c r="F6853" s="142" t="s">
        <v>8779</v>
      </c>
      <c r="G6853" s="142" t="s">
        <v>8778</v>
      </c>
      <c r="H6853" s="142" t="s">
        <v>22703</v>
      </c>
      <c r="I6853" s="142">
        <v>21</v>
      </c>
      <c r="J6853" s="142">
        <v>21</v>
      </c>
      <c r="K6853" s="142">
        <v>0</v>
      </c>
      <c r="L6853" s="142">
        <v>0</v>
      </c>
      <c r="M6853" s="142">
        <v>0</v>
      </c>
    </row>
    <row r="6854" spans="1:13" x14ac:dyDescent="0.45">
      <c r="A6854" s="142" t="s">
        <v>13110</v>
      </c>
      <c r="B6854" s="142" t="s">
        <v>15502</v>
      </c>
      <c r="C6854" s="142" t="s">
        <v>15847</v>
      </c>
      <c r="D6854" s="142" t="s">
        <v>15848</v>
      </c>
      <c r="E6854" s="142" t="s">
        <v>15849</v>
      </c>
      <c r="F6854" s="142" t="s">
        <v>8456</v>
      </c>
      <c r="G6854" s="142" t="s">
        <v>8455</v>
      </c>
      <c r="H6854" s="142" t="s">
        <v>22704</v>
      </c>
      <c r="I6854" s="142">
        <v>1</v>
      </c>
      <c r="J6854" s="142">
        <v>0</v>
      </c>
      <c r="K6854" s="142">
        <v>0</v>
      </c>
      <c r="L6854" s="142">
        <v>0</v>
      </c>
      <c r="M6854" s="142">
        <v>1</v>
      </c>
    </row>
    <row r="6855" spans="1:13" x14ac:dyDescent="0.45">
      <c r="A6855" s="142" t="s">
        <v>13308</v>
      </c>
      <c r="B6855" s="142" t="s">
        <v>15608</v>
      </c>
      <c r="C6855" s="142" t="s">
        <v>15847</v>
      </c>
      <c r="D6855" s="142" t="s">
        <v>15848</v>
      </c>
      <c r="E6855" s="142" t="s">
        <v>15849</v>
      </c>
      <c r="F6855" s="142" t="s">
        <v>8456</v>
      </c>
      <c r="G6855" s="142" t="s">
        <v>8455</v>
      </c>
      <c r="H6855" s="142" t="s">
        <v>22705</v>
      </c>
      <c r="I6855" s="142">
        <v>18</v>
      </c>
      <c r="J6855" s="142">
        <v>0</v>
      </c>
      <c r="K6855" s="142">
        <v>0</v>
      </c>
      <c r="L6855" s="142">
        <v>0</v>
      </c>
      <c r="M6855" s="142">
        <v>18</v>
      </c>
    </row>
    <row r="6856" spans="1:13" x14ac:dyDescent="0.45">
      <c r="A6856" s="142" t="s">
        <v>13166</v>
      </c>
      <c r="B6856" s="142" t="s">
        <v>15576</v>
      </c>
      <c r="C6856" s="142" t="s">
        <v>15847</v>
      </c>
      <c r="D6856" s="142" t="s">
        <v>15848</v>
      </c>
      <c r="E6856" s="142" t="s">
        <v>15849</v>
      </c>
      <c r="F6856" s="142" t="s">
        <v>8456</v>
      </c>
      <c r="G6856" s="142" t="s">
        <v>8455</v>
      </c>
      <c r="H6856" s="142" t="s">
        <v>22706</v>
      </c>
      <c r="I6856" s="142">
        <v>473</v>
      </c>
      <c r="J6856" s="142">
        <v>429</v>
      </c>
      <c r="K6856" s="142">
        <v>0</v>
      </c>
      <c r="L6856" s="142">
        <v>38</v>
      </c>
      <c r="M6856" s="142">
        <v>6</v>
      </c>
    </row>
    <row r="6857" spans="1:13" x14ac:dyDescent="0.45">
      <c r="A6857" s="142" t="s">
        <v>13167</v>
      </c>
      <c r="B6857" s="142" t="s">
        <v>15418</v>
      </c>
      <c r="C6857" s="142" t="s">
        <v>15847</v>
      </c>
      <c r="D6857" s="142" t="s">
        <v>15848</v>
      </c>
      <c r="E6857" s="142" t="s">
        <v>15849</v>
      </c>
      <c r="F6857" s="142" t="s">
        <v>8456</v>
      </c>
      <c r="G6857" s="142" t="s">
        <v>8455</v>
      </c>
      <c r="H6857" s="142" t="s">
        <v>22707</v>
      </c>
      <c r="I6857" s="142">
        <v>12</v>
      </c>
      <c r="J6857" s="142">
        <v>12</v>
      </c>
      <c r="K6857" s="142">
        <v>0</v>
      </c>
      <c r="L6857" s="142">
        <v>0</v>
      </c>
      <c r="M6857" s="142">
        <v>0</v>
      </c>
    </row>
    <row r="6858" spans="1:13" x14ac:dyDescent="0.45">
      <c r="A6858" s="142" t="s">
        <v>13072</v>
      </c>
      <c r="B6858" s="142" t="s">
        <v>15530</v>
      </c>
      <c r="C6858" s="142" t="s">
        <v>15847</v>
      </c>
      <c r="D6858" s="142" t="s">
        <v>15848</v>
      </c>
      <c r="E6858" s="142" t="s">
        <v>15849</v>
      </c>
      <c r="F6858" s="142" t="s">
        <v>8456</v>
      </c>
      <c r="G6858" s="142" t="s">
        <v>8455</v>
      </c>
      <c r="H6858" s="142" t="s">
        <v>22708</v>
      </c>
      <c r="I6858" s="142">
        <v>241</v>
      </c>
      <c r="J6858" s="142">
        <v>152</v>
      </c>
      <c r="K6858" s="142">
        <v>0</v>
      </c>
      <c r="L6858" s="142">
        <v>0</v>
      </c>
      <c r="M6858" s="142">
        <v>89</v>
      </c>
    </row>
    <row r="6859" spans="1:13" x14ac:dyDescent="0.45">
      <c r="A6859" s="142" t="s">
        <v>13023</v>
      </c>
      <c r="B6859" s="142" t="s">
        <v>15571</v>
      </c>
      <c r="C6859" s="142" t="s">
        <v>15847</v>
      </c>
      <c r="D6859" s="142" t="s">
        <v>15848</v>
      </c>
      <c r="E6859" s="142" t="s">
        <v>15849</v>
      </c>
      <c r="F6859" s="142" t="s">
        <v>8456</v>
      </c>
      <c r="G6859" s="142" t="s">
        <v>8455</v>
      </c>
      <c r="H6859" s="142" t="s">
        <v>22709</v>
      </c>
      <c r="I6859" s="142">
        <v>169</v>
      </c>
      <c r="J6859" s="142">
        <v>1</v>
      </c>
      <c r="K6859" s="142">
        <v>0</v>
      </c>
      <c r="L6859" s="142">
        <v>165</v>
      </c>
      <c r="M6859" s="142">
        <v>3</v>
      </c>
    </row>
    <row r="6860" spans="1:13" x14ac:dyDescent="0.45">
      <c r="A6860" s="142" t="s">
        <v>13027</v>
      </c>
      <c r="B6860" s="142" t="s">
        <v>14562</v>
      </c>
      <c r="C6860" s="142" t="s">
        <v>15847</v>
      </c>
      <c r="D6860" s="142" t="s">
        <v>15848</v>
      </c>
      <c r="E6860" s="142" t="s">
        <v>15849</v>
      </c>
      <c r="F6860" s="142" t="s">
        <v>8456</v>
      </c>
      <c r="G6860" s="142" t="s">
        <v>8455</v>
      </c>
      <c r="H6860" s="142" t="s">
        <v>22710</v>
      </c>
      <c r="I6860" s="142">
        <v>3</v>
      </c>
      <c r="J6860" s="142">
        <v>0</v>
      </c>
      <c r="K6860" s="142">
        <v>0</v>
      </c>
      <c r="L6860" s="142">
        <v>3</v>
      </c>
      <c r="M6860" s="142">
        <v>0</v>
      </c>
    </row>
    <row r="6861" spans="1:13" x14ac:dyDescent="0.45">
      <c r="A6861" s="142" t="s">
        <v>13003</v>
      </c>
      <c r="B6861" s="142" t="s">
        <v>15245</v>
      </c>
      <c r="C6861" s="142" t="s">
        <v>15847</v>
      </c>
      <c r="D6861" s="142" t="s">
        <v>15848</v>
      </c>
      <c r="E6861" s="142" t="s">
        <v>15849</v>
      </c>
      <c r="F6861" s="142" t="s">
        <v>8456</v>
      </c>
      <c r="G6861" s="142" t="s">
        <v>8455</v>
      </c>
      <c r="H6861" s="142" t="s">
        <v>22711</v>
      </c>
      <c r="I6861" s="142">
        <v>41</v>
      </c>
      <c r="J6861" s="142">
        <v>0</v>
      </c>
      <c r="K6861" s="142">
        <v>0</v>
      </c>
      <c r="L6861" s="142">
        <v>41</v>
      </c>
      <c r="M6861" s="142">
        <v>0</v>
      </c>
    </row>
    <row r="6862" spans="1:13" x14ac:dyDescent="0.45">
      <c r="A6862" s="142" t="s">
        <v>13051</v>
      </c>
      <c r="B6862" s="142" t="s">
        <v>14509</v>
      </c>
      <c r="C6862" s="142" t="s">
        <v>15860</v>
      </c>
      <c r="D6862" s="142" t="s">
        <v>15861</v>
      </c>
      <c r="E6862" s="142" t="s">
        <v>15849</v>
      </c>
      <c r="F6862" s="142" t="s">
        <v>8456</v>
      </c>
      <c r="G6862" s="142" t="s">
        <v>8455</v>
      </c>
      <c r="H6862" s="142" t="s">
        <v>22712</v>
      </c>
      <c r="I6862" s="142">
        <v>8</v>
      </c>
      <c r="J6862" s="142">
        <v>0</v>
      </c>
      <c r="K6862" s="142">
        <v>0</v>
      </c>
      <c r="L6862" s="142">
        <v>8</v>
      </c>
      <c r="M6862" s="142">
        <v>0</v>
      </c>
    </row>
    <row r="6863" spans="1:13" x14ac:dyDescent="0.45">
      <c r="A6863" s="142" t="s">
        <v>13005</v>
      </c>
      <c r="B6863" s="142" t="s">
        <v>15475</v>
      </c>
      <c r="C6863" s="142" t="s">
        <v>15847</v>
      </c>
      <c r="D6863" s="142" t="s">
        <v>15848</v>
      </c>
      <c r="E6863" s="142" t="s">
        <v>15849</v>
      </c>
      <c r="F6863" s="142" t="s">
        <v>8456</v>
      </c>
      <c r="G6863" s="142" t="s">
        <v>8455</v>
      </c>
      <c r="H6863" s="142" t="s">
        <v>22713</v>
      </c>
      <c r="I6863" s="142">
        <v>2</v>
      </c>
      <c r="J6863" s="142">
        <v>0</v>
      </c>
      <c r="K6863" s="142">
        <v>0</v>
      </c>
      <c r="L6863" s="142">
        <v>0</v>
      </c>
      <c r="M6863" s="142">
        <v>2</v>
      </c>
    </row>
    <row r="6864" spans="1:13" x14ac:dyDescent="0.45">
      <c r="A6864" s="142" t="s">
        <v>13006</v>
      </c>
      <c r="B6864" s="142" t="s">
        <v>15288</v>
      </c>
      <c r="C6864" s="142" t="s">
        <v>15847</v>
      </c>
      <c r="D6864" s="142" t="s">
        <v>15848</v>
      </c>
      <c r="E6864" s="142" t="s">
        <v>15849</v>
      </c>
      <c r="F6864" s="142" t="s">
        <v>8456</v>
      </c>
      <c r="G6864" s="142" t="s">
        <v>8455</v>
      </c>
      <c r="H6864" s="142" t="s">
        <v>22714</v>
      </c>
      <c r="I6864" s="142">
        <v>466</v>
      </c>
      <c r="J6864" s="142">
        <v>321</v>
      </c>
      <c r="K6864" s="142">
        <v>0</v>
      </c>
      <c r="L6864" s="142">
        <v>0</v>
      </c>
      <c r="M6864" s="142">
        <v>145</v>
      </c>
    </row>
    <row r="6865" spans="1:13" x14ac:dyDescent="0.45">
      <c r="A6865" s="142" t="s">
        <v>13568</v>
      </c>
      <c r="B6865" s="142" t="s">
        <v>15242</v>
      </c>
      <c r="C6865" s="142" t="s">
        <v>15847</v>
      </c>
      <c r="D6865" s="142" t="s">
        <v>15848</v>
      </c>
      <c r="E6865" s="142" t="s">
        <v>15849</v>
      </c>
      <c r="F6865" s="142" t="s">
        <v>8456</v>
      </c>
      <c r="G6865" s="142" t="s">
        <v>8455</v>
      </c>
      <c r="H6865" s="142" t="s">
        <v>22715</v>
      </c>
      <c r="I6865" s="142">
        <v>78</v>
      </c>
      <c r="J6865" s="142">
        <v>60</v>
      </c>
      <c r="K6865" s="142">
        <v>0</v>
      </c>
      <c r="L6865" s="142">
        <v>16</v>
      </c>
      <c r="M6865" s="142">
        <v>2</v>
      </c>
    </row>
    <row r="6866" spans="1:13" x14ac:dyDescent="0.45">
      <c r="A6866" s="142" t="s">
        <v>13054</v>
      </c>
      <c r="B6866" s="142" t="s">
        <v>15604</v>
      </c>
      <c r="C6866" s="142" t="s">
        <v>15847</v>
      </c>
      <c r="D6866" s="142" t="s">
        <v>15848</v>
      </c>
      <c r="E6866" s="142" t="s">
        <v>15849</v>
      </c>
      <c r="F6866" s="142" t="s">
        <v>8456</v>
      </c>
      <c r="G6866" s="142" t="s">
        <v>8455</v>
      </c>
      <c r="H6866" s="142" t="s">
        <v>22716</v>
      </c>
      <c r="I6866" s="142">
        <v>1</v>
      </c>
      <c r="J6866" s="142">
        <v>0</v>
      </c>
      <c r="K6866" s="142">
        <v>0</v>
      </c>
      <c r="L6866" s="142">
        <v>0</v>
      </c>
      <c r="M6866" s="142">
        <v>1</v>
      </c>
    </row>
    <row r="6867" spans="1:13" x14ac:dyDescent="0.45">
      <c r="A6867" s="142" t="s">
        <v>13055</v>
      </c>
      <c r="B6867" s="142" t="s">
        <v>14595</v>
      </c>
      <c r="C6867" s="142" t="s">
        <v>15847</v>
      </c>
      <c r="D6867" s="142" t="s">
        <v>15848</v>
      </c>
      <c r="E6867" s="142" t="s">
        <v>15849</v>
      </c>
      <c r="F6867" s="142" t="s">
        <v>8456</v>
      </c>
      <c r="G6867" s="142" t="s">
        <v>8455</v>
      </c>
      <c r="H6867" s="142" t="s">
        <v>22717</v>
      </c>
      <c r="I6867" s="142">
        <v>219</v>
      </c>
      <c r="J6867" s="142">
        <v>139</v>
      </c>
      <c r="K6867" s="142">
        <v>0</v>
      </c>
      <c r="L6867" s="142">
        <v>0</v>
      </c>
      <c r="M6867" s="142">
        <v>80</v>
      </c>
    </row>
    <row r="6868" spans="1:13" x14ac:dyDescent="0.45">
      <c r="A6868" s="142" t="s">
        <v>13039</v>
      </c>
      <c r="B6868" s="142" t="s">
        <v>14647</v>
      </c>
      <c r="C6868" s="142" t="s">
        <v>15847</v>
      </c>
      <c r="D6868" s="142" t="s">
        <v>15848</v>
      </c>
      <c r="E6868" s="142" t="s">
        <v>15849</v>
      </c>
      <c r="F6868" s="142" t="s">
        <v>8456</v>
      </c>
      <c r="G6868" s="142" t="s">
        <v>8455</v>
      </c>
      <c r="H6868" s="142" t="s">
        <v>22718</v>
      </c>
      <c r="I6868" s="142">
        <v>36</v>
      </c>
      <c r="J6868" s="142">
        <v>36</v>
      </c>
      <c r="K6868" s="142">
        <v>0</v>
      </c>
      <c r="L6868" s="142">
        <v>0</v>
      </c>
      <c r="M6868" s="142">
        <v>0</v>
      </c>
    </row>
    <row r="6869" spans="1:13" x14ac:dyDescent="0.45">
      <c r="A6869" s="142" t="s">
        <v>13011</v>
      </c>
      <c r="B6869" s="142" t="s">
        <v>14695</v>
      </c>
      <c r="C6869" s="142" t="s">
        <v>15847</v>
      </c>
      <c r="D6869" s="142" t="s">
        <v>15848</v>
      </c>
      <c r="E6869" s="142" t="s">
        <v>15849</v>
      </c>
      <c r="F6869" s="142" t="s">
        <v>8456</v>
      </c>
      <c r="G6869" s="142" t="s">
        <v>8455</v>
      </c>
      <c r="H6869" s="142" t="s">
        <v>22719</v>
      </c>
      <c r="I6869" s="142">
        <v>606</v>
      </c>
      <c r="J6869" s="142">
        <v>208</v>
      </c>
      <c r="K6869" s="142">
        <v>288</v>
      </c>
      <c r="L6869" s="142">
        <v>46</v>
      </c>
      <c r="M6869" s="142">
        <v>64</v>
      </c>
    </row>
    <row r="6870" spans="1:13" x14ac:dyDescent="0.45">
      <c r="A6870" s="142" t="s">
        <v>13041</v>
      </c>
      <c r="B6870" s="142" t="s">
        <v>14441</v>
      </c>
      <c r="C6870" s="142" t="s">
        <v>15847</v>
      </c>
      <c r="D6870" s="142" t="s">
        <v>15848</v>
      </c>
      <c r="E6870" s="142" t="s">
        <v>15849</v>
      </c>
      <c r="F6870" s="142" t="s">
        <v>8456</v>
      </c>
      <c r="G6870" s="142" t="s">
        <v>8455</v>
      </c>
      <c r="H6870" s="142" t="s">
        <v>22720</v>
      </c>
      <c r="I6870" s="142">
        <v>19</v>
      </c>
      <c r="J6870" s="142">
        <v>0</v>
      </c>
      <c r="K6870" s="142">
        <v>0</v>
      </c>
      <c r="L6870" s="142">
        <v>0</v>
      </c>
      <c r="M6870" s="142">
        <v>19</v>
      </c>
    </row>
    <row r="6871" spans="1:13" x14ac:dyDescent="0.45">
      <c r="A6871" s="142" t="s">
        <v>14146</v>
      </c>
      <c r="B6871" s="142" t="s">
        <v>14890</v>
      </c>
      <c r="C6871" s="142" t="s">
        <v>15860</v>
      </c>
      <c r="D6871" s="142" t="s">
        <v>15861</v>
      </c>
      <c r="E6871" s="142" t="s">
        <v>15849</v>
      </c>
      <c r="F6871" s="142" t="s">
        <v>8456</v>
      </c>
      <c r="G6871" s="142" t="s">
        <v>8455</v>
      </c>
      <c r="H6871" s="142" t="s">
        <v>22721</v>
      </c>
      <c r="I6871" s="142">
        <v>11</v>
      </c>
      <c r="J6871" s="142">
        <v>11</v>
      </c>
      <c r="K6871" s="142">
        <v>0</v>
      </c>
      <c r="L6871" s="142">
        <v>0</v>
      </c>
      <c r="M6871" s="142">
        <v>0</v>
      </c>
    </row>
    <row r="6872" spans="1:13" x14ac:dyDescent="0.45">
      <c r="A6872" s="142" t="s">
        <v>13012</v>
      </c>
      <c r="B6872" s="142" t="s">
        <v>15337</v>
      </c>
      <c r="C6872" s="142" t="s">
        <v>15847</v>
      </c>
      <c r="D6872" s="142" t="s">
        <v>15848</v>
      </c>
      <c r="E6872" s="142" t="s">
        <v>15849</v>
      </c>
      <c r="F6872" s="142" t="s">
        <v>8456</v>
      </c>
      <c r="G6872" s="142" t="s">
        <v>8455</v>
      </c>
      <c r="H6872" s="142" t="s">
        <v>22722</v>
      </c>
      <c r="I6872" s="142">
        <v>4</v>
      </c>
      <c r="J6872" s="142">
        <v>0</v>
      </c>
      <c r="K6872" s="142">
        <v>0</v>
      </c>
      <c r="L6872" s="142">
        <v>0</v>
      </c>
      <c r="M6872" s="142">
        <v>4</v>
      </c>
    </row>
    <row r="6873" spans="1:13" x14ac:dyDescent="0.45">
      <c r="A6873" s="142" t="s">
        <v>13042</v>
      </c>
      <c r="B6873" s="142" t="s">
        <v>15489</v>
      </c>
      <c r="C6873" s="142" t="s">
        <v>15847</v>
      </c>
      <c r="D6873" s="142" t="s">
        <v>15848</v>
      </c>
      <c r="E6873" s="142" t="s">
        <v>15849</v>
      </c>
      <c r="F6873" s="142" t="s">
        <v>8456</v>
      </c>
      <c r="G6873" s="142" t="s">
        <v>8455</v>
      </c>
      <c r="H6873" s="142" t="s">
        <v>22723</v>
      </c>
      <c r="I6873" s="142">
        <v>13</v>
      </c>
      <c r="J6873" s="142">
        <v>0</v>
      </c>
      <c r="K6873" s="142">
        <v>0</v>
      </c>
      <c r="L6873" s="142">
        <v>13</v>
      </c>
      <c r="M6873" s="142">
        <v>0</v>
      </c>
    </row>
    <row r="6874" spans="1:13" x14ac:dyDescent="0.45">
      <c r="A6874" s="142" t="s">
        <v>13079</v>
      </c>
      <c r="B6874" s="142" t="s">
        <v>15431</v>
      </c>
      <c r="C6874" s="142" t="s">
        <v>15847</v>
      </c>
      <c r="D6874" s="142" t="s">
        <v>15848</v>
      </c>
      <c r="E6874" s="142" t="s">
        <v>15849</v>
      </c>
      <c r="F6874" s="142" t="s">
        <v>8456</v>
      </c>
      <c r="G6874" s="142" t="s">
        <v>8455</v>
      </c>
      <c r="H6874" s="142" t="s">
        <v>22724</v>
      </c>
      <c r="I6874" s="142">
        <v>17</v>
      </c>
      <c r="J6874" s="142">
        <v>17</v>
      </c>
      <c r="K6874" s="142">
        <v>0</v>
      </c>
      <c r="L6874" s="142">
        <v>0</v>
      </c>
      <c r="M6874" s="142">
        <v>0</v>
      </c>
    </row>
    <row r="6875" spans="1:13" x14ac:dyDescent="0.45">
      <c r="A6875" s="142" t="s">
        <v>13570</v>
      </c>
      <c r="B6875" s="142" t="s">
        <v>15181</v>
      </c>
      <c r="C6875" s="142" t="s">
        <v>15860</v>
      </c>
      <c r="D6875" s="142" t="s">
        <v>15861</v>
      </c>
      <c r="E6875" s="142" t="s">
        <v>15849</v>
      </c>
      <c r="F6875" s="142" t="s">
        <v>8456</v>
      </c>
      <c r="G6875" s="142" t="s">
        <v>8455</v>
      </c>
      <c r="H6875" s="142" t="s">
        <v>22725</v>
      </c>
      <c r="I6875" s="142">
        <v>56</v>
      </c>
      <c r="J6875" s="142">
        <v>1</v>
      </c>
      <c r="K6875" s="142">
        <v>0</v>
      </c>
      <c r="L6875" s="142">
        <v>55</v>
      </c>
      <c r="M6875" s="142">
        <v>0</v>
      </c>
    </row>
    <row r="6876" spans="1:13" x14ac:dyDescent="0.45">
      <c r="A6876" s="142" t="s">
        <v>13015</v>
      </c>
      <c r="B6876" s="142" t="s">
        <v>14596</v>
      </c>
      <c r="C6876" s="142" t="s">
        <v>15847</v>
      </c>
      <c r="D6876" s="142" t="s">
        <v>15848</v>
      </c>
      <c r="E6876" s="142" t="s">
        <v>15849</v>
      </c>
      <c r="F6876" s="142" t="s">
        <v>8456</v>
      </c>
      <c r="G6876" s="142" t="s">
        <v>8455</v>
      </c>
      <c r="H6876" s="142" t="s">
        <v>22726</v>
      </c>
      <c r="I6876" s="142">
        <v>83</v>
      </c>
      <c r="J6876" s="142">
        <v>83</v>
      </c>
      <c r="K6876" s="142">
        <v>0</v>
      </c>
      <c r="L6876" s="142">
        <v>0</v>
      </c>
      <c r="M6876" s="142">
        <v>0</v>
      </c>
    </row>
    <row r="6877" spans="1:13" x14ac:dyDescent="0.45">
      <c r="A6877" s="142" t="s">
        <v>13072</v>
      </c>
      <c r="B6877" s="142" t="s">
        <v>15530</v>
      </c>
      <c r="C6877" s="142" t="s">
        <v>15847</v>
      </c>
      <c r="D6877" s="142" t="s">
        <v>15848</v>
      </c>
      <c r="E6877" s="142" t="s">
        <v>15849</v>
      </c>
      <c r="F6877" s="142" t="s">
        <v>7545</v>
      </c>
      <c r="G6877" s="142" t="s">
        <v>7544</v>
      </c>
      <c r="H6877" s="142" t="s">
        <v>22727</v>
      </c>
      <c r="I6877" s="142">
        <v>40</v>
      </c>
      <c r="J6877" s="142">
        <v>40</v>
      </c>
      <c r="K6877" s="142">
        <v>0</v>
      </c>
      <c r="L6877" s="142">
        <v>0</v>
      </c>
      <c r="M6877" s="142">
        <v>0</v>
      </c>
    </row>
    <row r="6878" spans="1:13" x14ac:dyDescent="0.45">
      <c r="A6878" s="142" t="s">
        <v>13064</v>
      </c>
      <c r="B6878" s="142" t="s">
        <v>15428</v>
      </c>
      <c r="C6878" s="142" t="s">
        <v>15847</v>
      </c>
      <c r="D6878" s="142" t="s">
        <v>15848</v>
      </c>
      <c r="E6878" s="142" t="s">
        <v>15849</v>
      </c>
      <c r="F6878" s="142" t="s">
        <v>7545</v>
      </c>
      <c r="G6878" s="142" t="s">
        <v>7544</v>
      </c>
      <c r="H6878" s="142" t="s">
        <v>22728</v>
      </c>
      <c r="I6878" s="142">
        <v>85</v>
      </c>
      <c r="J6878" s="142">
        <v>52</v>
      </c>
      <c r="K6878" s="142">
        <v>0</v>
      </c>
      <c r="L6878" s="142">
        <v>0</v>
      </c>
      <c r="M6878" s="142">
        <v>33</v>
      </c>
    </row>
    <row r="6879" spans="1:13" x14ac:dyDescent="0.45">
      <c r="A6879" s="142" t="s">
        <v>13021</v>
      </c>
      <c r="B6879" s="142" t="s">
        <v>15501</v>
      </c>
      <c r="C6879" s="142" t="s">
        <v>15847</v>
      </c>
      <c r="D6879" s="142" t="s">
        <v>15848</v>
      </c>
      <c r="E6879" s="142" t="s">
        <v>15849</v>
      </c>
      <c r="F6879" s="142" t="s">
        <v>7545</v>
      </c>
      <c r="G6879" s="142" t="s">
        <v>7544</v>
      </c>
      <c r="H6879" s="142" t="s">
        <v>22729</v>
      </c>
      <c r="I6879" s="142">
        <v>2</v>
      </c>
      <c r="J6879" s="142">
        <v>0</v>
      </c>
      <c r="K6879" s="142">
        <v>0</v>
      </c>
      <c r="L6879" s="142">
        <v>0</v>
      </c>
      <c r="M6879" s="142">
        <v>2</v>
      </c>
    </row>
    <row r="6880" spans="1:13" x14ac:dyDescent="0.45">
      <c r="A6880" s="142" t="s">
        <v>13022</v>
      </c>
      <c r="B6880" s="142" t="s">
        <v>14634</v>
      </c>
      <c r="C6880" s="142" t="s">
        <v>15847</v>
      </c>
      <c r="D6880" s="142" t="s">
        <v>15848</v>
      </c>
      <c r="E6880" s="142" t="s">
        <v>15849</v>
      </c>
      <c r="F6880" s="142" t="s">
        <v>7545</v>
      </c>
      <c r="G6880" s="142" t="s">
        <v>7544</v>
      </c>
      <c r="H6880" s="142" t="s">
        <v>22730</v>
      </c>
      <c r="I6880" s="142">
        <v>181</v>
      </c>
      <c r="J6880" s="142">
        <v>133</v>
      </c>
      <c r="K6880" s="142">
        <v>0</v>
      </c>
      <c r="L6880" s="142">
        <v>0</v>
      </c>
      <c r="M6880" s="142">
        <v>48</v>
      </c>
    </row>
    <row r="6881" spans="1:13" x14ac:dyDescent="0.45">
      <c r="A6881" s="142" t="s">
        <v>13023</v>
      </c>
      <c r="B6881" s="142" t="s">
        <v>15571</v>
      </c>
      <c r="C6881" s="142" t="s">
        <v>15847</v>
      </c>
      <c r="D6881" s="142" t="s">
        <v>15848</v>
      </c>
      <c r="E6881" s="142" t="s">
        <v>15849</v>
      </c>
      <c r="F6881" s="142" t="s">
        <v>7545</v>
      </c>
      <c r="G6881" s="142" t="s">
        <v>7544</v>
      </c>
      <c r="H6881" s="142" t="s">
        <v>22731</v>
      </c>
      <c r="I6881" s="142">
        <v>53</v>
      </c>
      <c r="J6881" s="142">
        <v>0</v>
      </c>
      <c r="K6881" s="142">
        <v>0</v>
      </c>
      <c r="L6881" s="142">
        <v>53</v>
      </c>
      <c r="M6881" s="142">
        <v>0</v>
      </c>
    </row>
    <row r="6882" spans="1:13" x14ac:dyDescent="0.45">
      <c r="A6882" s="142" t="s">
        <v>13082</v>
      </c>
      <c r="B6882" s="142" t="s">
        <v>14478</v>
      </c>
      <c r="C6882" s="142" t="s">
        <v>15860</v>
      </c>
      <c r="D6882" s="142" t="s">
        <v>15861</v>
      </c>
      <c r="E6882" s="142" t="s">
        <v>15849</v>
      </c>
      <c r="F6882" s="142" t="s">
        <v>7545</v>
      </c>
      <c r="G6882" s="142" t="s">
        <v>7544</v>
      </c>
      <c r="H6882" s="142" t="s">
        <v>22732</v>
      </c>
      <c r="I6882" s="142">
        <v>4</v>
      </c>
      <c r="J6882" s="142">
        <v>0</v>
      </c>
      <c r="K6882" s="142">
        <v>0</v>
      </c>
      <c r="L6882" s="142">
        <v>4</v>
      </c>
      <c r="M6882" s="142">
        <v>0</v>
      </c>
    </row>
    <row r="6883" spans="1:13" x14ac:dyDescent="0.45">
      <c r="A6883" s="142" t="s">
        <v>13024</v>
      </c>
      <c r="B6883" s="142" t="s">
        <v>14538</v>
      </c>
      <c r="C6883" s="142" t="s">
        <v>15847</v>
      </c>
      <c r="D6883" s="142" t="s">
        <v>15848</v>
      </c>
      <c r="E6883" s="142" t="s">
        <v>15849</v>
      </c>
      <c r="F6883" s="142" t="s">
        <v>7545</v>
      </c>
      <c r="G6883" s="142" t="s">
        <v>7544</v>
      </c>
      <c r="H6883" s="142" t="s">
        <v>22733</v>
      </c>
      <c r="I6883" s="142">
        <v>94</v>
      </c>
      <c r="J6883" s="142">
        <v>46</v>
      </c>
      <c r="K6883" s="142">
        <v>0</v>
      </c>
      <c r="L6883" s="142">
        <v>0</v>
      </c>
      <c r="M6883" s="142">
        <v>48</v>
      </c>
    </row>
    <row r="6884" spans="1:13" x14ac:dyDescent="0.45">
      <c r="A6884" s="142" t="s">
        <v>13085</v>
      </c>
      <c r="B6884" s="142" t="s">
        <v>14460</v>
      </c>
      <c r="C6884" s="142" t="s">
        <v>15860</v>
      </c>
      <c r="D6884" s="142" t="s">
        <v>15861</v>
      </c>
      <c r="E6884" s="142" t="s">
        <v>15849</v>
      </c>
      <c r="F6884" s="142" t="s">
        <v>7545</v>
      </c>
      <c r="G6884" s="142" t="s">
        <v>7544</v>
      </c>
      <c r="H6884" s="142" t="s">
        <v>22734</v>
      </c>
      <c r="I6884" s="142">
        <v>2</v>
      </c>
      <c r="J6884" s="142">
        <v>0</v>
      </c>
      <c r="K6884" s="142">
        <v>0</v>
      </c>
      <c r="L6884" s="142">
        <v>2</v>
      </c>
      <c r="M6884" s="142">
        <v>0</v>
      </c>
    </row>
    <row r="6885" spans="1:13" x14ac:dyDescent="0.45">
      <c r="A6885" s="142" t="s">
        <v>13074</v>
      </c>
      <c r="B6885" s="142" t="s">
        <v>15405</v>
      </c>
      <c r="C6885" s="142" t="s">
        <v>15847</v>
      </c>
      <c r="D6885" s="142" t="s">
        <v>15848</v>
      </c>
      <c r="E6885" s="142" t="s">
        <v>15849</v>
      </c>
      <c r="F6885" s="142" t="s">
        <v>7545</v>
      </c>
      <c r="G6885" s="142" t="s">
        <v>7544</v>
      </c>
      <c r="H6885" s="142" t="s">
        <v>22735</v>
      </c>
      <c r="I6885" s="142">
        <v>5</v>
      </c>
      <c r="J6885" s="142">
        <v>4</v>
      </c>
      <c r="K6885" s="142">
        <v>0</v>
      </c>
      <c r="L6885" s="142">
        <v>0</v>
      </c>
      <c r="M6885" s="142">
        <v>1</v>
      </c>
    </row>
    <row r="6886" spans="1:13" x14ac:dyDescent="0.45">
      <c r="A6886" s="142" t="s">
        <v>13025</v>
      </c>
      <c r="B6886" s="142" t="s">
        <v>15579</v>
      </c>
      <c r="C6886" s="142" t="s">
        <v>15847</v>
      </c>
      <c r="D6886" s="142" t="s">
        <v>15848</v>
      </c>
      <c r="E6886" s="142" t="s">
        <v>15849</v>
      </c>
      <c r="F6886" s="142" t="s">
        <v>7545</v>
      </c>
      <c r="G6886" s="142" t="s">
        <v>7544</v>
      </c>
      <c r="H6886" s="142" t="s">
        <v>22736</v>
      </c>
      <c r="I6886" s="142">
        <v>31</v>
      </c>
      <c r="J6886" s="142">
        <v>0</v>
      </c>
      <c r="K6886" s="142">
        <v>0</v>
      </c>
      <c r="L6886" s="142">
        <v>31</v>
      </c>
      <c r="M6886" s="142">
        <v>0</v>
      </c>
    </row>
    <row r="6887" spans="1:13" x14ac:dyDescent="0.45">
      <c r="A6887" s="142" t="s">
        <v>13026</v>
      </c>
      <c r="B6887" s="142" t="s">
        <v>15447</v>
      </c>
      <c r="C6887" s="142" t="s">
        <v>15847</v>
      </c>
      <c r="D6887" s="142" t="s">
        <v>15848</v>
      </c>
      <c r="E6887" s="142" t="s">
        <v>15849</v>
      </c>
      <c r="F6887" s="142" t="s">
        <v>7545</v>
      </c>
      <c r="G6887" s="142" t="s">
        <v>7544</v>
      </c>
      <c r="H6887" s="142" t="s">
        <v>22737</v>
      </c>
      <c r="I6887" s="142">
        <v>23</v>
      </c>
      <c r="J6887" s="142">
        <v>18</v>
      </c>
      <c r="K6887" s="142">
        <v>0</v>
      </c>
      <c r="L6887" s="142">
        <v>0</v>
      </c>
      <c r="M6887" s="142">
        <v>5</v>
      </c>
    </row>
    <row r="6888" spans="1:13" x14ac:dyDescent="0.45">
      <c r="A6888" s="142" t="s">
        <v>13027</v>
      </c>
      <c r="B6888" s="142" t="s">
        <v>14562</v>
      </c>
      <c r="C6888" s="142" t="s">
        <v>15847</v>
      </c>
      <c r="D6888" s="142" t="s">
        <v>15848</v>
      </c>
      <c r="E6888" s="142" t="s">
        <v>15849</v>
      </c>
      <c r="F6888" s="142" t="s">
        <v>7545</v>
      </c>
      <c r="G6888" s="142" t="s">
        <v>7544</v>
      </c>
      <c r="H6888" s="142" t="s">
        <v>22738</v>
      </c>
      <c r="I6888" s="142">
        <v>23</v>
      </c>
      <c r="J6888" s="142">
        <v>0</v>
      </c>
      <c r="K6888" s="142">
        <v>0</v>
      </c>
      <c r="L6888" s="142">
        <v>23</v>
      </c>
      <c r="M6888" s="142">
        <v>0</v>
      </c>
    </row>
    <row r="6889" spans="1:13" x14ac:dyDescent="0.45">
      <c r="A6889" s="142" t="s">
        <v>13028</v>
      </c>
      <c r="B6889" s="142" t="s">
        <v>14462</v>
      </c>
      <c r="C6889" s="142" t="s">
        <v>15847</v>
      </c>
      <c r="D6889" s="142" t="s">
        <v>15848</v>
      </c>
      <c r="E6889" s="142" t="s">
        <v>15849</v>
      </c>
      <c r="F6889" s="142" t="s">
        <v>7545</v>
      </c>
      <c r="G6889" s="142" t="s">
        <v>7544</v>
      </c>
      <c r="H6889" s="142" t="s">
        <v>22739</v>
      </c>
      <c r="I6889" s="142">
        <v>73</v>
      </c>
      <c r="J6889" s="142">
        <v>0</v>
      </c>
      <c r="K6889" s="142">
        <v>0</v>
      </c>
      <c r="L6889" s="142">
        <v>0</v>
      </c>
      <c r="M6889" s="142">
        <v>73</v>
      </c>
    </row>
    <row r="6890" spans="1:13" x14ac:dyDescent="0.45">
      <c r="A6890" s="142" t="s">
        <v>13160</v>
      </c>
      <c r="B6890" s="142" t="s">
        <v>14525</v>
      </c>
      <c r="C6890" s="142" t="s">
        <v>15847</v>
      </c>
      <c r="D6890" s="142" t="s">
        <v>15848</v>
      </c>
      <c r="E6890" s="142" t="s">
        <v>15849</v>
      </c>
      <c r="F6890" s="142" t="s">
        <v>7545</v>
      </c>
      <c r="G6890" s="142" t="s">
        <v>7544</v>
      </c>
      <c r="H6890" s="142" t="s">
        <v>22740</v>
      </c>
      <c r="I6890" s="142">
        <v>2</v>
      </c>
      <c r="J6890" s="142">
        <v>0</v>
      </c>
      <c r="K6890" s="142">
        <v>0</v>
      </c>
      <c r="L6890" s="142">
        <v>2</v>
      </c>
      <c r="M6890" s="142">
        <v>0</v>
      </c>
    </row>
    <row r="6891" spans="1:13" x14ac:dyDescent="0.45">
      <c r="A6891" s="142" t="s">
        <v>13066</v>
      </c>
      <c r="B6891" s="142" t="s">
        <v>14459</v>
      </c>
      <c r="C6891" s="142" t="s">
        <v>15847</v>
      </c>
      <c r="D6891" s="142" t="s">
        <v>15848</v>
      </c>
      <c r="E6891" s="142" t="s">
        <v>15849</v>
      </c>
      <c r="F6891" s="142" t="s">
        <v>7545</v>
      </c>
      <c r="G6891" s="142" t="s">
        <v>7544</v>
      </c>
      <c r="H6891" s="142" t="s">
        <v>22741</v>
      </c>
      <c r="I6891" s="142">
        <v>13</v>
      </c>
      <c r="J6891" s="142">
        <v>0</v>
      </c>
      <c r="K6891" s="142">
        <v>0</v>
      </c>
      <c r="L6891" s="142">
        <v>13</v>
      </c>
      <c r="M6891" s="142">
        <v>0</v>
      </c>
    </row>
    <row r="6892" spans="1:13" x14ac:dyDescent="0.45">
      <c r="A6892" s="142" t="s">
        <v>13067</v>
      </c>
      <c r="B6892" s="142" t="s">
        <v>15480</v>
      </c>
      <c r="C6892" s="142" t="s">
        <v>15847</v>
      </c>
      <c r="D6892" s="142" t="s">
        <v>15848</v>
      </c>
      <c r="E6892" s="142" t="s">
        <v>15849</v>
      </c>
      <c r="F6892" s="142" t="s">
        <v>7545</v>
      </c>
      <c r="G6892" s="142" t="s">
        <v>7544</v>
      </c>
      <c r="H6892" s="142" t="s">
        <v>22742</v>
      </c>
      <c r="I6892" s="142">
        <v>47</v>
      </c>
      <c r="J6892" s="142">
        <v>23</v>
      </c>
      <c r="K6892" s="142">
        <v>0</v>
      </c>
      <c r="L6892" s="142">
        <v>0</v>
      </c>
      <c r="M6892" s="142">
        <v>24</v>
      </c>
    </row>
    <row r="6893" spans="1:13" x14ac:dyDescent="0.45">
      <c r="A6893" s="142" t="s">
        <v>13178</v>
      </c>
      <c r="B6893" s="142" t="s">
        <v>14683</v>
      </c>
      <c r="C6893" s="142" t="s">
        <v>15847</v>
      </c>
      <c r="D6893" s="142" t="s">
        <v>15848</v>
      </c>
      <c r="E6893" s="142" t="s">
        <v>15849</v>
      </c>
      <c r="F6893" s="142" t="s">
        <v>7545</v>
      </c>
      <c r="G6893" s="142" t="s">
        <v>7544</v>
      </c>
      <c r="H6893" s="142" t="s">
        <v>22743</v>
      </c>
      <c r="I6893" s="142">
        <v>22</v>
      </c>
      <c r="J6893" s="142">
        <v>22</v>
      </c>
      <c r="K6893" s="142">
        <v>0</v>
      </c>
      <c r="L6893" s="142">
        <v>0</v>
      </c>
      <c r="M6893" s="142">
        <v>0</v>
      </c>
    </row>
    <row r="6894" spans="1:13" x14ac:dyDescent="0.45">
      <c r="A6894" s="142" t="s">
        <v>13076</v>
      </c>
      <c r="B6894" s="142" t="s">
        <v>14636</v>
      </c>
      <c r="C6894" s="142" t="s">
        <v>15847</v>
      </c>
      <c r="D6894" s="142" t="s">
        <v>15848</v>
      </c>
      <c r="E6894" s="142" t="s">
        <v>15849</v>
      </c>
      <c r="F6894" s="142" t="s">
        <v>7545</v>
      </c>
      <c r="G6894" s="142" t="s">
        <v>7544</v>
      </c>
      <c r="H6894" s="142" t="s">
        <v>22744</v>
      </c>
      <c r="I6894" s="142">
        <v>28</v>
      </c>
      <c r="J6894" s="142">
        <v>0</v>
      </c>
      <c r="K6894" s="142">
        <v>0</v>
      </c>
      <c r="L6894" s="142">
        <v>0</v>
      </c>
      <c r="M6894" s="142">
        <v>28</v>
      </c>
    </row>
    <row r="6895" spans="1:13" x14ac:dyDescent="0.45">
      <c r="A6895" s="142" t="s">
        <v>13331</v>
      </c>
      <c r="B6895" s="142" t="s">
        <v>14682</v>
      </c>
      <c r="C6895" s="142" t="s">
        <v>15860</v>
      </c>
      <c r="D6895" s="142" t="s">
        <v>15861</v>
      </c>
      <c r="E6895" s="142" t="s">
        <v>15849</v>
      </c>
      <c r="F6895" s="142" t="s">
        <v>7545</v>
      </c>
      <c r="G6895" s="142" t="s">
        <v>7544</v>
      </c>
      <c r="H6895" s="142" t="s">
        <v>22745</v>
      </c>
      <c r="I6895" s="142">
        <v>16</v>
      </c>
      <c r="J6895" s="142">
        <v>16</v>
      </c>
      <c r="K6895" s="142">
        <v>0</v>
      </c>
      <c r="L6895" s="142">
        <v>0</v>
      </c>
      <c r="M6895" s="142">
        <v>0</v>
      </c>
    </row>
    <row r="6896" spans="1:13" x14ac:dyDescent="0.45">
      <c r="A6896" s="142" t="s">
        <v>13029</v>
      </c>
      <c r="B6896" s="142" t="s">
        <v>14665</v>
      </c>
      <c r="C6896" s="142" t="s">
        <v>15847</v>
      </c>
      <c r="D6896" s="142" t="s">
        <v>15848</v>
      </c>
      <c r="E6896" s="142" t="s">
        <v>15849</v>
      </c>
      <c r="F6896" s="142" t="s">
        <v>7545</v>
      </c>
      <c r="G6896" s="142" t="s">
        <v>7544</v>
      </c>
      <c r="H6896" s="142" t="s">
        <v>22746</v>
      </c>
      <c r="I6896" s="142">
        <v>6</v>
      </c>
      <c r="J6896" s="142">
        <v>0</v>
      </c>
      <c r="K6896" s="142">
        <v>0</v>
      </c>
      <c r="L6896" s="142">
        <v>0</v>
      </c>
      <c r="M6896" s="142">
        <v>6</v>
      </c>
    </row>
    <row r="6897" spans="1:13" x14ac:dyDescent="0.45">
      <c r="A6897" s="142" t="s">
        <v>13006</v>
      </c>
      <c r="B6897" s="142" t="s">
        <v>15288</v>
      </c>
      <c r="C6897" s="142" t="s">
        <v>15847</v>
      </c>
      <c r="D6897" s="142" t="s">
        <v>15848</v>
      </c>
      <c r="E6897" s="142" t="s">
        <v>15849</v>
      </c>
      <c r="F6897" s="142" t="s">
        <v>7545</v>
      </c>
      <c r="G6897" s="142" t="s">
        <v>7544</v>
      </c>
      <c r="H6897" s="142" t="s">
        <v>22747</v>
      </c>
      <c r="I6897" s="142">
        <v>3810</v>
      </c>
      <c r="J6897" s="142">
        <v>2365</v>
      </c>
      <c r="K6897" s="142">
        <v>0</v>
      </c>
      <c r="L6897" s="142">
        <v>1224</v>
      </c>
      <c r="M6897" s="142">
        <v>221</v>
      </c>
    </row>
    <row r="6898" spans="1:13" x14ac:dyDescent="0.45">
      <c r="A6898" s="142" t="s">
        <v>13030</v>
      </c>
      <c r="B6898" s="142" t="s">
        <v>14572</v>
      </c>
      <c r="C6898" s="142" t="s">
        <v>15847</v>
      </c>
      <c r="D6898" s="142" t="s">
        <v>15848</v>
      </c>
      <c r="E6898" s="142" t="s">
        <v>15849</v>
      </c>
      <c r="F6898" s="142" t="s">
        <v>7545</v>
      </c>
      <c r="G6898" s="142" t="s">
        <v>7544</v>
      </c>
      <c r="H6898" s="142" t="s">
        <v>22748</v>
      </c>
      <c r="I6898" s="142">
        <v>41</v>
      </c>
      <c r="J6898" s="142">
        <v>36</v>
      </c>
      <c r="K6898" s="142">
        <v>0</v>
      </c>
      <c r="L6898" s="142">
        <v>5</v>
      </c>
      <c r="M6898" s="142">
        <v>0</v>
      </c>
    </row>
    <row r="6899" spans="1:13" x14ac:dyDescent="0.45">
      <c r="A6899" s="142" t="s">
        <v>13055</v>
      </c>
      <c r="B6899" s="142" t="s">
        <v>14595</v>
      </c>
      <c r="C6899" s="142" t="s">
        <v>15847</v>
      </c>
      <c r="D6899" s="142" t="s">
        <v>15848</v>
      </c>
      <c r="E6899" s="142" t="s">
        <v>15849</v>
      </c>
      <c r="F6899" s="142" t="s">
        <v>7545</v>
      </c>
      <c r="G6899" s="142" t="s">
        <v>7544</v>
      </c>
      <c r="H6899" s="142" t="s">
        <v>22749</v>
      </c>
      <c r="I6899" s="142">
        <v>39</v>
      </c>
      <c r="J6899" s="142">
        <v>23</v>
      </c>
      <c r="K6899" s="142">
        <v>0</v>
      </c>
      <c r="L6899" s="142">
        <v>0</v>
      </c>
      <c r="M6899" s="142">
        <v>16</v>
      </c>
    </row>
    <row r="6900" spans="1:13" x14ac:dyDescent="0.45">
      <c r="A6900" s="142" t="s">
        <v>13033</v>
      </c>
      <c r="B6900" s="142" t="s">
        <v>15276</v>
      </c>
      <c r="C6900" s="142" t="s">
        <v>15847</v>
      </c>
      <c r="D6900" s="142" t="s">
        <v>15848</v>
      </c>
      <c r="E6900" s="142" t="s">
        <v>15849</v>
      </c>
      <c r="F6900" s="142" t="s">
        <v>7545</v>
      </c>
      <c r="G6900" s="142" t="s">
        <v>7544</v>
      </c>
      <c r="H6900" s="142" t="s">
        <v>22750</v>
      </c>
      <c r="I6900" s="142">
        <v>7</v>
      </c>
      <c r="J6900" s="142">
        <v>7</v>
      </c>
      <c r="K6900" s="142">
        <v>0</v>
      </c>
      <c r="L6900" s="142">
        <v>0</v>
      </c>
      <c r="M6900" s="142">
        <v>0</v>
      </c>
    </row>
    <row r="6901" spans="1:13" x14ac:dyDescent="0.45">
      <c r="A6901" s="142" t="s">
        <v>13034</v>
      </c>
      <c r="B6901" s="142" t="s">
        <v>15562</v>
      </c>
      <c r="C6901" s="142" t="s">
        <v>15847</v>
      </c>
      <c r="D6901" s="142" t="s">
        <v>15848</v>
      </c>
      <c r="E6901" s="142" t="s">
        <v>15849</v>
      </c>
      <c r="F6901" s="142" t="s">
        <v>7545</v>
      </c>
      <c r="G6901" s="142" t="s">
        <v>7544</v>
      </c>
      <c r="H6901" s="142" t="s">
        <v>22751</v>
      </c>
      <c r="I6901" s="142">
        <v>20</v>
      </c>
      <c r="J6901" s="142">
        <v>20</v>
      </c>
      <c r="K6901" s="142">
        <v>0</v>
      </c>
      <c r="L6901" s="142">
        <v>0</v>
      </c>
      <c r="M6901" s="142">
        <v>0</v>
      </c>
    </row>
    <row r="6902" spans="1:13" x14ac:dyDescent="0.45">
      <c r="A6902" s="142" t="s">
        <v>13035</v>
      </c>
      <c r="B6902" s="142" t="s">
        <v>14648</v>
      </c>
      <c r="C6902" s="142" t="s">
        <v>15847</v>
      </c>
      <c r="D6902" s="142" t="s">
        <v>15848</v>
      </c>
      <c r="E6902" s="142" t="s">
        <v>15849</v>
      </c>
      <c r="F6902" s="142" t="s">
        <v>7545</v>
      </c>
      <c r="G6902" s="142" t="s">
        <v>7544</v>
      </c>
      <c r="H6902" s="142" t="s">
        <v>22752</v>
      </c>
      <c r="I6902" s="142">
        <v>810</v>
      </c>
      <c r="J6902" s="142">
        <v>482</v>
      </c>
      <c r="K6902" s="142">
        <v>0</v>
      </c>
      <c r="L6902" s="142">
        <v>87</v>
      </c>
      <c r="M6902" s="142">
        <v>241</v>
      </c>
    </row>
    <row r="6903" spans="1:13" x14ac:dyDescent="0.45">
      <c r="A6903" s="142" t="s">
        <v>13036</v>
      </c>
      <c r="B6903" s="142" t="s">
        <v>15567</v>
      </c>
      <c r="C6903" s="142" t="s">
        <v>15847</v>
      </c>
      <c r="D6903" s="142" t="s">
        <v>15848</v>
      </c>
      <c r="E6903" s="142" t="s">
        <v>15849</v>
      </c>
      <c r="F6903" s="142" t="s">
        <v>7545</v>
      </c>
      <c r="G6903" s="142" t="s">
        <v>7544</v>
      </c>
      <c r="H6903" s="142" t="s">
        <v>22753</v>
      </c>
      <c r="I6903" s="142">
        <v>17</v>
      </c>
      <c r="J6903" s="142">
        <v>0</v>
      </c>
      <c r="K6903" s="142">
        <v>0</v>
      </c>
      <c r="L6903" s="142">
        <v>17</v>
      </c>
      <c r="M6903" s="142">
        <v>0</v>
      </c>
    </row>
    <row r="6904" spans="1:13" x14ac:dyDescent="0.45">
      <c r="A6904" s="142" t="s">
        <v>13038</v>
      </c>
      <c r="B6904" s="142" t="s">
        <v>14646</v>
      </c>
      <c r="C6904" s="142" t="s">
        <v>15847</v>
      </c>
      <c r="D6904" s="142" t="s">
        <v>15848</v>
      </c>
      <c r="E6904" s="142" t="s">
        <v>15849</v>
      </c>
      <c r="F6904" s="142" t="s">
        <v>7545</v>
      </c>
      <c r="G6904" s="142" t="s">
        <v>7544</v>
      </c>
      <c r="H6904" s="142" t="s">
        <v>22754</v>
      </c>
      <c r="I6904" s="142">
        <v>108</v>
      </c>
      <c r="J6904" s="142">
        <v>59</v>
      </c>
      <c r="K6904" s="142">
        <v>0</v>
      </c>
      <c r="L6904" s="142">
        <v>0</v>
      </c>
      <c r="M6904" s="142">
        <v>49</v>
      </c>
    </row>
    <row r="6905" spans="1:13" x14ac:dyDescent="0.45">
      <c r="A6905" s="142" t="s">
        <v>13039</v>
      </c>
      <c r="B6905" s="142" t="s">
        <v>14647</v>
      </c>
      <c r="C6905" s="142" t="s">
        <v>15847</v>
      </c>
      <c r="D6905" s="142" t="s">
        <v>15848</v>
      </c>
      <c r="E6905" s="142" t="s">
        <v>15849</v>
      </c>
      <c r="F6905" s="142" t="s">
        <v>7545</v>
      </c>
      <c r="G6905" s="142" t="s">
        <v>7544</v>
      </c>
      <c r="H6905" s="142" t="s">
        <v>22755</v>
      </c>
      <c r="I6905" s="142">
        <v>183</v>
      </c>
      <c r="J6905" s="142">
        <v>183</v>
      </c>
      <c r="K6905" s="142">
        <v>0</v>
      </c>
      <c r="L6905" s="142">
        <v>0</v>
      </c>
      <c r="M6905" s="142">
        <v>0</v>
      </c>
    </row>
    <row r="6906" spans="1:13" x14ac:dyDescent="0.45">
      <c r="A6906" s="142" t="s">
        <v>13041</v>
      </c>
      <c r="B6906" s="142" t="s">
        <v>14441</v>
      </c>
      <c r="C6906" s="142" t="s">
        <v>15847</v>
      </c>
      <c r="D6906" s="142" t="s">
        <v>15848</v>
      </c>
      <c r="E6906" s="142" t="s">
        <v>15849</v>
      </c>
      <c r="F6906" s="142" t="s">
        <v>7545</v>
      </c>
      <c r="G6906" s="142" t="s">
        <v>7544</v>
      </c>
      <c r="H6906" s="142" t="s">
        <v>22756</v>
      </c>
      <c r="I6906" s="142">
        <v>71</v>
      </c>
      <c r="J6906" s="142">
        <v>0</v>
      </c>
      <c r="K6906" s="142">
        <v>0</v>
      </c>
      <c r="L6906" s="142">
        <v>0</v>
      </c>
      <c r="M6906" s="142">
        <v>71</v>
      </c>
    </row>
    <row r="6907" spans="1:13" x14ac:dyDescent="0.45">
      <c r="A6907" s="142" t="s">
        <v>13012</v>
      </c>
      <c r="B6907" s="142" t="s">
        <v>15337</v>
      </c>
      <c r="C6907" s="142" t="s">
        <v>15847</v>
      </c>
      <c r="D6907" s="142" t="s">
        <v>15848</v>
      </c>
      <c r="E6907" s="142" t="s">
        <v>15849</v>
      </c>
      <c r="F6907" s="142" t="s">
        <v>7545</v>
      </c>
      <c r="G6907" s="142" t="s">
        <v>7544</v>
      </c>
      <c r="H6907" s="142" t="s">
        <v>22757</v>
      </c>
      <c r="I6907" s="142">
        <v>77</v>
      </c>
      <c r="J6907" s="142">
        <v>49</v>
      </c>
      <c r="K6907" s="142">
        <v>0</v>
      </c>
      <c r="L6907" s="142">
        <v>0</v>
      </c>
      <c r="M6907" s="142">
        <v>28</v>
      </c>
    </row>
    <row r="6908" spans="1:13" x14ac:dyDescent="0.45">
      <c r="A6908" s="142" t="s">
        <v>14147</v>
      </c>
      <c r="B6908" s="142" t="s">
        <v>15270</v>
      </c>
      <c r="C6908" s="142" t="s">
        <v>15860</v>
      </c>
      <c r="D6908" s="142" t="s">
        <v>15861</v>
      </c>
      <c r="E6908" s="142" t="s">
        <v>15849</v>
      </c>
      <c r="F6908" s="142" t="s">
        <v>7545</v>
      </c>
      <c r="G6908" s="142" t="s">
        <v>7544</v>
      </c>
      <c r="H6908" s="142" t="s">
        <v>22758</v>
      </c>
      <c r="I6908" s="142">
        <v>12</v>
      </c>
      <c r="J6908" s="142">
        <v>0</v>
      </c>
      <c r="K6908" s="142">
        <v>0</v>
      </c>
      <c r="L6908" s="142">
        <v>12</v>
      </c>
      <c r="M6908" s="142">
        <v>0</v>
      </c>
    </row>
    <row r="6909" spans="1:13" x14ac:dyDescent="0.45">
      <c r="A6909" s="142" t="s">
        <v>13042</v>
      </c>
      <c r="B6909" s="142" t="s">
        <v>15489</v>
      </c>
      <c r="C6909" s="142" t="s">
        <v>15847</v>
      </c>
      <c r="D6909" s="142" t="s">
        <v>15848</v>
      </c>
      <c r="E6909" s="142" t="s">
        <v>15849</v>
      </c>
      <c r="F6909" s="142" t="s">
        <v>7545</v>
      </c>
      <c r="G6909" s="142" t="s">
        <v>7544</v>
      </c>
      <c r="H6909" s="142" t="s">
        <v>22759</v>
      </c>
      <c r="I6909" s="142">
        <v>143</v>
      </c>
      <c r="J6909" s="142">
        <v>86</v>
      </c>
      <c r="K6909" s="142">
        <v>0</v>
      </c>
      <c r="L6909" s="142">
        <v>0</v>
      </c>
      <c r="M6909" s="142">
        <v>57</v>
      </c>
    </row>
    <row r="6910" spans="1:13" x14ac:dyDescent="0.45">
      <c r="A6910" s="142" t="s">
        <v>13070</v>
      </c>
      <c r="B6910" s="142" t="s">
        <v>15394</v>
      </c>
      <c r="C6910" s="142" t="s">
        <v>15847</v>
      </c>
      <c r="D6910" s="142" t="s">
        <v>15848</v>
      </c>
      <c r="E6910" s="142" t="s">
        <v>15849</v>
      </c>
      <c r="F6910" s="142" t="s">
        <v>7545</v>
      </c>
      <c r="G6910" s="142" t="s">
        <v>7544</v>
      </c>
      <c r="H6910" s="142" t="s">
        <v>22760</v>
      </c>
      <c r="I6910" s="142">
        <v>17</v>
      </c>
      <c r="J6910" s="142">
        <v>15</v>
      </c>
      <c r="K6910" s="142">
        <v>0</v>
      </c>
      <c r="L6910" s="142">
        <v>0</v>
      </c>
      <c r="M6910" s="142">
        <v>2</v>
      </c>
    </row>
    <row r="6911" spans="1:13" x14ac:dyDescent="0.45">
      <c r="A6911" s="142" t="s">
        <v>13016</v>
      </c>
      <c r="B6911" s="142" t="s">
        <v>14535</v>
      </c>
      <c r="C6911" s="142" t="s">
        <v>15860</v>
      </c>
      <c r="D6911" s="142" t="s">
        <v>15861</v>
      </c>
      <c r="E6911" s="142" t="s">
        <v>15849</v>
      </c>
      <c r="F6911" s="142" t="s">
        <v>7545</v>
      </c>
      <c r="G6911" s="142" t="s">
        <v>7544</v>
      </c>
      <c r="H6911" s="142" t="s">
        <v>22761</v>
      </c>
      <c r="I6911" s="142">
        <v>1</v>
      </c>
      <c r="J6911" s="142">
        <v>0</v>
      </c>
      <c r="K6911" s="142">
        <v>0</v>
      </c>
      <c r="L6911" s="142">
        <v>1</v>
      </c>
      <c r="M6911" s="142">
        <v>0</v>
      </c>
    </row>
    <row r="6912" spans="1:13" x14ac:dyDescent="0.45">
      <c r="A6912" s="142" t="s">
        <v>13166</v>
      </c>
      <c r="B6912" s="142" t="s">
        <v>15576</v>
      </c>
      <c r="C6912" s="142" t="s">
        <v>15847</v>
      </c>
      <c r="D6912" s="142" t="s">
        <v>15848</v>
      </c>
      <c r="E6912" s="142" t="s">
        <v>15849</v>
      </c>
      <c r="F6912" s="142" t="s">
        <v>5068</v>
      </c>
      <c r="G6912" s="142" t="s">
        <v>5067</v>
      </c>
      <c r="H6912" s="142" t="s">
        <v>22762</v>
      </c>
      <c r="I6912" s="142">
        <v>254</v>
      </c>
      <c r="J6912" s="142">
        <v>183</v>
      </c>
      <c r="K6912" s="142">
        <v>0</v>
      </c>
      <c r="L6912" s="142">
        <v>0</v>
      </c>
      <c r="M6912" s="142">
        <v>71</v>
      </c>
    </row>
    <row r="6913" spans="1:13" x14ac:dyDescent="0.45">
      <c r="A6913" s="142" t="s">
        <v>13167</v>
      </c>
      <c r="B6913" s="142" t="s">
        <v>15418</v>
      </c>
      <c r="C6913" s="142" t="s">
        <v>15847</v>
      </c>
      <c r="D6913" s="142" t="s">
        <v>15848</v>
      </c>
      <c r="E6913" s="142" t="s">
        <v>15849</v>
      </c>
      <c r="F6913" s="142" t="s">
        <v>5068</v>
      </c>
      <c r="G6913" s="142" t="s">
        <v>5067</v>
      </c>
      <c r="H6913" s="142" t="s">
        <v>22763</v>
      </c>
      <c r="I6913" s="142">
        <v>103</v>
      </c>
      <c r="J6913" s="142">
        <v>94</v>
      </c>
      <c r="K6913" s="142">
        <v>0</v>
      </c>
      <c r="L6913" s="142">
        <v>0</v>
      </c>
      <c r="M6913" s="142">
        <v>9</v>
      </c>
    </row>
    <row r="6914" spans="1:13" x14ac:dyDescent="0.45">
      <c r="A6914" s="142" t="s">
        <v>13072</v>
      </c>
      <c r="B6914" s="142" t="s">
        <v>15530</v>
      </c>
      <c r="C6914" s="142" t="s">
        <v>15847</v>
      </c>
      <c r="D6914" s="142" t="s">
        <v>15848</v>
      </c>
      <c r="E6914" s="142" t="s">
        <v>15849</v>
      </c>
      <c r="F6914" s="142" t="s">
        <v>5068</v>
      </c>
      <c r="G6914" s="142" t="s">
        <v>5067</v>
      </c>
      <c r="H6914" s="142" t="s">
        <v>22764</v>
      </c>
      <c r="I6914" s="142">
        <v>127</v>
      </c>
      <c r="J6914" s="142">
        <v>96</v>
      </c>
      <c r="K6914" s="142">
        <v>0</v>
      </c>
      <c r="L6914" s="142">
        <v>0</v>
      </c>
      <c r="M6914" s="142">
        <v>31</v>
      </c>
    </row>
    <row r="6915" spans="1:13" x14ac:dyDescent="0.45">
      <c r="A6915" s="142" t="s">
        <v>13021</v>
      </c>
      <c r="B6915" s="142" t="s">
        <v>15501</v>
      </c>
      <c r="C6915" s="142" t="s">
        <v>15847</v>
      </c>
      <c r="D6915" s="142" t="s">
        <v>15848</v>
      </c>
      <c r="E6915" s="142" t="s">
        <v>15849</v>
      </c>
      <c r="F6915" s="142" t="s">
        <v>5068</v>
      </c>
      <c r="G6915" s="142" t="s">
        <v>5067</v>
      </c>
      <c r="H6915" s="142" t="s">
        <v>22765</v>
      </c>
      <c r="I6915" s="142">
        <v>14</v>
      </c>
      <c r="J6915" s="142">
        <v>0</v>
      </c>
      <c r="K6915" s="142">
        <v>0</v>
      </c>
      <c r="L6915" s="142">
        <v>11</v>
      </c>
      <c r="M6915" s="142">
        <v>3</v>
      </c>
    </row>
    <row r="6916" spans="1:13" x14ac:dyDescent="0.45">
      <c r="A6916" s="142" t="s">
        <v>13023</v>
      </c>
      <c r="B6916" s="142" t="s">
        <v>15571</v>
      </c>
      <c r="C6916" s="142" t="s">
        <v>15847</v>
      </c>
      <c r="D6916" s="142" t="s">
        <v>15848</v>
      </c>
      <c r="E6916" s="142" t="s">
        <v>15849</v>
      </c>
      <c r="F6916" s="142" t="s">
        <v>5068</v>
      </c>
      <c r="G6916" s="142" t="s">
        <v>5067</v>
      </c>
      <c r="H6916" s="142" t="s">
        <v>22766</v>
      </c>
      <c r="I6916" s="142">
        <v>111</v>
      </c>
      <c r="J6916" s="142">
        <v>0</v>
      </c>
      <c r="K6916" s="142">
        <v>0</v>
      </c>
      <c r="L6916" s="142">
        <v>111</v>
      </c>
      <c r="M6916" s="142">
        <v>0</v>
      </c>
    </row>
    <row r="6917" spans="1:13" x14ac:dyDescent="0.45">
      <c r="A6917" s="142" t="s">
        <v>13047</v>
      </c>
      <c r="B6917" s="142" t="s">
        <v>14616</v>
      </c>
      <c r="C6917" s="142" t="s">
        <v>15847</v>
      </c>
      <c r="D6917" s="142" t="s">
        <v>15848</v>
      </c>
      <c r="E6917" s="142" t="s">
        <v>15849</v>
      </c>
      <c r="F6917" s="142" t="s">
        <v>5068</v>
      </c>
      <c r="G6917" s="142" t="s">
        <v>5067</v>
      </c>
      <c r="H6917" s="142" t="s">
        <v>22767</v>
      </c>
      <c r="I6917" s="142">
        <v>9</v>
      </c>
      <c r="J6917" s="142">
        <v>2</v>
      </c>
      <c r="K6917" s="142">
        <v>0</v>
      </c>
      <c r="L6917" s="142">
        <v>0</v>
      </c>
      <c r="M6917" s="142">
        <v>7</v>
      </c>
    </row>
    <row r="6918" spans="1:13" x14ac:dyDescent="0.45">
      <c r="A6918" s="142" t="s">
        <v>14149</v>
      </c>
      <c r="B6918" s="142" t="s">
        <v>15020</v>
      </c>
      <c r="C6918" s="142" t="s">
        <v>15860</v>
      </c>
      <c r="D6918" s="142" t="s">
        <v>15861</v>
      </c>
      <c r="E6918" s="142" t="s">
        <v>15849</v>
      </c>
      <c r="F6918" s="142" t="s">
        <v>5068</v>
      </c>
      <c r="G6918" s="142" t="s">
        <v>5067</v>
      </c>
      <c r="H6918" s="142" t="s">
        <v>22768</v>
      </c>
      <c r="I6918" s="142">
        <v>21</v>
      </c>
      <c r="J6918" s="142">
        <v>21</v>
      </c>
      <c r="K6918" s="142">
        <v>0</v>
      </c>
      <c r="L6918" s="142">
        <v>0</v>
      </c>
      <c r="M6918" s="142">
        <v>0</v>
      </c>
    </row>
    <row r="6919" spans="1:13" x14ac:dyDescent="0.45">
      <c r="A6919" s="142" t="s">
        <v>13027</v>
      </c>
      <c r="B6919" s="142" t="s">
        <v>14562</v>
      </c>
      <c r="C6919" s="142" t="s">
        <v>15847</v>
      </c>
      <c r="D6919" s="142" t="s">
        <v>15848</v>
      </c>
      <c r="E6919" s="142" t="s">
        <v>15849</v>
      </c>
      <c r="F6919" s="142" t="s">
        <v>5068</v>
      </c>
      <c r="G6919" s="142" t="s">
        <v>5067</v>
      </c>
      <c r="H6919" s="142" t="s">
        <v>22769</v>
      </c>
      <c r="I6919" s="142">
        <v>20</v>
      </c>
      <c r="J6919" s="142">
        <v>0</v>
      </c>
      <c r="K6919" s="142">
        <v>0</v>
      </c>
      <c r="L6919" s="142">
        <v>20</v>
      </c>
      <c r="M6919" s="142">
        <v>0</v>
      </c>
    </row>
    <row r="6920" spans="1:13" x14ac:dyDescent="0.45">
      <c r="A6920" s="142" t="s">
        <v>13752</v>
      </c>
      <c r="B6920" s="142" t="s">
        <v>14517</v>
      </c>
      <c r="C6920" s="142" t="s">
        <v>15847</v>
      </c>
      <c r="D6920" s="142" t="s">
        <v>15848</v>
      </c>
      <c r="E6920" s="142" t="s">
        <v>15849</v>
      </c>
      <c r="F6920" s="142" t="s">
        <v>5068</v>
      </c>
      <c r="G6920" s="142" t="s">
        <v>5067</v>
      </c>
      <c r="H6920" s="142" t="s">
        <v>22770</v>
      </c>
      <c r="I6920" s="142">
        <v>485</v>
      </c>
      <c r="J6920" s="142">
        <v>302</v>
      </c>
      <c r="K6920" s="142">
        <v>0</v>
      </c>
      <c r="L6920" s="142">
        <v>0</v>
      </c>
      <c r="M6920" s="142">
        <v>183</v>
      </c>
    </row>
    <row r="6921" spans="1:13" x14ac:dyDescent="0.45">
      <c r="A6921" s="142" t="s">
        <v>13359</v>
      </c>
      <c r="B6921" s="142" t="s">
        <v>14671</v>
      </c>
      <c r="C6921" s="142" t="s">
        <v>15860</v>
      </c>
      <c r="D6921" s="142" t="s">
        <v>15861</v>
      </c>
      <c r="E6921" s="142" t="s">
        <v>15849</v>
      </c>
      <c r="F6921" s="142" t="s">
        <v>5068</v>
      </c>
      <c r="G6921" s="142" t="s">
        <v>5067</v>
      </c>
      <c r="H6921" s="142" t="s">
        <v>22771</v>
      </c>
      <c r="I6921" s="142">
        <v>69</v>
      </c>
      <c r="J6921" s="142">
        <v>69</v>
      </c>
      <c r="K6921" s="142">
        <v>0</v>
      </c>
      <c r="L6921" s="142">
        <v>0</v>
      </c>
      <c r="M6921" s="142">
        <v>0</v>
      </c>
    </row>
    <row r="6922" spans="1:13" x14ac:dyDescent="0.45">
      <c r="A6922" s="142" t="s">
        <v>13028</v>
      </c>
      <c r="B6922" s="142" t="s">
        <v>14462</v>
      </c>
      <c r="C6922" s="142" t="s">
        <v>15847</v>
      </c>
      <c r="D6922" s="142" t="s">
        <v>15848</v>
      </c>
      <c r="E6922" s="142" t="s">
        <v>15849</v>
      </c>
      <c r="F6922" s="142" t="s">
        <v>5068</v>
      </c>
      <c r="G6922" s="142" t="s">
        <v>5067</v>
      </c>
      <c r="H6922" s="142" t="s">
        <v>22772</v>
      </c>
      <c r="I6922" s="142">
        <v>27</v>
      </c>
      <c r="J6922" s="142">
        <v>0</v>
      </c>
      <c r="K6922" s="142">
        <v>0</v>
      </c>
      <c r="L6922" s="142">
        <v>0</v>
      </c>
      <c r="M6922" s="142">
        <v>27</v>
      </c>
    </row>
    <row r="6923" spans="1:13" x14ac:dyDescent="0.45">
      <c r="A6923" s="142" t="s">
        <v>13002</v>
      </c>
      <c r="B6923" s="142" t="s">
        <v>15376</v>
      </c>
      <c r="C6923" s="142" t="s">
        <v>15847</v>
      </c>
      <c r="D6923" s="142" t="s">
        <v>15848</v>
      </c>
      <c r="E6923" s="142" t="s">
        <v>15849</v>
      </c>
      <c r="F6923" s="142" t="s">
        <v>5068</v>
      </c>
      <c r="G6923" s="142" t="s">
        <v>5067</v>
      </c>
      <c r="H6923" s="142" t="s">
        <v>22773</v>
      </c>
      <c r="I6923" s="142">
        <v>72</v>
      </c>
      <c r="J6923" s="142">
        <v>0</v>
      </c>
      <c r="K6923" s="142">
        <v>0</v>
      </c>
      <c r="L6923" s="142">
        <v>72</v>
      </c>
      <c r="M6923" s="142">
        <v>0</v>
      </c>
    </row>
    <row r="6924" spans="1:13" x14ac:dyDescent="0.45">
      <c r="A6924" s="142" t="s">
        <v>13003</v>
      </c>
      <c r="B6924" s="142" t="s">
        <v>15245</v>
      </c>
      <c r="C6924" s="142" t="s">
        <v>15847</v>
      </c>
      <c r="D6924" s="142" t="s">
        <v>15848</v>
      </c>
      <c r="E6924" s="142" t="s">
        <v>15849</v>
      </c>
      <c r="F6924" s="142" t="s">
        <v>5068</v>
      </c>
      <c r="G6924" s="142" t="s">
        <v>5067</v>
      </c>
      <c r="H6924" s="142" t="s">
        <v>22774</v>
      </c>
      <c r="I6924" s="142">
        <v>38</v>
      </c>
      <c r="J6924" s="142">
        <v>0</v>
      </c>
      <c r="K6924" s="142">
        <v>0</v>
      </c>
      <c r="L6924" s="142">
        <v>38</v>
      </c>
      <c r="M6924" s="142">
        <v>0</v>
      </c>
    </row>
    <row r="6925" spans="1:13" x14ac:dyDescent="0.45">
      <c r="A6925" s="142" t="s">
        <v>13051</v>
      </c>
      <c r="B6925" s="142" t="s">
        <v>14509</v>
      </c>
      <c r="C6925" s="142" t="s">
        <v>15860</v>
      </c>
      <c r="D6925" s="142" t="s">
        <v>15861</v>
      </c>
      <c r="E6925" s="142" t="s">
        <v>15849</v>
      </c>
      <c r="F6925" s="142" t="s">
        <v>5068</v>
      </c>
      <c r="G6925" s="142" t="s">
        <v>5067</v>
      </c>
      <c r="H6925" s="142" t="s">
        <v>22775</v>
      </c>
      <c r="I6925" s="142">
        <v>6</v>
      </c>
      <c r="J6925" s="142">
        <v>0</v>
      </c>
      <c r="K6925" s="142">
        <v>0</v>
      </c>
      <c r="L6925" s="142">
        <v>6</v>
      </c>
      <c r="M6925" s="142">
        <v>0</v>
      </c>
    </row>
    <row r="6926" spans="1:13" x14ac:dyDescent="0.45">
      <c r="A6926" s="142" t="s">
        <v>13005</v>
      </c>
      <c r="B6926" s="142" t="s">
        <v>15475</v>
      </c>
      <c r="C6926" s="142" t="s">
        <v>15847</v>
      </c>
      <c r="D6926" s="142" t="s">
        <v>15848</v>
      </c>
      <c r="E6926" s="142" t="s">
        <v>15849</v>
      </c>
      <c r="F6926" s="142" t="s">
        <v>5068</v>
      </c>
      <c r="G6926" s="142" t="s">
        <v>5067</v>
      </c>
      <c r="H6926" s="142" t="s">
        <v>22776</v>
      </c>
      <c r="I6926" s="142">
        <v>5</v>
      </c>
      <c r="J6926" s="142">
        <v>0</v>
      </c>
      <c r="K6926" s="142">
        <v>0</v>
      </c>
      <c r="L6926" s="142">
        <v>4</v>
      </c>
      <c r="M6926" s="142">
        <v>1</v>
      </c>
    </row>
    <row r="6927" spans="1:13" x14ac:dyDescent="0.45">
      <c r="A6927" s="142" t="s">
        <v>13006</v>
      </c>
      <c r="B6927" s="142" t="s">
        <v>15288</v>
      </c>
      <c r="C6927" s="142" t="s">
        <v>15847</v>
      </c>
      <c r="D6927" s="142" t="s">
        <v>15848</v>
      </c>
      <c r="E6927" s="142" t="s">
        <v>15849</v>
      </c>
      <c r="F6927" s="142" t="s">
        <v>5068</v>
      </c>
      <c r="G6927" s="142" t="s">
        <v>5067</v>
      </c>
      <c r="H6927" s="142" t="s">
        <v>22777</v>
      </c>
      <c r="I6927" s="142">
        <v>570</v>
      </c>
      <c r="J6927" s="142">
        <v>464</v>
      </c>
      <c r="K6927" s="142">
        <v>0</v>
      </c>
      <c r="L6927" s="142">
        <v>0</v>
      </c>
      <c r="M6927" s="142">
        <v>106</v>
      </c>
    </row>
    <row r="6928" spans="1:13" x14ac:dyDescent="0.45">
      <c r="A6928" s="142" t="s">
        <v>13007</v>
      </c>
      <c r="B6928" s="142" t="s">
        <v>15262</v>
      </c>
      <c r="C6928" s="142" t="s">
        <v>15847</v>
      </c>
      <c r="D6928" s="142" t="s">
        <v>15848</v>
      </c>
      <c r="E6928" s="142" t="s">
        <v>15849</v>
      </c>
      <c r="F6928" s="142" t="s">
        <v>5068</v>
      </c>
      <c r="G6928" s="142" t="s">
        <v>5067</v>
      </c>
      <c r="H6928" s="142" t="s">
        <v>22778</v>
      </c>
      <c r="I6928" s="142">
        <v>4</v>
      </c>
      <c r="J6928" s="142">
        <v>0</v>
      </c>
      <c r="K6928" s="142">
        <v>0</v>
      </c>
      <c r="L6928" s="142">
        <v>0</v>
      </c>
      <c r="M6928" s="142">
        <v>4</v>
      </c>
    </row>
    <row r="6929" spans="1:13" x14ac:dyDescent="0.45">
      <c r="A6929" s="142" t="s">
        <v>13568</v>
      </c>
      <c r="B6929" s="142" t="s">
        <v>15242</v>
      </c>
      <c r="C6929" s="142" t="s">
        <v>15847</v>
      </c>
      <c r="D6929" s="142" t="s">
        <v>15848</v>
      </c>
      <c r="E6929" s="142" t="s">
        <v>15849</v>
      </c>
      <c r="F6929" s="142" t="s">
        <v>5068</v>
      </c>
      <c r="G6929" s="142" t="s">
        <v>5067</v>
      </c>
      <c r="H6929" s="142" t="s">
        <v>22779</v>
      </c>
      <c r="I6929" s="142">
        <v>20</v>
      </c>
      <c r="J6929" s="142">
        <v>14</v>
      </c>
      <c r="K6929" s="142">
        <v>0</v>
      </c>
      <c r="L6929" s="142">
        <v>0</v>
      </c>
      <c r="M6929" s="142">
        <v>6</v>
      </c>
    </row>
    <row r="6930" spans="1:13" x14ac:dyDescent="0.45">
      <c r="A6930" s="142" t="s">
        <v>13054</v>
      </c>
      <c r="B6930" s="142" t="s">
        <v>15604</v>
      </c>
      <c r="C6930" s="142" t="s">
        <v>15847</v>
      </c>
      <c r="D6930" s="142" t="s">
        <v>15848</v>
      </c>
      <c r="E6930" s="142" t="s">
        <v>15849</v>
      </c>
      <c r="F6930" s="142" t="s">
        <v>5068</v>
      </c>
      <c r="G6930" s="142" t="s">
        <v>5067</v>
      </c>
      <c r="H6930" s="142" t="s">
        <v>22780</v>
      </c>
      <c r="I6930" s="142">
        <v>1</v>
      </c>
      <c r="J6930" s="142">
        <v>0</v>
      </c>
      <c r="K6930" s="142">
        <v>0</v>
      </c>
      <c r="L6930" s="142">
        <v>0</v>
      </c>
      <c r="M6930" s="142">
        <v>1</v>
      </c>
    </row>
    <row r="6931" spans="1:13" x14ac:dyDescent="0.45">
      <c r="A6931" s="142" t="s">
        <v>13636</v>
      </c>
      <c r="B6931" s="142" t="s">
        <v>14440</v>
      </c>
      <c r="C6931" s="142" t="s">
        <v>15860</v>
      </c>
      <c r="D6931" s="142" t="s">
        <v>15861</v>
      </c>
      <c r="E6931" s="142" t="s">
        <v>15849</v>
      </c>
      <c r="F6931" s="142" t="s">
        <v>5068</v>
      </c>
      <c r="G6931" s="142" t="s">
        <v>5067</v>
      </c>
      <c r="H6931" s="142" t="s">
        <v>22781</v>
      </c>
      <c r="I6931" s="142">
        <v>43</v>
      </c>
      <c r="J6931" s="142">
        <v>43</v>
      </c>
      <c r="K6931" s="142">
        <v>0</v>
      </c>
      <c r="L6931" s="142">
        <v>0</v>
      </c>
      <c r="M6931" s="142">
        <v>0</v>
      </c>
    </row>
    <row r="6932" spans="1:13" x14ac:dyDescent="0.45">
      <c r="A6932" s="142" t="s">
        <v>13171</v>
      </c>
      <c r="B6932" s="142" t="s">
        <v>14523</v>
      </c>
      <c r="C6932" s="142" t="s">
        <v>15860</v>
      </c>
      <c r="D6932" s="142" t="s">
        <v>15861</v>
      </c>
      <c r="E6932" s="142" t="s">
        <v>15849</v>
      </c>
      <c r="F6932" s="142" t="s">
        <v>5068</v>
      </c>
      <c r="G6932" s="142" t="s">
        <v>5067</v>
      </c>
      <c r="H6932" s="142" t="s">
        <v>22782</v>
      </c>
      <c r="I6932" s="142">
        <v>50</v>
      </c>
      <c r="J6932" s="142">
        <v>50</v>
      </c>
      <c r="K6932" s="142">
        <v>0</v>
      </c>
      <c r="L6932" s="142">
        <v>0</v>
      </c>
      <c r="M6932" s="142">
        <v>0</v>
      </c>
    </row>
    <row r="6933" spans="1:13" x14ac:dyDescent="0.45">
      <c r="A6933" s="142" t="s">
        <v>13037</v>
      </c>
      <c r="B6933" s="142" t="s">
        <v>14519</v>
      </c>
      <c r="C6933" s="142" t="s">
        <v>15847</v>
      </c>
      <c r="D6933" s="142" t="s">
        <v>15848</v>
      </c>
      <c r="E6933" s="142" t="s">
        <v>15849</v>
      </c>
      <c r="F6933" s="142" t="s">
        <v>5068</v>
      </c>
      <c r="G6933" s="142" t="s">
        <v>5067</v>
      </c>
      <c r="H6933" s="142" t="s">
        <v>22783</v>
      </c>
      <c r="I6933" s="142">
        <v>6</v>
      </c>
      <c r="J6933" s="142">
        <v>0</v>
      </c>
      <c r="K6933" s="142">
        <v>0</v>
      </c>
      <c r="L6933" s="142">
        <v>6</v>
      </c>
      <c r="M6933" s="142">
        <v>0</v>
      </c>
    </row>
    <row r="6934" spans="1:13" x14ac:dyDescent="0.45">
      <c r="A6934" s="142" t="s">
        <v>13009</v>
      </c>
      <c r="B6934" s="142" t="s">
        <v>15256</v>
      </c>
      <c r="C6934" s="142" t="s">
        <v>15847</v>
      </c>
      <c r="D6934" s="142" t="s">
        <v>15848</v>
      </c>
      <c r="E6934" s="142" t="s">
        <v>15849</v>
      </c>
      <c r="F6934" s="142" t="s">
        <v>5068</v>
      </c>
      <c r="G6934" s="142" t="s">
        <v>5067</v>
      </c>
      <c r="H6934" s="142" t="s">
        <v>22784</v>
      </c>
      <c r="I6934" s="142">
        <v>159</v>
      </c>
      <c r="J6934" s="142">
        <v>0</v>
      </c>
      <c r="K6934" s="142">
        <v>0</v>
      </c>
      <c r="L6934" s="142">
        <v>134</v>
      </c>
      <c r="M6934" s="142">
        <v>25</v>
      </c>
    </row>
    <row r="6935" spans="1:13" x14ac:dyDescent="0.45">
      <c r="A6935" s="142" t="s">
        <v>13011</v>
      </c>
      <c r="B6935" s="142" t="s">
        <v>14695</v>
      </c>
      <c r="C6935" s="142" t="s">
        <v>15847</v>
      </c>
      <c r="D6935" s="142" t="s">
        <v>15848</v>
      </c>
      <c r="E6935" s="142" t="s">
        <v>15849</v>
      </c>
      <c r="F6935" s="142" t="s">
        <v>5068</v>
      </c>
      <c r="G6935" s="142" t="s">
        <v>5067</v>
      </c>
      <c r="H6935" s="142" t="s">
        <v>22785</v>
      </c>
      <c r="I6935" s="142">
        <v>333</v>
      </c>
      <c r="J6935" s="142">
        <v>247</v>
      </c>
      <c r="K6935" s="142">
        <v>0</v>
      </c>
      <c r="L6935" s="142">
        <v>24</v>
      </c>
      <c r="M6935" s="142">
        <v>62</v>
      </c>
    </row>
    <row r="6936" spans="1:13" x14ac:dyDescent="0.45">
      <c r="A6936" s="142" t="s">
        <v>13058</v>
      </c>
      <c r="B6936" s="142" t="s">
        <v>14584</v>
      </c>
      <c r="C6936" s="142" t="s">
        <v>15847</v>
      </c>
      <c r="D6936" s="142" t="s">
        <v>15848</v>
      </c>
      <c r="E6936" s="142" t="s">
        <v>15849</v>
      </c>
      <c r="F6936" s="142" t="s">
        <v>5068</v>
      </c>
      <c r="G6936" s="142" t="s">
        <v>5067</v>
      </c>
      <c r="H6936" s="142" t="s">
        <v>22786</v>
      </c>
      <c r="I6936" s="142">
        <v>7</v>
      </c>
      <c r="J6936" s="142">
        <v>2</v>
      </c>
      <c r="K6936" s="142">
        <v>0</v>
      </c>
      <c r="L6936" s="142">
        <v>5</v>
      </c>
      <c r="M6936" s="142">
        <v>0</v>
      </c>
    </row>
    <row r="6937" spans="1:13" x14ac:dyDescent="0.45">
      <c r="A6937" s="142" t="s">
        <v>13012</v>
      </c>
      <c r="B6937" s="142" t="s">
        <v>15337</v>
      </c>
      <c r="C6937" s="142" t="s">
        <v>15847</v>
      </c>
      <c r="D6937" s="142" t="s">
        <v>15848</v>
      </c>
      <c r="E6937" s="142" t="s">
        <v>15849</v>
      </c>
      <c r="F6937" s="142" t="s">
        <v>5068</v>
      </c>
      <c r="G6937" s="142" t="s">
        <v>5067</v>
      </c>
      <c r="H6937" s="142" t="s">
        <v>22787</v>
      </c>
      <c r="I6937" s="142">
        <v>101</v>
      </c>
      <c r="J6937" s="142">
        <v>77</v>
      </c>
      <c r="K6937" s="142">
        <v>0</v>
      </c>
      <c r="L6937" s="142">
        <v>23</v>
      </c>
      <c r="M6937" s="142">
        <v>1</v>
      </c>
    </row>
    <row r="6938" spans="1:13" x14ac:dyDescent="0.45">
      <c r="A6938" s="142" t="s">
        <v>13060</v>
      </c>
      <c r="B6938" s="142" t="s">
        <v>14470</v>
      </c>
      <c r="C6938" s="142" t="s">
        <v>15847</v>
      </c>
      <c r="D6938" s="142" t="s">
        <v>15848</v>
      </c>
      <c r="E6938" s="142" t="s">
        <v>15849</v>
      </c>
      <c r="F6938" s="142" t="s">
        <v>5068</v>
      </c>
      <c r="G6938" s="142" t="s">
        <v>5067</v>
      </c>
      <c r="H6938" s="142" t="s">
        <v>22788</v>
      </c>
      <c r="I6938" s="142">
        <v>23</v>
      </c>
      <c r="J6938" s="142">
        <v>17</v>
      </c>
      <c r="K6938" s="142">
        <v>0</v>
      </c>
      <c r="L6938" s="142">
        <v>0</v>
      </c>
      <c r="M6938" s="142">
        <v>6</v>
      </c>
    </row>
    <row r="6939" spans="1:13" x14ac:dyDescent="0.45">
      <c r="A6939" s="142" t="s">
        <v>13042</v>
      </c>
      <c r="B6939" s="142" t="s">
        <v>15489</v>
      </c>
      <c r="C6939" s="142" t="s">
        <v>15847</v>
      </c>
      <c r="D6939" s="142" t="s">
        <v>15848</v>
      </c>
      <c r="E6939" s="142" t="s">
        <v>15849</v>
      </c>
      <c r="F6939" s="142" t="s">
        <v>5068</v>
      </c>
      <c r="G6939" s="142" t="s">
        <v>5067</v>
      </c>
      <c r="H6939" s="142" t="s">
        <v>22789</v>
      </c>
      <c r="I6939" s="142">
        <v>25</v>
      </c>
      <c r="J6939" s="142">
        <v>0</v>
      </c>
      <c r="K6939" s="142">
        <v>0</v>
      </c>
      <c r="L6939" s="142">
        <v>25</v>
      </c>
      <c r="M6939" s="142">
        <v>0</v>
      </c>
    </row>
    <row r="6940" spans="1:13" x14ac:dyDescent="0.45">
      <c r="A6940" s="142" t="s">
        <v>13750</v>
      </c>
      <c r="B6940" s="142" t="s">
        <v>14858</v>
      </c>
      <c r="C6940" s="142" t="s">
        <v>15860</v>
      </c>
      <c r="D6940" s="142" t="s">
        <v>15861</v>
      </c>
      <c r="E6940" s="142" t="s">
        <v>15849</v>
      </c>
      <c r="F6940" s="142" t="s">
        <v>5068</v>
      </c>
      <c r="G6940" s="142" t="s">
        <v>5067</v>
      </c>
      <c r="H6940" s="142" t="s">
        <v>22790</v>
      </c>
      <c r="I6940" s="142">
        <v>34</v>
      </c>
      <c r="J6940" s="142">
        <v>0</v>
      </c>
      <c r="K6940" s="142">
        <v>0</v>
      </c>
      <c r="L6940" s="142">
        <v>34</v>
      </c>
      <c r="M6940" s="142">
        <v>0</v>
      </c>
    </row>
    <row r="6941" spans="1:13" x14ac:dyDescent="0.45">
      <c r="A6941" s="142" t="s">
        <v>13173</v>
      </c>
      <c r="B6941" s="142" t="s">
        <v>15590</v>
      </c>
      <c r="C6941" s="142" t="s">
        <v>15860</v>
      </c>
      <c r="D6941" s="142" t="s">
        <v>15861</v>
      </c>
      <c r="E6941" s="142" t="s">
        <v>15849</v>
      </c>
      <c r="F6941" s="142" t="s">
        <v>5068</v>
      </c>
      <c r="G6941" s="142" t="s">
        <v>5067</v>
      </c>
      <c r="H6941" s="142" t="s">
        <v>22791</v>
      </c>
      <c r="I6941" s="142">
        <v>13</v>
      </c>
      <c r="J6941" s="142">
        <v>0</v>
      </c>
      <c r="K6941" s="142">
        <v>5</v>
      </c>
      <c r="L6941" s="142">
        <v>8</v>
      </c>
      <c r="M6941" s="142">
        <v>0</v>
      </c>
    </row>
    <row r="6942" spans="1:13" x14ac:dyDescent="0.45">
      <c r="A6942" s="142" t="s">
        <v>13174</v>
      </c>
      <c r="B6942" s="142" t="s">
        <v>15280</v>
      </c>
      <c r="C6942" s="142" t="s">
        <v>15847</v>
      </c>
      <c r="D6942" s="142" t="s">
        <v>15848</v>
      </c>
      <c r="E6942" s="142" t="s">
        <v>15849</v>
      </c>
      <c r="F6942" s="142" t="s">
        <v>5068</v>
      </c>
      <c r="G6942" s="142" t="s">
        <v>5067</v>
      </c>
      <c r="H6942" s="142" t="s">
        <v>22792</v>
      </c>
      <c r="I6942" s="142">
        <v>43</v>
      </c>
      <c r="J6942" s="142">
        <v>10</v>
      </c>
      <c r="K6942" s="142">
        <v>0</v>
      </c>
      <c r="L6942" s="142">
        <v>0</v>
      </c>
      <c r="M6942" s="142">
        <v>33</v>
      </c>
    </row>
    <row r="6943" spans="1:13" x14ac:dyDescent="0.45">
      <c r="A6943" s="142" t="s">
        <v>13015</v>
      </c>
      <c r="B6943" s="142" t="s">
        <v>14596</v>
      </c>
      <c r="C6943" s="142" t="s">
        <v>15847</v>
      </c>
      <c r="D6943" s="142" t="s">
        <v>15848</v>
      </c>
      <c r="E6943" s="142" t="s">
        <v>15849</v>
      </c>
      <c r="F6943" s="142" t="s">
        <v>5068</v>
      </c>
      <c r="G6943" s="142" t="s">
        <v>5067</v>
      </c>
      <c r="H6943" s="142" t="s">
        <v>22793</v>
      </c>
      <c r="I6943" s="142">
        <v>4956</v>
      </c>
      <c r="J6943" s="142">
        <v>4317</v>
      </c>
      <c r="K6943" s="142">
        <v>0</v>
      </c>
      <c r="L6943" s="142">
        <v>356</v>
      </c>
      <c r="M6943" s="142">
        <v>283</v>
      </c>
    </row>
    <row r="6944" spans="1:13" x14ac:dyDescent="0.45">
      <c r="A6944" s="142" t="s">
        <v>13072</v>
      </c>
      <c r="B6944" s="142" t="s">
        <v>15530</v>
      </c>
      <c r="C6944" s="142" t="s">
        <v>15847</v>
      </c>
      <c r="D6944" s="142" t="s">
        <v>15848</v>
      </c>
      <c r="E6944" s="142" t="s">
        <v>15849</v>
      </c>
      <c r="F6944" s="142" t="s">
        <v>982</v>
      </c>
      <c r="G6944" s="142" t="s">
        <v>981</v>
      </c>
      <c r="H6944" s="142" t="s">
        <v>22794</v>
      </c>
      <c r="I6944" s="142">
        <v>103</v>
      </c>
      <c r="J6944" s="142">
        <v>91</v>
      </c>
      <c r="K6944" s="142">
        <v>0</v>
      </c>
      <c r="L6944" s="142">
        <v>0</v>
      </c>
      <c r="M6944" s="142">
        <v>12</v>
      </c>
    </row>
    <row r="6945" spans="1:13" x14ac:dyDescent="0.45">
      <c r="A6945" s="142" t="s">
        <v>13021</v>
      </c>
      <c r="B6945" s="142" t="s">
        <v>15501</v>
      </c>
      <c r="C6945" s="142" t="s">
        <v>15847</v>
      </c>
      <c r="D6945" s="142" t="s">
        <v>15848</v>
      </c>
      <c r="E6945" s="142" t="s">
        <v>15849</v>
      </c>
      <c r="F6945" s="142" t="s">
        <v>982</v>
      </c>
      <c r="G6945" s="142" t="s">
        <v>981</v>
      </c>
      <c r="H6945" s="142" t="s">
        <v>22795</v>
      </c>
      <c r="I6945" s="142">
        <v>9</v>
      </c>
      <c r="J6945" s="142">
        <v>0</v>
      </c>
      <c r="K6945" s="142">
        <v>0</v>
      </c>
      <c r="L6945" s="142">
        <v>7</v>
      </c>
      <c r="M6945" s="142">
        <v>2</v>
      </c>
    </row>
    <row r="6946" spans="1:13" x14ac:dyDescent="0.45">
      <c r="A6946" s="142" t="s">
        <v>13022</v>
      </c>
      <c r="B6946" s="142" t="s">
        <v>14634</v>
      </c>
      <c r="C6946" s="142" t="s">
        <v>15847</v>
      </c>
      <c r="D6946" s="142" t="s">
        <v>15848</v>
      </c>
      <c r="E6946" s="142" t="s">
        <v>15849</v>
      </c>
      <c r="F6946" s="142" t="s">
        <v>982</v>
      </c>
      <c r="G6946" s="142" t="s">
        <v>981</v>
      </c>
      <c r="H6946" s="142" t="s">
        <v>22796</v>
      </c>
      <c r="I6946" s="142">
        <v>1394</v>
      </c>
      <c r="J6946" s="142">
        <v>1135</v>
      </c>
      <c r="K6946" s="142">
        <v>0</v>
      </c>
      <c r="L6946" s="142">
        <v>172</v>
      </c>
      <c r="M6946" s="142">
        <v>87</v>
      </c>
    </row>
    <row r="6947" spans="1:13" x14ac:dyDescent="0.45">
      <c r="A6947" s="142" t="s">
        <v>13198</v>
      </c>
      <c r="B6947" s="142" t="s">
        <v>15602</v>
      </c>
      <c r="C6947" s="142" t="s">
        <v>15847</v>
      </c>
      <c r="D6947" s="142" t="s">
        <v>15848</v>
      </c>
      <c r="E6947" s="142" t="s">
        <v>15849</v>
      </c>
      <c r="F6947" s="142" t="s">
        <v>982</v>
      </c>
      <c r="G6947" s="142" t="s">
        <v>981</v>
      </c>
      <c r="H6947" s="142" t="s">
        <v>22797</v>
      </c>
      <c r="I6947" s="142">
        <v>15</v>
      </c>
      <c r="J6947" s="142">
        <v>9</v>
      </c>
      <c r="K6947" s="142">
        <v>0</v>
      </c>
      <c r="L6947" s="142">
        <v>0</v>
      </c>
      <c r="M6947" s="142">
        <v>6</v>
      </c>
    </row>
    <row r="6948" spans="1:13" x14ac:dyDescent="0.45">
      <c r="A6948" s="142" t="s">
        <v>13024</v>
      </c>
      <c r="B6948" s="142" t="s">
        <v>14538</v>
      </c>
      <c r="C6948" s="142" t="s">
        <v>15847</v>
      </c>
      <c r="D6948" s="142" t="s">
        <v>15848</v>
      </c>
      <c r="E6948" s="142" t="s">
        <v>15849</v>
      </c>
      <c r="F6948" s="142" t="s">
        <v>982</v>
      </c>
      <c r="G6948" s="142" t="s">
        <v>981</v>
      </c>
      <c r="H6948" s="142" t="s">
        <v>22798</v>
      </c>
      <c r="I6948" s="142">
        <v>9</v>
      </c>
      <c r="J6948" s="142">
        <v>3</v>
      </c>
      <c r="K6948" s="142">
        <v>0</v>
      </c>
      <c r="L6948" s="142">
        <v>0</v>
      </c>
      <c r="M6948" s="142">
        <v>6</v>
      </c>
    </row>
    <row r="6949" spans="1:13" x14ac:dyDescent="0.45">
      <c r="A6949" s="142" t="s">
        <v>13028</v>
      </c>
      <c r="B6949" s="142" t="s">
        <v>14462</v>
      </c>
      <c r="C6949" s="142" t="s">
        <v>15847</v>
      </c>
      <c r="D6949" s="142" t="s">
        <v>15848</v>
      </c>
      <c r="E6949" s="142" t="s">
        <v>15849</v>
      </c>
      <c r="F6949" s="142" t="s">
        <v>982</v>
      </c>
      <c r="G6949" s="142" t="s">
        <v>981</v>
      </c>
      <c r="H6949" s="142" t="s">
        <v>22799</v>
      </c>
      <c r="I6949" s="142">
        <v>11</v>
      </c>
      <c r="J6949" s="142">
        <v>0</v>
      </c>
      <c r="K6949" s="142">
        <v>0</v>
      </c>
      <c r="L6949" s="142">
        <v>0</v>
      </c>
      <c r="M6949" s="142">
        <v>11</v>
      </c>
    </row>
    <row r="6950" spans="1:13" x14ac:dyDescent="0.45">
      <c r="A6950" s="142" t="s">
        <v>13296</v>
      </c>
      <c r="B6950" s="142" t="s">
        <v>15387</v>
      </c>
      <c r="C6950" s="142" t="s">
        <v>15860</v>
      </c>
      <c r="D6950" s="142" t="s">
        <v>15861</v>
      </c>
      <c r="E6950" s="142" t="s">
        <v>15849</v>
      </c>
      <c r="F6950" s="142" t="s">
        <v>982</v>
      </c>
      <c r="G6950" s="142" t="s">
        <v>981</v>
      </c>
      <c r="H6950" s="142" t="s">
        <v>22800</v>
      </c>
      <c r="I6950" s="142">
        <v>13</v>
      </c>
      <c r="J6950" s="142">
        <v>13</v>
      </c>
      <c r="K6950" s="142">
        <v>0</v>
      </c>
      <c r="L6950" s="142">
        <v>0</v>
      </c>
      <c r="M6950" s="142">
        <v>0</v>
      </c>
    </row>
    <row r="6951" spans="1:13" x14ac:dyDescent="0.45">
      <c r="A6951" s="142" t="s">
        <v>13284</v>
      </c>
      <c r="B6951" s="142" t="s">
        <v>15364</v>
      </c>
      <c r="C6951" s="142" t="s">
        <v>15847</v>
      </c>
      <c r="D6951" s="142" t="s">
        <v>15848</v>
      </c>
      <c r="E6951" s="142" t="s">
        <v>15849</v>
      </c>
      <c r="F6951" s="142" t="s">
        <v>982</v>
      </c>
      <c r="G6951" s="142" t="s">
        <v>981</v>
      </c>
      <c r="H6951" s="142" t="s">
        <v>22801</v>
      </c>
      <c r="I6951" s="142">
        <v>5</v>
      </c>
      <c r="J6951" s="142">
        <v>0</v>
      </c>
      <c r="K6951" s="142">
        <v>0</v>
      </c>
      <c r="L6951" s="142">
        <v>0</v>
      </c>
      <c r="M6951" s="142">
        <v>5</v>
      </c>
    </row>
    <row r="6952" spans="1:13" x14ac:dyDescent="0.45">
      <c r="A6952" s="142" t="s">
        <v>13030</v>
      </c>
      <c r="B6952" s="142" t="s">
        <v>14572</v>
      </c>
      <c r="C6952" s="142" t="s">
        <v>15847</v>
      </c>
      <c r="D6952" s="142" t="s">
        <v>15848</v>
      </c>
      <c r="E6952" s="142" t="s">
        <v>15849</v>
      </c>
      <c r="F6952" s="142" t="s">
        <v>982</v>
      </c>
      <c r="G6952" s="142" t="s">
        <v>981</v>
      </c>
      <c r="H6952" s="142" t="s">
        <v>22802</v>
      </c>
      <c r="I6952" s="142">
        <v>148</v>
      </c>
      <c r="J6952" s="142">
        <v>111</v>
      </c>
      <c r="K6952" s="142">
        <v>0</v>
      </c>
      <c r="L6952" s="142">
        <v>14</v>
      </c>
      <c r="M6952" s="142">
        <v>23</v>
      </c>
    </row>
    <row r="6953" spans="1:13" x14ac:dyDescent="0.45">
      <c r="A6953" s="142" t="s">
        <v>13055</v>
      </c>
      <c r="B6953" s="142" t="s">
        <v>14595</v>
      </c>
      <c r="C6953" s="142" t="s">
        <v>15847</v>
      </c>
      <c r="D6953" s="142" t="s">
        <v>15848</v>
      </c>
      <c r="E6953" s="142" t="s">
        <v>15849</v>
      </c>
      <c r="F6953" s="142" t="s">
        <v>982</v>
      </c>
      <c r="G6953" s="142" t="s">
        <v>981</v>
      </c>
      <c r="H6953" s="142" t="s">
        <v>22803</v>
      </c>
      <c r="I6953" s="142">
        <v>13</v>
      </c>
      <c r="J6953" s="142">
        <v>6</v>
      </c>
      <c r="K6953" s="142">
        <v>0</v>
      </c>
      <c r="L6953" s="142">
        <v>0</v>
      </c>
      <c r="M6953" s="142">
        <v>7</v>
      </c>
    </row>
    <row r="6954" spans="1:13" x14ac:dyDescent="0.45">
      <c r="A6954" s="142" t="s">
        <v>13035</v>
      </c>
      <c r="B6954" s="142" t="s">
        <v>14648</v>
      </c>
      <c r="C6954" s="142" t="s">
        <v>15847</v>
      </c>
      <c r="D6954" s="142" t="s">
        <v>15848</v>
      </c>
      <c r="E6954" s="142" t="s">
        <v>15849</v>
      </c>
      <c r="F6954" s="142" t="s">
        <v>982</v>
      </c>
      <c r="G6954" s="142" t="s">
        <v>981</v>
      </c>
      <c r="H6954" s="142" t="s">
        <v>22804</v>
      </c>
      <c r="I6954" s="142">
        <v>181</v>
      </c>
      <c r="J6954" s="142">
        <v>130</v>
      </c>
      <c r="K6954" s="142">
        <v>0</v>
      </c>
      <c r="L6954" s="142">
        <v>0</v>
      </c>
      <c r="M6954" s="142">
        <v>51</v>
      </c>
    </row>
    <row r="6955" spans="1:13" x14ac:dyDescent="0.45">
      <c r="A6955" s="142" t="s">
        <v>13036</v>
      </c>
      <c r="B6955" s="142" t="s">
        <v>15567</v>
      </c>
      <c r="C6955" s="142" t="s">
        <v>15847</v>
      </c>
      <c r="D6955" s="142" t="s">
        <v>15848</v>
      </c>
      <c r="E6955" s="142" t="s">
        <v>15849</v>
      </c>
      <c r="F6955" s="142" t="s">
        <v>982</v>
      </c>
      <c r="G6955" s="142" t="s">
        <v>981</v>
      </c>
      <c r="H6955" s="142" t="s">
        <v>22805</v>
      </c>
      <c r="I6955" s="142">
        <v>7</v>
      </c>
      <c r="J6955" s="142">
        <v>0</v>
      </c>
      <c r="K6955" s="142">
        <v>0</v>
      </c>
      <c r="L6955" s="142">
        <v>7</v>
      </c>
      <c r="M6955" s="142">
        <v>0</v>
      </c>
    </row>
    <row r="6956" spans="1:13" x14ac:dyDescent="0.45">
      <c r="A6956" s="142" t="s">
        <v>13038</v>
      </c>
      <c r="B6956" s="142" t="s">
        <v>14646</v>
      </c>
      <c r="C6956" s="142" t="s">
        <v>15847</v>
      </c>
      <c r="D6956" s="142" t="s">
        <v>15848</v>
      </c>
      <c r="E6956" s="142" t="s">
        <v>15849</v>
      </c>
      <c r="F6956" s="142" t="s">
        <v>982</v>
      </c>
      <c r="G6956" s="142" t="s">
        <v>981</v>
      </c>
      <c r="H6956" s="142" t="s">
        <v>22806</v>
      </c>
      <c r="I6956" s="142">
        <v>11</v>
      </c>
      <c r="J6956" s="142">
        <v>5</v>
      </c>
      <c r="K6956" s="142">
        <v>0</v>
      </c>
      <c r="L6956" s="142">
        <v>0</v>
      </c>
      <c r="M6956" s="142">
        <v>6</v>
      </c>
    </row>
    <row r="6957" spans="1:13" x14ac:dyDescent="0.45">
      <c r="A6957" s="142" t="s">
        <v>13012</v>
      </c>
      <c r="B6957" s="142" t="s">
        <v>15337</v>
      </c>
      <c r="C6957" s="142" t="s">
        <v>15847</v>
      </c>
      <c r="D6957" s="142" t="s">
        <v>15848</v>
      </c>
      <c r="E6957" s="142" t="s">
        <v>15849</v>
      </c>
      <c r="F6957" s="142" t="s">
        <v>982</v>
      </c>
      <c r="G6957" s="142" t="s">
        <v>981</v>
      </c>
      <c r="H6957" s="142" t="s">
        <v>22807</v>
      </c>
      <c r="I6957" s="142">
        <v>20</v>
      </c>
      <c r="J6957" s="142">
        <v>20</v>
      </c>
      <c r="K6957" s="142">
        <v>0</v>
      </c>
      <c r="L6957" s="142">
        <v>0</v>
      </c>
      <c r="M6957" s="142">
        <v>0</v>
      </c>
    </row>
    <row r="6958" spans="1:13" x14ac:dyDescent="0.45">
      <c r="A6958" s="142" t="s">
        <v>14150</v>
      </c>
      <c r="B6958" s="142" t="s">
        <v>14740</v>
      </c>
      <c r="C6958" s="142" t="s">
        <v>15860</v>
      </c>
      <c r="D6958" s="142" t="s">
        <v>15861</v>
      </c>
      <c r="E6958" s="142" t="s">
        <v>15849</v>
      </c>
      <c r="F6958" s="142" t="s">
        <v>982</v>
      </c>
      <c r="G6958" s="142" t="s">
        <v>981</v>
      </c>
      <c r="H6958" s="142" t="s">
        <v>22808</v>
      </c>
      <c r="I6958" s="142">
        <v>103</v>
      </c>
      <c r="J6958" s="142">
        <v>0</v>
      </c>
      <c r="K6958" s="142">
        <v>0</v>
      </c>
      <c r="L6958" s="142">
        <v>103</v>
      </c>
      <c r="M6958" s="142">
        <v>0</v>
      </c>
    </row>
    <row r="6959" spans="1:13" x14ac:dyDescent="0.45">
      <c r="A6959" s="142" t="s">
        <v>13020</v>
      </c>
      <c r="B6959" s="142" t="s">
        <v>15523</v>
      </c>
      <c r="C6959" s="142" t="s">
        <v>15860</v>
      </c>
      <c r="D6959" s="142" t="s">
        <v>15861</v>
      </c>
      <c r="E6959" s="142" t="s">
        <v>15849</v>
      </c>
      <c r="F6959" s="142" t="s">
        <v>9895</v>
      </c>
      <c r="G6959" s="142" t="s">
        <v>9894</v>
      </c>
      <c r="H6959" s="142" t="s">
        <v>22809</v>
      </c>
      <c r="I6959" s="142">
        <v>16</v>
      </c>
      <c r="J6959" s="142">
        <v>0</v>
      </c>
      <c r="K6959" s="142">
        <v>0</v>
      </c>
      <c r="L6959" s="142">
        <v>16</v>
      </c>
      <c r="M6959" s="142">
        <v>0</v>
      </c>
    </row>
    <row r="6960" spans="1:13" x14ac:dyDescent="0.45">
      <c r="A6960" s="142" t="s">
        <v>13111</v>
      </c>
      <c r="B6960" s="142" t="s">
        <v>15546</v>
      </c>
      <c r="C6960" s="142" t="s">
        <v>15860</v>
      </c>
      <c r="D6960" s="142" t="s">
        <v>15861</v>
      </c>
      <c r="E6960" s="142" t="s">
        <v>15849</v>
      </c>
      <c r="F6960" s="142" t="s">
        <v>9895</v>
      </c>
      <c r="G6960" s="142" t="s">
        <v>9894</v>
      </c>
      <c r="H6960" s="142" t="s">
        <v>22810</v>
      </c>
      <c r="I6960" s="142">
        <v>65</v>
      </c>
      <c r="J6960" s="142">
        <v>55</v>
      </c>
      <c r="K6960" s="142">
        <v>0</v>
      </c>
      <c r="L6960" s="142">
        <v>10</v>
      </c>
      <c r="M6960" s="142">
        <v>0</v>
      </c>
    </row>
    <row r="6961" spans="1:13" x14ac:dyDescent="0.45">
      <c r="A6961" s="142" t="s">
        <v>13023</v>
      </c>
      <c r="B6961" s="142" t="s">
        <v>15571</v>
      </c>
      <c r="C6961" s="142" t="s">
        <v>15847</v>
      </c>
      <c r="D6961" s="142" t="s">
        <v>15848</v>
      </c>
      <c r="E6961" s="142" t="s">
        <v>15849</v>
      </c>
      <c r="F6961" s="142" t="s">
        <v>9895</v>
      </c>
      <c r="G6961" s="142" t="s">
        <v>9894</v>
      </c>
      <c r="H6961" s="142" t="s">
        <v>22811</v>
      </c>
      <c r="I6961" s="142">
        <v>248</v>
      </c>
      <c r="J6961" s="142">
        <v>0</v>
      </c>
      <c r="K6961" s="142">
        <v>0</v>
      </c>
      <c r="L6961" s="142">
        <v>248</v>
      </c>
      <c r="M6961" s="142">
        <v>0</v>
      </c>
    </row>
    <row r="6962" spans="1:13" x14ac:dyDescent="0.45">
      <c r="A6962" s="142" t="s">
        <v>13147</v>
      </c>
      <c r="B6962" s="142" t="s">
        <v>14529</v>
      </c>
      <c r="C6962" s="142" t="s">
        <v>15860</v>
      </c>
      <c r="D6962" s="142" t="s">
        <v>15861</v>
      </c>
      <c r="E6962" s="142" t="s">
        <v>15849</v>
      </c>
      <c r="F6962" s="142" t="s">
        <v>9895</v>
      </c>
      <c r="G6962" s="142" t="s">
        <v>9894</v>
      </c>
      <c r="H6962" s="142" t="s">
        <v>22812</v>
      </c>
      <c r="I6962" s="142">
        <v>2</v>
      </c>
      <c r="J6962" s="142">
        <v>2</v>
      </c>
      <c r="K6962" s="142">
        <v>0</v>
      </c>
      <c r="L6962" s="142">
        <v>0</v>
      </c>
      <c r="M6962" s="142">
        <v>0</v>
      </c>
    </row>
    <row r="6963" spans="1:13" x14ac:dyDescent="0.45">
      <c r="A6963" s="142" t="s">
        <v>13289</v>
      </c>
      <c r="B6963" s="142" t="s">
        <v>14423</v>
      </c>
      <c r="C6963" s="142" t="s">
        <v>15847</v>
      </c>
      <c r="D6963" s="142" t="s">
        <v>15848</v>
      </c>
      <c r="E6963" s="142" t="s">
        <v>15849</v>
      </c>
      <c r="F6963" s="142" t="s">
        <v>9895</v>
      </c>
      <c r="G6963" s="142" t="s">
        <v>9894</v>
      </c>
      <c r="H6963" s="142" t="s">
        <v>22813</v>
      </c>
      <c r="I6963" s="142">
        <v>116</v>
      </c>
      <c r="J6963" s="142">
        <v>104</v>
      </c>
      <c r="K6963" s="142">
        <v>0</v>
      </c>
      <c r="L6963" s="142">
        <v>0</v>
      </c>
      <c r="M6963" s="142">
        <v>12</v>
      </c>
    </row>
    <row r="6964" spans="1:13" x14ac:dyDescent="0.45">
      <c r="A6964" s="142" t="s">
        <v>13000</v>
      </c>
      <c r="B6964" s="142" t="s">
        <v>14610</v>
      </c>
      <c r="C6964" s="142" t="s">
        <v>15847</v>
      </c>
      <c r="D6964" s="142" t="s">
        <v>15848</v>
      </c>
      <c r="E6964" s="142" t="s">
        <v>15849</v>
      </c>
      <c r="F6964" s="142" t="s">
        <v>9895</v>
      </c>
      <c r="G6964" s="142" t="s">
        <v>9894</v>
      </c>
      <c r="H6964" s="142" t="s">
        <v>22814</v>
      </c>
      <c r="I6964" s="142">
        <v>482</v>
      </c>
      <c r="J6964" s="142">
        <v>284</v>
      </c>
      <c r="K6964" s="142">
        <v>0</v>
      </c>
      <c r="L6964" s="142">
        <v>0</v>
      </c>
      <c r="M6964" s="142">
        <v>198</v>
      </c>
    </row>
    <row r="6965" spans="1:13" x14ac:dyDescent="0.45">
      <c r="A6965" s="142" t="s">
        <v>13238</v>
      </c>
      <c r="B6965" s="142" t="s">
        <v>14477</v>
      </c>
      <c r="C6965" s="142" t="s">
        <v>15860</v>
      </c>
      <c r="D6965" s="142" t="s">
        <v>15861</v>
      </c>
      <c r="E6965" s="142" t="s">
        <v>15849</v>
      </c>
      <c r="F6965" s="142" t="s">
        <v>9895</v>
      </c>
      <c r="G6965" s="142" t="s">
        <v>9894</v>
      </c>
      <c r="H6965" s="142" t="s">
        <v>22815</v>
      </c>
      <c r="I6965" s="142">
        <v>36</v>
      </c>
      <c r="J6965" s="142">
        <v>0</v>
      </c>
      <c r="K6965" s="142">
        <v>0</v>
      </c>
      <c r="L6965" s="142">
        <v>36</v>
      </c>
      <c r="M6965" s="142">
        <v>0</v>
      </c>
    </row>
    <row r="6966" spans="1:13" x14ac:dyDescent="0.45">
      <c r="A6966" s="142" t="s">
        <v>13098</v>
      </c>
      <c r="B6966" s="142" t="s">
        <v>14528</v>
      </c>
      <c r="C6966" s="142" t="s">
        <v>15860</v>
      </c>
      <c r="D6966" s="142" t="s">
        <v>15861</v>
      </c>
      <c r="E6966" s="142" t="s">
        <v>15849</v>
      </c>
      <c r="F6966" s="142" t="s">
        <v>9895</v>
      </c>
      <c r="G6966" s="142" t="s">
        <v>9894</v>
      </c>
      <c r="H6966" s="142" t="s">
        <v>22816</v>
      </c>
      <c r="I6966" s="142">
        <v>16</v>
      </c>
      <c r="J6966" s="142">
        <v>0</v>
      </c>
      <c r="K6966" s="142">
        <v>0</v>
      </c>
      <c r="L6966" s="142">
        <v>16</v>
      </c>
      <c r="M6966" s="142">
        <v>0</v>
      </c>
    </row>
    <row r="6967" spans="1:13" x14ac:dyDescent="0.45">
      <c r="A6967" s="142" t="s">
        <v>14152</v>
      </c>
      <c r="B6967" s="142" t="s">
        <v>14698</v>
      </c>
      <c r="C6967" s="142" t="s">
        <v>15860</v>
      </c>
      <c r="D6967" s="142" t="s">
        <v>15861</v>
      </c>
      <c r="E6967" s="142" t="s">
        <v>15849</v>
      </c>
      <c r="F6967" s="142" t="s">
        <v>9895</v>
      </c>
      <c r="G6967" s="142" t="s">
        <v>9894</v>
      </c>
      <c r="H6967" s="142" t="s">
        <v>22817</v>
      </c>
      <c r="I6967" s="142">
        <v>246</v>
      </c>
      <c r="J6967" s="142">
        <v>246</v>
      </c>
      <c r="K6967" s="142">
        <v>0</v>
      </c>
      <c r="L6967" s="142">
        <v>0</v>
      </c>
      <c r="M6967" s="142">
        <v>0</v>
      </c>
    </row>
    <row r="6968" spans="1:13" x14ac:dyDescent="0.45">
      <c r="A6968" s="142" t="s">
        <v>13085</v>
      </c>
      <c r="B6968" s="142" t="s">
        <v>14460</v>
      </c>
      <c r="C6968" s="142" t="s">
        <v>15860</v>
      </c>
      <c r="D6968" s="142" t="s">
        <v>15861</v>
      </c>
      <c r="E6968" s="142" t="s">
        <v>15849</v>
      </c>
      <c r="F6968" s="142" t="s">
        <v>9895</v>
      </c>
      <c r="G6968" s="142" t="s">
        <v>9894</v>
      </c>
      <c r="H6968" s="142" t="s">
        <v>22818</v>
      </c>
      <c r="I6968" s="142">
        <v>9</v>
      </c>
      <c r="J6968" s="142">
        <v>0</v>
      </c>
      <c r="K6968" s="142">
        <v>0</v>
      </c>
      <c r="L6968" s="142">
        <v>9</v>
      </c>
      <c r="M6968" s="142">
        <v>0</v>
      </c>
    </row>
    <row r="6969" spans="1:13" x14ac:dyDescent="0.45">
      <c r="A6969" s="142" t="s">
        <v>13049</v>
      </c>
      <c r="B6969" s="142" t="s">
        <v>14534</v>
      </c>
      <c r="C6969" s="142" t="s">
        <v>15860</v>
      </c>
      <c r="D6969" s="142" t="s">
        <v>15861</v>
      </c>
      <c r="E6969" s="142" t="s">
        <v>15849</v>
      </c>
      <c r="F6969" s="142" t="s">
        <v>9895</v>
      </c>
      <c r="G6969" s="142" t="s">
        <v>9894</v>
      </c>
      <c r="H6969" s="142" t="s">
        <v>22819</v>
      </c>
      <c r="I6969" s="142">
        <v>1</v>
      </c>
      <c r="J6969" s="142">
        <v>0</v>
      </c>
      <c r="K6969" s="142">
        <v>0</v>
      </c>
      <c r="L6969" s="142">
        <v>1</v>
      </c>
      <c r="M6969" s="142">
        <v>0</v>
      </c>
    </row>
    <row r="6970" spans="1:13" x14ac:dyDescent="0.45">
      <c r="A6970" s="142" t="s">
        <v>13499</v>
      </c>
      <c r="B6970" s="142" t="s">
        <v>15479</v>
      </c>
      <c r="C6970" s="142" t="s">
        <v>15847</v>
      </c>
      <c r="D6970" s="142" t="s">
        <v>15848</v>
      </c>
      <c r="E6970" s="142" t="s">
        <v>15849</v>
      </c>
      <c r="F6970" s="142" t="s">
        <v>9895</v>
      </c>
      <c r="G6970" s="142" t="s">
        <v>9894</v>
      </c>
      <c r="H6970" s="142" t="s">
        <v>22820</v>
      </c>
      <c r="I6970" s="142">
        <v>14734</v>
      </c>
      <c r="J6970" s="142">
        <v>13309</v>
      </c>
      <c r="K6970" s="142">
        <v>0</v>
      </c>
      <c r="L6970" s="142">
        <v>1374</v>
      </c>
      <c r="M6970" s="142">
        <v>51</v>
      </c>
    </row>
    <row r="6971" spans="1:13" x14ac:dyDescent="0.45">
      <c r="A6971" s="142" t="s">
        <v>13027</v>
      </c>
      <c r="B6971" s="142" t="s">
        <v>14562</v>
      </c>
      <c r="C6971" s="142" t="s">
        <v>15847</v>
      </c>
      <c r="D6971" s="142" t="s">
        <v>15848</v>
      </c>
      <c r="E6971" s="142" t="s">
        <v>15849</v>
      </c>
      <c r="F6971" s="142" t="s">
        <v>9895</v>
      </c>
      <c r="G6971" s="142" t="s">
        <v>9894</v>
      </c>
      <c r="H6971" s="142" t="s">
        <v>22821</v>
      </c>
      <c r="I6971" s="142">
        <v>5</v>
      </c>
      <c r="J6971" s="142">
        <v>0</v>
      </c>
      <c r="K6971" s="142">
        <v>0</v>
      </c>
      <c r="L6971" s="142">
        <v>5</v>
      </c>
      <c r="M6971" s="142">
        <v>0</v>
      </c>
    </row>
    <row r="6972" spans="1:13" x14ac:dyDescent="0.45">
      <c r="A6972" s="142" t="s">
        <v>13148</v>
      </c>
      <c r="B6972" s="142" t="s">
        <v>15314</v>
      </c>
      <c r="C6972" s="142" t="s">
        <v>15847</v>
      </c>
      <c r="D6972" s="142" t="s">
        <v>15848</v>
      </c>
      <c r="E6972" s="142" t="s">
        <v>15849</v>
      </c>
      <c r="F6972" s="142" t="s">
        <v>9895</v>
      </c>
      <c r="G6972" s="142" t="s">
        <v>9894</v>
      </c>
      <c r="H6972" s="142" t="s">
        <v>22822</v>
      </c>
      <c r="I6972" s="142">
        <v>2709</v>
      </c>
      <c r="J6972" s="142">
        <v>2146</v>
      </c>
      <c r="K6972" s="142">
        <v>0</v>
      </c>
      <c r="L6972" s="142">
        <v>215</v>
      </c>
      <c r="M6972" s="142">
        <v>348</v>
      </c>
    </row>
    <row r="6973" spans="1:13" x14ac:dyDescent="0.45">
      <c r="A6973" s="142" t="s">
        <v>13160</v>
      </c>
      <c r="B6973" s="142" t="s">
        <v>14525</v>
      </c>
      <c r="C6973" s="142" t="s">
        <v>15847</v>
      </c>
      <c r="D6973" s="142" t="s">
        <v>15848</v>
      </c>
      <c r="E6973" s="142" t="s">
        <v>15849</v>
      </c>
      <c r="F6973" s="142" t="s">
        <v>9895</v>
      </c>
      <c r="G6973" s="142" t="s">
        <v>9894</v>
      </c>
      <c r="H6973" s="142" t="s">
        <v>22823</v>
      </c>
      <c r="I6973" s="142">
        <v>13</v>
      </c>
      <c r="J6973" s="142">
        <v>0</v>
      </c>
      <c r="K6973" s="142">
        <v>0</v>
      </c>
      <c r="L6973" s="142">
        <v>13</v>
      </c>
      <c r="M6973" s="142">
        <v>0</v>
      </c>
    </row>
    <row r="6974" spans="1:13" x14ac:dyDescent="0.45">
      <c r="A6974" s="142" t="s">
        <v>13003</v>
      </c>
      <c r="B6974" s="142" t="s">
        <v>15245</v>
      </c>
      <c r="C6974" s="142" t="s">
        <v>15847</v>
      </c>
      <c r="D6974" s="142" t="s">
        <v>15848</v>
      </c>
      <c r="E6974" s="142" t="s">
        <v>15849</v>
      </c>
      <c r="F6974" s="142" t="s">
        <v>9895</v>
      </c>
      <c r="G6974" s="142" t="s">
        <v>9894</v>
      </c>
      <c r="H6974" s="142" t="s">
        <v>22824</v>
      </c>
      <c r="I6974" s="142">
        <v>115</v>
      </c>
      <c r="J6974" s="142">
        <v>0</v>
      </c>
      <c r="K6974" s="142">
        <v>0</v>
      </c>
      <c r="L6974" s="142">
        <v>115</v>
      </c>
      <c r="M6974" s="142">
        <v>0</v>
      </c>
    </row>
    <row r="6975" spans="1:13" x14ac:dyDescent="0.45">
      <c r="A6975" s="142" t="s">
        <v>14153</v>
      </c>
      <c r="B6975" s="142" t="s">
        <v>14749</v>
      </c>
      <c r="C6975" s="142" t="s">
        <v>15860</v>
      </c>
      <c r="D6975" s="142" t="s">
        <v>15861</v>
      </c>
      <c r="E6975" s="142" t="s">
        <v>15849</v>
      </c>
      <c r="F6975" s="142" t="s">
        <v>9895</v>
      </c>
      <c r="G6975" s="142" t="s">
        <v>9894</v>
      </c>
      <c r="H6975" s="142" t="s">
        <v>22825</v>
      </c>
      <c r="I6975" s="142">
        <v>44</v>
      </c>
      <c r="J6975" s="142">
        <v>44</v>
      </c>
      <c r="K6975" s="142">
        <v>0</v>
      </c>
      <c r="L6975" s="142">
        <v>0</v>
      </c>
      <c r="M6975" s="142">
        <v>0</v>
      </c>
    </row>
    <row r="6976" spans="1:13" x14ac:dyDescent="0.45">
      <c r="A6976" s="142" t="s">
        <v>13290</v>
      </c>
      <c r="B6976" s="142" t="s">
        <v>15246</v>
      </c>
      <c r="C6976" s="142" t="s">
        <v>15847</v>
      </c>
      <c r="D6976" s="142" t="s">
        <v>15848</v>
      </c>
      <c r="E6976" s="142" t="s">
        <v>15849</v>
      </c>
      <c r="F6976" s="142" t="s">
        <v>9895</v>
      </c>
      <c r="G6976" s="142" t="s">
        <v>9894</v>
      </c>
      <c r="H6976" s="142" t="s">
        <v>22826</v>
      </c>
      <c r="I6976" s="142">
        <v>1264</v>
      </c>
      <c r="J6976" s="142">
        <v>1079</v>
      </c>
      <c r="K6976" s="142">
        <v>0</v>
      </c>
      <c r="L6976" s="142">
        <v>162</v>
      </c>
      <c r="M6976" s="142">
        <v>23</v>
      </c>
    </row>
    <row r="6977" spans="1:13" x14ac:dyDescent="0.45">
      <c r="A6977" s="142" t="s">
        <v>13291</v>
      </c>
      <c r="B6977" s="142" t="s">
        <v>15495</v>
      </c>
      <c r="C6977" s="142" t="s">
        <v>15847</v>
      </c>
      <c r="D6977" s="142" t="s">
        <v>15848</v>
      </c>
      <c r="E6977" s="142" t="s">
        <v>15849</v>
      </c>
      <c r="F6977" s="142" t="s">
        <v>9895</v>
      </c>
      <c r="G6977" s="142" t="s">
        <v>9894</v>
      </c>
      <c r="H6977" s="142" t="s">
        <v>22827</v>
      </c>
      <c r="I6977" s="142">
        <v>26</v>
      </c>
      <c r="J6977" s="142">
        <v>17</v>
      </c>
      <c r="K6977" s="142">
        <v>0</v>
      </c>
      <c r="L6977" s="142">
        <v>6</v>
      </c>
      <c r="M6977" s="142">
        <v>3</v>
      </c>
    </row>
    <row r="6978" spans="1:13" x14ac:dyDescent="0.45">
      <c r="A6978" s="142" t="s">
        <v>13005</v>
      </c>
      <c r="B6978" s="142" t="s">
        <v>15475</v>
      </c>
      <c r="C6978" s="142" t="s">
        <v>15847</v>
      </c>
      <c r="D6978" s="142" t="s">
        <v>15848</v>
      </c>
      <c r="E6978" s="142" t="s">
        <v>15849</v>
      </c>
      <c r="F6978" s="142" t="s">
        <v>9895</v>
      </c>
      <c r="G6978" s="142" t="s">
        <v>9894</v>
      </c>
      <c r="H6978" s="142" t="s">
        <v>22828</v>
      </c>
      <c r="I6978" s="142">
        <v>9</v>
      </c>
      <c r="J6978" s="142">
        <v>3</v>
      </c>
      <c r="K6978" s="142">
        <v>0</v>
      </c>
      <c r="L6978" s="142">
        <v>0</v>
      </c>
      <c r="M6978" s="142">
        <v>6</v>
      </c>
    </row>
    <row r="6979" spans="1:13" x14ac:dyDescent="0.45">
      <c r="A6979" s="142" t="s">
        <v>13413</v>
      </c>
      <c r="B6979" s="142" t="s">
        <v>15343</v>
      </c>
      <c r="C6979" s="142" t="s">
        <v>15860</v>
      </c>
      <c r="D6979" s="142" t="s">
        <v>15861</v>
      </c>
      <c r="E6979" s="142" t="s">
        <v>15849</v>
      </c>
      <c r="F6979" s="142" t="s">
        <v>9895</v>
      </c>
      <c r="G6979" s="142" t="s">
        <v>9894</v>
      </c>
      <c r="H6979" s="142" t="s">
        <v>22829</v>
      </c>
      <c r="I6979" s="142">
        <v>56</v>
      </c>
      <c r="J6979" s="142">
        <v>0</v>
      </c>
      <c r="K6979" s="142">
        <v>0</v>
      </c>
      <c r="L6979" s="142">
        <v>56</v>
      </c>
      <c r="M6979" s="142">
        <v>0</v>
      </c>
    </row>
    <row r="6980" spans="1:13" x14ac:dyDescent="0.45">
      <c r="A6980" s="142" t="s">
        <v>13249</v>
      </c>
      <c r="B6980" s="142" t="s">
        <v>14602</v>
      </c>
      <c r="C6980" s="142" t="s">
        <v>15847</v>
      </c>
      <c r="D6980" s="142" t="s">
        <v>15848</v>
      </c>
      <c r="E6980" s="142" t="s">
        <v>15849</v>
      </c>
      <c r="F6980" s="142" t="s">
        <v>9895</v>
      </c>
      <c r="G6980" s="142" t="s">
        <v>9894</v>
      </c>
      <c r="H6980" s="142" t="s">
        <v>22830</v>
      </c>
      <c r="I6980" s="142">
        <v>305</v>
      </c>
      <c r="J6980" s="142">
        <v>224</v>
      </c>
      <c r="K6980" s="142">
        <v>0</v>
      </c>
      <c r="L6980" s="142">
        <v>75</v>
      </c>
      <c r="M6980" s="142">
        <v>6</v>
      </c>
    </row>
    <row r="6981" spans="1:13" x14ac:dyDescent="0.45">
      <c r="A6981" s="142" t="s">
        <v>13276</v>
      </c>
      <c r="B6981" s="142" t="s">
        <v>15498</v>
      </c>
      <c r="C6981" s="142" t="s">
        <v>15847</v>
      </c>
      <c r="D6981" s="142" t="s">
        <v>15848</v>
      </c>
      <c r="E6981" s="142" t="s">
        <v>15849</v>
      </c>
      <c r="F6981" s="142" t="s">
        <v>9895</v>
      </c>
      <c r="G6981" s="142" t="s">
        <v>9894</v>
      </c>
      <c r="H6981" s="142" t="s">
        <v>22831</v>
      </c>
      <c r="I6981" s="142">
        <v>955</v>
      </c>
      <c r="J6981" s="142">
        <v>741</v>
      </c>
      <c r="K6981" s="142">
        <v>0</v>
      </c>
      <c r="L6981" s="142">
        <v>210</v>
      </c>
      <c r="M6981" s="142">
        <v>4</v>
      </c>
    </row>
    <row r="6982" spans="1:13" x14ac:dyDescent="0.45">
      <c r="A6982" s="142" t="s">
        <v>13033</v>
      </c>
      <c r="B6982" s="142" t="s">
        <v>15276</v>
      </c>
      <c r="C6982" s="142" t="s">
        <v>15847</v>
      </c>
      <c r="D6982" s="142" t="s">
        <v>15848</v>
      </c>
      <c r="E6982" s="142" t="s">
        <v>15849</v>
      </c>
      <c r="F6982" s="142" t="s">
        <v>9895</v>
      </c>
      <c r="G6982" s="142" t="s">
        <v>9894</v>
      </c>
      <c r="H6982" s="142" t="s">
        <v>22832</v>
      </c>
      <c r="I6982" s="142">
        <v>103</v>
      </c>
      <c r="J6982" s="142">
        <v>96</v>
      </c>
      <c r="K6982" s="142">
        <v>0</v>
      </c>
      <c r="L6982" s="142">
        <v>4</v>
      </c>
      <c r="M6982" s="142">
        <v>3</v>
      </c>
    </row>
    <row r="6983" spans="1:13" x14ac:dyDescent="0.45">
      <c r="A6983" s="142" t="s">
        <v>13034</v>
      </c>
      <c r="B6983" s="142" t="s">
        <v>15562</v>
      </c>
      <c r="C6983" s="142" t="s">
        <v>15847</v>
      </c>
      <c r="D6983" s="142" t="s">
        <v>15848</v>
      </c>
      <c r="E6983" s="142" t="s">
        <v>15849</v>
      </c>
      <c r="F6983" s="142" t="s">
        <v>9895</v>
      </c>
      <c r="G6983" s="142" t="s">
        <v>9894</v>
      </c>
      <c r="H6983" s="142" t="s">
        <v>22833</v>
      </c>
      <c r="I6983" s="142">
        <v>51</v>
      </c>
      <c r="J6983" s="142">
        <v>0</v>
      </c>
      <c r="K6983" s="142">
        <v>0</v>
      </c>
      <c r="L6983" s="142">
        <v>51</v>
      </c>
      <c r="M6983" s="142">
        <v>0</v>
      </c>
    </row>
    <row r="6984" spans="1:13" x14ac:dyDescent="0.45">
      <c r="A6984" s="142" t="s">
        <v>13036</v>
      </c>
      <c r="B6984" s="142" t="s">
        <v>15567</v>
      </c>
      <c r="C6984" s="142" t="s">
        <v>15847</v>
      </c>
      <c r="D6984" s="142" t="s">
        <v>15848</v>
      </c>
      <c r="E6984" s="142" t="s">
        <v>15849</v>
      </c>
      <c r="F6984" s="142" t="s">
        <v>9895</v>
      </c>
      <c r="G6984" s="142" t="s">
        <v>9894</v>
      </c>
      <c r="H6984" s="142" t="s">
        <v>22834</v>
      </c>
      <c r="I6984" s="142">
        <v>88</v>
      </c>
      <c r="J6984" s="142">
        <v>0</v>
      </c>
      <c r="K6984" s="142">
        <v>0</v>
      </c>
      <c r="L6984" s="142">
        <v>88</v>
      </c>
      <c r="M6984" s="142">
        <v>0</v>
      </c>
    </row>
    <row r="6985" spans="1:13" x14ac:dyDescent="0.45">
      <c r="A6985" s="142" t="s">
        <v>14154</v>
      </c>
      <c r="B6985" s="142" t="s">
        <v>14560</v>
      </c>
      <c r="C6985" s="142" t="s">
        <v>15860</v>
      </c>
      <c r="D6985" s="142" t="s">
        <v>15861</v>
      </c>
      <c r="E6985" s="142" t="s">
        <v>15849</v>
      </c>
      <c r="F6985" s="142" t="s">
        <v>9895</v>
      </c>
      <c r="G6985" s="142" t="s">
        <v>9894</v>
      </c>
      <c r="H6985" s="142" t="s">
        <v>22835</v>
      </c>
      <c r="I6985" s="142">
        <v>35</v>
      </c>
      <c r="J6985" s="142">
        <v>0</v>
      </c>
      <c r="K6985" s="142">
        <v>0</v>
      </c>
      <c r="L6985" s="142">
        <v>35</v>
      </c>
      <c r="M6985" s="142">
        <v>0</v>
      </c>
    </row>
    <row r="6986" spans="1:13" x14ac:dyDescent="0.45">
      <c r="A6986" s="142" t="s">
        <v>13277</v>
      </c>
      <c r="B6986" s="142" t="s">
        <v>14454</v>
      </c>
      <c r="C6986" s="142" t="s">
        <v>15847</v>
      </c>
      <c r="D6986" s="142" t="s">
        <v>15848</v>
      </c>
      <c r="E6986" s="142" t="s">
        <v>15849</v>
      </c>
      <c r="F6986" s="142" t="s">
        <v>9895</v>
      </c>
      <c r="G6986" s="142" t="s">
        <v>9894</v>
      </c>
      <c r="H6986" s="142" t="s">
        <v>22836</v>
      </c>
      <c r="I6986" s="142">
        <v>6</v>
      </c>
      <c r="J6986" s="142">
        <v>0</v>
      </c>
      <c r="K6986" s="142">
        <v>0</v>
      </c>
      <c r="L6986" s="142">
        <v>6</v>
      </c>
      <c r="M6986" s="142">
        <v>0</v>
      </c>
    </row>
    <row r="6987" spans="1:13" x14ac:dyDescent="0.45">
      <c r="A6987" s="142" t="s">
        <v>13037</v>
      </c>
      <c r="B6987" s="142" t="s">
        <v>14519</v>
      </c>
      <c r="C6987" s="142" t="s">
        <v>15847</v>
      </c>
      <c r="D6987" s="142" t="s">
        <v>15848</v>
      </c>
      <c r="E6987" s="142" t="s">
        <v>15849</v>
      </c>
      <c r="F6987" s="142" t="s">
        <v>9895</v>
      </c>
      <c r="G6987" s="142" t="s">
        <v>9894</v>
      </c>
      <c r="H6987" s="142" t="s">
        <v>22837</v>
      </c>
      <c r="I6987" s="142">
        <v>1</v>
      </c>
      <c r="J6987" s="142">
        <v>0</v>
      </c>
      <c r="K6987" s="142">
        <v>0</v>
      </c>
      <c r="L6987" s="142">
        <v>1</v>
      </c>
      <c r="M6987" s="142">
        <v>0</v>
      </c>
    </row>
    <row r="6988" spans="1:13" x14ac:dyDescent="0.45">
      <c r="A6988" s="142" t="s">
        <v>13136</v>
      </c>
      <c r="B6988" s="142" t="s">
        <v>15445</v>
      </c>
      <c r="C6988" s="142" t="s">
        <v>15860</v>
      </c>
      <c r="D6988" s="142" t="s">
        <v>15861</v>
      </c>
      <c r="E6988" s="142" t="s">
        <v>15849</v>
      </c>
      <c r="F6988" s="142" t="s">
        <v>9895</v>
      </c>
      <c r="G6988" s="142" t="s">
        <v>9894</v>
      </c>
      <c r="H6988" s="142" t="s">
        <v>22838</v>
      </c>
      <c r="I6988" s="142">
        <v>51</v>
      </c>
      <c r="J6988" s="142">
        <v>0</v>
      </c>
      <c r="K6988" s="142">
        <v>0</v>
      </c>
      <c r="L6988" s="142">
        <v>51</v>
      </c>
      <c r="M6988" s="142">
        <v>0</v>
      </c>
    </row>
    <row r="6989" spans="1:13" x14ac:dyDescent="0.45">
      <c r="A6989" s="142" t="s">
        <v>14155</v>
      </c>
      <c r="B6989" s="142" t="s">
        <v>14433</v>
      </c>
      <c r="C6989" s="142" t="s">
        <v>15847</v>
      </c>
      <c r="D6989" s="142" t="s">
        <v>15848</v>
      </c>
      <c r="E6989" s="142" t="s">
        <v>15849</v>
      </c>
      <c r="F6989" s="142" t="s">
        <v>9895</v>
      </c>
      <c r="G6989" s="142" t="s">
        <v>9894</v>
      </c>
      <c r="H6989" s="142" t="s">
        <v>22839</v>
      </c>
      <c r="I6989" s="142">
        <v>7974</v>
      </c>
      <c r="J6989" s="142">
        <v>7632</v>
      </c>
      <c r="K6989" s="142">
        <v>14</v>
      </c>
      <c r="L6989" s="142">
        <v>299</v>
      </c>
      <c r="M6989" s="142">
        <v>29</v>
      </c>
    </row>
    <row r="6990" spans="1:13" x14ac:dyDescent="0.45">
      <c r="A6990" s="142" t="s">
        <v>13078</v>
      </c>
      <c r="B6990" s="142" t="s">
        <v>15540</v>
      </c>
      <c r="C6990" s="142" t="s">
        <v>15847</v>
      </c>
      <c r="D6990" s="142" t="s">
        <v>15848</v>
      </c>
      <c r="E6990" s="142" t="s">
        <v>15849</v>
      </c>
      <c r="F6990" s="142" t="s">
        <v>9895</v>
      </c>
      <c r="G6990" s="142" t="s">
        <v>9894</v>
      </c>
      <c r="H6990" s="142" t="s">
        <v>22840</v>
      </c>
      <c r="I6990" s="142">
        <v>36</v>
      </c>
      <c r="J6990" s="142">
        <v>16</v>
      </c>
      <c r="K6990" s="142">
        <v>0</v>
      </c>
      <c r="L6990" s="142">
        <v>20</v>
      </c>
      <c r="M6990" s="142">
        <v>0</v>
      </c>
    </row>
    <row r="6991" spans="1:13" x14ac:dyDescent="0.45">
      <c r="A6991" s="142" t="s">
        <v>13009</v>
      </c>
      <c r="B6991" s="142" t="s">
        <v>15256</v>
      </c>
      <c r="C6991" s="142" t="s">
        <v>15847</v>
      </c>
      <c r="D6991" s="142" t="s">
        <v>15848</v>
      </c>
      <c r="E6991" s="142" t="s">
        <v>15849</v>
      </c>
      <c r="F6991" s="142" t="s">
        <v>9895</v>
      </c>
      <c r="G6991" s="142" t="s">
        <v>9894</v>
      </c>
      <c r="H6991" s="142" t="s">
        <v>22841</v>
      </c>
      <c r="I6991" s="142">
        <v>21</v>
      </c>
      <c r="J6991" s="142">
        <v>0</v>
      </c>
      <c r="K6991" s="142">
        <v>0</v>
      </c>
      <c r="L6991" s="142">
        <v>21</v>
      </c>
      <c r="M6991" s="142">
        <v>0</v>
      </c>
    </row>
    <row r="6992" spans="1:13" x14ac:dyDescent="0.45">
      <c r="A6992" s="142" t="s">
        <v>13489</v>
      </c>
      <c r="B6992" s="142" t="s">
        <v>15473</v>
      </c>
      <c r="C6992" s="142" t="s">
        <v>15847</v>
      </c>
      <c r="D6992" s="142" t="s">
        <v>15848</v>
      </c>
      <c r="E6992" s="142" t="s">
        <v>15849</v>
      </c>
      <c r="F6992" s="142" t="s">
        <v>9895</v>
      </c>
      <c r="G6992" s="142" t="s">
        <v>9894</v>
      </c>
      <c r="H6992" s="142" t="s">
        <v>22842</v>
      </c>
      <c r="I6992" s="142">
        <v>52</v>
      </c>
      <c r="J6992" s="142">
        <v>0</v>
      </c>
      <c r="K6992" s="142">
        <v>0</v>
      </c>
      <c r="L6992" s="142">
        <v>0</v>
      </c>
      <c r="M6992" s="142">
        <v>52</v>
      </c>
    </row>
    <row r="6993" spans="1:13" x14ac:dyDescent="0.45">
      <c r="A6993" s="142" t="s">
        <v>13014</v>
      </c>
      <c r="B6993" s="142" t="s">
        <v>14505</v>
      </c>
      <c r="C6993" s="142" t="s">
        <v>15847</v>
      </c>
      <c r="D6993" s="142" t="s">
        <v>15848</v>
      </c>
      <c r="E6993" s="142" t="s">
        <v>15849</v>
      </c>
      <c r="F6993" s="142" t="s">
        <v>9895</v>
      </c>
      <c r="G6993" s="142" t="s">
        <v>9894</v>
      </c>
      <c r="H6993" s="142" t="s">
        <v>22843</v>
      </c>
      <c r="I6993" s="142">
        <v>663</v>
      </c>
      <c r="J6993" s="142">
        <v>644</v>
      </c>
      <c r="K6993" s="142">
        <v>0</v>
      </c>
      <c r="L6993" s="142">
        <v>15</v>
      </c>
      <c r="M6993" s="142">
        <v>4</v>
      </c>
    </row>
    <row r="6994" spans="1:13" x14ac:dyDescent="0.45">
      <c r="A6994" s="142" t="s">
        <v>13042</v>
      </c>
      <c r="B6994" s="142" t="s">
        <v>15489</v>
      </c>
      <c r="C6994" s="142" t="s">
        <v>15847</v>
      </c>
      <c r="D6994" s="142" t="s">
        <v>15848</v>
      </c>
      <c r="E6994" s="142" t="s">
        <v>15849</v>
      </c>
      <c r="F6994" s="142" t="s">
        <v>9895</v>
      </c>
      <c r="G6994" s="142" t="s">
        <v>9894</v>
      </c>
      <c r="H6994" s="142" t="s">
        <v>22844</v>
      </c>
      <c r="I6994" s="142">
        <v>37</v>
      </c>
      <c r="J6994" s="142">
        <v>0</v>
      </c>
      <c r="K6994" s="142">
        <v>0</v>
      </c>
      <c r="L6994" s="142">
        <v>37</v>
      </c>
      <c r="M6994" s="142">
        <v>0</v>
      </c>
    </row>
    <row r="6995" spans="1:13" x14ac:dyDescent="0.45">
      <c r="A6995" s="142" t="s">
        <v>13154</v>
      </c>
      <c r="B6995" s="142" t="s">
        <v>15415</v>
      </c>
      <c r="C6995" s="142" t="s">
        <v>15847</v>
      </c>
      <c r="D6995" s="142" t="s">
        <v>15848</v>
      </c>
      <c r="E6995" s="142" t="s">
        <v>15849</v>
      </c>
      <c r="F6995" s="142" t="s">
        <v>9895</v>
      </c>
      <c r="G6995" s="142" t="s">
        <v>9894</v>
      </c>
      <c r="H6995" s="142" t="s">
        <v>22845</v>
      </c>
      <c r="I6995" s="142">
        <v>181</v>
      </c>
      <c r="J6995" s="142">
        <v>181</v>
      </c>
      <c r="K6995" s="142">
        <v>0</v>
      </c>
      <c r="L6995" s="142">
        <v>0</v>
      </c>
      <c r="M6995" s="142">
        <v>0</v>
      </c>
    </row>
    <row r="6996" spans="1:13" x14ac:dyDescent="0.45">
      <c r="A6996" s="142" t="s">
        <v>13222</v>
      </c>
      <c r="B6996" s="142" t="s">
        <v>14449</v>
      </c>
      <c r="C6996" s="142" t="s">
        <v>15860</v>
      </c>
      <c r="D6996" s="142" t="s">
        <v>15861</v>
      </c>
      <c r="E6996" s="142" t="s">
        <v>15849</v>
      </c>
      <c r="F6996" s="142" t="s">
        <v>9895</v>
      </c>
      <c r="G6996" s="142" t="s">
        <v>9894</v>
      </c>
      <c r="H6996" s="142" t="s">
        <v>22846</v>
      </c>
      <c r="I6996" s="142">
        <v>3</v>
      </c>
      <c r="J6996" s="142">
        <v>0</v>
      </c>
      <c r="K6996" s="142">
        <v>0</v>
      </c>
      <c r="L6996" s="142">
        <v>3</v>
      </c>
      <c r="M6996" s="142">
        <v>0</v>
      </c>
    </row>
    <row r="6997" spans="1:13" x14ac:dyDescent="0.45">
      <c r="A6997" s="142" t="s">
        <v>13286</v>
      </c>
      <c r="B6997" s="142" t="s">
        <v>15342</v>
      </c>
      <c r="C6997" s="142" t="s">
        <v>15847</v>
      </c>
      <c r="D6997" s="142" t="s">
        <v>15848</v>
      </c>
      <c r="E6997" s="142" t="s">
        <v>15849</v>
      </c>
      <c r="F6997" s="142" t="s">
        <v>9895</v>
      </c>
      <c r="G6997" s="142" t="s">
        <v>9894</v>
      </c>
      <c r="H6997" s="142" t="s">
        <v>22847</v>
      </c>
      <c r="I6997" s="142">
        <v>277</v>
      </c>
      <c r="J6997" s="142">
        <v>220</v>
      </c>
      <c r="K6997" s="142">
        <v>0</v>
      </c>
      <c r="L6997" s="142">
        <v>56</v>
      </c>
      <c r="M6997" s="142">
        <v>1</v>
      </c>
    </row>
    <row r="6998" spans="1:13" x14ac:dyDescent="0.45">
      <c r="A6998" s="142" t="s">
        <v>13020</v>
      </c>
      <c r="B6998" s="142" t="s">
        <v>15523</v>
      </c>
      <c r="C6998" s="142" t="s">
        <v>15860</v>
      </c>
      <c r="D6998" s="142" t="s">
        <v>15861</v>
      </c>
      <c r="E6998" s="142" t="s">
        <v>15849</v>
      </c>
      <c r="F6998" s="142" t="s">
        <v>10770</v>
      </c>
      <c r="G6998" s="142" t="s">
        <v>10769</v>
      </c>
      <c r="H6998" s="142" t="s">
        <v>22848</v>
      </c>
      <c r="I6998" s="142">
        <v>16</v>
      </c>
      <c r="J6998" s="142">
        <v>0</v>
      </c>
      <c r="K6998" s="142">
        <v>16</v>
      </c>
      <c r="L6998" s="142">
        <v>0</v>
      </c>
      <c r="M6998" s="142">
        <v>0</v>
      </c>
    </row>
    <row r="6999" spans="1:13" x14ac:dyDescent="0.45">
      <c r="A6999" s="142" t="s">
        <v>13021</v>
      </c>
      <c r="B6999" s="142" t="s">
        <v>15501</v>
      </c>
      <c r="C6999" s="142" t="s">
        <v>15847</v>
      </c>
      <c r="D6999" s="142" t="s">
        <v>15848</v>
      </c>
      <c r="E6999" s="142" t="s">
        <v>15849</v>
      </c>
      <c r="F6999" s="142" t="s">
        <v>10770</v>
      </c>
      <c r="G6999" s="142" t="s">
        <v>10769</v>
      </c>
      <c r="H6999" s="142" t="s">
        <v>22849</v>
      </c>
      <c r="I6999" s="142">
        <v>1</v>
      </c>
      <c r="J6999" s="142">
        <v>0</v>
      </c>
      <c r="K6999" s="142">
        <v>0</v>
      </c>
      <c r="L6999" s="142">
        <v>0</v>
      </c>
      <c r="M6999" s="142">
        <v>1</v>
      </c>
    </row>
    <row r="7000" spans="1:13" x14ac:dyDescent="0.45">
      <c r="A7000" s="142" t="s">
        <v>13023</v>
      </c>
      <c r="B7000" s="142" t="s">
        <v>15571</v>
      </c>
      <c r="C7000" s="142" t="s">
        <v>15847</v>
      </c>
      <c r="D7000" s="142" t="s">
        <v>15848</v>
      </c>
      <c r="E7000" s="142" t="s">
        <v>15849</v>
      </c>
      <c r="F7000" s="142" t="s">
        <v>10770</v>
      </c>
      <c r="G7000" s="142" t="s">
        <v>10769</v>
      </c>
      <c r="H7000" s="142" t="s">
        <v>22850</v>
      </c>
      <c r="I7000" s="142">
        <v>99</v>
      </c>
      <c r="J7000" s="142">
        <v>0</v>
      </c>
      <c r="K7000" s="142">
        <v>0</v>
      </c>
      <c r="L7000" s="142">
        <v>64</v>
      </c>
      <c r="M7000" s="142">
        <v>35</v>
      </c>
    </row>
    <row r="7001" spans="1:13" x14ac:dyDescent="0.45">
      <c r="A7001" s="142" t="s">
        <v>13230</v>
      </c>
      <c r="B7001" s="142" t="s">
        <v>15339</v>
      </c>
      <c r="C7001" s="142" t="s">
        <v>15847</v>
      </c>
      <c r="D7001" s="142" t="s">
        <v>15848</v>
      </c>
      <c r="E7001" s="142" t="s">
        <v>15849</v>
      </c>
      <c r="F7001" s="142" t="s">
        <v>10770</v>
      </c>
      <c r="G7001" s="142" t="s">
        <v>10769</v>
      </c>
      <c r="H7001" s="142" t="s">
        <v>22851</v>
      </c>
      <c r="I7001" s="142">
        <v>1235</v>
      </c>
      <c r="J7001" s="142">
        <v>1041</v>
      </c>
      <c r="K7001" s="142">
        <v>0</v>
      </c>
      <c r="L7001" s="142">
        <v>145</v>
      </c>
      <c r="M7001" s="142">
        <v>49</v>
      </c>
    </row>
    <row r="7002" spans="1:13" x14ac:dyDescent="0.45">
      <c r="A7002" s="142" t="s">
        <v>13235</v>
      </c>
      <c r="B7002" s="142" t="s">
        <v>14573</v>
      </c>
      <c r="C7002" s="142" t="s">
        <v>15847</v>
      </c>
      <c r="D7002" s="142" t="s">
        <v>15848</v>
      </c>
      <c r="E7002" s="142" t="s">
        <v>15849</v>
      </c>
      <c r="F7002" s="142" t="s">
        <v>10770</v>
      </c>
      <c r="G7002" s="142" t="s">
        <v>10769</v>
      </c>
      <c r="H7002" s="142" t="s">
        <v>22852</v>
      </c>
      <c r="I7002" s="142">
        <v>446</v>
      </c>
      <c r="J7002" s="142">
        <v>387</v>
      </c>
      <c r="K7002" s="142">
        <v>0</v>
      </c>
      <c r="L7002" s="142">
        <v>11</v>
      </c>
      <c r="M7002" s="142">
        <v>48</v>
      </c>
    </row>
    <row r="7003" spans="1:13" x14ac:dyDescent="0.45">
      <c r="A7003" s="142" t="s">
        <v>13237</v>
      </c>
      <c r="B7003" s="142" t="s">
        <v>14643</v>
      </c>
      <c r="C7003" s="142" t="s">
        <v>15847</v>
      </c>
      <c r="D7003" s="142" t="s">
        <v>15848</v>
      </c>
      <c r="E7003" s="142" t="s">
        <v>15849</v>
      </c>
      <c r="F7003" s="142" t="s">
        <v>10770</v>
      </c>
      <c r="G7003" s="142" t="s">
        <v>10769</v>
      </c>
      <c r="H7003" s="142" t="s">
        <v>22853</v>
      </c>
      <c r="I7003" s="142">
        <v>255</v>
      </c>
      <c r="J7003" s="142">
        <v>232</v>
      </c>
      <c r="K7003" s="142">
        <v>0</v>
      </c>
      <c r="L7003" s="142">
        <v>0</v>
      </c>
      <c r="M7003" s="142">
        <v>23</v>
      </c>
    </row>
    <row r="7004" spans="1:13" x14ac:dyDescent="0.45">
      <c r="A7004" s="142" t="s">
        <v>13000</v>
      </c>
      <c r="B7004" s="142" t="s">
        <v>14610</v>
      </c>
      <c r="C7004" s="142" t="s">
        <v>15847</v>
      </c>
      <c r="D7004" s="142" t="s">
        <v>15848</v>
      </c>
      <c r="E7004" s="142" t="s">
        <v>15849</v>
      </c>
      <c r="F7004" s="142" t="s">
        <v>10770</v>
      </c>
      <c r="G7004" s="142" t="s">
        <v>10769</v>
      </c>
      <c r="H7004" s="142" t="s">
        <v>22854</v>
      </c>
      <c r="I7004" s="142">
        <v>42</v>
      </c>
      <c r="J7004" s="142">
        <v>40</v>
      </c>
      <c r="K7004" s="142">
        <v>0</v>
      </c>
      <c r="L7004" s="142">
        <v>0</v>
      </c>
      <c r="M7004" s="142">
        <v>2</v>
      </c>
    </row>
    <row r="7005" spans="1:13" x14ac:dyDescent="0.45">
      <c r="A7005" s="142" t="s">
        <v>13099</v>
      </c>
      <c r="B7005" s="142" t="s">
        <v>14547</v>
      </c>
      <c r="C7005" s="142" t="s">
        <v>15860</v>
      </c>
      <c r="D7005" s="142" t="s">
        <v>15861</v>
      </c>
      <c r="E7005" s="142" t="s">
        <v>15849</v>
      </c>
      <c r="F7005" s="142" t="s">
        <v>10770</v>
      </c>
      <c r="G7005" s="142" t="s">
        <v>10769</v>
      </c>
      <c r="H7005" s="142" t="s">
        <v>22855</v>
      </c>
      <c r="I7005" s="142">
        <v>19</v>
      </c>
      <c r="J7005" s="142">
        <v>0</v>
      </c>
      <c r="K7005" s="142">
        <v>0</v>
      </c>
      <c r="L7005" s="142">
        <v>19</v>
      </c>
      <c r="M7005" s="142">
        <v>0</v>
      </c>
    </row>
    <row r="7006" spans="1:13" x14ac:dyDescent="0.45">
      <c r="A7006" s="142" t="s">
        <v>13027</v>
      </c>
      <c r="B7006" s="142" t="s">
        <v>14562</v>
      </c>
      <c r="C7006" s="142" t="s">
        <v>15847</v>
      </c>
      <c r="D7006" s="142" t="s">
        <v>15848</v>
      </c>
      <c r="E7006" s="142" t="s">
        <v>15849</v>
      </c>
      <c r="F7006" s="142" t="s">
        <v>10770</v>
      </c>
      <c r="G7006" s="142" t="s">
        <v>10769</v>
      </c>
      <c r="H7006" s="142" t="s">
        <v>22856</v>
      </c>
      <c r="I7006" s="142">
        <v>3</v>
      </c>
      <c r="J7006" s="142">
        <v>0</v>
      </c>
      <c r="K7006" s="142">
        <v>0</v>
      </c>
      <c r="L7006" s="142">
        <v>3</v>
      </c>
      <c r="M7006" s="142">
        <v>0</v>
      </c>
    </row>
    <row r="7007" spans="1:13" x14ac:dyDescent="0.45">
      <c r="A7007" s="142" t="s">
        <v>13243</v>
      </c>
      <c r="B7007" s="142" t="s">
        <v>15560</v>
      </c>
      <c r="C7007" s="142" t="s">
        <v>15847</v>
      </c>
      <c r="D7007" s="142" t="s">
        <v>15848</v>
      </c>
      <c r="E7007" s="142" t="s">
        <v>15849</v>
      </c>
      <c r="F7007" s="142" t="s">
        <v>10770</v>
      </c>
      <c r="G7007" s="142" t="s">
        <v>10769</v>
      </c>
      <c r="H7007" s="142" t="s">
        <v>22857</v>
      </c>
      <c r="I7007" s="142">
        <v>1208</v>
      </c>
      <c r="J7007" s="142">
        <v>966</v>
      </c>
      <c r="K7007" s="142">
        <v>0</v>
      </c>
      <c r="L7007" s="142">
        <v>189</v>
      </c>
      <c r="M7007" s="142">
        <v>53</v>
      </c>
    </row>
    <row r="7008" spans="1:13" x14ac:dyDescent="0.45">
      <c r="A7008" s="142" t="s">
        <v>13001</v>
      </c>
      <c r="B7008" s="142" t="s">
        <v>15506</v>
      </c>
      <c r="C7008" s="142" t="s">
        <v>15847</v>
      </c>
      <c r="D7008" s="142" t="s">
        <v>15848</v>
      </c>
      <c r="E7008" s="142" t="s">
        <v>15849</v>
      </c>
      <c r="F7008" s="142" t="s">
        <v>10770</v>
      </c>
      <c r="G7008" s="142" t="s">
        <v>10769</v>
      </c>
      <c r="H7008" s="142" t="s">
        <v>22858</v>
      </c>
      <c r="I7008" s="142">
        <v>2</v>
      </c>
      <c r="J7008" s="142">
        <v>1</v>
      </c>
      <c r="K7008" s="142">
        <v>0</v>
      </c>
      <c r="L7008" s="142">
        <v>1</v>
      </c>
      <c r="M7008" s="142">
        <v>0</v>
      </c>
    </row>
    <row r="7009" spans="1:13" x14ac:dyDescent="0.45">
      <c r="A7009" s="142" t="s">
        <v>13028</v>
      </c>
      <c r="B7009" s="142" t="s">
        <v>14462</v>
      </c>
      <c r="C7009" s="142" t="s">
        <v>15847</v>
      </c>
      <c r="D7009" s="142" t="s">
        <v>15848</v>
      </c>
      <c r="E7009" s="142" t="s">
        <v>15849</v>
      </c>
      <c r="F7009" s="142" t="s">
        <v>10770</v>
      </c>
      <c r="G7009" s="142" t="s">
        <v>10769</v>
      </c>
      <c r="H7009" s="142" t="s">
        <v>22859</v>
      </c>
      <c r="I7009" s="142">
        <v>7</v>
      </c>
      <c r="J7009" s="142">
        <v>0</v>
      </c>
      <c r="K7009" s="142">
        <v>0</v>
      </c>
      <c r="L7009" s="142">
        <v>0</v>
      </c>
      <c r="M7009" s="142">
        <v>7</v>
      </c>
    </row>
    <row r="7010" spans="1:13" x14ac:dyDescent="0.45">
      <c r="A7010" s="142" t="s">
        <v>13003</v>
      </c>
      <c r="B7010" s="142" t="s">
        <v>15245</v>
      </c>
      <c r="C7010" s="142" t="s">
        <v>15847</v>
      </c>
      <c r="D7010" s="142" t="s">
        <v>15848</v>
      </c>
      <c r="E7010" s="142" t="s">
        <v>15849</v>
      </c>
      <c r="F7010" s="142" t="s">
        <v>10770</v>
      </c>
      <c r="G7010" s="142" t="s">
        <v>10769</v>
      </c>
      <c r="H7010" s="142" t="s">
        <v>22860</v>
      </c>
      <c r="I7010" s="142">
        <v>289</v>
      </c>
      <c r="J7010" s="142">
        <v>0</v>
      </c>
      <c r="K7010" s="142">
        <v>0</v>
      </c>
      <c r="L7010" s="142">
        <v>235</v>
      </c>
      <c r="M7010" s="142">
        <v>54</v>
      </c>
    </row>
    <row r="7011" spans="1:13" x14ac:dyDescent="0.45">
      <c r="A7011" s="142" t="s">
        <v>13066</v>
      </c>
      <c r="B7011" s="142" t="s">
        <v>14459</v>
      </c>
      <c r="C7011" s="142" t="s">
        <v>15847</v>
      </c>
      <c r="D7011" s="142" t="s">
        <v>15848</v>
      </c>
      <c r="E7011" s="142" t="s">
        <v>15849</v>
      </c>
      <c r="F7011" s="142" t="s">
        <v>10770</v>
      </c>
      <c r="G7011" s="142" t="s">
        <v>10769</v>
      </c>
      <c r="H7011" s="142" t="s">
        <v>22861</v>
      </c>
      <c r="I7011" s="142">
        <v>35</v>
      </c>
      <c r="J7011" s="142">
        <v>0</v>
      </c>
      <c r="K7011" s="142">
        <v>0</v>
      </c>
      <c r="L7011" s="142">
        <v>35</v>
      </c>
      <c r="M7011" s="142">
        <v>0</v>
      </c>
    </row>
    <row r="7012" spans="1:13" x14ac:dyDescent="0.45">
      <c r="A7012" s="142" t="s">
        <v>13076</v>
      </c>
      <c r="B7012" s="142" t="s">
        <v>14636</v>
      </c>
      <c r="C7012" s="142" t="s">
        <v>15847</v>
      </c>
      <c r="D7012" s="142" t="s">
        <v>15848</v>
      </c>
      <c r="E7012" s="142" t="s">
        <v>15849</v>
      </c>
      <c r="F7012" s="142" t="s">
        <v>10770</v>
      </c>
      <c r="G7012" s="142" t="s">
        <v>10769</v>
      </c>
      <c r="H7012" s="142" t="s">
        <v>22862</v>
      </c>
      <c r="I7012" s="142">
        <v>98</v>
      </c>
      <c r="J7012" s="142">
        <v>64</v>
      </c>
      <c r="K7012" s="142">
        <v>0</v>
      </c>
      <c r="L7012" s="142">
        <v>0</v>
      </c>
      <c r="M7012" s="142">
        <v>34</v>
      </c>
    </row>
    <row r="7013" spans="1:13" x14ac:dyDescent="0.45">
      <c r="A7013" s="142" t="s">
        <v>13331</v>
      </c>
      <c r="B7013" s="142" t="s">
        <v>14682</v>
      </c>
      <c r="C7013" s="142" t="s">
        <v>15860</v>
      </c>
      <c r="D7013" s="142" t="s">
        <v>15861</v>
      </c>
      <c r="E7013" s="142" t="s">
        <v>15849</v>
      </c>
      <c r="F7013" s="142" t="s">
        <v>10770</v>
      </c>
      <c r="G7013" s="142" t="s">
        <v>10769</v>
      </c>
      <c r="H7013" s="142" t="s">
        <v>22863</v>
      </c>
      <c r="I7013" s="142">
        <v>16</v>
      </c>
      <c r="J7013" s="142">
        <v>16</v>
      </c>
      <c r="K7013" s="142">
        <v>0</v>
      </c>
      <c r="L7013" s="142">
        <v>0</v>
      </c>
      <c r="M7013" s="142">
        <v>0</v>
      </c>
    </row>
    <row r="7014" spans="1:13" x14ac:dyDescent="0.45">
      <c r="A7014" s="142" t="s">
        <v>14157</v>
      </c>
      <c r="B7014" s="142" t="s">
        <v>15452</v>
      </c>
      <c r="C7014" s="142" t="s">
        <v>15860</v>
      </c>
      <c r="D7014" s="142" t="s">
        <v>15861</v>
      </c>
      <c r="E7014" s="142" t="s">
        <v>15849</v>
      </c>
      <c r="F7014" s="142" t="s">
        <v>10770</v>
      </c>
      <c r="G7014" s="142" t="s">
        <v>10769</v>
      </c>
      <c r="H7014" s="142" t="s">
        <v>22864</v>
      </c>
      <c r="I7014" s="142">
        <v>200</v>
      </c>
      <c r="J7014" s="142">
        <v>200</v>
      </c>
      <c r="K7014" s="142">
        <v>0</v>
      </c>
      <c r="L7014" s="142">
        <v>0</v>
      </c>
      <c r="M7014" s="142">
        <v>0</v>
      </c>
    </row>
    <row r="7015" spans="1:13" x14ac:dyDescent="0.45">
      <c r="A7015" s="142" t="s">
        <v>13248</v>
      </c>
      <c r="B7015" s="142" t="s">
        <v>15463</v>
      </c>
      <c r="C7015" s="142" t="s">
        <v>15847</v>
      </c>
      <c r="D7015" s="142" t="s">
        <v>15848</v>
      </c>
      <c r="E7015" s="142" t="s">
        <v>15849</v>
      </c>
      <c r="F7015" s="142" t="s">
        <v>10770</v>
      </c>
      <c r="G7015" s="142" t="s">
        <v>10769</v>
      </c>
      <c r="H7015" s="142" t="s">
        <v>22865</v>
      </c>
      <c r="I7015" s="142">
        <v>1451</v>
      </c>
      <c r="J7015" s="142">
        <v>1294</v>
      </c>
      <c r="K7015" s="142">
        <v>0</v>
      </c>
      <c r="L7015" s="142">
        <v>79</v>
      </c>
      <c r="M7015" s="142">
        <v>78</v>
      </c>
    </row>
    <row r="7016" spans="1:13" x14ac:dyDescent="0.45">
      <c r="A7016" s="142" t="s">
        <v>13250</v>
      </c>
      <c r="B7016" s="142" t="s">
        <v>15395</v>
      </c>
      <c r="C7016" s="142" t="s">
        <v>15847</v>
      </c>
      <c r="D7016" s="142" t="s">
        <v>15848</v>
      </c>
      <c r="E7016" s="142" t="s">
        <v>15849</v>
      </c>
      <c r="F7016" s="142" t="s">
        <v>10770</v>
      </c>
      <c r="G7016" s="142" t="s">
        <v>10769</v>
      </c>
      <c r="H7016" s="142" t="s">
        <v>22866</v>
      </c>
      <c r="I7016" s="142">
        <v>128</v>
      </c>
      <c r="J7016" s="142">
        <v>83</v>
      </c>
      <c r="K7016" s="142">
        <v>0</v>
      </c>
      <c r="L7016" s="142">
        <v>45</v>
      </c>
      <c r="M7016" s="142">
        <v>0</v>
      </c>
    </row>
    <row r="7017" spans="1:13" x14ac:dyDescent="0.45">
      <c r="A7017" s="142" t="s">
        <v>13035</v>
      </c>
      <c r="B7017" s="142" t="s">
        <v>14648</v>
      </c>
      <c r="C7017" s="142" t="s">
        <v>15847</v>
      </c>
      <c r="D7017" s="142" t="s">
        <v>15848</v>
      </c>
      <c r="E7017" s="142" t="s">
        <v>15849</v>
      </c>
      <c r="F7017" s="142" t="s">
        <v>10770</v>
      </c>
      <c r="G7017" s="142" t="s">
        <v>10769</v>
      </c>
      <c r="H7017" s="142" t="s">
        <v>22867</v>
      </c>
      <c r="I7017" s="142">
        <v>124</v>
      </c>
      <c r="J7017" s="142">
        <v>97</v>
      </c>
      <c r="K7017" s="142">
        <v>0</v>
      </c>
      <c r="L7017" s="142">
        <v>0</v>
      </c>
      <c r="M7017" s="142">
        <v>27</v>
      </c>
    </row>
    <row r="7018" spans="1:13" x14ac:dyDescent="0.45">
      <c r="A7018" s="142" t="s">
        <v>13091</v>
      </c>
      <c r="B7018" s="142" t="s">
        <v>14473</v>
      </c>
      <c r="C7018" s="142" t="s">
        <v>15847</v>
      </c>
      <c r="D7018" s="142" t="s">
        <v>15848</v>
      </c>
      <c r="E7018" s="142" t="s">
        <v>15849</v>
      </c>
      <c r="F7018" s="142" t="s">
        <v>10770</v>
      </c>
      <c r="G7018" s="142" t="s">
        <v>10769</v>
      </c>
      <c r="H7018" s="142" t="s">
        <v>22868</v>
      </c>
      <c r="I7018" s="142">
        <v>70</v>
      </c>
      <c r="J7018" s="142">
        <v>70</v>
      </c>
      <c r="K7018" s="142">
        <v>0</v>
      </c>
      <c r="L7018" s="142">
        <v>0</v>
      </c>
      <c r="M7018" s="142">
        <v>0</v>
      </c>
    </row>
    <row r="7019" spans="1:13" x14ac:dyDescent="0.45">
      <c r="A7019" s="142" t="s">
        <v>13009</v>
      </c>
      <c r="B7019" s="142" t="s">
        <v>15256</v>
      </c>
      <c r="C7019" s="142" t="s">
        <v>15847</v>
      </c>
      <c r="D7019" s="142" t="s">
        <v>15848</v>
      </c>
      <c r="E7019" s="142" t="s">
        <v>15849</v>
      </c>
      <c r="F7019" s="142" t="s">
        <v>10770</v>
      </c>
      <c r="G7019" s="142" t="s">
        <v>10769</v>
      </c>
      <c r="H7019" s="142" t="s">
        <v>22869</v>
      </c>
      <c r="I7019" s="142">
        <v>544</v>
      </c>
      <c r="J7019" s="142">
        <v>383</v>
      </c>
      <c r="K7019" s="142">
        <v>0</v>
      </c>
      <c r="L7019" s="142">
        <v>155</v>
      </c>
      <c r="M7019" s="142">
        <v>6</v>
      </c>
    </row>
    <row r="7020" spans="1:13" x14ac:dyDescent="0.45">
      <c r="A7020" s="142" t="s">
        <v>14158</v>
      </c>
      <c r="B7020" s="142" t="s">
        <v>14628</v>
      </c>
      <c r="C7020" s="142" t="s">
        <v>15860</v>
      </c>
      <c r="D7020" s="142" t="s">
        <v>15861</v>
      </c>
      <c r="E7020" s="142" t="s">
        <v>15849</v>
      </c>
      <c r="F7020" s="142" t="s">
        <v>10770</v>
      </c>
      <c r="G7020" s="142" t="s">
        <v>10769</v>
      </c>
      <c r="H7020" s="142" t="s">
        <v>22870</v>
      </c>
      <c r="I7020" s="142">
        <v>21</v>
      </c>
      <c r="J7020" s="142">
        <v>2</v>
      </c>
      <c r="K7020" s="142">
        <v>0</v>
      </c>
      <c r="L7020" s="142">
        <v>19</v>
      </c>
      <c r="M7020" s="142">
        <v>0</v>
      </c>
    </row>
    <row r="7021" spans="1:13" x14ac:dyDescent="0.45">
      <c r="A7021" s="142" t="s">
        <v>13011</v>
      </c>
      <c r="B7021" s="142" t="s">
        <v>14695</v>
      </c>
      <c r="C7021" s="142" t="s">
        <v>15847</v>
      </c>
      <c r="D7021" s="142" t="s">
        <v>15848</v>
      </c>
      <c r="E7021" s="142" t="s">
        <v>15849</v>
      </c>
      <c r="F7021" s="142" t="s">
        <v>10770</v>
      </c>
      <c r="G7021" s="142" t="s">
        <v>10769</v>
      </c>
      <c r="H7021" s="142" t="s">
        <v>22871</v>
      </c>
      <c r="I7021" s="142">
        <v>148</v>
      </c>
      <c r="J7021" s="142">
        <v>36</v>
      </c>
      <c r="K7021" s="142">
        <v>0</v>
      </c>
      <c r="L7021" s="142">
        <v>112</v>
      </c>
      <c r="M7021" s="142">
        <v>0</v>
      </c>
    </row>
    <row r="7022" spans="1:13" x14ac:dyDescent="0.45">
      <c r="A7022" s="142" t="s">
        <v>13257</v>
      </c>
      <c r="B7022" s="142" t="s">
        <v>15219</v>
      </c>
      <c r="C7022" s="142" t="s">
        <v>15860</v>
      </c>
      <c r="D7022" s="142" t="s">
        <v>15861</v>
      </c>
      <c r="E7022" s="142" t="s">
        <v>15849</v>
      </c>
      <c r="F7022" s="142" t="s">
        <v>10770</v>
      </c>
      <c r="G7022" s="142" t="s">
        <v>10769</v>
      </c>
      <c r="H7022" s="142" t="s">
        <v>22872</v>
      </c>
      <c r="I7022" s="142">
        <v>86</v>
      </c>
      <c r="J7022" s="142">
        <v>54</v>
      </c>
      <c r="K7022" s="142">
        <v>32</v>
      </c>
      <c r="L7022" s="142">
        <v>0</v>
      </c>
      <c r="M7022" s="142">
        <v>0</v>
      </c>
    </row>
    <row r="7023" spans="1:13" x14ac:dyDescent="0.45">
      <c r="A7023" s="142" t="s">
        <v>13012</v>
      </c>
      <c r="B7023" s="142" t="s">
        <v>15337</v>
      </c>
      <c r="C7023" s="142" t="s">
        <v>15847</v>
      </c>
      <c r="D7023" s="142" t="s">
        <v>15848</v>
      </c>
      <c r="E7023" s="142" t="s">
        <v>15849</v>
      </c>
      <c r="F7023" s="142" t="s">
        <v>10770</v>
      </c>
      <c r="G7023" s="142" t="s">
        <v>10769</v>
      </c>
      <c r="H7023" s="142" t="s">
        <v>22873</v>
      </c>
      <c r="I7023" s="142">
        <v>1028</v>
      </c>
      <c r="J7023" s="142">
        <v>890</v>
      </c>
      <c r="K7023" s="142">
        <v>0</v>
      </c>
      <c r="L7023" s="142">
        <v>40</v>
      </c>
      <c r="M7023" s="142">
        <v>98</v>
      </c>
    </row>
    <row r="7024" spans="1:13" x14ac:dyDescent="0.45">
      <c r="A7024" s="142" t="s">
        <v>13260</v>
      </c>
      <c r="B7024" s="142" t="s">
        <v>14839</v>
      </c>
      <c r="C7024" s="142" t="s">
        <v>15860</v>
      </c>
      <c r="D7024" s="142" t="s">
        <v>15861</v>
      </c>
      <c r="E7024" s="142" t="s">
        <v>15849</v>
      </c>
      <c r="F7024" s="142" t="s">
        <v>10770</v>
      </c>
      <c r="G7024" s="142" t="s">
        <v>10769</v>
      </c>
      <c r="H7024" s="142" t="s">
        <v>22874</v>
      </c>
      <c r="I7024" s="142">
        <v>61</v>
      </c>
      <c r="J7024" s="142">
        <v>0</v>
      </c>
      <c r="K7024" s="142">
        <v>0</v>
      </c>
      <c r="L7024" s="142">
        <v>61</v>
      </c>
      <c r="M7024" s="142">
        <v>0</v>
      </c>
    </row>
    <row r="7025" spans="1:13" x14ac:dyDescent="0.45">
      <c r="A7025" s="142" t="s">
        <v>13042</v>
      </c>
      <c r="B7025" s="142" t="s">
        <v>15489</v>
      </c>
      <c r="C7025" s="142" t="s">
        <v>15847</v>
      </c>
      <c r="D7025" s="142" t="s">
        <v>15848</v>
      </c>
      <c r="E7025" s="142" t="s">
        <v>15849</v>
      </c>
      <c r="F7025" s="142" t="s">
        <v>10770</v>
      </c>
      <c r="G7025" s="142" t="s">
        <v>10769</v>
      </c>
      <c r="H7025" s="142" t="s">
        <v>22875</v>
      </c>
      <c r="I7025" s="142">
        <v>29</v>
      </c>
      <c r="J7025" s="142">
        <v>29</v>
      </c>
      <c r="K7025" s="142">
        <v>0</v>
      </c>
      <c r="L7025" s="142">
        <v>0</v>
      </c>
      <c r="M7025" s="142">
        <v>0</v>
      </c>
    </row>
    <row r="7026" spans="1:13" x14ac:dyDescent="0.45">
      <c r="A7026" s="142" t="s">
        <v>13264</v>
      </c>
      <c r="B7026" s="142" t="s">
        <v>15302</v>
      </c>
      <c r="C7026" s="142" t="s">
        <v>15847</v>
      </c>
      <c r="D7026" s="142" t="s">
        <v>15848</v>
      </c>
      <c r="E7026" s="142" t="s">
        <v>15849</v>
      </c>
      <c r="F7026" s="142" t="s">
        <v>10770</v>
      </c>
      <c r="G7026" s="142" t="s">
        <v>10769</v>
      </c>
      <c r="H7026" s="142" t="s">
        <v>22876</v>
      </c>
      <c r="I7026" s="142">
        <v>435</v>
      </c>
      <c r="J7026" s="142">
        <v>383</v>
      </c>
      <c r="K7026" s="142">
        <v>0</v>
      </c>
      <c r="L7026" s="142">
        <v>47</v>
      </c>
      <c r="M7026" s="142">
        <v>5</v>
      </c>
    </row>
    <row r="7027" spans="1:13" x14ac:dyDescent="0.45">
      <c r="A7027" s="142" t="s">
        <v>13222</v>
      </c>
      <c r="B7027" s="142" t="s">
        <v>14449</v>
      </c>
      <c r="C7027" s="142" t="s">
        <v>15860</v>
      </c>
      <c r="D7027" s="142" t="s">
        <v>15861</v>
      </c>
      <c r="E7027" s="142" t="s">
        <v>15849</v>
      </c>
      <c r="F7027" s="142" t="s">
        <v>10770</v>
      </c>
      <c r="G7027" s="142" t="s">
        <v>10769</v>
      </c>
      <c r="H7027" s="142" t="s">
        <v>22877</v>
      </c>
      <c r="I7027" s="142">
        <v>9</v>
      </c>
      <c r="J7027" s="142">
        <v>0</v>
      </c>
      <c r="K7027" s="142">
        <v>0</v>
      </c>
      <c r="L7027" s="142">
        <v>9</v>
      </c>
      <c r="M7027" s="142">
        <v>0</v>
      </c>
    </row>
    <row r="7028" spans="1:13" x14ac:dyDescent="0.45">
      <c r="A7028" s="142" t="s">
        <v>13267</v>
      </c>
      <c r="B7028" s="142" t="s">
        <v>15451</v>
      </c>
      <c r="C7028" s="142" t="s">
        <v>15847</v>
      </c>
      <c r="D7028" s="142" t="s">
        <v>15848</v>
      </c>
      <c r="E7028" s="142" t="s">
        <v>15849</v>
      </c>
      <c r="F7028" s="142" t="s">
        <v>10770</v>
      </c>
      <c r="G7028" s="142" t="s">
        <v>10769</v>
      </c>
      <c r="H7028" s="142" t="s">
        <v>22878</v>
      </c>
      <c r="I7028" s="142">
        <v>10</v>
      </c>
      <c r="J7028" s="142">
        <v>10</v>
      </c>
      <c r="K7028" s="142">
        <v>0</v>
      </c>
      <c r="L7028" s="142">
        <v>0</v>
      </c>
      <c r="M7028" s="142">
        <v>0</v>
      </c>
    </row>
    <row r="7029" spans="1:13" x14ac:dyDescent="0.45">
      <c r="A7029" s="142" t="s">
        <v>13144</v>
      </c>
      <c r="B7029" s="142" t="s">
        <v>14464</v>
      </c>
      <c r="C7029" s="142" t="s">
        <v>15860</v>
      </c>
      <c r="D7029" s="142" t="s">
        <v>15861</v>
      </c>
      <c r="E7029" s="142" t="s">
        <v>15849</v>
      </c>
      <c r="F7029" s="142" t="s">
        <v>10770</v>
      </c>
      <c r="G7029" s="142" t="s">
        <v>10769</v>
      </c>
      <c r="H7029" s="142" t="s">
        <v>22879</v>
      </c>
      <c r="I7029" s="142">
        <v>3</v>
      </c>
      <c r="J7029" s="142">
        <v>0</v>
      </c>
      <c r="K7029" s="142">
        <v>0</v>
      </c>
      <c r="L7029" s="142">
        <v>3</v>
      </c>
      <c r="M7029" s="142">
        <v>0</v>
      </c>
    </row>
    <row r="7030" spans="1:13" x14ac:dyDescent="0.45">
      <c r="A7030" s="142" t="s">
        <v>14159</v>
      </c>
      <c r="B7030" s="142" t="s">
        <v>15487</v>
      </c>
      <c r="C7030" s="142" t="s">
        <v>15860</v>
      </c>
      <c r="D7030" s="142" t="s">
        <v>15861</v>
      </c>
      <c r="E7030" s="142" t="s">
        <v>15849</v>
      </c>
      <c r="F7030" s="142" t="s">
        <v>10770</v>
      </c>
      <c r="G7030" s="142" t="s">
        <v>10769</v>
      </c>
      <c r="H7030" s="142" t="s">
        <v>22880</v>
      </c>
      <c r="I7030" s="142">
        <v>183</v>
      </c>
      <c r="J7030" s="142">
        <v>27</v>
      </c>
      <c r="K7030" s="142">
        <v>20</v>
      </c>
      <c r="L7030" s="142">
        <v>136</v>
      </c>
      <c r="M7030" s="142">
        <v>0</v>
      </c>
    </row>
    <row r="7031" spans="1:13" x14ac:dyDescent="0.45">
      <c r="A7031" s="142" t="s">
        <v>13023</v>
      </c>
      <c r="B7031" s="142" t="s">
        <v>15571</v>
      </c>
      <c r="C7031" s="142" t="s">
        <v>15847</v>
      </c>
      <c r="D7031" s="142" t="s">
        <v>15848</v>
      </c>
      <c r="E7031" s="142" t="s">
        <v>15849</v>
      </c>
      <c r="F7031" s="142" t="s">
        <v>10226</v>
      </c>
      <c r="G7031" s="142" t="s">
        <v>10225</v>
      </c>
      <c r="H7031" s="142" t="s">
        <v>22881</v>
      </c>
      <c r="I7031" s="142">
        <v>477</v>
      </c>
      <c r="J7031" s="142">
        <v>4</v>
      </c>
      <c r="K7031" s="142">
        <v>0</v>
      </c>
      <c r="L7031" s="142">
        <v>441</v>
      </c>
      <c r="M7031" s="142">
        <v>32</v>
      </c>
    </row>
    <row r="7032" spans="1:13" x14ac:dyDescent="0.45">
      <c r="A7032" s="142" t="s">
        <v>13279</v>
      </c>
      <c r="B7032" s="142" t="s">
        <v>14507</v>
      </c>
      <c r="C7032" s="142" t="s">
        <v>15860</v>
      </c>
      <c r="D7032" s="142" t="s">
        <v>15861</v>
      </c>
      <c r="E7032" s="142" t="s">
        <v>15849</v>
      </c>
      <c r="F7032" s="142" t="s">
        <v>10226</v>
      </c>
      <c r="G7032" s="142" t="s">
        <v>10225</v>
      </c>
      <c r="H7032" s="142" t="s">
        <v>22882</v>
      </c>
      <c r="I7032" s="142">
        <v>2</v>
      </c>
      <c r="J7032" s="142">
        <v>0</v>
      </c>
      <c r="K7032" s="142">
        <v>0</v>
      </c>
      <c r="L7032" s="142">
        <v>2</v>
      </c>
      <c r="M7032" s="142">
        <v>0</v>
      </c>
    </row>
    <row r="7033" spans="1:13" x14ac:dyDescent="0.45">
      <c r="A7033" s="142" t="s">
        <v>13498</v>
      </c>
      <c r="B7033" s="142" t="s">
        <v>15321</v>
      </c>
      <c r="C7033" s="142" t="s">
        <v>15860</v>
      </c>
      <c r="D7033" s="142" t="s">
        <v>15861</v>
      </c>
      <c r="E7033" s="142" t="s">
        <v>15849</v>
      </c>
      <c r="F7033" s="142" t="s">
        <v>10226</v>
      </c>
      <c r="G7033" s="142" t="s">
        <v>10225</v>
      </c>
      <c r="H7033" s="142" t="s">
        <v>22883</v>
      </c>
      <c r="I7033" s="142">
        <v>1</v>
      </c>
      <c r="J7033" s="142">
        <v>0</v>
      </c>
      <c r="K7033" s="142">
        <v>0</v>
      </c>
      <c r="L7033" s="142">
        <v>1</v>
      </c>
      <c r="M7033" s="142">
        <v>0</v>
      </c>
    </row>
    <row r="7034" spans="1:13" x14ac:dyDescent="0.45">
      <c r="A7034" s="142" t="s">
        <v>13115</v>
      </c>
      <c r="B7034" s="142" t="s">
        <v>14508</v>
      </c>
      <c r="C7034" s="142" t="s">
        <v>15860</v>
      </c>
      <c r="D7034" s="142" t="s">
        <v>15861</v>
      </c>
      <c r="E7034" s="142" t="s">
        <v>15849</v>
      </c>
      <c r="F7034" s="142" t="s">
        <v>10226</v>
      </c>
      <c r="G7034" s="142" t="s">
        <v>10225</v>
      </c>
      <c r="H7034" s="142" t="s">
        <v>22884</v>
      </c>
      <c r="I7034" s="142">
        <v>5</v>
      </c>
      <c r="J7034" s="142">
        <v>0</v>
      </c>
      <c r="K7034" s="142">
        <v>0</v>
      </c>
      <c r="L7034" s="142">
        <v>5</v>
      </c>
      <c r="M7034" s="142">
        <v>0</v>
      </c>
    </row>
    <row r="7035" spans="1:13" x14ac:dyDescent="0.45">
      <c r="A7035" s="142" t="s">
        <v>13920</v>
      </c>
      <c r="B7035" s="142" t="s">
        <v>14494</v>
      </c>
      <c r="C7035" s="142" t="s">
        <v>15860</v>
      </c>
      <c r="D7035" s="142" t="s">
        <v>15861</v>
      </c>
      <c r="E7035" s="142" t="s">
        <v>15849</v>
      </c>
      <c r="F7035" s="142" t="s">
        <v>10226</v>
      </c>
      <c r="G7035" s="142" t="s">
        <v>10225</v>
      </c>
      <c r="H7035" s="142" t="s">
        <v>22885</v>
      </c>
      <c r="I7035" s="142">
        <v>12</v>
      </c>
      <c r="J7035" s="142">
        <v>0</v>
      </c>
      <c r="K7035" s="142">
        <v>0</v>
      </c>
      <c r="L7035" s="142">
        <v>12</v>
      </c>
      <c r="M7035" s="142">
        <v>0</v>
      </c>
    </row>
    <row r="7036" spans="1:13" x14ac:dyDescent="0.45">
      <c r="A7036" s="142" t="s">
        <v>13921</v>
      </c>
      <c r="B7036" s="142" t="s">
        <v>15345</v>
      </c>
      <c r="C7036" s="142" t="s">
        <v>15860</v>
      </c>
      <c r="D7036" s="142" t="s">
        <v>15861</v>
      </c>
      <c r="E7036" s="142" t="s">
        <v>15849</v>
      </c>
      <c r="F7036" s="142" t="s">
        <v>10226</v>
      </c>
      <c r="G7036" s="142" t="s">
        <v>10225</v>
      </c>
      <c r="H7036" s="142" t="s">
        <v>22886</v>
      </c>
      <c r="I7036" s="142">
        <v>429</v>
      </c>
      <c r="J7036" s="142">
        <v>360</v>
      </c>
      <c r="K7036" s="142">
        <v>0</v>
      </c>
      <c r="L7036" s="142">
        <v>69</v>
      </c>
      <c r="M7036" s="142">
        <v>0</v>
      </c>
    </row>
    <row r="7037" spans="1:13" x14ac:dyDescent="0.45">
      <c r="A7037" s="142" t="s">
        <v>13099</v>
      </c>
      <c r="B7037" s="142" t="s">
        <v>14547</v>
      </c>
      <c r="C7037" s="142" t="s">
        <v>15860</v>
      </c>
      <c r="D7037" s="142" t="s">
        <v>15861</v>
      </c>
      <c r="E7037" s="142" t="s">
        <v>15849</v>
      </c>
      <c r="F7037" s="142" t="s">
        <v>10226</v>
      </c>
      <c r="G7037" s="142" t="s">
        <v>10225</v>
      </c>
      <c r="H7037" s="142" t="s">
        <v>22887</v>
      </c>
      <c r="I7037" s="142">
        <v>9</v>
      </c>
      <c r="J7037" s="142">
        <v>0</v>
      </c>
      <c r="K7037" s="142">
        <v>0</v>
      </c>
      <c r="L7037" s="142">
        <v>9</v>
      </c>
      <c r="M7037" s="142">
        <v>0</v>
      </c>
    </row>
    <row r="7038" spans="1:13" x14ac:dyDescent="0.45">
      <c r="A7038" s="142" t="s">
        <v>13924</v>
      </c>
      <c r="B7038" s="142" t="s">
        <v>14555</v>
      </c>
      <c r="C7038" s="142" t="s">
        <v>15860</v>
      </c>
      <c r="D7038" s="142" t="s">
        <v>15861</v>
      </c>
      <c r="E7038" s="142" t="s">
        <v>15849</v>
      </c>
      <c r="F7038" s="142" t="s">
        <v>10226</v>
      </c>
      <c r="G7038" s="142" t="s">
        <v>10225</v>
      </c>
      <c r="H7038" s="142" t="s">
        <v>22888</v>
      </c>
      <c r="I7038" s="142">
        <v>104</v>
      </c>
      <c r="J7038" s="142">
        <v>0</v>
      </c>
      <c r="K7038" s="142">
        <v>0</v>
      </c>
      <c r="L7038" s="142">
        <v>104</v>
      </c>
      <c r="M7038" s="142">
        <v>0</v>
      </c>
    </row>
    <row r="7039" spans="1:13" x14ac:dyDescent="0.45">
      <c r="A7039" s="142" t="s">
        <v>13049</v>
      </c>
      <c r="B7039" s="142" t="s">
        <v>14534</v>
      </c>
      <c r="C7039" s="142" t="s">
        <v>15860</v>
      </c>
      <c r="D7039" s="142" t="s">
        <v>15861</v>
      </c>
      <c r="E7039" s="142" t="s">
        <v>15849</v>
      </c>
      <c r="F7039" s="142" t="s">
        <v>10226</v>
      </c>
      <c r="G7039" s="142" t="s">
        <v>10225</v>
      </c>
      <c r="H7039" s="142" t="s">
        <v>22889</v>
      </c>
      <c r="I7039" s="142">
        <v>5</v>
      </c>
      <c r="J7039" s="142">
        <v>0</v>
      </c>
      <c r="K7039" s="142">
        <v>0</v>
      </c>
      <c r="L7039" s="142">
        <v>5</v>
      </c>
      <c r="M7039" s="142">
        <v>0</v>
      </c>
    </row>
    <row r="7040" spans="1:13" x14ac:dyDescent="0.45">
      <c r="A7040" s="142" t="s">
        <v>13027</v>
      </c>
      <c r="B7040" s="142" t="s">
        <v>14562</v>
      </c>
      <c r="C7040" s="142" t="s">
        <v>15847</v>
      </c>
      <c r="D7040" s="142" t="s">
        <v>15848</v>
      </c>
      <c r="E7040" s="142" t="s">
        <v>15849</v>
      </c>
      <c r="F7040" s="142" t="s">
        <v>10226</v>
      </c>
      <c r="G7040" s="142" t="s">
        <v>10225</v>
      </c>
      <c r="H7040" s="142" t="s">
        <v>22890</v>
      </c>
      <c r="I7040" s="142">
        <v>3</v>
      </c>
      <c r="J7040" s="142">
        <v>0</v>
      </c>
      <c r="K7040" s="142">
        <v>0</v>
      </c>
      <c r="L7040" s="142">
        <v>3</v>
      </c>
      <c r="M7040" s="142">
        <v>0</v>
      </c>
    </row>
    <row r="7041" spans="1:13" x14ac:dyDescent="0.45">
      <c r="A7041" s="142" t="s">
        <v>13148</v>
      </c>
      <c r="B7041" s="142" t="s">
        <v>15314</v>
      </c>
      <c r="C7041" s="142" t="s">
        <v>15847</v>
      </c>
      <c r="D7041" s="142" t="s">
        <v>15848</v>
      </c>
      <c r="E7041" s="142" t="s">
        <v>15849</v>
      </c>
      <c r="F7041" s="142" t="s">
        <v>10226</v>
      </c>
      <c r="G7041" s="142" t="s">
        <v>10225</v>
      </c>
      <c r="H7041" s="142" t="s">
        <v>22891</v>
      </c>
      <c r="I7041" s="142">
        <v>132</v>
      </c>
      <c r="J7041" s="142">
        <v>91</v>
      </c>
      <c r="K7041" s="142">
        <v>0</v>
      </c>
      <c r="L7041" s="142">
        <v>0</v>
      </c>
      <c r="M7041" s="142">
        <v>41</v>
      </c>
    </row>
    <row r="7042" spans="1:13" x14ac:dyDescent="0.45">
      <c r="A7042" s="142" t="s">
        <v>13001</v>
      </c>
      <c r="B7042" s="142" t="s">
        <v>15506</v>
      </c>
      <c r="C7042" s="142" t="s">
        <v>15847</v>
      </c>
      <c r="D7042" s="142" t="s">
        <v>15848</v>
      </c>
      <c r="E7042" s="142" t="s">
        <v>15849</v>
      </c>
      <c r="F7042" s="142" t="s">
        <v>10226</v>
      </c>
      <c r="G7042" s="142" t="s">
        <v>10225</v>
      </c>
      <c r="H7042" s="142" t="s">
        <v>22892</v>
      </c>
      <c r="I7042" s="142">
        <v>41</v>
      </c>
      <c r="J7042" s="142">
        <v>34</v>
      </c>
      <c r="K7042" s="142">
        <v>0</v>
      </c>
      <c r="L7042" s="142">
        <v>7</v>
      </c>
      <c r="M7042" s="142">
        <v>0</v>
      </c>
    </row>
    <row r="7043" spans="1:13" x14ac:dyDescent="0.45">
      <c r="A7043" s="142" t="s">
        <v>13149</v>
      </c>
      <c r="B7043" s="142" t="s">
        <v>14458</v>
      </c>
      <c r="C7043" s="142" t="s">
        <v>15860</v>
      </c>
      <c r="D7043" s="142" t="s">
        <v>15861</v>
      </c>
      <c r="E7043" s="142" t="s">
        <v>15849</v>
      </c>
      <c r="F7043" s="142" t="s">
        <v>10226</v>
      </c>
      <c r="G7043" s="142" t="s">
        <v>10225</v>
      </c>
      <c r="H7043" s="142" t="s">
        <v>22893</v>
      </c>
      <c r="I7043" s="142">
        <v>74</v>
      </c>
      <c r="J7043" s="142">
        <v>0</v>
      </c>
      <c r="K7043" s="142">
        <v>0</v>
      </c>
      <c r="L7043" s="142">
        <v>74</v>
      </c>
      <c r="M7043" s="142">
        <v>0</v>
      </c>
    </row>
    <row r="7044" spans="1:13" x14ac:dyDescent="0.45">
      <c r="A7044" s="142" t="s">
        <v>13515</v>
      </c>
      <c r="B7044" s="142" t="s">
        <v>14552</v>
      </c>
      <c r="C7044" s="142" t="s">
        <v>15860</v>
      </c>
      <c r="D7044" s="142" t="s">
        <v>15861</v>
      </c>
      <c r="E7044" s="142" t="s">
        <v>15849</v>
      </c>
      <c r="F7044" s="142" t="s">
        <v>10226</v>
      </c>
      <c r="G7044" s="142" t="s">
        <v>10225</v>
      </c>
      <c r="H7044" s="142" t="s">
        <v>22894</v>
      </c>
      <c r="I7044" s="142">
        <v>97</v>
      </c>
      <c r="J7044" s="142">
        <v>0</v>
      </c>
      <c r="K7044" s="142">
        <v>0</v>
      </c>
      <c r="L7044" s="142">
        <v>97</v>
      </c>
      <c r="M7044" s="142">
        <v>0</v>
      </c>
    </row>
    <row r="7045" spans="1:13" x14ac:dyDescent="0.45">
      <c r="A7045" s="142" t="s">
        <v>13028</v>
      </c>
      <c r="B7045" s="142" t="s">
        <v>14462</v>
      </c>
      <c r="C7045" s="142" t="s">
        <v>15847</v>
      </c>
      <c r="D7045" s="142" t="s">
        <v>15848</v>
      </c>
      <c r="E7045" s="142" t="s">
        <v>15849</v>
      </c>
      <c r="F7045" s="142" t="s">
        <v>10226</v>
      </c>
      <c r="G7045" s="142" t="s">
        <v>10225</v>
      </c>
      <c r="H7045" s="142" t="s">
        <v>22895</v>
      </c>
      <c r="I7045" s="142">
        <v>43</v>
      </c>
      <c r="J7045" s="142">
        <v>0</v>
      </c>
      <c r="K7045" s="142">
        <v>0</v>
      </c>
      <c r="L7045" s="142">
        <v>0</v>
      </c>
      <c r="M7045" s="142">
        <v>43</v>
      </c>
    </row>
    <row r="7046" spans="1:13" x14ac:dyDescent="0.45">
      <c r="A7046" s="142" t="s">
        <v>13160</v>
      </c>
      <c r="B7046" s="142" t="s">
        <v>14525</v>
      </c>
      <c r="C7046" s="142" t="s">
        <v>15847</v>
      </c>
      <c r="D7046" s="142" t="s">
        <v>15848</v>
      </c>
      <c r="E7046" s="142" t="s">
        <v>15849</v>
      </c>
      <c r="F7046" s="142" t="s">
        <v>10226</v>
      </c>
      <c r="G7046" s="142" t="s">
        <v>10225</v>
      </c>
      <c r="H7046" s="142" t="s">
        <v>22896</v>
      </c>
      <c r="I7046" s="142">
        <v>11</v>
      </c>
      <c r="J7046" s="142">
        <v>0</v>
      </c>
      <c r="K7046" s="142">
        <v>0</v>
      </c>
      <c r="L7046" s="142">
        <v>11</v>
      </c>
      <c r="M7046" s="142">
        <v>0</v>
      </c>
    </row>
    <row r="7047" spans="1:13" x14ac:dyDescent="0.45">
      <c r="A7047" s="142" t="s">
        <v>13003</v>
      </c>
      <c r="B7047" s="142" t="s">
        <v>15245</v>
      </c>
      <c r="C7047" s="142" t="s">
        <v>15847</v>
      </c>
      <c r="D7047" s="142" t="s">
        <v>15848</v>
      </c>
      <c r="E7047" s="142" t="s">
        <v>15849</v>
      </c>
      <c r="F7047" s="142" t="s">
        <v>10226</v>
      </c>
      <c r="G7047" s="142" t="s">
        <v>10225</v>
      </c>
      <c r="H7047" s="142" t="s">
        <v>22897</v>
      </c>
      <c r="I7047" s="142">
        <v>196</v>
      </c>
      <c r="J7047" s="142">
        <v>0</v>
      </c>
      <c r="K7047" s="142">
        <v>0</v>
      </c>
      <c r="L7047" s="142">
        <v>196</v>
      </c>
      <c r="M7047" s="142">
        <v>0</v>
      </c>
    </row>
    <row r="7048" spans="1:13" x14ac:dyDescent="0.45">
      <c r="A7048" s="142" t="s">
        <v>13066</v>
      </c>
      <c r="B7048" s="142" t="s">
        <v>14459</v>
      </c>
      <c r="C7048" s="142" t="s">
        <v>15847</v>
      </c>
      <c r="D7048" s="142" t="s">
        <v>15848</v>
      </c>
      <c r="E7048" s="142" t="s">
        <v>15849</v>
      </c>
      <c r="F7048" s="142" t="s">
        <v>10226</v>
      </c>
      <c r="G7048" s="142" t="s">
        <v>10225</v>
      </c>
      <c r="H7048" s="142" t="s">
        <v>22898</v>
      </c>
      <c r="I7048" s="142">
        <v>1</v>
      </c>
      <c r="J7048" s="142">
        <v>0</v>
      </c>
      <c r="K7048" s="142">
        <v>0</v>
      </c>
      <c r="L7048" s="142">
        <v>1</v>
      </c>
      <c r="M7048" s="142">
        <v>0</v>
      </c>
    </row>
    <row r="7049" spans="1:13" x14ac:dyDescent="0.45">
      <c r="A7049" s="142" t="s">
        <v>13291</v>
      </c>
      <c r="B7049" s="142" t="s">
        <v>15495</v>
      </c>
      <c r="C7049" s="142" t="s">
        <v>15847</v>
      </c>
      <c r="D7049" s="142" t="s">
        <v>15848</v>
      </c>
      <c r="E7049" s="142" t="s">
        <v>15849</v>
      </c>
      <c r="F7049" s="142" t="s">
        <v>10226</v>
      </c>
      <c r="G7049" s="142" t="s">
        <v>10225</v>
      </c>
      <c r="H7049" s="142" t="s">
        <v>22899</v>
      </c>
      <c r="I7049" s="142">
        <v>1588</v>
      </c>
      <c r="J7049" s="142">
        <v>1117</v>
      </c>
      <c r="K7049" s="142">
        <v>0</v>
      </c>
      <c r="L7049" s="142">
        <v>335</v>
      </c>
      <c r="M7049" s="142">
        <v>136</v>
      </c>
    </row>
    <row r="7050" spans="1:13" x14ac:dyDescent="0.45">
      <c r="A7050" s="142" t="s">
        <v>13076</v>
      </c>
      <c r="B7050" s="142" t="s">
        <v>14636</v>
      </c>
      <c r="C7050" s="142" t="s">
        <v>15847</v>
      </c>
      <c r="D7050" s="142" t="s">
        <v>15848</v>
      </c>
      <c r="E7050" s="142" t="s">
        <v>15849</v>
      </c>
      <c r="F7050" s="142" t="s">
        <v>10226</v>
      </c>
      <c r="G7050" s="142" t="s">
        <v>10225</v>
      </c>
      <c r="H7050" s="142" t="s">
        <v>22900</v>
      </c>
      <c r="I7050" s="142">
        <v>15</v>
      </c>
      <c r="J7050" s="142">
        <v>0</v>
      </c>
      <c r="K7050" s="142">
        <v>0</v>
      </c>
      <c r="L7050" s="142">
        <v>0</v>
      </c>
      <c r="M7050" s="142">
        <v>15</v>
      </c>
    </row>
    <row r="7051" spans="1:13" x14ac:dyDescent="0.45">
      <c r="A7051" s="142" t="s">
        <v>13934</v>
      </c>
      <c r="B7051" s="142" t="s">
        <v>14996</v>
      </c>
      <c r="C7051" s="142" t="s">
        <v>15860</v>
      </c>
      <c r="D7051" s="142" t="s">
        <v>15861</v>
      </c>
      <c r="E7051" s="142" t="s">
        <v>15849</v>
      </c>
      <c r="F7051" s="142" t="s">
        <v>10226</v>
      </c>
      <c r="G7051" s="142" t="s">
        <v>10225</v>
      </c>
      <c r="H7051" s="142" t="s">
        <v>22901</v>
      </c>
      <c r="I7051" s="142">
        <v>13</v>
      </c>
      <c r="J7051" s="142">
        <v>13</v>
      </c>
      <c r="K7051" s="142">
        <v>0</v>
      </c>
      <c r="L7051" s="142">
        <v>0</v>
      </c>
      <c r="M7051" s="142">
        <v>0</v>
      </c>
    </row>
    <row r="7052" spans="1:13" x14ac:dyDescent="0.45">
      <c r="A7052" s="142" t="s">
        <v>13744</v>
      </c>
      <c r="B7052" s="142" t="s">
        <v>15593</v>
      </c>
      <c r="C7052" s="142" t="s">
        <v>15847</v>
      </c>
      <c r="D7052" s="142" t="s">
        <v>15848</v>
      </c>
      <c r="E7052" s="142" t="s">
        <v>15849</v>
      </c>
      <c r="F7052" s="142" t="s">
        <v>10226</v>
      </c>
      <c r="G7052" s="142" t="s">
        <v>10225</v>
      </c>
      <c r="H7052" s="142" t="s">
        <v>22902</v>
      </c>
      <c r="I7052" s="142">
        <v>131</v>
      </c>
      <c r="J7052" s="142">
        <v>81</v>
      </c>
      <c r="K7052" s="142">
        <v>0</v>
      </c>
      <c r="L7052" s="142">
        <v>0</v>
      </c>
      <c r="M7052" s="142">
        <v>50</v>
      </c>
    </row>
    <row r="7053" spans="1:13" x14ac:dyDescent="0.45">
      <c r="A7053" s="142" t="s">
        <v>13486</v>
      </c>
      <c r="B7053" s="142" t="s">
        <v>14563</v>
      </c>
      <c r="C7053" s="142" t="s">
        <v>15847</v>
      </c>
      <c r="D7053" s="142" t="s">
        <v>15848</v>
      </c>
      <c r="E7053" s="142" t="s">
        <v>15849</v>
      </c>
      <c r="F7053" s="142" t="s">
        <v>10226</v>
      </c>
      <c r="G7053" s="142" t="s">
        <v>10225</v>
      </c>
      <c r="H7053" s="142" t="s">
        <v>22903</v>
      </c>
      <c r="I7053" s="142">
        <v>10717</v>
      </c>
      <c r="J7053" s="142">
        <v>9800</v>
      </c>
      <c r="K7053" s="142">
        <v>0</v>
      </c>
      <c r="L7053" s="142">
        <v>827</v>
      </c>
      <c r="M7053" s="142">
        <v>90</v>
      </c>
    </row>
    <row r="7054" spans="1:13" x14ac:dyDescent="0.45">
      <c r="A7054" s="142" t="s">
        <v>13276</v>
      </c>
      <c r="B7054" s="142" t="s">
        <v>15498</v>
      </c>
      <c r="C7054" s="142" t="s">
        <v>15847</v>
      </c>
      <c r="D7054" s="142" t="s">
        <v>15848</v>
      </c>
      <c r="E7054" s="142" t="s">
        <v>15849</v>
      </c>
      <c r="F7054" s="142" t="s">
        <v>10226</v>
      </c>
      <c r="G7054" s="142" t="s">
        <v>10225</v>
      </c>
      <c r="H7054" s="142" t="s">
        <v>22904</v>
      </c>
      <c r="I7054" s="142">
        <v>414</v>
      </c>
      <c r="J7054" s="142">
        <v>273</v>
      </c>
      <c r="K7054" s="142">
        <v>0</v>
      </c>
      <c r="L7054" s="142">
        <v>93</v>
      </c>
      <c r="M7054" s="142">
        <v>48</v>
      </c>
    </row>
    <row r="7055" spans="1:13" x14ac:dyDescent="0.45">
      <c r="A7055" s="142" t="s">
        <v>13033</v>
      </c>
      <c r="B7055" s="142" t="s">
        <v>15276</v>
      </c>
      <c r="C7055" s="142" t="s">
        <v>15847</v>
      </c>
      <c r="D7055" s="142" t="s">
        <v>15848</v>
      </c>
      <c r="E7055" s="142" t="s">
        <v>15849</v>
      </c>
      <c r="F7055" s="142" t="s">
        <v>10226</v>
      </c>
      <c r="G7055" s="142" t="s">
        <v>10225</v>
      </c>
      <c r="H7055" s="142" t="s">
        <v>22905</v>
      </c>
      <c r="I7055" s="142">
        <v>144</v>
      </c>
      <c r="J7055" s="142">
        <v>144</v>
      </c>
      <c r="K7055" s="142">
        <v>0</v>
      </c>
      <c r="L7055" s="142">
        <v>0</v>
      </c>
      <c r="M7055" s="142">
        <v>0</v>
      </c>
    </row>
    <row r="7056" spans="1:13" x14ac:dyDescent="0.45">
      <c r="A7056" s="142" t="s">
        <v>13487</v>
      </c>
      <c r="B7056" s="142" t="s">
        <v>15490</v>
      </c>
      <c r="C7056" s="142" t="s">
        <v>15847</v>
      </c>
      <c r="D7056" s="142" t="s">
        <v>15848</v>
      </c>
      <c r="E7056" s="142" t="s">
        <v>15849</v>
      </c>
      <c r="F7056" s="142" t="s">
        <v>10226</v>
      </c>
      <c r="G7056" s="142" t="s">
        <v>10225</v>
      </c>
      <c r="H7056" s="142" t="s">
        <v>22906</v>
      </c>
      <c r="I7056" s="142">
        <v>896</v>
      </c>
      <c r="J7056" s="142">
        <v>810</v>
      </c>
      <c r="K7056" s="142">
        <v>0</v>
      </c>
      <c r="L7056" s="142">
        <v>74</v>
      </c>
      <c r="M7056" s="142">
        <v>12</v>
      </c>
    </row>
    <row r="7057" spans="1:13" x14ac:dyDescent="0.45">
      <c r="A7057" s="142" t="s">
        <v>13838</v>
      </c>
      <c r="B7057" s="142" t="s">
        <v>15305</v>
      </c>
      <c r="C7057" s="142" t="s">
        <v>15847</v>
      </c>
      <c r="D7057" s="142" t="s">
        <v>15848</v>
      </c>
      <c r="E7057" s="142" t="s">
        <v>15849</v>
      </c>
      <c r="F7057" s="142" t="s">
        <v>10226</v>
      </c>
      <c r="G7057" s="142" t="s">
        <v>10225</v>
      </c>
      <c r="H7057" s="142" t="s">
        <v>22907</v>
      </c>
      <c r="I7057" s="142">
        <v>577</v>
      </c>
      <c r="J7057" s="142">
        <v>413</v>
      </c>
      <c r="K7057" s="142">
        <v>0</v>
      </c>
      <c r="L7057" s="142">
        <v>159</v>
      </c>
      <c r="M7057" s="142">
        <v>5</v>
      </c>
    </row>
    <row r="7058" spans="1:13" x14ac:dyDescent="0.45">
      <c r="A7058" s="142" t="s">
        <v>13036</v>
      </c>
      <c r="B7058" s="142" t="s">
        <v>15567</v>
      </c>
      <c r="C7058" s="142" t="s">
        <v>15847</v>
      </c>
      <c r="D7058" s="142" t="s">
        <v>15848</v>
      </c>
      <c r="E7058" s="142" t="s">
        <v>15849</v>
      </c>
      <c r="F7058" s="142" t="s">
        <v>10226</v>
      </c>
      <c r="G7058" s="142" t="s">
        <v>10225</v>
      </c>
      <c r="H7058" s="142" t="s">
        <v>22908</v>
      </c>
      <c r="I7058" s="142">
        <v>26</v>
      </c>
      <c r="J7058" s="142">
        <v>0</v>
      </c>
      <c r="K7058" s="142">
        <v>0</v>
      </c>
      <c r="L7058" s="142">
        <v>26</v>
      </c>
      <c r="M7058" s="142">
        <v>0</v>
      </c>
    </row>
    <row r="7059" spans="1:13" x14ac:dyDescent="0.45">
      <c r="A7059" s="142" t="s">
        <v>13839</v>
      </c>
      <c r="B7059" s="142" t="s">
        <v>15292</v>
      </c>
      <c r="C7059" s="142" t="s">
        <v>15860</v>
      </c>
      <c r="D7059" s="142" t="s">
        <v>15861</v>
      </c>
      <c r="E7059" s="142" t="s">
        <v>15849</v>
      </c>
      <c r="F7059" s="142" t="s">
        <v>10226</v>
      </c>
      <c r="G7059" s="142" t="s">
        <v>10225</v>
      </c>
      <c r="H7059" s="142" t="s">
        <v>22909</v>
      </c>
      <c r="I7059" s="142">
        <v>1</v>
      </c>
      <c r="J7059" s="142">
        <v>1</v>
      </c>
      <c r="K7059" s="142">
        <v>0</v>
      </c>
      <c r="L7059" s="142">
        <v>0</v>
      </c>
      <c r="M7059" s="142">
        <v>0</v>
      </c>
    </row>
    <row r="7060" spans="1:13" x14ac:dyDescent="0.45">
      <c r="A7060" s="142" t="s">
        <v>13277</v>
      </c>
      <c r="B7060" s="142" t="s">
        <v>14454</v>
      </c>
      <c r="C7060" s="142" t="s">
        <v>15847</v>
      </c>
      <c r="D7060" s="142" t="s">
        <v>15848</v>
      </c>
      <c r="E7060" s="142" t="s">
        <v>15849</v>
      </c>
      <c r="F7060" s="142" t="s">
        <v>10226</v>
      </c>
      <c r="G7060" s="142" t="s">
        <v>10225</v>
      </c>
      <c r="H7060" s="142" t="s">
        <v>22910</v>
      </c>
      <c r="I7060" s="142">
        <v>430</v>
      </c>
      <c r="J7060" s="142">
        <v>267</v>
      </c>
      <c r="K7060" s="142">
        <v>0</v>
      </c>
      <c r="L7060" s="142">
        <v>6</v>
      </c>
      <c r="M7060" s="142">
        <v>157</v>
      </c>
    </row>
    <row r="7061" spans="1:13" x14ac:dyDescent="0.45">
      <c r="A7061" s="142" t="s">
        <v>13009</v>
      </c>
      <c r="B7061" s="142" t="s">
        <v>15256</v>
      </c>
      <c r="C7061" s="142" t="s">
        <v>15847</v>
      </c>
      <c r="D7061" s="142" t="s">
        <v>15848</v>
      </c>
      <c r="E7061" s="142" t="s">
        <v>15849</v>
      </c>
      <c r="F7061" s="142" t="s">
        <v>10226</v>
      </c>
      <c r="G7061" s="142" t="s">
        <v>10225</v>
      </c>
      <c r="H7061" s="142" t="s">
        <v>22911</v>
      </c>
      <c r="I7061" s="142">
        <v>358</v>
      </c>
      <c r="J7061" s="142">
        <v>281</v>
      </c>
      <c r="K7061" s="142">
        <v>0</v>
      </c>
      <c r="L7061" s="142">
        <v>68</v>
      </c>
      <c r="M7061" s="142">
        <v>9</v>
      </c>
    </row>
    <row r="7062" spans="1:13" x14ac:dyDescent="0.45">
      <c r="A7062" s="142" t="s">
        <v>13285</v>
      </c>
      <c r="B7062" s="142" t="s">
        <v>15158</v>
      </c>
      <c r="C7062" s="142" t="s">
        <v>15860</v>
      </c>
      <c r="D7062" s="142" t="s">
        <v>15861</v>
      </c>
      <c r="E7062" s="142" t="s">
        <v>15849</v>
      </c>
      <c r="F7062" s="142" t="s">
        <v>10226</v>
      </c>
      <c r="G7062" s="142" t="s">
        <v>10225</v>
      </c>
      <c r="H7062" s="142" t="s">
        <v>22912</v>
      </c>
      <c r="I7062" s="142">
        <v>38</v>
      </c>
      <c r="J7062" s="142">
        <v>0</v>
      </c>
      <c r="K7062" s="142">
        <v>0</v>
      </c>
      <c r="L7062" s="142">
        <v>38</v>
      </c>
      <c r="M7062" s="142">
        <v>0</v>
      </c>
    </row>
    <row r="7063" spans="1:13" x14ac:dyDescent="0.45">
      <c r="A7063" s="142" t="s">
        <v>13042</v>
      </c>
      <c r="B7063" s="142" t="s">
        <v>15489</v>
      </c>
      <c r="C7063" s="142" t="s">
        <v>15847</v>
      </c>
      <c r="D7063" s="142" t="s">
        <v>15848</v>
      </c>
      <c r="E7063" s="142" t="s">
        <v>15849</v>
      </c>
      <c r="F7063" s="142" t="s">
        <v>10226</v>
      </c>
      <c r="G7063" s="142" t="s">
        <v>10225</v>
      </c>
      <c r="H7063" s="142" t="s">
        <v>22913</v>
      </c>
      <c r="I7063" s="142">
        <v>2364</v>
      </c>
      <c r="J7063" s="142">
        <v>1659</v>
      </c>
      <c r="K7063" s="142">
        <v>0</v>
      </c>
      <c r="L7063" s="142">
        <v>556</v>
      </c>
      <c r="M7063" s="142">
        <v>149</v>
      </c>
    </row>
    <row r="7064" spans="1:13" x14ac:dyDescent="0.45">
      <c r="A7064" s="142" t="s">
        <v>13154</v>
      </c>
      <c r="B7064" s="142" t="s">
        <v>15415</v>
      </c>
      <c r="C7064" s="142" t="s">
        <v>15847</v>
      </c>
      <c r="D7064" s="142" t="s">
        <v>15848</v>
      </c>
      <c r="E7064" s="142" t="s">
        <v>15849</v>
      </c>
      <c r="F7064" s="142" t="s">
        <v>10226</v>
      </c>
      <c r="G7064" s="142" t="s">
        <v>10225</v>
      </c>
      <c r="H7064" s="142" t="s">
        <v>22914</v>
      </c>
      <c r="I7064" s="142">
        <v>31</v>
      </c>
      <c r="J7064" s="142">
        <v>16</v>
      </c>
      <c r="K7064" s="142">
        <v>0</v>
      </c>
      <c r="L7064" s="142">
        <v>0</v>
      </c>
      <c r="M7064" s="142">
        <v>15</v>
      </c>
    </row>
    <row r="7065" spans="1:13" x14ac:dyDescent="0.45">
      <c r="A7065" s="142" t="s">
        <v>13493</v>
      </c>
      <c r="B7065" s="142" t="s">
        <v>14639</v>
      </c>
      <c r="C7065" s="142" t="s">
        <v>15847</v>
      </c>
      <c r="D7065" s="142" t="s">
        <v>15848</v>
      </c>
      <c r="E7065" s="142" t="s">
        <v>15849</v>
      </c>
      <c r="F7065" s="142" t="s">
        <v>10226</v>
      </c>
      <c r="G7065" s="142" t="s">
        <v>10225</v>
      </c>
      <c r="H7065" s="142" t="s">
        <v>22915</v>
      </c>
      <c r="I7065" s="142">
        <v>311</v>
      </c>
      <c r="J7065" s="142">
        <v>181</v>
      </c>
      <c r="K7065" s="142">
        <v>0</v>
      </c>
      <c r="L7065" s="142">
        <v>0</v>
      </c>
      <c r="M7065" s="142">
        <v>130</v>
      </c>
    </row>
    <row r="7066" spans="1:13" x14ac:dyDescent="0.45">
      <c r="A7066" s="142" t="s">
        <v>13222</v>
      </c>
      <c r="B7066" s="142" t="s">
        <v>14449</v>
      </c>
      <c r="C7066" s="142" t="s">
        <v>15860</v>
      </c>
      <c r="D7066" s="142" t="s">
        <v>15861</v>
      </c>
      <c r="E7066" s="142" t="s">
        <v>15849</v>
      </c>
      <c r="F7066" s="142" t="s">
        <v>10226</v>
      </c>
      <c r="G7066" s="142" t="s">
        <v>10225</v>
      </c>
      <c r="H7066" s="142" t="s">
        <v>22916</v>
      </c>
      <c r="I7066" s="142">
        <v>3</v>
      </c>
      <c r="J7066" s="142">
        <v>0</v>
      </c>
      <c r="K7066" s="142">
        <v>0</v>
      </c>
      <c r="L7066" s="142">
        <v>3</v>
      </c>
      <c r="M7066" s="142">
        <v>0</v>
      </c>
    </row>
    <row r="7067" spans="1:13" x14ac:dyDescent="0.45">
      <c r="A7067" s="142" t="s">
        <v>13286</v>
      </c>
      <c r="B7067" s="142" t="s">
        <v>15342</v>
      </c>
      <c r="C7067" s="142" t="s">
        <v>15847</v>
      </c>
      <c r="D7067" s="142" t="s">
        <v>15848</v>
      </c>
      <c r="E7067" s="142" t="s">
        <v>15849</v>
      </c>
      <c r="F7067" s="142" t="s">
        <v>10226</v>
      </c>
      <c r="G7067" s="142" t="s">
        <v>10225</v>
      </c>
      <c r="H7067" s="142" t="s">
        <v>22917</v>
      </c>
      <c r="I7067" s="142">
        <v>414</v>
      </c>
      <c r="J7067" s="142">
        <v>360</v>
      </c>
      <c r="K7067" s="142">
        <v>0</v>
      </c>
      <c r="L7067" s="142">
        <v>24</v>
      </c>
      <c r="M7067" s="142">
        <v>30</v>
      </c>
    </row>
    <row r="7068" spans="1:13" x14ac:dyDescent="0.45">
      <c r="A7068" s="142" t="s">
        <v>13021</v>
      </c>
      <c r="B7068" s="142" t="s">
        <v>15501</v>
      </c>
      <c r="C7068" s="142" t="s">
        <v>15847</v>
      </c>
      <c r="D7068" s="142" t="s">
        <v>15848</v>
      </c>
      <c r="E7068" s="142" t="s">
        <v>15849</v>
      </c>
      <c r="F7068" s="142" t="s">
        <v>5678</v>
      </c>
      <c r="G7068" s="142" t="s">
        <v>5677</v>
      </c>
      <c r="H7068" s="142" t="s">
        <v>22918</v>
      </c>
      <c r="I7068" s="142">
        <v>2</v>
      </c>
      <c r="J7068" s="142">
        <v>0</v>
      </c>
      <c r="K7068" s="142">
        <v>0</v>
      </c>
      <c r="L7068" s="142">
        <v>0</v>
      </c>
      <c r="M7068" s="142">
        <v>2</v>
      </c>
    </row>
    <row r="7069" spans="1:13" x14ac:dyDescent="0.45">
      <c r="A7069" s="142" t="s">
        <v>13022</v>
      </c>
      <c r="B7069" s="142" t="s">
        <v>14634</v>
      </c>
      <c r="C7069" s="142" t="s">
        <v>15847</v>
      </c>
      <c r="D7069" s="142" t="s">
        <v>15848</v>
      </c>
      <c r="E7069" s="142" t="s">
        <v>15849</v>
      </c>
      <c r="F7069" s="142" t="s">
        <v>5678</v>
      </c>
      <c r="G7069" s="142" t="s">
        <v>5677</v>
      </c>
      <c r="H7069" s="142" t="s">
        <v>22919</v>
      </c>
      <c r="I7069" s="142">
        <v>8</v>
      </c>
      <c r="J7069" s="142">
        <v>0</v>
      </c>
      <c r="K7069" s="142">
        <v>0</v>
      </c>
      <c r="L7069" s="142">
        <v>8</v>
      </c>
      <c r="M7069" s="142">
        <v>0</v>
      </c>
    </row>
    <row r="7070" spans="1:13" x14ac:dyDescent="0.45">
      <c r="A7070" s="142" t="s">
        <v>13023</v>
      </c>
      <c r="B7070" s="142" t="s">
        <v>15571</v>
      </c>
      <c r="C7070" s="142" t="s">
        <v>15847</v>
      </c>
      <c r="D7070" s="142" t="s">
        <v>15848</v>
      </c>
      <c r="E7070" s="142" t="s">
        <v>15849</v>
      </c>
      <c r="F7070" s="142" t="s">
        <v>5678</v>
      </c>
      <c r="G7070" s="142" t="s">
        <v>5677</v>
      </c>
      <c r="H7070" s="142" t="s">
        <v>22920</v>
      </c>
      <c r="I7070" s="142">
        <v>83</v>
      </c>
      <c r="J7070" s="142">
        <v>0</v>
      </c>
      <c r="K7070" s="142">
        <v>0</v>
      </c>
      <c r="L7070" s="142">
        <v>83</v>
      </c>
      <c r="M7070" s="142">
        <v>0</v>
      </c>
    </row>
    <row r="7071" spans="1:13" x14ac:dyDescent="0.45">
      <c r="A7071" s="142" t="s">
        <v>14161</v>
      </c>
      <c r="B7071" s="142" t="s">
        <v>15295</v>
      </c>
      <c r="C7071" s="142" t="s">
        <v>15860</v>
      </c>
      <c r="D7071" s="142" t="s">
        <v>15861</v>
      </c>
      <c r="E7071" s="142" t="s">
        <v>15849</v>
      </c>
      <c r="F7071" s="142" t="s">
        <v>5678</v>
      </c>
      <c r="G7071" s="142" t="s">
        <v>5677</v>
      </c>
      <c r="H7071" s="142" t="s">
        <v>22921</v>
      </c>
      <c r="I7071" s="142">
        <v>8</v>
      </c>
      <c r="J7071" s="142">
        <v>8</v>
      </c>
      <c r="K7071" s="142">
        <v>0</v>
      </c>
      <c r="L7071" s="142">
        <v>0</v>
      </c>
      <c r="M7071" s="142">
        <v>0</v>
      </c>
    </row>
    <row r="7072" spans="1:13" x14ac:dyDescent="0.45">
      <c r="A7072" s="142" t="s">
        <v>13119</v>
      </c>
      <c r="B7072" s="142" t="s">
        <v>14451</v>
      </c>
      <c r="C7072" s="142" t="s">
        <v>15860</v>
      </c>
      <c r="D7072" s="142" t="s">
        <v>15861</v>
      </c>
      <c r="E7072" s="142" t="s">
        <v>15849</v>
      </c>
      <c r="F7072" s="142" t="s">
        <v>5678</v>
      </c>
      <c r="G7072" s="142" t="s">
        <v>5677</v>
      </c>
      <c r="H7072" s="142" t="s">
        <v>22922</v>
      </c>
      <c r="I7072" s="142">
        <v>8</v>
      </c>
      <c r="J7072" s="142">
        <v>0</v>
      </c>
      <c r="K7072" s="142">
        <v>0</v>
      </c>
      <c r="L7072" s="142">
        <v>8</v>
      </c>
      <c r="M7072" s="142">
        <v>0</v>
      </c>
    </row>
    <row r="7073" spans="1:13" x14ac:dyDescent="0.45">
      <c r="A7073" s="142" t="s">
        <v>13074</v>
      </c>
      <c r="B7073" s="142" t="s">
        <v>15405</v>
      </c>
      <c r="C7073" s="142" t="s">
        <v>15847</v>
      </c>
      <c r="D7073" s="142" t="s">
        <v>15848</v>
      </c>
      <c r="E7073" s="142" t="s">
        <v>15849</v>
      </c>
      <c r="F7073" s="142" t="s">
        <v>5678</v>
      </c>
      <c r="G7073" s="142" t="s">
        <v>5677</v>
      </c>
      <c r="H7073" s="142" t="s">
        <v>22923</v>
      </c>
      <c r="I7073" s="142">
        <v>18</v>
      </c>
      <c r="J7073" s="142">
        <v>11</v>
      </c>
      <c r="K7073" s="142">
        <v>0</v>
      </c>
      <c r="L7073" s="142">
        <v>0</v>
      </c>
      <c r="M7073" s="142">
        <v>7</v>
      </c>
    </row>
    <row r="7074" spans="1:13" x14ac:dyDescent="0.45">
      <c r="A7074" s="142" t="s">
        <v>13027</v>
      </c>
      <c r="B7074" s="142" t="s">
        <v>14562</v>
      </c>
      <c r="C7074" s="142" t="s">
        <v>15847</v>
      </c>
      <c r="D7074" s="142" t="s">
        <v>15848</v>
      </c>
      <c r="E7074" s="142" t="s">
        <v>15849</v>
      </c>
      <c r="F7074" s="142" t="s">
        <v>5678</v>
      </c>
      <c r="G7074" s="142" t="s">
        <v>5677</v>
      </c>
      <c r="H7074" s="142" t="s">
        <v>22924</v>
      </c>
      <c r="I7074" s="142">
        <v>2</v>
      </c>
      <c r="J7074" s="142">
        <v>0</v>
      </c>
      <c r="K7074" s="142">
        <v>0</v>
      </c>
      <c r="L7074" s="142">
        <v>2</v>
      </c>
      <c r="M7074" s="142">
        <v>0</v>
      </c>
    </row>
    <row r="7075" spans="1:13" x14ac:dyDescent="0.45">
      <c r="A7075" s="142" t="s">
        <v>13004</v>
      </c>
      <c r="B7075" s="142" t="s">
        <v>15492</v>
      </c>
      <c r="C7075" s="142" t="s">
        <v>15847</v>
      </c>
      <c r="D7075" s="142" t="s">
        <v>15848</v>
      </c>
      <c r="E7075" s="142" t="s">
        <v>15849</v>
      </c>
      <c r="F7075" s="142" t="s">
        <v>5678</v>
      </c>
      <c r="G7075" s="142" t="s">
        <v>5677</v>
      </c>
      <c r="H7075" s="142" t="s">
        <v>22925</v>
      </c>
      <c r="I7075" s="142">
        <v>15</v>
      </c>
      <c r="J7075" s="142">
        <v>6</v>
      </c>
      <c r="K7075" s="142">
        <v>0</v>
      </c>
      <c r="L7075" s="142">
        <v>0</v>
      </c>
      <c r="M7075" s="142">
        <v>9</v>
      </c>
    </row>
    <row r="7076" spans="1:13" x14ac:dyDescent="0.45">
      <c r="A7076" s="142" t="s">
        <v>13005</v>
      </c>
      <c r="B7076" s="142" t="s">
        <v>15475</v>
      </c>
      <c r="C7076" s="142" t="s">
        <v>15847</v>
      </c>
      <c r="D7076" s="142" t="s">
        <v>15848</v>
      </c>
      <c r="E7076" s="142" t="s">
        <v>15849</v>
      </c>
      <c r="F7076" s="142" t="s">
        <v>5678</v>
      </c>
      <c r="G7076" s="142" t="s">
        <v>5677</v>
      </c>
      <c r="H7076" s="142" t="s">
        <v>22926</v>
      </c>
      <c r="I7076" s="142">
        <v>26</v>
      </c>
      <c r="J7076" s="142">
        <v>0</v>
      </c>
      <c r="K7076" s="142">
        <v>0</v>
      </c>
      <c r="L7076" s="142">
        <v>0</v>
      </c>
      <c r="M7076" s="142">
        <v>26</v>
      </c>
    </row>
    <row r="7077" spans="1:13" x14ac:dyDescent="0.45">
      <c r="A7077" s="142" t="s">
        <v>14162</v>
      </c>
      <c r="B7077" s="142" t="s">
        <v>14856</v>
      </c>
      <c r="C7077" s="142" t="s">
        <v>15860</v>
      </c>
      <c r="D7077" s="142" t="s">
        <v>15861</v>
      </c>
      <c r="E7077" s="142" t="s">
        <v>15849</v>
      </c>
      <c r="F7077" s="142" t="s">
        <v>5678</v>
      </c>
      <c r="G7077" s="142" t="s">
        <v>5677</v>
      </c>
      <c r="H7077" s="142" t="s">
        <v>22927</v>
      </c>
      <c r="I7077" s="142">
        <v>4</v>
      </c>
      <c r="J7077" s="142">
        <v>4</v>
      </c>
      <c r="K7077" s="142">
        <v>0</v>
      </c>
      <c r="L7077" s="142">
        <v>0</v>
      </c>
      <c r="M7077" s="142">
        <v>0</v>
      </c>
    </row>
    <row r="7078" spans="1:13" x14ac:dyDescent="0.45">
      <c r="A7078" s="142" t="s">
        <v>13006</v>
      </c>
      <c r="B7078" s="142" t="s">
        <v>15288</v>
      </c>
      <c r="C7078" s="142" t="s">
        <v>15847</v>
      </c>
      <c r="D7078" s="142" t="s">
        <v>15848</v>
      </c>
      <c r="E7078" s="142" t="s">
        <v>15849</v>
      </c>
      <c r="F7078" s="142" t="s">
        <v>5678</v>
      </c>
      <c r="G7078" s="142" t="s">
        <v>5677</v>
      </c>
      <c r="H7078" s="142" t="s">
        <v>22928</v>
      </c>
      <c r="I7078" s="142">
        <v>1</v>
      </c>
      <c r="J7078" s="142">
        <v>0</v>
      </c>
      <c r="K7078" s="142">
        <v>0</v>
      </c>
      <c r="L7078" s="142">
        <v>0</v>
      </c>
      <c r="M7078" s="142">
        <v>1</v>
      </c>
    </row>
    <row r="7079" spans="1:13" x14ac:dyDescent="0.45">
      <c r="A7079" s="142" t="s">
        <v>13007</v>
      </c>
      <c r="B7079" s="142" t="s">
        <v>15262</v>
      </c>
      <c r="C7079" s="142" t="s">
        <v>15847</v>
      </c>
      <c r="D7079" s="142" t="s">
        <v>15848</v>
      </c>
      <c r="E7079" s="142" t="s">
        <v>15849</v>
      </c>
      <c r="F7079" s="142" t="s">
        <v>5678</v>
      </c>
      <c r="G7079" s="142" t="s">
        <v>5677</v>
      </c>
      <c r="H7079" s="142" t="s">
        <v>22929</v>
      </c>
      <c r="I7079" s="142">
        <v>983</v>
      </c>
      <c r="J7079" s="142">
        <v>423</v>
      </c>
      <c r="K7079" s="142">
        <v>0</v>
      </c>
      <c r="L7079" s="142">
        <v>106</v>
      </c>
      <c r="M7079" s="142">
        <v>454</v>
      </c>
    </row>
    <row r="7080" spans="1:13" x14ac:dyDescent="0.45">
      <c r="A7080" s="142" t="s">
        <v>13217</v>
      </c>
      <c r="B7080" s="142" t="s">
        <v>14578</v>
      </c>
      <c r="C7080" s="142" t="s">
        <v>15860</v>
      </c>
      <c r="D7080" s="142" t="s">
        <v>15861</v>
      </c>
      <c r="E7080" s="142" t="s">
        <v>15849</v>
      </c>
      <c r="F7080" s="142" t="s">
        <v>5678</v>
      </c>
      <c r="G7080" s="142" t="s">
        <v>5677</v>
      </c>
      <c r="H7080" s="142" t="s">
        <v>22930</v>
      </c>
      <c r="I7080" s="142">
        <v>16</v>
      </c>
      <c r="J7080" s="142">
        <v>16</v>
      </c>
      <c r="K7080" s="142">
        <v>0</v>
      </c>
      <c r="L7080" s="142">
        <v>0</v>
      </c>
      <c r="M7080" s="142">
        <v>0</v>
      </c>
    </row>
    <row r="7081" spans="1:13" x14ac:dyDescent="0.45">
      <c r="A7081" s="142" t="s">
        <v>13008</v>
      </c>
      <c r="B7081" s="142" t="s">
        <v>15411</v>
      </c>
      <c r="C7081" s="142" t="s">
        <v>15847</v>
      </c>
      <c r="D7081" s="142" t="s">
        <v>15848</v>
      </c>
      <c r="E7081" s="142" t="s">
        <v>15849</v>
      </c>
      <c r="F7081" s="142" t="s">
        <v>5678</v>
      </c>
      <c r="G7081" s="142" t="s">
        <v>5677</v>
      </c>
      <c r="H7081" s="142" t="s">
        <v>22931</v>
      </c>
      <c r="I7081" s="142">
        <v>92</v>
      </c>
      <c r="J7081" s="142">
        <v>0</v>
      </c>
      <c r="K7081" s="142">
        <v>0</v>
      </c>
      <c r="L7081" s="142">
        <v>0</v>
      </c>
      <c r="M7081" s="142">
        <v>92</v>
      </c>
    </row>
    <row r="7082" spans="1:13" x14ac:dyDescent="0.45">
      <c r="A7082" s="142" t="s">
        <v>13077</v>
      </c>
      <c r="B7082" s="142" t="s">
        <v>15407</v>
      </c>
      <c r="C7082" s="142" t="s">
        <v>15847</v>
      </c>
      <c r="D7082" s="142" t="s">
        <v>15848</v>
      </c>
      <c r="E7082" s="142" t="s">
        <v>15849</v>
      </c>
      <c r="F7082" s="142" t="s">
        <v>5678</v>
      </c>
      <c r="G7082" s="142" t="s">
        <v>5677</v>
      </c>
      <c r="H7082" s="142" t="s">
        <v>22932</v>
      </c>
      <c r="I7082" s="142">
        <v>96</v>
      </c>
      <c r="J7082" s="142">
        <v>96</v>
      </c>
      <c r="K7082" s="142">
        <v>0</v>
      </c>
      <c r="L7082" s="142">
        <v>0</v>
      </c>
      <c r="M7082" s="142">
        <v>0</v>
      </c>
    </row>
    <row r="7083" spans="1:13" x14ac:dyDescent="0.45">
      <c r="A7083" s="142" t="s">
        <v>13033</v>
      </c>
      <c r="B7083" s="142" t="s">
        <v>15276</v>
      </c>
      <c r="C7083" s="142" t="s">
        <v>15847</v>
      </c>
      <c r="D7083" s="142" t="s">
        <v>15848</v>
      </c>
      <c r="E7083" s="142" t="s">
        <v>15849</v>
      </c>
      <c r="F7083" s="142" t="s">
        <v>5678</v>
      </c>
      <c r="G7083" s="142" t="s">
        <v>5677</v>
      </c>
      <c r="H7083" s="142" t="s">
        <v>22933</v>
      </c>
      <c r="I7083" s="142">
        <v>164</v>
      </c>
      <c r="J7083" s="142">
        <v>164</v>
      </c>
      <c r="K7083" s="142">
        <v>0</v>
      </c>
      <c r="L7083" s="142">
        <v>0</v>
      </c>
      <c r="M7083" s="142">
        <v>0</v>
      </c>
    </row>
    <row r="7084" spans="1:13" x14ac:dyDescent="0.45">
      <c r="A7084" s="142" t="s">
        <v>13389</v>
      </c>
      <c r="B7084" s="142" t="s">
        <v>15361</v>
      </c>
      <c r="C7084" s="142" t="s">
        <v>15860</v>
      </c>
      <c r="D7084" s="142" t="s">
        <v>15861</v>
      </c>
      <c r="E7084" s="142" t="s">
        <v>15849</v>
      </c>
      <c r="F7084" s="142" t="s">
        <v>5678</v>
      </c>
      <c r="G7084" s="142" t="s">
        <v>5677</v>
      </c>
      <c r="H7084" s="142" t="s">
        <v>22934</v>
      </c>
      <c r="I7084" s="142">
        <v>4</v>
      </c>
      <c r="J7084" s="142">
        <v>4</v>
      </c>
      <c r="K7084" s="142">
        <v>0</v>
      </c>
      <c r="L7084" s="142">
        <v>0</v>
      </c>
      <c r="M7084" s="142">
        <v>0</v>
      </c>
    </row>
    <row r="7085" spans="1:13" x14ac:dyDescent="0.45">
      <c r="A7085" s="142" t="s">
        <v>14163</v>
      </c>
      <c r="B7085" s="142" t="s">
        <v>15511</v>
      </c>
      <c r="C7085" s="142" t="s">
        <v>15860</v>
      </c>
      <c r="D7085" s="142" t="s">
        <v>15861</v>
      </c>
      <c r="E7085" s="142" t="s">
        <v>15849</v>
      </c>
      <c r="F7085" s="142" t="s">
        <v>5678</v>
      </c>
      <c r="G7085" s="142" t="s">
        <v>5677</v>
      </c>
      <c r="H7085" s="142" t="s">
        <v>22935</v>
      </c>
      <c r="I7085" s="142">
        <v>124</v>
      </c>
      <c r="J7085" s="142">
        <v>0</v>
      </c>
      <c r="K7085" s="142">
        <v>0</v>
      </c>
      <c r="L7085" s="142">
        <v>124</v>
      </c>
      <c r="M7085" s="142">
        <v>0</v>
      </c>
    </row>
    <row r="7086" spans="1:13" x14ac:dyDescent="0.45">
      <c r="A7086" s="142" t="s">
        <v>13011</v>
      </c>
      <c r="B7086" s="142" t="s">
        <v>14695</v>
      </c>
      <c r="C7086" s="142" t="s">
        <v>15847</v>
      </c>
      <c r="D7086" s="142" t="s">
        <v>15848</v>
      </c>
      <c r="E7086" s="142" t="s">
        <v>15849</v>
      </c>
      <c r="F7086" s="142" t="s">
        <v>5678</v>
      </c>
      <c r="G7086" s="142" t="s">
        <v>5677</v>
      </c>
      <c r="H7086" s="142" t="s">
        <v>22936</v>
      </c>
      <c r="I7086" s="142">
        <v>35</v>
      </c>
      <c r="J7086" s="142">
        <v>8</v>
      </c>
      <c r="K7086" s="142">
        <v>0</v>
      </c>
      <c r="L7086" s="142">
        <v>6</v>
      </c>
      <c r="M7086" s="142">
        <v>21</v>
      </c>
    </row>
    <row r="7087" spans="1:13" x14ac:dyDescent="0.45">
      <c r="A7087" s="142" t="s">
        <v>13042</v>
      </c>
      <c r="B7087" s="142" t="s">
        <v>15489</v>
      </c>
      <c r="C7087" s="142" t="s">
        <v>15847</v>
      </c>
      <c r="D7087" s="142" t="s">
        <v>15848</v>
      </c>
      <c r="E7087" s="142" t="s">
        <v>15849</v>
      </c>
      <c r="F7087" s="142" t="s">
        <v>5678</v>
      </c>
      <c r="G7087" s="142" t="s">
        <v>5677</v>
      </c>
      <c r="H7087" s="142" t="s">
        <v>22937</v>
      </c>
      <c r="I7087" s="142">
        <v>37</v>
      </c>
      <c r="J7087" s="142">
        <v>0</v>
      </c>
      <c r="K7087" s="142">
        <v>0</v>
      </c>
      <c r="L7087" s="142">
        <v>0</v>
      </c>
      <c r="M7087" s="142">
        <v>37</v>
      </c>
    </row>
    <row r="7088" spans="1:13" x14ac:dyDescent="0.45">
      <c r="A7088" s="142" t="s">
        <v>13079</v>
      </c>
      <c r="B7088" s="142" t="s">
        <v>15431</v>
      </c>
      <c r="C7088" s="142" t="s">
        <v>15847</v>
      </c>
      <c r="D7088" s="142" t="s">
        <v>15848</v>
      </c>
      <c r="E7088" s="142" t="s">
        <v>15849</v>
      </c>
      <c r="F7088" s="142" t="s">
        <v>5678</v>
      </c>
      <c r="G7088" s="142" t="s">
        <v>5677</v>
      </c>
      <c r="H7088" s="142" t="s">
        <v>22938</v>
      </c>
      <c r="I7088" s="142">
        <v>27</v>
      </c>
      <c r="J7088" s="142">
        <v>19</v>
      </c>
      <c r="K7088" s="142">
        <v>0</v>
      </c>
      <c r="L7088" s="142">
        <v>0</v>
      </c>
      <c r="M7088" s="142">
        <v>8</v>
      </c>
    </row>
    <row r="7089" spans="1:13" x14ac:dyDescent="0.45">
      <c r="A7089" s="142" t="s">
        <v>13080</v>
      </c>
      <c r="B7089" s="142" t="s">
        <v>15553</v>
      </c>
      <c r="C7089" s="142" t="s">
        <v>15847</v>
      </c>
      <c r="D7089" s="142" t="s">
        <v>15848</v>
      </c>
      <c r="E7089" s="142" t="s">
        <v>15849</v>
      </c>
      <c r="F7089" s="142" t="s">
        <v>5678</v>
      </c>
      <c r="G7089" s="142" t="s">
        <v>5677</v>
      </c>
      <c r="H7089" s="142" t="s">
        <v>22939</v>
      </c>
      <c r="I7089" s="142">
        <v>5793</v>
      </c>
      <c r="J7089" s="142">
        <v>5131</v>
      </c>
      <c r="K7089" s="142">
        <v>0</v>
      </c>
      <c r="L7089" s="142">
        <v>452</v>
      </c>
      <c r="M7089" s="142">
        <v>210</v>
      </c>
    </row>
    <row r="7090" spans="1:13" x14ac:dyDescent="0.45">
      <c r="A7090" s="142" t="s">
        <v>13064</v>
      </c>
      <c r="B7090" s="142" t="s">
        <v>15428</v>
      </c>
      <c r="C7090" s="142" t="s">
        <v>15847</v>
      </c>
      <c r="D7090" s="142" t="s">
        <v>15848</v>
      </c>
      <c r="E7090" s="142" t="s">
        <v>15849</v>
      </c>
      <c r="F7090" s="142" t="s">
        <v>10435</v>
      </c>
      <c r="G7090" s="142" t="s">
        <v>10434</v>
      </c>
      <c r="H7090" s="142" t="s">
        <v>22940</v>
      </c>
      <c r="I7090" s="142">
        <v>1114</v>
      </c>
      <c r="J7090" s="142">
        <v>1114</v>
      </c>
      <c r="K7090" s="142">
        <v>0</v>
      </c>
      <c r="L7090" s="142">
        <v>0</v>
      </c>
      <c r="M7090" s="142">
        <v>0</v>
      </c>
    </row>
    <row r="7091" spans="1:13" x14ac:dyDescent="0.45">
      <c r="A7091" s="142" t="s">
        <v>13019</v>
      </c>
      <c r="B7091" s="142" t="s">
        <v>14457</v>
      </c>
      <c r="C7091" s="142" t="s">
        <v>15860</v>
      </c>
      <c r="D7091" s="142" t="s">
        <v>15861</v>
      </c>
      <c r="E7091" s="142" t="s">
        <v>15849</v>
      </c>
      <c r="F7091" s="142" t="s">
        <v>10435</v>
      </c>
      <c r="G7091" s="142" t="s">
        <v>10434</v>
      </c>
      <c r="H7091" s="142" t="s">
        <v>22941</v>
      </c>
      <c r="I7091" s="142">
        <v>16</v>
      </c>
      <c r="J7091" s="142">
        <v>2</v>
      </c>
      <c r="K7091" s="142">
        <v>0</v>
      </c>
      <c r="L7091" s="142">
        <v>14</v>
      </c>
      <c r="M7091" s="142">
        <v>0</v>
      </c>
    </row>
    <row r="7092" spans="1:13" x14ac:dyDescent="0.45">
      <c r="A7092" s="142" t="s">
        <v>13021</v>
      </c>
      <c r="B7092" s="142" t="s">
        <v>15501</v>
      </c>
      <c r="C7092" s="142" t="s">
        <v>15847</v>
      </c>
      <c r="D7092" s="142" t="s">
        <v>15848</v>
      </c>
      <c r="E7092" s="142" t="s">
        <v>15849</v>
      </c>
      <c r="F7092" s="142" t="s">
        <v>10435</v>
      </c>
      <c r="G7092" s="142" t="s">
        <v>10434</v>
      </c>
      <c r="H7092" s="142" t="s">
        <v>22942</v>
      </c>
      <c r="I7092" s="142">
        <v>1</v>
      </c>
      <c r="J7092" s="142">
        <v>0</v>
      </c>
      <c r="K7092" s="142">
        <v>0</v>
      </c>
      <c r="L7092" s="142">
        <v>0</v>
      </c>
      <c r="M7092" s="142">
        <v>1</v>
      </c>
    </row>
    <row r="7093" spans="1:13" x14ac:dyDescent="0.45">
      <c r="A7093" s="142" t="s">
        <v>13507</v>
      </c>
      <c r="B7093" s="142" t="s">
        <v>14515</v>
      </c>
      <c r="C7093" s="142" t="s">
        <v>15860</v>
      </c>
      <c r="D7093" s="142" t="s">
        <v>15861</v>
      </c>
      <c r="E7093" s="142" t="s">
        <v>15849</v>
      </c>
      <c r="F7093" s="142" t="s">
        <v>10435</v>
      </c>
      <c r="G7093" s="142" t="s">
        <v>10434</v>
      </c>
      <c r="H7093" s="142" t="s">
        <v>22943</v>
      </c>
      <c r="I7093" s="142">
        <v>61</v>
      </c>
      <c r="J7093" s="142">
        <v>61</v>
      </c>
      <c r="K7093" s="142">
        <v>0</v>
      </c>
      <c r="L7093" s="142">
        <v>0</v>
      </c>
      <c r="M7093" s="142">
        <v>0</v>
      </c>
    </row>
    <row r="7094" spans="1:13" x14ac:dyDescent="0.45">
      <c r="A7094" s="142" t="s">
        <v>14165</v>
      </c>
      <c r="B7094" s="142" t="s">
        <v>14844</v>
      </c>
      <c r="C7094" s="142" t="s">
        <v>15860</v>
      </c>
      <c r="D7094" s="142" t="s">
        <v>15861</v>
      </c>
      <c r="E7094" s="142" t="s">
        <v>15849</v>
      </c>
      <c r="F7094" s="142" t="s">
        <v>10435</v>
      </c>
      <c r="G7094" s="142" t="s">
        <v>10434</v>
      </c>
      <c r="H7094" s="142" t="s">
        <v>22944</v>
      </c>
      <c r="I7094" s="142">
        <v>6</v>
      </c>
      <c r="J7094" s="142">
        <v>6</v>
      </c>
      <c r="K7094" s="142">
        <v>0</v>
      </c>
      <c r="L7094" s="142">
        <v>0</v>
      </c>
      <c r="M7094" s="142">
        <v>0</v>
      </c>
    </row>
    <row r="7095" spans="1:13" x14ac:dyDescent="0.45">
      <c r="A7095" s="142" t="s">
        <v>13410</v>
      </c>
      <c r="B7095" s="142" t="s">
        <v>15311</v>
      </c>
      <c r="C7095" s="142" t="s">
        <v>15860</v>
      </c>
      <c r="D7095" s="142" t="s">
        <v>15861</v>
      </c>
      <c r="E7095" s="142" t="s">
        <v>15849</v>
      </c>
      <c r="F7095" s="142" t="s">
        <v>10435</v>
      </c>
      <c r="G7095" s="142" t="s">
        <v>10434</v>
      </c>
      <c r="H7095" s="142" t="s">
        <v>22945</v>
      </c>
      <c r="I7095" s="142">
        <v>46</v>
      </c>
      <c r="J7095" s="142">
        <v>0</v>
      </c>
      <c r="K7095" s="142">
        <v>0</v>
      </c>
      <c r="L7095" s="142">
        <v>46</v>
      </c>
      <c r="M7095" s="142">
        <v>0</v>
      </c>
    </row>
    <row r="7096" spans="1:13" x14ac:dyDescent="0.45">
      <c r="A7096" s="142" t="s">
        <v>13023</v>
      </c>
      <c r="B7096" s="142" t="s">
        <v>15571</v>
      </c>
      <c r="C7096" s="142" t="s">
        <v>15847</v>
      </c>
      <c r="D7096" s="142" t="s">
        <v>15848</v>
      </c>
      <c r="E7096" s="142" t="s">
        <v>15849</v>
      </c>
      <c r="F7096" s="142" t="s">
        <v>10435</v>
      </c>
      <c r="G7096" s="142" t="s">
        <v>10434</v>
      </c>
      <c r="H7096" s="142" t="s">
        <v>22946</v>
      </c>
      <c r="I7096" s="142">
        <v>63</v>
      </c>
      <c r="J7096" s="142">
        <v>0</v>
      </c>
      <c r="K7096" s="142">
        <v>0</v>
      </c>
      <c r="L7096" s="142">
        <v>63</v>
      </c>
      <c r="M7096" s="142">
        <v>0</v>
      </c>
    </row>
    <row r="7097" spans="1:13" x14ac:dyDescent="0.45">
      <c r="A7097" s="142" t="s">
        <v>13508</v>
      </c>
      <c r="B7097" s="142" t="s">
        <v>15513</v>
      </c>
      <c r="C7097" s="142" t="s">
        <v>15847</v>
      </c>
      <c r="D7097" s="142" t="s">
        <v>15848</v>
      </c>
      <c r="E7097" s="142" t="s">
        <v>15849</v>
      </c>
      <c r="F7097" s="142" t="s">
        <v>10435</v>
      </c>
      <c r="G7097" s="142" t="s">
        <v>10434</v>
      </c>
      <c r="H7097" s="142" t="s">
        <v>22947</v>
      </c>
      <c r="I7097" s="142">
        <v>943</v>
      </c>
      <c r="J7097" s="142">
        <v>875</v>
      </c>
      <c r="K7097" s="142">
        <v>0</v>
      </c>
      <c r="L7097" s="142">
        <v>44</v>
      </c>
      <c r="M7097" s="142">
        <v>24</v>
      </c>
    </row>
    <row r="7098" spans="1:13" x14ac:dyDescent="0.45">
      <c r="A7098" s="142" t="s">
        <v>13065</v>
      </c>
      <c r="B7098" s="142" t="s">
        <v>14497</v>
      </c>
      <c r="C7098" s="142" t="s">
        <v>15847</v>
      </c>
      <c r="D7098" s="142" t="s">
        <v>15848</v>
      </c>
      <c r="E7098" s="142" t="s">
        <v>15849</v>
      </c>
      <c r="F7098" s="142" t="s">
        <v>10435</v>
      </c>
      <c r="G7098" s="142" t="s">
        <v>10434</v>
      </c>
      <c r="H7098" s="142" t="s">
        <v>22948</v>
      </c>
      <c r="I7098" s="142">
        <v>14</v>
      </c>
      <c r="J7098" s="142">
        <v>0</v>
      </c>
      <c r="K7098" s="142">
        <v>0</v>
      </c>
      <c r="L7098" s="142">
        <v>14</v>
      </c>
      <c r="M7098" s="142">
        <v>0</v>
      </c>
    </row>
    <row r="7099" spans="1:13" x14ac:dyDescent="0.45">
      <c r="A7099" s="142" t="s">
        <v>13000</v>
      </c>
      <c r="B7099" s="142" t="s">
        <v>14610</v>
      </c>
      <c r="C7099" s="142" t="s">
        <v>15847</v>
      </c>
      <c r="D7099" s="142" t="s">
        <v>15848</v>
      </c>
      <c r="E7099" s="142" t="s">
        <v>15849</v>
      </c>
      <c r="F7099" s="142" t="s">
        <v>10435</v>
      </c>
      <c r="G7099" s="142" t="s">
        <v>10434</v>
      </c>
      <c r="H7099" s="142" t="s">
        <v>22949</v>
      </c>
      <c r="I7099" s="142">
        <v>333</v>
      </c>
      <c r="J7099" s="142">
        <v>314</v>
      </c>
      <c r="K7099" s="142">
        <v>0</v>
      </c>
      <c r="L7099" s="142">
        <v>19</v>
      </c>
      <c r="M7099" s="142">
        <v>0</v>
      </c>
    </row>
    <row r="7100" spans="1:13" x14ac:dyDescent="0.45">
      <c r="A7100" s="142" t="s">
        <v>13119</v>
      </c>
      <c r="B7100" s="142" t="s">
        <v>14451</v>
      </c>
      <c r="C7100" s="142" t="s">
        <v>15860</v>
      </c>
      <c r="D7100" s="142" t="s">
        <v>15861</v>
      </c>
      <c r="E7100" s="142" t="s">
        <v>15849</v>
      </c>
      <c r="F7100" s="142" t="s">
        <v>10435</v>
      </c>
      <c r="G7100" s="142" t="s">
        <v>10434</v>
      </c>
      <c r="H7100" s="142" t="s">
        <v>22950</v>
      </c>
      <c r="I7100" s="142">
        <v>64</v>
      </c>
      <c r="J7100" s="142">
        <v>0</v>
      </c>
      <c r="K7100" s="142">
        <v>0</v>
      </c>
      <c r="L7100" s="142">
        <v>64</v>
      </c>
      <c r="M7100" s="142">
        <v>0</v>
      </c>
    </row>
    <row r="7101" spans="1:13" x14ac:dyDescent="0.45">
      <c r="A7101" s="142" t="s">
        <v>13024</v>
      </c>
      <c r="B7101" s="142" t="s">
        <v>14538</v>
      </c>
      <c r="C7101" s="142" t="s">
        <v>15847</v>
      </c>
      <c r="D7101" s="142" t="s">
        <v>15848</v>
      </c>
      <c r="E7101" s="142" t="s">
        <v>15849</v>
      </c>
      <c r="F7101" s="142" t="s">
        <v>10435</v>
      </c>
      <c r="G7101" s="142" t="s">
        <v>10434</v>
      </c>
      <c r="H7101" s="142" t="s">
        <v>22951</v>
      </c>
      <c r="I7101" s="142">
        <v>1</v>
      </c>
      <c r="J7101" s="142">
        <v>0</v>
      </c>
      <c r="K7101" s="142">
        <v>0</v>
      </c>
      <c r="L7101" s="142">
        <v>0</v>
      </c>
      <c r="M7101" s="142">
        <v>1</v>
      </c>
    </row>
    <row r="7102" spans="1:13" x14ac:dyDescent="0.45">
      <c r="A7102" s="142" t="s">
        <v>13099</v>
      </c>
      <c r="B7102" s="142" t="s">
        <v>14547</v>
      </c>
      <c r="C7102" s="142" t="s">
        <v>15860</v>
      </c>
      <c r="D7102" s="142" t="s">
        <v>15861</v>
      </c>
      <c r="E7102" s="142" t="s">
        <v>15849</v>
      </c>
      <c r="F7102" s="142" t="s">
        <v>10435</v>
      </c>
      <c r="G7102" s="142" t="s">
        <v>10434</v>
      </c>
      <c r="H7102" s="142" t="s">
        <v>22952</v>
      </c>
      <c r="I7102" s="142">
        <v>2</v>
      </c>
      <c r="J7102" s="142">
        <v>0</v>
      </c>
      <c r="K7102" s="142">
        <v>0</v>
      </c>
      <c r="L7102" s="142">
        <v>2</v>
      </c>
      <c r="M7102" s="142">
        <v>0</v>
      </c>
    </row>
    <row r="7103" spans="1:13" x14ac:dyDescent="0.45">
      <c r="A7103" s="142" t="s">
        <v>13049</v>
      </c>
      <c r="B7103" s="142" t="s">
        <v>14534</v>
      </c>
      <c r="C7103" s="142" t="s">
        <v>15860</v>
      </c>
      <c r="D7103" s="142" t="s">
        <v>15861</v>
      </c>
      <c r="E7103" s="142" t="s">
        <v>15849</v>
      </c>
      <c r="F7103" s="142" t="s">
        <v>10435</v>
      </c>
      <c r="G7103" s="142" t="s">
        <v>10434</v>
      </c>
      <c r="H7103" s="142" t="s">
        <v>22953</v>
      </c>
      <c r="I7103" s="142">
        <v>32</v>
      </c>
      <c r="J7103" s="142">
        <v>0</v>
      </c>
      <c r="K7103" s="142">
        <v>0</v>
      </c>
      <c r="L7103" s="142">
        <v>32</v>
      </c>
      <c r="M7103" s="142">
        <v>0</v>
      </c>
    </row>
    <row r="7104" spans="1:13" x14ac:dyDescent="0.45">
      <c r="A7104" s="142" t="s">
        <v>13027</v>
      </c>
      <c r="B7104" s="142" t="s">
        <v>14562</v>
      </c>
      <c r="C7104" s="142" t="s">
        <v>15847</v>
      </c>
      <c r="D7104" s="142" t="s">
        <v>15848</v>
      </c>
      <c r="E7104" s="142" t="s">
        <v>15849</v>
      </c>
      <c r="F7104" s="142" t="s">
        <v>10435</v>
      </c>
      <c r="G7104" s="142" t="s">
        <v>10434</v>
      </c>
      <c r="H7104" s="142" t="s">
        <v>22954</v>
      </c>
      <c r="I7104" s="142">
        <v>62</v>
      </c>
      <c r="J7104" s="142">
        <v>0</v>
      </c>
      <c r="K7104" s="142">
        <v>0</v>
      </c>
      <c r="L7104" s="142">
        <v>62</v>
      </c>
      <c r="M7104" s="142">
        <v>0</v>
      </c>
    </row>
    <row r="7105" spans="1:13" x14ac:dyDescent="0.45">
      <c r="A7105" s="142" t="s">
        <v>13148</v>
      </c>
      <c r="B7105" s="142" t="s">
        <v>15314</v>
      </c>
      <c r="C7105" s="142" t="s">
        <v>15847</v>
      </c>
      <c r="D7105" s="142" t="s">
        <v>15848</v>
      </c>
      <c r="E7105" s="142" t="s">
        <v>15849</v>
      </c>
      <c r="F7105" s="142" t="s">
        <v>10435</v>
      </c>
      <c r="G7105" s="142" t="s">
        <v>10434</v>
      </c>
      <c r="H7105" s="142" t="s">
        <v>22955</v>
      </c>
      <c r="I7105" s="142">
        <v>2155</v>
      </c>
      <c r="J7105" s="142">
        <v>2047</v>
      </c>
      <c r="K7105" s="142">
        <v>0</v>
      </c>
      <c r="L7105" s="142">
        <v>16</v>
      </c>
      <c r="M7105" s="142">
        <v>92</v>
      </c>
    </row>
    <row r="7106" spans="1:13" x14ac:dyDescent="0.45">
      <c r="A7106" s="142" t="s">
        <v>13149</v>
      </c>
      <c r="B7106" s="142" t="s">
        <v>14458</v>
      </c>
      <c r="C7106" s="142" t="s">
        <v>15860</v>
      </c>
      <c r="D7106" s="142" t="s">
        <v>15861</v>
      </c>
      <c r="E7106" s="142" t="s">
        <v>15849</v>
      </c>
      <c r="F7106" s="142" t="s">
        <v>10435</v>
      </c>
      <c r="G7106" s="142" t="s">
        <v>10434</v>
      </c>
      <c r="H7106" s="142" t="s">
        <v>22956</v>
      </c>
      <c r="I7106" s="142">
        <v>11</v>
      </c>
      <c r="J7106" s="142">
        <v>0</v>
      </c>
      <c r="K7106" s="142">
        <v>0</v>
      </c>
      <c r="L7106" s="142">
        <v>11</v>
      </c>
      <c r="M7106" s="142">
        <v>0</v>
      </c>
    </row>
    <row r="7107" spans="1:13" x14ac:dyDescent="0.45">
      <c r="A7107" s="142" t="s">
        <v>13028</v>
      </c>
      <c r="B7107" s="142" t="s">
        <v>14462</v>
      </c>
      <c r="C7107" s="142" t="s">
        <v>15847</v>
      </c>
      <c r="D7107" s="142" t="s">
        <v>15848</v>
      </c>
      <c r="E7107" s="142" t="s">
        <v>15849</v>
      </c>
      <c r="F7107" s="142" t="s">
        <v>10435</v>
      </c>
      <c r="G7107" s="142" t="s">
        <v>10434</v>
      </c>
      <c r="H7107" s="142" t="s">
        <v>22957</v>
      </c>
      <c r="I7107" s="142">
        <v>4</v>
      </c>
      <c r="J7107" s="142">
        <v>0</v>
      </c>
      <c r="K7107" s="142">
        <v>0</v>
      </c>
      <c r="L7107" s="142">
        <v>0</v>
      </c>
      <c r="M7107" s="142">
        <v>4</v>
      </c>
    </row>
    <row r="7108" spans="1:13" x14ac:dyDescent="0.45">
      <c r="A7108" s="142" t="s">
        <v>13002</v>
      </c>
      <c r="B7108" s="142" t="s">
        <v>15376</v>
      </c>
      <c r="C7108" s="142" t="s">
        <v>15847</v>
      </c>
      <c r="D7108" s="142" t="s">
        <v>15848</v>
      </c>
      <c r="E7108" s="142" t="s">
        <v>15849</v>
      </c>
      <c r="F7108" s="142" t="s">
        <v>10435</v>
      </c>
      <c r="G7108" s="142" t="s">
        <v>10434</v>
      </c>
      <c r="H7108" s="142" t="s">
        <v>22958</v>
      </c>
      <c r="I7108" s="142">
        <v>321</v>
      </c>
      <c r="J7108" s="142">
        <v>245</v>
      </c>
      <c r="K7108" s="142">
        <v>0</v>
      </c>
      <c r="L7108" s="142">
        <v>6</v>
      </c>
      <c r="M7108" s="142">
        <v>70</v>
      </c>
    </row>
    <row r="7109" spans="1:13" x14ac:dyDescent="0.45">
      <c r="A7109" s="142" t="s">
        <v>13003</v>
      </c>
      <c r="B7109" s="142" t="s">
        <v>15245</v>
      </c>
      <c r="C7109" s="142" t="s">
        <v>15847</v>
      </c>
      <c r="D7109" s="142" t="s">
        <v>15848</v>
      </c>
      <c r="E7109" s="142" t="s">
        <v>15849</v>
      </c>
      <c r="F7109" s="142" t="s">
        <v>10435</v>
      </c>
      <c r="G7109" s="142" t="s">
        <v>10434</v>
      </c>
      <c r="H7109" s="142" t="s">
        <v>22959</v>
      </c>
      <c r="I7109" s="142">
        <v>40</v>
      </c>
      <c r="J7109" s="142">
        <v>0</v>
      </c>
      <c r="K7109" s="142">
        <v>0</v>
      </c>
      <c r="L7109" s="142">
        <v>40</v>
      </c>
      <c r="M7109" s="142">
        <v>0</v>
      </c>
    </row>
    <row r="7110" spans="1:13" x14ac:dyDescent="0.45">
      <c r="A7110" s="142" t="s">
        <v>13420</v>
      </c>
      <c r="B7110" s="142" t="s">
        <v>14576</v>
      </c>
      <c r="C7110" s="142" t="s">
        <v>15860</v>
      </c>
      <c r="D7110" s="142" t="s">
        <v>15861</v>
      </c>
      <c r="E7110" s="142" t="s">
        <v>15849</v>
      </c>
      <c r="F7110" s="142" t="s">
        <v>10435</v>
      </c>
      <c r="G7110" s="142" t="s">
        <v>10434</v>
      </c>
      <c r="H7110" s="142" t="s">
        <v>22960</v>
      </c>
      <c r="I7110" s="142">
        <v>3</v>
      </c>
      <c r="J7110" s="142">
        <v>0</v>
      </c>
      <c r="K7110" s="142">
        <v>0</v>
      </c>
      <c r="L7110" s="142">
        <v>3</v>
      </c>
      <c r="M7110" s="142">
        <v>0</v>
      </c>
    </row>
    <row r="7111" spans="1:13" x14ac:dyDescent="0.45">
      <c r="A7111" s="142" t="s">
        <v>13066</v>
      </c>
      <c r="B7111" s="142" t="s">
        <v>14459</v>
      </c>
      <c r="C7111" s="142" t="s">
        <v>15847</v>
      </c>
      <c r="D7111" s="142" t="s">
        <v>15848</v>
      </c>
      <c r="E7111" s="142" t="s">
        <v>15849</v>
      </c>
      <c r="F7111" s="142" t="s">
        <v>10435</v>
      </c>
      <c r="G7111" s="142" t="s">
        <v>10434</v>
      </c>
      <c r="H7111" s="142" t="s">
        <v>22961</v>
      </c>
      <c r="I7111" s="142">
        <v>7</v>
      </c>
      <c r="J7111" s="142">
        <v>0</v>
      </c>
      <c r="K7111" s="142">
        <v>0</v>
      </c>
      <c r="L7111" s="142">
        <v>7</v>
      </c>
      <c r="M7111" s="142">
        <v>0</v>
      </c>
    </row>
    <row r="7112" spans="1:13" x14ac:dyDescent="0.45">
      <c r="A7112" s="142" t="s">
        <v>13323</v>
      </c>
      <c r="B7112" s="142" t="s">
        <v>15466</v>
      </c>
      <c r="C7112" s="142" t="s">
        <v>15847</v>
      </c>
      <c r="D7112" s="142" t="s">
        <v>15848</v>
      </c>
      <c r="E7112" s="142" t="s">
        <v>15849</v>
      </c>
      <c r="F7112" s="142" t="s">
        <v>10435</v>
      </c>
      <c r="G7112" s="142" t="s">
        <v>10434</v>
      </c>
      <c r="H7112" s="142" t="s">
        <v>22962</v>
      </c>
      <c r="I7112" s="142">
        <v>62</v>
      </c>
      <c r="J7112" s="142">
        <v>62</v>
      </c>
      <c r="K7112" s="142">
        <v>0</v>
      </c>
      <c r="L7112" s="142">
        <v>0</v>
      </c>
      <c r="M7112" s="142">
        <v>0</v>
      </c>
    </row>
    <row r="7113" spans="1:13" x14ac:dyDescent="0.45">
      <c r="A7113" s="142" t="s">
        <v>13274</v>
      </c>
      <c r="B7113" s="142" t="s">
        <v>14608</v>
      </c>
      <c r="C7113" s="142" t="s">
        <v>15860</v>
      </c>
      <c r="D7113" s="142" t="s">
        <v>15861</v>
      </c>
      <c r="E7113" s="142" t="s">
        <v>15849</v>
      </c>
      <c r="F7113" s="142" t="s">
        <v>10435</v>
      </c>
      <c r="G7113" s="142" t="s">
        <v>10434</v>
      </c>
      <c r="H7113" s="142" t="s">
        <v>22963</v>
      </c>
      <c r="I7113" s="142">
        <v>14</v>
      </c>
      <c r="J7113" s="142">
        <v>0</v>
      </c>
      <c r="K7113" s="142">
        <v>0</v>
      </c>
      <c r="L7113" s="142">
        <v>14</v>
      </c>
      <c r="M7113" s="142">
        <v>0</v>
      </c>
    </row>
    <row r="7114" spans="1:13" x14ac:dyDescent="0.45">
      <c r="A7114" s="142" t="s">
        <v>13029</v>
      </c>
      <c r="B7114" s="142" t="s">
        <v>14665</v>
      </c>
      <c r="C7114" s="142" t="s">
        <v>15847</v>
      </c>
      <c r="D7114" s="142" t="s">
        <v>15848</v>
      </c>
      <c r="E7114" s="142" t="s">
        <v>15849</v>
      </c>
      <c r="F7114" s="142" t="s">
        <v>10435</v>
      </c>
      <c r="G7114" s="142" t="s">
        <v>10434</v>
      </c>
      <c r="H7114" s="142" t="s">
        <v>22964</v>
      </c>
      <c r="I7114" s="142">
        <v>23</v>
      </c>
      <c r="J7114" s="142">
        <v>0</v>
      </c>
      <c r="K7114" s="142">
        <v>0</v>
      </c>
      <c r="L7114" s="142">
        <v>0</v>
      </c>
      <c r="M7114" s="142">
        <v>23</v>
      </c>
    </row>
    <row r="7115" spans="1:13" x14ac:dyDescent="0.45">
      <c r="A7115" s="142" t="s">
        <v>13006</v>
      </c>
      <c r="B7115" s="142" t="s">
        <v>15288</v>
      </c>
      <c r="C7115" s="142" t="s">
        <v>15847</v>
      </c>
      <c r="D7115" s="142" t="s">
        <v>15848</v>
      </c>
      <c r="E7115" s="142" t="s">
        <v>15849</v>
      </c>
      <c r="F7115" s="142" t="s">
        <v>10435</v>
      </c>
      <c r="G7115" s="142" t="s">
        <v>10434</v>
      </c>
      <c r="H7115" s="142" t="s">
        <v>22965</v>
      </c>
      <c r="I7115" s="142">
        <v>11</v>
      </c>
      <c r="J7115" s="142">
        <v>0</v>
      </c>
      <c r="K7115" s="142">
        <v>0</v>
      </c>
      <c r="L7115" s="142">
        <v>11</v>
      </c>
      <c r="M7115" s="142">
        <v>0</v>
      </c>
    </row>
    <row r="7116" spans="1:13" x14ac:dyDescent="0.45">
      <c r="A7116" s="142" t="s">
        <v>14166</v>
      </c>
      <c r="B7116" s="142" t="s">
        <v>15371</v>
      </c>
      <c r="C7116" s="142" t="s">
        <v>15860</v>
      </c>
      <c r="D7116" s="142" t="s">
        <v>15861</v>
      </c>
      <c r="E7116" s="142" t="s">
        <v>15849</v>
      </c>
      <c r="F7116" s="142" t="s">
        <v>10435</v>
      </c>
      <c r="G7116" s="142" t="s">
        <v>10434</v>
      </c>
      <c r="H7116" s="142" t="s">
        <v>22966</v>
      </c>
      <c r="I7116" s="142">
        <v>60</v>
      </c>
      <c r="J7116" s="142">
        <v>29</v>
      </c>
      <c r="K7116" s="142">
        <v>0</v>
      </c>
      <c r="L7116" s="142">
        <v>31</v>
      </c>
      <c r="M7116" s="142">
        <v>0</v>
      </c>
    </row>
    <row r="7117" spans="1:13" x14ac:dyDescent="0.45">
      <c r="A7117" s="142" t="s">
        <v>13032</v>
      </c>
      <c r="B7117" s="142" t="s">
        <v>14532</v>
      </c>
      <c r="C7117" s="142" t="s">
        <v>15860</v>
      </c>
      <c r="D7117" s="142" t="s">
        <v>15861</v>
      </c>
      <c r="E7117" s="142" t="s">
        <v>15849</v>
      </c>
      <c r="F7117" s="142" t="s">
        <v>10435</v>
      </c>
      <c r="G7117" s="142" t="s">
        <v>10434</v>
      </c>
      <c r="H7117" s="142" t="s">
        <v>22967</v>
      </c>
      <c r="I7117" s="142">
        <v>6</v>
      </c>
      <c r="J7117" s="142">
        <v>0</v>
      </c>
      <c r="K7117" s="142">
        <v>0</v>
      </c>
      <c r="L7117" s="142">
        <v>6</v>
      </c>
      <c r="M7117" s="142">
        <v>0</v>
      </c>
    </row>
    <row r="7118" spans="1:13" x14ac:dyDescent="0.45">
      <c r="A7118" s="142" t="s">
        <v>13613</v>
      </c>
      <c r="B7118" s="142" t="s">
        <v>15399</v>
      </c>
      <c r="C7118" s="142" t="s">
        <v>15860</v>
      </c>
      <c r="D7118" s="142" t="s">
        <v>15861</v>
      </c>
      <c r="E7118" s="142" t="s">
        <v>15849</v>
      </c>
      <c r="F7118" s="142" t="s">
        <v>10435</v>
      </c>
      <c r="G7118" s="142" t="s">
        <v>10434</v>
      </c>
      <c r="H7118" s="142" t="s">
        <v>22968</v>
      </c>
      <c r="I7118" s="142">
        <v>8</v>
      </c>
      <c r="J7118" s="142">
        <v>8</v>
      </c>
      <c r="K7118" s="142">
        <v>0</v>
      </c>
      <c r="L7118" s="142">
        <v>0</v>
      </c>
      <c r="M7118" s="142">
        <v>0</v>
      </c>
    </row>
    <row r="7119" spans="1:13" x14ac:dyDescent="0.45">
      <c r="A7119" s="142" t="s">
        <v>13033</v>
      </c>
      <c r="B7119" s="142" t="s">
        <v>15276</v>
      </c>
      <c r="C7119" s="142" t="s">
        <v>15847</v>
      </c>
      <c r="D7119" s="142" t="s">
        <v>15848</v>
      </c>
      <c r="E7119" s="142" t="s">
        <v>15849</v>
      </c>
      <c r="F7119" s="142" t="s">
        <v>10435</v>
      </c>
      <c r="G7119" s="142" t="s">
        <v>10434</v>
      </c>
      <c r="H7119" s="142" t="s">
        <v>22969</v>
      </c>
      <c r="I7119" s="142">
        <v>2562</v>
      </c>
      <c r="J7119" s="142">
        <v>2314</v>
      </c>
      <c r="K7119" s="142">
        <v>0</v>
      </c>
      <c r="L7119" s="142">
        <v>188</v>
      </c>
      <c r="M7119" s="142">
        <v>60</v>
      </c>
    </row>
    <row r="7120" spans="1:13" x14ac:dyDescent="0.45">
      <c r="A7120" s="142" t="s">
        <v>13034</v>
      </c>
      <c r="B7120" s="142" t="s">
        <v>15562</v>
      </c>
      <c r="C7120" s="142" t="s">
        <v>15847</v>
      </c>
      <c r="D7120" s="142" t="s">
        <v>15848</v>
      </c>
      <c r="E7120" s="142" t="s">
        <v>15849</v>
      </c>
      <c r="F7120" s="142" t="s">
        <v>10435</v>
      </c>
      <c r="G7120" s="142" t="s">
        <v>10434</v>
      </c>
      <c r="H7120" s="142" t="s">
        <v>22970</v>
      </c>
      <c r="I7120" s="142">
        <v>72</v>
      </c>
      <c r="J7120" s="142">
        <v>10</v>
      </c>
      <c r="K7120" s="142">
        <v>1</v>
      </c>
      <c r="L7120" s="142">
        <v>40</v>
      </c>
      <c r="M7120" s="142">
        <v>21</v>
      </c>
    </row>
    <row r="7121" spans="1:13" x14ac:dyDescent="0.45">
      <c r="A7121" s="142" t="s">
        <v>13036</v>
      </c>
      <c r="B7121" s="142" t="s">
        <v>15567</v>
      </c>
      <c r="C7121" s="142" t="s">
        <v>15847</v>
      </c>
      <c r="D7121" s="142" t="s">
        <v>15848</v>
      </c>
      <c r="E7121" s="142" t="s">
        <v>15849</v>
      </c>
      <c r="F7121" s="142" t="s">
        <v>10435</v>
      </c>
      <c r="G7121" s="142" t="s">
        <v>10434</v>
      </c>
      <c r="H7121" s="142" t="s">
        <v>22971</v>
      </c>
      <c r="I7121" s="142">
        <v>37</v>
      </c>
      <c r="J7121" s="142">
        <v>0</v>
      </c>
      <c r="K7121" s="142">
        <v>0</v>
      </c>
      <c r="L7121" s="142">
        <v>34</v>
      </c>
      <c r="M7121" s="142">
        <v>3</v>
      </c>
    </row>
    <row r="7122" spans="1:13" x14ac:dyDescent="0.45">
      <c r="A7122" s="142" t="s">
        <v>13078</v>
      </c>
      <c r="B7122" s="142" t="s">
        <v>15540</v>
      </c>
      <c r="C7122" s="142" t="s">
        <v>15847</v>
      </c>
      <c r="D7122" s="142" t="s">
        <v>15848</v>
      </c>
      <c r="E7122" s="142" t="s">
        <v>15849</v>
      </c>
      <c r="F7122" s="142" t="s">
        <v>10435</v>
      </c>
      <c r="G7122" s="142" t="s">
        <v>10434</v>
      </c>
      <c r="H7122" s="142" t="s">
        <v>22972</v>
      </c>
      <c r="I7122" s="142">
        <v>57</v>
      </c>
      <c r="J7122" s="142">
        <v>0</v>
      </c>
      <c r="K7122" s="142">
        <v>0</v>
      </c>
      <c r="L7122" s="142">
        <v>57</v>
      </c>
      <c r="M7122" s="142">
        <v>0</v>
      </c>
    </row>
    <row r="7123" spans="1:13" x14ac:dyDescent="0.45">
      <c r="A7123" s="142" t="s">
        <v>13091</v>
      </c>
      <c r="B7123" s="142" t="s">
        <v>14473</v>
      </c>
      <c r="C7123" s="142" t="s">
        <v>15847</v>
      </c>
      <c r="D7123" s="142" t="s">
        <v>15848</v>
      </c>
      <c r="E7123" s="142" t="s">
        <v>15849</v>
      </c>
      <c r="F7123" s="142" t="s">
        <v>10435</v>
      </c>
      <c r="G7123" s="142" t="s">
        <v>10434</v>
      </c>
      <c r="H7123" s="142" t="s">
        <v>22973</v>
      </c>
      <c r="I7123" s="142">
        <v>300</v>
      </c>
      <c r="J7123" s="142">
        <v>280</v>
      </c>
      <c r="K7123" s="142">
        <v>0</v>
      </c>
      <c r="L7123" s="142">
        <v>20</v>
      </c>
      <c r="M7123" s="142">
        <v>0</v>
      </c>
    </row>
    <row r="7124" spans="1:13" x14ac:dyDescent="0.45">
      <c r="A7124" s="142" t="s">
        <v>13009</v>
      </c>
      <c r="B7124" s="142" t="s">
        <v>15256</v>
      </c>
      <c r="C7124" s="142" t="s">
        <v>15847</v>
      </c>
      <c r="D7124" s="142" t="s">
        <v>15848</v>
      </c>
      <c r="E7124" s="142" t="s">
        <v>15849</v>
      </c>
      <c r="F7124" s="142" t="s">
        <v>10435</v>
      </c>
      <c r="G7124" s="142" t="s">
        <v>10434</v>
      </c>
      <c r="H7124" s="142" t="s">
        <v>22974</v>
      </c>
      <c r="I7124" s="142">
        <v>2700</v>
      </c>
      <c r="J7124" s="142">
        <v>2522</v>
      </c>
      <c r="K7124" s="142">
        <v>0</v>
      </c>
      <c r="L7124" s="142">
        <v>167</v>
      </c>
      <c r="M7124" s="142">
        <v>11</v>
      </c>
    </row>
    <row r="7125" spans="1:13" x14ac:dyDescent="0.45">
      <c r="A7125" s="142" t="s">
        <v>13152</v>
      </c>
      <c r="B7125" s="142" t="s">
        <v>15249</v>
      </c>
      <c r="C7125" s="142" t="s">
        <v>15847</v>
      </c>
      <c r="D7125" s="142" t="s">
        <v>15848</v>
      </c>
      <c r="E7125" s="142" t="s">
        <v>15849</v>
      </c>
      <c r="F7125" s="142" t="s">
        <v>10435</v>
      </c>
      <c r="G7125" s="142" t="s">
        <v>10434</v>
      </c>
      <c r="H7125" s="142" t="s">
        <v>22975</v>
      </c>
      <c r="I7125" s="142">
        <v>1948</v>
      </c>
      <c r="J7125" s="142">
        <v>1321</v>
      </c>
      <c r="K7125" s="142">
        <v>0</v>
      </c>
      <c r="L7125" s="142">
        <v>567</v>
      </c>
      <c r="M7125" s="142">
        <v>60</v>
      </c>
    </row>
    <row r="7126" spans="1:13" x14ac:dyDescent="0.45">
      <c r="A7126" s="142" t="s">
        <v>13011</v>
      </c>
      <c r="B7126" s="142" t="s">
        <v>14695</v>
      </c>
      <c r="C7126" s="142" t="s">
        <v>15847</v>
      </c>
      <c r="D7126" s="142" t="s">
        <v>15848</v>
      </c>
      <c r="E7126" s="142" t="s">
        <v>15849</v>
      </c>
      <c r="F7126" s="142" t="s">
        <v>10435</v>
      </c>
      <c r="G7126" s="142" t="s">
        <v>10434</v>
      </c>
      <c r="H7126" s="142" t="s">
        <v>22976</v>
      </c>
      <c r="I7126" s="142">
        <v>1</v>
      </c>
      <c r="J7126" s="142">
        <v>0</v>
      </c>
      <c r="K7126" s="142">
        <v>0</v>
      </c>
      <c r="L7126" s="142">
        <v>0</v>
      </c>
      <c r="M7126" s="142">
        <v>1</v>
      </c>
    </row>
    <row r="7127" spans="1:13" x14ac:dyDescent="0.45">
      <c r="A7127" s="142" t="s">
        <v>13832</v>
      </c>
      <c r="B7127" s="142" t="s">
        <v>15195</v>
      </c>
      <c r="C7127" s="142" t="s">
        <v>15860</v>
      </c>
      <c r="D7127" s="142" t="s">
        <v>15861</v>
      </c>
      <c r="E7127" s="142" t="s">
        <v>15849</v>
      </c>
      <c r="F7127" s="142" t="s">
        <v>10435</v>
      </c>
      <c r="G7127" s="142" t="s">
        <v>10434</v>
      </c>
      <c r="H7127" s="142" t="s">
        <v>22977</v>
      </c>
      <c r="I7127" s="142">
        <v>66</v>
      </c>
      <c r="J7127" s="142">
        <v>0</v>
      </c>
      <c r="K7127" s="142">
        <v>0</v>
      </c>
      <c r="L7127" s="142">
        <v>66</v>
      </c>
      <c r="M7127" s="142">
        <v>0</v>
      </c>
    </row>
    <row r="7128" spans="1:13" x14ac:dyDescent="0.45">
      <c r="A7128" s="142" t="s">
        <v>13153</v>
      </c>
      <c r="B7128" s="142" t="s">
        <v>14469</v>
      </c>
      <c r="C7128" s="142" t="s">
        <v>15860</v>
      </c>
      <c r="D7128" s="142" t="s">
        <v>15861</v>
      </c>
      <c r="E7128" s="142" t="s">
        <v>15849</v>
      </c>
      <c r="F7128" s="142" t="s">
        <v>10435</v>
      </c>
      <c r="G7128" s="142" t="s">
        <v>10434</v>
      </c>
      <c r="H7128" s="142" t="s">
        <v>22978</v>
      </c>
      <c r="I7128" s="142">
        <v>71</v>
      </c>
      <c r="J7128" s="142">
        <v>0</v>
      </c>
      <c r="K7128" s="142">
        <v>0</v>
      </c>
      <c r="L7128" s="142">
        <v>71</v>
      </c>
      <c r="M7128" s="142">
        <v>0</v>
      </c>
    </row>
    <row r="7129" spans="1:13" x14ac:dyDescent="0.45">
      <c r="A7129" s="142" t="s">
        <v>13014</v>
      </c>
      <c r="B7129" s="142" t="s">
        <v>14505</v>
      </c>
      <c r="C7129" s="142" t="s">
        <v>15847</v>
      </c>
      <c r="D7129" s="142" t="s">
        <v>15848</v>
      </c>
      <c r="E7129" s="142" t="s">
        <v>15849</v>
      </c>
      <c r="F7129" s="142" t="s">
        <v>10435</v>
      </c>
      <c r="G7129" s="142" t="s">
        <v>10434</v>
      </c>
      <c r="H7129" s="142" t="s">
        <v>22979</v>
      </c>
      <c r="I7129" s="142">
        <v>2355</v>
      </c>
      <c r="J7129" s="142">
        <v>1793</v>
      </c>
      <c r="K7129" s="142">
        <v>1</v>
      </c>
      <c r="L7129" s="142">
        <v>433</v>
      </c>
      <c r="M7129" s="142">
        <v>128</v>
      </c>
    </row>
    <row r="7130" spans="1:13" x14ac:dyDescent="0.45">
      <c r="A7130" s="142" t="s">
        <v>13154</v>
      </c>
      <c r="B7130" s="142" t="s">
        <v>15415</v>
      </c>
      <c r="C7130" s="142" t="s">
        <v>15847</v>
      </c>
      <c r="D7130" s="142" t="s">
        <v>15848</v>
      </c>
      <c r="E7130" s="142" t="s">
        <v>15849</v>
      </c>
      <c r="F7130" s="142" t="s">
        <v>10435</v>
      </c>
      <c r="G7130" s="142" t="s">
        <v>10434</v>
      </c>
      <c r="H7130" s="142" t="s">
        <v>22980</v>
      </c>
      <c r="I7130" s="142">
        <v>1952</v>
      </c>
      <c r="J7130" s="142">
        <v>1937</v>
      </c>
      <c r="K7130" s="142">
        <v>0</v>
      </c>
      <c r="L7130" s="142">
        <v>8</v>
      </c>
      <c r="M7130" s="142">
        <v>7</v>
      </c>
    </row>
    <row r="7131" spans="1:13" x14ac:dyDescent="0.45">
      <c r="A7131" s="142" t="s">
        <v>13222</v>
      </c>
      <c r="B7131" s="142" t="s">
        <v>14449</v>
      </c>
      <c r="C7131" s="142" t="s">
        <v>15860</v>
      </c>
      <c r="D7131" s="142" t="s">
        <v>15861</v>
      </c>
      <c r="E7131" s="142" t="s">
        <v>15849</v>
      </c>
      <c r="F7131" s="142" t="s">
        <v>10435</v>
      </c>
      <c r="G7131" s="142" t="s">
        <v>10434</v>
      </c>
      <c r="H7131" s="142" t="s">
        <v>22981</v>
      </c>
      <c r="I7131" s="142">
        <v>22</v>
      </c>
      <c r="J7131" s="142">
        <v>0</v>
      </c>
      <c r="K7131" s="142">
        <v>0</v>
      </c>
      <c r="L7131" s="142">
        <v>22</v>
      </c>
      <c r="M7131" s="142">
        <v>0</v>
      </c>
    </row>
    <row r="7132" spans="1:13" x14ac:dyDescent="0.45">
      <c r="A7132" s="142" t="s">
        <v>13155</v>
      </c>
      <c r="B7132" s="142" t="s">
        <v>15455</v>
      </c>
      <c r="C7132" s="142" t="s">
        <v>15847</v>
      </c>
      <c r="D7132" s="142" t="s">
        <v>15848</v>
      </c>
      <c r="E7132" s="142" t="s">
        <v>15849</v>
      </c>
      <c r="F7132" s="142" t="s">
        <v>10435</v>
      </c>
      <c r="G7132" s="142" t="s">
        <v>10434</v>
      </c>
      <c r="H7132" s="142" t="s">
        <v>22982</v>
      </c>
      <c r="I7132" s="142">
        <v>10</v>
      </c>
      <c r="J7132" s="142">
        <v>6</v>
      </c>
      <c r="K7132" s="142">
        <v>0</v>
      </c>
      <c r="L7132" s="142">
        <v>0</v>
      </c>
      <c r="M7132" s="142">
        <v>4</v>
      </c>
    </row>
    <row r="7133" spans="1:13" x14ac:dyDescent="0.45">
      <c r="A7133" s="142" t="s">
        <v>13157</v>
      </c>
      <c r="B7133" s="142" t="s">
        <v>15477</v>
      </c>
      <c r="C7133" s="142" t="s">
        <v>15847</v>
      </c>
      <c r="D7133" s="142" t="s">
        <v>15848</v>
      </c>
      <c r="E7133" s="142" t="s">
        <v>15849</v>
      </c>
      <c r="F7133" s="142" t="s">
        <v>10435</v>
      </c>
      <c r="G7133" s="142" t="s">
        <v>10434</v>
      </c>
      <c r="H7133" s="142" t="s">
        <v>22983</v>
      </c>
      <c r="I7133" s="142">
        <v>609</v>
      </c>
      <c r="J7133" s="142">
        <v>565</v>
      </c>
      <c r="K7133" s="142">
        <v>0</v>
      </c>
      <c r="L7133" s="142">
        <v>38</v>
      </c>
      <c r="M7133" s="142">
        <v>6</v>
      </c>
    </row>
    <row r="7134" spans="1:13" x14ac:dyDescent="0.45">
      <c r="A7134" s="142" t="s">
        <v>13286</v>
      </c>
      <c r="B7134" s="142" t="s">
        <v>15342</v>
      </c>
      <c r="C7134" s="142" t="s">
        <v>15847</v>
      </c>
      <c r="D7134" s="142" t="s">
        <v>15848</v>
      </c>
      <c r="E7134" s="142" t="s">
        <v>15849</v>
      </c>
      <c r="F7134" s="142" t="s">
        <v>10435</v>
      </c>
      <c r="G7134" s="142" t="s">
        <v>10434</v>
      </c>
      <c r="H7134" s="142" t="s">
        <v>22984</v>
      </c>
      <c r="I7134" s="142">
        <v>206</v>
      </c>
      <c r="J7134" s="142">
        <v>0</v>
      </c>
      <c r="K7134" s="142">
        <v>0</v>
      </c>
      <c r="L7134" s="142">
        <v>177</v>
      </c>
      <c r="M7134" s="142">
        <v>29</v>
      </c>
    </row>
    <row r="7135" spans="1:13" x14ac:dyDescent="0.45">
      <c r="A7135" s="142" t="s">
        <v>13207</v>
      </c>
      <c r="B7135" s="142" t="s">
        <v>15558</v>
      </c>
      <c r="C7135" s="142" t="s">
        <v>15847</v>
      </c>
      <c r="D7135" s="142" t="s">
        <v>15848</v>
      </c>
      <c r="E7135" s="142" t="s">
        <v>15849</v>
      </c>
      <c r="F7135" s="142" t="s">
        <v>10435</v>
      </c>
      <c r="G7135" s="142" t="s">
        <v>10434</v>
      </c>
      <c r="H7135" s="142" t="s">
        <v>22985</v>
      </c>
      <c r="I7135" s="142">
        <v>1</v>
      </c>
      <c r="J7135" s="142">
        <v>0</v>
      </c>
      <c r="K7135" s="142">
        <v>0</v>
      </c>
      <c r="L7135" s="142">
        <v>0</v>
      </c>
      <c r="M7135" s="142">
        <v>1</v>
      </c>
    </row>
    <row r="7136" spans="1:13" x14ac:dyDescent="0.45">
      <c r="A7136" s="142" t="s">
        <v>13410</v>
      </c>
      <c r="B7136" s="142" t="s">
        <v>15311</v>
      </c>
      <c r="C7136" s="142" t="s">
        <v>15860</v>
      </c>
      <c r="D7136" s="142" t="s">
        <v>15861</v>
      </c>
      <c r="E7136" s="142" t="s">
        <v>15849</v>
      </c>
      <c r="F7136" s="142" t="s">
        <v>2263</v>
      </c>
      <c r="G7136" s="142" t="s">
        <v>2262</v>
      </c>
      <c r="H7136" s="142" t="s">
        <v>22986</v>
      </c>
      <c r="I7136" s="142">
        <v>11</v>
      </c>
      <c r="J7136" s="142">
        <v>0</v>
      </c>
      <c r="K7136" s="142">
        <v>0</v>
      </c>
      <c r="L7136" s="142">
        <v>11</v>
      </c>
      <c r="M7136" s="142">
        <v>0</v>
      </c>
    </row>
    <row r="7137" spans="1:13" x14ac:dyDescent="0.45">
      <c r="A7137" s="142" t="s">
        <v>13023</v>
      </c>
      <c r="B7137" s="142" t="s">
        <v>15571</v>
      </c>
      <c r="C7137" s="142" t="s">
        <v>15847</v>
      </c>
      <c r="D7137" s="142" t="s">
        <v>15848</v>
      </c>
      <c r="E7137" s="142" t="s">
        <v>15849</v>
      </c>
      <c r="F7137" s="142" t="s">
        <v>2263</v>
      </c>
      <c r="G7137" s="142" t="s">
        <v>2262</v>
      </c>
      <c r="H7137" s="142" t="s">
        <v>22987</v>
      </c>
      <c r="I7137" s="142">
        <v>155</v>
      </c>
      <c r="J7137" s="142">
        <v>0</v>
      </c>
      <c r="K7137" s="142">
        <v>0</v>
      </c>
      <c r="L7137" s="142">
        <v>155</v>
      </c>
      <c r="M7137" s="142">
        <v>0</v>
      </c>
    </row>
    <row r="7138" spans="1:13" x14ac:dyDescent="0.45">
      <c r="A7138" s="142" t="s">
        <v>13114</v>
      </c>
      <c r="B7138" s="142" t="s">
        <v>15328</v>
      </c>
      <c r="C7138" s="142" t="s">
        <v>15860</v>
      </c>
      <c r="D7138" s="142" t="s">
        <v>15861</v>
      </c>
      <c r="E7138" s="142" t="s">
        <v>15849</v>
      </c>
      <c r="F7138" s="142" t="s">
        <v>2263</v>
      </c>
      <c r="G7138" s="142" t="s">
        <v>2262</v>
      </c>
      <c r="H7138" s="142" t="s">
        <v>22988</v>
      </c>
      <c r="I7138" s="142">
        <v>15</v>
      </c>
      <c r="J7138" s="142">
        <v>15</v>
      </c>
      <c r="K7138" s="142">
        <v>0</v>
      </c>
      <c r="L7138" s="142">
        <v>0</v>
      </c>
      <c r="M7138" s="142">
        <v>0</v>
      </c>
    </row>
    <row r="7139" spans="1:13" x14ac:dyDescent="0.45">
      <c r="A7139" s="142" t="s">
        <v>13235</v>
      </c>
      <c r="B7139" s="142" t="s">
        <v>14573</v>
      </c>
      <c r="C7139" s="142" t="s">
        <v>15847</v>
      </c>
      <c r="D7139" s="142" t="s">
        <v>15848</v>
      </c>
      <c r="E7139" s="142" t="s">
        <v>15849</v>
      </c>
      <c r="F7139" s="142" t="s">
        <v>2263</v>
      </c>
      <c r="G7139" s="142" t="s">
        <v>2262</v>
      </c>
      <c r="H7139" s="142" t="s">
        <v>22989</v>
      </c>
      <c r="I7139" s="142">
        <v>1244</v>
      </c>
      <c r="J7139" s="142">
        <v>1068</v>
      </c>
      <c r="K7139" s="142">
        <v>0</v>
      </c>
      <c r="L7139" s="142">
        <v>63</v>
      </c>
      <c r="M7139" s="142">
        <v>113</v>
      </c>
    </row>
    <row r="7140" spans="1:13" x14ac:dyDescent="0.45">
      <c r="A7140" s="142" t="s">
        <v>13237</v>
      </c>
      <c r="B7140" s="142" t="s">
        <v>14643</v>
      </c>
      <c r="C7140" s="142" t="s">
        <v>15847</v>
      </c>
      <c r="D7140" s="142" t="s">
        <v>15848</v>
      </c>
      <c r="E7140" s="142" t="s">
        <v>15849</v>
      </c>
      <c r="F7140" s="142" t="s">
        <v>2263</v>
      </c>
      <c r="G7140" s="142" t="s">
        <v>2262</v>
      </c>
      <c r="H7140" s="142" t="s">
        <v>22990</v>
      </c>
      <c r="I7140" s="142">
        <v>29</v>
      </c>
      <c r="J7140" s="142">
        <v>12</v>
      </c>
      <c r="K7140" s="142">
        <v>0</v>
      </c>
      <c r="L7140" s="142">
        <v>0</v>
      </c>
      <c r="M7140" s="142">
        <v>17</v>
      </c>
    </row>
    <row r="7141" spans="1:13" x14ac:dyDescent="0.45">
      <c r="A7141" s="142" t="s">
        <v>13000</v>
      </c>
      <c r="B7141" s="142" t="s">
        <v>14610</v>
      </c>
      <c r="C7141" s="142" t="s">
        <v>15847</v>
      </c>
      <c r="D7141" s="142" t="s">
        <v>15848</v>
      </c>
      <c r="E7141" s="142" t="s">
        <v>15849</v>
      </c>
      <c r="F7141" s="142" t="s">
        <v>2263</v>
      </c>
      <c r="G7141" s="142" t="s">
        <v>2262</v>
      </c>
      <c r="H7141" s="142" t="s">
        <v>22991</v>
      </c>
      <c r="I7141" s="142">
        <v>28</v>
      </c>
      <c r="J7141" s="142">
        <v>28</v>
      </c>
      <c r="K7141" s="142">
        <v>0</v>
      </c>
      <c r="L7141" s="142">
        <v>0</v>
      </c>
      <c r="M7141" s="142">
        <v>0</v>
      </c>
    </row>
    <row r="7142" spans="1:13" x14ac:dyDescent="0.45">
      <c r="A7142" s="142" t="s">
        <v>13770</v>
      </c>
      <c r="B7142" s="142" t="s">
        <v>15595</v>
      </c>
      <c r="C7142" s="142" t="s">
        <v>15847</v>
      </c>
      <c r="D7142" s="142" t="s">
        <v>15848</v>
      </c>
      <c r="E7142" s="142" t="s">
        <v>15849</v>
      </c>
      <c r="F7142" s="142" t="s">
        <v>2263</v>
      </c>
      <c r="G7142" s="142" t="s">
        <v>2262</v>
      </c>
      <c r="H7142" s="142" t="s">
        <v>22992</v>
      </c>
      <c r="I7142" s="142">
        <v>4955</v>
      </c>
      <c r="J7142" s="142">
        <v>3951</v>
      </c>
      <c r="K7142" s="142">
        <v>0</v>
      </c>
      <c r="L7142" s="142">
        <v>674</v>
      </c>
      <c r="M7142" s="142">
        <v>330</v>
      </c>
    </row>
    <row r="7143" spans="1:13" x14ac:dyDescent="0.45">
      <c r="A7143" s="142" t="s">
        <v>13027</v>
      </c>
      <c r="B7143" s="142" t="s">
        <v>14562</v>
      </c>
      <c r="C7143" s="142" t="s">
        <v>15847</v>
      </c>
      <c r="D7143" s="142" t="s">
        <v>15848</v>
      </c>
      <c r="E7143" s="142" t="s">
        <v>15849</v>
      </c>
      <c r="F7143" s="142" t="s">
        <v>2263</v>
      </c>
      <c r="G7143" s="142" t="s">
        <v>2262</v>
      </c>
      <c r="H7143" s="142" t="s">
        <v>22993</v>
      </c>
      <c r="I7143" s="142">
        <v>18</v>
      </c>
      <c r="J7143" s="142">
        <v>0</v>
      </c>
      <c r="K7143" s="142">
        <v>0</v>
      </c>
      <c r="L7143" s="142">
        <v>18</v>
      </c>
      <c r="M7143" s="142">
        <v>0</v>
      </c>
    </row>
    <row r="7144" spans="1:13" x14ac:dyDescent="0.45">
      <c r="A7144" s="142" t="s">
        <v>13148</v>
      </c>
      <c r="B7144" s="142" t="s">
        <v>15314</v>
      </c>
      <c r="C7144" s="142" t="s">
        <v>15847</v>
      </c>
      <c r="D7144" s="142" t="s">
        <v>15848</v>
      </c>
      <c r="E7144" s="142" t="s">
        <v>15849</v>
      </c>
      <c r="F7144" s="142" t="s">
        <v>2263</v>
      </c>
      <c r="G7144" s="142" t="s">
        <v>2262</v>
      </c>
      <c r="H7144" s="142" t="s">
        <v>22994</v>
      </c>
      <c r="I7144" s="142">
        <v>85</v>
      </c>
      <c r="J7144" s="142">
        <v>5</v>
      </c>
      <c r="K7144" s="142">
        <v>0</v>
      </c>
      <c r="L7144" s="142">
        <v>0</v>
      </c>
      <c r="M7144" s="142">
        <v>80</v>
      </c>
    </row>
    <row r="7145" spans="1:13" x14ac:dyDescent="0.45">
      <c r="A7145" s="142" t="s">
        <v>13243</v>
      </c>
      <c r="B7145" s="142" t="s">
        <v>15560</v>
      </c>
      <c r="C7145" s="142" t="s">
        <v>15847</v>
      </c>
      <c r="D7145" s="142" t="s">
        <v>15848</v>
      </c>
      <c r="E7145" s="142" t="s">
        <v>15849</v>
      </c>
      <c r="F7145" s="142" t="s">
        <v>2263</v>
      </c>
      <c r="G7145" s="142" t="s">
        <v>2262</v>
      </c>
      <c r="H7145" s="142" t="s">
        <v>22995</v>
      </c>
      <c r="I7145" s="142">
        <v>45</v>
      </c>
      <c r="J7145" s="142">
        <v>27</v>
      </c>
      <c r="K7145" s="142">
        <v>0</v>
      </c>
      <c r="L7145" s="142">
        <v>0</v>
      </c>
      <c r="M7145" s="142">
        <v>18</v>
      </c>
    </row>
    <row r="7146" spans="1:13" x14ac:dyDescent="0.45">
      <c r="A7146" s="142" t="s">
        <v>13001</v>
      </c>
      <c r="B7146" s="142" t="s">
        <v>15506</v>
      </c>
      <c r="C7146" s="142" t="s">
        <v>15847</v>
      </c>
      <c r="D7146" s="142" t="s">
        <v>15848</v>
      </c>
      <c r="E7146" s="142" t="s">
        <v>15849</v>
      </c>
      <c r="F7146" s="142" t="s">
        <v>2263</v>
      </c>
      <c r="G7146" s="142" t="s">
        <v>2262</v>
      </c>
      <c r="H7146" s="142" t="s">
        <v>22996</v>
      </c>
      <c r="I7146" s="142">
        <v>30</v>
      </c>
      <c r="J7146" s="142">
        <v>30</v>
      </c>
      <c r="K7146" s="142">
        <v>0</v>
      </c>
      <c r="L7146" s="142">
        <v>0</v>
      </c>
      <c r="M7146" s="142">
        <v>0</v>
      </c>
    </row>
    <row r="7147" spans="1:13" x14ac:dyDescent="0.45">
      <c r="A7147" s="142" t="s">
        <v>13028</v>
      </c>
      <c r="B7147" s="142" t="s">
        <v>14462</v>
      </c>
      <c r="C7147" s="142" t="s">
        <v>15847</v>
      </c>
      <c r="D7147" s="142" t="s">
        <v>15848</v>
      </c>
      <c r="E7147" s="142" t="s">
        <v>15849</v>
      </c>
      <c r="F7147" s="142" t="s">
        <v>2263</v>
      </c>
      <c r="G7147" s="142" t="s">
        <v>2262</v>
      </c>
      <c r="H7147" s="142" t="s">
        <v>22997</v>
      </c>
      <c r="I7147" s="142">
        <v>60</v>
      </c>
      <c r="J7147" s="142">
        <v>0</v>
      </c>
      <c r="K7147" s="142">
        <v>0</v>
      </c>
      <c r="L7147" s="142">
        <v>0</v>
      </c>
      <c r="M7147" s="142">
        <v>60</v>
      </c>
    </row>
    <row r="7148" spans="1:13" x14ac:dyDescent="0.45">
      <c r="A7148" s="142" t="s">
        <v>13448</v>
      </c>
      <c r="B7148" s="142" t="s">
        <v>15574</v>
      </c>
      <c r="C7148" s="142" t="s">
        <v>15847</v>
      </c>
      <c r="D7148" s="142" t="s">
        <v>15848</v>
      </c>
      <c r="E7148" s="142" t="s">
        <v>15849</v>
      </c>
      <c r="F7148" s="142" t="s">
        <v>2263</v>
      </c>
      <c r="G7148" s="142" t="s">
        <v>2262</v>
      </c>
      <c r="H7148" s="142" t="s">
        <v>22998</v>
      </c>
      <c r="I7148" s="142">
        <v>5927</v>
      </c>
      <c r="J7148" s="142">
        <v>5075</v>
      </c>
      <c r="K7148" s="142">
        <v>0</v>
      </c>
      <c r="L7148" s="142">
        <v>597</v>
      </c>
      <c r="M7148" s="142">
        <v>255</v>
      </c>
    </row>
    <row r="7149" spans="1:13" x14ac:dyDescent="0.45">
      <c r="A7149" s="142" t="s">
        <v>14168</v>
      </c>
      <c r="B7149" s="142" t="s">
        <v>14845</v>
      </c>
      <c r="C7149" s="142" t="s">
        <v>15860</v>
      </c>
      <c r="D7149" s="142" t="s">
        <v>15861</v>
      </c>
      <c r="E7149" s="142" t="s">
        <v>15849</v>
      </c>
      <c r="F7149" s="142" t="s">
        <v>2263</v>
      </c>
      <c r="G7149" s="142" t="s">
        <v>2262</v>
      </c>
      <c r="H7149" s="142" t="s">
        <v>22999</v>
      </c>
      <c r="I7149" s="142">
        <v>22</v>
      </c>
      <c r="J7149" s="142">
        <v>0</v>
      </c>
      <c r="K7149" s="142">
        <v>0</v>
      </c>
      <c r="L7149" s="142">
        <v>22</v>
      </c>
      <c r="M7149" s="142">
        <v>0</v>
      </c>
    </row>
    <row r="7150" spans="1:13" x14ac:dyDescent="0.45">
      <c r="A7150" s="142" t="s">
        <v>13003</v>
      </c>
      <c r="B7150" s="142" t="s">
        <v>15245</v>
      </c>
      <c r="C7150" s="142" t="s">
        <v>15847</v>
      </c>
      <c r="D7150" s="142" t="s">
        <v>15848</v>
      </c>
      <c r="E7150" s="142" t="s">
        <v>15849</v>
      </c>
      <c r="F7150" s="142" t="s">
        <v>2263</v>
      </c>
      <c r="G7150" s="142" t="s">
        <v>2262</v>
      </c>
      <c r="H7150" s="142" t="s">
        <v>23000</v>
      </c>
      <c r="I7150" s="142">
        <v>115</v>
      </c>
      <c r="J7150" s="142">
        <v>0</v>
      </c>
      <c r="K7150" s="142">
        <v>0</v>
      </c>
      <c r="L7150" s="142">
        <v>115</v>
      </c>
      <c r="M7150" s="142">
        <v>0</v>
      </c>
    </row>
    <row r="7151" spans="1:13" x14ac:dyDescent="0.45">
      <c r="A7151" s="142" t="s">
        <v>13248</v>
      </c>
      <c r="B7151" s="142" t="s">
        <v>15463</v>
      </c>
      <c r="C7151" s="142" t="s">
        <v>15847</v>
      </c>
      <c r="D7151" s="142" t="s">
        <v>15848</v>
      </c>
      <c r="E7151" s="142" t="s">
        <v>15849</v>
      </c>
      <c r="F7151" s="142" t="s">
        <v>2263</v>
      </c>
      <c r="G7151" s="142" t="s">
        <v>2262</v>
      </c>
      <c r="H7151" s="142" t="s">
        <v>23001</v>
      </c>
      <c r="I7151" s="142">
        <v>7</v>
      </c>
      <c r="J7151" s="142">
        <v>0</v>
      </c>
      <c r="K7151" s="142">
        <v>0</v>
      </c>
      <c r="L7151" s="142">
        <v>0</v>
      </c>
      <c r="M7151" s="142">
        <v>7</v>
      </c>
    </row>
    <row r="7152" spans="1:13" x14ac:dyDescent="0.45">
      <c r="A7152" s="142" t="s">
        <v>13034</v>
      </c>
      <c r="B7152" s="142" t="s">
        <v>15562</v>
      </c>
      <c r="C7152" s="142" t="s">
        <v>15847</v>
      </c>
      <c r="D7152" s="142" t="s">
        <v>15848</v>
      </c>
      <c r="E7152" s="142" t="s">
        <v>15849</v>
      </c>
      <c r="F7152" s="142" t="s">
        <v>2263</v>
      </c>
      <c r="G7152" s="142" t="s">
        <v>2262</v>
      </c>
      <c r="H7152" s="142" t="s">
        <v>23002</v>
      </c>
      <c r="I7152" s="142">
        <v>2</v>
      </c>
      <c r="J7152" s="142">
        <v>0</v>
      </c>
      <c r="K7152" s="142">
        <v>0</v>
      </c>
      <c r="L7152" s="142">
        <v>2</v>
      </c>
      <c r="M7152" s="142">
        <v>0</v>
      </c>
    </row>
    <row r="7153" spans="1:13" x14ac:dyDescent="0.45">
      <c r="A7153" s="142" t="s">
        <v>13037</v>
      </c>
      <c r="B7153" s="142" t="s">
        <v>14519</v>
      </c>
      <c r="C7153" s="142" t="s">
        <v>15847</v>
      </c>
      <c r="D7153" s="142" t="s">
        <v>15848</v>
      </c>
      <c r="E7153" s="142" t="s">
        <v>15849</v>
      </c>
      <c r="F7153" s="142" t="s">
        <v>2263</v>
      </c>
      <c r="G7153" s="142" t="s">
        <v>2262</v>
      </c>
      <c r="H7153" s="142" t="s">
        <v>23003</v>
      </c>
      <c r="I7153" s="142">
        <v>22</v>
      </c>
      <c r="J7153" s="142">
        <v>0</v>
      </c>
      <c r="K7153" s="142">
        <v>0</v>
      </c>
      <c r="L7153" s="142">
        <v>22</v>
      </c>
      <c r="M7153" s="142">
        <v>0</v>
      </c>
    </row>
    <row r="7154" spans="1:13" x14ac:dyDescent="0.45">
      <c r="A7154" s="142" t="s">
        <v>13394</v>
      </c>
      <c r="B7154" s="142" t="s">
        <v>15569</v>
      </c>
      <c r="C7154" s="142" t="s">
        <v>15847</v>
      </c>
      <c r="D7154" s="142" t="s">
        <v>15848</v>
      </c>
      <c r="E7154" s="142" t="s">
        <v>15849</v>
      </c>
      <c r="F7154" s="142" t="s">
        <v>2263</v>
      </c>
      <c r="G7154" s="142" t="s">
        <v>2262</v>
      </c>
      <c r="H7154" s="142" t="s">
        <v>23004</v>
      </c>
      <c r="I7154" s="142">
        <v>161</v>
      </c>
      <c r="J7154" s="142">
        <v>0</v>
      </c>
      <c r="K7154" s="142">
        <v>161</v>
      </c>
      <c r="L7154" s="142">
        <v>0</v>
      </c>
      <c r="M7154" s="142">
        <v>0</v>
      </c>
    </row>
    <row r="7155" spans="1:13" x14ac:dyDescent="0.45">
      <c r="A7155" s="142" t="s">
        <v>13038</v>
      </c>
      <c r="B7155" s="142" t="s">
        <v>14646</v>
      </c>
      <c r="C7155" s="142" t="s">
        <v>15847</v>
      </c>
      <c r="D7155" s="142" t="s">
        <v>15848</v>
      </c>
      <c r="E7155" s="142" t="s">
        <v>15849</v>
      </c>
      <c r="F7155" s="142" t="s">
        <v>2263</v>
      </c>
      <c r="G7155" s="142" t="s">
        <v>2262</v>
      </c>
      <c r="H7155" s="142" t="s">
        <v>23005</v>
      </c>
      <c r="I7155" s="142">
        <v>41</v>
      </c>
      <c r="J7155" s="142">
        <v>17</v>
      </c>
      <c r="K7155" s="142">
        <v>0</v>
      </c>
      <c r="L7155" s="142">
        <v>0</v>
      </c>
      <c r="M7155" s="142">
        <v>24</v>
      </c>
    </row>
    <row r="7156" spans="1:13" x14ac:dyDescent="0.45">
      <c r="A7156" s="142" t="s">
        <v>13091</v>
      </c>
      <c r="B7156" s="142" t="s">
        <v>14473</v>
      </c>
      <c r="C7156" s="142" t="s">
        <v>15847</v>
      </c>
      <c r="D7156" s="142" t="s">
        <v>15848</v>
      </c>
      <c r="E7156" s="142" t="s">
        <v>15849</v>
      </c>
      <c r="F7156" s="142" t="s">
        <v>2263</v>
      </c>
      <c r="G7156" s="142" t="s">
        <v>2262</v>
      </c>
      <c r="H7156" s="142" t="s">
        <v>23006</v>
      </c>
      <c r="I7156" s="142">
        <v>82</v>
      </c>
      <c r="J7156" s="142">
        <v>64</v>
      </c>
      <c r="K7156" s="142">
        <v>0</v>
      </c>
      <c r="L7156" s="142">
        <v>7</v>
      </c>
      <c r="M7156" s="142">
        <v>11</v>
      </c>
    </row>
    <row r="7157" spans="1:13" x14ac:dyDescent="0.45">
      <c r="A7157" s="142" t="s">
        <v>13009</v>
      </c>
      <c r="B7157" s="142" t="s">
        <v>15256</v>
      </c>
      <c r="C7157" s="142" t="s">
        <v>15847</v>
      </c>
      <c r="D7157" s="142" t="s">
        <v>15848</v>
      </c>
      <c r="E7157" s="142" t="s">
        <v>15849</v>
      </c>
      <c r="F7157" s="142" t="s">
        <v>2263</v>
      </c>
      <c r="G7157" s="142" t="s">
        <v>2262</v>
      </c>
      <c r="H7157" s="142" t="s">
        <v>23007</v>
      </c>
      <c r="I7157" s="142">
        <v>532</v>
      </c>
      <c r="J7157" s="142">
        <v>447</v>
      </c>
      <c r="K7157" s="142">
        <v>0</v>
      </c>
      <c r="L7157" s="142">
        <v>52</v>
      </c>
      <c r="M7157" s="142">
        <v>33</v>
      </c>
    </row>
    <row r="7158" spans="1:13" x14ac:dyDescent="0.45">
      <c r="A7158" s="142" t="s">
        <v>14169</v>
      </c>
      <c r="B7158" s="142" t="s">
        <v>14566</v>
      </c>
      <c r="C7158" s="142" t="s">
        <v>15860</v>
      </c>
      <c r="D7158" s="142" t="s">
        <v>15861</v>
      </c>
      <c r="E7158" s="142" t="s">
        <v>15849</v>
      </c>
      <c r="F7158" s="142" t="s">
        <v>2263</v>
      </c>
      <c r="G7158" s="142" t="s">
        <v>2262</v>
      </c>
      <c r="H7158" s="142" t="s">
        <v>23008</v>
      </c>
      <c r="I7158" s="142">
        <v>51</v>
      </c>
      <c r="J7158" s="142">
        <v>0</v>
      </c>
      <c r="K7158" s="142">
        <v>0</v>
      </c>
      <c r="L7158" s="142">
        <v>51</v>
      </c>
      <c r="M7158" s="142">
        <v>0</v>
      </c>
    </row>
    <row r="7159" spans="1:13" x14ac:dyDescent="0.45">
      <c r="A7159" s="142" t="s">
        <v>14170</v>
      </c>
      <c r="B7159" s="142" t="s">
        <v>15133</v>
      </c>
      <c r="C7159" s="142" t="s">
        <v>15860</v>
      </c>
      <c r="D7159" s="142" t="s">
        <v>15861</v>
      </c>
      <c r="E7159" s="142" t="s">
        <v>15849</v>
      </c>
      <c r="F7159" s="142" t="s">
        <v>2263</v>
      </c>
      <c r="G7159" s="142" t="s">
        <v>2262</v>
      </c>
      <c r="H7159" s="142" t="s">
        <v>23009</v>
      </c>
      <c r="I7159" s="142">
        <v>22</v>
      </c>
      <c r="J7159" s="142">
        <v>0</v>
      </c>
      <c r="K7159" s="142">
        <v>0</v>
      </c>
      <c r="L7159" s="142">
        <v>22</v>
      </c>
      <c r="M7159" s="142">
        <v>0</v>
      </c>
    </row>
    <row r="7160" spans="1:13" x14ac:dyDescent="0.45">
      <c r="A7160" s="142" t="s">
        <v>14171</v>
      </c>
      <c r="B7160" s="142" t="s">
        <v>15326</v>
      </c>
      <c r="C7160" s="142" t="s">
        <v>15860</v>
      </c>
      <c r="D7160" s="142" t="s">
        <v>15861</v>
      </c>
      <c r="E7160" s="142" t="s">
        <v>15849</v>
      </c>
      <c r="F7160" s="142" t="s">
        <v>2263</v>
      </c>
      <c r="G7160" s="142" t="s">
        <v>2262</v>
      </c>
      <c r="H7160" s="142" t="s">
        <v>23010</v>
      </c>
      <c r="I7160" s="142">
        <v>297</v>
      </c>
      <c r="J7160" s="142">
        <v>277</v>
      </c>
      <c r="K7160" s="142">
        <v>0</v>
      </c>
      <c r="L7160" s="142">
        <v>20</v>
      </c>
      <c r="M7160" s="142">
        <v>0</v>
      </c>
    </row>
    <row r="7161" spans="1:13" x14ac:dyDescent="0.45">
      <c r="A7161" s="142" t="s">
        <v>14172</v>
      </c>
      <c r="B7161" s="142" t="s">
        <v>14805</v>
      </c>
      <c r="C7161" s="142" t="s">
        <v>15860</v>
      </c>
      <c r="D7161" s="142" t="s">
        <v>15861</v>
      </c>
      <c r="E7161" s="142" t="s">
        <v>15849</v>
      </c>
      <c r="F7161" s="142" t="s">
        <v>2263</v>
      </c>
      <c r="G7161" s="142" t="s">
        <v>2262</v>
      </c>
      <c r="H7161" s="142" t="s">
        <v>23011</v>
      </c>
      <c r="I7161" s="142">
        <v>6</v>
      </c>
      <c r="J7161" s="142">
        <v>0</v>
      </c>
      <c r="K7161" s="142">
        <v>0</v>
      </c>
      <c r="L7161" s="142">
        <v>6</v>
      </c>
      <c r="M7161" s="142">
        <v>0</v>
      </c>
    </row>
    <row r="7162" spans="1:13" x14ac:dyDescent="0.45">
      <c r="A7162" s="142" t="s">
        <v>13012</v>
      </c>
      <c r="B7162" s="142" t="s">
        <v>15337</v>
      </c>
      <c r="C7162" s="142" t="s">
        <v>15847</v>
      </c>
      <c r="D7162" s="142" t="s">
        <v>15848</v>
      </c>
      <c r="E7162" s="142" t="s">
        <v>15849</v>
      </c>
      <c r="F7162" s="142" t="s">
        <v>2263</v>
      </c>
      <c r="G7162" s="142" t="s">
        <v>2262</v>
      </c>
      <c r="H7162" s="142" t="s">
        <v>23012</v>
      </c>
      <c r="I7162" s="142">
        <v>323</v>
      </c>
      <c r="J7162" s="142">
        <v>275</v>
      </c>
      <c r="K7162" s="142">
        <v>0</v>
      </c>
      <c r="L7162" s="142">
        <v>0</v>
      </c>
      <c r="M7162" s="142">
        <v>48</v>
      </c>
    </row>
    <row r="7163" spans="1:13" x14ac:dyDescent="0.45">
      <c r="A7163" s="142" t="s">
        <v>14173</v>
      </c>
      <c r="B7163" s="142" t="s">
        <v>15224</v>
      </c>
      <c r="C7163" s="142" t="s">
        <v>15860</v>
      </c>
      <c r="D7163" s="142" t="s">
        <v>15861</v>
      </c>
      <c r="E7163" s="142" t="s">
        <v>15849</v>
      </c>
      <c r="F7163" s="142" t="s">
        <v>2263</v>
      </c>
      <c r="G7163" s="142" t="s">
        <v>2262</v>
      </c>
      <c r="H7163" s="142" t="s">
        <v>23013</v>
      </c>
      <c r="I7163" s="142">
        <v>11</v>
      </c>
      <c r="J7163" s="142">
        <v>0</v>
      </c>
      <c r="K7163" s="142">
        <v>0</v>
      </c>
      <c r="L7163" s="142">
        <v>11</v>
      </c>
      <c r="M7163" s="142">
        <v>0</v>
      </c>
    </row>
    <row r="7164" spans="1:13" x14ac:dyDescent="0.45">
      <c r="A7164" s="142" t="s">
        <v>13966</v>
      </c>
      <c r="B7164" s="142" t="s">
        <v>15586</v>
      </c>
      <c r="C7164" s="142" t="s">
        <v>15847</v>
      </c>
      <c r="D7164" s="142" t="s">
        <v>15848</v>
      </c>
      <c r="E7164" s="142" t="s">
        <v>15849</v>
      </c>
      <c r="F7164" s="142" t="s">
        <v>2263</v>
      </c>
      <c r="G7164" s="142" t="s">
        <v>2262</v>
      </c>
      <c r="H7164" s="142" t="s">
        <v>23014</v>
      </c>
      <c r="I7164" s="142">
        <v>8</v>
      </c>
      <c r="J7164" s="142">
        <v>8</v>
      </c>
      <c r="K7164" s="142">
        <v>0</v>
      </c>
      <c r="L7164" s="142">
        <v>0</v>
      </c>
      <c r="M7164" s="142">
        <v>0</v>
      </c>
    </row>
    <row r="7165" spans="1:13" x14ac:dyDescent="0.45">
      <c r="A7165" s="142" t="s">
        <v>13451</v>
      </c>
      <c r="B7165" s="142" t="s">
        <v>15582</v>
      </c>
      <c r="C7165" s="142" t="s">
        <v>15847</v>
      </c>
      <c r="D7165" s="142" t="s">
        <v>15848</v>
      </c>
      <c r="E7165" s="142" t="s">
        <v>15849</v>
      </c>
      <c r="F7165" s="142" t="s">
        <v>2263</v>
      </c>
      <c r="G7165" s="142" t="s">
        <v>2262</v>
      </c>
      <c r="H7165" s="142" t="s">
        <v>23015</v>
      </c>
      <c r="I7165" s="142">
        <v>2094</v>
      </c>
      <c r="J7165" s="142">
        <v>1503</v>
      </c>
      <c r="K7165" s="142">
        <v>0</v>
      </c>
      <c r="L7165" s="142">
        <v>453</v>
      </c>
      <c r="M7165" s="142">
        <v>138</v>
      </c>
    </row>
    <row r="7166" spans="1:13" x14ac:dyDescent="0.45">
      <c r="A7166" s="142" t="s">
        <v>13264</v>
      </c>
      <c r="B7166" s="142" t="s">
        <v>15302</v>
      </c>
      <c r="C7166" s="142" t="s">
        <v>15847</v>
      </c>
      <c r="D7166" s="142" t="s">
        <v>15848</v>
      </c>
      <c r="E7166" s="142" t="s">
        <v>15849</v>
      </c>
      <c r="F7166" s="142" t="s">
        <v>2263</v>
      </c>
      <c r="G7166" s="142" t="s">
        <v>2262</v>
      </c>
      <c r="H7166" s="142" t="s">
        <v>23016</v>
      </c>
      <c r="I7166" s="142">
        <v>56</v>
      </c>
      <c r="J7166" s="142">
        <v>32</v>
      </c>
      <c r="K7166" s="142">
        <v>0</v>
      </c>
      <c r="L7166" s="142">
        <v>18</v>
      </c>
      <c r="M7166" s="142">
        <v>6</v>
      </c>
    </row>
    <row r="7167" spans="1:13" x14ac:dyDescent="0.45">
      <c r="A7167" s="142" t="s">
        <v>14174</v>
      </c>
      <c r="B7167" s="142" t="s">
        <v>14912</v>
      </c>
      <c r="C7167" s="142" t="s">
        <v>15860</v>
      </c>
      <c r="D7167" s="142" t="s">
        <v>15861</v>
      </c>
      <c r="E7167" s="142" t="s">
        <v>15849</v>
      </c>
      <c r="F7167" s="142" t="s">
        <v>2263</v>
      </c>
      <c r="G7167" s="142" t="s">
        <v>2262</v>
      </c>
      <c r="H7167" s="142" t="s">
        <v>23017</v>
      </c>
      <c r="I7167" s="142">
        <v>13</v>
      </c>
      <c r="J7167" s="142">
        <v>0</v>
      </c>
      <c r="K7167" s="142">
        <v>0</v>
      </c>
      <c r="L7167" s="142">
        <v>13</v>
      </c>
      <c r="M7167" s="142">
        <v>0</v>
      </c>
    </row>
    <row r="7168" spans="1:13" x14ac:dyDescent="0.45">
      <c r="A7168" s="142" t="s">
        <v>13267</v>
      </c>
      <c r="B7168" s="142" t="s">
        <v>15451</v>
      </c>
      <c r="C7168" s="142" t="s">
        <v>15847</v>
      </c>
      <c r="D7168" s="142" t="s">
        <v>15848</v>
      </c>
      <c r="E7168" s="142" t="s">
        <v>15849</v>
      </c>
      <c r="F7168" s="142" t="s">
        <v>2263</v>
      </c>
      <c r="G7168" s="142" t="s">
        <v>2262</v>
      </c>
      <c r="H7168" s="142" t="s">
        <v>23018</v>
      </c>
      <c r="I7168" s="142">
        <v>15</v>
      </c>
      <c r="J7168" s="142">
        <v>0</v>
      </c>
      <c r="K7168" s="142">
        <v>0</v>
      </c>
      <c r="L7168" s="142">
        <v>0</v>
      </c>
      <c r="M7168" s="142">
        <v>15</v>
      </c>
    </row>
    <row r="7169" spans="1:13" x14ac:dyDescent="0.45">
      <c r="A7169" s="142" t="s">
        <v>13308</v>
      </c>
      <c r="B7169" s="142" t="s">
        <v>15608</v>
      </c>
      <c r="C7169" s="142" t="s">
        <v>15847</v>
      </c>
      <c r="D7169" s="142" t="s">
        <v>15848</v>
      </c>
      <c r="E7169" s="142" t="s">
        <v>15849</v>
      </c>
      <c r="F7169" s="142" t="s">
        <v>1803</v>
      </c>
      <c r="G7169" s="142" t="s">
        <v>1802</v>
      </c>
      <c r="H7169" s="142" t="s">
        <v>23019</v>
      </c>
      <c r="I7169" s="142">
        <v>104</v>
      </c>
      <c r="J7169" s="142">
        <v>0</v>
      </c>
      <c r="K7169" s="142">
        <v>0</v>
      </c>
      <c r="L7169" s="142">
        <v>0</v>
      </c>
      <c r="M7169" s="142">
        <v>104</v>
      </c>
    </row>
    <row r="7170" spans="1:13" x14ac:dyDescent="0.45">
      <c r="A7170" s="142" t="s">
        <v>13166</v>
      </c>
      <c r="B7170" s="142" t="s">
        <v>15576</v>
      </c>
      <c r="C7170" s="142" t="s">
        <v>15847</v>
      </c>
      <c r="D7170" s="142" t="s">
        <v>15848</v>
      </c>
      <c r="E7170" s="142" t="s">
        <v>15849</v>
      </c>
      <c r="F7170" s="142" t="s">
        <v>1803</v>
      </c>
      <c r="G7170" s="142" t="s">
        <v>1802</v>
      </c>
      <c r="H7170" s="142" t="s">
        <v>23020</v>
      </c>
      <c r="I7170" s="142">
        <v>679</v>
      </c>
      <c r="J7170" s="142">
        <v>646</v>
      </c>
      <c r="K7170" s="142">
        <v>0</v>
      </c>
      <c r="L7170" s="142">
        <v>0</v>
      </c>
      <c r="M7170" s="142">
        <v>33</v>
      </c>
    </row>
    <row r="7171" spans="1:13" x14ac:dyDescent="0.45">
      <c r="A7171" s="142" t="s">
        <v>13046</v>
      </c>
      <c r="B7171" s="142" t="s">
        <v>15537</v>
      </c>
      <c r="C7171" s="142" t="s">
        <v>15860</v>
      </c>
      <c r="D7171" s="142" t="s">
        <v>15861</v>
      </c>
      <c r="E7171" s="142" t="s">
        <v>15849</v>
      </c>
      <c r="F7171" s="142" t="s">
        <v>1803</v>
      </c>
      <c r="G7171" s="142" t="s">
        <v>1802</v>
      </c>
      <c r="H7171" s="142" t="s">
        <v>23021</v>
      </c>
      <c r="I7171" s="142">
        <v>37</v>
      </c>
      <c r="J7171" s="142">
        <v>0</v>
      </c>
      <c r="K7171" s="142">
        <v>0</v>
      </c>
      <c r="L7171" s="142">
        <v>37</v>
      </c>
      <c r="M7171" s="142">
        <v>0</v>
      </c>
    </row>
    <row r="7172" spans="1:13" x14ac:dyDescent="0.45">
      <c r="A7172" s="142" t="s">
        <v>13167</v>
      </c>
      <c r="B7172" s="142" t="s">
        <v>15418</v>
      </c>
      <c r="C7172" s="142" t="s">
        <v>15847</v>
      </c>
      <c r="D7172" s="142" t="s">
        <v>15848</v>
      </c>
      <c r="E7172" s="142" t="s">
        <v>15849</v>
      </c>
      <c r="F7172" s="142" t="s">
        <v>1803</v>
      </c>
      <c r="G7172" s="142" t="s">
        <v>1802</v>
      </c>
      <c r="H7172" s="142" t="s">
        <v>23022</v>
      </c>
      <c r="I7172" s="142">
        <v>438</v>
      </c>
      <c r="J7172" s="142">
        <v>383</v>
      </c>
      <c r="K7172" s="142">
        <v>0</v>
      </c>
      <c r="L7172" s="142">
        <v>3</v>
      </c>
      <c r="M7172" s="142">
        <v>52</v>
      </c>
    </row>
    <row r="7173" spans="1:13" x14ac:dyDescent="0.45">
      <c r="A7173" s="142" t="s">
        <v>13021</v>
      </c>
      <c r="B7173" s="142" t="s">
        <v>15501</v>
      </c>
      <c r="C7173" s="142" t="s">
        <v>15847</v>
      </c>
      <c r="D7173" s="142" t="s">
        <v>15848</v>
      </c>
      <c r="E7173" s="142" t="s">
        <v>15849</v>
      </c>
      <c r="F7173" s="142" t="s">
        <v>1803</v>
      </c>
      <c r="G7173" s="142" t="s">
        <v>1802</v>
      </c>
      <c r="H7173" s="142" t="s">
        <v>23023</v>
      </c>
      <c r="I7173" s="142">
        <v>12</v>
      </c>
      <c r="J7173" s="142">
        <v>0</v>
      </c>
      <c r="K7173" s="142">
        <v>0</v>
      </c>
      <c r="L7173" s="142">
        <v>12</v>
      </c>
      <c r="M7173" s="142">
        <v>0</v>
      </c>
    </row>
    <row r="7174" spans="1:13" x14ac:dyDescent="0.45">
      <c r="A7174" s="142" t="s">
        <v>13023</v>
      </c>
      <c r="B7174" s="142" t="s">
        <v>15571</v>
      </c>
      <c r="C7174" s="142" t="s">
        <v>15847</v>
      </c>
      <c r="D7174" s="142" t="s">
        <v>15848</v>
      </c>
      <c r="E7174" s="142" t="s">
        <v>15849</v>
      </c>
      <c r="F7174" s="142" t="s">
        <v>1803</v>
      </c>
      <c r="G7174" s="142" t="s">
        <v>1802</v>
      </c>
      <c r="H7174" s="142" t="s">
        <v>23024</v>
      </c>
      <c r="I7174" s="142">
        <v>281</v>
      </c>
      <c r="J7174" s="142">
        <v>0</v>
      </c>
      <c r="K7174" s="142">
        <v>0</v>
      </c>
      <c r="L7174" s="142">
        <v>232</v>
      </c>
      <c r="M7174" s="142">
        <v>49</v>
      </c>
    </row>
    <row r="7175" spans="1:13" x14ac:dyDescent="0.45">
      <c r="A7175" s="142" t="s">
        <v>13082</v>
      </c>
      <c r="B7175" s="142" t="s">
        <v>14478</v>
      </c>
      <c r="C7175" s="142" t="s">
        <v>15860</v>
      </c>
      <c r="D7175" s="142" t="s">
        <v>15861</v>
      </c>
      <c r="E7175" s="142" t="s">
        <v>15849</v>
      </c>
      <c r="F7175" s="142" t="s">
        <v>1803</v>
      </c>
      <c r="G7175" s="142" t="s">
        <v>1802</v>
      </c>
      <c r="H7175" s="142" t="s">
        <v>23025</v>
      </c>
      <c r="I7175" s="142">
        <v>7</v>
      </c>
      <c r="J7175" s="142">
        <v>0</v>
      </c>
      <c r="K7175" s="142">
        <v>0</v>
      </c>
      <c r="L7175" s="142">
        <v>7</v>
      </c>
      <c r="M7175" s="142">
        <v>0</v>
      </c>
    </row>
    <row r="7176" spans="1:13" x14ac:dyDescent="0.45">
      <c r="A7176" s="142" t="s">
        <v>13065</v>
      </c>
      <c r="B7176" s="142" t="s">
        <v>14497</v>
      </c>
      <c r="C7176" s="142" t="s">
        <v>15847</v>
      </c>
      <c r="D7176" s="142" t="s">
        <v>15848</v>
      </c>
      <c r="E7176" s="142" t="s">
        <v>15849</v>
      </c>
      <c r="F7176" s="142" t="s">
        <v>1803</v>
      </c>
      <c r="G7176" s="142" t="s">
        <v>1802</v>
      </c>
      <c r="H7176" s="142" t="s">
        <v>23026</v>
      </c>
      <c r="I7176" s="142">
        <v>17</v>
      </c>
      <c r="J7176" s="142">
        <v>0</v>
      </c>
      <c r="K7176" s="142">
        <v>0</v>
      </c>
      <c r="L7176" s="142">
        <v>17</v>
      </c>
      <c r="M7176" s="142">
        <v>0</v>
      </c>
    </row>
    <row r="7177" spans="1:13" x14ac:dyDescent="0.45">
      <c r="A7177" s="142" t="s">
        <v>13632</v>
      </c>
      <c r="B7177" s="142" t="s">
        <v>15080</v>
      </c>
      <c r="C7177" s="142" t="s">
        <v>15860</v>
      </c>
      <c r="D7177" s="142" t="s">
        <v>15861</v>
      </c>
      <c r="E7177" s="142" t="s">
        <v>15849</v>
      </c>
      <c r="F7177" s="142" t="s">
        <v>1803</v>
      </c>
      <c r="G7177" s="142" t="s">
        <v>1802</v>
      </c>
      <c r="H7177" s="142" t="s">
        <v>23027</v>
      </c>
      <c r="I7177" s="142">
        <v>38</v>
      </c>
      <c r="J7177" s="142">
        <v>38</v>
      </c>
      <c r="K7177" s="142">
        <v>0</v>
      </c>
      <c r="L7177" s="142">
        <v>0</v>
      </c>
      <c r="M7177" s="142">
        <v>0</v>
      </c>
    </row>
    <row r="7178" spans="1:13" x14ac:dyDescent="0.45">
      <c r="A7178" s="142" t="s">
        <v>13397</v>
      </c>
      <c r="B7178" s="142" t="s">
        <v>15465</v>
      </c>
      <c r="C7178" s="142" t="s">
        <v>15847</v>
      </c>
      <c r="D7178" s="142" t="s">
        <v>15848</v>
      </c>
      <c r="E7178" s="142" t="s">
        <v>15849</v>
      </c>
      <c r="F7178" s="142" t="s">
        <v>1803</v>
      </c>
      <c r="G7178" s="142" t="s">
        <v>1802</v>
      </c>
      <c r="H7178" s="142" t="s">
        <v>23028</v>
      </c>
      <c r="I7178" s="142">
        <v>106</v>
      </c>
      <c r="J7178" s="142">
        <v>106</v>
      </c>
      <c r="K7178" s="142">
        <v>0</v>
      </c>
      <c r="L7178" s="142">
        <v>0</v>
      </c>
      <c r="M7178" s="142">
        <v>0</v>
      </c>
    </row>
    <row r="7179" spans="1:13" x14ac:dyDescent="0.45">
      <c r="A7179" s="142" t="s">
        <v>13027</v>
      </c>
      <c r="B7179" s="142" t="s">
        <v>14562</v>
      </c>
      <c r="C7179" s="142" t="s">
        <v>15847</v>
      </c>
      <c r="D7179" s="142" t="s">
        <v>15848</v>
      </c>
      <c r="E7179" s="142" t="s">
        <v>15849</v>
      </c>
      <c r="F7179" s="142" t="s">
        <v>1803</v>
      </c>
      <c r="G7179" s="142" t="s">
        <v>1802</v>
      </c>
      <c r="H7179" s="142" t="s">
        <v>23029</v>
      </c>
      <c r="I7179" s="142">
        <v>4</v>
      </c>
      <c r="J7179" s="142">
        <v>0</v>
      </c>
      <c r="K7179" s="142">
        <v>0</v>
      </c>
      <c r="L7179" s="142">
        <v>4</v>
      </c>
      <c r="M7179" s="142">
        <v>0</v>
      </c>
    </row>
    <row r="7180" spans="1:13" x14ac:dyDescent="0.45">
      <c r="A7180" s="142" t="s">
        <v>13001</v>
      </c>
      <c r="B7180" s="142" t="s">
        <v>15506</v>
      </c>
      <c r="C7180" s="142" t="s">
        <v>15847</v>
      </c>
      <c r="D7180" s="142" t="s">
        <v>15848</v>
      </c>
      <c r="E7180" s="142" t="s">
        <v>15849</v>
      </c>
      <c r="F7180" s="142" t="s">
        <v>1803</v>
      </c>
      <c r="G7180" s="142" t="s">
        <v>1802</v>
      </c>
      <c r="H7180" s="142" t="s">
        <v>23030</v>
      </c>
      <c r="I7180" s="142">
        <v>2</v>
      </c>
      <c r="J7180" s="142">
        <v>2</v>
      </c>
      <c r="K7180" s="142">
        <v>0</v>
      </c>
      <c r="L7180" s="142">
        <v>0</v>
      </c>
      <c r="M7180" s="142">
        <v>0</v>
      </c>
    </row>
    <row r="7181" spans="1:13" x14ac:dyDescent="0.45">
      <c r="A7181" s="142" t="s">
        <v>13050</v>
      </c>
      <c r="B7181" s="142" t="s">
        <v>15237</v>
      </c>
      <c r="C7181" s="142" t="s">
        <v>15847</v>
      </c>
      <c r="D7181" s="142" t="s">
        <v>15848</v>
      </c>
      <c r="E7181" s="142" t="s">
        <v>15849</v>
      </c>
      <c r="F7181" s="142" t="s">
        <v>1803</v>
      </c>
      <c r="G7181" s="142" t="s">
        <v>1802</v>
      </c>
      <c r="H7181" s="142" t="s">
        <v>23031</v>
      </c>
      <c r="I7181" s="142">
        <v>1</v>
      </c>
      <c r="J7181" s="142">
        <v>1</v>
      </c>
      <c r="K7181" s="142">
        <v>0</v>
      </c>
      <c r="L7181" s="142">
        <v>0</v>
      </c>
      <c r="M7181" s="142">
        <v>0</v>
      </c>
    </row>
    <row r="7182" spans="1:13" x14ac:dyDescent="0.45">
      <c r="A7182" s="142" t="s">
        <v>13002</v>
      </c>
      <c r="B7182" s="142" t="s">
        <v>15376</v>
      </c>
      <c r="C7182" s="142" t="s">
        <v>15847</v>
      </c>
      <c r="D7182" s="142" t="s">
        <v>15848</v>
      </c>
      <c r="E7182" s="142" t="s">
        <v>15849</v>
      </c>
      <c r="F7182" s="142" t="s">
        <v>1803</v>
      </c>
      <c r="G7182" s="142" t="s">
        <v>1802</v>
      </c>
      <c r="H7182" s="142" t="s">
        <v>23032</v>
      </c>
      <c r="I7182" s="142">
        <v>318</v>
      </c>
      <c r="J7182" s="142">
        <v>263</v>
      </c>
      <c r="K7182" s="142">
        <v>0</v>
      </c>
      <c r="L7182" s="142">
        <v>6</v>
      </c>
      <c r="M7182" s="142">
        <v>49</v>
      </c>
    </row>
    <row r="7183" spans="1:13" x14ac:dyDescent="0.45">
      <c r="A7183" s="142" t="s">
        <v>13169</v>
      </c>
      <c r="B7183" s="142" t="s">
        <v>15408</v>
      </c>
      <c r="C7183" s="142" t="s">
        <v>15847</v>
      </c>
      <c r="D7183" s="142" t="s">
        <v>15848</v>
      </c>
      <c r="E7183" s="142" t="s">
        <v>15849</v>
      </c>
      <c r="F7183" s="142" t="s">
        <v>1803</v>
      </c>
      <c r="G7183" s="142" t="s">
        <v>1802</v>
      </c>
      <c r="H7183" s="142" t="s">
        <v>23033</v>
      </c>
      <c r="I7183" s="142">
        <v>309</v>
      </c>
      <c r="J7183" s="142">
        <v>246</v>
      </c>
      <c r="K7183" s="142">
        <v>24</v>
      </c>
      <c r="L7183" s="142">
        <v>11</v>
      </c>
      <c r="M7183" s="142">
        <v>28</v>
      </c>
    </row>
    <row r="7184" spans="1:13" x14ac:dyDescent="0.45">
      <c r="A7184" s="142" t="s">
        <v>13127</v>
      </c>
      <c r="B7184" s="142" t="s">
        <v>15549</v>
      </c>
      <c r="C7184" s="142" t="s">
        <v>15847</v>
      </c>
      <c r="D7184" s="142" t="s">
        <v>15848</v>
      </c>
      <c r="E7184" s="142" t="s">
        <v>15849</v>
      </c>
      <c r="F7184" s="142" t="s">
        <v>1803</v>
      </c>
      <c r="G7184" s="142" t="s">
        <v>1802</v>
      </c>
      <c r="H7184" s="142" t="s">
        <v>23034</v>
      </c>
      <c r="I7184" s="142">
        <v>82</v>
      </c>
      <c r="J7184" s="142">
        <v>73</v>
      </c>
      <c r="K7184" s="142">
        <v>0</v>
      </c>
      <c r="L7184" s="142">
        <v>0</v>
      </c>
      <c r="M7184" s="142">
        <v>9</v>
      </c>
    </row>
    <row r="7185" spans="1:13" x14ac:dyDescent="0.45">
      <c r="A7185" s="142" t="s">
        <v>13051</v>
      </c>
      <c r="B7185" s="142" t="s">
        <v>14509</v>
      </c>
      <c r="C7185" s="142" t="s">
        <v>15860</v>
      </c>
      <c r="D7185" s="142" t="s">
        <v>15861</v>
      </c>
      <c r="E7185" s="142" t="s">
        <v>15849</v>
      </c>
      <c r="F7185" s="142" t="s">
        <v>1803</v>
      </c>
      <c r="G7185" s="142" t="s">
        <v>1802</v>
      </c>
      <c r="H7185" s="142" t="s">
        <v>23035</v>
      </c>
      <c r="I7185" s="142">
        <v>5</v>
      </c>
      <c r="J7185" s="142">
        <v>0</v>
      </c>
      <c r="K7185" s="142">
        <v>0</v>
      </c>
      <c r="L7185" s="142">
        <v>5</v>
      </c>
      <c r="M7185" s="142">
        <v>0</v>
      </c>
    </row>
    <row r="7186" spans="1:13" x14ac:dyDescent="0.45">
      <c r="A7186" s="142" t="s">
        <v>13005</v>
      </c>
      <c r="B7186" s="142" t="s">
        <v>15475</v>
      </c>
      <c r="C7186" s="142" t="s">
        <v>15847</v>
      </c>
      <c r="D7186" s="142" t="s">
        <v>15848</v>
      </c>
      <c r="E7186" s="142" t="s">
        <v>15849</v>
      </c>
      <c r="F7186" s="142" t="s">
        <v>1803</v>
      </c>
      <c r="G7186" s="142" t="s">
        <v>1802</v>
      </c>
      <c r="H7186" s="142" t="s">
        <v>23036</v>
      </c>
      <c r="I7186" s="142">
        <v>599</v>
      </c>
      <c r="J7186" s="142">
        <v>523</v>
      </c>
      <c r="K7186" s="142">
        <v>0</v>
      </c>
      <c r="L7186" s="142">
        <v>64</v>
      </c>
      <c r="M7186" s="142">
        <v>12</v>
      </c>
    </row>
    <row r="7187" spans="1:13" x14ac:dyDescent="0.45">
      <c r="A7187" s="142" t="s">
        <v>13101</v>
      </c>
      <c r="B7187" s="142" t="s">
        <v>15491</v>
      </c>
      <c r="C7187" s="142" t="s">
        <v>15847</v>
      </c>
      <c r="D7187" s="142" t="s">
        <v>15848</v>
      </c>
      <c r="E7187" s="142" t="s">
        <v>15849</v>
      </c>
      <c r="F7187" s="142" t="s">
        <v>1803</v>
      </c>
      <c r="G7187" s="142" t="s">
        <v>1802</v>
      </c>
      <c r="H7187" s="142" t="s">
        <v>23037</v>
      </c>
      <c r="I7187" s="142">
        <v>48</v>
      </c>
      <c r="J7187" s="142">
        <v>0</v>
      </c>
      <c r="K7187" s="142">
        <v>0</v>
      </c>
      <c r="L7187" s="142">
        <v>48</v>
      </c>
      <c r="M7187" s="142">
        <v>0</v>
      </c>
    </row>
    <row r="7188" spans="1:13" x14ac:dyDescent="0.45">
      <c r="A7188" s="142" t="s">
        <v>13006</v>
      </c>
      <c r="B7188" s="142" t="s">
        <v>15288</v>
      </c>
      <c r="C7188" s="142" t="s">
        <v>15847</v>
      </c>
      <c r="D7188" s="142" t="s">
        <v>15848</v>
      </c>
      <c r="E7188" s="142" t="s">
        <v>15849</v>
      </c>
      <c r="F7188" s="142" t="s">
        <v>1803</v>
      </c>
      <c r="G7188" s="142" t="s">
        <v>1802</v>
      </c>
      <c r="H7188" s="142" t="s">
        <v>23038</v>
      </c>
      <c r="I7188" s="142">
        <v>481</v>
      </c>
      <c r="J7188" s="142">
        <v>425</v>
      </c>
      <c r="K7188" s="142">
        <v>0</v>
      </c>
      <c r="L7188" s="142">
        <v>0</v>
      </c>
      <c r="M7188" s="142">
        <v>56</v>
      </c>
    </row>
    <row r="7189" spans="1:13" x14ac:dyDescent="0.45">
      <c r="A7189" s="142" t="s">
        <v>14176</v>
      </c>
      <c r="B7189" s="142" t="s">
        <v>14997</v>
      </c>
      <c r="C7189" s="142" t="s">
        <v>15860</v>
      </c>
      <c r="D7189" s="142" t="s">
        <v>15861</v>
      </c>
      <c r="E7189" s="142" t="s">
        <v>15849</v>
      </c>
      <c r="F7189" s="142" t="s">
        <v>1803</v>
      </c>
      <c r="G7189" s="142" t="s">
        <v>1802</v>
      </c>
      <c r="H7189" s="142" t="s">
        <v>23039</v>
      </c>
      <c r="I7189" s="142">
        <v>99</v>
      </c>
      <c r="J7189" s="142">
        <v>99</v>
      </c>
      <c r="K7189" s="142">
        <v>0</v>
      </c>
      <c r="L7189" s="142">
        <v>0</v>
      </c>
      <c r="M7189" s="142">
        <v>0</v>
      </c>
    </row>
    <row r="7190" spans="1:13" x14ac:dyDescent="0.45">
      <c r="A7190" s="142" t="s">
        <v>13054</v>
      </c>
      <c r="B7190" s="142" t="s">
        <v>15604</v>
      </c>
      <c r="C7190" s="142" t="s">
        <v>15847</v>
      </c>
      <c r="D7190" s="142" t="s">
        <v>15848</v>
      </c>
      <c r="E7190" s="142" t="s">
        <v>15849</v>
      </c>
      <c r="F7190" s="142" t="s">
        <v>1803</v>
      </c>
      <c r="G7190" s="142" t="s">
        <v>1802</v>
      </c>
      <c r="H7190" s="142" t="s">
        <v>23040</v>
      </c>
      <c r="I7190" s="142">
        <v>11</v>
      </c>
      <c r="J7190" s="142">
        <v>0</v>
      </c>
      <c r="K7190" s="142">
        <v>0</v>
      </c>
      <c r="L7190" s="142">
        <v>0</v>
      </c>
      <c r="M7190" s="142">
        <v>11</v>
      </c>
    </row>
    <row r="7191" spans="1:13" x14ac:dyDescent="0.45">
      <c r="A7191" s="142" t="s">
        <v>13135</v>
      </c>
      <c r="B7191" s="142" t="s">
        <v>15575</v>
      </c>
      <c r="C7191" s="142" t="s">
        <v>15847</v>
      </c>
      <c r="D7191" s="142" t="s">
        <v>15848</v>
      </c>
      <c r="E7191" s="142" t="s">
        <v>15849</v>
      </c>
      <c r="F7191" s="142" t="s">
        <v>1803</v>
      </c>
      <c r="G7191" s="142" t="s">
        <v>1802</v>
      </c>
      <c r="H7191" s="142" t="s">
        <v>23041</v>
      </c>
      <c r="I7191" s="142">
        <v>504</v>
      </c>
      <c r="J7191" s="142">
        <v>480</v>
      </c>
      <c r="K7191" s="142">
        <v>0</v>
      </c>
      <c r="L7191" s="142">
        <v>0</v>
      </c>
      <c r="M7191" s="142">
        <v>24</v>
      </c>
    </row>
    <row r="7192" spans="1:13" x14ac:dyDescent="0.45">
      <c r="A7192" s="142" t="s">
        <v>13055</v>
      </c>
      <c r="B7192" s="142" t="s">
        <v>14595</v>
      </c>
      <c r="C7192" s="142" t="s">
        <v>15847</v>
      </c>
      <c r="D7192" s="142" t="s">
        <v>15848</v>
      </c>
      <c r="E7192" s="142" t="s">
        <v>15849</v>
      </c>
      <c r="F7192" s="142" t="s">
        <v>1803</v>
      </c>
      <c r="G7192" s="142" t="s">
        <v>1802</v>
      </c>
      <c r="H7192" s="142" t="s">
        <v>23042</v>
      </c>
      <c r="I7192" s="142">
        <v>102</v>
      </c>
      <c r="J7192" s="142">
        <v>102</v>
      </c>
      <c r="K7192" s="142">
        <v>0</v>
      </c>
      <c r="L7192" s="142">
        <v>0</v>
      </c>
      <c r="M7192" s="142">
        <v>0</v>
      </c>
    </row>
    <row r="7193" spans="1:13" x14ac:dyDescent="0.45">
      <c r="A7193" s="142" t="s">
        <v>13104</v>
      </c>
      <c r="B7193" s="142" t="s">
        <v>14622</v>
      </c>
      <c r="C7193" s="142" t="s">
        <v>15847</v>
      </c>
      <c r="D7193" s="142" t="s">
        <v>15848</v>
      </c>
      <c r="E7193" s="142" t="s">
        <v>15849</v>
      </c>
      <c r="F7193" s="142" t="s">
        <v>1803</v>
      </c>
      <c r="G7193" s="142" t="s">
        <v>1802</v>
      </c>
      <c r="H7193" s="142" t="s">
        <v>23043</v>
      </c>
      <c r="I7193" s="142">
        <v>386</v>
      </c>
      <c r="J7193" s="142">
        <v>318</v>
      </c>
      <c r="K7193" s="142">
        <v>0</v>
      </c>
      <c r="L7193" s="142">
        <v>0</v>
      </c>
      <c r="M7193" s="142">
        <v>68</v>
      </c>
    </row>
    <row r="7194" spans="1:13" x14ac:dyDescent="0.45">
      <c r="A7194" s="142" t="s">
        <v>13831</v>
      </c>
      <c r="B7194" s="142" t="s">
        <v>14485</v>
      </c>
      <c r="C7194" s="142" t="s">
        <v>15860</v>
      </c>
      <c r="D7194" s="142" t="s">
        <v>15861</v>
      </c>
      <c r="E7194" s="142" t="s">
        <v>15849</v>
      </c>
      <c r="F7194" s="142" t="s">
        <v>1803</v>
      </c>
      <c r="G7194" s="142" t="s">
        <v>1802</v>
      </c>
      <c r="H7194" s="142" t="s">
        <v>23044</v>
      </c>
      <c r="I7194" s="142">
        <v>32</v>
      </c>
      <c r="J7194" s="142">
        <v>32</v>
      </c>
      <c r="K7194" s="142">
        <v>0</v>
      </c>
      <c r="L7194" s="142">
        <v>0</v>
      </c>
      <c r="M7194" s="142">
        <v>0</v>
      </c>
    </row>
    <row r="7195" spans="1:13" x14ac:dyDescent="0.45">
      <c r="A7195" s="142" t="s">
        <v>13033</v>
      </c>
      <c r="B7195" s="142" t="s">
        <v>15276</v>
      </c>
      <c r="C7195" s="142" t="s">
        <v>15847</v>
      </c>
      <c r="D7195" s="142" t="s">
        <v>15848</v>
      </c>
      <c r="E7195" s="142" t="s">
        <v>15849</v>
      </c>
      <c r="F7195" s="142" t="s">
        <v>1803</v>
      </c>
      <c r="G7195" s="142" t="s">
        <v>1802</v>
      </c>
      <c r="H7195" s="142" t="s">
        <v>23045</v>
      </c>
      <c r="I7195" s="142">
        <v>15</v>
      </c>
      <c r="J7195" s="142">
        <v>1</v>
      </c>
      <c r="K7195" s="142">
        <v>0</v>
      </c>
      <c r="L7195" s="142">
        <v>0</v>
      </c>
      <c r="M7195" s="142">
        <v>14</v>
      </c>
    </row>
    <row r="7196" spans="1:13" x14ac:dyDescent="0.45">
      <c r="A7196" s="142" t="s">
        <v>13037</v>
      </c>
      <c r="B7196" s="142" t="s">
        <v>14519</v>
      </c>
      <c r="C7196" s="142" t="s">
        <v>15847</v>
      </c>
      <c r="D7196" s="142" t="s">
        <v>15848</v>
      </c>
      <c r="E7196" s="142" t="s">
        <v>15849</v>
      </c>
      <c r="F7196" s="142" t="s">
        <v>1803</v>
      </c>
      <c r="G7196" s="142" t="s">
        <v>1802</v>
      </c>
      <c r="H7196" s="142" t="s">
        <v>23046</v>
      </c>
      <c r="I7196" s="142">
        <v>6</v>
      </c>
      <c r="J7196" s="142">
        <v>0</v>
      </c>
      <c r="K7196" s="142">
        <v>0</v>
      </c>
      <c r="L7196" s="142">
        <v>6</v>
      </c>
      <c r="M7196" s="142">
        <v>0</v>
      </c>
    </row>
    <row r="7197" spans="1:13" x14ac:dyDescent="0.45">
      <c r="A7197" s="142" t="s">
        <v>13009</v>
      </c>
      <c r="B7197" s="142" t="s">
        <v>15256</v>
      </c>
      <c r="C7197" s="142" t="s">
        <v>15847</v>
      </c>
      <c r="D7197" s="142" t="s">
        <v>15848</v>
      </c>
      <c r="E7197" s="142" t="s">
        <v>15849</v>
      </c>
      <c r="F7197" s="142" t="s">
        <v>1803</v>
      </c>
      <c r="G7197" s="142" t="s">
        <v>1802</v>
      </c>
      <c r="H7197" s="142" t="s">
        <v>23047</v>
      </c>
      <c r="I7197" s="142">
        <v>12</v>
      </c>
      <c r="J7197" s="142">
        <v>12</v>
      </c>
      <c r="K7197" s="142">
        <v>0</v>
      </c>
      <c r="L7197" s="142">
        <v>0</v>
      </c>
      <c r="M7197" s="142">
        <v>0</v>
      </c>
    </row>
    <row r="7198" spans="1:13" x14ac:dyDescent="0.45">
      <c r="A7198" s="142" t="s">
        <v>13058</v>
      </c>
      <c r="B7198" s="142" t="s">
        <v>14584</v>
      </c>
      <c r="C7198" s="142" t="s">
        <v>15847</v>
      </c>
      <c r="D7198" s="142" t="s">
        <v>15848</v>
      </c>
      <c r="E7198" s="142" t="s">
        <v>15849</v>
      </c>
      <c r="F7198" s="142" t="s">
        <v>1803</v>
      </c>
      <c r="G7198" s="142" t="s">
        <v>1802</v>
      </c>
      <c r="H7198" s="142" t="s">
        <v>23048</v>
      </c>
      <c r="I7198" s="142">
        <v>195</v>
      </c>
      <c r="J7198" s="142">
        <v>134</v>
      </c>
      <c r="K7198" s="142">
        <v>0</v>
      </c>
      <c r="L7198" s="142">
        <v>0</v>
      </c>
      <c r="M7198" s="142">
        <v>61</v>
      </c>
    </row>
    <row r="7199" spans="1:13" x14ac:dyDescent="0.45">
      <c r="A7199" s="142" t="s">
        <v>13174</v>
      </c>
      <c r="B7199" s="142" t="s">
        <v>15280</v>
      </c>
      <c r="C7199" s="142" t="s">
        <v>15847</v>
      </c>
      <c r="D7199" s="142" t="s">
        <v>15848</v>
      </c>
      <c r="E7199" s="142" t="s">
        <v>15849</v>
      </c>
      <c r="F7199" s="142" t="s">
        <v>1803</v>
      </c>
      <c r="G7199" s="142" t="s">
        <v>1802</v>
      </c>
      <c r="H7199" s="142" t="s">
        <v>23049</v>
      </c>
      <c r="I7199" s="142">
        <v>1</v>
      </c>
      <c r="J7199" s="142">
        <v>1</v>
      </c>
      <c r="K7199" s="142">
        <v>0</v>
      </c>
      <c r="L7199" s="142">
        <v>0</v>
      </c>
      <c r="M7199" s="142">
        <v>0</v>
      </c>
    </row>
    <row r="7200" spans="1:13" x14ac:dyDescent="0.45">
      <c r="A7200" s="142" t="s">
        <v>13016</v>
      </c>
      <c r="B7200" s="142" t="s">
        <v>14535</v>
      </c>
      <c r="C7200" s="142" t="s">
        <v>15860</v>
      </c>
      <c r="D7200" s="142" t="s">
        <v>15861</v>
      </c>
      <c r="E7200" s="142" t="s">
        <v>15849</v>
      </c>
      <c r="F7200" s="142" t="s">
        <v>1803</v>
      </c>
      <c r="G7200" s="142" t="s">
        <v>1802</v>
      </c>
      <c r="H7200" s="142" t="s">
        <v>23050</v>
      </c>
      <c r="I7200" s="142">
        <v>14</v>
      </c>
      <c r="J7200" s="142">
        <v>0</v>
      </c>
      <c r="K7200" s="142">
        <v>0</v>
      </c>
      <c r="L7200" s="142">
        <v>14</v>
      </c>
      <c r="M7200" s="142">
        <v>0</v>
      </c>
    </row>
    <row r="7201" spans="1:13" x14ac:dyDescent="0.45">
      <c r="A7201" s="142" t="s">
        <v>13144</v>
      </c>
      <c r="B7201" s="142" t="s">
        <v>14464</v>
      </c>
      <c r="C7201" s="142" t="s">
        <v>15860</v>
      </c>
      <c r="D7201" s="142" t="s">
        <v>15861</v>
      </c>
      <c r="E7201" s="142" t="s">
        <v>15849</v>
      </c>
      <c r="F7201" s="142" t="s">
        <v>1803</v>
      </c>
      <c r="G7201" s="142" t="s">
        <v>1802</v>
      </c>
      <c r="H7201" s="142" t="s">
        <v>23051</v>
      </c>
      <c r="I7201" s="142">
        <v>5</v>
      </c>
      <c r="J7201" s="142">
        <v>0</v>
      </c>
      <c r="K7201" s="142">
        <v>0</v>
      </c>
      <c r="L7201" s="142">
        <v>5</v>
      </c>
      <c r="M7201" s="142">
        <v>0</v>
      </c>
    </row>
    <row r="7202" spans="1:13" x14ac:dyDescent="0.45">
      <c r="A7202" s="142" t="s">
        <v>13640</v>
      </c>
      <c r="B7202" s="142" t="s">
        <v>15570</v>
      </c>
      <c r="C7202" s="142" t="s">
        <v>15847</v>
      </c>
      <c r="D7202" s="142" t="s">
        <v>15848</v>
      </c>
      <c r="E7202" s="142" t="s">
        <v>15849</v>
      </c>
      <c r="F7202" s="142" t="s">
        <v>1803</v>
      </c>
      <c r="G7202" s="142" t="s">
        <v>1802</v>
      </c>
      <c r="H7202" s="142" t="s">
        <v>23052</v>
      </c>
      <c r="I7202" s="142">
        <v>61</v>
      </c>
      <c r="J7202" s="142">
        <v>0</v>
      </c>
      <c r="K7202" s="142">
        <v>0</v>
      </c>
      <c r="L7202" s="142">
        <v>61</v>
      </c>
      <c r="M7202" s="142">
        <v>0</v>
      </c>
    </row>
    <row r="7203" spans="1:13" x14ac:dyDescent="0.45">
      <c r="A7203" s="142" t="s">
        <v>13021</v>
      </c>
      <c r="B7203" s="142" t="s">
        <v>15501</v>
      </c>
      <c r="C7203" s="142" t="s">
        <v>15847</v>
      </c>
      <c r="D7203" s="142" t="s">
        <v>15848</v>
      </c>
      <c r="E7203" s="142" t="s">
        <v>15849</v>
      </c>
      <c r="F7203" s="142" t="s">
        <v>10812</v>
      </c>
      <c r="G7203" s="142" t="s">
        <v>10811</v>
      </c>
      <c r="H7203" s="142" t="s">
        <v>23053</v>
      </c>
      <c r="I7203" s="142">
        <v>4</v>
      </c>
      <c r="J7203" s="142">
        <v>0</v>
      </c>
      <c r="K7203" s="142">
        <v>0</v>
      </c>
      <c r="L7203" s="142">
        <v>0</v>
      </c>
      <c r="M7203" s="142">
        <v>4</v>
      </c>
    </row>
    <row r="7204" spans="1:13" x14ac:dyDescent="0.45">
      <c r="A7204" s="142" t="s">
        <v>13023</v>
      </c>
      <c r="B7204" s="142" t="s">
        <v>15571</v>
      </c>
      <c r="C7204" s="142" t="s">
        <v>15847</v>
      </c>
      <c r="D7204" s="142" t="s">
        <v>15848</v>
      </c>
      <c r="E7204" s="142" t="s">
        <v>15849</v>
      </c>
      <c r="F7204" s="142" t="s">
        <v>10812</v>
      </c>
      <c r="G7204" s="142" t="s">
        <v>10811</v>
      </c>
      <c r="H7204" s="142" t="s">
        <v>23054</v>
      </c>
      <c r="I7204" s="142">
        <v>52</v>
      </c>
      <c r="J7204" s="142">
        <v>3</v>
      </c>
      <c r="K7204" s="142">
        <v>0</v>
      </c>
      <c r="L7204" s="142">
        <v>20</v>
      </c>
      <c r="M7204" s="142">
        <v>29</v>
      </c>
    </row>
    <row r="7205" spans="1:13" x14ac:dyDescent="0.45">
      <c r="A7205" s="142" t="s">
        <v>13226</v>
      </c>
      <c r="B7205" s="142" t="s">
        <v>14495</v>
      </c>
      <c r="C7205" s="142" t="s">
        <v>15860</v>
      </c>
      <c r="D7205" s="142" t="s">
        <v>15861</v>
      </c>
      <c r="E7205" s="142" t="s">
        <v>15849</v>
      </c>
      <c r="F7205" s="142" t="s">
        <v>10812</v>
      </c>
      <c r="G7205" s="142" t="s">
        <v>10811</v>
      </c>
      <c r="H7205" s="142" t="s">
        <v>23055</v>
      </c>
      <c r="I7205" s="142">
        <v>16</v>
      </c>
      <c r="J7205" s="142">
        <v>16</v>
      </c>
      <c r="K7205" s="142">
        <v>0</v>
      </c>
      <c r="L7205" s="142">
        <v>0</v>
      </c>
      <c r="M7205" s="142">
        <v>0</v>
      </c>
    </row>
    <row r="7206" spans="1:13" x14ac:dyDescent="0.45">
      <c r="A7206" s="142" t="s">
        <v>14178</v>
      </c>
      <c r="B7206" s="142" t="s">
        <v>14700</v>
      </c>
      <c r="C7206" s="142" t="s">
        <v>15860</v>
      </c>
      <c r="D7206" s="142" t="s">
        <v>15861</v>
      </c>
      <c r="E7206" s="142" t="s">
        <v>15849</v>
      </c>
      <c r="F7206" s="142" t="s">
        <v>10812</v>
      </c>
      <c r="G7206" s="142" t="s">
        <v>10811</v>
      </c>
      <c r="H7206" s="142" t="s">
        <v>23056</v>
      </c>
      <c r="I7206" s="142">
        <v>14</v>
      </c>
      <c r="J7206" s="142">
        <v>14</v>
      </c>
      <c r="K7206" s="142">
        <v>0</v>
      </c>
      <c r="L7206" s="142">
        <v>0</v>
      </c>
      <c r="M7206" s="142">
        <v>0</v>
      </c>
    </row>
    <row r="7207" spans="1:13" x14ac:dyDescent="0.45">
      <c r="A7207" s="142" t="s">
        <v>13235</v>
      </c>
      <c r="B7207" s="142" t="s">
        <v>14573</v>
      </c>
      <c r="C7207" s="142" t="s">
        <v>15847</v>
      </c>
      <c r="D7207" s="142" t="s">
        <v>15848</v>
      </c>
      <c r="E7207" s="142" t="s">
        <v>15849</v>
      </c>
      <c r="F7207" s="142" t="s">
        <v>10812</v>
      </c>
      <c r="G7207" s="142" t="s">
        <v>10811</v>
      </c>
      <c r="H7207" s="142" t="s">
        <v>23057</v>
      </c>
      <c r="I7207" s="142">
        <v>1153</v>
      </c>
      <c r="J7207" s="142">
        <v>797</v>
      </c>
      <c r="K7207" s="142">
        <v>0</v>
      </c>
      <c r="L7207" s="142">
        <v>16</v>
      </c>
      <c r="M7207" s="142">
        <v>340</v>
      </c>
    </row>
    <row r="7208" spans="1:13" x14ac:dyDescent="0.45">
      <c r="A7208" s="142" t="s">
        <v>13237</v>
      </c>
      <c r="B7208" s="142" t="s">
        <v>14643</v>
      </c>
      <c r="C7208" s="142" t="s">
        <v>15847</v>
      </c>
      <c r="D7208" s="142" t="s">
        <v>15848</v>
      </c>
      <c r="E7208" s="142" t="s">
        <v>15849</v>
      </c>
      <c r="F7208" s="142" t="s">
        <v>10812</v>
      </c>
      <c r="G7208" s="142" t="s">
        <v>10811</v>
      </c>
      <c r="H7208" s="142" t="s">
        <v>23058</v>
      </c>
      <c r="I7208" s="142">
        <v>1015</v>
      </c>
      <c r="J7208" s="142">
        <v>922</v>
      </c>
      <c r="K7208" s="142">
        <v>0</v>
      </c>
      <c r="L7208" s="142">
        <v>12</v>
      </c>
      <c r="M7208" s="142">
        <v>81</v>
      </c>
    </row>
    <row r="7209" spans="1:13" x14ac:dyDescent="0.45">
      <c r="A7209" s="142" t="s">
        <v>13000</v>
      </c>
      <c r="B7209" s="142" t="s">
        <v>14610</v>
      </c>
      <c r="C7209" s="142" t="s">
        <v>15847</v>
      </c>
      <c r="D7209" s="142" t="s">
        <v>15848</v>
      </c>
      <c r="E7209" s="142" t="s">
        <v>15849</v>
      </c>
      <c r="F7209" s="142" t="s">
        <v>10812</v>
      </c>
      <c r="G7209" s="142" t="s">
        <v>10811</v>
      </c>
      <c r="H7209" s="142" t="s">
        <v>23059</v>
      </c>
      <c r="I7209" s="142">
        <v>28</v>
      </c>
      <c r="J7209" s="142">
        <v>24</v>
      </c>
      <c r="K7209" s="142">
        <v>0</v>
      </c>
      <c r="L7209" s="142">
        <v>0</v>
      </c>
      <c r="M7209" s="142">
        <v>4</v>
      </c>
    </row>
    <row r="7210" spans="1:13" x14ac:dyDescent="0.45">
      <c r="A7210" s="142" t="s">
        <v>13027</v>
      </c>
      <c r="B7210" s="142" t="s">
        <v>14562</v>
      </c>
      <c r="C7210" s="142" t="s">
        <v>15847</v>
      </c>
      <c r="D7210" s="142" t="s">
        <v>15848</v>
      </c>
      <c r="E7210" s="142" t="s">
        <v>15849</v>
      </c>
      <c r="F7210" s="142" t="s">
        <v>10812</v>
      </c>
      <c r="G7210" s="142" t="s">
        <v>10811</v>
      </c>
      <c r="H7210" s="142" t="s">
        <v>23060</v>
      </c>
      <c r="I7210" s="142">
        <v>1</v>
      </c>
      <c r="J7210" s="142">
        <v>0</v>
      </c>
      <c r="K7210" s="142">
        <v>0</v>
      </c>
      <c r="L7210" s="142">
        <v>1</v>
      </c>
      <c r="M7210" s="142">
        <v>0</v>
      </c>
    </row>
    <row r="7211" spans="1:13" x14ac:dyDescent="0.45">
      <c r="A7211" s="142" t="s">
        <v>13243</v>
      </c>
      <c r="B7211" s="142" t="s">
        <v>15560</v>
      </c>
      <c r="C7211" s="142" t="s">
        <v>15847</v>
      </c>
      <c r="D7211" s="142" t="s">
        <v>15848</v>
      </c>
      <c r="E7211" s="142" t="s">
        <v>15849</v>
      </c>
      <c r="F7211" s="142" t="s">
        <v>10812</v>
      </c>
      <c r="G7211" s="142" t="s">
        <v>10811</v>
      </c>
      <c r="H7211" s="142" t="s">
        <v>23061</v>
      </c>
      <c r="I7211" s="142">
        <v>72</v>
      </c>
      <c r="J7211" s="142">
        <v>42</v>
      </c>
      <c r="K7211" s="142">
        <v>0</v>
      </c>
      <c r="L7211" s="142">
        <v>29</v>
      </c>
      <c r="M7211" s="142">
        <v>1</v>
      </c>
    </row>
    <row r="7212" spans="1:13" x14ac:dyDescent="0.45">
      <c r="A7212" s="142" t="s">
        <v>13245</v>
      </c>
      <c r="B7212" s="142" t="s">
        <v>14455</v>
      </c>
      <c r="C7212" s="142" t="s">
        <v>15860</v>
      </c>
      <c r="D7212" s="142" t="s">
        <v>15861</v>
      </c>
      <c r="E7212" s="142" t="s">
        <v>15849</v>
      </c>
      <c r="F7212" s="142" t="s">
        <v>10812</v>
      </c>
      <c r="G7212" s="142" t="s">
        <v>10811</v>
      </c>
      <c r="H7212" s="142" t="s">
        <v>23062</v>
      </c>
      <c r="I7212" s="142">
        <v>13</v>
      </c>
      <c r="J7212" s="142">
        <v>0</v>
      </c>
      <c r="K7212" s="142">
        <v>0</v>
      </c>
      <c r="L7212" s="142">
        <v>13</v>
      </c>
      <c r="M7212" s="142">
        <v>0</v>
      </c>
    </row>
    <row r="7213" spans="1:13" x14ac:dyDescent="0.45">
      <c r="A7213" s="142" t="s">
        <v>13028</v>
      </c>
      <c r="B7213" s="142" t="s">
        <v>14462</v>
      </c>
      <c r="C7213" s="142" t="s">
        <v>15847</v>
      </c>
      <c r="D7213" s="142" t="s">
        <v>15848</v>
      </c>
      <c r="E7213" s="142" t="s">
        <v>15849</v>
      </c>
      <c r="F7213" s="142" t="s">
        <v>10812</v>
      </c>
      <c r="G7213" s="142" t="s">
        <v>10811</v>
      </c>
      <c r="H7213" s="142" t="s">
        <v>23063</v>
      </c>
      <c r="I7213" s="142">
        <v>15</v>
      </c>
      <c r="J7213" s="142">
        <v>0</v>
      </c>
      <c r="K7213" s="142">
        <v>0</v>
      </c>
      <c r="L7213" s="142">
        <v>0</v>
      </c>
      <c r="M7213" s="142">
        <v>15</v>
      </c>
    </row>
    <row r="7214" spans="1:13" x14ac:dyDescent="0.45">
      <c r="A7214" s="142" t="s">
        <v>13160</v>
      </c>
      <c r="B7214" s="142" t="s">
        <v>14525</v>
      </c>
      <c r="C7214" s="142" t="s">
        <v>15847</v>
      </c>
      <c r="D7214" s="142" t="s">
        <v>15848</v>
      </c>
      <c r="E7214" s="142" t="s">
        <v>15849</v>
      </c>
      <c r="F7214" s="142" t="s">
        <v>10812</v>
      </c>
      <c r="G7214" s="142" t="s">
        <v>10811</v>
      </c>
      <c r="H7214" s="142" t="s">
        <v>23064</v>
      </c>
      <c r="I7214" s="142">
        <v>11</v>
      </c>
      <c r="J7214" s="142">
        <v>0</v>
      </c>
      <c r="K7214" s="142">
        <v>0</v>
      </c>
      <c r="L7214" s="142">
        <v>11</v>
      </c>
      <c r="M7214" s="142">
        <v>0</v>
      </c>
    </row>
    <row r="7215" spans="1:13" x14ac:dyDescent="0.45">
      <c r="A7215" s="142" t="s">
        <v>13002</v>
      </c>
      <c r="B7215" s="142" t="s">
        <v>15376</v>
      </c>
      <c r="C7215" s="142" t="s">
        <v>15847</v>
      </c>
      <c r="D7215" s="142" t="s">
        <v>15848</v>
      </c>
      <c r="E7215" s="142" t="s">
        <v>15849</v>
      </c>
      <c r="F7215" s="142" t="s">
        <v>10812</v>
      </c>
      <c r="G7215" s="142" t="s">
        <v>10811</v>
      </c>
      <c r="H7215" s="142" t="s">
        <v>23065</v>
      </c>
      <c r="I7215" s="142">
        <v>33</v>
      </c>
      <c r="J7215" s="142">
        <v>0</v>
      </c>
      <c r="K7215" s="142">
        <v>0</v>
      </c>
      <c r="L7215" s="142">
        <v>33</v>
      </c>
      <c r="M7215" s="142">
        <v>0</v>
      </c>
    </row>
    <row r="7216" spans="1:13" x14ac:dyDescent="0.45">
      <c r="A7216" s="142" t="s">
        <v>13003</v>
      </c>
      <c r="B7216" s="142" t="s">
        <v>15245</v>
      </c>
      <c r="C7216" s="142" t="s">
        <v>15847</v>
      </c>
      <c r="D7216" s="142" t="s">
        <v>15848</v>
      </c>
      <c r="E7216" s="142" t="s">
        <v>15849</v>
      </c>
      <c r="F7216" s="142" t="s">
        <v>10812</v>
      </c>
      <c r="G7216" s="142" t="s">
        <v>10811</v>
      </c>
      <c r="H7216" s="142" t="s">
        <v>23066</v>
      </c>
      <c r="I7216" s="142">
        <v>67</v>
      </c>
      <c r="J7216" s="142">
        <v>0</v>
      </c>
      <c r="K7216" s="142">
        <v>0</v>
      </c>
      <c r="L7216" s="142">
        <v>67</v>
      </c>
      <c r="M7216" s="142">
        <v>0</v>
      </c>
    </row>
    <row r="7217" spans="1:13" x14ac:dyDescent="0.45">
      <c r="A7217" s="142" t="s">
        <v>13066</v>
      </c>
      <c r="B7217" s="142" t="s">
        <v>14459</v>
      </c>
      <c r="C7217" s="142" t="s">
        <v>15847</v>
      </c>
      <c r="D7217" s="142" t="s">
        <v>15848</v>
      </c>
      <c r="E7217" s="142" t="s">
        <v>15849</v>
      </c>
      <c r="F7217" s="142" t="s">
        <v>10812</v>
      </c>
      <c r="G7217" s="142" t="s">
        <v>10811</v>
      </c>
      <c r="H7217" s="142" t="s">
        <v>23067</v>
      </c>
      <c r="I7217" s="142">
        <v>3</v>
      </c>
      <c r="J7217" s="142">
        <v>0</v>
      </c>
      <c r="K7217" s="142">
        <v>0</v>
      </c>
      <c r="L7217" s="142">
        <v>3</v>
      </c>
      <c r="M7217" s="142">
        <v>0</v>
      </c>
    </row>
    <row r="7218" spans="1:13" x14ac:dyDescent="0.45">
      <c r="A7218" s="142" t="s">
        <v>13248</v>
      </c>
      <c r="B7218" s="142" t="s">
        <v>15463</v>
      </c>
      <c r="C7218" s="142" t="s">
        <v>15847</v>
      </c>
      <c r="D7218" s="142" t="s">
        <v>15848</v>
      </c>
      <c r="E7218" s="142" t="s">
        <v>15849</v>
      </c>
      <c r="F7218" s="142" t="s">
        <v>10812</v>
      </c>
      <c r="G7218" s="142" t="s">
        <v>10811</v>
      </c>
      <c r="H7218" s="142" t="s">
        <v>23068</v>
      </c>
      <c r="I7218" s="142">
        <v>100</v>
      </c>
      <c r="J7218" s="142">
        <v>62</v>
      </c>
      <c r="K7218" s="142">
        <v>0</v>
      </c>
      <c r="L7218" s="142">
        <v>8</v>
      </c>
      <c r="M7218" s="142">
        <v>30</v>
      </c>
    </row>
    <row r="7219" spans="1:13" x14ac:dyDescent="0.45">
      <c r="A7219" s="142" t="s">
        <v>13008</v>
      </c>
      <c r="B7219" s="142" t="s">
        <v>15411</v>
      </c>
      <c r="C7219" s="142" t="s">
        <v>15847</v>
      </c>
      <c r="D7219" s="142" t="s">
        <v>15848</v>
      </c>
      <c r="E7219" s="142" t="s">
        <v>15849</v>
      </c>
      <c r="F7219" s="142" t="s">
        <v>10812</v>
      </c>
      <c r="G7219" s="142" t="s">
        <v>10811</v>
      </c>
      <c r="H7219" s="142" t="s">
        <v>23069</v>
      </c>
      <c r="I7219" s="142">
        <v>5</v>
      </c>
      <c r="J7219" s="142">
        <v>0</v>
      </c>
      <c r="K7219" s="142">
        <v>0</v>
      </c>
      <c r="L7219" s="142">
        <v>0</v>
      </c>
      <c r="M7219" s="142">
        <v>5</v>
      </c>
    </row>
    <row r="7220" spans="1:13" x14ac:dyDescent="0.45">
      <c r="A7220" s="142" t="s">
        <v>13077</v>
      </c>
      <c r="B7220" s="142" t="s">
        <v>15407</v>
      </c>
      <c r="C7220" s="142" t="s">
        <v>15847</v>
      </c>
      <c r="D7220" s="142" t="s">
        <v>15848</v>
      </c>
      <c r="E7220" s="142" t="s">
        <v>15849</v>
      </c>
      <c r="F7220" s="142" t="s">
        <v>10812</v>
      </c>
      <c r="G7220" s="142" t="s">
        <v>10811</v>
      </c>
      <c r="H7220" s="142" t="s">
        <v>23070</v>
      </c>
      <c r="I7220" s="142">
        <v>8</v>
      </c>
      <c r="J7220" s="142">
        <v>8</v>
      </c>
      <c r="K7220" s="142">
        <v>0</v>
      </c>
      <c r="L7220" s="142">
        <v>0</v>
      </c>
      <c r="M7220" s="142">
        <v>0</v>
      </c>
    </row>
    <row r="7221" spans="1:13" x14ac:dyDescent="0.45">
      <c r="A7221" s="142" t="s">
        <v>13035</v>
      </c>
      <c r="B7221" s="142" t="s">
        <v>14648</v>
      </c>
      <c r="C7221" s="142" t="s">
        <v>15847</v>
      </c>
      <c r="D7221" s="142" t="s">
        <v>15848</v>
      </c>
      <c r="E7221" s="142" t="s">
        <v>15849</v>
      </c>
      <c r="F7221" s="142" t="s">
        <v>10812</v>
      </c>
      <c r="G7221" s="142" t="s">
        <v>10811</v>
      </c>
      <c r="H7221" s="142" t="s">
        <v>23071</v>
      </c>
      <c r="I7221" s="142">
        <v>816</v>
      </c>
      <c r="J7221" s="142">
        <v>622</v>
      </c>
      <c r="K7221" s="142">
        <v>0</v>
      </c>
      <c r="L7221" s="142">
        <v>57</v>
      </c>
      <c r="M7221" s="142">
        <v>137</v>
      </c>
    </row>
    <row r="7222" spans="1:13" x14ac:dyDescent="0.45">
      <c r="A7222" s="142" t="s">
        <v>14179</v>
      </c>
      <c r="B7222" s="142" t="s">
        <v>15196</v>
      </c>
      <c r="C7222" s="142" t="s">
        <v>15860</v>
      </c>
      <c r="D7222" s="142" t="s">
        <v>15861</v>
      </c>
      <c r="E7222" s="142" t="s">
        <v>15849</v>
      </c>
      <c r="F7222" s="142" t="s">
        <v>10812</v>
      </c>
      <c r="G7222" s="142" t="s">
        <v>10811</v>
      </c>
      <c r="H7222" s="142" t="s">
        <v>23072</v>
      </c>
      <c r="I7222" s="142">
        <v>22</v>
      </c>
      <c r="J7222" s="142">
        <v>0</v>
      </c>
      <c r="K7222" s="142">
        <v>0</v>
      </c>
      <c r="L7222" s="142">
        <v>22</v>
      </c>
      <c r="M7222" s="142">
        <v>0</v>
      </c>
    </row>
    <row r="7223" spans="1:13" x14ac:dyDescent="0.45">
      <c r="A7223" s="142" t="s">
        <v>13105</v>
      </c>
      <c r="B7223" s="142" t="s">
        <v>14654</v>
      </c>
      <c r="C7223" s="142" t="s">
        <v>15847</v>
      </c>
      <c r="D7223" s="142" t="s">
        <v>15848</v>
      </c>
      <c r="E7223" s="142" t="s">
        <v>15849</v>
      </c>
      <c r="F7223" s="142" t="s">
        <v>10812</v>
      </c>
      <c r="G7223" s="142" t="s">
        <v>10811</v>
      </c>
      <c r="H7223" s="142" t="s">
        <v>23073</v>
      </c>
      <c r="I7223" s="142">
        <v>61</v>
      </c>
      <c r="J7223" s="142">
        <v>0</v>
      </c>
      <c r="K7223" s="142">
        <v>0</v>
      </c>
      <c r="L7223" s="142">
        <v>0</v>
      </c>
      <c r="M7223" s="142">
        <v>61</v>
      </c>
    </row>
    <row r="7224" spans="1:13" x14ac:dyDescent="0.45">
      <c r="A7224" s="142" t="s">
        <v>13009</v>
      </c>
      <c r="B7224" s="142" t="s">
        <v>15256</v>
      </c>
      <c r="C7224" s="142" t="s">
        <v>15847</v>
      </c>
      <c r="D7224" s="142" t="s">
        <v>15848</v>
      </c>
      <c r="E7224" s="142" t="s">
        <v>15849</v>
      </c>
      <c r="F7224" s="142" t="s">
        <v>10812</v>
      </c>
      <c r="G7224" s="142" t="s">
        <v>10811</v>
      </c>
      <c r="H7224" s="142" t="s">
        <v>23074</v>
      </c>
      <c r="I7224" s="142">
        <v>199</v>
      </c>
      <c r="J7224" s="142">
        <v>172</v>
      </c>
      <c r="K7224" s="142">
        <v>0</v>
      </c>
      <c r="L7224" s="142">
        <v>27</v>
      </c>
      <c r="M7224" s="142">
        <v>0</v>
      </c>
    </row>
    <row r="7225" spans="1:13" x14ac:dyDescent="0.45">
      <c r="A7225" s="142" t="s">
        <v>13253</v>
      </c>
      <c r="B7225" s="142" t="s">
        <v>14742</v>
      </c>
      <c r="C7225" s="142" t="s">
        <v>15860</v>
      </c>
      <c r="D7225" s="142" t="s">
        <v>15861</v>
      </c>
      <c r="E7225" s="142" t="s">
        <v>15849</v>
      </c>
      <c r="F7225" s="142" t="s">
        <v>10812</v>
      </c>
      <c r="G7225" s="142" t="s">
        <v>10811</v>
      </c>
      <c r="H7225" s="142" t="s">
        <v>23075</v>
      </c>
      <c r="I7225" s="142">
        <v>146</v>
      </c>
      <c r="J7225" s="142">
        <v>0</v>
      </c>
      <c r="K7225" s="142">
        <v>0</v>
      </c>
      <c r="L7225" s="142">
        <v>146</v>
      </c>
      <c r="M7225" s="142">
        <v>0</v>
      </c>
    </row>
    <row r="7226" spans="1:13" x14ac:dyDescent="0.45">
      <c r="A7226" s="142" t="s">
        <v>14180</v>
      </c>
      <c r="B7226" s="142" t="s">
        <v>15420</v>
      </c>
      <c r="C7226" s="142" t="s">
        <v>15860</v>
      </c>
      <c r="D7226" s="142" t="s">
        <v>15861</v>
      </c>
      <c r="E7226" s="142" t="s">
        <v>15849</v>
      </c>
      <c r="F7226" s="142" t="s">
        <v>10812</v>
      </c>
      <c r="G7226" s="142" t="s">
        <v>10811</v>
      </c>
      <c r="H7226" s="142" t="s">
        <v>23076</v>
      </c>
      <c r="I7226" s="142">
        <v>113</v>
      </c>
      <c r="J7226" s="142">
        <v>0</v>
      </c>
      <c r="K7226" s="142">
        <v>0</v>
      </c>
      <c r="L7226" s="142">
        <v>113</v>
      </c>
      <c r="M7226" s="142">
        <v>0</v>
      </c>
    </row>
    <row r="7227" spans="1:13" x14ac:dyDescent="0.45">
      <c r="A7227" s="142" t="s">
        <v>13011</v>
      </c>
      <c r="B7227" s="142" t="s">
        <v>14695</v>
      </c>
      <c r="C7227" s="142" t="s">
        <v>15847</v>
      </c>
      <c r="D7227" s="142" t="s">
        <v>15848</v>
      </c>
      <c r="E7227" s="142" t="s">
        <v>15849</v>
      </c>
      <c r="F7227" s="142" t="s">
        <v>10812</v>
      </c>
      <c r="G7227" s="142" t="s">
        <v>10811</v>
      </c>
      <c r="H7227" s="142" t="s">
        <v>23077</v>
      </c>
      <c r="I7227" s="142">
        <v>75</v>
      </c>
      <c r="J7227" s="142">
        <v>34</v>
      </c>
      <c r="K7227" s="142">
        <v>0</v>
      </c>
      <c r="L7227" s="142">
        <v>28</v>
      </c>
      <c r="M7227" s="142">
        <v>13</v>
      </c>
    </row>
    <row r="7228" spans="1:13" x14ac:dyDescent="0.45">
      <c r="A7228" s="142" t="s">
        <v>13257</v>
      </c>
      <c r="B7228" s="142" t="s">
        <v>15219</v>
      </c>
      <c r="C7228" s="142" t="s">
        <v>15860</v>
      </c>
      <c r="D7228" s="142" t="s">
        <v>15861</v>
      </c>
      <c r="E7228" s="142" t="s">
        <v>15849</v>
      </c>
      <c r="F7228" s="142" t="s">
        <v>10812</v>
      </c>
      <c r="G7228" s="142" t="s">
        <v>10811</v>
      </c>
      <c r="H7228" s="142" t="s">
        <v>23078</v>
      </c>
      <c r="I7228" s="142">
        <v>12</v>
      </c>
      <c r="J7228" s="142">
        <v>0</v>
      </c>
      <c r="K7228" s="142">
        <v>0</v>
      </c>
      <c r="L7228" s="142">
        <v>12</v>
      </c>
      <c r="M7228" s="142">
        <v>0</v>
      </c>
    </row>
    <row r="7229" spans="1:13" x14ac:dyDescent="0.45">
      <c r="A7229" s="142" t="s">
        <v>13258</v>
      </c>
      <c r="B7229" s="142" t="s">
        <v>15379</v>
      </c>
      <c r="C7229" s="142" t="s">
        <v>15860</v>
      </c>
      <c r="D7229" s="142" t="s">
        <v>15861</v>
      </c>
      <c r="E7229" s="142" t="s">
        <v>15849</v>
      </c>
      <c r="F7229" s="142" t="s">
        <v>10812</v>
      </c>
      <c r="G7229" s="142" t="s">
        <v>10811</v>
      </c>
      <c r="H7229" s="142" t="s">
        <v>23079</v>
      </c>
      <c r="I7229" s="142">
        <v>5</v>
      </c>
      <c r="J7229" s="142">
        <v>0</v>
      </c>
      <c r="K7229" s="142">
        <v>0</v>
      </c>
      <c r="L7229" s="142">
        <v>5</v>
      </c>
      <c r="M7229" s="142">
        <v>0</v>
      </c>
    </row>
    <row r="7230" spans="1:13" x14ac:dyDescent="0.45">
      <c r="A7230" s="142" t="s">
        <v>13012</v>
      </c>
      <c r="B7230" s="142" t="s">
        <v>15337</v>
      </c>
      <c r="C7230" s="142" t="s">
        <v>15847</v>
      </c>
      <c r="D7230" s="142" t="s">
        <v>15848</v>
      </c>
      <c r="E7230" s="142" t="s">
        <v>15849</v>
      </c>
      <c r="F7230" s="142" t="s">
        <v>10812</v>
      </c>
      <c r="G7230" s="142" t="s">
        <v>10811</v>
      </c>
      <c r="H7230" s="142" t="s">
        <v>23080</v>
      </c>
      <c r="I7230" s="142">
        <v>104</v>
      </c>
      <c r="J7230" s="142">
        <v>48</v>
      </c>
      <c r="K7230" s="142">
        <v>0</v>
      </c>
      <c r="L7230" s="142">
        <v>34</v>
      </c>
      <c r="M7230" s="142">
        <v>22</v>
      </c>
    </row>
    <row r="7231" spans="1:13" x14ac:dyDescent="0.45">
      <c r="A7231" s="142" t="s">
        <v>13285</v>
      </c>
      <c r="B7231" s="142" t="s">
        <v>15158</v>
      </c>
      <c r="C7231" s="142" t="s">
        <v>15860</v>
      </c>
      <c r="D7231" s="142" t="s">
        <v>15861</v>
      </c>
      <c r="E7231" s="142" t="s">
        <v>15849</v>
      </c>
      <c r="F7231" s="142" t="s">
        <v>10812</v>
      </c>
      <c r="G7231" s="142" t="s">
        <v>10811</v>
      </c>
      <c r="H7231" s="142" t="s">
        <v>23081</v>
      </c>
      <c r="I7231" s="142">
        <v>30</v>
      </c>
      <c r="J7231" s="142">
        <v>0</v>
      </c>
      <c r="K7231" s="142">
        <v>0</v>
      </c>
      <c r="L7231" s="142">
        <v>30</v>
      </c>
      <c r="M7231" s="142">
        <v>0</v>
      </c>
    </row>
    <row r="7232" spans="1:13" x14ac:dyDescent="0.45">
      <c r="A7232" s="142" t="s">
        <v>14181</v>
      </c>
      <c r="B7232" s="142" t="s">
        <v>14627</v>
      </c>
      <c r="C7232" s="142" t="s">
        <v>15860</v>
      </c>
      <c r="D7232" s="142" t="s">
        <v>15861</v>
      </c>
      <c r="E7232" s="142" t="s">
        <v>15849</v>
      </c>
      <c r="F7232" s="142" t="s">
        <v>10812</v>
      </c>
      <c r="G7232" s="142" t="s">
        <v>10811</v>
      </c>
      <c r="H7232" s="142" t="s">
        <v>23082</v>
      </c>
      <c r="I7232" s="142">
        <v>29</v>
      </c>
      <c r="J7232" s="142">
        <v>0</v>
      </c>
      <c r="K7232" s="142">
        <v>29</v>
      </c>
      <c r="L7232" s="142">
        <v>0</v>
      </c>
      <c r="M7232" s="142">
        <v>0</v>
      </c>
    </row>
    <row r="7233" spans="1:13" x14ac:dyDescent="0.45">
      <c r="A7233" s="142" t="s">
        <v>13206</v>
      </c>
      <c r="B7233" s="142" t="s">
        <v>14489</v>
      </c>
      <c r="C7233" s="142" t="s">
        <v>15860</v>
      </c>
      <c r="D7233" s="142" t="s">
        <v>15861</v>
      </c>
      <c r="E7233" s="142" t="s">
        <v>15849</v>
      </c>
      <c r="F7233" s="142" t="s">
        <v>10812</v>
      </c>
      <c r="G7233" s="142" t="s">
        <v>10811</v>
      </c>
      <c r="H7233" s="142" t="s">
        <v>23083</v>
      </c>
      <c r="I7233" s="142">
        <v>52</v>
      </c>
      <c r="J7233" s="142">
        <v>0</v>
      </c>
      <c r="K7233" s="142">
        <v>0</v>
      </c>
      <c r="L7233" s="142">
        <v>52</v>
      </c>
      <c r="M7233" s="142">
        <v>0</v>
      </c>
    </row>
    <row r="7234" spans="1:13" x14ac:dyDescent="0.45">
      <c r="A7234" s="142" t="s">
        <v>13264</v>
      </c>
      <c r="B7234" s="142" t="s">
        <v>15302</v>
      </c>
      <c r="C7234" s="142" t="s">
        <v>15847</v>
      </c>
      <c r="D7234" s="142" t="s">
        <v>15848</v>
      </c>
      <c r="E7234" s="142" t="s">
        <v>15849</v>
      </c>
      <c r="F7234" s="142" t="s">
        <v>10812</v>
      </c>
      <c r="G7234" s="142" t="s">
        <v>10811</v>
      </c>
      <c r="H7234" s="142" t="s">
        <v>23084</v>
      </c>
      <c r="I7234" s="142">
        <v>32</v>
      </c>
      <c r="J7234" s="142">
        <v>28</v>
      </c>
      <c r="K7234" s="142">
        <v>0</v>
      </c>
      <c r="L7234" s="142">
        <v>3</v>
      </c>
      <c r="M7234" s="142">
        <v>1</v>
      </c>
    </row>
    <row r="7235" spans="1:13" x14ac:dyDescent="0.45">
      <c r="A7235" s="142" t="s">
        <v>13267</v>
      </c>
      <c r="B7235" s="142" t="s">
        <v>15451</v>
      </c>
      <c r="C7235" s="142" t="s">
        <v>15847</v>
      </c>
      <c r="D7235" s="142" t="s">
        <v>15848</v>
      </c>
      <c r="E7235" s="142" t="s">
        <v>15849</v>
      </c>
      <c r="F7235" s="142" t="s">
        <v>10812</v>
      </c>
      <c r="G7235" s="142" t="s">
        <v>10811</v>
      </c>
      <c r="H7235" s="142" t="s">
        <v>23085</v>
      </c>
      <c r="I7235" s="142">
        <v>45</v>
      </c>
      <c r="J7235" s="142">
        <v>37</v>
      </c>
      <c r="K7235" s="142">
        <v>0</v>
      </c>
      <c r="L7235" s="142">
        <v>0</v>
      </c>
      <c r="M7235" s="142">
        <v>8</v>
      </c>
    </row>
    <row r="7236" spans="1:13" x14ac:dyDescent="0.45">
      <c r="A7236" s="142" t="s">
        <v>14057</v>
      </c>
      <c r="B7236" s="142" t="s">
        <v>15397</v>
      </c>
      <c r="C7236" s="142" t="s">
        <v>15860</v>
      </c>
      <c r="D7236" s="142" t="s">
        <v>15861</v>
      </c>
      <c r="E7236" s="142" t="s">
        <v>15849</v>
      </c>
      <c r="F7236" s="142" t="s">
        <v>10812</v>
      </c>
      <c r="G7236" s="142" t="s">
        <v>10811</v>
      </c>
      <c r="H7236" s="142" t="s">
        <v>23086</v>
      </c>
      <c r="I7236" s="142">
        <v>8</v>
      </c>
      <c r="J7236" s="142">
        <v>8</v>
      </c>
      <c r="K7236" s="142">
        <v>0</v>
      </c>
      <c r="L7236" s="142">
        <v>0</v>
      </c>
      <c r="M7236" s="142">
        <v>0</v>
      </c>
    </row>
    <row r="7237" spans="1:13" x14ac:dyDescent="0.45">
      <c r="A7237" s="142" t="s">
        <v>13144</v>
      </c>
      <c r="B7237" s="142" t="s">
        <v>14464</v>
      </c>
      <c r="C7237" s="142" t="s">
        <v>15860</v>
      </c>
      <c r="D7237" s="142" t="s">
        <v>15861</v>
      </c>
      <c r="E7237" s="142" t="s">
        <v>15849</v>
      </c>
      <c r="F7237" s="142" t="s">
        <v>10812</v>
      </c>
      <c r="G7237" s="142" t="s">
        <v>10811</v>
      </c>
      <c r="H7237" s="142" t="s">
        <v>23087</v>
      </c>
      <c r="I7237" s="142">
        <v>2</v>
      </c>
      <c r="J7237" s="142">
        <v>0</v>
      </c>
      <c r="K7237" s="142">
        <v>0</v>
      </c>
      <c r="L7237" s="142">
        <v>2</v>
      </c>
      <c r="M7237" s="142">
        <v>0</v>
      </c>
    </row>
    <row r="7238" spans="1:13" x14ac:dyDescent="0.45">
      <c r="A7238" s="142" t="s">
        <v>13642</v>
      </c>
      <c r="B7238" s="142" t="s">
        <v>15188</v>
      </c>
      <c r="C7238" s="142" t="s">
        <v>15860</v>
      </c>
      <c r="D7238" s="142" t="s">
        <v>15861</v>
      </c>
      <c r="E7238" s="142" t="s">
        <v>15849</v>
      </c>
      <c r="F7238" s="142" t="s">
        <v>2882</v>
      </c>
      <c r="G7238" s="142" t="s">
        <v>2881</v>
      </c>
      <c r="H7238" s="142" t="s">
        <v>23088</v>
      </c>
      <c r="I7238" s="142">
        <v>11</v>
      </c>
      <c r="J7238" s="142">
        <v>0</v>
      </c>
      <c r="K7238" s="142">
        <v>0</v>
      </c>
      <c r="L7238" s="142">
        <v>11</v>
      </c>
      <c r="M7238" s="142">
        <v>0</v>
      </c>
    </row>
    <row r="7239" spans="1:13" x14ac:dyDescent="0.45">
      <c r="A7239" s="142" t="s">
        <v>13299</v>
      </c>
      <c r="B7239" s="142" t="s">
        <v>15176</v>
      </c>
      <c r="C7239" s="142" t="s">
        <v>15860</v>
      </c>
      <c r="D7239" s="142" t="s">
        <v>15861</v>
      </c>
      <c r="E7239" s="142" t="s">
        <v>15849</v>
      </c>
      <c r="F7239" s="142" t="s">
        <v>2882</v>
      </c>
      <c r="G7239" s="142" t="s">
        <v>2881</v>
      </c>
      <c r="H7239" s="142" t="s">
        <v>23089</v>
      </c>
      <c r="I7239" s="142">
        <v>27</v>
      </c>
      <c r="J7239" s="142">
        <v>0</v>
      </c>
      <c r="K7239" s="142">
        <v>0</v>
      </c>
      <c r="L7239" s="142">
        <v>27</v>
      </c>
      <c r="M7239" s="142">
        <v>0</v>
      </c>
    </row>
    <row r="7240" spans="1:13" x14ac:dyDescent="0.45">
      <c r="A7240" s="142" t="s">
        <v>13167</v>
      </c>
      <c r="B7240" s="142" t="s">
        <v>15418</v>
      </c>
      <c r="C7240" s="142" t="s">
        <v>15847</v>
      </c>
      <c r="D7240" s="142" t="s">
        <v>15848</v>
      </c>
      <c r="E7240" s="142" t="s">
        <v>15849</v>
      </c>
      <c r="F7240" s="142" t="s">
        <v>2882</v>
      </c>
      <c r="G7240" s="142" t="s">
        <v>2881</v>
      </c>
      <c r="H7240" s="142" t="s">
        <v>23090</v>
      </c>
      <c r="I7240" s="142">
        <v>9637</v>
      </c>
      <c r="J7240" s="142">
        <v>7260</v>
      </c>
      <c r="K7240" s="142">
        <v>48</v>
      </c>
      <c r="L7240" s="142">
        <v>1641</v>
      </c>
      <c r="M7240" s="142">
        <v>688</v>
      </c>
    </row>
    <row r="7241" spans="1:13" x14ac:dyDescent="0.45">
      <c r="A7241" s="142" t="s">
        <v>13021</v>
      </c>
      <c r="B7241" s="142" t="s">
        <v>15501</v>
      </c>
      <c r="C7241" s="142" t="s">
        <v>15847</v>
      </c>
      <c r="D7241" s="142" t="s">
        <v>15848</v>
      </c>
      <c r="E7241" s="142" t="s">
        <v>15849</v>
      </c>
      <c r="F7241" s="142" t="s">
        <v>2882</v>
      </c>
      <c r="G7241" s="142" t="s">
        <v>2881</v>
      </c>
      <c r="H7241" s="142" t="s">
        <v>23091</v>
      </c>
      <c r="I7241" s="142">
        <v>27</v>
      </c>
      <c r="J7241" s="142">
        <v>0</v>
      </c>
      <c r="K7241" s="142">
        <v>0</v>
      </c>
      <c r="L7241" s="142">
        <v>1</v>
      </c>
      <c r="M7241" s="142">
        <v>26</v>
      </c>
    </row>
    <row r="7242" spans="1:13" x14ac:dyDescent="0.45">
      <c r="A7242" s="142" t="s">
        <v>13023</v>
      </c>
      <c r="B7242" s="142" t="s">
        <v>15571</v>
      </c>
      <c r="C7242" s="142" t="s">
        <v>15847</v>
      </c>
      <c r="D7242" s="142" t="s">
        <v>15848</v>
      </c>
      <c r="E7242" s="142" t="s">
        <v>15849</v>
      </c>
      <c r="F7242" s="142" t="s">
        <v>2882</v>
      </c>
      <c r="G7242" s="142" t="s">
        <v>2881</v>
      </c>
      <c r="H7242" s="142" t="s">
        <v>23092</v>
      </c>
      <c r="I7242" s="142">
        <v>302</v>
      </c>
      <c r="J7242" s="142">
        <v>0</v>
      </c>
      <c r="K7242" s="142">
        <v>0</v>
      </c>
      <c r="L7242" s="142">
        <v>263</v>
      </c>
      <c r="M7242" s="142">
        <v>39</v>
      </c>
    </row>
    <row r="7243" spans="1:13" x14ac:dyDescent="0.45">
      <c r="A7243" s="142" t="s">
        <v>13047</v>
      </c>
      <c r="B7243" s="142" t="s">
        <v>14616</v>
      </c>
      <c r="C7243" s="142" t="s">
        <v>15847</v>
      </c>
      <c r="D7243" s="142" t="s">
        <v>15848</v>
      </c>
      <c r="E7243" s="142" t="s">
        <v>15849</v>
      </c>
      <c r="F7243" s="142" t="s">
        <v>2882</v>
      </c>
      <c r="G7243" s="142" t="s">
        <v>2881</v>
      </c>
      <c r="H7243" s="142" t="s">
        <v>23093</v>
      </c>
      <c r="I7243" s="142">
        <v>59</v>
      </c>
      <c r="J7243" s="142">
        <v>31</v>
      </c>
      <c r="K7243" s="142">
        <v>0</v>
      </c>
      <c r="L7243" s="142">
        <v>0</v>
      </c>
      <c r="M7243" s="142">
        <v>28</v>
      </c>
    </row>
    <row r="7244" spans="1:13" x14ac:dyDescent="0.45">
      <c r="A7244" s="142" t="s">
        <v>13048</v>
      </c>
      <c r="B7244" s="142" t="s">
        <v>14479</v>
      </c>
      <c r="C7244" s="142" t="s">
        <v>15847</v>
      </c>
      <c r="D7244" s="142" t="s">
        <v>15848</v>
      </c>
      <c r="E7244" s="142" t="s">
        <v>15849</v>
      </c>
      <c r="F7244" s="142" t="s">
        <v>2882</v>
      </c>
      <c r="G7244" s="142" t="s">
        <v>2881</v>
      </c>
      <c r="H7244" s="142" t="s">
        <v>23094</v>
      </c>
      <c r="I7244" s="142">
        <v>4407</v>
      </c>
      <c r="J7244" s="142">
        <v>3311</v>
      </c>
      <c r="K7244" s="142">
        <v>0</v>
      </c>
      <c r="L7244" s="142">
        <v>791</v>
      </c>
      <c r="M7244" s="142">
        <v>305</v>
      </c>
    </row>
    <row r="7245" spans="1:13" x14ac:dyDescent="0.45">
      <c r="A7245" s="142" t="s">
        <v>13082</v>
      </c>
      <c r="B7245" s="142" t="s">
        <v>14478</v>
      </c>
      <c r="C7245" s="142" t="s">
        <v>15860</v>
      </c>
      <c r="D7245" s="142" t="s">
        <v>15861</v>
      </c>
      <c r="E7245" s="142" t="s">
        <v>15849</v>
      </c>
      <c r="F7245" s="142" t="s">
        <v>2882</v>
      </c>
      <c r="G7245" s="142" t="s">
        <v>2881</v>
      </c>
      <c r="H7245" s="142" t="s">
        <v>23095</v>
      </c>
      <c r="I7245" s="142">
        <v>15</v>
      </c>
      <c r="J7245" s="142">
        <v>0</v>
      </c>
      <c r="K7245" s="142">
        <v>0</v>
      </c>
      <c r="L7245" s="142">
        <v>15</v>
      </c>
      <c r="M7245" s="142">
        <v>0</v>
      </c>
    </row>
    <row r="7246" spans="1:13" x14ac:dyDescent="0.45">
      <c r="A7246" s="142" t="s">
        <v>13301</v>
      </c>
      <c r="B7246" s="142" t="s">
        <v>15496</v>
      </c>
      <c r="C7246" s="142" t="s">
        <v>15847</v>
      </c>
      <c r="D7246" s="142" t="s">
        <v>15848</v>
      </c>
      <c r="E7246" s="142" t="s">
        <v>15849</v>
      </c>
      <c r="F7246" s="142" t="s">
        <v>2882</v>
      </c>
      <c r="G7246" s="142" t="s">
        <v>2881</v>
      </c>
      <c r="H7246" s="142" t="s">
        <v>23096</v>
      </c>
      <c r="I7246" s="142">
        <v>72</v>
      </c>
      <c r="J7246" s="142">
        <v>4</v>
      </c>
      <c r="K7246" s="142">
        <v>0</v>
      </c>
      <c r="L7246" s="142">
        <v>68</v>
      </c>
      <c r="M7246" s="142">
        <v>0</v>
      </c>
    </row>
    <row r="7247" spans="1:13" x14ac:dyDescent="0.45">
      <c r="A7247" s="142" t="s">
        <v>13183</v>
      </c>
      <c r="B7247" s="142" t="s">
        <v>15226</v>
      </c>
      <c r="C7247" s="142" t="s">
        <v>15860</v>
      </c>
      <c r="D7247" s="142" t="s">
        <v>15861</v>
      </c>
      <c r="E7247" s="142" t="s">
        <v>15849</v>
      </c>
      <c r="F7247" s="142" t="s">
        <v>2882</v>
      </c>
      <c r="G7247" s="142" t="s">
        <v>2881</v>
      </c>
      <c r="H7247" s="142" t="s">
        <v>23097</v>
      </c>
      <c r="I7247" s="142">
        <v>279</v>
      </c>
      <c r="J7247" s="142">
        <v>0</v>
      </c>
      <c r="K7247" s="142">
        <v>0</v>
      </c>
      <c r="L7247" s="142">
        <v>279</v>
      </c>
      <c r="M7247" s="142">
        <v>0</v>
      </c>
    </row>
    <row r="7248" spans="1:13" x14ac:dyDescent="0.45">
      <c r="A7248" s="142" t="s">
        <v>13184</v>
      </c>
      <c r="B7248" s="142" t="s">
        <v>15392</v>
      </c>
      <c r="C7248" s="142" t="s">
        <v>15847</v>
      </c>
      <c r="D7248" s="142" t="s">
        <v>15848</v>
      </c>
      <c r="E7248" s="142" t="s">
        <v>15849</v>
      </c>
      <c r="F7248" s="142" t="s">
        <v>2882</v>
      </c>
      <c r="G7248" s="142" t="s">
        <v>2881</v>
      </c>
      <c r="H7248" s="142" t="s">
        <v>23098</v>
      </c>
      <c r="I7248" s="142">
        <v>14</v>
      </c>
      <c r="J7248" s="142">
        <v>14</v>
      </c>
      <c r="K7248" s="142">
        <v>0</v>
      </c>
      <c r="L7248" s="142">
        <v>0</v>
      </c>
      <c r="M7248" s="142">
        <v>0</v>
      </c>
    </row>
    <row r="7249" spans="1:13" x14ac:dyDescent="0.45">
      <c r="A7249" s="142" t="s">
        <v>13159</v>
      </c>
      <c r="B7249" s="142" t="s">
        <v>14521</v>
      </c>
      <c r="C7249" s="142" t="s">
        <v>15860</v>
      </c>
      <c r="D7249" s="142" t="s">
        <v>15861</v>
      </c>
      <c r="E7249" s="142" t="s">
        <v>15849</v>
      </c>
      <c r="F7249" s="142" t="s">
        <v>2882</v>
      </c>
      <c r="G7249" s="142" t="s">
        <v>2881</v>
      </c>
      <c r="H7249" s="142" t="s">
        <v>23099</v>
      </c>
      <c r="I7249" s="142">
        <v>16</v>
      </c>
      <c r="J7249" s="142">
        <v>0</v>
      </c>
      <c r="K7249" s="142">
        <v>0</v>
      </c>
      <c r="L7249" s="142">
        <v>16</v>
      </c>
      <c r="M7249" s="142">
        <v>0</v>
      </c>
    </row>
    <row r="7250" spans="1:13" x14ac:dyDescent="0.45">
      <c r="A7250" s="142" t="s">
        <v>14183</v>
      </c>
      <c r="B7250" s="142" t="s">
        <v>14918</v>
      </c>
      <c r="C7250" s="142" t="s">
        <v>15860</v>
      </c>
      <c r="D7250" s="142" t="s">
        <v>15861</v>
      </c>
      <c r="E7250" s="142" t="s">
        <v>15849</v>
      </c>
      <c r="F7250" s="142" t="s">
        <v>2882</v>
      </c>
      <c r="G7250" s="142" t="s">
        <v>2881</v>
      </c>
      <c r="H7250" s="142" t="s">
        <v>23100</v>
      </c>
      <c r="I7250" s="142">
        <v>33</v>
      </c>
      <c r="J7250" s="142">
        <v>0</v>
      </c>
      <c r="K7250" s="142">
        <v>0</v>
      </c>
      <c r="L7250" s="142">
        <v>33</v>
      </c>
      <c r="M7250" s="142">
        <v>0</v>
      </c>
    </row>
    <row r="7251" spans="1:13" x14ac:dyDescent="0.45">
      <c r="A7251" s="142" t="s">
        <v>13000</v>
      </c>
      <c r="B7251" s="142" t="s">
        <v>14610</v>
      </c>
      <c r="C7251" s="142" t="s">
        <v>15847</v>
      </c>
      <c r="D7251" s="142" t="s">
        <v>15848</v>
      </c>
      <c r="E7251" s="142" t="s">
        <v>15849</v>
      </c>
      <c r="F7251" s="142" t="s">
        <v>2882</v>
      </c>
      <c r="G7251" s="142" t="s">
        <v>2881</v>
      </c>
      <c r="H7251" s="142" t="s">
        <v>23101</v>
      </c>
      <c r="I7251" s="142">
        <v>24</v>
      </c>
      <c r="J7251" s="142">
        <v>24</v>
      </c>
      <c r="K7251" s="142">
        <v>0</v>
      </c>
      <c r="L7251" s="142">
        <v>0</v>
      </c>
      <c r="M7251" s="142">
        <v>0</v>
      </c>
    </row>
    <row r="7252" spans="1:13" x14ac:dyDescent="0.45">
      <c r="A7252" s="142" t="s">
        <v>14184</v>
      </c>
      <c r="B7252" s="142" t="s">
        <v>14881</v>
      </c>
      <c r="C7252" s="142" t="s">
        <v>15860</v>
      </c>
      <c r="D7252" s="142" t="s">
        <v>15861</v>
      </c>
      <c r="E7252" s="142" t="s">
        <v>15849</v>
      </c>
      <c r="F7252" s="142" t="s">
        <v>2882</v>
      </c>
      <c r="G7252" s="142" t="s">
        <v>2881</v>
      </c>
      <c r="H7252" s="142" t="s">
        <v>23102</v>
      </c>
      <c r="I7252" s="142">
        <v>4</v>
      </c>
      <c r="J7252" s="142">
        <v>0</v>
      </c>
      <c r="K7252" s="142">
        <v>0</v>
      </c>
      <c r="L7252" s="142">
        <v>4</v>
      </c>
      <c r="M7252" s="142">
        <v>0</v>
      </c>
    </row>
    <row r="7253" spans="1:13" x14ac:dyDescent="0.45">
      <c r="A7253" s="142" t="s">
        <v>13186</v>
      </c>
      <c r="B7253" s="142" t="s">
        <v>15581</v>
      </c>
      <c r="C7253" s="142" t="s">
        <v>15847</v>
      </c>
      <c r="D7253" s="142" t="s">
        <v>15848</v>
      </c>
      <c r="E7253" s="142" t="s">
        <v>15849</v>
      </c>
      <c r="F7253" s="142" t="s">
        <v>2882</v>
      </c>
      <c r="G7253" s="142" t="s">
        <v>2881</v>
      </c>
      <c r="H7253" s="142" t="s">
        <v>23103</v>
      </c>
      <c r="I7253" s="142">
        <v>134</v>
      </c>
      <c r="J7253" s="142">
        <v>105</v>
      </c>
      <c r="K7253" s="142">
        <v>0</v>
      </c>
      <c r="L7253" s="142">
        <v>0</v>
      </c>
      <c r="M7253" s="142">
        <v>29</v>
      </c>
    </row>
    <row r="7254" spans="1:13" x14ac:dyDescent="0.45">
      <c r="A7254" s="142" t="s">
        <v>13085</v>
      </c>
      <c r="B7254" s="142" t="s">
        <v>14460</v>
      </c>
      <c r="C7254" s="142" t="s">
        <v>15860</v>
      </c>
      <c r="D7254" s="142" t="s">
        <v>15861</v>
      </c>
      <c r="E7254" s="142" t="s">
        <v>15849</v>
      </c>
      <c r="F7254" s="142" t="s">
        <v>2882</v>
      </c>
      <c r="G7254" s="142" t="s">
        <v>2881</v>
      </c>
      <c r="H7254" s="142" t="s">
        <v>23104</v>
      </c>
      <c r="I7254" s="142">
        <v>3</v>
      </c>
      <c r="J7254" s="142">
        <v>0</v>
      </c>
      <c r="K7254" s="142">
        <v>0</v>
      </c>
      <c r="L7254" s="142">
        <v>3</v>
      </c>
      <c r="M7254" s="142">
        <v>0</v>
      </c>
    </row>
    <row r="7255" spans="1:13" x14ac:dyDescent="0.45">
      <c r="A7255" s="142" t="s">
        <v>13049</v>
      </c>
      <c r="B7255" s="142" t="s">
        <v>14534</v>
      </c>
      <c r="C7255" s="142" t="s">
        <v>15860</v>
      </c>
      <c r="D7255" s="142" t="s">
        <v>15861</v>
      </c>
      <c r="E7255" s="142" t="s">
        <v>15849</v>
      </c>
      <c r="F7255" s="142" t="s">
        <v>2882</v>
      </c>
      <c r="G7255" s="142" t="s">
        <v>2881</v>
      </c>
      <c r="H7255" s="142" t="s">
        <v>23105</v>
      </c>
      <c r="I7255" s="142">
        <v>25</v>
      </c>
      <c r="J7255" s="142">
        <v>0</v>
      </c>
      <c r="K7255" s="142">
        <v>0</v>
      </c>
      <c r="L7255" s="142">
        <v>25</v>
      </c>
      <c r="M7255" s="142">
        <v>0</v>
      </c>
    </row>
    <row r="7256" spans="1:13" x14ac:dyDescent="0.45">
      <c r="A7256" s="142" t="s">
        <v>13987</v>
      </c>
      <c r="B7256" s="142" t="s">
        <v>15384</v>
      </c>
      <c r="C7256" s="142" t="s">
        <v>15860</v>
      </c>
      <c r="D7256" s="142" t="s">
        <v>15861</v>
      </c>
      <c r="E7256" s="142" t="s">
        <v>15849</v>
      </c>
      <c r="F7256" s="142" t="s">
        <v>2882</v>
      </c>
      <c r="G7256" s="142" t="s">
        <v>2881</v>
      </c>
      <c r="H7256" s="142" t="s">
        <v>23106</v>
      </c>
      <c r="I7256" s="142">
        <v>261</v>
      </c>
      <c r="J7256" s="142">
        <v>261</v>
      </c>
      <c r="K7256" s="142">
        <v>0</v>
      </c>
      <c r="L7256" s="142">
        <v>0</v>
      </c>
      <c r="M7256" s="142">
        <v>0</v>
      </c>
    </row>
    <row r="7257" spans="1:13" x14ac:dyDescent="0.45">
      <c r="A7257" s="142" t="s">
        <v>13168</v>
      </c>
      <c r="B7257" s="142" t="s">
        <v>14486</v>
      </c>
      <c r="C7257" s="142" t="s">
        <v>15860</v>
      </c>
      <c r="D7257" s="142" t="s">
        <v>15861</v>
      </c>
      <c r="E7257" s="142" t="s">
        <v>15849</v>
      </c>
      <c r="F7257" s="142" t="s">
        <v>2882</v>
      </c>
      <c r="G7257" s="142" t="s">
        <v>2881</v>
      </c>
      <c r="H7257" s="142" t="s">
        <v>23107</v>
      </c>
      <c r="I7257" s="142">
        <v>1</v>
      </c>
      <c r="J7257" s="142">
        <v>0</v>
      </c>
      <c r="K7257" s="142">
        <v>0</v>
      </c>
      <c r="L7257" s="142">
        <v>1</v>
      </c>
      <c r="M7257" s="142">
        <v>0</v>
      </c>
    </row>
    <row r="7258" spans="1:13" x14ac:dyDescent="0.45">
      <c r="A7258" s="142" t="s">
        <v>14185</v>
      </c>
      <c r="B7258" s="142" t="s">
        <v>14514</v>
      </c>
      <c r="C7258" s="142" t="s">
        <v>15860</v>
      </c>
      <c r="D7258" s="142" t="s">
        <v>15861</v>
      </c>
      <c r="E7258" s="142" t="s">
        <v>15849</v>
      </c>
      <c r="F7258" s="142" t="s">
        <v>2882</v>
      </c>
      <c r="G7258" s="142" t="s">
        <v>2881</v>
      </c>
      <c r="H7258" s="142" t="s">
        <v>23108</v>
      </c>
      <c r="I7258" s="142">
        <v>5</v>
      </c>
      <c r="J7258" s="142">
        <v>5</v>
      </c>
      <c r="K7258" s="142">
        <v>0</v>
      </c>
      <c r="L7258" s="142">
        <v>0</v>
      </c>
      <c r="M7258" s="142">
        <v>0</v>
      </c>
    </row>
    <row r="7259" spans="1:13" x14ac:dyDescent="0.45">
      <c r="A7259" s="142" t="s">
        <v>13027</v>
      </c>
      <c r="B7259" s="142" t="s">
        <v>14562</v>
      </c>
      <c r="C7259" s="142" t="s">
        <v>15847</v>
      </c>
      <c r="D7259" s="142" t="s">
        <v>15848</v>
      </c>
      <c r="E7259" s="142" t="s">
        <v>15849</v>
      </c>
      <c r="F7259" s="142" t="s">
        <v>2882</v>
      </c>
      <c r="G7259" s="142" t="s">
        <v>2881</v>
      </c>
      <c r="H7259" s="142" t="s">
        <v>23109</v>
      </c>
      <c r="I7259" s="142">
        <v>119</v>
      </c>
      <c r="J7259" s="142">
        <v>0</v>
      </c>
      <c r="K7259" s="142">
        <v>0</v>
      </c>
      <c r="L7259" s="142">
        <v>119</v>
      </c>
      <c r="M7259" s="142">
        <v>0</v>
      </c>
    </row>
    <row r="7260" spans="1:13" x14ac:dyDescent="0.45">
      <c r="A7260" s="142" t="s">
        <v>13189</v>
      </c>
      <c r="B7260" s="142" t="s">
        <v>15370</v>
      </c>
      <c r="C7260" s="142" t="s">
        <v>15860</v>
      </c>
      <c r="D7260" s="142" t="s">
        <v>15861</v>
      </c>
      <c r="E7260" s="142" t="s">
        <v>15849</v>
      </c>
      <c r="F7260" s="142" t="s">
        <v>2882</v>
      </c>
      <c r="G7260" s="142" t="s">
        <v>2881</v>
      </c>
      <c r="H7260" s="142" t="s">
        <v>23110</v>
      </c>
      <c r="I7260" s="142">
        <v>44</v>
      </c>
      <c r="J7260" s="142">
        <v>0</v>
      </c>
      <c r="K7260" s="142">
        <v>0</v>
      </c>
      <c r="L7260" s="142">
        <v>44</v>
      </c>
      <c r="M7260" s="142">
        <v>0</v>
      </c>
    </row>
    <row r="7261" spans="1:13" x14ac:dyDescent="0.45">
      <c r="A7261" s="142" t="s">
        <v>13001</v>
      </c>
      <c r="B7261" s="142" t="s">
        <v>15506</v>
      </c>
      <c r="C7261" s="142" t="s">
        <v>15847</v>
      </c>
      <c r="D7261" s="142" t="s">
        <v>15848</v>
      </c>
      <c r="E7261" s="142" t="s">
        <v>15849</v>
      </c>
      <c r="F7261" s="142" t="s">
        <v>2882</v>
      </c>
      <c r="G7261" s="142" t="s">
        <v>2881</v>
      </c>
      <c r="H7261" s="142" t="s">
        <v>23111</v>
      </c>
      <c r="I7261" s="142">
        <v>26</v>
      </c>
      <c r="J7261" s="142">
        <v>15</v>
      </c>
      <c r="K7261" s="142">
        <v>0</v>
      </c>
      <c r="L7261" s="142">
        <v>11</v>
      </c>
      <c r="M7261" s="142">
        <v>0</v>
      </c>
    </row>
    <row r="7262" spans="1:13" x14ac:dyDescent="0.45">
      <c r="A7262" s="142" t="s">
        <v>13050</v>
      </c>
      <c r="B7262" s="142" t="s">
        <v>15237</v>
      </c>
      <c r="C7262" s="142" t="s">
        <v>15847</v>
      </c>
      <c r="D7262" s="142" t="s">
        <v>15848</v>
      </c>
      <c r="E7262" s="142" t="s">
        <v>15849</v>
      </c>
      <c r="F7262" s="142" t="s">
        <v>2882</v>
      </c>
      <c r="G7262" s="142" t="s">
        <v>2881</v>
      </c>
      <c r="H7262" s="142" t="s">
        <v>23112</v>
      </c>
      <c r="I7262" s="142">
        <v>480</v>
      </c>
      <c r="J7262" s="142">
        <v>424</v>
      </c>
      <c r="K7262" s="142">
        <v>0</v>
      </c>
      <c r="L7262" s="142">
        <v>0</v>
      </c>
      <c r="M7262" s="142">
        <v>56</v>
      </c>
    </row>
    <row r="7263" spans="1:13" x14ac:dyDescent="0.45">
      <c r="A7263" s="142" t="s">
        <v>13028</v>
      </c>
      <c r="B7263" s="142" t="s">
        <v>14462</v>
      </c>
      <c r="C7263" s="142" t="s">
        <v>15847</v>
      </c>
      <c r="D7263" s="142" t="s">
        <v>15848</v>
      </c>
      <c r="E7263" s="142" t="s">
        <v>15849</v>
      </c>
      <c r="F7263" s="142" t="s">
        <v>2882</v>
      </c>
      <c r="G7263" s="142" t="s">
        <v>2881</v>
      </c>
      <c r="H7263" s="142" t="s">
        <v>23113</v>
      </c>
      <c r="I7263" s="142">
        <v>145</v>
      </c>
      <c r="J7263" s="142">
        <v>0</v>
      </c>
      <c r="K7263" s="142">
        <v>0</v>
      </c>
      <c r="L7263" s="142">
        <v>0</v>
      </c>
      <c r="M7263" s="142">
        <v>145</v>
      </c>
    </row>
    <row r="7264" spans="1:13" x14ac:dyDescent="0.45">
      <c r="A7264" s="142" t="s">
        <v>13002</v>
      </c>
      <c r="B7264" s="142" t="s">
        <v>15376</v>
      </c>
      <c r="C7264" s="142" t="s">
        <v>15847</v>
      </c>
      <c r="D7264" s="142" t="s">
        <v>15848</v>
      </c>
      <c r="E7264" s="142" t="s">
        <v>15849</v>
      </c>
      <c r="F7264" s="142" t="s">
        <v>2882</v>
      </c>
      <c r="G7264" s="142" t="s">
        <v>2881</v>
      </c>
      <c r="H7264" s="142" t="s">
        <v>23114</v>
      </c>
      <c r="I7264" s="142">
        <v>67</v>
      </c>
      <c r="J7264" s="142">
        <v>0</v>
      </c>
      <c r="K7264" s="142">
        <v>0</v>
      </c>
      <c r="L7264" s="142">
        <v>67</v>
      </c>
      <c r="M7264" s="142">
        <v>0</v>
      </c>
    </row>
    <row r="7265" spans="1:13" x14ac:dyDescent="0.45">
      <c r="A7265" s="142" t="s">
        <v>13003</v>
      </c>
      <c r="B7265" s="142" t="s">
        <v>15245</v>
      </c>
      <c r="C7265" s="142" t="s">
        <v>15847</v>
      </c>
      <c r="D7265" s="142" t="s">
        <v>15848</v>
      </c>
      <c r="E7265" s="142" t="s">
        <v>15849</v>
      </c>
      <c r="F7265" s="142" t="s">
        <v>2882</v>
      </c>
      <c r="G7265" s="142" t="s">
        <v>2881</v>
      </c>
      <c r="H7265" s="142" t="s">
        <v>23115</v>
      </c>
      <c r="I7265" s="142">
        <v>194</v>
      </c>
      <c r="J7265" s="142">
        <v>0</v>
      </c>
      <c r="K7265" s="142">
        <v>0</v>
      </c>
      <c r="L7265" s="142">
        <v>194</v>
      </c>
      <c r="M7265" s="142">
        <v>0</v>
      </c>
    </row>
    <row r="7266" spans="1:13" x14ac:dyDescent="0.45">
      <c r="A7266" s="142" t="s">
        <v>13066</v>
      </c>
      <c r="B7266" s="142" t="s">
        <v>14459</v>
      </c>
      <c r="C7266" s="142" t="s">
        <v>15847</v>
      </c>
      <c r="D7266" s="142" t="s">
        <v>15848</v>
      </c>
      <c r="E7266" s="142" t="s">
        <v>15849</v>
      </c>
      <c r="F7266" s="142" t="s">
        <v>2882</v>
      </c>
      <c r="G7266" s="142" t="s">
        <v>2881</v>
      </c>
      <c r="H7266" s="142" t="s">
        <v>23116</v>
      </c>
      <c r="I7266" s="142">
        <v>25</v>
      </c>
      <c r="J7266" s="142">
        <v>0</v>
      </c>
      <c r="K7266" s="142">
        <v>0</v>
      </c>
      <c r="L7266" s="142">
        <v>25</v>
      </c>
      <c r="M7266" s="142">
        <v>0</v>
      </c>
    </row>
    <row r="7267" spans="1:13" x14ac:dyDescent="0.45">
      <c r="A7267" s="142" t="s">
        <v>13170</v>
      </c>
      <c r="B7267" s="142" t="s">
        <v>15486</v>
      </c>
      <c r="C7267" s="142" t="s">
        <v>15860</v>
      </c>
      <c r="D7267" s="142" t="s">
        <v>15861</v>
      </c>
      <c r="E7267" s="142" t="s">
        <v>15849</v>
      </c>
      <c r="F7267" s="142" t="s">
        <v>2882</v>
      </c>
      <c r="G7267" s="142" t="s">
        <v>2881</v>
      </c>
      <c r="H7267" s="142" t="s">
        <v>23117</v>
      </c>
      <c r="I7267" s="142">
        <v>95</v>
      </c>
      <c r="J7267" s="142">
        <v>0</v>
      </c>
      <c r="K7267" s="142">
        <v>0</v>
      </c>
      <c r="L7267" s="142">
        <v>95</v>
      </c>
      <c r="M7267" s="142">
        <v>0</v>
      </c>
    </row>
    <row r="7268" spans="1:13" x14ac:dyDescent="0.45">
      <c r="A7268" s="142" t="s">
        <v>13178</v>
      </c>
      <c r="B7268" s="142" t="s">
        <v>14683</v>
      </c>
      <c r="C7268" s="142" t="s">
        <v>15847</v>
      </c>
      <c r="D7268" s="142" t="s">
        <v>15848</v>
      </c>
      <c r="E7268" s="142" t="s">
        <v>15849</v>
      </c>
      <c r="F7268" s="142" t="s">
        <v>2882</v>
      </c>
      <c r="G7268" s="142" t="s">
        <v>2881</v>
      </c>
      <c r="H7268" s="142" t="s">
        <v>23118</v>
      </c>
      <c r="I7268" s="142">
        <v>22</v>
      </c>
      <c r="J7268" s="142">
        <v>22</v>
      </c>
      <c r="K7268" s="142">
        <v>0</v>
      </c>
      <c r="L7268" s="142">
        <v>0</v>
      </c>
      <c r="M7268" s="142">
        <v>0</v>
      </c>
    </row>
    <row r="7269" spans="1:13" x14ac:dyDescent="0.45">
      <c r="A7269" s="142" t="s">
        <v>13076</v>
      </c>
      <c r="B7269" s="142" t="s">
        <v>14636</v>
      </c>
      <c r="C7269" s="142" t="s">
        <v>15847</v>
      </c>
      <c r="D7269" s="142" t="s">
        <v>15848</v>
      </c>
      <c r="E7269" s="142" t="s">
        <v>15849</v>
      </c>
      <c r="F7269" s="142" t="s">
        <v>2882</v>
      </c>
      <c r="G7269" s="142" t="s">
        <v>2881</v>
      </c>
      <c r="H7269" s="142" t="s">
        <v>23119</v>
      </c>
      <c r="I7269" s="142">
        <v>47</v>
      </c>
      <c r="J7269" s="142">
        <v>47</v>
      </c>
      <c r="K7269" s="142">
        <v>0</v>
      </c>
      <c r="L7269" s="142">
        <v>0</v>
      </c>
      <c r="M7269" s="142">
        <v>0</v>
      </c>
    </row>
    <row r="7270" spans="1:13" x14ac:dyDescent="0.45">
      <c r="A7270" s="142" t="s">
        <v>13190</v>
      </c>
      <c r="B7270" s="142" t="s">
        <v>14617</v>
      </c>
      <c r="C7270" s="142" t="s">
        <v>15847</v>
      </c>
      <c r="D7270" s="142" t="s">
        <v>15848</v>
      </c>
      <c r="E7270" s="142" t="s">
        <v>15849</v>
      </c>
      <c r="F7270" s="142" t="s">
        <v>2882</v>
      </c>
      <c r="G7270" s="142" t="s">
        <v>2881</v>
      </c>
      <c r="H7270" s="142" t="s">
        <v>23120</v>
      </c>
      <c r="I7270" s="142">
        <v>5264</v>
      </c>
      <c r="J7270" s="142">
        <v>4080</v>
      </c>
      <c r="K7270" s="142">
        <v>0</v>
      </c>
      <c r="L7270" s="142">
        <v>449</v>
      </c>
      <c r="M7270" s="142">
        <v>735</v>
      </c>
    </row>
    <row r="7271" spans="1:13" x14ac:dyDescent="0.45">
      <c r="A7271" s="142" t="s">
        <v>13029</v>
      </c>
      <c r="B7271" s="142" t="s">
        <v>14665</v>
      </c>
      <c r="C7271" s="142" t="s">
        <v>15847</v>
      </c>
      <c r="D7271" s="142" t="s">
        <v>15848</v>
      </c>
      <c r="E7271" s="142" t="s">
        <v>15849</v>
      </c>
      <c r="F7271" s="142" t="s">
        <v>2882</v>
      </c>
      <c r="G7271" s="142" t="s">
        <v>2881</v>
      </c>
      <c r="H7271" s="142" t="s">
        <v>23121</v>
      </c>
      <c r="I7271" s="142">
        <v>2</v>
      </c>
      <c r="J7271" s="142">
        <v>0</v>
      </c>
      <c r="K7271" s="142">
        <v>0</v>
      </c>
      <c r="L7271" s="142">
        <v>0</v>
      </c>
      <c r="M7271" s="142">
        <v>2</v>
      </c>
    </row>
    <row r="7272" spans="1:13" x14ac:dyDescent="0.45">
      <c r="A7272" s="142" t="s">
        <v>13621</v>
      </c>
      <c r="B7272" s="142" t="s">
        <v>14591</v>
      </c>
      <c r="C7272" s="142" t="s">
        <v>15847</v>
      </c>
      <c r="D7272" s="142" t="s">
        <v>15848</v>
      </c>
      <c r="E7272" s="142" t="s">
        <v>15849</v>
      </c>
      <c r="F7272" s="142" t="s">
        <v>2882</v>
      </c>
      <c r="G7272" s="142" t="s">
        <v>2881</v>
      </c>
      <c r="H7272" s="142" t="s">
        <v>23122</v>
      </c>
      <c r="I7272" s="142">
        <v>2565</v>
      </c>
      <c r="J7272" s="142">
        <v>1946</v>
      </c>
      <c r="K7272" s="142">
        <v>0</v>
      </c>
      <c r="L7272" s="142">
        <v>546</v>
      </c>
      <c r="M7272" s="142">
        <v>73</v>
      </c>
    </row>
    <row r="7273" spans="1:13" x14ac:dyDescent="0.45">
      <c r="A7273" s="142" t="s">
        <v>13007</v>
      </c>
      <c r="B7273" s="142" t="s">
        <v>15262</v>
      </c>
      <c r="C7273" s="142" t="s">
        <v>15847</v>
      </c>
      <c r="D7273" s="142" t="s">
        <v>15848</v>
      </c>
      <c r="E7273" s="142" t="s">
        <v>15849</v>
      </c>
      <c r="F7273" s="142" t="s">
        <v>2882</v>
      </c>
      <c r="G7273" s="142" t="s">
        <v>2881</v>
      </c>
      <c r="H7273" s="142" t="s">
        <v>23123</v>
      </c>
      <c r="I7273" s="142">
        <v>5</v>
      </c>
      <c r="J7273" s="142">
        <v>0</v>
      </c>
      <c r="K7273" s="142">
        <v>0</v>
      </c>
      <c r="L7273" s="142">
        <v>0</v>
      </c>
      <c r="M7273" s="142">
        <v>5</v>
      </c>
    </row>
    <row r="7274" spans="1:13" x14ac:dyDescent="0.45">
      <c r="A7274" s="142" t="s">
        <v>13193</v>
      </c>
      <c r="B7274" s="142" t="s">
        <v>15461</v>
      </c>
      <c r="C7274" s="142" t="s">
        <v>15847</v>
      </c>
      <c r="D7274" s="142" t="s">
        <v>15848</v>
      </c>
      <c r="E7274" s="142" t="s">
        <v>15849</v>
      </c>
      <c r="F7274" s="142" t="s">
        <v>2882</v>
      </c>
      <c r="G7274" s="142" t="s">
        <v>2881</v>
      </c>
      <c r="H7274" s="142" t="s">
        <v>23124</v>
      </c>
      <c r="I7274" s="142">
        <v>115</v>
      </c>
      <c r="J7274" s="142">
        <v>65</v>
      </c>
      <c r="K7274" s="142">
        <v>0</v>
      </c>
      <c r="L7274" s="142">
        <v>0</v>
      </c>
      <c r="M7274" s="142">
        <v>50</v>
      </c>
    </row>
    <row r="7275" spans="1:13" x14ac:dyDescent="0.45">
      <c r="A7275" s="142" t="s">
        <v>14186</v>
      </c>
      <c r="B7275" s="142" t="s">
        <v>14733</v>
      </c>
      <c r="C7275" s="142" t="s">
        <v>15860</v>
      </c>
      <c r="D7275" s="142" t="s">
        <v>15861</v>
      </c>
      <c r="E7275" s="142" t="s">
        <v>15849</v>
      </c>
      <c r="F7275" s="142" t="s">
        <v>2882</v>
      </c>
      <c r="G7275" s="142" t="s">
        <v>2881</v>
      </c>
      <c r="H7275" s="142" t="s">
        <v>23125</v>
      </c>
      <c r="I7275" s="142">
        <v>4</v>
      </c>
      <c r="J7275" s="142">
        <v>4</v>
      </c>
      <c r="K7275" s="142">
        <v>0</v>
      </c>
      <c r="L7275" s="142">
        <v>0</v>
      </c>
      <c r="M7275" s="142">
        <v>0</v>
      </c>
    </row>
    <row r="7276" spans="1:13" x14ac:dyDescent="0.45">
      <c r="A7276" s="142" t="s">
        <v>13679</v>
      </c>
      <c r="B7276" s="142" t="s">
        <v>14504</v>
      </c>
      <c r="C7276" s="142" t="s">
        <v>15860</v>
      </c>
      <c r="D7276" s="142" t="s">
        <v>15861</v>
      </c>
      <c r="E7276" s="142" t="s">
        <v>15849</v>
      </c>
      <c r="F7276" s="142" t="s">
        <v>2882</v>
      </c>
      <c r="G7276" s="142" t="s">
        <v>2881</v>
      </c>
      <c r="H7276" s="142" t="s">
        <v>23126</v>
      </c>
      <c r="I7276" s="142">
        <v>5</v>
      </c>
      <c r="J7276" s="142">
        <v>0</v>
      </c>
      <c r="K7276" s="142">
        <v>0</v>
      </c>
      <c r="L7276" s="142">
        <v>5</v>
      </c>
      <c r="M7276" s="142">
        <v>0</v>
      </c>
    </row>
    <row r="7277" spans="1:13" x14ac:dyDescent="0.45">
      <c r="A7277" s="142" t="s">
        <v>13033</v>
      </c>
      <c r="B7277" s="142" t="s">
        <v>15276</v>
      </c>
      <c r="C7277" s="142" t="s">
        <v>15847</v>
      </c>
      <c r="D7277" s="142" t="s">
        <v>15848</v>
      </c>
      <c r="E7277" s="142" t="s">
        <v>15849</v>
      </c>
      <c r="F7277" s="142" t="s">
        <v>2882</v>
      </c>
      <c r="G7277" s="142" t="s">
        <v>2881</v>
      </c>
      <c r="H7277" s="142" t="s">
        <v>23127</v>
      </c>
      <c r="I7277" s="142">
        <v>70</v>
      </c>
      <c r="J7277" s="142">
        <v>45</v>
      </c>
      <c r="K7277" s="142">
        <v>0</v>
      </c>
      <c r="L7277" s="142">
        <v>0</v>
      </c>
      <c r="M7277" s="142">
        <v>25</v>
      </c>
    </row>
    <row r="7278" spans="1:13" x14ac:dyDescent="0.45">
      <c r="A7278" s="142" t="s">
        <v>13034</v>
      </c>
      <c r="B7278" s="142" t="s">
        <v>15562</v>
      </c>
      <c r="C7278" s="142" t="s">
        <v>15847</v>
      </c>
      <c r="D7278" s="142" t="s">
        <v>15848</v>
      </c>
      <c r="E7278" s="142" t="s">
        <v>15849</v>
      </c>
      <c r="F7278" s="142" t="s">
        <v>2882</v>
      </c>
      <c r="G7278" s="142" t="s">
        <v>2881</v>
      </c>
      <c r="H7278" s="142" t="s">
        <v>23128</v>
      </c>
      <c r="I7278" s="142">
        <v>103</v>
      </c>
      <c r="J7278" s="142">
        <v>63</v>
      </c>
      <c r="K7278" s="142">
        <v>0</v>
      </c>
      <c r="L7278" s="142">
        <v>40</v>
      </c>
      <c r="M7278" s="142">
        <v>0</v>
      </c>
    </row>
    <row r="7279" spans="1:13" x14ac:dyDescent="0.45">
      <c r="A7279" s="142" t="s">
        <v>13035</v>
      </c>
      <c r="B7279" s="142" t="s">
        <v>14648</v>
      </c>
      <c r="C7279" s="142" t="s">
        <v>15847</v>
      </c>
      <c r="D7279" s="142" t="s">
        <v>15848</v>
      </c>
      <c r="E7279" s="142" t="s">
        <v>15849</v>
      </c>
      <c r="F7279" s="142" t="s">
        <v>2882</v>
      </c>
      <c r="G7279" s="142" t="s">
        <v>2881</v>
      </c>
      <c r="H7279" s="142" t="s">
        <v>23129</v>
      </c>
      <c r="I7279" s="142">
        <v>1</v>
      </c>
      <c r="J7279" s="142">
        <v>0</v>
      </c>
      <c r="K7279" s="142">
        <v>0</v>
      </c>
      <c r="L7279" s="142">
        <v>0</v>
      </c>
      <c r="M7279" s="142">
        <v>1</v>
      </c>
    </row>
    <row r="7280" spans="1:13" x14ac:dyDescent="0.45">
      <c r="A7280" s="142" t="s">
        <v>13105</v>
      </c>
      <c r="B7280" s="142" t="s">
        <v>14654</v>
      </c>
      <c r="C7280" s="142" t="s">
        <v>15847</v>
      </c>
      <c r="D7280" s="142" t="s">
        <v>15848</v>
      </c>
      <c r="E7280" s="142" t="s">
        <v>15849</v>
      </c>
      <c r="F7280" s="142" t="s">
        <v>2882</v>
      </c>
      <c r="G7280" s="142" t="s">
        <v>2881</v>
      </c>
      <c r="H7280" s="142" t="s">
        <v>23130</v>
      </c>
      <c r="I7280" s="142">
        <v>11</v>
      </c>
      <c r="J7280" s="142">
        <v>0</v>
      </c>
      <c r="K7280" s="142">
        <v>0</v>
      </c>
      <c r="L7280" s="142">
        <v>0</v>
      </c>
      <c r="M7280" s="142">
        <v>11</v>
      </c>
    </row>
    <row r="7281" spans="1:13" x14ac:dyDescent="0.45">
      <c r="A7281" s="142" t="s">
        <v>13037</v>
      </c>
      <c r="B7281" s="142" t="s">
        <v>14519</v>
      </c>
      <c r="C7281" s="142" t="s">
        <v>15847</v>
      </c>
      <c r="D7281" s="142" t="s">
        <v>15848</v>
      </c>
      <c r="E7281" s="142" t="s">
        <v>15849</v>
      </c>
      <c r="F7281" s="142" t="s">
        <v>2882</v>
      </c>
      <c r="G7281" s="142" t="s">
        <v>2881</v>
      </c>
      <c r="H7281" s="142" t="s">
        <v>23131</v>
      </c>
      <c r="I7281" s="142">
        <v>3</v>
      </c>
      <c r="J7281" s="142">
        <v>0</v>
      </c>
      <c r="K7281" s="142">
        <v>0</v>
      </c>
      <c r="L7281" s="142">
        <v>3</v>
      </c>
      <c r="M7281" s="142">
        <v>0</v>
      </c>
    </row>
    <row r="7282" spans="1:13" x14ac:dyDescent="0.45">
      <c r="A7282" s="142" t="s">
        <v>14187</v>
      </c>
      <c r="B7282" s="142" t="s">
        <v>15568</v>
      </c>
      <c r="C7282" s="142" t="s">
        <v>15860</v>
      </c>
      <c r="D7282" s="142" t="s">
        <v>15861</v>
      </c>
      <c r="E7282" s="142" t="s">
        <v>15849</v>
      </c>
      <c r="F7282" s="142" t="s">
        <v>2882</v>
      </c>
      <c r="G7282" s="142" t="s">
        <v>2881</v>
      </c>
      <c r="H7282" s="142" t="s">
        <v>23132</v>
      </c>
      <c r="I7282" s="142">
        <v>774</v>
      </c>
      <c r="J7282" s="142">
        <v>774</v>
      </c>
      <c r="K7282" s="142">
        <v>0</v>
      </c>
      <c r="L7282" s="142">
        <v>0</v>
      </c>
      <c r="M7282" s="142">
        <v>0</v>
      </c>
    </row>
    <row r="7283" spans="1:13" x14ac:dyDescent="0.45">
      <c r="A7283" s="142" t="s">
        <v>13038</v>
      </c>
      <c r="B7283" s="142" t="s">
        <v>14646</v>
      </c>
      <c r="C7283" s="142" t="s">
        <v>15847</v>
      </c>
      <c r="D7283" s="142" t="s">
        <v>15848</v>
      </c>
      <c r="E7283" s="142" t="s">
        <v>15849</v>
      </c>
      <c r="F7283" s="142" t="s">
        <v>2882</v>
      </c>
      <c r="G7283" s="142" t="s">
        <v>2881</v>
      </c>
      <c r="H7283" s="142" t="s">
        <v>23133</v>
      </c>
      <c r="I7283" s="142">
        <v>65</v>
      </c>
      <c r="J7283" s="142">
        <v>0</v>
      </c>
      <c r="K7283" s="142">
        <v>0</v>
      </c>
      <c r="L7283" s="142">
        <v>0</v>
      </c>
      <c r="M7283" s="142">
        <v>65</v>
      </c>
    </row>
    <row r="7284" spans="1:13" x14ac:dyDescent="0.45">
      <c r="A7284" s="142" t="s">
        <v>13039</v>
      </c>
      <c r="B7284" s="142" t="s">
        <v>14647</v>
      </c>
      <c r="C7284" s="142" t="s">
        <v>15847</v>
      </c>
      <c r="D7284" s="142" t="s">
        <v>15848</v>
      </c>
      <c r="E7284" s="142" t="s">
        <v>15849</v>
      </c>
      <c r="F7284" s="142" t="s">
        <v>2882</v>
      </c>
      <c r="G7284" s="142" t="s">
        <v>2881</v>
      </c>
      <c r="H7284" s="142" t="s">
        <v>23134</v>
      </c>
      <c r="I7284" s="142">
        <v>7</v>
      </c>
      <c r="J7284" s="142">
        <v>7</v>
      </c>
      <c r="K7284" s="142">
        <v>0</v>
      </c>
      <c r="L7284" s="142">
        <v>0</v>
      </c>
      <c r="M7284" s="142">
        <v>0</v>
      </c>
    </row>
    <row r="7285" spans="1:13" x14ac:dyDescent="0.45">
      <c r="A7285" s="142" t="s">
        <v>13078</v>
      </c>
      <c r="B7285" s="142" t="s">
        <v>15540</v>
      </c>
      <c r="C7285" s="142" t="s">
        <v>15847</v>
      </c>
      <c r="D7285" s="142" t="s">
        <v>15848</v>
      </c>
      <c r="E7285" s="142" t="s">
        <v>15849</v>
      </c>
      <c r="F7285" s="142" t="s">
        <v>2882</v>
      </c>
      <c r="G7285" s="142" t="s">
        <v>2881</v>
      </c>
      <c r="H7285" s="142" t="s">
        <v>23135</v>
      </c>
      <c r="I7285" s="142">
        <v>23</v>
      </c>
      <c r="J7285" s="142">
        <v>10</v>
      </c>
      <c r="K7285" s="142">
        <v>0</v>
      </c>
      <c r="L7285" s="142">
        <v>13</v>
      </c>
      <c r="M7285" s="142">
        <v>0</v>
      </c>
    </row>
    <row r="7286" spans="1:13" x14ac:dyDescent="0.45">
      <c r="A7286" s="142" t="s">
        <v>13091</v>
      </c>
      <c r="B7286" s="142" t="s">
        <v>14473</v>
      </c>
      <c r="C7286" s="142" t="s">
        <v>15847</v>
      </c>
      <c r="D7286" s="142" t="s">
        <v>15848</v>
      </c>
      <c r="E7286" s="142" t="s">
        <v>15849</v>
      </c>
      <c r="F7286" s="142" t="s">
        <v>2882</v>
      </c>
      <c r="G7286" s="142" t="s">
        <v>2881</v>
      </c>
      <c r="H7286" s="142" t="s">
        <v>23136</v>
      </c>
      <c r="I7286" s="142">
        <v>88</v>
      </c>
      <c r="J7286" s="142">
        <v>46</v>
      </c>
      <c r="K7286" s="142">
        <v>0</v>
      </c>
      <c r="L7286" s="142">
        <v>0</v>
      </c>
      <c r="M7286" s="142">
        <v>42</v>
      </c>
    </row>
    <row r="7287" spans="1:13" x14ac:dyDescent="0.45">
      <c r="A7287" s="142" t="s">
        <v>13009</v>
      </c>
      <c r="B7287" s="142" t="s">
        <v>15256</v>
      </c>
      <c r="C7287" s="142" t="s">
        <v>15847</v>
      </c>
      <c r="D7287" s="142" t="s">
        <v>15848</v>
      </c>
      <c r="E7287" s="142" t="s">
        <v>15849</v>
      </c>
      <c r="F7287" s="142" t="s">
        <v>2882</v>
      </c>
      <c r="G7287" s="142" t="s">
        <v>2881</v>
      </c>
      <c r="H7287" s="142" t="s">
        <v>23137</v>
      </c>
      <c r="I7287" s="142">
        <v>960</v>
      </c>
      <c r="J7287" s="142">
        <v>792</v>
      </c>
      <c r="K7287" s="142">
        <v>0</v>
      </c>
      <c r="L7287" s="142">
        <v>135</v>
      </c>
      <c r="M7287" s="142">
        <v>33</v>
      </c>
    </row>
    <row r="7288" spans="1:13" x14ac:dyDescent="0.45">
      <c r="A7288" s="142" t="s">
        <v>13194</v>
      </c>
      <c r="B7288" s="142" t="s">
        <v>15572</v>
      </c>
      <c r="C7288" s="142" t="s">
        <v>15847</v>
      </c>
      <c r="D7288" s="142" t="s">
        <v>15848</v>
      </c>
      <c r="E7288" s="142" t="s">
        <v>15849</v>
      </c>
      <c r="F7288" s="142" t="s">
        <v>2882</v>
      </c>
      <c r="G7288" s="142" t="s">
        <v>2881</v>
      </c>
      <c r="H7288" s="142" t="s">
        <v>23138</v>
      </c>
      <c r="I7288" s="142">
        <v>412</v>
      </c>
      <c r="J7288" s="142">
        <v>312</v>
      </c>
      <c r="K7288" s="142">
        <v>0</v>
      </c>
      <c r="L7288" s="142">
        <v>0</v>
      </c>
      <c r="M7288" s="142">
        <v>100</v>
      </c>
    </row>
    <row r="7289" spans="1:13" x14ac:dyDescent="0.45">
      <c r="A7289" s="142" t="s">
        <v>14188</v>
      </c>
      <c r="B7289" s="142" t="s">
        <v>14679</v>
      </c>
      <c r="C7289" s="142" t="s">
        <v>15860</v>
      </c>
      <c r="D7289" s="142" t="s">
        <v>15861</v>
      </c>
      <c r="E7289" s="142" t="s">
        <v>15849</v>
      </c>
      <c r="F7289" s="142" t="s">
        <v>2882</v>
      </c>
      <c r="G7289" s="142" t="s">
        <v>2881</v>
      </c>
      <c r="H7289" s="142" t="s">
        <v>23139</v>
      </c>
      <c r="I7289" s="142">
        <v>12</v>
      </c>
      <c r="J7289" s="142">
        <v>0</v>
      </c>
      <c r="K7289" s="142">
        <v>0</v>
      </c>
      <c r="L7289" s="142">
        <v>12</v>
      </c>
      <c r="M7289" s="142">
        <v>0</v>
      </c>
    </row>
    <row r="7290" spans="1:13" x14ac:dyDescent="0.45">
      <c r="A7290" s="142" t="s">
        <v>13058</v>
      </c>
      <c r="B7290" s="142" t="s">
        <v>14584</v>
      </c>
      <c r="C7290" s="142" t="s">
        <v>15847</v>
      </c>
      <c r="D7290" s="142" t="s">
        <v>15848</v>
      </c>
      <c r="E7290" s="142" t="s">
        <v>15849</v>
      </c>
      <c r="F7290" s="142" t="s">
        <v>2882</v>
      </c>
      <c r="G7290" s="142" t="s">
        <v>2881</v>
      </c>
      <c r="H7290" s="142" t="s">
        <v>23140</v>
      </c>
      <c r="I7290" s="142">
        <v>242</v>
      </c>
      <c r="J7290" s="142">
        <v>91</v>
      </c>
      <c r="K7290" s="142">
        <v>0</v>
      </c>
      <c r="L7290" s="142">
        <v>0</v>
      </c>
      <c r="M7290" s="142">
        <v>151</v>
      </c>
    </row>
    <row r="7291" spans="1:13" x14ac:dyDescent="0.45">
      <c r="A7291" s="142" t="s">
        <v>13041</v>
      </c>
      <c r="B7291" s="142" t="s">
        <v>14441</v>
      </c>
      <c r="C7291" s="142" t="s">
        <v>15847</v>
      </c>
      <c r="D7291" s="142" t="s">
        <v>15848</v>
      </c>
      <c r="E7291" s="142" t="s">
        <v>15849</v>
      </c>
      <c r="F7291" s="142" t="s">
        <v>2882</v>
      </c>
      <c r="G7291" s="142" t="s">
        <v>2881</v>
      </c>
      <c r="H7291" s="142" t="s">
        <v>23141</v>
      </c>
      <c r="I7291" s="142">
        <v>9</v>
      </c>
      <c r="J7291" s="142">
        <v>0</v>
      </c>
      <c r="K7291" s="142">
        <v>0</v>
      </c>
      <c r="L7291" s="142">
        <v>0</v>
      </c>
      <c r="M7291" s="142">
        <v>9</v>
      </c>
    </row>
    <row r="7292" spans="1:13" x14ac:dyDescent="0.45">
      <c r="A7292" s="142" t="s">
        <v>13205</v>
      </c>
      <c r="B7292" s="142" t="s">
        <v>14496</v>
      </c>
      <c r="C7292" s="142" t="s">
        <v>15847</v>
      </c>
      <c r="D7292" s="142" t="s">
        <v>15848</v>
      </c>
      <c r="E7292" s="142" t="s">
        <v>15849</v>
      </c>
      <c r="F7292" s="142" t="s">
        <v>2882</v>
      </c>
      <c r="G7292" s="142" t="s">
        <v>2881</v>
      </c>
      <c r="H7292" s="142" t="s">
        <v>23142</v>
      </c>
      <c r="I7292" s="142">
        <v>65</v>
      </c>
      <c r="J7292" s="142">
        <v>45</v>
      </c>
      <c r="K7292" s="142">
        <v>0</v>
      </c>
      <c r="L7292" s="142">
        <v>0</v>
      </c>
      <c r="M7292" s="142">
        <v>20</v>
      </c>
    </row>
    <row r="7293" spans="1:13" x14ac:dyDescent="0.45">
      <c r="A7293" s="142" t="s">
        <v>13012</v>
      </c>
      <c r="B7293" s="142" t="s">
        <v>15337</v>
      </c>
      <c r="C7293" s="142" t="s">
        <v>15847</v>
      </c>
      <c r="D7293" s="142" t="s">
        <v>15848</v>
      </c>
      <c r="E7293" s="142" t="s">
        <v>15849</v>
      </c>
      <c r="F7293" s="142" t="s">
        <v>2882</v>
      </c>
      <c r="G7293" s="142" t="s">
        <v>2881</v>
      </c>
      <c r="H7293" s="142" t="s">
        <v>23143</v>
      </c>
      <c r="I7293" s="142">
        <v>2353</v>
      </c>
      <c r="J7293" s="142">
        <v>2088</v>
      </c>
      <c r="K7293" s="142">
        <v>0</v>
      </c>
      <c r="L7293" s="142">
        <v>5</v>
      </c>
      <c r="M7293" s="142">
        <v>260</v>
      </c>
    </row>
    <row r="7294" spans="1:13" x14ac:dyDescent="0.45">
      <c r="A7294" s="142" t="s">
        <v>13060</v>
      </c>
      <c r="B7294" s="142" t="s">
        <v>14470</v>
      </c>
      <c r="C7294" s="142" t="s">
        <v>15847</v>
      </c>
      <c r="D7294" s="142" t="s">
        <v>15848</v>
      </c>
      <c r="E7294" s="142" t="s">
        <v>15849</v>
      </c>
      <c r="F7294" s="142" t="s">
        <v>2882</v>
      </c>
      <c r="G7294" s="142" t="s">
        <v>2881</v>
      </c>
      <c r="H7294" s="142" t="s">
        <v>23144</v>
      </c>
      <c r="I7294" s="142">
        <v>147</v>
      </c>
      <c r="J7294" s="142">
        <v>91</v>
      </c>
      <c r="K7294" s="142">
        <v>0</v>
      </c>
      <c r="L7294" s="142">
        <v>0</v>
      </c>
      <c r="M7294" s="142">
        <v>56</v>
      </c>
    </row>
    <row r="7295" spans="1:13" x14ac:dyDescent="0.45">
      <c r="A7295" s="142" t="s">
        <v>14189</v>
      </c>
      <c r="B7295" s="142" t="s">
        <v>14633</v>
      </c>
      <c r="C7295" s="142" t="s">
        <v>15860</v>
      </c>
      <c r="D7295" s="142" t="s">
        <v>15861</v>
      </c>
      <c r="E7295" s="142" t="s">
        <v>15849</v>
      </c>
      <c r="F7295" s="142" t="s">
        <v>2882</v>
      </c>
      <c r="G7295" s="142" t="s">
        <v>2881</v>
      </c>
      <c r="H7295" s="142" t="s">
        <v>23145</v>
      </c>
      <c r="I7295" s="142">
        <v>66</v>
      </c>
      <c r="J7295" s="142">
        <v>0</v>
      </c>
      <c r="K7295" s="142">
        <v>0</v>
      </c>
      <c r="L7295" s="142">
        <v>66</v>
      </c>
      <c r="M7295" s="142">
        <v>0</v>
      </c>
    </row>
    <row r="7296" spans="1:13" x14ac:dyDescent="0.45">
      <c r="A7296" s="142" t="s">
        <v>14190</v>
      </c>
      <c r="B7296" s="142" t="s">
        <v>15182</v>
      </c>
      <c r="C7296" s="142" t="s">
        <v>15860</v>
      </c>
      <c r="D7296" s="142" t="s">
        <v>15861</v>
      </c>
      <c r="E7296" s="142" t="s">
        <v>15849</v>
      </c>
      <c r="F7296" s="142" t="s">
        <v>2882</v>
      </c>
      <c r="G7296" s="142" t="s">
        <v>2881</v>
      </c>
      <c r="H7296" s="142" t="s">
        <v>23146</v>
      </c>
      <c r="I7296" s="142">
        <v>9</v>
      </c>
      <c r="J7296" s="142">
        <v>0</v>
      </c>
      <c r="K7296" s="142">
        <v>0</v>
      </c>
      <c r="L7296" s="142">
        <v>9</v>
      </c>
      <c r="M7296" s="142">
        <v>0</v>
      </c>
    </row>
    <row r="7297" spans="1:13" x14ac:dyDescent="0.45">
      <c r="A7297" s="142" t="s">
        <v>13285</v>
      </c>
      <c r="B7297" s="142" t="s">
        <v>15158</v>
      </c>
      <c r="C7297" s="142" t="s">
        <v>15860</v>
      </c>
      <c r="D7297" s="142" t="s">
        <v>15861</v>
      </c>
      <c r="E7297" s="142" t="s">
        <v>15849</v>
      </c>
      <c r="F7297" s="142" t="s">
        <v>2882</v>
      </c>
      <c r="G7297" s="142" t="s">
        <v>2881</v>
      </c>
      <c r="H7297" s="142" t="s">
        <v>23147</v>
      </c>
      <c r="I7297" s="142">
        <v>53</v>
      </c>
      <c r="J7297" s="142">
        <v>0</v>
      </c>
      <c r="K7297" s="142">
        <v>0</v>
      </c>
      <c r="L7297" s="142">
        <v>53</v>
      </c>
      <c r="M7297" s="142">
        <v>0</v>
      </c>
    </row>
    <row r="7298" spans="1:13" x14ac:dyDescent="0.45">
      <c r="A7298" s="142" t="s">
        <v>14191</v>
      </c>
      <c r="B7298" s="142" t="s">
        <v>14604</v>
      </c>
      <c r="C7298" s="142" t="s">
        <v>15860</v>
      </c>
      <c r="D7298" s="142" t="s">
        <v>15861</v>
      </c>
      <c r="E7298" s="142" t="s">
        <v>15849</v>
      </c>
      <c r="F7298" s="142" t="s">
        <v>2882</v>
      </c>
      <c r="G7298" s="142" t="s">
        <v>2881</v>
      </c>
      <c r="H7298" s="142" t="s">
        <v>23148</v>
      </c>
      <c r="I7298" s="142">
        <v>17</v>
      </c>
      <c r="J7298" s="142">
        <v>0</v>
      </c>
      <c r="K7298" s="142">
        <v>0</v>
      </c>
      <c r="L7298" s="142">
        <v>17</v>
      </c>
      <c r="M7298" s="142">
        <v>0</v>
      </c>
    </row>
    <row r="7299" spans="1:13" x14ac:dyDescent="0.45">
      <c r="A7299" s="142" t="s">
        <v>13014</v>
      </c>
      <c r="B7299" s="142" t="s">
        <v>14505</v>
      </c>
      <c r="C7299" s="142" t="s">
        <v>15847</v>
      </c>
      <c r="D7299" s="142" t="s">
        <v>15848</v>
      </c>
      <c r="E7299" s="142" t="s">
        <v>15849</v>
      </c>
      <c r="F7299" s="142" t="s">
        <v>2882</v>
      </c>
      <c r="G7299" s="142" t="s">
        <v>2881</v>
      </c>
      <c r="H7299" s="142" t="s">
        <v>23149</v>
      </c>
      <c r="I7299" s="142">
        <v>268</v>
      </c>
      <c r="J7299" s="142">
        <v>184</v>
      </c>
      <c r="K7299" s="142">
        <v>0</v>
      </c>
      <c r="L7299" s="142">
        <v>27</v>
      </c>
      <c r="M7299" s="142">
        <v>57</v>
      </c>
    </row>
    <row r="7300" spans="1:13" x14ac:dyDescent="0.45">
      <c r="A7300" s="142" t="s">
        <v>13174</v>
      </c>
      <c r="B7300" s="142" t="s">
        <v>15280</v>
      </c>
      <c r="C7300" s="142" t="s">
        <v>15847</v>
      </c>
      <c r="D7300" s="142" t="s">
        <v>15848</v>
      </c>
      <c r="E7300" s="142" t="s">
        <v>15849</v>
      </c>
      <c r="F7300" s="142" t="s">
        <v>2882</v>
      </c>
      <c r="G7300" s="142" t="s">
        <v>2881</v>
      </c>
      <c r="H7300" s="142" t="s">
        <v>23150</v>
      </c>
      <c r="I7300" s="142">
        <v>50</v>
      </c>
      <c r="J7300" s="142">
        <v>32</v>
      </c>
      <c r="K7300" s="142">
        <v>0</v>
      </c>
      <c r="L7300" s="142">
        <v>0</v>
      </c>
      <c r="M7300" s="142">
        <v>18</v>
      </c>
    </row>
    <row r="7301" spans="1:13" x14ac:dyDescent="0.45">
      <c r="A7301" s="142" t="s">
        <v>13016</v>
      </c>
      <c r="B7301" s="142" t="s">
        <v>14535</v>
      </c>
      <c r="C7301" s="142" t="s">
        <v>15860</v>
      </c>
      <c r="D7301" s="142" t="s">
        <v>15861</v>
      </c>
      <c r="E7301" s="142" t="s">
        <v>15849</v>
      </c>
      <c r="F7301" s="142" t="s">
        <v>2882</v>
      </c>
      <c r="G7301" s="142" t="s">
        <v>2881</v>
      </c>
      <c r="H7301" s="142" t="s">
        <v>23151</v>
      </c>
      <c r="I7301" s="142">
        <v>33</v>
      </c>
      <c r="J7301" s="142">
        <v>0</v>
      </c>
      <c r="K7301" s="142">
        <v>0</v>
      </c>
      <c r="L7301" s="142">
        <v>33</v>
      </c>
      <c r="M7301" s="142">
        <v>0</v>
      </c>
    </row>
    <row r="7302" spans="1:13" x14ac:dyDescent="0.45">
      <c r="A7302" s="142" t="s">
        <v>13195</v>
      </c>
      <c r="B7302" s="142" t="s">
        <v>15381</v>
      </c>
      <c r="C7302" s="142" t="s">
        <v>15860</v>
      </c>
      <c r="D7302" s="142" t="s">
        <v>15861</v>
      </c>
      <c r="E7302" s="142" t="s">
        <v>15849</v>
      </c>
      <c r="F7302" s="142" t="s">
        <v>2882</v>
      </c>
      <c r="G7302" s="142" t="s">
        <v>2881</v>
      </c>
      <c r="H7302" s="142" t="s">
        <v>23152</v>
      </c>
      <c r="I7302" s="142">
        <v>80</v>
      </c>
      <c r="J7302" s="142">
        <v>80</v>
      </c>
      <c r="K7302" s="142">
        <v>0</v>
      </c>
      <c r="L7302" s="142">
        <v>0</v>
      </c>
      <c r="M7302" s="142">
        <v>0</v>
      </c>
    </row>
    <row r="7303" spans="1:13" x14ac:dyDescent="0.45">
      <c r="A7303" s="142" t="s">
        <v>13542</v>
      </c>
      <c r="B7303" s="142" t="s">
        <v>15368</v>
      </c>
      <c r="C7303" s="142" t="s">
        <v>15847</v>
      </c>
      <c r="D7303" s="142" t="s">
        <v>15848</v>
      </c>
      <c r="E7303" s="142" t="s">
        <v>15849</v>
      </c>
      <c r="F7303" s="142" t="s">
        <v>2882</v>
      </c>
      <c r="G7303" s="142" t="s">
        <v>2881</v>
      </c>
      <c r="H7303" s="142" t="s">
        <v>23153</v>
      </c>
      <c r="I7303" s="142">
        <v>426</v>
      </c>
      <c r="J7303" s="142">
        <v>390</v>
      </c>
      <c r="K7303" s="142">
        <v>0</v>
      </c>
      <c r="L7303" s="142">
        <v>0</v>
      </c>
      <c r="M7303" s="142">
        <v>36</v>
      </c>
    </row>
    <row r="7304" spans="1:13" x14ac:dyDescent="0.45">
      <c r="A7304" s="142" t="s">
        <v>14192</v>
      </c>
      <c r="B7304" s="142" t="s">
        <v>14932</v>
      </c>
      <c r="C7304" s="142" t="s">
        <v>15860</v>
      </c>
      <c r="D7304" s="142" t="s">
        <v>15861</v>
      </c>
      <c r="E7304" s="142" t="s">
        <v>15849</v>
      </c>
      <c r="F7304" s="142" t="s">
        <v>2882</v>
      </c>
      <c r="G7304" s="142" t="s">
        <v>2881</v>
      </c>
      <c r="H7304" s="142" t="s">
        <v>23154</v>
      </c>
      <c r="I7304" s="142">
        <v>8</v>
      </c>
      <c r="J7304" s="142">
        <v>0</v>
      </c>
      <c r="K7304" s="142">
        <v>0</v>
      </c>
      <c r="L7304" s="142">
        <v>8</v>
      </c>
      <c r="M7304" s="142">
        <v>0</v>
      </c>
    </row>
    <row r="7305" spans="1:13" x14ac:dyDescent="0.45">
      <c r="A7305" s="142" t="s">
        <v>14193</v>
      </c>
      <c r="B7305" s="142" t="s">
        <v>14615</v>
      </c>
      <c r="C7305" s="142" t="s">
        <v>15860</v>
      </c>
      <c r="D7305" s="142" t="s">
        <v>15861</v>
      </c>
      <c r="E7305" s="142" t="s">
        <v>15849</v>
      </c>
      <c r="F7305" s="142" t="s">
        <v>2882</v>
      </c>
      <c r="G7305" s="142" t="s">
        <v>2881</v>
      </c>
      <c r="H7305" s="142" t="s">
        <v>23155</v>
      </c>
      <c r="I7305" s="142">
        <v>51</v>
      </c>
      <c r="J7305" s="142">
        <v>0</v>
      </c>
      <c r="K7305" s="142">
        <v>0</v>
      </c>
      <c r="L7305" s="142">
        <v>51</v>
      </c>
      <c r="M7305" s="142">
        <v>0</v>
      </c>
    </row>
    <row r="7306" spans="1:13" x14ac:dyDescent="0.45">
      <c r="A7306" s="142" t="s">
        <v>13207</v>
      </c>
      <c r="B7306" s="142" t="s">
        <v>15558</v>
      </c>
      <c r="C7306" s="142" t="s">
        <v>15847</v>
      </c>
      <c r="D7306" s="142" t="s">
        <v>15848</v>
      </c>
      <c r="E7306" s="142" t="s">
        <v>15849</v>
      </c>
      <c r="F7306" s="142" t="s">
        <v>2882</v>
      </c>
      <c r="G7306" s="142" t="s">
        <v>2881</v>
      </c>
      <c r="H7306" s="142" t="s">
        <v>23156</v>
      </c>
      <c r="I7306" s="142">
        <v>1</v>
      </c>
      <c r="J7306" s="142">
        <v>0</v>
      </c>
      <c r="K7306" s="142">
        <v>0</v>
      </c>
      <c r="L7306" s="142">
        <v>0</v>
      </c>
      <c r="M7306" s="142">
        <v>1</v>
      </c>
    </row>
    <row r="7307" spans="1:13" x14ac:dyDescent="0.45">
      <c r="A7307" s="142" t="s">
        <v>13072</v>
      </c>
      <c r="B7307" s="142" t="s">
        <v>15530</v>
      </c>
      <c r="C7307" s="142" t="s">
        <v>15847</v>
      </c>
      <c r="D7307" s="142" t="s">
        <v>15848</v>
      </c>
      <c r="E7307" s="142" t="s">
        <v>15849</v>
      </c>
      <c r="F7307" s="142" t="s">
        <v>3084</v>
      </c>
      <c r="G7307" s="142" t="s">
        <v>3083</v>
      </c>
      <c r="H7307" s="142" t="s">
        <v>23157</v>
      </c>
      <c r="I7307" s="142">
        <v>331</v>
      </c>
      <c r="J7307" s="142">
        <v>238</v>
      </c>
      <c r="K7307" s="142">
        <v>0</v>
      </c>
      <c r="L7307" s="142">
        <v>0</v>
      </c>
      <c r="M7307" s="142">
        <v>93</v>
      </c>
    </row>
    <row r="7308" spans="1:13" x14ac:dyDescent="0.45">
      <c r="A7308" s="142" t="s">
        <v>13022</v>
      </c>
      <c r="B7308" s="142" t="s">
        <v>14634</v>
      </c>
      <c r="C7308" s="142" t="s">
        <v>15847</v>
      </c>
      <c r="D7308" s="142" t="s">
        <v>15848</v>
      </c>
      <c r="E7308" s="142" t="s">
        <v>15849</v>
      </c>
      <c r="F7308" s="142" t="s">
        <v>3084</v>
      </c>
      <c r="G7308" s="142" t="s">
        <v>3083</v>
      </c>
      <c r="H7308" s="142" t="s">
        <v>23158</v>
      </c>
      <c r="I7308" s="142">
        <v>111</v>
      </c>
      <c r="J7308" s="142">
        <v>79</v>
      </c>
      <c r="K7308" s="142">
        <v>0</v>
      </c>
      <c r="L7308" s="142">
        <v>0</v>
      </c>
      <c r="M7308" s="142">
        <v>32</v>
      </c>
    </row>
    <row r="7309" spans="1:13" x14ac:dyDescent="0.45">
      <c r="A7309" s="142" t="s">
        <v>13023</v>
      </c>
      <c r="B7309" s="142" t="s">
        <v>15571</v>
      </c>
      <c r="C7309" s="142" t="s">
        <v>15847</v>
      </c>
      <c r="D7309" s="142" t="s">
        <v>15848</v>
      </c>
      <c r="E7309" s="142" t="s">
        <v>15849</v>
      </c>
      <c r="F7309" s="142" t="s">
        <v>3084</v>
      </c>
      <c r="G7309" s="142" t="s">
        <v>3083</v>
      </c>
      <c r="H7309" s="142" t="s">
        <v>23159</v>
      </c>
      <c r="I7309" s="142">
        <v>32</v>
      </c>
      <c r="J7309" s="142">
        <v>0</v>
      </c>
      <c r="K7309" s="142">
        <v>0</v>
      </c>
      <c r="L7309" s="142">
        <v>32</v>
      </c>
      <c r="M7309" s="142">
        <v>0</v>
      </c>
    </row>
    <row r="7310" spans="1:13" x14ac:dyDescent="0.45">
      <c r="A7310" s="142" t="s">
        <v>13000</v>
      </c>
      <c r="B7310" s="142" t="s">
        <v>14610</v>
      </c>
      <c r="C7310" s="142" t="s">
        <v>15847</v>
      </c>
      <c r="D7310" s="142" t="s">
        <v>15848</v>
      </c>
      <c r="E7310" s="142" t="s">
        <v>15849</v>
      </c>
      <c r="F7310" s="142" t="s">
        <v>3084</v>
      </c>
      <c r="G7310" s="142" t="s">
        <v>3083</v>
      </c>
      <c r="H7310" s="142" t="s">
        <v>23160</v>
      </c>
      <c r="I7310" s="142">
        <v>731</v>
      </c>
      <c r="J7310" s="142">
        <v>577</v>
      </c>
      <c r="K7310" s="142">
        <v>0</v>
      </c>
      <c r="L7310" s="142">
        <v>7</v>
      </c>
      <c r="M7310" s="142">
        <v>147</v>
      </c>
    </row>
    <row r="7311" spans="1:13" x14ac:dyDescent="0.45">
      <c r="A7311" s="142" t="s">
        <v>13198</v>
      </c>
      <c r="B7311" s="142" t="s">
        <v>15602</v>
      </c>
      <c r="C7311" s="142" t="s">
        <v>15847</v>
      </c>
      <c r="D7311" s="142" t="s">
        <v>15848</v>
      </c>
      <c r="E7311" s="142" t="s">
        <v>15849</v>
      </c>
      <c r="F7311" s="142" t="s">
        <v>3084</v>
      </c>
      <c r="G7311" s="142" t="s">
        <v>3083</v>
      </c>
      <c r="H7311" s="142" t="s">
        <v>23161</v>
      </c>
      <c r="I7311" s="142">
        <v>113</v>
      </c>
      <c r="J7311" s="142">
        <v>80</v>
      </c>
      <c r="K7311" s="142">
        <v>0</v>
      </c>
      <c r="L7311" s="142">
        <v>0</v>
      </c>
      <c r="M7311" s="142">
        <v>33</v>
      </c>
    </row>
    <row r="7312" spans="1:13" x14ac:dyDescent="0.45">
      <c r="A7312" s="142" t="s">
        <v>13074</v>
      </c>
      <c r="B7312" s="142" t="s">
        <v>15405</v>
      </c>
      <c r="C7312" s="142" t="s">
        <v>15847</v>
      </c>
      <c r="D7312" s="142" t="s">
        <v>15848</v>
      </c>
      <c r="E7312" s="142" t="s">
        <v>15849</v>
      </c>
      <c r="F7312" s="142" t="s">
        <v>3084</v>
      </c>
      <c r="G7312" s="142" t="s">
        <v>3083</v>
      </c>
      <c r="H7312" s="142" t="s">
        <v>23162</v>
      </c>
      <c r="I7312" s="142">
        <v>52</v>
      </c>
      <c r="J7312" s="142">
        <v>52</v>
      </c>
      <c r="K7312" s="142">
        <v>0</v>
      </c>
      <c r="L7312" s="142">
        <v>0</v>
      </c>
      <c r="M7312" s="142">
        <v>0</v>
      </c>
    </row>
    <row r="7313" spans="1:13" x14ac:dyDescent="0.45">
      <c r="A7313" s="142" t="s">
        <v>13087</v>
      </c>
      <c r="B7313" s="142" t="s">
        <v>14452</v>
      </c>
      <c r="C7313" s="142" t="s">
        <v>15847</v>
      </c>
      <c r="D7313" s="142" t="s">
        <v>15848</v>
      </c>
      <c r="E7313" s="142" t="s">
        <v>15849</v>
      </c>
      <c r="F7313" s="142" t="s">
        <v>3084</v>
      </c>
      <c r="G7313" s="142" t="s">
        <v>3083</v>
      </c>
      <c r="H7313" s="142" t="s">
        <v>23163</v>
      </c>
      <c r="I7313" s="142">
        <v>408</v>
      </c>
      <c r="J7313" s="142">
        <v>290</v>
      </c>
      <c r="K7313" s="142">
        <v>0</v>
      </c>
      <c r="L7313" s="142">
        <v>0</v>
      </c>
      <c r="M7313" s="142">
        <v>118</v>
      </c>
    </row>
    <row r="7314" spans="1:13" x14ac:dyDescent="0.45">
      <c r="A7314" s="142" t="s">
        <v>13026</v>
      </c>
      <c r="B7314" s="142" t="s">
        <v>15447</v>
      </c>
      <c r="C7314" s="142" t="s">
        <v>15847</v>
      </c>
      <c r="D7314" s="142" t="s">
        <v>15848</v>
      </c>
      <c r="E7314" s="142" t="s">
        <v>15849</v>
      </c>
      <c r="F7314" s="142" t="s">
        <v>3084</v>
      </c>
      <c r="G7314" s="142" t="s">
        <v>3083</v>
      </c>
      <c r="H7314" s="142" t="s">
        <v>23164</v>
      </c>
      <c r="I7314" s="142">
        <v>9</v>
      </c>
      <c r="J7314" s="142">
        <v>0</v>
      </c>
      <c r="K7314" s="142">
        <v>0</v>
      </c>
      <c r="L7314" s="142">
        <v>0</v>
      </c>
      <c r="M7314" s="142">
        <v>9</v>
      </c>
    </row>
    <row r="7315" spans="1:13" x14ac:dyDescent="0.45">
      <c r="A7315" s="142" t="s">
        <v>13050</v>
      </c>
      <c r="B7315" s="142" t="s">
        <v>15237</v>
      </c>
      <c r="C7315" s="142" t="s">
        <v>15847</v>
      </c>
      <c r="D7315" s="142" t="s">
        <v>15848</v>
      </c>
      <c r="E7315" s="142" t="s">
        <v>15849</v>
      </c>
      <c r="F7315" s="142" t="s">
        <v>3084</v>
      </c>
      <c r="G7315" s="142" t="s">
        <v>3083</v>
      </c>
      <c r="H7315" s="142" t="s">
        <v>23165</v>
      </c>
      <c r="I7315" s="142">
        <v>18</v>
      </c>
      <c r="J7315" s="142">
        <v>15</v>
      </c>
      <c r="K7315" s="142">
        <v>0</v>
      </c>
      <c r="L7315" s="142">
        <v>0</v>
      </c>
      <c r="M7315" s="142">
        <v>3</v>
      </c>
    </row>
    <row r="7316" spans="1:13" x14ac:dyDescent="0.45">
      <c r="A7316" s="142" t="s">
        <v>13028</v>
      </c>
      <c r="B7316" s="142" t="s">
        <v>14462</v>
      </c>
      <c r="C7316" s="142" t="s">
        <v>15847</v>
      </c>
      <c r="D7316" s="142" t="s">
        <v>15848</v>
      </c>
      <c r="E7316" s="142" t="s">
        <v>15849</v>
      </c>
      <c r="F7316" s="142" t="s">
        <v>3084</v>
      </c>
      <c r="G7316" s="142" t="s">
        <v>3083</v>
      </c>
      <c r="H7316" s="142" t="s">
        <v>23166</v>
      </c>
      <c r="I7316" s="142">
        <v>30</v>
      </c>
      <c r="J7316" s="142">
        <v>0</v>
      </c>
      <c r="K7316" s="142">
        <v>0</v>
      </c>
      <c r="L7316" s="142">
        <v>0</v>
      </c>
      <c r="M7316" s="142">
        <v>30</v>
      </c>
    </row>
    <row r="7317" spans="1:13" x14ac:dyDescent="0.45">
      <c r="A7317" s="142" t="s">
        <v>13426</v>
      </c>
      <c r="B7317" s="142" t="s">
        <v>15285</v>
      </c>
      <c r="C7317" s="142" t="s">
        <v>15847</v>
      </c>
      <c r="D7317" s="142" t="s">
        <v>15848</v>
      </c>
      <c r="E7317" s="142" t="s">
        <v>15849</v>
      </c>
      <c r="F7317" s="142" t="s">
        <v>3084</v>
      </c>
      <c r="G7317" s="142" t="s">
        <v>3083</v>
      </c>
      <c r="H7317" s="142" t="s">
        <v>23167</v>
      </c>
      <c r="I7317" s="142">
        <v>251</v>
      </c>
      <c r="J7317" s="142">
        <v>195</v>
      </c>
      <c r="K7317" s="142">
        <v>0</v>
      </c>
      <c r="L7317" s="142">
        <v>0</v>
      </c>
      <c r="M7317" s="142">
        <v>56</v>
      </c>
    </row>
    <row r="7318" spans="1:13" x14ac:dyDescent="0.45">
      <c r="A7318" s="142" t="s">
        <v>13005</v>
      </c>
      <c r="B7318" s="142" t="s">
        <v>15475</v>
      </c>
      <c r="C7318" s="142" t="s">
        <v>15847</v>
      </c>
      <c r="D7318" s="142" t="s">
        <v>15848</v>
      </c>
      <c r="E7318" s="142" t="s">
        <v>15849</v>
      </c>
      <c r="F7318" s="142" t="s">
        <v>3084</v>
      </c>
      <c r="G7318" s="142" t="s">
        <v>3083</v>
      </c>
      <c r="H7318" s="142" t="s">
        <v>23168</v>
      </c>
      <c r="I7318" s="142">
        <v>138</v>
      </c>
      <c r="J7318" s="142">
        <v>45</v>
      </c>
      <c r="K7318" s="142">
        <v>0</v>
      </c>
      <c r="L7318" s="142">
        <v>0</v>
      </c>
      <c r="M7318" s="142">
        <v>93</v>
      </c>
    </row>
    <row r="7319" spans="1:13" x14ac:dyDescent="0.45">
      <c r="A7319" s="142" t="s">
        <v>13029</v>
      </c>
      <c r="B7319" s="142" t="s">
        <v>14665</v>
      </c>
      <c r="C7319" s="142" t="s">
        <v>15847</v>
      </c>
      <c r="D7319" s="142" t="s">
        <v>15848</v>
      </c>
      <c r="E7319" s="142" t="s">
        <v>15849</v>
      </c>
      <c r="F7319" s="142" t="s">
        <v>3084</v>
      </c>
      <c r="G7319" s="142" t="s">
        <v>3083</v>
      </c>
      <c r="H7319" s="142" t="s">
        <v>23169</v>
      </c>
      <c r="I7319" s="142">
        <v>28</v>
      </c>
      <c r="J7319" s="142">
        <v>0</v>
      </c>
      <c r="K7319" s="142">
        <v>0</v>
      </c>
      <c r="L7319" s="142">
        <v>0</v>
      </c>
      <c r="M7319" s="142">
        <v>28</v>
      </c>
    </row>
    <row r="7320" spans="1:13" x14ac:dyDescent="0.45">
      <c r="A7320" s="142" t="s">
        <v>13006</v>
      </c>
      <c r="B7320" s="142" t="s">
        <v>15288</v>
      </c>
      <c r="C7320" s="142" t="s">
        <v>15847</v>
      </c>
      <c r="D7320" s="142" t="s">
        <v>15848</v>
      </c>
      <c r="E7320" s="142" t="s">
        <v>15849</v>
      </c>
      <c r="F7320" s="142" t="s">
        <v>3084</v>
      </c>
      <c r="G7320" s="142" t="s">
        <v>3083</v>
      </c>
      <c r="H7320" s="142" t="s">
        <v>23170</v>
      </c>
      <c r="I7320" s="142">
        <v>1038</v>
      </c>
      <c r="J7320" s="142">
        <v>794</v>
      </c>
      <c r="K7320" s="142">
        <v>0</v>
      </c>
      <c r="L7320" s="142">
        <v>37</v>
      </c>
      <c r="M7320" s="142">
        <v>207</v>
      </c>
    </row>
    <row r="7321" spans="1:13" x14ac:dyDescent="0.45">
      <c r="A7321" s="142" t="s">
        <v>13008</v>
      </c>
      <c r="B7321" s="142" t="s">
        <v>15411</v>
      </c>
      <c r="C7321" s="142" t="s">
        <v>15847</v>
      </c>
      <c r="D7321" s="142" t="s">
        <v>15848</v>
      </c>
      <c r="E7321" s="142" t="s">
        <v>15849</v>
      </c>
      <c r="F7321" s="142" t="s">
        <v>3084</v>
      </c>
      <c r="G7321" s="142" t="s">
        <v>3083</v>
      </c>
      <c r="H7321" s="142" t="s">
        <v>23171</v>
      </c>
      <c r="I7321" s="142">
        <v>16</v>
      </c>
      <c r="J7321" s="142">
        <v>0</v>
      </c>
      <c r="K7321" s="142">
        <v>0</v>
      </c>
      <c r="L7321" s="142">
        <v>0</v>
      </c>
      <c r="M7321" s="142">
        <v>16</v>
      </c>
    </row>
    <row r="7322" spans="1:13" x14ac:dyDescent="0.45">
      <c r="A7322" s="142" t="s">
        <v>13077</v>
      </c>
      <c r="B7322" s="142" t="s">
        <v>15407</v>
      </c>
      <c r="C7322" s="142" t="s">
        <v>15847</v>
      </c>
      <c r="D7322" s="142" t="s">
        <v>15848</v>
      </c>
      <c r="E7322" s="142" t="s">
        <v>15849</v>
      </c>
      <c r="F7322" s="142" t="s">
        <v>3084</v>
      </c>
      <c r="G7322" s="142" t="s">
        <v>3083</v>
      </c>
      <c r="H7322" s="142" t="s">
        <v>23172</v>
      </c>
      <c r="I7322" s="142">
        <v>23</v>
      </c>
      <c r="J7322" s="142">
        <v>23</v>
      </c>
      <c r="K7322" s="142">
        <v>0</v>
      </c>
      <c r="L7322" s="142">
        <v>0</v>
      </c>
      <c r="M7322" s="142">
        <v>0</v>
      </c>
    </row>
    <row r="7323" spans="1:13" x14ac:dyDescent="0.45">
      <c r="A7323" s="142" t="s">
        <v>13135</v>
      </c>
      <c r="B7323" s="142" t="s">
        <v>15575</v>
      </c>
      <c r="C7323" s="142" t="s">
        <v>15847</v>
      </c>
      <c r="D7323" s="142" t="s">
        <v>15848</v>
      </c>
      <c r="E7323" s="142" t="s">
        <v>15849</v>
      </c>
      <c r="F7323" s="142" t="s">
        <v>3084</v>
      </c>
      <c r="G7323" s="142" t="s">
        <v>3083</v>
      </c>
      <c r="H7323" s="142" t="s">
        <v>23173</v>
      </c>
      <c r="I7323" s="142">
        <v>102</v>
      </c>
      <c r="J7323" s="142">
        <v>64</v>
      </c>
      <c r="K7323" s="142">
        <v>0</v>
      </c>
      <c r="L7323" s="142">
        <v>0</v>
      </c>
      <c r="M7323" s="142">
        <v>38</v>
      </c>
    </row>
    <row r="7324" spans="1:13" x14ac:dyDescent="0.45">
      <c r="A7324" s="142" t="s">
        <v>13104</v>
      </c>
      <c r="B7324" s="142" t="s">
        <v>14622</v>
      </c>
      <c r="C7324" s="142" t="s">
        <v>15847</v>
      </c>
      <c r="D7324" s="142" t="s">
        <v>15848</v>
      </c>
      <c r="E7324" s="142" t="s">
        <v>15849</v>
      </c>
      <c r="F7324" s="142" t="s">
        <v>3084</v>
      </c>
      <c r="G7324" s="142" t="s">
        <v>3083</v>
      </c>
      <c r="H7324" s="142" t="s">
        <v>23174</v>
      </c>
      <c r="I7324" s="142">
        <v>56</v>
      </c>
      <c r="J7324" s="142">
        <v>48</v>
      </c>
      <c r="K7324" s="142">
        <v>0</v>
      </c>
      <c r="L7324" s="142">
        <v>0</v>
      </c>
      <c r="M7324" s="142">
        <v>8</v>
      </c>
    </row>
    <row r="7325" spans="1:13" x14ac:dyDescent="0.45">
      <c r="A7325" s="142" t="s">
        <v>13033</v>
      </c>
      <c r="B7325" s="142" t="s">
        <v>15276</v>
      </c>
      <c r="C7325" s="142" t="s">
        <v>15847</v>
      </c>
      <c r="D7325" s="142" t="s">
        <v>15848</v>
      </c>
      <c r="E7325" s="142" t="s">
        <v>15849</v>
      </c>
      <c r="F7325" s="142" t="s">
        <v>3084</v>
      </c>
      <c r="G7325" s="142" t="s">
        <v>3083</v>
      </c>
      <c r="H7325" s="142" t="s">
        <v>23175</v>
      </c>
      <c r="I7325" s="142">
        <v>162</v>
      </c>
      <c r="J7325" s="142">
        <v>114</v>
      </c>
      <c r="K7325" s="142">
        <v>0</v>
      </c>
      <c r="L7325" s="142">
        <v>0</v>
      </c>
      <c r="M7325" s="142">
        <v>48</v>
      </c>
    </row>
    <row r="7326" spans="1:13" x14ac:dyDescent="0.45">
      <c r="A7326" s="142" t="s">
        <v>13034</v>
      </c>
      <c r="B7326" s="142" t="s">
        <v>15562</v>
      </c>
      <c r="C7326" s="142" t="s">
        <v>15847</v>
      </c>
      <c r="D7326" s="142" t="s">
        <v>15848</v>
      </c>
      <c r="E7326" s="142" t="s">
        <v>15849</v>
      </c>
      <c r="F7326" s="142" t="s">
        <v>3084</v>
      </c>
      <c r="G7326" s="142" t="s">
        <v>3083</v>
      </c>
      <c r="H7326" s="142" t="s">
        <v>23176</v>
      </c>
      <c r="I7326" s="142">
        <v>48</v>
      </c>
      <c r="J7326" s="142">
        <v>44</v>
      </c>
      <c r="K7326" s="142">
        <v>0</v>
      </c>
      <c r="L7326" s="142">
        <v>0</v>
      </c>
      <c r="M7326" s="142">
        <v>4</v>
      </c>
    </row>
    <row r="7327" spans="1:13" x14ac:dyDescent="0.45">
      <c r="A7327" s="142" t="s">
        <v>13179</v>
      </c>
      <c r="B7327" s="142" t="s">
        <v>14704</v>
      </c>
      <c r="C7327" s="142" t="s">
        <v>15860</v>
      </c>
      <c r="D7327" s="142" t="s">
        <v>15861</v>
      </c>
      <c r="E7327" s="142" t="s">
        <v>15849</v>
      </c>
      <c r="F7327" s="142" t="s">
        <v>3084</v>
      </c>
      <c r="G7327" s="142" t="s">
        <v>3083</v>
      </c>
      <c r="H7327" s="142" t="s">
        <v>23177</v>
      </c>
      <c r="I7327" s="142">
        <v>8</v>
      </c>
      <c r="J7327" s="142">
        <v>8</v>
      </c>
      <c r="K7327" s="142">
        <v>0</v>
      </c>
      <c r="L7327" s="142">
        <v>0</v>
      </c>
      <c r="M7327" s="142">
        <v>0</v>
      </c>
    </row>
    <row r="7328" spans="1:13" x14ac:dyDescent="0.45">
      <c r="A7328" s="142" t="s">
        <v>13090</v>
      </c>
      <c r="B7328" s="142" t="s">
        <v>15600</v>
      </c>
      <c r="C7328" s="142" t="s">
        <v>15847</v>
      </c>
      <c r="D7328" s="142" t="s">
        <v>15848</v>
      </c>
      <c r="E7328" s="142" t="s">
        <v>15849</v>
      </c>
      <c r="F7328" s="142" t="s">
        <v>3084</v>
      </c>
      <c r="G7328" s="142" t="s">
        <v>3083</v>
      </c>
      <c r="H7328" s="142" t="s">
        <v>23178</v>
      </c>
      <c r="I7328" s="142">
        <v>1</v>
      </c>
      <c r="J7328" s="142">
        <v>0</v>
      </c>
      <c r="K7328" s="142">
        <v>0</v>
      </c>
      <c r="L7328" s="142">
        <v>0</v>
      </c>
      <c r="M7328" s="142">
        <v>1</v>
      </c>
    </row>
    <row r="7329" spans="1:13" x14ac:dyDescent="0.45">
      <c r="A7329" s="142" t="s">
        <v>13038</v>
      </c>
      <c r="B7329" s="142" t="s">
        <v>14646</v>
      </c>
      <c r="C7329" s="142" t="s">
        <v>15847</v>
      </c>
      <c r="D7329" s="142" t="s">
        <v>15848</v>
      </c>
      <c r="E7329" s="142" t="s">
        <v>15849</v>
      </c>
      <c r="F7329" s="142" t="s">
        <v>3084</v>
      </c>
      <c r="G7329" s="142" t="s">
        <v>3083</v>
      </c>
      <c r="H7329" s="142" t="s">
        <v>23179</v>
      </c>
      <c r="I7329" s="142">
        <v>26</v>
      </c>
      <c r="J7329" s="142">
        <v>2</v>
      </c>
      <c r="K7329" s="142">
        <v>0</v>
      </c>
      <c r="L7329" s="142">
        <v>0</v>
      </c>
      <c r="M7329" s="142">
        <v>24</v>
      </c>
    </row>
    <row r="7330" spans="1:13" x14ac:dyDescent="0.45">
      <c r="A7330" s="142" t="s">
        <v>13039</v>
      </c>
      <c r="B7330" s="142" t="s">
        <v>14647</v>
      </c>
      <c r="C7330" s="142" t="s">
        <v>15847</v>
      </c>
      <c r="D7330" s="142" t="s">
        <v>15848</v>
      </c>
      <c r="E7330" s="142" t="s">
        <v>15849</v>
      </c>
      <c r="F7330" s="142" t="s">
        <v>3084</v>
      </c>
      <c r="G7330" s="142" t="s">
        <v>3083</v>
      </c>
      <c r="H7330" s="142" t="s">
        <v>23180</v>
      </c>
      <c r="I7330" s="142">
        <v>39</v>
      </c>
      <c r="J7330" s="142">
        <v>39</v>
      </c>
      <c r="K7330" s="142">
        <v>0</v>
      </c>
      <c r="L7330" s="142">
        <v>0</v>
      </c>
      <c r="M7330" s="142">
        <v>0</v>
      </c>
    </row>
    <row r="7331" spans="1:13" x14ac:dyDescent="0.45">
      <c r="A7331" s="142" t="s">
        <v>13091</v>
      </c>
      <c r="B7331" s="142" t="s">
        <v>14473</v>
      </c>
      <c r="C7331" s="142" t="s">
        <v>15847</v>
      </c>
      <c r="D7331" s="142" t="s">
        <v>15848</v>
      </c>
      <c r="E7331" s="142" t="s">
        <v>15849</v>
      </c>
      <c r="F7331" s="142" t="s">
        <v>3084</v>
      </c>
      <c r="G7331" s="142" t="s">
        <v>3083</v>
      </c>
      <c r="H7331" s="142" t="s">
        <v>23181</v>
      </c>
      <c r="I7331" s="142">
        <v>55</v>
      </c>
      <c r="J7331" s="142">
        <v>17</v>
      </c>
      <c r="K7331" s="142">
        <v>0</v>
      </c>
      <c r="L7331" s="142">
        <v>30</v>
      </c>
      <c r="M7331" s="142">
        <v>8</v>
      </c>
    </row>
    <row r="7332" spans="1:13" x14ac:dyDescent="0.45">
      <c r="A7332" s="142" t="s">
        <v>13009</v>
      </c>
      <c r="B7332" s="142" t="s">
        <v>15256</v>
      </c>
      <c r="C7332" s="142" t="s">
        <v>15847</v>
      </c>
      <c r="D7332" s="142" t="s">
        <v>15848</v>
      </c>
      <c r="E7332" s="142" t="s">
        <v>15849</v>
      </c>
      <c r="F7332" s="142" t="s">
        <v>3084</v>
      </c>
      <c r="G7332" s="142" t="s">
        <v>3083</v>
      </c>
      <c r="H7332" s="142" t="s">
        <v>23182</v>
      </c>
      <c r="I7332" s="142">
        <v>90</v>
      </c>
      <c r="J7332" s="142">
        <v>12</v>
      </c>
      <c r="K7332" s="142">
        <v>0</v>
      </c>
      <c r="L7332" s="142">
        <v>78</v>
      </c>
      <c r="M7332" s="142">
        <v>0</v>
      </c>
    </row>
    <row r="7333" spans="1:13" x14ac:dyDescent="0.45">
      <c r="A7333" s="142" t="s">
        <v>13203</v>
      </c>
      <c r="B7333" s="142" t="s">
        <v>15446</v>
      </c>
      <c r="C7333" s="142" t="s">
        <v>15847</v>
      </c>
      <c r="D7333" s="142" t="s">
        <v>15848</v>
      </c>
      <c r="E7333" s="142" t="s">
        <v>15849</v>
      </c>
      <c r="F7333" s="142" t="s">
        <v>3084</v>
      </c>
      <c r="G7333" s="142" t="s">
        <v>3083</v>
      </c>
      <c r="H7333" s="142" t="s">
        <v>23183</v>
      </c>
      <c r="I7333" s="142">
        <v>39</v>
      </c>
      <c r="J7333" s="142">
        <v>16</v>
      </c>
      <c r="K7333" s="142">
        <v>0</v>
      </c>
      <c r="L7333" s="142">
        <v>0</v>
      </c>
      <c r="M7333" s="142">
        <v>23</v>
      </c>
    </row>
    <row r="7334" spans="1:13" x14ac:dyDescent="0.45">
      <c r="A7334" s="142" t="s">
        <v>13041</v>
      </c>
      <c r="B7334" s="142" t="s">
        <v>14441</v>
      </c>
      <c r="C7334" s="142" t="s">
        <v>15847</v>
      </c>
      <c r="D7334" s="142" t="s">
        <v>15848</v>
      </c>
      <c r="E7334" s="142" t="s">
        <v>15849</v>
      </c>
      <c r="F7334" s="142" t="s">
        <v>3084</v>
      </c>
      <c r="G7334" s="142" t="s">
        <v>3083</v>
      </c>
      <c r="H7334" s="142" t="s">
        <v>23184</v>
      </c>
      <c r="I7334" s="142">
        <v>6</v>
      </c>
      <c r="J7334" s="142">
        <v>0</v>
      </c>
      <c r="K7334" s="142">
        <v>0</v>
      </c>
      <c r="L7334" s="142">
        <v>0</v>
      </c>
      <c r="M7334" s="142">
        <v>6</v>
      </c>
    </row>
    <row r="7335" spans="1:13" x14ac:dyDescent="0.45">
      <c r="A7335" s="142" t="s">
        <v>13012</v>
      </c>
      <c r="B7335" s="142" t="s">
        <v>15337</v>
      </c>
      <c r="C7335" s="142" t="s">
        <v>15847</v>
      </c>
      <c r="D7335" s="142" t="s">
        <v>15848</v>
      </c>
      <c r="E7335" s="142" t="s">
        <v>15849</v>
      </c>
      <c r="F7335" s="142" t="s">
        <v>3084</v>
      </c>
      <c r="G7335" s="142" t="s">
        <v>3083</v>
      </c>
      <c r="H7335" s="142" t="s">
        <v>23185</v>
      </c>
      <c r="I7335" s="142">
        <v>89</v>
      </c>
      <c r="J7335" s="142">
        <v>70</v>
      </c>
      <c r="K7335" s="142">
        <v>0</v>
      </c>
      <c r="L7335" s="142">
        <v>0</v>
      </c>
      <c r="M7335" s="142">
        <v>19</v>
      </c>
    </row>
    <row r="7336" spans="1:13" x14ac:dyDescent="0.45">
      <c r="A7336" s="142" t="s">
        <v>13428</v>
      </c>
      <c r="B7336" s="142" t="s">
        <v>15303</v>
      </c>
      <c r="C7336" s="142" t="s">
        <v>15847</v>
      </c>
      <c r="D7336" s="142" t="s">
        <v>15848</v>
      </c>
      <c r="E7336" s="142" t="s">
        <v>15849</v>
      </c>
      <c r="F7336" s="142" t="s">
        <v>3084</v>
      </c>
      <c r="G7336" s="142" t="s">
        <v>3083</v>
      </c>
      <c r="H7336" s="142" t="s">
        <v>23186</v>
      </c>
      <c r="I7336" s="142">
        <v>864</v>
      </c>
      <c r="J7336" s="142">
        <v>605</v>
      </c>
      <c r="K7336" s="142">
        <v>0</v>
      </c>
      <c r="L7336" s="142">
        <v>63</v>
      </c>
      <c r="M7336" s="142">
        <v>196</v>
      </c>
    </row>
    <row r="7337" spans="1:13" x14ac:dyDescent="0.45">
      <c r="A7337" s="142" t="s">
        <v>13014</v>
      </c>
      <c r="B7337" s="142" t="s">
        <v>14505</v>
      </c>
      <c r="C7337" s="142" t="s">
        <v>15847</v>
      </c>
      <c r="D7337" s="142" t="s">
        <v>15848</v>
      </c>
      <c r="E7337" s="142" t="s">
        <v>15849</v>
      </c>
      <c r="F7337" s="142" t="s">
        <v>3084</v>
      </c>
      <c r="G7337" s="142" t="s">
        <v>3083</v>
      </c>
      <c r="H7337" s="142" t="s">
        <v>23187</v>
      </c>
      <c r="I7337" s="142">
        <v>34</v>
      </c>
      <c r="J7337" s="142">
        <v>32</v>
      </c>
      <c r="K7337" s="142">
        <v>0</v>
      </c>
      <c r="L7337" s="142">
        <v>0</v>
      </c>
      <c r="M7337" s="142">
        <v>2</v>
      </c>
    </row>
    <row r="7338" spans="1:13" x14ac:dyDescent="0.45">
      <c r="A7338" s="142" t="s">
        <v>13095</v>
      </c>
      <c r="B7338" s="142" t="s">
        <v>15592</v>
      </c>
      <c r="C7338" s="142" t="s">
        <v>15847</v>
      </c>
      <c r="D7338" s="142" t="s">
        <v>15848</v>
      </c>
      <c r="E7338" s="142" t="s">
        <v>15849</v>
      </c>
      <c r="F7338" s="142" t="s">
        <v>3084</v>
      </c>
      <c r="G7338" s="142" t="s">
        <v>3083</v>
      </c>
      <c r="H7338" s="142" t="s">
        <v>23188</v>
      </c>
      <c r="I7338" s="142">
        <v>20</v>
      </c>
      <c r="J7338" s="142">
        <v>18</v>
      </c>
      <c r="K7338" s="142">
        <v>0</v>
      </c>
      <c r="L7338" s="142">
        <v>0</v>
      </c>
      <c r="M7338" s="142">
        <v>2</v>
      </c>
    </row>
    <row r="7339" spans="1:13" x14ac:dyDescent="0.45">
      <c r="A7339" s="142" t="s">
        <v>13165</v>
      </c>
      <c r="B7339" s="142" t="s">
        <v>15525</v>
      </c>
      <c r="C7339" s="142" t="s">
        <v>15860</v>
      </c>
      <c r="D7339" s="142" t="s">
        <v>15861</v>
      </c>
      <c r="E7339" s="142" t="s">
        <v>15849</v>
      </c>
      <c r="F7339" s="142" t="s">
        <v>3084</v>
      </c>
      <c r="G7339" s="142" t="s">
        <v>3083</v>
      </c>
      <c r="H7339" s="142" t="s">
        <v>23189</v>
      </c>
      <c r="I7339" s="142">
        <v>436</v>
      </c>
      <c r="J7339" s="142">
        <v>171</v>
      </c>
      <c r="K7339" s="142">
        <v>0</v>
      </c>
      <c r="L7339" s="142">
        <v>265</v>
      </c>
      <c r="M7339" s="142">
        <v>0</v>
      </c>
    </row>
    <row r="7340" spans="1:13" x14ac:dyDescent="0.45">
      <c r="A7340" s="142" t="s">
        <v>13042</v>
      </c>
      <c r="B7340" s="142" t="s">
        <v>15489</v>
      </c>
      <c r="C7340" s="142" t="s">
        <v>15847</v>
      </c>
      <c r="D7340" s="142" t="s">
        <v>15848</v>
      </c>
      <c r="E7340" s="142" t="s">
        <v>15849</v>
      </c>
      <c r="F7340" s="142" t="s">
        <v>3084</v>
      </c>
      <c r="G7340" s="142" t="s">
        <v>3083</v>
      </c>
      <c r="H7340" s="142" t="s">
        <v>23190</v>
      </c>
      <c r="I7340" s="142">
        <v>12</v>
      </c>
      <c r="J7340" s="142">
        <v>12</v>
      </c>
      <c r="K7340" s="142">
        <v>0</v>
      </c>
      <c r="L7340" s="142">
        <v>0</v>
      </c>
      <c r="M7340" s="142">
        <v>0</v>
      </c>
    </row>
    <row r="7341" spans="1:13" x14ac:dyDescent="0.45">
      <c r="A7341" s="142" t="s">
        <v>13207</v>
      </c>
      <c r="B7341" s="142" t="s">
        <v>15558</v>
      </c>
      <c r="C7341" s="142" t="s">
        <v>15847</v>
      </c>
      <c r="D7341" s="142" t="s">
        <v>15848</v>
      </c>
      <c r="E7341" s="142" t="s">
        <v>15849</v>
      </c>
      <c r="F7341" s="142" t="s">
        <v>3084</v>
      </c>
      <c r="G7341" s="142" t="s">
        <v>3083</v>
      </c>
      <c r="H7341" s="142" t="s">
        <v>23191</v>
      </c>
      <c r="I7341" s="142">
        <v>1287</v>
      </c>
      <c r="J7341" s="142">
        <v>740</v>
      </c>
      <c r="K7341" s="142">
        <v>0</v>
      </c>
      <c r="L7341" s="142">
        <v>41</v>
      </c>
      <c r="M7341" s="142">
        <v>506</v>
      </c>
    </row>
    <row r="7342" spans="1:13" x14ac:dyDescent="0.45">
      <c r="A7342" s="142" t="s">
        <v>13022</v>
      </c>
      <c r="B7342" s="142" t="s">
        <v>14634</v>
      </c>
      <c r="C7342" s="142" t="s">
        <v>15847</v>
      </c>
      <c r="D7342" s="142" t="s">
        <v>15848</v>
      </c>
      <c r="E7342" s="142" t="s">
        <v>15849</v>
      </c>
      <c r="F7342" s="142" t="s">
        <v>3420</v>
      </c>
      <c r="G7342" s="142" t="s">
        <v>3419</v>
      </c>
      <c r="H7342" s="142" t="s">
        <v>23192</v>
      </c>
      <c r="I7342" s="142">
        <v>36</v>
      </c>
      <c r="J7342" s="142">
        <v>20</v>
      </c>
      <c r="K7342" s="142">
        <v>0</v>
      </c>
      <c r="L7342" s="142">
        <v>0</v>
      </c>
      <c r="M7342" s="142">
        <v>16</v>
      </c>
    </row>
    <row r="7343" spans="1:13" x14ac:dyDescent="0.45">
      <c r="A7343" s="142" t="s">
        <v>14196</v>
      </c>
      <c r="B7343" s="142" t="s">
        <v>14900</v>
      </c>
      <c r="C7343" s="142" t="s">
        <v>15860</v>
      </c>
      <c r="D7343" s="142" t="s">
        <v>15861</v>
      </c>
      <c r="E7343" s="142" t="s">
        <v>15849</v>
      </c>
      <c r="F7343" s="142" t="s">
        <v>3420</v>
      </c>
      <c r="G7343" s="142" t="s">
        <v>3419</v>
      </c>
      <c r="H7343" s="142" t="s">
        <v>23193</v>
      </c>
      <c r="I7343" s="142">
        <v>3</v>
      </c>
      <c r="J7343" s="142">
        <v>3</v>
      </c>
      <c r="K7343" s="142">
        <v>0</v>
      </c>
      <c r="L7343" s="142">
        <v>0</v>
      </c>
      <c r="M7343" s="142">
        <v>0</v>
      </c>
    </row>
    <row r="7344" spans="1:13" x14ac:dyDescent="0.45">
      <c r="A7344" s="142" t="s">
        <v>13024</v>
      </c>
      <c r="B7344" s="142" t="s">
        <v>14538</v>
      </c>
      <c r="C7344" s="142" t="s">
        <v>15847</v>
      </c>
      <c r="D7344" s="142" t="s">
        <v>15848</v>
      </c>
      <c r="E7344" s="142" t="s">
        <v>15849</v>
      </c>
      <c r="F7344" s="142" t="s">
        <v>3420</v>
      </c>
      <c r="G7344" s="142" t="s">
        <v>3419</v>
      </c>
      <c r="H7344" s="142" t="s">
        <v>23194</v>
      </c>
      <c r="I7344" s="142">
        <v>425</v>
      </c>
      <c r="J7344" s="142">
        <v>338</v>
      </c>
      <c r="K7344" s="142">
        <v>0</v>
      </c>
      <c r="L7344" s="142">
        <v>5</v>
      </c>
      <c r="M7344" s="142">
        <v>82</v>
      </c>
    </row>
    <row r="7345" spans="1:13" x14ac:dyDescent="0.45">
      <c r="A7345" s="142" t="s">
        <v>13085</v>
      </c>
      <c r="B7345" s="142" t="s">
        <v>14460</v>
      </c>
      <c r="C7345" s="142" t="s">
        <v>15860</v>
      </c>
      <c r="D7345" s="142" t="s">
        <v>15861</v>
      </c>
      <c r="E7345" s="142" t="s">
        <v>15849</v>
      </c>
      <c r="F7345" s="142" t="s">
        <v>3420</v>
      </c>
      <c r="G7345" s="142" t="s">
        <v>3419</v>
      </c>
      <c r="H7345" s="142" t="s">
        <v>23195</v>
      </c>
      <c r="I7345" s="142">
        <v>5</v>
      </c>
      <c r="J7345" s="142">
        <v>0</v>
      </c>
      <c r="K7345" s="142">
        <v>0</v>
      </c>
      <c r="L7345" s="142">
        <v>5</v>
      </c>
      <c r="M7345" s="142">
        <v>0</v>
      </c>
    </row>
    <row r="7346" spans="1:13" x14ac:dyDescent="0.45">
      <c r="A7346" s="142" t="s">
        <v>13025</v>
      </c>
      <c r="B7346" s="142" t="s">
        <v>15579</v>
      </c>
      <c r="C7346" s="142" t="s">
        <v>15847</v>
      </c>
      <c r="D7346" s="142" t="s">
        <v>15848</v>
      </c>
      <c r="E7346" s="142" t="s">
        <v>15849</v>
      </c>
      <c r="F7346" s="142" t="s">
        <v>3420</v>
      </c>
      <c r="G7346" s="142" t="s">
        <v>3419</v>
      </c>
      <c r="H7346" s="142" t="s">
        <v>23196</v>
      </c>
      <c r="I7346" s="142">
        <v>13</v>
      </c>
      <c r="J7346" s="142">
        <v>0</v>
      </c>
      <c r="K7346" s="142">
        <v>0</v>
      </c>
      <c r="L7346" s="142">
        <v>13</v>
      </c>
      <c r="M7346" s="142">
        <v>0</v>
      </c>
    </row>
    <row r="7347" spans="1:13" x14ac:dyDescent="0.45">
      <c r="A7347" s="142" t="s">
        <v>13271</v>
      </c>
      <c r="B7347" s="142" t="s">
        <v>15470</v>
      </c>
      <c r="C7347" s="142" t="s">
        <v>15847</v>
      </c>
      <c r="D7347" s="142" t="s">
        <v>15848</v>
      </c>
      <c r="E7347" s="142" t="s">
        <v>15849</v>
      </c>
      <c r="F7347" s="142" t="s">
        <v>3420</v>
      </c>
      <c r="G7347" s="142" t="s">
        <v>3419</v>
      </c>
      <c r="H7347" s="142" t="s">
        <v>23197</v>
      </c>
      <c r="I7347" s="142">
        <v>10</v>
      </c>
      <c r="J7347" s="142">
        <v>7</v>
      </c>
      <c r="K7347" s="142">
        <v>0</v>
      </c>
      <c r="L7347" s="142">
        <v>0</v>
      </c>
      <c r="M7347" s="142">
        <v>3</v>
      </c>
    </row>
    <row r="7348" spans="1:13" x14ac:dyDescent="0.45">
      <c r="A7348" s="142" t="s">
        <v>13028</v>
      </c>
      <c r="B7348" s="142" t="s">
        <v>14462</v>
      </c>
      <c r="C7348" s="142" t="s">
        <v>15847</v>
      </c>
      <c r="D7348" s="142" t="s">
        <v>15848</v>
      </c>
      <c r="E7348" s="142" t="s">
        <v>15849</v>
      </c>
      <c r="F7348" s="142" t="s">
        <v>3420</v>
      </c>
      <c r="G7348" s="142" t="s">
        <v>3419</v>
      </c>
      <c r="H7348" s="142" t="s">
        <v>23198</v>
      </c>
      <c r="I7348" s="142">
        <v>35</v>
      </c>
      <c r="J7348" s="142">
        <v>0</v>
      </c>
      <c r="K7348" s="142">
        <v>0</v>
      </c>
      <c r="L7348" s="142">
        <v>0</v>
      </c>
      <c r="M7348" s="142">
        <v>35</v>
      </c>
    </row>
    <row r="7349" spans="1:13" x14ac:dyDescent="0.45">
      <c r="A7349" s="142" t="s">
        <v>13002</v>
      </c>
      <c r="B7349" s="142" t="s">
        <v>15376</v>
      </c>
      <c r="C7349" s="142" t="s">
        <v>15847</v>
      </c>
      <c r="D7349" s="142" t="s">
        <v>15848</v>
      </c>
      <c r="E7349" s="142" t="s">
        <v>15849</v>
      </c>
      <c r="F7349" s="142" t="s">
        <v>3420</v>
      </c>
      <c r="G7349" s="142" t="s">
        <v>3419</v>
      </c>
      <c r="H7349" s="142" t="s">
        <v>23199</v>
      </c>
      <c r="I7349" s="142">
        <v>27</v>
      </c>
      <c r="J7349" s="142">
        <v>0</v>
      </c>
      <c r="K7349" s="142">
        <v>0</v>
      </c>
      <c r="L7349" s="142">
        <v>27</v>
      </c>
      <c r="M7349" s="142">
        <v>0</v>
      </c>
    </row>
    <row r="7350" spans="1:13" x14ac:dyDescent="0.45">
      <c r="A7350" s="142" t="s">
        <v>13003</v>
      </c>
      <c r="B7350" s="142" t="s">
        <v>15245</v>
      </c>
      <c r="C7350" s="142" t="s">
        <v>15847</v>
      </c>
      <c r="D7350" s="142" t="s">
        <v>15848</v>
      </c>
      <c r="E7350" s="142" t="s">
        <v>15849</v>
      </c>
      <c r="F7350" s="142" t="s">
        <v>3420</v>
      </c>
      <c r="G7350" s="142" t="s">
        <v>3419</v>
      </c>
      <c r="H7350" s="142" t="s">
        <v>23200</v>
      </c>
      <c r="I7350" s="142">
        <v>66</v>
      </c>
      <c r="J7350" s="142">
        <v>0</v>
      </c>
      <c r="K7350" s="142">
        <v>0</v>
      </c>
      <c r="L7350" s="142">
        <v>42</v>
      </c>
      <c r="M7350" s="142">
        <v>24</v>
      </c>
    </row>
    <row r="7351" spans="1:13" x14ac:dyDescent="0.45">
      <c r="A7351" s="142" t="s">
        <v>13066</v>
      </c>
      <c r="B7351" s="142" t="s">
        <v>14459</v>
      </c>
      <c r="C7351" s="142" t="s">
        <v>15847</v>
      </c>
      <c r="D7351" s="142" t="s">
        <v>15848</v>
      </c>
      <c r="E7351" s="142" t="s">
        <v>15849</v>
      </c>
      <c r="F7351" s="142" t="s">
        <v>3420</v>
      </c>
      <c r="G7351" s="142" t="s">
        <v>3419</v>
      </c>
      <c r="H7351" s="142" t="s">
        <v>23201</v>
      </c>
      <c r="I7351" s="142">
        <v>18</v>
      </c>
      <c r="J7351" s="142">
        <v>0</v>
      </c>
      <c r="K7351" s="142">
        <v>0</v>
      </c>
      <c r="L7351" s="142">
        <v>18</v>
      </c>
      <c r="M7351" s="142">
        <v>0</v>
      </c>
    </row>
    <row r="7352" spans="1:13" x14ac:dyDescent="0.45">
      <c r="A7352" s="142" t="s">
        <v>13029</v>
      </c>
      <c r="B7352" s="142" t="s">
        <v>14665</v>
      </c>
      <c r="C7352" s="142" t="s">
        <v>15847</v>
      </c>
      <c r="D7352" s="142" t="s">
        <v>15848</v>
      </c>
      <c r="E7352" s="142" t="s">
        <v>15849</v>
      </c>
      <c r="F7352" s="142" t="s">
        <v>3420</v>
      </c>
      <c r="G7352" s="142" t="s">
        <v>3419</v>
      </c>
      <c r="H7352" s="142" t="s">
        <v>23202</v>
      </c>
      <c r="I7352" s="142">
        <v>75</v>
      </c>
      <c r="J7352" s="142">
        <v>0</v>
      </c>
      <c r="K7352" s="142">
        <v>0</v>
      </c>
      <c r="L7352" s="142">
        <v>0</v>
      </c>
      <c r="M7352" s="142">
        <v>75</v>
      </c>
    </row>
    <row r="7353" spans="1:13" x14ac:dyDescent="0.45">
      <c r="A7353" s="142" t="s">
        <v>13006</v>
      </c>
      <c r="B7353" s="142" t="s">
        <v>15288</v>
      </c>
      <c r="C7353" s="142" t="s">
        <v>15847</v>
      </c>
      <c r="D7353" s="142" t="s">
        <v>15848</v>
      </c>
      <c r="E7353" s="142" t="s">
        <v>15849</v>
      </c>
      <c r="F7353" s="142" t="s">
        <v>3420</v>
      </c>
      <c r="G7353" s="142" t="s">
        <v>3419</v>
      </c>
      <c r="H7353" s="142" t="s">
        <v>23203</v>
      </c>
      <c r="I7353" s="142">
        <v>124</v>
      </c>
      <c r="J7353" s="142">
        <v>106</v>
      </c>
      <c r="K7353" s="142">
        <v>0</v>
      </c>
      <c r="L7353" s="142">
        <v>0</v>
      </c>
      <c r="M7353" s="142">
        <v>18</v>
      </c>
    </row>
    <row r="7354" spans="1:13" x14ac:dyDescent="0.45">
      <c r="A7354" s="142" t="s">
        <v>13248</v>
      </c>
      <c r="B7354" s="142" t="s">
        <v>15463</v>
      </c>
      <c r="C7354" s="142" t="s">
        <v>15847</v>
      </c>
      <c r="D7354" s="142" t="s">
        <v>15848</v>
      </c>
      <c r="E7354" s="142" t="s">
        <v>15849</v>
      </c>
      <c r="F7354" s="142" t="s">
        <v>3420</v>
      </c>
      <c r="G7354" s="142" t="s">
        <v>3419</v>
      </c>
      <c r="H7354" s="142" t="s">
        <v>23204</v>
      </c>
      <c r="I7354" s="142">
        <v>426</v>
      </c>
      <c r="J7354" s="142">
        <v>293</v>
      </c>
      <c r="K7354" s="142">
        <v>0</v>
      </c>
      <c r="L7354" s="142">
        <v>0</v>
      </c>
      <c r="M7354" s="142">
        <v>133</v>
      </c>
    </row>
    <row r="7355" spans="1:13" x14ac:dyDescent="0.45">
      <c r="A7355" s="142" t="s">
        <v>13030</v>
      </c>
      <c r="B7355" s="142" t="s">
        <v>14572</v>
      </c>
      <c r="C7355" s="142" t="s">
        <v>15847</v>
      </c>
      <c r="D7355" s="142" t="s">
        <v>15848</v>
      </c>
      <c r="E7355" s="142" t="s">
        <v>15849</v>
      </c>
      <c r="F7355" s="142" t="s">
        <v>3420</v>
      </c>
      <c r="G7355" s="142" t="s">
        <v>3419</v>
      </c>
      <c r="H7355" s="142" t="s">
        <v>23205</v>
      </c>
      <c r="I7355" s="142">
        <v>245</v>
      </c>
      <c r="J7355" s="142">
        <v>188</v>
      </c>
      <c r="K7355" s="142">
        <v>0</v>
      </c>
      <c r="L7355" s="142">
        <v>0</v>
      </c>
      <c r="M7355" s="142">
        <v>57</v>
      </c>
    </row>
    <row r="7356" spans="1:13" x14ac:dyDescent="0.45">
      <c r="A7356" s="142" t="s">
        <v>13068</v>
      </c>
      <c r="B7356" s="142" t="s">
        <v>15468</v>
      </c>
      <c r="C7356" s="142" t="s">
        <v>15847</v>
      </c>
      <c r="D7356" s="142" t="s">
        <v>15848</v>
      </c>
      <c r="E7356" s="142" t="s">
        <v>15849</v>
      </c>
      <c r="F7356" s="142" t="s">
        <v>3420</v>
      </c>
      <c r="G7356" s="142" t="s">
        <v>3419</v>
      </c>
      <c r="H7356" s="142" t="s">
        <v>23206</v>
      </c>
      <c r="I7356" s="142">
        <v>19</v>
      </c>
      <c r="J7356" s="142">
        <v>19</v>
      </c>
      <c r="K7356" s="142">
        <v>0</v>
      </c>
      <c r="L7356" s="142">
        <v>0</v>
      </c>
      <c r="M7356" s="142">
        <v>0</v>
      </c>
    </row>
    <row r="7357" spans="1:13" x14ac:dyDescent="0.45">
      <c r="A7357" s="142" t="s">
        <v>13613</v>
      </c>
      <c r="B7357" s="142" t="s">
        <v>15399</v>
      </c>
      <c r="C7357" s="142" t="s">
        <v>15860</v>
      </c>
      <c r="D7357" s="142" t="s">
        <v>15861</v>
      </c>
      <c r="E7357" s="142" t="s">
        <v>15849</v>
      </c>
      <c r="F7357" s="142" t="s">
        <v>3420</v>
      </c>
      <c r="G7357" s="142" t="s">
        <v>3419</v>
      </c>
      <c r="H7357" s="142" t="s">
        <v>23207</v>
      </c>
      <c r="I7357" s="142">
        <v>6</v>
      </c>
      <c r="J7357" s="142">
        <v>6</v>
      </c>
      <c r="K7357" s="142">
        <v>0</v>
      </c>
      <c r="L7357" s="142">
        <v>0</v>
      </c>
      <c r="M7357" s="142">
        <v>0</v>
      </c>
    </row>
    <row r="7358" spans="1:13" x14ac:dyDescent="0.45">
      <c r="A7358" s="142" t="s">
        <v>13034</v>
      </c>
      <c r="B7358" s="142" t="s">
        <v>15562</v>
      </c>
      <c r="C7358" s="142" t="s">
        <v>15847</v>
      </c>
      <c r="D7358" s="142" t="s">
        <v>15848</v>
      </c>
      <c r="E7358" s="142" t="s">
        <v>15849</v>
      </c>
      <c r="F7358" s="142" t="s">
        <v>3420</v>
      </c>
      <c r="G7358" s="142" t="s">
        <v>3419</v>
      </c>
      <c r="H7358" s="142" t="s">
        <v>23208</v>
      </c>
      <c r="I7358" s="142">
        <v>403</v>
      </c>
      <c r="J7358" s="142">
        <v>403</v>
      </c>
      <c r="K7358" s="142">
        <v>0</v>
      </c>
      <c r="L7358" s="142">
        <v>0</v>
      </c>
      <c r="M7358" s="142">
        <v>0</v>
      </c>
    </row>
    <row r="7359" spans="1:13" x14ac:dyDescent="0.45">
      <c r="A7359" s="142" t="s">
        <v>13035</v>
      </c>
      <c r="B7359" s="142" t="s">
        <v>14648</v>
      </c>
      <c r="C7359" s="142" t="s">
        <v>15847</v>
      </c>
      <c r="D7359" s="142" t="s">
        <v>15848</v>
      </c>
      <c r="E7359" s="142" t="s">
        <v>15849</v>
      </c>
      <c r="F7359" s="142" t="s">
        <v>3420</v>
      </c>
      <c r="G7359" s="142" t="s">
        <v>3419</v>
      </c>
      <c r="H7359" s="142" t="s">
        <v>23209</v>
      </c>
      <c r="I7359" s="142">
        <v>31</v>
      </c>
      <c r="J7359" s="142">
        <v>31</v>
      </c>
      <c r="K7359" s="142">
        <v>0</v>
      </c>
      <c r="L7359" s="142">
        <v>0</v>
      </c>
      <c r="M7359" s="142">
        <v>0</v>
      </c>
    </row>
    <row r="7360" spans="1:13" x14ac:dyDescent="0.45">
      <c r="A7360" s="142" t="s">
        <v>13171</v>
      </c>
      <c r="B7360" s="142" t="s">
        <v>14523</v>
      </c>
      <c r="C7360" s="142" t="s">
        <v>15860</v>
      </c>
      <c r="D7360" s="142" t="s">
        <v>15861</v>
      </c>
      <c r="E7360" s="142" t="s">
        <v>15849</v>
      </c>
      <c r="F7360" s="142" t="s">
        <v>3420</v>
      </c>
      <c r="G7360" s="142" t="s">
        <v>3419</v>
      </c>
      <c r="H7360" s="142" t="s">
        <v>23210</v>
      </c>
      <c r="I7360" s="142">
        <v>7</v>
      </c>
      <c r="J7360" s="142">
        <v>7</v>
      </c>
      <c r="K7360" s="142">
        <v>0</v>
      </c>
      <c r="L7360" s="142">
        <v>0</v>
      </c>
      <c r="M7360" s="142">
        <v>0</v>
      </c>
    </row>
    <row r="7361" spans="1:13" x14ac:dyDescent="0.45">
      <c r="A7361" s="142" t="s">
        <v>13038</v>
      </c>
      <c r="B7361" s="142" t="s">
        <v>14646</v>
      </c>
      <c r="C7361" s="142" t="s">
        <v>15847</v>
      </c>
      <c r="D7361" s="142" t="s">
        <v>15848</v>
      </c>
      <c r="E7361" s="142" t="s">
        <v>15849</v>
      </c>
      <c r="F7361" s="142" t="s">
        <v>3420</v>
      </c>
      <c r="G7361" s="142" t="s">
        <v>3419</v>
      </c>
      <c r="H7361" s="142" t="s">
        <v>23211</v>
      </c>
      <c r="I7361" s="142">
        <v>10</v>
      </c>
      <c r="J7361" s="142">
        <v>0</v>
      </c>
      <c r="K7361" s="142">
        <v>0</v>
      </c>
      <c r="L7361" s="142">
        <v>0</v>
      </c>
      <c r="M7361" s="142">
        <v>10</v>
      </c>
    </row>
    <row r="7362" spans="1:13" x14ac:dyDescent="0.45">
      <c r="A7362" s="142" t="s">
        <v>13039</v>
      </c>
      <c r="B7362" s="142" t="s">
        <v>14647</v>
      </c>
      <c r="C7362" s="142" t="s">
        <v>15847</v>
      </c>
      <c r="D7362" s="142" t="s">
        <v>15848</v>
      </c>
      <c r="E7362" s="142" t="s">
        <v>15849</v>
      </c>
      <c r="F7362" s="142" t="s">
        <v>3420</v>
      </c>
      <c r="G7362" s="142" t="s">
        <v>3419</v>
      </c>
      <c r="H7362" s="142" t="s">
        <v>23212</v>
      </c>
      <c r="I7362" s="142">
        <v>54</v>
      </c>
      <c r="J7362" s="142">
        <v>54</v>
      </c>
      <c r="K7362" s="142">
        <v>0</v>
      </c>
      <c r="L7362" s="142">
        <v>0</v>
      </c>
      <c r="M7362" s="142">
        <v>0</v>
      </c>
    </row>
    <row r="7363" spans="1:13" x14ac:dyDescent="0.45">
      <c r="A7363" s="142" t="s">
        <v>13009</v>
      </c>
      <c r="B7363" s="142" t="s">
        <v>15256</v>
      </c>
      <c r="C7363" s="142" t="s">
        <v>15847</v>
      </c>
      <c r="D7363" s="142" t="s">
        <v>15848</v>
      </c>
      <c r="E7363" s="142" t="s">
        <v>15849</v>
      </c>
      <c r="F7363" s="142" t="s">
        <v>3420</v>
      </c>
      <c r="G7363" s="142" t="s">
        <v>3419</v>
      </c>
      <c r="H7363" s="142" t="s">
        <v>23213</v>
      </c>
      <c r="I7363" s="142">
        <v>8</v>
      </c>
      <c r="J7363" s="142">
        <v>8</v>
      </c>
      <c r="K7363" s="142">
        <v>0</v>
      </c>
      <c r="L7363" s="142">
        <v>0</v>
      </c>
      <c r="M7363" s="142">
        <v>0</v>
      </c>
    </row>
    <row r="7364" spans="1:13" x14ac:dyDescent="0.45">
      <c r="A7364" s="142" t="s">
        <v>13041</v>
      </c>
      <c r="B7364" s="142" t="s">
        <v>14441</v>
      </c>
      <c r="C7364" s="142" t="s">
        <v>15847</v>
      </c>
      <c r="D7364" s="142" t="s">
        <v>15848</v>
      </c>
      <c r="E7364" s="142" t="s">
        <v>15849</v>
      </c>
      <c r="F7364" s="142" t="s">
        <v>3420</v>
      </c>
      <c r="G7364" s="142" t="s">
        <v>3419</v>
      </c>
      <c r="H7364" s="142" t="s">
        <v>23214</v>
      </c>
      <c r="I7364" s="142">
        <v>15</v>
      </c>
      <c r="J7364" s="142">
        <v>0</v>
      </c>
      <c r="K7364" s="142">
        <v>0</v>
      </c>
      <c r="L7364" s="142">
        <v>0</v>
      </c>
      <c r="M7364" s="142">
        <v>15</v>
      </c>
    </row>
    <row r="7365" spans="1:13" x14ac:dyDescent="0.45">
      <c r="A7365" s="142" t="s">
        <v>13042</v>
      </c>
      <c r="B7365" s="142" t="s">
        <v>15489</v>
      </c>
      <c r="C7365" s="142" t="s">
        <v>15847</v>
      </c>
      <c r="D7365" s="142" t="s">
        <v>15848</v>
      </c>
      <c r="E7365" s="142" t="s">
        <v>15849</v>
      </c>
      <c r="F7365" s="142" t="s">
        <v>3420</v>
      </c>
      <c r="G7365" s="142" t="s">
        <v>3419</v>
      </c>
      <c r="H7365" s="142" t="s">
        <v>23215</v>
      </c>
      <c r="I7365" s="142">
        <v>280</v>
      </c>
      <c r="J7365" s="142">
        <v>245</v>
      </c>
      <c r="K7365" s="142">
        <v>0</v>
      </c>
      <c r="L7365" s="142">
        <v>0</v>
      </c>
      <c r="M7365" s="142">
        <v>35</v>
      </c>
    </row>
    <row r="7366" spans="1:13" x14ac:dyDescent="0.45">
      <c r="A7366" s="142" t="s">
        <v>13608</v>
      </c>
      <c r="B7366" s="142" t="s">
        <v>15437</v>
      </c>
      <c r="C7366" s="142" t="s">
        <v>15847</v>
      </c>
      <c r="D7366" s="142" t="s">
        <v>15848</v>
      </c>
      <c r="E7366" s="142" t="s">
        <v>15849</v>
      </c>
      <c r="F7366" s="142" t="s">
        <v>3420</v>
      </c>
      <c r="G7366" s="142" t="s">
        <v>3419</v>
      </c>
      <c r="H7366" s="142" t="s">
        <v>23216</v>
      </c>
      <c r="I7366" s="142">
        <v>574</v>
      </c>
      <c r="J7366" s="142">
        <v>467</v>
      </c>
      <c r="K7366" s="142">
        <v>0</v>
      </c>
      <c r="L7366" s="142">
        <v>0</v>
      </c>
      <c r="M7366" s="142">
        <v>107</v>
      </c>
    </row>
    <row r="7367" spans="1:13" x14ac:dyDescent="0.45">
      <c r="A7367" s="142" t="s">
        <v>13264</v>
      </c>
      <c r="B7367" s="142" t="s">
        <v>15302</v>
      </c>
      <c r="C7367" s="142" t="s">
        <v>15847</v>
      </c>
      <c r="D7367" s="142" t="s">
        <v>15848</v>
      </c>
      <c r="E7367" s="142" t="s">
        <v>15849</v>
      </c>
      <c r="F7367" s="142" t="s">
        <v>3420</v>
      </c>
      <c r="G7367" s="142" t="s">
        <v>3419</v>
      </c>
      <c r="H7367" s="142" t="s">
        <v>23217</v>
      </c>
      <c r="I7367" s="142">
        <v>313</v>
      </c>
      <c r="J7367" s="142">
        <v>205</v>
      </c>
      <c r="K7367" s="142">
        <v>0</v>
      </c>
      <c r="L7367" s="142">
        <v>88</v>
      </c>
      <c r="M7367" s="142">
        <v>20</v>
      </c>
    </row>
    <row r="7368" spans="1:13" x14ac:dyDescent="0.45">
      <c r="A7368" s="142" t="s">
        <v>13182</v>
      </c>
      <c r="B7368" s="142" t="s">
        <v>15140</v>
      </c>
      <c r="C7368" s="142" t="s">
        <v>15860</v>
      </c>
      <c r="D7368" s="142" t="s">
        <v>15861</v>
      </c>
      <c r="E7368" s="142" t="s">
        <v>15849</v>
      </c>
      <c r="F7368" s="142" t="s">
        <v>1310</v>
      </c>
      <c r="G7368" s="142" t="s">
        <v>1309</v>
      </c>
      <c r="H7368" s="142" t="s">
        <v>23218</v>
      </c>
      <c r="I7368" s="142">
        <v>20</v>
      </c>
      <c r="J7368" s="142">
        <v>0</v>
      </c>
      <c r="K7368" s="142">
        <v>0</v>
      </c>
      <c r="L7368" s="142">
        <v>20</v>
      </c>
      <c r="M7368" s="142">
        <v>0</v>
      </c>
    </row>
    <row r="7369" spans="1:13" x14ac:dyDescent="0.45">
      <c r="A7369" s="142" t="s">
        <v>13299</v>
      </c>
      <c r="B7369" s="142" t="s">
        <v>15176</v>
      </c>
      <c r="C7369" s="142" t="s">
        <v>15860</v>
      </c>
      <c r="D7369" s="142" t="s">
        <v>15861</v>
      </c>
      <c r="E7369" s="142" t="s">
        <v>15849</v>
      </c>
      <c r="F7369" s="142" t="s">
        <v>1310</v>
      </c>
      <c r="G7369" s="142" t="s">
        <v>1309</v>
      </c>
      <c r="H7369" s="142" t="s">
        <v>23219</v>
      </c>
      <c r="I7369" s="142">
        <v>11</v>
      </c>
      <c r="J7369" s="142">
        <v>0</v>
      </c>
      <c r="K7369" s="142">
        <v>0</v>
      </c>
      <c r="L7369" s="142">
        <v>11</v>
      </c>
      <c r="M7369" s="142">
        <v>0</v>
      </c>
    </row>
    <row r="7370" spans="1:13" x14ac:dyDescent="0.45">
      <c r="A7370" s="142" t="s">
        <v>13021</v>
      </c>
      <c r="B7370" s="142" t="s">
        <v>15501</v>
      </c>
      <c r="C7370" s="142" t="s">
        <v>15847</v>
      </c>
      <c r="D7370" s="142" t="s">
        <v>15848</v>
      </c>
      <c r="E7370" s="142" t="s">
        <v>15849</v>
      </c>
      <c r="F7370" s="142" t="s">
        <v>1310</v>
      </c>
      <c r="G7370" s="142" t="s">
        <v>1309</v>
      </c>
      <c r="H7370" s="142" t="s">
        <v>23220</v>
      </c>
      <c r="I7370" s="142">
        <v>15</v>
      </c>
      <c r="J7370" s="142">
        <v>0</v>
      </c>
      <c r="K7370" s="142">
        <v>0</v>
      </c>
      <c r="L7370" s="142">
        <v>0</v>
      </c>
      <c r="M7370" s="142">
        <v>15</v>
      </c>
    </row>
    <row r="7371" spans="1:13" x14ac:dyDescent="0.45">
      <c r="A7371" s="142" t="s">
        <v>13023</v>
      </c>
      <c r="B7371" s="142" t="s">
        <v>15571</v>
      </c>
      <c r="C7371" s="142" t="s">
        <v>15847</v>
      </c>
      <c r="D7371" s="142" t="s">
        <v>15848</v>
      </c>
      <c r="E7371" s="142" t="s">
        <v>15849</v>
      </c>
      <c r="F7371" s="142" t="s">
        <v>1310</v>
      </c>
      <c r="G7371" s="142" t="s">
        <v>1309</v>
      </c>
      <c r="H7371" s="142" t="s">
        <v>23221</v>
      </c>
      <c r="I7371" s="142">
        <v>156</v>
      </c>
      <c r="J7371" s="142">
        <v>0</v>
      </c>
      <c r="K7371" s="142">
        <v>0</v>
      </c>
      <c r="L7371" s="142">
        <v>156</v>
      </c>
      <c r="M7371" s="142">
        <v>0</v>
      </c>
    </row>
    <row r="7372" spans="1:13" x14ac:dyDescent="0.45">
      <c r="A7372" s="142" t="s">
        <v>13184</v>
      </c>
      <c r="B7372" s="142" t="s">
        <v>15392</v>
      </c>
      <c r="C7372" s="142" t="s">
        <v>15847</v>
      </c>
      <c r="D7372" s="142" t="s">
        <v>15848</v>
      </c>
      <c r="E7372" s="142" t="s">
        <v>15849</v>
      </c>
      <c r="F7372" s="142" t="s">
        <v>1310</v>
      </c>
      <c r="G7372" s="142" t="s">
        <v>1309</v>
      </c>
      <c r="H7372" s="142" t="s">
        <v>23222</v>
      </c>
      <c r="I7372" s="142">
        <v>462</v>
      </c>
      <c r="J7372" s="142">
        <v>369</v>
      </c>
      <c r="K7372" s="142">
        <v>0</v>
      </c>
      <c r="L7372" s="142">
        <v>28</v>
      </c>
      <c r="M7372" s="142">
        <v>65</v>
      </c>
    </row>
    <row r="7373" spans="1:13" x14ac:dyDescent="0.45">
      <c r="A7373" s="142" t="s">
        <v>13235</v>
      </c>
      <c r="B7373" s="142" t="s">
        <v>14573</v>
      </c>
      <c r="C7373" s="142" t="s">
        <v>15847</v>
      </c>
      <c r="D7373" s="142" t="s">
        <v>15848</v>
      </c>
      <c r="E7373" s="142" t="s">
        <v>15849</v>
      </c>
      <c r="F7373" s="142" t="s">
        <v>1310</v>
      </c>
      <c r="G7373" s="142" t="s">
        <v>1309</v>
      </c>
      <c r="H7373" s="142" t="s">
        <v>23223</v>
      </c>
      <c r="I7373" s="142">
        <v>177</v>
      </c>
      <c r="J7373" s="142">
        <v>161</v>
      </c>
      <c r="K7373" s="142">
        <v>0</v>
      </c>
      <c r="L7373" s="142">
        <v>0</v>
      </c>
      <c r="M7373" s="142">
        <v>16</v>
      </c>
    </row>
    <row r="7374" spans="1:13" x14ac:dyDescent="0.45">
      <c r="A7374" s="142" t="s">
        <v>13159</v>
      </c>
      <c r="B7374" s="142" t="s">
        <v>14521</v>
      </c>
      <c r="C7374" s="142" t="s">
        <v>15860</v>
      </c>
      <c r="D7374" s="142" t="s">
        <v>15861</v>
      </c>
      <c r="E7374" s="142" t="s">
        <v>15849</v>
      </c>
      <c r="F7374" s="142" t="s">
        <v>1310</v>
      </c>
      <c r="G7374" s="142" t="s">
        <v>1309</v>
      </c>
      <c r="H7374" s="142" t="s">
        <v>23224</v>
      </c>
      <c r="I7374" s="142">
        <v>22</v>
      </c>
      <c r="J7374" s="142">
        <v>0</v>
      </c>
      <c r="K7374" s="142">
        <v>0</v>
      </c>
      <c r="L7374" s="142">
        <v>22</v>
      </c>
      <c r="M7374" s="142">
        <v>0</v>
      </c>
    </row>
    <row r="7375" spans="1:13" x14ac:dyDescent="0.45">
      <c r="A7375" s="142" t="s">
        <v>13000</v>
      </c>
      <c r="B7375" s="142" t="s">
        <v>14610</v>
      </c>
      <c r="C7375" s="142" t="s">
        <v>15847</v>
      </c>
      <c r="D7375" s="142" t="s">
        <v>15848</v>
      </c>
      <c r="E7375" s="142" t="s">
        <v>15849</v>
      </c>
      <c r="F7375" s="142" t="s">
        <v>1310</v>
      </c>
      <c r="G7375" s="142" t="s">
        <v>1309</v>
      </c>
      <c r="H7375" s="142" t="s">
        <v>23225</v>
      </c>
      <c r="I7375" s="142">
        <v>130</v>
      </c>
      <c r="J7375" s="142">
        <v>85</v>
      </c>
      <c r="K7375" s="142">
        <v>0</v>
      </c>
      <c r="L7375" s="142">
        <v>0</v>
      </c>
      <c r="M7375" s="142">
        <v>45</v>
      </c>
    </row>
    <row r="7376" spans="1:13" x14ac:dyDescent="0.45">
      <c r="A7376" s="142" t="s">
        <v>13186</v>
      </c>
      <c r="B7376" s="142" t="s">
        <v>15581</v>
      </c>
      <c r="C7376" s="142" t="s">
        <v>15847</v>
      </c>
      <c r="D7376" s="142" t="s">
        <v>15848</v>
      </c>
      <c r="E7376" s="142" t="s">
        <v>15849</v>
      </c>
      <c r="F7376" s="142" t="s">
        <v>1310</v>
      </c>
      <c r="G7376" s="142" t="s">
        <v>1309</v>
      </c>
      <c r="H7376" s="142" t="s">
        <v>23226</v>
      </c>
      <c r="I7376" s="142">
        <v>725</v>
      </c>
      <c r="J7376" s="142">
        <v>560</v>
      </c>
      <c r="K7376" s="142">
        <v>0</v>
      </c>
      <c r="L7376" s="142">
        <v>36</v>
      </c>
      <c r="M7376" s="142">
        <v>129</v>
      </c>
    </row>
    <row r="7377" spans="1:13" x14ac:dyDescent="0.45">
      <c r="A7377" s="142" t="s">
        <v>13187</v>
      </c>
      <c r="B7377" s="142" t="s">
        <v>15518</v>
      </c>
      <c r="C7377" s="142" t="s">
        <v>15860</v>
      </c>
      <c r="D7377" s="142" t="s">
        <v>15861</v>
      </c>
      <c r="E7377" s="142" t="s">
        <v>15849</v>
      </c>
      <c r="F7377" s="142" t="s">
        <v>1310</v>
      </c>
      <c r="G7377" s="142" t="s">
        <v>1309</v>
      </c>
      <c r="H7377" s="142" t="s">
        <v>23227</v>
      </c>
      <c r="I7377" s="142">
        <v>59</v>
      </c>
      <c r="J7377" s="142">
        <v>21</v>
      </c>
      <c r="K7377" s="142">
        <v>0</v>
      </c>
      <c r="L7377" s="142">
        <v>38</v>
      </c>
      <c r="M7377" s="142">
        <v>0</v>
      </c>
    </row>
    <row r="7378" spans="1:13" x14ac:dyDescent="0.45">
      <c r="A7378" s="142" t="s">
        <v>13074</v>
      </c>
      <c r="B7378" s="142" t="s">
        <v>15405</v>
      </c>
      <c r="C7378" s="142" t="s">
        <v>15847</v>
      </c>
      <c r="D7378" s="142" t="s">
        <v>15848</v>
      </c>
      <c r="E7378" s="142" t="s">
        <v>15849</v>
      </c>
      <c r="F7378" s="142" t="s">
        <v>1310</v>
      </c>
      <c r="G7378" s="142" t="s">
        <v>1309</v>
      </c>
      <c r="H7378" s="142" t="s">
        <v>23228</v>
      </c>
      <c r="I7378" s="142">
        <v>7</v>
      </c>
      <c r="J7378" s="142">
        <v>7</v>
      </c>
      <c r="K7378" s="142">
        <v>0</v>
      </c>
      <c r="L7378" s="142">
        <v>0</v>
      </c>
      <c r="M7378" s="142">
        <v>0</v>
      </c>
    </row>
    <row r="7379" spans="1:13" x14ac:dyDescent="0.45">
      <c r="A7379" s="142" t="s">
        <v>13027</v>
      </c>
      <c r="B7379" s="142" t="s">
        <v>14562</v>
      </c>
      <c r="C7379" s="142" t="s">
        <v>15847</v>
      </c>
      <c r="D7379" s="142" t="s">
        <v>15848</v>
      </c>
      <c r="E7379" s="142" t="s">
        <v>15849</v>
      </c>
      <c r="F7379" s="142" t="s">
        <v>1310</v>
      </c>
      <c r="G7379" s="142" t="s">
        <v>1309</v>
      </c>
      <c r="H7379" s="142" t="s">
        <v>23229</v>
      </c>
      <c r="I7379" s="142">
        <v>1</v>
      </c>
      <c r="J7379" s="142">
        <v>0</v>
      </c>
      <c r="K7379" s="142">
        <v>0</v>
      </c>
      <c r="L7379" s="142">
        <v>1</v>
      </c>
      <c r="M7379" s="142">
        <v>0</v>
      </c>
    </row>
    <row r="7380" spans="1:13" x14ac:dyDescent="0.45">
      <c r="A7380" s="142" t="s">
        <v>13243</v>
      </c>
      <c r="B7380" s="142" t="s">
        <v>15560</v>
      </c>
      <c r="C7380" s="142" t="s">
        <v>15847</v>
      </c>
      <c r="D7380" s="142" t="s">
        <v>15848</v>
      </c>
      <c r="E7380" s="142" t="s">
        <v>15849</v>
      </c>
      <c r="F7380" s="142" t="s">
        <v>1310</v>
      </c>
      <c r="G7380" s="142" t="s">
        <v>1309</v>
      </c>
      <c r="H7380" s="142" t="s">
        <v>23230</v>
      </c>
      <c r="I7380" s="142">
        <v>42</v>
      </c>
      <c r="J7380" s="142">
        <v>31</v>
      </c>
      <c r="K7380" s="142">
        <v>0</v>
      </c>
      <c r="L7380" s="142">
        <v>0</v>
      </c>
      <c r="M7380" s="142">
        <v>11</v>
      </c>
    </row>
    <row r="7381" spans="1:13" x14ac:dyDescent="0.45">
      <c r="A7381" s="142" t="s">
        <v>13189</v>
      </c>
      <c r="B7381" s="142" t="s">
        <v>15370</v>
      </c>
      <c r="C7381" s="142" t="s">
        <v>15860</v>
      </c>
      <c r="D7381" s="142" t="s">
        <v>15861</v>
      </c>
      <c r="E7381" s="142" t="s">
        <v>15849</v>
      </c>
      <c r="F7381" s="142" t="s">
        <v>1310</v>
      </c>
      <c r="G7381" s="142" t="s">
        <v>1309</v>
      </c>
      <c r="H7381" s="142" t="s">
        <v>23231</v>
      </c>
      <c r="I7381" s="142">
        <v>84</v>
      </c>
      <c r="J7381" s="142">
        <v>84</v>
      </c>
      <c r="K7381" s="142">
        <v>0</v>
      </c>
      <c r="L7381" s="142">
        <v>0</v>
      </c>
      <c r="M7381" s="142">
        <v>0</v>
      </c>
    </row>
    <row r="7382" spans="1:13" x14ac:dyDescent="0.45">
      <c r="A7382" s="142" t="s">
        <v>13001</v>
      </c>
      <c r="B7382" s="142" t="s">
        <v>15506</v>
      </c>
      <c r="C7382" s="142" t="s">
        <v>15847</v>
      </c>
      <c r="D7382" s="142" t="s">
        <v>15848</v>
      </c>
      <c r="E7382" s="142" t="s">
        <v>15849</v>
      </c>
      <c r="F7382" s="142" t="s">
        <v>1310</v>
      </c>
      <c r="G7382" s="142" t="s">
        <v>1309</v>
      </c>
      <c r="H7382" s="142" t="s">
        <v>23232</v>
      </c>
      <c r="I7382" s="142">
        <v>14</v>
      </c>
      <c r="J7382" s="142">
        <v>14</v>
      </c>
      <c r="K7382" s="142">
        <v>0</v>
      </c>
      <c r="L7382" s="142">
        <v>0</v>
      </c>
      <c r="M7382" s="142">
        <v>0</v>
      </c>
    </row>
    <row r="7383" spans="1:13" x14ac:dyDescent="0.45">
      <c r="A7383" s="142" t="s">
        <v>13028</v>
      </c>
      <c r="B7383" s="142" t="s">
        <v>14462</v>
      </c>
      <c r="C7383" s="142" t="s">
        <v>15847</v>
      </c>
      <c r="D7383" s="142" t="s">
        <v>15848</v>
      </c>
      <c r="E7383" s="142" t="s">
        <v>15849</v>
      </c>
      <c r="F7383" s="142" t="s">
        <v>1310</v>
      </c>
      <c r="G7383" s="142" t="s">
        <v>1309</v>
      </c>
      <c r="H7383" s="142" t="s">
        <v>23233</v>
      </c>
      <c r="I7383" s="142">
        <v>163</v>
      </c>
      <c r="J7383" s="142">
        <v>0</v>
      </c>
      <c r="K7383" s="142">
        <v>0</v>
      </c>
      <c r="L7383" s="142">
        <v>0</v>
      </c>
      <c r="M7383" s="142">
        <v>163</v>
      </c>
    </row>
    <row r="7384" spans="1:13" x14ac:dyDescent="0.45">
      <c r="A7384" s="142" t="s">
        <v>13003</v>
      </c>
      <c r="B7384" s="142" t="s">
        <v>15245</v>
      </c>
      <c r="C7384" s="142" t="s">
        <v>15847</v>
      </c>
      <c r="D7384" s="142" t="s">
        <v>15848</v>
      </c>
      <c r="E7384" s="142" t="s">
        <v>15849</v>
      </c>
      <c r="F7384" s="142" t="s">
        <v>1310</v>
      </c>
      <c r="G7384" s="142" t="s">
        <v>1309</v>
      </c>
      <c r="H7384" s="142" t="s">
        <v>23234</v>
      </c>
      <c r="I7384" s="142">
        <v>150</v>
      </c>
      <c r="J7384" s="142">
        <v>0</v>
      </c>
      <c r="K7384" s="142">
        <v>0</v>
      </c>
      <c r="L7384" s="142">
        <v>130</v>
      </c>
      <c r="M7384" s="142">
        <v>20</v>
      </c>
    </row>
    <row r="7385" spans="1:13" x14ac:dyDescent="0.45">
      <c r="A7385" s="142" t="s">
        <v>13066</v>
      </c>
      <c r="B7385" s="142" t="s">
        <v>14459</v>
      </c>
      <c r="C7385" s="142" t="s">
        <v>15847</v>
      </c>
      <c r="D7385" s="142" t="s">
        <v>15848</v>
      </c>
      <c r="E7385" s="142" t="s">
        <v>15849</v>
      </c>
      <c r="F7385" s="142" t="s">
        <v>1310</v>
      </c>
      <c r="G7385" s="142" t="s">
        <v>1309</v>
      </c>
      <c r="H7385" s="142" t="s">
        <v>23235</v>
      </c>
      <c r="I7385" s="142">
        <v>1</v>
      </c>
      <c r="J7385" s="142">
        <v>0</v>
      </c>
      <c r="K7385" s="142">
        <v>0</v>
      </c>
      <c r="L7385" s="142">
        <v>1</v>
      </c>
      <c r="M7385" s="142">
        <v>0</v>
      </c>
    </row>
    <row r="7386" spans="1:13" x14ac:dyDescent="0.45">
      <c r="A7386" s="142" t="s">
        <v>13170</v>
      </c>
      <c r="B7386" s="142" t="s">
        <v>15486</v>
      </c>
      <c r="C7386" s="142" t="s">
        <v>15860</v>
      </c>
      <c r="D7386" s="142" t="s">
        <v>15861</v>
      </c>
      <c r="E7386" s="142" t="s">
        <v>15849</v>
      </c>
      <c r="F7386" s="142" t="s">
        <v>1310</v>
      </c>
      <c r="G7386" s="142" t="s">
        <v>1309</v>
      </c>
      <c r="H7386" s="142" t="s">
        <v>23236</v>
      </c>
      <c r="I7386" s="142">
        <v>7</v>
      </c>
      <c r="J7386" s="142">
        <v>0</v>
      </c>
      <c r="K7386" s="142">
        <v>0</v>
      </c>
      <c r="L7386" s="142">
        <v>7</v>
      </c>
      <c r="M7386" s="142">
        <v>0</v>
      </c>
    </row>
    <row r="7387" spans="1:13" x14ac:dyDescent="0.45">
      <c r="A7387" s="142" t="s">
        <v>13370</v>
      </c>
      <c r="B7387" s="142" t="s">
        <v>15344</v>
      </c>
      <c r="C7387" s="142" t="s">
        <v>15860</v>
      </c>
      <c r="D7387" s="142" t="s">
        <v>15861</v>
      </c>
      <c r="E7387" s="142" t="s">
        <v>15849</v>
      </c>
      <c r="F7387" s="142" t="s">
        <v>1310</v>
      </c>
      <c r="G7387" s="142" t="s">
        <v>1309</v>
      </c>
      <c r="H7387" s="142" t="s">
        <v>23237</v>
      </c>
      <c r="I7387" s="142">
        <v>119</v>
      </c>
      <c r="J7387" s="142">
        <v>119</v>
      </c>
      <c r="K7387" s="142">
        <v>0</v>
      </c>
      <c r="L7387" s="142">
        <v>0</v>
      </c>
      <c r="M7387" s="142">
        <v>0</v>
      </c>
    </row>
    <row r="7388" spans="1:13" x14ac:dyDescent="0.45">
      <c r="A7388" s="142" t="s">
        <v>13190</v>
      </c>
      <c r="B7388" s="142" t="s">
        <v>14617</v>
      </c>
      <c r="C7388" s="142" t="s">
        <v>15847</v>
      </c>
      <c r="D7388" s="142" t="s">
        <v>15848</v>
      </c>
      <c r="E7388" s="142" t="s">
        <v>15849</v>
      </c>
      <c r="F7388" s="142" t="s">
        <v>1310</v>
      </c>
      <c r="G7388" s="142" t="s">
        <v>1309</v>
      </c>
      <c r="H7388" s="142" t="s">
        <v>23238</v>
      </c>
      <c r="I7388" s="142">
        <v>2128</v>
      </c>
      <c r="J7388" s="142">
        <v>1681</v>
      </c>
      <c r="K7388" s="142">
        <v>0</v>
      </c>
      <c r="L7388" s="142">
        <v>168</v>
      </c>
      <c r="M7388" s="142">
        <v>279</v>
      </c>
    </row>
    <row r="7389" spans="1:13" x14ac:dyDescent="0.45">
      <c r="A7389" s="142" t="s">
        <v>14197</v>
      </c>
      <c r="B7389" s="142" t="s">
        <v>14719</v>
      </c>
      <c r="C7389" s="142" t="s">
        <v>15860</v>
      </c>
      <c r="D7389" s="142" t="s">
        <v>15861</v>
      </c>
      <c r="E7389" s="142" t="s">
        <v>15849</v>
      </c>
      <c r="F7389" s="142" t="s">
        <v>1310</v>
      </c>
      <c r="G7389" s="142" t="s">
        <v>1309</v>
      </c>
      <c r="H7389" s="142" t="s">
        <v>23239</v>
      </c>
      <c r="I7389" s="142">
        <v>8</v>
      </c>
      <c r="J7389" s="142">
        <v>8</v>
      </c>
      <c r="K7389" s="142">
        <v>0</v>
      </c>
      <c r="L7389" s="142">
        <v>0</v>
      </c>
      <c r="M7389" s="142">
        <v>0</v>
      </c>
    </row>
    <row r="7390" spans="1:13" x14ac:dyDescent="0.45">
      <c r="A7390" s="142" t="s">
        <v>13191</v>
      </c>
      <c r="B7390" s="142" t="s">
        <v>15467</v>
      </c>
      <c r="C7390" s="142" t="s">
        <v>15847</v>
      </c>
      <c r="D7390" s="142" t="s">
        <v>15848</v>
      </c>
      <c r="E7390" s="142" t="s">
        <v>15849</v>
      </c>
      <c r="F7390" s="142" t="s">
        <v>1310</v>
      </c>
      <c r="G7390" s="142" t="s">
        <v>1309</v>
      </c>
      <c r="H7390" s="142" t="s">
        <v>23240</v>
      </c>
      <c r="I7390" s="142">
        <v>8598</v>
      </c>
      <c r="J7390" s="142">
        <v>7001</v>
      </c>
      <c r="K7390" s="142">
        <v>0</v>
      </c>
      <c r="L7390" s="142">
        <v>1392</v>
      </c>
      <c r="M7390" s="142">
        <v>205</v>
      </c>
    </row>
    <row r="7391" spans="1:13" x14ac:dyDescent="0.45">
      <c r="A7391" s="142" t="s">
        <v>13193</v>
      </c>
      <c r="B7391" s="142" t="s">
        <v>15461</v>
      </c>
      <c r="C7391" s="142" t="s">
        <v>15847</v>
      </c>
      <c r="D7391" s="142" t="s">
        <v>15848</v>
      </c>
      <c r="E7391" s="142" t="s">
        <v>15849</v>
      </c>
      <c r="F7391" s="142" t="s">
        <v>1310</v>
      </c>
      <c r="G7391" s="142" t="s">
        <v>1309</v>
      </c>
      <c r="H7391" s="142" t="s">
        <v>23241</v>
      </c>
      <c r="I7391" s="142">
        <v>158</v>
      </c>
      <c r="J7391" s="142">
        <v>118</v>
      </c>
      <c r="K7391" s="142">
        <v>0</v>
      </c>
      <c r="L7391" s="142">
        <v>0</v>
      </c>
      <c r="M7391" s="142">
        <v>40</v>
      </c>
    </row>
    <row r="7392" spans="1:13" x14ac:dyDescent="0.45">
      <c r="A7392" s="142" t="s">
        <v>13033</v>
      </c>
      <c r="B7392" s="142" t="s">
        <v>15276</v>
      </c>
      <c r="C7392" s="142" t="s">
        <v>15847</v>
      </c>
      <c r="D7392" s="142" t="s">
        <v>15848</v>
      </c>
      <c r="E7392" s="142" t="s">
        <v>15849</v>
      </c>
      <c r="F7392" s="142" t="s">
        <v>1310</v>
      </c>
      <c r="G7392" s="142" t="s">
        <v>1309</v>
      </c>
      <c r="H7392" s="142" t="s">
        <v>23242</v>
      </c>
      <c r="I7392" s="142">
        <v>60</v>
      </c>
      <c r="J7392" s="142">
        <v>43</v>
      </c>
      <c r="K7392" s="142">
        <v>0</v>
      </c>
      <c r="L7392" s="142">
        <v>0</v>
      </c>
      <c r="M7392" s="142">
        <v>17</v>
      </c>
    </row>
    <row r="7393" spans="1:13" x14ac:dyDescent="0.45">
      <c r="A7393" s="142" t="s">
        <v>13034</v>
      </c>
      <c r="B7393" s="142" t="s">
        <v>15562</v>
      </c>
      <c r="C7393" s="142" t="s">
        <v>15847</v>
      </c>
      <c r="D7393" s="142" t="s">
        <v>15848</v>
      </c>
      <c r="E7393" s="142" t="s">
        <v>15849</v>
      </c>
      <c r="F7393" s="142" t="s">
        <v>1310</v>
      </c>
      <c r="G7393" s="142" t="s">
        <v>1309</v>
      </c>
      <c r="H7393" s="142" t="s">
        <v>23243</v>
      </c>
      <c r="I7393" s="142">
        <v>132</v>
      </c>
      <c r="J7393" s="142">
        <v>98</v>
      </c>
      <c r="K7393" s="142">
        <v>0</v>
      </c>
      <c r="L7393" s="142">
        <v>34</v>
      </c>
      <c r="M7393" s="142">
        <v>0</v>
      </c>
    </row>
    <row r="7394" spans="1:13" x14ac:dyDescent="0.45">
      <c r="A7394" s="142" t="s">
        <v>13105</v>
      </c>
      <c r="B7394" s="142" t="s">
        <v>14654</v>
      </c>
      <c r="C7394" s="142" t="s">
        <v>15847</v>
      </c>
      <c r="D7394" s="142" t="s">
        <v>15848</v>
      </c>
      <c r="E7394" s="142" t="s">
        <v>15849</v>
      </c>
      <c r="F7394" s="142" t="s">
        <v>1310</v>
      </c>
      <c r="G7394" s="142" t="s">
        <v>1309</v>
      </c>
      <c r="H7394" s="142" t="s">
        <v>23244</v>
      </c>
      <c r="I7394" s="142">
        <v>4</v>
      </c>
      <c r="J7394" s="142">
        <v>0</v>
      </c>
      <c r="K7394" s="142">
        <v>0</v>
      </c>
      <c r="L7394" s="142">
        <v>0</v>
      </c>
      <c r="M7394" s="142">
        <v>4</v>
      </c>
    </row>
    <row r="7395" spans="1:13" x14ac:dyDescent="0.45">
      <c r="A7395" s="142" t="s">
        <v>13038</v>
      </c>
      <c r="B7395" s="142" t="s">
        <v>14646</v>
      </c>
      <c r="C7395" s="142" t="s">
        <v>15847</v>
      </c>
      <c r="D7395" s="142" t="s">
        <v>15848</v>
      </c>
      <c r="E7395" s="142" t="s">
        <v>15849</v>
      </c>
      <c r="F7395" s="142" t="s">
        <v>1310</v>
      </c>
      <c r="G7395" s="142" t="s">
        <v>1309</v>
      </c>
      <c r="H7395" s="142" t="s">
        <v>23245</v>
      </c>
      <c r="I7395" s="142">
        <v>16</v>
      </c>
      <c r="J7395" s="142">
        <v>0</v>
      </c>
      <c r="K7395" s="142">
        <v>0</v>
      </c>
      <c r="L7395" s="142">
        <v>0</v>
      </c>
      <c r="M7395" s="142">
        <v>16</v>
      </c>
    </row>
    <row r="7396" spans="1:13" x14ac:dyDescent="0.45">
      <c r="A7396" s="142" t="s">
        <v>13009</v>
      </c>
      <c r="B7396" s="142" t="s">
        <v>15256</v>
      </c>
      <c r="C7396" s="142" t="s">
        <v>15847</v>
      </c>
      <c r="D7396" s="142" t="s">
        <v>15848</v>
      </c>
      <c r="E7396" s="142" t="s">
        <v>15849</v>
      </c>
      <c r="F7396" s="142" t="s">
        <v>1310</v>
      </c>
      <c r="G7396" s="142" t="s">
        <v>1309</v>
      </c>
      <c r="H7396" s="142" t="s">
        <v>23246</v>
      </c>
      <c r="I7396" s="142">
        <v>46</v>
      </c>
      <c r="J7396" s="142">
        <v>45</v>
      </c>
      <c r="K7396" s="142">
        <v>0</v>
      </c>
      <c r="L7396" s="142">
        <v>0</v>
      </c>
      <c r="M7396" s="142">
        <v>1</v>
      </c>
    </row>
    <row r="7397" spans="1:13" x14ac:dyDescent="0.45">
      <c r="A7397" s="142" t="s">
        <v>13373</v>
      </c>
      <c r="B7397" s="142" t="s">
        <v>15400</v>
      </c>
      <c r="C7397" s="142" t="s">
        <v>15860</v>
      </c>
      <c r="D7397" s="142" t="s">
        <v>15861</v>
      </c>
      <c r="E7397" s="142" t="s">
        <v>15849</v>
      </c>
      <c r="F7397" s="142" t="s">
        <v>1310</v>
      </c>
      <c r="G7397" s="142" t="s">
        <v>1309</v>
      </c>
      <c r="H7397" s="142" t="s">
        <v>23247</v>
      </c>
      <c r="I7397" s="142">
        <v>1</v>
      </c>
      <c r="J7397" s="142">
        <v>1</v>
      </c>
      <c r="K7397" s="142">
        <v>0</v>
      </c>
      <c r="L7397" s="142">
        <v>0</v>
      </c>
      <c r="M7397" s="142">
        <v>0</v>
      </c>
    </row>
    <row r="7398" spans="1:13" x14ac:dyDescent="0.45">
      <c r="A7398" s="142" t="s">
        <v>13058</v>
      </c>
      <c r="B7398" s="142" t="s">
        <v>14584</v>
      </c>
      <c r="C7398" s="142" t="s">
        <v>15847</v>
      </c>
      <c r="D7398" s="142" t="s">
        <v>15848</v>
      </c>
      <c r="E7398" s="142" t="s">
        <v>15849</v>
      </c>
      <c r="F7398" s="142" t="s">
        <v>1310</v>
      </c>
      <c r="G7398" s="142" t="s">
        <v>1309</v>
      </c>
      <c r="H7398" s="142" t="s">
        <v>23248</v>
      </c>
      <c r="I7398" s="142">
        <v>2527</v>
      </c>
      <c r="J7398" s="142">
        <v>1916</v>
      </c>
      <c r="K7398" s="142">
        <v>0</v>
      </c>
      <c r="L7398" s="142">
        <v>0</v>
      </c>
      <c r="M7398" s="142">
        <v>611</v>
      </c>
    </row>
    <row r="7399" spans="1:13" x14ac:dyDescent="0.45">
      <c r="A7399" s="142" t="s">
        <v>13205</v>
      </c>
      <c r="B7399" s="142" t="s">
        <v>14496</v>
      </c>
      <c r="C7399" s="142" t="s">
        <v>15847</v>
      </c>
      <c r="D7399" s="142" t="s">
        <v>15848</v>
      </c>
      <c r="E7399" s="142" t="s">
        <v>15849</v>
      </c>
      <c r="F7399" s="142" t="s">
        <v>1310</v>
      </c>
      <c r="G7399" s="142" t="s">
        <v>1309</v>
      </c>
      <c r="H7399" s="142" t="s">
        <v>23249</v>
      </c>
      <c r="I7399" s="142">
        <v>29</v>
      </c>
      <c r="J7399" s="142">
        <v>29</v>
      </c>
      <c r="K7399" s="142">
        <v>0</v>
      </c>
      <c r="L7399" s="142">
        <v>0</v>
      </c>
      <c r="M7399" s="142">
        <v>0</v>
      </c>
    </row>
    <row r="7400" spans="1:13" x14ac:dyDescent="0.45">
      <c r="A7400" s="142" t="s">
        <v>13012</v>
      </c>
      <c r="B7400" s="142" t="s">
        <v>15337</v>
      </c>
      <c r="C7400" s="142" t="s">
        <v>15847</v>
      </c>
      <c r="D7400" s="142" t="s">
        <v>15848</v>
      </c>
      <c r="E7400" s="142" t="s">
        <v>15849</v>
      </c>
      <c r="F7400" s="142" t="s">
        <v>1310</v>
      </c>
      <c r="G7400" s="142" t="s">
        <v>1309</v>
      </c>
      <c r="H7400" s="142" t="s">
        <v>23250</v>
      </c>
      <c r="I7400" s="142">
        <v>160</v>
      </c>
      <c r="J7400" s="142">
        <v>136</v>
      </c>
      <c r="K7400" s="142">
        <v>0</v>
      </c>
      <c r="L7400" s="142">
        <v>11</v>
      </c>
      <c r="M7400" s="142">
        <v>13</v>
      </c>
    </row>
    <row r="7401" spans="1:13" x14ac:dyDescent="0.45">
      <c r="A7401" s="142" t="s">
        <v>13206</v>
      </c>
      <c r="B7401" s="142" t="s">
        <v>14489</v>
      </c>
      <c r="C7401" s="142" t="s">
        <v>15860</v>
      </c>
      <c r="D7401" s="142" t="s">
        <v>15861</v>
      </c>
      <c r="E7401" s="142" t="s">
        <v>15849</v>
      </c>
      <c r="F7401" s="142" t="s">
        <v>1310</v>
      </c>
      <c r="G7401" s="142" t="s">
        <v>1309</v>
      </c>
      <c r="H7401" s="142" t="s">
        <v>23251</v>
      </c>
      <c r="I7401" s="142">
        <v>41</v>
      </c>
      <c r="J7401" s="142">
        <v>0</v>
      </c>
      <c r="K7401" s="142">
        <v>0</v>
      </c>
      <c r="L7401" s="142">
        <v>41</v>
      </c>
      <c r="M7401" s="142">
        <v>0</v>
      </c>
    </row>
    <row r="7402" spans="1:13" x14ac:dyDescent="0.45">
      <c r="A7402" s="142" t="s">
        <v>13014</v>
      </c>
      <c r="B7402" s="142" t="s">
        <v>14505</v>
      </c>
      <c r="C7402" s="142" t="s">
        <v>15847</v>
      </c>
      <c r="D7402" s="142" t="s">
        <v>15848</v>
      </c>
      <c r="E7402" s="142" t="s">
        <v>15849</v>
      </c>
      <c r="F7402" s="142" t="s">
        <v>1310</v>
      </c>
      <c r="G7402" s="142" t="s">
        <v>1309</v>
      </c>
      <c r="H7402" s="142" t="s">
        <v>23252</v>
      </c>
      <c r="I7402" s="142">
        <v>243</v>
      </c>
      <c r="J7402" s="142">
        <v>207</v>
      </c>
      <c r="K7402" s="142">
        <v>0</v>
      </c>
      <c r="L7402" s="142">
        <v>0</v>
      </c>
      <c r="M7402" s="142">
        <v>36</v>
      </c>
    </row>
    <row r="7403" spans="1:13" x14ac:dyDescent="0.45">
      <c r="A7403" s="142" t="s">
        <v>14198</v>
      </c>
      <c r="B7403" s="142" t="s">
        <v>14739</v>
      </c>
      <c r="C7403" s="142" t="s">
        <v>15860</v>
      </c>
      <c r="D7403" s="142" t="s">
        <v>15861</v>
      </c>
      <c r="E7403" s="142" t="s">
        <v>15849</v>
      </c>
      <c r="F7403" s="142" t="s">
        <v>1310</v>
      </c>
      <c r="G7403" s="142" t="s">
        <v>1309</v>
      </c>
      <c r="H7403" s="142" t="s">
        <v>23253</v>
      </c>
      <c r="I7403" s="142">
        <v>10</v>
      </c>
      <c r="J7403" s="142">
        <v>10</v>
      </c>
      <c r="K7403" s="142">
        <v>0</v>
      </c>
      <c r="L7403" s="142">
        <v>0</v>
      </c>
      <c r="M7403" s="142">
        <v>0</v>
      </c>
    </row>
    <row r="7404" spans="1:13" x14ac:dyDescent="0.45">
      <c r="A7404" s="142" t="s">
        <v>13042</v>
      </c>
      <c r="B7404" s="142" t="s">
        <v>15489</v>
      </c>
      <c r="C7404" s="142" t="s">
        <v>15847</v>
      </c>
      <c r="D7404" s="142" t="s">
        <v>15848</v>
      </c>
      <c r="E7404" s="142" t="s">
        <v>15849</v>
      </c>
      <c r="F7404" s="142" t="s">
        <v>1310</v>
      </c>
      <c r="G7404" s="142" t="s">
        <v>1309</v>
      </c>
      <c r="H7404" s="142" t="s">
        <v>23254</v>
      </c>
      <c r="I7404" s="142">
        <v>65</v>
      </c>
      <c r="J7404" s="142">
        <v>0</v>
      </c>
      <c r="K7404" s="142">
        <v>0</v>
      </c>
      <c r="L7404" s="142">
        <v>65</v>
      </c>
      <c r="M7404" s="142">
        <v>0</v>
      </c>
    </row>
    <row r="7405" spans="1:13" x14ac:dyDescent="0.45">
      <c r="A7405" s="142" t="s">
        <v>13542</v>
      </c>
      <c r="B7405" s="142" t="s">
        <v>15368</v>
      </c>
      <c r="C7405" s="142" t="s">
        <v>15847</v>
      </c>
      <c r="D7405" s="142" t="s">
        <v>15848</v>
      </c>
      <c r="E7405" s="142" t="s">
        <v>15849</v>
      </c>
      <c r="F7405" s="142" t="s">
        <v>1310</v>
      </c>
      <c r="G7405" s="142" t="s">
        <v>1309</v>
      </c>
      <c r="H7405" s="142" t="s">
        <v>23255</v>
      </c>
      <c r="I7405" s="142">
        <v>98</v>
      </c>
      <c r="J7405" s="142">
        <v>87</v>
      </c>
      <c r="K7405" s="142">
        <v>0</v>
      </c>
      <c r="L7405" s="142">
        <v>0</v>
      </c>
      <c r="M7405" s="142">
        <v>11</v>
      </c>
    </row>
    <row r="7406" spans="1:13" x14ac:dyDescent="0.45">
      <c r="A7406" s="142" t="s">
        <v>13021</v>
      </c>
      <c r="B7406" s="142" t="s">
        <v>15501</v>
      </c>
      <c r="C7406" s="142" t="s">
        <v>15847</v>
      </c>
      <c r="D7406" s="142" t="s">
        <v>15848</v>
      </c>
      <c r="E7406" s="142" t="s">
        <v>15849</v>
      </c>
      <c r="F7406" s="142" t="s">
        <v>3630</v>
      </c>
      <c r="G7406" s="142" t="s">
        <v>3629</v>
      </c>
      <c r="H7406" s="142" t="s">
        <v>23256</v>
      </c>
      <c r="I7406" s="142">
        <v>10</v>
      </c>
      <c r="J7406" s="142">
        <v>0</v>
      </c>
      <c r="K7406" s="142">
        <v>0</v>
      </c>
      <c r="L7406" s="142">
        <v>0</v>
      </c>
      <c r="M7406" s="142">
        <v>10</v>
      </c>
    </row>
    <row r="7407" spans="1:13" x14ac:dyDescent="0.45">
      <c r="A7407" s="142" t="s">
        <v>13023</v>
      </c>
      <c r="B7407" s="142" t="s">
        <v>15571</v>
      </c>
      <c r="C7407" s="142" t="s">
        <v>15847</v>
      </c>
      <c r="D7407" s="142" t="s">
        <v>15848</v>
      </c>
      <c r="E7407" s="142" t="s">
        <v>15849</v>
      </c>
      <c r="F7407" s="142" t="s">
        <v>3630</v>
      </c>
      <c r="G7407" s="142" t="s">
        <v>3629</v>
      </c>
      <c r="H7407" s="142" t="s">
        <v>23257</v>
      </c>
      <c r="I7407" s="142">
        <v>28</v>
      </c>
      <c r="J7407" s="142">
        <v>0</v>
      </c>
      <c r="K7407" s="142">
        <v>0</v>
      </c>
      <c r="L7407" s="142">
        <v>28</v>
      </c>
      <c r="M7407" s="142">
        <v>0</v>
      </c>
    </row>
    <row r="7408" spans="1:13" x14ac:dyDescent="0.45">
      <c r="A7408" s="142" t="s">
        <v>13047</v>
      </c>
      <c r="B7408" s="142" t="s">
        <v>14616</v>
      </c>
      <c r="C7408" s="142" t="s">
        <v>15847</v>
      </c>
      <c r="D7408" s="142" t="s">
        <v>15848</v>
      </c>
      <c r="E7408" s="142" t="s">
        <v>15849</v>
      </c>
      <c r="F7408" s="142" t="s">
        <v>3630</v>
      </c>
      <c r="G7408" s="142" t="s">
        <v>3629</v>
      </c>
      <c r="H7408" s="142" t="s">
        <v>23258</v>
      </c>
      <c r="I7408" s="142">
        <v>20</v>
      </c>
      <c r="J7408" s="142">
        <v>10</v>
      </c>
      <c r="K7408" s="142">
        <v>0</v>
      </c>
      <c r="L7408" s="142">
        <v>0</v>
      </c>
      <c r="M7408" s="142">
        <v>10</v>
      </c>
    </row>
    <row r="7409" spans="1:13" x14ac:dyDescent="0.45">
      <c r="A7409" s="142" t="s">
        <v>13048</v>
      </c>
      <c r="B7409" s="142" t="s">
        <v>14479</v>
      </c>
      <c r="C7409" s="142" t="s">
        <v>15847</v>
      </c>
      <c r="D7409" s="142" t="s">
        <v>15848</v>
      </c>
      <c r="E7409" s="142" t="s">
        <v>15849</v>
      </c>
      <c r="F7409" s="142" t="s">
        <v>3630</v>
      </c>
      <c r="G7409" s="142" t="s">
        <v>3629</v>
      </c>
      <c r="H7409" s="142" t="s">
        <v>23259</v>
      </c>
      <c r="I7409" s="142">
        <v>159</v>
      </c>
      <c r="J7409" s="142">
        <v>63</v>
      </c>
      <c r="K7409" s="142">
        <v>0</v>
      </c>
      <c r="L7409" s="142">
        <v>0</v>
      </c>
      <c r="M7409" s="142">
        <v>96</v>
      </c>
    </row>
    <row r="7410" spans="1:13" x14ac:dyDescent="0.45">
      <c r="A7410" s="142" t="s">
        <v>13301</v>
      </c>
      <c r="B7410" s="142" t="s">
        <v>15496</v>
      </c>
      <c r="C7410" s="142" t="s">
        <v>15847</v>
      </c>
      <c r="D7410" s="142" t="s">
        <v>15848</v>
      </c>
      <c r="E7410" s="142" t="s">
        <v>15849</v>
      </c>
      <c r="F7410" s="142" t="s">
        <v>3630</v>
      </c>
      <c r="G7410" s="142" t="s">
        <v>3629</v>
      </c>
      <c r="H7410" s="142" t="s">
        <v>23260</v>
      </c>
      <c r="I7410" s="142">
        <v>9</v>
      </c>
      <c r="J7410" s="142">
        <v>0</v>
      </c>
      <c r="K7410" s="142">
        <v>0</v>
      </c>
      <c r="L7410" s="142">
        <v>9</v>
      </c>
      <c r="M7410" s="142">
        <v>0</v>
      </c>
    </row>
    <row r="7411" spans="1:13" x14ac:dyDescent="0.45">
      <c r="A7411" s="142" t="s">
        <v>13000</v>
      </c>
      <c r="B7411" s="142" t="s">
        <v>14610</v>
      </c>
      <c r="C7411" s="142" t="s">
        <v>15847</v>
      </c>
      <c r="D7411" s="142" t="s">
        <v>15848</v>
      </c>
      <c r="E7411" s="142" t="s">
        <v>15849</v>
      </c>
      <c r="F7411" s="142" t="s">
        <v>3630</v>
      </c>
      <c r="G7411" s="142" t="s">
        <v>3629</v>
      </c>
      <c r="H7411" s="142" t="s">
        <v>23261</v>
      </c>
      <c r="I7411" s="142">
        <v>315</v>
      </c>
      <c r="J7411" s="142">
        <v>129</v>
      </c>
      <c r="K7411" s="142">
        <v>0</v>
      </c>
      <c r="L7411" s="142">
        <v>0</v>
      </c>
      <c r="M7411" s="142">
        <v>186</v>
      </c>
    </row>
    <row r="7412" spans="1:13" x14ac:dyDescent="0.45">
      <c r="A7412" s="142" t="s">
        <v>13085</v>
      </c>
      <c r="B7412" s="142" t="s">
        <v>14460</v>
      </c>
      <c r="C7412" s="142" t="s">
        <v>15860</v>
      </c>
      <c r="D7412" s="142" t="s">
        <v>15861</v>
      </c>
      <c r="E7412" s="142" t="s">
        <v>15849</v>
      </c>
      <c r="F7412" s="142" t="s">
        <v>3630</v>
      </c>
      <c r="G7412" s="142" t="s">
        <v>3629</v>
      </c>
      <c r="H7412" s="142" t="s">
        <v>23262</v>
      </c>
      <c r="I7412" s="142">
        <v>4</v>
      </c>
      <c r="J7412" s="142">
        <v>0</v>
      </c>
      <c r="K7412" s="142">
        <v>0</v>
      </c>
      <c r="L7412" s="142">
        <v>4</v>
      </c>
      <c r="M7412" s="142">
        <v>0</v>
      </c>
    </row>
    <row r="7413" spans="1:13" x14ac:dyDescent="0.45">
      <c r="A7413" s="142" t="s">
        <v>13027</v>
      </c>
      <c r="B7413" s="142" t="s">
        <v>14562</v>
      </c>
      <c r="C7413" s="142" t="s">
        <v>15847</v>
      </c>
      <c r="D7413" s="142" t="s">
        <v>15848</v>
      </c>
      <c r="E7413" s="142" t="s">
        <v>15849</v>
      </c>
      <c r="F7413" s="142" t="s">
        <v>3630</v>
      </c>
      <c r="G7413" s="142" t="s">
        <v>3629</v>
      </c>
      <c r="H7413" s="142" t="s">
        <v>23263</v>
      </c>
      <c r="I7413" s="142">
        <v>30</v>
      </c>
      <c r="J7413" s="142">
        <v>0</v>
      </c>
      <c r="K7413" s="142">
        <v>0</v>
      </c>
      <c r="L7413" s="142">
        <v>30</v>
      </c>
      <c r="M7413" s="142">
        <v>0</v>
      </c>
    </row>
    <row r="7414" spans="1:13" x14ac:dyDescent="0.45">
      <c r="A7414" s="142" t="s">
        <v>13050</v>
      </c>
      <c r="B7414" s="142" t="s">
        <v>15237</v>
      </c>
      <c r="C7414" s="142" t="s">
        <v>15847</v>
      </c>
      <c r="D7414" s="142" t="s">
        <v>15848</v>
      </c>
      <c r="E7414" s="142" t="s">
        <v>15849</v>
      </c>
      <c r="F7414" s="142" t="s">
        <v>3630</v>
      </c>
      <c r="G7414" s="142" t="s">
        <v>3629</v>
      </c>
      <c r="H7414" s="142" t="s">
        <v>23264</v>
      </c>
      <c r="I7414" s="142">
        <v>44</v>
      </c>
      <c r="J7414" s="142">
        <v>44</v>
      </c>
      <c r="K7414" s="142">
        <v>0</v>
      </c>
      <c r="L7414" s="142">
        <v>0</v>
      </c>
      <c r="M7414" s="142">
        <v>0</v>
      </c>
    </row>
    <row r="7415" spans="1:13" x14ac:dyDescent="0.45">
      <c r="A7415" s="142" t="s">
        <v>13028</v>
      </c>
      <c r="B7415" s="142" t="s">
        <v>14462</v>
      </c>
      <c r="C7415" s="142" t="s">
        <v>15847</v>
      </c>
      <c r="D7415" s="142" t="s">
        <v>15848</v>
      </c>
      <c r="E7415" s="142" t="s">
        <v>15849</v>
      </c>
      <c r="F7415" s="142" t="s">
        <v>3630</v>
      </c>
      <c r="G7415" s="142" t="s">
        <v>3629</v>
      </c>
      <c r="H7415" s="142" t="s">
        <v>23265</v>
      </c>
      <c r="I7415" s="142">
        <v>19</v>
      </c>
      <c r="J7415" s="142">
        <v>0</v>
      </c>
      <c r="K7415" s="142">
        <v>0</v>
      </c>
      <c r="L7415" s="142">
        <v>0</v>
      </c>
      <c r="M7415" s="142">
        <v>19</v>
      </c>
    </row>
    <row r="7416" spans="1:13" x14ac:dyDescent="0.45">
      <c r="A7416" s="142" t="s">
        <v>13066</v>
      </c>
      <c r="B7416" s="142" t="s">
        <v>14459</v>
      </c>
      <c r="C7416" s="142" t="s">
        <v>15847</v>
      </c>
      <c r="D7416" s="142" t="s">
        <v>15848</v>
      </c>
      <c r="E7416" s="142" t="s">
        <v>15849</v>
      </c>
      <c r="F7416" s="142" t="s">
        <v>3630</v>
      </c>
      <c r="G7416" s="142" t="s">
        <v>3629</v>
      </c>
      <c r="H7416" s="142" t="s">
        <v>23266</v>
      </c>
      <c r="I7416" s="142">
        <v>5</v>
      </c>
      <c r="J7416" s="142">
        <v>0</v>
      </c>
      <c r="K7416" s="142">
        <v>0</v>
      </c>
      <c r="L7416" s="142">
        <v>5</v>
      </c>
      <c r="M7416" s="142">
        <v>0</v>
      </c>
    </row>
    <row r="7417" spans="1:13" x14ac:dyDescent="0.45">
      <c r="A7417" s="142" t="s">
        <v>13178</v>
      </c>
      <c r="B7417" s="142" t="s">
        <v>14683</v>
      </c>
      <c r="C7417" s="142" t="s">
        <v>15847</v>
      </c>
      <c r="D7417" s="142" t="s">
        <v>15848</v>
      </c>
      <c r="E7417" s="142" t="s">
        <v>15849</v>
      </c>
      <c r="F7417" s="142" t="s">
        <v>3630</v>
      </c>
      <c r="G7417" s="142" t="s">
        <v>3629</v>
      </c>
      <c r="H7417" s="142" t="s">
        <v>23267</v>
      </c>
      <c r="I7417" s="142">
        <v>33</v>
      </c>
      <c r="J7417" s="142">
        <v>33</v>
      </c>
      <c r="K7417" s="142">
        <v>0</v>
      </c>
      <c r="L7417" s="142">
        <v>0</v>
      </c>
      <c r="M7417" s="142">
        <v>0</v>
      </c>
    </row>
    <row r="7418" spans="1:13" x14ac:dyDescent="0.45">
      <c r="A7418" s="142" t="s">
        <v>13076</v>
      </c>
      <c r="B7418" s="142" t="s">
        <v>14636</v>
      </c>
      <c r="C7418" s="142" t="s">
        <v>15847</v>
      </c>
      <c r="D7418" s="142" t="s">
        <v>15848</v>
      </c>
      <c r="E7418" s="142" t="s">
        <v>15849</v>
      </c>
      <c r="F7418" s="142" t="s">
        <v>3630</v>
      </c>
      <c r="G7418" s="142" t="s">
        <v>3629</v>
      </c>
      <c r="H7418" s="142" t="s">
        <v>23268</v>
      </c>
      <c r="I7418" s="142">
        <v>32</v>
      </c>
      <c r="J7418" s="142">
        <v>0</v>
      </c>
      <c r="K7418" s="142">
        <v>0</v>
      </c>
      <c r="L7418" s="142">
        <v>0</v>
      </c>
      <c r="M7418" s="142">
        <v>32</v>
      </c>
    </row>
    <row r="7419" spans="1:13" x14ac:dyDescent="0.45">
      <c r="A7419" s="142" t="s">
        <v>13190</v>
      </c>
      <c r="B7419" s="142" t="s">
        <v>14617</v>
      </c>
      <c r="C7419" s="142" t="s">
        <v>15847</v>
      </c>
      <c r="D7419" s="142" t="s">
        <v>15848</v>
      </c>
      <c r="E7419" s="142" t="s">
        <v>15849</v>
      </c>
      <c r="F7419" s="142" t="s">
        <v>3630</v>
      </c>
      <c r="G7419" s="142" t="s">
        <v>3629</v>
      </c>
      <c r="H7419" s="142" t="s">
        <v>23269</v>
      </c>
      <c r="I7419" s="142">
        <v>3754</v>
      </c>
      <c r="J7419" s="142">
        <v>2989</v>
      </c>
      <c r="K7419" s="142">
        <v>0</v>
      </c>
      <c r="L7419" s="142">
        <v>392</v>
      </c>
      <c r="M7419" s="142">
        <v>373</v>
      </c>
    </row>
    <row r="7420" spans="1:13" x14ac:dyDescent="0.45">
      <c r="A7420" s="142" t="s">
        <v>13034</v>
      </c>
      <c r="B7420" s="142" t="s">
        <v>15562</v>
      </c>
      <c r="C7420" s="142" t="s">
        <v>15847</v>
      </c>
      <c r="D7420" s="142" t="s">
        <v>15848</v>
      </c>
      <c r="E7420" s="142" t="s">
        <v>15849</v>
      </c>
      <c r="F7420" s="142" t="s">
        <v>3630</v>
      </c>
      <c r="G7420" s="142" t="s">
        <v>3629</v>
      </c>
      <c r="H7420" s="142" t="s">
        <v>23270</v>
      </c>
      <c r="I7420" s="142">
        <v>241</v>
      </c>
      <c r="J7420" s="142">
        <v>241</v>
      </c>
      <c r="K7420" s="142">
        <v>0</v>
      </c>
      <c r="L7420" s="142">
        <v>0</v>
      </c>
      <c r="M7420" s="142">
        <v>0</v>
      </c>
    </row>
    <row r="7421" spans="1:13" x14ac:dyDescent="0.45">
      <c r="A7421" s="142" t="s">
        <v>13536</v>
      </c>
      <c r="B7421" s="142" t="s">
        <v>15484</v>
      </c>
      <c r="C7421" s="142" t="s">
        <v>15847</v>
      </c>
      <c r="D7421" s="142" t="s">
        <v>15848</v>
      </c>
      <c r="E7421" s="142" t="s">
        <v>15849</v>
      </c>
      <c r="F7421" s="142" t="s">
        <v>3630</v>
      </c>
      <c r="G7421" s="142" t="s">
        <v>3629</v>
      </c>
      <c r="H7421" s="142" t="s">
        <v>23271</v>
      </c>
      <c r="I7421" s="142">
        <v>63</v>
      </c>
      <c r="J7421" s="142">
        <v>31</v>
      </c>
      <c r="K7421" s="142">
        <v>0</v>
      </c>
      <c r="L7421" s="142">
        <v>0</v>
      </c>
      <c r="M7421" s="142">
        <v>32</v>
      </c>
    </row>
    <row r="7422" spans="1:13" x14ac:dyDescent="0.45">
      <c r="A7422" s="142" t="s">
        <v>13036</v>
      </c>
      <c r="B7422" s="142" t="s">
        <v>15567</v>
      </c>
      <c r="C7422" s="142" t="s">
        <v>15847</v>
      </c>
      <c r="D7422" s="142" t="s">
        <v>15848</v>
      </c>
      <c r="E7422" s="142" t="s">
        <v>15849</v>
      </c>
      <c r="F7422" s="142" t="s">
        <v>3630</v>
      </c>
      <c r="G7422" s="142" t="s">
        <v>3629</v>
      </c>
      <c r="H7422" s="142" t="s">
        <v>23272</v>
      </c>
      <c r="I7422" s="142">
        <v>4</v>
      </c>
      <c r="J7422" s="142">
        <v>0</v>
      </c>
      <c r="K7422" s="142">
        <v>0</v>
      </c>
      <c r="L7422" s="142">
        <v>4</v>
      </c>
      <c r="M7422" s="142">
        <v>0</v>
      </c>
    </row>
    <row r="7423" spans="1:13" x14ac:dyDescent="0.45">
      <c r="A7423" s="142" t="s">
        <v>13009</v>
      </c>
      <c r="B7423" s="142" t="s">
        <v>15256</v>
      </c>
      <c r="C7423" s="142" t="s">
        <v>15847</v>
      </c>
      <c r="D7423" s="142" t="s">
        <v>15848</v>
      </c>
      <c r="E7423" s="142" t="s">
        <v>15849</v>
      </c>
      <c r="F7423" s="142" t="s">
        <v>3630</v>
      </c>
      <c r="G7423" s="142" t="s">
        <v>3629</v>
      </c>
      <c r="H7423" s="142" t="s">
        <v>23273</v>
      </c>
      <c r="I7423" s="142">
        <v>60</v>
      </c>
      <c r="J7423" s="142">
        <v>46</v>
      </c>
      <c r="K7423" s="142">
        <v>0</v>
      </c>
      <c r="L7423" s="142">
        <v>14</v>
      </c>
      <c r="M7423" s="142">
        <v>0</v>
      </c>
    </row>
    <row r="7424" spans="1:13" x14ac:dyDescent="0.45">
      <c r="A7424" s="142" t="s">
        <v>13058</v>
      </c>
      <c r="B7424" s="142" t="s">
        <v>14584</v>
      </c>
      <c r="C7424" s="142" t="s">
        <v>15847</v>
      </c>
      <c r="D7424" s="142" t="s">
        <v>15848</v>
      </c>
      <c r="E7424" s="142" t="s">
        <v>15849</v>
      </c>
      <c r="F7424" s="142" t="s">
        <v>3630</v>
      </c>
      <c r="G7424" s="142" t="s">
        <v>3629</v>
      </c>
      <c r="H7424" s="142" t="s">
        <v>23274</v>
      </c>
      <c r="I7424" s="142">
        <v>261</v>
      </c>
      <c r="J7424" s="142">
        <v>192</v>
      </c>
      <c r="K7424" s="142">
        <v>0</v>
      </c>
      <c r="L7424" s="142">
        <v>20</v>
      </c>
      <c r="M7424" s="142">
        <v>49</v>
      </c>
    </row>
    <row r="7425" spans="1:13" x14ac:dyDescent="0.45">
      <c r="A7425" s="142" t="s">
        <v>13646</v>
      </c>
      <c r="B7425" s="142" t="s">
        <v>15599</v>
      </c>
      <c r="C7425" s="142" t="s">
        <v>15847</v>
      </c>
      <c r="D7425" s="142" t="s">
        <v>15848</v>
      </c>
      <c r="E7425" s="142" t="s">
        <v>15849</v>
      </c>
      <c r="F7425" s="142" t="s">
        <v>3630</v>
      </c>
      <c r="G7425" s="142" t="s">
        <v>3629</v>
      </c>
      <c r="H7425" s="142" t="s">
        <v>23275</v>
      </c>
      <c r="I7425" s="142">
        <v>43</v>
      </c>
      <c r="J7425" s="142">
        <v>33</v>
      </c>
      <c r="K7425" s="142">
        <v>0</v>
      </c>
      <c r="L7425" s="142">
        <v>0</v>
      </c>
      <c r="M7425" s="142">
        <v>10</v>
      </c>
    </row>
    <row r="7426" spans="1:13" x14ac:dyDescent="0.45">
      <c r="A7426" s="142" t="s">
        <v>13539</v>
      </c>
      <c r="B7426" s="142" t="s">
        <v>15200</v>
      </c>
      <c r="C7426" s="142" t="s">
        <v>15860</v>
      </c>
      <c r="D7426" s="142" t="s">
        <v>15861</v>
      </c>
      <c r="E7426" s="142" t="s">
        <v>15849</v>
      </c>
      <c r="F7426" s="142" t="s">
        <v>3630</v>
      </c>
      <c r="G7426" s="142" t="s">
        <v>3629</v>
      </c>
      <c r="H7426" s="142" t="s">
        <v>23276</v>
      </c>
      <c r="I7426" s="142">
        <v>11</v>
      </c>
      <c r="J7426" s="142">
        <v>0</v>
      </c>
      <c r="K7426" s="142">
        <v>0</v>
      </c>
      <c r="L7426" s="142">
        <v>11</v>
      </c>
      <c r="M7426" s="142">
        <v>0</v>
      </c>
    </row>
    <row r="7427" spans="1:13" x14ac:dyDescent="0.45">
      <c r="A7427" s="142" t="s">
        <v>13014</v>
      </c>
      <c r="B7427" s="142" t="s">
        <v>14505</v>
      </c>
      <c r="C7427" s="142" t="s">
        <v>15847</v>
      </c>
      <c r="D7427" s="142" t="s">
        <v>15848</v>
      </c>
      <c r="E7427" s="142" t="s">
        <v>15849</v>
      </c>
      <c r="F7427" s="142" t="s">
        <v>3630</v>
      </c>
      <c r="G7427" s="142" t="s">
        <v>3629</v>
      </c>
      <c r="H7427" s="142" t="s">
        <v>23277</v>
      </c>
      <c r="I7427" s="142">
        <v>373</v>
      </c>
      <c r="J7427" s="142">
        <v>284</v>
      </c>
      <c r="K7427" s="142">
        <v>0</v>
      </c>
      <c r="L7427" s="142">
        <v>66</v>
      </c>
      <c r="M7427" s="142">
        <v>23</v>
      </c>
    </row>
    <row r="7428" spans="1:13" x14ac:dyDescent="0.45">
      <c r="A7428" s="142" t="s">
        <v>13079</v>
      </c>
      <c r="B7428" s="142" t="s">
        <v>15431</v>
      </c>
      <c r="C7428" s="142" t="s">
        <v>15847</v>
      </c>
      <c r="D7428" s="142" t="s">
        <v>15848</v>
      </c>
      <c r="E7428" s="142" t="s">
        <v>15849</v>
      </c>
      <c r="F7428" s="142" t="s">
        <v>3630</v>
      </c>
      <c r="G7428" s="142" t="s">
        <v>3629</v>
      </c>
      <c r="H7428" s="142" t="s">
        <v>23278</v>
      </c>
      <c r="I7428" s="142">
        <v>1</v>
      </c>
      <c r="J7428" s="142">
        <v>0</v>
      </c>
      <c r="K7428" s="142">
        <v>0</v>
      </c>
      <c r="L7428" s="142">
        <v>0</v>
      </c>
      <c r="M7428" s="142">
        <v>1</v>
      </c>
    </row>
    <row r="7429" spans="1:13" x14ac:dyDescent="0.45">
      <c r="A7429" s="142" t="s">
        <v>13541</v>
      </c>
      <c r="B7429" s="142" t="s">
        <v>14579</v>
      </c>
      <c r="C7429" s="142" t="s">
        <v>15847</v>
      </c>
      <c r="D7429" s="142" t="s">
        <v>15848</v>
      </c>
      <c r="E7429" s="142" t="s">
        <v>15849</v>
      </c>
      <c r="F7429" s="142" t="s">
        <v>3630</v>
      </c>
      <c r="G7429" s="142" t="s">
        <v>3629</v>
      </c>
      <c r="H7429" s="142" t="s">
        <v>23279</v>
      </c>
      <c r="I7429" s="142">
        <v>316</v>
      </c>
      <c r="J7429" s="142">
        <v>211</v>
      </c>
      <c r="K7429" s="142">
        <v>0</v>
      </c>
      <c r="L7429" s="142">
        <v>17</v>
      </c>
      <c r="M7429" s="142">
        <v>88</v>
      </c>
    </row>
    <row r="7430" spans="1:13" x14ac:dyDescent="0.45">
      <c r="A7430" s="142" t="s">
        <v>13542</v>
      </c>
      <c r="B7430" s="142" t="s">
        <v>15368</v>
      </c>
      <c r="C7430" s="142" t="s">
        <v>15847</v>
      </c>
      <c r="D7430" s="142" t="s">
        <v>15848</v>
      </c>
      <c r="E7430" s="142" t="s">
        <v>15849</v>
      </c>
      <c r="F7430" s="142" t="s">
        <v>3630</v>
      </c>
      <c r="G7430" s="142" t="s">
        <v>3629</v>
      </c>
      <c r="H7430" s="142" t="s">
        <v>23280</v>
      </c>
      <c r="I7430" s="142">
        <v>112</v>
      </c>
      <c r="J7430" s="142">
        <v>112</v>
      </c>
      <c r="K7430" s="142">
        <v>0</v>
      </c>
      <c r="L7430" s="142">
        <v>0</v>
      </c>
      <c r="M7430" s="142">
        <v>0</v>
      </c>
    </row>
    <row r="7431" spans="1:13" x14ac:dyDescent="0.45">
      <c r="A7431" s="142" t="s">
        <v>13072</v>
      </c>
      <c r="B7431" s="142" t="s">
        <v>15530</v>
      </c>
      <c r="C7431" s="142" t="s">
        <v>15847</v>
      </c>
      <c r="D7431" s="142" t="s">
        <v>15848</v>
      </c>
      <c r="E7431" s="142" t="s">
        <v>15849</v>
      </c>
      <c r="F7431" s="142" t="s">
        <v>6874</v>
      </c>
      <c r="G7431" s="142" t="s">
        <v>6873</v>
      </c>
      <c r="H7431" s="142" t="s">
        <v>23281</v>
      </c>
      <c r="I7431" s="142">
        <v>276</v>
      </c>
      <c r="J7431" s="142">
        <v>156</v>
      </c>
      <c r="K7431" s="142">
        <v>0</v>
      </c>
      <c r="L7431" s="142">
        <v>0</v>
      </c>
      <c r="M7431" s="142">
        <v>120</v>
      </c>
    </row>
    <row r="7432" spans="1:13" x14ac:dyDescent="0.45">
      <c r="A7432" s="142" t="s">
        <v>13021</v>
      </c>
      <c r="B7432" s="142" t="s">
        <v>15501</v>
      </c>
      <c r="C7432" s="142" t="s">
        <v>15847</v>
      </c>
      <c r="D7432" s="142" t="s">
        <v>15848</v>
      </c>
      <c r="E7432" s="142" t="s">
        <v>15849</v>
      </c>
      <c r="F7432" s="142" t="s">
        <v>6874</v>
      </c>
      <c r="G7432" s="142" t="s">
        <v>6873</v>
      </c>
      <c r="H7432" s="142" t="s">
        <v>23282</v>
      </c>
      <c r="I7432" s="142">
        <v>10</v>
      </c>
      <c r="J7432" s="142">
        <v>0</v>
      </c>
      <c r="K7432" s="142">
        <v>0</v>
      </c>
      <c r="L7432" s="142">
        <v>8</v>
      </c>
      <c r="M7432" s="142">
        <v>2</v>
      </c>
    </row>
    <row r="7433" spans="1:13" x14ac:dyDescent="0.45">
      <c r="A7433" s="142" t="s">
        <v>13022</v>
      </c>
      <c r="B7433" s="142" t="s">
        <v>14634</v>
      </c>
      <c r="C7433" s="142" t="s">
        <v>15847</v>
      </c>
      <c r="D7433" s="142" t="s">
        <v>15848</v>
      </c>
      <c r="E7433" s="142" t="s">
        <v>15849</v>
      </c>
      <c r="F7433" s="142" t="s">
        <v>6874</v>
      </c>
      <c r="G7433" s="142" t="s">
        <v>6873</v>
      </c>
      <c r="H7433" s="142" t="s">
        <v>23283</v>
      </c>
      <c r="I7433" s="142">
        <v>961</v>
      </c>
      <c r="J7433" s="142">
        <v>757</v>
      </c>
      <c r="K7433" s="142">
        <v>0</v>
      </c>
      <c r="L7433" s="142">
        <v>13</v>
      </c>
      <c r="M7433" s="142">
        <v>191</v>
      </c>
    </row>
    <row r="7434" spans="1:13" x14ac:dyDescent="0.45">
      <c r="A7434" s="142" t="s">
        <v>13198</v>
      </c>
      <c r="B7434" s="142" t="s">
        <v>15602</v>
      </c>
      <c r="C7434" s="142" t="s">
        <v>15847</v>
      </c>
      <c r="D7434" s="142" t="s">
        <v>15848</v>
      </c>
      <c r="E7434" s="142" t="s">
        <v>15849</v>
      </c>
      <c r="F7434" s="142" t="s">
        <v>6874</v>
      </c>
      <c r="G7434" s="142" t="s">
        <v>6873</v>
      </c>
      <c r="H7434" s="142" t="s">
        <v>23284</v>
      </c>
      <c r="I7434" s="142">
        <v>136</v>
      </c>
      <c r="J7434" s="142">
        <v>80</v>
      </c>
      <c r="K7434" s="142">
        <v>0</v>
      </c>
      <c r="L7434" s="142">
        <v>0</v>
      </c>
      <c r="M7434" s="142">
        <v>56</v>
      </c>
    </row>
    <row r="7435" spans="1:13" x14ac:dyDescent="0.45">
      <c r="A7435" s="142" t="s">
        <v>13099</v>
      </c>
      <c r="B7435" s="142" t="s">
        <v>14547</v>
      </c>
      <c r="C7435" s="142" t="s">
        <v>15860</v>
      </c>
      <c r="D7435" s="142" t="s">
        <v>15861</v>
      </c>
      <c r="E7435" s="142" t="s">
        <v>15849</v>
      </c>
      <c r="F7435" s="142" t="s">
        <v>6874</v>
      </c>
      <c r="G7435" s="142" t="s">
        <v>6873</v>
      </c>
      <c r="H7435" s="142" t="s">
        <v>23285</v>
      </c>
      <c r="I7435" s="142">
        <v>8</v>
      </c>
      <c r="J7435" s="142">
        <v>0</v>
      </c>
      <c r="K7435" s="142">
        <v>0</v>
      </c>
      <c r="L7435" s="142">
        <v>8</v>
      </c>
      <c r="M7435" s="142">
        <v>0</v>
      </c>
    </row>
    <row r="7436" spans="1:13" x14ac:dyDescent="0.45">
      <c r="A7436" s="142" t="s">
        <v>13025</v>
      </c>
      <c r="B7436" s="142" t="s">
        <v>15579</v>
      </c>
      <c r="C7436" s="142" t="s">
        <v>15847</v>
      </c>
      <c r="D7436" s="142" t="s">
        <v>15848</v>
      </c>
      <c r="E7436" s="142" t="s">
        <v>15849</v>
      </c>
      <c r="F7436" s="142" t="s">
        <v>6874</v>
      </c>
      <c r="G7436" s="142" t="s">
        <v>6873</v>
      </c>
      <c r="H7436" s="142" t="s">
        <v>23286</v>
      </c>
      <c r="I7436" s="142">
        <v>27</v>
      </c>
      <c r="J7436" s="142">
        <v>0</v>
      </c>
      <c r="K7436" s="142">
        <v>0</v>
      </c>
      <c r="L7436" s="142">
        <v>27</v>
      </c>
      <c r="M7436" s="142">
        <v>0</v>
      </c>
    </row>
    <row r="7437" spans="1:13" x14ac:dyDescent="0.45">
      <c r="A7437" s="142" t="s">
        <v>13027</v>
      </c>
      <c r="B7437" s="142" t="s">
        <v>14562</v>
      </c>
      <c r="C7437" s="142" t="s">
        <v>15847</v>
      </c>
      <c r="D7437" s="142" t="s">
        <v>15848</v>
      </c>
      <c r="E7437" s="142" t="s">
        <v>15849</v>
      </c>
      <c r="F7437" s="142" t="s">
        <v>6874</v>
      </c>
      <c r="G7437" s="142" t="s">
        <v>6873</v>
      </c>
      <c r="H7437" s="142" t="s">
        <v>23287</v>
      </c>
      <c r="I7437" s="142">
        <v>8</v>
      </c>
      <c r="J7437" s="142">
        <v>0</v>
      </c>
      <c r="K7437" s="142">
        <v>0</v>
      </c>
      <c r="L7437" s="142">
        <v>8</v>
      </c>
      <c r="M7437" s="142">
        <v>0</v>
      </c>
    </row>
    <row r="7438" spans="1:13" x14ac:dyDescent="0.45">
      <c r="A7438" s="142" t="s">
        <v>13050</v>
      </c>
      <c r="B7438" s="142" t="s">
        <v>15237</v>
      </c>
      <c r="C7438" s="142" t="s">
        <v>15847</v>
      </c>
      <c r="D7438" s="142" t="s">
        <v>15848</v>
      </c>
      <c r="E7438" s="142" t="s">
        <v>15849</v>
      </c>
      <c r="F7438" s="142" t="s">
        <v>6874</v>
      </c>
      <c r="G7438" s="142" t="s">
        <v>6873</v>
      </c>
      <c r="H7438" s="142" t="s">
        <v>23288</v>
      </c>
      <c r="I7438" s="142">
        <v>41</v>
      </c>
      <c r="J7438" s="142">
        <v>28</v>
      </c>
      <c r="K7438" s="142">
        <v>0</v>
      </c>
      <c r="L7438" s="142">
        <v>0</v>
      </c>
      <c r="M7438" s="142">
        <v>13</v>
      </c>
    </row>
    <row r="7439" spans="1:13" x14ac:dyDescent="0.45">
      <c r="A7439" s="142" t="s">
        <v>13028</v>
      </c>
      <c r="B7439" s="142" t="s">
        <v>14462</v>
      </c>
      <c r="C7439" s="142" t="s">
        <v>15847</v>
      </c>
      <c r="D7439" s="142" t="s">
        <v>15848</v>
      </c>
      <c r="E7439" s="142" t="s">
        <v>15849</v>
      </c>
      <c r="F7439" s="142" t="s">
        <v>6874</v>
      </c>
      <c r="G7439" s="142" t="s">
        <v>6873</v>
      </c>
      <c r="H7439" s="142" t="s">
        <v>23289</v>
      </c>
      <c r="I7439" s="142">
        <v>71</v>
      </c>
      <c r="J7439" s="142">
        <v>0</v>
      </c>
      <c r="K7439" s="142">
        <v>0</v>
      </c>
      <c r="L7439" s="142">
        <v>0</v>
      </c>
      <c r="M7439" s="142">
        <v>71</v>
      </c>
    </row>
    <row r="7440" spans="1:13" x14ac:dyDescent="0.45">
      <c r="A7440" s="142" t="s">
        <v>13295</v>
      </c>
      <c r="B7440" s="142" t="s">
        <v>14621</v>
      </c>
      <c r="C7440" s="142" t="s">
        <v>15847</v>
      </c>
      <c r="D7440" s="142" t="s">
        <v>15848</v>
      </c>
      <c r="E7440" s="142" t="s">
        <v>15849</v>
      </c>
      <c r="F7440" s="142" t="s">
        <v>6874</v>
      </c>
      <c r="G7440" s="142" t="s">
        <v>6873</v>
      </c>
      <c r="H7440" s="142" t="s">
        <v>23290</v>
      </c>
      <c r="I7440" s="142">
        <v>73</v>
      </c>
      <c r="J7440" s="142">
        <v>58</v>
      </c>
      <c r="K7440" s="142">
        <v>0</v>
      </c>
      <c r="L7440" s="142">
        <v>0</v>
      </c>
      <c r="M7440" s="142">
        <v>15</v>
      </c>
    </row>
    <row r="7441" spans="1:13" x14ac:dyDescent="0.45">
      <c r="A7441" s="142" t="s">
        <v>13296</v>
      </c>
      <c r="B7441" s="142" t="s">
        <v>15387</v>
      </c>
      <c r="C7441" s="142" t="s">
        <v>15860</v>
      </c>
      <c r="D7441" s="142" t="s">
        <v>15861</v>
      </c>
      <c r="E7441" s="142" t="s">
        <v>15849</v>
      </c>
      <c r="F7441" s="142" t="s">
        <v>6874</v>
      </c>
      <c r="G7441" s="142" t="s">
        <v>6873</v>
      </c>
      <c r="H7441" s="142" t="s">
        <v>23291</v>
      </c>
      <c r="I7441" s="142">
        <v>65</v>
      </c>
      <c r="J7441" s="142">
        <v>65</v>
      </c>
      <c r="K7441" s="142">
        <v>0</v>
      </c>
      <c r="L7441" s="142">
        <v>0</v>
      </c>
      <c r="M7441" s="142">
        <v>0</v>
      </c>
    </row>
    <row r="7442" spans="1:13" x14ac:dyDescent="0.45">
      <c r="A7442" s="142" t="s">
        <v>13190</v>
      </c>
      <c r="B7442" s="142" t="s">
        <v>14617</v>
      </c>
      <c r="C7442" s="142" t="s">
        <v>15847</v>
      </c>
      <c r="D7442" s="142" t="s">
        <v>15848</v>
      </c>
      <c r="E7442" s="142" t="s">
        <v>15849</v>
      </c>
      <c r="F7442" s="142" t="s">
        <v>6874</v>
      </c>
      <c r="G7442" s="142" t="s">
        <v>6873</v>
      </c>
      <c r="H7442" s="142" t="s">
        <v>23292</v>
      </c>
      <c r="I7442" s="142">
        <v>1</v>
      </c>
      <c r="J7442" s="142">
        <v>0</v>
      </c>
      <c r="K7442" s="142">
        <v>0</v>
      </c>
      <c r="L7442" s="142">
        <v>0</v>
      </c>
      <c r="M7442" s="142">
        <v>1</v>
      </c>
    </row>
    <row r="7443" spans="1:13" x14ac:dyDescent="0.45">
      <c r="A7443" s="142" t="s">
        <v>13284</v>
      </c>
      <c r="B7443" s="142" t="s">
        <v>15364</v>
      </c>
      <c r="C7443" s="142" t="s">
        <v>15847</v>
      </c>
      <c r="D7443" s="142" t="s">
        <v>15848</v>
      </c>
      <c r="E7443" s="142" t="s">
        <v>15849</v>
      </c>
      <c r="F7443" s="142" t="s">
        <v>6874</v>
      </c>
      <c r="G7443" s="142" t="s">
        <v>6873</v>
      </c>
      <c r="H7443" s="142" t="s">
        <v>23293</v>
      </c>
      <c r="I7443" s="142">
        <v>17</v>
      </c>
      <c r="J7443" s="142">
        <v>15</v>
      </c>
      <c r="K7443" s="142">
        <v>0</v>
      </c>
      <c r="L7443" s="142">
        <v>0</v>
      </c>
      <c r="M7443" s="142">
        <v>2</v>
      </c>
    </row>
    <row r="7444" spans="1:13" x14ac:dyDescent="0.45">
      <c r="A7444" s="142" t="s">
        <v>13030</v>
      </c>
      <c r="B7444" s="142" t="s">
        <v>14572</v>
      </c>
      <c r="C7444" s="142" t="s">
        <v>15847</v>
      </c>
      <c r="D7444" s="142" t="s">
        <v>15848</v>
      </c>
      <c r="E7444" s="142" t="s">
        <v>15849</v>
      </c>
      <c r="F7444" s="142" t="s">
        <v>6874</v>
      </c>
      <c r="G7444" s="142" t="s">
        <v>6873</v>
      </c>
      <c r="H7444" s="142" t="s">
        <v>23294</v>
      </c>
      <c r="I7444" s="142">
        <v>2</v>
      </c>
      <c r="J7444" s="142">
        <v>0</v>
      </c>
      <c r="K7444" s="142">
        <v>0</v>
      </c>
      <c r="L7444" s="142">
        <v>0</v>
      </c>
      <c r="M7444" s="142">
        <v>2</v>
      </c>
    </row>
    <row r="7445" spans="1:13" x14ac:dyDescent="0.45">
      <c r="A7445" s="142" t="s">
        <v>13069</v>
      </c>
      <c r="B7445" s="142" t="s">
        <v>14630</v>
      </c>
      <c r="C7445" s="142" t="s">
        <v>15860</v>
      </c>
      <c r="D7445" s="142" t="s">
        <v>15861</v>
      </c>
      <c r="E7445" s="142" t="s">
        <v>15849</v>
      </c>
      <c r="F7445" s="142" t="s">
        <v>6874</v>
      </c>
      <c r="G7445" s="142" t="s">
        <v>6873</v>
      </c>
      <c r="H7445" s="142" t="s">
        <v>23295</v>
      </c>
      <c r="I7445" s="142">
        <v>9</v>
      </c>
      <c r="J7445" s="142">
        <v>9</v>
      </c>
      <c r="K7445" s="142">
        <v>0</v>
      </c>
      <c r="L7445" s="142">
        <v>0</v>
      </c>
      <c r="M7445" s="142">
        <v>0</v>
      </c>
    </row>
    <row r="7446" spans="1:13" x14ac:dyDescent="0.45">
      <c r="A7446" s="142" t="s">
        <v>13032</v>
      </c>
      <c r="B7446" s="142" t="s">
        <v>14532</v>
      </c>
      <c r="C7446" s="142" t="s">
        <v>15860</v>
      </c>
      <c r="D7446" s="142" t="s">
        <v>15861</v>
      </c>
      <c r="E7446" s="142" t="s">
        <v>15849</v>
      </c>
      <c r="F7446" s="142" t="s">
        <v>6874</v>
      </c>
      <c r="G7446" s="142" t="s">
        <v>6873</v>
      </c>
      <c r="H7446" s="142" t="s">
        <v>23296</v>
      </c>
      <c r="I7446" s="142">
        <v>1</v>
      </c>
      <c r="J7446" s="142">
        <v>0</v>
      </c>
      <c r="K7446" s="142">
        <v>0</v>
      </c>
      <c r="L7446" s="142">
        <v>1</v>
      </c>
      <c r="M7446" s="142">
        <v>0</v>
      </c>
    </row>
    <row r="7447" spans="1:13" x14ac:dyDescent="0.45">
      <c r="A7447" s="142" t="s">
        <v>13831</v>
      </c>
      <c r="B7447" s="142" t="s">
        <v>14485</v>
      </c>
      <c r="C7447" s="142" t="s">
        <v>15860</v>
      </c>
      <c r="D7447" s="142" t="s">
        <v>15861</v>
      </c>
      <c r="E7447" s="142" t="s">
        <v>15849</v>
      </c>
      <c r="F7447" s="142" t="s">
        <v>6874</v>
      </c>
      <c r="G7447" s="142" t="s">
        <v>6873</v>
      </c>
      <c r="H7447" s="142" t="s">
        <v>23297</v>
      </c>
      <c r="I7447" s="142">
        <v>16</v>
      </c>
      <c r="J7447" s="142">
        <v>16</v>
      </c>
      <c r="K7447" s="142">
        <v>0</v>
      </c>
      <c r="L7447" s="142">
        <v>0</v>
      </c>
      <c r="M7447" s="142">
        <v>0</v>
      </c>
    </row>
    <row r="7448" spans="1:13" x14ac:dyDescent="0.45">
      <c r="A7448" s="142" t="s">
        <v>13035</v>
      </c>
      <c r="B7448" s="142" t="s">
        <v>14648</v>
      </c>
      <c r="C7448" s="142" t="s">
        <v>15847</v>
      </c>
      <c r="D7448" s="142" t="s">
        <v>15848</v>
      </c>
      <c r="E7448" s="142" t="s">
        <v>15849</v>
      </c>
      <c r="F7448" s="142" t="s">
        <v>6874</v>
      </c>
      <c r="G7448" s="142" t="s">
        <v>6873</v>
      </c>
      <c r="H7448" s="142" t="s">
        <v>23298</v>
      </c>
      <c r="I7448" s="142">
        <v>546</v>
      </c>
      <c r="J7448" s="142">
        <v>330</v>
      </c>
      <c r="K7448" s="142">
        <v>0</v>
      </c>
      <c r="L7448" s="142">
        <v>0</v>
      </c>
      <c r="M7448" s="142">
        <v>216</v>
      </c>
    </row>
    <row r="7449" spans="1:13" x14ac:dyDescent="0.45">
      <c r="A7449" s="142" t="s">
        <v>13036</v>
      </c>
      <c r="B7449" s="142" t="s">
        <v>15567</v>
      </c>
      <c r="C7449" s="142" t="s">
        <v>15847</v>
      </c>
      <c r="D7449" s="142" t="s">
        <v>15848</v>
      </c>
      <c r="E7449" s="142" t="s">
        <v>15849</v>
      </c>
      <c r="F7449" s="142" t="s">
        <v>6874</v>
      </c>
      <c r="G7449" s="142" t="s">
        <v>6873</v>
      </c>
      <c r="H7449" s="142" t="s">
        <v>23299</v>
      </c>
      <c r="I7449" s="142">
        <v>17</v>
      </c>
      <c r="J7449" s="142">
        <v>0</v>
      </c>
      <c r="K7449" s="142">
        <v>0</v>
      </c>
      <c r="L7449" s="142">
        <v>17</v>
      </c>
      <c r="M7449" s="142">
        <v>0</v>
      </c>
    </row>
    <row r="7450" spans="1:13" x14ac:dyDescent="0.45">
      <c r="A7450" s="142" t="s">
        <v>13105</v>
      </c>
      <c r="B7450" s="142" t="s">
        <v>14654</v>
      </c>
      <c r="C7450" s="142" t="s">
        <v>15847</v>
      </c>
      <c r="D7450" s="142" t="s">
        <v>15848</v>
      </c>
      <c r="E7450" s="142" t="s">
        <v>15849</v>
      </c>
      <c r="F7450" s="142" t="s">
        <v>6874</v>
      </c>
      <c r="G7450" s="142" t="s">
        <v>6873</v>
      </c>
      <c r="H7450" s="142" t="s">
        <v>23300</v>
      </c>
      <c r="I7450" s="142">
        <v>11</v>
      </c>
      <c r="J7450" s="142">
        <v>0</v>
      </c>
      <c r="K7450" s="142">
        <v>0</v>
      </c>
      <c r="L7450" s="142">
        <v>0</v>
      </c>
      <c r="M7450" s="142">
        <v>11</v>
      </c>
    </row>
    <row r="7451" spans="1:13" x14ac:dyDescent="0.45">
      <c r="A7451" s="142" t="s">
        <v>13037</v>
      </c>
      <c r="B7451" s="142" t="s">
        <v>14519</v>
      </c>
      <c r="C7451" s="142" t="s">
        <v>15847</v>
      </c>
      <c r="D7451" s="142" t="s">
        <v>15848</v>
      </c>
      <c r="E7451" s="142" t="s">
        <v>15849</v>
      </c>
      <c r="F7451" s="142" t="s">
        <v>6874</v>
      </c>
      <c r="G7451" s="142" t="s">
        <v>6873</v>
      </c>
      <c r="H7451" s="142" t="s">
        <v>23301</v>
      </c>
      <c r="I7451" s="142">
        <v>20</v>
      </c>
      <c r="J7451" s="142">
        <v>0</v>
      </c>
      <c r="K7451" s="142">
        <v>0</v>
      </c>
      <c r="L7451" s="142">
        <v>20</v>
      </c>
      <c r="M7451" s="142">
        <v>0</v>
      </c>
    </row>
    <row r="7452" spans="1:13" x14ac:dyDescent="0.45">
      <c r="A7452" s="142" t="s">
        <v>13038</v>
      </c>
      <c r="B7452" s="142" t="s">
        <v>14646</v>
      </c>
      <c r="C7452" s="142" t="s">
        <v>15847</v>
      </c>
      <c r="D7452" s="142" t="s">
        <v>15848</v>
      </c>
      <c r="E7452" s="142" t="s">
        <v>15849</v>
      </c>
      <c r="F7452" s="142" t="s">
        <v>6874</v>
      </c>
      <c r="G7452" s="142" t="s">
        <v>6873</v>
      </c>
      <c r="H7452" s="142" t="s">
        <v>23302</v>
      </c>
      <c r="I7452" s="142">
        <v>16</v>
      </c>
      <c r="J7452" s="142">
        <v>12</v>
      </c>
      <c r="K7452" s="142">
        <v>0</v>
      </c>
      <c r="L7452" s="142">
        <v>0</v>
      </c>
      <c r="M7452" s="142">
        <v>4</v>
      </c>
    </row>
    <row r="7453" spans="1:13" x14ac:dyDescent="0.45">
      <c r="A7453" s="142" t="s">
        <v>13079</v>
      </c>
      <c r="B7453" s="142" t="s">
        <v>15431</v>
      </c>
      <c r="C7453" s="142" t="s">
        <v>15847</v>
      </c>
      <c r="D7453" s="142" t="s">
        <v>15848</v>
      </c>
      <c r="E7453" s="142" t="s">
        <v>15849</v>
      </c>
      <c r="F7453" s="142" t="s">
        <v>6874</v>
      </c>
      <c r="G7453" s="142" t="s">
        <v>6873</v>
      </c>
      <c r="H7453" s="142" t="s">
        <v>23303</v>
      </c>
      <c r="I7453" s="142">
        <v>1</v>
      </c>
      <c r="J7453" s="142">
        <v>0</v>
      </c>
      <c r="K7453" s="142">
        <v>0</v>
      </c>
      <c r="L7453" s="142">
        <v>0</v>
      </c>
      <c r="M7453" s="142">
        <v>1</v>
      </c>
    </row>
    <row r="7454" spans="1:13" x14ac:dyDescent="0.45">
      <c r="A7454" s="142" t="s">
        <v>13072</v>
      </c>
      <c r="B7454" s="142" t="s">
        <v>15530</v>
      </c>
      <c r="C7454" s="142" t="s">
        <v>15847</v>
      </c>
      <c r="D7454" s="142" t="s">
        <v>15848</v>
      </c>
      <c r="E7454" s="142" t="s">
        <v>15849</v>
      </c>
      <c r="F7454" s="142" t="s">
        <v>6916</v>
      </c>
      <c r="G7454" s="142" t="s">
        <v>6915</v>
      </c>
      <c r="H7454" s="142" t="s">
        <v>23304</v>
      </c>
      <c r="I7454" s="142">
        <v>252</v>
      </c>
      <c r="J7454" s="142">
        <v>165</v>
      </c>
      <c r="K7454" s="142">
        <v>0</v>
      </c>
      <c r="L7454" s="142">
        <v>54</v>
      </c>
      <c r="M7454" s="142">
        <v>33</v>
      </c>
    </row>
    <row r="7455" spans="1:13" x14ac:dyDescent="0.45">
      <c r="A7455" s="142" t="s">
        <v>13021</v>
      </c>
      <c r="B7455" s="142" t="s">
        <v>15501</v>
      </c>
      <c r="C7455" s="142" t="s">
        <v>15847</v>
      </c>
      <c r="D7455" s="142" t="s">
        <v>15848</v>
      </c>
      <c r="E7455" s="142" t="s">
        <v>15849</v>
      </c>
      <c r="F7455" s="142" t="s">
        <v>6916</v>
      </c>
      <c r="G7455" s="142" t="s">
        <v>6915</v>
      </c>
      <c r="H7455" s="142" t="s">
        <v>23305</v>
      </c>
      <c r="I7455" s="142">
        <v>11</v>
      </c>
      <c r="J7455" s="142">
        <v>0</v>
      </c>
      <c r="K7455" s="142">
        <v>0</v>
      </c>
      <c r="L7455" s="142">
        <v>10</v>
      </c>
      <c r="M7455" s="142">
        <v>1</v>
      </c>
    </row>
    <row r="7456" spans="1:13" x14ac:dyDescent="0.45">
      <c r="A7456" s="142" t="s">
        <v>13022</v>
      </c>
      <c r="B7456" s="142" t="s">
        <v>14634</v>
      </c>
      <c r="C7456" s="142" t="s">
        <v>15847</v>
      </c>
      <c r="D7456" s="142" t="s">
        <v>15848</v>
      </c>
      <c r="E7456" s="142" t="s">
        <v>15849</v>
      </c>
      <c r="F7456" s="142" t="s">
        <v>6916</v>
      </c>
      <c r="G7456" s="142" t="s">
        <v>6915</v>
      </c>
      <c r="H7456" s="142" t="s">
        <v>23306</v>
      </c>
      <c r="I7456" s="142">
        <v>1317</v>
      </c>
      <c r="J7456" s="142">
        <v>983</v>
      </c>
      <c r="K7456" s="142">
        <v>0</v>
      </c>
      <c r="L7456" s="142">
        <v>4</v>
      </c>
      <c r="M7456" s="142">
        <v>330</v>
      </c>
    </row>
    <row r="7457" spans="1:13" x14ac:dyDescent="0.45">
      <c r="A7457" s="142" t="s">
        <v>13023</v>
      </c>
      <c r="B7457" s="142" t="s">
        <v>15571</v>
      </c>
      <c r="C7457" s="142" t="s">
        <v>15847</v>
      </c>
      <c r="D7457" s="142" t="s">
        <v>15848</v>
      </c>
      <c r="E7457" s="142" t="s">
        <v>15849</v>
      </c>
      <c r="F7457" s="142" t="s">
        <v>6916</v>
      </c>
      <c r="G7457" s="142" t="s">
        <v>6915</v>
      </c>
      <c r="H7457" s="142" t="s">
        <v>23307</v>
      </c>
      <c r="I7457" s="142">
        <v>42</v>
      </c>
      <c r="J7457" s="142">
        <v>0</v>
      </c>
      <c r="K7457" s="142">
        <v>0</v>
      </c>
      <c r="L7457" s="142">
        <v>42</v>
      </c>
      <c r="M7457" s="142">
        <v>0</v>
      </c>
    </row>
    <row r="7458" spans="1:13" x14ac:dyDescent="0.45">
      <c r="A7458" s="142" t="s">
        <v>13198</v>
      </c>
      <c r="B7458" s="142" t="s">
        <v>15602</v>
      </c>
      <c r="C7458" s="142" t="s">
        <v>15847</v>
      </c>
      <c r="D7458" s="142" t="s">
        <v>15848</v>
      </c>
      <c r="E7458" s="142" t="s">
        <v>15849</v>
      </c>
      <c r="F7458" s="142" t="s">
        <v>6916</v>
      </c>
      <c r="G7458" s="142" t="s">
        <v>6915</v>
      </c>
      <c r="H7458" s="142" t="s">
        <v>23308</v>
      </c>
      <c r="I7458" s="142">
        <v>162</v>
      </c>
      <c r="J7458" s="142">
        <v>104</v>
      </c>
      <c r="K7458" s="142">
        <v>0</v>
      </c>
      <c r="L7458" s="142">
        <v>0</v>
      </c>
      <c r="M7458" s="142">
        <v>58</v>
      </c>
    </row>
    <row r="7459" spans="1:13" x14ac:dyDescent="0.45">
      <c r="A7459" s="142" t="s">
        <v>13024</v>
      </c>
      <c r="B7459" s="142" t="s">
        <v>14538</v>
      </c>
      <c r="C7459" s="142" t="s">
        <v>15847</v>
      </c>
      <c r="D7459" s="142" t="s">
        <v>15848</v>
      </c>
      <c r="E7459" s="142" t="s">
        <v>15849</v>
      </c>
      <c r="F7459" s="142" t="s">
        <v>6916</v>
      </c>
      <c r="G7459" s="142" t="s">
        <v>6915</v>
      </c>
      <c r="H7459" s="142" t="s">
        <v>23309</v>
      </c>
      <c r="I7459" s="142">
        <v>172</v>
      </c>
      <c r="J7459" s="142">
        <v>119</v>
      </c>
      <c r="K7459" s="142">
        <v>0</v>
      </c>
      <c r="L7459" s="142">
        <v>0</v>
      </c>
      <c r="M7459" s="142">
        <v>53</v>
      </c>
    </row>
    <row r="7460" spans="1:13" x14ac:dyDescent="0.45">
      <c r="A7460" s="142" t="s">
        <v>13027</v>
      </c>
      <c r="B7460" s="142" t="s">
        <v>14562</v>
      </c>
      <c r="C7460" s="142" t="s">
        <v>15847</v>
      </c>
      <c r="D7460" s="142" t="s">
        <v>15848</v>
      </c>
      <c r="E7460" s="142" t="s">
        <v>15849</v>
      </c>
      <c r="F7460" s="142" t="s">
        <v>6916</v>
      </c>
      <c r="G7460" s="142" t="s">
        <v>6915</v>
      </c>
      <c r="H7460" s="142" t="s">
        <v>23310</v>
      </c>
      <c r="I7460" s="142">
        <v>15</v>
      </c>
      <c r="J7460" s="142">
        <v>0</v>
      </c>
      <c r="K7460" s="142">
        <v>0</v>
      </c>
      <c r="L7460" s="142">
        <v>15</v>
      </c>
      <c r="M7460" s="142">
        <v>0</v>
      </c>
    </row>
    <row r="7461" spans="1:13" x14ac:dyDescent="0.45">
      <c r="A7461" s="142" t="s">
        <v>13359</v>
      </c>
      <c r="B7461" s="142" t="s">
        <v>14671</v>
      </c>
      <c r="C7461" s="142" t="s">
        <v>15860</v>
      </c>
      <c r="D7461" s="142" t="s">
        <v>15861</v>
      </c>
      <c r="E7461" s="142" t="s">
        <v>15849</v>
      </c>
      <c r="F7461" s="142" t="s">
        <v>6916</v>
      </c>
      <c r="G7461" s="142" t="s">
        <v>6915</v>
      </c>
      <c r="H7461" s="142" t="s">
        <v>23311</v>
      </c>
      <c r="I7461" s="142">
        <v>25</v>
      </c>
      <c r="J7461" s="142">
        <v>25</v>
      </c>
      <c r="K7461" s="142">
        <v>0</v>
      </c>
      <c r="L7461" s="142">
        <v>0</v>
      </c>
      <c r="M7461" s="142">
        <v>0</v>
      </c>
    </row>
    <row r="7462" spans="1:13" x14ac:dyDescent="0.45">
      <c r="A7462" s="142" t="s">
        <v>13028</v>
      </c>
      <c r="B7462" s="142" t="s">
        <v>14462</v>
      </c>
      <c r="C7462" s="142" t="s">
        <v>15847</v>
      </c>
      <c r="D7462" s="142" t="s">
        <v>15848</v>
      </c>
      <c r="E7462" s="142" t="s">
        <v>15849</v>
      </c>
      <c r="F7462" s="142" t="s">
        <v>6916</v>
      </c>
      <c r="G7462" s="142" t="s">
        <v>6915</v>
      </c>
      <c r="H7462" s="142" t="s">
        <v>23312</v>
      </c>
      <c r="I7462" s="142">
        <v>18</v>
      </c>
      <c r="J7462" s="142">
        <v>0</v>
      </c>
      <c r="K7462" s="142">
        <v>0</v>
      </c>
      <c r="L7462" s="142">
        <v>0</v>
      </c>
      <c r="M7462" s="142">
        <v>18</v>
      </c>
    </row>
    <row r="7463" spans="1:13" x14ac:dyDescent="0.45">
      <c r="A7463" s="142" t="s">
        <v>13003</v>
      </c>
      <c r="B7463" s="142" t="s">
        <v>15245</v>
      </c>
      <c r="C7463" s="142" t="s">
        <v>15847</v>
      </c>
      <c r="D7463" s="142" t="s">
        <v>15848</v>
      </c>
      <c r="E7463" s="142" t="s">
        <v>15849</v>
      </c>
      <c r="F7463" s="142" t="s">
        <v>6916</v>
      </c>
      <c r="G7463" s="142" t="s">
        <v>6915</v>
      </c>
      <c r="H7463" s="142" t="s">
        <v>23313</v>
      </c>
      <c r="I7463" s="142">
        <v>24</v>
      </c>
      <c r="J7463" s="142">
        <v>0</v>
      </c>
      <c r="K7463" s="142">
        <v>0</v>
      </c>
      <c r="L7463" s="142">
        <v>24</v>
      </c>
      <c r="M7463" s="142">
        <v>0</v>
      </c>
    </row>
    <row r="7464" spans="1:13" x14ac:dyDescent="0.45">
      <c r="A7464" s="142" t="s">
        <v>13651</v>
      </c>
      <c r="B7464" s="142" t="s">
        <v>15265</v>
      </c>
      <c r="C7464" s="142" t="s">
        <v>15860</v>
      </c>
      <c r="D7464" s="142" t="s">
        <v>15861</v>
      </c>
      <c r="E7464" s="142" t="s">
        <v>15849</v>
      </c>
      <c r="F7464" s="142" t="s">
        <v>6916</v>
      </c>
      <c r="G7464" s="142" t="s">
        <v>6915</v>
      </c>
      <c r="H7464" s="142" t="s">
        <v>23314</v>
      </c>
      <c r="I7464" s="142">
        <v>95</v>
      </c>
      <c r="J7464" s="142">
        <v>21</v>
      </c>
      <c r="K7464" s="142">
        <v>0</v>
      </c>
      <c r="L7464" s="142">
        <v>74</v>
      </c>
      <c r="M7464" s="142">
        <v>0</v>
      </c>
    </row>
    <row r="7465" spans="1:13" x14ac:dyDescent="0.45">
      <c r="A7465" s="142" t="s">
        <v>13178</v>
      </c>
      <c r="B7465" s="142" t="s">
        <v>14683</v>
      </c>
      <c r="C7465" s="142" t="s">
        <v>15847</v>
      </c>
      <c r="D7465" s="142" t="s">
        <v>15848</v>
      </c>
      <c r="E7465" s="142" t="s">
        <v>15849</v>
      </c>
      <c r="F7465" s="142" t="s">
        <v>6916</v>
      </c>
      <c r="G7465" s="142" t="s">
        <v>6915</v>
      </c>
      <c r="H7465" s="142" t="s">
        <v>23315</v>
      </c>
      <c r="I7465" s="142">
        <v>14</v>
      </c>
      <c r="J7465" s="142">
        <v>14</v>
      </c>
      <c r="K7465" s="142">
        <v>0</v>
      </c>
      <c r="L7465" s="142">
        <v>0</v>
      </c>
      <c r="M7465" s="142">
        <v>0</v>
      </c>
    </row>
    <row r="7466" spans="1:13" x14ac:dyDescent="0.45">
      <c r="A7466" s="142" t="s">
        <v>13076</v>
      </c>
      <c r="B7466" s="142" t="s">
        <v>14636</v>
      </c>
      <c r="C7466" s="142" t="s">
        <v>15847</v>
      </c>
      <c r="D7466" s="142" t="s">
        <v>15848</v>
      </c>
      <c r="E7466" s="142" t="s">
        <v>15849</v>
      </c>
      <c r="F7466" s="142" t="s">
        <v>6916</v>
      </c>
      <c r="G7466" s="142" t="s">
        <v>6915</v>
      </c>
      <c r="H7466" s="142" t="s">
        <v>23316</v>
      </c>
      <c r="I7466" s="142">
        <v>9</v>
      </c>
      <c r="J7466" s="142">
        <v>0</v>
      </c>
      <c r="K7466" s="142">
        <v>0</v>
      </c>
      <c r="L7466" s="142">
        <v>0</v>
      </c>
      <c r="M7466" s="142">
        <v>9</v>
      </c>
    </row>
    <row r="7467" spans="1:13" x14ac:dyDescent="0.45">
      <c r="A7467" s="142" t="s">
        <v>13295</v>
      </c>
      <c r="B7467" s="142" t="s">
        <v>14621</v>
      </c>
      <c r="C7467" s="142" t="s">
        <v>15847</v>
      </c>
      <c r="D7467" s="142" t="s">
        <v>15848</v>
      </c>
      <c r="E7467" s="142" t="s">
        <v>15849</v>
      </c>
      <c r="F7467" s="142" t="s">
        <v>6916</v>
      </c>
      <c r="G7467" s="142" t="s">
        <v>6915</v>
      </c>
      <c r="H7467" s="142" t="s">
        <v>23317</v>
      </c>
      <c r="I7467" s="142">
        <v>7</v>
      </c>
      <c r="J7467" s="142">
        <v>5</v>
      </c>
      <c r="K7467" s="142">
        <v>0</v>
      </c>
      <c r="L7467" s="142">
        <v>0</v>
      </c>
      <c r="M7467" s="142">
        <v>2</v>
      </c>
    </row>
    <row r="7468" spans="1:13" x14ac:dyDescent="0.45">
      <c r="A7468" s="142" t="s">
        <v>13296</v>
      </c>
      <c r="B7468" s="142" t="s">
        <v>15387</v>
      </c>
      <c r="C7468" s="142" t="s">
        <v>15860</v>
      </c>
      <c r="D7468" s="142" t="s">
        <v>15861</v>
      </c>
      <c r="E7468" s="142" t="s">
        <v>15849</v>
      </c>
      <c r="F7468" s="142" t="s">
        <v>6916</v>
      </c>
      <c r="G7468" s="142" t="s">
        <v>6915</v>
      </c>
      <c r="H7468" s="142" t="s">
        <v>23318</v>
      </c>
      <c r="I7468" s="142">
        <v>44</v>
      </c>
      <c r="J7468" s="142">
        <v>44</v>
      </c>
      <c r="K7468" s="142">
        <v>0</v>
      </c>
      <c r="L7468" s="142">
        <v>0</v>
      </c>
      <c r="M7468" s="142">
        <v>0</v>
      </c>
    </row>
    <row r="7469" spans="1:13" x14ac:dyDescent="0.45">
      <c r="A7469" s="142" t="s">
        <v>13190</v>
      </c>
      <c r="B7469" s="142" t="s">
        <v>14617</v>
      </c>
      <c r="C7469" s="142" t="s">
        <v>15847</v>
      </c>
      <c r="D7469" s="142" t="s">
        <v>15848</v>
      </c>
      <c r="E7469" s="142" t="s">
        <v>15849</v>
      </c>
      <c r="F7469" s="142" t="s">
        <v>6916</v>
      </c>
      <c r="G7469" s="142" t="s">
        <v>6915</v>
      </c>
      <c r="H7469" s="142" t="s">
        <v>23319</v>
      </c>
      <c r="I7469" s="142">
        <v>1</v>
      </c>
      <c r="J7469" s="142">
        <v>0</v>
      </c>
      <c r="K7469" s="142">
        <v>0</v>
      </c>
      <c r="L7469" s="142">
        <v>0</v>
      </c>
      <c r="M7469" s="142">
        <v>1</v>
      </c>
    </row>
    <row r="7470" spans="1:13" x14ac:dyDescent="0.45">
      <c r="A7470" s="142" t="s">
        <v>13005</v>
      </c>
      <c r="B7470" s="142" t="s">
        <v>15475</v>
      </c>
      <c r="C7470" s="142" t="s">
        <v>15847</v>
      </c>
      <c r="D7470" s="142" t="s">
        <v>15848</v>
      </c>
      <c r="E7470" s="142" t="s">
        <v>15849</v>
      </c>
      <c r="F7470" s="142" t="s">
        <v>6916</v>
      </c>
      <c r="G7470" s="142" t="s">
        <v>6915</v>
      </c>
      <c r="H7470" s="142" t="s">
        <v>23320</v>
      </c>
      <c r="I7470" s="142">
        <v>1</v>
      </c>
      <c r="J7470" s="142">
        <v>0</v>
      </c>
      <c r="K7470" s="142">
        <v>0</v>
      </c>
      <c r="L7470" s="142">
        <v>0</v>
      </c>
      <c r="M7470" s="142">
        <v>1</v>
      </c>
    </row>
    <row r="7471" spans="1:13" x14ac:dyDescent="0.45">
      <c r="A7471" s="142" t="s">
        <v>13029</v>
      </c>
      <c r="B7471" s="142" t="s">
        <v>14665</v>
      </c>
      <c r="C7471" s="142" t="s">
        <v>15847</v>
      </c>
      <c r="D7471" s="142" t="s">
        <v>15848</v>
      </c>
      <c r="E7471" s="142" t="s">
        <v>15849</v>
      </c>
      <c r="F7471" s="142" t="s">
        <v>6916</v>
      </c>
      <c r="G7471" s="142" t="s">
        <v>6915</v>
      </c>
      <c r="H7471" s="142" t="s">
        <v>23321</v>
      </c>
      <c r="I7471" s="142">
        <v>4</v>
      </c>
      <c r="J7471" s="142">
        <v>0</v>
      </c>
      <c r="K7471" s="142">
        <v>0</v>
      </c>
      <c r="L7471" s="142">
        <v>0</v>
      </c>
      <c r="M7471" s="142">
        <v>4</v>
      </c>
    </row>
    <row r="7472" spans="1:13" x14ac:dyDescent="0.45">
      <c r="A7472" s="142" t="s">
        <v>13284</v>
      </c>
      <c r="B7472" s="142" t="s">
        <v>15364</v>
      </c>
      <c r="C7472" s="142" t="s">
        <v>15847</v>
      </c>
      <c r="D7472" s="142" t="s">
        <v>15848</v>
      </c>
      <c r="E7472" s="142" t="s">
        <v>15849</v>
      </c>
      <c r="F7472" s="142" t="s">
        <v>6916</v>
      </c>
      <c r="G7472" s="142" t="s">
        <v>6915</v>
      </c>
      <c r="H7472" s="142" t="s">
        <v>23322</v>
      </c>
      <c r="I7472" s="142">
        <v>288</v>
      </c>
      <c r="J7472" s="142">
        <v>239</v>
      </c>
      <c r="K7472" s="142">
        <v>0</v>
      </c>
      <c r="L7472" s="142">
        <v>10</v>
      </c>
      <c r="M7472" s="142">
        <v>39</v>
      </c>
    </row>
    <row r="7473" spans="1:13" x14ac:dyDescent="0.45">
      <c r="A7473" s="142" t="s">
        <v>13162</v>
      </c>
      <c r="B7473" s="142" t="s">
        <v>14545</v>
      </c>
      <c r="C7473" s="142" t="s">
        <v>15860</v>
      </c>
      <c r="D7473" s="142" t="s">
        <v>15861</v>
      </c>
      <c r="E7473" s="142" t="s">
        <v>15849</v>
      </c>
      <c r="F7473" s="142" t="s">
        <v>6916</v>
      </c>
      <c r="G7473" s="142" t="s">
        <v>6915</v>
      </c>
      <c r="H7473" s="142" t="s">
        <v>23323</v>
      </c>
      <c r="I7473" s="142">
        <v>14</v>
      </c>
      <c r="J7473" s="142">
        <v>0</v>
      </c>
      <c r="K7473" s="142">
        <v>0</v>
      </c>
      <c r="L7473" s="142">
        <v>14</v>
      </c>
      <c r="M7473" s="142">
        <v>0</v>
      </c>
    </row>
    <row r="7474" spans="1:13" x14ac:dyDescent="0.45">
      <c r="A7474" s="142" t="s">
        <v>13030</v>
      </c>
      <c r="B7474" s="142" t="s">
        <v>14572</v>
      </c>
      <c r="C7474" s="142" t="s">
        <v>15847</v>
      </c>
      <c r="D7474" s="142" t="s">
        <v>15848</v>
      </c>
      <c r="E7474" s="142" t="s">
        <v>15849</v>
      </c>
      <c r="F7474" s="142" t="s">
        <v>6916</v>
      </c>
      <c r="G7474" s="142" t="s">
        <v>6915</v>
      </c>
      <c r="H7474" s="142" t="s">
        <v>23324</v>
      </c>
      <c r="I7474" s="142">
        <v>410</v>
      </c>
      <c r="J7474" s="142">
        <v>225</v>
      </c>
      <c r="K7474" s="142">
        <v>0</v>
      </c>
      <c r="L7474" s="142">
        <v>80</v>
      </c>
      <c r="M7474" s="142">
        <v>105</v>
      </c>
    </row>
    <row r="7475" spans="1:13" x14ac:dyDescent="0.45">
      <c r="A7475" s="142" t="s">
        <v>13032</v>
      </c>
      <c r="B7475" s="142" t="s">
        <v>14532</v>
      </c>
      <c r="C7475" s="142" t="s">
        <v>15860</v>
      </c>
      <c r="D7475" s="142" t="s">
        <v>15861</v>
      </c>
      <c r="E7475" s="142" t="s">
        <v>15849</v>
      </c>
      <c r="F7475" s="142" t="s">
        <v>6916</v>
      </c>
      <c r="G7475" s="142" t="s">
        <v>6915</v>
      </c>
      <c r="H7475" s="142" t="s">
        <v>23325</v>
      </c>
      <c r="I7475" s="142">
        <v>44</v>
      </c>
      <c r="J7475" s="142">
        <v>0</v>
      </c>
      <c r="K7475" s="142">
        <v>0</v>
      </c>
      <c r="L7475" s="142">
        <v>44</v>
      </c>
      <c r="M7475" s="142">
        <v>0</v>
      </c>
    </row>
    <row r="7476" spans="1:13" x14ac:dyDescent="0.45">
      <c r="A7476" s="142" t="s">
        <v>13033</v>
      </c>
      <c r="B7476" s="142" t="s">
        <v>15276</v>
      </c>
      <c r="C7476" s="142" t="s">
        <v>15847</v>
      </c>
      <c r="D7476" s="142" t="s">
        <v>15848</v>
      </c>
      <c r="E7476" s="142" t="s">
        <v>15849</v>
      </c>
      <c r="F7476" s="142" t="s">
        <v>6916</v>
      </c>
      <c r="G7476" s="142" t="s">
        <v>6915</v>
      </c>
      <c r="H7476" s="142" t="s">
        <v>23326</v>
      </c>
      <c r="I7476" s="142">
        <v>14</v>
      </c>
      <c r="J7476" s="142">
        <v>14</v>
      </c>
      <c r="K7476" s="142">
        <v>0</v>
      </c>
      <c r="L7476" s="142">
        <v>0</v>
      </c>
      <c r="M7476" s="142">
        <v>0</v>
      </c>
    </row>
    <row r="7477" spans="1:13" x14ac:dyDescent="0.45">
      <c r="A7477" s="142" t="s">
        <v>13034</v>
      </c>
      <c r="B7477" s="142" t="s">
        <v>15562</v>
      </c>
      <c r="C7477" s="142" t="s">
        <v>15847</v>
      </c>
      <c r="D7477" s="142" t="s">
        <v>15848</v>
      </c>
      <c r="E7477" s="142" t="s">
        <v>15849</v>
      </c>
      <c r="F7477" s="142" t="s">
        <v>6916</v>
      </c>
      <c r="G7477" s="142" t="s">
        <v>6915</v>
      </c>
      <c r="H7477" s="142" t="s">
        <v>23327</v>
      </c>
      <c r="I7477" s="142">
        <v>87</v>
      </c>
      <c r="J7477" s="142">
        <v>82</v>
      </c>
      <c r="K7477" s="142">
        <v>0</v>
      </c>
      <c r="L7477" s="142">
        <v>0</v>
      </c>
      <c r="M7477" s="142">
        <v>5</v>
      </c>
    </row>
    <row r="7478" spans="1:13" x14ac:dyDescent="0.45">
      <c r="A7478" s="142" t="s">
        <v>13035</v>
      </c>
      <c r="B7478" s="142" t="s">
        <v>14648</v>
      </c>
      <c r="C7478" s="142" t="s">
        <v>15847</v>
      </c>
      <c r="D7478" s="142" t="s">
        <v>15848</v>
      </c>
      <c r="E7478" s="142" t="s">
        <v>15849</v>
      </c>
      <c r="F7478" s="142" t="s">
        <v>6916</v>
      </c>
      <c r="G7478" s="142" t="s">
        <v>6915</v>
      </c>
      <c r="H7478" s="142" t="s">
        <v>23328</v>
      </c>
      <c r="I7478" s="142">
        <v>199</v>
      </c>
      <c r="J7478" s="142">
        <v>119</v>
      </c>
      <c r="K7478" s="142">
        <v>0</v>
      </c>
      <c r="L7478" s="142">
        <v>0</v>
      </c>
      <c r="M7478" s="142">
        <v>80</v>
      </c>
    </row>
    <row r="7479" spans="1:13" x14ac:dyDescent="0.45">
      <c r="A7479" s="142" t="s">
        <v>13036</v>
      </c>
      <c r="B7479" s="142" t="s">
        <v>15567</v>
      </c>
      <c r="C7479" s="142" t="s">
        <v>15847</v>
      </c>
      <c r="D7479" s="142" t="s">
        <v>15848</v>
      </c>
      <c r="E7479" s="142" t="s">
        <v>15849</v>
      </c>
      <c r="F7479" s="142" t="s">
        <v>6916</v>
      </c>
      <c r="G7479" s="142" t="s">
        <v>6915</v>
      </c>
      <c r="H7479" s="142" t="s">
        <v>23329</v>
      </c>
      <c r="I7479" s="142">
        <v>34</v>
      </c>
      <c r="J7479" s="142">
        <v>0</v>
      </c>
      <c r="K7479" s="142">
        <v>0</v>
      </c>
      <c r="L7479" s="142">
        <v>34</v>
      </c>
      <c r="M7479" s="142">
        <v>0</v>
      </c>
    </row>
    <row r="7480" spans="1:13" x14ac:dyDescent="0.45">
      <c r="A7480" s="142" t="s">
        <v>13038</v>
      </c>
      <c r="B7480" s="142" t="s">
        <v>14646</v>
      </c>
      <c r="C7480" s="142" t="s">
        <v>15847</v>
      </c>
      <c r="D7480" s="142" t="s">
        <v>15848</v>
      </c>
      <c r="E7480" s="142" t="s">
        <v>15849</v>
      </c>
      <c r="F7480" s="142" t="s">
        <v>6916</v>
      </c>
      <c r="G7480" s="142" t="s">
        <v>6915</v>
      </c>
      <c r="H7480" s="142" t="s">
        <v>23330</v>
      </c>
      <c r="I7480" s="142">
        <v>71</v>
      </c>
      <c r="J7480" s="142">
        <v>37</v>
      </c>
      <c r="K7480" s="142">
        <v>0</v>
      </c>
      <c r="L7480" s="142">
        <v>0</v>
      </c>
      <c r="M7480" s="142">
        <v>34</v>
      </c>
    </row>
    <row r="7481" spans="1:13" x14ac:dyDescent="0.45">
      <c r="A7481" s="142" t="s">
        <v>13039</v>
      </c>
      <c r="B7481" s="142" t="s">
        <v>14647</v>
      </c>
      <c r="C7481" s="142" t="s">
        <v>15847</v>
      </c>
      <c r="D7481" s="142" t="s">
        <v>15848</v>
      </c>
      <c r="E7481" s="142" t="s">
        <v>15849</v>
      </c>
      <c r="F7481" s="142" t="s">
        <v>6916</v>
      </c>
      <c r="G7481" s="142" t="s">
        <v>6915</v>
      </c>
      <c r="H7481" s="142" t="s">
        <v>23331</v>
      </c>
      <c r="I7481" s="142">
        <v>40</v>
      </c>
      <c r="J7481" s="142">
        <v>40</v>
      </c>
      <c r="K7481" s="142">
        <v>0</v>
      </c>
      <c r="L7481" s="142">
        <v>0</v>
      </c>
      <c r="M7481" s="142">
        <v>0</v>
      </c>
    </row>
    <row r="7482" spans="1:13" x14ac:dyDescent="0.45">
      <c r="A7482" s="142" t="s">
        <v>13009</v>
      </c>
      <c r="B7482" s="142" t="s">
        <v>15256</v>
      </c>
      <c r="C7482" s="142" t="s">
        <v>15847</v>
      </c>
      <c r="D7482" s="142" t="s">
        <v>15848</v>
      </c>
      <c r="E7482" s="142" t="s">
        <v>15849</v>
      </c>
      <c r="F7482" s="142" t="s">
        <v>6916</v>
      </c>
      <c r="G7482" s="142" t="s">
        <v>6915</v>
      </c>
      <c r="H7482" s="142" t="s">
        <v>23332</v>
      </c>
      <c r="I7482" s="142">
        <v>16</v>
      </c>
      <c r="J7482" s="142">
        <v>10</v>
      </c>
      <c r="K7482" s="142">
        <v>0</v>
      </c>
      <c r="L7482" s="142">
        <v>0</v>
      </c>
      <c r="M7482" s="142">
        <v>6</v>
      </c>
    </row>
    <row r="7483" spans="1:13" x14ac:dyDescent="0.45">
      <c r="A7483" s="142" t="s">
        <v>13041</v>
      </c>
      <c r="B7483" s="142" t="s">
        <v>14441</v>
      </c>
      <c r="C7483" s="142" t="s">
        <v>15847</v>
      </c>
      <c r="D7483" s="142" t="s">
        <v>15848</v>
      </c>
      <c r="E7483" s="142" t="s">
        <v>15849</v>
      </c>
      <c r="F7483" s="142" t="s">
        <v>6916</v>
      </c>
      <c r="G7483" s="142" t="s">
        <v>6915</v>
      </c>
      <c r="H7483" s="142" t="s">
        <v>23333</v>
      </c>
      <c r="I7483" s="142">
        <v>27</v>
      </c>
      <c r="J7483" s="142">
        <v>0</v>
      </c>
      <c r="K7483" s="142">
        <v>0</v>
      </c>
      <c r="L7483" s="142">
        <v>0</v>
      </c>
      <c r="M7483" s="142">
        <v>27</v>
      </c>
    </row>
    <row r="7484" spans="1:13" x14ac:dyDescent="0.45">
      <c r="A7484" s="142" t="s">
        <v>13207</v>
      </c>
      <c r="B7484" s="142" t="s">
        <v>15558</v>
      </c>
      <c r="C7484" s="142" t="s">
        <v>15847</v>
      </c>
      <c r="D7484" s="142" t="s">
        <v>15848</v>
      </c>
      <c r="E7484" s="142" t="s">
        <v>15849</v>
      </c>
      <c r="F7484" s="142" t="s">
        <v>6916</v>
      </c>
      <c r="G7484" s="142" t="s">
        <v>6915</v>
      </c>
      <c r="H7484" s="142" t="s">
        <v>23334</v>
      </c>
      <c r="I7484" s="142">
        <v>1</v>
      </c>
      <c r="J7484" s="142">
        <v>0</v>
      </c>
      <c r="K7484" s="142">
        <v>0</v>
      </c>
      <c r="L7484" s="142">
        <v>0</v>
      </c>
      <c r="M7484" s="142">
        <v>1</v>
      </c>
    </row>
    <row r="7485" spans="1:13" x14ac:dyDescent="0.45">
      <c r="A7485" s="142" t="s">
        <v>13023</v>
      </c>
      <c r="B7485" s="142" t="s">
        <v>15571</v>
      </c>
      <c r="C7485" s="142" t="s">
        <v>15847</v>
      </c>
      <c r="D7485" s="142" t="s">
        <v>15848</v>
      </c>
      <c r="E7485" s="142" t="s">
        <v>15849</v>
      </c>
      <c r="F7485" s="142" t="s">
        <v>7251</v>
      </c>
      <c r="G7485" s="142" t="s">
        <v>7250</v>
      </c>
      <c r="H7485" s="142" t="s">
        <v>23335</v>
      </c>
      <c r="I7485" s="142">
        <v>95</v>
      </c>
      <c r="J7485" s="142">
        <v>0</v>
      </c>
      <c r="K7485" s="142">
        <v>0</v>
      </c>
      <c r="L7485" s="142">
        <v>95</v>
      </c>
      <c r="M7485" s="142">
        <v>0</v>
      </c>
    </row>
    <row r="7486" spans="1:13" x14ac:dyDescent="0.45">
      <c r="A7486" s="142" t="s">
        <v>13330</v>
      </c>
      <c r="B7486" s="142" t="s">
        <v>15239</v>
      </c>
      <c r="C7486" s="142" t="s">
        <v>15847</v>
      </c>
      <c r="D7486" s="142" t="s">
        <v>15848</v>
      </c>
      <c r="E7486" s="142" t="s">
        <v>15849</v>
      </c>
      <c r="F7486" s="142" t="s">
        <v>7251</v>
      </c>
      <c r="G7486" s="142" t="s">
        <v>7250</v>
      </c>
      <c r="H7486" s="142" t="s">
        <v>23336</v>
      </c>
      <c r="I7486" s="142">
        <v>338</v>
      </c>
      <c r="J7486" s="142">
        <v>185</v>
      </c>
      <c r="K7486" s="142">
        <v>0</v>
      </c>
      <c r="L7486" s="142">
        <v>97</v>
      </c>
      <c r="M7486" s="142">
        <v>56</v>
      </c>
    </row>
    <row r="7487" spans="1:13" x14ac:dyDescent="0.45">
      <c r="A7487" s="142" t="s">
        <v>13000</v>
      </c>
      <c r="B7487" s="142" t="s">
        <v>14610</v>
      </c>
      <c r="C7487" s="142" t="s">
        <v>15847</v>
      </c>
      <c r="D7487" s="142" t="s">
        <v>15848</v>
      </c>
      <c r="E7487" s="142" t="s">
        <v>15849</v>
      </c>
      <c r="F7487" s="142" t="s">
        <v>7251</v>
      </c>
      <c r="G7487" s="142" t="s">
        <v>7250</v>
      </c>
      <c r="H7487" s="142" t="s">
        <v>23337</v>
      </c>
      <c r="I7487" s="142">
        <v>373</v>
      </c>
      <c r="J7487" s="142">
        <v>250</v>
      </c>
      <c r="K7487" s="142">
        <v>0</v>
      </c>
      <c r="L7487" s="142">
        <v>45</v>
      </c>
      <c r="M7487" s="142">
        <v>78</v>
      </c>
    </row>
    <row r="7488" spans="1:13" x14ac:dyDescent="0.45">
      <c r="A7488" s="142" t="s">
        <v>13087</v>
      </c>
      <c r="B7488" s="142" t="s">
        <v>14452</v>
      </c>
      <c r="C7488" s="142" t="s">
        <v>15847</v>
      </c>
      <c r="D7488" s="142" t="s">
        <v>15848</v>
      </c>
      <c r="E7488" s="142" t="s">
        <v>15849</v>
      </c>
      <c r="F7488" s="142" t="s">
        <v>7251</v>
      </c>
      <c r="G7488" s="142" t="s">
        <v>7250</v>
      </c>
      <c r="H7488" s="142" t="s">
        <v>23338</v>
      </c>
      <c r="I7488" s="142">
        <v>1217</v>
      </c>
      <c r="J7488" s="142">
        <v>1018</v>
      </c>
      <c r="K7488" s="142">
        <v>0</v>
      </c>
      <c r="L7488" s="142">
        <v>0</v>
      </c>
      <c r="M7488" s="142">
        <v>199</v>
      </c>
    </row>
    <row r="7489" spans="1:13" x14ac:dyDescent="0.45">
      <c r="A7489" s="142" t="s">
        <v>13050</v>
      </c>
      <c r="B7489" s="142" t="s">
        <v>15237</v>
      </c>
      <c r="C7489" s="142" t="s">
        <v>15847</v>
      </c>
      <c r="D7489" s="142" t="s">
        <v>15848</v>
      </c>
      <c r="E7489" s="142" t="s">
        <v>15849</v>
      </c>
      <c r="F7489" s="142" t="s">
        <v>7251</v>
      </c>
      <c r="G7489" s="142" t="s">
        <v>7250</v>
      </c>
      <c r="H7489" s="142" t="s">
        <v>23339</v>
      </c>
      <c r="I7489" s="142">
        <v>123</v>
      </c>
      <c r="J7489" s="142">
        <v>104</v>
      </c>
      <c r="K7489" s="142">
        <v>0</v>
      </c>
      <c r="L7489" s="142">
        <v>0</v>
      </c>
      <c r="M7489" s="142">
        <v>19</v>
      </c>
    </row>
    <row r="7490" spans="1:13" x14ac:dyDescent="0.45">
      <c r="A7490" s="142" t="s">
        <v>13028</v>
      </c>
      <c r="B7490" s="142" t="s">
        <v>14462</v>
      </c>
      <c r="C7490" s="142" t="s">
        <v>15847</v>
      </c>
      <c r="D7490" s="142" t="s">
        <v>15848</v>
      </c>
      <c r="E7490" s="142" t="s">
        <v>15849</v>
      </c>
      <c r="F7490" s="142" t="s">
        <v>7251</v>
      </c>
      <c r="G7490" s="142" t="s">
        <v>7250</v>
      </c>
      <c r="H7490" s="142" t="s">
        <v>23340</v>
      </c>
      <c r="I7490" s="142">
        <v>24</v>
      </c>
      <c r="J7490" s="142">
        <v>0</v>
      </c>
      <c r="K7490" s="142">
        <v>0</v>
      </c>
      <c r="L7490" s="142">
        <v>0</v>
      </c>
      <c r="M7490" s="142">
        <v>24</v>
      </c>
    </row>
    <row r="7491" spans="1:13" x14ac:dyDescent="0.45">
      <c r="A7491" s="142" t="s">
        <v>13002</v>
      </c>
      <c r="B7491" s="142" t="s">
        <v>15376</v>
      </c>
      <c r="C7491" s="142" t="s">
        <v>15847</v>
      </c>
      <c r="D7491" s="142" t="s">
        <v>15848</v>
      </c>
      <c r="E7491" s="142" t="s">
        <v>15849</v>
      </c>
      <c r="F7491" s="142" t="s">
        <v>7251</v>
      </c>
      <c r="G7491" s="142" t="s">
        <v>7250</v>
      </c>
      <c r="H7491" s="142" t="s">
        <v>23341</v>
      </c>
      <c r="I7491" s="142">
        <v>19</v>
      </c>
      <c r="J7491" s="142">
        <v>0</v>
      </c>
      <c r="K7491" s="142">
        <v>0</v>
      </c>
      <c r="L7491" s="142">
        <v>19</v>
      </c>
      <c r="M7491" s="142">
        <v>0</v>
      </c>
    </row>
    <row r="7492" spans="1:13" x14ac:dyDescent="0.45">
      <c r="A7492" s="142" t="s">
        <v>13003</v>
      </c>
      <c r="B7492" s="142" t="s">
        <v>15245</v>
      </c>
      <c r="C7492" s="142" t="s">
        <v>15847</v>
      </c>
      <c r="D7492" s="142" t="s">
        <v>15848</v>
      </c>
      <c r="E7492" s="142" t="s">
        <v>15849</v>
      </c>
      <c r="F7492" s="142" t="s">
        <v>7251</v>
      </c>
      <c r="G7492" s="142" t="s">
        <v>7250</v>
      </c>
      <c r="H7492" s="142" t="s">
        <v>23342</v>
      </c>
      <c r="I7492" s="142">
        <v>35</v>
      </c>
      <c r="J7492" s="142">
        <v>0</v>
      </c>
      <c r="K7492" s="142">
        <v>0</v>
      </c>
      <c r="L7492" s="142">
        <v>35</v>
      </c>
      <c r="M7492" s="142">
        <v>0</v>
      </c>
    </row>
    <row r="7493" spans="1:13" x14ac:dyDescent="0.45">
      <c r="A7493" s="142" t="s">
        <v>13076</v>
      </c>
      <c r="B7493" s="142" t="s">
        <v>14636</v>
      </c>
      <c r="C7493" s="142" t="s">
        <v>15847</v>
      </c>
      <c r="D7493" s="142" t="s">
        <v>15848</v>
      </c>
      <c r="E7493" s="142" t="s">
        <v>15849</v>
      </c>
      <c r="F7493" s="142" t="s">
        <v>7251</v>
      </c>
      <c r="G7493" s="142" t="s">
        <v>7250</v>
      </c>
      <c r="H7493" s="142" t="s">
        <v>23343</v>
      </c>
      <c r="I7493" s="142">
        <v>28</v>
      </c>
      <c r="J7493" s="142">
        <v>16</v>
      </c>
      <c r="K7493" s="142">
        <v>0</v>
      </c>
      <c r="L7493" s="142">
        <v>0</v>
      </c>
      <c r="M7493" s="142">
        <v>12</v>
      </c>
    </row>
    <row r="7494" spans="1:13" x14ac:dyDescent="0.45">
      <c r="A7494" s="142" t="s">
        <v>13331</v>
      </c>
      <c r="B7494" s="142" t="s">
        <v>14682</v>
      </c>
      <c r="C7494" s="142" t="s">
        <v>15860</v>
      </c>
      <c r="D7494" s="142" t="s">
        <v>15861</v>
      </c>
      <c r="E7494" s="142" t="s">
        <v>15849</v>
      </c>
      <c r="F7494" s="142" t="s">
        <v>7251</v>
      </c>
      <c r="G7494" s="142" t="s">
        <v>7250</v>
      </c>
      <c r="H7494" s="142" t="s">
        <v>23344</v>
      </c>
      <c r="I7494" s="142">
        <v>21</v>
      </c>
      <c r="J7494" s="142">
        <v>21</v>
      </c>
      <c r="K7494" s="142">
        <v>0</v>
      </c>
      <c r="L7494" s="142">
        <v>0</v>
      </c>
      <c r="M7494" s="142">
        <v>0</v>
      </c>
    </row>
    <row r="7495" spans="1:13" x14ac:dyDescent="0.45">
      <c r="A7495" s="142" t="s">
        <v>13029</v>
      </c>
      <c r="B7495" s="142" t="s">
        <v>14665</v>
      </c>
      <c r="C7495" s="142" t="s">
        <v>15847</v>
      </c>
      <c r="D7495" s="142" t="s">
        <v>15848</v>
      </c>
      <c r="E7495" s="142" t="s">
        <v>15849</v>
      </c>
      <c r="F7495" s="142" t="s">
        <v>7251</v>
      </c>
      <c r="G7495" s="142" t="s">
        <v>7250</v>
      </c>
      <c r="H7495" s="142" t="s">
        <v>23345</v>
      </c>
      <c r="I7495" s="142">
        <v>9</v>
      </c>
      <c r="J7495" s="142">
        <v>0</v>
      </c>
      <c r="K7495" s="142">
        <v>0</v>
      </c>
      <c r="L7495" s="142">
        <v>0</v>
      </c>
      <c r="M7495" s="142">
        <v>9</v>
      </c>
    </row>
    <row r="7496" spans="1:13" x14ac:dyDescent="0.45">
      <c r="A7496" s="142" t="s">
        <v>13008</v>
      </c>
      <c r="B7496" s="142" t="s">
        <v>15411</v>
      </c>
      <c r="C7496" s="142" t="s">
        <v>15847</v>
      </c>
      <c r="D7496" s="142" t="s">
        <v>15848</v>
      </c>
      <c r="E7496" s="142" t="s">
        <v>15849</v>
      </c>
      <c r="F7496" s="142" t="s">
        <v>7251</v>
      </c>
      <c r="G7496" s="142" t="s">
        <v>7250</v>
      </c>
      <c r="H7496" s="142" t="s">
        <v>23346</v>
      </c>
      <c r="I7496" s="142">
        <v>188</v>
      </c>
      <c r="J7496" s="142">
        <v>2</v>
      </c>
      <c r="K7496" s="142">
        <v>0</v>
      </c>
      <c r="L7496" s="142">
        <v>0</v>
      </c>
      <c r="M7496" s="142">
        <v>186</v>
      </c>
    </row>
    <row r="7497" spans="1:13" x14ac:dyDescent="0.45">
      <c r="A7497" s="142" t="s">
        <v>13077</v>
      </c>
      <c r="B7497" s="142" t="s">
        <v>15407</v>
      </c>
      <c r="C7497" s="142" t="s">
        <v>15847</v>
      </c>
      <c r="D7497" s="142" t="s">
        <v>15848</v>
      </c>
      <c r="E7497" s="142" t="s">
        <v>15849</v>
      </c>
      <c r="F7497" s="142" t="s">
        <v>7251</v>
      </c>
      <c r="G7497" s="142" t="s">
        <v>7250</v>
      </c>
      <c r="H7497" s="142" t="s">
        <v>23347</v>
      </c>
      <c r="I7497" s="142">
        <v>610</v>
      </c>
      <c r="J7497" s="142">
        <v>561</v>
      </c>
      <c r="K7497" s="142">
        <v>0</v>
      </c>
      <c r="L7497" s="142">
        <v>49</v>
      </c>
      <c r="M7497" s="142">
        <v>0</v>
      </c>
    </row>
    <row r="7498" spans="1:13" x14ac:dyDescent="0.45">
      <c r="A7498" s="142" t="s">
        <v>13089</v>
      </c>
      <c r="B7498" s="142" t="s">
        <v>15240</v>
      </c>
      <c r="C7498" s="142" t="s">
        <v>15847</v>
      </c>
      <c r="D7498" s="142" t="s">
        <v>15848</v>
      </c>
      <c r="E7498" s="142" t="s">
        <v>15849</v>
      </c>
      <c r="F7498" s="142" t="s">
        <v>7251</v>
      </c>
      <c r="G7498" s="142" t="s">
        <v>7250</v>
      </c>
      <c r="H7498" s="142" t="s">
        <v>23348</v>
      </c>
      <c r="I7498" s="142">
        <v>57</v>
      </c>
      <c r="J7498" s="142">
        <v>43</v>
      </c>
      <c r="K7498" s="142">
        <v>0</v>
      </c>
      <c r="L7498" s="142">
        <v>10</v>
      </c>
      <c r="M7498" s="142">
        <v>4</v>
      </c>
    </row>
    <row r="7499" spans="1:13" x14ac:dyDescent="0.45">
      <c r="A7499" s="142" t="s">
        <v>13033</v>
      </c>
      <c r="B7499" s="142" t="s">
        <v>15276</v>
      </c>
      <c r="C7499" s="142" t="s">
        <v>15847</v>
      </c>
      <c r="D7499" s="142" t="s">
        <v>15848</v>
      </c>
      <c r="E7499" s="142" t="s">
        <v>15849</v>
      </c>
      <c r="F7499" s="142" t="s">
        <v>7251</v>
      </c>
      <c r="G7499" s="142" t="s">
        <v>7250</v>
      </c>
      <c r="H7499" s="142" t="s">
        <v>23349</v>
      </c>
      <c r="I7499" s="142">
        <v>214</v>
      </c>
      <c r="J7499" s="142">
        <v>200</v>
      </c>
      <c r="K7499" s="142">
        <v>0</v>
      </c>
      <c r="L7499" s="142">
        <v>5</v>
      </c>
      <c r="M7499" s="142">
        <v>9</v>
      </c>
    </row>
    <row r="7500" spans="1:13" x14ac:dyDescent="0.45">
      <c r="A7500" s="142" t="s">
        <v>13034</v>
      </c>
      <c r="B7500" s="142" t="s">
        <v>15562</v>
      </c>
      <c r="C7500" s="142" t="s">
        <v>15847</v>
      </c>
      <c r="D7500" s="142" t="s">
        <v>15848</v>
      </c>
      <c r="E7500" s="142" t="s">
        <v>15849</v>
      </c>
      <c r="F7500" s="142" t="s">
        <v>7251</v>
      </c>
      <c r="G7500" s="142" t="s">
        <v>7250</v>
      </c>
      <c r="H7500" s="142" t="s">
        <v>23350</v>
      </c>
      <c r="I7500" s="142">
        <v>360</v>
      </c>
      <c r="J7500" s="142">
        <v>303</v>
      </c>
      <c r="K7500" s="142">
        <v>0</v>
      </c>
      <c r="L7500" s="142">
        <v>35</v>
      </c>
      <c r="M7500" s="142">
        <v>22</v>
      </c>
    </row>
    <row r="7501" spans="1:13" x14ac:dyDescent="0.45">
      <c r="A7501" s="142" t="s">
        <v>13036</v>
      </c>
      <c r="B7501" s="142" t="s">
        <v>15567</v>
      </c>
      <c r="C7501" s="142" t="s">
        <v>15847</v>
      </c>
      <c r="D7501" s="142" t="s">
        <v>15848</v>
      </c>
      <c r="E7501" s="142" t="s">
        <v>15849</v>
      </c>
      <c r="F7501" s="142" t="s">
        <v>7251</v>
      </c>
      <c r="G7501" s="142" t="s">
        <v>7250</v>
      </c>
      <c r="H7501" s="142" t="s">
        <v>23351</v>
      </c>
      <c r="I7501" s="142">
        <v>20</v>
      </c>
      <c r="J7501" s="142">
        <v>0</v>
      </c>
      <c r="K7501" s="142">
        <v>0</v>
      </c>
      <c r="L7501" s="142">
        <v>20</v>
      </c>
      <c r="M7501" s="142">
        <v>0</v>
      </c>
    </row>
    <row r="7502" spans="1:13" x14ac:dyDescent="0.45">
      <c r="A7502" s="142" t="s">
        <v>13090</v>
      </c>
      <c r="B7502" s="142" t="s">
        <v>15600</v>
      </c>
      <c r="C7502" s="142" t="s">
        <v>15847</v>
      </c>
      <c r="D7502" s="142" t="s">
        <v>15848</v>
      </c>
      <c r="E7502" s="142" t="s">
        <v>15849</v>
      </c>
      <c r="F7502" s="142" t="s">
        <v>7251</v>
      </c>
      <c r="G7502" s="142" t="s">
        <v>7250</v>
      </c>
      <c r="H7502" s="142" t="s">
        <v>23352</v>
      </c>
      <c r="I7502" s="142">
        <v>5021</v>
      </c>
      <c r="J7502" s="142">
        <v>4309</v>
      </c>
      <c r="K7502" s="142">
        <v>0</v>
      </c>
      <c r="L7502" s="142">
        <v>471</v>
      </c>
      <c r="M7502" s="142">
        <v>241</v>
      </c>
    </row>
    <row r="7503" spans="1:13" x14ac:dyDescent="0.45">
      <c r="A7503" s="142" t="s">
        <v>13038</v>
      </c>
      <c r="B7503" s="142" t="s">
        <v>14646</v>
      </c>
      <c r="C7503" s="142" t="s">
        <v>15847</v>
      </c>
      <c r="D7503" s="142" t="s">
        <v>15848</v>
      </c>
      <c r="E7503" s="142" t="s">
        <v>15849</v>
      </c>
      <c r="F7503" s="142" t="s">
        <v>7251</v>
      </c>
      <c r="G7503" s="142" t="s">
        <v>7250</v>
      </c>
      <c r="H7503" s="142" t="s">
        <v>23353</v>
      </c>
      <c r="I7503" s="142">
        <v>176</v>
      </c>
      <c r="J7503" s="142">
        <v>128</v>
      </c>
      <c r="K7503" s="142">
        <v>0</v>
      </c>
      <c r="L7503" s="142">
        <v>0</v>
      </c>
      <c r="M7503" s="142">
        <v>48</v>
      </c>
    </row>
    <row r="7504" spans="1:13" x14ac:dyDescent="0.45">
      <c r="A7504" s="142" t="s">
        <v>13039</v>
      </c>
      <c r="B7504" s="142" t="s">
        <v>14647</v>
      </c>
      <c r="C7504" s="142" t="s">
        <v>15847</v>
      </c>
      <c r="D7504" s="142" t="s">
        <v>15848</v>
      </c>
      <c r="E7504" s="142" t="s">
        <v>15849</v>
      </c>
      <c r="F7504" s="142" t="s">
        <v>7251</v>
      </c>
      <c r="G7504" s="142" t="s">
        <v>7250</v>
      </c>
      <c r="H7504" s="142" t="s">
        <v>23354</v>
      </c>
      <c r="I7504" s="142">
        <v>85</v>
      </c>
      <c r="J7504" s="142">
        <v>85</v>
      </c>
      <c r="K7504" s="142">
        <v>0</v>
      </c>
      <c r="L7504" s="142">
        <v>0</v>
      </c>
      <c r="M7504" s="142">
        <v>0</v>
      </c>
    </row>
    <row r="7505" spans="1:13" x14ac:dyDescent="0.45">
      <c r="A7505" s="142" t="s">
        <v>13091</v>
      </c>
      <c r="B7505" s="142" t="s">
        <v>14473</v>
      </c>
      <c r="C7505" s="142" t="s">
        <v>15847</v>
      </c>
      <c r="D7505" s="142" t="s">
        <v>15848</v>
      </c>
      <c r="E7505" s="142" t="s">
        <v>15849</v>
      </c>
      <c r="F7505" s="142" t="s">
        <v>7251</v>
      </c>
      <c r="G7505" s="142" t="s">
        <v>7250</v>
      </c>
      <c r="H7505" s="142" t="s">
        <v>23355</v>
      </c>
      <c r="I7505" s="142">
        <v>61</v>
      </c>
      <c r="J7505" s="142">
        <v>0</v>
      </c>
      <c r="K7505" s="142">
        <v>0</v>
      </c>
      <c r="L7505" s="142">
        <v>61</v>
      </c>
      <c r="M7505" s="142">
        <v>0</v>
      </c>
    </row>
    <row r="7506" spans="1:13" x14ac:dyDescent="0.45">
      <c r="A7506" s="142" t="s">
        <v>13009</v>
      </c>
      <c r="B7506" s="142" t="s">
        <v>15256</v>
      </c>
      <c r="C7506" s="142" t="s">
        <v>15847</v>
      </c>
      <c r="D7506" s="142" t="s">
        <v>15848</v>
      </c>
      <c r="E7506" s="142" t="s">
        <v>15849</v>
      </c>
      <c r="F7506" s="142" t="s">
        <v>7251</v>
      </c>
      <c r="G7506" s="142" t="s">
        <v>7250</v>
      </c>
      <c r="H7506" s="142" t="s">
        <v>23356</v>
      </c>
      <c r="I7506" s="142">
        <v>21</v>
      </c>
      <c r="J7506" s="142">
        <v>21</v>
      </c>
      <c r="K7506" s="142">
        <v>0</v>
      </c>
      <c r="L7506" s="142">
        <v>0</v>
      </c>
      <c r="M7506" s="142">
        <v>0</v>
      </c>
    </row>
    <row r="7507" spans="1:13" x14ac:dyDescent="0.45">
      <c r="A7507" s="142" t="s">
        <v>13093</v>
      </c>
      <c r="B7507" s="142" t="s">
        <v>14483</v>
      </c>
      <c r="C7507" s="142" t="s">
        <v>15860</v>
      </c>
      <c r="D7507" s="142" t="s">
        <v>15861</v>
      </c>
      <c r="E7507" s="142" t="s">
        <v>15849</v>
      </c>
      <c r="F7507" s="142" t="s">
        <v>7251</v>
      </c>
      <c r="G7507" s="142" t="s">
        <v>7250</v>
      </c>
      <c r="H7507" s="142" t="s">
        <v>23357</v>
      </c>
      <c r="I7507" s="142">
        <v>53</v>
      </c>
      <c r="J7507" s="142">
        <v>4</v>
      </c>
      <c r="K7507" s="142">
        <v>0</v>
      </c>
      <c r="L7507" s="142">
        <v>49</v>
      </c>
      <c r="M7507" s="142">
        <v>0</v>
      </c>
    </row>
    <row r="7508" spans="1:13" x14ac:dyDescent="0.45">
      <c r="A7508" s="142" t="s">
        <v>13041</v>
      </c>
      <c r="B7508" s="142" t="s">
        <v>14441</v>
      </c>
      <c r="C7508" s="142" t="s">
        <v>15847</v>
      </c>
      <c r="D7508" s="142" t="s">
        <v>15848</v>
      </c>
      <c r="E7508" s="142" t="s">
        <v>15849</v>
      </c>
      <c r="F7508" s="142" t="s">
        <v>7251</v>
      </c>
      <c r="G7508" s="142" t="s">
        <v>7250</v>
      </c>
      <c r="H7508" s="142" t="s">
        <v>23358</v>
      </c>
      <c r="I7508" s="142">
        <v>22</v>
      </c>
      <c r="J7508" s="142">
        <v>0</v>
      </c>
      <c r="K7508" s="142">
        <v>0</v>
      </c>
      <c r="L7508" s="142">
        <v>0</v>
      </c>
      <c r="M7508" s="142">
        <v>22</v>
      </c>
    </row>
    <row r="7509" spans="1:13" x14ac:dyDescent="0.45">
      <c r="A7509" s="142" t="s">
        <v>13095</v>
      </c>
      <c r="B7509" s="142" t="s">
        <v>15592</v>
      </c>
      <c r="C7509" s="142" t="s">
        <v>15847</v>
      </c>
      <c r="D7509" s="142" t="s">
        <v>15848</v>
      </c>
      <c r="E7509" s="142" t="s">
        <v>15849</v>
      </c>
      <c r="F7509" s="142" t="s">
        <v>7251</v>
      </c>
      <c r="G7509" s="142" t="s">
        <v>7250</v>
      </c>
      <c r="H7509" s="142" t="s">
        <v>23359</v>
      </c>
      <c r="I7509" s="142">
        <v>136</v>
      </c>
      <c r="J7509" s="142">
        <v>105</v>
      </c>
      <c r="K7509" s="142">
        <v>0</v>
      </c>
      <c r="L7509" s="142">
        <v>0</v>
      </c>
      <c r="M7509" s="142">
        <v>31</v>
      </c>
    </row>
    <row r="7510" spans="1:13" x14ac:dyDescent="0.45">
      <c r="A7510" s="142" t="s">
        <v>13332</v>
      </c>
      <c r="B7510" s="142" t="s">
        <v>14612</v>
      </c>
      <c r="C7510" s="142" t="s">
        <v>15860</v>
      </c>
      <c r="D7510" s="142" t="s">
        <v>15861</v>
      </c>
      <c r="E7510" s="142" t="s">
        <v>15849</v>
      </c>
      <c r="F7510" s="142" t="s">
        <v>7251</v>
      </c>
      <c r="G7510" s="142" t="s">
        <v>7250</v>
      </c>
      <c r="H7510" s="142" t="s">
        <v>23360</v>
      </c>
      <c r="I7510" s="142">
        <v>11</v>
      </c>
      <c r="J7510" s="142">
        <v>11</v>
      </c>
      <c r="K7510" s="142">
        <v>0</v>
      </c>
      <c r="L7510" s="142">
        <v>0</v>
      </c>
      <c r="M7510" s="142">
        <v>0</v>
      </c>
    </row>
    <row r="7511" spans="1:13" x14ac:dyDescent="0.45">
      <c r="A7511" s="142" t="s">
        <v>13110</v>
      </c>
      <c r="B7511" s="142" t="s">
        <v>15502</v>
      </c>
      <c r="C7511" s="142" t="s">
        <v>15847</v>
      </c>
      <c r="D7511" s="142" t="s">
        <v>15848</v>
      </c>
      <c r="E7511" s="142" t="s">
        <v>15849</v>
      </c>
      <c r="F7511" s="142" t="s">
        <v>7671</v>
      </c>
      <c r="G7511" s="142" t="s">
        <v>7670</v>
      </c>
      <c r="H7511" s="142" t="s">
        <v>23361</v>
      </c>
      <c r="I7511" s="142">
        <v>112</v>
      </c>
      <c r="J7511" s="142">
        <v>111</v>
      </c>
      <c r="K7511" s="142">
        <v>0</v>
      </c>
      <c r="L7511" s="142">
        <v>1</v>
      </c>
      <c r="M7511" s="142">
        <v>0</v>
      </c>
    </row>
    <row r="7512" spans="1:13" x14ac:dyDescent="0.45">
      <c r="A7512" s="142" t="s">
        <v>13308</v>
      </c>
      <c r="B7512" s="142" t="s">
        <v>15608</v>
      </c>
      <c r="C7512" s="142" t="s">
        <v>15847</v>
      </c>
      <c r="D7512" s="142" t="s">
        <v>15848</v>
      </c>
      <c r="E7512" s="142" t="s">
        <v>15849</v>
      </c>
      <c r="F7512" s="142" t="s">
        <v>7671</v>
      </c>
      <c r="G7512" s="142" t="s">
        <v>7670</v>
      </c>
      <c r="H7512" s="142" t="s">
        <v>23362</v>
      </c>
      <c r="I7512" s="142">
        <v>8</v>
      </c>
      <c r="J7512" s="142">
        <v>2</v>
      </c>
      <c r="K7512" s="142">
        <v>0</v>
      </c>
      <c r="L7512" s="142">
        <v>0</v>
      </c>
      <c r="M7512" s="142">
        <v>6</v>
      </c>
    </row>
    <row r="7513" spans="1:13" x14ac:dyDescent="0.45">
      <c r="A7513" s="142" t="s">
        <v>13166</v>
      </c>
      <c r="B7513" s="142" t="s">
        <v>15576</v>
      </c>
      <c r="C7513" s="142" t="s">
        <v>15847</v>
      </c>
      <c r="D7513" s="142" t="s">
        <v>15848</v>
      </c>
      <c r="E7513" s="142" t="s">
        <v>15849</v>
      </c>
      <c r="F7513" s="142" t="s">
        <v>7671</v>
      </c>
      <c r="G7513" s="142" t="s">
        <v>7670</v>
      </c>
      <c r="H7513" s="142" t="s">
        <v>23363</v>
      </c>
      <c r="I7513" s="142">
        <v>93</v>
      </c>
      <c r="J7513" s="142">
        <v>80</v>
      </c>
      <c r="K7513" s="142">
        <v>0</v>
      </c>
      <c r="L7513" s="142">
        <v>7</v>
      </c>
      <c r="M7513" s="142">
        <v>6</v>
      </c>
    </row>
    <row r="7514" spans="1:13" x14ac:dyDescent="0.45">
      <c r="A7514" s="142" t="s">
        <v>13046</v>
      </c>
      <c r="B7514" s="142" t="s">
        <v>15537</v>
      </c>
      <c r="C7514" s="142" t="s">
        <v>15860</v>
      </c>
      <c r="D7514" s="142" t="s">
        <v>15861</v>
      </c>
      <c r="E7514" s="142" t="s">
        <v>15849</v>
      </c>
      <c r="F7514" s="142" t="s">
        <v>7671</v>
      </c>
      <c r="G7514" s="142" t="s">
        <v>7670</v>
      </c>
      <c r="H7514" s="142" t="s">
        <v>23364</v>
      </c>
      <c r="I7514" s="142">
        <v>6</v>
      </c>
      <c r="J7514" s="142">
        <v>0</v>
      </c>
      <c r="K7514" s="142">
        <v>0</v>
      </c>
      <c r="L7514" s="142">
        <v>6</v>
      </c>
      <c r="M7514" s="142">
        <v>0</v>
      </c>
    </row>
    <row r="7515" spans="1:13" x14ac:dyDescent="0.45">
      <c r="A7515" s="142" t="s">
        <v>13167</v>
      </c>
      <c r="B7515" s="142" t="s">
        <v>15418</v>
      </c>
      <c r="C7515" s="142" t="s">
        <v>15847</v>
      </c>
      <c r="D7515" s="142" t="s">
        <v>15848</v>
      </c>
      <c r="E7515" s="142" t="s">
        <v>15849</v>
      </c>
      <c r="F7515" s="142" t="s">
        <v>7671</v>
      </c>
      <c r="G7515" s="142" t="s">
        <v>7670</v>
      </c>
      <c r="H7515" s="142" t="s">
        <v>23365</v>
      </c>
      <c r="I7515" s="142">
        <v>65</v>
      </c>
      <c r="J7515" s="142">
        <v>51</v>
      </c>
      <c r="K7515" s="142">
        <v>0</v>
      </c>
      <c r="L7515" s="142">
        <v>0</v>
      </c>
      <c r="M7515" s="142">
        <v>14</v>
      </c>
    </row>
    <row r="7516" spans="1:13" x14ac:dyDescent="0.45">
      <c r="A7516" s="142" t="s">
        <v>13021</v>
      </c>
      <c r="B7516" s="142" t="s">
        <v>15501</v>
      </c>
      <c r="C7516" s="142" t="s">
        <v>15847</v>
      </c>
      <c r="D7516" s="142" t="s">
        <v>15848</v>
      </c>
      <c r="E7516" s="142" t="s">
        <v>15849</v>
      </c>
      <c r="F7516" s="142" t="s">
        <v>7671</v>
      </c>
      <c r="G7516" s="142" t="s">
        <v>7670</v>
      </c>
      <c r="H7516" s="142" t="s">
        <v>23366</v>
      </c>
      <c r="I7516" s="142">
        <v>56</v>
      </c>
      <c r="J7516" s="142">
        <v>0</v>
      </c>
      <c r="K7516" s="142">
        <v>0</v>
      </c>
      <c r="L7516" s="142">
        <v>43</v>
      </c>
      <c r="M7516" s="142">
        <v>13</v>
      </c>
    </row>
    <row r="7517" spans="1:13" x14ac:dyDescent="0.45">
      <c r="A7517" s="142" t="s">
        <v>13023</v>
      </c>
      <c r="B7517" s="142" t="s">
        <v>15571</v>
      </c>
      <c r="C7517" s="142" t="s">
        <v>15847</v>
      </c>
      <c r="D7517" s="142" t="s">
        <v>15848</v>
      </c>
      <c r="E7517" s="142" t="s">
        <v>15849</v>
      </c>
      <c r="F7517" s="142" t="s">
        <v>7671</v>
      </c>
      <c r="G7517" s="142" t="s">
        <v>7670</v>
      </c>
      <c r="H7517" s="142" t="s">
        <v>23367</v>
      </c>
      <c r="I7517" s="142">
        <v>68</v>
      </c>
      <c r="J7517" s="142">
        <v>1</v>
      </c>
      <c r="K7517" s="142">
        <v>0</v>
      </c>
      <c r="L7517" s="142">
        <v>67</v>
      </c>
      <c r="M7517" s="142">
        <v>0</v>
      </c>
    </row>
    <row r="7518" spans="1:13" x14ac:dyDescent="0.45">
      <c r="A7518" s="142" t="s">
        <v>14204</v>
      </c>
      <c r="B7518" s="142" t="s">
        <v>14808</v>
      </c>
      <c r="C7518" s="142" t="s">
        <v>15860</v>
      </c>
      <c r="D7518" s="142" t="s">
        <v>15861</v>
      </c>
      <c r="E7518" s="142" t="s">
        <v>15849</v>
      </c>
      <c r="F7518" s="142" t="s">
        <v>7671</v>
      </c>
      <c r="G7518" s="142" t="s">
        <v>7670</v>
      </c>
      <c r="H7518" s="142" t="s">
        <v>23368</v>
      </c>
      <c r="I7518" s="142">
        <v>6</v>
      </c>
      <c r="J7518" s="142">
        <v>0</v>
      </c>
      <c r="K7518" s="142">
        <v>0</v>
      </c>
      <c r="L7518" s="142">
        <v>6</v>
      </c>
      <c r="M7518" s="142">
        <v>0</v>
      </c>
    </row>
    <row r="7519" spans="1:13" x14ac:dyDescent="0.45">
      <c r="A7519" s="142" t="s">
        <v>13047</v>
      </c>
      <c r="B7519" s="142" t="s">
        <v>14616</v>
      </c>
      <c r="C7519" s="142" t="s">
        <v>15847</v>
      </c>
      <c r="D7519" s="142" t="s">
        <v>15848</v>
      </c>
      <c r="E7519" s="142" t="s">
        <v>15849</v>
      </c>
      <c r="F7519" s="142" t="s">
        <v>7671</v>
      </c>
      <c r="G7519" s="142" t="s">
        <v>7670</v>
      </c>
      <c r="H7519" s="142" t="s">
        <v>23369</v>
      </c>
      <c r="I7519" s="142">
        <v>26</v>
      </c>
      <c r="J7519" s="142">
        <v>19</v>
      </c>
      <c r="K7519" s="142">
        <v>0</v>
      </c>
      <c r="L7519" s="142">
        <v>0</v>
      </c>
      <c r="M7519" s="142">
        <v>7</v>
      </c>
    </row>
    <row r="7520" spans="1:13" x14ac:dyDescent="0.45">
      <c r="A7520" s="142" t="s">
        <v>13048</v>
      </c>
      <c r="B7520" s="142" t="s">
        <v>14479</v>
      </c>
      <c r="C7520" s="142" t="s">
        <v>15847</v>
      </c>
      <c r="D7520" s="142" t="s">
        <v>15848</v>
      </c>
      <c r="E7520" s="142" t="s">
        <v>15849</v>
      </c>
      <c r="F7520" s="142" t="s">
        <v>7671</v>
      </c>
      <c r="G7520" s="142" t="s">
        <v>7670</v>
      </c>
      <c r="H7520" s="142" t="s">
        <v>23370</v>
      </c>
      <c r="I7520" s="142">
        <v>225</v>
      </c>
      <c r="J7520" s="142">
        <v>78</v>
      </c>
      <c r="K7520" s="142">
        <v>0</v>
      </c>
      <c r="L7520" s="142">
        <v>0</v>
      </c>
      <c r="M7520" s="142">
        <v>147</v>
      </c>
    </row>
    <row r="7521" spans="1:13" x14ac:dyDescent="0.45">
      <c r="A7521" s="142" t="s">
        <v>13082</v>
      </c>
      <c r="B7521" s="142" t="s">
        <v>14478</v>
      </c>
      <c r="C7521" s="142" t="s">
        <v>15860</v>
      </c>
      <c r="D7521" s="142" t="s">
        <v>15861</v>
      </c>
      <c r="E7521" s="142" t="s">
        <v>15849</v>
      </c>
      <c r="F7521" s="142" t="s">
        <v>7671</v>
      </c>
      <c r="G7521" s="142" t="s">
        <v>7670</v>
      </c>
      <c r="H7521" s="142" t="s">
        <v>23371</v>
      </c>
      <c r="I7521" s="142">
        <v>2</v>
      </c>
      <c r="J7521" s="142">
        <v>0</v>
      </c>
      <c r="K7521" s="142">
        <v>0</v>
      </c>
      <c r="L7521" s="142">
        <v>2</v>
      </c>
      <c r="M7521" s="142">
        <v>0</v>
      </c>
    </row>
    <row r="7522" spans="1:13" x14ac:dyDescent="0.45">
      <c r="A7522" s="142" t="s">
        <v>13159</v>
      </c>
      <c r="B7522" s="142" t="s">
        <v>14521</v>
      </c>
      <c r="C7522" s="142" t="s">
        <v>15860</v>
      </c>
      <c r="D7522" s="142" t="s">
        <v>15861</v>
      </c>
      <c r="E7522" s="142" t="s">
        <v>15849</v>
      </c>
      <c r="F7522" s="142" t="s">
        <v>7671</v>
      </c>
      <c r="G7522" s="142" t="s">
        <v>7670</v>
      </c>
      <c r="H7522" s="142" t="s">
        <v>23372</v>
      </c>
      <c r="I7522" s="142">
        <v>5</v>
      </c>
      <c r="J7522" s="142">
        <v>0</v>
      </c>
      <c r="K7522" s="142">
        <v>0</v>
      </c>
      <c r="L7522" s="142">
        <v>5</v>
      </c>
      <c r="M7522" s="142">
        <v>0</v>
      </c>
    </row>
    <row r="7523" spans="1:13" x14ac:dyDescent="0.45">
      <c r="A7523" s="142" t="s">
        <v>13000</v>
      </c>
      <c r="B7523" s="142" t="s">
        <v>14610</v>
      </c>
      <c r="C7523" s="142" t="s">
        <v>15847</v>
      </c>
      <c r="D7523" s="142" t="s">
        <v>15848</v>
      </c>
      <c r="E7523" s="142" t="s">
        <v>15849</v>
      </c>
      <c r="F7523" s="142" t="s">
        <v>7671</v>
      </c>
      <c r="G7523" s="142" t="s">
        <v>7670</v>
      </c>
      <c r="H7523" s="142" t="s">
        <v>23373</v>
      </c>
      <c r="I7523" s="142">
        <v>142</v>
      </c>
      <c r="J7523" s="142">
        <v>104</v>
      </c>
      <c r="K7523" s="142">
        <v>0</v>
      </c>
      <c r="L7523" s="142">
        <v>0</v>
      </c>
      <c r="M7523" s="142">
        <v>38</v>
      </c>
    </row>
    <row r="7524" spans="1:13" x14ac:dyDescent="0.45">
      <c r="A7524" s="142" t="s">
        <v>13119</v>
      </c>
      <c r="B7524" s="142" t="s">
        <v>14451</v>
      </c>
      <c r="C7524" s="142" t="s">
        <v>15860</v>
      </c>
      <c r="D7524" s="142" t="s">
        <v>15861</v>
      </c>
      <c r="E7524" s="142" t="s">
        <v>15849</v>
      </c>
      <c r="F7524" s="142" t="s">
        <v>7671</v>
      </c>
      <c r="G7524" s="142" t="s">
        <v>7670</v>
      </c>
      <c r="H7524" s="142" t="s">
        <v>23374</v>
      </c>
      <c r="I7524" s="142">
        <v>12</v>
      </c>
      <c r="J7524" s="142">
        <v>0</v>
      </c>
      <c r="K7524" s="142">
        <v>0</v>
      </c>
      <c r="L7524" s="142">
        <v>12</v>
      </c>
      <c r="M7524" s="142">
        <v>0</v>
      </c>
    </row>
    <row r="7525" spans="1:13" x14ac:dyDescent="0.45">
      <c r="A7525" s="142" t="s">
        <v>13085</v>
      </c>
      <c r="B7525" s="142" t="s">
        <v>14460</v>
      </c>
      <c r="C7525" s="142" t="s">
        <v>15860</v>
      </c>
      <c r="D7525" s="142" t="s">
        <v>15861</v>
      </c>
      <c r="E7525" s="142" t="s">
        <v>15849</v>
      </c>
      <c r="F7525" s="142" t="s">
        <v>7671</v>
      </c>
      <c r="G7525" s="142" t="s">
        <v>7670</v>
      </c>
      <c r="H7525" s="142" t="s">
        <v>23375</v>
      </c>
      <c r="I7525" s="142">
        <v>4</v>
      </c>
      <c r="J7525" s="142">
        <v>0</v>
      </c>
      <c r="K7525" s="142">
        <v>0</v>
      </c>
      <c r="L7525" s="142">
        <v>4</v>
      </c>
      <c r="M7525" s="142">
        <v>0</v>
      </c>
    </row>
    <row r="7526" spans="1:13" x14ac:dyDescent="0.45">
      <c r="A7526" s="142" t="s">
        <v>13074</v>
      </c>
      <c r="B7526" s="142" t="s">
        <v>15405</v>
      </c>
      <c r="C7526" s="142" t="s">
        <v>15847</v>
      </c>
      <c r="D7526" s="142" t="s">
        <v>15848</v>
      </c>
      <c r="E7526" s="142" t="s">
        <v>15849</v>
      </c>
      <c r="F7526" s="142" t="s">
        <v>7671</v>
      </c>
      <c r="G7526" s="142" t="s">
        <v>7670</v>
      </c>
      <c r="H7526" s="142" t="s">
        <v>23376</v>
      </c>
      <c r="I7526" s="142">
        <v>14</v>
      </c>
      <c r="J7526" s="142">
        <v>6</v>
      </c>
      <c r="K7526" s="142">
        <v>0</v>
      </c>
      <c r="L7526" s="142">
        <v>0</v>
      </c>
      <c r="M7526" s="142">
        <v>8</v>
      </c>
    </row>
    <row r="7527" spans="1:13" x14ac:dyDescent="0.45">
      <c r="A7527" s="142" t="s">
        <v>13397</v>
      </c>
      <c r="B7527" s="142" t="s">
        <v>15465</v>
      </c>
      <c r="C7527" s="142" t="s">
        <v>15847</v>
      </c>
      <c r="D7527" s="142" t="s">
        <v>15848</v>
      </c>
      <c r="E7527" s="142" t="s">
        <v>15849</v>
      </c>
      <c r="F7527" s="142" t="s">
        <v>7671</v>
      </c>
      <c r="G7527" s="142" t="s">
        <v>7670</v>
      </c>
      <c r="H7527" s="142" t="s">
        <v>23377</v>
      </c>
      <c r="I7527" s="142">
        <v>86</v>
      </c>
      <c r="J7527" s="142">
        <v>65</v>
      </c>
      <c r="K7527" s="142">
        <v>0</v>
      </c>
      <c r="L7527" s="142">
        <v>0</v>
      </c>
      <c r="M7527" s="142">
        <v>21</v>
      </c>
    </row>
    <row r="7528" spans="1:13" x14ac:dyDescent="0.45">
      <c r="A7528" s="142" t="s">
        <v>13027</v>
      </c>
      <c r="B7528" s="142" t="s">
        <v>14562</v>
      </c>
      <c r="C7528" s="142" t="s">
        <v>15847</v>
      </c>
      <c r="D7528" s="142" t="s">
        <v>15848</v>
      </c>
      <c r="E7528" s="142" t="s">
        <v>15849</v>
      </c>
      <c r="F7528" s="142" t="s">
        <v>7671</v>
      </c>
      <c r="G7528" s="142" t="s">
        <v>7670</v>
      </c>
      <c r="H7528" s="142" t="s">
        <v>23378</v>
      </c>
      <c r="I7528" s="142">
        <v>14</v>
      </c>
      <c r="J7528" s="142">
        <v>0</v>
      </c>
      <c r="K7528" s="142">
        <v>0</v>
      </c>
      <c r="L7528" s="142">
        <v>14</v>
      </c>
      <c r="M7528" s="142">
        <v>0</v>
      </c>
    </row>
    <row r="7529" spans="1:13" x14ac:dyDescent="0.45">
      <c r="A7529" s="142" t="s">
        <v>13243</v>
      </c>
      <c r="B7529" s="142" t="s">
        <v>15560</v>
      </c>
      <c r="C7529" s="142" t="s">
        <v>15847</v>
      </c>
      <c r="D7529" s="142" t="s">
        <v>15848</v>
      </c>
      <c r="E7529" s="142" t="s">
        <v>15849</v>
      </c>
      <c r="F7529" s="142" t="s">
        <v>7671</v>
      </c>
      <c r="G7529" s="142" t="s">
        <v>7670</v>
      </c>
      <c r="H7529" s="142" t="s">
        <v>23379</v>
      </c>
      <c r="I7529" s="142">
        <v>374</v>
      </c>
      <c r="J7529" s="142">
        <v>326</v>
      </c>
      <c r="K7529" s="142">
        <v>0</v>
      </c>
      <c r="L7529" s="142">
        <v>0</v>
      </c>
      <c r="M7529" s="142">
        <v>48</v>
      </c>
    </row>
    <row r="7530" spans="1:13" x14ac:dyDescent="0.45">
      <c r="A7530" s="142" t="s">
        <v>13050</v>
      </c>
      <c r="B7530" s="142" t="s">
        <v>15237</v>
      </c>
      <c r="C7530" s="142" t="s">
        <v>15847</v>
      </c>
      <c r="D7530" s="142" t="s">
        <v>15848</v>
      </c>
      <c r="E7530" s="142" t="s">
        <v>15849</v>
      </c>
      <c r="F7530" s="142" t="s">
        <v>7671</v>
      </c>
      <c r="G7530" s="142" t="s">
        <v>7670</v>
      </c>
      <c r="H7530" s="142" t="s">
        <v>23380</v>
      </c>
      <c r="I7530" s="142">
        <v>1</v>
      </c>
      <c r="J7530" s="142">
        <v>1</v>
      </c>
      <c r="K7530" s="142">
        <v>0</v>
      </c>
      <c r="L7530" s="142">
        <v>0</v>
      </c>
      <c r="M7530" s="142">
        <v>0</v>
      </c>
    </row>
    <row r="7531" spans="1:13" x14ac:dyDescent="0.45">
      <c r="A7531" s="142" t="s">
        <v>14205</v>
      </c>
      <c r="B7531" s="142" t="s">
        <v>14593</v>
      </c>
      <c r="C7531" s="142" t="s">
        <v>15860</v>
      </c>
      <c r="D7531" s="142" t="s">
        <v>15861</v>
      </c>
      <c r="E7531" s="142" t="s">
        <v>15849</v>
      </c>
      <c r="F7531" s="142" t="s">
        <v>7671</v>
      </c>
      <c r="G7531" s="142" t="s">
        <v>7670</v>
      </c>
      <c r="H7531" s="142" t="s">
        <v>23381</v>
      </c>
      <c r="I7531" s="142">
        <v>31</v>
      </c>
      <c r="J7531" s="142">
        <v>0</v>
      </c>
      <c r="K7531" s="142">
        <v>0</v>
      </c>
      <c r="L7531" s="142">
        <v>31</v>
      </c>
      <c r="M7531" s="142">
        <v>0</v>
      </c>
    </row>
    <row r="7532" spans="1:13" x14ac:dyDescent="0.45">
      <c r="A7532" s="142" t="s">
        <v>14206</v>
      </c>
      <c r="B7532" s="142" t="s">
        <v>15356</v>
      </c>
      <c r="C7532" s="142" t="s">
        <v>15860</v>
      </c>
      <c r="D7532" s="142" t="s">
        <v>15861</v>
      </c>
      <c r="E7532" s="142" t="s">
        <v>15849</v>
      </c>
      <c r="F7532" s="142" t="s">
        <v>7671</v>
      </c>
      <c r="G7532" s="142" t="s">
        <v>7670</v>
      </c>
      <c r="H7532" s="142" t="s">
        <v>23382</v>
      </c>
      <c r="I7532" s="142">
        <v>76</v>
      </c>
      <c r="J7532" s="142">
        <v>76</v>
      </c>
      <c r="K7532" s="142">
        <v>0</v>
      </c>
      <c r="L7532" s="142">
        <v>0</v>
      </c>
      <c r="M7532" s="142">
        <v>0</v>
      </c>
    </row>
    <row r="7533" spans="1:13" x14ac:dyDescent="0.45">
      <c r="A7533" s="142" t="s">
        <v>13028</v>
      </c>
      <c r="B7533" s="142" t="s">
        <v>14462</v>
      </c>
      <c r="C7533" s="142" t="s">
        <v>15847</v>
      </c>
      <c r="D7533" s="142" t="s">
        <v>15848</v>
      </c>
      <c r="E7533" s="142" t="s">
        <v>15849</v>
      </c>
      <c r="F7533" s="142" t="s">
        <v>7671</v>
      </c>
      <c r="G7533" s="142" t="s">
        <v>7670</v>
      </c>
      <c r="H7533" s="142" t="s">
        <v>23383</v>
      </c>
      <c r="I7533" s="142">
        <v>26</v>
      </c>
      <c r="J7533" s="142">
        <v>0</v>
      </c>
      <c r="K7533" s="142">
        <v>0</v>
      </c>
      <c r="L7533" s="142">
        <v>0</v>
      </c>
      <c r="M7533" s="142">
        <v>26</v>
      </c>
    </row>
    <row r="7534" spans="1:13" x14ac:dyDescent="0.45">
      <c r="A7534" s="142" t="s">
        <v>13002</v>
      </c>
      <c r="B7534" s="142" t="s">
        <v>15376</v>
      </c>
      <c r="C7534" s="142" t="s">
        <v>15847</v>
      </c>
      <c r="D7534" s="142" t="s">
        <v>15848</v>
      </c>
      <c r="E7534" s="142" t="s">
        <v>15849</v>
      </c>
      <c r="F7534" s="142" t="s">
        <v>7671</v>
      </c>
      <c r="G7534" s="142" t="s">
        <v>7670</v>
      </c>
      <c r="H7534" s="142" t="s">
        <v>23384</v>
      </c>
      <c r="I7534" s="142">
        <v>181</v>
      </c>
      <c r="J7534" s="142">
        <v>148</v>
      </c>
      <c r="K7534" s="142">
        <v>0</v>
      </c>
      <c r="L7534" s="142">
        <v>12</v>
      </c>
      <c r="M7534" s="142">
        <v>21</v>
      </c>
    </row>
    <row r="7535" spans="1:13" x14ac:dyDescent="0.45">
      <c r="A7535" s="142" t="s">
        <v>13003</v>
      </c>
      <c r="B7535" s="142" t="s">
        <v>15245</v>
      </c>
      <c r="C7535" s="142" t="s">
        <v>15847</v>
      </c>
      <c r="D7535" s="142" t="s">
        <v>15848</v>
      </c>
      <c r="E7535" s="142" t="s">
        <v>15849</v>
      </c>
      <c r="F7535" s="142" t="s">
        <v>7671</v>
      </c>
      <c r="G7535" s="142" t="s">
        <v>7670</v>
      </c>
      <c r="H7535" s="142" t="s">
        <v>23385</v>
      </c>
      <c r="I7535" s="142">
        <v>80</v>
      </c>
      <c r="J7535" s="142">
        <v>0</v>
      </c>
      <c r="K7535" s="142">
        <v>0</v>
      </c>
      <c r="L7535" s="142">
        <v>60</v>
      </c>
      <c r="M7535" s="142">
        <v>20</v>
      </c>
    </row>
    <row r="7536" spans="1:13" x14ac:dyDescent="0.45">
      <c r="A7536" s="142" t="s">
        <v>13169</v>
      </c>
      <c r="B7536" s="142" t="s">
        <v>15408</v>
      </c>
      <c r="C7536" s="142" t="s">
        <v>15847</v>
      </c>
      <c r="D7536" s="142" t="s">
        <v>15848</v>
      </c>
      <c r="E7536" s="142" t="s">
        <v>15849</v>
      </c>
      <c r="F7536" s="142" t="s">
        <v>7671</v>
      </c>
      <c r="G7536" s="142" t="s">
        <v>7670</v>
      </c>
      <c r="H7536" s="142" t="s">
        <v>23386</v>
      </c>
      <c r="I7536" s="142">
        <v>38</v>
      </c>
      <c r="J7536" s="142">
        <v>29</v>
      </c>
      <c r="K7536" s="142">
        <v>0</v>
      </c>
      <c r="L7536" s="142">
        <v>0</v>
      </c>
      <c r="M7536" s="142">
        <v>9</v>
      </c>
    </row>
    <row r="7537" spans="1:13" x14ac:dyDescent="0.45">
      <c r="A7537" s="142" t="s">
        <v>13066</v>
      </c>
      <c r="B7537" s="142" t="s">
        <v>14459</v>
      </c>
      <c r="C7537" s="142" t="s">
        <v>15847</v>
      </c>
      <c r="D7537" s="142" t="s">
        <v>15848</v>
      </c>
      <c r="E7537" s="142" t="s">
        <v>15849</v>
      </c>
      <c r="F7537" s="142" t="s">
        <v>7671</v>
      </c>
      <c r="G7537" s="142" t="s">
        <v>7670</v>
      </c>
      <c r="H7537" s="142" t="s">
        <v>23387</v>
      </c>
      <c r="I7537" s="142">
        <v>4</v>
      </c>
      <c r="J7537" s="142">
        <v>0</v>
      </c>
      <c r="K7537" s="142">
        <v>0</v>
      </c>
      <c r="L7537" s="142">
        <v>4</v>
      </c>
      <c r="M7537" s="142">
        <v>0</v>
      </c>
    </row>
    <row r="7538" spans="1:13" x14ac:dyDescent="0.45">
      <c r="A7538" s="142" t="s">
        <v>13051</v>
      </c>
      <c r="B7538" s="142" t="s">
        <v>14509</v>
      </c>
      <c r="C7538" s="142" t="s">
        <v>15860</v>
      </c>
      <c r="D7538" s="142" t="s">
        <v>15861</v>
      </c>
      <c r="E7538" s="142" t="s">
        <v>15849</v>
      </c>
      <c r="F7538" s="142" t="s">
        <v>7671</v>
      </c>
      <c r="G7538" s="142" t="s">
        <v>7670</v>
      </c>
      <c r="H7538" s="142" t="s">
        <v>23388</v>
      </c>
      <c r="I7538" s="142">
        <v>4</v>
      </c>
      <c r="J7538" s="142">
        <v>0</v>
      </c>
      <c r="K7538" s="142">
        <v>0</v>
      </c>
      <c r="L7538" s="142">
        <v>4</v>
      </c>
      <c r="M7538" s="142">
        <v>0</v>
      </c>
    </row>
    <row r="7539" spans="1:13" x14ac:dyDescent="0.45">
      <c r="A7539" s="142" t="s">
        <v>13005</v>
      </c>
      <c r="B7539" s="142" t="s">
        <v>15475</v>
      </c>
      <c r="C7539" s="142" t="s">
        <v>15847</v>
      </c>
      <c r="D7539" s="142" t="s">
        <v>15848</v>
      </c>
      <c r="E7539" s="142" t="s">
        <v>15849</v>
      </c>
      <c r="F7539" s="142" t="s">
        <v>7671</v>
      </c>
      <c r="G7539" s="142" t="s">
        <v>7670</v>
      </c>
      <c r="H7539" s="142" t="s">
        <v>23389</v>
      </c>
      <c r="I7539" s="142">
        <v>148</v>
      </c>
      <c r="J7539" s="142">
        <v>143</v>
      </c>
      <c r="K7539" s="142">
        <v>0</v>
      </c>
      <c r="L7539" s="142">
        <v>0</v>
      </c>
      <c r="M7539" s="142">
        <v>5</v>
      </c>
    </row>
    <row r="7540" spans="1:13" x14ac:dyDescent="0.45">
      <c r="A7540" s="142" t="s">
        <v>13006</v>
      </c>
      <c r="B7540" s="142" t="s">
        <v>15288</v>
      </c>
      <c r="C7540" s="142" t="s">
        <v>15847</v>
      </c>
      <c r="D7540" s="142" t="s">
        <v>15848</v>
      </c>
      <c r="E7540" s="142" t="s">
        <v>15849</v>
      </c>
      <c r="F7540" s="142" t="s">
        <v>7671</v>
      </c>
      <c r="G7540" s="142" t="s">
        <v>7670</v>
      </c>
      <c r="H7540" s="142" t="s">
        <v>23390</v>
      </c>
      <c r="I7540" s="142">
        <v>1</v>
      </c>
      <c r="J7540" s="142">
        <v>0</v>
      </c>
      <c r="K7540" s="142">
        <v>0</v>
      </c>
      <c r="L7540" s="142">
        <v>0</v>
      </c>
      <c r="M7540" s="142">
        <v>1</v>
      </c>
    </row>
    <row r="7541" spans="1:13" x14ac:dyDescent="0.45">
      <c r="A7541" s="142" t="s">
        <v>13007</v>
      </c>
      <c r="B7541" s="142" t="s">
        <v>15262</v>
      </c>
      <c r="C7541" s="142" t="s">
        <v>15847</v>
      </c>
      <c r="D7541" s="142" t="s">
        <v>15848</v>
      </c>
      <c r="E7541" s="142" t="s">
        <v>15849</v>
      </c>
      <c r="F7541" s="142" t="s">
        <v>7671</v>
      </c>
      <c r="G7541" s="142" t="s">
        <v>7670</v>
      </c>
      <c r="H7541" s="142" t="s">
        <v>23391</v>
      </c>
      <c r="I7541" s="142">
        <v>3</v>
      </c>
      <c r="J7541" s="142">
        <v>0</v>
      </c>
      <c r="K7541" s="142">
        <v>0</v>
      </c>
      <c r="L7541" s="142">
        <v>0</v>
      </c>
      <c r="M7541" s="142">
        <v>3</v>
      </c>
    </row>
    <row r="7542" spans="1:13" x14ac:dyDescent="0.45">
      <c r="A7542" s="142" t="s">
        <v>13054</v>
      </c>
      <c r="B7542" s="142" t="s">
        <v>15604</v>
      </c>
      <c r="C7542" s="142" t="s">
        <v>15847</v>
      </c>
      <c r="D7542" s="142" t="s">
        <v>15848</v>
      </c>
      <c r="E7542" s="142" t="s">
        <v>15849</v>
      </c>
      <c r="F7542" s="142" t="s">
        <v>7671</v>
      </c>
      <c r="G7542" s="142" t="s">
        <v>7670</v>
      </c>
      <c r="H7542" s="142" t="s">
        <v>23392</v>
      </c>
      <c r="I7542" s="142">
        <v>1</v>
      </c>
      <c r="J7542" s="142">
        <v>0</v>
      </c>
      <c r="K7542" s="142">
        <v>0</v>
      </c>
      <c r="L7542" s="142">
        <v>0</v>
      </c>
      <c r="M7542" s="142">
        <v>1</v>
      </c>
    </row>
    <row r="7543" spans="1:13" x14ac:dyDescent="0.45">
      <c r="A7543" s="142" t="s">
        <v>13104</v>
      </c>
      <c r="B7543" s="142" t="s">
        <v>14622</v>
      </c>
      <c r="C7543" s="142" t="s">
        <v>15847</v>
      </c>
      <c r="D7543" s="142" t="s">
        <v>15848</v>
      </c>
      <c r="E7543" s="142" t="s">
        <v>15849</v>
      </c>
      <c r="F7543" s="142" t="s">
        <v>7671</v>
      </c>
      <c r="G7543" s="142" t="s">
        <v>7670</v>
      </c>
      <c r="H7543" s="142" t="s">
        <v>23393</v>
      </c>
      <c r="I7543" s="142">
        <v>326</v>
      </c>
      <c r="J7543" s="142">
        <v>243</v>
      </c>
      <c r="K7543" s="142">
        <v>0</v>
      </c>
      <c r="L7543" s="142">
        <v>6</v>
      </c>
      <c r="M7543" s="142">
        <v>77</v>
      </c>
    </row>
    <row r="7544" spans="1:13" x14ac:dyDescent="0.45">
      <c r="A7544" s="142" t="s">
        <v>13033</v>
      </c>
      <c r="B7544" s="142" t="s">
        <v>15276</v>
      </c>
      <c r="C7544" s="142" t="s">
        <v>15847</v>
      </c>
      <c r="D7544" s="142" t="s">
        <v>15848</v>
      </c>
      <c r="E7544" s="142" t="s">
        <v>15849</v>
      </c>
      <c r="F7544" s="142" t="s">
        <v>7671</v>
      </c>
      <c r="G7544" s="142" t="s">
        <v>7670</v>
      </c>
      <c r="H7544" s="142" t="s">
        <v>23394</v>
      </c>
      <c r="I7544" s="142">
        <v>83</v>
      </c>
      <c r="J7544" s="142">
        <v>51</v>
      </c>
      <c r="K7544" s="142">
        <v>0</v>
      </c>
      <c r="L7544" s="142">
        <v>0</v>
      </c>
      <c r="M7544" s="142">
        <v>32</v>
      </c>
    </row>
    <row r="7545" spans="1:13" x14ac:dyDescent="0.45">
      <c r="A7545" s="142" t="s">
        <v>13105</v>
      </c>
      <c r="B7545" s="142" t="s">
        <v>14654</v>
      </c>
      <c r="C7545" s="142" t="s">
        <v>15847</v>
      </c>
      <c r="D7545" s="142" t="s">
        <v>15848</v>
      </c>
      <c r="E7545" s="142" t="s">
        <v>15849</v>
      </c>
      <c r="F7545" s="142" t="s">
        <v>7671</v>
      </c>
      <c r="G7545" s="142" t="s">
        <v>7670</v>
      </c>
      <c r="H7545" s="142" t="s">
        <v>23395</v>
      </c>
      <c r="I7545" s="142">
        <v>43</v>
      </c>
      <c r="J7545" s="142">
        <v>0</v>
      </c>
      <c r="K7545" s="142">
        <v>0</v>
      </c>
      <c r="L7545" s="142">
        <v>0</v>
      </c>
      <c r="M7545" s="142">
        <v>43</v>
      </c>
    </row>
    <row r="7546" spans="1:13" x14ac:dyDescent="0.45">
      <c r="A7546" s="142" t="s">
        <v>13401</v>
      </c>
      <c r="B7546" s="142" t="s">
        <v>14471</v>
      </c>
      <c r="C7546" s="142" t="s">
        <v>15847</v>
      </c>
      <c r="D7546" s="142" t="s">
        <v>15848</v>
      </c>
      <c r="E7546" s="142" t="s">
        <v>15849</v>
      </c>
      <c r="F7546" s="142" t="s">
        <v>7671</v>
      </c>
      <c r="G7546" s="142" t="s">
        <v>7670</v>
      </c>
      <c r="H7546" s="142" t="s">
        <v>23396</v>
      </c>
      <c r="I7546" s="142">
        <v>50</v>
      </c>
      <c r="J7546" s="142">
        <v>41</v>
      </c>
      <c r="K7546" s="142">
        <v>0</v>
      </c>
      <c r="L7546" s="142">
        <v>0</v>
      </c>
      <c r="M7546" s="142">
        <v>9</v>
      </c>
    </row>
    <row r="7547" spans="1:13" x14ac:dyDescent="0.45">
      <c r="A7547" s="142" t="s">
        <v>13039</v>
      </c>
      <c r="B7547" s="142" t="s">
        <v>14647</v>
      </c>
      <c r="C7547" s="142" t="s">
        <v>15847</v>
      </c>
      <c r="D7547" s="142" t="s">
        <v>15848</v>
      </c>
      <c r="E7547" s="142" t="s">
        <v>15849</v>
      </c>
      <c r="F7547" s="142" t="s">
        <v>7671</v>
      </c>
      <c r="G7547" s="142" t="s">
        <v>7670</v>
      </c>
      <c r="H7547" s="142" t="s">
        <v>23397</v>
      </c>
      <c r="I7547" s="142">
        <v>22</v>
      </c>
      <c r="J7547" s="142">
        <v>22</v>
      </c>
      <c r="K7547" s="142">
        <v>0</v>
      </c>
      <c r="L7547" s="142">
        <v>0</v>
      </c>
      <c r="M7547" s="142">
        <v>0</v>
      </c>
    </row>
    <row r="7548" spans="1:13" x14ac:dyDescent="0.45">
      <c r="A7548" s="142" t="s">
        <v>13403</v>
      </c>
      <c r="B7548" s="142" t="s">
        <v>15412</v>
      </c>
      <c r="C7548" s="142" t="s">
        <v>15847</v>
      </c>
      <c r="D7548" s="142" t="s">
        <v>15848</v>
      </c>
      <c r="E7548" s="142" t="s">
        <v>15849</v>
      </c>
      <c r="F7548" s="142" t="s">
        <v>7671</v>
      </c>
      <c r="G7548" s="142" t="s">
        <v>7670</v>
      </c>
      <c r="H7548" s="142" t="s">
        <v>23398</v>
      </c>
      <c r="I7548" s="142">
        <v>6006</v>
      </c>
      <c r="J7548" s="142">
        <v>4763</v>
      </c>
      <c r="K7548" s="142">
        <v>0</v>
      </c>
      <c r="L7548" s="142">
        <v>702</v>
      </c>
      <c r="M7548" s="142">
        <v>541</v>
      </c>
    </row>
    <row r="7549" spans="1:13" x14ac:dyDescent="0.45">
      <c r="A7549" s="142" t="s">
        <v>13058</v>
      </c>
      <c r="B7549" s="142" t="s">
        <v>14584</v>
      </c>
      <c r="C7549" s="142" t="s">
        <v>15847</v>
      </c>
      <c r="D7549" s="142" t="s">
        <v>15848</v>
      </c>
      <c r="E7549" s="142" t="s">
        <v>15849</v>
      </c>
      <c r="F7549" s="142" t="s">
        <v>7671</v>
      </c>
      <c r="G7549" s="142" t="s">
        <v>7670</v>
      </c>
      <c r="H7549" s="142" t="s">
        <v>23399</v>
      </c>
      <c r="I7549" s="142">
        <v>1074</v>
      </c>
      <c r="J7549" s="142">
        <v>728</v>
      </c>
      <c r="K7549" s="142">
        <v>0</v>
      </c>
      <c r="L7549" s="142">
        <v>15</v>
      </c>
      <c r="M7549" s="142">
        <v>331</v>
      </c>
    </row>
    <row r="7550" spans="1:13" x14ac:dyDescent="0.45">
      <c r="A7550" s="142" t="s">
        <v>13041</v>
      </c>
      <c r="B7550" s="142" t="s">
        <v>14441</v>
      </c>
      <c r="C7550" s="142" t="s">
        <v>15847</v>
      </c>
      <c r="D7550" s="142" t="s">
        <v>15848</v>
      </c>
      <c r="E7550" s="142" t="s">
        <v>15849</v>
      </c>
      <c r="F7550" s="142" t="s">
        <v>7671</v>
      </c>
      <c r="G7550" s="142" t="s">
        <v>7670</v>
      </c>
      <c r="H7550" s="142" t="s">
        <v>23400</v>
      </c>
      <c r="I7550" s="142">
        <v>8</v>
      </c>
      <c r="J7550" s="142">
        <v>0</v>
      </c>
      <c r="K7550" s="142">
        <v>0</v>
      </c>
      <c r="L7550" s="142">
        <v>0</v>
      </c>
      <c r="M7550" s="142">
        <v>8</v>
      </c>
    </row>
    <row r="7551" spans="1:13" x14ac:dyDescent="0.45">
      <c r="A7551" s="142" t="s">
        <v>13012</v>
      </c>
      <c r="B7551" s="142" t="s">
        <v>15337</v>
      </c>
      <c r="C7551" s="142" t="s">
        <v>15847</v>
      </c>
      <c r="D7551" s="142" t="s">
        <v>15848</v>
      </c>
      <c r="E7551" s="142" t="s">
        <v>15849</v>
      </c>
      <c r="F7551" s="142" t="s">
        <v>7671</v>
      </c>
      <c r="G7551" s="142" t="s">
        <v>7670</v>
      </c>
      <c r="H7551" s="142" t="s">
        <v>23401</v>
      </c>
      <c r="I7551" s="142">
        <v>115</v>
      </c>
      <c r="J7551" s="142">
        <v>76</v>
      </c>
      <c r="K7551" s="142">
        <v>0</v>
      </c>
      <c r="L7551" s="142">
        <v>20</v>
      </c>
      <c r="M7551" s="142">
        <v>19</v>
      </c>
    </row>
    <row r="7552" spans="1:13" x14ac:dyDescent="0.45">
      <c r="A7552" s="142" t="s">
        <v>13060</v>
      </c>
      <c r="B7552" s="142" t="s">
        <v>14470</v>
      </c>
      <c r="C7552" s="142" t="s">
        <v>15847</v>
      </c>
      <c r="D7552" s="142" t="s">
        <v>15848</v>
      </c>
      <c r="E7552" s="142" t="s">
        <v>15849</v>
      </c>
      <c r="F7552" s="142" t="s">
        <v>7671</v>
      </c>
      <c r="G7552" s="142" t="s">
        <v>7670</v>
      </c>
      <c r="H7552" s="142" t="s">
        <v>23402</v>
      </c>
      <c r="I7552" s="142">
        <v>18</v>
      </c>
      <c r="J7552" s="142">
        <v>0</v>
      </c>
      <c r="K7552" s="142">
        <v>0</v>
      </c>
      <c r="L7552" s="142">
        <v>0</v>
      </c>
      <c r="M7552" s="142">
        <v>18</v>
      </c>
    </row>
    <row r="7553" spans="1:13" x14ac:dyDescent="0.45">
      <c r="A7553" s="142" t="s">
        <v>13404</v>
      </c>
      <c r="B7553" s="142" t="s">
        <v>15333</v>
      </c>
      <c r="C7553" s="142" t="s">
        <v>15860</v>
      </c>
      <c r="D7553" s="142" t="s">
        <v>15861</v>
      </c>
      <c r="E7553" s="142" t="s">
        <v>15849</v>
      </c>
      <c r="F7553" s="142" t="s">
        <v>7671</v>
      </c>
      <c r="G7553" s="142" t="s">
        <v>7670</v>
      </c>
      <c r="H7553" s="142" t="s">
        <v>23403</v>
      </c>
      <c r="I7553" s="142">
        <v>77</v>
      </c>
      <c r="J7553" s="142">
        <v>0</v>
      </c>
      <c r="K7553" s="142">
        <v>0</v>
      </c>
      <c r="L7553" s="142">
        <v>77</v>
      </c>
      <c r="M7553" s="142">
        <v>0</v>
      </c>
    </row>
    <row r="7554" spans="1:13" x14ac:dyDescent="0.45">
      <c r="A7554" s="142" t="s">
        <v>13042</v>
      </c>
      <c r="B7554" s="142" t="s">
        <v>15489</v>
      </c>
      <c r="C7554" s="142" t="s">
        <v>15847</v>
      </c>
      <c r="D7554" s="142" t="s">
        <v>15848</v>
      </c>
      <c r="E7554" s="142" t="s">
        <v>15849</v>
      </c>
      <c r="F7554" s="142" t="s">
        <v>7671</v>
      </c>
      <c r="G7554" s="142" t="s">
        <v>7670</v>
      </c>
      <c r="H7554" s="142" t="s">
        <v>23404</v>
      </c>
      <c r="I7554" s="142">
        <v>40</v>
      </c>
      <c r="J7554" s="142">
        <v>0</v>
      </c>
      <c r="K7554" s="142">
        <v>0</v>
      </c>
      <c r="L7554" s="142">
        <v>30</v>
      </c>
      <c r="M7554" s="142">
        <v>10</v>
      </c>
    </row>
    <row r="7555" spans="1:13" x14ac:dyDescent="0.45">
      <c r="A7555" s="142" t="s">
        <v>13207</v>
      </c>
      <c r="B7555" s="142" t="s">
        <v>15558</v>
      </c>
      <c r="C7555" s="142" t="s">
        <v>15847</v>
      </c>
      <c r="D7555" s="142" t="s">
        <v>15848</v>
      </c>
      <c r="E7555" s="142" t="s">
        <v>15849</v>
      </c>
      <c r="F7555" s="142" t="s">
        <v>7671</v>
      </c>
      <c r="G7555" s="142" t="s">
        <v>7670</v>
      </c>
      <c r="H7555" s="142" t="s">
        <v>23405</v>
      </c>
      <c r="I7555" s="142">
        <v>17</v>
      </c>
      <c r="J7555" s="142">
        <v>12</v>
      </c>
      <c r="K7555" s="142">
        <v>0</v>
      </c>
      <c r="L7555" s="142">
        <v>0</v>
      </c>
      <c r="M7555" s="142">
        <v>5</v>
      </c>
    </row>
    <row r="7556" spans="1:13" x14ac:dyDescent="0.45">
      <c r="A7556" s="142" t="s">
        <v>13072</v>
      </c>
      <c r="B7556" s="142" t="s">
        <v>15530</v>
      </c>
      <c r="C7556" s="142" t="s">
        <v>15847</v>
      </c>
      <c r="D7556" s="142" t="s">
        <v>15848</v>
      </c>
      <c r="E7556" s="142" t="s">
        <v>15849</v>
      </c>
      <c r="F7556" s="142" t="s">
        <v>6288</v>
      </c>
      <c r="G7556" s="142" t="s">
        <v>6287</v>
      </c>
      <c r="H7556" s="142" t="s">
        <v>23406</v>
      </c>
      <c r="I7556" s="142">
        <v>660</v>
      </c>
      <c r="J7556" s="142">
        <v>656</v>
      </c>
      <c r="K7556" s="142">
        <v>0</v>
      </c>
      <c r="L7556" s="142">
        <v>0</v>
      </c>
      <c r="M7556" s="142">
        <v>4</v>
      </c>
    </row>
    <row r="7557" spans="1:13" x14ac:dyDescent="0.45">
      <c r="A7557" s="142" t="s">
        <v>13279</v>
      </c>
      <c r="B7557" s="142" t="s">
        <v>14507</v>
      </c>
      <c r="C7557" s="142" t="s">
        <v>15860</v>
      </c>
      <c r="D7557" s="142" t="s">
        <v>15861</v>
      </c>
      <c r="E7557" s="142" t="s">
        <v>15849</v>
      </c>
      <c r="F7557" s="142" t="s">
        <v>6288</v>
      </c>
      <c r="G7557" s="142" t="s">
        <v>6287</v>
      </c>
      <c r="H7557" s="142" t="s">
        <v>23407</v>
      </c>
      <c r="I7557" s="142">
        <v>35</v>
      </c>
      <c r="J7557" s="142">
        <v>0</v>
      </c>
      <c r="K7557" s="142">
        <v>0</v>
      </c>
      <c r="L7557" s="142">
        <v>35</v>
      </c>
      <c r="M7557" s="142">
        <v>0</v>
      </c>
    </row>
    <row r="7558" spans="1:13" x14ac:dyDescent="0.45">
      <c r="A7558" s="142" t="s">
        <v>13289</v>
      </c>
      <c r="B7558" s="142" t="s">
        <v>14423</v>
      </c>
      <c r="C7558" s="142" t="s">
        <v>15847</v>
      </c>
      <c r="D7558" s="142" t="s">
        <v>15848</v>
      </c>
      <c r="E7558" s="142" t="s">
        <v>15849</v>
      </c>
      <c r="F7558" s="142" t="s">
        <v>6288</v>
      </c>
      <c r="G7558" s="142" t="s">
        <v>6287</v>
      </c>
      <c r="H7558" s="142" t="s">
        <v>23408</v>
      </c>
      <c r="I7558" s="142">
        <v>11</v>
      </c>
      <c r="J7558" s="142">
        <v>11</v>
      </c>
      <c r="K7558" s="142">
        <v>0</v>
      </c>
      <c r="L7558" s="142">
        <v>0</v>
      </c>
      <c r="M7558" s="142">
        <v>0</v>
      </c>
    </row>
    <row r="7559" spans="1:13" x14ac:dyDescent="0.45">
      <c r="A7559" s="142" t="s">
        <v>13273</v>
      </c>
      <c r="B7559" s="142" t="s">
        <v>14465</v>
      </c>
      <c r="C7559" s="142" t="s">
        <v>15860</v>
      </c>
      <c r="D7559" s="142" t="s">
        <v>15861</v>
      </c>
      <c r="E7559" s="142" t="s">
        <v>15849</v>
      </c>
      <c r="F7559" s="142" t="s">
        <v>6288</v>
      </c>
      <c r="G7559" s="142" t="s">
        <v>6287</v>
      </c>
      <c r="H7559" s="142" t="s">
        <v>23409</v>
      </c>
      <c r="I7559" s="142">
        <v>19</v>
      </c>
      <c r="J7559" s="142">
        <v>0</v>
      </c>
      <c r="K7559" s="142">
        <v>0</v>
      </c>
      <c r="L7559" s="142">
        <v>19</v>
      </c>
      <c r="M7559" s="142">
        <v>0</v>
      </c>
    </row>
    <row r="7560" spans="1:13" x14ac:dyDescent="0.45">
      <c r="A7560" s="142" t="s">
        <v>13280</v>
      </c>
      <c r="B7560" s="142" t="s">
        <v>15460</v>
      </c>
      <c r="C7560" s="142" t="s">
        <v>15847</v>
      </c>
      <c r="D7560" s="142" t="s">
        <v>15848</v>
      </c>
      <c r="E7560" s="142" t="s">
        <v>15849</v>
      </c>
      <c r="F7560" s="142" t="s">
        <v>6288</v>
      </c>
      <c r="G7560" s="142" t="s">
        <v>6287</v>
      </c>
      <c r="H7560" s="142" t="s">
        <v>23410</v>
      </c>
      <c r="I7560" s="142">
        <v>76</v>
      </c>
      <c r="J7560" s="142">
        <v>50</v>
      </c>
      <c r="K7560" s="142">
        <v>0</v>
      </c>
      <c r="L7560" s="142">
        <v>0</v>
      </c>
      <c r="M7560" s="142">
        <v>26</v>
      </c>
    </row>
    <row r="7561" spans="1:13" x14ac:dyDescent="0.45">
      <c r="A7561" s="142" t="s">
        <v>13085</v>
      </c>
      <c r="B7561" s="142" t="s">
        <v>14460</v>
      </c>
      <c r="C7561" s="142" t="s">
        <v>15860</v>
      </c>
      <c r="D7561" s="142" t="s">
        <v>15861</v>
      </c>
      <c r="E7561" s="142" t="s">
        <v>15849</v>
      </c>
      <c r="F7561" s="142" t="s">
        <v>6288</v>
      </c>
      <c r="G7561" s="142" t="s">
        <v>6287</v>
      </c>
      <c r="H7561" s="142" t="s">
        <v>23411</v>
      </c>
      <c r="I7561" s="142">
        <v>6</v>
      </c>
      <c r="J7561" s="142">
        <v>0</v>
      </c>
      <c r="K7561" s="142">
        <v>0</v>
      </c>
      <c r="L7561" s="142">
        <v>6</v>
      </c>
      <c r="M7561" s="142">
        <v>0</v>
      </c>
    </row>
    <row r="7562" spans="1:13" x14ac:dyDescent="0.45">
      <c r="A7562" s="142" t="s">
        <v>13924</v>
      </c>
      <c r="B7562" s="142" t="s">
        <v>14555</v>
      </c>
      <c r="C7562" s="142" t="s">
        <v>15860</v>
      </c>
      <c r="D7562" s="142" t="s">
        <v>15861</v>
      </c>
      <c r="E7562" s="142" t="s">
        <v>15849</v>
      </c>
      <c r="F7562" s="142" t="s">
        <v>6288</v>
      </c>
      <c r="G7562" s="142" t="s">
        <v>6287</v>
      </c>
      <c r="H7562" s="142" t="s">
        <v>23412</v>
      </c>
      <c r="I7562" s="142">
        <v>8</v>
      </c>
      <c r="J7562" s="142">
        <v>0</v>
      </c>
      <c r="K7562" s="142">
        <v>0</v>
      </c>
      <c r="L7562" s="142">
        <v>8</v>
      </c>
      <c r="M7562" s="142">
        <v>0</v>
      </c>
    </row>
    <row r="7563" spans="1:13" x14ac:dyDescent="0.45">
      <c r="A7563" s="142" t="s">
        <v>13049</v>
      </c>
      <c r="B7563" s="142" t="s">
        <v>14534</v>
      </c>
      <c r="C7563" s="142" t="s">
        <v>15860</v>
      </c>
      <c r="D7563" s="142" t="s">
        <v>15861</v>
      </c>
      <c r="E7563" s="142" t="s">
        <v>15849</v>
      </c>
      <c r="F7563" s="142" t="s">
        <v>6288</v>
      </c>
      <c r="G7563" s="142" t="s">
        <v>6287</v>
      </c>
      <c r="H7563" s="142" t="s">
        <v>23413</v>
      </c>
      <c r="I7563" s="142">
        <v>1</v>
      </c>
      <c r="J7563" s="142">
        <v>0</v>
      </c>
      <c r="K7563" s="142">
        <v>0</v>
      </c>
      <c r="L7563" s="142">
        <v>1</v>
      </c>
      <c r="M7563" s="142">
        <v>0</v>
      </c>
    </row>
    <row r="7564" spans="1:13" x14ac:dyDescent="0.45">
      <c r="A7564" s="142" t="s">
        <v>13148</v>
      </c>
      <c r="B7564" s="142" t="s">
        <v>15314</v>
      </c>
      <c r="C7564" s="142" t="s">
        <v>15847</v>
      </c>
      <c r="D7564" s="142" t="s">
        <v>15848</v>
      </c>
      <c r="E7564" s="142" t="s">
        <v>15849</v>
      </c>
      <c r="F7564" s="142" t="s">
        <v>6288</v>
      </c>
      <c r="G7564" s="142" t="s">
        <v>6287</v>
      </c>
      <c r="H7564" s="142" t="s">
        <v>23414</v>
      </c>
      <c r="I7564" s="142">
        <v>274</v>
      </c>
      <c r="J7564" s="142">
        <v>134</v>
      </c>
      <c r="K7564" s="142">
        <v>0</v>
      </c>
      <c r="L7564" s="142">
        <v>11</v>
      </c>
      <c r="M7564" s="142">
        <v>129</v>
      </c>
    </row>
    <row r="7565" spans="1:13" x14ac:dyDescent="0.45">
      <c r="A7565" s="142" t="s">
        <v>13001</v>
      </c>
      <c r="B7565" s="142" t="s">
        <v>15506</v>
      </c>
      <c r="C7565" s="142" t="s">
        <v>15847</v>
      </c>
      <c r="D7565" s="142" t="s">
        <v>15848</v>
      </c>
      <c r="E7565" s="142" t="s">
        <v>15849</v>
      </c>
      <c r="F7565" s="142" t="s">
        <v>6288</v>
      </c>
      <c r="G7565" s="142" t="s">
        <v>6287</v>
      </c>
      <c r="H7565" s="142" t="s">
        <v>23415</v>
      </c>
      <c r="I7565" s="142">
        <v>2</v>
      </c>
      <c r="J7565" s="142">
        <v>2</v>
      </c>
      <c r="K7565" s="142">
        <v>0</v>
      </c>
      <c r="L7565" s="142">
        <v>0</v>
      </c>
      <c r="M7565" s="142">
        <v>0</v>
      </c>
    </row>
    <row r="7566" spans="1:13" x14ac:dyDescent="0.45">
      <c r="A7566" s="142" t="s">
        <v>13149</v>
      </c>
      <c r="B7566" s="142" t="s">
        <v>14458</v>
      </c>
      <c r="C7566" s="142" t="s">
        <v>15860</v>
      </c>
      <c r="D7566" s="142" t="s">
        <v>15861</v>
      </c>
      <c r="E7566" s="142" t="s">
        <v>15849</v>
      </c>
      <c r="F7566" s="142" t="s">
        <v>6288</v>
      </c>
      <c r="G7566" s="142" t="s">
        <v>6287</v>
      </c>
      <c r="H7566" s="142" t="s">
        <v>23416</v>
      </c>
      <c r="I7566" s="142">
        <v>8</v>
      </c>
      <c r="J7566" s="142">
        <v>0</v>
      </c>
      <c r="K7566" s="142">
        <v>0</v>
      </c>
      <c r="L7566" s="142">
        <v>8</v>
      </c>
      <c r="M7566" s="142">
        <v>0</v>
      </c>
    </row>
    <row r="7567" spans="1:13" x14ac:dyDescent="0.45">
      <c r="A7567" s="142" t="s">
        <v>13028</v>
      </c>
      <c r="B7567" s="142" t="s">
        <v>14462</v>
      </c>
      <c r="C7567" s="142" t="s">
        <v>15847</v>
      </c>
      <c r="D7567" s="142" t="s">
        <v>15848</v>
      </c>
      <c r="E7567" s="142" t="s">
        <v>15849</v>
      </c>
      <c r="F7567" s="142" t="s">
        <v>6288</v>
      </c>
      <c r="G7567" s="142" t="s">
        <v>6287</v>
      </c>
      <c r="H7567" s="142" t="s">
        <v>23417</v>
      </c>
      <c r="I7567" s="142">
        <v>66</v>
      </c>
      <c r="J7567" s="142">
        <v>0</v>
      </c>
      <c r="K7567" s="142">
        <v>0</v>
      </c>
      <c r="L7567" s="142">
        <v>0</v>
      </c>
      <c r="M7567" s="142">
        <v>66</v>
      </c>
    </row>
    <row r="7568" spans="1:13" x14ac:dyDescent="0.45">
      <c r="A7568" s="142" t="s">
        <v>13160</v>
      </c>
      <c r="B7568" s="142" t="s">
        <v>14525</v>
      </c>
      <c r="C7568" s="142" t="s">
        <v>15847</v>
      </c>
      <c r="D7568" s="142" t="s">
        <v>15848</v>
      </c>
      <c r="E7568" s="142" t="s">
        <v>15849</v>
      </c>
      <c r="F7568" s="142" t="s">
        <v>6288</v>
      </c>
      <c r="G7568" s="142" t="s">
        <v>6287</v>
      </c>
      <c r="H7568" s="142" t="s">
        <v>23418</v>
      </c>
      <c r="I7568" s="142">
        <v>1</v>
      </c>
      <c r="J7568" s="142">
        <v>0</v>
      </c>
      <c r="K7568" s="142">
        <v>0</v>
      </c>
      <c r="L7568" s="142">
        <v>1</v>
      </c>
      <c r="M7568" s="142">
        <v>0</v>
      </c>
    </row>
    <row r="7569" spans="1:13" x14ac:dyDescent="0.45">
      <c r="A7569" s="142" t="s">
        <v>13002</v>
      </c>
      <c r="B7569" s="142" t="s">
        <v>15376</v>
      </c>
      <c r="C7569" s="142" t="s">
        <v>15847</v>
      </c>
      <c r="D7569" s="142" t="s">
        <v>15848</v>
      </c>
      <c r="E7569" s="142" t="s">
        <v>15849</v>
      </c>
      <c r="F7569" s="142" t="s">
        <v>6288</v>
      </c>
      <c r="G7569" s="142" t="s">
        <v>6287</v>
      </c>
      <c r="H7569" s="142" t="s">
        <v>23419</v>
      </c>
      <c r="I7569" s="142">
        <v>9</v>
      </c>
      <c r="J7569" s="142">
        <v>0</v>
      </c>
      <c r="K7569" s="142">
        <v>0</v>
      </c>
      <c r="L7569" s="142">
        <v>9</v>
      </c>
      <c r="M7569" s="142">
        <v>0</v>
      </c>
    </row>
    <row r="7570" spans="1:13" x14ac:dyDescent="0.45">
      <c r="A7570" s="142" t="s">
        <v>13291</v>
      </c>
      <c r="B7570" s="142" t="s">
        <v>15495</v>
      </c>
      <c r="C7570" s="142" t="s">
        <v>15847</v>
      </c>
      <c r="D7570" s="142" t="s">
        <v>15848</v>
      </c>
      <c r="E7570" s="142" t="s">
        <v>15849</v>
      </c>
      <c r="F7570" s="142" t="s">
        <v>6288</v>
      </c>
      <c r="G7570" s="142" t="s">
        <v>6287</v>
      </c>
      <c r="H7570" s="142" t="s">
        <v>23420</v>
      </c>
      <c r="I7570" s="142">
        <v>112</v>
      </c>
      <c r="J7570" s="142">
        <v>74</v>
      </c>
      <c r="K7570" s="142">
        <v>0</v>
      </c>
      <c r="L7570" s="142">
        <v>0</v>
      </c>
      <c r="M7570" s="142">
        <v>38</v>
      </c>
    </row>
    <row r="7571" spans="1:13" x14ac:dyDescent="0.45">
      <c r="A7571" s="142" t="s">
        <v>13516</v>
      </c>
      <c r="B7571" s="142" t="s">
        <v>14461</v>
      </c>
      <c r="C7571" s="142" t="s">
        <v>15860</v>
      </c>
      <c r="D7571" s="142" t="s">
        <v>15861</v>
      </c>
      <c r="E7571" s="142" t="s">
        <v>15849</v>
      </c>
      <c r="F7571" s="142" t="s">
        <v>6288</v>
      </c>
      <c r="G7571" s="142" t="s">
        <v>6287</v>
      </c>
      <c r="H7571" s="142" t="s">
        <v>23421</v>
      </c>
      <c r="I7571" s="142">
        <v>20</v>
      </c>
      <c r="J7571" s="142">
        <v>0</v>
      </c>
      <c r="K7571" s="142">
        <v>0</v>
      </c>
      <c r="L7571" s="142">
        <v>20</v>
      </c>
      <c r="M7571" s="142">
        <v>0</v>
      </c>
    </row>
    <row r="7572" spans="1:13" x14ac:dyDescent="0.45">
      <c r="A7572" s="142" t="s">
        <v>13486</v>
      </c>
      <c r="B7572" s="142" t="s">
        <v>14563</v>
      </c>
      <c r="C7572" s="142" t="s">
        <v>15847</v>
      </c>
      <c r="D7572" s="142" t="s">
        <v>15848</v>
      </c>
      <c r="E7572" s="142" t="s">
        <v>15849</v>
      </c>
      <c r="F7572" s="142" t="s">
        <v>6288</v>
      </c>
      <c r="G7572" s="142" t="s">
        <v>6287</v>
      </c>
      <c r="H7572" s="142" t="s">
        <v>23422</v>
      </c>
      <c r="I7572" s="142">
        <v>10</v>
      </c>
      <c r="J7572" s="142">
        <v>8</v>
      </c>
      <c r="K7572" s="142">
        <v>0</v>
      </c>
      <c r="L7572" s="142">
        <v>0</v>
      </c>
      <c r="M7572" s="142">
        <v>2</v>
      </c>
    </row>
    <row r="7573" spans="1:13" x14ac:dyDescent="0.45">
      <c r="A7573" s="142" t="s">
        <v>13276</v>
      </c>
      <c r="B7573" s="142" t="s">
        <v>15498</v>
      </c>
      <c r="C7573" s="142" t="s">
        <v>15847</v>
      </c>
      <c r="D7573" s="142" t="s">
        <v>15848</v>
      </c>
      <c r="E7573" s="142" t="s">
        <v>15849</v>
      </c>
      <c r="F7573" s="142" t="s">
        <v>6288</v>
      </c>
      <c r="G7573" s="142" t="s">
        <v>6287</v>
      </c>
      <c r="H7573" s="142" t="s">
        <v>23423</v>
      </c>
      <c r="I7573" s="142">
        <v>382</v>
      </c>
      <c r="J7573" s="142">
        <v>196</v>
      </c>
      <c r="K7573" s="142">
        <v>0</v>
      </c>
      <c r="L7573" s="142">
        <v>82</v>
      </c>
      <c r="M7573" s="142">
        <v>104</v>
      </c>
    </row>
    <row r="7574" spans="1:13" x14ac:dyDescent="0.45">
      <c r="A7574" s="142" t="s">
        <v>13032</v>
      </c>
      <c r="B7574" s="142" t="s">
        <v>14532</v>
      </c>
      <c r="C7574" s="142" t="s">
        <v>15860</v>
      </c>
      <c r="D7574" s="142" t="s">
        <v>15861</v>
      </c>
      <c r="E7574" s="142" t="s">
        <v>15849</v>
      </c>
      <c r="F7574" s="142" t="s">
        <v>6288</v>
      </c>
      <c r="G7574" s="142" t="s">
        <v>6287</v>
      </c>
      <c r="H7574" s="142" t="s">
        <v>23424</v>
      </c>
      <c r="I7574" s="142">
        <v>2</v>
      </c>
      <c r="J7574" s="142">
        <v>2</v>
      </c>
      <c r="K7574" s="142">
        <v>0</v>
      </c>
      <c r="L7574" s="142">
        <v>0</v>
      </c>
      <c r="M7574" s="142">
        <v>0</v>
      </c>
    </row>
    <row r="7575" spans="1:13" x14ac:dyDescent="0.45">
      <c r="A7575" s="142" t="s">
        <v>13033</v>
      </c>
      <c r="B7575" s="142" t="s">
        <v>15276</v>
      </c>
      <c r="C7575" s="142" t="s">
        <v>15847</v>
      </c>
      <c r="D7575" s="142" t="s">
        <v>15848</v>
      </c>
      <c r="E7575" s="142" t="s">
        <v>15849</v>
      </c>
      <c r="F7575" s="142" t="s">
        <v>6288</v>
      </c>
      <c r="G7575" s="142" t="s">
        <v>6287</v>
      </c>
      <c r="H7575" s="142" t="s">
        <v>23425</v>
      </c>
      <c r="I7575" s="142">
        <v>93</v>
      </c>
      <c r="J7575" s="142">
        <v>58</v>
      </c>
      <c r="K7575" s="142">
        <v>0</v>
      </c>
      <c r="L7575" s="142">
        <v>2</v>
      </c>
      <c r="M7575" s="142">
        <v>33</v>
      </c>
    </row>
    <row r="7576" spans="1:13" x14ac:dyDescent="0.45">
      <c r="A7576" s="142" t="s">
        <v>13034</v>
      </c>
      <c r="B7576" s="142" t="s">
        <v>15562</v>
      </c>
      <c r="C7576" s="142" t="s">
        <v>15847</v>
      </c>
      <c r="D7576" s="142" t="s">
        <v>15848</v>
      </c>
      <c r="E7576" s="142" t="s">
        <v>15849</v>
      </c>
      <c r="F7576" s="142" t="s">
        <v>6288</v>
      </c>
      <c r="G7576" s="142" t="s">
        <v>6287</v>
      </c>
      <c r="H7576" s="142" t="s">
        <v>23426</v>
      </c>
      <c r="I7576" s="142">
        <v>29</v>
      </c>
      <c r="J7576" s="142">
        <v>0</v>
      </c>
      <c r="K7576" s="142">
        <v>0</v>
      </c>
      <c r="L7576" s="142">
        <v>29</v>
      </c>
      <c r="M7576" s="142">
        <v>0</v>
      </c>
    </row>
    <row r="7577" spans="1:13" x14ac:dyDescent="0.45">
      <c r="A7577" s="142" t="s">
        <v>13036</v>
      </c>
      <c r="B7577" s="142" t="s">
        <v>15567</v>
      </c>
      <c r="C7577" s="142" t="s">
        <v>15847</v>
      </c>
      <c r="D7577" s="142" t="s">
        <v>15848</v>
      </c>
      <c r="E7577" s="142" t="s">
        <v>15849</v>
      </c>
      <c r="F7577" s="142" t="s">
        <v>6288</v>
      </c>
      <c r="G7577" s="142" t="s">
        <v>6287</v>
      </c>
      <c r="H7577" s="142" t="s">
        <v>23427</v>
      </c>
      <c r="I7577" s="142">
        <v>3763</v>
      </c>
      <c r="J7577" s="142">
        <v>2776</v>
      </c>
      <c r="K7577" s="142">
        <v>0</v>
      </c>
      <c r="L7577" s="142">
        <v>919</v>
      </c>
      <c r="M7577" s="142">
        <v>68</v>
      </c>
    </row>
    <row r="7578" spans="1:13" x14ac:dyDescent="0.45">
      <c r="A7578" s="142" t="s">
        <v>13277</v>
      </c>
      <c r="B7578" s="142" t="s">
        <v>14454</v>
      </c>
      <c r="C7578" s="142" t="s">
        <v>15847</v>
      </c>
      <c r="D7578" s="142" t="s">
        <v>15848</v>
      </c>
      <c r="E7578" s="142" t="s">
        <v>15849</v>
      </c>
      <c r="F7578" s="142" t="s">
        <v>6288</v>
      </c>
      <c r="G7578" s="142" t="s">
        <v>6287</v>
      </c>
      <c r="H7578" s="142" t="s">
        <v>23428</v>
      </c>
      <c r="I7578" s="142">
        <v>4</v>
      </c>
      <c r="J7578" s="142">
        <v>0</v>
      </c>
      <c r="K7578" s="142">
        <v>0</v>
      </c>
      <c r="L7578" s="142">
        <v>4</v>
      </c>
      <c r="M7578" s="142">
        <v>0</v>
      </c>
    </row>
    <row r="7579" spans="1:13" x14ac:dyDescent="0.45">
      <c r="A7579" s="142" t="s">
        <v>13038</v>
      </c>
      <c r="B7579" s="142" t="s">
        <v>14646</v>
      </c>
      <c r="C7579" s="142" t="s">
        <v>15847</v>
      </c>
      <c r="D7579" s="142" t="s">
        <v>15848</v>
      </c>
      <c r="E7579" s="142" t="s">
        <v>15849</v>
      </c>
      <c r="F7579" s="142" t="s">
        <v>6288</v>
      </c>
      <c r="G7579" s="142" t="s">
        <v>6287</v>
      </c>
      <c r="H7579" s="142" t="s">
        <v>23429</v>
      </c>
      <c r="I7579" s="142">
        <v>6</v>
      </c>
      <c r="J7579" s="142">
        <v>0</v>
      </c>
      <c r="K7579" s="142">
        <v>0</v>
      </c>
      <c r="L7579" s="142">
        <v>0</v>
      </c>
      <c r="M7579" s="142">
        <v>6</v>
      </c>
    </row>
    <row r="7580" spans="1:13" x14ac:dyDescent="0.45">
      <c r="A7580" s="142" t="s">
        <v>13091</v>
      </c>
      <c r="B7580" s="142" t="s">
        <v>14473</v>
      </c>
      <c r="C7580" s="142" t="s">
        <v>15847</v>
      </c>
      <c r="D7580" s="142" t="s">
        <v>15848</v>
      </c>
      <c r="E7580" s="142" t="s">
        <v>15849</v>
      </c>
      <c r="F7580" s="142" t="s">
        <v>6288</v>
      </c>
      <c r="G7580" s="142" t="s">
        <v>6287</v>
      </c>
      <c r="H7580" s="142" t="s">
        <v>23430</v>
      </c>
      <c r="I7580" s="142">
        <v>5</v>
      </c>
      <c r="J7580" s="142">
        <v>0</v>
      </c>
      <c r="K7580" s="142">
        <v>0</v>
      </c>
      <c r="L7580" s="142">
        <v>5</v>
      </c>
      <c r="M7580" s="142">
        <v>0</v>
      </c>
    </row>
    <row r="7581" spans="1:13" x14ac:dyDescent="0.45">
      <c r="A7581" s="142" t="s">
        <v>13154</v>
      </c>
      <c r="B7581" s="142" t="s">
        <v>15415</v>
      </c>
      <c r="C7581" s="142" t="s">
        <v>15847</v>
      </c>
      <c r="D7581" s="142" t="s">
        <v>15848</v>
      </c>
      <c r="E7581" s="142" t="s">
        <v>15849</v>
      </c>
      <c r="F7581" s="142" t="s">
        <v>6288</v>
      </c>
      <c r="G7581" s="142" t="s">
        <v>6287</v>
      </c>
      <c r="H7581" s="142" t="s">
        <v>23431</v>
      </c>
      <c r="I7581" s="142">
        <v>152</v>
      </c>
      <c r="J7581" s="142">
        <v>115</v>
      </c>
      <c r="K7581" s="142">
        <v>0</v>
      </c>
      <c r="L7581" s="142">
        <v>0</v>
      </c>
      <c r="M7581" s="142">
        <v>37</v>
      </c>
    </row>
    <row r="7582" spans="1:13" x14ac:dyDescent="0.45">
      <c r="A7582" s="142" t="s">
        <v>13286</v>
      </c>
      <c r="B7582" s="142" t="s">
        <v>15342</v>
      </c>
      <c r="C7582" s="142" t="s">
        <v>15847</v>
      </c>
      <c r="D7582" s="142" t="s">
        <v>15848</v>
      </c>
      <c r="E7582" s="142" t="s">
        <v>15849</v>
      </c>
      <c r="F7582" s="142" t="s">
        <v>6288</v>
      </c>
      <c r="G7582" s="142" t="s">
        <v>6287</v>
      </c>
      <c r="H7582" s="142" t="s">
        <v>23432</v>
      </c>
      <c r="I7582" s="142">
        <v>342</v>
      </c>
      <c r="J7582" s="142">
        <v>211</v>
      </c>
      <c r="K7582" s="142">
        <v>0</v>
      </c>
      <c r="L7582" s="142">
        <v>127</v>
      </c>
      <c r="M7582" s="142">
        <v>4</v>
      </c>
    </row>
    <row r="7583" spans="1:13" x14ac:dyDescent="0.45">
      <c r="A7583" s="142" t="s">
        <v>13023</v>
      </c>
      <c r="B7583" s="142" t="s">
        <v>15571</v>
      </c>
      <c r="C7583" s="142" t="s">
        <v>15847</v>
      </c>
      <c r="D7583" s="142" t="s">
        <v>15848</v>
      </c>
      <c r="E7583" s="142" t="s">
        <v>15849</v>
      </c>
      <c r="F7583" s="142" t="s">
        <v>7955</v>
      </c>
      <c r="G7583" s="142" t="s">
        <v>7954</v>
      </c>
      <c r="H7583" s="142" t="s">
        <v>23433</v>
      </c>
      <c r="I7583" s="142">
        <v>29</v>
      </c>
      <c r="J7583" s="142">
        <v>0</v>
      </c>
      <c r="K7583" s="142">
        <v>0</v>
      </c>
      <c r="L7583" s="142">
        <v>29</v>
      </c>
      <c r="M7583" s="142">
        <v>0</v>
      </c>
    </row>
    <row r="7584" spans="1:13" x14ac:dyDescent="0.45">
      <c r="A7584" s="142" t="s">
        <v>13446</v>
      </c>
      <c r="B7584" s="142" t="s">
        <v>15430</v>
      </c>
      <c r="C7584" s="142" t="s">
        <v>15847</v>
      </c>
      <c r="D7584" s="142" t="s">
        <v>15848</v>
      </c>
      <c r="E7584" s="142" t="s">
        <v>15849</v>
      </c>
      <c r="F7584" s="142" t="s">
        <v>7955</v>
      </c>
      <c r="G7584" s="142" t="s">
        <v>7954</v>
      </c>
      <c r="H7584" s="142" t="s">
        <v>23434</v>
      </c>
      <c r="I7584" s="142">
        <v>9</v>
      </c>
      <c r="J7584" s="142">
        <v>4</v>
      </c>
      <c r="K7584" s="142">
        <v>0</v>
      </c>
      <c r="L7584" s="142">
        <v>0</v>
      </c>
      <c r="M7584" s="142">
        <v>5</v>
      </c>
    </row>
    <row r="7585" spans="1:13" x14ac:dyDescent="0.45">
      <c r="A7585" s="142" t="s">
        <v>13082</v>
      </c>
      <c r="B7585" s="142" t="s">
        <v>14478</v>
      </c>
      <c r="C7585" s="142" t="s">
        <v>15860</v>
      </c>
      <c r="D7585" s="142" t="s">
        <v>15861</v>
      </c>
      <c r="E7585" s="142" t="s">
        <v>15849</v>
      </c>
      <c r="F7585" s="142" t="s">
        <v>7955</v>
      </c>
      <c r="G7585" s="142" t="s">
        <v>7954</v>
      </c>
      <c r="H7585" s="142" t="s">
        <v>23435</v>
      </c>
      <c r="I7585" s="142">
        <v>3</v>
      </c>
      <c r="J7585" s="142">
        <v>0</v>
      </c>
      <c r="K7585" s="142">
        <v>0</v>
      </c>
      <c r="L7585" s="142">
        <v>3</v>
      </c>
      <c r="M7585" s="142">
        <v>0</v>
      </c>
    </row>
    <row r="7586" spans="1:13" x14ac:dyDescent="0.45">
      <c r="A7586" s="142" t="s">
        <v>13065</v>
      </c>
      <c r="B7586" s="142" t="s">
        <v>14497</v>
      </c>
      <c r="C7586" s="142" t="s">
        <v>15847</v>
      </c>
      <c r="D7586" s="142" t="s">
        <v>15848</v>
      </c>
      <c r="E7586" s="142" t="s">
        <v>15849</v>
      </c>
      <c r="F7586" s="142" t="s">
        <v>7955</v>
      </c>
      <c r="G7586" s="142" t="s">
        <v>7954</v>
      </c>
      <c r="H7586" s="142" t="s">
        <v>23436</v>
      </c>
      <c r="I7586" s="142">
        <v>4</v>
      </c>
      <c r="J7586" s="142">
        <v>0</v>
      </c>
      <c r="K7586" s="142">
        <v>0</v>
      </c>
      <c r="L7586" s="142">
        <v>4</v>
      </c>
      <c r="M7586" s="142">
        <v>0</v>
      </c>
    </row>
    <row r="7587" spans="1:13" x14ac:dyDescent="0.45">
      <c r="A7587" s="142" t="s">
        <v>13235</v>
      </c>
      <c r="B7587" s="142" t="s">
        <v>14573</v>
      </c>
      <c r="C7587" s="142" t="s">
        <v>15847</v>
      </c>
      <c r="D7587" s="142" t="s">
        <v>15848</v>
      </c>
      <c r="E7587" s="142" t="s">
        <v>15849</v>
      </c>
      <c r="F7587" s="142" t="s">
        <v>7955</v>
      </c>
      <c r="G7587" s="142" t="s">
        <v>7954</v>
      </c>
      <c r="H7587" s="142" t="s">
        <v>23437</v>
      </c>
      <c r="I7587" s="142">
        <v>819</v>
      </c>
      <c r="J7587" s="142">
        <v>679</v>
      </c>
      <c r="K7587" s="142">
        <v>0</v>
      </c>
      <c r="L7587" s="142">
        <v>0</v>
      </c>
      <c r="M7587" s="142">
        <v>140</v>
      </c>
    </row>
    <row r="7588" spans="1:13" x14ac:dyDescent="0.45">
      <c r="A7588" s="142" t="s">
        <v>13243</v>
      </c>
      <c r="B7588" s="142" t="s">
        <v>15560</v>
      </c>
      <c r="C7588" s="142" t="s">
        <v>15847</v>
      </c>
      <c r="D7588" s="142" t="s">
        <v>15848</v>
      </c>
      <c r="E7588" s="142" t="s">
        <v>15849</v>
      </c>
      <c r="F7588" s="142" t="s">
        <v>7955</v>
      </c>
      <c r="G7588" s="142" t="s">
        <v>7954</v>
      </c>
      <c r="H7588" s="142" t="s">
        <v>23438</v>
      </c>
      <c r="I7588" s="142">
        <v>116</v>
      </c>
      <c r="J7588" s="142">
        <v>84</v>
      </c>
      <c r="K7588" s="142">
        <v>0</v>
      </c>
      <c r="L7588" s="142">
        <v>22</v>
      </c>
      <c r="M7588" s="142">
        <v>10</v>
      </c>
    </row>
    <row r="7589" spans="1:13" x14ac:dyDescent="0.45">
      <c r="A7589" s="142" t="s">
        <v>13028</v>
      </c>
      <c r="B7589" s="142" t="s">
        <v>14462</v>
      </c>
      <c r="C7589" s="142" t="s">
        <v>15847</v>
      </c>
      <c r="D7589" s="142" t="s">
        <v>15848</v>
      </c>
      <c r="E7589" s="142" t="s">
        <v>15849</v>
      </c>
      <c r="F7589" s="142" t="s">
        <v>7955</v>
      </c>
      <c r="G7589" s="142" t="s">
        <v>7954</v>
      </c>
      <c r="H7589" s="142" t="s">
        <v>23439</v>
      </c>
      <c r="I7589" s="142">
        <v>27</v>
      </c>
      <c r="J7589" s="142">
        <v>0</v>
      </c>
      <c r="K7589" s="142">
        <v>0</v>
      </c>
      <c r="L7589" s="142">
        <v>0</v>
      </c>
      <c r="M7589" s="142">
        <v>27</v>
      </c>
    </row>
    <row r="7590" spans="1:13" x14ac:dyDescent="0.45">
      <c r="A7590" s="142" t="s">
        <v>13448</v>
      </c>
      <c r="B7590" s="142" t="s">
        <v>15574</v>
      </c>
      <c r="C7590" s="142" t="s">
        <v>15847</v>
      </c>
      <c r="D7590" s="142" t="s">
        <v>15848</v>
      </c>
      <c r="E7590" s="142" t="s">
        <v>15849</v>
      </c>
      <c r="F7590" s="142" t="s">
        <v>7955</v>
      </c>
      <c r="G7590" s="142" t="s">
        <v>7954</v>
      </c>
      <c r="H7590" s="142" t="s">
        <v>23440</v>
      </c>
      <c r="I7590" s="142">
        <v>5707</v>
      </c>
      <c r="J7590" s="142">
        <v>4686</v>
      </c>
      <c r="K7590" s="142">
        <v>0</v>
      </c>
      <c r="L7590" s="142">
        <v>708</v>
      </c>
      <c r="M7590" s="142">
        <v>313</v>
      </c>
    </row>
    <row r="7591" spans="1:13" x14ac:dyDescent="0.45">
      <c r="A7591" s="142" t="s">
        <v>13066</v>
      </c>
      <c r="B7591" s="142" t="s">
        <v>14459</v>
      </c>
      <c r="C7591" s="142" t="s">
        <v>15847</v>
      </c>
      <c r="D7591" s="142" t="s">
        <v>15848</v>
      </c>
      <c r="E7591" s="142" t="s">
        <v>15849</v>
      </c>
      <c r="F7591" s="142" t="s">
        <v>7955</v>
      </c>
      <c r="G7591" s="142" t="s">
        <v>7954</v>
      </c>
      <c r="H7591" s="142" t="s">
        <v>23441</v>
      </c>
      <c r="I7591" s="142">
        <v>9</v>
      </c>
      <c r="J7591" s="142">
        <v>0</v>
      </c>
      <c r="K7591" s="142">
        <v>0</v>
      </c>
      <c r="L7591" s="142">
        <v>9</v>
      </c>
      <c r="M7591" s="142">
        <v>0</v>
      </c>
    </row>
    <row r="7592" spans="1:13" x14ac:dyDescent="0.45">
      <c r="A7592" s="142" t="s">
        <v>13248</v>
      </c>
      <c r="B7592" s="142" t="s">
        <v>15463</v>
      </c>
      <c r="C7592" s="142" t="s">
        <v>15847</v>
      </c>
      <c r="D7592" s="142" t="s">
        <v>15848</v>
      </c>
      <c r="E7592" s="142" t="s">
        <v>15849</v>
      </c>
      <c r="F7592" s="142" t="s">
        <v>7955</v>
      </c>
      <c r="G7592" s="142" t="s">
        <v>7954</v>
      </c>
      <c r="H7592" s="142" t="s">
        <v>23442</v>
      </c>
      <c r="I7592" s="142">
        <v>325</v>
      </c>
      <c r="J7592" s="142">
        <v>248</v>
      </c>
      <c r="K7592" s="142">
        <v>0</v>
      </c>
      <c r="L7592" s="142">
        <v>54</v>
      </c>
      <c r="M7592" s="142">
        <v>23</v>
      </c>
    </row>
    <row r="7593" spans="1:13" x14ac:dyDescent="0.45">
      <c r="A7593" s="142" t="s">
        <v>13038</v>
      </c>
      <c r="B7593" s="142" t="s">
        <v>14646</v>
      </c>
      <c r="C7593" s="142" t="s">
        <v>15847</v>
      </c>
      <c r="D7593" s="142" t="s">
        <v>15848</v>
      </c>
      <c r="E7593" s="142" t="s">
        <v>15849</v>
      </c>
      <c r="F7593" s="142" t="s">
        <v>7955</v>
      </c>
      <c r="G7593" s="142" t="s">
        <v>7954</v>
      </c>
      <c r="H7593" s="142" t="s">
        <v>23443</v>
      </c>
      <c r="I7593" s="142">
        <v>54</v>
      </c>
      <c r="J7593" s="142">
        <v>6</v>
      </c>
      <c r="K7593" s="142">
        <v>0</v>
      </c>
      <c r="L7593" s="142">
        <v>0</v>
      </c>
      <c r="M7593" s="142">
        <v>48</v>
      </c>
    </row>
    <row r="7594" spans="1:13" x14ac:dyDescent="0.45">
      <c r="A7594" s="142" t="s">
        <v>13039</v>
      </c>
      <c r="B7594" s="142" t="s">
        <v>14647</v>
      </c>
      <c r="C7594" s="142" t="s">
        <v>15847</v>
      </c>
      <c r="D7594" s="142" t="s">
        <v>15848</v>
      </c>
      <c r="E7594" s="142" t="s">
        <v>15849</v>
      </c>
      <c r="F7594" s="142" t="s">
        <v>7955</v>
      </c>
      <c r="G7594" s="142" t="s">
        <v>7954</v>
      </c>
      <c r="H7594" s="142" t="s">
        <v>23444</v>
      </c>
      <c r="I7594" s="142">
        <v>67</v>
      </c>
      <c r="J7594" s="142">
        <v>67</v>
      </c>
      <c r="K7594" s="142">
        <v>0</v>
      </c>
      <c r="L7594" s="142">
        <v>0</v>
      </c>
      <c r="M7594" s="142">
        <v>0</v>
      </c>
    </row>
    <row r="7595" spans="1:13" x14ac:dyDescent="0.45">
      <c r="A7595" s="142" t="s">
        <v>13009</v>
      </c>
      <c r="B7595" s="142" t="s">
        <v>15256</v>
      </c>
      <c r="C7595" s="142" t="s">
        <v>15847</v>
      </c>
      <c r="D7595" s="142" t="s">
        <v>15848</v>
      </c>
      <c r="E7595" s="142" t="s">
        <v>15849</v>
      </c>
      <c r="F7595" s="142" t="s">
        <v>7955</v>
      </c>
      <c r="G7595" s="142" t="s">
        <v>7954</v>
      </c>
      <c r="H7595" s="142" t="s">
        <v>23445</v>
      </c>
      <c r="I7595" s="142">
        <v>53</v>
      </c>
      <c r="J7595" s="142">
        <v>53</v>
      </c>
      <c r="K7595" s="142">
        <v>0</v>
      </c>
      <c r="L7595" s="142">
        <v>0</v>
      </c>
      <c r="M7595" s="142">
        <v>0</v>
      </c>
    </row>
    <row r="7596" spans="1:13" x14ac:dyDescent="0.45">
      <c r="A7596" s="142" t="s">
        <v>13041</v>
      </c>
      <c r="B7596" s="142" t="s">
        <v>14441</v>
      </c>
      <c r="C7596" s="142" t="s">
        <v>15847</v>
      </c>
      <c r="D7596" s="142" t="s">
        <v>15848</v>
      </c>
      <c r="E7596" s="142" t="s">
        <v>15849</v>
      </c>
      <c r="F7596" s="142" t="s">
        <v>7955</v>
      </c>
      <c r="G7596" s="142" t="s">
        <v>7954</v>
      </c>
      <c r="H7596" s="142" t="s">
        <v>23446</v>
      </c>
      <c r="I7596" s="142">
        <v>33</v>
      </c>
      <c r="J7596" s="142">
        <v>0</v>
      </c>
      <c r="K7596" s="142">
        <v>0</v>
      </c>
      <c r="L7596" s="142">
        <v>0</v>
      </c>
      <c r="M7596" s="142">
        <v>33</v>
      </c>
    </row>
    <row r="7597" spans="1:13" x14ac:dyDescent="0.45">
      <c r="A7597" s="142" t="s">
        <v>13012</v>
      </c>
      <c r="B7597" s="142" t="s">
        <v>15337</v>
      </c>
      <c r="C7597" s="142" t="s">
        <v>15847</v>
      </c>
      <c r="D7597" s="142" t="s">
        <v>15848</v>
      </c>
      <c r="E7597" s="142" t="s">
        <v>15849</v>
      </c>
      <c r="F7597" s="142" t="s">
        <v>7955</v>
      </c>
      <c r="G7597" s="142" t="s">
        <v>7954</v>
      </c>
      <c r="H7597" s="142" t="s">
        <v>23447</v>
      </c>
      <c r="I7597" s="142">
        <v>29</v>
      </c>
      <c r="J7597" s="142">
        <v>14</v>
      </c>
      <c r="K7597" s="142">
        <v>0</v>
      </c>
      <c r="L7597" s="142">
        <v>0</v>
      </c>
      <c r="M7597" s="142">
        <v>15</v>
      </c>
    </row>
    <row r="7598" spans="1:13" x14ac:dyDescent="0.45">
      <c r="A7598" s="142" t="s">
        <v>13451</v>
      </c>
      <c r="B7598" s="142" t="s">
        <v>15582</v>
      </c>
      <c r="C7598" s="142" t="s">
        <v>15847</v>
      </c>
      <c r="D7598" s="142" t="s">
        <v>15848</v>
      </c>
      <c r="E7598" s="142" t="s">
        <v>15849</v>
      </c>
      <c r="F7598" s="142" t="s">
        <v>7955</v>
      </c>
      <c r="G7598" s="142" t="s">
        <v>7954</v>
      </c>
      <c r="H7598" s="142" t="s">
        <v>23448</v>
      </c>
      <c r="I7598" s="142">
        <v>141</v>
      </c>
      <c r="J7598" s="142">
        <v>82</v>
      </c>
      <c r="K7598" s="142">
        <v>0</v>
      </c>
      <c r="L7598" s="142">
        <v>52</v>
      </c>
      <c r="M7598" s="142">
        <v>7</v>
      </c>
    </row>
    <row r="7599" spans="1:13" x14ac:dyDescent="0.45">
      <c r="A7599" s="142" t="s">
        <v>13267</v>
      </c>
      <c r="B7599" s="142" t="s">
        <v>15451</v>
      </c>
      <c r="C7599" s="142" t="s">
        <v>15847</v>
      </c>
      <c r="D7599" s="142" t="s">
        <v>15848</v>
      </c>
      <c r="E7599" s="142" t="s">
        <v>15849</v>
      </c>
      <c r="F7599" s="142" t="s">
        <v>7955</v>
      </c>
      <c r="G7599" s="142" t="s">
        <v>7954</v>
      </c>
      <c r="H7599" s="142" t="s">
        <v>23449</v>
      </c>
      <c r="I7599" s="142">
        <v>155</v>
      </c>
      <c r="J7599" s="142">
        <v>74</v>
      </c>
      <c r="K7599" s="142">
        <v>0</v>
      </c>
      <c r="L7599" s="142">
        <v>0</v>
      </c>
      <c r="M7599" s="142">
        <v>81</v>
      </c>
    </row>
    <row r="7600" spans="1:13" x14ac:dyDescent="0.45">
      <c r="A7600" s="142" t="s">
        <v>13016</v>
      </c>
      <c r="B7600" s="142" t="s">
        <v>14535</v>
      </c>
      <c r="C7600" s="142" t="s">
        <v>15860</v>
      </c>
      <c r="D7600" s="142" t="s">
        <v>15861</v>
      </c>
      <c r="E7600" s="142" t="s">
        <v>15849</v>
      </c>
      <c r="F7600" s="142" t="s">
        <v>7955</v>
      </c>
      <c r="G7600" s="142" t="s">
        <v>7954</v>
      </c>
      <c r="H7600" s="142" t="s">
        <v>23450</v>
      </c>
      <c r="I7600" s="142">
        <v>11</v>
      </c>
      <c r="J7600" s="142">
        <v>0</v>
      </c>
      <c r="K7600" s="142">
        <v>0</v>
      </c>
      <c r="L7600" s="142">
        <v>11</v>
      </c>
      <c r="M7600" s="142">
        <v>0</v>
      </c>
    </row>
    <row r="7601" spans="1:13" x14ac:dyDescent="0.45">
      <c r="A7601" s="142" t="s">
        <v>13072</v>
      </c>
      <c r="B7601" s="142" t="s">
        <v>15530</v>
      </c>
      <c r="C7601" s="142" t="s">
        <v>15847</v>
      </c>
      <c r="D7601" s="142" t="s">
        <v>15848</v>
      </c>
      <c r="E7601" s="142" t="s">
        <v>15849</v>
      </c>
      <c r="F7601" s="142" t="s">
        <v>10561</v>
      </c>
      <c r="G7601" s="142" t="s">
        <v>10560</v>
      </c>
      <c r="H7601" s="142" t="s">
        <v>23451</v>
      </c>
      <c r="I7601" s="142">
        <v>7</v>
      </c>
      <c r="J7601" s="142">
        <v>7</v>
      </c>
      <c r="K7601" s="142">
        <v>0</v>
      </c>
      <c r="L7601" s="142">
        <v>0</v>
      </c>
      <c r="M7601" s="142">
        <v>0</v>
      </c>
    </row>
    <row r="7602" spans="1:13" x14ac:dyDescent="0.45">
      <c r="A7602" s="142" t="s">
        <v>13023</v>
      </c>
      <c r="B7602" s="142" t="s">
        <v>15571</v>
      </c>
      <c r="C7602" s="142" t="s">
        <v>15847</v>
      </c>
      <c r="D7602" s="142" t="s">
        <v>15848</v>
      </c>
      <c r="E7602" s="142" t="s">
        <v>15849</v>
      </c>
      <c r="F7602" s="142" t="s">
        <v>10561</v>
      </c>
      <c r="G7602" s="142" t="s">
        <v>10560</v>
      </c>
      <c r="H7602" s="142" t="s">
        <v>23452</v>
      </c>
      <c r="I7602" s="142">
        <v>294</v>
      </c>
      <c r="J7602" s="142">
        <v>0</v>
      </c>
      <c r="K7602" s="142">
        <v>0</v>
      </c>
      <c r="L7602" s="142">
        <v>263</v>
      </c>
      <c r="M7602" s="142">
        <v>31</v>
      </c>
    </row>
    <row r="7603" spans="1:13" x14ac:dyDescent="0.45">
      <c r="A7603" s="142" t="s">
        <v>13547</v>
      </c>
      <c r="B7603" s="142" t="s">
        <v>14613</v>
      </c>
      <c r="C7603" s="142" t="s">
        <v>15847</v>
      </c>
      <c r="D7603" s="142" t="s">
        <v>15848</v>
      </c>
      <c r="E7603" s="142" t="s">
        <v>15849</v>
      </c>
      <c r="F7603" s="142" t="s">
        <v>10561</v>
      </c>
      <c r="G7603" s="142" t="s">
        <v>10560</v>
      </c>
      <c r="H7603" s="142" t="s">
        <v>23453</v>
      </c>
      <c r="I7603" s="142">
        <v>287</v>
      </c>
      <c r="J7603" s="142">
        <v>117</v>
      </c>
      <c r="K7603" s="142">
        <v>0</v>
      </c>
      <c r="L7603" s="142">
        <v>95</v>
      </c>
      <c r="M7603" s="142">
        <v>75</v>
      </c>
    </row>
    <row r="7604" spans="1:13" x14ac:dyDescent="0.45">
      <c r="A7604" s="142" t="s">
        <v>14078</v>
      </c>
      <c r="B7604" s="142" t="s">
        <v>15096</v>
      </c>
      <c r="C7604" s="142" t="s">
        <v>15860</v>
      </c>
      <c r="D7604" s="142" t="s">
        <v>15861</v>
      </c>
      <c r="E7604" s="142" t="s">
        <v>15849</v>
      </c>
      <c r="F7604" s="142" t="s">
        <v>10561</v>
      </c>
      <c r="G7604" s="142" t="s">
        <v>10560</v>
      </c>
      <c r="H7604" s="142" t="s">
        <v>23454</v>
      </c>
      <c r="I7604" s="142">
        <v>29</v>
      </c>
      <c r="J7604" s="142">
        <v>29</v>
      </c>
      <c r="K7604" s="142">
        <v>0</v>
      </c>
      <c r="L7604" s="142">
        <v>0</v>
      </c>
      <c r="M7604" s="142">
        <v>0</v>
      </c>
    </row>
    <row r="7605" spans="1:13" x14ac:dyDescent="0.45">
      <c r="A7605" s="142" t="s">
        <v>13119</v>
      </c>
      <c r="B7605" s="142" t="s">
        <v>14451</v>
      </c>
      <c r="C7605" s="142" t="s">
        <v>15860</v>
      </c>
      <c r="D7605" s="142" t="s">
        <v>15861</v>
      </c>
      <c r="E7605" s="142" t="s">
        <v>15849</v>
      </c>
      <c r="F7605" s="142" t="s">
        <v>10561</v>
      </c>
      <c r="G7605" s="142" t="s">
        <v>10560</v>
      </c>
      <c r="H7605" s="142" t="s">
        <v>23455</v>
      </c>
      <c r="I7605" s="142">
        <v>9</v>
      </c>
      <c r="J7605" s="142">
        <v>0</v>
      </c>
      <c r="K7605" s="142">
        <v>0</v>
      </c>
      <c r="L7605" s="142">
        <v>9</v>
      </c>
      <c r="M7605" s="142">
        <v>0</v>
      </c>
    </row>
    <row r="7606" spans="1:13" x14ac:dyDescent="0.45">
      <c r="A7606" s="142" t="s">
        <v>13551</v>
      </c>
      <c r="B7606" s="142" t="s">
        <v>14669</v>
      </c>
      <c r="C7606" s="142" t="s">
        <v>15847</v>
      </c>
      <c r="D7606" s="142" t="s">
        <v>15848</v>
      </c>
      <c r="E7606" s="142" t="s">
        <v>15849</v>
      </c>
      <c r="F7606" s="142" t="s">
        <v>10561</v>
      </c>
      <c r="G7606" s="142" t="s">
        <v>10560</v>
      </c>
      <c r="H7606" s="142" t="s">
        <v>23456</v>
      </c>
      <c r="I7606" s="142">
        <v>108</v>
      </c>
      <c r="J7606" s="142">
        <v>81</v>
      </c>
      <c r="K7606" s="142">
        <v>0</v>
      </c>
      <c r="L7606" s="142">
        <v>27</v>
      </c>
      <c r="M7606" s="142">
        <v>0</v>
      </c>
    </row>
    <row r="7607" spans="1:13" x14ac:dyDescent="0.45">
      <c r="A7607" s="142" t="s">
        <v>13553</v>
      </c>
      <c r="B7607" s="142" t="s">
        <v>15439</v>
      </c>
      <c r="C7607" s="142" t="s">
        <v>15847</v>
      </c>
      <c r="D7607" s="142" t="s">
        <v>15848</v>
      </c>
      <c r="E7607" s="142" t="s">
        <v>15849</v>
      </c>
      <c r="F7607" s="142" t="s">
        <v>10561</v>
      </c>
      <c r="G7607" s="142" t="s">
        <v>10560</v>
      </c>
      <c r="H7607" s="142" t="s">
        <v>23457</v>
      </c>
      <c r="I7607" s="142">
        <v>25</v>
      </c>
      <c r="J7607" s="142">
        <v>25</v>
      </c>
      <c r="K7607" s="142">
        <v>0</v>
      </c>
      <c r="L7607" s="142">
        <v>0</v>
      </c>
      <c r="M7607" s="142">
        <v>0</v>
      </c>
    </row>
    <row r="7608" spans="1:13" x14ac:dyDescent="0.45">
      <c r="A7608" s="142" t="s">
        <v>13027</v>
      </c>
      <c r="B7608" s="142" t="s">
        <v>14562</v>
      </c>
      <c r="C7608" s="142" t="s">
        <v>15847</v>
      </c>
      <c r="D7608" s="142" t="s">
        <v>15848</v>
      </c>
      <c r="E7608" s="142" t="s">
        <v>15849</v>
      </c>
      <c r="F7608" s="142" t="s">
        <v>10561</v>
      </c>
      <c r="G7608" s="142" t="s">
        <v>10560</v>
      </c>
      <c r="H7608" s="142" t="s">
        <v>23458</v>
      </c>
      <c r="I7608" s="142">
        <v>7</v>
      </c>
      <c r="J7608" s="142">
        <v>0</v>
      </c>
      <c r="K7608" s="142">
        <v>0</v>
      </c>
      <c r="L7608" s="142">
        <v>7</v>
      </c>
      <c r="M7608" s="142">
        <v>0</v>
      </c>
    </row>
    <row r="7609" spans="1:13" x14ac:dyDescent="0.45">
      <c r="A7609" s="142" t="s">
        <v>13149</v>
      </c>
      <c r="B7609" s="142" t="s">
        <v>14458</v>
      </c>
      <c r="C7609" s="142" t="s">
        <v>15860</v>
      </c>
      <c r="D7609" s="142" t="s">
        <v>15861</v>
      </c>
      <c r="E7609" s="142" t="s">
        <v>15849</v>
      </c>
      <c r="F7609" s="142" t="s">
        <v>10561</v>
      </c>
      <c r="G7609" s="142" t="s">
        <v>10560</v>
      </c>
      <c r="H7609" s="142" t="s">
        <v>23459</v>
      </c>
      <c r="I7609" s="142">
        <v>2</v>
      </c>
      <c r="J7609" s="142">
        <v>0</v>
      </c>
      <c r="K7609" s="142">
        <v>0</v>
      </c>
      <c r="L7609" s="142">
        <v>2</v>
      </c>
      <c r="M7609" s="142">
        <v>0</v>
      </c>
    </row>
    <row r="7610" spans="1:13" x14ac:dyDescent="0.45">
      <c r="A7610" s="142" t="s">
        <v>13028</v>
      </c>
      <c r="B7610" s="142" t="s">
        <v>14462</v>
      </c>
      <c r="C7610" s="142" t="s">
        <v>15847</v>
      </c>
      <c r="D7610" s="142" t="s">
        <v>15848</v>
      </c>
      <c r="E7610" s="142" t="s">
        <v>15849</v>
      </c>
      <c r="F7610" s="142" t="s">
        <v>10561</v>
      </c>
      <c r="G7610" s="142" t="s">
        <v>10560</v>
      </c>
      <c r="H7610" s="142" t="s">
        <v>23460</v>
      </c>
      <c r="I7610" s="142">
        <v>37</v>
      </c>
      <c r="J7610" s="142">
        <v>0</v>
      </c>
      <c r="K7610" s="142">
        <v>0</v>
      </c>
      <c r="L7610" s="142">
        <v>0</v>
      </c>
      <c r="M7610" s="142">
        <v>37</v>
      </c>
    </row>
    <row r="7611" spans="1:13" x14ac:dyDescent="0.45">
      <c r="A7611" s="142" t="s">
        <v>13002</v>
      </c>
      <c r="B7611" s="142" t="s">
        <v>15376</v>
      </c>
      <c r="C7611" s="142" t="s">
        <v>15847</v>
      </c>
      <c r="D7611" s="142" t="s">
        <v>15848</v>
      </c>
      <c r="E7611" s="142" t="s">
        <v>15849</v>
      </c>
      <c r="F7611" s="142" t="s">
        <v>10561</v>
      </c>
      <c r="G7611" s="142" t="s">
        <v>10560</v>
      </c>
      <c r="H7611" s="142" t="s">
        <v>23461</v>
      </c>
      <c r="I7611" s="142">
        <v>1497</v>
      </c>
      <c r="J7611" s="142">
        <v>1345</v>
      </c>
      <c r="K7611" s="142">
        <v>0</v>
      </c>
      <c r="L7611" s="142">
        <v>92</v>
      </c>
      <c r="M7611" s="142">
        <v>60</v>
      </c>
    </row>
    <row r="7612" spans="1:13" x14ac:dyDescent="0.45">
      <c r="A7612" s="142" t="s">
        <v>13003</v>
      </c>
      <c r="B7612" s="142" t="s">
        <v>15245</v>
      </c>
      <c r="C7612" s="142" t="s">
        <v>15847</v>
      </c>
      <c r="D7612" s="142" t="s">
        <v>15848</v>
      </c>
      <c r="E7612" s="142" t="s">
        <v>15849</v>
      </c>
      <c r="F7612" s="142" t="s">
        <v>10561</v>
      </c>
      <c r="G7612" s="142" t="s">
        <v>10560</v>
      </c>
      <c r="H7612" s="142" t="s">
        <v>23462</v>
      </c>
      <c r="I7612" s="142">
        <v>50</v>
      </c>
      <c r="J7612" s="142">
        <v>0</v>
      </c>
      <c r="K7612" s="142">
        <v>0</v>
      </c>
      <c r="L7612" s="142">
        <v>50</v>
      </c>
      <c r="M7612" s="142">
        <v>0</v>
      </c>
    </row>
    <row r="7613" spans="1:13" x14ac:dyDescent="0.45">
      <c r="A7613" s="142" t="s">
        <v>13556</v>
      </c>
      <c r="B7613" s="142" t="s">
        <v>14762</v>
      </c>
      <c r="C7613" s="142" t="s">
        <v>15860</v>
      </c>
      <c r="D7613" s="142" t="s">
        <v>15861</v>
      </c>
      <c r="E7613" s="142" t="s">
        <v>15849</v>
      </c>
      <c r="F7613" s="142" t="s">
        <v>10561</v>
      </c>
      <c r="G7613" s="142" t="s">
        <v>10560</v>
      </c>
      <c r="H7613" s="142" t="s">
        <v>23463</v>
      </c>
      <c r="I7613" s="142">
        <v>24</v>
      </c>
      <c r="J7613" s="142">
        <v>0</v>
      </c>
      <c r="K7613" s="142">
        <v>0</v>
      </c>
      <c r="L7613" s="142">
        <v>24</v>
      </c>
      <c r="M7613" s="142">
        <v>0</v>
      </c>
    </row>
    <row r="7614" spans="1:13" x14ac:dyDescent="0.45">
      <c r="A7614" s="142" t="s">
        <v>13557</v>
      </c>
      <c r="B7614" s="142" t="s">
        <v>14592</v>
      </c>
      <c r="C7614" s="142" t="s">
        <v>15847</v>
      </c>
      <c r="D7614" s="142" t="s">
        <v>15848</v>
      </c>
      <c r="E7614" s="142" t="s">
        <v>15849</v>
      </c>
      <c r="F7614" s="142" t="s">
        <v>10561</v>
      </c>
      <c r="G7614" s="142" t="s">
        <v>10560</v>
      </c>
      <c r="H7614" s="142" t="s">
        <v>23464</v>
      </c>
      <c r="I7614" s="142">
        <v>1636</v>
      </c>
      <c r="J7614" s="142">
        <v>1452</v>
      </c>
      <c r="K7614" s="142">
        <v>0</v>
      </c>
      <c r="L7614" s="142">
        <v>140</v>
      </c>
      <c r="M7614" s="142">
        <v>44</v>
      </c>
    </row>
    <row r="7615" spans="1:13" x14ac:dyDescent="0.45">
      <c r="A7615" s="142" t="s">
        <v>13076</v>
      </c>
      <c r="B7615" s="142" t="s">
        <v>14636</v>
      </c>
      <c r="C7615" s="142" t="s">
        <v>15847</v>
      </c>
      <c r="D7615" s="142" t="s">
        <v>15848</v>
      </c>
      <c r="E7615" s="142" t="s">
        <v>15849</v>
      </c>
      <c r="F7615" s="142" t="s">
        <v>10561</v>
      </c>
      <c r="G7615" s="142" t="s">
        <v>10560</v>
      </c>
      <c r="H7615" s="142" t="s">
        <v>23465</v>
      </c>
      <c r="I7615" s="142">
        <v>4</v>
      </c>
      <c r="J7615" s="142">
        <v>0</v>
      </c>
      <c r="K7615" s="142">
        <v>0</v>
      </c>
      <c r="L7615" s="142">
        <v>0</v>
      </c>
      <c r="M7615" s="142">
        <v>4</v>
      </c>
    </row>
    <row r="7616" spans="1:13" x14ac:dyDescent="0.45">
      <c r="A7616" s="142" t="s">
        <v>13559</v>
      </c>
      <c r="B7616" s="142" t="s">
        <v>15494</v>
      </c>
      <c r="C7616" s="142" t="s">
        <v>15847</v>
      </c>
      <c r="D7616" s="142" t="s">
        <v>15848</v>
      </c>
      <c r="E7616" s="142" t="s">
        <v>15849</v>
      </c>
      <c r="F7616" s="142" t="s">
        <v>10561</v>
      </c>
      <c r="G7616" s="142" t="s">
        <v>10560</v>
      </c>
      <c r="H7616" s="142" t="s">
        <v>23466</v>
      </c>
      <c r="I7616" s="142">
        <v>36</v>
      </c>
      <c r="J7616" s="142">
        <v>7</v>
      </c>
      <c r="K7616" s="142">
        <v>0</v>
      </c>
      <c r="L7616" s="142">
        <v>29</v>
      </c>
      <c r="M7616" s="142">
        <v>0</v>
      </c>
    </row>
    <row r="7617" spans="1:13" x14ac:dyDescent="0.45">
      <c r="A7617" s="142" t="s">
        <v>13033</v>
      </c>
      <c r="B7617" s="142" t="s">
        <v>15276</v>
      </c>
      <c r="C7617" s="142" t="s">
        <v>15847</v>
      </c>
      <c r="D7617" s="142" t="s">
        <v>15848</v>
      </c>
      <c r="E7617" s="142" t="s">
        <v>15849</v>
      </c>
      <c r="F7617" s="142" t="s">
        <v>10561</v>
      </c>
      <c r="G7617" s="142" t="s">
        <v>10560</v>
      </c>
      <c r="H7617" s="142" t="s">
        <v>23467</v>
      </c>
      <c r="I7617" s="142">
        <v>536</v>
      </c>
      <c r="J7617" s="142">
        <v>408</v>
      </c>
      <c r="K7617" s="142">
        <v>0</v>
      </c>
      <c r="L7617" s="142">
        <v>104</v>
      </c>
      <c r="M7617" s="142">
        <v>24</v>
      </c>
    </row>
    <row r="7618" spans="1:13" x14ac:dyDescent="0.45">
      <c r="A7618" s="142" t="s">
        <v>13034</v>
      </c>
      <c r="B7618" s="142" t="s">
        <v>15562</v>
      </c>
      <c r="C7618" s="142" t="s">
        <v>15847</v>
      </c>
      <c r="D7618" s="142" t="s">
        <v>15848</v>
      </c>
      <c r="E7618" s="142" t="s">
        <v>15849</v>
      </c>
      <c r="F7618" s="142" t="s">
        <v>10561</v>
      </c>
      <c r="G7618" s="142" t="s">
        <v>10560</v>
      </c>
      <c r="H7618" s="142" t="s">
        <v>23468</v>
      </c>
      <c r="I7618" s="142">
        <v>46</v>
      </c>
      <c r="J7618" s="142">
        <v>1</v>
      </c>
      <c r="K7618" s="142">
        <v>0</v>
      </c>
      <c r="L7618" s="142">
        <v>45</v>
      </c>
      <c r="M7618" s="142">
        <v>0</v>
      </c>
    </row>
    <row r="7619" spans="1:13" x14ac:dyDescent="0.45">
      <c r="A7619" s="142" t="s">
        <v>13560</v>
      </c>
      <c r="B7619" s="142" t="s">
        <v>14778</v>
      </c>
      <c r="C7619" s="142" t="s">
        <v>15847</v>
      </c>
      <c r="D7619" s="142" t="s">
        <v>15848</v>
      </c>
      <c r="E7619" s="142" t="s">
        <v>15849</v>
      </c>
      <c r="F7619" s="142" t="s">
        <v>10561</v>
      </c>
      <c r="G7619" s="142" t="s">
        <v>10560</v>
      </c>
      <c r="H7619" s="142" t="s">
        <v>23469</v>
      </c>
      <c r="I7619" s="142">
        <v>32</v>
      </c>
      <c r="J7619" s="142">
        <v>6</v>
      </c>
      <c r="K7619" s="142">
        <v>0</v>
      </c>
      <c r="L7619" s="142">
        <v>10</v>
      </c>
      <c r="M7619" s="142">
        <v>16</v>
      </c>
    </row>
    <row r="7620" spans="1:13" x14ac:dyDescent="0.45">
      <c r="A7620" s="142" t="s">
        <v>13009</v>
      </c>
      <c r="B7620" s="142" t="s">
        <v>15256</v>
      </c>
      <c r="C7620" s="142" t="s">
        <v>15847</v>
      </c>
      <c r="D7620" s="142" t="s">
        <v>15848</v>
      </c>
      <c r="E7620" s="142" t="s">
        <v>15849</v>
      </c>
      <c r="F7620" s="142" t="s">
        <v>10561</v>
      </c>
      <c r="G7620" s="142" t="s">
        <v>10560</v>
      </c>
      <c r="H7620" s="142" t="s">
        <v>23470</v>
      </c>
      <c r="I7620" s="142">
        <v>7</v>
      </c>
      <c r="J7620" s="142">
        <v>0</v>
      </c>
      <c r="K7620" s="142">
        <v>0</v>
      </c>
      <c r="L7620" s="142">
        <v>7</v>
      </c>
      <c r="M7620" s="142">
        <v>0</v>
      </c>
    </row>
    <row r="7621" spans="1:13" x14ac:dyDescent="0.45">
      <c r="A7621" s="142" t="s">
        <v>13107</v>
      </c>
      <c r="B7621" s="142" t="s">
        <v>14522</v>
      </c>
      <c r="C7621" s="142" t="s">
        <v>15860</v>
      </c>
      <c r="D7621" s="142" t="s">
        <v>15861</v>
      </c>
      <c r="E7621" s="142" t="s">
        <v>15849</v>
      </c>
      <c r="F7621" s="142" t="s">
        <v>10561</v>
      </c>
      <c r="G7621" s="142" t="s">
        <v>10560</v>
      </c>
      <c r="H7621" s="142" t="s">
        <v>23471</v>
      </c>
      <c r="I7621" s="142">
        <v>26</v>
      </c>
      <c r="J7621" s="142">
        <v>10</v>
      </c>
      <c r="K7621" s="142">
        <v>0</v>
      </c>
      <c r="L7621" s="142">
        <v>16</v>
      </c>
      <c r="M7621" s="142">
        <v>0</v>
      </c>
    </row>
    <row r="7622" spans="1:13" x14ac:dyDescent="0.45">
      <c r="A7622" s="142" t="s">
        <v>13042</v>
      </c>
      <c r="B7622" s="142" t="s">
        <v>15489</v>
      </c>
      <c r="C7622" s="142" t="s">
        <v>15847</v>
      </c>
      <c r="D7622" s="142" t="s">
        <v>15848</v>
      </c>
      <c r="E7622" s="142" t="s">
        <v>15849</v>
      </c>
      <c r="F7622" s="142" t="s">
        <v>10561</v>
      </c>
      <c r="G7622" s="142" t="s">
        <v>10560</v>
      </c>
      <c r="H7622" s="142" t="s">
        <v>23472</v>
      </c>
      <c r="I7622" s="142">
        <v>915</v>
      </c>
      <c r="J7622" s="142">
        <v>756</v>
      </c>
      <c r="K7622" s="142">
        <v>0</v>
      </c>
      <c r="L7622" s="142">
        <v>159</v>
      </c>
      <c r="M7622" s="142">
        <v>0</v>
      </c>
    </row>
    <row r="7623" spans="1:13" x14ac:dyDescent="0.45">
      <c r="A7623" s="142" t="s">
        <v>13096</v>
      </c>
      <c r="B7623" s="142" t="s">
        <v>15478</v>
      </c>
      <c r="C7623" s="142" t="s">
        <v>15847</v>
      </c>
      <c r="D7623" s="142" t="s">
        <v>15848</v>
      </c>
      <c r="E7623" s="142" t="s">
        <v>15849</v>
      </c>
      <c r="F7623" s="142" t="s">
        <v>10561</v>
      </c>
      <c r="G7623" s="142" t="s">
        <v>10560</v>
      </c>
      <c r="H7623" s="142" t="s">
        <v>23473</v>
      </c>
      <c r="I7623" s="142">
        <v>7</v>
      </c>
      <c r="J7623" s="142">
        <v>7</v>
      </c>
      <c r="K7623" s="142">
        <v>0</v>
      </c>
      <c r="L7623" s="142">
        <v>0</v>
      </c>
      <c r="M7623" s="142">
        <v>0</v>
      </c>
    </row>
    <row r="7624" spans="1:13" x14ac:dyDescent="0.45">
      <c r="A7624" s="142" t="s">
        <v>13704</v>
      </c>
      <c r="B7624" s="142" t="s">
        <v>15588</v>
      </c>
      <c r="C7624" s="142" t="s">
        <v>15860</v>
      </c>
      <c r="D7624" s="142" t="s">
        <v>15861</v>
      </c>
      <c r="E7624" s="142" t="s">
        <v>15849</v>
      </c>
      <c r="F7624" s="142" t="s">
        <v>10561</v>
      </c>
      <c r="G7624" s="142" t="s">
        <v>10560</v>
      </c>
      <c r="H7624" s="142" t="s">
        <v>23474</v>
      </c>
      <c r="I7624" s="142">
        <v>52</v>
      </c>
      <c r="J7624" s="142">
        <v>0</v>
      </c>
      <c r="K7624" s="142">
        <v>0</v>
      </c>
      <c r="L7624" s="142">
        <v>52</v>
      </c>
      <c r="M7624" s="142">
        <v>0</v>
      </c>
    </row>
    <row r="7625" spans="1:13" x14ac:dyDescent="0.45">
      <c r="A7625" s="142" t="s">
        <v>13110</v>
      </c>
      <c r="B7625" s="142" t="s">
        <v>15502</v>
      </c>
      <c r="C7625" s="142" t="s">
        <v>15847</v>
      </c>
      <c r="D7625" s="142" t="s">
        <v>15848</v>
      </c>
      <c r="E7625" s="142" t="s">
        <v>15849</v>
      </c>
      <c r="F7625" s="142" t="s">
        <v>2053</v>
      </c>
      <c r="G7625" s="142" t="s">
        <v>2052</v>
      </c>
      <c r="H7625" s="142" t="s">
        <v>23475</v>
      </c>
      <c r="I7625" s="142">
        <v>34</v>
      </c>
      <c r="J7625" s="142">
        <v>34</v>
      </c>
      <c r="K7625" s="142">
        <v>0</v>
      </c>
      <c r="L7625" s="142">
        <v>0</v>
      </c>
      <c r="M7625" s="142">
        <v>0</v>
      </c>
    </row>
    <row r="7626" spans="1:13" x14ac:dyDescent="0.45">
      <c r="A7626" s="142" t="s">
        <v>13046</v>
      </c>
      <c r="B7626" s="142" t="s">
        <v>15537</v>
      </c>
      <c r="C7626" s="142" t="s">
        <v>15860</v>
      </c>
      <c r="D7626" s="142" t="s">
        <v>15861</v>
      </c>
      <c r="E7626" s="142" t="s">
        <v>15849</v>
      </c>
      <c r="F7626" s="142" t="s">
        <v>2053</v>
      </c>
      <c r="G7626" s="142" t="s">
        <v>2052</v>
      </c>
      <c r="H7626" s="142" t="s">
        <v>23476</v>
      </c>
      <c r="I7626" s="142">
        <v>13</v>
      </c>
      <c r="J7626" s="142">
        <v>0</v>
      </c>
      <c r="K7626" s="142">
        <v>0</v>
      </c>
      <c r="L7626" s="142">
        <v>13</v>
      </c>
      <c r="M7626" s="142">
        <v>0</v>
      </c>
    </row>
    <row r="7627" spans="1:13" x14ac:dyDescent="0.45">
      <c r="A7627" s="142" t="s">
        <v>13167</v>
      </c>
      <c r="B7627" s="142" t="s">
        <v>15418</v>
      </c>
      <c r="C7627" s="142" t="s">
        <v>15847</v>
      </c>
      <c r="D7627" s="142" t="s">
        <v>15848</v>
      </c>
      <c r="E7627" s="142" t="s">
        <v>15849</v>
      </c>
      <c r="F7627" s="142" t="s">
        <v>2053</v>
      </c>
      <c r="G7627" s="142" t="s">
        <v>2052</v>
      </c>
      <c r="H7627" s="142" t="s">
        <v>23477</v>
      </c>
      <c r="I7627" s="142">
        <v>1062</v>
      </c>
      <c r="J7627" s="142">
        <v>982</v>
      </c>
      <c r="K7627" s="142">
        <v>0</v>
      </c>
      <c r="L7627" s="142">
        <v>57</v>
      </c>
      <c r="M7627" s="142">
        <v>23</v>
      </c>
    </row>
    <row r="7628" spans="1:13" x14ac:dyDescent="0.45">
      <c r="A7628" s="142" t="s">
        <v>13021</v>
      </c>
      <c r="B7628" s="142" t="s">
        <v>15501</v>
      </c>
      <c r="C7628" s="142" t="s">
        <v>15847</v>
      </c>
      <c r="D7628" s="142" t="s">
        <v>15848</v>
      </c>
      <c r="E7628" s="142" t="s">
        <v>15849</v>
      </c>
      <c r="F7628" s="142" t="s">
        <v>2053</v>
      </c>
      <c r="G7628" s="142" t="s">
        <v>2052</v>
      </c>
      <c r="H7628" s="142" t="s">
        <v>23478</v>
      </c>
      <c r="I7628" s="142">
        <v>7</v>
      </c>
      <c r="J7628" s="142">
        <v>0</v>
      </c>
      <c r="K7628" s="142">
        <v>0</v>
      </c>
      <c r="L7628" s="142">
        <v>0</v>
      </c>
      <c r="M7628" s="142">
        <v>7</v>
      </c>
    </row>
    <row r="7629" spans="1:13" x14ac:dyDescent="0.45">
      <c r="A7629" s="142" t="s">
        <v>13023</v>
      </c>
      <c r="B7629" s="142" t="s">
        <v>15571</v>
      </c>
      <c r="C7629" s="142" t="s">
        <v>15847</v>
      </c>
      <c r="D7629" s="142" t="s">
        <v>15848</v>
      </c>
      <c r="E7629" s="142" t="s">
        <v>15849</v>
      </c>
      <c r="F7629" s="142" t="s">
        <v>2053</v>
      </c>
      <c r="G7629" s="142" t="s">
        <v>2052</v>
      </c>
      <c r="H7629" s="142" t="s">
        <v>23479</v>
      </c>
      <c r="I7629" s="142">
        <v>136</v>
      </c>
      <c r="J7629" s="142">
        <v>0</v>
      </c>
      <c r="K7629" s="142">
        <v>0</v>
      </c>
      <c r="L7629" s="142">
        <v>131</v>
      </c>
      <c r="M7629" s="142">
        <v>5</v>
      </c>
    </row>
    <row r="7630" spans="1:13" x14ac:dyDescent="0.45">
      <c r="A7630" s="142" t="s">
        <v>13048</v>
      </c>
      <c r="B7630" s="142" t="s">
        <v>14479</v>
      </c>
      <c r="C7630" s="142" t="s">
        <v>15847</v>
      </c>
      <c r="D7630" s="142" t="s">
        <v>15848</v>
      </c>
      <c r="E7630" s="142" t="s">
        <v>15849</v>
      </c>
      <c r="F7630" s="142" t="s">
        <v>2053</v>
      </c>
      <c r="G7630" s="142" t="s">
        <v>2052</v>
      </c>
      <c r="H7630" s="142" t="s">
        <v>23480</v>
      </c>
      <c r="I7630" s="142">
        <v>233</v>
      </c>
      <c r="J7630" s="142">
        <v>210</v>
      </c>
      <c r="K7630" s="142">
        <v>0</v>
      </c>
      <c r="L7630" s="142">
        <v>0</v>
      </c>
      <c r="M7630" s="142">
        <v>23</v>
      </c>
    </row>
    <row r="7631" spans="1:13" x14ac:dyDescent="0.45">
      <c r="A7631" s="142" t="s">
        <v>13065</v>
      </c>
      <c r="B7631" s="142" t="s">
        <v>14497</v>
      </c>
      <c r="C7631" s="142" t="s">
        <v>15847</v>
      </c>
      <c r="D7631" s="142" t="s">
        <v>15848</v>
      </c>
      <c r="E7631" s="142" t="s">
        <v>15849</v>
      </c>
      <c r="F7631" s="142" t="s">
        <v>2053</v>
      </c>
      <c r="G7631" s="142" t="s">
        <v>2052</v>
      </c>
      <c r="H7631" s="142" t="s">
        <v>23481</v>
      </c>
      <c r="I7631" s="142">
        <v>15</v>
      </c>
      <c r="J7631" s="142">
        <v>0</v>
      </c>
      <c r="K7631" s="142">
        <v>0</v>
      </c>
      <c r="L7631" s="142">
        <v>15</v>
      </c>
      <c r="M7631" s="142">
        <v>0</v>
      </c>
    </row>
    <row r="7632" spans="1:13" x14ac:dyDescent="0.45">
      <c r="A7632" s="142" t="s">
        <v>13114</v>
      </c>
      <c r="B7632" s="142" t="s">
        <v>15328</v>
      </c>
      <c r="C7632" s="142" t="s">
        <v>15860</v>
      </c>
      <c r="D7632" s="142" t="s">
        <v>15861</v>
      </c>
      <c r="E7632" s="142" t="s">
        <v>15849</v>
      </c>
      <c r="F7632" s="142" t="s">
        <v>2053</v>
      </c>
      <c r="G7632" s="142" t="s">
        <v>2052</v>
      </c>
      <c r="H7632" s="142" t="s">
        <v>23482</v>
      </c>
      <c r="I7632" s="142">
        <v>4</v>
      </c>
      <c r="J7632" s="142">
        <v>0</v>
      </c>
      <c r="K7632" s="142">
        <v>0</v>
      </c>
      <c r="L7632" s="142">
        <v>4</v>
      </c>
      <c r="M7632" s="142">
        <v>0</v>
      </c>
    </row>
    <row r="7633" spans="1:13" x14ac:dyDescent="0.45">
      <c r="A7633" s="142" t="s">
        <v>13000</v>
      </c>
      <c r="B7633" s="142" t="s">
        <v>14610</v>
      </c>
      <c r="C7633" s="142" t="s">
        <v>15847</v>
      </c>
      <c r="D7633" s="142" t="s">
        <v>15848</v>
      </c>
      <c r="E7633" s="142" t="s">
        <v>15849</v>
      </c>
      <c r="F7633" s="142" t="s">
        <v>2053</v>
      </c>
      <c r="G7633" s="142" t="s">
        <v>2052</v>
      </c>
      <c r="H7633" s="142" t="s">
        <v>23483</v>
      </c>
      <c r="I7633" s="142">
        <v>242</v>
      </c>
      <c r="J7633" s="142">
        <v>116</v>
      </c>
      <c r="K7633" s="142">
        <v>0</v>
      </c>
      <c r="L7633" s="142">
        <v>79</v>
      </c>
      <c r="M7633" s="142">
        <v>47</v>
      </c>
    </row>
    <row r="7634" spans="1:13" x14ac:dyDescent="0.45">
      <c r="A7634" s="142" t="s">
        <v>13049</v>
      </c>
      <c r="B7634" s="142" t="s">
        <v>14534</v>
      </c>
      <c r="C7634" s="142" t="s">
        <v>15860</v>
      </c>
      <c r="D7634" s="142" t="s">
        <v>15861</v>
      </c>
      <c r="E7634" s="142" t="s">
        <v>15849</v>
      </c>
      <c r="F7634" s="142" t="s">
        <v>2053</v>
      </c>
      <c r="G7634" s="142" t="s">
        <v>2052</v>
      </c>
      <c r="H7634" s="142" t="s">
        <v>23484</v>
      </c>
      <c r="I7634" s="142">
        <v>18</v>
      </c>
      <c r="J7634" s="142">
        <v>0</v>
      </c>
      <c r="K7634" s="142">
        <v>0</v>
      </c>
      <c r="L7634" s="142">
        <v>18</v>
      </c>
      <c r="M7634" s="142">
        <v>0</v>
      </c>
    </row>
    <row r="7635" spans="1:13" x14ac:dyDescent="0.45">
      <c r="A7635" s="142" t="s">
        <v>13027</v>
      </c>
      <c r="B7635" s="142" t="s">
        <v>14562</v>
      </c>
      <c r="C7635" s="142" t="s">
        <v>15847</v>
      </c>
      <c r="D7635" s="142" t="s">
        <v>15848</v>
      </c>
      <c r="E7635" s="142" t="s">
        <v>15849</v>
      </c>
      <c r="F7635" s="142" t="s">
        <v>2053</v>
      </c>
      <c r="G7635" s="142" t="s">
        <v>2052</v>
      </c>
      <c r="H7635" s="142" t="s">
        <v>23485</v>
      </c>
      <c r="I7635" s="142">
        <v>5</v>
      </c>
      <c r="J7635" s="142">
        <v>0</v>
      </c>
      <c r="K7635" s="142">
        <v>0</v>
      </c>
      <c r="L7635" s="142">
        <v>5</v>
      </c>
      <c r="M7635" s="142">
        <v>0</v>
      </c>
    </row>
    <row r="7636" spans="1:13" x14ac:dyDescent="0.45">
      <c r="A7636" s="142" t="s">
        <v>13001</v>
      </c>
      <c r="B7636" s="142" t="s">
        <v>15506</v>
      </c>
      <c r="C7636" s="142" t="s">
        <v>15847</v>
      </c>
      <c r="D7636" s="142" t="s">
        <v>15848</v>
      </c>
      <c r="E7636" s="142" t="s">
        <v>15849</v>
      </c>
      <c r="F7636" s="142" t="s">
        <v>2053</v>
      </c>
      <c r="G7636" s="142" t="s">
        <v>2052</v>
      </c>
      <c r="H7636" s="142" t="s">
        <v>23486</v>
      </c>
      <c r="I7636" s="142">
        <v>3</v>
      </c>
      <c r="J7636" s="142">
        <v>3</v>
      </c>
      <c r="K7636" s="142">
        <v>0</v>
      </c>
      <c r="L7636" s="142">
        <v>0</v>
      </c>
      <c r="M7636" s="142">
        <v>0</v>
      </c>
    </row>
    <row r="7637" spans="1:13" x14ac:dyDescent="0.45">
      <c r="A7637" s="142" t="s">
        <v>14210</v>
      </c>
      <c r="B7637" s="142" t="s">
        <v>15101</v>
      </c>
      <c r="C7637" s="142" t="s">
        <v>15860</v>
      </c>
      <c r="D7637" s="142" t="s">
        <v>15861</v>
      </c>
      <c r="E7637" s="142" t="s">
        <v>15849</v>
      </c>
      <c r="F7637" s="142" t="s">
        <v>2053</v>
      </c>
      <c r="G7637" s="142" t="s">
        <v>2052</v>
      </c>
      <c r="H7637" s="142" t="s">
        <v>23487</v>
      </c>
      <c r="I7637" s="142">
        <v>56</v>
      </c>
      <c r="J7637" s="142">
        <v>20</v>
      </c>
      <c r="K7637" s="142">
        <v>36</v>
      </c>
      <c r="L7637" s="142">
        <v>0</v>
      </c>
      <c r="M7637" s="142">
        <v>0</v>
      </c>
    </row>
    <row r="7638" spans="1:13" x14ac:dyDescent="0.45">
      <c r="A7638" s="142" t="s">
        <v>13028</v>
      </c>
      <c r="B7638" s="142" t="s">
        <v>14462</v>
      </c>
      <c r="C7638" s="142" t="s">
        <v>15847</v>
      </c>
      <c r="D7638" s="142" t="s">
        <v>15848</v>
      </c>
      <c r="E7638" s="142" t="s">
        <v>15849</v>
      </c>
      <c r="F7638" s="142" t="s">
        <v>2053</v>
      </c>
      <c r="G7638" s="142" t="s">
        <v>2052</v>
      </c>
      <c r="H7638" s="142" t="s">
        <v>23488</v>
      </c>
      <c r="I7638" s="142">
        <v>5</v>
      </c>
      <c r="J7638" s="142">
        <v>0</v>
      </c>
      <c r="K7638" s="142">
        <v>0</v>
      </c>
      <c r="L7638" s="142">
        <v>0</v>
      </c>
      <c r="M7638" s="142">
        <v>5</v>
      </c>
    </row>
    <row r="7639" spans="1:13" x14ac:dyDescent="0.45">
      <c r="A7639" s="142" t="s">
        <v>13160</v>
      </c>
      <c r="B7639" s="142" t="s">
        <v>14525</v>
      </c>
      <c r="C7639" s="142" t="s">
        <v>15847</v>
      </c>
      <c r="D7639" s="142" t="s">
        <v>15848</v>
      </c>
      <c r="E7639" s="142" t="s">
        <v>15849</v>
      </c>
      <c r="F7639" s="142" t="s">
        <v>2053</v>
      </c>
      <c r="G7639" s="142" t="s">
        <v>2052</v>
      </c>
      <c r="H7639" s="142" t="s">
        <v>23489</v>
      </c>
      <c r="I7639" s="142">
        <v>19</v>
      </c>
      <c r="J7639" s="142">
        <v>0</v>
      </c>
      <c r="K7639" s="142">
        <v>0</v>
      </c>
      <c r="L7639" s="142">
        <v>19</v>
      </c>
      <c r="M7639" s="142">
        <v>0</v>
      </c>
    </row>
    <row r="7640" spans="1:13" x14ac:dyDescent="0.45">
      <c r="A7640" s="142" t="s">
        <v>13002</v>
      </c>
      <c r="B7640" s="142" t="s">
        <v>15376</v>
      </c>
      <c r="C7640" s="142" t="s">
        <v>15847</v>
      </c>
      <c r="D7640" s="142" t="s">
        <v>15848</v>
      </c>
      <c r="E7640" s="142" t="s">
        <v>15849</v>
      </c>
      <c r="F7640" s="142" t="s">
        <v>2053</v>
      </c>
      <c r="G7640" s="142" t="s">
        <v>2052</v>
      </c>
      <c r="H7640" s="142" t="s">
        <v>23490</v>
      </c>
      <c r="I7640" s="142">
        <v>233</v>
      </c>
      <c r="J7640" s="142">
        <v>0</v>
      </c>
      <c r="K7640" s="142">
        <v>0</v>
      </c>
      <c r="L7640" s="142">
        <v>159</v>
      </c>
      <c r="M7640" s="142">
        <v>74</v>
      </c>
    </row>
    <row r="7641" spans="1:13" x14ac:dyDescent="0.45">
      <c r="A7641" s="142" t="s">
        <v>13003</v>
      </c>
      <c r="B7641" s="142" t="s">
        <v>15245</v>
      </c>
      <c r="C7641" s="142" t="s">
        <v>15847</v>
      </c>
      <c r="D7641" s="142" t="s">
        <v>15848</v>
      </c>
      <c r="E7641" s="142" t="s">
        <v>15849</v>
      </c>
      <c r="F7641" s="142" t="s">
        <v>2053</v>
      </c>
      <c r="G7641" s="142" t="s">
        <v>2052</v>
      </c>
      <c r="H7641" s="142" t="s">
        <v>23491</v>
      </c>
      <c r="I7641" s="142">
        <v>172</v>
      </c>
      <c r="J7641" s="142">
        <v>0</v>
      </c>
      <c r="K7641" s="142">
        <v>0</v>
      </c>
      <c r="L7641" s="142">
        <v>172</v>
      </c>
      <c r="M7641" s="142">
        <v>0</v>
      </c>
    </row>
    <row r="7642" spans="1:13" x14ac:dyDescent="0.45">
      <c r="A7642" s="142" t="s">
        <v>13004</v>
      </c>
      <c r="B7642" s="142" t="s">
        <v>15492</v>
      </c>
      <c r="C7642" s="142" t="s">
        <v>15847</v>
      </c>
      <c r="D7642" s="142" t="s">
        <v>15848</v>
      </c>
      <c r="E7642" s="142" t="s">
        <v>15849</v>
      </c>
      <c r="F7642" s="142" t="s">
        <v>2053</v>
      </c>
      <c r="G7642" s="142" t="s">
        <v>2052</v>
      </c>
      <c r="H7642" s="142" t="s">
        <v>23492</v>
      </c>
      <c r="I7642" s="142">
        <v>1211</v>
      </c>
      <c r="J7642" s="142">
        <v>949</v>
      </c>
      <c r="K7642" s="142">
        <v>0</v>
      </c>
      <c r="L7642" s="142">
        <v>150</v>
      </c>
      <c r="M7642" s="142">
        <v>112</v>
      </c>
    </row>
    <row r="7643" spans="1:13" x14ac:dyDescent="0.45">
      <c r="A7643" s="142" t="s">
        <v>13066</v>
      </c>
      <c r="B7643" s="142" t="s">
        <v>14459</v>
      </c>
      <c r="C7643" s="142" t="s">
        <v>15847</v>
      </c>
      <c r="D7643" s="142" t="s">
        <v>15848</v>
      </c>
      <c r="E7643" s="142" t="s">
        <v>15849</v>
      </c>
      <c r="F7643" s="142" t="s">
        <v>2053</v>
      </c>
      <c r="G7643" s="142" t="s">
        <v>2052</v>
      </c>
      <c r="H7643" s="142" t="s">
        <v>23493</v>
      </c>
      <c r="I7643" s="142">
        <v>26</v>
      </c>
      <c r="J7643" s="142">
        <v>0</v>
      </c>
      <c r="K7643" s="142">
        <v>0</v>
      </c>
      <c r="L7643" s="142">
        <v>26</v>
      </c>
      <c r="M7643" s="142">
        <v>0</v>
      </c>
    </row>
    <row r="7644" spans="1:13" x14ac:dyDescent="0.45">
      <c r="A7644" s="142" t="s">
        <v>13005</v>
      </c>
      <c r="B7644" s="142" t="s">
        <v>15475</v>
      </c>
      <c r="C7644" s="142" t="s">
        <v>15847</v>
      </c>
      <c r="D7644" s="142" t="s">
        <v>15848</v>
      </c>
      <c r="E7644" s="142" t="s">
        <v>15849</v>
      </c>
      <c r="F7644" s="142" t="s">
        <v>2053</v>
      </c>
      <c r="G7644" s="142" t="s">
        <v>2052</v>
      </c>
      <c r="H7644" s="142" t="s">
        <v>23494</v>
      </c>
      <c r="I7644" s="142">
        <v>1</v>
      </c>
      <c r="J7644" s="142">
        <v>0</v>
      </c>
      <c r="K7644" s="142">
        <v>0</v>
      </c>
      <c r="L7644" s="142">
        <v>0</v>
      </c>
      <c r="M7644" s="142">
        <v>1</v>
      </c>
    </row>
    <row r="7645" spans="1:13" x14ac:dyDescent="0.45">
      <c r="A7645" s="142" t="s">
        <v>13053</v>
      </c>
      <c r="B7645" s="142" t="s">
        <v>15436</v>
      </c>
      <c r="C7645" s="142" t="s">
        <v>15847</v>
      </c>
      <c r="D7645" s="142" t="s">
        <v>15848</v>
      </c>
      <c r="E7645" s="142" t="s">
        <v>15849</v>
      </c>
      <c r="F7645" s="142" t="s">
        <v>2053</v>
      </c>
      <c r="G7645" s="142" t="s">
        <v>2052</v>
      </c>
      <c r="H7645" s="142" t="s">
        <v>23495</v>
      </c>
      <c r="I7645" s="142">
        <v>54</v>
      </c>
      <c r="J7645" s="142">
        <v>23</v>
      </c>
      <c r="K7645" s="142">
        <v>0</v>
      </c>
      <c r="L7645" s="142">
        <v>19</v>
      </c>
      <c r="M7645" s="142">
        <v>12</v>
      </c>
    </row>
    <row r="7646" spans="1:13" x14ac:dyDescent="0.45">
      <c r="A7646" s="142" t="s">
        <v>13007</v>
      </c>
      <c r="B7646" s="142" t="s">
        <v>15262</v>
      </c>
      <c r="C7646" s="142" t="s">
        <v>15847</v>
      </c>
      <c r="D7646" s="142" t="s">
        <v>15848</v>
      </c>
      <c r="E7646" s="142" t="s">
        <v>15849</v>
      </c>
      <c r="F7646" s="142" t="s">
        <v>2053</v>
      </c>
      <c r="G7646" s="142" t="s">
        <v>2052</v>
      </c>
      <c r="H7646" s="142" t="s">
        <v>23496</v>
      </c>
      <c r="I7646" s="142">
        <v>5</v>
      </c>
      <c r="J7646" s="142">
        <v>0</v>
      </c>
      <c r="K7646" s="142">
        <v>0</v>
      </c>
      <c r="L7646" s="142">
        <v>0</v>
      </c>
      <c r="M7646" s="142">
        <v>5</v>
      </c>
    </row>
    <row r="7647" spans="1:13" x14ac:dyDescent="0.45">
      <c r="A7647" s="142" t="s">
        <v>13033</v>
      </c>
      <c r="B7647" s="142" t="s">
        <v>15276</v>
      </c>
      <c r="C7647" s="142" t="s">
        <v>15847</v>
      </c>
      <c r="D7647" s="142" t="s">
        <v>15848</v>
      </c>
      <c r="E7647" s="142" t="s">
        <v>15849</v>
      </c>
      <c r="F7647" s="142" t="s">
        <v>2053</v>
      </c>
      <c r="G7647" s="142" t="s">
        <v>2052</v>
      </c>
      <c r="H7647" s="142" t="s">
        <v>23497</v>
      </c>
      <c r="I7647" s="142">
        <v>68</v>
      </c>
      <c r="J7647" s="142">
        <v>68</v>
      </c>
      <c r="K7647" s="142">
        <v>0</v>
      </c>
      <c r="L7647" s="142">
        <v>0</v>
      </c>
      <c r="M7647" s="142">
        <v>0</v>
      </c>
    </row>
    <row r="7648" spans="1:13" x14ac:dyDescent="0.45">
      <c r="A7648" s="142" t="s">
        <v>13034</v>
      </c>
      <c r="B7648" s="142" t="s">
        <v>15562</v>
      </c>
      <c r="C7648" s="142" t="s">
        <v>15847</v>
      </c>
      <c r="D7648" s="142" t="s">
        <v>15848</v>
      </c>
      <c r="E7648" s="142" t="s">
        <v>15849</v>
      </c>
      <c r="F7648" s="142" t="s">
        <v>2053</v>
      </c>
      <c r="G7648" s="142" t="s">
        <v>2052</v>
      </c>
      <c r="H7648" s="142" t="s">
        <v>23498</v>
      </c>
      <c r="I7648" s="142">
        <v>52</v>
      </c>
      <c r="J7648" s="142">
        <v>52</v>
      </c>
      <c r="K7648" s="142">
        <v>0</v>
      </c>
      <c r="L7648" s="142">
        <v>0</v>
      </c>
      <c r="M7648" s="142">
        <v>0</v>
      </c>
    </row>
    <row r="7649" spans="1:13" x14ac:dyDescent="0.45">
      <c r="A7649" s="142" t="s">
        <v>13037</v>
      </c>
      <c r="B7649" s="142" t="s">
        <v>14519</v>
      </c>
      <c r="C7649" s="142" t="s">
        <v>15847</v>
      </c>
      <c r="D7649" s="142" t="s">
        <v>15848</v>
      </c>
      <c r="E7649" s="142" t="s">
        <v>15849</v>
      </c>
      <c r="F7649" s="142" t="s">
        <v>2053</v>
      </c>
      <c r="G7649" s="142" t="s">
        <v>2052</v>
      </c>
      <c r="H7649" s="142" t="s">
        <v>23499</v>
      </c>
      <c r="I7649" s="142">
        <v>1</v>
      </c>
      <c r="J7649" s="142">
        <v>0</v>
      </c>
      <c r="K7649" s="142">
        <v>0</v>
      </c>
      <c r="L7649" s="142">
        <v>1</v>
      </c>
      <c r="M7649" s="142">
        <v>0</v>
      </c>
    </row>
    <row r="7650" spans="1:13" x14ac:dyDescent="0.45">
      <c r="A7650" s="142" t="s">
        <v>13038</v>
      </c>
      <c r="B7650" s="142" t="s">
        <v>14646</v>
      </c>
      <c r="C7650" s="142" t="s">
        <v>15847</v>
      </c>
      <c r="D7650" s="142" t="s">
        <v>15848</v>
      </c>
      <c r="E7650" s="142" t="s">
        <v>15849</v>
      </c>
      <c r="F7650" s="142" t="s">
        <v>2053</v>
      </c>
      <c r="G7650" s="142" t="s">
        <v>2052</v>
      </c>
      <c r="H7650" s="142" t="s">
        <v>23500</v>
      </c>
      <c r="I7650" s="142">
        <v>43</v>
      </c>
      <c r="J7650" s="142">
        <v>43</v>
      </c>
      <c r="K7650" s="142">
        <v>0</v>
      </c>
      <c r="L7650" s="142">
        <v>0</v>
      </c>
      <c r="M7650" s="142">
        <v>0</v>
      </c>
    </row>
    <row r="7651" spans="1:13" x14ac:dyDescent="0.45">
      <c r="A7651" s="142" t="s">
        <v>13009</v>
      </c>
      <c r="B7651" s="142" t="s">
        <v>15256</v>
      </c>
      <c r="C7651" s="142" t="s">
        <v>15847</v>
      </c>
      <c r="D7651" s="142" t="s">
        <v>15848</v>
      </c>
      <c r="E7651" s="142" t="s">
        <v>15849</v>
      </c>
      <c r="F7651" s="142" t="s">
        <v>2053</v>
      </c>
      <c r="G7651" s="142" t="s">
        <v>2052</v>
      </c>
      <c r="H7651" s="142" t="s">
        <v>23501</v>
      </c>
      <c r="I7651" s="142">
        <v>26</v>
      </c>
      <c r="J7651" s="142">
        <v>2</v>
      </c>
      <c r="K7651" s="142">
        <v>0</v>
      </c>
      <c r="L7651" s="142">
        <v>24</v>
      </c>
      <c r="M7651" s="142">
        <v>0</v>
      </c>
    </row>
    <row r="7652" spans="1:13" x14ac:dyDescent="0.45">
      <c r="A7652" s="142" t="s">
        <v>13056</v>
      </c>
      <c r="B7652" s="142" t="s">
        <v>15435</v>
      </c>
      <c r="C7652" s="142" t="s">
        <v>15847</v>
      </c>
      <c r="D7652" s="142" t="s">
        <v>15848</v>
      </c>
      <c r="E7652" s="142" t="s">
        <v>15849</v>
      </c>
      <c r="F7652" s="142" t="s">
        <v>2053</v>
      </c>
      <c r="G7652" s="142" t="s">
        <v>2052</v>
      </c>
      <c r="H7652" s="142" t="s">
        <v>23502</v>
      </c>
      <c r="I7652" s="142">
        <v>237</v>
      </c>
      <c r="J7652" s="142">
        <v>16</v>
      </c>
      <c r="K7652" s="142">
        <v>0</v>
      </c>
      <c r="L7652" s="142">
        <v>211</v>
      </c>
      <c r="M7652" s="142">
        <v>10</v>
      </c>
    </row>
    <row r="7653" spans="1:13" x14ac:dyDescent="0.45">
      <c r="A7653" s="142" t="s">
        <v>13011</v>
      </c>
      <c r="B7653" s="142" t="s">
        <v>14695</v>
      </c>
      <c r="C7653" s="142" t="s">
        <v>15847</v>
      </c>
      <c r="D7653" s="142" t="s">
        <v>15848</v>
      </c>
      <c r="E7653" s="142" t="s">
        <v>15849</v>
      </c>
      <c r="F7653" s="142" t="s">
        <v>2053</v>
      </c>
      <c r="G7653" s="142" t="s">
        <v>2052</v>
      </c>
      <c r="H7653" s="142" t="s">
        <v>23503</v>
      </c>
      <c r="I7653" s="142">
        <v>60</v>
      </c>
      <c r="J7653" s="142">
        <v>60</v>
      </c>
      <c r="K7653" s="142">
        <v>0</v>
      </c>
      <c r="L7653" s="142">
        <v>0</v>
      </c>
      <c r="M7653" s="142">
        <v>0</v>
      </c>
    </row>
    <row r="7654" spans="1:13" x14ac:dyDescent="0.45">
      <c r="A7654" s="142" t="s">
        <v>13058</v>
      </c>
      <c r="B7654" s="142" t="s">
        <v>14584</v>
      </c>
      <c r="C7654" s="142" t="s">
        <v>15847</v>
      </c>
      <c r="D7654" s="142" t="s">
        <v>15848</v>
      </c>
      <c r="E7654" s="142" t="s">
        <v>15849</v>
      </c>
      <c r="F7654" s="142" t="s">
        <v>2053</v>
      </c>
      <c r="G7654" s="142" t="s">
        <v>2052</v>
      </c>
      <c r="H7654" s="142" t="s">
        <v>23504</v>
      </c>
      <c r="I7654" s="142">
        <v>863</v>
      </c>
      <c r="J7654" s="142">
        <v>668</v>
      </c>
      <c r="K7654" s="142">
        <v>0</v>
      </c>
      <c r="L7654" s="142">
        <v>96</v>
      </c>
      <c r="M7654" s="142">
        <v>99</v>
      </c>
    </row>
    <row r="7655" spans="1:13" x14ac:dyDescent="0.45">
      <c r="A7655" s="142" t="s">
        <v>13205</v>
      </c>
      <c r="B7655" s="142" t="s">
        <v>14496</v>
      </c>
      <c r="C7655" s="142" t="s">
        <v>15847</v>
      </c>
      <c r="D7655" s="142" t="s">
        <v>15848</v>
      </c>
      <c r="E7655" s="142" t="s">
        <v>15849</v>
      </c>
      <c r="F7655" s="142" t="s">
        <v>2053</v>
      </c>
      <c r="G7655" s="142" t="s">
        <v>2052</v>
      </c>
      <c r="H7655" s="142" t="s">
        <v>23505</v>
      </c>
      <c r="I7655" s="142">
        <v>17</v>
      </c>
      <c r="J7655" s="142">
        <v>12</v>
      </c>
      <c r="K7655" s="142">
        <v>0</v>
      </c>
      <c r="L7655" s="142">
        <v>0</v>
      </c>
      <c r="M7655" s="142">
        <v>5</v>
      </c>
    </row>
    <row r="7656" spans="1:13" x14ac:dyDescent="0.45">
      <c r="A7656" s="142" t="s">
        <v>13012</v>
      </c>
      <c r="B7656" s="142" t="s">
        <v>15337</v>
      </c>
      <c r="C7656" s="142" t="s">
        <v>15847</v>
      </c>
      <c r="D7656" s="142" t="s">
        <v>15848</v>
      </c>
      <c r="E7656" s="142" t="s">
        <v>15849</v>
      </c>
      <c r="F7656" s="142" t="s">
        <v>2053</v>
      </c>
      <c r="G7656" s="142" t="s">
        <v>2052</v>
      </c>
      <c r="H7656" s="142" t="s">
        <v>23506</v>
      </c>
      <c r="I7656" s="142">
        <v>802</v>
      </c>
      <c r="J7656" s="142">
        <v>597</v>
      </c>
      <c r="K7656" s="142">
        <v>0</v>
      </c>
      <c r="L7656" s="142">
        <v>159</v>
      </c>
      <c r="M7656" s="142">
        <v>46</v>
      </c>
    </row>
    <row r="7657" spans="1:13" x14ac:dyDescent="0.45">
      <c r="A7657" s="142" t="s">
        <v>13285</v>
      </c>
      <c r="B7657" s="142" t="s">
        <v>15158</v>
      </c>
      <c r="C7657" s="142" t="s">
        <v>15860</v>
      </c>
      <c r="D7657" s="142" t="s">
        <v>15861</v>
      </c>
      <c r="E7657" s="142" t="s">
        <v>15849</v>
      </c>
      <c r="F7657" s="142" t="s">
        <v>2053</v>
      </c>
      <c r="G7657" s="142" t="s">
        <v>2052</v>
      </c>
      <c r="H7657" s="142" t="s">
        <v>23507</v>
      </c>
      <c r="I7657" s="142">
        <v>8</v>
      </c>
      <c r="J7657" s="142">
        <v>0</v>
      </c>
      <c r="K7657" s="142">
        <v>0</v>
      </c>
      <c r="L7657" s="142">
        <v>8</v>
      </c>
      <c r="M7657" s="142">
        <v>0</v>
      </c>
    </row>
    <row r="7658" spans="1:13" x14ac:dyDescent="0.45">
      <c r="A7658" s="142" t="s">
        <v>13014</v>
      </c>
      <c r="B7658" s="142" t="s">
        <v>14505</v>
      </c>
      <c r="C7658" s="142" t="s">
        <v>15847</v>
      </c>
      <c r="D7658" s="142" t="s">
        <v>15848</v>
      </c>
      <c r="E7658" s="142" t="s">
        <v>15849</v>
      </c>
      <c r="F7658" s="142" t="s">
        <v>2053</v>
      </c>
      <c r="G7658" s="142" t="s">
        <v>2052</v>
      </c>
      <c r="H7658" s="142" t="s">
        <v>23508</v>
      </c>
      <c r="I7658" s="142">
        <v>14</v>
      </c>
      <c r="J7658" s="142">
        <v>14</v>
      </c>
      <c r="K7658" s="142">
        <v>0</v>
      </c>
      <c r="L7658" s="142">
        <v>0</v>
      </c>
      <c r="M7658" s="142">
        <v>0</v>
      </c>
    </row>
    <row r="7659" spans="1:13" x14ac:dyDescent="0.45">
      <c r="A7659" s="142" t="s">
        <v>13173</v>
      </c>
      <c r="B7659" s="142" t="s">
        <v>15590</v>
      </c>
      <c r="C7659" s="142" t="s">
        <v>15860</v>
      </c>
      <c r="D7659" s="142" t="s">
        <v>15861</v>
      </c>
      <c r="E7659" s="142" t="s">
        <v>15849</v>
      </c>
      <c r="F7659" s="142" t="s">
        <v>2053</v>
      </c>
      <c r="G7659" s="142" t="s">
        <v>2052</v>
      </c>
      <c r="H7659" s="142" t="s">
        <v>23509</v>
      </c>
      <c r="I7659" s="142">
        <v>347</v>
      </c>
      <c r="J7659" s="142">
        <v>141</v>
      </c>
      <c r="K7659" s="142">
        <v>30</v>
      </c>
      <c r="L7659" s="142">
        <v>176</v>
      </c>
      <c r="M7659" s="142">
        <v>0</v>
      </c>
    </row>
    <row r="7660" spans="1:13" x14ac:dyDescent="0.45">
      <c r="A7660" s="142" t="s">
        <v>13174</v>
      </c>
      <c r="B7660" s="142" t="s">
        <v>15280</v>
      </c>
      <c r="C7660" s="142" t="s">
        <v>15847</v>
      </c>
      <c r="D7660" s="142" t="s">
        <v>15848</v>
      </c>
      <c r="E7660" s="142" t="s">
        <v>15849</v>
      </c>
      <c r="F7660" s="142" t="s">
        <v>2053</v>
      </c>
      <c r="G7660" s="142" t="s">
        <v>2052</v>
      </c>
      <c r="H7660" s="142" t="s">
        <v>23510</v>
      </c>
      <c r="I7660" s="142">
        <v>1553</v>
      </c>
      <c r="J7660" s="142">
        <v>1192</v>
      </c>
      <c r="K7660" s="142">
        <v>0</v>
      </c>
      <c r="L7660" s="142">
        <v>80</v>
      </c>
      <c r="M7660" s="142">
        <v>281</v>
      </c>
    </row>
    <row r="7661" spans="1:13" x14ac:dyDescent="0.45">
      <c r="A7661" s="142" t="s">
        <v>14211</v>
      </c>
      <c r="B7661" s="142" t="s">
        <v>14662</v>
      </c>
      <c r="C7661" s="142" t="s">
        <v>15860</v>
      </c>
      <c r="D7661" s="142" t="s">
        <v>15861</v>
      </c>
      <c r="E7661" s="142" t="s">
        <v>15849</v>
      </c>
      <c r="F7661" s="142" t="s">
        <v>2053</v>
      </c>
      <c r="G7661" s="142" t="s">
        <v>2052</v>
      </c>
      <c r="H7661" s="142" t="s">
        <v>23511</v>
      </c>
      <c r="I7661" s="142">
        <v>102</v>
      </c>
      <c r="J7661" s="142">
        <v>0</v>
      </c>
      <c r="K7661" s="142">
        <v>0</v>
      </c>
      <c r="L7661" s="142">
        <v>102</v>
      </c>
      <c r="M7661" s="142">
        <v>0</v>
      </c>
    </row>
    <row r="7662" spans="1:13" x14ac:dyDescent="0.45">
      <c r="A7662" s="142" t="s">
        <v>13175</v>
      </c>
      <c r="B7662" s="142" t="s">
        <v>15561</v>
      </c>
      <c r="C7662" s="142" t="s">
        <v>15860</v>
      </c>
      <c r="D7662" s="142" t="s">
        <v>15861</v>
      </c>
      <c r="E7662" s="142" t="s">
        <v>15849</v>
      </c>
      <c r="F7662" s="142" t="s">
        <v>2053</v>
      </c>
      <c r="G7662" s="142" t="s">
        <v>2052</v>
      </c>
      <c r="H7662" s="142" t="s">
        <v>23512</v>
      </c>
      <c r="I7662" s="142">
        <v>154</v>
      </c>
      <c r="J7662" s="142">
        <v>0</v>
      </c>
      <c r="K7662" s="142">
        <v>0</v>
      </c>
      <c r="L7662" s="142">
        <v>154</v>
      </c>
      <c r="M7662" s="142">
        <v>0</v>
      </c>
    </row>
    <row r="7663" spans="1:13" x14ac:dyDescent="0.45">
      <c r="A7663" s="142" t="s">
        <v>13015</v>
      </c>
      <c r="B7663" s="142" t="s">
        <v>14596</v>
      </c>
      <c r="C7663" s="142" t="s">
        <v>15847</v>
      </c>
      <c r="D7663" s="142" t="s">
        <v>15848</v>
      </c>
      <c r="E7663" s="142" t="s">
        <v>15849</v>
      </c>
      <c r="F7663" s="142" t="s">
        <v>2053</v>
      </c>
      <c r="G7663" s="142" t="s">
        <v>2052</v>
      </c>
      <c r="H7663" s="142" t="s">
        <v>23513</v>
      </c>
      <c r="I7663" s="142">
        <v>972</v>
      </c>
      <c r="J7663" s="142">
        <v>789</v>
      </c>
      <c r="K7663" s="142">
        <v>0</v>
      </c>
      <c r="L7663" s="142">
        <v>28</v>
      </c>
      <c r="M7663" s="142">
        <v>155</v>
      </c>
    </row>
    <row r="7664" spans="1:13" x14ac:dyDescent="0.45">
      <c r="A7664" s="142" t="s">
        <v>13016</v>
      </c>
      <c r="B7664" s="142" t="s">
        <v>14535</v>
      </c>
      <c r="C7664" s="142" t="s">
        <v>15860</v>
      </c>
      <c r="D7664" s="142" t="s">
        <v>15861</v>
      </c>
      <c r="E7664" s="142" t="s">
        <v>15849</v>
      </c>
      <c r="F7664" s="142" t="s">
        <v>2053</v>
      </c>
      <c r="G7664" s="142" t="s">
        <v>2052</v>
      </c>
      <c r="H7664" s="142" t="s">
        <v>23514</v>
      </c>
      <c r="I7664" s="142">
        <v>12</v>
      </c>
      <c r="J7664" s="142">
        <v>0</v>
      </c>
      <c r="K7664" s="142">
        <v>0</v>
      </c>
      <c r="L7664" s="142">
        <v>12</v>
      </c>
      <c r="M7664" s="142">
        <v>0</v>
      </c>
    </row>
    <row r="7665" spans="1:13" x14ac:dyDescent="0.45">
      <c r="A7665" s="142" t="s">
        <v>13176</v>
      </c>
      <c r="B7665" s="142" t="s">
        <v>14619</v>
      </c>
      <c r="C7665" s="142" t="s">
        <v>15860</v>
      </c>
      <c r="D7665" s="142" t="s">
        <v>15861</v>
      </c>
      <c r="E7665" s="142" t="s">
        <v>15849</v>
      </c>
      <c r="F7665" s="142" t="s">
        <v>2053</v>
      </c>
      <c r="G7665" s="142" t="s">
        <v>2052</v>
      </c>
      <c r="H7665" s="142" t="s">
        <v>23515</v>
      </c>
      <c r="I7665" s="142">
        <v>52</v>
      </c>
      <c r="J7665" s="142">
        <v>0</v>
      </c>
      <c r="K7665" s="142">
        <v>0</v>
      </c>
      <c r="L7665" s="142">
        <v>52</v>
      </c>
      <c r="M7665" s="142">
        <v>0</v>
      </c>
    </row>
    <row r="7666" spans="1:13" x14ac:dyDescent="0.45">
      <c r="A7666" s="142" t="s">
        <v>13021</v>
      </c>
      <c r="B7666" s="142" t="s">
        <v>15501</v>
      </c>
      <c r="C7666" s="142" t="s">
        <v>15847</v>
      </c>
      <c r="D7666" s="142" t="s">
        <v>15848</v>
      </c>
      <c r="E7666" s="142" t="s">
        <v>15849</v>
      </c>
      <c r="F7666" s="142" t="s">
        <v>156</v>
      </c>
      <c r="G7666" s="142" t="s">
        <v>1560</v>
      </c>
      <c r="H7666" s="142" t="s">
        <v>23516</v>
      </c>
      <c r="I7666" s="142">
        <v>1</v>
      </c>
      <c r="J7666" s="142">
        <v>0</v>
      </c>
      <c r="K7666" s="142">
        <v>0</v>
      </c>
      <c r="L7666" s="142">
        <v>0</v>
      </c>
      <c r="M7666" s="142">
        <v>1</v>
      </c>
    </row>
    <row r="7667" spans="1:13" x14ac:dyDescent="0.45">
      <c r="A7667" s="142" t="s">
        <v>13023</v>
      </c>
      <c r="B7667" s="142" t="s">
        <v>15571</v>
      </c>
      <c r="C7667" s="142" t="s">
        <v>15847</v>
      </c>
      <c r="D7667" s="142" t="s">
        <v>15848</v>
      </c>
      <c r="E7667" s="142" t="s">
        <v>15849</v>
      </c>
      <c r="F7667" s="142" t="s">
        <v>156</v>
      </c>
      <c r="G7667" s="142" t="s">
        <v>1560</v>
      </c>
      <c r="H7667" s="142" t="s">
        <v>23517</v>
      </c>
      <c r="I7667" s="142">
        <v>66</v>
      </c>
      <c r="J7667" s="142">
        <v>0</v>
      </c>
      <c r="K7667" s="142">
        <v>0</v>
      </c>
      <c r="L7667" s="142">
        <v>66</v>
      </c>
      <c r="M7667" s="142">
        <v>0</v>
      </c>
    </row>
    <row r="7668" spans="1:13" x14ac:dyDescent="0.45">
      <c r="A7668" s="142" t="s">
        <v>14213</v>
      </c>
      <c r="B7668" s="142" t="s">
        <v>15155</v>
      </c>
      <c r="C7668" s="142" t="s">
        <v>15860</v>
      </c>
      <c r="D7668" s="142" t="s">
        <v>15861</v>
      </c>
      <c r="E7668" s="142" t="s">
        <v>15849</v>
      </c>
      <c r="F7668" s="142" t="s">
        <v>156</v>
      </c>
      <c r="G7668" s="142" t="s">
        <v>1560</v>
      </c>
      <c r="H7668" s="142" t="s">
        <v>23518</v>
      </c>
      <c r="I7668" s="142">
        <v>22</v>
      </c>
      <c r="J7668" s="142">
        <v>0</v>
      </c>
      <c r="K7668" s="142">
        <v>0</v>
      </c>
      <c r="L7668" s="142">
        <v>22</v>
      </c>
      <c r="M7668" s="142">
        <v>0</v>
      </c>
    </row>
    <row r="7669" spans="1:13" x14ac:dyDescent="0.45">
      <c r="A7669" s="142" t="s">
        <v>14214</v>
      </c>
      <c r="B7669" s="142" t="s">
        <v>15331</v>
      </c>
      <c r="C7669" s="142" t="s">
        <v>15860</v>
      </c>
      <c r="D7669" s="142" t="s">
        <v>15861</v>
      </c>
      <c r="E7669" s="142" t="s">
        <v>15849</v>
      </c>
      <c r="F7669" s="142" t="s">
        <v>156</v>
      </c>
      <c r="G7669" s="142" t="s">
        <v>1560</v>
      </c>
      <c r="H7669" s="142" t="s">
        <v>23519</v>
      </c>
      <c r="I7669" s="142">
        <v>14</v>
      </c>
      <c r="J7669" s="142">
        <v>0</v>
      </c>
      <c r="K7669" s="142">
        <v>0</v>
      </c>
      <c r="L7669" s="142">
        <v>14</v>
      </c>
      <c r="M7669" s="142">
        <v>0</v>
      </c>
    </row>
    <row r="7670" spans="1:13" x14ac:dyDescent="0.45">
      <c r="A7670" s="142" t="s">
        <v>13083</v>
      </c>
      <c r="B7670" s="142" t="s">
        <v>15440</v>
      </c>
      <c r="C7670" s="142" t="s">
        <v>15847</v>
      </c>
      <c r="D7670" s="142" t="s">
        <v>15848</v>
      </c>
      <c r="E7670" s="142" t="s">
        <v>15849</v>
      </c>
      <c r="F7670" s="142" t="s">
        <v>156</v>
      </c>
      <c r="G7670" s="142" t="s">
        <v>1560</v>
      </c>
      <c r="H7670" s="142" t="s">
        <v>23520</v>
      </c>
      <c r="I7670" s="142">
        <v>47</v>
      </c>
      <c r="J7670" s="142">
        <v>42</v>
      </c>
      <c r="K7670" s="142">
        <v>0</v>
      </c>
      <c r="L7670" s="142">
        <v>0</v>
      </c>
      <c r="M7670" s="142">
        <v>5</v>
      </c>
    </row>
    <row r="7671" spans="1:13" x14ac:dyDescent="0.45">
      <c r="A7671" s="142" t="s">
        <v>13159</v>
      </c>
      <c r="B7671" s="142" t="s">
        <v>14521</v>
      </c>
      <c r="C7671" s="142" t="s">
        <v>15860</v>
      </c>
      <c r="D7671" s="142" t="s">
        <v>15861</v>
      </c>
      <c r="E7671" s="142" t="s">
        <v>15849</v>
      </c>
      <c r="F7671" s="142" t="s">
        <v>156</v>
      </c>
      <c r="G7671" s="142" t="s">
        <v>1560</v>
      </c>
      <c r="H7671" s="142" t="s">
        <v>23521</v>
      </c>
      <c r="I7671" s="142">
        <v>9</v>
      </c>
      <c r="J7671" s="142">
        <v>0</v>
      </c>
      <c r="K7671" s="142">
        <v>0</v>
      </c>
      <c r="L7671" s="142">
        <v>9</v>
      </c>
      <c r="M7671" s="142">
        <v>0</v>
      </c>
    </row>
    <row r="7672" spans="1:13" x14ac:dyDescent="0.45">
      <c r="A7672" s="142" t="s">
        <v>13085</v>
      </c>
      <c r="B7672" s="142" t="s">
        <v>14460</v>
      </c>
      <c r="C7672" s="142" t="s">
        <v>15860</v>
      </c>
      <c r="D7672" s="142" t="s">
        <v>15861</v>
      </c>
      <c r="E7672" s="142" t="s">
        <v>15849</v>
      </c>
      <c r="F7672" s="142" t="s">
        <v>156</v>
      </c>
      <c r="G7672" s="142" t="s">
        <v>1560</v>
      </c>
      <c r="H7672" s="142" t="s">
        <v>23522</v>
      </c>
      <c r="I7672" s="142">
        <v>2</v>
      </c>
      <c r="J7672" s="142">
        <v>0</v>
      </c>
      <c r="K7672" s="142">
        <v>0</v>
      </c>
      <c r="L7672" s="142">
        <v>2</v>
      </c>
      <c r="M7672" s="142">
        <v>0</v>
      </c>
    </row>
    <row r="7673" spans="1:13" x14ac:dyDescent="0.45">
      <c r="A7673" s="142" t="s">
        <v>13099</v>
      </c>
      <c r="B7673" s="142" t="s">
        <v>14547</v>
      </c>
      <c r="C7673" s="142" t="s">
        <v>15860</v>
      </c>
      <c r="D7673" s="142" t="s">
        <v>15861</v>
      </c>
      <c r="E7673" s="142" t="s">
        <v>15849</v>
      </c>
      <c r="F7673" s="142" t="s">
        <v>156</v>
      </c>
      <c r="G7673" s="142" t="s">
        <v>1560</v>
      </c>
      <c r="H7673" s="142" t="s">
        <v>23523</v>
      </c>
      <c r="I7673" s="142">
        <v>17</v>
      </c>
      <c r="J7673" s="142">
        <v>0</v>
      </c>
      <c r="K7673" s="142">
        <v>0</v>
      </c>
      <c r="L7673" s="142">
        <v>17</v>
      </c>
      <c r="M7673" s="142">
        <v>0</v>
      </c>
    </row>
    <row r="7674" spans="1:13" x14ac:dyDescent="0.45">
      <c r="A7674" s="142" t="s">
        <v>13086</v>
      </c>
      <c r="B7674" s="142" t="s">
        <v>15380</v>
      </c>
      <c r="C7674" s="142" t="s">
        <v>15847</v>
      </c>
      <c r="D7674" s="142" t="s">
        <v>15848</v>
      </c>
      <c r="E7674" s="142" t="s">
        <v>15849</v>
      </c>
      <c r="F7674" s="142" t="s">
        <v>156</v>
      </c>
      <c r="G7674" s="142" t="s">
        <v>1560</v>
      </c>
      <c r="H7674" s="142" t="s">
        <v>23524</v>
      </c>
      <c r="I7674" s="142">
        <v>1473</v>
      </c>
      <c r="J7674" s="142">
        <v>1250</v>
      </c>
      <c r="K7674" s="142">
        <v>0</v>
      </c>
      <c r="L7674" s="142">
        <v>85</v>
      </c>
      <c r="M7674" s="142">
        <v>138</v>
      </c>
    </row>
    <row r="7675" spans="1:13" x14ac:dyDescent="0.45">
      <c r="A7675" s="142" t="s">
        <v>13027</v>
      </c>
      <c r="B7675" s="142" t="s">
        <v>14562</v>
      </c>
      <c r="C7675" s="142" t="s">
        <v>15847</v>
      </c>
      <c r="D7675" s="142" t="s">
        <v>15848</v>
      </c>
      <c r="E7675" s="142" t="s">
        <v>15849</v>
      </c>
      <c r="F7675" s="142" t="s">
        <v>156</v>
      </c>
      <c r="G7675" s="142" t="s">
        <v>1560</v>
      </c>
      <c r="H7675" s="142" t="s">
        <v>23525</v>
      </c>
      <c r="I7675" s="142">
        <v>4</v>
      </c>
      <c r="J7675" s="142">
        <v>0</v>
      </c>
      <c r="K7675" s="142">
        <v>0</v>
      </c>
      <c r="L7675" s="142">
        <v>4</v>
      </c>
      <c r="M7675" s="142">
        <v>0</v>
      </c>
    </row>
    <row r="7676" spans="1:13" x14ac:dyDescent="0.45">
      <c r="A7676" s="142" t="s">
        <v>13001</v>
      </c>
      <c r="B7676" s="142" t="s">
        <v>15506</v>
      </c>
      <c r="C7676" s="142" t="s">
        <v>15847</v>
      </c>
      <c r="D7676" s="142" t="s">
        <v>15848</v>
      </c>
      <c r="E7676" s="142" t="s">
        <v>15849</v>
      </c>
      <c r="F7676" s="142" t="s">
        <v>156</v>
      </c>
      <c r="G7676" s="142" t="s">
        <v>1560</v>
      </c>
      <c r="H7676" s="142" t="s">
        <v>23526</v>
      </c>
      <c r="I7676" s="142">
        <v>17</v>
      </c>
      <c r="J7676" s="142">
        <v>14</v>
      </c>
      <c r="K7676" s="142">
        <v>0</v>
      </c>
      <c r="L7676" s="142">
        <v>3</v>
      </c>
      <c r="M7676" s="142">
        <v>0</v>
      </c>
    </row>
    <row r="7677" spans="1:13" x14ac:dyDescent="0.45">
      <c r="A7677" s="142" t="s">
        <v>13050</v>
      </c>
      <c r="B7677" s="142" t="s">
        <v>15237</v>
      </c>
      <c r="C7677" s="142" t="s">
        <v>15847</v>
      </c>
      <c r="D7677" s="142" t="s">
        <v>15848</v>
      </c>
      <c r="E7677" s="142" t="s">
        <v>15849</v>
      </c>
      <c r="F7677" s="142" t="s">
        <v>156</v>
      </c>
      <c r="G7677" s="142" t="s">
        <v>1560</v>
      </c>
      <c r="H7677" s="142" t="s">
        <v>23527</v>
      </c>
      <c r="I7677" s="142">
        <v>33</v>
      </c>
      <c r="J7677" s="142">
        <v>25</v>
      </c>
      <c r="K7677" s="142">
        <v>0</v>
      </c>
      <c r="L7677" s="142">
        <v>0</v>
      </c>
      <c r="M7677" s="142">
        <v>8</v>
      </c>
    </row>
    <row r="7678" spans="1:13" x14ac:dyDescent="0.45">
      <c r="A7678" s="142" t="s">
        <v>13002</v>
      </c>
      <c r="B7678" s="142" t="s">
        <v>15376</v>
      </c>
      <c r="C7678" s="142" t="s">
        <v>15847</v>
      </c>
      <c r="D7678" s="142" t="s">
        <v>15848</v>
      </c>
      <c r="E7678" s="142" t="s">
        <v>15849</v>
      </c>
      <c r="F7678" s="142" t="s">
        <v>156</v>
      </c>
      <c r="G7678" s="142" t="s">
        <v>1560</v>
      </c>
      <c r="H7678" s="142" t="s">
        <v>23528</v>
      </c>
      <c r="I7678" s="142">
        <v>11</v>
      </c>
      <c r="J7678" s="142">
        <v>0</v>
      </c>
      <c r="K7678" s="142">
        <v>0</v>
      </c>
      <c r="L7678" s="142">
        <v>11</v>
      </c>
      <c r="M7678" s="142">
        <v>0</v>
      </c>
    </row>
    <row r="7679" spans="1:13" x14ac:dyDescent="0.45">
      <c r="A7679" s="142" t="s">
        <v>14215</v>
      </c>
      <c r="B7679" s="142" t="s">
        <v>14516</v>
      </c>
      <c r="C7679" s="142" t="s">
        <v>15860</v>
      </c>
      <c r="D7679" s="142" t="s">
        <v>15861</v>
      </c>
      <c r="E7679" s="142" t="s">
        <v>15849</v>
      </c>
      <c r="F7679" s="142" t="s">
        <v>156</v>
      </c>
      <c r="G7679" s="142" t="s">
        <v>1560</v>
      </c>
      <c r="H7679" s="142" t="s">
        <v>23529</v>
      </c>
      <c r="I7679" s="142">
        <v>321</v>
      </c>
      <c r="J7679" s="142">
        <v>0</v>
      </c>
      <c r="K7679" s="142">
        <v>0</v>
      </c>
      <c r="L7679" s="142">
        <v>321</v>
      </c>
      <c r="M7679" s="142">
        <v>0</v>
      </c>
    </row>
    <row r="7680" spans="1:13" x14ac:dyDescent="0.45">
      <c r="A7680" s="142" t="s">
        <v>13066</v>
      </c>
      <c r="B7680" s="142" t="s">
        <v>14459</v>
      </c>
      <c r="C7680" s="142" t="s">
        <v>15847</v>
      </c>
      <c r="D7680" s="142" t="s">
        <v>15848</v>
      </c>
      <c r="E7680" s="142" t="s">
        <v>15849</v>
      </c>
      <c r="F7680" s="142" t="s">
        <v>156</v>
      </c>
      <c r="G7680" s="142" t="s">
        <v>1560</v>
      </c>
      <c r="H7680" s="142" t="s">
        <v>23530</v>
      </c>
      <c r="I7680" s="142">
        <v>2</v>
      </c>
      <c r="J7680" s="142">
        <v>0</v>
      </c>
      <c r="K7680" s="142">
        <v>0</v>
      </c>
      <c r="L7680" s="142">
        <v>2</v>
      </c>
      <c r="M7680" s="142">
        <v>0</v>
      </c>
    </row>
    <row r="7681" spans="1:13" x14ac:dyDescent="0.45">
      <c r="A7681" s="142" t="s">
        <v>13076</v>
      </c>
      <c r="B7681" s="142" t="s">
        <v>14636</v>
      </c>
      <c r="C7681" s="142" t="s">
        <v>15847</v>
      </c>
      <c r="D7681" s="142" t="s">
        <v>15848</v>
      </c>
      <c r="E7681" s="142" t="s">
        <v>15849</v>
      </c>
      <c r="F7681" s="142" t="s">
        <v>156</v>
      </c>
      <c r="G7681" s="142" t="s">
        <v>1560</v>
      </c>
      <c r="H7681" s="142" t="s">
        <v>23531</v>
      </c>
      <c r="I7681" s="142">
        <v>19</v>
      </c>
      <c r="J7681" s="142">
        <v>0</v>
      </c>
      <c r="K7681" s="142">
        <v>0</v>
      </c>
      <c r="L7681" s="142">
        <v>0</v>
      </c>
      <c r="M7681" s="142">
        <v>19</v>
      </c>
    </row>
    <row r="7682" spans="1:13" x14ac:dyDescent="0.45">
      <c r="A7682" s="142" t="s">
        <v>13100</v>
      </c>
      <c r="B7682" s="142" t="s">
        <v>15603</v>
      </c>
      <c r="C7682" s="142" t="s">
        <v>15847</v>
      </c>
      <c r="D7682" s="142" t="s">
        <v>15848</v>
      </c>
      <c r="E7682" s="142" t="s">
        <v>15849</v>
      </c>
      <c r="F7682" s="142" t="s">
        <v>156</v>
      </c>
      <c r="G7682" s="142" t="s">
        <v>1560</v>
      </c>
      <c r="H7682" s="142" t="s">
        <v>23532</v>
      </c>
      <c r="I7682" s="142">
        <v>28</v>
      </c>
      <c r="J7682" s="142">
        <v>28</v>
      </c>
      <c r="K7682" s="142">
        <v>0</v>
      </c>
      <c r="L7682" s="142">
        <v>0</v>
      </c>
      <c r="M7682" s="142">
        <v>0</v>
      </c>
    </row>
    <row r="7683" spans="1:13" x14ac:dyDescent="0.45">
      <c r="A7683" s="142" t="s">
        <v>13005</v>
      </c>
      <c r="B7683" s="142" t="s">
        <v>15475</v>
      </c>
      <c r="C7683" s="142" t="s">
        <v>15847</v>
      </c>
      <c r="D7683" s="142" t="s">
        <v>15848</v>
      </c>
      <c r="E7683" s="142" t="s">
        <v>15849</v>
      </c>
      <c r="F7683" s="142" t="s">
        <v>156</v>
      </c>
      <c r="G7683" s="142" t="s">
        <v>1560</v>
      </c>
      <c r="H7683" s="142" t="s">
        <v>23533</v>
      </c>
      <c r="I7683" s="142">
        <v>4</v>
      </c>
      <c r="J7683" s="142">
        <v>0</v>
      </c>
      <c r="K7683" s="142">
        <v>0</v>
      </c>
      <c r="L7683" s="142">
        <v>0</v>
      </c>
      <c r="M7683" s="142">
        <v>4</v>
      </c>
    </row>
    <row r="7684" spans="1:13" x14ac:dyDescent="0.45">
      <c r="A7684" s="142" t="s">
        <v>13029</v>
      </c>
      <c r="B7684" s="142" t="s">
        <v>14665</v>
      </c>
      <c r="C7684" s="142" t="s">
        <v>15847</v>
      </c>
      <c r="D7684" s="142" t="s">
        <v>15848</v>
      </c>
      <c r="E7684" s="142" t="s">
        <v>15849</v>
      </c>
      <c r="F7684" s="142" t="s">
        <v>156</v>
      </c>
      <c r="G7684" s="142" t="s">
        <v>1560</v>
      </c>
      <c r="H7684" s="142" t="s">
        <v>23534</v>
      </c>
      <c r="I7684" s="142">
        <v>5</v>
      </c>
      <c r="J7684" s="142">
        <v>0</v>
      </c>
      <c r="K7684" s="142">
        <v>0</v>
      </c>
      <c r="L7684" s="142">
        <v>0</v>
      </c>
      <c r="M7684" s="142">
        <v>5</v>
      </c>
    </row>
    <row r="7685" spans="1:13" x14ac:dyDescent="0.45">
      <c r="A7685" s="142" t="s">
        <v>13006</v>
      </c>
      <c r="B7685" s="142" t="s">
        <v>15288</v>
      </c>
      <c r="C7685" s="142" t="s">
        <v>15847</v>
      </c>
      <c r="D7685" s="142" t="s">
        <v>15848</v>
      </c>
      <c r="E7685" s="142" t="s">
        <v>15849</v>
      </c>
      <c r="F7685" s="142" t="s">
        <v>156</v>
      </c>
      <c r="G7685" s="142" t="s">
        <v>1560</v>
      </c>
      <c r="H7685" s="142" t="s">
        <v>23535</v>
      </c>
      <c r="I7685" s="142">
        <v>9</v>
      </c>
      <c r="J7685" s="142">
        <v>0</v>
      </c>
      <c r="K7685" s="142">
        <v>0</v>
      </c>
      <c r="L7685" s="142">
        <v>8</v>
      </c>
      <c r="M7685" s="142">
        <v>1</v>
      </c>
    </row>
    <row r="7686" spans="1:13" x14ac:dyDescent="0.45">
      <c r="A7686" s="142" t="s">
        <v>13007</v>
      </c>
      <c r="B7686" s="142" t="s">
        <v>15262</v>
      </c>
      <c r="C7686" s="142" t="s">
        <v>15847</v>
      </c>
      <c r="D7686" s="142" t="s">
        <v>15848</v>
      </c>
      <c r="E7686" s="142" t="s">
        <v>15849</v>
      </c>
      <c r="F7686" s="142" t="s">
        <v>156</v>
      </c>
      <c r="G7686" s="142" t="s">
        <v>1560</v>
      </c>
      <c r="H7686" s="142" t="s">
        <v>23536</v>
      </c>
      <c r="I7686" s="142">
        <v>504</v>
      </c>
      <c r="J7686" s="142">
        <v>417</v>
      </c>
      <c r="K7686" s="142">
        <v>0</v>
      </c>
      <c r="L7686" s="142">
        <v>18</v>
      </c>
      <c r="M7686" s="142">
        <v>69</v>
      </c>
    </row>
    <row r="7687" spans="1:13" x14ac:dyDescent="0.45">
      <c r="A7687" s="142" t="s">
        <v>13103</v>
      </c>
      <c r="B7687" s="142" t="s">
        <v>14623</v>
      </c>
      <c r="C7687" s="142" t="s">
        <v>15847</v>
      </c>
      <c r="D7687" s="142" t="s">
        <v>15848</v>
      </c>
      <c r="E7687" s="142" t="s">
        <v>15849</v>
      </c>
      <c r="F7687" s="142" t="s">
        <v>156</v>
      </c>
      <c r="G7687" s="142" t="s">
        <v>1560</v>
      </c>
      <c r="H7687" s="142" t="s">
        <v>23537</v>
      </c>
      <c r="I7687" s="142">
        <v>579</v>
      </c>
      <c r="J7687" s="142">
        <v>326</v>
      </c>
      <c r="K7687" s="142">
        <v>0</v>
      </c>
      <c r="L7687" s="142">
        <v>162</v>
      </c>
      <c r="M7687" s="142">
        <v>91</v>
      </c>
    </row>
    <row r="7688" spans="1:13" x14ac:dyDescent="0.45">
      <c r="A7688" s="142" t="s">
        <v>13008</v>
      </c>
      <c r="B7688" s="142" t="s">
        <v>15411</v>
      </c>
      <c r="C7688" s="142" t="s">
        <v>15847</v>
      </c>
      <c r="D7688" s="142" t="s">
        <v>15848</v>
      </c>
      <c r="E7688" s="142" t="s">
        <v>15849</v>
      </c>
      <c r="F7688" s="142" t="s">
        <v>156</v>
      </c>
      <c r="G7688" s="142" t="s">
        <v>1560</v>
      </c>
      <c r="H7688" s="142" t="s">
        <v>23538</v>
      </c>
      <c r="I7688" s="142">
        <v>18</v>
      </c>
      <c r="J7688" s="142">
        <v>0</v>
      </c>
      <c r="K7688" s="142">
        <v>0</v>
      </c>
      <c r="L7688" s="142">
        <v>0</v>
      </c>
      <c r="M7688" s="142">
        <v>18</v>
      </c>
    </row>
    <row r="7689" spans="1:13" x14ac:dyDescent="0.45">
      <c r="A7689" s="142" t="s">
        <v>13104</v>
      </c>
      <c r="B7689" s="142" t="s">
        <v>14622</v>
      </c>
      <c r="C7689" s="142" t="s">
        <v>15847</v>
      </c>
      <c r="D7689" s="142" t="s">
        <v>15848</v>
      </c>
      <c r="E7689" s="142" t="s">
        <v>15849</v>
      </c>
      <c r="F7689" s="142" t="s">
        <v>156</v>
      </c>
      <c r="G7689" s="142" t="s">
        <v>1560</v>
      </c>
      <c r="H7689" s="142" t="s">
        <v>23539</v>
      </c>
      <c r="I7689" s="142">
        <v>12</v>
      </c>
      <c r="J7689" s="142">
        <v>12</v>
      </c>
      <c r="K7689" s="142">
        <v>0</v>
      </c>
      <c r="L7689" s="142">
        <v>0</v>
      </c>
      <c r="M7689" s="142">
        <v>0</v>
      </c>
    </row>
    <row r="7690" spans="1:13" x14ac:dyDescent="0.45">
      <c r="A7690" s="142" t="s">
        <v>13033</v>
      </c>
      <c r="B7690" s="142" t="s">
        <v>15276</v>
      </c>
      <c r="C7690" s="142" t="s">
        <v>15847</v>
      </c>
      <c r="D7690" s="142" t="s">
        <v>15848</v>
      </c>
      <c r="E7690" s="142" t="s">
        <v>15849</v>
      </c>
      <c r="F7690" s="142" t="s">
        <v>156</v>
      </c>
      <c r="G7690" s="142" t="s">
        <v>1560</v>
      </c>
      <c r="H7690" s="142" t="s">
        <v>23540</v>
      </c>
      <c r="I7690" s="142">
        <v>8</v>
      </c>
      <c r="J7690" s="142">
        <v>2</v>
      </c>
      <c r="K7690" s="142">
        <v>0</v>
      </c>
      <c r="L7690" s="142">
        <v>0</v>
      </c>
      <c r="M7690" s="142">
        <v>6</v>
      </c>
    </row>
    <row r="7691" spans="1:13" x14ac:dyDescent="0.45">
      <c r="A7691" s="142" t="s">
        <v>13038</v>
      </c>
      <c r="B7691" s="142" t="s">
        <v>14646</v>
      </c>
      <c r="C7691" s="142" t="s">
        <v>15847</v>
      </c>
      <c r="D7691" s="142" t="s">
        <v>15848</v>
      </c>
      <c r="E7691" s="142" t="s">
        <v>15849</v>
      </c>
      <c r="F7691" s="142" t="s">
        <v>156</v>
      </c>
      <c r="G7691" s="142" t="s">
        <v>1560</v>
      </c>
      <c r="H7691" s="142" t="s">
        <v>23541</v>
      </c>
      <c r="I7691" s="142">
        <v>21</v>
      </c>
      <c r="J7691" s="142">
        <v>0</v>
      </c>
      <c r="K7691" s="142">
        <v>0</v>
      </c>
      <c r="L7691" s="142">
        <v>0</v>
      </c>
      <c r="M7691" s="142">
        <v>21</v>
      </c>
    </row>
    <row r="7692" spans="1:13" x14ac:dyDescent="0.45">
      <c r="A7692" s="142" t="s">
        <v>13078</v>
      </c>
      <c r="B7692" s="142" t="s">
        <v>15540</v>
      </c>
      <c r="C7692" s="142" t="s">
        <v>15847</v>
      </c>
      <c r="D7692" s="142" t="s">
        <v>15848</v>
      </c>
      <c r="E7692" s="142" t="s">
        <v>15849</v>
      </c>
      <c r="F7692" s="142" t="s">
        <v>156</v>
      </c>
      <c r="G7692" s="142" t="s">
        <v>1560</v>
      </c>
      <c r="H7692" s="142" t="s">
        <v>23542</v>
      </c>
      <c r="I7692" s="142">
        <v>2</v>
      </c>
      <c r="J7692" s="142">
        <v>2</v>
      </c>
      <c r="K7692" s="142">
        <v>0</v>
      </c>
      <c r="L7692" s="142">
        <v>0</v>
      </c>
      <c r="M7692" s="142">
        <v>0</v>
      </c>
    </row>
    <row r="7693" spans="1:13" x14ac:dyDescent="0.45">
      <c r="A7693" s="142" t="s">
        <v>13091</v>
      </c>
      <c r="B7693" s="142" t="s">
        <v>14473</v>
      </c>
      <c r="C7693" s="142" t="s">
        <v>15847</v>
      </c>
      <c r="D7693" s="142" t="s">
        <v>15848</v>
      </c>
      <c r="E7693" s="142" t="s">
        <v>15849</v>
      </c>
      <c r="F7693" s="142" t="s">
        <v>156</v>
      </c>
      <c r="G7693" s="142" t="s">
        <v>1560</v>
      </c>
      <c r="H7693" s="142" t="s">
        <v>23543</v>
      </c>
      <c r="I7693" s="142">
        <v>48</v>
      </c>
      <c r="J7693" s="142">
        <v>3</v>
      </c>
      <c r="K7693" s="142">
        <v>0</v>
      </c>
      <c r="L7693" s="142">
        <v>33</v>
      </c>
      <c r="M7693" s="142">
        <v>12</v>
      </c>
    </row>
    <row r="7694" spans="1:13" x14ac:dyDescent="0.45">
      <c r="A7694" s="142" t="s">
        <v>13009</v>
      </c>
      <c r="B7694" s="142" t="s">
        <v>15256</v>
      </c>
      <c r="C7694" s="142" t="s">
        <v>15847</v>
      </c>
      <c r="D7694" s="142" t="s">
        <v>15848</v>
      </c>
      <c r="E7694" s="142" t="s">
        <v>15849</v>
      </c>
      <c r="F7694" s="142" t="s">
        <v>156</v>
      </c>
      <c r="G7694" s="142" t="s">
        <v>1560</v>
      </c>
      <c r="H7694" s="142" t="s">
        <v>23544</v>
      </c>
      <c r="I7694" s="142">
        <v>266</v>
      </c>
      <c r="J7694" s="142">
        <v>184</v>
      </c>
      <c r="K7694" s="142">
        <v>0</v>
      </c>
      <c r="L7694" s="142">
        <v>77</v>
      </c>
      <c r="M7694" s="142">
        <v>5</v>
      </c>
    </row>
    <row r="7695" spans="1:13" x14ac:dyDescent="0.45">
      <c r="A7695" s="142" t="s">
        <v>14216</v>
      </c>
      <c r="B7695" s="142" t="s">
        <v>14598</v>
      </c>
      <c r="C7695" s="142" t="s">
        <v>15860</v>
      </c>
      <c r="D7695" s="142" t="s">
        <v>15861</v>
      </c>
      <c r="E7695" s="142" t="s">
        <v>15849</v>
      </c>
      <c r="F7695" s="142" t="s">
        <v>156</v>
      </c>
      <c r="G7695" s="142" t="s">
        <v>1560</v>
      </c>
      <c r="H7695" s="142" t="s">
        <v>23545</v>
      </c>
      <c r="I7695" s="142">
        <v>36</v>
      </c>
      <c r="J7695" s="142">
        <v>0</v>
      </c>
      <c r="K7695" s="142">
        <v>0</v>
      </c>
      <c r="L7695" s="142">
        <v>36</v>
      </c>
      <c r="M7695" s="142">
        <v>0</v>
      </c>
    </row>
    <row r="7696" spans="1:13" x14ac:dyDescent="0.45">
      <c r="A7696" s="142" t="s">
        <v>13011</v>
      </c>
      <c r="B7696" s="142" t="s">
        <v>14695</v>
      </c>
      <c r="C7696" s="142" t="s">
        <v>15847</v>
      </c>
      <c r="D7696" s="142" t="s">
        <v>15848</v>
      </c>
      <c r="E7696" s="142" t="s">
        <v>15849</v>
      </c>
      <c r="F7696" s="142" t="s">
        <v>156</v>
      </c>
      <c r="G7696" s="142" t="s">
        <v>1560</v>
      </c>
      <c r="H7696" s="142" t="s">
        <v>23546</v>
      </c>
      <c r="I7696" s="142">
        <v>1</v>
      </c>
      <c r="J7696" s="142">
        <v>0</v>
      </c>
      <c r="K7696" s="142">
        <v>0</v>
      </c>
      <c r="L7696" s="142">
        <v>0</v>
      </c>
      <c r="M7696" s="142">
        <v>1</v>
      </c>
    </row>
    <row r="7697" spans="1:13" x14ac:dyDescent="0.45">
      <c r="A7697" s="142" t="s">
        <v>13041</v>
      </c>
      <c r="B7697" s="142" t="s">
        <v>14441</v>
      </c>
      <c r="C7697" s="142" t="s">
        <v>15847</v>
      </c>
      <c r="D7697" s="142" t="s">
        <v>15848</v>
      </c>
      <c r="E7697" s="142" t="s">
        <v>15849</v>
      </c>
      <c r="F7697" s="142" t="s">
        <v>156</v>
      </c>
      <c r="G7697" s="142" t="s">
        <v>1560</v>
      </c>
      <c r="H7697" s="142" t="s">
        <v>23547</v>
      </c>
      <c r="I7697" s="142">
        <v>9</v>
      </c>
      <c r="J7697" s="142">
        <v>0</v>
      </c>
      <c r="K7697" s="142">
        <v>0</v>
      </c>
      <c r="L7697" s="142">
        <v>0</v>
      </c>
      <c r="M7697" s="142">
        <v>9</v>
      </c>
    </row>
    <row r="7698" spans="1:13" x14ac:dyDescent="0.45">
      <c r="A7698" s="142" t="s">
        <v>13106</v>
      </c>
      <c r="B7698" s="142" t="s">
        <v>15414</v>
      </c>
      <c r="C7698" s="142" t="s">
        <v>15847</v>
      </c>
      <c r="D7698" s="142" t="s">
        <v>15848</v>
      </c>
      <c r="E7698" s="142" t="s">
        <v>15849</v>
      </c>
      <c r="F7698" s="142" t="s">
        <v>156</v>
      </c>
      <c r="G7698" s="142" t="s">
        <v>1560</v>
      </c>
      <c r="H7698" s="142" t="s">
        <v>23548</v>
      </c>
      <c r="I7698" s="142">
        <v>176</v>
      </c>
      <c r="J7698" s="142">
        <v>154</v>
      </c>
      <c r="K7698" s="142">
        <v>0</v>
      </c>
      <c r="L7698" s="142">
        <v>22</v>
      </c>
      <c r="M7698" s="142">
        <v>0</v>
      </c>
    </row>
    <row r="7699" spans="1:13" x14ac:dyDescent="0.45">
      <c r="A7699" s="142" t="s">
        <v>13094</v>
      </c>
      <c r="B7699" s="142" t="s">
        <v>15542</v>
      </c>
      <c r="C7699" s="142" t="s">
        <v>15860</v>
      </c>
      <c r="D7699" s="142" t="s">
        <v>15861</v>
      </c>
      <c r="E7699" s="142" t="s">
        <v>15849</v>
      </c>
      <c r="F7699" s="142" t="s">
        <v>156</v>
      </c>
      <c r="G7699" s="142" t="s">
        <v>1560</v>
      </c>
      <c r="H7699" s="142" t="s">
        <v>23549</v>
      </c>
      <c r="I7699" s="142">
        <v>12</v>
      </c>
      <c r="J7699" s="142">
        <v>0</v>
      </c>
      <c r="K7699" s="142">
        <v>0</v>
      </c>
      <c r="L7699" s="142">
        <v>12</v>
      </c>
      <c r="M7699" s="142">
        <v>0</v>
      </c>
    </row>
    <row r="7700" spans="1:13" x14ac:dyDescent="0.45">
      <c r="A7700" s="142" t="s">
        <v>13014</v>
      </c>
      <c r="B7700" s="142" t="s">
        <v>14505</v>
      </c>
      <c r="C7700" s="142" t="s">
        <v>15847</v>
      </c>
      <c r="D7700" s="142" t="s">
        <v>15848</v>
      </c>
      <c r="E7700" s="142" t="s">
        <v>15849</v>
      </c>
      <c r="F7700" s="142" t="s">
        <v>156</v>
      </c>
      <c r="G7700" s="142" t="s">
        <v>1560</v>
      </c>
      <c r="H7700" s="142" t="s">
        <v>23550</v>
      </c>
      <c r="I7700" s="142">
        <v>447</v>
      </c>
      <c r="J7700" s="142">
        <v>401</v>
      </c>
      <c r="K7700" s="142">
        <v>0</v>
      </c>
      <c r="L7700" s="142">
        <v>0</v>
      </c>
      <c r="M7700" s="142">
        <v>46</v>
      </c>
    </row>
    <row r="7701" spans="1:13" x14ac:dyDescent="0.45">
      <c r="A7701" s="142" t="s">
        <v>13042</v>
      </c>
      <c r="B7701" s="142" t="s">
        <v>15489</v>
      </c>
      <c r="C7701" s="142" t="s">
        <v>15847</v>
      </c>
      <c r="D7701" s="142" t="s">
        <v>15848</v>
      </c>
      <c r="E7701" s="142" t="s">
        <v>15849</v>
      </c>
      <c r="F7701" s="142" t="s">
        <v>156</v>
      </c>
      <c r="G7701" s="142" t="s">
        <v>1560</v>
      </c>
      <c r="H7701" s="142" t="s">
        <v>23551</v>
      </c>
      <c r="I7701" s="142">
        <v>28</v>
      </c>
      <c r="J7701" s="142">
        <v>0</v>
      </c>
      <c r="K7701" s="142">
        <v>0</v>
      </c>
      <c r="L7701" s="142">
        <v>28</v>
      </c>
      <c r="M7701" s="142">
        <v>0</v>
      </c>
    </row>
    <row r="7702" spans="1:13" x14ac:dyDescent="0.45">
      <c r="A7702" s="142" t="s">
        <v>13156</v>
      </c>
      <c r="B7702" s="142" t="s">
        <v>14493</v>
      </c>
      <c r="C7702" s="142" t="s">
        <v>15860</v>
      </c>
      <c r="D7702" s="142" t="s">
        <v>15861</v>
      </c>
      <c r="E7702" s="142" t="s">
        <v>15849</v>
      </c>
      <c r="F7702" s="142" t="s">
        <v>156</v>
      </c>
      <c r="G7702" s="142" t="s">
        <v>1560</v>
      </c>
      <c r="H7702" s="142" t="s">
        <v>23552</v>
      </c>
      <c r="I7702" s="142">
        <v>10</v>
      </c>
      <c r="J7702" s="142">
        <v>0</v>
      </c>
      <c r="K7702" s="142">
        <v>0</v>
      </c>
      <c r="L7702" s="142">
        <v>10</v>
      </c>
      <c r="M7702" s="142">
        <v>0</v>
      </c>
    </row>
    <row r="7703" spans="1:13" x14ac:dyDescent="0.45">
      <c r="A7703" s="142" t="s">
        <v>13110</v>
      </c>
      <c r="B7703" s="142" t="s">
        <v>15502</v>
      </c>
      <c r="C7703" s="142" t="s">
        <v>15847</v>
      </c>
      <c r="D7703" s="142" t="s">
        <v>15848</v>
      </c>
      <c r="E7703" s="142" t="s">
        <v>15849</v>
      </c>
      <c r="F7703" s="142" t="s">
        <v>157</v>
      </c>
      <c r="G7703" s="142" t="s">
        <v>12323</v>
      </c>
      <c r="H7703" s="142" t="s">
        <v>23553</v>
      </c>
      <c r="I7703" s="142">
        <v>31</v>
      </c>
      <c r="J7703" s="142">
        <v>14</v>
      </c>
      <c r="K7703" s="142">
        <v>0</v>
      </c>
      <c r="L7703" s="142">
        <v>0</v>
      </c>
      <c r="M7703" s="142">
        <v>17</v>
      </c>
    </row>
    <row r="7704" spans="1:13" x14ac:dyDescent="0.45">
      <c r="A7704" s="142" t="s">
        <v>13023</v>
      </c>
      <c r="B7704" s="142" t="s">
        <v>15571</v>
      </c>
      <c r="C7704" s="142" t="s">
        <v>15847</v>
      </c>
      <c r="D7704" s="142" t="s">
        <v>15848</v>
      </c>
      <c r="E7704" s="142" t="s">
        <v>15849</v>
      </c>
      <c r="F7704" s="142" t="s">
        <v>157</v>
      </c>
      <c r="G7704" s="142" t="s">
        <v>12323</v>
      </c>
      <c r="H7704" s="142" t="s">
        <v>23554</v>
      </c>
      <c r="I7704" s="142">
        <v>32</v>
      </c>
      <c r="J7704" s="142">
        <v>0</v>
      </c>
      <c r="K7704" s="142">
        <v>0</v>
      </c>
      <c r="L7704" s="142">
        <v>32</v>
      </c>
      <c r="M7704" s="142">
        <v>0</v>
      </c>
    </row>
    <row r="7705" spans="1:13" x14ac:dyDescent="0.45">
      <c r="A7705" s="142" t="s">
        <v>13112</v>
      </c>
      <c r="B7705" s="142" t="s">
        <v>15552</v>
      </c>
      <c r="C7705" s="142" t="s">
        <v>15860</v>
      </c>
      <c r="D7705" s="142" t="s">
        <v>15861</v>
      </c>
      <c r="E7705" s="142" t="s">
        <v>15849</v>
      </c>
      <c r="F7705" s="142" t="s">
        <v>157</v>
      </c>
      <c r="G7705" s="142" t="s">
        <v>12323</v>
      </c>
      <c r="H7705" s="142" t="s">
        <v>23555</v>
      </c>
      <c r="I7705" s="142">
        <v>36</v>
      </c>
      <c r="J7705" s="142">
        <v>36</v>
      </c>
      <c r="K7705" s="142">
        <v>0</v>
      </c>
      <c r="L7705" s="142">
        <v>0</v>
      </c>
      <c r="M7705" s="142">
        <v>0</v>
      </c>
    </row>
    <row r="7706" spans="1:13" x14ac:dyDescent="0.45">
      <c r="A7706" s="142" t="s">
        <v>14218</v>
      </c>
      <c r="B7706" s="142" t="s">
        <v>15045</v>
      </c>
      <c r="C7706" s="142" t="s">
        <v>15860</v>
      </c>
      <c r="D7706" s="142" t="s">
        <v>15861</v>
      </c>
      <c r="E7706" s="142" t="s">
        <v>15849</v>
      </c>
      <c r="F7706" s="142" t="s">
        <v>157</v>
      </c>
      <c r="G7706" s="142" t="s">
        <v>12323</v>
      </c>
      <c r="H7706" s="142" t="s">
        <v>23556</v>
      </c>
      <c r="I7706" s="142">
        <v>23</v>
      </c>
      <c r="J7706" s="142">
        <v>23</v>
      </c>
      <c r="K7706" s="142">
        <v>0</v>
      </c>
      <c r="L7706" s="142">
        <v>0</v>
      </c>
      <c r="M7706" s="142">
        <v>0</v>
      </c>
    </row>
    <row r="7707" spans="1:13" x14ac:dyDescent="0.45">
      <c r="A7707" s="142" t="s">
        <v>13573</v>
      </c>
      <c r="B7707" s="142" t="s">
        <v>15104</v>
      </c>
      <c r="C7707" s="142" t="s">
        <v>15860</v>
      </c>
      <c r="D7707" s="142" t="s">
        <v>15861</v>
      </c>
      <c r="E7707" s="142" t="s">
        <v>15849</v>
      </c>
      <c r="F7707" s="142" t="s">
        <v>157</v>
      </c>
      <c r="G7707" s="142" t="s">
        <v>12323</v>
      </c>
      <c r="H7707" s="142" t="s">
        <v>23557</v>
      </c>
      <c r="I7707" s="142">
        <v>62</v>
      </c>
      <c r="J7707" s="142">
        <v>21</v>
      </c>
      <c r="K7707" s="142">
        <v>41</v>
      </c>
      <c r="L7707" s="142">
        <v>0</v>
      </c>
      <c r="M7707" s="142">
        <v>0</v>
      </c>
    </row>
    <row r="7708" spans="1:13" x14ac:dyDescent="0.45">
      <c r="A7708" s="142" t="s">
        <v>14219</v>
      </c>
      <c r="B7708" s="142" t="s">
        <v>15025</v>
      </c>
      <c r="C7708" s="142" t="s">
        <v>15860</v>
      </c>
      <c r="D7708" s="142" t="s">
        <v>15861</v>
      </c>
      <c r="E7708" s="142" t="s">
        <v>15849</v>
      </c>
      <c r="F7708" s="142" t="s">
        <v>157</v>
      </c>
      <c r="G7708" s="142" t="s">
        <v>12323</v>
      </c>
      <c r="H7708" s="142" t="s">
        <v>23558</v>
      </c>
      <c r="I7708" s="142">
        <v>48</v>
      </c>
      <c r="J7708" s="142">
        <v>26</v>
      </c>
      <c r="K7708" s="142">
        <v>22</v>
      </c>
      <c r="L7708" s="142">
        <v>0</v>
      </c>
      <c r="M7708" s="142">
        <v>0</v>
      </c>
    </row>
    <row r="7709" spans="1:13" x14ac:dyDescent="0.45">
      <c r="A7709" s="142" t="s">
        <v>14220</v>
      </c>
      <c r="B7709" s="142" t="s">
        <v>15077</v>
      </c>
      <c r="C7709" s="142" t="s">
        <v>15860</v>
      </c>
      <c r="D7709" s="142" t="s">
        <v>15861</v>
      </c>
      <c r="E7709" s="142" t="s">
        <v>15849</v>
      </c>
      <c r="F7709" s="142" t="s">
        <v>157</v>
      </c>
      <c r="G7709" s="142" t="s">
        <v>12323</v>
      </c>
      <c r="H7709" s="142" t="s">
        <v>23559</v>
      </c>
      <c r="I7709" s="142">
        <v>39</v>
      </c>
      <c r="J7709" s="142">
        <v>39</v>
      </c>
      <c r="K7709" s="142">
        <v>0</v>
      </c>
      <c r="L7709" s="142">
        <v>0</v>
      </c>
      <c r="M7709" s="142">
        <v>0</v>
      </c>
    </row>
    <row r="7710" spans="1:13" x14ac:dyDescent="0.45">
      <c r="A7710" s="142" t="s">
        <v>13433</v>
      </c>
      <c r="B7710" s="142" t="s">
        <v>15167</v>
      </c>
      <c r="C7710" s="142" t="s">
        <v>15847</v>
      </c>
      <c r="D7710" s="142" t="s">
        <v>15848</v>
      </c>
      <c r="E7710" s="142" t="s">
        <v>15849</v>
      </c>
      <c r="F7710" s="142" t="s">
        <v>157</v>
      </c>
      <c r="G7710" s="142" t="s">
        <v>12323</v>
      </c>
      <c r="H7710" s="142" t="s">
        <v>23560</v>
      </c>
      <c r="I7710" s="142">
        <v>14</v>
      </c>
      <c r="J7710" s="142">
        <v>14</v>
      </c>
      <c r="K7710" s="142">
        <v>0</v>
      </c>
      <c r="L7710" s="142">
        <v>0</v>
      </c>
      <c r="M7710" s="142">
        <v>0</v>
      </c>
    </row>
    <row r="7711" spans="1:13" x14ac:dyDescent="0.45">
      <c r="A7711" s="142" t="s">
        <v>13318</v>
      </c>
      <c r="B7711" s="142" t="s">
        <v>15172</v>
      </c>
      <c r="C7711" s="142" t="s">
        <v>15860</v>
      </c>
      <c r="D7711" s="142" t="s">
        <v>15861</v>
      </c>
      <c r="E7711" s="142" t="s">
        <v>15849</v>
      </c>
      <c r="F7711" s="142" t="s">
        <v>157</v>
      </c>
      <c r="G7711" s="142" t="s">
        <v>12323</v>
      </c>
      <c r="H7711" s="142" t="s">
        <v>23561</v>
      </c>
      <c r="I7711" s="142">
        <v>33</v>
      </c>
      <c r="J7711" s="142">
        <v>33</v>
      </c>
      <c r="K7711" s="142">
        <v>0</v>
      </c>
      <c r="L7711" s="142">
        <v>0</v>
      </c>
      <c r="M7711" s="142">
        <v>0</v>
      </c>
    </row>
    <row r="7712" spans="1:13" x14ac:dyDescent="0.45">
      <c r="A7712" s="142" t="s">
        <v>13000</v>
      </c>
      <c r="B7712" s="142" t="s">
        <v>14610</v>
      </c>
      <c r="C7712" s="142" t="s">
        <v>15847</v>
      </c>
      <c r="D7712" s="142" t="s">
        <v>15848</v>
      </c>
      <c r="E7712" s="142" t="s">
        <v>15849</v>
      </c>
      <c r="F7712" s="142" t="s">
        <v>157</v>
      </c>
      <c r="G7712" s="142" t="s">
        <v>12323</v>
      </c>
      <c r="H7712" s="142" t="s">
        <v>23562</v>
      </c>
      <c r="I7712" s="142">
        <v>1166</v>
      </c>
      <c r="J7712" s="142">
        <v>985</v>
      </c>
      <c r="K7712" s="142">
        <v>66</v>
      </c>
      <c r="L7712" s="142">
        <v>2</v>
      </c>
      <c r="M7712" s="142">
        <v>113</v>
      </c>
    </row>
    <row r="7713" spans="1:13" x14ac:dyDescent="0.45">
      <c r="A7713" s="142" t="s">
        <v>13845</v>
      </c>
      <c r="B7713" s="142" t="s">
        <v>15093</v>
      </c>
      <c r="C7713" s="142" t="s">
        <v>15860</v>
      </c>
      <c r="D7713" s="142" t="s">
        <v>15861</v>
      </c>
      <c r="E7713" s="142" t="s">
        <v>15849</v>
      </c>
      <c r="F7713" s="142" t="s">
        <v>157</v>
      </c>
      <c r="G7713" s="142" t="s">
        <v>12323</v>
      </c>
      <c r="H7713" s="142" t="s">
        <v>23563</v>
      </c>
      <c r="I7713" s="142">
        <v>78</v>
      </c>
      <c r="J7713" s="142">
        <v>78</v>
      </c>
      <c r="K7713" s="142">
        <v>0</v>
      </c>
      <c r="L7713" s="142">
        <v>0</v>
      </c>
      <c r="M7713" s="142">
        <v>0</v>
      </c>
    </row>
    <row r="7714" spans="1:13" x14ac:dyDescent="0.45">
      <c r="A7714" s="142" t="s">
        <v>14221</v>
      </c>
      <c r="B7714" s="142" t="s">
        <v>15015</v>
      </c>
      <c r="C7714" s="142" t="s">
        <v>15860</v>
      </c>
      <c r="D7714" s="142" t="s">
        <v>15861</v>
      </c>
      <c r="E7714" s="142" t="s">
        <v>15849</v>
      </c>
      <c r="F7714" s="142" t="s">
        <v>157</v>
      </c>
      <c r="G7714" s="142" t="s">
        <v>12323</v>
      </c>
      <c r="H7714" s="142" t="s">
        <v>23564</v>
      </c>
      <c r="I7714" s="142">
        <v>56</v>
      </c>
      <c r="J7714" s="142">
        <v>56</v>
      </c>
      <c r="K7714" s="142">
        <v>0</v>
      </c>
      <c r="L7714" s="142">
        <v>0</v>
      </c>
      <c r="M7714" s="142">
        <v>0</v>
      </c>
    </row>
    <row r="7715" spans="1:13" x14ac:dyDescent="0.45">
      <c r="A7715" s="142" t="s">
        <v>13384</v>
      </c>
      <c r="B7715" s="142" t="s">
        <v>15563</v>
      </c>
      <c r="C7715" s="142" t="s">
        <v>15860</v>
      </c>
      <c r="D7715" s="142" t="s">
        <v>15861</v>
      </c>
      <c r="E7715" s="142" t="s">
        <v>15849</v>
      </c>
      <c r="F7715" s="142" t="s">
        <v>157</v>
      </c>
      <c r="G7715" s="142" t="s">
        <v>12323</v>
      </c>
      <c r="H7715" s="142" t="s">
        <v>23565</v>
      </c>
      <c r="I7715" s="142">
        <v>34</v>
      </c>
      <c r="J7715" s="142">
        <v>34</v>
      </c>
      <c r="K7715" s="142">
        <v>0</v>
      </c>
      <c r="L7715" s="142">
        <v>0</v>
      </c>
      <c r="M7715" s="142">
        <v>0</v>
      </c>
    </row>
    <row r="7716" spans="1:13" x14ac:dyDescent="0.45">
      <c r="A7716" s="142" t="s">
        <v>13027</v>
      </c>
      <c r="B7716" s="142" t="s">
        <v>14562</v>
      </c>
      <c r="C7716" s="142" t="s">
        <v>15847</v>
      </c>
      <c r="D7716" s="142" t="s">
        <v>15848</v>
      </c>
      <c r="E7716" s="142" t="s">
        <v>15849</v>
      </c>
      <c r="F7716" s="142" t="s">
        <v>157</v>
      </c>
      <c r="G7716" s="142" t="s">
        <v>12323</v>
      </c>
      <c r="H7716" s="142" t="s">
        <v>23566</v>
      </c>
      <c r="I7716" s="142">
        <v>50</v>
      </c>
      <c r="J7716" s="142">
        <v>0</v>
      </c>
      <c r="K7716" s="142">
        <v>0</v>
      </c>
      <c r="L7716" s="142">
        <v>50</v>
      </c>
      <c r="M7716" s="142">
        <v>0</v>
      </c>
    </row>
    <row r="7717" spans="1:13" x14ac:dyDescent="0.45">
      <c r="A7717" s="142" t="s">
        <v>13001</v>
      </c>
      <c r="B7717" s="142" t="s">
        <v>15506</v>
      </c>
      <c r="C7717" s="142" t="s">
        <v>15847</v>
      </c>
      <c r="D7717" s="142" t="s">
        <v>15848</v>
      </c>
      <c r="E7717" s="142" t="s">
        <v>15849</v>
      </c>
      <c r="F7717" s="142" t="s">
        <v>157</v>
      </c>
      <c r="G7717" s="142" t="s">
        <v>12323</v>
      </c>
      <c r="H7717" s="142" t="s">
        <v>23567</v>
      </c>
      <c r="I7717" s="142">
        <v>184</v>
      </c>
      <c r="J7717" s="142">
        <v>165</v>
      </c>
      <c r="K7717" s="142">
        <v>0</v>
      </c>
      <c r="L7717" s="142">
        <v>19</v>
      </c>
      <c r="M7717" s="142">
        <v>0</v>
      </c>
    </row>
    <row r="7718" spans="1:13" x14ac:dyDescent="0.45">
      <c r="A7718" s="142" t="s">
        <v>14222</v>
      </c>
      <c r="B7718" s="142" t="s">
        <v>14724</v>
      </c>
      <c r="C7718" s="142" t="s">
        <v>15860</v>
      </c>
      <c r="D7718" s="142" t="s">
        <v>15861</v>
      </c>
      <c r="E7718" s="142" t="s">
        <v>15849</v>
      </c>
      <c r="F7718" s="142" t="s">
        <v>157</v>
      </c>
      <c r="G7718" s="142" t="s">
        <v>12323</v>
      </c>
      <c r="H7718" s="142" t="s">
        <v>23568</v>
      </c>
      <c r="I7718" s="142">
        <v>7</v>
      </c>
      <c r="J7718" s="142">
        <v>0</v>
      </c>
      <c r="K7718" s="142">
        <v>0</v>
      </c>
      <c r="L7718" s="142">
        <v>7</v>
      </c>
      <c r="M7718" s="142">
        <v>0</v>
      </c>
    </row>
    <row r="7719" spans="1:13" x14ac:dyDescent="0.45">
      <c r="A7719" s="142" t="s">
        <v>13215</v>
      </c>
      <c r="B7719" s="142" t="s">
        <v>15334</v>
      </c>
      <c r="C7719" s="142" t="s">
        <v>15847</v>
      </c>
      <c r="D7719" s="142" t="s">
        <v>15848</v>
      </c>
      <c r="E7719" s="142" t="s">
        <v>15849</v>
      </c>
      <c r="F7719" s="142" t="s">
        <v>157</v>
      </c>
      <c r="G7719" s="142" t="s">
        <v>12323</v>
      </c>
      <c r="H7719" s="142" t="s">
        <v>23569</v>
      </c>
      <c r="I7719" s="142">
        <v>1518</v>
      </c>
      <c r="J7719" s="142">
        <v>1255</v>
      </c>
      <c r="K7719" s="142">
        <v>0</v>
      </c>
      <c r="L7719" s="142">
        <v>156</v>
      </c>
      <c r="M7719" s="142">
        <v>107</v>
      </c>
    </row>
    <row r="7720" spans="1:13" x14ac:dyDescent="0.45">
      <c r="A7720" s="142" t="s">
        <v>13028</v>
      </c>
      <c r="B7720" s="142" t="s">
        <v>14462</v>
      </c>
      <c r="C7720" s="142" t="s">
        <v>15847</v>
      </c>
      <c r="D7720" s="142" t="s">
        <v>15848</v>
      </c>
      <c r="E7720" s="142" t="s">
        <v>15849</v>
      </c>
      <c r="F7720" s="142" t="s">
        <v>157</v>
      </c>
      <c r="G7720" s="142" t="s">
        <v>12323</v>
      </c>
      <c r="H7720" s="142" t="s">
        <v>23570</v>
      </c>
      <c r="I7720" s="142">
        <v>15</v>
      </c>
      <c r="J7720" s="142">
        <v>0</v>
      </c>
      <c r="K7720" s="142">
        <v>0</v>
      </c>
      <c r="L7720" s="142">
        <v>0</v>
      </c>
      <c r="M7720" s="142">
        <v>15</v>
      </c>
    </row>
    <row r="7721" spans="1:13" x14ac:dyDescent="0.45">
      <c r="A7721" s="142" t="s">
        <v>14223</v>
      </c>
      <c r="B7721" s="142" t="s">
        <v>14830</v>
      </c>
      <c r="C7721" s="142" t="s">
        <v>15860</v>
      </c>
      <c r="D7721" s="142" t="s">
        <v>15861</v>
      </c>
      <c r="E7721" s="142" t="s">
        <v>15849</v>
      </c>
      <c r="F7721" s="142" t="s">
        <v>157</v>
      </c>
      <c r="G7721" s="142" t="s">
        <v>12323</v>
      </c>
      <c r="H7721" s="142" t="s">
        <v>23571</v>
      </c>
      <c r="I7721" s="142">
        <v>20</v>
      </c>
      <c r="J7721" s="142">
        <v>0</v>
      </c>
      <c r="K7721" s="142">
        <v>0</v>
      </c>
      <c r="L7721" s="142">
        <v>20</v>
      </c>
      <c r="M7721" s="142">
        <v>0</v>
      </c>
    </row>
    <row r="7722" spans="1:13" x14ac:dyDescent="0.45">
      <c r="A7722" s="142" t="s">
        <v>13003</v>
      </c>
      <c r="B7722" s="142" t="s">
        <v>15245</v>
      </c>
      <c r="C7722" s="142" t="s">
        <v>15847</v>
      </c>
      <c r="D7722" s="142" t="s">
        <v>15848</v>
      </c>
      <c r="E7722" s="142" t="s">
        <v>15849</v>
      </c>
      <c r="F7722" s="142" t="s">
        <v>157</v>
      </c>
      <c r="G7722" s="142" t="s">
        <v>12323</v>
      </c>
      <c r="H7722" s="142" t="s">
        <v>23572</v>
      </c>
      <c r="I7722" s="142">
        <v>80</v>
      </c>
      <c r="J7722" s="142">
        <v>0</v>
      </c>
      <c r="K7722" s="142">
        <v>0</v>
      </c>
      <c r="L7722" s="142">
        <v>80</v>
      </c>
      <c r="M7722" s="142">
        <v>0</v>
      </c>
    </row>
    <row r="7723" spans="1:13" x14ac:dyDescent="0.45">
      <c r="A7723" s="142" t="s">
        <v>13337</v>
      </c>
      <c r="B7723" s="142" t="s">
        <v>15301</v>
      </c>
      <c r="C7723" s="142" t="s">
        <v>15860</v>
      </c>
      <c r="D7723" s="142" t="s">
        <v>15861</v>
      </c>
      <c r="E7723" s="142" t="s">
        <v>15849</v>
      </c>
      <c r="F7723" s="142" t="s">
        <v>157</v>
      </c>
      <c r="G7723" s="142" t="s">
        <v>12323</v>
      </c>
      <c r="H7723" s="142" t="s">
        <v>23573</v>
      </c>
      <c r="I7723" s="142">
        <v>120</v>
      </c>
      <c r="J7723" s="142">
        <v>120</v>
      </c>
      <c r="K7723" s="142">
        <v>0</v>
      </c>
      <c r="L7723" s="142">
        <v>0</v>
      </c>
      <c r="M7723" s="142">
        <v>0</v>
      </c>
    </row>
    <row r="7724" spans="1:13" x14ac:dyDescent="0.45">
      <c r="A7724" s="142" t="s">
        <v>13004</v>
      </c>
      <c r="B7724" s="142" t="s">
        <v>15492</v>
      </c>
      <c r="C7724" s="142" t="s">
        <v>15847</v>
      </c>
      <c r="D7724" s="142" t="s">
        <v>15848</v>
      </c>
      <c r="E7724" s="142" t="s">
        <v>15849</v>
      </c>
      <c r="F7724" s="142" t="s">
        <v>157</v>
      </c>
      <c r="G7724" s="142" t="s">
        <v>12323</v>
      </c>
      <c r="H7724" s="142" t="s">
        <v>23574</v>
      </c>
      <c r="I7724" s="142">
        <v>1939</v>
      </c>
      <c r="J7724" s="142">
        <v>1384</v>
      </c>
      <c r="K7724" s="142">
        <v>0</v>
      </c>
      <c r="L7724" s="142">
        <v>210</v>
      </c>
      <c r="M7724" s="142">
        <v>345</v>
      </c>
    </row>
    <row r="7725" spans="1:13" x14ac:dyDescent="0.45">
      <c r="A7725" s="142" t="s">
        <v>13789</v>
      </c>
      <c r="B7725" s="142" t="s">
        <v>15596</v>
      </c>
      <c r="C7725" s="142" t="s">
        <v>15860</v>
      </c>
      <c r="D7725" s="142" t="s">
        <v>15861</v>
      </c>
      <c r="E7725" s="142" t="s">
        <v>15849</v>
      </c>
      <c r="F7725" s="142" t="s">
        <v>157</v>
      </c>
      <c r="G7725" s="142" t="s">
        <v>12323</v>
      </c>
      <c r="H7725" s="142" t="s">
        <v>23575</v>
      </c>
      <c r="I7725" s="142">
        <v>6</v>
      </c>
      <c r="J7725" s="142">
        <v>0</v>
      </c>
      <c r="K7725" s="142">
        <v>0</v>
      </c>
      <c r="L7725" s="142">
        <v>6</v>
      </c>
      <c r="M7725" s="142">
        <v>0</v>
      </c>
    </row>
    <row r="7726" spans="1:13" x14ac:dyDescent="0.45">
      <c r="A7726" s="142" t="s">
        <v>13216</v>
      </c>
      <c r="B7726" s="142" t="s">
        <v>15353</v>
      </c>
      <c r="C7726" s="142" t="s">
        <v>15860</v>
      </c>
      <c r="D7726" s="142" t="s">
        <v>15861</v>
      </c>
      <c r="E7726" s="142" t="s">
        <v>15849</v>
      </c>
      <c r="F7726" s="142" t="s">
        <v>157</v>
      </c>
      <c r="G7726" s="142" t="s">
        <v>12323</v>
      </c>
      <c r="H7726" s="142" t="s">
        <v>23576</v>
      </c>
      <c r="I7726" s="142">
        <v>56</v>
      </c>
      <c r="J7726" s="142">
        <v>56</v>
      </c>
      <c r="K7726" s="142">
        <v>0</v>
      </c>
      <c r="L7726" s="142">
        <v>0</v>
      </c>
      <c r="M7726" s="142">
        <v>0</v>
      </c>
    </row>
    <row r="7727" spans="1:13" x14ac:dyDescent="0.45">
      <c r="A7727" s="142" t="s">
        <v>13855</v>
      </c>
      <c r="B7727" s="142" t="s">
        <v>15298</v>
      </c>
      <c r="C7727" s="142" t="s">
        <v>15860</v>
      </c>
      <c r="D7727" s="142" t="s">
        <v>15861</v>
      </c>
      <c r="E7727" s="142" t="s">
        <v>15849</v>
      </c>
      <c r="F7727" s="142" t="s">
        <v>157</v>
      </c>
      <c r="G7727" s="142" t="s">
        <v>12323</v>
      </c>
      <c r="H7727" s="142" t="s">
        <v>23577</v>
      </c>
      <c r="I7727" s="142">
        <v>190</v>
      </c>
      <c r="J7727" s="142">
        <v>190</v>
      </c>
      <c r="K7727" s="142">
        <v>0</v>
      </c>
      <c r="L7727" s="142">
        <v>0</v>
      </c>
      <c r="M7727" s="142">
        <v>0</v>
      </c>
    </row>
    <row r="7728" spans="1:13" x14ac:dyDescent="0.45">
      <c r="A7728" s="142" t="s">
        <v>13100</v>
      </c>
      <c r="B7728" s="142" t="s">
        <v>15603</v>
      </c>
      <c r="C7728" s="142" t="s">
        <v>15847</v>
      </c>
      <c r="D7728" s="142" t="s">
        <v>15848</v>
      </c>
      <c r="E7728" s="142" t="s">
        <v>15849</v>
      </c>
      <c r="F7728" s="142" t="s">
        <v>157</v>
      </c>
      <c r="G7728" s="142" t="s">
        <v>12323</v>
      </c>
      <c r="H7728" s="142" t="s">
        <v>23578</v>
      </c>
      <c r="I7728" s="142">
        <v>2</v>
      </c>
      <c r="J7728" s="142">
        <v>2</v>
      </c>
      <c r="K7728" s="142">
        <v>0</v>
      </c>
      <c r="L7728" s="142">
        <v>0</v>
      </c>
      <c r="M7728" s="142">
        <v>0</v>
      </c>
    </row>
    <row r="7729" spans="1:13" x14ac:dyDescent="0.45">
      <c r="A7729" s="142" t="s">
        <v>13005</v>
      </c>
      <c r="B7729" s="142" t="s">
        <v>15475</v>
      </c>
      <c r="C7729" s="142" t="s">
        <v>15847</v>
      </c>
      <c r="D7729" s="142" t="s">
        <v>15848</v>
      </c>
      <c r="E7729" s="142" t="s">
        <v>15849</v>
      </c>
      <c r="F7729" s="142" t="s">
        <v>157</v>
      </c>
      <c r="G7729" s="142" t="s">
        <v>12323</v>
      </c>
      <c r="H7729" s="142" t="s">
        <v>23579</v>
      </c>
      <c r="I7729" s="142">
        <v>3206</v>
      </c>
      <c r="J7729" s="142">
        <v>2294</v>
      </c>
      <c r="K7729" s="142">
        <v>0</v>
      </c>
      <c r="L7729" s="142">
        <v>201</v>
      </c>
      <c r="M7729" s="142">
        <v>711</v>
      </c>
    </row>
    <row r="7730" spans="1:13" x14ac:dyDescent="0.45">
      <c r="A7730" s="142" t="s">
        <v>13101</v>
      </c>
      <c r="B7730" s="142" t="s">
        <v>15491</v>
      </c>
      <c r="C7730" s="142" t="s">
        <v>15847</v>
      </c>
      <c r="D7730" s="142" t="s">
        <v>15848</v>
      </c>
      <c r="E7730" s="142" t="s">
        <v>15849</v>
      </c>
      <c r="F7730" s="142" t="s">
        <v>157</v>
      </c>
      <c r="G7730" s="142" t="s">
        <v>12323</v>
      </c>
      <c r="H7730" s="142" t="s">
        <v>23580</v>
      </c>
      <c r="I7730" s="142">
        <v>14</v>
      </c>
      <c r="J7730" s="142">
        <v>0</v>
      </c>
      <c r="K7730" s="142">
        <v>0</v>
      </c>
      <c r="L7730" s="142">
        <v>14</v>
      </c>
      <c r="M7730" s="142">
        <v>0</v>
      </c>
    </row>
    <row r="7731" spans="1:13" x14ac:dyDescent="0.45">
      <c r="A7731" s="142" t="s">
        <v>13006</v>
      </c>
      <c r="B7731" s="142" t="s">
        <v>15288</v>
      </c>
      <c r="C7731" s="142" t="s">
        <v>15847</v>
      </c>
      <c r="D7731" s="142" t="s">
        <v>15848</v>
      </c>
      <c r="E7731" s="142" t="s">
        <v>15849</v>
      </c>
      <c r="F7731" s="142" t="s">
        <v>157</v>
      </c>
      <c r="G7731" s="142" t="s">
        <v>12323</v>
      </c>
      <c r="H7731" s="142" t="s">
        <v>23581</v>
      </c>
      <c r="I7731" s="142">
        <v>608</v>
      </c>
      <c r="J7731" s="142">
        <v>259</v>
      </c>
      <c r="K7731" s="142">
        <v>0</v>
      </c>
      <c r="L7731" s="142">
        <v>257</v>
      </c>
      <c r="M7731" s="142">
        <v>92</v>
      </c>
    </row>
    <row r="7732" spans="1:13" x14ac:dyDescent="0.45">
      <c r="A7732" s="142" t="s">
        <v>13007</v>
      </c>
      <c r="B7732" s="142" t="s">
        <v>15262</v>
      </c>
      <c r="C7732" s="142" t="s">
        <v>15847</v>
      </c>
      <c r="D7732" s="142" t="s">
        <v>15848</v>
      </c>
      <c r="E7732" s="142" t="s">
        <v>15849</v>
      </c>
      <c r="F7732" s="142" t="s">
        <v>157</v>
      </c>
      <c r="G7732" s="142" t="s">
        <v>12323</v>
      </c>
      <c r="H7732" s="142" t="s">
        <v>23582</v>
      </c>
      <c r="I7732" s="142">
        <v>4</v>
      </c>
      <c r="J7732" s="142">
        <v>0</v>
      </c>
      <c r="K7732" s="142">
        <v>0</v>
      </c>
      <c r="L7732" s="142">
        <v>0</v>
      </c>
      <c r="M7732" s="142">
        <v>4</v>
      </c>
    </row>
    <row r="7733" spans="1:13" x14ac:dyDescent="0.45">
      <c r="A7733" s="142" t="s">
        <v>13718</v>
      </c>
      <c r="B7733" s="142" t="s">
        <v>15565</v>
      </c>
      <c r="C7733" s="142" t="s">
        <v>15860</v>
      </c>
      <c r="D7733" s="142" t="s">
        <v>15861</v>
      </c>
      <c r="E7733" s="142" t="s">
        <v>15849</v>
      </c>
      <c r="F7733" s="142" t="s">
        <v>157</v>
      </c>
      <c r="G7733" s="142" t="s">
        <v>12323</v>
      </c>
      <c r="H7733" s="142" t="s">
        <v>23583</v>
      </c>
      <c r="I7733" s="142">
        <v>114</v>
      </c>
      <c r="J7733" s="142">
        <v>114</v>
      </c>
      <c r="K7733" s="142">
        <v>0</v>
      </c>
      <c r="L7733" s="142">
        <v>0</v>
      </c>
      <c r="M7733" s="142">
        <v>0</v>
      </c>
    </row>
    <row r="7734" spans="1:13" x14ac:dyDescent="0.45">
      <c r="A7734" s="142" t="s">
        <v>13103</v>
      </c>
      <c r="B7734" s="142" t="s">
        <v>14623</v>
      </c>
      <c r="C7734" s="142" t="s">
        <v>15847</v>
      </c>
      <c r="D7734" s="142" t="s">
        <v>15848</v>
      </c>
      <c r="E7734" s="142" t="s">
        <v>15849</v>
      </c>
      <c r="F7734" s="142" t="s">
        <v>157</v>
      </c>
      <c r="G7734" s="142" t="s">
        <v>12323</v>
      </c>
      <c r="H7734" s="142" t="s">
        <v>23584</v>
      </c>
      <c r="I7734" s="142">
        <v>1162</v>
      </c>
      <c r="J7734" s="142">
        <v>949</v>
      </c>
      <c r="K7734" s="142">
        <v>169</v>
      </c>
      <c r="L7734" s="142">
        <v>41</v>
      </c>
      <c r="M7734" s="142">
        <v>3</v>
      </c>
    </row>
    <row r="7735" spans="1:13" x14ac:dyDescent="0.45">
      <c r="A7735" s="142" t="s">
        <v>13054</v>
      </c>
      <c r="B7735" s="142" t="s">
        <v>15604</v>
      </c>
      <c r="C7735" s="142" t="s">
        <v>15847</v>
      </c>
      <c r="D7735" s="142" t="s">
        <v>15848</v>
      </c>
      <c r="E7735" s="142" t="s">
        <v>15849</v>
      </c>
      <c r="F7735" s="142" t="s">
        <v>157</v>
      </c>
      <c r="G7735" s="142" t="s">
        <v>12323</v>
      </c>
      <c r="H7735" s="142" t="s">
        <v>23585</v>
      </c>
      <c r="I7735" s="142">
        <v>286</v>
      </c>
      <c r="J7735" s="142">
        <v>0</v>
      </c>
      <c r="K7735" s="142">
        <v>0</v>
      </c>
      <c r="L7735" s="142">
        <v>0</v>
      </c>
      <c r="M7735" s="142">
        <v>286</v>
      </c>
    </row>
    <row r="7736" spans="1:13" x14ac:dyDescent="0.45">
      <c r="A7736" s="142" t="s">
        <v>13129</v>
      </c>
      <c r="B7736" s="142" t="s">
        <v>15284</v>
      </c>
      <c r="C7736" s="142" t="s">
        <v>15847</v>
      </c>
      <c r="D7736" s="142" t="s">
        <v>15848</v>
      </c>
      <c r="E7736" s="142" t="s">
        <v>15849</v>
      </c>
      <c r="F7736" s="142" t="s">
        <v>157</v>
      </c>
      <c r="G7736" s="142" t="s">
        <v>12323</v>
      </c>
      <c r="H7736" s="142" t="s">
        <v>23586</v>
      </c>
      <c r="I7736" s="142">
        <v>62</v>
      </c>
      <c r="J7736" s="142">
        <v>59</v>
      </c>
      <c r="K7736" s="142">
        <v>3</v>
      </c>
      <c r="L7736" s="142">
        <v>0</v>
      </c>
      <c r="M7736" s="142">
        <v>0</v>
      </c>
    </row>
    <row r="7737" spans="1:13" x14ac:dyDescent="0.45">
      <c r="A7737" s="142" t="s">
        <v>13133</v>
      </c>
      <c r="B7737" s="142" t="s">
        <v>15291</v>
      </c>
      <c r="C7737" s="142" t="s">
        <v>15847</v>
      </c>
      <c r="D7737" s="142" t="s">
        <v>15848</v>
      </c>
      <c r="E7737" s="142" t="s">
        <v>15849</v>
      </c>
      <c r="F7737" s="142" t="s">
        <v>157</v>
      </c>
      <c r="G7737" s="142" t="s">
        <v>12323</v>
      </c>
      <c r="H7737" s="142" t="s">
        <v>23587</v>
      </c>
      <c r="I7737" s="142">
        <v>1</v>
      </c>
      <c r="J7737" s="142">
        <v>0</v>
      </c>
      <c r="K7737" s="142">
        <v>0</v>
      </c>
      <c r="L7737" s="142">
        <v>0</v>
      </c>
      <c r="M7737" s="142">
        <v>1</v>
      </c>
    </row>
    <row r="7738" spans="1:13" x14ac:dyDescent="0.45">
      <c r="A7738" s="142" t="s">
        <v>13055</v>
      </c>
      <c r="B7738" s="142" t="s">
        <v>14595</v>
      </c>
      <c r="C7738" s="142" t="s">
        <v>15847</v>
      </c>
      <c r="D7738" s="142" t="s">
        <v>15848</v>
      </c>
      <c r="E7738" s="142" t="s">
        <v>15849</v>
      </c>
      <c r="F7738" s="142" t="s">
        <v>157</v>
      </c>
      <c r="G7738" s="142" t="s">
        <v>12323</v>
      </c>
      <c r="H7738" s="142" t="s">
        <v>23588</v>
      </c>
      <c r="I7738" s="142">
        <v>202</v>
      </c>
      <c r="J7738" s="142">
        <v>98</v>
      </c>
      <c r="K7738" s="142">
        <v>0</v>
      </c>
      <c r="L7738" s="142">
        <v>67</v>
      </c>
      <c r="M7738" s="142">
        <v>37</v>
      </c>
    </row>
    <row r="7739" spans="1:13" x14ac:dyDescent="0.45">
      <c r="A7739" s="142" t="s">
        <v>13104</v>
      </c>
      <c r="B7739" s="142" t="s">
        <v>14622</v>
      </c>
      <c r="C7739" s="142" t="s">
        <v>15847</v>
      </c>
      <c r="D7739" s="142" t="s">
        <v>15848</v>
      </c>
      <c r="E7739" s="142" t="s">
        <v>15849</v>
      </c>
      <c r="F7739" s="142" t="s">
        <v>157</v>
      </c>
      <c r="G7739" s="142" t="s">
        <v>12323</v>
      </c>
      <c r="H7739" s="142" t="s">
        <v>23589</v>
      </c>
      <c r="I7739" s="142">
        <v>3656</v>
      </c>
      <c r="J7739" s="142">
        <v>2787</v>
      </c>
      <c r="K7739" s="142">
        <v>0</v>
      </c>
      <c r="L7739" s="142">
        <v>386</v>
      </c>
      <c r="M7739" s="142">
        <v>483</v>
      </c>
    </row>
    <row r="7740" spans="1:13" x14ac:dyDescent="0.45">
      <c r="A7740" s="142" t="s">
        <v>13218</v>
      </c>
      <c r="B7740" s="142" t="s">
        <v>15316</v>
      </c>
      <c r="C7740" s="142" t="s">
        <v>15860</v>
      </c>
      <c r="D7740" s="142" t="s">
        <v>15861</v>
      </c>
      <c r="E7740" s="142" t="s">
        <v>15849</v>
      </c>
      <c r="F7740" s="142" t="s">
        <v>157</v>
      </c>
      <c r="G7740" s="142" t="s">
        <v>12323</v>
      </c>
      <c r="H7740" s="142" t="s">
        <v>23590</v>
      </c>
      <c r="I7740" s="142">
        <v>4</v>
      </c>
      <c r="J7740" s="142">
        <v>4</v>
      </c>
      <c r="K7740" s="142">
        <v>0</v>
      </c>
      <c r="L7740" s="142">
        <v>0</v>
      </c>
      <c r="M7740" s="142">
        <v>0</v>
      </c>
    </row>
    <row r="7741" spans="1:13" x14ac:dyDescent="0.45">
      <c r="A7741" s="142" t="s">
        <v>13388</v>
      </c>
      <c r="B7741" s="142" t="s">
        <v>14484</v>
      </c>
      <c r="C7741" s="142" t="s">
        <v>15860</v>
      </c>
      <c r="D7741" s="142" t="s">
        <v>15861</v>
      </c>
      <c r="E7741" s="142" t="s">
        <v>15849</v>
      </c>
      <c r="F7741" s="142" t="s">
        <v>157</v>
      </c>
      <c r="G7741" s="142" t="s">
        <v>12323</v>
      </c>
      <c r="H7741" s="142" t="s">
        <v>23591</v>
      </c>
      <c r="I7741" s="142">
        <v>2</v>
      </c>
      <c r="J7741" s="142">
        <v>2</v>
      </c>
      <c r="K7741" s="142">
        <v>0</v>
      </c>
      <c r="L7741" s="142">
        <v>0</v>
      </c>
      <c r="M7741" s="142">
        <v>0</v>
      </c>
    </row>
    <row r="7742" spans="1:13" x14ac:dyDescent="0.45">
      <c r="A7742" s="142" t="s">
        <v>13739</v>
      </c>
      <c r="B7742" s="142" t="s">
        <v>15282</v>
      </c>
      <c r="C7742" s="142" t="s">
        <v>15860</v>
      </c>
      <c r="D7742" s="142" t="s">
        <v>15861</v>
      </c>
      <c r="E7742" s="142" t="s">
        <v>15849</v>
      </c>
      <c r="F7742" s="142" t="s">
        <v>157</v>
      </c>
      <c r="G7742" s="142" t="s">
        <v>12323</v>
      </c>
      <c r="H7742" s="142" t="s">
        <v>23592</v>
      </c>
      <c r="I7742" s="142">
        <v>21</v>
      </c>
      <c r="J7742" s="142">
        <v>0</v>
      </c>
      <c r="K7742" s="142">
        <v>0</v>
      </c>
      <c r="L7742" s="142">
        <v>21</v>
      </c>
      <c r="M7742" s="142">
        <v>0</v>
      </c>
    </row>
    <row r="7743" spans="1:13" x14ac:dyDescent="0.45">
      <c r="A7743" s="142" t="s">
        <v>13389</v>
      </c>
      <c r="B7743" s="142" t="s">
        <v>15361</v>
      </c>
      <c r="C7743" s="142" t="s">
        <v>15860</v>
      </c>
      <c r="D7743" s="142" t="s">
        <v>15861</v>
      </c>
      <c r="E7743" s="142" t="s">
        <v>15849</v>
      </c>
      <c r="F7743" s="142" t="s">
        <v>157</v>
      </c>
      <c r="G7743" s="142" t="s">
        <v>12323</v>
      </c>
      <c r="H7743" s="142" t="s">
        <v>23593</v>
      </c>
      <c r="I7743" s="142">
        <v>2</v>
      </c>
      <c r="J7743" s="142">
        <v>2</v>
      </c>
      <c r="K7743" s="142">
        <v>0</v>
      </c>
      <c r="L7743" s="142">
        <v>0</v>
      </c>
      <c r="M7743" s="142">
        <v>0</v>
      </c>
    </row>
    <row r="7744" spans="1:13" x14ac:dyDescent="0.45">
      <c r="A7744" s="142" t="s">
        <v>14224</v>
      </c>
      <c r="B7744" s="142" t="s">
        <v>15081</v>
      </c>
      <c r="C7744" s="142" t="s">
        <v>15860</v>
      </c>
      <c r="D7744" s="142" t="s">
        <v>15861</v>
      </c>
      <c r="E7744" s="142" t="s">
        <v>15849</v>
      </c>
      <c r="F7744" s="142" t="s">
        <v>157</v>
      </c>
      <c r="G7744" s="142" t="s">
        <v>12323</v>
      </c>
      <c r="H7744" s="142" t="s">
        <v>23594</v>
      </c>
      <c r="I7744" s="142">
        <v>78</v>
      </c>
      <c r="J7744" s="142">
        <v>78</v>
      </c>
      <c r="K7744" s="142">
        <v>0</v>
      </c>
      <c r="L7744" s="142">
        <v>0</v>
      </c>
      <c r="M7744" s="142">
        <v>0</v>
      </c>
    </row>
    <row r="7745" spans="1:13" x14ac:dyDescent="0.45">
      <c r="A7745" s="142" t="s">
        <v>14225</v>
      </c>
      <c r="B7745" s="142" t="s">
        <v>15208</v>
      </c>
      <c r="C7745" s="142" t="s">
        <v>15860</v>
      </c>
      <c r="D7745" s="142" t="s">
        <v>15861</v>
      </c>
      <c r="E7745" s="142" t="s">
        <v>15849</v>
      </c>
      <c r="F7745" s="142" t="s">
        <v>157</v>
      </c>
      <c r="G7745" s="142" t="s">
        <v>12323</v>
      </c>
      <c r="H7745" s="142" t="s">
        <v>23595</v>
      </c>
      <c r="I7745" s="142">
        <v>16</v>
      </c>
      <c r="J7745" s="142">
        <v>0</v>
      </c>
      <c r="K7745" s="142">
        <v>0</v>
      </c>
      <c r="L7745" s="142">
        <v>16</v>
      </c>
      <c r="M7745" s="142">
        <v>0</v>
      </c>
    </row>
    <row r="7746" spans="1:13" x14ac:dyDescent="0.45">
      <c r="A7746" s="142" t="s">
        <v>13078</v>
      </c>
      <c r="B7746" s="142" t="s">
        <v>15540</v>
      </c>
      <c r="C7746" s="142" t="s">
        <v>15847</v>
      </c>
      <c r="D7746" s="142" t="s">
        <v>15848</v>
      </c>
      <c r="E7746" s="142" t="s">
        <v>15849</v>
      </c>
      <c r="F7746" s="142" t="s">
        <v>157</v>
      </c>
      <c r="G7746" s="142" t="s">
        <v>12323</v>
      </c>
      <c r="H7746" s="142" t="s">
        <v>23596</v>
      </c>
      <c r="I7746" s="142">
        <v>45</v>
      </c>
      <c r="J7746" s="142">
        <v>0</v>
      </c>
      <c r="K7746" s="142">
        <v>0</v>
      </c>
      <c r="L7746" s="142">
        <v>45</v>
      </c>
      <c r="M7746" s="142">
        <v>0</v>
      </c>
    </row>
    <row r="7747" spans="1:13" x14ac:dyDescent="0.45">
      <c r="A7747" s="142" t="s">
        <v>13009</v>
      </c>
      <c r="B7747" s="142" t="s">
        <v>15256</v>
      </c>
      <c r="C7747" s="142" t="s">
        <v>15847</v>
      </c>
      <c r="D7747" s="142" t="s">
        <v>15848</v>
      </c>
      <c r="E7747" s="142" t="s">
        <v>15849</v>
      </c>
      <c r="F7747" s="142" t="s">
        <v>157</v>
      </c>
      <c r="G7747" s="142" t="s">
        <v>12323</v>
      </c>
      <c r="H7747" s="142" t="s">
        <v>23597</v>
      </c>
      <c r="I7747" s="142">
        <v>121</v>
      </c>
      <c r="J7747" s="142">
        <v>81</v>
      </c>
      <c r="K7747" s="142">
        <v>0</v>
      </c>
      <c r="L7747" s="142">
        <v>39</v>
      </c>
      <c r="M7747" s="142">
        <v>1</v>
      </c>
    </row>
    <row r="7748" spans="1:13" x14ac:dyDescent="0.45">
      <c r="A7748" s="142" t="s">
        <v>13011</v>
      </c>
      <c r="B7748" s="142" t="s">
        <v>14695</v>
      </c>
      <c r="C7748" s="142" t="s">
        <v>15847</v>
      </c>
      <c r="D7748" s="142" t="s">
        <v>15848</v>
      </c>
      <c r="E7748" s="142" t="s">
        <v>15849</v>
      </c>
      <c r="F7748" s="142" t="s">
        <v>157</v>
      </c>
      <c r="G7748" s="142" t="s">
        <v>12323</v>
      </c>
      <c r="H7748" s="142" t="s">
        <v>23598</v>
      </c>
      <c r="I7748" s="142">
        <v>2698</v>
      </c>
      <c r="J7748" s="142">
        <v>2035</v>
      </c>
      <c r="K7748" s="142">
        <v>0</v>
      </c>
      <c r="L7748" s="142">
        <v>134</v>
      </c>
      <c r="M7748" s="142">
        <v>529</v>
      </c>
    </row>
    <row r="7749" spans="1:13" x14ac:dyDescent="0.45">
      <c r="A7749" s="142" t="s">
        <v>14226</v>
      </c>
      <c r="B7749" s="142" t="s">
        <v>15117</v>
      </c>
      <c r="C7749" s="142" t="s">
        <v>15860</v>
      </c>
      <c r="D7749" s="142" t="s">
        <v>15861</v>
      </c>
      <c r="E7749" s="142" t="s">
        <v>15849</v>
      </c>
      <c r="F7749" s="142" t="s">
        <v>157</v>
      </c>
      <c r="G7749" s="142" t="s">
        <v>12323</v>
      </c>
      <c r="H7749" s="142" t="s">
        <v>23599</v>
      </c>
      <c r="I7749" s="142">
        <v>30</v>
      </c>
      <c r="J7749" s="142">
        <v>30</v>
      </c>
      <c r="K7749" s="142">
        <v>0</v>
      </c>
      <c r="L7749" s="142">
        <v>0</v>
      </c>
      <c r="M7749" s="142">
        <v>0</v>
      </c>
    </row>
    <row r="7750" spans="1:13" x14ac:dyDescent="0.45">
      <c r="A7750" s="142" t="s">
        <v>13306</v>
      </c>
      <c r="B7750" s="142" t="s">
        <v>15500</v>
      </c>
      <c r="C7750" s="142" t="s">
        <v>15847</v>
      </c>
      <c r="D7750" s="142" t="s">
        <v>15848</v>
      </c>
      <c r="E7750" s="142" t="s">
        <v>15849</v>
      </c>
      <c r="F7750" s="142" t="s">
        <v>157</v>
      </c>
      <c r="G7750" s="142" t="s">
        <v>12323</v>
      </c>
      <c r="H7750" s="142" t="s">
        <v>23600</v>
      </c>
      <c r="I7750" s="142">
        <v>93</v>
      </c>
      <c r="J7750" s="142">
        <v>0</v>
      </c>
      <c r="K7750" s="142">
        <v>28</v>
      </c>
      <c r="L7750" s="142">
        <v>65</v>
      </c>
      <c r="M7750" s="142">
        <v>0</v>
      </c>
    </row>
    <row r="7751" spans="1:13" x14ac:dyDescent="0.45">
      <c r="A7751" s="142" t="s">
        <v>14227</v>
      </c>
      <c r="B7751" s="142" t="s">
        <v>15094</v>
      </c>
      <c r="C7751" s="142" t="s">
        <v>15860</v>
      </c>
      <c r="D7751" s="142" t="s">
        <v>15861</v>
      </c>
      <c r="E7751" s="142" t="s">
        <v>15849</v>
      </c>
      <c r="F7751" s="142" t="s">
        <v>157</v>
      </c>
      <c r="G7751" s="142" t="s">
        <v>12323</v>
      </c>
      <c r="H7751" s="142" t="s">
        <v>23601</v>
      </c>
      <c r="I7751" s="142">
        <v>44</v>
      </c>
      <c r="J7751" s="142">
        <v>44</v>
      </c>
      <c r="K7751" s="142">
        <v>0</v>
      </c>
      <c r="L7751" s="142">
        <v>0</v>
      </c>
      <c r="M7751" s="142">
        <v>0</v>
      </c>
    </row>
    <row r="7752" spans="1:13" x14ac:dyDescent="0.45">
      <c r="A7752" s="142" t="s">
        <v>14228</v>
      </c>
      <c r="B7752" s="142" t="s">
        <v>15132</v>
      </c>
      <c r="C7752" s="142" t="s">
        <v>15860</v>
      </c>
      <c r="D7752" s="142" t="s">
        <v>15861</v>
      </c>
      <c r="E7752" s="142" t="s">
        <v>15849</v>
      </c>
      <c r="F7752" s="142" t="s">
        <v>157</v>
      </c>
      <c r="G7752" s="142" t="s">
        <v>12323</v>
      </c>
      <c r="H7752" s="142" t="s">
        <v>23602</v>
      </c>
      <c r="I7752" s="142">
        <v>7</v>
      </c>
      <c r="J7752" s="142">
        <v>0</v>
      </c>
      <c r="K7752" s="142">
        <v>0</v>
      </c>
      <c r="L7752" s="142">
        <v>7</v>
      </c>
      <c r="M7752" s="142">
        <v>0</v>
      </c>
    </row>
    <row r="7753" spans="1:13" x14ac:dyDescent="0.45">
      <c r="A7753" s="142" t="s">
        <v>13014</v>
      </c>
      <c r="B7753" s="142" t="s">
        <v>14505</v>
      </c>
      <c r="C7753" s="142" t="s">
        <v>15847</v>
      </c>
      <c r="D7753" s="142" t="s">
        <v>15848</v>
      </c>
      <c r="E7753" s="142" t="s">
        <v>15849</v>
      </c>
      <c r="F7753" s="142" t="s">
        <v>157</v>
      </c>
      <c r="G7753" s="142" t="s">
        <v>12323</v>
      </c>
      <c r="H7753" s="142" t="s">
        <v>23603</v>
      </c>
      <c r="I7753" s="142">
        <v>618</v>
      </c>
      <c r="J7753" s="142">
        <v>618</v>
      </c>
      <c r="K7753" s="142">
        <v>0</v>
      </c>
      <c r="L7753" s="142">
        <v>0</v>
      </c>
      <c r="M7753" s="142">
        <v>0</v>
      </c>
    </row>
    <row r="7754" spans="1:13" x14ac:dyDescent="0.45">
      <c r="A7754" s="142" t="s">
        <v>13141</v>
      </c>
      <c r="B7754" s="142" t="s">
        <v>15258</v>
      </c>
      <c r="C7754" s="142" t="s">
        <v>15847</v>
      </c>
      <c r="D7754" s="142" t="s">
        <v>15848</v>
      </c>
      <c r="E7754" s="142" t="s">
        <v>15849</v>
      </c>
      <c r="F7754" s="142" t="s">
        <v>157</v>
      </c>
      <c r="G7754" s="142" t="s">
        <v>12323</v>
      </c>
      <c r="H7754" s="142" t="s">
        <v>23604</v>
      </c>
      <c r="I7754" s="142">
        <v>83</v>
      </c>
      <c r="J7754" s="142">
        <v>83</v>
      </c>
      <c r="K7754" s="142">
        <v>0</v>
      </c>
      <c r="L7754" s="142">
        <v>0</v>
      </c>
      <c r="M7754" s="142">
        <v>0</v>
      </c>
    </row>
    <row r="7755" spans="1:13" x14ac:dyDescent="0.45">
      <c r="A7755" s="142" t="s">
        <v>13042</v>
      </c>
      <c r="B7755" s="142" t="s">
        <v>15489</v>
      </c>
      <c r="C7755" s="142" t="s">
        <v>15847</v>
      </c>
      <c r="D7755" s="142" t="s">
        <v>15848</v>
      </c>
      <c r="E7755" s="142" t="s">
        <v>15849</v>
      </c>
      <c r="F7755" s="142" t="s">
        <v>157</v>
      </c>
      <c r="G7755" s="142" t="s">
        <v>12323</v>
      </c>
      <c r="H7755" s="142" t="s">
        <v>23605</v>
      </c>
      <c r="I7755" s="142">
        <v>358</v>
      </c>
      <c r="J7755" s="142">
        <v>189</v>
      </c>
      <c r="K7755" s="142">
        <v>0</v>
      </c>
      <c r="L7755" s="142">
        <v>154</v>
      </c>
      <c r="M7755" s="142">
        <v>15</v>
      </c>
    </row>
    <row r="7756" spans="1:13" x14ac:dyDescent="0.45">
      <c r="A7756" s="142" t="s">
        <v>13061</v>
      </c>
      <c r="B7756" s="142" t="s">
        <v>15184</v>
      </c>
      <c r="C7756" s="142" t="s">
        <v>15860</v>
      </c>
      <c r="D7756" s="142" t="s">
        <v>15861</v>
      </c>
      <c r="E7756" s="142" t="s">
        <v>15849</v>
      </c>
      <c r="F7756" s="142" t="s">
        <v>157</v>
      </c>
      <c r="G7756" s="142" t="s">
        <v>12323</v>
      </c>
      <c r="H7756" s="142" t="s">
        <v>23606</v>
      </c>
      <c r="I7756" s="142">
        <v>14</v>
      </c>
      <c r="J7756" s="142">
        <v>0</v>
      </c>
      <c r="K7756" s="142">
        <v>0</v>
      </c>
      <c r="L7756" s="142">
        <v>14</v>
      </c>
      <c r="M7756" s="142">
        <v>0</v>
      </c>
    </row>
    <row r="7757" spans="1:13" x14ac:dyDescent="0.45">
      <c r="A7757" s="142" t="s">
        <v>13062</v>
      </c>
      <c r="B7757" s="142" t="s">
        <v>15259</v>
      </c>
      <c r="C7757" s="142" t="s">
        <v>15847</v>
      </c>
      <c r="D7757" s="142" t="s">
        <v>15848</v>
      </c>
      <c r="E7757" s="142" t="s">
        <v>15849</v>
      </c>
      <c r="F7757" s="142" t="s">
        <v>157</v>
      </c>
      <c r="G7757" s="142" t="s">
        <v>12323</v>
      </c>
      <c r="H7757" s="142" t="s">
        <v>23607</v>
      </c>
      <c r="I7757" s="142">
        <v>1334</v>
      </c>
      <c r="J7757" s="142">
        <v>1125</v>
      </c>
      <c r="K7757" s="142">
        <v>0</v>
      </c>
      <c r="L7757" s="142">
        <v>13</v>
      </c>
      <c r="M7757" s="142">
        <v>196</v>
      </c>
    </row>
    <row r="7758" spans="1:13" x14ac:dyDescent="0.45">
      <c r="A7758" s="142" t="s">
        <v>13016</v>
      </c>
      <c r="B7758" s="142" t="s">
        <v>14535</v>
      </c>
      <c r="C7758" s="142" t="s">
        <v>15860</v>
      </c>
      <c r="D7758" s="142" t="s">
        <v>15861</v>
      </c>
      <c r="E7758" s="142" t="s">
        <v>15849</v>
      </c>
      <c r="F7758" s="142" t="s">
        <v>157</v>
      </c>
      <c r="G7758" s="142" t="s">
        <v>12323</v>
      </c>
      <c r="H7758" s="142" t="s">
        <v>23608</v>
      </c>
      <c r="I7758" s="142">
        <v>12</v>
      </c>
      <c r="J7758" s="142">
        <v>0</v>
      </c>
      <c r="K7758" s="142">
        <v>0</v>
      </c>
      <c r="L7758" s="142">
        <v>12</v>
      </c>
      <c r="M7758" s="142">
        <v>0</v>
      </c>
    </row>
    <row r="7759" spans="1:13" x14ac:dyDescent="0.45">
      <c r="A7759" s="142" t="s">
        <v>14229</v>
      </c>
      <c r="B7759" s="142" t="s">
        <v>15338</v>
      </c>
      <c r="C7759" s="142" t="s">
        <v>15860</v>
      </c>
      <c r="D7759" s="142" t="s">
        <v>15861</v>
      </c>
      <c r="E7759" s="142" t="s">
        <v>15849</v>
      </c>
      <c r="F7759" s="142" t="s">
        <v>157</v>
      </c>
      <c r="G7759" s="142" t="s">
        <v>12323</v>
      </c>
      <c r="H7759" s="142" t="s">
        <v>23609</v>
      </c>
      <c r="I7759" s="142">
        <v>22</v>
      </c>
      <c r="J7759" s="142">
        <v>0</v>
      </c>
      <c r="K7759" s="142">
        <v>0</v>
      </c>
      <c r="L7759" s="142">
        <v>22</v>
      </c>
      <c r="M7759" s="142">
        <v>0</v>
      </c>
    </row>
    <row r="7760" spans="1:13" x14ac:dyDescent="0.45">
      <c r="A7760" s="142" t="s">
        <v>13308</v>
      </c>
      <c r="B7760" s="142" t="s">
        <v>15608</v>
      </c>
      <c r="C7760" s="142" t="s">
        <v>15847</v>
      </c>
      <c r="D7760" s="142" t="s">
        <v>15848</v>
      </c>
      <c r="E7760" s="142" t="s">
        <v>15849</v>
      </c>
      <c r="F7760" s="142" t="s">
        <v>158</v>
      </c>
      <c r="G7760" s="142" t="s">
        <v>8497</v>
      </c>
      <c r="H7760" s="142" t="s">
        <v>23610</v>
      </c>
      <c r="I7760" s="142">
        <v>319</v>
      </c>
      <c r="J7760" s="142">
        <v>3</v>
      </c>
      <c r="K7760" s="142">
        <v>0</v>
      </c>
      <c r="L7760" s="142">
        <v>0</v>
      </c>
      <c r="M7760" s="142">
        <v>316</v>
      </c>
    </row>
    <row r="7761" spans="1:13" x14ac:dyDescent="0.45">
      <c r="A7761" s="142" t="s">
        <v>13166</v>
      </c>
      <c r="B7761" s="142" t="s">
        <v>15576</v>
      </c>
      <c r="C7761" s="142" t="s">
        <v>15847</v>
      </c>
      <c r="D7761" s="142" t="s">
        <v>15848</v>
      </c>
      <c r="E7761" s="142" t="s">
        <v>15849</v>
      </c>
      <c r="F7761" s="142" t="s">
        <v>158</v>
      </c>
      <c r="G7761" s="142" t="s">
        <v>8497</v>
      </c>
      <c r="H7761" s="142" t="s">
        <v>23611</v>
      </c>
      <c r="I7761" s="142">
        <v>4995</v>
      </c>
      <c r="J7761" s="142">
        <v>4479</v>
      </c>
      <c r="K7761" s="142">
        <v>0</v>
      </c>
      <c r="L7761" s="142">
        <v>298</v>
      </c>
      <c r="M7761" s="142">
        <v>218</v>
      </c>
    </row>
    <row r="7762" spans="1:13" x14ac:dyDescent="0.45">
      <c r="A7762" s="142" t="s">
        <v>13046</v>
      </c>
      <c r="B7762" s="142" t="s">
        <v>15537</v>
      </c>
      <c r="C7762" s="142" t="s">
        <v>15860</v>
      </c>
      <c r="D7762" s="142" t="s">
        <v>15861</v>
      </c>
      <c r="E7762" s="142" t="s">
        <v>15849</v>
      </c>
      <c r="F7762" s="142" t="s">
        <v>158</v>
      </c>
      <c r="G7762" s="142" t="s">
        <v>8497</v>
      </c>
      <c r="H7762" s="142" t="s">
        <v>23612</v>
      </c>
      <c r="I7762" s="142">
        <v>12</v>
      </c>
      <c r="J7762" s="142">
        <v>1</v>
      </c>
      <c r="K7762" s="142">
        <v>0</v>
      </c>
      <c r="L7762" s="142">
        <v>11</v>
      </c>
      <c r="M7762" s="142">
        <v>0</v>
      </c>
    </row>
    <row r="7763" spans="1:13" x14ac:dyDescent="0.45">
      <c r="A7763" s="142" t="s">
        <v>13000</v>
      </c>
      <c r="B7763" s="142" t="s">
        <v>14610</v>
      </c>
      <c r="C7763" s="142" t="s">
        <v>15847</v>
      </c>
      <c r="D7763" s="142" t="s">
        <v>15848</v>
      </c>
      <c r="E7763" s="142" t="s">
        <v>15849</v>
      </c>
      <c r="F7763" s="142" t="s">
        <v>158</v>
      </c>
      <c r="G7763" s="142" t="s">
        <v>8497</v>
      </c>
      <c r="H7763" s="142" t="s">
        <v>23613</v>
      </c>
      <c r="I7763" s="142">
        <v>103</v>
      </c>
      <c r="J7763" s="142">
        <v>0</v>
      </c>
      <c r="K7763" s="142">
        <v>0</v>
      </c>
      <c r="L7763" s="142">
        <v>0</v>
      </c>
      <c r="M7763" s="142">
        <v>103</v>
      </c>
    </row>
    <row r="7764" spans="1:13" x14ac:dyDescent="0.45">
      <c r="A7764" s="142" t="s">
        <v>13027</v>
      </c>
      <c r="B7764" s="142" t="s">
        <v>14562</v>
      </c>
      <c r="C7764" s="142" t="s">
        <v>15847</v>
      </c>
      <c r="D7764" s="142" t="s">
        <v>15848</v>
      </c>
      <c r="E7764" s="142" t="s">
        <v>15849</v>
      </c>
      <c r="F7764" s="142" t="s">
        <v>158</v>
      </c>
      <c r="G7764" s="142" t="s">
        <v>8497</v>
      </c>
      <c r="H7764" s="142" t="s">
        <v>23614</v>
      </c>
      <c r="I7764" s="142">
        <v>2</v>
      </c>
      <c r="J7764" s="142">
        <v>0</v>
      </c>
      <c r="K7764" s="142">
        <v>0</v>
      </c>
      <c r="L7764" s="142">
        <v>2</v>
      </c>
      <c r="M7764" s="142">
        <v>0</v>
      </c>
    </row>
    <row r="7765" spans="1:13" x14ac:dyDescent="0.45">
      <c r="A7765" s="142" t="s">
        <v>13003</v>
      </c>
      <c r="B7765" s="142" t="s">
        <v>15245</v>
      </c>
      <c r="C7765" s="142" t="s">
        <v>15847</v>
      </c>
      <c r="D7765" s="142" t="s">
        <v>15848</v>
      </c>
      <c r="E7765" s="142" t="s">
        <v>15849</v>
      </c>
      <c r="F7765" s="142" t="s">
        <v>158</v>
      </c>
      <c r="G7765" s="142" t="s">
        <v>8497</v>
      </c>
      <c r="H7765" s="142" t="s">
        <v>23615</v>
      </c>
      <c r="I7765" s="142">
        <v>39</v>
      </c>
      <c r="J7765" s="142">
        <v>0</v>
      </c>
      <c r="K7765" s="142">
        <v>0</v>
      </c>
      <c r="L7765" s="142">
        <v>37</v>
      </c>
      <c r="M7765" s="142">
        <v>2</v>
      </c>
    </row>
    <row r="7766" spans="1:13" x14ac:dyDescent="0.45">
      <c r="A7766" s="142" t="s">
        <v>13005</v>
      </c>
      <c r="B7766" s="142" t="s">
        <v>15475</v>
      </c>
      <c r="C7766" s="142" t="s">
        <v>15847</v>
      </c>
      <c r="D7766" s="142" t="s">
        <v>15848</v>
      </c>
      <c r="E7766" s="142" t="s">
        <v>15849</v>
      </c>
      <c r="F7766" s="142" t="s">
        <v>158</v>
      </c>
      <c r="G7766" s="142" t="s">
        <v>8497</v>
      </c>
      <c r="H7766" s="142" t="s">
        <v>23616</v>
      </c>
      <c r="I7766" s="142">
        <v>2</v>
      </c>
      <c r="J7766" s="142">
        <v>0</v>
      </c>
      <c r="K7766" s="142">
        <v>0</v>
      </c>
      <c r="L7766" s="142">
        <v>0</v>
      </c>
      <c r="M7766" s="142">
        <v>2</v>
      </c>
    </row>
    <row r="7767" spans="1:13" x14ac:dyDescent="0.45">
      <c r="A7767" s="142" t="s">
        <v>13006</v>
      </c>
      <c r="B7767" s="142" t="s">
        <v>15288</v>
      </c>
      <c r="C7767" s="142" t="s">
        <v>15847</v>
      </c>
      <c r="D7767" s="142" t="s">
        <v>15848</v>
      </c>
      <c r="E7767" s="142" t="s">
        <v>15849</v>
      </c>
      <c r="F7767" s="142" t="s">
        <v>158</v>
      </c>
      <c r="G7767" s="142" t="s">
        <v>8497</v>
      </c>
      <c r="H7767" s="142" t="s">
        <v>23617</v>
      </c>
      <c r="I7767" s="142">
        <v>311</v>
      </c>
      <c r="J7767" s="142">
        <v>247</v>
      </c>
      <c r="K7767" s="142">
        <v>0</v>
      </c>
      <c r="L7767" s="142">
        <v>4</v>
      </c>
      <c r="M7767" s="142">
        <v>60</v>
      </c>
    </row>
    <row r="7768" spans="1:13" x14ac:dyDescent="0.45">
      <c r="A7768" s="142" t="s">
        <v>13568</v>
      </c>
      <c r="B7768" s="142" t="s">
        <v>15242</v>
      </c>
      <c r="C7768" s="142" t="s">
        <v>15847</v>
      </c>
      <c r="D7768" s="142" t="s">
        <v>15848</v>
      </c>
      <c r="E7768" s="142" t="s">
        <v>15849</v>
      </c>
      <c r="F7768" s="142" t="s">
        <v>158</v>
      </c>
      <c r="G7768" s="142" t="s">
        <v>8497</v>
      </c>
      <c r="H7768" s="142" t="s">
        <v>23618</v>
      </c>
      <c r="I7768" s="142">
        <v>1</v>
      </c>
      <c r="J7768" s="142">
        <v>1</v>
      </c>
      <c r="K7768" s="142">
        <v>0</v>
      </c>
      <c r="L7768" s="142">
        <v>0</v>
      </c>
      <c r="M7768" s="142">
        <v>0</v>
      </c>
    </row>
    <row r="7769" spans="1:13" x14ac:dyDescent="0.45">
      <c r="A7769" s="142" t="s">
        <v>13103</v>
      </c>
      <c r="B7769" s="142" t="s">
        <v>14623</v>
      </c>
      <c r="C7769" s="142" t="s">
        <v>15847</v>
      </c>
      <c r="D7769" s="142" t="s">
        <v>15848</v>
      </c>
      <c r="E7769" s="142" t="s">
        <v>15849</v>
      </c>
      <c r="F7769" s="142" t="s">
        <v>158</v>
      </c>
      <c r="G7769" s="142" t="s">
        <v>8497</v>
      </c>
      <c r="H7769" s="142" t="s">
        <v>23619</v>
      </c>
      <c r="I7769" s="142">
        <v>1</v>
      </c>
      <c r="J7769" s="142">
        <v>1</v>
      </c>
      <c r="K7769" s="142">
        <v>0</v>
      </c>
      <c r="L7769" s="142">
        <v>0</v>
      </c>
      <c r="M7769" s="142">
        <v>0</v>
      </c>
    </row>
    <row r="7770" spans="1:13" x14ac:dyDescent="0.45">
      <c r="A7770" s="142" t="s">
        <v>13054</v>
      </c>
      <c r="B7770" s="142" t="s">
        <v>15604</v>
      </c>
      <c r="C7770" s="142" t="s">
        <v>15847</v>
      </c>
      <c r="D7770" s="142" t="s">
        <v>15848</v>
      </c>
      <c r="E7770" s="142" t="s">
        <v>15849</v>
      </c>
      <c r="F7770" s="142" t="s">
        <v>158</v>
      </c>
      <c r="G7770" s="142" t="s">
        <v>8497</v>
      </c>
      <c r="H7770" s="142" t="s">
        <v>23620</v>
      </c>
      <c r="I7770" s="142">
        <v>1</v>
      </c>
      <c r="J7770" s="142">
        <v>0</v>
      </c>
      <c r="K7770" s="142">
        <v>0</v>
      </c>
      <c r="L7770" s="142">
        <v>0</v>
      </c>
      <c r="M7770" s="142">
        <v>1</v>
      </c>
    </row>
    <row r="7771" spans="1:13" x14ac:dyDescent="0.45">
      <c r="A7771" s="142" t="s">
        <v>13055</v>
      </c>
      <c r="B7771" s="142" t="s">
        <v>14595</v>
      </c>
      <c r="C7771" s="142" t="s">
        <v>15847</v>
      </c>
      <c r="D7771" s="142" t="s">
        <v>15848</v>
      </c>
      <c r="E7771" s="142" t="s">
        <v>15849</v>
      </c>
      <c r="F7771" s="142" t="s">
        <v>158</v>
      </c>
      <c r="G7771" s="142" t="s">
        <v>8497</v>
      </c>
      <c r="H7771" s="142" t="s">
        <v>23621</v>
      </c>
      <c r="I7771" s="142">
        <v>152</v>
      </c>
      <c r="J7771" s="142">
        <v>129</v>
      </c>
      <c r="K7771" s="142">
        <v>0</v>
      </c>
      <c r="L7771" s="142">
        <v>0</v>
      </c>
      <c r="M7771" s="142">
        <v>23</v>
      </c>
    </row>
    <row r="7772" spans="1:13" x14ac:dyDescent="0.45">
      <c r="A7772" s="142" t="s">
        <v>13104</v>
      </c>
      <c r="B7772" s="142" t="s">
        <v>14622</v>
      </c>
      <c r="C7772" s="142" t="s">
        <v>15847</v>
      </c>
      <c r="D7772" s="142" t="s">
        <v>15848</v>
      </c>
      <c r="E7772" s="142" t="s">
        <v>15849</v>
      </c>
      <c r="F7772" s="142" t="s">
        <v>158</v>
      </c>
      <c r="G7772" s="142" t="s">
        <v>8497</v>
      </c>
      <c r="H7772" s="142" t="s">
        <v>23622</v>
      </c>
      <c r="I7772" s="142">
        <v>59</v>
      </c>
      <c r="J7772" s="142">
        <v>34</v>
      </c>
      <c r="K7772" s="142">
        <v>0</v>
      </c>
      <c r="L7772" s="142">
        <v>0</v>
      </c>
      <c r="M7772" s="142">
        <v>25</v>
      </c>
    </row>
    <row r="7773" spans="1:13" x14ac:dyDescent="0.45">
      <c r="A7773" s="142" t="s">
        <v>13779</v>
      </c>
      <c r="B7773" s="142" t="s">
        <v>15434</v>
      </c>
      <c r="C7773" s="142" t="s">
        <v>15847</v>
      </c>
      <c r="D7773" s="142" t="s">
        <v>15848</v>
      </c>
      <c r="E7773" s="142" t="s">
        <v>15849</v>
      </c>
      <c r="F7773" s="142" t="s">
        <v>158</v>
      </c>
      <c r="G7773" s="142" t="s">
        <v>8497</v>
      </c>
      <c r="H7773" s="142" t="s">
        <v>23623</v>
      </c>
      <c r="I7773" s="142">
        <v>104</v>
      </c>
      <c r="J7773" s="142">
        <v>91</v>
      </c>
      <c r="K7773" s="142">
        <v>0</v>
      </c>
      <c r="L7773" s="142">
        <v>0</v>
      </c>
      <c r="M7773" s="142">
        <v>13</v>
      </c>
    </row>
    <row r="7774" spans="1:13" x14ac:dyDescent="0.45">
      <c r="A7774" s="142" t="s">
        <v>14231</v>
      </c>
      <c r="B7774" s="142" t="s">
        <v>14699</v>
      </c>
      <c r="C7774" s="142" t="s">
        <v>15860</v>
      </c>
      <c r="D7774" s="142" t="s">
        <v>15861</v>
      </c>
      <c r="E7774" s="142" t="s">
        <v>15849</v>
      </c>
      <c r="F7774" s="142" t="s">
        <v>158</v>
      </c>
      <c r="G7774" s="142" t="s">
        <v>8497</v>
      </c>
      <c r="H7774" s="142" t="s">
        <v>23624</v>
      </c>
      <c r="I7774" s="142">
        <v>25</v>
      </c>
      <c r="J7774" s="142">
        <v>0</v>
      </c>
      <c r="K7774" s="142">
        <v>0</v>
      </c>
      <c r="L7774" s="142">
        <v>25</v>
      </c>
      <c r="M7774" s="142">
        <v>0</v>
      </c>
    </row>
    <row r="7775" spans="1:13" x14ac:dyDescent="0.45">
      <c r="A7775" s="142" t="s">
        <v>13014</v>
      </c>
      <c r="B7775" s="142" t="s">
        <v>14505</v>
      </c>
      <c r="C7775" s="142" t="s">
        <v>15847</v>
      </c>
      <c r="D7775" s="142" t="s">
        <v>15848</v>
      </c>
      <c r="E7775" s="142" t="s">
        <v>15849</v>
      </c>
      <c r="F7775" s="142" t="s">
        <v>158</v>
      </c>
      <c r="G7775" s="142" t="s">
        <v>8497</v>
      </c>
      <c r="H7775" s="142" t="s">
        <v>23625</v>
      </c>
      <c r="I7775" s="142">
        <v>4</v>
      </c>
      <c r="J7775" s="142">
        <v>0</v>
      </c>
      <c r="K7775" s="142">
        <v>0</v>
      </c>
      <c r="L7775" s="142">
        <v>0</v>
      </c>
      <c r="M7775" s="142">
        <v>4</v>
      </c>
    </row>
    <row r="7776" spans="1:13" x14ac:dyDescent="0.45">
      <c r="A7776" s="142" t="s">
        <v>13570</v>
      </c>
      <c r="B7776" s="142" t="s">
        <v>15181</v>
      </c>
      <c r="C7776" s="142" t="s">
        <v>15860</v>
      </c>
      <c r="D7776" s="142" t="s">
        <v>15861</v>
      </c>
      <c r="E7776" s="142" t="s">
        <v>15849</v>
      </c>
      <c r="F7776" s="142" t="s">
        <v>158</v>
      </c>
      <c r="G7776" s="142" t="s">
        <v>8497</v>
      </c>
      <c r="H7776" s="142" t="s">
        <v>23626</v>
      </c>
      <c r="I7776" s="142">
        <v>68</v>
      </c>
      <c r="J7776" s="142">
        <v>0</v>
      </c>
      <c r="K7776" s="142">
        <v>0</v>
      </c>
      <c r="L7776" s="142">
        <v>68</v>
      </c>
      <c r="M7776" s="142">
        <v>0</v>
      </c>
    </row>
    <row r="7777" spans="1:13" x14ac:dyDescent="0.45">
      <c r="A7777" s="142" t="s">
        <v>13046</v>
      </c>
      <c r="B7777" s="142" t="s">
        <v>15537</v>
      </c>
      <c r="C7777" s="142" t="s">
        <v>15860</v>
      </c>
      <c r="D7777" s="142" t="s">
        <v>15861</v>
      </c>
      <c r="E7777" s="142" t="s">
        <v>15849</v>
      </c>
      <c r="F7777" s="142" t="s">
        <v>159</v>
      </c>
      <c r="G7777" s="142" t="s">
        <v>9436</v>
      </c>
      <c r="H7777" s="142" t="s">
        <v>23627</v>
      </c>
      <c r="I7777" s="142">
        <v>14</v>
      </c>
      <c r="J7777" s="142">
        <v>0</v>
      </c>
      <c r="K7777" s="142">
        <v>0</v>
      </c>
      <c r="L7777" s="142">
        <v>14</v>
      </c>
      <c r="M7777" s="142">
        <v>0</v>
      </c>
    </row>
    <row r="7778" spans="1:13" x14ac:dyDescent="0.45">
      <c r="A7778" s="142" t="s">
        <v>13022</v>
      </c>
      <c r="B7778" s="142" t="s">
        <v>14634</v>
      </c>
      <c r="C7778" s="142" t="s">
        <v>15847</v>
      </c>
      <c r="D7778" s="142" t="s">
        <v>15848</v>
      </c>
      <c r="E7778" s="142" t="s">
        <v>15849</v>
      </c>
      <c r="F7778" s="142" t="s">
        <v>159</v>
      </c>
      <c r="G7778" s="142" t="s">
        <v>9436</v>
      </c>
      <c r="H7778" s="142" t="s">
        <v>23628</v>
      </c>
      <c r="I7778" s="142">
        <v>20</v>
      </c>
      <c r="J7778" s="142">
        <v>0</v>
      </c>
      <c r="K7778" s="142">
        <v>0</v>
      </c>
      <c r="L7778" s="142">
        <v>20</v>
      </c>
      <c r="M7778" s="142">
        <v>0</v>
      </c>
    </row>
    <row r="7779" spans="1:13" x14ac:dyDescent="0.45">
      <c r="A7779" s="142" t="s">
        <v>13023</v>
      </c>
      <c r="B7779" s="142" t="s">
        <v>15571</v>
      </c>
      <c r="C7779" s="142" t="s">
        <v>15847</v>
      </c>
      <c r="D7779" s="142" t="s">
        <v>15848</v>
      </c>
      <c r="E7779" s="142" t="s">
        <v>15849</v>
      </c>
      <c r="F7779" s="142" t="s">
        <v>159</v>
      </c>
      <c r="G7779" s="142" t="s">
        <v>9436</v>
      </c>
      <c r="H7779" s="142" t="s">
        <v>23629</v>
      </c>
      <c r="I7779" s="142">
        <v>35</v>
      </c>
      <c r="J7779" s="142">
        <v>0</v>
      </c>
      <c r="K7779" s="142">
        <v>0</v>
      </c>
      <c r="L7779" s="142">
        <v>35</v>
      </c>
      <c r="M7779" s="142">
        <v>0</v>
      </c>
    </row>
    <row r="7780" spans="1:13" x14ac:dyDescent="0.45">
      <c r="A7780" s="142" t="s">
        <v>13082</v>
      </c>
      <c r="B7780" s="142" t="s">
        <v>14478</v>
      </c>
      <c r="C7780" s="142" t="s">
        <v>15860</v>
      </c>
      <c r="D7780" s="142" t="s">
        <v>15861</v>
      </c>
      <c r="E7780" s="142" t="s">
        <v>15849</v>
      </c>
      <c r="F7780" s="142" t="s">
        <v>159</v>
      </c>
      <c r="G7780" s="142" t="s">
        <v>9436</v>
      </c>
      <c r="H7780" s="142" t="s">
        <v>23630</v>
      </c>
      <c r="I7780" s="142">
        <v>14</v>
      </c>
      <c r="J7780" s="142">
        <v>0</v>
      </c>
      <c r="K7780" s="142">
        <v>0</v>
      </c>
      <c r="L7780" s="142">
        <v>14</v>
      </c>
      <c r="M7780" s="142">
        <v>0</v>
      </c>
    </row>
    <row r="7781" spans="1:13" x14ac:dyDescent="0.45">
      <c r="A7781" s="142" t="s">
        <v>13348</v>
      </c>
      <c r="B7781" s="142" t="s">
        <v>15458</v>
      </c>
      <c r="C7781" s="142" t="s">
        <v>15847</v>
      </c>
      <c r="D7781" s="142" t="s">
        <v>15848</v>
      </c>
      <c r="E7781" s="142" t="s">
        <v>15849</v>
      </c>
      <c r="F7781" s="142" t="s">
        <v>159</v>
      </c>
      <c r="G7781" s="142" t="s">
        <v>9436</v>
      </c>
      <c r="H7781" s="142" t="s">
        <v>23631</v>
      </c>
      <c r="I7781" s="142">
        <v>10</v>
      </c>
      <c r="J7781" s="142">
        <v>5</v>
      </c>
      <c r="K7781" s="142">
        <v>0</v>
      </c>
      <c r="L7781" s="142">
        <v>0</v>
      </c>
      <c r="M7781" s="142">
        <v>5</v>
      </c>
    </row>
    <row r="7782" spans="1:13" x14ac:dyDescent="0.45">
      <c r="A7782" s="142" t="s">
        <v>13000</v>
      </c>
      <c r="B7782" s="142" t="s">
        <v>14610</v>
      </c>
      <c r="C7782" s="142" t="s">
        <v>15847</v>
      </c>
      <c r="D7782" s="142" t="s">
        <v>15848</v>
      </c>
      <c r="E7782" s="142" t="s">
        <v>15849</v>
      </c>
      <c r="F7782" s="142" t="s">
        <v>159</v>
      </c>
      <c r="G7782" s="142" t="s">
        <v>9436</v>
      </c>
      <c r="H7782" s="142" t="s">
        <v>23632</v>
      </c>
      <c r="I7782" s="142">
        <v>46</v>
      </c>
      <c r="J7782" s="142">
        <v>30</v>
      </c>
      <c r="K7782" s="142">
        <v>0</v>
      </c>
      <c r="L7782" s="142">
        <v>0</v>
      </c>
      <c r="M7782" s="142">
        <v>16</v>
      </c>
    </row>
    <row r="7783" spans="1:13" x14ac:dyDescent="0.45">
      <c r="A7783" s="142" t="s">
        <v>13119</v>
      </c>
      <c r="B7783" s="142" t="s">
        <v>14451</v>
      </c>
      <c r="C7783" s="142" t="s">
        <v>15860</v>
      </c>
      <c r="D7783" s="142" t="s">
        <v>15861</v>
      </c>
      <c r="E7783" s="142" t="s">
        <v>15849</v>
      </c>
      <c r="F7783" s="142" t="s">
        <v>159</v>
      </c>
      <c r="G7783" s="142" t="s">
        <v>9436</v>
      </c>
      <c r="H7783" s="142" t="s">
        <v>23633</v>
      </c>
      <c r="I7783" s="142">
        <v>4</v>
      </c>
      <c r="J7783" s="142">
        <v>0</v>
      </c>
      <c r="K7783" s="142">
        <v>0</v>
      </c>
      <c r="L7783" s="142">
        <v>4</v>
      </c>
      <c r="M7783" s="142">
        <v>0</v>
      </c>
    </row>
    <row r="7784" spans="1:13" x14ac:dyDescent="0.45">
      <c r="A7784" s="142" t="s">
        <v>13168</v>
      </c>
      <c r="B7784" s="142" t="s">
        <v>14486</v>
      </c>
      <c r="C7784" s="142" t="s">
        <v>15860</v>
      </c>
      <c r="D7784" s="142" t="s">
        <v>15861</v>
      </c>
      <c r="E7784" s="142" t="s">
        <v>15849</v>
      </c>
      <c r="F7784" s="142" t="s">
        <v>159</v>
      </c>
      <c r="G7784" s="142" t="s">
        <v>9436</v>
      </c>
      <c r="H7784" s="142" t="s">
        <v>23634</v>
      </c>
      <c r="I7784" s="142">
        <v>4</v>
      </c>
      <c r="J7784" s="142">
        <v>0</v>
      </c>
      <c r="K7784" s="142">
        <v>0</v>
      </c>
      <c r="L7784" s="142">
        <v>4</v>
      </c>
      <c r="M7784" s="142">
        <v>0</v>
      </c>
    </row>
    <row r="7785" spans="1:13" x14ac:dyDescent="0.45">
      <c r="A7785" s="142" t="s">
        <v>13028</v>
      </c>
      <c r="B7785" s="142" t="s">
        <v>14462</v>
      </c>
      <c r="C7785" s="142" t="s">
        <v>15847</v>
      </c>
      <c r="D7785" s="142" t="s">
        <v>15848</v>
      </c>
      <c r="E7785" s="142" t="s">
        <v>15849</v>
      </c>
      <c r="F7785" s="142" t="s">
        <v>159</v>
      </c>
      <c r="G7785" s="142" t="s">
        <v>9436</v>
      </c>
      <c r="H7785" s="142" t="s">
        <v>23635</v>
      </c>
      <c r="I7785" s="142">
        <v>9</v>
      </c>
      <c r="J7785" s="142">
        <v>0</v>
      </c>
      <c r="K7785" s="142">
        <v>0</v>
      </c>
      <c r="L7785" s="142">
        <v>0</v>
      </c>
      <c r="M7785" s="142">
        <v>9</v>
      </c>
    </row>
    <row r="7786" spans="1:13" x14ac:dyDescent="0.45">
      <c r="A7786" s="142" t="s">
        <v>13199</v>
      </c>
      <c r="B7786" s="142" t="s">
        <v>15362</v>
      </c>
      <c r="C7786" s="142" t="s">
        <v>15847</v>
      </c>
      <c r="D7786" s="142" t="s">
        <v>15848</v>
      </c>
      <c r="E7786" s="142" t="s">
        <v>15849</v>
      </c>
      <c r="F7786" s="142" t="s">
        <v>159</v>
      </c>
      <c r="G7786" s="142" t="s">
        <v>9436</v>
      </c>
      <c r="H7786" s="142" t="s">
        <v>23636</v>
      </c>
      <c r="I7786" s="142">
        <v>1347</v>
      </c>
      <c r="J7786" s="142">
        <v>1086</v>
      </c>
      <c r="K7786" s="142">
        <v>0</v>
      </c>
      <c r="L7786" s="142">
        <v>137</v>
      </c>
      <c r="M7786" s="142">
        <v>124</v>
      </c>
    </row>
    <row r="7787" spans="1:13" x14ac:dyDescent="0.45">
      <c r="A7787" s="142" t="s">
        <v>13002</v>
      </c>
      <c r="B7787" s="142" t="s">
        <v>15376</v>
      </c>
      <c r="C7787" s="142" t="s">
        <v>15847</v>
      </c>
      <c r="D7787" s="142" t="s">
        <v>15848</v>
      </c>
      <c r="E7787" s="142" t="s">
        <v>15849</v>
      </c>
      <c r="F7787" s="142" t="s">
        <v>159</v>
      </c>
      <c r="G7787" s="142" t="s">
        <v>9436</v>
      </c>
      <c r="H7787" s="142" t="s">
        <v>23637</v>
      </c>
      <c r="I7787" s="142">
        <v>160</v>
      </c>
      <c r="J7787" s="142">
        <v>152</v>
      </c>
      <c r="K7787" s="142">
        <v>0</v>
      </c>
      <c r="L7787" s="142">
        <v>8</v>
      </c>
      <c r="M7787" s="142">
        <v>0</v>
      </c>
    </row>
    <row r="7788" spans="1:13" x14ac:dyDescent="0.45">
      <c r="A7788" s="142" t="s">
        <v>13003</v>
      </c>
      <c r="B7788" s="142" t="s">
        <v>15245</v>
      </c>
      <c r="C7788" s="142" t="s">
        <v>15847</v>
      </c>
      <c r="D7788" s="142" t="s">
        <v>15848</v>
      </c>
      <c r="E7788" s="142" t="s">
        <v>15849</v>
      </c>
      <c r="F7788" s="142" t="s">
        <v>159</v>
      </c>
      <c r="G7788" s="142" t="s">
        <v>9436</v>
      </c>
      <c r="H7788" s="142" t="s">
        <v>23638</v>
      </c>
      <c r="I7788" s="142">
        <v>38</v>
      </c>
      <c r="J7788" s="142">
        <v>0</v>
      </c>
      <c r="K7788" s="142">
        <v>0</v>
      </c>
      <c r="L7788" s="142">
        <v>24</v>
      </c>
      <c r="M7788" s="142">
        <v>14</v>
      </c>
    </row>
    <row r="7789" spans="1:13" x14ac:dyDescent="0.45">
      <c r="A7789" s="142" t="s">
        <v>13051</v>
      </c>
      <c r="B7789" s="142" t="s">
        <v>14509</v>
      </c>
      <c r="C7789" s="142" t="s">
        <v>15860</v>
      </c>
      <c r="D7789" s="142" t="s">
        <v>15861</v>
      </c>
      <c r="E7789" s="142" t="s">
        <v>15849</v>
      </c>
      <c r="F7789" s="142" t="s">
        <v>159</v>
      </c>
      <c r="G7789" s="142" t="s">
        <v>9436</v>
      </c>
      <c r="H7789" s="142" t="s">
        <v>23639</v>
      </c>
      <c r="I7789" s="142">
        <v>4</v>
      </c>
      <c r="J7789" s="142">
        <v>0</v>
      </c>
      <c r="K7789" s="142">
        <v>0</v>
      </c>
      <c r="L7789" s="142">
        <v>4</v>
      </c>
      <c r="M7789" s="142">
        <v>0</v>
      </c>
    </row>
    <row r="7790" spans="1:13" x14ac:dyDescent="0.45">
      <c r="A7790" s="142" t="s">
        <v>13103</v>
      </c>
      <c r="B7790" s="142" t="s">
        <v>14623</v>
      </c>
      <c r="C7790" s="142" t="s">
        <v>15847</v>
      </c>
      <c r="D7790" s="142" t="s">
        <v>15848</v>
      </c>
      <c r="E7790" s="142" t="s">
        <v>15849</v>
      </c>
      <c r="F7790" s="142" t="s">
        <v>159</v>
      </c>
      <c r="G7790" s="142" t="s">
        <v>9436</v>
      </c>
      <c r="H7790" s="142" t="s">
        <v>23640</v>
      </c>
      <c r="I7790" s="142">
        <v>37</v>
      </c>
      <c r="J7790" s="142">
        <v>35</v>
      </c>
      <c r="K7790" s="142">
        <v>0</v>
      </c>
      <c r="L7790" s="142">
        <v>0</v>
      </c>
      <c r="M7790" s="142">
        <v>2</v>
      </c>
    </row>
    <row r="7791" spans="1:13" x14ac:dyDescent="0.45">
      <c r="A7791" s="142" t="s">
        <v>13054</v>
      </c>
      <c r="B7791" s="142" t="s">
        <v>15604</v>
      </c>
      <c r="C7791" s="142" t="s">
        <v>15847</v>
      </c>
      <c r="D7791" s="142" t="s">
        <v>15848</v>
      </c>
      <c r="E7791" s="142" t="s">
        <v>15849</v>
      </c>
      <c r="F7791" s="142" t="s">
        <v>159</v>
      </c>
      <c r="G7791" s="142" t="s">
        <v>9436</v>
      </c>
      <c r="H7791" s="142" t="s">
        <v>23641</v>
      </c>
      <c r="I7791" s="142">
        <v>2</v>
      </c>
      <c r="J7791" s="142">
        <v>0</v>
      </c>
      <c r="K7791" s="142">
        <v>0</v>
      </c>
      <c r="L7791" s="142">
        <v>0</v>
      </c>
      <c r="M7791" s="142">
        <v>2</v>
      </c>
    </row>
    <row r="7792" spans="1:13" x14ac:dyDescent="0.45">
      <c r="A7792" s="142" t="s">
        <v>13133</v>
      </c>
      <c r="B7792" s="142" t="s">
        <v>15291</v>
      </c>
      <c r="C7792" s="142" t="s">
        <v>15847</v>
      </c>
      <c r="D7792" s="142" t="s">
        <v>15848</v>
      </c>
      <c r="E7792" s="142" t="s">
        <v>15849</v>
      </c>
      <c r="F7792" s="142" t="s">
        <v>159</v>
      </c>
      <c r="G7792" s="142" t="s">
        <v>9436</v>
      </c>
      <c r="H7792" s="142" t="s">
        <v>23642</v>
      </c>
      <c r="I7792" s="142">
        <v>148</v>
      </c>
      <c r="J7792" s="142">
        <v>148</v>
      </c>
      <c r="K7792" s="142">
        <v>0</v>
      </c>
      <c r="L7792" s="142">
        <v>0</v>
      </c>
      <c r="M7792" s="142">
        <v>0</v>
      </c>
    </row>
    <row r="7793" spans="1:13" x14ac:dyDescent="0.45">
      <c r="A7793" s="142" t="s">
        <v>13135</v>
      </c>
      <c r="B7793" s="142" t="s">
        <v>15575</v>
      </c>
      <c r="C7793" s="142" t="s">
        <v>15847</v>
      </c>
      <c r="D7793" s="142" t="s">
        <v>15848</v>
      </c>
      <c r="E7793" s="142" t="s">
        <v>15849</v>
      </c>
      <c r="F7793" s="142" t="s">
        <v>159</v>
      </c>
      <c r="G7793" s="142" t="s">
        <v>9436</v>
      </c>
      <c r="H7793" s="142" t="s">
        <v>23643</v>
      </c>
      <c r="I7793" s="142">
        <v>143</v>
      </c>
      <c r="J7793" s="142">
        <v>122</v>
      </c>
      <c r="K7793" s="142">
        <v>0</v>
      </c>
      <c r="L7793" s="142">
        <v>0</v>
      </c>
      <c r="M7793" s="142">
        <v>21</v>
      </c>
    </row>
    <row r="7794" spans="1:13" x14ac:dyDescent="0.45">
      <c r="A7794" s="142" t="s">
        <v>13055</v>
      </c>
      <c r="B7794" s="142" t="s">
        <v>14595</v>
      </c>
      <c r="C7794" s="142" t="s">
        <v>15847</v>
      </c>
      <c r="D7794" s="142" t="s">
        <v>15848</v>
      </c>
      <c r="E7794" s="142" t="s">
        <v>15849</v>
      </c>
      <c r="F7794" s="142" t="s">
        <v>159</v>
      </c>
      <c r="G7794" s="142" t="s">
        <v>9436</v>
      </c>
      <c r="H7794" s="142" t="s">
        <v>23644</v>
      </c>
      <c r="I7794" s="142">
        <v>31</v>
      </c>
      <c r="J7794" s="142">
        <v>31</v>
      </c>
      <c r="K7794" s="142">
        <v>0</v>
      </c>
      <c r="L7794" s="142">
        <v>0</v>
      </c>
      <c r="M7794" s="142">
        <v>0</v>
      </c>
    </row>
    <row r="7795" spans="1:13" x14ac:dyDescent="0.45">
      <c r="A7795" s="142" t="s">
        <v>13104</v>
      </c>
      <c r="B7795" s="142" t="s">
        <v>14622</v>
      </c>
      <c r="C7795" s="142" t="s">
        <v>15847</v>
      </c>
      <c r="D7795" s="142" t="s">
        <v>15848</v>
      </c>
      <c r="E7795" s="142" t="s">
        <v>15849</v>
      </c>
      <c r="F7795" s="142" t="s">
        <v>159</v>
      </c>
      <c r="G7795" s="142" t="s">
        <v>9436</v>
      </c>
      <c r="H7795" s="142" t="s">
        <v>23645</v>
      </c>
      <c r="I7795" s="142">
        <v>636</v>
      </c>
      <c r="J7795" s="142">
        <v>523</v>
      </c>
      <c r="K7795" s="142">
        <v>0</v>
      </c>
      <c r="L7795" s="142">
        <v>82</v>
      </c>
      <c r="M7795" s="142">
        <v>31</v>
      </c>
    </row>
    <row r="7796" spans="1:13" x14ac:dyDescent="0.45">
      <c r="A7796" s="142" t="s">
        <v>13037</v>
      </c>
      <c r="B7796" s="142" t="s">
        <v>14519</v>
      </c>
      <c r="C7796" s="142" t="s">
        <v>15847</v>
      </c>
      <c r="D7796" s="142" t="s">
        <v>15848</v>
      </c>
      <c r="E7796" s="142" t="s">
        <v>15849</v>
      </c>
      <c r="F7796" s="142" t="s">
        <v>159</v>
      </c>
      <c r="G7796" s="142" t="s">
        <v>9436</v>
      </c>
      <c r="H7796" s="142" t="s">
        <v>23646</v>
      </c>
      <c r="I7796" s="142">
        <v>3</v>
      </c>
      <c r="J7796" s="142">
        <v>0</v>
      </c>
      <c r="K7796" s="142">
        <v>0</v>
      </c>
      <c r="L7796" s="142">
        <v>3</v>
      </c>
      <c r="M7796" s="142">
        <v>0</v>
      </c>
    </row>
    <row r="7797" spans="1:13" x14ac:dyDescent="0.45">
      <c r="A7797" s="142" t="s">
        <v>13039</v>
      </c>
      <c r="B7797" s="142" t="s">
        <v>14647</v>
      </c>
      <c r="C7797" s="142" t="s">
        <v>15847</v>
      </c>
      <c r="D7797" s="142" t="s">
        <v>15848</v>
      </c>
      <c r="E7797" s="142" t="s">
        <v>15849</v>
      </c>
      <c r="F7797" s="142" t="s">
        <v>159</v>
      </c>
      <c r="G7797" s="142" t="s">
        <v>9436</v>
      </c>
      <c r="H7797" s="142" t="s">
        <v>23647</v>
      </c>
      <c r="I7797" s="142">
        <v>32</v>
      </c>
      <c r="J7797" s="142">
        <v>32</v>
      </c>
      <c r="K7797" s="142">
        <v>0</v>
      </c>
      <c r="L7797" s="142">
        <v>0</v>
      </c>
      <c r="M7797" s="142">
        <v>0</v>
      </c>
    </row>
    <row r="7798" spans="1:13" x14ac:dyDescent="0.45">
      <c r="A7798" s="142" t="s">
        <v>13203</v>
      </c>
      <c r="B7798" s="142" t="s">
        <v>15446</v>
      </c>
      <c r="C7798" s="142" t="s">
        <v>15847</v>
      </c>
      <c r="D7798" s="142" t="s">
        <v>15848</v>
      </c>
      <c r="E7798" s="142" t="s">
        <v>15849</v>
      </c>
      <c r="F7798" s="142" t="s">
        <v>159</v>
      </c>
      <c r="G7798" s="142" t="s">
        <v>9436</v>
      </c>
      <c r="H7798" s="142" t="s">
        <v>23648</v>
      </c>
      <c r="I7798" s="142">
        <v>178</v>
      </c>
      <c r="J7798" s="142">
        <v>68</v>
      </c>
      <c r="K7798" s="142">
        <v>0</v>
      </c>
      <c r="L7798" s="142">
        <v>92</v>
      </c>
      <c r="M7798" s="142">
        <v>18</v>
      </c>
    </row>
    <row r="7799" spans="1:13" x14ac:dyDescent="0.45">
      <c r="A7799" s="142" t="s">
        <v>13058</v>
      </c>
      <c r="B7799" s="142" t="s">
        <v>14584</v>
      </c>
      <c r="C7799" s="142" t="s">
        <v>15847</v>
      </c>
      <c r="D7799" s="142" t="s">
        <v>15848</v>
      </c>
      <c r="E7799" s="142" t="s">
        <v>15849</v>
      </c>
      <c r="F7799" s="142" t="s">
        <v>159</v>
      </c>
      <c r="G7799" s="142" t="s">
        <v>9436</v>
      </c>
      <c r="H7799" s="142" t="s">
        <v>23649</v>
      </c>
      <c r="I7799" s="142">
        <v>114</v>
      </c>
      <c r="J7799" s="142">
        <v>26</v>
      </c>
      <c r="K7799" s="142">
        <v>88</v>
      </c>
      <c r="L7799" s="142">
        <v>0</v>
      </c>
      <c r="M7799" s="142">
        <v>0</v>
      </c>
    </row>
    <row r="7800" spans="1:13" x14ac:dyDescent="0.45">
      <c r="A7800" s="142" t="s">
        <v>13041</v>
      </c>
      <c r="B7800" s="142" t="s">
        <v>14441</v>
      </c>
      <c r="C7800" s="142" t="s">
        <v>15847</v>
      </c>
      <c r="D7800" s="142" t="s">
        <v>15848</v>
      </c>
      <c r="E7800" s="142" t="s">
        <v>15849</v>
      </c>
      <c r="F7800" s="142" t="s">
        <v>159</v>
      </c>
      <c r="G7800" s="142" t="s">
        <v>9436</v>
      </c>
      <c r="H7800" s="142" t="s">
        <v>23650</v>
      </c>
      <c r="I7800" s="142">
        <v>25</v>
      </c>
      <c r="J7800" s="142">
        <v>0</v>
      </c>
      <c r="K7800" s="142">
        <v>0</v>
      </c>
      <c r="L7800" s="142">
        <v>0</v>
      </c>
      <c r="M7800" s="142">
        <v>25</v>
      </c>
    </row>
    <row r="7801" spans="1:13" x14ac:dyDescent="0.45">
      <c r="A7801" s="142" t="s">
        <v>13395</v>
      </c>
      <c r="B7801" s="142" t="s">
        <v>15476</v>
      </c>
      <c r="C7801" s="142" t="s">
        <v>15847</v>
      </c>
      <c r="D7801" s="142" t="s">
        <v>15848</v>
      </c>
      <c r="E7801" s="142" t="s">
        <v>15849</v>
      </c>
      <c r="F7801" s="142" t="s">
        <v>159</v>
      </c>
      <c r="G7801" s="142" t="s">
        <v>9436</v>
      </c>
      <c r="H7801" s="142" t="s">
        <v>23651</v>
      </c>
      <c r="I7801" s="142">
        <v>2</v>
      </c>
      <c r="J7801" s="142">
        <v>0</v>
      </c>
      <c r="K7801" s="142">
        <v>0</v>
      </c>
      <c r="L7801" s="142">
        <v>0</v>
      </c>
      <c r="M7801" s="142">
        <v>2</v>
      </c>
    </row>
    <row r="7802" spans="1:13" x14ac:dyDescent="0.45">
      <c r="A7802" s="142" t="s">
        <v>13142</v>
      </c>
      <c r="B7802" s="142" t="s">
        <v>15469</v>
      </c>
      <c r="C7802" s="142" t="s">
        <v>15847</v>
      </c>
      <c r="D7802" s="142" t="s">
        <v>15848</v>
      </c>
      <c r="E7802" s="142" t="s">
        <v>15849</v>
      </c>
      <c r="F7802" s="142" t="s">
        <v>159</v>
      </c>
      <c r="G7802" s="142" t="s">
        <v>9436</v>
      </c>
      <c r="H7802" s="142" t="s">
        <v>23652</v>
      </c>
      <c r="I7802" s="142">
        <v>159</v>
      </c>
      <c r="J7802" s="142">
        <v>53</v>
      </c>
      <c r="K7802" s="142">
        <v>0</v>
      </c>
      <c r="L7802" s="142">
        <v>43</v>
      </c>
      <c r="M7802" s="142">
        <v>63</v>
      </c>
    </row>
    <row r="7803" spans="1:13" x14ac:dyDescent="0.45">
      <c r="A7803" s="142" t="s">
        <v>13207</v>
      </c>
      <c r="B7803" s="142" t="s">
        <v>15558</v>
      </c>
      <c r="C7803" s="142" t="s">
        <v>15847</v>
      </c>
      <c r="D7803" s="142" t="s">
        <v>15848</v>
      </c>
      <c r="E7803" s="142" t="s">
        <v>15849</v>
      </c>
      <c r="F7803" s="142" t="s">
        <v>159</v>
      </c>
      <c r="G7803" s="142" t="s">
        <v>9436</v>
      </c>
      <c r="H7803" s="142" t="s">
        <v>23653</v>
      </c>
      <c r="I7803" s="142">
        <v>40</v>
      </c>
      <c r="J7803" s="142">
        <v>0</v>
      </c>
      <c r="K7803" s="142">
        <v>0</v>
      </c>
      <c r="L7803" s="142">
        <v>28</v>
      </c>
      <c r="M7803" s="142">
        <v>12</v>
      </c>
    </row>
    <row r="7804" spans="1:13" x14ac:dyDescent="0.45">
      <c r="A7804" s="142" t="s">
        <v>13072</v>
      </c>
      <c r="B7804" s="142" t="s">
        <v>15530</v>
      </c>
      <c r="C7804" s="142" t="s">
        <v>15847</v>
      </c>
      <c r="D7804" s="142" t="s">
        <v>15848</v>
      </c>
      <c r="E7804" s="142" t="s">
        <v>15849</v>
      </c>
      <c r="F7804" s="142" t="s">
        <v>160</v>
      </c>
      <c r="G7804" s="142" t="s">
        <v>10184</v>
      </c>
      <c r="H7804" s="142" t="s">
        <v>23654</v>
      </c>
      <c r="I7804" s="142">
        <v>8</v>
      </c>
      <c r="J7804" s="142">
        <v>8</v>
      </c>
      <c r="K7804" s="142">
        <v>0</v>
      </c>
      <c r="L7804" s="142">
        <v>0</v>
      </c>
      <c r="M7804" s="142">
        <v>0</v>
      </c>
    </row>
    <row r="7805" spans="1:13" x14ac:dyDescent="0.45">
      <c r="A7805" s="142" t="s">
        <v>13410</v>
      </c>
      <c r="B7805" s="142" t="s">
        <v>15311</v>
      </c>
      <c r="C7805" s="142" t="s">
        <v>15860</v>
      </c>
      <c r="D7805" s="142" t="s">
        <v>15861</v>
      </c>
      <c r="E7805" s="142" t="s">
        <v>15849</v>
      </c>
      <c r="F7805" s="142" t="s">
        <v>160</v>
      </c>
      <c r="G7805" s="142" t="s">
        <v>10184</v>
      </c>
      <c r="H7805" s="142" t="s">
        <v>23655</v>
      </c>
      <c r="I7805" s="142">
        <v>60</v>
      </c>
      <c r="J7805" s="142">
        <v>0</v>
      </c>
      <c r="K7805" s="142">
        <v>0</v>
      </c>
      <c r="L7805" s="142">
        <v>60</v>
      </c>
      <c r="M7805" s="142">
        <v>0</v>
      </c>
    </row>
    <row r="7806" spans="1:13" x14ac:dyDescent="0.45">
      <c r="A7806" s="142" t="s">
        <v>13000</v>
      </c>
      <c r="B7806" s="142" t="s">
        <v>14610</v>
      </c>
      <c r="C7806" s="142" t="s">
        <v>15847</v>
      </c>
      <c r="D7806" s="142" t="s">
        <v>15848</v>
      </c>
      <c r="E7806" s="142" t="s">
        <v>15849</v>
      </c>
      <c r="F7806" s="142" t="s">
        <v>160</v>
      </c>
      <c r="G7806" s="142" t="s">
        <v>10184</v>
      </c>
      <c r="H7806" s="142" t="s">
        <v>23656</v>
      </c>
      <c r="I7806" s="142">
        <v>186</v>
      </c>
      <c r="J7806" s="142">
        <v>181</v>
      </c>
      <c r="K7806" s="142">
        <v>0</v>
      </c>
      <c r="L7806" s="142">
        <v>0</v>
      </c>
      <c r="M7806" s="142">
        <v>5</v>
      </c>
    </row>
    <row r="7807" spans="1:13" x14ac:dyDescent="0.45">
      <c r="A7807" s="142" t="s">
        <v>13085</v>
      </c>
      <c r="B7807" s="142" t="s">
        <v>14460</v>
      </c>
      <c r="C7807" s="142" t="s">
        <v>15860</v>
      </c>
      <c r="D7807" s="142" t="s">
        <v>15861</v>
      </c>
      <c r="E7807" s="142" t="s">
        <v>15849</v>
      </c>
      <c r="F7807" s="142" t="s">
        <v>160</v>
      </c>
      <c r="G7807" s="142" t="s">
        <v>10184</v>
      </c>
      <c r="H7807" s="142" t="s">
        <v>23657</v>
      </c>
      <c r="I7807" s="142">
        <v>5</v>
      </c>
      <c r="J7807" s="142">
        <v>0</v>
      </c>
      <c r="K7807" s="142">
        <v>0</v>
      </c>
      <c r="L7807" s="142">
        <v>5</v>
      </c>
      <c r="M7807" s="142">
        <v>0</v>
      </c>
    </row>
    <row r="7808" spans="1:13" x14ac:dyDescent="0.45">
      <c r="A7808" s="142" t="s">
        <v>13499</v>
      </c>
      <c r="B7808" s="142" t="s">
        <v>15479</v>
      </c>
      <c r="C7808" s="142" t="s">
        <v>15847</v>
      </c>
      <c r="D7808" s="142" t="s">
        <v>15848</v>
      </c>
      <c r="E7808" s="142" t="s">
        <v>15849</v>
      </c>
      <c r="F7808" s="142" t="s">
        <v>160</v>
      </c>
      <c r="G7808" s="142" t="s">
        <v>10184</v>
      </c>
      <c r="H7808" s="142" t="s">
        <v>23658</v>
      </c>
      <c r="I7808" s="142">
        <v>23</v>
      </c>
      <c r="J7808" s="142">
        <v>0</v>
      </c>
      <c r="K7808" s="142">
        <v>0</v>
      </c>
      <c r="L7808" s="142">
        <v>23</v>
      </c>
      <c r="M7808" s="142">
        <v>0</v>
      </c>
    </row>
    <row r="7809" spans="1:13" x14ac:dyDescent="0.45">
      <c r="A7809" s="142" t="s">
        <v>13027</v>
      </c>
      <c r="B7809" s="142" t="s">
        <v>14562</v>
      </c>
      <c r="C7809" s="142" t="s">
        <v>15847</v>
      </c>
      <c r="D7809" s="142" t="s">
        <v>15848</v>
      </c>
      <c r="E7809" s="142" t="s">
        <v>15849</v>
      </c>
      <c r="F7809" s="142" t="s">
        <v>160</v>
      </c>
      <c r="G7809" s="142" t="s">
        <v>10184</v>
      </c>
      <c r="H7809" s="142" t="s">
        <v>23659</v>
      </c>
      <c r="I7809" s="142">
        <v>2</v>
      </c>
      <c r="J7809" s="142">
        <v>0</v>
      </c>
      <c r="K7809" s="142">
        <v>0</v>
      </c>
      <c r="L7809" s="142">
        <v>2</v>
      </c>
      <c r="M7809" s="142">
        <v>0</v>
      </c>
    </row>
    <row r="7810" spans="1:13" x14ac:dyDescent="0.45">
      <c r="A7810" s="142" t="s">
        <v>13148</v>
      </c>
      <c r="B7810" s="142" t="s">
        <v>15314</v>
      </c>
      <c r="C7810" s="142" t="s">
        <v>15847</v>
      </c>
      <c r="D7810" s="142" t="s">
        <v>15848</v>
      </c>
      <c r="E7810" s="142" t="s">
        <v>15849</v>
      </c>
      <c r="F7810" s="142" t="s">
        <v>160</v>
      </c>
      <c r="G7810" s="142" t="s">
        <v>10184</v>
      </c>
      <c r="H7810" s="142" t="s">
        <v>23660</v>
      </c>
      <c r="I7810" s="142">
        <v>20</v>
      </c>
      <c r="J7810" s="142">
        <v>0</v>
      </c>
      <c r="K7810" s="142">
        <v>0</v>
      </c>
      <c r="L7810" s="142">
        <v>20</v>
      </c>
      <c r="M7810" s="142">
        <v>0</v>
      </c>
    </row>
    <row r="7811" spans="1:13" x14ac:dyDescent="0.45">
      <c r="A7811" s="142" t="s">
        <v>13028</v>
      </c>
      <c r="B7811" s="142" t="s">
        <v>14462</v>
      </c>
      <c r="C7811" s="142" t="s">
        <v>15847</v>
      </c>
      <c r="D7811" s="142" t="s">
        <v>15848</v>
      </c>
      <c r="E7811" s="142" t="s">
        <v>15849</v>
      </c>
      <c r="F7811" s="142" t="s">
        <v>160</v>
      </c>
      <c r="G7811" s="142" t="s">
        <v>10184</v>
      </c>
      <c r="H7811" s="142" t="s">
        <v>23661</v>
      </c>
      <c r="I7811" s="142">
        <v>18</v>
      </c>
      <c r="J7811" s="142">
        <v>0</v>
      </c>
      <c r="K7811" s="142">
        <v>0</v>
      </c>
      <c r="L7811" s="142">
        <v>0</v>
      </c>
      <c r="M7811" s="142">
        <v>18</v>
      </c>
    </row>
    <row r="7812" spans="1:13" x14ac:dyDescent="0.45">
      <c r="A7812" s="142" t="s">
        <v>13003</v>
      </c>
      <c r="B7812" s="142" t="s">
        <v>15245</v>
      </c>
      <c r="C7812" s="142" t="s">
        <v>15847</v>
      </c>
      <c r="D7812" s="142" t="s">
        <v>15848</v>
      </c>
      <c r="E7812" s="142" t="s">
        <v>15849</v>
      </c>
      <c r="F7812" s="142" t="s">
        <v>160</v>
      </c>
      <c r="G7812" s="142" t="s">
        <v>10184</v>
      </c>
      <c r="H7812" s="142" t="s">
        <v>23662</v>
      </c>
      <c r="I7812" s="142">
        <v>30</v>
      </c>
      <c r="J7812" s="142">
        <v>0</v>
      </c>
      <c r="K7812" s="142">
        <v>0</v>
      </c>
      <c r="L7812" s="142">
        <v>30</v>
      </c>
      <c r="M7812" s="142">
        <v>0</v>
      </c>
    </row>
    <row r="7813" spans="1:13" x14ac:dyDescent="0.45">
      <c r="A7813" s="142" t="s">
        <v>13066</v>
      </c>
      <c r="B7813" s="142" t="s">
        <v>14459</v>
      </c>
      <c r="C7813" s="142" t="s">
        <v>15847</v>
      </c>
      <c r="D7813" s="142" t="s">
        <v>15848</v>
      </c>
      <c r="E7813" s="142" t="s">
        <v>15849</v>
      </c>
      <c r="F7813" s="142" t="s">
        <v>160</v>
      </c>
      <c r="G7813" s="142" t="s">
        <v>10184</v>
      </c>
      <c r="H7813" s="142" t="s">
        <v>23663</v>
      </c>
      <c r="I7813" s="142">
        <v>57</v>
      </c>
      <c r="J7813" s="142">
        <v>0</v>
      </c>
      <c r="K7813" s="142">
        <v>0</v>
      </c>
      <c r="L7813" s="142">
        <v>57</v>
      </c>
      <c r="M7813" s="142">
        <v>0</v>
      </c>
    </row>
    <row r="7814" spans="1:13" x14ac:dyDescent="0.45">
      <c r="A7814" s="142" t="s">
        <v>13291</v>
      </c>
      <c r="B7814" s="142" t="s">
        <v>15495</v>
      </c>
      <c r="C7814" s="142" t="s">
        <v>15847</v>
      </c>
      <c r="D7814" s="142" t="s">
        <v>15848</v>
      </c>
      <c r="E7814" s="142" t="s">
        <v>15849</v>
      </c>
      <c r="F7814" s="142" t="s">
        <v>160</v>
      </c>
      <c r="G7814" s="142" t="s">
        <v>10184</v>
      </c>
      <c r="H7814" s="142" t="s">
        <v>23664</v>
      </c>
      <c r="I7814" s="142">
        <v>92</v>
      </c>
      <c r="J7814" s="142">
        <v>70</v>
      </c>
      <c r="K7814" s="142">
        <v>0</v>
      </c>
      <c r="L7814" s="142">
        <v>0</v>
      </c>
      <c r="M7814" s="142">
        <v>22</v>
      </c>
    </row>
    <row r="7815" spans="1:13" x14ac:dyDescent="0.45">
      <c r="A7815" s="142" t="s">
        <v>13744</v>
      </c>
      <c r="B7815" s="142" t="s">
        <v>15593</v>
      </c>
      <c r="C7815" s="142" t="s">
        <v>15847</v>
      </c>
      <c r="D7815" s="142" t="s">
        <v>15848</v>
      </c>
      <c r="E7815" s="142" t="s">
        <v>15849</v>
      </c>
      <c r="F7815" s="142" t="s">
        <v>160</v>
      </c>
      <c r="G7815" s="142" t="s">
        <v>10184</v>
      </c>
      <c r="H7815" s="142" t="s">
        <v>23665</v>
      </c>
      <c r="I7815" s="142">
        <v>71</v>
      </c>
      <c r="J7815" s="142">
        <v>32</v>
      </c>
      <c r="K7815" s="142">
        <v>0</v>
      </c>
      <c r="L7815" s="142">
        <v>0</v>
      </c>
      <c r="M7815" s="142">
        <v>39</v>
      </c>
    </row>
    <row r="7816" spans="1:13" x14ac:dyDescent="0.45">
      <c r="A7816" s="142" t="s">
        <v>13486</v>
      </c>
      <c r="B7816" s="142" t="s">
        <v>14563</v>
      </c>
      <c r="C7816" s="142" t="s">
        <v>15847</v>
      </c>
      <c r="D7816" s="142" t="s">
        <v>15848</v>
      </c>
      <c r="E7816" s="142" t="s">
        <v>15849</v>
      </c>
      <c r="F7816" s="142" t="s">
        <v>160</v>
      </c>
      <c r="G7816" s="142" t="s">
        <v>10184</v>
      </c>
      <c r="H7816" s="142" t="s">
        <v>23666</v>
      </c>
      <c r="I7816" s="142">
        <v>102</v>
      </c>
      <c r="J7816" s="142">
        <v>96</v>
      </c>
      <c r="K7816" s="142">
        <v>0</v>
      </c>
      <c r="L7816" s="142">
        <v>0</v>
      </c>
      <c r="M7816" s="142">
        <v>6</v>
      </c>
    </row>
    <row r="7817" spans="1:13" x14ac:dyDescent="0.45">
      <c r="A7817" s="142" t="s">
        <v>13276</v>
      </c>
      <c r="B7817" s="142" t="s">
        <v>15498</v>
      </c>
      <c r="C7817" s="142" t="s">
        <v>15847</v>
      </c>
      <c r="D7817" s="142" t="s">
        <v>15848</v>
      </c>
      <c r="E7817" s="142" t="s">
        <v>15849</v>
      </c>
      <c r="F7817" s="142" t="s">
        <v>160</v>
      </c>
      <c r="G7817" s="142" t="s">
        <v>10184</v>
      </c>
      <c r="H7817" s="142" t="s">
        <v>23667</v>
      </c>
      <c r="I7817" s="142">
        <v>195</v>
      </c>
      <c r="J7817" s="142">
        <v>124</v>
      </c>
      <c r="K7817" s="142">
        <v>0</v>
      </c>
      <c r="L7817" s="142">
        <v>69</v>
      </c>
      <c r="M7817" s="142">
        <v>2</v>
      </c>
    </row>
    <row r="7818" spans="1:13" x14ac:dyDescent="0.45">
      <c r="A7818" s="142" t="s">
        <v>13032</v>
      </c>
      <c r="B7818" s="142" t="s">
        <v>14532</v>
      </c>
      <c r="C7818" s="142" t="s">
        <v>15860</v>
      </c>
      <c r="D7818" s="142" t="s">
        <v>15861</v>
      </c>
      <c r="E7818" s="142" t="s">
        <v>15849</v>
      </c>
      <c r="F7818" s="142" t="s">
        <v>160</v>
      </c>
      <c r="G7818" s="142" t="s">
        <v>10184</v>
      </c>
      <c r="H7818" s="142" t="s">
        <v>23668</v>
      </c>
      <c r="I7818" s="142">
        <v>3</v>
      </c>
      <c r="J7818" s="142">
        <v>0</v>
      </c>
      <c r="K7818" s="142">
        <v>0</v>
      </c>
      <c r="L7818" s="142">
        <v>3</v>
      </c>
      <c r="M7818" s="142">
        <v>0</v>
      </c>
    </row>
    <row r="7819" spans="1:13" x14ac:dyDescent="0.45">
      <c r="A7819" s="142" t="s">
        <v>13033</v>
      </c>
      <c r="B7819" s="142" t="s">
        <v>15276</v>
      </c>
      <c r="C7819" s="142" t="s">
        <v>15847</v>
      </c>
      <c r="D7819" s="142" t="s">
        <v>15848</v>
      </c>
      <c r="E7819" s="142" t="s">
        <v>15849</v>
      </c>
      <c r="F7819" s="142" t="s">
        <v>160</v>
      </c>
      <c r="G7819" s="142" t="s">
        <v>10184</v>
      </c>
      <c r="H7819" s="142" t="s">
        <v>23669</v>
      </c>
      <c r="I7819" s="142">
        <v>3</v>
      </c>
      <c r="J7819" s="142">
        <v>0</v>
      </c>
      <c r="K7819" s="142">
        <v>0</v>
      </c>
      <c r="L7819" s="142">
        <v>0</v>
      </c>
      <c r="M7819" s="142">
        <v>3</v>
      </c>
    </row>
    <row r="7820" spans="1:13" x14ac:dyDescent="0.45">
      <c r="A7820" s="142" t="s">
        <v>13034</v>
      </c>
      <c r="B7820" s="142" t="s">
        <v>15562</v>
      </c>
      <c r="C7820" s="142" t="s">
        <v>15847</v>
      </c>
      <c r="D7820" s="142" t="s">
        <v>15848</v>
      </c>
      <c r="E7820" s="142" t="s">
        <v>15849</v>
      </c>
      <c r="F7820" s="142" t="s">
        <v>160</v>
      </c>
      <c r="G7820" s="142" t="s">
        <v>10184</v>
      </c>
      <c r="H7820" s="142" t="s">
        <v>23670</v>
      </c>
      <c r="I7820" s="142">
        <v>4</v>
      </c>
      <c r="J7820" s="142">
        <v>0</v>
      </c>
      <c r="K7820" s="142">
        <v>0</v>
      </c>
      <c r="L7820" s="142">
        <v>4</v>
      </c>
      <c r="M7820" s="142">
        <v>0</v>
      </c>
    </row>
    <row r="7821" spans="1:13" x14ac:dyDescent="0.45">
      <c r="A7821" s="142" t="s">
        <v>13487</v>
      </c>
      <c r="B7821" s="142" t="s">
        <v>15490</v>
      </c>
      <c r="C7821" s="142" t="s">
        <v>15847</v>
      </c>
      <c r="D7821" s="142" t="s">
        <v>15848</v>
      </c>
      <c r="E7821" s="142" t="s">
        <v>15849</v>
      </c>
      <c r="F7821" s="142" t="s">
        <v>160</v>
      </c>
      <c r="G7821" s="142" t="s">
        <v>10184</v>
      </c>
      <c r="H7821" s="142" t="s">
        <v>23671</v>
      </c>
      <c r="I7821" s="142">
        <v>25</v>
      </c>
      <c r="J7821" s="142">
        <v>16</v>
      </c>
      <c r="K7821" s="142">
        <v>0</v>
      </c>
      <c r="L7821" s="142">
        <v>0</v>
      </c>
      <c r="M7821" s="142">
        <v>9</v>
      </c>
    </row>
    <row r="7822" spans="1:13" x14ac:dyDescent="0.45">
      <c r="A7822" s="142" t="s">
        <v>13036</v>
      </c>
      <c r="B7822" s="142" t="s">
        <v>15567</v>
      </c>
      <c r="C7822" s="142" t="s">
        <v>15847</v>
      </c>
      <c r="D7822" s="142" t="s">
        <v>15848</v>
      </c>
      <c r="E7822" s="142" t="s">
        <v>15849</v>
      </c>
      <c r="F7822" s="142" t="s">
        <v>160</v>
      </c>
      <c r="G7822" s="142" t="s">
        <v>10184</v>
      </c>
      <c r="H7822" s="142" t="s">
        <v>23672</v>
      </c>
      <c r="I7822" s="142">
        <v>10</v>
      </c>
      <c r="J7822" s="142">
        <v>0</v>
      </c>
      <c r="K7822" s="142">
        <v>0</v>
      </c>
      <c r="L7822" s="142">
        <v>10</v>
      </c>
      <c r="M7822" s="142">
        <v>0</v>
      </c>
    </row>
    <row r="7823" spans="1:13" x14ac:dyDescent="0.45">
      <c r="A7823" s="142" t="s">
        <v>13277</v>
      </c>
      <c r="B7823" s="142" t="s">
        <v>14454</v>
      </c>
      <c r="C7823" s="142" t="s">
        <v>15847</v>
      </c>
      <c r="D7823" s="142" t="s">
        <v>15848</v>
      </c>
      <c r="E7823" s="142" t="s">
        <v>15849</v>
      </c>
      <c r="F7823" s="142" t="s">
        <v>160</v>
      </c>
      <c r="G7823" s="142" t="s">
        <v>10184</v>
      </c>
      <c r="H7823" s="142" t="s">
        <v>23673</v>
      </c>
      <c r="I7823" s="142">
        <v>831</v>
      </c>
      <c r="J7823" s="142">
        <v>750</v>
      </c>
      <c r="K7823" s="142">
        <v>0</v>
      </c>
      <c r="L7823" s="142">
        <v>59</v>
      </c>
      <c r="M7823" s="142">
        <v>22</v>
      </c>
    </row>
    <row r="7824" spans="1:13" x14ac:dyDescent="0.45">
      <c r="A7824" s="142" t="s">
        <v>13037</v>
      </c>
      <c r="B7824" s="142" t="s">
        <v>14519</v>
      </c>
      <c r="C7824" s="142" t="s">
        <v>15847</v>
      </c>
      <c r="D7824" s="142" t="s">
        <v>15848</v>
      </c>
      <c r="E7824" s="142" t="s">
        <v>15849</v>
      </c>
      <c r="F7824" s="142" t="s">
        <v>160</v>
      </c>
      <c r="G7824" s="142" t="s">
        <v>10184</v>
      </c>
      <c r="H7824" s="142" t="s">
        <v>23674</v>
      </c>
      <c r="I7824" s="142">
        <v>19</v>
      </c>
      <c r="J7824" s="142">
        <v>0</v>
      </c>
      <c r="K7824" s="142">
        <v>0</v>
      </c>
      <c r="L7824" s="142">
        <v>19</v>
      </c>
      <c r="M7824" s="142">
        <v>0</v>
      </c>
    </row>
    <row r="7825" spans="1:13" x14ac:dyDescent="0.45">
      <c r="A7825" s="142" t="s">
        <v>13078</v>
      </c>
      <c r="B7825" s="142" t="s">
        <v>15540</v>
      </c>
      <c r="C7825" s="142" t="s">
        <v>15847</v>
      </c>
      <c r="D7825" s="142" t="s">
        <v>15848</v>
      </c>
      <c r="E7825" s="142" t="s">
        <v>15849</v>
      </c>
      <c r="F7825" s="142" t="s">
        <v>160</v>
      </c>
      <c r="G7825" s="142" t="s">
        <v>10184</v>
      </c>
      <c r="H7825" s="142" t="s">
        <v>23675</v>
      </c>
      <c r="I7825" s="142">
        <v>179</v>
      </c>
      <c r="J7825" s="142">
        <v>33</v>
      </c>
      <c r="K7825" s="142">
        <v>0</v>
      </c>
      <c r="L7825" s="142">
        <v>146</v>
      </c>
      <c r="M7825" s="142">
        <v>0</v>
      </c>
    </row>
    <row r="7826" spans="1:13" x14ac:dyDescent="0.45">
      <c r="A7826" s="142" t="s">
        <v>13091</v>
      </c>
      <c r="B7826" s="142" t="s">
        <v>14473</v>
      </c>
      <c r="C7826" s="142" t="s">
        <v>15847</v>
      </c>
      <c r="D7826" s="142" t="s">
        <v>15848</v>
      </c>
      <c r="E7826" s="142" t="s">
        <v>15849</v>
      </c>
      <c r="F7826" s="142" t="s">
        <v>160</v>
      </c>
      <c r="G7826" s="142" t="s">
        <v>10184</v>
      </c>
      <c r="H7826" s="142" t="s">
        <v>23676</v>
      </c>
      <c r="I7826" s="142">
        <v>16</v>
      </c>
      <c r="J7826" s="142">
        <v>16</v>
      </c>
      <c r="K7826" s="142">
        <v>0</v>
      </c>
      <c r="L7826" s="142">
        <v>0</v>
      </c>
      <c r="M7826" s="142">
        <v>0</v>
      </c>
    </row>
    <row r="7827" spans="1:13" x14ac:dyDescent="0.45">
      <c r="A7827" s="142" t="s">
        <v>13009</v>
      </c>
      <c r="B7827" s="142" t="s">
        <v>15256</v>
      </c>
      <c r="C7827" s="142" t="s">
        <v>15847</v>
      </c>
      <c r="D7827" s="142" t="s">
        <v>15848</v>
      </c>
      <c r="E7827" s="142" t="s">
        <v>15849</v>
      </c>
      <c r="F7827" s="142" t="s">
        <v>160</v>
      </c>
      <c r="G7827" s="142" t="s">
        <v>10184</v>
      </c>
      <c r="H7827" s="142" t="s">
        <v>23677</v>
      </c>
      <c r="I7827" s="142">
        <v>77</v>
      </c>
      <c r="J7827" s="142">
        <v>77</v>
      </c>
      <c r="K7827" s="142">
        <v>0</v>
      </c>
      <c r="L7827" s="142">
        <v>0</v>
      </c>
      <c r="M7827" s="142">
        <v>0</v>
      </c>
    </row>
    <row r="7828" spans="1:13" x14ac:dyDescent="0.45">
      <c r="A7828" s="142" t="s">
        <v>13042</v>
      </c>
      <c r="B7828" s="142" t="s">
        <v>15489</v>
      </c>
      <c r="C7828" s="142" t="s">
        <v>15847</v>
      </c>
      <c r="D7828" s="142" t="s">
        <v>15848</v>
      </c>
      <c r="E7828" s="142" t="s">
        <v>15849</v>
      </c>
      <c r="F7828" s="142" t="s">
        <v>160</v>
      </c>
      <c r="G7828" s="142" t="s">
        <v>10184</v>
      </c>
      <c r="H7828" s="142" t="s">
        <v>23678</v>
      </c>
      <c r="I7828" s="142">
        <v>1122</v>
      </c>
      <c r="J7828" s="142">
        <v>900</v>
      </c>
      <c r="K7828" s="142">
        <v>0</v>
      </c>
      <c r="L7828" s="142">
        <v>162</v>
      </c>
      <c r="M7828" s="142">
        <v>60</v>
      </c>
    </row>
    <row r="7829" spans="1:13" x14ac:dyDescent="0.45">
      <c r="A7829" s="142" t="s">
        <v>13493</v>
      </c>
      <c r="B7829" s="142" t="s">
        <v>14639</v>
      </c>
      <c r="C7829" s="142" t="s">
        <v>15847</v>
      </c>
      <c r="D7829" s="142" t="s">
        <v>15848</v>
      </c>
      <c r="E7829" s="142" t="s">
        <v>15849</v>
      </c>
      <c r="F7829" s="142" t="s">
        <v>160</v>
      </c>
      <c r="G7829" s="142" t="s">
        <v>10184</v>
      </c>
      <c r="H7829" s="142" t="s">
        <v>23679</v>
      </c>
      <c r="I7829" s="142">
        <v>13112</v>
      </c>
      <c r="J7829" s="142">
        <v>11276</v>
      </c>
      <c r="K7829" s="142">
        <v>0</v>
      </c>
      <c r="L7829" s="142">
        <v>1508</v>
      </c>
      <c r="M7829" s="142">
        <v>328</v>
      </c>
    </row>
    <row r="7830" spans="1:13" x14ac:dyDescent="0.45">
      <c r="A7830" s="142" t="s">
        <v>14233</v>
      </c>
      <c r="B7830" s="142" t="s">
        <v>15273</v>
      </c>
      <c r="C7830" s="142" t="s">
        <v>15847</v>
      </c>
      <c r="D7830" s="142" t="s">
        <v>15848</v>
      </c>
      <c r="E7830" s="142" t="s">
        <v>15849</v>
      </c>
      <c r="F7830" s="142" t="s">
        <v>160</v>
      </c>
      <c r="G7830" s="142" t="s">
        <v>10184</v>
      </c>
      <c r="H7830" s="142" t="s">
        <v>23680</v>
      </c>
      <c r="I7830" s="142">
        <v>27</v>
      </c>
      <c r="J7830" s="142">
        <v>27</v>
      </c>
      <c r="K7830" s="142">
        <v>0</v>
      </c>
      <c r="L7830" s="142">
        <v>0</v>
      </c>
      <c r="M7830" s="142">
        <v>0</v>
      </c>
    </row>
    <row r="7831" spans="1:13" x14ac:dyDescent="0.45">
      <c r="A7831" s="142" t="s">
        <v>14234</v>
      </c>
      <c r="B7831" s="142" t="s">
        <v>15547</v>
      </c>
      <c r="C7831" s="142" t="s">
        <v>15860</v>
      </c>
      <c r="D7831" s="142" t="s">
        <v>15861</v>
      </c>
      <c r="E7831" s="142" t="s">
        <v>15849</v>
      </c>
      <c r="F7831" s="142" t="s">
        <v>160</v>
      </c>
      <c r="G7831" s="142" t="s">
        <v>10184</v>
      </c>
      <c r="H7831" s="142" t="s">
        <v>23681</v>
      </c>
      <c r="I7831" s="142">
        <v>147</v>
      </c>
      <c r="J7831" s="142">
        <v>44</v>
      </c>
      <c r="K7831" s="142">
        <v>0</v>
      </c>
      <c r="L7831" s="142">
        <v>103</v>
      </c>
      <c r="M7831" s="142">
        <v>0</v>
      </c>
    </row>
    <row r="7832" spans="1:13" x14ac:dyDescent="0.45">
      <c r="A7832" s="142" t="s">
        <v>13286</v>
      </c>
      <c r="B7832" s="142" t="s">
        <v>15342</v>
      </c>
      <c r="C7832" s="142" t="s">
        <v>15847</v>
      </c>
      <c r="D7832" s="142" t="s">
        <v>15848</v>
      </c>
      <c r="E7832" s="142" t="s">
        <v>15849</v>
      </c>
      <c r="F7832" s="142" t="s">
        <v>160</v>
      </c>
      <c r="G7832" s="142" t="s">
        <v>10184</v>
      </c>
      <c r="H7832" s="142" t="s">
        <v>23682</v>
      </c>
      <c r="I7832" s="142">
        <v>1535</v>
      </c>
      <c r="J7832" s="142">
        <v>966</v>
      </c>
      <c r="K7832" s="142">
        <v>0</v>
      </c>
      <c r="L7832" s="142">
        <v>450</v>
      </c>
      <c r="M7832" s="142">
        <v>119</v>
      </c>
    </row>
    <row r="7833" spans="1:13" x14ac:dyDescent="0.45">
      <c r="A7833" s="142" t="s">
        <v>13021</v>
      </c>
      <c r="B7833" s="142" t="s">
        <v>15501</v>
      </c>
      <c r="C7833" s="142" t="s">
        <v>15847</v>
      </c>
      <c r="D7833" s="142" t="s">
        <v>15848</v>
      </c>
      <c r="E7833" s="142" t="s">
        <v>15849</v>
      </c>
      <c r="F7833" s="142" t="s">
        <v>161</v>
      </c>
      <c r="G7833" s="142" t="s">
        <v>7996</v>
      </c>
      <c r="H7833" s="142" t="s">
        <v>23683</v>
      </c>
      <c r="I7833" s="142">
        <v>1</v>
      </c>
      <c r="J7833" s="142">
        <v>0</v>
      </c>
      <c r="K7833" s="142">
        <v>0</v>
      </c>
      <c r="L7833" s="142">
        <v>0</v>
      </c>
      <c r="M7833" s="142">
        <v>1</v>
      </c>
    </row>
    <row r="7834" spans="1:13" x14ac:dyDescent="0.45">
      <c r="A7834" s="142" t="s">
        <v>13446</v>
      </c>
      <c r="B7834" s="142" t="s">
        <v>15430</v>
      </c>
      <c r="C7834" s="142" t="s">
        <v>15847</v>
      </c>
      <c r="D7834" s="142" t="s">
        <v>15848</v>
      </c>
      <c r="E7834" s="142" t="s">
        <v>15849</v>
      </c>
      <c r="F7834" s="142" t="s">
        <v>161</v>
      </c>
      <c r="G7834" s="142" t="s">
        <v>7996</v>
      </c>
      <c r="H7834" s="142" t="s">
        <v>23684</v>
      </c>
      <c r="I7834" s="142">
        <v>71</v>
      </c>
      <c r="J7834" s="142">
        <v>71</v>
      </c>
      <c r="K7834" s="142">
        <v>0</v>
      </c>
      <c r="L7834" s="142">
        <v>0</v>
      </c>
      <c r="M7834" s="142">
        <v>0</v>
      </c>
    </row>
    <row r="7835" spans="1:13" x14ac:dyDescent="0.45">
      <c r="A7835" s="142" t="s">
        <v>13147</v>
      </c>
      <c r="B7835" s="142" t="s">
        <v>14529</v>
      </c>
      <c r="C7835" s="142" t="s">
        <v>15860</v>
      </c>
      <c r="D7835" s="142" t="s">
        <v>15861</v>
      </c>
      <c r="E7835" s="142" t="s">
        <v>15849</v>
      </c>
      <c r="F7835" s="142" t="s">
        <v>161</v>
      </c>
      <c r="G7835" s="142" t="s">
        <v>7996</v>
      </c>
      <c r="H7835" s="142" t="s">
        <v>23685</v>
      </c>
      <c r="I7835" s="142">
        <v>6</v>
      </c>
      <c r="J7835" s="142">
        <v>6</v>
      </c>
      <c r="K7835" s="142">
        <v>0</v>
      </c>
      <c r="L7835" s="142">
        <v>0</v>
      </c>
      <c r="M7835" s="142">
        <v>0</v>
      </c>
    </row>
    <row r="7836" spans="1:13" x14ac:dyDescent="0.45">
      <c r="A7836" s="142" t="s">
        <v>13065</v>
      </c>
      <c r="B7836" s="142" t="s">
        <v>14497</v>
      </c>
      <c r="C7836" s="142" t="s">
        <v>15847</v>
      </c>
      <c r="D7836" s="142" t="s">
        <v>15848</v>
      </c>
      <c r="E7836" s="142" t="s">
        <v>15849</v>
      </c>
      <c r="F7836" s="142" t="s">
        <v>161</v>
      </c>
      <c r="G7836" s="142" t="s">
        <v>7996</v>
      </c>
      <c r="H7836" s="142" t="s">
        <v>23686</v>
      </c>
      <c r="I7836" s="142">
        <v>11</v>
      </c>
      <c r="J7836" s="142">
        <v>0</v>
      </c>
      <c r="K7836" s="142">
        <v>0</v>
      </c>
      <c r="L7836" s="142">
        <v>11</v>
      </c>
      <c r="M7836" s="142">
        <v>0</v>
      </c>
    </row>
    <row r="7837" spans="1:13" x14ac:dyDescent="0.45">
      <c r="A7837" s="142" t="s">
        <v>13235</v>
      </c>
      <c r="B7837" s="142" t="s">
        <v>14573</v>
      </c>
      <c r="C7837" s="142" t="s">
        <v>15847</v>
      </c>
      <c r="D7837" s="142" t="s">
        <v>15848</v>
      </c>
      <c r="E7837" s="142" t="s">
        <v>15849</v>
      </c>
      <c r="F7837" s="142" t="s">
        <v>161</v>
      </c>
      <c r="G7837" s="142" t="s">
        <v>7996</v>
      </c>
      <c r="H7837" s="142" t="s">
        <v>23687</v>
      </c>
      <c r="I7837" s="142">
        <v>457</v>
      </c>
      <c r="J7837" s="142">
        <v>411</v>
      </c>
      <c r="K7837" s="142">
        <v>0</v>
      </c>
      <c r="L7837" s="142">
        <v>0</v>
      </c>
      <c r="M7837" s="142">
        <v>46</v>
      </c>
    </row>
    <row r="7838" spans="1:13" x14ac:dyDescent="0.45">
      <c r="A7838" s="142" t="s">
        <v>14021</v>
      </c>
      <c r="B7838" s="142" t="s">
        <v>15419</v>
      </c>
      <c r="C7838" s="142" t="s">
        <v>15860</v>
      </c>
      <c r="D7838" s="142" t="s">
        <v>15861</v>
      </c>
      <c r="E7838" s="142" t="s">
        <v>15849</v>
      </c>
      <c r="F7838" s="142" t="s">
        <v>161</v>
      </c>
      <c r="G7838" s="142" t="s">
        <v>7996</v>
      </c>
      <c r="H7838" s="142" t="s">
        <v>23688</v>
      </c>
      <c r="I7838" s="142">
        <v>8</v>
      </c>
      <c r="J7838" s="142">
        <v>0</v>
      </c>
      <c r="K7838" s="142">
        <v>0</v>
      </c>
      <c r="L7838" s="142">
        <v>8</v>
      </c>
      <c r="M7838" s="142">
        <v>0</v>
      </c>
    </row>
    <row r="7839" spans="1:13" x14ac:dyDescent="0.45">
      <c r="A7839" s="142" t="s">
        <v>13243</v>
      </c>
      <c r="B7839" s="142" t="s">
        <v>15560</v>
      </c>
      <c r="C7839" s="142" t="s">
        <v>15847</v>
      </c>
      <c r="D7839" s="142" t="s">
        <v>15848</v>
      </c>
      <c r="E7839" s="142" t="s">
        <v>15849</v>
      </c>
      <c r="F7839" s="142" t="s">
        <v>161</v>
      </c>
      <c r="G7839" s="142" t="s">
        <v>7996</v>
      </c>
      <c r="H7839" s="142" t="s">
        <v>23689</v>
      </c>
      <c r="I7839" s="142">
        <v>71</v>
      </c>
      <c r="J7839" s="142">
        <v>54</v>
      </c>
      <c r="K7839" s="142">
        <v>0</v>
      </c>
      <c r="L7839" s="142">
        <v>4</v>
      </c>
      <c r="M7839" s="142">
        <v>13</v>
      </c>
    </row>
    <row r="7840" spans="1:13" x14ac:dyDescent="0.45">
      <c r="A7840" s="142" t="s">
        <v>13028</v>
      </c>
      <c r="B7840" s="142" t="s">
        <v>14462</v>
      </c>
      <c r="C7840" s="142" t="s">
        <v>15847</v>
      </c>
      <c r="D7840" s="142" t="s">
        <v>15848</v>
      </c>
      <c r="E7840" s="142" t="s">
        <v>15849</v>
      </c>
      <c r="F7840" s="142" t="s">
        <v>161</v>
      </c>
      <c r="G7840" s="142" t="s">
        <v>7996</v>
      </c>
      <c r="H7840" s="142" t="s">
        <v>23690</v>
      </c>
      <c r="I7840" s="142">
        <v>54</v>
      </c>
      <c r="J7840" s="142">
        <v>0</v>
      </c>
      <c r="K7840" s="142">
        <v>0</v>
      </c>
      <c r="L7840" s="142">
        <v>0</v>
      </c>
      <c r="M7840" s="142">
        <v>54</v>
      </c>
    </row>
    <row r="7841" spans="1:13" x14ac:dyDescent="0.45">
      <c r="A7841" s="142" t="s">
        <v>13448</v>
      </c>
      <c r="B7841" s="142" t="s">
        <v>15574</v>
      </c>
      <c r="C7841" s="142" t="s">
        <v>15847</v>
      </c>
      <c r="D7841" s="142" t="s">
        <v>15848</v>
      </c>
      <c r="E7841" s="142" t="s">
        <v>15849</v>
      </c>
      <c r="F7841" s="142" t="s">
        <v>161</v>
      </c>
      <c r="G7841" s="142" t="s">
        <v>7996</v>
      </c>
      <c r="H7841" s="142" t="s">
        <v>23691</v>
      </c>
      <c r="I7841" s="142">
        <v>6885</v>
      </c>
      <c r="J7841" s="142">
        <v>5760</v>
      </c>
      <c r="K7841" s="142">
        <v>0</v>
      </c>
      <c r="L7841" s="142">
        <v>849</v>
      </c>
      <c r="M7841" s="142">
        <v>276</v>
      </c>
    </row>
    <row r="7842" spans="1:13" x14ac:dyDescent="0.45">
      <c r="A7842" s="142" t="s">
        <v>13484</v>
      </c>
      <c r="B7842" s="142" t="s">
        <v>15536</v>
      </c>
      <c r="C7842" s="142" t="s">
        <v>15847</v>
      </c>
      <c r="D7842" s="142" t="s">
        <v>15848</v>
      </c>
      <c r="E7842" s="142" t="s">
        <v>15849</v>
      </c>
      <c r="F7842" s="142" t="s">
        <v>161</v>
      </c>
      <c r="G7842" s="142" t="s">
        <v>7996</v>
      </c>
      <c r="H7842" s="142" t="s">
        <v>23692</v>
      </c>
      <c r="I7842" s="142">
        <v>165</v>
      </c>
      <c r="J7842" s="142">
        <v>141</v>
      </c>
      <c r="K7842" s="142">
        <v>0</v>
      </c>
      <c r="L7842" s="142">
        <v>0</v>
      </c>
      <c r="M7842" s="142">
        <v>24</v>
      </c>
    </row>
    <row r="7843" spans="1:13" x14ac:dyDescent="0.45">
      <c r="A7843" s="142" t="s">
        <v>13003</v>
      </c>
      <c r="B7843" s="142" t="s">
        <v>15245</v>
      </c>
      <c r="C7843" s="142" t="s">
        <v>15847</v>
      </c>
      <c r="D7843" s="142" t="s">
        <v>15848</v>
      </c>
      <c r="E7843" s="142" t="s">
        <v>15849</v>
      </c>
      <c r="F7843" s="142" t="s">
        <v>161</v>
      </c>
      <c r="G7843" s="142" t="s">
        <v>7996</v>
      </c>
      <c r="H7843" s="142" t="s">
        <v>23693</v>
      </c>
      <c r="I7843" s="142">
        <v>219</v>
      </c>
      <c r="J7843" s="142">
        <v>0</v>
      </c>
      <c r="K7843" s="142">
        <v>0</v>
      </c>
      <c r="L7843" s="142">
        <v>219</v>
      </c>
      <c r="M7843" s="142">
        <v>0</v>
      </c>
    </row>
    <row r="7844" spans="1:13" x14ac:dyDescent="0.45">
      <c r="A7844" s="142" t="s">
        <v>13066</v>
      </c>
      <c r="B7844" s="142" t="s">
        <v>14459</v>
      </c>
      <c r="C7844" s="142" t="s">
        <v>15847</v>
      </c>
      <c r="D7844" s="142" t="s">
        <v>15848</v>
      </c>
      <c r="E7844" s="142" t="s">
        <v>15849</v>
      </c>
      <c r="F7844" s="142" t="s">
        <v>161</v>
      </c>
      <c r="G7844" s="142" t="s">
        <v>7996</v>
      </c>
      <c r="H7844" s="142" t="s">
        <v>23694</v>
      </c>
      <c r="I7844" s="142">
        <v>59</v>
      </c>
      <c r="J7844" s="142">
        <v>0</v>
      </c>
      <c r="K7844" s="142">
        <v>0</v>
      </c>
      <c r="L7844" s="142">
        <v>59</v>
      </c>
      <c r="M7844" s="142">
        <v>0</v>
      </c>
    </row>
    <row r="7845" spans="1:13" x14ac:dyDescent="0.45">
      <c r="A7845" s="142" t="s">
        <v>13248</v>
      </c>
      <c r="B7845" s="142" t="s">
        <v>15463</v>
      </c>
      <c r="C7845" s="142" t="s">
        <v>15847</v>
      </c>
      <c r="D7845" s="142" t="s">
        <v>15848</v>
      </c>
      <c r="E7845" s="142" t="s">
        <v>15849</v>
      </c>
      <c r="F7845" s="142" t="s">
        <v>161</v>
      </c>
      <c r="G7845" s="142" t="s">
        <v>7996</v>
      </c>
      <c r="H7845" s="142" t="s">
        <v>23695</v>
      </c>
      <c r="I7845" s="142">
        <v>343</v>
      </c>
      <c r="J7845" s="142">
        <v>268</v>
      </c>
      <c r="K7845" s="142">
        <v>0</v>
      </c>
      <c r="L7845" s="142">
        <v>43</v>
      </c>
      <c r="M7845" s="142">
        <v>32</v>
      </c>
    </row>
    <row r="7846" spans="1:13" x14ac:dyDescent="0.45">
      <c r="A7846" s="142" t="s">
        <v>13035</v>
      </c>
      <c r="B7846" s="142" t="s">
        <v>14648</v>
      </c>
      <c r="C7846" s="142" t="s">
        <v>15847</v>
      </c>
      <c r="D7846" s="142" t="s">
        <v>15848</v>
      </c>
      <c r="E7846" s="142" t="s">
        <v>15849</v>
      </c>
      <c r="F7846" s="142" t="s">
        <v>161</v>
      </c>
      <c r="G7846" s="142" t="s">
        <v>7996</v>
      </c>
      <c r="H7846" s="142" t="s">
        <v>23696</v>
      </c>
      <c r="I7846" s="142">
        <v>127</v>
      </c>
      <c r="J7846" s="142">
        <v>53</v>
      </c>
      <c r="K7846" s="142">
        <v>0</v>
      </c>
      <c r="L7846" s="142">
        <v>0</v>
      </c>
      <c r="M7846" s="142">
        <v>74</v>
      </c>
    </row>
    <row r="7847" spans="1:13" x14ac:dyDescent="0.45">
      <c r="A7847" s="142" t="s">
        <v>13038</v>
      </c>
      <c r="B7847" s="142" t="s">
        <v>14646</v>
      </c>
      <c r="C7847" s="142" t="s">
        <v>15847</v>
      </c>
      <c r="D7847" s="142" t="s">
        <v>15848</v>
      </c>
      <c r="E7847" s="142" t="s">
        <v>15849</v>
      </c>
      <c r="F7847" s="142" t="s">
        <v>161</v>
      </c>
      <c r="G7847" s="142" t="s">
        <v>7996</v>
      </c>
      <c r="H7847" s="142" t="s">
        <v>23697</v>
      </c>
      <c r="I7847" s="142">
        <v>33</v>
      </c>
      <c r="J7847" s="142">
        <v>0</v>
      </c>
      <c r="K7847" s="142">
        <v>0</v>
      </c>
      <c r="L7847" s="142">
        <v>0</v>
      </c>
      <c r="M7847" s="142">
        <v>33</v>
      </c>
    </row>
    <row r="7848" spans="1:13" x14ac:dyDescent="0.45">
      <c r="A7848" s="142" t="s">
        <v>13039</v>
      </c>
      <c r="B7848" s="142" t="s">
        <v>14647</v>
      </c>
      <c r="C7848" s="142" t="s">
        <v>15847</v>
      </c>
      <c r="D7848" s="142" t="s">
        <v>15848</v>
      </c>
      <c r="E7848" s="142" t="s">
        <v>15849</v>
      </c>
      <c r="F7848" s="142" t="s">
        <v>161</v>
      </c>
      <c r="G7848" s="142" t="s">
        <v>7996</v>
      </c>
      <c r="H7848" s="142" t="s">
        <v>23698</v>
      </c>
      <c r="I7848" s="142">
        <v>75</v>
      </c>
      <c r="J7848" s="142">
        <v>75</v>
      </c>
      <c r="K7848" s="142">
        <v>0</v>
      </c>
      <c r="L7848" s="142">
        <v>0</v>
      </c>
      <c r="M7848" s="142">
        <v>0</v>
      </c>
    </row>
    <row r="7849" spans="1:13" x14ac:dyDescent="0.45">
      <c r="A7849" s="142" t="s">
        <v>13091</v>
      </c>
      <c r="B7849" s="142" t="s">
        <v>14473</v>
      </c>
      <c r="C7849" s="142" t="s">
        <v>15847</v>
      </c>
      <c r="D7849" s="142" t="s">
        <v>15848</v>
      </c>
      <c r="E7849" s="142" t="s">
        <v>15849</v>
      </c>
      <c r="F7849" s="142" t="s">
        <v>161</v>
      </c>
      <c r="G7849" s="142" t="s">
        <v>7996</v>
      </c>
      <c r="H7849" s="142" t="s">
        <v>23699</v>
      </c>
      <c r="I7849" s="142">
        <v>10</v>
      </c>
      <c r="J7849" s="142">
        <v>10</v>
      </c>
      <c r="K7849" s="142">
        <v>0</v>
      </c>
      <c r="L7849" s="142">
        <v>0</v>
      </c>
      <c r="M7849" s="142">
        <v>0</v>
      </c>
    </row>
    <row r="7850" spans="1:13" x14ac:dyDescent="0.45">
      <c r="A7850" s="142" t="s">
        <v>13009</v>
      </c>
      <c r="B7850" s="142" t="s">
        <v>15256</v>
      </c>
      <c r="C7850" s="142" t="s">
        <v>15847</v>
      </c>
      <c r="D7850" s="142" t="s">
        <v>15848</v>
      </c>
      <c r="E7850" s="142" t="s">
        <v>15849</v>
      </c>
      <c r="F7850" s="142" t="s">
        <v>161</v>
      </c>
      <c r="G7850" s="142" t="s">
        <v>7996</v>
      </c>
      <c r="H7850" s="142" t="s">
        <v>23700</v>
      </c>
      <c r="I7850" s="142">
        <v>333</v>
      </c>
      <c r="J7850" s="142">
        <v>216</v>
      </c>
      <c r="K7850" s="142">
        <v>0</v>
      </c>
      <c r="L7850" s="142">
        <v>102</v>
      </c>
      <c r="M7850" s="142">
        <v>15</v>
      </c>
    </row>
    <row r="7851" spans="1:13" x14ac:dyDescent="0.45">
      <c r="A7851" s="142" t="s">
        <v>13041</v>
      </c>
      <c r="B7851" s="142" t="s">
        <v>14441</v>
      </c>
      <c r="C7851" s="142" t="s">
        <v>15847</v>
      </c>
      <c r="D7851" s="142" t="s">
        <v>15848</v>
      </c>
      <c r="E7851" s="142" t="s">
        <v>15849</v>
      </c>
      <c r="F7851" s="142" t="s">
        <v>161</v>
      </c>
      <c r="G7851" s="142" t="s">
        <v>7996</v>
      </c>
      <c r="H7851" s="142" t="s">
        <v>23701</v>
      </c>
      <c r="I7851" s="142">
        <v>22</v>
      </c>
      <c r="J7851" s="142">
        <v>0</v>
      </c>
      <c r="K7851" s="142">
        <v>0</v>
      </c>
      <c r="L7851" s="142">
        <v>0</v>
      </c>
      <c r="M7851" s="142">
        <v>22</v>
      </c>
    </row>
    <row r="7852" spans="1:13" x14ac:dyDescent="0.45">
      <c r="A7852" s="142" t="s">
        <v>13042</v>
      </c>
      <c r="B7852" s="142" t="s">
        <v>15489</v>
      </c>
      <c r="C7852" s="142" t="s">
        <v>15847</v>
      </c>
      <c r="D7852" s="142" t="s">
        <v>15848</v>
      </c>
      <c r="E7852" s="142" t="s">
        <v>15849</v>
      </c>
      <c r="F7852" s="142" t="s">
        <v>161</v>
      </c>
      <c r="G7852" s="142" t="s">
        <v>7996</v>
      </c>
      <c r="H7852" s="142" t="s">
        <v>23702</v>
      </c>
      <c r="I7852" s="142">
        <v>3</v>
      </c>
      <c r="J7852" s="142">
        <v>0</v>
      </c>
      <c r="K7852" s="142">
        <v>0</v>
      </c>
      <c r="L7852" s="142">
        <v>3</v>
      </c>
      <c r="M7852" s="142">
        <v>0</v>
      </c>
    </row>
    <row r="7853" spans="1:13" x14ac:dyDescent="0.45">
      <c r="A7853" s="142" t="s">
        <v>13451</v>
      </c>
      <c r="B7853" s="142" t="s">
        <v>15582</v>
      </c>
      <c r="C7853" s="142" t="s">
        <v>15847</v>
      </c>
      <c r="D7853" s="142" t="s">
        <v>15848</v>
      </c>
      <c r="E7853" s="142" t="s">
        <v>15849</v>
      </c>
      <c r="F7853" s="142" t="s">
        <v>161</v>
      </c>
      <c r="G7853" s="142" t="s">
        <v>7996</v>
      </c>
      <c r="H7853" s="142" t="s">
        <v>23703</v>
      </c>
      <c r="I7853" s="142">
        <v>491</v>
      </c>
      <c r="J7853" s="142">
        <v>387</v>
      </c>
      <c r="K7853" s="142">
        <v>0</v>
      </c>
      <c r="L7853" s="142">
        <v>89</v>
      </c>
      <c r="M7853" s="142">
        <v>15</v>
      </c>
    </row>
    <row r="7854" spans="1:13" x14ac:dyDescent="0.45">
      <c r="A7854" s="142" t="s">
        <v>13061</v>
      </c>
      <c r="B7854" s="142" t="s">
        <v>15184</v>
      </c>
      <c r="C7854" s="142" t="s">
        <v>15860</v>
      </c>
      <c r="D7854" s="142" t="s">
        <v>15861</v>
      </c>
      <c r="E7854" s="142" t="s">
        <v>15849</v>
      </c>
      <c r="F7854" s="142" t="s">
        <v>161</v>
      </c>
      <c r="G7854" s="142" t="s">
        <v>7996</v>
      </c>
      <c r="H7854" s="142" t="s">
        <v>23704</v>
      </c>
      <c r="I7854" s="142">
        <v>6</v>
      </c>
      <c r="J7854" s="142">
        <v>0</v>
      </c>
      <c r="K7854" s="142">
        <v>0</v>
      </c>
      <c r="L7854" s="142">
        <v>6</v>
      </c>
      <c r="M7854" s="142">
        <v>0</v>
      </c>
    </row>
    <row r="7855" spans="1:13" x14ac:dyDescent="0.45">
      <c r="A7855" s="142" t="s">
        <v>13267</v>
      </c>
      <c r="B7855" s="142" t="s">
        <v>15451</v>
      </c>
      <c r="C7855" s="142" t="s">
        <v>15847</v>
      </c>
      <c r="D7855" s="142" t="s">
        <v>15848</v>
      </c>
      <c r="E7855" s="142" t="s">
        <v>15849</v>
      </c>
      <c r="F7855" s="142" t="s">
        <v>161</v>
      </c>
      <c r="G7855" s="142" t="s">
        <v>7996</v>
      </c>
      <c r="H7855" s="142" t="s">
        <v>23705</v>
      </c>
      <c r="I7855" s="142">
        <v>95</v>
      </c>
      <c r="J7855" s="142">
        <v>69</v>
      </c>
      <c r="K7855" s="142">
        <v>0</v>
      </c>
      <c r="L7855" s="142">
        <v>0</v>
      </c>
      <c r="M7855" s="142">
        <v>26</v>
      </c>
    </row>
    <row r="7856" spans="1:13" x14ac:dyDescent="0.45">
      <c r="A7856" s="142" t="s">
        <v>13156</v>
      </c>
      <c r="B7856" s="142" t="s">
        <v>14493</v>
      </c>
      <c r="C7856" s="142" t="s">
        <v>15860</v>
      </c>
      <c r="D7856" s="142" t="s">
        <v>15861</v>
      </c>
      <c r="E7856" s="142" t="s">
        <v>15849</v>
      </c>
      <c r="F7856" s="142" t="s">
        <v>161</v>
      </c>
      <c r="G7856" s="142" t="s">
        <v>7996</v>
      </c>
      <c r="H7856" s="142" t="s">
        <v>23706</v>
      </c>
      <c r="I7856" s="142">
        <v>5</v>
      </c>
      <c r="J7856" s="142">
        <v>0</v>
      </c>
      <c r="K7856" s="142">
        <v>0</v>
      </c>
      <c r="L7856" s="142">
        <v>5</v>
      </c>
      <c r="M7856" s="142">
        <v>0</v>
      </c>
    </row>
    <row r="7857" spans="1:13" x14ac:dyDescent="0.45">
      <c r="A7857" s="142" t="s">
        <v>13023</v>
      </c>
      <c r="B7857" s="142" t="s">
        <v>15571</v>
      </c>
      <c r="C7857" s="142" t="s">
        <v>15847</v>
      </c>
      <c r="D7857" s="142" t="s">
        <v>15848</v>
      </c>
      <c r="E7857" s="142" t="s">
        <v>15849</v>
      </c>
      <c r="F7857" s="142" t="s">
        <v>162</v>
      </c>
      <c r="G7857" s="142" t="s">
        <v>8037</v>
      </c>
      <c r="H7857" s="142" t="s">
        <v>23707</v>
      </c>
      <c r="I7857" s="142">
        <v>31</v>
      </c>
      <c r="J7857" s="142">
        <v>0</v>
      </c>
      <c r="K7857" s="142">
        <v>0</v>
      </c>
      <c r="L7857" s="142">
        <v>31</v>
      </c>
      <c r="M7857" s="142">
        <v>0</v>
      </c>
    </row>
    <row r="7858" spans="1:13" x14ac:dyDescent="0.45">
      <c r="A7858" s="142" t="s">
        <v>13446</v>
      </c>
      <c r="B7858" s="142" t="s">
        <v>15430</v>
      </c>
      <c r="C7858" s="142" t="s">
        <v>15847</v>
      </c>
      <c r="D7858" s="142" t="s">
        <v>15848</v>
      </c>
      <c r="E7858" s="142" t="s">
        <v>15849</v>
      </c>
      <c r="F7858" s="142" t="s">
        <v>162</v>
      </c>
      <c r="G7858" s="142" t="s">
        <v>8037</v>
      </c>
      <c r="H7858" s="142" t="s">
        <v>23708</v>
      </c>
      <c r="I7858" s="142">
        <v>10</v>
      </c>
      <c r="J7858" s="142">
        <v>7</v>
      </c>
      <c r="K7858" s="142">
        <v>0</v>
      </c>
      <c r="L7858" s="142">
        <v>0</v>
      </c>
      <c r="M7858" s="142">
        <v>3</v>
      </c>
    </row>
    <row r="7859" spans="1:13" x14ac:dyDescent="0.45">
      <c r="A7859" s="142" t="s">
        <v>13147</v>
      </c>
      <c r="B7859" s="142" t="s">
        <v>14529</v>
      </c>
      <c r="C7859" s="142" t="s">
        <v>15860</v>
      </c>
      <c r="D7859" s="142" t="s">
        <v>15861</v>
      </c>
      <c r="E7859" s="142" t="s">
        <v>15849</v>
      </c>
      <c r="F7859" s="142" t="s">
        <v>162</v>
      </c>
      <c r="G7859" s="142" t="s">
        <v>8037</v>
      </c>
      <c r="H7859" s="142" t="s">
        <v>23709</v>
      </c>
      <c r="I7859" s="142">
        <v>29</v>
      </c>
      <c r="J7859" s="142">
        <v>29</v>
      </c>
      <c r="K7859" s="142">
        <v>0</v>
      </c>
      <c r="L7859" s="142">
        <v>0</v>
      </c>
      <c r="M7859" s="142">
        <v>0</v>
      </c>
    </row>
    <row r="7860" spans="1:13" x14ac:dyDescent="0.45">
      <c r="A7860" s="142" t="s">
        <v>13065</v>
      </c>
      <c r="B7860" s="142" t="s">
        <v>14497</v>
      </c>
      <c r="C7860" s="142" t="s">
        <v>15847</v>
      </c>
      <c r="D7860" s="142" t="s">
        <v>15848</v>
      </c>
      <c r="E7860" s="142" t="s">
        <v>15849</v>
      </c>
      <c r="F7860" s="142" t="s">
        <v>162</v>
      </c>
      <c r="G7860" s="142" t="s">
        <v>8037</v>
      </c>
      <c r="H7860" s="142" t="s">
        <v>23710</v>
      </c>
      <c r="I7860" s="142">
        <v>4</v>
      </c>
      <c r="J7860" s="142">
        <v>0</v>
      </c>
      <c r="K7860" s="142">
        <v>0</v>
      </c>
      <c r="L7860" s="142">
        <v>4</v>
      </c>
      <c r="M7860" s="142">
        <v>0</v>
      </c>
    </row>
    <row r="7861" spans="1:13" x14ac:dyDescent="0.45">
      <c r="A7861" s="142" t="s">
        <v>14020</v>
      </c>
      <c r="B7861" s="142" t="s">
        <v>15231</v>
      </c>
      <c r="C7861" s="142" t="s">
        <v>15860</v>
      </c>
      <c r="D7861" s="142" t="s">
        <v>15861</v>
      </c>
      <c r="E7861" s="142" t="s">
        <v>15849</v>
      </c>
      <c r="F7861" s="142" t="s">
        <v>162</v>
      </c>
      <c r="G7861" s="142" t="s">
        <v>8037</v>
      </c>
      <c r="H7861" s="142" t="s">
        <v>23711</v>
      </c>
      <c r="I7861" s="142">
        <v>8</v>
      </c>
      <c r="J7861" s="142">
        <v>0</v>
      </c>
      <c r="K7861" s="142">
        <v>0</v>
      </c>
      <c r="L7861" s="142">
        <v>8</v>
      </c>
      <c r="M7861" s="142">
        <v>0</v>
      </c>
    </row>
    <row r="7862" spans="1:13" x14ac:dyDescent="0.45">
      <c r="A7862" s="142" t="s">
        <v>14235</v>
      </c>
      <c r="B7862" s="142" t="s">
        <v>14837</v>
      </c>
      <c r="C7862" s="142" t="s">
        <v>15860</v>
      </c>
      <c r="D7862" s="142" t="s">
        <v>15861</v>
      </c>
      <c r="E7862" s="142" t="s">
        <v>15849</v>
      </c>
      <c r="F7862" s="142" t="s">
        <v>162</v>
      </c>
      <c r="G7862" s="142" t="s">
        <v>8037</v>
      </c>
      <c r="H7862" s="142" t="s">
        <v>23712</v>
      </c>
      <c r="I7862" s="142">
        <v>8</v>
      </c>
      <c r="J7862" s="142">
        <v>8</v>
      </c>
      <c r="K7862" s="142">
        <v>0</v>
      </c>
      <c r="L7862" s="142">
        <v>0</v>
      </c>
      <c r="M7862" s="142">
        <v>0</v>
      </c>
    </row>
    <row r="7863" spans="1:13" x14ac:dyDescent="0.45">
      <c r="A7863" s="142" t="s">
        <v>13024</v>
      </c>
      <c r="B7863" s="142" t="s">
        <v>14538</v>
      </c>
      <c r="C7863" s="142" t="s">
        <v>15847</v>
      </c>
      <c r="D7863" s="142" t="s">
        <v>15848</v>
      </c>
      <c r="E7863" s="142" t="s">
        <v>15849</v>
      </c>
      <c r="F7863" s="142" t="s">
        <v>162</v>
      </c>
      <c r="G7863" s="142" t="s">
        <v>8037</v>
      </c>
      <c r="H7863" s="142" t="s">
        <v>23713</v>
      </c>
      <c r="I7863" s="142">
        <v>37</v>
      </c>
      <c r="J7863" s="142">
        <v>37</v>
      </c>
      <c r="K7863" s="142">
        <v>0</v>
      </c>
      <c r="L7863" s="142">
        <v>0</v>
      </c>
      <c r="M7863" s="142">
        <v>0</v>
      </c>
    </row>
    <row r="7864" spans="1:13" x14ac:dyDescent="0.45">
      <c r="A7864" s="142" t="s">
        <v>14022</v>
      </c>
      <c r="B7864" s="142" t="s">
        <v>15416</v>
      </c>
      <c r="C7864" s="142" t="s">
        <v>15847</v>
      </c>
      <c r="D7864" s="142" t="s">
        <v>15848</v>
      </c>
      <c r="E7864" s="142" t="s">
        <v>15849</v>
      </c>
      <c r="F7864" s="142" t="s">
        <v>162</v>
      </c>
      <c r="G7864" s="142" t="s">
        <v>8037</v>
      </c>
      <c r="H7864" s="142" t="s">
        <v>23714</v>
      </c>
      <c r="I7864" s="142">
        <v>13</v>
      </c>
      <c r="J7864" s="142">
        <v>13</v>
      </c>
      <c r="K7864" s="142">
        <v>0</v>
      </c>
      <c r="L7864" s="142">
        <v>0</v>
      </c>
      <c r="M7864" s="142">
        <v>0</v>
      </c>
    </row>
    <row r="7865" spans="1:13" x14ac:dyDescent="0.45">
      <c r="A7865" s="142" t="s">
        <v>13025</v>
      </c>
      <c r="B7865" s="142" t="s">
        <v>15579</v>
      </c>
      <c r="C7865" s="142" t="s">
        <v>15847</v>
      </c>
      <c r="D7865" s="142" t="s">
        <v>15848</v>
      </c>
      <c r="E7865" s="142" t="s">
        <v>15849</v>
      </c>
      <c r="F7865" s="142" t="s">
        <v>162</v>
      </c>
      <c r="G7865" s="142" t="s">
        <v>8037</v>
      </c>
      <c r="H7865" s="142" t="s">
        <v>23715</v>
      </c>
      <c r="I7865" s="142">
        <v>4</v>
      </c>
      <c r="J7865" s="142">
        <v>0</v>
      </c>
      <c r="K7865" s="142">
        <v>0</v>
      </c>
      <c r="L7865" s="142">
        <v>4</v>
      </c>
      <c r="M7865" s="142">
        <v>0</v>
      </c>
    </row>
    <row r="7866" spans="1:13" x14ac:dyDescent="0.45">
      <c r="A7866" s="142" t="s">
        <v>13148</v>
      </c>
      <c r="B7866" s="142" t="s">
        <v>15314</v>
      </c>
      <c r="C7866" s="142" t="s">
        <v>15847</v>
      </c>
      <c r="D7866" s="142" t="s">
        <v>15848</v>
      </c>
      <c r="E7866" s="142" t="s">
        <v>15849</v>
      </c>
      <c r="F7866" s="142" t="s">
        <v>162</v>
      </c>
      <c r="G7866" s="142" t="s">
        <v>8037</v>
      </c>
      <c r="H7866" s="142" t="s">
        <v>23716</v>
      </c>
      <c r="I7866" s="142">
        <v>1</v>
      </c>
      <c r="J7866" s="142">
        <v>0</v>
      </c>
      <c r="K7866" s="142">
        <v>0</v>
      </c>
      <c r="L7866" s="142">
        <v>0</v>
      </c>
      <c r="M7866" s="142">
        <v>1</v>
      </c>
    </row>
    <row r="7867" spans="1:13" x14ac:dyDescent="0.45">
      <c r="A7867" s="142" t="s">
        <v>13243</v>
      </c>
      <c r="B7867" s="142" t="s">
        <v>15560</v>
      </c>
      <c r="C7867" s="142" t="s">
        <v>15847</v>
      </c>
      <c r="D7867" s="142" t="s">
        <v>15848</v>
      </c>
      <c r="E7867" s="142" t="s">
        <v>15849</v>
      </c>
      <c r="F7867" s="142" t="s">
        <v>162</v>
      </c>
      <c r="G7867" s="142" t="s">
        <v>8037</v>
      </c>
      <c r="H7867" s="142" t="s">
        <v>23717</v>
      </c>
      <c r="I7867" s="142">
        <v>4</v>
      </c>
      <c r="J7867" s="142">
        <v>0</v>
      </c>
      <c r="K7867" s="142">
        <v>0</v>
      </c>
      <c r="L7867" s="142">
        <v>4</v>
      </c>
      <c r="M7867" s="142">
        <v>0</v>
      </c>
    </row>
    <row r="7868" spans="1:13" x14ac:dyDescent="0.45">
      <c r="A7868" s="142" t="s">
        <v>13149</v>
      </c>
      <c r="B7868" s="142" t="s">
        <v>14458</v>
      </c>
      <c r="C7868" s="142" t="s">
        <v>15860</v>
      </c>
      <c r="D7868" s="142" t="s">
        <v>15861</v>
      </c>
      <c r="E7868" s="142" t="s">
        <v>15849</v>
      </c>
      <c r="F7868" s="142" t="s">
        <v>162</v>
      </c>
      <c r="G7868" s="142" t="s">
        <v>8037</v>
      </c>
      <c r="H7868" s="142" t="s">
        <v>23718</v>
      </c>
      <c r="I7868" s="142">
        <v>9</v>
      </c>
      <c r="J7868" s="142">
        <v>0</v>
      </c>
      <c r="K7868" s="142">
        <v>0</v>
      </c>
      <c r="L7868" s="142">
        <v>9</v>
      </c>
      <c r="M7868" s="142">
        <v>0</v>
      </c>
    </row>
    <row r="7869" spans="1:13" x14ac:dyDescent="0.45">
      <c r="A7869" s="142" t="s">
        <v>13028</v>
      </c>
      <c r="B7869" s="142" t="s">
        <v>14462</v>
      </c>
      <c r="C7869" s="142" t="s">
        <v>15847</v>
      </c>
      <c r="D7869" s="142" t="s">
        <v>15848</v>
      </c>
      <c r="E7869" s="142" t="s">
        <v>15849</v>
      </c>
      <c r="F7869" s="142" t="s">
        <v>162</v>
      </c>
      <c r="G7869" s="142" t="s">
        <v>8037</v>
      </c>
      <c r="H7869" s="142" t="s">
        <v>23719</v>
      </c>
      <c r="I7869" s="142">
        <v>13</v>
      </c>
      <c r="J7869" s="142">
        <v>0</v>
      </c>
      <c r="K7869" s="142">
        <v>0</v>
      </c>
      <c r="L7869" s="142">
        <v>0</v>
      </c>
      <c r="M7869" s="142">
        <v>13</v>
      </c>
    </row>
    <row r="7870" spans="1:13" x14ac:dyDescent="0.45">
      <c r="A7870" s="142" t="s">
        <v>13160</v>
      </c>
      <c r="B7870" s="142" t="s">
        <v>14525</v>
      </c>
      <c r="C7870" s="142" t="s">
        <v>15847</v>
      </c>
      <c r="D7870" s="142" t="s">
        <v>15848</v>
      </c>
      <c r="E7870" s="142" t="s">
        <v>15849</v>
      </c>
      <c r="F7870" s="142" t="s">
        <v>162</v>
      </c>
      <c r="G7870" s="142" t="s">
        <v>8037</v>
      </c>
      <c r="H7870" s="142" t="s">
        <v>23720</v>
      </c>
      <c r="I7870" s="142">
        <v>19</v>
      </c>
      <c r="J7870" s="142">
        <v>0</v>
      </c>
      <c r="K7870" s="142">
        <v>0</v>
      </c>
      <c r="L7870" s="142">
        <v>19</v>
      </c>
      <c r="M7870" s="142">
        <v>0</v>
      </c>
    </row>
    <row r="7871" spans="1:13" x14ac:dyDescent="0.45">
      <c r="A7871" s="142" t="s">
        <v>13484</v>
      </c>
      <c r="B7871" s="142" t="s">
        <v>15536</v>
      </c>
      <c r="C7871" s="142" t="s">
        <v>15847</v>
      </c>
      <c r="D7871" s="142" t="s">
        <v>15848</v>
      </c>
      <c r="E7871" s="142" t="s">
        <v>15849</v>
      </c>
      <c r="F7871" s="142" t="s">
        <v>162</v>
      </c>
      <c r="G7871" s="142" t="s">
        <v>8037</v>
      </c>
      <c r="H7871" s="142" t="s">
        <v>23721</v>
      </c>
      <c r="I7871" s="142">
        <v>412</v>
      </c>
      <c r="J7871" s="142">
        <v>326</v>
      </c>
      <c r="K7871" s="142">
        <v>6</v>
      </c>
      <c r="L7871" s="142">
        <v>50</v>
      </c>
      <c r="M7871" s="142">
        <v>30</v>
      </c>
    </row>
    <row r="7872" spans="1:13" x14ac:dyDescent="0.45">
      <c r="A7872" s="142" t="s">
        <v>13003</v>
      </c>
      <c r="B7872" s="142" t="s">
        <v>15245</v>
      </c>
      <c r="C7872" s="142" t="s">
        <v>15847</v>
      </c>
      <c r="D7872" s="142" t="s">
        <v>15848</v>
      </c>
      <c r="E7872" s="142" t="s">
        <v>15849</v>
      </c>
      <c r="F7872" s="142" t="s">
        <v>162</v>
      </c>
      <c r="G7872" s="142" t="s">
        <v>8037</v>
      </c>
      <c r="H7872" s="142" t="s">
        <v>23722</v>
      </c>
      <c r="I7872" s="142">
        <v>41</v>
      </c>
      <c r="J7872" s="142">
        <v>0</v>
      </c>
      <c r="K7872" s="142">
        <v>0</v>
      </c>
      <c r="L7872" s="142">
        <v>41</v>
      </c>
      <c r="M7872" s="142">
        <v>0</v>
      </c>
    </row>
    <row r="7873" spans="1:13" x14ac:dyDescent="0.45">
      <c r="A7873" s="142" t="s">
        <v>13066</v>
      </c>
      <c r="B7873" s="142" t="s">
        <v>14459</v>
      </c>
      <c r="C7873" s="142" t="s">
        <v>15847</v>
      </c>
      <c r="D7873" s="142" t="s">
        <v>15848</v>
      </c>
      <c r="E7873" s="142" t="s">
        <v>15849</v>
      </c>
      <c r="F7873" s="142" t="s">
        <v>162</v>
      </c>
      <c r="G7873" s="142" t="s">
        <v>8037</v>
      </c>
      <c r="H7873" s="142" t="s">
        <v>23723</v>
      </c>
      <c r="I7873" s="142">
        <v>15</v>
      </c>
      <c r="J7873" s="142">
        <v>0</v>
      </c>
      <c r="K7873" s="142">
        <v>0</v>
      </c>
      <c r="L7873" s="142">
        <v>15</v>
      </c>
      <c r="M7873" s="142">
        <v>0</v>
      </c>
    </row>
    <row r="7874" spans="1:13" x14ac:dyDescent="0.45">
      <c r="A7874" s="142" t="s">
        <v>13291</v>
      </c>
      <c r="B7874" s="142" t="s">
        <v>15495</v>
      </c>
      <c r="C7874" s="142" t="s">
        <v>15847</v>
      </c>
      <c r="D7874" s="142" t="s">
        <v>15848</v>
      </c>
      <c r="E7874" s="142" t="s">
        <v>15849</v>
      </c>
      <c r="F7874" s="142" t="s">
        <v>162</v>
      </c>
      <c r="G7874" s="142" t="s">
        <v>8037</v>
      </c>
      <c r="H7874" s="142" t="s">
        <v>23724</v>
      </c>
      <c r="I7874" s="142">
        <v>25</v>
      </c>
      <c r="J7874" s="142">
        <v>15</v>
      </c>
      <c r="K7874" s="142">
        <v>0</v>
      </c>
      <c r="L7874" s="142">
        <v>0</v>
      </c>
      <c r="M7874" s="142">
        <v>10</v>
      </c>
    </row>
    <row r="7875" spans="1:13" x14ac:dyDescent="0.45">
      <c r="A7875" s="142" t="s">
        <v>13274</v>
      </c>
      <c r="B7875" s="142" t="s">
        <v>14608</v>
      </c>
      <c r="C7875" s="142" t="s">
        <v>15860</v>
      </c>
      <c r="D7875" s="142" t="s">
        <v>15861</v>
      </c>
      <c r="E7875" s="142" t="s">
        <v>15849</v>
      </c>
      <c r="F7875" s="142" t="s">
        <v>162</v>
      </c>
      <c r="G7875" s="142" t="s">
        <v>8037</v>
      </c>
      <c r="H7875" s="142" t="s">
        <v>23725</v>
      </c>
      <c r="I7875" s="142">
        <v>1</v>
      </c>
      <c r="J7875" s="142">
        <v>0</v>
      </c>
      <c r="K7875" s="142">
        <v>0</v>
      </c>
      <c r="L7875" s="142">
        <v>1</v>
      </c>
      <c r="M7875" s="142">
        <v>0</v>
      </c>
    </row>
    <row r="7876" spans="1:13" x14ac:dyDescent="0.45">
      <c r="A7876" s="142" t="s">
        <v>13248</v>
      </c>
      <c r="B7876" s="142" t="s">
        <v>15463</v>
      </c>
      <c r="C7876" s="142" t="s">
        <v>15847</v>
      </c>
      <c r="D7876" s="142" t="s">
        <v>15848</v>
      </c>
      <c r="E7876" s="142" t="s">
        <v>15849</v>
      </c>
      <c r="F7876" s="142" t="s">
        <v>162</v>
      </c>
      <c r="G7876" s="142" t="s">
        <v>8037</v>
      </c>
      <c r="H7876" s="142" t="s">
        <v>23726</v>
      </c>
      <c r="I7876" s="142">
        <v>19</v>
      </c>
      <c r="J7876" s="142">
        <v>0</v>
      </c>
      <c r="K7876" s="142">
        <v>0</v>
      </c>
      <c r="L7876" s="142">
        <v>14</v>
      </c>
      <c r="M7876" s="142">
        <v>5</v>
      </c>
    </row>
    <row r="7877" spans="1:13" x14ac:dyDescent="0.45">
      <c r="A7877" s="142" t="s">
        <v>13613</v>
      </c>
      <c r="B7877" s="142" t="s">
        <v>15399</v>
      </c>
      <c r="C7877" s="142" t="s">
        <v>15860</v>
      </c>
      <c r="D7877" s="142" t="s">
        <v>15861</v>
      </c>
      <c r="E7877" s="142" t="s">
        <v>15849</v>
      </c>
      <c r="F7877" s="142" t="s">
        <v>162</v>
      </c>
      <c r="G7877" s="142" t="s">
        <v>8037</v>
      </c>
      <c r="H7877" s="142" t="s">
        <v>23727</v>
      </c>
      <c r="I7877" s="142">
        <v>47</v>
      </c>
      <c r="J7877" s="142">
        <v>47</v>
      </c>
      <c r="K7877" s="142">
        <v>0</v>
      </c>
      <c r="L7877" s="142">
        <v>0</v>
      </c>
      <c r="M7877" s="142">
        <v>0</v>
      </c>
    </row>
    <row r="7878" spans="1:13" x14ac:dyDescent="0.45">
      <c r="A7878" s="142" t="s">
        <v>13487</v>
      </c>
      <c r="B7878" s="142" t="s">
        <v>15490</v>
      </c>
      <c r="C7878" s="142" t="s">
        <v>15847</v>
      </c>
      <c r="D7878" s="142" t="s">
        <v>15848</v>
      </c>
      <c r="E7878" s="142" t="s">
        <v>15849</v>
      </c>
      <c r="F7878" s="142" t="s">
        <v>162</v>
      </c>
      <c r="G7878" s="142" t="s">
        <v>8037</v>
      </c>
      <c r="H7878" s="142" t="s">
        <v>23728</v>
      </c>
      <c r="I7878" s="142">
        <v>15</v>
      </c>
      <c r="J7878" s="142">
        <v>15</v>
      </c>
      <c r="K7878" s="142">
        <v>0</v>
      </c>
      <c r="L7878" s="142">
        <v>0</v>
      </c>
      <c r="M7878" s="142">
        <v>0</v>
      </c>
    </row>
    <row r="7879" spans="1:13" x14ac:dyDescent="0.45">
      <c r="A7879" s="142" t="s">
        <v>13038</v>
      </c>
      <c r="B7879" s="142" t="s">
        <v>14646</v>
      </c>
      <c r="C7879" s="142" t="s">
        <v>15847</v>
      </c>
      <c r="D7879" s="142" t="s">
        <v>15848</v>
      </c>
      <c r="E7879" s="142" t="s">
        <v>15849</v>
      </c>
      <c r="F7879" s="142" t="s">
        <v>162</v>
      </c>
      <c r="G7879" s="142" t="s">
        <v>8037</v>
      </c>
      <c r="H7879" s="142" t="s">
        <v>23729</v>
      </c>
      <c r="I7879" s="142">
        <v>13</v>
      </c>
      <c r="J7879" s="142">
        <v>0</v>
      </c>
      <c r="K7879" s="142">
        <v>0</v>
      </c>
      <c r="L7879" s="142">
        <v>0</v>
      </c>
      <c r="M7879" s="142">
        <v>13</v>
      </c>
    </row>
    <row r="7880" spans="1:13" x14ac:dyDescent="0.45">
      <c r="A7880" s="142" t="s">
        <v>13039</v>
      </c>
      <c r="B7880" s="142" t="s">
        <v>14647</v>
      </c>
      <c r="C7880" s="142" t="s">
        <v>15847</v>
      </c>
      <c r="D7880" s="142" t="s">
        <v>15848</v>
      </c>
      <c r="E7880" s="142" t="s">
        <v>15849</v>
      </c>
      <c r="F7880" s="142" t="s">
        <v>162</v>
      </c>
      <c r="G7880" s="142" t="s">
        <v>8037</v>
      </c>
      <c r="H7880" s="142" t="s">
        <v>23730</v>
      </c>
      <c r="I7880" s="142">
        <v>6</v>
      </c>
      <c r="J7880" s="142">
        <v>6</v>
      </c>
      <c r="K7880" s="142">
        <v>0</v>
      </c>
      <c r="L7880" s="142">
        <v>0</v>
      </c>
      <c r="M7880" s="142">
        <v>0</v>
      </c>
    </row>
    <row r="7881" spans="1:13" x14ac:dyDescent="0.45">
      <c r="A7881" s="142" t="s">
        <v>13009</v>
      </c>
      <c r="B7881" s="142" t="s">
        <v>15256</v>
      </c>
      <c r="C7881" s="142" t="s">
        <v>15847</v>
      </c>
      <c r="D7881" s="142" t="s">
        <v>15848</v>
      </c>
      <c r="E7881" s="142" t="s">
        <v>15849</v>
      </c>
      <c r="F7881" s="142" t="s">
        <v>162</v>
      </c>
      <c r="G7881" s="142" t="s">
        <v>8037</v>
      </c>
      <c r="H7881" s="142" t="s">
        <v>23731</v>
      </c>
      <c r="I7881" s="142">
        <v>333</v>
      </c>
      <c r="J7881" s="142">
        <v>202</v>
      </c>
      <c r="K7881" s="142">
        <v>0</v>
      </c>
      <c r="L7881" s="142">
        <v>117</v>
      </c>
      <c r="M7881" s="142">
        <v>14</v>
      </c>
    </row>
    <row r="7882" spans="1:13" x14ac:dyDescent="0.45">
      <c r="A7882" s="142" t="s">
        <v>13041</v>
      </c>
      <c r="B7882" s="142" t="s">
        <v>14441</v>
      </c>
      <c r="C7882" s="142" t="s">
        <v>15847</v>
      </c>
      <c r="D7882" s="142" t="s">
        <v>15848</v>
      </c>
      <c r="E7882" s="142" t="s">
        <v>15849</v>
      </c>
      <c r="F7882" s="142" t="s">
        <v>162</v>
      </c>
      <c r="G7882" s="142" t="s">
        <v>8037</v>
      </c>
      <c r="H7882" s="142" t="s">
        <v>23732</v>
      </c>
      <c r="I7882" s="142">
        <v>2</v>
      </c>
      <c r="J7882" s="142">
        <v>0</v>
      </c>
      <c r="K7882" s="142">
        <v>0</v>
      </c>
      <c r="L7882" s="142">
        <v>0</v>
      </c>
      <c r="M7882" s="142">
        <v>2</v>
      </c>
    </row>
    <row r="7883" spans="1:13" x14ac:dyDescent="0.45">
      <c r="A7883" s="142" t="s">
        <v>14236</v>
      </c>
      <c r="B7883" s="142" t="s">
        <v>14838</v>
      </c>
      <c r="C7883" s="142" t="s">
        <v>15860</v>
      </c>
      <c r="D7883" s="142" t="s">
        <v>15861</v>
      </c>
      <c r="E7883" s="142" t="s">
        <v>15849</v>
      </c>
      <c r="F7883" s="142" t="s">
        <v>162</v>
      </c>
      <c r="G7883" s="142" t="s">
        <v>8037</v>
      </c>
      <c r="H7883" s="142" t="s">
        <v>23733</v>
      </c>
      <c r="I7883" s="142">
        <v>14</v>
      </c>
      <c r="J7883" s="142">
        <v>14</v>
      </c>
      <c r="K7883" s="142">
        <v>0</v>
      </c>
      <c r="L7883" s="142">
        <v>0</v>
      </c>
      <c r="M7883" s="142">
        <v>0</v>
      </c>
    </row>
    <row r="7884" spans="1:13" x14ac:dyDescent="0.45">
      <c r="A7884" s="142" t="s">
        <v>13451</v>
      </c>
      <c r="B7884" s="142" t="s">
        <v>15582</v>
      </c>
      <c r="C7884" s="142" t="s">
        <v>15847</v>
      </c>
      <c r="D7884" s="142" t="s">
        <v>15848</v>
      </c>
      <c r="E7884" s="142" t="s">
        <v>15849</v>
      </c>
      <c r="F7884" s="142" t="s">
        <v>162</v>
      </c>
      <c r="G7884" s="142" t="s">
        <v>8037</v>
      </c>
      <c r="H7884" s="142" t="s">
        <v>23734</v>
      </c>
      <c r="I7884" s="142">
        <v>73</v>
      </c>
      <c r="J7884" s="142">
        <v>62</v>
      </c>
      <c r="K7884" s="142">
        <v>0</v>
      </c>
      <c r="L7884" s="142">
        <v>11</v>
      </c>
      <c r="M7884" s="142">
        <v>0</v>
      </c>
    </row>
    <row r="7885" spans="1:13" x14ac:dyDescent="0.45">
      <c r="A7885" s="142" t="s">
        <v>13286</v>
      </c>
      <c r="B7885" s="142" t="s">
        <v>15342</v>
      </c>
      <c r="C7885" s="142" t="s">
        <v>15847</v>
      </c>
      <c r="D7885" s="142" t="s">
        <v>15848</v>
      </c>
      <c r="E7885" s="142" t="s">
        <v>15849</v>
      </c>
      <c r="F7885" s="142" t="s">
        <v>162</v>
      </c>
      <c r="G7885" s="142" t="s">
        <v>8037</v>
      </c>
      <c r="H7885" s="142" t="s">
        <v>23735</v>
      </c>
      <c r="I7885" s="142">
        <v>2791</v>
      </c>
      <c r="J7885" s="142">
        <v>2642</v>
      </c>
      <c r="K7885" s="142">
        <v>5</v>
      </c>
      <c r="L7885" s="142">
        <v>110</v>
      </c>
      <c r="M7885" s="142">
        <v>34</v>
      </c>
    </row>
    <row r="7886" spans="1:13" x14ac:dyDescent="0.45">
      <c r="A7886" s="142" t="s">
        <v>13021</v>
      </c>
      <c r="B7886" s="142" t="s">
        <v>15501</v>
      </c>
      <c r="C7886" s="142" t="s">
        <v>15847</v>
      </c>
      <c r="D7886" s="142" t="s">
        <v>15848</v>
      </c>
      <c r="E7886" s="142" t="s">
        <v>15849</v>
      </c>
      <c r="F7886" s="142" t="s">
        <v>163</v>
      </c>
      <c r="G7886" s="142" t="s">
        <v>9560</v>
      </c>
      <c r="H7886" s="142" t="s">
        <v>23736</v>
      </c>
      <c r="I7886" s="142">
        <v>3</v>
      </c>
      <c r="J7886" s="142">
        <v>0</v>
      </c>
      <c r="K7886" s="142">
        <v>0</v>
      </c>
      <c r="L7886" s="142">
        <v>0</v>
      </c>
      <c r="M7886" s="142">
        <v>3</v>
      </c>
    </row>
    <row r="7887" spans="1:13" x14ac:dyDescent="0.45">
      <c r="A7887" s="142" t="s">
        <v>13023</v>
      </c>
      <c r="B7887" s="142" t="s">
        <v>15571</v>
      </c>
      <c r="C7887" s="142" t="s">
        <v>15847</v>
      </c>
      <c r="D7887" s="142" t="s">
        <v>15848</v>
      </c>
      <c r="E7887" s="142" t="s">
        <v>15849</v>
      </c>
      <c r="F7887" s="142" t="s">
        <v>163</v>
      </c>
      <c r="G7887" s="142" t="s">
        <v>9560</v>
      </c>
      <c r="H7887" s="142" t="s">
        <v>23737</v>
      </c>
      <c r="I7887" s="142">
        <v>112</v>
      </c>
      <c r="J7887" s="142">
        <v>0</v>
      </c>
      <c r="K7887" s="142">
        <v>0</v>
      </c>
      <c r="L7887" s="142">
        <v>112</v>
      </c>
      <c r="M7887" s="142">
        <v>0</v>
      </c>
    </row>
    <row r="7888" spans="1:13" x14ac:dyDescent="0.45">
      <c r="A7888" s="142" t="s">
        <v>13082</v>
      </c>
      <c r="B7888" s="142" t="s">
        <v>14478</v>
      </c>
      <c r="C7888" s="142" t="s">
        <v>15860</v>
      </c>
      <c r="D7888" s="142" t="s">
        <v>15861</v>
      </c>
      <c r="E7888" s="142" t="s">
        <v>15849</v>
      </c>
      <c r="F7888" s="142" t="s">
        <v>163</v>
      </c>
      <c r="G7888" s="142" t="s">
        <v>9560</v>
      </c>
      <c r="H7888" s="142" t="s">
        <v>23738</v>
      </c>
      <c r="I7888" s="142">
        <v>12</v>
      </c>
      <c r="J7888" s="142">
        <v>0</v>
      </c>
      <c r="K7888" s="142">
        <v>0</v>
      </c>
      <c r="L7888" s="142">
        <v>12</v>
      </c>
      <c r="M7888" s="142">
        <v>0</v>
      </c>
    </row>
    <row r="7889" spans="1:13" x14ac:dyDescent="0.45">
      <c r="A7889" s="142" t="s">
        <v>13348</v>
      </c>
      <c r="B7889" s="142" t="s">
        <v>15458</v>
      </c>
      <c r="C7889" s="142" t="s">
        <v>15847</v>
      </c>
      <c r="D7889" s="142" t="s">
        <v>15848</v>
      </c>
      <c r="E7889" s="142" t="s">
        <v>15849</v>
      </c>
      <c r="F7889" s="142" t="s">
        <v>163</v>
      </c>
      <c r="G7889" s="142" t="s">
        <v>9560</v>
      </c>
      <c r="H7889" s="142" t="s">
        <v>23739</v>
      </c>
      <c r="I7889" s="142">
        <v>28</v>
      </c>
      <c r="J7889" s="142">
        <v>0</v>
      </c>
      <c r="K7889" s="142">
        <v>0</v>
      </c>
      <c r="L7889" s="142">
        <v>28</v>
      </c>
      <c r="M7889" s="142">
        <v>0</v>
      </c>
    </row>
    <row r="7890" spans="1:13" x14ac:dyDescent="0.45">
      <c r="A7890" s="142" t="s">
        <v>13065</v>
      </c>
      <c r="B7890" s="142" t="s">
        <v>14497</v>
      </c>
      <c r="C7890" s="142" t="s">
        <v>15847</v>
      </c>
      <c r="D7890" s="142" t="s">
        <v>15848</v>
      </c>
      <c r="E7890" s="142" t="s">
        <v>15849</v>
      </c>
      <c r="F7890" s="142" t="s">
        <v>163</v>
      </c>
      <c r="G7890" s="142" t="s">
        <v>9560</v>
      </c>
      <c r="H7890" s="142" t="s">
        <v>23740</v>
      </c>
      <c r="I7890" s="142">
        <v>4</v>
      </c>
      <c r="J7890" s="142">
        <v>0</v>
      </c>
      <c r="K7890" s="142">
        <v>0</v>
      </c>
      <c r="L7890" s="142">
        <v>4</v>
      </c>
      <c r="M7890" s="142">
        <v>0</v>
      </c>
    </row>
    <row r="7891" spans="1:13" x14ac:dyDescent="0.45">
      <c r="A7891" s="142" t="s">
        <v>13000</v>
      </c>
      <c r="B7891" s="142" t="s">
        <v>14610</v>
      </c>
      <c r="C7891" s="142" t="s">
        <v>15847</v>
      </c>
      <c r="D7891" s="142" t="s">
        <v>15848</v>
      </c>
      <c r="E7891" s="142" t="s">
        <v>15849</v>
      </c>
      <c r="F7891" s="142" t="s">
        <v>163</v>
      </c>
      <c r="G7891" s="142" t="s">
        <v>9560</v>
      </c>
      <c r="H7891" s="142" t="s">
        <v>23741</v>
      </c>
      <c r="I7891" s="142">
        <v>608</v>
      </c>
      <c r="J7891" s="142">
        <v>535</v>
      </c>
      <c r="K7891" s="142">
        <v>0</v>
      </c>
      <c r="L7891" s="142">
        <v>16</v>
      </c>
      <c r="M7891" s="142">
        <v>57</v>
      </c>
    </row>
    <row r="7892" spans="1:13" x14ac:dyDescent="0.45">
      <c r="A7892" s="142" t="s">
        <v>13099</v>
      </c>
      <c r="B7892" s="142" t="s">
        <v>14547</v>
      </c>
      <c r="C7892" s="142" t="s">
        <v>15860</v>
      </c>
      <c r="D7892" s="142" t="s">
        <v>15861</v>
      </c>
      <c r="E7892" s="142" t="s">
        <v>15849</v>
      </c>
      <c r="F7892" s="142" t="s">
        <v>163</v>
      </c>
      <c r="G7892" s="142" t="s">
        <v>9560</v>
      </c>
      <c r="H7892" s="142" t="s">
        <v>23742</v>
      </c>
      <c r="I7892" s="142">
        <v>2</v>
      </c>
      <c r="J7892" s="142">
        <v>0</v>
      </c>
      <c r="K7892" s="142">
        <v>0</v>
      </c>
      <c r="L7892" s="142">
        <v>2</v>
      </c>
      <c r="M7892" s="142">
        <v>0</v>
      </c>
    </row>
    <row r="7893" spans="1:13" x14ac:dyDescent="0.45">
      <c r="A7893" s="142" t="s">
        <v>13049</v>
      </c>
      <c r="B7893" s="142" t="s">
        <v>14534</v>
      </c>
      <c r="C7893" s="142" t="s">
        <v>15860</v>
      </c>
      <c r="D7893" s="142" t="s">
        <v>15861</v>
      </c>
      <c r="E7893" s="142" t="s">
        <v>15849</v>
      </c>
      <c r="F7893" s="142" t="s">
        <v>163</v>
      </c>
      <c r="G7893" s="142" t="s">
        <v>9560</v>
      </c>
      <c r="H7893" s="142" t="s">
        <v>23743</v>
      </c>
      <c r="I7893" s="142">
        <v>5</v>
      </c>
      <c r="J7893" s="142">
        <v>0</v>
      </c>
      <c r="K7893" s="142">
        <v>0</v>
      </c>
      <c r="L7893" s="142">
        <v>5</v>
      </c>
      <c r="M7893" s="142">
        <v>0</v>
      </c>
    </row>
    <row r="7894" spans="1:13" x14ac:dyDescent="0.45">
      <c r="A7894" s="142" t="s">
        <v>13462</v>
      </c>
      <c r="B7894" s="142" t="s">
        <v>14653</v>
      </c>
      <c r="C7894" s="142" t="s">
        <v>15847</v>
      </c>
      <c r="D7894" s="142" t="s">
        <v>15848</v>
      </c>
      <c r="E7894" s="142" t="s">
        <v>15849</v>
      </c>
      <c r="F7894" s="142" t="s">
        <v>163</v>
      </c>
      <c r="G7894" s="142" t="s">
        <v>9560</v>
      </c>
      <c r="H7894" s="142" t="s">
        <v>23744</v>
      </c>
      <c r="I7894" s="142">
        <v>19</v>
      </c>
      <c r="J7894" s="142">
        <v>9</v>
      </c>
      <c r="K7894" s="142">
        <v>0</v>
      </c>
      <c r="L7894" s="142">
        <v>10</v>
      </c>
      <c r="M7894" s="142">
        <v>0</v>
      </c>
    </row>
    <row r="7895" spans="1:13" x14ac:dyDescent="0.45">
      <c r="A7895" s="142" t="s">
        <v>13168</v>
      </c>
      <c r="B7895" s="142" t="s">
        <v>14486</v>
      </c>
      <c r="C7895" s="142" t="s">
        <v>15860</v>
      </c>
      <c r="D7895" s="142" t="s">
        <v>15861</v>
      </c>
      <c r="E7895" s="142" t="s">
        <v>15849</v>
      </c>
      <c r="F7895" s="142" t="s">
        <v>163</v>
      </c>
      <c r="G7895" s="142" t="s">
        <v>9560</v>
      </c>
      <c r="H7895" s="142" t="s">
        <v>23745</v>
      </c>
      <c r="I7895" s="142">
        <v>3</v>
      </c>
      <c r="J7895" s="142">
        <v>0</v>
      </c>
      <c r="K7895" s="142">
        <v>0</v>
      </c>
      <c r="L7895" s="142">
        <v>3</v>
      </c>
      <c r="M7895" s="142">
        <v>0</v>
      </c>
    </row>
    <row r="7896" spans="1:13" x14ac:dyDescent="0.45">
      <c r="A7896" s="142" t="s">
        <v>14238</v>
      </c>
      <c r="B7896" s="142" t="s">
        <v>15108</v>
      </c>
      <c r="C7896" s="142" t="s">
        <v>15860</v>
      </c>
      <c r="D7896" s="142" t="s">
        <v>15861</v>
      </c>
      <c r="E7896" s="142" t="s">
        <v>15849</v>
      </c>
      <c r="F7896" s="142" t="s">
        <v>163</v>
      </c>
      <c r="G7896" s="142" t="s">
        <v>9560</v>
      </c>
      <c r="H7896" s="142" t="s">
        <v>23746</v>
      </c>
      <c r="I7896" s="142">
        <v>20</v>
      </c>
      <c r="J7896" s="142">
        <v>20</v>
      </c>
      <c r="K7896" s="142">
        <v>0</v>
      </c>
      <c r="L7896" s="142">
        <v>0</v>
      </c>
      <c r="M7896" s="142">
        <v>0</v>
      </c>
    </row>
    <row r="7897" spans="1:13" x14ac:dyDescent="0.45">
      <c r="A7897" s="142" t="s">
        <v>13027</v>
      </c>
      <c r="B7897" s="142" t="s">
        <v>14562</v>
      </c>
      <c r="C7897" s="142" t="s">
        <v>15847</v>
      </c>
      <c r="D7897" s="142" t="s">
        <v>15848</v>
      </c>
      <c r="E7897" s="142" t="s">
        <v>15849</v>
      </c>
      <c r="F7897" s="142" t="s">
        <v>163</v>
      </c>
      <c r="G7897" s="142" t="s">
        <v>9560</v>
      </c>
      <c r="H7897" s="142" t="s">
        <v>23747</v>
      </c>
      <c r="I7897" s="142">
        <v>10</v>
      </c>
      <c r="J7897" s="142">
        <v>0</v>
      </c>
      <c r="K7897" s="142">
        <v>0</v>
      </c>
      <c r="L7897" s="142">
        <v>10</v>
      </c>
      <c r="M7897" s="142">
        <v>0</v>
      </c>
    </row>
    <row r="7898" spans="1:13" x14ac:dyDescent="0.45">
      <c r="A7898" s="142" t="s">
        <v>13050</v>
      </c>
      <c r="B7898" s="142" t="s">
        <v>15237</v>
      </c>
      <c r="C7898" s="142" t="s">
        <v>15847</v>
      </c>
      <c r="D7898" s="142" t="s">
        <v>15848</v>
      </c>
      <c r="E7898" s="142" t="s">
        <v>15849</v>
      </c>
      <c r="F7898" s="142" t="s">
        <v>163</v>
      </c>
      <c r="G7898" s="142" t="s">
        <v>9560</v>
      </c>
      <c r="H7898" s="142" t="s">
        <v>23748</v>
      </c>
      <c r="I7898" s="142">
        <v>112</v>
      </c>
      <c r="J7898" s="142">
        <v>97</v>
      </c>
      <c r="K7898" s="142">
        <v>0</v>
      </c>
      <c r="L7898" s="142">
        <v>0</v>
      </c>
      <c r="M7898" s="142">
        <v>15</v>
      </c>
    </row>
    <row r="7899" spans="1:13" x14ac:dyDescent="0.45">
      <c r="A7899" s="142" t="s">
        <v>13199</v>
      </c>
      <c r="B7899" s="142" t="s">
        <v>15362</v>
      </c>
      <c r="C7899" s="142" t="s">
        <v>15847</v>
      </c>
      <c r="D7899" s="142" t="s">
        <v>15848</v>
      </c>
      <c r="E7899" s="142" t="s">
        <v>15849</v>
      </c>
      <c r="F7899" s="142" t="s">
        <v>163</v>
      </c>
      <c r="G7899" s="142" t="s">
        <v>9560</v>
      </c>
      <c r="H7899" s="142" t="s">
        <v>23749</v>
      </c>
      <c r="I7899" s="142">
        <v>101</v>
      </c>
      <c r="J7899" s="142">
        <v>53</v>
      </c>
      <c r="K7899" s="142">
        <v>0</v>
      </c>
      <c r="L7899" s="142">
        <v>29</v>
      </c>
      <c r="M7899" s="142">
        <v>19</v>
      </c>
    </row>
    <row r="7900" spans="1:13" x14ac:dyDescent="0.45">
      <c r="A7900" s="142" t="s">
        <v>13160</v>
      </c>
      <c r="B7900" s="142" t="s">
        <v>14525</v>
      </c>
      <c r="C7900" s="142" t="s">
        <v>15847</v>
      </c>
      <c r="D7900" s="142" t="s">
        <v>15848</v>
      </c>
      <c r="E7900" s="142" t="s">
        <v>15849</v>
      </c>
      <c r="F7900" s="142" t="s">
        <v>163</v>
      </c>
      <c r="G7900" s="142" t="s">
        <v>9560</v>
      </c>
      <c r="H7900" s="142" t="s">
        <v>23750</v>
      </c>
      <c r="I7900" s="142">
        <v>6</v>
      </c>
      <c r="J7900" s="142">
        <v>0</v>
      </c>
      <c r="K7900" s="142">
        <v>0</v>
      </c>
      <c r="L7900" s="142">
        <v>6</v>
      </c>
      <c r="M7900" s="142">
        <v>0</v>
      </c>
    </row>
    <row r="7901" spans="1:13" x14ac:dyDescent="0.45">
      <c r="A7901" s="142" t="s">
        <v>13002</v>
      </c>
      <c r="B7901" s="142" t="s">
        <v>15376</v>
      </c>
      <c r="C7901" s="142" t="s">
        <v>15847</v>
      </c>
      <c r="D7901" s="142" t="s">
        <v>15848</v>
      </c>
      <c r="E7901" s="142" t="s">
        <v>15849</v>
      </c>
      <c r="F7901" s="142" t="s">
        <v>163</v>
      </c>
      <c r="G7901" s="142" t="s">
        <v>9560</v>
      </c>
      <c r="H7901" s="142" t="s">
        <v>23751</v>
      </c>
      <c r="I7901" s="142">
        <v>164</v>
      </c>
      <c r="J7901" s="142">
        <v>159</v>
      </c>
      <c r="K7901" s="142">
        <v>0</v>
      </c>
      <c r="L7901" s="142">
        <v>4</v>
      </c>
      <c r="M7901" s="142">
        <v>1</v>
      </c>
    </row>
    <row r="7902" spans="1:13" x14ac:dyDescent="0.45">
      <c r="A7902" s="142" t="s">
        <v>13003</v>
      </c>
      <c r="B7902" s="142" t="s">
        <v>15245</v>
      </c>
      <c r="C7902" s="142" t="s">
        <v>15847</v>
      </c>
      <c r="D7902" s="142" t="s">
        <v>15848</v>
      </c>
      <c r="E7902" s="142" t="s">
        <v>15849</v>
      </c>
      <c r="F7902" s="142" t="s">
        <v>163</v>
      </c>
      <c r="G7902" s="142" t="s">
        <v>9560</v>
      </c>
      <c r="H7902" s="142" t="s">
        <v>23752</v>
      </c>
      <c r="I7902" s="142">
        <v>33</v>
      </c>
      <c r="J7902" s="142">
        <v>0</v>
      </c>
      <c r="K7902" s="142">
        <v>0</v>
      </c>
      <c r="L7902" s="142">
        <v>33</v>
      </c>
      <c r="M7902" s="142">
        <v>0</v>
      </c>
    </row>
    <row r="7903" spans="1:13" x14ac:dyDescent="0.45">
      <c r="A7903" s="142" t="s">
        <v>13005</v>
      </c>
      <c r="B7903" s="142" t="s">
        <v>15475</v>
      </c>
      <c r="C7903" s="142" t="s">
        <v>15847</v>
      </c>
      <c r="D7903" s="142" t="s">
        <v>15848</v>
      </c>
      <c r="E7903" s="142" t="s">
        <v>15849</v>
      </c>
      <c r="F7903" s="142" t="s">
        <v>163</v>
      </c>
      <c r="G7903" s="142" t="s">
        <v>9560</v>
      </c>
      <c r="H7903" s="142" t="s">
        <v>23753</v>
      </c>
      <c r="I7903" s="142">
        <v>3</v>
      </c>
      <c r="J7903" s="142">
        <v>0</v>
      </c>
      <c r="K7903" s="142">
        <v>0</v>
      </c>
      <c r="L7903" s="142">
        <v>0</v>
      </c>
      <c r="M7903" s="142">
        <v>3</v>
      </c>
    </row>
    <row r="7904" spans="1:13" x14ac:dyDescent="0.45">
      <c r="A7904" s="142" t="s">
        <v>13006</v>
      </c>
      <c r="B7904" s="142" t="s">
        <v>15288</v>
      </c>
      <c r="C7904" s="142" t="s">
        <v>15847</v>
      </c>
      <c r="D7904" s="142" t="s">
        <v>15848</v>
      </c>
      <c r="E7904" s="142" t="s">
        <v>15849</v>
      </c>
      <c r="F7904" s="142" t="s">
        <v>163</v>
      </c>
      <c r="G7904" s="142" t="s">
        <v>9560</v>
      </c>
      <c r="H7904" s="142" t="s">
        <v>23754</v>
      </c>
      <c r="I7904" s="142">
        <v>364</v>
      </c>
      <c r="J7904" s="142">
        <v>40</v>
      </c>
      <c r="K7904" s="142">
        <v>0</v>
      </c>
      <c r="L7904" s="142">
        <v>0</v>
      </c>
      <c r="M7904" s="142">
        <v>324</v>
      </c>
    </row>
    <row r="7905" spans="1:13" x14ac:dyDescent="0.45">
      <c r="A7905" s="142" t="s">
        <v>13103</v>
      </c>
      <c r="B7905" s="142" t="s">
        <v>14623</v>
      </c>
      <c r="C7905" s="142" t="s">
        <v>15847</v>
      </c>
      <c r="D7905" s="142" t="s">
        <v>15848</v>
      </c>
      <c r="E7905" s="142" t="s">
        <v>15849</v>
      </c>
      <c r="F7905" s="142" t="s">
        <v>163</v>
      </c>
      <c r="G7905" s="142" t="s">
        <v>9560</v>
      </c>
      <c r="H7905" s="142" t="s">
        <v>23755</v>
      </c>
      <c r="I7905" s="142">
        <v>192</v>
      </c>
      <c r="J7905" s="142">
        <v>104</v>
      </c>
      <c r="K7905" s="142">
        <v>0</v>
      </c>
      <c r="L7905" s="142">
        <v>0</v>
      </c>
      <c r="M7905" s="142">
        <v>88</v>
      </c>
    </row>
    <row r="7906" spans="1:13" x14ac:dyDescent="0.45">
      <c r="A7906" s="142" t="s">
        <v>13054</v>
      </c>
      <c r="B7906" s="142" t="s">
        <v>15604</v>
      </c>
      <c r="C7906" s="142" t="s">
        <v>15847</v>
      </c>
      <c r="D7906" s="142" t="s">
        <v>15848</v>
      </c>
      <c r="E7906" s="142" t="s">
        <v>15849</v>
      </c>
      <c r="F7906" s="142" t="s">
        <v>163</v>
      </c>
      <c r="G7906" s="142" t="s">
        <v>9560</v>
      </c>
      <c r="H7906" s="142" t="s">
        <v>23756</v>
      </c>
      <c r="I7906" s="142">
        <v>2</v>
      </c>
      <c r="J7906" s="142">
        <v>0</v>
      </c>
      <c r="K7906" s="142">
        <v>0</v>
      </c>
      <c r="L7906" s="142">
        <v>0</v>
      </c>
      <c r="M7906" s="142">
        <v>2</v>
      </c>
    </row>
    <row r="7907" spans="1:13" x14ac:dyDescent="0.45">
      <c r="A7907" s="142" t="s">
        <v>13131</v>
      </c>
      <c r="B7907" s="142" t="s">
        <v>15233</v>
      </c>
      <c r="C7907" s="142" t="s">
        <v>15860</v>
      </c>
      <c r="D7907" s="142" t="s">
        <v>15861</v>
      </c>
      <c r="E7907" s="142" t="s">
        <v>15849</v>
      </c>
      <c r="F7907" s="142" t="s">
        <v>163</v>
      </c>
      <c r="G7907" s="142" t="s">
        <v>9560</v>
      </c>
      <c r="H7907" s="142" t="s">
        <v>23757</v>
      </c>
      <c r="I7907" s="142">
        <v>66</v>
      </c>
      <c r="J7907" s="142">
        <v>0</v>
      </c>
      <c r="K7907" s="142">
        <v>0</v>
      </c>
      <c r="L7907" s="142">
        <v>66</v>
      </c>
      <c r="M7907" s="142">
        <v>0</v>
      </c>
    </row>
    <row r="7908" spans="1:13" x14ac:dyDescent="0.45">
      <c r="A7908" s="142" t="s">
        <v>13133</v>
      </c>
      <c r="B7908" s="142" t="s">
        <v>15291</v>
      </c>
      <c r="C7908" s="142" t="s">
        <v>15847</v>
      </c>
      <c r="D7908" s="142" t="s">
        <v>15848</v>
      </c>
      <c r="E7908" s="142" t="s">
        <v>15849</v>
      </c>
      <c r="F7908" s="142" t="s">
        <v>163</v>
      </c>
      <c r="G7908" s="142" t="s">
        <v>9560</v>
      </c>
      <c r="H7908" s="142" t="s">
        <v>23758</v>
      </c>
      <c r="I7908" s="142">
        <v>316</v>
      </c>
      <c r="J7908" s="142">
        <v>207</v>
      </c>
      <c r="K7908" s="142">
        <v>0</v>
      </c>
      <c r="L7908" s="142">
        <v>88</v>
      </c>
      <c r="M7908" s="142">
        <v>21</v>
      </c>
    </row>
    <row r="7909" spans="1:13" x14ac:dyDescent="0.45">
      <c r="A7909" s="142" t="s">
        <v>13135</v>
      </c>
      <c r="B7909" s="142" t="s">
        <v>15575</v>
      </c>
      <c r="C7909" s="142" t="s">
        <v>15847</v>
      </c>
      <c r="D7909" s="142" t="s">
        <v>15848</v>
      </c>
      <c r="E7909" s="142" t="s">
        <v>15849</v>
      </c>
      <c r="F7909" s="142" t="s">
        <v>163</v>
      </c>
      <c r="G7909" s="142" t="s">
        <v>9560</v>
      </c>
      <c r="H7909" s="142" t="s">
        <v>23759</v>
      </c>
      <c r="I7909" s="142">
        <v>12</v>
      </c>
      <c r="J7909" s="142">
        <v>12</v>
      </c>
      <c r="K7909" s="142">
        <v>0</v>
      </c>
      <c r="L7909" s="142">
        <v>0</v>
      </c>
      <c r="M7909" s="142">
        <v>0</v>
      </c>
    </row>
    <row r="7910" spans="1:13" x14ac:dyDescent="0.45">
      <c r="A7910" s="142" t="s">
        <v>13104</v>
      </c>
      <c r="B7910" s="142" t="s">
        <v>14622</v>
      </c>
      <c r="C7910" s="142" t="s">
        <v>15847</v>
      </c>
      <c r="D7910" s="142" t="s">
        <v>15848</v>
      </c>
      <c r="E7910" s="142" t="s">
        <v>15849</v>
      </c>
      <c r="F7910" s="142" t="s">
        <v>163</v>
      </c>
      <c r="G7910" s="142" t="s">
        <v>9560</v>
      </c>
      <c r="H7910" s="142" t="s">
        <v>23760</v>
      </c>
      <c r="I7910" s="142">
        <v>308</v>
      </c>
      <c r="J7910" s="142">
        <v>216</v>
      </c>
      <c r="K7910" s="142">
        <v>0</v>
      </c>
      <c r="L7910" s="142">
        <v>73</v>
      </c>
      <c r="M7910" s="142">
        <v>19</v>
      </c>
    </row>
    <row r="7911" spans="1:13" x14ac:dyDescent="0.45">
      <c r="A7911" s="142" t="s">
        <v>13037</v>
      </c>
      <c r="B7911" s="142" t="s">
        <v>14519</v>
      </c>
      <c r="C7911" s="142" t="s">
        <v>15847</v>
      </c>
      <c r="D7911" s="142" t="s">
        <v>15848</v>
      </c>
      <c r="E7911" s="142" t="s">
        <v>15849</v>
      </c>
      <c r="F7911" s="142" t="s">
        <v>163</v>
      </c>
      <c r="G7911" s="142" t="s">
        <v>9560</v>
      </c>
      <c r="H7911" s="142" t="s">
        <v>23761</v>
      </c>
      <c r="I7911" s="142">
        <v>9</v>
      </c>
      <c r="J7911" s="142">
        <v>0</v>
      </c>
      <c r="K7911" s="142">
        <v>0</v>
      </c>
      <c r="L7911" s="142">
        <v>9</v>
      </c>
      <c r="M7911" s="142">
        <v>0</v>
      </c>
    </row>
    <row r="7912" spans="1:13" x14ac:dyDescent="0.45">
      <c r="A7912" s="142" t="s">
        <v>13203</v>
      </c>
      <c r="B7912" s="142" t="s">
        <v>15446</v>
      </c>
      <c r="C7912" s="142" t="s">
        <v>15847</v>
      </c>
      <c r="D7912" s="142" t="s">
        <v>15848</v>
      </c>
      <c r="E7912" s="142" t="s">
        <v>15849</v>
      </c>
      <c r="F7912" s="142" t="s">
        <v>163</v>
      </c>
      <c r="G7912" s="142" t="s">
        <v>9560</v>
      </c>
      <c r="H7912" s="142" t="s">
        <v>23762</v>
      </c>
      <c r="I7912" s="142">
        <v>46</v>
      </c>
      <c r="J7912" s="142">
        <v>38</v>
      </c>
      <c r="K7912" s="142">
        <v>0</v>
      </c>
      <c r="L7912" s="142">
        <v>0</v>
      </c>
      <c r="M7912" s="142">
        <v>8</v>
      </c>
    </row>
    <row r="7913" spans="1:13" x14ac:dyDescent="0.45">
      <c r="A7913" s="142" t="s">
        <v>13058</v>
      </c>
      <c r="B7913" s="142" t="s">
        <v>14584</v>
      </c>
      <c r="C7913" s="142" t="s">
        <v>15847</v>
      </c>
      <c r="D7913" s="142" t="s">
        <v>15848</v>
      </c>
      <c r="E7913" s="142" t="s">
        <v>15849</v>
      </c>
      <c r="F7913" s="142" t="s">
        <v>163</v>
      </c>
      <c r="G7913" s="142" t="s">
        <v>9560</v>
      </c>
      <c r="H7913" s="142" t="s">
        <v>23763</v>
      </c>
      <c r="I7913" s="142">
        <v>42</v>
      </c>
      <c r="J7913" s="142">
        <v>36</v>
      </c>
      <c r="K7913" s="142">
        <v>0</v>
      </c>
      <c r="L7913" s="142">
        <v>0</v>
      </c>
      <c r="M7913" s="142">
        <v>6</v>
      </c>
    </row>
    <row r="7914" spans="1:13" x14ac:dyDescent="0.45">
      <c r="A7914" s="142" t="s">
        <v>13014</v>
      </c>
      <c r="B7914" s="142" t="s">
        <v>14505</v>
      </c>
      <c r="C7914" s="142" t="s">
        <v>15847</v>
      </c>
      <c r="D7914" s="142" t="s">
        <v>15848</v>
      </c>
      <c r="E7914" s="142" t="s">
        <v>15849</v>
      </c>
      <c r="F7914" s="142" t="s">
        <v>163</v>
      </c>
      <c r="G7914" s="142" t="s">
        <v>9560</v>
      </c>
      <c r="H7914" s="142" t="s">
        <v>23764</v>
      </c>
      <c r="I7914" s="142">
        <v>215</v>
      </c>
      <c r="J7914" s="142">
        <v>187</v>
      </c>
      <c r="K7914" s="142">
        <v>0</v>
      </c>
      <c r="L7914" s="142">
        <v>14</v>
      </c>
      <c r="M7914" s="142">
        <v>14</v>
      </c>
    </row>
    <row r="7915" spans="1:13" x14ac:dyDescent="0.45">
      <c r="A7915" s="142" t="s">
        <v>14239</v>
      </c>
      <c r="B7915" s="142" t="s">
        <v>14992</v>
      </c>
      <c r="C7915" s="142" t="s">
        <v>15860</v>
      </c>
      <c r="D7915" s="142" t="s">
        <v>15861</v>
      </c>
      <c r="E7915" s="142" t="s">
        <v>15849</v>
      </c>
      <c r="F7915" s="142" t="s">
        <v>163</v>
      </c>
      <c r="G7915" s="142" t="s">
        <v>9560</v>
      </c>
      <c r="H7915" s="142" t="s">
        <v>23765</v>
      </c>
      <c r="I7915" s="142">
        <v>94</v>
      </c>
      <c r="J7915" s="142">
        <v>94</v>
      </c>
      <c r="K7915" s="142">
        <v>0</v>
      </c>
      <c r="L7915" s="142">
        <v>0</v>
      </c>
      <c r="M7915" s="142">
        <v>0</v>
      </c>
    </row>
    <row r="7916" spans="1:13" x14ac:dyDescent="0.45">
      <c r="A7916" s="142" t="s">
        <v>13207</v>
      </c>
      <c r="B7916" s="142" t="s">
        <v>15558</v>
      </c>
      <c r="C7916" s="142" t="s">
        <v>15847</v>
      </c>
      <c r="D7916" s="142" t="s">
        <v>15848</v>
      </c>
      <c r="E7916" s="142" t="s">
        <v>15849</v>
      </c>
      <c r="F7916" s="142" t="s">
        <v>163</v>
      </c>
      <c r="G7916" s="142" t="s">
        <v>9560</v>
      </c>
      <c r="H7916" s="142" t="s">
        <v>23766</v>
      </c>
      <c r="I7916" s="142">
        <v>1</v>
      </c>
      <c r="J7916" s="142">
        <v>1</v>
      </c>
      <c r="K7916" s="142">
        <v>0</v>
      </c>
      <c r="L7916" s="142">
        <v>0</v>
      </c>
      <c r="M7916" s="142">
        <v>0</v>
      </c>
    </row>
    <row r="7917" spans="1:13" x14ac:dyDescent="0.45">
      <c r="A7917" s="142" t="s">
        <v>13023</v>
      </c>
      <c r="B7917" s="142" t="s">
        <v>15571</v>
      </c>
      <c r="C7917" s="142" t="s">
        <v>15847</v>
      </c>
      <c r="D7917" s="142" t="s">
        <v>15848</v>
      </c>
      <c r="E7917" s="142" t="s">
        <v>15849</v>
      </c>
      <c r="F7917" s="142" t="s">
        <v>164</v>
      </c>
      <c r="G7917" s="142" t="s">
        <v>9936</v>
      </c>
      <c r="H7917" s="142" t="s">
        <v>23767</v>
      </c>
      <c r="I7917" s="142">
        <v>177</v>
      </c>
      <c r="J7917" s="142">
        <v>0</v>
      </c>
      <c r="K7917" s="142">
        <v>0</v>
      </c>
      <c r="L7917" s="142">
        <v>127</v>
      </c>
      <c r="M7917" s="142">
        <v>50</v>
      </c>
    </row>
    <row r="7918" spans="1:13" x14ac:dyDescent="0.45">
      <c r="A7918" s="142" t="s">
        <v>13968</v>
      </c>
      <c r="B7918" s="142" t="s">
        <v>15389</v>
      </c>
      <c r="C7918" s="142" t="s">
        <v>15847</v>
      </c>
      <c r="D7918" s="142" t="s">
        <v>15848</v>
      </c>
      <c r="E7918" s="142" t="s">
        <v>15849</v>
      </c>
      <c r="F7918" s="142" t="s">
        <v>164</v>
      </c>
      <c r="G7918" s="142" t="s">
        <v>9936</v>
      </c>
      <c r="H7918" s="142" t="s">
        <v>23768</v>
      </c>
      <c r="I7918" s="142">
        <v>18</v>
      </c>
      <c r="J7918" s="142">
        <v>18</v>
      </c>
      <c r="K7918" s="142">
        <v>0</v>
      </c>
      <c r="L7918" s="142">
        <v>0</v>
      </c>
      <c r="M7918" s="142">
        <v>0</v>
      </c>
    </row>
    <row r="7919" spans="1:13" x14ac:dyDescent="0.45">
      <c r="A7919" s="142" t="s">
        <v>13289</v>
      </c>
      <c r="B7919" s="142" t="s">
        <v>14423</v>
      </c>
      <c r="C7919" s="142" t="s">
        <v>15847</v>
      </c>
      <c r="D7919" s="142" t="s">
        <v>15848</v>
      </c>
      <c r="E7919" s="142" t="s">
        <v>15849</v>
      </c>
      <c r="F7919" s="142" t="s">
        <v>164</v>
      </c>
      <c r="G7919" s="142" t="s">
        <v>9936</v>
      </c>
      <c r="H7919" s="142" t="s">
        <v>23769</v>
      </c>
      <c r="I7919" s="142">
        <v>29</v>
      </c>
      <c r="J7919" s="142">
        <v>29</v>
      </c>
      <c r="K7919" s="142">
        <v>0</v>
      </c>
      <c r="L7919" s="142">
        <v>0</v>
      </c>
      <c r="M7919" s="142">
        <v>0</v>
      </c>
    </row>
    <row r="7920" spans="1:13" x14ac:dyDescent="0.45">
      <c r="A7920" s="142" t="s">
        <v>13273</v>
      </c>
      <c r="B7920" s="142" t="s">
        <v>14465</v>
      </c>
      <c r="C7920" s="142" t="s">
        <v>15860</v>
      </c>
      <c r="D7920" s="142" t="s">
        <v>15861</v>
      </c>
      <c r="E7920" s="142" t="s">
        <v>15849</v>
      </c>
      <c r="F7920" s="142" t="s">
        <v>164</v>
      </c>
      <c r="G7920" s="142" t="s">
        <v>9936</v>
      </c>
      <c r="H7920" s="142" t="s">
        <v>23770</v>
      </c>
      <c r="I7920" s="142">
        <v>57</v>
      </c>
      <c r="J7920" s="142">
        <v>0</v>
      </c>
      <c r="K7920" s="142">
        <v>0</v>
      </c>
      <c r="L7920" s="142">
        <v>57</v>
      </c>
      <c r="M7920" s="142">
        <v>0</v>
      </c>
    </row>
    <row r="7921" spans="1:13" x14ac:dyDescent="0.45">
      <c r="A7921" s="142" t="s">
        <v>13238</v>
      </c>
      <c r="B7921" s="142" t="s">
        <v>14477</v>
      </c>
      <c r="C7921" s="142" t="s">
        <v>15860</v>
      </c>
      <c r="D7921" s="142" t="s">
        <v>15861</v>
      </c>
      <c r="E7921" s="142" t="s">
        <v>15849</v>
      </c>
      <c r="F7921" s="142" t="s">
        <v>164</v>
      </c>
      <c r="G7921" s="142" t="s">
        <v>9936</v>
      </c>
      <c r="H7921" s="142" t="s">
        <v>23771</v>
      </c>
      <c r="I7921" s="142">
        <v>20</v>
      </c>
      <c r="J7921" s="142">
        <v>0</v>
      </c>
      <c r="K7921" s="142">
        <v>0</v>
      </c>
      <c r="L7921" s="142">
        <v>20</v>
      </c>
      <c r="M7921" s="142">
        <v>0</v>
      </c>
    </row>
    <row r="7922" spans="1:13" x14ac:dyDescent="0.45">
      <c r="A7922" s="142" t="s">
        <v>13085</v>
      </c>
      <c r="B7922" s="142" t="s">
        <v>14460</v>
      </c>
      <c r="C7922" s="142" t="s">
        <v>15860</v>
      </c>
      <c r="D7922" s="142" t="s">
        <v>15861</v>
      </c>
      <c r="E7922" s="142" t="s">
        <v>15849</v>
      </c>
      <c r="F7922" s="142" t="s">
        <v>164</v>
      </c>
      <c r="G7922" s="142" t="s">
        <v>9936</v>
      </c>
      <c r="H7922" s="142" t="s">
        <v>23772</v>
      </c>
      <c r="I7922" s="142">
        <v>8</v>
      </c>
      <c r="J7922" s="142">
        <v>0</v>
      </c>
      <c r="K7922" s="142">
        <v>0</v>
      </c>
      <c r="L7922" s="142">
        <v>8</v>
      </c>
      <c r="M7922" s="142">
        <v>0</v>
      </c>
    </row>
    <row r="7923" spans="1:13" x14ac:dyDescent="0.45">
      <c r="A7923" s="142" t="s">
        <v>13099</v>
      </c>
      <c r="B7923" s="142" t="s">
        <v>14547</v>
      </c>
      <c r="C7923" s="142" t="s">
        <v>15860</v>
      </c>
      <c r="D7923" s="142" t="s">
        <v>15861</v>
      </c>
      <c r="E7923" s="142" t="s">
        <v>15849</v>
      </c>
      <c r="F7923" s="142" t="s">
        <v>164</v>
      </c>
      <c r="G7923" s="142" t="s">
        <v>9936</v>
      </c>
      <c r="H7923" s="142" t="s">
        <v>23773</v>
      </c>
      <c r="I7923" s="142">
        <v>31</v>
      </c>
      <c r="J7923" s="142">
        <v>0</v>
      </c>
      <c r="K7923" s="142">
        <v>0</v>
      </c>
      <c r="L7923" s="142">
        <v>31</v>
      </c>
      <c r="M7923" s="142">
        <v>0</v>
      </c>
    </row>
    <row r="7924" spans="1:13" x14ac:dyDescent="0.45">
      <c r="A7924" s="142" t="s">
        <v>13049</v>
      </c>
      <c r="B7924" s="142" t="s">
        <v>14534</v>
      </c>
      <c r="C7924" s="142" t="s">
        <v>15860</v>
      </c>
      <c r="D7924" s="142" t="s">
        <v>15861</v>
      </c>
      <c r="E7924" s="142" t="s">
        <v>15849</v>
      </c>
      <c r="F7924" s="142" t="s">
        <v>164</v>
      </c>
      <c r="G7924" s="142" t="s">
        <v>9936</v>
      </c>
      <c r="H7924" s="142" t="s">
        <v>23774</v>
      </c>
      <c r="I7924" s="142">
        <v>4</v>
      </c>
      <c r="J7924" s="142">
        <v>0</v>
      </c>
      <c r="K7924" s="142">
        <v>0</v>
      </c>
      <c r="L7924" s="142">
        <v>4</v>
      </c>
      <c r="M7924" s="142">
        <v>0</v>
      </c>
    </row>
    <row r="7925" spans="1:13" x14ac:dyDescent="0.45">
      <c r="A7925" s="142" t="s">
        <v>13027</v>
      </c>
      <c r="B7925" s="142" t="s">
        <v>14562</v>
      </c>
      <c r="C7925" s="142" t="s">
        <v>15847</v>
      </c>
      <c r="D7925" s="142" t="s">
        <v>15848</v>
      </c>
      <c r="E7925" s="142" t="s">
        <v>15849</v>
      </c>
      <c r="F7925" s="142" t="s">
        <v>164</v>
      </c>
      <c r="G7925" s="142" t="s">
        <v>9936</v>
      </c>
      <c r="H7925" s="142" t="s">
        <v>23775</v>
      </c>
      <c r="I7925" s="142">
        <v>14</v>
      </c>
      <c r="J7925" s="142">
        <v>0</v>
      </c>
      <c r="K7925" s="142">
        <v>0</v>
      </c>
      <c r="L7925" s="142">
        <v>14</v>
      </c>
      <c r="M7925" s="142">
        <v>0</v>
      </c>
    </row>
    <row r="7926" spans="1:13" x14ac:dyDescent="0.45">
      <c r="A7926" s="142" t="s">
        <v>13148</v>
      </c>
      <c r="B7926" s="142" t="s">
        <v>15314</v>
      </c>
      <c r="C7926" s="142" t="s">
        <v>15847</v>
      </c>
      <c r="D7926" s="142" t="s">
        <v>15848</v>
      </c>
      <c r="E7926" s="142" t="s">
        <v>15849</v>
      </c>
      <c r="F7926" s="142" t="s">
        <v>164</v>
      </c>
      <c r="G7926" s="142" t="s">
        <v>9936</v>
      </c>
      <c r="H7926" s="142" t="s">
        <v>23776</v>
      </c>
      <c r="I7926" s="142">
        <v>1670</v>
      </c>
      <c r="J7926" s="142">
        <v>801</v>
      </c>
      <c r="K7926" s="142">
        <v>0</v>
      </c>
      <c r="L7926" s="142">
        <v>230</v>
      </c>
      <c r="M7926" s="142">
        <v>639</v>
      </c>
    </row>
    <row r="7927" spans="1:13" x14ac:dyDescent="0.45">
      <c r="A7927" s="142" t="s">
        <v>13149</v>
      </c>
      <c r="B7927" s="142" t="s">
        <v>14458</v>
      </c>
      <c r="C7927" s="142" t="s">
        <v>15860</v>
      </c>
      <c r="D7927" s="142" t="s">
        <v>15861</v>
      </c>
      <c r="E7927" s="142" t="s">
        <v>15849</v>
      </c>
      <c r="F7927" s="142" t="s">
        <v>164</v>
      </c>
      <c r="G7927" s="142" t="s">
        <v>9936</v>
      </c>
      <c r="H7927" s="142" t="s">
        <v>23777</v>
      </c>
      <c r="I7927" s="142">
        <v>34</v>
      </c>
      <c r="J7927" s="142">
        <v>0</v>
      </c>
      <c r="K7927" s="142">
        <v>0</v>
      </c>
      <c r="L7927" s="142">
        <v>34</v>
      </c>
      <c r="M7927" s="142">
        <v>0</v>
      </c>
    </row>
    <row r="7928" spans="1:13" x14ac:dyDescent="0.45">
      <c r="A7928" s="142" t="s">
        <v>13003</v>
      </c>
      <c r="B7928" s="142" t="s">
        <v>15245</v>
      </c>
      <c r="C7928" s="142" t="s">
        <v>15847</v>
      </c>
      <c r="D7928" s="142" t="s">
        <v>15848</v>
      </c>
      <c r="E7928" s="142" t="s">
        <v>15849</v>
      </c>
      <c r="F7928" s="142" t="s">
        <v>164</v>
      </c>
      <c r="G7928" s="142" t="s">
        <v>9936</v>
      </c>
      <c r="H7928" s="142" t="s">
        <v>23778</v>
      </c>
      <c r="I7928" s="142">
        <v>80</v>
      </c>
      <c r="J7928" s="142">
        <v>13</v>
      </c>
      <c r="K7928" s="142">
        <v>0</v>
      </c>
      <c r="L7928" s="142">
        <v>67</v>
      </c>
      <c r="M7928" s="142">
        <v>0</v>
      </c>
    </row>
    <row r="7929" spans="1:13" x14ac:dyDescent="0.45">
      <c r="A7929" s="142" t="s">
        <v>13066</v>
      </c>
      <c r="B7929" s="142" t="s">
        <v>14459</v>
      </c>
      <c r="C7929" s="142" t="s">
        <v>15847</v>
      </c>
      <c r="D7929" s="142" t="s">
        <v>15848</v>
      </c>
      <c r="E7929" s="142" t="s">
        <v>15849</v>
      </c>
      <c r="F7929" s="142" t="s">
        <v>164</v>
      </c>
      <c r="G7929" s="142" t="s">
        <v>9936</v>
      </c>
      <c r="H7929" s="142" t="s">
        <v>23779</v>
      </c>
      <c r="I7929" s="142">
        <v>18</v>
      </c>
      <c r="J7929" s="142">
        <v>0</v>
      </c>
      <c r="K7929" s="142">
        <v>0</v>
      </c>
      <c r="L7929" s="142">
        <v>18</v>
      </c>
      <c r="M7929" s="142">
        <v>0</v>
      </c>
    </row>
    <row r="7930" spans="1:13" x14ac:dyDescent="0.45">
      <c r="A7930" s="142" t="s">
        <v>13290</v>
      </c>
      <c r="B7930" s="142" t="s">
        <v>15246</v>
      </c>
      <c r="C7930" s="142" t="s">
        <v>15847</v>
      </c>
      <c r="D7930" s="142" t="s">
        <v>15848</v>
      </c>
      <c r="E7930" s="142" t="s">
        <v>15849</v>
      </c>
      <c r="F7930" s="142" t="s">
        <v>164</v>
      </c>
      <c r="G7930" s="142" t="s">
        <v>9936</v>
      </c>
      <c r="H7930" s="142" t="s">
        <v>23780</v>
      </c>
      <c r="I7930" s="142">
        <v>58</v>
      </c>
      <c r="J7930" s="142">
        <v>1</v>
      </c>
      <c r="K7930" s="142">
        <v>0</v>
      </c>
      <c r="L7930" s="142">
        <v>55</v>
      </c>
      <c r="M7930" s="142">
        <v>2</v>
      </c>
    </row>
    <row r="7931" spans="1:13" x14ac:dyDescent="0.45">
      <c r="A7931" s="142" t="s">
        <v>13291</v>
      </c>
      <c r="B7931" s="142" t="s">
        <v>15495</v>
      </c>
      <c r="C7931" s="142" t="s">
        <v>15847</v>
      </c>
      <c r="D7931" s="142" t="s">
        <v>15848</v>
      </c>
      <c r="E7931" s="142" t="s">
        <v>15849</v>
      </c>
      <c r="F7931" s="142" t="s">
        <v>164</v>
      </c>
      <c r="G7931" s="142" t="s">
        <v>9936</v>
      </c>
      <c r="H7931" s="142" t="s">
        <v>23781</v>
      </c>
      <c r="I7931" s="142">
        <v>8</v>
      </c>
      <c r="J7931" s="142">
        <v>8</v>
      </c>
      <c r="K7931" s="142">
        <v>0</v>
      </c>
      <c r="L7931" s="142">
        <v>0</v>
      </c>
      <c r="M7931" s="142">
        <v>0</v>
      </c>
    </row>
    <row r="7932" spans="1:13" x14ac:dyDescent="0.45">
      <c r="A7932" s="142" t="s">
        <v>13412</v>
      </c>
      <c r="B7932" s="142" t="s">
        <v>15587</v>
      </c>
      <c r="C7932" s="142" t="s">
        <v>15847</v>
      </c>
      <c r="D7932" s="142" t="s">
        <v>15848</v>
      </c>
      <c r="E7932" s="142" t="s">
        <v>15849</v>
      </c>
      <c r="F7932" s="142" t="s">
        <v>164</v>
      </c>
      <c r="G7932" s="142" t="s">
        <v>9936</v>
      </c>
      <c r="H7932" s="142" t="s">
        <v>23782</v>
      </c>
      <c r="I7932" s="142">
        <v>34</v>
      </c>
      <c r="J7932" s="142">
        <v>0</v>
      </c>
      <c r="K7932" s="142">
        <v>0</v>
      </c>
      <c r="L7932" s="142">
        <v>34</v>
      </c>
      <c r="M7932" s="142">
        <v>0</v>
      </c>
    </row>
    <row r="7933" spans="1:13" x14ac:dyDescent="0.45">
      <c r="A7933" s="142" t="s">
        <v>13274</v>
      </c>
      <c r="B7933" s="142" t="s">
        <v>14608</v>
      </c>
      <c r="C7933" s="142" t="s">
        <v>15860</v>
      </c>
      <c r="D7933" s="142" t="s">
        <v>15861</v>
      </c>
      <c r="E7933" s="142" t="s">
        <v>15849</v>
      </c>
      <c r="F7933" s="142" t="s">
        <v>164</v>
      </c>
      <c r="G7933" s="142" t="s">
        <v>9936</v>
      </c>
      <c r="H7933" s="142" t="s">
        <v>23783</v>
      </c>
      <c r="I7933" s="142">
        <v>4</v>
      </c>
      <c r="J7933" s="142">
        <v>0</v>
      </c>
      <c r="K7933" s="142">
        <v>0</v>
      </c>
      <c r="L7933" s="142">
        <v>4</v>
      </c>
      <c r="M7933" s="142">
        <v>0</v>
      </c>
    </row>
    <row r="7934" spans="1:13" x14ac:dyDescent="0.45">
      <c r="A7934" s="142" t="s">
        <v>13005</v>
      </c>
      <c r="B7934" s="142" t="s">
        <v>15475</v>
      </c>
      <c r="C7934" s="142" t="s">
        <v>15847</v>
      </c>
      <c r="D7934" s="142" t="s">
        <v>15848</v>
      </c>
      <c r="E7934" s="142" t="s">
        <v>15849</v>
      </c>
      <c r="F7934" s="142" t="s">
        <v>164</v>
      </c>
      <c r="G7934" s="142" t="s">
        <v>9936</v>
      </c>
      <c r="H7934" s="142" t="s">
        <v>23784</v>
      </c>
      <c r="I7934" s="142">
        <v>11</v>
      </c>
      <c r="J7934" s="142">
        <v>11</v>
      </c>
      <c r="K7934" s="142">
        <v>0</v>
      </c>
      <c r="L7934" s="142">
        <v>0</v>
      </c>
      <c r="M7934" s="142">
        <v>0</v>
      </c>
    </row>
    <row r="7935" spans="1:13" x14ac:dyDescent="0.45">
      <c r="A7935" s="142" t="s">
        <v>13249</v>
      </c>
      <c r="B7935" s="142" t="s">
        <v>14602</v>
      </c>
      <c r="C7935" s="142" t="s">
        <v>15847</v>
      </c>
      <c r="D7935" s="142" t="s">
        <v>15848</v>
      </c>
      <c r="E7935" s="142" t="s">
        <v>15849</v>
      </c>
      <c r="F7935" s="142" t="s">
        <v>164</v>
      </c>
      <c r="G7935" s="142" t="s">
        <v>9936</v>
      </c>
      <c r="H7935" s="142" t="s">
        <v>23785</v>
      </c>
      <c r="I7935" s="142">
        <v>1163</v>
      </c>
      <c r="J7935" s="142">
        <v>1096</v>
      </c>
      <c r="K7935" s="142">
        <v>0</v>
      </c>
      <c r="L7935" s="142">
        <v>7</v>
      </c>
      <c r="M7935" s="142">
        <v>60</v>
      </c>
    </row>
    <row r="7936" spans="1:13" x14ac:dyDescent="0.45">
      <c r="A7936" s="142" t="s">
        <v>13284</v>
      </c>
      <c r="B7936" s="142" t="s">
        <v>15364</v>
      </c>
      <c r="C7936" s="142" t="s">
        <v>15847</v>
      </c>
      <c r="D7936" s="142" t="s">
        <v>15848</v>
      </c>
      <c r="E7936" s="142" t="s">
        <v>15849</v>
      </c>
      <c r="F7936" s="142" t="s">
        <v>164</v>
      </c>
      <c r="G7936" s="142" t="s">
        <v>9936</v>
      </c>
      <c r="H7936" s="142" t="s">
        <v>23786</v>
      </c>
      <c r="I7936" s="142">
        <v>19</v>
      </c>
      <c r="J7936" s="142">
        <v>19</v>
      </c>
      <c r="K7936" s="142">
        <v>0</v>
      </c>
      <c r="L7936" s="142">
        <v>0</v>
      </c>
      <c r="M7936" s="142">
        <v>0</v>
      </c>
    </row>
    <row r="7937" spans="1:13" x14ac:dyDescent="0.45">
      <c r="A7937" s="142" t="s">
        <v>13276</v>
      </c>
      <c r="B7937" s="142" t="s">
        <v>15498</v>
      </c>
      <c r="C7937" s="142" t="s">
        <v>15847</v>
      </c>
      <c r="D7937" s="142" t="s">
        <v>15848</v>
      </c>
      <c r="E7937" s="142" t="s">
        <v>15849</v>
      </c>
      <c r="F7937" s="142" t="s">
        <v>164</v>
      </c>
      <c r="G7937" s="142" t="s">
        <v>9936</v>
      </c>
      <c r="H7937" s="142" t="s">
        <v>23787</v>
      </c>
      <c r="I7937" s="142">
        <v>847</v>
      </c>
      <c r="J7937" s="142">
        <v>459</v>
      </c>
      <c r="K7937" s="142">
        <v>0</v>
      </c>
      <c r="L7937" s="142">
        <v>260</v>
      </c>
      <c r="M7937" s="142">
        <v>128</v>
      </c>
    </row>
    <row r="7938" spans="1:13" x14ac:dyDescent="0.45">
      <c r="A7938" s="142" t="s">
        <v>13032</v>
      </c>
      <c r="B7938" s="142" t="s">
        <v>14532</v>
      </c>
      <c r="C7938" s="142" t="s">
        <v>15860</v>
      </c>
      <c r="D7938" s="142" t="s">
        <v>15861</v>
      </c>
      <c r="E7938" s="142" t="s">
        <v>15849</v>
      </c>
      <c r="F7938" s="142" t="s">
        <v>164</v>
      </c>
      <c r="G7938" s="142" t="s">
        <v>9936</v>
      </c>
      <c r="H7938" s="142" t="s">
        <v>23788</v>
      </c>
      <c r="I7938" s="142">
        <v>21</v>
      </c>
      <c r="J7938" s="142">
        <v>0</v>
      </c>
      <c r="K7938" s="142">
        <v>0</v>
      </c>
      <c r="L7938" s="142">
        <v>21</v>
      </c>
      <c r="M7938" s="142">
        <v>0</v>
      </c>
    </row>
    <row r="7939" spans="1:13" x14ac:dyDescent="0.45">
      <c r="A7939" s="142" t="s">
        <v>13033</v>
      </c>
      <c r="B7939" s="142" t="s">
        <v>15276</v>
      </c>
      <c r="C7939" s="142" t="s">
        <v>15847</v>
      </c>
      <c r="D7939" s="142" t="s">
        <v>15848</v>
      </c>
      <c r="E7939" s="142" t="s">
        <v>15849</v>
      </c>
      <c r="F7939" s="142" t="s">
        <v>164</v>
      </c>
      <c r="G7939" s="142" t="s">
        <v>9936</v>
      </c>
      <c r="H7939" s="142" t="s">
        <v>23789</v>
      </c>
      <c r="I7939" s="142">
        <v>13</v>
      </c>
      <c r="J7939" s="142">
        <v>10</v>
      </c>
      <c r="K7939" s="142">
        <v>0</v>
      </c>
      <c r="L7939" s="142">
        <v>0</v>
      </c>
      <c r="M7939" s="142">
        <v>3</v>
      </c>
    </row>
    <row r="7940" spans="1:13" x14ac:dyDescent="0.45">
      <c r="A7940" s="142" t="s">
        <v>13034</v>
      </c>
      <c r="B7940" s="142" t="s">
        <v>15562</v>
      </c>
      <c r="C7940" s="142" t="s">
        <v>15847</v>
      </c>
      <c r="D7940" s="142" t="s">
        <v>15848</v>
      </c>
      <c r="E7940" s="142" t="s">
        <v>15849</v>
      </c>
      <c r="F7940" s="142" t="s">
        <v>164</v>
      </c>
      <c r="G7940" s="142" t="s">
        <v>9936</v>
      </c>
      <c r="H7940" s="142" t="s">
        <v>23790</v>
      </c>
      <c r="I7940" s="142">
        <v>33</v>
      </c>
      <c r="J7940" s="142">
        <v>0</v>
      </c>
      <c r="K7940" s="142">
        <v>0</v>
      </c>
      <c r="L7940" s="142">
        <v>33</v>
      </c>
      <c r="M7940" s="142">
        <v>0</v>
      </c>
    </row>
    <row r="7941" spans="1:13" x14ac:dyDescent="0.45">
      <c r="A7941" s="142" t="s">
        <v>13036</v>
      </c>
      <c r="B7941" s="142" t="s">
        <v>15567</v>
      </c>
      <c r="C7941" s="142" t="s">
        <v>15847</v>
      </c>
      <c r="D7941" s="142" t="s">
        <v>15848</v>
      </c>
      <c r="E7941" s="142" t="s">
        <v>15849</v>
      </c>
      <c r="F7941" s="142" t="s">
        <v>164</v>
      </c>
      <c r="G7941" s="142" t="s">
        <v>9936</v>
      </c>
      <c r="H7941" s="142" t="s">
        <v>23791</v>
      </c>
      <c r="I7941" s="142">
        <v>20</v>
      </c>
      <c r="J7941" s="142">
        <v>0</v>
      </c>
      <c r="K7941" s="142">
        <v>0</v>
      </c>
      <c r="L7941" s="142">
        <v>20</v>
      </c>
      <c r="M7941" s="142">
        <v>0</v>
      </c>
    </row>
    <row r="7942" spans="1:13" x14ac:dyDescent="0.45">
      <c r="A7942" s="142" t="s">
        <v>13039</v>
      </c>
      <c r="B7942" s="142" t="s">
        <v>14647</v>
      </c>
      <c r="C7942" s="142" t="s">
        <v>15847</v>
      </c>
      <c r="D7942" s="142" t="s">
        <v>15848</v>
      </c>
      <c r="E7942" s="142" t="s">
        <v>15849</v>
      </c>
      <c r="F7942" s="142" t="s">
        <v>164</v>
      </c>
      <c r="G7942" s="142" t="s">
        <v>9936</v>
      </c>
      <c r="H7942" s="142" t="s">
        <v>23792</v>
      </c>
      <c r="I7942" s="142">
        <v>12</v>
      </c>
      <c r="J7942" s="142">
        <v>12</v>
      </c>
      <c r="K7942" s="142">
        <v>0</v>
      </c>
      <c r="L7942" s="142">
        <v>0</v>
      </c>
      <c r="M7942" s="142">
        <v>0</v>
      </c>
    </row>
    <row r="7943" spans="1:13" x14ac:dyDescent="0.45">
      <c r="A7943" s="142" t="s">
        <v>13009</v>
      </c>
      <c r="B7943" s="142" t="s">
        <v>15256</v>
      </c>
      <c r="C7943" s="142" t="s">
        <v>15847</v>
      </c>
      <c r="D7943" s="142" t="s">
        <v>15848</v>
      </c>
      <c r="E7943" s="142" t="s">
        <v>15849</v>
      </c>
      <c r="F7943" s="142" t="s">
        <v>164</v>
      </c>
      <c r="G7943" s="142" t="s">
        <v>9936</v>
      </c>
      <c r="H7943" s="142" t="s">
        <v>23793</v>
      </c>
      <c r="I7943" s="142">
        <v>793</v>
      </c>
      <c r="J7943" s="142">
        <v>258</v>
      </c>
      <c r="K7943" s="142">
        <v>0</v>
      </c>
      <c r="L7943" s="142">
        <v>326</v>
      </c>
      <c r="M7943" s="142">
        <v>209</v>
      </c>
    </row>
    <row r="7944" spans="1:13" x14ac:dyDescent="0.45">
      <c r="A7944" s="142" t="s">
        <v>13041</v>
      </c>
      <c r="B7944" s="142" t="s">
        <v>14441</v>
      </c>
      <c r="C7944" s="142" t="s">
        <v>15847</v>
      </c>
      <c r="D7944" s="142" t="s">
        <v>15848</v>
      </c>
      <c r="E7944" s="142" t="s">
        <v>15849</v>
      </c>
      <c r="F7944" s="142" t="s">
        <v>164</v>
      </c>
      <c r="G7944" s="142" t="s">
        <v>9936</v>
      </c>
      <c r="H7944" s="142" t="s">
        <v>23794</v>
      </c>
      <c r="I7944" s="142">
        <v>14</v>
      </c>
      <c r="J7944" s="142">
        <v>0</v>
      </c>
      <c r="K7944" s="142">
        <v>0</v>
      </c>
      <c r="L7944" s="142">
        <v>0</v>
      </c>
      <c r="M7944" s="142">
        <v>14</v>
      </c>
    </row>
    <row r="7945" spans="1:13" x14ac:dyDescent="0.45">
      <c r="A7945" s="142" t="s">
        <v>14241</v>
      </c>
      <c r="B7945" s="142" t="s">
        <v>14436</v>
      </c>
      <c r="C7945" s="142" t="s">
        <v>15860</v>
      </c>
      <c r="D7945" s="142" t="s">
        <v>15861</v>
      </c>
      <c r="E7945" s="142" t="s">
        <v>15849</v>
      </c>
      <c r="F7945" s="142" t="s">
        <v>164</v>
      </c>
      <c r="G7945" s="142" t="s">
        <v>9936</v>
      </c>
      <c r="H7945" s="142" t="s">
        <v>23795</v>
      </c>
      <c r="I7945" s="142">
        <v>546</v>
      </c>
      <c r="J7945" s="142">
        <v>528</v>
      </c>
      <c r="K7945" s="142">
        <v>0</v>
      </c>
      <c r="L7945" s="142">
        <v>18</v>
      </c>
      <c r="M7945" s="142">
        <v>0</v>
      </c>
    </row>
    <row r="7946" spans="1:13" x14ac:dyDescent="0.45">
      <c r="A7946" s="142" t="s">
        <v>13285</v>
      </c>
      <c r="B7946" s="142" t="s">
        <v>15158</v>
      </c>
      <c r="C7946" s="142" t="s">
        <v>15860</v>
      </c>
      <c r="D7946" s="142" t="s">
        <v>15861</v>
      </c>
      <c r="E7946" s="142" t="s">
        <v>15849</v>
      </c>
      <c r="F7946" s="142" t="s">
        <v>164</v>
      </c>
      <c r="G7946" s="142" t="s">
        <v>9936</v>
      </c>
      <c r="H7946" s="142" t="s">
        <v>23796</v>
      </c>
      <c r="I7946" s="142">
        <v>21</v>
      </c>
      <c r="J7946" s="142">
        <v>0</v>
      </c>
      <c r="K7946" s="142">
        <v>0</v>
      </c>
      <c r="L7946" s="142">
        <v>21</v>
      </c>
      <c r="M7946" s="142">
        <v>0</v>
      </c>
    </row>
    <row r="7947" spans="1:13" x14ac:dyDescent="0.45">
      <c r="A7947" s="142" t="s">
        <v>13014</v>
      </c>
      <c r="B7947" s="142" t="s">
        <v>14505</v>
      </c>
      <c r="C7947" s="142" t="s">
        <v>15847</v>
      </c>
      <c r="D7947" s="142" t="s">
        <v>15848</v>
      </c>
      <c r="E7947" s="142" t="s">
        <v>15849</v>
      </c>
      <c r="F7947" s="142" t="s">
        <v>164</v>
      </c>
      <c r="G7947" s="142" t="s">
        <v>9936</v>
      </c>
      <c r="H7947" s="142" t="s">
        <v>23797</v>
      </c>
      <c r="I7947" s="142">
        <v>1206</v>
      </c>
      <c r="J7947" s="142">
        <v>863</v>
      </c>
      <c r="K7947" s="142">
        <v>0</v>
      </c>
      <c r="L7947" s="142">
        <v>228</v>
      </c>
      <c r="M7947" s="142">
        <v>115</v>
      </c>
    </row>
    <row r="7948" spans="1:13" x14ac:dyDescent="0.45">
      <c r="A7948" s="142" t="s">
        <v>13042</v>
      </c>
      <c r="B7948" s="142" t="s">
        <v>15489</v>
      </c>
      <c r="C7948" s="142" t="s">
        <v>15847</v>
      </c>
      <c r="D7948" s="142" t="s">
        <v>15848</v>
      </c>
      <c r="E7948" s="142" t="s">
        <v>15849</v>
      </c>
      <c r="F7948" s="142" t="s">
        <v>164</v>
      </c>
      <c r="G7948" s="142" t="s">
        <v>9936</v>
      </c>
      <c r="H7948" s="142" t="s">
        <v>23798</v>
      </c>
      <c r="I7948" s="142">
        <v>38</v>
      </c>
      <c r="J7948" s="142">
        <v>0</v>
      </c>
      <c r="K7948" s="142">
        <v>0</v>
      </c>
      <c r="L7948" s="142">
        <v>38</v>
      </c>
      <c r="M7948" s="142">
        <v>0</v>
      </c>
    </row>
    <row r="7949" spans="1:13" x14ac:dyDescent="0.45">
      <c r="A7949" s="142" t="s">
        <v>13286</v>
      </c>
      <c r="B7949" s="142" t="s">
        <v>15342</v>
      </c>
      <c r="C7949" s="142" t="s">
        <v>15847</v>
      </c>
      <c r="D7949" s="142" t="s">
        <v>15848</v>
      </c>
      <c r="E7949" s="142" t="s">
        <v>15849</v>
      </c>
      <c r="F7949" s="142" t="s">
        <v>164</v>
      </c>
      <c r="G7949" s="142" t="s">
        <v>9936</v>
      </c>
      <c r="H7949" s="142" t="s">
        <v>23799</v>
      </c>
      <c r="I7949" s="142">
        <v>1007</v>
      </c>
      <c r="J7949" s="142">
        <v>810</v>
      </c>
      <c r="K7949" s="142">
        <v>0</v>
      </c>
      <c r="L7949" s="142">
        <v>116</v>
      </c>
      <c r="M7949" s="142">
        <v>81</v>
      </c>
    </row>
    <row r="7950" spans="1:13" x14ac:dyDescent="0.45">
      <c r="A7950" s="142" t="s">
        <v>13072</v>
      </c>
      <c r="B7950" s="142" t="s">
        <v>15530</v>
      </c>
      <c r="C7950" s="142" t="s">
        <v>15847</v>
      </c>
      <c r="D7950" s="142" t="s">
        <v>15848</v>
      </c>
      <c r="E7950" s="142" t="s">
        <v>15849</v>
      </c>
      <c r="F7950" s="142" t="s">
        <v>165</v>
      </c>
      <c r="G7950" s="142" t="s">
        <v>435</v>
      </c>
      <c r="H7950" s="142" t="s">
        <v>23800</v>
      </c>
      <c r="I7950" s="142">
        <v>687</v>
      </c>
      <c r="J7950" s="142">
        <v>524</v>
      </c>
      <c r="K7950" s="142">
        <v>0</v>
      </c>
      <c r="L7950" s="142">
        <v>161</v>
      </c>
      <c r="M7950" s="142">
        <v>2</v>
      </c>
    </row>
    <row r="7951" spans="1:13" x14ac:dyDescent="0.45">
      <c r="A7951" s="142" t="s">
        <v>13023</v>
      </c>
      <c r="B7951" s="142" t="s">
        <v>15571</v>
      </c>
      <c r="C7951" s="142" t="s">
        <v>15847</v>
      </c>
      <c r="D7951" s="142" t="s">
        <v>15848</v>
      </c>
      <c r="E7951" s="142" t="s">
        <v>15849</v>
      </c>
      <c r="F7951" s="142" t="s">
        <v>165</v>
      </c>
      <c r="G7951" s="142" t="s">
        <v>435</v>
      </c>
      <c r="H7951" s="142" t="s">
        <v>23801</v>
      </c>
      <c r="I7951" s="142">
        <v>196</v>
      </c>
      <c r="J7951" s="142">
        <v>0</v>
      </c>
      <c r="K7951" s="142">
        <v>0</v>
      </c>
      <c r="L7951" s="142">
        <v>196</v>
      </c>
      <c r="M7951" s="142">
        <v>0</v>
      </c>
    </row>
    <row r="7952" spans="1:13" x14ac:dyDescent="0.45">
      <c r="A7952" s="142" t="s">
        <v>13113</v>
      </c>
      <c r="B7952" s="142" t="s">
        <v>14503</v>
      </c>
      <c r="C7952" s="142" t="s">
        <v>15860</v>
      </c>
      <c r="D7952" s="142" t="s">
        <v>15861</v>
      </c>
      <c r="E7952" s="142" t="s">
        <v>15849</v>
      </c>
      <c r="F7952" s="142" t="s">
        <v>165</v>
      </c>
      <c r="G7952" s="142" t="s">
        <v>435</v>
      </c>
      <c r="H7952" s="142" t="s">
        <v>23802</v>
      </c>
      <c r="I7952" s="142">
        <v>1</v>
      </c>
      <c r="J7952" s="142">
        <v>1</v>
      </c>
      <c r="K7952" s="142">
        <v>0</v>
      </c>
      <c r="L7952" s="142">
        <v>0</v>
      </c>
      <c r="M7952" s="142">
        <v>0</v>
      </c>
    </row>
    <row r="7953" spans="1:13" x14ac:dyDescent="0.45">
      <c r="A7953" s="142" t="s">
        <v>13546</v>
      </c>
      <c r="B7953" s="142" t="s">
        <v>14641</v>
      </c>
      <c r="C7953" s="142" t="s">
        <v>15847</v>
      </c>
      <c r="D7953" s="142" t="s">
        <v>15848</v>
      </c>
      <c r="E7953" s="142" t="s">
        <v>15849</v>
      </c>
      <c r="F7953" s="142" t="s">
        <v>165</v>
      </c>
      <c r="G7953" s="142" t="s">
        <v>435</v>
      </c>
      <c r="H7953" s="142" t="s">
        <v>23803</v>
      </c>
      <c r="I7953" s="142">
        <v>80</v>
      </c>
      <c r="J7953" s="142">
        <v>80</v>
      </c>
      <c r="K7953" s="142">
        <v>0</v>
      </c>
      <c r="L7953" s="142">
        <v>0</v>
      </c>
      <c r="M7953" s="142">
        <v>0</v>
      </c>
    </row>
    <row r="7954" spans="1:13" x14ac:dyDescent="0.45">
      <c r="A7954" s="142" t="s">
        <v>13547</v>
      </c>
      <c r="B7954" s="142" t="s">
        <v>14613</v>
      </c>
      <c r="C7954" s="142" t="s">
        <v>15847</v>
      </c>
      <c r="D7954" s="142" t="s">
        <v>15848</v>
      </c>
      <c r="E7954" s="142" t="s">
        <v>15849</v>
      </c>
      <c r="F7954" s="142" t="s">
        <v>165</v>
      </c>
      <c r="G7954" s="142" t="s">
        <v>435</v>
      </c>
      <c r="H7954" s="142" t="s">
        <v>23804</v>
      </c>
      <c r="I7954" s="142">
        <v>8</v>
      </c>
      <c r="J7954" s="142">
        <v>1</v>
      </c>
      <c r="K7954" s="142">
        <v>0</v>
      </c>
      <c r="L7954" s="142">
        <v>7</v>
      </c>
      <c r="M7954" s="142">
        <v>0</v>
      </c>
    </row>
    <row r="7955" spans="1:13" x14ac:dyDescent="0.45">
      <c r="A7955" s="142" t="s">
        <v>13594</v>
      </c>
      <c r="B7955" s="142" t="s">
        <v>15597</v>
      </c>
      <c r="C7955" s="142" t="s">
        <v>15847</v>
      </c>
      <c r="D7955" s="142" t="s">
        <v>15848</v>
      </c>
      <c r="E7955" s="142" t="s">
        <v>15849</v>
      </c>
      <c r="F7955" s="142" t="s">
        <v>165</v>
      </c>
      <c r="G7955" s="142" t="s">
        <v>435</v>
      </c>
      <c r="H7955" s="142" t="s">
        <v>23805</v>
      </c>
      <c r="I7955" s="142">
        <v>114</v>
      </c>
      <c r="J7955" s="142">
        <v>97</v>
      </c>
      <c r="K7955" s="142">
        <v>0</v>
      </c>
      <c r="L7955" s="142">
        <v>0</v>
      </c>
      <c r="M7955" s="142">
        <v>17</v>
      </c>
    </row>
    <row r="7956" spans="1:13" x14ac:dyDescent="0.45">
      <c r="A7956" s="142" t="s">
        <v>13595</v>
      </c>
      <c r="B7956" s="142" t="s">
        <v>15566</v>
      </c>
      <c r="C7956" s="142" t="s">
        <v>15847</v>
      </c>
      <c r="D7956" s="142" t="s">
        <v>15848</v>
      </c>
      <c r="E7956" s="142" t="s">
        <v>15849</v>
      </c>
      <c r="F7956" s="142" t="s">
        <v>165</v>
      </c>
      <c r="G7956" s="142" t="s">
        <v>435</v>
      </c>
      <c r="H7956" s="142" t="s">
        <v>23806</v>
      </c>
      <c r="I7956" s="142">
        <v>79</v>
      </c>
      <c r="J7956" s="142">
        <v>28</v>
      </c>
      <c r="K7956" s="142">
        <v>0</v>
      </c>
      <c r="L7956" s="142">
        <v>0</v>
      </c>
      <c r="M7956" s="142">
        <v>51</v>
      </c>
    </row>
    <row r="7957" spans="1:13" x14ac:dyDescent="0.45">
      <c r="A7957" s="142" t="s">
        <v>13273</v>
      </c>
      <c r="B7957" s="142" t="s">
        <v>14465</v>
      </c>
      <c r="C7957" s="142" t="s">
        <v>15860</v>
      </c>
      <c r="D7957" s="142" t="s">
        <v>15861</v>
      </c>
      <c r="E7957" s="142" t="s">
        <v>15849</v>
      </c>
      <c r="F7957" s="142" t="s">
        <v>165</v>
      </c>
      <c r="G7957" s="142" t="s">
        <v>435</v>
      </c>
      <c r="H7957" s="142" t="s">
        <v>23807</v>
      </c>
      <c r="I7957" s="142">
        <v>23</v>
      </c>
      <c r="J7957" s="142">
        <v>0</v>
      </c>
      <c r="K7957" s="142">
        <v>0</v>
      </c>
      <c r="L7957" s="142">
        <v>23</v>
      </c>
      <c r="M7957" s="142">
        <v>0</v>
      </c>
    </row>
    <row r="7958" spans="1:13" x14ac:dyDescent="0.45">
      <c r="A7958" s="142" t="s">
        <v>13238</v>
      </c>
      <c r="B7958" s="142" t="s">
        <v>14477</v>
      </c>
      <c r="C7958" s="142" t="s">
        <v>15860</v>
      </c>
      <c r="D7958" s="142" t="s">
        <v>15861</v>
      </c>
      <c r="E7958" s="142" t="s">
        <v>15849</v>
      </c>
      <c r="F7958" s="142" t="s">
        <v>165</v>
      </c>
      <c r="G7958" s="142" t="s">
        <v>435</v>
      </c>
      <c r="H7958" s="142" t="s">
        <v>23808</v>
      </c>
      <c r="I7958" s="142">
        <v>18</v>
      </c>
      <c r="J7958" s="142">
        <v>0</v>
      </c>
      <c r="K7958" s="142">
        <v>0</v>
      </c>
      <c r="L7958" s="142">
        <v>18</v>
      </c>
      <c r="M7958" s="142">
        <v>0</v>
      </c>
    </row>
    <row r="7959" spans="1:13" x14ac:dyDescent="0.45">
      <c r="A7959" s="142" t="s">
        <v>13119</v>
      </c>
      <c r="B7959" s="142" t="s">
        <v>14451</v>
      </c>
      <c r="C7959" s="142" t="s">
        <v>15860</v>
      </c>
      <c r="D7959" s="142" t="s">
        <v>15861</v>
      </c>
      <c r="E7959" s="142" t="s">
        <v>15849</v>
      </c>
      <c r="F7959" s="142" t="s">
        <v>165</v>
      </c>
      <c r="G7959" s="142" t="s">
        <v>435</v>
      </c>
      <c r="H7959" s="142" t="s">
        <v>23809</v>
      </c>
      <c r="I7959" s="142">
        <v>4</v>
      </c>
      <c r="J7959" s="142">
        <v>0</v>
      </c>
      <c r="K7959" s="142">
        <v>0</v>
      </c>
      <c r="L7959" s="142">
        <v>4</v>
      </c>
      <c r="M7959" s="142">
        <v>0</v>
      </c>
    </row>
    <row r="7960" spans="1:13" x14ac:dyDescent="0.45">
      <c r="A7960" s="142" t="s">
        <v>13001</v>
      </c>
      <c r="B7960" s="142" t="s">
        <v>15506</v>
      </c>
      <c r="C7960" s="142" t="s">
        <v>15847</v>
      </c>
      <c r="D7960" s="142" t="s">
        <v>15848</v>
      </c>
      <c r="E7960" s="142" t="s">
        <v>15849</v>
      </c>
      <c r="F7960" s="142" t="s">
        <v>165</v>
      </c>
      <c r="G7960" s="142" t="s">
        <v>435</v>
      </c>
      <c r="H7960" s="142" t="s">
        <v>23810</v>
      </c>
      <c r="I7960" s="142">
        <v>130</v>
      </c>
      <c r="J7960" s="142">
        <v>89</v>
      </c>
      <c r="K7960" s="142">
        <v>0</v>
      </c>
      <c r="L7960" s="142">
        <v>41</v>
      </c>
      <c r="M7960" s="142">
        <v>0</v>
      </c>
    </row>
    <row r="7961" spans="1:13" x14ac:dyDescent="0.45">
      <c r="A7961" s="142" t="s">
        <v>13554</v>
      </c>
      <c r="B7961" s="142" t="s">
        <v>14518</v>
      </c>
      <c r="C7961" s="142" t="s">
        <v>15860</v>
      </c>
      <c r="D7961" s="142" t="s">
        <v>15861</v>
      </c>
      <c r="E7961" s="142" t="s">
        <v>15849</v>
      </c>
      <c r="F7961" s="142" t="s">
        <v>165</v>
      </c>
      <c r="G7961" s="142" t="s">
        <v>435</v>
      </c>
      <c r="H7961" s="142" t="s">
        <v>23811</v>
      </c>
      <c r="I7961" s="142">
        <v>151</v>
      </c>
      <c r="J7961" s="142">
        <v>151</v>
      </c>
      <c r="K7961" s="142">
        <v>0</v>
      </c>
      <c r="L7961" s="142">
        <v>0</v>
      </c>
      <c r="M7961" s="142">
        <v>0</v>
      </c>
    </row>
    <row r="7962" spans="1:13" x14ac:dyDescent="0.45">
      <c r="A7962" s="142" t="s">
        <v>13028</v>
      </c>
      <c r="B7962" s="142" t="s">
        <v>14462</v>
      </c>
      <c r="C7962" s="142" t="s">
        <v>15847</v>
      </c>
      <c r="D7962" s="142" t="s">
        <v>15848</v>
      </c>
      <c r="E7962" s="142" t="s">
        <v>15849</v>
      </c>
      <c r="F7962" s="142" t="s">
        <v>165</v>
      </c>
      <c r="G7962" s="142" t="s">
        <v>435</v>
      </c>
      <c r="H7962" s="142" t="s">
        <v>23812</v>
      </c>
      <c r="I7962" s="142">
        <v>44</v>
      </c>
      <c r="J7962" s="142">
        <v>0</v>
      </c>
      <c r="K7962" s="142">
        <v>0</v>
      </c>
      <c r="L7962" s="142">
        <v>0</v>
      </c>
      <c r="M7962" s="142">
        <v>44</v>
      </c>
    </row>
    <row r="7963" spans="1:13" x14ac:dyDescent="0.45">
      <c r="A7963" s="142" t="s">
        <v>13002</v>
      </c>
      <c r="B7963" s="142" t="s">
        <v>15376</v>
      </c>
      <c r="C7963" s="142" t="s">
        <v>15847</v>
      </c>
      <c r="D7963" s="142" t="s">
        <v>15848</v>
      </c>
      <c r="E7963" s="142" t="s">
        <v>15849</v>
      </c>
      <c r="F7963" s="142" t="s">
        <v>165</v>
      </c>
      <c r="G7963" s="142" t="s">
        <v>435</v>
      </c>
      <c r="H7963" s="142" t="s">
        <v>23813</v>
      </c>
      <c r="I7963" s="142">
        <v>229</v>
      </c>
      <c r="J7963" s="142">
        <v>152</v>
      </c>
      <c r="K7963" s="142">
        <v>0</v>
      </c>
      <c r="L7963" s="142">
        <v>42</v>
      </c>
      <c r="M7963" s="142">
        <v>35</v>
      </c>
    </row>
    <row r="7964" spans="1:13" x14ac:dyDescent="0.45">
      <c r="A7964" s="142" t="s">
        <v>13003</v>
      </c>
      <c r="B7964" s="142" t="s">
        <v>15245</v>
      </c>
      <c r="C7964" s="142" t="s">
        <v>15847</v>
      </c>
      <c r="D7964" s="142" t="s">
        <v>15848</v>
      </c>
      <c r="E7964" s="142" t="s">
        <v>15849</v>
      </c>
      <c r="F7964" s="142" t="s">
        <v>165</v>
      </c>
      <c r="G7964" s="142" t="s">
        <v>435</v>
      </c>
      <c r="H7964" s="142" t="s">
        <v>23814</v>
      </c>
      <c r="I7964" s="142">
        <v>37</v>
      </c>
      <c r="J7964" s="142">
        <v>0</v>
      </c>
      <c r="K7964" s="142">
        <v>0</v>
      </c>
      <c r="L7964" s="142">
        <v>37</v>
      </c>
      <c r="M7964" s="142">
        <v>0</v>
      </c>
    </row>
    <row r="7965" spans="1:13" x14ac:dyDescent="0.45">
      <c r="A7965" s="142" t="s">
        <v>13557</v>
      </c>
      <c r="B7965" s="142" t="s">
        <v>14592</v>
      </c>
      <c r="C7965" s="142" t="s">
        <v>15847</v>
      </c>
      <c r="D7965" s="142" t="s">
        <v>15848</v>
      </c>
      <c r="E7965" s="142" t="s">
        <v>15849</v>
      </c>
      <c r="F7965" s="142" t="s">
        <v>165</v>
      </c>
      <c r="G7965" s="142" t="s">
        <v>435</v>
      </c>
      <c r="H7965" s="142" t="s">
        <v>23815</v>
      </c>
      <c r="I7965" s="142">
        <v>328</v>
      </c>
      <c r="J7965" s="142">
        <v>293</v>
      </c>
      <c r="K7965" s="142">
        <v>0</v>
      </c>
      <c r="L7965" s="142">
        <v>0</v>
      </c>
      <c r="M7965" s="142">
        <v>35</v>
      </c>
    </row>
    <row r="7966" spans="1:13" x14ac:dyDescent="0.45">
      <c r="A7966" s="142" t="s">
        <v>13558</v>
      </c>
      <c r="B7966" s="142" t="s">
        <v>15483</v>
      </c>
      <c r="C7966" s="142" t="s">
        <v>15847</v>
      </c>
      <c r="D7966" s="142" t="s">
        <v>15848</v>
      </c>
      <c r="E7966" s="142" t="s">
        <v>15849</v>
      </c>
      <c r="F7966" s="142" t="s">
        <v>165</v>
      </c>
      <c r="G7966" s="142" t="s">
        <v>435</v>
      </c>
      <c r="H7966" s="142" t="s">
        <v>23816</v>
      </c>
      <c r="I7966" s="142">
        <v>17</v>
      </c>
      <c r="J7966" s="142">
        <v>16</v>
      </c>
      <c r="K7966" s="142">
        <v>0</v>
      </c>
      <c r="L7966" s="142">
        <v>0</v>
      </c>
      <c r="M7966" s="142">
        <v>1</v>
      </c>
    </row>
    <row r="7967" spans="1:13" x14ac:dyDescent="0.45">
      <c r="A7967" s="142" t="s">
        <v>13596</v>
      </c>
      <c r="B7967" s="142" t="s">
        <v>14527</v>
      </c>
      <c r="C7967" s="142" t="s">
        <v>15860</v>
      </c>
      <c r="D7967" s="142" t="s">
        <v>15861</v>
      </c>
      <c r="E7967" s="142" t="s">
        <v>15849</v>
      </c>
      <c r="F7967" s="142" t="s">
        <v>165</v>
      </c>
      <c r="G7967" s="142" t="s">
        <v>435</v>
      </c>
      <c r="H7967" s="142" t="s">
        <v>23817</v>
      </c>
      <c r="I7967" s="142">
        <v>20</v>
      </c>
      <c r="J7967" s="142">
        <v>20</v>
      </c>
      <c r="K7967" s="142">
        <v>0</v>
      </c>
      <c r="L7967" s="142">
        <v>0</v>
      </c>
      <c r="M7967" s="142">
        <v>0</v>
      </c>
    </row>
    <row r="7968" spans="1:13" x14ac:dyDescent="0.45">
      <c r="A7968" s="142" t="s">
        <v>13559</v>
      </c>
      <c r="B7968" s="142" t="s">
        <v>15494</v>
      </c>
      <c r="C7968" s="142" t="s">
        <v>15847</v>
      </c>
      <c r="D7968" s="142" t="s">
        <v>15848</v>
      </c>
      <c r="E7968" s="142" t="s">
        <v>15849</v>
      </c>
      <c r="F7968" s="142" t="s">
        <v>165</v>
      </c>
      <c r="G7968" s="142" t="s">
        <v>435</v>
      </c>
      <c r="H7968" s="142" t="s">
        <v>23818</v>
      </c>
      <c r="I7968" s="142">
        <v>833</v>
      </c>
      <c r="J7968" s="142">
        <v>633</v>
      </c>
      <c r="K7968" s="142">
        <v>0</v>
      </c>
      <c r="L7968" s="142">
        <v>197</v>
      </c>
      <c r="M7968" s="142">
        <v>3</v>
      </c>
    </row>
    <row r="7969" spans="1:13" x14ac:dyDescent="0.45">
      <c r="A7969" s="142" t="s">
        <v>13033</v>
      </c>
      <c r="B7969" s="142" t="s">
        <v>15276</v>
      </c>
      <c r="C7969" s="142" t="s">
        <v>15847</v>
      </c>
      <c r="D7969" s="142" t="s">
        <v>15848</v>
      </c>
      <c r="E7969" s="142" t="s">
        <v>15849</v>
      </c>
      <c r="F7969" s="142" t="s">
        <v>165</v>
      </c>
      <c r="G7969" s="142" t="s">
        <v>435</v>
      </c>
      <c r="H7969" s="142" t="s">
        <v>23819</v>
      </c>
      <c r="I7969" s="142">
        <v>302</v>
      </c>
      <c r="J7969" s="142">
        <v>302</v>
      </c>
      <c r="K7969" s="142">
        <v>0</v>
      </c>
      <c r="L7969" s="142">
        <v>0</v>
      </c>
      <c r="M7969" s="142">
        <v>0</v>
      </c>
    </row>
    <row r="7970" spans="1:13" x14ac:dyDescent="0.45">
      <c r="A7970" s="142" t="s">
        <v>13560</v>
      </c>
      <c r="B7970" s="142" t="s">
        <v>14778</v>
      </c>
      <c r="C7970" s="142" t="s">
        <v>15847</v>
      </c>
      <c r="D7970" s="142" t="s">
        <v>15848</v>
      </c>
      <c r="E7970" s="142" t="s">
        <v>15849</v>
      </c>
      <c r="F7970" s="142" t="s">
        <v>165</v>
      </c>
      <c r="G7970" s="142" t="s">
        <v>435</v>
      </c>
      <c r="H7970" s="142" t="s">
        <v>23820</v>
      </c>
      <c r="I7970" s="142">
        <v>53</v>
      </c>
      <c r="J7970" s="142">
        <v>4</v>
      </c>
      <c r="K7970" s="142">
        <v>0</v>
      </c>
      <c r="L7970" s="142">
        <v>49</v>
      </c>
      <c r="M7970" s="142">
        <v>0</v>
      </c>
    </row>
    <row r="7971" spans="1:13" x14ac:dyDescent="0.45">
      <c r="A7971" s="142" t="s">
        <v>13042</v>
      </c>
      <c r="B7971" s="142" t="s">
        <v>15489</v>
      </c>
      <c r="C7971" s="142" t="s">
        <v>15847</v>
      </c>
      <c r="D7971" s="142" t="s">
        <v>15848</v>
      </c>
      <c r="E7971" s="142" t="s">
        <v>15849</v>
      </c>
      <c r="F7971" s="142" t="s">
        <v>165</v>
      </c>
      <c r="G7971" s="142" t="s">
        <v>435</v>
      </c>
      <c r="H7971" s="142" t="s">
        <v>23821</v>
      </c>
      <c r="I7971" s="142">
        <v>7</v>
      </c>
      <c r="J7971" s="142">
        <v>3</v>
      </c>
      <c r="K7971" s="142">
        <v>0</v>
      </c>
      <c r="L7971" s="142">
        <v>4</v>
      </c>
      <c r="M7971" s="142">
        <v>0</v>
      </c>
    </row>
    <row r="7972" spans="1:13" x14ac:dyDescent="0.45">
      <c r="A7972" s="142" t="s">
        <v>13096</v>
      </c>
      <c r="B7972" s="142" t="s">
        <v>15478</v>
      </c>
      <c r="C7972" s="142" t="s">
        <v>15847</v>
      </c>
      <c r="D7972" s="142" t="s">
        <v>15848</v>
      </c>
      <c r="E7972" s="142" t="s">
        <v>15849</v>
      </c>
      <c r="F7972" s="142" t="s">
        <v>165</v>
      </c>
      <c r="G7972" s="142" t="s">
        <v>435</v>
      </c>
      <c r="H7972" s="142" t="s">
        <v>23822</v>
      </c>
      <c r="I7972" s="142">
        <v>11308</v>
      </c>
      <c r="J7972" s="142">
        <v>10707</v>
      </c>
      <c r="K7972" s="142">
        <v>0</v>
      </c>
      <c r="L7972" s="142">
        <v>292</v>
      </c>
      <c r="M7972" s="142">
        <v>309</v>
      </c>
    </row>
    <row r="7973" spans="1:13" x14ac:dyDescent="0.45">
      <c r="A7973" s="142" t="s">
        <v>13154</v>
      </c>
      <c r="B7973" s="142" t="s">
        <v>15415</v>
      </c>
      <c r="C7973" s="142" t="s">
        <v>15847</v>
      </c>
      <c r="D7973" s="142" t="s">
        <v>15848</v>
      </c>
      <c r="E7973" s="142" t="s">
        <v>15849</v>
      </c>
      <c r="F7973" s="142" t="s">
        <v>165</v>
      </c>
      <c r="G7973" s="142" t="s">
        <v>435</v>
      </c>
      <c r="H7973" s="142" t="s">
        <v>23823</v>
      </c>
      <c r="I7973" s="142">
        <v>18</v>
      </c>
      <c r="J7973" s="142">
        <v>0</v>
      </c>
      <c r="K7973" s="142">
        <v>0</v>
      </c>
      <c r="L7973" s="142">
        <v>0</v>
      </c>
      <c r="M7973" s="142">
        <v>18</v>
      </c>
    </row>
    <row r="7974" spans="1:13" x14ac:dyDescent="0.45">
      <c r="A7974" s="142" t="s">
        <v>13020</v>
      </c>
      <c r="B7974" s="142" t="s">
        <v>15523</v>
      </c>
      <c r="C7974" s="142" t="s">
        <v>15860</v>
      </c>
      <c r="D7974" s="142" t="s">
        <v>15861</v>
      </c>
      <c r="E7974" s="142" t="s">
        <v>15849</v>
      </c>
      <c r="F7974" s="142" t="s">
        <v>166</v>
      </c>
      <c r="G7974" s="142" t="s">
        <v>1141</v>
      </c>
      <c r="H7974" s="142" t="s">
        <v>23824</v>
      </c>
      <c r="I7974" s="142">
        <v>8</v>
      </c>
      <c r="J7974" s="142">
        <v>0</v>
      </c>
      <c r="K7974" s="142">
        <v>0</v>
      </c>
      <c r="L7974" s="142">
        <v>8</v>
      </c>
      <c r="M7974" s="142">
        <v>0</v>
      </c>
    </row>
    <row r="7975" spans="1:13" x14ac:dyDescent="0.45">
      <c r="A7975" s="142" t="s">
        <v>13023</v>
      </c>
      <c r="B7975" s="142" t="s">
        <v>15571</v>
      </c>
      <c r="C7975" s="142" t="s">
        <v>15847</v>
      </c>
      <c r="D7975" s="142" t="s">
        <v>15848</v>
      </c>
      <c r="E7975" s="142" t="s">
        <v>15849</v>
      </c>
      <c r="F7975" s="142" t="s">
        <v>166</v>
      </c>
      <c r="G7975" s="142" t="s">
        <v>1141</v>
      </c>
      <c r="H7975" s="142" t="s">
        <v>23825</v>
      </c>
      <c r="I7975" s="142">
        <v>34</v>
      </c>
      <c r="J7975" s="142">
        <v>0</v>
      </c>
      <c r="K7975" s="142">
        <v>0</v>
      </c>
      <c r="L7975" s="142">
        <v>34</v>
      </c>
      <c r="M7975" s="142">
        <v>0</v>
      </c>
    </row>
    <row r="7976" spans="1:13" x14ac:dyDescent="0.45">
      <c r="A7976" s="142" t="s">
        <v>13446</v>
      </c>
      <c r="B7976" s="142" t="s">
        <v>15430</v>
      </c>
      <c r="C7976" s="142" t="s">
        <v>15847</v>
      </c>
      <c r="D7976" s="142" t="s">
        <v>15848</v>
      </c>
      <c r="E7976" s="142" t="s">
        <v>15849</v>
      </c>
      <c r="F7976" s="142" t="s">
        <v>166</v>
      </c>
      <c r="G7976" s="142" t="s">
        <v>1141</v>
      </c>
      <c r="H7976" s="142" t="s">
        <v>23826</v>
      </c>
      <c r="I7976" s="142">
        <v>129</v>
      </c>
      <c r="J7976" s="142">
        <v>116</v>
      </c>
      <c r="K7976" s="142">
        <v>0</v>
      </c>
      <c r="L7976" s="142">
        <v>0</v>
      </c>
      <c r="M7976" s="142">
        <v>13</v>
      </c>
    </row>
    <row r="7977" spans="1:13" x14ac:dyDescent="0.45">
      <c r="A7977" s="142" t="s">
        <v>13115</v>
      </c>
      <c r="B7977" s="142" t="s">
        <v>14508</v>
      </c>
      <c r="C7977" s="142" t="s">
        <v>15860</v>
      </c>
      <c r="D7977" s="142" t="s">
        <v>15861</v>
      </c>
      <c r="E7977" s="142" t="s">
        <v>15849</v>
      </c>
      <c r="F7977" s="142" t="s">
        <v>166</v>
      </c>
      <c r="G7977" s="142" t="s">
        <v>1141</v>
      </c>
      <c r="H7977" s="142" t="s">
        <v>23827</v>
      </c>
      <c r="I7977" s="142">
        <v>45</v>
      </c>
      <c r="J7977" s="142">
        <v>0</v>
      </c>
      <c r="K7977" s="142">
        <v>0</v>
      </c>
      <c r="L7977" s="142">
        <v>45</v>
      </c>
      <c r="M7977" s="142">
        <v>0</v>
      </c>
    </row>
    <row r="7978" spans="1:13" x14ac:dyDescent="0.45">
      <c r="A7978" s="142" t="s">
        <v>14020</v>
      </c>
      <c r="B7978" s="142" t="s">
        <v>15231</v>
      </c>
      <c r="C7978" s="142" t="s">
        <v>15860</v>
      </c>
      <c r="D7978" s="142" t="s">
        <v>15861</v>
      </c>
      <c r="E7978" s="142" t="s">
        <v>15849</v>
      </c>
      <c r="F7978" s="142" t="s">
        <v>166</v>
      </c>
      <c r="G7978" s="142" t="s">
        <v>1141</v>
      </c>
      <c r="H7978" s="142" t="s">
        <v>23828</v>
      </c>
      <c r="I7978" s="142">
        <v>178</v>
      </c>
      <c r="J7978" s="142">
        <v>0</v>
      </c>
      <c r="K7978" s="142">
        <v>0</v>
      </c>
      <c r="L7978" s="142">
        <v>178</v>
      </c>
      <c r="M7978" s="142">
        <v>0</v>
      </c>
    </row>
    <row r="7979" spans="1:13" x14ac:dyDescent="0.45">
      <c r="A7979" s="142" t="s">
        <v>14021</v>
      </c>
      <c r="B7979" s="142" t="s">
        <v>15419</v>
      </c>
      <c r="C7979" s="142" t="s">
        <v>15860</v>
      </c>
      <c r="D7979" s="142" t="s">
        <v>15861</v>
      </c>
      <c r="E7979" s="142" t="s">
        <v>15849</v>
      </c>
      <c r="F7979" s="142" t="s">
        <v>166</v>
      </c>
      <c r="G7979" s="142" t="s">
        <v>1141</v>
      </c>
      <c r="H7979" s="142" t="s">
        <v>23829</v>
      </c>
      <c r="I7979" s="142">
        <v>3</v>
      </c>
      <c r="J7979" s="142">
        <v>0</v>
      </c>
      <c r="K7979" s="142">
        <v>0</v>
      </c>
      <c r="L7979" s="142">
        <v>3</v>
      </c>
      <c r="M7979" s="142">
        <v>0</v>
      </c>
    </row>
    <row r="7980" spans="1:13" x14ac:dyDescent="0.45">
      <c r="A7980" s="142" t="s">
        <v>13000</v>
      </c>
      <c r="B7980" s="142" t="s">
        <v>14610</v>
      </c>
      <c r="C7980" s="142" t="s">
        <v>15847</v>
      </c>
      <c r="D7980" s="142" t="s">
        <v>15848</v>
      </c>
      <c r="E7980" s="142" t="s">
        <v>15849</v>
      </c>
      <c r="F7980" s="142" t="s">
        <v>166</v>
      </c>
      <c r="G7980" s="142" t="s">
        <v>1141</v>
      </c>
      <c r="H7980" s="142" t="s">
        <v>23830</v>
      </c>
      <c r="I7980" s="142">
        <v>699</v>
      </c>
      <c r="J7980" s="142">
        <v>670</v>
      </c>
      <c r="K7980" s="142">
        <v>0</v>
      </c>
      <c r="L7980" s="142">
        <v>26</v>
      </c>
      <c r="M7980" s="142">
        <v>3</v>
      </c>
    </row>
    <row r="7981" spans="1:13" x14ac:dyDescent="0.45">
      <c r="A7981" s="142" t="s">
        <v>14022</v>
      </c>
      <c r="B7981" s="142" t="s">
        <v>15416</v>
      </c>
      <c r="C7981" s="142" t="s">
        <v>15847</v>
      </c>
      <c r="D7981" s="142" t="s">
        <v>15848</v>
      </c>
      <c r="E7981" s="142" t="s">
        <v>15849</v>
      </c>
      <c r="F7981" s="142" t="s">
        <v>166</v>
      </c>
      <c r="G7981" s="142" t="s">
        <v>1141</v>
      </c>
      <c r="H7981" s="142" t="s">
        <v>23831</v>
      </c>
      <c r="I7981" s="142">
        <v>1328</v>
      </c>
      <c r="J7981" s="142">
        <v>1307</v>
      </c>
      <c r="K7981" s="142">
        <v>0</v>
      </c>
      <c r="L7981" s="142">
        <v>19</v>
      </c>
      <c r="M7981" s="142">
        <v>2</v>
      </c>
    </row>
    <row r="7982" spans="1:13" x14ac:dyDescent="0.45">
      <c r="A7982" s="142" t="s">
        <v>13027</v>
      </c>
      <c r="B7982" s="142" t="s">
        <v>14562</v>
      </c>
      <c r="C7982" s="142" t="s">
        <v>15847</v>
      </c>
      <c r="D7982" s="142" t="s">
        <v>15848</v>
      </c>
      <c r="E7982" s="142" t="s">
        <v>15849</v>
      </c>
      <c r="F7982" s="142" t="s">
        <v>166</v>
      </c>
      <c r="G7982" s="142" t="s">
        <v>1141</v>
      </c>
      <c r="H7982" s="142" t="s">
        <v>23832</v>
      </c>
      <c r="I7982" s="142">
        <v>5</v>
      </c>
      <c r="J7982" s="142">
        <v>0</v>
      </c>
      <c r="K7982" s="142">
        <v>0</v>
      </c>
      <c r="L7982" s="142">
        <v>5</v>
      </c>
      <c r="M7982" s="142">
        <v>0</v>
      </c>
    </row>
    <row r="7983" spans="1:13" x14ac:dyDescent="0.45">
      <c r="A7983" s="142" t="s">
        <v>14243</v>
      </c>
      <c r="B7983" s="142" t="s">
        <v>14490</v>
      </c>
      <c r="C7983" s="142" t="s">
        <v>15860</v>
      </c>
      <c r="D7983" s="142" t="s">
        <v>15861</v>
      </c>
      <c r="E7983" s="142" t="s">
        <v>15849</v>
      </c>
      <c r="F7983" s="142" t="s">
        <v>166</v>
      </c>
      <c r="G7983" s="142" t="s">
        <v>1141</v>
      </c>
      <c r="H7983" s="142" t="s">
        <v>23833</v>
      </c>
      <c r="I7983" s="142">
        <v>29</v>
      </c>
      <c r="J7983" s="142">
        <v>29</v>
      </c>
      <c r="K7983" s="142">
        <v>0</v>
      </c>
      <c r="L7983" s="142">
        <v>0</v>
      </c>
      <c r="M7983" s="142">
        <v>0</v>
      </c>
    </row>
    <row r="7984" spans="1:13" x14ac:dyDescent="0.45">
      <c r="A7984" s="142" t="s">
        <v>13028</v>
      </c>
      <c r="B7984" s="142" t="s">
        <v>14462</v>
      </c>
      <c r="C7984" s="142" t="s">
        <v>15847</v>
      </c>
      <c r="D7984" s="142" t="s">
        <v>15848</v>
      </c>
      <c r="E7984" s="142" t="s">
        <v>15849</v>
      </c>
      <c r="F7984" s="142" t="s">
        <v>166</v>
      </c>
      <c r="G7984" s="142" t="s">
        <v>1141</v>
      </c>
      <c r="H7984" s="142" t="s">
        <v>23834</v>
      </c>
      <c r="I7984" s="142">
        <v>28</v>
      </c>
      <c r="J7984" s="142">
        <v>0</v>
      </c>
      <c r="K7984" s="142">
        <v>0</v>
      </c>
      <c r="L7984" s="142">
        <v>0</v>
      </c>
      <c r="M7984" s="142">
        <v>28</v>
      </c>
    </row>
    <row r="7985" spans="1:13" x14ac:dyDescent="0.45">
      <c r="A7985" s="142" t="s">
        <v>13160</v>
      </c>
      <c r="B7985" s="142" t="s">
        <v>14525</v>
      </c>
      <c r="C7985" s="142" t="s">
        <v>15847</v>
      </c>
      <c r="D7985" s="142" t="s">
        <v>15848</v>
      </c>
      <c r="E7985" s="142" t="s">
        <v>15849</v>
      </c>
      <c r="F7985" s="142" t="s">
        <v>166</v>
      </c>
      <c r="G7985" s="142" t="s">
        <v>1141</v>
      </c>
      <c r="H7985" s="142" t="s">
        <v>23835</v>
      </c>
      <c r="I7985" s="142">
        <v>17</v>
      </c>
      <c r="J7985" s="142">
        <v>0</v>
      </c>
      <c r="K7985" s="142">
        <v>0</v>
      </c>
      <c r="L7985" s="142">
        <v>17</v>
      </c>
      <c r="M7985" s="142">
        <v>0</v>
      </c>
    </row>
    <row r="7986" spans="1:13" x14ac:dyDescent="0.45">
      <c r="A7986" s="142" t="s">
        <v>13484</v>
      </c>
      <c r="B7986" s="142" t="s">
        <v>15536</v>
      </c>
      <c r="C7986" s="142" t="s">
        <v>15847</v>
      </c>
      <c r="D7986" s="142" t="s">
        <v>15848</v>
      </c>
      <c r="E7986" s="142" t="s">
        <v>15849</v>
      </c>
      <c r="F7986" s="142" t="s">
        <v>166</v>
      </c>
      <c r="G7986" s="142" t="s">
        <v>1141</v>
      </c>
      <c r="H7986" s="142" t="s">
        <v>23836</v>
      </c>
      <c r="I7986" s="142">
        <v>1876</v>
      </c>
      <c r="J7986" s="142">
        <v>1230</v>
      </c>
      <c r="K7986" s="142">
        <v>8</v>
      </c>
      <c r="L7986" s="142">
        <v>549</v>
      </c>
      <c r="M7986" s="142">
        <v>89</v>
      </c>
    </row>
    <row r="7987" spans="1:13" x14ac:dyDescent="0.45">
      <c r="A7987" s="142" t="s">
        <v>13003</v>
      </c>
      <c r="B7987" s="142" t="s">
        <v>15245</v>
      </c>
      <c r="C7987" s="142" t="s">
        <v>15847</v>
      </c>
      <c r="D7987" s="142" t="s">
        <v>15848</v>
      </c>
      <c r="E7987" s="142" t="s">
        <v>15849</v>
      </c>
      <c r="F7987" s="142" t="s">
        <v>166</v>
      </c>
      <c r="G7987" s="142" t="s">
        <v>1141</v>
      </c>
      <c r="H7987" s="142" t="s">
        <v>23837</v>
      </c>
      <c r="I7987" s="142">
        <v>263</v>
      </c>
      <c r="J7987" s="142">
        <v>0</v>
      </c>
      <c r="K7987" s="142">
        <v>0</v>
      </c>
      <c r="L7987" s="142">
        <v>263</v>
      </c>
      <c r="M7987" s="142">
        <v>0</v>
      </c>
    </row>
    <row r="7988" spans="1:13" x14ac:dyDescent="0.45">
      <c r="A7988" s="142" t="s">
        <v>13066</v>
      </c>
      <c r="B7988" s="142" t="s">
        <v>14459</v>
      </c>
      <c r="C7988" s="142" t="s">
        <v>15847</v>
      </c>
      <c r="D7988" s="142" t="s">
        <v>15848</v>
      </c>
      <c r="E7988" s="142" t="s">
        <v>15849</v>
      </c>
      <c r="F7988" s="142" t="s">
        <v>166</v>
      </c>
      <c r="G7988" s="142" t="s">
        <v>1141</v>
      </c>
      <c r="H7988" s="142" t="s">
        <v>23838</v>
      </c>
      <c r="I7988" s="142">
        <v>49</v>
      </c>
      <c r="J7988" s="142">
        <v>0</v>
      </c>
      <c r="K7988" s="142">
        <v>0</v>
      </c>
      <c r="L7988" s="142">
        <v>49</v>
      </c>
      <c r="M7988" s="142">
        <v>0</v>
      </c>
    </row>
    <row r="7989" spans="1:13" x14ac:dyDescent="0.45">
      <c r="A7989" s="142" t="s">
        <v>13412</v>
      </c>
      <c r="B7989" s="142" t="s">
        <v>15587</v>
      </c>
      <c r="C7989" s="142" t="s">
        <v>15847</v>
      </c>
      <c r="D7989" s="142" t="s">
        <v>15848</v>
      </c>
      <c r="E7989" s="142" t="s">
        <v>15849</v>
      </c>
      <c r="F7989" s="142" t="s">
        <v>166</v>
      </c>
      <c r="G7989" s="142" t="s">
        <v>1141</v>
      </c>
      <c r="H7989" s="142" t="s">
        <v>23839</v>
      </c>
      <c r="I7989" s="142">
        <v>17</v>
      </c>
      <c r="J7989" s="142">
        <v>7</v>
      </c>
      <c r="K7989" s="142">
        <v>0</v>
      </c>
      <c r="L7989" s="142">
        <v>0</v>
      </c>
      <c r="M7989" s="142">
        <v>10</v>
      </c>
    </row>
    <row r="7990" spans="1:13" x14ac:dyDescent="0.45">
      <c r="A7990" s="142" t="s">
        <v>13248</v>
      </c>
      <c r="B7990" s="142" t="s">
        <v>15463</v>
      </c>
      <c r="C7990" s="142" t="s">
        <v>15847</v>
      </c>
      <c r="D7990" s="142" t="s">
        <v>15848</v>
      </c>
      <c r="E7990" s="142" t="s">
        <v>15849</v>
      </c>
      <c r="F7990" s="142" t="s">
        <v>166</v>
      </c>
      <c r="G7990" s="142" t="s">
        <v>1141</v>
      </c>
      <c r="H7990" s="142" t="s">
        <v>23840</v>
      </c>
      <c r="I7990" s="142">
        <v>818</v>
      </c>
      <c r="J7990" s="142">
        <v>668</v>
      </c>
      <c r="K7990" s="142">
        <v>0</v>
      </c>
      <c r="L7990" s="142">
        <v>133</v>
      </c>
      <c r="M7990" s="142">
        <v>17</v>
      </c>
    </row>
    <row r="7991" spans="1:13" x14ac:dyDescent="0.45">
      <c r="A7991" s="142" t="s">
        <v>13162</v>
      </c>
      <c r="B7991" s="142" t="s">
        <v>14545</v>
      </c>
      <c r="C7991" s="142" t="s">
        <v>15860</v>
      </c>
      <c r="D7991" s="142" t="s">
        <v>15861</v>
      </c>
      <c r="E7991" s="142" t="s">
        <v>15849</v>
      </c>
      <c r="F7991" s="142" t="s">
        <v>166</v>
      </c>
      <c r="G7991" s="142" t="s">
        <v>1141</v>
      </c>
      <c r="H7991" s="142" t="s">
        <v>23841</v>
      </c>
      <c r="I7991" s="142">
        <v>4</v>
      </c>
      <c r="J7991" s="142">
        <v>0</v>
      </c>
      <c r="K7991" s="142">
        <v>0</v>
      </c>
      <c r="L7991" s="142">
        <v>4</v>
      </c>
      <c r="M7991" s="142">
        <v>0</v>
      </c>
    </row>
    <row r="7992" spans="1:13" x14ac:dyDescent="0.45">
      <c r="A7992" s="142" t="s">
        <v>13034</v>
      </c>
      <c r="B7992" s="142" t="s">
        <v>15562</v>
      </c>
      <c r="C7992" s="142" t="s">
        <v>15847</v>
      </c>
      <c r="D7992" s="142" t="s">
        <v>15848</v>
      </c>
      <c r="E7992" s="142" t="s">
        <v>15849</v>
      </c>
      <c r="F7992" s="142" t="s">
        <v>166</v>
      </c>
      <c r="G7992" s="142" t="s">
        <v>1141</v>
      </c>
      <c r="H7992" s="142" t="s">
        <v>23842</v>
      </c>
      <c r="I7992" s="142">
        <v>61</v>
      </c>
      <c r="J7992" s="142">
        <v>49</v>
      </c>
      <c r="K7992" s="142">
        <v>0</v>
      </c>
      <c r="L7992" s="142">
        <v>12</v>
      </c>
      <c r="M7992" s="142">
        <v>0</v>
      </c>
    </row>
    <row r="7993" spans="1:13" x14ac:dyDescent="0.45">
      <c r="A7993" s="142" t="s">
        <v>13078</v>
      </c>
      <c r="B7993" s="142" t="s">
        <v>15540</v>
      </c>
      <c r="C7993" s="142" t="s">
        <v>15847</v>
      </c>
      <c r="D7993" s="142" t="s">
        <v>15848</v>
      </c>
      <c r="E7993" s="142" t="s">
        <v>15849</v>
      </c>
      <c r="F7993" s="142" t="s">
        <v>166</v>
      </c>
      <c r="G7993" s="142" t="s">
        <v>1141</v>
      </c>
      <c r="H7993" s="142" t="s">
        <v>23843</v>
      </c>
      <c r="I7993" s="142">
        <v>77</v>
      </c>
      <c r="J7993" s="142">
        <v>13</v>
      </c>
      <c r="K7993" s="142">
        <v>0</v>
      </c>
      <c r="L7993" s="142">
        <v>64</v>
      </c>
      <c r="M7993" s="142">
        <v>0</v>
      </c>
    </row>
    <row r="7994" spans="1:13" x14ac:dyDescent="0.45">
      <c r="A7994" s="142" t="s">
        <v>13091</v>
      </c>
      <c r="B7994" s="142" t="s">
        <v>14473</v>
      </c>
      <c r="C7994" s="142" t="s">
        <v>15847</v>
      </c>
      <c r="D7994" s="142" t="s">
        <v>15848</v>
      </c>
      <c r="E7994" s="142" t="s">
        <v>15849</v>
      </c>
      <c r="F7994" s="142" t="s">
        <v>166</v>
      </c>
      <c r="G7994" s="142" t="s">
        <v>1141</v>
      </c>
      <c r="H7994" s="142" t="s">
        <v>23844</v>
      </c>
      <c r="I7994" s="142">
        <v>185</v>
      </c>
      <c r="J7994" s="142">
        <v>105</v>
      </c>
      <c r="K7994" s="142">
        <v>0</v>
      </c>
      <c r="L7994" s="142">
        <v>75</v>
      </c>
      <c r="M7994" s="142">
        <v>5</v>
      </c>
    </row>
    <row r="7995" spans="1:13" x14ac:dyDescent="0.45">
      <c r="A7995" s="142" t="s">
        <v>13009</v>
      </c>
      <c r="B7995" s="142" t="s">
        <v>15256</v>
      </c>
      <c r="C7995" s="142" t="s">
        <v>15847</v>
      </c>
      <c r="D7995" s="142" t="s">
        <v>15848</v>
      </c>
      <c r="E7995" s="142" t="s">
        <v>15849</v>
      </c>
      <c r="F7995" s="142" t="s">
        <v>166</v>
      </c>
      <c r="G7995" s="142" t="s">
        <v>1141</v>
      </c>
      <c r="H7995" s="142" t="s">
        <v>23845</v>
      </c>
      <c r="I7995" s="142">
        <v>1048</v>
      </c>
      <c r="J7995" s="142">
        <v>804</v>
      </c>
      <c r="K7995" s="142">
        <v>0</v>
      </c>
      <c r="L7995" s="142">
        <v>187</v>
      </c>
      <c r="M7995" s="142">
        <v>57</v>
      </c>
    </row>
    <row r="7996" spans="1:13" x14ac:dyDescent="0.45">
      <c r="A7996" s="142" t="s">
        <v>14244</v>
      </c>
      <c r="B7996" s="142" t="s">
        <v>15238</v>
      </c>
      <c r="C7996" s="142" t="s">
        <v>15860</v>
      </c>
      <c r="D7996" s="142" t="s">
        <v>15861</v>
      </c>
      <c r="E7996" s="142" t="s">
        <v>15849</v>
      </c>
      <c r="F7996" s="142" t="s">
        <v>166</v>
      </c>
      <c r="G7996" s="142" t="s">
        <v>1141</v>
      </c>
      <c r="H7996" s="142" t="s">
        <v>23846</v>
      </c>
      <c r="I7996" s="142">
        <v>604</v>
      </c>
      <c r="J7996" s="142">
        <v>604</v>
      </c>
      <c r="K7996" s="142">
        <v>0</v>
      </c>
      <c r="L7996" s="142">
        <v>0</v>
      </c>
      <c r="M7996" s="142">
        <v>0</v>
      </c>
    </row>
    <row r="7997" spans="1:13" x14ac:dyDescent="0.45">
      <c r="A7997" s="142" t="s">
        <v>14245</v>
      </c>
      <c r="B7997" s="142" t="s">
        <v>14689</v>
      </c>
      <c r="C7997" s="142" t="s">
        <v>15860</v>
      </c>
      <c r="D7997" s="142" t="s">
        <v>15861</v>
      </c>
      <c r="E7997" s="142" t="s">
        <v>15849</v>
      </c>
      <c r="F7997" s="142" t="s">
        <v>166</v>
      </c>
      <c r="G7997" s="142" t="s">
        <v>1141</v>
      </c>
      <c r="H7997" s="142" t="s">
        <v>23847</v>
      </c>
      <c r="I7997" s="142">
        <v>5</v>
      </c>
      <c r="J7997" s="142">
        <v>5</v>
      </c>
      <c r="K7997" s="142">
        <v>0</v>
      </c>
      <c r="L7997" s="142">
        <v>0</v>
      </c>
      <c r="M7997" s="142">
        <v>0</v>
      </c>
    </row>
    <row r="7998" spans="1:13" x14ac:dyDescent="0.45">
      <c r="A7998" s="142" t="s">
        <v>13220</v>
      </c>
      <c r="B7998" s="142" t="s">
        <v>15505</v>
      </c>
      <c r="C7998" s="142" t="s">
        <v>15860</v>
      </c>
      <c r="D7998" s="142" t="s">
        <v>15861</v>
      </c>
      <c r="E7998" s="142" t="s">
        <v>15849</v>
      </c>
      <c r="F7998" s="142" t="s">
        <v>166</v>
      </c>
      <c r="G7998" s="142" t="s">
        <v>1141</v>
      </c>
      <c r="H7998" s="142" t="s">
        <v>23848</v>
      </c>
      <c r="I7998" s="142">
        <v>21</v>
      </c>
      <c r="J7998" s="142">
        <v>0</v>
      </c>
      <c r="K7998" s="142">
        <v>0</v>
      </c>
      <c r="L7998" s="142">
        <v>21</v>
      </c>
      <c r="M7998" s="142">
        <v>0</v>
      </c>
    </row>
    <row r="7999" spans="1:13" x14ac:dyDescent="0.45">
      <c r="A7999" s="142" t="s">
        <v>13042</v>
      </c>
      <c r="B7999" s="142" t="s">
        <v>15489</v>
      </c>
      <c r="C7999" s="142" t="s">
        <v>15847</v>
      </c>
      <c r="D7999" s="142" t="s">
        <v>15848</v>
      </c>
      <c r="E7999" s="142" t="s">
        <v>15849</v>
      </c>
      <c r="F7999" s="142" t="s">
        <v>166</v>
      </c>
      <c r="G7999" s="142" t="s">
        <v>1141</v>
      </c>
      <c r="H7999" s="142" t="s">
        <v>23849</v>
      </c>
      <c r="I7999" s="142">
        <v>582</v>
      </c>
      <c r="J7999" s="142">
        <v>516</v>
      </c>
      <c r="K7999" s="142">
        <v>0</v>
      </c>
      <c r="L7999" s="142">
        <v>35</v>
      </c>
      <c r="M7999" s="142">
        <v>31</v>
      </c>
    </row>
    <row r="8000" spans="1:13" x14ac:dyDescent="0.45">
      <c r="A8000" s="142" t="s">
        <v>13451</v>
      </c>
      <c r="B8000" s="142" t="s">
        <v>15582</v>
      </c>
      <c r="C8000" s="142" t="s">
        <v>15847</v>
      </c>
      <c r="D8000" s="142" t="s">
        <v>15848</v>
      </c>
      <c r="E8000" s="142" t="s">
        <v>15849</v>
      </c>
      <c r="F8000" s="142" t="s">
        <v>166</v>
      </c>
      <c r="G8000" s="142" t="s">
        <v>1141</v>
      </c>
      <c r="H8000" s="142" t="s">
        <v>23850</v>
      </c>
      <c r="I8000" s="142">
        <v>8</v>
      </c>
      <c r="J8000" s="142">
        <v>0</v>
      </c>
      <c r="K8000" s="142">
        <v>0</v>
      </c>
      <c r="L8000" s="142">
        <v>8</v>
      </c>
      <c r="M8000" s="142">
        <v>0</v>
      </c>
    </row>
    <row r="8001" spans="1:13" x14ac:dyDescent="0.45">
      <c r="A8001" s="142" t="s">
        <v>13016</v>
      </c>
      <c r="B8001" s="142" t="s">
        <v>14535</v>
      </c>
      <c r="C8001" s="142" t="s">
        <v>15860</v>
      </c>
      <c r="D8001" s="142" t="s">
        <v>15861</v>
      </c>
      <c r="E8001" s="142" t="s">
        <v>15849</v>
      </c>
      <c r="F8001" s="142" t="s">
        <v>166</v>
      </c>
      <c r="G8001" s="142" t="s">
        <v>1141</v>
      </c>
      <c r="H8001" s="142" t="s">
        <v>23851</v>
      </c>
      <c r="I8001" s="142">
        <v>9</v>
      </c>
      <c r="J8001" s="142">
        <v>0</v>
      </c>
      <c r="K8001" s="142">
        <v>0</v>
      </c>
      <c r="L8001" s="142">
        <v>9</v>
      </c>
      <c r="M8001" s="142">
        <v>0</v>
      </c>
    </row>
    <row r="8002" spans="1:13" x14ac:dyDescent="0.45">
      <c r="A8002" s="142" t="s">
        <v>14246</v>
      </c>
      <c r="B8002" s="142" t="s">
        <v>15234</v>
      </c>
      <c r="C8002" s="142" t="s">
        <v>15860</v>
      </c>
      <c r="D8002" s="142" t="s">
        <v>15861</v>
      </c>
      <c r="E8002" s="142" t="s">
        <v>15849</v>
      </c>
      <c r="F8002" s="142" t="s">
        <v>166</v>
      </c>
      <c r="G8002" s="142" t="s">
        <v>1141</v>
      </c>
      <c r="H8002" s="142" t="s">
        <v>23852</v>
      </c>
      <c r="I8002" s="142">
        <v>209</v>
      </c>
      <c r="J8002" s="142">
        <v>92</v>
      </c>
      <c r="K8002" s="142">
        <v>0</v>
      </c>
      <c r="L8002" s="142">
        <v>117</v>
      </c>
      <c r="M8002" s="142">
        <v>0</v>
      </c>
    </row>
    <row r="8003" spans="1:13" x14ac:dyDescent="0.45">
      <c r="A8003" s="142" t="s">
        <v>13286</v>
      </c>
      <c r="B8003" s="142" t="s">
        <v>15342</v>
      </c>
      <c r="C8003" s="142" t="s">
        <v>15847</v>
      </c>
      <c r="D8003" s="142" t="s">
        <v>15848</v>
      </c>
      <c r="E8003" s="142" t="s">
        <v>15849</v>
      </c>
      <c r="F8003" s="142" t="s">
        <v>166</v>
      </c>
      <c r="G8003" s="142" t="s">
        <v>1141</v>
      </c>
      <c r="H8003" s="142" t="s">
        <v>23853</v>
      </c>
      <c r="I8003" s="142">
        <v>427</v>
      </c>
      <c r="J8003" s="142">
        <v>37</v>
      </c>
      <c r="K8003" s="142">
        <v>0</v>
      </c>
      <c r="L8003" s="142">
        <v>390</v>
      </c>
      <c r="M8003" s="142">
        <v>0</v>
      </c>
    </row>
    <row r="8004" spans="1:13" x14ac:dyDescent="0.45">
      <c r="A8004" s="142" t="s">
        <v>13021</v>
      </c>
      <c r="B8004" s="142" t="s">
        <v>15501</v>
      </c>
      <c r="C8004" s="142" t="s">
        <v>15847</v>
      </c>
      <c r="D8004" s="142" t="s">
        <v>15848</v>
      </c>
      <c r="E8004" s="142" t="s">
        <v>15849</v>
      </c>
      <c r="F8004" s="142" t="s">
        <v>167</v>
      </c>
      <c r="G8004" s="142" t="s">
        <v>8820</v>
      </c>
      <c r="H8004" s="142" t="s">
        <v>23854</v>
      </c>
      <c r="I8004" s="142">
        <v>9</v>
      </c>
      <c r="J8004" s="142">
        <v>0</v>
      </c>
      <c r="K8004" s="142">
        <v>0</v>
      </c>
      <c r="L8004" s="142">
        <v>5</v>
      </c>
      <c r="M8004" s="142">
        <v>4</v>
      </c>
    </row>
    <row r="8005" spans="1:13" x14ac:dyDescent="0.45">
      <c r="A8005" s="142" t="s">
        <v>13065</v>
      </c>
      <c r="B8005" s="142" t="s">
        <v>14497</v>
      </c>
      <c r="C8005" s="142" t="s">
        <v>15847</v>
      </c>
      <c r="D8005" s="142" t="s">
        <v>15848</v>
      </c>
      <c r="E8005" s="142" t="s">
        <v>15849</v>
      </c>
      <c r="F8005" s="142" t="s">
        <v>167</v>
      </c>
      <c r="G8005" s="142" t="s">
        <v>8820</v>
      </c>
      <c r="H8005" s="142" t="s">
        <v>23855</v>
      </c>
      <c r="I8005" s="142">
        <v>2</v>
      </c>
      <c r="J8005" s="142">
        <v>0</v>
      </c>
      <c r="K8005" s="142">
        <v>0</v>
      </c>
      <c r="L8005" s="142">
        <v>2</v>
      </c>
      <c r="M8005" s="142">
        <v>0</v>
      </c>
    </row>
    <row r="8006" spans="1:13" x14ac:dyDescent="0.45">
      <c r="A8006" s="142" t="s">
        <v>13477</v>
      </c>
      <c r="B8006" s="142" t="s">
        <v>15457</v>
      </c>
      <c r="C8006" s="142" t="s">
        <v>15860</v>
      </c>
      <c r="D8006" s="142" t="s">
        <v>15861</v>
      </c>
      <c r="E8006" s="142" t="s">
        <v>15849</v>
      </c>
      <c r="F8006" s="142" t="s">
        <v>167</v>
      </c>
      <c r="G8006" s="142" t="s">
        <v>8820</v>
      </c>
      <c r="H8006" s="142" t="s">
        <v>23856</v>
      </c>
      <c r="I8006" s="142">
        <v>11</v>
      </c>
      <c r="J8006" s="142">
        <v>11</v>
      </c>
      <c r="K8006" s="142">
        <v>0</v>
      </c>
      <c r="L8006" s="142">
        <v>0</v>
      </c>
      <c r="M8006" s="142">
        <v>0</v>
      </c>
    </row>
    <row r="8007" spans="1:13" x14ac:dyDescent="0.45">
      <c r="A8007" s="142" t="s">
        <v>13235</v>
      </c>
      <c r="B8007" s="142" t="s">
        <v>14573</v>
      </c>
      <c r="C8007" s="142" t="s">
        <v>15847</v>
      </c>
      <c r="D8007" s="142" t="s">
        <v>15848</v>
      </c>
      <c r="E8007" s="142" t="s">
        <v>15849</v>
      </c>
      <c r="F8007" s="142" t="s">
        <v>167</v>
      </c>
      <c r="G8007" s="142" t="s">
        <v>8820</v>
      </c>
      <c r="H8007" s="142" t="s">
        <v>23857</v>
      </c>
      <c r="I8007" s="142">
        <v>902</v>
      </c>
      <c r="J8007" s="142">
        <v>717</v>
      </c>
      <c r="K8007" s="142">
        <v>0</v>
      </c>
      <c r="L8007" s="142">
        <v>4</v>
      </c>
      <c r="M8007" s="142">
        <v>181</v>
      </c>
    </row>
    <row r="8008" spans="1:13" x14ac:dyDescent="0.45">
      <c r="A8008" s="142" t="s">
        <v>13237</v>
      </c>
      <c r="B8008" s="142" t="s">
        <v>14643</v>
      </c>
      <c r="C8008" s="142" t="s">
        <v>15847</v>
      </c>
      <c r="D8008" s="142" t="s">
        <v>15848</v>
      </c>
      <c r="E8008" s="142" t="s">
        <v>15849</v>
      </c>
      <c r="F8008" s="142" t="s">
        <v>167</v>
      </c>
      <c r="G8008" s="142" t="s">
        <v>8820</v>
      </c>
      <c r="H8008" s="142" t="s">
        <v>23858</v>
      </c>
      <c r="I8008" s="142">
        <v>28</v>
      </c>
      <c r="J8008" s="142">
        <v>20</v>
      </c>
      <c r="K8008" s="142">
        <v>0</v>
      </c>
      <c r="L8008" s="142">
        <v>0</v>
      </c>
      <c r="M8008" s="142">
        <v>8</v>
      </c>
    </row>
    <row r="8009" spans="1:13" x14ac:dyDescent="0.45">
      <c r="A8009" s="142" t="s">
        <v>13238</v>
      </c>
      <c r="B8009" s="142" t="s">
        <v>14477</v>
      </c>
      <c r="C8009" s="142" t="s">
        <v>15860</v>
      </c>
      <c r="D8009" s="142" t="s">
        <v>15861</v>
      </c>
      <c r="E8009" s="142" t="s">
        <v>15849</v>
      </c>
      <c r="F8009" s="142" t="s">
        <v>167</v>
      </c>
      <c r="G8009" s="142" t="s">
        <v>8820</v>
      </c>
      <c r="H8009" s="142" t="s">
        <v>23859</v>
      </c>
      <c r="I8009" s="142">
        <v>21</v>
      </c>
      <c r="J8009" s="142">
        <v>0</v>
      </c>
      <c r="K8009" s="142">
        <v>0</v>
      </c>
      <c r="L8009" s="142">
        <v>21</v>
      </c>
      <c r="M8009" s="142">
        <v>0</v>
      </c>
    </row>
    <row r="8010" spans="1:13" x14ac:dyDescent="0.45">
      <c r="A8010" s="142" t="s">
        <v>14248</v>
      </c>
      <c r="B8010" s="142" t="s">
        <v>14625</v>
      </c>
      <c r="C8010" s="142" t="s">
        <v>15860</v>
      </c>
      <c r="D8010" s="142" t="s">
        <v>15861</v>
      </c>
      <c r="E8010" s="142" t="s">
        <v>15849</v>
      </c>
      <c r="F8010" s="142" t="s">
        <v>167</v>
      </c>
      <c r="G8010" s="142" t="s">
        <v>8820</v>
      </c>
      <c r="H8010" s="142" t="s">
        <v>23860</v>
      </c>
      <c r="I8010" s="142">
        <v>8</v>
      </c>
      <c r="J8010" s="142">
        <v>8</v>
      </c>
      <c r="K8010" s="142">
        <v>0</v>
      </c>
      <c r="L8010" s="142">
        <v>0</v>
      </c>
      <c r="M8010" s="142">
        <v>0</v>
      </c>
    </row>
    <row r="8011" spans="1:13" x14ac:dyDescent="0.45">
      <c r="A8011" s="142" t="s">
        <v>13027</v>
      </c>
      <c r="B8011" s="142" t="s">
        <v>14562</v>
      </c>
      <c r="C8011" s="142" t="s">
        <v>15847</v>
      </c>
      <c r="D8011" s="142" t="s">
        <v>15848</v>
      </c>
      <c r="E8011" s="142" t="s">
        <v>15849</v>
      </c>
      <c r="F8011" s="142" t="s">
        <v>167</v>
      </c>
      <c r="G8011" s="142" t="s">
        <v>8820</v>
      </c>
      <c r="H8011" s="142" t="s">
        <v>23861</v>
      </c>
      <c r="I8011" s="142">
        <v>3</v>
      </c>
      <c r="J8011" s="142">
        <v>0</v>
      </c>
      <c r="K8011" s="142">
        <v>0</v>
      </c>
      <c r="L8011" s="142">
        <v>3</v>
      </c>
      <c r="M8011" s="142">
        <v>0</v>
      </c>
    </row>
    <row r="8012" spans="1:13" x14ac:dyDescent="0.45">
      <c r="A8012" s="142" t="s">
        <v>13028</v>
      </c>
      <c r="B8012" s="142" t="s">
        <v>14462</v>
      </c>
      <c r="C8012" s="142" t="s">
        <v>15847</v>
      </c>
      <c r="D8012" s="142" t="s">
        <v>15848</v>
      </c>
      <c r="E8012" s="142" t="s">
        <v>15849</v>
      </c>
      <c r="F8012" s="142" t="s">
        <v>167</v>
      </c>
      <c r="G8012" s="142" t="s">
        <v>8820</v>
      </c>
      <c r="H8012" s="142" t="s">
        <v>23862</v>
      </c>
      <c r="I8012" s="142">
        <v>78</v>
      </c>
      <c r="J8012" s="142">
        <v>0</v>
      </c>
      <c r="K8012" s="142">
        <v>0</v>
      </c>
      <c r="L8012" s="142">
        <v>0</v>
      </c>
      <c r="M8012" s="142">
        <v>78</v>
      </c>
    </row>
    <row r="8013" spans="1:13" x14ac:dyDescent="0.45">
      <c r="A8013" s="142" t="s">
        <v>13003</v>
      </c>
      <c r="B8013" s="142" t="s">
        <v>15245</v>
      </c>
      <c r="C8013" s="142" t="s">
        <v>15847</v>
      </c>
      <c r="D8013" s="142" t="s">
        <v>15848</v>
      </c>
      <c r="E8013" s="142" t="s">
        <v>15849</v>
      </c>
      <c r="F8013" s="142" t="s">
        <v>167</v>
      </c>
      <c r="G8013" s="142" t="s">
        <v>8820</v>
      </c>
      <c r="H8013" s="142" t="s">
        <v>23863</v>
      </c>
      <c r="I8013" s="142">
        <v>75</v>
      </c>
      <c r="J8013" s="142">
        <v>0</v>
      </c>
      <c r="K8013" s="142">
        <v>0</v>
      </c>
      <c r="L8013" s="142">
        <v>59</v>
      </c>
      <c r="M8013" s="142">
        <v>16</v>
      </c>
    </row>
    <row r="8014" spans="1:13" x14ac:dyDescent="0.45">
      <c r="A8014" s="142" t="s">
        <v>13066</v>
      </c>
      <c r="B8014" s="142" t="s">
        <v>14459</v>
      </c>
      <c r="C8014" s="142" t="s">
        <v>15847</v>
      </c>
      <c r="D8014" s="142" t="s">
        <v>15848</v>
      </c>
      <c r="E8014" s="142" t="s">
        <v>15849</v>
      </c>
      <c r="F8014" s="142" t="s">
        <v>167</v>
      </c>
      <c r="G8014" s="142" t="s">
        <v>8820</v>
      </c>
      <c r="H8014" s="142" t="s">
        <v>23864</v>
      </c>
      <c r="I8014" s="142">
        <v>11</v>
      </c>
      <c r="J8014" s="142">
        <v>0</v>
      </c>
      <c r="K8014" s="142">
        <v>0</v>
      </c>
      <c r="L8014" s="142">
        <v>11</v>
      </c>
      <c r="M8014" s="142">
        <v>0</v>
      </c>
    </row>
    <row r="8015" spans="1:13" x14ac:dyDescent="0.45">
      <c r="A8015" s="142" t="s">
        <v>13178</v>
      </c>
      <c r="B8015" s="142" t="s">
        <v>14683</v>
      </c>
      <c r="C8015" s="142" t="s">
        <v>15847</v>
      </c>
      <c r="D8015" s="142" t="s">
        <v>15848</v>
      </c>
      <c r="E8015" s="142" t="s">
        <v>15849</v>
      </c>
      <c r="F8015" s="142" t="s">
        <v>167</v>
      </c>
      <c r="G8015" s="142" t="s">
        <v>8820</v>
      </c>
      <c r="H8015" s="142" t="s">
        <v>23865</v>
      </c>
      <c r="I8015" s="142">
        <v>27</v>
      </c>
      <c r="J8015" s="142">
        <v>27</v>
      </c>
      <c r="K8015" s="142">
        <v>0</v>
      </c>
      <c r="L8015" s="142">
        <v>0</v>
      </c>
      <c r="M8015" s="142">
        <v>0</v>
      </c>
    </row>
    <row r="8016" spans="1:13" x14ac:dyDescent="0.45">
      <c r="A8016" s="142" t="s">
        <v>13076</v>
      </c>
      <c r="B8016" s="142" t="s">
        <v>14636</v>
      </c>
      <c r="C8016" s="142" t="s">
        <v>15847</v>
      </c>
      <c r="D8016" s="142" t="s">
        <v>15848</v>
      </c>
      <c r="E8016" s="142" t="s">
        <v>15849</v>
      </c>
      <c r="F8016" s="142" t="s">
        <v>167</v>
      </c>
      <c r="G8016" s="142" t="s">
        <v>8820</v>
      </c>
      <c r="H8016" s="142" t="s">
        <v>23866</v>
      </c>
      <c r="I8016" s="142">
        <v>18</v>
      </c>
      <c r="J8016" s="142">
        <v>10</v>
      </c>
      <c r="K8016" s="142">
        <v>0</v>
      </c>
      <c r="L8016" s="142">
        <v>0</v>
      </c>
      <c r="M8016" s="142">
        <v>8</v>
      </c>
    </row>
    <row r="8017" spans="1:13" x14ac:dyDescent="0.45">
      <c r="A8017" s="142" t="s">
        <v>13005</v>
      </c>
      <c r="B8017" s="142" t="s">
        <v>15475</v>
      </c>
      <c r="C8017" s="142" t="s">
        <v>15847</v>
      </c>
      <c r="D8017" s="142" t="s">
        <v>15848</v>
      </c>
      <c r="E8017" s="142" t="s">
        <v>15849</v>
      </c>
      <c r="F8017" s="142" t="s">
        <v>167</v>
      </c>
      <c r="G8017" s="142" t="s">
        <v>8820</v>
      </c>
      <c r="H8017" s="142" t="s">
        <v>23867</v>
      </c>
      <c r="I8017" s="142">
        <v>103</v>
      </c>
      <c r="J8017" s="142">
        <v>52</v>
      </c>
      <c r="K8017" s="142">
        <v>0</v>
      </c>
      <c r="L8017" s="142">
        <v>0</v>
      </c>
      <c r="M8017" s="142">
        <v>51</v>
      </c>
    </row>
    <row r="8018" spans="1:13" x14ac:dyDescent="0.45">
      <c r="A8018" s="142" t="s">
        <v>13248</v>
      </c>
      <c r="B8018" s="142" t="s">
        <v>15463</v>
      </c>
      <c r="C8018" s="142" t="s">
        <v>15847</v>
      </c>
      <c r="D8018" s="142" t="s">
        <v>15848</v>
      </c>
      <c r="E8018" s="142" t="s">
        <v>15849</v>
      </c>
      <c r="F8018" s="142" t="s">
        <v>167</v>
      </c>
      <c r="G8018" s="142" t="s">
        <v>8820</v>
      </c>
      <c r="H8018" s="142" t="s">
        <v>23868</v>
      </c>
      <c r="I8018" s="142">
        <v>50</v>
      </c>
      <c r="J8018" s="142">
        <v>30</v>
      </c>
      <c r="K8018" s="142">
        <v>0</v>
      </c>
      <c r="L8018" s="142">
        <v>0</v>
      </c>
      <c r="M8018" s="142">
        <v>20</v>
      </c>
    </row>
    <row r="8019" spans="1:13" x14ac:dyDescent="0.45">
      <c r="A8019" s="142" t="s">
        <v>14109</v>
      </c>
      <c r="B8019" s="142" t="s">
        <v>14747</v>
      </c>
      <c r="C8019" s="142" t="s">
        <v>15860</v>
      </c>
      <c r="D8019" s="142" t="s">
        <v>15861</v>
      </c>
      <c r="E8019" s="142" t="s">
        <v>15849</v>
      </c>
      <c r="F8019" s="142" t="s">
        <v>167</v>
      </c>
      <c r="G8019" s="142" t="s">
        <v>8820</v>
      </c>
      <c r="H8019" s="142" t="s">
        <v>23869</v>
      </c>
      <c r="I8019" s="142">
        <v>46</v>
      </c>
      <c r="J8019" s="142">
        <v>0</v>
      </c>
      <c r="K8019" s="142">
        <v>0</v>
      </c>
      <c r="L8019" s="142">
        <v>46</v>
      </c>
      <c r="M8019" s="142">
        <v>0</v>
      </c>
    </row>
    <row r="8020" spans="1:13" x14ac:dyDescent="0.45">
      <c r="A8020" s="142" t="s">
        <v>13008</v>
      </c>
      <c r="B8020" s="142" t="s">
        <v>15411</v>
      </c>
      <c r="C8020" s="142" t="s">
        <v>15847</v>
      </c>
      <c r="D8020" s="142" t="s">
        <v>15848</v>
      </c>
      <c r="E8020" s="142" t="s">
        <v>15849</v>
      </c>
      <c r="F8020" s="142" t="s">
        <v>167</v>
      </c>
      <c r="G8020" s="142" t="s">
        <v>8820</v>
      </c>
      <c r="H8020" s="142" t="s">
        <v>23870</v>
      </c>
      <c r="I8020" s="142">
        <v>486</v>
      </c>
      <c r="J8020" s="142">
        <v>0</v>
      </c>
      <c r="K8020" s="142">
        <v>0</v>
      </c>
      <c r="L8020" s="142">
        <v>0</v>
      </c>
      <c r="M8020" s="142">
        <v>486</v>
      </c>
    </row>
    <row r="8021" spans="1:13" x14ac:dyDescent="0.45">
      <c r="A8021" s="142" t="s">
        <v>13077</v>
      </c>
      <c r="B8021" s="142" t="s">
        <v>15407</v>
      </c>
      <c r="C8021" s="142" t="s">
        <v>15847</v>
      </c>
      <c r="D8021" s="142" t="s">
        <v>15848</v>
      </c>
      <c r="E8021" s="142" t="s">
        <v>15849</v>
      </c>
      <c r="F8021" s="142" t="s">
        <v>167</v>
      </c>
      <c r="G8021" s="142" t="s">
        <v>8820</v>
      </c>
      <c r="H8021" s="142" t="s">
        <v>23871</v>
      </c>
      <c r="I8021" s="142">
        <v>6552</v>
      </c>
      <c r="J8021" s="142">
        <v>5762</v>
      </c>
      <c r="K8021" s="142">
        <v>2</v>
      </c>
      <c r="L8021" s="142">
        <v>771</v>
      </c>
      <c r="M8021" s="142">
        <v>17</v>
      </c>
    </row>
    <row r="8022" spans="1:13" x14ac:dyDescent="0.45">
      <c r="A8022" s="142" t="s">
        <v>13035</v>
      </c>
      <c r="B8022" s="142" t="s">
        <v>14648</v>
      </c>
      <c r="C8022" s="142" t="s">
        <v>15847</v>
      </c>
      <c r="D8022" s="142" t="s">
        <v>15848</v>
      </c>
      <c r="E8022" s="142" t="s">
        <v>15849</v>
      </c>
      <c r="F8022" s="142" t="s">
        <v>167</v>
      </c>
      <c r="G8022" s="142" t="s">
        <v>8820</v>
      </c>
      <c r="H8022" s="142" t="s">
        <v>23872</v>
      </c>
      <c r="I8022" s="142">
        <v>515</v>
      </c>
      <c r="J8022" s="142">
        <v>373</v>
      </c>
      <c r="K8022" s="142">
        <v>0</v>
      </c>
      <c r="L8022" s="142">
        <v>0</v>
      </c>
      <c r="M8022" s="142">
        <v>142</v>
      </c>
    </row>
    <row r="8023" spans="1:13" x14ac:dyDescent="0.45">
      <c r="A8023" s="142" t="s">
        <v>13038</v>
      </c>
      <c r="B8023" s="142" t="s">
        <v>14646</v>
      </c>
      <c r="C8023" s="142" t="s">
        <v>15847</v>
      </c>
      <c r="D8023" s="142" t="s">
        <v>15848</v>
      </c>
      <c r="E8023" s="142" t="s">
        <v>15849</v>
      </c>
      <c r="F8023" s="142" t="s">
        <v>167</v>
      </c>
      <c r="G8023" s="142" t="s">
        <v>8820</v>
      </c>
      <c r="H8023" s="142" t="s">
        <v>23873</v>
      </c>
      <c r="I8023" s="142">
        <v>262</v>
      </c>
      <c r="J8023" s="142">
        <v>103</v>
      </c>
      <c r="K8023" s="142">
        <v>0</v>
      </c>
      <c r="L8023" s="142">
        <v>0</v>
      </c>
      <c r="M8023" s="142">
        <v>159</v>
      </c>
    </row>
    <row r="8024" spans="1:13" x14ac:dyDescent="0.45">
      <c r="A8024" s="142" t="s">
        <v>13039</v>
      </c>
      <c r="B8024" s="142" t="s">
        <v>14647</v>
      </c>
      <c r="C8024" s="142" t="s">
        <v>15847</v>
      </c>
      <c r="D8024" s="142" t="s">
        <v>15848</v>
      </c>
      <c r="E8024" s="142" t="s">
        <v>15849</v>
      </c>
      <c r="F8024" s="142" t="s">
        <v>167</v>
      </c>
      <c r="G8024" s="142" t="s">
        <v>8820</v>
      </c>
      <c r="H8024" s="142" t="s">
        <v>23874</v>
      </c>
      <c r="I8024" s="142">
        <v>187</v>
      </c>
      <c r="J8024" s="142">
        <v>187</v>
      </c>
      <c r="K8024" s="142">
        <v>0</v>
      </c>
      <c r="L8024" s="142">
        <v>0</v>
      </c>
      <c r="M8024" s="142">
        <v>0</v>
      </c>
    </row>
    <row r="8025" spans="1:13" x14ac:dyDescent="0.45">
      <c r="A8025" s="142" t="s">
        <v>14249</v>
      </c>
      <c r="B8025" s="142" t="s">
        <v>14847</v>
      </c>
      <c r="C8025" s="142" t="s">
        <v>15860</v>
      </c>
      <c r="D8025" s="142" t="s">
        <v>15861</v>
      </c>
      <c r="E8025" s="142" t="s">
        <v>15849</v>
      </c>
      <c r="F8025" s="142" t="s">
        <v>167</v>
      </c>
      <c r="G8025" s="142" t="s">
        <v>8820</v>
      </c>
      <c r="H8025" s="142" t="s">
        <v>23875</v>
      </c>
      <c r="I8025" s="142">
        <v>10</v>
      </c>
      <c r="J8025" s="142">
        <v>10</v>
      </c>
      <c r="K8025" s="142">
        <v>0</v>
      </c>
      <c r="L8025" s="142">
        <v>0</v>
      </c>
      <c r="M8025" s="142">
        <v>0</v>
      </c>
    </row>
    <row r="8026" spans="1:13" x14ac:dyDescent="0.45">
      <c r="A8026" s="142" t="s">
        <v>13091</v>
      </c>
      <c r="B8026" s="142" t="s">
        <v>14473</v>
      </c>
      <c r="C8026" s="142" t="s">
        <v>15847</v>
      </c>
      <c r="D8026" s="142" t="s">
        <v>15848</v>
      </c>
      <c r="E8026" s="142" t="s">
        <v>15849</v>
      </c>
      <c r="F8026" s="142" t="s">
        <v>167</v>
      </c>
      <c r="G8026" s="142" t="s">
        <v>8820</v>
      </c>
      <c r="H8026" s="142" t="s">
        <v>23876</v>
      </c>
      <c r="I8026" s="142">
        <v>10</v>
      </c>
      <c r="J8026" s="142">
        <v>0</v>
      </c>
      <c r="K8026" s="142">
        <v>0</v>
      </c>
      <c r="L8026" s="142">
        <v>0</v>
      </c>
      <c r="M8026" s="142">
        <v>10</v>
      </c>
    </row>
    <row r="8027" spans="1:13" x14ac:dyDescent="0.45">
      <c r="A8027" s="142" t="s">
        <v>13009</v>
      </c>
      <c r="B8027" s="142" t="s">
        <v>15256</v>
      </c>
      <c r="C8027" s="142" t="s">
        <v>15847</v>
      </c>
      <c r="D8027" s="142" t="s">
        <v>15848</v>
      </c>
      <c r="E8027" s="142" t="s">
        <v>15849</v>
      </c>
      <c r="F8027" s="142" t="s">
        <v>167</v>
      </c>
      <c r="G8027" s="142" t="s">
        <v>8820</v>
      </c>
      <c r="H8027" s="142" t="s">
        <v>23877</v>
      </c>
      <c r="I8027" s="142">
        <v>50</v>
      </c>
      <c r="J8027" s="142">
        <v>40</v>
      </c>
      <c r="K8027" s="142">
        <v>0</v>
      </c>
      <c r="L8027" s="142">
        <v>0</v>
      </c>
      <c r="M8027" s="142">
        <v>10</v>
      </c>
    </row>
    <row r="8028" spans="1:13" x14ac:dyDescent="0.45">
      <c r="A8028" s="142" t="s">
        <v>13041</v>
      </c>
      <c r="B8028" s="142" t="s">
        <v>14441</v>
      </c>
      <c r="C8028" s="142" t="s">
        <v>15847</v>
      </c>
      <c r="D8028" s="142" t="s">
        <v>15848</v>
      </c>
      <c r="E8028" s="142" t="s">
        <v>15849</v>
      </c>
      <c r="F8028" s="142" t="s">
        <v>167</v>
      </c>
      <c r="G8028" s="142" t="s">
        <v>8820</v>
      </c>
      <c r="H8028" s="142" t="s">
        <v>23878</v>
      </c>
      <c r="I8028" s="142">
        <v>41</v>
      </c>
      <c r="J8028" s="142">
        <v>0</v>
      </c>
      <c r="K8028" s="142">
        <v>0</v>
      </c>
      <c r="L8028" s="142">
        <v>0</v>
      </c>
      <c r="M8028" s="142">
        <v>41</v>
      </c>
    </row>
    <row r="8029" spans="1:13" x14ac:dyDescent="0.45">
      <c r="A8029" s="142" t="s">
        <v>13257</v>
      </c>
      <c r="B8029" s="142" t="s">
        <v>15219</v>
      </c>
      <c r="C8029" s="142" t="s">
        <v>15860</v>
      </c>
      <c r="D8029" s="142" t="s">
        <v>15861</v>
      </c>
      <c r="E8029" s="142" t="s">
        <v>15849</v>
      </c>
      <c r="F8029" s="142" t="s">
        <v>167</v>
      </c>
      <c r="G8029" s="142" t="s">
        <v>8820</v>
      </c>
      <c r="H8029" s="142" t="s">
        <v>23879</v>
      </c>
      <c r="I8029" s="142">
        <v>5</v>
      </c>
      <c r="J8029" s="142">
        <v>0</v>
      </c>
      <c r="K8029" s="142">
        <v>0</v>
      </c>
      <c r="L8029" s="142">
        <v>5</v>
      </c>
      <c r="M8029" s="142">
        <v>0</v>
      </c>
    </row>
    <row r="8030" spans="1:13" x14ac:dyDescent="0.45">
      <c r="A8030" s="142" t="s">
        <v>13258</v>
      </c>
      <c r="B8030" s="142" t="s">
        <v>15379</v>
      </c>
      <c r="C8030" s="142" t="s">
        <v>15860</v>
      </c>
      <c r="D8030" s="142" t="s">
        <v>15861</v>
      </c>
      <c r="E8030" s="142" t="s">
        <v>15849</v>
      </c>
      <c r="F8030" s="142" t="s">
        <v>167</v>
      </c>
      <c r="G8030" s="142" t="s">
        <v>8820</v>
      </c>
      <c r="H8030" s="142" t="s">
        <v>23880</v>
      </c>
      <c r="I8030" s="142">
        <v>15</v>
      </c>
      <c r="J8030" s="142">
        <v>0</v>
      </c>
      <c r="K8030" s="142">
        <v>0</v>
      </c>
      <c r="L8030" s="142">
        <v>15</v>
      </c>
      <c r="M8030" s="142">
        <v>0</v>
      </c>
    </row>
    <row r="8031" spans="1:13" x14ac:dyDescent="0.45">
      <c r="A8031" s="142" t="s">
        <v>13012</v>
      </c>
      <c r="B8031" s="142" t="s">
        <v>15337</v>
      </c>
      <c r="C8031" s="142" t="s">
        <v>15847</v>
      </c>
      <c r="D8031" s="142" t="s">
        <v>15848</v>
      </c>
      <c r="E8031" s="142" t="s">
        <v>15849</v>
      </c>
      <c r="F8031" s="142" t="s">
        <v>167</v>
      </c>
      <c r="G8031" s="142" t="s">
        <v>8820</v>
      </c>
      <c r="H8031" s="142" t="s">
        <v>23881</v>
      </c>
      <c r="I8031" s="142">
        <v>550</v>
      </c>
      <c r="J8031" s="142">
        <v>402</v>
      </c>
      <c r="K8031" s="142">
        <v>0</v>
      </c>
      <c r="L8031" s="142">
        <v>0</v>
      </c>
      <c r="M8031" s="142">
        <v>148</v>
      </c>
    </row>
    <row r="8032" spans="1:13" x14ac:dyDescent="0.45">
      <c r="A8032" s="142" t="s">
        <v>13267</v>
      </c>
      <c r="B8032" s="142" t="s">
        <v>15451</v>
      </c>
      <c r="C8032" s="142" t="s">
        <v>15847</v>
      </c>
      <c r="D8032" s="142" t="s">
        <v>15848</v>
      </c>
      <c r="E8032" s="142" t="s">
        <v>15849</v>
      </c>
      <c r="F8032" s="142" t="s">
        <v>167</v>
      </c>
      <c r="G8032" s="142" t="s">
        <v>8820</v>
      </c>
      <c r="H8032" s="142" t="s">
        <v>23882</v>
      </c>
      <c r="I8032" s="142">
        <v>31</v>
      </c>
      <c r="J8032" s="142">
        <v>20</v>
      </c>
      <c r="K8032" s="142">
        <v>0</v>
      </c>
      <c r="L8032" s="142">
        <v>0</v>
      </c>
      <c r="M8032" s="142">
        <v>11</v>
      </c>
    </row>
    <row r="8033" spans="1:13" x14ac:dyDescent="0.45">
      <c r="A8033" s="142" t="s">
        <v>14057</v>
      </c>
      <c r="B8033" s="142" t="s">
        <v>15397</v>
      </c>
      <c r="C8033" s="142" t="s">
        <v>15860</v>
      </c>
      <c r="D8033" s="142" t="s">
        <v>15861</v>
      </c>
      <c r="E8033" s="142" t="s">
        <v>15849</v>
      </c>
      <c r="F8033" s="142" t="s">
        <v>167</v>
      </c>
      <c r="G8033" s="142" t="s">
        <v>8820</v>
      </c>
      <c r="H8033" s="142" t="s">
        <v>23883</v>
      </c>
      <c r="I8033" s="142">
        <v>390</v>
      </c>
      <c r="J8033" s="142">
        <v>390</v>
      </c>
      <c r="K8033" s="142">
        <v>0</v>
      </c>
      <c r="L8033" s="142">
        <v>0</v>
      </c>
      <c r="M8033" s="142">
        <v>0</v>
      </c>
    </row>
    <row r="8034" spans="1:13" x14ac:dyDescent="0.45">
      <c r="A8034" s="142" t="s">
        <v>14250</v>
      </c>
      <c r="B8034" s="142" t="s">
        <v>14862</v>
      </c>
      <c r="C8034" s="142" t="s">
        <v>15860</v>
      </c>
      <c r="D8034" s="142" t="s">
        <v>15861</v>
      </c>
      <c r="E8034" s="142" t="s">
        <v>15849</v>
      </c>
      <c r="F8034" s="142" t="s">
        <v>167</v>
      </c>
      <c r="G8034" s="142" t="s">
        <v>8820</v>
      </c>
      <c r="H8034" s="142" t="s">
        <v>23884</v>
      </c>
      <c r="I8034" s="142">
        <v>12</v>
      </c>
      <c r="J8034" s="142">
        <v>12</v>
      </c>
      <c r="K8034" s="142">
        <v>0</v>
      </c>
      <c r="L8034" s="142">
        <v>0</v>
      </c>
      <c r="M8034" s="142">
        <v>0</v>
      </c>
    </row>
    <row r="8035" spans="1:13" x14ac:dyDescent="0.45">
      <c r="A8035" s="142" t="s">
        <v>13021</v>
      </c>
      <c r="B8035" s="142" t="s">
        <v>15501</v>
      </c>
      <c r="C8035" s="142" t="s">
        <v>15847</v>
      </c>
      <c r="D8035" s="142" t="s">
        <v>15848</v>
      </c>
      <c r="E8035" s="142" t="s">
        <v>15849</v>
      </c>
      <c r="F8035" s="142" t="s">
        <v>168</v>
      </c>
      <c r="G8035" s="142" t="s">
        <v>4657</v>
      </c>
      <c r="H8035" s="142" t="s">
        <v>23885</v>
      </c>
      <c r="I8035" s="142">
        <v>8</v>
      </c>
      <c r="J8035" s="142">
        <v>0</v>
      </c>
      <c r="K8035" s="142">
        <v>0</v>
      </c>
      <c r="L8035" s="142">
        <v>4</v>
      </c>
      <c r="M8035" s="142">
        <v>4</v>
      </c>
    </row>
    <row r="8036" spans="1:13" x14ac:dyDescent="0.45">
      <c r="A8036" s="142" t="s">
        <v>13023</v>
      </c>
      <c r="B8036" s="142" t="s">
        <v>15571</v>
      </c>
      <c r="C8036" s="142" t="s">
        <v>15847</v>
      </c>
      <c r="D8036" s="142" t="s">
        <v>15848</v>
      </c>
      <c r="E8036" s="142" t="s">
        <v>15849</v>
      </c>
      <c r="F8036" s="142" t="s">
        <v>168</v>
      </c>
      <c r="G8036" s="142" t="s">
        <v>4657</v>
      </c>
      <c r="H8036" s="142" t="s">
        <v>23886</v>
      </c>
      <c r="I8036" s="142">
        <v>87</v>
      </c>
      <c r="J8036" s="142">
        <v>0</v>
      </c>
      <c r="K8036" s="142">
        <v>0</v>
      </c>
      <c r="L8036" s="142">
        <v>87</v>
      </c>
      <c r="M8036" s="142">
        <v>0</v>
      </c>
    </row>
    <row r="8037" spans="1:13" x14ac:dyDescent="0.45">
      <c r="A8037" s="142" t="s">
        <v>13048</v>
      </c>
      <c r="B8037" s="142" t="s">
        <v>14479</v>
      </c>
      <c r="C8037" s="142" t="s">
        <v>15847</v>
      </c>
      <c r="D8037" s="142" t="s">
        <v>15848</v>
      </c>
      <c r="E8037" s="142" t="s">
        <v>15849</v>
      </c>
      <c r="F8037" s="142" t="s">
        <v>168</v>
      </c>
      <c r="G8037" s="142" t="s">
        <v>4657</v>
      </c>
      <c r="H8037" s="142" t="s">
        <v>23887</v>
      </c>
      <c r="I8037" s="142">
        <v>69</v>
      </c>
      <c r="J8037" s="142">
        <v>39</v>
      </c>
      <c r="K8037" s="142">
        <v>0</v>
      </c>
      <c r="L8037" s="142">
        <v>0</v>
      </c>
      <c r="M8037" s="142">
        <v>30</v>
      </c>
    </row>
    <row r="8038" spans="1:13" x14ac:dyDescent="0.45">
      <c r="A8038" s="142" t="s">
        <v>13082</v>
      </c>
      <c r="B8038" s="142" t="s">
        <v>14478</v>
      </c>
      <c r="C8038" s="142" t="s">
        <v>15860</v>
      </c>
      <c r="D8038" s="142" t="s">
        <v>15861</v>
      </c>
      <c r="E8038" s="142" t="s">
        <v>15849</v>
      </c>
      <c r="F8038" s="142" t="s">
        <v>168</v>
      </c>
      <c r="G8038" s="142" t="s">
        <v>4657</v>
      </c>
      <c r="H8038" s="142" t="s">
        <v>23888</v>
      </c>
      <c r="I8038" s="142">
        <v>4</v>
      </c>
      <c r="J8038" s="142">
        <v>0</v>
      </c>
      <c r="K8038" s="142">
        <v>0</v>
      </c>
      <c r="L8038" s="142">
        <v>4</v>
      </c>
      <c r="M8038" s="142">
        <v>0</v>
      </c>
    </row>
    <row r="8039" spans="1:13" x14ac:dyDescent="0.45">
      <c r="A8039" s="142" t="s">
        <v>13114</v>
      </c>
      <c r="B8039" s="142" t="s">
        <v>15328</v>
      </c>
      <c r="C8039" s="142" t="s">
        <v>15860</v>
      </c>
      <c r="D8039" s="142" t="s">
        <v>15861</v>
      </c>
      <c r="E8039" s="142" t="s">
        <v>15849</v>
      </c>
      <c r="F8039" s="142" t="s">
        <v>168</v>
      </c>
      <c r="G8039" s="142" t="s">
        <v>4657</v>
      </c>
      <c r="H8039" s="142" t="s">
        <v>23889</v>
      </c>
      <c r="I8039" s="142">
        <v>37</v>
      </c>
      <c r="J8039" s="142">
        <v>23</v>
      </c>
      <c r="K8039" s="142">
        <v>0</v>
      </c>
      <c r="L8039" s="142">
        <v>14</v>
      </c>
      <c r="M8039" s="142">
        <v>0</v>
      </c>
    </row>
    <row r="8040" spans="1:13" x14ac:dyDescent="0.45">
      <c r="A8040" s="142" t="s">
        <v>13115</v>
      </c>
      <c r="B8040" s="142" t="s">
        <v>14508</v>
      </c>
      <c r="C8040" s="142" t="s">
        <v>15860</v>
      </c>
      <c r="D8040" s="142" t="s">
        <v>15861</v>
      </c>
      <c r="E8040" s="142" t="s">
        <v>15849</v>
      </c>
      <c r="F8040" s="142" t="s">
        <v>168</v>
      </c>
      <c r="G8040" s="142" t="s">
        <v>4657</v>
      </c>
      <c r="H8040" s="142" t="s">
        <v>23890</v>
      </c>
      <c r="I8040" s="142">
        <v>8</v>
      </c>
      <c r="J8040" s="142">
        <v>0</v>
      </c>
      <c r="K8040" s="142">
        <v>0</v>
      </c>
      <c r="L8040" s="142">
        <v>8</v>
      </c>
      <c r="M8040" s="142">
        <v>0</v>
      </c>
    </row>
    <row r="8041" spans="1:13" x14ac:dyDescent="0.45">
      <c r="A8041" s="142" t="s">
        <v>13235</v>
      </c>
      <c r="B8041" s="142" t="s">
        <v>14573</v>
      </c>
      <c r="C8041" s="142" t="s">
        <v>15847</v>
      </c>
      <c r="D8041" s="142" t="s">
        <v>15848</v>
      </c>
      <c r="E8041" s="142" t="s">
        <v>15849</v>
      </c>
      <c r="F8041" s="142" t="s">
        <v>168</v>
      </c>
      <c r="G8041" s="142" t="s">
        <v>4657</v>
      </c>
      <c r="H8041" s="142" t="s">
        <v>23891</v>
      </c>
      <c r="I8041" s="142">
        <v>335</v>
      </c>
      <c r="J8041" s="142">
        <v>256</v>
      </c>
      <c r="K8041" s="142">
        <v>0</v>
      </c>
      <c r="L8041" s="142">
        <v>7</v>
      </c>
      <c r="M8041" s="142">
        <v>72</v>
      </c>
    </row>
    <row r="8042" spans="1:13" x14ac:dyDescent="0.45">
      <c r="A8042" s="142" t="s">
        <v>13474</v>
      </c>
      <c r="B8042" s="142" t="s">
        <v>15438</v>
      </c>
      <c r="C8042" s="142" t="s">
        <v>15847</v>
      </c>
      <c r="D8042" s="142" t="s">
        <v>15848</v>
      </c>
      <c r="E8042" s="142" t="s">
        <v>15849</v>
      </c>
      <c r="F8042" s="142" t="s">
        <v>168</v>
      </c>
      <c r="G8042" s="142" t="s">
        <v>4657</v>
      </c>
      <c r="H8042" s="142" t="s">
        <v>23892</v>
      </c>
      <c r="I8042" s="142">
        <v>62</v>
      </c>
      <c r="J8042" s="142">
        <v>42</v>
      </c>
      <c r="K8042" s="142">
        <v>0</v>
      </c>
      <c r="L8042" s="142">
        <v>0</v>
      </c>
      <c r="M8042" s="142">
        <v>20</v>
      </c>
    </row>
    <row r="8043" spans="1:13" x14ac:dyDescent="0.45">
      <c r="A8043" s="142" t="s">
        <v>13119</v>
      </c>
      <c r="B8043" s="142" t="s">
        <v>14451</v>
      </c>
      <c r="C8043" s="142" t="s">
        <v>15860</v>
      </c>
      <c r="D8043" s="142" t="s">
        <v>15861</v>
      </c>
      <c r="E8043" s="142" t="s">
        <v>15849</v>
      </c>
      <c r="F8043" s="142" t="s">
        <v>168</v>
      </c>
      <c r="G8043" s="142" t="s">
        <v>4657</v>
      </c>
      <c r="H8043" s="142" t="s">
        <v>23893</v>
      </c>
      <c r="I8043" s="142">
        <v>7</v>
      </c>
      <c r="J8043" s="142">
        <v>0</v>
      </c>
      <c r="K8043" s="142">
        <v>0</v>
      </c>
      <c r="L8043" s="142">
        <v>7</v>
      </c>
      <c r="M8043" s="142">
        <v>0</v>
      </c>
    </row>
    <row r="8044" spans="1:13" x14ac:dyDescent="0.45">
      <c r="A8044" s="142" t="s">
        <v>13187</v>
      </c>
      <c r="B8044" s="142" t="s">
        <v>15518</v>
      </c>
      <c r="C8044" s="142" t="s">
        <v>15860</v>
      </c>
      <c r="D8044" s="142" t="s">
        <v>15861</v>
      </c>
      <c r="E8044" s="142" t="s">
        <v>15849</v>
      </c>
      <c r="F8044" s="142" t="s">
        <v>168</v>
      </c>
      <c r="G8044" s="142" t="s">
        <v>4657</v>
      </c>
      <c r="H8044" s="142" t="s">
        <v>23894</v>
      </c>
      <c r="I8044" s="142">
        <v>6</v>
      </c>
      <c r="J8044" s="142">
        <v>6</v>
      </c>
      <c r="K8044" s="142">
        <v>0</v>
      </c>
      <c r="L8044" s="142">
        <v>0</v>
      </c>
      <c r="M8044" s="142">
        <v>0</v>
      </c>
    </row>
    <row r="8045" spans="1:13" x14ac:dyDescent="0.45">
      <c r="A8045" s="142" t="s">
        <v>13074</v>
      </c>
      <c r="B8045" s="142" t="s">
        <v>15405</v>
      </c>
      <c r="C8045" s="142" t="s">
        <v>15847</v>
      </c>
      <c r="D8045" s="142" t="s">
        <v>15848</v>
      </c>
      <c r="E8045" s="142" t="s">
        <v>15849</v>
      </c>
      <c r="F8045" s="142" t="s">
        <v>168</v>
      </c>
      <c r="G8045" s="142" t="s">
        <v>4657</v>
      </c>
      <c r="H8045" s="142" t="s">
        <v>23895</v>
      </c>
      <c r="I8045" s="142">
        <v>41</v>
      </c>
      <c r="J8045" s="142">
        <v>39</v>
      </c>
      <c r="K8045" s="142">
        <v>0</v>
      </c>
      <c r="L8045" s="142">
        <v>0</v>
      </c>
      <c r="M8045" s="142">
        <v>2</v>
      </c>
    </row>
    <row r="8046" spans="1:13" x14ac:dyDescent="0.45">
      <c r="A8046" s="142" t="s">
        <v>13168</v>
      </c>
      <c r="B8046" s="142" t="s">
        <v>14486</v>
      </c>
      <c r="C8046" s="142" t="s">
        <v>15860</v>
      </c>
      <c r="D8046" s="142" t="s">
        <v>15861</v>
      </c>
      <c r="E8046" s="142" t="s">
        <v>15849</v>
      </c>
      <c r="F8046" s="142" t="s">
        <v>168</v>
      </c>
      <c r="G8046" s="142" t="s">
        <v>4657</v>
      </c>
      <c r="H8046" s="142" t="s">
        <v>23896</v>
      </c>
      <c r="I8046" s="142">
        <v>1</v>
      </c>
      <c r="J8046" s="142">
        <v>0</v>
      </c>
      <c r="K8046" s="142">
        <v>0</v>
      </c>
      <c r="L8046" s="142">
        <v>1</v>
      </c>
      <c r="M8046" s="142">
        <v>0</v>
      </c>
    </row>
    <row r="8047" spans="1:13" x14ac:dyDescent="0.45">
      <c r="A8047" s="142" t="s">
        <v>14252</v>
      </c>
      <c r="B8047" s="142" t="s">
        <v>14722</v>
      </c>
      <c r="C8047" s="142" t="s">
        <v>15860</v>
      </c>
      <c r="D8047" s="142" t="s">
        <v>15861</v>
      </c>
      <c r="E8047" s="142" t="s">
        <v>15849</v>
      </c>
      <c r="F8047" s="142" t="s">
        <v>168</v>
      </c>
      <c r="G8047" s="142" t="s">
        <v>4657</v>
      </c>
      <c r="H8047" s="142" t="s">
        <v>23897</v>
      </c>
      <c r="I8047" s="142">
        <v>2</v>
      </c>
      <c r="J8047" s="142">
        <v>2</v>
      </c>
      <c r="K8047" s="142">
        <v>0</v>
      </c>
      <c r="L8047" s="142">
        <v>0</v>
      </c>
      <c r="M8047" s="142">
        <v>0</v>
      </c>
    </row>
    <row r="8048" spans="1:13" x14ac:dyDescent="0.45">
      <c r="A8048" s="142" t="s">
        <v>13475</v>
      </c>
      <c r="B8048" s="142" t="s">
        <v>14430</v>
      </c>
      <c r="C8048" s="142" t="s">
        <v>15847</v>
      </c>
      <c r="D8048" s="142" t="s">
        <v>15848</v>
      </c>
      <c r="E8048" s="142" t="s">
        <v>15849</v>
      </c>
      <c r="F8048" s="142" t="s">
        <v>168</v>
      </c>
      <c r="G8048" s="142" t="s">
        <v>4657</v>
      </c>
      <c r="H8048" s="142" t="s">
        <v>23898</v>
      </c>
      <c r="I8048" s="142">
        <v>70</v>
      </c>
      <c r="J8048" s="142">
        <v>46</v>
      </c>
      <c r="K8048" s="142">
        <v>0</v>
      </c>
      <c r="L8048" s="142">
        <v>5</v>
      </c>
      <c r="M8048" s="142">
        <v>19</v>
      </c>
    </row>
    <row r="8049" spans="1:13" x14ac:dyDescent="0.45">
      <c r="A8049" s="142" t="s">
        <v>13243</v>
      </c>
      <c r="B8049" s="142" t="s">
        <v>15560</v>
      </c>
      <c r="C8049" s="142" t="s">
        <v>15847</v>
      </c>
      <c r="D8049" s="142" t="s">
        <v>15848</v>
      </c>
      <c r="E8049" s="142" t="s">
        <v>15849</v>
      </c>
      <c r="F8049" s="142" t="s">
        <v>168</v>
      </c>
      <c r="G8049" s="142" t="s">
        <v>4657</v>
      </c>
      <c r="H8049" s="142" t="s">
        <v>23899</v>
      </c>
      <c r="I8049" s="142">
        <v>227</v>
      </c>
      <c r="J8049" s="142">
        <v>146</v>
      </c>
      <c r="K8049" s="142">
        <v>0</v>
      </c>
      <c r="L8049" s="142">
        <v>17</v>
      </c>
      <c r="M8049" s="142">
        <v>64</v>
      </c>
    </row>
    <row r="8050" spans="1:13" x14ac:dyDescent="0.45">
      <c r="A8050" s="142" t="s">
        <v>13028</v>
      </c>
      <c r="B8050" s="142" t="s">
        <v>14462</v>
      </c>
      <c r="C8050" s="142" t="s">
        <v>15847</v>
      </c>
      <c r="D8050" s="142" t="s">
        <v>15848</v>
      </c>
      <c r="E8050" s="142" t="s">
        <v>15849</v>
      </c>
      <c r="F8050" s="142" t="s">
        <v>168</v>
      </c>
      <c r="G8050" s="142" t="s">
        <v>4657</v>
      </c>
      <c r="H8050" s="142" t="s">
        <v>23900</v>
      </c>
      <c r="I8050" s="142">
        <v>111</v>
      </c>
      <c r="J8050" s="142">
        <v>0</v>
      </c>
      <c r="K8050" s="142">
        <v>0</v>
      </c>
      <c r="L8050" s="142">
        <v>0</v>
      </c>
      <c r="M8050" s="142">
        <v>111</v>
      </c>
    </row>
    <row r="8051" spans="1:13" x14ac:dyDescent="0.45">
      <c r="A8051" s="142" t="s">
        <v>13160</v>
      </c>
      <c r="B8051" s="142" t="s">
        <v>14525</v>
      </c>
      <c r="C8051" s="142" t="s">
        <v>15847</v>
      </c>
      <c r="D8051" s="142" t="s">
        <v>15848</v>
      </c>
      <c r="E8051" s="142" t="s">
        <v>15849</v>
      </c>
      <c r="F8051" s="142" t="s">
        <v>168</v>
      </c>
      <c r="G8051" s="142" t="s">
        <v>4657</v>
      </c>
      <c r="H8051" s="142" t="s">
        <v>23901</v>
      </c>
      <c r="I8051" s="142">
        <v>13</v>
      </c>
      <c r="J8051" s="142">
        <v>0</v>
      </c>
      <c r="K8051" s="142">
        <v>0</v>
      </c>
      <c r="L8051" s="142">
        <v>13</v>
      </c>
      <c r="M8051" s="142">
        <v>0</v>
      </c>
    </row>
    <row r="8052" spans="1:13" x14ac:dyDescent="0.45">
      <c r="A8052" s="142" t="s">
        <v>13002</v>
      </c>
      <c r="B8052" s="142" t="s">
        <v>15376</v>
      </c>
      <c r="C8052" s="142" t="s">
        <v>15847</v>
      </c>
      <c r="D8052" s="142" t="s">
        <v>15848</v>
      </c>
      <c r="E8052" s="142" t="s">
        <v>15849</v>
      </c>
      <c r="F8052" s="142" t="s">
        <v>168</v>
      </c>
      <c r="G8052" s="142" t="s">
        <v>4657</v>
      </c>
      <c r="H8052" s="142" t="s">
        <v>23902</v>
      </c>
      <c r="I8052" s="142">
        <v>9</v>
      </c>
      <c r="J8052" s="142">
        <v>0</v>
      </c>
      <c r="K8052" s="142">
        <v>0</v>
      </c>
      <c r="L8052" s="142">
        <v>9</v>
      </c>
      <c r="M8052" s="142">
        <v>0</v>
      </c>
    </row>
    <row r="8053" spans="1:13" x14ac:dyDescent="0.45">
      <c r="A8053" s="142" t="s">
        <v>13003</v>
      </c>
      <c r="B8053" s="142" t="s">
        <v>15245</v>
      </c>
      <c r="C8053" s="142" t="s">
        <v>15847</v>
      </c>
      <c r="D8053" s="142" t="s">
        <v>15848</v>
      </c>
      <c r="E8053" s="142" t="s">
        <v>15849</v>
      </c>
      <c r="F8053" s="142" t="s">
        <v>168</v>
      </c>
      <c r="G8053" s="142" t="s">
        <v>4657</v>
      </c>
      <c r="H8053" s="142" t="s">
        <v>23903</v>
      </c>
      <c r="I8053" s="142">
        <v>33</v>
      </c>
      <c r="J8053" s="142">
        <v>0</v>
      </c>
      <c r="K8053" s="142">
        <v>0</v>
      </c>
      <c r="L8053" s="142">
        <v>33</v>
      </c>
      <c r="M8053" s="142">
        <v>0</v>
      </c>
    </row>
    <row r="8054" spans="1:13" x14ac:dyDescent="0.45">
      <c r="A8054" s="142" t="s">
        <v>13190</v>
      </c>
      <c r="B8054" s="142" t="s">
        <v>14617</v>
      </c>
      <c r="C8054" s="142" t="s">
        <v>15847</v>
      </c>
      <c r="D8054" s="142" t="s">
        <v>15848</v>
      </c>
      <c r="E8054" s="142" t="s">
        <v>15849</v>
      </c>
      <c r="F8054" s="142" t="s">
        <v>168</v>
      </c>
      <c r="G8054" s="142" t="s">
        <v>4657</v>
      </c>
      <c r="H8054" s="142" t="s">
        <v>23904</v>
      </c>
      <c r="I8054" s="142">
        <v>101</v>
      </c>
      <c r="J8054" s="142">
        <v>70</v>
      </c>
      <c r="K8054" s="142">
        <v>0</v>
      </c>
      <c r="L8054" s="142">
        <v>13</v>
      </c>
      <c r="M8054" s="142">
        <v>18</v>
      </c>
    </row>
    <row r="8055" spans="1:13" x14ac:dyDescent="0.45">
      <c r="A8055" s="142" t="s">
        <v>13191</v>
      </c>
      <c r="B8055" s="142" t="s">
        <v>15467</v>
      </c>
      <c r="C8055" s="142" t="s">
        <v>15847</v>
      </c>
      <c r="D8055" s="142" t="s">
        <v>15848</v>
      </c>
      <c r="E8055" s="142" t="s">
        <v>15849</v>
      </c>
      <c r="F8055" s="142" t="s">
        <v>168</v>
      </c>
      <c r="G8055" s="142" t="s">
        <v>4657</v>
      </c>
      <c r="H8055" s="142" t="s">
        <v>23905</v>
      </c>
      <c r="I8055" s="142">
        <v>102</v>
      </c>
      <c r="J8055" s="142">
        <v>67</v>
      </c>
      <c r="K8055" s="142">
        <v>0</v>
      </c>
      <c r="L8055" s="142">
        <v>0</v>
      </c>
      <c r="M8055" s="142">
        <v>35</v>
      </c>
    </row>
    <row r="8056" spans="1:13" x14ac:dyDescent="0.45">
      <c r="A8056" s="142" t="s">
        <v>13033</v>
      </c>
      <c r="B8056" s="142" t="s">
        <v>15276</v>
      </c>
      <c r="C8056" s="142" t="s">
        <v>15847</v>
      </c>
      <c r="D8056" s="142" t="s">
        <v>15848</v>
      </c>
      <c r="E8056" s="142" t="s">
        <v>15849</v>
      </c>
      <c r="F8056" s="142" t="s">
        <v>168</v>
      </c>
      <c r="G8056" s="142" t="s">
        <v>4657</v>
      </c>
      <c r="H8056" s="142" t="s">
        <v>23906</v>
      </c>
      <c r="I8056" s="142">
        <v>13</v>
      </c>
      <c r="J8056" s="142">
        <v>7</v>
      </c>
      <c r="K8056" s="142">
        <v>0</v>
      </c>
      <c r="L8056" s="142">
        <v>0</v>
      </c>
      <c r="M8056" s="142">
        <v>6</v>
      </c>
    </row>
    <row r="8057" spans="1:13" x14ac:dyDescent="0.45">
      <c r="A8057" s="142" t="s">
        <v>13034</v>
      </c>
      <c r="B8057" s="142" t="s">
        <v>15562</v>
      </c>
      <c r="C8057" s="142" t="s">
        <v>15847</v>
      </c>
      <c r="D8057" s="142" t="s">
        <v>15848</v>
      </c>
      <c r="E8057" s="142" t="s">
        <v>15849</v>
      </c>
      <c r="F8057" s="142" t="s">
        <v>168</v>
      </c>
      <c r="G8057" s="142" t="s">
        <v>4657</v>
      </c>
      <c r="H8057" s="142" t="s">
        <v>23907</v>
      </c>
      <c r="I8057" s="142">
        <v>8</v>
      </c>
      <c r="J8057" s="142">
        <v>8</v>
      </c>
      <c r="K8057" s="142">
        <v>0</v>
      </c>
      <c r="L8057" s="142">
        <v>0</v>
      </c>
      <c r="M8057" s="142">
        <v>0</v>
      </c>
    </row>
    <row r="8058" spans="1:13" x14ac:dyDescent="0.45">
      <c r="A8058" s="142" t="s">
        <v>13035</v>
      </c>
      <c r="B8058" s="142" t="s">
        <v>14648</v>
      </c>
      <c r="C8058" s="142" t="s">
        <v>15847</v>
      </c>
      <c r="D8058" s="142" t="s">
        <v>15848</v>
      </c>
      <c r="E8058" s="142" t="s">
        <v>15849</v>
      </c>
      <c r="F8058" s="142" t="s">
        <v>168</v>
      </c>
      <c r="G8058" s="142" t="s">
        <v>4657</v>
      </c>
      <c r="H8058" s="142" t="s">
        <v>23908</v>
      </c>
      <c r="I8058" s="142">
        <v>166</v>
      </c>
      <c r="J8058" s="142">
        <v>62</v>
      </c>
      <c r="K8058" s="142">
        <v>0</v>
      </c>
      <c r="L8058" s="142">
        <v>0</v>
      </c>
      <c r="M8058" s="142">
        <v>104</v>
      </c>
    </row>
    <row r="8059" spans="1:13" x14ac:dyDescent="0.45">
      <c r="A8059" s="142" t="s">
        <v>13394</v>
      </c>
      <c r="B8059" s="142" t="s">
        <v>15569</v>
      </c>
      <c r="C8059" s="142" t="s">
        <v>15847</v>
      </c>
      <c r="D8059" s="142" t="s">
        <v>15848</v>
      </c>
      <c r="E8059" s="142" t="s">
        <v>15849</v>
      </c>
      <c r="F8059" s="142" t="s">
        <v>168</v>
      </c>
      <c r="G8059" s="142" t="s">
        <v>4657</v>
      </c>
      <c r="H8059" s="142" t="s">
        <v>23909</v>
      </c>
      <c r="I8059" s="142">
        <v>51</v>
      </c>
      <c r="J8059" s="142">
        <v>44</v>
      </c>
      <c r="K8059" s="142">
        <v>4</v>
      </c>
      <c r="L8059" s="142">
        <v>3</v>
      </c>
      <c r="M8059" s="142">
        <v>0</v>
      </c>
    </row>
    <row r="8060" spans="1:13" x14ac:dyDescent="0.45">
      <c r="A8060" s="142" t="s">
        <v>13038</v>
      </c>
      <c r="B8060" s="142" t="s">
        <v>14646</v>
      </c>
      <c r="C8060" s="142" t="s">
        <v>15847</v>
      </c>
      <c r="D8060" s="142" t="s">
        <v>15848</v>
      </c>
      <c r="E8060" s="142" t="s">
        <v>15849</v>
      </c>
      <c r="F8060" s="142" t="s">
        <v>168</v>
      </c>
      <c r="G8060" s="142" t="s">
        <v>4657</v>
      </c>
      <c r="H8060" s="142" t="s">
        <v>23910</v>
      </c>
      <c r="I8060" s="142">
        <v>63</v>
      </c>
      <c r="J8060" s="142">
        <v>6</v>
      </c>
      <c r="K8060" s="142">
        <v>0</v>
      </c>
      <c r="L8060" s="142">
        <v>0</v>
      </c>
      <c r="M8060" s="142">
        <v>57</v>
      </c>
    </row>
    <row r="8061" spans="1:13" x14ac:dyDescent="0.45">
      <c r="A8061" s="142" t="s">
        <v>13039</v>
      </c>
      <c r="B8061" s="142" t="s">
        <v>14647</v>
      </c>
      <c r="C8061" s="142" t="s">
        <v>15847</v>
      </c>
      <c r="D8061" s="142" t="s">
        <v>15848</v>
      </c>
      <c r="E8061" s="142" t="s">
        <v>15849</v>
      </c>
      <c r="F8061" s="142" t="s">
        <v>168</v>
      </c>
      <c r="G8061" s="142" t="s">
        <v>4657</v>
      </c>
      <c r="H8061" s="142" t="s">
        <v>23911</v>
      </c>
      <c r="I8061" s="142">
        <v>6</v>
      </c>
      <c r="J8061" s="142">
        <v>6</v>
      </c>
      <c r="K8061" s="142">
        <v>0</v>
      </c>
      <c r="L8061" s="142">
        <v>0</v>
      </c>
      <c r="M8061" s="142">
        <v>0</v>
      </c>
    </row>
    <row r="8062" spans="1:13" x14ac:dyDescent="0.45">
      <c r="A8062" s="142" t="s">
        <v>13078</v>
      </c>
      <c r="B8062" s="142" t="s">
        <v>15540</v>
      </c>
      <c r="C8062" s="142" t="s">
        <v>15847</v>
      </c>
      <c r="D8062" s="142" t="s">
        <v>15848</v>
      </c>
      <c r="E8062" s="142" t="s">
        <v>15849</v>
      </c>
      <c r="F8062" s="142" t="s">
        <v>168</v>
      </c>
      <c r="G8062" s="142" t="s">
        <v>4657</v>
      </c>
      <c r="H8062" s="142" t="s">
        <v>23912</v>
      </c>
      <c r="I8062" s="142">
        <v>46</v>
      </c>
      <c r="J8062" s="142">
        <v>46</v>
      </c>
      <c r="K8062" s="142">
        <v>0</v>
      </c>
      <c r="L8062" s="142">
        <v>0</v>
      </c>
      <c r="M8062" s="142">
        <v>0</v>
      </c>
    </row>
    <row r="8063" spans="1:13" x14ac:dyDescent="0.45">
      <c r="A8063" s="142" t="s">
        <v>13091</v>
      </c>
      <c r="B8063" s="142" t="s">
        <v>14473</v>
      </c>
      <c r="C8063" s="142" t="s">
        <v>15847</v>
      </c>
      <c r="D8063" s="142" t="s">
        <v>15848</v>
      </c>
      <c r="E8063" s="142" t="s">
        <v>15849</v>
      </c>
      <c r="F8063" s="142" t="s">
        <v>168</v>
      </c>
      <c r="G8063" s="142" t="s">
        <v>4657</v>
      </c>
      <c r="H8063" s="142" t="s">
        <v>23913</v>
      </c>
      <c r="I8063" s="142">
        <v>59</v>
      </c>
      <c r="J8063" s="142">
        <v>35</v>
      </c>
      <c r="K8063" s="142">
        <v>0</v>
      </c>
      <c r="L8063" s="142">
        <v>0</v>
      </c>
      <c r="M8063" s="142">
        <v>24</v>
      </c>
    </row>
    <row r="8064" spans="1:13" x14ac:dyDescent="0.45">
      <c r="A8064" s="142" t="s">
        <v>13009</v>
      </c>
      <c r="B8064" s="142" t="s">
        <v>15256</v>
      </c>
      <c r="C8064" s="142" t="s">
        <v>15847</v>
      </c>
      <c r="D8064" s="142" t="s">
        <v>15848</v>
      </c>
      <c r="E8064" s="142" t="s">
        <v>15849</v>
      </c>
      <c r="F8064" s="142" t="s">
        <v>168</v>
      </c>
      <c r="G8064" s="142" t="s">
        <v>4657</v>
      </c>
      <c r="H8064" s="142" t="s">
        <v>23914</v>
      </c>
      <c r="I8064" s="142">
        <v>313</v>
      </c>
      <c r="J8064" s="142">
        <v>268</v>
      </c>
      <c r="K8064" s="142">
        <v>0</v>
      </c>
      <c r="L8064" s="142">
        <v>24</v>
      </c>
      <c r="M8064" s="142">
        <v>21</v>
      </c>
    </row>
    <row r="8065" spans="1:13" x14ac:dyDescent="0.45">
      <c r="A8065" s="142" t="s">
        <v>13058</v>
      </c>
      <c r="B8065" s="142" t="s">
        <v>14584</v>
      </c>
      <c r="C8065" s="142" t="s">
        <v>15847</v>
      </c>
      <c r="D8065" s="142" t="s">
        <v>15848</v>
      </c>
      <c r="E8065" s="142" t="s">
        <v>15849</v>
      </c>
      <c r="F8065" s="142" t="s">
        <v>168</v>
      </c>
      <c r="G8065" s="142" t="s">
        <v>4657</v>
      </c>
      <c r="H8065" s="142" t="s">
        <v>23915</v>
      </c>
      <c r="I8065" s="142">
        <v>586</v>
      </c>
      <c r="J8065" s="142">
        <v>355</v>
      </c>
      <c r="K8065" s="142">
        <v>0</v>
      </c>
      <c r="L8065" s="142">
        <v>0</v>
      </c>
      <c r="M8065" s="142">
        <v>231</v>
      </c>
    </row>
    <row r="8066" spans="1:13" x14ac:dyDescent="0.45">
      <c r="A8066" s="142" t="s">
        <v>13041</v>
      </c>
      <c r="B8066" s="142" t="s">
        <v>14441</v>
      </c>
      <c r="C8066" s="142" t="s">
        <v>15847</v>
      </c>
      <c r="D8066" s="142" t="s">
        <v>15848</v>
      </c>
      <c r="E8066" s="142" t="s">
        <v>15849</v>
      </c>
      <c r="F8066" s="142" t="s">
        <v>168</v>
      </c>
      <c r="G8066" s="142" t="s">
        <v>4657</v>
      </c>
      <c r="H8066" s="142" t="s">
        <v>23916</v>
      </c>
      <c r="I8066" s="142">
        <v>26</v>
      </c>
      <c r="J8066" s="142">
        <v>0</v>
      </c>
      <c r="K8066" s="142">
        <v>0</v>
      </c>
      <c r="L8066" s="142">
        <v>0</v>
      </c>
      <c r="M8066" s="142">
        <v>26</v>
      </c>
    </row>
    <row r="8067" spans="1:13" x14ac:dyDescent="0.45">
      <c r="A8067" s="142" t="s">
        <v>13012</v>
      </c>
      <c r="B8067" s="142" t="s">
        <v>15337</v>
      </c>
      <c r="C8067" s="142" t="s">
        <v>15847</v>
      </c>
      <c r="D8067" s="142" t="s">
        <v>15848</v>
      </c>
      <c r="E8067" s="142" t="s">
        <v>15849</v>
      </c>
      <c r="F8067" s="142" t="s">
        <v>168</v>
      </c>
      <c r="G8067" s="142" t="s">
        <v>4657</v>
      </c>
      <c r="H8067" s="142" t="s">
        <v>23917</v>
      </c>
      <c r="I8067" s="142">
        <v>112</v>
      </c>
      <c r="J8067" s="142">
        <v>93</v>
      </c>
      <c r="K8067" s="142">
        <v>0</v>
      </c>
      <c r="L8067" s="142">
        <v>0</v>
      </c>
      <c r="M8067" s="142">
        <v>19</v>
      </c>
    </row>
    <row r="8068" spans="1:13" x14ac:dyDescent="0.45">
      <c r="A8068" s="142" t="s">
        <v>13491</v>
      </c>
      <c r="B8068" s="142" t="s">
        <v>14520</v>
      </c>
      <c r="C8068" s="142" t="s">
        <v>15860</v>
      </c>
      <c r="D8068" s="142" t="s">
        <v>15861</v>
      </c>
      <c r="E8068" s="142" t="s">
        <v>15849</v>
      </c>
      <c r="F8068" s="142" t="s">
        <v>168</v>
      </c>
      <c r="G8068" s="142" t="s">
        <v>4657</v>
      </c>
      <c r="H8068" s="142" t="s">
        <v>23918</v>
      </c>
      <c r="I8068" s="142">
        <v>6</v>
      </c>
      <c r="J8068" s="142">
        <v>0</v>
      </c>
      <c r="K8068" s="142">
        <v>0</v>
      </c>
      <c r="L8068" s="142">
        <v>6</v>
      </c>
      <c r="M8068" s="142">
        <v>0</v>
      </c>
    </row>
    <row r="8069" spans="1:13" x14ac:dyDescent="0.45">
      <c r="A8069" s="142" t="s">
        <v>13014</v>
      </c>
      <c r="B8069" s="142" t="s">
        <v>14505</v>
      </c>
      <c r="C8069" s="142" t="s">
        <v>15847</v>
      </c>
      <c r="D8069" s="142" t="s">
        <v>15848</v>
      </c>
      <c r="E8069" s="142" t="s">
        <v>15849</v>
      </c>
      <c r="F8069" s="142" t="s">
        <v>168</v>
      </c>
      <c r="G8069" s="142" t="s">
        <v>4657</v>
      </c>
      <c r="H8069" s="142" t="s">
        <v>23919</v>
      </c>
      <c r="I8069" s="142">
        <v>303</v>
      </c>
      <c r="J8069" s="142">
        <v>233</v>
      </c>
      <c r="K8069" s="142">
        <v>0</v>
      </c>
      <c r="L8069" s="142">
        <v>0</v>
      </c>
      <c r="M8069" s="142">
        <v>70</v>
      </c>
    </row>
    <row r="8070" spans="1:13" x14ac:dyDescent="0.45">
      <c r="A8070" s="142" t="s">
        <v>14253</v>
      </c>
      <c r="B8070" s="142" t="s">
        <v>14720</v>
      </c>
      <c r="C8070" s="142" t="s">
        <v>15860</v>
      </c>
      <c r="D8070" s="142" t="s">
        <v>15861</v>
      </c>
      <c r="E8070" s="142" t="s">
        <v>15849</v>
      </c>
      <c r="F8070" s="142" t="s">
        <v>168</v>
      </c>
      <c r="G8070" s="142" t="s">
        <v>4657</v>
      </c>
      <c r="H8070" s="142" t="s">
        <v>23920</v>
      </c>
      <c r="I8070" s="142">
        <v>7</v>
      </c>
      <c r="J8070" s="142">
        <v>7</v>
      </c>
      <c r="K8070" s="142">
        <v>0</v>
      </c>
      <c r="L8070" s="142">
        <v>0</v>
      </c>
      <c r="M8070" s="142">
        <v>0</v>
      </c>
    </row>
    <row r="8071" spans="1:13" x14ac:dyDescent="0.45">
      <c r="A8071" s="142" t="s">
        <v>13042</v>
      </c>
      <c r="B8071" s="142" t="s">
        <v>15489</v>
      </c>
      <c r="C8071" s="142" t="s">
        <v>15847</v>
      </c>
      <c r="D8071" s="142" t="s">
        <v>15848</v>
      </c>
      <c r="E8071" s="142" t="s">
        <v>15849</v>
      </c>
      <c r="F8071" s="142" t="s">
        <v>168</v>
      </c>
      <c r="G8071" s="142" t="s">
        <v>4657</v>
      </c>
      <c r="H8071" s="142" t="s">
        <v>23921</v>
      </c>
      <c r="I8071" s="142">
        <v>18</v>
      </c>
      <c r="J8071" s="142">
        <v>7</v>
      </c>
      <c r="K8071" s="142">
        <v>0</v>
      </c>
      <c r="L8071" s="142">
        <v>11</v>
      </c>
      <c r="M8071" s="142">
        <v>0</v>
      </c>
    </row>
    <row r="8072" spans="1:13" x14ac:dyDescent="0.45">
      <c r="A8072" s="142" t="s">
        <v>13222</v>
      </c>
      <c r="B8072" s="142" t="s">
        <v>14449</v>
      </c>
      <c r="C8072" s="142" t="s">
        <v>15860</v>
      </c>
      <c r="D8072" s="142" t="s">
        <v>15861</v>
      </c>
      <c r="E8072" s="142" t="s">
        <v>15849</v>
      </c>
      <c r="F8072" s="142" t="s">
        <v>168</v>
      </c>
      <c r="G8072" s="142" t="s">
        <v>4657</v>
      </c>
      <c r="H8072" s="142" t="s">
        <v>23922</v>
      </c>
      <c r="I8072" s="142">
        <v>14</v>
      </c>
      <c r="J8072" s="142">
        <v>0</v>
      </c>
      <c r="K8072" s="142">
        <v>0</v>
      </c>
      <c r="L8072" s="142">
        <v>14</v>
      </c>
      <c r="M8072" s="142">
        <v>0</v>
      </c>
    </row>
    <row r="8073" spans="1:13" x14ac:dyDescent="0.45">
      <c r="A8073" s="142" t="s">
        <v>13544</v>
      </c>
      <c r="B8073" s="142" t="s">
        <v>15450</v>
      </c>
      <c r="C8073" s="142" t="s">
        <v>15847</v>
      </c>
      <c r="D8073" s="142" t="s">
        <v>15848</v>
      </c>
      <c r="E8073" s="142" t="s">
        <v>15849</v>
      </c>
      <c r="F8073" s="142" t="s">
        <v>168</v>
      </c>
      <c r="G8073" s="142" t="s">
        <v>4657</v>
      </c>
      <c r="H8073" s="142" t="s">
        <v>23923</v>
      </c>
      <c r="I8073" s="142">
        <v>80</v>
      </c>
      <c r="J8073" s="142">
        <v>54</v>
      </c>
      <c r="K8073" s="142">
        <v>0</v>
      </c>
      <c r="L8073" s="142">
        <v>0</v>
      </c>
      <c r="M8073" s="142">
        <v>26</v>
      </c>
    </row>
    <row r="8074" spans="1:13" x14ac:dyDescent="0.45">
      <c r="A8074" s="142" t="s">
        <v>13016</v>
      </c>
      <c r="B8074" s="142" t="s">
        <v>14535</v>
      </c>
      <c r="C8074" s="142" t="s">
        <v>15860</v>
      </c>
      <c r="D8074" s="142" t="s">
        <v>15861</v>
      </c>
      <c r="E8074" s="142" t="s">
        <v>15849</v>
      </c>
      <c r="F8074" s="142" t="s">
        <v>168</v>
      </c>
      <c r="G8074" s="142" t="s">
        <v>4657</v>
      </c>
      <c r="H8074" s="142" t="s">
        <v>23924</v>
      </c>
      <c r="I8074" s="142">
        <v>3</v>
      </c>
      <c r="J8074" s="142">
        <v>0</v>
      </c>
      <c r="K8074" s="142">
        <v>0</v>
      </c>
      <c r="L8074" s="142">
        <v>3</v>
      </c>
      <c r="M8074" s="142">
        <v>0</v>
      </c>
    </row>
    <row r="8075" spans="1:13" x14ac:dyDescent="0.45">
      <c r="A8075" s="142" t="s">
        <v>13072</v>
      </c>
      <c r="B8075" s="142" t="s">
        <v>15530</v>
      </c>
      <c r="C8075" s="142" t="s">
        <v>15847</v>
      </c>
      <c r="D8075" s="142" t="s">
        <v>15848</v>
      </c>
      <c r="E8075" s="142" t="s">
        <v>15849</v>
      </c>
      <c r="F8075" s="142" t="s">
        <v>169</v>
      </c>
      <c r="G8075" s="142" t="s">
        <v>10602</v>
      </c>
      <c r="H8075" s="142" t="s">
        <v>23925</v>
      </c>
      <c r="I8075" s="142">
        <v>90</v>
      </c>
      <c r="J8075" s="142">
        <v>90</v>
      </c>
      <c r="K8075" s="142">
        <v>0</v>
      </c>
      <c r="L8075" s="142">
        <v>0</v>
      </c>
      <c r="M8075" s="142">
        <v>0</v>
      </c>
    </row>
    <row r="8076" spans="1:13" x14ac:dyDescent="0.45">
      <c r="A8076" s="142" t="s">
        <v>14255</v>
      </c>
      <c r="B8076" s="142" t="s">
        <v>14774</v>
      </c>
      <c r="C8076" s="142" t="s">
        <v>15860</v>
      </c>
      <c r="D8076" s="142" t="s">
        <v>15861</v>
      </c>
      <c r="E8076" s="142" t="s">
        <v>15849</v>
      </c>
      <c r="F8076" s="142" t="s">
        <v>169</v>
      </c>
      <c r="G8076" s="142" t="s">
        <v>10602</v>
      </c>
      <c r="H8076" s="142" t="s">
        <v>23926</v>
      </c>
      <c r="I8076" s="142">
        <v>31</v>
      </c>
      <c r="J8076" s="142">
        <v>31</v>
      </c>
      <c r="K8076" s="142">
        <v>0</v>
      </c>
      <c r="L8076" s="142">
        <v>0</v>
      </c>
      <c r="M8076" s="142">
        <v>0</v>
      </c>
    </row>
    <row r="8077" spans="1:13" x14ac:dyDescent="0.45">
      <c r="A8077" s="142" t="s">
        <v>13023</v>
      </c>
      <c r="B8077" s="142" t="s">
        <v>15571</v>
      </c>
      <c r="C8077" s="142" t="s">
        <v>15847</v>
      </c>
      <c r="D8077" s="142" t="s">
        <v>15848</v>
      </c>
      <c r="E8077" s="142" t="s">
        <v>15849</v>
      </c>
      <c r="F8077" s="142" t="s">
        <v>169</v>
      </c>
      <c r="G8077" s="142" t="s">
        <v>10602</v>
      </c>
      <c r="H8077" s="142" t="s">
        <v>23927</v>
      </c>
      <c r="I8077" s="142">
        <v>524</v>
      </c>
      <c r="J8077" s="142">
        <v>0</v>
      </c>
      <c r="K8077" s="142">
        <v>0</v>
      </c>
      <c r="L8077" s="142">
        <v>524</v>
      </c>
      <c r="M8077" s="142">
        <v>0</v>
      </c>
    </row>
    <row r="8078" spans="1:13" x14ac:dyDescent="0.45">
      <c r="A8078" s="142" t="s">
        <v>14256</v>
      </c>
      <c r="B8078" s="142" t="s">
        <v>15035</v>
      </c>
      <c r="C8078" s="142" t="s">
        <v>15860</v>
      </c>
      <c r="D8078" s="142" t="s">
        <v>15861</v>
      </c>
      <c r="E8078" s="142" t="s">
        <v>15849</v>
      </c>
      <c r="F8078" s="142" t="s">
        <v>169</v>
      </c>
      <c r="G8078" s="142" t="s">
        <v>10602</v>
      </c>
      <c r="H8078" s="142" t="s">
        <v>23928</v>
      </c>
      <c r="I8078" s="142">
        <v>31</v>
      </c>
      <c r="J8078" s="142">
        <v>31</v>
      </c>
      <c r="K8078" s="142">
        <v>0</v>
      </c>
      <c r="L8078" s="142">
        <v>0</v>
      </c>
      <c r="M8078" s="142">
        <v>0</v>
      </c>
    </row>
    <row r="8079" spans="1:13" x14ac:dyDescent="0.45">
      <c r="A8079" s="142" t="s">
        <v>13082</v>
      </c>
      <c r="B8079" s="142" t="s">
        <v>14478</v>
      </c>
      <c r="C8079" s="142" t="s">
        <v>15860</v>
      </c>
      <c r="D8079" s="142" t="s">
        <v>15861</v>
      </c>
      <c r="E8079" s="142" t="s">
        <v>15849</v>
      </c>
      <c r="F8079" s="142" t="s">
        <v>169</v>
      </c>
      <c r="G8079" s="142" t="s">
        <v>10602</v>
      </c>
      <c r="H8079" s="142" t="s">
        <v>23929</v>
      </c>
      <c r="I8079" s="142">
        <v>66</v>
      </c>
      <c r="J8079" s="142">
        <v>0</v>
      </c>
      <c r="K8079" s="142">
        <v>0</v>
      </c>
      <c r="L8079" s="142">
        <v>66</v>
      </c>
      <c r="M8079" s="142">
        <v>0</v>
      </c>
    </row>
    <row r="8080" spans="1:13" x14ac:dyDescent="0.45">
      <c r="A8080" s="142" t="s">
        <v>13546</v>
      </c>
      <c r="B8080" s="142" t="s">
        <v>14641</v>
      </c>
      <c r="C8080" s="142" t="s">
        <v>15847</v>
      </c>
      <c r="D8080" s="142" t="s">
        <v>15848</v>
      </c>
      <c r="E8080" s="142" t="s">
        <v>15849</v>
      </c>
      <c r="F8080" s="142" t="s">
        <v>169</v>
      </c>
      <c r="G8080" s="142" t="s">
        <v>10602</v>
      </c>
      <c r="H8080" s="142" t="s">
        <v>23930</v>
      </c>
      <c r="I8080" s="142">
        <v>88</v>
      </c>
      <c r="J8080" s="142">
        <v>88</v>
      </c>
      <c r="K8080" s="142">
        <v>0</v>
      </c>
      <c r="L8080" s="142">
        <v>0</v>
      </c>
      <c r="M8080" s="142">
        <v>0</v>
      </c>
    </row>
    <row r="8081" spans="1:13" x14ac:dyDescent="0.45">
      <c r="A8081" s="142" t="s">
        <v>13547</v>
      </c>
      <c r="B8081" s="142" t="s">
        <v>14613</v>
      </c>
      <c r="C8081" s="142" t="s">
        <v>15847</v>
      </c>
      <c r="D8081" s="142" t="s">
        <v>15848</v>
      </c>
      <c r="E8081" s="142" t="s">
        <v>15849</v>
      </c>
      <c r="F8081" s="142" t="s">
        <v>169</v>
      </c>
      <c r="G8081" s="142" t="s">
        <v>10602</v>
      </c>
      <c r="H8081" s="142" t="s">
        <v>23931</v>
      </c>
      <c r="I8081" s="142">
        <v>1228</v>
      </c>
      <c r="J8081" s="142">
        <v>784</v>
      </c>
      <c r="K8081" s="142">
        <v>0</v>
      </c>
      <c r="L8081" s="142">
        <v>428</v>
      </c>
      <c r="M8081" s="142">
        <v>16</v>
      </c>
    </row>
    <row r="8082" spans="1:13" x14ac:dyDescent="0.45">
      <c r="A8082" s="142" t="s">
        <v>13065</v>
      </c>
      <c r="B8082" s="142" t="s">
        <v>14497</v>
      </c>
      <c r="C8082" s="142" t="s">
        <v>15847</v>
      </c>
      <c r="D8082" s="142" t="s">
        <v>15848</v>
      </c>
      <c r="E8082" s="142" t="s">
        <v>15849</v>
      </c>
      <c r="F8082" s="142" t="s">
        <v>169</v>
      </c>
      <c r="G8082" s="142" t="s">
        <v>10602</v>
      </c>
      <c r="H8082" s="142" t="s">
        <v>23932</v>
      </c>
      <c r="I8082" s="142">
        <v>11</v>
      </c>
      <c r="J8082" s="142">
        <v>0</v>
      </c>
      <c r="K8082" s="142">
        <v>0</v>
      </c>
      <c r="L8082" s="142">
        <v>11</v>
      </c>
      <c r="M8082" s="142">
        <v>0</v>
      </c>
    </row>
    <row r="8083" spans="1:13" x14ac:dyDescent="0.45">
      <c r="A8083" s="142" t="s">
        <v>13549</v>
      </c>
      <c r="B8083" s="142" t="s">
        <v>14603</v>
      </c>
      <c r="C8083" s="142" t="s">
        <v>15847</v>
      </c>
      <c r="D8083" s="142" t="s">
        <v>15848</v>
      </c>
      <c r="E8083" s="142" t="s">
        <v>15849</v>
      </c>
      <c r="F8083" s="142" t="s">
        <v>169</v>
      </c>
      <c r="G8083" s="142" t="s">
        <v>10602</v>
      </c>
      <c r="H8083" s="142" t="s">
        <v>23933</v>
      </c>
      <c r="I8083" s="142">
        <v>403</v>
      </c>
      <c r="J8083" s="142">
        <v>140</v>
      </c>
      <c r="K8083" s="142">
        <v>0</v>
      </c>
      <c r="L8083" s="142">
        <v>263</v>
      </c>
      <c r="M8083" s="142">
        <v>0</v>
      </c>
    </row>
    <row r="8084" spans="1:13" x14ac:dyDescent="0.45">
      <c r="A8084" s="142" t="s">
        <v>13551</v>
      </c>
      <c r="B8084" s="142" t="s">
        <v>14669</v>
      </c>
      <c r="C8084" s="142" t="s">
        <v>15847</v>
      </c>
      <c r="D8084" s="142" t="s">
        <v>15848</v>
      </c>
      <c r="E8084" s="142" t="s">
        <v>15849</v>
      </c>
      <c r="F8084" s="142" t="s">
        <v>169</v>
      </c>
      <c r="G8084" s="142" t="s">
        <v>10602</v>
      </c>
      <c r="H8084" s="142" t="s">
        <v>23934</v>
      </c>
      <c r="I8084" s="142">
        <v>188</v>
      </c>
      <c r="J8084" s="142">
        <v>188</v>
      </c>
      <c r="K8084" s="142">
        <v>0</v>
      </c>
      <c r="L8084" s="142">
        <v>0</v>
      </c>
      <c r="M8084" s="142">
        <v>0</v>
      </c>
    </row>
    <row r="8085" spans="1:13" x14ac:dyDescent="0.45">
      <c r="A8085" s="142" t="s">
        <v>13049</v>
      </c>
      <c r="B8085" s="142" t="s">
        <v>14534</v>
      </c>
      <c r="C8085" s="142" t="s">
        <v>15860</v>
      </c>
      <c r="D8085" s="142" t="s">
        <v>15861</v>
      </c>
      <c r="E8085" s="142" t="s">
        <v>15849</v>
      </c>
      <c r="F8085" s="142" t="s">
        <v>169</v>
      </c>
      <c r="G8085" s="142" t="s">
        <v>10602</v>
      </c>
      <c r="H8085" s="142" t="s">
        <v>23935</v>
      </c>
      <c r="I8085" s="142">
        <v>45</v>
      </c>
      <c r="J8085" s="142">
        <v>0</v>
      </c>
      <c r="K8085" s="142">
        <v>0</v>
      </c>
      <c r="L8085" s="142">
        <v>45</v>
      </c>
      <c r="M8085" s="142">
        <v>0</v>
      </c>
    </row>
    <row r="8086" spans="1:13" x14ac:dyDescent="0.45">
      <c r="A8086" s="142" t="s">
        <v>13553</v>
      </c>
      <c r="B8086" s="142" t="s">
        <v>15439</v>
      </c>
      <c r="C8086" s="142" t="s">
        <v>15847</v>
      </c>
      <c r="D8086" s="142" t="s">
        <v>15848</v>
      </c>
      <c r="E8086" s="142" t="s">
        <v>15849</v>
      </c>
      <c r="F8086" s="142" t="s">
        <v>169</v>
      </c>
      <c r="G8086" s="142" t="s">
        <v>10602</v>
      </c>
      <c r="H8086" s="142" t="s">
        <v>23936</v>
      </c>
      <c r="I8086" s="142">
        <v>28624</v>
      </c>
      <c r="J8086" s="142">
        <v>28072</v>
      </c>
      <c r="K8086" s="142">
        <v>0</v>
      </c>
      <c r="L8086" s="142">
        <v>376</v>
      </c>
      <c r="M8086" s="142">
        <v>176</v>
      </c>
    </row>
    <row r="8087" spans="1:13" x14ac:dyDescent="0.45">
      <c r="A8087" s="142" t="s">
        <v>13027</v>
      </c>
      <c r="B8087" s="142" t="s">
        <v>14562</v>
      </c>
      <c r="C8087" s="142" t="s">
        <v>15847</v>
      </c>
      <c r="D8087" s="142" t="s">
        <v>15848</v>
      </c>
      <c r="E8087" s="142" t="s">
        <v>15849</v>
      </c>
      <c r="F8087" s="142" t="s">
        <v>169</v>
      </c>
      <c r="G8087" s="142" t="s">
        <v>10602</v>
      </c>
      <c r="H8087" s="142" t="s">
        <v>23937</v>
      </c>
      <c r="I8087" s="142">
        <v>1</v>
      </c>
      <c r="J8087" s="142">
        <v>0</v>
      </c>
      <c r="K8087" s="142">
        <v>0</v>
      </c>
      <c r="L8087" s="142">
        <v>1</v>
      </c>
      <c r="M8087" s="142">
        <v>0</v>
      </c>
    </row>
    <row r="8088" spans="1:13" x14ac:dyDescent="0.45">
      <c r="A8088" s="142" t="s">
        <v>13554</v>
      </c>
      <c r="B8088" s="142" t="s">
        <v>14518</v>
      </c>
      <c r="C8088" s="142" t="s">
        <v>15860</v>
      </c>
      <c r="D8088" s="142" t="s">
        <v>15861</v>
      </c>
      <c r="E8088" s="142" t="s">
        <v>15849</v>
      </c>
      <c r="F8088" s="142" t="s">
        <v>169</v>
      </c>
      <c r="G8088" s="142" t="s">
        <v>10602</v>
      </c>
      <c r="H8088" s="142" t="s">
        <v>23938</v>
      </c>
      <c r="I8088" s="142">
        <v>35</v>
      </c>
      <c r="J8088" s="142">
        <v>35</v>
      </c>
      <c r="K8088" s="142">
        <v>0</v>
      </c>
      <c r="L8088" s="142">
        <v>0</v>
      </c>
      <c r="M8088" s="142">
        <v>0</v>
      </c>
    </row>
    <row r="8089" spans="1:13" x14ac:dyDescent="0.45">
      <c r="A8089" s="142" t="s">
        <v>13028</v>
      </c>
      <c r="B8089" s="142" t="s">
        <v>14462</v>
      </c>
      <c r="C8089" s="142" t="s">
        <v>15847</v>
      </c>
      <c r="D8089" s="142" t="s">
        <v>15848</v>
      </c>
      <c r="E8089" s="142" t="s">
        <v>15849</v>
      </c>
      <c r="F8089" s="142" t="s">
        <v>169</v>
      </c>
      <c r="G8089" s="142" t="s">
        <v>10602</v>
      </c>
      <c r="H8089" s="142" t="s">
        <v>23939</v>
      </c>
      <c r="I8089" s="142">
        <v>26</v>
      </c>
      <c r="J8089" s="142">
        <v>0</v>
      </c>
      <c r="K8089" s="142">
        <v>0</v>
      </c>
      <c r="L8089" s="142">
        <v>0</v>
      </c>
      <c r="M8089" s="142">
        <v>26</v>
      </c>
    </row>
    <row r="8090" spans="1:13" x14ac:dyDescent="0.45">
      <c r="A8090" s="142" t="s">
        <v>13002</v>
      </c>
      <c r="B8090" s="142" t="s">
        <v>15376</v>
      </c>
      <c r="C8090" s="142" t="s">
        <v>15847</v>
      </c>
      <c r="D8090" s="142" t="s">
        <v>15848</v>
      </c>
      <c r="E8090" s="142" t="s">
        <v>15849</v>
      </c>
      <c r="F8090" s="142" t="s">
        <v>169</v>
      </c>
      <c r="G8090" s="142" t="s">
        <v>10602</v>
      </c>
      <c r="H8090" s="142" t="s">
        <v>23940</v>
      </c>
      <c r="I8090" s="142">
        <v>1488</v>
      </c>
      <c r="J8090" s="142">
        <v>1330</v>
      </c>
      <c r="K8090" s="142">
        <v>0</v>
      </c>
      <c r="L8090" s="142">
        <v>85</v>
      </c>
      <c r="M8090" s="142">
        <v>73</v>
      </c>
    </row>
    <row r="8091" spans="1:13" x14ac:dyDescent="0.45">
      <c r="A8091" s="142" t="s">
        <v>13003</v>
      </c>
      <c r="B8091" s="142" t="s">
        <v>15245</v>
      </c>
      <c r="C8091" s="142" t="s">
        <v>15847</v>
      </c>
      <c r="D8091" s="142" t="s">
        <v>15848</v>
      </c>
      <c r="E8091" s="142" t="s">
        <v>15849</v>
      </c>
      <c r="F8091" s="142" t="s">
        <v>169</v>
      </c>
      <c r="G8091" s="142" t="s">
        <v>10602</v>
      </c>
      <c r="H8091" s="142" t="s">
        <v>23941</v>
      </c>
      <c r="I8091" s="142">
        <v>718</v>
      </c>
      <c r="J8091" s="142">
        <v>0</v>
      </c>
      <c r="K8091" s="142">
        <v>0</v>
      </c>
      <c r="L8091" s="142">
        <v>585</v>
      </c>
      <c r="M8091" s="142">
        <v>133</v>
      </c>
    </row>
    <row r="8092" spans="1:13" x14ac:dyDescent="0.45">
      <c r="A8092" s="142" t="s">
        <v>13066</v>
      </c>
      <c r="B8092" s="142" t="s">
        <v>14459</v>
      </c>
      <c r="C8092" s="142" t="s">
        <v>15847</v>
      </c>
      <c r="D8092" s="142" t="s">
        <v>15848</v>
      </c>
      <c r="E8092" s="142" t="s">
        <v>15849</v>
      </c>
      <c r="F8092" s="142" t="s">
        <v>169</v>
      </c>
      <c r="G8092" s="142" t="s">
        <v>10602</v>
      </c>
      <c r="H8092" s="142" t="s">
        <v>23942</v>
      </c>
      <c r="I8092" s="142">
        <v>126</v>
      </c>
      <c r="J8092" s="142">
        <v>0</v>
      </c>
      <c r="K8092" s="142">
        <v>0</v>
      </c>
      <c r="L8092" s="142">
        <v>126</v>
      </c>
      <c r="M8092" s="142">
        <v>0</v>
      </c>
    </row>
    <row r="8093" spans="1:13" x14ac:dyDescent="0.45">
      <c r="A8093" s="142" t="s">
        <v>14257</v>
      </c>
      <c r="B8093" s="142" t="s">
        <v>14735</v>
      </c>
      <c r="C8093" s="142" t="s">
        <v>15860</v>
      </c>
      <c r="D8093" s="142" t="s">
        <v>15861</v>
      </c>
      <c r="E8093" s="142" t="s">
        <v>15849</v>
      </c>
      <c r="F8093" s="142" t="s">
        <v>169</v>
      </c>
      <c r="G8093" s="142" t="s">
        <v>10602</v>
      </c>
      <c r="H8093" s="142" t="s">
        <v>23943</v>
      </c>
      <c r="I8093" s="142">
        <v>8</v>
      </c>
      <c r="J8093" s="142">
        <v>0</v>
      </c>
      <c r="K8093" s="142">
        <v>0</v>
      </c>
      <c r="L8093" s="142">
        <v>8</v>
      </c>
      <c r="M8093" s="142">
        <v>0</v>
      </c>
    </row>
    <row r="8094" spans="1:13" x14ac:dyDescent="0.45">
      <c r="A8094" s="142" t="s">
        <v>13557</v>
      </c>
      <c r="B8094" s="142" t="s">
        <v>14592</v>
      </c>
      <c r="C8094" s="142" t="s">
        <v>15847</v>
      </c>
      <c r="D8094" s="142" t="s">
        <v>15848</v>
      </c>
      <c r="E8094" s="142" t="s">
        <v>15849</v>
      </c>
      <c r="F8094" s="142" t="s">
        <v>169</v>
      </c>
      <c r="G8094" s="142" t="s">
        <v>10602</v>
      </c>
      <c r="H8094" s="142" t="s">
        <v>23944</v>
      </c>
      <c r="I8094" s="142">
        <v>559</v>
      </c>
      <c r="J8094" s="142">
        <v>485</v>
      </c>
      <c r="K8094" s="142">
        <v>0</v>
      </c>
      <c r="L8094" s="142">
        <v>54</v>
      </c>
      <c r="M8094" s="142">
        <v>20</v>
      </c>
    </row>
    <row r="8095" spans="1:13" x14ac:dyDescent="0.45">
      <c r="A8095" s="142" t="s">
        <v>13559</v>
      </c>
      <c r="B8095" s="142" t="s">
        <v>15494</v>
      </c>
      <c r="C8095" s="142" t="s">
        <v>15847</v>
      </c>
      <c r="D8095" s="142" t="s">
        <v>15848</v>
      </c>
      <c r="E8095" s="142" t="s">
        <v>15849</v>
      </c>
      <c r="F8095" s="142" t="s">
        <v>169</v>
      </c>
      <c r="G8095" s="142" t="s">
        <v>10602</v>
      </c>
      <c r="H8095" s="142" t="s">
        <v>23945</v>
      </c>
      <c r="I8095" s="142">
        <v>80</v>
      </c>
      <c r="J8095" s="142">
        <v>45</v>
      </c>
      <c r="K8095" s="142">
        <v>0</v>
      </c>
      <c r="L8095" s="142">
        <v>34</v>
      </c>
      <c r="M8095" s="142">
        <v>1</v>
      </c>
    </row>
    <row r="8096" spans="1:13" x14ac:dyDescent="0.45">
      <c r="A8096" s="142" t="s">
        <v>13679</v>
      </c>
      <c r="B8096" s="142" t="s">
        <v>14504</v>
      </c>
      <c r="C8096" s="142" t="s">
        <v>15860</v>
      </c>
      <c r="D8096" s="142" t="s">
        <v>15861</v>
      </c>
      <c r="E8096" s="142" t="s">
        <v>15849</v>
      </c>
      <c r="F8096" s="142" t="s">
        <v>169</v>
      </c>
      <c r="G8096" s="142" t="s">
        <v>10602</v>
      </c>
      <c r="H8096" s="142" t="s">
        <v>23946</v>
      </c>
      <c r="I8096" s="142">
        <v>1</v>
      </c>
      <c r="J8096" s="142">
        <v>1</v>
      </c>
      <c r="K8096" s="142">
        <v>0</v>
      </c>
      <c r="L8096" s="142">
        <v>0</v>
      </c>
      <c r="M8096" s="142">
        <v>0</v>
      </c>
    </row>
    <row r="8097" spans="1:13" x14ac:dyDescent="0.45">
      <c r="A8097" s="142" t="s">
        <v>14258</v>
      </c>
      <c r="B8097" s="142" t="s">
        <v>15000</v>
      </c>
      <c r="C8097" s="142" t="s">
        <v>15860</v>
      </c>
      <c r="D8097" s="142" t="s">
        <v>15861</v>
      </c>
      <c r="E8097" s="142" t="s">
        <v>15849</v>
      </c>
      <c r="F8097" s="142" t="s">
        <v>169</v>
      </c>
      <c r="G8097" s="142" t="s">
        <v>10602</v>
      </c>
      <c r="H8097" s="142" t="s">
        <v>23947</v>
      </c>
      <c r="I8097" s="142">
        <v>23</v>
      </c>
      <c r="J8097" s="142">
        <v>23</v>
      </c>
      <c r="K8097" s="142">
        <v>0</v>
      </c>
      <c r="L8097" s="142">
        <v>0</v>
      </c>
      <c r="M8097" s="142">
        <v>0</v>
      </c>
    </row>
    <row r="8098" spans="1:13" x14ac:dyDescent="0.45">
      <c r="A8098" s="142" t="s">
        <v>13033</v>
      </c>
      <c r="B8098" s="142" t="s">
        <v>15276</v>
      </c>
      <c r="C8098" s="142" t="s">
        <v>15847</v>
      </c>
      <c r="D8098" s="142" t="s">
        <v>15848</v>
      </c>
      <c r="E8098" s="142" t="s">
        <v>15849</v>
      </c>
      <c r="F8098" s="142" t="s">
        <v>169</v>
      </c>
      <c r="G8098" s="142" t="s">
        <v>10602</v>
      </c>
      <c r="H8098" s="142" t="s">
        <v>23948</v>
      </c>
      <c r="I8098" s="142">
        <v>124</v>
      </c>
      <c r="J8098" s="142">
        <v>122</v>
      </c>
      <c r="K8098" s="142">
        <v>0</v>
      </c>
      <c r="L8098" s="142">
        <v>0</v>
      </c>
      <c r="M8098" s="142">
        <v>2</v>
      </c>
    </row>
    <row r="8099" spans="1:13" x14ac:dyDescent="0.45">
      <c r="A8099" s="142" t="s">
        <v>13034</v>
      </c>
      <c r="B8099" s="142" t="s">
        <v>15562</v>
      </c>
      <c r="C8099" s="142" t="s">
        <v>15847</v>
      </c>
      <c r="D8099" s="142" t="s">
        <v>15848</v>
      </c>
      <c r="E8099" s="142" t="s">
        <v>15849</v>
      </c>
      <c r="F8099" s="142" t="s">
        <v>169</v>
      </c>
      <c r="G8099" s="142" t="s">
        <v>10602</v>
      </c>
      <c r="H8099" s="142" t="s">
        <v>23949</v>
      </c>
      <c r="I8099" s="142">
        <v>10</v>
      </c>
      <c r="J8099" s="142">
        <v>0</v>
      </c>
      <c r="K8099" s="142">
        <v>0</v>
      </c>
      <c r="L8099" s="142">
        <v>10</v>
      </c>
      <c r="M8099" s="142">
        <v>0</v>
      </c>
    </row>
    <row r="8100" spans="1:13" x14ac:dyDescent="0.45">
      <c r="A8100" s="142" t="s">
        <v>13560</v>
      </c>
      <c r="B8100" s="142" t="s">
        <v>14778</v>
      </c>
      <c r="C8100" s="142" t="s">
        <v>15847</v>
      </c>
      <c r="D8100" s="142" t="s">
        <v>15848</v>
      </c>
      <c r="E8100" s="142" t="s">
        <v>15849</v>
      </c>
      <c r="F8100" s="142" t="s">
        <v>169</v>
      </c>
      <c r="G8100" s="142" t="s">
        <v>10602</v>
      </c>
      <c r="H8100" s="142" t="s">
        <v>23950</v>
      </c>
      <c r="I8100" s="142">
        <v>14</v>
      </c>
      <c r="J8100" s="142">
        <v>14</v>
      </c>
      <c r="K8100" s="142">
        <v>0</v>
      </c>
      <c r="L8100" s="142">
        <v>0</v>
      </c>
      <c r="M8100" s="142">
        <v>0</v>
      </c>
    </row>
    <row r="8101" spans="1:13" x14ac:dyDescent="0.45">
      <c r="A8101" s="142" t="s">
        <v>13037</v>
      </c>
      <c r="B8101" s="142" t="s">
        <v>14519</v>
      </c>
      <c r="C8101" s="142" t="s">
        <v>15847</v>
      </c>
      <c r="D8101" s="142" t="s">
        <v>15848</v>
      </c>
      <c r="E8101" s="142" t="s">
        <v>15849</v>
      </c>
      <c r="F8101" s="142" t="s">
        <v>169</v>
      </c>
      <c r="G8101" s="142" t="s">
        <v>10602</v>
      </c>
      <c r="H8101" s="142" t="s">
        <v>23951</v>
      </c>
      <c r="I8101" s="142">
        <v>19</v>
      </c>
      <c r="J8101" s="142">
        <v>0</v>
      </c>
      <c r="K8101" s="142">
        <v>0</v>
      </c>
      <c r="L8101" s="142">
        <v>19</v>
      </c>
      <c r="M8101" s="142">
        <v>0</v>
      </c>
    </row>
    <row r="8102" spans="1:13" x14ac:dyDescent="0.45">
      <c r="A8102" s="142" t="s">
        <v>13078</v>
      </c>
      <c r="B8102" s="142" t="s">
        <v>15540</v>
      </c>
      <c r="C8102" s="142" t="s">
        <v>15847</v>
      </c>
      <c r="D8102" s="142" t="s">
        <v>15848</v>
      </c>
      <c r="E8102" s="142" t="s">
        <v>15849</v>
      </c>
      <c r="F8102" s="142" t="s">
        <v>169</v>
      </c>
      <c r="G8102" s="142" t="s">
        <v>10602</v>
      </c>
      <c r="H8102" s="142" t="s">
        <v>23952</v>
      </c>
      <c r="I8102" s="142">
        <v>65</v>
      </c>
      <c r="J8102" s="142">
        <v>0</v>
      </c>
      <c r="K8102" s="142">
        <v>0</v>
      </c>
      <c r="L8102" s="142">
        <v>65</v>
      </c>
      <c r="M8102" s="142">
        <v>0</v>
      </c>
    </row>
    <row r="8103" spans="1:13" x14ac:dyDescent="0.45">
      <c r="A8103" s="142" t="s">
        <v>13009</v>
      </c>
      <c r="B8103" s="142" t="s">
        <v>15256</v>
      </c>
      <c r="C8103" s="142" t="s">
        <v>15847</v>
      </c>
      <c r="D8103" s="142" t="s">
        <v>15848</v>
      </c>
      <c r="E8103" s="142" t="s">
        <v>15849</v>
      </c>
      <c r="F8103" s="142" t="s">
        <v>169</v>
      </c>
      <c r="G8103" s="142" t="s">
        <v>10602</v>
      </c>
      <c r="H8103" s="142" t="s">
        <v>23953</v>
      </c>
      <c r="I8103" s="142">
        <v>3</v>
      </c>
      <c r="J8103" s="142">
        <v>0</v>
      </c>
      <c r="K8103" s="142">
        <v>0</v>
      </c>
      <c r="L8103" s="142">
        <v>3</v>
      </c>
      <c r="M8103" s="142">
        <v>0</v>
      </c>
    </row>
    <row r="8104" spans="1:13" x14ac:dyDescent="0.45">
      <c r="A8104" s="142" t="s">
        <v>14259</v>
      </c>
      <c r="B8104" s="142" t="s">
        <v>15043</v>
      </c>
      <c r="C8104" s="142" t="s">
        <v>15860</v>
      </c>
      <c r="D8104" s="142" t="s">
        <v>15861</v>
      </c>
      <c r="E8104" s="142" t="s">
        <v>15849</v>
      </c>
      <c r="F8104" s="142" t="s">
        <v>169</v>
      </c>
      <c r="G8104" s="142" t="s">
        <v>10602</v>
      </c>
      <c r="H8104" s="142" t="s">
        <v>23954</v>
      </c>
      <c r="I8104" s="142">
        <v>87</v>
      </c>
      <c r="J8104" s="142">
        <v>87</v>
      </c>
      <c r="K8104" s="142">
        <v>0</v>
      </c>
      <c r="L8104" s="142">
        <v>0</v>
      </c>
      <c r="M8104" s="142">
        <v>0</v>
      </c>
    </row>
    <row r="8105" spans="1:13" x14ac:dyDescent="0.45">
      <c r="A8105" s="142" t="s">
        <v>13107</v>
      </c>
      <c r="B8105" s="142" t="s">
        <v>14522</v>
      </c>
      <c r="C8105" s="142" t="s">
        <v>15860</v>
      </c>
      <c r="D8105" s="142" t="s">
        <v>15861</v>
      </c>
      <c r="E8105" s="142" t="s">
        <v>15849</v>
      </c>
      <c r="F8105" s="142" t="s">
        <v>169</v>
      </c>
      <c r="G8105" s="142" t="s">
        <v>10602</v>
      </c>
      <c r="H8105" s="142" t="s">
        <v>23955</v>
      </c>
      <c r="I8105" s="142">
        <v>56</v>
      </c>
      <c r="J8105" s="142">
        <v>1</v>
      </c>
      <c r="K8105" s="142">
        <v>0</v>
      </c>
      <c r="L8105" s="142">
        <v>55</v>
      </c>
      <c r="M8105" s="142">
        <v>0</v>
      </c>
    </row>
    <row r="8106" spans="1:13" x14ac:dyDescent="0.45">
      <c r="A8106" s="142" t="s">
        <v>13285</v>
      </c>
      <c r="B8106" s="142" t="s">
        <v>15158</v>
      </c>
      <c r="C8106" s="142" t="s">
        <v>15860</v>
      </c>
      <c r="D8106" s="142" t="s">
        <v>15861</v>
      </c>
      <c r="E8106" s="142" t="s">
        <v>15849</v>
      </c>
      <c r="F8106" s="142" t="s">
        <v>169</v>
      </c>
      <c r="G8106" s="142" t="s">
        <v>10602</v>
      </c>
      <c r="H8106" s="142" t="s">
        <v>23956</v>
      </c>
      <c r="I8106" s="142">
        <v>75</v>
      </c>
      <c r="J8106" s="142">
        <v>0</v>
      </c>
      <c r="K8106" s="142">
        <v>0</v>
      </c>
      <c r="L8106" s="142">
        <v>75</v>
      </c>
      <c r="M8106" s="142">
        <v>0</v>
      </c>
    </row>
    <row r="8107" spans="1:13" x14ac:dyDescent="0.45">
      <c r="A8107" s="142" t="s">
        <v>13042</v>
      </c>
      <c r="B8107" s="142" t="s">
        <v>15489</v>
      </c>
      <c r="C8107" s="142" t="s">
        <v>15847</v>
      </c>
      <c r="D8107" s="142" t="s">
        <v>15848</v>
      </c>
      <c r="E8107" s="142" t="s">
        <v>15849</v>
      </c>
      <c r="F8107" s="142" t="s">
        <v>169</v>
      </c>
      <c r="G8107" s="142" t="s">
        <v>10602</v>
      </c>
      <c r="H8107" s="142" t="s">
        <v>23957</v>
      </c>
      <c r="I8107" s="142">
        <v>107</v>
      </c>
      <c r="J8107" s="142">
        <v>0</v>
      </c>
      <c r="K8107" s="142">
        <v>0</v>
      </c>
      <c r="L8107" s="142">
        <v>79</v>
      </c>
      <c r="M8107" s="142">
        <v>28</v>
      </c>
    </row>
    <row r="8108" spans="1:13" x14ac:dyDescent="0.45">
      <c r="A8108" s="142" t="s">
        <v>13096</v>
      </c>
      <c r="B8108" s="142" t="s">
        <v>15478</v>
      </c>
      <c r="C8108" s="142" t="s">
        <v>15847</v>
      </c>
      <c r="D8108" s="142" t="s">
        <v>15848</v>
      </c>
      <c r="E8108" s="142" t="s">
        <v>15849</v>
      </c>
      <c r="F8108" s="142" t="s">
        <v>169</v>
      </c>
      <c r="G8108" s="142" t="s">
        <v>10602</v>
      </c>
      <c r="H8108" s="142" t="s">
        <v>23958</v>
      </c>
      <c r="I8108" s="142">
        <v>280</v>
      </c>
      <c r="J8108" s="142">
        <v>207</v>
      </c>
      <c r="K8108" s="142">
        <v>0</v>
      </c>
      <c r="L8108" s="142">
        <v>41</v>
      </c>
      <c r="M8108" s="142">
        <v>32</v>
      </c>
    </row>
    <row r="8109" spans="1:13" x14ac:dyDescent="0.45">
      <c r="A8109" s="142" t="s">
        <v>14260</v>
      </c>
      <c r="B8109" s="142" t="s">
        <v>15058</v>
      </c>
      <c r="C8109" s="142" t="s">
        <v>15860</v>
      </c>
      <c r="D8109" s="142" t="s">
        <v>15861</v>
      </c>
      <c r="E8109" s="142" t="s">
        <v>15849</v>
      </c>
      <c r="F8109" s="142" t="s">
        <v>169</v>
      </c>
      <c r="G8109" s="142" t="s">
        <v>10602</v>
      </c>
      <c r="H8109" s="142" t="s">
        <v>23959</v>
      </c>
      <c r="I8109" s="142">
        <v>30</v>
      </c>
      <c r="J8109" s="142">
        <v>30</v>
      </c>
      <c r="K8109" s="142">
        <v>0</v>
      </c>
      <c r="L8109" s="142">
        <v>0</v>
      </c>
      <c r="M8109" s="142">
        <v>0</v>
      </c>
    </row>
    <row r="8110" spans="1:13" x14ac:dyDescent="0.45">
      <c r="A8110" s="142" t="s">
        <v>14261</v>
      </c>
      <c r="B8110" s="142" t="s">
        <v>15014</v>
      </c>
      <c r="C8110" s="142" t="s">
        <v>15860</v>
      </c>
      <c r="D8110" s="142" t="s">
        <v>15861</v>
      </c>
      <c r="E8110" s="142" t="s">
        <v>15849</v>
      </c>
      <c r="F8110" s="142" t="s">
        <v>169</v>
      </c>
      <c r="G8110" s="142" t="s">
        <v>10602</v>
      </c>
      <c r="H8110" s="142" t="s">
        <v>23960</v>
      </c>
      <c r="I8110" s="142">
        <v>67</v>
      </c>
      <c r="J8110" s="142">
        <v>67</v>
      </c>
      <c r="K8110" s="142">
        <v>0</v>
      </c>
      <c r="L8110" s="142">
        <v>0</v>
      </c>
      <c r="M8110" s="142">
        <v>0</v>
      </c>
    </row>
    <row r="8111" spans="1:13" x14ac:dyDescent="0.45">
      <c r="A8111" s="142" t="s">
        <v>13308</v>
      </c>
      <c r="B8111" s="142" t="s">
        <v>15608</v>
      </c>
      <c r="C8111" s="142" t="s">
        <v>15847</v>
      </c>
      <c r="D8111" s="142" t="s">
        <v>15848</v>
      </c>
      <c r="E8111" s="142" t="s">
        <v>15849</v>
      </c>
      <c r="F8111" s="142" t="s">
        <v>170</v>
      </c>
      <c r="G8111" s="142" t="s">
        <v>8538</v>
      </c>
      <c r="H8111" s="142" t="s">
        <v>23961</v>
      </c>
      <c r="I8111" s="142">
        <v>47</v>
      </c>
      <c r="J8111" s="142">
        <v>0</v>
      </c>
      <c r="K8111" s="142">
        <v>0</v>
      </c>
      <c r="L8111" s="142">
        <v>0</v>
      </c>
      <c r="M8111" s="142">
        <v>47</v>
      </c>
    </row>
    <row r="8112" spans="1:13" x14ac:dyDescent="0.45">
      <c r="A8112" s="142" t="s">
        <v>13166</v>
      </c>
      <c r="B8112" s="142" t="s">
        <v>15576</v>
      </c>
      <c r="C8112" s="142" t="s">
        <v>15847</v>
      </c>
      <c r="D8112" s="142" t="s">
        <v>15848</v>
      </c>
      <c r="E8112" s="142" t="s">
        <v>15849</v>
      </c>
      <c r="F8112" s="142" t="s">
        <v>170</v>
      </c>
      <c r="G8112" s="142" t="s">
        <v>8538</v>
      </c>
      <c r="H8112" s="142" t="s">
        <v>23962</v>
      </c>
      <c r="I8112" s="142">
        <v>148</v>
      </c>
      <c r="J8112" s="142">
        <v>137</v>
      </c>
      <c r="K8112" s="142">
        <v>0</v>
      </c>
      <c r="L8112" s="142">
        <v>0</v>
      </c>
      <c r="M8112" s="142">
        <v>11</v>
      </c>
    </row>
    <row r="8113" spans="1:13" x14ac:dyDescent="0.45">
      <c r="A8113" s="142" t="s">
        <v>13072</v>
      </c>
      <c r="B8113" s="142" t="s">
        <v>15530</v>
      </c>
      <c r="C8113" s="142" t="s">
        <v>15847</v>
      </c>
      <c r="D8113" s="142" t="s">
        <v>15848</v>
      </c>
      <c r="E8113" s="142" t="s">
        <v>15849</v>
      </c>
      <c r="F8113" s="142" t="s">
        <v>170</v>
      </c>
      <c r="G8113" s="142" t="s">
        <v>8538</v>
      </c>
      <c r="H8113" s="142" t="s">
        <v>23963</v>
      </c>
      <c r="I8113" s="142">
        <v>2937</v>
      </c>
      <c r="J8113" s="142">
        <v>2627</v>
      </c>
      <c r="K8113" s="142">
        <v>44</v>
      </c>
      <c r="L8113" s="142">
        <v>226</v>
      </c>
      <c r="M8113" s="142">
        <v>40</v>
      </c>
    </row>
    <row r="8114" spans="1:13" x14ac:dyDescent="0.45">
      <c r="A8114" s="142" t="s">
        <v>13021</v>
      </c>
      <c r="B8114" s="142" t="s">
        <v>15501</v>
      </c>
      <c r="C8114" s="142" t="s">
        <v>15847</v>
      </c>
      <c r="D8114" s="142" t="s">
        <v>15848</v>
      </c>
      <c r="E8114" s="142" t="s">
        <v>15849</v>
      </c>
      <c r="F8114" s="142" t="s">
        <v>170</v>
      </c>
      <c r="G8114" s="142" t="s">
        <v>8538</v>
      </c>
      <c r="H8114" s="142" t="s">
        <v>23964</v>
      </c>
      <c r="I8114" s="142">
        <v>1</v>
      </c>
      <c r="J8114" s="142">
        <v>0</v>
      </c>
      <c r="K8114" s="142">
        <v>0</v>
      </c>
      <c r="L8114" s="142">
        <v>0</v>
      </c>
      <c r="M8114" s="142">
        <v>1</v>
      </c>
    </row>
    <row r="8115" spans="1:13" x14ac:dyDescent="0.45">
      <c r="A8115" s="142" t="s">
        <v>13023</v>
      </c>
      <c r="B8115" s="142" t="s">
        <v>15571</v>
      </c>
      <c r="C8115" s="142" t="s">
        <v>15847</v>
      </c>
      <c r="D8115" s="142" t="s">
        <v>15848</v>
      </c>
      <c r="E8115" s="142" t="s">
        <v>15849</v>
      </c>
      <c r="F8115" s="142" t="s">
        <v>170</v>
      </c>
      <c r="G8115" s="142" t="s">
        <v>8538</v>
      </c>
      <c r="H8115" s="142" t="s">
        <v>23965</v>
      </c>
      <c r="I8115" s="142">
        <v>74</v>
      </c>
      <c r="J8115" s="142">
        <v>0</v>
      </c>
      <c r="K8115" s="142">
        <v>0</v>
      </c>
      <c r="L8115" s="142">
        <v>74</v>
      </c>
      <c r="M8115" s="142">
        <v>0</v>
      </c>
    </row>
    <row r="8116" spans="1:13" x14ac:dyDescent="0.45">
      <c r="A8116" s="142" t="s">
        <v>13048</v>
      </c>
      <c r="B8116" s="142" t="s">
        <v>14479</v>
      </c>
      <c r="C8116" s="142" t="s">
        <v>15847</v>
      </c>
      <c r="D8116" s="142" t="s">
        <v>15848</v>
      </c>
      <c r="E8116" s="142" t="s">
        <v>15849</v>
      </c>
      <c r="F8116" s="142" t="s">
        <v>170</v>
      </c>
      <c r="G8116" s="142" t="s">
        <v>8538</v>
      </c>
      <c r="H8116" s="142" t="s">
        <v>23966</v>
      </c>
      <c r="I8116" s="142">
        <v>77</v>
      </c>
      <c r="J8116" s="142">
        <v>41</v>
      </c>
      <c r="K8116" s="142">
        <v>0</v>
      </c>
      <c r="L8116" s="142">
        <v>0</v>
      </c>
      <c r="M8116" s="142">
        <v>36</v>
      </c>
    </row>
    <row r="8117" spans="1:13" x14ac:dyDescent="0.45">
      <c r="A8117" s="142" t="s">
        <v>13065</v>
      </c>
      <c r="B8117" s="142" t="s">
        <v>14497</v>
      </c>
      <c r="C8117" s="142" t="s">
        <v>15847</v>
      </c>
      <c r="D8117" s="142" t="s">
        <v>15848</v>
      </c>
      <c r="E8117" s="142" t="s">
        <v>15849</v>
      </c>
      <c r="F8117" s="142" t="s">
        <v>170</v>
      </c>
      <c r="G8117" s="142" t="s">
        <v>8538</v>
      </c>
      <c r="H8117" s="142" t="s">
        <v>23967</v>
      </c>
      <c r="I8117" s="142">
        <v>8</v>
      </c>
      <c r="J8117" s="142">
        <v>0</v>
      </c>
      <c r="K8117" s="142">
        <v>0</v>
      </c>
      <c r="L8117" s="142">
        <v>8</v>
      </c>
      <c r="M8117" s="142">
        <v>0</v>
      </c>
    </row>
    <row r="8118" spans="1:13" x14ac:dyDescent="0.45">
      <c r="A8118" s="142" t="s">
        <v>13000</v>
      </c>
      <c r="B8118" s="142" t="s">
        <v>14610</v>
      </c>
      <c r="C8118" s="142" t="s">
        <v>15847</v>
      </c>
      <c r="D8118" s="142" t="s">
        <v>15848</v>
      </c>
      <c r="E8118" s="142" t="s">
        <v>15849</v>
      </c>
      <c r="F8118" s="142" t="s">
        <v>170</v>
      </c>
      <c r="G8118" s="142" t="s">
        <v>8538</v>
      </c>
      <c r="H8118" s="142" t="s">
        <v>23968</v>
      </c>
      <c r="I8118" s="142">
        <v>87</v>
      </c>
      <c r="J8118" s="142">
        <v>32</v>
      </c>
      <c r="K8118" s="142">
        <v>0</v>
      </c>
      <c r="L8118" s="142">
        <v>0</v>
      </c>
      <c r="M8118" s="142">
        <v>55</v>
      </c>
    </row>
    <row r="8119" spans="1:13" x14ac:dyDescent="0.45">
      <c r="A8119" s="142" t="s">
        <v>13049</v>
      </c>
      <c r="B8119" s="142" t="s">
        <v>14534</v>
      </c>
      <c r="C8119" s="142" t="s">
        <v>15860</v>
      </c>
      <c r="D8119" s="142" t="s">
        <v>15861</v>
      </c>
      <c r="E8119" s="142" t="s">
        <v>15849</v>
      </c>
      <c r="F8119" s="142" t="s">
        <v>170</v>
      </c>
      <c r="G8119" s="142" t="s">
        <v>8538</v>
      </c>
      <c r="H8119" s="142" t="s">
        <v>23969</v>
      </c>
      <c r="I8119" s="142">
        <v>5</v>
      </c>
      <c r="J8119" s="142">
        <v>0</v>
      </c>
      <c r="K8119" s="142">
        <v>0</v>
      </c>
      <c r="L8119" s="142">
        <v>5</v>
      </c>
      <c r="M8119" s="142">
        <v>0</v>
      </c>
    </row>
    <row r="8120" spans="1:13" x14ac:dyDescent="0.45">
      <c r="A8120" s="142" t="s">
        <v>13028</v>
      </c>
      <c r="B8120" s="142" t="s">
        <v>14462</v>
      </c>
      <c r="C8120" s="142" t="s">
        <v>15847</v>
      </c>
      <c r="D8120" s="142" t="s">
        <v>15848</v>
      </c>
      <c r="E8120" s="142" t="s">
        <v>15849</v>
      </c>
      <c r="F8120" s="142" t="s">
        <v>170</v>
      </c>
      <c r="G8120" s="142" t="s">
        <v>8538</v>
      </c>
      <c r="H8120" s="142" t="s">
        <v>23970</v>
      </c>
      <c r="I8120" s="142">
        <v>11</v>
      </c>
      <c r="J8120" s="142">
        <v>0</v>
      </c>
      <c r="K8120" s="142">
        <v>0</v>
      </c>
      <c r="L8120" s="142">
        <v>0</v>
      </c>
      <c r="M8120" s="142">
        <v>11</v>
      </c>
    </row>
    <row r="8121" spans="1:13" x14ac:dyDescent="0.45">
      <c r="A8121" s="142" t="s">
        <v>13002</v>
      </c>
      <c r="B8121" s="142" t="s">
        <v>15376</v>
      </c>
      <c r="C8121" s="142" t="s">
        <v>15847</v>
      </c>
      <c r="D8121" s="142" t="s">
        <v>15848</v>
      </c>
      <c r="E8121" s="142" t="s">
        <v>15849</v>
      </c>
      <c r="F8121" s="142" t="s">
        <v>170</v>
      </c>
      <c r="G8121" s="142" t="s">
        <v>8538</v>
      </c>
      <c r="H8121" s="142" t="s">
        <v>23971</v>
      </c>
      <c r="I8121" s="142">
        <v>14</v>
      </c>
      <c r="J8121" s="142">
        <v>0</v>
      </c>
      <c r="K8121" s="142">
        <v>0</v>
      </c>
      <c r="L8121" s="142">
        <v>14</v>
      </c>
      <c r="M8121" s="142">
        <v>0</v>
      </c>
    </row>
    <row r="8122" spans="1:13" x14ac:dyDescent="0.45">
      <c r="A8122" s="142" t="s">
        <v>13066</v>
      </c>
      <c r="B8122" s="142" t="s">
        <v>14459</v>
      </c>
      <c r="C8122" s="142" t="s">
        <v>15847</v>
      </c>
      <c r="D8122" s="142" t="s">
        <v>15848</v>
      </c>
      <c r="E8122" s="142" t="s">
        <v>15849</v>
      </c>
      <c r="F8122" s="142" t="s">
        <v>170</v>
      </c>
      <c r="G8122" s="142" t="s">
        <v>8538</v>
      </c>
      <c r="H8122" s="142" t="s">
        <v>23972</v>
      </c>
      <c r="I8122" s="142">
        <v>6</v>
      </c>
      <c r="J8122" s="142">
        <v>0</v>
      </c>
      <c r="K8122" s="142">
        <v>0</v>
      </c>
      <c r="L8122" s="142">
        <v>6</v>
      </c>
      <c r="M8122" s="142">
        <v>0</v>
      </c>
    </row>
    <row r="8123" spans="1:13" x14ac:dyDescent="0.45">
      <c r="A8123" s="142" t="s">
        <v>13076</v>
      </c>
      <c r="B8123" s="142" t="s">
        <v>14636</v>
      </c>
      <c r="C8123" s="142" t="s">
        <v>15847</v>
      </c>
      <c r="D8123" s="142" t="s">
        <v>15848</v>
      </c>
      <c r="E8123" s="142" t="s">
        <v>15849</v>
      </c>
      <c r="F8123" s="142" t="s">
        <v>170</v>
      </c>
      <c r="G8123" s="142" t="s">
        <v>8538</v>
      </c>
      <c r="H8123" s="142" t="s">
        <v>23973</v>
      </c>
      <c r="I8123" s="142">
        <v>18</v>
      </c>
      <c r="J8123" s="142">
        <v>0</v>
      </c>
      <c r="K8123" s="142">
        <v>0</v>
      </c>
      <c r="L8123" s="142">
        <v>0</v>
      </c>
      <c r="M8123" s="142">
        <v>18</v>
      </c>
    </row>
    <row r="8124" spans="1:13" x14ac:dyDescent="0.45">
      <c r="A8124" s="142" t="s">
        <v>13006</v>
      </c>
      <c r="B8124" s="142" t="s">
        <v>15288</v>
      </c>
      <c r="C8124" s="142" t="s">
        <v>15847</v>
      </c>
      <c r="D8124" s="142" t="s">
        <v>15848</v>
      </c>
      <c r="E8124" s="142" t="s">
        <v>15849</v>
      </c>
      <c r="F8124" s="142" t="s">
        <v>170</v>
      </c>
      <c r="G8124" s="142" t="s">
        <v>8538</v>
      </c>
      <c r="H8124" s="142" t="s">
        <v>23974</v>
      </c>
      <c r="I8124" s="142">
        <v>412</v>
      </c>
      <c r="J8124" s="142">
        <v>158</v>
      </c>
      <c r="K8124" s="142">
        <v>76</v>
      </c>
      <c r="L8124" s="142">
        <v>0</v>
      </c>
      <c r="M8124" s="142">
        <v>178</v>
      </c>
    </row>
    <row r="8125" spans="1:13" x14ac:dyDescent="0.45">
      <c r="A8125" s="142" t="s">
        <v>13568</v>
      </c>
      <c r="B8125" s="142" t="s">
        <v>15242</v>
      </c>
      <c r="C8125" s="142" t="s">
        <v>15847</v>
      </c>
      <c r="D8125" s="142" t="s">
        <v>15848</v>
      </c>
      <c r="E8125" s="142" t="s">
        <v>15849</v>
      </c>
      <c r="F8125" s="142" t="s">
        <v>170</v>
      </c>
      <c r="G8125" s="142" t="s">
        <v>8538</v>
      </c>
      <c r="H8125" s="142" t="s">
        <v>23975</v>
      </c>
      <c r="I8125" s="142">
        <v>19</v>
      </c>
      <c r="J8125" s="142">
        <v>17</v>
      </c>
      <c r="K8125" s="142">
        <v>0</v>
      </c>
      <c r="L8125" s="142">
        <v>0</v>
      </c>
      <c r="M8125" s="142">
        <v>2</v>
      </c>
    </row>
    <row r="8126" spans="1:13" x14ac:dyDescent="0.45">
      <c r="A8126" s="142" t="s">
        <v>13037</v>
      </c>
      <c r="B8126" s="142" t="s">
        <v>14519</v>
      </c>
      <c r="C8126" s="142" t="s">
        <v>15847</v>
      </c>
      <c r="D8126" s="142" t="s">
        <v>15848</v>
      </c>
      <c r="E8126" s="142" t="s">
        <v>15849</v>
      </c>
      <c r="F8126" s="142" t="s">
        <v>170</v>
      </c>
      <c r="G8126" s="142" t="s">
        <v>8538</v>
      </c>
      <c r="H8126" s="142" t="s">
        <v>23976</v>
      </c>
      <c r="I8126" s="142">
        <v>15</v>
      </c>
      <c r="J8126" s="142">
        <v>0</v>
      </c>
      <c r="K8126" s="142">
        <v>0</v>
      </c>
      <c r="L8126" s="142">
        <v>15</v>
      </c>
      <c r="M8126" s="142">
        <v>0</v>
      </c>
    </row>
    <row r="8127" spans="1:13" x14ac:dyDescent="0.45">
      <c r="A8127" s="142" t="s">
        <v>13011</v>
      </c>
      <c r="B8127" s="142" t="s">
        <v>14695</v>
      </c>
      <c r="C8127" s="142" t="s">
        <v>15847</v>
      </c>
      <c r="D8127" s="142" t="s">
        <v>15848</v>
      </c>
      <c r="E8127" s="142" t="s">
        <v>15849</v>
      </c>
      <c r="F8127" s="142" t="s">
        <v>170</v>
      </c>
      <c r="G8127" s="142" t="s">
        <v>8538</v>
      </c>
      <c r="H8127" s="142" t="s">
        <v>23977</v>
      </c>
      <c r="I8127" s="142">
        <v>8</v>
      </c>
      <c r="J8127" s="142">
        <v>7</v>
      </c>
      <c r="K8127" s="142">
        <v>0</v>
      </c>
      <c r="L8127" s="142">
        <v>0</v>
      </c>
      <c r="M8127" s="142">
        <v>1</v>
      </c>
    </row>
    <row r="8128" spans="1:13" x14ac:dyDescent="0.45">
      <c r="A8128" s="142" t="s">
        <v>13058</v>
      </c>
      <c r="B8128" s="142" t="s">
        <v>14584</v>
      </c>
      <c r="C8128" s="142" t="s">
        <v>15847</v>
      </c>
      <c r="D8128" s="142" t="s">
        <v>15848</v>
      </c>
      <c r="E8128" s="142" t="s">
        <v>15849</v>
      </c>
      <c r="F8128" s="142" t="s">
        <v>170</v>
      </c>
      <c r="G8128" s="142" t="s">
        <v>8538</v>
      </c>
      <c r="H8128" s="142" t="s">
        <v>23978</v>
      </c>
      <c r="I8128" s="142">
        <v>1</v>
      </c>
      <c r="J8128" s="142">
        <v>0</v>
      </c>
      <c r="K8128" s="142">
        <v>0</v>
      </c>
      <c r="L8128" s="142">
        <v>0</v>
      </c>
      <c r="M8128" s="142">
        <v>1</v>
      </c>
    </row>
    <row r="8129" spans="1:13" x14ac:dyDescent="0.45">
      <c r="A8129" s="142" t="s">
        <v>13012</v>
      </c>
      <c r="B8129" s="142" t="s">
        <v>15337</v>
      </c>
      <c r="C8129" s="142" t="s">
        <v>15847</v>
      </c>
      <c r="D8129" s="142" t="s">
        <v>15848</v>
      </c>
      <c r="E8129" s="142" t="s">
        <v>15849</v>
      </c>
      <c r="F8129" s="142" t="s">
        <v>170</v>
      </c>
      <c r="G8129" s="142" t="s">
        <v>8538</v>
      </c>
      <c r="H8129" s="142" t="s">
        <v>23979</v>
      </c>
      <c r="I8129" s="142">
        <v>12</v>
      </c>
      <c r="J8129" s="142">
        <v>7</v>
      </c>
      <c r="K8129" s="142">
        <v>0</v>
      </c>
      <c r="L8129" s="142">
        <v>1</v>
      </c>
      <c r="M8129" s="142">
        <v>4</v>
      </c>
    </row>
    <row r="8130" spans="1:13" x14ac:dyDescent="0.45">
      <c r="A8130" s="142" t="s">
        <v>13094</v>
      </c>
      <c r="B8130" s="142" t="s">
        <v>15542</v>
      </c>
      <c r="C8130" s="142" t="s">
        <v>15860</v>
      </c>
      <c r="D8130" s="142" t="s">
        <v>15861</v>
      </c>
      <c r="E8130" s="142" t="s">
        <v>15849</v>
      </c>
      <c r="F8130" s="142" t="s">
        <v>170</v>
      </c>
      <c r="G8130" s="142" t="s">
        <v>8538</v>
      </c>
      <c r="H8130" s="142" t="s">
        <v>23980</v>
      </c>
      <c r="I8130" s="142">
        <v>12</v>
      </c>
      <c r="J8130" s="142">
        <v>0</v>
      </c>
      <c r="K8130" s="142">
        <v>0</v>
      </c>
      <c r="L8130" s="142">
        <v>12</v>
      </c>
      <c r="M8130" s="142">
        <v>0</v>
      </c>
    </row>
    <row r="8131" spans="1:13" x14ac:dyDescent="0.45">
      <c r="A8131" s="142" t="s">
        <v>13570</v>
      </c>
      <c r="B8131" s="142" t="s">
        <v>15181</v>
      </c>
      <c r="C8131" s="142" t="s">
        <v>15860</v>
      </c>
      <c r="D8131" s="142" t="s">
        <v>15861</v>
      </c>
      <c r="E8131" s="142" t="s">
        <v>15849</v>
      </c>
      <c r="F8131" s="142" t="s">
        <v>170</v>
      </c>
      <c r="G8131" s="142" t="s">
        <v>8538</v>
      </c>
      <c r="H8131" s="142" t="s">
        <v>23981</v>
      </c>
      <c r="I8131" s="142">
        <v>11</v>
      </c>
      <c r="J8131" s="142">
        <v>0</v>
      </c>
      <c r="K8131" s="142">
        <v>0</v>
      </c>
      <c r="L8131" s="142">
        <v>11</v>
      </c>
      <c r="M8131" s="142">
        <v>0</v>
      </c>
    </row>
    <row r="8132" spans="1:13" x14ac:dyDescent="0.45">
      <c r="A8132" s="142" t="s">
        <v>13015</v>
      </c>
      <c r="B8132" s="142" t="s">
        <v>14596</v>
      </c>
      <c r="C8132" s="142" t="s">
        <v>15847</v>
      </c>
      <c r="D8132" s="142" t="s">
        <v>15848</v>
      </c>
      <c r="E8132" s="142" t="s">
        <v>15849</v>
      </c>
      <c r="F8132" s="142" t="s">
        <v>170</v>
      </c>
      <c r="G8132" s="142" t="s">
        <v>8538</v>
      </c>
      <c r="H8132" s="142" t="s">
        <v>23982</v>
      </c>
      <c r="I8132" s="142">
        <v>257</v>
      </c>
      <c r="J8132" s="142">
        <v>174</v>
      </c>
      <c r="K8132" s="142">
        <v>0</v>
      </c>
      <c r="L8132" s="142">
        <v>0</v>
      </c>
      <c r="M8132" s="142">
        <v>83</v>
      </c>
    </row>
    <row r="8133" spans="1:13" x14ac:dyDescent="0.45">
      <c r="A8133" s="142" t="s">
        <v>13156</v>
      </c>
      <c r="B8133" s="142" t="s">
        <v>14493</v>
      </c>
      <c r="C8133" s="142" t="s">
        <v>15860</v>
      </c>
      <c r="D8133" s="142" t="s">
        <v>15861</v>
      </c>
      <c r="E8133" s="142" t="s">
        <v>15849</v>
      </c>
      <c r="F8133" s="142" t="s">
        <v>170</v>
      </c>
      <c r="G8133" s="142" t="s">
        <v>8538</v>
      </c>
      <c r="H8133" s="142" t="s">
        <v>23983</v>
      </c>
      <c r="I8133" s="142">
        <v>17</v>
      </c>
      <c r="J8133" s="142">
        <v>0</v>
      </c>
      <c r="K8133" s="142">
        <v>0</v>
      </c>
      <c r="L8133" s="142">
        <v>17</v>
      </c>
      <c r="M8133" s="142">
        <v>0</v>
      </c>
    </row>
    <row r="8134" spans="1:13" x14ac:dyDescent="0.45">
      <c r="A8134" s="142" t="s">
        <v>13016</v>
      </c>
      <c r="B8134" s="142" t="s">
        <v>14535</v>
      </c>
      <c r="C8134" s="142" t="s">
        <v>15860</v>
      </c>
      <c r="D8134" s="142" t="s">
        <v>15861</v>
      </c>
      <c r="E8134" s="142" t="s">
        <v>15849</v>
      </c>
      <c r="F8134" s="142" t="s">
        <v>170</v>
      </c>
      <c r="G8134" s="142" t="s">
        <v>8538</v>
      </c>
      <c r="H8134" s="142" t="s">
        <v>23984</v>
      </c>
      <c r="I8134" s="142">
        <v>9</v>
      </c>
      <c r="J8134" s="142">
        <v>0</v>
      </c>
      <c r="K8134" s="142">
        <v>0</v>
      </c>
      <c r="L8134" s="142">
        <v>9</v>
      </c>
      <c r="M8134" s="142">
        <v>0</v>
      </c>
    </row>
    <row r="8135" spans="1:13" x14ac:dyDescent="0.45">
      <c r="A8135" s="142" t="s">
        <v>13166</v>
      </c>
      <c r="B8135" s="142" t="s">
        <v>15576</v>
      </c>
      <c r="C8135" s="142" t="s">
        <v>15847</v>
      </c>
      <c r="D8135" s="142" t="s">
        <v>15848</v>
      </c>
      <c r="E8135" s="142" t="s">
        <v>15849</v>
      </c>
      <c r="F8135" s="142" t="s">
        <v>171</v>
      </c>
      <c r="G8135" s="142" t="s">
        <v>12364</v>
      </c>
      <c r="H8135" s="142" t="s">
        <v>23985</v>
      </c>
      <c r="I8135" s="142">
        <v>53</v>
      </c>
      <c r="J8135" s="142">
        <v>53</v>
      </c>
      <c r="K8135" s="142">
        <v>0</v>
      </c>
      <c r="L8135" s="142">
        <v>0</v>
      </c>
      <c r="M8135" s="142">
        <v>0</v>
      </c>
    </row>
    <row r="8136" spans="1:13" x14ac:dyDescent="0.45">
      <c r="A8136" s="142" t="s">
        <v>13046</v>
      </c>
      <c r="B8136" s="142" t="s">
        <v>15537</v>
      </c>
      <c r="C8136" s="142" t="s">
        <v>15860</v>
      </c>
      <c r="D8136" s="142" t="s">
        <v>15861</v>
      </c>
      <c r="E8136" s="142" t="s">
        <v>15849</v>
      </c>
      <c r="F8136" s="142" t="s">
        <v>171</v>
      </c>
      <c r="G8136" s="142" t="s">
        <v>12364</v>
      </c>
      <c r="H8136" s="142" t="s">
        <v>23986</v>
      </c>
      <c r="I8136" s="142">
        <v>21</v>
      </c>
      <c r="J8136" s="142">
        <v>0</v>
      </c>
      <c r="K8136" s="142">
        <v>0</v>
      </c>
      <c r="L8136" s="142">
        <v>21</v>
      </c>
      <c r="M8136" s="142">
        <v>0</v>
      </c>
    </row>
    <row r="8137" spans="1:13" x14ac:dyDescent="0.45">
      <c r="A8137" s="142" t="s">
        <v>13021</v>
      </c>
      <c r="B8137" s="142" t="s">
        <v>15501</v>
      </c>
      <c r="C8137" s="142" t="s">
        <v>15847</v>
      </c>
      <c r="D8137" s="142" t="s">
        <v>15848</v>
      </c>
      <c r="E8137" s="142" t="s">
        <v>15849</v>
      </c>
      <c r="F8137" s="142" t="s">
        <v>171</v>
      </c>
      <c r="G8137" s="142" t="s">
        <v>12364</v>
      </c>
      <c r="H8137" s="142" t="s">
        <v>23987</v>
      </c>
      <c r="I8137" s="142">
        <v>4</v>
      </c>
      <c r="J8137" s="142">
        <v>0</v>
      </c>
      <c r="K8137" s="142">
        <v>0</v>
      </c>
      <c r="L8137" s="142">
        <v>4</v>
      </c>
      <c r="M8137" s="142">
        <v>0</v>
      </c>
    </row>
    <row r="8138" spans="1:13" x14ac:dyDescent="0.45">
      <c r="A8138" s="142" t="s">
        <v>13023</v>
      </c>
      <c r="B8138" s="142" t="s">
        <v>15571</v>
      </c>
      <c r="C8138" s="142" t="s">
        <v>15847</v>
      </c>
      <c r="D8138" s="142" t="s">
        <v>15848</v>
      </c>
      <c r="E8138" s="142" t="s">
        <v>15849</v>
      </c>
      <c r="F8138" s="142" t="s">
        <v>171</v>
      </c>
      <c r="G8138" s="142" t="s">
        <v>12364</v>
      </c>
      <c r="H8138" s="142" t="s">
        <v>23988</v>
      </c>
      <c r="I8138" s="142">
        <v>188</v>
      </c>
      <c r="J8138" s="142">
        <v>0</v>
      </c>
      <c r="K8138" s="142">
        <v>0</v>
      </c>
      <c r="L8138" s="142">
        <v>188</v>
      </c>
      <c r="M8138" s="142">
        <v>0</v>
      </c>
    </row>
    <row r="8139" spans="1:13" x14ac:dyDescent="0.45">
      <c r="A8139" s="142" t="s">
        <v>13082</v>
      </c>
      <c r="B8139" s="142" t="s">
        <v>14478</v>
      </c>
      <c r="C8139" s="142" t="s">
        <v>15860</v>
      </c>
      <c r="D8139" s="142" t="s">
        <v>15861</v>
      </c>
      <c r="E8139" s="142" t="s">
        <v>15849</v>
      </c>
      <c r="F8139" s="142" t="s">
        <v>171</v>
      </c>
      <c r="G8139" s="142" t="s">
        <v>12364</v>
      </c>
      <c r="H8139" s="142" t="s">
        <v>23989</v>
      </c>
      <c r="I8139" s="142">
        <v>6</v>
      </c>
      <c r="J8139" s="142">
        <v>0</v>
      </c>
      <c r="K8139" s="142">
        <v>0</v>
      </c>
      <c r="L8139" s="142">
        <v>6</v>
      </c>
      <c r="M8139" s="142">
        <v>0</v>
      </c>
    </row>
    <row r="8140" spans="1:13" x14ac:dyDescent="0.45">
      <c r="A8140" s="142" t="s">
        <v>13000</v>
      </c>
      <c r="B8140" s="142" t="s">
        <v>14610</v>
      </c>
      <c r="C8140" s="142" t="s">
        <v>15847</v>
      </c>
      <c r="D8140" s="142" t="s">
        <v>15848</v>
      </c>
      <c r="E8140" s="142" t="s">
        <v>15849</v>
      </c>
      <c r="F8140" s="142" t="s">
        <v>171</v>
      </c>
      <c r="G8140" s="142" t="s">
        <v>12364</v>
      </c>
      <c r="H8140" s="142" t="s">
        <v>23990</v>
      </c>
      <c r="I8140" s="142">
        <v>570</v>
      </c>
      <c r="J8140" s="142">
        <v>461</v>
      </c>
      <c r="K8140" s="142">
        <v>0</v>
      </c>
      <c r="L8140" s="142">
        <v>0</v>
      </c>
      <c r="M8140" s="142">
        <v>109</v>
      </c>
    </row>
    <row r="8141" spans="1:13" x14ac:dyDescent="0.45">
      <c r="A8141" s="142" t="s">
        <v>13098</v>
      </c>
      <c r="B8141" s="142" t="s">
        <v>14528</v>
      </c>
      <c r="C8141" s="142" t="s">
        <v>15860</v>
      </c>
      <c r="D8141" s="142" t="s">
        <v>15861</v>
      </c>
      <c r="E8141" s="142" t="s">
        <v>15849</v>
      </c>
      <c r="F8141" s="142" t="s">
        <v>171</v>
      </c>
      <c r="G8141" s="142" t="s">
        <v>12364</v>
      </c>
      <c r="H8141" s="142" t="s">
        <v>23991</v>
      </c>
      <c r="I8141" s="142">
        <v>8</v>
      </c>
      <c r="J8141" s="142">
        <v>8</v>
      </c>
      <c r="K8141" s="142">
        <v>0</v>
      </c>
      <c r="L8141" s="142">
        <v>0</v>
      </c>
      <c r="M8141" s="142">
        <v>0</v>
      </c>
    </row>
    <row r="8142" spans="1:13" x14ac:dyDescent="0.45">
      <c r="A8142" s="142" t="s">
        <v>13383</v>
      </c>
      <c r="B8142" s="142" t="s">
        <v>15507</v>
      </c>
      <c r="C8142" s="142" t="s">
        <v>15847</v>
      </c>
      <c r="D8142" s="142" t="s">
        <v>15848</v>
      </c>
      <c r="E8142" s="142" t="s">
        <v>15849</v>
      </c>
      <c r="F8142" s="142" t="s">
        <v>171</v>
      </c>
      <c r="G8142" s="142" t="s">
        <v>12364</v>
      </c>
      <c r="H8142" s="142" t="s">
        <v>23992</v>
      </c>
      <c r="I8142" s="142">
        <v>184</v>
      </c>
      <c r="J8142" s="142">
        <v>15</v>
      </c>
      <c r="K8142" s="142">
        <v>0</v>
      </c>
      <c r="L8142" s="142">
        <v>152</v>
      </c>
      <c r="M8142" s="142">
        <v>17</v>
      </c>
    </row>
    <row r="8143" spans="1:13" x14ac:dyDescent="0.45">
      <c r="A8143" s="142" t="s">
        <v>13049</v>
      </c>
      <c r="B8143" s="142" t="s">
        <v>14534</v>
      </c>
      <c r="C8143" s="142" t="s">
        <v>15860</v>
      </c>
      <c r="D8143" s="142" t="s">
        <v>15861</v>
      </c>
      <c r="E8143" s="142" t="s">
        <v>15849</v>
      </c>
      <c r="F8143" s="142" t="s">
        <v>171</v>
      </c>
      <c r="G8143" s="142" t="s">
        <v>12364</v>
      </c>
      <c r="H8143" s="142" t="s">
        <v>23993</v>
      </c>
      <c r="I8143" s="142">
        <v>6</v>
      </c>
      <c r="J8143" s="142">
        <v>0</v>
      </c>
      <c r="K8143" s="142">
        <v>0</v>
      </c>
      <c r="L8143" s="142">
        <v>6</v>
      </c>
      <c r="M8143" s="142">
        <v>0</v>
      </c>
    </row>
    <row r="8144" spans="1:13" x14ac:dyDescent="0.45">
      <c r="A8144" s="142" t="s">
        <v>13027</v>
      </c>
      <c r="B8144" s="142" t="s">
        <v>14562</v>
      </c>
      <c r="C8144" s="142" t="s">
        <v>15847</v>
      </c>
      <c r="D8144" s="142" t="s">
        <v>15848</v>
      </c>
      <c r="E8144" s="142" t="s">
        <v>15849</v>
      </c>
      <c r="F8144" s="142" t="s">
        <v>171</v>
      </c>
      <c r="G8144" s="142" t="s">
        <v>12364</v>
      </c>
      <c r="H8144" s="142" t="s">
        <v>23994</v>
      </c>
      <c r="I8144" s="142">
        <v>17</v>
      </c>
      <c r="J8144" s="142">
        <v>0</v>
      </c>
      <c r="K8144" s="142">
        <v>0</v>
      </c>
      <c r="L8144" s="142">
        <v>17</v>
      </c>
      <c r="M8144" s="142">
        <v>0</v>
      </c>
    </row>
    <row r="8145" spans="1:13" x14ac:dyDescent="0.45">
      <c r="A8145" s="142" t="s">
        <v>13002</v>
      </c>
      <c r="B8145" s="142" t="s">
        <v>15376</v>
      </c>
      <c r="C8145" s="142" t="s">
        <v>15847</v>
      </c>
      <c r="D8145" s="142" t="s">
        <v>15848</v>
      </c>
      <c r="E8145" s="142" t="s">
        <v>15849</v>
      </c>
      <c r="F8145" s="142" t="s">
        <v>171</v>
      </c>
      <c r="G8145" s="142" t="s">
        <v>12364</v>
      </c>
      <c r="H8145" s="142" t="s">
        <v>23995</v>
      </c>
      <c r="I8145" s="142">
        <v>93</v>
      </c>
      <c r="J8145" s="142">
        <v>76</v>
      </c>
      <c r="K8145" s="142">
        <v>0</v>
      </c>
      <c r="L8145" s="142">
        <v>17</v>
      </c>
      <c r="M8145" s="142">
        <v>0</v>
      </c>
    </row>
    <row r="8146" spans="1:13" x14ac:dyDescent="0.45">
      <c r="A8146" s="142" t="s">
        <v>13003</v>
      </c>
      <c r="B8146" s="142" t="s">
        <v>15245</v>
      </c>
      <c r="C8146" s="142" t="s">
        <v>15847</v>
      </c>
      <c r="D8146" s="142" t="s">
        <v>15848</v>
      </c>
      <c r="E8146" s="142" t="s">
        <v>15849</v>
      </c>
      <c r="F8146" s="142" t="s">
        <v>171</v>
      </c>
      <c r="G8146" s="142" t="s">
        <v>12364</v>
      </c>
      <c r="H8146" s="142" t="s">
        <v>23996</v>
      </c>
      <c r="I8146" s="142">
        <v>171</v>
      </c>
      <c r="J8146" s="142">
        <v>0</v>
      </c>
      <c r="K8146" s="142">
        <v>0</v>
      </c>
      <c r="L8146" s="142">
        <v>164</v>
      </c>
      <c r="M8146" s="142">
        <v>7</v>
      </c>
    </row>
    <row r="8147" spans="1:13" x14ac:dyDescent="0.45">
      <c r="A8147" s="142" t="s">
        <v>14263</v>
      </c>
      <c r="B8147" s="142" t="s">
        <v>15156</v>
      </c>
      <c r="C8147" s="142" t="s">
        <v>15860</v>
      </c>
      <c r="D8147" s="142" t="s">
        <v>15861</v>
      </c>
      <c r="E8147" s="142" t="s">
        <v>15849</v>
      </c>
      <c r="F8147" s="142" t="s">
        <v>171</v>
      </c>
      <c r="G8147" s="142" t="s">
        <v>12364</v>
      </c>
      <c r="H8147" s="142" t="s">
        <v>23997</v>
      </c>
      <c r="I8147" s="142">
        <v>8</v>
      </c>
      <c r="J8147" s="142">
        <v>0</v>
      </c>
      <c r="K8147" s="142">
        <v>8</v>
      </c>
      <c r="L8147" s="142">
        <v>0</v>
      </c>
      <c r="M8147" s="142">
        <v>0</v>
      </c>
    </row>
    <row r="8148" spans="1:13" x14ac:dyDescent="0.45">
      <c r="A8148" s="142" t="s">
        <v>13005</v>
      </c>
      <c r="B8148" s="142" t="s">
        <v>15475</v>
      </c>
      <c r="C8148" s="142" t="s">
        <v>15847</v>
      </c>
      <c r="D8148" s="142" t="s">
        <v>15848</v>
      </c>
      <c r="E8148" s="142" t="s">
        <v>15849</v>
      </c>
      <c r="F8148" s="142" t="s">
        <v>171</v>
      </c>
      <c r="G8148" s="142" t="s">
        <v>12364</v>
      </c>
      <c r="H8148" s="142" t="s">
        <v>23998</v>
      </c>
      <c r="I8148" s="142">
        <v>683</v>
      </c>
      <c r="J8148" s="142">
        <v>458</v>
      </c>
      <c r="K8148" s="142">
        <v>0</v>
      </c>
      <c r="L8148" s="142">
        <v>26</v>
      </c>
      <c r="M8148" s="142">
        <v>199</v>
      </c>
    </row>
    <row r="8149" spans="1:13" x14ac:dyDescent="0.45">
      <c r="A8149" s="142" t="s">
        <v>13663</v>
      </c>
      <c r="B8149" s="142" t="s">
        <v>14637</v>
      </c>
      <c r="C8149" s="142" t="s">
        <v>15860</v>
      </c>
      <c r="D8149" s="142" t="s">
        <v>15861</v>
      </c>
      <c r="E8149" s="142" t="s">
        <v>15849</v>
      </c>
      <c r="F8149" s="142" t="s">
        <v>171</v>
      </c>
      <c r="G8149" s="142" t="s">
        <v>12364</v>
      </c>
      <c r="H8149" s="142" t="s">
        <v>23999</v>
      </c>
      <c r="I8149" s="142">
        <v>276</v>
      </c>
      <c r="J8149" s="142">
        <v>276</v>
      </c>
      <c r="K8149" s="142">
        <v>0</v>
      </c>
      <c r="L8149" s="142">
        <v>0</v>
      </c>
      <c r="M8149" s="142">
        <v>0</v>
      </c>
    </row>
    <row r="8150" spans="1:13" x14ac:dyDescent="0.45">
      <c r="A8150" s="142" t="s">
        <v>13006</v>
      </c>
      <c r="B8150" s="142" t="s">
        <v>15288</v>
      </c>
      <c r="C8150" s="142" t="s">
        <v>15847</v>
      </c>
      <c r="D8150" s="142" t="s">
        <v>15848</v>
      </c>
      <c r="E8150" s="142" t="s">
        <v>15849</v>
      </c>
      <c r="F8150" s="142" t="s">
        <v>171</v>
      </c>
      <c r="G8150" s="142" t="s">
        <v>12364</v>
      </c>
      <c r="H8150" s="142" t="s">
        <v>24000</v>
      </c>
      <c r="I8150" s="142">
        <v>2113</v>
      </c>
      <c r="J8150" s="142">
        <v>1843</v>
      </c>
      <c r="K8150" s="142">
        <v>0</v>
      </c>
      <c r="L8150" s="142">
        <v>11</v>
      </c>
      <c r="M8150" s="142">
        <v>259</v>
      </c>
    </row>
    <row r="8151" spans="1:13" x14ac:dyDescent="0.45">
      <c r="A8151" s="142" t="s">
        <v>13827</v>
      </c>
      <c r="B8151" s="142" t="s">
        <v>15402</v>
      </c>
      <c r="C8151" s="142" t="s">
        <v>15860</v>
      </c>
      <c r="D8151" s="142" t="s">
        <v>15861</v>
      </c>
      <c r="E8151" s="142" t="s">
        <v>15849</v>
      </c>
      <c r="F8151" s="142" t="s">
        <v>171</v>
      </c>
      <c r="G8151" s="142" t="s">
        <v>12364</v>
      </c>
      <c r="H8151" s="142" t="s">
        <v>24001</v>
      </c>
      <c r="I8151" s="142">
        <v>1</v>
      </c>
      <c r="J8151" s="142">
        <v>1</v>
      </c>
      <c r="K8151" s="142">
        <v>0</v>
      </c>
      <c r="L8151" s="142">
        <v>0</v>
      </c>
      <c r="M8151" s="142">
        <v>0</v>
      </c>
    </row>
    <row r="8152" spans="1:13" x14ac:dyDescent="0.45">
      <c r="A8152" s="142" t="s">
        <v>13007</v>
      </c>
      <c r="B8152" s="142" t="s">
        <v>15262</v>
      </c>
      <c r="C8152" s="142" t="s">
        <v>15847</v>
      </c>
      <c r="D8152" s="142" t="s">
        <v>15848</v>
      </c>
      <c r="E8152" s="142" t="s">
        <v>15849</v>
      </c>
      <c r="F8152" s="142" t="s">
        <v>171</v>
      </c>
      <c r="G8152" s="142" t="s">
        <v>12364</v>
      </c>
      <c r="H8152" s="142" t="s">
        <v>24002</v>
      </c>
      <c r="I8152" s="142">
        <v>272</v>
      </c>
      <c r="J8152" s="142">
        <v>233</v>
      </c>
      <c r="K8152" s="142">
        <v>0</v>
      </c>
      <c r="L8152" s="142">
        <v>32</v>
      </c>
      <c r="M8152" s="142">
        <v>7</v>
      </c>
    </row>
    <row r="8153" spans="1:13" x14ac:dyDescent="0.45">
      <c r="A8153" s="142" t="s">
        <v>13103</v>
      </c>
      <c r="B8153" s="142" t="s">
        <v>14623</v>
      </c>
      <c r="C8153" s="142" t="s">
        <v>15847</v>
      </c>
      <c r="D8153" s="142" t="s">
        <v>15848</v>
      </c>
      <c r="E8153" s="142" t="s">
        <v>15849</v>
      </c>
      <c r="F8153" s="142" t="s">
        <v>171</v>
      </c>
      <c r="G8153" s="142" t="s">
        <v>12364</v>
      </c>
      <c r="H8153" s="142" t="s">
        <v>24003</v>
      </c>
      <c r="I8153" s="142">
        <v>71</v>
      </c>
      <c r="J8153" s="142">
        <v>71</v>
      </c>
      <c r="K8153" s="142">
        <v>0</v>
      </c>
      <c r="L8153" s="142">
        <v>0</v>
      </c>
      <c r="M8153" s="142">
        <v>0</v>
      </c>
    </row>
    <row r="8154" spans="1:13" x14ac:dyDescent="0.45">
      <c r="A8154" s="142" t="s">
        <v>13054</v>
      </c>
      <c r="B8154" s="142" t="s">
        <v>15604</v>
      </c>
      <c r="C8154" s="142" t="s">
        <v>15847</v>
      </c>
      <c r="D8154" s="142" t="s">
        <v>15848</v>
      </c>
      <c r="E8154" s="142" t="s">
        <v>15849</v>
      </c>
      <c r="F8154" s="142" t="s">
        <v>171</v>
      </c>
      <c r="G8154" s="142" t="s">
        <v>12364</v>
      </c>
      <c r="H8154" s="142" t="s">
        <v>24004</v>
      </c>
      <c r="I8154" s="142">
        <v>5</v>
      </c>
      <c r="J8154" s="142">
        <v>0</v>
      </c>
      <c r="K8154" s="142">
        <v>0</v>
      </c>
      <c r="L8154" s="142">
        <v>0</v>
      </c>
      <c r="M8154" s="142">
        <v>5</v>
      </c>
    </row>
    <row r="8155" spans="1:13" x14ac:dyDescent="0.45">
      <c r="A8155" s="142" t="s">
        <v>13636</v>
      </c>
      <c r="B8155" s="142" t="s">
        <v>14440</v>
      </c>
      <c r="C8155" s="142" t="s">
        <v>15860</v>
      </c>
      <c r="D8155" s="142" t="s">
        <v>15861</v>
      </c>
      <c r="E8155" s="142" t="s">
        <v>15849</v>
      </c>
      <c r="F8155" s="142" t="s">
        <v>171</v>
      </c>
      <c r="G8155" s="142" t="s">
        <v>12364</v>
      </c>
      <c r="H8155" s="142" t="s">
        <v>24005</v>
      </c>
      <c r="I8155" s="142">
        <v>40</v>
      </c>
      <c r="J8155" s="142">
        <v>40</v>
      </c>
      <c r="K8155" s="142">
        <v>0</v>
      </c>
      <c r="L8155" s="142">
        <v>0</v>
      </c>
      <c r="M8155" s="142">
        <v>0</v>
      </c>
    </row>
    <row r="8156" spans="1:13" x14ac:dyDescent="0.45">
      <c r="A8156" s="142" t="s">
        <v>13008</v>
      </c>
      <c r="B8156" s="142" t="s">
        <v>15411</v>
      </c>
      <c r="C8156" s="142" t="s">
        <v>15847</v>
      </c>
      <c r="D8156" s="142" t="s">
        <v>15848</v>
      </c>
      <c r="E8156" s="142" t="s">
        <v>15849</v>
      </c>
      <c r="F8156" s="142" t="s">
        <v>171</v>
      </c>
      <c r="G8156" s="142" t="s">
        <v>12364</v>
      </c>
      <c r="H8156" s="142" t="s">
        <v>24006</v>
      </c>
      <c r="I8156" s="142">
        <v>16</v>
      </c>
      <c r="J8156" s="142">
        <v>0</v>
      </c>
      <c r="K8156" s="142">
        <v>0</v>
      </c>
      <c r="L8156" s="142">
        <v>0</v>
      </c>
      <c r="M8156" s="142">
        <v>16</v>
      </c>
    </row>
    <row r="8157" spans="1:13" x14ac:dyDescent="0.45">
      <c r="A8157" s="142" t="s">
        <v>13077</v>
      </c>
      <c r="B8157" s="142" t="s">
        <v>15407</v>
      </c>
      <c r="C8157" s="142" t="s">
        <v>15847</v>
      </c>
      <c r="D8157" s="142" t="s">
        <v>15848</v>
      </c>
      <c r="E8157" s="142" t="s">
        <v>15849</v>
      </c>
      <c r="F8157" s="142" t="s">
        <v>171</v>
      </c>
      <c r="G8157" s="142" t="s">
        <v>12364</v>
      </c>
      <c r="H8157" s="142" t="s">
        <v>24007</v>
      </c>
      <c r="I8157" s="142">
        <v>405</v>
      </c>
      <c r="J8157" s="142">
        <v>405</v>
      </c>
      <c r="K8157" s="142">
        <v>0</v>
      </c>
      <c r="L8157" s="142">
        <v>0</v>
      </c>
      <c r="M8157" s="142">
        <v>0</v>
      </c>
    </row>
    <row r="8158" spans="1:13" x14ac:dyDescent="0.45">
      <c r="A8158" s="142" t="s">
        <v>13104</v>
      </c>
      <c r="B8158" s="142" t="s">
        <v>14622</v>
      </c>
      <c r="C8158" s="142" t="s">
        <v>15847</v>
      </c>
      <c r="D8158" s="142" t="s">
        <v>15848</v>
      </c>
      <c r="E8158" s="142" t="s">
        <v>15849</v>
      </c>
      <c r="F8158" s="142" t="s">
        <v>171</v>
      </c>
      <c r="G8158" s="142" t="s">
        <v>12364</v>
      </c>
      <c r="H8158" s="142" t="s">
        <v>24008</v>
      </c>
      <c r="I8158" s="142">
        <v>42</v>
      </c>
      <c r="J8158" s="142">
        <v>24</v>
      </c>
      <c r="K8158" s="142">
        <v>0</v>
      </c>
      <c r="L8158" s="142">
        <v>0</v>
      </c>
      <c r="M8158" s="142">
        <v>18</v>
      </c>
    </row>
    <row r="8159" spans="1:13" x14ac:dyDescent="0.45">
      <c r="A8159" s="142" t="s">
        <v>13033</v>
      </c>
      <c r="B8159" s="142" t="s">
        <v>15276</v>
      </c>
      <c r="C8159" s="142" t="s">
        <v>15847</v>
      </c>
      <c r="D8159" s="142" t="s">
        <v>15848</v>
      </c>
      <c r="E8159" s="142" t="s">
        <v>15849</v>
      </c>
      <c r="F8159" s="142" t="s">
        <v>171</v>
      </c>
      <c r="G8159" s="142" t="s">
        <v>12364</v>
      </c>
      <c r="H8159" s="142" t="s">
        <v>24009</v>
      </c>
      <c r="I8159" s="142">
        <v>3</v>
      </c>
      <c r="J8159" s="142">
        <v>3</v>
      </c>
      <c r="K8159" s="142">
        <v>0</v>
      </c>
      <c r="L8159" s="142">
        <v>0</v>
      </c>
      <c r="M8159" s="142">
        <v>0</v>
      </c>
    </row>
    <row r="8160" spans="1:13" x14ac:dyDescent="0.45">
      <c r="A8160" s="142" t="s">
        <v>13036</v>
      </c>
      <c r="B8160" s="142" t="s">
        <v>15567</v>
      </c>
      <c r="C8160" s="142" t="s">
        <v>15847</v>
      </c>
      <c r="D8160" s="142" t="s">
        <v>15848</v>
      </c>
      <c r="E8160" s="142" t="s">
        <v>15849</v>
      </c>
      <c r="F8160" s="142" t="s">
        <v>171</v>
      </c>
      <c r="G8160" s="142" t="s">
        <v>12364</v>
      </c>
      <c r="H8160" s="142" t="s">
        <v>24010</v>
      </c>
      <c r="I8160" s="142">
        <v>38</v>
      </c>
      <c r="J8160" s="142">
        <v>0</v>
      </c>
      <c r="K8160" s="142">
        <v>0</v>
      </c>
      <c r="L8160" s="142">
        <v>38</v>
      </c>
      <c r="M8160" s="142">
        <v>0</v>
      </c>
    </row>
    <row r="8161" spans="1:13" x14ac:dyDescent="0.45">
      <c r="A8161" s="142" t="s">
        <v>13569</v>
      </c>
      <c r="B8161" s="142" t="s">
        <v>15441</v>
      </c>
      <c r="C8161" s="142" t="s">
        <v>15847</v>
      </c>
      <c r="D8161" s="142" t="s">
        <v>15848</v>
      </c>
      <c r="E8161" s="142" t="s">
        <v>15849</v>
      </c>
      <c r="F8161" s="142" t="s">
        <v>171</v>
      </c>
      <c r="G8161" s="142" t="s">
        <v>12364</v>
      </c>
      <c r="H8161" s="142" t="s">
        <v>24011</v>
      </c>
      <c r="I8161" s="142">
        <v>8</v>
      </c>
      <c r="J8161" s="142">
        <v>8</v>
      </c>
      <c r="K8161" s="142">
        <v>0</v>
      </c>
      <c r="L8161" s="142">
        <v>0</v>
      </c>
      <c r="M8161" s="142">
        <v>0</v>
      </c>
    </row>
    <row r="8162" spans="1:13" x14ac:dyDescent="0.45">
      <c r="A8162" s="142" t="s">
        <v>13037</v>
      </c>
      <c r="B8162" s="142" t="s">
        <v>14519</v>
      </c>
      <c r="C8162" s="142" t="s">
        <v>15847</v>
      </c>
      <c r="D8162" s="142" t="s">
        <v>15848</v>
      </c>
      <c r="E8162" s="142" t="s">
        <v>15849</v>
      </c>
      <c r="F8162" s="142" t="s">
        <v>171</v>
      </c>
      <c r="G8162" s="142" t="s">
        <v>12364</v>
      </c>
      <c r="H8162" s="142" t="s">
        <v>24012</v>
      </c>
      <c r="I8162" s="142">
        <v>6</v>
      </c>
      <c r="J8162" s="142">
        <v>0</v>
      </c>
      <c r="K8162" s="142">
        <v>0</v>
      </c>
      <c r="L8162" s="142">
        <v>6</v>
      </c>
      <c r="M8162" s="142">
        <v>0</v>
      </c>
    </row>
    <row r="8163" spans="1:13" x14ac:dyDescent="0.45">
      <c r="A8163" s="142" t="s">
        <v>13038</v>
      </c>
      <c r="B8163" s="142" t="s">
        <v>14646</v>
      </c>
      <c r="C8163" s="142" t="s">
        <v>15847</v>
      </c>
      <c r="D8163" s="142" t="s">
        <v>15848</v>
      </c>
      <c r="E8163" s="142" t="s">
        <v>15849</v>
      </c>
      <c r="F8163" s="142" t="s">
        <v>171</v>
      </c>
      <c r="G8163" s="142" t="s">
        <v>12364</v>
      </c>
      <c r="H8163" s="142" t="s">
        <v>24013</v>
      </c>
      <c r="I8163" s="142">
        <v>15</v>
      </c>
      <c r="J8163" s="142">
        <v>0</v>
      </c>
      <c r="K8163" s="142">
        <v>0</v>
      </c>
      <c r="L8163" s="142">
        <v>0</v>
      </c>
      <c r="M8163" s="142">
        <v>15</v>
      </c>
    </row>
    <row r="8164" spans="1:13" x14ac:dyDescent="0.45">
      <c r="A8164" s="142" t="s">
        <v>13039</v>
      </c>
      <c r="B8164" s="142" t="s">
        <v>14647</v>
      </c>
      <c r="C8164" s="142" t="s">
        <v>15847</v>
      </c>
      <c r="D8164" s="142" t="s">
        <v>15848</v>
      </c>
      <c r="E8164" s="142" t="s">
        <v>15849</v>
      </c>
      <c r="F8164" s="142" t="s">
        <v>171</v>
      </c>
      <c r="G8164" s="142" t="s">
        <v>12364</v>
      </c>
      <c r="H8164" s="142" t="s">
        <v>24014</v>
      </c>
      <c r="I8164" s="142">
        <v>21</v>
      </c>
      <c r="J8164" s="142">
        <v>21</v>
      </c>
      <c r="K8164" s="142">
        <v>0</v>
      </c>
      <c r="L8164" s="142">
        <v>0</v>
      </c>
      <c r="M8164" s="142">
        <v>0</v>
      </c>
    </row>
    <row r="8165" spans="1:13" x14ac:dyDescent="0.45">
      <c r="A8165" s="142" t="s">
        <v>13011</v>
      </c>
      <c r="B8165" s="142" t="s">
        <v>14695</v>
      </c>
      <c r="C8165" s="142" t="s">
        <v>15847</v>
      </c>
      <c r="D8165" s="142" t="s">
        <v>15848</v>
      </c>
      <c r="E8165" s="142" t="s">
        <v>15849</v>
      </c>
      <c r="F8165" s="142" t="s">
        <v>171</v>
      </c>
      <c r="G8165" s="142" t="s">
        <v>12364</v>
      </c>
      <c r="H8165" s="142" t="s">
        <v>24015</v>
      </c>
      <c r="I8165" s="142">
        <v>558</v>
      </c>
      <c r="J8165" s="142">
        <v>268</v>
      </c>
      <c r="K8165" s="142">
        <v>0</v>
      </c>
      <c r="L8165" s="142">
        <v>111</v>
      </c>
      <c r="M8165" s="142">
        <v>179</v>
      </c>
    </row>
    <row r="8166" spans="1:13" x14ac:dyDescent="0.45">
      <c r="A8166" s="142" t="s">
        <v>13579</v>
      </c>
      <c r="B8166" s="142" t="s">
        <v>15160</v>
      </c>
      <c r="C8166" s="142" t="s">
        <v>15860</v>
      </c>
      <c r="D8166" s="142" t="s">
        <v>15861</v>
      </c>
      <c r="E8166" s="142" t="s">
        <v>15849</v>
      </c>
      <c r="F8166" s="142" t="s">
        <v>171</v>
      </c>
      <c r="G8166" s="142" t="s">
        <v>12364</v>
      </c>
      <c r="H8166" s="142" t="s">
        <v>24016</v>
      </c>
      <c r="I8166" s="142">
        <v>18</v>
      </c>
      <c r="J8166" s="142">
        <v>0</v>
      </c>
      <c r="K8166" s="142">
        <v>0</v>
      </c>
      <c r="L8166" s="142">
        <v>18</v>
      </c>
      <c r="M8166" s="142">
        <v>0</v>
      </c>
    </row>
    <row r="8167" spans="1:13" x14ac:dyDescent="0.45">
      <c r="A8167" s="142" t="s">
        <v>13041</v>
      </c>
      <c r="B8167" s="142" t="s">
        <v>14441</v>
      </c>
      <c r="C8167" s="142" t="s">
        <v>15847</v>
      </c>
      <c r="D8167" s="142" t="s">
        <v>15848</v>
      </c>
      <c r="E8167" s="142" t="s">
        <v>15849</v>
      </c>
      <c r="F8167" s="142" t="s">
        <v>171</v>
      </c>
      <c r="G8167" s="142" t="s">
        <v>12364</v>
      </c>
      <c r="H8167" s="142" t="s">
        <v>24017</v>
      </c>
      <c r="I8167" s="142">
        <v>31</v>
      </c>
      <c r="J8167" s="142">
        <v>0</v>
      </c>
      <c r="K8167" s="142">
        <v>0</v>
      </c>
      <c r="L8167" s="142">
        <v>0</v>
      </c>
      <c r="M8167" s="142">
        <v>31</v>
      </c>
    </row>
    <row r="8168" spans="1:13" x14ac:dyDescent="0.45">
      <c r="A8168" s="142" t="s">
        <v>13306</v>
      </c>
      <c r="B8168" s="142" t="s">
        <v>15500</v>
      </c>
      <c r="C8168" s="142" t="s">
        <v>15847</v>
      </c>
      <c r="D8168" s="142" t="s">
        <v>15848</v>
      </c>
      <c r="E8168" s="142" t="s">
        <v>15849</v>
      </c>
      <c r="F8168" s="142" t="s">
        <v>171</v>
      </c>
      <c r="G8168" s="142" t="s">
        <v>12364</v>
      </c>
      <c r="H8168" s="142" t="s">
        <v>24018</v>
      </c>
      <c r="I8168" s="142">
        <v>41</v>
      </c>
      <c r="J8168" s="142">
        <v>0</v>
      </c>
      <c r="K8168" s="142">
        <v>0</v>
      </c>
      <c r="L8168" s="142">
        <v>41</v>
      </c>
      <c r="M8168" s="142">
        <v>0</v>
      </c>
    </row>
    <row r="8169" spans="1:13" x14ac:dyDescent="0.45">
      <c r="A8169" s="142" t="s">
        <v>14264</v>
      </c>
      <c r="B8169" s="142" t="s">
        <v>15287</v>
      </c>
      <c r="C8169" s="142" t="s">
        <v>15860</v>
      </c>
      <c r="D8169" s="142" t="s">
        <v>15861</v>
      </c>
      <c r="E8169" s="142" t="s">
        <v>15849</v>
      </c>
      <c r="F8169" s="142" t="s">
        <v>171</v>
      </c>
      <c r="G8169" s="142" t="s">
        <v>12364</v>
      </c>
      <c r="H8169" s="142" t="s">
        <v>24019</v>
      </c>
      <c r="I8169" s="142">
        <v>507</v>
      </c>
      <c r="J8169" s="142">
        <v>107</v>
      </c>
      <c r="K8169" s="142">
        <v>0</v>
      </c>
      <c r="L8169" s="142">
        <v>400</v>
      </c>
      <c r="M8169" s="142">
        <v>0</v>
      </c>
    </row>
    <row r="8170" spans="1:13" x14ac:dyDescent="0.45">
      <c r="A8170" s="142" t="s">
        <v>13638</v>
      </c>
      <c r="B8170" s="142" t="s">
        <v>15271</v>
      </c>
      <c r="C8170" s="142" t="s">
        <v>15847</v>
      </c>
      <c r="D8170" s="142" t="s">
        <v>15848</v>
      </c>
      <c r="E8170" s="142" t="s">
        <v>15849</v>
      </c>
      <c r="F8170" s="142" t="s">
        <v>171</v>
      </c>
      <c r="G8170" s="142" t="s">
        <v>12364</v>
      </c>
      <c r="H8170" s="142" t="s">
        <v>24020</v>
      </c>
      <c r="I8170" s="142">
        <v>30</v>
      </c>
      <c r="J8170" s="142">
        <v>0</v>
      </c>
      <c r="K8170" s="142">
        <v>0</v>
      </c>
      <c r="L8170" s="142">
        <v>0</v>
      </c>
      <c r="M8170" s="142">
        <v>30</v>
      </c>
    </row>
    <row r="8171" spans="1:13" x14ac:dyDescent="0.45">
      <c r="A8171" s="142" t="s">
        <v>13014</v>
      </c>
      <c r="B8171" s="142" t="s">
        <v>14505</v>
      </c>
      <c r="C8171" s="142" t="s">
        <v>15847</v>
      </c>
      <c r="D8171" s="142" t="s">
        <v>15848</v>
      </c>
      <c r="E8171" s="142" t="s">
        <v>15849</v>
      </c>
      <c r="F8171" s="142" t="s">
        <v>171</v>
      </c>
      <c r="G8171" s="142" t="s">
        <v>12364</v>
      </c>
      <c r="H8171" s="142" t="s">
        <v>24021</v>
      </c>
      <c r="I8171" s="142">
        <v>2</v>
      </c>
      <c r="J8171" s="142">
        <v>0</v>
      </c>
      <c r="K8171" s="142">
        <v>0</v>
      </c>
      <c r="L8171" s="142">
        <v>0</v>
      </c>
      <c r="M8171" s="142">
        <v>2</v>
      </c>
    </row>
    <row r="8172" spans="1:13" x14ac:dyDescent="0.45">
      <c r="A8172" s="142" t="s">
        <v>13042</v>
      </c>
      <c r="B8172" s="142" t="s">
        <v>15489</v>
      </c>
      <c r="C8172" s="142" t="s">
        <v>15847</v>
      </c>
      <c r="D8172" s="142" t="s">
        <v>15848</v>
      </c>
      <c r="E8172" s="142" t="s">
        <v>15849</v>
      </c>
      <c r="F8172" s="142" t="s">
        <v>171</v>
      </c>
      <c r="G8172" s="142" t="s">
        <v>12364</v>
      </c>
      <c r="H8172" s="142" t="s">
        <v>24022</v>
      </c>
      <c r="I8172" s="142">
        <v>24</v>
      </c>
      <c r="J8172" s="142">
        <v>23</v>
      </c>
      <c r="K8172" s="142">
        <v>0</v>
      </c>
      <c r="L8172" s="142">
        <v>1</v>
      </c>
      <c r="M8172" s="142">
        <v>0</v>
      </c>
    </row>
    <row r="8173" spans="1:13" x14ac:dyDescent="0.45">
      <c r="A8173" s="142" t="s">
        <v>13570</v>
      </c>
      <c r="B8173" s="142" t="s">
        <v>15181</v>
      </c>
      <c r="C8173" s="142" t="s">
        <v>15860</v>
      </c>
      <c r="D8173" s="142" t="s">
        <v>15861</v>
      </c>
      <c r="E8173" s="142" t="s">
        <v>15849</v>
      </c>
      <c r="F8173" s="142" t="s">
        <v>171</v>
      </c>
      <c r="G8173" s="142" t="s">
        <v>12364</v>
      </c>
      <c r="H8173" s="142" t="s">
        <v>24023</v>
      </c>
      <c r="I8173" s="142">
        <v>73</v>
      </c>
      <c r="J8173" s="142">
        <v>0</v>
      </c>
      <c r="K8173" s="142">
        <v>0</v>
      </c>
      <c r="L8173" s="142">
        <v>73</v>
      </c>
      <c r="M8173" s="142">
        <v>0</v>
      </c>
    </row>
    <row r="8174" spans="1:13" x14ac:dyDescent="0.45">
      <c r="A8174" s="142" t="s">
        <v>13062</v>
      </c>
      <c r="B8174" s="142" t="s">
        <v>15259</v>
      </c>
      <c r="C8174" s="142" t="s">
        <v>15847</v>
      </c>
      <c r="D8174" s="142" t="s">
        <v>15848</v>
      </c>
      <c r="E8174" s="142" t="s">
        <v>15849</v>
      </c>
      <c r="F8174" s="142" t="s">
        <v>171</v>
      </c>
      <c r="G8174" s="142" t="s">
        <v>12364</v>
      </c>
      <c r="H8174" s="142" t="s">
        <v>24024</v>
      </c>
      <c r="I8174" s="142">
        <v>232</v>
      </c>
      <c r="J8174" s="142">
        <v>185</v>
      </c>
      <c r="K8174" s="142">
        <v>0</v>
      </c>
      <c r="L8174" s="142">
        <v>4</v>
      </c>
      <c r="M8174" s="142">
        <v>43</v>
      </c>
    </row>
    <row r="8175" spans="1:13" x14ac:dyDescent="0.45">
      <c r="A8175" s="142" t="s">
        <v>13016</v>
      </c>
      <c r="B8175" s="142" t="s">
        <v>14535</v>
      </c>
      <c r="C8175" s="142" t="s">
        <v>15860</v>
      </c>
      <c r="D8175" s="142" t="s">
        <v>15861</v>
      </c>
      <c r="E8175" s="142" t="s">
        <v>15849</v>
      </c>
      <c r="F8175" s="142" t="s">
        <v>171</v>
      </c>
      <c r="G8175" s="142" t="s">
        <v>12364</v>
      </c>
      <c r="H8175" s="142" t="s">
        <v>24025</v>
      </c>
      <c r="I8175" s="142">
        <v>17</v>
      </c>
      <c r="J8175" s="142">
        <v>0</v>
      </c>
      <c r="K8175" s="142">
        <v>0</v>
      </c>
      <c r="L8175" s="142">
        <v>17</v>
      </c>
      <c r="M8175" s="142">
        <v>0</v>
      </c>
    </row>
    <row r="8176" spans="1:13" x14ac:dyDescent="0.45">
      <c r="A8176" s="142" t="s">
        <v>13021</v>
      </c>
      <c r="B8176" s="142" t="s">
        <v>15501</v>
      </c>
      <c r="C8176" s="142" t="s">
        <v>15847</v>
      </c>
      <c r="D8176" s="142" t="s">
        <v>15848</v>
      </c>
      <c r="E8176" s="142" t="s">
        <v>15849</v>
      </c>
      <c r="F8176" s="142" t="s">
        <v>172</v>
      </c>
      <c r="G8176" s="142" t="s">
        <v>5761</v>
      </c>
      <c r="H8176" s="142" t="s">
        <v>24026</v>
      </c>
      <c r="I8176" s="142">
        <v>4</v>
      </c>
      <c r="J8176" s="142">
        <v>0</v>
      </c>
      <c r="K8176" s="142">
        <v>0</v>
      </c>
      <c r="L8176" s="142">
        <v>0</v>
      </c>
      <c r="M8176" s="142">
        <v>4</v>
      </c>
    </row>
    <row r="8177" spans="1:13" x14ac:dyDescent="0.45">
      <c r="A8177" s="142" t="s">
        <v>13023</v>
      </c>
      <c r="B8177" s="142" t="s">
        <v>15571</v>
      </c>
      <c r="C8177" s="142" t="s">
        <v>15847</v>
      </c>
      <c r="D8177" s="142" t="s">
        <v>15848</v>
      </c>
      <c r="E8177" s="142" t="s">
        <v>15849</v>
      </c>
      <c r="F8177" s="142" t="s">
        <v>172</v>
      </c>
      <c r="G8177" s="142" t="s">
        <v>5761</v>
      </c>
      <c r="H8177" s="142" t="s">
        <v>24027</v>
      </c>
      <c r="I8177" s="142">
        <v>72</v>
      </c>
      <c r="J8177" s="142">
        <v>0</v>
      </c>
      <c r="K8177" s="142">
        <v>0</v>
      </c>
      <c r="L8177" s="142">
        <v>72</v>
      </c>
      <c r="M8177" s="142">
        <v>0</v>
      </c>
    </row>
    <row r="8178" spans="1:13" x14ac:dyDescent="0.45">
      <c r="A8178" s="142" t="s">
        <v>14265</v>
      </c>
      <c r="B8178" s="142" t="s">
        <v>14803</v>
      </c>
      <c r="C8178" s="142" t="s">
        <v>15860</v>
      </c>
      <c r="D8178" s="142" t="s">
        <v>15861</v>
      </c>
      <c r="E8178" s="142" t="s">
        <v>15849</v>
      </c>
      <c r="F8178" s="142" t="s">
        <v>172</v>
      </c>
      <c r="G8178" s="142" t="s">
        <v>5761</v>
      </c>
      <c r="H8178" s="142" t="s">
        <v>24028</v>
      </c>
      <c r="I8178" s="142">
        <v>14</v>
      </c>
      <c r="J8178" s="142">
        <v>14</v>
      </c>
      <c r="K8178" s="142">
        <v>0</v>
      </c>
      <c r="L8178" s="142">
        <v>0</v>
      </c>
      <c r="M8178" s="142">
        <v>0</v>
      </c>
    </row>
    <row r="8179" spans="1:13" x14ac:dyDescent="0.45">
      <c r="A8179" s="142" t="s">
        <v>13074</v>
      </c>
      <c r="B8179" s="142" t="s">
        <v>15405</v>
      </c>
      <c r="C8179" s="142" t="s">
        <v>15847</v>
      </c>
      <c r="D8179" s="142" t="s">
        <v>15848</v>
      </c>
      <c r="E8179" s="142" t="s">
        <v>15849</v>
      </c>
      <c r="F8179" s="142" t="s">
        <v>172</v>
      </c>
      <c r="G8179" s="142" t="s">
        <v>5761</v>
      </c>
      <c r="H8179" s="142" t="s">
        <v>24029</v>
      </c>
      <c r="I8179" s="142">
        <v>43</v>
      </c>
      <c r="J8179" s="142">
        <v>34</v>
      </c>
      <c r="K8179" s="142">
        <v>0</v>
      </c>
      <c r="L8179" s="142">
        <v>0</v>
      </c>
      <c r="M8179" s="142">
        <v>9</v>
      </c>
    </row>
    <row r="8180" spans="1:13" x14ac:dyDescent="0.45">
      <c r="A8180" s="142" t="s">
        <v>13075</v>
      </c>
      <c r="B8180" s="142" t="s">
        <v>15598</v>
      </c>
      <c r="C8180" s="142" t="s">
        <v>15847</v>
      </c>
      <c r="D8180" s="142" t="s">
        <v>15848</v>
      </c>
      <c r="E8180" s="142" t="s">
        <v>15849</v>
      </c>
      <c r="F8180" s="142" t="s">
        <v>172</v>
      </c>
      <c r="G8180" s="142" t="s">
        <v>5761</v>
      </c>
      <c r="H8180" s="142" t="s">
        <v>24030</v>
      </c>
      <c r="I8180" s="142">
        <v>125</v>
      </c>
      <c r="J8180" s="142">
        <v>91</v>
      </c>
      <c r="K8180" s="142">
        <v>0</v>
      </c>
      <c r="L8180" s="142">
        <v>0</v>
      </c>
      <c r="M8180" s="142">
        <v>34</v>
      </c>
    </row>
    <row r="8181" spans="1:13" x14ac:dyDescent="0.45">
      <c r="A8181" s="142" t="s">
        <v>13752</v>
      </c>
      <c r="B8181" s="142" t="s">
        <v>14517</v>
      </c>
      <c r="C8181" s="142" t="s">
        <v>15847</v>
      </c>
      <c r="D8181" s="142" t="s">
        <v>15848</v>
      </c>
      <c r="E8181" s="142" t="s">
        <v>15849</v>
      </c>
      <c r="F8181" s="142" t="s">
        <v>172</v>
      </c>
      <c r="G8181" s="142" t="s">
        <v>5761</v>
      </c>
      <c r="H8181" s="142" t="s">
        <v>24031</v>
      </c>
      <c r="I8181" s="142">
        <v>22</v>
      </c>
      <c r="J8181" s="142">
        <v>22</v>
      </c>
      <c r="K8181" s="142">
        <v>0</v>
      </c>
      <c r="L8181" s="142">
        <v>0</v>
      </c>
      <c r="M8181" s="142">
        <v>0</v>
      </c>
    </row>
    <row r="8182" spans="1:13" x14ac:dyDescent="0.45">
      <c r="A8182" s="142" t="s">
        <v>13001</v>
      </c>
      <c r="B8182" s="142" t="s">
        <v>15506</v>
      </c>
      <c r="C8182" s="142" t="s">
        <v>15847</v>
      </c>
      <c r="D8182" s="142" t="s">
        <v>15848</v>
      </c>
      <c r="E8182" s="142" t="s">
        <v>15849</v>
      </c>
      <c r="F8182" s="142" t="s">
        <v>172</v>
      </c>
      <c r="G8182" s="142" t="s">
        <v>5761</v>
      </c>
      <c r="H8182" s="142" t="s">
        <v>24032</v>
      </c>
      <c r="I8182" s="142">
        <v>26</v>
      </c>
      <c r="J8182" s="142">
        <v>26</v>
      </c>
      <c r="K8182" s="142">
        <v>0</v>
      </c>
      <c r="L8182" s="142">
        <v>0</v>
      </c>
      <c r="M8182" s="142">
        <v>0</v>
      </c>
    </row>
    <row r="8183" spans="1:13" x14ac:dyDescent="0.45">
      <c r="A8183" s="142" t="s">
        <v>13603</v>
      </c>
      <c r="B8183" s="142" t="s">
        <v>14439</v>
      </c>
      <c r="C8183" s="142" t="s">
        <v>15847</v>
      </c>
      <c r="D8183" s="142" t="s">
        <v>15848</v>
      </c>
      <c r="E8183" s="142" t="s">
        <v>15849</v>
      </c>
      <c r="F8183" s="142" t="s">
        <v>172</v>
      </c>
      <c r="G8183" s="142" t="s">
        <v>5761</v>
      </c>
      <c r="H8183" s="142" t="s">
        <v>24033</v>
      </c>
      <c r="I8183" s="142">
        <v>1</v>
      </c>
      <c r="J8183" s="142">
        <v>1</v>
      </c>
      <c r="K8183" s="142">
        <v>0</v>
      </c>
      <c r="L8183" s="142">
        <v>0</v>
      </c>
      <c r="M8183" s="142">
        <v>0</v>
      </c>
    </row>
    <row r="8184" spans="1:13" x14ac:dyDescent="0.45">
      <c r="A8184" s="142" t="s">
        <v>13215</v>
      </c>
      <c r="B8184" s="142" t="s">
        <v>15334</v>
      </c>
      <c r="C8184" s="142" t="s">
        <v>15847</v>
      </c>
      <c r="D8184" s="142" t="s">
        <v>15848</v>
      </c>
      <c r="E8184" s="142" t="s">
        <v>15849</v>
      </c>
      <c r="F8184" s="142" t="s">
        <v>172</v>
      </c>
      <c r="G8184" s="142" t="s">
        <v>5761</v>
      </c>
      <c r="H8184" s="142" t="s">
        <v>24034</v>
      </c>
      <c r="I8184" s="142">
        <v>10</v>
      </c>
      <c r="J8184" s="142">
        <v>10</v>
      </c>
      <c r="K8184" s="142">
        <v>0</v>
      </c>
      <c r="L8184" s="142">
        <v>0</v>
      </c>
      <c r="M8184" s="142">
        <v>0</v>
      </c>
    </row>
    <row r="8185" spans="1:13" x14ac:dyDescent="0.45">
      <c r="A8185" s="142" t="s">
        <v>13028</v>
      </c>
      <c r="B8185" s="142" t="s">
        <v>14462</v>
      </c>
      <c r="C8185" s="142" t="s">
        <v>15847</v>
      </c>
      <c r="D8185" s="142" t="s">
        <v>15848</v>
      </c>
      <c r="E8185" s="142" t="s">
        <v>15849</v>
      </c>
      <c r="F8185" s="142" t="s">
        <v>172</v>
      </c>
      <c r="G8185" s="142" t="s">
        <v>5761</v>
      </c>
      <c r="H8185" s="142" t="s">
        <v>24035</v>
      </c>
      <c r="I8185" s="142">
        <v>65</v>
      </c>
      <c r="J8185" s="142">
        <v>0</v>
      </c>
      <c r="K8185" s="142">
        <v>0</v>
      </c>
      <c r="L8185" s="142">
        <v>0</v>
      </c>
      <c r="M8185" s="142">
        <v>65</v>
      </c>
    </row>
    <row r="8186" spans="1:13" x14ac:dyDescent="0.45">
      <c r="A8186" s="142" t="s">
        <v>13003</v>
      </c>
      <c r="B8186" s="142" t="s">
        <v>15245</v>
      </c>
      <c r="C8186" s="142" t="s">
        <v>15847</v>
      </c>
      <c r="D8186" s="142" t="s">
        <v>15848</v>
      </c>
      <c r="E8186" s="142" t="s">
        <v>15849</v>
      </c>
      <c r="F8186" s="142" t="s">
        <v>172</v>
      </c>
      <c r="G8186" s="142" t="s">
        <v>5761</v>
      </c>
      <c r="H8186" s="142" t="s">
        <v>24036</v>
      </c>
      <c r="I8186" s="142">
        <v>6</v>
      </c>
      <c r="J8186" s="142">
        <v>6</v>
      </c>
      <c r="K8186" s="142">
        <v>0</v>
      </c>
      <c r="L8186" s="142">
        <v>0</v>
      </c>
      <c r="M8186" s="142">
        <v>0</v>
      </c>
    </row>
    <row r="8187" spans="1:13" x14ac:dyDescent="0.45">
      <c r="A8187" s="142" t="s">
        <v>13004</v>
      </c>
      <c r="B8187" s="142" t="s">
        <v>15492</v>
      </c>
      <c r="C8187" s="142" t="s">
        <v>15847</v>
      </c>
      <c r="D8187" s="142" t="s">
        <v>15848</v>
      </c>
      <c r="E8187" s="142" t="s">
        <v>15849</v>
      </c>
      <c r="F8187" s="142" t="s">
        <v>172</v>
      </c>
      <c r="G8187" s="142" t="s">
        <v>5761</v>
      </c>
      <c r="H8187" s="142" t="s">
        <v>24037</v>
      </c>
      <c r="I8187" s="142">
        <v>781</v>
      </c>
      <c r="J8187" s="142">
        <v>406</v>
      </c>
      <c r="K8187" s="142">
        <v>0</v>
      </c>
      <c r="L8187" s="142">
        <v>0</v>
      </c>
      <c r="M8187" s="142">
        <v>375</v>
      </c>
    </row>
    <row r="8188" spans="1:13" x14ac:dyDescent="0.45">
      <c r="A8188" s="142" t="s">
        <v>13005</v>
      </c>
      <c r="B8188" s="142" t="s">
        <v>15475</v>
      </c>
      <c r="C8188" s="142" t="s">
        <v>15847</v>
      </c>
      <c r="D8188" s="142" t="s">
        <v>15848</v>
      </c>
      <c r="E8188" s="142" t="s">
        <v>15849</v>
      </c>
      <c r="F8188" s="142" t="s">
        <v>172</v>
      </c>
      <c r="G8188" s="142" t="s">
        <v>5761</v>
      </c>
      <c r="H8188" s="142" t="s">
        <v>24038</v>
      </c>
      <c r="I8188" s="142">
        <v>3</v>
      </c>
      <c r="J8188" s="142">
        <v>0</v>
      </c>
      <c r="K8188" s="142">
        <v>0</v>
      </c>
      <c r="L8188" s="142">
        <v>0</v>
      </c>
      <c r="M8188" s="142">
        <v>3</v>
      </c>
    </row>
    <row r="8189" spans="1:13" x14ac:dyDescent="0.45">
      <c r="A8189" s="142" t="s">
        <v>14266</v>
      </c>
      <c r="B8189" s="142" t="s">
        <v>15124</v>
      </c>
      <c r="C8189" s="142" t="s">
        <v>15860</v>
      </c>
      <c r="D8189" s="142" t="s">
        <v>15861</v>
      </c>
      <c r="E8189" s="142" t="s">
        <v>15849</v>
      </c>
      <c r="F8189" s="142" t="s">
        <v>172</v>
      </c>
      <c r="G8189" s="142" t="s">
        <v>5761</v>
      </c>
      <c r="H8189" s="142" t="s">
        <v>24039</v>
      </c>
      <c r="I8189" s="142">
        <v>17</v>
      </c>
      <c r="J8189" s="142">
        <v>17</v>
      </c>
      <c r="K8189" s="142">
        <v>0</v>
      </c>
      <c r="L8189" s="142">
        <v>0</v>
      </c>
      <c r="M8189" s="142">
        <v>0</v>
      </c>
    </row>
    <row r="8190" spans="1:13" x14ac:dyDescent="0.45">
      <c r="A8190" s="142" t="s">
        <v>13029</v>
      </c>
      <c r="B8190" s="142" t="s">
        <v>14665</v>
      </c>
      <c r="C8190" s="142" t="s">
        <v>15847</v>
      </c>
      <c r="D8190" s="142" t="s">
        <v>15848</v>
      </c>
      <c r="E8190" s="142" t="s">
        <v>15849</v>
      </c>
      <c r="F8190" s="142" t="s">
        <v>172</v>
      </c>
      <c r="G8190" s="142" t="s">
        <v>5761</v>
      </c>
      <c r="H8190" s="142" t="s">
        <v>24040</v>
      </c>
      <c r="I8190" s="142">
        <v>70</v>
      </c>
      <c r="J8190" s="142">
        <v>0</v>
      </c>
      <c r="K8190" s="142">
        <v>0</v>
      </c>
      <c r="L8190" s="142">
        <v>0</v>
      </c>
      <c r="M8190" s="142">
        <v>70</v>
      </c>
    </row>
    <row r="8191" spans="1:13" x14ac:dyDescent="0.45">
      <c r="A8191" s="142" t="s">
        <v>14267</v>
      </c>
      <c r="B8191" s="142" t="s">
        <v>15125</v>
      </c>
      <c r="C8191" s="142" t="s">
        <v>15860</v>
      </c>
      <c r="D8191" s="142" t="s">
        <v>15861</v>
      </c>
      <c r="E8191" s="142" t="s">
        <v>15849</v>
      </c>
      <c r="F8191" s="142" t="s">
        <v>172</v>
      </c>
      <c r="G8191" s="142" t="s">
        <v>5761</v>
      </c>
      <c r="H8191" s="142" t="s">
        <v>24041</v>
      </c>
      <c r="I8191" s="142">
        <v>36</v>
      </c>
      <c r="J8191" s="142">
        <v>36</v>
      </c>
      <c r="K8191" s="142">
        <v>0</v>
      </c>
      <c r="L8191" s="142">
        <v>0</v>
      </c>
      <c r="M8191" s="142">
        <v>0</v>
      </c>
    </row>
    <row r="8192" spans="1:13" x14ac:dyDescent="0.45">
      <c r="A8192" s="142" t="s">
        <v>13007</v>
      </c>
      <c r="B8192" s="142" t="s">
        <v>15262</v>
      </c>
      <c r="C8192" s="142" t="s">
        <v>15847</v>
      </c>
      <c r="D8192" s="142" t="s">
        <v>15848</v>
      </c>
      <c r="E8192" s="142" t="s">
        <v>15849</v>
      </c>
      <c r="F8192" s="142" t="s">
        <v>172</v>
      </c>
      <c r="G8192" s="142" t="s">
        <v>5761</v>
      </c>
      <c r="H8192" s="142" t="s">
        <v>24042</v>
      </c>
      <c r="I8192" s="142">
        <v>1079</v>
      </c>
      <c r="J8192" s="142">
        <v>830</v>
      </c>
      <c r="K8192" s="142">
        <v>0</v>
      </c>
      <c r="L8192" s="142">
        <v>6</v>
      </c>
      <c r="M8192" s="142">
        <v>243</v>
      </c>
    </row>
    <row r="8193" spans="1:13" x14ac:dyDescent="0.45">
      <c r="A8193" s="142" t="s">
        <v>13340</v>
      </c>
      <c r="B8193" s="142" t="s">
        <v>14499</v>
      </c>
      <c r="C8193" s="142" t="s">
        <v>15860</v>
      </c>
      <c r="D8193" s="142" t="s">
        <v>15861</v>
      </c>
      <c r="E8193" s="142" t="s">
        <v>15849</v>
      </c>
      <c r="F8193" s="142" t="s">
        <v>172</v>
      </c>
      <c r="G8193" s="142" t="s">
        <v>5761</v>
      </c>
      <c r="H8193" s="142" t="s">
        <v>24043</v>
      </c>
      <c r="I8193" s="142">
        <v>1</v>
      </c>
      <c r="J8193" s="142">
        <v>1</v>
      </c>
      <c r="K8193" s="142">
        <v>0</v>
      </c>
      <c r="L8193" s="142">
        <v>0</v>
      </c>
      <c r="M8193" s="142">
        <v>0</v>
      </c>
    </row>
    <row r="8194" spans="1:13" x14ac:dyDescent="0.45">
      <c r="A8194" s="142" t="s">
        <v>13008</v>
      </c>
      <c r="B8194" s="142" t="s">
        <v>15411</v>
      </c>
      <c r="C8194" s="142" t="s">
        <v>15847</v>
      </c>
      <c r="D8194" s="142" t="s">
        <v>15848</v>
      </c>
      <c r="E8194" s="142" t="s">
        <v>15849</v>
      </c>
      <c r="F8194" s="142" t="s">
        <v>172</v>
      </c>
      <c r="G8194" s="142" t="s">
        <v>5761</v>
      </c>
      <c r="H8194" s="142" t="s">
        <v>24044</v>
      </c>
      <c r="I8194" s="142">
        <v>9</v>
      </c>
      <c r="J8194" s="142">
        <v>0</v>
      </c>
      <c r="K8194" s="142">
        <v>0</v>
      </c>
      <c r="L8194" s="142">
        <v>0</v>
      </c>
      <c r="M8194" s="142">
        <v>9</v>
      </c>
    </row>
    <row r="8195" spans="1:13" x14ac:dyDescent="0.45">
      <c r="A8195" s="142" t="s">
        <v>13077</v>
      </c>
      <c r="B8195" s="142" t="s">
        <v>15407</v>
      </c>
      <c r="C8195" s="142" t="s">
        <v>15847</v>
      </c>
      <c r="D8195" s="142" t="s">
        <v>15848</v>
      </c>
      <c r="E8195" s="142" t="s">
        <v>15849</v>
      </c>
      <c r="F8195" s="142" t="s">
        <v>172</v>
      </c>
      <c r="G8195" s="142" t="s">
        <v>5761</v>
      </c>
      <c r="H8195" s="142" t="s">
        <v>24045</v>
      </c>
      <c r="I8195" s="142">
        <v>8</v>
      </c>
      <c r="J8195" s="142">
        <v>8</v>
      </c>
      <c r="K8195" s="142">
        <v>0</v>
      </c>
      <c r="L8195" s="142">
        <v>0</v>
      </c>
      <c r="M8195" s="142">
        <v>0</v>
      </c>
    </row>
    <row r="8196" spans="1:13" x14ac:dyDescent="0.45">
      <c r="A8196" s="142" t="s">
        <v>13033</v>
      </c>
      <c r="B8196" s="142" t="s">
        <v>15276</v>
      </c>
      <c r="C8196" s="142" t="s">
        <v>15847</v>
      </c>
      <c r="D8196" s="142" t="s">
        <v>15848</v>
      </c>
      <c r="E8196" s="142" t="s">
        <v>15849</v>
      </c>
      <c r="F8196" s="142" t="s">
        <v>172</v>
      </c>
      <c r="G8196" s="142" t="s">
        <v>5761</v>
      </c>
      <c r="H8196" s="142" t="s">
        <v>24046</v>
      </c>
      <c r="I8196" s="142">
        <v>129</v>
      </c>
      <c r="J8196" s="142">
        <v>129</v>
      </c>
      <c r="K8196" s="142">
        <v>0</v>
      </c>
      <c r="L8196" s="142">
        <v>0</v>
      </c>
      <c r="M8196" s="142">
        <v>0</v>
      </c>
    </row>
    <row r="8197" spans="1:13" x14ac:dyDescent="0.45">
      <c r="A8197" s="142" t="s">
        <v>13034</v>
      </c>
      <c r="B8197" s="142" t="s">
        <v>15562</v>
      </c>
      <c r="C8197" s="142" t="s">
        <v>15847</v>
      </c>
      <c r="D8197" s="142" t="s">
        <v>15848</v>
      </c>
      <c r="E8197" s="142" t="s">
        <v>15849</v>
      </c>
      <c r="F8197" s="142" t="s">
        <v>172</v>
      </c>
      <c r="G8197" s="142" t="s">
        <v>5761</v>
      </c>
      <c r="H8197" s="142" t="s">
        <v>24047</v>
      </c>
      <c r="I8197" s="142">
        <v>20</v>
      </c>
      <c r="J8197" s="142">
        <v>0</v>
      </c>
      <c r="K8197" s="142">
        <v>0</v>
      </c>
      <c r="L8197" s="142">
        <v>20</v>
      </c>
      <c r="M8197" s="142">
        <v>0</v>
      </c>
    </row>
    <row r="8198" spans="1:13" x14ac:dyDescent="0.45">
      <c r="A8198" s="142" t="s">
        <v>13037</v>
      </c>
      <c r="B8198" s="142" t="s">
        <v>14519</v>
      </c>
      <c r="C8198" s="142" t="s">
        <v>15847</v>
      </c>
      <c r="D8198" s="142" t="s">
        <v>15848</v>
      </c>
      <c r="E8198" s="142" t="s">
        <v>15849</v>
      </c>
      <c r="F8198" s="142" t="s">
        <v>172</v>
      </c>
      <c r="G8198" s="142" t="s">
        <v>5761</v>
      </c>
      <c r="H8198" s="142" t="s">
        <v>24048</v>
      </c>
      <c r="I8198" s="142">
        <v>20</v>
      </c>
      <c r="J8198" s="142">
        <v>0</v>
      </c>
      <c r="K8198" s="142">
        <v>0</v>
      </c>
      <c r="L8198" s="142">
        <v>20</v>
      </c>
      <c r="M8198" s="142">
        <v>0</v>
      </c>
    </row>
    <row r="8199" spans="1:13" x14ac:dyDescent="0.45">
      <c r="A8199" s="142" t="s">
        <v>13038</v>
      </c>
      <c r="B8199" s="142" t="s">
        <v>14646</v>
      </c>
      <c r="C8199" s="142" t="s">
        <v>15847</v>
      </c>
      <c r="D8199" s="142" t="s">
        <v>15848</v>
      </c>
      <c r="E8199" s="142" t="s">
        <v>15849</v>
      </c>
      <c r="F8199" s="142" t="s">
        <v>172</v>
      </c>
      <c r="G8199" s="142" t="s">
        <v>5761</v>
      </c>
      <c r="H8199" s="142" t="s">
        <v>24049</v>
      </c>
      <c r="I8199" s="142">
        <v>33</v>
      </c>
      <c r="J8199" s="142">
        <v>23</v>
      </c>
      <c r="K8199" s="142">
        <v>0</v>
      </c>
      <c r="L8199" s="142">
        <v>0</v>
      </c>
      <c r="M8199" s="142">
        <v>10</v>
      </c>
    </row>
    <row r="8200" spans="1:13" x14ac:dyDescent="0.45">
      <c r="A8200" s="142" t="s">
        <v>13039</v>
      </c>
      <c r="B8200" s="142" t="s">
        <v>14647</v>
      </c>
      <c r="C8200" s="142" t="s">
        <v>15847</v>
      </c>
      <c r="D8200" s="142" t="s">
        <v>15848</v>
      </c>
      <c r="E8200" s="142" t="s">
        <v>15849</v>
      </c>
      <c r="F8200" s="142" t="s">
        <v>172</v>
      </c>
      <c r="G8200" s="142" t="s">
        <v>5761</v>
      </c>
      <c r="H8200" s="142" t="s">
        <v>24050</v>
      </c>
      <c r="I8200" s="142">
        <v>9</v>
      </c>
      <c r="J8200" s="142">
        <v>9</v>
      </c>
      <c r="K8200" s="142">
        <v>0</v>
      </c>
      <c r="L8200" s="142">
        <v>0</v>
      </c>
      <c r="M8200" s="142">
        <v>0</v>
      </c>
    </row>
    <row r="8201" spans="1:13" x14ac:dyDescent="0.45">
      <c r="A8201" s="142" t="s">
        <v>13091</v>
      </c>
      <c r="B8201" s="142" t="s">
        <v>14473</v>
      </c>
      <c r="C8201" s="142" t="s">
        <v>15847</v>
      </c>
      <c r="D8201" s="142" t="s">
        <v>15848</v>
      </c>
      <c r="E8201" s="142" t="s">
        <v>15849</v>
      </c>
      <c r="F8201" s="142" t="s">
        <v>172</v>
      </c>
      <c r="G8201" s="142" t="s">
        <v>5761</v>
      </c>
      <c r="H8201" s="142" t="s">
        <v>24051</v>
      </c>
      <c r="I8201" s="142">
        <v>145</v>
      </c>
      <c r="J8201" s="142">
        <v>72</v>
      </c>
      <c r="K8201" s="142">
        <v>0</v>
      </c>
      <c r="L8201" s="142">
        <v>0</v>
      </c>
      <c r="M8201" s="142">
        <v>73</v>
      </c>
    </row>
    <row r="8202" spans="1:13" x14ac:dyDescent="0.45">
      <c r="A8202" s="142" t="s">
        <v>13009</v>
      </c>
      <c r="B8202" s="142" t="s">
        <v>15256</v>
      </c>
      <c r="C8202" s="142" t="s">
        <v>15847</v>
      </c>
      <c r="D8202" s="142" t="s">
        <v>15848</v>
      </c>
      <c r="E8202" s="142" t="s">
        <v>15849</v>
      </c>
      <c r="F8202" s="142" t="s">
        <v>172</v>
      </c>
      <c r="G8202" s="142" t="s">
        <v>5761</v>
      </c>
      <c r="H8202" s="142" t="s">
        <v>24052</v>
      </c>
      <c r="I8202" s="142">
        <v>39</v>
      </c>
      <c r="J8202" s="142">
        <v>16</v>
      </c>
      <c r="K8202" s="142">
        <v>0</v>
      </c>
      <c r="L8202" s="142">
        <v>17</v>
      </c>
      <c r="M8202" s="142">
        <v>6</v>
      </c>
    </row>
    <row r="8203" spans="1:13" x14ac:dyDescent="0.45">
      <c r="A8203" s="142" t="s">
        <v>13011</v>
      </c>
      <c r="B8203" s="142" t="s">
        <v>14695</v>
      </c>
      <c r="C8203" s="142" t="s">
        <v>15847</v>
      </c>
      <c r="D8203" s="142" t="s">
        <v>15848</v>
      </c>
      <c r="E8203" s="142" t="s">
        <v>15849</v>
      </c>
      <c r="F8203" s="142" t="s">
        <v>172</v>
      </c>
      <c r="G8203" s="142" t="s">
        <v>5761</v>
      </c>
      <c r="H8203" s="142" t="s">
        <v>24053</v>
      </c>
      <c r="I8203" s="142">
        <v>6762</v>
      </c>
      <c r="J8203" s="142">
        <v>6235</v>
      </c>
      <c r="K8203" s="142">
        <v>0</v>
      </c>
      <c r="L8203" s="142">
        <v>326</v>
      </c>
      <c r="M8203" s="142">
        <v>201</v>
      </c>
    </row>
    <row r="8204" spans="1:13" x14ac:dyDescent="0.45">
      <c r="A8204" s="142" t="s">
        <v>13041</v>
      </c>
      <c r="B8204" s="142" t="s">
        <v>14441</v>
      </c>
      <c r="C8204" s="142" t="s">
        <v>15847</v>
      </c>
      <c r="D8204" s="142" t="s">
        <v>15848</v>
      </c>
      <c r="E8204" s="142" t="s">
        <v>15849</v>
      </c>
      <c r="F8204" s="142" t="s">
        <v>172</v>
      </c>
      <c r="G8204" s="142" t="s">
        <v>5761</v>
      </c>
      <c r="H8204" s="142" t="s">
        <v>24054</v>
      </c>
      <c r="I8204" s="142">
        <v>10</v>
      </c>
      <c r="J8204" s="142">
        <v>0</v>
      </c>
      <c r="K8204" s="142">
        <v>0</v>
      </c>
      <c r="L8204" s="142">
        <v>0</v>
      </c>
      <c r="M8204" s="142">
        <v>10</v>
      </c>
    </row>
    <row r="8205" spans="1:13" x14ac:dyDescent="0.45">
      <c r="A8205" s="142" t="s">
        <v>14268</v>
      </c>
      <c r="B8205" s="142" t="s">
        <v>14772</v>
      </c>
      <c r="C8205" s="142" t="s">
        <v>15860</v>
      </c>
      <c r="D8205" s="142" t="s">
        <v>15861</v>
      </c>
      <c r="E8205" s="142" t="s">
        <v>15849</v>
      </c>
      <c r="F8205" s="142" t="s">
        <v>172</v>
      </c>
      <c r="G8205" s="142" t="s">
        <v>5761</v>
      </c>
      <c r="H8205" s="142" t="s">
        <v>24055</v>
      </c>
      <c r="I8205" s="142">
        <v>69</v>
      </c>
      <c r="J8205" s="142">
        <v>0</v>
      </c>
      <c r="K8205" s="142">
        <v>0</v>
      </c>
      <c r="L8205" s="142">
        <v>69</v>
      </c>
      <c r="M8205" s="142">
        <v>0</v>
      </c>
    </row>
    <row r="8206" spans="1:13" x14ac:dyDescent="0.45">
      <c r="A8206" s="142" t="s">
        <v>13042</v>
      </c>
      <c r="B8206" s="142" t="s">
        <v>15489</v>
      </c>
      <c r="C8206" s="142" t="s">
        <v>15847</v>
      </c>
      <c r="D8206" s="142" t="s">
        <v>15848</v>
      </c>
      <c r="E8206" s="142" t="s">
        <v>15849</v>
      </c>
      <c r="F8206" s="142" t="s">
        <v>172</v>
      </c>
      <c r="G8206" s="142" t="s">
        <v>5761</v>
      </c>
      <c r="H8206" s="142" t="s">
        <v>24056</v>
      </c>
      <c r="I8206" s="142">
        <v>291</v>
      </c>
      <c r="J8206" s="142">
        <v>153</v>
      </c>
      <c r="K8206" s="142">
        <v>0</v>
      </c>
      <c r="L8206" s="142">
        <v>134</v>
      </c>
      <c r="M8206" s="142">
        <v>4</v>
      </c>
    </row>
    <row r="8207" spans="1:13" x14ac:dyDescent="0.45">
      <c r="A8207" s="142" t="s">
        <v>13080</v>
      </c>
      <c r="B8207" s="142" t="s">
        <v>15553</v>
      </c>
      <c r="C8207" s="142" t="s">
        <v>15847</v>
      </c>
      <c r="D8207" s="142" t="s">
        <v>15848</v>
      </c>
      <c r="E8207" s="142" t="s">
        <v>15849</v>
      </c>
      <c r="F8207" s="142" t="s">
        <v>172</v>
      </c>
      <c r="G8207" s="142" t="s">
        <v>5761</v>
      </c>
      <c r="H8207" s="142" t="s">
        <v>24057</v>
      </c>
      <c r="I8207" s="142">
        <v>221</v>
      </c>
      <c r="J8207" s="142">
        <v>145</v>
      </c>
      <c r="K8207" s="142">
        <v>0</v>
      </c>
      <c r="L8207" s="142">
        <v>0</v>
      </c>
      <c r="M8207" s="142">
        <v>76</v>
      </c>
    </row>
    <row r="8208" spans="1:13" x14ac:dyDescent="0.45">
      <c r="A8208" s="142" t="s">
        <v>13110</v>
      </c>
      <c r="B8208" s="142" t="s">
        <v>15502</v>
      </c>
      <c r="C8208" s="142" t="s">
        <v>15847</v>
      </c>
      <c r="D8208" s="142" t="s">
        <v>15848</v>
      </c>
      <c r="E8208" s="142" t="s">
        <v>15849</v>
      </c>
      <c r="F8208" s="142" t="s">
        <v>173</v>
      </c>
      <c r="G8208" s="142" t="s">
        <v>1434</v>
      </c>
      <c r="H8208" s="142" t="s">
        <v>24058</v>
      </c>
      <c r="I8208" s="142">
        <v>38</v>
      </c>
      <c r="J8208" s="142">
        <v>35</v>
      </c>
      <c r="K8208" s="142">
        <v>0</v>
      </c>
      <c r="L8208" s="142">
        <v>0</v>
      </c>
      <c r="M8208" s="142">
        <v>3</v>
      </c>
    </row>
    <row r="8209" spans="1:13" x14ac:dyDescent="0.45">
      <c r="A8209" s="142" t="s">
        <v>13046</v>
      </c>
      <c r="B8209" s="142" t="s">
        <v>15537</v>
      </c>
      <c r="C8209" s="142" t="s">
        <v>15860</v>
      </c>
      <c r="D8209" s="142" t="s">
        <v>15861</v>
      </c>
      <c r="E8209" s="142" t="s">
        <v>15849</v>
      </c>
      <c r="F8209" s="142" t="s">
        <v>173</v>
      </c>
      <c r="G8209" s="142" t="s">
        <v>1434</v>
      </c>
      <c r="H8209" s="142" t="s">
        <v>24059</v>
      </c>
      <c r="I8209" s="142">
        <v>24</v>
      </c>
      <c r="J8209" s="142">
        <v>0</v>
      </c>
      <c r="K8209" s="142">
        <v>0</v>
      </c>
      <c r="L8209" s="142">
        <v>24</v>
      </c>
      <c r="M8209" s="142">
        <v>0</v>
      </c>
    </row>
    <row r="8210" spans="1:13" x14ac:dyDescent="0.45">
      <c r="A8210" s="142" t="s">
        <v>13021</v>
      </c>
      <c r="B8210" s="142" t="s">
        <v>15501</v>
      </c>
      <c r="C8210" s="142" t="s">
        <v>15847</v>
      </c>
      <c r="D8210" s="142" t="s">
        <v>15848</v>
      </c>
      <c r="E8210" s="142" t="s">
        <v>15849</v>
      </c>
      <c r="F8210" s="142" t="s">
        <v>173</v>
      </c>
      <c r="G8210" s="142" t="s">
        <v>1434</v>
      </c>
      <c r="H8210" s="142" t="s">
        <v>24060</v>
      </c>
      <c r="I8210" s="142">
        <v>22</v>
      </c>
      <c r="J8210" s="142">
        <v>0</v>
      </c>
      <c r="K8210" s="142">
        <v>0</v>
      </c>
      <c r="L8210" s="142">
        <v>11</v>
      </c>
      <c r="M8210" s="142">
        <v>11</v>
      </c>
    </row>
    <row r="8211" spans="1:13" x14ac:dyDescent="0.45">
      <c r="A8211" s="142" t="s">
        <v>13023</v>
      </c>
      <c r="B8211" s="142" t="s">
        <v>15571</v>
      </c>
      <c r="C8211" s="142" t="s">
        <v>15847</v>
      </c>
      <c r="D8211" s="142" t="s">
        <v>15848</v>
      </c>
      <c r="E8211" s="142" t="s">
        <v>15849</v>
      </c>
      <c r="F8211" s="142" t="s">
        <v>173</v>
      </c>
      <c r="G8211" s="142" t="s">
        <v>1434</v>
      </c>
      <c r="H8211" s="142" t="s">
        <v>24061</v>
      </c>
      <c r="I8211" s="142">
        <v>85</v>
      </c>
      <c r="J8211" s="142">
        <v>0</v>
      </c>
      <c r="K8211" s="142">
        <v>0</v>
      </c>
      <c r="L8211" s="142">
        <v>85</v>
      </c>
      <c r="M8211" s="142">
        <v>0</v>
      </c>
    </row>
    <row r="8212" spans="1:13" x14ac:dyDescent="0.45">
      <c r="A8212" s="142" t="s">
        <v>13047</v>
      </c>
      <c r="B8212" s="142" t="s">
        <v>14616</v>
      </c>
      <c r="C8212" s="142" t="s">
        <v>15847</v>
      </c>
      <c r="D8212" s="142" t="s">
        <v>15848</v>
      </c>
      <c r="E8212" s="142" t="s">
        <v>15849</v>
      </c>
      <c r="F8212" s="142" t="s">
        <v>173</v>
      </c>
      <c r="G8212" s="142" t="s">
        <v>1434</v>
      </c>
      <c r="H8212" s="142" t="s">
        <v>24062</v>
      </c>
      <c r="I8212" s="142">
        <v>11</v>
      </c>
      <c r="J8212" s="142">
        <v>8</v>
      </c>
      <c r="K8212" s="142">
        <v>0</v>
      </c>
      <c r="L8212" s="142">
        <v>0</v>
      </c>
      <c r="M8212" s="142">
        <v>3</v>
      </c>
    </row>
    <row r="8213" spans="1:13" x14ac:dyDescent="0.45">
      <c r="A8213" s="142" t="s">
        <v>13048</v>
      </c>
      <c r="B8213" s="142" t="s">
        <v>14479</v>
      </c>
      <c r="C8213" s="142" t="s">
        <v>15847</v>
      </c>
      <c r="D8213" s="142" t="s">
        <v>15848</v>
      </c>
      <c r="E8213" s="142" t="s">
        <v>15849</v>
      </c>
      <c r="F8213" s="142" t="s">
        <v>173</v>
      </c>
      <c r="G8213" s="142" t="s">
        <v>1434</v>
      </c>
      <c r="H8213" s="142" t="s">
        <v>24063</v>
      </c>
      <c r="I8213" s="142">
        <v>561</v>
      </c>
      <c r="J8213" s="142">
        <v>410</v>
      </c>
      <c r="K8213" s="142">
        <v>0</v>
      </c>
      <c r="L8213" s="142">
        <v>12</v>
      </c>
      <c r="M8213" s="142">
        <v>139</v>
      </c>
    </row>
    <row r="8214" spans="1:13" x14ac:dyDescent="0.45">
      <c r="A8214" s="142" t="s">
        <v>13184</v>
      </c>
      <c r="B8214" s="142" t="s">
        <v>15392</v>
      </c>
      <c r="C8214" s="142" t="s">
        <v>15847</v>
      </c>
      <c r="D8214" s="142" t="s">
        <v>15848</v>
      </c>
      <c r="E8214" s="142" t="s">
        <v>15849</v>
      </c>
      <c r="F8214" s="142" t="s">
        <v>173</v>
      </c>
      <c r="G8214" s="142" t="s">
        <v>1434</v>
      </c>
      <c r="H8214" s="142" t="s">
        <v>24064</v>
      </c>
      <c r="I8214" s="142">
        <v>107</v>
      </c>
      <c r="J8214" s="142">
        <v>107</v>
      </c>
      <c r="K8214" s="142">
        <v>0</v>
      </c>
      <c r="L8214" s="142">
        <v>0</v>
      </c>
      <c r="M8214" s="142">
        <v>0</v>
      </c>
    </row>
    <row r="8215" spans="1:13" x14ac:dyDescent="0.45">
      <c r="A8215" s="142" t="s">
        <v>13235</v>
      </c>
      <c r="B8215" s="142" t="s">
        <v>14573</v>
      </c>
      <c r="C8215" s="142" t="s">
        <v>15847</v>
      </c>
      <c r="D8215" s="142" t="s">
        <v>15848</v>
      </c>
      <c r="E8215" s="142" t="s">
        <v>15849</v>
      </c>
      <c r="F8215" s="142" t="s">
        <v>173</v>
      </c>
      <c r="G8215" s="142" t="s">
        <v>1434</v>
      </c>
      <c r="H8215" s="142" t="s">
        <v>24065</v>
      </c>
      <c r="I8215" s="142">
        <v>231</v>
      </c>
      <c r="J8215" s="142">
        <v>160</v>
      </c>
      <c r="K8215" s="142">
        <v>0</v>
      </c>
      <c r="L8215" s="142">
        <v>35</v>
      </c>
      <c r="M8215" s="142">
        <v>36</v>
      </c>
    </row>
    <row r="8216" spans="1:13" x14ac:dyDescent="0.45">
      <c r="A8216" s="142" t="s">
        <v>13474</v>
      </c>
      <c r="B8216" s="142" t="s">
        <v>15438</v>
      </c>
      <c r="C8216" s="142" t="s">
        <v>15847</v>
      </c>
      <c r="D8216" s="142" t="s">
        <v>15848</v>
      </c>
      <c r="E8216" s="142" t="s">
        <v>15849</v>
      </c>
      <c r="F8216" s="142" t="s">
        <v>173</v>
      </c>
      <c r="G8216" s="142" t="s">
        <v>1434</v>
      </c>
      <c r="H8216" s="142" t="s">
        <v>24066</v>
      </c>
      <c r="I8216" s="142">
        <v>146</v>
      </c>
      <c r="J8216" s="142">
        <v>109</v>
      </c>
      <c r="K8216" s="142">
        <v>0</v>
      </c>
      <c r="L8216" s="142">
        <v>0</v>
      </c>
      <c r="M8216" s="142">
        <v>37</v>
      </c>
    </row>
    <row r="8217" spans="1:13" x14ac:dyDescent="0.45">
      <c r="A8217" s="142" t="s">
        <v>13500</v>
      </c>
      <c r="B8217" s="142" t="s">
        <v>15422</v>
      </c>
      <c r="C8217" s="142" t="s">
        <v>15847</v>
      </c>
      <c r="D8217" s="142" t="s">
        <v>15848</v>
      </c>
      <c r="E8217" s="142" t="s">
        <v>15849</v>
      </c>
      <c r="F8217" s="142" t="s">
        <v>173</v>
      </c>
      <c r="G8217" s="142" t="s">
        <v>1434</v>
      </c>
      <c r="H8217" s="142" t="s">
        <v>24067</v>
      </c>
      <c r="I8217" s="142">
        <v>6</v>
      </c>
      <c r="J8217" s="142">
        <v>0</v>
      </c>
      <c r="K8217" s="142">
        <v>0</v>
      </c>
      <c r="L8217" s="142">
        <v>0</v>
      </c>
      <c r="M8217" s="142">
        <v>6</v>
      </c>
    </row>
    <row r="8218" spans="1:13" x14ac:dyDescent="0.45">
      <c r="A8218" s="142" t="s">
        <v>13027</v>
      </c>
      <c r="B8218" s="142" t="s">
        <v>14562</v>
      </c>
      <c r="C8218" s="142" t="s">
        <v>15847</v>
      </c>
      <c r="D8218" s="142" t="s">
        <v>15848</v>
      </c>
      <c r="E8218" s="142" t="s">
        <v>15849</v>
      </c>
      <c r="F8218" s="142" t="s">
        <v>173</v>
      </c>
      <c r="G8218" s="142" t="s">
        <v>1434</v>
      </c>
      <c r="H8218" s="142" t="s">
        <v>24068</v>
      </c>
      <c r="I8218" s="142">
        <v>26</v>
      </c>
      <c r="J8218" s="142">
        <v>0</v>
      </c>
      <c r="K8218" s="142">
        <v>0</v>
      </c>
      <c r="L8218" s="142">
        <v>26</v>
      </c>
      <c r="M8218" s="142">
        <v>0</v>
      </c>
    </row>
    <row r="8219" spans="1:13" x14ac:dyDescent="0.45">
      <c r="A8219" s="142" t="s">
        <v>13243</v>
      </c>
      <c r="B8219" s="142" t="s">
        <v>15560</v>
      </c>
      <c r="C8219" s="142" t="s">
        <v>15847</v>
      </c>
      <c r="D8219" s="142" t="s">
        <v>15848</v>
      </c>
      <c r="E8219" s="142" t="s">
        <v>15849</v>
      </c>
      <c r="F8219" s="142" t="s">
        <v>173</v>
      </c>
      <c r="G8219" s="142" t="s">
        <v>1434</v>
      </c>
      <c r="H8219" s="142" t="s">
        <v>24069</v>
      </c>
      <c r="I8219" s="142">
        <v>1150</v>
      </c>
      <c r="J8219" s="142">
        <v>725</v>
      </c>
      <c r="K8219" s="142">
        <v>0</v>
      </c>
      <c r="L8219" s="142">
        <v>162</v>
      </c>
      <c r="M8219" s="142">
        <v>263</v>
      </c>
    </row>
    <row r="8220" spans="1:13" x14ac:dyDescent="0.45">
      <c r="A8220" s="142" t="s">
        <v>13001</v>
      </c>
      <c r="B8220" s="142" t="s">
        <v>15506</v>
      </c>
      <c r="C8220" s="142" t="s">
        <v>15847</v>
      </c>
      <c r="D8220" s="142" t="s">
        <v>15848</v>
      </c>
      <c r="E8220" s="142" t="s">
        <v>15849</v>
      </c>
      <c r="F8220" s="142" t="s">
        <v>173</v>
      </c>
      <c r="G8220" s="142" t="s">
        <v>1434</v>
      </c>
      <c r="H8220" s="142" t="s">
        <v>24070</v>
      </c>
      <c r="I8220" s="142">
        <v>36</v>
      </c>
      <c r="J8220" s="142">
        <v>18</v>
      </c>
      <c r="K8220" s="142">
        <v>0</v>
      </c>
      <c r="L8220" s="142">
        <v>18</v>
      </c>
      <c r="M8220" s="142">
        <v>0</v>
      </c>
    </row>
    <row r="8221" spans="1:13" x14ac:dyDescent="0.45">
      <c r="A8221" s="142" t="s">
        <v>13028</v>
      </c>
      <c r="B8221" s="142" t="s">
        <v>14462</v>
      </c>
      <c r="C8221" s="142" t="s">
        <v>15847</v>
      </c>
      <c r="D8221" s="142" t="s">
        <v>15848</v>
      </c>
      <c r="E8221" s="142" t="s">
        <v>15849</v>
      </c>
      <c r="F8221" s="142" t="s">
        <v>173</v>
      </c>
      <c r="G8221" s="142" t="s">
        <v>1434</v>
      </c>
      <c r="H8221" s="142" t="s">
        <v>24071</v>
      </c>
      <c r="I8221" s="142">
        <v>19</v>
      </c>
      <c r="J8221" s="142">
        <v>0</v>
      </c>
      <c r="K8221" s="142">
        <v>0</v>
      </c>
      <c r="L8221" s="142">
        <v>0</v>
      </c>
      <c r="M8221" s="142">
        <v>19</v>
      </c>
    </row>
    <row r="8222" spans="1:13" x14ac:dyDescent="0.45">
      <c r="A8222" s="142" t="s">
        <v>13002</v>
      </c>
      <c r="B8222" s="142" t="s">
        <v>15376</v>
      </c>
      <c r="C8222" s="142" t="s">
        <v>15847</v>
      </c>
      <c r="D8222" s="142" t="s">
        <v>15848</v>
      </c>
      <c r="E8222" s="142" t="s">
        <v>15849</v>
      </c>
      <c r="F8222" s="142" t="s">
        <v>173</v>
      </c>
      <c r="G8222" s="142" t="s">
        <v>1434</v>
      </c>
      <c r="H8222" s="142" t="s">
        <v>24072</v>
      </c>
      <c r="I8222" s="142">
        <v>38</v>
      </c>
      <c r="J8222" s="142">
        <v>0</v>
      </c>
      <c r="K8222" s="142">
        <v>0</v>
      </c>
      <c r="L8222" s="142">
        <v>38</v>
      </c>
      <c r="M8222" s="142">
        <v>0</v>
      </c>
    </row>
    <row r="8223" spans="1:13" x14ac:dyDescent="0.45">
      <c r="A8223" s="142" t="s">
        <v>13003</v>
      </c>
      <c r="B8223" s="142" t="s">
        <v>15245</v>
      </c>
      <c r="C8223" s="142" t="s">
        <v>15847</v>
      </c>
      <c r="D8223" s="142" t="s">
        <v>15848</v>
      </c>
      <c r="E8223" s="142" t="s">
        <v>15849</v>
      </c>
      <c r="F8223" s="142" t="s">
        <v>173</v>
      </c>
      <c r="G8223" s="142" t="s">
        <v>1434</v>
      </c>
      <c r="H8223" s="142" t="s">
        <v>24073</v>
      </c>
      <c r="I8223" s="142">
        <v>129</v>
      </c>
      <c r="J8223" s="142">
        <v>0</v>
      </c>
      <c r="K8223" s="142">
        <v>0</v>
      </c>
      <c r="L8223" s="142">
        <v>114</v>
      </c>
      <c r="M8223" s="142">
        <v>15</v>
      </c>
    </row>
    <row r="8224" spans="1:13" x14ac:dyDescent="0.45">
      <c r="A8224" s="142" t="s">
        <v>13066</v>
      </c>
      <c r="B8224" s="142" t="s">
        <v>14459</v>
      </c>
      <c r="C8224" s="142" t="s">
        <v>15847</v>
      </c>
      <c r="D8224" s="142" t="s">
        <v>15848</v>
      </c>
      <c r="E8224" s="142" t="s">
        <v>15849</v>
      </c>
      <c r="F8224" s="142" t="s">
        <v>173</v>
      </c>
      <c r="G8224" s="142" t="s">
        <v>1434</v>
      </c>
      <c r="H8224" s="142" t="s">
        <v>24074</v>
      </c>
      <c r="I8224" s="142">
        <v>5</v>
      </c>
      <c r="J8224" s="142">
        <v>0</v>
      </c>
      <c r="K8224" s="142">
        <v>0</v>
      </c>
      <c r="L8224" s="142">
        <v>5</v>
      </c>
      <c r="M8224" s="142">
        <v>0</v>
      </c>
    </row>
    <row r="8225" spans="1:13" x14ac:dyDescent="0.45">
      <c r="A8225" s="142" t="s">
        <v>13190</v>
      </c>
      <c r="B8225" s="142" t="s">
        <v>14617</v>
      </c>
      <c r="C8225" s="142" t="s">
        <v>15847</v>
      </c>
      <c r="D8225" s="142" t="s">
        <v>15848</v>
      </c>
      <c r="E8225" s="142" t="s">
        <v>15849</v>
      </c>
      <c r="F8225" s="142" t="s">
        <v>173</v>
      </c>
      <c r="G8225" s="142" t="s">
        <v>1434</v>
      </c>
      <c r="H8225" s="142" t="s">
        <v>24075</v>
      </c>
      <c r="I8225" s="142">
        <v>10</v>
      </c>
      <c r="J8225" s="142">
        <v>0</v>
      </c>
      <c r="K8225" s="142">
        <v>0</v>
      </c>
      <c r="L8225" s="142">
        <v>0</v>
      </c>
      <c r="M8225" s="142">
        <v>10</v>
      </c>
    </row>
    <row r="8226" spans="1:13" x14ac:dyDescent="0.45">
      <c r="A8226" s="142" t="s">
        <v>13005</v>
      </c>
      <c r="B8226" s="142" t="s">
        <v>15475</v>
      </c>
      <c r="C8226" s="142" t="s">
        <v>15847</v>
      </c>
      <c r="D8226" s="142" t="s">
        <v>15848</v>
      </c>
      <c r="E8226" s="142" t="s">
        <v>15849</v>
      </c>
      <c r="F8226" s="142" t="s">
        <v>173</v>
      </c>
      <c r="G8226" s="142" t="s">
        <v>1434</v>
      </c>
      <c r="H8226" s="142" t="s">
        <v>24076</v>
      </c>
      <c r="I8226" s="142">
        <v>1</v>
      </c>
      <c r="J8226" s="142">
        <v>0</v>
      </c>
      <c r="K8226" s="142">
        <v>0</v>
      </c>
      <c r="L8226" s="142">
        <v>0</v>
      </c>
      <c r="M8226" s="142">
        <v>1</v>
      </c>
    </row>
    <row r="8227" spans="1:13" x14ac:dyDescent="0.45">
      <c r="A8227" s="142" t="s">
        <v>13029</v>
      </c>
      <c r="B8227" s="142" t="s">
        <v>14665</v>
      </c>
      <c r="C8227" s="142" t="s">
        <v>15847</v>
      </c>
      <c r="D8227" s="142" t="s">
        <v>15848</v>
      </c>
      <c r="E8227" s="142" t="s">
        <v>15849</v>
      </c>
      <c r="F8227" s="142" t="s">
        <v>173</v>
      </c>
      <c r="G8227" s="142" t="s">
        <v>1434</v>
      </c>
      <c r="H8227" s="142" t="s">
        <v>24077</v>
      </c>
      <c r="I8227" s="142">
        <v>10</v>
      </c>
      <c r="J8227" s="142">
        <v>0</v>
      </c>
      <c r="K8227" s="142">
        <v>0</v>
      </c>
      <c r="L8227" s="142">
        <v>0</v>
      </c>
      <c r="M8227" s="142">
        <v>10</v>
      </c>
    </row>
    <row r="8228" spans="1:13" x14ac:dyDescent="0.45">
      <c r="A8228" s="142" t="s">
        <v>13192</v>
      </c>
      <c r="B8228" s="142" t="s">
        <v>15539</v>
      </c>
      <c r="C8228" s="142" t="s">
        <v>15860</v>
      </c>
      <c r="D8228" s="142" t="s">
        <v>15861</v>
      </c>
      <c r="E8228" s="142" t="s">
        <v>15849</v>
      </c>
      <c r="F8228" s="142" t="s">
        <v>173</v>
      </c>
      <c r="G8228" s="142" t="s">
        <v>1434</v>
      </c>
      <c r="H8228" s="142" t="s">
        <v>24078</v>
      </c>
      <c r="I8228" s="142">
        <v>25</v>
      </c>
      <c r="J8228" s="142">
        <v>0</v>
      </c>
      <c r="K8228" s="142">
        <v>0</v>
      </c>
      <c r="L8228" s="142">
        <v>25</v>
      </c>
      <c r="M8228" s="142">
        <v>0</v>
      </c>
    </row>
    <row r="8229" spans="1:13" x14ac:dyDescent="0.45">
      <c r="A8229" s="142" t="s">
        <v>13007</v>
      </c>
      <c r="B8229" s="142" t="s">
        <v>15262</v>
      </c>
      <c r="C8229" s="142" t="s">
        <v>15847</v>
      </c>
      <c r="D8229" s="142" t="s">
        <v>15848</v>
      </c>
      <c r="E8229" s="142" t="s">
        <v>15849</v>
      </c>
      <c r="F8229" s="142" t="s">
        <v>173</v>
      </c>
      <c r="G8229" s="142" t="s">
        <v>1434</v>
      </c>
      <c r="H8229" s="142" t="s">
        <v>24079</v>
      </c>
      <c r="I8229" s="142">
        <v>8</v>
      </c>
      <c r="J8229" s="142">
        <v>0</v>
      </c>
      <c r="K8229" s="142">
        <v>0</v>
      </c>
      <c r="L8229" s="142">
        <v>0</v>
      </c>
      <c r="M8229" s="142">
        <v>8</v>
      </c>
    </row>
    <row r="8230" spans="1:13" x14ac:dyDescent="0.45">
      <c r="A8230" s="142" t="s">
        <v>13033</v>
      </c>
      <c r="B8230" s="142" t="s">
        <v>15276</v>
      </c>
      <c r="C8230" s="142" t="s">
        <v>15847</v>
      </c>
      <c r="D8230" s="142" t="s">
        <v>15848</v>
      </c>
      <c r="E8230" s="142" t="s">
        <v>15849</v>
      </c>
      <c r="F8230" s="142" t="s">
        <v>173</v>
      </c>
      <c r="G8230" s="142" t="s">
        <v>1434</v>
      </c>
      <c r="H8230" s="142" t="s">
        <v>24080</v>
      </c>
      <c r="I8230" s="142">
        <v>157</v>
      </c>
      <c r="J8230" s="142">
        <v>97</v>
      </c>
      <c r="K8230" s="142">
        <v>0</v>
      </c>
      <c r="L8230" s="142">
        <v>0</v>
      </c>
      <c r="M8230" s="142">
        <v>60</v>
      </c>
    </row>
    <row r="8231" spans="1:13" x14ac:dyDescent="0.45">
      <c r="A8231" s="142" t="s">
        <v>13034</v>
      </c>
      <c r="B8231" s="142" t="s">
        <v>15562</v>
      </c>
      <c r="C8231" s="142" t="s">
        <v>15847</v>
      </c>
      <c r="D8231" s="142" t="s">
        <v>15848</v>
      </c>
      <c r="E8231" s="142" t="s">
        <v>15849</v>
      </c>
      <c r="F8231" s="142" t="s">
        <v>173</v>
      </c>
      <c r="G8231" s="142" t="s">
        <v>1434</v>
      </c>
      <c r="H8231" s="142" t="s">
        <v>24081</v>
      </c>
      <c r="I8231" s="142">
        <v>11</v>
      </c>
      <c r="J8231" s="142">
        <v>0</v>
      </c>
      <c r="K8231" s="142">
        <v>0</v>
      </c>
      <c r="L8231" s="142">
        <v>5</v>
      </c>
      <c r="M8231" s="142">
        <v>6</v>
      </c>
    </row>
    <row r="8232" spans="1:13" x14ac:dyDescent="0.45">
      <c r="A8232" s="142" t="s">
        <v>13038</v>
      </c>
      <c r="B8232" s="142" t="s">
        <v>14646</v>
      </c>
      <c r="C8232" s="142" t="s">
        <v>15847</v>
      </c>
      <c r="D8232" s="142" t="s">
        <v>15848</v>
      </c>
      <c r="E8232" s="142" t="s">
        <v>15849</v>
      </c>
      <c r="F8232" s="142" t="s">
        <v>173</v>
      </c>
      <c r="G8232" s="142" t="s">
        <v>1434</v>
      </c>
      <c r="H8232" s="142" t="s">
        <v>24082</v>
      </c>
      <c r="I8232" s="142">
        <v>19</v>
      </c>
      <c r="J8232" s="142">
        <v>0</v>
      </c>
      <c r="K8232" s="142">
        <v>0</v>
      </c>
      <c r="L8232" s="142">
        <v>0</v>
      </c>
      <c r="M8232" s="142">
        <v>19</v>
      </c>
    </row>
    <row r="8233" spans="1:13" x14ac:dyDescent="0.45">
      <c r="A8233" s="142" t="s">
        <v>13078</v>
      </c>
      <c r="B8233" s="142" t="s">
        <v>15540</v>
      </c>
      <c r="C8233" s="142" t="s">
        <v>15847</v>
      </c>
      <c r="D8233" s="142" t="s">
        <v>15848</v>
      </c>
      <c r="E8233" s="142" t="s">
        <v>15849</v>
      </c>
      <c r="F8233" s="142" t="s">
        <v>173</v>
      </c>
      <c r="G8233" s="142" t="s">
        <v>1434</v>
      </c>
      <c r="H8233" s="142" t="s">
        <v>24083</v>
      </c>
      <c r="I8233" s="142">
        <v>90</v>
      </c>
      <c r="J8233" s="142">
        <v>90</v>
      </c>
      <c r="K8233" s="142">
        <v>0</v>
      </c>
      <c r="L8233" s="142">
        <v>0</v>
      </c>
      <c r="M8233" s="142">
        <v>0</v>
      </c>
    </row>
    <row r="8234" spans="1:13" x14ac:dyDescent="0.45">
      <c r="A8234" s="142" t="s">
        <v>13009</v>
      </c>
      <c r="B8234" s="142" t="s">
        <v>15256</v>
      </c>
      <c r="C8234" s="142" t="s">
        <v>15847</v>
      </c>
      <c r="D8234" s="142" t="s">
        <v>15848</v>
      </c>
      <c r="E8234" s="142" t="s">
        <v>15849</v>
      </c>
      <c r="F8234" s="142" t="s">
        <v>173</v>
      </c>
      <c r="G8234" s="142" t="s">
        <v>1434</v>
      </c>
      <c r="H8234" s="142" t="s">
        <v>24084</v>
      </c>
      <c r="I8234" s="142">
        <v>886</v>
      </c>
      <c r="J8234" s="142">
        <v>385</v>
      </c>
      <c r="K8234" s="142">
        <v>0</v>
      </c>
      <c r="L8234" s="142">
        <v>469</v>
      </c>
      <c r="M8234" s="142">
        <v>32</v>
      </c>
    </row>
    <row r="8235" spans="1:13" x14ac:dyDescent="0.45">
      <c r="A8235" s="142" t="s">
        <v>13403</v>
      </c>
      <c r="B8235" s="142" t="s">
        <v>15412</v>
      </c>
      <c r="C8235" s="142" t="s">
        <v>15847</v>
      </c>
      <c r="D8235" s="142" t="s">
        <v>15848</v>
      </c>
      <c r="E8235" s="142" t="s">
        <v>15849</v>
      </c>
      <c r="F8235" s="142" t="s">
        <v>173</v>
      </c>
      <c r="G8235" s="142" t="s">
        <v>1434</v>
      </c>
      <c r="H8235" s="142" t="s">
        <v>24085</v>
      </c>
      <c r="I8235" s="142">
        <v>115</v>
      </c>
      <c r="J8235" s="142">
        <v>96</v>
      </c>
      <c r="K8235" s="142">
        <v>0</v>
      </c>
      <c r="L8235" s="142">
        <v>0</v>
      </c>
      <c r="M8235" s="142">
        <v>19</v>
      </c>
    </row>
    <row r="8236" spans="1:13" x14ac:dyDescent="0.45">
      <c r="A8236" s="142" t="s">
        <v>13058</v>
      </c>
      <c r="B8236" s="142" t="s">
        <v>14584</v>
      </c>
      <c r="C8236" s="142" t="s">
        <v>15847</v>
      </c>
      <c r="D8236" s="142" t="s">
        <v>15848</v>
      </c>
      <c r="E8236" s="142" t="s">
        <v>15849</v>
      </c>
      <c r="F8236" s="142" t="s">
        <v>173</v>
      </c>
      <c r="G8236" s="142" t="s">
        <v>1434</v>
      </c>
      <c r="H8236" s="142" t="s">
        <v>24086</v>
      </c>
      <c r="I8236" s="142">
        <v>1684</v>
      </c>
      <c r="J8236" s="142">
        <v>1257</v>
      </c>
      <c r="K8236" s="142">
        <v>0</v>
      </c>
      <c r="L8236" s="142">
        <v>0</v>
      </c>
      <c r="M8236" s="142">
        <v>427</v>
      </c>
    </row>
    <row r="8237" spans="1:13" x14ac:dyDescent="0.45">
      <c r="A8237" s="142" t="s">
        <v>13205</v>
      </c>
      <c r="B8237" s="142" t="s">
        <v>14496</v>
      </c>
      <c r="C8237" s="142" t="s">
        <v>15847</v>
      </c>
      <c r="D8237" s="142" t="s">
        <v>15848</v>
      </c>
      <c r="E8237" s="142" t="s">
        <v>15849</v>
      </c>
      <c r="F8237" s="142" t="s">
        <v>173</v>
      </c>
      <c r="G8237" s="142" t="s">
        <v>1434</v>
      </c>
      <c r="H8237" s="142" t="s">
        <v>24087</v>
      </c>
      <c r="I8237" s="142">
        <v>15</v>
      </c>
      <c r="J8237" s="142">
        <v>15</v>
      </c>
      <c r="K8237" s="142">
        <v>0</v>
      </c>
      <c r="L8237" s="142">
        <v>0</v>
      </c>
      <c r="M8237" s="142">
        <v>0</v>
      </c>
    </row>
    <row r="8238" spans="1:13" x14ac:dyDescent="0.45">
      <c r="A8238" s="142" t="s">
        <v>13012</v>
      </c>
      <c r="B8238" s="142" t="s">
        <v>15337</v>
      </c>
      <c r="C8238" s="142" t="s">
        <v>15847</v>
      </c>
      <c r="D8238" s="142" t="s">
        <v>15848</v>
      </c>
      <c r="E8238" s="142" t="s">
        <v>15849</v>
      </c>
      <c r="F8238" s="142" t="s">
        <v>173</v>
      </c>
      <c r="G8238" s="142" t="s">
        <v>1434</v>
      </c>
      <c r="H8238" s="142" t="s">
        <v>24088</v>
      </c>
      <c r="I8238" s="142">
        <v>1086</v>
      </c>
      <c r="J8238" s="142">
        <v>690</v>
      </c>
      <c r="K8238" s="142">
        <v>0</v>
      </c>
      <c r="L8238" s="142">
        <v>285</v>
      </c>
      <c r="M8238" s="142">
        <v>111</v>
      </c>
    </row>
    <row r="8239" spans="1:13" x14ac:dyDescent="0.45">
      <c r="A8239" s="142" t="s">
        <v>13060</v>
      </c>
      <c r="B8239" s="142" t="s">
        <v>14470</v>
      </c>
      <c r="C8239" s="142" t="s">
        <v>15847</v>
      </c>
      <c r="D8239" s="142" t="s">
        <v>15848</v>
      </c>
      <c r="E8239" s="142" t="s">
        <v>15849</v>
      </c>
      <c r="F8239" s="142" t="s">
        <v>173</v>
      </c>
      <c r="G8239" s="142" t="s">
        <v>1434</v>
      </c>
      <c r="H8239" s="142" t="s">
        <v>24089</v>
      </c>
      <c r="I8239" s="142">
        <v>20</v>
      </c>
      <c r="J8239" s="142">
        <v>11</v>
      </c>
      <c r="K8239" s="142">
        <v>0</v>
      </c>
      <c r="L8239" s="142">
        <v>0</v>
      </c>
      <c r="M8239" s="142">
        <v>9</v>
      </c>
    </row>
    <row r="8240" spans="1:13" x14ac:dyDescent="0.45">
      <c r="A8240" s="142" t="s">
        <v>13014</v>
      </c>
      <c r="B8240" s="142" t="s">
        <v>14505</v>
      </c>
      <c r="C8240" s="142" t="s">
        <v>15847</v>
      </c>
      <c r="D8240" s="142" t="s">
        <v>15848</v>
      </c>
      <c r="E8240" s="142" t="s">
        <v>15849</v>
      </c>
      <c r="F8240" s="142" t="s">
        <v>173</v>
      </c>
      <c r="G8240" s="142" t="s">
        <v>1434</v>
      </c>
      <c r="H8240" s="142" t="s">
        <v>24090</v>
      </c>
      <c r="I8240" s="142">
        <v>312</v>
      </c>
      <c r="J8240" s="142">
        <v>173</v>
      </c>
      <c r="K8240" s="142">
        <v>0</v>
      </c>
      <c r="L8240" s="142">
        <v>134</v>
      </c>
      <c r="M8240" s="142">
        <v>5</v>
      </c>
    </row>
    <row r="8241" spans="1:13" x14ac:dyDescent="0.45">
      <c r="A8241" s="142" t="s">
        <v>13042</v>
      </c>
      <c r="B8241" s="142" t="s">
        <v>15489</v>
      </c>
      <c r="C8241" s="142" t="s">
        <v>15847</v>
      </c>
      <c r="D8241" s="142" t="s">
        <v>15848</v>
      </c>
      <c r="E8241" s="142" t="s">
        <v>15849</v>
      </c>
      <c r="F8241" s="142" t="s">
        <v>173</v>
      </c>
      <c r="G8241" s="142" t="s">
        <v>1434</v>
      </c>
      <c r="H8241" s="142" t="s">
        <v>24091</v>
      </c>
      <c r="I8241" s="142">
        <v>49</v>
      </c>
      <c r="J8241" s="142">
        <v>0</v>
      </c>
      <c r="K8241" s="142">
        <v>0</v>
      </c>
      <c r="L8241" s="142">
        <v>49</v>
      </c>
      <c r="M8241" s="142">
        <v>0</v>
      </c>
    </row>
    <row r="8242" spans="1:13" x14ac:dyDescent="0.45">
      <c r="A8242" s="142" t="s">
        <v>13195</v>
      </c>
      <c r="B8242" s="142" t="s">
        <v>15381</v>
      </c>
      <c r="C8242" s="142" t="s">
        <v>15860</v>
      </c>
      <c r="D8242" s="142" t="s">
        <v>15861</v>
      </c>
      <c r="E8242" s="142" t="s">
        <v>15849</v>
      </c>
      <c r="F8242" s="142" t="s">
        <v>173</v>
      </c>
      <c r="G8242" s="142" t="s">
        <v>1434</v>
      </c>
      <c r="H8242" s="142" t="s">
        <v>24092</v>
      </c>
      <c r="I8242" s="142">
        <v>56</v>
      </c>
      <c r="J8242" s="142">
        <v>56</v>
      </c>
      <c r="K8242" s="142">
        <v>0</v>
      </c>
      <c r="L8242" s="142">
        <v>0</v>
      </c>
      <c r="M8242" s="142">
        <v>0</v>
      </c>
    </row>
    <row r="8243" spans="1:13" x14ac:dyDescent="0.45">
      <c r="A8243" s="142" t="s">
        <v>13072</v>
      </c>
      <c r="B8243" s="142" t="s">
        <v>15530</v>
      </c>
      <c r="C8243" s="142" t="s">
        <v>15847</v>
      </c>
      <c r="D8243" s="142" t="s">
        <v>15848</v>
      </c>
      <c r="E8243" s="142" t="s">
        <v>15849</v>
      </c>
      <c r="F8243" s="142" t="s">
        <v>174</v>
      </c>
      <c r="G8243" s="142" t="s">
        <v>9977</v>
      </c>
      <c r="H8243" s="142" t="s">
        <v>24093</v>
      </c>
      <c r="I8243" s="142">
        <v>569</v>
      </c>
      <c r="J8243" s="142">
        <v>515</v>
      </c>
      <c r="K8243" s="142">
        <v>0</v>
      </c>
      <c r="L8243" s="142">
        <v>39</v>
      </c>
      <c r="M8243" s="142">
        <v>15</v>
      </c>
    </row>
    <row r="8244" spans="1:13" x14ac:dyDescent="0.45">
      <c r="A8244" s="142" t="s">
        <v>13020</v>
      </c>
      <c r="B8244" s="142" t="s">
        <v>15523</v>
      </c>
      <c r="C8244" s="142" t="s">
        <v>15860</v>
      </c>
      <c r="D8244" s="142" t="s">
        <v>15861</v>
      </c>
      <c r="E8244" s="142" t="s">
        <v>15849</v>
      </c>
      <c r="F8244" s="142" t="s">
        <v>174</v>
      </c>
      <c r="G8244" s="142" t="s">
        <v>9977</v>
      </c>
      <c r="H8244" s="142" t="s">
        <v>24094</v>
      </c>
      <c r="I8244" s="142">
        <v>2</v>
      </c>
      <c r="J8244" s="142">
        <v>0</v>
      </c>
      <c r="K8244" s="142">
        <v>2</v>
      </c>
      <c r="L8244" s="142">
        <v>0</v>
      </c>
      <c r="M8244" s="142">
        <v>0</v>
      </c>
    </row>
    <row r="8245" spans="1:13" x14ac:dyDescent="0.45">
      <c r="A8245" s="142" t="s">
        <v>13021</v>
      </c>
      <c r="B8245" s="142" t="s">
        <v>15501</v>
      </c>
      <c r="C8245" s="142" t="s">
        <v>15847</v>
      </c>
      <c r="D8245" s="142" t="s">
        <v>15848</v>
      </c>
      <c r="E8245" s="142" t="s">
        <v>15849</v>
      </c>
      <c r="F8245" s="142" t="s">
        <v>174</v>
      </c>
      <c r="G8245" s="142" t="s">
        <v>9977</v>
      </c>
      <c r="H8245" s="142" t="s">
        <v>24095</v>
      </c>
      <c r="I8245" s="142">
        <v>1</v>
      </c>
      <c r="J8245" s="142">
        <v>0</v>
      </c>
      <c r="K8245" s="142">
        <v>0</v>
      </c>
      <c r="L8245" s="142">
        <v>0</v>
      </c>
      <c r="M8245" s="142">
        <v>1</v>
      </c>
    </row>
    <row r="8246" spans="1:13" x14ac:dyDescent="0.45">
      <c r="A8246" s="142" t="s">
        <v>13023</v>
      </c>
      <c r="B8246" s="142" t="s">
        <v>15571</v>
      </c>
      <c r="C8246" s="142" t="s">
        <v>15847</v>
      </c>
      <c r="D8246" s="142" t="s">
        <v>15848</v>
      </c>
      <c r="E8246" s="142" t="s">
        <v>15849</v>
      </c>
      <c r="F8246" s="142" t="s">
        <v>174</v>
      </c>
      <c r="G8246" s="142" t="s">
        <v>9977</v>
      </c>
      <c r="H8246" s="142" t="s">
        <v>24096</v>
      </c>
      <c r="I8246" s="142">
        <v>74</v>
      </c>
      <c r="J8246" s="142">
        <v>0</v>
      </c>
      <c r="K8246" s="142">
        <v>0</v>
      </c>
      <c r="L8246" s="142">
        <v>74</v>
      </c>
      <c r="M8246" s="142">
        <v>0</v>
      </c>
    </row>
    <row r="8247" spans="1:13" x14ac:dyDescent="0.45">
      <c r="A8247" s="142" t="s">
        <v>14270</v>
      </c>
      <c r="B8247" s="142" t="s">
        <v>15421</v>
      </c>
      <c r="C8247" s="142" t="s">
        <v>15860</v>
      </c>
      <c r="D8247" s="142" t="s">
        <v>15861</v>
      </c>
      <c r="E8247" s="142" t="s">
        <v>15849</v>
      </c>
      <c r="F8247" s="142" t="s">
        <v>174</v>
      </c>
      <c r="G8247" s="142" t="s">
        <v>9977</v>
      </c>
      <c r="H8247" s="142" t="s">
        <v>24097</v>
      </c>
      <c r="I8247" s="142">
        <v>944</v>
      </c>
      <c r="J8247" s="142">
        <v>944</v>
      </c>
      <c r="K8247" s="142">
        <v>0</v>
      </c>
      <c r="L8247" s="142">
        <v>0</v>
      </c>
      <c r="M8247" s="142">
        <v>0</v>
      </c>
    </row>
    <row r="8248" spans="1:13" x14ac:dyDescent="0.45">
      <c r="A8248" s="142" t="s">
        <v>13289</v>
      </c>
      <c r="B8248" s="142" t="s">
        <v>14423</v>
      </c>
      <c r="C8248" s="142" t="s">
        <v>15847</v>
      </c>
      <c r="D8248" s="142" t="s">
        <v>15848</v>
      </c>
      <c r="E8248" s="142" t="s">
        <v>15849</v>
      </c>
      <c r="F8248" s="142" t="s">
        <v>174</v>
      </c>
      <c r="G8248" s="142" t="s">
        <v>9977</v>
      </c>
      <c r="H8248" s="142" t="s">
        <v>24098</v>
      </c>
      <c r="I8248" s="142">
        <v>92</v>
      </c>
      <c r="J8248" s="142">
        <v>86</v>
      </c>
      <c r="K8248" s="142">
        <v>0</v>
      </c>
      <c r="L8248" s="142">
        <v>0</v>
      </c>
      <c r="M8248" s="142">
        <v>6</v>
      </c>
    </row>
    <row r="8249" spans="1:13" x14ac:dyDescent="0.45">
      <c r="A8249" s="142" t="s">
        <v>13273</v>
      </c>
      <c r="B8249" s="142" t="s">
        <v>14465</v>
      </c>
      <c r="C8249" s="142" t="s">
        <v>15860</v>
      </c>
      <c r="D8249" s="142" t="s">
        <v>15861</v>
      </c>
      <c r="E8249" s="142" t="s">
        <v>15849</v>
      </c>
      <c r="F8249" s="142" t="s">
        <v>174</v>
      </c>
      <c r="G8249" s="142" t="s">
        <v>9977</v>
      </c>
      <c r="H8249" s="142" t="s">
        <v>24099</v>
      </c>
      <c r="I8249" s="142">
        <v>7</v>
      </c>
      <c r="J8249" s="142">
        <v>0</v>
      </c>
      <c r="K8249" s="142">
        <v>0</v>
      </c>
      <c r="L8249" s="142">
        <v>7</v>
      </c>
      <c r="M8249" s="142">
        <v>0</v>
      </c>
    </row>
    <row r="8250" spans="1:13" x14ac:dyDescent="0.45">
      <c r="A8250" s="142" t="s">
        <v>13238</v>
      </c>
      <c r="B8250" s="142" t="s">
        <v>14477</v>
      </c>
      <c r="C8250" s="142" t="s">
        <v>15860</v>
      </c>
      <c r="D8250" s="142" t="s">
        <v>15861</v>
      </c>
      <c r="E8250" s="142" t="s">
        <v>15849</v>
      </c>
      <c r="F8250" s="142" t="s">
        <v>174</v>
      </c>
      <c r="G8250" s="142" t="s">
        <v>9977</v>
      </c>
      <c r="H8250" s="142" t="s">
        <v>24100</v>
      </c>
      <c r="I8250" s="142">
        <v>72</v>
      </c>
      <c r="J8250" s="142">
        <v>0</v>
      </c>
      <c r="K8250" s="142">
        <v>0</v>
      </c>
      <c r="L8250" s="142">
        <v>72</v>
      </c>
      <c r="M8250" s="142">
        <v>0</v>
      </c>
    </row>
    <row r="8251" spans="1:13" x14ac:dyDescent="0.45">
      <c r="A8251" s="142" t="s">
        <v>13099</v>
      </c>
      <c r="B8251" s="142" t="s">
        <v>14547</v>
      </c>
      <c r="C8251" s="142" t="s">
        <v>15860</v>
      </c>
      <c r="D8251" s="142" t="s">
        <v>15861</v>
      </c>
      <c r="E8251" s="142" t="s">
        <v>15849</v>
      </c>
      <c r="F8251" s="142" t="s">
        <v>174</v>
      </c>
      <c r="G8251" s="142" t="s">
        <v>9977</v>
      </c>
      <c r="H8251" s="142" t="s">
        <v>24101</v>
      </c>
      <c r="I8251" s="142">
        <v>1</v>
      </c>
      <c r="J8251" s="142">
        <v>0</v>
      </c>
      <c r="K8251" s="142">
        <v>0</v>
      </c>
      <c r="L8251" s="142">
        <v>1</v>
      </c>
      <c r="M8251" s="142">
        <v>0</v>
      </c>
    </row>
    <row r="8252" spans="1:13" x14ac:dyDescent="0.45">
      <c r="A8252" s="142" t="s">
        <v>14271</v>
      </c>
      <c r="B8252" s="142" t="s">
        <v>15393</v>
      </c>
      <c r="C8252" s="142" t="s">
        <v>15860</v>
      </c>
      <c r="D8252" s="142" t="s">
        <v>15861</v>
      </c>
      <c r="E8252" s="142" t="s">
        <v>15849</v>
      </c>
      <c r="F8252" s="142" t="s">
        <v>174</v>
      </c>
      <c r="G8252" s="142" t="s">
        <v>9977</v>
      </c>
      <c r="H8252" s="142" t="s">
        <v>24102</v>
      </c>
      <c r="I8252" s="142">
        <v>16</v>
      </c>
      <c r="J8252" s="142">
        <v>16</v>
      </c>
      <c r="K8252" s="142">
        <v>0</v>
      </c>
      <c r="L8252" s="142">
        <v>0</v>
      </c>
      <c r="M8252" s="142">
        <v>0</v>
      </c>
    </row>
    <row r="8253" spans="1:13" x14ac:dyDescent="0.45">
      <c r="A8253" s="142" t="s">
        <v>13829</v>
      </c>
      <c r="B8253" s="142" t="s">
        <v>14429</v>
      </c>
      <c r="C8253" s="142" t="s">
        <v>15847</v>
      </c>
      <c r="D8253" s="142" t="s">
        <v>15848</v>
      </c>
      <c r="E8253" s="142" t="s">
        <v>15849</v>
      </c>
      <c r="F8253" s="142" t="s">
        <v>174</v>
      </c>
      <c r="G8253" s="142" t="s">
        <v>9977</v>
      </c>
      <c r="H8253" s="142" t="s">
        <v>24103</v>
      </c>
      <c r="I8253" s="142">
        <v>8</v>
      </c>
      <c r="J8253" s="142">
        <v>0</v>
      </c>
      <c r="K8253" s="142">
        <v>0</v>
      </c>
      <c r="L8253" s="142">
        <v>0</v>
      </c>
      <c r="M8253" s="142">
        <v>8</v>
      </c>
    </row>
    <row r="8254" spans="1:13" x14ac:dyDescent="0.45">
      <c r="A8254" s="142" t="s">
        <v>13168</v>
      </c>
      <c r="B8254" s="142" t="s">
        <v>14486</v>
      </c>
      <c r="C8254" s="142" t="s">
        <v>15860</v>
      </c>
      <c r="D8254" s="142" t="s">
        <v>15861</v>
      </c>
      <c r="E8254" s="142" t="s">
        <v>15849</v>
      </c>
      <c r="F8254" s="142" t="s">
        <v>174</v>
      </c>
      <c r="G8254" s="142" t="s">
        <v>9977</v>
      </c>
      <c r="H8254" s="142" t="s">
        <v>24104</v>
      </c>
      <c r="I8254" s="142">
        <v>8</v>
      </c>
      <c r="J8254" s="142">
        <v>0</v>
      </c>
      <c r="K8254" s="142">
        <v>0</v>
      </c>
      <c r="L8254" s="142">
        <v>8</v>
      </c>
      <c r="M8254" s="142">
        <v>0</v>
      </c>
    </row>
    <row r="8255" spans="1:13" x14ac:dyDescent="0.45">
      <c r="A8255" s="142" t="s">
        <v>13027</v>
      </c>
      <c r="B8255" s="142" t="s">
        <v>14562</v>
      </c>
      <c r="C8255" s="142" t="s">
        <v>15847</v>
      </c>
      <c r="D8255" s="142" t="s">
        <v>15848</v>
      </c>
      <c r="E8255" s="142" t="s">
        <v>15849</v>
      </c>
      <c r="F8255" s="142" t="s">
        <v>174</v>
      </c>
      <c r="G8255" s="142" t="s">
        <v>9977</v>
      </c>
      <c r="H8255" s="142" t="s">
        <v>24105</v>
      </c>
      <c r="I8255" s="142">
        <v>9</v>
      </c>
      <c r="J8255" s="142">
        <v>0</v>
      </c>
      <c r="K8255" s="142">
        <v>0</v>
      </c>
      <c r="L8255" s="142">
        <v>9</v>
      </c>
      <c r="M8255" s="142">
        <v>0</v>
      </c>
    </row>
    <row r="8256" spans="1:13" x14ac:dyDescent="0.45">
      <c r="A8256" s="142" t="s">
        <v>13148</v>
      </c>
      <c r="B8256" s="142" t="s">
        <v>15314</v>
      </c>
      <c r="C8256" s="142" t="s">
        <v>15847</v>
      </c>
      <c r="D8256" s="142" t="s">
        <v>15848</v>
      </c>
      <c r="E8256" s="142" t="s">
        <v>15849</v>
      </c>
      <c r="F8256" s="142" t="s">
        <v>174</v>
      </c>
      <c r="G8256" s="142" t="s">
        <v>9977</v>
      </c>
      <c r="H8256" s="142" t="s">
        <v>24106</v>
      </c>
      <c r="I8256" s="142">
        <v>156</v>
      </c>
      <c r="J8256" s="142">
        <v>82</v>
      </c>
      <c r="K8256" s="142">
        <v>0</v>
      </c>
      <c r="L8256" s="142">
        <v>52</v>
      </c>
      <c r="M8256" s="142">
        <v>22</v>
      </c>
    </row>
    <row r="8257" spans="1:13" x14ac:dyDescent="0.45">
      <c r="A8257" s="142" t="s">
        <v>13149</v>
      </c>
      <c r="B8257" s="142" t="s">
        <v>14458</v>
      </c>
      <c r="C8257" s="142" t="s">
        <v>15860</v>
      </c>
      <c r="D8257" s="142" t="s">
        <v>15861</v>
      </c>
      <c r="E8257" s="142" t="s">
        <v>15849</v>
      </c>
      <c r="F8257" s="142" t="s">
        <v>174</v>
      </c>
      <c r="G8257" s="142" t="s">
        <v>9977</v>
      </c>
      <c r="H8257" s="142" t="s">
        <v>24107</v>
      </c>
      <c r="I8257" s="142">
        <v>33</v>
      </c>
      <c r="J8257" s="142">
        <v>0</v>
      </c>
      <c r="K8257" s="142">
        <v>0</v>
      </c>
      <c r="L8257" s="142">
        <v>33</v>
      </c>
      <c r="M8257" s="142">
        <v>0</v>
      </c>
    </row>
    <row r="8258" spans="1:13" x14ac:dyDescent="0.45">
      <c r="A8258" s="142" t="s">
        <v>13028</v>
      </c>
      <c r="B8258" s="142" t="s">
        <v>14462</v>
      </c>
      <c r="C8258" s="142" t="s">
        <v>15847</v>
      </c>
      <c r="D8258" s="142" t="s">
        <v>15848</v>
      </c>
      <c r="E8258" s="142" t="s">
        <v>15849</v>
      </c>
      <c r="F8258" s="142" t="s">
        <v>174</v>
      </c>
      <c r="G8258" s="142" t="s">
        <v>9977</v>
      </c>
      <c r="H8258" s="142" t="s">
        <v>24108</v>
      </c>
      <c r="I8258" s="142">
        <v>8</v>
      </c>
      <c r="J8258" s="142">
        <v>0</v>
      </c>
      <c r="K8258" s="142">
        <v>0</v>
      </c>
      <c r="L8258" s="142">
        <v>0</v>
      </c>
      <c r="M8258" s="142">
        <v>8</v>
      </c>
    </row>
    <row r="8259" spans="1:13" x14ac:dyDescent="0.45">
      <c r="A8259" s="142" t="s">
        <v>13160</v>
      </c>
      <c r="B8259" s="142" t="s">
        <v>14525</v>
      </c>
      <c r="C8259" s="142" t="s">
        <v>15847</v>
      </c>
      <c r="D8259" s="142" t="s">
        <v>15848</v>
      </c>
      <c r="E8259" s="142" t="s">
        <v>15849</v>
      </c>
      <c r="F8259" s="142" t="s">
        <v>174</v>
      </c>
      <c r="G8259" s="142" t="s">
        <v>9977</v>
      </c>
      <c r="H8259" s="142" t="s">
        <v>24109</v>
      </c>
      <c r="I8259" s="142">
        <v>12</v>
      </c>
      <c r="J8259" s="142">
        <v>0</v>
      </c>
      <c r="K8259" s="142">
        <v>0</v>
      </c>
      <c r="L8259" s="142">
        <v>12</v>
      </c>
      <c r="M8259" s="142">
        <v>0</v>
      </c>
    </row>
    <row r="8260" spans="1:13" x14ac:dyDescent="0.45">
      <c r="A8260" s="142" t="s">
        <v>13003</v>
      </c>
      <c r="B8260" s="142" t="s">
        <v>15245</v>
      </c>
      <c r="C8260" s="142" t="s">
        <v>15847</v>
      </c>
      <c r="D8260" s="142" t="s">
        <v>15848</v>
      </c>
      <c r="E8260" s="142" t="s">
        <v>15849</v>
      </c>
      <c r="F8260" s="142" t="s">
        <v>174</v>
      </c>
      <c r="G8260" s="142" t="s">
        <v>9977</v>
      </c>
      <c r="H8260" s="142" t="s">
        <v>24110</v>
      </c>
      <c r="I8260" s="142">
        <v>72</v>
      </c>
      <c r="J8260" s="142">
        <v>0</v>
      </c>
      <c r="K8260" s="142">
        <v>0</v>
      </c>
      <c r="L8260" s="142">
        <v>72</v>
      </c>
      <c r="M8260" s="142">
        <v>0</v>
      </c>
    </row>
    <row r="8261" spans="1:13" x14ac:dyDescent="0.45">
      <c r="A8261" s="142" t="s">
        <v>13066</v>
      </c>
      <c r="B8261" s="142" t="s">
        <v>14459</v>
      </c>
      <c r="C8261" s="142" t="s">
        <v>15847</v>
      </c>
      <c r="D8261" s="142" t="s">
        <v>15848</v>
      </c>
      <c r="E8261" s="142" t="s">
        <v>15849</v>
      </c>
      <c r="F8261" s="142" t="s">
        <v>174</v>
      </c>
      <c r="G8261" s="142" t="s">
        <v>9977</v>
      </c>
      <c r="H8261" s="142" t="s">
        <v>24111</v>
      </c>
      <c r="I8261" s="142">
        <v>6</v>
      </c>
      <c r="J8261" s="142">
        <v>0</v>
      </c>
      <c r="K8261" s="142">
        <v>0</v>
      </c>
      <c r="L8261" s="142">
        <v>6</v>
      </c>
      <c r="M8261" s="142">
        <v>0</v>
      </c>
    </row>
    <row r="8262" spans="1:13" x14ac:dyDescent="0.45">
      <c r="A8262" s="142" t="s">
        <v>13290</v>
      </c>
      <c r="B8262" s="142" t="s">
        <v>15246</v>
      </c>
      <c r="C8262" s="142" t="s">
        <v>15847</v>
      </c>
      <c r="D8262" s="142" t="s">
        <v>15848</v>
      </c>
      <c r="E8262" s="142" t="s">
        <v>15849</v>
      </c>
      <c r="F8262" s="142" t="s">
        <v>174</v>
      </c>
      <c r="G8262" s="142" t="s">
        <v>9977</v>
      </c>
      <c r="H8262" s="142" t="s">
        <v>24112</v>
      </c>
      <c r="I8262" s="142">
        <v>995</v>
      </c>
      <c r="J8262" s="142">
        <v>959</v>
      </c>
      <c r="K8262" s="142">
        <v>0</v>
      </c>
      <c r="L8262" s="142">
        <v>25</v>
      </c>
      <c r="M8262" s="142">
        <v>11</v>
      </c>
    </row>
    <row r="8263" spans="1:13" x14ac:dyDescent="0.45">
      <c r="A8263" s="142" t="s">
        <v>14272</v>
      </c>
      <c r="B8263" s="142" t="s">
        <v>15594</v>
      </c>
      <c r="C8263" s="142" t="s">
        <v>15860</v>
      </c>
      <c r="D8263" s="142" t="s">
        <v>15861</v>
      </c>
      <c r="E8263" s="142" t="s">
        <v>15849</v>
      </c>
      <c r="F8263" s="142" t="s">
        <v>174</v>
      </c>
      <c r="G8263" s="142" t="s">
        <v>9977</v>
      </c>
      <c r="H8263" s="142" t="s">
        <v>24113</v>
      </c>
      <c r="I8263" s="142">
        <v>5</v>
      </c>
      <c r="J8263" s="142">
        <v>5</v>
      </c>
      <c r="K8263" s="142">
        <v>0</v>
      </c>
      <c r="L8263" s="142">
        <v>0</v>
      </c>
      <c r="M8263" s="142">
        <v>0</v>
      </c>
    </row>
    <row r="8264" spans="1:13" x14ac:dyDescent="0.45">
      <c r="A8264" s="142" t="s">
        <v>13291</v>
      </c>
      <c r="B8264" s="142" t="s">
        <v>15495</v>
      </c>
      <c r="C8264" s="142" t="s">
        <v>15847</v>
      </c>
      <c r="D8264" s="142" t="s">
        <v>15848</v>
      </c>
      <c r="E8264" s="142" t="s">
        <v>15849</v>
      </c>
      <c r="F8264" s="142" t="s">
        <v>174</v>
      </c>
      <c r="G8264" s="142" t="s">
        <v>9977</v>
      </c>
      <c r="H8264" s="142" t="s">
        <v>24114</v>
      </c>
      <c r="I8264" s="142">
        <v>32</v>
      </c>
      <c r="J8264" s="142">
        <v>32</v>
      </c>
      <c r="K8264" s="142">
        <v>0</v>
      </c>
      <c r="L8264" s="142">
        <v>0</v>
      </c>
      <c r="M8264" s="142">
        <v>0</v>
      </c>
    </row>
    <row r="8265" spans="1:13" x14ac:dyDescent="0.45">
      <c r="A8265" s="142" t="s">
        <v>13412</v>
      </c>
      <c r="B8265" s="142" t="s">
        <v>15587</v>
      </c>
      <c r="C8265" s="142" t="s">
        <v>15847</v>
      </c>
      <c r="D8265" s="142" t="s">
        <v>15848</v>
      </c>
      <c r="E8265" s="142" t="s">
        <v>15849</v>
      </c>
      <c r="F8265" s="142" t="s">
        <v>174</v>
      </c>
      <c r="G8265" s="142" t="s">
        <v>9977</v>
      </c>
      <c r="H8265" s="142" t="s">
        <v>24115</v>
      </c>
      <c r="I8265" s="142">
        <v>15052</v>
      </c>
      <c r="J8265" s="142">
        <v>14139</v>
      </c>
      <c r="K8265" s="142">
        <v>0</v>
      </c>
      <c r="L8265" s="142">
        <v>908</v>
      </c>
      <c r="M8265" s="142">
        <v>5</v>
      </c>
    </row>
    <row r="8266" spans="1:13" x14ac:dyDescent="0.45">
      <c r="A8266" s="142" t="s">
        <v>13249</v>
      </c>
      <c r="B8266" s="142" t="s">
        <v>14602</v>
      </c>
      <c r="C8266" s="142" t="s">
        <v>15847</v>
      </c>
      <c r="D8266" s="142" t="s">
        <v>15848</v>
      </c>
      <c r="E8266" s="142" t="s">
        <v>15849</v>
      </c>
      <c r="F8266" s="142" t="s">
        <v>174</v>
      </c>
      <c r="G8266" s="142" t="s">
        <v>9977</v>
      </c>
      <c r="H8266" s="142" t="s">
        <v>24116</v>
      </c>
      <c r="I8266" s="142">
        <v>308</v>
      </c>
      <c r="J8266" s="142">
        <v>169</v>
      </c>
      <c r="K8266" s="142">
        <v>0</v>
      </c>
      <c r="L8266" s="142">
        <v>68</v>
      </c>
      <c r="M8266" s="142">
        <v>71</v>
      </c>
    </row>
    <row r="8267" spans="1:13" x14ac:dyDescent="0.45">
      <c r="A8267" s="142" t="s">
        <v>13276</v>
      </c>
      <c r="B8267" s="142" t="s">
        <v>15498</v>
      </c>
      <c r="C8267" s="142" t="s">
        <v>15847</v>
      </c>
      <c r="D8267" s="142" t="s">
        <v>15848</v>
      </c>
      <c r="E8267" s="142" t="s">
        <v>15849</v>
      </c>
      <c r="F8267" s="142" t="s">
        <v>174</v>
      </c>
      <c r="G8267" s="142" t="s">
        <v>9977</v>
      </c>
      <c r="H8267" s="142" t="s">
        <v>24117</v>
      </c>
      <c r="I8267" s="142">
        <v>2010</v>
      </c>
      <c r="J8267" s="142">
        <v>1675</v>
      </c>
      <c r="K8267" s="142">
        <v>0</v>
      </c>
      <c r="L8267" s="142">
        <v>297</v>
      </c>
      <c r="M8267" s="142">
        <v>38</v>
      </c>
    </row>
    <row r="8268" spans="1:13" x14ac:dyDescent="0.45">
      <c r="A8268" s="142" t="s">
        <v>13033</v>
      </c>
      <c r="B8268" s="142" t="s">
        <v>15276</v>
      </c>
      <c r="C8268" s="142" t="s">
        <v>15847</v>
      </c>
      <c r="D8268" s="142" t="s">
        <v>15848</v>
      </c>
      <c r="E8268" s="142" t="s">
        <v>15849</v>
      </c>
      <c r="F8268" s="142" t="s">
        <v>174</v>
      </c>
      <c r="G8268" s="142" t="s">
        <v>9977</v>
      </c>
      <c r="H8268" s="142" t="s">
        <v>24118</v>
      </c>
      <c r="I8268" s="142">
        <v>112</v>
      </c>
      <c r="J8268" s="142">
        <v>107</v>
      </c>
      <c r="K8268" s="142">
        <v>0</v>
      </c>
      <c r="L8268" s="142">
        <v>0</v>
      </c>
      <c r="M8268" s="142">
        <v>5</v>
      </c>
    </row>
    <row r="8269" spans="1:13" x14ac:dyDescent="0.45">
      <c r="A8269" s="142" t="s">
        <v>13277</v>
      </c>
      <c r="B8269" s="142" t="s">
        <v>14454</v>
      </c>
      <c r="C8269" s="142" t="s">
        <v>15847</v>
      </c>
      <c r="D8269" s="142" t="s">
        <v>15848</v>
      </c>
      <c r="E8269" s="142" t="s">
        <v>15849</v>
      </c>
      <c r="F8269" s="142" t="s">
        <v>174</v>
      </c>
      <c r="G8269" s="142" t="s">
        <v>9977</v>
      </c>
      <c r="H8269" s="142" t="s">
        <v>24119</v>
      </c>
      <c r="I8269" s="142">
        <v>1017</v>
      </c>
      <c r="J8269" s="142">
        <v>822</v>
      </c>
      <c r="K8269" s="142">
        <v>0</v>
      </c>
      <c r="L8269" s="142">
        <v>195</v>
      </c>
      <c r="M8269" s="142">
        <v>0</v>
      </c>
    </row>
    <row r="8270" spans="1:13" x14ac:dyDescent="0.45">
      <c r="A8270" s="142" t="s">
        <v>13009</v>
      </c>
      <c r="B8270" s="142" t="s">
        <v>15256</v>
      </c>
      <c r="C8270" s="142" t="s">
        <v>15847</v>
      </c>
      <c r="D8270" s="142" t="s">
        <v>15848</v>
      </c>
      <c r="E8270" s="142" t="s">
        <v>15849</v>
      </c>
      <c r="F8270" s="142" t="s">
        <v>174</v>
      </c>
      <c r="G8270" s="142" t="s">
        <v>9977</v>
      </c>
      <c r="H8270" s="142" t="s">
        <v>24120</v>
      </c>
      <c r="I8270" s="142">
        <v>406</v>
      </c>
      <c r="J8270" s="142">
        <v>148</v>
      </c>
      <c r="K8270" s="142">
        <v>0</v>
      </c>
      <c r="L8270" s="142">
        <v>175</v>
      </c>
      <c r="M8270" s="142">
        <v>83</v>
      </c>
    </row>
    <row r="8271" spans="1:13" x14ac:dyDescent="0.45">
      <c r="A8271" s="142" t="s">
        <v>13489</v>
      </c>
      <c r="B8271" s="142" t="s">
        <v>15473</v>
      </c>
      <c r="C8271" s="142" t="s">
        <v>15847</v>
      </c>
      <c r="D8271" s="142" t="s">
        <v>15848</v>
      </c>
      <c r="E8271" s="142" t="s">
        <v>15849</v>
      </c>
      <c r="F8271" s="142" t="s">
        <v>174</v>
      </c>
      <c r="G8271" s="142" t="s">
        <v>9977</v>
      </c>
      <c r="H8271" s="142" t="s">
        <v>24121</v>
      </c>
      <c r="I8271" s="142">
        <v>95</v>
      </c>
      <c r="J8271" s="142">
        <v>75</v>
      </c>
      <c r="K8271" s="142">
        <v>0</v>
      </c>
      <c r="L8271" s="142">
        <v>12</v>
      </c>
      <c r="M8271" s="142">
        <v>8</v>
      </c>
    </row>
    <row r="8272" spans="1:13" x14ac:dyDescent="0.45">
      <c r="A8272" s="142" t="s">
        <v>13014</v>
      </c>
      <c r="B8272" s="142" t="s">
        <v>14505</v>
      </c>
      <c r="C8272" s="142" t="s">
        <v>15847</v>
      </c>
      <c r="D8272" s="142" t="s">
        <v>15848</v>
      </c>
      <c r="E8272" s="142" t="s">
        <v>15849</v>
      </c>
      <c r="F8272" s="142" t="s">
        <v>174</v>
      </c>
      <c r="G8272" s="142" t="s">
        <v>9977</v>
      </c>
      <c r="H8272" s="142" t="s">
        <v>24122</v>
      </c>
      <c r="I8272" s="142">
        <v>286</v>
      </c>
      <c r="J8272" s="142">
        <v>194</v>
      </c>
      <c r="K8272" s="142">
        <v>0</v>
      </c>
      <c r="L8272" s="142">
        <v>85</v>
      </c>
      <c r="M8272" s="142">
        <v>7</v>
      </c>
    </row>
    <row r="8273" spans="1:13" x14ac:dyDescent="0.45">
      <c r="A8273" s="142" t="s">
        <v>13286</v>
      </c>
      <c r="B8273" s="142" t="s">
        <v>15342</v>
      </c>
      <c r="C8273" s="142" t="s">
        <v>15847</v>
      </c>
      <c r="D8273" s="142" t="s">
        <v>15848</v>
      </c>
      <c r="E8273" s="142" t="s">
        <v>15849</v>
      </c>
      <c r="F8273" s="142" t="s">
        <v>174</v>
      </c>
      <c r="G8273" s="142" t="s">
        <v>9977</v>
      </c>
      <c r="H8273" s="142" t="s">
        <v>24123</v>
      </c>
      <c r="I8273" s="142">
        <v>506</v>
      </c>
      <c r="J8273" s="142">
        <v>412</v>
      </c>
      <c r="K8273" s="142">
        <v>0</v>
      </c>
      <c r="L8273" s="142">
        <v>66</v>
      </c>
      <c r="M8273" s="142">
        <v>28</v>
      </c>
    </row>
    <row r="8274" spans="1:13" x14ac:dyDescent="0.45">
      <c r="A8274" s="142" t="s">
        <v>13023</v>
      </c>
      <c r="B8274" s="142" t="s">
        <v>15571</v>
      </c>
      <c r="C8274" s="142" t="s">
        <v>15847</v>
      </c>
      <c r="D8274" s="142" t="s">
        <v>15848</v>
      </c>
      <c r="E8274" s="142" t="s">
        <v>15849</v>
      </c>
      <c r="F8274" s="142" t="s">
        <v>175</v>
      </c>
      <c r="G8274" s="142" t="s">
        <v>8078</v>
      </c>
      <c r="H8274" s="142" t="s">
        <v>24124</v>
      </c>
      <c r="I8274" s="142">
        <v>21</v>
      </c>
      <c r="J8274" s="142">
        <v>0</v>
      </c>
      <c r="K8274" s="142">
        <v>0</v>
      </c>
      <c r="L8274" s="142">
        <v>21</v>
      </c>
      <c r="M8274" s="142">
        <v>0</v>
      </c>
    </row>
    <row r="8275" spans="1:13" x14ac:dyDescent="0.45">
      <c r="A8275" s="142" t="s">
        <v>13235</v>
      </c>
      <c r="B8275" s="142" t="s">
        <v>14573</v>
      </c>
      <c r="C8275" s="142" t="s">
        <v>15847</v>
      </c>
      <c r="D8275" s="142" t="s">
        <v>15848</v>
      </c>
      <c r="E8275" s="142" t="s">
        <v>15849</v>
      </c>
      <c r="F8275" s="142" t="s">
        <v>175</v>
      </c>
      <c r="G8275" s="142" t="s">
        <v>8078</v>
      </c>
      <c r="H8275" s="142" t="s">
        <v>24125</v>
      </c>
      <c r="I8275" s="142">
        <v>420</v>
      </c>
      <c r="J8275" s="142">
        <v>341</v>
      </c>
      <c r="K8275" s="142">
        <v>0</v>
      </c>
      <c r="L8275" s="142">
        <v>8</v>
      </c>
      <c r="M8275" s="142">
        <v>71</v>
      </c>
    </row>
    <row r="8276" spans="1:13" x14ac:dyDescent="0.45">
      <c r="A8276" s="142" t="s">
        <v>13237</v>
      </c>
      <c r="B8276" s="142" t="s">
        <v>14643</v>
      </c>
      <c r="C8276" s="142" t="s">
        <v>15847</v>
      </c>
      <c r="D8276" s="142" t="s">
        <v>15848</v>
      </c>
      <c r="E8276" s="142" t="s">
        <v>15849</v>
      </c>
      <c r="F8276" s="142" t="s">
        <v>175</v>
      </c>
      <c r="G8276" s="142" t="s">
        <v>8078</v>
      </c>
      <c r="H8276" s="142" t="s">
        <v>24126</v>
      </c>
      <c r="I8276" s="142">
        <v>4</v>
      </c>
      <c r="J8276" s="142">
        <v>4</v>
      </c>
      <c r="K8276" s="142">
        <v>0</v>
      </c>
      <c r="L8276" s="142">
        <v>0</v>
      </c>
      <c r="M8276" s="142">
        <v>0</v>
      </c>
    </row>
    <row r="8277" spans="1:13" x14ac:dyDescent="0.45">
      <c r="A8277" s="142" t="s">
        <v>13000</v>
      </c>
      <c r="B8277" s="142" t="s">
        <v>14610</v>
      </c>
      <c r="C8277" s="142" t="s">
        <v>15847</v>
      </c>
      <c r="D8277" s="142" t="s">
        <v>15848</v>
      </c>
      <c r="E8277" s="142" t="s">
        <v>15849</v>
      </c>
      <c r="F8277" s="142" t="s">
        <v>175</v>
      </c>
      <c r="G8277" s="142" t="s">
        <v>8078</v>
      </c>
      <c r="H8277" s="142" t="s">
        <v>24127</v>
      </c>
      <c r="I8277" s="142">
        <v>340</v>
      </c>
      <c r="J8277" s="142">
        <v>316</v>
      </c>
      <c r="K8277" s="142">
        <v>0</v>
      </c>
      <c r="L8277" s="142">
        <v>24</v>
      </c>
      <c r="M8277" s="142">
        <v>0</v>
      </c>
    </row>
    <row r="8278" spans="1:13" x14ac:dyDescent="0.45">
      <c r="A8278" s="142" t="s">
        <v>13024</v>
      </c>
      <c r="B8278" s="142" t="s">
        <v>14538</v>
      </c>
      <c r="C8278" s="142" t="s">
        <v>15847</v>
      </c>
      <c r="D8278" s="142" t="s">
        <v>15848</v>
      </c>
      <c r="E8278" s="142" t="s">
        <v>15849</v>
      </c>
      <c r="F8278" s="142" t="s">
        <v>175</v>
      </c>
      <c r="G8278" s="142" t="s">
        <v>8078</v>
      </c>
      <c r="H8278" s="142" t="s">
        <v>24128</v>
      </c>
      <c r="I8278" s="142">
        <v>1</v>
      </c>
      <c r="J8278" s="142">
        <v>0</v>
      </c>
      <c r="K8278" s="142">
        <v>0</v>
      </c>
      <c r="L8278" s="142">
        <v>0</v>
      </c>
      <c r="M8278" s="142">
        <v>1</v>
      </c>
    </row>
    <row r="8279" spans="1:13" x14ac:dyDescent="0.45">
      <c r="A8279" s="142" t="s">
        <v>13085</v>
      </c>
      <c r="B8279" s="142" t="s">
        <v>14460</v>
      </c>
      <c r="C8279" s="142" t="s">
        <v>15860</v>
      </c>
      <c r="D8279" s="142" t="s">
        <v>15861</v>
      </c>
      <c r="E8279" s="142" t="s">
        <v>15849</v>
      </c>
      <c r="F8279" s="142" t="s">
        <v>175</v>
      </c>
      <c r="G8279" s="142" t="s">
        <v>8078</v>
      </c>
      <c r="H8279" s="142" t="s">
        <v>24129</v>
      </c>
      <c r="I8279" s="142">
        <v>1</v>
      </c>
      <c r="J8279" s="142">
        <v>0</v>
      </c>
      <c r="K8279" s="142">
        <v>0</v>
      </c>
      <c r="L8279" s="142">
        <v>1</v>
      </c>
      <c r="M8279" s="142">
        <v>0</v>
      </c>
    </row>
    <row r="8280" spans="1:13" x14ac:dyDescent="0.45">
      <c r="A8280" s="142" t="s">
        <v>13027</v>
      </c>
      <c r="B8280" s="142" t="s">
        <v>14562</v>
      </c>
      <c r="C8280" s="142" t="s">
        <v>15847</v>
      </c>
      <c r="D8280" s="142" t="s">
        <v>15848</v>
      </c>
      <c r="E8280" s="142" t="s">
        <v>15849</v>
      </c>
      <c r="F8280" s="142" t="s">
        <v>175</v>
      </c>
      <c r="G8280" s="142" t="s">
        <v>8078</v>
      </c>
      <c r="H8280" s="142" t="s">
        <v>24130</v>
      </c>
      <c r="I8280" s="142">
        <v>3</v>
      </c>
      <c r="J8280" s="142">
        <v>0</v>
      </c>
      <c r="K8280" s="142">
        <v>0</v>
      </c>
      <c r="L8280" s="142">
        <v>3</v>
      </c>
      <c r="M8280" s="142">
        <v>0</v>
      </c>
    </row>
    <row r="8281" spans="1:13" x14ac:dyDescent="0.45">
      <c r="A8281" s="142" t="s">
        <v>13148</v>
      </c>
      <c r="B8281" s="142" t="s">
        <v>15314</v>
      </c>
      <c r="C8281" s="142" t="s">
        <v>15847</v>
      </c>
      <c r="D8281" s="142" t="s">
        <v>15848</v>
      </c>
      <c r="E8281" s="142" t="s">
        <v>15849</v>
      </c>
      <c r="F8281" s="142" t="s">
        <v>175</v>
      </c>
      <c r="G8281" s="142" t="s">
        <v>8078</v>
      </c>
      <c r="H8281" s="142" t="s">
        <v>24131</v>
      </c>
      <c r="I8281" s="142">
        <v>1</v>
      </c>
      <c r="J8281" s="142">
        <v>0</v>
      </c>
      <c r="K8281" s="142">
        <v>0</v>
      </c>
      <c r="L8281" s="142">
        <v>0</v>
      </c>
      <c r="M8281" s="142">
        <v>1</v>
      </c>
    </row>
    <row r="8282" spans="1:13" x14ac:dyDescent="0.45">
      <c r="A8282" s="142" t="s">
        <v>13066</v>
      </c>
      <c r="B8282" s="142" t="s">
        <v>14459</v>
      </c>
      <c r="C8282" s="142" t="s">
        <v>15847</v>
      </c>
      <c r="D8282" s="142" t="s">
        <v>15848</v>
      </c>
      <c r="E8282" s="142" t="s">
        <v>15849</v>
      </c>
      <c r="F8282" s="142" t="s">
        <v>175</v>
      </c>
      <c r="G8282" s="142" t="s">
        <v>8078</v>
      </c>
      <c r="H8282" s="142" t="s">
        <v>24132</v>
      </c>
      <c r="I8282" s="142">
        <v>3</v>
      </c>
      <c r="J8282" s="142">
        <v>0</v>
      </c>
      <c r="K8282" s="142">
        <v>0</v>
      </c>
      <c r="L8282" s="142">
        <v>3</v>
      </c>
      <c r="M8282" s="142">
        <v>0</v>
      </c>
    </row>
    <row r="8283" spans="1:13" x14ac:dyDescent="0.45">
      <c r="A8283" s="142" t="s">
        <v>13076</v>
      </c>
      <c r="B8283" s="142" t="s">
        <v>14636</v>
      </c>
      <c r="C8283" s="142" t="s">
        <v>15847</v>
      </c>
      <c r="D8283" s="142" t="s">
        <v>15848</v>
      </c>
      <c r="E8283" s="142" t="s">
        <v>15849</v>
      </c>
      <c r="F8283" s="142" t="s">
        <v>175</v>
      </c>
      <c r="G8283" s="142" t="s">
        <v>8078</v>
      </c>
      <c r="H8283" s="142" t="s">
        <v>24133</v>
      </c>
      <c r="I8283" s="142">
        <v>62</v>
      </c>
      <c r="J8283" s="142">
        <v>34</v>
      </c>
      <c r="K8283" s="142">
        <v>0</v>
      </c>
      <c r="L8283" s="142">
        <v>0</v>
      </c>
      <c r="M8283" s="142">
        <v>28</v>
      </c>
    </row>
    <row r="8284" spans="1:13" x14ac:dyDescent="0.45">
      <c r="A8284" s="142" t="s">
        <v>13331</v>
      </c>
      <c r="B8284" s="142" t="s">
        <v>14682</v>
      </c>
      <c r="C8284" s="142" t="s">
        <v>15860</v>
      </c>
      <c r="D8284" s="142" t="s">
        <v>15861</v>
      </c>
      <c r="E8284" s="142" t="s">
        <v>15849</v>
      </c>
      <c r="F8284" s="142" t="s">
        <v>175</v>
      </c>
      <c r="G8284" s="142" t="s">
        <v>8078</v>
      </c>
      <c r="H8284" s="142" t="s">
        <v>24134</v>
      </c>
      <c r="I8284" s="142">
        <v>44</v>
      </c>
      <c r="J8284" s="142">
        <v>44</v>
      </c>
      <c r="K8284" s="142">
        <v>0</v>
      </c>
      <c r="L8284" s="142">
        <v>0</v>
      </c>
      <c r="M8284" s="142">
        <v>0</v>
      </c>
    </row>
    <row r="8285" spans="1:13" x14ac:dyDescent="0.45">
      <c r="A8285" s="142" t="s">
        <v>13029</v>
      </c>
      <c r="B8285" s="142" t="s">
        <v>14665</v>
      </c>
      <c r="C8285" s="142" t="s">
        <v>15847</v>
      </c>
      <c r="D8285" s="142" t="s">
        <v>15848</v>
      </c>
      <c r="E8285" s="142" t="s">
        <v>15849</v>
      </c>
      <c r="F8285" s="142" t="s">
        <v>175</v>
      </c>
      <c r="G8285" s="142" t="s">
        <v>8078</v>
      </c>
      <c r="H8285" s="142" t="s">
        <v>24135</v>
      </c>
      <c r="I8285" s="142">
        <v>5</v>
      </c>
      <c r="J8285" s="142">
        <v>0</v>
      </c>
      <c r="K8285" s="142">
        <v>0</v>
      </c>
      <c r="L8285" s="142">
        <v>0</v>
      </c>
      <c r="M8285" s="142">
        <v>5</v>
      </c>
    </row>
    <row r="8286" spans="1:13" x14ac:dyDescent="0.45">
      <c r="A8286" s="142" t="s">
        <v>13006</v>
      </c>
      <c r="B8286" s="142" t="s">
        <v>15288</v>
      </c>
      <c r="C8286" s="142" t="s">
        <v>15847</v>
      </c>
      <c r="D8286" s="142" t="s">
        <v>15848</v>
      </c>
      <c r="E8286" s="142" t="s">
        <v>15849</v>
      </c>
      <c r="F8286" s="142" t="s">
        <v>175</v>
      </c>
      <c r="G8286" s="142" t="s">
        <v>8078</v>
      </c>
      <c r="H8286" s="142" t="s">
        <v>24136</v>
      </c>
      <c r="I8286" s="142">
        <v>7</v>
      </c>
      <c r="J8286" s="142">
        <v>7</v>
      </c>
      <c r="K8286" s="142">
        <v>0</v>
      </c>
      <c r="L8286" s="142">
        <v>0</v>
      </c>
      <c r="M8286" s="142">
        <v>0</v>
      </c>
    </row>
    <row r="8287" spans="1:13" x14ac:dyDescent="0.45">
      <c r="A8287" s="142" t="s">
        <v>13248</v>
      </c>
      <c r="B8287" s="142" t="s">
        <v>15463</v>
      </c>
      <c r="C8287" s="142" t="s">
        <v>15847</v>
      </c>
      <c r="D8287" s="142" t="s">
        <v>15848</v>
      </c>
      <c r="E8287" s="142" t="s">
        <v>15849</v>
      </c>
      <c r="F8287" s="142" t="s">
        <v>175</v>
      </c>
      <c r="G8287" s="142" t="s">
        <v>8078</v>
      </c>
      <c r="H8287" s="142" t="s">
        <v>24137</v>
      </c>
      <c r="I8287" s="142">
        <v>631</v>
      </c>
      <c r="J8287" s="142">
        <v>541</v>
      </c>
      <c r="K8287" s="142">
        <v>0</v>
      </c>
      <c r="L8287" s="142">
        <v>65</v>
      </c>
      <c r="M8287" s="142">
        <v>25</v>
      </c>
    </row>
    <row r="8288" spans="1:13" x14ac:dyDescent="0.45">
      <c r="A8288" s="142" t="s">
        <v>13008</v>
      </c>
      <c r="B8288" s="142" t="s">
        <v>15411</v>
      </c>
      <c r="C8288" s="142" t="s">
        <v>15847</v>
      </c>
      <c r="D8288" s="142" t="s">
        <v>15848</v>
      </c>
      <c r="E8288" s="142" t="s">
        <v>15849</v>
      </c>
      <c r="F8288" s="142" t="s">
        <v>175</v>
      </c>
      <c r="G8288" s="142" t="s">
        <v>8078</v>
      </c>
      <c r="H8288" s="142" t="s">
        <v>24138</v>
      </c>
      <c r="I8288" s="142">
        <v>32</v>
      </c>
      <c r="J8288" s="142">
        <v>0</v>
      </c>
      <c r="K8288" s="142">
        <v>0</v>
      </c>
      <c r="L8288" s="142">
        <v>0</v>
      </c>
      <c r="M8288" s="142">
        <v>32</v>
      </c>
    </row>
    <row r="8289" spans="1:13" x14ac:dyDescent="0.45">
      <c r="A8289" s="142" t="s">
        <v>13077</v>
      </c>
      <c r="B8289" s="142" t="s">
        <v>15407</v>
      </c>
      <c r="C8289" s="142" t="s">
        <v>15847</v>
      </c>
      <c r="D8289" s="142" t="s">
        <v>15848</v>
      </c>
      <c r="E8289" s="142" t="s">
        <v>15849</v>
      </c>
      <c r="F8289" s="142" t="s">
        <v>175</v>
      </c>
      <c r="G8289" s="142" t="s">
        <v>8078</v>
      </c>
      <c r="H8289" s="142" t="s">
        <v>24139</v>
      </c>
      <c r="I8289" s="142">
        <v>55</v>
      </c>
      <c r="J8289" s="142">
        <v>55</v>
      </c>
      <c r="K8289" s="142">
        <v>0</v>
      </c>
      <c r="L8289" s="142">
        <v>0</v>
      </c>
      <c r="M8289" s="142">
        <v>0</v>
      </c>
    </row>
    <row r="8290" spans="1:13" x14ac:dyDescent="0.45">
      <c r="A8290" s="142" t="s">
        <v>13034</v>
      </c>
      <c r="B8290" s="142" t="s">
        <v>15562</v>
      </c>
      <c r="C8290" s="142" t="s">
        <v>15847</v>
      </c>
      <c r="D8290" s="142" t="s">
        <v>15848</v>
      </c>
      <c r="E8290" s="142" t="s">
        <v>15849</v>
      </c>
      <c r="F8290" s="142" t="s">
        <v>175</v>
      </c>
      <c r="G8290" s="142" t="s">
        <v>8078</v>
      </c>
      <c r="H8290" s="142" t="s">
        <v>24140</v>
      </c>
      <c r="I8290" s="142">
        <v>81</v>
      </c>
      <c r="J8290" s="142">
        <v>77</v>
      </c>
      <c r="K8290" s="142">
        <v>0</v>
      </c>
      <c r="L8290" s="142">
        <v>0</v>
      </c>
      <c r="M8290" s="142">
        <v>4</v>
      </c>
    </row>
    <row r="8291" spans="1:13" x14ac:dyDescent="0.45">
      <c r="A8291" s="142" t="s">
        <v>13035</v>
      </c>
      <c r="B8291" s="142" t="s">
        <v>14648</v>
      </c>
      <c r="C8291" s="142" t="s">
        <v>15847</v>
      </c>
      <c r="D8291" s="142" t="s">
        <v>15848</v>
      </c>
      <c r="E8291" s="142" t="s">
        <v>15849</v>
      </c>
      <c r="F8291" s="142" t="s">
        <v>175</v>
      </c>
      <c r="G8291" s="142" t="s">
        <v>8078</v>
      </c>
      <c r="H8291" s="142" t="s">
        <v>24141</v>
      </c>
      <c r="I8291" s="142">
        <v>282</v>
      </c>
      <c r="J8291" s="142">
        <v>185</v>
      </c>
      <c r="K8291" s="142">
        <v>0</v>
      </c>
      <c r="L8291" s="142">
        <v>69</v>
      </c>
      <c r="M8291" s="142">
        <v>28</v>
      </c>
    </row>
    <row r="8292" spans="1:13" x14ac:dyDescent="0.45">
      <c r="A8292" s="142" t="s">
        <v>13039</v>
      </c>
      <c r="B8292" s="142" t="s">
        <v>14647</v>
      </c>
      <c r="C8292" s="142" t="s">
        <v>15847</v>
      </c>
      <c r="D8292" s="142" t="s">
        <v>15848</v>
      </c>
      <c r="E8292" s="142" t="s">
        <v>15849</v>
      </c>
      <c r="F8292" s="142" t="s">
        <v>175</v>
      </c>
      <c r="G8292" s="142" t="s">
        <v>8078</v>
      </c>
      <c r="H8292" s="142" t="s">
        <v>24142</v>
      </c>
      <c r="I8292" s="142">
        <v>48</v>
      </c>
      <c r="J8292" s="142">
        <v>48</v>
      </c>
      <c r="K8292" s="142">
        <v>0</v>
      </c>
      <c r="L8292" s="142">
        <v>0</v>
      </c>
      <c r="M8292" s="142">
        <v>0</v>
      </c>
    </row>
    <row r="8293" spans="1:13" x14ac:dyDescent="0.45">
      <c r="A8293" s="142" t="s">
        <v>13041</v>
      </c>
      <c r="B8293" s="142" t="s">
        <v>14441</v>
      </c>
      <c r="C8293" s="142" t="s">
        <v>15847</v>
      </c>
      <c r="D8293" s="142" t="s">
        <v>15848</v>
      </c>
      <c r="E8293" s="142" t="s">
        <v>15849</v>
      </c>
      <c r="F8293" s="142" t="s">
        <v>175</v>
      </c>
      <c r="G8293" s="142" t="s">
        <v>8078</v>
      </c>
      <c r="H8293" s="142" t="s">
        <v>24143</v>
      </c>
      <c r="I8293" s="142">
        <v>12</v>
      </c>
      <c r="J8293" s="142">
        <v>0</v>
      </c>
      <c r="K8293" s="142">
        <v>0</v>
      </c>
      <c r="L8293" s="142">
        <v>0</v>
      </c>
      <c r="M8293" s="142">
        <v>12</v>
      </c>
    </row>
    <row r="8294" spans="1:13" x14ac:dyDescent="0.45">
      <c r="A8294" s="142" t="s">
        <v>14274</v>
      </c>
      <c r="B8294" s="142" t="s">
        <v>14456</v>
      </c>
      <c r="C8294" s="142" t="s">
        <v>15860</v>
      </c>
      <c r="D8294" s="142" t="s">
        <v>15861</v>
      </c>
      <c r="E8294" s="142" t="s">
        <v>15849</v>
      </c>
      <c r="F8294" s="142" t="s">
        <v>175</v>
      </c>
      <c r="G8294" s="142" t="s">
        <v>8078</v>
      </c>
      <c r="H8294" s="142" t="s">
        <v>24144</v>
      </c>
      <c r="I8294" s="142">
        <v>49</v>
      </c>
      <c r="J8294" s="142">
        <v>0</v>
      </c>
      <c r="K8294" s="142">
        <v>0</v>
      </c>
      <c r="L8294" s="142">
        <v>49</v>
      </c>
      <c r="M8294" s="142">
        <v>0</v>
      </c>
    </row>
    <row r="8295" spans="1:13" x14ac:dyDescent="0.45">
      <c r="A8295" s="142" t="s">
        <v>13042</v>
      </c>
      <c r="B8295" s="142" t="s">
        <v>15489</v>
      </c>
      <c r="C8295" s="142" t="s">
        <v>15847</v>
      </c>
      <c r="D8295" s="142" t="s">
        <v>15848</v>
      </c>
      <c r="E8295" s="142" t="s">
        <v>15849</v>
      </c>
      <c r="F8295" s="142" t="s">
        <v>175</v>
      </c>
      <c r="G8295" s="142" t="s">
        <v>8078</v>
      </c>
      <c r="H8295" s="142" t="s">
        <v>24145</v>
      </c>
      <c r="I8295" s="142">
        <v>1</v>
      </c>
      <c r="J8295" s="142">
        <v>1</v>
      </c>
      <c r="K8295" s="142">
        <v>0</v>
      </c>
      <c r="L8295" s="142">
        <v>0</v>
      </c>
      <c r="M8295" s="142">
        <v>0</v>
      </c>
    </row>
    <row r="8296" spans="1:13" x14ac:dyDescent="0.45">
      <c r="A8296" s="142" t="s">
        <v>13264</v>
      </c>
      <c r="B8296" s="142" t="s">
        <v>15302</v>
      </c>
      <c r="C8296" s="142" t="s">
        <v>15847</v>
      </c>
      <c r="D8296" s="142" t="s">
        <v>15848</v>
      </c>
      <c r="E8296" s="142" t="s">
        <v>15849</v>
      </c>
      <c r="F8296" s="142" t="s">
        <v>175</v>
      </c>
      <c r="G8296" s="142" t="s">
        <v>8078</v>
      </c>
      <c r="H8296" s="142" t="s">
        <v>24146</v>
      </c>
      <c r="I8296" s="142">
        <v>3</v>
      </c>
      <c r="J8296" s="142">
        <v>3</v>
      </c>
      <c r="K8296" s="142">
        <v>0</v>
      </c>
      <c r="L8296" s="142">
        <v>0</v>
      </c>
      <c r="M8296" s="142">
        <v>0</v>
      </c>
    </row>
    <row r="8297" spans="1:13" x14ac:dyDescent="0.45">
      <c r="A8297" s="142" t="s">
        <v>13267</v>
      </c>
      <c r="B8297" s="142" t="s">
        <v>15451</v>
      </c>
      <c r="C8297" s="142" t="s">
        <v>15847</v>
      </c>
      <c r="D8297" s="142" t="s">
        <v>15848</v>
      </c>
      <c r="E8297" s="142" t="s">
        <v>15849</v>
      </c>
      <c r="F8297" s="142" t="s">
        <v>175</v>
      </c>
      <c r="G8297" s="142" t="s">
        <v>8078</v>
      </c>
      <c r="H8297" s="142" t="s">
        <v>24147</v>
      </c>
      <c r="I8297" s="142">
        <v>171</v>
      </c>
      <c r="J8297" s="142">
        <v>119</v>
      </c>
      <c r="K8297" s="142">
        <v>0</v>
      </c>
      <c r="L8297" s="142">
        <v>0</v>
      </c>
      <c r="M8297" s="142">
        <v>52</v>
      </c>
    </row>
    <row r="8298" spans="1:13" x14ac:dyDescent="0.45">
      <c r="A8298" s="142" t="s">
        <v>13110</v>
      </c>
      <c r="B8298" s="142" t="s">
        <v>15502</v>
      </c>
      <c r="C8298" s="142" t="s">
        <v>15847</v>
      </c>
      <c r="D8298" s="142" t="s">
        <v>15848</v>
      </c>
      <c r="E8298" s="142" t="s">
        <v>15849</v>
      </c>
      <c r="F8298" s="142" t="s">
        <v>176</v>
      </c>
      <c r="G8298" s="142" t="s">
        <v>8571</v>
      </c>
      <c r="H8298" s="142" t="s">
        <v>24148</v>
      </c>
      <c r="I8298" s="142">
        <v>109</v>
      </c>
      <c r="J8298" s="142">
        <v>26</v>
      </c>
      <c r="K8298" s="142">
        <v>0</v>
      </c>
      <c r="L8298" s="142">
        <v>0</v>
      </c>
      <c r="M8298" s="142">
        <v>83</v>
      </c>
    </row>
    <row r="8299" spans="1:13" x14ac:dyDescent="0.45">
      <c r="A8299" s="142" t="s">
        <v>13166</v>
      </c>
      <c r="B8299" s="142" t="s">
        <v>15576</v>
      </c>
      <c r="C8299" s="142" t="s">
        <v>15847</v>
      </c>
      <c r="D8299" s="142" t="s">
        <v>15848</v>
      </c>
      <c r="E8299" s="142" t="s">
        <v>15849</v>
      </c>
      <c r="F8299" s="142" t="s">
        <v>176</v>
      </c>
      <c r="G8299" s="142" t="s">
        <v>8571</v>
      </c>
      <c r="H8299" s="142" t="s">
        <v>24149</v>
      </c>
      <c r="I8299" s="142">
        <v>14</v>
      </c>
      <c r="J8299" s="142">
        <v>13</v>
      </c>
      <c r="K8299" s="142">
        <v>0</v>
      </c>
      <c r="L8299" s="142">
        <v>0</v>
      </c>
      <c r="M8299" s="142">
        <v>1</v>
      </c>
    </row>
    <row r="8300" spans="1:13" x14ac:dyDescent="0.45">
      <c r="A8300" s="142" t="s">
        <v>13722</v>
      </c>
      <c r="B8300" s="142" t="s">
        <v>15199</v>
      </c>
      <c r="C8300" s="142" t="s">
        <v>15860</v>
      </c>
      <c r="D8300" s="142" t="s">
        <v>15861</v>
      </c>
      <c r="E8300" s="142" t="s">
        <v>15849</v>
      </c>
      <c r="F8300" s="142" t="s">
        <v>176</v>
      </c>
      <c r="G8300" s="142" t="s">
        <v>8571</v>
      </c>
      <c r="H8300" s="142" t="s">
        <v>24150</v>
      </c>
      <c r="I8300" s="142">
        <v>5</v>
      </c>
      <c r="J8300" s="142">
        <v>0</v>
      </c>
      <c r="K8300" s="142">
        <v>0</v>
      </c>
      <c r="L8300" s="142">
        <v>5</v>
      </c>
      <c r="M8300" s="142">
        <v>0</v>
      </c>
    </row>
    <row r="8301" spans="1:13" x14ac:dyDescent="0.45">
      <c r="A8301" s="142" t="s">
        <v>13000</v>
      </c>
      <c r="B8301" s="142" t="s">
        <v>14610</v>
      </c>
      <c r="C8301" s="142" t="s">
        <v>15847</v>
      </c>
      <c r="D8301" s="142" t="s">
        <v>15848</v>
      </c>
      <c r="E8301" s="142" t="s">
        <v>15849</v>
      </c>
      <c r="F8301" s="142" t="s">
        <v>176</v>
      </c>
      <c r="G8301" s="142" t="s">
        <v>8571</v>
      </c>
      <c r="H8301" s="142" t="s">
        <v>24151</v>
      </c>
      <c r="I8301" s="142">
        <v>419</v>
      </c>
      <c r="J8301" s="142">
        <v>272</v>
      </c>
      <c r="K8301" s="142">
        <v>0</v>
      </c>
      <c r="L8301" s="142">
        <v>0</v>
      </c>
      <c r="M8301" s="142">
        <v>147</v>
      </c>
    </row>
    <row r="8302" spans="1:13" x14ac:dyDescent="0.45">
      <c r="A8302" s="142" t="s">
        <v>13309</v>
      </c>
      <c r="B8302" s="142" t="s">
        <v>14597</v>
      </c>
      <c r="C8302" s="142" t="s">
        <v>15860</v>
      </c>
      <c r="D8302" s="142" t="s">
        <v>15861</v>
      </c>
      <c r="E8302" s="142" t="s">
        <v>15849</v>
      </c>
      <c r="F8302" s="142" t="s">
        <v>176</v>
      </c>
      <c r="G8302" s="142" t="s">
        <v>8571</v>
      </c>
      <c r="H8302" s="142" t="s">
        <v>24152</v>
      </c>
      <c r="I8302" s="142">
        <v>40</v>
      </c>
      <c r="J8302" s="142">
        <v>40</v>
      </c>
      <c r="K8302" s="142">
        <v>0</v>
      </c>
      <c r="L8302" s="142">
        <v>0</v>
      </c>
      <c r="M8302" s="142">
        <v>0</v>
      </c>
    </row>
    <row r="8303" spans="1:13" x14ac:dyDescent="0.45">
      <c r="A8303" s="142" t="s">
        <v>13074</v>
      </c>
      <c r="B8303" s="142" t="s">
        <v>15405</v>
      </c>
      <c r="C8303" s="142" t="s">
        <v>15847</v>
      </c>
      <c r="D8303" s="142" t="s">
        <v>15848</v>
      </c>
      <c r="E8303" s="142" t="s">
        <v>15849</v>
      </c>
      <c r="F8303" s="142" t="s">
        <v>176</v>
      </c>
      <c r="G8303" s="142" t="s">
        <v>8571</v>
      </c>
      <c r="H8303" s="142" t="s">
        <v>24153</v>
      </c>
      <c r="I8303" s="142">
        <v>41</v>
      </c>
      <c r="J8303" s="142">
        <v>32</v>
      </c>
      <c r="K8303" s="142">
        <v>0</v>
      </c>
      <c r="L8303" s="142">
        <v>0</v>
      </c>
      <c r="M8303" s="142">
        <v>9</v>
      </c>
    </row>
    <row r="8304" spans="1:13" x14ac:dyDescent="0.45">
      <c r="A8304" s="142" t="s">
        <v>13027</v>
      </c>
      <c r="B8304" s="142" t="s">
        <v>14562</v>
      </c>
      <c r="C8304" s="142" t="s">
        <v>15847</v>
      </c>
      <c r="D8304" s="142" t="s">
        <v>15848</v>
      </c>
      <c r="E8304" s="142" t="s">
        <v>15849</v>
      </c>
      <c r="F8304" s="142" t="s">
        <v>176</v>
      </c>
      <c r="G8304" s="142" t="s">
        <v>8571</v>
      </c>
      <c r="H8304" s="142" t="s">
        <v>24154</v>
      </c>
      <c r="I8304" s="142">
        <v>12</v>
      </c>
      <c r="J8304" s="142">
        <v>0</v>
      </c>
      <c r="K8304" s="142">
        <v>0</v>
      </c>
      <c r="L8304" s="142">
        <v>12</v>
      </c>
      <c r="M8304" s="142">
        <v>0</v>
      </c>
    </row>
    <row r="8305" spans="1:13" x14ac:dyDescent="0.45">
      <c r="A8305" s="142" t="s">
        <v>13001</v>
      </c>
      <c r="B8305" s="142" t="s">
        <v>15506</v>
      </c>
      <c r="C8305" s="142" t="s">
        <v>15847</v>
      </c>
      <c r="D8305" s="142" t="s">
        <v>15848</v>
      </c>
      <c r="E8305" s="142" t="s">
        <v>15849</v>
      </c>
      <c r="F8305" s="142" t="s">
        <v>176</v>
      </c>
      <c r="G8305" s="142" t="s">
        <v>8571</v>
      </c>
      <c r="H8305" s="142" t="s">
        <v>24155</v>
      </c>
      <c r="I8305" s="142">
        <v>28</v>
      </c>
      <c r="J8305" s="142">
        <v>9</v>
      </c>
      <c r="K8305" s="142">
        <v>0</v>
      </c>
      <c r="L8305" s="142">
        <v>19</v>
      </c>
      <c r="M8305" s="142">
        <v>0</v>
      </c>
    </row>
    <row r="8306" spans="1:13" x14ac:dyDescent="0.45">
      <c r="A8306" s="142" t="s">
        <v>13149</v>
      </c>
      <c r="B8306" s="142" t="s">
        <v>14458</v>
      </c>
      <c r="C8306" s="142" t="s">
        <v>15860</v>
      </c>
      <c r="D8306" s="142" t="s">
        <v>15861</v>
      </c>
      <c r="E8306" s="142" t="s">
        <v>15849</v>
      </c>
      <c r="F8306" s="142" t="s">
        <v>176</v>
      </c>
      <c r="G8306" s="142" t="s">
        <v>8571</v>
      </c>
      <c r="H8306" s="142" t="s">
        <v>24156</v>
      </c>
      <c r="I8306" s="142">
        <v>19</v>
      </c>
      <c r="J8306" s="142">
        <v>0</v>
      </c>
      <c r="K8306" s="142">
        <v>0</v>
      </c>
      <c r="L8306" s="142">
        <v>19</v>
      </c>
      <c r="M8306" s="142">
        <v>0</v>
      </c>
    </row>
    <row r="8307" spans="1:13" x14ac:dyDescent="0.45">
      <c r="A8307" s="142" t="s">
        <v>13426</v>
      </c>
      <c r="B8307" s="142" t="s">
        <v>15285</v>
      </c>
      <c r="C8307" s="142" t="s">
        <v>15847</v>
      </c>
      <c r="D8307" s="142" t="s">
        <v>15848</v>
      </c>
      <c r="E8307" s="142" t="s">
        <v>15849</v>
      </c>
      <c r="F8307" s="142" t="s">
        <v>176</v>
      </c>
      <c r="G8307" s="142" t="s">
        <v>8571</v>
      </c>
      <c r="H8307" s="142" t="s">
        <v>24157</v>
      </c>
      <c r="I8307" s="142">
        <v>12</v>
      </c>
      <c r="J8307" s="142">
        <v>12</v>
      </c>
      <c r="K8307" s="142">
        <v>0</v>
      </c>
      <c r="L8307" s="142">
        <v>0</v>
      </c>
      <c r="M8307" s="142">
        <v>0</v>
      </c>
    </row>
    <row r="8308" spans="1:13" x14ac:dyDescent="0.45">
      <c r="A8308" s="142" t="s">
        <v>13004</v>
      </c>
      <c r="B8308" s="142" t="s">
        <v>15492</v>
      </c>
      <c r="C8308" s="142" t="s">
        <v>15847</v>
      </c>
      <c r="D8308" s="142" t="s">
        <v>15848</v>
      </c>
      <c r="E8308" s="142" t="s">
        <v>15849</v>
      </c>
      <c r="F8308" s="142" t="s">
        <v>176</v>
      </c>
      <c r="G8308" s="142" t="s">
        <v>8571</v>
      </c>
      <c r="H8308" s="142" t="s">
        <v>24158</v>
      </c>
      <c r="I8308" s="142">
        <v>26</v>
      </c>
      <c r="J8308" s="142">
        <v>0</v>
      </c>
      <c r="K8308" s="142">
        <v>0</v>
      </c>
      <c r="L8308" s="142">
        <v>26</v>
      </c>
      <c r="M8308" s="142">
        <v>0</v>
      </c>
    </row>
    <row r="8309" spans="1:13" x14ac:dyDescent="0.45">
      <c r="A8309" s="142" t="s">
        <v>13005</v>
      </c>
      <c r="B8309" s="142" t="s">
        <v>15475</v>
      </c>
      <c r="C8309" s="142" t="s">
        <v>15847</v>
      </c>
      <c r="D8309" s="142" t="s">
        <v>15848</v>
      </c>
      <c r="E8309" s="142" t="s">
        <v>15849</v>
      </c>
      <c r="F8309" s="142" t="s">
        <v>176</v>
      </c>
      <c r="G8309" s="142" t="s">
        <v>8571</v>
      </c>
      <c r="H8309" s="142" t="s">
        <v>24159</v>
      </c>
      <c r="I8309" s="142">
        <v>241</v>
      </c>
      <c r="J8309" s="142">
        <v>208</v>
      </c>
      <c r="K8309" s="142">
        <v>0</v>
      </c>
      <c r="L8309" s="142">
        <v>0</v>
      </c>
      <c r="M8309" s="142">
        <v>33</v>
      </c>
    </row>
    <row r="8310" spans="1:13" x14ac:dyDescent="0.45">
      <c r="A8310" s="142" t="s">
        <v>13006</v>
      </c>
      <c r="B8310" s="142" t="s">
        <v>15288</v>
      </c>
      <c r="C8310" s="142" t="s">
        <v>15847</v>
      </c>
      <c r="D8310" s="142" t="s">
        <v>15848</v>
      </c>
      <c r="E8310" s="142" t="s">
        <v>15849</v>
      </c>
      <c r="F8310" s="142" t="s">
        <v>176</v>
      </c>
      <c r="G8310" s="142" t="s">
        <v>8571</v>
      </c>
      <c r="H8310" s="142" t="s">
        <v>24160</v>
      </c>
      <c r="I8310" s="142">
        <v>6</v>
      </c>
      <c r="J8310" s="142">
        <v>1</v>
      </c>
      <c r="K8310" s="142">
        <v>0</v>
      </c>
      <c r="L8310" s="142">
        <v>0</v>
      </c>
      <c r="M8310" s="142">
        <v>5</v>
      </c>
    </row>
    <row r="8311" spans="1:13" x14ac:dyDescent="0.45">
      <c r="A8311" s="142" t="s">
        <v>13568</v>
      </c>
      <c r="B8311" s="142" t="s">
        <v>15242</v>
      </c>
      <c r="C8311" s="142" t="s">
        <v>15847</v>
      </c>
      <c r="D8311" s="142" t="s">
        <v>15848</v>
      </c>
      <c r="E8311" s="142" t="s">
        <v>15849</v>
      </c>
      <c r="F8311" s="142" t="s">
        <v>176</v>
      </c>
      <c r="G8311" s="142" t="s">
        <v>8571</v>
      </c>
      <c r="H8311" s="142" t="s">
        <v>24161</v>
      </c>
      <c r="I8311" s="142">
        <v>14</v>
      </c>
      <c r="J8311" s="142">
        <v>12</v>
      </c>
      <c r="K8311" s="142">
        <v>0</v>
      </c>
      <c r="L8311" s="142">
        <v>0</v>
      </c>
      <c r="M8311" s="142">
        <v>2</v>
      </c>
    </row>
    <row r="8312" spans="1:13" x14ac:dyDescent="0.45">
      <c r="A8312" s="142" t="s">
        <v>13389</v>
      </c>
      <c r="B8312" s="142" t="s">
        <v>15361</v>
      </c>
      <c r="C8312" s="142" t="s">
        <v>15860</v>
      </c>
      <c r="D8312" s="142" t="s">
        <v>15861</v>
      </c>
      <c r="E8312" s="142" t="s">
        <v>15849</v>
      </c>
      <c r="F8312" s="142" t="s">
        <v>176</v>
      </c>
      <c r="G8312" s="142" t="s">
        <v>8571</v>
      </c>
      <c r="H8312" s="142" t="s">
        <v>24162</v>
      </c>
      <c r="I8312" s="142">
        <v>11</v>
      </c>
      <c r="J8312" s="142">
        <v>11</v>
      </c>
      <c r="K8312" s="142">
        <v>0</v>
      </c>
      <c r="L8312" s="142">
        <v>0</v>
      </c>
      <c r="M8312" s="142">
        <v>0</v>
      </c>
    </row>
    <row r="8313" spans="1:13" x14ac:dyDescent="0.45">
      <c r="A8313" s="142" t="s">
        <v>13569</v>
      </c>
      <c r="B8313" s="142" t="s">
        <v>15441</v>
      </c>
      <c r="C8313" s="142" t="s">
        <v>15847</v>
      </c>
      <c r="D8313" s="142" t="s">
        <v>15848</v>
      </c>
      <c r="E8313" s="142" t="s">
        <v>15849</v>
      </c>
      <c r="F8313" s="142" t="s">
        <v>176</v>
      </c>
      <c r="G8313" s="142" t="s">
        <v>8571</v>
      </c>
      <c r="H8313" s="142" t="s">
        <v>24163</v>
      </c>
      <c r="I8313" s="142">
        <v>96</v>
      </c>
      <c r="J8313" s="142">
        <v>94</v>
      </c>
      <c r="K8313" s="142">
        <v>0</v>
      </c>
      <c r="L8313" s="142">
        <v>0</v>
      </c>
      <c r="M8313" s="142">
        <v>2</v>
      </c>
    </row>
    <row r="8314" spans="1:13" x14ac:dyDescent="0.45">
      <c r="A8314" s="142" t="s">
        <v>13037</v>
      </c>
      <c r="B8314" s="142" t="s">
        <v>14519</v>
      </c>
      <c r="C8314" s="142" t="s">
        <v>15847</v>
      </c>
      <c r="D8314" s="142" t="s">
        <v>15848</v>
      </c>
      <c r="E8314" s="142" t="s">
        <v>15849</v>
      </c>
      <c r="F8314" s="142" t="s">
        <v>176</v>
      </c>
      <c r="G8314" s="142" t="s">
        <v>8571</v>
      </c>
      <c r="H8314" s="142" t="s">
        <v>24164</v>
      </c>
      <c r="I8314" s="142">
        <v>18</v>
      </c>
      <c r="J8314" s="142">
        <v>0</v>
      </c>
      <c r="K8314" s="142">
        <v>0</v>
      </c>
      <c r="L8314" s="142">
        <v>18</v>
      </c>
      <c r="M8314" s="142">
        <v>0</v>
      </c>
    </row>
    <row r="8315" spans="1:13" x14ac:dyDescent="0.45">
      <c r="A8315" s="142" t="s">
        <v>13011</v>
      </c>
      <c r="B8315" s="142" t="s">
        <v>14695</v>
      </c>
      <c r="C8315" s="142" t="s">
        <v>15847</v>
      </c>
      <c r="D8315" s="142" t="s">
        <v>15848</v>
      </c>
      <c r="E8315" s="142" t="s">
        <v>15849</v>
      </c>
      <c r="F8315" s="142" t="s">
        <v>176</v>
      </c>
      <c r="G8315" s="142" t="s">
        <v>8571</v>
      </c>
      <c r="H8315" s="142" t="s">
        <v>24165</v>
      </c>
      <c r="I8315" s="142">
        <v>194</v>
      </c>
      <c r="J8315" s="142">
        <v>159</v>
      </c>
      <c r="K8315" s="142">
        <v>0</v>
      </c>
      <c r="L8315" s="142">
        <v>13</v>
      </c>
      <c r="M8315" s="142">
        <v>22</v>
      </c>
    </row>
    <row r="8316" spans="1:13" x14ac:dyDescent="0.45">
      <c r="A8316" s="142" t="s">
        <v>13205</v>
      </c>
      <c r="B8316" s="142" t="s">
        <v>14496</v>
      </c>
      <c r="C8316" s="142" t="s">
        <v>15847</v>
      </c>
      <c r="D8316" s="142" t="s">
        <v>15848</v>
      </c>
      <c r="E8316" s="142" t="s">
        <v>15849</v>
      </c>
      <c r="F8316" s="142" t="s">
        <v>176</v>
      </c>
      <c r="G8316" s="142" t="s">
        <v>8571</v>
      </c>
      <c r="H8316" s="142" t="s">
        <v>24166</v>
      </c>
      <c r="I8316" s="142">
        <v>24</v>
      </c>
      <c r="J8316" s="142">
        <v>24</v>
      </c>
      <c r="K8316" s="142">
        <v>0</v>
      </c>
      <c r="L8316" s="142">
        <v>0</v>
      </c>
      <c r="M8316" s="142">
        <v>0</v>
      </c>
    </row>
    <row r="8317" spans="1:13" x14ac:dyDescent="0.45">
      <c r="A8317" s="142" t="s">
        <v>13012</v>
      </c>
      <c r="B8317" s="142" t="s">
        <v>15337</v>
      </c>
      <c r="C8317" s="142" t="s">
        <v>15847</v>
      </c>
      <c r="D8317" s="142" t="s">
        <v>15848</v>
      </c>
      <c r="E8317" s="142" t="s">
        <v>15849</v>
      </c>
      <c r="F8317" s="142" t="s">
        <v>176</v>
      </c>
      <c r="G8317" s="142" t="s">
        <v>8571</v>
      </c>
      <c r="H8317" s="142" t="s">
        <v>24167</v>
      </c>
      <c r="I8317" s="142">
        <v>51</v>
      </c>
      <c r="J8317" s="142">
        <v>26</v>
      </c>
      <c r="K8317" s="142">
        <v>0</v>
      </c>
      <c r="L8317" s="142">
        <v>0</v>
      </c>
      <c r="M8317" s="142">
        <v>25</v>
      </c>
    </row>
    <row r="8318" spans="1:13" x14ac:dyDescent="0.45">
      <c r="A8318" s="142" t="s">
        <v>13094</v>
      </c>
      <c r="B8318" s="142" t="s">
        <v>15542</v>
      </c>
      <c r="C8318" s="142" t="s">
        <v>15860</v>
      </c>
      <c r="D8318" s="142" t="s">
        <v>15861</v>
      </c>
      <c r="E8318" s="142" t="s">
        <v>15849</v>
      </c>
      <c r="F8318" s="142" t="s">
        <v>176</v>
      </c>
      <c r="G8318" s="142" t="s">
        <v>8571</v>
      </c>
      <c r="H8318" s="142" t="s">
        <v>24168</v>
      </c>
      <c r="I8318" s="142">
        <v>4</v>
      </c>
      <c r="J8318" s="142">
        <v>0</v>
      </c>
      <c r="K8318" s="142">
        <v>0</v>
      </c>
      <c r="L8318" s="142">
        <v>4</v>
      </c>
      <c r="M8318" s="142">
        <v>0</v>
      </c>
    </row>
    <row r="8319" spans="1:13" x14ac:dyDescent="0.45">
      <c r="A8319" s="142" t="s">
        <v>13014</v>
      </c>
      <c r="B8319" s="142" t="s">
        <v>14505</v>
      </c>
      <c r="C8319" s="142" t="s">
        <v>15847</v>
      </c>
      <c r="D8319" s="142" t="s">
        <v>15848</v>
      </c>
      <c r="E8319" s="142" t="s">
        <v>15849</v>
      </c>
      <c r="F8319" s="142" t="s">
        <v>176</v>
      </c>
      <c r="G8319" s="142" t="s">
        <v>8571</v>
      </c>
      <c r="H8319" s="142" t="s">
        <v>24169</v>
      </c>
      <c r="I8319" s="142">
        <v>349</v>
      </c>
      <c r="J8319" s="142">
        <v>316</v>
      </c>
      <c r="K8319" s="142">
        <v>0</v>
      </c>
      <c r="L8319" s="142">
        <v>0</v>
      </c>
      <c r="M8319" s="142">
        <v>33</v>
      </c>
    </row>
    <row r="8320" spans="1:13" x14ac:dyDescent="0.45">
      <c r="A8320" s="142" t="s">
        <v>14276</v>
      </c>
      <c r="B8320" s="142" t="s">
        <v>14708</v>
      </c>
      <c r="C8320" s="142" t="s">
        <v>15860</v>
      </c>
      <c r="D8320" s="142" t="s">
        <v>15861</v>
      </c>
      <c r="E8320" s="142" t="s">
        <v>15849</v>
      </c>
      <c r="F8320" s="142" t="s">
        <v>176</v>
      </c>
      <c r="G8320" s="142" t="s">
        <v>8571</v>
      </c>
      <c r="H8320" s="142" t="s">
        <v>24170</v>
      </c>
      <c r="I8320" s="142">
        <v>43</v>
      </c>
      <c r="J8320" s="142">
        <v>0</v>
      </c>
      <c r="K8320" s="142">
        <v>0</v>
      </c>
      <c r="L8320" s="142">
        <v>43</v>
      </c>
      <c r="M8320" s="142">
        <v>0</v>
      </c>
    </row>
    <row r="8321" spans="1:13" x14ac:dyDescent="0.45">
      <c r="A8321" s="142" t="s">
        <v>13042</v>
      </c>
      <c r="B8321" s="142" t="s">
        <v>15489</v>
      </c>
      <c r="C8321" s="142" t="s">
        <v>15847</v>
      </c>
      <c r="D8321" s="142" t="s">
        <v>15848</v>
      </c>
      <c r="E8321" s="142" t="s">
        <v>15849</v>
      </c>
      <c r="F8321" s="142" t="s">
        <v>176</v>
      </c>
      <c r="G8321" s="142" t="s">
        <v>8571</v>
      </c>
      <c r="H8321" s="142" t="s">
        <v>24171</v>
      </c>
      <c r="I8321" s="142">
        <v>1</v>
      </c>
      <c r="J8321" s="142">
        <v>1</v>
      </c>
      <c r="K8321" s="142">
        <v>0</v>
      </c>
      <c r="L8321" s="142">
        <v>0</v>
      </c>
      <c r="M8321" s="142">
        <v>0</v>
      </c>
    </row>
    <row r="8322" spans="1:13" x14ac:dyDescent="0.45">
      <c r="A8322" s="142" t="s">
        <v>13079</v>
      </c>
      <c r="B8322" s="142" t="s">
        <v>15431</v>
      </c>
      <c r="C8322" s="142" t="s">
        <v>15847</v>
      </c>
      <c r="D8322" s="142" t="s">
        <v>15848</v>
      </c>
      <c r="E8322" s="142" t="s">
        <v>15849</v>
      </c>
      <c r="F8322" s="142" t="s">
        <v>176</v>
      </c>
      <c r="G8322" s="142" t="s">
        <v>8571</v>
      </c>
      <c r="H8322" s="142" t="s">
        <v>24172</v>
      </c>
      <c r="I8322" s="142">
        <v>67</v>
      </c>
      <c r="J8322" s="142">
        <v>41</v>
      </c>
      <c r="K8322" s="142">
        <v>0</v>
      </c>
      <c r="L8322" s="142">
        <v>0</v>
      </c>
      <c r="M8322" s="142">
        <v>26</v>
      </c>
    </row>
    <row r="8323" spans="1:13" x14ac:dyDescent="0.45">
      <c r="A8323" s="142" t="s">
        <v>13570</v>
      </c>
      <c r="B8323" s="142" t="s">
        <v>15181</v>
      </c>
      <c r="C8323" s="142" t="s">
        <v>15860</v>
      </c>
      <c r="D8323" s="142" t="s">
        <v>15861</v>
      </c>
      <c r="E8323" s="142" t="s">
        <v>15849</v>
      </c>
      <c r="F8323" s="142" t="s">
        <v>176</v>
      </c>
      <c r="G8323" s="142" t="s">
        <v>8571</v>
      </c>
      <c r="H8323" s="142" t="s">
        <v>24173</v>
      </c>
      <c r="I8323" s="142">
        <v>46</v>
      </c>
      <c r="J8323" s="142">
        <v>0</v>
      </c>
      <c r="K8323" s="142">
        <v>0</v>
      </c>
      <c r="L8323" s="142">
        <v>46</v>
      </c>
      <c r="M8323" s="142">
        <v>0</v>
      </c>
    </row>
    <row r="8324" spans="1:13" x14ac:dyDescent="0.45">
      <c r="A8324" s="142" t="s">
        <v>13021</v>
      </c>
      <c r="B8324" s="142" t="s">
        <v>15501</v>
      </c>
      <c r="C8324" s="142" t="s">
        <v>15847</v>
      </c>
      <c r="D8324" s="142" t="s">
        <v>15848</v>
      </c>
      <c r="E8324" s="142" t="s">
        <v>15849</v>
      </c>
      <c r="F8324" s="142" t="s">
        <v>177</v>
      </c>
      <c r="G8324" s="142" t="s">
        <v>3671</v>
      </c>
      <c r="H8324" s="142" t="s">
        <v>24174</v>
      </c>
      <c r="I8324" s="142">
        <v>11</v>
      </c>
      <c r="J8324" s="142">
        <v>0</v>
      </c>
      <c r="K8324" s="142">
        <v>0</v>
      </c>
      <c r="L8324" s="142">
        <v>0</v>
      </c>
      <c r="M8324" s="142">
        <v>11</v>
      </c>
    </row>
    <row r="8325" spans="1:13" x14ac:dyDescent="0.45">
      <c r="A8325" s="142" t="s">
        <v>13023</v>
      </c>
      <c r="B8325" s="142" t="s">
        <v>15571</v>
      </c>
      <c r="C8325" s="142" t="s">
        <v>15847</v>
      </c>
      <c r="D8325" s="142" t="s">
        <v>15848</v>
      </c>
      <c r="E8325" s="142" t="s">
        <v>15849</v>
      </c>
      <c r="F8325" s="142" t="s">
        <v>177</v>
      </c>
      <c r="G8325" s="142" t="s">
        <v>3671</v>
      </c>
      <c r="H8325" s="142" t="s">
        <v>24175</v>
      </c>
      <c r="I8325" s="142">
        <v>35</v>
      </c>
      <c r="J8325" s="142">
        <v>0</v>
      </c>
      <c r="K8325" s="142">
        <v>0</v>
      </c>
      <c r="L8325" s="142">
        <v>35</v>
      </c>
      <c r="M8325" s="142">
        <v>0</v>
      </c>
    </row>
    <row r="8326" spans="1:13" x14ac:dyDescent="0.45">
      <c r="A8326" s="142" t="s">
        <v>13048</v>
      </c>
      <c r="B8326" s="142" t="s">
        <v>14479</v>
      </c>
      <c r="C8326" s="142" t="s">
        <v>15847</v>
      </c>
      <c r="D8326" s="142" t="s">
        <v>15848</v>
      </c>
      <c r="E8326" s="142" t="s">
        <v>15849</v>
      </c>
      <c r="F8326" s="142" t="s">
        <v>177</v>
      </c>
      <c r="G8326" s="142" t="s">
        <v>3671</v>
      </c>
      <c r="H8326" s="142" t="s">
        <v>24176</v>
      </c>
      <c r="I8326" s="142">
        <v>158</v>
      </c>
      <c r="J8326" s="142">
        <v>60</v>
      </c>
      <c r="K8326" s="142">
        <v>0</v>
      </c>
      <c r="L8326" s="142">
        <v>50</v>
      </c>
      <c r="M8326" s="142">
        <v>48</v>
      </c>
    </row>
    <row r="8327" spans="1:13" x14ac:dyDescent="0.45">
      <c r="A8327" s="142" t="s">
        <v>13065</v>
      </c>
      <c r="B8327" s="142" t="s">
        <v>14497</v>
      </c>
      <c r="C8327" s="142" t="s">
        <v>15847</v>
      </c>
      <c r="D8327" s="142" t="s">
        <v>15848</v>
      </c>
      <c r="E8327" s="142" t="s">
        <v>15849</v>
      </c>
      <c r="F8327" s="142" t="s">
        <v>177</v>
      </c>
      <c r="G8327" s="142" t="s">
        <v>3671</v>
      </c>
      <c r="H8327" s="142" t="s">
        <v>24177</v>
      </c>
      <c r="I8327" s="142">
        <v>17</v>
      </c>
      <c r="J8327" s="142">
        <v>0</v>
      </c>
      <c r="K8327" s="142">
        <v>0</v>
      </c>
      <c r="L8327" s="142">
        <v>17</v>
      </c>
      <c r="M8327" s="142">
        <v>0</v>
      </c>
    </row>
    <row r="8328" spans="1:13" x14ac:dyDescent="0.45">
      <c r="A8328" s="142" t="s">
        <v>13000</v>
      </c>
      <c r="B8328" s="142" t="s">
        <v>14610</v>
      </c>
      <c r="C8328" s="142" t="s">
        <v>15847</v>
      </c>
      <c r="D8328" s="142" t="s">
        <v>15848</v>
      </c>
      <c r="E8328" s="142" t="s">
        <v>15849</v>
      </c>
      <c r="F8328" s="142" t="s">
        <v>177</v>
      </c>
      <c r="G8328" s="142" t="s">
        <v>3671</v>
      </c>
      <c r="H8328" s="142" t="s">
        <v>24178</v>
      </c>
      <c r="I8328" s="142">
        <v>52</v>
      </c>
      <c r="J8328" s="142">
        <v>44</v>
      </c>
      <c r="K8328" s="142">
        <v>0</v>
      </c>
      <c r="L8328" s="142">
        <v>0</v>
      </c>
      <c r="M8328" s="142">
        <v>8</v>
      </c>
    </row>
    <row r="8329" spans="1:13" x14ac:dyDescent="0.45">
      <c r="A8329" s="142" t="s">
        <v>13644</v>
      </c>
      <c r="B8329" s="142" t="s">
        <v>15253</v>
      </c>
      <c r="C8329" s="142" t="s">
        <v>15847</v>
      </c>
      <c r="D8329" s="142" t="s">
        <v>15848</v>
      </c>
      <c r="E8329" s="142" t="s">
        <v>15849</v>
      </c>
      <c r="F8329" s="142" t="s">
        <v>177</v>
      </c>
      <c r="G8329" s="142" t="s">
        <v>3671</v>
      </c>
      <c r="H8329" s="142" t="s">
        <v>24179</v>
      </c>
      <c r="I8329" s="142">
        <v>116</v>
      </c>
      <c r="J8329" s="142">
        <v>94</v>
      </c>
      <c r="K8329" s="142">
        <v>0</v>
      </c>
      <c r="L8329" s="142">
        <v>0</v>
      </c>
      <c r="M8329" s="142">
        <v>22</v>
      </c>
    </row>
    <row r="8330" spans="1:13" x14ac:dyDescent="0.45">
      <c r="A8330" s="142" t="s">
        <v>13085</v>
      </c>
      <c r="B8330" s="142" t="s">
        <v>14460</v>
      </c>
      <c r="C8330" s="142" t="s">
        <v>15860</v>
      </c>
      <c r="D8330" s="142" t="s">
        <v>15861</v>
      </c>
      <c r="E8330" s="142" t="s">
        <v>15849</v>
      </c>
      <c r="F8330" s="142" t="s">
        <v>177</v>
      </c>
      <c r="G8330" s="142" t="s">
        <v>3671</v>
      </c>
      <c r="H8330" s="142" t="s">
        <v>24180</v>
      </c>
      <c r="I8330" s="142">
        <v>12</v>
      </c>
      <c r="J8330" s="142">
        <v>0</v>
      </c>
      <c r="K8330" s="142">
        <v>0</v>
      </c>
      <c r="L8330" s="142">
        <v>12</v>
      </c>
      <c r="M8330" s="142">
        <v>0</v>
      </c>
    </row>
    <row r="8331" spans="1:13" x14ac:dyDescent="0.45">
      <c r="A8331" s="142" t="s">
        <v>13099</v>
      </c>
      <c r="B8331" s="142" t="s">
        <v>14547</v>
      </c>
      <c r="C8331" s="142" t="s">
        <v>15860</v>
      </c>
      <c r="D8331" s="142" t="s">
        <v>15861</v>
      </c>
      <c r="E8331" s="142" t="s">
        <v>15849</v>
      </c>
      <c r="F8331" s="142" t="s">
        <v>177</v>
      </c>
      <c r="G8331" s="142" t="s">
        <v>3671</v>
      </c>
      <c r="H8331" s="142" t="s">
        <v>24181</v>
      </c>
      <c r="I8331" s="142">
        <v>14</v>
      </c>
      <c r="J8331" s="142">
        <v>0</v>
      </c>
      <c r="K8331" s="142">
        <v>0</v>
      </c>
      <c r="L8331" s="142">
        <v>14</v>
      </c>
      <c r="M8331" s="142">
        <v>0</v>
      </c>
    </row>
    <row r="8332" spans="1:13" x14ac:dyDescent="0.45">
      <c r="A8332" s="142" t="s">
        <v>13027</v>
      </c>
      <c r="B8332" s="142" t="s">
        <v>14562</v>
      </c>
      <c r="C8332" s="142" t="s">
        <v>15847</v>
      </c>
      <c r="D8332" s="142" t="s">
        <v>15848</v>
      </c>
      <c r="E8332" s="142" t="s">
        <v>15849</v>
      </c>
      <c r="F8332" s="142" t="s">
        <v>177</v>
      </c>
      <c r="G8332" s="142" t="s">
        <v>3671</v>
      </c>
      <c r="H8332" s="142" t="s">
        <v>24182</v>
      </c>
      <c r="I8332" s="142">
        <v>12</v>
      </c>
      <c r="J8332" s="142">
        <v>0</v>
      </c>
      <c r="K8332" s="142">
        <v>0</v>
      </c>
      <c r="L8332" s="142">
        <v>12</v>
      </c>
      <c r="M8332" s="142">
        <v>0</v>
      </c>
    </row>
    <row r="8333" spans="1:13" x14ac:dyDescent="0.45">
      <c r="A8333" s="142" t="s">
        <v>13050</v>
      </c>
      <c r="B8333" s="142" t="s">
        <v>15237</v>
      </c>
      <c r="C8333" s="142" t="s">
        <v>15847</v>
      </c>
      <c r="D8333" s="142" t="s">
        <v>15848</v>
      </c>
      <c r="E8333" s="142" t="s">
        <v>15849</v>
      </c>
      <c r="F8333" s="142" t="s">
        <v>177</v>
      </c>
      <c r="G8333" s="142" t="s">
        <v>3671</v>
      </c>
      <c r="H8333" s="142" t="s">
        <v>24183</v>
      </c>
      <c r="I8333" s="142">
        <v>48</v>
      </c>
      <c r="J8333" s="142">
        <v>43</v>
      </c>
      <c r="K8333" s="142">
        <v>0</v>
      </c>
      <c r="L8333" s="142">
        <v>0</v>
      </c>
      <c r="M8333" s="142">
        <v>5</v>
      </c>
    </row>
    <row r="8334" spans="1:13" x14ac:dyDescent="0.45">
      <c r="A8334" s="142" t="s">
        <v>13028</v>
      </c>
      <c r="B8334" s="142" t="s">
        <v>14462</v>
      </c>
      <c r="C8334" s="142" t="s">
        <v>15847</v>
      </c>
      <c r="D8334" s="142" t="s">
        <v>15848</v>
      </c>
      <c r="E8334" s="142" t="s">
        <v>15849</v>
      </c>
      <c r="F8334" s="142" t="s">
        <v>177</v>
      </c>
      <c r="G8334" s="142" t="s">
        <v>3671</v>
      </c>
      <c r="H8334" s="142" t="s">
        <v>24184</v>
      </c>
      <c r="I8334" s="142">
        <v>109</v>
      </c>
      <c r="J8334" s="142">
        <v>0</v>
      </c>
      <c r="K8334" s="142">
        <v>0</v>
      </c>
      <c r="L8334" s="142">
        <v>0</v>
      </c>
      <c r="M8334" s="142">
        <v>109</v>
      </c>
    </row>
    <row r="8335" spans="1:13" x14ac:dyDescent="0.45">
      <c r="A8335" s="142" t="s">
        <v>13274</v>
      </c>
      <c r="B8335" s="142" t="s">
        <v>14608</v>
      </c>
      <c r="C8335" s="142" t="s">
        <v>15860</v>
      </c>
      <c r="D8335" s="142" t="s">
        <v>15861</v>
      </c>
      <c r="E8335" s="142" t="s">
        <v>15849</v>
      </c>
      <c r="F8335" s="142" t="s">
        <v>177</v>
      </c>
      <c r="G8335" s="142" t="s">
        <v>3671</v>
      </c>
      <c r="H8335" s="142" t="s">
        <v>24185</v>
      </c>
      <c r="I8335" s="142">
        <v>11</v>
      </c>
      <c r="J8335" s="142">
        <v>0</v>
      </c>
      <c r="K8335" s="142">
        <v>0</v>
      </c>
      <c r="L8335" s="142">
        <v>11</v>
      </c>
      <c r="M8335" s="142">
        <v>0</v>
      </c>
    </row>
    <row r="8336" spans="1:13" x14ac:dyDescent="0.45">
      <c r="A8336" s="142" t="s">
        <v>13190</v>
      </c>
      <c r="B8336" s="142" t="s">
        <v>14617</v>
      </c>
      <c r="C8336" s="142" t="s">
        <v>15847</v>
      </c>
      <c r="D8336" s="142" t="s">
        <v>15848</v>
      </c>
      <c r="E8336" s="142" t="s">
        <v>15849</v>
      </c>
      <c r="F8336" s="142" t="s">
        <v>177</v>
      </c>
      <c r="G8336" s="142" t="s">
        <v>3671</v>
      </c>
      <c r="H8336" s="142" t="s">
        <v>24186</v>
      </c>
      <c r="I8336" s="142">
        <v>924</v>
      </c>
      <c r="J8336" s="142">
        <v>705</v>
      </c>
      <c r="K8336" s="142">
        <v>0</v>
      </c>
      <c r="L8336" s="142">
        <v>10</v>
      </c>
      <c r="M8336" s="142">
        <v>209</v>
      </c>
    </row>
    <row r="8337" spans="1:13" x14ac:dyDescent="0.45">
      <c r="A8337" s="142" t="s">
        <v>13006</v>
      </c>
      <c r="B8337" s="142" t="s">
        <v>15288</v>
      </c>
      <c r="C8337" s="142" t="s">
        <v>15847</v>
      </c>
      <c r="D8337" s="142" t="s">
        <v>15848</v>
      </c>
      <c r="E8337" s="142" t="s">
        <v>15849</v>
      </c>
      <c r="F8337" s="142" t="s">
        <v>177</v>
      </c>
      <c r="G8337" s="142" t="s">
        <v>3671</v>
      </c>
      <c r="H8337" s="142" t="s">
        <v>24187</v>
      </c>
      <c r="I8337" s="142">
        <v>1</v>
      </c>
      <c r="J8337" s="142">
        <v>0</v>
      </c>
      <c r="K8337" s="142">
        <v>0</v>
      </c>
      <c r="L8337" s="142">
        <v>0</v>
      </c>
      <c r="M8337" s="142">
        <v>1</v>
      </c>
    </row>
    <row r="8338" spans="1:13" x14ac:dyDescent="0.45">
      <c r="A8338" s="142" t="s">
        <v>13007</v>
      </c>
      <c r="B8338" s="142" t="s">
        <v>15262</v>
      </c>
      <c r="C8338" s="142" t="s">
        <v>15847</v>
      </c>
      <c r="D8338" s="142" t="s">
        <v>15848</v>
      </c>
      <c r="E8338" s="142" t="s">
        <v>15849</v>
      </c>
      <c r="F8338" s="142" t="s">
        <v>177</v>
      </c>
      <c r="G8338" s="142" t="s">
        <v>3671</v>
      </c>
      <c r="H8338" s="142" t="s">
        <v>24188</v>
      </c>
      <c r="I8338" s="142">
        <v>1</v>
      </c>
      <c r="J8338" s="142">
        <v>0</v>
      </c>
      <c r="K8338" s="142">
        <v>0</v>
      </c>
      <c r="L8338" s="142">
        <v>0</v>
      </c>
      <c r="M8338" s="142">
        <v>1</v>
      </c>
    </row>
    <row r="8339" spans="1:13" x14ac:dyDescent="0.45">
      <c r="A8339" s="142" t="s">
        <v>13034</v>
      </c>
      <c r="B8339" s="142" t="s">
        <v>15562</v>
      </c>
      <c r="C8339" s="142" t="s">
        <v>15847</v>
      </c>
      <c r="D8339" s="142" t="s">
        <v>15848</v>
      </c>
      <c r="E8339" s="142" t="s">
        <v>15849</v>
      </c>
      <c r="F8339" s="142" t="s">
        <v>177</v>
      </c>
      <c r="G8339" s="142" t="s">
        <v>3671</v>
      </c>
      <c r="H8339" s="142" t="s">
        <v>24189</v>
      </c>
      <c r="I8339" s="142">
        <v>29</v>
      </c>
      <c r="J8339" s="142">
        <v>29</v>
      </c>
      <c r="K8339" s="142">
        <v>0</v>
      </c>
      <c r="L8339" s="142">
        <v>0</v>
      </c>
      <c r="M8339" s="142">
        <v>0</v>
      </c>
    </row>
    <row r="8340" spans="1:13" x14ac:dyDescent="0.45">
      <c r="A8340" s="142" t="s">
        <v>13036</v>
      </c>
      <c r="B8340" s="142" t="s">
        <v>15567</v>
      </c>
      <c r="C8340" s="142" t="s">
        <v>15847</v>
      </c>
      <c r="D8340" s="142" t="s">
        <v>15848</v>
      </c>
      <c r="E8340" s="142" t="s">
        <v>15849</v>
      </c>
      <c r="F8340" s="142" t="s">
        <v>177</v>
      </c>
      <c r="G8340" s="142" t="s">
        <v>3671</v>
      </c>
      <c r="H8340" s="142" t="s">
        <v>24190</v>
      </c>
      <c r="I8340" s="142">
        <v>22</v>
      </c>
      <c r="J8340" s="142">
        <v>0</v>
      </c>
      <c r="K8340" s="142">
        <v>0</v>
      </c>
      <c r="L8340" s="142">
        <v>22</v>
      </c>
      <c r="M8340" s="142">
        <v>0</v>
      </c>
    </row>
    <row r="8341" spans="1:13" x14ac:dyDescent="0.45">
      <c r="A8341" s="142" t="s">
        <v>14278</v>
      </c>
      <c r="B8341" s="142" t="s">
        <v>15153</v>
      </c>
      <c r="C8341" s="142" t="s">
        <v>15860</v>
      </c>
      <c r="D8341" s="142" t="s">
        <v>15861</v>
      </c>
      <c r="E8341" s="142" t="s">
        <v>15849</v>
      </c>
      <c r="F8341" s="142" t="s">
        <v>177</v>
      </c>
      <c r="G8341" s="142" t="s">
        <v>3671</v>
      </c>
      <c r="H8341" s="142" t="s">
        <v>24191</v>
      </c>
      <c r="I8341" s="142">
        <v>37</v>
      </c>
      <c r="J8341" s="142">
        <v>0</v>
      </c>
      <c r="K8341" s="142">
        <v>0</v>
      </c>
      <c r="L8341" s="142">
        <v>37</v>
      </c>
      <c r="M8341" s="142">
        <v>0</v>
      </c>
    </row>
    <row r="8342" spans="1:13" x14ac:dyDescent="0.45">
      <c r="A8342" s="142" t="s">
        <v>13038</v>
      </c>
      <c r="B8342" s="142" t="s">
        <v>14646</v>
      </c>
      <c r="C8342" s="142" t="s">
        <v>15847</v>
      </c>
      <c r="D8342" s="142" t="s">
        <v>15848</v>
      </c>
      <c r="E8342" s="142" t="s">
        <v>15849</v>
      </c>
      <c r="F8342" s="142" t="s">
        <v>177</v>
      </c>
      <c r="G8342" s="142" t="s">
        <v>3671</v>
      </c>
      <c r="H8342" s="142" t="s">
        <v>24192</v>
      </c>
      <c r="I8342" s="142">
        <v>21</v>
      </c>
      <c r="J8342" s="142">
        <v>0</v>
      </c>
      <c r="K8342" s="142">
        <v>0</v>
      </c>
      <c r="L8342" s="142">
        <v>0</v>
      </c>
      <c r="M8342" s="142">
        <v>21</v>
      </c>
    </row>
    <row r="8343" spans="1:13" x14ac:dyDescent="0.45">
      <c r="A8343" s="142" t="s">
        <v>13091</v>
      </c>
      <c r="B8343" s="142" t="s">
        <v>14473</v>
      </c>
      <c r="C8343" s="142" t="s">
        <v>15847</v>
      </c>
      <c r="D8343" s="142" t="s">
        <v>15848</v>
      </c>
      <c r="E8343" s="142" t="s">
        <v>15849</v>
      </c>
      <c r="F8343" s="142" t="s">
        <v>177</v>
      </c>
      <c r="G8343" s="142" t="s">
        <v>3671</v>
      </c>
      <c r="H8343" s="142" t="s">
        <v>24193</v>
      </c>
      <c r="I8343" s="142">
        <v>48</v>
      </c>
      <c r="J8343" s="142">
        <v>35</v>
      </c>
      <c r="K8343" s="142">
        <v>0</v>
      </c>
      <c r="L8343" s="142">
        <v>0</v>
      </c>
      <c r="M8343" s="142">
        <v>13</v>
      </c>
    </row>
    <row r="8344" spans="1:13" x14ac:dyDescent="0.45">
      <c r="A8344" s="142" t="s">
        <v>13009</v>
      </c>
      <c r="B8344" s="142" t="s">
        <v>15256</v>
      </c>
      <c r="C8344" s="142" t="s">
        <v>15847</v>
      </c>
      <c r="D8344" s="142" t="s">
        <v>15848</v>
      </c>
      <c r="E8344" s="142" t="s">
        <v>15849</v>
      </c>
      <c r="F8344" s="142" t="s">
        <v>177</v>
      </c>
      <c r="G8344" s="142" t="s">
        <v>3671</v>
      </c>
      <c r="H8344" s="142" t="s">
        <v>24194</v>
      </c>
      <c r="I8344" s="142">
        <v>270</v>
      </c>
      <c r="J8344" s="142">
        <v>242</v>
      </c>
      <c r="K8344" s="142">
        <v>0</v>
      </c>
      <c r="L8344" s="142">
        <v>0</v>
      </c>
      <c r="M8344" s="142">
        <v>28</v>
      </c>
    </row>
    <row r="8345" spans="1:13" x14ac:dyDescent="0.45">
      <c r="A8345" s="142" t="s">
        <v>13058</v>
      </c>
      <c r="B8345" s="142" t="s">
        <v>14584</v>
      </c>
      <c r="C8345" s="142" t="s">
        <v>15847</v>
      </c>
      <c r="D8345" s="142" t="s">
        <v>15848</v>
      </c>
      <c r="E8345" s="142" t="s">
        <v>15849</v>
      </c>
      <c r="F8345" s="142" t="s">
        <v>177</v>
      </c>
      <c r="G8345" s="142" t="s">
        <v>3671</v>
      </c>
      <c r="H8345" s="142" t="s">
        <v>24195</v>
      </c>
      <c r="I8345" s="142">
        <v>500</v>
      </c>
      <c r="J8345" s="142">
        <v>327</v>
      </c>
      <c r="K8345" s="142">
        <v>0</v>
      </c>
      <c r="L8345" s="142">
        <v>5</v>
      </c>
      <c r="M8345" s="142">
        <v>168</v>
      </c>
    </row>
    <row r="8346" spans="1:13" x14ac:dyDescent="0.45">
      <c r="A8346" s="142" t="s">
        <v>13012</v>
      </c>
      <c r="B8346" s="142" t="s">
        <v>15337</v>
      </c>
      <c r="C8346" s="142" t="s">
        <v>15847</v>
      </c>
      <c r="D8346" s="142" t="s">
        <v>15848</v>
      </c>
      <c r="E8346" s="142" t="s">
        <v>15849</v>
      </c>
      <c r="F8346" s="142" t="s">
        <v>177</v>
      </c>
      <c r="G8346" s="142" t="s">
        <v>3671</v>
      </c>
      <c r="H8346" s="142" t="s">
        <v>24196</v>
      </c>
      <c r="I8346" s="142">
        <v>25</v>
      </c>
      <c r="J8346" s="142">
        <v>17</v>
      </c>
      <c r="K8346" s="142">
        <v>0</v>
      </c>
      <c r="L8346" s="142">
        <v>0</v>
      </c>
      <c r="M8346" s="142">
        <v>8</v>
      </c>
    </row>
    <row r="8347" spans="1:13" x14ac:dyDescent="0.45">
      <c r="A8347" s="142" t="s">
        <v>13060</v>
      </c>
      <c r="B8347" s="142" t="s">
        <v>14470</v>
      </c>
      <c r="C8347" s="142" t="s">
        <v>15847</v>
      </c>
      <c r="D8347" s="142" t="s">
        <v>15848</v>
      </c>
      <c r="E8347" s="142" t="s">
        <v>15849</v>
      </c>
      <c r="F8347" s="142" t="s">
        <v>177</v>
      </c>
      <c r="G8347" s="142" t="s">
        <v>3671</v>
      </c>
      <c r="H8347" s="142" t="s">
        <v>24197</v>
      </c>
      <c r="I8347" s="142">
        <v>55</v>
      </c>
      <c r="J8347" s="142">
        <v>44</v>
      </c>
      <c r="K8347" s="142">
        <v>0</v>
      </c>
      <c r="L8347" s="142">
        <v>0</v>
      </c>
      <c r="M8347" s="142">
        <v>11</v>
      </c>
    </row>
    <row r="8348" spans="1:13" x14ac:dyDescent="0.45">
      <c r="A8348" s="142" t="s">
        <v>13646</v>
      </c>
      <c r="B8348" s="142" t="s">
        <v>15599</v>
      </c>
      <c r="C8348" s="142" t="s">
        <v>15847</v>
      </c>
      <c r="D8348" s="142" t="s">
        <v>15848</v>
      </c>
      <c r="E8348" s="142" t="s">
        <v>15849</v>
      </c>
      <c r="F8348" s="142" t="s">
        <v>177</v>
      </c>
      <c r="G8348" s="142" t="s">
        <v>3671</v>
      </c>
      <c r="H8348" s="142" t="s">
        <v>24198</v>
      </c>
      <c r="I8348" s="142">
        <v>3674</v>
      </c>
      <c r="J8348" s="142">
        <v>2570</v>
      </c>
      <c r="K8348" s="142">
        <v>0</v>
      </c>
      <c r="L8348" s="142">
        <v>997</v>
      </c>
      <c r="M8348" s="142">
        <v>107</v>
      </c>
    </row>
    <row r="8349" spans="1:13" x14ac:dyDescent="0.45">
      <c r="A8349" s="142" t="s">
        <v>14279</v>
      </c>
      <c r="B8349" s="142" t="s">
        <v>14731</v>
      </c>
      <c r="C8349" s="142" t="s">
        <v>15860</v>
      </c>
      <c r="D8349" s="142" t="s">
        <v>15861</v>
      </c>
      <c r="E8349" s="142" t="s">
        <v>15849</v>
      </c>
      <c r="F8349" s="142" t="s">
        <v>177</v>
      </c>
      <c r="G8349" s="142" t="s">
        <v>3671</v>
      </c>
      <c r="H8349" s="142" t="s">
        <v>24199</v>
      </c>
      <c r="I8349" s="142">
        <v>8</v>
      </c>
      <c r="J8349" s="142">
        <v>0</v>
      </c>
      <c r="K8349" s="142">
        <v>0</v>
      </c>
      <c r="L8349" s="142">
        <v>8</v>
      </c>
      <c r="M8349" s="142">
        <v>0</v>
      </c>
    </row>
    <row r="8350" spans="1:13" x14ac:dyDescent="0.45">
      <c r="A8350" s="142" t="s">
        <v>13014</v>
      </c>
      <c r="B8350" s="142" t="s">
        <v>14505</v>
      </c>
      <c r="C8350" s="142" t="s">
        <v>15847</v>
      </c>
      <c r="D8350" s="142" t="s">
        <v>15848</v>
      </c>
      <c r="E8350" s="142" t="s">
        <v>15849</v>
      </c>
      <c r="F8350" s="142" t="s">
        <v>177</v>
      </c>
      <c r="G8350" s="142" t="s">
        <v>3671</v>
      </c>
      <c r="H8350" s="142" t="s">
        <v>24200</v>
      </c>
      <c r="I8350" s="142">
        <v>235</v>
      </c>
      <c r="J8350" s="142">
        <v>0</v>
      </c>
      <c r="K8350" s="142">
        <v>0</v>
      </c>
      <c r="L8350" s="142">
        <v>234</v>
      </c>
      <c r="M8350" s="142">
        <v>1</v>
      </c>
    </row>
    <row r="8351" spans="1:13" x14ac:dyDescent="0.45">
      <c r="A8351" s="142" t="s">
        <v>13541</v>
      </c>
      <c r="B8351" s="142" t="s">
        <v>14579</v>
      </c>
      <c r="C8351" s="142" t="s">
        <v>15847</v>
      </c>
      <c r="D8351" s="142" t="s">
        <v>15848</v>
      </c>
      <c r="E8351" s="142" t="s">
        <v>15849</v>
      </c>
      <c r="F8351" s="142" t="s">
        <v>177</v>
      </c>
      <c r="G8351" s="142" t="s">
        <v>3671</v>
      </c>
      <c r="H8351" s="142" t="s">
        <v>24201</v>
      </c>
      <c r="I8351" s="142">
        <v>562</v>
      </c>
      <c r="J8351" s="142">
        <v>325</v>
      </c>
      <c r="K8351" s="142">
        <v>0</v>
      </c>
      <c r="L8351" s="142">
        <v>124</v>
      </c>
      <c r="M8351" s="142">
        <v>113</v>
      </c>
    </row>
    <row r="8352" spans="1:13" x14ac:dyDescent="0.45">
      <c r="A8352" s="142" t="s">
        <v>13542</v>
      </c>
      <c r="B8352" s="142" t="s">
        <v>15368</v>
      </c>
      <c r="C8352" s="142" t="s">
        <v>15847</v>
      </c>
      <c r="D8352" s="142" t="s">
        <v>15848</v>
      </c>
      <c r="E8352" s="142" t="s">
        <v>15849</v>
      </c>
      <c r="F8352" s="142" t="s">
        <v>177</v>
      </c>
      <c r="G8352" s="142" t="s">
        <v>3671</v>
      </c>
      <c r="H8352" s="142" t="s">
        <v>24202</v>
      </c>
      <c r="I8352" s="142">
        <v>9</v>
      </c>
      <c r="J8352" s="142">
        <v>7</v>
      </c>
      <c r="K8352" s="142">
        <v>0</v>
      </c>
      <c r="L8352" s="142">
        <v>0</v>
      </c>
      <c r="M8352" s="142">
        <v>2</v>
      </c>
    </row>
    <row r="8353" spans="1:13" x14ac:dyDescent="0.45">
      <c r="A8353" s="142" t="s">
        <v>13410</v>
      </c>
      <c r="B8353" s="142" t="s">
        <v>15311</v>
      </c>
      <c r="C8353" s="142" t="s">
        <v>15860</v>
      </c>
      <c r="D8353" s="142" t="s">
        <v>15861</v>
      </c>
      <c r="E8353" s="142" t="s">
        <v>15849</v>
      </c>
      <c r="F8353" s="142" t="s">
        <v>178</v>
      </c>
      <c r="G8353" s="142" t="s">
        <v>1100</v>
      </c>
      <c r="H8353" s="142" t="s">
        <v>24203</v>
      </c>
      <c r="I8353" s="142">
        <v>32</v>
      </c>
      <c r="J8353" s="142">
        <v>0</v>
      </c>
      <c r="K8353" s="142">
        <v>0</v>
      </c>
      <c r="L8353" s="142">
        <v>32</v>
      </c>
      <c r="M8353" s="142">
        <v>0</v>
      </c>
    </row>
    <row r="8354" spans="1:13" x14ac:dyDescent="0.45">
      <c r="A8354" s="142" t="s">
        <v>13023</v>
      </c>
      <c r="B8354" s="142" t="s">
        <v>15571</v>
      </c>
      <c r="C8354" s="142" t="s">
        <v>15847</v>
      </c>
      <c r="D8354" s="142" t="s">
        <v>15848</v>
      </c>
      <c r="E8354" s="142" t="s">
        <v>15849</v>
      </c>
      <c r="F8354" s="142" t="s">
        <v>178</v>
      </c>
      <c r="G8354" s="142" t="s">
        <v>1100</v>
      </c>
      <c r="H8354" s="142" t="s">
        <v>24204</v>
      </c>
      <c r="I8354" s="142">
        <v>171</v>
      </c>
      <c r="J8354" s="142">
        <v>0</v>
      </c>
      <c r="K8354" s="142">
        <v>0</v>
      </c>
      <c r="L8354" s="142">
        <v>171</v>
      </c>
      <c r="M8354" s="142">
        <v>0</v>
      </c>
    </row>
    <row r="8355" spans="1:13" x14ac:dyDescent="0.45">
      <c r="A8355" s="142" t="s">
        <v>13082</v>
      </c>
      <c r="B8355" s="142" t="s">
        <v>14478</v>
      </c>
      <c r="C8355" s="142" t="s">
        <v>15860</v>
      </c>
      <c r="D8355" s="142" t="s">
        <v>15861</v>
      </c>
      <c r="E8355" s="142" t="s">
        <v>15849</v>
      </c>
      <c r="F8355" s="142" t="s">
        <v>178</v>
      </c>
      <c r="G8355" s="142" t="s">
        <v>1100</v>
      </c>
      <c r="H8355" s="142" t="s">
        <v>24205</v>
      </c>
      <c r="I8355" s="142">
        <v>5</v>
      </c>
      <c r="J8355" s="142">
        <v>0</v>
      </c>
      <c r="K8355" s="142">
        <v>0</v>
      </c>
      <c r="L8355" s="142">
        <v>5</v>
      </c>
      <c r="M8355" s="142">
        <v>0</v>
      </c>
    </row>
    <row r="8356" spans="1:13" x14ac:dyDescent="0.45">
      <c r="A8356" s="142" t="s">
        <v>13288</v>
      </c>
      <c r="B8356" s="142" t="s">
        <v>14444</v>
      </c>
      <c r="C8356" s="142" t="s">
        <v>15860</v>
      </c>
      <c r="D8356" s="142" t="s">
        <v>15861</v>
      </c>
      <c r="E8356" s="142" t="s">
        <v>15849</v>
      </c>
      <c r="F8356" s="142" t="s">
        <v>178</v>
      </c>
      <c r="G8356" s="142" t="s">
        <v>1100</v>
      </c>
      <c r="H8356" s="142" t="s">
        <v>24206</v>
      </c>
      <c r="I8356" s="142">
        <v>372</v>
      </c>
      <c r="J8356" s="142">
        <v>28</v>
      </c>
      <c r="K8356" s="142">
        <v>0</v>
      </c>
      <c r="L8356" s="142">
        <v>344</v>
      </c>
      <c r="M8356" s="142">
        <v>0</v>
      </c>
    </row>
    <row r="8357" spans="1:13" x14ac:dyDescent="0.45">
      <c r="A8357" s="142" t="s">
        <v>14281</v>
      </c>
      <c r="B8357" s="142" t="s">
        <v>15275</v>
      </c>
      <c r="C8357" s="142" t="s">
        <v>15860</v>
      </c>
      <c r="D8357" s="142" t="s">
        <v>15861</v>
      </c>
      <c r="E8357" s="142" t="s">
        <v>15849</v>
      </c>
      <c r="F8357" s="142" t="s">
        <v>178</v>
      </c>
      <c r="G8357" s="142" t="s">
        <v>1100</v>
      </c>
      <c r="H8357" s="142" t="s">
        <v>24207</v>
      </c>
      <c r="I8357" s="142">
        <v>42</v>
      </c>
      <c r="J8357" s="142">
        <v>0</v>
      </c>
      <c r="K8357" s="142">
        <v>0</v>
      </c>
      <c r="L8357" s="142">
        <v>42</v>
      </c>
      <c r="M8357" s="142">
        <v>0</v>
      </c>
    </row>
    <row r="8358" spans="1:13" x14ac:dyDescent="0.45">
      <c r="A8358" s="142" t="s">
        <v>13232</v>
      </c>
      <c r="B8358" s="142" t="s">
        <v>15283</v>
      </c>
      <c r="C8358" s="142" t="s">
        <v>15847</v>
      </c>
      <c r="D8358" s="142" t="s">
        <v>15848</v>
      </c>
      <c r="E8358" s="142" t="s">
        <v>15849</v>
      </c>
      <c r="F8358" s="142" t="s">
        <v>178</v>
      </c>
      <c r="G8358" s="142" t="s">
        <v>1100</v>
      </c>
      <c r="H8358" s="142" t="s">
        <v>24208</v>
      </c>
      <c r="I8358" s="142">
        <v>846</v>
      </c>
      <c r="J8358" s="142">
        <v>730</v>
      </c>
      <c r="K8358" s="142">
        <v>0</v>
      </c>
      <c r="L8358" s="142">
        <v>59</v>
      </c>
      <c r="M8358" s="142">
        <v>57</v>
      </c>
    </row>
    <row r="8359" spans="1:13" x14ac:dyDescent="0.45">
      <c r="A8359" s="142" t="s">
        <v>13235</v>
      </c>
      <c r="B8359" s="142" t="s">
        <v>14573</v>
      </c>
      <c r="C8359" s="142" t="s">
        <v>15847</v>
      </c>
      <c r="D8359" s="142" t="s">
        <v>15848</v>
      </c>
      <c r="E8359" s="142" t="s">
        <v>15849</v>
      </c>
      <c r="F8359" s="142" t="s">
        <v>178</v>
      </c>
      <c r="G8359" s="142" t="s">
        <v>1100</v>
      </c>
      <c r="H8359" s="142" t="s">
        <v>24209</v>
      </c>
      <c r="I8359" s="142">
        <v>1623</v>
      </c>
      <c r="J8359" s="142">
        <v>1276</v>
      </c>
      <c r="K8359" s="142">
        <v>0</v>
      </c>
      <c r="L8359" s="142">
        <v>135</v>
      </c>
      <c r="M8359" s="142">
        <v>212</v>
      </c>
    </row>
    <row r="8360" spans="1:13" x14ac:dyDescent="0.45">
      <c r="A8360" s="142" t="s">
        <v>13770</v>
      </c>
      <c r="B8360" s="142" t="s">
        <v>15595</v>
      </c>
      <c r="C8360" s="142" t="s">
        <v>15847</v>
      </c>
      <c r="D8360" s="142" t="s">
        <v>15848</v>
      </c>
      <c r="E8360" s="142" t="s">
        <v>15849</v>
      </c>
      <c r="F8360" s="142" t="s">
        <v>178</v>
      </c>
      <c r="G8360" s="142" t="s">
        <v>1100</v>
      </c>
      <c r="H8360" s="142" t="s">
        <v>24210</v>
      </c>
      <c r="I8360" s="142">
        <v>71</v>
      </c>
      <c r="J8360" s="142">
        <v>52</v>
      </c>
      <c r="K8360" s="142">
        <v>0</v>
      </c>
      <c r="L8360" s="142">
        <v>0</v>
      </c>
      <c r="M8360" s="142">
        <v>19</v>
      </c>
    </row>
    <row r="8361" spans="1:13" x14ac:dyDescent="0.45">
      <c r="A8361" s="142" t="s">
        <v>13238</v>
      </c>
      <c r="B8361" s="142" t="s">
        <v>14477</v>
      </c>
      <c r="C8361" s="142" t="s">
        <v>15860</v>
      </c>
      <c r="D8361" s="142" t="s">
        <v>15861</v>
      </c>
      <c r="E8361" s="142" t="s">
        <v>15849</v>
      </c>
      <c r="F8361" s="142" t="s">
        <v>178</v>
      </c>
      <c r="G8361" s="142" t="s">
        <v>1100</v>
      </c>
      <c r="H8361" s="142" t="s">
        <v>24211</v>
      </c>
      <c r="I8361" s="142">
        <v>4</v>
      </c>
      <c r="J8361" s="142">
        <v>0</v>
      </c>
      <c r="K8361" s="142">
        <v>0</v>
      </c>
      <c r="L8361" s="142">
        <v>4</v>
      </c>
      <c r="M8361" s="142">
        <v>0</v>
      </c>
    </row>
    <row r="8362" spans="1:13" x14ac:dyDescent="0.45">
      <c r="A8362" s="142" t="s">
        <v>13119</v>
      </c>
      <c r="B8362" s="142" t="s">
        <v>14451</v>
      </c>
      <c r="C8362" s="142" t="s">
        <v>15860</v>
      </c>
      <c r="D8362" s="142" t="s">
        <v>15861</v>
      </c>
      <c r="E8362" s="142" t="s">
        <v>15849</v>
      </c>
      <c r="F8362" s="142" t="s">
        <v>178</v>
      </c>
      <c r="G8362" s="142" t="s">
        <v>1100</v>
      </c>
      <c r="H8362" s="142" t="s">
        <v>24212</v>
      </c>
      <c r="I8362" s="142">
        <v>2</v>
      </c>
      <c r="J8362" s="142">
        <v>0</v>
      </c>
      <c r="K8362" s="142">
        <v>0</v>
      </c>
      <c r="L8362" s="142">
        <v>2</v>
      </c>
      <c r="M8362" s="142">
        <v>0</v>
      </c>
    </row>
    <row r="8363" spans="1:13" x14ac:dyDescent="0.45">
      <c r="A8363" s="142" t="s">
        <v>13027</v>
      </c>
      <c r="B8363" s="142" t="s">
        <v>14562</v>
      </c>
      <c r="C8363" s="142" t="s">
        <v>15847</v>
      </c>
      <c r="D8363" s="142" t="s">
        <v>15848</v>
      </c>
      <c r="E8363" s="142" t="s">
        <v>15849</v>
      </c>
      <c r="F8363" s="142" t="s">
        <v>178</v>
      </c>
      <c r="G8363" s="142" t="s">
        <v>1100</v>
      </c>
      <c r="H8363" s="142" t="s">
        <v>24213</v>
      </c>
      <c r="I8363" s="142">
        <v>2</v>
      </c>
      <c r="J8363" s="142">
        <v>0</v>
      </c>
      <c r="K8363" s="142">
        <v>0</v>
      </c>
      <c r="L8363" s="142">
        <v>2</v>
      </c>
      <c r="M8363" s="142">
        <v>0</v>
      </c>
    </row>
    <row r="8364" spans="1:13" x14ac:dyDescent="0.45">
      <c r="A8364" s="142" t="s">
        <v>13243</v>
      </c>
      <c r="B8364" s="142" t="s">
        <v>15560</v>
      </c>
      <c r="C8364" s="142" t="s">
        <v>15847</v>
      </c>
      <c r="D8364" s="142" t="s">
        <v>15848</v>
      </c>
      <c r="E8364" s="142" t="s">
        <v>15849</v>
      </c>
      <c r="F8364" s="142" t="s">
        <v>178</v>
      </c>
      <c r="G8364" s="142" t="s">
        <v>1100</v>
      </c>
      <c r="H8364" s="142" t="s">
        <v>24214</v>
      </c>
      <c r="I8364" s="142">
        <v>237</v>
      </c>
      <c r="J8364" s="142">
        <v>208</v>
      </c>
      <c r="K8364" s="142">
        <v>0</v>
      </c>
      <c r="L8364" s="142">
        <v>0</v>
      </c>
      <c r="M8364" s="142">
        <v>29</v>
      </c>
    </row>
    <row r="8365" spans="1:13" x14ac:dyDescent="0.45">
      <c r="A8365" s="142" t="s">
        <v>13001</v>
      </c>
      <c r="B8365" s="142" t="s">
        <v>15506</v>
      </c>
      <c r="C8365" s="142" t="s">
        <v>15847</v>
      </c>
      <c r="D8365" s="142" t="s">
        <v>15848</v>
      </c>
      <c r="E8365" s="142" t="s">
        <v>15849</v>
      </c>
      <c r="F8365" s="142" t="s">
        <v>178</v>
      </c>
      <c r="G8365" s="142" t="s">
        <v>1100</v>
      </c>
      <c r="H8365" s="142" t="s">
        <v>24215</v>
      </c>
      <c r="I8365" s="142">
        <v>53</v>
      </c>
      <c r="J8365" s="142">
        <v>35</v>
      </c>
      <c r="K8365" s="142">
        <v>0</v>
      </c>
      <c r="L8365" s="142">
        <v>18</v>
      </c>
      <c r="M8365" s="142">
        <v>0</v>
      </c>
    </row>
    <row r="8366" spans="1:13" x14ac:dyDescent="0.45">
      <c r="A8366" s="142" t="s">
        <v>13149</v>
      </c>
      <c r="B8366" s="142" t="s">
        <v>14458</v>
      </c>
      <c r="C8366" s="142" t="s">
        <v>15860</v>
      </c>
      <c r="D8366" s="142" t="s">
        <v>15861</v>
      </c>
      <c r="E8366" s="142" t="s">
        <v>15849</v>
      </c>
      <c r="F8366" s="142" t="s">
        <v>178</v>
      </c>
      <c r="G8366" s="142" t="s">
        <v>1100</v>
      </c>
      <c r="H8366" s="142" t="s">
        <v>24216</v>
      </c>
      <c r="I8366" s="142">
        <v>27</v>
      </c>
      <c r="J8366" s="142">
        <v>0</v>
      </c>
      <c r="K8366" s="142">
        <v>0</v>
      </c>
      <c r="L8366" s="142">
        <v>27</v>
      </c>
      <c r="M8366" s="142">
        <v>0</v>
      </c>
    </row>
    <row r="8367" spans="1:13" x14ac:dyDescent="0.45">
      <c r="A8367" s="142" t="s">
        <v>13028</v>
      </c>
      <c r="B8367" s="142" t="s">
        <v>14462</v>
      </c>
      <c r="C8367" s="142" t="s">
        <v>15847</v>
      </c>
      <c r="D8367" s="142" t="s">
        <v>15848</v>
      </c>
      <c r="E8367" s="142" t="s">
        <v>15849</v>
      </c>
      <c r="F8367" s="142" t="s">
        <v>178</v>
      </c>
      <c r="G8367" s="142" t="s">
        <v>1100</v>
      </c>
      <c r="H8367" s="142" t="s">
        <v>24217</v>
      </c>
      <c r="I8367" s="142">
        <v>91</v>
      </c>
      <c r="J8367" s="142">
        <v>0</v>
      </c>
      <c r="K8367" s="142">
        <v>0</v>
      </c>
      <c r="L8367" s="142">
        <v>0</v>
      </c>
      <c r="M8367" s="142">
        <v>91</v>
      </c>
    </row>
    <row r="8368" spans="1:13" x14ac:dyDescent="0.45">
      <c r="A8368" s="142" t="s">
        <v>13002</v>
      </c>
      <c r="B8368" s="142" t="s">
        <v>15376</v>
      </c>
      <c r="C8368" s="142" t="s">
        <v>15847</v>
      </c>
      <c r="D8368" s="142" t="s">
        <v>15848</v>
      </c>
      <c r="E8368" s="142" t="s">
        <v>15849</v>
      </c>
      <c r="F8368" s="142" t="s">
        <v>178</v>
      </c>
      <c r="G8368" s="142" t="s">
        <v>1100</v>
      </c>
      <c r="H8368" s="142" t="s">
        <v>24218</v>
      </c>
      <c r="I8368" s="142">
        <v>8</v>
      </c>
      <c r="J8368" s="142">
        <v>0</v>
      </c>
      <c r="K8368" s="142">
        <v>0</v>
      </c>
      <c r="L8368" s="142">
        <v>8</v>
      </c>
      <c r="M8368" s="142">
        <v>0</v>
      </c>
    </row>
    <row r="8369" spans="1:13" x14ac:dyDescent="0.45">
      <c r="A8369" s="142" t="s">
        <v>13448</v>
      </c>
      <c r="B8369" s="142" t="s">
        <v>15574</v>
      </c>
      <c r="C8369" s="142" t="s">
        <v>15847</v>
      </c>
      <c r="D8369" s="142" t="s">
        <v>15848</v>
      </c>
      <c r="E8369" s="142" t="s">
        <v>15849</v>
      </c>
      <c r="F8369" s="142" t="s">
        <v>178</v>
      </c>
      <c r="G8369" s="142" t="s">
        <v>1100</v>
      </c>
      <c r="H8369" s="142" t="s">
        <v>24219</v>
      </c>
      <c r="I8369" s="142">
        <v>329</v>
      </c>
      <c r="J8369" s="142">
        <v>284</v>
      </c>
      <c r="K8369" s="142">
        <v>0</v>
      </c>
      <c r="L8369" s="142">
        <v>0</v>
      </c>
      <c r="M8369" s="142">
        <v>45</v>
      </c>
    </row>
    <row r="8370" spans="1:13" x14ac:dyDescent="0.45">
      <c r="A8370" s="142" t="s">
        <v>13003</v>
      </c>
      <c r="B8370" s="142" t="s">
        <v>15245</v>
      </c>
      <c r="C8370" s="142" t="s">
        <v>15847</v>
      </c>
      <c r="D8370" s="142" t="s">
        <v>15848</v>
      </c>
      <c r="E8370" s="142" t="s">
        <v>15849</v>
      </c>
      <c r="F8370" s="142" t="s">
        <v>178</v>
      </c>
      <c r="G8370" s="142" t="s">
        <v>1100</v>
      </c>
      <c r="H8370" s="142" t="s">
        <v>24220</v>
      </c>
      <c r="I8370" s="142">
        <v>103</v>
      </c>
      <c r="J8370" s="142">
        <v>0</v>
      </c>
      <c r="K8370" s="142">
        <v>0</v>
      </c>
      <c r="L8370" s="142">
        <v>103</v>
      </c>
      <c r="M8370" s="142">
        <v>0</v>
      </c>
    </row>
    <row r="8371" spans="1:13" x14ac:dyDescent="0.45">
      <c r="A8371" s="142" t="s">
        <v>13066</v>
      </c>
      <c r="B8371" s="142" t="s">
        <v>14459</v>
      </c>
      <c r="C8371" s="142" t="s">
        <v>15847</v>
      </c>
      <c r="D8371" s="142" t="s">
        <v>15848</v>
      </c>
      <c r="E8371" s="142" t="s">
        <v>15849</v>
      </c>
      <c r="F8371" s="142" t="s">
        <v>178</v>
      </c>
      <c r="G8371" s="142" t="s">
        <v>1100</v>
      </c>
      <c r="H8371" s="142" t="s">
        <v>24221</v>
      </c>
      <c r="I8371" s="142">
        <v>76</v>
      </c>
      <c r="J8371" s="142">
        <v>0</v>
      </c>
      <c r="K8371" s="142">
        <v>0</v>
      </c>
      <c r="L8371" s="142">
        <v>76</v>
      </c>
      <c r="M8371" s="142">
        <v>0</v>
      </c>
    </row>
    <row r="8372" spans="1:13" x14ac:dyDescent="0.45">
      <c r="A8372" s="142" t="s">
        <v>13076</v>
      </c>
      <c r="B8372" s="142" t="s">
        <v>14636</v>
      </c>
      <c r="C8372" s="142" t="s">
        <v>15847</v>
      </c>
      <c r="D8372" s="142" t="s">
        <v>15848</v>
      </c>
      <c r="E8372" s="142" t="s">
        <v>15849</v>
      </c>
      <c r="F8372" s="142" t="s">
        <v>178</v>
      </c>
      <c r="G8372" s="142" t="s">
        <v>1100</v>
      </c>
      <c r="H8372" s="142" t="s">
        <v>24222</v>
      </c>
      <c r="I8372" s="142">
        <v>13</v>
      </c>
      <c r="J8372" s="142">
        <v>0</v>
      </c>
      <c r="K8372" s="142">
        <v>0</v>
      </c>
      <c r="L8372" s="142">
        <v>0</v>
      </c>
      <c r="M8372" s="142">
        <v>13</v>
      </c>
    </row>
    <row r="8373" spans="1:13" x14ac:dyDescent="0.45">
      <c r="A8373" s="142" t="s">
        <v>13248</v>
      </c>
      <c r="B8373" s="142" t="s">
        <v>15463</v>
      </c>
      <c r="C8373" s="142" t="s">
        <v>15847</v>
      </c>
      <c r="D8373" s="142" t="s">
        <v>15848</v>
      </c>
      <c r="E8373" s="142" t="s">
        <v>15849</v>
      </c>
      <c r="F8373" s="142" t="s">
        <v>178</v>
      </c>
      <c r="G8373" s="142" t="s">
        <v>1100</v>
      </c>
      <c r="H8373" s="142" t="s">
        <v>24223</v>
      </c>
      <c r="I8373" s="142">
        <v>4</v>
      </c>
      <c r="J8373" s="142">
        <v>0</v>
      </c>
      <c r="K8373" s="142">
        <v>0</v>
      </c>
      <c r="L8373" s="142">
        <v>0</v>
      </c>
      <c r="M8373" s="142">
        <v>4</v>
      </c>
    </row>
    <row r="8374" spans="1:13" x14ac:dyDescent="0.45">
      <c r="A8374" s="142" t="s">
        <v>13893</v>
      </c>
      <c r="B8374" s="142" t="s">
        <v>14777</v>
      </c>
      <c r="C8374" s="142" t="s">
        <v>15860</v>
      </c>
      <c r="D8374" s="142" t="s">
        <v>15861</v>
      </c>
      <c r="E8374" s="142" t="s">
        <v>15849</v>
      </c>
      <c r="F8374" s="142" t="s">
        <v>178</v>
      </c>
      <c r="G8374" s="142" t="s">
        <v>1100</v>
      </c>
      <c r="H8374" s="142" t="s">
        <v>24224</v>
      </c>
      <c r="I8374" s="142">
        <v>38</v>
      </c>
      <c r="J8374" s="142">
        <v>0</v>
      </c>
      <c r="K8374" s="142">
        <v>0</v>
      </c>
      <c r="L8374" s="142">
        <v>38</v>
      </c>
      <c r="M8374" s="142">
        <v>0</v>
      </c>
    </row>
    <row r="8375" spans="1:13" x14ac:dyDescent="0.45">
      <c r="A8375" s="142" t="s">
        <v>13033</v>
      </c>
      <c r="B8375" s="142" t="s">
        <v>15276</v>
      </c>
      <c r="C8375" s="142" t="s">
        <v>15847</v>
      </c>
      <c r="D8375" s="142" t="s">
        <v>15848</v>
      </c>
      <c r="E8375" s="142" t="s">
        <v>15849</v>
      </c>
      <c r="F8375" s="142" t="s">
        <v>178</v>
      </c>
      <c r="G8375" s="142" t="s">
        <v>1100</v>
      </c>
      <c r="H8375" s="142" t="s">
        <v>24225</v>
      </c>
      <c r="I8375" s="142">
        <v>1</v>
      </c>
      <c r="J8375" s="142">
        <v>0</v>
      </c>
      <c r="K8375" s="142">
        <v>0</v>
      </c>
      <c r="L8375" s="142">
        <v>0</v>
      </c>
      <c r="M8375" s="142">
        <v>1</v>
      </c>
    </row>
    <row r="8376" spans="1:13" x14ac:dyDescent="0.45">
      <c r="A8376" s="142" t="s">
        <v>13880</v>
      </c>
      <c r="B8376" s="142" t="s">
        <v>14655</v>
      </c>
      <c r="C8376" s="142" t="s">
        <v>15860</v>
      </c>
      <c r="D8376" s="142" t="s">
        <v>15861</v>
      </c>
      <c r="E8376" s="142" t="s">
        <v>15849</v>
      </c>
      <c r="F8376" s="142" t="s">
        <v>178</v>
      </c>
      <c r="G8376" s="142" t="s">
        <v>1100</v>
      </c>
      <c r="H8376" s="142" t="s">
        <v>24226</v>
      </c>
      <c r="I8376" s="142">
        <v>72</v>
      </c>
      <c r="J8376" s="142">
        <v>0</v>
      </c>
      <c r="K8376" s="142">
        <v>0</v>
      </c>
      <c r="L8376" s="142">
        <v>72</v>
      </c>
      <c r="M8376" s="142">
        <v>0</v>
      </c>
    </row>
    <row r="8377" spans="1:13" x14ac:dyDescent="0.45">
      <c r="A8377" s="142" t="s">
        <v>13036</v>
      </c>
      <c r="B8377" s="142" t="s">
        <v>15567</v>
      </c>
      <c r="C8377" s="142" t="s">
        <v>15847</v>
      </c>
      <c r="D8377" s="142" t="s">
        <v>15848</v>
      </c>
      <c r="E8377" s="142" t="s">
        <v>15849</v>
      </c>
      <c r="F8377" s="142" t="s">
        <v>178</v>
      </c>
      <c r="G8377" s="142" t="s">
        <v>1100</v>
      </c>
      <c r="H8377" s="142" t="s">
        <v>24227</v>
      </c>
      <c r="I8377" s="142">
        <v>1</v>
      </c>
      <c r="J8377" s="142">
        <v>0</v>
      </c>
      <c r="K8377" s="142">
        <v>0</v>
      </c>
      <c r="L8377" s="142">
        <v>1</v>
      </c>
      <c r="M8377" s="142">
        <v>0</v>
      </c>
    </row>
    <row r="8378" spans="1:13" x14ac:dyDescent="0.45">
      <c r="A8378" s="142" t="s">
        <v>13037</v>
      </c>
      <c r="B8378" s="142" t="s">
        <v>14519</v>
      </c>
      <c r="C8378" s="142" t="s">
        <v>15847</v>
      </c>
      <c r="D8378" s="142" t="s">
        <v>15848</v>
      </c>
      <c r="E8378" s="142" t="s">
        <v>15849</v>
      </c>
      <c r="F8378" s="142" t="s">
        <v>178</v>
      </c>
      <c r="G8378" s="142" t="s">
        <v>1100</v>
      </c>
      <c r="H8378" s="142" t="s">
        <v>24228</v>
      </c>
      <c r="I8378" s="142">
        <v>3</v>
      </c>
      <c r="J8378" s="142">
        <v>0</v>
      </c>
      <c r="K8378" s="142">
        <v>0</v>
      </c>
      <c r="L8378" s="142">
        <v>3</v>
      </c>
      <c r="M8378" s="142">
        <v>0</v>
      </c>
    </row>
    <row r="8379" spans="1:13" x14ac:dyDescent="0.45">
      <c r="A8379" s="142" t="s">
        <v>13038</v>
      </c>
      <c r="B8379" s="142" t="s">
        <v>14646</v>
      </c>
      <c r="C8379" s="142" t="s">
        <v>15847</v>
      </c>
      <c r="D8379" s="142" t="s">
        <v>15848</v>
      </c>
      <c r="E8379" s="142" t="s">
        <v>15849</v>
      </c>
      <c r="F8379" s="142" t="s">
        <v>178</v>
      </c>
      <c r="G8379" s="142" t="s">
        <v>1100</v>
      </c>
      <c r="H8379" s="142" t="s">
        <v>24229</v>
      </c>
      <c r="I8379" s="142">
        <v>58</v>
      </c>
      <c r="J8379" s="142">
        <v>10</v>
      </c>
      <c r="K8379" s="142">
        <v>0</v>
      </c>
      <c r="L8379" s="142">
        <v>0</v>
      </c>
      <c r="M8379" s="142">
        <v>48</v>
      </c>
    </row>
    <row r="8380" spans="1:13" x14ac:dyDescent="0.45">
      <c r="A8380" s="142" t="s">
        <v>13091</v>
      </c>
      <c r="B8380" s="142" t="s">
        <v>14473</v>
      </c>
      <c r="C8380" s="142" t="s">
        <v>15847</v>
      </c>
      <c r="D8380" s="142" t="s">
        <v>15848</v>
      </c>
      <c r="E8380" s="142" t="s">
        <v>15849</v>
      </c>
      <c r="F8380" s="142" t="s">
        <v>178</v>
      </c>
      <c r="G8380" s="142" t="s">
        <v>1100</v>
      </c>
      <c r="H8380" s="142" t="s">
        <v>24230</v>
      </c>
      <c r="I8380" s="142">
        <v>265</v>
      </c>
      <c r="J8380" s="142">
        <v>146</v>
      </c>
      <c r="K8380" s="142">
        <v>0</v>
      </c>
      <c r="L8380" s="142">
        <v>83</v>
      </c>
      <c r="M8380" s="142">
        <v>36</v>
      </c>
    </row>
    <row r="8381" spans="1:13" x14ac:dyDescent="0.45">
      <c r="A8381" s="142" t="s">
        <v>13009</v>
      </c>
      <c r="B8381" s="142" t="s">
        <v>15256</v>
      </c>
      <c r="C8381" s="142" t="s">
        <v>15847</v>
      </c>
      <c r="D8381" s="142" t="s">
        <v>15848</v>
      </c>
      <c r="E8381" s="142" t="s">
        <v>15849</v>
      </c>
      <c r="F8381" s="142" t="s">
        <v>178</v>
      </c>
      <c r="G8381" s="142" t="s">
        <v>1100</v>
      </c>
      <c r="H8381" s="142" t="s">
        <v>24231</v>
      </c>
      <c r="I8381" s="142">
        <v>1103</v>
      </c>
      <c r="J8381" s="142">
        <v>908</v>
      </c>
      <c r="K8381" s="142">
        <v>0</v>
      </c>
      <c r="L8381" s="142">
        <v>113</v>
      </c>
      <c r="M8381" s="142">
        <v>82</v>
      </c>
    </row>
    <row r="8382" spans="1:13" x14ac:dyDescent="0.45">
      <c r="A8382" s="142" t="s">
        <v>14171</v>
      </c>
      <c r="B8382" s="142" t="s">
        <v>15326</v>
      </c>
      <c r="C8382" s="142" t="s">
        <v>15860</v>
      </c>
      <c r="D8382" s="142" t="s">
        <v>15861</v>
      </c>
      <c r="E8382" s="142" t="s">
        <v>15849</v>
      </c>
      <c r="F8382" s="142" t="s">
        <v>178</v>
      </c>
      <c r="G8382" s="142" t="s">
        <v>1100</v>
      </c>
      <c r="H8382" s="142" t="s">
        <v>24232</v>
      </c>
      <c r="I8382" s="142">
        <v>4</v>
      </c>
      <c r="J8382" s="142">
        <v>4</v>
      </c>
      <c r="K8382" s="142">
        <v>0</v>
      </c>
      <c r="L8382" s="142">
        <v>0</v>
      </c>
      <c r="M8382" s="142">
        <v>0</v>
      </c>
    </row>
    <row r="8383" spans="1:13" x14ac:dyDescent="0.45">
      <c r="A8383" s="142" t="s">
        <v>13451</v>
      </c>
      <c r="B8383" s="142" t="s">
        <v>15582</v>
      </c>
      <c r="C8383" s="142" t="s">
        <v>15847</v>
      </c>
      <c r="D8383" s="142" t="s">
        <v>15848</v>
      </c>
      <c r="E8383" s="142" t="s">
        <v>15849</v>
      </c>
      <c r="F8383" s="142" t="s">
        <v>178</v>
      </c>
      <c r="G8383" s="142" t="s">
        <v>1100</v>
      </c>
      <c r="H8383" s="142" t="s">
        <v>24233</v>
      </c>
      <c r="I8383" s="142">
        <v>10014</v>
      </c>
      <c r="J8383" s="142">
        <v>8271</v>
      </c>
      <c r="K8383" s="142">
        <v>0</v>
      </c>
      <c r="L8383" s="142">
        <v>1581</v>
      </c>
      <c r="M8383" s="142">
        <v>162</v>
      </c>
    </row>
    <row r="8384" spans="1:13" x14ac:dyDescent="0.45">
      <c r="A8384" s="142" t="s">
        <v>13264</v>
      </c>
      <c r="B8384" s="142" t="s">
        <v>15302</v>
      </c>
      <c r="C8384" s="142" t="s">
        <v>15847</v>
      </c>
      <c r="D8384" s="142" t="s">
        <v>15848</v>
      </c>
      <c r="E8384" s="142" t="s">
        <v>15849</v>
      </c>
      <c r="F8384" s="142" t="s">
        <v>178</v>
      </c>
      <c r="G8384" s="142" t="s">
        <v>1100</v>
      </c>
      <c r="H8384" s="142" t="s">
        <v>24234</v>
      </c>
      <c r="I8384" s="142">
        <v>61</v>
      </c>
      <c r="J8384" s="142">
        <v>61</v>
      </c>
      <c r="K8384" s="142">
        <v>0</v>
      </c>
      <c r="L8384" s="142">
        <v>0</v>
      </c>
      <c r="M8384" s="142">
        <v>0</v>
      </c>
    </row>
    <row r="8385" spans="1:13" x14ac:dyDescent="0.45">
      <c r="A8385" s="142" t="s">
        <v>13267</v>
      </c>
      <c r="B8385" s="142" t="s">
        <v>15451</v>
      </c>
      <c r="C8385" s="142" t="s">
        <v>15847</v>
      </c>
      <c r="D8385" s="142" t="s">
        <v>15848</v>
      </c>
      <c r="E8385" s="142" t="s">
        <v>15849</v>
      </c>
      <c r="F8385" s="142" t="s">
        <v>178</v>
      </c>
      <c r="G8385" s="142" t="s">
        <v>1100</v>
      </c>
      <c r="H8385" s="142" t="s">
        <v>24235</v>
      </c>
      <c r="I8385" s="142">
        <v>285</v>
      </c>
      <c r="J8385" s="142">
        <v>190</v>
      </c>
      <c r="K8385" s="142">
        <v>0</v>
      </c>
      <c r="L8385" s="142">
        <v>0</v>
      </c>
      <c r="M8385" s="142">
        <v>95</v>
      </c>
    </row>
    <row r="8386" spans="1:13" x14ac:dyDescent="0.45">
      <c r="A8386" s="142" t="s">
        <v>13021</v>
      </c>
      <c r="B8386" s="142" t="s">
        <v>15501</v>
      </c>
      <c r="C8386" s="142" t="s">
        <v>15847</v>
      </c>
      <c r="D8386" s="142" t="s">
        <v>15848</v>
      </c>
      <c r="E8386" s="142" t="s">
        <v>15849</v>
      </c>
      <c r="F8386" s="142" t="s">
        <v>179</v>
      </c>
      <c r="G8386" s="142" t="s">
        <v>4415</v>
      </c>
      <c r="H8386" s="142" t="s">
        <v>24236</v>
      </c>
      <c r="I8386" s="142">
        <v>13</v>
      </c>
      <c r="J8386" s="142">
        <v>0</v>
      </c>
      <c r="K8386" s="142">
        <v>0</v>
      </c>
      <c r="L8386" s="142">
        <v>9</v>
      </c>
      <c r="M8386" s="142">
        <v>4</v>
      </c>
    </row>
    <row r="8387" spans="1:13" x14ac:dyDescent="0.45">
      <c r="A8387" s="142" t="s">
        <v>13023</v>
      </c>
      <c r="B8387" s="142" t="s">
        <v>15571</v>
      </c>
      <c r="C8387" s="142" t="s">
        <v>15847</v>
      </c>
      <c r="D8387" s="142" t="s">
        <v>15848</v>
      </c>
      <c r="E8387" s="142" t="s">
        <v>15849</v>
      </c>
      <c r="F8387" s="142" t="s">
        <v>179</v>
      </c>
      <c r="G8387" s="142" t="s">
        <v>4415</v>
      </c>
      <c r="H8387" s="142" t="s">
        <v>24237</v>
      </c>
      <c r="I8387" s="142">
        <v>356</v>
      </c>
      <c r="J8387" s="142">
        <v>20</v>
      </c>
      <c r="K8387" s="142">
        <v>0</v>
      </c>
      <c r="L8387" s="142">
        <v>336</v>
      </c>
      <c r="M8387" s="142">
        <v>0</v>
      </c>
    </row>
    <row r="8388" spans="1:13" x14ac:dyDescent="0.45">
      <c r="A8388" s="142" t="s">
        <v>13082</v>
      </c>
      <c r="B8388" s="142" t="s">
        <v>14478</v>
      </c>
      <c r="C8388" s="142" t="s">
        <v>15860</v>
      </c>
      <c r="D8388" s="142" t="s">
        <v>15861</v>
      </c>
      <c r="E8388" s="142" t="s">
        <v>15849</v>
      </c>
      <c r="F8388" s="142" t="s">
        <v>179</v>
      </c>
      <c r="G8388" s="142" t="s">
        <v>4415</v>
      </c>
      <c r="H8388" s="142" t="s">
        <v>24238</v>
      </c>
      <c r="I8388" s="142">
        <v>8</v>
      </c>
      <c r="J8388" s="142">
        <v>0</v>
      </c>
      <c r="K8388" s="142">
        <v>0</v>
      </c>
      <c r="L8388" s="142">
        <v>8</v>
      </c>
      <c r="M8388" s="142">
        <v>0</v>
      </c>
    </row>
    <row r="8389" spans="1:13" x14ac:dyDescent="0.45">
      <c r="A8389" s="142" t="s">
        <v>13083</v>
      </c>
      <c r="B8389" s="142" t="s">
        <v>15440</v>
      </c>
      <c r="C8389" s="142" t="s">
        <v>15847</v>
      </c>
      <c r="D8389" s="142" t="s">
        <v>15848</v>
      </c>
      <c r="E8389" s="142" t="s">
        <v>15849</v>
      </c>
      <c r="F8389" s="142" t="s">
        <v>179</v>
      </c>
      <c r="G8389" s="142" t="s">
        <v>4415</v>
      </c>
      <c r="H8389" s="142" t="s">
        <v>24239</v>
      </c>
      <c r="I8389" s="142">
        <v>424</v>
      </c>
      <c r="J8389" s="142">
        <v>394</v>
      </c>
      <c r="K8389" s="142">
        <v>0</v>
      </c>
      <c r="L8389" s="142">
        <v>0</v>
      </c>
      <c r="M8389" s="142">
        <v>30</v>
      </c>
    </row>
    <row r="8390" spans="1:13" x14ac:dyDescent="0.45">
      <c r="A8390" s="142" t="s">
        <v>13000</v>
      </c>
      <c r="B8390" s="142" t="s">
        <v>14610</v>
      </c>
      <c r="C8390" s="142" t="s">
        <v>15847</v>
      </c>
      <c r="D8390" s="142" t="s">
        <v>15848</v>
      </c>
      <c r="E8390" s="142" t="s">
        <v>15849</v>
      </c>
      <c r="F8390" s="142" t="s">
        <v>179</v>
      </c>
      <c r="G8390" s="142" t="s">
        <v>4415</v>
      </c>
      <c r="H8390" s="142" t="s">
        <v>24240</v>
      </c>
      <c r="I8390" s="142">
        <v>1</v>
      </c>
      <c r="J8390" s="142">
        <v>1</v>
      </c>
      <c r="K8390" s="142">
        <v>0</v>
      </c>
      <c r="L8390" s="142">
        <v>0</v>
      </c>
      <c r="M8390" s="142">
        <v>0</v>
      </c>
    </row>
    <row r="8391" spans="1:13" x14ac:dyDescent="0.45">
      <c r="A8391" s="142" t="s">
        <v>13119</v>
      </c>
      <c r="B8391" s="142" t="s">
        <v>14451</v>
      </c>
      <c r="C8391" s="142" t="s">
        <v>15860</v>
      </c>
      <c r="D8391" s="142" t="s">
        <v>15861</v>
      </c>
      <c r="E8391" s="142" t="s">
        <v>15849</v>
      </c>
      <c r="F8391" s="142" t="s">
        <v>179</v>
      </c>
      <c r="G8391" s="142" t="s">
        <v>4415</v>
      </c>
      <c r="H8391" s="142" t="s">
        <v>24241</v>
      </c>
      <c r="I8391" s="142">
        <v>1</v>
      </c>
      <c r="J8391" s="142">
        <v>0</v>
      </c>
      <c r="K8391" s="142">
        <v>0</v>
      </c>
      <c r="L8391" s="142">
        <v>1</v>
      </c>
      <c r="M8391" s="142">
        <v>0</v>
      </c>
    </row>
    <row r="8392" spans="1:13" x14ac:dyDescent="0.45">
      <c r="A8392" s="142" t="s">
        <v>13084</v>
      </c>
      <c r="B8392" s="142" t="s">
        <v>15471</v>
      </c>
      <c r="C8392" s="142" t="s">
        <v>15847</v>
      </c>
      <c r="D8392" s="142" t="s">
        <v>15848</v>
      </c>
      <c r="E8392" s="142" t="s">
        <v>15849</v>
      </c>
      <c r="F8392" s="142" t="s">
        <v>179</v>
      </c>
      <c r="G8392" s="142" t="s">
        <v>4415</v>
      </c>
      <c r="H8392" s="142" t="s">
        <v>24242</v>
      </c>
      <c r="I8392" s="142">
        <v>866</v>
      </c>
      <c r="J8392" s="142">
        <v>646</v>
      </c>
      <c r="K8392" s="142">
        <v>0</v>
      </c>
      <c r="L8392" s="142">
        <v>160</v>
      </c>
      <c r="M8392" s="142">
        <v>60</v>
      </c>
    </row>
    <row r="8393" spans="1:13" x14ac:dyDescent="0.45">
      <c r="A8393" s="142" t="s">
        <v>13085</v>
      </c>
      <c r="B8393" s="142" t="s">
        <v>14460</v>
      </c>
      <c r="C8393" s="142" t="s">
        <v>15860</v>
      </c>
      <c r="D8393" s="142" t="s">
        <v>15861</v>
      </c>
      <c r="E8393" s="142" t="s">
        <v>15849</v>
      </c>
      <c r="F8393" s="142" t="s">
        <v>179</v>
      </c>
      <c r="G8393" s="142" t="s">
        <v>4415</v>
      </c>
      <c r="H8393" s="142" t="s">
        <v>24243</v>
      </c>
      <c r="I8393" s="142">
        <v>5</v>
      </c>
      <c r="J8393" s="142">
        <v>0</v>
      </c>
      <c r="K8393" s="142">
        <v>0</v>
      </c>
      <c r="L8393" s="142">
        <v>5</v>
      </c>
      <c r="M8393" s="142">
        <v>0</v>
      </c>
    </row>
    <row r="8394" spans="1:13" x14ac:dyDescent="0.45">
      <c r="A8394" s="142" t="s">
        <v>13074</v>
      </c>
      <c r="B8394" s="142" t="s">
        <v>15405</v>
      </c>
      <c r="C8394" s="142" t="s">
        <v>15847</v>
      </c>
      <c r="D8394" s="142" t="s">
        <v>15848</v>
      </c>
      <c r="E8394" s="142" t="s">
        <v>15849</v>
      </c>
      <c r="F8394" s="142" t="s">
        <v>179</v>
      </c>
      <c r="G8394" s="142" t="s">
        <v>4415</v>
      </c>
      <c r="H8394" s="142" t="s">
        <v>24244</v>
      </c>
      <c r="I8394" s="142">
        <v>47</v>
      </c>
      <c r="J8394" s="142">
        <v>45</v>
      </c>
      <c r="K8394" s="142">
        <v>0</v>
      </c>
      <c r="L8394" s="142">
        <v>0</v>
      </c>
      <c r="M8394" s="142">
        <v>2</v>
      </c>
    </row>
    <row r="8395" spans="1:13" x14ac:dyDescent="0.45">
      <c r="A8395" s="142" t="s">
        <v>13086</v>
      </c>
      <c r="B8395" s="142" t="s">
        <v>15380</v>
      </c>
      <c r="C8395" s="142" t="s">
        <v>15847</v>
      </c>
      <c r="D8395" s="142" t="s">
        <v>15848</v>
      </c>
      <c r="E8395" s="142" t="s">
        <v>15849</v>
      </c>
      <c r="F8395" s="142" t="s">
        <v>179</v>
      </c>
      <c r="G8395" s="142" t="s">
        <v>4415</v>
      </c>
      <c r="H8395" s="142" t="s">
        <v>24245</v>
      </c>
      <c r="I8395" s="142">
        <v>97</v>
      </c>
      <c r="J8395" s="142">
        <v>88</v>
      </c>
      <c r="K8395" s="142">
        <v>0</v>
      </c>
      <c r="L8395" s="142">
        <v>0</v>
      </c>
      <c r="M8395" s="142">
        <v>9</v>
      </c>
    </row>
    <row r="8396" spans="1:13" x14ac:dyDescent="0.45">
      <c r="A8396" s="142" t="s">
        <v>13087</v>
      </c>
      <c r="B8396" s="142" t="s">
        <v>14452</v>
      </c>
      <c r="C8396" s="142" t="s">
        <v>15847</v>
      </c>
      <c r="D8396" s="142" t="s">
        <v>15848</v>
      </c>
      <c r="E8396" s="142" t="s">
        <v>15849</v>
      </c>
      <c r="F8396" s="142" t="s">
        <v>179</v>
      </c>
      <c r="G8396" s="142" t="s">
        <v>4415</v>
      </c>
      <c r="H8396" s="142" t="s">
        <v>24246</v>
      </c>
      <c r="I8396" s="142">
        <v>150</v>
      </c>
      <c r="J8396" s="142">
        <v>112</v>
      </c>
      <c r="K8396" s="142">
        <v>0</v>
      </c>
      <c r="L8396" s="142">
        <v>8</v>
      </c>
      <c r="M8396" s="142">
        <v>30</v>
      </c>
    </row>
    <row r="8397" spans="1:13" x14ac:dyDescent="0.45">
      <c r="A8397" s="142" t="s">
        <v>14096</v>
      </c>
      <c r="B8397" s="142" t="s">
        <v>14678</v>
      </c>
      <c r="C8397" s="142" t="s">
        <v>15860</v>
      </c>
      <c r="D8397" s="142" t="s">
        <v>15861</v>
      </c>
      <c r="E8397" s="142" t="s">
        <v>15849</v>
      </c>
      <c r="F8397" s="142" t="s">
        <v>179</v>
      </c>
      <c r="G8397" s="142" t="s">
        <v>4415</v>
      </c>
      <c r="H8397" s="142" t="s">
        <v>24247</v>
      </c>
      <c r="I8397" s="142">
        <v>8</v>
      </c>
      <c r="J8397" s="142">
        <v>8</v>
      </c>
      <c r="K8397" s="142">
        <v>0</v>
      </c>
      <c r="L8397" s="142">
        <v>0</v>
      </c>
      <c r="M8397" s="142">
        <v>0</v>
      </c>
    </row>
    <row r="8398" spans="1:13" x14ac:dyDescent="0.45">
      <c r="A8398" s="142" t="s">
        <v>13027</v>
      </c>
      <c r="B8398" s="142" t="s">
        <v>14562</v>
      </c>
      <c r="C8398" s="142" t="s">
        <v>15847</v>
      </c>
      <c r="D8398" s="142" t="s">
        <v>15848</v>
      </c>
      <c r="E8398" s="142" t="s">
        <v>15849</v>
      </c>
      <c r="F8398" s="142" t="s">
        <v>179</v>
      </c>
      <c r="G8398" s="142" t="s">
        <v>4415</v>
      </c>
      <c r="H8398" s="142" t="s">
        <v>24248</v>
      </c>
      <c r="I8398" s="142">
        <v>23</v>
      </c>
      <c r="J8398" s="142">
        <v>0</v>
      </c>
      <c r="K8398" s="142">
        <v>0</v>
      </c>
      <c r="L8398" s="142">
        <v>23</v>
      </c>
      <c r="M8398" s="142">
        <v>0</v>
      </c>
    </row>
    <row r="8399" spans="1:13" x14ac:dyDescent="0.45">
      <c r="A8399" s="142" t="s">
        <v>13149</v>
      </c>
      <c r="B8399" s="142" t="s">
        <v>14458</v>
      </c>
      <c r="C8399" s="142" t="s">
        <v>15860</v>
      </c>
      <c r="D8399" s="142" t="s">
        <v>15861</v>
      </c>
      <c r="E8399" s="142" t="s">
        <v>15849</v>
      </c>
      <c r="F8399" s="142" t="s">
        <v>179</v>
      </c>
      <c r="G8399" s="142" t="s">
        <v>4415</v>
      </c>
      <c r="H8399" s="142" t="s">
        <v>24249</v>
      </c>
      <c r="I8399" s="142">
        <v>8</v>
      </c>
      <c r="J8399" s="142">
        <v>0</v>
      </c>
      <c r="K8399" s="142">
        <v>0</v>
      </c>
      <c r="L8399" s="142">
        <v>8</v>
      </c>
      <c r="M8399" s="142">
        <v>0</v>
      </c>
    </row>
    <row r="8400" spans="1:13" x14ac:dyDescent="0.45">
      <c r="A8400" s="142" t="s">
        <v>13050</v>
      </c>
      <c r="B8400" s="142" t="s">
        <v>15237</v>
      </c>
      <c r="C8400" s="142" t="s">
        <v>15847</v>
      </c>
      <c r="D8400" s="142" t="s">
        <v>15848</v>
      </c>
      <c r="E8400" s="142" t="s">
        <v>15849</v>
      </c>
      <c r="F8400" s="142" t="s">
        <v>179</v>
      </c>
      <c r="G8400" s="142" t="s">
        <v>4415</v>
      </c>
      <c r="H8400" s="142" t="s">
        <v>24250</v>
      </c>
      <c r="I8400" s="142">
        <v>12</v>
      </c>
      <c r="J8400" s="142">
        <v>12</v>
      </c>
      <c r="K8400" s="142">
        <v>0</v>
      </c>
      <c r="L8400" s="142">
        <v>0</v>
      </c>
      <c r="M8400" s="142">
        <v>0</v>
      </c>
    </row>
    <row r="8401" spans="1:13" x14ac:dyDescent="0.45">
      <c r="A8401" s="142" t="s">
        <v>13028</v>
      </c>
      <c r="B8401" s="142" t="s">
        <v>14462</v>
      </c>
      <c r="C8401" s="142" t="s">
        <v>15847</v>
      </c>
      <c r="D8401" s="142" t="s">
        <v>15848</v>
      </c>
      <c r="E8401" s="142" t="s">
        <v>15849</v>
      </c>
      <c r="F8401" s="142" t="s">
        <v>179</v>
      </c>
      <c r="G8401" s="142" t="s">
        <v>4415</v>
      </c>
      <c r="H8401" s="142" t="s">
        <v>24251</v>
      </c>
      <c r="I8401" s="142">
        <v>34</v>
      </c>
      <c r="J8401" s="142">
        <v>0</v>
      </c>
      <c r="K8401" s="142">
        <v>0</v>
      </c>
      <c r="L8401" s="142">
        <v>0</v>
      </c>
      <c r="M8401" s="142">
        <v>34</v>
      </c>
    </row>
    <row r="8402" spans="1:13" x14ac:dyDescent="0.45">
      <c r="A8402" s="142" t="s">
        <v>13002</v>
      </c>
      <c r="B8402" s="142" t="s">
        <v>15376</v>
      </c>
      <c r="C8402" s="142" t="s">
        <v>15847</v>
      </c>
      <c r="D8402" s="142" t="s">
        <v>15848</v>
      </c>
      <c r="E8402" s="142" t="s">
        <v>15849</v>
      </c>
      <c r="F8402" s="142" t="s">
        <v>179</v>
      </c>
      <c r="G8402" s="142" t="s">
        <v>4415</v>
      </c>
      <c r="H8402" s="142" t="s">
        <v>24252</v>
      </c>
      <c r="I8402" s="142">
        <v>178</v>
      </c>
      <c r="J8402" s="142">
        <v>47</v>
      </c>
      <c r="K8402" s="142">
        <v>0</v>
      </c>
      <c r="L8402" s="142">
        <v>0</v>
      </c>
      <c r="M8402" s="142">
        <v>131</v>
      </c>
    </row>
    <row r="8403" spans="1:13" x14ac:dyDescent="0.45">
      <c r="A8403" s="142" t="s">
        <v>13003</v>
      </c>
      <c r="B8403" s="142" t="s">
        <v>15245</v>
      </c>
      <c r="C8403" s="142" t="s">
        <v>15847</v>
      </c>
      <c r="D8403" s="142" t="s">
        <v>15848</v>
      </c>
      <c r="E8403" s="142" t="s">
        <v>15849</v>
      </c>
      <c r="F8403" s="142" t="s">
        <v>179</v>
      </c>
      <c r="G8403" s="142" t="s">
        <v>4415</v>
      </c>
      <c r="H8403" s="142" t="s">
        <v>24253</v>
      </c>
      <c r="I8403" s="142">
        <v>74</v>
      </c>
      <c r="J8403" s="142">
        <v>0</v>
      </c>
      <c r="K8403" s="142">
        <v>0</v>
      </c>
      <c r="L8403" s="142">
        <v>74</v>
      </c>
      <c r="M8403" s="142">
        <v>0</v>
      </c>
    </row>
    <row r="8404" spans="1:13" x14ac:dyDescent="0.45">
      <c r="A8404" s="142" t="s">
        <v>13066</v>
      </c>
      <c r="B8404" s="142" t="s">
        <v>14459</v>
      </c>
      <c r="C8404" s="142" t="s">
        <v>15847</v>
      </c>
      <c r="D8404" s="142" t="s">
        <v>15848</v>
      </c>
      <c r="E8404" s="142" t="s">
        <v>15849</v>
      </c>
      <c r="F8404" s="142" t="s">
        <v>179</v>
      </c>
      <c r="G8404" s="142" t="s">
        <v>4415</v>
      </c>
      <c r="H8404" s="142" t="s">
        <v>24254</v>
      </c>
      <c r="I8404" s="142">
        <v>17</v>
      </c>
      <c r="J8404" s="142">
        <v>0</v>
      </c>
      <c r="K8404" s="142">
        <v>0</v>
      </c>
      <c r="L8404" s="142">
        <v>17</v>
      </c>
      <c r="M8404" s="142">
        <v>0</v>
      </c>
    </row>
    <row r="8405" spans="1:13" x14ac:dyDescent="0.45">
      <c r="A8405" s="142" t="s">
        <v>13178</v>
      </c>
      <c r="B8405" s="142" t="s">
        <v>14683</v>
      </c>
      <c r="C8405" s="142" t="s">
        <v>15847</v>
      </c>
      <c r="D8405" s="142" t="s">
        <v>15848</v>
      </c>
      <c r="E8405" s="142" t="s">
        <v>15849</v>
      </c>
      <c r="F8405" s="142" t="s">
        <v>179</v>
      </c>
      <c r="G8405" s="142" t="s">
        <v>4415</v>
      </c>
      <c r="H8405" s="142" t="s">
        <v>24255</v>
      </c>
      <c r="I8405" s="142">
        <v>13</v>
      </c>
      <c r="J8405" s="142">
        <v>13</v>
      </c>
      <c r="K8405" s="142">
        <v>0</v>
      </c>
      <c r="L8405" s="142">
        <v>0</v>
      </c>
      <c r="M8405" s="142">
        <v>0</v>
      </c>
    </row>
    <row r="8406" spans="1:13" x14ac:dyDescent="0.45">
      <c r="A8406" s="142" t="s">
        <v>13076</v>
      </c>
      <c r="B8406" s="142" t="s">
        <v>14636</v>
      </c>
      <c r="C8406" s="142" t="s">
        <v>15847</v>
      </c>
      <c r="D8406" s="142" t="s">
        <v>15848</v>
      </c>
      <c r="E8406" s="142" t="s">
        <v>15849</v>
      </c>
      <c r="F8406" s="142" t="s">
        <v>179</v>
      </c>
      <c r="G8406" s="142" t="s">
        <v>4415</v>
      </c>
      <c r="H8406" s="142" t="s">
        <v>24256</v>
      </c>
      <c r="I8406" s="142">
        <v>6</v>
      </c>
      <c r="J8406" s="142">
        <v>0</v>
      </c>
      <c r="K8406" s="142">
        <v>0</v>
      </c>
      <c r="L8406" s="142">
        <v>0</v>
      </c>
      <c r="M8406" s="142">
        <v>6</v>
      </c>
    </row>
    <row r="8407" spans="1:13" x14ac:dyDescent="0.45">
      <c r="A8407" s="142" t="s">
        <v>13274</v>
      </c>
      <c r="B8407" s="142" t="s">
        <v>14608</v>
      </c>
      <c r="C8407" s="142" t="s">
        <v>15860</v>
      </c>
      <c r="D8407" s="142" t="s">
        <v>15861</v>
      </c>
      <c r="E8407" s="142" t="s">
        <v>15849</v>
      </c>
      <c r="F8407" s="142" t="s">
        <v>179</v>
      </c>
      <c r="G8407" s="142" t="s">
        <v>4415</v>
      </c>
      <c r="H8407" s="142" t="s">
        <v>24257</v>
      </c>
      <c r="I8407" s="142">
        <v>4</v>
      </c>
      <c r="J8407" s="142">
        <v>0</v>
      </c>
      <c r="K8407" s="142">
        <v>0</v>
      </c>
      <c r="L8407" s="142">
        <v>4</v>
      </c>
      <c r="M8407" s="142">
        <v>0</v>
      </c>
    </row>
    <row r="8408" spans="1:13" x14ac:dyDescent="0.45">
      <c r="A8408" s="142" t="s">
        <v>13005</v>
      </c>
      <c r="B8408" s="142" t="s">
        <v>15475</v>
      </c>
      <c r="C8408" s="142" t="s">
        <v>15847</v>
      </c>
      <c r="D8408" s="142" t="s">
        <v>15848</v>
      </c>
      <c r="E8408" s="142" t="s">
        <v>15849</v>
      </c>
      <c r="F8408" s="142" t="s">
        <v>179</v>
      </c>
      <c r="G8408" s="142" t="s">
        <v>4415</v>
      </c>
      <c r="H8408" s="142" t="s">
        <v>24258</v>
      </c>
      <c r="I8408" s="142">
        <v>1</v>
      </c>
      <c r="J8408" s="142">
        <v>0</v>
      </c>
      <c r="K8408" s="142">
        <v>0</v>
      </c>
      <c r="L8408" s="142">
        <v>0</v>
      </c>
      <c r="M8408" s="142">
        <v>1</v>
      </c>
    </row>
    <row r="8409" spans="1:13" x14ac:dyDescent="0.45">
      <c r="A8409" s="142" t="s">
        <v>13029</v>
      </c>
      <c r="B8409" s="142" t="s">
        <v>14665</v>
      </c>
      <c r="C8409" s="142" t="s">
        <v>15847</v>
      </c>
      <c r="D8409" s="142" t="s">
        <v>15848</v>
      </c>
      <c r="E8409" s="142" t="s">
        <v>15849</v>
      </c>
      <c r="F8409" s="142" t="s">
        <v>179</v>
      </c>
      <c r="G8409" s="142" t="s">
        <v>4415</v>
      </c>
      <c r="H8409" s="142" t="s">
        <v>24259</v>
      </c>
      <c r="I8409" s="142">
        <v>5</v>
      </c>
      <c r="J8409" s="142">
        <v>0</v>
      </c>
      <c r="K8409" s="142">
        <v>0</v>
      </c>
      <c r="L8409" s="142">
        <v>0</v>
      </c>
      <c r="M8409" s="142">
        <v>5</v>
      </c>
    </row>
    <row r="8410" spans="1:13" x14ac:dyDescent="0.45">
      <c r="A8410" s="142" t="s">
        <v>13162</v>
      </c>
      <c r="B8410" s="142" t="s">
        <v>14545</v>
      </c>
      <c r="C8410" s="142" t="s">
        <v>15860</v>
      </c>
      <c r="D8410" s="142" t="s">
        <v>15861</v>
      </c>
      <c r="E8410" s="142" t="s">
        <v>15849</v>
      </c>
      <c r="F8410" s="142" t="s">
        <v>179</v>
      </c>
      <c r="G8410" s="142" t="s">
        <v>4415</v>
      </c>
      <c r="H8410" s="142" t="s">
        <v>24260</v>
      </c>
      <c r="I8410" s="142">
        <v>13</v>
      </c>
      <c r="J8410" s="142">
        <v>0</v>
      </c>
      <c r="K8410" s="142">
        <v>0</v>
      </c>
      <c r="L8410" s="142">
        <v>13</v>
      </c>
      <c r="M8410" s="142">
        <v>0</v>
      </c>
    </row>
    <row r="8411" spans="1:13" x14ac:dyDescent="0.45">
      <c r="A8411" s="142" t="s">
        <v>13089</v>
      </c>
      <c r="B8411" s="142" t="s">
        <v>15240</v>
      </c>
      <c r="C8411" s="142" t="s">
        <v>15847</v>
      </c>
      <c r="D8411" s="142" t="s">
        <v>15848</v>
      </c>
      <c r="E8411" s="142" t="s">
        <v>15849</v>
      </c>
      <c r="F8411" s="142" t="s">
        <v>179</v>
      </c>
      <c r="G8411" s="142" t="s">
        <v>4415</v>
      </c>
      <c r="H8411" s="142" t="s">
        <v>24261</v>
      </c>
      <c r="I8411" s="142">
        <v>28</v>
      </c>
      <c r="J8411" s="142">
        <v>14</v>
      </c>
      <c r="K8411" s="142">
        <v>0</v>
      </c>
      <c r="L8411" s="142">
        <v>5</v>
      </c>
      <c r="M8411" s="142">
        <v>9</v>
      </c>
    </row>
    <row r="8412" spans="1:13" x14ac:dyDescent="0.45">
      <c r="A8412" s="142" t="s">
        <v>13104</v>
      </c>
      <c r="B8412" s="142" t="s">
        <v>14622</v>
      </c>
      <c r="C8412" s="142" t="s">
        <v>15847</v>
      </c>
      <c r="D8412" s="142" t="s">
        <v>15848</v>
      </c>
      <c r="E8412" s="142" t="s">
        <v>15849</v>
      </c>
      <c r="F8412" s="142" t="s">
        <v>179</v>
      </c>
      <c r="G8412" s="142" t="s">
        <v>4415</v>
      </c>
      <c r="H8412" s="142" t="s">
        <v>24262</v>
      </c>
      <c r="I8412" s="142">
        <v>63</v>
      </c>
      <c r="J8412" s="142">
        <v>23</v>
      </c>
      <c r="K8412" s="142">
        <v>0</v>
      </c>
      <c r="L8412" s="142">
        <v>40</v>
      </c>
      <c r="M8412" s="142">
        <v>0</v>
      </c>
    </row>
    <row r="8413" spans="1:13" x14ac:dyDescent="0.45">
      <c r="A8413" s="142" t="s">
        <v>13033</v>
      </c>
      <c r="B8413" s="142" t="s">
        <v>15276</v>
      </c>
      <c r="C8413" s="142" t="s">
        <v>15847</v>
      </c>
      <c r="D8413" s="142" t="s">
        <v>15848</v>
      </c>
      <c r="E8413" s="142" t="s">
        <v>15849</v>
      </c>
      <c r="F8413" s="142" t="s">
        <v>179</v>
      </c>
      <c r="G8413" s="142" t="s">
        <v>4415</v>
      </c>
      <c r="H8413" s="142" t="s">
        <v>24263</v>
      </c>
      <c r="I8413" s="142">
        <v>601</v>
      </c>
      <c r="J8413" s="142">
        <v>590</v>
      </c>
      <c r="K8413" s="142">
        <v>0</v>
      </c>
      <c r="L8413" s="142">
        <v>0</v>
      </c>
      <c r="M8413" s="142">
        <v>11</v>
      </c>
    </row>
    <row r="8414" spans="1:13" x14ac:dyDescent="0.45">
      <c r="A8414" s="142" t="s">
        <v>13036</v>
      </c>
      <c r="B8414" s="142" t="s">
        <v>15567</v>
      </c>
      <c r="C8414" s="142" t="s">
        <v>15847</v>
      </c>
      <c r="D8414" s="142" t="s">
        <v>15848</v>
      </c>
      <c r="E8414" s="142" t="s">
        <v>15849</v>
      </c>
      <c r="F8414" s="142" t="s">
        <v>179</v>
      </c>
      <c r="G8414" s="142" t="s">
        <v>4415</v>
      </c>
      <c r="H8414" s="142" t="s">
        <v>24264</v>
      </c>
      <c r="I8414" s="142">
        <v>2</v>
      </c>
      <c r="J8414" s="142">
        <v>0</v>
      </c>
      <c r="K8414" s="142">
        <v>0</v>
      </c>
      <c r="L8414" s="142">
        <v>2</v>
      </c>
      <c r="M8414" s="142">
        <v>0</v>
      </c>
    </row>
    <row r="8415" spans="1:13" x14ac:dyDescent="0.45">
      <c r="A8415" s="142" t="s">
        <v>13037</v>
      </c>
      <c r="B8415" s="142" t="s">
        <v>14519</v>
      </c>
      <c r="C8415" s="142" t="s">
        <v>15847</v>
      </c>
      <c r="D8415" s="142" t="s">
        <v>15848</v>
      </c>
      <c r="E8415" s="142" t="s">
        <v>15849</v>
      </c>
      <c r="F8415" s="142" t="s">
        <v>179</v>
      </c>
      <c r="G8415" s="142" t="s">
        <v>4415</v>
      </c>
      <c r="H8415" s="142" t="s">
        <v>24265</v>
      </c>
      <c r="I8415" s="142">
        <v>1</v>
      </c>
      <c r="J8415" s="142">
        <v>0</v>
      </c>
      <c r="K8415" s="142">
        <v>0</v>
      </c>
      <c r="L8415" s="142">
        <v>1</v>
      </c>
      <c r="M8415" s="142">
        <v>0</v>
      </c>
    </row>
    <row r="8416" spans="1:13" x14ac:dyDescent="0.45">
      <c r="A8416" s="142" t="s">
        <v>13090</v>
      </c>
      <c r="B8416" s="142" t="s">
        <v>15600</v>
      </c>
      <c r="C8416" s="142" t="s">
        <v>15847</v>
      </c>
      <c r="D8416" s="142" t="s">
        <v>15848</v>
      </c>
      <c r="E8416" s="142" t="s">
        <v>15849</v>
      </c>
      <c r="F8416" s="142" t="s">
        <v>179</v>
      </c>
      <c r="G8416" s="142" t="s">
        <v>4415</v>
      </c>
      <c r="H8416" s="142" t="s">
        <v>24266</v>
      </c>
      <c r="I8416" s="142">
        <v>1</v>
      </c>
      <c r="J8416" s="142">
        <v>0</v>
      </c>
      <c r="K8416" s="142">
        <v>0</v>
      </c>
      <c r="L8416" s="142">
        <v>0</v>
      </c>
      <c r="M8416" s="142">
        <v>1</v>
      </c>
    </row>
    <row r="8417" spans="1:13" x14ac:dyDescent="0.45">
      <c r="A8417" s="142" t="s">
        <v>13038</v>
      </c>
      <c r="B8417" s="142" t="s">
        <v>14646</v>
      </c>
      <c r="C8417" s="142" t="s">
        <v>15847</v>
      </c>
      <c r="D8417" s="142" t="s">
        <v>15848</v>
      </c>
      <c r="E8417" s="142" t="s">
        <v>15849</v>
      </c>
      <c r="F8417" s="142" t="s">
        <v>179</v>
      </c>
      <c r="G8417" s="142" t="s">
        <v>4415</v>
      </c>
      <c r="H8417" s="142" t="s">
        <v>24267</v>
      </c>
      <c r="I8417" s="142">
        <v>24</v>
      </c>
      <c r="J8417" s="142">
        <v>9</v>
      </c>
      <c r="K8417" s="142">
        <v>0</v>
      </c>
      <c r="L8417" s="142">
        <v>0</v>
      </c>
      <c r="M8417" s="142">
        <v>15</v>
      </c>
    </row>
    <row r="8418" spans="1:13" x14ac:dyDescent="0.45">
      <c r="A8418" s="142" t="s">
        <v>13039</v>
      </c>
      <c r="B8418" s="142" t="s">
        <v>14647</v>
      </c>
      <c r="C8418" s="142" t="s">
        <v>15847</v>
      </c>
      <c r="D8418" s="142" t="s">
        <v>15848</v>
      </c>
      <c r="E8418" s="142" t="s">
        <v>15849</v>
      </c>
      <c r="F8418" s="142" t="s">
        <v>179</v>
      </c>
      <c r="G8418" s="142" t="s">
        <v>4415</v>
      </c>
      <c r="H8418" s="142" t="s">
        <v>24268</v>
      </c>
      <c r="I8418" s="142">
        <v>50</v>
      </c>
      <c r="J8418" s="142">
        <v>50</v>
      </c>
      <c r="K8418" s="142">
        <v>0</v>
      </c>
      <c r="L8418" s="142">
        <v>0</v>
      </c>
      <c r="M8418" s="142">
        <v>0</v>
      </c>
    </row>
    <row r="8419" spans="1:13" x14ac:dyDescent="0.45">
      <c r="A8419" s="142" t="s">
        <v>13078</v>
      </c>
      <c r="B8419" s="142" t="s">
        <v>15540</v>
      </c>
      <c r="C8419" s="142" t="s">
        <v>15847</v>
      </c>
      <c r="D8419" s="142" t="s">
        <v>15848</v>
      </c>
      <c r="E8419" s="142" t="s">
        <v>15849</v>
      </c>
      <c r="F8419" s="142" t="s">
        <v>179</v>
      </c>
      <c r="G8419" s="142" t="s">
        <v>4415</v>
      </c>
      <c r="H8419" s="142" t="s">
        <v>24269</v>
      </c>
      <c r="I8419" s="142">
        <v>56</v>
      </c>
      <c r="J8419" s="142">
        <v>56</v>
      </c>
      <c r="K8419" s="142">
        <v>0</v>
      </c>
      <c r="L8419" s="142">
        <v>0</v>
      </c>
      <c r="M8419" s="142">
        <v>0</v>
      </c>
    </row>
    <row r="8420" spans="1:13" x14ac:dyDescent="0.45">
      <c r="A8420" s="142" t="s">
        <v>13091</v>
      </c>
      <c r="B8420" s="142" t="s">
        <v>14473</v>
      </c>
      <c r="C8420" s="142" t="s">
        <v>15847</v>
      </c>
      <c r="D8420" s="142" t="s">
        <v>15848</v>
      </c>
      <c r="E8420" s="142" t="s">
        <v>15849</v>
      </c>
      <c r="F8420" s="142" t="s">
        <v>179</v>
      </c>
      <c r="G8420" s="142" t="s">
        <v>4415</v>
      </c>
      <c r="H8420" s="142" t="s">
        <v>24270</v>
      </c>
      <c r="I8420" s="142">
        <v>65</v>
      </c>
      <c r="J8420" s="142">
        <v>18</v>
      </c>
      <c r="K8420" s="142">
        <v>0</v>
      </c>
      <c r="L8420" s="142">
        <v>17</v>
      </c>
      <c r="M8420" s="142">
        <v>30</v>
      </c>
    </row>
    <row r="8421" spans="1:13" x14ac:dyDescent="0.45">
      <c r="A8421" s="142" t="s">
        <v>13009</v>
      </c>
      <c r="B8421" s="142" t="s">
        <v>15256</v>
      </c>
      <c r="C8421" s="142" t="s">
        <v>15847</v>
      </c>
      <c r="D8421" s="142" t="s">
        <v>15848</v>
      </c>
      <c r="E8421" s="142" t="s">
        <v>15849</v>
      </c>
      <c r="F8421" s="142" t="s">
        <v>179</v>
      </c>
      <c r="G8421" s="142" t="s">
        <v>4415</v>
      </c>
      <c r="H8421" s="142" t="s">
        <v>24271</v>
      </c>
      <c r="I8421" s="142">
        <v>144</v>
      </c>
      <c r="J8421" s="142">
        <v>108</v>
      </c>
      <c r="K8421" s="142">
        <v>0</v>
      </c>
      <c r="L8421" s="142">
        <v>36</v>
      </c>
      <c r="M8421" s="142">
        <v>0</v>
      </c>
    </row>
    <row r="8422" spans="1:13" x14ac:dyDescent="0.45">
      <c r="A8422" s="142" t="s">
        <v>13041</v>
      </c>
      <c r="B8422" s="142" t="s">
        <v>14441</v>
      </c>
      <c r="C8422" s="142" t="s">
        <v>15847</v>
      </c>
      <c r="D8422" s="142" t="s">
        <v>15848</v>
      </c>
      <c r="E8422" s="142" t="s">
        <v>15849</v>
      </c>
      <c r="F8422" s="142" t="s">
        <v>179</v>
      </c>
      <c r="G8422" s="142" t="s">
        <v>4415</v>
      </c>
      <c r="H8422" s="142" t="s">
        <v>24272</v>
      </c>
      <c r="I8422" s="142">
        <v>24</v>
      </c>
      <c r="J8422" s="142">
        <v>0</v>
      </c>
      <c r="K8422" s="142">
        <v>0</v>
      </c>
      <c r="L8422" s="142">
        <v>0</v>
      </c>
      <c r="M8422" s="142">
        <v>24</v>
      </c>
    </row>
    <row r="8423" spans="1:13" x14ac:dyDescent="0.45">
      <c r="A8423" s="142" t="s">
        <v>13106</v>
      </c>
      <c r="B8423" s="142" t="s">
        <v>15414</v>
      </c>
      <c r="C8423" s="142" t="s">
        <v>15847</v>
      </c>
      <c r="D8423" s="142" t="s">
        <v>15848</v>
      </c>
      <c r="E8423" s="142" t="s">
        <v>15849</v>
      </c>
      <c r="F8423" s="142" t="s">
        <v>179</v>
      </c>
      <c r="G8423" s="142" t="s">
        <v>4415</v>
      </c>
      <c r="H8423" s="142" t="s">
        <v>24273</v>
      </c>
      <c r="I8423" s="142">
        <v>134</v>
      </c>
      <c r="J8423" s="142">
        <v>110</v>
      </c>
      <c r="K8423" s="142">
        <v>0</v>
      </c>
      <c r="L8423" s="142">
        <v>24</v>
      </c>
      <c r="M8423" s="142">
        <v>0</v>
      </c>
    </row>
    <row r="8424" spans="1:13" x14ac:dyDescent="0.45">
      <c r="A8424" s="142" t="s">
        <v>13014</v>
      </c>
      <c r="B8424" s="142" t="s">
        <v>14505</v>
      </c>
      <c r="C8424" s="142" t="s">
        <v>15847</v>
      </c>
      <c r="D8424" s="142" t="s">
        <v>15848</v>
      </c>
      <c r="E8424" s="142" t="s">
        <v>15849</v>
      </c>
      <c r="F8424" s="142" t="s">
        <v>179</v>
      </c>
      <c r="G8424" s="142" t="s">
        <v>4415</v>
      </c>
      <c r="H8424" s="142" t="s">
        <v>24274</v>
      </c>
      <c r="I8424" s="142">
        <v>39</v>
      </c>
      <c r="J8424" s="142">
        <v>39</v>
      </c>
      <c r="K8424" s="142">
        <v>0</v>
      </c>
      <c r="L8424" s="142">
        <v>0</v>
      </c>
      <c r="M8424" s="142">
        <v>0</v>
      </c>
    </row>
    <row r="8425" spans="1:13" x14ac:dyDescent="0.45">
      <c r="A8425" s="142" t="s">
        <v>13042</v>
      </c>
      <c r="B8425" s="142" t="s">
        <v>15489</v>
      </c>
      <c r="C8425" s="142" t="s">
        <v>15847</v>
      </c>
      <c r="D8425" s="142" t="s">
        <v>15848</v>
      </c>
      <c r="E8425" s="142" t="s">
        <v>15849</v>
      </c>
      <c r="F8425" s="142" t="s">
        <v>179</v>
      </c>
      <c r="G8425" s="142" t="s">
        <v>4415</v>
      </c>
      <c r="H8425" s="142" t="s">
        <v>24275</v>
      </c>
      <c r="I8425" s="142">
        <v>28</v>
      </c>
      <c r="J8425" s="142">
        <v>12</v>
      </c>
      <c r="K8425" s="142">
        <v>0</v>
      </c>
      <c r="L8425" s="142">
        <v>16</v>
      </c>
      <c r="M8425" s="142">
        <v>0</v>
      </c>
    </row>
    <row r="8426" spans="1:13" x14ac:dyDescent="0.45">
      <c r="A8426" s="142" t="s">
        <v>13299</v>
      </c>
      <c r="B8426" s="142" t="s">
        <v>15176</v>
      </c>
      <c r="C8426" s="142" t="s">
        <v>15860</v>
      </c>
      <c r="D8426" s="142" t="s">
        <v>15861</v>
      </c>
      <c r="E8426" s="142" t="s">
        <v>15849</v>
      </c>
      <c r="F8426" s="142" t="s">
        <v>180</v>
      </c>
      <c r="G8426" s="142" t="s">
        <v>5109</v>
      </c>
      <c r="H8426" s="142" t="s">
        <v>24276</v>
      </c>
      <c r="I8426" s="142">
        <v>12</v>
      </c>
      <c r="J8426" s="142">
        <v>0</v>
      </c>
      <c r="K8426" s="142">
        <v>0</v>
      </c>
      <c r="L8426" s="142">
        <v>12</v>
      </c>
      <c r="M8426" s="142">
        <v>0</v>
      </c>
    </row>
    <row r="8427" spans="1:13" x14ac:dyDescent="0.45">
      <c r="A8427" s="142" t="s">
        <v>13167</v>
      </c>
      <c r="B8427" s="142" t="s">
        <v>15418</v>
      </c>
      <c r="C8427" s="142" t="s">
        <v>15847</v>
      </c>
      <c r="D8427" s="142" t="s">
        <v>15848</v>
      </c>
      <c r="E8427" s="142" t="s">
        <v>15849</v>
      </c>
      <c r="F8427" s="142" t="s">
        <v>180</v>
      </c>
      <c r="G8427" s="142" t="s">
        <v>5109</v>
      </c>
      <c r="H8427" s="142" t="s">
        <v>24277</v>
      </c>
      <c r="I8427" s="142">
        <v>327</v>
      </c>
      <c r="J8427" s="142">
        <v>295</v>
      </c>
      <c r="K8427" s="142">
        <v>0</v>
      </c>
      <c r="L8427" s="142">
        <v>0</v>
      </c>
      <c r="M8427" s="142">
        <v>32</v>
      </c>
    </row>
    <row r="8428" spans="1:13" x14ac:dyDescent="0.45">
      <c r="A8428" s="142" t="s">
        <v>13021</v>
      </c>
      <c r="B8428" s="142" t="s">
        <v>15501</v>
      </c>
      <c r="C8428" s="142" t="s">
        <v>15847</v>
      </c>
      <c r="D8428" s="142" t="s">
        <v>15848</v>
      </c>
      <c r="E8428" s="142" t="s">
        <v>15849</v>
      </c>
      <c r="F8428" s="142" t="s">
        <v>180</v>
      </c>
      <c r="G8428" s="142" t="s">
        <v>5109</v>
      </c>
      <c r="H8428" s="142" t="s">
        <v>24278</v>
      </c>
      <c r="I8428" s="142">
        <v>19</v>
      </c>
      <c r="J8428" s="142">
        <v>0</v>
      </c>
      <c r="K8428" s="142">
        <v>0</v>
      </c>
      <c r="L8428" s="142">
        <v>15</v>
      </c>
      <c r="M8428" s="142">
        <v>4</v>
      </c>
    </row>
    <row r="8429" spans="1:13" x14ac:dyDescent="0.45">
      <c r="A8429" s="142" t="s">
        <v>13023</v>
      </c>
      <c r="B8429" s="142" t="s">
        <v>15571</v>
      </c>
      <c r="C8429" s="142" t="s">
        <v>15847</v>
      </c>
      <c r="D8429" s="142" t="s">
        <v>15848</v>
      </c>
      <c r="E8429" s="142" t="s">
        <v>15849</v>
      </c>
      <c r="F8429" s="142" t="s">
        <v>180</v>
      </c>
      <c r="G8429" s="142" t="s">
        <v>5109</v>
      </c>
      <c r="H8429" s="142" t="s">
        <v>24279</v>
      </c>
      <c r="I8429" s="142">
        <v>103</v>
      </c>
      <c r="J8429" s="142">
        <v>8</v>
      </c>
      <c r="K8429" s="142">
        <v>0</v>
      </c>
      <c r="L8429" s="142">
        <v>95</v>
      </c>
      <c r="M8429" s="142">
        <v>0</v>
      </c>
    </row>
    <row r="8430" spans="1:13" x14ac:dyDescent="0.45">
      <c r="A8430" s="142" t="s">
        <v>13047</v>
      </c>
      <c r="B8430" s="142" t="s">
        <v>14616</v>
      </c>
      <c r="C8430" s="142" t="s">
        <v>15847</v>
      </c>
      <c r="D8430" s="142" t="s">
        <v>15848</v>
      </c>
      <c r="E8430" s="142" t="s">
        <v>15849</v>
      </c>
      <c r="F8430" s="142" t="s">
        <v>180</v>
      </c>
      <c r="G8430" s="142" t="s">
        <v>5109</v>
      </c>
      <c r="H8430" s="142" t="s">
        <v>24280</v>
      </c>
      <c r="I8430" s="142">
        <v>115</v>
      </c>
      <c r="J8430" s="142">
        <v>111</v>
      </c>
      <c r="K8430" s="142">
        <v>0</v>
      </c>
      <c r="L8430" s="142">
        <v>4</v>
      </c>
      <c r="M8430" s="142">
        <v>0</v>
      </c>
    </row>
    <row r="8431" spans="1:13" x14ac:dyDescent="0.45">
      <c r="A8431" s="142" t="s">
        <v>13048</v>
      </c>
      <c r="B8431" s="142" t="s">
        <v>14479</v>
      </c>
      <c r="C8431" s="142" t="s">
        <v>15847</v>
      </c>
      <c r="D8431" s="142" t="s">
        <v>15848</v>
      </c>
      <c r="E8431" s="142" t="s">
        <v>15849</v>
      </c>
      <c r="F8431" s="142" t="s">
        <v>180</v>
      </c>
      <c r="G8431" s="142" t="s">
        <v>5109</v>
      </c>
      <c r="H8431" s="142" t="s">
        <v>24281</v>
      </c>
      <c r="I8431" s="142">
        <v>4978</v>
      </c>
      <c r="J8431" s="142">
        <v>4647</v>
      </c>
      <c r="K8431" s="142">
        <v>0</v>
      </c>
      <c r="L8431" s="142">
        <v>185</v>
      </c>
      <c r="M8431" s="142">
        <v>146</v>
      </c>
    </row>
    <row r="8432" spans="1:13" x14ac:dyDescent="0.45">
      <c r="A8432" s="142" t="s">
        <v>13000</v>
      </c>
      <c r="B8432" s="142" t="s">
        <v>14610</v>
      </c>
      <c r="C8432" s="142" t="s">
        <v>15847</v>
      </c>
      <c r="D8432" s="142" t="s">
        <v>15848</v>
      </c>
      <c r="E8432" s="142" t="s">
        <v>15849</v>
      </c>
      <c r="F8432" s="142" t="s">
        <v>180</v>
      </c>
      <c r="G8432" s="142" t="s">
        <v>5109</v>
      </c>
      <c r="H8432" s="142" t="s">
        <v>24282</v>
      </c>
      <c r="I8432" s="142">
        <v>297</v>
      </c>
      <c r="J8432" s="142">
        <v>165</v>
      </c>
      <c r="K8432" s="142">
        <v>0</v>
      </c>
      <c r="L8432" s="142">
        <v>0</v>
      </c>
      <c r="M8432" s="142">
        <v>132</v>
      </c>
    </row>
    <row r="8433" spans="1:13" x14ac:dyDescent="0.45">
      <c r="A8433" s="142" t="s">
        <v>13119</v>
      </c>
      <c r="B8433" s="142" t="s">
        <v>14451</v>
      </c>
      <c r="C8433" s="142" t="s">
        <v>15860</v>
      </c>
      <c r="D8433" s="142" t="s">
        <v>15861</v>
      </c>
      <c r="E8433" s="142" t="s">
        <v>15849</v>
      </c>
      <c r="F8433" s="142" t="s">
        <v>180</v>
      </c>
      <c r="G8433" s="142" t="s">
        <v>5109</v>
      </c>
      <c r="H8433" s="142" t="s">
        <v>24283</v>
      </c>
      <c r="I8433" s="142">
        <v>12</v>
      </c>
      <c r="J8433" s="142">
        <v>0</v>
      </c>
      <c r="K8433" s="142">
        <v>0</v>
      </c>
      <c r="L8433" s="142">
        <v>12</v>
      </c>
      <c r="M8433" s="142">
        <v>0</v>
      </c>
    </row>
    <row r="8434" spans="1:13" x14ac:dyDescent="0.45">
      <c r="A8434" s="142" t="s">
        <v>13074</v>
      </c>
      <c r="B8434" s="142" t="s">
        <v>15405</v>
      </c>
      <c r="C8434" s="142" t="s">
        <v>15847</v>
      </c>
      <c r="D8434" s="142" t="s">
        <v>15848</v>
      </c>
      <c r="E8434" s="142" t="s">
        <v>15849</v>
      </c>
      <c r="F8434" s="142" t="s">
        <v>180</v>
      </c>
      <c r="G8434" s="142" t="s">
        <v>5109</v>
      </c>
      <c r="H8434" s="142" t="s">
        <v>24284</v>
      </c>
      <c r="I8434" s="142">
        <v>149</v>
      </c>
      <c r="J8434" s="142">
        <v>110</v>
      </c>
      <c r="K8434" s="142">
        <v>0</v>
      </c>
      <c r="L8434" s="142">
        <v>0</v>
      </c>
      <c r="M8434" s="142">
        <v>39</v>
      </c>
    </row>
    <row r="8435" spans="1:13" x14ac:dyDescent="0.45">
      <c r="A8435" s="142" t="s">
        <v>14283</v>
      </c>
      <c r="B8435" s="142" t="s">
        <v>15508</v>
      </c>
      <c r="C8435" s="142" t="s">
        <v>15860</v>
      </c>
      <c r="D8435" s="142" t="s">
        <v>15861</v>
      </c>
      <c r="E8435" s="142" t="s">
        <v>15849</v>
      </c>
      <c r="F8435" s="142" t="s">
        <v>180</v>
      </c>
      <c r="G8435" s="142" t="s">
        <v>5109</v>
      </c>
      <c r="H8435" s="142" t="s">
        <v>24285</v>
      </c>
      <c r="I8435" s="142">
        <v>267</v>
      </c>
      <c r="J8435" s="142">
        <v>186</v>
      </c>
      <c r="K8435" s="142">
        <v>0</v>
      </c>
      <c r="L8435" s="142">
        <v>81</v>
      </c>
      <c r="M8435" s="142">
        <v>0</v>
      </c>
    </row>
    <row r="8436" spans="1:13" x14ac:dyDescent="0.45">
      <c r="A8436" s="142" t="s">
        <v>13002</v>
      </c>
      <c r="B8436" s="142" t="s">
        <v>15376</v>
      </c>
      <c r="C8436" s="142" t="s">
        <v>15847</v>
      </c>
      <c r="D8436" s="142" t="s">
        <v>15848</v>
      </c>
      <c r="E8436" s="142" t="s">
        <v>15849</v>
      </c>
      <c r="F8436" s="142" t="s">
        <v>180</v>
      </c>
      <c r="G8436" s="142" t="s">
        <v>5109</v>
      </c>
      <c r="H8436" s="142" t="s">
        <v>24286</v>
      </c>
      <c r="I8436" s="142">
        <v>8</v>
      </c>
      <c r="J8436" s="142">
        <v>0</v>
      </c>
      <c r="K8436" s="142">
        <v>0</v>
      </c>
      <c r="L8436" s="142">
        <v>8</v>
      </c>
      <c r="M8436" s="142">
        <v>0</v>
      </c>
    </row>
    <row r="8437" spans="1:13" x14ac:dyDescent="0.45">
      <c r="A8437" s="142" t="s">
        <v>13003</v>
      </c>
      <c r="B8437" s="142" t="s">
        <v>15245</v>
      </c>
      <c r="C8437" s="142" t="s">
        <v>15847</v>
      </c>
      <c r="D8437" s="142" t="s">
        <v>15848</v>
      </c>
      <c r="E8437" s="142" t="s">
        <v>15849</v>
      </c>
      <c r="F8437" s="142" t="s">
        <v>180</v>
      </c>
      <c r="G8437" s="142" t="s">
        <v>5109</v>
      </c>
      <c r="H8437" s="142" t="s">
        <v>24287</v>
      </c>
      <c r="I8437" s="142">
        <v>55</v>
      </c>
      <c r="J8437" s="142">
        <v>0</v>
      </c>
      <c r="K8437" s="142">
        <v>0</v>
      </c>
      <c r="L8437" s="142">
        <v>55</v>
      </c>
      <c r="M8437" s="142">
        <v>0</v>
      </c>
    </row>
    <row r="8438" spans="1:13" x14ac:dyDescent="0.45">
      <c r="A8438" s="142" t="s">
        <v>14284</v>
      </c>
      <c r="B8438" s="142" t="s">
        <v>14706</v>
      </c>
      <c r="C8438" s="142" t="s">
        <v>15860</v>
      </c>
      <c r="D8438" s="142" t="s">
        <v>15861</v>
      </c>
      <c r="E8438" s="142" t="s">
        <v>15849</v>
      </c>
      <c r="F8438" s="142" t="s">
        <v>180</v>
      </c>
      <c r="G8438" s="142" t="s">
        <v>5109</v>
      </c>
      <c r="H8438" s="142" t="s">
        <v>24288</v>
      </c>
      <c r="I8438" s="142">
        <v>9</v>
      </c>
      <c r="J8438" s="142">
        <v>9</v>
      </c>
      <c r="K8438" s="142">
        <v>0</v>
      </c>
      <c r="L8438" s="142">
        <v>0</v>
      </c>
      <c r="M8438" s="142">
        <v>0</v>
      </c>
    </row>
    <row r="8439" spans="1:13" x14ac:dyDescent="0.45">
      <c r="A8439" s="142" t="s">
        <v>13190</v>
      </c>
      <c r="B8439" s="142" t="s">
        <v>14617</v>
      </c>
      <c r="C8439" s="142" t="s">
        <v>15847</v>
      </c>
      <c r="D8439" s="142" t="s">
        <v>15848</v>
      </c>
      <c r="E8439" s="142" t="s">
        <v>15849</v>
      </c>
      <c r="F8439" s="142" t="s">
        <v>180</v>
      </c>
      <c r="G8439" s="142" t="s">
        <v>5109</v>
      </c>
      <c r="H8439" s="142" t="s">
        <v>24289</v>
      </c>
      <c r="I8439" s="142">
        <v>1</v>
      </c>
      <c r="J8439" s="142">
        <v>0</v>
      </c>
      <c r="K8439" s="142">
        <v>0</v>
      </c>
      <c r="L8439" s="142">
        <v>0</v>
      </c>
      <c r="M8439" s="142">
        <v>1</v>
      </c>
    </row>
    <row r="8440" spans="1:13" x14ac:dyDescent="0.45">
      <c r="A8440" s="142" t="s">
        <v>13005</v>
      </c>
      <c r="B8440" s="142" t="s">
        <v>15475</v>
      </c>
      <c r="C8440" s="142" t="s">
        <v>15847</v>
      </c>
      <c r="D8440" s="142" t="s">
        <v>15848</v>
      </c>
      <c r="E8440" s="142" t="s">
        <v>15849</v>
      </c>
      <c r="F8440" s="142" t="s">
        <v>180</v>
      </c>
      <c r="G8440" s="142" t="s">
        <v>5109</v>
      </c>
      <c r="H8440" s="142" t="s">
        <v>24290</v>
      </c>
      <c r="I8440" s="142">
        <v>2</v>
      </c>
      <c r="J8440" s="142">
        <v>0</v>
      </c>
      <c r="K8440" s="142">
        <v>0</v>
      </c>
      <c r="L8440" s="142">
        <v>0</v>
      </c>
      <c r="M8440" s="142">
        <v>2</v>
      </c>
    </row>
    <row r="8441" spans="1:13" x14ac:dyDescent="0.45">
      <c r="A8441" s="142" t="s">
        <v>13029</v>
      </c>
      <c r="B8441" s="142" t="s">
        <v>14665</v>
      </c>
      <c r="C8441" s="142" t="s">
        <v>15847</v>
      </c>
      <c r="D8441" s="142" t="s">
        <v>15848</v>
      </c>
      <c r="E8441" s="142" t="s">
        <v>15849</v>
      </c>
      <c r="F8441" s="142" t="s">
        <v>180</v>
      </c>
      <c r="G8441" s="142" t="s">
        <v>5109</v>
      </c>
      <c r="H8441" s="142" t="s">
        <v>24291</v>
      </c>
      <c r="I8441" s="142">
        <v>11</v>
      </c>
      <c r="J8441" s="142">
        <v>0</v>
      </c>
      <c r="K8441" s="142">
        <v>0</v>
      </c>
      <c r="L8441" s="142">
        <v>0</v>
      </c>
      <c r="M8441" s="142">
        <v>11</v>
      </c>
    </row>
    <row r="8442" spans="1:13" x14ac:dyDescent="0.45">
      <c r="A8442" s="142" t="s">
        <v>13007</v>
      </c>
      <c r="B8442" s="142" t="s">
        <v>15262</v>
      </c>
      <c r="C8442" s="142" t="s">
        <v>15847</v>
      </c>
      <c r="D8442" s="142" t="s">
        <v>15848</v>
      </c>
      <c r="E8442" s="142" t="s">
        <v>15849</v>
      </c>
      <c r="F8442" s="142" t="s">
        <v>180</v>
      </c>
      <c r="G8442" s="142" t="s">
        <v>5109</v>
      </c>
      <c r="H8442" s="142" t="s">
        <v>24292</v>
      </c>
      <c r="I8442" s="142">
        <v>3</v>
      </c>
      <c r="J8442" s="142">
        <v>0</v>
      </c>
      <c r="K8442" s="142">
        <v>0</v>
      </c>
      <c r="L8442" s="142">
        <v>0</v>
      </c>
      <c r="M8442" s="142">
        <v>3</v>
      </c>
    </row>
    <row r="8443" spans="1:13" x14ac:dyDescent="0.45">
      <c r="A8443" s="142" t="s">
        <v>13033</v>
      </c>
      <c r="B8443" s="142" t="s">
        <v>15276</v>
      </c>
      <c r="C8443" s="142" t="s">
        <v>15847</v>
      </c>
      <c r="D8443" s="142" t="s">
        <v>15848</v>
      </c>
      <c r="E8443" s="142" t="s">
        <v>15849</v>
      </c>
      <c r="F8443" s="142" t="s">
        <v>180</v>
      </c>
      <c r="G8443" s="142" t="s">
        <v>5109</v>
      </c>
      <c r="H8443" s="142" t="s">
        <v>24293</v>
      </c>
      <c r="I8443" s="142">
        <v>18</v>
      </c>
      <c r="J8443" s="142">
        <v>17</v>
      </c>
      <c r="K8443" s="142">
        <v>0</v>
      </c>
      <c r="L8443" s="142">
        <v>0</v>
      </c>
      <c r="M8443" s="142">
        <v>1</v>
      </c>
    </row>
    <row r="8444" spans="1:13" x14ac:dyDescent="0.45">
      <c r="A8444" s="142" t="s">
        <v>13034</v>
      </c>
      <c r="B8444" s="142" t="s">
        <v>15562</v>
      </c>
      <c r="C8444" s="142" t="s">
        <v>15847</v>
      </c>
      <c r="D8444" s="142" t="s">
        <v>15848</v>
      </c>
      <c r="E8444" s="142" t="s">
        <v>15849</v>
      </c>
      <c r="F8444" s="142" t="s">
        <v>180</v>
      </c>
      <c r="G8444" s="142" t="s">
        <v>5109</v>
      </c>
      <c r="H8444" s="142" t="s">
        <v>24294</v>
      </c>
      <c r="I8444" s="142">
        <v>48</v>
      </c>
      <c r="J8444" s="142">
        <v>0</v>
      </c>
      <c r="K8444" s="142">
        <v>0</v>
      </c>
      <c r="L8444" s="142">
        <v>38</v>
      </c>
      <c r="M8444" s="142">
        <v>10</v>
      </c>
    </row>
    <row r="8445" spans="1:13" x14ac:dyDescent="0.45">
      <c r="A8445" s="142" t="s">
        <v>13038</v>
      </c>
      <c r="B8445" s="142" t="s">
        <v>14646</v>
      </c>
      <c r="C8445" s="142" t="s">
        <v>15847</v>
      </c>
      <c r="D8445" s="142" t="s">
        <v>15848</v>
      </c>
      <c r="E8445" s="142" t="s">
        <v>15849</v>
      </c>
      <c r="F8445" s="142" t="s">
        <v>180</v>
      </c>
      <c r="G8445" s="142" t="s">
        <v>5109</v>
      </c>
      <c r="H8445" s="142" t="s">
        <v>24295</v>
      </c>
      <c r="I8445" s="142">
        <v>7</v>
      </c>
      <c r="J8445" s="142">
        <v>0</v>
      </c>
      <c r="K8445" s="142">
        <v>0</v>
      </c>
      <c r="L8445" s="142">
        <v>0</v>
      </c>
      <c r="M8445" s="142">
        <v>7</v>
      </c>
    </row>
    <row r="8446" spans="1:13" x14ac:dyDescent="0.45">
      <c r="A8446" s="142" t="s">
        <v>13039</v>
      </c>
      <c r="B8446" s="142" t="s">
        <v>14647</v>
      </c>
      <c r="C8446" s="142" t="s">
        <v>15847</v>
      </c>
      <c r="D8446" s="142" t="s">
        <v>15848</v>
      </c>
      <c r="E8446" s="142" t="s">
        <v>15849</v>
      </c>
      <c r="F8446" s="142" t="s">
        <v>180</v>
      </c>
      <c r="G8446" s="142" t="s">
        <v>5109</v>
      </c>
      <c r="H8446" s="142" t="s">
        <v>24296</v>
      </c>
      <c r="I8446" s="142">
        <v>154</v>
      </c>
      <c r="J8446" s="142">
        <v>154</v>
      </c>
      <c r="K8446" s="142">
        <v>0</v>
      </c>
      <c r="L8446" s="142">
        <v>0</v>
      </c>
      <c r="M8446" s="142">
        <v>0</v>
      </c>
    </row>
    <row r="8447" spans="1:13" x14ac:dyDescent="0.45">
      <c r="A8447" s="142" t="s">
        <v>13078</v>
      </c>
      <c r="B8447" s="142" t="s">
        <v>15540</v>
      </c>
      <c r="C8447" s="142" t="s">
        <v>15847</v>
      </c>
      <c r="D8447" s="142" t="s">
        <v>15848</v>
      </c>
      <c r="E8447" s="142" t="s">
        <v>15849</v>
      </c>
      <c r="F8447" s="142" t="s">
        <v>180</v>
      </c>
      <c r="G8447" s="142" t="s">
        <v>5109</v>
      </c>
      <c r="H8447" s="142" t="s">
        <v>24297</v>
      </c>
      <c r="I8447" s="142">
        <v>10</v>
      </c>
      <c r="J8447" s="142">
        <v>0</v>
      </c>
      <c r="K8447" s="142">
        <v>0</v>
      </c>
      <c r="L8447" s="142">
        <v>10</v>
      </c>
      <c r="M8447" s="142">
        <v>0</v>
      </c>
    </row>
    <row r="8448" spans="1:13" x14ac:dyDescent="0.45">
      <c r="A8448" s="142" t="s">
        <v>13009</v>
      </c>
      <c r="B8448" s="142" t="s">
        <v>15256</v>
      </c>
      <c r="C8448" s="142" t="s">
        <v>15847</v>
      </c>
      <c r="D8448" s="142" t="s">
        <v>15848</v>
      </c>
      <c r="E8448" s="142" t="s">
        <v>15849</v>
      </c>
      <c r="F8448" s="142" t="s">
        <v>180</v>
      </c>
      <c r="G8448" s="142" t="s">
        <v>5109</v>
      </c>
      <c r="H8448" s="142" t="s">
        <v>24298</v>
      </c>
      <c r="I8448" s="142">
        <v>9</v>
      </c>
      <c r="J8448" s="142">
        <v>1</v>
      </c>
      <c r="K8448" s="142">
        <v>0</v>
      </c>
      <c r="L8448" s="142">
        <v>8</v>
      </c>
      <c r="M8448" s="142">
        <v>0</v>
      </c>
    </row>
    <row r="8449" spans="1:13" x14ac:dyDescent="0.45">
      <c r="A8449" s="142" t="s">
        <v>13058</v>
      </c>
      <c r="B8449" s="142" t="s">
        <v>14584</v>
      </c>
      <c r="C8449" s="142" t="s">
        <v>15847</v>
      </c>
      <c r="D8449" s="142" t="s">
        <v>15848</v>
      </c>
      <c r="E8449" s="142" t="s">
        <v>15849</v>
      </c>
      <c r="F8449" s="142" t="s">
        <v>180</v>
      </c>
      <c r="G8449" s="142" t="s">
        <v>5109</v>
      </c>
      <c r="H8449" s="142" t="s">
        <v>24299</v>
      </c>
      <c r="I8449" s="142">
        <v>1268</v>
      </c>
      <c r="J8449" s="142">
        <v>1008</v>
      </c>
      <c r="K8449" s="142">
        <v>0</v>
      </c>
      <c r="L8449" s="142">
        <v>64</v>
      </c>
      <c r="M8449" s="142">
        <v>196</v>
      </c>
    </row>
    <row r="8450" spans="1:13" x14ac:dyDescent="0.45">
      <c r="A8450" s="142" t="s">
        <v>13041</v>
      </c>
      <c r="B8450" s="142" t="s">
        <v>14441</v>
      </c>
      <c r="C8450" s="142" t="s">
        <v>15847</v>
      </c>
      <c r="D8450" s="142" t="s">
        <v>15848</v>
      </c>
      <c r="E8450" s="142" t="s">
        <v>15849</v>
      </c>
      <c r="F8450" s="142" t="s">
        <v>180</v>
      </c>
      <c r="G8450" s="142" t="s">
        <v>5109</v>
      </c>
      <c r="H8450" s="142" t="s">
        <v>24300</v>
      </c>
      <c r="I8450" s="142">
        <v>70</v>
      </c>
      <c r="J8450" s="142">
        <v>0</v>
      </c>
      <c r="K8450" s="142">
        <v>0</v>
      </c>
      <c r="L8450" s="142">
        <v>0</v>
      </c>
      <c r="M8450" s="142">
        <v>70</v>
      </c>
    </row>
    <row r="8451" spans="1:13" x14ac:dyDescent="0.45">
      <c r="A8451" s="142" t="s">
        <v>13012</v>
      </c>
      <c r="B8451" s="142" t="s">
        <v>15337</v>
      </c>
      <c r="C8451" s="142" t="s">
        <v>15847</v>
      </c>
      <c r="D8451" s="142" t="s">
        <v>15848</v>
      </c>
      <c r="E8451" s="142" t="s">
        <v>15849</v>
      </c>
      <c r="F8451" s="142" t="s">
        <v>180</v>
      </c>
      <c r="G8451" s="142" t="s">
        <v>5109</v>
      </c>
      <c r="H8451" s="142" t="s">
        <v>24301</v>
      </c>
      <c r="I8451" s="142">
        <v>172</v>
      </c>
      <c r="J8451" s="142">
        <v>127</v>
      </c>
      <c r="K8451" s="142">
        <v>0</v>
      </c>
      <c r="L8451" s="142">
        <v>30</v>
      </c>
      <c r="M8451" s="142">
        <v>15</v>
      </c>
    </row>
    <row r="8452" spans="1:13" x14ac:dyDescent="0.45">
      <c r="A8452" s="142" t="s">
        <v>13060</v>
      </c>
      <c r="B8452" s="142" t="s">
        <v>14470</v>
      </c>
      <c r="C8452" s="142" t="s">
        <v>15847</v>
      </c>
      <c r="D8452" s="142" t="s">
        <v>15848</v>
      </c>
      <c r="E8452" s="142" t="s">
        <v>15849</v>
      </c>
      <c r="F8452" s="142" t="s">
        <v>180</v>
      </c>
      <c r="G8452" s="142" t="s">
        <v>5109</v>
      </c>
      <c r="H8452" s="142" t="s">
        <v>24302</v>
      </c>
      <c r="I8452" s="142">
        <v>214</v>
      </c>
      <c r="J8452" s="142">
        <v>119</v>
      </c>
      <c r="K8452" s="142">
        <v>0</v>
      </c>
      <c r="L8452" s="142">
        <v>78</v>
      </c>
      <c r="M8452" s="142">
        <v>17</v>
      </c>
    </row>
    <row r="8453" spans="1:13" x14ac:dyDescent="0.45">
      <c r="A8453" s="142" t="s">
        <v>13107</v>
      </c>
      <c r="B8453" s="142" t="s">
        <v>14522</v>
      </c>
      <c r="C8453" s="142" t="s">
        <v>15860</v>
      </c>
      <c r="D8453" s="142" t="s">
        <v>15861</v>
      </c>
      <c r="E8453" s="142" t="s">
        <v>15849</v>
      </c>
      <c r="F8453" s="142" t="s">
        <v>180</v>
      </c>
      <c r="G8453" s="142" t="s">
        <v>5109</v>
      </c>
      <c r="H8453" s="142" t="s">
        <v>24303</v>
      </c>
      <c r="I8453" s="142">
        <v>15</v>
      </c>
      <c r="J8453" s="142">
        <v>0</v>
      </c>
      <c r="K8453" s="142">
        <v>0</v>
      </c>
      <c r="L8453" s="142">
        <v>15</v>
      </c>
      <c r="M8453" s="142">
        <v>0</v>
      </c>
    </row>
    <row r="8454" spans="1:13" x14ac:dyDescent="0.45">
      <c r="A8454" s="142" t="s">
        <v>14285</v>
      </c>
      <c r="B8454" s="142" t="s">
        <v>14745</v>
      </c>
      <c r="C8454" s="142" t="s">
        <v>15860</v>
      </c>
      <c r="D8454" s="142" t="s">
        <v>15861</v>
      </c>
      <c r="E8454" s="142" t="s">
        <v>15849</v>
      </c>
      <c r="F8454" s="142" t="s">
        <v>180</v>
      </c>
      <c r="G8454" s="142" t="s">
        <v>5109</v>
      </c>
      <c r="H8454" s="142" t="s">
        <v>24304</v>
      </c>
      <c r="I8454" s="142">
        <v>18</v>
      </c>
      <c r="J8454" s="142">
        <v>18</v>
      </c>
      <c r="K8454" s="142">
        <v>0</v>
      </c>
      <c r="L8454" s="142">
        <v>0</v>
      </c>
      <c r="M8454" s="142">
        <v>0</v>
      </c>
    </row>
    <row r="8455" spans="1:13" x14ac:dyDescent="0.45">
      <c r="A8455" s="142" t="s">
        <v>13174</v>
      </c>
      <c r="B8455" s="142" t="s">
        <v>15280</v>
      </c>
      <c r="C8455" s="142" t="s">
        <v>15847</v>
      </c>
      <c r="D8455" s="142" t="s">
        <v>15848</v>
      </c>
      <c r="E8455" s="142" t="s">
        <v>15849</v>
      </c>
      <c r="F8455" s="142" t="s">
        <v>180</v>
      </c>
      <c r="G8455" s="142" t="s">
        <v>5109</v>
      </c>
      <c r="H8455" s="142" t="s">
        <v>24305</v>
      </c>
      <c r="I8455" s="142">
        <v>269</v>
      </c>
      <c r="J8455" s="142">
        <v>150</v>
      </c>
      <c r="K8455" s="142">
        <v>0</v>
      </c>
      <c r="L8455" s="142">
        <v>0</v>
      </c>
      <c r="M8455" s="142">
        <v>119</v>
      </c>
    </row>
    <row r="8456" spans="1:13" x14ac:dyDescent="0.45">
      <c r="A8456" s="142" t="s">
        <v>13175</v>
      </c>
      <c r="B8456" s="142" t="s">
        <v>15561</v>
      </c>
      <c r="C8456" s="142" t="s">
        <v>15860</v>
      </c>
      <c r="D8456" s="142" t="s">
        <v>15861</v>
      </c>
      <c r="E8456" s="142" t="s">
        <v>15849</v>
      </c>
      <c r="F8456" s="142" t="s">
        <v>180</v>
      </c>
      <c r="G8456" s="142" t="s">
        <v>5109</v>
      </c>
      <c r="H8456" s="142" t="s">
        <v>24306</v>
      </c>
      <c r="I8456" s="142">
        <v>25</v>
      </c>
      <c r="J8456" s="142">
        <v>0</v>
      </c>
      <c r="K8456" s="142">
        <v>0</v>
      </c>
      <c r="L8456" s="142">
        <v>25</v>
      </c>
      <c r="M8456" s="142">
        <v>0</v>
      </c>
    </row>
    <row r="8457" spans="1:13" x14ac:dyDescent="0.45">
      <c r="A8457" s="142" t="s">
        <v>13015</v>
      </c>
      <c r="B8457" s="142" t="s">
        <v>14596</v>
      </c>
      <c r="C8457" s="142" t="s">
        <v>15847</v>
      </c>
      <c r="D8457" s="142" t="s">
        <v>15848</v>
      </c>
      <c r="E8457" s="142" t="s">
        <v>15849</v>
      </c>
      <c r="F8457" s="142" t="s">
        <v>180</v>
      </c>
      <c r="G8457" s="142" t="s">
        <v>5109</v>
      </c>
      <c r="H8457" s="142" t="s">
        <v>24307</v>
      </c>
      <c r="I8457" s="142">
        <v>1112</v>
      </c>
      <c r="J8457" s="142">
        <v>737</v>
      </c>
      <c r="K8457" s="142">
        <v>0</v>
      </c>
      <c r="L8457" s="142">
        <v>12</v>
      </c>
      <c r="M8457" s="142">
        <v>363</v>
      </c>
    </row>
    <row r="8458" spans="1:13" x14ac:dyDescent="0.45">
      <c r="A8458" s="142" t="s">
        <v>13016</v>
      </c>
      <c r="B8458" s="142" t="s">
        <v>14535</v>
      </c>
      <c r="C8458" s="142" t="s">
        <v>15860</v>
      </c>
      <c r="D8458" s="142" t="s">
        <v>15861</v>
      </c>
      <c r="E8458" s="142" t="s">
        <v>15849</v>
      </c>
      <c r="F8458" s="142" t="s">
        <v>180</v>
      </c>
      <c r="G8458" s="142" t="s">
        <v>5109</v>
      </c>
      <c r="H8458" s="142" t="s">
        <v>24308</v>
      </c>
      <c r="I8458" s="142">
        <v>4</v>
      </c>
      <c r="J8458" s="142">
        <v>0</v>
      </c>
      <c r="K8458" s="142">
        <v>0</v>
      </c>
      <c r="L8458" s="142">
        <v>4</v>
      </c>
      <c r="M8458" s="142">
        <v>0</v>
      </c>
    </row>
    <row r="8459" spans="1:13" x14ac:dyDescent="0.45">
      <c r="A8459" s="142" t="s">
        <v>13021</v>
      </c>
      <c r="B8459" s="142" t="s">
        <v>15501</v>
      </c>
      <c r="C8459" s="142" t="s">
        <v>15847</v>
      </c>
      <c r="D8459" s="142" t="s">
        <v>15848</v>
      </c>
      <c r="E8459" s="142" t="s">
        <v>15849</v>
      </c>
      <c r="F8459" s="142" t="s">
        <v>181</v>
      </c>
      <c r="G8459" s="142" t="s">
        <v>4698</v>
      </c>
      <c r="H8459" s="142" t="s">
        <v>24309</v>
      </c>
      <c r="I8459" s="142">
        <v>41</v>
      </c>
      <c r="J8459" s="142">
        <v>0</v>
      </c>
      <c r="K8459" s="142">
        <v>0</v>
      </c>
      <c r="L8459" s="142">
        <v>41</v>
      </c>
      <c r="M8459" s="142">
        <v>0</v>
      </c>
    </row>
    <row r="8460" spans="1:13" x14ac:dyDescent="0.45">
      <c r="A8460" s="142" t="s">
        <v>13023</v>
      </c>
      <c r="B8460" s="142" t="s">
        <v>15571</v>
      </c>
      <c r="C8460" s="142" t="s">
        <v>15847</v>
      </c>
      <c r="D8460" s="142" t="s">
        <v>15848</v>
      </c>
      <c r="E8460" s="142" t="s">
        <v>15849</v>
      </c>
      <c r="F8460" s="142" t="s">
        <v>181</v>
      </c>
      <c r="G8460" s="142" t="s">
        <v>4698</v>
      </c>
      <c r="H8460" s="142" t="s">
        <v>24310</v>
      </c>
      <c r="I8460" s="142">
        <v>104</v>
      </c>
      <c r="J8460" s="142">
        <v>0</v>
      </c>
      <c r="K8460" s="142">
        <v>0</v>
      </c>
      <c r="L8460" s="142">
        <v>85</v>
      </c>
      <c r="M8460" s="142">
        <v>19</v>
      </c>
    </row>
    <row r="8461" spans="1:13" x14ac:dyDescent="0.45">
      <c r="A8461" s="142" t="s">
        <v>13048</v>
      </c>
      <c r="B8461" s="142" t="s">
        <v>14479</v>
      </c>
      <c r="C8461" s="142" t="s">
        <v>15847</v>
      </c>
      <c r="D8461" s="142" t="s">
        <v>15848</v>
      </c>
      <c r="E8461" s="142" t="s">
        <v>15849</v>
      </c>
      <c r="F8461" s="142" t="s">
        <v>181</v>
      </c>
      <c r="G8461" s="142" t="s">
        <v>4698</v>
      </c>
      <c r="H8461" s="142" t="s">
        <v>24311</v>
      </c>
      <c r="I8461" s="142">
        <v>66</v>
      </c>
      <c r="J8461" s="142">
        <v>27</v>
      </c>
      <c r="K8461" s="142">
        <v>0</v>
      </c>
      <c r="L8461" s="142">
        <v>0</v>
      </c>
      <c r="M8461" s="142">
        <v>39</v>
      </c>
    </row>
    <row r="8462" spans="1:13" x14ac:dyDescent="0.45">
      <c r="A8462" s="142" t="s">
        <v>13235</v>
      </c>
      <c r="B8462" s="142" t="s">
        <v>14573</v>
      </c>
      <c r="C8462" s="142" t="s">
        <v>15847</v>
      </c>
      <c r="D8462" s="142" t="s">
        <v>15848</v>
      </c>
      <c r="E8462" s="142" t="s">
        <v>15849</v>
      </c>
      <c r="F8462" s="142" t="s">
        <v>181</v>
      </c>
      <c r="G8462" s="142" t="s">
        <v>4698</v>
      </c>
      <c r="H8462" s="142" t="s">
        <v>24312</v>
      </c>
      <c r="I8462" s="142">
        <v>1542</v>
      </c>
      <c r="J8462" s="142">
        <v>1020</v>
      </c>
      <c r="K8462" s="142">
        <v>0</v>
      </c>
      <c r="L8462" s="142">
        <v>3</v>
      </c>
      <c r="M8462" s="142">
        <v>519</v>
      </c>
    </row>
    <row r="8463" spans="1:13" x14ac:dyDescent="0.45">
      <c r="A8463" s="142" t="s">
        <v>13237</v>
      </c>
      <c r="B8463" s="142" t="s">
        <v>14643</v>
      </c>
      <c r="C8463" s="142" t="s">
        <v>15847</v>
      </c>
      <c r="D8463" s="142" t="s">
        <v>15848</v>
      </c>
      <c r="E8463" s="142" t="s">
        <v>15849</v>
      </c>
      <c r="F8463" s="142" t="s">
        <v>181</v>
      </c>
      <c r="G8463" s="142" t="s">
        <v>4698</v>
      </c>
      <c r="H8463" s="142" t="s">
        <v>24313</v>
      </c>
      <c r="I8463" s="142">
        <v>25</v>
      </c>
      <c r="J8463" s="142">
        <v>25</v>
      </c>
      <c r="K8463" s="142">
        <v>0</v>
      </c>
      <c r="L8463" s="142">
        <v>0</v>
      </c>
      <c r="M8463" s="142">
        <v>0</v>
      </c>
    </row>
    <row r="8464" spans="1:13" x14ac:dyDescent="0.45">
      <c r="A8464" s="142" t="s">
        <v>13474</v>
      </c>
      <c r="B8464" s="142" t="s">
        <v>15438</v>
      </c>
      <c r="C8464" s="142" t="s">
        <v>15847</v>
      </c>
      <c r="D8464" s="142" t="s">
        <v>15848</v>
      </c>
      <c r="E8464" s="142" t="s">
        <v>15849</v>
      </c>
      <c r="F8464" s="142" t="s">
        <v>181</v>
      </c>
      <c r="G8464" s="142" t="s">
        <v>4698</v>
      </c>
      <c r="H8464" s="142" t="s">
        <v>24314</v>
      </c>
      <c r="I8464" s="142">
        <v>178</v>
      </c>
      <c r="J8464" s="142">
        <v>142</v>
      </c>
      <c r="K8464" s="142">
        <v>0</v>
      </c>
      <c r="L8464" s="142">
        <v>0</v>
      </c>
      <c r="M8464" s="142">
        <v>36</v>
      </c>
    </row>
    <row r="8465" spans="1:13" x14ac:dyDescent="0.45">
      <c r="A8465" s="142" t="s">
        <v>13187</v>
      </c>
      <c r="B8465" s="142" t="s">
        <v>15518</v>
      </c>
      <c r="C8465" s="142" t="s">
        <v>15860</v>
      </c>
      <c r="D8465" s="142" t="s">
        <v>15861</v>
      </c>
      <c r="E8465" s="142" t="s">
        <v>15849</v>
      </c>
      <c r="F8465" s="142" t="s">
        <v>181</v>
      </c>
      <c r="G8465" s="142" t="s">
        <v>4698</v>
      </c>
      <c r="H8465" s="142" t="s">
        <v>24315</v>
      </c>
      <c r="I8465" s="142">
        <v>2</v>
      </c>
      <c r="J8465" s="142">
        <v>0</v>
      </c>
      <c r="K8465" s="142">
        <v>0</v>
      </c>
      <c r="L8465" s="142">
        <v>2</v>
      </c>
      <c r="M8465" s="142">
        <v>0</v>
      </c>
    </row>
    <row r="8466" spans="1:13" x14ac:dyDescent="0.45">
      <c r="A8466" s="142" t="s">
        <v>13074</v>
      </c>
      <c r="B8466" s="142" t="s">
        <v>15405</v>
      </c>
      <c r="C8466" s="142" t="s">
        <v>15847</v>
      </c>
      <c r="D8466" s="142" t="s">
        <v>15848</v>
      </c>
      <c r="E8466" s="142" t="s">
        <v>15849</v>
      </c>
      <c r="F8466" s="142" t="s">
        <v>181</v>
      </c>
      <c r="G8466" s="142" t="s">
        <v>4698</v>
      </c>
      <c r="H8466" s="142" t="s">
        <v>24316</v>
      </c>
      <c r="I8466" s="142">
        <v>10</v>
      </c>
      <c r="J8466" s="142">
        <v>6</v>
      </c>
      <c r="K8466" s="142">
        <v>0</v>
      </c>
      <c r="L8466" s="142">
        <v>0</v>
      </c>
      <c r="M8466" s="142">
        <v>4</v>
      </c>
    </row>
    <row r="8467" spans="1:13" x14ac:dyDescent="0.45">
      <c r="A8467" s="142" t="s">
        <v>13475</v>
      </c>
      <c r="B8467" s="142" t="s">
        <v>14430</v>
      </c>
      <c r="C8467" s="142" t="s">
        <v>15847</v>
      </c>
      <c r="D8467" s="142" t="s">
        <v>15848</v>
      </c>
      <c r="E8467" s="142" t="s">
        <v>15849</v>
      </c>
      <c r="F8467" s="142" t="s">
        <v>181</v>
      </c>
      <c r="G8467" s="142" t="s">
        <v>4698</v>
      </c>
      <c r="H8467" s="142" t="s">
        <v>24317</v>
      </c>
      <c r="I8467" s="142">
        <v>164</v>
      </c>
      <c r="J8467" s="142">
        <v>108</v>
      </c>
      <c r="K8467" s="142">
        <v>0</v>
      </c>
      <c r="L8467" s="142">
        <v>0</v>
      </c>
      <c r="M8467" s="142">
        <v>56</v>
      </c>
    </row>
    <row r="8468" spans="1:13" x14ac:dyDescent="0.45">
      <c r="A8468" s="142" t="s">
        <v>13027</v>
      </c>
      <c r="B8468" s="142" t="s">
        <v>14562</v>
      </c>
      <c r="C8468" s="142" t="s">
        <v>15847</v>
      </c>
      <c r="D8468" s="142" t="s">
        <v>15848</v>
      </c>
      <c r="E8468" s="142" t="s">
        <v>15849</v>
      </c>
      <c r="F8468" s="142" t="s">
        <v>181</v>
      </c>
      <c r="G8468" s="142" t="s">
        <v>4698</v>
      </c>
      <c r="H8468" s="142" t="s">
        <v>24318</v>
      </c>
      <c r="I8468" s="142">
        <v>8</v>
      </c>
      <c r="J8468" s="142">
        <v>0</v>
      </c>
      <c r="K8468" s="142">
        <v>0</v>
      </c>
      <c r="L8468" s="142">
        <v>8</v>
      </c>
      <c r="M8468" s="142">
        <v>0</v>
      </c>
    </row>
    <row r="8469" spans="1:13" x14ac:dyDescent="0.45">
      <c r="A8469" s="142" t="s">
        <v>13243</v>
      </c>
      <c r="B8469" s="142" t="s">
        <v>15560</v>
      </c>
      <c r="C8469" s="142" t="s">
        <v>15847</v>
      </c>
      <c r="D8469" s="142" t="s">
        <v>15848</v>
      </c>
      <c r="E8469" s="142" t="s">
        <v>15849</v>
      </c>
      <c r="F8469" s="142" t="s">
        <v>181</v>
      </c>
      <c r="G8469" s="142" t="s">
        <v>4698</v>
      </c>
      <c r="H8469" s="142" t="s">
        <v>24319</v>
      </c>
      <c r="I8469" s="142">
        <v>16</v>
      </c>
      <c r="J8469" s="142">
        <v>12</v>
      </c>
      <c r="K8469" s="142">
        <v>0</v>
      </c>
      <c r="L8469" s="142">
        <v>1</v>
      </c>
      <c r="M8469" s="142">
        <v>3</v>
      </c>
    </row>
    <row r="8470" spans="1:13" x14ac:dyDescent="0.45">
      <c r="A8470" s="142" t="s">
        <v>13028</v>
      </c>
      <c r="B8470" s="142" t="s">
        <v>14462</v>
      </c>
      <c r="C8470" s="142" t="s">
        <v>15847</v>
      </c>
      <c r="D8470" s="142" t="s">
        <v>15848</v>
      </c>
      <c r="E8470" s="142" t="s">
        <v>15849</v>
      </c>
      <c r="F8470" s="142" t="s">
        <v>181</v>
      </c>
      <c r="G8470" s="142" t="s">
        <v>4698</v>
      </c>
      <c r="H8470" s="142" t="s">
        <v>24320</v>
      </c>
      <c r="I8470" s="142">
        <v>103</v>
      </c>
      <c r="J8470" s="142">
        <v>0</v>
      </c>
      <c r="K8470" s="142">
        <v>0</v>
      </c>
      <c r="L8470" s="142">
        <v>0</v>
      </c>
      <c r="M8470" s="142">
        <v>103</v>
      </c>
    </row>
    <row r="8471" spans="1:13" x14ac:dyDescent="0.45">
      <c r="A8471" s="142" t="s">
        <v>13003</v>
      </c>
      <c r="B8471" s="142" t="s">
        <v>15245</v>
      </c>
      <c r="C8471" s="142" t="s">
        <v>15847</v>
      </c>
      <c r="D8471" s="142" t="s">
        <v>15848</v>
      </c>
      <c r="E8471" s="142" t="s">
        <v>15849</v>
      </c>
      <c r="F8471" s="142" t="s">
        <v>181</v>
      </c>
      <c r="G8471" s="142" t="s">
        <v>4698</v>
      </c>
      <c r="H8471" s="142" t="s">
        <v>24321</v>
      </c>
      <c r="I8471" s="142">
        <v>30</v>
      </c>
      <c r="J8471" s="142">
        <v>0</v>
      </c>
      <c r="K8471" s="142">
        <v>0</v>
      </c>
      <c r="L8471" s="142">
        <v>30</v>
      </c>
      <c r="M8471" s="142">
        <v>0</v>
      </c>
    </row>
    <row r="8472" spans="1:13" x14ac:dyDescent="0.45">
      <c r="A8472" s="142" t="s">
        <v>13201</v>
      </c>
      <c r="B8472" s="142" t="s">
        <v>14481</v>
      </c>
      <c r="C8472" s="142" t="s">
        <v>15860</v>
      </c>
      <c r="D8472" s="142" t="s">
        <v>15861</v>
      </c>
      <c r="E8472" s="142" t="s">
        <v>15849</v>
      </c>
      <c r="F8472" s="142" t="s">
        <v>181</v>
      </c>
      <c r="G8472" s="142" t="s">
        <v>4698</v>
      </c>
      <c r="H8472" s="142" t="s">
        <v>24322</v>
      </c>
      <c r="I8472" s="142">
        <v>5</v>
      </c>
      <c r="J8472" s="142">
        <v>0</v>
      </c>
      <c r="K8472" s="142">
        <v>0</v>
      </c>
      <c r="L8472" s="142">
        <v>5</v>
      </c>
      <c r="M8472" s="142">
        <v>0</v>
      </c>
    </row>
    <row r="8473" spans="1:13" x14ac:dyDescent="0.45">
      <c r="A8473" s="142" t="s">
        <v>13190</v>
      </c>
      <c r="B8473" s="142" t="s">
        <v>14617</v>
      </c>
      <c r="C8473" s="142" t="s">
        <v>15847</v>
      </c>
      <c r="D8473" s="142" t="s">
        <v>15848</v>
      </c>
      <c r="E8473" s="142" t="s">
        <v>15849</v>
      </c>
      <c r="F8473" s="142" t="s">
        <v>181</v>
      </c>
      <c r="G8473" s="142" t="s">
        <v>4698</v>
      </c>
      <c r="H8473" s="142" t="s">
        <v>24323</v>
      </c>
      <c r="I8473" s="142">
        <v>61</v>
      </c>
      <c r="J8473" s="142">
        <v>61</v>
      </c>
      <c r="K8473" s="142">
        <v>0</v>
      </c>
      <c r="L8473" s="142">
        <v>0</v>
      </c>
      <c r="M8473" s="142">
        <v>0</v>
      </c>
    </row>
    <row r="8474" spans="1:13" x14ac:dyDescent="0.45">
      <c r="A8474" s="142" t="s">
        <v>13029</v>
      </c>
      <c r="B8474" s="142" t="s">
        <v>14665</v>
      </c>
      <c r="C8474" s="142" t="s">
        <v>15847</v>
      </c>
      <c r="D8474" s="142" t="s">
        <v>15848</v>
      </c>
      <c r="E8474" s="142" t="s">
        <v>15849</v>
      </c>
      <c r="F8474" s="142" t="s">
        <v>181</v>
      </c>
      <c r="G8474" s="142" t="s">
        <v>4698</v>
      </c>
      <c r="H8474" s="142" t="s">
        <v>24324</v>
      </c>
      <c r="I8474" s="142">
        <v>2</v>
      </c>
      <c r="J8474" s="142">
        <v>0</v>
      </c>
      <c r="K8474" s="142">
        <v>0</v>
      </c>
      <c r="L8474" s="142">
        <v>0</v>
      </c>
      <c r="M8474" s="142">
        <v>2</v>
      </c>
    </row>
    <row r="8475" spans="1:13" x14ac:dyDescent="0.45">
      <c r="A8475" s="142" t="s">
        <v>13191</v>
      </c>
      <c r="B8475" s="142" t="s">
        <v>15467</v>
      </c>
      <c r="C8475" s="142" t="s">
        <v>15847</v>
      </c>
      <c r="D8475" s="142" t="s">
        <v>15848</v>
      </c>
      <c r="E8475" s="142" t="s">
        <v>15849</v>
      </c>
      <c r="F8475" s="142" t="s">
        <v>181</v>
      </c>
      <c r="G8475" s="142" t="s">
        <v>4698</v>
      </c>
      <c r="H8475" s="142" t="s">
        <v>24325</v>
      </c>
      <c r="I8475" s="142">
        <v>3064</v>
      </c>
      <c r="J8475" s="142">
        <v>2563</v>
      </c>
      <c r="K8475" s="142">
        <v>0</v>
      </c>
      <c r="L8475" s="142">
        <v>422</v>
      </c>
      <c r="M8475" s="142">
        <v>79</v>
      </c>
    </row>
    <row r="8476" spans="1:13" x14ac:dyDescent="0.45">
      <c r="A8476" s="142" t="s">
        <v>13007</v>
      </c>
      <c r="B8476" s="142" t="s">
        <v>15262</v>
      </c>
      <c r="C8476" s="142" t="s">
        <v>15847</v>
      </c>
      <c r="D8476" s="142" t="s">
        <v>15848</v>
      </c>
      <c r="E8476" s="142" t="s">
        <v>15849</v>
      </c>
      <c r="F8476" s="142" t="s">
        <v>181</v>
      </c>
      <c r="G8476" s="142" t="s">
        <v>4698</v>
      </c>
      <c r="H8476" s="142" t="s">
        <v>24326</v>
      </c>
      <c r="I8476" s="142">
        <v>2</v>
      </c>
      <c r="J8476" s="142">
        <v>0</v>
      </c>
      <c r="K8476" s="142">
        <v>0</v>
      </c>
      <c r="L8476" s="142">
        <v>0</v>
      </c>
      <c r="M8476" s="142">
        <v>2</v>
      </c>
    </row>
    <row r="8477" spans="1:13" x14ac:dyDescent="0.45">
      <c r="A8477" s="142" t="s">
        <v>13035</v>
      </c>
      <c r="B8477" s="142" t="s">
        <v>14648</v>
      </c>
      <c r="C8477" s="142" t="s">
        <v>15847</v>
      </c>
      <c r="D8477" s="142" t="s">
        <v>15848</v>
      </c>
      <c r="E8477" s="142" t="s">
        <v>15849</v>
      </c>
      <c r="F8477" s="142" t="s">
        <v>181</v>
      </c>
      <c r="G8477" s="142" t="s">
        <v>4698</v>
      </c>
      <c r="H8477" s="142" t="s">
        <v>24327</v>
      </c>
      <c r="I8477" s="142">
        <v>103</v>
      </c>
      <c r="J8477" s="142">
        <v>56</v>
      </c>
      <c r="K8477" s="142">
        <v>0</v>
      </c>
      <c r="L8477" s="142">
        <v>0</v>
      </c>
      <c r="M8477" s="142">
        <v>47</v>
      </c>
    </row>
    <row r="8478" spans="1:13" x14ac:dyDescent="0.45">
      <c r="A8478" s="142" t="s">
        <v>13105</v>
      </c>
      <c r="B8478" s="142" t="s">
        <v>14654</v>
      </c>
      <c r="C8478" s="142" t="s">
        <v>15847</v>
      </c>
      <c r="D8478" s="142" t="s">
        <v>15848</v>
      </c>
      <c r="E8478" s="142" t="s">
        <v>15849</v>
      </c>
      <c r="F8478" s="142" t="s">
        <v>181</v>
      </c>
      <c r="G8478" s="142" t="s">
        <v>4698</v>
      </c>
      <c r="H8478" s="142" t="s">
        <v>24328</v>
      </c>
      <c r="I8478" s="142">
        <v>13</v>
      </c>
      <c r="J8478" s="142">
        <v>0</v>
      </c>
      <c r="K8478" s="142">
        <v>0</v>
      </c>
      <c r="L8478" s="142">
        <v>0</v>
      </c>
      <c r="M8478" s="142">
        <v>13</v>
      </c>
    </row>
    <row r="8479" spans="1:13" x14ac:dyDescent="0.45">
      <c r="A8479" s="142" t="s">
        <v>13394</v>
      </c>
      <c r="B8479" s="142" t="s">
        <v>15569</v>
      </c>
      <c r="C8479" s="142" t="s">
        <v>15847</v>
      </c>
      <c r="D8479" s="142" t="s">
        <v>15848</v>
      </c>
      <c r="E8479" s="142" t="s">
        <v>15849</v>
      </c>
      <c r="F8479" s="142" t="s">
        <v>181</v>
      </c>
      <c r="G8479" s="142" t="s">
        <v>4698</v>
      </c>
      <c r="H8479" s="142" t="s">
        <v>24329</v>
      </c>
      <c r="I8479" s="142">
        <v>455</v>
      </c>
      <c r="J8479" s="142">
        <v>378</v>
      </c>
      <c r="K8479" s="142">
        <v>0</v>
      </c>
      <c r="L8479" s="142">
        <v>15</v>
      </c>
      <c r="M8479" s="142">
        <v>62</v>
      </c>
    </row>
    <row r="8480" spans="1:13" x14ac:dyDescent="0.45">
      <c r="A8480" s="142" t="s">
        <v>13009</v>
      </c>
      <c r="B8480" s="142" t="s">
        <v>15256</v>
      </c>
      <c r="C8480" s="142" t="s">
        <v>15847</v>
      </c>
      <c r="D8480" s="142" t="s">
        <v>15848</v>
      </c>
      <c r="E8480" s="142" t="s">
        <v>15849</v>
      </c>
      <c r="F8480" s="142" t="s">
        <v>181</v>
      </c>
      <c r="G8480" s="142" t="s">
        <v>4698</v>
      </c>
      <c r="H8480" s="142" t="s">
        <v>24330</v>
      </c>
      <c r="I8480" s="142">
        <v>19</v>
      </c>
      <c r="J8480" s="142">
        <v>19</v>
      </c>
      <c r="K8480" s="142">
        <v>0</v>
      </c>
      <c r="L8480" s="142">
        <v>0</v>
      </c>
      <c r="M8480" s="142">
        <v>0</v>
      </c>
    </row>
    <row r="8481" spans="1:13" x14ac:dyDescent="0.45">
      <c r="A8481" s="142" t="s">
        <v>13058</v>
      </c>
      <c r="B8481" s="142" t="s">
        <v>14584</v>
      </c>
      <c r="C8481" s="142" t="s">
        <v>15847</v>
      </c>
      <c r="D8481" s="142" t="s">
        <v>15848</v>
      </c>
      <c r="E8481" s="142" t="s">
        <v>15849</v>
      </c>
      <c r="F8481" s="142" t="s">
        <v>181</v>
      </c>
      <c r="G8481" s="142" t="s">
        <v>4698</v>
      </c>
      <c r="H8481" s="142" t="s">
        <v>24331</v>
      </c>
      <c r="I8481" s="142">
        <v>602</v>
      </c>
      <c r="J8481" s="142">
        <v>362</v>
      </c>
      <c r="K8481" s="142">
        <v>0</v>
      </c>
      <c r="L8481" s="142">
        <v>0</v>
      </c>
      <c r="M8481" s="142">
        <v>240</v>
      </c>
    </row>
    <row r="8482" spans="1:13" x14ac:dyDescent="0.45">
      <c r="A8482" s="142" t="s">
        <v>13012</v>
      </c>
      <c r="B8482" s="142" t="s">
        <v>15337</v>
      </c>
      <c r="C8482" s="142" t="s">
        <v>15847</v>
      </c>
      <c r="D8482" s="142" t="s">
        <v>15848</v>
      </c>
      <c r="E8482" s="142" t="s">
        <v>15849</v>
      </c>
      <c r="F8482" s="142" t="s">
        <v>181</v>
      </c>
      <c r="G8482" s="142" t="s">
        <v>4698</v>
      </c>
      <c r="H8482" s="142" t="s">
        <v>24332</v>
      </c>
      <c r="I8482" s="142">
        <v>181</v>
      </c>
      <c r="J8482" s="142">
        <v>120</v>
      </c>
      <c r="K8482" s="142">
        <v>0</v>
      </c>
      <c r="L8482" s="142">
        <v>34</v>
      </c>
      <c r="M8482" s="142">
        <v>27</v>
      </c>
    </row>
    <row r="8483" spans="1:13" x14ac:dyDescent="0.45">
      <c r="A8483" s="142" t="s">
        <v>14286</v>
      </c>
      <c r="B8483" s="142" t="s">
        <v>14876</v>
      </c>
      <c r="C8483" s="142" t="s">
        <v>15860</v>
      </c>
      <c r="D8483" s="142" t="s">
        <v>15861</v>
      </c>
      <c r="E8483" s="142" t="s">
        <v>15849</v>
      </c>
      <c r="F8483" s="142" t="s">
        <v>181</v>
      </c>
      <c r="G8483" s="142" t="s">
        <v>4698</v>
      </c>
      <c r="H8483" s="142" t="s">
        <v>24333</v>
      </c>
      <c r="I8483" s="142">
        <v>9</v>
      </c>
      <c r="J8483" s="142">
        <v>0</v>
      </c>
      <c r="K8483" s="142">
        <v>0</v>
      </c>
      <c r="L8483" s="142">
        <v>9</v>
      </c>
      <c r="M8483" s="142">
        <v>0</v>
      </c>
    </row>
    <row r="8484" spans="1:13" x14ac:dyDescent="0.45">
      <c r="A8484" s="142" t="s">
        <v>13014</v>
      </c>
      <c r="B8484" s="142" t="s">
        <v>14505</v>
      </c>
      <c r="C8484" s="142" t="s">
        <v>15847</v>
      </c>
      <c r="D8484" s="142" t="s">
        <v>15848</v>
      </c>
      <c r="E8484" s="142" t="s">
        <v>15849</v>
      </c>
      <c r="F8484" s="142" t="s">
        <v>181</v>
      </c>
      <c r="G8484" s="142" t="s">
        <v>4698</v>
      </c>
      <c r="H8484" s="142" t="s">
        <v>24334</v>
      </c>
      <c r="I8484" s="142">
        <v>489</v>
      </c>
      <c r="J8484" s="142">
        <v>429</v>
      </c>
      <c r="K8484" s="142">
        <v>0</v>
      </c>
      <c r="L8484" s="142">
        <v>0</v>
      </c>
      <c r="M8484" s="142">
        <v>60</v>
      </c>
    </row>
    <row r="8485" spans="1:13" x14ac:dyDescent="0.45">
      <c r="A8485" s="142" t="s">
        <v>13222</v>
      </c>
      <c r="B8485" s="142" t="s">
        <v>14449</v>
      </c>
      <c r="C8485" s="142" t="s">
        <v>15860</v>
      </c>
      <c r="D8485" s="142" t="s">
        <v>15861</v>
      </c>
      <c r="E8485" s="142" t="s">
        <v>15849</v>
      </c>
      <c r="F8485" s="142" t="s">
        <v>181</v>
      </c>
      <c r="G8485" s="142" t="s">
        <v>4698</v>
      </c>
      <c r="H8485" s="142" t="s">
        <v>24335</v>
      </c>
      <c r="I8485" s="142">
        <v>7</v>
      </c>
      <c r="J8485" s="142">
        <v>0</v>
      </c>
      <c r="K8485" s="142">
        <v>0</v>
      </c>
      <c r="L8485" s="142">
        <v>7</v>
      </c>
      <c r="M8485" s="142">
        <v>0</v>
      </c>
    </row>
    <row r="8486" spans="1:13" x14ac:dyDescent="0.45">
      <c r="A8486" s="142" t="s">
        <v>13544</v>
      </c>
      <c r="B8486" s="142" t="s">
        <v>15450</v>
      </c>
      <c r="C8486" s="142" t="s">
        <v>15847</v>
      </c>
      <c r="D8486" s="142" t="s">
        <v>15848</v>
      </c>
      <c r="E8486" s="142" t="s">
        <v>15849</v>
      </c>
      <c r="F8486" s="142" t="s">
        <v>181</v>
      </c>
      <c r="G8486" s="142" t="s">
        <v>4698</v>
      </c>
      <c r="H8486" s="142" t="s">
        <v>24336</v>
      </c>
      <c r="I8486" s="142">
        <v>289</v>
      </c>
      <c r="J8486" s="142">
        <v>178</v>
      </c>
      <c r="K8486" s="142">
        <v>0</v>
      </c>
      <c r="L8486" s="142">
        <v>0</v>
      </c>
      <c r="M8486" s="142">
        <v>111</v>
      </c>
    </row>
    <row r="8487" spans="1:13" x14ac:dyDescent="0.45">
      <c r="A8487" s="142" t="s">
        <v>13016</v>
      </c>
      <c r="B8487" s="142" t="s">
        <v>14535</v>
      </c>
      <c r="C8487" s="142" t="s">
        <v>15860</v>
      </c>
      <c r="D8487" s="142" t="s">
        <v>15861</v>
      </c>
      <c r="E8487" s="142" t="s">
        <v>15849</v>
      </c>
      <c r="F8487" s="142" t="s">
        <v>181</v>
      </c>
      <c r="G8487" s="142" t="s">
        <v>4698</v>
      </c>
      <c r="H8487" s="142" t="s">
        <v>24337</v>
      </c>
      <c r="I8487" s="142">
        <v>3</v>
      </c>
      <c r="J8487" s="142">
        <v>0</v>
      </c>
      <c r="K8487" s="142">
        <v>0</v>
      </c>
      <c r="L8487" s="142">
        <v>3</v>
      </c>
      <c r="M8487" s="142">
        <v>0</v>
      </c>
    </row>
    <row r="8488" spans="1:13" x14ac:dyDescent="0.45">
      <c r="A8488" s="142" t="s">
        <v>13021</v>
      </c>
      <c r="B8488" s="142" t="s">
        <v>15501</v>
      </c>
      <c r="C8488" s="142" t="s">
        <v>15847</v>
      </c>
      <c r="D8488" s="142" t="s">
        <v>15848</v>
      </c>
      <c r="E8488" s="142" t="s">
        <v>15849</v>
      </c>
      <c r="F8488" s="142" t="s">
        <v>182</v>
      </c>
      <c r="G8488" s="142" t="s">
        <v>5794</v>
      </c>
      <c r="H8488" s="142" t="s">
        <v>24338</v>
      </c>
      <c r="I8488" s="142">
        <v>3</v>
      </c>
      <c r="J8488" s="142">
        <v>0</v>
      </c>
      <c r="K8488" s="142">
        <v>0</v>
      </c>
      <c r="L8488" s="142">
        <v>0</v>
      </c>
      <c r="M8488" s="142">
        <v>3</v>
      </c>
    </row>
    <row r="8489" spans="1:13" x14ac:dyDescent="0.45">
      <c r="A8489" s="142" t="s">
        <v>13023</v>
      </c>
      <c r="B8489" s="142" t="s">
        <v>15571</v>
      </c>
      <c r="C8489" s="142" t="s">
        <v>15847</v>
      </c>
      <c r="D8489" s="142" t="s">
        <v>15848</v>
      </c>
      <c r="E8489" s="142" t="s">
        <v>15849</v>
      </c>
      <c r="F8489" s="142" t="s">
        <v>182</v>
      </c>
      <c r="G8489" s="142" t="s">
        <v>5794</v>
      </c>
      <c r="H8489" s="142" t="s">
        <v>24339</v>
      </c>
      <c r="I8489" s="142">
        <v>141</v>
      </c>
      <c r="J8489" s="142">
        <v>0</v>
      </c>
      <c r="K8489" s="142">
        <v>0</v>
      </c>
      <c r="L8489" s="142">
        <v>141</v>
      </c>
      <c r="M8489" s="142">
        <v>0</v>
      </c>
    </row>
    <row r="8490" spans="1:13" x14ac:dyDescent="0.45">
      <c r="A8490" s="142" t="s">
        <v>13065</v>
      </c>
      <c r="B8490" s="142" t="s">
        <v>14497</v>
      </c>
      <c r="C8490" s="142" t="s">
        <v>15847</v>
      </c>
      <c r="D8490" s="142" t="s">
        <v>15848</v>
      </c>
      <c r="E8490" s="142" t="s">
        <v>15849</v>
      </c>
      <c r="F8490" s="142" t="s">
        <v>182</v>
      </c>
      <c r="G8490" s="142" t="s">
        <v>5794</v>
      </c>
      <c r="H8490" s="142" t="s">
        <v>24340</v>
      </c>
      <c r="I8490" s="142">
        <v>6</v>
      </c>
      <c r="J8490" s="142">
        <v>0</v>
      </c>
      <c r="K8490" s="142">
        <v>0</v>
      </c>
      <c r="L8490" s="142">
        <v>6</v>
      </c>
      <c r="M8490" s="142">
        <v>0</v>
      </c>
    </row>
    <row r="8491" spans="1:13" x14ac:dyDescent="0.45">
      <c r="A8491" s="142" t="s">
        <v>13049</v>
      </c>
      <c r="B8491" s="142" t="s">
        <v>14534</v>
      </c>
      <c r="C8491" s="142" t="s">
        <v>15860</v>
      </c>
      <c r="D8491" s="142" t="s">
        <v>15861</v>
      </c>
      <c r="E8491" s="142" t="s">
        <v>15849</v>
      </c>
      <c r="F8491" s="142" t="s">
        <v>182</v>
      </c>
      <c r="G8491" s="142" t="s">
        <v>5794</v>
      </c>
      <c r="H8491" s="142" t="s">
        <v>24341</v>
      </c>
      <c r="I8491" s="142">
        <v>31</v>
      </c>
      <c r="J8491" s="142">
        <v>0</v>
      </c>
      <c r="K8491" s="142">
        <v>0</v>
      </c>
      <c r="L8491" s="142">
        <v>31</v>
      </c>
      <c r="M8491" s="142">
        <v>0</v>
      </c>
    </row>
    <row r="8492" spans="1:13" x14ac:dyDescent="0.45">
      <c r="A8492" s="142" t="s">
        <v>13027</v>
      </c>
      <c r="B8492" s="142" t="s">
        <v>14562</v>
      </c>
      <c r="C8492" s="142" t="s">
        <v>15847</v>
      </c>
      <c r="D8492" s="142" t="s">
        <v>15848</v>
      </c>
      <c r="E8492" s="142" t="s">
        <v>15849</v>
      </c>
      <c r="F8492" s="142" t="s">
        <v>182</v>
      </c>
      <c r="G8492" s="142" t="s">
        <v>5794</v>
      </c>
      <c r="H8492" s="142" t="s">
        <v>24342</v>
      </c>
      <c r="I8492" s="142">
        <v>1</v>
      </c>
      <c r="J8492" s="142">
        <v>0</v>
      </c>
      <c r="K8492" s="142">
        <v>0</v>
      </c>
      <c r="L8492" s="142">
        <v>1</v>
      </c>
      <c r="M8492" s="142">
        <v>0</v>
      </c>
    </row>
    <row r="8493" spans="1:13" x14ac:dyDescent="0.45">
      <c r="A8493" s="142" t="s">
        <v>13149</v>
      </c>
      <c r="B8493" s="142" t="s">
        <v>14458</v>
      </c>
      <c r="C8493" s="142" t="s">
        <v>15860</v>
      </c>
      <c r="D8493" s="142" t="s">
        <v>15861</v>
      </c>
      <c r="E8493" s="142" t="s">
        <v>15849</v>
      </c>
      <c r="F8493" s="142" t="s">
        <v>182</v>
      </c>
      <c r="G8493" s="142" t="s">
        <v>5794</v>
      </c>
      <c r="H8493" s="142" t="s">
        <v>24343</v>
      </c>
      <c r="I8493" s="142">
        <v>1</v>
      </c>
      <c r="J8493" s="142">
        <v>0</v>
      </c>
      <c r="K8493" s="142">
        <v>0</v>
      </c>
      <c r="L8493" s="142">
        <v>1</v>
      </c>
      <c r="M8493" s="142">
        <v>0</v>
      </c>
    </row>
    <row r="8494" spans="1:13" x14ac:dyDescent="0.45">
      <c r="A8494" s="142" t="s">
        <v>13028</v>
      </c>
      <c r="B8494" s="142" t="s">
        <v>14462</v>
      </c>
      <c r="C8494" s="142" t="s">
        <v>15847</v>
      </c>
      <c r="D8494" s="142" t="s">
        <v>15848</v>
      </c>
      <c r="E8494" s="142" t="s">
        <v>15849</v>
      </c>
      <c r="F8494" s="142" t="s">
        <v>182</v>
      </c>
      <c r="G8494" s="142" t="s">
        <v>5794</v>
      </c>
      <c r="H8494" s="142" t="s">
        <v>24344</v>
      </c>
      <c r="I8494" s="142">
        <v>21</v>
      </c>
      <c r="J8494" s="142">
        <v>0</v>
      </c>
      <c r="K8494" s="142">
        <v>0</v>
      </c>
      <c r="L8494" s="142">
        <v>0</v>
      </c>
      <c r="M8494" s="142">
        <v>21</v>
      </c>
    </row>
    <row r="8495" spans="1:13" x14ac:dyDescent="0.45">
      <c r="A8495" s="142" t="s">
        <v>13002</v>
      </c>
      <c r="B8495" s="142" t="s">
        <v>15376</v>
      </c>
      <c r="C8495" s="142" t="s">
        <v>15847</v>
      </c>
      <c r="D8495" s="142" t="s">
        <v>15848</v>
      </c>
      <c r="E8495" s="142" t="s">
        <v>15849</v>
      </c>
      <c r="F8495" s="142" t="s">
        <v>182</v>
      </c>
      <c r="G8495" s="142" t="s">
        <v>5794</v>
      </c>
      <c r="H8495" s="142" t="s">
        <v>24345</v>
      </c>
      <c r="I8495" s="142">
        <v>1</v>
      </c>
      <c r="J8495" s="142">
        <v>0</v>
      </c>
      <c r="K8495" s="142">
        <v>0</v>
      </c>
      <c r="L8495" s="142">
        <v>1</v>
      </c>
      <c r="M8495" s="142">
        <v>0</v>
      </c>
    </row>
    <row r="8496" spans="1:13" x14ac:dyDescent="0.45">
      <c r="A8496" s="142" t="s">
        <v>13003</v>
      </c>
      <c r="B8496" s="142" t="s">
        <v>15245</v>
      </c>
      <c r="C8496" s="142" t="s">
        <v>15847</v>
      </c>
      <c r="D8496" s="142" t="s">
        <v>15848</v>
      </c>
      <c r="E8496" s="142" t="s">
        <v>15849</v>
      </c>
      <c r="F8496" s="142" t="s">
        <v>182</v>
      </c>
      <c r="G8496" s="142" t="s">
        <v>5794</v>
      </c>
      <c r="H8496" s="142" t="s">
        <v>24346</v>
      </c>
      <c r="I8496" s="142">
        <v>71</v>
      </c>
      <c r="J8496" s="142">
        <v>0</v>
      </c>
      <c r="K8496" s="142">
        <v>0</v>
      </c>
      <c r="L8496" s="142">
        <v>71</v>
      </c>
      <c r="M8496" s="142">
        <v>0</v>
      </c>
    </row>
    <row r="8497" spans="1:13" x14ac:dyDescent="0.45">
      <c r="A8497" s="142" t="s">
        <v>13066</v>
      </c>
      <c r="B8497" s="142" t="s">
        <v>14459</v>
      </c>
      <c r="C8497" s="142" t="s">
        <v>15847</v>
      </c>
      <c r="D8497" s="142" t="s">
        <v>15848</v>
      </c>
      <c r="E8497" s="142" t="s">
        <v>15849</v>
      </c>
      <c r="F8497" s="142" t="s">
        <v>182</v>
      </c>
      <c r="G8497" s="142" t="s">
        <v>5794</v>
      </c>
      <c r="H8497" s="142" t="s">
        <v>24347</v>
      </c>
      <c r="I8497" s="142">
        <v>12</v>
      </c>
      <c r="J8497" s="142">
        <v>0</v>
      </c>
      <c r="K8497" s="142">
        <v>0</v>
      </c>
      <c r="L8497" s="142">
        <v>12</v>
      </c>
      <c r="M8497" s="142">
        <v>0</v>
      </c>
    </row>
    <row r="8498" spans="1:13" x14ac:dyDescent="0.45">
      <c r="A8498" s="142" t="s">
        <v>13125</v>
      </c>
      <c r="B8498" s="142" t="s">
        <v>15515</v>
      </c>
      <c r="C8498" s="142" t="s">
        <v>15860</v>
      </c>
      <c r="D8498" s="142" t="s">
        <v>15861</v>
      </c>
      <c r="E8498" s="142" t="s">
        <v>15849</v>
      </c>
      <c r="F8498" s="142" t="s">
        <v>182</v>
      </c>
      <c r="G8498" s="142" t="s">
        <v>5794</v>
      </c>
      <c r="H8498" s="142" t="s">
        <v>24348</v>
      </c>
      <c r="I8498" s="142">
        <v>15</v>
      </c>
      <c r="J8498" s="142">
        <v>0</v>
      </c>
      <c r="K8498" s="142">
        <v>0</v>
      </c>
      <c r="L8498" s="142">
        <v>15</v>
      </c>
      <c r="M8498" s="142">
        <v>0</v>
      </c>
    </row>
    <row r="8499" spans="1:13" x14ac:dyDescent="0.45">
      <c r="A8499" s="142" t="s">
        <v>13076</v>
      </c>
      <c r="B8499" s="142" t="s">
        <v>14636</v>
      </c>
      <c r="C8499" s="142" t="s">
        <v>15847</v>
      </c>
      <c r="D8499" s="142" t="s">
        <v>15848</v>
      </c>
      <c r="E8499" s="142" t="s">
        <v>15849</v>
      </c>
      <c r="F8499" s="142" t="s">
        <v>182</v>
      </c>
      <c r="G8499" s="142" t="s">
        <v>5794</v>
      </c>
      <c r="H8499" s="142" t="s">
        <v>24349</v>
      </c>
      <c r="I8499" s="142">
        <v>4</v>
      </c>
      <c r="J8499" s="142">
        <v>0</v>
      </c>
      <c r="K8499" s="142">
        <v>0</v>
      </c>
      <c r="L8499" s="142">
        <v>0</v>
      </c>
      <c r="M8499" s="142">
        <v>4</v>
      </c>
    </row>
    <row r="8500" spans="1:13" x14ac:dyDescent="0.45">
      <c r="A8500" s="142" t="s">
        <v>13005</v>
      </c>
      <c r="B8500" s="142" t="s">
        <v>15475</v>
      </c>
      <c r="C8500" s="142" t="s">
        <v>15847</v>
      </c>
      <c r="D8500" s="142" t="s">
        <v>15848</v>
      </c>
      <c r="E8500" s="142" t="s">
        <v>15849</v>
      </c>
      <c r="F8500" s="142" t="s">
        <v>182</v>
      </c>
      <c r="G8500" s="142" t="s">
        <v>5794</v>
      </c>
      <c r="H8500" s="142" t="s">
        <v>24350</v>
      </c>
      <c r="I8500" s="142">
        <v>3</v>
      </c>
      <c r="J8500" s="142">
        <v>0</v>
      </c>
      <c r="K8500" s="142">
        <v>0</v>
      </c>
      <c r="L8500" s="142">
        <v>0</v>
      </c>
      <c r="M8500" s="142">
        <v>3</v>
      </c>
    </row>
    <row r="8501" spans="1:13" x14ac:dyDescent="0.45">
      <c r="A8501" s="142" t="s">
        <v>13007</v>
      </c>
      <c r="B8501" s="142" t="s">
        <v>15262</v>
      </c>
      <c r="C8501" s="142" t="s">
        <v>15847</v>
      </c>
      <c r="D8501" s="142" t="s">
        <v>15848</v>
      </c>
      <c r="E8501" s="142" t="s">
        <v>15849</v>
      </c>
      <c r="F8501" s="142" t="s">
        <v>182</v>
      </c>
      <c r="G8501" s="142" t="s">
        <v>5794</v>
      </c>
      <c r="H8501" s="142" t="s">
        <v>24351</v>
      </c>
      <c r="I8501" s="142">
        <v>49</v>
      </c>
      <c r="J8501" s="142">
        <v>10</v>
      </c>
      <c r="K8501" s="142">
        <v>0</v>
      </c>
      <c r="L8501" s="142">
        <v>0</v>
      </c>
      <c r="M8501" s="142">
        <v>39</v>
      </c>
    </row>
    <row r="8502" spans="1:13" x14ac:dyDescent="0.45">
      <c r="A8502" s="142" t="s">
        <v>13516</v>
      </c>
      <c r="B8502" s="142" t="s">
        <v>14461</v>
      </c>
      <c r="C8502" s="142" t="s">
        <v>15860</v>
      </c>
      <c r="D8502" s="142" t="s">
        <v>15861</v>
      </c>
      <c r="E8502" s="142" t="s">
        <v>15849</v>
      </c>
      <c r="F8502" s="142" t="s">
        <v>182</v>
      </c>
      <c r="G8502" s="142" t="s">
        <v>5794</v>
      </c>
      <c r="H8502" s="142" t="s">
        <v>24352</v>
      </c>
      <c r="I8502" s="142">
        <v>3</v>
      </c>
      <c r="J8502" s="142">
        <v>0</v>
      </c>
      <c r="K8502" s="142">
        <v>0</v>
      </c>
      <c r="L8502" s="142">
        <v>3</v>
      </c>
      <c r="M8502" s="142">
        <v>0</v>
      </c>
    </row>
    <row r="8503" spans="1:13" x14ac:dyDescent="0.45">
      <c r="A8503" s="142" t="s">
        <v>13008</v>
      </c>
      <c r="B8503" s="142" t="s">
        <v>15411</v>
      </c>
      <c r="C8503" s="142" t="s">
        <v>15847</v>
      </c>
      <c r="D8503" s="142" t="s">
        <v>15848</v>
      </c>
      <c r="E8503" s="142" t="s">
        <v>15849</v>
      </c>
      <c r="F8503" s="142" t="s">
        <v>182</v>
      </c>
      <c r="G8503" s="142" t="s">
        <v>5794</v>
      </c>
      <c r="H8503" s="142" t="s">
        <v>24353</v>
      </c>
      <c r="I8503" s="142">
        <v>250</v>
      </c>
      <c r="J8503" s="142">
        <v>0</v>
      </c>
      <c r="K8503" s="142">
        <v>0</v>
      </c>
      <c r="L8503" s="142">
        <v>0</v>
      </c>
      <c r="M8503" s="142">
        <v>250</v>
      </c>
    </row>
    <row r="8504" spans="1:13" x14ac:dyDescent="0.45">
      <c r="A8504" s="142" t="s">
        <v>13077</v>
      </c>
      <c r="B8504" s="142" t="s">
        <v>15407</v>
      </c>
      <c r="C8504" s="142" t="s">
        <v>15847</v>
      </c>
      <c r="D8504" s="142" t="s">
        <v>15848</v>
      </c>
      <c r="E8504" s="142" t="s">
        <v>15849</v>
      </c>
      <c r="F8504" s="142" t="s">
        <v>182</v>
      </c>
      <c r="G8504" s="142" t="s">
        <v>5794</v>
      </c>
      <c r="H8504" s="142" t="s">
        <v>24354</v>
      </c>
      <c r="I8504" s="142">
        <v>2712</v>
      </c>
      <c r="J8504" s="142">
        <v>2377</v>
      </c>
      <c r="K8504" s="142">
        <v>0</v>
      </c>
      <c r="L8504" s="142">
        <v>334</v>
      </c>
      <c r="M8504" s="142">
        <v>1</v>
      </c>
    </row>
    <row r="8505" spans="1:13" x14ac:dyDescent="0.45">
      <c r="A8505" s="142" t="s">
        <v>13033</v>
      </c>
      <c r="B8505" s="142" t="s">
        <v>15276</v>
      </c>
      <c r="C8505" s="142" t="s">
        <v>15847</v>
      </c>
      <c r="D8505" s="142" t="s">
        <v>15848</v>
      </c>
      <c r="E8505" s="142" t="s">
        <v>15849</v>
      </c>
      <c r="F8505" s="142" t="s">
        <v>182</v>
      </c>
      <c r="G8505" s="142" t="s">
        <v>5794</v>
      </c>
      <c r="H8505" s="142" t="s">
        <v>24355</v>
      </c>
      <c r="I8505" s="142">
        <v>218</v>
      </c>
      <c r="J8505" s="142">
        <v>218</v>
      </c>
      <c r="K8505" s="142">
        <v>0</v>
      </c>
      <c r="L8505" s="142">
        <v>0</v>
      </c>
      <c r="M8505" s="142">
        <v>0</v>
      </c>
    </row>
    <row r="8506" spans="1:13" x14ac:dyDescent="0.45">
      <c r="A8506" s="142" t="s">
        <v>13037</v>
      </c>
      <c r="B8506" s="142" t="s">
        <v>14519</v>
      </c>
      <c r="C8506" s="142" t="s">
        <v>15847</v>
      </c>
      <c r="D8506" s="142" t="s">
        <v>15848</v>
      </c>
      <c r="E8506" s="142" t="s">
        <v>15849</v>
      </c>
      <c r="F8506" s="142" t="s">
        <v>182</v>
      </c>
      <c r="G8506" s="142" t="s">
        <v>5794</v>
      </c>
      <c r="H8506" s="142" t="s">
        <v>24356</v>
      </c>
      <c r="I8506" s="142">
        <v>1</v>
      </c>
      <c r="J8506" s="142">
        <v>0</v>
      </c>
      <c r="K8506" s="142">
        <v>0</v>
      </c>
      <c r="L8506" s="142">
        <v>1</v>
      </c>
      <c r="M8506" s="142">
        <v>0</v>
      </c>
    </row>
    <row r="8507" spans="1:13" x14ac:dyDescent="0.45">
      <c r="A8507" s="142" t="s">
        <v>13038</v>
      </c>
      <c r="B8507" s="142" t="s">
        <v>14646</v>
      </c>
      <c r="C8507" s="142" t="s">
        <v>15847</v>
      </c>
      <c r="D8507" s="142" t="s">
        <v>15848</v>
      </c>
      <c r="E8507" s="142" t="s">
        <v>15849</v>
      </c>
      <c r="F8507" s="142" t="s">
        <v>182</v>
      </c>
      <c r="G8507" s="142" t="s">
        <v>5794</v>
      </c>
      <c r="H8507" s="142" t="s">
        <v>24357</v>
      </c>
      <c r="I8507" s="142">
        <v>124</v>
      </c>
      <c r="J8507" s="142">
        <v>36</v>
      </c>
      <c r="K8507" s="142">
        <v>0</v>
      </c>
      <c r="L8507" s="142">
        <v>0</v>
      </c>
      <c r="M8507" s="142">
        <v>88</v>
      </c>
    </row>
    <row r="8508" spans="1:13" x14ac:dyDescent="0.45">
      <c r="A8508" s="142" t="s">
        <v>13009</v>
      </c>
      <c r="B8508" s="142" t="s">
        <v>15256</v>
      </c>
      <c r="C8508" s="142" t="s">
        <v>15847</v>
      </c>
      <c r="D8508" s="142" t="s">
        <v>15848</v>
      </c>
      <c r="E8508" s="142" t="s">
        <v>15849</v>
      </c>
      <c r="F8508" s="142" t="s">
        <v>182</v>
      </c>
      <c r="G8508" s="142" t="s">
        <v>5794</v>
      </c>
      <c r="H8508" s="142" t="s">
        <v>24358</v>
      </c>
      <c r="I8508" s="142">
        <v>183</v>
      </c>
      <c r="J8508" s="142">
        <v>120</v>
      </c>
      <c r="K8508" s="142">
        <v>0</v>
      </c>
      <c r="L8508" s="142">
        <v>29</v>
      </c>
      <c r="M8508" s="142">
        <v>34</v>
      </c>
    </row>
    <row r="8509" spans="1:13" x14ac:dyDescent="0.45">
      <c r="A8509" s="142" t="s">
        <v>13011</v>
      </c>
      <c r="B8509" s="142" t="s">
        <v>14695</v>
      </c>
      <c r="C8509" s="142" t="s">
        <v>15847</v>
      </c>
      <c r="D8509" s="142" t="s">
        <v>15848</v>
      </c>
      <c r="E8509" s="142" t="s">
        <v>15849</v>
      </c>
      <c r="F8509" s="142" t="s">
        <v>182</v>
      </c>
      <c r="G8509" s="142" t="s">
        <v>5794</v>
      </c>
      <c r="H8509" s="142" t="s">
        <v>24359</v>
      </c>
      <c r="I8509" s="142">
        <v>514</v>
      </c>
      <c r="J8509" s="142">
        <v>478</v>
      </c>
      <c r="K8509" s="142">
        <v>0</v>
      </c>
      <c r="L8509" s="142">
        <v>27</v>
      </c>
      <c r="M8509" s="142">
        <v>9</v>
      </c>
    </row>
    <row r="8510" spans="1:13" x14ac:dyDescent="0.45">
      <c r="A8510" s="142" t="s">
        <v>13042</v>
      </c>
      <c r="B8510" s="142" t="s">
        <v>15489</v>
      </c>
      <c r="C8510" s="142" t="s">
        <v>15847</v>
      </c>
      <c r="D8510" s="142" t="s">
        <v>15848</v>
      </c>
      <c r="E8510" s="142" t="s">
        <v>15849</v>
      </c>
      <c r="F8510" s="142" t="s">
        <v>182</v>
      </c>
      <c r="G8510" s="142" t="s">
        <v>5794</v>
      </c>
      <c r="H8510" s="142" t="s">
        <v>24360</v>
      </c>
      <c r="I8510" s="142">
        <v>706</v>
      </c>
      <c r="J8510" s="142">
        <v>631</v>
      </c>
      <c r="K8510" s="142">
        <v>0</v>
      </c>
      <c r="L8510" s="142">
        <v>71</v>
      </c>
      <c r="M8510" s="142">
        <v>4</v>
      </c>
    </row>
    <row r="8511" spans="1:13" x14ac:dyDescent="0.45">
      <c r="A8511" s="142" t="s">
        <v>13079</v>
      </c>
      <c r="B8511" s="142" t="s">
        <v>15431</v>
      </c>
      <c r="C8511" s="142" t="s">
        <v>15847</v>
      </c>
      <c r="D8511" s="142" t="s">
        <v>15848</v>
      </c>
      <c r="E8511" s="142" t="s">
        <v>15849</v>
      </c>
      <c r="F8511" s="142" t="s">
        <v>182</v>
      </c>
      <c r="G8511" s="142" t="s">
        <v>5794</v>
      </c>
      <c r="H8511" s="142" t="s">
        <v>24361</v>
      </c>
      <c r="I8511" s="142">
        <v>429</v>
      </c>
      <c r="J8511" s="142">
        <v>257</v>
      </c>
      <c r="K8511" s="142">
        <v>0</v>
      </c>
      <c r="L8511" s="142">
        <v>0</v>
      </c>
      <c r="M8511" s="142">
        <v>172</v>
      </c>
    </row>
    <row r="8512" spans="1:13" x14ac:dyDescent="0.45">
      <c r="A8512" s="142" t="s">
        <v>13080</v>
      </c>
      <c r="B8512" s="142" t="s">
        <v>15553</v>
      </c>
      <c r="C8512" s="142" t="s">
        <v>15847</v>
      </c>
      <c r="D8512" s="142" t="s">
        <v>15848</v>
      </c>
      <c r="E8512" s="142" t="s">
        <v>15849</v>
      </c>
      <c r="F8512" s="142" t="s">
        <v>182</v>
      </c>
      <c r="G8512" s="142" t="s">
        <v>5794</v>
      </c>
      <c r="H8512" s="142" t="s">
        <v>24362</v>
      </c>
      <c r="I8512" s="142">
        <v>107</v>
      </c>
      <c r="J8512" s="142">
        <v>31</v>
      </c>
      <c r="K8512" s="142">
        <v>0</v>
      </c>
      <c r="L8512" s="142">
        <v>58</v>
      </c>
      <c r="M8512" s="142">
        <v>18</v>
      </c>
    </row>
    <row r="8513" spans="1:13" x14ac:dyDescent="0.45">
      <c r="A8513" s="142" t="s">
        <v>13016</v>
      </c>
      <c r="B8513" s="142" t="s">
        <v>14535</v>
      </c>
      <c r="C8513" s="142" t="s">
        <v>15860</v>
      </c>
      <c r="D8513" s="142" t="s">
        <v>15861</v>
      </c>
      <c r="E8513" s="142" t="s">
        <v>15849</v>
      </c>
      <c r="F8513" s="142" t="s">
        <v>182</v>
      </c>
      <c r="G8513" s="142" t="s">
        <v>5794</v>
      </c>
      <c r="H8513" s="142" t="s">
        <v>24363</v>
      </c>
      <c r="I8513" s="142">
        <v>2</v>
      </c>
      <c r="J8513" s="142">
        <v>0</v>
      </c>
      <c r="K8513" s="142">
        <v>0</v>
      </c>
      <c r="L8513" s="142">
        <v>2</v>
      </c>
      <c r="M8513" s="142">
        <v>0</v>
      </c>
    </row>
    <row r="8514" spans="1:13" x14ac:dyDescent="0.45">
      <c r="A8514" s="142" t="s">
        <v>13022</v>
      </c>
      <c r="B8514" s="142" t="s">
        <v>14634</v>
      </c>
      <c r="C8514" s="142" t="s">
        <v>15847</v>
      </c>
      <c r="D8514" s="142" t="s">
        <v>15848</v>
      </c>
      <c r="E8514" s="142" t="s">
        <v>15849</v>
      </c>
      <c r="F8514" s="142" t="s">
        <v>183</v>
      </c>
      <c r="G8514" s="142" t="s">
        <v>5343</v>
      </c>
      <c r="H8514" s="142" t="s">
        <v>24364</v>
      </c>
      <c r="I8514" s="142">
        <v>4</v>
      </c>
      <c r="J8514" s="142">
        <v>0</v>
      </c>
      <c r="K8514" s="142">
        <v>0</v>
      </c>
      <c r="L8514" s="142">
        <v>4</v>
      </c>
      <c r="M8514" s="142">
        <v>0</v>
      </c>
    </row>
    <row r="8515" spans="1:13" x14ac:dyDescent="0.45">
      <c r="A8515" s="142" t="s">
        <v>13023</v>
      </c>
      <c r="B8515" s="142" t="s">
        <v>15571</v>
      </c>
      <c r="C8515" s="142" t="s">
        <v>15847</v>
      </c>
      <c r="D8515" s="142" t="s">
        <v>15848</v>
      </c>
      <c r="E8515" s="142" t="s">
        <v>15849</v>
      </c>
      <c r="F8515" s="142" t="s">
        <v>183</v>
      </c>
      <c r="G8515" s="142" t="s">
        <v>5343</v>
      </c>
      <c r="H8515" s="142" t="s">
        <v>24365</v>
      </c>
      <c r="I8515" s="142">
        <v>58</v>
      </c>
      <c r="J8515" s="142">
        <v>0</v>
      </c>
      <c r="K8515" s="142">
        <v>0</v>
      </c>
      <c r="L8515" s="142">
        <v>58</v>
      </c>
      <c r="M8515" s="142">
        <v>0</v>
      </c>
    </row>
    <row r="8516" spans="1:13" x14ac:dyDescent="0.45">
      <c r="A8516" s="142" t="s">
        <v>13000</v>
      </c>
      <c r="B8516" s="142" t="s">
        <v>14610</v>
      </c>
      <c r="C8516" s="142" t="s">
        <v>15847</v>
      </c>
      <c r="D8516" s="142" t="s">
        <v>15848</v>
      </c>
      <c r="E8516" s="142" t="s">
        <v>15849</v>
      </c>
      <c r="F8516" s="142" t="s">
        <v>183</v>
      </c>
      <c r="G8516" s="142" t="s">
        <v>5343</v>
      </c>
      <c r="H8516" s="142" t="s">
        <v>24366</v>
      </c>
      <c r="I8516" s="142">
        <v>57</v>
      </c>
      <c r="J8516" s="142">
        <v>49</v>
      </c>
      <c r="K8516" s="142">
        <v>0</v>
      </c>
      <c r="L8516" s="142">
        <v>0</v>
      </c>
      <c r="M8516" s="142">
        <v>8</v>
      </c>
    </row>
    <row r="8517" spans="1:13" x14ac:dyDescent="0.45">
      <c r="A8517" s="142" t="s">
        <v>13001</v>
      </c>
      <c r="B8517" s="142" t="s">
        <v>15506</v>
      </c>
      <c r="C8517" s="142" t="s">
        <v>15847</v>
      </c>
      <c r="D8517" s="142" t="s">
        <v>15848</v>
      </c>
      <c r="E8517" s="142" t="s">
        <v>15849</v>
      </c>
      <c r="F8517" s="142" t="s">
        <v>183</v>
      </c>
      <c r="G8517" s="142" t="s">
        <v>5343</v>
      </c>
      <c r="H8517" s="142" t="s">
        <v>24367</v>
      </c>
      <c r="I8517" s="142">
        <v>2</v>
      </c>
      <c r="J8517" s="142">
        <v>0</v>
      </c>
      <c r="K8517" s="142">
        <v>0</v>
      </c>
      <c r="L8517" s="142">
        <v>1</v>
      </c>
      <c r="M8517" s="142">
        <v>1</v>
      </c>
    </row>
    <row r="8518" spans="1:13" x14ac:dyDescent="0.45">
      <c r="A8518" s="142" t="s">
        <v>13199</v>
      </c>
      <c r="B8518" s="142" t="s">
        <v>15362</v>
      </c>
      <c r="C8518" s="142" t="s">
        <v>15847</v>
      </c>
      <c r="D8518" s="142" t="s">
        <v>15848</v>
      </c>
      <c r="E8518" s="142" t="s">
        <v>15849</v>
      </c>
      <c r="F8518" s="142" t="s">
        <v>183</v>
      </c>
      <c r="G8518" s="142" t="s">
        <v>5343</v>
      </c>
      <c r="H8518" s="142" t="s">
        <v>24368</v>
      </c>
      <c r="I8518" s="142">
        <v>208</v>
      </c>
      <c r="J8518" s="142">
        <v>159</v>
      </c>
      <c r="K8518" s="142">
        <v>0</v>
      </c>
      <c r="L8518" s="142">
        <v>0</v>
      </c>
      <c r="M8518" s="142">
        <v>49</v>
      </c>
    </row>
    <row r="8519" spans="1:13" x14ac:dyDescent="0.45">
      <c r="A8519" s="142" t="s">
        <v>13002</v>
      </c>
      <c r="B8519" s="142" t="s">
        <v>15376</v>
      </c>
      <c r="C8519" s="142" t="s">
        <v>15847</v>
      </c>
      <c r="D8519" s="142" t="s">
        <v>15848</v>
      </c>
      <c r="E8519" s="142" t="s">
        <v>15849</v>
      </c>
      <c r="F8519" s="142" t="s">
        <v>183</v>
      </c>
      <c r="G8519" s="142" t="s">
        <v>5343</v>
      </c>
      <c r="H8519" s="142" t="s">
        <v>24369</v>
      </c>
      <c r="I8519" s="142">
        <v>563</v>
      </c>
      <c r="J8519" s="142">
        <v>378</v>
      </c>
      <c r="K8519" s="142">
        <v>0</v>
      </c>
      <c r="L8519" s="142">
        <v>89</v>
      </c>
      <c r="M8519" s="142">
        <v>96</v>
      </c>
    </row>
    <row r="8520" spans="1:13" x14ac:dyDescent="0.45">
      <c r="A8520" s="142" t="s">
        <v>13003</v>
      </c>
      <c r="B8520" s="142" t="s">
        <v>15245</v>
      </c>
      <c r="C8520" s="142" t="s">
        <v>15847</v>
      </c>
      <c r="D8520" s="142" t="s">
        <v>15848</v>
      </c>
      <c r="E8520" s="142" t="s">
        <v>15849</v>
      </c>
      <c r="F8520" s="142" t="s">
        <v>183</v>
      </c>
      <c r="G8520" s="142" t="s">
        <v>5343</v>
      </c>
      <c r="H8520" s="142" t="s">
        <v>24370</v>
      </c>
      <c r="I8520" s="142">
        <v>60</v>
      </c>
      <c r="J8520" s="142">
        <v>0</v>
      </c>
      <c r="K8520" s="142">
        <v>0</v>
      </c>
      <c r="L8520" s="142">
        <v>60</v>
      </c>
      <c r="M8520" s="142">
        <v>0</v>
      </c>
    </row>
    <row r="8521" spans="1:13" x14ac:dyDescent="0.45">
      <c r="A8521" s="142" t="s">
        <v>13006</v>
      </c>
      <c r="B8521" s="142" t="s">
        <v>15288</v>
      </c>
      <c r="C8521" s="142" t="s">
        <v>15847</v>
      </c>
      <c r="D8521" s="142" t="s">
        <v>15848</v>
      </c>
      <c r="E8521" s="142" t="s">
        <v>15849</v>
      </c>
      <c r="F8521" s="142" t="s">
        <v>183</v>
      </c>
      <c r="G8521" s="142" t="s">
        <v>5343</v>
      </c>
      <c r="H8521" s="142" t="s">
        <v>24371</v>
      </c>
      <c r="I8521" s="142">
        <v>13</v>
      </c>
      <c r="J8521" s="142">
        <v>11</v>
      </c>
      <c r="K8521" s="142">
        <v>0</v>
      </c>
      <c r="L8521" s="142">
        <v>0</v>
      </c>
      <c r="M8521" s="142">
        <v>2</v>
      </c>
    </row>
    <row r="8522" spans="1:13" x14ac:dyDescent="0.45">
      <c r="A8522" s="142" t="s">
        <v>13103</v>
      </c>
      <c r="B8522" s="142" t="s">
        <v>14623</v>
      </c>
      <c r="C8522" s="142" t="s">
        <v>15847</v>
      </c>
      <c r="D8522" s="142" t="s">
        <v>15848</v>
      </c>
      <c r="E8522" s="142" t="s">
        <v>15849</v>
      </c>
      <c r="F8522" s="142" t="s">
        <v>183</v>
      </c>
      <c r="G8522" s="142" t="s">
        <v>5343</v>
      </c>
      <c r="H8522" s="142" t="s">
        <v>24372</v>
      </c>
      <c r="I8522" s="142">
        <v>52</v>
      </c>
      <c r="J8522" s="142">
        <v>22</v>
      </c>
      <c r="K8522" s="142">
        <v>0</v>
      </c>
      <c r="L8522" s="142">
        <v>0</v>
      </c>
      <c r="M8522" s="142">
        <v>30</v>
      </c>
    </row>
    <row r="8523" spans="1:13" x14ac:dyDescent="0.45">
      <c r="A8523" s="142" t="s">
        <v>13054</v>
      </c>
      <c r="B8523" s="142" t="s">
        <v>15604</v>
      </c>
      <c r="C8523" s="142" t="s">
        <v>15847</v>
      </c>
      <c r="D8523" s="142" t="s">
        <v>15848</v>
      </c>
      <c r="E8523" s="142" t="s">
        <v>15849</v>
      </c>
      <c r="F8523" s="142" t="s">
        <v>183</v>
      </c>
      <c r="G8523" s="142" t="s">
        <v>5343</v>
      </c>
      <c r="H8523" s="142" t="s">
        <v>24373</v>
      </c>
      <c r="I8523" s="142">
        <v>12</v>
      </c>
      <c r="J8523" s="142">
        <v>0</v>
      </c>
      <c r="K8523" s="142">
        <v>0</v>
      </c>
      <c r="L8523" s="142">
        <v>0</v>
      </c>
      <c r="M8523" s="142">
        <v>12</v>
      </c>
    </row>
    <row r="8524" spans="1:13" x14ac:dyDescent="0.45">
      <c r="A8524" s="142" t="s">
        <v>13131</v>
      </c>
      <c r="B8524" s="142" t="s">
        <v>15233</v>
      </c>
      <c r="C8524" s="142" t="s">
        <v>15860</v>
      </c>
      <c r="D8524" s="142" t="s">
        <v>15861</v>
      </c>
      <c r="E8524" s="142" t="s">
        <v>15849</v>
      </c>
      <c r="F8524" s="142" t="s">
        <v>183</v>
      </c>
      <c r="G8524" s="142" t="s">
        <v>5343</v>
      </c>
      <c r="H8524" s="142" t="s">
        <v>24374</v>
      </c>
      <c r="I8524" s="142">
        <v>5</v>
      </c>
      <c r="J8524" s="142">
        <v>0</v>
      </c>
      <c r="K8524" s="142">
        <v>0</v>
      </c>
      <c r="L8524" s="142">
        <v>5</v>
      </c>
      <c r="M8524" s="142">
        <v>0</v>
      </c>
    </row>
    <row r="8525" spans="1:13" x14ac:dyDescent="0.45">
      <c r="A8525" s="142" t="s">
        <v>13133</v>
      </c>
      <c r="B8525" s="142" t="s">
        <v>15291</v>
      </c>
      <c r="C8525" s="142" t="s">
        <v>15847</v>
      </c>
      <c r="D8525" s="142" t="s">
        <v>15848</v>
      </c>
      <c r="E8525" s="142" t="s">
        <v>15849</v>
      </c>
      <c r="F8525" s="142" t="s">
        <v>183</v>
      </c>
      <c r="G8525" s="142" t="s">
        <v>5343</v>
      </c>
      <c r="H8525" s="142" t="s">
        <v>24375</v>
      </c>
      <c r="I8525" s="142">
        <v>78</v>
      </c>
      <c r="J8525" s="142">
        <v>70</v>
      </c>
      <c r="K8525" s="142">
        <v>0</v>
      </c>
      <c r="L8525" s="142">
        <v>8</v>
      </c>
      <c r="M8525" s="142">
        <v>0</v>
      </c>
    </row>
    <row r="8526" spans="1:13" x14ac:dyDescent="0.45">
      <c r="A8526" s="142" t="s">
        <v>13135</v>
      </c>
      <c r="B8526" s="142" t="s">
        <v>15575</v>
      </c>
      <c r="C8526" s="142" t="s">
        <v>15847</v>
      </c>
      <c r="D8526" s="142" t="s">
        <v>15848</v>
      </c>
      <c r="E8526" s="142" t="s">
        <v>15849</v>
      </c>
      <c r="F8526" s="142" t="s">
        <v>183</v>
      </c>
      <c r="G8526" s="142" t="s">
        <v>5343</v>
      </c>
      <c r="H8526" s="142" t="s">
        <v>24376</v>
      </c>
      <c r="I8526" s="142">
        <v>69</v>
      </c>
      <c r="J8526" s="142">
        <v>57</v>
      </c>
      <c r="K8526" s="142">
        <v>0</v>
      </c>
      <c r="L8526" s="142">
        <v>0</v>
      </c>
      <c r="M8526" s="142">
        <v>12</v>
      </c>
    </row>
    <row r="8527" spans="1:13" x14ac:dyDescent="0.45">
      <c r="A8527" s="142" t="s">
        <v>13104</v>
      </c>
      <c r="B8527" s="142" t="s">
        <v>14622</v>
      </c>
      <c r="C8527" s="142" t="s">
        <v>15847</v>
      </c>
      <c r="D8527" s="142" t="s">
        <v>15848</v>
      </c>
      <c r="E8527" s="142" t="s">
        <v>15849</v>
      </c>
      <c r="F8527" s="142" t="s">
        <v>183</v>
      </c>
      <c r="G8527" s="142" t="s">
        <v>5343</v>
      </c>
      <c r="H8527" s="142" t="s">
        <v>24377</v>
      </c>
      <c r="I8527" s="142">
        <v>181</v>
      </c>
      <c r="J8527" s="142">
        <v>144</v>
      </c>
      <c r="K8527" s="142">
        <v>0</v>
      </c>
      <c r="L8527" s="142">
        <v>17</v>
      </c>
      <c r="M8527" s="142">
        <v>20</v>
      </c>
    </row>
    <row r="8528" spans="1:13" x14ac:dyDescent="0.45">
      <c r="A8528" s="142" t="s">
        <v>13033</v>
      </c>
      <c r="B8528" s="142" t="s">
        <v>15276</v>
      </c>
      <c r="C8528" s="142" t="s">
        <v>15847</v>
      </c>
      <c r="D8528" s="142" t="s">
        <v>15848</v>
      </c>
      <c r="E8528" s="142" t="s">
        <v>15849</v>
      </c>
      <c r="F8528" s="142" t="s">
        <v>183</v>
      </c>
      <c r="G8528" s="142" t="s">
        <v>5343</v>
      </c>
      <c r="H8528" s="142" t="s">
        <v>24378</v>
      </c>
      <c r="I8528" s="142">
        <v>74</v>
      </c>
      <c r="J8528" s="142">
        <v>74</v>
      </c>
      <c r="K8528" s="142">
        <v>0</v>
      </c>
      <c r="L8528" s="142">
        <v>0</v>
      </c>
      <c r="M8528" s="142">
        <v>0</v>
      </c>
    </row>
    <row r="8529" spans="1:13" x14ac:dyDescent="0.45">
      <c r="A8529" s="142" t="s">
        <v>13034</v>
      </c>
      <c r="B8529" s="142" t="s">
        <v>15562</v>
      </c>
      <c r="C8529" s="142" t="s">
        <v>15847</v>
      </c>
      <c r="D8529" s="142" t="s">
        <v>15848</v>
      </c>
      <c r="E8529" s="142" t="s">
        <v>15849</v>
      </c>
      <c r="F8529" s="142" t="s">
        <v>183</v>
      </c>
      <c r="G8529" s="142" t="s">
        <v>5343</v>
      </c>
      <c r="H8529" s="142" t="s">
        <v>24379</v>
      </c>
      <c r="I8529" s="142">
        <v>12</v>
      </c>
      <c r="J8529" s="142">
        <v>0</v>
      </c>
      <c r="K8529" s="142">
        <v>0</v>
      </c>
      <c r="L8529" s="142">
        <v>12</v>
      </c>
      <c r="M8529" s="142">
        <v>0</v>
      </c>
    </row>
    <row r="8530" spans="1:13" x14ac:dyDescent="0.45">
      <c r="A8530" s="142" t="s">
        <v>14288</v>
      </c>
      <c r="B8530" s="142" t="s">
        <v>15294</v>
      </c>
      <c r="C8530" s="142" t="s">
        <v>15860</v>
      </c>
      <c r="D8530" s="142" t="s">
        <v>15861</v>
      </c>
      <c r="E8530" s="142" t="s">
        <v>15849</v>
      </c>
      <c r="F8530" s="142" t="s">
        <v>183</v>
      </c>
      <c r="G8530" s="142" t="s">
        <v>5343</v>
      </c>
      <c r="H8530" s="142" t="s">
        <v>24380</v>
      </c>
      <c r="I8530" s="142">
        <v>27</v>
      </c>
      <c r="J8530" s="142">
        <v>0</v>
      </c>
      <c r="K8530" s="142">
        <v>0</v>
      </c>
      <c r="L8530" s="142">
        <v>27</v>
      </c>
      <c r="M8530" s="142">
        <v>0</v>
      </c>
    </row>
    <row r="8531" spans="1:13" x14ac:dyDescent="0.45">
      <c r="A8531" s="142" t="s">
        <v>13009</v>
      </c>
      <c r="B8531" s="142" t="s">
        <v>15256</v>
      </c>
      <c r="C8531" s="142" t="s">
        <v>15847</v>
      </c>
      <c r="D8531" s="142" t="s">
        <v>15848</v>
      </c>
      <c r="E8531" s="142" t="s">
        <v>15849</v>
      </c>
      <c r="F8531" s="142" t="s">
        <v>183</v>
      </c>
      <c r="G8531" s="142" t="s">
        <v>5343</v>
      </c>
      <c r="H8531" s="142" t="s">
        <v>24381</v>
      </c>
      <c r="I8531" s="142">
        <v>182</v>
      </c>
      <c r="J8531" s="142">
        <v>142</v>
      </c>
      <c r="K8531" s="142">
        <v>0</v>
      </c>
      <c r="L8531" s="142">
        <v>39</v>
      </c>
      <c r="M8531" s="142">
        <v>1</v>
      </c>
    </row>
    <row r="8532" spans="1:13" x14ac:dyDescent="0.45">
      <c r="A8532" s="142" t="s">
        <v>13203</v>
      </c>
      <c r="B8532" s="142" t="s">
        <v>15446</v>
      </c>
      <c r="C8532" s="142" t="s">
        <v>15847</v>
      </c>
      <c r="D8532" s="142" t="s">
        <v>15848</v>
      </c>
      <c r="E8532" s="142" t="s">
        <v>15849</v>
      </c>
      <c r="F8532" s="142" t="s">
        <v>183</v>
      </c>
      <c r="G8532" s="142" t="s">
        <v>5343</v>
      </c>
      <c r="H8532" s="142" t="s">
        <v>24382</v>
      </c>
      <c r="I8532" s="142">
        <v>35</v>
      </c>
      <c r="J8532" s="142">
        <v>35</v>
      </c>
      <c r="K8532" s="142">
        <v>0</v>
      </c>
      <c r="L8532" s="142">
        <v>0</v>
      </c>
      <c r="M8532" s="142">
        <v>0</v>
      </c>
    </row>
    <row r="8533" spans="1:13" x14ac:dyDescent="0.45">
      <c r="A8533" s="142" t="s">
        <v>13058</v>
      </c>
      <c r="B8533" s="142" t="s">
        <v>14584</v>
      </c>
      <c r="C8533" s="142" t="s">
        <v>15847</v>
      </c>
      <c r="D8533" s="142" t="s">
        <v>15848</v>
      </c>
      <c r="E8533" s="142" t="s">
        <v>15849</v>
      </c>
      <c r="F8533" s="142" t="s">
        <v>183</v>
      </c>
      <c r="G8533" s="142" t="s">
        <v>5343</v>
      </c>
      <c r="H8533" s="142" t="s">
        <v>24383</v>
      </c>
      <c r="I8533" s="142">
        <v>106</v>
      </c>
      <c r="J8533" s="142">
        <v>106</v>
      </c>
      <c r="K8533" s="142">
        <v>0</v>
      </c>
      <c r="L8533" s="142">
        <v>0</v>
      </c>
      <c r="M8533" s="142">
        <v>0</v>
      </c>
    </row>
    <row r="8534" spans="1:13" x14ac:dyDescent="0.45">
      <c r="A8534" s="142" t="s">
        <v>14289</v>
      </c>
      <c r="B8534" s="142" t="s">
        <v>15134</v>
      </c>
      <c r="C8534" s="142" t="s">
        <v>15860</v>
      </c>
      <c r="D8534" s="142" t="s">
        <v>15861</v>
      </c>
      <c r="E8534" s="142" t="s">
        <v>15849</v>
      </c>
      <c r="F8534" s="142" t="s">
        <v>183</v>
      </c>
      <c r="G8534" s="142" t="s">
        <v>5343</v>
      </c>
      <c r="H8534" s="142" t="s">
        <v>24384</v>
      </c>
      <c r="I8534" s="142">
        <v>12</v>
      </c>
      <c r="J8534" s="142">
        <v>0</v>
      </c>
      <c r="K8534" s="142">
        <v>0</v>
      </c>
      <c r="L8534" s="142">
        <v>12</v>
      </c>
      <c r="M8534" s="142">
        <v>0</v>
      </c>
    </row>
    <row r="8535" spans="1:13" x14ac:dyDescent="0.45">
      <c r="A8535" s="142" t="s">
        <v>13014</v>
      </c>
      <c r="B8535" s="142" t="s">
        <v>14505</v>
      </c>
      <c r="C8535" s="142" t="s">
        <v>15847</v>
      </c>
      <c r="D8535" s="142" t="s">
        <v>15848</v>
      </c>
      <c r="E8535" s="142" t="s">
        <v>15849</v>
      </c>
      <c r="F8535" s="142" t="s">
        <v>183</v>
      </c>
      <c r="G8535" s="142" t="s">
        <v>5343</v>
      </c>
      <c r="H8535" s="142" t="s">
        <v>24385</v>
      </c>
      <c r="I8535" s="142">
        <v>1</v>
      </c>
      <c r="J8535" s="142">
        <v>0</v>
      </c>
      <c r="K8535" s="142">
        <v>0</v>
      </c>
      <c r="L8535" s="142">
        <v>0</v>
      </c>
      <c r="M8535" s="142">
        <v>1</v>
      </c>
    </row>
    <row r="8536" spans="1:13" x14ac:dyDescent="0.45">
      <c r="A8536" s="142" t="s">
        <v>13042</v>
      </c>
      <c r="B8536" s="142" t="s">
        <v>15489</v>
      </c>
      <c r="C8536" s="142" t="s">
        <v>15847</v>
      </c>
      <c r="D8536" s="142" t="s">
        <v>15848</v>
      </c>
      <c r="E8536" s="142" t="s">
        <v>15849</v>
      </c>
      <c r="F8536" s="142" t="s">
        <v>183</v>
      </c>
      <c r="G8536" s="142" t="s">
        <v>5343</v>
      </c>
      <c r="H8536" s="142" t="s">
        <v>24386</v>
      </c>
      <c r="I8536" s="142">
        <v>16</v>
      </c>
      <c r="J8536" s="142">
        <v>0</v>
      </c>
      <c r="K8536" s="142">
        <v>0</v>
      </c>
      <c r="L8536" s="142">
        <v>16</v>
      </c>
      <c r="M8536" s="142">
        <v>0</v>
      </c>
    </row>
    <row r="8537" spans="1:13" x14ac:dyDescent="0.45">
      <c r="A8537" s="142" t="s">
        <v>13395</v>
      </c>
      <c r="B8537" s="142" t="s">
        <v>15476</v>
      </c>
      <c r="C8537" s="142" t="s">
        <v>15847</v>
      </c>
      <c r="D8537" s="142" t="s">
        <v>15848</v>
      </c>
      <c r="E8537" s="142" t="s">
        <v>15849</v>
      </c>
      <c r="F8537" s="142" t="s">
        <v>183</v>
      </c>
      <c r="G8537" s="142" t="s">
        <v>5343</v>
      </c>
      <c r="H8537" s="142" t="s">
        <v>24387</v>
      </c>
      <c r="I8537" s="142">
        <v>3599</v>
      </c>
      <c r="J8537" s="142">
        <v>2880</v>
      </c>
      <c r="K8537" s="142">
        <v>0</v>
      </c>
      <c r="L8537" s="142">
        <v>544</v>
      </c>
      <c r="M8537" s="142">
        <v>175</v>
      </c>
    </row>
    <row r="8538" spans="1:13" x14ac:dyDescent="0.45">
      <c r="A8538" s="142" t="s">
        <v>13142</v>
      </c>
      <c r="B8538" s="142" t="s">
        <v>15469</v>
      </c>
      <c r="C8538" s="142" t="s">
        <v>15847</v>
      </c>
      <c r="D8538" s="142" t="s">
        <v>15848</v>
      </c>
      <c r="E8538" s="142" t="s">
        <v>15849</v>
      </c>
      <c r="F8538" s="142" t="s">
        <v>183</v>
      </c>
      <c r="G8538" s="142" t="s">
        <v>5343</v>
      </c>
      <c r="H8538" s="142" t="s">
        <v>24388</v>
      </c>
      <c r="I8538" s="142">
        <v>523</v>
      </c>
      <c r="J8538" s="142">
        <v>464</v>
      </c>
      <c r="K8538" s="142">
        <v>22</v>
      </c>
      <c r="L8538" s="142">
        <v>23</v>
      </c>
      <c r="M8538" s="142">
        <v>14</v>
      </c>
    </row>
    <row r="8539" spans="1:13" x14ac:dyDescent="0.45">
      <c r="A8539" s="142" t="s">
        <v>13023</v>
      </c>
      <c r="B8539" s="142" t="s">
        <v>15571</v>
      </c>
      <c r="C8539" s="142" t="s">
        <v>15847</v>
      </c>
      <c r="D8539" s="142" t="s">
        <v>15848</v>
      </c>
      <c r="E8539" s="142" t="s">
        <v>15849</v>
      </c>
      <c r="F8539" s="142" t="s">
        <v>184</v>
      </c>
      <c r="G8539" s="142" t="s">
        <v>1601</v>
      </c>
      <c r="H8539" s="142" t="s">
        <v>24389</v>
      </c>
      <c r="I8539" s="142">
        <v>65</v>
      </c>
      <c r="J8539" s="142">
        <v>0</v>
      </c>
      <c r="K8539" s="142">
        <v>0</v>
      </c>
      <c r="L8539" s="142">
        <v>47</v>
      </c>
      <c r="M8539" s="142">
        <v>18</v>
      </c>
    </row>
    <row r="8540" spans="1:13" x14ac:dyDescent="0.45">
      <c r="A8540" s="142" t="s">
        <v>13065</v>
      </c>
      <c r="B8540" s="142" t="s">
        <v>14497</v>
      </c>
      <c r="C8540" s="142" t="s">
        <v>15847</v>
      </c>
      <c r="D8540" s="142" t="s">
        <v>15848</v>
      </c>
      <c r="E8540" s="142" t="s">
        <v>15849</v>
      </c>
      <c r="F8540" s="142" t="s">
        <v>184</v>
      </c>
      <c r="G8540" s="142" t="s">
        <v>1601</v>
      </c>
      <c r="H8540" s="142" t="s">
        <v>24390</v>
      </c>
      <c r="I8540" s="142">
        <v>6</v>
      </c>
      <c r="J8540" s="142">
        <v>0</v>
      </c>
      <c r="K8540" s="142">
        <v>0</v>
      </c>
      <c r="L8540" s="142">
        <v>6</v>
      </c>
      <c r="M8540" s="142">
        <v>0</v>
      </c>
    </row>
    <row r="8541" spans="1:13" x14ac:dyDescent="0.45">
      <c r="A8541" s="142" t="s">
        <v>13114</v>
      </c>
      <c r="B8541" s="142" t="s">
        <v>15328</v>
      </c>
      <c r="C8541" s="142" t="s">
        <v>15860</v>
      </c>
      <c r="D8541" s="142" t="s">
        <v>15861</v>
      </c>
      <c r="E8541" s="142" t="s">
        <v>15849</v>
      </c>
      <c r="F8541" s="142" t="s">
        <v>184</v>
      </c>
      <c r="G8541" s="142" t="s">
        <v>1601</v>
      </c>
      <c r="H8541" s="142" t="s">
        <v>24391</v>
      </c>
      <c r="I8541" s="142">
        <v>23</v>
      </c>
      <c r="J8541" s="142">
        <v>17</v>
      </c>
      <c r="K8541" s="142">
        <v>0</v>
      </c>
      <c r="L8541" s="142">
        <v>6</v>
      </c>
      <c r="M8541" s="142">
        <v>0</v>
      </c>
    </row>
    <row r="8542" spans="1:13" x14ac:dyDescent="0.45">
      <c r="A8542" s="142" t="s">
        <v>14214</v>
      </c>
      <c r="B8542" s="142" t="s">
        <v>15331</v>
      </c>
      <c r="C8542" s="142" t="s">
        <v>15860</v>
      </c>
      <c r="D8542" s="142" t="s">
        <v>15861</v>
      </c>
      <c r="E8542" s="142" t="s">
        <v>15849</v>
      </c>
      <c r="F8542" s="142" t="s">
        <v>184</v>
      </c>
      <c r="G8542" s="142" t="s">
        <v>1601</v>
      </c>
      <c r="H8542" s="142" t="s">
        <v>24392</v>
      </c>
      <c r="I8542" s="142">
        <v>30</v>
      </c>
      <c r="J8542" s="142">
        <v>0</v>
      </c>
      <c r="K8542" s="142">
        <v>0</v>
      </c>
      <c r="L8542" s="142">
        <v>30</v>
      </c>
      <c r="M8542" s="142">
        <v>0</v>
      </c>
    </row>
    <row r="8543" spans="1:13" x14ac:dyDescent="0.45">
      <c r="A8543" s="142" t="s">
        <v>13083</v>
      </c>
      <c r="B8543" s="142" t="s">
        <v>15440</v>
      </c>
      <c r="C8543" s="142" t="s">
        <v>15847</v>
      </c>
      <c r="D8543" s="142" t="s">
        <v>15848</v>
      </c>
      <c r="E8543" s="142" t="s">
        <v>15849</v>
      </c>
      <c r="F8543" s="142" t="s">
        <v>184</v>
      </c>
      <c r="G8543" s="142" t="s">
        <v>1601</v>
      </c>
      <c r="H8543" s="142" t="s">
        <v>24393</v>
      </c>
      <c r="I8543" s="142">
        <v>345</v>
      </c>
      <c r="J8543" s="142">
        <v>322</v>
      </c>
      <c r="K8543" s="142">
        <v>0</v>
      </c>
      <c r="L8543" s="142">
        <v>0</v>
      </c>
      <c r="M8543" s="142">
        <v>23</v>
      </c>
    </row>
    <row r="8544" spans="1:13" x14ac:dyDescent="0.45">
      <c r="A8544" s="142" t="s">
        <v>13000</v>
      </c>
      <c r="B8544" s="142" t="s">
        <v>14610</v>
      </c>
      <c r="C8544" s="142" t="s">
        <v>15847</v>
      </c>
      <c r="D8544" s="142" t="s">
        <v>15848</v>
      </c>
      <c r="E8544" s="142" t="s">
        <v>15849</v>
      </c>
      <c r="F8544" s="142" t="s">
        <v>184</v>
      </c>
      <c r="G8544" s="142" t="s">
        <v>1601</v>
      </c>
      <c r="H8544" s="142" t="s">
        <v>24394</v>
      </c>
      <c r="I8544" s="142">
        <v>7</v>
      </c>
      <c r="J8544" s="142">
        <v>0</v>
      </c>
      <c r="K8544" s="142">
        <v>0</v>
      </c>
      <c r="L8544" s="142">
        <v>7</v>
      </c>
      <c r="M8544" s="142">
        <v>0</v>
      </c>
    </row>
    <row r="8545" spans="1:13" x14ac:dyDescent="0.45">
      <c r="A8545" s="142" t="s">
        <v>13086</v>
      </c>
      <c r="B8545" s="142" t="s">
        <v>15380</v>
      </c>
      <c r="C8545" s="142" t="s">
        <v>15847</v>
      </c>
      <c r="D8545" s="142" t="s">
        <v>15848</v>
      </c>
      <c r="E8545" s="142" t="s">
        <v>15849</v>
      </c>
      <c r="F8545" s="142" t="s">
        <v>184</v>
      </c>
      <c r="G8545" s="142" t="s">
        <v>1601</v>
      </c>
      <c r="H8545" s="142" t="s">
        <v>24395</v>
      </c>
      <c r="I8545" s="142">
        <v>410</v>
      </c>
      <c r="J8545" s="142">
        <v>370</v>
      </c>
      <c r="K8545" s="142">
        <v>0</v>
      </c>
      <c r="L8545" s="142">
        <v>8</v>
      </c>
      <c r="M8545" s="142">
        <v>32</v>
      </c>
    </row>
    <row r="8546" spans="1:13" x14ac:dyDescent="0.45">
      <c r="A8546" s="142" t="s">
        <v>13028</v>
      </c>
      <c r="B8546" s="142" t="s">
        <v>14462</v>
      </c>
      <c r="C8546" s="142" t="s">
        <v>15847</v>
      </c>
      <c r="D8546" s="142" t="s">
        <v>15848</v>
      </c>
      <c r="E8546" s="142" t="s">
        <v>15849</v>
      </c>
      <c r="F8546" s="142" t="s">
        <v>184</v>
      </c>
      <c r="G8546" s="142" t="s">
        <v>1601</v>
      </c>
      <c r="H8546" s="142" t="s">
        <v>24396</v>
      </c>
      <c r="I8546" s="142">
        <v>5</v>
      </c>
      <c r="J8546" s="142">
        <v>0</v>
      </c>
      <c r="K8546" s="142">
        <v>0</v>
      </c>
      <c r="L8546" s="142">
        <v>0</v>
      </c>
      <c r="M8546" s="142">
        <v>5</v>
      </c>
    </row>
    <row r="8547" spans="1:13" x14ac:dyDescent="0.45">
      <c r="A8547" s="142" t="s">
        <v>13076</v>
      </c>
      <c r="B8547" s="142" t="s">
        <v>14636</v>
      </c>
      <c r="C8547" s="142" t="s">
        <v>15847</v>
      </c>
      <c r="D8547" s="142" t="s">
        <v>15848</v>
      </c>
      <c r="E8547" s="142" t="s">
        <v>15849</v>
      </c>
      <c r="F8547" s="142" t="s">
        <v>184</v>
      </c>
      <c r="G8547" s="142" t="s">
        <v>1601</v>
      </c>
      <c r="H8547" s="142" t="s">
        <v>24397</v>
      </c>
      <c r="I8547" s="142">
        <v>55</v>
      </c>
      <c r="J8547" s="142">
        <v>0</v>
      </c>
      <c r="K8547" s="142">
        <v>0</v>
      </c>
      <c r="L8547" s="142">
        <v>0</v>
      </c>
      <c r="M8547" s="142">
        <v>55</v>
      </c>
    </row>
    <row r="8548" spans="1:13" x14ac:dyDescent="0.45">
      <c r="A8548" s="142" t="s">
        <v>13100</v>
      </c>
      <c r="B8548" s="142" t="s">
        <v>15603</v>
      </c>
      <c r="C8548" s="142" t="s">
        <v>15847</v>
      </c>
      <c r="D8548" s="142" t="s">
        <v>15848</v>
      </c>
      <c r="E8548" s="142" t="s">
        <v>15849</v>
      </c>
      <c r="F8548" s="142" t="s">
        <v>184</v>
      </c>
      <c r="G8548" s="142" t="s">
        <v>1601</v>
      </c>
      <c r="H8548" s="142" t="s">
        <v>24398</v>
      </c>
      <c r="I8548" s="142">
        <v>87</v>
      </c>
      <c r="J8548" s="142">
        <v>87</v>
      </c>
      <c r="K8548" s="142">
        <v>0</v>
      </c>
      <c r="L8548" s="142">
        <v>0</v>
      </c>
      <c r="M8548" s="142">
        <v>0</v>
      </c>
    </row>
    <row r="8549" spans="1:13" x14ac:dyDescent="0.45">
      <c r="A8549" s="142" t="s">
        <v>13005</v>
      </c>
      <c r="B8549" s="142" t="s">
        <v>15475</v>
      </c>
      <c r="C8549" s="142" t="s">
        <v>15847</v>
      </c>
      <c r="D8549" s="142" t="s">
        <v>15848</v>
      </c>
      <c r="E8549" s="142" t="s">
        <v>15849</v>
      </c>
      <c r="F8549" s="142" t="s">
        <v>184</v>
      </c>
      <c r="G8549" s="142" t="s">
        <v>1601</v>
      </c>
      <c r="H8549" s="142" t="s">
        <v>24399</v>
      </c>
      <c r="I8549" s="142">
        <v>62</v>
      </c>
      <c r="J8549" s="142">
        <v>15</v>
      </c>
      <c r="K8549" s="142">
        <v>0</v>
      </c>
      <c r="L8549" s="142">
        <v>0</v>
      </c>
      <c r="M8549" s="142">
        <v>47</v>
      </c>
    </row>
    <row r="8550" spans="1:13" x14ac:dyDescent="0.45">
      <c r="A8550" s="142" t="s">
        <v>13007</v>
      </c>
      <c r="B8550" s="142" t="s">
        <v>15262</v>
      </c>
      <c r="C8550" s="142" t="s">
        <v>15847</v>
      </c>
      <c r="D8550" s="142" t="s">
        <v>15848</v>
      </c>
      <c r="E8550" s="142" t="s">
        <v>15849</v>
      </c>
      <c r="F8550" s="142" t="s">
        <v>184</v>
      </c>
      <c r="G8550" s="142" t="s">
        <v>1601</v>
      </c>
      <c r="H8550" s="142" t="s">
        <v>24400</v>
      </c>
      <c r="I8550" s="142">
        <v>339</v>
      </c>
      <c r="J8550" s="142">
        <v>263</v>
      </c>
      <c r="K8550" s="142">
        <v>0</v>
      </c>
      <c r="L8550" s="142">
        <v>0</v>
      </c>
      <c r="M8550" s="142">
        <v>76</v>
      </c>
    </row>
    <row r="8551" spans="1:13" x14ac:dyDescent="0.45">
      <c r="A8551" s="142" t="s">
        <v>13103</v>
      </c>
      <c r="B8551" s="142" t="s">
        <v>14623</v>
      </c>
      <c r="C8551" s="142" t="s">
        <v>15847</v>
      </c>
      <c r="D8551" s="142" t="s">
        <v>15848</v>
      </c>
      <c r="E8551" s="142" t="s">
        <v>15849</v>
      </c>
      <c r="F8551" s="142" t="s">
        <v>184</v>
      </c>
      <c r="G8551" s="142" t="s">
        <v>1601</v>
      </c>
      <c r="H8551" s="142" t="s">
        <v>24401</v>
      </c>
      <c r="I8551" s="142">
        <v>48</v>
      </c>
      <c r="J8551" s="142">
        <v>39</v>
      </c>
      <c r="K8551" s="142">
        <v>0</v>
      </c>
      <c r="L8551" s="142">
        <v>0</v>
      </c>
      <c r="M8551" s="142">
        <v>9</v>
      </c>
    </row>
    <row r="8552" spans="1:13" x14ac:dyDescent="0.45">
      <c r="A8552" s="142" t="s">
        <v>13008</v>
      </c>
      <c r="B8552" s="142" t="s">
        <v>15411</v>
      </c>
      <c r="C8552" s="142" t="s">
        <v>15847</v>
      </c>
      <c r="D8552" s="142" t="s">
        <v>15848</v>
      </c>
      <c r="E8552" s="142" t="s">
        <v>15849</v>
      </c>
      <c r="F8552" s="142" t="s">
        <v>184</v>
      </c>
      <c r="G8552" s="142" t="s">
        <v>1601</v>
      </c>
      <c r="H8552" s="142" t="s">
        <v>24402</v>
      </c>
      <c r="I8552" s="142">
        <v>25</v>
      </c>
      <c r="J8552" s="142">
        <v>0</v>
      </c>
      <c r="K8552" s="142">
        <v>0</v>
      </c>
      <c r="L8552" s="142">
        <v>0</v>
      </c>
      <c r="M8552" s="142">
        <v>25</v>
      </c>
    </row>
    <row r="8553" spans="1:13" x14ac:dyDescent="0.45">
      <c r="A8553" s="142" t="s">
        <v>13104</v>
      </c>
      <c r="B8553" s="142" t="s">
        <v>14622</v>
      </c>
      <c r="C8553" s="142" t="s">
        <v>15847</v>
      </c>
      <c r="D8553" s="142" t="s">
        <v>15848</v>
      </c>
      <c r="E8553" s="142" t="s">
        <v>15849</v>
      </c>
      <c r="F8553" s="142" t="s">
        <v>184</v>
      </c>
      <c r="G8553" s="142" t="s">
        <v>1601</v>
      </c>
      <c r="H8553" s="142" t="s">
        <v>24403</v>
      </c>
      <c r="I8553" s="142">
        <v>291</v>
      </c>
      <c r="J8553" s="142">
        <v>218</v>
      </c>
      <c r="K8553" s="142">
        <v>0</v>
      </c>
      <c r="L8553" s="142">
        <v>36</v>
      </c>
      <c r="M8553" s="142">
        <v>37</v>
      </c>
    </row>
    <row r="8554" spans="1:13" x14ac:dyDescent="0.45">
      <c r="A8554" s="142" t="s">
        <v>13033</v>
      </c>
      <c r="B8554" s="142" t="s">
        <v>15276</v>
      </c>
      <c r="C8554" s="142" t="s">
        <v>15847</v>
      </c>
      <c r="D8554" s="142" t="s">
        <v>15848</v>
      </c>
      <c r="E8554" s="142" t="s">
        <v>15849</v>
      </c>
      <c r="F8554" s="142" t="s">
        <v>184</v>
      </c>
      <c r="G8554" s="142" t="s">
        <v>1601</v>
      </c>
      <c r="H8554" s="142" t="s">
        <v>24404</v>
      </c>
      <c r="I8554" s="142">
        <v>4</v>
      </c>
      <c r="J8554" s="142">
        <v>4</v>
      </c>
      <c r="K8554" s="142">
        <v>0</v>
      </c>
      <c r="L8554" s="142">
        <v>0</v>
      </c>
      <c r="M8554" s="142">
        <v>0</v>
      </c>
    </row>
    <row r="8555" spans="1:13" x14ac:dyDescent="0.45">
      <c r="A8555" s="142" t="s">
        <v>13105</v>
      </c>
      <c r="B8555" s="142" t="s">
        <v>14654</v>
      </c>
      <c r="C8555" s="142" t="s">
        <v>15847</v>
      </c>
      <c r="D8555" s="142" t="s">
        <v>15848</v>
      </c>
      <c r="E8555" s="142" t="s">
        <v>15849</v>
      </c>
      <c r="F8555" s="142" t="s">
        <v>184</v>
      </c>
      <c r="G8555" s="142" t="s">
        <v>1601</v>
      </c>
      <c r="H8555" s="142" t="s">
        <v>24405</v>
      </c>
      <c r="I8555" s="142">
        <v>147</v>
      </c>
      <c r="J8555" s="142">
        <v>0</v>
      </c>
      <c r="K8555" s="142">
        <v>0</v>
      </c>
      <c r="L8555" s="142">
        <v>0</v>
      </c>
      <c r="M8555" s="142">
        <v>147</v>
      </c>
    </row>
    <row r="8556" spans="1:13" x14ac:dyDescent="0.45">
      <c r="A8556" s="142" t="s">
        <v>13039</v>
      </c>
      <c r="B8556" s="142" t="s">
        <v>14647</v>
      </c>
      <c r="C8556" s="142" t="s">
        <v>15847</v>
      </c>
      <c r="D8556" s="142" t="s">
        <v>15848</v>
      </c>
      <c r="E8556" s="142" t="s">
        <v>15849</v>
      </c>
      <c r="F8556" s="142" t="s">
        <v>184</v>
      </c>
      <c r="G8556" s="142" t="s">
        <v>1601</v>
      </c>
      <c r="H8556" s="142" t="s">
        <v>24406</v>
      </c>
      <c r="I8556" s="142">
        <v>44</v>
      </c>
      <c r="J8556" s="142">
        <v>44</v>
      </c>
      <c r="K8556" s="142">
        <v>0</v>
      </c>
      <c r="L8556" s="142">
        <v>0</v>
      </c>
      <c r="M8556" s="142">
        <v>0</v>
      </c>
    </row>
    <row r="8557" spans="1:13" x14ac:dyDescent="0.45">
      <c r="A8557" s="142" t="s">
        <v>13009</v>
      </c>
      <c r="B8557" s="142" t="s">
        <v>15256</v>
      </c>
      <c r="C8557" s="142" t="s">
        <v>15847</v>
      </c>
      <c r="D8557" s="142" t="s">
        <v>15848</v>
      </c>
      <c r="E8557" s="142" t="s">
        <v>15849</v>
      </c>
      <c r="F8557" s="142" t="s">
        <v>184</v>
      </c>
      <c r="G8557" s="142" t="s">
        <v>1601</v>
      </c>
      <c r="H8557" s="142" t="s">
        <v>24407</v>
      </c>
      <c r="I8557" s="142">
        <v>116</v>
      </c>
      <c r="J8557" s="142">
        <v>74</v>
      </c>
      <c r="K8557" s="142">
        <v>0</v>
      </c>
      <c r="L8557" s="142">
        <v>42</v>
      </c>
      <c r="M8557" s="142">
        <v>0</v>
      </c>
    </row>
    <row r="8558" spans="1:13" x14ac:dyDescent="0.45">
      <c r="A8558" s="142" t="s">
        <v>13011</v>
      </c>
      <c r="B8558" s="142" t="s">
        <v>14695</v>
      </c>
      <c r="C8558" s="142" t="s">
        <v>15847</v>
      </c>
      <c r="D8558" s="142" t="s">
        <v>15848</v>
      </c>
      <c r="E8558" s="142" t="s">
        <v>15849</v>
      </c>
      <c r="F8558" s="142" t="s">
        <v>184</v>
      </c>
      <c r="G8558" s="142" t="s">
        <v>1601</v>
      </c>
      <c r="H8558" s="142" t="s">
        <v>24408</v>
      </c>
      <c r="I8558" s="142">
        <v>384</v>
      </c>
      <c r="J8558" s="142">
        <v>354</v>
      </c>
      <c r="K8558" s="142">
        <v>0</v>
      </c>
      <c r="L8558" s="142">
        <v>2</v>
      </c>
      <c r="M8558" s="142">
        <v>28</v>
      </c>
    </row>
    <row r="8559" spans="1:13" x14ac:dyDescent="0.45">
      <c r="A8559" s="142" t="s">
        <v>13041</v>
      </c>
      <c r="B8559" s="142" t="s">
        <v>14441</v>
      </c>
      <c r="C8559" s="142" t="s">
        <v>15847</v>
      </c>
      <c r="D8559" s="142" t="s">
        <v>15848</v>
      </c>
      <c r="E8559" s="142" t="s">
        <v>15849</v>
      </c>
      <c r="F8559" s="142" t="s">
        <v>184</v>
      </c>
      <c r="G8559" s="142" t="s">
        <v>1601</v>
      </c>
      <c r="H8559" s="142" t="s">
        <v>24409</v>
      </c>
      <c r="I8559" s="142">
        <v>22</v>
      </c>
      <c r="J8559" s="142">
        <v>0</v>
      </c>
      <c r="K8559" s="142">
        <v>0</v>
      </c>
      <c r="L8559" s="142">
        <v>0</v>
      </c>
      <c r="M8559" s="142">
        <v>22</v>
      </c>
    </row>
    <row r="8560" spans="1:13" x14ac:dyDescent="0.45">
      <c r="A8560" s="142" t="s">
        <v>13106</v>
      </c>
      <c r="B8560" s="142" t="s">
        <v>15414</v>
      </c>
      <c r="C8560" s="142" t="s">
        <v>15847</v>
      </c>
      <c r="D8560" s="142" t="s">
        <v>15848</v>
      </c>
      <c r="E8560" s="142" t="s">
        <v>15849</v>
      </c>
      <c r="F8560" s="142" t="s">
        <v>184</v>
      </c>
      <c r="G8560" s="142" t="s">
        <v>1601</v>
      </c>
      <c r="H8560" s="142" t="s">
        <v>24410</v>
      </c>
      <c r="I8560" s="142">
        <v>213</v>
      </c>
      <c r="J8560" s="142">
        <v>176</v>
      </c>
      <c r="K8560" s="142">
        <v>0</v>
      </c>
      <c r="L8560" s="142">
        <v>0</v>
      </c>
      <c r="M8560" s="142">
        <v>37</v>
      </c>
    </row>
    <row r="8561" spans="1:13" x14ac:dyDescent="0.45">
      <c r="A8561" s="142" t="s">
        <v>13042</v>
      </c>
      <c r="B8561" s="142" t="s">
        <v>15489</v>
      </c>
      <c r="C8561" s="142" t="s">
        <v>15847</v>
      </c>
      <c r="D8561" s="142" t="s">
        <v>15848</v>
      </c>
      <c r="E8561" s="142" t="s">
        <v>15849</v>
      </c>
      <c r="F8561" s="142" t="s">
        <v>184</v>
      </c>
      <c r="G8561" s="142" t="s">
        <v>1601</v>
      </c>
      <c r="H8561" s="142" t="s">
        <v>24411</v>
      </c>
      <c r="I8561" s="142">
        <v>14</v>
      </c>
      <c r="J8561" s="142">
        <v>0</v>
      </c>
      <c r="K8561" s="142">
        <v>0</v>
      </c>
      <c r="L8561" s="142">
        <v>14</v>
      </c>
      <c r="M8561" s="142">
        <v>0</v>
      </c>
    </row>
    <row r="8562" spans="1:13" x14ac:dyDescent="0.45">
      <c r="A8562" s="142" t="s">
        <v>13110</v>
      </c>
      <c r="B8562" s="142" t="s">
        <v>15502</v>
      </c>
      <c r="C8562" s="142" t="s">
        <v>15847</v>
      </c>
      <c r="D8562" s="142" t="s">
        <v>15848</v>
      </c>
      <c r="E8562" s="142" t="s">
        <v>15849</v>
      </c>
      <c r="F8562" s="142" t="s">
        <v>185</v>
      </c>
      <c r="G8562" s="142" t="s">
        <v>5835</v>
      </c>
      <c r="H8562" s="142" t="s">
        <v>24412</v>
      </c>
      <c r="I8562" s="142">
        <v>5</v>
      </c>
      <c r="J8562" s="142">
        <v>0</v>
      </c>
      <c r="K8562" s="142">
        <v>0</v>
      </c>
      <c r="L8562" s="142">
        <v>0</v>
      </c>
      <c r="M8562" s="142">
        <v>5</v>
      </c>
    </row>
    <row r="8563" spans="1:13" x14ac:dyDescent="0.45">
      <c r="A8563" s="142" t="s">
        <v>13021</v>
      </c>
      <c r="B8563" s="142" t="s">
        <v>15501</v>
      </c>
      <c r="C8563" s="142" t="s">
        <v>15847</v>
      </c>
      <c r="D8563" s="142" t="s">
        <v>15848</v>
      </c>
      <c r="E8563" s="142" t="s">
        <v>15849</v>
      </c>
      <c r="F8563" s="142" t="s">
        <v>185</v>
      </c>
      <c r="G8563" s="142" t="s">
        <v>5835</v>
      </c>
      <c r="H8563" s="142" t="s">
        <v>24413</v>
      </c>
      <c r="I8563" s="142">
        <v>1</v>
      </c>
      <c r="J8563" s="142">
        <v>0</v>
      </c>
      <c r="K8563" s="142">
        <v>0</v>
      </c>
      <c r="L8563" s="142">
        <v>0</v>
      </c>
      <c r="M8563" s="142">
        <v>1</v>
      </c>
    </row>
    <row r="8564" spans="1:13" x14ac:dyDescent="0.45">
      <c r="A8564" s="142" t="s">
        <v>14292</v>
      </c>
      <c r="B8564" s="142" t="s">
        <v>14888</v>
      </c>
      <c r="C8564" s="142" t="s">
        <v>15860</v>
      </c>
      <c r="D8564" s="142" t="s">
        <v>15861</v>
      </c>
      <c r="E8564" s="142" t="s">
        <v>15849</v>
      </c>
      <c r="F8564" s="142" t="s">
        <v>185</v>
      </c>
      <c r="G8564" s="142" t="s">
        <v>5835</v>
      </c>
      <c r="H8564" s="142" t="s">
        <v>24414</v>
      </c>
      <c r="I8564" s="142">
        <v>10</v>
      </c>
      <c r="J8564" s="142">
        <v>0</v>
      </c>
      <c r="K8564" s="142">
        <v>0</v>
      </c>
      <c r="L8564" s="142">
        <v>10</v>
      </c>
      <c r="M8564" s="142">
        <v>0</v>
      </c>
    </row>
    <row r="8565" spans="1:13" x14ac:dyDescent="0.45">
      <c r="A8565" s="142" t="s">
        <v>13023</v>
      </c>
      <c r="B8565" s="142" t="s">
        <v>15571</v>
      </c>
      <c r="C8565" s="142" t="s">
        <v>15847</v>
      </c>
      <c r="D8565" s="142" t="s">
        <v>15848</v>
      </c>
      <c r="E8565" s="142" t="s">
        <v>15849</v>
      </c>
      <c r="F8565" s="142" t="s">
        <v>185</v>
      </c>
      <c r="G8565" s="142" t="s">
        <v>5835</v>
      </c>
      <c r="H8565" s="142" t="s">
        <v>24415</v>
      </c>
      <c r="I8565" s="142">
        <v>14</v>
      </c>
      <c r="J8565" s="142">
        <v>0</v>
      </c>
      <c r="K8565" s="142">
        <v>0</v>
      </c>
      <c r="L8565" s="142">
        <v>14</v>
      </c>
      <c r="M8565" s="142">
        <v>0</v>
      </c>
    </row>
    <row r="8566" spans="1:13" x14ac:dyDescent="0.45">
      <c r="A8566" s="142" t="s">
        <v>14293</v>
      </c>
      <c r="B8566" s="142" t="s">
        <v>14928</v>
      </c>
      <c r="C8566" s="142" t="s">
        <v>15860</v>
      </c>
      <c r="D8566" s="142" t="s">
        <v>15861</v>
      </c>
      <c r="E8566" s="142" t="s">
        <v>15849</v>
      </c>
      <c r="F8566" s="142" t="s">
        <v>185</v>
      </c>
      <c r="G8566" s="142" t="s">
        <v>5835</v>
      </c>
      <c r="H8566" s="142" t="s">
        <v>24416</v>
      </c>
      <c r="I8566" s="142">
        <v>2</v>
      </c>
      <c r="J8566" s="142">
        <v>0</v>
      </c>
      <c r="K8566" s="142">
        <v>0</v>
      </c>
      <c r="L8566" s="142">
        <v>2</v>
      </c>
      <c r="M8566" s="142">
        <v>0</v>
      </c>
    </row>
    <row r="8567" spans="1:13" x14ac:dyDescent="0.45">
      <c r="A8567" s="142" t="s">
        <v>13000</v>
      </c>
      <c r="B8567" s="142" t="s">
        <v>14610</v>
      </c>
      <c r="C8567" s="142" t="s">
        <v>15847</v>
      </c>
      <c r="D8567" s="142" t="s">
        <v>15848</v>
      </c>
      <c r="E8567" s="142" t="s">
        <v>15849</v>
      </c>
      <c r="F8567" s="142" t="s">
        <v>185</v>
      </c>
      <c r="G8567" s="142" t="s">
        <v>5835</v>
      </c>
      <c r="H8567" s="142" t="s">
        <v>24417</v>
      </c>
      <c r="I8567" s="142">
        <v>7034</v>
      </c>
      <c r="J8567" s="142">
        <v>6352</v>
      </c>
      <c r="K8567" s="142">
        <v>1</v>
      </c>
      <c r="L8567" s="142">
        <v>293</v>
      </c>
      <c r="M8567" s="142">
        <v>388</v>
      </c>
    </row>
    <row r="8568" spans="1:13" x14ac:dyDescent="0.45">
      <c r="A8568" s="142" t="s">
        <v>14294</v>
      </c>
      <c r="B8568" s="142" t="s">
        <v>14849</v>
      </c>
      <c r="C8568" s="142" t="s">
        <v>15860</v>
      </c>
      <c r="D8568" s="142" t="s">
        <v>15861</v>
      </c>
      <c r="E8568" s="142" t="s">
        <v>15849</v>
      </c>
      <c r="F8568" s="142" t="s">
        <v>185</v>
      </c>
      <c r="G8568" s="142" t="s">
        <v>5835</v>
      </c>
      <c r="H8568" s="142" t="s">
        <v>24418</v>
      </c>
      <c r="I8568" s="142">
        <v>10</v>
      </c>
      <c r="J8568" s="142">
        <v>0</v>
      </c>
      <c r="K8568" s="142">
        <v>0</v>
      </c>
      <c r="L8568" s="142">
        <v>10</v>
      </c>
      <c r="M8568" s="142">
        <v>0</v>
      </c>
    </row>
    <row r="8569" spans="1:13" x14ac:dyDescent="0.45">
      <c r="A8569" s="142" t="s">
        <v>13168</v>
      </c>
      <c r="B8569" s="142" t="s">
        <v>14486</v>
      </c>
      <c r="C8569" s="142" t="s">
        <v>15860</v>
      </c>
      <c r="D8569" s="142" t="s">
        <v>15861</v>
      </c>
      <c r="E8569" s="142" t="s">
        <v>15849</v>
      </c>
      <c r="F8569" s="142" t="s">
        <v>185</v>
      </c>
      <c r="G8569" s="142" t="s">
        <v>5835</v>
      </c>
      <c r="H8569" s="142" t="s">
        <v>24419</v>
      </c>
      <c r="I8569" s="142">
        <v>2</v>
      </c>
      <c r="J8569" s="142">
        <v>0</v>
      </c>
      <c r="K8569" s="142">
        <v>0</v>
      </c>
      <c r="L8569" s="142">
        <v>2</v>
      </c>
      <c r="M8569" s="142">
        <v>0</v>
      </c>
    </row>
    <row r="8570" spans="1:13" x14ac:dyDescent="0.45">
      <c r="A8570" s="142" t="s">
        <v>13075</v>
      </c>
      <c r="B8570" s="142" t="s">
        <v>15598</v>
      </c>
      <c r="C8570" s="142" t="s">
        <v>15847</v>
      </c>
      <c r="D8570" s="142" t="s">
        <v>15848</v>
      </c>
      <c r="E8570" s="142" t="s">
        <v>15849</v>
      </c>
      <c r="F8570" s="142" t="s">
        <v>185</v>
      </c>
      <c r="G8570" s="142" t="s">
        <v>5835</v>
      </c>
      <c r="H8570" s="142" t="s">
        <v>24420</v>
      </c>
      <c r="I8570" s="142">
        <v>189</v>
      </c>
      <c r="J8570" s="142">
        <v>189</v>
      </c>
      <c r="K8570" s="142">
        <v>0</v>
      </c>
      <c r="L8570" s="142">
        <v>0</v>
      </c>
      <c r="M8570" s="142">
        <v>0</v>
      </c>
    </row>
    <row r="8571" spans="1:13" x14ac:dyDescent="0.45">
      <c r="A8571" s="142" t="s">
        <v>14295</v>
      </c>
      <c r="B8571" s="142" t="s">
        <v>15299</v>
      </c>
      <c r="C8571" s="142" t="s">
        <v>15860</v>
      </c>
      <c r="D8571" s="142" t="s">
        <v>15861</v>
      </c>
      <c r="E8571" s="142" t="s">
        <v>15849</v>
      </c>
      <c r="F8571" s="142" t="s">
        <v>185</v>
      </c>
      <c r="G8571" s="142" t="s">
        <v>5835</v>
      </c>
      <c r="H8571" s="142" t="s">
        <v>24421</v>
      </c>
      <c r="I8571" s="142">
        <v>16</v>
      </c>
      <c r="J8571" s="142">
        <v>16</v>
      </c>
      <c r="K8571" s="142">
        <v>0</v>
      </c>
      <c r="L8571" s="142">
        <v>0</v>
      </c>
      <c r="M8571" s="142">
        <v>0</v>
      </c>
    </row>
    <row r="8572" spans="1:13" x14ac:dyDescent="0.45">
      <c r="A8572" s="142" t="s">
        <v>13002</v>
      </c>
      <c r="B8572" s="142" t="s">
        <v>15376</v>
      </c>
      <c r="C8572" s="142" t="s">
        <v>15847</v>
      </c>
      <c r="D8572" s="142" t="s">
        <v>15848</v>
      </c>
      <c r="E8572" s="142" t="s">
        <v>15849</v>
      </c>
      <c r="F8572" s="142" t="s">
        <v>185</v>
      </c>
      <c r="G8572" s="142" t="s">
        <v>5835</v>
      </c>
      <c r="H8572" s="142" t="s">
        <v>24422</v>
      </c>
      <c r="I8572" s="142">
        <v>1</v>
      </c>
      <c r="J8572" s="142">
        <v>0</v>
      </c>
      <c r="K8572" s="142">
        <v>0</v>
      </c>
      <c r="L8572" s="142">
        <v>1</v>
      </c>
      <c r="M8572" s="142">
        <v>0</v>
      </c>
    </row>
    <row r="8573" spans="1:13" x14ac:dyDescent="0.45">
      <c r="A8573" s="142" t="s">
        <v>13003</v>
      </c>
      <c r="B8573" s="142" t="s">
        <v>15245</v>
      </c>
      <c r="C8573" s="142" t="s">
        <v>15847</v>
      </c>
      <c r="D8573" s="142" t="s">
        <v>15848</v>
      </c>
      <c r="E8573" s="142" t="s">
        <v>15849</v>
      </c>
      <c r="F8573" s="142" t="s">
        <v>185</v>
      </c>
      <c r="G8573" s="142" t="s">
        <v>5835</v>
      </c>
      <c r="H8573" s="142" t="s">
        <v>24423</v>
      </c>
      <c r="I8573" s="142">
        <v>127</v>
      </c>
      <c r="J8573" s="142">
        <v>0</v>
      </c>
      <c r="K8573" s="142">
        <v>0</v>
      </c>
      <c r="L8573" s="142">
        <v>127</v>
      </c>
      <c r="M8573" s="142">
        <v>0</v>
      </c>
    </row>
    <row r="8574" spans="1:13" x14ac:dyDescent="0.45">
      <c r="A8574" s="142" t="s">
        <v>13004</v>
      </c>
      <c r="B8574" s="142" t="s">
        <v>15492</v>
      </c>
      <c r="C8574" s="142" t="s">
        <v>15847</v>
      </c>
      <c r="D8574" s="142" t="s">
        <v>15848</v>
      </c>
      <c r="E8574" s="142" t="s">
        <v>15849</v>
      </c>
      <c r="F8574" s="142" t="s">
        <v>185</v>
      </c>
      <c r="G8574" s="142" t="s">
        <v>5835</v>
      </c>
      <c r="H8574" s="142" t="s">
        <v>24424</v>
      </c>
      <c r="I8574" s="142">
        <v>294</v>
      </c>
      <c r="J8574" s="142">
        <v>233</v>
      </c>
      <c r="K8574" s="142">
        <v>0</v>
      </c>
      <c r="L8574" s="142">
        <v>0</v>
      </c>
      <c r="M8574" s="142">
        <v>61</v>
      </c>
    </row>
    <row r="8575" spans="1:13" x14ac:dyDescent="0.45">
      <c r="A8575" s="142" t="s">
        <v>13076</v>
      </c>
      <c r="B8575" s="142" t="s">
        <v>14636</v>
      </c>
      <c r="C8575" s="142" t="s">
        <v>15847</v>
      </c>
      <c r="D8575" s="142" t="s">
        <v>15848</v>
      </c>
      <c r="E8575" s="142" t="s">
        <v>15849</v>
      </c>
      <c r="F8575" s="142" t="s">
        <v>185</v>
      </c>
      <c r="G8575" s="142" t="s">
        <v>5835</v>
      </c>
      <c r="H8575" s="142" t="s">
        <v>24425</v>
      </c>
      <c r="I8575" s="142">
        <v>6</v>
      </c>
      <c r="J8575" s="142">
        <v>0</v>
      </c>
      <c r="K8575" s="142">
        <v>0</v>
      </c>
      <c r="L8575" s="142">
        <v>0</v>
      </c>
      <c r="M8575" s="142">
        <v>6</v>
      </c>
    </row>
    <row r="8576" spans="1:13" x14ac:dyDescent="0.45">
      <c r="A8576" s="142" t="s">
        <v>13190</v>
      </c>
      <c r="B8576" s="142" t="s">
        <v>14617</v>
      </c>
      <c r="C8576" s="142" t="s">
        <v>15847</v>
      </c>
      <c r="D8576" s="142" t="s">
        <v>15848</v>
      </c>
      <c r="E8576" s="142" t="s">
        <v>15849</v>
      </c>
      <c r="F8576" s="142" t="s">
        <v>185</v>
      </c>
      <c r="G8576" s="142" t="s">
        <v>5835</v>
      </c>
      <c r="H8576" s="142" t="s">
        <v>24426</v>
      </c>
      <c r="I8576" s="142">
        <v>1</v>
      </c>
      <c r="J8576" s="142">
        <v>0</v>
      </c>
      <c r="K8576" s="142">
        <v>0</v>
      </c>
      <c r="L8576" s="142">
        <v>0</v>
      </c>
      <c r="M8576" s="142">
        <v>1</v>
      </c>
    </row>
    <row r="8577" spans="1:13" x14ac:dyDescent="0.45">
      <c r="A8577" s="142" t="s">
        <v>13005</v>
      </c>
      <c r="B8577" s="142" t="s">
        <v>15475</v>
      </c>
      <c r="C8577" s="142" t="s">
        <v>15847</v>
      </c>
      <c r="D8577" s="142" t="s">
        <v>15848</v>
      </c>
      <c r="E8577" s="142" t="s">
        <v>15849</v>
      </c>
      <c r="F8577" s="142" t="s">
        <v>185</v>
      </c>
      <c r="G8577" s="142" t="s">
        <v>5835</v>
      </c>
      <c r="H8577" s="142" t="s">
        <v>24427</v>
      </c>
      <c r="I8577" s="142">
        <v>5</v>
      </c>
      <c r="J8577" s="142">
        <v>0</v>
      </c>
      <c r="K8577" s="142">
        <v>0</v>
      </c>
      <c r="L8577" s="142">
        <v>0</v>
      </c>
      <c r="M8577" s="142">
        <v>5</v>
      </c>
    </row>
    <row r="8578" spans="1:13" x14ac:dyDescent="0.45">
      <c r="A8578" s="142" t="s">
        <v>13007</v>
      </c>
      <c r="B8578" s="142" t="s">
        <v>15262</v>
      </c>
      <c r="C8578" s="142" t="s">
        <v>15847</v>
      </c>
      <c r="D8578" s="142" t="s">
        <v>15848</v>
      </c>
      <c r="E8578" s="142" t="s">
        <v>15849</v>
      </c>
      <c r="F8578" s="142" t="s">
        <v>185</v>
      </c>
      <c r="G8578" s="142" t="s">
        <v>5835</v>
      </c>
      <c r="H8578" s="142" t="s">
        <v>24428</v>
      </c>
      <c r="I8578" s="142">
        <v>775</v>
      </c>
      <c r="J8578" s="142">
        <v>325</v>
      </c>
      <c r="K8578" s="142">
        <v>0</v>
      </c>
      <c r="L8578" s="142">
        <v>50</v>
      </c>
      <c r="M8578" s="142">
        <v>400</v>
      </c>
    </row>
    <row r="8579" spans="1:13" x14ac:dyDescent="0.45">
      <c r="A8579" s="142" t="s">
        <v>13008</v>
      </c>
      <c r="B8579" s="142" t="s">
        <v>15411</v>
      </c>
      <c r="C8579" s="142" t="s">
        <v>15847</v>
      </c>
      <c r="D8579" s="142" t="s">
        <v>15848</v>
      </c>
      <c r="E8579" s="142" t="s">
        <v>15849</v>
      </c>
      <c r="F8579" s="142" t="s">
        <v>185</v>
      </c>
      <c r="G8579" s="142" t="s">
        <v>5835</v>
      </c>
      <c r="H8579" s="142" t="s">
        <v>24429</v>
      </c>
      <c r="I8579" s="142">
        <v>168</v>
      </c>
      <c r="J8579" s="142">
        <v>6</v>
      </c>
      <c r="K8579" s="142">
        <v>0</v>
      </c>
      <c r="L8579" s="142">
        <v>0</v>
      </c>
      <c r="M8579" s="142">
        <v>162</v>
      </c>
    </row>
    <row r="8580" spans="1:13" x14ac:dyDescent="0.45">
      <c r="A8580" s="142" t="s">
        <v>13077</v>
      </c>
      <c r="B8580" s="142" t="s">
        <v>15407</v>
      </c>
      <c r="C8580" s="142" t="s">
        <v>15847</v>
      </c>
      <c r="D8580" s="142" t="s">
        <v>15848</v>
      </c>
      <c r="E8580" s="142" t="s">
        <v>15849</v>
      </c>
      <c r="F8580" s="142" t="s">
        <v>185</v>
      </c>
      <c r="G8580" s="142" t="s">
        <v>5835</v>
      </c>
      <c r="H8580" s="142" t="s">
        <v>24430</v>
      </c>
      <c r="I8580" s="142">
        <v>156</v>
      </c>
      <c r="J8580" s="142">
        <v>156</v>
      </c>
      <c r="K8580" s="142">
        <v>0</v>
      </c>
      <c r="L8580" s="142">
        <v>0</v>
      </c>
      <c r="M8580" s="142">
        <v>0</v>
      </c>
    </row>
    <row r="8581" spans="1:13" x14ac:dyDescent="0.45">
      <c r="A8581" s="142" t="s">
        <v>13679</v>
      </c>
      <c r="B8581" s="142" t="s">
        <v>14504</v>
      </c>
      <c r="C8581" s="142" t="s">
        <v>15860</v>
      </c>
      <c r="D8581" s="142" t="s">
        <v>15861</v>
      </c>
      <c r="E8581" s="142" t="s">
        <v>15849</v>
      </c>
      <c r="F8581" s="142" t="s">
        <v>185</v>
      </c>
      <c r="G8581" s="142" t="s">
        <v>5835</v>
      </c>
      <c r="H8581" s="142" t="s">
        <v>24431</v>
      </c>
      <c r="I8581" s="142">
        <v>2</v>
      </c>
      <c r="J8581" s="142">
        <v>0</v>
      </c>
      <c r="K8581" s="142">
        <v>0</v>
      </c>
      <c r="L8581" s="142">
        <v>2</v>
      </c>
      <c r="M8581" s="142">
        <v>0</v>
      </c>
    </row>
    <row r="8582" spans="1:13" x14ac:dyDescent="0.45">
      <c r="A8582" s="142" t="s">
        <v>13033</v>
      </c>
      <c r="B8582" s="142" t="s">
        <v>15276</v>
      </c>
      <c r="C8582" s="142" t="s">
        <v>15847</v>
      </c>
      <c r="D8582" s="142" t="s">
        <v>15848</v>
      </c>
      <c r="E8582" s="142" t="s">
        <v>15849</v>
      </c>
      <c r="F8582" s="142" t="s">
        <v>185</v>
      </c>
      <c r="G8582" s="142" t="s">
        <v>5835</v>
      </c>
      <c r="H8582" s="142" t="s">
        <v>24432</v>
      </c>
      <c r="I8582" s="142">
        <v>21</v>
      </c>
      <c r="J8582" s="142">
        <v>21</v>
      </c>
      <c r="K8582" s="142">
        <v>0</v>
      </c>
      <c r="L8582" s="142">
        <v>0</v>
      </c>
      <c r="M8582" s="142">
        <v>0</v>
      </c>
    </row>
    <row r="8583" spans="1:13" x14ac:dyDescent="0.45">
      <c r="A8583" s="142" t="s">
        <v>13034</v>
      </c>
      <c r="B8583" s="142" t="s">
        <v>15562</v>
      </c>
      <c r="C8583" s="142" t="s">
        <v>15847</v>
      </c>
      <c r="D8583" s="142" t="s">
        <v>15848</v>
      </c>
      <c r="E8583" s="142" t="s">
        <v>15849</v>
      </c>
      <c r="F8583" s="142" t="s">
        <v>185</v>
      </c>
      <c r="G8583" s="142" t="s">
        <v>5835</v>
      </c>
      <c r="H8583" s="142" t="s">
        <v>24433</v>
      </c>
      <c r="I8583" s="142">
        <v>8</v>
      </c>
      <c r="J8583" s="142">
        <v>0</v>
      </c>
      <c r="K8583" s="142">
        <v>0</v>
      </c>
      <c r="L8583" s="142">
        <v>8</v>
      </c>
      <c r="M8583" s="142">
        <v>0</v>
      </c>
    </row>
    <row r="8584" spans="1:13" x14ac:dyDescent="0.45">
      <c r="A8584" s="142" t="s">
        <v>13037</v>
      </c>
      <c r="B8584" s="142" t="s">
        <v>14519</v>
      </c>
      <c r="C8584" s="142" t="s">
        <v>15847</v>
      </c>
      <c r="D8584" s="142" t="s">
        <v>15848</v>
      </c>
      <c r="E8584" s="142" t="s">
        <v>15849</v>
      </c>
      <c r="F8584" s="142" t="s">
        <v>185</v>
      </c>
      <c r="G8584" s="142" t="s">
        <v>5835</v>
      </c>
      <c r="H8584" s="142" t="s">
        <v>24434</v>
      </c>
      <c r="I8584" s="142">
        <v>11</v>
      </c>
      <c r="J8584" s="142">
        <v>0</v>
      </c>
      <c r="K8584" s="142">
        <v>0</v>
      </c>
      <c r="L8584" s="142">
        <v>11</v>
      </c>
      <c r="M8584" s="142">
        <v>0</v>
      </c>
    </row>
    <row r="8585" spans="1:13" x14ac:dyDescent="0.45">
      <c r="A8585" s="142" t="s">
        <v>13038</v>
      </c>
      <c r="B8585" s="142" t="s">
        <v>14646</v>
      </c>
      <c r="C8585" s="142" t="s">
        <v>15847</v>
      </c>
      <c r="D8585" s="142" t="s">
        <v>15848</v>
      </c>
      <c r="E8585" s="142" t="s">
        <v>15849</v>
      </c>
      <c r="F8585" s="142" t="s">
        <v>185</v>
      </c>
      <c r="G8585" s="142" t="s">
        <v>5835</v>
      </c>
      <c r="H8585" s="142" t="s">
        <v>24435</v>
      </c>
      <c r="I8585" s="142">
        <v>117</v>
      </c>
      <c r="J8585" s="142">
        <v>74</v>
      </c>
      <c r="K8585" s="142">
        <v>0</v>
      </c>
      <c r="L8585" s="142">
        <v>0</v>
      </c>
      <c r="M8585" s="142">
        <v>43</v>
      </c>
    </row>
    <row r="8586" spans="1:13" x14ac:dyDescent="0.45">
      <c r="A8586" s="142" t="s">
        <v>13039</v>
      </c>
      <c r="B8586" s="142" t="s">
        <v>14647</v>
      </c>
      <c r="C8586" s="142" t="s">
        <v>15847</v>
      </c>
      <c r="D8586" s="142" t="s">
        <v>15848</v>
      </c>
      <c r="E8586" s="142" t="s">
        <v>15849</v>
      </c>
      <c r="F8586" s="142" t="s">
        <v>185</v>
      </c>
      <c r="G8586" s="142" t="s">
        <v>5835</v>
      </c>
      <c r="H8586" s="142" t="s">
        <v>24436</v>
      </c>
      <c r="I8586" s="142">
        <v>8</v>
      </c>
      <c r="J8586" s="142">
        <v>8</v>
      </c>
      <c r="K8586" s="142">
        <v>0</v>
      </c>
      <c r="L8586" s="142">
        <v>0</v>
      </c>
      <c r="M8586" s="142">
        <v>0</v>
      </c>
    </row>
    <row r="8587" spans="1:13" x14ac:dyDescent="0.45">
      <c r="A8587" s="142" t="s">
        <v>13091</v>
      </c>
      <c r="B8587" s="142" t="s">
        <v>14473</v>
      </c>
      <c r="C8587" s="142" t="s">
        <v>15847</v>
      </c>
      <c r="D8587" s="142" t="s">
        <v>15848</v>
      </c>
      <c r="E8587" s="142" t="s">
        <v>15849</v>
      </c>
      <c r="F8587" s="142" t="s">
        <v>185</v>
      </c>
      <c r="G8587" s="142" t="s">
        <v>5835</v>
      </c>
      <c r="H8587" s="142" t="s">
        <v>24437</v>
      </c>
      <c r="I8587" s="142">
        <v>3</v>
      </c>
      <c r="J8587" s="142">
        <v>3</v>
      </c>
      <c r="K8587" s="142">
        <v>0</v>
      </c>
      <c r="L8587" s="142">
        <v>0</v>
      </c>
      <c r="M8587" s="142">
        <v>0</v>
      </c>
    </row>
    <row r="8588" spans="1:13" x14ac:dyDescent="0.45">
      <c r="A8588" s="142" t="s">
        <v>13009</v>
      </c>
      <c r="B8588" s="142" t="s">
        <v>15256</v>
      </c>
      <c r="C8588" s="142" t="s">
        <v>15847</v>
      </c>
      <c r="D8588" s="142" t="s">
        <v>15848</v>
      </c>
      <c r="E8588" s="142" t="s">
        <v>15849</v>
      </c>
      <c r="F8588" s="142" t="s">
        <v>185</v>
      </c>
      <c r="G8588" s="142" t="s">
        <v>5835</v>
      </c>
      <c r="H8588" s="142" t="s">
        <v>24438</v>
      </c>
      <c r="I8588" s="142">
        <v>71</v>
      </c>
      <c r="J8588" s="142">
        <v>71</v>
      </c>
      <c r="K8588" s="142">
        <v>0</v>
      </c>
      <c r="L8588" s="142">
        <v>0</v>
      </c>
      <c r="M8588" s="142">
        <v>0</v>
      </c>
    </row>
    <row r="8589" spans="1:13" x14ac:dyDescent="0.45">
      <c r="A8589" s="142" t="s">
        <v>13011</v>
      </c>
      <c r="B8589" s="142" t="s">
        <v>14695</v>
      </c>
      <c r="C8589" s="142" t="s">
        <v>15847</v>
      </c>
      <c r="D8589" s="142" t="s">
        <v>15848</v>
      </c>
      <c r="E8589" s="142" t="s">
        <v>15849</v>
      </c>
      <c r="F8589" s="142" t="s">
        <v>185</v>
      </c>
      <c r="G8589" s="142" t="s">
        <v>5835</v>
      </c>
      <c r="H8589" s="142" t="s">
        <v>24439</v>
      </c>
      <c r="I8589" s="142">
        <v>255</v>
      </c>
      <c r="J8589" s="142">
        <v>219</v>
      </c>
      <c r="K8589" s="142">
        <v>0</v>
      </c>
      <c r="L8589" s="142">
        <v>0</v>
      </c>
      <c r="M8589" s="142">
        <v>36</v>
      </c>
    </row>
    <row r="8590" spans="1:13" x14ac:dyDescent="0.45">
      <c r="A8590" s="142" t="s">
        <v>14296</v>
      </c>
      <c r="B8590" s="142" t="s">
        <v>14871</v>
      </c>
      <c r="C8590" s="142" t="s">
        <v>15860</v>
      </c>
      <c r="D8590" s="142" t="s">
        <v>15861</v>
      </c>
      <c r="E8590" s="142" t="s">
        <v>15849</v>
      </c>
      <c r="F8590" s="142" t="s">
        <v>185</v>
      </c>
      <c r="G8590" s="142" t="s">
        <v>5835</v>
      </c>
      <c r="H8590" s="142" t="s">
        <v>24440</v>
      </c>
      <c r="I8590" s="142">
        <v>14</v>
      </c>
      <c r="J8590" s="142">
        <v>0</v>
      </c>
      <c r="K8590" s="142">
        <v>0</v>
      </c>
      <c r="L8590" s="142">
        <v>14</v>
      </c>
      <c r="M8590" s="142">
        <v>0</v>
      </c>
    </row>
    <row r="8591" spans="1:13" x14ac:dyDescent="0.45">
      <c r="A8591" s="142" t="s">
        <v>13042</v>
      </c>
      <c r="B8591" s="142" t="s">
        <v>15489</v>
      </c>
      <c r="C8591" s="142" t="s">
        <v>15847</v>
      </c>
      <c r="D8591" s="142" t="s">
        <v>15848</v>
      </c>
      <c r="E8591" s="142" t="s">
        <v>15849</v>
      </c>
      <c r="F8591" s="142" t="s">
        <v>185</v>
      </c>
      <c r="G8591" s="142" t="s">
        <v>5835</v>
      </c>
      <c r="H8591" s="142" t="s">
        <v>24441</v>
      </c>
      <c r="I8591" s="142">
        <v>30</v>
      </c>
      <c r="J8591" s="142">
        <v>0</v>
      </c>
      <c r="K8591" s="142">
        <v>0</v>
      </c>
      <c r="L8591" s="142">
        <v>30</v>
      </c>
      <c r="M8591" s="142">
        <v>0</v>
      </c>
    </row>
    <row r="8592" spans="1:13" x14ac:dyDescent="0.45">
      <c r="A8592" s="142" t="s">
        <v>14297</v>
      </c>
      <c r="B8592" s="142" t="s">
        <v>14788</v>
      </c>
      <c r="C8592" s="142" t="s">
        <v>15860</v>
      </c>
      <c r="D8592" s="142" t="s">
        <v>15861</v>
      </c>
      <c r="E8592" s="142" t="s">
        <v>15849</v>
      </c>
      <c r="F8592" s="142" t="s">
        <v>185</v>
      </c>
      <c r="G8592" s="142" t="s">
        <v>5835</v>
      </c>
      <c r="H8592" s="142" t="s">
        <v>24442</v>
      </c>
      <c r="I8592" s="142">
        <v>6</v>
      </c>
      <c r="J8592" s="142">
        <v>6</v>
      </c>
      <c r="K8592" s="142">
        <v>0</v>
      </c>
      <c r="L8592" s="142">
        <v>0</v>
      </c>
      <c r="M8592" s="142">
        <v>0</v>
      </c>
    </row>
    <row r="8593" spans="1:13" x14ac:dyDescent="0.45">
      <c r="A8593" s="142" t="s">
        <v>13079</v>
      </c>
      <c r="B8593" s="142" t="s">
        <v>15431</v>
      </c>
      <c r="C8593" s="142" t="s">
        <v>15847</v>
      </c>
      <c r="D8593" s="142" t="s">
        <v>15848</v>
      </c>
      <c r="E8593" s="142" t="s">
        <v>15849</v>
      </c>
      <c r="F8593" s="142" t="s">
        <v>185</v>
      </c>
      <c r="G8593" s="142" t="s">
        <v>5835</v>
      </c>
      <c r="H8593" s="142" t="s">
        <v>24443</v>
      </c>
      <c r="I8593" s="142">
        <v>386</v>
      </c>
      <c r="J8593" s="142">
        <v>160</v>
      </c>
      <c r="K8593" s="142">
        <v>0</v>
      </c>
      <c r="L8593" s="142">
        <v>144</v>
      </c>
      <c r="M8593" s="142">
        <v>82</v>
      </c>
    </row>
    <row r="8594" spans="1:13" x14ac:dyDescent="0.45">
      <c r="A8594" s="142" t="s">
        <v>13080</v>
      </c>
      <c r="B8594" s="142" t="s">
        <v>15553</v>
      </c>
      <c r="C8594" s="142" t="s">
        <v>15847</v>
      </c>
      <c r="D8594" s="142" t="s">
        <v>15848</v>
      </c>
      <c r="E8594" s="142" t="s">
        <v>15849</v>
      </c>
      <c r="F8594" s="142" t="s">
        <v>185</v>
      </c>
      <c r="G8594" s="142" t="s">
        <v>5835</v>
      </c>
      <c r="H8594" s="142" t="s">
        <v>24444</v>
      </c>
      <c r="I8594" s="142">
        <v>134</v>
      </c>
      <c r="J8594" s="142">
        <v>98</v>
      </c>
      <c r="K8594" s="142">
        <v>0</v>
      </c>
      <c r="L8594" s="142">
        <v>4</v>
      </c>
      <c r="M8594" s="142">
        <v>32</v>
      </c>
    </row>
    <row r="8595" spans="1:13" x14ac:dyDescent="0.45">
      <c r="A8595" s="142" t="s">
        <v>13108</v>
      </c>
      <c r="B8595" s="142" t="s">
        <v>15485</v>
      </c>
      <c r="C8595" s="142" t="s">
        <v>15860</v>
      </c>
      <c r="D8595" s="142" t="s">
        <v>15861</v>
      </c>
      <c r="E8595" s="142" t="s">
        <v>15849</v>
      </c>
      <c r="F8595" s="142" t="s">
        <v>185</v>
      </c>
      <c r="G8595" s="142" t="s">
        <v>5835</v>
      </c>
      <c r="H8595" s="142" t="s">
        <v>24445</v>
      </c>
      <c r="I8595" s="142">
        <v>9</v>
      </c>
      <c r="J8595" s="142">
        <v>0</v>
      </c>
      <c r="K8595" s="142">
        <v>0</v>
      </c>
      <c r="L8595" s="142">
        <v>9</v>
      </c>
      <c r="M8595" s="142">
        <v>0</v>
      </c>
    </row>
    <row r="8596" spans="1:13" x14ac:dyDescent="0.45">
      <c r="A8596" s="142" t="s">
        <v>13021</v>
      </c>
      <c r="B8596" s="142" t="s">
        <v>15501</v>
      </c>
      <c r="C8596" s="142" t="s">
        <v>15847</v>
      </c>
      <c r="D8596" s="142" t="s">
        <v>15848</v>
      </c>
      <c r="E8596" s="142" t="s">
        <v>15849</v>
      </c>
      <c r="F8596" s="142" t="s">
        <v>186</v>
      </c>
      <c r="G8596" s="142" t="s">
        <v>1393</v>
      </c>
      <c r="H8596" s="142" t="s">
        <v>24446</v>
      </c>
      <c r="I8596" s="142">
        <v>5</v>
      </c>
      <c r="J8596" s="142">
        <v>0</v>
      </c>
      <c r="K8596" s="142">
        <v>0</v>
      </c>
      <c r="L8596" s="142">
        <v>0</v>
      </c>
      <c r="M8596" s="142">
        <v>5</v>
      </c>
    </row>
    <row r="8597" spans="1:13" x14ac:dyDescent="0.45">
      <c r="A8597" s="142" t="s">
        <v>13023</v>
      </c>
      <c r="B8597" s="142" t="s">
        <v>15571</v>
      </c>
      <c r="C8597" s="142" t="s">
        <v>15847</v>
      </c>
      <c r="D8597" s="142" t="s">
        <v>15848</v>
      </c>
      <c r="E8597" s="142" t="s">
        <v>15849</v>
      </c>
      <c r="F8597" s="142" t="s">
        <v>186</v>
      </c>
      <c r="G8597" s="142" t="s">
        <v>1393</v>
      </c>
      <c r="H8597" s="142" t="s">
        <v>24447</v>
      </c>
      <c r="I8597" s="142">
        <v>31</v>
      </c>
      <c r="J8597" s="142">
        <v>0</v>
      </c>
      <c r="K8597" s="142">
        <v>0</v>
      </c>
      <c r="L8597" s="142">
        <v>31</v>
      </c>
      <c r="M8597" s="142">
        <v>0</v>
      </c>
    </row>
    <row r="8598" spans="1:13" x14ac:dyDescent="0.45">
      <c r="A8598" s="142" t="s">
        <v>13048</v>
      </c>
      <c r="B8598" s="142" t="s">
        <v>14479</v>
      </c>
      <c r="C8598" s="142" t="s">
        <v>15847</v>
      </c>
      <c r="D8598" s="142" t="s">
        <v>15848</v>
      </c>
      <c r="E8598" s="142" t="s">
        <v>15849</v>
      </c>
      <c r="F8598" s="142" t="s">
        <v>186</v>
      </c>
      <c r="G8598" s="142" t="s">
        <v>1393</v>
      </c>
      <c r="H8598" s="142" t="s">
        <v>24448</v>
      </c>
      <c r="I8598" s="142">
        <v>140</v>
      </c>
      <c r="J8598" s="142">
        <v>98</v>
      </c>
      <c r="K8598" s="142">
        <v>0</v>
      </c>
      <c r="L8598" s="142">
        <v>0</v>
      </c>
      <c r="M8598" s="142">
        <v>42</v>
      </c>
    </row>
    <row r="8599" spans="1:13" x14ac:dyDescent="0.45">
      <c r="A8599" s="142" t="s">
        <v>13065</v>
      </c>
      <c r="B8599" s="142" t="s">
        <v>14497</v>
      </c>
      <c r="C8599" s="142" t="s">
        <v>15847</v>
      </c>
      <c r="D8599" s="142" t="s">
        <v>15848</v>
      </c>
      <c r="E8599" s="142" t="s">
        <v>15849</v>
      </c>
      <c r="F8599" s="142" t="s">
        <v>186</v>
      </c>
      <c r="G8599" s="142" t="s">
        <v>1393</v>
      </c>
      <c r="H8599" s="142" t="s">
        <v>24449</v>
      </c>
      <c r="I8599" s="142">
        <v>4</v>
      </c>
      <c r="J8599" s="142">
        <v>0</v>
      </c>
      <c r="K8599" s="142">
        <v>0</v>
      </c>
      <c r="L8599" s="142">
        <v>4</v>
      </c>
      <c r="M8599" s="142">
        <v>0</v>
      </c>
    </row>
    <row r="8600" spans="1:13" x14ac:dyDescent="0.45">
      <c r="A8600" s="142" t="s">
        <v>13528</v>
      </c>
      <c r="B8600" s="142" t="s">
        <v>15218</v>
      </c>
      <c r="C8600" s="142" t="s">
        <v>15860</v>
      </c>
      <c r="D8600" s="142" t="s">
        <v>15861</v>
      </c>
      <c r="E8600" s="142" t="s">
        <v>15849</v>
      </c>
      <c r="F8600" s="142" t="s">
        <v>186</v>
      </c>
      <c r="G8600" s="142" t="s">
        <v>1393</v>
      </c>
      <c r="H8600" s="142" t="s">
        <v>24450</v>
      </c>
      <c r="I8600" s="142">
        <v>29</v>
      </c>
      <c r="J8600" s="142">
        <v>0</v>
      </c>
      <c r="K8600" s="142">
        <v>0</v>
      </c>
      <c r="L8600" s="142">
        <v>29</v>
      </c>
      <c r="M8600" s="142">
        <v>0</v>
      </c>
    </row>
    <row r="8601" spans="1:13" x14ac:dyDescent="0.45">
      <c r="A8601" s="142" t="s">
        <v>13027</v>
      </c>
      <c r="B8601" s="142" t="s">
        <v>14562</v>
      </c>
      <c r="C8601" s="142" t="s">
        <v>15847</v>
      </c>
      <c r="D8601" s="142" t="s">
        <v>15848</v>
      </c>
      <c r="E8601" s="142" t="s">
        <v>15849</v>
      </c>
      <c r="F8601" s="142" t="s">
        <v>186</v>
      </c>
      <c r="G8601" s="142" t="s">
        <v>1393</v>
      </c>
      <c r="H8601" s="142" t="s">
        <v>24451</v>
      </c>
      <c r="I8601" s="142">
        <v>51</v>
      </c>
      <c r="J8601" s="142">
        <v>0</v>
      </c>
      <c r="K8601" s="142">
        <v>0</v>
      </c>
      <c r="L8601" s="142">
        <v>51</v>
      </c>
      <c r="M8601" s="142">
        <v>0</v>
      </c>
    </row>
    <row r="8602" spans="1:13" x14ac:dyDescent="0.45">
      <c r="A8602" s="142" t="s">
        <v>13028</v>
      </c>
      <c r="B8602" s="142" t="s">
        <v>14462</v>
      </c>
      <c r="C8602" s="142" t="s">
        <v>15847</v>
      </c>
      <c r="D8602" s="142" t="s">
        <v>15848</v>
      </c>
      <c r="E8602" s="142" t="s">
        <v>15849</v>
      </c>
      <c r="F8602" s="142" t="s">
        <v>186</v>
      </c>
      <c r="G8602" s="142" t="s">
        <v>1393</v>
      </c>
      <c r="H8602" s="142" t="s">
        <v>24452</v>
      </c>
      <c r="I8602" s="142">
        <v>44</v>
      </c>
      <c r="J8602" s="142">
        <v>0</v>
      </c>
      <c r="K8602" s="142">
        <v>0</v>
      </c>
      <c r="L8602" s="142">
        <v>0</v>
      </c>
      <c r="M8602" s="142">
        <v>44</v>
      </c>
    </row>
    <row r="8603" spans="1:13" x14ac:dyDescent="0.45">
      <c r="A8603" s="142" t="s">
        <v>13160</v>
      </c>
      <c r="B8603" s="142" t="s">
        <v>14525</v>
      </c>
      <c r="C8603" s="142" t="s">
        <v>15847</v>
      </c>
      <c r="D8603" s="142" t="s">
        <v>15848</v>
      </c>
      <c r="E8603" s="142" t="s">
        <v>15849</v>
      </c>
      <c r="F8603" s="142" t="s">
        <v>186</v>
      </c>
      <c r="G8603" s="142" t="s">
        <v>1393</v>
      </c>
      <c r="H8603" s="142" t="s">
        <v>24453</v>
      </c>
      <c r="I8603" s="142">
        <v>10</v>
      </c>
      <c r="J8603" s="142">
        <v>0</v>
      </c>
      <c r="K8603" s="142">
        <v>0</v>
      </c>
      <c r="L8603" s="142">
        <v>10</v>
      </c>
      <c r="M8603" s="142">
        <v>0</v>
      </c>
    </row>
    <row r="8604" spans="1:13" x14ac:dyDescent="0.45">
      <c r="A8604" s="142" t="s">
        <v>13002</v>
      </c>
      <c r="B8604" s="142" t="s">
        <v>15376</v>
      </c>
      <c r="C8604" s="142" t="s">
        <v>15847</v>
      </c>
      <c r="D8604" s="142" t="s">
        <v>15848</v>
      </c>
      <c r="E8604" s="142" t="s">
        <v>15849</v>
      </c>
      <c r="F8604" s="142" t="s">
        <v>186</v>
      </c>
      <c r="G8604" s="142" t="s">
        <v>1393</v>
      </c>
      <c r="H8604" s="142" t="s">
        <v>24454</v>
      </c>
      <c r="I8604" s="142">
        <v>9</v>
      </c>
      <c r="J8604" s="142">
        <v>0</v>
      </c>
      <c r="K8604" s="142">
        <v>0</v>
      </c>
      <c r="L8604" s="142">
        <v>9</v>
      </c>
      <c r="M8604" s="142">
        <v>0</v>
      </c>
    </row>
    <row r="8605" spans="1:13" x14ac:dyDescent="0.45">
      <c r="A8605" s="142" t="s">
        <v>13066</v>
      </c>
      <c r="B8605" s="142" t="s">
        <v>14459</v>
      </c>
      <c r="C8605" s="142" t="s">
        <v>15847</v>
      </c>
      <c r="D8605" s="142" t="s">
        <v>15848</v>
      </c>
      <c r="E8605" s="142" t="s">
        <v>15849</v>
      </c>
      <c r="F8605" s="142" t="s">
        <v>186</v>
      </c>
      <c r="G8605" s="142" t="s">
        <v>1393</v>
      </c>
      <c r="H8605" s="142" t="s">
        <v>24455</v>
      </c>
      <c r="I8605" s="142">
        <v>11</v>
      </c>
      <c r="J8605" s="142">
        <v>0</v>
      </c>
      <c r="K8605" s="142">
        <v>0</v>
      </c>
      <c r="L8605" s="142">
        <v>11</v>
      </c>
      <c r="M8605" s="142">
        <v>0</v>
      </c>
    </row>
    <row r="8606" spans="1:13" x14ac:dyDescent="0.45">
      <c r="A8606" s="142" t="s">
        <v>13178</v>
      </c>
      <c r="B8606" s="142" t="s">
        <v>14683</v>
      </c>
      <c r="C8606" s="142" t="s">
        <v>15847</v>
      </c>
      <c r="D8606" s="142" t="s">
        <v>15848</v>
      </c>
      <c r="E8606" s="142" t="s">
        <v>15849</v>
      </c>
      <c r="F8606" s="142" t="s">
        <v>186</v>
      </c>
      <c r="G8606" s="142" t="s">
        <v>1393</v>
      </c>
      <c r="H8606" s="142" t="s">
        <v>24456</v>
      </c>
      <c r="I8606" s="142">
        <v>26</v>
      </c>
      <c r="J8606" s="142">
        <v>26</v>
      </c>
      <c r="K8606" s="142">
        <v>0</v>
      </c>
      <c r="L8606" s="142">
        <v>0</v>
      </c>
      <c r="M8606" s="142">
        <v>0</v>
      </c>
    </row>
    <row r="8607" spans="1:13" x14ac:dyDescent="0.45">
      <c r="A8607" s="142" t="s">
        <v>13076</v>
      </c>
      <c r="B8607" s="142" t="s">
        <v>14636</v>
      </c>
      <c r="C8607" s="142" t="s">
        <v>15847</v>
      </c>
      <c r="D8607" s="142" t="s">
        <v>15848</v>
      </c>
      <c r="E8607" s="142" t="s">
        <v>15849</v>
      </c>
      <c r="F8607" s="142" t="s">
        <v>186</v>
      </c>
      <c r="G8607" s="142" t="s">
        <v>1393</v>
      </c>
      <c r="H8607" s="142" t="s">
        <v>24457</v>
      </c>
      <c r="I8607" s="142">
        <v>32</v>
      </c>
      <c r="J8607" s="142">
        <v>12</v>
      </c>
      <c r="K8607" s="142">
        <v>0</v>
      </c>
      <c r="L8607" s="142">
        <v>0</v>
      </c>
      <c r="M8607" s="142">
        <v>20</v>
      </c>
    </row>
    <row r="8608" spans="1:13" x14ac:dyDescent="0.45">
      <c r="A8608" s="142" t="s">
        <v>13274</v>
      </c>
      <c r="B8608" s="142" t="s">
        <v>14608</v>
      </c>
      <c r="C8608" s="142" t="s">
        <v>15860</v>
      </c>
      <c r="D8608" s="142" t="s">
        <v>15861</v>
      </c>
      <c r="E8608" s="142" t="s">
        <v>15849</v>
      </c>
      <c r="F8608" s="142" t="s">
        <v>186</v>
      </c>
      <c r="G8608" s="142" t="s">
        <v>1393</v>
      </c>
      <c r="H8608" s="142" t="s">
        <v>24458</v>
      </c>
      <c r="I8608" s="142">
        <v>15</v>
      </c>
      <c r="J8608" s="142">
        <v>0</v>
      </c>
      <c r="K8608" s="142">
        <v>0</v>
      </c>
      <c r="L8608" s="142">
        <v>15</v>
      </c>
      <c r="M8608" s="142">
        <v>0</v>
      </c>
    </row>
    <row r="8609" spans="1:13" x14ac:dyDescent="0.45">
      <c r="A8609" s="142" t="s">
        <v>13190</v>
      </c>
      <c r="B8609" s="142" t="s">
        <v>14617</v>
      </c>
      <c r="C8609" s="142" t="s">
        <v>15847</v>
      </c>
      <c r="D8609" s="142" t="s">
        <v>15848</v>
      </c>
      <c r="E8609" s="142" t="s">
        <v>15849</v>
      </c>
      <c r="F8609" s="142" t="s">
        <v>186</v>
      </c>
      <c r="G8609" s="142" t="s">
        <v>1393</v>
      </c>
      <c r="H8609" s="142" t="s">
        <v>24459</v>
      </c>
      <c r="I8609" s="142">
        <v>491</v>
      </c>
      <c r="J8609" s="142">
        <v>369</v>
      </c>
      <c r="K8609" s="142">
        <v>0</v>
      </c>
      <c r="L8609" s="142">
        <v>59</v>
      </c>
      <c r="M8609" s="142">
        <v>63</v>
      </c>
    </row>
    <row r="8610" spans="1:13" x14ac:dyDescent="0.45">
      <c r="A8610" s="142" t="s">
        <v>13621</v>
      </c>
      <c r="B8610" s="142" t="s">
        <v>14591</v>
      </c>
      <c r="C8610" s="142" t="s">
        <v>15847</v>
      </c>
      <c r="D8610" s="142" t="s">
        <v>15848</v>
      </c>
      <c r="E8610" s="142" t="s">
        <v>15849</v>
      </c>
      <c r="F8610" s="142" t="s">
        <v>186</v>
      </c>
      <c r="G8610" s="142" t="s">
        <v>1393</v>
      </c>
      <c r="H8610" s="142" t="s">
        <v>24460</v>
      </c>
      <c r="I8610" s="142">
        <v>4</v>
      </c>
      <c r="J8610" s="142">
        <v>4</v>
      </c>
      <c r="K8610" s="142">
        <v>0</v>
      </c>
      <c r="L8610" s="142">
        <v>0</v>
      </c>
      <c r="M8610" s="142">
        <v>0</v>
      </c>
    </row>
    <row r="8611" spans="1:13" x14ac:dyDescent="0.45">
      <c r="A8611" s="142" t="s">
        <v>13007</v>
      </c>
      <c r="B8611" s="142" t="s">
        <v>15262</v>
      </c>
      <c r="C8611" s="142" t="s">
        <v>15847</v>
      </c>
      <c r="D8611" s="142" t="s">
        <v>15848</v>
      </c>
      <c r="E8611" s="142" t="s">
        <v>15849</v>
      </c>
      <c r="F8611" s="142" t="s">
        <v>186</v>
      </c>
      <c r="G8611" s="142" t="s">
        <v>1393</v>
      </c>
      <c r="H8611" s="142" t="s">
        <v>24461</v>
      </c>
      <c r="I8611" s="142">
        <v>2</v>
      </c>
      <c r="J8611" s="142">
        <v>0</v>
      </c>
      <c r="K8611" s="142">
        <v>0</v>
      </c>
      <c r="L8611" s="142">
        <v>0</v>
      </c>
      <c r="M8611" s="142">
        <v>2</v>
      </c>
    </row>
    <row r="8612" spans="1:13" x14ac:dyDescent="0.45">
      <c r="A8612" s="142" t="s">
        <v>13340</v>
      </c>
      <c r="B8612" s="142" t="s">
        <v>14499</v>
      </c>
      <c r="C8612" s="142" t="s">
        <v>15860</v>
      </c>
      <c r="D8612" s="142" t="s">
        <v>15861</v>
      </c>
      <c r="E8612" s="142" t="s">
        <v>15849</v>
      </c>
      <c r="F8612" s="142" t="s">
        <v>186</v>
      </c>
      <c r="G8612" s="142" t="s">
        <v>1393</v>
      </c>
      <c r="H8612" s="142" t="s">
        <v>24462</v>
      </c>
      <c r="I8612" s="142">
        <v>67</v>
      </c>
      <c r="J8612" s="142">
        <v>67</v>
      </c>
      <c r="K8612" s="142">
        <v>0</v>
      </c>
      <c r="L8612" s="142">
        <v>0</v>
      </c>
      <c r="M8612" s="142">
        <v>0</v>
      </c>
    </row>
    <row r="8613" spans="1:13" x14ac:dyDescent="0.45">
      <c r="A8613" s="142" t="s">
        <v>13034</v>
      </c>
      <c r="B8613" s="142" t="s">
        <v>15562</v>
      </c>
      <c r="C8613" s="142" t="s">
        <v>15847</v>
      </c>
      <c r="D8613" s="142" t="s">
        <v>15848</v>
      </c>
      <c r="E8613" s="142" t="s">
        <v>15849</v>
      </c>
      <c r="F8613" s="142" t="s">
        <v>186</v>
      </c>
      <c r="G8613" s="142" t="s">
        <v>1393</v>
      </c>
      <c r="H8613" s="142" t="s">
        <v>24463</v>
      </c>
      <c r="I8613" s="142">
        <v>7</v>
      </c>
      <c r="J8613" s="142">
        <v>0</v>
      </c>
      <c r="K8613" s="142">
        <v>0</v>
      </c>
      <c r="L8613" s="142">
        <v>7</v>
      </c>
      <c r="M8613" s="142">
        <v>0</v>
      </c>
    </row>
    <row r="8614" spans="1:13" x14ac:dyDescent="0.45">
      <c r="A8614" s="142" t="s">
        <v>13036</v>
      </c>
      <c r="B8614" s="142" t="s">
        <v>15567</v>
      </c>
      <c r="C8614" s="142" t="s">
        <v>15847</v>
      </c>
      <c r="D8614" s="142" t="s">
        <v>15848</v>
      </c>
      <c r="E8614" s="142" t="s">
        <v>15849</v>
      </c>
      <c r="F8614" s="142" t="s">
        <v>186</v>
      </c>
      <c r="G8614" s="142" t="s">
        <v>1393</v>
      </c>
      <c r="H8614" s="142" t="s">
        <v>24464</v>
      </c>
      <c r="I8614" s="142">
        <v>26</v>
      </c>
      <c r="J8614" s="142">
        <v>0</v>
      </c>
      <c r="K8614" s="142">
        <v>0</v>
      </c>
      <c r="L8614" s="142">
        <v>26</v>
      </c>
      <c r="M8614" s="142">
        <v>0</v>
      </c>
    </row>
    <row r="8615" spans="1:13" x14ac:dyDescent="0.45">
      <c r="A8615" s="142" t="s">
        <v>13037</v>
      </c>
      <c r="B8615" s="142" t="s">
        <v>14519</v>
      </c>
      <c r="C8615" s="142" t="s">
        <v>15847</v>
      </c>
      <c r="D8615" s="142" t="s">
        <v>15848</v>
      </c>
      <c r="E8615" s="142" t="s">
        <v>15849</v>
      </c>
      <c r="F8615" s="142" t="s">
        <v>186</v>
      </c>
      <c r="G8615" s="142" t="s">
        <v>1393</v>
      </c>
      <c r="H8615" s="142" t="s">
        <v>24465</v>
      </c>
      <c r="I8615" s="142">
        <v>3</v>
      </c>
      <c r="J8615" s="142">
        <v>0</v>
      </c>
      <c r="K8615" s="142">
        <v>0</v>
      </c>
      <c r="L8615" s="142">
        <v>3</v>
      </c>
      <c r="M8615" s="142">
        <v>0</v>
      </c>
    </row>
    <row r="8616" spans="1:13" x14ac:dyDescent="0.45">
      <c r="A8616" s="142" t="s">
        <v>13078</v>
      </c>
      <c r="B8616" s="142" t="s">
        <v>15540</v>
      </c>
      <c r="C8616" s="142" t="s">
        <v>15847</v>
      </c>
      <c r="D8616" s="142" t="s">
        <v>15848</v>
      </c>
      <c r="E8616" s="142" t="s">
        <v>15849</v>
      </c>
      <c r="F8616" s="142" t="s">
        <v>186</v>
      </c>
      <c r="G8616" s="142" t="s">
        <v>1393</v>
      </c>
      <c r="H8616" s="142" t="s">
        <v>24466</v>
      </c>
      <c r="I8616" s="142">
        <v>6</v>
      </c>
      <c r="J8616" s="142">
        <v>6</v>
      </c>
      <c r="K8616" s="142">
        <v>0</v>
      </c>
      <c r="L8616" s="142">
        <v>0</v>
      </c>
      <c r="M8616" s="142">
        <v>0</v>
      </c>
    </row>
    <row r="8617" spans="1:13" x14ac:dyDescent="0.45">
      <c r="A8617" s="142" t="s">
        <v>13091</v>
      </c>
      <c r="B8617" s="142" t="s">
        <v>14473</v>
      </c>
      <c r="C8617" s="142" t="s">
        <v>15847</v>
      </c>
      <c r="D8617" s="142" t="s">
        <v>15848</v>
      </c>
      <c r="E8617" s="142" t="s">
        <v>15849</v>
      </c>
      <c r="F8617" s="142" t="s">
        <v>186</v>
      </c>
      <c r="G8617" s="142" t="s">
        <v>1393</v>
      </c>
      <c r="H8617" s="142" t="s">
        <v>24467</v>
      </c>
      <c r="I8617" s="142">
        <v>82</v>
      </c>
      <c r="J8617" s="142">
        <v>81</v>
      </c>
      <c r="K8617" s="142">
        <v>0</v>
      </c>
      <c r="L8617" s="142">
        <v>1</v>
      </c>
      <c r="M8617" s="142">
        <v>0</v>
      </c>
    </row>
    <row r="8618" spans="1:13" x14ac:dyDescent="0.45">
      <c r="A8618" s="142" t="s">
        <v>13009</v>
      </c>
      <c r="B8618" s="142" t="s">
        <v>15256</v>
      </c>
      <c r="C8618" s="142" t="s">
        <v>15847</v>
      </c>
      <c r="D8618" s="142" t="s">
        <v>15848</v>
      </c>
      <c r="E8618" s="142" t="s">
        <v>15849</v>
      </c>
      <c r="F8618" s="142" t="s">
        <v>186</v>
      </c>
      <c r="G8618" s="142" t="s">
        <v>1393</v>
      </c>
      <c r="H8618" s="142" t="s">
        <v>24468</v>
      </c>
      <c r="I8618" s="142">
        <v>2672</v>
      </c>
      <c r="J8618" s="142">
        <v>2196</v>
      </c>
      <c r="K8618" s="142">
        <v>0</v>
      </c>
      <c r="L8618" s="142">
        <v>425</v>
      </c>
      <c r="M8618" s="142">
        <v>51</v>
      </c>
    </row>
    <row r="8619" spans="1:13" x14ac:dyDescent="0.45">
      <c r="A8619" s="142" t="s">
        <v>13058</v>
      </c>
      <c r="B8619" s="142" t="s">
        <v>14584</v>
      </c>
      <c r="C8619" s="142" t="s">
        <v>15847</v>
      </c>
      <c r="D8619" s="142" t="s">
        <v>15848</v>
      </c>
      <c r="E8619" s="142" t="s">
        <v>15849</v>
      </c>
      <c r="F8619" s="142" t="s">
        <v>186</v>
      </c>
      <c r="G8619" s="142" t="s">
        <v>1393</v>
      </c>
      <c r="H8619" s="142" t="s">
        <v>24469</v>
      </c>
      <c r="I8619" s="142">
        <v>398</v>
      </c>
      <c r="J8619" s="142">
        <v>334</v>
      </c>
      <c r="K8619" s="142">
        <v>0</v>
      </c>
      <c r="L8619" s="142">
        <v>0</v>
      </c>
      <c r="M8619" s="142">
        <v>64</v>
      </c>
    </row>
    <row r="8620" spans="1:13" x14ac:dyDescent="0.45">
      <c r="A8620" s="142" t="s">
        <v>13205</v>
      </c>
      <c r="B8620" s="142" t="s">
        <v>14496</v>
      </c>
      <c r="C8620" s="142" t="s">
        <v>15847</v>
      </c>
      <c r="D8620" s="142" t="s">
        <v>15848</v>
      </c>
      <c r="E8620" s="142" t="s">
        <v>15849</v>
      </c>
      <c r="F8620" s="142" t="s">
        <v>186</v>
      </c>
      <c r="G8620" s="142" t="s">
        <v>1393</v>
      </c>
      <c r="H8620" s="142" t="s">
        <v>24470</v>
      </c>
      <c r="I8620" s="142">
        <v>66</v>
      </c>
      <c r="J8620" s="142">
        <v>0</v>
      </c>
      <c r="K8620" s="142">
        <v>0</v>
      </c>
      <c r="L8620" s="142">
        <v>66</v>
      </c>
      <c r="M8620" s="142">
        <v>0</v>
      </c>
    </row>
    <row r="8621" spans="1:13" x14ac:dyDescent="0.45">
      <c r="A8621" s="142" t="s">
        <v>13012</v>
      </c>
      <c r="B8621" s="142" t="s">
        <v>15337</v>
      </c>
      <c r="C8621" s="142" t="s">
        <v>15847</v>
      </c>
      <c r="D8621" s="142" t="s">
        <v>15848</v>
      </c>
      <c r="E8621" s="142" t="s">
        <v>15849</v>
      </c>
      <c r="F8621" s="142" t="s">
        <v>186</v>
      </c>
      <c r="G8621" s="142" t="s">
        <v>1393</v>
      </c>
      <c r="H8621" s="142" t="s">
        <v>24471</v>
      </c>
      <c r="I8621" s="142">
        <v>83</v>
      </c>
      <c r="J8621" s="142">
        <v>81</v>
      </c>
      <c r="K8621" s="142">
        <v>0</v>
      </c>
      <c r="L8621" s="142">
        <v>0</v>
      </c>
      <c r="M8621" s="142">
        <v>2</v>
      </c>
    </row>
    <row r="8622" spans="1:13" x14ac:dyDescent="0.45">
      <c r="A8622" s="142" t="s">
        <v>13220</v>
      </c>
      <c r="B8622" s="142" t="s">
        <v>15505</v>
      </c>
      <c r="C8622" s="142" t="s">
        <v>15860</v>
      </c>
      <c r="D8622" s="142" t="s">
        <v>15861</v>
      </c>
      <c r="E8622" s="142" t="s">
        <v>15849</v>
      </c>
      <c r="F8622" s="142" t="s">
        <v>186</v>
      </c>
      <c r="G8622" s="142" t="s">
        <v>1393</v>
      </c>
      <c r="H8622" s="142" t="s">
        <v>24472</v>
      </c>
      <c r="I8622" s="142">
        <v>59</v>
      </c>
      <c r="J8622" s="142">
        <v>0</v>
      </c>
      <c r="K8622" s="142">
        <v>0</v>
      </c>
      <c r="L8622" s="142">
        <v>59</v>
      </c>
      <c r="M8622" s="142">
        <v>0</v>
      </c>
    </row>
    <row r="8623" spans="1:13" x14ac:dyDescent="0.45">
      <c r="A8623" s="142" t="s">
        <v>13539</v>
      </c>
      <c r="B8623" s="142" t="s">
        <v>15200</v>
      </c>
      <c r="C8623" s="142" t="s">
        <v>15860</v>
      </c>
      <c r="D8623" s="142" t="s">
        <v>15861</v>
      </c>
      <c r="E8623" s="142" t="s">
        <v>15849</v>
      </c>
      <c r="F8623" s="142" t="s">
        <v>186</v>
      </c>
      <c r="G8623" s="142" t="s">
        <v>1393</v>
      </c>
      <c r="H8623" s="142" t="s">
        <v>24473</v>
      </c>
      <c r="I8623" s="142">
        <v>11</v>
      </c>
      <c r="J8623" s="142">
        <v>0</v>
      </c>
      <c r="K8623" s="142">
        <v>0</v>
      </c>
      <c r="L8623" s="142">
        <v>11</v>
      </c>
      <c r="M8623" s="142">
        <v>0</v>
      </c>
    </row>
    <row r="8624" spans="1:13" x14ac:dyDescent="0.45">
      <c r="A8624" s="142" t="s">
        <v>13014</v>
      </c>
      <c r="B8624" s="142" t="s">
        <v>14505</v>
      </c>
      <c r="C8624" s="142" t="s">
        <v>15847</v>
      </c>
      <c r="D8624" s="142" t="s">
        <v>15848</v>
      </c>
      <c r="E8624" s="142" t="s">
        <v>15849</v>
      </c>
      <c r="F8624" s="142" t="s">
        <v>186</v>
      </c>
      <c r="G8624" s="142" t="s">
        <v>1393</v>
      </c>
      <c r="H8624" s="142" t="s">
        <v>24474</v>
      </c>
      <c r="I8624" s="142">
        <v>128</v>
      </c>
      <c r="J8624" s="142">
        <v>0</v>
      </c>
      <c r="K8624" s="142">
        <v>0</v>
      </c>
      <c r="L8624" s="142">
        <v>127</v>
      </c>
      <c r="M8624" s="142">
        <v>1</v>
      </c>
    </row>
    <row r="8625" spans="1:13" x14ac:dyDescent="0.45">
      <c r="A8625" s="142" t="s">
        <v>14299</v>
      </c>
      <c r="B8625" s="142" t="s">
        <v>14670</v>
      </c>
      <c r="C8625" s="142" t="s">
        <v>15860</v>
      </c>
      <c r="D8625" s="142" t="s">
        <v>15861</v>
      </c>
      <c r="E8625" s="142" t="s">
        <v>15849</v>
      </c>
      <c r="F8625" s="142" t="s">
        <v>186</v>
      </c>
      <c r="G8625" s="142" t="s">
        <v>1393</v>
      </c>
      <c r="H8625" s="142" t="s">
        <v>24475</v>
      </c>
      <c r="I8625" s="142">
        <v>17</v>
      </c>
      <c r="J8625" s="142">
        <v>9</v>
      </c>
      <c r="K8625" s="142">
        <v>0</v>
      </c>
      <c r="L8625" s="142">
        <v>8</v>
      </c>
      <c r="M8625" s="142">
        <v>0</v>
      </c>
    </row>
    <row r="8626" spans="1:13" x14ac:dyDescent="0.45">
      <c r="A8626" s="142" t="s">
        <v>13541</v>
      </c>
      <c r="B8626" s="142" t="s">
        <v>14579</v>
      </c>
      <c r="C8626" s="142" t="s">
        <v>15847</v>
      </c>
      <c r="D8626" s="142" t="s">
        <v>15848</v>
      </c>
      <c r="E8626" s="142" t="s">
        <v>15849</v>
      </c>
      <c r="F8626" s="142" t="s">
        <v>186</v>
      </c>
      <c r="G8626" s="142" t="s">
        <v>1393</v>
      </c>
      <c r="H8626" s="142" t="s">
        <v>24476</v>
      </c>
      <c r="I8626" s="142">
        <v>1578</v>
      </c>
      <c r="J8626" s="142">
        <v>1064</v>
      </c>
      <c r="K8626" s="142">
        <v>0</v>
      </c>
      <c r="L8626" s="142">
        <v>242</v>
      </c>
      <c r="M8626" s="142">
        <v>272</v>
      </c>
    </row>
    <row r="8627" spans="1:13" x14ac:dyDescent="0.45">
      <c r="A8627" s="142" t="s">
        <v>13021</v>
      </c>
      <c r="B8627" s="142" t="s">
        <v>15501</v>
      </c>
      <c r="C8627" s="142" t="s">
        <v>15847</v>
      </c>
      <c r="D8627" s="142" t="s">
        <v>15848</v>
      </c>
      <c r="E8627" s="142" t="s">
        <v>15849</v>
      </c>
      <c r="F8627" s="142" t="s">
        <v>187</v>
      </c>
      <c r="G8627" s="142" t="s">
        <v>3712</v>
      </c>
      <c r="H8627" s="142" t="s">
        <v>24477</v>
      </c>
      <c r="I8627" s="142">
        <v>1</v>
      </c>
      <c r="J8627" s="142">
        <v>0</v>
      </c>
      <c r="K8627" s="142">
        <v>0</v>
      </c>
      <c r="L8627" s="142">
        <v>0</v>
      </c>
      <c r="M8627" s="142">
        <v>1</v>
      </c>
    </row>
    <row r="8628" spans="1:13" x14ac:dyDescent="0.45">
      <c r="A8628" s="142" t="s">
        <v>13113</v>
      </c>
      <c r="B8628" s="142" t="s">
        <v>14503</v>
      </c>
      <c r="C8628" s="142" t="s">
        <v>15860</v>
      </c>
      <c r="D8628" s="142" t="s">
        <v>15861</v>
      </c>
      <c r="E8628" s="142" t="s">
        <v>15849</v>
      </c>
      <c r="F8628" s="142" t="s">
        <v>187</v>
      </c>
      <c r="G8628" s="142" t="s">
        <v>3712</v>
      </c>
      <c r="H8628" s="142" t="s">
        <v>24478</v>
      </c>
      <c r="I8628" s="142">
        <v>1</v>
      </c>
      <c r="J8628" s="142">
        <v>0</v>
      </c>
      <c r="K8628" s="142">
        <v>0</v>
      </c>
      <c r="L8628" s="142">
        <v>1</v>
      </c>
      <c r="M8628" s="142">
        <v>0</v>
      </c>
    </row>
    <row r="8629" spans="1:13" x14ac:dyDescent="0.45">
      <c r="A8629" s="142" t="s">
        <v>13047</v>
      </c>
      <c r="B8629" s="142" t="s">
        <v>14616</v>
      </c>
      <c r="C8629" s="142" t="s">
        <v>15847</v>
      </c>
      <c r="D8629" s="142" t="s">
        <v>15848</v>
      </c>
      <c r="E8629" s="142" t="s">
        <v>15849</v>
      </c>
      <c r="F8629" s="142" t="s">
        <v>187</v>
      </c>
      <c r="G8629" s="142" t="s">
        <v>3712</v>
      </c>
      <c r="H8629" s="142" t="s">
        <v>24479</v>
      </c>
      <c r="I8629" s="142">
        <v>80</v>
      </c>
      <c r="J8629" s="142">
        <v>56</v>
      </c>
      <c r="K8629" s="142">
        <v>0</v>
      </c>
      <c r="L8629" s="142">
        <v>0</v>
      </c>
      <c r="M8629" s="142">
        <v>24</v>
      </c>
    </row>
    <row r="8630" spans="1:13" x14ac:dyDescent="0.45">
      <c r="A8630" s="142" t="s">
        <v>13048</v>
      </c>
      <c r="B8630" s="142" t="s">
        <v>14479</v>
      </c>
      <c r="C8630" s="142" t="s">
        <v>15847</v>
      </c>
      <c r="D8630" s="142" t="s">
        <v>15848</v>
      </c>
      <c r="E8630" s="142" t="s">
        <v>15849</v>
      </c>
      <c r="F8630" s="142" t="s">
        <v>187</v>
      </c>
      <c r="G8630" s="142" t="s">
        <v>3712</v>
      </c>
      <c r="H8630" s="142" t="s">
        <v>24480</v>
      </c>
      <c r="I8630" s="142">
        <v>90</v>
      </c>
      <c r="J8630" s="142">
        <v>76</v>
      </c>
      <c r="K8630" s="142">
        <v>0</v>
      </c>
      <c r="L8630" s="142">
        <v>0</v>
      </c>
      <c r="M8630" s="142">
        <v>14</v>
      </c>
    </row>
    <row r="8631" spans="1:13" x14ac:dyDescent="0.45">
      <c r="A8631" s="142" t="s">
        <v>13082</v>
      </c>
      <c r="B8631" s="142" t="s">
        <v>14478</v>
      </c>
      <c r="C8631" s="142" t="s">
        <v>15860</v>
      </c>
      <c r="D8631" s="142" t="s">
        <v>15861</v>
      </c>
      <c r="E8631" s="142" t="s">
        <v>15849</v>
      </c>
      <c r="F8631" s="142" t="s">
        <v>187</v>
      </c>
      <c r="G8631" s="142" t="s">
        <v>3712</v>
      </c>
      <c r="H8631" s="142" t="s">
        <v>24481</v>
      </c>
      <c r="I8631" s="142">
        <v>6</v>
      </c>
      <c r="J8631" s="142">
        <v>0</v>
      </c>
      <c r="K8631" s="142">
        <v>0</v>
      </c>
      <c r="L8631" s="142">
        <v>6</v>
      </c>
      <c r="M8631" s="142">
        <v>0</v>
      </c>
    </row>
    <row r="8632" spans="1:13" x14ac:dyDescent="0.45">
      <c r="A8632" s="142" t="s">
        <v>13065</v>
      </c>
      <c r="B8632" s="142" t="s">
        <v>14497</v>
      </c>
      <c r="C8632" s="142" t="s">
        <v>15847</v>
      </c>
      <c r="D8632" s="142" t="s">
        <v>15848</v>
      </c>
      <c r="E8632" s="142" t="s">
        <v>15849</v>
      </c>
      <c r="F8632" s="142" t="s">
        <v>187</v>
      </c>
      <c r="G8632" s="142" t="s">
        <v>3712</v>
      </c>
      <c r="H8632" s="142" t="s">
        <v>24482</v>
      </c>
      <c r="I8632" s="142">
        <v>6</v>
      </c>
      <c r="J8632" s="142">
        <v>0</v>
      </c>
      <c r="K8632" s="142">
        <v>0</v>
      </c>
      <c r="L8632" s="142">
        <v>6</v>
      </c>
      <c r="M8632" s="142">
        <v>0</v>
      </c>
    </row>
    <row r="8633" spans="1:13" x14ac:dyDescent="0.45">
      <c r="A8633" s="142" t="s">
        <v>13049</v>
      </c>
      <c r="B8633" s="142" t="s">
        <v>14534</v>
      </c>
      <c r="C8633" s="142" t="s">
        <v>15860</v>
      </c>
      <c r="D8633" s="142" t="s">
        <v>15861</v>
      </c>
      <c r="E8633" s="142" t="s">
        <v>15849</v>
      </c>
      <c r="F8633" s="142" t="s">
        <v>187</v>
      </c>
      <c r="G8633" s="142" t="s">
        <v>3712</v>
      </c>
      <c r="H8633" s="142" t="s">
        <v>24483</v>
      </c>
      <c r="I8633" s="142">
        <v>13</v>
      </c>
      <c r="J8633" s="142">
        <v>0</v>
      </c>
      <c r="K8633" s="142">
        <v>0</v>
      </c>
      <c r="L8633" s="142">
        <v>13</v>
      </c>
      <c r="M8633" s="142">
        <v>0</v>
      </c>
    </row>
    <row r="8634" spans="1:13" x14ac:dyDescent="0.45">
      <c r="A8634" s="142" t="s">
        <v>13027</v>
      </c>
      <c r="B8634" s="142" t="s">
        <v>14562</v>
      </c>
      <c r="C8634" s="142" t="s">
        <v>15847</v>
      </c>
      <c r="D8634" s="142" t="s">
        <v>15848</v>
      </c>
      <c r="E8634" s="142" t="s">
        <v>15849</v>
      </c>
      <c r="F8634" s="142" t="s">
        <v>187</v>
      </c>
      <c r="G8634" s="142" t="s">
        <v>3712</v>
      </c>
      <c r="H8634" s="142" t="s">
        <v>24484</v>
      </c>
      <c r="I8634" s="142">
        <v>1</v>
      </c>
      <c r="J8634" s="142">
        <v>0</v>
      </c>
      <c r="K8634" s="142">
        <v>0</v>
      </c>
      <c r="L8634" s="142">
        <v>1</v>
      </c>
      <c r="M8634" s="142">
        <v>0</v>
      </c>
    </row>
    <row r="8635" spans="1:13" x14ac:dyDescent="0.45">
      <c r="A8635" s="142" t="s">
        <v>13050</v>
      </c>
      <c r="B8635" s="142" t="s">
        <v>15237</v>
      </c>
      <c r="C8635" s="142" t="s">
        <v>15847</v>
      </c>
      <c r="D8635" s="142" t="s">
        <v>15848</v>
      </c>
      <c r="E8635" s="142" t="s">
        <v>15849</v>
      </c>
      <c r="F8635" s="142" t="s">
        <v>187</v>
      </c>
      <c r="G8635" s="142" t="s">
        <v>3712</v>
      </c>
      <c r="H8635" s="142" t="s">
        <v>24485</v>
      </c>
      <c r="I8635" s="142">
        <v>76</v>
      </c>
      <c r="J8635" s="142">
        <v>66</v>
      </c>
      <c r="K8635" s="142">
        <v>0</v>
      </c>
      <c r="L8635" s="142">
        <v>0</v>
      </c>
      <c r="M8635" s="142">
        <v>10</v>
      </c>
    </row>
    <row r="8636" spans="1:13" x14ac:dyDescent="0.45">
      <c r="A8636" s="142" t="s">
        <v>13028</v>
      </c>
      <c r="B8636" s="142" t="s">
        <v>14462</v>
      </c>
      <c r="C8636" s="142" t="s">
        <v>15847</v>
      </c>
      <c r="D8636" s="142" t="s">
        <v>15848</v>
      </c>
      <c r="E8636" s="142" t="s">
        <v>15849</v>
      </c>
      <c r="F8636" s="142" t="s">
        <v>187</v>
      </c>
      <c r="G8636" s="142" t="s">
        <v>3712</v>
      </c>
      <c r="H8636" s="142" t="s">
        <v>24486</v>
      </c>
      <c r="I8636" s="142">
        <v>27</v>
      </c>
      <c r="J8636" s="142">
        <v>0</v>
      </c>
      <c r="K8636" s="142">
        <v>0</v>
      </c>
      <c r="L8636" s="142">
        <v>0</v>
      </c>
      <c r="M8636" s="142">
        <v>27</v>
      </c>
    </row>
    <row r="8637" spans="1:13" x14ac:dyDescent="0.45">
      <c r="A8637" s="142" t="s">
        <v>13190</v>
      </c>
      <c r="B8637" s="142" t="s">
        <v>14617</v>
      </c>
      <c r="C8637" s="142" t="s">
        <v>15847</v>
      </c>
      <c r="D8637" s="142" t="s">
        <v>15848</v>
      </c>
      <c r="E8637" s="142" t="s">
        <v>15849</v>
      </c>
      <c r="F8637" s="142" t="s">
        <v>187</v>
      </c>
      <c r="G8637" s="142" t="s">
        <v>3712</v>
      </c>
      <c r="H8637" s="142" t="s">
        <v>24487</v>
      </c>
      <c r="I8637" s="142">
        <v>847</v>
      </c>
      <c r="J8637" s="142">
        <v>691</v>
      </c>
      <c r="K8637" s="142">
        <v>0</v>
      </c>
      <c r="L8637" s="142">
        <v>80</v>
      </c>
      <c r="M8637" s="142">
        <v>76</v>
      </c>
    </row>
    <row r="8638" spans="1:13" x14ac:dyDescent="0.45">
      <c r="A8638" s="142" t="s">
        <v>13007</v>
      </c>
      <c r="B8638" s="142" t="s">
        <v>15262</v>
      </c>
      <c r="C8638" s="142" t="s">
        <v>15847</v>
      </c>
      <c r="D8638" s="142" t="s">
        <v>15848</v>
      </c>
      <c r="E8638" s="142" t="s">
        <v>15849</v>
      </c>
      <c r="F8638" s="142" t="s">
        <v>187</v>
      </c>
      <c r="G8638" s="142" t="s">
        <v>3712</v>
      </c>
      <c r="H8638" s="142" t="s">
        <v>24488</v>
      </c>
      <c r="I8638" s="142">
        <v>1</v>
      </c>
      <c r="J8638" s="142">
        <v>0</v>
      </c>
      <c r="K8638" s="142">
        <v>0</v>
      </c>
      <c r="L8638" s="142">
        <v>0</v>
      </c>
      <c r="M8638" s="142">
        <v>1</v>
      </c>
    </row>
    <row r="8639" spans="1:13" x14ac:dyDescent="0.45">
      <c r="A8639" s="142" t="s">
        <v>14032</v>
      </c>
      <c r="B8639" s="142" t="s">
        <v>15584</v>
      </c>
      <c r="C8639" s="142" t="s">
        <v>15847</v>
      </c>
      <c r="D8639" s="142" t="s">
        <v>15848</v>
      </c>
      <c r="E8639" s="142" t="s">
        <v>15849</v>
      </c>
      <c r="F8639" s="142" t="s">
        <v>187</v>
      </c>
      <c r="G8639" s="142" t="s">
        <v>3712</v>
      </c>
      <c r="H8639" s="142" t="s">
        <v>24489</v>
      </c>
      <c r="I8639" s="142">
        <v>25</v>
      </c>
      <c r="J8639" s="142">
        <v>20</v>
      </c>
      <c r="K8639" s="142">
        <v>0</v>
      </c>
      <c r="L8639" s="142">
        <v>0</v>
      </c>
      <c r="M8639" s="142">
        <v>5</v>
      </c>
    </row>
    <row r="8640" spans="1:13" x14ac:dyDescent="0.45">
      <c r="A8640" s="142" t="s">
        <v>13033</v>
      </c>
      <c r="B8640" s="142" t="s">
        <v>15276</v>
      </c>
      <c r="C8640" s="142" t="s">
        <v>15847</v>
      </c>
      <c r="D8640" s="142" t="s">
        <v>15848</v>
      </c>
      <c r="E8640" s="142" t="s">
        <v>15849</v>
      </c>
      <c r="F8640" s="142" t="s">
        <v>187</v>
      </c>
      <c r="G8640" s="142" t="s">
        <v>3712</v>
      </c>
      <c r="H8640" s="142" t="s">
        <v>24490</v>
      </c>
      <c r="I8640" s="142">
        <v>13</v>
      </c>
      <c r="J8640" s="142">
        <v>13</v>
      </c>
      <c r="K8640" s="142">
        <v>0</v>
      </c>
      <c r="L8640" s="142">
        <v>0</v>
      </c>
      <c r="M8640" s="142">
        <v>0</v>
      </c>
    </row>
    <row r="8641" spans="1:13" x14ac:dyDescent="0.45">
      <c r="A8641" s="142" t="s">
        <v>13034</v>
      </c>
      <c r="B8641" s="142" t="s">
        <v>15562</v>
      </c>
      <c r="C8641" s="142" t="s">
        <v>15847</v>
      </c>
      <c r="D8641" s="142" t="s">
        <v>15848</v>
      </c>
      <c r="E8641" s="142" t="s">
        <v>15849</v>
      </c>
      <c r="F8641" s="142" t="s">
        <v>187</v>
      </c>
      <c r="G8641" s="142" t="s">
        <v>3712</v>
      </c>
      <c r="H8641" s="142" t="s">
        <v>24491</v>
      </c>
      <c r="I8641" s="142">
        <v>2</v>
      </c>
      <c r="J8641" s="142">
        <v>0</v>
      </c>
      <c r="K8641" s="142">
        <v>0</v>
      </c>
      <c r="L8641" s="142">
        <v>0</v>
      </c>
      <c r="M8641" s="142">
        <v>2</v>
      </c>
    </row>
    <row r="8642" spans="1:13" x14ac:dyDescent="0.45">
      <c r="A8642" s="142" t="s">
        <v>14300</v>
      </c>
      <c r="B8642" s="142" t="s">
        <v>14611</v>
      </c>
      <c r="C8642" s="142" t="s">
        <v>15860</v>
      </c>
      <c r="D8642" s="142" t="s">
        <v>15861</v>
      </c>
      <c r="E8642" s="142" t="s">
        <v>15849</v>
      </c>
      <c r="F8642" s="142" t="s">
        <v>187</v>
      </c>
      <c r="G8642" s="142" t="s">
        <v>3712</v>
      </c>
      <c r="H8642" s="142" t="s">
        <v>24492</v>
      </c>
      <c r="I8642" s="142">
        <v>4</v>
      </c>
      <c r="J8642" s="142">
        <v>4</v>
      </c>
      <c r="K8642" s="142">
        <v>0</v>
      </c>
      <c r="L8642" s="142">
        <v>0</v>
      </c>
      <c r="M8642" s="142">
        <v>0</v>
      </c>
    </row>
    <row r="8643" spans="1:13" x14ac:dyDescent="0.45">
      <c r="A8643" s="142" t="s">
        <v>13038</v>
      </c>
      <c r="B8643" s="142" t="s">
        <v>14646</v>
      </c>
      <c r="C8643" s="142" t="s">
        <v>15847</v>
      </c>
      <c r="D8643" s="142" t="s">
        <v>15848</v>
      </c>
      <c r="E8643" s="142" t="s">
        <v>15849</v>
      </c>
      <c r="F8643" s="142" t="s">
        <v>187</v>
      </c>
      <c r="G8643" s="142" t="s">
        <v>3712</v>
      </c>
      <c r="H8643" s="142" t="s">
        <v>24493</v>
      </c>
      <c r="I8643" s="142">
        <v>25</v>
      </c>
      <c r="J8643" s="142">
        <v>0</v>
      </c>
      <c r="K8643" s="142">
        <v>0</v>
      </c>
      <c r="L8643" s="142">
        <v>0</v>
      </c>
      <c r="M8643" s="142">
        <v>25</v>
      </c>
    </row>
    <row r="8644" spans="1:13" x14ac:dyDescent="0.45">
      <c r="A8644" s="142" t="s">
        <v>13091</v>
      </c>
      <c r="B8644" s="142" t="s">
        <v>14473</v>
      </c>
      <c r="C8644" s="142" t="s">
        <v>15847</v>
      </c>
      <c r="D8644" s="142" t="s">
        <v>15848</v>
      </c>
      <c r="E8644" s="142" t="s">
        <v>15849</v>
      </c>
      <c r="F8644" s="142" t="s">
        <v>187</v>
      </c>
      <c r="G8644" s="142" t="s">
        <v>3712</v>
      </c>
      <c r="H8644" s="142" t="s">
        <v>24494</v>
      </c>
      <c r="I8644" s="142">
        <v>73</v>
      </c>
      <c r="J8644" s="142">
        <v>12</v>
      </c>
      <c r="K8644" s="142">
        <v>0</v>
      </c>
      <c r="L8644" s="142">
        <v>41</v>
      </c>
      <c r="M8644" s="142">
        <v>20</v>
      </c>
    </row>
    <row r="8645" spans="1:13" x14ac:dyDescent="0.45">
      <c r="A8645" s="142" t="s">
        <v>13009</v>
      </c>
      <c r="B8645" s="142" t="s">
        <v>15256</v>
      </c>
      <c r="C8645" s="142" t="s">
        <v>15847</v>
      </c>
      <c r="D8645" s="142" t="s">
        <v>15848</v>
      </c>
      <c r="E8645" s="142" t="s">
        <v>15849</v>
      </c>
      <c r="F8645" s="142" t="s">
        <v>187</v>
      </c>
      <c r="G8645" s="142" t="s">
        <v>3712</v>
      </c>
      <c r="H8645" s="142" t="s">
        <v>24495</v>
      </c>
      <c r="I8645" s="142">
        <v>67</v>
      </c>
      <c r="J8645" s="142">
        <v>46</v>
      </c>
      <c r="K8645" s="142">
        <v>0</v>
      </c>
      <c r="L8645" s="142">
        <v>20</v>
      </c>
      <c r="M8645" s="142">
        <v>1</v>
      </c>
    </row>
    <row r="8646" spans="1:13" x14ac:dyDescent="0.45">
      <c r="A8646" s="142" t="s">
        <v>13058</v>
      </c>
      <c r="B8646" s="142" t="s">
        <v>14584</v>
      </c>
      <c r="C8646" s="142" t="s">
        <v>15847</v>
      </c>
      <c r="D8646" s="142" t="s">
        <v>15848</v>
      </c>
      <c r="E8646" s="142" t="s">
        <v>15849</v>
      </c>
      <c r="F8646" s="142" t="s">
        <v>187</v>
      </c>
      <c r="G8646" s="142" t="s">
        <v>3712</v>
      </c>
      <c r="H8646" s="142" t="s">
        <v>24496</v>
      </c>
      <c r="I8646" s="142">
        <v>12</v>
      </c>
      <c r="J8646" s="142">
        <v>0</v>
      </c>
      <c r="K8646" s="142">
        <v>0</v>
      </c>
      <c r="L8646" s="142">
        <v>0</v>
      </c>
      <c r="M8646" s="142">
        <v>12</v>
      </c>
    </row>
    <row r="8647" spans="1:13" x14ac:dyDescent="0.45">
      <c r="A8647" s="142" t="s">
        <v>13539</v>
      </c>
      <c r="B8647" s="142" t="s">
        <v>15200</v>
      </c>
      <c r="C8647" s="142" t="s">
        <v>15860</v>
      </c>
      <c r="D8647" s="142" t="s">
        <v>15861</v>
      </c>
      <c r="E8647" s="142" t="s">
        <v>15849</v>
      </c>
      <c r="F8647" s="142" t="s">
        <v>187</v>
      </c>
      <c r="G8647" s="142" t="s">
        <v>3712</v>
      </c>
      <c r="H8647" s="142" t="s">
        <v>24497</v>
      </c>
      <c r="I8647" s="142">
        <v>21</v>
      </c>
      <c r="J8647" s="142">
        <v>0</v>
      </c>
      <c r="K8647" s="142">
        <v>0</v>
      </c>
      <c r="L8647" s="142">
        <v>21</v>
      </c>
      <c r="M8647" s="142">
        <v>0</v>
      </c>
    </row>
    <row r="8648" spans="1:13" x14ac:dyDescent="0.45">
      <c r="A8648" s="142" t="s">
        <v>13016</v>
      </c>
      <c r="B8648" s="142" t="s">
        <v>14535</v>
      </c>
      <c r="C8648" s="142" t="s">
        <v>15860</v>
      </c>
      <c r="D8648" s="142" t="s">
        <v>15861</v>
      </c>
      <c r="E8648" s="142" t="s">
        <v>15849</v>
      </c>
      <c r="F8648" s="142" t="s">
        <v>187</v>
      </c>
      <c r="G8648" s="142" t="s">
        <v>3712</v>
      </c>
      <c r="H8648" s="142" t="s">
        <v>24498</v>
      </c>
      <c r="I8648" s="142">
        <v>1</v>
      </c>
      <c r="J8648" s="142">
        <v>0</v>
      </c>
      <c r="K8648" s="142">
        <v>0</v>
      </c>
      <c r="L8648" s="142">
        <v>1</v>
      </c>
      <c r="M8648" s="142">
        <v>0</v>
      </c>
    </row>
    <row r="8649" spans="1:13" x14ac:dyDescent="0.45">
      <c r="A8649" s="142" t="s">
        <v>13541</v>
      </c>
      <c r="B8649" s="142" t="s">
        <v>14579</v>
      </c>
      <c r="C8649" s="142" t="s">
        <v>15847</v>
      </c>
      <c r="D8649" s="142" t="s">
        <v>15848</v>
      </c>
      <c r="E8649" s="142" t="s">
        <v>15849</v>
      </c>
      <c r="F8649" s="142" t="s">
        <v>187</v>
      </c>
      <c r="G8649" s="142" t="s">
        <v>3712</v>
      </c>
      <c r="H8649" s="142" t="s">
        <v>24499</v>
      </c>
      <c r="I8649" s="142">
        <v>1912</v>
      </c>
      <c r="J8649" s="142">
        <v>1629</v>
      </c>
      <c r="K8649" s="142">
        <v>0</v>
      </c>
      <c r="L8649" s="142">
        <v>209</v>
      </c>
      <c r="M8649" s="142">
        <v>74</v>
      </c>
    </row>
    <row r="8650" spans="1:13" x14ac:dyDescent="0.45">
      <c r="A8650" s="142" t="s">
        <v>13542</v>
      </c>
      <c r="B8650" s="142" t="s">
        <v>15368</v>
      </c>
      <c r="C8650" s="142" t="s">
        <v>15847</v>
      </c>
      <c r="D8650" s="142" t="s">
        <v>15848</v>
      </c>
      <c r="E8650" s="142" t="s">
        <v>15849</v>
      </c>
      <c r="F8650" s="142" t="s">
        <v>187</v>
      </c>
      <c r="G8650" s="142" t="s">
        <v>3712</v>
      </c>
      <c r="H8650" s="142" t="s">
        <v>24500</v>
      </c>
      <c r="I8650" s="142">
        <v>8</v>
      </c>
      <c r="J8650" s="142">
        <v>8</v>
      </c>
      <c r="K8650" s="142">
        <v>0</v>
      </c>
      <c r="L8650" s="142">
        <v>0</v>
      </c>
      <c r="M8650" s="142">
        <v>0</v>
      </c>
    </row>
    <row r="8651" spans="1:13" x14ac:dyDescent="0.45">
      <c r="A8651" s="142" t="s">
        <v>14301</v>
      </c>
      <c r="B8651" s="142" t="s">
        <v>14659</v>
      </c>
      <c r="C8651" s="142" t="s">
        <v>15860</v>
      </c>
      <c r="D8651" s="142" t="s">
        <v>15861</v>
      </c>
      <c r="E8651" s="142" t="s">
        <v>15849</v>
      </c>
      <c r="F8651" s="142" t="s">
        <v>187</v>
      </c>
      <c r="G8651" s="142" t="s">
        <v>3712</v>
      </c>
      <c r="H8651" s="142" t="s">
        <v>24501</v>
      </c>
      <c r="I8651" s="142">
        <v>4</v>
      </c>
      <c r="J8651" s="142">
        <v>4</v>
      </c>
      <c r="K8651" s="142">
        <v>0</v>
      </c>
      <c r="L8651" s="142">
        <v>0</v>
      </c>
      <c r="M8651" s="142">
        <v>0</v>
      </c>
    </row>
    <row r="8652" spans="1:13" x14ac:dyDescent="0.45">
      <c r="A8652" s="142" t="s">
        <v>13110</v>
      </c>
      <c r="B8652" s="142" t="s">
        <v>15502</v>
      </c>
      <c r="C8652" s="142" t="s">
        <v>15847</v>
      </c>
      <c r="D8652" s="142" t="s">
        <v>15848</v>
      </c>
      <c r="E8652" s="142" t="s">
        <v>15849</v>
      </c>
      <c r="F8652" s="142" t="s">
        <v>188</v>
      </c>
      <c r="G8652" s="142" t="s">
        <v>12405</v>
      </c>
      <c r="H8652" s="142" t="s">
        <v>24502</v>
      </c>
      <c r="I8652" s="142">
        <v>173</v>
      </c>
      <c r="J8652" s="142">
        <v>139</v>
      </c>
      <c r="K8652" s="142">
        <v>0</v>
      </c>
      <c r="L8652" s="142">
        <v>0</v>
      </c>
      <c r="M8652" s="142">
        <v>34</v>
      </c>
    </row>
    <row r="8653" spans="1:13" x14ac:dyDescent="0.45">
      <c r="A8653" s="142" t="s">
        <v>13112</v>
      </c>
      <c r="B8653" s="142" t="s">
        <v>15552</v>
      </c>
      <c r="C8653" s="142" t="s">
        <v>15860</v>
      </c>
      <c r="D8653" s="142" t="s">
        <v>15861</v>
      </c>
      <c r="E8653" s="142" t="s">
        <v>15849</v>
      </c>
      <c r="F8653" s="142" t="s">
        <v>188</v>
      </c>
      <c r="G8653" s="142" t="s">
        <v>12405</v>
      </c>
      <c r="H8653" s="142" t="s">
        <v>24503</v>
      </c>
      <c r="I8653" s="142">
        <v>128</v>
      </c>
      <c r="J8653" s="142">
        <v>108</v>
      </c>
      <c r="K8653" s="142">
        <v>0</v>
      </c>
      <c r="L8653" s="142">
        <v>20</v>
      </c>
      <c r="M8653" s="142">
        <v>0</v>
      </c>
    </row>
    <row r="8654" spans="1:13" x14ac:dyDescent="0.45">
      <c r="A8654" s="142" t="s">
        <v>14303</v>
      </c>
      <c r="B8654" s="142" t="s">
        <v>14998</v>
      </c>
      <c r="C8654" s="142" t="s">
        <v>15860</v>
      </c>
      <c r="D8654" s="142" t="s">
        <v>15861</v>
      </c>
      <c r="E8654" s="142" t="s">
        <v>15849</v>
      </c>
      <c r="F8654" s="142" t="s">
        <v>188</v>
      </c>
      <c r="G8654" s="142" t="s">
        <v>12405</v>
      </c>
      <c r="H8654" s="142" t="s">
        <v>24504</v>
      </c>
      <c r="I8654" s="142">
        <v>21</v>
      </c>
      <c r="J8654" s="142">
        <v>21</v>
      </c>
      <c r="K8654" s="142">
        <v>0</v>
      </c>
      <c r="L8654" s="142">
        <v>0</v>
      </c>
      <c r="M8654" s="142">
        <v>0</v>
      </c>
    </row>
    <row r="8655" spans="1:13" x14ac:dyDescent="0.45">
      <c r="A8655" s="142" t="s">
        <v>13000</v>
      </c>
      <c r="B8655" s="142" t="s">
        <v>14610</v>
      </c>
      <c r="C8655" s="142" t="s">
        <v>15847</v>
      </c>
      <c r="D8655" s="142" t="s">
        <v>15848</v>
      </c>
      <c r="E8655" s="142" t="s">
        <v>15849</v>
      </c>
      <c r="F8655" s="142" t="s">
        <v>188</v>
      </c>
      <c r="G8655" s="142" t="s">
        <v>12405</v>
      </c>
      <c r="H8655" s="142" t="s">
        <v>24505</v>
      </c>
      <c r="I8655" s="142">
        <v>4336</v>
      </c>
      <c r="J8655" s="142">
        <v>3993</v>
      </c>
      <c r="K8655" s="142">
        <v>16</v>
      </c>
      <c r="L8655" s="142">
        <v>134</v>
      </c>
      <c r="M8655" s="142">
        <v>193</v>
      </c>
    </row>
    <row r="8656" spans="1:13" x14ac:dyDescent="0.45">
      <c r="A8656" s="142" t="s">
        <v>13212</v>
      </c>
      <c r="B8656" s="142" t="s">
        <v>15497</v>
      </c>
      <c r="C8656" s="142" t="s">
        <v>15860</v>
      </c>
      <c r="D8656" s="142" t="s">
        <v>15861</v>
      </c>
      <c r="E8656" s="142" t="s">
        <v>15849</v>
      </c>
      <c r="F8656" s="142" t="s">
        <v>188</v>
      </c>
      <c r="G8656" s="142" t="s">
        <v>12405</v>
      </c>
      <c r="H8656" s="142" t="s">
        <v>24506</v>
      </c>
      <c r="I8656" s="142">
        <v>19</v>
      </c>
      <c r="J8656" s="142">
        <v>19</v>
      </c>
      <c r="K8656" s="142">
        <v>0</v>
      </c>
      <c r="L8656" s="142">
        <v>0</v>
      </c>
      <c r="M8656" s="142">
        <v>0</v>
      </c>
    </row>
    <row r="8657" spans="1:13" x14ac:dyDescent="0.45">
      <c r="A8657" s="142" t="s">
        <v>14304</v>
      </c>
      <c r="B8657" s="142" t="s">
        <v>15453</v>
      </c>
      <c r="C8657" s="142" t="s">
        <v>15847</v>
      </c>
      <c r="D8657" s="142" t="s">
        <v>15848</v>
      </c>
      <c r="E8657" s="142" t="s">
        <v>15849</v>
      </c>
      <c r="F8657" s="142" t="s">
        <v>188</v>
      </c>
      <c r="G8657" s="142" t="s">
        <v>12405</v>
      </c>
      <c r="H8657" s="142" t="s">
        <v>24507</v>
      </c>
      <c r="I8657" s="142">
        <v>2367</v>
      </c>
      <c r="J8657" s="142">
        <v>2322</v>
      </c>
      <c r="K8657" s="142">
        <v>0</v>
      </c>
      <c r="L8657" s="142">
        <v>0</v>
      </c>
      <c r="M8657" s="142">
        <v>45</v>
      </c>
    </row>
    <row r="8658" spans="1:13" x14ac:dyDescent="0.45">
      <c r="A8658" s="142" t="s">
        <v>13350</v>
      </c>
      <c r="B8658" s="142" t="s">
        <v>15272</v>
      </c>
      <c r="C8658" s="142" t="s">
        <v>15847</v>
      </c>
      <c r="D8658" s="142" t="s">
        <v>15848</v>
      </c>
      <c r="E8658" s="142" t="s">
        <v>15849</v>
      </c>
      <c r="F8658" s="142" t="s">
        <v>188</v>
      </c>
      <c r="G8658" s="142" t="s">
        <v>12405</v>
      </c>
      <c r="H8658" s="142" t="s">
        <v>24508</v>
      </c>
      <c r="I8658" s="142">
        <v>2650</v>
      </c>
      <c r="J8658" s="142">
        <v>1821</v>
      </c>
      <c r="K8658" s="142">
        <v>23</v>
      </c>
      <c r="L8658" s="142">
        <v>534</v>
      </c>
      <c r="M8658" s="142">
        <v>272</v>
      </c>
    </row>
    <row r="8659" spans="1:13" x14ac:dyDescent="0.45">
      <c r="A8659" s="142" t="s">
        <v>14305</v>
      </c>
      <c r="B8659" s="142" t="s">
        <v>14668</v>
      </c>
      <c r="C8659" s="142" t="s">
        <v>15860</v>
      </c>
      <c r="D8659" s="142" t="s">
        <v>15861</v>
      </c>
      <c r="E8659" s="142" t="s">
        <v>15849</v>
      </c>
      <c r="F8659" s="142" t="s">
        <v>188</v>
      </c>
      <c r="G8659" s="142" t="s">
        <v>12405</v>
      </c>
      <c r="H8659" s="142" t="s">
        <v>24509</v>
      </c>
      <c r="I8659" s="142">
        <v>11</v>
      </c>
      <c r="J8659" s="142">
        <v>11</v>
      </c>
      <c r="K8659" s="142">
        <v>0</v>
      </c>
      <c r="L8659" s="142">
        <v>0</v>
      </c>
      <c r="M8659" s="142">
        <v>0</v>
      </c>
    </row>
    <row r="8660" spans="1:13" x14ac:dyDescent="0.45">
      <c r="A8660" s="142" t="s">
        <v>14306</v>
      </c>
      <c r="B8660" s="142" t="s">
        <v>14982</v>
      </c>
      <c r="C8660" s="142" t="s">
        <v>15860</v>
      </c>
      <c r="D8660" s="142" t="s">
        <v>15861</v>
      </c>
      <c r="E8660" s="142" t="s">
        <v>15849</v>
      </c>
      <c r="F8660" s="142" t="s">
        <v>188</v>
      </c>
      <c r="G8660" s="142" t="s">
        <v>12405</v>
      </c>
      <c r="H8660" s="142" t="s">
        <v>24510</v>
      </c>
      <c r="I8660" s="142">
        <v>79</v>
      </c>
      <c r="J8660" s="142">
        <v>79</v>
      </c>
      <c r="K8660" s="142">
        <v>0</v>
      </c>
      <c r="L8660" s="142">
        <v>0</v>
      </c>
      <c r="M8660" s="142">
        <v>0</v>
      </c>
    </row>
    <row r="8661" spans="1:13" x14ac:dyDescent="0.45">
      <c r="A8661" s="142" t="s">
        <v>13001</v>
      </c>
      <c r="B8661" s="142" t="s">
        <v>15506</v>
      </c>
      <c r="C8661" s="142" t="s">
        <v>15847</v>
      </c>
      <c r="D8661" s="142" t="s">
        <v>15848</v>
      </c>
      <c r="E8661" s="142" t="s">
        <v>15849</v>
      </c>
      <c r="F8661" s="142" t="s">
        <v>188</v>
      </c>
      <c r="G8661" s="142" t="s">
        <v>12405</v>
      </c>
      <c r="H8661" s="142" t="s">
        <v>24511</v>
      </c>
      <c r="I8661" s="142">
        <v>4</v>
      </c>
      <c r="J8661" s="142">
        <v>4</v>
      </c>
      <c r="K8661" s="142">
        <v>0</v>
      </c>
      <c r="L8661" s="142">
        <v>0</v>
      </c>
      <c r="M8661" s="142">
        <v>0</v>
      </c>
    </row>
    <row r="8662" spans="1:13" x14ac:dyDescent="0.45">
      <c r="A8662" s="142" t="s">
        <v>13028</v>
      </c>
      <c r="B8662" s="142" t="s">
        <v>14462</v>
      </c>
      <c r="C8662" s="142" t="s">
        <v>15847</v>
      </c>
      <c r="D8662" s="142" t="s">
        <v>15848</v>
      </c>
      <c r="E8662" s="142" t="s">
        <v>15849</v>
      </c>
      <c r="F8662" s="142" t="s">
        <v>188</v>
      </c>
      <c r="G8662" s="142" t="s">
        <v>12405</v>
      </c>
      <c r="H8662" s="142" t="s">
        <v>24512</v>
      </c>
      <c r="I8662" s="142">
        <v>1</v>
      </c>
      <c r="J8662" s="142">
        <v>0</v>
      </c>
      <c r="K8662" s="142">
        <v>0</v>
      </c>
      <c r="L8662" s="142">
        <v>0</v>
      </c>
      <c r="M8662" s="142">
        <v>1</v>
      </c>
    </row>
    <row r="8663" spans="1:13" x14ac:dyDescent="0.45">
      <c r="A8663" s="142" t="s">
        <v>13002</v>
      </c>
      <c r="B8663" s="142" t="s">
        <v>15376</v>
      </c>
      <c r="C8663" s="142" t="s">
        <v>15847</v>
      </c>
      <c r="D8663" s="142" t="s">
        <v>15848</v>
      </c>
      <c r="E8663" s="142" t="s">
        <v>15849</v>
      </c>
      <c r="F8663" s="142" t="s">
        <v>188</v>
      </c>
      <c r="G8663" s="142" t="s">
        <v>12405</v>
      </c>
      <c r="H8663" s="142" t="s">
        <v>24513</v>
      </c>
      <c r="I8663" s="142">
        <v>84</v>
      </c>
      <c r="J8663" s="142">
        <v>53</v>
      </c>
      <c r="K8663" s="142">
        <v>0</v>
      </c>
      <c r="L8663" s="142">
        <v>0</v>
      </c>
      <c r="M8663" s="142">
        <v>31</v>
      </c>
    </row>
    <row r="8664" spans="1:13" x14ac:dyDescent="0.45">
      <c r="A8664" s="142" t="s">
        <v>13003</v>
      </c>
      <c r="B8664" s="142" t="s">
        <v>15245</v>
      </c>
      <c r="C8664" s="142" t="s">
        <v>15847</v>
      </c>
      <c r="D8664" s="142" t="s">
        <v>15848</v>
      </c>
      <c r="E8664" s="142" t="s">
        <v>15849</v>
      </c>
      <c r="F8664" s="142" t="s">
        <v>188</v>
      </c>
      <c r="G8664" s="142" t="s">
        <v>12405</v>
      </c>
      <c r="H8664" s="142" t="s">
        <v>24514</v>
      </c>
      <c r="I8664" s="142">
        <v>120</v>
      </c>
      <c r="J8664" s="142">
        <v>0</v>
      </c>
      <c r="K8664" s="142">
        <v>0</v>
      </c>
      <c r="L8664" s="142">
        <v>120</v>
      </c>
      <c r="M8664" s="142">
        <v>0</v>
      </c>
    </row>
    <row r="8665" spans="1:13" x14ac:dyDescent="0.45">
      <c r="A8665" s="142" t="s">
        <v>13437</v>
      </c>
      <c r="B8665" s="142" t="s">
        <v>15268</v>
      </c>
      <c r="C8665" s="142" t="s">
        <v>15847</v>
      </c>
      <c r="D8665" s="142" t="s">
        <v>15848</v>
      </c>
      <c r="E8665" s="142" t="s">
        <v>15849</v>
      </c>
      <c r="F8665" s="142" t="s">
        <v>188</v>
      </c>
      <c r="G8665" s="142" t="s">
        <v>12405</v>
      </c>
      <c r="H8665" s="142" t="s">
        <v>24515</v>
      </c>
      <c r="I8665" s="142">
        <v>23</v>
      </c>
      <c r="J8665" s="142">
        <v>22</v>
      </c>
      <c r="K8665" s="142">
        <v>0</v>
      </c>
      <c r="L8665" s="142">
        <v>0</v>
      </c>
      <c r="M8665" s="142">
        <v>1</v>
      </c>
    </row>
    <row r="8666" spans="1:13" x14ac:dyDescent="0.45">
      <c r="A8666" s="142" t="s">
        <v>13735</v>
      </c>
      <c r="B8666" s="142" t="s">
        <v>14533</v>
      </c>
      <c r="C8666" s="142" t="s">
        <v>15860</v>
      </c>
      <c r="D8666" s="142" t="s">
        <v>15861</v>
      </c>
      <c r="E8666" s="142" t="s">
        <v>15849</v>
      </c>
      <c r="F8666" s="142" t="s">
        <v>188</v>
      </c>
      <c r="G8666" s="142" t="s">
        <v>12405</v>
      </c>
      <c r="H8666" s="142" t="s">
        <v>24516</v>
      </c>
      <c r="I8666" s="142">
        <v>6</v>
      </c>
      <c r="J8666" s="142">
        <v>6</v>
      </c>
      <c r="K8666" s="142">
        <v>0</v>
      </c>
      <c r="L8666" s="142">
        <v>0</v>
      </c>
      <c r="M8666" s="142">
        <v>0</v>
      </c>
    </row>
    <row r="8667" spans="1:13" x14ac:dyDescent="0.45">
      <c r="A8667" s="142" t="s">
        <v>13076</v>
      </c>
      <c r="B8667" s="142" t="s">
        <v>14636</v>
      </c>
      <c r="C8667" s="142" t="s">
        <v>15847</v>
      </c>
      <c r="D8667" s="142" t="s">
        <v>15848</v>
      </c>
      <c r="E8667" s="142" t="s">
        <v>15849</v>
      </c>
      <c r="F8667" s="142" t="s">
        <v>188</v>
      </c>
      <c r="G8667" s="142" t="s">
        <v>12405</v>
      </c>
      <c r="H8667" s="142" t="s">
        <v>24517</v>
      </c>
      <c r="I8667" s="142">
        <v>116</v>
      </c>
      <c r="J8667" s="142">
        <v>49</v>
      </c>
      <c r="K8667" s="142">
        <v>0</v>
      </c>
      <c r="L8667" s="142">
        <v>0</v>
      </c>
      <c r="M8667" s="142">
        <v>67</v>
      </c>
    </row>
    <row r="8668" spans="1:13" x14ac:dyDescent="0.45">
      <c r="A8668" s="142" t="s">
        <v>13100</v>
      </c>
      <c r="B8668" s="142" t="s">
        <v>15603</v>
      </c>
      <c r="C8668" s="142" t="s">
        <v>15847</v>
      </c>
      <c r="D8668" s="142" t="s">
        <v>15848</v>
      </c>
      <c r="E8668" s="142" t="s">
        <v>15849</v>
      </c>
      <c r="F8668" s="142" t="s">
        <v>188</v>
      </c>
      <c r="G8668" s="142" t="s">
        <v>12405</v>
      </c>
      <c r="H8668" s="142" t="s">
        <v>24518</v>
      </c>
      <c r="I8668" s="142">
        <v>148</v>
      </c>
      <c r="J8668" s="142">
        <v>148</v>
      </c>
      <c r="K8668" s="142">
        <v>0</v>
      </c>
      <c r="L8668" s="142">
        <v>0</v>
      </c>
      <c r="M8668" s="142">
        <v>0</v>
      </c>
    </row>
    <row r="8669" spans="1:13" x14ac:dyDescent="0.45">
      <c r="A8669" s="142" t="s">
        <v>13005</v>
      </c>
      <c r="B8669" s="142" t="s">
        <v>15475</v>
      </c>
      <c r="C8669" s="142" t="s">
        <v>15847</v>
      </c>
      <c r="D8669" s="142" t="s">
        <v>15848</v>
      </c>
      <c r="E8669" s="142" t="s">
        <v>15849</v>
      </c>
      <c r="F8669" s="142" t="s">
        <v>188</v>
      </c>
      <c r="G8669" s="142" t="s">
        <v>12405</v>
      </c>
      <c r="H8669" s="142" t="s">
        <v>24519</v>
      </c>
      <c r="I8669" s="142">
        <v>2462</v>
      </c>
      <c r="J8669" s="142">
        <v>1826</v>
      </c>
      <c r="K8669" s="142">
        <v>0</v>
      </c>
      <c r="L8669" s="142">
        <v>71</v>
      </c>
      <c r="M8669" s="142">
        <v>565</v>
      </c>
    </row>
    <row r="8670" spans="1:13" x14ac:dyDescent="0.45">
      <c r="A8670" s="142" t="s">
        <v>13101</v>
      </c>
      <c r="B8670" s="142" t="s">
        <v>15491</v>
      </c>
      <c r="C8670" s="142" t="s">
        <v>15847</v>
      </c>
      <c r="D8670" s="142" t="s">
        <v>15848</v>
      </c>
      <c r="E8670" s="142" t="s">
        <v>15849</v>
      </c>
      <c r="F8670" s="142" t="s">
        <v>188</v>
      </c>
      <c r="G8670" s="142" t="s">
        <v>12405</v>
      </c>
      <c r="H8670" s="142" t="s">
        <v>24520</v>
      </c>
      <c r="I8670" s="142">
        <v>354</v>
      </c>
      <c r="J8670" s="142">
        <v>0</v>
      </c>
      <c r="K8670" s="142">
        <v>0</v>
      </c>
      <c r="L8670" s="142">
        <v>354</v>
      </c>
      <c r="M8670" s="142">
        <v>0</v>
      </c>
    </row>
    <row r="8671" spans="1:13" x14ac:dyDescent="0.45">
      <c r="A8671" s="142" t="s">
        <v>13029</v>
      </c>
      <c r="B8671" s="142" t="s">
        <v>14665</v>
      </c>
      <c r="C8671" s="142" t="s">
        <v>15847</v>
      </c>
      <c r="D8671" s="142" t="s">
        <v>15848</v>
      </c>
      <c r="E8671" s="142" t="s">
        <v>15849</v>
      </c>
      <c r="F8671" s="142" t="s">
        <v>188</v>
      </c>
      <c r="G8671" s="142" t="s">
        <v>12405</v>
      </c>
      <c r="H8671" s="142" t="s">
        <v>24521</v>
      </c>
      <c r="I8671" s="142">
        <v>2</v>
      </c>
      <c r="J8671" s="142">
        <v>0</v>
      </c>
      <c r="K8671" s="142">
        <v>0</v>
      </c>
      <c r="L8671" s="142">
        <v>0</v>
      </c>
      <c r="M8671" s="142">
        <v>2</v>
      </c>
    </row>
    <row r="8672" spans="1:13" x14ac:dyDescent="0.45">
      <c r="A8672" s="142" t="s">
        <v>13577</v>
      </c>
      <c r="B8672" s="142" t="s">
        <v>14442</v>
      </c>
      <c r="C8672" s="142" t="s">
        <v>15860</v>
      </c>
      <c r="D8672" s="142" t="s">
        <v>15861</v>
      </c>
      <c r="E8672" s="142" t="s">
        <v>15849</v>
      </c>
      <c r="F8672" s="142" t="s">
        <v>188</v>
      </c>
      <c r="G8672" s="142" t="s">
        <v>12405</v>
      </c>
      <c r="H8672" s="142" t="s">
        <v>24522</v>
      </c>
      <c r="I8672" s="142">
        <v>2</v>
      </c>
      <c r="J8672" s="142">
        <v>2</v>
      </c>
      <c r="K8672" s="142">
        <v>0</v>
      </c>
      <c r="L8672" s="142">
        <v>0</v>
      </c>
      <c r="M8672" s="142">
        <v>0</v>
      </c>
    </row>
    <row r="8673" spans="1:13" x14ac:dyDescent="0.45">
      <c r="A8673" s="142" t="s">
        <v>13006</v>
      </c>
      <c r="B8673" s="142" t="s">
        <v>15288</v>
      </c>
      <c r="C8673" s="142" t="s">
        <v>15847</v>
      </c>
      <c r="D8673" s="142" t="s">
        <v>15848</v>
      </c>
      <c r="E8673" s="142" t="s">
        <v>15849</v>
      </c>
      <c r="F8673" s="142" t="s">
        <v>188</v>
      </c>
      <c r="G8673" s="142" t="s">
        <v>12405</v>
      </c>
      <c r="H8673" s="142" t="s">
        <v>24523</v>
      </c>
      <c r="I8673" s="142">
        <v>433</v>
      </c>
      <c r="J8673" s="142">
        <v>353</v>
      </c>
      <c r="K8673" s="142">
        <v>0</v>
      </c>
      <c r="L8673" s="142">
        <v>0</v>
      </c>
      <c r="M8673" s="142">
        <v>80</v>
      </c>
    </row>
    <row r="8674" spans="1:13" x14ac:dyDescent="0.45">
      <c r="A8674" s="142" t="s">
        <v>13102</v>
      </c>
      <c r="B8674" s="142" t="s">
        <v>15235</v>
      </c>
      <c r="C8674" s="142" t="s">
        <v>15847</v>
      </c>
      <c r="D8674" s="142" t="s">
        <v>15848</v>
      </c>
      <c r="E8674" s="142" t="s">
        <v>15849</v>
      </c>
      <c r="F8674" s="142" t="s">
        <v>188</v>
      </c>
      <c r="G8674" s="142" t="s">
        <v>12405</v>
      </c>
      <c r="H8674" s="142" t="s">
        <v>24524</v>
      </c>
      <c r="I8674" s="142">
        <v>1027</v>
      </c>
      <c r="J8674" s="142">
        <v>824</v>
      </c>
      <c r="K8674" s="142">
        <v>0</v>
      </c>
      <c r="L8674" s="142">
        <v>47</v>
      </c>
      <c r="M8674" s="142">
        <v>156</v>
      </c>
    </row>
    <row r="8675" spans="1:13" x14ac:dyDescent="0.45">
      <c r="A8675" s="142" t="s">
        <v>13678</v>
      </c>
      <c r="B8675" s="142" t="s">
        <v>15555</v>
      </c>
      <c r="C8675" s="142" t="s">
        <v>15847</v>
      </c>
      <c r="D8675" s="142" t="s">
        <v>15848</v>
      </c>
      <c r="E8675" s="142" t="s">
        <v>15849</v>
      </c>
      <c r="F8675" s="142" t="s">
        <v>188</v>
      </c>
      <c r="G8675" s="142" t="s">
        <v>12405</v>
      </c>
      <c r="H8675" s="142" t="s">
        <v>24525</v>
      </c>
      <c r="I8675" s="142">
        <v>126</v>
      </c>
      <c r="J8675" s="142">
        <v>105</v>
      </c>
      <c r="K8675" s="142">
        <v>0</v>
      </c>
      <c r="L8675" s="142">
        <v>0</v>
      </c>
      <c r="M8675" s="142">
        <v>21</v>
      </c>
    </row>
    <row r="8676" spans="1:13" x14ac:dyDescent="0.45">
      <c r="A8676" s="142" t="s">
        <v>13103</v>
      </c>
      <c r="B8676" s="142" t="s">
        <v>14623</v>
      </c>
      <c r="C8676" s="142" t="s">
        <v>15847</v>
      </c>
      <c r="D8676" s="142" t="s">
        <v>15848</v>
      </c>
      <c r="E8676" s="142" t="s">
        <v>15849</v>
      </c>
      <c r="F8676" s="142" t="s">
        <v>188</v>
      </c>
      <c r="G8676" s="142" t="s">
        <v>12405</v>
      </c>
      <c r="H8676" s="142" t="s">
        <v>24526</v>
      </c>
      <c r="I8676" s="142">
        <v>2269</v>
      </c>
      <c r="J8676" s="142">
        <v>1838</v>
      </c>
      <c r="K8676" s="142">
        <v>0</v>
      </c>
      <c r="L8676" s="142">
        <v>77</v>
      </c>
      <c r="M8676" s="142">
        <v>354</v>
      </c>
    </row>
    <row r="8677" spans="1:13" x14ac:dyDescent="0.45">
      <c r="A8677" s="142" t="s">
        <v>13054</v>
      </c>
      <c r="B8677" s="142" t="s">
        <v>15604</v>
      </c>
      <c r="C8677" s="142" t="s">
        <v>15847</v>
      </c>
      <c r="D8677" s="142" t="s">
        <v>15848</v>
      </c>
      <c r="E8677" s="142" t="s">
        <v>15849</v>
      </c>
      <c r="F8677" s="142" t="s">
        <v>188</v>
      </c>
      <c r="G8677" s="142" t="s">
        <v>12405</v>
      </c>
      <c r="H8677" s="142" t="s">
        <v>24527</v>
      </c>
      <c r="I8677" s="142">
        <v>122</v>
      </c>
      <c r="J8677" s="142">
        <v>0</v>
      </c>
      <c r="K8677" s="142">
        <v>0</v>
      </c>
      <c r="L8677" s="142">
        <v>0</v>
      </c>
      <c r="M8677" s="142">
        <v>122</v>
      </c>
    </row>
    <row r="8678" spans="1:13" x14ac:dyDescent="0.45">
      <c r="A8678" s="142" t="s">
        <v>13340</v>
      </c>
      <c r="B8678" s="142" t="s">
        <v>14499</v>
      </c>
      <c r="C8678" s="142" t="s">
        <v>15860</v>
      </c>
      <c r="D8678" s="142" t="s">
        <v>15861</v>
      </c>
      <c r="E8678" s="142" t="s">
        <v>15849</v>
      </c>
      <c r="F8678" s="142" t="s">
        <v>188</v>
      </c>
      <c r="G8678" s="142" t="s">
        <v>12405</v>
      </c>
      <c r="H8678" s="142" t="s">
        <v>24528</v>
      </c>
      <c r="I8678" s="142">
        <v>3</v>
      </c>
      <c r="J8678" s="142">
        <v>3</v>
      </c>
      <c r="K8678" s="142">
        <v>0</v>
      </c>
      <c r="L8678" s="142">
        <v>0</v>
      </c>
      <c r="M8678" s="142">
        <v>0</v>
      </c>
    </row>
    <row r="8679" spans="1:13" x14ac:dyDescent="0.45">
      <c r="A8679" s="142" t="s">
        <v>13008</v>
      </c>
      <c r="B8679" s="142" t="s">
        <v>15411</v>
      </c>
      <c r="C8679" s="142" t="s">
        <v>15847</v>
      </c>
      <c r="D8679" s="142" t="s">
        <v>15848</v>
      </c>
      <c r="E8679" s="142" t="s">
        <v>15849</v>
      </c>
      <c r="F8679" s="142" t="s">
        <v>188</v>
      </c>
      <c r="G8679" s="142" t="s">
        <v>12405</v>
      </c>
      <c r="H8679" s="142" t="s">
        <v>24529</v>
      </c>
      <c r="I8679" s="142">
        <v>36</v>
      </c>
      <c r="J8679" s="142">
        <v>0</v>
      </c>
      <c r="K8679" s="142">
        <v>0</v>
      </c>
      <c r="L8679" s="142">
        <v>0</v>
      </c>
      <c r="M8679" s="142">
        <v>36</v>
      </c>
    </row>
    <row r="8680" spans="1:13" x14ac:dyDescent="0.45">
      <c r="A8680" s="142" t="s">
        <v>13133</v>
      </c>
      <c r="B8680" s="142" t="s">
        <v>15291</v>
      </c>
      <c r="C8680" s="142" t="s">
        <v>15847</v>
      </c>
      <c r="D8680" s="142" t="s">
        <v>15848</v>
      </c>
      <c r="E8680" s="142" t="s">
        <v>15849</v>
      </c>
      <c r="F8680" s="142" t="s">
        <v>188</v>
      </c>
      <c r="G8680" s="142" t="s">
        <v>12405</v>
      </c>
      <c r="H8680" s="142" t="s">
        <v>24530</v>
      </c>
      <c r="I8680" s="142">
        <v>8</v>
      </c>
      <c r="J8680" s="142">
        <v>0</v>
      </c>
      <c r="K8680" s="142">
        <v>0</v>
      </c>
      <c r="L8680" s="142">
        <v>0</v>
      </c>
      <c r="M8680" s="142">
        <v>8</v>
      </c>
    </row>
    <row r="8681" spans="1:13" x14ac:dyDescent="0.45">
      <c r="A8681" s="142" t="s">
        <v>13055</v>
      </c>
      <c r="B8681" s="142" t="s">
        <v>14595</v>
      </c>
      <c r="C8681" s="142" t="s">
        <v>15847</v>
      </c>
      <c r="D8681" s="142" t="s">
        <v>15848</v>
      </c>
      <c r="E8681" s="142" t="s">
        <v>15849</v>
      </c>
      <c r="F8681" s="142" t="s">
        <v>188</v>
      </c>
      <c r="G8681" s="142" t="s">
        <v>12405</v>
      </c>
      <c r="H8681" s="142" t="s">
        <v>24531</v>
      </c>
      <c r="I8681" s="142">
        <v>43</v>
      </c>
      <c r="J8681" s="142">
        <v>24</v>
      </c>
      <c r="K8681" s="142">
        <v>0</v>
      </c>
      <c r="L8681" s="142">
        <v>11</v>
      </c>
      <c r="M8681" s="142">
        <v>8</v>
      </c>
    </row>
    <row r="8682" spans="1:13" x14ac:dyDescent="0.45">
      <c r="A8682" s="142" t="s">
        <v>13104</v>
      </c>
      <c r="B8682" s="142" t="s">
        <v>14622</v>
      </c>
      <c r="C8682" s="142" t="s">
        <v>15847</v>
      </c>
      <c r="D8682" s="142" t="s">
        <v>15848</v>
      </c>
      <c r="E8682" s="142" t="s">
        <v>15849</v>
      </c>
      <c r="F8682" s="142" t="s">
        <v>188</v>
      </c>
      <c r="G8682" s="142" t="s">
        <v>12405</v>
      </c>
      <c r="H8682" s="142" t="s">
        <v>24532</v>
      </c>
      <c r="I8682" s="142">
        <v>2764</v>
      </c>
      <c r="J8682" s="142">
        <v>2227</v>
      </c>
      <c r="K8682" s="142">
        <v>0</v>
      </c>
      <c r="L8682" s="142">
        <v>127</v>
      </c>
      <c r="M8682" s="142">
        <v>410</v>
      </c>
    </row>
    <row r="8683" spans="1:13" x14ac:dyDescent="0.45">
      <c r="A8683" s="142" t="s">
        <v>13737</v>
      </c>
      <c r="B8683" s="142" t="s">
        <v>15064</v>
      </c>
      <c r="C8683" s="142" t="s">
        <v>15860</v>
      </c>
      <c r="D8683" s="142" t="s">
        <v>15861</v>
      </c>
      <c r="E8683" s="142" t="s">
        <v>15849</v>
      </c>
      <c r="F8683" s="142" t="s">
        <v>188</v>
      </c>
      <c r="G8683" s="142" t="s">
        <v>12405</v>
      </c>
      <c r="H8683" s="142" t="s">
        <v>24533</v>
      </c>
      <c r="I8683" s="142">
        <v>10</v>
      </c>
      <c r="J8683" s="142">
        <v>0</v>
      </c>
      <c r="K8683" s="142">
        <v>10</v>
      </c>
      <c r="L8683" s="142">
        <v>0</v>
      </c>
      <c r="M8683" s="142">
        <v>0</v>
      </c>
    </row>
    <row r="8684" spans="1:13" x14ac:dyDescent="0.45">
      <c r="A8684" s="142" t="s">
        <v>13033</v>
      </c>
      <c r="B8684" s="142" t="s">
        <v>15276</v>
      </c>
      <c r="C8684" s="142" t="s">
        <v>15847</v>
      </c>
      <c r="D8684" s="142" t="s">
        <v>15848</v>
      </c>
      <c r="E8684" s="142" t="s">
        <v>15849</v>
      </c>
      <c r="F8684" s="142" t="s">
        <v>188</v>
      </c>
      <c r="G8684" s="142" t="s">
        <v>12405</v>
      </c>
      <c r="H8684" s="142" t="s">
        <v>24534</v>
      </c>
      <c r="I8684" s="142">
        <v>110</v>
      </c>
      <c r="J8684" s="142">
        <v>92</v>
      </c>
      <c r="K8684" s="142">
        <v>0</v>
      </c>
      <c r="L8684" s="142">
        <v>0</v>
      </c>
      <c r="M8684" s="142">
        <v>18</v>
      </c>
    </row>
    <row r="8685" spans="1:13" x14ac:dyDescent="0.45">
      <c r="A8685" s="142" t="s">
        <v>13738</v>
      </c>
      <c r="B8685" s="142" t="s">
        <v>15417</v>
      </c>
      <c r="C8685" s="142" t="s">
        <v>15847</v>
      </c>
      <c r="D8685" s="142" t="s">
        <v>15848</v>
      </c>
      <c r="E8685" s="142" t="s">
        <v>15849</v>
      </c>
      <c r="F8685" s="142" t="s">
        <v>188</v>
      </c>
      <c r="G8685" s="142" t="s">
        <v>12405</v>
      </c>
      <c r="H8685" s="142" t="s">
        <v>24535</v>
      </c>
      <c r="I8685" s="142">
        <v>5535</v>
      </c>
      <c r="J8685" s="142">
        <v>5141</v>
      </c>
      <c r="K8685" s="142">
        <v>0</v>
      </c>
      <c r="L8685" s="142">
        <v>0</v>
      </c>
      <c r="M8685" s="142">
        <v>394</v>
      </c>
    </row>
    <row r="8686" spans="1:13" x14ac:dyDescent="0.45">
      <c r="A8686" s="142" t="s">
        <v>13739</v>
      </c>
      <c r="B8686" s="142" t="s">
        <v>15282</v>
      </c>
      <c r="C8686" s="142" t="s">
        <v>15860</v>
      </c>
      <c r="D8686" s="142" t="s">
        <v>15861</v>
      </c>
      <c r="E8686" s="142" t="s">
        <v>15849</v>
      </c>
      <c r="F8686" s="142" t="s">
        <v>188</v>
      </c>
      <c r="G8686" s="142" t="s">
        <v>12405</v>
      </c>
      <c r="H8686" s="142" t="s">
        <v>24536</v>
      </c>
      <c r="I8686" s="142">
        <v>422</v>
      </c>
      <c r="J8686" s="142">
        <v>88</v>
      </c>
      <c r="K8686" s="142">
        <v>0</v>
      </c>
      <c r="L8686" s="142">
        <v>334</v>
      </c>
      <c r="M8686" s="142">
        <v>0</v>
      </c>
    </row>
    <row r="8687" spans="1:13" x14ac:dyDescent="0.45">
      <c r="A8687" s="142" t="s">
        <v>13078</v>
      </c>
      <c r="B8687" s="142" t="s">
        <v>15540</v>
      </c>
      <c r="C8687" s="142" t="s">
        <v>15847</v>
      </c>
      <c r="D8687" s="142" t="s">
        <v>15848</v>
      </c>
      <c r="E8687" s="142" t="s">
        <v>15849</v>
      </c>
      <c r="F8687" s="142" t="s">
        <v>188</v>
      </c>
      <c r="G8687" s="142" t="s">
        <v>12405</v>
      </c>
      <c r="H8687" s="142" t="s">
        <v>24537</v>
      </c>
      <c r="I8687" s="142">
        <v>231</v>
      </c>
      <c r="J8687" s="142">
        <v>0</v>
      </c>
      <c r="K8687" s="142">
        <v>0</v>
      </c>
      <c r="L8687" s="142">
        <v>231</v>
      </c>
      <c r="M8687" s="142">
        <v>0</v>
      </c>
    </row>
    <row r="8688" spans="1:13" x14ac:dyDescent="0.45">
      <c r="A8688" s="142" t="s">
        <v>13091</v>
      </c>
      <c r="B8688" s="142" t="s">
        <v>14473</v>
      </c>
      <c r="C8688" s="142" t="s">
        <v>15847</v>
      </c>
      <c r="D8688" s="142" t="s">
        <v>15848</v>
      </c>
      <c r="E8688" s="142" t="s">
        <v>15849</v>
      </c>
      <c r="F8688" s="142" t="s">
        <v>188</v>
      </c>
      <c r="G8688" s="142" t="s">
        <v>12405</v>
      </c>
      <c r="H8688" s="142" t="s">
        <v>24538</v>
      </c>
      <c r="I8688" s="142">
        <v>8</v>
      </c>
      <c r="J8688" s="142">
        <v>0</v>
      </c>
      <c r="K8688" s="142">
        <v>0</v>
      </c>
      <c r="L8688" s="142">
        <v>8</v>
      </c>
      <c r="M8688" s="142">
        <v>0</v>
      </c>
    </row>
    <row r="8689" spans="1:13" x14ac:dyDescent="0.45">
      <c r="A8689" s="142" t="s">
        <v>13009</v>
      </c>
      <c r="B8689" s="142" t="s">
        <v>15256</v>
      </c>
      <c r="C8689" s="142" t="s">
        <v>15847</v>
      </c>
      <c r="D8689" s="142" t="s">
        <v>15848</v>
      </c>
      <c r="E8689" s="142" t="s">
        <v>15849</v>
      </c>
      <c r="F8689" s="142" t="s">
        <v>188</v>
      </c>
      <c r="G8689" s="142" t="s">
        <v>12405</v>
      </c>
      <c r="H8689" s="142" t="s">
        <v>24539</v>
      </c>
      <c r="I8689" s="142">
        <v>114</v>
      </c>
      <c r="J8689" s="142">
        <v>22</v>
      </c>
      <c r="K8689" s="142">
        <v>0</v>
      </c>
      <c r="L8689" s="142">
        <v>78</v>
      </c>
      <c r="M8689" s="142">
        <v>14</v>
      </c>
    </row>
    <row r="8690" spans="1:13" x14ac:dyDescent="0.45">
      <c r="A8690" s="142" t="s">
        <v>14307</v>
      </c>
      <c r="B8690" s="142" t="s">
        <v>14952</v>
      </c>
      <c r="C8690" s="142" t="s">
        <v>15860</v>
      </c>
      <c r="D8690" s="142" t="s">
        <v>15861</v>
      </c>
      <c r="E8690" s="142" t="s">
        <v>15849</v>
      </c>
      <c r="F8690" s="142" t="s">
        <v>188</v>
      </c>
      <c r="G8690" s="142" t="s">
        <v>12405</v>
      </c>
      <c r="H8690" s="142" t="s">
        <v>24540</v>
      </c>
      <c r="I8690" s="142">
        <v>12</v>
      </c>
      <c r="J8690" s="142">
        <v>12</v>
      </c>
      <c r="K8690" s="142">
        <v>0</v>
      </c>
      <c r="L8690" s="142">
        <v>0</v>
      </c>
      <c r="M8690" s="142">
        <v>0</v>
      </c>
    </row>
    <row r="8691" spans="1:13" x14ac:dyDescent="0.45">
      <c r="A8691" s="142" t="s">
        <v>13011</v>
      </c>
      <c r="B8691" s="142" t="s">
        <v>14695</v>
      </c>
      <c r="C8691" s="142" t="s">
        <v>15847</v>
      </c>
      <c r="D8691" s="142" t="s">
        <v>15848</v>
      </c>
      <c r="E8691" s="142" t="s">
        <v>15849</v>
      </c>
      <c r="F8691" s="142" t="s">
        <v>188</v>
      </c>
      <c r="G8691" s="142" t="s">
        <v>12405</v>
      </c>
      <c r="H8691" s="142" t="s">
        <v>24541</v>
      </c>
      <c r="I8691" s="142">
        <v>1818</v>
      </c>
      <c r="J8691" s="142">
        <v>1386</v>
      </c>
      <c r="K8691" s="142">
        <v>0</v>
      </c>
      <c r="L8691" s="142">
        <v>122</v>
      </c>
      <c r="M8691" s="142">
        <v>310</v>
      </c>
    </row>
    <row r="8692" spans="1:13" x14ac:dyDescent="0.45">
      <c r="A8692" s="142" t="s">
        <v>13058</v>
      </c>
      <c r="B8692" s="142" t="s">
        <v>14584</v>
      </c>
      <c r="C8692" s="142" t="s">
        <v>15847</v>
      </c>
      <c r="D8692" s="142" t="s">
        <v>15848</v>
      </c>
      <c r="E8692" s="142" t="s">
        <v>15849</v>
      </c>
      <c r="F8692" s="142" t="s">
        <v>188</v>
      </c>
      <c r="G8692" s="142" t="s">
        <v>12405</v>
      </c>
      <c r="H8692" s="142" t="s">
        <v>24542</v>
      </c>
      <c r="I8692" s="142">
        <v>306</v>
      </c>
      <c r="J8692" s="142">
        <v>264</v>
      </c>
      <c r="K8692" s="142">
        <v>9</v>
      </c>
      <c r="L8692" s="142">
        <v>0</v>
      </c>
      <c r="M8692" s="142">
        <v>33</v>
      </c>
    </row>
    <row r="8693" spans="1:13" x14ac:dyDescent="0.45">
      <c r="A8693" s="142" t="s">
        <v>14028</v>
      </c>
      <c r="B8693" s="142" t="s">
        <v>15006</v>
      </c>
      <c r="C8693" s="142" t="s">
        <v>15860</v>
      </c>
      <c r="D8693" s="142" t="s">
        <v>15861</v>
      </c>
      <c r="E8693" s="142" t="s">
        <v>15849</v>
      </c>
      <c r="F8693" s="142" t="s">
        <v>188</v>
      </c>
      <c r="G8693" s="142" t="s">
        <v>12405</v>
      </c>
      <c r="H8693" s="142" t="s">
        <v>24543</v>
      </c>
      <c r="I8693" s="142">
        <v>674</v>
      </c>
      <c r="J8693" s="142">
        <v>674</v>
      </c>
      <c r="K8693" s="142">
        <v>0</v>
      </c>
      <c r="L8693" s="142">
        <v>0</v>
      </c>
      <c r="M8693" s="142">
        <v>0</v>
      </c>
    </row>
    <row r="8694" spans="1:13" x14ac:dyDescent="0.45">
      <c r="A8694" s="142" t="s">
        <v>13106</v>
      </c>
      <c r="B8694" s="142" t="s">
        <v>15414</v>
      </c>
      <c r="C8694" s="142" t="s">
        <v>15847</v>
      </c>
      <c r="D8694" s="142" t="s">
        <v>15848</v>
      </c>
      <c r="E8694" s="142" t="s">
        <v>15849</v>
      </c>
      <c r="F8694" s="142" t="s">
        <v>188</v>
      </c>
      <c r="G8694" s="142" t="s">
        <v>12405</v>
      </c>
      <c r="H8694" s="142" t="s">
        <v>24544</v>
      </c>
      <c r="I8694" s="142">
        <v>1873</v>
      </c>
      <c r="J8694" s="142">
        <v>1755</v>
      </c>
      <c r="K8694" s="142">
        <v>0</v>
      </c>
      <c r="L8694" s="142">
        <v>0</v>
      </c>
      <c r="M8694" s="142">
        <v>118</v>
      </c>
    </row>
    <row r="8695" spans="1:13" x14ac:dyDescent="0.45">
      <c r="A8695" s="142" t="s">
        <v>13138</v>
      </c>
      <c r="B8695" s="142" t="s">
        <v>14590</v>
      </c>
      <c r="C8695" s="142" t="s">
        <v>15860</v>
      </c>
      <c r="D8695" s="142" t="s">
        <v>15861</v>
      </c>
      <c r="E8695" s="142" t="s">
        <v>15849</v>
      </c>
      <c r="F8695" s="142" t="s">
        <v>188</v>
      </c>
      <c r="G8695" s="142" t="s">
        <v>12405</v>
      </c>
      <c r="H8695" s="142" t="s">
        <v>24545</v>
      </c>
      <c r="I8695" s="142">
        <v>4</v>
      </c>
      <c r="J8695" s="142">
        <v>4</v>
      </c>
      <c r="K8695" s="142">
        <v>0</v>
      </c>
      <c r="L8695" s="142">
        <v>0</v>
      </c>
      <c r="M8695" s="142">
        <v>0</v>
      </c>
    </row>
    <row r="8696" spans="1:13" x14ac:dyDescent="0.45">
      <c r="A8696" s="142" t="s">
        <v>13014</v>
      </c>
      <c r="B8696" s="142" t="s">
        <v>14505</v>
      </c>
      <c r="C8696" s="142" t="s">
        <v>15847</v>
      </c>
      <c r="D8696" s="142" t="s">
        <v>15848</v>
      </c>
      <c r="E8696" s="142" t="s">
        <v>15849</v>
      </c>
      <c r="F8696" s="142" t="s">
        <v>188</v>
      </c>
      <c r="G8696" s="142" t="s">
        <v>12405</v>
      </c>
      <c r="H8696" s="142" t="s">
        <v>24546</v>
      </c>
      <c r="I8696" s="142">
        <v>600</v>
      </c>
      <c r="J8696" s="142">
        <v>347</v>
      </c>
      <c r="K8696" s="142">
        <v>0</v>
      </c>
      <c r="L8696" s="142">
        <v>1</v>
      </c>
      <c r="M8696" s="142">
        <v>252</v>
      </c>
    </row>
    <row r="8697" spans="1:13" x14ac:dyDescent="0.45">
      <c r="A8697" s="142" t="s">
        <v>13141</v>
      </c>
      <c r="B8697" s="142" t="s">
        <v>15258</v>
      </c>
      <c r="C8697" s="142" t="s">
        <v>15847</v>
      </c>
      <c r="D8697" s="142" t="s">
        <v>15848</v>
      </c>
      <c r="E8697" s="142" t="s">
        <v>15849</v>
      </c>
      <c r="F8697" s="142" t="s">
        <v>188</v>
      </c>
      <c r="G8697" s="142" t="s">
        <v>12405</v>
      </c>
      <c r="H8697" s="142" t="s">
        <v>24547</v>
      </c>
      <c r="I8697" s="142">
        <v>167</v>
      </c>
      <c r="J8697" s="142">
        <v>147</v>
      </c>
      <c r="K8697" s="142">
        <v>0</v>
      </c>
      <c r="L8697" s="142">
        <v>20</v>
      </c>
      <c r="M8697" s="142">
        <v>0</v>
      </c>
    </row>
    <row r="8698" spans="1:13" x14ac:dyDescent="0.45">
      <c r="A8698" s="142" t="s">
        <v>14308</v>
      </c>
      <c r="B8698" s="142" t="s">
        <v>14966</v>
      </c>
      <c r="C8698" s="142" t="s">
        <v>15860</v>
      </c>
      <c r="D8698" s="142" t="s">
        <v>15861</v>
      </c>
      <c r="E8698" s="142" t="s">
        <v>15849</v>
      </c>
      <c r="F8698" s="142" t="s">
        <v>188</v>
      </c>
      <c r="G8698" s="142" t="s">
        <v>12405</v>
      </c>
      <c r="H8698" s="142" t="s">
        <v>24548</v>
      </c>
      <c r="I8698" s="142">
        <v>25</v>
      </c>
      <c r="J8698" s="142">
        <v>25</v>
      </c>
      <c r="K8698" s="142">
        <v>0</v>
      </c>
      <c r="L8698" s="142">
        <v>0</v>
      </c>
      <c r="M8698" s="142">
        <v>0</v>
      </c>
    </row>
    <row r="8699" spans="1:13" x14ac:dyDescent="0.45">
      <c r="A8699" s="142" t="s">
        <v>13042</v>
      </c>
      <c r="B8699" s="142" t="s">
        <v>15489</v>
      </c>
      <c r="C8699" s="142" t="s">
        <v>15847</v>
      </c>
      <c r="D8699" s="142" t="s">
        <v>15848</v>
      </c>
      <c r="E8699" s="142" t="s">
        <v>15849</v>
      </c>
      <c r="F8699" s="142" t="s">
        <v>188</v>
      </c>
      <c r="G8699" s="142" t="s">
        <v>12405</v>
      </c>
      <c r="H8699" s="142" t="s">
        <v>24549</v>
      </c>
      <c r="I8699" s="142">
        <v>3463</v>
      </c>
      <c r="J8699" s="142">
        <v>2948</v>
      </c>
      <c r="K8699" s="142">
        <v>0</v>
      </c>
      <c r="L8699" s="142">
        <v>65</v>
      </c>
      <c r="M8699" s="142">
        <v>450</v>
      </c>
    </row>
    <row r="8700" spans="1:13" x14ac:dyDescent="0.45">
      <c r="A8700" s="142" t="s">
        <v>14309</v>
      </c>
      <c r="B8700" s="142" t="s">
        <v>15433</v>
      </c>
      <c r="C8700" s="142" t="s">
        <v>15847</v>
      </c>
      <c r="D8700" s="142" t="s">
        <v>15848</v>
      </c>
      <c r="E8700" s="142" t="s">
        <v>15849</v>
      </c>
      <c r="F8700" s="142" t="s">
        <v>188</v>
      </c>
      <c r="G8700" s="142" t="s">
        <v>12405</v>
      </c>
      <c r="H8700" s="142" t="s">
        <v>24550</v>
      </c>
      <c r="I8700" s="142">
        <v>2050</v>
      </c>
      <c r="J8700" s="142">
        <v>1998</v>
      </c>
      <c r="K8700" s="142">
        <v>0</v>
      </c>
      <c r="L8700" s="142">
        <v>0</v>
      </c>
      <c r="M8700" s="142">
        <v>52</v>
      </c>
    </row>
    <row r="8701" spans="1:13" x14ac:dyDescent="0.45">
      <c r="A8701" s="142" t="s">
        <v>14310</v>
      </c>
      <c r="B8701" s="142" t="s">
        <v>15509</v>
      </c>
      <c r="C8701" s="142" t="s">
        <v>15860</v>
      </c>
      <c r="D8701" s="142" t="s">
        <v>15861</v>
      </c>
      <c r="E8701" s="142" t="s">
        <v>15849</v>
      </c>
      <c r="F8701" s="142" t="s">
        <v>188</v>
      </c>
      <c r="G8701" s="142" t="s">
        <v>12405</v>
      </c>
      <c r="H8701" s="142" t="s">
        <v>24551</v>
      </c>
      <c r="I8701" s="142">
        <v>66</v>
      </c>
      <c r="J8701" s="142">
        <v>0</v>
      </c>
      <c r="K8701" s="142">
        <v>66</v>
      </c>
      <c r="L8701" s="142">
        <v>0</v>
      </c>
      <c r="M8701" s="142">
        <v>0</v>
      </c>
    </row>
    <row r="8702" spans="1:13" x14ac:dyDescent="0.45">
      <c r="A8702" s="142" t="s">
        <v>14311</v>
      </c>
      <c r="B8702" s="142" t="s">
        <v>15129</v>
      </c>
      <c r="C8702" s="142" t="s">
        <v>15860</v>
      </c>
      <c r="D8702" s="142" t="s">
        <v>15861</v>
      </c>
      <c r="E8702" s="142" t="s">
        <v>15849</v>
      </c>
      <c r="F8702" s="142" t="s">
        <v>188</v>
      </c>
      <c r="G8702" s="142" t="s">
        <v>12405</v>
      </c>
      <c r="H8702" s="142" t="s">
        <v>24552</v>
      </c>
      <c r="I8702" s="142">
        <v>66</v>
      </c>
      <c r="J8702" s="142">
        <v>66</v>
      </c>
      <c r="K8702" s="142">
        <v>0</v>
      </c>
      <c r="L8702" s="142">
        <v>0</v>
      </c>
      <c r="M8702" s="142">
        <v>0</v>
      </c>
    </row>
    <row r="8703" spans="1:13" x14ac:dyDescent="0.45">
      <c r="A8703" s="142" t="s">
        <v>13023</v>
      </c>
      <c r="B8703" s="142" t="s">
        <v>15571</v>
      </c>
      <c r="C8703" s="142" t="s">
        <v>15847</v>
      </c>
      <c r="D8703" s="142" t="s">
        <v>15848</v>
      </c>
      <c r="E8703" s="142" t="s">
        <v>15849</v>
      </c>
      <c r="F8703" s="142" t="s">
        <v>189</v>
      </c>
      <c r="G8703" s="142" t="s">
        <v>10018</v>
      </c>
      <c r="H8703" s="142" t="s">
        <v>24553</v>
      </c>
      <c r="I8703" s="142">
        <v>256</v>
      </c>
      <c r="J8703" s="142">
        <v>0</v>
      </c>
      <c r="K8703" s="142">
        <v>0</v>
      </c>
      <c r="L8703" s="142">
        <v>221</v>
      </c>
      <c r="M8703" s="142">
        <v>35</v>
      </c>
    </row>
    <row r="8704" spans="1:13" x14ac:dyDescent="0.45">
      <c r="A8704" s="142" t="s">
        <v>13968</v>
      </c>
      <c r="B8704" s="142" t="s">
        <v>15389</v>
      </c>
      <c r="C8704" s="142" t="s">
        <v>15847</v>
      </c>
      <c r="D8704" s="142" t="s">
        <v>15848</v>
      </c>
      <c r="E8704" s="142" t="s">
        <v>15849</v>
      </c>
      <c r="F8704" s="142" t="s">
        <v>189</v>
      </c>
      <c r="G8704" s="142" t="s">
        <v>10018</v>
      </c>
      <c r="H8704" s="142" t="s">
        <v>24554</v>
      </c>
      <c r="I8704" s="142">
        <v>70</v>
      </c>
      <c r="J8704" s="142">
        <v>67</v>
      </c>
      <c r="K8704" s="142">
        <v>0</v>
      </c>
      <c r="L8704" s="142">
        <v>0</v>
      </c>
      <c r="M8704" s="142">
        <v>3</v>
      </c>
    </row>
    <row r="8705" spans="1:13" x14ac:dyDescent="0.45">
      <c r="A8705" s="142" t="s">
        <v>13065</v>
      </c>
      <c r="B8705" s="142" t="s">
        <v>14497</v>
      </c>
      <c r="C8705" s="142" t="s">
        <v>15847</v>
      </c>
      <c r="D8705" s="142" t="s">
        <v>15848</v>
      </c>
      <c r="E8705" s="142" t="s">
        <v>15849</v>
      </c>
      <c r="F8705" s="142" t="s">
        <v>189</v>
      </c>
      <c r="G8705" s="142" t="s">
        <v>10018</v>
      </c>
      <c r="H8705" s="142" t="s">
        <v>24555</v>
      </c>
      <c r="I8705" s="142">
        <v>4</v>
      </c>
      <c r="J8705" s="142">
        <v>0</v>
      </c>
      <c r="K8705" s="142">
        <v>0</v>
      </c>
      <c r="L8705" s="142">
        <v>4</v>
      </c>
      <c r="M8705" s="142">
        <v>0</v>
      </c>
    </row>
    <row r="8706" spans="1:13" x14ac:dyDescent="0.45">
      <c r="A8706" s="142" t="s">
        <v>13289</v>
      </c>
      <c r="B8706" s="142" t="s">
        <v>14423</v>
      </c>
      <c r="C8706" s="142" t="s">
        <v>15847</v>
      </c>
      <c r="D8706" s="142" t="s">
        <v>15848</v>
      </c>
      <c r="E8706" s="142" t="s">
        <v>15849</v>
      </c>
      <c r="F8706" s="142" t="s">
        <v>189</v>
      </c>
      <c r="G8706" s="142" t="s">
        <v>10018</v>
      </c>
      <c r="H8706" s="142" t="s">
        <v>24556</v>
      </c>
      <c r="I8706" s="142">
        <v>55</v>
      </c>
      <c r="J8706" s="142">
        <v>46</v>
      </c>
      <c r="K8706" s="142">
        <v>0</v>
      </c>
      <c r="L8706" s="142">
        <v>0</v>
      </c>
      <c r="M8706" s="142">
        <v>9</v>
      </c>
    </row>
    <row r="8707" spans="1:13" x14ac:dyDescent="0.45">
      <c r="A8707" s="142" t="s">
        <v>13238</v>
      </c>
      <c r="B8707" s="142" t="s">
        <v>14477</v>
      </c>
      <c r="C8707" s="142" t="s">
        <v>15860</v>
      </c>
      <c r="D8707" s="142" t="s">
        <v>15861</v>
      </c>
      <c r="E8707" s="142" t="s">
        <v>15849</v>
      </c>
      <c r="F8707" s="142" t="s">
        <v>189</v>
      </c>
      <c r="G8707" s="142" t="s">
        <v>10018</v>
      </c>
      <c r="H8707" s="142" t="s">
        <v>24557</v>
      </c>
      <c r="I8707" s="142">
        <v>43</v>
      </c>
      <c r="J8707" s="142">
        <v>0</v>
      </c>
      <c r="K8707" s="142">
        <v>0</v>
      </c>
      <c r="L8707" s="142">
        <v>43</v>
      </c>
      <c r="M8707" s="142">
        <v>0</v>
      </c>
    </row>
    <row r="8708" spans="1:13" x14ac:dyDescent="0.45">
      <c r="A8708" s="142" t="s">
        <v>13499</v>
      </c>
      <c r="B8708" s="142" t="s">
        <v>15479</v>
      </c>
      <c r="C8708" s="142" t="s">
        <v>15847</v>
      </c>
      <c r="D8708" s="142" t="s">
        <v>15848</v>
      </c>
      <c r="E8708" s="142" t="s">
        <v>15849</v>
      </c>
      <c r="F8708" s="142" t="s">
        <v>189</v>
      </c>
      <c r="G8708" s="142" t="s">
        <v>10018</v>
      </c>
      <c r="H8708" s="142" t="s">
        <v>24558</v>
      </c>
      <c r="I8708" s="142">
        <v>4</v>
      </c>
      <c r="J8708" s="142">
        <v>2</v>
      </c>
      <c r="K8708" s="142">
        <v>0</v>
      </c>
      <c r="L8708" s="142">
        <v>0</v>
      </c>
      <c r="M8708" s="142">
        <v>2</v>
      </c>
    </row>
    <row r="8709" spans="1:13" x14ac:dyDescent="0.45">
      <c r="A8709" s="142" t="s">
        <v>13500</v>
      </c>
      <c r="B8709" s="142" t="s">
        <v>15422</v>
      </c>
      <c r="C8709" s="142" t="s">
        <v>15847</v>
      </c>
      <c r="D8709" s="142" t="s">
        <v>15848</v>
      </c>
      <c r="E8709" s="142" t="s">
        <v>15849</v>
      </c>
      <c r="F8709" s="142" t="s">
        <v>189</v>
      </c>
      <c r="G8709" s="142" t="s">
        <v>10018</v>
      </c>
      <c r="H8709" s="142" t="s">
        <v>24559</v>
      </c>
      <c r="I8709" s="142">
        <v>1</v>
      </c>
      <c r="J8709" s="142">
        <v>0</v>
      </c>
      <c r="K8709" s="142">
        <v>0</v>
      </c>
      <c r="L8709" s="142">
        <v>0</v>
      </c>
      <c r="M8709" s="142">
        <v>1</v>
      </c>
    </row>
    <row r="8710" spans="1:13" x14ac:dyDescent="0.45">
      <c r="A8710" s="142" t="s">
        <v>13027</v>
      </c>
      <c r="B8710" s="142" t="s">
        <v>14562</v>
      </c>
      <c r="C8710" s="142" t="s">
        <v>15847</v>
      </c>
      <c r="D8710" s="142" t="s">
        <v>15848</v>
      </c>
      <c r="E8710" s="142" t="s">
        <v>15849</v>
      </c>
      <c r="F8710" s="142" t="s">
        <v>189</v>
      </c>
      <c r="G8710" s="142" t="s">
        <v>10018</v>
      </c>
      <c r="H8710" s="142" t="s">
        <v>24560</v>
      </c>
      <c r="I8710" s="142">
        <v>15</v>
      </c>
      <c r="J8710" s="142">
        <v>0</v>
      </c>
      <c r="K8710" s="142">
        <v>0</v>
      </c>
      <c r="L8710" s="142">
        <v>15</v>
      </c>
      <c r="M8710" s="142">
        <v>0</v>
      </c>
    </row>
    <row r="8711" spans="1:13" x14ac:dyDescent="0.45">
      <c r="A8711" s="142" t="s">
        <v>13148</v>
      </c>
      <c r="B8711" s="142" t="s">
        <v>15314</v>
      </c>
      <c r="C8711" s="142" t="s">
        <v>15847</v>
      </c>
      <c r="D8711" s="142" t="s">
        <v>15848</v>
      </c>
      <c r="E8711" s="142" t="s">
        <v>15849</v>
      </c>
      <c r="F8711" s="142" t="s">
        <v>189</v>
      </c>
      <c r="G8711" s="142" t="s">
        <v>10018</v>
      </c>
      <c r="H8711" s="142" t="s">
        <v>24561</v>
      </c>
      <c r="I8711" s="142">
        <v>708</v>
      </c>
      <c r="J8711" s="142">
        <v>468</v>
      </c>
      <c r="K8711" s="142">
        <v>0</v>
      </c>
      <c r="L8711" s="142">
        <v>93</v>
      </c>
      <c r="M8711" s="142">
        <v>147</v>
      </c>
    </row>
    <row r="8712" spans="1:13" x14ac:dyDescent="0.45">
      <c r="A8712" s="142" t="s">
        <v>13028</v>
      </c>
      <c r="B8712" s="142" t="s">
        <v>14462</v>
      </c>
      <c r="C8712" s="142" t="s">
        <v>15847</v>
      </c>
      <c r="D8712" s="142" t="s">
        <v>15848</v>
      </c>
      <c r="E8712" s="142" t="s">
        <v>15849</v>
      </c>
      <c r="F8712" s="142" t="s">
        <v>189</v>
      </c>
      <c r="G8712" s="142" t="s">
        <v>10018</v>
      </c>
      <c r="H8712" s="142" t="s">
        <v>24562</v>
      </c>
      <c r="I8712" s="142">
        <v>18</v>
      </c>
      <c r="J8712" s="142">
        <v>0</v>
      </c>
      <c r="K8712" s="142">
        <v>0</v>
      </c>
      <c r="L8712" s="142">
        <v>0</v>
      </c>
      <c r="M8712" s="142">
        <v>18</v>
      </c>
    </row>
    <row r="8713" spans="1:13" x14ac:dyDescent="0.45">
      <c r="A8713" s="142" t="s">
        <v>13160</v>
      </c>
      <c r="B8713" s="142" t="s">
        <v>14525</v>
      </c>
      <c r="C8713" s="142" t="s">
        <v>15847</v>
      </c>
      <c r="D8713" s="142" t="s">
        <v>15848</v>
      </c>
      <c r="E8713" s="142" t="s">
        <v>15849</v>
      </c>
      <c r="F8713" s="142" t="s">
        <v>189</v>
      </c>
      <c r="G8713" s="142" t="s">
        <v>10018</v>
      </c>
      <c r="H8713" s="142" t="s">
        <v>24563</v>
      </c>
      <c r="I8713" s="142">
        <v>8</v>
      </c>
      <c r="J8713" s="142">
        <v>0</v>
      </c>
      <c r="K8713" s="142">
        <v>0</v>
      </c>
      <c r="L8713" s="142">
        <v>8</v>
      </c>
      <c r="M8713" s="142">
        <v>0</v>
      </c>
    </row>
    <row r="8714" spans="1:13" x14ac:dyDescent="0.45">
      <c r="A8714" s="142" t="s">
        <v>13003</v>
      </c>
      <c r="B8714" s="142" t="s">
        <v>15245</v>
      </c>
      <c r="C8714" s="142" t="s">
        <v>15847</v>
      </c>
      <c r="D8714" s="142" t="s">
        <v>15848</v>
      </c>
      <c r="E8714" s="142" t="s">
        <v>15849</v>
      </c>
      <c r="F8714" s="142" t="s">
        <v>189</v>
      </c>
      <c r="G8714" s="142" t="s">
        <v>10018</v>
      </c>
      <c r="H8714" s="142" t="s">
        <v>24564</v>
      </c>
      <c r="I8714" s="142">
        <v>69</v>
      </c>
      <c r="J8714" s="142">
        <v>0</v>
      </c>
      <c r="K8714" s="142">
        <v>0</v>
      </c>
      <c r="L8714" s="142">
        <v>69</v>
      </c>
      <c r="M8714" s="142">
        <v>0</v>
      </c>
    </row>
    <row r="8715" spans="1:13" x14ac:dyDescent="0.45">
      <c r="A8715" s="142" t="s">
        <v>13066</v>
      </c>
      <c r="B8715" s="142" t="s">
        <v>14459</v>
      </c>
      <c r="C8715" s="142" t="s">
        <v>15847</v>
      </c>
      <c r="D8715" s="142" t="s">
        <v>15848</v>
      </c>
      <c r="E8715" s="142" t="s">
        <v>15849</v>
      </c>
      <c r="F8715" s="142" t="s">
        <v>189</v>
      </c>
      <c r="G8715" s="142" t="s">
        <v>10018</v>
      </c>
      <c r="H8715" s="142" t="s">
        <v>24565</v>
      </c>
      <c r="I8715" s="142">
        <v>39</v>
      </c>
      <c r="J8715" s="142">
        <v>0</v>
      </c>
      <c r="K8715" s="142">
        <v>0</v>
      </c>
      <c r="L8715" s="142">
        <v>39</v>
      </c>
      <c r="M8715" s="142">
        <v>0</v>
      </c>
    </row>
    <row r="8716" spans="1:13" x14ac:dyDescent="0.45">
      <c r="A8716" s="142" t="s">
        <v>13290</v>
      </c>
      <c r="B8716" s="142" t="s">
        <v>15246</v>
      </c>
      <c r="C8716" s="142" t="s">
        <v>15847</v>
      </c>
      <c r="D8716" s="142" t="s">
        <v>15848</v>
      </c>
      <c r="E8716" s="142" t="s">
        <v>15849</v>
      </c>
      <c r="F8716" s="142" t="s">
        <v>189</v>
      </c>
      <c r="G8716" s="142" t="s">
        <v>10018</v>
      </c>
      <c r="H8716" s="142" t="s">
        <v>24566</v>
      </c>
      <c r="I8716" s="142">
        <v>2123</v>
      </c>
      <c r="J8716" s="142">
        <v>1938</v>
      </c>
      <c r="K8716" s="142">
        <v>0</v>
      </c>
      <c r="L8716" s="142">
        <v>145</v>
      </c>
      <c r="M8716" s="142">
        <v>40</v>
      </c>
    </row>
    <row r="8717" spans="1:13" x14ac:dyDescent="0.45">
      <c r="A8717" s="142" t="s">
        <v>13291</v>
      </c>
      <c r="B8717" s="142" t="s">
        <v>15495</v>
      </c>
      <c r="C8717" s="142" t="s">
        <v>15847</v>
      </c>
      <c r="D8717" s="142" t="s">
        <v>15848</v>
      </c>
      <c r="E8717" s="142" t="s">
        <v>15849</v>
      </c>
      <c r="F8717" s="142" t="s">
        <v>189</v>
      </c>
      <c r="G8717" s="142" t="s">
        <v>10018</v>
      </c>
      <c r="H8717" s="142" t="s">
        <v>24567</v>
      </c>
      <c r="I8717" s="142">
        <v>800</v>
      </c>
      <c r="J8717" s="142">
        <v>546</v>
      </c>
      <c r="K8717" s="142">
        <v>0</v>
      </c>
      <c r="L8717" s="142">
        <v>170</v>
      </c>
      <c r="M8717" s="142">
        <v>84</v>
      </c>
    </row>
    <row r="8718" spans="1:13" x14ac:dyDescent="0.45">
      <c r="A8718" s="142" t="s">
        <v>13274</v>
      </c>
      <c r="B8718" s="142" t="s">
        <v>14608</v>
      </c>
      <c r="C8718" s="142" t="s">
        <v>15860</v>
      </c>
      <c r="D8718" s="142" t="s">
        <v>15861</v>
      </c>
      <c r="E8718" s="142" t="s">
        <v>15849</v>
      </c>
      <c r="F8718" s="142" t="s">
        <v>189</v>
      </c>
      <c r="G8718" s="142" t="s">
        <v>10018</v>
      </c>
      <c r="H8718" s="142" t="s">
        <v>24568</v>
      </c>
      <c r="I8718" s="142">
        <v>1</v>
      </c>
      <c r="J8718" s="142">
        <v>0</v>
      </c>
      <c r="K8718" s="142">
        <v>0</v>
      </c>
      <c r="L8718" s="142">
        <v>1</v>
      </c>
      <c r="M8718" s="142">
        <v>0</v>
      </c>
    </row>
    <row r="8719" spans="1:13" x14ac:dyDescent="0.45">
      <c r="A8719" s="142" t="s">
        <v>13005</v>
      </c>
      <c r="B8719" s="142" t="s">
        <v>15475</v>
      </c>
      <c r="C8719" s="142" t="s">
        <v>15847</v>
      </c>
      <c r="D8719" s="142" t="s">
        <v>15848</v>
      </c>
      <c r="E8719" s="142" t="s">
        <v>15849</v>
      </c>
      <c r="F8719" s="142" t="s">
        <v>189</v>
      </c>
      <c r="G8719" s="142" t="s">
        <v>10018</v>
      </c>
      <c r="H8719" s="142" t="s">
        <v>24569</v>
      </c>
      <c r="I8719" s="142">
        <v>8876</v>
      </c>
      <c r="J8719" s="142">
        <v>5978</v>
      </c>
      <c r="K8719" s="142">
        <v>0</v>
      </c>
      <c r="L8719" s="142">
        <v>2651</v>
      </c>
      <c r="M8719" s="142">
        <v>247</v>
      </c>
    </row>
    <row r="8720" spans="1:13" x14ac:dyDescent="0.45">
      <c r="A8720" s="142" t="s">
        <v>13249</v>
      </c>
      <c r="B8720" s="142" t="s">
        <v>14602</v>
      </c>
      <c r="C8720" s="142" t="s">
        <v>15847</v>
      </c>
      <c r="D8720" s="142" t="s">
        <v>15848</v>
      </c>
      <c r="E8720" s="142" t="s">
        <v>15849</v>
      </c>
      <c r="F8720" s="142" t="s">
        <v>189</v>
      </c>
      <c r="G8720" s="142" t="s">
        <v>10018</v>
      </c>
      <c r="H8720" s="142" t="s">
        <v>24570</v>
      </c>
      <c r="I8720" s="142">
        <v>269</v>
      </c>
      <c r="J8720" s="142">
        <v>235</v>
      </c>
      <c r="K8720" s="142">
        <v>0</v>
      </c>
      <c r="L8720" s="142">
        <v>7</v>
      </c>
      <c r="M8720" s="142">
        <v>27</v>
      </c>
    </row>
    <row r="8721" spans="1:13" x14ac:dyDescent="0.45">
      <c r="A8721" s="142" t="s">
        <v>13516</v>
      </c>
      <c r="B8721" s="142" t="s">
        <v>14461</v>
      </c>
      <c r="C8721" s="142" t="s">
        <v>15860</v>
      </c>
      <c r="D8721" s="142" t="s">
        <v>15861</v>
      </c>
      <c r="E8721" s="142" t="s">
        <v>15849</v>
      </c>
      <c r="F8721" s="142" t="s">
        <v>189</v>
      </c>
      <c r="G8721" s="142" t="s">
        <v>10018</v>
      </c>
      <c r="H8721" s="142" t="s">
        <v>24571</v>
      </c>
      <c r="I8721" s="142">
        <v>2</v>
      </c>
      <c r="J8721" s="142">
        <v>0</v>
      </c>
      <c r="K8721" s="142">
        <v>0</v>
      </c>
      <c r="L8721" s="142">
        <v>2</v>
      </c>
      <c r="M8721" s="142">
        <v>0</v>
      </c>
    </row>
    <row r="8722" spans="1:13" x14ac:dyDescent="0.45">
      <c r="A8722" s="142" t="s">
        <v>13972</v>
      </c>
      <c r="B8722" s="142" t="s">
        <v>14565</v>
      </c>
      <c r="C8722" s="142" t="s">
        <v>15847</v>
      </c>
      <c r="D8722" s="142" t="s">
        <v>15848</v>
      </c>
      <c r="E8722" s="142" t="s">
        <v>15849</v>
      </c>
      <c r="F8722" s="142" t="s">
        <v>189</v>
      </c>
      <c r="G8722" s="142" t="s">
        <v>10018</v>
      </c>
      <c r="H8722" s="142" t="s">
        <v>24572</v>
      </c>
      <c r="I8722" s="142">
        <v>1</v>
      </c>
      <c r="J8722" s="142">
        <v>1</v>
      </c>
      <c r="K8722" s="142">
        <v>0</v>
      </c>
      <c r="L8722" s="142">
        <v>0</v>
      </c>
      <c r="M8722" s="142">
        <v>0</v>
      </c>
    </row>
    <row r="8723" spans="1:13" x14ac:dyDescent="0.45">
      <c r="A8723" s="142" t="s">
        <v>13276</v>
      </c>
      <c r="B8723" s="142" t="s">
        <v>15498</v>
      </c>
      <c r="C8723" s="142" t="s">
        <v>15847</v>
      </c>
      <c r="D8723" s="142" t="s">
        <v>15848</v>
      </c>
      <c r="E8723" s="142" t="s">
        <v>15849</v>
      </c>
      <c r="F8723" s="142" t="s">
        <v>189</v>
      </c>
      <c r="G8723" s="142" t="s">
        <v>10018</v>
      </c>
      <c r="H8723" s="142" t="s">
        <v>24573</v>
      </c>
      <c r="I8723" s="142">
        <v>407</v>
      </c>
      <c r="J8723" s="142">
        <v>344</v>
      </c>
      <c r="K8723" s="142">
        <v>0</v>
      </c>
      <c r="L8723" s="142">
        <v>55</v>
      </c>
      <c r="M8723" s="142">
        <v>8</v>
      </c>
    </row>
    <row r="8724" spans="1:13" x14ac:dyDescent="0.45">
      <c r="A8724" s="142" t="s">
        <v>13032</v>
      </c>
      <c r="B8724" s="142" t="s">
        <v>14532</v>
      </c>
      <c r="C8724" s="142" t="s">
        <v>15860</v>
      </c>
      <c r="D8724" s="142" t="s">
        <v>15861</v>
      </c>
      <c r="E8724" s="142" t="s">
        <v>15849</v>
      </c>
      <c r="F8724" s="142" t="s">
        <v>189</v>
      </c>
      <c r="G8724" s="142" t="s">
        <v>10018</v>
      </c>
      <c r="H8724" s="142" t="s">
        <v>24574</v>
      </c>
      <c r="I8724" s="142">
        <v>8</v>
      </c>
      <c r="J8724" s="142">
        <v>0</v>
      </c>
      <c r="K8724" s="142">
        <v>0</v>
      </c>
      <c r="L8724" s="142">
        <v>8</v>
      </c>
      <c r="M8724" s="142">
        <v>0</v>
      </c>
    </row>
    <row r="8725" spans="1:13" x14ac:dyDescent="0.45">
      <c r="A8725" s="142" t="s">
        <v>13033</v>
      </c>
      <c r="B8725" s="142" t="s">
        <v>15276</v>
      </c>
      <c r="C8725" s="142" t="s">
        <v>15847</v>
      </c>
      <c r="D8725" s="142" t="s">
        <v>15848</v>
      </c>
      <c r="E8725" s="142" t="s">
        <v>15849</v>
      </c>
      <c r="F8725" s="142" t="s">
        <v>189</v>
      </c>
      <c r="G8725" s="142" t="s">
        <v>10018</v>
      </c>
      <c r="H8725" s="142" t="s">
        <v>24575</v>
      </c>
      <c r="I8725" s="142">
        <v>11</v>
      </c>
      <c r="J8725" s="142">
        <v>11</v>
      </c>
      <c r="K8725" s="142">
        <v>0</v>
      </c>
      <c r="L8725" s="142">
        <v>0</v>
      </c>
      <c r="M8725" s="142">
        <v>0</v>
      </c>
    </row>
    <row r="8726" spans="1:13" x14ac:dyDescent="0.45">
      <c r="A8726" s="142" t="s">
        <v>13036</v>
      </c>
      <c r="B8726" s="142" t="s">
        <v>15567</v>
      </c>
      <c r="C8726" s="142" t="s">
        <v>15847</v>
      </c>
      <c r="D8726" s="142" t="s">
        <v>15848</v>
      </c>
      <c r="E8726" s="142" t="s">
        <v>15849</v>
      </c>
      <c r="F8726" s="142" t="s">
        <v>189</v>
      </c>
      <c r="G8726" s="142" t="s">
        <v>10018</v>
      </c>
      <c r="H8726" s="142" t="s">
        <v>24576</v>
      </c>
      <c r="I8726" s="142">
        <v>33</v>
      </c>
      <c r="J8726" s="142">
        <v>0</v>
      </c>
      <c r="K8726" s="142">
        <v>0</v>
      </c>
      <c r="L8726" s="142">
        <v>33</v>
      </c>
      <c r="M8726" s="142">
        <v>0</v>
      </c>
    </row>
    <row r="8727" spans="1:13" x14ac:dyDescent="0.45">
      <c r="A8727" s="142" t="s">
        <v>13277</v>
      </c>
      <c r="B8727" s="142" t="s">
        <v>14454</v>
      </c>
      <c r="C8727" s="142" t="s">
        <v>15847</v>
      </c>
      <c r="D8727" s="142" t="s">
        <v>15848</v>
      </c>
      <c r="E8727" s="142" t="s">
        <v>15849</v>
      </c>
      <c r="F8727" s="142" t="s">
        <v>189</v>
      </c>
      <c r="G8727" s="142" t="s">
        <v>10018</v>
      </c>
      <c r="H8727" s="142" t="s">
        <v>24577</v>
      </c>
      <c r="I8727" s="142">
        <v>78</v>
      </c>
      <c r="J8727" s="142">
        <v>78</v>
      </c>
      <c r="K8727" s="142">
        <v>0</v>
      </c>
      <c r="L8727" s="142">
        <v>0</v>
      </c>
      <c r="M8727" s="142">
        <v>0</v>
      </c>
    </row>
    <row r="8728" spans="1:13" x14ac:dyDescent="0.45">
      <c r="A8728" s="142" t="s">
        <v>13038</v>
      </c>
      <c r="B8728" s="142" t="s">
        <v>14646</v>
      </c>
      <c r="C8728" s="142" t="s">
        <v>15847</v>
      </c>
      <c r="D8728" s="142" t="s">
        <v>15848</v>
      </c>
      <c r="E8728" s="142" t="s">
        <v>15849</v>
      </c>
      <c r="F8728" s="142" t="s">
        <v>189</v>
      </c>
      <c r="G8728" s="142" t="s">
        <v>10018</v>
      </c>
      <c r="H8728" s="142" t="s">
        <v>24578</v>
      </c>
      <c r="I8728" s="142">
        <v>9</v>
      </c>
      <c r="J8728" s="142">
        <v>0</v>
      </c>
      <c r="K8728" s="142">
        <v>0</v>
      </c>
      <c r="L8728" s="142">
        <v>0</v>
      </c>
      <c r="M8728" s="142">
        <v>9</v>
      </c>
    </row>
    <row r="8729" spans="1:13" x14ac:dyDescent="0.45">
      <c r="A8729" s="142" t="s">
        <v>14155</v>
      </c>
      <c r="B8729" s="142" t="s">
        <v>14433</v>
      </c>
      <c r="C8729" s="142" t="s">
        <v>15847</v>
      </c>
      <c r="D8729" s="142" t="s">
        <v>15848</v>
      </c>
      <c r="E8729" s="142" t="s">
        <v>15849</v>
      </c>
      <c r="F8729" s="142" t="s">
        <v>189</v>
      </c>
      <c r="G8729" s="142" t="s">
        <v>10018</v>
      </c>
      <c r="H8729" s="142" t="s">
        <v>24579</v>
      </c>
      <c r="I8729" s="142">
        <v>24</v>
      </c>
      <c r="J8729" s="142">
        <v>24</v>
      </c>
      <c r="K8729" s="142">
        <v>0</v>
      </c>
      <c r="L8729" s="142">
        <v>0</v>
      </c>
      <c r="M8729" s="142">
        <v>0</v>
      </c>
    </row>
    <row r="8730" spans="1:13" x14ac:dyDescent="0.45">
      <c r="A8730" s="142" t="s">
        <v>13078</v>
      </c>
      <c r="B8730" s="142" t="s">
        <v>15540</v>
      </c>
      <c r="C8730" s="142" t="s">
        <v>15847</v>
      </c>
      <c r="D8730" s="142" t="s">
        <v>15848</v>
      </c>
      <c r="E8730" s="142" t="s">
        <v>15849</v>
      </c>
      <c r="F8730" s="142" t="s">
        <v>189</v>
      </c>
      <c r="G8730" s="142" t="s">
        <v>10018</v>
      </c>
      <c r="H8730" s="142" t="s">
        <v>24580</v>
      </c>
      <c r="I8730" s="142">
        <v>24</v>
      </c>
      <c r="J8730" s="142">
        <v>0</v>
      </c>
      <c r="K8730" s="142">
        <v>0</v>
      </c>
      <c r="L8730" s="142">
        <v>24</v>
      </c>
      <c r="M8730" s="142">
        <v>0</v>
      </c>
    </row>
    <row r="8731" spans="1:13" x14ac:dyDescent="0.45">
      <c r="A8731" s="142" t="s">
        <v>13009</v>
      </c>
      <c r="B8731" s="142" t="s">
        <v>15256</v>
      </c>
      <c r="C8731" s="142" t="s">
        <v>15847</v>
      </c>
      <c r="D8731" s="142" t="s">
        <v>15848</v>
      </c>
      <c r="E8731" s="142" t="s">
        <v>15849</v>
      </c>
      <c r="F8731" s="142" t="s">
        <v>189</v>
      </c>
      <c r="G8731" s="142" t="s">
        <v>10018</v>
      </c>
      <c r="H8731" s="142" t="s">
        <v>24581</v>
      </c>
      <c r="I8731" s="142">
        <v>55</v>
      </c>
      <c r="J8731" s="142">
        <v>0</v>
      </c>
      <c r="K8731" s="142">
        <v>0</v>
      </c>
      <c r="L8731" s="142">
        <v>55</v>
      </c>
      <c r="M8731" s="142">
        <v>0</v>
      </c>
    </row>
    <row r="8732" spans="1:13" x14ac:dyDescent="0.45">
      <c r="A8732" s="142" t="s">
        <v>13974</v>
      </c>
      <c r="B8732" s="142" t="s">
        <v>14500</v>
      </c>
      <c r="C8732" s="142" t="s">
        <v>15860</v>
      </c>
      <c r="D8732" s="142" t="s">
        <v>15861</v>
      </c>
      <c r="E8732" s="142" t="s">
        <v>15849</v>
      </c>
      <c r="F8732" s="142" t="s">
        <v>189</v>
      </c>
      <c r="G8732" s="142" t="s">
        <v>10018</v>
      </c>
      <c r="H8732" s="142" t="s">
        <v>24582</v>
      </c>
      <c r="I8732" s="142">
        <v>3</v>
      </c>
      <c r="J8732" s="142">
        <v>0</v>
      </c>
      <c r="K8732" s="142">
        <v>0</v>
      </c>
      <c r="L8732" s="142">
        <v>3</v>
      </c>
      <c r="M8732" s="142">
        <v>0</v>
      </c>
    </row>
    <row r="8733" spans="1:13" x14ac:dyDescent="0.45">
      <c r="A8733" s="142" t="s">
        <v>13489</v>
      </c>
      <c r="B8733" s="142" t="s">
        <v>15473</v>
      </c>
      <c r="C8733" s="142" t="s">
        <v>15847</v>
      </c>
      <c r="D8733" s="142" t="s">
        <v>15848</v>
      </c>
      <c r="E8733" s="142" t="s">
        <v>15849</v>
      </c>
      <c r="F8733" s="142" t="s">
        <v>189</v>
      </c>
      <c r="G8733" s="142" t="s">
        <v>10018</v>
      </c>
      <c r="H8733" s="142" t="s">
        <v>24583</v>
      </c>
      <c r="I8733" s="142">
        <v>76</v>
      </c>
      <c r="J8733" s="142">
        <v>0</v>
      </c>
      <c r="K8733" s="142">
        <v>0</v>
      </c>
      <c r="L8733" s="142">
        <v>0</v>
      </c>
      <c r="M8733" s="142">
        <v>76</v>
      </c>
    </row>
    <row r="8734" spans="1:13" x14ac:dyDescent="0.45">
      <c r="A8734" s="142" t="s">
        <v>13014</v>
      </c>
      <c r="B8734" s="142" t="s">
        <v>14505</v>
      </c>
      <c r="C8734" s="142" t="s">
        <v>15847</v>
      </c>
      <c r="D8734" s="142" t="s">
        <v>15848</v>
      </c>
      <c r="E8734" s="142" t="s">
        <v>15849</v>
      </c>
      <c r="F8734" s="142" t="s">
        <v>189</v>
      </c>
      <c r="G8734" s="142" t="s">
        <v>10018</v>
      </c>
      <c r="H8734" s="142" t="s">
        <v>24584</v>
      </c>
      <c r="I8734" s="142">
        <v>312</v>
      </c>
      <c r="J8734" s="142">
        <v>257</v>
      </c>
      <c r="K8734" s="142">
        <v>0</v>
      </c>
      <c r="L8734" s="142">
        <v>28</v>
      </c>
      <c r="M8734" s="142">
        <v>27</v>
      </c>
    </row>
    <row r="8735" spans="1:13" x14ac:dyDescent="0.45">
      <c r="A8735" s="142" t="s">
        <v>13042</v>
      </c>
      <c r="B8735" s="142" t="s">
        <v>15489</v>
      </c>
      <c r="C8735" s="142" t="s">
        <v>15847</v>
      </c>
      <c r="D8735" s="142" t="s">
        <v>15848</v>
      </c>
      <c r="E8735" s="142" t="s">
        <v>15849</v>
      </c>
      <c r="F8735" s="142" t="s">
        <v>189</v>
      </c>
      <c r="G8735" s="142" t="s">
        <v>10018</v>
      </c>
      <c r="H8735" s="142" t="s">
        <v>24585</v>
      </c>
      <c r="I8735" s="142">
        <v>66</v>
      </c>
      <c r="J8735" s="142">
        <v>66</v>
      </c>
      <c r="K8735" s="142">
        <v>0</v>
      </c>
      <c r="L8735" s="142">
        <v>0</v>
      </c>
      <c r="M8735" s="142">
        <v>0</v>
      </c>
    </row>
    <row r="8736" spans="1:13" x14ac:dyDescent="0.45">
      <c r="A8736" s="142" t="s">
        <v>13495</v>
      </c>
      <c r="B8736" s="142" t="s">
        <v>15426</v>
      </c>
      <c r="C8736" s="142" t="s">
        <v>15847</v>
      </c>
      <c r="D8736" s="142" t="s">
        <v>15848</v>
      </c>
      <c r="E8736" s="142" t="s">
        <v>15849</v>
      </c>
      <c r="F8736" s="142" t="s">
        <v>189</v>
      </c>
      <c r="G8736" s="142" t="s">
        <v>10018</v>
      </c>
      <c r="H8736" s="142" t="s">
        <v>24586</v>
      </c>
      <c r="I8736" s="142">
        <v>39</v>
      </c>
      <c r="J8736" s="142">
        <v>39</v>
      </c>
      <c r="K8736" s="142">
        <v>0</v>
      </c>
      <c r="L8736" s="142">
        <v>0</v>
      </c>
      <c r="M8736" s="142">
        <v>0</v>
      </c>
    </row>
    <row r="8737" spans="1:13" x14ac:dyDescent="0.45">
      <c r="A8737" s="142" t="s">
        <v>13286</v>
      </c>
      <c r="B8737" s="142" t="s">
        <v>15342</v>
      </c>
      <c r="C8737" s="142" t="s">
        <v>15847</v>
      </c>
      <c r="D8737" s="142" t="s">
        <v>15848</v>
      </c>
      <c r="E8737" s="142" t="s">
        <v>15849</v>
      </c>
      <c r="F8737" s="142" t="s">
        <v>189</v>
      </c>
      <c r="G8737" s="142" t="s">
        <v>10018</v>
      </c>
      <c r="H8737" s="142" t="s">
        <v>24587</v>
      </c>
      <c r="I8737" s="142">
        <v>1980</v>
      </c>
      <c r="J8737" s="142">
        <v>1782</v>
      </c>
      <c r="K8737" s="142">
        <v>0</v>
      </c>
      <c r="L8737" s="142">
        <v>93</v>
      </c>
      <c r="M8737" s="142">
        <v>105</v>
      </c>
    </row>
    <row r="8738" spans="1:13" x14ac:dyDescent="0.45">
      <c r="A8738" s="142" t="s">
        <v>13110</v>
      </c>
      <c r="B8738" s="142" t="s">
        <v>15502</v>
      </c>
      <c r="C8738" s="142" t="s">
        <v>15847</v>
      </c>
      <c r="D8738" s="142" t="s">
        <v>15848</v>
      </c>
      <c r="E8738" s="142" t="s">
        <v>15849</v>
      </c>
      <c r="F8738" s="142" t="s">
        <v>190</v>
      </c>
      <c r="G8738" s="142" t="s">
        <v>5876</v>
      </c>
      <c r="H8738" s="142" t="s">
        <v>24588</v>
      </c>
      <c r="I8738" s="142">
        <v>11</v>
      </c>
      <c r="J8738" s="142">
        <v>0</v>
      </c>
      <c r="K8738" s="142">
        <v>0</v>
      </c>
      <c r="L8738" s="142">
        <v>11</v>
      </c>
      <c r="M8738" s="142">
        <v>0</v>
      </c>
    </row>
    <row r="8739" spans="1:13" x14ac:dyDescent="0.45">
      <c r="A8739" s="142" t="s">
        <v>13353</v>
      </c>
      <c r="B8739" s="142" t="s">
        <v>15145</v>
      </c>
      <c r="C8739" s="142" t="s">
        <v>15860</v>
      </c>
      <c r="D8739" s="142" t="s">
        <v>15861</v>
      </c>
      <c r="E8739" s="142" t="s">
        <v>15849</v>
      </c>
      <c r="F8739" s="142" t="s">
        <v>190</v>
      </c>
      <c r="G8739" s="142" t="s">
        <v>5876</v>
      </c>
      <c r="H8739" s="142" t="s">
        <v>24589</v>
      </c>
      <c r="I8739" s="142">
        <v>14</v>
      </c>
      <c r="J8739" s="142">
        <v>0</v>
      </c>
      <c r="K8739" s="142">
        <v>0</v>
      </c>
      <c r="L8739" s="142">
        <v>14</v>
      </c>
      <c r="M8739" s="142">
        <v>0</v>
      </c>
    </row>
    <row r="8740" spans="1:13" x14ac:dyDescent="0.45">
      <c r="A8740" s="142" t="s">
        <v>13021</v>
      </c>
      <c r="B8740" s="142" t="s">
        <v>15501</v>
      </c>
      <c r="C8740" s="142" t="s">
        <v>15847</v>
      </c>
      <c r="D8740" s="142" t="s">
        <v>15848</v>
      </c>
      <c r="E8740" s="142" t="s">
        <v>15849</v>
      </c>
      <c r="F8740" s="142" t="s">
        <v>190</v>
      </c>
      <c r="G8740" s="142" t="s">
        <v>5876</v>
      </c>
      <c r="H8740" s="142" t="s">
        <v>24590</v>
      </c>
      <c r="I8740" s="142">
        <v>1</v>
      </c>
      <c r="J8740" s="142">
        <v>0</v>
      </c>
      <c r="K8740" s="142">
        <v>0</v>
      </c>
      <c r="L8740" s="142">
        <v>0</v>
      </c>
      <c r="M8740" s="142">
        <v>1</v>
      </c>
    </row>
    <row r="8741" spans="1:13" x14ac:dyDescent="0.45">
      <c r="A8741" s="142" t="s">
        <v>13023</v>
      </c>
      <c r="B8741" s="142" t="s">
        <v>15571</v>
      </c>
      <c r="C8741" s="142" t="s">
        <v>15847</v>
      </c>
      <c r="D8741" s="142" t="s">
        <v>15848</v>
      </c>
      <c r="E8741" s="142" t="s">
        <v>15849</v>
      </c>
      <c r="F8741" s="142" t="s">
        <v>190</v>
      </c>
      <c r="G8741" s="142" t="s">
        <v>5876</v>
      </c>
      <c r="H8741" s="142" t="s">
        <v>24591</v>
      </c>
      <c r="I8741" s="142">
        <v>24</v>
      </c>
      <c r="J8741" s="142">
        <v>0</v>
      </c>
      <c r="K8741" s="142">
        <v>0</v>
      </c>
      <c r="L8741" s="142">
        <v>24</v>
      </c>
      <c r="M8741" s="142">
        <v>0</v>
      </c>
    </row>
    <row r="8742" spans="1:13" x14ac:dyDescent="0.45">
      <c r="A8742" s="142" t="s">
        <v>14314</v>
      </c>
      <c r="B8742" s="142" t="s">
        <v>14859</v>
      </c>
      <c r="C8742" s="142" t="s">
        <v>15860</v>
      </c>
      <c r="D8742" s="142" t="s">
        <v>15861</v>
      </c>
      <c r="E8742" s="142" t="s">
        <v>15849</v>
      </c>
      <c r="F8742" s="142" t="s">
        <v>190</v>
      </c>
      <c r="G8742" s="142" t="s">
        <v>5876</v>
      </c>
      <c r="H8742" s="142" t="s">
        <v>24592</v>
      </c>
      <c r="I8742" s="142">
        <v>9</v>
      </c>
      <c r="J8742" s="142">
        <v>9</v>
      </c>
      <c r="K8742" s="142">
        <v>0</v>
      </c>
      <c r="L8742" s="142">
        <v>0</v>
      </c>
      <c r="M8742" s="142">
        <v>0</v>
      </c>
    </row>
    <row r="8743" spans="1:13" x14ac:dyDescent="0.45">
      <c r="A8743" s="142" t="s">
        <v>13288</v>
      </c>
      <c r="B8743" s="142" t="s">
        <v>14444</v>
      </c>
      <c r="C8743" s="142" t="s">
        <v>15860</v>
      </c>
      <c r="D8743" s="142" t="s">
        <v>15861</v>
      </c>
      <c r="E8743" s="142" t="s">
        <v>15849</v>
      </c>
      <c r="F8743" s="142" t="s">
        <v>190</v>
      </c>
      <c r="G8743" s="142" t="s">
        <v>5876</v>
      </c>
      <c r="H8743" s="142" t="s">
        <v>24593</v>
      </c>
      <c r="I8743" s="142">
        <v>34</v>
      </c>
      <c r="J8743" s="142">
        <v>0</v>
      </c>
      <c r="K8743" s="142">
        <v>0</v>
      </c>
      <c r="L8743" s="142">
        <v>34</v>
      </c>
      <c r="M8743" s="142">
        <v>0</v>
      </c>
    </row>
    <row r="8744" spans="1:13" x14ac:dyDescent="0.45">
      <c r="A8744" s="142" t="s">
        <v>13000</v>
      </c>
      <c r="B8744" s="142" t="s">
        <v>14610</v>
      </c>
      <c r="C8744" s="142" t="s">
        <v>15847</v>
      </c>
      <c r="D8744" s="142" t="s">
        <v>15848</v>
      </c>
      <c r="E8744" s="142" t="s">
        <v>15849</v>
      </c>
      <c r="F8744" s="142" t="s">
        <v>190</v>
      </c>
      <c r="G8744" s="142" t="s">
        <v>5876</v>
      </c>
      <c r="H8744" s="142" t="s">
        <v>24594</v>
      </c>
      <c r="I8744" s="142">
        <v>76</v>
      </c>
      <c r="J8744" s="142">
        <v>51</v>
      </c>
      <c r="K8744" s="142">
        <v>0</v>
      </c>
      <c r="L8744" s="142">
        <v>25</v>
      </c>
      <c r="M8744" s="142">
        <v>0</v>
      </c>
    </row>
    <row r="8745" spans="1:13" x14ac:dyDescent="0.45">
      <c r="A8745" s="142" t="s">
        <v>13212</v>
      </c>
      <c r="B8745" s="142" t="s">
        <v>15497</v>
      </c>
      <c r="C8745" s="142" t="s">
        <v>15860</v>
      </c>
      <c r="D8745" s="142" t="s">
        <v>15861</v>
      </c>
      <c r="E8745" s="142" t="s">
        <v>15849</v>
      </c>
      <c r="F8745" s="142" t="s">
        <v>190</v>
      </c>
      <c r="G8745" s="142" t="s">
        <v>5876</v>
      </c>
      <c r="H8745" s="142" t="s">
        <v>24595</v>
      </c>
      <c r="I8745" s="142">
        <v>16</v>
      </c>
      <c r="J8745" s="142">
        <v>16</v>
      </c>
      <c r="K8745" s="142">
        <v>0</v>
      </c>
      <c r="L8745" s="142">
        <v>0</v>
      </c>
      <c r="M8745" s="142">
        <v>0</v>
      </c>
    </row>
    <row r="8746" spans="1:13" x14ac:dyDescent="0.45">
      <c r="A8746" s="142" t="s">
        <v>14315</v>
      </c>
      <c r="B8746" s="142" t="s">
        <v>14925</v>
      </c>
      <c r="C8746" s="142" t="s">
        <v>15860</v>
      </c>
      <c r="D8746" s="142" t="s">
        <v>15861</v>
      </c>
      <c r="E8746" s="142" t="s">
        <v>15849</v>
      </c>
      <c r="F8746" s="142" t="s">
        <v>190</v>
      </c>
      <c r="G8746" s="142" t="s">
        <v>5876</v>
      </c>
      <c r="H8746" s="142" t="s">
        <v>24596</v>
      </c>
      <c r="I8746" s="142">
        <v>14</v>
      </c>
      <c r="J8746" s="142">
        <v>14</v>
      </c>
      <c r="K8746" s="142">
        <v>0</v>
      </c>
      <c r="L8746" s="142">
        <v>0</v>
      </c>
      <c r="M8746" s="142">
        <v>0</v>
      </c>
    </row>
    <row r="8747" spans="1:13" x14ac:dyDescent="0.45">
      <c r="A8747" s="142" t="s">
        <v>13074</v>
      </c>
      <c r="B8747" s="142" t="s">
        <v>15405</v>
      </c>
      <c r="C8747" s="142" t="s">
        <v>15847</v>
      </c>
      <c r="D8747" s="142" t="s">
        <v>15848</v>
      </c>
      <c r="E8747" s="142" t="s">
        <v>15849</v>
      </c>
      <c r="F8747" s="142" t="s">
        <v>190</v>
      </c>
      <c r="G8747" s="142" t="s">
        <v>5876</v>
      </c>
      <c r="H8747" s="142" t="s">
        <v>24597</v>
      </c>
      <c r="I8747" s="142">
        <v>28</v>
      </c>
      <c r="J8747" s="142">
        <v>20</v>
      </c>
      <c r="K8747" s="142">
        <v>0</v>
      </c>
      <c r="L8747" s="142">
        <v>0</v>
      </c>
      <c r="M8747" s="142">
        <v>8</v>
      </c>
    </row>
    <row r="8748" spans="1:13" x14ac:dyDescent="0.45">
      <c r="A8748" s="142" t="s">
        <v>13027</v>
      </c>
      <c r="B8748" s="142" t="s">
        <v>14562</v>
      </c>
      <c r="C8748" s="142" t="s">
        <v>15847</v>
      </c>
      <c r="D8748" s="142" t="s">
        <v>15848</v>
      </c>
      <c r="E8748" s="142" t="s">
        <v>15849</v>
      </c>
      <c r="F8748" s="142" t="s">
        <v>190</v>
      </c>
      <c r="G8748" s="142" t="s">
        <v>5876</v>
      </c>
      <c r="H8748" s="142" t="s">
        <v>24598</v>
      </c>
      <c r="I8748" s="142">
        <v>7</v>
      </c>
      <c r="J8748" s="142">
        <v>0</v>
      </c>
      <c r="K8748" s="142">
        <v>0</v>
      </c>
      <c r="L8748" s="142">
        <v>7</v>
      </c>
      <c r="M8748" s="142">
        <v>0</v>
      </c>
    </row>
    <row r="8749" spans="1:13" x14ac:dyDescent="0.45">
      <c r="A8749" s="142" t="s">
        <v>13075</v>
      </c>
      <c r="B8749" s="142" t="s">
        <v>15598</v>
      </c>
      <c r="C8749" s="142" t="s">
        <v>15847</v>
      </c>
      <c r="D8749" s="142" t="s">
        <v>15848</v>
      </c>
      <c r="E8749" s="142" t="s">
        <v>15849</v>
      </c>
      <c r="F8749" s="142" t="s">
        <v>190</v>
      </c>
      <c r="G8749" s="142" t="s">
        <v>5876</v>
      </c>
      <c r="H8749" s="142" t="s">
        <v>24599</v>
      </c>
      <c r="I8749" s="142">
        <v>175</v>
      </c>
      <c r="J8749" s="142">
        <v>90</v>
      </c>
      <c r="K8749" s="142">
        <v>0</v>
      </c>
      <c r="L8749" s="142">
        <v>0</v>
      </c>
      <c r="M8749" s="142">
        <v>85</v>
      </c>
    </row>
    <row r="8750" spans="1:13" x14ac:dyDescent="0.45">
      <c r="A8750" s="142" t="s">
        <v>13001</v>
      </c>
      <c r="B8750" s="142" t="s">
        <v>15506</v>
      </c>
      <c r="C8750" s="142" t="s">
        <v>15847</v>
      </c>
      <c r="D8750" s="142" t="s">
        <v>15848</v>
      </c>
      <c r="E8750" s="142" t="s">
        <v>15849</v>
      </c>
      <c r="F8750" s="142" t="s">
        <v>190</v>
      </c>
      <c r="G8750" s="142" t="s">
        <v>5876</v>
      </c>
      <c r="H8750" s="142" t="s">
        <v>24600</v>
      </c>
      <c r="I8750" s="142">
        <v>38</v>
      </c>
      <c r="J8750" s="142">
        <v>29</v>
      </c>
      <c r="K8750" s="142">
        <v>0</v>
      </c>
      <c r="L8750" s="142">
        <v>9</v>
      </c>
      <c r="M8750" s="142">
        <v>0</v>
      </c>
    </row>
    <row r="8751" spans="1:13" x14ac:dyDescent="0.45">
      <c r="A8751" s="142" t="s">
        <v>13050</v>
      </c>
      <c r="B8751" s="142" t="s">
        <v>15237</v>
      </c>
      <c r="C8751" s="142" t="s">
        <v>15847</v>
      </c>
      <c r="D8751" s="142" t="s">
        <v>15848</v>
      </c>
      <c r="E8751" s="142" t="s">
        <v>15849</v>
      </c>
      <c r="F8751" s="142" t="s">
        <v>190</v>
      </c>
      <c r="G8751" s="142" t="s">
        <v>5876</v>
      </c>
      <c r="H8751" s="142" t="s">
        <v>24601</v>
      </c>
      <c r="I8751" s="142">
        <v>48</v>
      </c>
      <c r="J8751" s="142">
        <v>46</v>
      </c>
      <c r="K8751" s="142">
        <v>0</v>
      </c>
      <c r="L8751" s="142">
        <v>0</v>
      </c>
      <c r="M8751" s="142">
        <v>2</v>
      </c>
    </row>
    <row r="8752" spans="1:13" x14ac:dyDescent="0.45">
      <c r="A8752" s="142" t="s">
        <v>14295</v>
      </c>
      <c r="B8752" s="142" t="s">
        <v>15299</v>
      </c>
      <c r="C8752" s="142" t="s">
        <v>15860</v>
      </c>
      <c r="D8752" s="142" t="s">
        <v>15861</v>
      </c>
      <c r="E8752" s="142" t="s">
        <v>15849</v>
      </c>
      <c r="F8752" s="142" t="s">
        <v>190</v>
      </c>
      <c r="G8752" s="142" t="s">
        <v>5876</v>
      </c>
      <c r="H8752" s="142" t="s">
        <v>24602</v>
      </c>
      <c r="I8752" s="142">
        <v>100</v>
      </c>
      <c r="J8752" s="142">
        <v>100</v>
      </c>
      <c r="K8752" s="142">
        <v>0</v>
      </c>
      <c r="L8752" s="142">
        <v>0</v>
      </c>
      <c r="M8752" s="142">
        <v>0</v>
      </c>
    </row>
    <row r="8753" spans="1:13" x14ac:dyDescent="0.45">
      <c r="A8753" s="142" t="s">
        <v>13028</v>
      </c>
      <c r="B8753" s="142" t="s">
        <v>14462</v>
      </c>
      <c r="C8753" s="142" t="s">
        <v>15847</v>
      </c>
      <c r="D8753" s="142" t="s">
        <v>15848</v>
      </c>
      <c r="E8753" s="142" t="s">
        <v>15849</v>
      </c>
      <c r="F8753" s="142" t="s">
        <v>190</v>
      </c>
      <c r="G8753" s="142" t="s">
        <v>5876</v>
      </c>
      <c r="H8753" s="142" t="s">
        <v>24603</v>
      </c>
      <c r="I8753" s="142">
        <v>25</v>
      </c>
      <c r="J8753" s="142">
        <v>0</v>
      </c>
      <c r="K8753" s="142">
        <v>0</v>
      </c>
      <c r="L8753" s="142">
        <v>0</v>
      </c>
      <c r="M8753" s="142">
        <v>25</v>
      </c>
    </row>
    <row r="8754" spans="1:13" x14ac:dyDescent="0.45">
      <c r="A8754" s="142" t="s">
        <v>13002</v>
      </c>
      <c r="B8754" s="142" t="s">
        <v>15376</v>
      </c>
      <c r="C8754" s="142" t="s">
        <v>15847</v>
      </c>
      <c r="D8754" s="142" t="s">
        <v>15848</v>
      </c>
      <c r="E8754" s="142" t="s">
        <v>15849</v>
      </c>
      <c r="F8754" s="142" t="s">
        <v>190</v>
      </c>
      <c r="G8754" s="142" t="s">
        <v>5876</v>
      </c>
      <c r="H8754" s="142" t="s">
        <v>24604</v>
      </c>
      <c r="I8754" s="142">
        <v>153</v>
      </c>
      <c r="J8754" s="142">
        <v>153</v>
      </c>
      <c r="K8754" s="142">
        <v>0</v>
      </c>
      <c r="L8754" s="142">
        <v>0</v>
      </c>
      <c r="M8754" s="142">
        <v>0</v>
      </c>
    </row>
    <row r="8755" spans="1:13" x14ac:dyDescent="0.45">
      <c r="A8755" s="142" t="s">
        <v>13004</v>
      </c>
      <c r="B8755" s="142" t="s">
        <v>15492</v>
      </c>
      <c r="C8755" s="142" t="s">
        <v>15847</v>
      </c>
      <c r="D8755" s="142" t="s">
        <v>15848</v>
      </c>
      <c r="E8755" s="142" t="s">
        <v>15849</v>
      </c>
      <c r="F8755" s="142" t="s">
        <v>190</v>
      </c>
      <c r="G8755" s="142" t="s">
        <v>5876</v>
      </c>
      <c r="H8755" s="142" t="s">
        <v>24605</v>
      </c>
      <c r="I8755" s="142">
        <v>141</v>
      </c>
      <c r="J8755" s="142">
        <v>119</v>
      </c>
      <c r="K8755" s="142">
        <v>0</v>
      </c>
      <c r="L8755" s="142">
        <v>14</v>
      </c>
      <c r="M8755" s="142">
        <v>8</v>
      </c>
    </row>
    <row r="8756" spans="1:13" x14ac:dyDescent="0.45">
      <c r="A8756" s="142" t="s">
        <v>13007</v>
      </c>
      <c r="B8756" s="142" t="s">
        <v>15262</v>
      </c>
      <c r="C8756" s="142" t="s">
        <v>15847</v>
      </c>
      <c r="D8756" s="142" t="s">
        <v>15848</v>
      </c>
      <c r="E8756" s="142" t="s">
        <v>15849</v>
      </c>
      <c r="F8756" s="142" t="s">
        <v>190</v>
      </c>
      <c r="G8756" s="142" t="s">
        <v>5876</v>
      </c>
      <c r="H8756" s="142" t="s">
        <v>24606</v>
      </c>
      <c r="I8756" s="142">
        <v>597</v>
      </c>
      <c r="J8756" s="142">
        <v>296</v>
      </c>
      <c r="K8756" s="142">
        <v>0</v>
      </c>
      <c r="L8756" s="142">
        <v>71</v>
      </c>
      <c r="M8756" s="142">
        <v>230</v>
      </c>
    </row>
    <row r="8757" spans="1:13" x14ac:dyDescent="0.45">
      <c r="A8757" s="142" t="s">
        <v>13340</v>
      </c>
      <c r="B8757" s="142" t="s">
        <v>14499</v>
      </c>
      <c r="C8757" s="142" t="s">
        <v>15860</v>
      </c>
      <c r="D8757" s="142" t="s">
        <v>15861</v>
      </c>
      <c r="E8757" s="142" t="s">
        <v>15849</v>
      </c>
      <c r="F8757" s="142" t="s">
        <v>190</v>
      </c>
      <c r="G8757" s="142" t="s">
        <v>5876</v>
      </c>
      <c r="H8757" s="142" t="s">
        <v>24607</v>
      </c>
      <c r="I8757" s="142">
        <v>2</v>
      </c>
      <c r="J8757" s="142">
        <v>2</v>
      </c>
      <c r="K8757" s="142">
        <v>0</v>
      </c>
      <c r="L8757" s="142">
        <v>0</v>
      </c>
      <c r="M8757" s="142">
        <v>0</v>
      </c>
    </row>
    <row r="8758" spans="1:13" x14ac:dyDescent="0.45">
      <c r="A8758" s="142" t="s">
        <v>13008</v>
      </c>
      <c r="B8758" s="142" t="s">
        <v>15411</v>
      </c>
      <c r="C8758" s="142" t="s">
        <v>15847</v>
      </c>
      <c r="D8758" s="142" t="s">
        <v>15848</v>
      </c>
      <c r="E8758" s="142" t="s">
        <v>15849</v>
      </c>
      <c r="F8758" s="142" t="s">
        <v>190</v>
      </c>
      <c r="G8758" s="142" t="s">
        <v>5876</v>
      </c>
      <c r="H8758" s="142" t="s">
        <v>24608</v>
      </c>
      <c r="I8758" s="142">
        <v>8</v>
      </c>
      <c r="J8758" s="142">
        <v>0</v>
      </c>
      <c r="K8758" s="142">
        <v>0</v>
      </c>
      <c r="L8758" s="142">
        <v>0</v>
      </c>
      <c r="M8758" s="142">
        <v>8</v>
      </c>
    </row>
    <row r="8759" spans="1:13" x14ac:dyDescent="0.45">
      <c r="A8759" s="142" t="s">
        <v>13077</v>
      </c>
      <c r="B8759" s="142" t="s">
        <v>15407</v>
      </c>
      <c r="C8759" s="142" t="s">
        <v>15847</v>
      </c>
      <c r="D8759" s="142" t="s">
        <v>15848</v>
      </c>
      <c r="E8759" s="142" t="s">
        <v>15849</v>
      </c>
      <c r="F8759" s="142" t="s">
        <v>190</v>
      </c>
      <c r="G8759" s="142" t="s">
        <v>5876</v>
      </c>
      <c r="H8759" s="142" t="s">
        <v>24609</v>
      </c>
      <c r="I8759" s="142">
        <v>206</v>
      </c>
      <c r="J8759" s="142">
        <v>206</v>
      </c>
      <c r="K8759" s="142">
        <v>0</v>
      </c>
      <c r="L8759" s="142">
        <v>0</v>
      </c>
      <c r="M8759" s="142">
        <v>0</v>
      </c>
    </row>
    <row r="8760" spans="1:13" x14ac:dyDescent="0.45">
      <c r="A8760" s="142" t="s">
        <v>13679</v>
      </c>
      <c r="B8760" s="142" t="s">
        <v>14504</v>
      </c>
      <c r="C8760" s="142" t="s">
        <v>15860</v>
      </c>
      <c r="D8760" s="142" t="s">
        <v>15861</v>
      </c>
      <c r="E8760" s="142" t="s">
        <v>15849</v>
      </c>
      <c r="F8760" s="142" t="s">
        <v>190</v>
      </c>
      <c r="G8760" s="142" t="s">
        <v>5876</v>
      </c>
      <c r="H8760" s="142" t="s">
        <v>24610</v>
      </c>
      <c r="I8760" s="142">
        <v>11</v>
      </c>
      <c r="J8760" s="142">
        <v>0</v>
      </c>
      <c r="K8760" s="142">
        <v>0</v>
      </c>
      <c r="L8760" s="142">
        <v>11</v>
      </c>
      <c r="M8760" s="142">
        <v>0</v>
      </c>
    </row>
    <row r="8761" spans="1:13" x14ac:dyDescent="0.45">
      <c r="A8761" s="142" t="s">
        <v>13218</v>
      </c>
      <c r="B8761" s="142" t="s">
        <v>15316</v>
      </c>
      <c r="C8761" s="142" t="s">
        <v>15860</v>
      </c>
      <c r="D8761" s="142" t="s">
        <v>15861</v>
      </c>
      <c r="E8761" s="142" t="s">
        <v>15849</v>
      </c>
      <c r="F8761" s="142" t="s">
        <v>190</v>
      </c>
      <c r="G8761" s="142" t="s">
        <v>5876</v>
      </c>
      <c r="H8761" s="142" t="s">
        <v>24611</v>
      </c>
      <c r="I8761" s="142">
        <v>1</v>
      </c>
      <c r="J8761" s="142">
        <v>1</v>
      </c>
      <c r="K8761" s="142">
        <v>0</v>
      </c>
      <c r="L8761" s="142">
        <v>0</v>
      </c>
      <c r="M8761" s="142">
        <v>0</v>
      </c>
    </row>
    <row r="8762" spans="1:13" x14ac:dyDescent="0.45">
      <c r="A8762" s="142" t="s">
        <v>13389</v>
      </c>
      <c r="B8762" s="142" t="s">
        <v>15361</v>
      </c>
      <c r="C8762" s="142" t="s">
        <v>15860</v>
      </c>
      <c r="D8762" s="142" t="s">
        <v>15861</v>
      </c>
      <c r="E8762" s="142" t="s">
        <v>15849</v>
      </c>
      <c r="F8762" s="142" t="s">
        <v>190</v>
      </c>
      <c r="G8762" s="142" t="s">
        <v>5876</v>
      </c>
      <c r="H8762" s="142" t="s">
        <v>24612</v>
      </c>
      <c r="I8762" s="142">
        <v>14</v>
      </c>
      <c r="J8762" s="142">
        <v>14</v>
      </c>
      <c r="K8762" s="142">
        <v>0</v>
      </c>
      <c r="L8762" s="142">
        <v>0</v>
      </c>
      <c r="M8762" s="142">
        <v>0</v>
      </c>
    </row>
    <row r="8763" spans="1:13" x14ac:dyDescent="0.45">
      <c r="A8763" s="142" t="s">
        <v>13569</v>
      </c>
      <c r="B8763" s="142" t="s">
        <v>15441</v>
      </c>
      <c r="C8763" s="142" t="s">
        <v>15847</v>
      </c>
      <c r="D8763" s="142" t="s">
        <v>15848</v>
      </c>
      <c r="E8763" s="142" t="s">
        <v>15849</v>
      </c>
      <c r="F8763" s="142" t="s">
        <v>190</v>
      </c>
      <c r="G8763" s="142" t="s">
        <v>5876</v>
      </c>
      <c r="H8763" s="142" t="s">
        <v>24613</v>
      </c>
      <c r="I8763" s="142">
        <v>12</v>
      </c>
      <c r="J8763" s="142">
        <v>0</v>
      </c>
      <c r="K8763" s="142">
        <v>0</v>
      </c>
      <c r="L8763" s="142">
        <v>0</v>
      </c>
      <c r="M8763" s="142">
        <v>12</v>
      </c>
    </row>
    <row r="8764" spans="1:13" x14ac:dyDescent="0.45">
      <c r="A8764" s="142" t="s">
        <v>13038</v>
      </c>
      <c r="B8764" s="142" t="s">
        <v>14646</v>
      </c>
      <c r="C8764" s="142" t="s">
        <v>15847</v>
      </c>
      <c r="D8764" s="142" t="s">
        <v>15848</v>
      </c>
      <c r="E8764" s="142" t="s">
        <v>15849</v>
      </c>
      <c r="F8764" s="142" t="s">
        <v>190</v>
      </c>
      <c r="G8764" s="142" t="s">
        <v>5876</v>
      </c>
      <c r="H8764" s="142" t="s">
        <v>24614</v>
      </c>
      <c r="I8764" s="142">
        <v>41</v>
      </c>
      <c r="J8764" s="142">
        <v>22</v>
      </c>
      <c r="K8764" s="142">
        <v>0</v>
      </c>
      <c r="L8764" s="142">
        <v>0</v>
      </c>
      <c r="M8764" s="142">
        <v>19</v>
      </c>
    </row>
    <row r="8765" spans="1:13" x14ac:dyDescent="0.45">
      <c r="A8765" s="142" t="s">
        <v>13039</v>
      </c>
      <c r="B8765" s="142" t="s">
        <v>14647</v>
      </c>
      <c r="C8765" s="142" t="s">
        <v>15847</v>
      </c>
      <c r="D8765" s="142" t="s">
        <v>15848</v>
      </c>
      <c r="E8765" s="142" t="s">
        <v>15849</v>
      </c>
      <c r="F8765" s="142" t="s">
        <v>190</v>
      </c>
      <c r="G8765" s="142" t="s">
        <v>5876</v>
      </c>
      <c r="H8765" s="142" t="s">
        <v>24615</v>
      </c>
      <c r="I8765" s="142">
        <v>73</v>
      </c>
      <c r="J8765" s="142">
        <v>73</v>
      </c>
      <c r="K8765" s="142">
        <v>0</v>
      </c>
      <c r="L8765" s="142">
        <v>0</v>
      </c>
      <c r="M8765" s="142">
        <v>0</v>
      </c>
    </row>
    <row r="8766" spans="1:13" x14ac:dyDescent="0.45">
      <c r="A8766" s="142" t="s">
        <v>13078</v>
      </c>
      <c r="B8766" s="142" t="s">
        <v>15540</v>
      </c>
      <c r="C8766" s="142" t="s">
        <v>15847</v>
      </c>
      <c r="D8766" s="142" t="s">
        <v>15848</v>
      </c>
      <c r="E8766" s="142" t="s">
        <v>15849</v>
      </c>
      <c r="F8766" s="142" t="s">
        <v>190</v>
      </c>
      <c r="G8766" s="142" t="s">
        <v>5876</v>
      </c>
      <c r="H8766" s="142" t="s">
        <v>24616</v>
      </c>
      <c r="I8766" s="142">
        <v>53</v>
      </c>
      <c r="J8766" s="142">
        <v>0</v>
      </c>
      <c r="K8766" s="142">
        <v>0</v>
      </c>
      <c r="L8766" s="142">
        <v>53</v>
      </c>
      <c r="M8766" s="142">
        <v>0</v>
      </c>
    </row>
    <row r="8767" spans="1:13" x14ac:dyDescent="0.45">
      <c r="A8767" s="142" t="s">
        <v>13009</v>
      </c>
      <c r="B8767" s="142" t="s">
        <v>15256</v>
      </c>
      <c r="C8767" s="142" t="s">
        <v>15847</v>
      </c>
      <c r="D8767" s="142" t="s">
        <v>15848</v>
      </c>
      <c r="E8767" s="142" t="s">
        <v>15849</v>
      </c>
      <c r="F8767" s="142" t="s">
        <v>190</v>
      </c>
      <c r="G8767" s="142" t="s">
        <v>5876</v>
      </c>
      <c r="H8767" s="142" t="s">
        <v>24617</v>
      </c>
      <c r="I8767" s="142">
        <v>44</v>
      </c>
      <c r="J8767" s="142">
        <v>1</v>
      </c>
      <c r="K8767" s="142">
        <v>0</v>
      </c>
      <c r="L8767" s="142">
        <v>0</v>
      </c>
      <c r="M8767" s="142">
        <v>43</v>
      </c>
    </row>
    <row r="8768" spans="1:13" x14ac:dyDescent="0.45">
      <c r="A8768" s="142" t="s">
        <v>14316</v>
      </c>
      <c r="B8768" s="142" t="s">
        <v>15290</v>
      </c>
      <c r="C8768" s="142" t="s">
        <v>15860</v>
      </c>
      <c r="D8768" s="142" t="s">
        <v>15861</v>
      </c>
      <c r="E8768" s="142" t="s">
        <v>15849</v>
      </c>
      <c r="F8768" s="142" t="s">
        <v>190</v>
      </c>
      <c r="G8768" s="142" t="s">
        <v>5876</v>
      </c>
      <c r="H8768" s="142" t="s">
        <v>24618</v>
      </c>
      <c r="I8768" s="142">
        <v>94</v>
      </c>
      <c r="J8768" s="142">
        <v>0</v>
      </c>
      <c r="K8768" s="142">
        <v>0</v>
      </c>
      <c r="L8768" s="142">
        <v>94</v>
      </c>
      <c r="M8768" s="142">
        <v>0</v>
      </c>
    </row>
    <row r="8769" spans="1:13" x14ac:dyDescent="0.45">
      <c r="A8769" s="142" t="s">
        <v>13092</v>
      </c>
      <c r="B8769" s="142" t="s">
        <v>14656</v>
      </c>
      <c r="C8769" s="142" t="s">
        <v>15860</v>
      </c>
      <c r="D8769" s="142" t="s">
        <v>15861</v>
      </c>
      <c r="E8769" s="142" t="s">
        <v>15849</v>
      </c>
      <c r="F8769" s="142" t="s">
        <v>190</v>
      </c>
      <c r="G8769" s="142" t="s">
        <v>5876</v>
      </c>
      <c r="H8769" s="142" t="s">
        <v>24619</v>
      </c>
      <c r="I8769" s="142">
        <v>4</v>
      </c>
      <c r="J8769" s="142">
        <v>4</v>
      </c>
      <c r="K8769" s="142">
        <v>0</v>
      </c>
      <c r="L8769" s="142">
        <v>0</v>
      </c>
      <c r="M8769" s="142">
        <v>0</v>
      </c>
    </row>
    <row r="8770" spans="1:13" x14ac:dyDescent="0.45">
      <c r="A8770" s="142" t="s">
        <v>13041</v>
      </c>
      <c r="B8770" s="142" t="s">
        <v>14441</v>
      </c>
      <c r="C8770" s="142" t="s">
        <v>15847</v>
      </c>
      <c r="D8770" s="142" t="s">
        <v>15848</v>
      </c>
      <c r="E8770" s="142" t="s">
        <v>15849</v>
      </c>
      <c r="F8770" s="142" t="s">
        <v>190</v>
      </c>
      <c r="G8770" s="142" t="s">
        <v>5876</v>
      </c>
      <c r="H8770" s="142" t="s">
        <v>24620</v>
      </c>
      <c r="I8770" s="142">
        <v>56</v>
      </c>
      <c r="J8770" s="142">
        <v>0</v>
      </c>
      <c r="K8770" s="142">
        <v>0</v>
      </c>
      <c r="L8770" s="142">
        <v>0</v>
      </c>
      <c r="M8770" s="142">
        <v>56</v>
      </c>
    </row>
    <row r="8771" spans="1:13" x14ac:dyDescent="0.45">
      <c r="A8771" s="142" t="s">
        <v>14317</v>
      </c>
      <c r="B8771" s="142" t="s">
        <v>14926</v>
      </c>
      <c r="C8771" s="142" t="s">
        <v>15860</v>
      </c>
      <c r="D8771" s="142" t="s">
        <v>15861</v>
      </c>
      <c r="E8771" s="142" t="s">
        <v>15849</v>
      </c>
      <c r="F8771" s="142" t="s">
        <v>190</v>
      </c>
      <c r="G8771" s="142" t="s">
        <v>5876</v>
      </c>
      <c r="H8771" s="142" t="s">
        <v>24621</v>
      </c>
      <c r="I8771" s="142">
        <v>16</v>
      </c>
      <c r="J8771" s="142">
        <v>16</v>
      </c>
      <c r="K8771" s="142">
        <v>0</v>
      </c>
      <c r="L8771" s="142">
        <v>0</v>
      </c>
      <c r="M8771" s="142">
        <v>0</v>
      </c>
    </row>
    <row r="8772" spans="1:13" x14ac:dyDescent="0.45">
      <c r="A8772" s="142" t="s">
        <v>13042</v>
      </c>
      <c r="B8772" s="142" t="s">
        <v>15489</v>
      </c>
      <c r="C8772" s="142" t="s">
        <v>15847</v>
      </c>
      <c r="D8772" s="142" t="s">
        <v>15848</v>
      </c>
      <c r="E8772" s="142" t="s">
        <v>15849</v>
      </c>
      <c r="F8772" s="142" t="s">
        <v>190</v>
      </c>
      <c r="G8772" s="142" t="s">
        <v>5876</v>
      </c>
      <c r="H8772" s="142" t="s">
        <v>24622</v>
      </c>
      <c r="I8772" s="142">
        <v>102</v>
      </c>
      <c r="J8772" s="142">
        <v>98</v>
      </c>
      <c r="K8772" s="142">
        <v>0</v>
      </c>
      <c r="L8772" s="142">
        <v>0</v>
      </c>
      <c r="M8772" s="142">
        <v>4</v>
      </c>
    </row>
    <row r="8773" spans="1:13" x14ac:dyDescent="0.45">
      <c r="A8773" s="142" t="s">
        <v>13079</v>
      </c>
      <c r="B8773" s="142" t="s">
        <v>15431</v>
      </c>
      <c r="C8773" s="142" t="s">
        <v>15847</v>
      </c>
      <c r="D8773" s="142" t="s">
        <v>15848</v>
      </c>
      <c r="E8773" s="142" t="s">
        <v>15849</v>
      </c>
      <c r="F8773" s="142" t="s">
        <v>190</v>
      </c>
      <c r="G8773" s="142" t="s">
        <v>5876</v>
      </c>
      <c r="H8773" s="142" t="s">
        <v>24623</v>
      </c>
      <c r="I8773" s="142">
        <v>5835</v>
      </c>
      <c r="J8773" s="142">
        <v>5128</v>
      </c>
      <c r="K8773" s="142">
        <v>0</v>
      </c>
      <c r="L8773" s="142">
        <v>502</v>
      </c>
      <c r="M8773" s="142">
        <v>205</v>
      </c>
    </row>
    <row r="8774" spans="1:13" x14ac:dyDescent="0.45">
      <c r="A8774" s="142" t="s">
        <v>13080</v>
      </c>
      <c r="B8774" s="142" t="s">
        <v>15553</v>
      </c>
      <c r="C8774" s="142" t="s">
        <v>15847</v>
      </c>
      <c r="D8774" s="142" t="s">
        <v>15848</v>
      </c>
      <c r="E8774" s="142" t="s">
        <v>15849</v>
      </c>
      <c r="F8774" s="142" t="s">
        <v>190</v>
      </c>
      <c r="G8774" s="142" t="s">
        <v>5876</v>
      </c>
      <c r="H8774" s="142" t="s">
        <v>24624</v>
      </c>
      <c r="I8774" s="142">
        <v>127</v>
      </c>
      <c r="J8774" s="142">
        <v>37</v>
      </c>
      <c r="K8774" s="142">
        <v>0</v>
      </c>
      <c r="L8774" s="142">
        <v>75</v>
      </c>
      <c r="M8774" s="142">
        <v>15</v>
      </c>
    </row>
    <row r="8775" spans="1:13" x14ac:dyDescent="0.45">
      <c r="A8775" s="142" t="s">
        <v>13016</v>
      </c>
      <c r="B8775" s="142" t="s">
        <v>14535</v>
      </c>
      <c r="C8775" s="142" t="s">
        <v>15860</v>
      </c>
      <c r="D8775" s="142" t="s">
        <v>15861</v>
      </c>
      <c r="E8775" s="142" t="s">
        <v>15849</v>
      </c>
      <c r="F8775" s="142" t="s">
        <v>190</v>
      </c>
      <c r="G8775" s="142" t="s">
        <v>5876</v>
      </c>
      <c r="H8775" s="142" t="s">
        <v>24625</v>
      </c>
      <c r="I8775" s="142">
        <v>12</v>
      </c>
      <c r="J8775" s="142">
        <v>0</v>
      </c>
      <c r="K8775" s="142">
        <v>0</v>
      </c>
      <c r="L8775" s="142">
        <v>12</v>
      </c>
      <c r="M8775" s="142">
        <v>0</v>
      </c>
    </row>
    <row r="8776" spans="1:13" x14ac:dyDescent="0.45">
      <c r="A8776" s="142" t="s">
        <v>13108</v>
      </c>
      <c r="B8776" s="142" t="s">
        <v>15485</v>
      </c>
      <c r="C8776" s="142" t="s">
        <v>15860</v>
      </c>
      <c r="D8776" s="142" t="s">
        <v>15861</v>
      </c>
      <c r="E8776" s="142" t="s">
        <v>15849</v>
      </c>
      <c r="F8776" s="142" t="s">
        <v>190</v>
      </c>
      <c r="G8776" s="142" t="s">
        <v>5876</v>
      </c>
      <c r="H8776" s="142" t="s">
        <v>24626</v>
      </c>
      <c r="I8776" s="142">
        <v>8</v>
      </c>
      <c r="J8776" s="142">
        <v>0</v>
      </c>
      <c r="K8776" s="142">
        <v>0</v>
      </c>
      <c r="L8776" s="142">
        <v>8</v>
      </c>
      <c r="M8776" s="142">
        <v>0</v>
      </c>
    </row>
    <row r="8777" spans="1:13" x14ac:dyDescent="0.45">
      <c r="A8777" s="142" t="s">
        <v>13072</v>
      </c>
      <c r="B8777" s="142" t="s">
        <v>15530</v>
      </c>
      <c r="C8777" s="142" t="s">
        <v>15847</v>
      </c>
      <c r="D8777" s="142" t="s">
        <v>15848</v>
      </c>
      <c r="E8777" s="142" t="s">
        <v>15849</v>
      </c>
      <c r="F8777" s="142" t="s">
        <v>191</v>
      </c>
      <c r="G8777" s="142" t="s">
        <v>4456</v>
      </c>
      <c r="H8777" s="142" t="s">
        <v>24627</v>
      </c>
      <c r="I8777" s="142">
        <v>30</v>
      </c>
      <c r="J8777" s="142">
        <v>21</v>
      </c>
      <c r="K8777" s="142">
        <v>0</v>
      </c>
      <c r="L8777" s="142">
        <v>0</v>
      </c>
      <c r="M8777" s="142">
        <v>9</v>
      </c>
    </row>
    <row r="8778" spans="1:13" x14ac:dyDescent="0.45">
      <c r="A8778" s="142" t="s">
        <v>13023</v>
      </c>
      <c r="B8778" s="142" t="s">
        <v>15571</v>
      </c>
      <c r="C8778" s="142" t="s">
        <v>15847</v>
      </c>
      <c r="D8778" s="142" t="s">
        <v>15848</v>
      </c>
      <c r="E8778" s="142" t="s">
        <v>15849</v>
      </c>
      <c r="F8778" s="142" t="s">
        <v>191</v>
      </c>
      <c r="G8778" s="142" t="s">
        <v>4456</v>
      </c>
      <c r="H8778" s="142" t="s">
        <v>24628</v>
      </c>
      <c r="I8778" s="142">
        <v>71</v>
      </c>
      <c r="J8778" s="142">
        <v>0</v>
      </c>
      <c r="K8778" s="142">
        <v>0</v>
      </c>
      <c r="L8778" s="142">
        <v>71</v>
      </c>
      <c r="M8778" s="142">
        <v>0</v>
      </c>
    </row>
    <row r="8779" spans="1:13" x14ac:dyDescent="0.45">
      <c r="A8779" s="142" t="s">
        <v>13348</v>
      </c>
      <c r="B8779" s="142" t="s">
        <v>15458</v>
      </c>
      <c r="C8779" s="142" t="s">
        <v>15847</v>
      </c>
      <c r="D8779" s="142" t="s">
        <v>15848</v>
      </c>
      <c r="E8779" s="142" t="s">
        <v>15849</v>
      </c>
      <c r="F8779" s="142" t="s">
        <v>191</v>
      </c>
      <c r="G8779" s="142" t="s">
        <v>4456</v>
      </c>
      <c r="H8779" s="142" t="s">
        <v>24629</v>
      </c>
      <c r="I8779" s="142">
        <v>58</v>
      </c>
      <c r="J8779" s="142">
        <v>38</v>
      </c>
      <c r="K8779" s="142">
        <v>0</v>
      </c>
      <c r="L8779" s="142">
        <v>0</v>
      </c>
      <c r="M8779" s="142">
        <v>20</v>
      </c>
    </row>
    <row r="8780" spans="1:13" x14ac:dyDescent="0.45">
      <c r="A8780" s="142" t="s">
        <v>13083</v>
      </c>
      <c r="B8780" s="142" t="s">
        <v>15440</v>
      </c>
      <c r="C8780" s="142" t="s">
        <v>15847</v>
      </c>
      <c r="D8780" s="142" t="s">
        <v>15848</v>
      </c>
      <c r="E8780" s="142" t="s">
        <v>15849</v>
      </c>
      <c r="F8780" s="142" t="s">
        <v>191</v>
      </c>
      <c r="G8780" s="142" t="s">
        <v>4456</v>
      </c>
      <c r="H8780" s="142" t="s">
        <v>24630</v>
      </c>
      <c r="I8780" s="142">
        <v>394</v>
      </c>
      <c r="J8780" s="142">
        <v>319</v>
      </c>
      <c r="K8780" s="142">
        <v>0</v>
      </c>
      <c r="L8780" s="142">
        <v>0</v>
      </c>
      <c r="M8780" s="142">
        <v>75</v>
      </c>
    </row>
    <row r="8781" spans="1:13" x14ac:dyDescent="0.45">
      <c r="A8781" s="142" t="s">
        <v>13000</v>
      </c>
      <c r="B8781" s="142" t="s">
        <v>14610</v>
      </c>
      <c r="C8781" s="142" t="s">
        <v>15847</v>
      </c>
      <c r="D8781" s="142" t="s">
        <v>15848</v>
      </c>
      <c r="E8781" s="142" t="s">
        <v>15849</v>
      </c>
      <c r="F8781" s="142" t="s">
        <v>191</v>
      </c>
      <c r="G8781" s="142" t="s">
        <v>4456</v>
      </c>
      <c r="H8781" s="142" t="s">
        <v>24631</v>
      </c>
      <c r="I8781" s="142">
        <v>336</v>
      </c>
      <c r="J8781" s="142">
        <v>249</v>
      </c>
      <c r="K8781" s="142">
        <v>0</v>
      </c>
      <c r="L8781" s="142">
        <v>0</v>
      </c>
      <c r="M8781" s="142">
        <v>87</v>
      </c>
    </row>
    <row r="8782" spans="1:13" x14ac:dyDescent="0.45">
      <c r="A8782" s="142" t="s">
        <v>13119</v>
      </c>
      <c r="B8782" s="142" t="s">
        <v>14451</v>
      </c>
      <c r="C8782" s="142" t="s">
        <v>15860</v>
      </c>
      <c r="D8782" s="142" t="s">
        <v>15861</v>
      </c>
      <c r="E8782" s="142" t="s">
        <v>15849</v>
      </c>
      <c r="F8782" s="142" t="s">
        <v>191</v>
      </c>
      <c r="G8782" s="142" t="s">
        <v>4456</v>
      </c>
      <c r="H8782" s="142" t="s">
        <v>24632</v>
      </c>
      <c r="I8782" s="142">
        <v>1</v>
      </c>
      <c r="J8782" s="142">
        <v>0</v>
      </c>
      <c r="K8782" s="142">
        <v>0</v>
      </c>
      <c r="L8782" s="142">
        <v>1</v>
      </c>
      <c r="M8782" s="142">
        <v>0</v>
      </c>
    </row>
    <row r="8783" spans="1:13" x14ac:dyDescent="0.45">
      <c r="A8783" s="142" t="s">
        <v>13084</v>
      </c>
      <c r="B8783" s="142" t="s">
        <v>15471</v>
      </c>
      <c r="C8783" s="142" t="s">
        <v>15847</v>
      </c>
      <c r="D8783" s="142" t="s">
        <v>15848</v>
      </c>
      <c r="E8783" s="142" t="s">
        <v>15849</v>
      </c>
      <c r="F8783" s="142" t="s">
        <v>191</v>
      </c>
      <c r="G8783" s="142" t="s">
        <v>4456</v>
      </c>
      <c r="H8783" s="142" t="s">
        <v>24633</v>
      </c>
      <c r="I8783" s="142">
        <v>399</v>
      </c>
      <c r="J8783" s="142">
        <v>270</v>
      </c>
      <c r="K8783" s="142">
        <v>0</v>
      </c>
      <c r="L8783" s="142">
        <v>0</v>
      </c>
      <c r="M8783" s="142">
        <v>129</v>
      </c>
    </row>
    <row r="8784" spans="1:13" x14ac:dyDescent="0.45">
      <c r="A8784" s="142" t="s">
        <v>13074</v>
      </c>
      <c r="B8784" s="142" t="s">
        <v>15405</v>
      </c>
      <c r="C8784" s="142" t="s">
        <v>15847</v>
      </c>
      <c r="D8784" s="142" t="s">
        <v>15848</v>
      </c>
      <c r="E8784" s="142" t="s">
        <v>15849</v>
      </c>
      <c r="F8784" s="142" t="s">
        <v>191</v>
      </c>
      <c r="G8784" s="142" t="s">
        <v>4456</v>
      </c>
      <c r="H8784" s="142" t="s">
        <v>24634</v>
      </c>
      <c r="I8784" s="142">
        <v>106</v>
      </c>
      <c r="J8784" s="142">
        <v>68</v>
      </c>
      <c r="K8784" s="142">
        <v>0</v>
      </c>
      <c r="L8784" s="142">
        <v>0</v>
      </c>
      <c r="M8784" s="142">
        <v>38</v>
      </c>
    </row>
    <row r="8785" spans="1:13" x14ac:dyDescent="0.45">
      <c r="A8785" s="142" t="s">
        <v>13086</v>
      </c>
      <c r="B8785" s="142" t="s">
        <v>15380</v>
      </c>
      <c r="C8785" s="142" t="s">
        <v>15847</v>
      </c>
      <c r="D8785" s="142" t="s">
        <v>15848</v>
      </c>
      <c r="E8785" s="142" t="s">
        <v>15849</v>
      </c>
      <c r="F8785" s="142" t="s">
        <v>191</v>
      </c>
      <c r="G8785" s="142" t="s">
        <v>4456</v>
      </c>
      <c r="H8785" s="142" t="s">
        <v>24635</v>
      </c>
      <c r="I8785" s="142">
        <v>207</v>
      </c>
      <c r="J8785" s="142">
        <v>158</v>
      </c>
      <c r="K8785" s="142">
        <v>0</v>
      </c>
      <c r="L8785" s="142">
        <v>6</v>
      </c>
      <c r="M8785" s="142">
        <v>43</v>
      </c>
    </row>
    <row r="8786" spans="1:13" x14ac:dyDescent="0.45">
      <c r="A8786" s="142" t="s">
        <v>13087</v>
      </c>
      <c r="B8786" s="142" t="s">
        <v>14452</v>
      </c>
      <c r="C8786" s="142" t="s">
        <v>15847</v>
      </c>
      <c r="D8786" s="142" t="s">
        <v>15848</v>
      </c>
      <c r="E8786" s="142" t="s">
        <v>15849</v>
      </c>
      <c r="F8786" s="142" t="s">
        <v>191</v>
      </c>
      <c r="G8786" s="142" t="s">
        <v>4456</v>
      </c>
      <c r="H8786" s="142" t="s">
        <v>24636</v>
      </c>
      <c r="I8786" s="142">
        <v>31</v>
      </c>
      <c r="J8786" s="142">
        <v>17</v>
      </c>
      <c r="K8786" s="142">
        <v>0</v>
      </c>
      <c r="L8786" s="142">
        <v>0</v>
      </c>
      <c r="M8786" s="142">
        <v>14</v>
      </c>
    </row>
    <row r="8787" spans="1:13" x14ac:dyDescent="0.45">
      <c r="A8787" s="142" t="s">
        <v>13027</v>
      </c>
      <c r="B8787" s="142" t="s">
        <v>14562</v>
      </c>
      <c r="C8787" s="142" t="s">
        <v>15847</v>
      </c>
      <c r="D8787" s="142" t="s">
        <v>15848</v>
      </c>
      <c r="E8787" s="142" t="s">
        <v>15849</v>
      </c>
      <c r="F8787" s="142" t="s">
        <v>191</v>
      </c>
      <c r="G8787" s="142" t="s">
        <v>4456</v>
      </c>
      <c r="H8787" s="142" t="s">
        <v>24637</v>
      </c>
      <c r="I8787" s="142">
        <v>3</v>
      </c>
      <c r="J8787" s="142">
        <v>0</v>
      </c>
      <c r="K8787" s="142">
        <v>0</v>
      </c>
      <c r="L8787" s="142">
        <v>3</v>
      </c>
      <c r="M8787" s="142">
        <v>0</v>
      </c>
    </row>
    <row r="8788" spans="1:13" x14ac:dyDescent="0.45">
      <c r="A8788" s="142" t="s">
        <v>13001</v>
      </c>
      <c r="B8788" s="142" t="s">
        <v>15506</v>
      </c>
      <c r="C8788" s="142" t="s">
        <v>15847</v>
      </c>
      <c r="D8788" s="142" t="s">
        <v>15848</v>
      </c>
      <c r="E8788" s="142" t="s">
        <v>15849</v>
      </c>
      <c r="F8788" s="142" t="s">
        <v>191</v>
      </c>
      <c r="G8788" s="142" t="s">
        <v>4456</v>
      </c>
      <c r="H8788" s="142" t="s">
        <v>24638</v>
      </c>
      <c r="I8788" s="142">
        <v>2</v>
      </c>
      <c r="J8788" s="142">
        <v>0</v>
      </c>
      <c r="K8788" s="142">
        <v>0</v>
      </c>
      <c r="L8788" s="142">
        <v>2</v>
      </c>
      <c r="M8788" s="142">
        <v>0</v>
      </c>
    </row>
    <row r="8789" spans="1:13" x14ac:dyDescent="0.45">
      <c r="A8789" s="142" t="s">
        <v>13149</v>
      </c>
      <c r="B8789" s="142" t="s">
        <v>14458</v>
      </c>
      <c r="C8789" s="142" t="s">
        <v>15860</v>
      </c>
      <c r="D8789" s="142" t="s">
        <v>15861</v>
      </c>
      <c r="E8789" s="142" t="s">
        <v>15849</v>
      </c>
      <c r="F8789" s="142" t="s">
        <v>191</v>
      </c>
      <c r="G8789" s="142" t="s">
        <v>4456</v>
      </c>
      <c r="H8789" s="142" t="s">
        <v>24639</v>
      </c>
      <c r="I8789" s="142">
        <v>3</v>
      </c>
      <c r="J8789" s="142">
        <v>0</v>
      </c>
      <c r="K8789" s="142">
        <v>0</v>
      </c>
      <c r="L8789" s="142">
        <v>3</v>
      </c>
      <c r="M8789" s="142">
        <v>0</v>
      </c>
    </row>
    <row r="8790" spans="1:13" x14ac:dyDescent="0.45">
      <c r="A8790" s="142" t="s">
        <v>13050</v>
      </c>
      <c r="B8790" s="142" t="s">
        <v>15237</v>
      </c>
      <c r="C8790" s="142" t="s">
        <v>15847</v>
      </c>
      <c r="D8790" s="142" t="s">
        <v>15848</v>
      </c>
      <c r="E8790" s="142" t="s">
        <v>15849</v>
      </c>
      <c r="F8790" s="142" t="s">
        <v>191</v>
      </c>
      <c r="G8790" s="142" t="s">
        <v>4456</v>
      </c>
      <c r="H8790" s="142" t="s">
        <v>24640</v>
      </c>
      <c r="I8790" s="142">
        <v>413</v>
      </c>
      <c r="J8790" s="142">
        <v>332</v>
      </c>
      <c r="K8790" s="142">
        <v>0</v>
      </c>
      <c r="L8790" s="142">
        <v>0</v>
      </c>
      <c r="M8790" s="142">
        <v>81</v>
      </c>
    </row>
    <row r="8791" spans="1:13" x14ac:dyDescent="0.45">
      <c r="A8791" s="142" t="s">
        <v>13002</v>
      </c>
      <c r="B8791" s="142" t="s">
        <v>15376</v>
      </c>
      <c r="C8791" s="142" t="s">
        <v>15847</v>
      </c>
      <c r="D8791" s="142" t="s">
        <v>15848</v>
      </c>
      <c r="E8791" s="142" t="s">
        <v>15849</v>
      </c>
      <c r="F8791" s="142" t="s">
        <v>191</v>
      </c>
      <c r="G8791" s="142" t="s">
        <v>4456</v>
      </c>
      <c r="H8791" s="142" t="s">
        <v>24641</v>
      </c>
      <c r="I8791" s="142">
        <v>154</v>
      </c>
      <c r="J8791" s="142">
        <v>105</v>
      </c>
      <c r="K8791" s="142">
        <v>0</v>
      </c>
      <c r="L8791" s="142">
        <v>0</v>
      </c>
      <c r="M8791" s="142">
        <v>49</v>
      </c>
    </row>
    <row r="8792" spans="1:13" x14ac:dyDescent="0.45">
      <c r="A8792" s="142" t="s">
        <v>13003</v>
      </c>
      <c r="B8792" s="142" t="s">
        <v>15245</v>
      </c>
      <c r="C8792" s="142" t="s">
        <v>15847</v>
      </c>
      <c r="D8792" s="142" t="s">
        <v>15848</v>
      </c>
      <c r="E8792" s="142" t="s">
        <v>15849</v>
      </c>
      <c r="F8792" s="142" t="s">
        <v>191</v>
      </c>
      <c r="G8792" s="142" t="s">
        <v>4456</v>
      </c>
      <c r="H8792" s="142" t="s">
        <v>24642</v>
      </c>
      <c r="I8792" s="142">
        <v>36</v>
      </c>
      <c r="J8792" s="142">
        <v>0</v>
      </c>
      <c r="K8792" s="142">
        <v>0</v>
      </c>
      <c r="L8792" s="142">
        <v>36</v>
      </c>
      <c r="M8792" s="142">
        <v>0</v>
      </c>
    </row>
    <row r="8793" spans="1:13" x14ac:dyDescent="0.45">
      <c r="A8793" s="142" t="s">
        <v>13426</v>
      </c>
      <c r="B8793" s="142" t="s">
        <v>15285</v>
      </c>
      <c r="C8793" s="142" t="s">
        <v>15847</v>
      </c>
      <c r="D8793" s="142" t="s">
        <v>15848</v>
      </c>
      <c r="E8793" s="142" t="s">
        <v>15849</v>
      </c>
      <c r="F8793" s="142" t="s">
        <v>191</v>
      </c>
      <c r="G8793" s="142" t="s">
        <v>4456</v>
      </c>
      <c r="H8793" s="142" t="s">
        <v>24643</v>
      </c>
      <c r="I8793" s="142">
        <v>10</v>
      </c>
      <c r="J8793" s="142">
        <v>10</v>
      </c>
      <c r="K8793" s="142">
        <v>0</v>
      </c>
      <c r="L8793" s="142">
        <v>0</v>
      </c>
      <c r="M8793" s="142">
        <v>0</v>
      </c>
    </row>
    <row r="8794" spans="1:13" x14ac:dyDescent="0.45">
      <c r="A8794" s="142" t="s">
        <v>13066</v>
      </c>
      <c r="B8794" s="142" t="s">
        <v>14459</v>
      </c>
      <c r="C8794" s="142" t="s">
        <v>15847</v>
      </c>
      <c r="D8794" s="142" t="s">
        <v>15848</v>
      </c>
      <c r="E8794" s="142" t="s">
        <v>15849</v>
      </c>
      <c r="F8794" s="142" t="s">
        <v>191</v>
      </c>
      <c r="G8794" s="142" t="s">
        <v>4456</v>
      </c>
      <c r="H8794" s="142" t="s">
        <v>24644</v>
      </c>
      <c r="I8794" s="142">
        <v>8</v>
      </c>
      <c r="J8794" s="142">
        <v>0</v>
      </c>
      <c r="K8794" s="142">
        <v>0</v>
      </c>
      <c r="L8794" s="142">
        <v>8</v>
      </c>
      <c r="M8794" s="142">
        <v>0</v>
      </c>
    </row>
    <row r="8795" spans="1:13" x14ac:dyDescent="0.45">
      <c r="A8795" s="142" t="s">
        <v>13076</v>
      </c>
      <c r="B8795" s="142" t="s">
        <v>14636</v>
      </c>
      <c r="C8795" s="142" t="s">
        <v>15847</v>
      </c>
      <c r="D8795" s="142" t="s">
        <v>15848</v>
      </c>
      <c r="E8795" s="142" t="s">
        <v>15849</v>
      </c>
      <c r="F8795" s="142" t="s">
        <v>191</v>
      </c>
      <c r="G8795" s="142" t="s">
        <v>4456</v>
      </c>
      <c r="H8795" s="142" t="s">
        <v>24645</v>
      </c>
      <c r="I8795" s="142">
        <v>12</v>
      </c>
      <c r="J8795" s="142">
        <v>0</v>
      </c>
      <c r="K8795" s="142">
        <v>0</v>
      </c>
      <c r="L8795" s="142">
        <v>0</v>
      </c>
      <c r="M8795" s="142">
        <v>12</v>
      </c>
    </row>
    <row r="8796" spans="1:13" x14ac:dyDescent="0.45">
      <c r="A8796" s="142" t="s">
        <v>13005</v>
      </c>
      <c r="B8796" s="142" t="s">
        <v>15475</v>
      </c>
      <c r="C8796" s="142" t="s">
        <v>15847</v>
      </c>
      <c r="D8796" s="142" t="s">
        <v>15848</v>
      </c>
      <c r="E8796" s="142" t="s">
        <v>15849</v>
      </c>
      <c r="F8796" s="142" t="s">
        <v>191</v>
      </c>
      <c r="G8796" s="142" t="s">
        <v>4456</v>
      </c>
      <c r="H8796" s="142" t="s">
        <v>24646</v>
      </c>
      <c r="I8796" s="142">
        <v>89</v>
      </c>
      <c r="J8796" s="142">
        <v>7</v>
      </c>
      <c r="K8796" s="142">
        <v>0</v>
      </c>
      <c r="L8796" s="142">
        <v>79</v>
      </c>
      <c r="M8796" s="142">
        <v>3</v>
      </c>
    </row>
    <row r="8797" spans="1:13" x14ac:dyDescent="0.45">
      <c r="A8797" s="142" t="s">
        <v>13029</v>
      </c>
      <c r="B8797" s="142" t="s">
        <v>14665</v>
      </c>
      <c r="C8797" s="142" t="s">
        <v>15847</v>
      </c>
      <c r="D8797" s="142" t="s">
        <v>15848</v>
      </c>
      <c r="E8797" s="142" t="s">
        <v>15849</v>
      </c>
      <c r="F8797" s="142" t="s">
        <v>191</v>
      </c>
      <c r="G8797" s="142" t="s">
        <v>4456</v>
      </c>
      <c r="H8797" s="142" t="s">
        <v>24647</v>
      </c>
      <c r="I8797" s="142">
        <v>29</v>
      </c>
      <c r="J8797" s="142">
        <v>0</v>
      </c>
      <c r="K8797" s="142">
        <v>0</v>
      </c>
      <c r="L8797" s="142">
        <v>0</v>
      </c>
      <c r="M8797" s="142">
        <v>29</v>
      </c>
    </row>
    <row r="8798" spans="1:13" x14ac:dyDescent="0.45">
      <c r="A8798" s="142" t="s">
        <v>13006</v>
      </c>
      <c r="B8798" s="142" t="s">
        <v>15288</v>
      </c>
      <c r="C8798" s="142" t="s">
        <v>15847</v>
      </c>
      <c r="D8798" s="142" t="s">
        <v>15848</v>
      </c>
      <c r="E8798" s="142" t="s">
        <v>15849</v>
      </c>
      <c r="F8798" s="142" t="s">
        <v>191</v>
      </c>
      <c r="G8798" s="142" t="s">
        <v>4456</v>
      </c>
      <c r="H8798" s="142" t="s">
        <v>24648</v>
      </c>
      <c r="I8798" s="142">
        <v>66</v>
      </c>
      <c r="J8798" s="142">
        <v>54</v>
      </c>
      <c r="K8798" s="142">
        <v>0</v>
      </c>
      <c r="L8798" s="142">
        <v>10</v>
      </c>
      <c r="M8798" s="142">
        <v>2</v>
      </c>
    </row>
    <row r="8799" spans="1:13" x14ac:dyDescent="0.45">
      <c r="A8799" s="142" t="s">
        <v>13007</v>
      </c>
      <c r="B8799" s="142" t="s">
        <v>15262</v>
      </c>
      <c r="C8799" s="142" t="s">
        <v>15847</v>
      </c>
      <c r="D8799" s="142" t="s">
        <v>15848</v>
      </c>
      <c r="E8799" s="142" t="s">
        <v>15849</v>
      </c>
      <c r="F8799" s="142" t="s">
        <v>191</v>
      </c>
      <c r="G8799" s="142" t="s">
        <v>4456</v>
      </c>
      <c r="H8799" s="142" t="s">
        <v>24649</v>
      </c>
      <c r="I8799" s="142">
        <v>228</v>
      </c>
      <c r="J8799" s="142">
        <v>176</v>
      </c>
      <c r="K8799" s="142">
        <v>0</v>
      </c>
      <c r="L8799" s="142">
        <v>0</v>
      </c>
      <c r="M8799" s="142">
        <v>52</v>
      </c>
    </row>
    <row r="8800" spans="1:13" x14ac:dyDescent="0.45">
      <c r="A8800" s="142" t="s">
        <v>13217</v>
      </c>
      <c r="B8800" s="142" t="s">
        <v>14578</v>
      </c>
      <c r="C8800" s="142" t="s">
        <v>15860</v>
      </c>
      <c r="D8800" s="142" t="s">
        <v>15861</v>
      </c>
      <c r="E8800" s="142" t="s">
        <v>15849</v>
      </c>
      <c r="F8800" s="142" t="s">
        <v>191</v>
      </c>
      <c r="G8800" s="142" t="s">
        <v>4456</v>
      </c>
      <c r="H8800" s="142" t="s">
        <v>24650</v>
      </c>
      <c r="I8800" s="142">
        <v>5</v>
      </c>
      <c r="J8800" s="142">
        <v>5</v>
      </c>
      <c r="K8800" s="142">
        <v>0</v>
      </c>
      <c r="L8800" s="142">
        <v>0</v>
      </c>
      <c r="M8800" s="142">
        <v>0</v>
      </c>
    </row>
    <row r="8801" spans="1:13" x14ac:dyDescent="0.45">
      <c r="A8801" s="142" t="s">
        <v>13008</v>
      </c>
      <c r="B8801" s="142" t="s">
        <v>15411</v>
      </c>
      <c r="C8801" s="142" t="s">
        <v>15847</v>
      </c>
      <c r="D8801" s="142" t="s">
        <v>15848</v>
      </c>
      <c r="E8801" s="142" t="s">
        <v>15849</v>
      </c>
      <c r="F8801" s="142" t="s">
        <v>191</v>
      </c>
      <c r="G8801" s="142" t="s">
        <v>4456</v>
      </c>
      <c r="H8801" s="142" t="s">
        <v>24651</v>
      </c>
      <c r="I8801" s="142">
        <v>18</v>
      </c>
      <c r="J8801" s="142">
        <v>0</v>
      </c>
      <c r="K8801" s="142">
        <v>0</v>
      </c>
      <c r="L8801" s="142">
        <v>0</v>
      </c>
      <c r="M8801" s="142">
        <v>18</v>
      </c>
    </row>
    <row r="8802" spans="1:13" x14ac:dyDescent="0.45">
      <c r="A8802" s="142" t="s">
        <v>13104</v>
      </c>
      <c r="B8802" s="142" t="s">
        <v>14622</v>
      </c>
      <c r="C8802" s="142" t="s">
        <v>15847</v>
      </c>
      <c r="D8802" s="142" t="s">
        <v>15848</v>
      </c>
      <c r="E8802" s="142" t="s">
        <v>15849</v>
      </c>
      <c r="F8802" s="142" t="s">
        <v>191</v>
      </c>
      <c r="G8802" s="142" t="s">
        <v>4456</v>
      </c>
      <c r="H8802" s="142" t="s">
        <v>24652</v>
      </c>
      <c r="I8802" s="142">
        <v>23</v>
      </c>
      <c r="J8802" s="142">
        <v>0</v>
      </c>
      <c r="K8802" s="142">
        <v>0</v>
      </c>
      <c r="L8802" s="142">
        <v>23</v>
      </c>
      <c r="M8802" s="142">
        <v>0</v>
      </c>
    </row>
    <row r="8803" spans="1:13" x14ac:dyDescent="0.45">
      <c r="A8803" s="142" t="s">
        <v>13033</v>
      </c>
      <c r="B8803" s="142" t="s">
        <v>15276</v>
      </c>
      <c r="C8803" s="142" t="s">
        <v>15847</v>
      </c>
      <c r="D8803" s="142" t="s">
        <v>15848</v>
      </c>
      <c r="E8803" s="142" t="s">
        <v>15849</v>
      </c>
      <c r="F8803" s="142" t="s">
        <v>191</v>
      </c>
      <c r="G8803" s="142" t="s">
        <v>4456</v>
      </c>
      <c r="H8803" s="142" t="s">
        <v>24653</v>
      </c>
      <c r="I8803" s="142">
        <v>16</v>
      </c>
      <c r="J8803" s="142">
        <v>16</v>
      </c>
      <c r="K8803" s="142">
        <v>0</v>
      </c>
      <c r="L8803" s="142">
        <v>0</v>
      </c>
      <c r="M8803" s="142">
        <v>0</v>
      </c>
    </row>
    <row r="8804" spans="1:13" x14ac:dyDescent="0.45">
      <c r="A8804" s="142" t="s">
        <v>13037</v>
      </c>
      <c r="B8804" s="142" t="s">
        <v>14519</v>
      </c>
      <c r="C8804" s="142" t="s">
        <v>15847</v>
      </c>
      <c r="D8804" s="142" t="s">
        <v>15848</v>
      </c>
      <c r="E8804" s="142" t="s">
        <v>15849</v>
      </c>
      <c r="F8804" s="142" t="s">
        <v>191</v>
      </c>
      <c r="G8804" s="142" t="s">
        <v>4456</v>
      </c>
      <c r="H8804" s="142" t="s">
        <v>24654</v>
      </c>
      <c r="I8804" s="142">
        <v>9</v>
      </c>
      <c r="J8804" s="142">
        <v>0</v>
      </c>
      <c r="K8804" s="142">
        <v>0</v>
      </c>
      <c r="L8804" s="142">
        <v>9</v>
      </c>
      <c r="M8804" s="142">
        <v>0</v>
      </c>
    </row>
    <row r="8805" spans="1:13" x14ac:dyDescent="0.45">
      <c r="A8805" s="142" t="s">
        <v>13038</v>
      </c>
      <c r="B8805" s="142" t="s">
        <v>14646</v>
      </c>
      <c r="C8805" s="142" t="s">
        <v>15847</v>
      </c>
      <c r="D8805" s="142" t="s">
        <v>15848</v>
      </c>
      <c r="E8805" s="142" t="s">
        <v>15849</v>
      </c>
      <c r="F8805" s="142" t="s">
        <v>191</v>
      </c>
      <c r="G8805" s="142" t="s">
        <v>4456</v>
      </c>
      <c r="H8805" s="142" t="s">
        <v>24655</v>
      </c>
      <c r="I8805" s="142">
        <v>169</v>
      </c>
      <c r="J8805" s="142">
        <v>109</v>
      </c>
      <c r="K8805" s="142">
        <v>0</v>
      </c>
      <c r="L8805" s="142">
        <v>0</v>
      </c>
      <c r="M8805" s="142">
        <v>60</v>
      </c>
    </row>
    <row r="8806" spans="1:13" x14ac:dyDescent="0.45">
      <c r="A8806" s="142" t="s">
        <v>13039</v>
      </c>
      <c r="B8806" s="142" t="s">
        <v>14647</v>
      </c>
      <c r="C8806" s="142" t="s">
        <v>15847</v>
      </c>
      <c r="D8806" s="142" t="s">
        <v>15848</v>
      </c>
      <c r="E8806" s="142" t="s">
        <v>15849</v>
      </c>
      <c r="F8806" s="142" t="s">
        <v>191</v>
      </c>
      <c r="G8806" s="142" t="s">
        <v>4456</v>
      </c>
      <c r="H8806" s="142" t="s">
        <v>24656</v>
      </c>
      <c r="I8806" s="142">
        <v>59</v>
      </c>
      <c r="J8806" s="142">
        <v>59</v>
      </c>
      <c r="K8806" s="142">
        <v>0</v>
      </c>
      <c r="L8806" s="142">
        <v>0</v>
      </c>
      <c r="M8806" s="142">
        <v>0</v>
      </c>
    </row>
    <row r="8807" spans="1:13" x14ac:dyDescent="0.45">
      <c r="A8807" s="142" t="s">
        <v>13091</v>
      </c>
      <c r="B8807" s="142" t="s">
        <v>14473</v>
      </c>
      <c r="C8807" s="142" t="s">
        <v>15847</v>
      </c>
      <c r="D8807" s="142" t="s">
        <v>15848</v>
      </c>
      <c r="E8807" s="142" t="s">
        <v>15849</v>
      </c>
      <c r="F8807" s="142" t="s">
        <v>191</v>
      </c>
      <c r="G8807" s="142" t="s">
        <v>4456</v>
      </c>
      <c r="H8807" s="142" t="s">
        <v>24657</v>
      </c>
      <c r="I8807" s="142">
        <v>222</v>
      </c>
      <c r="J8807" s="142">
        <v>173</v>
      </c>
      <c r="K8807" s="142">
        <v>0</v>
      </c>
      <c r="L8807" s="142">
        <v>49</v>
      </c>
      <c r="M8807" s="142">
        <v>0</v>
      </c>
    </row>
    <row r="8808" spans="1:13" x14ac:dyDescent="0.45">
      <c r="A8808" s="142" t="s">
        <v>13041</v>
      </c>
      <c r="B8808" s="142" t="s">
        <v>14441</v>
      </c>
      <c r="C8808" s="142" t="s">
        <v>15847</v>
      </c>
      <c r="D8808" s="142" t="s">
        <v>15848</v>
      </c>
      <c r="E8808" s="142" t="s">
        <v>15849</v>
      </c>
      <c r="F8808" s="142" t="s">
        <v>191</v>
      </c>
      <c r="G8808" s="142" t="s">
        <v>4456</v>
      </c>
      <c r="H8808" s="142" t="s">
        <v>24658</v>
      </c>
      <c r="I8808" s="142">
        <v>19</v>
      </c>
      <c r="J8808" s="142">
        <v>0</v>
      </c>
      <c r="K8808" s="142">
        <v>0</v>
      </c>
      <c r="L8808" s="142">
        <v>0</v>
      </c>
      <c r="M8808" s="142">
        <v>19</v>
      </c>
    </row>
    <row r="8809" spans="1:13" x14ac:dyDescent="0.45">
      <c r="A8809" s="142" t="s">
        <v>13106</v>
      </c>
      <c r="B8809" s="142" t="s">
        <v>15414</v>
      </c>
      <c r="C8809" s="142" t="s">
        <v>15847</v>
      </c>
      <c r="D8809" s="142" t="s">
        <v>15848</v>
      </c>
      <c r="E8809" s="142" t="s">
        <v>15849</v>
      </c>
      <c r="F8809" s="142" t="s">
        <v>191</v>
      </c>
      <c r="G8809" s="142" t="s">
        <v>4456</v>
      </c>
      <c r="H8809" s="142" t="s">
        <v>24659</v>
      </c>
      <c r="I8809" s="142">
        <v>123</v>
      </c>
      <c r="J8809" s="142">
        <v>74</v>
      </c>
      <c r="K8809" s="142">
        <v>0</v>
      </c>
      <c r="L8809" s="142">
        <v>49</v>
      </c>
      <c r="M8809" s="142">
        <v>0</v>
      </c>
    </row>
    <row r="8810" spans="1:13" x14ac:dyDescent="0.45">
      <c r="A8810" s="142" t="s">
        <v>13428</v>
      </c>
      <c r="B8810" s="142" t="s">
        <v>15303</v>
      </c>
      <c r="C8810" s="142" t="s">
        <v>15847</v>
      </c>
      <c r="D8810" s="142" t="s">
        <v>15848</v>
      </c>
      <c r="E8810" s="142" t="s">
        <v>15849</v>
      </c>
      <c r="F8810" s="142" t="s">
        <v>191</v>
      </c>
      <c r="G8810" s="142" t="s">
        <v>4456</v>
      </c>
      <c r="H8810" s="142" t="s">
        <v>24660</v>
      </c>
      <c r="I8810" s="142">
        <v>38</v>
      </c>
      <c r="J8810" s="142">
        <v>32</v>
      </c>
      <c r="K8810" s="142">
        <v>0</v>
      </c>
      <c r="L8810" s="142">
        <v>0</v>
      </c>
      <c r="M8810" s="142">
        <v>6</v>
      </c>
    </row>
    <row r="8811" spans="1:13" x14ac:dyDescent="0.45">
      <c r="A8811" s="142" t="s">
        <v>13110</v>
      </c>
      <c r="B8811" s="142" t="s">
        <v>15502</v>
      </c>
      <c r="C8811" s="142" t="s">
        <v>15847</v>
      </c>
      <c r="D8811" s="142" t="s">
        <v>15848</v>
      </c>
      <c r="E8811" s="142" t="s">
        <v>15849</v>
      </c>
      <c r="F8811" s="142" t="s">
        <v>192</v>
      </c>
      <c r="G8811" s="142" t="s">
        <v>7712</v>
      </c>
      <c r="H8811" s="142" t="s">
        <v>24661</v>
      </c>
      <c r="I8811" s="142">
        <v>20</v>
      </c>
      <c r="J8811" s="142">
        <v>19</v>
      </c>
      <c r="K8811" s="142">
        <v>0</v>
      </c>
      <c r="L8811" s="142">
        <v>0</v>
      </c>
      <c r="M8811" s="142">
        <v>1</v>
      </c>
    </row>
    <row r="8812" spans="1:13" x14ac:dyDescent="0.45">
      <c r="A8812" s="142" t="s">
        <v>13167</v>
      </c>
      <c r="B8812" s="142" t="s">
        <v>15418</v>
      </c>
      <c r="C8812" s="142" t="s">
        <v>15847</v>
      </c>
      <c r="D8812" s="142" t="s">
        <v>15848</v>
      </c>
      <c r="E8812" s="142" t="s">
        <v>15849</v>
      </c>
      <c r="F8812" s="142" t="s">
        <v>192</v>
      </c>
      <c r="G8812" s="142" t="s">
        <v>7712</v>
      </c>
      <c r="H8812" s="142" t="s">
        <v>24662</v>
      </c>
      <c r="I8812" s="142">
        <v>272</v>
      </c>
      <c r="J8812" s="142">
        <v>212</v>
      </c>
      <c r="K8812" s="142">
        <v>0</v>
      </c>
      <c r="L8812" s="142">
        <v>0</v>
      </c>
      <c r="M8812" s="142">
        <v>60</v>
      </c>
    </row>
    <row r="8813" spans="1:13" x14ac:dyDescent="0.45">
      <c r="A8813" s="142" t="s">
        <v>13021</v>
      </c>
      <c r="B8813" s="142" t="s">
        <v>15501</v>
      </c>
      <c r="C8813" s="142" t="s">
        <v>15847</v>
      </c>
      <c r="D8813" s="142" t="s">
        <v>15848</v>
      </c>
      <c r="E8813" s="142" t="s">
        <v>15849</v>
      </c>
      <c r="F8813" s="142" t="s">
        <v>192</v>
      </c>
      <c r="G8813" s="142" t="s">
        <v>7712</v>
      </c>
      <c r="H8813" s="142" t="s">
        <v>24663</v>
      </c>
      <c r="I8813" s="142">
        <v>35</v>
      </c>
      <c r="J8813" s="142">
        <v>0</v>
      </c>
      <c r="K8813" s="142">
        <v>0</v>
      </c>
      <c r="L8813" s="142">
        <v>28</v>
      </c>
      <c r="M8813" s="142">
        <v>7</v>
      </c>
    </row>
    <row r="8814" spans="1:13" x14ac:dyDescent="0.45">
      <c r="A8814" s="142" t="s">
        <v>13022</v>
      </c>
      <c r="B8814" s="142" t="s">
        <v>14634</v>
      </c>
      <c r="C8814" s="142" t="s">
        <v>15847</v>
      </c>
      <c r="D8814" s="142" t="s">
        <v>15848</v>
      </c>
      <c r="E8814" s="142" t="s">
        <v>15849</v>
      </c>
      <c r="F8814" s="142" t="s">
        <v>192</v>
      </c>
      <c r="G8814" s="142" t="s">
        <v>7712</v>
      </c>
      <c r="H8814" s="142" t="s">
        <v>24664</v>
      </c>
      <c r="I8814" s="142">
        <v>4</v>
      </c>
      <c r="J8814" s="142">
        <v>0</v>
      </c>
      <c r="K8814" s="142">
        <v>0</v>
      </c>
      <c r="L8814" s="142">
        <v>4</v>
      </c>
      <c r="M8814" s="142">
        <v>0</v>
      </c>
    </row>
    <row r="8815" spans="1:13" x14ac:dyDescent="0.45">
      <c r="A8815" s="142" t="s">
        <v>13023</v>
      </c>
      <c r="B8815" s="142" t="s">
        <v>15571</v>
      </c>
      <c r="C8815" s="142" t="s">
        <v>15847</v>
      </c>
      <c r="D8815" s="142" t="s">
        <v>15848</v>
      </c>
      <c r="E8815" s="142" t="s">
        <v>15849</v>
      </c>
      <c r="F8815" s="142" t="s">
        <v>192</v>
      </c>
      <c r="G8815" s="142" t="s">
        <v>7712</v>
      </c>
      <c r="H8815" s="142" t="s">
        <v>24665</v>
      </c>
      <c r="I8815" s="142">
        <v>130</v>
      </c>
      <c r="J8815" s="142">
        <v>0</v>
      </c>
      <c r="K8815" s="142">
        <v>0</v>
      </c>
      <c r="L8815" s="142">
        <v>130</v>
      </c>
      <c r="M8815" s="142">
        <v>0</v>
      </c>
    </row>
    <row r="8816" spans="1:13" x14ac:dyDescent="0.45">
      <c r="A8816" s="142" t="s">
        <v>13048</v>
      </c>
      <c r="B8816" s="142" t="s">
        <v>14479</v>
      </c>
      <c r="C8816" s="142" t="s">
        <v>15847</v>
      </c>
      <c r="D8816" s="142" t="s">
        <v>15848</v>
      </c>
      <c r="E8816" s="142" t="s">
        <v>15849</v>
      </c>
      <c r="F8816" s="142" t="s">
        <v>192</v>
      </c>
      <c r="G8816" s="142" t="s">
        <v>7712</v>
      </c>
      <c r="H8816" s="142" t="s">
        <v>24666</v>
      </c>
      <c r="I8816" s="142">
        <v>281</v>
      </c>
      <c r="J8816" s="142">
        <v>164</v>
      </c>
      <c r="K8816" s="142">
        <v>0</v>
      </c>
      <c r="L8816" s="142">
        <v>0</v>
      </c>
      <c r="M8816" s="142">
        <v>117</v>
      </c>
    </row>
    <row r="8817" spans="1:13" x14ac:dyDescent="0.45">
      <c r="A8817" s="142" t="s">
        <v>13082</v>
      </c>
      <c r="B8817" s="142" t="s">
        <v>14478</v>
      </c>
      <c r="C8817" s="142" t="s">
        <v>15860</v>
      </c>
      <c r="D8817" s="142" t="s">
        <v>15861</v>
      </c>
      <c r="E8817" s="142" t="s">
        <v>15849</v>
      </c>
      <c r="F8817" s="142" t="s">
        <v>192</v>
      </c>
      <c r="G8817" s="142" t="s">
        <v>7712</v>
      </c>
      <c r="H8817" s="142" t="s">
        <v>24667</v>
      </c>
      <c r="I8817" s="142">
        <v>4</v>
      </c>
      <c r="J8817" s="142">
        <v>0</v>
      </c>
      <c r="K8817" s="142">
        <v>0</v>
      </c>
      <c r="L8817" s="142">
        <v>4</v>
      </c>
      <c r="M8817" s="142">
        <v>0</v>
      </c>
    </row>
    <row r="8818" spans="1:13" x14ac:dyDescent="0.45">
      <c r="A8818" s="142" t="s">
        <v>13159</v>
      </c>
      <c r="B8818" s="142" t="s">
        <v>14521</v>
      </c>
      <c r="C8818" s="142" t="s">
        <v>15860</v>
      </c>
      <c r="D8818" s="142" t="s">
        <v>15861</v>
      </c>
      <c r="E8818" s="142" t="s">
        <v>15849</v>
      </c>
      <c r="F8818" s="142" t="s">
        <v>192</v>
      </c>
      <c r="G8818" s="142" t="s">
        <v>7712</v>
      </c>
      <c r="H8818" s="142" t="s">
        <v>24668</v>
      </c>
      <c r="I8818" s="142">
        <v>41</v>
      </c>
      <c r="J8818" s="142">
        <v>0</v>
      </c>
      <c r="K8818" s="142">
        <v>0</v>
      </c>
      <c r="L8818" s="142">
        <v>41</v>
      </c>
      <c r="M8818" s="142">
        <v>0</v>
      </c>
    </row>
    <row r="8819" spans="1:13" x14ac:dyDescent="0.45">
      <c r="A8819" s="142" t="s">
        <v>14320</v>
      </c>
      <c r="B8819" s="142" t="s">
        <v>14784</v>
      </c>
      <c r="C8819" s="142" t="s">
        <v>15860</v>
      </c>
      <c r="D8819" s="142" t="s">
        <v>15861</v>
      </c>
      <c r="E8819" s="142" t="s">
        <v>15849</v>
      </c>
      <c r="F8819" s="142" t="s">
        <v>192</v>
      </c>
      <c r="G8819" s="142" t="s">
        <v>7712</v>
      </c>
      <c r="H8819" s="142" t="s">
        <v>24669</v>
      </c>
      <c r="I8819" s="142">
        <v>3</v>
      </c>
      <c r="J8819" s="142">
        <v>3</v>
      </c>
      <c r="K8819" s="142">
        <v>0</v>
      </c>
      <c r="L8819" s="142">
        <v>0</v>
      </c>
      <c r="M8819" s="142">
        <v>0</v>
      </c>
    </row>
    <row r="8820" spans="1:13" x14ac:dyDescent="0.45">
      <c r="A8820" s="142" t="s">
        <v>13000</v>
      </c>
      <c r="B8820" s="142" t="s">
        <v>14610</v>
      </c>
      <c r="C8820" s="142" t="s">
        <v>15847</v>
      </c>
      <c r="D8820" s="142" t="s">
        <v>15848</v>
      </c>
      <c r="E8820" s="142" t="s">
        <v>15849</v>
      </c>
      <c r="F8820" s="142" t="s">
        <v>192</v>
      </c>
      <c r="G8820" s="142" t="s">
        <v>7712</v>
      </c>
      <c r="H8820" s="142" t="s">
        <v>24670</v>
      </c>
      <c r="I8820" s="142">
        <v>316</v>
      </c>
      <c r="J8820" s="142">
        <v>251</v>
      </c>
      <c r="K8820" s="142">
        <v>0</v>
      </c>
      <c r="L8820" s="142">
        <v>0</v>
      </c>
      <c r="M8820" s="142">
        <v>65</v>
      </c>
    </row>
    <row r="8821" spans="1:13" x14ac:dyDescent="0.45">
      <c r="A8821" s="142" t="s">
        <v>13119</v>
      </c>
      <c r="B8821" s="142" t="s">
        <v>14451</v>
      </c>
      <c r="C8821" s="142" t="s">
        <v>15860</v>
      </c>
      <c r="D8821" s="142" t="s">
        <v>15861</v>
      </c>
      <c r="E8821" s="142" t="s">
        <v>15849</v>
      </c>
      <c r="F8821" s="142" t="s">
        <v>192</v>
      </c>
      <c r="G8821" s="142" t="s">
        <v>7712</v>
      </c>
      <c r="H8821" s="142" t="s">
        <v>24671</v>
      </c>
      <c r="I8821" s="142">
        <v>17</v>
      </c>
      <c r="J8821" s="142">
        <v>0</v>
      </c>
      <c r="K8821" s="142">
        <v>0</v>
      </c>
      <c r="L8821" s="142">
        <v>17</v>
      </c>
      <c r="M8821" s="142">
        <v>0</v>
      </c>
    </row>
    <row r="8822" spans="1:13" x14ac:dyDescent="0.45">
      <c r="A8822" s="142" t="s">
        <v>14321</v>
      </c>
      <c r="B8822" s="142" t="s">
        <v>14802</v>
      </c>
      <c r="C8822" s="142" t="s">
        <v>15860</v>
      </c>
      <c r="D8822" s="142" t="s">
        <v>15861</v>
      </c>
      <c r="E8822" s="142" t="s">
        <v>15849</v>
      </c>
      <c r="F8822" s="142" t="s">
        <v>192</v>
      </c>
      <c r="G8822" s="142" t="s">
        <v>7712</v>
      </c>
      <c r="H8822" s="142" t="s">
        <v>24672</v>
      </c>
      <c r="I8822" s="142">
        <v>6</v>
      </c>
      <c r="J8822" s="142">
        <v>6</v>
      </c>
      <c r="K8822" s="142">
        <v>0</v>
      </c>
      <c r="L8822" s="142">
        <v>0</v>
      </c>
      <c r="M8822" s="142">
        <v>0</v>
      </c>
    </row>
    <row r="8823" spans="1:13" x14ac:dyDescent="0.45">
      <c r="A8823" s="142" t="s">
        <v>13085</v>
      </c>
      <c r="B8823" s="142" t="s">
        <v>14460</v>
      </c>
      <c r="C8823" s="142" t="s">
        <v>15860</v>
      </c>
      <c r="D8823" s="142" t="s">
        <v>15861</v>
      </c>
      <c r="E8823" s="142" t="s">
        <v>15849</v>
      </c>
      <c r="F8823" s="142" t="s">
        <v>192</v>
      </c>
      <c r="G8823" s="142" t="s">
        <v>7712</v>
      </c>
      <c r="H8823" s="142" t="s">
        <v>24673</v>
      </c>
      <c r="I8823" s="142">
        <v>7</v>
      </c>
      <c r="J8823" s="142">
        <v>0</v>
      </c>
      <c r="K8823" s="142">
        <v>0</v>
      </c>
      <c r="L8823" s="142">
        <v>7</v>
      </c>
      <c r="M8823" s="142">
        <v>0</v>
      </c>
    </row>
    <row r="8824" spans="1:13" x14ac:dyDescent="0.45">
      <c r="A8824" s="142" t="s">
        <v>13243</v>
      </c>
      <c r="B8824" s="142" t="s">
        <v>15560</v>
      </c>
      <c r="C8824" s="142" t="s">
        <v>15847</v>
      </c>
      <c r="D8824" s="142" t="s">
        <v>15848</v>
      </c>
      <c r="E8824" s="142" t="s">
        <v>15849</v>
      </c>
      <c r="F8824" s="142" t="s">
        <v>192</v>
      </c>
      <c r="G8824" s="142" t="s">
        <v>7712</v>
      </c>
      <c r="H8824" s="142" t="s">
        <v>24674</v>
      </c>
      <c r="I8824" s="142">
        <v>604</v>
      </c>
      <c r="J8824" s="142">
        <v>498</v>
      </c>
      <c r="K8824" s="142">
        <v>0</v>
      </c>
      <c r="L8824" s="142">
        <v>13</v>
      </c>
      <c r="M8824" s="142">
        <v>93</v>
      </c>
    </row>
    <row r="8825" spans="1:13" x14ac:dyDescent="0.45">
      <c r="A8825" s="142" t="s">
        <v>13028</v>
      </c>
      <c r="B8825" s="142" t="s">
        <v>14462</v>
      </c>
      <c r="C8825" s="142" t="s">
        <v>15847</v>
      </c>
      <c r="D8825" s="142" t="s">
        <v>15848</v>
      </c>
      <c r="E8825" s="142" t="s">
        <v>15849</v>
      </c>
      <c r="F8825" s="142" t="s">
        <v>192</v>
      </c>
      <c r="G8825" s="142" t="s">
        <v>7712</v>
      </c>
      <c r="H8825" s="142" t="s">
        <v>24675</v>
      </c>
      <c r="I8825" s="142">
        <v>65</v>
      </c>
      <c r="J8825" s="142">
        <v>0</v>
      </c>
      <c r="K8825" s="142">
        <v>0</v>
      </c>
      <c r="L8825" s="142">
        <v>0</v>
      </c>
      <c r="M8825" s="142">
        <v>65</v>
      </c>
    </row>
    <row r="8826" spans="1:13" x14ac:dyDescent="0.45">
      <c r="A8826" s="142" t="s">
        <v>13160</v>
      </c>
      <c r="B8826" s="142" t="s">
        <v>14525</v>
      </c>
      <c r="C8826" s="142" t="s">
        <v>15847</v>
      </c>
      <c r="D8826" s="142" t="s">
        <v>15848</v>
      </c>
      <c r="E8826" s="142" t="s">
        <v>15849</v>
      </c>
      <c r="F8826" s="142" t="s">
        <v>192</v>
      </c>
      <c r="G8826" s="142" t="s">
        <v>7712</v>
      </c>
      <c r="H8826" s="142" t="s">
        <v>24676</v>
      </c>
      <c r="I8826" s="142">
        <v>5</v>
      </c>
      <c r="J8826" s="142">
        <v>0</v>
      </c>
      <c r="K8826" s="142">
        <v>0</v>
      </c>
      <c r="L8826" s="142">
        <v>5</v>
      </c>
      <c r="M8826" s="142">
        <v>0</v>
      </c>
    </row>
    <row r="8827" spans="1:13" x14ac:dyDescent="0.45">
      <c r="A8827" s="142" t="s">
        <v>13002</v>
      </c>
      <c r="B8827" s="142" t="s">
        <v>15376</v>
      </c>
      <c r="C8827" s="142" t="s">
        <v>15847</v>
      </c>
      <c r="D8827" s="142" t="s">
        <v>15848</v>
      </c>
      <c r="E8827" s="142" t="s">
        <v>15849</v>
      </c>
      <c r="F8827" s="142" t="s">
        <v>192</v>
      </c>
      <c r="G8827" s="142" t="s">
        <v>7712</v>
      </c>
      <c r="H8827" s="142" t="s">
        <v>24677</v>
      </c>
      <c r="I8827" s="142">
        <v>19</v>
      </c>
      <c r="J8827" s="142">
        <v>19</v>
      </c>
      <c r="K8827" s="142">
        <v>0</v>
      </c>
      <c r="L8827" s="142">
        <v>0</v>
      </c>
      <c r="M8827" s="142">
        <v>0</v>
      </c>
    </row>
    <row r="8828" spans="1:13" x14ac:dyDescent="0.45">
      <c r="A8828" s="142" t="s">
        <v>13178</v>
      </c>
      <c r="B8828" s="142" t="s">
        <v>14683</v>
      </c>
      <c r="C8828" s="142" t="s">
        <v>15847</v>
      </c>
      <c r="D8828" s="142" t="s">
        <v>15848</v>
      </c>
      <c r="E8828" s="142" t="s">
        <v>15849</v>
      </c>
      <c r="F8828" s="142" t="s">
        <v>192</v>
      </c>
      <c r="G8828" s="142" t="s">
        <v>7712</v>
      </c>
      <c r="H8828" s="142" t="s">
        <v>24678</v>
      </c>
      <c r="I8828" s="142">
        <v>124</v>
      </c>
      <c r="J8828" s="142">
        <v>124</v>
      </c>
      <c r="K8828" s="142">
        <v>0</v>
      </c>
      <c r="L8828" s="142">
        <v>0</v>
      </c>
      <c r="M8828" s="142">
        <v>0</v>
      </c>
    </row>
    <row r="8829" spans="1:13" x14ac:dyDescent="0.45">
      <c r="A8829" s="142" t="s">
        <v>13076</v>
      </c>
      <c r="B8829" s="142" t="s">
        <v>14636</v>
      </c>
      <c r="C8829" s="142" t="s">
        <v>15847</v>
      </c>
      <c r="D8829" s="142" t="s">
        <v>15848</v>
      </c>
      <c r="E8829" s="142" t="s">
        <v>15849</v>
      </c>
      <c r="F8829" s="142" t="s">
        <v>192</v>
      </c>
      <c r="G8829" s="142" t="s">
        <v>7712</v>
      </c>
      <c r="H8829" s="142" t="s">
        <v>24679</v>
      </c>
      <c r="I8829" s="142">
        <v>48</v>
      </c>
      <c r="J8829" s="142">
        <v>5</v>
      </c>
      <c r="K8829" s="142">
        <v>0</v>
      </c>
      <c r="L8829" s="142">
        <v>0</v>
      </c>
      <c r="M8829" s="142">
        <v>43</v>
      </c>
    </row>
    <row r="8830" spans="1:13" x14ac:dyDescent="0.45">
      <c r="A8830" s="142" t="s">
        <v>13331</v>
      </c>
      <c r="B8830" s="142" t="s">
        <v>14682</v>
      </c>
      <c r="C8830" s="142" t="s">
        <v>15860</v>
      </c>
      <c r="D8830" s="142" t="s">
        <v>15861</v>
      </c>
      <c r="E8830" s="142" t="s">
        <v>15849</v>
      </c>
      <c r="F8830" s="142" t="s">
        <v>192</v>
      </c>
      <c r="G8830" s="142" t="s">
        <v>7712</v>
      </c>
      <c r="H8830" s="142" t="s">
        <v>24680</v>
      </c>
      <c r="I8830" s="142">
        <v>16</v>
      </c>
      <c r="J8830" s="142">
        <v>16</v>
      </c>
      <c r="K8830" s="142">
        <v>0</v>
      </c>
      <c r="L8830" s="142">
        <v>0</v>
      </c>
      <c r="M8830" s="142">
        <v>0</v>
      </c>
    </row>
    <row r="8831" spans="1:13" x14ac:dyDescent="0.45">
      <c r="A8831" s="142" t="s">
        <v>13005</v>
      </c>
      <c r="B8831" s="142" t="s">
        <v>15475</v>
      </c>
      <c r="C8831" s="142" t="s">
        <v>15847</v>
      </c>
      <c r="D8831" s="142" t="s">
        <v>15848</v>
      </c>
      <c r="E8831" s="142" t="s">
        <v>15849</v>
      </c>
      <c r="F8831" s="142" t="s">
        <v>192</v>
      </c>
      <c r="G8831" s="142" t="s">
        <v>7712</v>
      </c>
      <c r="H8831" s="142" t="s">
        <v>24681</v>
      </c>
      <c r="I8831" s="142">
        <v>11</v>
      </c>
      <c r="J8831" s="142">
        <v>0</v>
      </c>
      <c r="K8831" s="142">
        <v>0</v>
      </c>
      <c r="L8831" s="142">
        <v>0</v>
      </c>
      <c r="M8831" s="142">
        <v>11</v>
      </c>
    </row>
    <row r="8832" spans="1:13" x14ac:dyDescent="0.45">
      <c r="A8832" s="142" t="s">
        <v>13006</v>
      </c>
      <c r="B8832" s="142" t="s">
        <v>15288</v>
      </c>
      <c r="C8832" s="142" t="s">
        <v>15847</v>
      </c>
      <c r="D8832" s="142" t="s">
        <v>15848</v>
      </c>
      <c r="E8832" s="142" t="s">
        <v>15849</v>
      </c>
      <c r="F8832" s="142" t="s">
        <v>192</v>
      </c>
      <c r="G8832" s="142" t="s">
        <v>7712</v>
      </c>
      <c r="H8832" s="142" t="s">
        <v>24682</v>
      </c>
      <c r="I8832" s="142">
        <v>20</v>
      </c>
      <c r="J8832" s="142">
        <v>20</v>
      </c>
      <c r="K8832" s="142">
        <v>0</v>
      </c>
      <c r="L8832" s="142">
        <v>0</v>
      </c>
      <c r="M8832" s="142">
        <v>0</v>
      </c>
    </row>
    <row r="8833" spans="1:13" x14ac:dyDescent="0.45">
      <c r="A8833" s="142" t="s">
        <v>13007</v>
      </c>
      <c r="B8833" s="142" t="s">
        <v>15262</v>
      </c>
      <c r="C8833" s="142" t="s">
        <v>15847</v>
      </c>
      <c r="D8833" s="142" t="s">
        <v>15848</v>
      </c>
      <c r="E8833" s="142" t="s">
        <v>15849</v>
      </c>
      <c r="F8833" s="142" t="s">
        <v>192</v>
      </c>
      <c r="G8833" s="142" t="s">
        <v>7712</v>
      </c>
      <c r="H8833" s="142" t="s">
        <v>24683</v>
      </c>
      <c r="I8833" s="142">
        <v>1</v>
      </c>
      <c r="J8833" s="142">
        <v>0</v>
      </c>
      <c r="K8833" s="142">
        <v>0</v>
      </c>
      <c r="L8833" s="142">
        <v>0</v>
      </c>
      <c r="M8833" s="142">
        <v>1</v>
      </c>
    </row>
    <row r="8834" spans="1:13" x14ac:dyDescent="0.45">
      <c r="A8834" s="142" t="s">
        <v>14322</v>
      </c>
      <c r="B8834" s="142" t="s">
        <v>14680</v>
      </c>
      <c r="C8834" s="142" t="s">
        <v>15860</v>
      </c>
      <c r="D8834" s="142" t="s">
        <v>15861</v>
      </c>
      <c r="E8834" s="142" t="s">
        <v>15849</v>
      </c>
      <c r="F8834" s="142" t="s">
        <v>192</v>
      </c>
      <c r="G8834" s="142" t="s">
        <v>7712</v>
      </c>
      <c r="H8834" s="142" t="s">
        <v>24684</v>
      </c>
      <c r="I8834" s="142">
        <v>8</v>
      </c>
      <c r="J8834" s="142">
        <v>8</v>
      </c>
      <c r="K8834" s="142">
        <v>0</v>
      </c>
      <c r="L8834" s="142">
        <v>0</v>
      </c>
      <c r="M8834" s="142">
        <v>0</v>
      </c>
    </row>
    <row r="8835" spans="1:13" x14ac:dyDescent="0.45">
      <c r="A8835" s="142" t="s">
        <v>13104</v>
      </c>
      <c r="B8835" s="142" t="s">
        <v>14622</v>
      </c>
      <c r="C8835" s="142" t="s">
        <v>15847</v>
      </c>
      <c r="D8835" s="142" t="s">
        <v>15848</v>
      </c>
      <c r="E8835" s="142" t="s">
        <v>15849</v>
      </c>
      <c r="F8835" s="142" t="s">
        <v>192</v>
      </c>
      <c r="G8835" s="142" t="s">
        <v>7712</v>
      </c>
      <c r="H8835" s="142" t="s">
        <v>24685</v>
      </c>
      <c r="I8835" s="142">
        <v>163</v>
      </c>
      <c r="J8835" s="142">
        <v>122</v>
      </c>
      <c r="K8835" s="142">
        <v>0</v>
      </c>
      <c r="L8835" s="142">
        <v>0</v>
      </c>
      <c r="M8835" s="142">
        <v>41</v>
      </c>
    </row>
    <row r="8836" spans="1:13" x14ac:dyDescent="0.45">
      <c r="A8836" s="142" t="s">
        <v>13831</v>
      </c>
      <c r="B8836" s="142" t="s">
        <v>14485</v>
      </c>
      <c r="C8836" s="142" t="s">
        <v>15860</v>
      </c>
      <c r="D8836" s="142" t="s">
        <v>15861</v>
      </c>
      <c r="E8836" s="142" t="s">
        <v>15849</v>
      </c>
      <c r="F8836" s="142" t="s">
        <v>192</v>
      </c>
      <c r="G8836" s="142" t="s">
        <v>7712</v>
      </c>
      <c r="H8836" s="142" t="s">
        <v>24686</v>
      </c>
      <c r="I8836" s="142">
        <v>53</v>
      </c>
      <c r="J8836" s="142">
        <v>53</v>
      </c>
      <c r="K8836" s="142">
        <v>0</v>
      </c>
      <c r="L8836" s="142">
        <v>0</v>
      </c>
      <c r="M8836" s="142">
        <v>0</v>
      </c>
    </row>
    <row r="8837" spans="1:13" x14ac:dyDescent="0.45">
      <c r="A8837" s="142" t="s">
        <v>13035</v>
      </c>
      <c r="B8837" s="142" t="s">
        <v>14648</v>
      </c>
      <c r="C8837" s="142" t="s">
        <v>15847</v>
      </c>
      <c r="D8837" s="142" t="s">
        <v>15848</v>
      </c>
      <c r="E8837" s="142" t="s">
        <v>15849</v>
      </c>
      <c r="F8837" s="142" t="s">
        <v>192</v>
      </c>
      <c r="G8837" s="142" t="s">
        <v>7712</v>
      </c>
      <c r="H8837" s="142" t="s">
        <v>24687</v>
      </c>
      <c r="I8837" s="142">
        <v>7</v>
      </c>
      <c r="J8837" s="142">
        <v>7</v>
      </c>
      <c r="K8837" s="142">
        <v>0</v>
      </c>
      <c r="L8837" s="142">
        <v>0</v>
      </c>
      <c r="M8837" s="142">
        <v>0</v>
      </c>
    </row>
    <row r="8838" spans="1:13" x14ac:dyDescent="0.45">
      <c r="A8838" s="142" t="s">
        <v>13038</v>
      </c>
      <c r="B8838" s="142" t="s">
        <v>14646</v>
      </c>
      <c r="C8838" s="142" t="s">
        <v>15847</v>
      </c>
      <c r="D8838" s="142" t="s">
        <v>15848</v>
      </c>
      <c r="E8838" s="142" t="s">
        <v>15849</v>
      </c>
      <c r="F8838" s="142" t="s">
        <v>192</v>
      </c>
      <c r="G8838" s="142" t="s">
        <v>7712</v>
      </c>
      <c r="H8838" s="142" t="s">
        <v>24688</v>
      </c>
      <c r="I8838" s="142">
        <v>13</v>
      </c>
      <c r="J8838" s="142">
        <v>0</v>
      </c>
      <c r="K8838" s="142">
        <v>0</v>
      </c>
      <c r="L8838" s="142">
        <v>0</v>
      </c>
      <c r="M8838" s="142">
        <v>13</v>
      </c>
    </row>
    <row r="8839" spans="1:13" x14ac:dyDescent="0.45">
      <c r="A8839" s="142" t="s">
        <v>13009</v>
      </c>
      <c r="B8839" s="142" t="s">
        <v>15256</v>
      </c>
      <c r="C8839" s="142" t="s">
        <v>15847</v>
      </c>
      <c r="D8839" s="142" t="s">
        <v>15848</v>
      </c>
      <c r="E8839" s="142" t="s">
        <v>15849</v>
      </c>
      <c r="F8839" s="142" t="s">
        <v>192</v>
      </c>
      <c r="G8839" s="142" t="s">
        <v>7712</v>
      </c>
      <c r="H8839" s="142" t="s">
        <v>24689</v>
      </c>
      <c r="I8839" s="142">
        <v>17</v>
      </c>
      <c r="J8839" s="142">
        <v>15</v>
      </c>
      <c r="K8839" s="142">
        <v>0</v>
      </c>
      <c r="L8839" s="142">
        <v>0</v>
      </c>
      <c r="M8839" s="142">
        <v>2</v>
      </c>
    </row>
    <row r="8840" spans="1:13" x14ac:dyDescent="0.45">
      <c r="A8840" s="142" t="s">
        <v>13403</v>
      </c>
      <c r="B8840" s="142" t="s">
        <v>15412</v>
      </c>
      <c r="C8840" s="142" t="s">
        <v>15847</v>
      </c>
      <c r="D8840" s="142" t="s">
        <v>15848</v>
      </c>
      <c r="E8840" s="142" t="s">
        <v>15849</v>
      </c>
      <c r="F8840" s="142" t="s">
        <v>192</v>
      </c>
      <c r="G8840" s="142" t="s">
        <v>7712</v>
      </c>
      <c r="H8840" s="142" t="s">
        <v>24690</v>
      </c>
      <c r="I8840" s="142">
        <v>988</v>
      </c>
      <c r="J8840" s="142">
        <v>737</v>
      </c>
      <c r="K8840" s="142">
        <v>0</v>
      </c>
      <c r="L8840" s="142">
        <v>27</v>
      </c>
      <c r="M8840" s="142">
        <v>224</v>
      </c>
    </row>
    <row r="8841" spans="1:13" x14ac:dyDescent="0.45">
      <c r="A8841" s="142" t="s">
        <v>13058</v>
      </c>
      <c r="B8841" s="142" t="s">
        <v>14584</v>
      </c>
      <c r="C8841" s="142" t="s">
        <v>15847</v>
      </c>
      <c r="D8841" s="142" t="s">
        <v>15848</v>
      </c>
      <c r="E8841" s="142" t="s">
        <v>15849</v>
      </c>
      <c r="F8841" s="142" t="s">
        <v>192</v>
      </c>
      <c r="G8841" s="142" t="s">
        <v>7712</v>
      </c>
      <c r="H8841" s="142" t="s">
        <v>24691</v>
      </c>
      <c r="I8841" s="142">
        <v>6682</v>
      </c>
      <c r="J8841" s="142">
        <v>5988</v>
      </c>
      <c r="K8841" s="142">
        <v>0</v>
      </c>
      <c r="L8841" s="142">
        <v>317</v>
      </c>
      <c r="M8841" s="142">
        <v>377</v>
      </c>
    </row>
    <row r="8842" spans="1:13" x14ac:dyDescent="0.45">
      <c r="A8842" s="142" t="s">
        <v>13012</v>
      </c>
      <c r="B8842" s="142" t="s">
        <v>15337</v>
      </c>
      <c r="C8842" s="142" t="s">
        <v>15847</v>
      </c>
      <c r="D8842" s="142" t="s">
        <v>15848</v>
      </c>
      <c r="E8842" s="142" t="s">
        <v>15849</v>
      </c>
      <c r="F8842" s="142" t="s">
        <v>192</v>
      </c>
      <c r="G8842" s="142" t="s">
        <v>7712</v>
      </c>
      <c r="H8842" s="142" t="s">
        <v>24692</v>
      </c>
      <c r="I8842" s="142">
        <v>390</v>
      </c>
      <c r="J8842" s="142">
        <v>246</v>
      </c>
      <c r="K8842" s="142">
        <v>0</v>
      </c>
      <c r="L8842" s="142">
        <v>19</v>
      </c>
      <c r="M8842" s="142">
        <v>125</v>
      </c>
    </row>
    <row r="8843" spans="1:13" x14ac:dyDescent="0.45">
      <c r="A8843" s="142" t="s">
        <v>13060</v>
      </c>
      <c r="B8843" s="142" t="s">
        <v>14470</v>
      </c>
      <c r="C8843" s="142" t="s">
        <v>15847</v>
      </c>
      <c r="D8843" s="142" t="s">
        <v>15848</v>
      </c>
      <c r="E8843" s="142" t="s">
        <v>15849</v>
      </c>
      <c r="F8843" s="142" t="s">
        <v>192</v>
      </c>
      <c r="G8843" s="142" t="s">
        <v>7712</v>
      </c>
      <c r="H8843" s="142" t="s">
        <v>24693</v>
      </c>
      <c r="I8843" s="142">
        <v>22</v>
      </c>
      <c r="J8843" s="142">
        <v>12</v>
      </c>
      <c r="K8843" s="142">
        <v>0</v>
      </c>
      <c r="L8843" s="142">
        <v>0</v>
      </c>
      <c r="M8843" s="142">
        <v>10</v>
      </c>
    </row>
    <row r="8844" spans="1:13" x14ac:dyDescent="0.45">
      <c r="A8844" s="142" t="s">
        <v>13014</v>
      </c>
      <c r="B8844" s="142" t="s">
        <v>14505</v>
      </c>
      <c r="C8844" s="142" t="s">
        <v>15847</v>
      </c>
      <c r="D8844" s="142" t="s">
        <v>15848</v>
      </c>
      <c r="E8844" s="142" t="s">
        <v>15849</v>
      </c>
      <c r="F8844" s="142" t="s">
        <v>192</v>
      </c>
      <c r="G8844" s="142" t="s">
        <v>7712</v>
      </c>
      <c r="H8844" s="142" t="s">
        <v>24694</v>
      </c>
      <c r="I8844" s="142">
        <v>12</v>
      </c>
      <c r="J8844" s="142">
        <v>9</v>
      </c>
      <c r="K8844" s="142">
        <v>0</v>
      </c>
      <c r="L8844" s="142">
        <v>0</v>
      </c>
      <c r="M8844" s="142">
        <v>3</v>
      </c>
    </row>
    <row r="8845" spans="1:13" x14ac:dyDescent="0.45">
      <c r="A8845" s="142" t="s">
        <v>13207</v>
      </c>
      <c r="B8845" s="142" t="s">
        <v>15558</v>
      </c>
      <c r="C8845" s="142" t="s">
        <v>15847</v>
      </c>
      <c r="D8845" s="142" t="s">
        <v>15848</v>
      </c>
      <c r="E8845" s="142" t="s">
        <v>15849</v>
      </c>
      <c r="F8845" s="142" t="s">
        <v>192</v>
      </c>
      <c r="G8845" s="142" t="s">
        <v>7712</v>
      </c>
      <c r="H8845" s="142" t="s">
        <v>24695</v>
      </c>
      <c r="I8845" s="142">
        <v>78</v>
      </c>
      <c r="J8845" s="142">
        <v>34</v>
      </c>
      <c r="K8845" s="142">
        <v>0</v>
      </c>
      <c r="L8845" s="142">
        <v>36</v>
      </c>
      <c r="M8845" s="142">
        <v>8</v>
      </c>
    </row>
    <row r="8846" spans="1:13" x14ac:dyDescent="0.45">
      <c r="A8846" s="142" t="s">
        <v>13146</v>
      </c>
      <c r="B8846" s="142" t="s">
        <v>15310</v>
      </c>
      <c r="C8846" s="142" t="s">
        <v>15847</v>
      </c>
      <c r="D8846" s="142" t="s">
        <v>15848</v>
      </c>
      <c r="E8846" s="142" t="s">
        <v>15849</v>
      </c>
      <c r="F8846" s="142" t="s">
        <v>193</v>
      </c>
      <c r="G8846" s="142" t="s">
        <v>11103</v>
      </c>
      <c r="H8846" s="142" t="s">
        <v>24696</v>
      </c>
      <c r="I8846" s="142">
        <v>6</v>
      </c>
      <c r="J8846" s="142">
        <v>6</v>
      </c>
      <c r="K8846" s="142">
        <v>0</v>
      </c>
      <c r="L8846" s="142">
        <v>0</v>
      </c>
      <c r="M8846" s="142">
        <v>0</v>
      </c>
    </row>
    <row r="8847" spans="1:13" x14ac:dyDescent="0.45">
      <c r="A8847" s="142" t="s">
        <v>13072</v>
      </c>
      <c r="B8847" s="142" t="s">
        <v>15530</v>
      </c>
      <c r="C8847" s="142" t="s">
        <v>15847</v>
      </c>
      <c r="D8847" s="142" t="s">
        <v>15848</v>
      </c>
      <c r="E8847" s="142" t="s">
        <v>15849</v>
      </c>
      <c r="F8847" s="142" t="s">
        <v>193</v>
      </c>
      <c r="G8847" s="142" t="s">
        <v>11103</v>
      </c>
      <c r="H8847" s="142" t="s">
        <v>24697</v>
      </c>
      <c r="I8847" s="142">
        <v>306</v>
      </c>
      <c r="J8847" s="142">
        <v>212</v>
      </c>
      <c r="K8847" s="142">
        <v>0</v>
      </c>
      <c r="L8847" s="142">
        <v>67</v>
      </c>
      <c r="M8847" s="142">
        <v>27</v>
      </c>
    </row>
    <row r="8848" spans="1:13" x14ac:dyDescent="0.45">
      <c r="A8848" s="142" t="s">
        <v>13023</v>
      </c>
      <c r="B8848" s="142" t="s">
        <v>15571</v>
      </c>
      <c r="C8848" s="142" t="s">
        <v>15847</v>
      </c>
      <c r="D8848" s="142" t="s">
        <v>15848</v>
      </c>
      <c r="E8848" s="142" t="s">
        <v>15849</v>
      </c>
      <c r="F8848" s="142" t="s">
        <v>193</v>
      </c>
      <c r="G8848" s="142" t="s">
        <v>11103</v>
      </c>
      <c r="H8848" s="142" t="s">
        <v>24698</v>
      </c>
      <c r="I8848" s="142">
        <v>127</v>
      </c>
      <c r="J8848" s="142">
        <v>0</v>
      </c>
      <c r="K8848" s="142">
        <v>0</v>
      </c>
      <c r="L8848" s="142">
        <v>124</v>
      </c>
      <c r="M8848" s="142">
        <v>3</v>
      </c>
    </row>
    <row r="8849" spans="1:13" x14ac:dyDescent="0.45">
      <c r="A8849" s="142" t="s">
        <v>13113</v>
      </c>
      <c r="B8849" s="142" t="s">
        <v>14503</v>
      </c>
      <c r="C8849" s="142" t="s">
        <v>15860</v>
      </c>
      <c r="D8849" s="142" t="s">
        <v>15861</v>
      </c>
      <c r="E8849" s="142" t="s">
        <v>15849</v>
      </c>
      <c r="F8849" s="142" t="s">
        <v>193</v>
      </c>
      <c r="G8849" s="142" t="s">
        <v>11103</v>
      </c>
      <c r="H8849" s="142" t="s">
        <v>24699</v>
      </c>
      <c r="I8849" s="142">
        <v>1</v>
      </c>
      <c r="J8849" s="142">
        <v>1</v>
      </c>
      <c r="K8849" s="142">
        <v>0</v>
      </c>
      <c r="L8849" s="142">
        <v>0</v>
      </c>
      <c r="M8849" s="142">
        <v>0</v>
      </c>
    </row>
    <row r="8850" spans="1:13" x14ac:dyDescent="0.45">
      <c r="A8850" s="142" t="s">
        <v>13082</v>
      </c>
      <c r="B8850" s="142" t="s">
        <v>14478</v>
      </c>
      <c r="C8850" s="142" t="s">
        <v>15860</v>
      </c>
      <c r="D8850" s="142" t="s">
        <v>15861</v>
      </c>
      <c r="E8850" s="142" t="s">
        <v>15849</v>
      </c>
      <c r="F8850" s="142" t="s">
        <v>193</v>
      </c>
      <c r="G8850" s="142" t="s">
        <v>11103</v>
      </c>
      <c r="H8850" s="142" t="s">
        <v>24700</v>
      </c>
      <c r="I8850" s="142">
        <v>3</v>
      </c>
      <c r="J8850" s="142">
        <v>0</v>
      </c>
      <c r="K8850" s="142">
        <v>0</v>
      </c>
      <c r="L8850" s="142">
        <v>3</v>
      </c>
      <c r="M8850" s="142">
        <v>0</v>
      </c>
    </row>
    <row r="8851" spans="1:13" x14ac:dyDescent="0.45">
      <c r="A8851" s="142" t="s">
        <v>13065</v>
      </c>
      <c r="B8851" s="142" t="s">
        <v>14497</v>
      </c>
      <c r="C8851" s="142" t="s">
        <v>15847</v>
      </c>
      <c r="D8851" s="142" t="s">
        <v>15848</v>
      </c>
      <c r="E8851" s="142" t="s">
        <v>15849</v>
      </c>
      <c r="F8851" s="142" t="s">
        <v>193</v>
      </c>
      <c r="G8851" s="142" t="s">
        <v>11103</v>
      </c>
      <c r="H8851" s="142" t="s">
        <v>24701</v>
      </c>
      <c r="I8851" s="142">
        <v>6</v>
      </c>
      <c r="J8851" s="142">
        <v>0</v>
      </c>
      <c r="K8851" s="142">
        <v>0</v>
      </c>
      <c r="L8851" s="142">
        <v>6</v>
      </c>
      <c r="M8851" s="142">
        <v>0</v>
      </c>
    </row>
    <row r="8852" spans="1:13" x14ac:dyDescent="0.45">
      <c r="A8852" s="142" t="s">
        <v>13315</v>
      </c>
      <c r="B8852" s="142" t="s">
        <v>14511</v>
      </c>
      <c r="C8852" s="142" t="s">
        <v>15860</v>
      </c>
      <c r="D8852" s="142" t="s">
        <v>15861</v>
      </c>
      <c r="E8852" s="142" t="s">
        <v>15849</v>
      </c>
      <c r="F8852" s="142" t="s">
        <v>193</v>
      </c>
      <c r="G8852" s="142" t="s">
        <v>11103</v>
      </c>
      <c r="H8852" s="142" t="s">
        <v>24702</v>
      </c>
      <c r="I8852" s="142">
        <v>11</v>
      </c>
      <c r="J8852" s="142">
        <v>0</v>
      </c>
      <c r="K8852" s="142">
        <v>11</v>
      </c>
      <c r="L8852" s="142">
        <v>0</v>
      </c>
      <c r="M8852" s="142">
        <v>0</v>
      </c>
    </row>
    <row r="8853" spans="1:13" x14ac:dyDescent="0.45">
      <c r="A8853" s="142" t="s">
        <v>13321</v>
      </c>
      <c r="B8853" s="142" t="s">
        <v>15367</v>
      </c>
      <c r="C8853" s="142" t="s">
        <v>15847</v>
      </c>
      <c r="D8853" s="142" t="s">
        <v>15848</v>
      </c>
      <c r="E8853" s="142" t="s">
        <v>15849</v>
      </c>
      <c r="F8853" s="142" t="s">
        <v>193</v>
      </c>
      <c r="G8853" s="142" t="s">
        <v>11103</v>
      </c>
      <c r="H8853" s="142" t="s">
        <v>24703</v>
      </c>
      <c r="I8853" s="142">
        <v>73</v>
      </c>
      <c r="J8853" s="142">
        <v>32</v>
      </c>
      <c r="K8853" s="142">
        <v>0</v>
      </c>
      <c r="L8853" s="142">
        <v>8</v>
      </c>
      <c r="M8853" s="142">
        <v>33</v>
      </c>
    </row>
    <row r="8854" spans="1:13" x14ac:dyDescent="0.45">
      <c r="A8854" s="142" t="s">
        <v>14323</v>
      </c>
      <c r="B8854" s="142" t="s">
        <v>14898</v>
      </c>
      <c r="C8854" s="142" t="s">
        <v>15860</v>
      </c>
      <c r="D8854" s="142" t="s">
        <v>15861</v>
      </c>
      <c r="E8854" s="142" t="s">
        <v>15849</v>
      </c>
      <c r="F8854" s="142" t="s">
        <v>193</v>
      </c>
      <c r="G8854" s="142" t="s">
        <v>11103</v>
      </c>
      <c r="H8854" s="142" t="s">
        <v>24704</v>
      </c>
      <c r="I8854" s="142">
        <v>4</v>
      </c>
      <c r="J8854" s="142">
        <v>0</v>
      </c>
      <c r="K8854" s="142">
        <v>0</v>
      </c>
      <c r="L8854" s="142">
        <v>4</v>
      </c>
      <c r="M8854" s="142">
        <v>0</v>
      </c>
    </row>
    <row r="8855" spans="1:13" x14ac:dyDescent="0.45">
      <c r="A8855" s="142" t="s">
        <v>13099</v>
      </c>
      <c r="B8855" s="142" t="s">
        <v>14547</v>
      </c>
      <c r="C8855" s="142" t="s">
        <v>15860</v>
      </c>
      <c r="D8855" s="142" t="s">
        <v>15861</v>
      </c>
      <c r="E8855" s="142" t="s">
        <v>15849</v>
      </c>
      <c r="F8855" s="142" t="s">
        <v>193</v>
      </c>
      <c r="G8855" s="142" t="s">
        <v>11103</v>
      </c>
      <c r="H8855" s="142" t="s">
        <v>24705</v>
      </c>
      <c r="I8855" s="142">
        <v>26</v>
      </c>
      <c r="J8855" s="142">
        <v>0</v>
      </c>
      <c r="K8855" s="142">
        <v>0</v>
      </c>
      <c r="L8855" s="142">
        <v>26</v>
      </c>
      <c r="M8855" s="142">
        <v>0</v>
      </c>
    </row>
    <row r="8856" spans="1:13" x14ac:dyDescent="0.45">
      <c r="A8856" s="142" t="s">
        <v>13552</v>
      </c>
      <c r="B8856" s="142" t="s">
        <v>14476</v>
      </c>
      <c r="C8856" s="142" t="s">
        <v>15860</v>
      </c>
      <c r="D8856" s="142" t="s">
        <v>15861</v>
      </c>
      <c r="E8856" s="142" t="s">
        <v>15849</v>
      </c>
      <c r="F8856" s="142" t="s">
        <v>193</v>
      </c>
      <c r="G8856" s="142" t="s">
        <v>11103</v>
      </c>
      <c r="H8856" s="142" t="s">
        <v>24706</v>
      </c>
      <c r="I8856" s="142">
        <v>20</v>
      </c>
      <c r="J8856" s="142">
        <v>0</v>
      </c>
      <c r="K8856" s="142">
        <v>0</v>
      </c>
      <c r="L8856" s="142">
        <v>20</v>
      </c>
      <c r="M8856" s="142">
        <v>0</v>
      </c>
    </row>
    <row r="8857" spans="1:13" x14ac:dyDescent="0.45">
      <c r="A8857" s="142" t="s">
        <v>14324</v>
      </c>
      <c r="B8857" s="142" t="s">
        <v>14819</v>
      </c>
      <c r="C8857" s="142" t="s">
        <v>15860</v>
      </c>
      <c r="D8857" s="142" t="s">
        <v>15861</v>
      </c>
      <c r="E8857" s="142" t="s">
        <v>15849</v>
      </c>
      <c r="F8857" s="142" t="s">
        <v>193</v>
      </c>
      <c r="G8857" s="142" t="s">
        <v>11103</v>
      </c>
      <c r="H8857" s="142" t="s">
        <v>24707</v>
      </c>
      <c r="I8857" s="142">
        <v>13</v>
      </c>
      <c r="J8857" s="142">
        <v>13</v>
      </c>
      <c r="K8857" s="142">
        <v>0</v>
      </c>
      <c r="L8857" s="142">
        <v>0</v>
      </c>
      <c r="M8857" s="142">
        <v>0</v>
      </c>
    </row>
    <row r="8858" spans="1:13" x14ac:dyDescent="0.45">
      <c r="A8858" s="142" t="s">
        <v>13027</v>
      </c>
      <c r="B8858" s="142" t="s">
        <v>14562</v>
      </c>
      <c r="C8858" s="142" t="s">
        <v>15847</v>
      </c>
      <c r="D8858" s="142" t="s">
        <v>15848</v>
      </c>
      <c r="E8858" s="142" t="s">
        <v>15849</v>
      </c>
      <c r="F8858" s="142" t="s">
        <v>193</v>
      </c>
      <c r="G8858" s="142" t="s">
        <v>11103</v>
      </c>
      <c r="H8858" s="142" t="s">
        <v>24708</v>
      </c>
      <c r="I8858" s="142">
        <v>29</v>
      </c>
      <c r="J8858" s="142">
        <v>0</v>
      </c>
      <c r="K8858" s="142">
        <v>0</v>
      </c>
      <c r="L8858" s="142">
        <v>29</v>
      </c>
      <c r="M8858" s="142">
        <v>0</v>
      </c>
    </row>
    <row r="8859" spans="1:13" x14ac:dyDescent="0.45">
      <c r="A8859" s="142" t="s">
        <v>13148</v>
      </c>
      <c r="B8859" s="142" t="s">
        <v>15314</v>
      </c>
      <c r="C8859" s="142" t="s">
        <v>15847</v>
      </c>
      <c r="D8859" s="142" t="s">
        <v>15848</v>
      </c>
      <c r="E8859" s="142" t="s">
        <v>15849</v>
      </c>
      <c r="F8859" s="142" t="s">
        <v>193</v>
      </c>
      <c r="G8859" s="142" t="s">
        <v>11103</v>
      </c>
      <c r="H8859" s="142" t="s">
        <v>24709</v>
      </c>
      <c r="I8859" s="142">
        <v>1</v>
      </c>
      <c r="J8859" s="142">
        <v>0</v>
      </c>
      <c r="K8859" s="142">
        <v>0</v>
      </c>
      <c r="L8859" s="142">
        <v>0</v>
      </c>
      <c r="M8859" s="142">
        <v>1</v>
      </c>
    </row>
    <row r="8860" spans="1:13" x14ac:dyDescent="0.45">
      <c r="A8860" s="142" t="s">
        <v>13001</v>
      </c>
      <c r="B8860" s="142" t="s">
        <v>15506</v>
      </c>
      <c r="C8860" s="142" t="s">
        <v>15847</v>
      </c>
      <c r="D8860" s="142" t="s">
        <v>15848</v>
      </c>
      <c r="E8860" s="142" t="s">
        <v>15849</v>
      </c>
      <c r="F8860" s="142" t="s">
        <v>193</v>
      </c>
      <c r="G8860" s="142" t="s">
        <v>11103</v>
      </c>
      <c r="H8860" s="142" t="s">
        <v>24710</v>
      </c>
      <c r="I8860" s="142">
        <v>65</v>
      </c>
      <c r="J8860" s="142">
        <v>64</v>
      </c>
      <c r="K8860" s="142">
        <v>0</v>
      </c>
      <c r="L8860" s="142">
        <v>1</v>
      </c>
      <c r="M8860" s="142">
        <v>0</v>
      </c>
    </row>
    <row r="8861" spans="1:13" x14ac:dyDescent="0.45">
      <c r="A8861" s="142" t="s">
        <v>13028</v>
      </c>
      <c r="B8861" s="142" t="s">
        <v>14462</v>
      </c>
      <c r="C8861" s="142" t="s">
        <v>15847</v>
      </c>
      <c r="D8861" s="142" t="s">
        <v>15848</v>
      </c>
      <c r="E8861" s="142" t="s">
        <v>15849</v>
      </c>
      <c r="F8861" s="142" t="s">
        <v>193</v>
      </c>
      <c r="G8861" s="142" t="s">
        <v>11103</v>
      </c>
      <c r="H8861" s="142" t="s">
        <v>24711</v>
      </c>
      <c r="I8861" s="142">
        <v>140</v>
      </c>
      <c r="J8861" s="142">
        <v>0</v>
      </c>
      <c r="K8861" s="142">
        <v>0</v>
      </c>
      <c r="L8861" s="142">
        <v>0</v>
      </c>
      <c r="M8861" s="142">
        <v>140</v>
      </c>
    </row>
    <row r="8862" spans="1:13" x14ac:dyDescent="0.45">
      <c r="A8862" s="142" t="s">
        <v>13150</v>
      </c>
      <c r="B8862" s="142" t="s">
        <v>14539</v>
      </c>
      <c r="C8862" s="142" t="s">
        <v>15860</v>
      </c>
      <c r="D8862" s="142" t="s">
        <v>15861</v>
      </c>
      <c r="E8862" s="142" t="s">
        <v>15849</v>
      </c>
      <c r="F8862" s="142" t="s">
        <v>193</v>
      </c>
      <c r="G8862" s="142" t="s">
        <v>11103</v>
      </c>
      <c r="H8862" s="142" t="s">
        <v>24712</v>
      </c>
      <c r="I8862" s="142">
        <v>67</v>
      </c>
      <c r="J8862" s="142">
        <v>16</v>
      </c>
      <c r="K8862" s="142">
        <v>0</v>
      </c>
      <c r="L8862" s="142">
        <v>51</v>
      </c>
      <c r="M8862" s="142">
        <v>0</v>
      </c>
    </row>
    <row r="8863" spans="1:13" x14ac:dyDescent="0.45">
      <c r="A8863" s="142" t="s">
        <v>13002</v>
      </c>
      <c r="B8863" s="142" t="s">
        <v>15376</v>
      </c>
      <c r="C8863" s="142" t="s">
        <v>15847</v>
      </c>
      <c r="D8863" s="142" t="s">
        <v>15848</v>
      </c>
      <c r="E8863" s="142" t="s">
        <v>15849</v>
      </c>
      <c r="F8863" s="142" t="s">
        <v>193</v>
      </c>
      <c r="G8863" s="142" t="s">
        <v>11103</v>
      </c>
      <c r="H8863" s="142" t="s">
        <v>24713</v>
      </c>
      <c r="I8863" s="142">
        <v>2</v>
      </c>
      <c r="J8863" s="142">
        <v>0</v>
      </c>
      <c r="K8863" s="142">
        <v>0</v>
      </c>
      <c r="L8863" s="142">
        <v>0</v>
      </c>
      <c r="M8863" s="142">
        <v>2</v>
      </c>
    </row>
    <row r="8864" spans="1:13" x14ac:dyDescent="0.45">
      <c r="A8864" s="142" t="s">
        <v>13003</v>
      </c>
      <c r="B8864" s="142" t="s">
        <v>15245</v>
      </c>
      <c r="C8864" s="142" t="s">
        <v>15847</v>
      </c>
      <c r="D8864" s="142" t="s">
        <v>15848</v>
      </c>
      <c r="E8864" s="142" t="s">
        <v>15849</v>
      </c>
      <c r="F8864" s="142" t="s">
        <v>193</v>
      </c>
      <c r="G8864" s="142" t="s">
        <v>11103</v>
      </c>
      <c r="H8864" s="142" t="s">
        <v>24714</v>
      </c>
      <c r="I8864" s="142">
        <v>25</v>
      </c>
      <c r="J8864" s="142">
        <v>0</v>
      </c>
      <c r="K8864" s="142">
        <v>0</v>
      </c>
      <c r="L8864" s="142">
        <v>25</v>
      </c>
      <c r="M8864" s="142">
        <v>0</v>
      </c>
    </row>
    <row r="8865" spans="1:13" x14ac:dyDescent="0.45">
      <c r="A8865" s="142" t="s">
        <v>13420</v>
      </c>
      <c r="B8865" s="142" t="s">
        <v>14576</v>
      </c>
      <c r="C8865" s="142" t="s">
        <v>15860</v>
      </c>
      <c r="D8865" s="142" t="s">
        <v>15861</v>
      </c>
      <c r="E8865" s="142" t="s">
        <v>15849</v>
      </c>
      <c r="F8865" s="142" t="s">
        <v>193</v>
      </c>
      <c r="G8865" s="142" t="s">
        <v>11103</v>
      </c>
      <c r="H8865" s="142" t="s">
        <v>24715</v>
      </c>
      <c r="I8865" s="142">
        <v>4</v>
      </c>
      <c r="J8865" s="142">
        <v>0</v>
      </c>
      <c r="K8865" s="142">
        <v>0</v>
      </c>
      <c r="L8865" s="142">
        <v>4</v>
      </c>
      <c r="M8865" s="142">
        <v>0</v>
      </c>
    </row>
    <row r="8866" spans="1:13" x14ac:dyDescent="0.45">
      <c r="A8866" s="142" t="s">
        <v>13066</v>
      </c>
      <c r="B8866" s="142" t="s">
        <v>14459</v>
      </c>
      <c r="C8866" s="142" t="s">
        <v>15847</v>
      </c>
      <c r="D8866" s="142" t="s">
        <v>15848</v>
      </c>
      <c r="E8866" s="142" t="s">
        <v>15849</v>
      </c>
      <c r="F8866" s="142" t="s">
        <v>193</v>
      </c>
      <c r="G8866" s="142" t="s">
        <v>11103</v>
      </c>
      <c r="H8866" s="142" t="s">
        <v>24716</v>
      </c>
      <c r="I8866" s="142">
        <v>15</v>
      </c>
      <c r="J8866" s="142">
        <v>0</v>
      </c>
      <c r="K8866" s="142">
        <v>0</v>
      </c>
      <c r="L8866" s="142">
        <v>15</v>
      </c>
      <c r="M8866" s="142">
        <v>0</v>
      </c>
    </row>
    <row r="8867" spans="1:13" x14ac:dyDescent="0.45">
      <c r="A8867" s="142" t="s">
        <v>13323</v>
      </c>
      <c r="B8867" s="142" t="s">
        <v>15466</v>
      </c>
      <c r="C8867" s="142" t="s">
        <v>15847</v>
      </c>
      <c r="D8867" s="142" t="s">
        <v>15848</v>
      </c>
      <c r="E8867" s="142" t="s">
        <v>15849</v>
      </c>
      <c r="F8867" s="142" t="s">
        <v>193</v>
      </c>
      <c r="G8867" s="142" t="s">
        <v>11103</v>
      </c>
      <c r="H8867" s="142" t="s">
        <v>24717</v>
      </c>
      <c r="I8867" s="142">
        <v>117</v>
      </c>
      <c r="J8867" s="142">
        <v>105</v>
      </c>
      <c r="K8867" s="142">
        <v>0</v>
      </c>
      <c r="L8867" s="142">
        <v>9</v>
      </c>
      <c r="M8867" s="142">
        <v>3</v>
      </c>
    </row>
    <row r="8868" spans="1:13" x14ac:dyDescent="0.45">
      <c r="A8868" s="142" t="s">
        <v>13557</v>
      </c>
      <c r="B8868" s="142" t="s">
        <v>14592</v>
      </c>
      <c r="C8868" s="142" t="s">
        <v>15847</v>
      </c>
      <c r="D8868" s="142" t="s">
        <v>15848</v>
      </c>
      <c r="E8868" s="142" t="s">
        <v>15849</v>
      </c>
      <c r="F8868" s="142" t="s">
        <v>193</v>
      </c>
      <c r="G8868" s="142" t="s">
        <v>11103</v>
      </c>
      <c r="H8868" s="142" t="s">
        <v>24718</v>
      </c>
      <c r="I8868" s="142">
        <v>135</v>
      </c>
      <c r="J8868" s="142">
        <v>82</v>
      </c>
      <c r="K8868" s="142">
        <v>0</v>
      </c>
      <c r="L8868" s="142">
        <v>0</v>
      </c>
      <c r="M8868" s="142">
        <v>53</v>
      </c>
    </row>
    <row r="8869" spans="1:13" x14ac:dyDescent="0.45">
      <c r="A8869" s="142" t="s">
        <v>13201</v>
      </c>
      <c r="B8869" s="142" t="s">
        <v>14481</v>
      </c>
      <c r="C8869" s="142" t="s">
        <v>15860</v>
      </c>
      <c r="D8869" s="142" t="s">
        <v>15861</v>
      </c>
      <c r="E8869" s="142" t="s">
        <v>15849</v>
      </c>
      <c r="F8869" s="142" t="s">
        <v>193</v>
      </c>
      <c r="G8869" s="142" t="s">
        <v>11103</v>
      </c>
      <c r="H8869" s="142" t="s">
        <v>24719</v>
      </c>
      <c r="I8869" s="142">
        <v>34</v>
      </c>
      <c r="J8869" s="142">
        <v>0</v>
      </c>
      <c r="K8869" s="142">
        <v>0</v>
      </c>
      <c r="L8869" s="142">
        <v>34</v>
      </c>
      <c r="M8869" s="142">
        <v>0</v>
      </c>
    </row>
    <row r="8870" spans="1:13" x14ac:dyDescent="0.45">
      <c r="A8870" s="142" t="s">
        <v>13652</v>
      </c>
      <c r="B8870" s="142" t="s">
        <v>15519</v>
      </c>
      <c r="C8870" s="142" t="s">
        <v>15847</v>
      </c>
      <c r="D8870" s="142" t="s">
        <v>15848</v>
      </c>
      <c r="E8870" s="142" t="s">
        <v>15849</v>
      </c>
      <c r="F8870" s="142" t="s">
        <v>193</v>
      </c>
      <c r="G8870" s="142" t="s">
        <v>11103</v>
      </c>
      <c r="H8870" s="142" t="s">
        <v>24720</v>
      </c>
      <c r="I8870" s="142">
        <v>234</v>
      </c>
      <c r="J8870" s="142">
        <v>150</v>
      </c>
      <c r="K8870" s="142">
        <v>0</v>
      </c>
      <c r="L8870" s="142">
        <v>4</v>
      </c>
      <c r="M8870" s="142">
        <v>80</v>
      </c>
    </row>
    <row r="8871" spans="1:13" x14ac:dyDescent="0.45">
      <c r="A8871" s="142" t="s">
        <v>13029</v>
      </c>
      <c r="B8871" s="142" t="s">
        <v>14665</v>
      </c>
      <c r="C8871" s="142" t="s">
        <v>15847</v>
      </c>
      <c r="D8871" s="142" t="s">
        <v>15848</v>
      </c>
      <c r="E8871" s="142" t="s">
        <v>15849</v>
      </c>
      <c r="F8871" s="142" t="s">
        <v>193</v>
      </c>
      <c r="G8871" s="142" t="s">
        <v>11103</v>
      </c>
      <c r="H8871" s="142" t="s">
        <v>24721</v>
      </c>
      <c r="I8871" s="142">
        <v>6</v>
      </c>
      <c r="J8871" s="142">
        <v>0</v>
      </c>
      <c r="K8871" s="142">
        <v>0</v>
      </c>
      <c r="L8871" s="142">
        <v>0</v>
      </c>
      <c r="M8871" s="142">
        <v>6</v>
      </c>
    </row>
    <row r="8872" spans="1:13" x14ac:dyDescent="0.45">
      <c r="A8872" s="142" t="s">
        <v>13033</v>
      </c>
      <c r="B8872" s="142" t="s">
        <v>15276</v>
      </c>
      <c r="C8872" s="142" t="s">
        <v>15847</v>
      </c>
      <c r="D8872" s="142" t="s">
        <v>15848</v>
      </c>
      <c r="E8872" s="142" t="s">
        <v>15849</v>
      </c>
      <c r="F8872" s="142" t="s">
        <v>193</v>
      </c>
      <c r="G8872" s="142" t="s">
        <v>11103</v>
      </c>
      <c r="H8872" s="142" t="s">
        <v>24722</v>
      </c>
      <c r="I8872" s="142">
        <v>269</v>
      </c>
      <c r="J8872" s="142">
        <v>236</v>
      </c>
      <c r="K8872" s="142">
        <v>0</v>
      </c>
      <c r="L8872" s="142">
        <v>0</v>
      </c>
      <c r="M8872" s="142">
        <v>33</v>
      </c>
    </row>
    <row r="8873" spans="1:13" x14ac:dyDescent="0.45">
      <c r="A8873" s="142" t="s">
        <v>13171</v>
      </c>
      <c r="B8873" s="142" t="s">
        <v>14523</v>
      </c>
      <c r="C8873" s="142" t="s">
        <v>15860</v>
      </c>
      <c r="D8873" s="142" t="s">
        <v>15861</v>
      </c>
      <c r="E8873" s="142" t="s">
        <v>15849</v>
      </c>
      <c r="F8873" s="142" t="s">
        <v>193</v>
      </c>
      <c r="G8873" s="142" t="s">
        <v>11103</v>
      </c>
      <c r="H8873" s="142" t="s">
        <v>24723</v>
      </c>
      <c r="I8873" s="142">
        <v>8</v>
      </c>
      <c r="J8873" s="142">
        <v>8</v>
      </c>
      <c r="K8873" s="142">
        <v>0</v>
      </c>
      <c r="L8873" s="142">
        <v>0</v>
      </c>
      <c r="M8873" s="142">
        <v>0</v>
      </c>
    </row>
    <row r="8874" spans="1:13" x14ac:dyDescent="0.45">
      <c r="A8874" s="142" t="s">
        <v>13038</v>
      </c>
      <c r="B8874" s="142" t="s">
        <v>14646</v>
      </c>
      <c r="C8874" s="142" t="s">
        <v>15847</v>
      </c>
      <c r="D8874" s="142" t="s">
        <v>15848</v>
      </c>
      <c r="E8874" s="142" t="s">
        <v>15849</v>
      </c>
      <c r="F8874" s="142" t="s">
        <v>193</v>
      </c>
      <c r="G8874" s="142" t="s">
        <v>11103</v>
      </c>
      <c r="H8874" s="142" t="s">
        <v>24724</v>
      </c>
      <c r="I8874" s="142">
        <v>8</v>
      </c>
      <c r="J8874" s="142">
        <v>0</v>
      </c>
      <c r="K8874" s="142">
        <v>0</v>
      </c>
      <c r="L8874" s="142">
        <v>0</v>
      </c>
      <c r="M8874" s="142">
        <v>8</v>
      </c>
    </row>
    <row r="8875" spans="1:13" x14ac:dyDescent="0.45">
      <c r="A8875" s="142" t="s">
        <v>13039</v>
      </c>
      <c r="B8875" s="142" t="s">
        <v>14647</v>
      </c>
      <c r="C8875" s="142" t="s">
        <v>15847</v>
      </c>
      <c r="D8875" s="142" t="s">
        <v>15848</v>
      </c>
      <c r="E8875" s="142" t="s">
        <v>15849</v>
      </c>
      <c r="F8875" s="142" t="s">
        <v>193</v>
      </c>
      <c r="G8875" s="142" t="s">
        <v>11103</v>
      </c>
      <c r="H8875" s="142" t="s">
        <v>24725</v>
      </c>
      <c r="I8875" s="142">
        <v>34</v>
      </c>
      <c r="J8875" s="142">
        <v>34</v>
      </c>
      <c r="K8875" s="142">
        <v>0</v>
      </c>
      <c r="L8875" s="142">
        <v>0</v>
      </c>
      <c r="M8875" s="142">
        <v>0</v>
      </c>
    </row>
    <row r="8876" spans="1:13" x14ac:dyDescent="0.45">
      <c r="A8876" s="142" t="s">
        <v>13152</v>
      </c>
      <c r="B8876" s="142" t="s">
        <v>15249</v>
      </c>
      <c r="C8876" s="142" t="s">
        <v>15847</v>
      </c>
      <c r="D8876" s="142" t="s">
        <v>15848</v>
      </c>
      <c r="E8876" s="142" t="s">
        <v>15849</v>
      </c>
      <c r="F8876" s="142" t="s">
        <v>193</v>
      </c>
      <c r="G8876" s="142" t="s">
        <v>11103</v>
      </c>
      <c r="H8876" s="142" t="s">
        <v>24726</v>
      </c>
      <c r="I8876" s="142">
        <v>129</v>
      </c>
      <c r="J8876" s="142">
        <v>36</v>
      </c>
      <c r="K8876" s="142">
        <v>0</v>
      </c>
      <c r="L8876" s="142">
        <v>69</v>
      </c>
      <c r="M8876" s="142">
        <v>24</v>
      </c>
    </row>
    <row r="8877" spans="1:13" x14ac:dyDescent="0.45">
      <c r="A8877" s="142" t="s">
        <v>13041</v>
      </c>
      <c r="B8877" s="142" t="s">
        <v>14441</v>
      </c>
      <c r="C8877" s="142" t="s">
        <v>15847</v>
      </c>
      <c r="D8877" s="142" t="s">
        <v>15848</v>
      </c>
      <c r="E8877" s="142" t="s">
        <v>15849</v>
      </c>
      <c r="F8877" s="142" t="s">
        <v>193</v>
      </c>
      <c r="G8877" s="142" t="s">
        <v>11103</v>
      </c>
      <c r="H8877" s="142" t="s">
        <v>24727</v>
      </c>
      <c r="I8877" s="142">
        <v>26</v>
      </c>
      <c r="J8877" s="142">
        <v>0</v>
      </c>
      <c r="K8877" s="142">
        <v>0</v>
      </c>
      <c r="L8877" s="142">
        <v>0</v>
      </c>
      <c r="M8877" s="142">
        <v>26</v>
      </c>
    </row>
    <row r="8878" spans="1:13" x14ac:dyDescent="0.45">
      <c r="A8878" s="142" t="s">
        <v>13012</v>
      </c>
      <c r="B8878" s="142" t="s">
        <v>15337</v>
      </c>
      <c r="C8878" s="142" t="s">
        <v>15847</v>
      </c>
      <c r="D8878" s="142" t="s">
        <v>15848</v>
      </c>
      <c r="E8878" s="142" t="s">
        <v>15849</v>
      </c>
      <c r="F8878" s="142" t="s">
        <v>193</v>
      </c>
      <c r="G8878" s="142" t="s">
        <v>11103</v>
      </c>
      <c r="H8878" s="142" t="s">
        <v>24728</v>
      </c>
      <c r="I8878" s="142">
        <v>286</v>
      </c>
      <c r="J8878" s="142">
        <v>199</v>
      </c>
      <c r="K8878" s="142">
        <v>0</v>
      </c>
      <c r="L8878" s="142">
        <v>1</v>
      </c>
      <c r="M8878" s="142">
        <v>86</v>
      </c>
    </row>
    <row r="8879" spans="1:13" x14ac:dyDescent="0.45">
      <c r="A8879" s="142" t="s">
        <v>13014</v>
      </c>
      <c r="B8879" s="142" t="s">
        <v>14505</v>
      </c>
      <c r="C8879" s="142" t="s">
        <v>15847</v>
      </c>
      <c r="D8879" s="142" t="s">
        <v>15848</v>
      </c>
      <c r="E8879" s="142" t="s">
        <v>15849</v>
      </c>
      <c r="F8879" s="142" t="s">
        <v>193</v>
      </c>
      <c r="G8879" s="142" t="s">
        <v>11103</v>
      </c>
      <c r="H8879" s="142" t="s">
        <v>24729</v>
      </c>
      <c r="I8879" s="142">
        <v>501</v>
      </c>
      <c r="J8879" s="142">
        <v>208</v>
      </c>
      <c r="K8879" s="142">
        <v>0</v>
      </c>
      <c r="L8879" s="142">
        <v>221</v>
      </c>
      <c r="M8879" s="142">
        <v>72</v>
      </c>
    </row>
    <row r="8880" spans="1:13" x14ac:dyDescent="0.45">
      <c r="A8880" s="142" t="s">
        <v>13042</v>
      </c>
      <c r="B8880" s="142" t="s">
        <v>15489</v>
      </c>
      <c r="C8880" s="142" t="s">
        <v>15847</v>
      </c>
      <c r="D8880" s="142" t="s">
        <v>15848</v>
      </c>
      <c r="E8880" s="142" t="s">
        <v>15849</v>
      </c>
      <c r="F8880" s="142" t="s">
        <v>193</v>
      </c>
      <c r="G8880" s="142" t="s">
        <v>11103</v>
      </c>
      <c r="H8880" s="142" t="s">
        <v>24730</v>
      </c>
      <c r="I8880" s="142">
        <v>236</v>
      </c>
      <c r="J8880" s="142">
        <v>146</v>
      </c>
      <c r="K8880" s="142">
        <v>0</v>
      </c>
      <c r="L8880" s="142">
        <v>82</v>
      </c>
      <c r="M8880" s="142">
        <v>8</v>
      </c>
    </row>
    <row r="8881" spans="1:13" x14ac:dyDescent="0.45">
      <c r="A8881" s="142" t="s">
        <v>13154</v>
      </c>
      <c r="B8881" s="142" t="s">
        <v>15415</v>
      </c>
      <c r="C8881" s="142" t="s">
        <v>15847</v>
      </c>
      <c r="D8881" s="142" t="s">
        <v>15848</v>
      </c>
      <c r="E8881" s="142" t="s">
        <v>15849</v>
      </c>
      <c r="F8881" s="142" t="s">
        <v>193</v>
      </c>
      <c r="G8881" s="142" t="s">
        <v>11103</v>
      </c>
      <c r="H8881" s="142" t="s">
        <v>24731</v>
      </c>
      <c r="I8881" s="142">
        <v>1376</v>
      </c>
      <c r="J8881" s="142">
        <v>1096</v>
      </c>
      <c r="K8881" s="142">
        <v>0</v>
      </c>
      <c r="L8881" s="142">
        <v>150</v>
      </c>
      <c r="M8881" s="142">
        <v>130</v>
      </c>
    </row>
    <row r="8882" spans="1:13" x14ac:dyDescent="0.45">
      <c r="A8882" s="142" t="s">
        <v>13155</v>
      </c>
      <c r="B8882" s="142" t="s">
        <v>15455</v>
      </c>
      <c r="C8882" s="142" t="s">
        <v>15847</v>
      </c>
      <c r="D8882" s="142" t="s">
        <v>15848</v>
      </c>
      <c r="E8882" s="142" t="s">
        <v>15849</v>
      </c>
      <c r="F8882" s="142" t="s">
        <v>193</v>
      </c>
      <c r="G8882" s="142" t="s">
        <v>11103</v>
      </c>
      <c r="H8882" s="142" t="s">
        <v>24732</v>
      </c>
      <c r="I8882" s="142">
        <v>30711</v>
      </c>
      <c r="J8882" s="142">
        <v>28663</v>
      </c>
      <c r="K8882" s="142">
        <v>0</v>
      </c>
      <c r="L8882" s="142">
        <v>1450</v>
      </c>
      <c r="M8882" s="142">
        <v>598</v>
      </c>
    </row>
    <row r="8883" spans="1:13" x14ac:dyDescent="0.45">
      <c r="A8883" s="142" t="s">
        <v>14325</v>
      </c>
      <c r="B8883" s="142" t="s">
        <v>14832</v>
      </c>
      <c r="C8883" s="142" t="s">
        <v>15860</v>
      </c>
      <c r="D8883" s="142" t="s">
        <v>15861</v>
      </c>
      <c r="E8883" s="142" t="s">
        <v>15849</v>
      </c>
      <c r="F8883" s="142" t="s">
        <v>193</v>
      </c>
      <c r="G8883" s="142" t="s">
        <v>11103</v>
      </c>
      <c r="H8883" s="142" t="s">
        <v>24733</v>
      </c>
      <c r="I8883" s="142">
        <v>31</v>
      </c>
      <c r="J8883" s="142">
        <v>0</v>
      </c>
      <c r="K8883" s="142">
        <v>0</v>
      </c>
      <c r="L8883" s="142">
        <v>31</v>
      </c>
      <c r="M8883" s="142">
        <v>0</v>
      </c>
    </row>
    <row r="8884" spans="1:13" x14ac:dyDescent="0.45">
      <c r="A8884" s="142" t="s">
        <v>13016</v>
      </c>
      <c r="B8884" s="142" t="s">
        <v>14535</v>
      </c>
      <c r="C8884" s="142" t="s">
        <v>15860</v>
      </c>
      <c r="D8884" s="142" t="s">
        <v>15861</v>
      </c>
      <c r="E8884" s="142" t="s">
        <v>15849</v>
      </c>
      <c r="F8884" s="142" t="s">
        <v>193</v>
      </c>
      <c r="G8884" s="142" t="s">
        <v>11103</v>
      </c>
      <c r="H8884" s="142" t="s">
        <v>24734</v>
      </c>
      <c r="I8884" s="142">
        <v>14</v>
      </c>
      <c r="J8884" s="142">
        <v>0</v>
      </c>
      <c r="K8884" s="142">
        <v>0</v>
      </c>
      <c r="L8884" s="142">
        <v>14</v>
      </c>
      <c r="M8884" s="142">
        <v>0</v>
      </c>
    </row>
    <row r="8885" spans="1:13" x14ac:dyDescent="0.45">
      <c r="A8885" s="142" t="s">
        <v>13157</v>
      </c>
      <c r="B8885" s="142" t="s">
        <v>15477</v>
      </c>
      <c r="C8885" s="142" t="s">
        <v>15847</v>
      </c>
      <c r="D8885" s="142" t="s">
        <v>15848</v>
      </c>
      <c r="E8885" s="142" t="s">
        <v>15849</v>
      </c>
      <c r="F8885" s="142" t="s">
        <v>193</v>
      </c>
      <c r="G8885" s="142" t="s">
        <v>11103</v>
      </c>
      <c r="H8885" s="142" t="s">
        <v>24735</v>
      </c>
      <c r="I8885" s="142">
        <v>1691</v>
      </c>
      <c r="J8885" s="142">
        <v>1413</v>
      </c>
      <c r="K8885" s="142">
        <v>0</v>
      </c>
      <c r="L8885" s="142">
        <v>111</v>
      </c>
      <c r="M8885" s="142">
        <v>167</v>
      </c>
    </row>
    <row r="8886" spans="1:13" x14ac:dyDescent="0.45">
      <c r="A8886" s="142" t="s">
        <v>13286</v>
      </c>
      <c r="B8886" s="142" t="s">
        <v>15342</v>
      </c>
      <c r="C8886" s="142" t="s">
        <v>15847</v>
      </c>
      <c r="D8886" s="142" t="s">
        <v>15848</v>
      </c>
      <c r="E8886" s="142" t="s">
        <v>15849</v>
      </c>
      <c r="F8886" s="142" t="s">
        <v>193</v>
      </c>
      <c r="G8886" s="142" t="s">
        <v>11103</v>
      </c>
      <c r="H8886" s="142" t="s">
        <v>24736</v>
      </c>
      <c r="I8886" s="142">
        <v>3</v>
      </c>
      <c r="J8886" s="142">
        <v>0</v>
      </c>
      <c r="K8886" s="142">
        <v>0</v>
      </c>
      <c r="L8886" s="142">
        <v>0</v>
      </c>
      <c r="M8886" s="142">
        <v>3</v>
      </c>
    </row>
    <row r="8887" spans="1:13" x14ac:dyDescent="0.45">
      <c r="A8887" s="142" t="s">
        <v>13022</v>
      </c>
      <c r="B8887" s="142" t="s">
        <v>14634</v>
      </c>
      <c r="C8887" s="142" t="s">
        <v>15847</v>
      </c>
      <c r="D8887" s="142" t="s">
        <v>15848</v>
      </c>
      <c r="E8887" s="142" t="s">
        <v>15849</v>
      </c>
      <c r="F8887" s="142" t="s">
        <v>194</v>
      </c>
      <c r="G8887" s="142" t="s">
        <v>10853</v>
      </c>
      <c r="H8887" s="142" t="s">
        <v>24737</v>
      </c>
      <c r="I8887" s="142">
        <v>1209</v>
      </c>
      <c r="J8887" s="142">
        <v>1209</v>
      </c>
      <c r="K8887" s="142">
        <v>0</v>
      </c>
      <c r="L8887" s="142">
        <v>0</v>
      </c>
      <c r="M8887" s="142">
        <v>0</v>
      </c>
    </row>
    <row r="8888" spans="1:13" x14ac:dyDescent="0.45">
      <c r="A8888" s="142" t="s">
        <v>13023</v>
      </c>
      <c r="B8888" s="142" t="s">
        <v>15571</v>
      </c>
      <c r="C8888" s="142" t="s">
        <v>15847</v>
      </c>
      <c r="D8888" s="142" t="s">
        <v>15848</v>
      </c>
      <c r="E8888" s="142" t="s">
        <v>15849</v>
      </c>
      <c r="F8888" s="142" t="s">
        <v>194</v>
      </c>
      <c r="G8888" s="142" t="s">
        <v>10853</v>
      </c>
      <c r="H8888" s="142" t="s">
        <v>24738</v>
      </c>
      <c r="I8888" s="142">
        <v>36</v>
      </c>
      <c r="J8888" s="142">
        <v>0</v>
      </c>
      <c r="K8888" s="142">
        <v>0</v>
      </c>
      <c r="L8888" s="142">
        <v>36</v>
      </c>
      <c r="M8888" s="142">
        <v>0</v>
      </c>
    </row>
    <row r="8889" spans="1:13" x14ac:dyDescent="0.45">
      <c r="A8889" s="142" t="s">
        <v>13082</v>
      </c>
      <c r="B8889" s="142" t="s">
        <v>14478</v>
      </c>
      <c r="C8889" s="142" t="s">
        <v>15860</v>
      </c>
      <c r="D8889" s="142" t="s">
        <v>15861</v>
      </c>
      <c r="E8889" s="142" t="s">
        <v>15849</v>
      </c>
      <c r="F8889" s="142" t="s">
        <v>194</v>
      </c>
      <c r="G8889" s="142" t="s">
        <v>10853</v>
      </c>
      <c r="H8889" s="142" t="s">
        <v>24739</v>
      </c>
      <c r="I8889" s="142">
        <v>6</v>
      </c>
      <c r="J8889" s="142">
        <v>0</v>
      </c>
      <c r="K8889" s="142">
        <v>0</v>
      </c>
      <c r="L8889" s="142">
        <v>6</v>
      </c>
      <c r="M8889" s="142">
        <v>0</v>
      </c>
    </row>
    <row r="8890" spans="1:13" x14ac:dyDescent="0.45">
      <c r="A8890" s="142" t="s">
        <v>13230</v>
      </c>
      <c r="B8890" s="142" t="s">
        <v>15339</v>
      </c>
      <c r="C8890" s="142" t="s">
        <v>15847</v>
      </c>
      <c r="D8890" s="142" t="s">
        <v>15848</v>
      </c>
      <c r="E8890" s="142" t="s">
        <v>15849</v>
      </c>
      <c r="F8890" s="142" t="s">
        <v>194</v>
      </c>
      <c r="G8890" s="142" t="s">
        <v>10853</v>
      </c>
      <c r="H8890" s="142" t="s">
        <v>24740</v>
      </c>
      <c r="I8890" s="142">
        <v>80</v>
      </c>
      <c r="J8890" s="142">
        <v>69</v>
      </c>
      <c r="K8890" s="142">
        <v>0</v>
      </c>
      <c r="L8890" s="142">
        <v>5</v>
      </c>
      <c r="M8890" s="142">
        <v>6</v>
      </c>
    </row>
    <row r="8891" spans="1:13" x14ac:dyDescent="0.45">
      <c r="A8891" s="142" t="s">
        <v>13235</v>
      </c>
      <c r="B8891" s="142" t="s">
        <v>14573</v>
      </c>
      <c r="C8891" s="142" t="s">
        <v>15847</v>
      </c>
      <c r="D8891" s="142" t="s">
        <v>15848</v>
      </c>
      <c r="E8891" s="142" t="s">
        <v>15849</v>
      </c>
      <c r="F8891" s="142" t="s">
        <v>194</v>
      </c>
      <c r="G8891" s="142" t="s">
        <v>10853</v>
      </c>
      <c r="H8891" s="142" t="s">
        <v>24741</v>
      </c>
      <c r="I8891" s="142">
        <v>300</v>
      </c>
      <c r="J8891" s="142">
        <v>264</v>
      </c>
      <c r="K8891" s="142">
        <v>0</v>
      </c>
      <c r="L8891" s="142">
        <v>14</v>
      </c>
      <c r="M8891" s="142">
        <v>22</v>
      </c>
    </row>
    <row r="8892" spans="1:13" x14ac:dyDescent="0.45">
      <c r="A8892" s="142" t="s">
        <v>14327</v>
      </c>
      <c r="B8892" s="142" t="s">
        <v>14937</v>
      </c>
      <c r="C8892" s="142" t="s">
        <v>15860</v>
      </c>
      <c r="D8892" s="142" t="s">
        <v>15861</v>
      </c>
      <c r="E8892" s="142" t="s">
        <v>15849</v>
      </c>
      <c r="F8892" s="142" t="s">
        <v>194</v>
      </c>
      <c r="G8892" s="142" t="s">
        <v>10853</v>
      </c>
      <c r="H8892" s="142" t="s">
        <v>24742</v>
      </c>
      <c r="I8892" s="142">
        <v>6</v>
      </c>
      <c r="J8892" s="142">
        <v>6</v>
      </c>
      <c r="K8892" s="142">
        <v>0</v>
      </c>
      <c r="L8892" s="142">
        <v>0</v>
      </c>
      <c r="M8892" s="142">
        <v>0</v>
      </c>
    </row>
    <row r="8893" spans="1:13" x14ac:dyDescent="0.45">
      <c r="A8893" s="142" t="s">
        <v>13237</v>
      </c>
      <c r="B8893" s="142" t="s">
        <v>14643</v>
      </c>
      <c r="C8893" s="142" t="s">
        <v>15847</v>
      </c>
      <c r="D8893" s="142" t="s">
        <v>15848</v>
      </c>
      <c r="E8893" s="142" t="s">
        <v>15849</v>
      </c>
      <c r="F8893" s="142" t="s">
        <v>194</v>
      </c>
      <c r="G8893" s="142" t="s">
        <v>10853</v>
      </c>
      <c r="H8893" s="142" t="s">
        <v>24743</v>
      </c>
      <c r="I8893" s="142">
        <v>22</v>
      </c>
      <c r="J8893" s="142">
        <v>22</v>
      </c>
      <c r="K8893" s="142">
        <v>0</v>
      </c>
      <c r="L8893" s="142">
        <v>0</v>
      </c>
      <c r="M8893" s="142">
        <v>0</v>
      </c>
    </row>
    <row r="8894" spans="1:13" x14ac:dyDescent="0.45">
      <c r="A8894" s="142" t="s">
        <v>13000</v>
      </c>
      <c r="B8894" s="142" t="s">
        <v>14610</v>
      </c>
      <c r="C8894" s="142" t="s">
        <v>15847</v>
      </c>
      <c r="D8894" s="142" t="s">
        <v>15848</v>
      </c>
      <c r="E8894" s="142" t="s">
        <v>15849</v>
      </c>
      <c r="F8894" s="142" t="s">
        <v>194</v>
      </c>
      <c r="G8894" s="142" t="s">
        <v>10853</v>
      </c>
      <c r="H8894" s="142" t="s">
        <v>24744</v>
      </c>
      <c r="I8894" s="142">
        <v>408</v>
      </c>
      <c r="J8894" s="142">
        <v>309</v>
      </c>
      <c r="K8894" s="142">
        <v>0</v>
      </c>
      <c r="L8894" s="142">
        <v>48</v>
      </c>
      <c r="M8894" s="142">
        <v>51</v>
      </c>
    </row>
    <row r="8895" spans="1:13" x14ac:dyDescent="0.45">
      <c r="A8895" s="142" t="s">
        <v>13027</v>
      </c>
      <c r="B8895" s="142" t="s">
        <v>14562</v>
      </c>
      <c r="C8895" s="142" t="s">
        <v>15847</v>
      </c>
      <c r="D8895" s="142" t="s">
        <v>15848</v>
      </c>
      <c r="E8895" s="142" t="s">
        <v>15849</v>
      </c>
      <c r="F8895" s="142" t="s">
        <v>194</v>
      </c>
      <c r="G8895" s="142" t="s">
        <v>10853</v>
      </c>
      <c r="H8895" s="142" t="s">
        <v>24745</v>
      </c>
      <c r="I8895" s="142">
        <v>6</v>
      </c>
      <c r="J8895" s="142">
        <v>0</v>
      </c>
      <c r="K8895" s="142">
        <v>0</v>
      </c>
      <c r="L8895" s="142">
        <v>6</v>
      </c>
      <c r="M8895" s="142">
        <v>0</v>
      </c>
    </row>
    <row r="8896" spans="1:13" x14ac:dyDescent="0.45">
      <c r="A8896" s="142" t="s">
        <v>13243</v>
      </c>
      <c r="B8896" s="142" t="s">
        <v>15560</v>
      </c>
      <c r="C8896" s="142" t="s">
        <v>15847</v>
      </c>
      <c r="D8896" s="142" t="s">
        <v>15848</v>
      </c>
      <c r="E8896" s="142" t="s">
        <v>15849</v>
      </c>
      <c r="F8896" s="142" t="s">
        <v>194</v>
      </c>
      <c r="G8896" s="142" t="s">
        <v>10853</v>
      </c>
      <c r="H8896" s="142" t="s">
        <v>24746</v>
      </c>
      <c r="I8896" s="142">
        <v>4385</v>
      </c>
      <c r="J8896" s="142">
        <v>3775</v>
      </c>
      <c r="K8896" s="142">
        <v>5</v>
      </c>
      <c r="L8896" s="142">
        <v>429</v>
      </c>
      <c r="M8896" s="142">
        <v>176</v>
      </c>
    </row>
    <row r="8897" spans="1:13" x14ac:dyDescent="0.45">
      <c r="A8897" s="142" t="s">
        <v>13001</v>
      </c>
      <c r="B8897" s="142" t="s">
        <v>15506</v>
      </c>
      <c r="C8897" s="142" t="s">
        <v>15847</v>
      </c>
      <c r="D8897" s="142" t="s">
        <v>15848</v>
      </c>
      <c r="E8897" s="142" t="s">
        <v>15849</v>
      </c>
      <c r="F8897" s="142" t="s">
        <v>194</v>
      </c>
      <c r="G8897" s="142" t="s">
        <v>10853</v>
      </c>
      <c r="H8897" s="142" t="s">
        <v>24747</v>
      </c>
      <c r="I8897" s="142">
        <v>18</v>
      </c>
      <c r="J8897" s="142">
        <v>18</v>
      </c>
      <c r="K8897" s="142">
        <v>0</v>
      </c>
      <c r="L8897" s="142">
        <v>0</v>
      </c>
      <c r="M8897" s="142">
        <v>0</v>
      </c>
    </row>
    <row r="8898" spans="1:13" x14ac:dyDescent="0.45">
      <c r="A8898" s="142" t="s">
        <v>14328</v>
      </c>
      <c r="B8898" s="142" t="s">
        <v>14725</v>
      </c>
      <c r="C8898" s="142" t="s">
        <v>15860</v>
      </c>
      <c r="D8898" s="142" t="s">
        <v>15861</v>
      </c>
      <c r="E8898" s="142" t="s">
        <v>15849</v>
      </c>
      <c r="F8898" s="142" t="s">
        <v>194</v>
      </c>
      <c r="G8898" s="142" t="s">
        <v>10853</v>
      </c>
      <c r="H8898" s="142" t="s">
        <v>24748</v>
      </c>
      <c r="I8898" s="142">
        <v>13</v>
      </c>
      <c r="J8898" s="142">
        <v>13</v>
      </c>
      <c r="K8898" s="142">
        <v>0</v>
      </c>
      <c r="L8898" s="142">
        <v>0</v>
      </c>
      <c r="M8898" s="142">
        <v>0</v>
      </c>
    </row>
    <row r="8899" spans="1:13" x14ac:dyDescent="0.45">
      <c r="A8899" s="142" t="s">
        <v>13003</v>
      </c>
      <c r="B8899" s="142" t="s">
        <v>15245</v>
      </c>
      <c r="C8899" s="142" t="s">
        <v>15847</v>
      </c>
      <c r="D8899" s="142" t="s">
        <v>15848</v>
      </c>
      <c r="E8899" s="142" t="s">
        <v>15849</v>
      </c>
      <c r="F8899" s="142" t="s">
        <v>194</v>
      </c>
      <c r="G8899" s="142" t="s">
        <v>10853</v>
      </c>
      <c r="H8899" s="142" t="s">
        <v>24749</v>
      </c>
      <c r="I8899" s="142">
        <v>330</v>
      </c>
      <c r="J8899" s="142">
        <v>0</v>
      </c>
      <c r="K8899" s="142">
        <v>0</v>
      </c>
      <c r="L8899" s="142">
        <v>260</v>
      </c>
      <c r="M8899" s="142">
        <v>70</v>
      </c>
    </row>
    <row r="8900" spans="1:13" x14ac:dyDescent="0.45">
      <c r="A8900" s="142" t="s">
        <v>13066</v>
      </c>
      <c r="B8900" s="142" t="s">
        <v>14459</v>
      </c>
      <c r="C8900" s="142" t="s">
        <v>15847</v>
      </c>
      <c r="D8900" s="142" t="s">
        <v>15848</v>
      </c>
      <c r="E8900" s="142" t="s">
        <v>15849</v>
      </c>
      <c r="F8900" s="142" t="s">
        <v>194</v>
      </c>
      <c r="G8900" s="142" t="s">
        <v>10853</v>
      </c>
      <c r="H8900" s="142" t="s">
        <v>24750</v>
      </c>
      <c r="I8900" s="142">
        <v>43</v>
      </c>
      <c r="J8900" s="142">
        <v>0</v>
      </c>
      <c r="K8900" s="142">
        <v>0</v>
      </c>
      <c r="L8900" s="142">
        <v>43</v>
      </c>
      <c r="M8900" s="142">
        <v>0</v>
      </c>
    </row>
    <row r="8901" spans="1:13" x14ac:dyDescent="0.45">
      <c r="A8901" s="142" t="s">
        <v>14329</v>
      </c>
      <c r="B8901" s="142" t="s">
        <v>14886</v>
      </c>
      <c r="C8901" s="142" t="s">
        <v>15860</v>
      </c>
      <c r="D8901" s="142" t="s">
        <v>15861</v>
      </c>
      <c r="E8901" s="142" t="s">
        <v>15849</v>
      </c>
      <c r="F8901" s="142" t="s">
        <v>194</v>
      </c>
      <c r="G8901" s="142" t="s">
        <v>10853</v>
      </c>
      <c r="H8901" s="142" t="s">
        <v>24751</v>
      </c>
      <c r="I8901" s="142">
        <v>2</v>
      </c>
      <c r="J8901" s="142">
        <v>2</v>
      </c>
      <c r="K8901" s="142">
        <v>0</v>
      </c>
      <c r="L8901" s="142">
        <v>0</v>
      </c>
      <c r="M8901" s="142">
        <v>0</v>
      </c>
    </row>
    <row r="8902" spans="1:13" x14ac:dyDescent="0.45">
      <c r="A8902" s="142" t="s">
        <v>13248</v>
      </c>
      <c r="B8902" s="142" t="s">
        <v>15463</v>
      </c>
      <c r="C8902" s="142" t="s">
        <v>15847</v>
      </c>
      <c r="D8902" s="142" t="s">
        <v>15848</v>
      </c>
      <c r="E8902" s="142" t="s">
        <v>15849</v>
      </c>
      <c r="F8902" s="142" t="s">
        <v>194</v>
      </c>
      <c r="G8902" s="142" t="s">
        <v>10853</v>
      </c>
      <c r="H8902" s="142" t="s">
        <v>24752</v>
      </c>
      <c r="I8902" s="142">
        <v>200</v>
      </c>
      <c r="J8902" s="142">
        <v>181</v>
      </c>
      <c r="K8902" s="142">
        <v>0</v>
      </c>
      <c r="L8902" s="142">
        <v>0</v>
      </c>
      <c r="M8902" s="142">
        <v>19</v>
      </c>
    </row>
    <row r="8903" spans="1:13" x14ac:dyDescent="0.45">
      <c r="A8903" s="142" t="s">
        <v>13250</v>
      </c>
      <c r="B8903" s="142" t="s">
        <v>15395</v>
      </c>
      <c r="C8903" s="142" t="s">
        <v>15847</v>
      </c>
      <c r="D8903" s="142" t="s">
        <v>15848</v>
      </c>
      <c r="E8903" s="142" t="s">
        <v>15849</v>
      </c>
      <c r="F8903" s="142" t="s">
        <v>194</v>
      </c>
      <c r="G8903" s="142" t="s">
        <v>10853</v>
      </c>
      <c r="H8903" s="142" t="s">
        <v>24753</v>
      </c>
      <c r="I8903" s="142">
        <v>34</v>
      </c>
      <c r="J8903" s="142">
        <v>0</v>
      </c>
      <c r="K8903" s="142">
        <v>0</v>
      </c>
      <c r="L8903" s="142">
        <v>34</v>
      </c>
      <c r="M8903" s="142">
        <v>0</v>
      </c>
    </row>
    <row r="8904" spans="1:13" x14ac:dyDescent="0.45">
      <c r="A8904" s="142" t="s">
        <v>13516</v>
      </c>
      <c r="B8904" s="142" t="s">
        <v>14461</v>
      </c>
      <c r="C8904" s="142" t="s">
        <v>15860</v>
      </c>
      <c r="D8904" s="142" t="s">
        <v>15861</v>
      </c>
      <c r="E8904" s="142" t="s">
        <v>15849</v>
      </c>
      <c r="F8904" s="142" t="s">
        <v>194</v>
      </c>
      <c r="G8904" s="142" t="s">
        <v>10853</v>
      </c>
      <c r="H8904" s="142" t="s">
        <v>24754</v>
      </c>
      <c r="I8904" s="142">
        <v>13</v>
      </c>
      <c r="J8904" s="142">
        <v>0</v>
      </c>
      <c r="K8904" s="142">
        <v>0</v>
      </c>
      <c r="L8904" s="142">
        <v>13</v>
      </c>
      <c r="M8904" s="142">
        <v>0</v>
      </c>
    </row>
    <row r="8905" spans="1:13" x14ac:dyDescent="0.45">
      <c r="A8905" s="142" t="s">
        <v>14330</v>
      </c>
      <c r="B8905" s="142" t="s">
        <v>15069</v>
      </c>
      <c r="C8905" s="142" t="s">
        <v>15860</v>
      </c>
      <c r="D8905" s="142" t="s">
        <v>15861</v>
      </c>
      <c r="E8905" s="142" t="s">
        <v>15849</v>
      </c>
      <c r="F8905" s="142" t="s">
        <v>194</v>
      </c>
      <c r="G8905" s="142" t="s">
        <v>10853</v>
      </c>
      <c r="H8905" s="142" t="s">
        <v>24755</v>
      </c>
      <c r="I8905" s="142">
        <v>24</v>
      </c>
      <c r="J8905" s="142">
        <v>24</v>
      </c>
      <c r="K8905" s="142">
        <v>0</v>
      </c>
      <c r="L8905" s="142">
        <v>0</v>
      </c>
      <c r="M8905" s="142">
        <v>0</v>
      </c>
    </row>
    <row r="8906" spans="1:13" x14ac:dyDescent="0.45">
      <c r="A8906" s="142" t="s">
        <v>13035</v>
      </c>
      <c r="B8906" s="142" t="s">
        <v>14648</v>
      </c>
      <c r="C8906" s="142" t="s">
        <v>15847</v>
      </c>
      <c r="D8906" s="142" t="s">
        <v>15848</v>
      </c>
      <c r="E8906" s="142" t="s">
        <v>15849</v>
      </c>
      <c r="F8906" s="142" t="s">
        <v>194</v>
      </c>
      <c r="G8906" s="142" t="s">
        <v>10853</v>
      </c>
      <c r="H8906" s="142" t="s">
        <v>24756</v>
      </c>
      <c r="I8906" s="142">
        <v>49</v>
      </c>
      <c r="J8906" s="142">
        <v>30</v>
      </c>
      <c r="K8906" s="142">
        <v>0</v>
      </c>
      <c r="L8906" s="142">
        <v>0</v>
      </c>
      <c r="M8906" s="142">
        <v>19</v>
      </c>
    </row>
    <row r="8907" spans="1:13" x14ac:dyDescent="0.45">
      <c r="A8907" s="142" t="s">
        <v>13091</v>
      </c>
      <c r="B8907" s="142" t="s">
        <v>14473</v>
      </c>
      <c r="C8907" s="142" t="s">
        <v>15847</v>
      </c>
      <c r="D8907" s="142" t="s">
        <v>15848</v>
      </c>
      <c r="E8907" s="142" t="s">
        <v>15849</v>
      </c>
      <c r="F8907" s="142" t="s">
        <v>194</v>
      </c>
      <c r="G8907" s="142" t="s">
        <v>10853</v>
      </c>
      <c r="H8907" s="142" t="s">
        <v>24757</v>
      </c>
      <c r="I8907" s="142">
        <v>87</v>
      </c>
      <c r="J8907" s="142">
        <v>87</v>
      </c>
      <c r="K8907" s="142">
        <v>0</v>
      </c>
      <c r="L8907" s="142">
        <v>0</v>
      </c>
      <c r="M8907" s="142">
        <v>0</v>
      </c>
    </row>
    <row r="8908" spans="1:13" x14ac:dyDescent="0.45">
      <c r="A8908" s="142" t="s">
        <v>13009</v>
      </c>
      <c r="B8908" s="142" t="s">
        <v>15256</v>
      </c>
      <c r="C8908" s="142" t="s">
        <v>15847</v>
      </c>
      <c r="D8908" s="142" t="s">
        <v>15848</v>
      </c>
      <c r="E8908" s="142" t="s">
        <v>15849</v>
      </c>
      <c r="F8908" s="142" t="s">
        <v>194</v>
      </c>
      <c r="G8908" s="142" t="s">
        <v>10853</v>
      </c>
      <c r="H8908" s="142" t="s">
        <v>24758</v>
      </c>
      <c r="I8908" s="142">
        <v>49</v>
      </c>
      <c r="J8908" s="142">
        <v>49</v>
      </c>
      <c r="K8908" s="142">
        <v>0</v>
      </c>
      <c r="L8908" s="142">
        <v>0</v>
      </c>
      <c r="M8908" s="142">
        <v>0</v>
      </c>
    </row>
    <row r="8909" spans="1:13" x14ac:dyDescent="0.45">
      <c r="A8909" s="142" t="s">
        <v>13011</v>
      </c>
      <c r="B8909" s="142" t="s">
        <v>14695</v>
      </c>
      <c r="C8909" s="142" t="s">
        <v>15847</v>
      </c>
      <c r="D8909" s="142" t="s">
        <v>15848</v>
      </c>
      <c r="E8909" s="142" t="s">
        <v>15849</v>
      </c>
      <c r="F8909" s="142" t="s">
        <v>194</v>
      </c>
      <c r="G8909" s="142" t="s">
        <v>10853</v>
      </c>
      <c r="H8909" s="142" t="s">
        <v>24759</v>
      </c>
      <c r="I8909" s="142">
        <v>11</v>
      </c>
      <c r="J8909" s="142">
        <v>6</v>
      </c>
      <c r="K8909" s="142">
        <v>0</v>
      </c>
      <c r="L8909" s="142">
        <v>0</v>
      </c>
      <c r="M8909" s="142">
        <v>5</v>
      </c>
    </row>
    <row r="8910" spans="1:13" x14ac:dyDescent="0.45">
      <c r="A8910" s="142" t="s">
        <v>13012</v>
      </c>
      <c r="B8910" s="142" t="s">
        <v>15337</v>
      </c>
      <c r="C8910" s="142" t="s">
        <v>15847</v>
      </c>
      <c r="D8910" s="142" t="s">
        <v>15848</v>
      </c>
      <c r="E8910" s="142" t="s">
        <v>15849</v>
      </c>
      <c r="F8910" s="142" t="s">
        <v>194</v>
      </c>
      <c r="G8910" s="142" t="s">
        <v>10853</v>
      </c>
      <c r="H8910" s="142" t="s">
        <v>24760</v>
      </c>
      <c r="I8910" s="142">
        <v>28</v>
      </c>
      <c r="J8910" s="142">
        <v>27</v>
      </c>
      <c r="K8910" s="142">
        <v>0</v>
      </c>
      <c r="L8910" s="142">
        <v>0</v>
      </c>
      <c r="M8910" s="142">
        <v>1</v>
      </c>
    </row>
    <row r="8911" spans="1:13" x14ac:dyDescent="0.45">
      <c r="A8911" s="142" t="s">
        <v>14331</v>
      </c>
      <c r="B8911" s="142" t="s">
        <v>14920</v>
      </c>
      <c r="C8911" s="142" t="s">
        <v>15860</v>
      </c>
      <c r="D8911" s="142" t="s">
        <v>15861</v>
      </c>
      <c r="E8911" s="142" t="s">
        <v>15849</v>
      </c>
      <c r="F8911" s="142" t="s">
        <v>194</v>
      </c>
      <c r="G8911" s="142" t="s">
        <v>10853</v>
      </c>
      <c r="H8911" s="142" t="s">
        <v>24761</v>
      </c>
      <c r="I8911" s="142">
        <v>12</v>
      </c>
      <c r="J8911" s="142">
        <v>12</v>
      </c>
      <c r="K8911" s="142">
        <v>0</v>
      </c>
      <c r="L8911" s="142">
        <v>0</v>
      </c>
      <c r="M8911" s="142">
        <v>0</v>
      </c>
    </row>
    <row r="8912" spans="1:13" x14ac:dyDescent="0.45">
      <c r="A8912" s="142" t="s">
        <v>13264</v>
      </c>
      <c r="B8912" s="142" t="s">
        <v>15302</v>
      </c>
      <c r="C8912" s="142" t="s">
        <v>15847</v>
      </c>
      <c r="D8912" s="142" t="s">
        <v>15848</v>
      </c>
      <c r="E8912" s="142" t="s">
        <v>15849</v>
      </c>
      <c r="F8912" s="142" t="s">
        <v>194</v>
      </c>
      <c r="G8912" s="142" t="s">
        <v>10853</v>
      </c>
      <c r="H8912" s="142" t="s">
        <v>24762</v>
      </c>
      <c r="I8912" s="142">
        <v>1</v>
      </c>
      <c r="J8912" s="142">
        <v>1</v>
      </c>
      <c r="K8912" s="142">
        <v>0</v>
      </c>
      <c r="L8912" s="142">
        <v>0</v>
      </c>
      <c r="M8912" s="142">
        <v>0</v>
      </c>
    </row>
    <row r="8913" spans="1:13" x14ac:dyDescent="0.45">
      <c r="A8913" s="142" t="s">
        <v>13222</v>
      </c>
      <c r="B8913" s="142" t="s">
        <v>14449</v>
      </c>
      <c r="C8913" s="142" t="s">
        <v>15860</v>
      </c>
      <c r="D8913" s="142" t="s">
        <v>15861</v>
      </c>
      <c r="E8913" s="142" t="s">
        <v>15849</v>
      </c>
      <c r="F8913" s="142" t="s">
        <v>194</v>
      </c>
      <c r="G8913" s="142" t="s">
        <v>10853</v>
      </c>
      <c r="H8913" s="142" t="s">
        <v>24763</v>
      </c>
      <c r="I8913" s="142">
        <v>18</v>
      </c>
      <c r="J8913" s="142">
        <v>0</v>
      </c>
      <c r="K8913" s="142">
        <v>0</v>
      </c>
      <c r="L8913" s="142">
        <v>18</v>
      </c>
      <c r="M8913" s="142">
        <v>0</v>
      </c>
    </row>
    <row r="8914" spans="1:13" x14ac:dyDescent="0.45">
      <c r="A8914" s="142" t="s">
        <v>13267</v>
      </c>
      <c r="B8914" s="142" t="s">
        <v>15451</v>
      </c>
      <c r="C8914" s="142" t="s">
        <v>15847</v>
      </c>
      <c r="D8914" s="142" t="s">
        <v>15848</v>
      </c>
      <c r="E8914" s="142" t="s">
        <v>15849</v>
      </c>
      <c r="F8914" s="142" t="s">
        <v>194</v>
      </c>
      <c r="G8914" s="142" t="s">
        <v>10853</v>
      </c>
      <c r="H8914" s="142" t="s">
        <v>24764</v>
      </c>
      <c r="I8914" s="142">
        <v>19274</v>
      </c>
      <c r="J8914" s="142">
        <v>18783</v>
      </c>
      <c r="K8914" s="142">
        <v>0</v>
      </c>
      <c r="L8914" s="142">
        <v>347</v>
      </c>
      <c r="M8914" s="142">
        <v>144</v>
      </c>
    </row>
    <row r="8915" spans="1:13" x14ac:dyDescent="0.45">
      <c r="A8915" s="142" t="s">
        <v>13867</v>
      </c>
      <c r="B8915" s="142" t="s">
        <v>15449</v>
      </c>
      <c r="C8915" s="142" t="s">
        <v>15847</v>
      </c>
      <c r="D8915" s="142" t="s">
        <v>15848</v>
      </c>
      <c r="E8915" s="142" t="s">
        <v>15849</v>
      </c>
      <c r="F8915" s="142" t="s">
        <v>194</v>
      </c>
      <c r="G8915" s="142" t="s">
        <v>10853</v>
      </c>
      <c r="H8915" s="142" t="s">
        <v>24765</v>
      </c>
      <c r="I8915" s="142">
        <v>1688</v>
      </c>
      <c r="J8915" s="142">
        <v>1688</v>
      </c>
      <c r="K8915" s="142">
        <v>0</v>
      </c>
      <c r="L8915" s="142">
        <v>0</v>
      </c>
      <c r="M8915" s="142">
        <v>0</v>
      </c>
    </row>
    <row r="8916" spans="1:13" x14ac:dyDescent="0.45">
      <c r="A8916" s="142" t="s">
        <v>13144</v>
      </c>
      <c r="B8916" s="142" t="s">
        <v>14464</v>
      </c>
      <c r="C8916" s="142" t="s">
        <v>15860</v>
      </c>
      <c r="D8916" s="142" t="s">
        <v>15861</v>
      </c>
      <c r="E8916" s="142" t="s">
        <v>15849</v>
      </c>
      <c r="F8916" s="142" t="s">
        <v>194</v>
      </c>
      <c r="G8916" s="142" t="s">
        <v>10853</v>
      </c>
      <c r="H8916" s="142" t="s">
        <v>24766</v>
      </c>
      <c r="I8916" s="142">
        <v>13</v>
      </c>
      <c r="J8916" s="142">
        <v>0</v>
      </c>
      <c r="K8916" s="142">
        <v>0</v>
      </c>
      <c r="L8916" s="142">
        <v>13</v>
      </c>
      <c r="M8916" s="142">
        <v>0</v>
      </c>
    </row>
    <row r="8917" spans="1:13" x14ac:dyDescent="0.45">
      <c r="A8917" s="142" t="s">
        <v>14159</v>
      </c>
      <c r="B8917" s="142" t="s">
        <v>15487</v>
      </c>
      <c r="C8917" s="142" t="s">
        <v>15860</v>
      </c>
      <c r="D8917" s="142" t="s">
        <v>15861</v>
      </c>
      <c r="E8917" s="142" t="s">
        <v>15849</v>
      </c>
      <c r="F8917" s="142" t="s">
        <v>194</v>
      </c>
      <c r="G8917" s="142" t="s">
        <v>10853</v>
      </c>
      <c r="H8917" s="142" t="s">
        <v>24767</v>
      </c>
      <c r="I8917" s="142">
        <v>21</v>
      </c>
      <c r="J8917" s="142">
        <v>0</v>
      </c>
      <c r="K8917" s="142">
        <v>0</v>
      </c>
      <c r="L8917" s="142">
        <v>21</v>
      </c>
      <c r="M8917" s="142">
        <v>0</v>
      </c>
    </row>
    <row r="8918" spans="1:13" x14ac:dyDescent="0.45">
      <c r="A8918" s="142" t="s">
        <v>13110</v>
      </c>
      <c r="B8918" s="142" t="s">
        <v>15502</v>
      </c>
      <c r="C8918" s="142" t="s">
        <v>15847</v>
      </c>
      <c r="D8918" s="142" t="s">
        <v>15848</v>
      </c>
      <c r="E8918" s="142" t="s">
        <v>15849</v>
      </c>
      <c r="F8918" s="142" t="s">
        <v>195</v>
      </c>
      <c r="G8918" s="142" t="s">
        <v>12446</v>
      </c>
      <c r="H8918" s="142" t="s">
        <v>24768</v>
      </c>
      <c r="I8918" s="142">
        <v>34</v>
      </c>
      <c r="J8918" s="142">
        <v>28</v>
      </c>
      <c r="K8918" s="142">
        <v>0</v>
      </c>
      <c r="L8918" s="142">
        <v>0</v>
      </c>
      <c r="M8918" s="142">
        <v>6</v>
      </c>
    </row>
    <row r="8919" spans="1:13" x14ac:dyDescent="0.45">
      <c r="A8919" s="142" t="s">
        <v>13023</v>
      </c>
      <c r="B8919" s="142" t="s">
        <v>15571</v>
      </c>
      <c r="C8919" s="142" t="s">
        <v>15847</v>
      </c>
      <c r="D8919" s="142" t="s">
        <v>15848</v>
      </c>
      <c r="E8919" s="142" t="s">
        <v>15849</v>
      </c>
      <c r="F8919" s="142" t="s">
        <v>195</v>
      </c>
      <c r="G8919" s="142" t="s">
        <v>12446</v>
      </c>
      <c r="H8919" s="142" t="s">
        <v>24769</v>
      </c>
      <c r="I8919" s="142">
        <v>79</v>
      </c>
      <c r="J8919" s="142">
        <v>0</v>
      </c>
      <c r="K8919" s="142">
        <v>0</v>
      </c>
      <c r="L8919" s="142">
        <v>79</v>
      </c>
      <c r="M8919" s="142">
        <v>0</v>
      </c>
    </row>
    <row r="8920" spans="1:13" x14ac:dyDescent="0.45">
      <c r="A8920" s="142" t="s">
        <v>13729</v>
      </c>
      <c r="B8920" s="142" t="s">
        <v>15481</v>
      </c>
      <c r="C8920" s="142" t="s">
        <v>15860</v>
      </c>
      <c r="D8920" s="142" t="s">
        <v>15861</v>
      </c>
      <c r="E8920" s="142" t="s">
        <v>15849</v>
      </c>
      <c r="F8920" s="142" t="s">
        <v>195</v>
      </c>
      <c r="G8920" s="142" t="s">
        <v>12446</v>
      </c>
      <c r="H8920" s="142" t="s">
        <v>24770</v>
      </c>
      <c r="I8920" s="142">
        <v>6</v>
      </c>
      <c r="J8920" s="142">
        <v>6</v>
      </c>
      <c r="K8920" s="142">
        <v>0</v>
      </c>
      <c r="L8920" s="142">
        <v>0</v>
      </c>
      <c r="M8920" s="142">
        <v>0</v>
      </c>
    </row>
    <row r="8921" spans="1:13" x14ac:dyDescent="0.45">
      <c r="A8921" s="142" t="s">
        <v>13318</v>
      </c>
      <c r="B8921" s="142" t="s">
        <v>15172</v>
      </c>
      <c r="C8921" s="142" t="s">
        <v>15860</v>
      </c>
      <c r="D8921" s="142" t="s">
        <v>15861</v>
      </c>
      <c r="E8921" s="142" t="s">
        <v>15849</v>
      </c>
      <c r="F8921" s="142" t="s">
        <v>195</v>
      </c>
      <c r="G8921" s="142" t="s">
        <v>12446</v>
      </c>
      <c r="H8921" s="142" t="s">
        <v>24771</v>
      </c>
      <c r="I8921" s="142">
        <v>22</v>
      </c>
      <c r="J8921" s="142">
        <v>6</v>
      </c>
      <c r="K8921" s="142">
        <v>0</v>
      </c>
      <c r="L8921" s="142">
        <v>16</v>
      </c>
      <c r="M8921" s="142">
        <v>0</v>
      </c>
    </row>
    <row r="8922" spans="1:13" x14ac:dyDescent="0.45">
      <c r="A8922" s="142" t="s">
        <v>13116</v>
      </c>
      <c r="B8922" s="142" t="s">
        <v>15510</v>
      </c>
      <c r="C8922" s="142" t="s">
        <v>15847</v>
      </c>
      <c r="D8922" s="142" t="s">
        <v>15848</v>
      </c>
      <c r="E8922" s="142" t="s">
        <v>15849</v>
      </c>
      <c r="F8922" s="142" t="s">
        <v>195</v>
      </c>
      <c r="G8922" s="142" t="s">
        <v>12446</v>
      </c>
      <c r="H8922" s="142" t="s">
        <v>24772</v>
      </c>
      <c r="I8922" s="142">
        <v>343</v>
      </c>
      <c r="J8922" s="142">
        <v>293</v>
      </c>
      <c r="K8922" s="142">
        <v>0</v>
      </c>
      <c r="L8922" s="142">
        <v>50</v>
      </c>
      <c r="M8922" s="142">
        <v>0</v>
      </c>
    </row>
    <row r="8923" spans="1:13" x14ac:dyDescent="0.45">
      <c r="A8923" s="142" t="s">
        <v>13000</v>
      </c>
      <c r="B8923" s="142" t="s">
        <v>14610</v>
      </c>
      <c r="C8923" s="142" t="s">
        <v>15847</v>
      </c>
      <c r="D8923" s="142" t="s">
        <v>15848</v>
      </c>
      <c r="E8923" s="142" t="s">
        <v>15849</v>
      </c>
      <c r="F8923" s="142" t="s">
        <v>195</v>
      </c>
      <c r="G8923" s="142" t="s">
        <v>12446</v>
      </c>
      <c r="H8923" s="142" t="s">
        <v>24773</v>
      </c>
      <c r="I8923" s="142">
        <v>1923</v>
      </c>
      <c r="J8923" s="142">
        <v>1587</v>
      </c>
      <c r="K8923" s="142">
        <v>7</v>
      </c>
      <c r="L8923" s="142">
        <v>178</v>
      </c>
      <c r="M8923" s="142">
        <v>151</v>
      </c>
    </row>
    <row r="8924" spans="1:13" x14ac:dyDescent="0.45">
      <c r="A8924" s="142" t="s">
        <v>13001</v>
      </c>
      <c r="B8924" s="142" t="s">
        <v>15506</v>
      </c>
      <c r="C8924" s="142" t="s">
        <v>15847</v>
      </c>
      <c r="D8924" s="142" t="s">
        <v>15848</v>
      </c>
      <c r="E8924" s="142" t="s">
        <v>15849</v>
      </c>
      <c r="F8924" s="142" t="s">
        <v>195</v>
      </c>
      <c r="G8924" s="142" t="s">
        <v>12446</v>
      </c>
      <c r="H8924" s="142" t="s">
        <v>24774</v>
      </c>
      <c r="I8924" s="142">
        <v>42</v>
      </c>
      <c r="J8924" s="142">
        <v>31</v>
      </c>
      <c r="K8924" s="142">
        <v>0</v>
      </c>
      <c r="L8924" s="142">
        <v>11</v>
      </c>
      <c r="M8924" s="142">
        <v>0</v>
      </c>
    </row>
    <row r="8925" spans="1:13" x14ac:dyDescent="0.45">
      <c r="A8925" s="142" t="s">
        <v>13002</v>
      </c>
      <c r="B8925" s="142" t="s">
        <v>15376</v>
      </c>
      <c r="C8925" s="142" t="s">
        <v>15847</v>
      </c>
      <c r="D8925" s="142" t="s">
        <v>15848</v>
      </c>
      <c r="E8925" s="142" t="s">
        <v>15849</v>
      </c>
      <c r="F8925" s="142" t="s">
        <v>195</v>
      </c>
      <c r="G8925" s="142" t="s">
        <v>12446</v>
      </c>
      <c r="H8925" s="142" t="s">
        <v>24775</v>
      </c>
      <c r="I8925" s="142">
        <v>1</v>
      </c>
      <c r="J8925" s="142">
        <v>1</v>
      </c>
      <c r="K8925" s="142">
        <v>0</v>
      </c>
      <c r="L8925" s="142">
        <v>0</v>
      </c>
      <c r="M8925" s="142">
        <v>0</v>
      </c>
    </row>
    <row r="8926" spans="1:13" x14ac:dyDescent="0.45">
      <c r="A8926" s="142" t="s">
        <v>14025</v>
      </c>
      <c r="B8926" s="142" t="s">
        <v>15099</v>
      </c>
      <c r="C8926" s="142" t="s">
        <v>15860</v>
      </c>
      <c r="D8926" s="142" t="s">
        <v>15861</v>
      </c>
      <c r="E8926" s="142" t="s">
        <v>15849</v>
      </c>
      <c r="F8926" s="142" t="s">
        <v>195</v>
      </c>
      <c r="G8926" s="142" t="s">
        <v>12446</v>
      </c>
      <c r="H8926" s="142" t="s">
        <v>24776</v>
      </c>
      <c r="I8926" s="142">
        <v>1</v>
      </c>
      <c r="J8926" s="142">
        <v>1</v>
      </c>
      <c r="K8926" s="142">
        <v>0</v>
      </c>
      <c r="L8926" s="142">
        <v>0</v>
      </c>
      <c r="M8926" s="142">
        <v>0</v>
      </c>
    </row>
    <row r="8927" spans="1:13" x14ac:dyDescent="0.45">
      <c r="A8927" s="142" t="s">
        <v>13003</v>
      </c>
      <c r="B8927" s="142" t="s">
        <v>15245</v>
      </c>
      <c r="C8927" s="142" t="s">
        <v>15847</v>
      </c>
      <c r="D8927" s="142" t="s">
        <v>15848</v>
      </c>
      <c r="E8927" s="142" t="s">
        <v>15849</v>
      </c>
      <c r="F8927" s="142" t="s">
        <v>195</v>
      </c>
      <c r="G8927" s="142" t="s">
        <v>12446</v>
      </c>
      <c r="H8927" s="142" t="s">
        <v>24777</v>
      </c>
      <c r="I8927" s="142">
        <v>44</v>
      </c>
      <c r="J8927" s="142">
        <v>0</v>
      </c>
      <c r="K8927" s="142">
        <v>0</v>
      </c>
      <c r="L8927" s="142">
        <v>44</v>
      </c>
      <c r="M8927" s="142">
        <v>0</v>
      </c>
    </row>
    <row r="8928" spans="1:13" x14ac:dyDescent="0.45">
      <c r="A8928" s="142" t="s">
        <v>13635</v>
      </c>
      <c r="B8928" s="142" t="s">
        <v>14723</v>
      </c>
      <c r="C8928" s="142" t="s">
        <v>15860</v>
      </c>
      <c r="D8928" s="142" t="s">
        <v>15861</v>
      </c>
      <c r="E8928" s="142" t="s">
        <v>15849</v>
      </c>
      <c r="F8928" s="142" t="s">
        <v>195</v>
      </c>
      <c r="G8928" s="142" t="s">
        <v>12446</v>
      </c>
      <c r="H8928" s="142" t="s">
        <v>24778</v>
      </c>
      <c r="I8928" s="142">
        <v>6</v>
      </c>
      <c r="J8928" s="142">
        <v>0</v>
      </c>
      <c r="K8928" s="142">
        <v>0</v>
      </c>
      <c r="L8928" s="142">
        <v>6</v>
      </c>
      <c r="M8928" s="142">
        <v>0</v>
      </c>
    </row>
    <row r="8929" spans="1:13" x14ac:dyDescent="0.45">
      <c r="A8929" s="142" t="s">
        <v>13437</v>
      </c>
      <c r="B8929" s="142" t="s">
        <v>15268</v>
      </c>
      <c r="C8929" s="142" t="s">
        <v>15847</v>
      </c>
      <c r="D8929" s="142" t="s">
        <v>15848</v>
      </c>
      <c r="E8929" s="142" t="s">
        <v>15849</v>
      </c>
      <c r="F8929" s="142" t="s">
        <v>195</v>
      </c>
      <c r="G8929" s="142" t="s">
        <v>12446</v>
      </c>
      <c r="H8929" s="142" t="s">
        <v>24779</v>
      </c>
      <c r="I8929" s="142">
        <v>600</v>
      </c>
      <c r="J8929" s="142">
        <v>439</v>
      </c>
      <c r="K8929" s="142">
        <v>0</v>
      </c>
      <c r="L8929" s="142">
        <v>7</v>
      </c>
      <c r="M8929" s="142">
        <v>154</v>
      </c>
    </row>
    <row r="8930" spans="1:13" x14ac:dyDescent="0.45">
      <c r="A8930" s="142" t="s">
        <v>13735</v>
      </c>
      <c r="B8930" s="142" t="s">
        <v>14533</v>
      </c>
      <c r="C8930" s="142" t="s">
        <v>15860</v>
      </c>
      <c r="D8930" s="142" t="s">
        <v>15861</v>
      </c>
      <c r="E8930" s="142" t="s">
        <v>15849</v>
      </c>
      <c r="F8930" s="142" t="s">
        <v>195</v>
      </c>
      <c r="G8930" s="142" t="s">
        <v>12446</v>
      </c>
      <c r="H8930" s="142" t="s">
        <v>24780</v>
      </c>
      <c r="I8930" s="142">
        <v>1</v>
      </c>
      <c r="J8930" s="142">
        <v>1</v>
      </c>
      <c r="K8930" s="142">
        <v>0</v>
      </c>
      <c r="L8930" s="142">
        <v>0</v>
      </c>
      <c r="M8930" s="142">
        <v>0</v>
      </c>
    </row>
    <row r="8931" spans="1:13" x14ac:dyDescent="0.45">
      <c r="A8931" s="142" t="s">
        <v>14333</v>
      </c>
      <c r="B8931" s="142" t="s">
        <v>15079</v>
      </c>
      <c r="C8931" s="142" t="s">
        <v>15860</v>
      </c>
      <c r="D8931" s="142" t="s">
        <v>15861</v>
      </c>
      <c r="E8931" s="142" t="s">
        <v>15849</v>
      </c>
      <c r="F8931" s="142" t="s">
        <v>195</v>
      </c>
      <c r="G8931" s="142" t="s">
        <v>12446</v>
      </c>
      <c r="H8931" s="142" t="s">
        <v>24781</v>
      </c>
      <c r="I8931" s="142">
        <v>12</v>
      </c>
      <c r="J8931" s="142">
        <v>12</v>
      </c>
      <c r="K8931" s="142">
        <v>0</v>
      </c>
      <c r="L8931" s="142">
        <v>0</v>
      </c>
      <c r="M8931" s="142">
        <v>0</v>
      </c>
    </row>
    <row r="8932" spans="1:13" x14ac:dyDescent="0.45">
      <c r="A8932" s="142" t="s">
        <v>13100</v>
      </c>
      <c r="B8932" s="142" t="s">
        <v>15603</v>
      </c>
      <c r="C8932" s="142" t="s">
        <v>15847</v>
      </c>
      <c r="D8932" s="142" t="s">
        <v>15848</v>
      </c>
      <c r="E8932" s="142" t="s">
        <v>15849</v>
      </c>
      <c r="F8932" s="142" t="s">
        <v>195</v>
      </c>
      <c r="G8932" s="142" t="s">
        <v>12446</v>
      </c>
      <c r="H8932" s="142" t="s">
        <v>24782</v>
      </c>
      <c r="I8932" s="142">
        <v>200</v>
      </c>
      <c r="J8932" s="142">
        <v>200</v>
      </c>
      <c r="K8932" s="142">
        <v>0</v>
      </c>
      <c r="L8932" s="142">
        <v>0</v>
      </c>
      <c r="M8932" s="142">
        <v>0</v>
      </c>
    </row>
    <row r="8933" spans="1:13" x14ac:dyDescent="0.45">
      <c r="A8933" s="142" t="s">
        <v>13005</v>
      </c>
      <c r="B8933" s="142" t="s">
        <v>15475</v>
      </c>
      <c r="C8933" s="142" t="s">
        <v>15847</v>
      </c>
      <c r="D8933" s="142" t="s">
        <v>15848</v>
      </c>
      <c r="E8933" s="142" t="s">
        <v>15849</v>
      </c>
      <c r="F8933" s="142" t="s">
        <v>195</v>
      </c>
      <c r="G8933" s="142" t="s">
        <v>12446</v>
      </c>
      <c r="H8933" s="142" t="s">
        <v>24783</v>
      </c>
      <c r="I8933" s="142">
        <v>5986</v>
      </c>
      <c r="J8933" s="142">
        <v>4531</v>
      </c>
      <c r="K8933" s="142">
        <v>0</v>
      </c>
      <c r="L8933" s="142">
        <v>560</v>
      </c>
      <c r="M8933" s="142">
        <v>895</v>
      </c>
    </row>
    <row r="8934" spans="1:13" x14ac:dyDescent="0.45">
      <c r="A8934" s="142" t="s">
        <v>13101</v>
      </c>
      <c r="B8934" s="142" t="s">
        <v>15491</v>
      </c>
      <c r="C8934" s="142" t="s">
        <v>15847</v>
      </c>
      <c r="D8934" s="142" t="s">
        <v>15848</v>
      </c>
      <c r="E8934" s="142" t="s">
        <v>15849</v>
      </c>
      <c r="F8934" s="142" t="s">
        <v>195</v>
      </c>
      <c r="G8934" s="142" t="s">
        <v>12446</v>
      </c>
      <c r="H8934" s="142" t="s">
        <v>24784</v>
      </c>
      <c r="I8934" s="142">
        <v>5</v>
      </c>
      <c r="J8934" s="142">
        <v>0</v>
      </c>
      <c r="K8934" s="142">
        <v>0</v>
      </c>
      <c r="L8934" s="142">
        <v>5</v>
      </c>
      <c r="M8934" s="142">
        <v>0</v>
      </c>
    </row>
    <row r="8935" spans="1:13" x14ac:dyDescent="0.45">
      <c r="A8935" s="142" t="s">
        <v>13006</v>
      </c>
      <c r="B8935" s="142" t="s">
        <v>15288</v>
      </c>
      <c r="C8935" s="142" t="s">
        <v>15847</v>
      </c>
      <c r="D8935" s="142" t="s">
        <v>15848</v>
      </c>
      <c r="E8935" s="142" t="s">
        <v>15849</v>
      </c>
      <c r="F8935" s="142" t="s">
        <v>195</v>
      </c>
      <c r="G8935" s="142" t="s">
        <v>12446</v>
      </c>
      <c r="H8935" s="142" t="s">
        <v>24785</v>
      </c>
      <c r="I8935" s="142">
        <v>347</v>
      </c>
      <c r="J8935" s="142">
        <v>254</v>
      </c>
      <c r="K8935" s="142">
        <v>0</v>
      </c>
      <c r="L8935" s="142">
        <v>4</v>
      </c>
      <c r="M8935" s="142">
        <v>89</v>
      </c>
    </row>
    <row r="8936" spans="1:13" x14ac:dyDescent="0.45">
      <c r="A8936" s="142" t="s">
        <v>13102</v>
      </c>
      <c r="B8936" s="142" t="s">
        <v>15235</v>
      </c>
      <c r="C8936" s="142" t="s">
        <v>15847</v>
      </c>
      <c r="D8936" s="142" t="s">
        <v>15848</v>
      </c>
      <c r="E8936" s="142" t="s">
        <v>15849</v>
      </c>
      <c r="F8936" s="142" t="s">
        <v>195</v>
      </c>
      <c r="G8936" s="142" t="s">
        <v>12446</v>
      </c>
      <c r="H8936" s="142" t="s">
        <v>24786</v>
      </c>
      <c r="I8936" s="142">
        <v>294</v>
      </c>
      <c r="J8936" s="142">
        <v>112</v>
      </c>
      <c r="K8936" s="142">
        <v>0</v>
      </c>
      <c r="L8936" s="142">
        <v>50</v>
      </c>
      <c r="M8936" s="142">
        <v>132</v>
      </c>
    </row>
    <row r="8937" spans="1:13" x14ac:dyDescent="0.45">
      <c r="A8937" s="142" t="s">
        <v>13678</v>
      </c>
      <c r="B8937" s="142" t="s">
        <v>15555</v>
      </c>
      <c r="C8937" s="142" t="s">
        <v>15847</v>
      </c>
      <c r="D8937" s="142" t="s">
        <v>15848</v>
      </c>
      <c r="E8937" s="142" t="s">
        <v>15849</v>
      </c>
      <c r="F8937" s="142" t="s">
        <v>195</v>
      </c>
      <c r="G8937" s="142" t="s">
        <v>12446</v>
      </c>
      <c r="H8937" s="142" t="s">
        <v>24787</v>
      </c>
      <c r="I8937" s="142">
        <v>265</v>
      </c>
      <c r="J8937" s="142">
        <v>254</v>
      </c>
      <c r="K8937" s="142">
        <v>0</v>
      </c>
      <c r="L8937" s="142">
        <v>0</v>
      </c>
      <c r="M8937" s="142">
        <v>11</v>
      </c>
    </row>
    <row r="8938" spans="1:13" x14ac:dyDescent="0.45">
      <c r="A8938" s="142" t="s">
        <v>13103</v>
      </c>
      <c r="B8938" s="142" t="s">
        <v>14623</v>
      </c>
      <c r="C8938" s="142" t="s">
        <v>15847</v>
      </c>
      <c r="D8938" s="142" t="s">
        <v>15848</v>
      </c>
      <c r="E8938" s="142" t="s">
        <v>15849</v>
      </c>
      <c r="F8938" s="142" t="s">
        <v>195</v>
      </c>
      <c r="G8938" s="142" t="s">
        <v>12446</v>
      </c>
      <c r="H8938" s="142" t="s">
        <v>24788</v>
      </c>
      <c r="I8938" s="142">
        <v>251</v>
      </c>
      <c r="J8938" s="142">
        <v>190</v>
      </c>
      <c r="K8938" s="142">
        <v>0</v>
      </c>
      <c r="L8938" s="142">
        <v>60</v>
      </c>
      <c r="M8938" s="142">
        <v>1</v>
      </c>
    </row>
    <row r="8939" spans="1:13" x14ac:dyDescent="0.45">
      <c r="A8939" s="142" t="s">
        <v>13054</v>
      </c>
      <c r="B8939" s="142" t="s">
        <v>15604</v>
      </c>
      <c r="C8939" s="142" t="s">
        <v>15847</v>
      </c>
      <c r="D8939" s="142" t="s">
        <v>15848</v>
      </c>
      <c r="E8939" s="142" t="s">
        <v>15849</v>
      </c>
      <c r="F8939" s="142" t="s">
        <v>195</v>
      </c>
      <c r="G8939" s="142" t="s">
        <v>12446</v>
      </c>
      <c r="H8939" s="142" t="s">
        <v>24789</v>
      </c>
      <c r="I8939" s="142">
        <v>46</v>
      </c>
      <c r="J8939" s="142">
        <v>0</v>
      </c>
      <c r="K8939" s="142">
        <v>0</v>
      </c>
      <c r="L8939" s="142">
        <v>0</v>
      </c>
      <c r="M8939" s="142">
        <v>46</v>
      </c>
    </row>
    <row r="8940" spans="1:13" x14ac:dyDescent="0.45">
      <c r="A8940" s="142" t="s">
        <v>13008</v>
      </c>
      <c r="B8940" s="142" t="s">
        <v>15411</v>
      </c>
      <c r="C8940" s="142" t="s">
        <v>15847</v>
      </c>
      <c r="D8940" s="142" t="s">
        <v>15848</v>
      </c>
      <c r="E8940" s="142" t="s">
        <v>15849</v>
      </c>
      <c r="F8940" s="142" t="s">
        <v>195</v>
      </c>
      <c r="G8940" s="142" t="s">
        <v>12446</v>
      </c>
      <c r="H8940" s="142" t="s">
        <v>24790</v>
      </c>
      <c r="I8940" s="142">
        <v>17</v>
      </c>
      <c r="J8940" s="142">
        <v>0</v>
      </c>
      <c r="K8940" s="142">
        <v>0</v>
      </c>
      <c r="L8940" s="142">
        <v>0</v>
      </c>
      <c r="M8940" s="142">
        <v>17</v>
      </c>
    </row>
    <row r="8941" spans="1:13" x14ac:dyDescent="0.45">
      <c r="A8941" s="142" t="s">
        <v>13055</v>
      </c>
      <c r="B8941" s="142" t="s">
        <v>14595</v>
      </c>
      <c r="C8941" s="142" t="s">
        <v>15847</v>
      </c>
      <c r="D8941" s="142" t="s">
        <v>15848</v>
      </c>
      <c r="E8941" s="142" t="s">
        <v>15849</v>
      </c>
      <c r="F8941" s="142" t="s">
        <v>195</v>
      </c>
      <c r="G8941" s="142" t="s">
        <v>12446</v>
      </c>
      <c r="H8941" s="142" t="s">
        <v>24791</v>
      </c>
      <c r="I8941" s="142">
        <v>174</v>
      </c>
      <c r="J8941" s="142">
        <v>152</v>
      </c>
      <c r="K8941" s="142">
        <v>0</v>
      </c>
      <c r="L8941" s="142">
        <v>0</v>
      </c>
      <c r="M8941" s="142">
        <v>22</v>
      </c>
    </row>
    <row r="8942" spans="1:13" x14ac:dyDescent="0.45">
      <c r="A8942" s="142" t="s">
        <v>13104</v>
      </c>
      <c r="B8942" s="142" t="s">
        <v>14622</v>
      </c>
      <c r="C8942" s="142" t="s">
        <v>15847</v>
      </c>
      <c r="D8942" s="142" t="s">
        <v>15848</v>
      </c>
      <c r="E8942" s="142" t="s">
        <v>15849</v>
      </c>
      <c r="F8942" s="142" t="s">
        <v>195</v>
      </c>
      <c r="G8942" s="142" t="s">
        <v>12446</v>
      </c>
      <c r="H8942" s="142" t="s">
        <v>24792</v>
      </c>
      <c r="I8942" s="142">
        <v>2596</v>
      </c>
      <c r="J8942" s="142">
        <v>2229</v>
      </c>
      <c r="K8942" s="142">
        <v>0</v>
      </c>
      <c r="L8942" s="142">
        <v>137</v>
      </c>
      <c r="M8942" s="142">
        <v>230</v>
      </c>
    </row>
    <row r="8943" spans="1:13" x14ac:dyDescent="0.45">
      <c r="A8943" s="142" t="s">
        <v>13737</v>
      </c>
      <c r="B8943" s="142" t="s">
        <v>15064</v>
      </c>
      <c r="C8943" s="142" t="s">
        <v>15860</v>
      </c>
      <c r="D8943" s="142" t="s">
        <v>15861</v>
      </c>
      <c r="E8943" s="142" t="s">
        <v>15849</v>
      </c>
      <c r="F8943" s="142" t="s">
        <v>195</v>
      </c>
      <c r="G8943" s="142" t="s">
        <v>12446</v>
      </c>
      <c r="H8943" s="142" t="s">
        <v>24793</v>
      </c>
      <c r="I8943" s="142">
        <v>6</v>
      </c>
      <c r="J8943" s="142">
        <v>0</v>
      </c>
      <c r="K8943" s="142">
        <v>6</v>
      </c>
      <c r="L8943" s="142">
        <v>0</v>
      </c>
      <c r="M8943" s="142">
        <v>0</v>
      </c>
    </row>
    <row r="8944" spans="1:13" x14ac:dyDescent="0.45">
      <c r="A8944" s="142" t="s">
        <v>13033</v>
      </c>
      <c r="B8944" s="142" t="s">
        <v>15276</v>
      </c>
      <c r="C8944" s="142" t="s">
        <v>15847</v>
      </c>
      <c r="D8944" s="142" t="s">
        <v>15848</v>
      </c>
      <c r="E8944" s="142" t="s">
        <v>15849</v>
      </c>
      <c r="F8944" s="142" t="s">
        <v>195</v>
      </c>
      <c r="G8944" s="142" t="s">
        <v>12446</v>
      </c>
      <c r="H8944" s="142" t="s">
        <v>24794</v>
      </c>
      <c r="I8944" s="142">
        <v>1</v>
      </c>
      <c r="J8944" s="142">
        <v>1</v>
      </c>
      <c r="K8944" s="142">
        <v>0</v>
      </c>
      <c r="L8944" s="142">
        <v>0</v>
      </c>
      <c r="M8944" s="142">
        <v>0</v>
      </c>
    </row>
    <row r="8945" spans="1:13" x14ac:dyDescent="0.45">
      <c r="A8945" s="142" t="s">
        <v>13034</v>
      </c>
      <c r="B8945" s="142" t="s">
        <v>15562</v>
      </c>
      <c r="C8945" s="142" t="s">
        <v>15847</v>
      </c>
      <c r="D8945" s="142" t="s">
        <v>15848</v>
      </c>
      <c r="E8945" s="142" t="s">
        <v>15849</v>
      </c>
      <c r="F8945" s="142" t="s">
        <v>195</v>
      </c>
      <c r="G8945" s="142" t="s">
        <v>12446</v>
      </c>
      <c r="H8945" s="142" t="s">
        <v>24795</v>
      </c>
      <c r="I8945" s="142">
        <v>105</v>
      </c>
      <c r="J8945" s="142">
        <v>100</v>
      </c>
      <c r="K8945" s="142">
        <v>0</v>
      </c>
      <c r="L8945" s="142">
        <v>3</v>
      </c>
      <c r="M8945" s="142">
        <v>2</v>
      </c>
    </row>
    <row r="8946" spans="1:13" x14ac:dyDescent="0.45">
      <c r="A8946" s="142" t="s">
        <v>13037</v>
      </c>
      <c r="B8946" s="142" t="s">
        <v>14519</v>
      </c>
      <c r="C8946" s="142" t="s">
        <v>15847</v>
      </c>
      <c r="D8946" s="142" t="s">
        <v>15848</v>
      </c>
      <c r="E8946" s="142" t="s">
        <v>15849</v>
      </c>
      <c r="F8946" s="142" t="s">
        <v>195</v>
      </c>
      <c r="G8946" s="142" t="s">
        <v>12446</v>
      </c>
      <c r="H8946" s="142" t="s">
        <v>24796</v>
      </c>
      <c r="I8946" s="142">
        <v>17</v>
      </c>
      <c r="J8946" s="142">
        <v>0</v>
      </c>
      <c r="K8946" s="142">
        <v>0</v>
      </c>
      <c r="L8946" s="142">
        <v>17</v>
      </c>
      <c r="M8946" s="142">
        <v>0</v>
      </c>
    </row>
    <row r="8947" spans="1:13" x14ac:dyDescent="0.45">
      <c r="A8947" s="142" t="s">
        <v>13992</v>
      </c>
      <c r="B8947" s="142" t="s">
        <v>15354</v>
      </c>
      <c r="C8947" s="142" t="s">
        <v>15860</v>
      </c>
      <c r="D8947" s="142" t="s">
        <v>15861</v>
      </c>
      <c r="E8947" s="142" t="s">
        <v>15849</v>
      </c>
      <c r="F8947" s="142" t="s">
        <v>195</v>
      </c>
      <c r="G8947" s="142" t="s">
        <v>12446</v>
      </c>
      <c r="H8947" s="142" t="s">
        <v>24797</v>
      </c>
      <c r="I8947" s="142">
        <v>4</v>
      </c>
      <c r="J8947" s="142">
        <v>0</v>
      </c>
      <c r="K8947" s="142">
        <v>0</v>
      </c>
      <c r="L8947" s="142">
        <v>4</v>
      </c>
      <c r="M8947" s="142">
        <v>0</v>
      </c>
    </row>
    <row r="8948" spans="1:13" x14ac:dyDescent="0.45">
      <c r="A8948" s="142" t="s">
        <v>13038</v>
      </c>
      <c r="B8948" s="142" t="s">
        <v>14646</v>
      </c>
      <c r="C8948" s="142" t="s">
        <v>15847</v>
      </c>
      <c r="D8948" s="142" t="s">
        <v>15848</v>
      </c>
      <c r="E8948" s="142" t="s">
        <v>15849</v>
      </c>
      <c r="F8948" s="142" t="s">
        <v>195</v>
      </c>
      <c r="G8948" s="142" t="s">
        <v>12446</v>
      </c>
      <c r="H8948" s="142" t="s">
        <v>24798</v>
      </c>
      <c r="I8948" s="142">
        <v>204</v>
      </c>
      <c r="J8948" s="142">
        <v>0</v>
      </c>
      <c r="K8948" s="142">
        <v>0</v>
      </c>
      <c r="L8948" s="142">
        <v>0</v>
      </c>
      <c r="M8948" s="142">
        <v>204</v>
      </c>
    </row>
    <row r="8949" spans="1:13" x14ac:dyDescent="0.45">
      <c r="A8949" s="142" t="s">
        <v>13078</v>
      </c>
      <c r="B8949" s="142" t="s">
        <v>15540</v>
      </c>
      <c r="C8949" s="142" t="s">
        <v>15847</v>
      </c>
      <c r="D8949" s="142" t="s">
        <v>15848</v>
      </c>
      <c r="E8949" s="142" t="s">
        <v>15849</v>
      </c>
      <c r="F8949" s="142" t="s">
        <v>195</v>
      </c>
      <c r="G8949" s="142" t="s">
        <v>12446</v>
      </c>
      <c r="H8949" s="142" t="s">
        <v>24799</v>
      </c>
      <c r="I8949" s="142">
        <v>17</v>
      </c>
      <c r="J8949" s="142">
        <v>0</v>
      </c>
      <c r="K8949" s="142">
        <v>0</v>
      </c>
      <c r="L8949" s="142">
        <v>17</v>
      </c>
      <c r="M8949" s="142">
        <v>0</v>
      </c>
    </row>
    <row r="8950" spans="1:13" x14ac:dyDescent="0.45">
      <c r="A8950" s="142" t="s">
        <v>13091</v>
      </c>
      <c r="B8950" s="142" t="s">
        <v>14473</v>
      </c>
      <c r="C8950" s="142" t="s">
        <v>15847</v>
      </c>
      <c r="D8950" s="142" t="s">
        <v>15848</v>
      </c>
      <c r="E8950" s="142" t="s">
        <v>15849</v>
      </c>
      <c r="F8950" s="142" t="s">
        <v>195</v>
      </c>
      <c r="G8950" s="142" t="s">
        <v>12446</v>
      </c>
      <c r="H8950" s="142" t="s">
        <v>24800</v>
      </c>
      <c r="I8950" s="142">
        <v>99</v>
      </c>
      <c r="J8950" s="142">
        <v>68</v>
      </c>
      <c r="K8950" s="142">
        <v>0</v>
      </c>
      <c r="L8950" s="142">
        <v>0</v>
      </c>
      <c r="M8950" s="142">
        <v>31</v>
      </c>
    </row>
    <row r="8951" spans="1:13" x14ac:dyDescent="0.45">
      <c r="A8951" s="142" t="s">
        <v>13009</v>
      </c>
      <c r="B8951" s="142" t="s">
        <v>15256</v>
      </c>
      <c r="C8951" s="142" t="s">
        <v>15847</v>
      </c>
      <c r="D8951" s="142" t="s">
        <v>15848</v>
      </c>
      <c r="E8951" s="142" t="s">
        <v>15849</v>
      </c>
      <c r="F8951" s="142" t="s">
        <v>195</v>
      </c>
      <c r="G8951" s="142" t="s">
        <v>12446</v>
      </c>
      <c r="H8951" s="142" t="s">
        <v>24801</v>
      </c>
      <c r="I8951" s="142">
        <v>117</v>
      </c>
      <c r="J8951" s="142">
        <v>117</v>
      </c>
      <c r="K8951" s="142">
        <v>0</v>
      </c>
      <c r="L8951" s="142">
        <v>0</v>
      </c>
      <c r="M8951" s="142">
        <v>0</v>
      </c>
    </row>
    <row r="8952" spans="1:13" x14ac:dyDescent="0.45">
      <c r="A8952" s="142" t="s">
        <v>13011</v>
      </c>
      <c r="B8952" s="142" t="s">
        <v>14695</v>
      </c>
      <c r="C8952" s="142" t="s">
        <v>15847</v>
      </c>
      <c r="D8952" s="142" t="s">
        <v>15848</v>
      </c>
      <c r="E8952" s="142" t="s">
        <v>15849</v>
      </c>
      <c r="F8952" s="142" t="s">
        <v>195</v>
      </c>
      <c r="G8952" s="142" t="s">
        <v>12446</v>
      </c>
      <c r="H8952" s="142" t="s">
        <v>24802</v>
      </c>
      <c r="I8952" s="142">
        <v>153</v>
      </c>
      <c r="J8952" s="142">
        <v>67</v>
      </c>
      <c r="K8952" s="142">
        <v>0</v>
      </c>
      <c r="L8952" s="142">
        <v>56</v>
      </c>
      <c r="M8952" s="142">
        <v>30</v>
      </c>
    </row>
    <row r="8953" spans="1:13" x14ac:dyDescent="0.45">
      <c r="A8953" s="142" t="s">
        <v>13058</v>
      </c>
      <c r="B8953" s="142" t="s">
        <v>14584</v>
      </c>
      <c r="C8953" s="142" t="s">
        <v>15847</v>
      </c>
      <c r="D8953" s="142" t="s">
        <v>15848</v>
      </c>
      <c r="E8953" s="142" t="s">
        <v>15849</v>
      </c>
      <c r="F8953" s="142" t="s">
        <v>195</v>
      </c>
      <c r="G8953" s="142" t="s">
        <v>12446</v>
      </c>
      <c r="H8953" s="142" t="s">
        <v>24803</v>
      </c>
      <c r="I8953" s="142">
        <v>74</v>
      </c>
      <c r="J8953" s="142">
        <v>62</v>
      </c>
      <c r="K8953" s="142">
        <v>0</v>
      </c>
      <c r="L8953" s="142">
        <v>0</v>
      </c>
      <c r="M8953" s="142">
        <v>12</v>
      </c>
    </row>
    <row r="8954" spans="1:13" x14ac:dyDescent="0.45">
      <c r="A8954" s="142" t="s">
        <v>13106</v>
      </c>
      <c r="B8954" s="142" t="s">
        <v>15414</v>
      </c>
      <c r="C8954" s="142" t="s">
        <v>15847</v>
      </c>
      <c r="D8954" s="142" t="s">
        <v>15848</v>
      </c>
      <c r="E8954" s="142" t="s">
        <v>15849</v>
      </c>
      <c r="F8954" s="142" t="s">
        <v>195</v>
      </c>
      <c r="G8954" s="142" t="s">
        <v>12446</v>
      </c>
      <c r="H8954" s="142" t="s">
        <v>24804</v>
      </c>
      <c r="I8954" s="142">
        <v>28</v>
      </c>
      <c r="J8954" s="142">
        <v>0</v>
      </c>
      <c r="K8954" s="142">
        <v>0</v>
      </c>
      <c r="L8954" s="142">
        <v>0</v>
      </c>
      <c r="M8954" s="142">
        <v>28</v>
      </c>
    </row>
    <row r="8955" spans="1:13" x14ac:dyDescent="0.45">
      <c r="A8955" s="142" t="s">
        <v>13344</v>
      </c>
      <c r="B8955" s="142" t="s">
        <v>15448</v>
      </c>
      <c r="C8955" s="142" t="s">
        <v>15860</v>
      </c>
      <c r="D8955" s="142" t="s">
        <v>15861</v>
      </c>
      <c r="E8955" s="142" t="s">
        <v>15849</v>
      </c>
      <c r="F8955" s="142" t="s">
        <v>195</v>
      </c>
      <c r="G8955" s="142" t="s">
        <v>12446</v>
      </c>
      <c r="H8955" s="142" t="s">
        <v>24805</v>
      </c>
      <c r="I8955" s="142">
        <v>1</v>
      </c>
      <c r="J8955" s="142">
        <v>1</v>
      </c>
      <c r="K8955" s="142">
        <v>0</v>
      </c>
      <c r="L8955" s="142">
        <v>0</v>
      </c>
      <c r="M8955" s="142">
        <v>0</v>
      </c>
    </row>
    <row r="8956" spans="1:13" x14ac:dyDescent="0.45">
      <c r="A8956" s="142" t="s">
        <v>13220</v>
      </c>
      <c r="B8956" s="142" t="s">
        <v>15505</v>
      </c>
      <c r="C8956" s="142" t="s">
        <v>15860</v>
      </c>
      <c r="D8956" s="142" t="s">
        <v>15861</v>
      </c>
      <c r="E8956" s="142" t="s">
        <v>15849</v>
      </c>
      <c r="F8956" s="142" t="s">
        <v>195</v>
      </c>
      <c r="G8956" s="142" t="s">
        <v>12446</v>
      </c>
      <c r="H8956" s="142" t="s">
        <v>24806</v>
      </c>
      <c r="I8956" s="142">
        <v>14</v>
      </c>
      <c r="J8956" s="142">
        <v>14</v>
      </c>
      <c r="K8956" s="142">
        <v>0</v>
      </c>
      <c r="L8956" s="142">
        <v>0</v>
      </c>
      <c r="M8956" s="142">
        <v>0</v>
      </c>
    </row>
    <row r="8957" spans="1:13" x14ac:dyDescent="0.45">
      <c r="A8957" s="142" t="s">
        <v>13014</v>
      </c>
      <c r="B8957" s="142" t="s">
        <v>14505</v>
      </c>
      <c r="C8957" s="142" t="s">
        <v>15847</v>
      </c>
      <c r="D8957" s="142" t="s">
        <v>15848</v>
      </c>
      <c r="E8957" s="142" t="s">
        <v>15849</v>
      </c>
      <c r="F8957" s="142" t="s">
        <v>195</v>
      </c>
      <c r="G8957" s="142" t="s">
        <v>12446</v>
      </c>
      <c r="H8957" s="142" t="s">
        <v>24807</v>
      </c>
      <c r="I8957" s="142">
        <v>3</v>
      </c>
      <c r="J8957" s="142">
        <v>0</v>
      </c>
      <c r="K8957" s="142">
        <v>0</v>
      </c>
      <c r="L8957" s="142">
        <v>0</v>
      </c>
      <c r="M8957" s="142">
        <v>3</v>
      </c>
    </row>
    <row r="8958" spans="1:13" x14ac:dyDescent="0.45">
      <c r="A8958" s="142" t="s">
        <v>13042</v>
      </c>
      <c r="B8958" s="142" t="s">
        <v>15489</v>
      </c>
      <c r="C8958" s="142" t="s">
        <v>15847</v>
      </c>
      <c r="D8958" s="142" t="s">
        <v>15848</v>
      </c>
      <c r="E8958" s="142" t="s">
        <v>15849</v>
      </c>
      <c r="F8958" s="142" t="s">
        <v>195</v>
      </c>
      <c r="G8958" s="142" t="s">
        <v>12446</v>
      </c>
      <c r="H8958" s="142" t="s">
        <v>24808</v>
      </c>
      <c r="I8958" s="142">
        <v>249</v>
      </c>
      <c r="J8958" s="142">
        <v>91</v>
      </c>
      <c r="K8958" s="142">
        <v>0</v>
      </c>
      <c r="L8958" s="142">
        <v>67</v>
      </c>
      <c r="M8958" s="142">
        <v>91</v>
      </c>
    </row>
    <row r="8959" spans="1:13" x14ac:dyDescent="0.45">
      <c r="A8959" s="142" t="s">
        <v>14334</v>
      </c>
      <c r="B8959" s="142" t="s">
        <v>15269</v>
      </c>
      <c r="C8959" s="142" t="s">
        <v>15860</v>
      </c>
      <c r="D8959" s="142" t="s">
        <v>15861</v>
      </c>
      <c r="E8959" s="142" t="s">
        <v>15849</v>
      </c>
      <c r="F8959" s="142" t="s">
        <v>195</v>
      </c>
      <c r="G8959" s="142" t="s">
        <v>12446</v>
      </c>
      <c r="H8959" s="142" t="s">
        <v>24809</v>
      </c>
      <c r="I8959" s="142">
        <v>329</v>
      </c>
      <c r="J8959" s="142">
        <v>156</v>
      </c>
      <c r="K8959" s="142">
        <v>0</v>
      </c>
      <c r="L8959" s="142">
        <v>173</v>
      </c>
      <c r="M8959" s="142">
        <v>0</v>
      </c>
    </row>
    <row r="8960" spans="1:13" x14ac:dyDescent="0.45">
      <c r="A8960" s="142" t="s">
        <v>13016</v>
      </c>
      <c r="B8960" s="142" t="s">
        <v>14535</v>
      </c>
      <c r="C8960" s="142" t="s">
        <v>15860</v>
      </c>
      <c r="D8960" s="142" t="s">
        <v>15861</v>
      </c>
      <c r="E8960" s="142" t="s">
        <v>15849</v>
      </c>
      <c r="F8960" s="142" t="s">
        <v>195</v>
      </c>
      <c r="G8960" s="142" t="s">
        <v>12446</v>
      </c>
      <c r="H8960" s="142" t="s">
        <v>24810</v>
      </c>
      <c r="I8960" s="142">
        <v>5</v>
      </c>
      <c r="J8960" s="142">
        <v>0</v>
      </c>
      <c r="K8960" s="142">
        <v>0</v>
      </c>
      <c r="L8960" s="142">
        <v>5</v>
      </c>
      <c r="M8960" s="142">
        <v>0</v>
      </c>
    </row>
    <row r="8961" spans="1:13" x14ac:dyDescent="0.45">
      <c r="A8961" s="142" t="s">
        <v>13640</v>
      </c>
      <c r="B8961" s="142" t="s">
        <v>15570</v>
      </c>
      <c r="C8961" s="142" t="s">
        <v>15847</v>
      </c>
      <c r="D8961" s="142" t="s">
        <v>15848</v>
      </c>
      <c r="E8961" s="142" t="s">
        <v>15849</v>
      </c>
      <c r="F8961" s="142" t="s">
        <v>195</v>
      </c>
      <c r="G8961" s="142" t="s">
        <v>12446</v>
      </c>
      <c r="H8961" s="142" t="s">
        <v>24811</v>
      </c>
      <c r="I8961" s="142">
        <v>346</v>
      </c>
      <c r="J8961" s="142">
        <v>20</v>
      </c>
      <c r="K8961" s="142">
        <v>0</v>
      </c>
      <c r="L8961" s="142">
        <v>326</v>
      </c>
      <c r="M8961" s="142">
        <v>0</v>
      </c>
    </row>
    <row r="8962" spans="1:13" x14ac:dyDescent="0.45">
      <c r="A8962" s="142" t="s">
        <v>13110</v>
      </c>
      <c r="B8962" s="142" t="s">
        <v>15502</v>
      </c>
      <c r="C8962" s="142" t="s">
        <v>15847</v>
      </c>
      <c r="D8962" s="142" t="s">
        <v>15848</v>
      </c>
      <c r="E8962" s="142" t="s">
        <v>15849</v>
      </c>
      <c r="F8962" s="142" t="s">
        <v>196</v>
      </c>
      <c r="G8962" s="142" t="s">
        <v>12487</v>
      </c>
      <c r="H8962" s="142" t="s">
        <v>24812</v>
      </c>
      <c r="I8962" s="142">
        <v>224</v>
      </c>
      <c r="J8962" s="142">
        <v>164</v>
      </c>
      <c r="K8962" s="142">
        <v>0</v>
      </c>
      <c r="L8962" s="142">
        <v>10</v>
      </c>
      <c r="M8962" s="142">
        <v>50</v>
      </c>
    </row>
    <row r="8963" spans="1:13" x14ac:dyDescent="0.45">
      <c r="A8963" s="142" t="s">
        <v>13308</v>
      </c>
      <c r="B8963" s="142" t="s">
        <v>15608</v>
      </c>
      <c r="C8963" s="142" t="s">
        <v>15847</v>
      </c>
      <c r="D8963" s="142" t="s">
        <v>15848</v>
      </c>
      <c r="E8963" s="142" t="s">
        <v>15849</v>
      </c>
      <c r="F8963" s="142" t="s">
        <v>196</v>
      </c>
      <c r="G8963" s="142" t="s">
        <v>12487</v>
      </c>
      <c r="H8963" s="142" t="s">
        <v>24813</v>
      </c>
      <c r="I8963" s="142">
        <v>42</v>
      </c>
      <c r="J8963" s="142">
        <v>0</v>
      </c>
      <c r="K8963" s="142">
        <v>0</v>
      </c>
      <c r="L8963" s="142">
        <v>0</v>
      </c>
      <c r="M8963" s="142">
        <v>42</v>
      </c>
    </row>
    <row r="8964" spans="1:13" x14ac:dyDescent="0.45">
      <c r="A8964" s="142" t="s">
        <v>13166</v>
      </c>
      <c r="B8964" s="142" t="s">
        <v>15576</v>
      </c>
      <c r="C8964" s="142" t="s">
        <v>15847</v>
      </c>
      <c r="D8964" s="142" t="s">
        <v>15848</v>
      </c>
      <c r="E8964" s="142" t="s">
        <v>15849</v>
      </c>
      <c r="F8964" s="142" t="s">
        <v>196</v>
      </c>
      <c r="G8964" s="142" t="s">
        <v>12487</v>
      </c>
      <c r="H8964" s="142" t="s">
        <v>24814</v>
      </c>
      <c r="I8964" s="142">
        <v>4</v>
      </c>
      <c r="J8964" s="142">
        <v>0</v>
      </c>
      <c r="K8964" s="142">
        <v>0</v>
      </c>
      <c r="L8964" s="142">
        <v>0</v>
      </c>
      <c r="M8964" s="142">
        <v>4</v>
      </c>
    </row>
    <row r="8965" spans="1:13" x14ac:dyDescent="0.45">
      <c r="A8965" s="142" t="s">
        <v>13023</v>
      </c>
      <c r="B8965" s="142" t="s">
        <v>15571</v>
      </c>
      <c r="C8965" s="142" t="s">
        <v>15847</v>
      </c>
      <c r="D8965" s="142" t="s">
        <v>15848</v>
      </c>
      <c r="E8965" s="142" t="s">
        <v>15849</v>
      </c>
      <c r="F8965" s="142" t="s">
        <v>196</v>
      </c>
      <c r="G8965" s="142" t="s">
        <v>12487</v>
      </c>
      <c r="H8965" s="142" t="s">
        <v>24815</v>
      </c>
      <c r="I8965" s="142">
        <v>135</v>
      </c>
      <c r="J8965" s="142">
        <v>0</v>
      </c>
      <c r="K8965" s="142">
        <v>0</v>
      </c>
      <c r="L8965" s="142">
        <v>135</v>
      </c>
      <c r="M8965" s="142">
        <v>0</v>
      </c>
    </row>
    <row r="8966" spans="1:13" x14ac:dyDescent="0.45">
      <c r="A8966" s="142" t="s">
        <v>13082</v>
      </c>
      <c r="B8966" s="142" t="s">
        <v>14478</v>
      </c>
      <c r="C8966" s="142" t="s">
        <v>15860</v>
      </c>
      <c r="D8966" s="142" t="s">
        <v>15861</v>
      </c>
      <c r="E8966" s="142" t="s">
        <v>15849</v>
      </c>
      <c r="F8966" s="142" t="s">
        <v>196</v>
      </c>
      <c r="G8966" s="142" t="s">
        <v>12487</v>
      </c>
      <c r="H8966" s="142" t="s">
        <v>24816</v>
      </c>
      <c r="I8966" s="142">
        <v>10</v>
      </c>
      <c r="J8966" s="142">
        <v>0</v>
      </c>
      <c r="K8966" s="142">
        <v>0</v>
      </c>
      <c r="L8966" s="142">
        <v>10</v>
      </c>
      <c r="M8966" s="142">
        <v>0</v>
      </c>
    </row>
    <row r="8967" spans="1:13" x14ac:dyDescent="0.45">
      <c r="A8967" s="142" t="s">
        <v>14336</v>
      </c>
      <c r="B8967" s="142" t="s">
        <v>14947</v>
      </c>
      <c r="C8967" s="142" t="s">
        <v>15860</v>
      </c>
      <c r="D8967" s="142" t="s">
        <v>15861</v>
      </c>
      <c r="E8967" s="142" t="s">
        <v>15849</v>
      </c>
      <c r="F8967" s="142" t="s">
        <v>196</v>
      </c>
      <c r="G8967" s="142" t="s">
        <v>12487</v>
      </c>
      <c r="H8967" s="142" t="s">
        <v>24817</v>
      </c>
      <c r="I8967" s="142">
        <v>66</v>
      </c>
      <c r="J8967" s="142">
        <v>66</v>
      </c>
      <c r="K8967" s="142">
        <v>0</v>
      </c>
      <c r="L8967" s="142">
        <v>0</v>
      </c>
      <c r="M8967" s="142">
        <v>0</v>
      </c>
    </row>
    <row r="8968" spans="1:13" x14ac:dyDescent="0.45">
      <c r="A8968" s="142" t="s">
        <v>14337</v>
      </c>
      <c r="B8968" s="142" t="s">
        <v>15260</v>
      </c>
      <c r="C8968" s="142" t="s">
        <v>15860</v>
      </c>
      <c r="D8968" s="142" t="s">
        <v>15861</v>
      </c>
      <c r="E8968" s="142" t="s">
        <v>15849</v>
      </c>
      <c r="F8968" s="142" t="s">
        <v>196</v>
      </c>
      <c r="G8968" s="142" t="s">
        <v>12487</v>
      </c>
      <c r="H8968" s="142" t="s">
        <v>24818</v>
      </c>
      <c r="I8968" s="142">
        <v>18</v>
      </c>
      <c r="J8968" s="142">
        <v>18</v>
      </c>
      <c r="K8968" s="142">
        <v>0</v>
      </c>
      <c r="L8968" s="142">
        <v>0</v>
      </c>
      <c r="M8968" s="142">
        <v>0</v>
      </c>
    </row>
    <row r="8969" spans="1:13" x14ac:dyDescent="0.45">
      <c r="A8969" s="142" t="s">
        <v>13433</v>
      </c>
      <c r="B8969" s="142" t="s">
        <v>15167</v>
      </c>
      <c r="C8969" s="142" t="s">
        <v>15847</v>
      </c>
      <c r="D8969" s="142" t="s">
        <v>15848</v>
      </c>
      <c r="E8969" s="142" t="s">
        <v>15849</v>
      </c>
      <c r="F8969" s="142" t="s">
        <v>196</v>
      </c>
      <c r="G8969" s="142" t="s">
        <v>12487</v>
      </c>
      <c r="H8969" s="142" t="s">
        <v>24819</v>
      </c>
      <c r="I8969" s="142">
        <v>80</v>
      </c>
      <c r="J8969" s="142">
        <v>28</v>
      </c>
      <c r="K8969" s="142">
        <v>0</v>
      </c>
      <c r="L8969" s="142">
        <v>48</v>
      </c>
      <c r="M8969" s="142">
        <v>4</v>
      </c>
    </row>
    <row r="8970" spans="1:13" x14ac:dyDescent="0.45">
      <c r="A8970" s="142" t="s">
        <v>13000</v>
      </c>
      <c r="B8970" s="142" t="s">
        <v>14610</v>
      </c>
      <c r="C8970" s="142" t="s">
        <v>15847</v>
      </c>
      <c r="D8970" s="142" t="s">
        <v>15848</v>
      </c>
      <c r="E8970" s="142" t="s">
        <v>15849</v>
      </c>
      <c r="F8970" s="142" t="s">
        <v>196</v>
      </c>
      <c r="G8970" s="142" t="s">
        <v>12487</v>
      </c>
      <c r="H8970" s="142" t="s">
        <v>24820</v>
      </c>
      <c r="I8970" s="142">
        <v>224</v>
      </c>
      <c r="J8970" s="142">
        <v>68</v>
      </c>
      <c r="K8970" s="142">
        <v>0</v>
      </c>
      <c r="L8970" s="142">
        <v>0</v>
      </c>
      <c r="M8970" s="142">
        <v>156</v>
      </c>
    </row>
    <row r="8971" spans="1:13" x14ac:dyDescent="0.45">
      <c r="A8971" s="142" t="s">
        <v>13098</v>
      </c>
      <c r="B8971" s="142" t="s">
        <v>14528</v>
      </c>
      <c r="C8971" s="142" t="s">
        <v>15860</v>
      </c>
      <c r="D8971" s="142" t="s">
        <v>15861</v>
      </c>
      <c r="E8971" s="142" t="s">
        <v>15849</v>
      </c>
      <c r="F8971" s="142" t="s">
        <v>196</v>
      </c>
      <c r="G8971" s="142" t="s">
        <v>12487</v>
      </c>
      <c r="H8971" s="142" t="s">
        <v>24821</v>
      </c>
      <c r="I8971" s="142">
        <v>2</v>
      </c>
      <c r="J8971" s="142">
        <v>2</v>
      </c>
      <c r="K8971" s="142">
        <v>0</v>
      </c>
      <c r="L8971" s="142">
        <v>0</v>
      </c>
      <c r="M8971" s="142">
        <v>0</v>
      </c>
    </row>
    <row r="8972" spans="1:13" x14ac:dyDescent="0.45">
      <c r="A8972" s="142" t="s">
        <v>13384</v>
      </c>
      <c r="B8972" s="142" t="s">
        <v>15563</v>
      </c>
      <c r="C8972" s="142" t="s">
        <v>15860</v>
      </c>
      <c r="D8972" s="142" t="s">
        <v>15861</v>
      </c>
      <c r="E8972" s="142" t="s">
        <v>15849</v>
      </c>
      <c r="F8972" s="142" t="s">
        <v>196</v>
      </c>
      <c r="G8972" s="142" t="s">
        <v>12487</v>
      </c>
      <c r="H8972" s="142" t="s">
        <v>24822</v>
      </c>
      <c r="I8972" s="142">
        <v>39</v>
      </c>
      <c r="J8972" s="142">
        <v>33</v>
      </c>
      <c r="K8972" s="142">
        <v>0</v>
      </c>
      <c r="L8972" s="142">
        <v>6</v>
      </c>
      <c r="M8972" s="142">
        <v>0</v>
      </c>
    </row>
    <row r="8973" spans="1:13" x14ac:dyDescent="0.45">
      <c r="A8973" s="142" t="s">
        <v>13027</v>
      </c>
      <c r="B8973" s="142" t="s">
        <v>14562</v>
      </c>
      <c r="C8973" s="142" t="s">
        <v>15847</v>
      </c>
      <c r="D8973" s="142" t="s">
        <v>15848</v>
      </c>
      <c r="E8973" s="142" t="s">
        <v>15849</v>
      </c>
      <c r="F8973" s="142" t="s">
        <v>196</v>
      </c>
      <c r="G8973" s="142" t="s">
        <v>12487</v>
      </c>
      <c r="H8973" s="142" t="s">
        <v>24823</v>
      </c>
      <c r="I8973" s="142">
        <v>12</v>
      </c>
      <c r="J8973" s="142">
        <v>0</v>
      </c>
      <c r="K8973" s="142">
        <v>0</v>
      </c>
      <c r="L8973" s="142">
        <v>12</v>
      </c>
      <c r="M8973" s="142">
        <v>0</v>
      </c>
    </row>
    <row r="8974" spans="1:13" x14ac:dyDescent="0.45">
      <c r="A8974" s="142" t="s">
        <v>13001</v>
      </c>
      <c r="B8974" s="142" t="s">
        <v>15506</v>
      </c>
      <c r="C8974" s="142" t="s">
        <v>15847</v>
      </c>
      <c r="D8974" s="142" t="s">
        <v>15848</v>
      </c>
      <c r="E8974" s="142" t="s">
        <v>15849</v>
      </c>
      <c r="F8974" s="142" t="s">
        <v>196</v>
      </c>
      <c r="G8974" s="142" t="s">
        <v>12487</v>
      </c>
      <c r="H8974" s="142" t="s">
        <v>24824</v>
      </c>
      <c r="I8974" s="142">
        <v>38</v>
      </c>
      <c r="J8974" s="142">
        <v>31</v>
      </c>
      <c r="K8974" s="142">
        <v>0</v>
      </c>
      <c r="L8974" s="142">
        <v>7</v>
      </c>
      <c r="M8974" s="142">
        <v>0</v>
      </c>
    </row>
    <row r="8975" spans="1:13" x14ac:dyDescent="0.45">
      <c r="A8975" s="142" t="s">
        <v>13635</v>
      </c>
      <c r="B8975" s="142" t="s">
        <v>14723</v>
      </c>
      <c r="C8975" s="142" t="s">
        <v>15860</v>
      </c>
      <c r="D8975" s="142" t="s">
        <v>15861</v>
      </c>
      <c r="E8975" s="142" t="s">
        <v>15849</v>
      </c>
      <c r="F8975" s="142" t="s">
        <v>196</v>
      </c>
      <c r="G8975" s="142" t="s">
        <v>12487</v>
      </c>
      <c r="H8975" s="142" t="s">
        <v>24825</v>
      </c>
      <c r="I8975" s="142">
        <v>33</v>
      </c>
      <c r="J8975" s="142">
        <v>0</v>
      </c>
      <c r="K8975" s="142">
        <v>0</v>
      </c>
      <c r="L8975" s="142">
        <v>33</v>
      </c>
      <c r="M8975" s="142">
        <v>0</v>
      </c>
    </row>
    <row r="8976" spans="1:13" x14ac:dyDescent="0.45">
      <c r="A8976" s="142" t="s">
        <v>13004</v>
      </c>
      <c r="B8976" s="142" t="s">
        <v>15492</v>
      </c>
      <c r="C8976" s="142" t="s">
        <v>15847</v>
      </c>
      <c r="D8976" s="142" t="s">
        <v>15848</v>
      </c>
      <c r="E8976" s="142" t="s">
        <v>15849</v>
      </c>
      <c r="F8976" s="142" t="s">
        <v>196</v>
      </c>
      <c r="G8976" s="142" t="s">
        <v>12487</v>
      </c>
      <c r="H8976" s="142" t="s">
        <v>24826</v>
      </c>
      <c r="I8976" s="142">
        <v>1</v>
      </c>
      <c r="J8976" s="142">
        <v>1</v>
      </c>
      <c r="K8976" s="142">
        <v>0</v>
      </c>
      <c r="L8976" s="142">
        <v>0</v>
      </c>
      <c r="M8976" s="142">
        <v>0</v>
      </c>
    </row>
    <row r="8977" spans="1:13" x14ac:dyDescent="0.45">
      <c r="A8977" s="142" t="s">
        <v>14338</v>
      </c>
      <c r="B8977" s="142" t="s">
        <v>15097</v>
      </c>
      <c r="C8977" s="142" t="s">
        <v>15860</v>
      </c>
      <c r="D8977" s="142" t="s">
        <v>15861</v>
      </c>
      <c r="E8977" s="142" t="s">
        <v>15849</v>
      </c>
      <c r="F8977" s="142" t="s">
        <v>196</v>
      </c>
      <c r="G8977" s="142" t="s">
        <v>12487</v>
      </c>
      <c r="H8977" s="142" t="s">
        <v>24827</v>
      </c>
      <c r="I8977" s="142">
        <v>54</v>
      </c>
      <c r="J8977" s="142">
        <v>54</v>
      </c>
      <c r="K8977" s="142">
        <v>0</v>
      </c>
      <c r="L8977" s="142">
        <v>0</v>
      </c>
      <c r="M8977" s="142">
        <v>0</v>
      </c>
    </row>
    <row r="8978" spans="1:13" x14ac:dyDescent="0.45">
      <c r="A8978" s="142" t="s">
        <v>13005</v>
      </c>
      <c r="B8978" s="142" t="s">
        <v>15475</v>
      </c>
      <c r="C8978" s="142" t="s">
        <v>15847</v>
      </c>
      <c r="D8978" s="142" t="s">
        <v>15848</v>
      </c>
      <c r="E8978" s="142" t="s">
        <v>15849</v>
      </c>
      <c r="F8978" s="142" t="s">
        <v>196</v>
      </c>
      <c r="G8978" s="142" t="s">
        <v>12487</v>
      </c>
      <c r="H8978" s="142" t="s">
        <v>24828</v>
      </c>
      <c r="I8978" s="142">
        <v>2008</v>
      </c>
      <c r="J8978" s="142">
        <v>1531</v>
      </c>
      <c r="K8978" s="142">
        <v>0</v>
      </c>
      <c r="L8978" s="142">
        <v>80</v>
      </c>
      <c r="M8978" s="142">
        <v>397</v>
      </c>
    </row>
    <row r="8979" spans="1:13" x14ac:dyDescent="0.45">
      <c r="A8979" s="142" t="s">
        <v>13192</v>
      </c>
      <c r="B8979" s="142" t="s">
        <v>15539</v>
      </c>
      <c r="C8979" s="142" t="s">
        <v>15860</v>
      </c>
      <c r="D8979" s="142" t="s">
        <v>15861</v>
      </c>
      <c r="E8979" s="142" t="s">
        <v>15849</v>
      </c>
      <c r="F8979" s="142" t="s">
        <v>196</v>
      </c>
      <c r="G8979" s="142" t="s">
        <v>12487</v>
      </c>
      <c r="H8979" s="142" t="s">
        <v>24829</v>
      </c>
      <c r="I8979" s="142">
        <v>12</v>
      </c>
      <c r="J8979" s="142">
        <v>0</v>
      </c>
      <c r="K8979" s="142">
        <v>0</v>
      </c>
      <c r="L8979" s="142">
        <v>12</v>
      </c>
      <c r="M8979" s="142">
        <v>0</v>
      </c>
    </row>
    <row r="8980" spans="1:13" x14ac:dyDescent="0.45">
      <c r="A8980" s="142" t="s">
        <v>13006</v>
      </c>
      <c r="B8980" s="142" t="s">
        <v>15288</v>
      </c>
      <c r="C8980" s="142" t="s">
        <v>15847</v>
      </c>
      <c r="D8980" s="142" t="s">
        <v>15848</v>
      </c>
      <c r="E8980" s="142" t="s">
        <v>15849</v>
      </c>
      <c r="F8980" s="142" t="s">
        <v>196</v>
      </c>
      <c r="G8980" s="142" t="s">
        <v>12487</v>
      </c>
      <c r="H8980" s="142" t="s">
        <v>24830</v>
      </c>
      <c r="I8980" s="142">
        <v>564</v>
      </c>
      <c r="J8980" s="142">
        <v>88</v>
      </c>
      <c r="K8980" s="142">
        <v>0</v>
      </c>
      <c r="L8980" s="142">
        <v>271</v>
      </c>
      <c r="M8980" s="142">
        <v>205</v>
      </c>
    </row>
    <row r="8981" spans="1:13" x14ac:dyDescent="0.45">
      <c r="A8981" s="142" t="s">
        <v>13162</v>
      </c>
      <c r="B8981" s="142" t="s">
        <v>14545</v>
      </c>
      <c r="C8981" s="142" t="s">
        <v>15860</v>
      </c>
      <c r="D8981" s="142" t="s">
        <v>15861</v>
      </c>
      <c r="E8981" s="142" t="s">
        <v>15849</v>
      </c>
      <c r="F8981" s="142" t="s">
        <v>196</v>
      </c>
      <c r="G8981" s="142" t="s">
        <v>12487</v>
      </c>
      <c r="H8981" s="142" t="s">
        <v>24831</v>
      </c>
      <c r="I8981" s="142">
        <v>16</v>
      </c>
      <c r="J8981" s="142">
        <v>0</v>
      </c>
      <c r="K8981" s="142">
        <v>0</v>
      </c>
      <c r="L8981" s="142">
        <v>16</v>
      </c>
      <c r="M8981" s="142">
        <v>0</v>
      </c>
    </row>
    <row r="8982" spans="1:13" x14ac:dyDescent="0.45">
      <c r="A8982" s="142" t="s">
        <v>13718</v>
      </c>
      <c r="B8982" s="142" t="s">
        <v>15565</v>
      </c>
      <c r="C8982" s="142" t="s">
        <v>15860</v>
      </c>
      <c r="D8982" s="142" t="s">
        <v>15861</v>
      </c>
      <c r="E8982" s="142" t="s">
        <v>15849</v>
      </c>
      <c r="F8982" s="142" t="s">
        <v>196</v>
      </c>
      <c r="G8982" s="142" t="s">
        <v>12487</v>
      </c>
      <c r="H8982" s="142" t="s">
        <v>24832</v>
      </c>
      <c r="I8982" s="142">
        <v>91</v>
      </c>
      <c r="J8982" s="142">
        <v>71</v>
      </c>
      <c r="K8982" s="142">
        <v>0</v>
      </c>
      <c r="L8982" s="142">
        <v>20</v>
      </c>
      <c r="M8982" s="142">
        <v>0</v>
      </c>
    </row>
    <row r="8983" spans="1:13" x14ac:dyDescent="0.45">
      <c r="A8983" s="142" t="s">
        <v>13103</v>
      </c>
      <c r="B8983" s="142" t="s">
        <v>14623</v>
      </c>
      <c r="C8983" s="142" t="s">
        <v>15847</v>
      </c>
      <c r="D8983" s="142" t="s">
        <v>15848</v>
      </c>
      <c r="E8983" s="142" t="s">
        <v>15849</v>
      </c>
      <c r="F8983" s="142" t="s">
        <v>196</v>
      </c>
      <c r="G8983" s="142" t="s">
        <v>12487</v>
      </c>
      <c r="H8983" s="142" t="s">
        <v>24833</v>
      </c>
      <c r="I8983" s="142">
        <v>511</v>
      </c>
      <c r="J8983" s="142">
        <v>247</v>
      </c>
      <c r="K8983" s="142">
        <v>3</v>
      </c>
      <c r="L8983" s="142">
        <v>77</v>
      </c>
      <c r="M8983" s="142">
        <v>184</v>
      </c>
    </row>
    <row r="8984" spans="1:13" x14ac:dyDescent="0.45">
      <c r="A8984" s="142" t="s">
        <v>13054</v>
      </c>
      <c r="B8984" s="142" t="s">
        <v>15604</v>
      </c>
      <c r="C8984" s="142" t="s">
        <v>15847</v>
      </c>
      <c r="D8984" s="142" t="s">
        <v>15848</v>
      </c>
      <c r="E8984" s="142" t="s">
        <v>15849</v>
      </c>
      <c r="F8984" s="142" t="s">
        <v>196</v>
      </c>
      <c r="G8984" s="142" t="s">
        <v>12487</v>
      </c>
      <c r="H8984" s="142" t="s">
        <v>24834</v>
      </c>
      <c r="I8984" s="142">
        <v>274</v>
      </c>
      <c r="J8984" s="142">
        <v>0</v>
      </c>
      <c r="K8984" s="142">
        <v>0</v>
      </c>
      <c r="L8984" s="142">
        <v>0</v>
      </c>
      <c r="M8984" s="142">
        <v>274</v>
      </c>
    </row>
    <row r="8985" spans="1:13" x14ac:dyDescent="0.45">
      <c r="A8985" s="142" t="s">
        <v>13340</v>
      </c>
      <c r="B8985" s="142" t="s">
        <v>14499</v>
      </c>
      <c r="C8985" s="142" t="s">
        <v>15860</v>
      </c>
      <c r="D8985" s="142" t="s">
        <v>15861</v>
      </c>
      <c r="E8985" s="142" t="s">
        <v>15849</v>
      </c>
      <c r="F8985" s="142" t="s">
        <v>196</v>
      </c>
      <c r="G8985" s="142" t="s">
        <v>12487</v>
      </c>
      <c r="H8985" s="142" t="s">
        <v>24835</v>
      </c>
      <c r="I8985" s="142">
        <v>21</v>
      </c>
      <c r="J8985" s="142">
        <v>0</v>
      </c>
      <c r="K8985" s="142">
        <v>0</v>
      </c>
      <c r="L8985" s="142">
        <v>21</v>
      </c>
      <c r="M8985" s="142">
        <v>0</v>
      </c>
    </row>
    <row r="8986" spans="1:13" x14ac:dyDescent="0.45">
      <c r="A8986" s="142" t="s">
        <v>13129</v>
      </c>
      <c r="B8986" s="142" t="s">
        <v>15284</v>
      </c>
      <c r="C8986" s="142" t="s">
        <v>15847</v>
      </c>
      <c r="D8986" s="142" t="s">
        <v>15848</v>
      </c>
      <c r="E8986" s="142" t="s">
        <v>15849</v>
      </c>
      <c r="F8986" s="142" t="s">
        <v>196</v>
      </c>
      <c r="G8986" s="142" t="s">
        <v>12487</v>
      </c>
      <c r="H8986" s="142" t="s">
        <v>24836</v>
      </c>
      <c r="I8986" s="142">
        <v>180</v>
      </c>
      <c r="J8986" s="142">
        <v>74</v>
      </c>
      <c r="K8986" s="142">
        <v>0</v>
      </c>
      <c r="L8986" s="142">
        <v>0</v>
      </c>
      <c r="M8986" s="142">
        <v>106</v>
      </c>
    </row>
    <row r="8987" spans="1:13" x14ac:dyDescent="0.45">
      <c r="A8987" s="142" t="s">
        <v>13133</v>
      </c>
      <c r="B8987" s="142" t="s">
        <v>15291</v>
      </c>
      <c r="C8987" s="142" t="s">
        <v>15847</v>
      </c>
      <c r="D8987" s="142" t="s">
        <v>15848</v>
      </c>
      <c r="E8987" s="142" t="s">
        <v>15849</v>
      </c>
      <c r="F8987" s="142" t="s">
        <v>196</v>
      </c>
      <c r="G8987" s="142" t="s">
        <v>12487</v>
      </c>
      <c r="H8987" s="142" t="s">
        <v>24837</v>
      </c>
      <c r="I8987" s="142">
        <v>1</v>
      </c>
      <c r="J8987" s="142">
        <v>0</v>
      </c>
      <c r="K8987" s="142">
        <v>0</v>
      </c>
      <c r="L8987" s="142">
        <v>0</v>
      </c>
      <c r="M8987" s="142">
        <v>1</v>
      </c>
    </row>
    <row r="8988" spans="1:13" x14ac:dyDescent="0.45">
      <c r="A8988" s="142" t="s">
        <v>13055</v>
      </c>
      <c r="B8988" s="142" t="s">
        <v>14595</v>
      </c>
      <c r="C8988" s="142" t="s">
        <v>15847</v>
      </c>
      <c r="D8988" s="142" t="s">
        <v>15848</v>
      </c>
      <c r="E8988" s="142" t="s">
        <v>15849</v>
      </c>
      <c r="F8988" s="142" t="s">
        <v>196</v>
      </c>
      <c r="G8988" s="142" t="s">
        <v>12487</v>
      </c>
      <c r="H8988" s="142" t="s">
        <v>24838</v>
      </c>
      <c r="I8988" s="142">
        <v>828</v>
      </c>
      <c r="J8988" s="142">
        <v>322</v>
      </c>
      <c r="K8988" s="142">
        <v>0</v>
      </c>
      <c r="L8988" s="142">
        <v>166</v>
      </c>
      <c r="M8988" s="142">
        <v>340</v>
      </c>
    </row>
    <row r="8989" spans="1:13" x14ac:dyDescent="0.45">
      <c r="A8989" s="142" t="s">
        <v>13104</v>
      </c>
      <c r="B8989" s="142" t="s">
        <v>14622</v>
      </c>
      <c r="C8989" s="142" t="s">
        <v>15847</v>
      </c>
      <c r="D8989" s="142" t="s">
        <v>15848</v>
      </c>
      <c r="E8989" s="142" t="s">
        <v>15849</v>
      </c>
      <c r="F8989" s="142" t="s">
        <v>196</v>
      </c>
      <c r="G8989" s="142" t="s">
        <v>12487</v>
      </c>
      <c r="H8989" s="142" t="s">
        <v>24839</v>
      </c>
      <c r="I8989" s="142">
        <v>2520</v>
      </c>
      <c r="J8989" s="142">
        <v>2009</v>
      </c>
      <c r="K8989" s="142">
        <v>0</v>
      </c>
      <c r="L8989" s="142">
        <v>137</v>
      </c>
      <c r="M8989" s="142">
        <v>374</v>
      </c>
    </row>
    <row r="8990" spans="1:13" x14ac:dyDescent="0.45">
      <c r="A8990" s="142" t="s">
        <v>13078</v>
      </c>
      <c r="B8990" s="142" t="s">
        <v>15540</v>
      </c>
      <c r="C8990" s="142" t="s">
        <v>15847</v>
      </c>
      <c r="D8990" s="142" t="s">
        <v>15848</v>
      </c>
      <c r="E8990" s="142" t="s">
        <v>15849</v>
      </c>
      <c r="F8990" s="142" t="s">
        <v>196</v>
      </c>
      <c r="G8990" s="142" t="s">
        <v>12487</v>
      </c>
      <c r="H8990" s="142" t="s">
        <v>24840</v>
      </c>
      <c r="I8990" s="142">
        <v>25</v>
      </c>
      <c r="J8990" s="142">
        <v>0</v>
      </c>
      <c r="K8990" s="142">
        <v>0</v>
      </c>
      <c r="L8990" s="142">
        <v>25</v>
      </c>
      <c r="M8990" s="142">
        <v>0</v>
      </c>
    </row>
    <row r="8991" spans="1:13" x14ac:dyDescent="0.45">
      <c r="A8991" s="142" t="s">
        <v>13009</v>
      </c>
      <c r="B8991" s="142" t="s">
        <v>15256</v>
      </c>
      <c r="C8991" s="142" t="s">
        <v>15847</v>
      </c>
      <c r="D8991" s="142" t="s">
        <v>15848</v>
      </c>
      <c r="E8991" s="142" t="s">
        <v>15849</v>
      </c>
      <c r="F8991" s="142" t="s">
        <v>196</v>
      </c>
      <c r="G8991" s="142" t="s">
        <v>12487</v>
      </c>
      <c r="H8991" s="142" t="s">
        <v>24841</v>
      </c>
      <c r="I8991" s="142">
        <v>231</v>
      </c>
      <c r="J8991" s="142">
        <v>4</v>
      </c>
      <c r="K8991" s="142">
        <v>0</v>
      </c>
      <c r="L8991" s="142">
        <v>227</v>
      </c>
      <c r="M8991" s="142">
        <v>0</v>
      </c>
    </row>
    <row r="8992" spans="1:13" x14ac:dyDescent="0.45">
      <c r="A8992" s="142" t="s">
        <v>13011</v>
      </c>
      <c r="B8992" s="142" t="s">
        <v>14695</v>
      </c>
      <c r="C8992" s="142" t="s">
        <v>15847</v>
      </c>
      <c r="D8992" s="142" t="s">
        <v>15848</v>
      </c>
      <c r="E8992" s="142" t="s">
        <v>15849</v>
      </c>
      <c r="F8992" s="142" t="s">
        <v>196</v>
      </c>
      <c r="G8992" s="142" t="s">
        <v>12487</v>
      </c>
      <c r="H8992" s="142" t="s">
        <v>24842</v>
      </c>
      <c r="I8992" s="142">
        <v>3739</v>
      </c>
      <c r="J8992" s="142">
        <v>2774</v>
      </c>
      <c r="K8992" s="142">
        <v>6</v>
      </c>
      <c r="L8992" s="142">
        <v>513</v>
      </c>
      <c r="M8992" s="142">
        <v>446</v>
      </c>
    </row>
    <row r="8993" spans="1:13" x14ac:dyDescent="0.45">
      <c r="A8993" s="142" t="s">
        <v>14339</v>
      </c>
      <c r="B8993" s="142" t="s">
        <v>14975</v>
      </c>
      <c r="C8993" s="142" t="s">
        <v>15860</v>
      </c>
      <c r="D8993" s="142" t="s">
        <v>15861</v>
      </c>
      <c r="E8993" s="142" t="s">
        <v>15849</v>
      </c>
      <c r="F8993" s="142" t="s">
        <v>196</v>
      </c>
      <c r="G8993" s="142" t="s">
        <v>12487</v>
      </c>
      <c r="H8993" s="142" t="s">
        <v>24843</v>
      </c>
      <c r="I8993" s="142">
        <v>36</v>
      </c>
      <c r="J8993" s="142">
        <v>36</v>
      </c>
      <c r="K8993" s="142">
        <v>0</v>
      </c>
      <c r="L8993" s="142">
        <v>0</v>
      </c>
      <c r="M8993" s="142">
        <v>0</v>
      </c>
    </row>
    <row r="8994" spans="1:13" x14ac:dyDescent="0.45">
      <c r="A8994" s="142" t="s">
        <v>13058</v>
      </c>
      <c r="B8994" s="142" t="s">
        <v>14584</v>
      </c>
      <c r="C8994" s="142" t="s">
        <v>15847</v>
      </c>
      <c r="D8994" s="142" t="s">
        <v>15848</v>
      </c>
      <c r="E8994" s="142" t="s">
        <v>15849</v>
      </c>
      <c r="F8994" s="142" t="s">
        <v>196</v>
      </c>
      <c r="G8994" s="142" t="s">
        <v>12487</v>
      </c>
      <c r="H8994" s="142" t="s">
        <v>24844</v>
      </c>
      <c r="I8994" s="142">
        <v>3</v>
      </c>
      <c r="J8994" s="142">
        <v>0</v>
      </c>
      <c r="K8994" s="142">
        <v>0</v>
      </c>
      <c r="L8994" s="142">
        <v>0</v>
      </c>
      <c r="M8994" s="142">
        <v>3</v>
      </c>
    </row>
    <row r="8995" spans="1:13" x14ac:dyDescent="0.45">
      <c r="A8995" s="142" t="s">
        <v>13638</v>
      </c>
      <c r="B8995" s="142" t="s">
        <v>15271</v>
      </c>
      <c r="C8995" s="142" t="s">
        <v>15847</v>
      </c>
      <c r="D8995" s="142" t="s">
        <v>15848</v>
      </c>
      <c r="E8995" s="142" t="s">
        <v>15849</v>
      </c>
      <c r="F8995" s="142" t="s">
        <v>196</v>
      </c>
      <c r="G8995" s="142" t="s">
        <v>12487</v>
      </c>
      <c r="H8995" s="142" t="s">
        <v>24845</v>
      </c>
      <c r="I8995" s="142">
        <v>647</v>
      </c>
      <c r="J8995" s="142">
        <v>254</v>
      </c>
      <c r="K8995" s="142">
        <v>315</v>
      </c>
      <c r="L8995" s="142">
        <v>0</v>
      </c>
      <c r="M8995" s="142">
        <v>78</v>
      </c>
    </row>
    <row r="8996" spans="1:13" x14ac:dyDescent="0.45">
      <c r="A8996" s="142" t="s">
        <v>13391</v>
      </c>
      <c r="B8996" s="142" t="s">
        <v>15205</v>
      </c>
      <c r="C8996" s="142" t="s">
        <v>15860</v>
      </c>
      <c r="D8996" s="142" t="s">
        <v>15861</v>
      </c>
      <c r="E8996" s="142" t="s">
        <v>15849</v>
      </c>
      <c r="F8996" s="142" t="s">
        <v>196</v>
      </c>
      <c r="G8996" s="142" t="s">
        <v>12487</v>
      </c>
      <c r="H8996" s="142" t="s">
        <v>24846</v>
      </c>
      <c r="I8996" s="142">
        <v>7</v>
      </c>
      <c r="J8996" s="142">
        <v>0</v>
      </c>
      <c r="K8996" s="142">
        <v>0</v>
      </c>
      <c r="L8996" s="142">
        <v>7</v>
      </c>
      <c r="M8996" s="142">
        <v>0</v>
      </c>
    </row>
    <row r="8997" spans="1:13" x14ac:dyDescent="0.45">
      <c r="A8997" s="142" t="s">
        <v>13014</v>
      </c>
      <c r="B8997" s="142" t="s">
        <v>14505</v>
      </c>
      <c r="C8997" s="142" t="s">
        <v>15847</v>
      </c>
      <c r="D8997" s="142" t="s">
        <v>15848</v>
      </c>
      <c r="E8997" s="142" t="s">
        <v>15849</v>
      </c>
      <c r="F8997" s="142" t="s">
        <v>196</v>
      </c>
      <c r="G8997" s="142" t="s">
        <v>12487</v>
      </c>
      <c r="H8997" s="142" t="s">
        <v>24847</v>
      </c>
      <c r="I8997" s="142">
        <v>8</v>
      </c>
      <c r="J8997" s="142">
        <v>0</v>
      </c>
      <c r="K8997" s="142">
        <v>0</v>
      </c>
      <c r="L8997" s="142">
        <v>0</v>
      </c>
      <c r="M8997" s="142">
        <v>8</v>
      </c>
    </row>
    <row r="8998" spans="1:13" x14ac:dyDescent="0.45">
      <c r="A8998" s="142" t="s">
        <v>13042</v>
      </c>
      <c r="B8998" s="142" t="s">
        <v>15489</v>
      </c>
      <c r="C8998" s="142" t="s">
        <v>15847</v>
      </c>
      <c r="D8998" s="142" t="s">
        <v>15848</v>
      </c>
      <c r="E8998" s="142" t="s">
        <v>15849</v>
      </c>
      <c r="F8998" s="142" t="s">
        <v>196</v>
      </c>
      <c r="G8998" s="142" t="s">
        <v>12487</v>
      </c>
      <c r="H8998" s="142" t="s">
        <v>24848</v>
      </c>
      <c r="I8998" s="142">
        <v>50</v>
      </c>
      <c r="J8998" s="142">
        <v>0</v>
      </c>
      <c r="K8998" s="142">
        <v>0</v>
      </c>
      <c r="L8998" s="142">
        <v>21</v>
      </c>
      <c r="M8998" s="142">
        <v>29</v>
      </c>
    </row>
    <row r="8999" spans="1:13" x14ac:dyDescent="0.45">
      <c r="A8999" s="142" t="s">
        <v>14340</v>
      </c>
      <c r="B8999" s="142" t="s">
        <v>14979</v>
      </c>
      <c r="C8999" s="142" t="s">
        <v>15860</v>
      </c>
      <c r="D8999" s="142" t="s">
        <v>15861</v>
      </c>
      <c r="E8999" s="142" t="s">
        <v>15849</v>
      </c>
      <c r="F8999" s="142" t="s">
        <v>196</v>
      </c>
      <c r="G8999" s="142" t="s">
        <v>12487</v>
      </c>
      <c r="H8999" s="142" t="s">
        <v>24849</v>
      </c>
      <c r="I8999" s="142">
        <v>70</v>
      </c>
      <c r="J8999" s="142">
        <v>70</v>
      </c>
      <c r="K8999" s="142">
        <v>0</v>
      </c>
      <c r="L8999" s="142">
        <v>0</v>
      </c>
      <c r="M8999" s="142">
        <v>0</v>
      </c>
    </row>
    <row r="9000" spans="1:13" x14ac:dyDescent="0.45">
      <c r="A9000" s="142" t="s">
        <v>13062</v>
      </c>
      <c r="B9000" s="142" t="s">
        <v>15259</v>
      </c>
      <c r="C9000" s="142" t="s">
        <v>15847</v>
      </c>
      <c r="D9000" s="142" t="s">
        <v>15848</v>
      </c>
      <c r="E9000" s="142" t="s">
        <v>15849</v>
      </c>
      <c r="F9000" s="142" t="s">
        <v>196</v>
      </c>
      <c r="G9000" s="142" t="s">
        <v>12487</v>
      </c>
      <c r="H9000" s="142" t="s">
        <v>24850</v>
      </c>
      <c r="I9000" s="142">
        <v>1563</v>
      </c>
      <c r="J9000" s="142">
        <v>1347</v>
      </c>
      <c r="K9000" s="142">
        <v>0</v>
      </c>
      <c r="L9000" s="142">
        <v>99</v>
      </c>
      <c r="M9000" s="142">
        <v>117</v>
      </c>
    </row>
    <row r="9001" spans="1:13" x14ac:dyDescent="0.45">
      <c r="A9001" s="142" t="s">
        <v>13016</v>
      </c>
      <c r="B9001" s="142" t="s">
        <v>14535</v>
      </c>
      <c r="C9001" s="142" t="s">
        <v>15860</v>
      </c>
      <c r="D9001" s="142" t="s">
        <v>15861</v>
      </c>
      <c r="E9001" s="142" t="s">
        <v>15849</v>
      </c>
      <c r="F9001" s="142" t="s">
        <v>196</v>
      </c>
      <c r="G9001" s="142" t="s">
        <v>12487</v>
      </c>
      <c r="H9001" s="142" t="s">
        <v>24851</v>
      </c>
      <c r="I9001" s="142">
        <v>6</v>
      </c>
      <c r="J9001" s="142">
        <v>0</v>
      </c>
      <c r="K9001" s="142">
        <v>0</v>
      </c>
      <c r="L9001" s="142">
        <v>6</v>
      </c>
      <c r="M9001" s="142">
        <v>0</v>
      </c>
    </row>
    <row r="9002" spans="1:13" x14ac:dyDescent="0.45">
      <c r="A9002" s="142" t="s">
        <v>13444</v>
      </c>
      <c r="B9002" s="142" t="s">
        <v>15335</v>
      </c>
      <c r="C9002" s="142" t="s">
        <v>15860</v>
      </c>
      <c r="D9002" s="142" t="s">
        <v>15861</v>
      </c>
      <c r="E9002" s="142" t="s">
        <v>15849</v>
      </c>
      <c r="F9002" s="142" t="s">
        <v>196</v>
      </c>
      <c r="G9002" s="142" t="s">
        <v>12487</v>
      </c>
      <c r="H9002" s="142" t="s">
        <v>24852</v>
      </c>
      <c r="I9002" s="142">
        <v>36</v>
      </c>
      <c r="J9002" s="142">
        <v>36</v>
      </c>
      <c r="K9002" s="142">
        <v>0</v>
      </c>
      <c r="L9002" s="142">
        <v>0</v>
      </c>
      <c r="M9002" s="142">
        <v>0</v>
      </c>
    </row>
    <row r="9003" spans="1:13" x14ac:dyDescent="0.45">
      <c r="A9003" s="142" t="s">
        <v>13072</v>
      </c>
      <c r="B9003" s="142" t="s">
        <v>15530</v>
      </c>
      <c r="C9003" s="142" t="s">
        <v>15847</v>
      </c>
      <c r="D9003" s="142" t="s">
        <v>15848</v>
      </c>
      <c r="E9003" s="142" t="s">
        <v>15849</v>
      </c>
      <c r="F9003" s="142" t="s">
        <v>197</v>
      </c>
      <c r="G9003" s="142" t="s">
        <v>561</v>
      </c>
      <c r="H9003" s="142" t="s">
        <v>24853</v>
      </c>
      <c r="I9003" s="142">
        <v>1</v>
      </c>
      <c r="J9003" s="142">
        <v>0</v>
      </c>
      <c r="K9003" s="142">
        <v>0</v>
      </c>
      <c r="L9003" s="142">
        <v>0</v>
      </c>
      <c r="M9003" s="142">
        <v>1</v>
      </c>
    </row>
    <row r="9004" spans="1:13" x14ac:dyDescent="0.45">
      <c r="A9004" s="142" t="s">
        <v>13023</v>
      </c>
      <c r="B9004" s="142" t="s">
        <v>15571</v>
      </c>
      <c r="C9004" s="142" t="s">
        <v>15847</v>
      </c>
      <c r="D9004" s="142" t="s">
        <v>15848</v>
      </c>
      <c r="E9004" s="142" t="s">
        <v>15849</v>
      </c>
      <c r="F9004" s="142" t="s">
        <v>197</v>
      </c>
      <c r="G9004" s="142" t="s">
        <v>561</v>
      </c>
      <c r="H9004" s="142" t="s">
        <v>24854</v>
      </c>
      <c r="I9004" s="142">
        <v>122</v>
      </c>
      <c r="J9004" s="142">
        <v>0</v>
      </c>
      <c r="K9004" s="142">
        <v>0</v>
      </c>
      <c r="L9004" s="142">
        <v>122</v>
      </c>
      <c r="M9004" s="142">
        <v>0</v>
      </c>
    </row>
    <row r="9005" spans="1:13" x14ac:dyDescent="0.45">
      <c r="A9005" s="142" t="s">
        <v>13498</v>
      </c>
      <c r="B9005" s="142" t="s">
        <v>15321</v>
      </c>
      <c r="C9005" s="142" t="s">
        <v>15860</v>
      </c>
      <c r="D9005" s="142" t="s">
        <v>15861</v>
      </c>
      <c r="E9005" s="142" t="s">
        <v>15849</v>
      </c>
      <c r="F9005" s="142" t="s">
        <v>197</v>
      </c>
      <c r="G9005" s="142" t="s">
        <v>561</v>
      </c>
      <c r="H9005" s="142" t="s">
        <v>24855</v>
      </c>
      <c r="I9005" s="142">
        <v>24</v>
      </c>
      <c r="J9005" s="142">
        <v>0</v>
      </c>
      <c r="K9005" s="142">
        <v>0</v>
      </c>
      <c r="L9005" s="142">
        <v>24</v>
      </c>
      <c r="M9005" s="142">
        <v>0</v>
      </c>
    </row>
    <row r="9006" spans="1:13" x14ac:dyDescent="0.45">
      <c r="A9006" s="142" t="s">
        <v>13273</v>
      </c>
      <c r="B9006" s="142" t="s">
        <v>14465</v>
      </c>
      <c r="C9006" s="142" t="s">
        <v>15860</v>
      </c>
      <c r="D9006" s="142" t="s">
        <v>15861</v>
      </c>
      <c r="E9006" s="142" t="s">
        <v>15849</v>
      </c>
      <c r="F9006" s="142" t="s">
        <v>197</v>
      </c>
      <c r="G9006" s="142" t="s">
        <v>561</v>
      </c>
      <c r="H9006" s="142" t="s">
        <v>24856</v>
      </c>
      <c r="I9006" s="142">
        <v>17</v>
      </c>
      <c r="J9006" s="142">
        <v>0</v>
      </c>
      <c r="K9006" s="142">
        <v>0</v>
      </c>
      <c r="L9006" s="142">
        <v>17</v>
      </c>
      <c r="M9006" s="142">
        <v>0</v>
      </c>
    </row>
    <row r="9007" spans="1:13" x14ac:dyDescent="0.45">
      <c r="A9007" s="142" t="s">
        <v>13000</v>
      </c>
      <c r="B9007" s="142" t="s">
        <v>14610</v>
      </c>
      <c r="C9007" s="142" t="s">
        <v>15847</v>
      </c>
      <c r="D9007" s="142" t="s">
        <v>15848</v>
      </c>
      <c r="E9007" s="142" t="s">
        <v>15849</v>
      </c>
      <c r="F9007" s="142" t="s">
        <v>197</v>
      </c>
      <c r="G9007" s="142" t="s">
        <v>561</v>
      </c>
      <c r="H9007" s="142" t="s">
        <v>24857</v>
      </c>
      <c r="I9007" s="142">
        <v>526</v>
      </c>
      <c r="J9007" s="142">
        <v>500</v>
      </c>
      <c r="K9007" s="142">
        <v>0</v>
      </c>
      <c r="L9007" s="142">
        <v>0</v>
      </c>
      <c r="M9007" s="142">
        <v>26</v>
      </c>
    </row>
    <row r="9008" spans="1:13" x14ac:dyDescent="0.45">
      <c r="A9008" s="142" t="s">
        <v>13238</v>
      </c>
      <c r="B9008" s="142" t="s">
        <v>14477</v>
      </c>
      <c r="C9008" s="142" t="s">
        <v>15860</v>
      </c>
      <c r="D9008" s="142" t="s">
        <v>15861</v>
      </c>
      <c r="E9008" s="142" t="s">
        <v>15849</v>
      </c>
      <c r="F9008" s="142" t="s">
        <v>197</v>
      </c>
      <c r="G9008" s="142" t="s">
        <v>561</v>
      </c>
      <c r="H9008" s="142" t="s">
        <v>24858</v>
      </c>
      <c r="I9008" s="142">
        <v>34</v>
      </c>
      <c r="J9008" s="142">
        <v>0</v>
      </c>
      <c r="K9008" s="142">
        <v>0</v>
      </c>
      <c r="L9008" s="142">
        <v>34</v>
      </c>
      <c r="M9008" s="142">
        <v>0</v>
      </c>
    </row>
    <row r="9009" spans="1:13" x14ac:dyDescent="0.45">
      <c r="A9009" s="142" t="s">
        <v>13099</v>
      </c>
      <c r="B9009" s="142" t="s">
        <v>14547</v>
      </c>
      <c r="C9009" s="142" t="s">
        <v>15860</v>
      </c>
      <c r="D9009" s="142" t="s">
        <v>15861</v>
      </c>
      <c r="E9009" s="142" t="s">
        <v>15849</v>
      </c>
      <c r="F9009" s="142" t="s">
        <v>197</v>
      </c>
      <c r="G9009" s="142" t="s">
        <v>561</v>
      </c>
      <c r="H9009" s="142" t="s">
        <v>24859</v>
      </c>
      <c r="I9009" s="142">
        <v>22</v>
      </c>
      <c r="J9009" s="142">
        <v>0</v>
      </c>
      <c r="K9009" s="142">
        <v>0</v>
      </c>
      <c r="L9009" s="142">
        <v>22</v>
      </c>
      <c r="M9009" s="142">
        <v>0</v>
      </c>
    </row>
    <row r="9010" spans="1:13" x14ac:dyDescent="0.45">
      <c r="A9010" s="142" t="s">
        <v>13168</v>
      </c>
      <c r="B9010" s="142" t="s">
        <v>14486</v>
      </c>
      <c r="C9010" s="142" t="s">
        <v>15860</v>
      </c>
      <c r="D9010" s="142" t="s">
        <v>15861</v>
      </c>
      <c r="E9010" s="142" t="s">
        <v>15849</v>
      </c>
      <c r="F9010" s="142" t="s">
        <v>197</v>
      </c>
      <c r="G9010" s="142" t="s">
        <v>561</v>
      </c>
      <c r="H9010" s="142" t="s">
        <v>24860</v>
      </c>
      <c r="I9010" s="142">
        <v>18</v>
      </c>
      <c r="J9010" s="142">
        <v>0</v>
      </c>
      <c r="K9010" s="142">
        <v>0</v>
      </c>
      <c r="L9010" s="142">
        <v>18</v>
      </c>
      <c r="M9010" s="142">
        <v>0</v>
      </c>
    </row>
    <row r="9011" spans="1:13" x14ac:dyDescent="0.45">
      <c r="A9011" s="142" t="s">
        <v>13500</v>
      </c>
      <c r="B9011" s="142" t="s">
        <v>15422</v>
      </c>
      <c r="C9011" s="142" t="s">
        <v>15847</v>
      </c>
      <c r="D9011" s="142" t="s">
        <v>15848</v>
      </c>
      <c r="E9011" s="142" t="s">
        <v>15849</v>
      </c>
      <c r="F9011" s="142" t="s">
        <v>197</v>
      </c>
      <c r="G9011" s="142" t="s">
        <v>561</v>
      </c>
      <c r="H9011" s="142" t="s">
        <v>24861</v>
      </c>
      <c r="I9011" s="142">
        <v>1233</v>
      </c>
      <c r="J9011" s="142">
        <v>1130</v>
      </c>
      <c r="K9011" s="142">
        <v>0</v>
      </c>
      <c r="L9011" s="142">
        <v>72</v>
      </c>
      <c r="M9011" s="142">
        <v>31</v>
      </c>
    </row>
    <row r="9012" spans="1:13" x14ac:dyDescent="0.45">
      <c r="A9012" s="142" t="s">
        <v>13027</v>
      </c>
      <c r="B9012" s="142" t="s">
        <v>14562</v>
      </c>
      <c r="C9012" s="142" t="s">
        <v>15847</v>
      </c>
      <c r="D9012" s="142" t="s">
        <v>15848</v>
      </c>
      <c r="E9012" s="142" t="s">
        <v>15849</v>
      </c>
      <c r="F9012" s="142" t="s">
        <v>197</v>
      </c>
      <c r="G9012" s="142" t="s">
        <v>561</v>
      </c>
      <c r="H9012" s="142" t="s">
        <v>24862</v>
      </c>
      <c r="I9012" s="142">
        <v>19</v>
      </c>
      <c r="J9012" s="142">
        <v>0</v>
      </c>
      <c r="K9012" s="142">
        <v>0</v>
      </c>
      <c r="L9012" s="142">
        <v>19</v>
      </c>
      <c r="M9012" s="142">
        <v>0</v>
      </c>
    </row>
    <row r="9013" spans="1:13" x14ac:dyDescent="0.45">
      <c r="A9013" s="142" t="s">
        <v>13148</v>
      </c>
      <c r="B9013" s="142" t="s">
        <v>15314</v>
      </c>
      <c r="C9013" s="142" t="s">
        <v>15847</v>
      </c>
      <c r="D9013" s="142" t="s">
        <v>15848</v>
      </c>
      <c r="E9013" s="142" t="s">
        <v>15849</v>
      </c>
      <c r="F9013" s="142" t="s">
        <v>197</v>
      </c>
      <c r="G9013" s="142" t="s">
        <v>561</v>
      </c>
      <c r="H9013" s="142" t="s">
        <v>24863</v>
      </c>
      <c r="I9013" s="142">
        <v>10</v>
      </c>
      <c r="J9013" s="142">
        <v>0</v>
      </c>
      <c r="K9013" s="142">
        <v>0</v>
      </c>
      <c r="L9013" s="142">
        <v>0</v>
      </c>
      <c r="M9013" s="142">
        <v>10</v>
      </c>
    </row>
    <row r="9014" spans="1:13" x14ac:dyDescent="0.45">
      <c r="A9014" s="142" t="s">
        <v>13149</v>
      </c>
      <c r="B9014" s="142" t="s">
        <v>14458</v>
      </c>
      <c r="C9014" s="142" t="s">
        <v>15860</v>
      </c>
      <c r="D9014" s="142" t="s">
        <v>15861</v>
      </c>
      <c r="E9014" s="142" t="s">
        <v>15849</v>
      </c>
      <c r="F9014" s="142" t="s">
        <v>197</v>
      </c>
      <c r="G9014" s="142" t="s">
        <v>561</v>
      </c>
      <c r="H9014" s="142" t="s">
        <v>24864</v>
      </c>
      <c r="I9014" s="142">
        <v>9</v>
      </c>
      <c r="J9014" s="142">
        <v>0</v>
      </c>
      <c r="K9014" s="142">
        <v>0</v>
      </c>
      <c r="L9014" s="142">
        <v>9</v>
      </c>
      <c r="M9014" s="142">
        <v>0</v>
      </c>
    </row>
    <row r="9015" spans="1:13" x14ac:dyDescent="0.45">
      <c r="A9015" s="142" t="s">
        <v>13483</v>
      </c>
      <c r="B9015" s="142" t="s">
        <v>15459</v>
      </c>
      <c r="C9015" s="142" t="s">
        <v>15847</v>
      </c>
      <c r="D9015" s="142" t="s">
        <v>15848</v>
      </c>
      <c r="E9015" s="142" t="s">
        <v>15849</v>
      </c>
      <c r="F9015" s="142" t="s">
        <v>197</v>
      </c>
      <c r="G9015" s="142" t="s">
        <v>561</v>
      </c>
      <c r="H9015" s="142" t="s">
        <v>24865</v>
      </c>
      <c r="I9015" s="142">
        <v>110</v>
      </c>
      <c r="J9015" s="142">
        <v>55</v>
      </c>
      <c r="K9015" s="142">
        <v>0</v>
      </c>
      <c r="L9015" s="142">
        <v>0</v>
      </c>
      <c r="M9015" s="142">
        <v>55</v>
      </c>
    </row>
    <row r="9016" spans="1:13" x14ac:dyDescent="0.45">
      <c r="A9016" s="142" t="s">
        <v>13028</v>
      </c>
      <c r="B9016" s="142" t="s">
        <v>14462</v>
      </c>
      <c r="C9016" s="142" t="s">
        <v>15847</v>
      </c>
      <c r="D9016" s="142" t="s">
        <v>15848</v>
      </c>
      <c r="E9016" s="142" t="s">
        <v>15849</v>
      </c>
      <c r="F9016" s="142" t="s">
        <v>197</v>
      </c>
      <c r="G9016" s="142" t="s">
        <v>561</v>
      </c>
      <c r="H9016" s="142" t="s">
        <v>24866</v>
      </c>
      <c r="I9016" s="142">
        <v>2</v>
      </c>
      <c r="J9016" s="142">
        <v>0</v>
      </c>
      <c r="K9016" s="142">
        <v>0</v>
      </c>
      <c r="L9016" s="142">
        <v>0</v>
      </c>
      <c r="M9016" s="142">
        <v>2</v>
      </c>
    </row>
    <row r="9017" spans="1:13" x14ac:dyDescent="0.45">
      <c r="A9017" s="142" t="s">
        <v>13003</v>
      </c>
      <c r="B9017" s="142" t="s">
        <v>15245</v>
      </c>
      <c r="C9017" s="142" t="s">
        <v>15847</v>
      </c>
      <c r="D9017" s="142" t="s">
        <v>15848</v>
      </c>
      <c r="E9017" s="142" t="s">
        <v>15849</v>
      </c>
      <c r="F9017" s="142" t="s">
        <v>197</v>
      </c>
      <c r="G9017" s="142" t="s">
        <v>561</v>
      </c>
      <c r="H9017" s="142" t="s">
        <v>24867</v>
      </c>
      <c r="I9017" s="142">
        <v>31</v>
      </c>
      <c r="J9017" s="142">
        <v>0</v>
      </c>
      <c r="K9017" s="142">
        <v>0</v>
      </c>
      <c r="L9017" s="142">
        <v>31</v>
      </c>
      <c r="M9017" s="142">
        <v>0</v>
      </c>
    </row>
    <row r="9018" spans="1:13" x14ac:dyDescent="0.45">
      <c r="A9018" s="142" t="s">
        <v>13066</v>
      </c>
      <c r="B9018" s="142" t="s">
        <v>14459</v>
      </c>
      <c r="C9018" s="142" t="s">
        <v>15847</v>
      </c>
      <c r="D9018" s="142" t="s">
        <v>15848</v>
      </c>
      <c r="E9018" s="142" t="s">
        <v>15849</v>
      </c>
      <c r="F9018" s="142" t="s">
        <v>197</v>
      </c>
      <c r="G9018" s="142" t="s">
        <v>561</v>
      </c>
      <c r="H9018" s="142" t="s">
        <v>24868</v>
      </c>
      <c r="I9018" s="142">
        <v>74</v>
      </c>
      <c r="J9018" s="142">
        <v>0</v>
      </c>
      <c r="K9018" s="142">
        <v>0</v>
      </c>
      <c r="L9018" s="142">
        <v>74</v>
      </c>
      <c r="M9018" s="142">
        <v>0</v>
      </c>
    </row>
    <row r="9019" spans="1:13" x14ac:dyDescent="0.45">
      <c r="A9019" s="142" t="s">
        <v>13291</v>
      </c>
      <c r="B9019" s="142" t="s">
        <v>15495</v>
      </c>
      <c r="C9019" s="142" t="s">
        <v>15847</v>
      </c>
      <c r="D9019" s="142" t="s">
        <v>15848</v>
      </c>
      <c r="E9019" s="142" t="s">
        <v>15849</v>
      </c>
      <c r="F9019" s="142" t="s">
        <v>197</v>
      </c>
      <c r="G9019" s="142" t="s">
        <v>561</v>
      </c>
      <c r="H9019" s="142" t="s">
        <v>24869</v>
      </c>
      <c r="I9019" s="142">
        <v>32</v>
      </c>
      <c r="J9019" s="142">
        <v>32</v>
      </c>
      <c r="K9019" s="142">
        <v>0</v>
      </c>
      <c r="L9019" s="142">
        <v>0</v>
      </c>
      <c r="M9019" s="142">
        <v>0</v>
      </c>
    </row>
    <row r="9020" spans="1:13" x14ac:dyDescent="0.45">
      <c r="A9020" s="142" t="s">
        <v>13274</v>
      </c>
      <c r="B9020" s="142" t="s">
        <v>14608</v>
      </c>
      <c r="C9020" s="142" t="s">
        <v>15860</v>
      </c>
      <c r="D9020" s="142" t="s">
        <v>15861</v>
      </c>
      <c r="E9020" s="142" t="s">
        <v>15849</v>
      </c>
      <c r="F9020" s="142" t="s">
        <v>197</v>
      </c>
      <c r="G9020" s="142" t="s">
        <v>561</v>
      </c>
      <c r="H9020" s="142" t="s">
        <v>24870</v>
      </c>
      <c r="I9020" s="142">
        <v>1</v>
      </c>
      <c r="J9020" s="142">
        <v>0</v>
      </c>
      <c r="K9020" s="142">
        <v>0</v>
      </c>
      <c r="L9020" s="142">
        <v>1</v>
      </c>
      <c r="M9020" s="142">
        <v>0</v>
      </c>
    </row>
    <row r="9021" spans="1:13" x14ac:dyDescent="0.45">
      <c r="A9021" s="142" t="s">
        <v>13249</v>
      </c>
      <c r="B9021" s="142" t="s">
        <v>14602</v>
      </c>
      <c r="C9021" s="142" t="s">
        <v>15847</v>
      </c>
      <c r="D9021" s="142" t="s">
        <v>15848</v>
      </c>
      <c r="E9021" s="142" t="s">
        <v>15849</v>
      </c>
      <c r="F9021" s="142" t="s">
        <v>197</v>
      </c>
      <c r="G9021" s="142" t="s">
        <v>561</v>
      </c>
      <c r="H9021" s="142" t="s">
        <v>24871</v>
      </c>
      <c r="I9021" s="142">
        <v>32</v>
      </c>
      <c r="J9021" s="142">
        <v>1</v>
      </c>
      <c r="K9021" s="142">
        <v>0</v>
      </c>
      <c r="L9021" s="142">
        <v>31</v>
      </c>
      <c r="M9021" s="142">
        <v>0</v>
      </c>
    </row>
    <row r="9022" spans="1:13" x14ac:dyDescent="0.45">
      <c r="A9022" s="142" t="s">
        <v>13284</v>
      </c>
      <c r="B9022" s="142" t="s">
        <v>15364</v>
      </c>
      <c r="C9022" s="142" t="s">
        <v>15847</v>
      </c>
      <c r="D9022" s="142" t="s">
        <v>15848</v>
      </c>
      <c r="E9022" s="142" t="s">
        <v>15849</v>
      </c>
      <c r="F9022" s="142" t="s">
        <v>197</v>
      </c>
      <c r="G9022" s="142" t="s">
        <v>561</v>
      </c>
      <c r="H9022" s="142" t="s">
        <v>24872</v>
      </c>
      <c r="I9022" s="142">
        <v>494</v>
      </c>
      <c r="J9022" s="142">
        <v>463</v>
      </c>
      <c r="K9022" s="142">
        <v>0</v>
      </c>
      <c r="L9022" s="142">
        <v>1</v>
      </c>
      <c r="M9022" s="142">
        <v>30</v>
      </c>
    </row>
    <row r="9023" spans="1:13" x14ac:dyDescent="0.45">
      <c r="A9023" s="142" t="s">
        <v>13292</v>
      </c>
      <c r="B9023" s="142" t="s">
        <v>14543</v>
      </c>
      <c r="C9023" s="142" t="s">
        <v>15860</v>
      </c>
      <c r="D9023" s="142" t="s">
        <v>15861</v>
      </c>
      <c r="E9023" s="142" t="s">
        <v>15849</v>
      </c>
      <c r="F9023" s="142" t="s">
        <v>197</v>
      </c>
      <c r="G9023" s="142" t="s">
        <v>561</v>
      </c>
      <c r="H9023" s="142" t="s">
        <v>24873</v>
      </c>
      <c r="I9023" s="142">
        <v>2</v>
      </c>
      <c r="J9023" s="142">
        <v>0</v>
      </c>
      <c r="K9023" s="142">
        <v>0</v>
      </c>
      <c r="L9023" s="142">
        <v>2</v>
      </c>
      <c r="M9023" s="142">
        <v>0</v>
      </c>
    </row>
    <row r="9024" spans="1:13" x14ac:dyDescent="0.45">
      <c r="A9024" s="142" t="s">
        <v>13054</v>
      </c>
      <c r="B9024" s="142" t="s">
        <v>15604</v>
      </c>
      <c r="C9024" s="142" t="s">
        <v>15847</v>
      </c>
      <c r="D9024" s="142" t="s">
        <v>15848</v>
      </c>
      <c r="E9024" s="142" t="s">
        <v>15849</v>
      </c>
      <c r="F9024" s="142" t="s">
        <v>197</v>
      </c>
      <c r="G9024" s="142" t="s">
        <v>561</v>
      </c>
      <c r="H9024" s="142" t="s">
        <v>24874</v>
      </c>
      <c r="I9024" s="142">
        <v>1</v>
      </c>
      <c r="J9024" s="142">
        <v>0</v>
      </c>
      <c r="K9024" s="142">
        <v>0</v>
      </c>
      <c r="L9024" s="142">
        <v>0</v>
      </c>
      <c r="M9024" s="142">
        <v>1</v>
      </c>
    </row>
    <row r="9025" spans="1:13" x14ac:dyDescent="0.45">
      <c r="A9025" s="142" t="s">
        <v>13486</v>
      </c>
      <c r="B9025" s="142" t="s">
        <v>14563</v>
      </c>
      <c r="C9025" s="142" t="s">
        <v>15847</v>
      </c>
      <c r="D9025" s="142" t="s">
        <v>15848</v>
      </c>
      <c r="E9025" s="142" t="s">
        <v>15849</v>
      </c>
      <c r="F9025" s="142" t="s">
        <v>197</v>
      </c>
      <c r="G9025" s="142" t="s">
        <v>561</v>
      </c>
      <c r="H9025" s="142" t="s">
        <v>24875</v>
      </c>
      <c r="I9025" s="142">
        <v>48</v>
      </c>
      <c r="J9025" s="142">
        <v>25</v>
      </c>
      <c r="K9025" s="142">
        <v>0</v>
      </c>
      <c r="L9025" s="142">
        <v>0</v>
      </c>
      <c r="M9025" s="142">
        <v>23</v>
      </c>
    </row>
    <row r="9026" spans="1:13" x14ac:dyDescent="0.45">
      <c r="A9026" s="142" t="s">
        <v>13276</v>
      </c>
      <c r="B9026" s="142" t="s">
        <v>15498</v>
      </c>
      <c r="C9026" s="142" t="s">
        <v>15847</v>
      </c>
      <c r="D9026" s="142" t="s">
        <v>15848</v>
      </c>
      <c r="E9026" s="142" t="s">
        <v>15849</v>
      </c>
      <c r="F9026" s="142" t="s">
        <v>197</v>
      </c>
      <c r="G9026" s="142" t="s">
        <v>561</v>
      </c>
      <c r="H9026" s="142" t="s">
        <v>24876</v>
      </c>
      <c r="I9026" s="142">
        <v>60</v>
      </c>
      <c r="J9026" s="142">
        <v>29</v>
      </c>
      <c r="K9026" s="142">
        <v>0</v>
      </c>
      <c r="L9026" s="142">
        <v>0</v>
      </c>
      <c r="M9026" s="142">
        <v>31</v>
      </c>
    </row>
    <row r="9027" spans="1:13" x14ac:dyDescent="0.45">
      <c r="A9027" s="142" t="s">
        <v>13033</v>
      </c>
      <c r="B9027" s="142" t="s">
        <v>15276</v>
      </c>
      <c r="C9027" s="142" t="s">
        <v>15847</v>
      </c>
      <c r="D9027" s="142" t="s">
        <v>15848</v>
      </c>
      <c r="E9027" s="142" t="s">
        <v>15849</v>
      </c>
      <c r="F9027" s="142" t="s">
        <v>197</v>
      </c>
      <c r="G9027" s="142" t="s">
        <v>561</v>
      </c>
      <c r="H9027" s="142" t="s">
        <v>24877</v>
      </c>
      <c r="I9027" s="142">
        <v>3</v>
      </c>
      <c r="J9027" s="142">
        <v>1</v>
      </c>
      <c r="K9027" s="142">
        <v>0</v>
      </c>
      <c r="L9027" s="142">
        <v>0</v>
      </c>
      <c r="M9027" s="142">
        <v>2</v>
      </c>
    </row>
    <row r="9028" spans="1:13" x14ac:dyDescent="0.45">
      <c r="A9028" s="142" t="s">
        <v>13034</v>
      </c>
      <c r="B9028" s="142" t="s">
        <v>15562</v>
      </c>
      <c r="C9028" s="142" t="s">
        <v>15847</v>
      </c>
      <c r="D9028" s="142" t="s">
        <v>15848</v>
      </c>
      <c r="E9028" s="142" t="s">
        <v>15849</v>
      </c>
      <c r="F9028" s="142" t="s">
        <v>197</v>
      </c>
      <c r="G9028" s="142" t="s">
        <v>561</v>
      </c>
      <c r="H9028" s="142" t="s">
        <v>24878</v>
      </c>
      <c r="I9028" s="142">
        <v>12</v>
      </c>
      <c r="J9028" s="142">
        <v>0</v>
      </c>
      <c r="K9028" s="142">
        <v>0</v>
      </c>
      <c r="L9028" s="142">
        <v>12</v>
      </c>
      <c r="M9028" s="142">
        <v>0</v>
      </c>
    </row>
    <row r="9029" spans="1:13" x14ac:dyDescent="0.45">
      <c r="A9029" s="142" t="s">
        <v>13487</v>
      </c>
      <c r="B9029" s="142" t="s">
        <v>15490</v>
      </c>
      <c r="C9029" s="142" t="s">
        <v>15847</v>
      </c>
      <c r="D9029" s="142" t="s">
        <v>15848</v>
      </c>
      <c r="E9029" s="142" t="s">
        <v>15849</v>
      </c>
      <c r="F9029" s="142" t="s">
        <v>197</v>
      </c>
      <c r="G9029" s="142" t="s">
        <v>561</v>
      </c>
      <c r="H9029" s="142" t="s">
        <v>24879</v>
      </c>
      <c r="I9029" s="142">
        <v>382</v>
      </c>
      <c r="J9029" s="142">
        <v>352</v>
      </c>
      <c r="K9029" s="142">
        <v>0</v>
      </c>
      <c r="L9029" s="142">
        <v>0</v>
      </c>
      <c r="M9029" s="142">
        <v>30</v>
      </c>
    </row>
    <row r="9030" spans="1:13" x14ac:dyDescent="0.45">
      <c r="A9030" s="142" t="s">
        <v>13039</v>
      </c>
      <c r="B9030" s="142" t="s">
        <v>14647</v>
      </c>
      <c r="C9030" s="142" t="s">
        <v>15847</v>
      </c>
      <c r="D9030" s="142" t="s">
        <v>15848</v>
      </c>
      <c r="E9030" s="142" t="s">
        <v>15849</v>
      </c>
      <c r="F9030" s="142" t="s">
        <v>197</v>
      </c>
      <c r="G9030" s="142" t="s">
        <v>561</v>
      </c>
      <c r="H9030" s="142" t="s">
        <v>24880</v>
      </c>
      <c r="I9030" s="142">
        <v>12</v>
      </c>
      <c r="J9030" s="142">
        <v>12</v>
      </c>
      <c r="K9030" s="142">
        <v>0</v>
      </c>
      <c r="L9030" s="142">
        <v>0</v>
      </c>
      <c r="M9030" s="142">
        <v>0</v>
      </c>
    </row>
    <row r="9031" spans="1:13" x14ac:dyDescent="0.45">
      <c r="A9031" s="142" t="s">
        <v>13009</v>
      </c>
      <c r="B9031" s="142" t="s">
        <v>15256</v>
      </c>
      <c r="C9031" s="142" t="s">
        <v>15847</v>
      </c>
      <c r="D9031" s="142" t="s">
        <v>15848</v>
      </c>
      <c r="E9031" s="142" t="s">
        <v>15849</v>
      </c>
      <c r="F9031" s="142" t="s">
        <v>197</v>
      </c>
      <c r="G9031" s="142" t="s">
        <v>561</v>
      </c>
      <c r="H9031" s="142" t="s">
        <v>24881</v>
      </c>
      <c r="I9031" s="142">
        <v>108</v>
      </c>
      <c r="J9031" s="142">
        <v>98</v>
      </c>
      <c r="K9031" s="142">
        <v>0</v>
      </c>
      <c r="L9031" s="142">
        <v>10</v>
      </c>
      <c r="M9031" s="142">
        <v>0</v>
      </c>
    </row>
    <row r="9032" spans="1:13" x14ac:dyDescent="0.45">
      <c r="A9032" s="142" t="s">
        <v>13041</v>
      </c>
      <c r="B9032" s="142" t="s">
        <v>14441</v>
      </c>
      <c r="C9032" s="142" t="s">
        <v>15847</v>
      </c>
      <c r="D9032" s="142" t="s">
        <v>15848</v>
      </c>
      <c r="E9032" s="142" t="s">
        <v>15849</v>
      </c>
      <c r="F9032" s="142" t="s">
        <v>197</v>
      </c>
      <c r="G9032" s="142" t="s">
        <v>561</v>
      </c>
      <c r="H9032" s="142" t="s">
        <v>24882</v>
      </c>
      <c r="I9032" s="142">
        <v>11</v>
      </c>
      <c r="J9032" s="142">
        <v>0</v>
      </c>
      <c r="K9032" s="142">
        <v>0</v>
      </c>
      <c r="L9032" s="142">
        <v>0</v>
      </c>
      <c r="M9032" s="142">
        <v>11</v>
      </c>
    </row>
    <row r="9033" spans="1:13" x14ac:dyDescent="0.45">
      <c r="A9033" s="142" t="s">
        <v>13493</v>
      </c>
      <c r="B9033" s="142" t="s">
        <v>14639</v>
      </c>
      <c r="C9033" s="142" t="s">
        <v>15847</v>
      </c>
      <c r="D9033" s="142" t="s">
        <v>15848</v>
      </c>
      <c r="E9033" s="142" t="s">
        <v>15849</v>
      </c>
      <c r="F9033" s="142" t="s">
        <v>197</v>
      </c>
      <c r="G9033" s="142" t="s">
        <v>561</v>
      </c>
      <c r="H9033" s="142" t="s">
        <v>24883</v>
      </c>
      <c r="I9033" s="142">
        <v>8841</v>
      </c>
      <c r="J9033" s="142">
        <v>7032</v>
      </c>
      <c r="K9033" s="142">
        <v>0</v>
      </c>
      <c r="L9033" s="142">
        <v>1500</v>
      </c>
      <c r="M9033" s="142">
        <v>309</v>
      </c>
    </row>
    <row r="9034" spans="1:13" x14ac:dyDescent="0.45">
      <c r="A9034" s="142" t="s">
        <v>14233</v>
      </c>
      <c r="B9034" s="142" t="s">
        <v>15273</v>
      </c>
      <c r="C9034" s="142" t="s">
        <v>15847</v>
      </c>
      <c r="D9034" s="142" t="s">
        <v>15848</v>
      </c>
      <c r="E9034" s="142" t="s">
        <v>15849</v>
      </c>
      <c r="F9034" s="142" t="s">
        <v>197</v>
      </c>
      <c r="G9034" s="142" t="s">
        <v>561</v>
      </c>
      <c r="H9034" s="142" t="s">
        <v>24884</v>
      </c>
      <c r="I9034" s="142">
        <v>1326</v>
      </c>
      <c r="J9034" s="142">
        <v>1064</v>
      </c>
      <c r="K9034" s="142">
        <v>0</v>
      </c>
      <c r="L9034" s="142">
        <v>228</v>
      </c>
      <c r="M9034" s="142">
        <v>34</v>
      </c>
    </row>
    <row r="9035" spans="1:13" x14ac:dyDescent="0.45">
      <c r="A9035" s="142" t="s">
        <v>13494</v>
      </c>
      <c r="B9035" s="142" t="s">
        <v>15442</v>
      </c>
      <c r="C9035" s="142" t="s">
        <v>15847</v>
      </c>
      <c r="D9035" s="142" t="s">
        <v>15848</v>
      </c>
      <c r="E9035" s="142" t="s">
        <v>15849</v>
      </c>
      <c r="F9035" s="142" t="s">
        <v>197</v>
      </c>
      <c r="G9035" s="142" t="s">
        <v>561</v>
      </c>
      <c r="H9035" s="142" t="s">
        <v>24885</v>
      </c>
      <c r="I9035" s="142">
        <v>78</v>
      </c>
      <c r="J9035" s="142">
        <v>78</v>
      </c>
      <c r="K9035" s="142">
        <v>0</v>
      </c>
      <c r="L9035" s="142">
        <v>0</v>
      </c>
      <c r="M9035" s="142">
        <v>0</v>
      </c>
    </row>
    <row r="9036" spans="1:13" x14ac:dyDescent="0.45">
      <c r="A9036" s="142" t="s">
        <v>13286</v>
      </c>
      <c r="B9036" s="142" t="s">
        <v>15342</v>
      </c>
      <c r="C9036" s="142" t="s">
        <v>15847</v>
      </c>
      <c r="D9036" s="142" t="s">
        <v>15848</v>
      </c>
      <c r="E9036" s="142" t="s">
        <v>15849</v>
      </c>
      <c r="F9036" s="142" t="s">
        <v>197</v>
      </c>
      <c r="G9036" s="142" t="s">
        <v>561</v>
      </c>
      <c r="H9036" s="142" t="s">
        <v>24886</v>
      </c>
      <c r="I9036" s="142">
        <v>2062</v>
      </c>
      <c r="J9036" s="142">
        <v>1332</v>
      </c>
      <c r="K9036" s="142">
        <v>0</v>
      </c>
      <c r="L9036" s="142">
        <v>500</v>
      </c>
      <c r="M9036" s="142">
        <v>230</v>
      </c>
    </row>
    <row r="9037" spans="1:13" x14ac:dyDescent="0.45">
      <c r="A9037" s="142" t="s">
        <v>13021</v>
      </c>
      <c r="B9037" s="142" t="s">
        <v>15501</v>
      </c>
      <c r="C9037" s="142" t="s">
        <v>15847</v>
      </c>
      <c r="D9037" s="142" t="s">
        <v>15848</v>
      </c>
      <c r="E9037" s="142" t="s">
        <v>15849</v>
      </c>
      <c r="F9037" s="142" t="s">
        <v>198</v>
      </c>
      <c r="G9037" s="142" t="s">
        <v>8861</v>
      </c>
      <c r="H9037" s="142" t="s">
        <v>24887</v>
      </c>
      <c r="I9037" s="142">
        <v>3</v>
      </c>
      <c r="J9037" s="142">
        <v>0</v>
      </c>
      <c r="K9037" s="142">
        <v>0</v>
      </c>
      <c r="L9037" s="142">
        <v>0</v>
      </c>
      <c r="M9037" s="142">
        <v>3</v>
      </c>
    </row>
    <row r="9038" spans="1:13" x14ac:dyDescent="0.45">
      <c r="A9038" s="142" t="s">
        <v>13022</v>
      </c>
      <c r="B9038" s="142" t="s">
        <v>14634</v>
      </c>
      <c r="C9038" s="142" t="s">
        <v>15847</v>
      </c>
      <c r="D9038" s="142" t="s">
        <v>15848</v>
      </c>
      <c r="E9038" s="142" t="s">
        <v>15849</v>
      </c>
      <c r="F9038" s="142" t="s">
        <v>198</v>
      </c>
      <c r="G9038" s="142" t="s">
        <v>8861</v>
      </c>
      <c r="H9038" s="142" t="s">
        <v>24888</v>
      </c>
      <c r="I9038" s="142">
        <v>2</v>
      </c>
      <c r="J9038" s="142">
        <v>1</v>
      </c>
      <c r="K9038" s="142">
        <v>0</v>
      </c>
      <c r="L9038" s="142">
        <v>1</v>
      </c>
      <c r="M9038" s="142">
        <v>0</v>
      </c>
    </row>
    <row r="9039" spans="1:13" x14ac:dyDescent="0.45">
      <c r="A9039" s="142" t="s">
        <v>13235</v>
      </c>
      <c r="B9039" s="142" t="s">
        <v>14573</v>
      </c>
      <c r="C9039" s="142" t="s">
        <v>15847</v>
      </c>
      <c r="D9039" s="142" t="s">
        <v>15848</v>
      </c>
      <c r="E9039" s="142" t="s">
        <v>15849</v>
      </c>
      <c r="F9039" s="142" t="s">
        <v>198</v>
      </c>
      <c r="G9039" s="142" t="s">
        <v>8861</v>
      </c>
      <c r="H9039" s="142" t="s">
        <v>24889</v>
      </c>
      <c r="I9039" s="142">
        <v>582</v>
      </c>
      <c r="J9039" s="142">
        <v>507</v>
      </c>
      <c r="K9039" s="142">
        <v>0</v>
      </c>
      <c r="L9039" s="142">
        <v>6</v>
      </c>
      <c r="M9039" s="142">
        <v>69</v>
      </c>
    </row>
    <row r="9040" spans="1:13" x14ac:dyDescent="0.45">
      <c r="A9040" s="142" t="s">
        <v>13237</v>
      </c>
      <c r="B9040" s="142" t="s">
        <v>14643</v>
      </c>
      <c r="C9040" s="142" t="s">
        <v>15847</v>
      </c>
      <c r="D9040" s="142" t="s">
        <v>15848</v>
      </c>
      <c r="E9040" s="142" t="s">
        <v>15849</v>
      </c>
      <c r="F9040" s="142" t="s">
        <v>198</v>
      </c>
      <c r="G9040" s="142" t="s">
        <v>8861</v>
      </c>
      <c r="H9040" s="142" t="s">
        <v>24890</v>
      </c>
      <c r="I9040" s="142">
        <v>290</v>
      </c>
      <c r="J9040" s="142">
        <v>238</v>
      </c>
      <c r="K9040" s="142">
        <v>0</v>
      </c>
      <c r="L9040" s="142">
        <v>0</v>
      </c>
      <c r="M9040" s="142">
        <v>52</v>
      </c>
    </row>
    <row r="9041" spans="1:13" x14ac:dyDescent="0.45">
      <c r="A9041" s="142" t="s">
        <v>13000</v>
      </c>
      <c r="B9041" s="142" t="s">
        <v>14610</v>
      </c>
      <c r="C9041" s="142" t="s">
        <v>15847</v>
      </c>
      <c r="D9041" s="142" t="s">
        <v>15848</v>
      </c>
      <c r="E9041" s="142" t="s">
        <v>15849</v>
      </c>
      <c r="F9041" s="142" t="s">
        <v>198</v>
      </c>
      <c r="G9041" s="142" t="s">
        <v>8861</v>
      </c>
      <c r="H9041" s="142" t="s">
        <v>24891</v>
      </c>
      <c r="I9041" s="142">
        <v>36</v>
      </c>
      <c r="J9041" s="142">
        <v>0</v>
      </c>
      <c r="K9041" s="142">
        <v>0</v>
      </c>
      <c r="L9041" s="142">
        <v>0</v>
      </c>
      <c r="M9041" s="142">
        <v>36</v>
      </c>
    </row>
    <row r="9042" spans="1:13" x14ac:dyDescent="0.45">
      <c r="A9042" s="142" t="s">
        <v>13238</v>
      </c>
      <c r="B9042" s="142" t="s">
        <v>14477</v>
      </c>
      <c r="C9042" s="142" t="s">
        <v>15860</v>
      </c>
      <c r="D9042" s="142" t="s">
        <v>15861</v>
      </c>
      <c r="E9042" s="142" t="s">
        <v>15849</v>
      </c>
      <c r="F9042" s="142" t="s">
        <v>198</v>
      </c>
      <c r="G9042" s="142" t="s">
        <v>8861</v>
      </c>
      <c r="H9042" s="142" t="s">
        <v>24892</v>
      </c>
      <c r="I9042" s="142">
        <v>15</v>
      </c>
      <c r="J9042" s="142">
        <v>0</v>
      </c>
      <c r="K9042" s="142">
        <v>0</v>
      </c>
      <c r="L9042" s="142">
        <v>15</v>
      </c>
      <c r="M9042" s="142">
        <v>0</v>
      </c>
    </row>
    <row r="9043" spans="1:13" x14ac:dyDescent="0.45">
      <c r="A9043" s="142" t="s">
        <v>13119</v>
      </c>
      <c r="B9043" s="142" t="s">
        <v>14451</v>
      </c>
      <c r="C9043" s="142" t="s">
        <v>15860</v>
      </c>
      <c r="D9043" s="142" t="s">
        <v>15861</v>
      </c>
      <c r="E9043" s="142" t="s">
        <v>15849</v>
      </c>
      <c r="F9043" s="142" t="s">
        <v>198</v>
      </c>
      <c r="G9043" s="142" t="s">
        <v>8861</v>
      </c>
      <c r="H9043" s="142" t="s">
        <v>24893</v>
      </c>
      <c r="I9043" s="142">
        <v>4</v>
      </c>
      <c r="J9043" s="142">
        <v>0</v>
      </c>
      <c r="K9043" s="142">
        <v>0</v>
      </c>
      <c r="L9043" s="142">
        <v>4</v>
      </c>
      <c r="M9043" s="142">
        <v>0</v>
      </c>
    </row>
    <row r="9044" spans="1:13" x14ac:dyDescent="0.45">
      <c r="A9044" s="142" t="s">
        <v>13310</v>
      </c>
      <c r="B9044" s="142" t="s">
        <v>14558</v>
      </c>
      <c r="C9044" s="142" t="s">
        <v>15860</v>
      </c>
      <c r="D9044" s="142" t="s">
        <v>15861</v>
      </c>
      <c r="E9044" s="142" t="s">
        <v>15849</v>
      </c>
      <c r="F9044" s="142" t="s">
        <v>198</v>
      </c>
      <c r="G9044" s="142" t="s">
        <v>8861</v>
      </c>
      <c r="H9044" s="142" t="s">
        <v>24894</v>
      </c>
      <c r="I9044" s="142">
        <v>7</v>
      </c>
      <c r="J9044" s="142">
        <v>0</v>
      </c>
      <c r="K9044" s="142">
        <v>0</v>
      </c>
      <c r="L9044" s="142">
        <v>7</v>
      </c>
      <c r="M9044" s="142">
        <v>0</v>
      </c>
    </row>
    <row r="9045" spans="1:13" x14ac:dyDescent="0.45">
      <c r="A9045" s="142" t="s">
        <v>13027</v>
      </c>
      <c r="B9045" s="142" t="s">
        <v>14562</v>
      </c>
      <c r="C9045" s="142" t="s">
        <v>15847</v>
      </c>
      <c r="D9045" s="142" t="s">
        <v>15848</v>
      </c>
      <c r="E9045" s="142" t="s">
        <v>15849</v>
      </c>
      <c r="F9045" s="142" t="s">
        <v>198</v>
      </c>
      <c r="G9045" s="142" t="s">
        <v>8861</v>
      </c>
      <c r="H9045" s="142" t="s">
        <v>24895</v>
      </c>
      <c r="I9045" s="142">
        <v>5</v>
      </c>
      <c r="J9045" s="142">
        <v>0</v>
      </c>
      <c r="K9045" s="142">
        <v>0</v>
      </c>
      <c r="L9045" s="142">
        <v>5</v>
      </c>
      <c r="M9045" s="142">
        <v>0</v>
      </c>
    </row>
    <row r="9046" spans="1:13" x14ac:dyDescent="0.45">
      <c r="A9046" s="142" t="s">
        <v>13243</v>
      </c>
      <c r="B9046" s="142" t="s">
        <v>15560</v>
      </c>
      <c r="C9046" s="142" t="s">
        <v>15847</v>
      </c>
      <c r="D9046" s="142" t="s">
        <v>15848</v>
      </c>
      <c r="E9046" s="142" t="s">
        <v>15849</v>
      </c>
      <c r="F9046" s="142" t="s">
        <v>198</v>
      </c>
      <c r="G9046" s="142" t="s">
        <v>8861</v>
      </c>
      <c r="H9046" s="142" t="s">
        <v>24896</v>
      </c>
      <c r="I9046" s="142">
        <v>27</v>
      </c>
      <c r="J9046" s="142">
        <v>14</v>
      </c>
      <c r="K9046" s="142">
        <v>0</v>
      </c>
      <c r="L9046" s="142">
        <v>13</v>
      </c>
      <c r="M9046" s="142">
        <v>0</v>
      </c>
    </row>
    <row r="9047" spans="1:13" x14ac:dyDescent="0.45">
      <c r="A9047" s="142" t="s">
        <v>13028</v>
      </c>
      <c r="B9047" s="142" t="s">
        <v>14462</v>
      </c>
      <c r="C9047" s="142" t="s">
        <v>15847</v>
      </c>
      <c r="D9047" s="142" t="s">
        <v>15848</v>
      </c>
      <c r="E9047" s="142" t="s">
        <v>15849</v>
      </c>
      <c r="F9047" s="142" t="s">
        <v>198</v>
      </c>
      <c r="G9047" s="142" t="s">
        <v>8861</v>
      </c>
      <c r="H9047" s="142" t="s">
        <v>24897</v>
      </c>
      <c r="I9047" s="142">
        <v>72</v>
      </c>
      <c r="J9047" s="142">
        <v>0</v>
      </c>
      <c r="K9047" s="142">
        <v>0</v>
      </c>
      <c r="L9047" s="142">
        <v>0</v>
      </c>
      <c r="M9047" s="142">
        <v>72</v>
      </c>
    </row>
    <row r="9048" spans="1:13" x14ac:dyDescent="0.45">
      <c r="A9048" s="142" t="s">
        <v>13003</v>
      </c>
      <c r="B9048" s="142" t="s">
        <v>15245</v>
      </c>
      <c r="C9048" s="142" t="s">
        <v>15847</v>
      </c>
      <c r="D9048" s="142" t="s">
        <v>15848</v>
      </c>
      <c r="E9048" s="142" t="s">
        <v>15849</v>
      </c>
      <c r="F9048" s="142" t="s">
        <v>198</v>
      </c>
      <c r="G9048" s="142" t="s">
        <v>8861</v>
      </c>
      <c r="H9048" s="142" t="s">
        <v>24898</v>
      </c>
      <c r="I9048" s="142">
        <v>160</v>
      </c>
      <c r="J9048" s="142">
        <v>0</v>
      </c>
      <c r="K9048" s="142">
        <v>0</v>
      </c>
      <c r="L9048" s="142">
        <v>141</v>
      </c>
      <c r="M9048" s="142">
        <v>19</v>
      </c>
    </row>
    <row r="9049" spans="1:13" x14ac:dyDescent="0.45">
      <c r="A9049" s="142" t="s">
        <v>13420</v>
      </c>
      <c r="B9049" s="142" t="s">
        <v>14576</v>
      </c>
      <c r="C9049" s="142" t="s">
        <v>15860</v>
      </c>
      <c r="D9049" s="142" t="s">
        <v>15861</v>
      </c>
      <c r="E9049" s="142" t="s">
        <v>15849</v>
      </c>
      <c r="F9049" s="142" t="s">
        <v>198</v>
      </c>
      <c r="G9049" s="142" t="s">
        <v>8861</v>
      </c>
      <c r="H9049" s="142" t="s">
        <v>24899</v>
      </c>
      <c r="I9049" s="142">
        <v>5</v>
      </c>
      <c r="J9049" s="142">
        <v>0</v>
      </c>
      <c r="K9049" s="142">
        <v>0</v>
      </c>
      <c r="L9049" s="142">
        <v>5</v>
      </c>
      <c r="M9049" s="142">
        <v>0</v>
      </c>
    </row>
    <row r="9050" spans="1:13" x14ac:dyDescent="0.45">
      <c r="A9050" s="142" t="s">
        <v>13066</v>
      </c>
      <c r="B9050" s="142" t="s">
        <v>14459</v>
      </c>
      <c r="C9050" s="142" t="s">
        <v>15847</v>
      </c>
      <c r="D9050" s="142" t="s">
        <v>15848</v>
      </c>
      <c r="E9050" s="142" t="s">
        <v>15849</v>
      </c>
      <c r="F9050" s="142" t="s">
        <v>198</v>
      </c>
      <c r="G9050" s="142" t="s">
        <v>8861</v>
      </c>
      <c r="H9050" s="142" t="s">
        <v>24900</v>
      </c>
      <c r="I9050" s="142">
        <v>21</v>
      </c>
      <c r="J9050" s="142">
        <v>0</v>
      </c>
      <c r="K9050" s="142">
        <v>0</v>
      </c>
      <c r="L9050" s="142">
        <v>21</v>
      </c>
      <c r="M9050" s="142">
        <v>0</v>
      </c>
    </row>
    <row r="9051" spans="1:13" x14ac:dyDescent="0.45">
      <c r="A9051" s="142" t="s">
        <v>13076</v>
      </c>
      <c r="B9051" s="142" t="s">
        <v>14636</v>
      </c>
      <c r="C9051" s="142" t="s">
        <v>15847</v>
      </c>
      <c r="D9051" s="142" t="s">
        <v>15848</v>
      </c>
      <c r="E9051" s="142" t="s">
        <v>15849</v>
      </c>
      <c r="F9051" s="142" t="s">
        <v>198</v>
      </c>
      <c r="G9051" s="142" t="s">
        <v>8861</v>
      </c>
      <c r="H9051" s="142" t="s">
        <v>24901</v>
      </c>
      <c r="I9051" s="142">
        <v>4</v>
      </c>
      <c r="J9051" s="142">
        <v>0</v>
      </c>
      <c r="K9051" s="142">
        <v>0</v>
      </c>
      <c r="L9051" s="142">
        <v>0</v>
      </c>
      <c r="M9051" s="142">
        <v>4</v>
      </c>
    </row>
    <row r="9052" spans="1:13" x14ac:dyDescent="0.45">
      <c r="A9052" s="142" t="s">
        <v>13005</v>
      </c>
      <c r="B9052" s="142" t="s">
        <v>15475</v>
      </c>
      <c r="C9052" s="142" t="s">
        <v>15847</v>
      </c>
      <c r="D9052" s="142" t="s">
        <v>15848</v>
      </c>
      <c r="E9052" s="142" t="s">
        <v>15849</v>
      </c>
      <c r="F9052" s="142" t="s">
        <v>198</v>
      </c>
      <c r="G9052" s="142" t="s">
        <v>8861</v>
      </c>
      <c r="H9052" s="142" t="s">
        <v>24902</v>
      </c>
      <c r="I9052" s="142">
        <v>167</v>
      </c>
      <c r="J9052" s="142">
        <v>53</v>
      </c>
      <c r="K9052" s="142">
        <v>0</v>
      </c>
      <c r="L9052" s="142">
        <v>0</v>
      </c>
      <c r="M9052" s="142">
        <v>114</v>
      </c>
    </row>
    <row r="9053" spans="1:13" x14ac:dyDescent="0.45">
      <c r="A9053" s="142" t="s">
        <v>13400</v>
      </c>
      <c r="B9053" s="142" t="s">
        <v>15278</v>
      </c>
      <c r="C9053" s="142" t="s">
        <v>15860</v>
      </c>
      <c r="D9053" s="142" t="s">
        <v>15861</v>
      </c>
      <c r="E9053" s="142" t="s">
        <v>15849</v>
      </c>
      <c r="F9053" s="142" t="s">
        <v>198</v>
      </c>
      <c r="G9053" s="142" t="s">
        <v>8861</v>
      </c>
      <c r="H9053" s="142" t="s">
        <v>24903</v>
      </c>
      <c r="I9053" s="142">
        <v>45</v>
      </c>
      <c r="J9053" s="142">
        <v>0</v>
      </c>
      <c r="K9053" s="142">
        <v>0</v>
      </c>
      <c r="L9053" s="142">
        <v>45</v>
      </c>
      <c r="M9053" s="142">
        <v>0</v>
      </c>
    </row>
    <row r="9054" spans="1:13" x14ac:dyDescent="0.45">
      <c r="A9054" s="142" t="s">
        <v>13248</v>
      </c>
      <c r="B9054" s="142" t="s">
        <v>15463</v>
      </c>
      <c r="C9054" s="142" t="s">
        <v>15847</v>
      </c>
      <c r="D9054" s="142" t="s">
        <v>15848</v>
      </c>
      <c r="E9054" s="142" t="s">
        <v>15849</v>
      </c>
      <c r="F9054" s="142" t="s">
        <v>198</v>
      </c>
      <c r="G9054" s="142" t="s">
        <v>8861</v>
      </c>
      <c r="H9054" s="142" t="s">
        <v>24904</v>
      </c>
      <c r="I9054" s="142">
        <v>10</v>
      </c>
      <c r="J9054" s="142">
        <v>1</v>
      </c>
      <c r="K9054" s="142">
        <v>0</v>
      </c>
      <c r="L9054" s="142">
        <v>0</v>
      </c>
      <c r="M9054" s="142">
        <v>9</v>
      </c>
    </row>
    <row r="9055" spans="1:13" x14ac:dyDescent="0.45">
      <c r="A9055" s="142" t="s">
        <v>13008</v>
      </c>
      <c r="B9055" s="142" t="s">
        <v>15411</v>
      </c>
      <c r="C9055" s="142" t="s">
        <v>15847</v>
      </c>
      <c r="D9055" s="142" t="s">
        <v>15848</v>
      </c>
      <c r="E9055" s="142" t="s">
        <v>15849</v>
      </c>
      <c r="F9055" s="142" t="s">
        <v>198</v>
      </c>
      <c r="G9055" s="142" t="s">
        <v>8861</v>
      </c>
      <c r="H9055" s="142" t="s">
        <v>24905</v>
      </c>
      <c r="I9055" s="142">
        <v>247</v>
      </c>
      <c r="J9055" s="142">
        <v>5</v>
      </c>
      <c r="K9055" s="142">
        <v>0</v>
      </c>
      <c r="L9055" s="142">
        <v>0</v>
      </c>
      <c r="M9055" s="142">
        <v>242</v>
      </c>
    </row>
    <row r="9056" spans="1:13" x14ac:dyDescent="0.45">
      <c r="A9056" s="142" t="s">
        <v>13077</v>
      </c>
      <c r="B9056" s="142" t="s">
        <v>15407</v>
      </c>
      <c r="C9056" s="142" t="s">
        <v>15847</v>
      </c>
      <c r="D9056" s="142" t="s">
        <v>15848</v>
      </c>
      <c r="E9056" s="142" t="s">
        <v>15849</v>
      </c>
      <c r="F9056" s="142" t="s">
        <v>198</v>
      </c>
      <c r="G9056" s="142" t="s">
        <v>8861</v>
      </c>
      <c r="H9056" s="142" t="s">
        <v>24906</v>
      </c>
      <c r="I9056" s="142">
        <v>1729</v>
      </c>
      <c r="J9056" s="142">
        <v>1433</v>
      </c>
      <c r="K9056" s="142">
        <v>0</v>
      </c>
      <c r="L9056" s="142">
        <v>296</v>
      </c>
      <c r="M9056" s="142">
        <v>0</v>
      </c>
    </row>
    <row r="9057" spans="1:13" x14ac:dyDescent="0.45">
      <c r="A9057" s="142" t="s">
        <v>13035</v>
      </c>
      <c r="B9057" s="142" t="s">
        <v>14648</v>
      </c>
      <c r="C9057" s="142" t="s">
        <v>15847</v>
      </c>
      <c r="D9057" s="142" t="s">
        <v>15848</v>
      </c>
      <c r="E9057" s="142" t="s">
        <v>15849</v>
      </c>
      <c r="F9057" s="142" t="s">
        <v>198</v>
      </c>
      <c r="G9057" s="142" t="s">
        <v>8861</v>
      </c>
      <c r="H9057" s="142" t="s">
        <v>24907</v>
      </c>
      <c r="I9057" s="142">
        <v>1041</v>
      </c>
      <c r="J9057" s="142">
        <v>749</v>
      </c>
      <c r="K9057" s="142">
        <v>0</v>
      </c>
      <c r="L9057" s="142">
        <v>0</v>
      </c>
      <c r="M9057" s="142">
        <v>292</v>
      </c>
    </row>
    <row r="9058" spans="1:13" x14ac:dyDescent="0.45">
      <c r="A9058" s="142" t="s">
        <v>13038</v>
      </c>
      <c r="B9058" s="142" t="s">
        <v>14646</v>
      </c>
      <c r="C9058" s="142" t="s">
        <v>15847</v>
      </c>
      <c r="D9058" s="142" t="s">
        <v>15848</v>
      </c>
      <c r="E9058" s="142" t="s">
        <v>15849</v>
      </c>
      <c r="F9058" s="142" t="s">
        <v>198</v>
      </c>
      <c r="G9058" s="142" t="s">
        <v>8861</v>
      </c>
      <c r="H9058" s="142" t="s">
        <v>24908</v>
      </c>
      <c r="I9058" s="142">
        <v>68</v>
      </c>
      <c r="J9058" s="142">
        <v>47</v>
      </c>
      <c r="K9058" s="142">
        <v>0</v>
      </c>
      <c r="L9058" s="142">
        <v>0</v>
      </c>
      <c r="M9058" s="142">
        <v>21</v>
      </c>
    </row>
    <row r="9059" spans="1:13" x14ac:dyDescent="0.45">
      <c r="A9059" s="142" t="s">
        <v>13039</v>
      </c>
      <c r="B9059" s="142" t="s">
        <v>14647</v>
      </c>
      <c r="C9059" s="142" t="s">
        <v>15847</v>
      </c>
      <c r="D9059" s="142" t="s">
        <v>15848</v>
      </c>
      <c r="E9059" s="142" t="s">
        <v>15849</v>
      </c>
      <c r="F9059" s="142" t="s">
        <v>198</v>
      </c>
      <c r="G9059" s="142" t="s">
        <v>8861</v>
      </c>
      <c r="H9059" s="142" t="s">
        <v>24909</v>
      </c>
      <c r="I9059" s="142">
        <v>94</v>
      </c>
      <c r="J9059" s="142">
        <v>94</v>
      </c>
      <c r="K9059" s="142">
        <v>0</v>
      </c>
      <c r="L9059" s="142">
        <v>0</v>
      </c>
      <c r="M9059" s="142">
        <v>0</v>
      </c>
    </row>
    <row r="9060" spans="1:13" x14ac:dyDescent="0.45">
      <c r="A9060" s="142" t="s">
        <v>13078</v>
      </c>
      <c r="B9060" s="142" t="s">
        <v>15540</v>
      </c>
      <c r="C9060" s="142" t="s">
        <v>15847</v>
      </c>
      <c r="D9060" s="142" t="s">
        <v>15848</v>
      </c>
      <c r="E9060" s="142" t="s">
        <v>15849</v>
      </c>
      <c r="F9060" s="142" t="s">
        <v>198</v>
      </c>
      <c r="G9060" s="142" t="s">
        <v>8861</v>
      </c>
      <c r="H9060" s="142" t="s">
        <v>24910</v>
      </c>
      <c r="I9060" s="142">
        <v>34</v>
      </c>
      <c r="J9060" s="142">
        <v>0</v>
      </c>
      <c r="K9060" s="142">
        <v>0</v>
      </c>
      <c r="L9060" s="142">
        <v>34</v>
      </c>
      <c r="M9060" s="142">
        <v>0</v>
      </c>
    </row>
    <row r="9061" spans="1:13" x14ac:dyDescent="0.45">
      <c r="A9061" s="142" t="s">
        <v>13091</v>
      </c>
      <c r="B9061" s="142" t="s">
        <v>14473</v>
      </c>
      <c r="C9061" s="142" t="s">
        <v>15847</v>
      </c>
      <c r="D9061" s="142" t="s">
        <v>15848</v>
      </c>
      <c r="E9061" s="142" t="s">
        <v>15849</v>
      </c>
      <c r="F9061" s="142" t="s">
        <v>198</v>
      </c>
      <c r="G9061" s="142" t="s">
        <v>8861</v>
      </c>
      <c r="H9061" s="142" t="s">
        <v>24911</v>
      </c>
      <c r="I9061" s="142">
        <v>9</v>
      </c>
      <c r="J9061" s="142">
        <v>0</v>
      </c>
      <c r="K9061" s="142">
        <v>0</v>
      </c>
      <c r="L9061" s="142">
        <v>0</v>
      </c>
      <c r="M9061" s="142">
        <v>9</v>
      </c>
    </row>
    <row r="9062" spans="1:13" x14ac:dyDescent="0.45">
      <c r="A9062" s="142" t="s">
        <v>13011</v>
      </c>
      <c r="B9062" s="142" t="s">
        <v>14695</v>
      </c>
      <c r="C9062" s="142" t="s">
        <v>15847</v>
      </c>
      <c r="D9062" s="142" t="s">
        <v>15848</v>
      </c>
      <c r="E9062" s="142" t="s">
        <v>15849</v>
      </c>
      <c r="F9062" s="142" t="s">
        <v>198</v>
      </c>
      <c r="G9062" s="142" t="s">
        <v>8861</v>
      </c>
      <c r="H9062" s="142" t="s">
        <v>24912</v>
      </c>
      <c r="I9062" s="142">
        <v>150</v>
      </c>
      <c r="J9062" s="142">
        <v>81</v>
      </c>
      <c r="K9062" s="142">
        <v>0</v>
      </c>
      <c r="L9062" s="142">
        <v>40</v>
      </c>
      <c r="M9062" s="142">
        <v>29</v>
      </c>
    </row>
    <row r="9063" spans="1:13" x14ac:dyDescent="0.45">
      <c r="A9063" s="142" t="s">
        <v>13041</v>
      </c>
      <c r="B9063" s="142" t="s">
        <v>14441</v>
      </c>
      <c r="C9063" s="142" t="s">
        <v>15847</v>
      </c>
      <c r="D9063" s="142" t="s">
        <v>15848</v>
      </c>
      <c r="E9063" s="142" t="s">
        <v>15849</v>
      </c>
      <c r="F9063" s="142" t="s">
        <v>198</v>
      </c>
      <c r="G9063" s="142" t="s">
        <v>8861</v>
      </c>
      <c r="H9063" s="142" t="s">
        <v>24913</v>
      </c>
      <c r="I9063" s="142">
        <v>10</v>
      </c>
      <c r="J9063" s="142">
        <v>0</v>
      </c>
      <c r="K9063" s="142">
        <v>0</v>
      </c>
      <c r="L9063" s="142">
        <v>0</v>
      </c>
      <c r="M9063" s="142">
        <v>10</v>
      </c>
    </row>
    <row r="9064" spans="1:13" x14ac:dyDescent="0.45">
      <c r="A9064" s="142" t="s">
        <v>13257</v>
      </c>
      <c r="B9064" s="142" t="s">
        <v>15219</v>
      </c>
      <c r="C9064" s="142" t="s">
        <v>15860</v>
      </c>
      <c r="D9064" s="142" t="s">
        <v>15861</v>
      </c>
      <c r="E9064" s="142" t="s">
        <v>15849</v>
      </c>
      <c r="F9064" s="142" t="s">
        <v>198</v>
      </c>
      <c r="G9064" s="142" t="s">
        <v>8861</v>
      </c>
      <c r="H9064" s="142" t="s">
        <v>24914</v>
      </c>
      <c r="I9064" s="142">
        <v>6</v>
      </c>
      <c r="J9064" s="142">
        <v>0</v>
      </c>
      <c r="K9064" s="142">
        <v>0</v>
      </c>
      <c r="L9064" s="142">
        <v>6</v>
      </c>
      <c r="M9064" s="142">
        <v>0</v>
      </c>
    </row>
    <row r="9065" spans="1:13" x14ac:dyDescent="0.45">
      <c r="A9065" s="142" t="s">
        <v>13205</v>
      </c>
      <c r="B9065" s="142" t="s">
        <v>14496</v>
      </c>
      <c r="C9065" s="142" t="s">
        <v>15847</v>
      </c>
      <c r="D9065" s="142" t="s">
        <v>15848</v>
      </c>
      <c r="E9065" s="142" t="s">
        <v>15849</v>
      </c>
      <c r="F9065" s="142" t="s">
        <v>198</v>
      </c>
      <c r="G9065" s="142" t="s">
        <v>8861</v>
      </c>
      <c r="H9065" s="142" t="s">
        <v>24915</v>
      </c>
      <c r="I9065" s="142">
        <v>21</v>
      </c>
      <c r="J9065" s="142">
        <v>21</v>
      </c>
      <c r="K9065" s="142">
        <v>0</v>
      </c>
      <c r="L9065" s="142">
        <v>0</v>
      </c>
      <c r="M9065" s="142">
        <v>0</v>
      </c>
    </row>
    <row r="9066" spans="1:13" x14ac:dyDescent="0.45">
      <c r="A9066" s="142" t="s">
        <v>13012</v>
      </c>
      <c r="B9066" s="142" t="s">
        <v>15337</v>
      </c>
      <c r="C9066" s="142" t="s">
        <v>15847</v>
      </c>
      <c r="D9066" s="142" t="s">
        <v>15848</v>
      </c>
      <c r="E9066" s="142" t="s">
        <v>15849</v>
      </c>
      <c r="F9066" s="142" t="s">
        <v>198</v>
      </c>
      <c r="G9066" s="142" t="s">
        <v>8861</v>
      </c>
      <c r="H9066" s="142" t="s">
        <v>24916</v>
      </c>
      <c r="I9066" s="142">
        <v>821</v>
      </c>
      <c r="J9066" s="142">
        <v>622</v>
      </c>
      <c r="K9066" s="142">
        <v>0</v>
      </c>
      <c r="L9066" s="142">
        <v>58</v>
      </c>
      <c r="M9066" s="142">
        <v>141</v>
      </c>
    </row>
    <row r="9067" spans="1:13" x14ac:dyDescent="0.45">
      <c r="A9067" s="142" t="s">
        <v>13267</v>
      </c>
      <c r="B9067" s="142" t="s">
        <v>15451</v>
      </c>
      <c r="C9067" s="142" t="s">
        <v>15847</v>
      </c>
      <c r="D9067" s="142" t="s">
        <v>15848</v>
      </c>
      <c r="E9067" s="142" t="s">
        <v>15849</v>
      </c>
      <c r="F9067" s="142" t="s">
        <v>198</v>
      </c>
      <c r="G9067" s="142" t="s">
        <v>8861</v>
      </c>
      <c r="H9067" s="142" t="s">
        <v>24917</v>
      </c>
      <c r="I9067" s="142">
        <v>146</v>
      </c>
      <c r="J9067" s="142">
        <v>123</v>
      </c>
      <c r="K9067" s="142">
        <v>0</v>
      </c>
      <c r="L9067" s="142">
        <v>0</v>
      </c>
      <c r="M9067" s="142">
        <v>23</v>
      </c>
    </row>
    <row r="9068" spans="1:13" x14ac:dyDescent="0.45">
      <c r="A9068" s="142" t="s">
        <v>14057</v>
      </c>
      <c r="B9068" s="142" t="s">
        <v>15397</v>
      </c>
      <c r="C9068" s="142" t="s">
        <v>15860</v>
      </c>
      <c r="D9068" s="142" t="s">
        <v>15861</v>
      </c>
      <c r="E9068" s="142" t="s">
        <v>15849</v>
      </c>
      <c r="F9068" s="142" t="s">
        <v>198</v>
      </c>
      <c r="G9068" s="142" t="s">
        <v>8861</v>
      </c>
      <c r="H9068" s="142" t="s">
        <v>24918</v>
      </c>
      <c r="I9068" s="142">
        <v>64</v>
      </c>
      <c r="J9068" s="142">
        <v>64</v>
      </c>
      <c r="K9068" s="142">
        <v>0</v>
      </c>
      <c r="L9068" s="142">
        <v>0</v>
      </c>
      <c r="M9068" s="142">
        <v>0</v>
      </c>
    </row>
    <row r="9069" spans="1:13" x14ac:dyDescent="0.45">
      <c r="A9069" s="142" t="s">
        <v>13308</v>
      </c>
      <c r="B9069" s="142" t="s">
        <v>15608</v>
      </c>
      <c r="C9069" s="142" t="s">
        <v>15847</v>
      </c>
      <c r="D9069" s="142" t="s">
        <v>15848</v>
      </c>
      <c r="E9069" s="142" t="s">
        <v>15849</v>
      </c>
      <c r="F9069" s="142" t="s">
        <v>199</v>
      </c>
      <c r="G9069" s="142" t="s">
        <v>5384</v>
      </c>
      <c r="H9069" s="142" t="s">
        <v>24919</v>
      </c>
      <c r="I9069" s="142">
        <v>1</v>
      </c>
      <c r="J9069" s="142">
        <v>0</v>
      </c>
      <c r="K9069" s="142">
        <v>0</v>
      </c>
      <c r="L9069" s="142">
        <v>0</v>
      </c>
      <c r="M9069" s="142">
        <v>1</v>
      </c>
    </row>
    <row r="9070" spans="1:13" x14ac:dyDescent="0.45">
      <c r="A9070" s="142" t="s">
        <v>13023</v>
      </c>
      <c r="B9070" s="142" t="s">
        <v>15571</v>
      </c>
      <c r="C9070" s="142" t="s">
        <v>15847</v>
      </c>
      <c r="D9070" s="142" t="s">
        <v>15848</v>
      </c>
      <c r="E9070" s="142" t="s">
        <v>15849</v>
      </c>
      <c r="F9070" s="142" t="s">
        <v>199</v>
      </c>
      <c r="G9070" s="142" t="s">
        <v>5384</v>
      </c>
      <c r="H9070" s="142" t="s">
        <v>24920</v>
      </c>
      <c r="I9070" s="142">
        <v>77</v>
      </c>
      <c r="J9070" s="142">
        <v>56</v>
      </c>
      <c r="K9070" s="142">
        <v>0</v>
      </c>
      <c r="L9070" s="142">
        <v>21</v>
      </c>
      <c r="M9070" s="142">
        <v>0</v>
      </c>
    </row>
    <row r="9071" spans="1:13" x14ac:dyDescent="0.45">
      <c r="A9071" s="142" t="s">
        <v>13113</v>
      </c>
      <c r="B9071" s="142" t="s">
        <v>14503</v>
      </c>
      <c r="C9071" s="142" t="s">
        <v>15860</v>
      </c>
      <c r="D9071" s="142" t="s">
        <v>15861</v>
      </c>
      <c r="E9071" s="142" t="s">
        <v>15849</v>
      </c>
      <c r="F9071" s="142" t="s">
        <v>199</v>
      </c>
      <c r="G9071" s="142" t="s">
        <v>5384</v>
      </c>
      <c r="H9071" s="142" t="s">
        <v>24921</v>
      </c>
      <c r="I9071" s="142">
        <v>5</v>
      </c>
      <c r="J9071" s="142">
        <v>0</v>
      </c>
      <c r="K9071" s="142">
        <v>0</v>
      </c>
      <c r="L9071" s="142">
        <v>5</v>
      </c>
      <c r="M9071" s="142">
        <v>0</v>
      </c>
    </row>
    <row r="9072" spans="1:13" x14ac:dyDescent="0.45">
      <c r="A9072" s="142" t="s">
        <v>13159</v>
      </c>
      <c r="B9072" s="142" t="s">
        <v>14521</v>
      </c>
      <c r="C9072" s="142" t="s">
        <v>15860</v>
      </c>
      <c r="D9072" s="142" t="s">
        <v>15861</v>
      </c>
      <c r="E9072" s="142" t="s">
        <v>15849</v>
      </c>
      <c r="F9072" s="142" t="s">
        <v>199</v>
      </c>
      <c r="G9072" s="142" t="s">
        <v>5384</v>
      </c>
      <c r="H9072" s="142" t="s">
        <v>24922</v>
      </c>
      <c r="I9072" s="142">
        <v>15</v>
      </c>
      <c r="J9072" s="142">
        <v>0</v>
      </c>
      <c r="K9072" s="142">
        <v>0</v>
      </c>
      <c r="L9072" s="142">
        <v>15</v>
      </c>
      <c r="M9072" s="142">
        <v>0</v>
      </c>
    </row>
    <row r="9073" spans="1:13" x14ac:dyDescent="0.45">
      <c r="A9073" s="142" t="s">
        <v>13000</v>
      </c>
      <c r="B9073" s="142" t="s">
        <v>14610</v>
      </c>
      <c r="C9073" s="142" t="s">
        <v>15847</v>
      </c>
      <c r="D9073" s="142" t="s">
        <v>15848</v>
      </c>
      <c r="E9073" s="142" t="s">
        <v>15849</v>
      </c>
      <c r="F9073" s="142" t="s">
        <v>199</v>
      </c>
      <c r="G9073" s="142" t="s">
        <v>5384</v>
      </c>
      <c r="H9073" s="142" t="s">
        <v>24923</v>
      </c>
      <c r="I9073" s="142">
        <v>99</v>
      </c>
      <c r="J9073" s="142">
        <v>80</v>
      </c>
      <c r="K9073" s="142">
        <v>0</v>
      </c>
      <c r="L9073" s="142">
        <v>0</v>
      </c>
      <c r="M9073" s="142">
        <v>19</v>
      </c>
    </row>
    <row r="9074" spans="1:13" x14ac:dyDescent="0.45">
      <c r="A9074" s="142" t="s">
        <v>13049</v>
      </c>
      <c r="B9074" s="142" t="s">
        <v>14534</v>
      </c>
      <c r="C9074" s="142" t="s">
        <v>15860</v>
      </c>
      <c r="D9074" s="142" t="s">
        <v>15861</v>
      </c>
      <c r="E9074" s="142" t="s">
        <v>15849</v>
      </c>
      <c r="F9074" s="142" t="s">
        <v>199</v>
      </c>
      <c r="G9074" s="142" t="s">
        <v>5384</v>
      </c>
      <c r="H9074" s="142" t="s">
        <v>24924</v>
      </c>
      <c r="I9074" s="142">
        <v>12</v>
      </c>
      <c r="J9074" s="142">
        <v>0</v>
      </c>
      <c r="K9074" s="142">
        <v>0</v>
      </c>
      <c r="L9074" s="142">
        <v>12</v>
      </c>
      <c r="M9074" s="142">
        <v>0</v>
      </c>
    </row>
    <row r="9075" spans="1:13" x14ac:dyDescent="0.45">
      <c r="A9075" s="142" t="s">
        <v>13168</v>
      </c>
      <c r="B9075" s="142" t="s">
        <v>14486</v>
      </c>
      <c r="C9075" s="142" t="s">
        <v>15860</v>
      </c>
      <c r="D9075" s="142" t="s">
        <v>15861</v>
      </c>
      <c r="E9075" s="142" t="s">
        <v>15849</v>
      </c>
      <c r="F9075" s="142" t="s">
        <v>199</v>
      </c>
      <c r="G9075" s="142" t="s">
        <v>5384</v>
      </c>
      <c r="H9075" s="142" t="s">
        <v>24925</v>
      </c>
      <c r="I9075" s="142">
        <v>1</v>
      </c>
      <c r="J9075" s="142">
        <v>0</v>
      </c>
      <c r="K9075" s="142">
        <v>0</v>
      </c>
      <c r="L9075" s="142">
        <v>1</v>
      </c>
      <c r="M9075" s="142">
        <v>0</v>
      </c>
    </row>
    <row r="9076" spans="1:13" x14ac:dyDescent="0.45">
      <c r="A9076" s="142" t="s">
        <v>13199</v>
      </c>
      <c r="B9076" s="142" t="s">
        <v>15362</v>
      </c>
      <c r="C9076" s="142" t="s">
        <v>15847</v>
      </c>
      <c r="D9076" s="142" t="s">
        <v>15848</v>
      </c>
      <c r="E9076" s="142" t="s">
        <v>15849</v>
      </c>
      <c r="F9076" s="142" t="s">
        <v>199</v>
      </c>
      <c r="G9076" s="142" t="s">
        <v>5384</v>
      </c>
      <c r="H9076" s="142" t="s">
        <v>24926</v>
      </c>
      <c r="I9076" s="142">
        <v>402</v>
      </c>
      <c r="J9076" s="142">
        <v>335</v>
      </c>
      <c r="K9076" s="142">
        <v>0</v>
      </c>
      <c r="L9076" s="142">
        <v>8</v>
      </c>
      <c r="M9076" s="142">
        <v>59</v>
      </c>
    </row>
    <row r="9077" spans="1:13" x14ac:dyDescent="0.45">
      <c r="A9077" s="142" t="s">
        <v>13002</v>
      </c>
      <c r="B9077" s="142" t="s">
        <v>15376</v>
      </c>
      <c r="C9077" s="142" t="s">
        <v>15847</v>
      </c>
      <c r="D9077" s="142" t="s">
        <v>15848</v>
      </c>
      <c r="E9077" s="142" t="s">
        <v>15849</v>
      </c>
      <c r="F9077" s="142" t="s">
        <v>199</v>
      </c>
      <c r="G9077" s="142" t="s">
        <v>5384</v>
      </c>
      <c r="H9077" s="142" t="s">
        <v>24927</v>
      </c>
      <c r="I9077" s="142">
        <v>198</v>
      </c>
      <c r="J9077" s="142">
        <v>131</v>
      </c>
      <c r="K9077" s="142">
        <v>0</v>
      </c>
      <c r="L9077" s="142">
        <v>33</v>
      </c>
      <c r="M9077" s="142">
        <v>34</v>
      </c>
    </row>
    <row r="9078" spans="1:13" x14ac:dyDescent="0.45">
      <c r="A9078" s="142" t="s">
        <v>13178</v>
      </c>
      <c r="B9078" s="142" t="s">
        <v>14683</v>
      </c>
      <c r="C9078" s="142" t="s">
        <v>15847</v>
      </c>
      <c r="D9078" s="142" t="s">
        <v>15848</v>
      </c>
      <c r="E9078" s="142" t="s">
        <v>15849</v>
      </c>
      <c r="F9078" s="142" t="s">
        <v>199</v>
      </c>
      <c r="G9078" s="142" t="s">
        <v>5384</v>
      </c>
      <c r="H9078" s="142" t="s">
        <v>24928</v>
      </c>
      <c r="I9078" s="142">
        <v>28</v>
      </c>
      <c r="J9078" s="142">
        <v>28</v>
      </c>
      <c r="K9078" s="142">
        <v>0</v>
      </c>
      <c r="L9078" s="142">
        <v>0</v>
      </c>
      <c r="M9078" s="142">
        <v>0</v>
      </c>
    </row>
    <row r="9079" spans="1:13" x14ac:dyDescent="0.45">
      <c r="A9079" s="142" t="s">
        <v>13076</v>
      </c>
      <c r="B9079" s="142" t="s">
        <v>14636</v>
      </c>
      <c r="C9079" s="142" t="s">
        <v>15847</v>
      </c>
      <c r="D9079" s="142" t="s">
        <v>15848</v>
      </c>
      <c r="E9079" s="142" t="s">
        <v>15849</v>
      </c>
      <c r="F9079" s="142" t="s">
        <v>199</v>
      </c>
      <c r="G9079" s="142" t="s">
        <v>5384</v>
      </c>
      <c r="H9079" s="142" t="s">
        <v>24929</v>
      </c>
      <c r="I9079" s="142">
        <v>4</v>
      </c>
      <c r="J9079" s="142">
        <v>0</v>
      </c>
      <c r="K9079" s="142">
        <v>0</v>
      </c>
      <c r="L9079" s="142">
        <v>0</v>
      </c>
      <c r="M9079" s="142">
        <v>4</v>
      </c>
    </row>
    <row r="9080" spans="1:13" x14ac:dyDescent="0.45">
      <c r="A9080" s="142" t="s">
        <v>13005</v>
      </c>
      <c r="B9080" s="142" t="s">
        <v>15475</v>
      </c>
      <c r="C9080" s="142" t="s">
        <v>15847</v>
      </c>
      <c r="D9080" s="142" t="s">
        <v>15848</v>
      </c>
      <c r="E9080" s="142" t="s">
        <v>15849</v>
      </c>
      <c r="F9080" s="142" t="s">
        <v>199</v>
      </c>
      <c r="G9080" s="142" t="s">
        <v>5384</v>
      </c>
      <c r="H9080" s="142" t="s">
        <v>24930</v>
      </c>
      <c r="I9080" s="142">
        <v>3</v>
      </c>
      <c r="J9080" s="142">
        <v>0</v>
      </c>
      <c r="K9080" s="142">
        <v>0</v>
      </c>
      <c r="L9080" s="142">
        <v>0</v>
      </c>
      <c r="M9080" s="142">
        <v>3</v>
      </c>
    </row>
    <row r="9081" spans="1:13" x14ac:dyDescent="0.45">
      <c r="A9081" s="142" t="s">
        <v>13006</v>
      </c>
      <c r="B9081" s="142" t="s">
        <v>15288</v>
      </c>
      <c r="C9081" s="142" t="s">
        <v>15847</v>
      </c>
      <c r="D9081" s="142" t="s">
        <v>15848</v>
      </c>
      <c r="E9081" s="142" t="s">
        <v>15849</v>
      </c>
      <c r="F9081" s="142" t="s">
        <v>199</v>
      </c>
      <c r="G9081" s="142" t="s">
        <v>5384</v>
      </c>
      <c r="H9081" s="142" t="s">
        <v>24931</v>
      </c>
      <c r="I9081" s="142">
        <v>1</v>
      </c>
      <c r="J9081" s="142">
        <v>0</v>
      </c>
      <c r="K9081" s="142">
        <v>0</v>
      </c>
      <c r="L9081" s="142">
        <v>0</v>
      </c>
      <c r="M9081" s="142">
        <v>1</v>
      </c>
    </row>
    <row r="9082" spans="1:13" x14ac:dyDescent="0.45">
      <c r="A9082" s="142" t="s">
        <v>13054</v>
      </c>
      <c r="B9082" s="142" t="s">
        <v>15604</v>
      </c>
      <c r="C9082" s="142" t="s">
        <v>15847</v>
      </c>
      <c r="D9082" s="142" t="s">
        <v>15848</v>
      </c>
      <c r="E9082" s="142" t="s">
        <v>15849</v>
      </c>
      <c r="F9082" s="142" t="s">
        <v>199</v>
      </c>
      <c r="G9082" s="142" t="s">
        <v>5384</v>
      </c>
      <c r="H9082" s="142" t="s">
        <v>24932</v>
      </c>
      <c r="I9082" s="142">
        <v>24</v>
      </c>
      <c r="J9082" s="142">
        <v>0</v>
      </c>
      <c r="K9082" s="142">
        <v>0</v>
      </c>
      <c r="L9082" s="142">
        <v>0</v>
      </c>
      <c r="M9082" s="142">
        <v>24</v>
      </c>
    </row>
    <row r="9083" spans="1:13" x14ac:dyDescent="0.45">
      <c r="A9083" s="142" t="s">
        <v>13131</v>
      </c>
      <c r="B9083" s="142" t="s">
        <v>15233</v>
      </c>
      <c r="C9083" s="142" t="s">
        <v>15860</v>
      </c>
      <c r="D9083" s="142" t="s">
        <v>15861</v>
      </c>
      <c r="E9083" s="142" t="s">
        <v>15849</v>
      </c>
      <c r="F9083" s="142" t="s">
        <v>199</v>
      </c>
      <c r="G9083" s="142" t="s">
        <v>5384</v>
      </c>
      <c r="H9083" s="142" t="s">
        <v>24933</v>
      </c>
      <c r="I9083" s="142">
        <v>259</v>
      </c>
      <c r="J9083" s="142">
        <v>0</v>
      </c>
      <c r="K9083" s="142">
        <v>0</v>
      </c>
      <c r="L9083" s="142">
        <v>259</v>
      </c>
      <c r="M9083" s="142">
        <v>0</v>
      </c>
    </row>
    <row r="9084" spans="1:13" x14ac:dyDescent="0.45">
      <c r="A9084" s="142" t="s">
        <v>13341</v>
      </c>
      <c r="B9084" s="142" t="s">
        <v>14530</v>
      </c>
      <c r="C9084" s="142" t="s">
        <v>15860</v>
      </c>
      <c r="D9084" s="142" t="s">
        <v>15861</v>
      </c>
      <c r="E9084" s="142" t="s">
        <v>15849</v>
      </c>
      <c r="F9084" s="142" t="s">
        <v>199</v>
      </c>
      <c r="G9084" s="142" t="s">
        <v>5384</v>
      </c>
      <c r="H9084" s="142" t="s">
        <v>24934</v>
      </c>
      <c r="I9084" s="142">
        <v>13</v>
      </c>
      <c r="J9084" s="142">
        <v>13</v>
      </c>
      <c r="K9084" s="142">
        <v>0</v>
      </c>
      <c r="L9084" s="142">
        <v>0</v>
      </c>
      <c r="M9084" s="142">
        <v>0</v>
      </c>
    </row>
    <row r="9085" spans="1:13" x14ac:dyDescent="0.45">
      <c r="A9085" s="142" t="s">
        <v>13133</v>
      </c>
      <c r="B9085" s="142" t="s">
        <v>15291</v>
      </c>
      <c r="C9085" s="142" t="s">
        <v>15847</v>
      </c>
      <c r="D9085" s="142" t="s">
        <v>15848</v>
      </c>
      <c r="E9085" s="142" t="s">
        <v>15849</v>
      </c>
      <c r="F9085" s="142" t="s">
        <v>199</v>
      </c>
      <c r="G9085" s="142" t="s">
        <v>5384</v>
      </c>
      <c r="H9085" s="142" t="s">
        <v>24935</v>
      </c>
      <c r="I9085" s="142">
        <v>625</v>
      </c>
      <c r="J9085" s="142">
        <v>482</v>
      </c>
      <c r="K9085" s="142">
        <v>92</v>
      </c>
      <c r="L9085" s="142">
        <v>26</v>
      </c>
      <c r="M9085" s="142">
        <v>25</v>
      </c>
    </row>
    <row r="9086" spans="1:13" x14ac:dyDescent="0.45">
      <c r="A9086" s="142" t="s">
        <v>13135</v>
      </c>
      <c r="B9086" s="142" t="s">
        <v>15575</v>
      </c>
      <c r="C9086" s="142" t="s">
        <v>15847</v>
      </c>
      <c r="D9086" s="142" t="s">
        <v>15848</v>
      </c>
      <c r="E9086" s="142" t="s">
        <v>15849</v>
      </c>
      <c r="F9086" s="142" t="s">
        <v>199</v>
      </c>
      <c r="G9086" s="142" t="s">
        <v>5384</v>
      </c>
      <c r="H9086" s="142" t="s">
        <v>24936</v>
      </c>
      <c r="I9086" s="142">
        <v>313</v>
      </c>
      <c r="J9086" s="142">
        <v>278</v>
      </c>
      <c r="K9086" s="142">
        <v>0</v>
      </c>
      <c r="L9086" s="142">
        <v>1</v>
      </c>
      <c r="M9086" s="142">
        <v>34</v>
      </c>
    </row>
    <row r="9087" spans="1:13" x14ac:dyDescent="0.45">
      <c r="A9087" s="142" t="s">
        <v>13055</v>
      </c>
      <c r="B9087" s="142" t="s">
        <v>14595</v>
      </c>
      <c r="C9087" s="142" t="s">
        <v>15847</v>
      </c>
      <c r="D9087" s="142" t="s">
        <v>15848</v>
      </c>
      <c r="E9087" s="142" t="s">
        <v>15849</v>
      </c>
      <c r="F9087" s="142" t="s">
        <v>199</v>
      </c>
      <c r="G9087" s="142" t="s">
        <v>5384</v>
      </c>
      <c r="H9087" s="142" t="s">
        <v>24937</v>
      </c>
      <c r="I9087" s="142">
        <v>25</v>
      </c>
      <c r="J9087" s="142">
        <v>0</v>
      </c>
      <c r="K9087" s="142">
        <v>0</v>
      </c>
      <c r="L9087" s="142">
        <v>25</v>
      </c>
      <c r="M9087" s="142">
        <v>0</v>
      </c>
    </row>
    <row r="9088" spans="1:13" x14ac:dyDescent="0.45">
      <c r="A9088" s="142" t="s">
        <v>13104</v>
      </c>
      <c r="B9088" s="142" t="s">
        <v>14622</v>
      </c>
      <c r="C9088" s="142" t="s">
        <v>15847</v>
      </c>
      <c r="D9088" s="142" t="s">
        <v>15848</v>
      </c>
      <c r="E9088" s="142" t="s">
        <v>15849</v>
      </c>
      <c r="F9088" s="142" t="s">
        <v>199</v>
      </c>
      <c r="G9088" s="142" t="s">
        <v>5384</v>
      </c>
      <c r="H9088" s="142" t="s">
        <v>24938</v>
      </c>
      <c r="I9088" s="142">
        <v>174</v>
      </c>
      <c r="J9088" s="142">
        <v>116</v>
      </c>
      <c r="K9088" s="142">
        <v>0</v>
      </c>
      <c r="L9088" s="142">
        <v>24</v>
      </c>
      <c r="M9088" s="142">
        <v>34</v>
      </c>
    </row>
    <row r="9089" spans="1:13" x14ac:dyDescent="0.45">
      <c r="A9089" s="142" t="s">
        <v>13033</v>
      </c>
      <c r="B9089" s="142" t="s">
        <v>15276</v>
      </c>
      <c r="C9089" s="142" t="s">
        <v>15847</v>
      </c>
      <c r="D9089" s="142" t="s">
        <v>15848</v>
      </c>
      <c r="E9089" s="142" t="s">
        <v>15849</v>
      </c>
      <c r="F9089" s="142" t="s">
        <v>199</v>
      </c>
      <c r="G9089" s="142" t="s">
        <v>5384</v>
      </c>
      <c r="H9089" s="142" t="s">
        <v>24939</v>
      </c>
      <c r="I9089" s="142">
        <v>17</v>
      </c>
      <c r="J9089" s="142">
        <v>1</v>
      </c>
      <c r="K9089" s="142">
        <v>0</v>
      </c>
      <c r="L9089" s="142">
        <v>0</v>
      </c>
      <c r="M9089" s="142">
        <v>16</v>
      </c>
    </row>
    <row r="9090" spans="1:13" x14ac:dyDescent="0.45">
      <c r="A9090" s="142" t="s">
        <v>13034</v>
      </c>
      <c r="B9090" s="142" t="s">
        <v>15562</v>
      </c>
      <c r="C9090" s="142" t="s">
        <v>15847</v>
      </c>
      <c r="D9090" s="142" t="s">
        <v>15848</v>
      </c>
      <c r="E9090" s="142" t="s">
        <v>15849</v>
      </c>
      <c r="F9090" s="142" t="s">
        <v>199</v>
      </c>
      <c r="G9090" s="142" t="s">
        <v>5384</v>
      </c>
      <c r="H9090" s="142" t="s">
        <v>24940</v>
      </c>
      <c r="I9090" s="142">
        <v>25</v>
      </c>
      <c r="J9090" s="142">
        <v>0</v>
      </c>
      <c r="K9090" s="142">
        <v>0</v>
      </c>
      <c r="L9090" s="142">
        <v>25</v>
      </c>
      <c r="M9090" s="142">
        <v>0</v>
      </c>
    </row>
    <row r="9091" spans="1:13" x14ac:dyDescent="0.45">
      <c r="A9091" s="142" t="s">
        <v>13037</v>
      </c>
      <c r="B9091" s="142" t="s">
        <v>14519</v>
      </c>
      <c r="C9091" s="142" t="s">
        <v>15847</v>
      </c>
      <c r="D9091" s="142" t="s">
        <v>15848</v>
      </c>
      <c r="E9091" s="142" t="s">
        <v>15849</v>
      </c>
      <c r="F9091" s="142" t="s">
        <v>199</v>
      </c>
      <c r="G9091" s="142" t="s">
        <v>5384</v>
      </c>
      <c r="H9091" s="142" t="s">
        <v>24941</v>
      </c>
      <c r="I9091" s="142">
        <v>10</v>
      </c>
      <c r="J9091" s="142">
        <v>0</v>
      </c>
      <c r="K9091" s="142">
        <v>0</v>
      </c>
      <c r="L9091" s="142">
        <v>10</v>
      </c>
      <c r="M9091" s="142">
        <v>0</v>
      </c>
    </row>
    <row r="9092" spans="1:13" x14ac:dyDescent="0.45">
      <c r="A9092" s="142" t="s">
        <v>13038</v>
      </c>
      <c r="B9092" s="142" t="s">
        <v>14646</v>
      </c>
      <c r="C9092" s="142" t="s">
        <v>15847</v>
      </c>
      <c r="D9092" s="142" t="s">
        <v>15848</v>
      </c>
      <c r="E9092" s="142" t="s">
        <v>15849</v>
      </c>
      <c r="F9092" s="142" t="s">
        <v>199</v>
      </c>
      <c r="G9092" s="142" t="s">
        <v>5384</v>
      </c>
      <c r="H9092" s="142" t="s">
        <v>24942</v>
      </c>
      <c r="I9092" s="142">
        <v>11</v>
      </c>
      <c r="J9092" s="142">
        <v>0</v>
      </c>
      <c r="K9092" s="142">
        <v>0</v>
      </c>
      <c r="L9092" s="142">
        <v>0</v>
      </c>
      <c r="M9092" s="142">
        <v>11</v>
      </c>
    </row>
    <row r="9093" spans="1:13" x14ac:dyDescent="0.45">
      <c r="A9093" s="142" t="s">
        <v>13039</v>
      </c>
      <c r="B9093" s="142" t="s">
        <v>14647</v>
      </c>
      <c r="C9093" s="142" t="s">
        <v>15847</v>
      </c>
      <c r="D9093" s="142" t="s">
        <v>15848</v>
      </c>
      <c r="E9093" s="142" t="s">
        <v>15849</v>
      </c>
      <c r="F9093" s="142" t="s">
        <v>199</v>
      </c>
      <c r="G9093" s="142" t="s">
        <v>5384</v>
      </c>
      <c r="H9093" s="142" t="s">
        <v>24943</v>
      </c>
      <c r="I9093" s="142">
        <v>48</v>
      </c>
      <c r="J9093" s="142">
        <v>48</v>
      </c>
      <c r="K9093" s="142">
        <v>0</v>
      </c>
      <c r="L9093" s="142">
        <v>0</v>
      </c>
      <c r="M9093" s="142">
        <v>0</v>
      </c>
    </row>
    <row r="9094" spans="1:13" x14ac:dyDescent="0.45">
      <c r="A9094" s="142" t="s">
        <v>13078</v>
      </c>
      <c r="B9094" s="142" t="s">
        <v>15540</v>
      </c>
      <c r="C9094" s="142" t="s">
        <v>15847</v>
      </c>
      <c r="D9094" s="142" t="s">
        <v>15848</v>
      </c>
      <c r="E9094" s="142" t="s">
        <v>15849</v>
      </c>
      <c r="F9094" s="142" t="s">
        <v>199</v>
      </c>
      <c r="G9094" s="142" t="s">
        <v>5384</v>
      </c>
      <c r="H9094" s="142" t="s">
        <v>24944</v>
      </c>
      <c r="I9094" s="142">
        <v>18</v>
      </c>
      <c r="J9094" s="142">
        <v>4</v>
      </c>
      <c r="K9094" s="142">
        <v>0</v>
      </c>
      <c r="L9094" s="142">
        <v>14</v>
      </c>
      <c r="M9094" s="142">
        <v>0</v>
      </c>
    </row>
    <row r="9095" spans="1:13" x14ac:dyDescent="0.45">
      <c r="A9095" s="142" t="s">
        <v>13009</v>
      </c>
      <c r="B9095" s="142" t="s">
        <v>15256</v>
      </c>
      <c r="C9095" s="142" t="s">
        <v>15847</v>
      </c>
      <c r="D9095" s="142" t="s">
        <v>15848</v>
      </c>
      <c r="E9095" s="142" t="s">
        <v>15849</v>
      </c>
      <c r="F9095" s="142" t="s">
        <v>199</v>
      </c>
      <c r="G9095" s="142" t="s">
        <v>5384</v>
      </c>
      <c r="H9095" s="142" t="s">
        <v>24945</v>
      </c>
      <c r="I9095" s="142">
        <v>139</v>
      </c>
      <c r="J9095" s="142">
        <v>139</v>
      </c>
      <c r="K9095" s="142">
        <v>0</v>
      </c>
      <c r="L9095" s="142">
        <v>0</v>
      </c>
      <c r="M9095" s="142">
        <v>0</v>
      </c>
    </row>
    <row r="9096" spans="1:13" x14ac:dyDescent="0.45">
      <c r="A9096" s="142" t="s">
        <v>13203</v>
      </c>
      <c r="B9096" s="142" t="s">
        <v>15446</v>
      </c>
      <c r="C9096" s="142" t="s">
        <v>15847</v>
      </c>
      <c r="D9096" s="142" t="s">
        <v>15848</v>
      </c>
      <c r="E9096" s="142" t="s">
        <v>15849</v>
      </c>
      <c r="F9096" s="142" t="s">
        <v>199</v>
      </c>
      <c r="G9096" s="142" t="s">
        <v>5384</v>
      </c>
      <c r="H9096" s="142" t="s">
        <v>24946</v>
      </c>
      <c r="I9096" s="142">
        <v>87</v>
      </c>
      <c r="J9096" s="142">
        <v>80</v>
      </c>
      <c r="K9096" s="142">
        <v>0</v>
      </c>
      <c r="L9096" s="142">
        <v>0</v>
      </c>
      <c r="M9096" s="142">
        <v>7</v>
      </c>
    </row>
    <row r="9097" spans="1:13" x14ac:dyDescent="0.45">
      <c r="A9097" s="142" t="s">
        <v>13011</v>
      </c>
      <c r="B9097" s="142" t="s">
        <v>14695</v>
      </c>
      <c r="C9097" s="142" t="s">
        <v>15847</v>
      </c>
      <c r="D9097" s="142" t="s">
        <v>15848</v>
      </c>
      <c r="E9097" s="142" t="s">
        <v>15849</v>
      </c>
      <c r="F9097" s="142" t="s">
        <v>199</v>
      </c>
      <c r="G9097" s="142" t="s">
        <v>5384</v>
      </c>
      <c r="H9097" s="142" t="s">
        <v>24947</v>
      </c>
      <c r="I9097" s="142">
        <v>1</v>
      </c>
      <c r="J9097" s="142">
        <v>0</v>
      </c>
      <c r="K9097" s="142">
        <v>0</v>
      </c>
      <c r="L9097" s="142">
        <v>0</v>
      </c>
      <c r="M9097" s="142">
        <v>1</v>
      </c>
    </row>
    <row r="9098" spans="1:13" x14ac:dyDescent="0.45">
      <c r="A9098" s="142" t="s">
        <v>13058</v>
      </c>
      <c r="B9098" s="142" t="s">
        <v>14584</v>
      </c>
      <c r="C9098" s="142" t="s">
        <v>15847</v>
      </c>
      <c r="D9098" s="142" t="s">
        <v>15848</v>
      </c>
      <c r="E9098" s="142" t="s">
        <v>15849</v>
      </c>
      <c r="F9098" s="142" t="s">
        <v>199</v>
      </c>
      <c r="G9098" s="142" t="s">
        <v>5384</v>
      </c>
      <c r="H9098" s="142" t="s">
        <v>24948</v>
      </c>
      <c r="I9098" s="142">
        <v>84</v>
      </c>
      <c r="J9098" s="142">
        <v>68</v>
      </c>
      <c r="K9098" s="142">
        <v>0</v>
      </c>
      <c r="L9098" s="142">
        <v>0</v>
      </c>
      <c r="M9098" s="142">
        <v>16</v>
      </c>
    </row>
    <row r="9099" spans="1:13" x14ac:dyDescent="0.45">
      <c r="A9099" s="142" t="s">
        <v>13042</v>
      </c>
      <c r="B9099" s="142" t="s">
        <v>15489</v>
      </c>
      <c r="C9099" s="142" t="s">
        <v>15847</v>
      </c>
      <c r="D9099" s="142" t="s">
        <v>15848</v>
      </c>
      <c r="E9099" s="142" t="s">
        <v>15849</v>
      </c>
      <c r="F9099" s="142" t="s">
        <v>199</v>
      </c>
      <c r="G9099" s="142" t="s">
        <v>5384</v>
      </c>
      <c r="H9099" s="142" t="s">
        <v>24949</v>
      </c>
      <c r="I9099" s="142">
        <v>41</v>
      </c>
      <c r="J9099" s="142">
        <v>0</v>
      </c>
      <c r="K9099" s="142">
        <v>0</v>
      </c>
      <c r="L9099" s="142">
        <v>41</v>
      </c>
      <c r="M9099" s="142">
        <v>0</v>
      </c>
    </row>
    <row r="9100" spans="1:13" x14ac:dyDescent="0.45">
      <c r="A9100" s="142" t="s">
        <v>13395</v>
      </c>
      <c r="B9100" s="142" t="s">
        <v>15476</v>
      </c>
      <c r="C9100" s="142" t="s">
        <v>15847</v>
      </c>
      <c r="D9100" s="142" t="s">
        <v>15848</v>
      </c>
      <c r="E9100" s="142" t="s">
        <v>15849</v>
      </c>
      <c r="F9100" s="142" t="s">
        <v>199</v>
      </c>
      <c r="G9100" s="142" t="s">
        <v>5384</v>
      </c>
      <c r="H9100" s="142" t="s">
        <v>24950</v>
      </c>
      <c r="I9100" s="142">
        <v>278</v>
      </c>
      <c r="J9100" s="142">
        <v>114</v>
      </c>
      <c r="K9100" s="142">
        <v>0</v>
      </c>
      <c r="L9100" s="142">
        <v>0</v>
      </c>
      <c r="M9100" s="142">
        <v>164</v>
      </c>
    </row>
    <row r="9101" spans="1:13" x14ac:dyDescent="0.45">
      <c r="A9101" s="142" t="s">
        <v>13142</v>
      </c>
      <c r="B9101" s="142" t="s">
        <v>15469</v>
      </c>
      <c r="C9101" s="142" t="s">
        <v>15847</v>
      </c>
      <c r="D9101" s="142" t="s">
        <v>15848</v>
      </c>
      <c r="E9101" s="142" t="s">
        <v>15849</v>
      </c>
      <c r="F9101" s="142" t="s">
        <v>199</v>
      </c>
      <c r="G9101" s="142" t="s">
        <v>5384</v>
      </c>
      <c r="H9101" s="142" t="s">
        <v>24951</v>
      </c>
      <c r="I9101" s="142">
        <v>4897</v>
      </c>
      <c r="J9101" s="142">
        <v>4144</v>
      </c>
      <c r="K9101" s="142">
        <v>69</v>
      </c>
      <c r="L9101" s="142">
        <v>493</v>
      </c>
      <c r="M9101" s="142">
        <v>191</v>
      </c>
    </row>
    <row r="9102" spans="1:13" x14ac:dyDescent="0.45">
      <c r="A9102" s="142" t="s">
        <v>13016</v>
      </c>
      <c r="B9102" s="142" t="s">
        <v>14535</v>
      </c>
      <c r="C9102" s="142" t="s">
        <v>15860</v>
      </c>
      <c r="D9102" s="142" t="s">
        <v>15861</v>
      </c>
      <c r="E9102" s="142" t="s">
        <v>15849</v>
      </c>
      <c r="F9102" s="142" t="s">
        <v>199</v>
      </c>
      <c r="G9102" s="142" t="s">
        <v>5384</v>
      </c>
      <c r="H9102" s="142" t="s">
        <v>24952</v>
      </c>
      <c r="I9102" s="142">
        <v>25</v>
      </c>
      <c r="J9102" s="142">
        <v>0</v>
      </c>
      <c r="K9102" s="142">
        <v>0</v>
      </c>
      <c r="L9102" s="142">
        <v>25</v>
      </c>
      <c r="M9102" s="142">
        <v>0</v>
      </c>
    </row>
    <row r="9103" spans="1:13" x14ac:dyDescent="0.45">
      <c r="A9103" s="142" t="s">
        <v>13308</v>
      </c>
      <c r="B9103" s="142" t="s">
        <v>15608</v>
      </c>
      <c r="C9103" s="142" t="s">
        <v>15847</v>
      </c>
      <c r="D9103" s="142" t="s">
        <v>15848</v>
      </c>
      <c r="E9103" s="142" t="s">
        <v>15849</v>
      </c>
      <c r="F9103" s="142" t="s">
        <v>200</v>
      </c>
      <c r="G9103" s="142" t="s">
        <v>8612</v>
      </c>
      <c r="H9103" s="142" t="s">
        <v>24953</v>
      </c>
      <c r="I9103" s="142">
        <v>27</v>
      </c>
      <c r="J9103" s="142">
        <v>0</v>
      </c>
      <c r="K9103" s="142">
        <v>0</v>
      </c>
      <c r="L9103" s="142">
        <v>0</v>
      </c>
      <c r="M9103" s="142">
        <v>27</v>
      </c>
    </row>
    <row r="9104" spans="1:13" x14ac:dyDescent="0.45">
      <c r="A9104" s="142" t="s">
        <v>13166</v>
      </c>
      <c r="B9104" s="142" t="s">
        <v>15576</v>
      </c>
      <c r="C9104" s="142" t="s">
        <v>15847</v>
      </c>
      <c r="D9104" s="142" t="s">
        <v>15848</v>
      </c>
      <c r="E9104" s="142" t="s">
        <v>15849</v>
      </c>
      <c r="F9104" s="142" t="s">
        <v>200</v>
      </c>
      <c r="G9104" s="142" t="s">
        <v>8612</v>
      </c>
      <c r="H9104" s="142" t="s">
        <v>24954</v>
      </c>
      <c r="I9104" s="142">
        <v>51</v>
      </c>
      <c r="J9104" s="142">
        <v>43</v>
      </c>
      <c r="K9104" s="142">
        <v>0</v>
      </c>
      <c r="L9104" s="142">
        <v>8</v>
      </c>
      <c r="M9104" s="142">
        <v>0</v>
      </c>
    </row>
    <row r="9105" spans="1:13" x14ac:dyDescent="0.45">
      <c r="A9105" s="142" t="s">
        <v>13046</v>
      </c>
      <c r="B9105" s="142" t="s">
        <v>15537</v>
      </c>
      <c r="C9105" s="142" t="s">
        <v>15860</v>
      </c>
      <c r="D9105" s="142" t="s">
        <v>15861</v>
      </c>
      <c r="E9105" s="142" t="s">
        <v>15849</v>
      </c>
      <c r="F9105" s="142" t="s">
        <v>200</v>
      </c>
      <c r="G9105" s="142" t="s">
        <v>8612</v>
      </c>
      <c r="H9105" s="142" t="s">
        <v>24955</v>
      </c>
      <c r="I9105" s="142">
        <v>17</v>
      </c>
      <c r="J9105" s="142">
        <v>0</v>
      </c>
      <c r="K9105" s="142">
        <v>0</v>
      </c>
      <c r="L9105" s="142">
        <v>17</v>
      </c>
      <c r="M9105" s="142">
        <v>0</v>
      </c>
    </row>
    <row r="9106" spans="1:13" x14ac:dyDescent="0.45">
      <c r="A9106" s="142" t="s">
        <v>13167</v>
      </c>
      <c r="B9106" s="142" t="s">
        <v>15418</v>
      </c>
      <c r="C9106" s="142" t="s">
        <v>15847</v>
      </c>
      <c r="D9106" s="142" t="s">
        <v>15848</v>
      </c>
      <c r="E9106" s="142" t="s">
        <v>15849</v>
      </c>
      <c r="F9106" s="142" t="s">
        <v>200</v>
      </c>
      <c r="G9106" s="142" t="s">
        <v>8612</v>
      </c>
      <c r="H9106" s="142" t="s">
        <v>24956</v>
      </c>
      <c r="I9106" s="142">
        <v>63</v>
      </c>
      <c r="J9106" s="142">
        <v>28</v>
      </c>
      <c r="K9106" s="142">
        <v>0</v>
      </c>
      <c r="L9106" s="142">
        <v>0</v>
      </c>
      <c r="M9106" s="142">
        <v>35</v>
      </c>
    </row>
    <row r="9107" spans="1:13" x14ac:dyDescent="0.45">
      <c r="A9107" s="142" t="s">
        <v>13072</v>
      </c>
      <c r="B9107" s="142" t="s">
        <v>15530</v>
      </c>
      <c r="C9107" s="142" t="s">
        <v>15847</v>
      </c>
      <c r="D9107" s="142" t="s">
        <v>15848</v>
      </c>
      <c r="E9107" s="142" t="s">
        <v>15849</v>
      </c>
      <c r="F9107" s="142" t="s">
        <v>200</v>
      </c>
      <c r="G9107" s="142" t="s">
        <v>8612</v>
      </c>
      <c r="H9107" s="142" t="s">
        <v>24957</v>
      </c>
      <c r="I9107" s="142">
        <v>23</v>
      </c>
      <c r="J9107" s="142">
        <v>17</v>
      </c>
      <c r="K9107" s="142">
        <v>0</v>
      </c>
      <c r="L9107" s="142">
        <v>0</v>
      </c>
      <c r="M9107" s="142">
        <v>6</v>
      </c>
    </row>
    <row r="9108" spans="1:13" x14ac:dyDescent="0.45">
      <c r="A9108" s="142" t="s">
        <v>13021</v>
      </c>
      <c r="B9108" s="142" t="s">
        <v>15501</v>
      </c>
      <c r="C9108" s="142" t="s">
        <v>15847</v>
      </c>
      <c r="D9108" s="142" t="s">
        <v>15848</v>
      </c>
      <c r="E9108" s="142" t="s">
        <v>15849</v>
      </c>
      <c r="F9108" s="142" t="s">
        <v>200</v>
      </c>
      <c r="G9108" s="142" t="s">
        <v>8612</v>
      </c>
      <c r="H9108" s="142" t="s">
        <v>24958</v>
      </c>
      <c r="I9108" s="142">
        <v>6</v>
      </c>
      <c r="J9108" s="142">
        <v>0</v>
      </c>
      <c r="K9108" s="142">
        <v>0</v>
      </c>
      <c r="L9108" s="142">
        <v>5</v>
      </c>
      <c r="M9108" s="142">
        <v>1</v>
      </c>
    </row>
    <row r="9109" spans="1:13" x14ac:dyDescent="0.45">
      <c r="A9109" s="142" t="s">
        <v>13047</v>
      </c>
      <c r="B9109" s="142" t="s">
        <v>14616</v>
      </c>
      <c r="C9109" s="142" t="s">
        <v>15847</v>
      </c>
      <c r="D9109" s="142" t="s">
        <v>15848</v>
      </c>
      <c r="E9109" s="142" t="s">
        <v>15849</v>
      </c>
      <c r="F9109" s="142" t="s">
        <v>200</v>
      </c>
      <c r="G9109" s="142" t="s">
        <v>8612</v>
      </c>
      <c r="H9109" s="142" t="s">
        <v>24959</v>
      </c>
      <c r="I9109" s="142">
        <v>96</v>
      </c>
      <c r="J9109" s="142">
        <v>70</v>
      </c>
      <c r="K9109" s="142">
        <v>0</v>
      </c>
      <c r="L9109" s="142">
        <v>0</v>
      </c>
      <c r="M9109" s="142">
        <v>26</v>
      </c>
    </row>
    <row r="9110" spans="1:13" x14ac:dyDescent="0.45">
      <c r="A9110" s="142" t="s">
        <v>13048</v>
      </c>
      <c r="B9110" s="142" t="s">
        <v>14479</v>
      </c>
      <c r="C9110" s="142" t="s">
        <v>15847</v>
      </c>
      <c r="D9110" s="142" t="s">
        <v>15848</v>
      </c>
      <c r="E9110" s="142" t="s">
        <v>15849</v>
      </c>
      <c r="F9110" s="142" t="s">
        <v>200</v>
      </c>
      <c r="G9110" s="142" t="s">
        <v>8612</v>
      </c>
      <c r="H9110" s="142" t="s">
        <v>24960</v>
      </c>
      <c r="I9110" s="142">
        <v>75</v>
      </c>
      <c r="J9110" s="142">
        <v>37</v>
      </c>
      <c r="K9110" s="142">
        <v>0</v>
      </c>
      <c r="L9110" s="142">
        <v>0</v>
      </c>
      <c r="M9110" s="142">
        <v>38</v>
      </c>
    </row>
    <row r="9111" spans="1:13" x14ac:dyDescent="0.45">
      <c r="A9111" s="142" t="s">
        <v>13000</v>
      </c>
      <c r="B9111" s="142" t="s">
        <v>14610</v>
      </c>
      <c r="C9111" s="142" t="s">
        <v>15847</v>
      </c>
      <c r="D9111" s="142" t="s">
        <v>15848</v>
      </c>
      <c r="E9111" s="142" t="s">
        <v>15849</v>
      </c>
      <c r="F9111" s="142" t="s">
        <v>200</v>
      </c>
      <c r="G9111" s="142" t="s">
        <v>8612</v>
      </c>
      <c r="H9111" s="142" t="s">
        <v>24961</v>
      </c>
      <c r="I9111" s="142">
        <v>412</v>
      </c>
      <c r="J9111" s="142">
        <v>234</v>
      </c>
      <c r="K9111" s="142">
        <v>0</v>
      </c>
      <c r="L9111" s="142">
        <v>47</v>
      </c>
      <c r="M9111" s="142">
        <v>131</v>
      </c>
    </row>
    <row r="9112" spans="1:13" x14ac:dyDescent="0.45">
      <c r="A9112" s="142" t="s">
        <v>13074</v>
      </c>
      <c r="B9112" s="142" t="s">
        <v>15405</v>
      </c>
      <c r="C9112" s="142" t="s">
        <v>15847</v>
      </c>
      <c r="D9112" s="142" t="s">
        <v>15848</v>
      </c>
      <c r="E9112" s="142" t="s">
        <v>15849</v>
      </c>
      <c r="F9112" s="142" t="s">
        <v>200</v>
      </c>
      <c r="G9112" s="142" t="s">
        <v>8612</v>
      </c>
      <c r="H9112" s="142" t="s">
        <v>24962</v>
      </c>
      <c r="I9112" s="142">
        <v>101</v>
      </c>
      <c r="J9112" s="142">
        <v>55</v>
      </c>
      <c r="K9112" s="142">
        <v>0</v>
      </c>
      <c r="L9112" s="142">
        <v>0</v>
      </c>
      <c r="M9112" s="142">
        <v>46</v>
      </c>
    </row>
    <row r="9113" spans="1:13" x14ac:dyDescent="0.45">
      <c r="A9113" s="142" t="s">
        <v>13027</v>
      </c>
      <c r="B9113" s="142" t="s">
        <v>14562</v>
      </c>
      <c r="C9113" s="142" t="s">
        <v>15847</v>
      </c>
      <c r="D9113" s="142" t="s">
        <v>15848</v>
      </c>
      <c r="E9113" s="142" t="s">
        <v>15849</v>
      </c>
      <c r="F9113" s="142" t="s">
        <v>200</v>
      </c>
      <c r="G9113" s="142" t="s">
        <v>8612</v>
      </c>
      <c r="H9113" s="142" t="s">
        <v>24963</v>
      </c>
      <c r="I9113" s="142">
        <v>25</v>
      </c>
      <c r="J9113" s="142">
        <v>0</v>
      </c>
      <c r="K9113" s="142">
        <v>0</v>
      </c>
      <c r="L9113" s="142">
        <v>25</v>
      </c>
      <c r="M9113" s="142">
        <v>0</v>
      </c>
    </row>
    <row r="9114" spans="1:13" x14ac:dyDescent="0.45">
      <c r="A9114" s="142" t="s">
        <v>14344</v>
      </c>
      <c r="B9114" s="142" t="s">
        <v>15350</v>
      </c>
      <c r="C9114" s="142" t="s">
        <v>15860</v>
      </c>
      <c r="D9114" s="142" t="s">
        <v>15861</v>
      </c>
      <c r="E9114" s="142" t="s">
        <v>15849</v>
      </c>
      <c r="F9114" s="142" t="s">
        <v>200</v>
      </c>
      <c r="G9114" s="142" t="s">
        <v>8612</v>
      </c>
      <c r="H9114" s="142" t="s">
        <v>24964</v>
      </c>
      <c r="I9114" s="142">
        <v>49</v>
      </c>
      <c r="J9114" s="142">
        <v>0</v>
      </c>
      <c r="K9114" s="142">
        <v>0</v>
      </c>
      <c r="L9114" s="142">
        <v>49</v>
      </c>
      <c r="M9114" s="142">
        <v>0</v>
      </c>
    </row>
    <row r="9115" spans="1:13" x14ac:dyDescent="0.45">
      <c r="A9115" s="142" t="s">
        <v>13028</v>
      </c>
      <c r="B9115" s="142" t="s">
        <v>14462</v>
      </c>
      <c r="C9115" s="142" t="s">
        <v>15847</v>
      </c>
      <c r="D9115" s="142" t="s">
        <v>15848</v>
      </c>
      <c r="E9115" s="142" t="s">
        <v>15849</v>
      </c>
      <c r="F9115" s="142" t="s">
        <v>200</v>
      </c>
      <c r="G9115" s="142" t="s">
        <v>8612</v>
      </c>
      <c r="H9115" s="142" t="s">
        <v>24965</v>
      </c>
      <c r="I9115" s="142">
        <v>23</v>
      </c>
      <c r="J9115" s="142">
        <v>0</v>
      </c>
      <c r="K9115" s="142">
        <v>0</v>
      </c>
      <c r="L9115" s="142">
        <v>0</v>
      </c>
      <c r="M9115" s="142">
        <v>23</v>
      </c>
    </row>
    <row r="9116" spans="1:13" x14ac:dyDescent="0.45">
      <c r="A9116" s="142" t="s">
        <v>13004</v>
      </c>
      <c r="B9116" s="142" t="s">
        <v>15492</v>
      </c>
      <c r="C9116" s="142" t="s">
        <v>15847</v>
      </c>
      <c r="D9116" s="142" t="s">
        <v>15848</v>
      </c>
      <c r="E9116" s="142" t="s">
        <v>15849</v>
      </c>
      <c r="F9116" s="142" t="s">
        <v>200</v>
      </c>
      <c r="G9116" s="142" t="s">
        <v>8612</v>
      </c>
      <c r="H9116" s="142" t="s">
        <v>24966</v>
      </c>
      <c r="I9116" s="142">
        <v>48</v>
      </c>
      <c r="J9116" s="142">
        <v>25</v>
      </c>
      <c r="K9116" s="142">
        <v>0</v>
      </c>
      <c r="L9116" s="142">
        <v>0</v>
      </c>
      <c r="M9116" s="142">
        <v>23</v>
      </c>
    </row>
    <row r="9117" spans="1:13" x14ac:dyDescent="0.45">
      <c r="A9117" s="142" t="s">
        <v>13076</v>
      </c>
      <c r="B9117" s="142" t="s">
        <v>14636</v>
      </c>
      <c r="C9117" s="142" t="s">
        <v>15847</v>
      </c>
      <c r="D9117" s="142" t="s">
        <v>15848</v>
      </c>
      <c r="E9117" s="142" t="s">
        <v>15849</v>
      </c>
      <c r="F9117" s="142" t="s">
        <v>200</v>
      </c>
      <c r="G9117" s="142" t="s">
        <v>8612</v>
      </c>
      <c r="H9117" s="142" t="s">
        <v>24967</v>
      </c>
      <c r="I9117" s="142">
        <v>17</v>
      </c>
      <c r="J9117" s="142">
        <v>6</v>
      </c>
      <c r="K9117" s="142">
        <v>0</v>
      </c>
      <c r="L9117" s="142">
        <v>0</v>
      </c>
      <c r="M9117" s="142">
        <v>11</v>
      </c>
    </row>
    <row r="9118" spans="1:13" x14ac:dyDescent="0.45">
      <c r="A9118" s="142" t="s">
        <v>13005</v>
      </c>
      <c r="B9118" s="142" t="s">
        <v>15475</v>
      </c>
      <c r="C9118" s="142" t="s">
        <v>15847</v>
      </c>
      <c r="D9118" s="142" t="s">
        <v>15848</v>
      </c>
      <c r="E9118" s="142" t="s">
        <v>15849</v>
      </c>
      <c r="F9118" s="142" t="s">
        <v>200</v>
      </c>
      <c r="G9118" s="142" t="s">
        <v>8612</v>
      </c>
      <c r="H9118" s="142" t="s">
        <v>24968</v>
      </c>
      <c r="I9118" s="142">
        <v>44</v>
      </c>
      <c r="J9118" s="142">
        <v>43</v>
      </c>
      <c r="K9118" s="142">
        <v>0</v>
      </c>
      <c r="L9118" s="142">
        <v>0</v>
      </c>
      <c r="M9118" s="142">
        <v>1</v>
      </c>
    </row>
    <row r="9119" spans="1:13" x14ac:dyDescent="0.45">
      <c r="A9119" s="142" t="s">
        <v>13006</v>
      </c>
      <c r="B9119" s="142" t="s">
        <v>15288</v>
      </c>
      <c r="C9119" s="142" t="s">
        <v>15847</v>
      </c>
      <c r="D9119" s="142" t="s">
        <v>15848</v>
      </c>
      <c r="E9119" s="142" t="s">
        <v>15849</v>
      </c>
      <c r="F9119" s="142" t="s">
        <v>200</v>
      </c>
      <c r="G9119" s="142" t="s">
        <v>8612</v>
      </c>
      <c r="H9119" s="142" t="s">
        <v>24969</v>
      </c>
      <c r="I9119" s="142">
        <v>434</v>
      </c>
      <c r="J9119" s="142">
        <v>231</v>
      </c>
      <c r="K9119" s="142">
        <v>0</v>
      </c>
      <c r="L9119" s="142">
        <v>0</v>
      </c>
      <c r="M9119" s="142">
        <v>203</v>
      </c>
    </row>
    <row r="9120" spans="1:13" x14ac:dyDescent="0.45">
      <c r="A9120" s="142" t="s">
        <v>13568</v>
      </c>
      <c r="B9120" s="142" t="s">
        <v>15242</v>
      </c>
      <c r="C9120" s="142" t="s">
        <v>15847</v>
      </c>
      <c r="D9120" s="142" t="s">
        <v>15848</v>
      </c>
      <c r="E9120" s="142" t="s">
        <v>15849</v>
      </c>
      <c r="F9120" s="142" t="s">
        <v>200</v>
      </c>
      <c r="G9120" s="142" t="s">
        <v>8612</v>
      </c>
      <c r="H9120" s="142" t="s">
        <v>24970</v>
      </c>
      <c r="I9120" s="142">
        <v>118</v>
      </c>
      <c r="J9120" s="142">
        <v>67</v>
      </c>
      <c r="K9120" s="142">
        <v>0</v>
      </c>
      <c r="L9120" s="142">
        <v>37</v>
      </c>
      <c r="M9120" s="142">
        <v>14</v>
      </c>
    </row>
    <row r="9121" spans="1:13" x14ac:dyDescent="0.45">
      <c r="A9121" s="142" t="s">
        <v>13069</v>
      </c>
      <c r="B9121" s="142" t="s">
        <v>14630</v>
      </c>
      <c r="C9121" s="142" t="s">
        <v>15860</v>
      </c>
      <c r="D9121" s="142" t="s">
        <v>15861</v>
      </c>
      <c r="E9121" s="142" t="s">
        <v>15849</v>
      </c>
      <c r="F9121" s="142" t="s">
        <v>200</v>
      </c>
      <c r="G9121" s="142" t="s">
        <v>8612</v>
      </c>
      <c r="H9121" s="142" t="s">
        <v>24971</v>
      </c>
      <c r="I9121" s="142">
        <v>12</v>
      </c>
      <c r="J9121" s="142">
        <v>12</v>
      </c>
      <c r="K9121" s="142">
        <v>0</v>
      </c>
      <c r="L9121" s="142">
        <v>0</v>
      </c>
      <c r="M9121" s="142">
        <v>0</v>
      </c>
    </row>
    <row r="9122" spans="1:13" x14ac:dyDescent="0.45">
      <c r="A9122" s="142" t="s">
        <v>13039</v>
      </c>
      <c r="B9122" s="142" t="s">
        <v>14647</v>
      </c>
      <c r="C9122" s="142" t="s">
        <v>15847</v>
      </c>
      <c r="D9122" s="142" t="s">
        <v>15848</v>
      </c>
      <c r="E9122" s="142" t="s">
        <v>15849</v>
      </c>
      <c r="F9122" s="142" t="s">
        <v>200</v>
      </c>
      <c r="G9122" s="142" t="s">
        <v>8612</v>
      </c>
      <c r="H9122" s="142" t="s">
        <v>24972</v>
      </c>
      <c r="I9122" s="142">
        <v>9</v>
      </c>
      <c r="J9122" s="142">
        <v>9</v>
      </c>
      <c r="K9122" s="142">
        <v>0</v>
      </c>
      <c r="L9122" s="142">
        <v>0</v>
      </c>
      <c r="M9122" s="142">
        <v>0</v>
      </c>
    </row>
    <row r="9123" spans="1:13" x14ac:dyDescent="0.45">
      <c r="A9123" s="142" t="s">
        <v>13011</v>
      </c>
      <c r="B9123" s="142" t="s">
        <v>14695</v>
      </c>
      <c r="C9123" s="142" t="s">
        <v>15847</v>
      </c>
      <c r="D9123" s="142" t="s">
        <v>15848</v>
      </c>
      <c r="E9123" s="142" t="s">
        <v>15849</v>
      </c>
      <c r="F9123" s="142" t="s">
        <v>200</v>
      </c>
      <c r="G9123" s="142" t="s">
        <v>8612</v>
      </c>
      <c r="H9123" s="142" t="s">
        <v>24973</v>
      </c>
      <c r="I9123" s="142">
        <v>310</v>
      </c>
      <c r="J9123" s="142">
        <v>223</v>
      </c>
      <c r="K9123" s="142">
        <v>0</v>
      </c>
      <c r="L9123" s="142">
        <v>0</v>
      </c>
      <c r="M9123" s="142">
        <v>87</v>
      </c>
    </row>
    <row r="9124" spans="1:13" x14ac:dyDescent="0.45">
      <c r="A9124" s="142" t="s">
        <v>13058</v>
      </c>
      <c r="B9124" s="142" t="s">
        <v>14584</v>
      </c>
      <c r="C9124" s="142" t="s">
        <v>15847</v>
      </c>
      <c r="D9124" s="142" t="s">
        <v>15848</v>
      </c>
      <c r="E9124" s="142" t="s">
        <v>15849</v>
      </c>
      <c r="F9124" s="142" t="s">
        <v>200</v>
      </c>
      <c r="G9124" s="142" t="s">
        <v>8612</v>
      </c>
      <c r="H9124" s="142" t="s">
        <v>24974</v>
      </c>
      <c r="I9124" s="142">
        <v>1</v>
      </c>
      <c r="J9124" s="142">
        <v>0</v>
      </c>
      <c r="K9124" s="142">
        <v>0</v>
      </c>
      <c r="L9124" s="142">
        <v>0</v>
      </c>
      <c r="M9124" s="142">
        <v>1</v>
      </c>
    </row>
    <row r="9125" spans="1:13" x14ac:dyDescent="0.45">
      <c r="A9125" s="142" t="s">
        <v>13041</v>
      </c>
      <c r="B9125" s="142" t="s">
        <v>14441</v>
      </c>
      <c r="C9125" s="142" t="s">
        <v>15847</v>
      </c>
      <c r="D9125" s="142" t="s">
        <v>15848</v>
      </c>
      <c r="E9125" s="142" t="s">
        <v>15849</v>
      </c>
      <c r="F9125" s="142" t="s">
        <v>200</v>
      </c>
      <c r="G9125" s="142" t="s">
        <v>8612</v>
      </c>
      <c r="H9125" s="142" t="s">
        <v>24975</v>
      </c>
      <c r="I9125" s="142">
        <v>8</v>
      </c>
      <c r="J9125" s="142">
        <v>0</v>
      </c>
      <c r="K9125" s="142">
        <v>0</v>
      </c>
      <c r="L9125" s="142">
        <v>0</v>
      </c>
      <c r="M9125" s="142">
        <v>8</v>
      </c>
    </row>
    <row r="9126" spans="1:13" x14ac:dyDescent="0.45">
      <c r="A9126" s="142" t="s">
        <v>13205</v>
      </c>
      <c r="B9126" s="142" t="s">
        <v>14496</v>
      </c>
      <c r="C9126" s="142" t="s">
        <v>15847</v>
      </c>
      <c r="D9126" s="142" t="s">
        <v>15848</v>
      </c>
      <c r="E9126" s="142" t="s">
        <v>15849</v>
      </c>
      <c r="F9126" s="142" t="s">
        <v>200</v>
      </c>
      <c r="G9126" s="142" t="s">
        <v>8612</v>
      </c>
      <c r="H9126" s="142" t="s">
        <v>24976</v>
      </c>
      <c r="I9126" s="142">
        <v>24</v>
      </c>
      <c r="J9126" s="142">
        <v>24</v>
      </c>
      <c r="K9126" s="142">
        <v>0</v>
      </c>
      <c r="L9126" s="142">
        <v>0</v>
      </c>
      <c r="M9126" s="142">
        <v>0</v>
      </c>
    </row>
    <row r="9127" spans="1:13" x14ac:dyDescent="0.45">
      <c r="A9127" s="142" t="s">
        <v>13012</v>
      </c>
      <c r="B9127" s="142" t="s">
        <v>15337</v>
      </c>
      <c r="C9127" s="142" t="s">
        <v>15847</v>
      </c>
      <c r="D9127" s="142" t="s">
        <v>15848</v>
      </c>
      <c r="E9127" s="142" t="s">
        <v>15849</v>
      </c>
      <c r="F9127" s="142" t="s">
        <v>200</v>
      </c>
      <c r="G9127" s="142" t="s">
        <v>8612</v>
      </c>
      <c r="H9127" s="142" t="s">
        <v>24977</v>
      </c>
      <c r="I9127" s="142">
        <v>183</v>
      </c>
      <c r="J9127" s="142">
        <v>109</v>
      </c>
      <c r="K9127" s="142">
        <v>0</v>
      </c>
      <c r="L9127" s="142">
        <v>24</v>
      </c>
      <c r="M9127" s="142">
        <v>50</v>
      </c>
    </row>
    <row r="9128" spans="1:13" x14ac:dyDescent="0.45">
      <c r="A9128" s="142" t="s">
        <v>13060</v>
      </c>
      <c r="B9128" s="142" t="s">
        <v>14470</v>
      </c>
      <c r="C9128" s="142" t="s">
        <v>15847</v>
      </c>
      <c r="D9128" s="142" t="s">
        <v>15848</v>
      </c>
      <c r="E9128" s="142" t="s">
        <v>15849</v>
      </c>
      <c r="F9128" s="142" t="s">
        <v>200</v>
      </c>
      <c r="G9128" s="142" t="s">
        <v>8612</v>
      </c>
      <c r="H9128" s="142" t="s">
        <v>24978</v>
      </c>
      <c r="I9128" s="142">
        <v>79</v>
      </c>
      <c r="J9128" s="142">
        <v>42</v>
      </c>
      <c r="K9128" s="142">
        <v>0</v>
      </c>
      <c r="L9128" s="142">
        <v>0</v>
      </c>
      <c r="M9128" s="142">
        <v>37</v>
      </c>
    </row>
    <row r="9129" spans="1:13" x14ac:dyDescent="0.45">
      <c r="A9129" s="142" t="s">
        <v>13042</v>
      </c>
      <c r="B9129" s="142" t="s">
        <v>15489</v>
      </c>
      <c r="C9129" s="142" t="s">
        <v>15847</v>
      </c>
      <c r="D9129" s="142" t="s">
        <v>15848</v>
      </c>
      <c r="E9129" s="142" t="s">
        <v>15849</v>
      </c>
      <c r="F9129" s="142" t="s">
        <v>200</v>
      </c>
      <c r="G9129" s="142" t="s">
        <v>8612</v>
      </c>
      <c r="H9129" s="142" t="s">
        <v>24979</v>
      </c>
      <c r="I9129" s="142">
        <v>3</v>
      </c>
      <c r="J9129" s="142">
        <v>0</v>
      </c>
      <c r="K9129" s="142">
        <v>0</v>
      </c>
      <c r="L9129" s="142">
        <v>3</v>
      </c>
      <c r="M9129" s="142">
        <v>0</v>
      </c>
    </row>
    <row r="9130" spans="1:13" x14ac:dyDescent="0.45">
      <c r="A9130" s="142" t="s">
        <v>13174</v>
      </c>
      <c r="B9130" s="142" t="s">
        <v>15280</v>
      </c>
      <c r="C9130" s="142" t="s">
        <v>15847</v>
      </c>
      <c r="D9130" s="142" t="s">
        <v>15848</v>
      </c>
      <c r="E9130" s="142" t="s">
        <v>15849</v>
      </c>
      <c r="F9130" s="142" t="s">
        <v>200</v>
      </c>
      <c r="G9130" s="142" t="s">
        <v>8612</v>
      </c>
      <c r="H9130" s="142" t="s">
        <v>24980</v>
      </c>
      <c r="I9130" s="142">
        <v>45</v>
      </c>
      <c r="J9130" s="142">
        <v>45</v>
      </c>
      <c r="K9130" s="142">
        <v>0</v>
      </c>
      <c r="L9130" s="142">
        <v>0</v>
      </c>
      <c r="M9130" s="142">
        <v>0</v>
      </c>
    </row>
    <row r="9131" spans="1:13" x14ac:dyDescent="0.45">
      <c r="A9131" s="142" t="s">
        <v>13570</v>
      </c>
      <c r="B9131" s="142" t="s">
        <v>15181</v>
      </c>
      <c r="C9131" s="142" t="s">
        <v>15860</v>
      </c>
      <c r="D9131" s="142" t="s">
        <v>15861</v>
      </c>
      <c r="E9131" s="142" t="s">
        <v>15849</v>
      </c>
      <c r="F9131" s="142" t="s">
        <v>200</v>
      </c>
      <c r="G9131" s="142" t="s">
        <v>8612</v>
      </c>
      <c r="H9131" s="142" t="s">
        <v>24981</v>
      </c>
      <c r="I9131" s="142">
        <v>85</v>
      </c>
      <c r="J9131" s="142">
        <v>0</v>
      </c>
      <c r="K9131" s="142">
        <v>0</v>
      </c>
      <c r="L9131" s="142">
        <v>85</v>
      </c>
      <c r="M9131" s="142">
        <v>0</v>
      </c>
    </row>
    <row r="9132" spans="1:13" x14ac:dyDescent="0.45">
      <c r="A9132" s="142" t="s">
        <v>13015</v>
      </c>
      <c r="B9132" s="142" t="s">
        <v>14596</v>
      </c>
      <c r="C9132" s="142" t="s">
        <v>15847</v>
      </c>
      <c r="D9132" s="142" t="s">
        <v>15848</v>
      </c>
      <c r="E9132" s="142" t="s">
        <v>15849</v>
      </c>
      <c r="F9132" s="142" t="s">
        <v>200</v>
      </c>
      <c r="G9132" s="142" t="s">
        <v>8612</v>
      </c>
      <c r="H9132" s="142" t="s">
        <v>24982</v>
      </c>
      <c r="I9132" s="142">
        <v>589</v>
      </c>
      <c r="J9132" s="142">
        <v>447</v>
      </c>
      <c r="K9132" s="142">
        <v>0</v>
      </c>
      <c r="L9132" s="142">
        <v>0</v>
      </c>
      <c r="M9132" s="142">
        <v>142</v>
      </c>
    </row>
    <row r="9133" spans="1:13" x14ac:dyDescent="0.45">
      <c r="A9133" s="142" t="s">
        <v>13016</v>
      </c>
      <c r="B9133" s="142" t="s">
        <v>14535</v>
      </c>
      <c r="C9133" s="142" t="s">
        <v>15860</v>
      </c>
      <c r="D9133" s="142" t="s">
        <v>15861</v>
      </c>
      <c r="E9133" s="142" t="s">
        <v>15849</v>
      </c>
      <c r="F9133" s="142" t="s">
        <v>200</v>
      </c>
      <c r="G9133" s="142" t="s">
        <v>8612</v>
      </c>
      <c r="H9133" s="142" t="s">
        <v>24983</v>
      </c>
      <c r="I9133" s="142">
        <v>7</v>
      </c>
      <c r="J9133" s="142">
        <v>0</v>
      </c>
      <c r="K9133" s="142">
        <v>0</v>
      </c>
      <c r="L9133" s="142">
        <v>7</v>
      </c>
      <c r="M9133" s="142">
        <v>0</v>
      </c>
    </row>
    <row r="9134" spans="1:13" x14ac:dyDescent="0.45">
      <c r="A9134" s="142" t="s">
        <v>14345</v>
      </c>
      <c r="B9134" s="142" t="s">
        <v>15039</v>
      </c>
      <c r="C9134" s="142" t="s">
        <v>15860</v>
      </c>
      <c r="D9134" s="142" t="s">
        <v>15861</v>
      </c>
      <c r="E9134" s="142" t="s">
        <v>15849</v>
      </c>
      <c r="F9134" s="142" t="s">
        <v>200</v>
      </c>
      <c r="G9134" s="142" t="s">
        <v>8612</v>
      </c>
      <c r="H9134" s="142" t="s">
        <v>24984</v>
      </c>
      <c r="I9134" s="142">
        <v>48</v>
      </c>
      <c r="J9134" s="142">
        <v>48</v>
      </c>
      <c r="K9134" s="142">
        <v>0</v>
      </c>
      <c r="L9134" s="142">
        <v>0</v>
      </c>
      <c r="M9134" s="142">
        <v>0</v>
      </c>
    </row>
    <row r="9135" spans="1:13" x14ac:dyDescent="0.45">
      <c r="A9135" s="142" t="s">
        <v>13144</v>
      </c>
      <c r="B9135" s="142" t="s">
        <v>14464</v>
      </c>
      <c r="C9135" s="142" t="s">
        <v>15860</v>
      </c>
      <c r="D9135" s="142" t="s">
        <v>15861</v>
      </c>
      <c r="E9135" s="142" t="s">
        <v>15849</v>
      </c>
      <c r="F9135" s="142" t="s">
        <v>200</v>
      </c>
      <c r="G9135" s="142" t="s">
        <v>8612</v>
      </c>
      <c r="H9135" s="142" t="s">
        <v>24985</v>
      </c>
      <c r="I9135" s="142">
        <v>7</v>
      </c>
      <c r="J9135" s="142">
        <v>0</v>
      </c>
      <c r="K9135" s="142">
        <v>0</v>
      </c>
      <c r="L9135" s="142">
        <v>7</v>
      </c>
      <c r="M9135" s="142">
        <v>0</v>
      </c>
    </row>
    <row r="9136" spans="1:13" x14ac:dyDescent="0.45">
      <c r="A9136" s="142" t="s">
        <v>13166</v>
      </c>
      <c r="B9136" s="142" t="s">
        <v>15576</v>
      </c>
      <c r="C9136" s="142" t="s">
        <v>15847</v>
      </c>
      <c r="D9136" s="142" t="s">
        <v>15848</v>
      </c>
      <c r="E9136" s="142" t="s">
        <v>15849</v>
      </c>
      <c r="F9136" s="142" t="s">
        <v>201</v>
      </c>
      <c r="G9136" s="142" t="s">
        <v>3962</v>
      </c>
      <c r="H9136" s="142" t="s">
        <v>24986</v>
      </c>
      <c r="I9136" s="142">
        <v>27</v>
      </c>
      <c r="J9136" s="142">
        <v>24</v>
      </c>
      <c r="K9136" s="142">
        <v>0</v>
      </c>
      <c r="L9136" s="142">
        <v>0</v>
      </c>
      <c r="M9136" s="142">
        <v>3</v>
      </c>
    </row>
    <row r="9137" spans="1:13" x14ac:dyDescent="0.45">
      <c r="A9137" s="142" t="s">
        <v>13353</v>
      </c>
      <c r="B9137" s="142" t="s">
        <v>15145</v>
      </c>
      <c r="C9137" s="142" t="s">
        <v>15860</v>
      </c>
      <c r="D9137" s="142" t="s">
        <v>15861</v>
      </c>
      <c r="E9137" s="142" t="s">
        <v>15849</v>
      </c>
      <c r="F9137" s="142" t="s">
        <v>201</v>
      </c>
      <c r="G9137" s="142" t="s">
        <v>3962</v>
      </c>
      <c r="H9137" s="142" t="s">
        <v>24987</v>
      </c>
      <c r="I9137" s="142">
        <v>57</v>
      </c>
      <c r="J9137" s="142">
        <v>0</v>
      </c>
      <c r="K9137" s="142">
        <v>0</v>
      </c>
      <c r="L9137" s="142">
        <v>57</v>
      </c>
      <c r="M9137" s="142">
        <v>0</v>
      </c>
    </row>
    <row r="9138" spans="1:13" x14ac:dyDescent="0.45">
      <c r="A9138" s="142" t="s">
        <v>13023</v>
      </c>
      <c r="B9138" s="142" t="s">
        <v>15571</v>
      </c>
      <c r="C9138" s="142" t="s">
        <v>15847</v>
      </c>
      <c r="D9138" s="142" t="s">
        <v>15848</v>
      </c>
      <c r="E9138" s="142" t="s">
        <v>15849</v>
      </c>
      <c r="F9138" s="142" t="s">
        <v>201</v>
      </c>
      <c r="G9138" s="142" t="s">
        <v>3962</v>
      </c>
      <c r="H9138" s="142" t="s">
        <v>24988</v>
      </c>
      <c r="I9138" s="142">
        <v>93</v>
      </c>
      <c r="J9138" s="142">
        <v>0</v>
      </c>
      <c r="K9138" s="142">
        <v>0</v>
      </c>
      <c r="L9138" s="142">
        <v>77</v>
      </c>
      <c r="M9138" s="142">
        <v>16</v>
      </c>
    </row>
    <row r="9139" spans="1:13" x14ac:dyDescent="0.45">
      <c r="A9139" s="142" t="s">
        <v>13000</v>
      </c>
      <c r="B9139" s="142" t="s">
        <v>14610</v>
      </c>
      <c r="C9139" s="142" t="s">
        <v>15847</v>
      </c>
      <c r="D9139" s="142" t="s">
        <v>15848</v>
      </c>
      <c r="E9139" s="142" t="s">
        <v>15849</v>
      </c>
      <c r="F9139" s="142" t="s">
        <v>201</v>
      </c>
      <c r="G9139" s="142" t="s">
        <v>3962</v>
      </c>
      <c r="H9139" s="142" t="s">
        <v>24989</v>
      </c>
      <c r="I9139" s="142">
        <v>939</v>
      </c>
      <c r="J9139" s="142">
        <v>721</v>
      </c>
      <c r="K9139" s="142">
        <v>0</v>
      </c>
      <c r="L9139" s="142">
        <v>7</v>
      </c>
      <c r="M9139" s="142">
        <v>211</v>
      </c>
    </row>
    <row r="9140" spans="1:13" x14ac:dyDescent="0.45">
      <c r="A9140" s="142" t="s">
        <v>13001</v>
      </c>
      <c r="B9140" s="142" t="s">
        <v>15506</v>
      </c>
      <c r="C9140" s="142" t="s">
        <v>15847</v>
      </c>
      <c r="D9140" s="142" t="s">
        <v>15848</v>
      </c>
      <c r="E9140" s="142" t="s">
        <v>15849</v>
      </c>
      <c r="F9140" s="142" t="s">
        <v>201</v>
      </c>
      <c r="G9140" s="142" t="s">
        <v>3962</v>
      </c>
      <c r="H9140" s="142" t="s">
        <v>24990</v>
      </c>
      <c r="I9140" s="142">
        <v>43</v>
      </c>
      <c r="J9140" s="142">
        <v>43</v>
      </c>
      <c r="K9140" s="142">
        <v>0</v>
      </c>
      <c r="L9140" s="142">
        <v>0</v>
      </c>
      <c r="M9140" s="142">
        <v>0</v>
      </c>
    </row>
    <row r="9141" spans="1:13" x14ac:dyDescent="0.45">
      <c r="A9141" s="142" t="s">
        <v>13050</v>
      </c>
      <c r="B9141" s="142" t="s">
        <v>15237</v>
      </c>
      <c r="C9141" s="142" t="s">
        <v>15847</v>
      </c>
      <c r="D9141" s="142" t="s">
        <v>15848</v>
      </c>
      <c r="E9141" s="142" t="s">
        <v>15849</v>
      </c>
      <c r="F9141" s="142" t="s">
        <v>201</v>
      </c>
      <c r="G9141" s="142" t="s">
        <v>3962</v>
      </c>
      <c r="H9141" s="142" t="s">
        <v>24991</v>
      </c>
      <c r="I9141" s="142">
        <v>98</v>
      </c>
      <c r="J9141" s="142">
        <v>77</v>
      </c>
      <c r="K9141" s="142">
        <v>0</v>
      </c>
      <c r="L9141" s="142">
        <v>0</v>
      </c>
      <c r="M9141" s="142">
        <v>21</v>
      </c>
    </row>
    <row r="9142" spans="1:13" x14ac:dyDescent="0.45">
      <c r="A9142" s="142" t="s">
        <v>13028</v>
      </c>
      <c r="B9142" s="142" t="s">
        <v>14462</v>
      </c>
      <c r="C9142" s="142" t="s">
        <v>15847</v>
      </c>
      <c r="D9142" s="142" t="s">
        <v>15848</v>
      </c>
      <c r="E9142" s="142" t="s">
        <v>15849</v>
      </c>
      <c r="F9142" s="142" t="s">
        <v>201</v>
      </c>
      <c r="G9142" s="142" t="s">
        <v>3962</v>
      </c>
      <c r="H9142" s="142" t="s">
        <v>24992</v>
      </c>
      <c r="I9142" s="142">
        <v>29</v>
      </c>
      <c r="J9142" s="142">
        <v>0</v>
      </c>
      <c r="K9142" s="142">
        <v>0</v>
      </c>
      <c r="L9142" s="142">
        <v>0</v>
      </c>
      <c r="M9142" s="142">
        <v>29</v>
      </c>
    </row>
    <row r="9143" spans="1:13" x14ac:dyDescent="0.45">
      <c r="A9143" s="142" t="s">
        <v>13160</v>
      </c>
      <c r="B9143" s="142" t="s">
        <v>14525</v>
      </c>
      <c r="C9143" s="142" t="s">
        <v>15847</v>
      </c>
      <c r="D9143" s="142" t="s">
        <v>15848</v>
      </c>
      <c r="E9143" s="142" t="s">
        <v>15849</v>
      </c>
      <c r="F9143" s="142" t="s">
        <v>201</v>
      </c>
      <c r="G9143" s="142" t="s">
        <v>3962</v>
      </c>
      <c r="H9143" s="142" t="s">
        <v>24993</v>
      </c>
      <c r="I9143" s="142">
        <v>7</v>
      </c>
      <c r="J9143" s="142">
        <v>0</v>
      </c>
      <c r="K9143" s="142">
        <v>0</v>
      </c>
      <c r="L9143" s="142">
        <v>7</v>
      </c>
      <c r="M9143" s="142">
        <v>0</v>
      </c>
    </row>
    <row r="9144" spans="1:13" x14ac:dyDescent="0.45">
      <c r="A9144" s="142" t="s">
        <v>13002</v>
      </c>
      <c r="B9144" s="142" t="s">
        <v>15376</v>
      </c>
      <c r="C9144" s="142" t="s">
        <v>15847</v>
      </c>
      <c r="D9144" s="142" t="s">
        <v>15848</v>
      </c>
      <c r="E9144" s="142" t="s">
        <v>15849</v>
      </c>
      <c r="F9144" s="142" t="s">
        <v>201</v>
      </c>
      <c r="G9144" s="142" t="s">
        <v>3962</v>
      </c>
      <c r="H9144" s="142" t="s">
        <v>24994</v>
      </c>
      <c r="I9144" s="142">
        <v>346</v>
      </c>
      <c r="J9144" s="142">
        <v>291</v>
      </c>
      <c r="K9144" s="142">
        <v>0</v>
      </c>
      <c r="L9144" s="142">
        <v>29</v>
      </c>
      <c r="M9144" s="142">
        <v>26</v>
      </c>
    </row>
    <row r="9145" spans="1:13" x14ac:dyDescent="0.45">
      <c r="A9145" s="142" t="s">
        <v>13178</v>
      </c>
      <c r="B9145" s="142" t="s">
        <v>14683</v>
      </c>
      <c r="C9145" s="142" t="s">
        <v>15847</v>
      </c>
      <c r="D9145" s="142" t="s">
        <v>15848</v>
      </c>
      <c r="E9145" s="142" t="s">
        <v>15849</v>
      </c>
      <c r="F9145" s="142" t="s">
        <v>201</v>
      </c>
      <c r="G9145" s="142" t="s">
        <v>3962</v>
      </c>
      <c r="H9145" s="142" t="s">
        <v>24995</v>
      </c>
      <c r="I9145" s="142">
        <v>21</v>
      </c>
      <c r="J9145" s="142">
        <v>21</v>
      </c>
      <c r="K9145" s="142">
        <v>0</v>
      </c>
      <c r="L9145" s="142">
        <v>0</v>
      </c>
      <c r="M9145" s="142">
        <v>0</v>
      </c>
    </row>
    <row r="9146" spans="1:13" x14ac:dyDescent="0.45">
      <c r="A9146" s="142" t="s">
        <v>13076</v>
      </c>
      <c r="B9146" s="142" t="s">
        <v>14636</v>
      </c>
      <c r="C9146" s="142" t="s">
        <v>15847</v>
      </c>
      <c r="D9146" s="142" t="s">
        <v>15848</v>
      </c>
      <c r="E9146" s="142" t="s">
        <v>15849</v>
      </c>
      <c r="F9146" s="142" t="s">
        <v>201</v>
      </c>
      <c r="G9146" s="142" t="s">
        <v>3962</v>
      </c>
      <c r="H9146" s="142" t="s">
        <v>24996</v>
      </c>
      <c r="I9146" s="142">
        <v>13</v>
      </c>
      <c r="J9146" s="142">
        <v>0</v>
      </c>
      <c r="K9146" s="142">
        <v>0</v>
      </c>
      <c r="L9146" s="142">
        <v>0</v>
      </c>
      <c r="M9146" s="142">
        <v>13</v>
      </c>
    </row>
    <row r="9147" spans="1:13" x14ac:dyDescent="0.45">
      <c r="A9147" s="142" t="s">
        <v>13005</v>
      </c>
      <c r="B9147" s="142" t="s">
        <v>15475</v>
      </c>
      <c r="C9147" s="142" t="s">
        <v>15847</v>
      </c>
      <c r="D9147" s="142" t="s">
        <v>15848</v>
      </c>
      <c r="E9147" s="142" t="s">
        <v>15849</v>
      </c>
      <c r="F9147" s="142" t="s">
        <v>201</v>
      </c>
      <c r="G9147" s="142" t="s">
        <v>3962</v>
      </c>
      <c r="H9147" s="142" t="s">
        <v>24997</v>
      </c>
      <c r="I9147" s="142">
        <v>1</v>
      </c>
      <c r="J9147" s="142">
        <v>0</v>
      </c>
      <c r="K9147" s="142">
        <v>0</v>
      </c>
      <c r="L9147" s="142">
        <v>0</v>
      </c>
      <c r="M9147" s="142">
        <v>1</v>
      </c>
    </row>
    <row r="9148" spans="1:13" x14ac:dyDescent="0.45">
      <c r="A9148" s="142" t="s">
        <v>13029</v>
      </c>
      <c r="B9148" s="142" t="s">
        <v>14665</v>
      </c>
      <c r="C9148" s="142" t="s">
        <v>15847</v>
      </c>
      <c r="D9148" s="142" t="s">
        <v>15848</v>
      </c>
      <c r="E9148" s="142" t="s">
        <v>15849</v>
      </c>
      <c r="F9148" s="142" t="s">
        <v>201</v>
      </c>
      <c r="G9148" s="142" t="s">
        <v>3962</v>
      </c>
      <c r="H9148" s="142" t="s">
        <v>24998</v>
      </c>
      <c r="I9148" s="142">
        <v>18</v>
      </c>
      <c r="J9148" s="142">
        <v>0</v>
      </c>
      <c r="K9148" s="142">
        <v>0</v>
      </c>
      <c r="L9148" s="142">
        <v>0</v>
      </c>
      <c r="M9148" s="142">
        <v>18</v>
      </c>
    </row>
    <row r="9149" spans="1:13" x14ac:dyDescent="0.45">
      <c r="A9149" s="142" t="s">
        <v>13007</v>
      </c>
      <c r="B9149" s="142" t="s">
        <v>15262</v>
      </c>
      <c r="C9149" s="142" t="s">
        <v>15847</v>
      </c>
      <c r="D9149" s="142" t="s">
        <v>15848</v>
      </c>
      <c r="E9149" s="142" t="s">
        <v>15849</v>
      </c>
      <c r="F9149" s="142" t="s">
        <v>201</v>
      </c>
      <c r="G9149" s="142" t="s">
        <v>3962</v>
      </c>
      <c r="H9149" s="142" t="s">
        <v>24999</v>
      </c>
      <c r="I9149" s="142">
        <v>282</v>
      </c>
      <c r="J9149" s="142">
        <v>130</v>
      </c>
      <c r="K9149" s="142">
        <v>0</v>
      </c>
      <c r="L9149" s="142">
        <v>18</v>
      </c>
      <c r="M9149" s="142">
        <v>134</v>
      </c>
    </row>
    <row r="9150" spans="1:13" x14ac:dyDescent="0.45">
      <c r="A9150" s="142" t="s">
        <v>13217</v>
      </c>
      <c r="B9150" s="142" t="s">
        <v>14578</v>
      </c>
      <c r="C9150" s="142" t="s">
        <v>15860</v>
      </c>
      <c r="D9150" s="142" t="s">
        <v>15861</v>
      </c>
      <c r="E9150" s="142" t="s">
        <v>15849</v>
      </c>
      <c r="F9150" s="142" t="s">
        <v>201</v>
      </c>
      <c r="G9150" s="142" t="s">
        <v>3962</v>
      </c>
      <c r="H9150" s="142" t="s">
        <v>25000</v>
      </c>
      <c r="I9150" s="142">
        <v>45</v>
      </c>
      <c r="J9150" s="142">
        <v>45</v>
      </c>
      <c r="K9150" s="142">
        <v>0</v>
      </c>
      <c r="L9150" s="142">
        <v>0</v>
      </c>
      <c r="M9150" s="142">
        <v>0</v>
      </c>
    </row>
    <row r="9151" spans="1:13" x14ac:dyDescent="0.45">
      <c r="A9151" s="142" t="s">
        <v>13008</v>
      </c>
      <c r="B9151" s="142" t="s">
        <v>15411</v>
      </c>
      <c r="C9151" s="142" t="s">
        <v>15847</v>
      </c>
      <c r="D9151" s="142" t="s">
        <v>15848</v>
      </c>
      <c r="E9151" s="142" t="s">
        <v>15849</v>
      </c>
      <c r="F9151" s="142" t="s">
        <v>201</v>
      </c>
      <c r="G9151" s="142" t="s">
        <v>3962</v>
      </c>
      <c r="H9151" s="142" t="s">
        <v>25001</v>
      </c>
      <c r="I9151" s="142">
        <v>148</v>
      </c>
      <c r="J9151" s="142">
        <v>0</v>
      </c>
      <c r="K9151" s="142">
        <v>0</v>
      </c>
      <c r="L9151" s="142">
        <v>0</v>
      </c>
      <c r="M9151" s="142">
        <v>148</v>
      </c>
    </row>
    <row r="9152" spans="1:13" x14ac:dyDescent="0.45">
      <c r="A9152" s="142" t="s">
        <v>13077</v>
      </c>
      <c r="B9152" s="142" t="s">
        <v>15407</v>
      </c>
      <c r="C9152" s="142" t="s">
        <v>15847</v>
      </c>
      <c r="D9152" s="142" t="s">
        <v>15848</v>
      </c>
      <c r="E9152" s="142" t="s">
        <v>15849</v>
      </c>
      <c r="F9152" s="142" t="s">
        <v>201</v>
      </c>
      <c r="G9152" s="142" t="s">
        <v>3962</v>
      </c>
      <c r="H9152" s="142" t="s">
        <v>25002</v>
      </c>
      <c r="I9152" s="142">
        <v>637</v>
      </c>
      <c r="J9152" s="142">
        <v>637</v>
      </c>
      <c r="K9152" s="142">
        <v>0</v>
      </c>
      <c r="L9152" s="142">
        <v>0</v>
      </c>
      <c r="M9152" s="142">
        <v>0</v>
      </c>
    </row>
    <row r="9153" spans="1:13" x14ac:dyDescent="0.45">
      <c r="A9153" s="142" t="s">
        <v>13033</v>
      </c>
      <c r="B9153" s="142" t="s">
        <v>15276</v>
      </c>
      <c r="C9153" s="142" t="s">
        <v>15847</v>
      </c>
      <c r="D9153" s="142" t="s">
        <v>15848</v>
      </c>
      <c r="E9153" s="142" t="s">
        <v>15849</v>
      </c>
      <c r="F9153" s="142" t="s">
        <v>201</v>
      </c>
      <c r="G9153" s="142" t="s">
        <v>3962</v>
      </c>
      <c r="H9153" s="142" t="s">
        <v>25003</v>
      </c>
      <c r="I9153" s="142">
        <v>31</v>
      </c>
      <c r="J9153" s="142">
        <v>31</v>
      </c>
      <c r="K9153" s="142">
        <v>0</v>
      </c>
      <c r="L9153" s="142">
        <v>0</v>
      </c>
      <c r="M9153" s="142">
        <v>0</v>
      </c>
    </row>
    <row r="9154" spans="1:13" x14ac:dyDescent="0.45">
      <c r="A9154" s="142" t="s">
        <v>13038</v>
      </c>
      <c r="B9154" s="142" t="s">
        <v>14646</v>
      </c>
      <c r="C9154" s="142" t="s">
        <v>15847</v>
      </c>
      <c r="D9154" s="142" t="s">
        <v>15848</v>
      </c>
      <c r="E9154" s="142" t="s">
        <v>15849</v>
      </c>
      <c r="F9154" s="142" t="s">
        <v>201</v>
      </c>
      <c r="G9154" s="142" t="s">
        <v>3962</v>
      </c>
      <c r="H9154" s="142" t="s">
        <v>25004</v>
      </c>
      <c r="I9154" s="142">
        <v>216</v>
      </c>
      <c r="J9154" s="142">
        <v>132</v>
      </c>
      <c r="K9154" s="142">
        <v>0</v>
      </c>
      <c r="L9154" s="142">
        <v>0</v>
      </c>
      <c r="M9154" s="142">
        <v>84</v>
      </c>
    </row>
    <row r="9155" spans="1:13" x14ac:dyDescent="0.45">
      <c r="A9155" s="142" t="s">
        <v>13039</v>
      </c>
      <c r="B9155" s="142" t="s">
        <v>14647</v>
      </c>
      <c r="C9155" s="142" t="s">
        <v>15847</v>
      </c>
      <c r="D9155" s="142" t="s">
        <v>15848</v>
      </c>
      <c r="E9155" s="142" t="s">
        <v>15849</v>
      </c>
      <c r="F9155" s="142" t="s">
        <v>201</v>
      </c>
      <c r="G9155" s="142" t="s">
        <v>3962</v>
      </c>
      <c r="H9155" s="142" t="s">
        <v>25005</v>
      </c>
      <c r="I9155" s="142">
        <v>41</v>
      </c>
      <c r="J9155" s="142">
        <v>41</v>
      </c>
      <c r="K9155" s="142">
        <v>0</v>
      </c>
      <c r="L9155" s="142">
        <v>0</v>
      </c>
      <c r="M9155" s="142">
        <v>0</v>
      </c>
    </row>
    <row r="9156" spans="1:13" x14ac:dyDescent="0.45">
      <c r="A9156" s="142" t="s">
        <v>13009</v>
      </c>
      <c r="B9156" s="142" t="s">
        <v>15256</v>
      </c>
      <c r="C9156" s="142" t="s">
        <v>15847</v>
      </c>
      <c r="D9156" s="142" t="s">
        <v>15848</v>
      </c>
      <c r="E9156" s="142" t="s">
        <v>15849</v>
      </c>
      <c r="F9156" s="142" t="s">
        <v>201</v>
      </c>
      <c r="G9156" s="142" t="s">
        <v>3962</v>
      </c>
      <c r="H9156" s="142" t="s">
        <v>25006</v>
      </c>
      <c r="I9156" s="142">
        <v>53</v>
      </c>
      <c r="J9156" s="142">
        <v>10</v>
      </c>
      <c r="K9156" s="142">
        <v>0</v>
      </c>
      <c r="L9156" s="142">
        <v>0</v>
      </c>
      <c r="M9156" s="142">
        <v>43</v>
      </c>
    </row>
    <row r="9157" spans="1:13" x14ac:dyDescent="0.45">
      <c r="A9157" s="142" t="s">
        <v>13056</v>
      </c>
      <c r="B9157" s="142" t="s">
        <v>15435</v>
      </c>
      <c r="C9157" s="142" t="s">
        <v>15847</v>
      </c>
      <c r="D9157" s="142" t="s">
        <v>15848</v>
      </c>
      <c r="E9157" s="142" t="s">
        <v>15849</v>
      </c>
      <c r="F9157" s="142" t="s">
        <v>201</v>
      </c>
      <c r="G9157" s="142" t="s">
        <v>3962</v>
      </c>
      <c r="H9157" s="142" t="s">
        <v>25007</v>
      </c>
      <c r="I9157" s="142">
        <v>168</v>
      </c>
      <c r="J9157" s="142">
        <v>61</v>
      </c>
      <c r="K9157" s="142">
        <v>0</v>
      </c>
      <c r="L9157" s="142">
        <v>84</v>
      </c>
      <c r="M9157" s="142">
        <v>23</v>
      </c>
    </row>
    <row r="9158" spans="1:13" x14ac:dyDescent="0.45">
      <c r="A9158" s="142" t="s">
        <v>13092</v>
      </c>
      <c r="B9158" s="142" t="s">
        <v>14656</v>
      </c>
      <c r="C9158" s="142" t="s">
        <v>15860</v>
      </c>
      <c r="D9158" s="142" t="s">
        <v>15861</v>
      </c>
      <c r="E9158" s="142" t="s">
        <v>15849</v>
      </c>
      <c r="F9158" s="142" t="s">
        <v>201</v>
      </c>
      <c r="G9158" s="142" t="s">
        <v>3962</v>
      </c>
      <c r="H9158" s="142" t="s">
        <v>25008</v>
      </c>
      <c r="I9158" s="142">
        <v>18</v>
      </c>
      <c r="J9158" s="142">
        <v>18</v>
      </c>
      <c r="K9158" s="142">
        <v>0</v>
      </c>
      <c r="L9158" s="142">
        <v>0</v>
      </c>
      <c r="M9158" s="142">
        <v>0</v>
      </c>
    </row>
    <row r="9159" spans="1:13" x14ac:dyDescent="0.45">
      <c r="A9159" s="142" t="s">
        <v>13010</v>
      </c>
      <c r="B9159" s="142" t="s">
        <v>15349</v>
      </c>
      <c r="C9159" s="142" t="s">
        <v>15860</v>
      </c>
      <c r="D9159" s="142" t="s">
        <v>15861</v>
      </c>
      <c r="E9159" s="142" t="s">
        <v>15849</v>
      </c>
      <c r="F9159" s="142" t="s">
        <v>201</v>
      </c>
      <c r="G9159" s="142" t="s">
        <v>3962</v>
      </c>
      <c r="H9159" s="142" t="s">
        <v>25009</v>
      </c>
      <c r="I9159" s="142">
        <v>29</v>
      </c>
      <c r="J9159" s="142">
        <v>0</v>
      </c>
      <c r="K9159" s="142">
        <v>0</v>
      </c>
      <c r="L9159" s="142">
        <v>29</v>
      </c>
      <c r="M9159" s="142">
        <v>0</v>
      </c>
    </row>
    <row r="9160" spans="1:13" x14ac:dyDescent="0.45">
      <c r="A9160" s="142" t="s">
        <v>13011</v>
      </c>
      <c r="B9160" s="142" t="s">
        <v>14695</v>
      </c>
      <c r="C9160" s="142" t="s">
        <v>15847</v>
      </c>
      <c r="D9160" s="142" t="s">
        <v>15848</v>
      </c>
      <c r="E9160" s="142" t="s">
        <v>15849</v>
      </c>
      <c r="F9160" s="142" t="s">
        <v>201</v>
      </c>
      <c r="G9160" s="142" t="s">
        <v>3962</v>
      </c>
      <c r="H9160" s="142" t="s">
        <v>25010</v>
      </c>
      <c r="I9160" s="142">
        <v>279</v>
      </c>
      <c r="J9160" s="142">
        <v>219</v>
      </c>
      <c r="K9160" s="142">
        <v>0</v>
      </c>
      <c r="L9160" s="142">
        <v>0</v>
      </c>
      <c r="M9160" s="142">
        <v>60</v>
      </c>
    </row>
    <row r="9161" spans="1:13" x14ac:dyDescent="0.45">
      <c r="A9161" s="142" t="s">
        <v>13041</v>
      </c>
      <c r="B9161" s="142" t="s">
        <v>14441</v>
      </c>
      <c r="C9161" s="142" t="s">
        <v>15847</v>
      </c>
      <c r="D9161" s="142" t="s">
        <v>15848</v>
      </c>
      <c r="E9161" s="142" t="s">
        <v>15849</v>
      </c>
      <c r="F9161" s="142" t="s">
        <v>201</v>
      </c>
      <c r="G9161" s="142" t="s">
        <v>3962</v>
      </c>
      <c r="H9161" s="142" t="s">
        <v>25011</v>
      </c>
      <c r="I9161" s="142">
        <v>6</v>
      </c>
      <c r="J9161" s="142">
        <v>0</v>
      </c>
      <c r="K9161" s="142">
        <v>0</v>
      </c>
      <c r="L9161" s="142">
        <v>0</v>
      </c>
      <c r="M9161" s="142">
        <v>6</v>
      </c>
    </row>
    <row r="9162" spans="1:13" x14ac:dyDescent="0.45">
      <c r="A9162" s="142" t="s">
        <v>13012</v>
      </c>
      <c r="B9162" s="142" t="s">
        <v>15337</v>
      </c>
      <c r="C9162" s="142" t="s">
        <v>15847</v>
      </c>
      <c r="D9162" s="142" t="s">
        <v>15848</v>
      </c>
      <c r="E9162" s="142" t="s">
        <v>15849</v>
      </c>
      <c r="F9162" s="142" t="s">
        <v>201</v>
      </c>
      <c r="G9162" s="142" t="s">
        <v>3962</v>
      </c>
      <c r="H9162" s="142" t="s">
        <v>25012</v>
      </c>
      <c r="I9162" s="142">
        <v>242</v>
      </c>
      <c r="J9162" s="142">
        <v>181</v>
      </c>
      <c r="K9162" s="142">
        <v>0</v>
      </c>
      <c r="L9162" s="142">
        <v>37</v>
      </c>
      <c r="M9162" s="142">
        <v>24</v>
      </c>
    </row>
    <row r="9163" spans="1:13" x14ac:dyDescent="0.45">
      <c r="A9163" s="142" t="s">
        <v>13361</v>
      </c>
      <c r="B9163" s="142" t="s">
        <v>15493</v>
      </c>
      <c r="C9163" s="142" t="s">
        <v>15860</v>
      </c>
      <c r="D9163" s="142" t="s">
        <v>15861</v>
      </c>
      <c r="E9163" s="142" t="s">
        <v>15849</v>
      </c>
      <c r="F9163" s="142" t="s">
        <v>201</v>
      </c>
      <c r="G9163" s="142" t="s">
        <v>3962</v>
      </c>
      <c r="H9163" s="142" t="s">
        <v>25013</v>
      </c>
      <c r="I9163" s="142">
        <v>85</v>
      </c>
      <c r="J9163" s="142">
        <v>0</v>
      </c>
      <c r="K9163" s="142">
        <v>0</v>
      </c>
      <c r="L9163" s="142">
        <v>85</v>
      </c>
      <c r="M9163" s="142">
        <v>0</v>
      </c>
    </row>
    <row r="9164" spans="1:13" x14ac:dyDescent="0.45">
      <c r="A9164" s="142" t="s">
        <v>13079</v>
      </c>
      <c r="B9164" s="142" t="s">
        <v>15431</v>
      </c>
      <c r="C9164" s="142" t="s">
        <v>15847</v>
      </c>
      <c r="D9164" s="142" t="s">
        <v>15848</v>
      </c>
      <c r="E9164" s="142" t="s">
        <v>15849</v>
      </c>
      <c r="F9164" s="142" t="s">
        <v>201</v>
      </c>
      <c r="G9164" s="142" t="s">
        <v>3962</v>
      </c>
      <c r="H9164" s="142" t="s">
        <v>25014</v>
      </c>
      <c r="I9164" s="142">
        <v>608</v>
      </c>
      <c r="J9164" s="142">
        <v>462</v>
      </c>
      <c r="K9164" s="142">
        <v>0</v>
      </c>
      <c r="L9164" s="142">
        <v>14</v>
      </c>
      <c r="M9164" s="142">
        <v>132</v>
      </c>
    </row>
    <row r="9165" spans="1:13" x14ac:dyDescent="0.45">
      <c r="A9165" s="142" t="s">
        <v>14347</v>
      </c>
      <c r="B9165" s="142" t="s">
        <v>15263</v>
      </c>
      <c r="C9165" s="142" t="s">
        <v>15860</v>
      </c>
      <c r="D9165" s="142" t="s">
        <v>15861</v>
      </c>
      <c r="E9165" s="142" t="s">
        <v>15849</v>
      </c>
      <c r="F9165" s="142" t="s">
        <v>201</v>
      </c>
      <c r="G9165" s="142" t="s">
        <v>3962</v>
      </c>
      <c r="H9165" s="142" t="s">
        <v>25015</v>
      </c>
      <c r="I9165" s="142">
        <v>17</v>
      </c>
      <c r="J9165" s="142">
        <v>0</v>
      </c>
      <c r="K9165" s="142">
        <v>0</v>
      </c>
      <c r="L9165" s="142">
        <v>17</v>
      </c>
      <c r="M9165" s="142">
        <v>0</v>
      </c>
    </row>
    <row r="9166" spans="1:13" x14ac:dyDescent="0.45">
      <c r="A9166" s="142" t="s">
        <v>14349</v>
      </c>
      <c r="B9166" s="142" t="s">
        <v>14726</v>
      </c>
      <c r="C9166" s="142" t="s">
        <v>15860</v>
      </c>
      <c r="D9166" s="142" t="s">
        <v>15861</v>
      </c>
      <c r="E9166" s="142" t="s">
        <v>15849</v>
      </c>
      <c r="F9166" s="142" t="s">
        <v>202</v>
      </c>
      <c r="G9166" s="142" t="s">
        <v>9477</v>
      </c>
      <c r="H9166" s="142" t="s">
        <v>25016</v>
      </c>
      <c r="I9166" s="142">
        <v>14</v>
      </c>
      <c r="J9166" s="142">
        <v>14</v>
      </c>
      <c r="K9166" s="142">
        <v>0</v>
      </c>
      <c r="L9166" s="142">
        <v>0</v>
      </c>
      <c r="M9166" s="142">
        <v>0</v>
      </c>
    </row>
    <row r="9167" spans="1:13" x14ac:dyDescent="0.45">
      <c r="A9167" s="142" t="s">
        <v>13022</v>
      </c>
      <c r="B9167" s="142" t="s">
        <v>14634</v>
      </c>
      <c r="C9167" s="142" t="s">
        <v>15847</v>
      </c>
      <c r="D9167" s="142" t="s">
        <v>15848</v>
      </c>
      <c r="E9167" s="142" t="s">
        <v>15849</v>
      </c>
      <c r="F9167" s="142" t="s">
        <v>202</v>
      </c>
      <c r="G9167" s="142" t="s">
        <v>9477</v>
      </c>
      <c r="H9167" s="142" t="s">
        <v>25017</v>
      </c>
      <c r="I9167" s="142">
        <v>2</v>
      </c>
      <c r="J9167" s="142">
        <v>0</v>
      </c>
      <c r="K9167" s="142">
        <v>0</v>
      </c>
      <c r="L9167" s="142">
        <v>2</v>
      </c>
      <c r="M9167" s="142">
        <v>0</v>
      </c>
    </row>
    <row r="9168" spans="1:13" x14ac:dyDescent="0.45">
      <c r="A9168" s="142" t="s">
        <v>13023</v>
      </c>
      <c r="B9168" s="142" t="s">
        <v>15571</v>
      </c>
      <c r="C9168" s="142" t="s">
        <v>15847</v>
      </c>
      <c r="D9168" s="142" t="s">
        <v>15848</v>
      </c>
      <c r="E9168" s="142" t="s">
        <v>15849</v>
      </c>
      <c r="F9168" s="142" t="s">
        <v>202</v>
      </c>
      <c r="G9168" s="142" t="s">
        <v>9477</v>
      </c>
      <c r="H9168" s="142" t="s">
        <v>25018</v>
      </c>
      <c r="I9168" s="142">
        <v>35</v>
      </c>
      <c r="J9168" s="142">
        <v>0</v>
      </c>
      <c r="K9168" s="142">
        <v>0</v>
      </c>
      <c r="L9168" s="142">
        <v>35</v>
      </c>
      <c r="M9168" s="142">
        <v>0</v>
      </c>
    </row>
    <row r="9169" spans="1:13" x14ac:dyDescent="0.45">
      <c r="A9169" s="142" t="s">
        <v>13082</v>
      </c>
      <c r="B9169" s="142" t="s">
        <v>14478</v>
      </c>
      <c r="C9169" s="142" t="s">
        <v>15860</v>
      </c>
      <c r="D9169" s="142" t="s">
        <v>15861</v>
      </c>
      <c r="E9169" s="142" t="s">
        <v>15849</v>
      </c>
      <c r="F9169" s="142" t="s">
        <v>202</v>
      </c>
      <c r="G9169" s="142" t="s">
        <v>9477</v>
      </c>
      <c r="H9169" s="142" t="s">
        <v>25019</v>
      </c>
      <c r="I9169" s="142">
        <v>12</v>
      </c>
      <c r="J9169" s="142">
        <v>0</v>
      </c>
      <c r="K9169" s="142">
        <v>0</v>
      </c>
      <c r="L9169" s="142">
        <v>12</v>
      </c>
      <c r="M9169" s="142">
        <v>0</v>
      </c>
    </row>
    <row r="9170" spans="1:13" x14ac:dyDescent="0.45">
      <c r="A9170" s="142" t="s">
        <v>13348</v>
      </c>
      <c r="B9170" s="142" t="s">
        <v>15458</v>
      </c>
      <c r="C9170" s="142" t="s">
        <v>15847</v>
      </c>
      <c r="D9170" s="142" t="s">
        <v>15848</v>
      </c>
      <c r="E9170" s="142" t="s">
        <v>15849</v>
      </c>
      <c r="F9170" s="142" t="s">
        <v>202</v>
      </c>
      <c r="G9170" s="142" t="s">
        <v>9477</v>
      </c>
      <c r="H9170" s="142" t="s">
        <v>25020</v>
      </c>
      <c r="I9170" s="142">
        <v>32</v>
      </c>
      <c r="J9170" s="142">
        <v>22</v>
      </c>
      <c r="K9170" s="142">
        <v>0</v>
      </c>
      <c r="L9170" s="142">
        <v>0</v>
      </c>
      <c r="M9170" s="142">
        <v>10</v>
      </c>
    </row>
    <row r="9171" spans="1:13" x14ac:dyDescent="0.45">
      <c r="A9171" s="142" t="s">
        <v>13000</v>
      </c>
      <c r="B9171" s="142" t="s">
        <v>14610</v>
      </c>
      <c r="C9171" s="142" t="s">
        <v>15847</v>
      </c>
      <c r="D9171" s="142" t="s">
        <v>15848</v>
      </c>
      <c r="E9171" s="142" t="s">
        <v>15849</v>
      </c>
      <c r="F9171" s="142" t="s">
        <v>202</v>
      </c>
      <c r="G9171" s="142" t="s">
        <v>9477</v>
      </c>
      <c r="H9171" s="142" t="s">
        <v>25021</v>
      </c>
      <c r="I9171" s="142">
        <v>575</v>
      </c>
      <c r="J9171" s="142">
        <v>471</v>
      </c>
      <c r="K9171" s="142">
        <v>0</v>
      </c>
      <c r="L9171" s="142">
        <v>11</v>
      </c>
      <c r="M9171" s="142">
        <v>93</v>
      </c>
    </row>
    <row r="9172" spans="1:13" x14ac:dyDescent="0.45">
      <c r="A9172" s="142" t="s">
        <v>13212</v>
      </c>
      <c r="B9172" s="142" t="s">
        <v>15497</v>
      </c>
      <c r="C9172" s="142" t="s">
        <v>15860</v>
      </c>
      <c r="D9172" s="142" t="s">
        <v>15861</v>
      </c>
      <c r="E9172" s="142" t="s">
        <v>15849</v>
      </c>
      <c r="F9172" s="142" t="s">
        <v>202</v>
      </c>
      <c r="G9172" s="142" t="s">
        <v>9477</v>
      </c>
      <c r="H9172" s="142" t="s">
        <v>25022</v>
      </c>
      <c r="I9172" s="142">
        <v>29</v>
      </c>
      <c r="J9172" s="142">
        <v>29</v>
      </c>
      <c r="K9172" s="142">
        <v>0</v>
      </c>
      <c r="L9172" s="142">
        <v>0</v>
      </c>
      <c r="M9172" s="142">
        <v>0</v>
      </c>
    </row>
    <row r="9173" spans="1:13" x14ac:dyDescent="0.45">
      <c r="A9173" s="142" t="s">
        <v>13462</v>
      </c>
      <c r="B9173" s="142" t="s">
        <v>14653</v>
      </c>
      <c r="C9173" s="142" t="s">
        <v>15847</v>
      </c>
      <c r="D9173" s="142" t="s">
        <v>15848</v>
      </c>
      <c r="E9173" s="142" t="s">
        <v>15849</v>
      </c>
      <c r="F9173" s="142" t="s">
        <v>202</v>
      </c>
      <c r="G9173" s="142" t="s">
        <v>9477</v>
      </c>
      <c r="H9173" s="142" t="s">
        <v>25023</v>
      </c>
      <c r="I9173" s="142">
        <v>453</v>
      </c>
      <c r="J9173" s="142">
        <v>143</v>
      </c>
      <c r="K9173" s="142">
        <v>0</v>
      </c>
      <c r="L9173" s="142">
        <v>284</v>
      </c>
      <c r="M9173" s="142">
        <v>26</v>
      </c>
    </row>
    <row r="9174" spans="1:13" x14ac:dyDescent="0.45">
      <c r="A9174" s="142" t="s">
        <v>13027</v>
      </c>
      <c r="B9174" s="142" t="s">
        <v>14562</v>
      </c>
      <c r="C9174" s="142" t="s">
        <v>15847</v>
      </c>
      <c r="D9174" s="142" t="s">
        <v>15848</v>
      </c>
      <c r="E9174" s="142" t="s">
        <v>15849</v>
      </c>
      <c r="F9174" s="142" t="s">
        <v>202</v>
      </c>
      <c r="G9174" s="142" t="s">
        <v>9477</v>
      </c>
      <c r="H9174" s="142" t="s">
        <v>25024</v>
      </c>
      <c r="I9174" s="142">
        <v>1</v>
      </c>
      <c r="J9174" s="142">
        <v>0</v>
      </c>
      <c r="K9174" s="142">
        <v>0</v>
      </c>
      <c r="L9174" s="142">
        <v>1</v>
      </c>
      <c r="M9174" s="142">
        <v>0</v>
      </c>
    </row>
    <row r="9175" spans="1:13" x14ac:dyDescent="0.45">
      <c r="A9175" s="142" t="s">
        <v>13028</v>
      </c>
      <c r="B9175" s="142" t="s">
        <v>14462</v>
      </c>
      <c r="C9175" s="142" t="s">
        <v>15847</v>
      </c>
      <c r="D9175" s="142" t="s">
        <v>15848</v>
      </c>
      <c r="E9175" s="142" t="s">
        <v>15849</v>
      </c>
      <c r="F9175" s="142" t="s">
        <v>202</v>
      </c>
      <c r="G9175" s="142" t="s">
        <v>9477</v>
      </c>
      <c r="H9175" s="142" t="s">
        <v>25025</v>
      </c>
      <c r="I9175" s="142">
        <v>4</v>
      </c>
      <c r="J9175" s="142">
        <v>0</v>
      </c>
      <c r="K9175" s="142">
        <v>0</v>
      </c>
      <c r="L9175" s="142">
        <v>0</v>
      </c>
      <c r="M9175" s="142">
        <v>4</v>
      </c>
    </row>
    <row r="9176" spans="1:13" x14ac:dyDescent="0.45">
      <c r="A9176" s="142" t="s">
        <v>13199</v>
      </c>
      <c r="B9176" s="142" t="s">
        <v>15362</v>
      </c>
      <c r="C9176" s="142" t="s">
        <v>15847</v>
      </c>
      <c r="D9176" s="142" t="s">
        <v>15848</v>
      </c>
      <c r="E9176" s="142" t="s">
        <v>15849</v>
      </c>
      <c r="F9176" s="142" t="s">
        <v>202</v>
      </c>
      <c r="G9176" s="142" t="s">
        <v>9477</v>
      </c>
      <c r="H9176" s="142" t="s">
        <v>25026</v>
      </c>
      <c r="I9176" s="142">
        <v>84</v>
      </c>
      <c r="J9176" s="142">
        <v>25</v>
      </c>
      <c r="K9176" s="142">
        <v>0</v>
      </c>
      <c r="L9176" s="142">
        <v>46</v>
      </c>
      <c r="M9176" s="142">
        <v>13</v>
      </c>
    </row>
    <row r="9177" spans="1:13" x14ac:dyDescent="0.45">
      <c r="A9177" s="142" t="s">
        <v>13002</v>
      </c>
      <c r="B9177" s="142" t="s">
        <v>15376</v>
      </c>
      <c r="C9177" s="142" t="s">
        <v>15847</v>
      </c>
      <c r="D9177" s="142" t="s">
        <v>15848</v>
      </c>
      <c r="E9177" s="142" t="s">
        <v>15849</v>
      </c>
      <c r="F9177" s="142" t="s">
        <v>202</v>
      </c>
      <c r="G9177" s="142" t="s">
        <v>9477</v>
      </c>
      <c r="H9177" s="142" t="s">
        <v>25027</v>
      </c>
      <c r="I9177" s="142">
        <v>95</v>
      </c>
      <c r="J9177" s="142">
        <v>57</v>
      </c>
      <c r="K9177" s="142">
        <v>0</v>
      </c>
      <c r="L9177" s="142">
        <v>29</v>
      </c>
      <c r="M9177" s="142">
        <v>9</v>
      </c>
    </row>
    <row r="9178" spans="1:13" x14ac:dyDescent="0.45">
      <c r="A9178" s="142" t="s">
        <v>13066</v>
      </c>
      <c r="B9178" s="142" t="s">
        <v>14459</v>
      </c>
      <c r="C9178" s="142" t="s">
        <v>15847</v>
      </c>
      <c r="D9178" s="142" t="s">
        <v>15848</v>
      </c>
      <c r="E9178" s="142" t="s">
        <v>15849</v>
      </c>
      <c r="F9178" s="142" t="s">
        <v>202</v>
      </c>
      <c r="G9178" s="142" t="s">
        <v>9477</v>
      </c>
      <c r="H9178" s="142" t="s">
        <v>25028</v>
      </c>
      <c r="I9178" s="142">
        <v>4</v>
      </c>
      <c r="J9178" s="142">
        <v>0</v>
      </c>
      <c r="K9178" s="142">
        <v>0</v>
      </c>
      <c r="L9178" s="142">
        <v>4</v>
      </c>
      <c r="M9178" s="142">
        <v>0</v>
      </c>
    </row>
    <row r="9179" spans="1:13" x14ac:dyDescent="0.45">
      <c r="A9179" s="142" t="s">
        <v>13005</v>
      </c>
      <c r="B9179" s="142" t="s">
        <v>15475</v>
      </c>
      <c r="C9179" s="142" t="s">
        <v>15847</v>
      </c>
      <c r="D9179" s="142" t="s">
        <v>15848</v>
      </c>
      <c r="E9179" s="142" t="s">
        <v>15849</v>
      </c>
      <c r="F9179" s="142" t="s">
        <v>202</v>
      </c>
      <c r="G9179" s="142" t="s">
        <v>9477</v>
      </c>
      <c r="H9179" s="142" t="s">
        <v>25029</v>
      </c>
      <c r="I9179" s="142">
        <v>1</v>
      </c>
      <c r="J9179" s="142">
        <v>0</v>
      </c>
      <c r="K9179" s="142">
        <v>0</v>
      </c>
      <c r="L9179" s="142">
        <v>0</v>
      </c>
      <c r="M9179" s="142">
        <v>1</v>
      </c>
    </row>
    <row r="9180" spans="1:13" x14ac:dyDescent="0.45">
      <c r="A9180" s="142" t="s">
        <v>13101</v>
      </c>
      <c r="B9180" s="142" t="s">
        <v>15491</v>
      </c>
      <c r="C9180" s="142" t="s">
        <v>15847</v>
      </c>
      <c r="D9180" s="142" t="s">
        <v>15848</v>
      </c>
      <c r="E9180" s="142" t="s">
        <v>15849</v>
      </c>
      <c r="F9180" s="142" t="s">
        <v>202</v>
      </c>
      <c r="G9180" s="142" t="s">
        <v>9477</v>
      </c>
      <c r="H9180" s="142" t="s">
        <v>25030</v>
      </c>
      <c r="I9180" s="142">
        <v>1</v>
      </c>
      <c r="J9180" s="142">
        <v>0</v>
      </c>
      <c r="K9180" s="142">
        <v>0</v>
      </c>
      <c r="L9180" s="142">
        <v>1</v>
      </c>
      <c r="M9180" s="142">
        <v>0</v>
      </c>
    </row>
    <row r="9181" spans="1:13" x14ac:dyDescent="0.45">
      <c r="A9181" s="142" t="s">
        <v>13006</v>
      </c>
      <c r="B9181" s="142" t="s">
        <v>15288</v>
      </c>
      <c r="C9181" s="142" t="s">
        <v>15847</v>
      </c>
      <c r="D9181" s="142" t="s">
        <v>15848</v>
      </c>
      <c r="E9181" s="142" t="s">
        <v>15849</v>
      </c>
      <c r="F9181" s="142" t="s">
        <v>202</v>
      </c>
      <c r="G9181" s="142" t="s">
        <v>9477</v>
      </c>
      <c r="H9181" s="142" t="s">
        <v>25031</v>
      </c>
      <c r="I9181" s="142">
        <v>765</v>
      </c>
      <c r="J9181" s="142">
        <v>287</v>
      </c>
      <c r="K9181" s="142">
        <v>0</v>
      </c>
      <c r="L9181" s="142">
        <v>50</v>
      </c>
      <c r="M9181" s="142">
        <v>428</v>
      </c>
    </row>
    <row r="9182" spans="1:13" x14ac:dyDescent="0.45">
      <c r="A9182" s="142" t="s">
        <v>13007</v>
      </c>
      <c r="B9182" s="142" t="s">
        <v>15262</v>
      </c>
      <c r="C9182" s="142" t="s">
        <v>15847</v>
      </c>
      <c r="D9182" s="142" t="s">
        <v>15848</v>
      </c>
      <c r="E9182" s="142" t="s">
        <v>15849</v>
      </c>
      <c r="F9182" s="142" t="s">
        <v>202</v>
      </c>
      <c r="G9182" s="142" t="s">
        <v>9477</v>
      </c>
      <c r="H9182" s="142" t="s">
        <v>25032</v>
      </c>
      <c r="I9182" s="142">
        <v>25</v>
      </c>
      <c r="J9182" s="142">
        <v>0</v>
      </c>
      <c r="K9182" s="142">
        <v>0</v>
      </c>
      <c r="L9182" s="142">
        <v>0</v>
      </c>
      <c r="M9182" s="142">
        <v>25</v>
      </c>
    </row>
    <row r="9183" spans="1:13" x14ac:dyDescent="0.45">
      <c r="A9183" s="142" t="s">
        <v>13103</v>
      </c>
      <c r="B9183" s="142" t="s">
        <v>14623</v>
      </c>
      <c r="C9183" s="142" t="s">
        <v>15847</v>
      </c>
      <c r="D9183" s="142" t="s">
        <v>15848</v>
      </c>
      <c r="E9183" s="142" t="s">
        <v>15849</v>
      </c>
      <c r="F9183" s="142" t="s">
        <v>202</v>
      </c>
      <c r="G9183" s="142" t="s">
        <v>9477</v>
      </c>
      <c r="H9183" s="142" t="s">
        <v>25033</v>
      </c>
      <c r="I9183" s="142">
        <v>242</v>
      </c>
      <c r="J9183" s="142">
        <v>227</v>
      </c>
      <c r="K9183" s="142">
        <v>0</v>
      </c>
      <c r="L9183" s="142">
        <v>0</v>
      </c>
      <c r="M9183" s="142">
        <v>15</v>
      </c>
    </row>
    <row r="9184" spans="1:13" x14ac:dyDescent="0.45">
      <c r="A9184" s="142" t="s">
        <v>13131</v>
      </c>
      <c r="B9184" s="142" t="s">
        <v>15233</v>
      </c>
      <c r="C9184" s="142" t="s">
        <v>15860</v>
      </c>
      <c r="D9184" s="142" t="s">
        <v>15861</v>
      </c>
      <c r="E9184" s="142" t="s">
        <v>15849</v>
      </c>
      <c r="F9184" s="142" t="s">
        <v>202</v>
      </c>
      <c r="G9184" s="142" t="s">
        <v>9477</v>
      </c>
      <c r="H9184" s="142" t="s">
        <v>25034</v>
      </c>
      <c r="I9184" s="142">
        <v>142</v>
      </c>
      <c r="J9184" s="142">
        <v>0</v>
      </c>
      <c r="K9184" s="142">
        <v>0</v>
      </c>
      <c r="L9184" s="142">
        <v>142</v>
      </c>
      <c r="M9184" s="142">
        <v>0</v>
      </c>
    </row>
    <row r="9185" spans="1:13" x14ac:dyDescent="0.45">
      <c r="A9185" s="142" t="s">
        <v>13133</v>
      </c>
      <c r="B9185" s="142" t="s">
        <v>15291</v>
      </c>
      <c r="C9185" s="142" t="s">
        <v>15847</v>
      </c>
      <c r="D9185" s="142" t="s">
        <v>15848</v>
      </c>
      <c r="E9185" s="142" t="s">
        <v>15849</v>
      </c>
      <c r="F9185" s="142" t="s">
        <v>202</v>
      </c>
      <c r="G9185" s="142" t="s">
        <v>9477</v>
      </c>
      <c r="H9185" s="142" t="s">
        <v>25035</v>
      </c>
      <c r="I9185" s="142">
        <v>92</v>
      </c>
      <c r="J9185" s="142">
        <v>67</v>
      </c>
      <c r="K9185" s="142">
        <v>0</v>
      </c>
      <c r="L9185" s="142">
        <v>0</v>
      </c>
      <c r="M9185" s="142">
        <v>25</v>
      </c>
    </row>
    <row r="9186" spans="1:13" x14ac:dyDescent="0.45">
      <c r="A9186" s="142" t="s">
        <v>13135</v>
      </c>
      <c r="B9186" s="142" t="s">
        <v>15575</v>
      </c>
      <c r="C9186" s="142" t="s">
        <v>15847</v>
      </c>
      <c r="D9186" s="142" t="s">
        <v>15848</v>
      </c>
      <c r="E9186" s="142" t="s">
        <v>15849</v>
      </c>
      <c r="F9186" s="142" t="s">
        <v>202</v>
      </c>
      <c r="G9186" s="142" t="s">
        <v>9477</v>
      </c>
      <c r="H9186" s="142" t="s">
        <v>25036</v>
      </c>
      <c r="I9186" s="142">
        <v>702</v>
      </c>
      <c r="J9186" s="142">
        <v>616</v>
      </c>
      <c r="K9186" s="142">
        <v>0</v>
      </c>
      <c r="L9186" s="142">
        <v>50</v>
      </c>
      <c r="M9186" s="142">
        <v>36</v>
      </c>
    </row>
    <row r="9187" spans="1:13" x14ac:dyDescent="0.45">
      <c r="A9187" s="142" t="s">
        <v>13104</v>
      </c>
      <c r="B9187" s="142" t="s">
        <v>14622</v>
      </c>
      <c r="C9187" s="142" t="s">
        <v>15847</v>
      </c>
      <c r="D9187" s="142" t="s">
        <v>15848</v>
      </c>
      <c r="E9187" s="142" t="s">
        <v>15849</v>
      </c>
      <c r="F9187" s="142" t="s">
        <v>202</v>
      </c>
      <c r="G9187" s="142" t="s">
        <v>9477</v>
      </c>
      <c r="H9187" s="142" t="s">
        <v>25037</v>
      </c>
      <c r="I9187" s="142">
        <v>281</v>
      </c>
      <c r="J9187" s="142">
        <v>220</v>
      </c>
      <c r="K9187" s="142">
        <v>0</v>
      </c>
      <c r="L9187" s="142">
        <v>34</v>
      </c>
      <c r="M9187" s="142">
        <v>27</v>
      </c>
    </row>
    <row r="9188" spans="1:13" x14ac:dyDescent="0.45">
      <c r="A9188" s="142" t="s">
        <v>13034</v>
      </c>
      <c r="B9188" s="142" t="s">
        <v>15562</v>
      </c>
      <c r="C9188" s="142" t="s">
        <v>15847</v>
      </c>
      <c r="D9188" s="142" t="s">
        <v>15848</v>
      </c>
      <c r="E9188" s="142" t="s">
        <v>15849</v>
      </c>
      <c r="F9188" s="142" t="s">
        <v>202</v>
      </c>
      <c r="G9188" s="142" t="s">
        <v>9477</v>
      </c>
      <c r="H9188" s="142" t="s">
        <v>25038</v>
      </c>
      <c r="I9188" s="142">
        <v>7</v>
      </c>
      <c r="J9188" s="142">
        <v>0</v>
      </c>
      <c r="K9188" s="142">
        <v>0</v>
      </c>
      <c r="L9188" s="142">
        <v>7</v>
      </c>
      <c r="M9188" s="142">
        <v>0</v>
      </c>
    </row>
    <row r="9189" spans="1:13" x14ac:dyDescent="0.45">
      <c r="A9189" s="142" t="s">
        <v>13009</v>
      </c>
      <c r="B9189" s="142" t="s">
        <v>15256</v>
      </c>
      <c r="C9189" s="142" t="s">
        <v>15847</v>
      </c>
      <c r="D9189" s="142" t="s">
        <v>15848</v>
      </c>
      <c r="E9189" s="142" t="s">
        <v>15849</v>
      </c>
      <c r="F9189" s="142" t="s">
        <v>202</v>
      </c>
      <c r="G9189" s="142" t="s">
        <v>9477</v>
      </c>
      <c r="H9189" s="142" t="s">
        <v>25039</v>
      </c>
      <c r="I9189" s="142">
        <v>314</v>
      </c>
      <c r="J9189" s="142">
        <v>294</v>
      </c>
      <c r="K9189" s="142">
        <v>0</v>
      </c>
      <c r="L9189" s="142">
        <v>0</v>
      </c>
      <c r="M9189" s="142">
        <v>20</v>
      </c>
    </row>
    <row r="9190" spans="1:13" x14ac:dyDescent="0.45">
      <c r="A9190" s="142" t="s">
        <v>13203</v>
      </c>
      <c r="B9190" s="142" t="s">
        <v>15446</v>
      </c>
      <c r="C9190" s="142" t="s">
        <v>15847</v>
      </c>
      <c r="D9190" s="142" t="s">
        <v>15848</v>
      </c>
      <c r="E9190" s="142" t="s">
        <v>15849</v>
      </c>
      <c r="F9190" s="142" t="s">
        <v>202</v>
      </c>
      <c r="G9190" s="142" t="s">
        <v>9477</v>
      </c>
      <c r="H9190" s="142" t="s">
        <v>25040</v>
      </c>
      <c r="I9190" s="142">
        <v>95</v>
      </c>
      <c r="J9190" s="142">
        <v>46</v>
      </c>
      <c r="K9190" s="142">
        <v>0</v>
      </c>
      <c r="L9190" s="142">
        <v>0</v>
      </c>
      <c r="M9190" s="142">
        <v>49</v>
      </c>
    </row>
    <row r="9191" spans="1:13" x14ac:dyDescent="0.45">
      <c r="A9191" s="142" t="s">
        <v>13011</v>
      </c>
      <c r="B9191" s="142" t="s">
        <v>14695</v>
      </c>
      <c r="C9191" s="142" t="s">
        <v>15847</v>
      </c>
      <c r="D9191" s="142" t="s">
        <v>15848</v>
      </c>
      <c r="E9191" s="142" t="s">
        <v>15849</v>
      </c>
      <c r="F9191" s="142" t="s">
        <v>202</v>
      </c>
      <c r="G9191" s="142" t="s">
        <v>9477</v>
      </c>
      <c r="H9191" s="142" t="s">
        <v>25041</v>
      </c>
      <c r="I9191" s="142">
        <v>1</v>
      </c>
      <c r="J9191" s="142">
        <v>0</v>
      </c>
      <c r="K9191" s="142">
        <v>0</v>
      </c>
      <c r="L9191" s="142">
        <v>0</v>
      </c>
      <c r="M9191" s="142">
        <v>1</v>
      </c>
    </row>
    <row r="9192" spans="1:13" x14ac:dyDescent="0.45">
      <c r="A9192" s="142" t="s">
        <v>13058</v>
      </c>
      <c r="B9192" s="142" t="s">
        <v>14584</v>
      </c>
      <c r="C9192" s="142" t="s">
        <v>15847</v>
      </c>
      <c r="D9192" s="142" t="s">
        <v>15848</v>
      </c>
      <c r="E9192" s="142" t="s">
        <v>15849</v>
      </c>
      <c r="F9192" s="142" t="s">
        <v>202</v>
      </c>
      <c r="G9192" s="142" t="s">
        <v>9477</v>
      </c>
      <c r="H9192" s="142" t="s">
        <v>25042</v>
      </c>
      <c r="I9192" s="142">
        <v>93</v>
      </c>
      <c r="J9192" s="142">
        <v>74</v>
      </c>
      <c r="K9192" s="142">
        <v>0</v>
      </c>
      <c r="L9192" s="142">
        <v>19</v>
      </c>
      <c r="M9192" s="142">
        <v>0</v>
      </c>
    </row>
    <row r="9193" spans="1:13" x14ac:dyDescent="0.45">
      <c r="A9193" s="142" t="s">
        <v>13014</v>
      </c>
      <c r="B9193" s="142" t="s">
        <v>14505</v>
      </c>
      <c r="C9193" s="142" t="s">
        <v>15847</v>
      </c>
      <c r="D9193" s="142" t="s">
        <v>15848</v>
      </c>
      <c r="E9193" s="142" t="s">
        <v>15849</v>
      </c>
      <c r="F9193" s="142" t="s">
        <v>202</v>
      </c>
      <c r="G9193" s="142" t="s">
        <v>9477</v>
      </c>
      <c r="H9193" s="142" t="s">
        <v>25043</v>
      </c>
      <c r="I9193" s="142">
        <v>257</v>
      </c>
      <c r="J9193" s="142">
        <v>257</v>
      </c>
      <c r="K9193" s="142">
        <v>0</v>
      </c>
      <c r="L9193" s="142">
        <v>0</v>
      </c>
      <c r="M9193" s="142">
        <v>0</v>
      </c>
    </row>
    <row r="9194" spans="1:13" x14ac:dyDescent="0.45">
      <c r="A9194" s="142" t="s">
        <v>13395</v>
      </c>
      <c r="B9194" s="142" t="s">
        <v>15476</v>
      </c>
      <c r="C9194" s="142" t="s">
        <v>15847</v>
      </c>
      <c r="D9194" s="142" t="s">
        <v>15848</v>
      </c>
      <c r="E9194" s="142" t="s">
        <v>15849</v>
      </c>
      <c r="F9194" s="142" t="s">
        <v>202</v>
      </c>
      <c r="G9194" s="142" t="s">
        <v>9477</v>
      </c>
      <c r="H9194" s="142" t="s">
        <v>25044</v>
      </c>
      <c r="I9194" s="142">
        <v>250</v>
      </c>
      <c r="J9194" s="142">
        <v>239</v>
      </c>
      <c r="K9194" s="142">
        <v>0</v>
      </c>
      <c r="L9194" s="142">
        <v>0</v>
      </c>
      <c r="M9194" s="142">
        <v>11</v>
      </c>
    </row>
    <row r="9195" spans="1:13" x14ac:dyDescent="0.45">
      <c r="A9195" s="142" t="s">
        <v>13142</v>
      </c>
      <c r="B9195" s="142" t="s">
        <v>15469</v>
      </c>
      <c r="C9195" s="142" t="s">
        <v>15847</v>
      </c>
      <c r="D9195" s="142" t="s">
        <v>15848</v>
      </c>
      <c r="E9195" s="142" t="s">
        <v>15849</v>
      </c>
      <c r="F9195" s="142" t="s">
        <v>202</v>
      </c>
      <c r="G9195" s="142" t="s">
        <v>9477</v>
      </c>
      <c r="H9195" s="142" t="s">
        <v>25045</v>
      </c>
      <c r="I9195" s="142">
        <v>35</v>
      </c>
      <c r="J9195" s="142">
        <v>6</v>
      </c>
      <c r="K9195" s="142">
        <v>0</v>
      </c>
      <c r="L9195" s="142">
        <v>23</v>
      </c>
      <c r="M9195" s="142">
        <v>6</v>
      </c>
    </row>
    <row r="9196" spans="1:13" x14ac:dyDescent="0.45">
      <c r="A9196" s="142" t="s">
        <v>13110</v>
      </c>
      <c r="B9196" s="142" t="s">
        <v>15502</v>
      </c>
      <c r="C9196" s="142" t="s">
        <v>15847</v>
      </c>
      <c r="D9196" s="142" t="s">
        <v>15848</v>
      </c>
      <c r="E9196" s="142" t="s">
        <v>15849</v>
      </c>
      <c r="F9196" s="142" t="s">
        <v>203</v>
      </c>
      <c r="G9196" s="142" t="s">
        <v>1719</v>
      </c>
      <c r="H9196" s="142" t="s">
        <v>25046</v>
      </c>
      <c r="I9196" s="142">
        <v>2</v>
      </c>
      <c r="J9196" s="142">
        <v>2</v>
      </c>
      <c r="K9196" s="142">
        <v>0</v>
      </c>
      <c r="L9196" s="142">
        <v>0</v>
      </c>
      <c r="M9196" s="142">
        <v>0</v>
      </c>
    </row>
    <row r="9197" spans="1:13" x14ac:dyDescent="0.45">
      <c r="A9197" s="142" t="s">
        <v>13308</v>
      </c>
      <c r="B9197" s="142" t="s">
        <v>15608</v>
      </c>
      <c r="C9197" s="142" t="s">
        <v>15847</v>
      </c>
      <c r="D9197" s="142" t="s">
        <v>15848</v>
      </c>
      <c r="E9197" s="142" t="s">
        <v>15849</v>
      </c>
      <c r="F9197" s="142" t="s">
        <v>203</v>
      </c>
      <c r="G9197" s="142" t="s">
        <v>1719</v>
      </c>
      <c r="H9197" s="142" t="s">
        <v>25047</v>
      </c>
      <c r="I9197" s="142">
        <v>47</v>
      </c>
      <c r="J9197" s="142">
        <v>0</v>
      </c>
      <c r="K9197" s="142">
        <v>0</v>
      </c>
      <c r="L9197" s="142">
        <v>0</v>
      </c>
      <c r="M9197" s="142">
        <v>47</v>
      </c>
    </row>
    <row r="9198" spans="1:13" x14ac:dyDescent="0.45">
      <c r="A9198" s="142" t="s">
        <v>13166</v>
      </c>
      <c r="B9198" s="142" t="s">
        <v>15576</v>
      </c>
      <c r="C9198" s="142" t="s">
        <v>15847</v>
      </c>
      <c r="D9198" s="142" t="s">
        <v>15848</v>
      </c>
      <c r="E9198" s="142" t="s">
        <v>15849</v>
      </c>
      <c r="F9198" s="142" t="s">
        <v>203</v>
      </c>
      <c r="G9198" s="142" t="s">
        <v>1719</v>
      </c>
      <c r="H9198" s="142" t="s">
        <v>25048</v>
      </c>
      <c r="I9198" s="142">
        <v>451</v>
      </c>
      <c r="J9198" s="142">
        <v>272</v>
      </c>
      <c r="K9198" s="142">
        <v>0</v>
      </c>
      <c r="L9198" s="142">
        <v>146</v>
      </c>
      <c r="M9198" s="142">
        <v>33</v>
      </c>
    </row>
    <row r="9199" spans="1:13" x14ac:dyDescent="0.45">
      <c r="A9199" s="142" t="s">
        <v>13046</v>
      </c>
      <c r="B9199" s="142" t="s">
        <v>15537</v>
      </c>
      <c r="C9199" s="142" t="s">
        <v>15860</v>
      </c>
      <c r="D9199" s="142" t="s">
        <v>15861</v>
      </c>
      <c r="E9199" s="142" t="s">
        <v>15849</v>
      </c>
      <c r="F9199" s="142" t="s">
        <v>203</v>
      </c>
      <c r="G9199" s="142" t="s">
        <v>1719</v>
      </c>
      <c r="H9199" s="142" t="s">
        <v>25049</v>
      </c>
      <c r="I9199" s="142">
        <v>5</v>
      </c>
      <c r="J9199" s="142">
        <v>0</v>
      </c>
      <c r="K9199" s="142">
        <v>0</v>
      </c>
      <c r="L9199" s="142">
        <v>5</v>
      </c>
      <c r="M9199" s="142">
        <v>0</v>
      </c>
    </row>
    <row r="9200" spans="1:13" x14ac:dyDescent="0.45">
      <c r="A9200" s="142" t="s">
        <v>13167</v>
      </c>
      <c r="B9200" s="142" t="s">
        <v>15418</v>
      </c>
      <c r="C9200" s="142" t="s">
        <v>15847</v>
      </c>
      <c r="D9200" s="142" t="s">
        <v>15848</v>
      </c>
      <c r="E9200" s="142" t="s">
        <v>15849</v>
      </c>
      <c r="F9200" s="142" t="s">
        <v>203</v>
      </c>
      <c r="G9200" s="142" t="s">
        <v>1719</v>
      </c>
      <c r="H9200" s="142" t="s">
        <v>25050</v>
      </c>
      <c r="I9200" s="142">
        <v>99</v>
      </c>
      <c r="J9200" s="142">
        <v>55</v>
      </c>
      <c r="K9200" s="142">
        <v>0</v>
      </c>
      <c r="L9200" s="142">
        <v>0</v>
      </c>
      <c r="M9200" s="142">
        <v>44</v>
      </c>
    </row>
    <row r="9201" spans="1:13" x14ac:dyDescent="0.45">
      <c r="A9201" s="142" t="s">
        <v>13021</v>
      </c>
      <c r="B9201" s="142" t="s">
        <v>15501</v>
      </c>
      <c r="C9201" s="142" t="s">
        <v>15847</v>
      </c>
      <c r="D9201" s="142" t="s">
        <v>15848</v>
      </c>
      <c r="E9201" s="142" t="s">
        <v>15849</v>
      </c>
      <c r="F9201" s="142" t="s">
        <v>203</v>
      </c>
      <c r="G9201" s="142" t="s">
        <v>1719</v>
      </c>
      <c r="H9201" s="142" t="s">
        <v>25051</v>
      </c>
      <c r="I9201" s="142">
        <v>18</v>
      </c>
      <c r="J9201" s="142">
        <v>0</v>
      </c>
      <c r="K9201" s="142">
        <v>0</v>
      </c>
      <c r="L9201" s="142">
        <v>11</v>
      </c>
      <c r="M9201" s="142">
        <v>7</v>
      </c>
    </row>
    <row r="9202" spans="1:13" x14ac:dyDescent="0.45">
      <c r="A9202" s="142" t="s">
        <v>13023</v>
      </c>
      <c r="B9202" s="142" t="s">
        <v>15571</v>
      </c>
      <c r="C9202" s="142" t="s">
        <v>15847</v>
      </c>
      <c r="D9202" s="142" t="s">
        <v>15848</v>
      </c>
      <c r="E9202" s="142" t="s">
        <v>15849</v>
      </c>
      <c r="F9202" s="142" t="s">
        <v>203</v>
      </c>
      <c r="G9202" s="142" t="s">
        <v>1719</v>
      </c>
      <c r="H9202" s="142" t="s">
        <v>25052</v>
      </c>
      <c r="I9202" s="142">
        <v>104</v>
      </c>
      <c r="J9202" s="142">
        <v>0</v>
      </c>
      <c r="K9202" s="142">
        <v>0</v>
      </c>
      <c r="L9202" s="142">
        <v>104</v>
      </c>
      <c r="M9202" s="142">
        <v>0</v>
      </c>
    </row>
    <row r="9203" spans="1:13" x14ac:dyDescent="0.45">
      <c r="A9203" s="142" t="s">
        <v>13047</v>
      </c>
      <c r="B9203" s="142" t="s">
        <v>14616</v>
      </c>
      <c r="C9203" s="142" t="s">
        <v>15847</v>
      </c>
      <c r="D9203" s="142" t="s">
        <v>15848</v>
      </c>
      <c r="E9203" s="142" t="s">
        <v>15849</v>
      </c>
      <c r="F9203" s="142" t="s">
        <v>203</v>
      </c>
      <c r="G9203" s="142" t="s">
        <v>1719</v>
      </c>
      <c r="H9203" s="142" t="s">
        <v>25053</v>
      </c>
      <c r="I9203" s="142">
        <v>40</v>
      </c>
      <c r="J9203" s="142">
        <v>40</v>
      </c>
      <c r="K9203" s="142">
        <v>0</v>
      </c>
      <c r="L9203" s="142">
        <v>0</v>
      </c>
      <c r="M9203" s="142">
        <v>0</v>
      </c>
    </row>
    <row r="9204" spans="1:13" x14ac:dyDescent="0.45">
      <c r="A9204" s="142" t="s">
        <v>13048</v>
      </c>
      <c r="B9204" s="142" t="s">
        <v>14479</v>
      </c>
      <c r="C9204" s="142" t="s">
        <v>15847</v>
      </c>
      <c r="D9204" s="142" t="s">
        <v>15848</v>
      </c>
      <c r="E9204" s="142" t="s">
        <v>15849</v>
      </c>
      <c r="F9204" s="142" t="s">
        <v>203</v>
      </c>
      <c r="G9204" s="142" t="s">
        <v>1719</v>
      </c>
      <c r="H9204" s="142" t="s">
        <v>25054</v>
      </c>
      <c r="I9204" s="142">
        <v>8</v>
      </c>
      <c r="J9204" s="142">
        <v>8</v>
      </c>
      <c r="K9204" s="142">
        <v>0</v>
      </c>
      <c r="L9204" s="142">
        <v>0</v>
      </c>
      <c r="M9204" s="142">
        <v>0</v>
      </c>
    </row>
    <row r="9205" spans="1:13" x14ac:dyDescent="0.45">
      <c r="A9205" s="142" t="s">
        <v>13000</v>
      </c>
      <c r="B9205" s="142" t="s">
        <v>14610</v>
      </c>
      <c r="C9205" s="142" t="s">
        <v>15847</v>
      </c>
      <c r="D9205" s="142" t="s">
        <v>15848</v>
      </c>
      <c r="E9205" s="142" t="s">
        <v>15849</v>
      </c>
      <c r="F9205" s="142" t="s">
        <v>203</v>
      </c>
      <c r="G9205" s="142" t="s">
        <v>1719</v>
      </c>
      <c r="H9205" s="142" t="s">
        <v>25055</v>
      </c>
      <c r="I9205" s="142">
        <v>35</v>
      </c>
      <c r="J9205" s="142">
        <v>25</v>
      </c>
      <c r="K9205" s="142">
        <v>0</v>
      </c>
      <c r="L9205" s="142">
        <v>0</v>
      </c>
      <c r="M9205" s="142">
        <v>10</v>
      </c>
    </row>
    <row r="9206" spans="1:13" x14ac:dyDescent="0.45">
      <c r="A9206" s="142" t="s">
        <v>13074</v>
      </c>
      <c r="B9206" s="142" t="s">
        <v>15405</v>
      </c>
      <c r="C9206" s="142" t="s">
        <v>15847</v>
      </c>
      <c r="D9206" s="142" t="s">
        <v>15848</v>
      </c>
      <c r="E9206" s="142" t="s">
        <v>15849</v>
      </c>
      <c r="F9206" s="142" t="s">
        <v>203</v>
      </c>
      <c r="G9206" s="142" t="s">
        <v>1719</v>
      </c>
      <c r="H9206" s="142" t="s">
        <v>25056</v>
      </c>
      <c r="I9206" s="142">
        <v>26</v>
      </c>
      <c r="J9206" s="142">
        <v>10</v>
      </c>
      <c r="K9206" s="142">
        <v>0</v>
      </c>
      <c r="L9206" s="142">
        <v>0</v>
      </c>
      <c r="M9206" s="142">
        <v>16</v>
      </c>
    </row>
    <row r="9207" spans="1:13" x14ac:dyDescent="0.45">
      <c r="A9207" s="142" t="s">
        <v>14351</v>
      </c>
      <c r="B9207" s="142" t="s">
        <v>14582</v>
      </c>
      <c r="C9207" s="142" t="s">
        <v>15860</v>
      </c>
      <c r="D9207" s="142" t="s">
        <v>15861</v>
      </c>
      <c r="E9207" s="142" t="s">
        <v>15849</v>
      </c>
      <c r="F9207" s="142" t="s">
        <v>203</v>
      </c>
      <c r="G9207" s="142" t="s">
        <v>1719</v>
      </c>
      <c r="H9207" s="142" t="s">
        <v>25057</v>
      </c>
      <c r="I9207" s="142">
        <v>89</v>
      </c>
      <c r="J9207" s="142">
        <v>89</v>
      </c>
      <c r="K9207" s="142">
        <v>0</v>
      </c>
      <c r="L9207" s="142">
        <v>0</v>
      </c>
      <c r="M9207" s="142">
        <v>0</v>
      </c>
    </row>
    <row r="9208" spans="1:13" x14ac:dyDescent="0.45">
      <c r="A9208" s="142" t="s">
        <v>13027</v>
      </c>
      <c r="B9208" s="142" t="s">
        <v>14562</v>
      </c>
      <c r="C9208" s="142" t="s">
        <v>15847</v>
      </c>
      <c r="D9208" s="142" t="s">
        <v>15848</v>
      </c>
      <c r="E9208" s="142" t="s">
        <v>15849</v>
      </c>
      <c r="F9208" s="142" t="s">
        <v>203</v>
      </c>
      <c r="G9208" s="142" t="s">
        <v>1719</v>
      </c>
      <c r="H9208" s="142" t="s">
        <v>25058</v>
      </c>
      <c r="I9208" s="142">
        <v>12</v>
      </c>
      <c r="J9208" s="142">
        <v>0</v>
      </c>
      <c r="K9208" s="142">
        <v>0</v>
      </c>
      <c r="L9208" s="142">
        <v>12</v>
      </c>
      <c r="M9208" s="142">
        <v>0</v>
      </c>
    </row>
    <row r="9209" spans="1:13" x14ac:dyDescent="0.45">
      <c r="A9209" s="142" t="s">
        <v>13001</v>
      </c>
      <c r="B9209" s="142" t="s">
        <v>15506</v>
      </c>
      <c r="C9209" s="142" t="s">
        <v>15847</v>
      </c>
      <c r="D9209" s="142" t="s">
        <v>15848</v>
      </c>
      <c r="E9209" s="142" t="s">
        <v>15849</v>
      </c>
      <c r="F9209" s="142" t="s">
        <v>203</v>
      </c>
      <c r="G9209" s="142" t="s">
        <v>1719</v>
      </c>
      <c r="H9209" s="142" t="s">
        <v>25059</v>
      </c>
      <c r="I9209" s="142">
        <v>21</v>
      </c>
      <c r="J9209" s="142">
        <v>16</v>
      </c>
      <c r="K9209" s="142">
        <v>0</v>
      </c>
      <c r="L9209" s="142">
        <v>5</v>
      </c>
      <c r="M9209" s="142">
        <v>0</v>
      </c>
    </row>
    <row r="9210" spans="1:13" x14ac:dyDescent="0.45">
      <c r="A9210" s="142" t="s">
        <v>13028</v>
      </c>
      <c r="B9210" s="142" t="s">
        <v>14462</v>
      </c>
      <c r="C9210" s="142" t="s">
        <v>15847</v>
      </c>
      <c r="D9210" s="142" t="s">
        <v>15848</v>
      </c>
      <c r="E9210" s="142" t="s">
        <v>15849</v>
      </c>
      <c r="F9210" s="142" t="s">
        <v>203</v>
      </c>
      <c r="G9210" s="142" t="s">
        <v>1719</v>
      </c>
      <c r="H9210" s="142" t="s">
        <v>25060</v>
      </c>
      <c r="I9210" s="142">
        <v>8</v>
      </c>
      <c r="J9210" s="142">
        <v>0</v>
      </c>
      <c r="K9210" s="142">
        <v>0</v>
      </c>
      <c r="L9210" s="142">
        <v>0</v>
      </c>
      <c r="M9210" s="142">
        <v>8</v>
      </c>
    </row>
    <row r="9211" spans="1:13" x14ac:dyDescent="0.45">
      <c r="A9211" s="142" t="s">
        <v>13002</v>
      </c>
      <c r="B9211" s="142" t="s">
        <v>15376</v>
      </c>
      <c r="C9211" s="142" t="s">
        <v>15847</v>
      </c>
      <c r="D9211" s="142" t="s">
        <v>15848</v>
      </c>
      <c r="E9211" s="142" t="s">
        <v>15849</v>
      </c>
      <c r="F9211" s="142" t="s">
        <v>203</v>
      </c>
      <c r="G9211" s="142" t="s">
        <v>1719</v>
      </c>
      <c r="H9211" s="142" t="s">
        <v>25061</v>
      </c>
      <c r="I9211" s="142">
        <v>363</v>
      </c>
      <c r="J9211" s="142">
        <v>291</v>
      </c>
      <c r="K9211" s="142">
        <v>0</v>
      </c>
      <c r="L9211" s="142">
        <v>7</v>
      </c>
      <c r="M9211" s="142">
        <v>65</v>
      </c>
    </row>
    <row r="9212" spans="1:13" x14ac:dyDescent="0.45">
      <c r="A9212" s="142" t="s">
        <v>13003</v>
      </c>
      <c r="B9212" s="142" t="s">
        <v>15245</v>
      </c>
      <c r="C9212" s="142" t="s">
        <v>15847</v>
      </c>
      <c r="D9212" s="142" t="s">
        <v>15848</v>
      </c>
      <c r="E9212" s="142" t="s">
        <v>15849</v>
      </c>
      <c r="F9212" s="142" t="s">
        <v>203</v>
      </c>
      <c r="G9212" s="142" t="s">
        <v>1719</v>
      </c>
      <c r="H9212" s="142" t="s">
        <v>25062</v>
      </c>
      <c r="I9212" s="142">
        <v>51</v>
      </c>
      <c r="J9212" s="142">
        <v>0</v>
      </c>
      <c r="K9212" s="142">
        <v>0</v>
      </c>
      <c r="L9212" s="142">
        <v>39</v>
      </c>
      <c r="M9212" s="142">
        <v>12</v>
      </c>
    </row>
    <row r="9213" spans="1:13" x14ac:dyDescent="0.45">
      <c r="A9213" s="142" t="s">
        <v>13005</v>
      </c>
      <c r="B9213" s="142" t="s">
        <v>15475</v>
      </c>
      <c r="C9213" s="142" t="s">
        <v>15847</v>
      </c>
      <c r="D9213" s="142" t="s">
        <v>15848</v>
      </c>
      <c r="E9213" s="142" t="s">
        <v>15849</v>
      </c>
      <c r="F9213" s="142" t="s">
        <v>203</v>
      </c>
      <c r="G9213" s="142" t="s">
        <v>1719</v>
      </c>
      <c r="H9213" s="142" t="s">
        <v>25063</v>
      </c>
      <c r="I9213" s="142">
        <v>1</v>
      </c>
      <c r="J9213" s="142">
        <v>0</v>
      </c>
      <c r="K9213" s="142">
        <v>0</v>
      </c>
      <c r="L9213" s="142">
        <v>0</v>
      </c>
      <c r="M9213" s="142">
        <v>1</v>
      </c>
    </row>
    <row r="9214" spans="1:13" x14ac:dyDescent="0.45">
      <c r="A9214" s="142" t="s">
        <v>13006</v>
      </c>
      <c r="B9214" s="142" t="s">
        <v>15288</v>
      </c>
      <c r="C9214" s="142" t="s">
        <v>15847</v>
      </c>
      <c r="D9214" s="142" t="s">
        <v>15848</v>
      </c>
      <c r="E9214" s="142" t="s">
        <v>15849</v>
      </c>
      <c r="F9214" s="142" t="s">
        <v>203</v>
      </c>
      <c r="G9214" s="142" t="s">
        <v>1719</v>
      </c>
      <c r="H9214" s="142" t="s">
        <v>25064</v>
      </c>
      <c r="I9214" s="142">
        <v>2</v>
      </c>
      <c r="J9214" s="142">
        <v>0</v>
      </c>
      <c r="K9214" s="142">
        <v>0</v>
      </c>
      <c r="L9214" s="142">
        <v>0</v>
      </c>
      <c r="M9214" s="142">
        <v>2</v>
      </c>
    </row>
    <row r="9215" spans="1:13" x14ac:dyDescent="0.45">
      <c r="A9215" s="142" t="s">
        <v>13054</v>
      </c>
      <c r="B9215" s="142" t="s">
        <v>15604</v>
      </c>
      <c r="C9215" s="142" t="s">
        <v>15847</v>
      </c>
      <c r="D9215" s="142" t="s">
        <v>15848</v>
      </c>
      <c r="E9215" s="142" t="s">
        <v>15849</v>
      </c>
      <c r="F9215" s="142" t="s">
        <v>203</v>
      </c>
      <c r="G9215" s="142" t="s">
        <v>1719</v>
      </c>
      <c r="H9215" s="142" t="s">
        <v>25065</v>
      </c>
      <c r="I9215" s="142">
        <v>1</v>
      </c>
      <c r="J9215" s="142">
        <v>0</v>
      </c>
      <c r="K9215" s="142">
        <v>0</v>
      </c>
      <c r="L9215" s="142">
        <v>0</v>
      </c>
      <c r="M9215" s="142">
        <v>1</v>
      </c>
    </row>
    <row r="9216" spans="1:13" x14ac:dyDescent="0.45">
      <c r="A9216" s="142" t="s">
        <v>13133</v>
      </c>
      <c r="B9216" s="142" t="s">
        <v>15291</v>
      </c>
      <c r="C9216" s="142" t="s">
        <v>15847</v>
      </c>
      <c r="D9216" s="142" t="s">
        <v>15848</v>
      </c>
      <c r="E9216" s="142" t="s">
        <v>15849</v>
      </c>
      <c r="F9216" s="142" t="s">
        <v>203</v>
      </c>
      <c r="G9216" s="142" t="s">
        <v>1719</v>
      </c>
      <c r="H9216" s="142" t="s">
        <v>25066</v>
      </c>
      <c r="I9216" s="142">
        <v>1</v>
      </c>
      <c r="J9216" s="142">
        <v>0</v>
      </c>
      <c r="K9216" s="142">
        <v>0</v>
      </c>
      <c r="L9216" s="142">
        <v>0</v>
      </c>
      <c r="M9216" s="142">
        <v>1</v>
      </c>
    </row>
    <row r="9217" spans="1:13" x14ac:dyDescent="0.45">
      <c r="A9217" s="142" t="s">
        <v>13104</v>
      </c>
      <c r="B9217" s="142" t="s">
        <v>14622</v>
      </c>
      <c r="C9217" s="142" t="s">
        <v>15847</v>
      </c>
      <c r="D9217" s="142" t="s">
        <v>15848</v>
      </c>
      <c r="E9217" s="142" t="s">
        <v>15849</v>
      </c>
      <c r="F9217" s="142" t="s">
        <v>203</v>
      </c>
      <c r="G9217" s="142" t="s">
        <v>1719</v>
      </c>
      <c r="H9217" s="142" t="s">
        <v>25067</v>
      </c>
      <c r="I9217" s="142">
        <v>4</v>
      </c>
      <c r="J9217" s="142">
        <v>1</v>
      </c>
      <c r="K9217" s="142">
        <v>0</v>
      </c>
      <c r="L9217" s="142">
        <v>0</v>
      </c>
      <c r="M9217" s="142">
        <v>3</v>
      </c>
    </row>
    <row r="9218" spans="1:13" x14ac:dyDescent="0.45">
      <c r="A9218" s="142" t="s">
        <v>13033</v>
      </c>
      <c r="B9218" s="142" t="s">
        <v>15276</v>
      </c>
      <c r="C9218" s="142" t="s">
        <v>15847</v>
      </c>
      <c r="D9218" s="142" t="s">
        <v>15848</v>
      </c>
      <c r="E9218" s="142" t="s">
        <v>15849</v>
      </c>
      <c r="F9218" s="142" t="s">
        <v>203</v>
      </c>
      <c r="G9218" s="142" t="s">
        <v>1719</v>
      </c>
      <c r="H9218" s="142" t="s">
        <v>25068</v>
      </c>
      <c r="I9218" s="142">
        <v>51</v>
      </c>
      <c r="J9218" s="142">
        <v>49</v>
      </c>
      <c r="K9218" s="142">
        <v>0</v>
      </c>
      <c r="L9218" s="142">
        <v>0</v>
      </c>
      <c r="M9218" s="142">
        <v>2</v>
      </c>
    </row>
    <row r="9219" spans="1:13" x14ac:dyDescent="0.45">
      <c r="A9219" s="142" t="s">
        <v>13039</v>
      </c>
      <c r="B9219" s="142" t="s">
        <v>14647</v>
      </c>
      <c r="C9219" s="142" t="s">
        <v>15847</v>
      </c>
      <c r="D9219" s="142" t="s">
        <v>15848</v>
      </c>
      <c r="E9219" s="142" t="s">
        <v>15849</v>
      </c>
      <c r="F9219" s="142" t="s">
        <v>203</v>
      </c>
      <c r="G9219" s="142" t="s">
        <v>1719</v>
      </c>
      <c r="H9219" s="142" t="s">
        <v>25069</v>
      </c>
      <c r="I9219" s="142">
        <v>8</v>
      </c>
      <c r="J9219" s="142">
        <v>8</v>
      </c>
      <c r="K9219" s="142">
        <v>0</v>
      </c>
      <c r="L9219" s="142">
        <v>0</v>
      </c>
      <c r="M9219" s="142">
        <v>0</v>
      </c>
    </row>
    <row r="9220" spans="1:13" x14ac:dyDescent="0.45">
      <c r="A9220" s="142" t="s">
        <v>13009</v>
      </c>
      <c r="B9220" s="142" t="s">
        <v>15256</v>
      </c>
      <c r="C9220" s="142" t="s">
        <v>15847</v>
      </c>
      <c r="D9220" s="142" t="s">
        <v>15848</v>
      </c>
      <c r="E9220" s="142" t="s">
        <v>15849</v>
      </c>
      <c r="F9220" s="142" t="s">
        <v>203</v>
      </c>
      <c r="G9220" s="142" t="s">
        <v>1719</v>
      </c>
      <c r="H9220" s="142" t="s">
        <v>25070</v>
      </c>
      <c r="I9220" s="142">
        <v>299</v>
      </c>
      <c r="J9220" s="142">
        <v>273</v>
      </c>
      <c r="K9220" s="142">
        <v>0</v>
      </c>
      <c r="L9220" s="142">
        <v>0</v>
      </c>
      <c r="M9220" s="142">
        <v>26</v>
      </c>
    </row>
    <row r="9221" spans="1:13" x14ac:dyDescent="0.45">
      <c r="A9221" s="142" t="s">
        <v>13011</v>
      </c>
      <c r="B9221" s="142" t="s">
        <v>14695</v>
      </c>
      <c r="C9221" s="142" t="s">
        <v>15847</v>
      </c>
      <c r="D9221" s="142" t="s">
        <v>15848</v>
      </c>
      <c r="E9221" s="142" t="s">
        <v>15849</v>
      </c>
      <c r="F9221" s="142" t="s">
        <v>203</v>
      </c>
      <c r="G9221" s="142" t="s">
        <v>1719</v>
      </c>
      <c r="H9221" s="142" t="s">
        <v>25071</v>
      </c>
      <c r="I9221" s="142">
        <v>316</v>
      </c>
      <c r="J9221" s="142">
        <v>224</v>
      </c>
      <c r="K9221" s="142">
        <v>0</v>
      </c>
      <c r="L9221" s="142">
        <v>92</v>
      </c>
      <c r="M9221" s="142">
        <v>0</v>
      </c>
    </row>
    <row r="9222" spans="1:13" x14ac:dyDescent="0.45">
      <c r="A9222" s="142" t="s">
        <v>13058</v>
      </c>
      <c r="B9222" s="142" t="s">
        <v>14584</v>
      </c>
      <c r="C9222" s="142" t="s">
        <v>15847</v>
      </c>
      <c r="D9222" s="142" t="s">
        <v>15848</v>
      </c>
      <c r="E9222" s="142" t="s">
        <v>15849</v>
      </c>
      <c r="F9222" s="142" t="s">
        <v>203</v>
      </c>
      <c r="G9222" s="142" t="s">
        <v>1719</v>
      </c>
      <c r="H9222" s="142" t="s">
        <v>25072</v>
      </c>
      <c r="I9222" s="142">
        <v>7803</v>
      </c>
      <c r="J9222" s="142">
        <v>6595</v>
      </c>
      <c r="K9222" s="142">
        <v>0</v>
      </c>
      <c r="L9222" s="142">
        <v>652</v>
      </c>
      <c r="M9222" s="142">
        <v>556</v>
      </c>
    </row>
    <row r="9223" spans="1:13" x14ac:dyDescent="0.45">
      <c r="A9223" s="142" t="s">
        <v>13041</v>
      </c>
      <c r="B9223" s="142" t="s">
        <v>14441</v>
      </c>
      <c r="C9223" s="142" t="s">
        <v>15847</v>
      </c>
      <c r="D9223" s="142" t="s">
        <v>15848</v>
      </c>
      <c r="E9223" s="142" t="s">
        <v>15849</v>
      </c>
      <c r="F9223" s="142" t="s">
        <v>203</v>
      </c>
      <c r="G9223" s="142" t="s">
        <v>1719</v>
      </c>
      <c r="H9223" s="142" t="s">
        <v>25073</v>
      </c>
      <c r="I9223" s="142">
        <v>11</v>
      </c>
      <c r="J9223" s="142">
        <v>0</v>
      </c>
      <c r="K9223" s="142">
        <v>0</v>
      </c>
      <c r="L9223" s="142">
        <v>0</v>
      </c>
      <c r="M9223" s="142">
        <v>11</v>
      </c>
    </row>
    <row r="9224" spans="1:13" x14ac:dyDescent="0.45">
      <c r="A9224" s="142" t="s">
        <v>13012</v>
      </c>
      <c r="B9224" s="142" t="s">
        <v>15337</v>
      </c>
      <c r="C9224" s="142" t="s">
        <v>15847</v>
      </c>
      <c r="D9224" s="142" t="s">
        <v>15848</v>
      </c>
      <c r="E9224" s="142" t="s">
        <v>15849</v>
      </c>
      <c r="F9224" s="142" t="s">
        <v>203</v>
      </c>
      <c r="G9224" s="142" t="s">
        <v>1719</v>
      </c>
      <c r="H9224" s="142" t="s">
        <v>25074</v>
      </c>
      <c r="I9224" s="142">
        <v>196</v>
      </c>
      <c r="J9224" s="142">
        <v>139</v>
      </c>
      <c r="K9224" s="142">
        <v>0</v>
      </c>
      <c r="L9224" s="142">
        <v>30</v>
      </c>
      <c r="M9224" s="142">
        <v>27</v>
      </c>
    </row>
    <row r="9225" spans="1:13" x14ac:dyDescent="0.45">
      <c r="A9225" s="142" t="s">
        <v>13060</v>
      </c>
      <c r="B9225" s="142" t="s">
        <v>14470</v>
      </c>
      <c r="C9225" s="142" t="s">
        <v>15847</v>
      </c>
      <c r="D9225" s="142" t="s">
        <v>15848</v>
      </c>
      <c r="E9225" s="142" t="s">
        <v>15849</v>
      </c>
      <c r="F9225" s="142" t="s">
        <v>203</v>
      </c>
      <c r="G9225" s="142" t="s">
        <v>1719</v>
      </c>
      <c r="H9225" s="142" t="s">
        <v>25075</v>
      </c>
      <c r="I9225" s="142">
        <v>52</v>
      </c>
      <c r="J9225" s="142">
        <v>28</v>
      </c>
      <c r="K9225" s="142">
        <v>0</v>
      </c>
      <c r="L9225" s="142">
        <v>0</v>
      </c>
      <c r="M9225" s="142">
        <v>24</v>
      </c>
    </row>
    <row r="9226" spans="1:13" x14ac:dyDescent="0.45">
      <c r="A9226" s="142" t="s">
        <v>14352</v>
      </c>
      <c r="B9226" s="142" t="s">
        <v>14587</v>
      </c>
      <c r="C9226" s="142" t="s">
        <v>15860</v>
      </c>
      <c r="D9226" s="142" t="s">
        <v>15861</v>
      </c>
      <c r="E9226" s="142" t="s">
        <v>15849</v>
      </c>
      <c r="F9226" s="142" t="s">
        <v>203</v>
      </c>
      <c r="G9226" s="142" t="s">
        <v>1719</v>
      </c>
      <c r="H9226" s="142" t="s">
        <v>25076</v>
      </c>
      <c r="I9226" s="142">
        <v>16</v>
      </c>
      <c r="J9226" s="142">
        <v>16</v>
      </c>
      <c r="K9226" s="142">
        <v>0</v>
      </c>
      <c r="L9226" s="142">
        <v>0</v>
      </c>
      <c r="M9226" s="142">
        <v>0</v>
      </c>
    </row>
    <row r="9227" spans="1:13" x14ac:dyDescent="0.45">
      <c r="A9227" s="142" t="s">
        <v>13042</v>
      </c>
      <c r="B9227" s="142" t="s">
        <v>15489</v>
      </c>
      <c r="C9227" s="142" t="s">
        <v>15847</v>
      </c>
      <c r="D9227" s="142" t="s">
        <v>15848</v>
      </c>
      <c r="E9227" s="142" t="s">
        <v>15849</v>
      </c>
      <c r="F9227" s="142" t="s">
        <v>203</v>
      </c>
      <c r="G9227" s="142" t="s">
        <v>1719</v>
      </c>
      <c r="H9227" s="142" t="s">
        <v>25077</v>
      </c>
      <c r="I9227" s="142">
        <v>56</v>
      </c>
      <c r="J9227" s="142">
        <v>19</v>
      </c>
      <c r="K9227" s="142">
        <v>0</v>
      </c>
      <c r="L9227" s="142">
        <v>21</v>
      </c>
      <c r="M9227" s="142">
        <v>16</v>
      </c>
    </row>
    <row r="9228" spans="1:13" x14ac:dyDescent="0.45">
      <c r="A9228" s="142" t="s">
        <v>13174</v>
      </c>
      <c r="B9228" s="142" t="s">
        <v>15280</v>
      </c>
      <c r="C9228" s="142" t="s">
        <v>15847</v>
      </c>
      <c r="D9228" s="142" t="s">
        <v>15848</v>
      </c>
      <c r="E9228" s="142" t="s">
        <v>15849</v>
      </c>
      <c r="F9228" s="142" t="s">
        <v>203</v>
      </c>
      <c r="G9228" s="142" t="s">
        <v>1719</v>
      </c>
      <c r="H9228" s="142" t="s">
        <v>25078</v>
      </c>
      <c r="I9228" s="142">
        <v>2</v>
      </c>
      <c r="J9228" s="142">
        <v>2</v>
      </c>
      <c r="K9228" s="142">
        <v>0</v>
      </c>
      <c r="L9228" s="142">
        <v>0</v>
      </c>
      <c r="M9228" s="142">
        <v>0</v>
      </c>
    </row>
    <row r="9229" spans="1:13" x14ac:dyDescent="0.45">
      <c r="A9229" s="142" t="s">
        <v>13175</v>
      </c>
      <c r="B9229" s="142" t="s">
        <v>15561</v>
      </c>
      <c r="C9229" s="142" t="s">
        <v>15860</v>
      </c>
      <c r="D9229" s="142" t="s">
        <v>15861</v>
      </c>
      <c r="E9229" s="142" t="s">
        <v>15849</v>
      </c>
      <c r="F9229" s="142" t="s">
        <v>203</v>
      </c>
      <c r="G9229" s="142" t="s">
        <v>1719</v>
      </c>
      <c r="H9229" s="142" t="s">
        <v>25079</v>
      </c>
      <c r="I9229" s="142">
        <v>86</v>
      </c>
      <c r="J9229" s="142">
        <v>0</v>
      </c>
      <c r="K9229" s="142">
        <v>0</v>
      </c>
      <c r="L9229" s="142">
        <v>86</v>
      </c>
      <c r="M9229" s="142">
        <v>0</v>
      </c>
    </row>
    <row r="9230" spans="1:13" x14ac:dyDescent="0.45">
      <c r="A9230" s="142" t="s">
        <v>13015</v>
      </c>
      <c r="B9230" s="142" t="s">
        <v>14596</v>
      </c>
      <c r="C9230" s="142" t="s">
        <v>15847</v>
      </c>
      <c r="D9230" s="142" t="s">
        <v>15848</v>
      </c>
      <c r="E9230" s="142" t="s">
        <v>15849</v>
      </c>
      <c r="F9230" s="142" t="s">
        <v>203</v>
      </c>
      <c r="G9230" s="142" t="s">
        <v>1719</v>
      </c>
      <c r="H9230" s="142" t="s">
        <v>25080</v>
      </c>
      <c r="I9230" s="142">
        <v>28</v>
      </c>
      <c r="J9230" s="142">
        <v>19</v>
      </c>
      <c r="K9230" s="142">
        <v>0</v>
      </c>
      <c r="L9230" s="142">
        <v>0</v>
      </c>
      <c r="M9230" s="142">
        <v>9</v>
      </c>
    </row>
    <row r="9231" spans="1:13" x14ac:dyDescent="0.45">
      <c r="A9231" s="142" t="s">
        <v>13016</v>
      </c>
      <c r="B9231" s="142" t="s">
        <v>14535</v>
      </c>
      <c r="C9231" s="142" t="s">
        <v>15860</v>
      </c>
      <c r="D9231" s="142" t="s">
        <v>15861</v>
      </c>
      <c r="E9231" s="142" t="s">
        <v>15849</v>
      </c>
      <c r="F9231" s="142" t="s">
        <v>203</v>
      </c>
      <c r="G9231" s="142" t="s">
        <v>1719</v>
      </c>
      <c r="H9231" s="142" t="s">
        <v>25081</v>
      </c>
      <c r="I9231" s="142">
        <v>22</v>
      </c>
      <c r="J9231" s="142">
        <v>0</v>
      </c>
      <c r="K9231" s="142">
        <v>0</v>
      </c>
      <c r="L9231" s="142">
        <v>22</v>
      </c>
      <c r="M9231" s="142">
        <v>0</v>
      </c>
    </row>
    <row r="9232" spans="1:13" x14ac:dyDescent="0.45">
      <c r="A9232" s="142" t="s">
        <v>14354</v>
      </c>
      <c r="B9232" s="142" t="s">
        <v>15187</v>
      </c>
      <c r="C9232" s="142" t="s">
        <v>15860</v>
      </c>
      <c r="D9232" s="142" t="s">
        <v>15861</v>
      </c>
      <c r="E9232" s="142" t="s">
        <v>15849</v>
      </c>
      <c r="F9232" s="142" t="s">
        <v>204</v>
      </c>
      <c r="G9232" s="142" t="s">
        <v>3753</v>
      </c>
      <c r="H9232" s="142" t="s">
        <v>25082</v>
      </c>
      <c r="I9232" s="142">
        <v>18</v>
      </c>
      <c r="J9232" s="142">
        <v>0</v>
      </c>
      <c r="K9232" s="142">
        <v>0</v>
      </c>
      <c r="L9232" s="142">
        <v>18</v>
      </c>
      <c r="M9232" s="142">
        <v>0</v>
      </c>
    </row>
    <row r="9233" spans="1:13" x14ac:dyDescent="0.45">
      <c r="A9233" s="142" t="s">
        <v>13021</v>
      </c>
      <c r="B9233" s="142" t="s">
        <v>15501</v>
      </c>
      <c r="C9233" s="142" t="s">
        <v>15847</v>
      </c>
      <c r="D9233" s="142" t="s">
        <v>15848</v>
      </c>
      <c r="E9233" s="142" t="s">
        <v>15849</v>
      </c>
      <c r="F9233" s="142" t="s">
        <v>204</v>
      </c>
      <c r="G9233" s="142" t="s">
        <v>3753</v>
      </c>
      <c r="H9233" s="142" t="s">
        <v>25083</v>
      </c>
      <c r="I9233" s="142">
        <v>3</v>
      </c>
      <c r="J9233" s="142">
        <v>0</v>
      </c>
      <c r="K9233" s="142">
        <v>0</v>
      </c>
      <c r="L9233" s="142">
        <v>0</v>
      </c>
      <c r="M9233" s="142">
        <v>3</v>
      </c>
    </row>
    <row r="9234" spans="1:13" x14ac:dyDescent="0.45">
      <c r="A9234" s="142" t="s">
        <v>13023</v>
      </c>
      <c r="B9234" s="142" t="s">
        <v>15571</v>
      </c>
      <c r="C9234" s="142" t="s">
        <v>15847</v>
      </c>
      <c r="D9234" s="142" t="s">
        <v>15848</v>
      </c>
      <c r="E9234" s="142" t="s">
        <v>15849</v>
      </c>
      <c r="F9234" s="142" t="s">
        <v>204</v>
      </c>
      <c r="G9234" s="142" t="s">
        <v>3753</v>
      </c>
      <c r="H9234" s="142" t="s">
        <v>25084</v>
      </c>
      <c r="I9234" s="142">
        <v>8</v>
      </c>
      <c r="J9234" s="142">
        <v>0</v>
      </c>
      <c r="K9234" s="142">
        <v>0</v>
      </c>
      <c r="L9234" s="142">
        <v>8</v>
      </c>
      <c r="M9234" s="142">
        <v>0</v>
      </c>
    </row>
    <row r="9235" spans="1:13" x14ac:dyDescent="0.45">
      <c r="A9235" s="142" t="s">
        <v>13048</v>
      </c>
      <c r="B9235" s="142" t="s">
        <v>14479</v>
      </c>
      <c r="C9235" s="142" t="s">
        <v>15847</v>
      </c>
      <c r="D9235" s="142" t="s">
        <v>15848</v>
      </c>
      <c r="E9235" s="142" t="s">
        <v>15849</v>
      </c>
      <c r="F9235" s="142" t="s">
        <v>204</v>
      </c>
      <c r="G9235" s="142" t="s">
        <v>3753</v>
      </c>
      <c r="H9235" s="142" t="s">
        <v>25085</v>
      </c>
      <c r="I9235" s="142">
        <v>168</v>
      </c>
      <c r="J9235" s="142">
        <v>125</v>
      </c>
      <c r="K9235" s="142">
        <v>0</v>
      </c>
      <c r="L9235" s="142">
        <v>0</v>
      </c>
      <c r="M9235" s="142">
        <v>43</v>
      </c>
    </row>
    <row r="9236" spans="1:13" x14ac:dyDescent="0.45">
      <c r="A9236" s="142" t="s">
        <v>13082</v>
      </c>
      <c r="B9236" s="142" t="s">
        <v>14478</v>
      </c>
      <c r="C9236" s="142" t="s">
        <v>15860</v>
      </c>
      <c r="D9236" s="142" t="s">
        <v>15861</v>
      </c>
      <c r="E9236" s="142" t="s">
        <v>15849</v>
      </c>
      <c r="F9236" s="142" t="s">
        <v>204</v>
      </c>
      <c r="G9236" s="142" t="s">
        <v>3753</v>
      </c>
      <c r="H9236" s="142" t="s">
        <v>25086</v>
      </c>
      <c r="I9236" s="142">
        <v>8</v>
      </c>
      <c r="J9236" s="142">
        <v>0</v>
      </c>
      <c r="K9236" s="142">
        <v>0</v>
      </c>
      <c r="L9236" s="142">
        <v>8</v>
      </c>
      <c r="M9236" s="142">
        <v>0</v>
      </c>
    </row>
    <row r="9237" spans="1:13" x14ac:dyDescent="0.45">
      <c r="A9237" s="142" t="s">
        <v>13644</v>
      </c>
      <c r="B9237" s="142" t="s">
        <v>15253</v>
      </c>
      <c r="C9237" s="142" t="s">
        <v>15847</v>
      </c>
      <c r="D9237" s="142" t="s">
        <v>15848</v>
      </c>
      <c r="E9237" s="142" t="s">
        <v>15849</v>
      </c>
      <c r="F9237" s="142" t="s">
        <v>204</v>
      </c>
      <c r="G9237" s="142" t="s">
        <v>3753</v>
      </c>
      <c r="H9237" s="142" t="s">
        <v>25087</v>
      </c>
      <c r="I9237" s="142">
        <v>16</v>
      </c>
      <c r="J9237" s="142">
        <v>10</v>
      </c>
      <c r="K9237" s="142">
        <v>0</v>
      </c>
      <c r="L9237" s="142">
        <v>0</v>
      </c>
      <c r="M9237" s="142">
        <v>6</v>
      </c>
    </row>
    <row r="9238" spans="1:13" x14ac:dyDescent="0.45">
      <c r="A9238" s="142" t="s">
        <v>13049</v>
      </c>
      <c r="B9238" s="142" t="s">
        <v>14534</v>
      </c>
      <c r="C9238" s="142" t="s">
        <v>15860</v>
      </c>
      <c r="D9238" s="142" t="s">
        <v>15861</v>
      </c>
      <c r="E9238" s="142" t="s">
        <v>15849</v>
      </c>
      <c r="F9238" s="142" t="s">
        <v>204</v>
      </c>
      <c r="G9238" s="142" t="s">
        <v>3753</v>
      </c>
      <c r="H9238" s="142" t="s">
        <v>25088</v>
      </c>
      <c r="I9238" s="142">
        <v>11</v>
      </c>
      <c r="J9238" s="142">
        <v>0</v>
      </c>
      <c r="K9238" s="142">
        <v>0</v>
      </c>
      <c r="L9238" s="142">
        <v>11</v>
      </c>
      <c r="M9238" s="142">
        <v>0</v>
      </c>
    </row>
    <row r="9239" spans="1:13" x14ac:dyDescent="0.45">
      <c r="A9239" s="142" t="s">
        <v>14355</v>
      </c>
      <c r="B9239" s="142" t="s">
        <v>14867</v>
      </c>
      <c r="C9239" s="142" t="s">
        <v>15860</v>
      </c>
      <c r="D9239" s="142" t="s">
        <v>15861</v>
      </c>
      <c r="E9239" s="142" t="s">
        <v>15849</v>
      </c>
      <c r="F9239" s="142" t="s">
        <v>204</v>
      </c>
      <c r="G9239" s="142" t="s">
        <v>3753</v>
      </c>
      <c r="H9239" s="142" t="s">
        <v>25089</v>
      </c>
      <c r="I9239" s="142">
        <v>12</v>
      </c>
      <c r="J9239" s="142">
        <v>0</v>
      </c>
      <c r="K9239" s="142">
        <v>0</v>
      </c>
      <c r="L9239" s="142">
        <v>12</v>
      </c>
      <c r="M9239" s="142">
        <v>0</v>
      </c>
    </row>
    <row r="9240" spans="1:13" x14ac:dyDescent="0.45">
      <c r="A9240" s="142" t="s">
        <v>13027</v>
      </c>
      <c r="B9240" s="142" t="s">
        <v>14562</v>
      </c>
      <c r="C9240" s="142" t="s">
        <v>15847</v>
      </c>
      <c r="D9240" s="142" t="s">
        <v>15848</v>
      </c>
      <c r="E9240" s="142" t="s">
        <v>15849</v>
      </c>
      <c r="F9240" s="142" t="s">
        <v>204</v>
      </c>
      <c r="G9240" s="142" t="s">
        <v>3753</v>
      </c>
      <c r="H9240" s="142" t="s">
        <v>25090</v>
      </c>
      <c r="I9240" s="142">
        <v>2</v>
      </c>
      <c r="J9240" s="142">
        <v>0</v>
      </c>
      <c r="K9240" s="142">
        <v>0</v>
      </c>
      <c r="L9240" s="142">
        <v>2</v>
      </c>
      <c r="M9240" s="142">
        <v>0</v>
      </c>
    </row>
    <row r="9241" spans="1:13" x14ac:dyDescent="0.45">
      <c r="A9241" s="142" t="s">
        <v>13050</v>
      </c>
      <c r="B9241" s="142" t="s">
        <v>15237</v>
      </c>
      <c r="C9241" s="142" t="s">
        <v>15847</v>
      </c>
      <c r="D9241" s="142" t="s">
        <v>15848</v>
      </c>
      <c r="E9241" s="142" t="s">
        <v>15849</v>
      </c>
      <c r="F9241" s="142" t="s">
        <v>204</v>
      </c>
      <c r="G9241" s="142" t="s">
        <v>3753</v>
      </c>
      <c r="H9241" s="142" t="s">
        <v>25091</v>
      </c>
      <c r="I9241" s="142">
        <v>51</v>
      </c>
      <c r="J9241" s="142">
        <v>49</v>
      </c>
      <c r="K9241" s="142">
        <v>0</v>
      </c>
      <c r="L9241" s="142">
        <v>0</v>
      </c>
      <c r="M9241" s="142">
        <v>2</v>
      </c>
    </row>
    <row r="9242" spans="1:13" x14ac:dyDescent="0.45">
      <c r="A9242" s="142" t="s">
        <v>13028</v>
      </c>
      <c r="B9242" s="142" t="s">
        <v>14462</v>
      </c>
      <c r="C9242" s="142" t="s">
        <v>15847</v>
      </c>
      <c r="D9242" s="142" t="s">
        <v>15848</v>
      </c>
      <c r="E9242" s="142" t="s">
        <v>15849</v>
      </c>
      <c r="F9242" s="142" t="s">
        <v>204</v>
      </c>
      <c r="G9242" s="142" t="s">
        <v>3753</v>
      </c>
      <c r="H9242" s="142" t="s">
        <v>25092</v>
      </c>
      <c r="I9242" s="142">
        <v>2</v>
      </c>
      <c r="J9242" s="142">
        <v>0</v>
      </c>
      <c r="K9242" s="142">
        <v>0</v>
      </c>
      <c r="L9242" s="142">
        <v>0</v>
      </c>
      <c r="M9242" s="142">
        <v>2</v>
      </c>
    </row>
    <row r="9243" spans="1:13" x14ac:dyDescent="0.45">
      <c r="A9243" s="142" t="s">
        <v>13178</v>
      </c>
      <c r="B9243" s="142" t="s">
        <v>14683</v>
      </c>
      <c r="C9243" s="142" t="s">
        <v>15847</v>
      </c>
      <c r="D9243" s="142" t="s">
        <v>15848</v>
      </c>
      <c r="E9243" s="142" t="s">
        <v>15849</v>
      </c>
      <c r="F9243" s="142" t="s">
        <v>204</v>
      </c>
      <c r="G9243" s="142" t="s">
        <v>3753</v>
      </c>
      <c r="H9243" s="142" t="s">
        <v>25093</v>
      </c>
      <c r="I9243" s="142">
        <v>17</v>
      </c>
      <c r="J9243" s="142">
        <v>17</v>
      </c>
      <c r="K9243" s="142">
        <v>0</v>
      </c>
      <c r="L9243" s="142">
        <v>0</v>
      </c>
      <c r="M9243" s="142">
        <v>0</v>
      </c>
    </row>
    <row r="9244" spans="1:13" x14ac:dyDescent="0.45">
      <c r="A9244" s="142" t="s">
        <v>13076</v>
      </c>
      <c r="B9244" s="142" t="s">
        <v>14636</v>
      </c>
      <c r="C9244" s="142" t="s">
        <v>15847</v>
      </c>
      <c r="D9244" s="142" t="s">
        <v>15848</v>
      </c>
      <c r="E9244" s="142" t="s">
        <v>15849</v>
      </c>
      <c r="F9244" s="142" t="s">
        <v>204</v>
      </c>
      <c r="G9244" s="142" t="s">
        <v>3753</v>
      </c>
      <c r="H9244" s="142" t="s">
        <v>25094</v>
      </c>
      <c r="I9244" s="142">
        <v>22</v>
      </c>
      <c r="J9244" s="142">
        <v>18</v>
      </c>
      <c r="K9244" s="142">
        <v>0</v>
      </c>
      <c r="L9244" s="142">
        <v>0</v>
      </c>
      <c r="M9244" s="142">
        <v>4</v>
      </c>
    </row>
    <row r="9245" spans="1:13" x14ac:dyDescent="0.45">
      <c r="A9245" s="142" t="s">
        <v>13190</v>
      </c>
      <c r="B9245" s="142" t="s">
        <v>14617</v>
      </c>
      <c r="C9245" s="142" t="s">
        <v>15847</v>
      </c>
      <c r="D9245" s="142" t="s">
        <v>15848</v>
      </c>
      <c r="E9245" s="142" t="s">
        <v>15849</v>
      </c>
      <c r="F9245" s="142" t="s">
        <v>204</v>
      </c>
      <c r="G9245" s="142" t="s">
        <v>3753</v>
      </c>
      <c r="H9245" s="142" t="s">
        <v>25095</v>
      </c>
      <c r="I9245" s="142">
        <v>1884</v>
      </c>
      <c r="J9245" s="142">
        <v>1617</v>
      </c>
      <c r="K9245" s="142">
        <v>2</v>
      </c>
      <c r="L9245" s="142">
        <v>175</v>
      </c>
      <c r="M9245" s="142">
        <v>90</v>
      </c>
    </row>
    <row r="9246" spans="1:13" x14ac:dyDescent="0.45">
      <c r="A9246" s="142" t="s">
        <v>13033</v>
      </c>
      <c r="B9246" s="142" t="s">
        <v>15276</v>
      </c>
      <c r="C9246" s="142" t="s">
        <v>15847</v>
      </c>
      <c r="D9246" s="142" t="s">
        <v>15848</v>
      </c>
      <c r="E9246" s="142" t="s">
        <v>15849</v>
      </c>
      <c r="F9246" s="142" t="s">
        <v>204</v>
      </c>
      <c r="G9246" s="142" t="s">
        <v>3753</v>
      </c>
      <c r="H9246" s="142" t="s">
        <v>25096</v>
      </c>
      <c r="I9246" s="142">
        <v>19</v>
      </c>
      <c r="J9246" s="142">
        <v>19</v>
      </c>
      <c r="K9246" s="142">
        <v>0</v>
      </c>
      <c r="L9246" s="142">
        <v>0</v>
      </c>
      <c r="M9246" s="142">
        <v>0</v>
      </c>
    </row>
    <row r="9247" spans="1:13" x14ac:dyDescent="0.45">
      <c r="A9247" s="142" t="s">
        <v>13034</v>
      </c>
      <c r="B9247" s="142" t="s">
        <v>15562</v>
      </c>
      <c r="C9247" s="142" t="s">
        <v>15847</v>
      </c>
      <c r="D9247" s="142" t="s">
        <v>15848</v>
      </c>
      <c r="E9247" s="142" t="s">
        <v>15849</v>
      </c>
      <c r="F9247" s="142" t="s">
        <v>204</v>
      </c>
      <c r="G9247" s="142" t="s">
        <v>3753</v>
      </c>
      <c r="H9247" s="142" t="s">
        <v>25097</v>
      </c>
      <c r="I9247" s="142">
        <v>20</v>
      </c>
      <c r="J9247" s="142">
        <v>18</v>
      </c>
      <c r="K9247" s="142">
        <v>0</v>
      </c>
      <c r="L9247" s="142">
        <v>0</v>
      </c>
      <c r="M9247" s="142">
        <v>2</v>
      </c>
    </row>
    <row r="9248" spans="1:13" x14ac:dyDescent="0.45">
      <c r="A9248" s="142" t="s">
        <v>13536</v>
      </c>
      <c r="B9248" s="142" t="s">
        <v>15484</v>
      </c>
      <c r="C9248" s="142" t="s">
        <v>15847</v>
      </c>
      <c r="D9248" s="142" t="s">
        <v>15848</v>
      </c>
      <c r="E9248" s="142" t="s">
        <v>15849</v>
      </c>
      <c r="F9248" s="142" t="s">
        <v>204</v>
      </c>
      <c r="G9248" s="142" t="s">
        <v>3753</v>
      </c>
      <c r="H9248" s="142" t="s">
        <v>25098</v>
      </c>
      <c r="I9248" s="142">
        <v>48</v>
      </c>
      <c r="J9248" s="142">
        <v>40</v>
      </c>
      <c r="K9248" s="142">
        <v>0</v>
      </c>
      <c r="L9248" s="142">
        <v>0</v>
      </c>
      <c r="M9248" s="142">
        <v>8</v>
      </c>
    </row>
    <row r="9249" spans="1:13" x14ac:dyDescent="0.45">
      <c r="A9249" s="142" t="s">
        <v>13179</v>
      </c>
      <c r="B9249" s="142" t="s">
        <v>14704</v>
      </c>
      <c r="C9249" s="142" t="s">
        <v>15860</v>
      </c>
      <c r="D9249" s="142" t="s">
        <v>15861</v>
      </c>
      <c r="E9249" s="142" t="s">
        <v>15849</v>
      </c>
      <c r="F9249" s="142" t="s">
        <v>204</v>
      </c>
      <c r="G9249" s="142" t="s">
        <v>3753</v>
      </c>
      <c r="H9249" s="142" t="s">
        <v>25099</v>
      </c>
      <c r="I9249" s="142">
        <v>6</v>
      </c>
      <c r="J9249" s="142">
        <v>6</v>
      </c>
      <c r="K9249" s="142">
        <v>0</v>
      </c>
      <c r="L9249" s="142">
        <v>0</v>
      </c>
      <c r="M9249" s="142">
        <v>0</v>
      </c>
    </row>
    <row r="9250" spans="1:13" x14ac:dyDescent="0.45">
      <c r="A9250" s="142" t="s">
        <v>13009</v>
      </c>
      <c r="B9250" s="142" t="s">
        <v>15256</v>
      </c>
      <c r="C9250" s="142" t="s">
        <v>15847</v>
      </c>
      <c r="D9250" s="142" t="s">
        <v>15848</v>
      </c>
      <c r="E9250" s="142" t="s">
        <v>15849</v>
      </c>
      <c r="F9250" s="142" t="s">
        <v>204</v>
      </c>
      <c r="G9250" s="142" t="s">
        <v>3753</v>
      </c>
      <c r="H9250" s="142" t="s">
        <v>25100</v>
      </c>
      <c r="I9250" s="142">
        <v>162</v>
      </c>
      <c r="J9250" s="142">
        <v>125</v>
      </c>
      <c r="K9250" s="142">
        <v>0</v>
      </c>
      <c r="L9250" s="142">
        <v>37</v>
      </c>
      <c r="M9250" s="142">
        <v>0</v>
      </c>
    </row>
    <row r="9251" spans="1:13" x14ac:dyDescent="0.45">
      <c r="A9251" s="142" t="s">
        <v>13058</v>
      </c>
      <c r="B9251" s="142" t="s">
        <v>14584</v>
      </c>
      <c r="C9251" s="142" t="s">
        <v>15847</v>
      </c>
      <c r="D9251" s="142" t="s">
        <v>15848</v>
      </c>
      <c r="E9251" s="142" t="s">
        <v>15849</v>
      </c>
      <c r="F9251" s="142" t="s">
        <v>204</v>
      </c>
      <c r="G9251" s="142" t="s">
        <v>3753</v>
      </c>
      <c r="H9251" s="142" t="s">
        <v>25101</v>
      </c>
      <c r="I9251" s="142">
        <v>48</v>
      </c>
      <c r="J9251" s="142">
        <v>44</v>
      </c>
      <c r="K9251" s="142">
        <v>0</v>
      </c>
      <c r="L9251" s="142">
        <v>0</v>
      </c>
      <c r="M9251" s="142">
        <v>4</v>
      </c>
    </row>
    <row r="9252" spans="1:13" x14ac:dyDescent="0.45">
      <c r="A9252" s="142" t="s">
        <v>13646</v>
      </c>
      <c r="B9252" s="142" t="s">
        <v>15599</v>
      </c>
      <c r="C9252" s="142" t="s">
        <v>15847</v>
      </c>
      <c r="D9252" s="142" t="s">
        <v>15848</v>
      </c>
      <c r="E9252" s="142" t="s">
        <v>15849</v>
      </c>
      <c r="F9252" s="142" t="s">
        <v>204</v>
      </c>
      <c r="G9252" s="142" t="s">
        <v>3753</v>
      </c>
      <c r="H9252" s="142" t="s">
        <v>25102</v>
      </c>
      <c r="I9252" s="142">
        <v>20</v>
      </c>
      <c r="J9252" s="142">
        <v>13</v>
      </c>
      <c r="K9252" s="142">
        <v>0</v>
      </c>
      <c r="L9252" s="142">
        <v>0</v>
      </c>
      <c r="M9252" s="142">
        <v>7</v>
      </c>
    </row>
    <row r="9253" spans="1:13" x14ac:dyDescent="0.45">
      <c r="A9253" s="142" t="s">
        <v>14356</v>
      </c>
      <c r="B9253" s="142" t="s">
        <v>15162</v>
      </c>
      <c r="C9253" s="142" t="s">
        <v>15860</v>
      </c>
      <c r="D9253" s="142" t="s">
        <v>15861</v>
      </c>
      <c r="E9253" s="142" t="s">
        <v>15849</v>
      </c>
      <c r="F9253" s="142" t="s">
        <v>204</v>
      </c>
      <c r="G9253" s="142" t="s">
        <v>3753</v>
      </c>
      <c r="H9253" s="142" t="s">
        <v>25103</v>
      </c>
      <c r="I9253" s="142">
        <v>7</v>
      </c>
      <c r="J9253" s="142">
        <v>0</v>
      </c>
      <c r="K9253" s="142">
        <v>0</v>
      </c>
      <c r="L9253" s="142">
        <v>7</v>
      </c>
      <c r="M9253" s="142">
        <v>0</v>
      </c>
    </row>
    <row r="9254" spans="1:13" x14ac:dyDescent="0.45">
      <c r="A9254" s="142" t="s">
        <v>13014</v>
      </c>
      <c r="B9254" s="142" t="s">
        <v>14505</v>
      </c>
      <c r="C9254" s="142" t="s">
        <v>15847</v>
      </c>
      <c r="D9254" s="142" t="s">
        <v>15848</v>
      </c>
      <c r="E9254" s="142" t="s">
        <v>15849</v>
      </c>
      <c r="F9254" s="142" t="s">
        <v>204</v>
      </c>
      <c r="G9254" s="142" t="s">
        <v>3753</v>
      </c>
      <c r="H9254" s="142" t="s">
        <v>25104</v>
      </c>
      <c r="I9254" s="142">
        <v>64</v>
      </c>
      <c r="J9254" s="142">
        <v>0</v>
      </c>
      <c r="K9254" s="142">
        <v>0</v>
      </c>
      <c r="L9254" s="142">
        <v>64</v>
      </c>
      <c r="M9254" s="142">
        <v>0</v>
      </c>
    </row>
    <row r="9255" spans="1:13" x14ac:dyDescent="0.45">
      <c r="A9255" s="142" t="s">
        <v>13016</v>
      </c>
      <c r="B9255" s="142" t="s">
        <v>14535</v>
      </c>
      <c r="C9255" s="142" t="s">
        <v>15860</v>
      </c>
      <c r="D9255" s="142" t="s">
        <v>15861</v>
      </c>
      <c r="E9255" s="142" t="s">
        <v>15849</v>
      </c>
      <c r="F9255" s="142" t="s">
        <v>204</v>
      </c>
      <c r="G9255" s="142" t="s">
        <v>3753</v>
      </c>
      <c r="H9255" s="142" t="s">
        <v>25105</v>
      </c>
      <c r="I9255" s="142">
        <v>45</v>
      </c>
      <c r="J9255" s="142">
        <v>0</v>
      </c>
      <c r="K9255" s="142">
        <v>0</v>
      </c>
      <c r="L9255" s="142">
        <v>45</v>
      </c>
      <c r="M9255" s="142">
        <v>0</v>
      </c>
    </row>
    <row r="9256" spans="1:13" x14ac:dyDescent="0.45">
      <c r="A9256" s="142" t="s">
        <v>13541</v>
      </c>
      <c r="B9256" s="142" t="s">
        <v>14579</v>
      </c>
      <c r="C9256" s="142" t="s">
        <v>15847</v>
      </c>
      <c r="D9256" s="142" t="s">
        <v>15848</v>
      </c>
      <c r="E9256" s="142" t="s">
        <v>15849</v>
      </c>
      <c r="F9256" s="142" t="s">
        <v>204</v>
      </c>
      <c r="G9256" s="142" t="s">
        <v>3753</v>
      </c>
      <c r="H9256" s="142" t="s">
        <v>25106</v>
      </c>
      <c r="I9256" s="142">
        <v>144</v>
      </c>
      <c r="J9256" s="142">
        <v>115</v>
      </c>
      <c r="K9256" s="142">
        <v>0</v>
      </c>
      <c r="L9256" s="142">
        <v>0</v>
      </c>
      <c r="M9256" s="142">
        <v>29</v>
      </c>
    </row>
    <row r="9257" spans="1:13" x14ac:dyDescent="0.45">
      <c r="A9257" s="142" t="s">
        <v>13542</v>
      </c>
      <c r="B9257" s="142" t="s">
        <v>15368</v>
      </c>
      <c r="C9257" s="142" t="s">
        <v>15847</v>
      </c>
      <c r="D9257" s="142" t="s">
        <v>15848</v>
      </c>
      <c r="E9257" s="142" t="s">
        <v>15849</v>
      </c>
      <c r="F9257" s="142" t="s">
        <v>204</v>
      </c>
      <c r="G9257" s="142" t="s">
        <v>3753</v>
      </c>
      <c r="H9257" s="142" t="s">
        <v>25107</v>
      </c>
      <c r="I9257" s="142">
        <v>103</v>
      </c>
      <c r="J9257" s="142">
        <v>98</v>
      </c>
      <c r="K9257" s="142">
        <v>0</v>
      </c>
      <c r="L9257" s="142">
        <v>0</v>
      </c>
      <c r="M9257" s="142">
        <v>5</v>
      </c>
    </row>
    <row r="9258" spans="1:13" x14ac:dyDescent="0.45">
      <c r="A9258" s="142" t="s">
        <v>13023</v>
      </c>
      <c r="B9258" s="142" t="s">
        <v>15571</v>
      </c>
      <c r="C9258" s="142" t="s">
        <v>15847</v>
      </c>
      <c r="D9258" s="142" t="s">
        <v>15848</v>
      </c>
      <c r="E9258" s="142" t="s">
        <v>15849</v>
      </c>
      <c r="F9258" s="142" t="s">
        <v>205</v>
      </c>
      <c r="G9258" s="142" t="s">
        <v>6329</v>
      </c>
      <c r="H9258" s="142" t="s">
        <v>25108</v>
      </c>
      <c r="I9258" s="142">
        <v>80</v>
      </c>
      <c r="J9258" s="142">
        <v>0</v>
      </c>
      <c r="K9258" s="142">
        <v>0</v>
      </c>
      <c r="L9258" s="142">
        <v>70</v>
      </c>
      <c r="M9258" s="142">
        <v>10</v>
      </c>
    </row>
    <row r="9259" spans="1:13" x14ac:dyDescent="0.45">
      <c r="A9259" s="142" t="s">
        <v>13279</v>
      </c>
      <c r="B9259" s="142" t="s">
        <v>14507</v>
      </c>
      <c r="C9259" s="142" t="s">
        <v>15860</v>
      </c>
      <c r="D9259" s="142" t="s">
        <v>15861</v>
      </c>
      <c r="E9259" s="142" t="s">
        <v>15849</v>
      </c>
      <c r="F9259" s="142" t="s">
        <v>205</v>
      </c>
      <c r="G9259" s="142" t="s">
        <v>6329</v>
      </c>
      <c r="H9259" s="142" t="s">
        <v>25109</v>
      </c>
      <c r="I9259" s="142">
        <v>8</v>
      </c>
      <c r="J9259" s="142">
        <v>0</v>
      </c>
      <c r="K9259" s="142">
        <v>0</v>
      </c>
      <c r="L9259" s="142">
        <v>8</v>
      </c>
      <c r="M9259" s="142">
        <v>0</v>
      </c>
    </row>
    <row r="9260" spans="1:13" x14ac:dyDescent="0.45">
      <c r="A9260" s="142" t="s">
        <v>13147</v>
      </c>
      <c r="B9260" s="142" t="s">
        <v>14529</v>
      </c>
      <c r="C9260" s="142" t="s">
        <v>15860</v>
      </c>
      <c r="D9260" s="142" t="s">
        <v>15861</v>
      </c>
      <c r="E9260" s="142" t="s">
        <v>15849</v>
      </c>
      <c r="F9260" s="142" t="s">
        <v>205</v>
      </c>
      <c r="G9260" s="142" t="s">
        <v>6329</v>
      </c>
      <c r="H9260" s="142" t="s">
        <v>25110</v>
      </c>
      <c r="I9260" s="142">
        <v>4</v>
      </c>
      <c r="J9260" s="142">
        <v>4</v>
      </c>
      <c r="K9260" s="142">
        <v>0</v>
      </c>
      <c r="L9260" s="142">
        <v>0</v>
      </c>
      <c r="M9260" s="142">
        <v>0</v>
      </c>
    </row>
    <row r="9261" spans="1:13" x14ac:dyDescent="0.45">
      <c r="A9261" s="142" t="s">
        <v>13289</v>
      </c>
      <c r="B9261" s="142" t="s">
        <v>14423</v>
      </c>
      <c r="C9261" s="142" t="s">
        <v>15847</v>
      </c>
      <c r="D9261" s="142" t="s">
        <v>15848</v>
      </c>
      <c r="E9261" s="142" t="s">
        <v>15849</v>
      </c>
      <c r="F9261" s="142" t="s">
        <v>205</v>
      </c>
      <c r="G9261" s="142" t="s">
        <v>6329</v>
      </c>
      <c r="H9261" s="142" t="s">
        <v>25111</v>
      </c>
      <c r="I9261" s="142">
        <v>44</v>
      </c>
      <c r="J9261" s="142">
        <v>31</v>
      </c>
      <c r="K9261" s="142">
        <v>0</v>
      </c>
      <c r="L9261" s="142">
        <v>0</v>
      </c>
      <c r="M9261" s="142">
        <v>13</v>
      </c>
    </row>
    <row r="9262" spans="1:13" x14ac:dyDescent="0.45">
      <c r="A9262" s="142" t="s">
        <v>13407</v>
      </c>
      <c r="B9262" s="142" t="s">
        <v>15432</v>
      </c>
      <c r="C9262" s="142" t="s">
        <v>15847</v>
      </c>
      <c r="D9262" s="142" t="s">
        <v>15848</v>
      </c>
      <c r="E9262" s="142" t="s">
        <v>15849</v>
      </c>
      <c r="F9262" s="142" t="s">
        <v>205</v>
      </c>
      <c r="G9262" s="142" t="s">
        <v>6329</v>
      </c>
      <c r="H9262" s="142" t="s">
        <v>25112</v>
      </c>
      <c r="I9262" s="142">
        <v>24</v>
      </c>
      <c r="J9262" s="142">
        <v>0</v>
      </c>
      <c r="K9262" s="142">
        <v>0</v>
      </c>
      <c r="L9262" s="142">
        <v>24</v>
      </c>
      <c r="M9262" s="142">
        <v>0</v>
      </c>
    </row>
    <row r="9263" spans="1:13" x14ac:dyDescent="0.45">
      <c r="A9263" s="142" t="s">
        <v>13273</v>
      </c>
      <c r="B9263" s="142" t="s">
        <v>14465</v>
      </c>
      <c r="C9263" s="142" t="s">
        <v>15860</v>
      </c>
      <c r="D9263" s="142" t="s">
        <v>15861</v>
      </c>
      <c r="E9263" s="142" t="s">
        <v>15849</v>
      </c>
      <c r="F9263" s="142" t="s">
        <v>205</v>
      </c>
      <c r="G9263" s="142" t="s">
        <v>6329</v>
      </c>
      <c r="H9263" s="142" t="s">
        <v>25113</v>
      </c>
      <c r="I9263" s="142">
        <v>16</v>
      </c>
      <c r="J9263" s="142">
        <v>0</v>
      </c>
      <c r="K9263" s="142">
        <v>0</v>
      </c>
      <c r="L9263" s="142">
        <v>16</v>
      </c>
      <c r="M9263" s="142">
        <v>0</v>
      </c>
    </row>
    <row r="9264" spans="1:13" x14ac:dyDescent="0.45">
      <c r="A9264" s="142" t="s">
        <v>13280</v>
      </c>
      <c r="B9264" s="142" t="s">
        <v>15460</v>
      </c>
      <c r="C9264" s="142" t="s">
        <v>15847</v>
      </c>
      <c r="D9264" s="142" t="s">
        <v>15848</v>
      </c>
      <c r="E9264" s="142" t="s">
        <v>15849</v>
      </c>
      <c r="F9264" s="142" t="s">
        <v>205</v>
      </c>
      <c r="G9264" s="142" t="s">
        <v>6329</v>
      </c>
      <c r="H9264" s="142" t="s">
        <v>25114</v>
      </c>
      <c r="I9264" s="142">
        <v>6</v>
      </c>
      <c r="J9264" s="142">
        <v>6</v>
      </c>
      <c r="K9264" s="142">
        <v>0</v>
      </c>
      <c r="L9264" s="142">
        <v>0</v>
      </c>
      <c r="M9264" s="142">
        <v>0</v>
      </c>
    </row>
    <row r="9265" spans="1:13" x14ac:dyDescent="0.45">
      <c r="A9265" s="142" t="s">
        <v>13085</v>
      </c>
      <c r="B9265" s="142" t="s">
        <v>14460</v>
      </c>
      <c r="C9265" s="142" t="s">
        <v>15860</v>
      </c>
      <c r="D9265" s="142" t="s">
        <v>15861</v>
      </c>
      <c r="E9265" s="142" t="s">
        <v>15849</v>
      </c>
      <c r="F9265" s="142" t="s">
        <v>205</v>
      </c>
      <c r="G9265" s="142" t="s">
        <v>6329</v>
      </c>
      <c r="H9265" s="142" t="s">
        <v>25115</v>
      </c>
      <c r="I9265" s="142">
        <v>42</v>
      </c>
      <c r="J9265" s="142">
        <v>0</v>
      </c>
      <c r="K9265" s="142">
        <v>0</v>
      </c>
      <c r="L9265" s="142">
        <v>42</v>
      </c>
      <c r="M9265" s="142">
        <v>0</v>
      </c>
    </row>
    <row r="9266" spans="1:13" x14ac:dyDescent="0.45">
      <c r="A9266" s="142" t="s">
        <v>13148</v>
      </c>
      <c r="B9266" s="142" t="s">
        <v>15314</v>
      </c>
      <c r="C9266" s="142" t="s">
        <v>15847</v>
      </c>
      <c r="D9266" s="142" t="s">
        <v>15848</v>
      </c>
      <c r="E9266" s="142" t="s">
        <v>15849</v>
      </c>
      <c r="F9266" s="142" t="s">
        <v>205</v>
      </c>
      <c r="G9266" s="142" t="s">
        <v>6329</v>
      </c>
      <c r="H9266" s="142" t="s">
        <v>25116</v>
      </c>
      <c r="I9266" s="142">
        <v>2</v>
      </c>
      <c r="J9266" s="142">
        <v>2</v>
      </c>
      <c r="K9266" s="142">
        <v>0</v>
      </c>
      <c r="L9266" s="142">
        <v>0</v>
      </c>
      <c r="M9266" s="142">
        <v>0</v>
      </c>
    </row>
    <row r="9267" spans="1:13" x14ac:dyDescent="0.45">
      <c r="A9267" s="142" t="s">
        <v>13149</v>
      </c>
      <c r="B9267" s="142" t="s">
        <v>14458</v>
      </c>
      <c r="C9267" s="142" t="s">
        <v>15860</v>
      </c>
      <c r="D9267" s="142" t="s">
        <v>15861</v>
      </c>
      <c r="E9267" s="142" t="s">
        <v>15849</v>
      </c>
      <c r="F9267" s="142" t="s">
        <v>205</v>
      </c>
      <c r="G9267" s="142" t="s">
        <v>6329</v>
      </c>
      <c r="H9267" s="142" t="s">
        <v>25117</v>
      </c>
      <c r="I9267" s="142">
        <v>6</v>
      </c>
      <c r="J9267" s="142">
        <v>0</v>
      </c>
      <c r="K9267" s="142">
        <v>0</v>
      </c>
      <c r="L9267" s="142">
        <v>6</v>
      </c>
      <c r="M9267" s="142">
        <v>0</v>
      </c>
    </row>
    <row r="9268" spans="1:13" x14ac:dyDescent="0.45">
      <c r="A9268" s="142" t="s">
        <v>13028</v>
      </c>
      <c r="B9268" s="142" t="s">
        <v>14462</v>
      </c>
      <c r="C9268" s="142" t="s">
        <v>15847</v>
      </c>
      <c r="D9268" s="142" t="s">
        <v>15848</v>
      </c>
      <c r="E9268" s="142" t="s">
        <v>15849</v>
      </c>
      <c r="F9268" s="142" t="s">
        <v>205</v>
      </c>
      <c r="G9268" s="142" t="s">
        <v>6329</v>
      </c>
      <c r="H9268" s="142" t="s">
        <v>25118</v>
      </c>
      <c r="I9268" s="142">
        <v>125</v>
      </c>
      <c r="J9268" s="142">
        <v>0</v>
      </c>
      <c r="K9268" s="142">
        <v>0</v>
      </c>
      <c r="L9268" s="142">
        <v>0</v>
      </c>
      <c r="M9268" s="142">
        <v>125</v>
      </c>
    </row>
    <row r="9269" spans="1:13" x14ac:dyDescent="0.45">
      <c r="A9269" s="142" t="s">
        <v>13003</v>
      </c>
      <c r="B9269" s="142" t="s">
        <v>15245</v>
      </c>
      <c r="C9269" s="142" t="s">
        <v>15847</v>
      </c>
      <c r="D9269" s="142" t="s">
        <v>15848</v>
      </c>
      <c r="E9269" s="142" t="s">
        <v>15849</v>
      </c>
      <c r="F9269" s="142" t="s">
        <v>205</v>
      </c>
      <c r="G9269" s="142" t="s">
        <v>6329</v>
      </c>
      <c r="H9269" s="142" t="s">
        <v>25119</v>
      </c>
      <c r="I9269" s="142">
        <v>110</v>
      </c>
      <c r="J9269" s="142">
        <v>0</v>
      </c>
      <c r="K9269" s="142">
        <v>0</v>
      </c>
      <c r="L9269" s="142">
        <v>110</v>
      </c>
      <c r="M9269" s="142">
        <v>0</v>
      </c>
    </row>
    <row r="9270" spans="1:13" x14ac:dyDescent="0.45">
      <c r="A9270" s="142" t="s">
        <v>13290</v>
      </c>
      <c r="B9270" s="142" t="s">
        <v>15246</v>
      </c>
      <c r="C9270" s="142" t="s">
        <v>15847</v>
      </c>
      <c r="D9270" s="142" t="s">
        <v>15848</v>
      </c>
      <c r="E9270" s="142" t="s">
        <v>15849</v>
      </c>
      <c r="F9270" s="142" t="s">
        <v>205</v>
      </c>
      <c r="G9270" s="142" t="s">
        <v>6329</v>
      </c>
      <c r="H9270" s="142" t="s">
        <v>25120</v>
      </c>
      <c r="I9270" s="142">
        <v>5</v>
      </c>
      <c r="J9270" s="142">
        <v>0</v>
      </c>
      <c r="K9270" s="142">
        <v>0</v>
      </c>
      <c r="L9270" s="142">
        <v>5</v>
      </c>
      <c r="M9270" s="142">
        <v>0</v>
      </c>
    </row>
    <row r="9271" spans="1:13" x14ac:dyDescent="0.45">
      <c r="A9271" s="142" t="s">
        <v>13291</v>
      </c>
      <c r="B9271" s="142" t="s">
        <v>15495</v>
      </c>
      <c r="C9271" s="142" t="s">
        <v>15847</v>
      </c>
      <c r="D9271" s="142" t="s">
        <v>15848</v>
      </c>
      <c r="E9271" s="142" t="s">
        <v>15849</v>
      </c>
      <c r="F9271" s="142" t="s">
        <v>205</v>
      </c>
      <c r="G9271" s="142" t="s">
        <v>6329</v>
      </c>
      <c r="H9271" s="142" t="s">
        <v>25121</v>
      </c>
      <c r="I9271" s="142">
        <v>276</v>
      </c>
      <c r="J9271" s="142">
        <v>245</v>
      </c>
      <c r="K9271" s="142">
        <v>0</v>
      </c>
      <c r="L9271" s="142">
        <v>7</v>
      </c>
      <c r="M9271" s="142">
        <v>24</v>
      </c>
    </row>
    <row r="9272" spans="1:13" x14ac:dyDescent="0.45">
      <c r="A9272" s="142" t="s">
        <v>13744</v>
      </c>
      <c r="B9272" s="142" t="s">
        <v>15593</v>
      </c>
      <c r="C9272" s="142" t="s">
        <v>15847</v>
      </c>
      <c r="D9272" s="142" t="s">
        <v>15848</v>
      </c>
      <c r="E9272" s="142" t="s">
        <v>15849</v>
      </c>
      <c r="F9272" s="142" t="s">
        <v>205</v>
      </c>
      <c r="G9272" s="142" t="s">
        <v>6329</v>
      </c>
      <c r="H9272" s="142" t="s">
        <v>25122</v>
      </c>
      <c r="I9272" s="142">
        <v>73</v>
      </c>
      <c r="J9272" s="142">
        <v>69</v>
      </c>
      <c r="K9272" s="142">
        <v>0</v>
      </c>
      <c r="L9272" s="142">
        <v>0</v>
      </c>
      <c r="M9272" s="142">
        <v>4</v>
      </c>
    </row>
    <row r="9273" spans="1:13" x14ac:dyDescent="0.45">
      <c r="A9273" s="142" t="s">
        <v>13005</v>
      </c>
      <c r="B9273" s="142" t="s">
        <v>15475</v>
      </c>
      <c r="C9273" s="142" t="s">
        <v>15847</v>
      </c>
      <c r="D9273" s="142" t="s">
        <v>15848</v>
      </c>
      <c r="E9273" s="142" t="s">
        <v>15849</v>
      </c>
      <c r="F9273" s="142" t="s">
        <v>205</v>
      </c>
      <c r="G9273" s="142" t="s">
        <v>6329</v>
      </c>
      <c r="H9273" s="142" t="s">
        <v>25123</v>
      </c>
      <c r="I9273" s="142">
        <v>55</v>
      </c>
      <c r="J9273" s="142">
        <v>24</v>
      </c>
      <c r="K9273" s="142">
        <v>0</v>
      </c>
      <c r="L9273" s="142">
        <v>0</v>
      </c>
      <c r="M9273" s="142">
        <v>31</v>
      </c>
    </row>
    <row r="9274" spans="1:13" x14ac:dyDescent="0.45">
      <c r="A9274" s="142" t="s">
        <v>13284</v>
      </c>
      <c r="B9274" s="142" t="s">
        <v>15364</v>
      </c>
      <c r="C9274" s="142" t="s">
        <v>15847</v>
      </c>
      <c r="D9274" s="142" t="s">
        <v>15848</v>
      </c>
      <c r="E9274" s="142" t="s">
        <v>15849</v>
      </c>
      <c r="F9274" s="142" t="s">
        <v>205</v>
      </c>
      <c r="G9274" s="142" t="s">
        <v>6329</v>
      </c>
      <c r="H9274" s="142" t="s">
        <v>25124</v>
      </c>
      <c r="I9274" s="142">
        <v>94</v>
      </c>
      <c r="J9274" s="142">
        <v>85</v>
      </c>
      <c r="K9274" s="142">
        <v>0</v>
      </c>
      <c r="L9274" s="142">
        <v>9</v>
      </c>
      <c r="M9274" s="142">
        <v>0</v>
      </c>
    </row>
    <row r="9275" spans="1:13" x14ac:dyDescent="0.45">
      <c r="A9275" s="142" t="s">
        <v>13486</v>
      </c>
      <c r="B9275" s="142" t="s">
        <v>14563</v>
      </c>
      <c r="C9275" s="142" t="s">
        <v>15847</v>
      </c>
      <c r="D9275" s="142" t="s">
        <v>15848</v>
      </c>
      <c r="E9275" s="142" t="s">
        <v>15849</v>
      </c>
      <c r="F9275" s="142" t="s">
        <v>205</v>
      </c>
      <c r="G9275" s="142" t="s">
        <v>6329</v>
      </c>
      <c r="H9275" s="142" t="s">
        <v>25125</v>
      </c>
      <c r="I9275" s="142">
        <v>130</v>
      </c>
      <c r="J9275" s="142">
        <v>92</v>
      </c>
      <c r="K9275" s="142">
        <v>0</v>
      </c>
      <c r="L9275" s="142">
        <v>0</v>
      </c>
      <c r="M9275" s="142">
        <v>38</v>
      </c>
    </row>
    <row r="9276" spans="1:13" x14ac:dyDescent="0.45">
      <c r="A9276" s="142" t="s">
        <v>13276</v>
      </c>
      <c r="B9276" s="142" t="s">
        <v>15498</v>
      </c>
      <c r="C9276" s="142" t="s">
        <v>15847</v>
      </c>
      <c r="D9276" s="142" t="s">
        <v>15848</v>
      </c>
      <c r="E9276" s="142" t="s">
        <v>15849</v>
      </c>
      <c r="F9276" s="142" t="s">
        <v>205</v>
      </c>
      <c r="G9276" s="142" t="s">
        <v>6329</v>
      </c>
      <c r="H9276" s="142" t="s">
        <v>25126</v>
      </c>
      <c r="I9276" s="142">
        <v>124</v>
      </c>
      <c r="J9276" s="142">
        <v>31</v>
      </c>
      <c r="K9276" s="142">
        <v>0</v>
      </c>
      <c r="L9276" s="142">
        <v>25</v>
      </c>
      <c r="M9276" s="142">
        <v>68</v>
      </c>
    </row>
    <row r="9277" spans="1:13" x14ac:dyDescent="0.45">
      <c r="A9277" s="142" t="s">
        <v>13032</v>
      </c>
      <c r="B9277" s="142" t="s">
        <v>14532</v>
      </c>
      <c r="C9277" s="142" t="s">
        <v>15860</v>
      </c>
      <c r="D9277" s="142" t="s">
        <v>15861</v>
      </c>
      <c r="E9277" s="142" t="s">
        <v>15849</v>
      </c>
      <c r="F9277" s="142" t="s">
        <v>205</v>
      </c>
      <c r="G9277" s="142" t="s">
        <v>6329</v>
      </c>
      <c r="H9277" s="142" t="s">
        <v>25127</v>
      </c>
      <c r="I9277" s="142">
        <v>2</v>
      </c>
      <c r="J9277" s="142">
        <v>0</v>
      </c>
      <c r="K9277" s="142">
        <v>0</v>
      </c>
      <c r="L9277" s="142">
        <v>2</v>
      </c>
      <c r="M9277" s="142">
        <v>0</v>
      </c>
    </row>
    <row r="9278" spans="1:13" x14ac:dyDescent="0.45">
      <c r="A9278" s="142" t="s">
        <v>13033</v>
      </c>
      <c r="B9278" s="142" t="s">
        <v>15276</v>
      </c>
      <c r="C9278" s="142" t="s">
        <v>15847</v>
      </c>
      <c r="D9278" s="142" t="s">
        <v>15848</v>
      </c>
      <c r="E9278" s="142" t="s">
        <v>15849</v>
      </c>
      <c r="F9278" s="142" t="s">
        <v>205</v>
      </c>
      <c r="G9278" s="142" t="s">
        <v>6329</v>
      </c>
      <c r="H9278" s="142" t="s">
        <v>25128</v>
      </c>
      <c r="I9278" s="142">
        <v>16</v>
      </c>
      <c r="J9278" s="142">
        <v>16</v>
      </c>
      <c r="K9278" s="142">
        <v>0</v>
      </c>
      <c r="L9278" s="142">
        <v>0</v>
      </c>
      <c r="M9278" s="142">
        <v>0</v>
      </c>
    </row>
    <row r="9279" spans="1:13" x14ac:dyDescent="0.45">
      <c r="A9279" s="142" t="s">
        <v>13487</v>
      </c>
      <c r="B9279" s="142" t="s">
        <v>15490</v>
      </c>
      <c r="C9279" s="142" t="s">
        <v>15847</v>
      </c>
      <c r="D9279" s="142" t="s">
        <v>15848</v>
      </c>
      <c r="E9279" s="142" t="s">
        <v>15849</v>
      </c>
      <c r="F9279" s="142" t="s">
        <v>205</v>
      </c>
      <c r="G9279" s="142" t="s">
        <v>6329</v>
      </c>
      <c r="H9279" s="142" t="s">
        <v>25129</v>
      </c>
      <c r="I9279" s="142">
        <v>26</v>
      </c>
      <c r="J9279" s="142">
        <v>26</v>
      </c>
      <c r="K9279" s="142">
        <v>0</v>
      </c>
      <c r="L9279" s="142">
        <v>0</v>
      </c>
      <c r="M9279" s="142">
        <v>0</v>
      </c>
    </row>
    <row r="9280" spans="1:13" x14ac:dyDescent="0.45">
      <c r="A9280" s="142" t="s">
        <v>13036</v>
      </c>
      <c r="B9280" s="142" t="s">
        <v>15567</v>
      </c>
      <c r="C9280" s="142" t="s">
        <v>15847</v>
      </c>
      <c r="D9280" s="142" t="s">
        <v>15848</v>
      </c>
      <c r="E9280" s="142" t="s">
        <v>15849</v>
      </c>
      <c r="F9280" s="142" t="s">
        <v>205</v>
      </c>
      <c r="G9280" s="142" t="s">
        <v>6329</v>
      </c>
      <c r="H9280" s="142" t="s">
        <v>25130</v>
      </c>
      <c r="I9280" s="142">
        <v>138</v>
      </c>
      <c r="J9280" s="142">
        <v>78</v>
      </c>
      <c r="K9280" s="142">
        <v>0</v>
      </c>
      <c r="L9280" s="142">
        <v>40</v>
      </c>
      <c r="M9280" s="142">
        <v>20</v>
      </c>
    </row>
    <row r="9281" spans="1:13" x14ac:dyDescent="0.45">
      <c r="A9281" s="142" t="s">
        <v>13277</v>
      </c>
      <c r="B9281" s="142" t="s">
        <v>14454</v>
      </c>
      <c r="C9281" s="142" t="s">
        <v>15847</v>
      </c>
      <c r="D9281" s="142" t="s">
        <v>15848</v>
      </c>
      <c r="E9281" s="142" t="s">
        <v>15849</v>
      </c>
      <c r="F9281" s="142" t="s">
        <v>205</v>
      </c>
      <c r="G9281" s="142" t="s">
        <v>6329</v>
      </c>
      <c r="H9281" s="142" t="s">
        <v>25131</v>
      </c>
      <c r="I9281" s="142">
        <v>166</v>
      </c>
      <c r="J9281" s="142">
        <v>135</v>
      </c>
      <c r="K9281" s="142">
        <v>0</v>
      </c>
      <c r="L9281" s="142">
        <v>0</v>
      </c>
      <c r="M9281" s="142">
        <v>31</v>
      </c>
    </row>
    <row r="9282" spans="1:13" x14ac:dyDescent="0.45">
      <c r="A9282" s="142" t="s">
        <v>13038</v>
      </c>
      <c r="B9282" s="142" t="s">
        <v>14646</v>
      </c>
      <c r="C9282" s="142" t="s">
        <v>15847</v>
      </c>
      <c r="D9282" s="142" t="s">
        <v>15848</v>
      </c>
      <c r="E9282" s="142" t="s">
        <v>15849</v>
      </c>
      <c r="F9282" s="142" t="s">
        <v>205</v>
      </c>
      <c r="G9282" s="142" t="s">
        <v>6329</v>
      </c>
      <c r="H9282" s="142" t="s">
        <v>25132</v>
      </c>
      <c r="I9282" s="142">
        <v>59</v>
      </c>
      <c r="J9282" s="142">
        <v>10</v>
      </c>
      <c r="K9282" s="142">
        <v>0</v>
      </c>
      <c r="L9282" s="142">
        <v>0</v>
      </c>
      <c r="M9282" s="142">
        <v>49</v>
      </c>
    </row>
    <row r="9283" spans="1:13" x14ac:dyDescent="0.45">
      <c r="A9283" s="142" t="s">
        <v>13039</v>
      </c>
      <c r="B9283" s="142" t="s">
        <v>14647</v>
      </c>
      <c r="C9283" s="142" t="s">
        <v>15847</v>
      </c>
      <c r="D9283" s="142" t="s">
        <v>15848</v>
      </c>
      <c r="E9283" s="142" t="s">
        <v>15849</v>
      </c>
      <c r="F9283" s="142" t="s">
        <v>205</v>
      </c>
      <c r="G9283" s="142" t="s">
        <v>6329</v>
      </c>
      <c r="H9283" s="142" t="s">
        <v>25133</v>
      </c>
      <c r="I9283" s="142">
        <v>32</v>
      </c>
      <c r="J9283" s="142">
        <v>32</v>
      </c>
      <c r="K9283" s="142">
        <v>0</v>
      </c>
      <c r="L9283" s="142">
        <v>0</v>
      </c>
      <c r="M9283" s="142">
        <v>0</v>
      </c>
    </row>
    <row r="9284" spans="1:13" x14ac:dyDescent="0.45">
      <c r="A9284" s="142" t="s">
        <v>13078</v>
      </c>
      <c r="B9284" s="142" t="s">
        <v>15540</v>
      </c>
      <c r="C9284" s="142" t="s">
        <v>15847</v>
      </c>
      <c r="D9284" s="142" t="s">
        <v>15848</v>
      </c>
      <c r="E9284" s="142" t="s">
        <v>15849</v>
      </c>
      <c r="F9284" s="142" t="s">
        <v>205</v>
      </c>
      <c r="G9284" s="142" t="s">
        <v>6329</v>
      </c>
      <c r="H9284" s="142" t="s">
        <v>25134</v>
      </c>
      <c r="I9284" s="142">
        <v>90</v>
      </c>
      <c r="J9284" s="142">
        <v>90</v>
      </c>
      <c r="K9284" s="142">
        <v>0</v>
      </c>
      <c r="L9284" s="142">
        <v>0</v>
      </c>
      <c r="M9284" s="142">
        <v>0</v>
      </c>
    </row>
    <row r="9285" spans="1:13" x14ac:dyDescent="0.45">
      <c r="A9285" s="142" t="s">
        <v>13009</v>
      </c>
      <c r="B9285" s="142" t="s">
        <v>15256</v>
      </c>
      <c r="C9285" s="142" t="s">
        <v>15847</v>
      </c>
      <c r="D9285" s="142" t="s">
        <v>15848</v>
      </c>
      <c r="E9285" s="142" t="s">
        <v>15849</v>
      </c>
      <c r="F9285" s="142" t="s">
        <v>205</v>
      </c>
      <c r="G9285" s="142" t="s">
        <v>6329</v>
      </c>
      <c r="H9285" s="142" t="s">
        <v>25135</v>
      </c>
      <c r="I9285" s="142">
        <v>183</v>
      </c>
      <c r="J9285" s="142">
        <v>148</v>
      </c>
      <c r="K9285" s="142">
        <v>0</v>
      </c>
      <c r="L9285" s="142">
        <v>0</v>
      </c>
      <c r="M9285" s="142">
        <v>35</v>
      </c>
    </row>
    <row r="9286" spans="1:13" x14ac:dyDescent="0.45">
      <c r="A9286" s="142" t="s">
        <v>13042</v>
      </c>
      <c r="B9286" s="142" t="s">
        <v>15489</v>
      </c>
      <c r="C9286" s="142" t="s">
        <v>15847</v>
      </c>
      <c r="D9286" s="142" t="s">
        <v>15848</v>
      </c>
      <c r="E9286" s="142" t="s">
        <v>15849</v>
      </c>
      <c r="F9286" s="142" t="s">
        <v>205</v>
      </c>
      <c r="G9286" s="142" t="s">
        <v>6329</v>
      </c>
      <c r="H9286" s="142" t="s">
        <v>25136</v>
      </c>
      <c r="I9286" s="142">
        <v>292</v>
      </c>
      <c r="J9286" s="142">
        <v>143</v>
      </c>
      <c r="K9286" s="142">
        <v>0</v>
      </c>
      <c r="L9286" s="142">
        <v>79</v>
      </c>
      <c r="M9286" s="142">
        <v>70</v>
      </c>
    </row>
    <row r="9287" spans="1:13" x14ac:dyDescent="0.45">
      <c r="A9287" s="142" t="s">
        <v>13673</v>
      </c>
      <c r="B9287" s="142" t="s">
        <v>15591</v>
      </c>
      <c r="C9287" s="142" t="s">
        <v>15860</v>
      </c>
      <c r="D9287" s="142" t="s">
        <v>15861</v>
      </c>
      <c r="E9287" s="142" t="s">
        <v>15849</v>
      </c>
      <c r="F9287" s="142" t="s">
        <v>205</v>
      </c>
      <c r="G9287" s="142" t="s">
        <v>6329</v>
      </c>
      <c r="H9287" s="142" t="s">
        <v>25137</v>
      </c>
      <c r="I9287" s="142">
        <v>11</v>
      </c>
      <c r="J9287" s="142">
        <v>11</v>
      </c>
      <c r="K9287" s="142">
        <v>0</v>
      </c>
      <c r="L9287" s="142">
        <v>0</v>
      </c>
      <c r="M9287" s="142">
        <v>0</v>
      </c>
    </row>
    <row r="9288" spans="1:13" x14ac:dyDescent="0.45">
      <c r="A9288" s="142" t="s">
        <v>14358</v>
      </c>
      <c r="B9288" s="142" t="s">
        <v>14741</v>
      </c>
      <c r="C9288" s="142" t="s">
        <v>15860</v>
      </c>
      <c r="D9288" s="142" t="s">
        <v>15861</v>
      </c>
      <c r="E9288" s="142" t="s">
        <v>15849</v>
      </c>
      <c r="F9288" s="142" t="s">
        <v>205</v>
      </c>
      <c r="G9288" s="142" t="s">
        <v>6329</v>
      </c>
      <c r="H9288" s="142" t="s">
        <v>25138</v>
      </c>
      <c r="I9288" s="142">
        <v>6</v>
      </c>
      <c r="J9288" s="142">
        <v>0</v>
      </c>
      <c r="K9288" s="142">
        <v>0</v>
      </c>
      <c r="L9288" s="142">
        <v>6</v>
      </c>
      <c r="M9288" s="142">
        <v>0</v>
      </c>
    </row>
    <row r="9289" spans="1:13" x14ac:dyDescent="0.45">
      <c r="A9289" s="142" t="s">
        <v>13493</v>
      </c>
      <c r="B9289" s="142" t="s">
        <v>14639</v>
      </c>
      <c r="C9289" s="142" t="s">
        <v>15847</v>
      </c>
      <c r="D9289" s="142" t="s">
        <v>15848</v>
      </c>
      <c r="E9289" s="142" t="s">
        <v>15849</v>
      </c>
      <c r="F9289" s="142" t="s">
        <v>205</v>
      </c>
      <c r="G9289" s="142" t="s">
        <v>6329</v>
      </c>
      <c r="H9289" s="142" t="s">
        <v>25139</v>
      </c>
      <c r="I9289" s="142">
        <v>135</v>
      </c>
      <c r="J9289" s="142">
        <v>54</v>
      </c>
      <c r="K9289" s="142">
        <v>0</v>
      </c>
      <c r="L9289" s="142">
        <v>41</v>
      </c>
      <c r="M9289" s="142">
        <v>40</v>
      </c>
    </row>
    <row r="9290" spans="1:13" x14ac:dyDescent="0.45">
      <c r="A9290" s="142" t="s">
        <v>13286</v>
      </c>
      <c r="B9290" s="142" t="s">
        <v>15342</v>
      </c>
      <c r="C9290" s="142" t="s">
        <v>15847</v>
      </c>
      <c r="D9290" s="142" t="s">
        <v>15848</v>
      </c>
      <c r="E9290" s="142" t="s">
        <v>15849</v>
      </c>
      <c r="F9290" s="142" t="s">
        <v>205</v>
      </c>
      <c r="G9290" s="142" t="s">
        <v>6329</v>
      </c>
      <c r="H9290" s="142" t="s">
        <v>25140</v>
      </c>
      <c r="I9290" s="142">
        <v>156</v>
      </c>
      <c r="J9290" s="142">
        <v>18</v>
      </c>
      <c r="K9290" s="142">
        <v>0</v>
      </c>
      <c r="L9290" s="142">
        <v>85</v>
      </c>
      <c r="M9290" s="142">
        <v>53</v>
      </c>
    </row>
    <row r="9291" spans="1:13" x14ac:dyDescent="0.45">
      <c r="A9291" s="142" t="s">
        <v>13064</v>
      </c>
      <c r="B9291" s="142" t="s">
        <v>15428</v>
      </c>
      <c r="C9291" s="142" t="s">
        <v>15847</v>
      </c>
      <c r="D9291" s="142" t="s">
        <v>15848</v>
      </c>
      <c r="E9291" s="142" t="s">
        <v>15849</v>
      </c>
      <c r="F9291" s="142" t="s">
        <v>206</v>
      </c>
      <c r="G9291" s="142" t="s">
        <v>6957</v>
      </c>
      <c r="H9291" s="142" t="s">
        <v>25141</v>
      </c>
      <c r="I9291" s="142">
        <v>3912</v>
      </c>
      <c r="J9291" s="142">
        <v>3482</v>
      </c>
      <c r="K9291" s="142">
        <v>0</v>
      </c>
      <c r="L9291" s="142">
        <v>239</v>
      </c>
      <c r="M9291" s="142">
        <v>191</v>
      </c>
    </row>
    <row r="9292" spans="1:13" x14ac:dyDescent="0.45">
      <c r="A9292" s="142" t="s">
        <v>13021</v>
      </c>
      <c r="B9292" s="142" t="s">
        <v>15501</v>
      </c>
      <c r="C9292" s="142" t="s">
        <v>15847</v>
      </c>
      <c r="D9292" s="142" t="s">
        <v>15848</v>
      </c>
      <c r="E9292" s="142" t="s">
        <v>15849</v>
      </c>
      <c r="F9292" s="142" t="s">
        <v>206</v>
      </c>
      <c r="G9292" s="142" t="s">
        <v>6957</v>
      </c>
      <c r="H9292" s="142" t="s">
        <v>25142</v>
      </c>
      <c r="I9292" s="142">
        <v>2</v>
      </c>
      <c r="J9292" s="142">
        <v>0</v>
      </c>
      <c r="K9292" s="142">
        <v>0</v>
      </c>
      <c r="L9292" s="142">
        <v>0</v>
      </c>
      <c r="M9292" s="142">
        <v>2</v>
      </c>
    </row>
    <row r="9293" spans="1:13" x14ac:dyDescent="0.45">
      <c r="A9293" s="142" t="s">
        <v>13022</v>
      </c>
      <c r="B9293" s="142" t="s">
        <v>14634</v>
      </c>
      <c r="C9293" s="142" t="s">
        <v>15847</v>
      </c>
      <c r="D9293" s="142" t="s">
        <v>15848</v>
      </c>
      <c r="E9293" s="142" t="s">
        <v>15849</v>
      </c>
      <c r="F9293" s="142" t="s">
        <v>206</v>
      </c>
      <c r="G9293" s="142" t="s">
        <v>6957</v>
      </c>
      <c r="H9293" s="142" t="s">
        <v>25143</v>
      </c>
      <c r="I9293" s="142">
        <v>596</v>
      </c>
      <c r="J9293" s="142">
        <v>385</v>
      </c>
      <c r="K9293" s="142">
        <v>0</v>
      </c>
      <c r="L9293" s="142">
        <v>109</v>
      </c>
      <c r="M9293" s="142">
        <v>102</v>
      </c>
    </row>
    <row r="9294" spans="1:13" x14ac:dyDescent="0.45">
      <c r="A9294" s="142" t="s">
        <v>13023</v>
      </c>
      <c r="B9294" s="142" t="s">
        <v>15571</v>
      </c>
      <c r="C9294" s="142" t="s">
        <v>15847</v>
      </c>
      <c r="D9294" s="142" t="s">
        <v>15848</v>
      </c>
      <c r="E9294" s="142" t="s">
        <v>15849</v>
      </c>
      <c r="F9294" s="142" t="s">
        <v>206</v>
      </c>
      <c r="G9294" s="142" t="s">
        <v>6957</v>
      </c>
      <c r="H9294" s="142" t="s">
        <v>25144</v>
      </c>
      <c r="I9294" s="142">
        <v>97</v>
      </c>
      <c r="J9294" s="142">
        <v>0</v>
      </c>
      <c r="K9294" s="142">
        <v>0</v>
      </c>
      <c r="L9294" s="142">
        <v>97</v>
      </c>
      <c r="M9294" s="142">
        <v>0</v>
      </c>
    </row>
    <row r="9295" spans="1:13" x14ac:dyDescent="0.45">
      <c r="A9295" s="142" t="s">
        <v>13025</v>
      </c>
      <c r="B9295" s="142" t="s">
        <v>15579</v>
      </c>
      <c r="C9295" s="142" t="s">
        <v>15847</v>
      </c>
      <c r="D9295" s="142" t="s">
        <v>15848</v>
      </c>
      <c r="E9295" s="142" t="s">
        <v>15849</v>
      </c>
      <c r="F9295" s="142" t="s">
        <v>206</v>
      </c>
      <c r="G9295" s="142" t="s">
        <v>6957</v>
      </c>
      <c r="H9295" s="142" t="s">
        <v>25145</v>
      </c>
      <c r="I9295" s="142">
        <v>5</v>
      </c>
      <c r="J9295" s="142">
        <v>0</v>
      </c>
      <c r="K9295" s="142">
        <v>0</v>
      </c>
      <c r="L9295" s="142">
        <v>5</v>
      </c>
      <c r="M9295" s="142">
        <v>0</v>
      </c>
    </row>
    <row r="9296" spans="1:13" x14ac:dyDescent="0.45">
      <c r="A9296" s="142" t="s">
        <v>13027</v>
      </c>
      <c r="B9296" s="142" t="s">
        <v>14562</v>
      </c>
      <c r="C9296" s="142" t="s">
        <v>15847</v>
      </c>
      <c r="D9296" s="142" t="s">
        <v>15848</v>
      </c>
      <c r="E9296" s="142" t="s">
        <v>15849</v>
      </c>
      <c r="F9296" s="142" t="s">
        <v>206</v>
      </c>
      <c r="G9296" s="142" t="s">
        <v>6957</v>
      </c>
      <c r="H9296" s="142" t="s">
        <v>25146</v>
      </c>
      <c r="I9296" s="142">
        <v>3</v>
      </c>
      <c r="J9296" s="142">
        <v>0</v>
      </c>
      <c r="K9296" s="142">
        <v>0</v>
      </c>
      <c r="L9296" s="142">
        <v>3</v>
      </c>
      <c r="M9296" s="142">
        <v>0</v>
      </c>
    </row>
    <row r="9297" spans="1:13" x14ac:dyDescent="0.45">
      <c r="A9297" s="142" t="s">
        <v>13028</v>
      </c>
      <c r="B9297" s="142" t="s">
        <v>14462</v>
      </c>
      <c r="C9297" s="142" t="s">
        <v>15847</v>
      </c>
      <c r="D9297" s="142" t="s">
        <v>15848</v>
      </c>
      <c r="E9297" s="142" t="s">
        <v>15849</v>
      </c>
      <c r="F9297" s="142" t="s">
        <v>206</v>
      </c>
      <c r="G9297" s="142" t="s">
        <v>6957</v>
      </c>
      <c r="H9297" s="142" t="s">
        <v>25147</v>
      </c>
      <c r="I9297" s="142">
        <v>15</v>
      </c>
      <c r="J9297" s="142">
        <v>0</v>
      </c>
      <c r="K9297" s="142">
        <v>0</v>
      </c>
      <c r="L9297" s="142">
        <v>0</v>
      </c>
      <c r="M9297" s="142">
        <v>15</v>
      </c>
    </row>
    <row r="9298" spans="1:13" x14ac:dyDescent="0.45">
      <c r="A9298" s="142" t="s">
        <v>13651</v>
      </c>
      <c r="B9298" s="142" t="s">
        <v>15265</v>
      </c>
      <c r="C9298" s="142" t="s">
        <v>15860</v>
      </c>
      <c r="D9298" s="142" t="s">
        <v>15861</v>
      </c>
      <c r="E9298" s="142" t="s">
        <v>15849</v>
      </c>
      <c r="F9298" s="142" t="s">
        <v>206</v>
      </c>
      <c r="G9298" s="142" t="s">
        <v>6957</v>
      </c>
      <c r="H9298" s="142" t="s">
        <v>25148</v>
      </c>
      <c r="I9298" s="142">
        <v>128</v>
      </c>
      <c r="J9298" s="142">
        <v>128</v>
      </c>
      <c r="K9298" s="142">
        <v>0</v>
      </c>
      <c r="L9298" s="142">
        <v>0</v>
      </c>
      <c r="M9298" s="142">
        <v>0</v>
      </c>
    </row>
    <row r="9299" spans="1:13" x14ac:dyDescent="0.45">
      <c r="A9299" s="142" t="s">
        <v>13295</v>
      </c>
      <c r="B9299" s="142" t="s">
        <v>14621</v>
      </c>
      <c r="C9299" s="142" t="s">
        <v>15847</v>
      </c>
      <c r="D9299" s="142" t="s">
        <v>15848</v>
      </c>
      <c r="E9299" s="142" t="s">
        <v>15849</v>
      </c>
      <c r="F9299" s="142" t="s">
        <v>206</v>
      </c>
      <c r="G9299" s="142" t="s">
        <v>6957</v>
      </c>
      <c r="H9299" s="142" t="s">
        <v>25149</v>
      </c>
      <c r="I9299" s="142">
        <v>4</v>
      </c>
      <c r="J9299" s="142">
        <v>3</v>
      </c>
      <c r="K9299" s="142">
        <v>0</v>
      </c>
      <c r="L9299" s="142">
        <v>0</v>
      </c>
      <c r="M9299" s="142">
        <v>1</v>
      </c>
    </row>
    <row r="9300" spans="1:13" x14ac:dyDescent="0.45">
      <c r="A9300" s="142" t="s">
        <v>13296</v>
      </c>
      <c r="B9300" s="142" t="s">
        <v>15387</v>
      </c>
      <c r="C9300" s="142" t="s">
        <v>15860</v>
      </c>
      <c r="D9300" s="142" t="s">
        <v>15861</v>
      </c>
      <c r="E9300" s="142" t="s">
        <v>15849</v>
      </c>
      <c r="F9300" s="142" t="s">
        <v>206</v>
      </c>
      <c r="G9300" s="142" t="s">
        <v>6957</v>
      </c>
      <c r="H9300" s="142" t="s">
        <v>25150</v>
      </c>
      <c r="I9300" s="142">
        <v>11</v>
      </c>
      <c r="J9300" s="142">
        <v>11</v>
      </c>
      <c r="K9300" s="142">
        <v>0</v>
      </c>
      <c r="L9300" s="142">
        <v>0</v>
      </c>
      <c r="M9300" s="142">
        <v>0</v>
      </c>
    </row>
    <row r="9301" spans="1:13" x14ac:dyDescent="0.45">
      <c r="A9301" s="142" t="s">
        <v>13029</v>
      </c>
      <c r="B9301" s="142" t="s">
        <v>14665</v>
      </c>
      <c r="C9301" s="142" t="s">
        <v>15847</v>
      </c>
      <c r="D9301" s="142" t="s">
        <v>15848</v>
      </c>
      <c r="E9301" s="142" t="s">
        <v>15849</v>
      </c>
      <c r="F9301" s="142" t="s">
        <v>206</v>
      </c>
      <c r="G9301" s="142" t="s">
        <v>6957</v>
      </c>
      <c r="H9301" s="142" t="s">
        <v>25151</v>
      </c>
      <c r="I9301" s="142">
        <v>2</v>
      </c>
      <c r="J9301" s="142">
        <v>0</v>
      </c>
      <c r="K9301" s="142">
        <v>0</v>
      </c>
      <c r="L9301" s="142">
        <v>0</v>
      </c>
      <c r="M9301" s="142">
        <v>2</v>
      </c>
    </row>
    <row r="9302" spans="1:13" x14ac:dyDescent="0.45">
      <c r="A9302" s="142" t="s">
        <v>13068</v>
      </c>
      <c r="B9302" s="142" t="s">
        <v>15468</v>
      </c>
      <c r="C9302" s="142" t="s">
        <v>15847</v>
      </c>
      <c r="D9302" s="142" t="s">
        <v>15848</v>
      </c>
      <c r="E9302" s="142" t="s">
        <v>15849</v>
      </c>
      <c r="F9302" s="142" t="s">
        <v>206</v>
      </c>
      <c r="G9302" s="142" t="s">
        <v>6957</v>
      </c>
      <c r="H9302" s="142" t="s">
        <v>25152</v>
      </c>
      <c r="I9302" s="142">
        <v>178</v>
      </c>
      <c r="J9302" s="142">
        <v>137</v>
      </c>
      <c r="K9302" s="142">
        <v>0</v>
      </c>
      <c r="L9302" s="142">
        <v>24</v>
      </c>
      <c r="M9302" s="142">
        <v>17</v>
      </c>
    </row>
    <row r="9303" spans="1:13" x14ac:dyDescent="0.45">
      <c r="A9303" s="142" t="s">
        <v>13031</v>
      </c>
      <c r="B9303" s="142" t="s">
        <v>14620</v>
      </c>
      <c r="C9303" s="142" t="s">
        <v>15860</v>
      </c>
      <c r="D9303" s="142" t="s">
        <v>15861</v>
      </c>
      <c r="E9303" s="142" t="s">
        <v>15849</v>
      </c>
      <c r="F9303" s="142" t="s">
        <v>206</v>
      </c>
      <c r="G9303" s="142" t="s">
        <v>6957</v>
      </c>
      <c r="H9303" s="142" t="s">
        <v>25153</v>
      </c>
      <c r="I9303" s="142">
        <v>16</v>
      </c>
      <c r="J9303" s="142">
        <v>0</v>
      </c>
      <c r="K9303" s="142">
        <v>0</v>
      </c>
      <c r="L9303" s="142">
        <v>16</v>
      </c>
      <c r="M9303" s="142">
        <v>0</v>
      </c>
    </row>
    <row r="9304" spans="1:13" x14ac:dyDescent="0.45">
      <c r="A9304" s="142" t="s">
        <v>13033</v>
      </c>
      <c r="B9304" s="142" t="s">
        <v>15276</v>
      </c>
      <c r="C9304" s="142" t="s">
        <v>15847</v>
      </c>
      <c r="D9304" s="142" t="s">
        <v>15848</v>
      </c>
      <c r="E9304" s="142" t="s">
        <v>15849</v>
      </c>
      <c r="F9304" s="142" t="s">
        <v>206</v>
      </c>
      <c r="G9304" s="142" t="s">
        <v>6957</v>
      </c>
      <c r="H9304" s="142" t="s">
        <v>25154</v>
      </c>
      <c r="I9304" s="142">
        <v>95</v>
      </c>
      <c r="J9304" s="142">
        <v>91</v>
      </c>
      <c r="K9304" s="142">
        <v>0</v>
      </c>
      <c r="L9304" s="142">
        <v>0</v>
      </c>
      <c r="M9304" s="142">
        <v>4</v>
      </c>
    </row>
    <row r="9305" spans="1:13" x14ac:dyDescent="0.45">
      <c r="A9305" s="142" t="s">
        <v>13034</v>
      </c>
      <c r="B9305" s="142" t="s">
        <v>15562</v>
      </c>
      <c r="C9305" s="142" t="s">
        <v>15847</v>
      </c>
      <c r="D9305" s="142" t="s">
        <v>15848</v>
      </c>
      <c r="E9305" s="142" t="s">
        <v>15849</v>
      </c>
      <c r="F9305" s="142" t="s">
        <v>206</v>
      </c>
      <c r="G9305" s="142" t="s">
        <v>6957</v>
      </c>
      <c r="H9305" s="142" t="s">
        <v>25155</v>
      </c>
      <c r="I9305" s="142">
        <v>6</v>
      </c>
      <c r="J9305" s="142">
        <v>6</v>
      </c>
      <c r="K9305" s="142">
        <v>0</v>
      </c>
      <c r="L9305" s="142">
        <v>0</v>
      </c>
      <c r="M9305" s="142">
        <v>0</v>
      </c>
    </row>
    <row r="9306" spans="1:13" x14ac:dyDescent="0.45">
      <c r="A9306" s="142" t="s">
        <v>13035</v>
      </c>
      <c r="B9306" s="142" t="s">
        <v>14648</v>
      </c>
      <c r="C9306" s="142" t="s">
        <v>15847</v>
      </c>
      <c r="D9306" s="142" t="s">
        <v>15848</v>
      </c>
      <c r="E9306" s="142" t="s">
        <v>15849</v>
      </c>
      <c r="F9306" s="142" t="s">
        <v>206</v>
      </c>
      <c r="G9306" s="142" t="s">
        <v>6957</v>
      </c>
      <c r="H9306" s="142" t="s">
        <v>25156</v>
      </c>
      <c r="I9306" s="142">
        <v>390</v>
      </c>
      <c r="J9306" s="142">
        <v>277</v>
      </c>
      <c r="K9306" s="142">
        <v>0</v>
      </c>
      <c r="L9306" s="142">
        <v>0</v>
      </c>
      <c r="M9306" s="142">
        <v>113</v>
      </c>
    </row>
    <row r="9307" spans="1:13" x14ac:dyDescent="0.45">
      <c r="A9307" s="142" t="s">
        <v>13036</v>
      </c>
      <c r="B9307" s="142" t="s">
        <v>15567</v>
      </c>
      <c r="C9307" s="142" t="s">
        <v>15847</v>
      </c>
      <c r="D9307" s="142" t="s">
        <v>15848</v>
      </c>
      <c r="E9307" s="142" t="s">
        <v>15849</v>
      </c>
      <c r="F9307" s="142" t="s">
        <v>206</v>
      </c>
      <c r="G9307" s="142" t="s">
        <v>6957</v>
      </c>
      <c r="H9307" s="142" t="s">
        <v>25157</v>
      </c>
      <c r="I9307" s="142">
        <v>4</v>
      </c>
      <c r="J9307" s="142">
        <v>0</v>
      </c>
      <c r="K9307" s="142">
        <v>0</v>
      </c>
      <c r="L9307" s="142">
        <v>4</v>
      </c>
      <c r="M9307" s="142">
        <v>0</v>
      </c>
    </row>
    <row r="9308" spans="1:13" x14ac:dyDescent="0.45">
      <c r="A9308" s="142" t="s">
        <v>13037</v>
      </c>
      <c r="B9308" s="142" t="s">
        <v>14519</v>
      </c>
      <c r="C9308" s="142" t="s">
        <v>15847</v>
      </c>
      <c r="D9308" s="142" t="s">
        <v>15848</v>
      </c>
      <c r="E9308" s="142" t="s">
        <v>15849</v>
      </c>
      <c r="F9308" s="142" t="s">
        <v>206</v>
      </c>
      <c r="G9308" s="142" t="s">
        <v>6957</v>
      </c>
      <c r="H9308" s="142" t="s">
        <v>25158</v>
      </c>
      <c r="I9308" s="142">
        <v>8</v>
      </c>
      <c r="J9308" s="142">
        <v>0</v>
      </c>
      <c r="K9308" s="142">
        <v>0</v>
      </c>
      <c r="L9308" s="142">
        <v>8</v>
      </c>
      <c r="M9308" s="142">
        <v>0</v>
      </c>
    </row>
    <row r="9309" spans="1:13" x14ac:dyDescent="0.45">
      <c r="A9309" s="142" t="s">
        <v>13009</v>
      </c>
      <c r="B9309" s="142" t="s">
        <v>15256</v>
      </c>
      <c r="C9309" s="142" t="s">
        <v>15847</v>
      </c>
      <c r="D9309" s="142" t="s">
        <v>15848</v>
      </c>
      <c r="E9309" s="142" t="s">
        <v>15849</v>
      </c>
      <c r="F9309" s="142" t="s">
        <v>206</v>
      </c>
      <c r="G9309" s="142" t="s">
        <v>6957</v>
      </c>
      <c r="H9309" s="142" t="s">
        <v>25159</v>
      </c>
      <c r="I9309" s="142">
        <v>93</v>
      </c>
      <c r="J9309" s="142">
        <v>89</v>
      </c>
      <c r="K9309" s="142">
        <v>0</v>
      </c>
      <c r="L9309" s="142">
        <v>0</v>
      </c>
      <c r="M9309" s="142">
        <v>4</v>
      </c>
    </row>
    <row r="9310" spans="1:13" x14ac:dyDescent="0.45">
      <c r="A9310" s="142" t="s">
        <v>13154</v>
      </c>
      <c r="B9310" s="142" t="s">
        <v>15415</v>
      </c>
      <c r="C9310" s="142" t="s">
        <v>15847</v>
      </c>
      <c r="D9310" s="142" t="s">
        <v>15848</v>
      </c>
      <c r="E9310" s="142" t="s">
        <v>15849</v>
      </c>
      <c r="F9310" s="142" t="s">
        <v>206</v>
      </c>
      <c r="G9310" s="142" t="s">
        <v>6957</v>
      </c>
      <c r="H9310" s="142" t="s">
        <v>25160</v>
      </c>
      <c r="I9310" s="142">
        <v>33</v>
      </c>
      <c r="J9310" s="142">
        <v>0</v>
      </c>
      <c r="K9310" s="142">
        <v>0</v>
      </c>
      <c r="L9310" s="142">
        <v>0</v>
      </c>
      <c r="M9310" s="142">
        <v>33</v>
      </c>
    </row>
    <row r="9311" spans="1:13" x14ac:dyDescent="0.45">
      <c r="A9311" s="142" t="s">
        <v>13016</v>
      </c>
      <c r="B9311" s="142" t="s">
        <v>14535</v>
      </c>
      <c r="C9311" s="142" t="s">
        <v>15860</v>
      </c>
      <c r="D9311" s="142" t="s">
        <v>15861</v>
      </c>
      <c r="E9311" s="142" t="s">
        <v>15849</v>
      </c>
      <c r="F9311" s="142" t="s">
        <v>206</v>
      </c>
      <c r="G9311" s="142" t="s">
        <v>6957</v>
      </c>
      <c r="H9311" s="142" t="s">
        <v>25161</v>
      </c>
      <c r="I9311" s="142">
        <v>21</v>
      </c>
      <c r="J9311" s="142">
        <v>0</v>
      </c>
      <c r="K9311" s="142">
        <v>0</v>
      </c>
      <c r="L9311" s="142">
        <v>21</v>
      </c>
      <c r="M9311" s="142">
        <v>0</v>
      </c>
    </row>
    <row r="9312" spans="1:13" x14ac:dyDescent="0.45">
      <c r="A9312" s="142" t="s">
        <v>13072</v>
      </c>
      <c r="B9312" s="142" t="s">
        <v>15530</v>
      </c>
      <c r="C9312" s="142" t="s">
        <v>15847</v>
      </c>
      <c r="D9312" s="142" t="s">
        <v>15848</v>
      </c>
      <c r="E9312" s="142" t="s">
        <v>15849</v>
      </c>
      <c r="F9312" s="142" t="s">
        <v>207</v>
      </c>
      <c r="G9312" s="142" t="s">
        <v>2715</v>
      </c>
      <c r="H9312" s="142" t="s">
        <v>25162</v>
      </c>
      <c r="I9312" s="142">
        <v>95</v>
      </c>
      <c r="J9312" s="142">
        <v>90</v>
      </c>
      <c r="K9312" s="142">
        <v>0</v>
      </c>
      <c r="L9312" s="142">
        <v>0</v>
      </c>
      <c r="M9312" s="142">
        <v>5</v>
      </c>
    </row>
    <row r="9313" spans="1:13" x14ac:dyDescent="0.45">
      <c r="A9313" s="142" t="s">
        <v>13021</v>
      </c>
      <c r="B9313" s="142" t="s">
        <v>15501</v>
      </c>
      <c r="C9313" s="142" t="s">
        <v>15847</v>
      </c>
      <c r="D9313" s="142" t="s">
        <v>15848</v>
      </c>
      <c r="E9313" s="142" t="s">
        <v>15849</v>
      </c>
      <c r="F9313" s="142" t="s">
        <v>207</v>
      </c>
      <c r="G9313" s="142" t="s">
        <v>2715</v>
      </c>
      <c r="H9313" s="142" t="s">
        <v>25163</v>
      </c>
      <c r="I9313" s="142">
        <v>18</v>
      </c>
      <c r="J9313" s="142">
        <v>0</v>
      </c>
      <c r="K9313" s="142">
        <v>0</v>
      </c>
      <c r="L9313" s="142">
        <v>8</v>
      </c>
      <c r="M9313" s="142">
        <v>10</v>
      </c>
    </row>
    <row r="9314" spans="1:13" x14ac:dyDescent="0.45">
      <c r="A9314" s="142" t="s">
        <v>13022</v>
      </c>
      <c r="B9314" s="142" t="s">
        <v>14634</v>
      </c>
      <c r="C9314" s="142" t="s">
        <v>15847</v>
      </c>
      <c r="D9314" s="142" t="s">
        <v>15848</v>
      </c>
      <c r="E9314" s="142" t="s">
        <v>15849</v>
      </c>
      <c r="F9314" s="142" t="s">
        <v>207</v>
      </c>
      <c r="G9314" s="142" t="s">
        <v>2715</v>
      </c>
      <c r="H9314" s="142" t="s">
        <v>25164</v>
      </c>
      <c r="I9314" s="142">
        <v>4406</v>
      </c>
      <c r="J9314" s="142">
        <v>3304</v>
      </c>
      <c r="K9314" s="142">
        <v>0</v>
      </c>
      <c r="L9314" s="142">
        <v>523</v>
      </c>
      <c r="M9314" s="142">
        <v>579</v>
      </c>
    </row>
    <row r="9315" spans="1:13" x14ac:dyDescent="0.45">
      <c r="A9315" s="142" t="s">
        <v>13023</v>
      </c>
      <c r="B9315" s="142" t="s">
        <v>15571</v>
      </c>
      <c r="C9315" s="142" t="s">
        <v>15847</v>
      </c>
      <c r="D9315" s="142" t="s">
        <v>15848</v>
      </c>
      <c r="E9315" s="142" t="s">
        <v>15849</v>
      </c>
      <c r="F9315" s="142" t="s">
        <v>207</v>
      </c>
      <c r="G9315" s="142" t="s">
        <v>2715</v>
      </c>
      <c r="H9315" s="142" t="s">
        <v>25165</v>
      </c>
      <c r="I9315" s="142">
        <v>152</v>
      </c>
      <c r="J9315" s="142">
        <v>0</v>
      </c>
      <c r="K9315" s="142">
        <v>0</v>
      </c>
      <c r="L9315" s="142">
        <v>152</v>
      </c>
      <c r="M9315" s="142">
        <v>0</v>
      </c>
    </row>
    <row r="9316" spans="1:13" x14ac:dyDescent="0.45">
      <c r="A9316" s="142" t="s">
        <v>13082</v>
      </c>
      <c r="B9316" s="142" t="s">
        <v>14478</v>
      </c>
      <c r="C9316" s="142" t="s">
        <v>15860</v>
      </c>
      <c r="D9316" s="142" t="s">
        <v>15861</v>
      </c>
      <c r="E9316" s="142" t="s">
        <v>15849</v>
      </c>
      <c r="F9316" s="142" t="s">
        <v>207</v>
      </c>
      <c r="G9316" s="142" t="s">
        <v>2715</v>
      </c>
      <c r="H9316" s="142" t="s">
        <v>25166</v>
      </c>
      <c r="I9316" s="142">
        <v>2</v>
      </c>
      <c r="J9316" s="142">
        <v>0</v>
      </c>
      <c r="K9316" s="142">
        <v>0</v>
      </c>
      <c r="L9316" s="142">
        <v>2</v>
      </c>
      <c r="M9316" s="142">
        <v>0</v>
      </c>
    </row>
    <row r="9317" spans="1:13" x14ac:dyDescent="0.45">
      <c r="A9317" s="142" t="s">
        <v>13235</v>
      </c>
      <c r="B9317" s="142" t="s">
        <v>14573</v>
      </c>
      <c r="C9317" s="142" t="s">
        <v>15847</v>
      </c>
      <c r="D9317" s="142" t="s">
        <v>15848</v>
      </c>
      <c r="E9317" s="142" t="s">
        <v>15849</v>
      </c>
      <c r="F9317" s="142" t="s">
        <v>207</v>
      </c>
      <c r="G9317" s="142" t="s">
        <v>2715</v>
      </c>
      <c r="H9317" s="142" t="s">
        <v>25167</v>
      </c>
      <c r="I9317" s="142">
        <v>995</v>
      </c>
      <c r="J9317" s="142">
        <v>786</v>
      </c>
      <c r="K9317" s="142">
        <v>0</v>
      </c>
      <c r="L9317" s="142">
        <v>7</v>
      </c>
      <c r="M9317" s="142">
        <v>202</v>
      </c>
    </row>
    <row r="9318" spans="1:13" x14ac:dyDescent="0.45">
      <c r="A9318" s="142" t="s">
        <v>13000</v>
      </c>
      <c r="B9318" s="142" t="s">
        <v>14610</v>
      </c>
      <c r="C9318" s="142" t="s">
        <v>15847</v>
      </c>
      <c r="D9318" s="142" t="s">
        <v>15848</v>
      </c>
      <c r="E9318" s="142" t="s">
        <v>15849</v>
      </c>
      <c r="F9318" s="142" t="s">
        <v>207</v>
      </c>
      <c r="G9318" s="142" t="s">
        <v>2715</v>
      </c>
      <c r="H9318" s="142" t="s">
        <v>25168</v>
      </c>
      <c r="I9318" s="142">
        <v>103</v>
      </c>
      <c r="J9318" s="142">
        <v>37</v>
      </c>
      <c r="K9318" s="142">
        <v>0</v>
      </c>
      <c r="L9318" s="142">
        <v>0</v>
      </c>
      <c r="M9318" s="142">
        <v>66</v>
      </c>
    </row>
    <row r="9319" spans="1:13" x14ac:dyDescent="0.45">
      <c r="A9319" s="142" t="s">
        <v>13119</v>
      </c>
      <c r="B9319" s="142" t="s">
        <v>14451</v>
      </c>
      <c r="C9319" s="142" t="s">
        <v>15860</v>
      </c>
      <c r="D9319" s="142" t="s">
        <v>15861</v>
      </c>
      <c r="E9319" s="142" t="s">
        <v>15849</v>
      </c>
      <c r="F9319" s="142" t="s">
        <v>207</v>
      </c>
      <c r="G9319" s="142" t="s">
        <v>2715</v>
      </c>
      <c r="H9319" s="142" t="s">
        <v>25169</v>
      </c>
      <c r="I9319" s="142">
        <v>4</v>
      </c>
      <c r="J9319" s="142">
        <v>0</v>
      </c>
      <c r="K9319" s="142">
        <v>0</v>
      </c>
      <c r="L9319" s="142">
        <v>4</v>
      </c>
      <c r="M9319" s="142">
        <v>0</v>
      </c>
    </row>
    <row r="9320" spans="1:13" x14ac:dyDescent="0.45">
      <c r="A9320" s="142" t="s">
        <v>13024</v>
      </c>
      <c r="B9320" s="142" t="s">
        <v>14538</v>
      </c>
      <c r="C9320" s="142" t="s">
        <v>15847</v>
      </c>
      <c r="D9320" s="142" t="s">
        <v>15848</v>
      </c>
      <c r="E9320" s="142" t="s">
        <v>15849</v>
      </c>
      <c r="F9320" s="142" t="s">
        <v>207</v>
      </c>
      <c r="G9320" s="142" t="s">
        <v>2715</v>
      </c>
      <c r="H9320" s="142" t="s">
        <v>25170</v>
      </c>
      <c r="I9320" s="142">
        <v>1493</v>
      </c>
      <c r="J9320" s="142">
        <v>1004</v>
      </c>
      <c r="K9320" s="142">
        <v>0</v>
      </c>
      <c r="L9320" s="142">
        <v>198</v>
      </c>
      <c r="M9320" s="142">
        <v>291</v>
      </c>
    </row>
    <row r="9321" spans="1:13" x14ac:dyDescent="0.45">
      <c r="A9321" s="142" t="s">
        <v>13397</v>
      </c>
      <c r="B9321" s="142" t="s">
        <v>15465</v>
      </c>
      <c r="C9321" s="142" t="s">
        <v>15847</v>
      </c>
      <c r="D9321" s="142" t="s">
        <v>15848</v>
      </c>
      <c r="E9321" s="142" t="s">
        <v>15849</v>
      </c>
      <c r="F9321" s="142" t="s">
        <v>207</v>
      </c>
      <c r="G9321" s="142" t="s">
        <v>2715</v>
      </c>
      <c r="H9321" s="142" t="s">
        <v>25171</v>
      </c>
      <c r="I9321" s="142">
        <v>54</v>
      </c>
      <c r="J9321" s="142">
        <v>54</v>
      </c>
      <c r="K9321" s="142">
        <v>0</v>
      </c>
      <c r="L9321" s="142">
        <v>0</v>
      </c>
      <c r="M9321" s="142">
        <v>0</v>
      </c>
    </row>
    <row r="9322" spans="1:13" x14ac:dyDescent="0.45">
      <c r="A9322" s="142" t="s">
        <v>13026</v>
      </c>
      <c r="B9322" s="142" t="s">
        <v>15447</v>
      </c>
      <c r="C9322" s="142" t="s">
        <v>15847</v>
      </c>
      <c r="D9322" s="142" t="s">
        <v>15848</v>
      </c>
      <c r="E9322" s="142" t="s">
        <v>15849</v>
      </c>
      <c r="F9322" s="142" t="s">
        <v>207</v>
      </c>
      <c r="G9322" s="142" t="s">
        <v>2715</v>
      </c>
      <c r="H9322" s="142" t="s">
        <v>25172</v>
      </c>
      <c r="I9322" s="142">
        <v>249</v>
      </c>
      <c r="J9322" s="142">
        <v>167</v>
      </c>
      <c r="K9322" s="142">
        <v>0</v>
      </c>
      <c r="L9322" s="142">
        <v>0</v>
      </c>
      <c r="M9322" s="142">
        <v>82</v>
      </c>
    </row>
    <row r="9323" spans="1:13" x14ac:dyDescent="0.45">
      <c r="A9323" s="142" t="s">
        <v>13271</v>
      </c>
      <c r="B9323" s="142" t="s">
        <v>15470</v>
      </c>
      <c r="C9323" s="142" t="s">
        <v>15847</v>
      </c>
      <c r="D9323" s="142" t="s">
        <v>15848</v>
      </c>
      <c r="E9323" s="142" t="s">
        <v>15849</v>
      </c>
      <c r="F9323" s="142" t="s">
        <v>207</v>
      </c>
      <c r="G9323" s="142" t="s">
        <v>2715</v>
      </c>
      <c r="H9323" s="142" t="s">
        <v>25173</v>
      </c>
      <c r="I9323" s="142">
        <v>3325</v>
      </c>
      <c r="J9323" s="142">
        <v>2302</v>
      </c>
      <c r="K9323" s="142">
        <v>0</v>
      </c>
      <c r="L9323" s="142">
        <v>860</v>
      </c>
      <c r="M9323" s="142">
        <v>163</v>
      </c>
    </row>
    <row r="9324" spans="1:13" x14ac:dyDescent="0.45">
      <c r="A9324" s="142" t="s">
        <v>14044</v>
      </c>
      <c r="B9324" s="142" t="s">
        <v>15474</v>
      </c>
      <c r="C9324" s="142" t="s">
        <v>15847</v>
      </c>
      <c r="D9324" s="142" t="s">
        <v>15848</v>
      </c>
      <c r="E9324" s="142" t="s">
        <v>15849</v>
      </c>
      <c r="F9324" s="142" t="s">
        <v>207</v>
      </c>
      <c r="G9324" s="142" t="s">
        <v>2715</v>
      </c>
      <c r="H9324" s="142" t="s">
        <v>25174</v>
      </c>
      <c r="I9324" s="142">
        <v>198</v>
      </c>
      <c r="J9324" s="142">
        <v>166</v>
      </c>
      <c r="K9324" s="142">
        <v>0</v>
      </c>
      <c r="L9324" s="142">
        <v>0</v>
      </c>
      <c r="M9324" s="142">
        <v>32</v>
      </c>
    </row>
    <row r="9325" spans="1:13" x14ac:dyDescent="0.45">
      <c r="A9325" s="142" t="s">
        <v>13243</v>
      </c>
      <c r="B9325" s="142" t="s">
        <v>15560</v>
      </c>
      <c r="C9325" s="142" t="s">
        <v>15847</v>
      </c>
      <c r="D9325" s="142" t="s">
        <v>15848</v>
      </c>
      <c r="E9325" s="142" t="s">
        <v>15849</v>
      </c>
      <c r="F9325" s="142" t="s">
        <v>207</v>
      </c>
      <c r="G9325" s="142" t="s">
        <v>2715</v>
      </c>
      <c r="H9325" s="142" t="s">
        <v>25175</v>
      </c>
      <c r="I9325" s="142">
        <v>47</v>
      </c>
      <c r="J9325" s="142">
        <v>23</v>
      </c>
      <c r="K9325" s="142">
        <v>0</v>
      </c>
      <c r="L9325" s="142">
        <v>24</v>
      </c>
      <c r="M9325" s="142">
        <v>0</v>
      </c>
    </row>
    <row r="9326" spans="1:13" x14ac:dyDescent="0.45">
      <c r="A9326" s="142" t="s">
        <v>13028</v>
      </c>
      <c r="B9326" s="142" t="s">
        <v>14462</v>
      </c>
      <c r="C9326" s="142" t="s">
        <v>15847</v>
      </c>
      <c r="D9326" s="142" t="s">
        <v>15848</v>
      </c>
      <c r="E9326" s="142" t="s">
        <v>15849</v>
      </c>
      <c r="F9326" s="142" t="s">
        <v>207</v>
      </c>
      <c r="G9326" s="142" t="s">
        <v>2715</v>
      </c>
      <c r="H9326" s="142" t="s">
        <v>25176</v>
      </c>
      <c r="I9326" s="142">
        <v>108</v>
      </c>
      <c r="J9326" s="142">
        <v>0</v>
      </c>
      <c r="K9326" s="142">
        <v>0</v>
      </c>
      <c r="L9326" s="142">
        <v>0</v>
      </c>
      <c r="M9326" s="142">
        <v>108</v>
      </c>
    </row>
    <row r="9327" spans="1:13" x14ac:dyDescent="0.45">
      <c r="A9327" s="142" t="s">
        <v>13002</v>
      </c>
      <c r="B9327" s="142" t="s">
        <v>15376</v>
      </c>
      <c r="C9327" s="142" t="s">
        <v>15847</v>
      </c>
      <c r="D9327" s="142" t="s">
        <v>15848</v>
      </c>
      <c r="E9327" s="142" t="s">
        <v>15849</v>
      </c>
      <c r="F9327" s="142" t="s">
        <v>207</v>
      </c>
      <c r="G9327" s="142" t="s">
        <v>2715</v>
      </c>
      <c r="H9327" s="142" t="s">
        <v>25177</v>
      </c>
      <c r="I9327" s="142">
        <v>331</v>
      </c>
      <c r="J9327" s="142">
        <v>281</v>
      </c>
      <c r="K9327" s="142">
        <v>0</v>
      </c>
      <c r="L9327" s="142">
        <v>9</v>
      </c>
      <c r="M9327" s="142">
        <v>41</v>
      </c>
    </row>
    <row r="9328" spans="1:13" x14ac:dyDescent="0.45">
      <c r="A9328" s="142" t="s">
        <v>13003</v>
      </c>
      <c r="B9328" s="142" t="s">
        <v>15245</v>
      </c>
      <c r="C9328" s="142" t="s">
        <v>15847</v>
      </c>
      <c r="D9328" s="142" t="s">
        <v>15848</v>
      </c>
      <c r="E9328" s="142" t="s">
        <v>15849</v>
      </c>
      <c r="F9328" s="142" t="s">
        <v>207</v>
      </c>
      <c r="G9328" s="142" t="s">
        <v>2715</v>
      </c>
      <c r="H9328" s="142" t="s">
        <v>25178</v>
      </c>
      <c r="I9328" s="142">
        <v>327</v>
      </c>
      <c r="J9328" s="142">
        <v>0</v>
      </c>
      <c r="K9328" s="142">
        <v>0</v>
      </c>
      <c r="L9328" s="142">
        <v>243</v>
      </c>
      <c r="M9328" s="142">
        <v>84</v>
      </c>
    </row>
    <row r="9329" spans="1:13" x14ac:dyDescent="0.45">
      <c r="A9329" s="142" t="s">
        <v>13004</v>
      </c>
      <c r="B9329" s="142" t="s">
        <v>15492</v>
      </c>
      <c r="C9329" s="142" t="s">
        <v>15847</v>
      </c>
      <c r="D9329" s="142" t="s">
        <v>15848</v>
      </c>
      <c r="E9329" s="142" t="s">
        <v>15849</v>
      </c>
      <c r="F9329" s="142" t="s">
        <v>207</v>
      </c>
      <c r="G9329" s="142" t="s">
        <v>2715</v>
      </c>
      <c r="H9329" s="142" t="s">
        <v>25179</v>
      </c>
      <c r="I9329" s="142">
        <v>160</v>
      </c>
      <c r="J9329" s="142">
        <v>82</v>
      </c>
      <c r="K9329" s="142">
        <v>0</v>
      </c>
      <c r="L9329" s="142">
        <v>72</v>
      </c>
      <c r="M9329" s="142">
        <v>6</v>
      </c>
    </row>
    <row r="9330" spans="1:13" x14ac:dyDescent="0.45">
      <c r="A9330" s="142" t="s">
        <v>13066</v>
      </c>
      <c r="B9330" s="142" t="s">
        <v>14459</v>
      </c>
      <c r="C9330" s="142" t="s">
        <v>15847</v>
      </c>
      <c r="D9330" s="142" t="s">
        <v>15848</v>
      </c>
      <c r="E9330" s="142" t="s">
        <v>15849</v>
      </c>
      <c r="F9330" s="142" t="s">
        <v>207</v>
      </c>
      <c r="G9330" s="142" t="s">
        <v>2715</v>
      </c>
      <c r="H9330" s="142" t="s">
        <v>25180</v>
      </c>
      <c r="I9330" s="142">
        <v>47</v>
      </c>
      <c r="J9330" s="142">
        <v>0</v>
      </c>
      <c r="K9330" s="142">
        <v>0</v>
      </c>
      <c r="L9330" s="142">
        <v>47</v>
      </c>
      <c r="M9330" s="142">
        <v>0</v>
      </c>
    </row>
    <row r="9331" spans="1:13" x14ac:dyDescent="0.45">
      <c r="A9331" s="142" t="s">
        <v>13201</v>
      </c>
      <c r="B9331" s="142" t="s">
        <v>14481</v>
      </c>
      <c r="C9331" s="142" t="s">
        <v>15860</v>
      </c>
      <c r="D9331" s="142" t="s">
        <v>15861</v>
      </c>
      <c r="E9331" s="142" t="s">
        <v>15849</v>
      </c>
      <c r="F9331" s="142" t="s">
        <v>207</v>
      </c>
      <c r="G9331" s="142" t="s">
        <v>2715</v>
      </c>
      <c r="H9331" s="142" t="s">
        <v>25181</v>
      </c>
      <c r="I9331" s="142">
        <v>13</v>
      </c>
      <c r="J9331" s="142">
        <v>0</v>
      </c>
      <c r="K9331" s="142">
        <v>0</v>
      </c>
      <c r="L9331" s="142">
        <v>13</v>
      </c>
      <c r="M9331" s="142">
        <v>0</v>
      </c>
    </row>
    <row r="9332" spans="1:13" x14ac:dyDescent="0.45">
      <c r="A9332" s="142" t="s">
        <v>13178</v>
      </c>
      <c r="B9332" s="142" t="s">
        <v>14683</v>
      </c>
      <c r="C9332" s="142" t="s">
        <v>15847</v>
      </c>
      <c r="D9332" s="142" t="s">
        <v>15848</v>
      </c>
      <c r="E9332" s="142" t="s">
        <v>15849</v>
      </c>
      <c r="F9332" s="142" t="s">
        <v>207</v>
      </c>
      <c r="G9332" s="142" t="s">
        <v>2715</v>
      </c>
      <c r="H9332" s="142" t="s">
        <v>25182</v>
      </c>
      <c r="I9332" s="142">
        <v>11</v>
      </c>
      <c r="J9332" s="142">
        <v>11</v>
      </c>
      <c r="K9332" s="142">
        <v>0</v>
      </c>
      <c r="L9332" s="142">
        <v>0</v>
      </c>
      <c r="M9332" s="142">
        <v>0</v>
      </c>
    </row>
    <row r="9333" spans="1:13" x14ac:dyDescent="0.45">
      <c r="A9333" s="142" t="s">
        <v>13076</v>
      </c>
      <c r="B9333" s="142" t="s">
        <v>14636</v>
      </c>
      <c r="C9333" s="142" t="s">
        <v>15847</v>
      </c>
      <c r="D9333" s="142" t="s">
        <v>15848</v>
      </c>
      <c r="E9333" s="142" t="s">
        <v>15849</v>
      </c>
      <c r="F9333" s="142" t="s">
        <v>207</v>
      </c>
      <c r="G9333" s="142" t="s">
        <v>2715</v>
      </c>
      <c r="H9333" s="142" t="s">
        <v>25183</v>
      </c>
      <c r="I9333" s="142">
        <v>14</v>
      </c>
      <c r="J9333" s="142">
        <v>0</v>
      </c>
      <c r="K9333" s="142">
        <v>0</v>
      </c>
      <c r="L9333" s="142">
        <v>0</v>
      </c>
      <c r="M9333" s="142">
        <v>14</v>
      </c>
    </row>
    <row r="9334" spans="1:13" x14ac:dyDescent="0.45">
      <c r="A9334" s="142" t="s">
        <v>13029</v>
      </c>
      <c r="B9334" s="142" t="s">
        <v>14665</v>
      </c>
      <c r="C9334" s="142" t="s">
        <v>15847</v>
      </c>
      <c r="D9334" s="142" t="s">
        <v>15848</v>
      </c>
      <c r="E9334" s="142" t="s">
        <v>15849</v>
      </c>
      <c r="F9334" s="142" t="s">
        <v>207</v>
      </c>
      <c r="G9334" s="142" t="s">
        <v>2715</v>
      </c>
      <c r="H9334" s="142" t="s">
        <v>25184</v>
      </c>
      <c r="I9334" s="142">
        <v>1</v>
      </c>
      <c r="J9334" s="142">
        <v>0</v>
      </c>
      <c r="K9334" s="142">
        <v>0</v>
      </c>
      <c r="L9334" s="142">
        <v>0</v>
      </c>
      <c r="M9334" s="142">
        <v>1</v>
      </c>
    </row>
    <row r="9335" spans="1:13" x14ac:dyDescent="0.45">
      <c r="A9335" s="142" t="s">
        <v>13006</v>
      </c>
      <c r="B9335" s="142" t="s">
        <v>15288</v>
      </c>
      <c r="C9335" s="142" t="s">
        <v>15847</v>
      </c>
      <c r="D9335" s="142" t="s">
        <v>15848</v>
      </c>
      <c r="E9335" s="142" t="s">
        <v>15849</v>
      </c>
      <c r="F9335" s="142" t="s">
        <v>207</v>
      </c>
      <c r="G9335" s="142" t="s">
        <v>2715</v>
      </c>
      <c r="H9335" s="142" t="s">
        <v>25185</v>
      </c>
      <c r="I9335" s="142">
        <v>248</v>
      </c>
      <c r="J9335" s="142">
        <v>118</v>
      </c>
      <c r="K9335" s="142">
        <v>0</v>
      </c>
      <c r="L9335" s="142">
        <v>0</v>
      </c>
      <c r="M9335" s="142">
        <v>130</v>
      </c>
    </row>
    <row r="9336" spans="1:13" x14ac:dyDescent="0.45">
      <c r="A9336" s="142" t="s">
        <v>13248</v>
      </c>
      <c r="B9336" s="142" t="s">
        <v>15463</v>
      </c>
      <c r="C9336" s="142" t="s">
        <v>15847</v>
      </c>
      <c r="D9336" s="142" t="s">
        <v>15848</v>
      </c>
      <c r="E9336" s="142" t="s">
        <v>15849</v>
      </c>
      <c r="F9336" s="142" t="s">
        <v>207</v>
      </c>
      <c r="G9336" s="142" t="s">
        <v>2715</v>
      </c>
      <c r="H9336" s="142" t="s">
        <v>25186</v>
      </c>
      <c r="I9336" s="142">
        <v>250</v>
      </c>
      <c r="J9336" s="142">
        <v>107</v>
      </c>
      <c r="K9336" s="142">
        <v>0</v>
      </c>
      <c r="L9336" s="142">
        <v>95</v>
      </c>
      <c r="M9336" s="142">
        <v>48</v>
      </c>
    </row>
    <row r="9337" spans="1:13" x14ac:dyDescent="0.45">
      <c r="A9337" s="142" t="s">
        <v>14000</v>
      </c>
      <c r="B9337" s="142" t="s">
        <v>14614</v>
      </c>
      <c r="C9337" s="142" t="s">
        <v>15860</v>
      </c>
      <c r="D9337" s="142" t="s">
        <v>15861</v>
      </c>
      <c r="E9337" s="142" t="s">
        <v>15849</v>
      </c>
      <c r="F9337" s="142" t="s">
        <v>207</v>
      </c>
      <c r="G9337" s="142" t="s">
        <v>2715</v>
      </c>
      <c r="H9337" s="142" t="s">
        <v>25187</v>
      </c>
      <c r="I9337" s="142">
        <v>13</v>
      </c>
      <c r="J9337" s="142">
        <v>0</v>
      </c>
      <c r="K9337" s="142">
        <v>0</v>
      </c>
      <c r="L9337" s="142">
        <v>13</v>
      </c>
      <c r="M9337" s="142">
        <v>0</v>
      </c>
    </row>
    <row r="9338" spans="1:13" x14ac:dyDescent="0.45">
      <c r="A9338" s="142" t="s">
        <v>13284</v>
      </c>
      <c r="B9338" s="142" t="s">
        <v>15364</v>
      </c>
      <c r="C9338" s="142" t="s">
        <v>15847</v>
      </c>
      <c r="D9338" s="142" t="s">
        <v>15848</v>
      </c>
      <c r="E9338" s="142" t="s">
        <v>15849</v>
      </c>
      <c r="F9338" s="142" t="s">
        <v>207</v>
      </c>
      <c r="G9338" s="142" t="s">
        <v>2715</v>
      </c>
      <c r="H9338" s="142" t="s">
        <v>25188</v>
      </c>
      <c r="I9338" s="142">
        <v>52</v>
      </c>
      <c r="J9338" s="142">
        <v>23</v>
      </c>
      <c r="K9338" s="142">
        <v>0</v>
      </c>
      <c r="L9338" s="142">
        <v>29</v>
      </c>
      <c r="M9338" s="142">
        <v>0</v>
      </c>
    </row>
    <row r="9339" spans="1:13" x14ac:dyDescent="0.45">
      <c r="A9339" s="142" t="s">
        <v>14045</v>
      </c>
      <c r="B9339" s="142" t="s">
        <v>15403</v>
      </c>
      <c r="C9339" s="142" t="s">
        <v>15860</v>
      </c>
      <c r="D9339" s="142" t="s">
        <v>15861</v>
      </c>
      <c r="E9339" s="142" t="s">
        <v>15849</v>
      </c>
      <c r="F9339" s="142" t="s">
        <v>207</v>
      </c>
      <c r="G9339" s="142" t="s">
        <v>2715</v>
      </c>
      <c r="H9339" s="142" t="s">
        <v>25189</v>
      </c>
      <c r="I9339" s="142">
        <v>276</v>
      </c>
      <c r="J9339" s="142">
        <v>276</v>
      </c>
      <c r="K9339" s="142">
        <v>0</v>
      </c>
      <c r="L9339" s="142">
        <v>0</v>
      </c>
      <c r="M9339" s="142">
        <v>0</v>
      </c>
    </row>
    <row r="9340" spans="1:13" x14ac:dyDescent="0.45">
      <c r="A9340" s="142" t="s">
        <v>13030</v>
      </c>
      <c r="B9340" s="142" t="s">
        <v>14572</v>
      </c>
      <c r="C9340" s="142" t="s">
        <v>15847</v>
      </c>
      <c r="D9340" s="142" t="s">
        <v>15848</v>
      </c>
      <c r="E9340" s="142" t="s">
        <v>15849</v>
      </c>
      <c r="F9340" s="142" t="s">
        <v>207</v>
      </c>
      <c r="G9340" s="142" t="s">
        <v>2715</v>
      </c>
      <c r="H9340" s="142" t="s">
        <v>25190</v>
      </c>
      <c r="I9340" s="142">
        <v>632</v>
      </c>
      <c r="J9340" s="142">
        <v>511</v>
      </c>
      <c r="K9340" s="142">
        <v>0</v>
      </c>
      <c r="L9340" s="142">
        <v>10</v>
      </c>
      <c r="M9340" s="142">
        <v>111</v>
      </c>
    </row>
    <row r="9341" spans="1:13" x14ac:dyDescent="0.45">
      <c r="A9341" s="142" t="s">
        <v>13008</v>
      </c>
      <c r="B9341" s="142" t="s">
        <v>15411</v>
      </c>
      <c r="C9341" s="142" t="s">
        <v>15847</v>
      </c>
      <c r="D9341" s="142" t="s">
        <v>15848</v>
      </c>
      <c r="E9341" s="142" t="s">
        <v>15849</v>
      </c>
      <c r="F9341" s="142" t="s">
        <v>207</v>
      </c>
      <c r="G9341" s="142" t="s">
        <v>2715</v>
      </c>
      <c r="H9341" s="142" t="s">
        <v>25191</v>
      </c>
      <c r="I9341" s="142">
        <v>276</v>
      </c>
      <c r="J9341" s="142">
        <v>1</v>
      </c>
      <c r="K9341" s="142">
        <v>0</v>
      </c>
      <c r="L9341" s="142">
        <v>0</v>
      </c>
      <c r="M9341" s="142">
        <v>275</v>
      </c>
    </row>
    <row r="9342" spans="1:13" x14ac:dyDescent="0.45">
      <c r="A9342" s="142" t="s">
        <v>13077</v>
      </c>
      <c r="B9342" s="142" t="s">
        <v>15407</v>
      </c>
      <c r="C9342" s="142" t="s">
        <v>15847</v>
      </c>
      <c r="D9342" s="142" t="s">
        <v>15848</v>
      </c>
      <c r="E9342" s="142" t="s">
        <v>15849</v>
      </c>
      <c r="F9342" s="142" t="s">
        <v>207</v>
      </c>
      <c r="G9342" s="142" t="s">
        <v>2715</v>
      </c>
      <c r="H9342" s="142" t="s">
        <v>25192</v>
      </c>
      <c r="I9342" s="142">
        <v>1079</v>
      </c>
      <c r="J9342" s="142">
        <v>984</v>
      </c>
      <c r="K9342" s="142">
        <v>0</v>
      </c>
      <c r="L9342" s="142">
        <v>95</v>
      </c>
      <c r="M9342" s="142">
        <v>0</v>
      </c>
    </row>
    <row r="9343" spans="1:13" x14ac:dyDescent="0.45">
      <c r="A9343" s="142" t="s">
        <v>13055</v>
      </c>
      <c r="B9343" s="142" t="s">
        <v>14595</v>
      </c>
      <c r="C9343" s="142" t="s">
        <v>15847</v>
      </c>
      <c r="D9343" s="142" t="s">
        <v>15848</v>
      </c>
      <c r="E9343" s="142" t="s">
        <v>15849</v>
      </c>
      <c r="F9343" s="142" t="s">
        <v>207</v>
      </c>
      <c r="G9343" s="142" t="s">
        <v>2715</v>
      </c>
      <c r="H9343" s="142" t="s">
        <v>25193</v>
      </c>
      <c r="I9343" s="142">
        <v>544</v>
      </c>
      <c r="J9343" s="142">
        <v>434</v>
      </c>
      <c r="K9343" s="142">
        <v>0</v>
      </c>
      <c r="L9343" s="142">
        <v>81</v>
      </c>
      <c r="M9343" s="142">
        <v>29</v>
      </c>
    </row>
    <row r="9344" spans="1:13" x14ac:dyDescent="0.45">
      <c r="A9344" s="142" t="s">
        <v>13104</v>
      </c>
      <c r="B9344" s="142" t="s">
        <v>14622</v>
      </c>
      <c r="C9344" s="142" t="s">
        <v>15847</v>
      </c>
      <c r="D9344" s="142" t="s">
        <v>15848</v>
      </c>
      <c r="E9344" s="142" t="s">
        <v>15849</v>
      </c>
      <c r="F9344" s="142" t="s">
        <v>207</v>
      </c>
      <c r="G9344" s="142" t="s">
        <v>2715</v>
      </c>
      <c r="H9344" s="142" t="s">
        <v>25194</v>
      </c>
      <c r="I9344" s="142">
        <v>71</v>
      </c>
      <c r="J9344" s="142">
        <v>28</v>
      </c>
      <c r="K9344" s="142">
        <v>0</v>
      </c>
      <c r="L9344" s="142">
        <v>0</v>
      </c>
      <c r="M9344" s="142">
        <v>43</v>
      </c>
    </row>
    <row r="9345" spans="1:13" x14ac:dyDescent="0.45">
      <c r="A9345" s="142" t="s">
        <v>13033</v>
      </c>
      <c r="B9345" s="142" t="s">
        <v>15276</v>
      </c>
      <c r="C9345" s="142" t="s">
        <v>15847</v>
      </c>
      <c r="D9345" s="142" t="s">
        <v>15848</v>
      </c>
      <c r="E9345" s="142" t="s">
        <v>15849</v>
      </c>
      <c r="F9345" s="142" t="s">
        <v>207</v>
      </c>
      <c r="G9345" s="142" t="s">
        <v>2715</v>
      </c>
      <c r="H9345" s="142" t="s">
        <v>25195</v>
      </c>
      <c r="I9345" s="142">
        <v>128</v>
      </c>
      <c r="J9345" s="142">
        <v>128</v>
      </c>
      <c r="K9345" s="142">
        <v>0</v>
      </c>
      <c r="L9345" s="142">
        <v>0</v>
      </c>
      <c r="M9345" s="142">
        <v>0</v>
      </c>
    </row>
    <row r="9346" spans="1:13" x14ac:dyDescent="0.45">
      <c r="A9346" s="142" t="s">
        <v>13034</v>
      </c>
      <c r="B9346" s="142" t="s">
        <v>15562</v>
      </c>
      <c r="C9346" s="142" t="s">
        <v>15847</v>
      </c>
      <c r="D9346" s="142" t="s">
        <v>15848</v>
      </c>
      <c r="E9346" s="142" t="s">
        <v>15849</v>
      </c>
      <c r="F9346" s="142" t="s">
        <v>207</v>
      </c>
      <c r="G9346" s="142" t="s">
        <v>2715</v>
      </c>
      <c r="H9346" s="142" t="s">
        <v>25196</v>
      </c>
      <c r="I9346" s="142">
        <v>176</v>
      </c>
      <c r="J9346" s="142">
        <v>68</v>
      </c>
      <c r="K9346" s="142">
        <v>0</v>
      </c>
      <c r="L9346" s="142">
        <v>106</v>
      </c>
      <c r="M9346" s="142">
        <v>2</v>
      </c>
    </row>
    <row r="9347" spans="1:13" x14ac:dyDescent="0.45">
      <c r="A9347" s="142" t="s">
        <v>13035</v>
      </c>
      <c r="B9347" s="142" t="s">
        <v>14648</v>
      </c>
      <c r="C9347" s="142" t="s">
        <v>15847</v>
      </c>
      <c r="D9347" s="142" t="s">
        <v>15848</v>
      </c>
      <c r="E9347" s="142" t="s">
        <v>15849</v>
      </c>
      <c r="F9347" s="142" t="s">
        <v>207</v>
      </c>
      <c r="G9347" s="142" t="s">
        <v>2715</v>
      </c>
      <c r="H9347" s="142" t="s">
        <v>25197</v>
      </c>
      <c r="I9347" s="142">
        <v>157</v>
      </c>
      <c r="J9347" s="142">
        <v>87</v>
      </c>
      <c r="K9347" s="142">
        <v>0</v>
      </c>
      <c r="L9347" s="142">
        <v>0</v>
      </c>
      <c r="M9347" s="142">
        <v>70</v>
      </c>
    </row>
    <row r="9348" spans="1:13" x14ac:dyDescent="0.45">
      <c r="A9348" s="142" t="s">
        <v>13037</v>
      </c>
      <c r="B9348" s="142" t="s">
        <v>14519</v>
      </c>
      <c r="C9348" s="142" t="s">
        <v>15847</v>
      </c>
      <c r="D9348" s="142" t="s">
        <v>15848</v>
      </c>
      <c r="E9348" s="142" t="s">
        <v>15849</v>
      </c>
      <c r="F9348" s="142" t="s">
        <v>207</v>
      </c>
      <c r="G9348" s="142" t="s">
        <v>2715</v>
      </c>
      <c r="H9348" s="142" t="s">
        <v>25198</v>
      </c>
      <c r="I9348" s="142">
        <v>3</v>
      </c>
      <c r="J9348" s="142">
        <v>0</v>
      </c>
      <c r="K9348" s="142">
        <v>0</v>
      </c>
      <c r="L9348" s="142">
        <v>3</v>
      </c>
      <c r="M9348" s="142">
        <v>0</v>
      </c>
    </row>
    <row r="9349" spans="1:13" x14ac:dyDescent="0.45">
      <c r="A9349" s="142" t="s">
        <v>13038</v>
      </c>
      <c r="B9349" s="142" t="s">
        <v>14646</v>
      </c>
      <c r="C9349" s="142" t="s">
        <v>15847</v>
      </c>
      <c r="D9349" s="142" t="s">
        <v>15848</v>
      </c>
      <c r="E9349" s="142" t="s">
        <v>15849</v>
      </c>
      <c r="F9349" s="142" t="s">
        <v>207</v>
      </c>
      <c r="G9349" s="142" t="s">
        <v>2715</v>
      </c>
      <c r="H9349" s="142" t="s">
        <v>25199</v>
      </c>
      <c r="I9349" s="142">
        <v>199</v>
      </c>
      <c r="J9349" s="142">
        <v>97</v>
      </c>
      <c r="K9349" s="142">
        <v>0</v>
      </c>
      <c r="L9349" s="142">
        <v>0</v>
      </c>
      <c r="M9349" s="142">
        <v>102</v>
      </c>
    </row>
    <row r="9350" spans="1:13" x14ac:dyDescent="0.45">
      <c r="A9350" s="142" t="s">
        <v>13039</v>
      </c>
      <c r="B9350" s="142" t="s">
        <v>14647</v>
      </c>
      <c r="C9350" s="142" t="s">
        <v>15847</v>
      </c>
      <c r="D9350" s="142" t="s">
        <v>15848</v>
      </c>
      <c r="E9350" s="142" t="s">
        <v>15849</v>
      </c>
      <c r="F9350" s="142" t="s">
        <v>207</v>
      </c>
      <c r="G9350" s="142" t="s">
        <v>2715</v>
      </c>
      <c r="H9350" s="142" t="s">
        <v>25200</v>
      </c>
      <c r="I9350" s="142">
        <v>136</v>
      </c>
      <c r="J9350" s="142">
        <v>136</v>
      </c>
      <c r="K9350" s="142">
        <v>0</v>
      </c>
      <c r="L9350" s="142">
        <v>0</v>
      </c>
      <c r="M9350" s="142">
        <v>0</v>
      </c>
    </row>
    <row r="9351" spans="1:13" x14ac:dyDescent="0.45">
      <c r="A9351" s="142" t="s">
        <v>13009</v>
      </c>
      <c r="B9351" s="142" t="s">
        <v>15256</v>
      </c>
      <c r="C9351" s="142" t="s">
        <v>15847</v>
      </c>
      <c r="D9351" s="142" t="s">
        <v>15848</v>
      </c>
      <c r="E9351" s="142" t="s">
        <v>15849</v>
      </c>
      <c r="F9351" s="142" t="s">
        <v>207</v>
      </c>
      <c r="G9351" s="142" t="s">
        <v>2715</v>
      </c>
      <c r="H9351" s="142" t="s">
        <v>25201</v>
      </c>
      <c r="I9351" s="142">
        <v>304</v>
      </c>
      <c r="J9351" s="142">
        <v>304</v>
      </c>
      <c r="K9351" s="142">
        <v>0</v>
      </c>
      <c r="L9351" s="142">
        <v>0</v>
      </c>
      <c r="M9351" s="142">
        <v>0</v>
      </c>
    </row>
    <row r="9352" spans="1:13" x14ac:dyDescent="0.45">
      <c r="A9352" s="142" t="s">
        <v>13011</v>
      </c>
      <c r="B9352" s="142" t="s">
        <v>14695</v>
      </c>
      <c r="C9352" s="142" t="s">
        <v>15847</v>
      </c>
      <c r="D9352" s="142" t="s">
        <v>15848</v>
      </c>
      <c r="E9352" s="142" t="s">
        <v>15849</v>
      </c>
      <c r="F9352" s="142" t="s">
        <v>207</v>
      </c>
      <c r="G9352" s="142" t="s">
        <v>2715</v>
      </c>
      <c r="H9352" s="142" t="s">
        <v>25202</v>
      </c>
      <c r="I9352" s="142">
        <v>418</v>
      </c>
      <c r="J9352" s="142">
        <v>339</v>
      </c>
      <c r="K9352" s="142">
        <v>0</v>
      </c>
      <c r="L9352" s="142">
        <v>0</v>
      </c>
      <c r="M9352" s="142">
        <v>79</v>
      </c>
    </row>
    <row r="9353" spans="1:13" x14ac:dyDescent="0.45">
      <c r="A9353" s="142" t="s">
        <v>13041</v>
      </c>
      <c r="B9353" s="142" t="s">
        <v>14441</v>
      </c>
      <c r="C9353" s="142" t="s">
        <v>15847</v>
      </c>
      <c r="D9353" s="142" t="s">
        <v>15848</v>
      </c>
      <c r="E9353" s="142" t="s">
        <v>15849</v>
      </c>
      <c r="F9353" s="142" t="s">
        <v>207</v>
      </c>
      <c r="G9353" s="142" t="s">
        <v>2715</v>
      </c>
      <c r="H9353" s="142" t="s">
        <v>25203</v>
      </c>
      <c r="I9353" s="142">
        <v>58</v>
      </c>
      <c r="J9353" s="142">
        <v>0</v>
      </c>
      <c r="K9353" s="142">
        <v>0</v>
      </c>
      <c r="L9353" s="142">
        <v>0</v>
      </c>
      <c r="M9353" s="142">
        <v>58</v>
      </c>
    </row>
    <row r="9354" spans="1:13" x14ac:dyDescent="0.45">
      <c r="A9354" s="142" t="s">
        <v>13012</v>
      </c>
      <c r="B9354" s="142" t="s">
        <v>15337</v>
      </c>
      <c r="C9354" s="142" t="s">
        <v>15847</v>
      </c>
      <c r="D9354" s="142" t="s">
        <v>15848</v>
      </c>
      <c r="E9354" s="142" t="s">
        <v>15849</v>
      </c>
      <c r="F9354" s="142" t="s">
        <v>207</v>
      </c>
      <c r="G9354" s="142" t="s">
        <v>2715</v>
      </c>
      <c r="H9354" s="142" t="s">
        <v>25204</v>
      </c>
      <c r="I9354" s="142">
        <v>213</v>
      </c>
      <c r="J9354" s="142">
        <v>133</v>
      </c>
      <c r="K9354" s="142">
        <v>0</v>
      </c>
      <c r="L9354" s="142">
        <v>0</v>
      </c>
      <c r="M9354" s="142">
        <v>80</v>
      </c>
    </row>
    <row r="9355" spans="1:13" x14ac:dyDescent="0.45">
      <c r="A9355" s="142" t="s">
        <v>13014</v>
      </c>
      <c r="B9355" s="142" t="s">
        <v>14505</v>
      </c>
      <c r="C9355" s="142" t="s">
        <v>15847</v>
      </c>
      <c r="D9355" s="142" t="s">
        <v>15848</v>
      </c>
      <c r="E9355" s="142" t="s">
        <v>15849</v>
      </c>
      <c r="F9355" s="142" t="s">
        <v>207</v>
      </c>
      <c r="G9355" s="142" t="s">
        <v>2715</v>
      </c>
      <c r="H9355" s="142" t="s">
        <v>25205</v>
      </c>
      <c r="I9355" s="142">
        <v>449</v>
      </c>
      <c r="J9355" s="142">
        <v>313</v>
      </c>
      <c r="K9355" s="142">
        <v>0</v>
      </c>
      <c r="L9355" s="142">
        <v>0</v>
      </c>
      <c r="M9355" s="142">
        <v>136</v>
      </c>
    </row>
    <row r="9356" spans="1:13" x14ac:dyDescent="0.45">
      <c r="A9356" s="142" t="s">
        <v>13042</v>
      </c>
      <c r="B9356" s="142" t="s">
        <v>15489</v>
      </c>
      <c r="C9356" s="142" t="s">
        <v>15847</v>
      </c>
      <c r="D9356" s="142" t="s">
        <v>15848</v>
      </c>
      <c r="E9356" s="142" t="s">
        <v>15849</v>
      </c>
      <c r="F9356" s="142" t="s">
        <v>207</v>
      </c>
      <c r="G9356" s="142" t="s">
        <v>2715</v>
      </c>
      <c r="H9356" s="142" t="s">
        <v>25206</v>
      </c>
      <c r="I9356" s="142">
        <v>27</v>
      </c>
      <c r="J9356" s="142">
        <v>12</v>
      </c>
      <c r="K9356" s="142">
        <v>0</v>
      </c>
      <c r="L9356" s="142">
        <v>0</v>
      </c>
      <c r="M9356" s="142">
        <v>15</v>
      </c>
    </row>
    <row r="9357" spans="1:13" x14ac:dyDescent="0.45">
      <c r="A9357" s="142" t="s">
        <v>13395</v>
      </c>
      <c r="B9357" s="142" t="s">
        <v>15476</v>
      </c>
      <c r="C9357" s="142" t="s">
        <v>15847</v>
      </c>
      <c r="D9357" s="142" t="s">
        <v>15848</v>
      </c>
      <c r="E9357" s="142" t="s">
        <v>15849</v>
      </c>
      <c r="F9357" s="142" t="s">
        <v>207</v>
      </c>
      <c r="G9357" s="142" t="s">
        <v>2715</v>
      </c>
      <c r="H9357" s="142" t="s">
        <v>25207</v>
      </c>
      <c r="I9357" s="142">
        <v>1</v>
      </c>
      <c r="J9357" s="142">
        <v>0</v>
      </c>
      <c r="K9357" s="142">
        <v>0</v>
      </c>
      <c r="L9357" s="142">
        <v>0</v>
      </c>
      <c r="M9357" s="142">
        <v>1</v>
      </c>
    </row>
    <row r="9358" spans="1:13" x14ac:dyDescent="0.45">
      <c r="A9358" s="142" t="s">
        <v>13222</v>
      </c>
      <c r="B9358" s="142" t="s">
        <v>14449</v>
      </c>
      <c r="C9358" s="142" t="s">
        <v>15860</v>
      </c>
      <c r="D9358" s="142" t="s">
        <v>15861</v>
      </c>
      <c r="E9358" s="142" t="s">
        <v>15849</v>
      </c>
      <c r="F9358" s="142" t="s">
        <v>207</v>
      </c>
      <c r="G9358" s="142" t="s">
        <v>2715</v>
      </c>
      <c r="H9358" s="142" t="s">
        <v>25208</v>
      </c>
      <c r="I9358" s="142">
        <v>4</v>
      </c>
      <c r="J9358" s="142">
        <v>0</v>
      </c>
      <c r="K9358" s="142">
        <v>0</v>
      </c>
      <c r="L9358" s="142">
        <v>4</v>
      </c>
      <c r="M9358" s="142">
        <v>0</v>
      </c>
    </row>
    <row r="9359" spans="1:13" x14ac:dyDescent="0.45">
      <c r="A9359" s="142" t="s">
        <v>13016</v>
      </c>
      <c r="B9359" s="142" t="s">
        <v>14535</v>
      </c>
      <c r="C9359" s="142" t="s">
        <v>15860</v>
      </c>
      <c r="D9359" s="142" t="s">
        <v>15861</v>
      </c>
      <c r="E9359" s="142" t="s">
        <v>15849</v>
      </c>
      <c r="F9359" s="142" t="s">
        <v>207</v>
      </c>
      <c r="G9359" s="142" t="s">
        <v>2715</v>
      </c>
      <c r="H9359" s="142" t="s">
        <v>25209</v>
      </c>
      <c r="I9359" s="142">
        <v>3</v>
      </c>
      <c r="J9359" s="142">
        <v>0</v>
      </c>
      <c r="K9359" s="142">
        <v>0</v>
      </c>
      <c r="L9359" s="142">
        <v>3</v>
      </c>
      <c r="M9359" s="142">
        <v>0</v>
      </c>
    </row>
    <row r="9360" spans="1:13" x14ac:dyDescent="0.45">
      <c r="A9360" s="142" t="s">
        <v>14360</v>
      </c>
      <c r="B9360" s="142" t="s">
        <v>14701</v>
      </c>
      <c r="C9360" s="142" t="s">
        <v>15860</v>
      </c>
      <c r="D9360" s="142" t="s">
        <v>15861</v>
      </c>
      <c r="E9360" s="142" t="s">
        <v>15849</v>
      </c>
      <c r="F9360" s="142" t="s">
        <v>207</v>
      </c>
      <c r="G9360" s="142" t="s">
        <v>2715</v>
      </c>
      <c r="H9360" s="142" t="s">
        <v>25210</v>
      </c>
      <c r="I9360" s="142">
        <v>6</v>
      </c>
      <c r="J9360" s="142">
        <v>0</v>
      </c>
      <c r="K9360" s="142">
        <v>0</v>
      </c>
      <c r="L9360" s="142">
        <v>6</v>
      </c>
      <c r="M9360" s="142">
        <v>0</v>
      </c>
    </row>
    <row r="9361" spans="1:13" x14ac:dyDescent="0.45">
      <c r="A9361" s="142" t="s">
        <v>13207</v>
      </c>
      <c r="B9361" s="142" t="s">
        <v>15558</v>
      </c>
      <c r="C9361" s="142" t="s">
        <v>15847</v>
      </c>
      <c r="D9361" s="142" t="s">
        <v>15848</v>
      </c>
      <c r="E9361" s="142" t="s">
        <v>15849</v>
      </c>
      <c r="F9361" s="142" t="s">
        <v>207</v>
      </c>
      <c r="G9361" s="142" t="s">
        <v>2715</v>
      </c>
      <c r="H9361" s="142" t="s">
        <v>25211</v>
      </c>
      <c r="I9361" s="142">
        <v>659</v>
      </c>
      <c r="J9361" s="142">
        <v>397</v>
      </c>
      <c r="K9361" s="142">
        <v>0</v>
      </c>
      <c r="L9361" s="142">
        <v>123</v>
      </c>
      <c r="M9361" s="142">
        <v>139</v>
      </c>
    </row>
    <row r="9362" spans="1:13" x14ac:dyDescent="0.45">
      <c r="A9362" s="142" t="s">
        <v>13110</v>
      </c>
      <c r="B9362" s="142" t="s">
        <v>15502</v>
      </c>
      <c r="C9362" s="142" t="s">
        <v>15847</v>
      </c>
      <c r="D9362" s="142" t="s">
        <v>15848</v>
      </c>
      <c r="E9362" s="142" t="s">
        <v>15849</v>
      </c>
      <c r="F9362" s="142" t="s">
        <v>208</v>
      </c>
      <c r="G9362" s="142" t="s">
        <v>7753</v>
      </c>
      <c r="H9362" s="142" t="s">
        <v>25212</v>
      </c>
      <c r="I9362" s="142">
        <v>147</v>
      </c>
      <c r="J9362" s="142">
        <v>135</v>
      </c>
      <c r="K9362" s="142">
        <v>0</v>
      </c>
      <c r="L9362" s="142">
        <v>6</v>
      </c>
      <c r="M9362" s="142">
        <v>6</v>
      </c>
    </row>
    <row r="9363" spans="1:13" x14ac:dyDescent="0.45">
      <c r="A9363" s="142" t="s">
        <v>13021</v>
      </c>
      <c r="B9363" s="142" t="s">
        <v>15501</v>
      </c>
      <c r="C9363" s="142" t="s">
        <v>15847</v>
      </c>
      <c r="D9363" s="142" t="s">
        <v>15848</v>
      </c>
      <c r="E9363" s="142" t="s">
        <v>15849</v>
      </c>
      <c r="F9363" s="142" t="s">
        <v>208</v>
      </c>
      <c r="G9363" s="142" t="s">
        <v>7753</v>
      </c>
      <c r="H9363" s="142" t="s">
        <v>25213</v>
      </c>
      <c r="I9363" s="142">
        <v>74</v>
      </c>
      <c r="J9363" s="142">
        <v>0</v>
      </c>
      <c r="K9363" s="142">
        <v>0</v>
      </c>
      <c r="L9363" s="142">
        <v>59</v>
      </c>
      <c r="M9363" s="142">
        <v>15</v>
      </c>
    </row>
    <row r="9364" spans="1:13" x14ac:dyDescent="0.45">
      <c r="A9364" s="142" t="s">
        <v>13022</v>
      </c>
      <c r="B9364" s="142" t="s">
        <v>14634</v>
      </c>
      <c r="C9364" s="142" t="s">
        <v>15847</v>
      </c>
      <c r="D9364" s="142" t="s">
        <v>15848</v>
      </c>
      <c r="E9364" s="142" t="s">
        <v>15849</v>
      </c>
      <c r="F9364" s="142" t="s">
        <v>208</v>
      </c>
      <c r="G9364" s="142" t="s">
        <v>7753</v>
      </c>
      <c r="H9364" s="142" t="s">
        <v>25214</v>
      </c>
      <c r="I9364" s="142">
        <v>4</v>
      </c>
      <c r="J9364" s="142">
        <v>0</v>
      </c>
      <c r="K9364" s="142">
        <v>0</v>
      </c>
      <c r="L9364" s="142">
        <v>4</v>
      </c>
      <c r="M9364" s="142">
        <v>0</v>
      </c>
    </row>
    <row r="9365" spans="1:13" x14ac:dyDescent="0.45">
      <c r="A9365" s="142" t="s">
        <v>13023</v>
      </c>
      <c r="B9365" s="142" t="s">
        <v>15571</v>
      </c>
      <c r="C9365" s="142" t="s">
        <v>15847</v>
      </c>
      <c r="D9365" s="142" t="s">
        <v>15848</v>
      </c>
      <c r="E9365" s="142" t="s">
        <v>15849</v>
      </c>
      <c r="F9365" s="142" t="s">
        <v>208</v>
      </c>
      <c r="G9365" s="142" t="s">
        <v>7753</v>
      </c>
      <c r="H9365" s="142" t="s">
        <v>25215</v>
      </c>
      <c r="I9365" s="142">
        <v>25</v>
      </c>
      <c r="J9365" s="142">
        <v>0</v>
      </c>
      <c r="K9365" s="142">
        <v>0</v>
      </c>
      <c r="L9365" s="142">
        <v>25</v>
      </c>
      <c r="M9365" s="142">
        <v>0</v>
      </c>
    </row>
    <row r="9366" spans="1:13" x14ac:dyDescent="0.45">
      <c r="A9366" s="142" t="s">
        <v>13048</v>
      </c>
      <c r="B9366" s="142" t="s">
        <v>14479</v>
      </c>
      <c r="C9366" s="142" t="s">
        <v>15847</v>
      </c>
      <c r="D9366" s="142" t="s">
        <v>15848</v>
      </c>
      <c r="E9366" s="142" t="s">
        <v>15849</v>
      </c>
      <c r="F9366" s="142" t="s">
        <v>208</v>
      </c>
      <c r="G9366" s="142" t="s">
        <v>7753</v>
      </c>
      <c r="H9366" s="142" t="s">
        <v>25216</v>
      </c>
      <c r="I9366" s="142">
        <v>121</v>
      </c>
      <c r="J9366" s="142">
        <v>69</v>
      </c>
      <c r="K9366" s="142">
        <v>0</v>
      </c>
      <c r="L9366" s="142">
        <v>0</v>
      </c>
      <c r="M9366" s="142">
        <v>52</v>
      </c>
    </row>
    <row r="9367" spans="1:13" x14ac:dyDescent="0.45">
      <c r="A9367" s="142" t="s">
        <v>13082</v>
      </c>
      <c r="B9367" s="142" t="s">
        <v>14478</v>
      </c>
      <c r="C9367" s="142" t="s">
        <v>15860</v>
      </c>
      <c r="D9367" s="142" t="s">
        <v>15861</v>
      </c>
      <c r="E9367" s="142" t="s">
        <v>15849</v>
      </c>
      <c r="F9367" s="142" t="s">
        <v>208</v>
      </c>
      <c r="G9367" s="142" t="s">
        <v>7753</v>
      </c>
      <c r="H9367" s="142" t="s">
        <v>25217</v>
      </c>
      <c r="I9367" s="142">
        <v>4</v>
      </c>
      <c r="J9367" s="142">
        <v>0</v>
      </c>
      <c r="K9367" s="142">
        <v>0</v>
      </c>
      <c r="L9367" s="142">
        <v>4</v>
      </c>
      <c r="M9367" s="142">
        <v>0</v>
      </c>
    </row>
    <row r="9368" spans="1:13" x14ac:dyDescent="0.45">
      <c r="A9368" s="142" t="s">
        <v>13000</v>
      </c>
      <c r="B9368" s="142" t="s">
        <v>14610</v>
      </c>
      <c r="C9368" s="142" t="s">
        <v>15847</v>
      </c>
      <c r="D9368" s="142" t="s">
        <v>15848</v>
      </c>
      <c r="E9368" s="142" t="s">
        <v>15849</v>
      </c>
      <c r="F9368" s="142" t="s">
        <v>208</v>
      </c>
      <c r="G9368" s="142" t="s">
        <v>7753</v>
      </c>
      <c r="H9368" s="142" t="s">
        <v>25218</v>
      </c>
      <c r="I9368" s="142">
        <v>207</v>
      </c>
      <c r="J9368" s="142">
        <v>138</v>
      </c>
      <c r="K9368" s="142">
        <v>0</v>
      </c>
      <c r="L9368" s="142">
        <v>0</v>
      </c>
      <c r="M9368" s="142">
        <v>69</v>
      </c>
    </row>
    <row r="9369" spans="1:13" x14ac:dyDescent="0.45">
      <c r="A9369" s="142" t="s">
        <v>13543</v>
      </c>
      <c r="B9369" s="142" t="s">
        <v>14642</v>
      </c>
      <c r="C9369" s="142" t="s">
        <v>15860</v>
      </c>
      <c r="D9369" s="142" t="s">
        <v>15861</v>
      </c>
      <c r="E9369" s="142" t="s">
        <v>15849</v>
      </c>
      <c r="F9369" s="142" t="s">
        <v>208</v>
      </c>
      <c r="G9369" s="142" t="s">
        <v>7753</v>
      </c>
      <c r="H9369" s="142" t="s">
        <v>25219</v>
      </c>
      <c r="I9369" s="142">
        <v>32</v>
      </c>
      <c r="J9369" s="142">
        <v>32</v>
      </c>
      <c r="K9369" s="142">
        <v>0</v>
      </c>
      <c r="L9369" s="142">
        <v>0</v>
      </c>
      <c r="M9369" s="142">
        <v>0</v>
      </c>
    </row>
    <row r="9370" spans="1:13" x14ac:dyDescent="0.45">
      <c r="A9370" s="142" t="s">
        <v>13474</v>
      </c>
      <c r="B9370" s="142" t="s">
        <v>15438</v>
      </c>
      <c r="C9370" s="142" t="s">
        <v>15847</v>
      </c>
      <c r="D9370" s="142" t="s">
        <v>15848</v>
      </c>
      <c r="E9370" s="142" t="s">
        <v>15849</v>
      </c>
      <c r="F9370" s="142" t="s">
        <v>208</v>
      </c>
      <c r="G9370" s="142" t="s">
        <v>7753</v>
      </c>
      <c r="H9370" s="142" t="s">
        <v>25220</v>
      </c>
      <c r="I9370" s="142">
        <v>4390</v>
      </c>
      <c r="J9370" s="142">
        <v>4126</v>
      </c>
      <c r="K9370" s="142">
        <v>0</v>
      </c>
      <c r="L9370" s="142">
        <v>0</v>
      </c>
      <c r="M9370" s="142">
        <v>264</v>
      </c>
    </row>
    <row r="9371" spans="1:13" x14ac:dyDescent="0.45">
      <c r="A9371" s="142" t="s">
        <v>13074</v>
      </c>
      <c r="B9371" s="142" t="s">
        <v>15405</v>
      </c>
      <c r="C9371" s="142" t="s">
        <v>15847</v>
      </c>
      <c r="D9371" s="142" t="s">
        <v>15848</v>
      </c>
      <c r="E9371" s="142" t="s">
        <v>15849</v>
      </c>
      <c r="F9371" s="142" t="s">
        <v>208</v>
      </c>
      <c r="G9371" s="142" t="s">
        <v>7753</v>
      </c>
      <c r="H9371" s="142" t="s">
        <v>25221</v>
      </c>
      <c r="I9371" s="142">
        <v>13</v>
      </c>
      <c r="J9371" s="142">
        <v>6</v>
      </c>
      <c r="K9371" s="142">
        <v>0</v>
      </c>
      <c r="L9371" s="142">
        <v>0</v>
      </c>
      <c r="M9371" s="142">
        <v>7</v>
      </c>
    </row>
    <row r="9372" spans="1:13" x14ac:dyDescent="0.45">
      <c r="A9372" s="142" t="s">
        <v>13027</v>
      </c>
      <c r="B9372" s="142" t="s">
        <v>14562</v>
      </c>
      <c r="C9372" s="142" t="s">
        <v>15847</v>
      </c>
      <c r="D9372" s="142" t="s">
        <v>15848</v>
      </c>
      <c r="E9372" s="142" t="s">
        <v>15849</v>
      </c>
      <c r="F9372" s="142" t="s">
        <v>208</v>
      </c>
      <c r="G9372" s="142" t="s">
        <v>7753</v>
      </c>
      <c r="H9372" s="142" t="s">
        <v>25222</v>
      </c>
      <c r="I9372" s="142">
        <v>5</v>
      </c>
      <c r="J9372" s="142">
        <v>0</v>
      </c>
      <c r="K9372" s="142">
        <v>0</v>
      </c>
      <c r="L9372" s="142">
        <v>5</v>
      </c>
      <c r="M9372" s="142">
        <v>0</v>
      </c>
    </row>
    <row r="9373" spans="1:13" x14ac:dyDescent="0.45">
      <c r="A9373" s="142" t="s">
        <v>13243</v>
      </c>
      <c r="B9373" s="142" t="s">
        <v>15560</v>
      </c>
      <c r="C9373" s="142" t="s">
        <v>15847</v>
      </c>
      <c r="D9373" s="142" t="s">
        <v>15848</v>
      </c>
      <c r="E9373" s="142" t="s">
        <v>15849</v>
      </c>
      <c r="F9373" s="142" t="s">
        <v>208</v>
      </c>
      <c r="G9373" s="142" t="s">
        <v>7753</v>
      </c>
      <c r="H9373" s="142" t="s">
        <v>25223</v>
      </c>
      <c r="I9373" s="142">
        <v>849</v>
      </c>
      <c r="J9373" s="142">
        <v>571</v>
      </c>
      <c r="K9373" s="142">
        <v>0</v>
      </c>
      <c r="L9373" s="142">
        <v>142</v>
      </c>
      <c r="M9373" s="142">
        <v>136</v>
      </c>
    </row>
    <row r="9374" spans="1:13" x14ac:dyDescent="0.45">
      <c r="A9374" s="142" t="s">
        <v>13028</v>
      </c>
      <c r="B9374" s="142" t="s">
        <v>14462</v>
      </c>
      <c r="C9374" s="142" t="s">
        <v>15847</v>
      </c>
      <c r="D9374" s="142" t="s">
        <v>15848</v>
      </c>
      <c r="E9374" s="142" t="s">
        <v>15849</v>
      </c>
      <c r="F9374" s="142" t="s">
        <v>208</v>
      </c>
      <c r="G9374" s="142" t="s">
        <v>7753</v>
      </c>
      <c r="H9374" s="142" t="s">
        <v>25224</v>
      </c>
      <c r="I9374" s="142">
        <v>59</v>
      </c>
      <c r="J9374" s="142">
        <v>0</v>
      </c>
      <c r="K9374" s="142">
        <v>0</v>
      </c>
      <c r="L9374" s="142">
        <v>0</v>
      </c>
      <c r="M9374" s="142">
        <v>59</v>
      </c>
    </row>
    <row r="9375" spans="1:13" x14ac:dyDescent="0.45">
      <c r="A9375" s="142" t="s">
        <v>13002</v>
      </c>
      <c r="B9375" s="142" t="s">
        <v>15376</v>
      </c>
      <c r="C9375" s="142" t="s">
        <v>15847</v>
      </c>
      <c r="D9375" s="142" t="s">
        <v>15848</v>
      </c>
      <c r="E9375" s="142" t="s">
        <v>15849</v>
      </c>
      <c r="F9375" s="142" t="s">
        <v>208</v>
      </c>
      <c r="G9375" s="142" t="s">
        <v>7753</v>
      </c>
      <c r="H9375" s="142" t="s">
        <v>25225</v>
      </c>
      <c r="I9375" s="142">
        <v>13</v>
      </c>
      <c r="J9375" s="142">
        <v>6</v>
      </c>
      <c r="K9375" s="142">
        <v>0</v>
      </c>
      <c r="L9375" s="142">
        <v>6</v>
      </c>
      <c r="M9375" s="142">
        <v>1</v>
      </c>
    </row>
    <row r="9376" spans="1:13" x14ac:dyDescent="0.45">
      <c r="A9376" s="142" t="s">
        <v>13003</v>
      </c>
      <c r="B9376" s="142" t="s">
        <v>15245</v>
      </c>
      <c r="C9376" s="142" t="s">
        <v>15847</v>
      </c>
      <c r="D9376" s="142" t="s">
        <v>15848</v>
      </c>
      <c r="E9376" s="142" t="s">
        <v>15849</v>
      </c>
      <c r="F9376" s="142" t="s">
        <v>208</v>
      </c>
      <c r="G9376" s="142" t="s">
        <v>7753</v>
      </c>
      <c r="H9376" s="142" t="s">
        <v>25226</v>
      </c>
      <c r="I9376" s="142">
        <v>80</v>
      </c>
      <c r="J9376" s="142">
        <v>0</v>
      </c>
      <c r="K9376" s="142">
        <v>0</v>
      </c>
      <c r="L9376" s="142">
        <v>60</v>
      </c>
      <c r="M9376" s="142">
        <v>20</v>
      </c>
    </row>
    <row r="9377" spans="1:13" x14ac:dyDescent="0.45">
      <c r="A9377" s="142" t="s">
        <v>13005</v>
      </c>
      <c r="B9377" s="142" t="s">
        <v>15475</v>
      </c>
      <c r="C9377" s="142" t="s">
        <v>15847</v>
      </c>
      <c r="D9377" s="142" t="s">
        <v>15848</v>
      </c>
      <c r="E9377" s="142" t="s">
        <v>15849</v>
      </c>
      <c r="F9377" s="142" t="s">
        <v>208</v>
      </c>
      <c r="G9377" s="142" t="s">
        <v>7753</v>
      </c>
      <c r="H9377" s="142" t="s">
        <v>25227</v>
      </c>
      <c r="I9377" s="142">
        <v>7</v>
      </c>
      <c r="J9377" s="142">
        <v>0</v>
      </c>
      <c r="K9377" s="142">
        <v>0</v>
      </c>
      <c r="L9377" s="142">
        <v>0</v>
      </c>
      <c r="M9377" s="142">
        <v>7</v>
      </c>
    </row>
    <row r="9378" spans="1:13" x14ac:dyDescent="0.45">
      <c r="A9378" s="142" t="s">
        <v>13029</v>
      </c>
      <c r="B9378" s="142" t="s">
        <v>14665</v>
      </c>
      <c r="C9378" s="142" t="s">
        <v>15847</v>
      </c>
      <c r="D9378" s="142" t="s">
        <v>15848</v>
      </c>
      <c r="E9378" s="142" t="s">
        <v>15849</v>
      </c>
      <c r="F9378" s="142" t="s">
        <v>208</v>
      </c>
      <c r="G9378" s="142" t="s">
        <v>7753</v>
      </c>
      <c r="H9378" s="142" t="s">
        <v>25228</v>
      </c>
      <c r="I9378" s="142">
        <v>5</v>
      </c>
      <c r="J9378" s="142">
        <v>0</v>
      </c>
      <c r="K9378" s="142">
        <v>0</v>
      </c>
      <c r="L9378" s="142">
        <v>0</v>
      </c>
      <c r="M9378" s="142">
        <v>5</v>
      </c>
    </row>
    <row r="9379" spans="1:13" x14ac:dyDescent="0.45">
      <c r="A9379" s="142" t="s">
        <v>13007</v>
      </c>
      <c r="B9379" s="142" t="s">
        <v>15262</v>
      </c>
      <c r="C9379" s="142" t="s">
        <v>15847</v>
      </c>
      <c r="D9379" s="142" t="s">
        <v>15848</v>
      </c>
      <c r="E9379" s="142" t="s">
        <v>15849</v>
      </c>
      <c r="F9379" s="142" t="s">
        <v>208</v>
      </c>
      <c r="G9379" s="142" t="s">
        <v>7753</v>
      </c>
      <c r="H9379" s="142" t="s">
        <v>25229</v>
      </c>
      <c r="I9379" s="142">
        <v>2</v>
      </c>
      <c r="J9379" s="142">
        <v>0</v>
      </c>
      <c r="K9379" s="142">
        <v>0</v>
      </c>
      <c r="L9379" s="142">
        <v>0</v>
      </c>
      <c r="M9379" s="142">
        <v>2</v>
      </c>
    </row>
    <row r="9380" spans="1:13" x14ac:dyDescent="0.45">
      <c r="A9380" s="142" t="s">
        <v>13008</v>
      </c>
      <c r="B9380" s="142" t="s">
        <v>15411</v>
      </c>
      <c r="C9380" s="142" t="s">
        <v>15847</v>
      </c>
      <c r="D9380" s="142" t="s">
        <v>15848</v>
      </c>
      <c r="E9380" s="142" t="s">
        <v>15849</v>
      </c>
      <c r="F9380" s="142" t="s">
        <v>208</v>
      </c>
      <c r="G9380" s="142" t="s">
        <v>7753</v>
      </c>
      <c r="H9380" s="142" t="s">
        <v>25230</v>
      </c>
      <c r="I9380" s="142">
        <v>13</v>
      </c>
      <c r="J9380" s="142">
        <v>0</v>
      </c>
      <c r="K9380" s="142">
        <v>0</v>
      </c>
      <c r="L9380" s="142">
        <v>0</v>
      </c>
      <c r="M9380" s="142">
        <v>13</v>
      </c>
    </row>
    <row r="9381" spans="1:13" x14ac:dyDescent="0.45">
      <c r="A9381" s="142" t="s">
        <v>13104</v>
      </c>
      <c r="B9381" s="142" t="s">
        <v>14622</v>
      </c>
      <c r="C9381" s="142" t="s">
        <v>15847</v>
      </c>
      <c r="D9381" s="142" t="s">
        <v>15848</v>
      </c>
      <c r="E9381" s="142" t="s">
        <v>15849</v>
      </c>
      <c r="F9381" s="142" t="s">
        <v>208</v>
      </c>
      <c r="G9381" s="142" t="s">
        <v>7753</v>
      </c>
      <c r="H9381" s="142" t="s">
        <v>25231</v>
      </c>
      <c r="I9381" s="142">
        <v>38</v>
      </c>
      <c r="J9381" s="142">
        <v>0</v>
      </c>
      <c r="K9381" s="142">
        <v>0</v>
      </c>
      <c r="L9381" s="142">
        <v>22</v>
      </c>
      <c r="M9381" s="142">
        <v>16</v>
      </c>
    </row>
    <row r="9382" spans="1:13" x14ac:dyDescent="0.45">
      <c r="A9382" s="142" t="s">
        <v>13035</v>
      </c>
      <c r="B9382" s="142" t="s">
        <v>14648</v>
      </c>
      <c r="C9382" s="142" t="s">
        <v>15847</v>
      </c>
      <c r="D9382" s="142" t="s">
        <v>15848</v>
      </c>
      <c r="E9382" s="142" t="s">
        <v>15849</v>
      </c>
      <c r="F9382" s="142" t="s">
        <v>208</v>
      </c>
      <c r="G9382" s="142" t="s">
        <v>7753</v>
      </c>
      <c r="H9382" s="142" t="s">
        <v>25232</v>
      </c>
      <c r="I9382" s="142">
        <v>156</v>
      </c>
      <c r="J9382" s="142">
        <v>84</v>
      </c>
      <c r="K9382" s="142">
        <v>0</v>
      </c>
      <c r="L9382" s="142">
        <v>0</v>
      </c>
      <c r="M9382" s="142">
        <v>72</v>
      </c>
    </row>
    <row r="9383" spans="1:13" x14ac:dyDescent="0.45">
      <c r="A9383" s="142" t="s">
        <v>13036</v>
      </c>
      <c r="B9383" s="142" t="s">
        <v>15567</v>
      </c>
      <c r="C9383" s="142" t="s">
        <v>15847</v>
      </c>
      <c r="D9383" s="142" t="s">
        <v>15848</v>
      </c>
      <c r="E9383" s="142" t="s">
        <v>15849</v>
      </c>
      <c r="F9383" s="142" t="s">
        <v>208</v>
      </c>
      <c r="G9383" s="142" t="s">
        <v>7753</v>
      </c>
      <c r="H9383" s="142" t="s">
        <v>25233</v>
      </c>
      <c r="I9383" s="142">
        <v>8</v>
      </c>
      <c r="J9383" s="142">
        <v>0</v>
      </c>
      <c r="K9383" s="142">
        <v>0</v>
      </c>
      <c r="L9383" s="142">
        <v>8</v>
      </c>
      <c r="M9383" s="142">
        <v>0</v>
      </c>
    </row>
    <row r="9384" spans="1:13" x14ac:dyDescent="0.45">
      <c r="A9384" s="142" t="s">
        <v>13038</v>
      </c>
      <c r="B9384" s="142" t="s">
        <v>14646</v>
      </c>
      <c r="C9384" s="142" t="s">
        <v>15847</v>
      </c>
      <c r="D9384" s="142" t="s">
        <v>15848</v>
      </c>
      <c r="E9384" s="142" t="s">
        <v>15849</v>
      </c>
      <c r="F9384" s="142" t="s">
        <v>208</v>
      </c>
      <c r="G9384" s="142" t="s">
        <v>7753</v>
      </c>
      <c r="H9384" s="142" t="s">
        <v>25234</v>
      </c>
      <c r="I9384" s="142">
        <v>12</v>
      </c>
      <c r="J9384" s="142">
        <v>5</v>
      </c>
      <c r="K9384" s="142">
        <v>0</v>
      </c>
      <c r="L9384" s="142">
        <v>0</v>
      </c>
      <c r="M9384" s="142">
        <v>7</v>
      </c>
    </row>
    <row r="9385" spans="1:13" x14ac:dyDescent="0.45">
      <c r="A9385" s="142" t="s">
        <v>13039</v>
      </c>
      <c r="B9385" s="142" t="s">
        <v>14647</v>
      </c>
      <c r="C9385" s="142" t="s">
        <v>15847</v>
      </c>
      <c r="D9385" s="142" t="s">
        <v>15848</v>
      </c>
      <c r="E9385" s="142" t="s">
        <v>15849</v>
      </c>
      <c r="F9385" s="142" t="s">
        <v>208</v>
      </c>
      <c r="G9385" s="142" t="s">
        <v>7753</v>
      </c>
      <c r="H9385" s="142" t="s">
        <v>25235</v>
      </c>
      <c r="I9385" s="142">
        <v>200</v>
      </c>
      <c r="J9385" s="142">
        <v>200</v>
      </c>
      <c r="K9385" s="142">
        <v>0</v>
      </c>
      <c r="L9385" s="142">
        <v>0</v>
      </c>
      <c r="M9385" s="142">
        <v>0</v>
      </c>
    </row>
    <row r="9386" spans="1:13" x14ac:dyDescent="0.45">
      <c r="A9386" s="142" t="s">
        <v>13009</v>
      </c>
      <c r="B9386" s="142" t="s">
        <v>15256</v>
      </c>
      <c r="C9386" s="142" t="s">
        <v>15847</v>
      </c>
      <c r="D9386" s="142" t="s">
        <v>15848</v>
      </c>
      <c r="E9386" s="142" t="s">
        <v>15849</v>
      </c>
      <c r="F9386" s="142" t="s">
        <v>208</v>
      </c>
      <c r="G9386" s="142" t="s">
        <v>7753</v>
      </c>
      <c r="H9386" s="142" t="s">
        <v>25236</v>
      </c>
      <c r="I9386" s="142">
        <v>458</v>
      </c>
      <c r="J9386" s="142">
        <v>451</v>
      </c>
      <c r="K9386" s="142">
        <v>2</v>
      </c>
      <c r="L9386" s="142">
        <v>0</v>
      </c>
      <c r="M9386" s="142">
        <v>5</v>
      </c>
    </row>
    <row r="9387" spans="1:13" x14ac:dyDescent="0.45">
      <c r="A9387" s="142" t="s">
        <v>13403</v>
      </c>
      <c r="B9387" s="142" t="s">
        <v>15412</v>
      </c>
      <c r="C9387" s="142" t="s">
        <v>15847</v>
      </c>
      <c r="D9387" s="142" t="s">
        <v>15848</v>
      </c>
      <c r="E9387" s="142" t="s">
        <v>15849</v>
      </c>
      <c r="F9387" s="142" t="s">
        <v>208</v>
      </c>
      <c r="G9387" s="142" t="s">
        <v>7753</v>
      </c>
      <c r="H9387" s="142" t="s">
        <v>25237</v>
      </c>
      <c r="I9387" s="142">
        <v>163</v>
      </c>
      <c r="J9387" s="142">
        <v>111</v>
      </c>
      <c r="K9387" s="142">
        <v>0</v>
      </c>
      <c r="L9387" s="142">
        <v>0</v>
      </c>
      <c r="M9387" s="142">
        <v>52</v>
      </c>
    </row>
    <row r="9388" spans="1:13" x14ac:dyDescent="0.45">
      <c r="A9388" s="142" t="s">
        <v>13058</v>
      </c>
      <c r="B9388" s="142" t="s">
        <v>14584</v>
      </c>
      <c r="C9388" s="142" t="s">
        <v>15847</v>
      </c>
      <c r="D9388" s="142" t="s">
        <v>15848</v>
      </c>
      <c r="E9388" s="142" t="s">
        <v>15849</v>
      </c>
      <c r="F9388" s="142" t="s">
        <v>208</v>
      </c>
      <c r="G9388" s="142" t="s">
        <v>7753</v>
      </c>
      <c r="H9388" s="142" t="s">
        <v>25238</v>
      </c>
      <c r="I9388" s="142">
        <v>949</v>
      </c>
      <c r="J9388" s="142">
        <v>658</v>
      </c>
      <c r="K9388" s="142">
        <v>0</v>
      </c>
      <c r="L9388" s="142">
        <v>11</v>
      </c>
      <c r="M9388" s="142">
        <v>280</v>
      </c>
    </row>
    <row r="9389" spans="1:13" x14ac:dyDescent="0.45">
      <c r="A9389" s="142" t="s">
        <v>13041</v>
      </c>
      <c r="B9389" s="142" t="s">
        <v>14441</v>
      </c>
      <c r="C9389" s="142" t="s">
        <v>15847</v>
      </c>
      <c r="D9389" s="142" t="s">
        <v>15848</v>
      </c>
      <c r="E9389" s="142" t="s">
        <v>15849</v>
      </c>
      <c r="F9389" s="142" t="s">
        <v>208</v>
      </c>
      <c r="G9389" s="142" t="s">
        <v>7753</v>
      </c>
      <c r="H9389" s="142" t="s">
        <v>25239</v>
      </c>
      <c r="I9389" s="142">
        <v>95</v>
      </c>
      <c r="J9389" s="142">
        <v>0</v>
      </c>
      <c r="K9389" s="142">
        <v>0</v>
      </c>
      <c r="L9389" s="142">
        <v>0</v>
      </c>
      <c r="M9389" s="142">
        <v>95</v>
      </c>
    </row>
    <row r="9390" spans="1:13" x14ac:dyDescent="0.45">
      <c r="A9390" s="142" t="s">
        <v>13012</v>
      </c>
      <c r="B9390" s="142" t="s">
        <v>15337</v>
      </c>
      <c r="C9390" s="142" t="s">
        <v>15847</v>
      </c>
      <c r="D9390" s="142" t="s">
        <v>15848</v>
      </c>
      <c r="E9390" s="142" t="s">
        <v>15849</v>
      </c>
      <c r="F9390" s="142" t="s">
        <v>208</v>
      </c>
      <c r="G9390" s="142" t="s">
        <v>7753</v>
      </c>
      <c r="H9390" s="142" t="s">
        <v>25240</v>
      </c>
      <c r="I9390" s="142">
        <v>84</v>
      </c>
      <c r="J9390" s="142">
        <v>64</v>
      </c>
      <c r="K9390" s="142">
        <v>0</v>
      </c>
      <c r="L9390" s="142">
        <v>2</v>
      </c>
      <c r="M9390" s="142">
        <v>18</v>
      </c>
    </row>
    <row r="9391" spans="1:13" x14ac:dyDescent="0.45">
      <c r="A9391" s="142" t="s">
        <v>13285</v>
      </c>
      <c r="B9391" s="142" t="s">
        <v>15158</v>
      </c>
      <c r="C9391" s="142" t="s">
        <v>15860</v>
      </c>
      <c r="D9391" s="142" t="s">
        <v>15861</v>
      </c>
      <c r="E9391" s="142" t="s">
        <v>15849</v>
      </c>
      <c r="F9391" s="142" t="s">
        <v>208</v>
      </c>
      <c r="G9391" s="142" t="s">
        <v>7753</v>
      </c>
      <c r="H9391" s="142" t="s">
        <v>25241</v>
      </c>
      <c r="I9391" s="142">
        <v>11</v>
      </c>
      <c r="J9391" s="142">
        <v>0</v>
      </c>
      <c r="K9391" s="142">
        <v>0</v>
      </c>
      <c r="L9391" s="142">
        <v>11</v>
      </c>
      <c r="M9391" s="142">
        <v>0</v>
      </c>
    </row>
    <row r="9392" spans="1:13" x14ac:dyDescent="0.45">
      <c r="A9392" s="142" t="s">
        <v>13023</v>
      </c>
      <c r="B9392" s="142" t="s">
        <v>15571</v>
      </c>
      <c r="C9392" s="142" t="s">
        <v>15847</v>
      </c>
      <c r="D9392" s="142" t="s">
        <v>15848</v>
      </c>
      <c r="E9392" s="142" t="s">
        <v>15849</v>
      </c>
      <c r="F9392" s="142" t="s">
        <v>209</v>
      </c>
      <c r="G9392" s="142" t="s">
        <v>9643</v>
      </c>
      <c r="H9392" s="142" t="s">
        <v>25242</v>
      </c>
      <c r="I9392" s="142">
        <v>177</v>
      </c>
      <c r="J9392" s="142">
        <v>0</v>
      </c>
      <c r="K9392" s="142">
        <v>0</v>
      </c>
      <c r="L9392" s="142">
        <v>177</v>
      </c>
      <c r="M9392" s="142">
        <v>0</v>
      </c>
    </row>
    <row r="9393" spans="1:13" x14ac:dyDescent="0.45">
      <c r="A9393" s="142" t="s">
        <v>14362</v>
      </c>
      <c r="B9393" s="142" t="s">
        <v>14743</v>
      </c>
      <c r="C9393" s="142" t="s">
        <v>15860</v>
      </c>
      <c r="D9393" s="142" t="s">
        <v>15861</v>
      </c>
      <c r="E9393" s="142" t="s">
        <v>15849</v>
      </c>
      <c r="F9393" s="142" t="s">
        <v>209</v>
      </c>
      <c r="G9393" s="142" t="s">
        <v>9643</v>
      </c>
      <c r="H9393" s="142" t="s">
        <v>25243</v>
      </c>
      <c r="I9393" s="142">
        <v>7</v>
      </c>
      <c r="J9393" s="142">
        <v>0</v>
      </c>
      <c r="K9393" s="142">
        <v>0</v>
      </c>
      <c r="L9393" s="142">
        <v>7</v>
      </c>
      <c r="M9393" s="142">
        <v>0</v>
      </c>
    </row>
    <row r="9394" spans="1:13" x14ac:dyDescent="0.45">
      <c r="A9394" s="142" t="s">
        <v>13330</v>
      </c>
      <c r="B9394" s="142" t="s">
        <v>15239</v>
      </c>
      <c r="C9394" s="142" t="s">
        <v>15847</v>
      </c>
      <c r="D9394" s="142" t="s">
        <v>15848</v>
      </c>
      <c r="E9394" s="142" t="s">
        <v>15849</v>
      </c>
      <c r="F9394" s="142" t="s">
        <v>209</v>
      </c>
      <c r="G9394" s="142" t="s">
        <v>9643</v>
      </c>
      <c r="H9394" s="142" t="s">
        <v>25244</v>
      </c>
      <c r="I9394" s="142">
        <v>90</v>
      </c>
      <c r="J9394" s="142">
        <v>90</v>
      </c>
      <c r="K9394" s="142">
        <v>0</v>
      </c>
      <c r="L9394" s="142">
        <v>0</v>
      </c>
      <c r="M9394" s="142">
        <v>0</v>
      </c>
    </row>
    <row r="9395" spans="1:13" x14ac:dyDescent="0.45">
      <c r="A9395" s="142" t="s">
        <v>13000</v>
      </c>
      <c r="B9395" s="142" t="s">
        <v>14610</v>
      </c>
      <c r="C9395" s="142" t="s">
        <v>15847</v>
      </c>
      <c r="D9395" s="142" t="s">
        <v>15848</v>
      </c>
      <c r="E9395" s="142" t="s">
        <v>15849</v>
      </c>
      <c r="F9395" s="142" t="s">
        <v>209</v>
      </c>
      <c r="G9395" s="142" t="s">
        <v>9643</v>
      </c>
      <c r="H9395" s="142" t="s">
        <v>25245</v>
      </c>
      <c r="I9395" s="142">
        <v>272</v>
      </c>
      <c r="J9395" s="142">
        <v>141</v>
      </c>
      <c r="K9395" s="142">
        <v>0</v>
      </c>
      <c r="L9395" s="142">
        <v>0</v>
      </c>
      <c r="M9395" s="142">
        <v>131</v>
      </c>
    </row>
    <row r="9396" spans="1:13" x14ac:dyDescent="0.45">
      <c r="A9396" s="142" t="s">
        <v>13087</v>
      </c>
      <c r="B9396" s="142" t="s">
        <v>14452</v>
      </c>
      <c r="C9396" s="142" t="s">
        <v>15847</v>
      </c>
      <c r="D9396" s="142" t="s">
        <v>15848</v>
      </c>
      <c r="E9396" s="142" t="s">
        <v>15849</v>
      </c>
      <c r="F9396" s="142" t="s">
        <v>209</v>
      </c>
      <c r="G9396" s="142" t="s">
        <v>9643</v>
      </c>
      <c r="H9396" s="142" t="s">
        <v>25246</v>
      </c>
      <c r="I9396" s="142">
        <v>4653</v>
      </c>
      <c r="J9396" s="142">
        <v>4214</v>
      </c>
      <c r="K9396" s="142">
        <v>0</v>
      </c>
      <c r="L9396" s="142">
        <v>108</v>
      </c>
      <c r="M9396" s="142">
        <v>331</v>
      </c>
    </row>
    <row r="9397" spans="1:13" x14ac:dyDescent="0.45">
      <c r="A9397" s="142" t="s">
        <v>13027</v>
      </c>
      <c r="B9397" s="142" t="s">
        <v>14562</v>
      </c>
      <c r="C9397" s="142" t="s">
        <v>15847</v>
      </c>
      <c r="D9397" s="142" t="s">
        <v>15848</v>
      </c>
      <c r="E9397" s="142" t="s">
        <v>15849</v>
      </c>
      <c r="F9397" s="142" t="s">
        <v>209</v>
      </c>
      <c r="G9397" s="142" t="s">
        <v>9643</v>
      </c>
      <c r="H9397" s="142" t="s">
        <v>25247</v>
      </c>
      <c r="I9397" s="142">
        <v>6</v>
      </c>
      <c r="J9397" s="142">
        <v>0</v>
      </c>
      <c r="K9397" s="142">
        <v>0</v>
      </c>
      <c r="L9397" s="142">
        <v>6</v>
      </c>
      <c r="M9397" s="142">
        <v>0</v>
      </c>
    </row>
    <row r="9398" spans="1:13" x14ac:dyDescent="0.45">
      <c r="A9398" s="142" t="s">
        <v>13050</v>
      </c>
      <c r="B9398" s="142" t="s">
        <v>15237</v>
      </c>
      <c r="C9398" s="142" t="s">
        <v>15847</v>
      </c>
      <c r="D9398" s="142" t="s">
        <v>15848</v>
      </c>
      <c r="E9398" s="142" t="s">
        <v>15849</v>
      </c>
      <c r="F9398" s="142" t="s">
        <v>209</v>
      </c>
      <c r="G9398" s="142" t="s">
        <v>9643</v>
      </c>
      <c r="H9398" s="142" t="s">
        <v>25248</v>
      </c>
      <c r="I9398" s="142">
        <v>54</v>
      </c>
      <c r="J9398" s="142">
        <v>37</v>
      </c>
      <c r="K9398" s="142">
        <v>0</v>
      </c>
      <c r="L9398" s="142">
        <v>0</v>
      </c>
      <c r="M9398" s="142">
        <v>17</v>
      </c>
    </row>
    <row r="9399" spans="1:13" x14ac:dyDescent="0.45">
      <c r="A9399" s="142" t="s">
        <v>13028</v>
      </c>
      <c r="B9399" s="142" t="s">
        <v>14462</v>
      </c>
      <c r="C9399" s="142" t="s">
        <v>15847</v>
      </c>
      <c r="D9399" s="142" t="s">
        <v>15848</v>
      </c>
      <c r="E9399" s="142" t="s">
        <v>15849</v>
      </c>
      <c r="F9399" s="142" t="s">
        <v>209</v>
      </c>
      <c r="G9399" s="142" t="s">
        <v>9643</v>
      </c>
      <c r="H9399" s="142" t="s">
        <v>25249</v>
      </c>
      <c r="I9399" s="142">
        <v>14</v>
      </c>
      <c r="J9399" s="142">
        <v>0</v>
      </c>
      <c r="K9399" s="142">
        <v>0</v>
      </c>
      <c r="L9399" s="142">
        <v>0</v>
      </c>
      <c r="M9399" s="142">
        <v>14</v>
      </c>
    </row>
    <row r="9400" spans="1:13" x14ac:dyDescent="0.45">
      <c r="A9400" s="142" t="s">
        <v>13002</v>
      </c>
      <c r="B9400" s="142" t="s">
        <v>15376</v>
      </c>
      <c r="C9400" s="142" t="s">
        <v>15847</v>
      </c>
      <c r="D9400" s="142" t="s">
        <v>15848</v>
      </c>
      <c r="E9400" s="142" t="s">
        <v>15849</v>
      </c>
      <c r="F9400" s="142" t="s">
        <v>209</v>
      </c>
      <c r="G9400" s="142" t="s">
        <v>9643</v>
      </c>
      <c r="H9400" s="142" t="s">
        <v>25250</v>
      </c>
      <c r="I9400" s="142">
        <v>25</v>
      </c>
      <c r="J9400" s="142">
        <v>0</v>
      </c>
      <c r="K9400" s="142">
        <v>0</v>
      </c>
      <c r="L9400" s="142">
        <v>25</v>
      </c>
      <c r="M9400" s="142">
        <v>0</v>
      </c>
    </row>
    <row r="9401" spans="1:13" x14ac:dyDescent="0.45">
      <c r="A9401" s="142" t="s">
        <v>13003</v>
      </c>
      <c r="B9401" s="142" t="s">
        <v>15245</v>
      </c>
      <c r="C9401" s="142" t="s">
        <v>15847</v>
      </c>
      <c r="D9401" s="142" t="s">
        <v>15848</v>
      </c>
      <c r="E9401" s="142" t="s">
        <v>15849</v>
      </c>
      <c r="F9401" s="142" t="s">
        <v>209</v>
      </c>
      <c r="G9401" s="142" t="s">
        <v>9643</v>
      </c>
      <c r="H9401" s="142" t="s">
        <v>25251</v>
      </c>
      <c r="I9401" s="142">
        <v>123</v>
      </c>
      <c r="J9401" s="142">
        <v>0</v>
      </c>
      <c r="K9401" s="142">
        <v>0</v>
      </c>
      <c r="L9401" s="142">
        <v>123</v>
      </c>
      <c r="M9401" s="142">
        <v>0</v>
      </c>
    </row>
    <row r="9402" spans="1:13" x14ac:dyDescent="0.45">
      <c r="A9402" s="142" t="s">
        <v>13066</v>
      </c>
      <c r="B9402" s="142" t="s">
        <v>14459</v>
      </c>
      <c r="C9402" s="142" t="s">
        <v>15847</v>
      </c>
      <c r="D9402" s="142" t="s">
        <v>15848</v>
      </c>
      <c r="E9402" s="142" t="s">
        <v>15849</v>
      </c>
      <c r="F9402" s="142" t="s">
        <v>209</v>
      </c>
      <c r="G9402" s="142" t="s">
        <v>9643</v>
      </c>
      <c r="H9402" s="142" t="s">
        <v>25252</v>
      </c>
      <c r="I9402" s="142">
        <v>4</v>
      </c>
      <c r="J9402" s="142">
        <v>0</v>
      </c>
      <c r="K9402" s="142">
        <v>0</v>
      </c>
      <c r="L9402" s="142">
        <v>4</v>
      </c>
      <c r="M9402" s="142">
        <v>0</v>
      </c>
    </row>
    <row r="9403" spans="1:13" x14ac:dyDescent="0.45">
      <c r="A9403" s="142" t="s">
        <v>13178</v>
      </c>
      <c r="B9403" s="142" t="s">
        <v>14683</v>
      </c>
      <c r="C9403" s="142" t="s">
        <v>15847</v>
      </c>
      <c r="D9403" s="142" t="s">
        <v>15848</v>
      </c>
      <c r="E9403" s="142" t="s">
        <v>15849</v>
      </c>
      <c r="F9403" s="142" t="s">
        <v>209</v>
      </c>
      <c r="G9403" s="142" t="s">
        <v>9643</v>
      </c>
      <c r="H9403" s="142" t="s">
        <v>25253</v>
      </c>
      <c r="I9403" s="142">
        <v>27</v>
      </c>
      <c r="J9403" s="142">
        <v>27</v>
      </c>
      <c r="K9403" s="142">
        <v>0</v>
      </c>
      <c r="L9403" s="142">
        <v>0</v>
      </c>
      <c r="M9403" s="142">
        <v>0</v>
      </c>
    </row>
    <row r="9404" spans="1:13" x14ac:dyDescent="0.45">
      <c r="A9404" s="142" t="s">
        <v>13076</v>
      </c>
      <c r="B9404" s="142" t="s">
        <v>14636</v>
      </c>
      <c r="C9404" s="142" t="s">
        <v>15847</v>
      </c>
      <c r="D9404" s="142" t="s">
        <v>15848</v>
      </c>
      <c r="E9404" s="142" t="s">
        <v>15849</v>
      </c>
      <c r="F9404" s="142" t="s">
        <v>209</v>
      </c>
      <c r="G9404" s="142" t="s">
        <v>9643</v>
      </c>
      <c r="H9404" s="142" t="s">
        <v>25254</v>
      </c>
      <c r="I9404" s="142">
        <v>62</v>
      </c>
      <c r="J9404" s="142">
        <v>35</v>
      </c>
      <c r="K9404" s="142">
        <v>0</v>
      </c>
      <c r="L9404" s="142">
        <v>0</v>
      </c>
      <c r="M9404" s="142">
        <v>27</v>
      </c>
    </row>
    <row r="9405" spans="1:13" x14ac:dyDescent="0.45">
      <c r="A9405" s="142" t="s">
        <v>13005</v>
      </c>
      <c r="B9405" s="142" t="s">
        <v>15475</v>
      </c>
      <c r="C9405" s="142" t="s">
        <v>15847</v>
      </c>
      <c r="D9405" s="142" t="s">
        <v>15848</v>
      </c>
      <c r="E9405" s="142" t="s">
        <v>15849</v>
      </c>
      <c r="F9405" s="142" t="s">
        <v>209</v>
      </c>
      <c r="G9405" s="142" t="s">
        <v>9643</v>
      </c>
      <c r="H9405" s="142" t="s">
        <v>25255</v>
      </c>
      <c r="I9405" s="142">
        <v>1</v>
      </c>
      <c r="J9405" s="142">
        <v>0</v>
      </c>
      <c r="K9405" s="142">
        <v>0</v>
      </c>
      <c r="L9405" s="142">
        <v>0</v>
      </c>
      <c r="M9405" s="142">
        <v>1</v>
      </c>
    </row>
    <row r="9406" spans="1:13" x14ac:dyDescent="0.45">
      <c r="A9406" s="142" t="s">
        <v>13029</v>
      </c>
      <c r="B9406" s="142" t="s">
        <v>14665</v>
      </c>
      <c r="C9406" s="142" t="s">
        <v>15847</v>
      </c>
      <c r="D9406" s="142" t="s">
        <v>15848</v>
      </c>
      <c r="E9406" s="142" t="s">
        <v>15849</v>
      </c>
      <c r="F9406" s="142" t="s">
        <v>209</v>
      </c>
      <c r="G9406" s="142" t="s">
        <v>9643</v>
      </c>
      <c r="H9406" s="142" t="s">
        <v>25256</v>
      </c>
      <c r="I9406" s="142">
        <v>4</v>
      </c>
      <c r="J9406" s="142">
        <v>0</v>
      </c>
      <c r="K9406" s="142">
        <v>0</v>
      </c>
      <c r="L9406" s="142">
        <v>0</v>
      </c>
      <c r="M9406" s="142">
        <v>4</v>
      </c>
    </row>
    <row r="9407" spans="1:13" x14ac:dyDescent="0.45">
      <c r="A9407" s="142" t="s">
        <v>13006</v>
      </c>
      <c r="B9407" s="142" t="s">
        <v>15288</v>
      </c>
      <c r="C9407" s="142" t="s">
        <v>15847</v>
      </c>
      <c r="D9407" s="142" t="s">
        <v>15848</v>
      </c>
      <c r="E9407" s="142" t="s">
        <v>15849</v>
      </c>
      <c r="F9407" s="142" t="s">
        <v>209</v>
      </c>
      <c r="G9407" s="142" t="s">
        <v>9643</v>
      </c>
      <c r="H9407" s="142" t="s">
        <v>25257</v>
      </c>
      <c r="I9407" s="142">
        <v>190</v>
      </c>
      <c r="J9407" s="142">
        <v>150</v>
      </c>
      <c r="K9407" s="142">
        <v>0</v>
      </c>
      <c r="L9407" s="142">
        <v>17</v>
      </c>
      <c r="M9407" s="142">
        <v>23</v>
      </c>
    </row>
    <row r="9408" spans="1:13" x14ac:dyDescent="0.45">
      <c r="A9408" s="142" t="s">
        <v>13008</v>
      </c>
      <c r="B9408" s="142" t="s">
        <v>15411</v>
      </c>
      <c r="C9408" s="142" t="s">
        <v>15847</v>
      </c>
      <c r="D9408" s="142" t="s">
        <v>15848</v>
      </c>
      <c r="E9408" s="142" t="s">
        <v>15849</v>
      </c>
      <c r="F9408" s="142" t="s">
        <v>209</v>
      </c>
      <c r="G9408" s="142" t="s">
        <v>9643</v>
      </c>
      <c r="H9408" s="142" t="s">
        <v>25258</v>
      </c>
      <c r="I9408" s="142">
        <v>86</v>
      </c>
      <c r="J9408" s="142">
        <v>0</v>
      </c>
      <c r="K9408" s="142">
        <v>0</v>
      </c>
      <c r="L9408" s="142">
        <v>0</v>
      </c>
      <c r="M9408" s="142">
        <v>86</v>
      </c>
    </row>
    <row r="9409" spans="1:13" x14ac:dyDescent="0.45">
      <c r="A9409" s="142" t="s">
        <v>13077</v>
      </c>
      <c r="B9409" s="142" t="s">
        <v>15407</v>
      </c>
      <c r="C9409" s="142" t="s">
        <v>15847</v>
      </c>
      <c r="D9409" s="142" t="s">
        <v>15848</v>
      </c>
      <c r="E9409" s="142" t="s">
        <v>15849</v>
      </c>
      <c r="F9409" s="142" t="s">
        <v>209</v>
      </c>
      <c r="G9409" s="142" t="s">
        <v>9643</v>
      </c>
      <c r="H9409" s="142" t="s">
        <v>25259</v>
      </c>
      <c r="I9409" s="142">
        <v>461</v>
      </c>
      <c r="J9409" s="142">
        <v>345</v>
      </c>
      <c r="K9409" s="142">
        <v>0</v>
      </c>
      <c r="L9409" s="142">
        <v>116</v>
      </c>
      <c r="M9409" s="142">
        <v>0</v>
      </c>
    </row>
    <row r="9410" spans="1:13" x14ac:dyDescent="0.45">
      <c r="A9410" s="142" t="s">
        <v>13089</v>
      </c>
      <c r="B9410" s="142" t="s">
        <v>15240</v>
      </c>
      <c r="C9410" s="142" t="s">
        <v>15847</v>
      </c>
      <c r="D9410" s="142" t="s">
        <v>15848</v>
      </c>
      <c r="E9410" s="142" t="s">
        <v>15849</v>
      </c>
      <c r="F9410" s="142" t="s">
        <v>209</v>
      </c>
      <c r="G9410" s="142" t="s">
        <v>9643</v>
      </c>
      <c r="H9410" s="142" t="s">
        <v>25260</v>
      </c>
      <c r="I9410" s="142">
        <v>153</v>
      </c>
      <c r="J9410" s="142">
        <v>136</v>
      </c>
      <c r="K9410" s="142">
        <v>0</v>
      </c>
      <c r="L9410" s="142">
        <v>13</v>
      </c>
      <c r="M9410" s="142">
        <v>4</v>
      </c>
    </row>
    <row r="9411" spans="1:13" x14ac:dyDescent="0.45">
      <c r="A9411" s="142" t="s">
        <v>13069</v>
      </c>
      <c r="B9411" s="142" t="s">
        <v>14630</v>
      </c>
      <c r="C9411" s="142" t="s">
        <v>15860</v>
      </c>
      <c r="D9411" s="142" t="s">
        <v>15861</v>
      </c>
      <c r="E9411" s="142" t="s">
        <v>15849</v>
      </c>
      <c r="F9411" s="142" t="s">
        <v>209</v>
      </c>
      <c r="G9411" s="142" t="s">
        <v>9643</v>
      </c>
      <c r="H9411" s="142" t="s">
        <v>25261</v>
      </c>
      <c r="I9411" s="142">
        <v>15</v>
      </c>
      <c r="J9411" s="142">
        <v>15</v>
      </c>
      <c r="K9411" s="142">
        <v>0</v>
      </c>
      <c r="L9411" s="142">
        <v>0</v>
      </c>
      <c r="M9411" s="142">
        <v>0</v>
      </c>
    </row>
    <row r="9412" spans="1:13" x14ac:dyDescent="0.45">
      <c r="A9412" s="142" t="s">
        <v>13831</v>
      </c>
      <c r="B9412" s="142" t="s">
        <v>14485</v>
      </c>
      <c r="C9412" s="142" t="s">
        <v>15860</v>
      </c>
      <c r="D9412" s="142" t="s">
        <v>15861</v>
      </c>
      <c r="E9412" s="142" t="s">
        <v>15849</v>
      </c>
      <c r="F9412" s="142" t="s">
        <v>209</v>
      </c>
      <c r="G9412" s="142" t="s">
        <v>9643</v>
      </c>
      <c r="H9412" s="142" t="s">
        <v>25262</v>
      </c>
      <c r="I9412" s="142">
        <v>40</v>
      </c>
      <c r="J9412" s="142">
        <v>40</v>
      </c>
      <c r="K9412" s="142">
        <v>0</v>
      </c>
      <c r="L9412" s="142">
        <v>0</v>
      </c>
      <c r="M9412" s="142">
        <v>0</v>
      </c>
    </row>
    <row r="9413" spans="1:13" x14ac:dyDescent="0.45">
      <c r="A9413" s="142" t="s">
        <v>13033</v>
      </c>
      <c r="B9413" s="142" t="s">
        <v>15276</v>
      </c>
      <c r="C9413" s="142" t="s">
        <v>15847</v>
      </c>
      <c r="D9413" s="142" t="s">
        <v>15848</v>
      </c>
      <c r="E9413" s="142" t="s">
        <v>15849</v>
      </c>
      <c r="F9413" s="142" t="s">
        <v>209</v>
      </c>
      <c r="G9413" s="142" t="s">
        <v>9643</v>
      </c>
      <c r="H9413" s="142" t="s">
        <v>25263</v>
      </c>
      <c r="I9413" s="142">
        <v>61</v>
      </c>
      <c r="J9413" s="142">
        <v>61</v>
      </c>
      <c r="K9413" s="142">
        <v>0</v>
      </c>
      <c r="L9413" s="142">
        <v>0</v>
      </c>
      <c r="M9413" s="142">
        <v>0</v>
      </c>
    </row>
    <row r="9414" spans="1:13" x14ac:dyDescent="0.45">
      <c r="A9414" s="142" t="s">
        <v>13034</v>
      </c>
      <c r="B9414" s="142" t="s">
        <v>15562</v>
      </c>
      <c r="C9414" s="142" t="s">
        <v>15847</v>
      </c>
      <c r="D9414" s="142" t="s">
        <v>15848</v>
      </c>
      <c r="E9414" s="142" t="s">
        <v>15849</v>
      </c>
      <c r="F9414" s="142" t="s">
        <v>209</v>
      </c>
      <c r="G9414" s="142" t="s">
        <v>9643</v>
      </c>
      <c r="H9414" s="142" t="s">
        <v>25264</v>
      </c>
      <c r="I9414" s="142">
        <v>52</v>
      </c>
      <c r="J9414" s="142">
        <v>52</v>
      </c>
      <c r="K9414" s="142">
        <v>0</v>
      </c>
      <c r="L9414" s="142">
        <v>0</v>
      </c>
      <c r="M9414" s="142">
        <v>0</v>
      </c>
    </row>
    <row r="9415" spans="1:13" x14ac:dyDescent="0.45">
      <c r="A9415" s="142" t="s">
        <v>13105</v>
      </c>
      <c r="B9415" s="142" t="s">
        <v>14654</v>
      </c>
      <c r="C9415" s="142" t="s">
        <v>15847</v>
      </c>
      <c r="D9415" s="142" t="s">
        <v>15848</v>
      </c>
      <c r="E9415" s="142" t="s">
        <v>15849</v>
      </c>
      <c r="F9415" s="142" t="s">
        <v>209</v>
      </c>
      <c r="G9415" s="142" t="s">
        <v>9643</v>
      </c>
      <c r="H9415" s="142" t="s">
        <v>25265</v>
      </c>
      <c r="I9415" s="142">
        <v>17</v>
      </c>
      <c r="J9415" s="142">
        <v>0</v>
      </c>
      <c r="K9415" s="142">
        <v>0</v>
      </c>
      <c r="L9415" s="142">
        <v>0</v>
      </c>
      <c r="M9415" s="142">
        <v>17</v>
      </c>
    </row>
    <row r="9416" spans="1:13" x14ac:dyDescent="0.45">
      <c r="A9416" s="142" t="s">
        <v>13037</v>
      </c>
      <c r="B9416" s="142" t="s">
        <v>14519</v>
      </c>
      <c r="C9416" s="142" t="s">
        <v>15847</v>
      </c>
      <c r="D9416" s="142" t="s">
        <v>15848</v>
      </c>
      <c r="E9416" s="142" t="s">
        <v>15849</v>
      </c>
      <c r="F9416" s="142" t="s">
        <v>209</v>
      </c>
      <c r="G9416" s="142" t="s">
        <v>9643</v>
      </c>
      <c r="H9416" s="142" t="s">
        <v>25266</v>
      </c>
      <c r="I9416" s="142">
        <v>13</v>
      </c>
      <c r="J9416" s="142">
        <v>0</v>
      </c>
      <c r="K9416" s="142">
        <v>0</v>
      </c>
      <c r="L9416" s="142">
        <v>13</v>
      </c>
      <c r="M9416" s="142">
        <v>0</v>
      </c>
    </row>
    <row r="9417" spans="1:13" x14ac:dyDescent="0.45">
      <c r="A9417" s="142" t="s">
        <v>13090</v>
      </c>
      <c r="B9417" s="142" t="s">
        <v>15600</v>
      </c>
      <c r="C9417" s="142" t="s">
        <v>15847</v>
      </c>
      <c r="D9417" s="142" t="s">
        <v>15848</v>
      </c>
      <c r="E9417" s="142" t="s">
        <v>15849</v>
      </c>
      <c r="F9417" s="142" t="s">
        <v>209</v>
      </c>
      <c r="G9417" s="142" t="s">
        <v>9643</v>
      </c>
      <c r="H9417" s="142" t="s">
        <v>25267</v>
      </c>
      <c r="I9417" s="142">
        <v>5</v>
      </c>
      <c r="J9417" s="142">
        <v>0</v>
      </c>
      <c r="K9417" s="142">
        <v>0</v>
      </c>
      <c r="L9417" s="142">
        <v>4</v>
      </c>
      <c r="M9417" s="142">
        <v>1</v>
      </c>
    </row>
    <row r="9418" spans="1:13" x14ac:dyDescent="0.45">
      <c r="A9418" s="142" t="s">
        <v>13038</v>
      </c>
      <c r="B9418" s="142" t="s">
        <v>14646</v>
      </c>
      <c r="C9418" s="142" t="s">
        <v>15847</v>
      </c>
      <c r="D9418" s="142" t="s">
        <v>15848</v>
      </c>
      <c r="E9418" s="142" t="s">
        <v>15849</v>
      </c>
      <c r="F9418" s="142" t="s">
        <v>209</v>
      </c>
      <c r="G9418" s="142" t="s">
        <v>9643</v>
      </c>
      <c r="H9418" s="142" t="s">
        <v>25268</v>
      </c>
      <c r="I9418" s="142">
        <v>72</v>
      </c>
      <c r="J9418" s="142">
        <v>27</v>
      </c>
      <c r="K9418" s="142">
        <v>0</v>
      </c>
      <c r="L9418" s="142">
        <v>0</v>
      </c>
      <c r="M9418" s="142">
        <v>45</v>
      </c>
    </row>
    <row r="9419" spans="1:13" x14ac:dyDescent="0.45">
      <c r="A9419" s="142" t="s">
        <v>13039</v>
      </c>
      <c r="B9419" s="142" t="s">
        <v>14647</v>
      </c>
      <c r="C9419" s="142" t="s">
        <v>15847</v>
      </c>
      <c r="D9419" s="142" t="s">
        <v>15848</v>
      </c>
      <c r="E9419" s="142" t="s">
        <v>15849</v>
      </c>
      <c r="F9419" s="142" t="s">
        <v>209</v>
      </c>
      <c r="G9419" s="142" t="s">
        <v>9643</v>
      </c>
      <c r="H9419" s="142" t="s">
        <v>25269</v>
      </c>
      <c r="I9419" s="142">
        <v>131</v>
      </c>
      <c r="J9419" s="142">
        <v>131</v>
      </c>
      <c r="K9419" s="142">
        <v>0</v>
      </c>
      <c r="L9419" s="142">
        <v>0</v>
      </c>
      <c r="M9419" s="142">
        <v>0</v>
      </c>
    </row>
    <row r="9420" spans="1:13" x14ac:dyDescent="0.45">
      <c r="A9420" s="142" t="s">
        <v>13091</v>
      </c>
      <c r="B9420" s="142" t="s">
        <v>14473</v>
      </c>
      <c r="C9420" s="142" t="s">
        <v>15847</v>
      </c>
      <c r="D9420" s="142" t="s">
        <v>15848</v>
      </c>
      <c r="E9420" s="142" t="s">
        <v>15849</v>
      </c>
      <c r="F9420" s="142" t="s">
        <v>209</v>
      </c>
      <c r="G9420" s="142" t="s">
        <v>9643</v>
      </c>
      <c r="H9420" s="142" t="s">
        <v>25270</v>
      </c>
      <c r="I9420" s="142">
        <v>67</v>
      </c>
      <c r="J9420" s="142">
        <v>0</v>
      </c>
      <c r="K9420" s="142">
        <v>0</v>
      </c>
      <c r="L9420" s="142">
        <v>67</v>
      </c>
      <c r="M9420" s="142">
        <v>0</v>
      </c>
    </row>
    <row r="9421" spans="1:13" x14ac:dyDescent="0.45">
      <c r="A9421" s="142" t="s">
        <v>13009</v>
      </c>
      <c r="B9421" s="142" t="s">
        <v>15256</v>
      </c>
      <c r="C9421" s="142" t="s">
        <v>15847</v>
      </c>
      <c r="D9421" s="142" t="s">
        <v>15848</v>
      </c>
      <c r="E9421" s="142" t="s">
        <v>15849</v>
      </c>
      <c r="F9421" s="142" t="s">
        <v>209</v>
      </c>
      <c r="G9421" s="142" t="s">
        <v>9643</v>
      </c>
      <c r="H9421" s="142" t="s">
        <v>25271</v>
      </c>
      <c r="I9421" s="142">
        <v>270</v>
      </c>
      <c r="J9421" s="142">
        <v>181</v>
      </c>
      <c r="K9421" s="142">
        <v>0</v>
      </c>
      <c r="L9421" s="142">
        <v>51</v>
      </c>
      <c r="M9421" s="142">
        <v>38</v>
      </c>
    </row>
    <row r="9422" spans="1:13" x14ac:dyDescent="0.45">
      <c r="A9422" s="142" t="s">
        <v>13011</v>
      </c>
      <c r="B9422" s="142" t="s">
        <v>14695</v>
      </c>
      <c r="C9422" s="142" t="s">
        <v>15847</v>
      </c>
      <c r="D9422" s="142" t="s">
        <v>15848</v>
      </c>
      <c r="E9422" s="142" t="s">
        <v>15849</v>
      </c>
      <c r="F9422" s="142" t="s">
        <v>209</v>
      </c>
      <c r="G9422" s="142" t="s">
        <v>9643</v>
      </c>
      <c r="H9422" s="142" t="s">
        <v>25272</v>
      </c>
      <c r="I9422" s="142">
        <v>1</v>
      </c>
      <c r="J9422" s="142">
        <v>0</v>
      </c>
      <c r="K9422" s="142">
        <v>0</v>
      </c>
      <c r="L9422" s="142">
        <v>0</v>
      </c>
      <c r="M9422" s="142">
        <v>1</v>
      </c>
    </row>
    <row r="9423" spans="1:13" x14ac:dyDescent="0.45">
      <c r="A9423" s="142" t="s">
        <v>13041</v>
      </c>
      <c r="B9423" s="142" t="s">
        <v>14441</v>
      </c>
      <c r="C9423" s="142" t="s">
        <v>15847</v>
      </c>
      <c r="D9423" s="142" t="s">
        <v>15848</v>
      </c>
      <c r="E9423" s="142" t="s">
        <v>15849</v>
      </c>
      <c r="F9423" s="142" t="s">
        <v>209</v>
      </c>
      <c r="G9423" s="142" t="s">
        <v>9643</v>
      </c>
      <c r="H9423" s="142" t="s">
        <v>25273</v>
      </c>
      <c r="I9423" s="142">
        <v>39</v>
      </c>
      <c r="J9423" s="142">
        <v>0</v>
      </c>
      <c r="K9423" s="142">
        <v>0</v>
      </c>
      <c r="L9423" s="142">
        <v>0</v>
      </c>
      <c r="M9423" s="142">
        <v>39</v>
      </c>
    </row>
    <row r="9424" spans="1:13" x14ac:dyDescent="0.45">
      <c r="A9424" s="142" t="s">
        <v>13012</v>
      </c>
      <c r="B9424" s="142" t="s">
        <v>15337</v>
      </c>
      <c r="C9424" s="142" t="s">
        <v>15847</v>
      </c>
      <c r="D9424" s="142" t="s">
        <v>15848</v>
      </c>
      <c r="E9424" s="142" t="s">
        <v>15849</v>
      </c>
      <c r="F9424" s="142" t="s">
        <v>209</v>
      </c>
      <c r="G9424" s="142" t="s">
        <v>9643</v>
      </c>
      <c r="H9424" s="142" t="s">
        <v>25274</v>
      </c>
      <c r="I9424" s="142">
        <v>231</v>
      </c>
      <c r="J9424" s="142">
        <v>226</v>
      </c>
      <c r="K9424" s="142">
        <v>0</v>
      </c>
      <c r="L9424" s="142">
        <v>0</v>
      </c>
      <c r="M9424" s="142">
        <v>5</v>
      </c>
    </row>
    <row r="9425" spans="1:13" x14ac:dyDescent="0.45">
      <c r="A9425" s="142" t="s">
        <v>13428</v>
      </c>
      <c r="B9425" s="142" t="s">
        <v>15303</v>
      </c>
      <c r="C9425" s="142" t="s">
        <v>15847</v>
      </c>
      <c r="D9425" s="142" t="s">
        <v>15848</v>
      </c>
      <c r="E9425" s="142" t="s">
        <v>15849</v>
      </c>
      <c r="F9425" s="142" t="s">
        <v>209</v>
      </c>
      <c r="G9425" s="142" t="s">
        <v>9643</v>
      </c>
      <c r="H9425" s="142" t="s">
        <v>25275</v>
      </c>
      <c r="I9425" s="142">
        <v>40</v>
      </c>
      <c r="J9425" s="142">
        <v>30</v>
      </c>
      <c r="K9425" s="142">
        <v>0</v>
      </c>
      <c r="L9425" s="142">
        <v>0</v>
      </c>
      <c r="M9425" s="142">
        <v>10</v>
      </c>
    </row>
    <row r="9426" spans="1:13" x14ac:dyDescent="0.45">
      <c r="A9426" s="142" t="s">
        <v>13095</v>
      </c>
      <c r="B9426" s="142" t="s">
        <v>15592</v>
      </c>
      <c r="C9426" s="142" t="s">
        <v>15847</v>
      </c>
      <c r="D9426" s="142" t="s">
        <v>15848</v>
      </c>
      <c r="E9426" s="142" t="s">
        <v>15849</v>
      </c>
      <c r="F9426" s="142" t="s">
        <v>209</v>
      </c>
      <c r="G9426" s="142" t="s">
        <v>9643</v>
      </c>
      <c r="H9426" s="142" t="s">
        <v>25276</v>
      </c>
      <c r="I9426" s="142">
        <v>6492</v>
      </c>
      <c r="J9426" s="142">
        <v>5909</v>
      </c>
      <c r="K9426" s="142">
        <v>0</v>
      </c>
      <c r="L9426" s="142">
        <v>359</v>
      </c>
      <c r="M9426" s="142">
        <v>224</v>
      </c>
    </row>
    <row r="9427" spans="1:13" x14ac:dyDescent="0.45">
      <c r="A9427" s="142" t="s">
        <v>13165</v>
      </c>
      <c r="B9427" s="142" t="s">
        <v>15525</v>
      </c>
      <c r="C9427" s="142" t="s">
        <v>15860</v>
      </c>
      <c r="D9427" s="142" t="s">
        <v>15861</v>
      </c>
      <c r="E9427" s="142" t="s">
        <v>15849</v>
      </c>
      <c r="F9427" s="142" t="s">
        <v>209</v>
      </c>
      <c r="G9427" s="142" t="s">
        <v>9643</v>
      </c>
      <c r="H9427" s="142" t="s">
        <v>25277</v>
      </c>
      <c r="I9427" s="142">
        <v>7</v>
      </c>
      <c r="J9427" s="142">
        <v>1</v>
      </c>
      <c r="K9427" s="142">
        <v>0</v>
      </c>
      <c r="L9427" s="142">
        <v>6</v>
      </c>
      <c r="M9427" s="142">
        <v>0</v>
      </c>
    </row>
    <row r="9428" spans="1:13" x14ac:dyDescent="0.45">
      <c r="A9428" s="142" t="s">
        <v>13042</v>
      </c>
      <c r="B9428" s="142" t="s">
        <v>15489</v>
      </c>
      <c r="C9428" s="142" t="s">
        <v>15847</v>
      </c>
      <c r="D9428" s="142" t="s">
        <v>15848</v>
      </c>
      <c r="E9428" s="142" t="s">
        <v>15849</v>
      </c>
      <c r="F9428" s="142" t="s">
        <v>209</v>
      </c>
      <c r="G9428" s="142" t="s">
        <v>9643</v>
      </c>
      <c r="H9428" s="142" t="s">
        <v>25278</v>
      </c>
      <c r="I9428" s="142">
        <v>73</v>
      </c>
      <c r="J9428" s="142">
        <v>16</v>
      </c>
      <c r="K9428" s="142">
        <v>0</v>
      </c>
      <c r="L9428" s="142">
        <v>57</v>
      </c>
      <c r="M9428" s="142">
        <v>0</v>
      </c>
    </row>
    <row r="9429" spans="1:13" x14ac:dyDescent="0.45">
      <c r="A9429" s="142" t="s">
        <v>13156</v>
      </c>
      <c r="B9429" s="142" t="s">
        <v>14493</v>
      </c>
      <c r="C9429" s="142" t="s">
        <v>15860</v>
      </c>
      <c r="D9429" s="142" t="s">
        <v>15861</v>
      </c>
      <c r="E9429" s="142" t="s">
        <v>15849</v>
      </c>
      <c r="F9429" s="142" t="s">
        <v>209</v>
      </c>
      <c r="G9429" s="142" t="s">
        <v>9643</v>
      </c>
      <c r="H9429" s="142" t="s">
        <v>25279</v>
      </c>
      <c r="I9429" s="142">
        <v>7</v>
      </c>
      <c r="J9429" s="142">
        <v>0</v>
      </c>
      <c r="K9429" s="142">
        <v>0</v>
      </c>
      <c r="L9429" s="142">
        <v>7</v>
      </c>
      <c r="M9429" s="142">
        <v>0</v>
      </c>
    </row>
    <row r="9430" spans="1:13" x14ac:dyDescent="0.45">
      <c r="A9430" s="142" t="s">
        <v>13207</v>
      </c>
      <c r="B9430" s="142" t="s">
        <v>15558</v>
      </c>
      <c r="C9430" s="142" t="s">
        <v>15847</v>
      </c>
      <c r="D9430" s="142" t="s">
        <v>15848</v>
      </c>
      <c r="E9430" s="142" t="s">
        <v>15849</v>
      </c>
      <c r="F9430" s="142" t="s">
        <v>209</v>
      </c>
      <c r="G9430" s="142" t="s">
        <v>9643</v>
      </c>
      <c r="H9430" s="142" t="s">
        <v>25280</v>
      </c>
      <c r="I9430" s="142">
        <v>68</v>
      </c>
      <c r="J9430" s="142">
        <v>5</v>
      </c>
      <c r="K9430" s="142">
        <v>0</v>
      </c>
      <c r="L9430" s="142">
        <v>13</v>
      </c>
      <c r="M9430" s="142">
        <v>50</v>
      </c>
    </row>
    <row r="9431" spans="1:13" x14ac:dyDescent="0.45">
      <c r="A9431" s="142" t="s">
        <v>13110</v>
      </c>
      <c r="B9431" s="142" t="s">
        <v>15502</v>
      </c>
      <c r="C9431" s="142" t="s">
        <v>15847</v>
      </c>
      <c r="D9431" s="142" t="s">
        <v>15848</v>
      </c>
      <c r="E9431" s="142" t="s">
        <v>15849</v>
      </c>
      <c r="F9431" s="142" t="s">
        <v>210</v>
      </c>
      <c r="G9431" s="142" t="s">
        <v>12528</v>
      </c>
      <c r="H9431" s="142" t="s">
        <v>25281</v>
      </c>
      <c r="I9431" s="142">
        <v>797</v>
      </c>
      <c r="J9431" s="142">
        <v>659</v>
      </c>
      <c r="K9431" s="142">
        <v>0</v>
      </c>
      <c r="L9431" s="142">
        <v>47</v>
      </c>
      <c r="M9431" s="142">
        <v>91</v>
      </c>
    </row>
    <row r="9432" spans="1:13" x14ac:dyDescent="0.45">
      <c r="A9432" s="142" t="s">
        <v>13023</v>
      </c>
      <c r="B9432" s="142" t="s">
        <v>15571</v>
      </c>
      <c r="C9432" s="142" t="s">
        <v>15847</v>
      </c>
      <c r="D9432" s="142" t="s">
        <v>15848</v>
      </c>
      <c r="E9432" s="142" t="s">
        <v>15849</v>
      </c>
      <c r="F9432" s="142" t="s">
        <v>210</v>
      </c>
      <c r="G9432" s="142" t="s">
        <v>12528</v>
      </c>
      <c r="H9432" s="142" t="s">
        <v>25282</v>
      </c>
      <c r="I9432" s="142">
        <v>50</v>
      </c>
      <c r="J9432" s="142">
        <v>0</v>
      </c>
      <c r="K9432" s="142">
        <v>0</v>
      </c>
      <c r="L9432" s="142">
        <v>50</v>
      </c>
      <c r="M9432" s="142">
        <v>0</v>
      </c>
    </row>
    <row r="9433" spans="1:13" x14ac:dyDescent="0.45">
      <c r="A9433" s="142" t="s">
        <v>13112</v>
      </c>
      <c r="B9433" s="142" t="s">
        <v>15552</v>
      </c>
      <c r="C9433" s="142" t="s">
        <v>15860</v>
      </c>
      <c r="D9433" s="142" t="s">
        <v>15861</v>
      </c>
      <c r="E9433" s="142" t="s">
        <v>15849</v>
      </c>
      <c r="F9433" s="142" t="s">
        <v>210</v>
      </c>
      <c r="G9433" s="142" t="s">
        <v>12528</v>
      </c>
      <c r="H9433" s="142" t="s">
        <v>25283</v>
      </c>
      <c r="I9433" s="142">
        <v>49</v>
      </c>
      <c r="J9433" s="142">
        <v>49</v>
      </c>
      <c r="K9433" s="142">
        <v>0</v>
      </c>
      <c r="L9433" s="142">
        <v>0</v>
      </c>
      <c r="M9433" s="142">
        <v>0</v>
      </c>
    </row>
    <row r="9434" spans="1:13" x14ac:dyDescent="0.45">
      <c r="A9434" s="142" t="s">
        <v>13433</v>
      </c>
      <c r="B9434" s="142" t="s">
        <v>15167</v>
      </c>
      <c r="C9434" s="142" t="s">
        <v>15847</v>
      </c>
      <c r="D9434" s="142" t="s">
        <v>15848</v>
      </c>
      <c r="E9434" s="142" t="s">
        <v>15849</v>
      </c>
      <c r="F9434" s="142" t="s">
        <v>210</v>
      </c>
      <c r="G9434" s="142" t="s">
        <v>12528</v>
      </c>
      <c r="H9434" s="142" t="s">
        <v>25284</v>
      </c>
      <c r="I9434" s="142">
        <v>424</v>
      </c>
      <c r="J9434" s="142">
        <v>0</v>
      </c>
      <c r="K9434" s="142">
        <v>0</v>
      </c>
      <c r="L9434" s="142">
        <v>424</v>
      </c>
      <c r="M9434" s="142">
        <v>0</v>
      </c>
    </row>
    <row r="9435" spans="1:13" x14ac:dyDescent="0.45">
      <c r="A9435" s="142" t="s">
        <v>13318</v>
      </c>
      <c r="B9435" s="142" t="s">
        <v>15172</v>
      </c>
      <c r="C9435" s="142" t="s">
        <v>15860</v>
      </c>
      <c r="D9435" s="142" t="s">
        <v>15861</v>
      </c>
      <c r="E9435" s="142" t="s">
        <v>15849</v>
      </c>
      <c r="F9435" s="142" t="s">
        <v>210</v>
      </c>
      <c r="G9435" s="142" t="s">
        <v>12528</v>
      </c>
      <c r="H9435" s="142" t="s">
        <v>25285</v>
      </c>
      <c r="I9435" s="142">
        <v>26</v>
      </c>
      <c r="J9435" s="142">
        <v>0</v>
      </c>
      <c r="K9435" s="142">
        <v>0</v>
      </c>
      <c r="L9435" s="142">
        <v>26</v>
      </c>
      <c r="M9435" s="142">
        <v>0</v>
      </c>
    </row>
    <row r="9436" spans="1:13" x14ac:dyDescent="0.45">
      <c r="A9436" s="142" t="s">
        <v>14364</v>
      </c>
      <c r="B9436" s="142" t="s">
        <v>15055</v>
      </c>
      <c r="C9436" s="142" t="s">
        <v>15860</v>
      </c>
      <c r="D9436" s="142" t="s">
        <v>15861</v>
      </c>
      <c r="E9436" s="142" t="s">
        <v>15849</v>
      </c>
      <c r="F9436" s="142" t="s">
        <v>210</v>
      </c>
      <c r="G9436" s="142" t="s">
        <v>12528</v>
      </c>
      <c r="H9436" s="142" t="s">
        <v>25286</v>
      </c>
      <c r="I9436" s="142">
        <v>12</v>
      </c>
      <c r="J9436" s="142">
        <v>12</v>
      </c>
      <c r="K9436" s="142">
        <v>0</v>
      </c>
      <c r="L9436" s="142">
        <v>0</v>
      </c>
      <c r="M9436" s="142">
        <v>0</v>
      </c>
    </row>
    <row r="9437" spans="1:13" x14ac:dyDescent="0.45">
      <c r="A9437" s="142" t="s">
        <v>13000</v>
      </c>
      <c r="B9437" s="142" t="s">
        <v>14610</v>
      </c>
      <c r="C9437" s="142" t="s">
        <v>15847</v>
      </c>
      <c r="D9437" s="142" t="s">
        <v>15848</v>
      </c>
      <c r="E9437" s="142" t="s">
        <v>15849</v>
      </c>
      <c r="F9437" s="142" t="s">
        <v>210</v>
      </c>
      <c r="G9437" s="142" t="s">
        <v>12528</v>
      </c>
      <c r="H9437" s="142" t="s">
        <v>25287</v>
      </c>
      <c r="I9437" s="142">
        <v>39</v>
      </c>
      <c r="J9437" s="142">
        <v>36</v>
      </c>
      <c r="K9437" s="142">
        <v>0</v>
      </c>
      <c r="L9437" s="142">
        <v>0</v>
      </c>
      <c r="M9437" s="142">
        <v>3</v>
      </c>
    </row>
    <row r="9438" spans="1:13" x14ac:dyDescent="0.45">
      <c r="A9438" s="142" t="s">
        <v>13119</v>
      </c>
      <c r="B9438" s="142" t="s">
        <v>14451</v>
      </c>
      <c r="C9438" s="142" t="s">
        <v>15860</v>
      </c>
      <c r="D9438" s="142" t="s">
        <v>15861</v>
      </c>
      <c r="E9438" s="142" t="s">
        <v>15849</v>
      </c>
      <c r="F9438" s="142" t="s">
        <v>210</v>
      </c>
      <c r="G9438" s="142" t="s">
        <v>12528</v>
      </c>
      <c r="H9438" s="142" t="s">
        <v>25288</v>
      </c>
      <c r="I9438" s="142">
        <v>4</v>
      </c>
      <c r="J9438" s="142">
        <v>0</v>
      </c>
      <c r="K9438" s="142">
        <v>0</v>
      </c>
      <c r="L9438" s="142">
        <v>4</v>
      </c>
      <c r="M9438" s="142">
        <v>0</v>
      </c>
    </row>
    <row r="9439" spans="1:13" x14ac:dyDescent="0.45">
      <c r="A9439" s="142" t="s">
        <v>13846</v>
      </c>
      <c r="B9439" s="142" t="s">
        <v>14570</v>
      </c>
      <c r="C9439" s="142" t="s">
        <v>15860</v>
      </c>
      <c r="D9439" s="142" t="s">
        <v>15861</v>
      </c>
      <c r="E9439" s="142" t="s">
        <v>15849</v>
      </c>
      <c r="F9439" s="142" t="s">
        <v>210</v>
      </c>
      <c r="G9439" s="142" t="s">
        <v>12528</v>
      </c>
      <c r="H9439" s="142" t="s">
        <v>25289</v>
      </c>
      <c r="I9439" s="142">
        <v>103</v>
      </c>
      <c r="J9439" s="142">
        <v>103</v>
      </c>
      <c r="K9439" s="142">
        <v>0</v>
      </c>
      <c r="L9439" s="142">
        <v>0</v>
      </c>
      <c r="M9439" s="142">
        <v>0</v>
      </c>
    </row>
    <row r="9440" spans="1:13" x14ac:dyDescent="0.45">
      <c r="A9440" s="142" t="s">
        <v>13003</v>
      </c>
      <c r="B9440" s="142" t="s">
        <v>15245</v>
      </c>
      <c r="C9440" s="142" t="s">
        <v>15847</v>
      </c>
      <c r="D9440" s="142" t="s">
        <v>15848</v>
      </c>
      <c r="E9440" s="142" t="s">
        <v>15849</v>
      </c>
      <c r="F9440" s="142" t="s">
        <v>210</v>
      </c>
      <c r="G9440" s="142" t="s">
        <v>12528</v>
      </c>
      <c r="H9440" s="142" t="s">
        <v>25290</v>
      </c>
      <c r="I9440" s="142">
        <v>51</v>
      </c>
      <c r="J9440" s="142">
        <v>0</v>
      </c>
      <c r="K9440" s="142">
        <v>0</v>
      </c>
      <c r="L9440" s="142">
        <v>51</v>
      </c>
      <c r="M9440" s="142">
        <v>0</v>
      </c>
    </row>
    <row r="9441" spans="1:13" x14ac:dyDescent="0.45">
      <c r="A9441" s="142" t="s">
        <v>13337</v>
      </c>
      <c r="B9441" s="142" t="s">
        <v>15301</v>
      </c>
      <c r="C9441" s="142" t="s">
        <v>15860</v>
      </c>
      <c r="D9441" s="142" t="s">
        <v>15861</v>
      </c>
      <c r="E9441" s="142" t="s">
        <v>15849</v>
      </c>
      <c r="F9441" s="142" t="s">
        <v>210</v>
      </c>
      <c r="G9441" s="142" t="s">
        <v>12528</v>
      </c>
      <c r="H9441" s="142" t="s">
        <v>25291</v>
      </c>
      <c r="I9441" s="142">
        <v>24</v>
      </c>
      <c r="J9441" s="142">
        <v>24</v>
      </c>
      <c r="K9441" s="142">
        <v>0</v>
      </c>
      <c r="L9441" s="142">
        <v>0</v>
      </c>
      <c r="M9441" s="142">
        <v>0</v>
      </c>
    </row>
    <row r="9442" spans="1:13" x14ac:dyDescent="0.45">
      <c r="A9442" s="142" t="s">
        <v>13125</v>
      </c>
      <c r="B9442" s="142" t="s">
        <v>15515</v>
      </c>
      <c r="C9442" s="142" t="s">
        <v>15860</v>
      </c>
      <c r="D9442" s="142" t="s">
        <v>15861</v>
      </c>
      <c r="E9442" s="142" t="s">
        <v>15849</v>
      </c>
      <c r="F9442" s="142" t="s">
        <v>210</v>
      </c>
      <c r="G9442" s="142" t="s">
        <v>12528</v>
      </c>
      <c r="H9442" s="142" t="s">
        <v>25292</v>
      </c>
      <c r="I9442" s="142">
        <v>28</v>
      </c>
      <c r="J9442" s="142">
        <v>0</v>
      </c>
      <c r="K9442" s="142">
        <v>0</v>
      </c>
      <c r="L9442" s="142">
        <v>28</v>
      </c>
      <c r="M9442" s="142">
        <v>0</v>
      </c>
    </row>
    <row r="9443" spans="1:13" x14ac:dyDescent="0.45">
      <c r="A9443" s="142" t="s">
        <v>13127</v>
      </c>
      <c r="B9443" s="142" t="s">
        <v>15549</v>
      </c>
      <c r="C9443" s="142" t="s">
        <v>15847</v>
      </c>
      <c r="D9443" s="142" t="s">
        <v>15848</v>
      </c>
      <c r="E9443" s="142" t="s">
        <v>15849</v>
      </c>
      <c r="F9443" s="142" t="s">
        <v>210</v>
      </c>
      <c r="G9443" s="142" t="s">
        <v>12528</v>
      </c>
      <c r="H9443" s="142" t="s">
        <v>25293</v>
      </c>
      <c r="I9443" s="142">
        <v>42</v>
      </c>
      <c r="J9443" s="142">
        <v>42</v>
      </c>
      <c r="K9443" s="142">
        <v>0</v>
      </c>
      <c r="L9443" s="142">
        <v>0</v>
      </c>
      <c r="M9443" s="142">
        <v>0</v>
      </c>
    </row>
    <row r="9444" spans="1:13" x14ac:dyDescent="0.45">
      <c r="A9444" s="142" t="s">
        <v>13005</v>
      </c>
      <c r="B9444" s="142" t="s">
        <v>15475</v>
      </c>
      <c r="C9444" s="142" t="s">
        <v>15847</v>
      </c>
      <c r="D9444" s="142" t="s">
        <v>15848</v>
      </c>
      <c r="E9444" s="142" t="s">
        <v>15849</v>
      </c>
      <c r="F9444" s="142" t="s">
        <v>210</v>
      </c>
      <c r="G9444" s="142" t="s">
        <v>12528</v>
      </c>
      <c r="H9444" s="142" t="s">
        <v>25294</v>
      </c>
      <c r="I9444" s="142">
        <v>740</v>
      </c>
      <c r="J9444" s="142">
        <v>717</v>
      </c>
      <c r="K9444" s="142">
        <v>0</v>
      </c>
      <c r="L9444" s="142">
        <v>7</v>
      </c>
      <c r="M9444" s="142">
        <v>16</v>
      </c>
    </row>
    <row r="9445" spans="1:13" x14ac:dyDescent="0.45">
      <c r="A9445" s="142" t="s">
        <v>13101</v>
      </c>
      <c r="B9445" s="142" t="s">
        <v>15491</v>
      </c>
      <c r="C9445" s="142" t="s">
        <v>15847</v>
      </c>
      <c r="D9445" s="142" t="s">
        <v>15848</v>
      </c>
      <c r="E9445" s="142" t="s">
        <v>15849</v>
      </c>
      <c r="F9445" s="142" t="s">
        <v>210</v>
      </c>
      <c r="G9445" s="142" t="s">
        <v>12528</v>
      </c>
      <c r="H9445" s="142" t="s">
        <v>25295</v>
      </c>
      <c r="I9445" s="142">
        <v>15</v>
      </c>
      <c r="J9445" s="142">
        <v>0</v>
      </c>
      <c r="K9445" s="142">
        <v>0</v>
      </c>
      <c r="L9445" s="142">
        <v>15</v>
      </c>
      <c r="M9445" s="142">
        <v>0</v>
      </c>
    </row>
    <row r="9446" spans="1:13" x14ac:dyDescent="0.45">
      <c r="A9446" s="142" t="s">
        <v>13006</v>
      </c>
      <c r="B9446" s="142" t="s">
        <v>15288</v>
      </c>
      <c r="C9446" s="142" t="s">
        <v>15847</v>
      </c>
      <c r="D9446" s="142" t="s">
        <v>15848</v>
      </c>
      <c r="E9446" s="142" t="s">
        <v>15849</v>
      </c>
      <c r="F9446" s="142" t="s">
        <v>210</v>
      </c>
      <c r="G9446" s="142" t="s">
        <v>12528</v>
      </c>
      <c r="H9446" s="142" t="s">
        <v>25296</v>
      </c>
      <c r="I9446" s="142">
        <v>13</v>
      </c>
      <c r="J9446" s="142">
        <v>6</v>
      </c>
      <c r="K9446" s="142">
        <v>0</v>
      </c>
      <c r="L9446" s="142">
        <v>5</v>
      </c>
      <c r="M9446" s="142">
        <v>2</v>
      </c>
    </row>
    <row r="9447" spans="1:13" x14ac:dyDescent="0.45">
      <c r="A9447" s="142" t="s">
        <v>14365</v>
      </c>
      <c r="B9447" s="142" t="s">
        <v>14999</v>
      </c>
      <c r="C9447" s="142" t="s">
        <v>15860</v>
      </c>
      <c r="D9447" s="142" t="s">
        <v>15861</v>
      </c>
      <c r="E9447" s="142" t="s">
        <v>15849</v>
      </c>
      <c r="F9447" s="142" t="s">
        <v>210</v>
      </c>
      <c r="G9447" s="142" t="s">
        <v>12528</v>
      </c>
      <c r="H9447" s="142" t="s">
        <v>25297</v>
      </c>
      <c r="I9447" s="142">
        <v>5</v>
      </c>
      <c r="J9447" s="142">
        <v>5</v>
      </c>
      <c r="K9447" s="142">
        <v>0</v>
      </c>
      <c r="L9447" s="142">
        <v>0</v>
      </c>
      <c r="M9447" s="142">
        <v>0</v>
      </c>
    </row>
    <row r="9448" spans="1:13" x14ac:dyDescent="0.45">
      <c r="A9448" s="142" t="s">
        <v>13103</v>
      </c>
      <c r="B9448" s="142" t="s">
        <v>14623</v>
      </c>
      <c r="C9448" s="142" t="s">
        <v>15847</v>
      </c>
      <c r="D9448" s="142" t="s">
        <v>15848</v>
      </c>
      <c r="E9448" s="142" t="s">
        <v>15849</v>
      </c>
      <c r="F9448" s="142" t="s">
        <v>210</v>
      </c>
      <c r="G9448" s="142" t="s">
        <v>12528</v>
      </c>
      <c r="H9448" s="142" t="s">
        <v>25298</v>
      </c>
      <c r="I9448" s="142">
        <v>2952</v>
      </c>
      <c r="J9448" s="142">
        <v>2147</v>
      </c>
      <c r="K9448" s="142">
        <v>498</v>
      </c>
      <c r="L9448" s="142">
        <v>287</v>
      </c>
      <c r="M9448" s="142">
        <v>20</v>
      </c>
    </row>
    <row r="9449" spans="1:13" x14ac:dyDescent="0.45">
      <c r="A9449" s="142" t="s">
        <v>13054</v>
      </c>
      <c r="B9449" s="142" t="s">
        <v>15604</v>
      </c>
      <c r="C9449" s="142" t="s">
        <v>15847</v>
      </c>
      <c r="D9449" s="142" t="s">
        <v>15848</v>
      </c>
      <c r="E9449" s="142" t="s">
        <v>15849</v>
      </c>
      <c r="F9449" s="142" t="s">
        <v>210</v>
      </c>
      <c r="G9449" s="142" t="s">
        <v>12528</v>
      </c>
      <c r="H9449" s="142" t="s">
        <v>25299</v>
      </c>
      <c r="I9449" s="142">
        <v>111</v>
      </c>
      <c r="J9449" s="142">
        <v>0</v>
      </c>
      <c r="K9449" s="142">
        <v>0</v>
      </c>
      <c r="L9449" s="142">
        <v>0</v>
      </c>
      <c r="M9449" s="142">
        <v>111</v>
      </c>
    </row>
    <row r="9450" spans="1:13" x14ac:dyDescent="0.45">
      <c r="A9450" s="142" t="s">
        <v>13129</v>
      </c>
      <c r="B9450" s="142" t="s">
        <v>15284</v>
      </c>
      <c r="C9450" s="142" t="s">
        <v>15847</v>
      </c>
      <c r="D9450" s="142" t="s">
        <v>15848</v>
      </c>
      <c r="E9450" s="142" t="s">
        <v>15849</v>
      </c>
      <c r="F9450" s="142" t="s">
        <v>210</v>
      </c>
      <c r="G9450" s="142" t="s">
        <v>12528</v>
      </c>
      <c r="H9450" s="142" t="s">
        <v>25300</v>
      </c>
      <c r="I9450" s="142">
        <v>1933</v>
      </c>
      <c r="J9450" s="142">
        <v>1688</v>
      </c>
      <c r="K9450" s="142">
        <v>57</v>
      </c>
      <c r="L9450" s="142">
        <v>83</v>
      </c>
      <c r="M9450" s="142">
        <v>105</v>
      </c>
    </row>
    <row r="9451" spans="1:13" x14ac:dyDescent="0.45">
      <c r="A9451" s="142" t="s">
        <v>13133</v>
      </c>
      <c r="B9451" s="142" t="s">
        <v>15291</v>
      </c>
      <c r="C9451" s="142" t="s">
        <v>15847</v>
      </c>
      <c r="D9451" s="142" t="s">
        <v>15848</v>
      </c>
      <c r="E9451" s="142" t="s">
        <v>15849</v>
      </c>
      <c r="F9451" s="142" t="s">
        <v>210</v>
      </c>
      <c r="G9451" s="142" t="s">
        <v>12528</v>
      </c>
      <c r="H9451" s="142" t="s">
        <v>25301</v>
      </c>
      <c r="I9451" s="142">
        <v>13</v>
      </c>
      <c r="J9451" s="142">
        <v>11</v>
      </c>
      <c r="K9451" s="142">
        <v>0</v>
      </c>
      <c r="L9451" s="142">
        <v>0</v>
      </c>
      <c r="M9451" s="142">
        <v>2</v>
      </c>
    </row>
    <row r="9452" spans="1:13" x14ac:dyDescent="0.45">
      <c r="A9452" s="142" t="s">
        <v>14366</v>
      </c>
      <c r="B9452" s="142" t="s">
        <v>14589</v>
      </c>
      <c r="C9452" s="142" t="s">
        <v>15860</v>
      </c>
      <c r="D9452" s="142" t="s">
        <v>15861</v>
      </c>
      <c r="E9452" s="142" t="s">
        <v>15849</v>
      </c>
      <c r="F9452" s="142" t="s">
        <v>210</v>
      </c>
      <c r="G9452" s="142" t="s">
        <v>12528</v>
      </c>
      <c r="H9452" s="142" t="s">
        <v>25302</v>
      </c>
      <c r="I9452" s="142">
        <v>73</v>
      </c>
      <c r="J9452" s="142">
        <v>1</v>
      </c>
      <c r="K9452" s="142">
        <v>0</v>
      </c>
      <c r="L9452" s="142">
        <v>72</v>
      </c>
      <c r="M9452" s="142">
        <v>0</v>
      </c>
    </row>
    <row r="9453" spans="1:13" x14ac:dyDescent="0.45">
      <c r="A9453" s="142" t="s">
        <v>13104</v>
      </c>
      <c r="B9453" s="142" t="s">
        <v>14622</v>
      </c>
      <c r="C9453" s="142" t="s">
        <v>15847</v>
      </c>
      <c r="D9453" s="142" t="s">
        <v>15848</v>
      </c>
      <c r="E9453" s="142" t="s">
        <v>15849</v>
      </c>
      <c r="F9453" s="142" t="s">
        <v>210</v>
      </c>
      <c r="G9453" s="142" t="s">
        <v>12528</v>
      </c>
      <c r="H9453" s="142" t="s">
        <v>25303</v>
      </c>
      <c r="I9453" s="142">
        <v>3943</v>
      </c>
      <c r="J9453" s="142">
        <v>3272</v>
      </c>
      <c r="K9453" s="142">
        <v>355</v>
      </c>
      <c r="L9453" s="142">
        <v>296</v>
      </c>
      <c r="M9453" s="142">
        <v>20</v>
      </c>
    </row>
    <row r="9454" spans="1:13" x14ac:dyDescent="0.45">
      <c r="A9454" s="142" t="s">
        <v>13033</v>
      </c>
      <c r="B9454" s="142" t="s">
        <v>15276</v>
      </c>
      <c r="C9454" s="142" t="s">
        <v>15847</v>
      </c>
      <c r="D9454" s="142" t="s">
        <v>15848</v>
      </c>
      <c r="E9454" s="142" t="s">
        <v>15849</v>
      </c>
      <c r="F9454" s="142" t="s">
        <v>210</v>
      </c>
      <c r="G9454" s="142" t="s">
        <v>12528</v>
      </c>
      <c r="H9454" s="142" t="s">
        <v>25304</v>
      </c>
      <c r="I9454" s="142">
        <v>1</v>
      </c>
      <c r="J9454" s="142">
        <v>1</v>
      </c>
      <c r="K9454" s="142">
        <v>0</v>
      </c>
      <c r="L9454" s="142">
        <v>0</v>
      </c>
      <c r="M9454" s="142">
        <v>0</v>
      </c>
    </row>
    <row r="9455" spans="1:13" x14ac:dyDescent="0.45">
      <c r="A9455" s="142" t="s">
        <v>14367</v>
      </c>
      <c r="B9455" s="142" t="s">
        <v>15169</v>
      </c>
      <c r="C9455" s="142" t="s">
        <v>15860</v>
      </c>
      <c r="D9455" s="142" t="s">
        <v>15861</v>
      </c>
      <c r="E9455" s="142" t="s">
        <v>15849</v>
      </c>
      <c r="F9455" s="142" t="s">
        <v>210</v>
      </c>
      <c r="G9455" s="142" t="s">
        <v>12528</v>
      </c>
      <c r="H9455" s="142" t="s">
        <v>25305</v>
      </c>
      <c r="I9455" s="142">
        <v>112</v>
      </c>
      <c r="J9455" s="142">
        <v>0</v>
      </c>
      <c r="K9455" s="142">
        <v>0</v>
      </c>
      <c r="L9455" s="142">
        <v>112</v>
      </c>
      <c r="M9455" s="142">
        <v>0</v>
      </c>
    </row>
    <row r="9456" spans="1:13" x14ac:dyDescent="0.45">
      <c r="A9456" s="142" t="s">
        <v>13078</v>
      </c>
      <c r="B9456" s="142" t="s">
        <v>15540</v>
      </c>
      <c r="C9456" s="142" t="s">
        <v>15847</v>
      </c>
      <c r="D9456" s="142" t="s">
        <v>15848</v>
      </c>
      <c r="E9456" s="142" t="s">
        <v>15849</v>
      </c>
      <c r="F9456" s="142" t="s">
        <v>210</v>
      </c>
      <c r="G9456" s="142" t="s">
        <v>12528</v>
      </c>
      <c r="H9456" s="142" t="s">
        <v>25306</v>
      </c>
      <c r="I9456" s="142">
        <v>128</v>
      </c>
      <c r="J9456" s="142">
        <v>15</v>
      </c>
      <c r="K9456" s="142">
        <v>0</v>
      </c>
      <c r="L9456" s="142">
        <v>113</v>
      </c>
      <c r="M9456" s="142">
        <v>0</v>
      </c>
    </row>
    <row r="9457" spans="1:13" x14ac:dyDescent="0.45">
      <c r="A9457" s="142" t="s">
        <v>13009</v>
      </c>
      <c r="B9457" s="142" t="s">
        <v>15256</v>
      </c>
      <c r="C9457" s="142" t="s">
        <v>15847</v>
      </c>
      <c r="D9457" s="142" t="s">
        <v>15848</v>
      </c>
      <c r="E9457" s="142" t="s">
        <v>15849</v>
      </c>
      <c r="F9457" s="142" t="s">
        <v>210</v>
      </c>
      <c r="G9457" s="142" t="s">
        <v>12528</v>
      </c>
      <c r="H9457" s="142" t="s">
        <v>25307</v>
      </c>
      <c r="I9457" s="142">
        <v>639</v>
      </c>
      <c r="J9457" s="142">
        <v>572</v>
      </c>
      <c r="K9457" s="142">
        <v>0</v>
      </c>
      <c r="L9457" s="142">
        <v>61</v>
      </c>
      <c r="M9457" s="142">
        <v>6</v>
      </c>
    </row>
    <row r="9458" spans="1:13" x14ac:dyDescent="0.45">
      <c r="A9458" s="142" t="s">
        <v>14307</v>
      </c>
      <c r="B9458" s="142" t="s">
        <v>14952</v>
      </c>
      <c r="C9458" s="142" t="s">
        <v>15860</v>
      </c>
      <c r="D9458" s="142" t="s">
        <v>15861</v>
      </c>
      <c r="E9458" s="142" t="s">
        <v>15849</v>
      </c>
      <c r="F9458" s="142" t="s">
        <v>210</v>
      </c>
      <c r="G9458" s="142" t="s">
        <v>12528</v>
      </c>
      <c r="H9458" s="142" t="s">
        <v>25308</v>
      </c>
      <c r="I9458" s="142">
        <v>76</v>
      </c>
      <c r="J9458" s="142">
        <v>76</v>
      </c>
      <c r="K9458" s="142">
        <v>0</v>
      </c>
      <c r="L9458" s="142">
        <v>0</v>
      </c>
      <c r="M9458" s="142">
        <v>0</v>
      </c>
    </row>
    <row r="9459" spans="1:13" x14ac:dyDescent="0.45">
      <c r="A9459" s="142" t="s">
        <v>14368</v>
      </c>
      <c r="B9459" s="142" t="s">
        <v>14594</v>
      </c>
      <c r="C9459" s="142" t="s">
        <v>15860</v>
      </c>
      <c r="D9459" s="142" t="s">
        <v>15861</v>
      </c>
      <c r="E9459" s="142" t="s">
        <v>15849</v>
      </c>
      <c r="F9459" s="142" t="s">
        <v>210</v>
      </c>
      <c r="G9459" s="142" t="s">
        <v>12528</v>
      </c>
      <c r="H9459" s="142" t="s">
        <v>25309</v>
      </c>
      <c r="I9459" s="142">
        <v>11</v>
      </c>
      <c r="J9459" s="142">
        <v>11</v>
      </c>
      <c r="K9459" s="142">
        <v>0</v>
      </c>
      <c r="L9459" s="142">
        <v>0</v>
      </c>
      <c r="M9459" s="142">
        <v>0</v>
      </c>
    </row>
    <row r="9460" spans="1:13" x14ac:dyDescent="0.45">
      <c r="A9460" s="142" t="s">
        <v>13440</v>
      </c>
      <c r="B9460" s="142" t="s">
        <v>15522</v>
      </c>
      <c r="C9460" s="142" t="s">
        <v>15860</v>
      </c>
      <c r="D9460" s="142" t="s">
        <v>15861</v>
      </c>
      <c r="E9460" s="142" t="s">
        <v>15849</v>
      </c>
      <c r="F9460" s="142" t="s">
        <v>210</v>
      </c>
      <c r="G9460" s="142" t="s">
        <v>12528</v>
      </c>
      <c r="H9460" s="142" t="s">
        <v>25310</v>
      </c>
      <c r="I9460" s="142">
        <v>525</v>
      </c>
      <c r="J9460" s="142">
        <v>506</v>
      </c>
      <c r="K9460" s="142">
        <v>0</v>
      </c>
      <c r="L9460" s="142">
        <v>19</v>
      </c>
      <c r="M9460" s="142">
        <v>0</v>
      </c>
    </row>
    <row r="9461" spans="1:13" x14ac:dyDescent="0.45">
      <c r="A9461" s="142" t="s">
        <v>13011</v>
      </c>
      <c r="B9461" s="142" t="s">
        <v>14695</v>
      </c>
      <c r="C9461" s="142" t="s">
        <v>15847</v>
      </c>
      <c r="D9461" s="142" t="s">
        <v>15848</v>
      </c>
      <c r="E9461" s="142" t="s">
        <v>15849</v>
      </c>
      <c r="F9461" s="142" t="s">
        <v>210</v>
      </c>
      <c r="G9461" s="142" t="s">
        <v>12528</v>
      </c>
      <c r="H9461" s="142" t="s">
        <v>25311</v>
      </c>
      <c r="I9461" s="142">
        <v>70</v>
      </c>
      <c r="J9461" s="142">
        <v>37</v>
      </c>
      <c r="K9461" s="142">
        <v>0</v>
      </c>
      <c r="L9461" s="142">
        <v>32</v>
      </c>
      <c r="M9461" s="142">
        <v>1</v>
      </c>
    </row>
    <row r="9462" spans="1:13" x14ac:dyDescent="0.45">
      <c r="A9462" s="142" t="s">
        <v>13058</v>
      </c>
      <c r="B9462" s="142" t="s">
        <v>14584</v>
      </c>
      <c r="C9462" s="142" t="s">
        <v>15847</v>
      </c>
      <c r="D9462" s="142" t="s">
        <v>15848</v>
      </c>
      <c r="E9462" s="142" t="s">
        <v>15849</v>
      </c>
      <c r="F9462" s="142" t="s">
        <v>210</v>
      </c>
      <c r="G9462" s="142" t="s">
        <v>12528</v>
      </c>
      <c r="H9462" s="142" t="s">
        <v>25312</v>
      </c>
      <c r="I9462" s="142">
        <v>1332</v>
      </c>
      <c r="J9462" s="142">
        <v>1106</v>
      </c>
      <c r="K9462" s="142">
        <v>16</v>
      </c>
      <c r="L9462" s="142">
        <v>124</v>
      </c>
      <c r="M9462" s="142">
        <v>86</v>
      </c>
    </row>
    <row r="9463" spans="1:13" x14ac:dyDescent="0.45">
      <c r="A9463" s="142" t="s">
        <v>13442</v>
      </c>
      <c r="B9463" s="142" t="s">
        <v>15606</v>
      </c>
      <c r="C9463" s="142" t="s">
        <v>15860</v>
      </c>
      <c r="D9463" s="142" t="s">
        <v>15861</v>
      </c>
      <c r="E9463" s="142" t="s">
        <v>15849</v>
      </c>
      <c r="F9463" s="142" t="s">
        <v>210</v>
      </c>
      <c r="G9463" s="142" t="s">
        <v>12528</v>
      </c>
      <c r="H9463" s="142" t="s">
        <v>25313</v>
      </c>
      <c r="I9463" s="142">
        <v>9</v>
      </c>
      <c r="J9463" s="142">
        <v>9</v>
      </c>
      <c r="K9463" s="142">
        <v>0</v>
      </c>
      <c r="L9463" s="142">
        <v>0</v>
      </c>
      <c r="M9463" s="142">
        <v>0</v>
      </c>
    </row>
    <row r="9464" spans="1:13" x14ac:dyDescent="0.45">
      <c r="A9464" s="142" t="s">
        <v>13306</v>
      </c>
      <c r="B9464" s="142" t="s">
        <v>15500</v>
      </c>
      <c r="C9464" s="142" t="s">
        <v>15847</v>
      </c>
      <c r="D9464" s="142" t="s">
        <v>15848</v>
      </c>
      <c r="E9464" s="142" t="s">
        <v>15849</v>
      </c>
      <c r="F9464" s="142" t="s">
        <v>210</v>
      </c>
      <c r="G9464" s="142" t="s">
        <v>12528</v>
      </c>
      <c r="H9464" s="142" t="s">
        <v>25314</v>
      </c>
      <c r="I9464" s="142">
        <v>88</v>
      </c>
      <c r="J9464" s="142">
        <v>1</v>
      </c>
      <c r="K9464" s="142">
        <v>0</v>
      </c>
      <c r="L9464" s="142">
        <v>87</v>
      </c>
      <c r="M9464" s="142">
        <v>0</v>
      </c>
    </row>
    <row r="9465" spans="1:13" x14ac:dyDescent="0.45">
      <c r="A9465" s="142" t="s">
        <v>14369</v>
      </c>
      <c r="B9465" s="142" t="s">
        <v>14750</v>
      </c>
      <c r="C9465" s="142" t="s">
        <v>15860</v>
      </c>
      <c r="D9465" s="142" t="s">
        <v>15861</v>
      </c>
      <c r="E9465" s="142" t="s">
        <v>15849</v>
      </c>
      <c r="F9465" s="142" t="s">
        <v>210</v>
      </c>
      <c r="G9465" s="142" t="s">
        <v>12528</v>
      </c>
      <c r="H9465" s="142" t="s">
        <v>25315</v>
      </c>
      <c r="I9465" s="142">
        <v>12</v>
      </c>
      <c r="J9465" s="142">
        <v>12</v>
      </c>
      <c r="K9465" s="142">
        <v>0</v>
      </c>
      <c r="L9465" s="142">
        <v>0</v>
      </c>
      <c r="M9465" s="142">
        <v>0</v>
      </c>
    </row>
    <row r="9466" spans="1:13" x14ac:dyDescent="0.45">
      <c r="A9466" s="142" t="s">
        <v>13042</v>
      </c>
      <c r="B9466" s="142" t="s">
        <v>15489</v>
      </c>
      <c r="C9466" s="142" t="s">
        <v>15847</v>
      </c>
      <c r="D9466" s="142" t="s">
        <v>15848</v>
      </c>
      <c r="E9466" s="142" t="s">
        <v>15849</v>
      </c>
      <c r="F9466" s="142" t="s">
        <v>210</v>
      </c>
      <c r="G9466" s="142" t="s">
        <v>12528</v>
      </c>
      <c r="H9466" s="142" t="s">
        <v>25316</v>
      </c>
      <c r="I9466" s="142">
        <v>673</v>
      </c>
      <c r="J9466" s="142">
        <v>395</v>
      </c>
      <c r="K9466" s="142">
        <v>0</v>
      </c>
      <c r="L9466" s="142">
        <v>257</v>
      </c>
      <c r="M9466" s="142">
        <v>21</v>
      </c>
    </row>
    <row r="9467" spans="1:13" x14ac:dyDescent="0.45">
      <c r="A9467" s="142" t="s">
        <v>14370</v>
      </c>
      <c r="B9467" s="142" t="s">
        <v>15401</v>
      </c>
      <c r="C9467" s="142" t="s">
        <v>15860</v>
      </c>
      <c r="D9467" s="142" t="s">
        <v>15861</v>
      </c>
      <c r="E9467" s="142" t="s">
        <v>15849</v>
      </c>
      <c r="F9467" s="142" t="s">
        <v>210</v>
      </c>
      <c r="G9467" s="142" t="s">
        <v>12528</v>
      </c>
      <c r="H9467" s="142" t="s">
        <v>25317</v>
      </c>
      <c r="I9467" s="142">
        <v>494</v>
      </c>
      <c r="J9467" s="142">
        <v>494</v>
      </c>
      <c r="K9467" s="142">
        <v>0</v>
      </c>
      <c r="L9467" s="142">
        <v>0</v>
      </c>
      <c r="M9467" s="142">
        <v>0</v>
      </c>
    </row>
    <row r="9468" spans="1:13" x14ac:dyDescent="0.45">
      <c r="A9468" s="142" t="s">
        <v>13345</v>
      </c>
      <c r="B9468" s="142" t="s">
        <v>14957</v>
      </c>
      <c r="C9468" s="142" t="s">
        <v>15860</v>
      </c>
      <c r="D9468" s="142" t="s">
        <v>15861</v>
      </c>
      <c r="E9468" s="142" t="s">
        <v>15849</v>
      </c>
      <c r="F9468" s="142" t="s">
        <v>210</v>
      </c>
      <c r="G9468" s="142" t="s">
        <v>12528</v>
      </c>
      <c r="H9468" s="142" t="s">
        <v>25318</v>
      </c>
      <c r="I9468" s="142">
        <v>20</v>
      </c>
      <c r="J9468" s="142">
        <v>20</v>
      </c>
      <c r="K9468" s="142">
        <v>0</v>
      </c>
      <c r="L9468" s="142">
        <v>0</v>
      </c>
      <c r="M9468" s="142">
        <v>0</v>
      </c>
    </row>
    <row r="9469" spans="1:13" x14ac:dyDescent="0.45">
      <c r="A9469" s="142" t="s">
        <v>13392</v>
      </c>
      <c r="B9469" s="142" t="s">
        <v>14443</v>
      </c>
      <c r="C9469" s="142" t="s">
        <v>15860</v>
      </c>
      <c r="D9469" s="142" t="s">
        <v>15861</v>
      </c>
      <c r="E9469" s="142" t="s">
        <v>15849</v>
      </c>
      <c r="F9469" s="142" t="s">
        <v>210</v>
      </c>
      <c r="G9469" s="142" t="s">
        <v>12528</v>
      </c>
      <c r="H9469" s="142" t="s">
        <v>25319</v>
      </c>
      <c r="I9469" s="142">
        <v>441</v>
      </c>
      <c r="J9469" s="142">
        <v>441</v>
      </c>
      <c r="K9469" s="142">
        <v>0</v>
      </c>
      <c r="L9469" s="142">
        <v>0</v>
      </c>
      <c r="M9469" s="142">
        <v>0</v>
      </c>
    </row>
    <row r="9470" spans="1:13" x14ac:dyDescent="0.45">
      <c r="A9470" s="142" t="s">
        <v>13444</v>
      </c>
      <c r="B9470" s="142" t="s">
        <v>15335</v>
      </c>
      <c r="C9470" s="142" t="s">
        <v>15860</v>
      </c>
      <c r="D9470" s="142" t="s">
        <v>15861</v>
      </c>
      <c r="E9470" s="142" t="s">
        <v>15849</v>
      </c>
      <c r="F9470" s="142" t="s">
        <v>210</v>
      </c>
      <c r="G9470" s="142" t="s">
        <v>12528</v>
      </c>
      <c r="H9470" s="142" t="s">
        <v>25320</v>
      </c>
      <c r="I9470" s="142">
        <v>17</v>
      </c>
      <c r="J9470" s="142">
        <v>17</v>
      </c>
      <c r="K9470" s="142">
        <v>0</v>
      </c>
      <c r="L9470" s="142">
        <v>0</v>
      </c>
      <c r="M9470" s="142">
        <v>0</v>
      </c>
    </row>
    <row r="9471" spans="1:13" x14ac:dyDescent="0.45">
      <c r="A9471" s="142" t="s">
        <v>13072</v>
      </c>
      <c r="B9471" s="142" t="s">
        <v>15530</v>
      </c>
      <c r="C9471" s="142" t="s">
        <v>15847</v>
      </c>
      <c r="D9471" s="142" t="s">
        <v>15848</v>
      </c>
      <c r="E9471" s="142" t="s">
        <v>15849</v>
      </c>
      <c r="F9471" s="142" t="s">
        <v>211</v>
      </c>
      <c r="G9471" s="142" t="s">
        <v>2798</v>
      </c>
      <c r="H9471" s="142" t="s">
        <v>25321</v>
      </c>
      <c r="I9471" s="142">
        <v>589</v>
      </c>
      <c r="J9471" s="142">
        <v>491</v>
      </c>
      <c r="K9471" s="142">
        <v>0</v>
      </c>
      <c r="L9471" s="142">
        <v>98</v>
      </c>
      <c r="M9471" s="142">
        <v>0</v>
      </c>
    </row>
    <row r="9472" spans="1:13" x14ac:dyDescent="0.45">
      <c r="A9472" s="142" t="s">
        <v>13023</v>
      </c>
      <c r="B9472" s="142" t="s">
        <v>15571</v>
      </c>
      <c r="C9472" s="142" t="s">
        <v>15847</v>
      </c>
      <c r="D9472" s="142" t="s">
        <v>15848</v>
      </c>
      <c r="E9472" s="142" t="s">
        <v>15849</v>
      </c>
      <c r="F9472" s="142" t="s">
        <v>211</v>
      </c>
      <c r="G9472" s="142" t="s">
        <v>2798</v>
      </c>
      <c r="H9472" s="142" t="s">
        <v>25322</v>
      </c>
      <c r="I9472" s="142">
        <v>216</v>
      </c>
      <c r="J9472" s="142">
        <v>0</v>
      </c>
      <c r="K9472" s="142">
        <v>0</v>
      </c>
      <c r="L9472" s="142">
        <v>216</v>
      </c>
      <c r="M9472" s="142">
        <v>0</v>
      </c>
    </row>
    <row r="9473" spans="1:13" x14ac:dyDescent="0.45">
      <c r="A9473" s="142" t="s">
        <v>13595</v>
      </c>
      <c r="B9473" s="142" t="s">
        <v>15566</v>
      </c>
      <c r="C9473" s="142" t="s">
        <v>15847</v>
      </c>
      <c r="D9473" s="142" t="s">
        <v>15848</v>
      </c>
      <c r="E9473" s="142" t="s">
        <v>15849</v>
      </c>
      <c r="F9473" s="142" t="s">
        <v>211</v>
      </c>
      <c r="G9473" s="142" t="s">
        <v>2798</v>
      </c>
      <c r="H9473" s="142" t="s">
        <v>25323</v>
      </c>
      <c r="I9473" s="142">
        <v>34</v>
      </c>
      <c r="J9473" s="142">
        <v>17</v>
      </c>
      <c r="K9473" s="142">
        <v>0</v>
      </c>
      <c r="L9473" s="142">
        <v>0</v>
      </c>
      <c r="M9473" s="142">
        <v>17</v>
      </c>
    </row>
    <row r="9474" spans="1:13" x14ac:dyDescent="0.45">
      <c r="A9474" s="142" t="s">
        <v>13273</v>
      </c>
      <c r="B9474" s="142" t="s">
        <v>14465</v>
      </c>
      <c r="C9474" s="142" t="s">
        <v>15860</v>
      </c>
      <c r="D9474" s="142" t="s">
        <v>15861</v>
      </c>
      <c r="E9474" s="142" t="s">
        <v>15849</v>
      </c>
      <c r="F9474" s="142" t="s">
        <v>211</v>
      </c>
      <c r="G9474" s="142" t="s">
        <v>2798</v>
      </c>
      <c r="H9474" s="142" t="s">
        <v>25324</v>
      </c>
      <c r="I9474" s="142">
        <v>9</v>
      </c>
      <c r="J9474" s="142">
        <v>0</v>
      </c>
      <c r="K9474" s="142">
        <v>0</v>
      </c>
      <c r="L9474" s="142">
        <v>9</v>
      </c>
      <c r="M9474" s="142">
        <v>0</v>
      </c>
    </row>
    <row r="9475" spans="1:13" x14ac:dyDescent="0.45">
      <c r="A9475" s="142" t="s">
        <v>13549</v>
      </c>
      <c r="B9475" s="142" t="s">
        <v>14603</v>
      </c>
      <c r="C9475" s="142" t="s">
        <v>15847</v>
      </c>
      <c r="D9475" s="142" t="s">
        <v>15848</v>
      </c>
      <c r="E9475" s="142" t="s">
        <v>15849</v>
      </c>
      <c r="F9475" s="142" t="s">
        <v>211</v>
      </c>
      <c r="G9475" s="142" t="s">
        <v>2798</v>
      </c>
      <c r="H9475" s="142" t="s">
        <v>25325</v>
      </c>
      <c r="I9475" s="142">
        <v>884</v>
      </c>
      <c r="J9475" s="142">
        <v>797</v>
      </c>
      <c r="K9475" s="142">
        <v>0</v>
      </c>
      <c r="L9475" s="142">
        <v>0</v>
      </c>
      <c r="M9475" s="142">
        <v>87</v>
      </c>
    </row>
    <row r="9476" spans="1:13" x14ac:dyDescent="0.45">
      <c r="A9476" s="142" t="s">
        <v>13238</v>
      </c>
      <c r="B9476" s="142" t="s">
        <v>14477</v>
      </c>
      <c r="C9476" s="142" t="s">
        <v>15860</v>
      </c>
      <c r="D9476" s="142" t="s">
        <v>15861</v>
      </c>
      <c r="E9476" s="142" t="s">
        <v>15849</v>
      </c>
      <c r="F9476" s="142" t="s">
        <v>211</v>
      </c>
      <c r="G9476" s="142" t="s">
        <v>2798</v>
      </c>
      <c r="H9476" s="142" t="s">
        <v>25326</v>
      </c>
      <c r="I9476" s="142">
        <v>6</v>
      </c>
      <c r="J9476" s="142">
        <v>0</v>
      </c>
      <c r="K9476" s="142">
        <v>0</v>
      </c>
      <c r="L9476" s="142">
        <v>6</v>
      </c>
      <c r="M9476" s="142">
        <v>0</v>
      </c>
    </row>
    <row r="9477" spans="1:13" x14ac:dyDescent="0.45">
      <c r="A9477" s="142" t="s">
        <v>14372</v>
      </c>
      <c r="B9477" s="142" t="s">
        <v>14632</v>
      </c>
      <c r="C9477" s="142" t="s">
        <v>15860</v>
      </c>
      <c r="D9477" s="142" t="s">
        <v>15861</v>
      </c>
      <c r="E9477" s="142" t="s">
        <v>15849</v>
      </c>
      <c r="F9477" s="142" t="s">
        <v>211</v>
      </c>
      <c r="G9477" s="142" t="s">
        <v>2798</v>
      </c>
      <c r="H9477" s="142" t="s">
        <v>25327</v>
      </c>
      <c r="I9477" s="142">
        <v>2</v>
      </c>
      <c r="J9477" s="142">
        <v>2</v>
      </c>
      <c r="K9477" s="142">
        <v>0</v>
      </c>
      <c r="L9477" s="142">
        <v>0</v>
      </c>
      <c r="M9477" s="142">
        <v>0</v>
      </c>
    </row>
    <row r="9478" spans="1:13" x14ac:dyDescent="0.45">
      <c r="A9478" s="142" t="s">
        <v>13119</v>
      </c>
      <c r="B9478" s="142" t="s">
        <v>14451</v>
      </c>
      <c r="C9478" s="142" t="s">
        <v>15860</v>
      </c>
      <c r="D9478" s="142" t="s">
        <v>15861</v>
      </c>
      <c r="E9478" s="142" t="s">
        <v>15849</v>
      </c>
      <c r="F9478" s="142" t="s">
        <v>211</v>
      </c>
      <c r="G9478" s="142" t="s">
        <v>2798</v>
      </c>
      <c r="H9478" s="142" t="s">
        <v>25328</v>
      </c>
      <c r="I9478" s="142">
        <v>13</v>
      </c>
      <c r="J9478" s="142">
        <v>0</v>
      </c>
      <c r="K9478" s="142">
        <v>0</v>
      </c>
      <c r="L9478" s="142">
        <v>13</v>
      </c>
      <c r="M9478" s="142">
        <v>0</v>
      </c>
    </row>
    <row r="9479" spans="1:13" x14ac:dyDescent="0.45">
      <c r="A9479" s="142" t="s">
        <v>13581</v>
      </c>
      <c r="B9479" s="142" t="s">
        <v>15413</v>
      </c>
      <c r="C9479" s="142" t="s">
        <v>15847</v>
      </c>
      <c r="D9479" s="142" t="s">
        <v>15848</v>
      </c>
      <c r="E9479" s="142" t="s">
        <v>15849</v>
      </c>
      <c r="F9479" s="142" t="s">
        <v>211</v>
      </c>
      <c r="G9479" s="142" t="s">
        <v>2798</v>
      </c>
      <c r="H9479" s="142" t="s">
        <v>25329</v>
      </c>
      <c r="I9479" s="142">
        <v>1711</v>
      </c>
      <c r="J9479" s="142">
        <v>1526</v>
      </c>
      <c r="K9479" s="142">
        <v>0</v>
      </c>
      <c r="L9479" s="142">
        <v>119</v>
      </c>
      <c r="M9479" s="142">
        <v>66</v>
      </c>
    </row>
    <row r="9480" spans="1:13" x14ac:dyDescent="0.45">
      <c r="A9480" s="142" t="s">
        <v>13085</v>
      </c>
      <c r="B9480" s="142" t="s">
        <v>14460</v>
      </c>
      <c r="C9480" s="142" t="s">
        <v>15860</v>
      </c>
      <c r="D9480" s="142" t="s">
        <v>15861</v>
      </c>
      <c r="E9480" s="142" t="s">
        <v>15849</v>
      </c>
      <c r="F9480" s="142" t="s">
        <v>211</v>
      </c>
      <c r="G9480" s="142" t="s">
        <v>2798</v>
      </c>
      <c r="H9480" s="142" t="s">
        <v>25330</v>
      </c>
      <c r="I9480" s="142">
        <v>3</v>
      </c>
      <c r="J9480" s="142">
        <v>0</v>
      </c>
      <c r="K9480" s="142">
        <v>0</v>
      </c>
      <c r="L9480" s="142">
        <v>3</v>
      </c>
      <c r="M9480" s="142">
        <v>0</v>
      </c>
    </row>
    <row r="9481" spans="1:13" x14ac:dyDescent="0.45">
      <c r="A9481" s="142" t="s">
        <v>13099</v>
      </c>
      <c r="B9481" s="142" t="s">
        <v>14547</v>
      </c>
      <c r="C9481" s="142" t="s">
        <v>15860</v>
      </c>
      <c r="D9481" s="142" t="s">
        <v>15861</v>
      </c>
      <c r="E9481" s="142" t="s">
        <v>15849</v>
      </c>
      <c r="F9481" s="142" t="s">
        <v>211</v>
      </c>
      <c r="G9481" s="142" t="s">
        <v>2798</v>
      </c>
      <c r="H9481" s="142" t="s">
        <v>25331</v>
      </c>
      <c r="I9481" s="142">
        <v>19</v>
      </c>
      <c r="J9481" s="142">
        <v>0</v>
      </c>
      <c r="K9481" s="142">
        <v>0</v>
      </c>
      <c r="L9481" s="142">
        <v>19</v>
      </c>
      <c r="M9481" s="142">
        <v>0</v>
      </c>
    </row>
    <row r="9482" spans="1:13" x14ac:dyDescent="0.45">
      <c r="A9482" s="142" t="s">
        <v>13027</v>
      </c>
      <c r="B9482" s="142" t="s">
        <v>14562</v>
      </c>
      <c r="C9482" s="142" t="s">
        <v>15847</v>
      </c>
      <c r="D9482" s="142" t="s">
        <v>15848</v>
      </c>
      <c r="E9482" s="142" t="s">
        <v>15849</v>
      </c>
      <c r="F9482" s="142" t="s">
        <v>211</v>
      </c>
      <c r="G9482" s="142" t="s">
        <v>2798</v>
      </c>
      <c r="H9482" s="142" t="s">
        <v>25332</v>
      </c>
      <c r="I9482" s="142">
        <v>4</v>
      </c>
      <c r="J9482" s="142">
        <v>0</v>
      </c>
      <c r="K9482" s="142">
        <v>0</v>
      </c>
      <c r="L9482" s="142">
        <v>4</v>
      </c>
      <c r="M9482" s="142">
        <v>0</v>
      </c>
    </row>
    <row r="9483" spans="1:13" x14ac:dyDescent="0.45">
      <c r="A9483" s="142" t="s">
        <v>13281</v>
      </c>
      <c r="B9483" s="142" t="s">
        <v>14694</v>
      </c>
      <c r="C9483" s="142" t="s">
        <v>15860</v>
      </c>
      <c r="D9483" s="142" t="s">
        <v>15861</v>
      </c>
      <c r="E9483" s="142" t="s">
        <v>15849</v>
      </c>
      <c r="F9483" s="142" t="s">
        <v>211</v>
      </c>
      <c r="G9483" s="142" t="s">
        <v>2798</v>
      </c>
      <c r="H9483" s="142" t="s">
        <v>25333</v>
      </c>
      <c r="I9483" s="142">
        <v>7</v>
      </c>
      <c r="J9483" s="142">
        <v>7</v>
      </c>
      <c r="K9483" s="142">
        <v>0</v>
      </c>
      <c r="L9483" s="142">
        <v>0</v>
      </c>
      <c r="M9483" s="142">
        <v>0</v>
      </c>
    </row>
    <row r="9484" spans="1:13" x14ac:dyDescent="0.45">
      <c r="A9484" s="142" t="s">
        <v>13028</v>
      </c>
      <c r="B9484" s="142" t="s">
        <v>14462</v>
      </c>
      <c r="C9484" s="142" t="s">
        <v>15847</v>
      </c>
      <c r="D9484" s="142" t="s">
        <v>15848</v>
      </c>
      <c r="E9484" s="142" t="s">
        <v>15849</v>
      </c>
      <c r="F9484" s="142" t="s">
        <v>211</v>
      </c>
      <c r="G9484" s="142" t="s">
        <v>2798</v>
      </c>
      <c r="H9484" s="142" t="s">
        <v>25334</v>
      </c>
      <c r="I9484" s="142">
        <v>48</v>
      </c>
      <c r="J9484" s="142">
        <v>0</v>
      </c>
      <c r="K9484" s="142">
        <v>0</v>
      </c>
      <c r="L9484" s="142">
        <v>0</v>
      </c>
      <c r="M9484" s="142">
        <v>48</v>
      </c>
    </row>
    <row r="9485" spans="1:13" x14ac:dyDescent="0.45">
      <c r="A9485" s="142" t="s">
        <v>13160</v>
      </c>
      <c r="B9485" s="142" t="s">
        <v>14525</v>
      </c>
      <c r="C9485" s="142" t="s">
        <v>15847</v>
      </c>
      <c r="D9485" s="142" t="s">
        <v>15848</v>
      </c>
      <c r="E9485" s="142" t="s">
        <v>15849</v>
      </c>
      <c r="F9485" s="142" t="s">
        <v>211</v>
      </c>
      <c r="G9485" s="142" t="s">
        <v>2798</v>
      </c>
      <c r="H9485" s="142" t="s">
        <v>25335</v>
      </c>
      <c r="I9485" s="142">
        <v>22</v>
      </c>
      <c r="J9485" s="142">
        <v>0</v>
      </c>
      <c r="K9485" s="142">
        <v>0</v>
      </c>
      <c r="L9485" s="142">
        <v>22</v>
      </c>
      <c r="M9485" s="142">
        <v>0</v>
      </c>
    </row>
    <row r="9486" spans="1:13" x14ac:dyDescent="0.45">
      <c r="A9486" s="142" t="s">
        <v>13002</v>
      </c>
      <c r="B9486" s="142" t="s">
        <v>15376</v>
      </c>
      <c r="C9486" s="142" t="s">
        <v>15847</v>
      </c>
      <c r="D9486" s="142" t="s">
        <v>15848</v>
      </c>
      <c r="E9486" s="142" t="s">
        <v>15849</v>
      </c>
      <c r="F9486" s="142" t="s">
        <v>211</v>
      </c>
      <c r="G9486" s="142" t="s">
        <v>2798</v>
      </c>
      <c r="H9486" s="142" t="s">
        <v>25336</v>
      </c>
      <c r="I9486" s="142">
        <v>791</v>
      </c>
      <c r="J9486" s="142">
        <v>671</v>
      </c>
      <c r="K9486" s="142">
        <v>0</v>
      </c>
      <c r="L9486" s="142">
        <v>26</v>
      </c>
      <c r="M9486" s="142">
        <v>94</v>
      </c>
    </row>
    <row r="9487" spans="1:13" x14ac:dyDescent="0.45">
      <c r="A9487" s="142" t="s">
        <v>13003</v>
      </c>
      <c r="B9487" s="142" t="s">
        <v>15245</v>
      </c>
      <c r="C9487" s="142" t="s">
        <v>15847</v>
      </c>
      <c r="D9487" s="142" t="s">
        <v>15848</v>
      </c>
      <c r="E9487" s="142" t="s">
        <v>15849</v>
      </c>
      <c r="F9487" s="142" t="s">
        <v>211</v>
      </c>
      <c r="G9487" s="142" t="s">
        <v>2798</v>
      </c>
      <c r="H9487" s="142" t="s">
        <v>25337</v>
      </c>
      <c r="I9487" s="142">
        <v>163</v>
      </c>
      <c r="J9487" s="142">
        <v>0</v>
      </c>
      <c r="K9487" s="142">
        <v>0</v>
      </c>
      <c r="L9487" s="142">
        <v>91</v>
      </c>
      <c r="M9487" s="142">
        <v>72</v>
      </c>
    </row>
    <row r="9488" spans="1:13" x14ac:dyDescent="0.45">
      <c r="A9488" s="142" t="s">
        <v>13066</v>
      </c>
      <c r="B9488" s="142" t="s">
        <v>14459</v>
      </c>
      <c r="C9488" s="142" t="s">
        <v>15847</v>
      </c>
      <c r="D9488" s="142" t="s">
        <v>15848</v>
      </c>
      <c r="E9488" s="142" t="s">
        <v>15849</v>
      </c>
      <c r="F9488" s="142" t="s">
        <v>211</v>
      </c>
      <c r="G9488" s="142" t="s">
        <v>2798</v>
      </c>
      <c r="H9488" s="142" t="s">
        <v>25338</v>
      </c>
      <c r="I9488" s="142">
        <v>49</v>
      </c>
      <c r="J9488" s="142">
        <v>0</v>
      </c>
      <c r="K9488" s="142">
        <v>0</v>
      </c>
      <c r="L9488" s="142">
        <v>49</v>
      </c>
      <c r="M9488" s="142">
        <v>0</v>
      </c>
    </row>
    <row r="9489" spans="1:13" x14ac:dyDescent="0.45">
      <c r="A9489" s="142" t="s">
        <v>14373</v>
      </c>
      <c r="B9489" s="142" t="s">
        <v>14658</v>
      </c>
      <c r="C9489" s="142" t="s">
        <v>15860</v>
      </c>
      <c r="D9489" s="142" t="s">
        <v>15861</v>
      </c>
      <c r="E9489" s="142" t="s">
        <v>15849</v>
      </c>
      <c r="F9489" s="142" t="s">
        <v>211</v>
      </c>
      <c r="G9489" s="142" t="s">
        <v>2798</v>
      </c>
      <c r="H9489" s="142" t="s">
        <v>25339</v>
      </c>
      <c r="I9489" s="142">
        <v>42</v>
      </c>
      <c r="J9489" s="142">
        <v>42</v>
      </c>
      <c r="K9489" s="142">
        <v>0</v>
      </c>
      <c r="L9489" s="142">
        <v>0</v>
      </c>
      <c r="M9489" s="142">
        <v>0</v>
      </c>
    </row>
    <row r="9490" spans="1:13" x14ac:dyDescent="0.45">
      <c r="A9490" s="142" t="s">
        <v>14374</v>
      </c>
      <c r="B9490" s="142" t="s">
        <v>14437</v>
      </c>
      <c r="C9490" s="142" t="s">
        <v>15860</v>
      </c>
      <c r="D9490" s="142" t="s">
        <v>15861</v>
      </c>
      <c r="E9490" s="142" t="s">
        <v>15849</v>
      </c>
      <c r="F9490" s="142" t="s">
        <v>211</v>
      </c>
      <c r="G9490" s="142" t="s">
        <v>2798</v>
      </c>
      <c r="H9490" s="142" t="s">
        <v>25340</v>
      </c>
      <c r="I9490" s="142">
        <v>10</v>
      </c>
      <c r="J9490" s="142">
        <v>10</v>
      </c>
      <c r="K9490" s="142">
        <v>0</v>
      </c>
      <c r="L9490" s="142">
        <v>0</v>
      </c>
      <c r="M9490" s="142">
        <v>0</v>
      </c>
    </row>
    <row r="9491" spans="1:13" x14ac:dyDescent="0.45">
      <c r="A9491" s="142" t="s">
        <v>13585</v>
      </c>
      <c r="B9491" s="142" t="s">
        <v>15529</v>
      </c>
      <c r="C9491" s="142" t="s">
        <v>15860</v>
      </c>
      <c r="D9491" s="142" t="s">
        <v>15861</v>
      </c>
      <c r="E9491" s="142" t="s">
        <v>15849</v>
      </c>
      <c r="F9491" s="142" t="s">
        <v>211</v>
      </c>
      <c r="G9491" s="142" t="s">
        <v>2798</v>
      </c>
      <c r="H9491" s="142" t="s">
        <v>25341</v>
      </c>
      <c r="I9491" s="142">
        <v>73</v>
      </c>
      <c r="J9491" s="142">
        <v>73</v>
      </c>
      <c r="K9491" s="142">
        <v>0</v>
      </c>
      <c r="L9491" s="142">
        <v>0</v>
      </c>
      <c r="M9491" s="142">
        <v>0</v>
      </c>
    </row>
    <row r="9492" spans="1:13" x14ac:dyDescent="0.45">
      <c r="A9492" s="142" t="s">
        <v>13516</v>
      </c>
      <c r="B9492" s="142" t="s">
        <v>14461</v>
      </c>
      <c r="C9492" s="142" t="s">
        <v>15860</v>
      </c>
      <c r="D9492" s="142" t="s">
        <v>15861</v>
      </c>
      <c r="E9492" s="142" t="s">
        <v>15849</v>
      </c>
      <c r="F9492" s="142" t="s">
        <v>211</v>
      </c>
      <c r="G9492" s="142" t="s">
        <v>2798</v>
      </c>
      <c r="H9492" s="142" t="s">
        <v>25342</v>
      </c>
      <c r="I9492" s="142">
        <v>40</v>
      </c>
      <c r="J9492" s="142">
        <v>0</v>
      </c>
      <c r="K9492" s="142">
        <v>0</v>
      </c>
      <c r="L9492" s="142">
        <v>40</v>
      </c>
      <c r="M9492" s="142">
        <v>0</v>
      </c>
    </row>
    <row r="9493" spans="1:13" x14ac:dyDescent="0.45">
      <c r="A9493" s="142" t="s">
        <v>13033</v>
      </c>
      <c r="B9493" s="142" t="s">
        <v>15276</v>
      </c>
      <c r="C9493" s="142" t="s">
        <v>15847</v>
      </c>
      <c r="D9493" s="142" t="s">
        <v>15848</v>
      </c>
      <c r="E9493" s="142" t="s">
        <v>15849</v>
      </c>
      <c r="F9493" s="142" t="s">
        <v>211</v>
      </c>
      <c r="G9493" s="142" t="s">
        <v>2798</v>
      </c>
      <c r="H9493" s="142" t="s">
        <v>25343</v>
      </c>
      <c r="I9493" s="142">
        <v>2</v>
      </c>
      <c r="J9493" s="142">
        <v>0</v>
      </c>
      <c r="K9493" s="142">
        <v>0</v>
      </c>
      <c r="L9493" s="142">
        <v>0</v>
      </c>
      <c r="M9493" s="142">
        <v>2</v>
      </c>
    </row>
    <row r="9494" spans="1:13" x14ac:dyDescent="0.45">
      <c r="A9494" s="142" t="s">
        <v>13036</v>
      </c>
      <c r="B9494" s="142" t="s">
        <v>15567</v>
      </c>
      <c r="C9494" s="142" t="s">
        <v>15847</v>
      </c>
      <c r="D9494" s="142" t="s">
        <v>15848</v>
      </c>
      <c r="E9494" s="142" t="s">
        <v>15849</v>
      </c>
      <c r="F9494" s="142" t="s">
        <v>211</v>
      </c>
      <c r="G9494" s="142" t="s">
        <v>2798</v>
      </c>
      <c r="H9494" s="142" t="s">
        <v>25344</v>
      </c>
      <c r="I9494" s="142">
        <v>51</v>
      </c>
      <c r="J9494" s="142">
        <v>25</v>
      </c>
      <c r="K9494" s="142">
        <v>0</v>
      </c>
      <c r="L9494" s="142">
        <v>3</v>
      </c>
      <c r="M9494" s="142">
        <v>23</v>
      </c>
    </row>
    <row r="9495" spans="1:13" x14ac:dyDescent="0.45">
      <c r="A9495" s="142" t="s">
        <v>13091</v>
      </c>
      <c r="B9495" s="142" t="s">
        <v>14473</v>
      </c>
      <c r="C9495" s="142" t="s">
        <v>15847</v>
      </c>
      <c r="D9495" s="142" t="s">
        <v>15848</v>
      </c>
      <c r="E9495" s="142" t="s">
        <v>15849</v>
      </c>
      <c r="F9495" s="142" t="s">
        <v>211</v>
      </c>
      <c r="G9495" s="142" t="s">
        <v>2798</v>
      </c>
      <c r="H9495" s="142" t="s">
        <v>25345</v>
      </c>
      <c r="I9495" s="142">
        <v>16</v>
      </c>
      <c r="J9495" s="142">
        <v>0</v>
      </c>
      <c r="K9495" s="142">
        <v>0</v>
      </c>
      <c r="L9495" s="142">
        <v>16</v>
      </c>
      <c r="M9495" s="142">
        <v>0</v>
      </c>
    </row>
    <row r="9496" spans="1:13" x14ac:dyDescent="0.45">
      <c r="A9496" s="142" t="s">
        <v>13009</v>
      </c>
      <c r="B9496" s="142" t="s">
        <v>15256</v>
      </c>
      <c r="C9496" s="142" t="s">
        <v>15847</v>
      </c>
      <c r="D9496" s="142" t="s">
        <v>15848</v>
      </c>
      <c r="E9496" s="142" t="s">
        <v>15849</v>
      </c>
      <c r="F9496" s="142" t="s">
        <v>211</v>
      </c>
      <c r="G9496" s="142" t="s">
        <v>2798</v>
      </c>
      <c r="H9496" s="142" t="s">
        <v>25346</v>
      </c>
      <c r="I9496" s="142">
        <v>72</v>
      </c>
      <c r="J9496" s="142">
        <v>0</v>
      </c>
      <c r="K9496" s="142">
        <v>0</v>
      </c>
      <c r="L9496" s="142">
        <v>72</v>
      </c>
      <c r="M9496" s="142">
        <v>0</v>
      </c>
    </row>
    <row r="9497" spans="1:13" x14ac:dyDescent="0.45">
      <c r="A9497" s="142" t="s">
        <v>13873</v>
      </c>
      <c r="B9497" s="142" t="s">
        <v>14474</v>
      </c>
      <c r="C9497" s="142" t="s">
        <v>15847</v>
      </c>
      <c r="D9497" s="142" t="s">
        <v>15848</v>
      </c>
      <c r="E9497" s="142" t="s">
        <v>15849</v>
      </c>
      <c r="F9497" s="142" t="s">
        <v>211</v>
      </c>
      <c r="G9497" s="142" t="s">
        <v>2798</v>
      </c>
      <c r="H9497" s="142" t="s">
        <v>25347</v>
      </c>
      <c r="I9497" s="142">
        <v>3318</v>
      </c>
      <c r="J9497" s="142">
        <v>2803</v>
      </c>
      <c r="K9497" s="142">
        <v>0</v>
      </c>
      <c r="L9497" s="142">
        <v>392</v>
      </c>
      <c r="M9497" s="142">
        <v>123</v>
      </c>
    </row>
    <row r="9498" spans="1:13" x14ac:dyDescent="0.45">
      <c r="A9498" s="142" t="s">
        <v>14375</v>
      </c>
      <c r="B9498" s="142" t="s">
        <v>15147</v>
      </c>
      <c r="C9498" s="142" t="s">
        <v>15860</v>
      </c>
      <c r="D9498" s="142" t="s">
        <v>15861</v>
      </c>
      <c r="E9498" s="142" t="s">
        <v>15849</v>
      </c>
      <c r="F9498" s="142" t="s">
        <v>211</v>
      </c>
      <c r="G9498" s="142" t="s">
        <v>2798</v>
      </c>
      <c r="H9498" s="142" t="s">
        <v>25348</v>
      </c>
      <c r="I9498" s="142">
        <v>12</v>
      </c>
      <c r="J9498" s="142">
        <v>0</v>
      </c>
      <c r="K9498" s="142">
        <v>0</v>
      </c>
      <c r="L9498" s="142">
        <v>12</v>
      </c>
      <c r="M9498" s="142">
        <v>0</v>
      </c>
    </row>
    <row r="9499" spans="1:13" x14ac:dyDescent="0.45">
      <c r="A9499" s="142" t="s">
        <v>13285</v>
      </c>
      <c r="B9499" s="142" t="s">
        <v>15158</v>
      </c>
      <c r="C9499" s="142" t="s">
        <v>15860</v>
      </c>
      <c r="D9499" s="142" t="s">
        <v>15861</v>
      </c>
      <c r="E9499" s="142" t="s">
        <v>15849</v>
      </c>
      <c r="F9499" s="142" t="s">
        <v>211</v>
      </c>
      <c r="G9499" s="142" t="s">
        <v>2798</v>
      </c>
      <c r="H9499" s="142" t="s">
        <v>25349</v>
      </c>
      <c r="I9499" s="142">
        <v>16</v>
      </c>
      <c r="J9499" s="142">
        <v>0</v>
      </c>
      <c r="K9499" s="142">
        <v>0</v>
      </c>
      <c r="L9499" s="142">
        <v>16</v>
      </c>
      <c r="M9499" s="142">
        <v>0</v>
      </c>
    </row>
    <row r="9500" spans="1:13" x14ac:dyDescent="0.45">
      <c r="A9500" s="142" t="s">
        <v>13562</v>
      </c>
      <c r="B9500" s="142" t="s">
        <v>15482</v>
      </c>
      <c r="C9500" s="142" t="s">
        <v>15860</v>
      </c>
      <c r="D9500" s="142" t="s">
        <v>15861</v>
      </c>
      <c r="E9500" s="142" t="s">
        <v>15849</v>
      </c>
      <c r="F9500" s="142" t="s">
        <v>211</v>
      </c>
      <c r="G9500" s="142" t="s">
        <v>2798</v>
      </c>
      <c r="H9500" s="142" t="s">
        <v>25350</v>
      </c>
      <c r="I9500" s="142">
        <v>53</v>
      </c>
      <c r="J9500" s="142">
        <v>0</v>
      </c>
      <c r="K9500" s="142">
        <v>0</v>
      </c>
      <c r="L9500" s="142">
        <v>53</v>
      </c>
      <c r="M9500" s="142">
        <v>0</v>
      </c>
    </row>
    <row r="9501" spans="1:13" x14ac:dyDescent="0.45">
      <c r="A9501" s="142" t="s">
        <v>13042</v>
      </c>
      <c r="B9501" s="142" t="s">
        <v>15489</v>
      </c>
      <c r="C9501" s="142" t="s">
        <v>15847</v>
      </c>
      <c r="D9501" s="142" t="s">
        <v>15848</v>
      </c>
      <c r="E9501" s="142" t="s">
        <v>15849</v>
      </c>
      <c r="F9501" s="142" t="s">
        <v>211</v>
      </c>
      <c r="G9501" s="142" t="s">
        <v>2798</v>
      </c>
      <c r="H9501" s="142" t="s">
        <v>25351</v>
      </c>
      <c r="I9501" s="142">
        <v>931</v>
      </c>
      <c r="J9501" s="142">
        <v>527</v>
      </c>
      <c r="K9501" s="142">
        <v>0</v>
      </c>
      <c r="L9501" s="142">
        <v>209</v>
      </c>
      <c r="M9501" s="142">
        <v>195</v>
      </c>
    </row>
    <row r="9502" spans="1:13" x14ac:dyDescent="0.45">
      <c r="A9502" s="142" t="s">
        <v>13023</v>
      </c>
      <c r="B9502" s="142" t="s">
        <v>15571</v>
      </c>
      <c r="C9502" s="142" t="s">
        <v>15847</v>
      </c>
      <c r="D9502" s="142" t="s">
        <v>15848</v>
      </c>
      <c r="E9502" s="142" t="s">
        <v>15849</v>
      </c>
      <c r="F9502" s="142" t="s">
        <v>212</v>
      </c>
      <c r="G9502" s="142" t="s">
        <v>10059</v>
      </c>
      <c r="H9502" s="142" t="s">
        <v>25352</v>
      </c>
      <c r="I9502" s="142">
        <v>255</v>
      </c>
      <c r="J9502" s="142">
        <v>0</v>
      </c>
      <c r="K9502" s="142">
        <v>0</v>
      </c>
      <c r="L9502" s="142">
        <v>216</v>
      </c>
      <c r="M9502" s="142">
        <v>39</v>
      </c>
    </row>
    <row r="9503" spans="1:13" x14ac:dyDescent="0.45">
      <c r="A9503" s="142" t="s">
        <v>13147</v>
      </c>
      <c r="B9503" s="142" t="s">
        <v>14529</v>
      </c>
      <c r="C9503" s="142" t="s">
        <v>15860</v>
      </c>
      <c r="D9503" s="142" t="s">
        <v>15861</v>
      </c>
      <c r="E9503" s="142" t="s">
        <v>15849</v>
      </c>
      <c r="F9503" s="142" t="s">
        <v>212</v>
      </c>
      <c r="G9503" s="142" t="s">
        <v>10059</v>
      </c>
      <c r="H9503" s="142" t="s">
        <v>25353</v>
      </c>
      <c r="I9503" s="142">
        <v>5</v>
      </c>
      <c r="J9503" s="142">
        <v>5</v>
      </c>
      <c r="K9503" s="142">
        <v>0</v>
      </c>
      <c r="L9503" s="142">
        <v>0</v>
      </c>
      <c r="M9503" s="142">
        <v>0</v>
      </c>
    </row>
    <row r="9504" spans="1:13" x14ac:dyDescent="0.45">
      <c r="A9504" s="142" t="s">
        <v>13065</v>
      </c>
      <c r="B9504" s="142" t="s">
        <v>14497</v>
      </c>
      <c r="C9504" s="142" t="s">
        <v>15847</v>
      </c>
      <c r="D9504" s="142" t="s">
        <v>15848</v>
      </c>
      <c r="E9504" s="142" t="s">
        <v>15849</v>
      </c>
      <c r="F9504" s="142" t="s">
        <v>212</v>
      </c>
      <c r="G9504" s="142" t="s">
        <v>10059</v>
      </c>
      <c r="H9504" s="142" t="s">
        <v>25354</v>
      </c>
      <c r="I9504" s="142">
        <v>87</v>
      </c>
      <c r="J9504" s="142">
        <v>0</v>
      </c>
      <c r="K9504" s="142">
        <v>0</v>
      </c>
      <c r="L9504" s="142">
        <v>87</v>
      </c>
      <c r="M9504" s="142">
        <v>0</v>
      </c>
    </row>
    <row r="9505" spans="1:13" x14ac:dyDescent="0.45">
      <c r="A9505" s="142" t="s">
        <v>13289</v>
      </c>
      <c r="B9505" s="142" t="s">
        <v>14423</v>
      </c>
      <c r="C9505" s="142" t="s">
        <v>15847</v>
      </c>
      <c r="D9505" s="142" t="s">
        <v>15848</v>
      </c>
      <c r="E9505" s="142" t="s">
        <v>15849</v>
      </c>
      <c r="F9505" s="142" t="s">
        <v>212</v>
      </c>
      <c r="G9505" s="142" t="s">
        <v>10059</v>
      </c>
      <c r="H9505" s="142" t="s">
        <v>25355</v>
      </c>
      <c r="I9505" s="142">
        <v>73</v>
      </c>
      <c r="J9505" s="142">
        <v>73</v>
      </c>
      <c r="K9505" s="142">
        <v>0</v>
      </c>
      <c r="L9505" s="142">
        <v>0</v>
      </c>
      <c r="M9505" s="142">
        <v>0</v>
      </c>
    </row>
    <row r="9506" spans="1:13" x14ac:dyDescent="0.45">
      <c r="A9506" s="142" t="s">
        <v>13273</v>
      </c>
      <c r="B9506" s="142" t="s">
        <v>14465</v>
      </c>
      <c r="C9506" s="142" t="s">
        <v>15860</v>
      </c>
      <c r="D9506" s="142" t="s">
        <v>15861</v>
      </c>
      <c r="E9506" s="142" t="s">
        <v>15849</v>
      </c>
      <c r="F9506" s="142" t="s">
        <v>212</v>
      </c>
      <c r="G9506" s="142" t="s">
        <v>10059</v>
      </c>
      <c r="H9506" s="142" t="s">
        <v>25356</v>
      </c>
      <c r="I9506" s="142">
        <v>14</v>
      </c>
      <c r="J9506" s="142">
        <v>0</v>
      </c>
      <c r="K9506" s="142">
        <v>0</v>
      </c>
      <c r="L9506" s="142">
        <v>14</v>
      </c>
      <c r="M9506" s="142">
        <v>0</v>
      </c>
    </row>
    <row r="9507" spans="1:13" x14ac:dyDescent="0.45">
      <c r="A9507" s="142" t="s">
        <v>13085</v>
      </c>
      <c r="B9507" s="142" t="s">
        <v>14460</v>
      </c>
      <c r="C9507" s="142" t="s">
        <v>15860</v>
      </c>
      <c r="D9507" s="142" t="s">
        <v>15861</v>
      </c>
      <c r="E9507" s="142" t="s">
        <v>15849</v>
      </c>
      <c r="F9507" s="142" t="s">
        <v>212</v>
      </c>
      <c r="G9507" s="142" t="s">
        <v>10059</v>
      </c>
      <c r="H9507" s="142" t="s">
        <v>25357</v>
      </c>
      <c r="I9507" s="142">
        <v>3</v>
      </c>
      <c r="J9507" s="142">
        <v>0</v>
      </c>
      <c r="K9507" s="142">
        <v>0</v>
      </c>
      <c r="L9507" s="142">
        <v>3</v>
      </c>
      <c r="M9507" s="142">
        <v>0</v>
      </c>
    </row>
    <row r="9508" spans="1:13" x14ac:dyDescent="0.45">
      <c r="A9508" s="142" t="s">
        <v>13148</v>
      </c>
      <c r="B9508" s="142" t="s">
        <v>15314</v>
      </c>
      <c r="C9508" s="142" t="s">
        <v>15847</v>
      </c>
      <c r="D9508" s="142" t="s">
        <v>15848</v>
      </c>
      <c r="E9508" s="142" t="s">
        <v>15849</v>
      </c>
      <c r="F9508" s="142" t="s">
        <v>212</v>
      </c>
      <c r="G9508" s="142" t="s">
        <v>10059</v>
      </c>
      <c r="H9508" s="142" t="s">
        <v>25358</v>
      </c>
      <c r="I9508" s="142">
        <v>337</v>
      </c>
      <c r="J9508" s="142">
        <v>238</v>
      </c>
      <c r="K9508" s="142">
        <v>0</v>
      </c>
      <c r="L9508" s="142">
        <v>0</v>
      </c>
      <c r="M9508" s="142">
        <v>99</v>
      </c>
    </row>
    <row r="9509" spans="1:13" x14ac:dyDescent="0.45">
      <c r="A9509" s="142" t="s">
        <v>13149</v>
      </c>
      <c r="B9509" s="142" t="s">
        <v>14458</v>
      </c>
      <c r="C9509" s="142" t="s">
        <v>15860</v>
      </c>
      <c r="D9509" s="142" t="s">
        <v>15861</v>
      </c>
      <c r="E9509" s="142" t="s">
        <v>15849</v>
      </c>
      <c r="F9509" s="142" t="s">
        <v>212</v>
      </c>
      <c r="G9509" s="142" t="s">
        <v>10059</v>
      </c>
      <c r="H9509" s="142" t="s">
        <v>25359</v>
      </c>
      <c r="I9509" s="142">
        <v>16</v>
      </c>
      <c r="J9509" s="142">
        <v>0</v>
      </c>
      <c r="K9509" s="142">
        <v>0</v>
      </c>
      <c r="L9509" s="142">
        <v>16</v>
      </c>
      <c r="M9509" s="142">
        <v>0</v>
      </c>
    </row>
    <row r="9510" spans="1:13" x14ac:dyDescent="0.45">
      <c r="A9510" s="142" t="s">
        <v>13028</v>
      </c>
      <c r="B9510" s="142" t="s">
        <v>14462</v>
      </c>
      <c r="C9510" s="142" t="s">
        <v>15847</v>
      </c>
      <c r="D9510" s="142" t="s">
        <v>15848</v>
      </c>
      <c r="E9510" s="142" t="s">
        <v>15849</v>
      </c>
      <c r="F9510" s="142" t="s">
        <v>212</v>
      </c>
      <c r="G9510" s="142" t="s">
        <v>10059</v>
      </c>
      <c r="H9510" s="142" t="s">
        <v>25360</v>
      </c>
      <c r="I9510" s="142">
        <v>132</v>
      </c>
      <c r="J9510" s="142">
        <v>0</v>
      </c>
      <c r="K9510" s="142">
        <v>0</v>
      </c>
      <c r="L9510" s="142">
        <v>0</v>
      </c>
      <c r="M9510" s="142">
        <v>132</v>
      </c>
    </row>
    <row r="9511" spans="1:13" x14ac:dyDescent="0.45">
      <c r="A9511" s="142" t="s">
        <v>13160</v>
      </c>
      <c r="B9511" s="142" t="s">
        <v>14525</v>
      </c>
      <c r="C9511" s="142" t="s">
        <v>15847</v>
      </c>
      <c r="D9511" s="142" t="s">
        <v>15848</v>
      </c>
      <c r="E9511" s="142" t="s">
        <v>15849</v>
      </c>
      <c r="F9511" s="142" t="s">
        <v>212</v>
      </c>
      <c r="G9511" s="142" t="s">
        <v>10059</v>
      </c>
      <c r="H9511" s="142" t="s">
        <v>25361</v>
      </c>
      <c r="I9511" s="142">
        <v>102</v>
      </c>
      <c r="J9511" s="142">
        <v>0</v>
      </c>
      <c r="K9511" s="142">
        <v>0</v>
      </c>
      <c r="L9511" s="142">
        <v>102</v>
      </c>
      <c r="M9511" s="142">
        <v>0</v>
      </c>
    </row>
    <row r="9512" spans="1:13" x14ac:dyDescent="0.45">
      <c r="A9512" s="142" t="s">
        <v>13003</v>
      </c>
      <c r="B9512" s="142" t="s">
        <v>15245</v>
      </c>
      <c r="C9512" s="142" t="s">
        <v>15847</v>
      </c>
      <c r="D9512" s="142" t="s">
        <v>15848</v>
      </c>
      <c r="E9512" s="142" t="s">
        <v>15849</v>
      </c>
      <c r="F9512" s="142" t="s">
        <v>212</v>
      </c>
      <c r="G9512" s="142" t="s">
        <v>10059</v>
      </c>
      <c r="H9512" s="142" t="s">
        <v>25362</v>
      </c>
      <c r="I9512" s="142">
        <v>263</v>
      </c>
      <c r="J9512" s="142">
        <v>0</v>
      </c>
      <c r="K9512" s="142">
        <v>0</v>
      </c>
      <c r="L9512" s="142">
        <v>263</v>
      </c>
      <c r="M9512" s="142">
        <v>0</v>
      </c>
    </row>
    <row r="9513" spans="1:13" x14ac:dyDescent="0.45">
      <c r="A9513" s="142" t="s">
        <v>13066</v>
      </c>
      <c r="B9513" s="142" t="s">
        <v>14459</v>
      </c>
      <c r="C9513" s="142" t="s">
        <v>15847</v>
      </c>
      <c r="D9513" s="142" t="s">
        <v>15848</v>
      </c>
      <c r="E9513" s="142" t="s">
        <v>15849</v>
      </c>
      <c r="F9513" s="142" t="s">
        <v>212</v>
      </c>
      <c r="G9513" s="142" t="s">
        <v>10059</v>
      </c>
      <c r="H9513" s="142" t="s">
        <v>25363</v>
      </c>
      <c r="I9513" s="142">
        <v>26</v>
      </c>
      <c r="J9513" s="142">
        <v>0</v>
      </c>
      <c r="K9513" s="142">
        <v>0</v>
      </c>
      <c r="L9513" s="142">
        <v>26</v>
      </c>
      <c r="M9513" s="142">
        <v>0</v>
      </c>
    </row>
    <row r="9514" spans="1:13" x14ac:dyDescent="0.45">
      <c r="A9514" s="142" t="s">
        <v>13291</v>
      </c>
      <c r="B9514" s="142" t="s">
        <v>15495</v>
      </c>
      <c r="C9514" s="142" t="s">
        <v>15847</v>
      </c>
      <c r="D9514" s="142" t="s">
        <v>15848</v>
      </c>
      <c r="E9514" s="142" t="s">
        <v>15849</v>
      </c>
      <c r="F9514" s="142" t="s">
        <v>212</v>
      </c>
      <c r="G9514" s="142" t="s">
        <v>10059</v>
      </c>
      <c r="H9514" s="142" t="s">
        <v>25364</v>
      </c>
      <c r="I9514" s="142">
        <v>1748</v>
      </c>
      <c r="J9514" s="142">
        <v>1250</v>
      </c>
      <c r="K9514" s="142">
        <v>0</v>
      </c>
      <c r="L9514" s="142">
        <v>360</v>
      </c>
      <c r="M9514" s="142">
        <v>138</v>
      </c>
    </row>
    <row r="9515" spans="1:13" x14ac:dyDescent="0.45">
      <c r="A9515" s="142" t="s">
        <v>13178</v>
      </c>
      <c r="B9515" s="142" t="s">
        <v>14683</v>
      </c>
      <c r="C9515" s="142" t="s">
        <v>15847</v>
      </c>
      <c r="D9515" s="142" t="s">
        <v>15848</v>
      </c>
      <c r="E9515" s="142" t="s">
        <v>15849</v>
      </c>
      <c r="F9515" s="142" t="s">
        <v>212</v>
      </c>
      <c r="G9515" s="142" t="s">
        <v>10059</v>
      </c>
      <c r="H9515" s="142" t="s">
        <v>25365</v>
      </c>
      <c r="I9515" s="142">
        <v>10</v>
      </c>
      <c r="J9515" s="142">
        <v>10</v>
      </c>
      <c r="K9515" s="142">
        <v>0</v>
      </c>
      <c r="L9515" s="142">
        <v>0</v>
      </c>
      <c r="M9515" s="142">
        <v>0</v>
      </c>
    </row>
    <row r="9516" spans="1:13" x14ac:dyDescent="0.45">
      <c r="A9516" s="142" t="s">
        <v>13076</v>
      </c>
      <c r="B9516" s="142" t="s">
        <v>14636</v>
      </c>
      <c r="C9516" s="142" t="s">
        <v>15847</v>
      </c>
      <c r="D9516" s="142" t="s">
        <v>15848</v>
      </c>
      <c r="E9516" s="142" t="s">
        <v>15849</v>
      </c>
      <c r="F9516" s="142" t="s">
        <v>212</v>
      </c>
      <c r="G9516" s="142" t="s">
        <v>10059</v>
      </c>
      <c r="H9516" s="142" t="s">
        <v>25366</v>
      </c>
      <c r="I9516" s="142">
        <v>82</v>
      </c>
      <c r="J9516" s="142">
        <v>15</v>
      </c>
      <c r="K9516" s="142">
        <v>0</v>
      </c>
      <c r="L9516" s="142">
        <v>0</v>
      </c>
      <c r="M9516" s="142">
        <v>67</v>
      </c>
    </row>
    <row r="9517" spans="1:13" x14ac:dyDescent="0.45">
      <c r="A9517" s="142" t="s">
        <v>13274</v>
      </c>
      <c r="B9517" s="142" t="s">
        <v>14608</v>
      </c>
      <c r="C9517" s="142" t="s">
        <v>15860</v>
      </c>
      <c r="D9517" s="142" t="s">
        <v>15861</v>
      </c>
      <c r="E9517" s="142" t="s">
        <v>15849</v>
      </c>
      <c r="F9517" s="142" t="s">
        <v>212</v>
      </c>
      <c r="G9517" s="142" t="s">
        <v>10059</v>
      </c>
      <c r="H9517" s="142" t="s">
        <v>25367</v>
      </c>
      <c r="I9517" s="142">
        <v>4</v>
      </c>
      <c r="J9517" s="142">
        <v>0</v>
      </c>
      <c r="K9517" s="142">
        <v>0</v>
      </c>
      <c r="L9517" s="142">
        <v>4</v>
      </c>
      <c r="M9517" s="142">
        <v>0</v>
      </c>
    </row>
    <row r="9518" spans="1:13" x14ac:dyDescent="0.45">
      <c r="A9518" s="142" t="s">
        <v>13292</v>
      </c>
      <c r="B9518" s="142" t="s">
        <v>14543</v>
      </c>
      <c r="C9518" s="142" t="s">
        <v>15860</v>
      </c>
      <c r="D9518" s="142" t="s">
        <v>15861</v>
      </c>
      <c r="E9518" s="142" t="s">
        <v>15849</v>
      </c>
      <c r="F9518" s="142" t="s">
        <v>212</v>
      </c>
      <c r="G9518" s="142" t="s">
        <v>10059</v>
      </c>
      <c r="H9518" s="142" t="s">
        <v>25368</v>
      </c>
      <c r="I9518" s="142">
        <v>13</v>
      </c>
      <c r="J9518" s="142">
        <v>0</v>
      </c>
      <c r="K9518" s="142">
        <v>0</v>
      </c>
      <c r="L9518" s="142">
        <v>13</v>
      </c>
      <c r="M9518" s="142">
        <v>0</v>
      </c>
    </row>
    <row r="9519" spans="1:13" x14ac:dyDescent="0.45">
      <c r="A9519" s="142" t="s">
        <v>13516</v>
      </c>
      <c r="B9519" s="142" t="s">
        <v>14461</v>
      </c>
      <c r="C9519" s="142" t="s">
        <v>15860</v>
      </c>
      <c r="D9519" s="142" t="s">
        <v>15861</v>
      </c>
      <c r="E9519" s="142" t="s">
        <v>15849</v>
      </c>
      <c r="F9519" s="142" t="s">
        <v>212</v>
      </c>
      <c r="G9519" s="142" t="s">
        <v>10059</v>
      </c>
      <c r="H9519" s="142" t="s">
        <v>25369</v>
      </c>
      <c r="I9519" s="142">
        <v>27</v>
      </c>
      <c r="J9519" s="142">
        <v>0</v>
      </c>
      <c r="K9519" s="142">
        <v>0</v>
      </c>
      <c r="L9519" s="142">
        <v>27</v>
      </c>
      <c r="M9519" s="142">
        <v>0</v>
      </c>
    </row>
    <row r="9520" spans="1:13" x14ac:dyDescent="0.45">
      <c r="A9520" s="142" t="s">
        <v>13486</v>
      </c>
      <c r="B9520" s="142" t="s">
        <v>14563</v>
      </c>
      <c r="C9520" s="142" t="s">
        <v>15847</v>
      </c>
      <c r="D9520" s="142" t="s">
        <v>15848</v>
      </c>
      <c r="E9520" s="142" t="s">
        <v>15849</v>
      </c>
      <c r="F9520" s="142" t="s">
        <v>212</v>
      </c>
      <c r="G9520" s="142" t="s">
        <v>10059</v>
      </c>
      <c r="H9520" s="142" t="s">
        <v>25370</v>
      </c>
      <c r="I9520" s="142">
        <v>18</v>
      </c>
      <c r="J9520" s="142">
        <v>14</v>
      </c>
      <c r="K9520" s="142">
        <v>0</v>
      </c>
      <c r="L9520" s="142">
        <v>0</v>
      </c>
      <c r="M9520" s="142">
        <v>4</v>
      </c>
    </row>
    <row r="9521" spans="1:13" x14ac:dyDescent="0.45">
      <c r="A9521" s="142" t="s">
        <v>13032</v>
      </c>
      <c r="B9521" s="142" t="s">
        <v>14532</v>
      </c>
      <c r="C9521" s="142" t="s">
        <v>15860</v>
      </c>
      <c r="D9521" s="142" t="s">
        <v>15861</v>
      </c>
      <c r="E9521" s="142" t="s">
        <v>15849</v>
      </c>
      <c r="F9521" s="142" t="s">
        <v>212</v>
      </c>
      <c r="G9521" s="142" t="s">
        <v>10059</v>
      </c>
      <c r="H9521" s="142" t="s">
        <v>25371</v>
      </c>
      <c r="I9521" s="142">
        <v>64</v>
      </c>
      <c r="J9521" s="142">
        <v>10</v>
      </c>
      <c r="K9521" s="142">
        <v>0</v>
      </c>
      <c r="L9521" s="142">
        <v>54</v>
      </c>
      <c r="M9521" s="142">
        <v>0</v>
      </c>
    </row>
    <row r="9522" spans="1:13" x14ac:dyDescent="0.45">
      <c r="A9522" s="142" t="s">
        <v>13033</v>
      </c>
      <c r="B9522" s="142" t="s">
        <v>15276</v>
      </c>
      <c r="C9522" s="142" t="s">
        <v>15847</v>
      </c>
      <c r="D9522" s="142" t="s">
        <v>15848</v>
      </c>
      <c r="E9522" s="142" t="s">
        <v>15849</v>
      </c>
      <c r="F9522" s="142" t="s">
        <v>212</v>
      </c>
      <c r="G9522" s="142" t="s">
        <v>10059</v>
      </c>
      <c r="H9522" s="142" t="s">
        <v>25372</v>
      </c>
      <c r="I9522" s="142">
        <v>56</v>
      </c>
      <c r="J9522" s="142">
        <v>46</v>
      </c>
      <c r="K9522" s="142">
        <v>0</v>
      </c>
      <c r="L9522" s="142">
        <v>10</v>
      </c>
      <c r="M9522" s="142">
        <v>0</v>
      </c>
    </row>
    <row r="9523" spans="1:13" x14ac:dyDescent="0.45">
      <c r="A9523" s="142" t="s">
        <v>13034</v>
      </c>
      <c r="B9523" s="142" t="s">
        <v>15562</v>
      </c>
      <c r="C9523" s="142" t="s">
        <v>15847</v>
      </c>
      <c r="D9523" s="142" t="s">
        <v>15848</v>
      </c>
      <c r="E9523" s="142" t="s">
        <v>15849</v>
      </c>
      <c r="F9523" s="142" t="s">
        <v>212</v>
      </c>
      <c r="G9523" s="142" t="s">
        <v>10059</v>
      </c>
      <c r="H9523" s="142" t="s">
        <v>25373</v>
      </c>
      <c r="I9523" s="142">
        <v>4</v>
      </c>
      <c r="J9523" s="142">
        <v>0</v>
      </c>
      <c r="K9523" s="142">
        <v>0</v>
      </c>
      <c r="L9523" s="142">
        <v>4</v>
      </c>
      <c r="M9523" s="142">
        <v>0</v>
      </c>
    </row>
    <row r="9524" spans="1:13" x14ac:dyDescent="0.45">
      <c r="A9524" s="142" t="s">
        <v>13171</v>
      </c>
      <c r="B9524" s="142" t="s">
        <v>14523</v>
      </c>
      <c r="C9524" s="142" t="s">
        <v>15860</v>
      </c>
      <c r="D9524" s="142" t="s">
        <v>15861</v>
      </c>
      <c r="E9524" s="142" t="s">
        <v>15849</v>
      </c>
      <c r="F9524" s="142" t="s">
        <v>212</v>
      </c>
      <c r="G9524" s="142" t="s">
        <v>10059</v>
      </c>
      <c r="H9524" s="142" t="s">
        <v>25374</v>
      </c>
      <c r="I9524" s="142">
        <v>8</v>
      </c>
      <c r="J9524" s="142">
        <v>8</v>
      </c>
      <c r="K9524" s="142">
        <v>0</v>
      </c>
      <c r="L9524" s="142">
        <v>0</v>
      </c>
      <c r="M9524" s="142">
        <v>0</v>
      </c>
    </row>
    <row r="9525" spans="1:13" x14ac:dyDescent="0.45">
      <c r="A9525" s="142" t="s">
        <v>13487</v>
      </c>
      <c r="B9525" s="142" t="s">
        <v>15490</v>
      </c>
      <c r="C9525" s="142" t="s">
        <v>15847</v>
      </c>
      <c r="D9525" s="142" t="s">
        <v>15848</v>
      </c>
      <c r="E9525" s="142" t="s">
        <v>15849</v>
      </c>
      <c r="F9525" s="142" t="s">
        <v>212</v>
      </c>
      <c r="G9525" s="142" t="s">
        <v>10059</v>
      </c>
      <c r="H9525" s="142" t="s">
        <v>25375</v>
      </c>
      <c r="I9525" s="142">
        <v>1</v>
      </c>
      <c r="J9525" s="142">
        <v>1</v>
      </c>
      <c r="K9525" s="142">
        <v>0</v>
      </c>
      <c r="L9525" s="142">
        <v>0</v>
      </c>
      <c r="M9525" s="142">
        <v>0</v>
      </c>
    </row>
    <row r="9526" spans="1:13" x14ac:dyDescent="0.45">
      <c r="A9526" s="142" t="s">
        <v>13838</v>
      </c>
      <c r="B9526" s="142" t="s">
        <v>15305</v>
      </c>
      <c r="C9526" s="142" t="s">
        <v>15847</v>
      </c>
      <c r="D9526" s="142" t="s">
        <v>15848</v>
      </c>
      <c r="E9526" s="142" t="s">
        <v>15849</v>
      </c>
      <c r="F9526" s="142" t="s">
        <v>212</v>
      </c>
      <c r="G9526" s="142" t="s">
        <v>10059</v>
      </c>
      <c r="H9526" s="142" t="s">
        <v>25376</v>
      </c>
      <c r="I9526" s="142">
        <v>26</v>
      </c>
      <c r="J9526" s="142">
        <v>0</v>
      </c>
      <c r="K9526" s="142">
        <v>0</v>
      </c>
      <c r="L9526" s="142">
        <v>0</v>
      </c>
      <c r="M9526" s="142">
        <v>26</v>
      </c>
    </row>
    <row r="9527" spans="1:13" x14ac:dyDescent="0.45">
      <c r="A9527" s="142" t="s">
        <v>13036</v>
      </c>
      <c r="B9527" s="142" t="s">
        <v>15567</v>
      </c>
      <c r="C9527" s="142" t="s">
        <v>15847</v>
      </c>
      <c r="D9527" s="142" t="s">
        <v>15848</v>
      </c>
      <c r="E9527" s="142" t="s">
        <v>15849</v>
      </c>
      <c r="F9527" s="142" t="s">
        <v>212</v>
      </c>
      <c r="G9527" s="142" t="s">
        <v>10059</v>
      </c>
      <c r="H9527" s="142" t="s">
        <v>25377</v>
      </c>
      <c r="I9527" s="142">
        <v>62</v>
      </c>
      <c r="J9527" s="142">
        <v>0</v>
      </c>
      <c r="K9527" s="142">
        <v>0</v>
      </c>
      <c r="L9527" s="142">
        <v>62</v>
      </c>
      <c r="M9527" s="142">
        <v>0</v>
      </c>
    </row>
    <row r="9528" spans="1:13" x14ac:dyDescent="0.45">
      <c r="A9528" s="142" t="s">
        <v>13009</v>
      </c>
      <c r="B9528" s="142" t="s">
        <v>15256</v>
      </c>
      <c r="C9528" s="142" t="s">
        <v>15847</v>
      </c>
      <c r="D9528" s="142" t="s">
        <v>15848</v>
      </c>
      <c r="E9528" s="142" t="s">
        <v>15849</v>
      </c>
      <c r="F9528" s="142" t="s">
        <v>212</v>
      </c>
      <c r="G9528" s="142" t="s">
        <v>10059</v>
      </c>
      <c r="H9528" s="142" t="s">
        <v>25378</v>
      </c>
      <c r="I9528" s="142">
        <v>7</v>
      </c>
      <c r="J9528" s="142">
        <v>6</v>
      </c>
      <c r="K9528" s="142">
        <v>0</v>
      </c>
      <c r="L9528" s="142">
        <v>0</v>
      </c>
      <c r="M9528" s="142">
        <v>1</v>
      </c>
    </row>
    <row r="9529" spans="1:13" x14ac:dyDescent="0.45">
      <c r="A9529" s="142" t="s">
        <v>13467</v>
      </c>
      <c r="B9529" s="142" t="s">
        <v>14585</v>
      </c>
      <c r="C9529" s="142" t="s">
        <v>15860</v>
      </c>
      <c r="D9529" s="142" t="s">
        <v>15861</v>
      </c>
      <c r="E9529" s="142" t="s">
        <v>15849</v>
      </c>
      <c r="F9529" s="142" t="s">
        <v>212</v>
      </c>
      <c r="G9529" s="142" t="s">
        <v>10059</v>
      </c>
      <c r="H9529" s="142" t="s">
        <v>25379</v>
      </c>
      <c r="I9529" s="142">
        <v>4</v>
      </c>
      <c r="J9529" s="142">
        <v>0</v>
      </c>
      <c r="K9529" s="142">
        <v>0</v>
      </c>
      <c r="L9529" s="142">
        <v>4</v>
      </c>
      <c r="M9529" s="142">
        <v>0</v>
      </c>
    </row>
    <row r="9530" spans="1:13" x14ac:dyDescent="0.45">
      <c r="A9530" s="142" t="s">
        <v>13014</v>
      </c>
      <c r="B9530" s="142" t="s">
        <v>14505</v>
      </c>
      <c r="C9530" s="142" t="s">
        <v>15847</v>
      </c>
      <c r="D9530" s="142" t="s">
        <v>15848</v>
      </c>
      <c r="E9530" s="142" t="s">
        <v>15849</v>
      </c>
      <c r="F9530" s="142" t="s">
        <v>212</v>
      </c>
      <c r="G9530" s="142" t="s">
        <v>10059</v>
      </c>
      <c r="H9530" s="142" t="s">
        <v>25380</v>
      </c>
      <c r="I9530" s="142">
        <v>170</v>
      </c>
      <c r="J9530" s="142">
        <v>98</v>
      </c>
      <c r="K9530" s="142">
        <v>0</v>
      </c>
      <c r="L9530" s="142">
        <v>30</v>
      </c>
      <c r="M9530" s="142">
        <v>42</v>
      </c>
    </row>
    <row r="9531" spans="1:13" x14ac:dyDescent="0.45">
      <c r="A9531" s="142" t="s">
        <v>13042</v>
      </c>
      <c r="B9531" s="142" t="s">
        <v>15489</v>
      </c>
      <c r="C9531" s="142" t="s">
        <v>15847</v>
      </c>
      <c r="D9531" s="142" t="s">
        <v>15848</v>
      </c>
      <c r="E9531" s="142" t="s">
        <v>15849</v>
      </c>
      <c r="F9531" s="142" t="s">
        <v>212</v>
      </c>
      <c r="G9531" s="142" t="s">
        <v>10059</v>
      </c>
      <c r="H9531" s="142" t="s">
        <v>25381</v>
      </c>
      <c r="I9531" s="142">
        <v>502</v>
      </c>
      <c r="J9531" s="142">
        <v>269</v>
      </c>
      <c r="K9531" s="142">
        <v>0</v>
      </c>
      <c r="L9531" s="142">
        <v>226</v>
      </c>
      <c r="M9531" s="142">
        <v>7</v>
      </c>
    </row>
    <row r="9532" spans="1:13" x14ac:dyDescent="0.45">
      <c r="A9532" s="142" t="s">
        <v>13154</v>
      </c>
      <c r="B9532" s="142" t="s">
        <v>15415</v>
      </c>
      <c r="C9532" s="142" t="s">
        <v>15847</v>
      </c>
      <c r="D9532" s="142" t="s">
        <v>15848</v>
      </c>
      <c r="E9532" s="142" t="s">
        <v>15849</v>
      </c>
      <c r="F9532" s="142" t="s">
        <v>212</v>
      </c>
      <c r="G9532" s="142" t="s">
        <v>10059</v>
      </c>
      <c r="H9532" s="142" t="s">
        <v>25382</v>
      </c>
      <c r="I9532" s="142">
        <v>6</v>
      </c>
      <c r="J9532" s="142">
        <v>0</v>
      </c>
      <c r="K9532" s="142">
        <v>0</v>
      </c>
      <c r="L9532" s="142">
        <v>0</v>
      </c>
      <c r="M9532" s="142">
        <v>6</v>
      </c>
    </row>
    <row r="9533" spans="1:13" x14ac:dyDescent="0.45">
      <c r="A9533" s="142" t="s">
        <v>13493</v>
      </c>
      <c r="B9533" s="142" t="s">
        <v>14639</v>
      </c>
      <c r="C9533" s="142" t="s">
        <v>15847</v>
      </c>
      <c r="D9533" s="142" t="s">
        <v>15848</v>
      </c>
      <c r="E9533" s="142" t="s">
        <v>15849</v>
      </c>
      <c r="F9533" s="142" t="s">
        <v>212</v>
      </c>
      <c r="G9533" s="142" t="s">
        <v>10059</v>
      </c>
      <c r="H9533" s="142" t="s">
        <v>25383</v>
      </c>
      <c r="I9533" s="142">
        <v>631</v>
      </c>
      <c r="J9533" s="142">
        <v>237</v>
      </c>
      <c r="K9533" s="142">
        <v>0</v>
      </c>
      <c r="L9533" s="142">
        <v>87</v>
      </c>
      <c r="M9533" s="142">
        <v>307</v>
      </c>
    </row>
    <row r="9534" spans="1:13" x14ac:dyDescent="0.45">
      <c r="A9534" s="142" t="s">
        <v>13286</v>
      </c>
      <c r="B9534" s="142" t="s">
        <v>15342</v>
      </c>
      <c r="C9534" s="142" t="s">
        <v>15847</v>
      </c>
      <c r="D9534" s="142" t="s">
        <v>15848</v>
      </c>
      <c r="E9534" s="142" t="s">
        <v>15849</v>
      </c>
      <c r="F9534" s="142" t="s">
        <v>212</v>
      </c>
      <c r="G9534" s="142" t="s">
        <v>10059</v>
      </c>
      <c r="H9534" s="142" t="s">
        <v>25384</v>
      </c>
      <c r="I9534" s="142">
        <v>1193</v>
      </c>
      <c r="J9534" s="142">
        <v>883</v>
      </c>
      <c r="K9534" s="142">
        <v>0</v>
      </c>
      <c r="L9534" s="142">
        <v>141</v>
      </c>
      <c r="M9534" s="142">
        <v>169</v>
      </c>
    </row>
    <row r="9535" spans="1:13" x14ac:dyDescent="0.45">
      <c r="A9535" s="142" t="s">
        <v>13166</v>
      </c>
      <c r="B9535" s="142" t="s">
        <v>15576</v>
      </c>
      <c r="C9535" s="142" t="s">
        <v>15847</v>
      </c>
      <c r="D9535" s="142" t="s">
        <v>15848</v>
      </c>
      <c r="E9535" s="142" t="s">
        <v>15849</v>
      </c>
      <c r="F9535" s="142" t="s">
        <v>213</v>
      </c>
      <c r="G9535" s="142" t="s">
        <v>2380</v>
      </c>
      <c r="H9535" s="142" t="s">
        <v>25385</v>
      </c>
      <c r="I9535" s="142">
        <v>209</v>
      </c>
      <c r="J9535" s="142">
        <v>172</v>
      </c>
      <c r="K9535" s="142">
        <v>0</v>
      </c>
      <c r="L9535" s="142">
        <v>28</v>
      </c>
      <c r="M9535" s="142">
        <v>9</v>
      </c>
    </row>
    <row r="9536" spans="1:13" x14ac:dyDescent="0.45">
      <c r="A9536" s="142" t="s">
        <v>13167</v>
      </c>
      <c r="B9536" s="142" t="s">
        <v>15418</v>
      </c>
      <c r="C9536" s="142" t="s">
        <v>15847</v>
      </c>
      <c r="D9536" s="142" t="s">
        <v>15848</v>
      </c>
      <c r="E9536" s="142" t="s">
        <v>15849</v>
      </c>
      <c r="F9536" s="142" t="s">
        <v>213</v>
      </c>
      <c r="G9536" s="142" t="s">
        <v>2380</v>
      </c>
      <c r="H9536" s="142" t="s">
        <v>25386</v>
      </c>
      <c r="I9536" s="142">
        <v>460</v>
      </c>
      <c r="J9536" s="142">
        <v>391</v>
      </c>
      <c r="K9536" s="142">
        <v>0</v>
      </c>
      <c r="L9536" s="142">
        <v>0</v>
      </c>
      <c r="M9536" s="142">
        <v>69</v>
      </c>
    </row>
    <row r="9537" spans="1:13" x14ac:dyDescent="0.45">
      <c r="A9537" s="142" t="s">
        <v>13021</v>
      </c>
      <c r="B9537" s="142" t="s">
        <v>15501</v>
      </c>
      <c r="C9537" s="142" t="s">
        <v>15847</v>
      </c>
      <c r="D9537" s="142" t="s">
        <v>15848</v>
      </c>
      <c r="E9537" s="142" t="s">
        <v>15849</v>
      </c>
      <c r="F9537" s="142" t="s">
        <v>213</v>
      </c>
      <c r="G9537" s="142" t="s">
        <v>2380</v>
      </c>
      <c r="H9537" s="142" t="s">
        <v>25387</v>
      </c>
      <c r="I9537" s="142">
        <v>45</v>
      </c>
      <c r="J9537" s="142">
        <v>0</v>
      </c>
      <c r="K9537" s="142">
        <v>0</v>
      </c>
      <c r="L9537" s="142">
        <v>18</v>
      </c>
      <c r="M9537" s="142">
        <v>27</v>
      </c>
    </row>
    <row r="9538" spans="1:13" x14ac:dyDescent="0.45">
      <c r="A9538" s="142" t="s">
        <v>13023</v>
      </c>
      <c r="B9538" s="142" t="s">
        <v>15571</v>
      </c>
      <c r="C9538" s="142" t="s">
        <v>15847</v>
      </c>
      <c r="D9538" s="142" t="s">
        <v>15848</v>
      </c>
      <c r="E9538" s="142" t="s">
        <v>15849</v>
      </c>
      <c r="F9538" s="142" t="s">
        <v>213</v>
      </c>
      <c r="G9538" s="142" t="s">
        <v>2380</v>
      </c>
      <c r="H9538" s="142" t="s">
        <v>25388</v>
      </c>
      <c r="I9538" s="142">
        <v>75</v>
      </c>
      <c r="J9538" s="142">
        <v>0</v>
      </c>
      <c r="K9538" s="142">
        <v>0</v>
      </c>
      <c r="L9538" s="142">
        <v>75</v>
      </c>
      <c r="M9538" s="142">
        <v>0</v>
      </c>
    </row>
    <row r="9539" spans="1:13" x14ac:dyDescent="0.45">
      <c r="A9539" s="142" t="s">
        <v>13047</v>
      </c>
      <c r="B9539" s="142" t="s">
        <v>14616</v>
      </c>
      <c r="C9539" s="142" t="s">
        <v>15847</v>
      </c>
      <c r="D9539" s="142" t="s">
        <v>15848</v>
      </c>
      <c r="E9539" s="142" t="s">
        <v>15849</v>
      </c>
      <c r="F9539" s="142" t="s">
        <v>213</v>
      </c>
      <c r="G9539" s="142" t="s">
        <v>2380</v>
      </c>
      <c r="H9539" s="142" t="s">
        <v>25389</v>
      </c>
      <c r="I9539" s="142">
        <v>341</v>
      </c>
      <c r="J9539" s="142">
        <v>256</v>
      </c>
      <c r="K9539" s="142">
        <v>0</v>
      </c>
      <c r="L9539" s="142">
        <v>0</v>
      </c>
      <c r="M9539" s="142">
        <v>85</v>
      </c>
    </row>
    <row r="9540" spans="1:13" x14ac:dyDescent="0.45">
      <c r="A9540" s="142" t="s">
        <v>13048</v>
      </c>
      <c r="B9540" s="142" t="s">
        <v>14479</v>
      </c>
      <c r="C9540" s="142" t="s">
        <v>15847</v>
      </c>
      <c r="D9540" s="142" t="s">
        <v>15848</v>
      </c>
      <c r="E9540" s="142" t="s">
        <v>15849</v>
      </c>
      <c r="F9540" s="142" t="s">
        <v>213</v>
      </c>
      <c r="G9540" s="142" t="s">
        <v>2380</v>
      </c>
      <c r="H9540" s="142" t="s">
        <v>25390</v>
      </c>
      <c r="I9540" s="142">
        <v>5794</v>
      </c>
      <c r="J9540" s="142">
        <v>4804</v>
      </c>
      <c r="K9540" s="142">
        <v>0</v>
      </c>
      <c r="L9540" s="142">
        <v>614</v>
      </c>
      <c r="M9540" s="142">
        <v>376</v>
      </c>
    </row>
    <row r="9541" spans="1:13" x14ac:dyDescent="0.45">
      <c r="A9541" s="142" t="s">
        <v>13065</v>
      </c>
      <c r="B9541" s="142" t="s">
        <v>14497</v>
      </c>
      <c r="C9541" s="142" t="s">
        <v>15847</v>
      </c>
      <c r="D9541" s="142" t="s">
        <v>15848</v>
      </c>
      <c r="E9541" s="142" t="s">
        <v>15849</v>
      </c>
      <c r="F9541" s="142" t="s">
        <v>213</v>
      </c>
      <c r="G9541" s="142" t="s">
        <v>2380</v>
      </c>
      <c r="H9541" s="142" t="s">
        <v>25391</v>
      </c>
      <c r="I9541" s="142">
        <v>2</v>
      </c>
      <c r="J9541" s="142">
        <v>0</v>
      </c>
      <c r="K9541" s="142">
        <v>0</v>
      </c>
      <c r="L9541" s="142">
        <v>2</v>
      </c>
      <c r="M9541" s="142">
        <v>0</v>
      </c>
    </row>
    <row r="9542" spans="1:13" x14ac:dyDescent="0.45">
      <c r="A9542" s="142" t="s">
        <v>13301</v>
      </c>
      <c r="B9542" s="142" t="s">
        <v>15496</v>
      </c>
      <c r="C9542" s="142" t="s">
        <v>15847</v>
      </c>
      <c r="D9542" s="142" t="s">
        <v>15848</v>
      </c>
      <c r="E9542" s="142" t="s">
        <v>15849</v>
      </c>
      <c r="F9542" s="142" t="s">
        <v>213</v>
      </c>
      <c r="G9542" s="142" t="s">
        <v>2380</v>
      </c>
      <c r="H9542" s="142" t="s">
        <v>25392</v>
      </c>
      <c r="I9542" s="142">
        <v>39</v>
      </c>
      <c r="J9542" s="142">
        <v>39</v>
      </c>
      <c r="K9542" s="142">
        <v>0</v>
      </c>
      <c r="L9542" s="142">
        <v>0</v>
      </c>
      <c r="M9542" s="142">
        <v>0</v>
      </c>
    </row>
    <row r="9543" spans="1:13" x14ac:dyDescent="0.45">
      <c r="A9543" s="142" t="s">
        <v>13235</v>
      </c>
      <c r="B9543" s="142" t="s">
        <v>14573</v>
      </c>
      <c r="C9543" s="142" t="s">
        <v>15847</v>
      </c>
      <c r="D9543" s="142" t="s">
        <v>15848</v>
      </c>
      <c r="E9543" s="142" t="s">
        <v>15849</v>
      </c>
      <c r="F9543" s="142" t="s">
        <v>213</v>
      </c>
      <c r="G9543" s="142" t="s">
        <v>2380</v>
      </c>
      <c r="H9543" s="142" t="s">
        <v>25393</v>
      </c>
      <c r="I9543" s="142">
        <v>26</v>
      </c>
      <c r="J9543" s="142">
        <v>10</v>
      </c>
      <c r="K9543" s="142">
        <v>0</v>
      </c>
      <c r="L9543" s="142">
        <v>0</v>
      </c>
      <c r="M9543" s="142">
        <v>16</v>
      </c>
    </row>
    <row r="9544" spans="1:13" x14ac:dyDescent="0.45">
      <c r="A9544" s="142" t="s">
        <v>13000</v>
      </c>
      <c r="B9544" s="142" t="s">
        <v>14610</v>
      </c>
      <c r="C9544" s="142" t="s">
        <v>15847</v>
      </c>
      <c r="D9544" s="142" t="s">
        <v>15848</v>
      </c>
      <c r="E9544" s="142" t="s">
        <v>15849</v>
      </c>
      <c r="F9544" s="142" t="s">
        <v>213</v>
      </c>
      <c r="G9544" s="142" t="s">
        <v>2380</v>
      </c>
      <c r="H9544" s="142" t="s">
        <v>25394</v>
      </c>
      <c r="I9544" s="142">
        <v>28</v>
      </c>
      <c r="J9544" s="142">
        <v>16</v>
      </c>
      <c r="K9544" s="142">
        <v>0</v>
      </c>
      <c r="L9544" s="142">
        <v>0</v>
      </c>
      <c r="M9544" s="142">
        <v>12</v>
      </c>
    </row>
    <row r="9545" spans="1:13" x14ac:dyDescent="0.45">
      <c r="A9545" s="142" t="s">
        <v>13474</v>
      </c>
      <c r="B9545" s="142" t="s">
        <v>15438</v>
      </c>
      <c r="C9545" s="142" t="s">
        <v>15847</v>
      </c>
      <c r="D9545" s="142" t="s">
        <v>15848</v>
      </c>
      <c r="E9545" s="142" t="s">
        <v>15849</v>
      </c>
      <c r="F9545" s="142" t="s">
        <v>213</v>
      </c>
      <c r="G9545" s="142" t="s">
        <v>2380</v>
      </c>
      <c r="H9545" s="142" t="s">
        <v>25395</v>
      </c>
      <c r="I9545" s="142">
        <v>147</v>
      </c>
      <c r="J9545" s="142">
        <v>108</v>
      </c>
      <c r="K9545" s="142">
        <v>0</v>
      </c>
      <c r="L9545" s="142">
        <v>0</v>
      </c>
      <c r="M9545" s="142">
        <v>39</v>
      </c>
    </row>
    <row r="9546" spans="1:13" x14ac:dyDescent="0.45">
      <c r="A9546" s="142" t="s">
        <v>13186</v>
      </c>
      <c r="B9546" s="142" t="s">
        <v>15581</v>
      </c>
      <c r="C9546" s="142" t="s">
        <v>15847</v>
      </c>
      <c r="D9546" s="142" t="s">
        <v>15848</v>
      </c>
      <c r="E9546" s="142" t="s">
        <v>15849</v>
      </c>
      <c r="F9546" s="142" t="s">
        <v>213</v>
      </c>
      <c r="G9546" s="142" t="s">
        <v>2380</v>
      </c>
      <c r="H9546" s="142" t="s">
        <v>25396</v>
      </c>
      <c r="I9546" s="142">
        <v>663</v>
      </c>
      <c r="J9546" s="142">
        <v>506</v>
      </c>
      <c r="K9546" s="142">
        <v>0</v>
      </c>
      <c r="L9546" s="142">
        <v>6</v>
      </c>
      <c r="M9546" s="142">
        <v>151</v>
      </c>
    </row>
    <row r="9547" spans="1:13" x14ac:dyDescent="0.45">
      <c r="A9547" s="142" t="s">
        <v>13119</v>
      </c>
      <c r="B9547" s="142" t="s">
        <v>14451</v>
      </c>
      <c r="C9547" s="142" t="s">
        <v>15860</v>
      </c>
      <c r="D9547" s="142" t="s">
        <v>15861</v>
      </c>
      <c r="E9547" s="142" t="s">
        <v>15849</v>
      </c>
      <c r="F9547" s="142" t="s">
        <v>213</v>
      </c>
      <c r="G9547" s="142" t="s">
        <v>2380</v>
      </c>
      <c r="H9547" s="142" t="s">
        <v>25397</v>
      </c>
      <c r="I9547" s="142">
        <v>22</v>
      </c>
      <c r="J9547" s="142">
        <v>0</v>
      </c>
      <c r="K9547" s="142">
        <v>0</v>
      </c>
      <c r="L9547" s="142">
        <v>22</v>
      </c>
      <c r="M9547" s="142">
        <v>0</v>
      </c>
    </row>
    <row r="9548" spans="1:13" x14ac:dyDescent="0.45">
      <c r="A9548" s="142" t="s">
        <v>13085</v>
      </c>
      <c r="B9548" s="142" t="s">
        <v>14460</v>
      </c>
      <c r="C9548" s="142" t="s">
        <v>15860</v>
      </c>
      <c r="D9548" s="142" t="s">
        <v>15861</v>
      </c>
      <c r="E9548" s="142" t="s">
        <v>15849</v>
      </c>
      <c r="F9548" s="142" t="s">
        <v>213</v>
      </c>
      <c r="G9548" s="142" t="s">
        <v>2380</v>
      </c>
      <c r="H9548" s="142" t="s">
        <v>25398</v>
      </c>
      <c r="I9548" s="142">
        <v>10</v>
      </c>
      <c r="J9548" s="142">
        <v>0</v>
      </c>
      <c r="K9548" s="142">
        <v>0</v>
      </c>
      <c r="L9548" s="142">
        <v>10</v>
      </c>
      <c r="M9548" s="142">
        <v>0</v>
      </c>
    </row>
    <row r="9549" spans="1:13" x14ac:dyDescent="0.45">
      <c r="A9549" s="142" t="s">
        <v>13074</v>
      </c>
      <c r="B9549" s="142" t="s">
        <v>15405</v>
      </c>
      <c r="C9549" s="142" t="s">
        <v>15847</v>
      </c>
      <c r="D9549" s="142" t="s">
        <v>15848</v>
      </c>
      <c r="E9549" s="142" t="s">
        <v>15849</v>
      </c>
      <c r="F9549" s="142" t="s">
        <v>213</v>
      </c>
      <c r="G9549" s="142" t="s">
        <v>2380</v>
      </c>
      <c r="H9549" s="142" t="s">
        <v>25399</v>
      </c>
      <c r="I9549" s="142">
        <v>8</v>
      </c>
      <c r="J9549" s="142">
        <v>6</v>
      </c>
      <c r="K9549" s="142">
        <v>0</v>
      </c>
      <c r="L9549" s="142">
        <v>0</v>
      </c>
      <c r="M9549" s="142">
        <v>2</v>
      </c>
    </row>
    <row r="9550" spans="1:13" x14ac:dyDescent="0.45">
      <c r="A9550" s="142" t="s">
        <v>13049</v>
      </c>
      <c r="B9550" s="142" t="s">
        <v>14534</v>
      </c>
      <c r="C9550" s="142" t="s">
        <v>15860</v>
      </c>
      <c r="D9550" s="142" t="s">
        <v>15861</v>
      </c>
      <c r="E9550" s="142" t="s">
        <v>15849</v>
      </c>
      <c r="F9550" s="142" t="s">
        <v>213</v>
      </c>
      <c r="G9550" s="142" t="s">
        <v>2380</v>
      </c>
      <c r="H9550" s="142" t="s">
        <v>25400</v>
      </c>
      <c r="I9550" s="142">
        <v>17</v>
      </c>
      <c r="J9550" s="142">
        <v>0</v>
      </c>
      <c r="K9550" s="142">
        <v>0</v>
      </c>
      <c r="L9550" s="142">
        <v>17</v>
      </c>
      <c r="M9550" s="142">
        <v>0</v>
      </c>
    </row>
    <row r="9551" spans="1:13" x14ac:dyDescent="0.45">
      <c r="A9551" s="142" t="s">
        <v>13500</v>
      </c>
      <c r="B9551" s="142" t="s">
        <v>15422</v>
      </c>
      <c r="C9551" s="142" t="s">
        <v>15847</v>
      </c>
      <c r="D9551" s="142" t="s">
        <v>15848</v>
      </c>
      <c r="E9551" s="142" t="s">
        <v>15849</v>
      </c>
      <c r="F9551" s="142" t="s">
        <v>213</v>
      </c>
      <c r="G9551" s="142" t="s">
        <v>2380</v>
      </c>
      <c r="H9551" s="142" t="s">
        <v>25401</v>
      </c>
      <c r="I9551" s="142">
        <v>5</v>
      </c>
      <c r="J9551" s="142">
        <v>0</v>
      </c>
      <c r="K9551" s="142">
        <v>0</v>
      </c>
      <c r="L9551" s="142">
        <v>0</v>
      </c>
      <c r="M9551" s="142">
        <v>5</v>
      </c>
    </row>
    <row r="9552" spans="1:13" x14ac:dyDescent="0.45">
      <c r="A9552" s="142" t="s">
        <v>13027</v>
      </c>
      <c r="B9552" s="142" t="s">
        <v>14562</v>
      </c>
      <c r="C9552" s="142" t="s">
        <v>15847</v>
      </c>
      <c r="D9552" s="142" t="s">
        <v>15848</v>
      </c>
      <c r="E9552" s="142" t="s">
        <v>15849</v>
      </c>
      <c r="F9552" s="142" t="s">
        <v>213</v>
      </c>
      <c r="G9552" s="142" t="s">
        <v>2380</v>
      </c>
      <c r="H9552" s="142" t="s">
        <v>25402</v>
      </c>
      <c r="I9552" s="142">
        <v>49</v>
      </c>
      <c r="J9552" s="142">
        <v>0</v>
      </c>
      <c r="K9552" s="142">
        <v>0</v>
      </c>
      <c r="L9552" s="142">
        <v>49</v>
      </c>
      <c r="M9552" s="142">
        <v>0</v>
      </c>
    </row>
    <row r="9553" spans="1:13" x14ac:dyDescent="0.45">
      <c r="A9553" s="142" t="s">
        <v>13243</v>
      </c>
      <c r="B9553" s="142" t="s">
        <v>15560</v>
      </c>
      <c r="C9553" s="142" t="s">
        <v>15847</v>
      </c>
      <c r="D9553" s="142" t="s">
        <v>15848</v>
      </c>
      <c r="E9553" s="142" t="s">
        <v>15849</v>
      </c>
      <c r="F9553" s="142" t="s">
        <v>213</v>
      </c>
      <c r="G9553" s="142" t="s">
        <v>2380</v>
      </c>
      <c r="H9553" s="142" t="s">
        <v>25403</v>
      </c>
      <c r="I9553" s="142">
        <v>6712</v>
      </c>
      <c r="J9553" s="142">
        <v>5924</v>
      </c>
      <c r="K9553" s="142">
        <v>0</v>
      </c>
      <c r="L9553" s="142">
        <v>440</v>
      </c>
      <c r="M9553" s="142">
        <v>348</v>
      </c>
    </row>
    <row r="9554" spans="1:13" x14ac:dyDescent="0.45">
      <c r="A9554" s="142" t="s">
        <v>13189</v>
      </c>
      <c r="B9554" s="142" t="s">
        <v>15370</v>
      </c>
      <c r="C9554" s="142" t="s">
        <v>15860</v>
      </c>
      <c r="D9554" s="142" t="s">
        <v>15861</v>
      </c>
      <c r="E9554" s="142" t="s">
        <v>15849</v>
      </c>
      <c r="F9554" s="142" t="s">
        <v>213</v>
      </c>
      <c r="G9554" s="142" t="s">
        <v>2380</v>
      </c>
      <c r="H9554" s="142" t="s">
        <v>25404</v>
      </c>
      <c r="I9554" s="142">
        <v>64</v>
      </c>
      <c r="J9554" s="142">
        <v>35</v>
      </c>
      <c r="K9554" s="142">
        <v>0</v>
      </c>
      <c r="L9554" s="142">
        <v>29</v>
      </c>
      <c r="M9554" s="142">
        <v>0</v>
      </c>
    </row>
    <row r="9555" spans="1:13" x14ac:dyDescent="0.45">
      <c r="A9555" s="142" t="s">
        <v>13001</v>
      </c>
      <c r="B9555" s="142" t="s">
        <v>15506</v>
      </c>
      <c r="C9555" s="142" t="s">
        <v>15847</v>
      </c>
      <c r="D9555" s="142" t="s">
        <v>15848</v>
      </c>
      <c r="E9555" s="142" t="s">
        <v>15849</v>
      </c>
      <c r="F9555" s="142" t="s">
        <v>213</v>
      </c>
      <c r="G9555" s="142" t="s">
        <v>2380</v>
      </c>
      <c r="H9555" s="142" t="s">
        <v>25405</v>
      </c>
      <c r="I9555" s="142">
        <v>27</v>
      </c>
      <c r="J9555" s="142">
        <v>15</v>
      </c>
      <c r="K9555" s="142">
        <v>0</v>
      </c>
      <c r="L9555" s="142">
        <v>12</v>
      </c>
      <c r="M9555" s="142">
        <v>0</v>
      </c>
    </row>
    <row r="9556" spans="1:13" x14ac:dyDescent="0.45">
      <c r="A9556" s="142" t="s">
        <v>13050</v>
      </c>
      <c r="B9556" s="142" t="s">
        <v>15237</v>
      </c>
      <c r="C9556" s="142" t="s">
        <v>15847</v>
      </c>
      <c r="D9556" s="142" t="s">
        <v>15848</v>
      </c>
      <c r="E9556" s="142" t="s">
        <v>15849</v>
      </c>
      <c r="F9556" s="142" t="s">
        <v>213</v>
      </c>
      <c r="G9556" s="142" t="s">
        <v>2380</v>
      </c>
      <c r="H9556" s="142" t="s">
        <v>25406</v>
      </c>
      <c r="I9556" s="142">
        <v>66</v>
      </c>
      <c r="J9556" s="142">
        <v>59</v>
      </c>
      <c r="K9556" s="142">
        <v>0</v>
      </c>
      <c r="L9556" s="142">
        <v>0</v>
      </c>
      <c r="M9556" s="142">
        <v>7</v>
      </c>
    </row>
    <row r="9557" spans="1:13" x14ac:dyDescent="0.45">
      <c r="A9557" s="142" t="s">
        <v>13028</v>
      </c>
      <c r="B9557" s="142" t="s">
        <v>14462</v>
      </c>
      <c r="C9557" s="142" t="s">
        <v>15847</v>
      </c>
      <c r="D9557" s="142" t="s">
        <v>15848</v>
      </c>
      <c r="E9557" s="142" t="s">
        <v>15849</v>
      </c>
      <c r="F9557" s="142" t="s">
        <v>213</v>
      </c>
      <c r="G9557" s="142" t="s">
        <v>2380</v>
      </c>
      <c r="H9557" s="142" t="s">
        <v>25407</v>
      </c>
      <c r="I9557" s="142">
        <v>154</v>
      </c>
      <c r="J9557" s="142">
        <v>0</v>
      </c>
      <c r="K9557" s="142">
        <v>0</v>
      </c>
      <c r="L9557" s="142">
        <v>0</v>
      </c>
      <c r="M9557" s="142">
        <v>154</v>
      </c>
    </row>
    <row r="9558" spans="1:13" x14ac:dyDescent="0.45">
      <c r="A9558" s="142" t="s">
        <v>13002</v>
      </c>
      <c r="B9558" s="142" t="s">
        <v>15376</v>
      </c>
      <c r="C9558" s="142" t="s">
        <v>15847</v>
      </c>
      <c r="D9558" s="142" t="s">
        <v>15848</v>
      </c>
      <c r="E9558" s="142" t="s">
        <v>15849</v>
      </c>
      <c r="F9558" s="142" t="s">
        <v>213</v>
      </c>
      <c r="G9558" s="142" t="s">
        <v>2380</v>
      </c>
      <c r="H9558" s="142" t="s">
        <v>25408</v>
      </c>
      <c r="I9558" s="142">
        <v>1</v>
      </c>
      <c r="J9558" s="142">
        <v>0</v>
      </c>
      <c r="K9558" s="142">
        <v>0</v>
      </c>
      <c r="L9558" s="142">
        <v>1</v>
      </c>
      <c r="M9558" s="142">
        <v>0</v>
      </c>
    </row>
    <row r="9559" spans="1:13" x14ac:dyDescent="0.45">
      <c r="A9559" s="142" t="s">
        <v>13003</v>
      </c>
      <c r="B9559" s="142" t="s">
        <v>15245</v>
      </c>
      <c r="C9559" s="142" t="s">
        <v>15847</v>
      </c>
      <c r="D9559" s="142" t="s">
        <v>15848</v>
      </c>
      <c r="E9559" s="142" t="s">
        <v>15849</v>
      </c>
      <c r="F9559" s="142" t="s">
        <v>213</v>
      </c>
      <c r="G9559" s="142" t="s">
        <v>2380</v>
      </c>
      <c r="H9559" s="142" t="s">
        <v>25409</v>
      </c>
      <c r="I9559" s="142">
        <v>83</v>
      </c>
      <c r="J9559" s="142">
        <v>0</v>
      </c>
      <c r="K9559" s="142">
        <v>0</v>
      </c>
      <c r="L9559" s="142">
        <v>83</v>
      </c>
      <c r="M9559" s="142">
        <v>0</v>
      </c>
    </row>
    <row r="9560" spans="1:13" x14ac:dyDescent="0.45">
      <c r="A9560" s="142" t="s">
        <v>13066</v>
      </c>
      <c r="B9560" s="142" t="s">
        <v>14459</v>
      </c>
      <c r="C9560" s="142" t="s">
        <v>15847</v>
      </c>
      <c r="D9560" s="142" t="s">
        <v>15848</v>
      </c>
      <c r="E9560" s="142" t="s">
        <v>15849</v>
      </c>
      <c r="F9560" s="142" t="s">
        <v>213</v>
      </c>
      <c r="G9560" s="142" t="s">
        <v>2380</v>
      </c>
      <c r="H9560" s="142" t="s">
        <v>25410</v>
      </c>
      <c r="I9560" s="142">
        <v>34</v>
      </c>
      <c r="J9560" s="142">
        <v>0</v>
      </c>
      <c r="K9560" s="142">
        <v>0</v>
      </c>
      <c r="L9560" s="142">
        <v>34</v>
      </c>
      <c r="M9560" s="142">
        <v>0</v>
      </c>
    </row>
    <row r="9561" spans="1:13" x14ac:dyDescent="0.45">
      <c r="A9561" s="142" t="s">
        <v>13170</v>
      </c>
      <c r="B9561" s="142" t="s">
        <v>15486</v>
      </c>
      <c r="C9561" s="142" t="s">
        <v>15860</v>
      </c>
      <c r="D9561" s="142" t="s">
        <v>15861</v>
      </c>
      <c r="E9561" s="142" t="s">
        <v>15849</v>
      </c>
      <c r="F9561" s="142" t="s">
        <v>213</v>
      </c>
      <c r="G9561" s="142" t="s">
        <v>2380</v>
      </c>
      <c r="H9561" s="142" t="s">
        <v>25411</v>
      </c>
      <c r="I9561" s="142">
        <v>23</v>
      </c>
      <c r="J9561" s="142">
        <v>0</v>
      </c>
      <c r="K9561" s="142">
        <v>0</v>
      </c>
      <c r="L9561" s="142">
        <v>23</v>
      </c>
      <c r="M9561" s="142">
        <v>0</v>
      </c>
    </row>
    <row r="9562" spans="1:13" x14ac:dyDescent="0.45">
      <c r="A9562" s="142" t="s">
        <v>13190</v>
      </c>
      <c r="B9562" s="142" t="s">
        <v>14617</v>
      </c>
      <c r="C9562" s="142" t="s">
        <v>15847</v>
      </c>
      <c r="D9562" s="142" t="s">
        <v>15848</v>
      </c>
      <c r="E9562" s="142" t="s">
        <v>15849</v>
      </c>
      <c r="F9562" s="142" t="s">
        <v>213</v>
      </c>
      <c r="G9562" s="142" t="s">
        <v>2380</v>
      </c>
      <c r="H9562" s="142" t="s">
        <v>25412</v>
      </c>
      <c r="I9562" s="142">
        <v>77</v>
      </c>
      <c r="J9562" s="142">
        <v>0</v>
      </c>
      <c r="K9562" s="142">
        <v>0</v>
      </c>
      <c r="L9562" s="142">
        <v>16</v>
      </c>
      <c r="M9562" s="142">
        <v>61</v>
      </c>
    </row>
    <row r="9563" spans="1:13" x14ac:dyDescent="0.45">
      <c r="A9563" s="142" t="s">
        <v>13005</v>
      </c>
      <c r="B9563" s="142" t="s">
        <v>15475</v>
      </c>
      <c r="C9563" s="142" t="s">
        <v>15847</v>
      </c>
      <c r="D9563" s="142" t="s">
        <v>15848</v>
      </c>
      <c r="E9563" s="142" t="s">
        <v>15849</v>
      </c>
      <c r="F9563" s="142" t="s">
        <v>213</v>
      </c>
      <c r="G9563" s="142" t="s">
        <v>2380</v>
      </c>
      <c r="H9563" s="142" t="s">
        <v>25413</v>
      </c>
      <c r="I9563" s="142">
        <v>1</v>
      </c>
      <c r="J9563" s="142">
        <v>0</v>
      </c>
      <c r="K9563" s="142">
        <v>0</v>
      </c>
      <c r="L9563" s="142">
        <v>0</v>
      </c>
      <c r="M9563" s="142">
        <v>1</v>
      </c>
    </row>
    <row r="9564" spans="1:13" x14ac:dyDescent="0.45">
      <c r="A9564" s="142" t="s">
        <v>13191</v>
      </c>
      <c r="B9564" s="142" t="s">
        <v>15467</v>
      </c>
      <c r="C9564" s="142" t="s">
        <v>15847</v>
      </c>
      <c r="D9564" s="142" t="s">
        <v>15848</v>
      </c>
      <c r="E9564" s="142" t="s">
        <v>15849</v>
      </c>
      <c r="F9564" s="142" t="s">
        <v>213</v>
      </c>
      <c r="G9564" s="142" t="s">
        <v>2380</v>
      </c>
      <c r="H9564" s="142" t="s">
        <v>25414</v>
      </c>
      <c r="I9564" s="142">
        <v>53</v>
      </c>
      <c r="J9564" s="142">
        <v>33</v>
      </c>
      <c r="K9564" s="142">
        <v>0</v>
      </c>
      <c r="L9564" s="142">
        <v>0</v>
      </c>
      <c r="M9564" s="142">
        <v>20</v>
      </c>
    </row>
    <row r="9565" spans="1:13" x14ac:dyDescent="0.45">
      <c r="A9565" s="142" t="s">
        <v>13007</v>
      </c>
      <c r="B9565" s="142" t="s">
        <v>15262</v>
      </c>
      <c r="C9565" s="142" t="s">
        <v>15847</v>
      </c>
      <c r="D9565" s="142" t="s">
        <v>15848</v>
      </c>
      <c r="E9565" s="142" t="s">
        <v>15849</v>
      </c>
      <c r="F9565" s="142" t="s">
        <v>213</v>
      </c>
      <c r="G9565" s="142" t="s">
        <v>2380</v>
      </c>
      <c r="H9565" s="142" t="s">
        <v>25415</v>
      </c>
      <c r="I9565" s="142">
        <v>20</v>
      </c>
      <c r="J9565" s="142">
        <v>0</v>
      </c>
      <c r="K9565" s="142">
        <v>0</v>
      </c>
      <c r="L9565" s="142">
        <v>0</v>
      </c>
      <c r="M9565" s="142">
        <v>20</v>
      </c>
    </row>
    <row r="9566" spans="1:13" x14ac:dyDescent="0.45">
      <c r="A9566" s="142" t="s">
        <v>13340</v>
      </c>
      <c r="B9566" s="142" t="s">
        <v>14499</v>
      </c>
      <c r="C9566" s="142" t="s">
        <v>15860</v>
      </c>
      <c r="D9566" s="142" t="s">
        <v>15861</v>
      </c>
      <c r="E9566" s="142" t="s">
        <v>15849</v>
      </c>
      <c r="F9566" s="142" t="s">
        <v>213</v>
      </c>
      <c r="G9566" s="142" t="s">
        <v>2380</v>
      </c>
      <c r="H9566" s="142" t="s">
        <v>25416</v>
      </c>
      <c r="I9566" s="142">
        <v>155</v>
      </c>
      <c r="J9566" s="142">
        <v>155</v>
      </c>
      <c r="K9566" s="142">
        <v>0</v>
      </c>
      <c r="L9566" s="142">
        <v>0</v>
      </c>
      <c r="M9566" s="142">
        <v>0</v>
      </c>
    </row>
    <row r="9567" spans="1:13" x14ac:dyDescent="0.45">
      <c r="A9567" s="142" t="s">
        <v>13033</v>
      </c>
      <c r="B9567" s="142" t="s">
        <v>15276</v>
      </c>
      <c r="C9567" s="142" t="s">
        <v>15847</v>
      </c>
      <c r="D9567" s="142" t="s">
        <v>15848</v>
      </c>
      <c r="E9567" s="142" t="s">
        <v>15849</v>
      </c>
      <c r="F9567" s="142" t="s">
        <v>213</v>
      </c>
      <c r="G9567" s="142" t="s">
        <v>2380</v>
      </c>
      <c r="H9567" s="142" t="s">
        <v>25417</v>
      </c>
      <c r="I9567" s="142">
        <v>78</v>
      </c>
      <c r="J9567" s="142">
        <v>78</v>
      </c>
      <c r="K9567" s="142">
        <v>0</v>
      </c>
      <c r="L9567" s="142">
        <v>0</v>
      </c>
      <c r="M9567" s="142">
        <v>0</v>
      </c>
    </row>
    <row r="9568" spans="1:13" x14ac:dyDescent="0.45">
      <c r="A9568" s="142" t="s">
        <v>13034</v>
      </c>
      <c r="B9568" s="142" t="s">
        <v>15562</v>
      </c>
      <c r="C9568" s="142" t="s">
        <v>15847</v>
      </c>
      <c r="D9568" s="142" t="s">
        <v>15848</v>
      </c>
      <c r="E9568" s="142" t="s">
        <v>15849</v>
      </c>
      <c r="F9568" s="142" t="s">
        <v>213</v>
      </c>
      <c r="G9568" s="142" t="s">
        <v>2380</v>
      </c>
      <c r="H9568" s="142" t="s">
        <v>25418</v>
      </c>
      <c r="I9568" s="142">
        <v>24</v>
      </c>
      <c r="J9568" s="142">
        <v>1</v>
      </c>
      <c r="K9568" s="142">
        <v>0</v>
      </c>
      <c r="L9568" s="142">
        <v>23</v>
      </c>
      <c r="M9568" s="142">
        <v>0</v>
      </c>
    </row>
    <row r="9569" spans="1:13" x14ac:dyDescent="0.45">
      <c r="A9569" s="142" t="s">
        <v>13038</v>
      </c>
      <c r="B9569" s="142" t="s">
        <v>14646</v>
      </c>
      <c r="C9569" s="142" t="s">
        <v>15847</v>
      </c>
      <c r="D9569" s="142" t="s">
        <v>15848</v>
      </c>
      <c r="E9569" s="142" t="s">
        <v>15849</v>
      </c>
      <c r="F9569" s="142" t="s">
        <v>213</v>
      </c>
      <c r="G9569" s="142" t="s">
        <v>2380</v>
      </c>
      <c r="H9569" s="142" t="s">
        <v>25419</v>
      </c>
      <c r="I9569" s="142">
        <v>19</v>
      </c>
      <c r="J9569" s="142">
        <v>0</v>
      </c>
      <c r="K9569" s="142">
        <v>0</v>
      </c>
      <c r="L9569" s="142">
        <v>0</v>
      </c>
      <c r="M9569" s="142">
        <v>19</v>
      </c>
    </row>
    <row r="9570" spans="1:13" x14ac:dyDescent="0.45">
      <c r="A9570" s="142" t="s">
        <v>13039</v>
      </c>
      <c r="B9570" s="142" t="s">
        <v>14647</v>
      </c>
      <c r="C9570" s="142" t="s">
        <v>15847</v>
      </c>
      <c r="D9570" s="142" t="s">
        <v>15848</v>
      </c>
      <c r="E9570" s="142" t="s">
        <v>15849</v>
      </c>
      <c r="F9570" s="142" t="s">
        <v>213</v>
      </c>
      <c r="G9570" s="142" t="s">
        <v>2380</v>
      </c>
      <c r="H9570" s="142" t="s">
        <v>25420</v>
      </c>
      <c r="I9570" s="142">
        <v>69</v>
      </c>
      <c r="J9570" s="142">
        <v>69</v>
      </c>
      <c r="K9570" s="142">
        <v>0</v>
      </c>
      <c r="L9570" s="142">
        <v>0</v>
      </c>
      <c r="M9570" s="142">
        <v>0</v>
      </c>
    </row>
    <row r="9571" spans="1:13" x14ac:dyDescent="0.45">
      <c r="A9571" s="142" t="s">
        <v>14378</v>
      </c>
      <c r="B9571" s="142" t="s">
        <v>14714</v>
      </c>
      <c r="C9571" s="142" t="s">
        <v>15860</v>
      </c>
      <c r="D9571" s="142" t="s">
        <v>15861</v>
      </c>
      <c r="E9571" s="142" t="s">
        <v>15849</v>
      </c>
      <c r="F9571" s="142" t="s">
        <v>213</v>
      </c>
      <c r="G9571" s="142" t="s">
        <v>2380</v>
      </c>
      <c r="H9571" s="142" t="s">
        <v>25421</v>
      </c>
      <c r="I9571" s="142">
        <v>228</v>
      </c>
      <c r="J9571" s="142">
        <v>37</v>
      </c>
      <c r="K9571" s="142">
        <v>0</v>
      </c>
      <c r="L9571" s="142">
        <v>191</v>
      </c>
      <c r="M9571" s="142">
        <v>0</v>
      </c>
    </row>
    <row r="9572" spans="1:13" x14ac:dyDescent="0.45">
      <c r="A9572" s="142" t="s">
        <v>13078</v>
      </c>
      <c r="B9572" s="142" t="s">
        <v>15540</v>
      </c>
      <c r="C9572" s="142" t="s">
        <v>15847</v>
      </c>
      <c r="D9572" s="142" t="s">
        <v>15848</v>
      </c>
      <c r="E9572" s="142" t="s">
        <v>15849</v>
      </c>
      <c r="F9572" s="142" t="s">
        <v>213</v>
      </c>
      <c r="G9572" s="142" t="s">
        <v>2380</v>
      </c>
      <c r="H9572" s="142" t="s">
        <v>25422</v>
      </c>
      <c r="I9572" s="142">
        <v>18</v>
      </c>
      <c r="J9572" s="142">
        <v>18</v>
      </c>
      <c r="K9572" s="142">
        <v>0</v>
      </c>
      <c r="L9572" s="142">
        <v>0</v>
      </c>
      <c r="M9572" s="142">
        <v>0</v>
      </c>
    </row>
    <row r="9573" spans="1:13" x14ac:dyDescent="0.45">
      <c r="A9573" s="142" t="s">
        <v>13009</v>
      </c>
      <c r="B9573" s="142" t="s">
        <v>15256</v>
      </c>
      <c r="C9573" s="142" t="s">
        <v>15847</v>
      </c>
      <c r="D9573" s="142" t="s">
        <v>15848</v>
      </c>
      <c r="E9573" s="142" t="s">
        <v>15849</v>
      </c>
      <c r="F9573" s="142" t="s">
        <v>213</v>
      </c>
      <c r="G9573" s="142" t="s">
        <v>2380</v>
      </c>
      <c r="H9573" s="142" t="s">
        <v>25423</v>
      </c>
      <c r="I9573" s="142">
        <v>756</v>
      </c>
      <c r="J9573" s="142">
        <v>684</v>
      </c>
      <c r="K9573" s="142">
        <v>0</v>
      </c>
      <c r="L9573" s="142">
        <v>60</v>
      </c>
      <c r="M9573" s="142">
        <v>12</v>
      </c>
    </row>
    <row r="9574" spans="1:13" x14ac:dyDescent="0.45">
      <c r="A9574" s="142" t="s">
        <v>13194</v>
      </c>
      <c r="B9574" s="142" t="s">
        <v>15572</v>
      </c>
      <c r="C9574" s="142" t="s">
        <v>15847</v>
      </c>
      <c r="D9574" s="142" t="s">
        <v>15848</v>
      </c>
      <c r="E9574" s="142" t="s">
        <v>15849</v>
      </c>
      <c r="F9574" s="142" t="s">
        <v>213</v>
      </c>
      <c r="G9574" s="142" t="s">
        <v>2380</v>
      </c>
      <c r="H9574" s="142" t="s">
        <v>25424</v>
      </c>
      <c r="I9574" s="142">
        <v>6634</v>
      </c>
      <c r="J9574" s="142">
        <v>4780</v>
      </c>
      <c r="K9574" s="142">
        <v>0</v>
      </c>
      <c r="L9574" s="142">
        <v>1499</v>
      </c>
      <c r="M9574" s="142">
        <v>355</v>
      </c>
    </row>
    <row r="9575" spans="1:13" x14ac:dyDescent="0.45">
      <c r="A9575" s="142" t="s">
        <v>13403</v>
      </c>
      <c r="B9575" s="142" t="s">
        <v>15412</v>
      </c>
      <c r="C9575" s="142" t="s">
        <v>15847</v>
      </c>
      <c r="D9575" s="142" t="s">
        <v>15848</v>
      </c>
      <c r="E9575" s="142" t="s">
        <v>15849</v>
      </c>
      <c r="F9575" s="142" t="s">
        <v>213</v>
      </c>
      <c r="G9575" s="142" t="s">
        <v>2380</v>
      </c>
      <c r="H9575" s="142" t="s">
        <v>25425</v>
      </c>
      <c r="I9575" s="142">
        <v>115</v>
      </c>
      <c r="J9575" s="142">
        <v>99</v>
      </c>
      <c r="K9575" s="142">
        <v>0</v>
      </c>
      <c r="L9575" s="142">
        <v>0</v>
      </c>
      <c r="M9575" s="142">
        <v>16</v>
      </c>
    </row>
    <row r="9576" spans="1:13" x14ac:dyDescent="0.45">
      <c r="A9576" s="142" t="s">
        <v>13058</v>
      </c>
      <c r="B9576" s="142" t="s">
        <v>14584</v>
      </c>
      <c r="C9576" s="142" t="s">
        <v>15847</v>
      </c>
      <c r="D9576" s="142" t="s">
        <v>15848</v>
      </c>
      <c r="E9576" s="142" t="s">
        <v>15849</v>
      </c>
      <c r="F9576" s="142" t="s">
        <v>213</v>
      </c>
      <c r="G9576" s="142" t="s">
        <v>2380</v>
      </c>
      <c r="H9576" s="142" t="s">
        <v>25426</v>
      </c>
      <c r="I9576" s="142">
        <v>2178</v>
      </c>
      <c r="J9576" s="142">
        <v>1732</v>
      </c>
      <c r="K9576" s="142">
        <v>0</v>
      </c>
      <c r="L9576" s="142">
        <v>28</v>
      </c>
      <c r="M9576" s="142">
        <v>418</v>
      </c>
    </row>
    <row r="9577" spans="1:13" x14ac:dyDescent="0.45">
      <c r="A9577" s="142" t="s">
        <v>13041</v>
      </c>
      <c r="B9577" s="142" t="s">
        <v>14441</v>
      </c>
      <c r="C9577" s="142" t="s">
        <v>15847</v>
      </c>
      <c r="D9577" s="142" t="s">
        <v>15848</v>
      </c>
      <c r="E9577" s="142" t="s">
        <v>15849</v>
      </c>
      <c r="F9577" s="142" t="s">
        <v>213</v>
      </c>
      <c r="G9577" s="142" t="s">
        <v>2380</v>
      </c>
      <c r="H9577" s="142" t="s">
        <v>25427</v>
      </c>
      <c r="I9577" s="142">
        <v>38</v>
      </c>
      <c r="J9577" s="142">
        <v>0</v>
      </c>
      <c r="K9577" s="142">
        <v>0</v>
      </c>
      <c r="L9577" s="142">
        <v>0</v>
      </c>
      <c r="M9577" s="142">
        <v>38</v>
      </c>
    </row>
    <row r="9578" spans="1:13" x14ac:dyDescent="0.45">
      <c r="A9578" s="142" t="s">
        <v>13205</v>
      </c>
      <c r="B9578" s="142" t="s">
        <v>14496</v>
      </c>
      <c r="C9578" s="142" t="s">
        <v>15847</v>
      </c>
      <c r="D9578" s="142" t="s">
        <v>15848</v>
      </c>
      <c r="E9578" s="142" t="s">
        <v>15849</v>
      </c>
      <c r="F9578" s="142" t="s">
        <v>213</v>
      </c>
      <c r="G9578" s="142" t="s">
        <v>2380</v>
      </c>
      <c r="H9578" s="142" t="s">
        <v>25428</v>
      </c>
      <c r="I9578" s="142">
        <v>356</v>
      </c>
      <c r="J9578" s="142">
        <v>332</v>
      </c>
      <c r="K9578" s="142">
        <v>0</v>
      </c>
      <c r="L9578" s="142">
        <v>8</v>
      </c>
      <c r="M9578" s="142">
        <v>16</v>
      </c>
    </row>
    <row r="9579" spans="1:13" x14ac:dyDescent="0.45">
      <c r="A9579" s="142" t="s">
        <v>13012</v>
      </c>
      <c r="B9579" s="142" t="s">
        <v>15337</v>
      </c>
      <c r="C9579" s="142" t="s">
        <v>15847</v>
      </c>
      <c r="D9579" s="142" t="s">
        <v>15848</v>
      </c>
      <c r="E9579" s="142" t="s">
        <v>15849</v>
      </c>
      <c r="F9579" s="142" t="s">
        <v>213</v>
      </c>
      <c r="G9579" s="142" t="s">
        <v>2380</v>
      </c>
      <c r="H9579" s="142" t="s">
        <v>25429</v>
      </c>
      <c r="I9579" s="142">
        <v>1256</v>
      </c>
      <c r="J9579" s="142">
        <v>1052</v>
      </c>
      <c r="K9579" s="142">
        <v>0</v>
      </c>
      <c r="L9579" s="142">
        <v>122</v>
      </c>
      <c r="M9579" s="142">
        <v>82</v>
      </c>
    </row>
    <row r="9580" spans="1:13" x14ac:dyDescent="0.45">
      <c r="A9580" s="142" t="s">
        <v>13060</v>
      </c>
      <c r="B9580" s="142" t="s">
        <v>14470</v>
      </c>
      <c r="C9580" s="142" t="s">
        <v>15847</v>
      </c>
      <c r="D9580" s="142" t="s">
        <v>15848</v>
      </c>
      <c r="E9580" s="142" t="s">
        <v>15849</v>
      </c>
      <c r="F9580" s="142" t="s">
        <v>213</v>
      </c>
      <c r="G9580" s="142" t="s">
        <v>2380</v>
      </c>
      <c r="H9580" s="142" t="s">
        <v>25430</v>
      </c>
      <c r="I9580" s="142">
        <v>392</v>
      </c>
      <c r="J9580" s="142">
        <v>296</v>
      </c>
      <c r="K9580" s="142">
        <v>0</v>
      </c>
      <c r="L9580" s="142">
        <v>0</v>
      </c>
      <c r="M9580" s="142">
        <v>96</v>
      </c>
    </row>
    <row r="9581" spans="1:13" x14ac:dyDescent="0.45">
      <c r="A9581" s="142" t="s">
        <v>14379</v>
      </c>
      <c r="B9581" s="142" t="s">
        <v>15193</v>
      </c>
      <c r="C9581" s="142" t="s">
        <v>15860</v>
      </c>
      <c r="D9581" s="142" t="s">
        <v>15861</v>
      </c>
      <c r="E9581" s="142" t="s">
        <v>15849</v>
      </c>
      <c r="F9581" s="142" t="s">
        <v>213</v>
      </c>
      <c r="G9581" s="142" t="s">
        <v>2380</v>
      </c>
      <c r="H9581" s="142" t="s">
        <v>25431</v>
      </c>
      <c r="I9581" s="142">
        <v>12</v>
      </c>
      <c r="J9581" s="142">
        <v>0</v>
      </c>
      <c r="K9581" s="142">
        <v>0</v>
      </c>
      <c r="L9581" s="142">
        <v>12</v>
      </c>
      <c r="M9581" s="142">
        <v>0</v>
      </c>
    </row>
    <row r="9582" spans="1:13" x14ac:dyDescent="0.45">
      <c r="A9582" s="142" t="s">
        <v>13285</v>
      </c>
      <c r="B9582" s="142" t="s">
        <v>15158</v>
      </c>
      <c r="C9582" s="142" t="s">
        <v>15860</v>
      </c>
      <c r="D9582" s="142" t="s">
        <v>15861</v>
      </c>
      <c r="E9582" s="142" t="s">
        <v>15849</v>
      </c>
      <c r="F9582" s="142" t="s">
        <v>213</v>
      </c>
      <c r="G9582" s="142" t="s">
        <v>2380</v>
      </c>
      <c r="H9582" s="142" t="s">
        <v>25432</v>
      </c>
      <c r="I9582" s="142">
        <v>67</v>
      </c>
      <c r="J9582" s="142">
        <v>0</v>
      </c>
      <c r="K9582" s="142">
        <v>0</v>
      </c>
      <c r="L9582" s="142">
        <v>67</v>
      </c>
      <c r="M9582" s="142">
        <v>0</v>
      </c>
    </row>
    <row r="9583" spans="1:13" x14ac:dyDescent="0.45">
      <c r="A9583" s="142" t="s">
        <v>14380</v>
      </c>
      <c r="B9583" s="142" t="s">
        <v>14843</v>
      </c>
      <c r="C9583" s="142" t="s">
        <v>15860</v>
      </c>
      <c r="D9583" s="142" t="s">
        <v>15861</v>
      </c>
      <c r="E9583" s="142" t="s">
        <v>15849</v>
      </c>
      <c r="F9583" s="142" t="s">
        <v>213</v>
      </c>
      <c r="G9583" s="142" t="s">
        <v>2380</v>
      </c>
      <c r="H9583" s="142" t="s">
        <v>25433</v>
      </c>
      <c r="I9583" s="142">
        <v>49</v>
      </c>
      <c r="J9583" s="142">
        <v>0</v>
      </c>
      <c r="K9583" s="142">
        <v>0</v>
      </c>
      <c r="L9583" s="142">
        <v>49</v>
      </c>
      <c r="M9583" s="142">
        <v>0</v>
      </c>
    </row>
    <row r="9584" spans="1:13" x14ac:dyDescent="0.45">
      <c r="A9584" s="142" t="s">
        <v>14381</v>
      </c>
      <c r="B9584" s="142" t="s">
        <v>14915</v>
      </c>
      <c r="C9584" s="142" t="s">
        <v>15860</v>
      </c>
      <c r="D9584" s="142" t="s">
        <v>15861</v>
      </c>
      <c r="E9584" s="142" t="s">
        <v>15849</v>
      </c>
      <c r="F9584" s="142" t="s">
        <v>213</v>
      </c>
      <c r="G9584" s="142" t="s">
        <v>2380</v>
      </c>
      <c r="H9584" s="142" t="s">
        <v>25434</v>
      </c>
      <c r="I9584" s="142">
        <v>12</v>
      </c>
      <c r="J9584" s="142">
        <v>12</v>
      </c>
      <c r="K9584" s="142">
        <v>0</v>
      </c>
      <c r="L9584" s="142">
        <v>0</v>
      </c>
      <c r="M9584" s="142">
        <v>0</v>
      </c>
    </row>
    <row r="9585" spans="1:13" x14ac:dyDescent="0.45">
      <c r="A9585" s="142" t="s">
        <v>13014</v>
      </c>
      <c r="B9585" s="142" t="s">
        <v>14505</v>
      </c>
      <c r="C9585" s="142" t="s">
        <v>15847</v>
      </c>
      <c r="D9585" s="142" t="s">
        <v>15848</v>
      </c>
      <c r="E9585" s="142" t="s">
        <v>15849</v>
      </c>
      <c r="F9585" s="142" t="s">
        <v>213</v>
      </c>
      <c r="G9585" s="142" t="s">
        <v>2380</v>
      </c>
      <c r="H9585" s="142" t="s">
        <v>25435</v>
      </c>
      <c r="I9585" s="142">
        <v>862</v>
      </c>
      <c r="J9585" s="142">
        <v>771</v>
      </c>
      <c r="K9585" s="142">
        <v>0</v>
      </c>
      <c r="L9585" s="142">
        <v>42</v>
      </c>
      <c r="M9585" s="142">
        <v>49</v>
      </c>
    </row>
    <row r="9586" spans="1:13" x14ac:dyDescent="0.45">
      <c r="A9586" s="142" t="s">
        <v>13174</v>
      </c>
      <c r="B9586" s="142" t="s">
        <v>15280</v>
      </c>
      <c r="C9586" s="142" t="s">
        <v>15847</v>
      </c>
      <c r="D9586" s="142" t="s">
        <v>15848</v>
      </c>
      <c r="E9586" s="142" t="s">
        <v>15849</v>
      </c>
      <c r="F9586" s="142" t="s">
        <v>213</v>
      </c>
      <c r="G9586" s="142" t="s">
        <v>2380</v>
      </c>
      <c r="H9586" s="142" t="s">
        <v>25436</v>
      </c>
      <c r="I9586" s="142">
        <v>938</v>
      </c>
      <c r="J9586" s="142">
        <v>579</v>
      </c>
      <c r="K9586" s="142">
        <v>0</v>
      </c>
      <c r="L9586" s="142">
        <v>4</v>
      </c>
      <c r="M9586" s="142">
        <v>355</v>
      </c>
    </row>
    <row r="9587" spans="1:13" x14ac:dyDescent="0.45">
      <c r="A9587" s="142" t="s">
        <v>13079</v>
      </c>
      <c r="B9587" s="142" t="s">
        <v>15431</v>
      </c>
      <c r="C9587" s="142" t="s">
        <v>15847</v>
      </c>
      <c r="D9587" s="142" t="s">
        <v>15848</v>
      </c>
      <c r="E9587" s="142" t="s">
        <v>15849</v>
      </c>
      <c r="F9587" s="142" t="s">
        <v>213</v>
      </c>
      <c r="G9587" s="142" t="s">
        <v>2380</v>
      </c>
      <c r="H9587" s="142" t="s">
        <v>25437</v>
      </c>
      <c r="I9587" s="142">
        <v>1</v>
      </c>
      <c r="J9587" s="142">
        <v>0</v>
      </c>
      <c r="K9587" s="142">
        <v>0</v>
      </c>
      <c r="L9587" s="142">
        <v>0</v>
      </c>
      <c r="M9587" s="142">
        <v>1</v>
      </c>
    </row>
    <row r="9588" spans="1:13" x14ac:dyDescent="0.45">
      <c r="A9588" s="142" t="s">
        <v>13015</v>
      </c>
      <c r="B9588" s="142" t="s">
        <v>14596</v>
      </c>
      <c r="C9588" s="142" t="s">
        <v>15847</v>
      </c>
      <c r="D9588" s="142" t="s">
        <v>15848</v>
      </c>
      <c r="E9588" s="142" t="s">
        <v>15849</v>
      </c>
      <c r="F9588" s="142" t="s">
        <v>213</v>
      </c>
      <c r="G9588" s="142" t="s">
        <v>2380</v>
      </c>
      <c r="H9588" s="142" t="s">
        <v>25438</v>
      </c>
      <c r="I9588" s="142">
        <v>25</v>
      </c>
      <c r="J9588" s="142">
        <v>14</v>
      </c>
      <c r="K9588" s="142">
        <v>0</v>
      </c>
      <c r="L9588" s="142">
        <v>0</v>
      </c>
      <c r="M9588" s="142">
        <v>11</v>
      </c>
    </row>
    <row r="9589" spans="1:13" x14ac:dyDescent="0.45">
      <c r="A9589" s="142" t="s">
        <v>13541</v>
      </c>
      <c r="B9589" s="142" t="s">
        <v>14579</v>
      </c>
      <c r="C9589" s="142" t="s">
        <v>15847</v>
      </c>
      <c r="D9589" s="142" t="s">
        <v>15848</v>
      </c>
      <c r="E9589" s="142" t="s">
        <v>15849</v>
      </c>
      <c r="F9589" s="142" t="s">
        <v>213</v>
      </c>
      <c r="G9589" s="142" t="s">
        <v>2380</v>
      </c>
      <c r="H9589" s="142" t="s">
        <v>25439</v>
      </c>
      <c r="I9589" s="142">
        <v>5</v>
      </c>
      <c r="J9589" s="142">
        <v>5</v>
      </c>
      <c r="K9589" s="142">
        <v>0</v>
      </c>
      <c r="L9589" s="142">
        <v>0</v>
      </c>
      <c r="M9589" s="142">
        <v>0</v>
      </c>
    </row>
    <row r="9590" spans="1:13" x14ac:dyDescent="0.45">
      <c r="A9590" s="142" t="s">
        <v>13195</v>
      </c>
      <c r="B9590" s="142" t="s">
        <v>15381</v>
      </c>
      <c r="C9590" s="142" t="s">
        <v>15860</v>
      </c>
      <c r="D9590" s="142" t="s">
        <v>15861</v>
      </c>
      <c r="E9590" s="142" t="s">
        <v>15849</v>
      </c>
      <c r="F9590" s="142" t="s">
        <v>213</v>
      </c>
      <c r="G9590" s="142" t="s">
        <v>2380</v>
      </c>
      <c r="H9590" s="142" t="s">
        <v>25440</v>
      </c>
      <c r="I9590" s="142">
        <v>268</v>
      </c>
      <c r="J9590" s="142">
        <v>268</v>
      </c>
      <c r="K9590" s="142">
        <v>0</v>
      </c>
      <c r="L9590" s="142">
        <v>0</v>
      </c>
      <c r="M9590" s="142">
        <v>0</v>
      </c>
    </row>
    <row r="9591" spans="1:13" x14ac:dyDescent="0.45">
      <c r="A9591" s="142" t="s">
        <v>13542</v>
      </c>
      <c r="B9591" s="142" t="s">
        <v>15368</v>
      </c>
      <c r="C9591" s="142" t="s">
        <v>15847</v>
      </c>
      <c r="D9591" s="142" t="s">
        <v>15848</v>
      </c>
      <c r="E9591" s="142" t="s">
        <v>15849</v>
      </c>
      <c r="F9591" s="142" t="s">
        <v>213</v>
      </c>
      <c r="G9591" s="142" t="s">
        <v>2380</v>
      </c>
      <c r="H9591" s="142" t="s">
        <v>25441</v>
      </c>
      <c r="I9591" s="142">
        <v>18</v>
      </c>
      <c r="J9591" s="142">
        <v>18</v>
      </c>
      <c r="K9591" s="142">
        <v>0</v>
      </c>
      <c r="L9591" s="142">
        <v>0</v>
      </c>
      <c r="M9591" s="142">
        <v>0</v>
      </c>
    </row>
    <row r="9592" spans="1:13" x14ac:dyDescent="0.45">
      <c r="A9592" s="142" t="s">
        <v>13207</v>
      </c>
      <c r="B9592" s="142" t="s">
        <v>15558</v>
      </c>
      <c r="C9592" s="142" t="s">
        <v>15847</v>
      </c>
      <c r="D9592" s="142" t="s">
        <v>15848</v>
      </c>
      <c r="E9592" s="142" t="s">
        <v>15849</v>
      </c>
      <c r="F9592" s="142" t="s">
        <v>213</v>
      </c>
      <c r="G9592" s="142" t="s">
        <v>2380</v>
      </c>
      <c r="H9592" s="142" t="s">
        <v>25442</v>
      </c>
      <c r="I9592" s="142">
        <v>44</v>
      </c>
      <c r="J9592" s="142">
        <v>0</v>
      </c>
      <c r="K9592" s="142">
        <v>0</v>
      </c>
      <c r="L9592" s="142">
        <v>24</v>
      </c>
      <c r="M9592" s="142">
        <v>20</v>
      </c>
    </row>
    <row r="9593" spans="1:13" x14ac:dyDescent="0.45">
      <c r="A9593" s="142" t="s">
        <v>13308</v>
      </c>
      <c r="B9593" s="142" t="s">
        <v>15608</v>
      </c>
      <c r="C9593" s="142" t="s">
        <v>15847</v>
      </c>
      <c r="D9593" s="142" t="s">
        <v>15848</v>
      </c>
      <c r="E9593" s="142" t="s">
        <v>15849</v>
      </c>
      <c r="F9593" s="142" t="s">
        <v>214</v>
      </c>
      <c r="G9593" s="142" t="s">
        <v>5150</v>
      </c>
      <c r="H9593" s="142" t="s">
        <v>25443</v>
      </c>
      <c r="I9593" s="142">
        <v>16</v>
      </c>
      <c r="J9593" s="142">
        <v>8</v>
      </c>
      <c r="K9593" s="142">
        <v>0</v>
      </c>
      <c r="L9593" s="142">
        <v>0</v>
      </c>
      <c r="M9593" s="142">
        <v>8</v>
      </c>
    </row>
    <row r="9594" spans="1:13" x14ac:dyDescent="0.45">
      <c r="A9594" s="142" t="s">
        <v>13166</v>
      </c>
      <c r="B9594" s="142" t="s">
        <v>15576</v>
      </c>
      <c r="C9594" s="142" t="s">
        <v>15847</v>
      </c>
      <c r="D9594" s="142" t="s">
        <v>15848</v>
      </c>
      <c r="E9594" s="142" t="s">
        <v>15849</v>
      </c>
      <c r="F9594" s="142" t="s">
        <v>214</v>
      </c>
      <c r="G9594" s="142" t="s">
        <v>5150</v>
      </c>
      <c r="H9594" s="142" t="s">
        <v>25444</v>
      </c>
      <c r="I9594" s="142">
        <v>960</v>
      </c>
      <c r="J9594" s="142">
        <v>882</v>
      </c>
      <c r="K9594" s="142">
        <v>0</v>
      </c>
      <c r="L9594" s="142">
        <v>46</v>
      </c>
      <c r="M9594" s="142">
        <v>32</v>
      </c>
    </row>
    <row r="9595" spans="1:13" x14ac:dyDescent="0.45">
      <c r="A9595" s="142" t="s">
        <v>13046</v>
      </c>
      <c r="B9595" s="142" t="s">
        <v>15537</v>
      </c>
      <c r="C9595" s="142" t="s">
        <v>15860</v>
      </c>
      <c r="D9595" s="142" t="s">
        <v>15861</v>
      </c>
      <c r="E9595" s="142" t="s">
        <v>15849</v>
      </c>
      <c r="F9595" s="142" t="s">
        <v>214</v>
      </c>
      <c r="G9595" s="142" t="s">
        <v>5150</v>
      </c>
      <c r="H9595" s="142" t="s">
        <v>25445</v>
      </c>
      <c r="I9595" s="142">
        <v>2</v>
      </c>
      <c r="J9595" s="142">
        <v>0</v>
      </c>
      <c r="K9595" s="142">
        <v>0</v>
      </c>
      <c r="L9595" s="142">
        <v>2</v>
      </c>
      <c r="M9595" s="142">
        <v>0</v>
      </c>
    </row>
    <row r="9596" spans="1:13" x14ac:dyDescent="0.45">
      <c r="A9596" s="142" t="s">
        <v>13167</v>
      </c>
      <c r="B9596" s="142" t="s">
        <v>15418</v>
      </c>
      <c r="C9596" s="142" t="s">
        <v>15847</v>
      </c>
      <c r="D9596" s="142" t="s">
        <v>15848</v>
      </c>
      <c r="E9596" s="142" t="s">
        <v>15849</v>
      </c>
      <c r="F9596" s="142" t="s">
        <v>214</v>
      </c>
      <c r="G9596" s="142" t="s">
        <v>5150</v>
      </c>
      <c r="H9596" s="142" t="s">
        <v>25446</v>
      </c>
      <c r="I9596" s="142">
        <v>152</v>
      </c>
      <c r="J9596" s="142">
        <v>149</v>
      </c>
      <c r="K9596" s="142">
        <v>0</v>
      </c>
      <c r="L9596" s="142">
        <v>0</v>
      </c>
      <c r="M9596" s="142">
        <v>3</v>
      </c>
    </row>
    <row r="9597" spans="1:13" x14ac:dyDescent="0.45">
      <c r="A9597" s="142" t="s">
        <v>13021</v>
      </c>
      <c r="B9597" s="142" t="s">
        <v>15501</v>
      </c>
      <c r="C9597" s="142" t="s">
        <v>15847</v>
      </c>
      <c r="D9597" s="142" t="s">
        <v>15848</v>
      </c>
      <c r="E9597" s="142" t="s">
        <v>15849</v>
      </c>
      <c r="F9597" s="142" t="s">
        <v>214</v>
      </c>
      <c r="G9597" s="142" t="s">
        <v>5150</v>
      </c>
      <c r="H9597" s="142" t="s">
        <v>25447</v>
      </c>
      <c r="I9597" s="142">
        <v>9</v>
      </c>
      <c r="J9597" s="142">
        <v>0</v>
      </c>
      <c r="K9597" s="142">
        <v>0</v>
      </c>
      <c r="L9597" s="142">
        <v>5</v>
      </c>
      <c r="M9597" s="142">
        <v>4</v>
      </c>
    </row>
    <row r="9598" spans="1:13" x14ac:dyDescent="0.45">
      <c r="A9598" s="142" t="s">
        <v>13023</v>
      </c>
      <c r="B9598" s="142" t="s">
        <v>15571</v>
      </c>
      <c r="C9598" s="142" t="s">
        <v>15847</v>
      </c>
      <c r="D9598" s="142" t="s">
        <v>15848</v>
      </c>
      <c r="E9598" s="142" t="s">
        <v>15849</v>
      </c>
      <c r="F9598" s="142" t="s">
        <v>214</v>
      </c>
      <c r="G9598" s="142" t="s">
        <v>5150</v>
      </c>
      <c r="H9598" s="142" t="s">
        <v>25448</v>
      </c>
      <c r="I9598" s="142">
        <v>87</v>
      </c>
      <c r="J9598" s="142">
        <v>0</v>
      </c>
      <c r="K9598" s="142">
        <v>0</v>
      </c>
      <c r="L9598" s="142">
        <v>87</v>
      </c>
      <c r="M9598" s="142">
        <v>0</v>
      </c>
    </row>
    <row r="9599" spans="1:13" x14ac:dyDescent="0.45">
      <c r="A9599" s="142" t="s">
        <v>13047</v>
      </c>
      <c r="B9599" s="142" t="s">
        <v>14616</v>
      </c>
      <c r="C9599" s="142" t="s">
        <v>15847</v>
      </c>
      <c r="D9599" s="142" t="s">
        <v>15848</v>
      </c>
      <c r="E9599" s="142" t="s">
        <v>15849</v>
      </c>
      <c r="F9599" s="142" t="s">
        <v>214</v>
      </c>
      <c r="G9599" s="142" t="s">
        <v>5150</v>
      </c>
      <c r="H9599" s="142" t="s">
        <v>25449</v>
      </c>
      <c r="I9599" s="142">
        <v>40</v>
      </c>
      <c r="J9599" s="142">
        <v>9</v>
      </c>
      <c r="K9599" s="142">
        <v>0</v>
      </c>
      <c r="L9599" s="142">
        <v>0</v>
      </c>
      <c r="M9599" s="142">
        <v>31</v>
      </c>
    </row>
    <row r="9600" spans="1:13" x14ac:dyDescent="0.45">
      <c r="A9600" s="142" t="s">
        <v>13048</v>
      </c>
      <c r="B9600" s="142" t="s">
        <v>14479</v>
      </c>
      <c r="C9600" s="142" t="s">
        <v>15847</v>
      </c>
      <c r="D9600" s="142" t="s">
        <v>15848</v>
      </c>
      <c r="E9600" s="142" t="s">
        <v>15849</v>
      </c>
      <c r="F9600" s="142" t="s">
        <v>214</v>
      </c>
      <c r="G9600" s="142" t="s">
        <v>5150</v>
      </c>
      <c r="H9600" s="142" t="s">
        <v>25450</v>
      </c>
      <c r="I9600" s="142">
        <v>47</v>
      </c>
      <c r="J9600" s="142">
        <v>22</v>
      </c>
      <c r="K9600" s="142">
        <v>0</v>
      </c>
      <c r="L9600" s="142">
        <v>0</v>
      </c>
      <c r="M9600" s="142">
        <v>25</v>
      </c>
    </row>
    <row r="9601" spans="1:13" x14ac:dyDescent="0.45">
      <c r="A9601" s="142" t="s">
        <v>13065</v>
      </c>
      <c r="B9601" s="142" t="s">
        <v>14497</v>
      </c>
      <c r="C9601" s="142" t="s">
        <v>15847</v>
      </c>
      <c r="D9601" s="142" t="s">
        <v>15848</v>
      </c>
      <c r="E9601" s="142" t="s">
        <v>15849</v>
      </c>
      <c r="F9601" s="142" t="s">
        <v>214</v>
      </c>
      <c r="G9601" s="142" t="s">
        <v>5150</v>
      </c>
      <c r="H9601" s="142" t="s">
        <v>25451</v>
      </c>
      <c r="I9601" s="142">
        <v>2</v>
      </c>
      <c r="J9601" s="142">
        <v>0</v>
      </c>
      <c r="K9601" s="142">
        <v>0</v>
      </c>
      <c r="L9601" s="142">
        <v>2</v>
      </c>
      <c r="M9601" s="142">
        <v>0</v>
      </c>
    </row>
    <row r="9602" spans="1:13" x14ac:dyDescent="0.45">
      <c r="A9602" s="142" t="s">
        <v>13301</v>
      </c>
      <c r="B9602" s="142" t="s">
        <v>15496</v>
      </c>
      <c r="C9602" s="142" t="s">
        <v>15847</v>
      </c>
      <c r="D9602" s="142" t="s">
        <v>15848</v>
      </c>
      <c r="E9602" s="142" t="s">
        <v>15849</v>
      </c>
      <c r="F9602" s="142" t="s">
        <v>214</v>
      </c>
      <c r="G9602" s="142" t="s">
        <v>5150</v>
      </c>
      <c r="H9602" s="142" t="s">
        <v>25452</v>
      </c>
      <c r="I9602" s="142">
        <v>6</v>
      </c>
      <c r="J9602" s="142">
        <v>6</v>
      </c>
      <c r="K9602" s="142">
        <v>0</v>
      </c>
      <c r="L9602" s="142">
        <v>0</v>
      </c>
      <c r="M9602" s="142">
        <v>0</v>
      </c>
    </row>
    <row r="9603" spans="1:13" x14ac:dyDescent="0.45">
      <c r="A9603" s="142" t="s">
        <v>13049</v>
      </c>
      <c r="B9603" s="142" t="s">
        <v>14534</v>
      </c>
      <c r="C9603" s="142" t="s">
        <v>15860</v>
      </c>
      <c r="D9603" s="142" t="s">
        <v>15861</v>
      </c>
      <c r="E9603" s="142" t="s">
        <v>15849</v>
      </c>
      <c r="F9603" s="142" t="s">
        <v>214</v>
      </c>
      <c r="G9603" s="142" t="s">
        <v>5150</v>
      </c>
      <c r="H9603" s="142" t="s">
        <v>25453</v>
      </c>
      <c r="I9603" s="142">
        <v>4</v>
      </c>
      <c r="J9603" s="142">
        <v>0</v>
      </c>
      <c r="K9603" s="142">
        <v>0</v>
      </c>
      <c r="L9603" s="142">
        <v>4</v>
      </c>
      <c r="M9603" s="142">
        <v>0</v>
      </c>
    </row>
    <row r="9604" spans="1:13" x14ac:dyDescent="0.45">
      <c r="A9604" s="142" t="s">
        <v>13027</v>
      </c>
      <c r="B9604" s="142" t="s">
        <v>14562</v>
      </c>
      <c r="C9604" s="142" t="s">
        <v>15847</v>
      </c>
      <c r="D9604" s="142" t="s">
        <v>15848</v>
      </c>
      <c r="E9604" s="142" t="s">
        <v>15849</v>
      </c>
      <c r="F9604" s="142" t="s">
        <v>214</v>
      </c>
      <c r="G9604" s="142" t="s">
        <v>5150</v>
      </c>
      <c r="H9604" s="142" t="s">
        <v>25454</v>
      </c>
      <c r="I9604" s="142">
        <v>11</v>
      </c>
      <c r="J9604" s="142">
        <v>0</v>
      </c>
      <c r="K9604" s="142">
        <v>0</v>
      </c>
      <c r="L9604" s="142">
        <v>11</v>
      </c>
      <c r="M9604" s="142">
        <v>0</v>
      </c>
    </row>
    <row r="9605" spans="1:13" x14ac:dyDescent="0.45">
      <c r="A9605" s="142" t="s">
        <v>13752</v>
      </c>
      <c r="B9605" s="142" t="s">
        <v>14517</v>
      </c>
      <c r="C9605" s="142" t="s">
        <v>15847</v>
      </c>
      <c r="D9605" s="142" t="s">
        <v>15848</v>
      </c>
      <c r="E9605" s="142" t="s">
        <v>15849</v>
      </c>
      <c r="F9605" s="142" t="s">
        <v>214</v>
      </c>
      <c r="G9605" s="142" t="s">
        <v>5150</v>
      </c>
      <c r="H9605" s="142" t="s">
        <v>25455</v>
      </c>
      <c r="I9605" s="142">
        <v>338</v>
      </c>
      <c r="J9605" s="142">
        <v>179</v>
      </c>
      <c r="K9605" s="142">
        <v>0</v>
      </c>
      <c r="L9605" s="142">
        <v>0</v>
      </c>
      <c r="M9605" s="142">
        <v>159</v>
      </c>
    </row>
    <row r="9606" spans="1:13" x14ac:dyDescent="0.45">
      <c r="A9606" s="142" t="s">
        <v>13028</v>
      </c>
      <c r="B9606" s="142" t="s">
        <v>14462</v>
      </c>
      <c r="C9606" s="142" t="s">
        <v>15847</v>
      </c>
      <c r="D9606" s="142" t="s">
        <v>15848</v>
      </c>
      <c r="E9606" s="142" t="s">
        <v>15849</v>
      </c>
      <c r="F9606" s="142" t="s">
        <v>214</v>
      </c>
      <c r="G9606" s="142" t="s">
        <v>5150</v>
      </c>
      <c r="H9606" s="142" t="s">
        <v>25456</v>
      </c>
      <c r="I9606" s="142">
        <v>26</v>
      </c>
      <c r="J9606" s="142">
        <v>0</v>
      </c>
      <c r="K9606" s="142">
        <v>0</v>
      </c>
      <c r="L9606" s="142">
        <v>0</v>
      </c>
      <c r="M9606" s="142">
        <v>26</v>
      </c>
    </row>
    <row r="9607" spans="1:13" x14ac:dyDescent="0.45">
      <c r="A9607" s="142" t="s">
        <v>13002</v>
      </c>
      <c r="B9607" s="142" t="s">
        <v>15376</v>
      </c>
      <c r="C9607" s="142" t="s">
        <v>15847</v>
      </c>
      <c r="D9607" s="142" t="s">
        <v>15848</v>
      </c>
      <c r="E9607" s="142" t="s">
        <v>15849</v>
      </c>
      <c r="F9607" s="142" t="s">
        <v>214</v>
      </c>
      <c r="G9607" s="142" t="s">
        <v>5150</v>
      </c>
      <c r="H9607" s="142" t="s">
        <v>25457</v>
      </c>
      <c r="I9607" s="142">
        <v>92</v>
      </c>
      <c r="J9607" s="142">
        <v>42</v>
      </c>
      <c r="K9607" s="142">
        <v>0</v>
      </c>
      <c r="L9607" s="142">
        <v>21</v>
      </c>
      <c r="M9607" s="142">
        <v>29</v>
      </c>
    </row>
    <row r="9608" spans="1:13" x14ac:dyDescent="0.45">
      <c r="A9608" s="142" t="s">
        <v>13003</v>
      </c>
      <c r="B9608" s="142" t="s">
        <v>15245</v>
      </c>
      <c r="C9608" s="142" t="s">
        <v>15847</v>
      </c>
      <c r="D9608" s="142" t="s">
        <v>15848</v>
      </c>
      <c r="E9608" s="142" t="s">
        <v>15849</v>
      </c>
      <c r="F9608" s="142" t="s">
        <v>214</v>
      </c>
      <c r="G9608" s="142" t="s">
        <v>5150</v>
      </c>
      <c r="H9608" s="142" t="s">
        <v>25458</v>
      </c>
      <c r="I9608" s="142">
        <v>135</v>
      </c>
      <c r="J9608" s="142">
        <v>0</v>
      </c>
      <c r="K9608" s="142">
        <v>0</v>
      </c>
      <c r="L9608" s="142">
        <v>135</v>
      </c>
      <c r="M9608" s="142">
        <v>0</v>
      </c>
    </row>
    <row r="9609" spans="1:13" x14ac:dyDescent="0.45">
      <c r="A9609" s="142" t="s">
        <v>13004</v>
      </c>
      <c r="B9609" s="142" t="s">
        <v>15492</v>
      </c>
      <c r="C9609" s="142" t="s">
        <v>15847</v>
      </c>
      <c r="D9609" s="142" t="s">
        <v>15848</v>
      </c>
      <c r="E9609" s="142" t="s">
        <v>15849</v>
      </c>
      <c r="F9609" s="142" t="s">
        <v>214</v>
      </c>
      <c r="G9609" s="142" t="s">
        <v>5150</v>
      </c>
      <c r="H9609" s="142" t="s">
        <v>25459</v>
      </c>
      <c r="I9609" s="142">
        <v>161</v>
      </c>
      <c r="J9609" s="142">
        <v>121</v>
      </c>
      <c r="K9609" s="142">
        <v>0</v>
      </c>
      <c r="L9609" s="142">
        <v>16</v>
      </c>
      <c r="M9609" s="142">
        <v>24</v>
      </c>
    </row>
    <row r="9610" spans="1:13" x14ac:dyDescent="0.45">
      <c r="A9610" s="142" t="s">
        <v>13201</v>
      </c>
      <c r="B9610" s="142" t="s">
        <v>14481</v>
      </c>
      <c r="C9610" s="142" t="s">
        <v>15860</v>
      </c>
      <c r="D9610" s="142" t="s">
        <v>15861</v>
      </c>
      <c r="E9610" s="142" t="s">
        <v>15849</v>
      </c>
      <c r="F9610" s="142" t="s">
        <v>214</v>
      </c>
      <c r="G9610" s="142" t="s">
        <v>5150</v>
      </c>
      <c r="H9610" s="142" t="s">
        <v>25460</v>
      </c>
      <c r="I9610" s="142">
        <v>2</v>
      </c>
      <c r="J9610" s="142">
        <v>2</v>
      </c>
      <c r="K9610" s="142">
        <v>0</v>
      </c>
      <c r="L9610" s="142">
        <v>0</v>
      </c>
      <c r="M9610" s="142">
        <v>0</v>
      </c>
    </row>
    <row r="9611" spans="1:13" x14ac:dyDescent="0.45">
      <c r="A9611" s="142" t="s">
        <v>13076</v>
      </c>
      <c r="B9611" s="142" t="s">
        <v>14636</v>
      </c>
      <c r="C9611" s="142" t="s">
        <v>15847</v>
      </c>
      <c r="D9611" s="142" t="s">
        <v>15848</v>
      </c>
      <c r="E9611" s="142" t="s">
        <v>15849</v>
      </c>
      <c r="F9611" s="142" t="s">
        <v>214</v>
      </c>
      <c r="G9611" s="142" t="s">
        <v>5150</v>
      </c>
      <c r="H9611" s="142" t="s">
        <v>25461</v>
      </c>
      <c r="I9611" s="142">
        <v>12</v>
      </c>
      <c r="J9611" s="142">
        <v>0</v>
      </c>
      <c r="K9611" s="142">
        <v>0</v>
      </c>
      <c r="L9611" s="142">
        <v>0</v>
      </c>
      <c r="M9611" s="142">
        <v>12</v>
      </c>
    </row>
    <row r="9612" spans="1:13" x14ac:dyDescent="0.45">
      <c r="A9612" s="142" t="s">
        <v>13053</v>
      </c>
      <c r="B9612" s="142" t="s">
        <v>15436</v>
      </c>
      <c r="C9612" s="142" t="s">
        <v>15847</v>
      </c>
      <c r="D9612" s="142" t="s">
        <v>15848</v>
      </c>
      <c r="E9612" s="142" t="s">
        <v>15849</v>
      </c>
      <c r="F9612" s="142" t="s">
        <v>214</v>
      </c>
      <c r="G9612" s="142" t="s">
        <v>5150</v>
      </c>
      <c r="H9612" s="142" t="s">
        <v>25462</v>
      </c>
      <c r="I9612" s="142">
        <v>85</v>
      </c>
      <c r="J9612" s="142">
        <v>60</v>
      </c>
      <c r="K9612" s="142">
        <v>0</v>
      </c>
      <c r="L9612" s="142">
        <v>0</v>
      </c>
      <c r="M9612" s="142">
        <v>25</v>
      </c>
    </row>
    <row r="9613" spans="1:13" x14ac:dyDescent="0.45">
      <c r="A9613" s="142" t="s">
        <v>13217</v>
      </c>
      <c r="B9613" s="142" t="s">
        <v>14578</v>
      </c>
      <c r="C9613" s="142" t="s">
        <v>15860</v>
      </c>
      <c r="D9613" s="142" t="s">
        <v>15861</v>
      </c>
      <c r="E9613" s="142" t="s">
        <v>15849</v>
      </c>
      <c r="F9613" s="142" t="s">
        <v>214</v>
      </c>
      <c r="G9613" s="142" t="s">
        <v>5150</v>
      </c>
      <c r="H9613" s="142" t="s">
        <v>25463</v>
      </c>
      <c r="I9613" s="142">
        <v>9</v>
      </c>
      <c r="J9613" s="142">
        <v>9</v>
      </c>
      <c r="K9613" s="142">
        <v>0</v>
      </c>
      <c r="L9613" s="142">
        <v>0</v>
      </c>
      <c r="M9613" s="142">
        <v>0</v>
      </c>
    </row>
    <row r="9614" spans="1:13" x14ac:dyDescent="0.45">
      <c r="A9614" s="142" t="s">
        <v>13069</v>
      </c>
      <c r="B9614" s="142" t="s">
        <v>14630</v>
      </c>
      <c r="C9614" s="142" t="s">
        <v>15860</v>
      </c>
      <c r="D9614" s="142" t="s">
        <v>15861</v>
      </c>
      <c r="E9614" s="142" t="s">
        <v>15849</v>
      </c>
      <c r="F9614" s="142" t="s">
        <v>214</v>
      </c>
      <c r="G9614" s="142" t="s">
        <v>5150</v>
      </c>
      <c r="H9614" s="142" t="s">
        <v>25464</v>
      </c>
      <c r="I9614" s="142">
        <v>3</v>
      </c>
      <c r="J9614" s="142">
        <v>3</v>
      </c>
      <c r="K9614" s="142">
        <v>0</v>
      </c>
      <c r="L9614" s="142">
        <v>0</v>
      </c>
      <c r="M9614" s="142">
        <v>0</v>
      </c>
    </row>
    <row r="9615" spans="1:13" x14ac:dyDescent="0.45">
      <c r="A9615" s="142" t="s">
        <v>13038</v>
      </c>
      <c r="B9615" s="142" t="s">
        <v>14646</v>
      </c>
      <c r="C9615" s="142" t="s">
        <v>15847</v>
      </c>
      <c r="D9615" s="142" t="s">
        <v>15848</v>
      </c>
      <c r="E9615" s="142" t="s">
        <v>15849</v>
      </c>
      <c r="F9615" s="142" t="s">
        <v>214</v>
      </c>
      <c r="G9615" s="142" t="s">
        <v>5150</v>
      </c>
      <c r="H9615" s="142" t="s">
        <v>25465</v>
      </c>
      <c r="I9615" s="142">
        <v>22</v>
      </c>
      <c r="J9615" s="142">
        <v>0</v>
      </c>
      <c r="K9615" s="142">
        <v>0</v>
      </c>
      <c r="L9615" s="142">
        <v>0</v>
      </c>
      <c r="M9615" s="142">
        <v>22</v>
      </c>
    </row>
    <row r="9616" spans="1:13" x14ac:dyDescent="0.45">
      <c r="A9616" s="142" t="s">
        <v>13009</v>
      </c>
      <c r="B9616" s="142" t="s">
        <v>15256</v>
      </c>
      <c r="C9616" s="142" t="s">
        <v>15847</v>
      </c>
      <c r="D9616" s="142" t="s">
        <v>15848</v>
      </c>
      <c r="E9616" s="142" t="s">
        <v>15849</v>
      </c>
      <c r="F9616" s="142" t="s">
        <v>214</v>
      </c>
      <c r="G9616" s="142" t="s">
        <v>5150</v>
      </c>
      <c r="H9616" s="142" t="s">
        <v>25466</v>
      </c>
      <c r="I9616" s="142">
        <v>15</v>
      </c>
      <c r="J9616" s="142">
        <v>0</v>
      </c>
      <c r="K9616" s="142">
        <v>0</v>
      </c>
      <c r="L9616" s="142">
        <v>15</v>
      </c>
      <c r="M9616" s="142">
        <v>0</v>
      </c>
    </row>
    <row r="9617" spans="1:13" x14ac:dyDescent="0.45">
      <c r="A9617" s="142" t="s">
        <v>13058</v>
      </c>
      <c r="B9617" s="142" t="s">
        <v>14584</v>
      </c>
      <c r="C9617" s="142" t="s">
        <v>15847</v>
      </c>
      <c r="D9617" s="142" t="s">
        <v>15848</v>
      </c>
      <c r="E9617" s="142" t="s">
        <v>15849</v>
      </c>
      <c r="F9617" s="142" t="s">
        <v>214</v>
      </c>
      <c r="G9617" s="142" t="s">
        <v>5150</v>
      </c>
      <c r="H9617" s="142" t="s">
        <v>25467</v>
      </c>
      <c r="I9617" s="142">
        <v>470</v>
      </c>
      <c r="J9617" s="142">
        <v>324</v>
      </c>
      <c r="K9617" s="142">
        <v>0</v>
      </c>
      <c r="L9617" s="142">
        <v>11</v>
      </c>
      <c r="M9617" s="142">
        <v>135</v>
      </c>
    </row>
    <row r="9618" spans="1:13" x14ac:dyDescent="0.45">
      <c r="A9618" s="142" t="s">
        <v>13205</v>
      </c>
      <c r="B9618" s="142" t="s">
        <v>14496</v>
      </c>
      <c r="C9618" s="142" t="s">
        <v>15847</v>
      </c>
      <c r="D9618" s="142" t="s">
        <v>15848</v>
      </c>
      <c r="E9618" s="142" t="s">
        <v>15849</v>
      </c>
      <c r="F9618" s="142" t="s">
        <v>214</v>
      </c>
      <c r="G9618" s="142" t="s">
        <v>5150</v>
      </c>
      <c r="H9618" s="142" t="s">
        <v>25468</v>
      </c>
      <c r="I9618" s="142">
        <v>54</v>
      </c>
      <c r="J9618" s="142">
        <v>54</v>
      </c>
      <c r="K9618" s="142">
        <v>0</v>
      </c>
      <c r="L9618" s="142">
        <v>0</v>
      </c>
      <c r="M9618" s="142">
        <v>0</v>
      </c>
    </row>
    <row r="9619" spans="1:13" x14ac:dyDescent="0.45">
      <c r="A9619" s="142" t="s">
        <v>13012</v>
      </c>
      <c r="B9619" s="142" t="s">
        <v>15337</v>
      </c>
      <c r="C9619" s="142" t="s">
        <v>15847</v>
      </c>
      <c r="D9619" s="142" t="s">
        <v>15848</v>
      </c>
      <c r="E9619" s="142" t="s">
        <v>15849</v>
      </c>
      <c r="F9619" s="142" t="s">
        <v>214</v>
      </c>
      <c r="G9619" s="142" t="s">
        <v>5150</v>
      </c>
      <c r="H9619" s="142" t="s">
        <v>25469</v>
      </c>
      <c r="I9619" s="142">
        <v>51</v>
      </c>
      <c r="J9619" s="142">
        <v>31</v>
      </c>
      <c r="K9619" s="142">
        <v>0</v>
      </c>
      <c r="L9619" s="142">
        <v>0</v>
      </c>
      <c r="M9619" s="142">
        <v>20</v>
      </c>
    </row>
    <row r="9620" spans="1:13" x14ac:dyDescent="0.45">
      <c r="A9620" s="142" t="s">
        <v>13060</v>
      </c>
      <c r="B9620" s="142" t="s">
        <v>14470</v>
      </c>
      <c r="C9620" s="142" t="s">
        <v>15847</v>
      </c>
      <c r="D9620" s="142" t="s">
        <v>15848</v>
      </c>
      <c r="E9620" s="142" t="s">
        <v>15849</v>
      </c>
      <c r="F9620" s="142" t="s">
        <v>214</v>
      </c>
      <c r="G9620" s="142" t="s">
        <v>5150</v>
      </c>
      <c r="H9620" s="142" t="s">
        <v>25470</v>
      </c>
      <c r="I9620" s="142">
        <v>88</v>
      </c>
      <c r="J9620" s="142">
        <v>59</v>
      </c>
      <c r="K9620" s="142">
        <v>0</v>
      </c>
      <c r="L9620" s="142">
        <v>0</v>
      </c>
      <c r="M9620" s="142">
        <v>29</v>
      </c>
    </row>
    <row r="9621" spans="1:13" x14ac:dyDescent="0.45">
      <c r="A9621" s="142" t="s">
        <v>14383</v>
      </c>
      <c r="B9621" s="142" t="s">
        <v>15204</v>
      </c>
      <c r="C9621" s="142" t="s">
        <v>15860</v>
      </c>
      <c r="D9621" s="142" t="s">
        <v>15861</v>
      </c>
      <c r="E9621" s="142" t="s">
        <v>15849</v>
      </c>
      <c r="F9621" s="142" t="s">
        <v>214</v>
      </c>
      <c r="G9621" s="142" t="s">
        <v>5150</v>
      </c>
      <c r="H9621" s="142" t="s">
        <v>25471</v>
      </c>
      <c r="I9621" s="142">
        <v>10</v>
      </c>
      <c r="J9621" s="142">
        <v>0</v>
      </c>
      <c r="K9621" s="142">
        <v>0</v>
      </c>
      <c r="L9621" s="142">
        <v>10</v>
      </c>
      <c r="M9621" s="142">
        <v>0</v>
      </c>
    </row>
    <row r="9622" spans="1:13" x14ac:dyDescent="0.45">
      <c r="A9622" s="142" t="s">
        <v>13014</v>
      </c>
      <c r="B9622" s="142" t="s">
        <v>14505</v>
      </c>
      <c r="C9622" s="142" t="s">
        <v>15847</v>
      </c>
      <c r="D9622" s="142" t="s">
        <v>15848</v>
      </c>
      <c r="E9622" s="142" t="s">
        <v>15849</v>
      </c>
      <c r="F9622" s="142" t="s">
        <v>214</v>
      </c>
      <c r="G9622" s="142" t="s">
        <v>5150</v>
      </c>
      <c r="H9622" s="142" t="s">
        <v>25472</v>
      </c>
      <c r="I9622" s="142">
        <v>51</v>
      </c>
      <c r="J9622" s="142">
        <v>49</v>
      </c>
      <c r="K9622" s="142">
        <v>0</v>
      </c>
      <c r="L9622" s="142">
        <v>0</v>
      </c>
      <c r="M9622" s="142">
        <v>2</v>
      </c>
    </row>
    <row r="9623" spans="1:13" x14ac:dyDescent="0.45">
      <c r="A9623" s="142" t="s">
        <v>13174</v>
      </c>
      <c r="B9623" s="142" t="s">
        <v>15280</v>
      </c>
      <c r="C9623" s="142" t="s">
        <v>15847</v>
      </c>
      <c r="D9623" s="142" t="s">
        <v>15848</v>
      </c>
      <c r="E9623" s="142" t="s">
        <v>15849</v>
      </c>
      <c r="F9623" s="142" t="s">
        <v>214</v>
      </c>
      <c r="G9623" s="142" t="s">
        <v>5150</v>
      </c>
      <c r="H9623" s="142" t="s">
        <v>25473</v>
      </c>
      <c r="I9623" s="142">
        <v>406</v>
      </c>
      <c r="J9623" s="142">
        <v>295</v>
      </c>
      <c r="K9623" s="142">
        <v>0</v>
      </c>
      <c r="L9623" s="142">
        <v>0</v>
      </c>
      <c r="M9623" s="142">
        <v>111</v>
      </c>
    </row>
    <row r="9624" spans="1:13" x14ac:dyDescent="0.45">
      <c r="A9624" s="142" t="s">
        <v>13175</v>
      </c>
      <c r="B9624" s="142" t="s">
        <v>15561</v>
      </c>
      <c r="C9624" s="142" t="s">
        <v>15860</v>
      </c>
      <c r="D9624" s="142" t="s">
        <v>15861</v>
      </c>
      <c r="E9624" s="142" t="s">
        <v>15849</v>
      </c>
      <c r="F9624" s="142" t="s">
        <v>214</v>
      </c>
      <c r="G9624" s="142" t="s">
        <v>5150</v>
      </c>
      <c r="H9624" s="142" t="s">
        <v>25474</v>
      </c>
      <c r="I9624" s="142">
        <v>12</v>
      </c>
      <c r="J9624" s="142">
        <v>0</v>
      </c>
      <c r="K9624" s="142">
        <v>0</v>
      </c>
      <c r="L9624" s="142">
        <v>12</v>
      </c>
      <c r="M9624" s="142">
        <v>0</v>
      </c>
    </row>
    <row r="9625" spans="1:13" x14ac:dyDescent="0.45">
      <c r="A9625" s="142" t="s">
        <v>13015</v>
      </c>
      <c r="B9625" s="142" t="s">
        <v>14596</v>
      </c>
      <c r="C9625" s="142" t="s">
        <v>15847</v>
      </c>
      <c r="D9625" s="142" t="s">
        <v>15848</v>
      </c>
      <c r="E9625" s="142" t="s">
        <v>15849</v>
      </c>
      <c r="F9625" s="142" t="s">
        <v>214</v>
      </c>
      <c r="G9625" s="142" t="s">
        <v>5150</v>
      </c>
      <c r="H9625" s="142" t="s">
        <v>25475</v>
      </c>
      <c r="I9625" s="142">
        <v>1321</v>
      </c>
      <c r="J9625" s="142">
        <v>755</v>
      </c>
      <c r="K9625" s="142">
        <v>0</v>
      </c>
      <c r="L9625" s="142">
        <v>12</v>
      </c>
      <c r="M9625" s="142">
        <v>554</v>
      </c>
    </row>
    <row r="9626" spans="1:13" x14ac:dyDescent="0.45">
      <c r="A9626" s="142" t="s">
        <v>14384</v>
      </c>
      <c r="B9626" s="142" t="s">
        <v>14480</v>
      </c>
      <c r="C9626" s="142" t="s">
        <v>15860</v>
      </c>
      <c r="D9626" s="142" t="s">
        <v>15861</v>
      </c>
      <c r="E9626" s="142" t="s">
        <v>15849</v>
      </c>
      <c r="F9626" s="142" t="s">
        <v>214</v>
      </c>
      <c r="G9626" s="142" t="s">
        <v>5150</v>
      </c>
      <c r="H9626" s="142" t="s">
        <v>25476</v>
      </c>
      <c r="I9626" s="142">
        <v>14</v>
      </c>
      <c r="J9626" s="142">
        <v>14</v>
      </c>
      <c r="K9626" s="142">
        <v>0</v>
      </c>
      <c r="L9626" s="142">
        <v>0</v>
      </c>
      <c r="M9626" s="142">
        <v>0</v>
      </c>
    </row>
    <row r="9627" spans="1:13" x14ac:dyDescent="0.45">
      <c r="A9627" s="142" t="s">
        <v>14385</v>
      </c>
      <c r="B9627" s="142" t="s">
        <v>15373</v>
      </c>
      <c r="C9627" s="142" t="s">
        <v>15860</v>
      </c>
      <c r="D9627" s="142" t="s">
        <v>15861</v>
      </c>
      <c r="E9627" s="142" t="s">
        <v>15849</v>
      </c>
      <c r="F9627" s="142" t="s">
        <v>214</v>
      </c>
      <c r="G9627" s="142" t="s">
        <v>5150</v>
      </c>
      <c r="H9627" s="142" t="s">
        <v>25477</v>
      </c>
      <c r="I9627" s="142">
        <v>92</v>
      </c>
      <c r="J9627" s="142">
        <v>92</v>
      </c>
      <c r="K9627" s="142">
        <v>0</v>
      </c>
      <c r="L9627" s="142">
        <v>0</v>
      </c>
      <c r="M9627" s="142">
        <v>0</v>
      </c>
    </row>
    <row r="9628" spans="1:13" x14ac:dyDescent="0.45">
      <c r="A9628" s="142" t="s">
        <v>13308</v>
      </c>
      <c r="B9628" s="142" t="s">
        <v>15608</v>
      </c>
      <c r="C9628" s="142" t="s">
        <v>15847</v>
      </c>
      <c r="D9628" s="142" t="s">
        <v>15848</v>
      </c>
      <c r="E9628" s="142" t="s">
        <v>15849</v>
      </c>
      <c r="F9628" s="142" t="s">
        <v>215</v>
      </c>
      <c r="G9628" s="142" t="s">
        <v>1844</v>
      </c>
      <c r="H9628" s="142" t="s">
        <v>25478</v>
      </c>
      <c r="I9628" s="142">
        <v>28</v>
      </c>
      <c r="J9628" s="142">
        <v>0</v>
      </c>
      <c r="K9628" s="142">
        <v>0</v>
      </c>
      <c r="L9628" s="142">
        <v>0</v>
      </c>
      <c r="M9628" s="142">
        <v>28</v>
      </c>
    </row>
    <row r="9629" spans="1:13" x14ac:dyDescent="0.45">
      <c r="A9629" s="142" t="s">
        <v>13166</v>
      </c>
      <c r="B9629" s="142" t="s">
        <v>15576</v>
      </c>
      <c r="C9629" s="142" t="s">
        <v>15847</v>
      </c>
      <c r="D9629" s="142" t="s">
        <v>15848</v>
      </c>
      <c r="E9629" s="142" t="s">
        <v>15849</v>
      </c>
      <c r="F9629" s="142" t="s">
        <v>215</v>
      </c>
      <c r="G9629" s="142" t="s">
        <v>1844</v>
      </c>
      <c r="H9629" s="142" t="s">
        <v>25479</v>
      </c>
      <c r="I9629" s="142">
        <v>291</v>
      </c>
      <c r="J9629" s="142">
        <v>245</v>
      </c>
      <c r="K9629" s="142">
        <v>0</v>
      </c>
      <c r="L9629" s="142">
        <v>46</v>
      </c>
      <c r="M9629" s="142">
        <v>0</v>
      </c>
    </row>
    <row r="9630" spans="1:13" x14ac:dyDescent="0.45">
      <c r="A9630" s="142" t="s">
        <v>13167</v>
      </c>
      <c r="B9630" s="142" t="s">
        <v>15418</v>
      </c>
      <c r="C9630" s="142" t="s">
        <v>15847</v>
      </c>
      <c r="D9630" s="142" t="s">
        <v>15848</v>
      </c>
      <c r="E9630" s="142" t="s">
        <v>15849</v>
      </c>
      <c r="F9630" s="142" t="s">
        <v>215</v>
      </c>
      <c r="G9630" s="142" t="s">
        <v>1844</v>
      </c>
      <c r="H9630" s="142" t="s">
        <v>25480</v>
      </c>
      <c r="I9630" s="142">
        <v>3294</v>
      </c>
      <c r="J9630" s="142">
        <v>2769</v>
      </c>
      <c r="K9630" s="142">
        <v>16</v>
      </c>
      <c r="L9630" s="142">
        <v>424</v>
      </c>
      <c r="M9630" s="142">
        <v>85</v>
      </c>
    </row>
    <row r="9631" spans="1:13" x14ac:dyDescent="0.45">
      <c r="A9631" s="142" t="s">
        <v>13021</v>
      </c>
      <c r="B9631" s="142" t="s">
        <v>15501</v>
      </c>
      <c r="C9631" s="142" t="s">
        <v>15847</v>
      </c>
      <c r="D9631" s="142" t="s">
        <v>15848</v>
      </c>
      <c r="E9631" s="142" t="s">
        <v>15849</v>
      </c>
      <c r="F9631" s="142" t="s">
        <v>215</v>
      </c>
      <c r="G9631" s="142" t="s">
        <v>1844</v>
      </c>
      <c r="H9631" s="142" t="s">
        <v>25481</v>
      </c>
      <c r="I9631" s="142">
        <v>17</v>
      </c>
      <c r="J9631" s="142">
        <v>0</v>
      </c>
      <c r="K9631" s="142">
        <v>0</v>
      </c>
      <c r="L9631" s="142">
        <v>16</v>
      </c>
      <c r="M9631" s="142">
        <v>1</v>
      </c>
    </row>
    <row r="9632" spans="1:13" x14ac:dyDescent="0.45">
      <c r="A9632" s="142" t="s">
        <v>13023</v>
      </c>
      <c r="B9632" s="142" t="s">
        <v>15571</v>
      </c>
      <c r="C9632" s="142" t="s">
        <v>15847</v>
      </c>
      <c r="D9632" s="142" t="s">
        <v>15848</v>
      </c>
      <c r="E9632" s="142" t="s">
        <v>15849</v>
      </c>
      <c r="F9632" s="142" t="s">
        <v>215</v>
      </c>
      <c r="G9632" s="142" t="s">
        <v>1844</v>
      </c>
      <c r="H9632" s="142" t="s">
        <v>25482</v>
      </c>
      <c r="I9632" s="142">
        <v>146</v>
      </c>
      <c r="J9632" s="142">
        <v>0</v>
      </c>
      <c r="K9632" s="142">
        <v>0</v>
      </c>
      <c r="L9632" s="142">
        <v>146</v>
      </c>
      <c r="M9632" s="142">
        <v>0</v>
      </c>
    </row>
    <row r="9633" spans="1:13" x14ac:dyDescent="0.45">
      <c r="A9633" s="142" t="s">
        <v>13114</v>
      </c>
      <c r="B9633" s="142" t="s">
        <v>15328</v>
      </c>
      <c r="C9633" s="142" t="s">
        <v>15860</v>
      </c>
      <c r="D9633" s="142" t="s">
        <v>15861</v>
      </c>
      <c r="E9633" s="142" t="s">
        <v>15849</v>
      </c>
      <c r="F9633" s="142" t="s">
        <v>215</v>
      </c>
      <c r="G9633" s="142" t="s">
        <v>1844</v>
      </c>
      <c r="H9633" s="142" t="s">
        <v>25483</v>
      </c>
      <c r="I9633" s="142">
        <v>3</v>
      </c>
      <c r="J9633" s="142">
        <v>0</v>
      </c>
      <c r="K9633" s="142">
        <v>0</v>
      </c>
      <c r="L9633" s="142">
        <v>3</v>
      </c>
      <c r="M9633" s="142">
        <v>0</v>
      </c>
    </row>
    <row r="9634" spans="1:13" x14ac:dyDescent="0.45">
      <c r="A9634" s="142" t="s">
        <v>13002</v>
      </c>
      <c r="B9634" s="142" t="s">
        <v>15376</v>
      </c>
      <c r="C9634" s="142" t="s">
        <v>15847</v>
      </c>
      <c r="D9634" s="142" t="s">
        <v>15848</v>
      </c>
      <c r="E9634" s="142" t="s">
        <v>15849</v>
      </c>
      <c r="F9634" s="142" t="s">
        <v>215</v>
      </c>
      <c r="G9634" s="142" t="s">
        <v>1844</v>
      </c>
      <c r="H9634" s="142" t="s">
        <v>25484</v>
      </c>
      <c r="I9634" s="142">
        <v>6</v>
      </c>
      <c r="J9634" s="142">
        <v>6</v>
      </c>
      <c r="K9634" s="142">
        <v>0</v>
      </c>
      <c r="L9634" s="142">
        <v>0</v>
      </c>
      <c r="M9634" s="142">
        <v>0</v>
      </c>
    </row>
    <row r="9635" spans="1:13" x14ac:dyDescent="0.45">
      <c r="A9635" s="142" t="s">
        <v>13169</v>
      </c>
      <c r="B9635" s="142" t="s">
        <v>15408</v>
      </c>
      <c r="C9635" s="142" t="s">
        <v>15847</v>
      </c>
      <c r="D9635" s="142" t="s">
        <v>15848</v>
      </c>
      <c r="E9635" s="142" t="s">
        <v>15849</v>
      </c>
      <c r="F9635" s="142" t="s">
        <v>215</v>
      </c>
      <c r="G9635" s="142" t="s">
        <v>1844</v>
      </c>
      <c r="H9635" s="142" t="s">
        <v>25485</v>
      </c>
      <c r="I9635" s="142">
        <v>3581</v>
      </c>
      <c r="J9635" s="142">
        <v>3014</v>
      </c>
      <c r="K9635" s="142">
        <v>23</v>
      </c>
      <c r="L9635" s="142">
        <v>369</v>
      </c>
      <c r="M9635" s="142">
        <v>175</v>
      </c>
    </row>
    <row r="9636" spans="1:13" x14ac:dyDescent="0.45">
      <c r="A9636" s="142" t="s">
        <v>14386</v>
      </c>
      <c r="B9636" s="142" t="s">
        <v>14783</v>
      </c>
      <c r="C9636" s="142" t="s">
        <v>15860</v>
      </c>
      <c r="D9636" s="142" t="s">
        <v>15861</v>
      </c>
      <c r="E9636" s="142" t="s">
        <v>15849</v>
      </c>
      <c r="F9636" s="142" t="s">
        <v>215</v>
      </c>
      <c r="G9636" s="142" t="s">
        <v>1844</v>
      </c>
      <c r="H9636" s="142" t="s">
        <v>25486</v>
      </c>
      <c r="I9636" s="142">
        <v>4</v>
      </c>
      <c r="J9636" s="142">
        <v>4</v>
      </c>
      <c r="K9636" s="142">
        <v>0</v>
      </c>
      <c r="L9636" s="142">
        <v>0</v>
      </c>
      <c r="M9636" s="142">
        <v>0</v>
      </c>
    </row>
    <row r="9637" spans="1:13" x14ac:dyDescent="0.45">
      <c r="A9637" s="142" t="s">
        <v>13005</v>
      </c>
      <c r="B9637" s="142" t="s">
        <v>15475</v>
      </c>
      <c r="C9637" s="142" t="s">
        <v>15847</v>
      </c>
      <c r="D9637" s="142" t="s">
        <v>15848</v>
      </c>
      <c r="E9637" s="142" t="s">
        <v>15849</v>
      </c>
      <c r="F9637" s="142" t="s">
        <v>215</v>
      </c>
      <c r="G9637" s="142" t="s">
        <v>1844</v>
      </c>
      <c r="H9637" s="142" t="s">
        <v>25487</v>
      </c>
      <c r="I9637" s="142">
        <v>16</v>
      </c>
      <c r="J9637" s="142">
        <v>16</v>
      </c>
      <c r="K9637" s="142">
        <v>0</v>
      </c>
      <c r="L9637" s="142">
        <v>0</v>
      </c>
      <c r="M9637" s="142">
        <v>0</v>
      </c>
    </row>
    <row r="9638" spans="1:13" x14ac:dyDescent="0.45">
      <c r="A9638" s="142" t="s">
        <v>13101</v>
      </c>
      <c r="B9638" s="142" t="s">
        <v>15491</v>
      </c>
      <c r="C9638" s="142" t="s">
        <v>15847</v>
      </c>
      <c r="D9638" s="142" t="s">
        <v>15848</v>
      </c>
      <c r="E9638" s="142" t="s">
        <v>15849</v>
      </c>
      <c r="F9638" s="142" t="s">
        <v>215</v>
      </c>
      <c r="G9638" s="142" t="s">
        <v>1844</v>
      </c>
      <c r="H9638" s="142" t="s">
        <v>25488</v>
      </c>
      <c r="I9638" s="142">
        <v>42</v>
      </c>
      <c r="J9638" s="142">
        <v>0</v>
      </c>
      <c r="K9638" s="142">
        <v>0</v>
      </c>
      <c r="L9638" s="142">
        <v>42</v>
      </c>
      <c r="M9638" s="142">
        <v>0</v>
      </c>
    </row>
    <row r="9639" spans="1:13" x14ac:dyDescent="0.45">
      <c r="A9639" s="142" t="s">
        <v>13006</v>
      </c>
      <c r="B9639" s="142" t="s">
        <v>15288</v>
      </c>
      <c r="C9639" s="142" t="s">
        <v>15847</v>
      </c>
      <c r="D9639" s="142" t="s">
        <v>15848</v>
      </c>
      <c r="E9639" s="142" t="s">
        <v>15849</v>
      </c>
      <c r="F9639" s="142" t="s">
        <v>215</v>
      </c>
      <c r="G9639" s="142" t="s">
        <v>1844</v>
      </c>
      <c r="H9639" s="142" t="s">
        <v>25489</v>
      </c>
      <c r="I9639" s="142">
        <v>321</v>
      </c>
      <c r="J9639" s="142">
        <v>223</v>
      </c>
      <c r="K9639" s="142">
        <v>0</v>
      </c>
      <c r="L9639" s="142">
        <v>0</v>
      </c>
      <c r="M9639" s="142">
        <v>98</v>
      </c>
    </row>
    <row r="9640" spans="1:13" x14ac:dyDescent="0.45">
      <c r="A9640" s="142" t="s">
        <v>13007</v>
      </c>
      <c r="B9640" s="142" t="s">
        <v>15262</v>
      </c>
      <c r="C9640" s="142" t="s">
        <v>15847</v>
      </c>
      <c r="D9640" s="142" t="s">
        <v>15848</v>
      </c>
      <c r="E9640" s="142" t="s">
        <v>15849</v>
      </c>
      <c r="F9640" s="142" t="s">
        <v>215</v>
      </c>
      <c r="G9640" s="142" t="s">
        <v>1844</v>
      </c>
      <c r="H9640" s="142" t="s">
        <v>25490</v>
      </c>
      <c r="I9640" s="142">
        <v>4</v>
      </c>
      <c r="J9640" s="142">
        <v>0</v>
      </c>
      <c r="K9640" s="142">
        <v>0</v>
      </c>
      <c r="L9640" s="142">
        <v>0</v>
      </c>
      <c r="M9640" s="142">
        <v>4</v>
      </c>
    </row>
    <row r="9641" spans="1:13" x14ac:dyDescent="0.45">
      <c r="A9641" s="142" t="s">
        <v>13054</v>
      </c>
      <c r="B9641" s="142" t="s">
        <v>15604</v>
      </c>
      <c r="C9641" s="142" t="s">
        <v>15847</v>
      </c>
      <c r="D9641" s="142" t="s">
        <v>15848</v>
      </c>
      <c r="E9641" s="142" t="s">
        <v>15849</v>
      </c>
      <c r="F9641" s="142" t="s">
        <v>215</v>
      </c>
      <c r="G9641" s="142" t="s">
        <v>1844</v>
      </c>
      <c r="H9641" s="142" t="s">
        <v>25491</v>
      </c>
      <c r="I9641" s="142">
        <v>1</v>
      </c>
      <c r="J9641" s="142">
        <v>0</v>
      </c>
      <c r="K9641" s="142">
        <v>0</v>
      </c>
      <c r="L9641" s="142">
        <v>0</v>
      </c>
      <c r="M9641" s="142">
        <v>1</v>
      </c>
    </row>
    <row r="9642" spans="1:13" x14ac:dyDescent="0.45">
      <c r="A9642" s="142" t="s">
        <v>13810</v>
      </c>
      <c r="B9642" s="142" t="s">
        <v>15357</v>
      </c>
      <c r="C9642" s="142" t="s">
        <v>15860</v>
      </c>
      <c r="D9642" s="142" t="s">
        <v>15861</v>
      </c>
      <c r="E9642" s="142" t="s">
        <v>15849</v>
      </c>
      <c r="F9642" s="142" t="s">
        <v>215</v>
      </c>
      <c r="G9642" s="142" t="s">
        <v>1844</v>
      </c>
      <c r="H9642" s="142" t="s">
        <v>25492</v>
      </c>
      <c r="I9642" s="142">
        <v>2</v>
      </c>
      <c r="J9642" s="142">
        <v>0</v>
      </c>
      <c r="K9642" s="142">
        <v>2</v>
      </c>
      <c r="L9642" s="142">
        <v>0</v>
      </c>
      <c r="M9642" s="142">
        <v>0</v>
      </c>
    </row>
    <row r="9643" spans="1:13" x14ac:dyDescent="0.45">
      <c r="A9643" s="142" t="s">
        <v>13135</v>
      </c>
      <c r="B9643" s="142" t="s">
        <v>15575</v>
      </c>
      <c r="C9643" s="142" t="s">
        <v>15847</v>
      </c>
      <c r="D9643" s="142" t="s">
        <v>15848</v>
      </c>
      <c r="E9643" s="142" t="s">
        <v>15849</v>
      </c>
      <c r="F9643" s="142" t="s">
        <v>215</v>
      </c>
      <c r="G9643" s="142" t="s">
        <v>1844</v>
      </c>
      <c r="H9643" s="142" t="s">
        <v>25493</v>
      </c>
      <c r="I9643" s="142">
        <v>29</v>
      </c>
      <c r="J9643" s="142">
        <v>25</v>
      </c>
      <c r="K9643" s="142">
        <v>0</v>
      </c>
      <c r="L9643" s="142">
        <v>0</v>
      </c>
      <c r="M9643" s="142">
        <v>4</v>
      </c>
    </row>
    <row r="9644" spans="1:13" x14ac:dyDescent="0.45">
      <c r="A9644" s="142" t="s">
        <v>13104</v>
      </c>
      <c r="B9644" s="142" t="s">
        <v>14622</v>
      </c>
      <c r="C9644" s="142" t="s">
        <v>15847</v>
      </c>
      <c r="D9644" s="142" t="s">
        <v>15848</v>
      </c>
      <c r="E9644" s="142" t="s">
        <v>15849</v>
      </c>
      <c r="F9644" s="142" t="s">
        <v>215</v>
      </c>
      <c r="G9644" s="142" t="s">
        <v>1844</v>
      </c>
      <c r="H9644" s="142" t="s">
        <v>25494</v>
      </c>
      <c r="I9644" s="142">
        <v>4</v>
      </c>
      <c r="J9644" s="142">
        <v>2</v>
      </c>
      <c r="K9644" s="142">
        <v>0</v>
      </c>
      <c r="L9644" s="142">
        <v>0</v>
      </c>
      <c r="M9644" s="142">
        <v>2</v>
      </c>
    </row>
    <row r="9645" spans="1:13" x14ac:dyDescent="0.45">
      <c r="A9645" s="142" t="s">
        <v>13033</v>
      </c>
      <c r="B9645" s="142" t="s">
        <v>15276</v>
      </c>
      <c r="C9645" s="142" t="s">
        <v>15847</v>
      </c>
      <c r="D9645" s="142" t="s">
        <v>15848</v>
      </c>
      <c r="E9645" s="142" t="s">
        <v>15849</v>
      </c>
      <c r="F9645" s="142" t="s">
        <v>215</v>
      </c>
      <c r="G9645" s="142" t="s">
        <v>1844</v>
      </c>
      <c r="H9645" s="142" t="s">
        <v>25495</v>
      </c>
      <c r="I9645" s="142">
        <v>1</v>
      </c>
      <c r="J9645" s="142">
        <v>1</v>
      </c>
      <c r="K9645" s="142">
        <v>0</v>
      </c>
      <c r="L9645" s="142">
        <v>0</v>
      </c>
      <c r="M9645" s="142">
        <v>0</v>
      </c>
    </row>
    <row r="9646" spans="1:13" x14ac:dyDescent="0.45">
      <c r="A9646" s="142" t="s">
        <v>13058</v>
      </c>
      <c r="B9646" s="142" t="s">
        <v>14584</v>
      </c>
      <c r="C9646" s="142" t="s">
        <v>15847</v>
      </c>
      <c r="D9646" s="142" t="s">
        <v>15848</v>
      </c>
      <c r="E9646" s="142" t="s">
        <v>15849</v>
      </c>
      <c r="F9646" s="142" t="s">
        <v>215</v>
      </c>
      <c r="G9646" s="142" t="s">
        <v>1844</v>
      </c>
      <c r="H9646" s="142" t="s">
        <v>25496</v>
      </c>
      <c r="I9646" s="142">
        <v>36</v>
      </c>
      <c r="J9646" s="142">
        <v>18</v>
      </c>
      <c r="K9646" s="142">
        <v>0</v>
      </c>
      <c r="L9646" s="142">
        <v>18</v>
      </c>
      <c r="M9646" s="142">
        <v>0</v>
      </c>
    </row>
    <row r="9647" spans="1:13" x14ac:dyDescent="0.45">
      <c r="A9647" s="142" t="s">
        <v>13041</v>
      </c>
      <c r="B9647" s="142" t="s">
        <v>14441</v>
      </c>
      <c r="C9647" s="142" t="s">
        <v>15847</v>
      </c>
      <c r="D9647" s="142" t="s">
        <v>15848</v>
      </c>
      <c r="E9647" s="142" t="s">
        <v>15849</v>
      </c>
      <c r="F9647" s="142" t="s">
        <v>215</v>
      </c>
      <c r="G9647" s="142" t="s">
        <v>1844</v>
      </c>
      <c r="H9647" s="142" t="s">
        <v>25497</v>
      </c>
      <c r="I9647" s="142">
        <v>6</v>
      </c>
      <c r="J9647" s="142">
        <v>0</v>
      </c>
      <c r="K9647" s="142">
        <v>0</v>
      </c>
      <c r="L9647" s="142">
        <v>0</v>
      </c>
      <c r="M9647" s="142">
        <v>6</v>
      </c>
    </row>
    <row r="9648" spans="1:13" x14ac:dyDescent="0.45">
      <c r="A9648" s="142" t="s">
        <v>13042</v>
      </c>
      <c r="B9648" s="142" t="s">
        <v>15489</v>
      </c>
      <c r="C9648" s="142" t="s">
        <v>15847</v>
      </c>
      <c r="D9648" s="142" t="s">
        <v>15848</v>
      </c>
      <c r="E9648" s="142" t="s">
        <v>15849</v>
      </c>
      <c r="F9648" s="142" t="s">
        <v>215</v>
      </c>
      <c r="G9648" s="142" t="s">
        <v>1844</v>
      </c>
      <c r="H9648" s="142" t="s">
        <v>25498</v>
      </c>
      <c r="I9648" s="142">
        <v>488</v>
      </c>
      <c r="J9648" s="142">
        <v>419</v>
      </c>
      <c r="K9648" s="142">
        <v>0</v>
      </c>
      <c r="L9648" s="142">
        <v>0</v>
      </c>
      <c r="M9648" s="142">
        <v>69</v>
      </c>
    </row>
    <row r="9649" spans="1:13" x14ac:dyDescent="0.45">
      <c r="A9649" s="142" t="s">
        <v>13174</v>
      </c>
      <c r="B9649" s="142" t="s">
        <v>15280</v>
      </c>
      <c r="C9649" s="142" t="s">
        <v>15847</v>
      </c>
      <c r="D9649" s="142" t="s">
        <v>15848</v>
      </c>
      <c r="E9649" s="142" t="s">
        <v>15849</v>
      </c>
      <c r="F9649" s="142" t="s">
        <v>215</v>
      </c>
      <c r="G9649" s="142" t="s">
        <v>1844</v>
      </c>
      <c r="H9649" s="142" t="s">
        <v>25499</v>
      </c>
      <c r="I9649" s="142">
        <v>54</v>
      </c>
      <c r="J9649" s="142">
        <v>43</v>
      </c>
      <c r="K9649" s="142">
        <v>0</v>
      </c>
      <c r="L9649" s="142">
        <v>0</v>
      </c>
      <c r="M9649" s="142">
        <v>11</v>
      </c>
    </row>
    <row r="9650" spans="1:13" x14ac:dyDescent="0.45">
      <c r="A9650" s="142" t="s">
        <v>13410</v>
      </c>
      <c r="B9650" s="142" t="s">
        <v>15311</v>
      </c>
      <c r="C9650" s="142" t="s">
        <v>15860</v>
      </c>
      <c r="D9650" s="142" t="s">
        <v>15861</v>
      </c>
      <c r="E9650" s="142" t="s">
        <v>15849</v>
      </c>
      <c r="F9650" s="142" t="s">
        <v>216</v>
      </c>
      <c r="G9650" s="142" t="s">
        <v>10267</v>
      </c>
      <c r="H9650" s="142" t="s">
        <v>25500</v>
      </c>
      <c r="I9650" s="142">
        <v>526</v>
      </c>
      <c r="J9650" s="142">
        <v>0</v>
      </c>
      <c r="K9650" s="142">
        <v>0</v>
      </c>
      <c r="L9650" s="142">
        <v>526</v>
      </c>
      <c r="M9650" s="142">
        <v>0</v>
      </c>
    </row>
    <row r="9651" spans="1:13" x14ac:dyDescent="0.45">
      <c r="A9651" s="142" t="s">
        <v>13023</v>
      </c>
      <c r="B9651" s="142" t="s">
        <v>15571</v>
      </c>
      <c r="C9651" s="142" t="s">
        <v>15847</v>
      </c>
      <c r="D9651" s="142" t="s">
        <v>15848</v>
      </c>
      <c r="E9651" s="142" t="s">
        <v>15849</v>
      </c>
      <c r="F9651" s="142" t="s">
        <v>216</v>
      </c>
      <c r="G9651" s="142" t="s">
        <v>10267</v>
      </c>
      <c r="H9651" s="142" t="s">
        <v>25501</v>
      </c>
      <c r="I9651" s="142">
        <v>241</v>
      </c>
      <c r="J9651" s="142">
        <v>0</v>
      </c>
      <c r="K9651" s="142">
        <v>0</v>
      </c>
      <c r="L9651" s="142">
        <v>217</v>
      </c>
      <c r="M9651" s="142">
        <v>24</v>
      </c>
    </row>
    <row r="9652" spans="1:13" x14ac:dyDescent="0.45">
      <c r="A9652" s="142" t="s">
        <v>13082</v>
      </c>
      <c r="B9652" s="142" t="s">
        <v>14478</v>
      </c>
      <c r="C9652" s="142" t="s">
        <v>15860</v>
      </c>
      <c r="D9652" s="142" t="s">
        <v>15861</v>
      </c>
      <c r="E9652" s="142" t="s">
        <v>15849</v>
      </c>
      <c r="F9652" s="142" t="s">
        <v>216</v>
      </c>
      <c r="G9652" s="142" t="s">
        <v>10267</v>
      </c>
      <c r="H9652" s="142" t="s">
        <v>25502</v>
      </c>
      <c r="I9652" s="142">
        <v>8</v>
      </c>
      <c r="J9652" s="142">
        <v>0</v>
      </c>
      <c r="K9652" s="142">
        <v>0</v>
      </c>
      <c r="L9652" s="142">
        <v>8</v>
      </c>
      <c r="M9652" s="142">
        <v>0</v>
      </c>
    </row>
    <row r="9653" spans="1:13" x14ac:dyDescent="0.45">
      <c r="A9653" s="142" t="s">
        <v>13065</v>
      </c>
      <c r="B9653" s="142" t="s">
        <v>14497</v>
      </c>
      <c r="C9653" s="142" t="s">
        <v>15847</v>
      </c>
      <c r="D9653" s="142" t="s">
        <v>15848</v>
      </c>
      <c r="E9653" s="142" t="s">
        <v>15849</v>
      </c>
      <c r="F9653" s="142" t="s">
        <v>216</v>
      </c>
      <c r="G9653" s="142" t="s">
        <v>10267</v>
      </c>
      <c r="H9653" s="142" t="s">
        <v>25503</v>
      </c>
      <c r="I9653" s="142">
        <v>55</v>
      </c>
      <c r="J9653" s="142">
        <v>0</v>
      </c>
      <c r="K9653" s="142">
        <v>0</v>
      </c>
      <c r="L9653" s="142">
        <v>55</v>
      </c>
      <c r="M9653" s="142">
        <v>0</v>
      </c>
    </row>
    <row r="9654" spans="1:13" x14ac:dyDescent="0.45">
      <c r="A9654" s="142" t="s">
        <v>13498</v>
      </c>
      <c r="B9654" s="142" t="s">
        <v>15321</v>
      </c>
      <c r="C9654" s="142" t="s">
        <v>15860</v>
      </c>
      <c r="D9654" s="142" t="s">
        <v>15861</v>
      </c>
      <c r="E9654" s="142" t="s">
        <v>15849</v>
      </c>
      <c r="F9654" s="142" t="s">
        <v>216</v>
      </c>
      <c r="G9654" s="142" t="s">
        <v>10267</v>
      </c>
      <c r="H9654" s="142" t="s">
        <v>25504</v>
      </c>
      <c r="I9654" s="142">
        <v>281</v>
      </c>
      <c r="J9654" s="142">
        <v>0</v>
      </c>
      <c r="K9654" s="142">
        <v>0</v>
      </c>
      <c r="L9654" s="142">
        <v>281</v>
      </c>
      <c r="M9654" s="142">
        <v>0</v>
      </c>
    </row>
    <row r="9655" spans="1:13" x14ac:dyDescent="0.45">
      <c r="A9655" s="142" t="s">
        <v>13273</v>
      </c>
      <c r="B9655" s="142" t="s">
        <v>14465</v>
      </c>
      <c r="C9655" s="142" t="s">
        <v>15860</v>
      </c>
      <c r="D9655" s="142" t="s">
        <v>15861</v>
      </c>
      <c r="E9655" s="142" t="s">
        <v>15849</v>
      </c>
      <c r="F9655" s="142" t="s">
        <v>216</v>
      </c>
      <c r="G9655" s="142" t="s">
        <v>10267</v>
      </c>
      <c r="H9655" s="142" t="s">
        <v>25505</v>
      </c>
      <c r="I9655" s="142">
        <v>16</v>
      </c>
      <c r="J9655" s="142">
        <v>0</v>
      </c>
      <c r="K9655" s="142">
        <v>0</v>
      </c>
      <c r="L9655" s="142">
        <v>16</v>
      </c>
      <c r="M9655" s="142">
        <v>0</v>
      </c>
    </row>
    <row r="9656" spans="1:13" x14ac:dyDescent="0.45">
      <c r="A9656" s="142" t="s">
        <v>13159</v>
      </c>
      <c r="B9656" s="142" t="s">
        <v>14521</v>
      </c>
      <c r="C9656" s="142" t="s">
        <v>15860</v>
      </c>
      <c r="D9656" s="142" t="s">
        <v>15861</v>
      </c>
      <c r="E9656" s="142" t="s">
        <v>15849</v>
      </c>
      <c r="F9656" s="142" t="s">
        <v>216</v>
      </c>
      <c r="G9656" s="142" t="s">
        <v>10267</v>
      </c>
      <c r="H9656" s="142" t="s">
        <v>25506</v>
      </c>
      <c r="I9656" s="142">
        <v>20</v>
      </c>
      <c r="J9656" s="142">
        <v>0</v>
      </c>
      <c r="K9656" s="142">
        <v>0</v>
      </c>
      <c r="L9656" s="142">
        <v>20</v>
      </c>
      <c r="M9656" s="142">
        <v>0</v>
      </c>
    </row>
    <row r="9657" spans="1:13" x14ac:dyDescent="0.45">
      <c r="A9657" s="142" t="s">
        <v>13099</v>
      </c>
      <c r="B9657" s="142" t="s">
        <v>14547</v>
      </c>
      <c r="C9657" s="142" t="s">
        <v>15860</v>
      </c>
      <c r="D9657" s="142" t="s">
        <v>15861</v>
      </c>
      <c r="E9657" s="142" t="s">
        <v>15849</v>
      </c>
      <c r="F9657" s="142" t="s">
        <v>216</v>
      </c>
      <c r="G9657" s="142" t="s">
        <v>10267</v>
      </c>
      <c r="H9657" s="142" t="s">
        <v>25507</v>
      </c>
      <c r="I9657" s="142">
        <v>21</v>
      </c>
      <c r="J9657" s="142">
        <v>0</v>
      </c>
      <c r="K9657" s="142">
        <v>0</v>
      </c>
      <c r="L9657" s="142">
        <v>21</v>
      </c>
      <c r="M9657" s="142">
        <v>0</v>
      </c>
    </row>
    <row r="9658" spans="1:13" x14ac:dyDescent="0.45">
      <c r="A9658" s="142" t="s">
        <v>13924</v>
      </c>
      <c r="B9658" s="142" t="s">
        <v>14555</v>
      </c>
      <c r="C9658" s="142" t="s">
        <v>15860</v>
      </c>
      <c r="D9658" s="142" t="s">
        <v>15861</v>
      </c>
      <c r="E9658" s="142" t="s">
        <v>15849</v>
      </c>
      <c r="F9658" s="142" t="s">
        <v>216</v>
      </c>
      <c r="G9658" s="142" t="s">
        <v>10267</v>
      </c>
      <c r="H9658" s="142" t="s">
        <v>25508</v>
      </c>
      <c r="I9658" s="142">
        <v>36</v>
      </c>
      <c r="J9658" s="142">
        <v>0</v>
      </c>
      <c r="K9658" s="142">
        <v>0</v>
      </c>
      <c r="L9658" s="142">
        <v>36</v>
      </c>
      <c r="M9658" s="142">
        <v>0</v>
      </c>
    </row>
    <row r="9659" spans="1:13" x14ac:dyDescent="0.45">
      <c r="A9659" s="142" t="s">
        <v>14388</v>
      </c>
      <c r="B9659" s="142" t="s">
        <v>15315</v>
      </c>
      <c r="C9659" s="142" t="s">
        <v>15860</v>
      </c>
      <c r="D9659" s="142" t="s">
        <v>15861</v>
      </c>
      <c r="E9659" s="142" t="s">
        <v>15849</v>
      </c>
      <c r="F9659" s="142" t="s">
        <v>216</v>
      </c>
      <c r="G9659" s="142" t="s">
        <v>10267</v>
      </c>
      <c r="H9659" s="142" t="s">
        <v>25509</v>
      </c>
      <c r="I9659" s="142">
        <v>401</v>
      </c>
      <c r="J9659" s="142">
        <v>344</v>
      </c>
      <c r="K9659" s="142">
        <v>0</v>
      </c>
      <c r="L9659" s="142">
        <v>57</v>
      </c>
      <c r="M9659" s="142">
        <v>0</v>
      </c>
    </row>
    <row r="9660" spans="1:13" x14ac:dyDescent="0.45">
      <c r="A9660" s="142" t="s">
        <v>13168</v>
      </c>
      <c r="B9660" s="142" t="s">
        <v>14486</v>
      </c>
      <c r="C9660" s="142" t="s">
        <v>15860</v>
      </c>
      <c r="D9660" s="142" t="s">
        <v>15861</v>
      </c>
      <c r="E9660" s="142" t="s">
        <v>15849</v>
      </c>
      <c r="F9660" s="142" t="s">
        <v>216</v>
      </c>
      <c r="G9660" s="142" t="s">
        <v>10267</v>
      </c>
      <c r="H9660" s="142" t="s">
        <v>25510</v>
      </c>
      <c r="I9660" s="142">
        <v>4</v>
      </c>
      <c r="J9660" s="142">
        <v>0</v>
      </c>
      <c r="K9660" s="142">
        <v>0</v>
      </c>
      <c r="L9660" s="142">
        <v>4</v>
      </c>
      <c r="M9660" s="142">
        <v>0</v>
      </c>
    </row>
    <row r="9661" spans="1:13" x14ac:dyDescent="0.45">
      <c r="A9661" s="142" t="s">
        <v>13027</v>
      </c>
      <c r="B9661" s="142" t="s">
        <v>14562</v>
      </c>
      <c r="C9661" s="142" t="s">
        <v>15847</v>
      </c>
      <c r="D9661" s="142" t="s">
        <v>15848</v>
      </c>
      <c r="E9661" s="142" t="s">
        <v>15849</v>
      </c>
      <c r="F9661" s="142" t="s">
        <v>216</v>
      </c>
      <c r="G9661" s="142" t="s">
        <v>10267</v>
      </c>
      <c r="H9661" s="142" t="s">
        <v>25511</v>
      </c>
      <c r="I9661" s="142">
        <v>14</v>
      </c>
      <c r="J9661" s="142">
        <v>0</v>
      </c>
      <c r="K9661" s="142">
        <v>0</v>
      </c>
      <c r="L9661" s="142">
        <v>14</v>
      </c>
      <c r="M9661" s="142">
        <v>0</v>
      </c>
    </row>
    <row r="9662" spans="1:13" x14ac:dyDescent="0.45">
      <c r="A9662" s="142" t="s">
        <v>13148</v>
      </c>
      <c r="B9662" s="142" t="s">
        <v>15314</v>
      </c>
      <c r="C9662" s="142" t="s">
        <v>15847</v>
      </c>
      <c r="D9662" s="142" t="s">
        <v>15848</v>
      </c>
      <c r="E9662" s="142" t="s">
        <v>15849</v>
      </c>
      <c r="F9662" s="142" t="s">
        <v>216</v>
      </c>
      <c r="G9662" s="142" t="s">
        <v>10267</v>
      </c>
      <c r="H9662" s="142" t="s">
        <v>25512</v>
      </c>
      <c r="I9662" s="142">
        <v>34</v>
      </c>
      <c r="J9662" s="142">
        <v>0</v>
      </c>
      <c r="K9662" s="142">
        <v>0</v>
      </c>
      <c r="L9662" s="142">
        <v>0</v>
      </c>
      <c r="M9662" s="142">
        <v>34</v>
      </c>
    </row>
    <row r="9663" spans="1:13" x14ac:dyDescent="0.45">
      <c r="A9663" s="142" t="s">
        <v>13149</v>
      </c>
      <c r="B9663" s="142" t="s">
        <v>14458</v>
      </c>
      <c r="C9663" s="142" t="s">
        <v>15860</v>
      </c>
      <c r="D9663" s="142" t="s">
        <v>15861</v>
      </c>
      <c r="E9663" s="142" t="s">
        <v>15849</v>
      </c>
      <c r="F9663" s="142" t="s">
        <v>216</v>
      </c>
      <c r="G9663" s="142" t="s">
        <v>10267</v>
      </c>
      <c r="H9663" s="142" t="s">
        <v>25513</v>
      </c>
      <c r="I9663" s="142">
        <v>33</v>
      </c>
      <c r="J9663" s="142">
        <v>0</v>
      </c>
      <c r="K9663" s="142">
        <v>0</v>
      </c>
      <c r="L9663" s="142">
        <v>33</v>
      </c>
      <c r="M9663" s="142">
        <v>0</v>
      </c>
    </row>
    <row r="9664" spans="1:13" x14ac:dyDescent="0.45">
      <c r="A9664" s="142" t="s">
        <v>13515</v>
      </c>
      <c r="B9664" s="142" t="s">
        <v>14552</v>
      </c>
      <c r="C9664" s="142" t="s">
        <v>15860</v>
      </c>
      <c r="D9664" s="142" t="s">
        <v>15861</v>
      </c>
      <c r="E9664" s="142" t="s">
        <v>15849</v>
      </c>
      <c r="F9664" s="142" t="s">
        <v>216</v>
      </c>
      <c r="G9664" s="142" t="s">
        <v>10267</v>
      </c>
      <c r="H9664" s="142" t="s">
        <v>25514</v>
      </c>
      <c r="I9664" s="142">
        <v>39</v>
      </c>
      <c r="J9664" s="142">
        <v>0</v>
      </c>
      <c r="K9664" s="142">
        <v>0</v>
      </c>
      <c r="L9664" s="142">
        <v>39</v>
      </c>
      <c r="M9664" s="142">
        <v>0</v>
      </c>
    </row>
    <row r="9665" spans="1:13" x14ac:dyDescent="0.45">
      <c r="A9665" s="142" t="s">
        <v>13028</v>
      </c>
      <c r="B9665" s="142" t="s">
        <v>14462</v>
      </c>
      <c r="C9665" s="142" t="s">
        <v>15847</v>
      </c>
      <c r="D9665" s="142" t="s">
        <v>15848</v>
      </c>
      <c r="E9665" s="142" t="s">
        <v>15849</v>
      </c>
      <c r="F9665" s="142" t="s">
        <v>216</v>
      </c>
      <c r="G9665" s="142" t="s">
        <v>10267</v>
      </c>
      <c r="H9665" s="142" t="s">
        <v>25515</v>
      </c>
      <c r="I9665" s="142">
        <v>20</v>
      </c>
      <c r="J9665" s="142">
        <v>0</v>
      </c>
      <c r="K9665" s="142">
        <v>0</v>
      </c>
      <c r="L9665" s="142">
        <v>0</v>
      </c>
      <c r="M9665" s="142">
        <v>20</v>
      </c>
    </row>
    <row r="9666" spans="1:13" x14ac:dyDescent="0.45">
      <c r="A9666" s="142" t="s">
        <v>13160</v>
      </c>
      <c r="B9666" s="142" t="s">
        <v>14525</v>
      </c>
      <c r="C9666" s="142" t="s">
        <v>15847</v>
      </c>
      <c r="D9666" s="142" t="s">
        <v>15848</v>
      </c>
      <c r="E9666" s="142" t="s">
        <v>15849</v>
      </c>
      <c r="F9666" s="142" t="s">
        <v>216</v>
      </c>
      <c r="G9666" s="142" t="s">
        <v>10267</v>
      </c>
      <c r="H9666" s="142" t="s">
        <v>25516</v>
      </c>
      <c r="I9666" s="142">
        <v>13</v>
      </c>
      <c r="J9666" s="142">
        <v>0</v>
      </c>
      <c r="K9666" s="142">
        <v>0</v>
      </c>
      <c r="L9666" s="142">
        <v>13</v>
      </c>
      <c r="M9666" s="142">
        <v>0</v>
      </c>
    </row>
    <row r="9667" spans="1:13" x14ac:dyDescent="0.45">
      <c r="A9667" s="142" t="s">
        <v>13003</v>
      </c>
      <c r="B9667" s="142" t="s">
        <v>15245</v>
      </c>
      <c r="C9667" s="142" t="s">
        <v>15847</v>
      </c>
      <c r="D9667" s="142" t="s">
        <v>15848</v>
      </c>
      <c r="E9667" s="142" t="s">
        <v>15849</v>
      </c>
      <c r="F9667" s="142" t="s">
        <v>216</v>
      </c>
      <c r="G9667" s="142" t="s">
        <v>10267</v>
      </c>
      <c r="H9667" s="142" t="s">
        <v>25517</v>
      </c>
      <c r="I9667" s="142">
        <v>296</v>
      </c>
      <c r="J9667" s="142">
        <v>0</v>
      </c>
      <c r="K9667" s="142">
        <v>0</v>
      </c>
      <c r="L9667" s="142">
        <v>243</v>
      </c>
      <c r="M9667" s="142">
        <v>53</v>
      </c>
    </row>
    <row r="9668" spans="1:13" x14ac:dyDescent="0.45">
      <c r="A9668" s="142" t="s">
        <v>13066</v>
      </c>
      <c r="B9668" s="142" t="s">
        <v>14459</v>
      </c>
      <c r="C9668" s="142" t="s">
        <v>15847</v>
      </c>
      <c r="D9668" s="142" t="s">
        <v>15848</v>
      </c>
      <c r="E9668" s="142" t="s">
        <v>15849</v>
      </c>
      <c r="F9668" s="142" t="s">
        <v>216</v>
      </c>
      <c r="G9668" s="142" t="s">
        <v>10267</v>
      </c>
      <c r="H9668" s="142" t="s">
        <v>25518</v>
      </c>
      <c r="I9668" s="142">
        <v>65</v>
      </c>
      <c r="J9668" s="142">
        <v>0</v>
      </c>
      <c r="K9668" s="142">
        <v>0</v>
      </c>
      <c r="L9668" s="142">
        <v>65</v>
      </c>
      <c r="M9668" s="142">
        <v>0</v>
      </c>
    </row>
    <row r="9669" spans="1:13" x14ac:dyDescent="0.45">
      <c r="A9669" s="142" t="s">
        <v>13291</v>
      </c>
      <c r="B9669" s="142" t="s">
        <v>15495</v>
      </c>
      <c r="C9669" s="142" t="s">
        <v>15847</v>
      </c>
      <c r="D9669" s="142" t="s">
        <v>15848</v>
      </c>
      <c r="E9669" s="142" t="s">
        <v>15849</v>
      </c>
      <c r="F9669" s="142" t="s">
        <v>216</v>
      </c>
      <c r="G9669" s="142" t="s">
        <v>10267</v>
      </c>
      <c r="H9669" s="142" t="s">
        <v>25519</v>
      </c>
      <c r="I9669" s="142">
        <v>47</v>
      </c>
      <c r="J9669" s="142">
        <v>47</v>
      </c>
      <c r="K9669" s="142">
        <v>0</v>
      </c>
      <c r="L9669" s="142">
        <v>0</v>
      </c>
      <c r="M9669" s="142">
        <v>0</v>
      </c>
    </row>
    <row r="9670" spans="1:13" x14ac:dyDescent="0.45">
      <c r="A9670" s="142" t="s">
        <v>13485</v>
      </c>
      <c r="B9670" s="142" t="s">
        <v>15454</v>
      </c>
      <c r="C9670" s="142" t="s">
        <v>15847</v>
      </c>
      <c r="D9670" s="142" t="s">
        <v>15848</v>
      </c>
      <c r="E9670" s="142" t="s">
        <v>15849</v>
      </c>
      <c r="F9670" s="142" t="s">
        <v>216</v>
      </c>
      <c r="G9670" s="142" t="s">
        <v>10267</v>
      </c>
      <c r="H9670" s="142" t="s">
        <v>25520</v>
      </c>
      <c r="I9670" s="142">
        <v>12407</v>
      </c>
      <c r="J9670" s="142">
        <v>10608</v>
      </c>
      <c r="K9670" s="142">
        <v>0</v>
      </c>
      <c r="L9670" s="142">
        <v>1755</v>
      </c>
      <c r="M9670" s="142">
        <v>44</v>
      </c>
    </row>
    <row r="9671" spans="1:13" x14ac:dyDescent="0.45">
      <c r="A9671" s="142" t="s">
        <v>13192</v>
      </c>
      <c r="B9671" s="142" t="s">
        <v>15539</v>
      </c>
      <c r="C9671" s="142" t="s">
        <v>15860</v>
      </c>
      <c r="D9671" s="142" t="s">
        <v>15861</v>
      </c>
      <c r="E9671" s="142" t="s">
        <v>15849</v>
      </c>
      <c r="F9671" s="142" t="s">
        <v>216</v>
      </c>
      <c r="G9671" s="142" t="s">
        <v>10267</v>
      </c>
      <c r="H9671" s="142" t="s">
        <v>25521</v>
      </c>
      <c r="I9671" s="142">
        <v>62</v>
      </c>
      <c r="J9671" s="142">
        <v>0</v>
      </c>
      <c r="K9671" s="142">
        <v>0</v>
      </c>
      <c r="L9671" s="142">
        <v>62</v>
      </c>
      <c r="M9671" s="142">
        <v>0</v>
      </c>
    </row>
    <row r="9672" spans="1:13" x14ac:dyDescent="0.45">
      <c r="A9672" s="142" t="s">
        <v>13486</v>
      </c>
      <c r="B9672" s="142" t="s">
        <v>14563</v>
      </c>
      <c r="C9672" s="142" t="s">
        <v>15847</v>
      </c>
      <c r="D9672" s="142" t="s">
        <v>15848</v>
      </c>
      <c r="E9672" s="142" t="s">
        <v>15849</v>
      </c>
      <c r="F9672" s="142" t="s">
        <v>216</v>
      </c>
      <c r="G9672" s="142" t="s">
        <v>10267</v>
      </c>
      <c r="H9672" s="142" t="s">
        <v>25522</v>
      </c>
      <c r="I9672" s="142">
        <v>754</v>
      </c>
      <c r="J9672" s="142">
        <v>665</v>
      </c>
      <c r="K9672" s="142">
        <v>0</v>
      </c>
      <c r="L9672" s="142">
        <v>81</v>
      </c>
      <c r="M9672" s="142">
        <v>8</v>
      </c>
    </row>
    <row r="9673" spans="1:13" x14ac:dyDescent="0.45">
      <c r="A9673" s="142" t="s">
        <v>13276</v>
      </c>
      <c r="B9673" s="142" t="s">
        <v>15498</v>
      </c>
      <c r="C9673" s="142" t="s">
        <v>15847</v>
      </c>
      <c r="D9673" s="142" t="s">
        <v>15848</v>
      </c>
      <c r="E9673" s="142" t="s">
        <v>15849</v>
      </c>
      <c r="F9673" s="142" t="s">
        <v>216</v>
      </c>
      <c r="G9673" s="142" t="s">
        <v>10267</v>
      </c>
      <c r="H9673" s="142" t="s">
        <v>25523</v>
      </c>
      <c r="I9673" s="142">
        <v>1601</v>
      </c>
      <c r="J9673" s="142">
        <v>1218</v>
      </c>
      <c r="K9673" s="142">
        <v>0</v>
      </c>
      <c r="L9673" s="142">
        <v>291</v>
      </c>
      <c r="M9673" s="142">
        <v>92</v>
      </c>
    </row>
    <row r="9674" spans="1:13" x14ac:dyDescent="0.45">
      <c r="A9674" s="142" t="s">
        <v>13939</v>
      </c>
      <c r="B9674" s="142" t="s">
        <v>15386</v>
      </c>
      <c r="C9674" s="142" t="s">
        <v>15860</v>
      </c>
      <c r="D9674" s="142" t="s">
        <v>15861</v>
      </c>
      <c r="E9674" s="142" t="s">
        <v>15849</v>
      </c>
      <c r="F9674" s="142" t="s">
        <v>216</v>
      </c>
      <c r="G9674" s="142" t="s">
        <v>10267</v>
      </c>
      <c r="H9674" s="142" t="s">
        <v>25524</v>
      </c>
      <c r="I9674" s="142">
        <v>131</v>
      </c>
      <c r="J9674" s="142">
        <v>131</v>
      </c>
      <c r="K9674" s="142">
        <v>0</v>
      </c>
      <c r="L9674" s="142">
        <v>0</v>
      </c>
      <c r="M9674" s="142">
        <v>0</v>
      </c>
    </row>
    <row r="9675" spans="1:13" x14ac:dyDescent="0.45">
      <c r="A9675" s="142" t="s">
        <v>13034</v>
      </c>
      <c r="B9675" s="142" t="s">
        <v>15562</v>
      </c>
      <c r="C9675" s="142" t="s">
        <v>15847</v>
      </c>
      <c r="D9675" s="142" t="s">
        <v>15848</v>
      </c>
      <c r="E9675" s="142" t="s">
        <v>15849</v>
      </c>
      <c r="F9675" s="142" t="s">
        <v>216</v>
      </c>
      <c r="G9675" s="142" t="s">
        <v>10267</v>
      </c>
      <c r="H9675" s="142" t="s">
        <v>25525</v>
      </c>
      <c r="I9675" s="142">
        <v>19</v>
      </c>
      <c r="J9675" s="142">
        <v>0</v>
      </c>
      <c r="K9675" s="142">
        <v>0</v>
      </c>
      <c r="L9675" s="142">
        <v>19</v>
      </c>
      <c r="M9675" s="142">
        <v>0</v>
      </c>
    </row>
    <row r="9676" spans="1:13" x14ac:dyDescent="0.45">
      <c r="A9676" s="142" t="s">
        <v>13487</v>
      </c>
      <c r="B9676" s="142" t="s">
        <v>15490</v>
      </c>
      <c r="C9676" s="142" t="s">
        <v>15847</v>
      </c>
      <c r="D9676" s="142" t="s">
        <v>15848</v>
      </c>
      <c r="E9676" s="142" t="s">
        <v>15849</v>
      </c>
      <c r="F9676" s="142" t="s">
        <v>216</v>
      </c>
      <c r="G9676" s="142" t="s">
        <v>10267</v>
      </c>
      <c r="H9676" s="142" t="s">
        <v>25526</v>
      </c>
      <c r="I9676" s="142">
        <v>202</v>
      </c>
      <c r="J9676" s="142">
        <v>202</v>
      </c>
      <c r="K9676" s="142">
        <v>0</v>
      </c>
      <c r="L9676" s="142">
        <v>0</v>
      </c>
      <c r="M9676" s="142">
        <v>0</v>
      </c>
    </row>
    <row r="9677" spans="1:13" x14ac:dyDescent="0.45">
      <c r="A9677" s="142" t="s">
        <v>13838</v>
      </c>
      <c r="B9677" s="142" t="s">
        <v>15305</v>
      </c>
      <c r="C9677" s="142" t="s">
        <v>15847</v>
      </c>
      <c r="D9677" s="142" t="s">
        <v>15848</v>
      </c>
      <c r="E9677" s="142" t="s">
        <v>15849</v>
      </c>
      <c r="F9677" s="142" t="s">
        <v>216</v>
      </c>
      <c r="G9677" s="142" t="s">
        <v>10267</v>
      </c>
      <c r="H9677" s="142" t="s">
        <v>25527</v>
      </c>
      <c r="I9677" s="142">
        <v>1097</v>
      </c>
      <c r="J9677" s="142">
        <v>1075</v>
      </c>
      <c r="K9677" s="142">
        <v>0</v>
      </c>
      <c r="L9677" s="142">
        <v>9</v>
      </c>
      <c r="M9677" s="142">
        <v>13</v>
      </c>
    </row>
    <row r="9678" spans="1:13" x14ac:dyDescent="0.45">
      <c r="A9678" s="142" t="s">
        <v>13839</v>
      </c>
      <c r="B9678" s="142" t="s">
        <v>15292</v>
      </c>
      <c r="C9678" s="142" t="s">
        <v>15860</v>
      </c>
      <c r="D9678" s="142" t="s">
        <v>15861</v>
      </c>
      <c r="E9678" s="142" t="s">
        <v>15849</v>
      </c>
      <c r="F9678" s="142" t="s">
        <v>216</v>
      </c>
      <c r="G9678" s="142" t="s">
        <v>10267</v>
      </c>
      <c r="H9678" s="142" t="s">
        <v>25528</v>
      </c>
      <c r="I9678" s="142">
        <v>6</v>
      </c>
      <c r="J9678" s="142">
        <v>6</v>
      </c>
      <c r="K9678" s="142">
        <v>0</v>
      </c>
      <c r="L9678" s="142">
        <v>0</v>
      </c>
      <c r="M9678" s="142">
        <v>0</v>
      </c>
    </row>
    <row r="9679" spans="1:13" x14ac:dyDescent="0.45">
      <c r="A9679" s="142" t="s">
        <v>13277</v>
      </c>
      <c r="B9679" s="142" t="s">
        <v>14454</v>
      </c>
      <c r="C9679" s="142" t="s">
        <v>15847</v>
      </c>
      <c r="D9679" s="142" t="s">
        <v>15848</v>
      </c>
      <c r="E9679" s="142" t="s">
        <v>15849</v>
      </c>
      <c r="F9679" s="142" t="s">
        <v>216</v>
      </c>
      <c r="G9679" s="142" t="s">
        <v>10267</v>
      </c>
      <c r="H9679" s="142" t="s">
        <v>25529</v>
      </c>
      <c r="I9679" s="142">
        <v>1558</v>
      </c>
      <c r="J9679" s="142">
        <v>1258</v>
      </c>
      <c r="K9679" s="142">
        <v>0</v>
      </c>
      <c r="L9679" s="142">
        <v>242</v>
      </c>
      <c r="M9679" s="142">
        <v>58</v>
      </c>
    </row>
    <row r="9680" spans="1:13" x14ac:dyDescent="0.45">
      <c r="A9680" s="142" t="s">
        <v>13037</v>
      </c>
      <c r="B9680" s="142" t="s">
        <v>14519</v>
      </c>
      <c r="C9680" s="142" t="s">
        <v>15847</v>
      </c>
      <c r="D9680" s="142" t="s">
        <v>15848</v>
      </c>
      <c r="E9680" s="142" t="s">
        <v>15849</v>
      </c>
      <c r="F9680" s="142" t="s">
        <v>216</v>
      </c>
      <c r="G9680" s="142" t="s">
        <v>10267</v>
      </c>
      <c r="H9680" s="142" t="s">
        <v>25530</v>
      </c>
      <c r="I9680" s="142">
        <v>74</v>
      </c>
      <c r="J9680" s="142">
        <v>0</v>
      </c>
      <c r="K9680" s="142">
        <v>0</v>
      </c>
      <c r="L9680" s="142">
        <v>74</v>
      </c>
      <c r="M9680" s="142">
        <v>0</v>
      </c>
    </row>
    <row r="9681" spans="1:13" x14ac:dyDescent="0.45">
      <c r="A9681" s="142" t="s">
        <v>13091</v>
      </c>
      <c r="B9681" s="142" t="s">
        <v>14473</v>
      </c>
      <c r="C9681" s="142" t="s">
        <v>15847</v>
      </c>
      <c r="D9681" s="142" t="s">
        <v>15848</v>
      </c>
      <c r="E9681" s="142" t="s">
        <v>15849</v>
      </c>
      <c r="F9681" s="142" t="s">
        <v>216</v>
      </c>
      <c r="G9681" s="142" t="s">
        <v>10267</v>
      </c>
      <c r="H9681" s="142" t="s">
        <v>25531</v>
      </c>
      <c r="I9681" s="142">
        <v>58</v>
      </c>
      <c r="J9681" s="142">
        <v>58</v>
      </c>
      <c r="K9681" s="142">
        <v>0</v>
      </c>
      <c r="L9681" s="142">
        <v>0</v>
      </c>
      <c r="M9681" s="142">
        <v>0</v>
      </c>
    </row>
    <row r="9682" spans="1:13" x14ac:dyDescent="0.45">
      <c r="A9682" s="142" t="s">
        <v>13009</v>
      </c>
      <c r="B9682" s="142" t="s">
        <v>15256</v>
      </c>
      <c r="C9682" s="142" t="s">
        <v>15847</v>
      </c>
      <c r="D9682" s="142" t="s">
        <v>15848</v>
      </c>
      <c r="E9682" s="142" t="s">
        <v>15849</v>
      </c>
      <c r="F9682" s="142" t="s">
        <v>216</v>
      </c>
      <c r="G9682" s="142" t="s">
        <v>10267</v>
      </c>
      <c r="H9682" s="142" t="s">
        <v>25532</v>
      </c>
      <c r="I9682" s="142">
        <v>532</v>
      </c>
      <c r="J9682" s="142">
        <v>271</v>
      </c>
      <c r="K9682" s="142">
        <v>0</v>
      </c>
      <c r="L9682" s="142">
        <v>233</v>
      </c>
      <c r="M9682" s="142">
        <v>28</v>
      </c>
    </row>
    <row r="9683" spans="1:13" x14ac:dyDescent="0.45">
      <c r="A9683" s="142" t="s">
        <v>13042</v>
      </c>
      <c r="B9683" s="142" t="s">
        <v>15489</v>
      </c>
      <c r="C9683" s="142" t="s">
        <v>15847</v>
      </c>
      <c r="D9683" s="142" t="s">
        <v>15848</v>
      </c>
      <c r="E9683" s="142" t="s">
        <v>15849</v>
      </c>
      <c r="F9683" s="142" t="s">
        <v>216</v>
      </c>
      <c r="G9683" s="142" t="s">
        <v>10267</v>
      </c>
      <c r="H9683" s="142" t="s">
        <v>25533</v>
      </c>
      <c r="I9683" s="142">
        <v>2209</v>
      </c>
      <c r="J9683" s="142">
        <v>1590</v>
      </c>
      <c r="K9683" s="142">
        <v>0</v>
      </c>
      <c r="L9683" s="142">
        <v>464</v>
      </c>
      <c r="M9683" s="142">
        <v>155</v>
      </c>
    </row>
    <row r="9684" spans="1:13" x14ac:dyDescent="0.45">
      <c r="A9684" s="142" t="s">
        <v>13493</v>
      </c>
      <c r="B9684" s="142" t="s">
        <v>14639</v>
      </c>
      <c r="C9684" s="142" t="s">
        <v>15847</v>
      </c>
      <c r="D9684" s="142" t="s">
        <v>15848</v>
      </c>
      <c r="E9684" s="142" t="s">
        <v>15849</v>
      </c>
      <c r="F9684" s="142" t="s">
        <v>216</v>
      </c>
      <c r="G9684" s="142" t="s">
        <v>10267</v>
      </c>
      <c r="H9684" s="142" t="s">
        <v>25534</v>
      </c>
      <c r="I9684" s="142">
        <v>436</v>
      </c>
      <c r="J9684" s="142">
        <v>220</v>
      </c>
      <c r="K9684" s="142">
        <v>0</v>
      </c>
      <c r="L9684" s="142">
        <v>102</v>
      </c>
      <c r="M9684" s="142">
        <v>114</v>
      </c>
    </row>
    <row r="9685" spans="1:13" x14ac:dyDescent="0.45">
      <c r="A9685" s="142" t="s">
        <v>13222</v>
      </c>
      <c r="B9685" s="142" t="s">
        <v>14449</v>
      </c>
      <c r="C9685" s="142" t="s">
        <v>15860</v>
      </c>
      <c r="D9685" s="142" t="s">
        <v>15861</v>
      </c>
      <c r="E9685" s="142" t="s">
        <v>15849</v>
      </c>
      <c r="F9685" s="142" t="s">
        <v>216</v>
      </c>
      <c r="G9685" s="142" t="s">
        <v>10267</v>
      </c>
      <c r="H9685" s="142" t="s">
        <v>25535</v>
      </c>
      <c r="I9685" s="142">
        <v>10</v>
      </c>
      <c r="J9685" s="142">
        <v>0</v>
      </c>
      <c r="K9685" s="142">
        <v>0</v>
      </c>
      <c r="L9685" s="142">
        <v>10</v>
      </c>
      <c r="M9685" s="142">
        <v>0</v>
      </c>
    </row>
    <row r="9686" spans="1:13" x14ac:dyDescent="0.45">
      <c r="A9686" s="142" t="s">
        <v>14389</v>
      </c>
      <c r="B9686" s="142" t="s">
        <v>14705</v>
      </c>
      <c r="C9686" s="142" t="s">
        <v>15860</v>
      </c>
      <c r="D9686" s="142" t="s">
        <v>15861</v>
      </c>
      <c r="E9686" s="142" t="s">
        <v>15849</v>
      </c>
      <c r="F9686" s="142" t="s">
        <v>216</v>
      </c>
      <c r="G9686" s="142" t="s">
        <v>10267</v>
      </c>
      <c r="H9686" s="142" t="s">
        <v>25536</v>
      </c>
      <c r="I9686" s="142">
        <v>32</v>
      </c>
      <c r="J9686" s="142">
        <v>0</v>
      </c>
      <c r="K9686" s="142">
        <v>0</v>
      </c>
      <c r="L9686" s="142">
        <v>32</v>
      </c>
      <c r="M9686" s="142">
        <v>0</v>
      </c>
    </row>
    <row r="9687" spans="1:13" x14ac:dyDescent="0.45">
      <c r="A9687" s="142" t="s">
        <v>13505</v>
      </c>
      <c r="B9687" s="142" t="s">
        <v>15289</v>
      </c>
      <c r="C9687" s="142" t="s">
        <v>15860</v>
      </c>
      <c r="D9687" s="142" t="s">
        <v>15861</v>
      </c>
      <c r="E9687" s="142" t="s">
        <v>15849</v>
      </c>
      <c r="F9687" s="142" t="s">
        <v>216</v>
      </c>
      <c r="G9687" s="142" t="s">
        <v>10267</v>
      </c>
      <c r="H9687" s="142" t="s">
        <v>25537</v>
      </c>
      <c r="I9687" s="142">
        <v>810</v>
      </c>
      <c r="J9687" s="142">
        <v>596</v>
      </c>
      <c r="K9687" s="142">
        <v>0</v>
      </c>
      <c r="L9687" s="142">
        <v>214</v>
      </c>
      <c r="M9687" s="142">
        <v>0</v>
      </c>
    </row>
    <row r="9688" spans="1:13" x14ac:dyDescent="0.45">
      <c r="A9688" s="142" t="s">
        <v>13308</v>
      </c>
      <c r="B9688" s="142" t="s">
        <v>15608</v>
      </c>
      <c r="C9688" s="142" t="s">
        <v>15847</v>
      </c>
      <c r="D9688" s="142" t="s">
        <v>15848</v>
      </c>
      <c r="E9688" s="142" t="s">
        <v>15849</v>
      </c>
      <c r="F9688" s="142" t="s">
        <v>217</v>
      </c>
      <c r="G9688" s="142" t="s">
        <v>8653</v>
      </c>
      <c r="H9688" s="142" t="s">
        <v>25538</v>
      </c>
      <c r="I9688" s="142">
        <v>2</v>
      </c>
      <c r="J9688" s="142">
        <v>0</v>
      </c>
      <c r="K9688" s="142">
        <v>0</v>
      </c>
      <c r="L9688" s="142">
        <v>0</v>
      </c>
      <c r="M9688" s="142">
        <v>2</v>
      </c>
    </row>
    <row r="9689" spans="1:13" x14ac:dyDescent="0.45">
      <c r="A9689" s="142" t="s">
        <v>13166</v>
      </c>
      <c r="B9689" s="142" t="s">
        <v>15576</v>
      </c>
      <c r="C9689" s="142" t="s">
        <v>15847</v>
      </c>
      <c r="D9689" s="142" t="s">
        <v>15848</v>
      </c>
      <c r="E9689" s="142" t="s">
        <v>15849</v>
      </c>
      <c r="F9689" s="142" t="s">
        <v>217</v>
      </c>
      <c r="G9689" s="142" t="s">
        <v>8653</v>
      </c>
      <c r="H9689" s="142" t="s">
        <v>25539</v>
      </c>
      <c r="I9689" s="142">
        <v>10</v>
      </c>
      <c r="J9689" s="142">
        <v>0</v>
      </c>
      <c r="K9689" s="142">
        <v>0</v>
      </c>
      <c r="L9689" s="142">
        <v>10</v>
      </c>
      <c r="M9689" s="142">
        <v>0</v>
      </c>
    </row>
    <row r="9690" spans="1:13" x14ac:dyDescent="0.45">
      <c r="A9690" s="142" t="s">
        <v>13046</v>
      </c>
      <c r="B9690" s="142" t="s">
        <v>15537</v>
      </c>
      <c r="C9690" s="142" t="s">
        <v>15860</v>
      </c>
      <c r="D9690" s="142" t="s">
        <v>15861</v>
      </c>
      <c r="E9690" s="142" t="s">
        <v>15849</v>
      </c>
      <c r="F9690" s="142" t="s">
        <v>217</v>
      </c>
      <c r="G9690" s="142" t="s">
        <v>8653</v>
      </c>
      <c r="H9690" s="142" t="s">
        <v>25540</v>
      </c>
      <c r="I9690" s="142">
        <v>21</v>
      </c>
      <c r="J9690" s="142">
        <v>0</v>
      </c>
      <c r="K9690" s="142">
        <v>0</v>
      </c>
      <c r="L9690" s="142">
        <v>21</v>
      </c>
      <c r="M9690" s="142">
        <v>0</v>
      </c>
    </row>
    <row r="9691" spans="1:13" x14ac:dyDescent="0.45">
      <c r="A9691" s="142" t="s">
        <v>13167</v>
      </c>
      <c r="B9691" s="142" t="s">
        <v>15418</v>
      </c>
      <c r="C9691" s="142" t="s">
        <v>15847</v>
      </c>
      <c r="D9691" s="142" t="s">
        <v>15848</v>
      </c>
      <c r="E9691" s="142" t="s">
        <v>15849</v>
      </c>
      <c r="F9691" s="142" t="s">
        <v>217</v>
      </c>
      <c r="G9691" s="142" t="s">
        <v>8653</v>
      </c>
      <c r="H9691" s="142" t="s">
        <v>25541</v>
      </c>
      <c r="I9691" s="142">
        <v>11</v>
      </c>
      <c r="J9691" s="142">
        <v>6</v>
      </c>
      <c r="K9691" s="142">
        <v>0</v>
      </c>
      <c r="L9691" s="142">
        <v>5</v>
      </c>
      <c r="M9691" s="142">
        <v>0</v>
      </c>
    </row>
    <row r="9692" spans="1:13" x14ac:dyDescent="0.45">
      <c r="A9692" s="142" t="s">
        <v>13072</v>
      </c>
      <c r="B9692" s="142" t="s">
        <v>15530</v>
      </c>
      <c r="C9692" s="142" t="s">
        <v>15847</v>
      </c>
      <c r="D9692" s="142" t="s">
        <v>15848</v>
      </c>
      <c r="E9692" s="142" t="s">
        <v>15849</v>
      </c>
      <c r="F9692" s="142" t="s">
        <v>217</v>
      </c>
      <c r="G9692" s="142" t="s">
        <v>8653</v>
      </c>
      <c r="H9692" s="142" t="s">
        <v>25542</v>
      </c>
      <c r="I9692" s="142">
        <v>47</v>
      </c>
      <c r="J9692" s="142">
        <v>47</v>
      </c>
      <c r="K9692" s="142">
        <v>0</v>
      </c>
      <c r="L9692" s="142">
        <v>0</v>
      </c>
      <c r="M9692" s="142">
        <v>0</v>
      </c>
    </row>
    <row r="9693" spans="1:13" x14ac:dyDescent="0.45">
      <c r="A9693" s="142" t="s">
        <v>13021</v>
      </c>
      <c r="B9693" s="142" t="s">
        <v>15501</v>
      </c>
      <c r="C9693" s="142" t="s">
        <v>15847</v>
      </c>
      <c r="D9693" s="142" t="s">
        <v>15848</v>
      </c>
      <c r="E9693" s="142" t="s">
        <v>15849</v>
      </c>
      <c r="F9693" s="142" t="s">
        <v>217</v>
      </c>
      <c r="G9693" s="142" t="s">
        <v>8653</v>
      </c>
      <c r="H9693" s="142" t="s">
        <v>25543</v>
      </c>
      <c r="I9693" s="142">
        <v>2</v>
      </c>
      <c r="J9693" s="142">
        <v>0</v>
      </c>
      <c r="K9693" s="142">
        <v>0</v>
      </c>
      <c r="L9693" s="142">
        <v>0</v>
      </c>
      <c r="M9693" s="142">
        <v>2</v>
      </c>
    </row>
    <row r="9694" spans="1:13" x14ac:dyDescent="0.45">
      <c r="A9694" s="142" t="s">
        <v>13023</v>
      </c>
      <c r="B9694" s="142" t="s">
        <v>15571</v>
      </c>
      <c r="C9694" s="142" t="s">
        <v>15847</v>
      </c>
      <c r="D9694" s="142" t="s">
        <v>15848</v>
      </c>
      <c r="E9694" s="142" t="s">
        <v>15849</v>
      </c>
      <c r="F9694" s="142" t="s">
        <v>217</v>
      </c>
      <c r="G9694" s="142" t="s">
        <v>8653</v>
      </c>
      <c r="H9694" s="142" t="s">
        <v>25544</v>
      </c>
      <c r="I9694" s="142">
        <v>57</v>
      </c>
      <c r="J9694" s="142">
        <v>0</v>
      </c>
      <c r="K9694" s="142">
        <v>0</v>
      </c>
      <c r="L9694" s="142">
        <v>33</v>
      </c>
      <c r="M9694" s="142">
        <v>24</v>
      </c>
    </row>
    <row r="9695" spans="1:13" x14ac:dyDescent="0.45">
      <c r="A9695" s="142" t="s">
        <v>13047</v>
      </c>
      <c r="B9695" s="142" t="s">
        <v>14616</v>
      </c>
      <c r="C9695" s="142" t="s">
        <v>15847</v>
      </c>
      <c r="D9695" s="142" t="s">
        <v>15848</v>
      </c>
      <c r="E9695" s="142" t="s">
        <v>15849</v>
      </c>
      <c r="F9695" s="142" t="s">
        <v>217</v>
      </c>
      <c r="G9695" s="142" t="s">
        <v>8653</v>
      </c>
      <c r="H9695" s="142" t="s">
        <v>25545</v>
      </c>
      <c r="I9695" s="142">
        <v>62</v>
      </c>
      <c r="J9695" s="142">
        <v>32</v>
      </c>
      <c r="K9695" s="142">
        <v>0</v>
      </c>
      <c r="L9695" s="142">
        <v>0</v>
      </c>
      <c r="M9695" s="142">
        <v>30</v>
      </c>
    </row>
    <row r="9696" spans="1:13" x14ac:dyDescent="0.45">
      <c r="A9696" s="142" t="s">
        <v>13000</v>
      </c>
      <c r="B9696" s="142" t="s">
        <v>14610</v>
      </c>
      <c r="C9696" s="142" t="s">
        <v>15847</v>
      </c>
      <c r="D9696" s="142" t="s">
        <v>15848</v>
      </c>
      <c r="E9696" s="142" t="s">
        <v>15849</v>
      </c>
      <c r="F9696" s="142" t="s">
        <v>217</v>
      </c>
      <c r="G9696" s="142" t="s">
        <v>8653</v>
      </c>
      <c r="H9696" s="142" t="s">
        <v>25546</v>
      </c>
      <c r="I9696" s="142">
        <v>7</v>
      </c>
      <c r="J9696" s="142">
        <v>7</v>
      </c>
      <c r="K9696" s="142">
        <v>0</v>
      </c>
      <c r="L9696" s="142">
        <v>0</v>
      </c>
      <c r="M9696" s="142">
        <v>0</v>
      </c>
    </row>
    <row r="9697" spans="1:13" x14ac:dyDescent="0.45">
      <c r="A9697" s="142" t="s">
        <v>13099</v>
      </c>
      <c r="B9697" s="142" t="s">
        <v>14547</v>
      </c>
      <c r="C9697" s="142" t="s">
        <v>15860</v>
      </c>
      <c r="D9697" s="142" t="s">
        <v>15861</v>
      </c>
      <c r="E9697" s="142" t="s">
        <v>15849</v>
      </c>
      <c r="F9697" s="142" t="s">
        <v>217</v>
      </c>
      <c r="G9697" s="142" t="s">
        <v>8653</v>
      </c>
      <c r="H9697" s="142" t="s">
        <v>25547</v>
      </c>
      <c r="I9697" s="142">
        <v>6</v>
      </c>
      <c r="J9697" s="142">
        <v>0</v>
      </c>
      <c r="K9697" s="142">
        <v>0</v>
      </c>
      <c r="L9697" s="142">
        <v>6</v>
      </c>
      <c r="M9697" s="142">
        <v>0</v>
      </c>
    </row>
    <row r="9698" spans="1:13" x14ac:dyDescent="0.45">
      <c r="A9698" s="142" t="s">
        <v>13168</v>
      </c>
      <c r="B9698" s="142" t="s">
        <v>14486</v>
      </c>
      <c r="C9698" s="142" t="s">
        <v>15860</v>
      </c>
      <c r="D9698" s="142" t="s">
        <v>15861</v>
      </c>
      <c r="E9698" s="142" t="s">
        <v>15849</v>
      </c>
      <c r="F9698" s="142" t="s">
        <v>217</v>
      </c>
      <c r="G9698" s="142" t="s">
        <v>8653</v>
      </c>
      <c r="H9698" s="142" t="s">
        <v>25548</v>
      </c>
      <c r="I9698" s="142">
        <v>3</v>
      </c>
      <c r="J9698" s="142">
        <v>0</v>
      </c>
      <c r="K9698" s="142">
        <v>0</v>
      </c>
      <c r="L9698" s="142">
        <v>3</v>
      </c>
      <c r="M9698" s="142">
        <v>0</v>
      </c>
    </row>
    <row r="9699" spans="1:13" x14ac:dyDescent="0.45">
      <c r="A9699" s="142" t="s">
        <v>13027</v>
      </c>
      <c r="B9699" s="142" t="s">
        <v>14562</v>
      </c>
      <c r="C9699" s="142" t="s">
        <v>15847</v>
      </c>
      <c r="D9699" s="142" t="s">
        <v>15848</v>
      </c>
      <c r="E9699" s="142" t="s">
        <v>15849</v>
      </c>
      <c r="F9699" s="142" t="s">
        <v>217</v>
      </c>
      <c r="G9699" s="142" t="s">
        <v>8653</v>
      </c>
      <c r="H9699" s="142" t="s">
        <v>25549</v>
      </c>
      <c r="I9699" s="142">
        <v>5</v>
      </c>
      <c r="J9699" s="142">
        <v>0</v>
      </c>
      <c r="K9699" s="142">
        <v>0</v>
      </c>
      <c r="L9699" s="142">
        <v>5</v>
      </c>
      <c r="M9699" s="142">
        <v>0</v>
      </c>
    </row>
    <row r="9700" spans="1:13" x14ac:dyDescent="0.45">
      <c r="A9700" s="142" t="s">
        <v>13002</v>
      </c>
      <c r="B9700" s="142" t="s">
        <v>15376</v>
      </c>
      <c r="C9700" s="142" t="s">
        <v>15847</v>
      </c>
      <c r="D9700" s="142" t="s">
        <v>15848</v>
      </c>
      <c r="E9700" s="142" t="s">
        <v>15849</v>
      </c>
      <c r="F9700" s="142" t="s">
        <v>217</v>
      </c>
      <c r="G9700" s="142" t="s">
        <v>8653</v>
      </c>
      <c r="H9700" s="142" t="s">
        <v>25550</v>
      </c>
      <c r="I9700" s="142">
        <v>6</v>
      </c>
      <c r="J9700" s="142">
        <v>0</v>
      </c>
      <c r="K9700" s="142">
        <v>0</v>
      </c>
      <c r="L9700" s="142">
        <v>6</v>
      </c>
      <c r="M9700" s="142">
        <v>0</v>
      </c>
    </row>
    <row r="9701" spans="1:13" x14ac:dyDescent="0.45">
      <c r="A9701" s="142" t="s">
        <v>13003</v>
      </c>
      <c r="B9701" s="142" t="s">
        <v>15245</v>
      </c>
      <c r="C9701" s="142" t="s">
        <v>15847</v>
      </c>
      <c r="D9701" s="142" t="s">
        <v>15848</v>
      </c>
      <c r="E9701" s="142" t="s">
        <v>15849</v>
      </c>
      <c r="F9701" s="142" t="s">
        <v>217</v>
      </c>
      <c r="G9701" s="142" t="s">
        <v>8653</v>
      </c>
      <c r="H9701" s="142" t="s">
        <v>25551</v>
      </c>
      <c r="I9701" s="142">
        <v>44</v>
      </c>
      <c r="J9701" s="142">
        <v>0</v>
      </c>
      <c r="K9701" s="142">
        <v>0</v>
      </c>
      <c r="L9701" s="142">
        <v>44</v>
      </c>
      <c r="M9701" s="142">
        <v>0</v>
      </c>
    </row>
    <row r="9702" spans="1:13" x14ac:dyDescent="0.45">
      <c r="A9702" s="142" t="s">
        <v>13004</v>
      </c>
      <c r="B9702" s="142" t="s">
        <v>15492</v>
      </c>
      <c r="C9702" s="142" t="s">
        <v>15847</v>
      </c>
      <c r="D9702" s="142" t="s">
        <v>15848</v>
      </c>
      <c r="E9702" s="142" t="s">
        <v>15849</v>
      </c>
      <c r="F9702" s="142" t="s">
        <v>217</v>
      </c>
      <c r="G9702" s="142" t="s">
        <v>8653</v>
      </c>
      <c r="H9702" s="142" t="s">
        <v>25552</v>
      </c>
      <c r="I9702" s="142">
        <v>10</v>
      </c>
      <c r="J9702" s="142">
        <v>10</v>
      </c>
      <c r="K9702" s="142">
        <v>0</v>
      </c>
      <c r="L9702" s="142">
        <v>0</v>
      </c>
      <c r="M9702" s="142">
        <v>0</v>
      </c>
    </row>
    <row r="9703" spans="1:13" x14ac:dyDescent="0.45">
      <c r="A9703" s="142" t="s">
        <v>13051</v>
      </c>
      <c r="B9703" s="142" t="s">
        <v>14509</v>
      </c>
      <c r="C9703" s="142" t="s">
        <v>15860</v>
      </c>
      <c r="D9703" s="142" t="s">
        <v>15861</v>
      </c>
      <c r="E9703" s="142" t="s">
        <v>15849</v>
      </c>
      <c r="F9703" s="142" t="s">
        <v>217</v>
      </c>
      <c r="G9703" s="142" t="s">
        <v>8653</v>
      </c>
      <c r="H9703" s="142" t="s">
        <v>25553</v>
      </c>
      <c r="I9703" s="142">
        <v>4</v>
      </c>
      <c r="J9703" s="142">
        <v>0</v>
      </c>
      <c r="K9703" s="142">
        <v>0</v>
      </c>
      <c r="L9703" s="142">
        <v>4</v>
      </c>
      <c r="M9703" s="142">
        <v>0</v>
      </c>
    </row>
    <row r="9704" spans="1:13" x14ac:dyDescent="0.45">
      <c r="A9704" s="142" t="s">
        <v>13006</v>
      </c>
      <c r="B9704" s="142" t="s">
        <v>15288</v>
      </c>
      <c r="C9704" s="142" t="s">
        <v>15847</v>
      </c>
      <c r="D9704" s="142" t="s">
        <v>15848</v>
      </c>
      <c r="E9704" s="142" t="s">
        <v>15849</v>
      </c>
      <c r="F9704" s="142" t="s">
        <v>217</v>
      </c>
      <c r="G9704" s="142" t="s">
        <v>8653</v>
      </c>
      <c r="H9704" s="142" t="s">
        <v>25554</v>
      </c>
      <c r="I9704" s="142">
        <v>232</v>
      </c>
      <c r="J9704" s="142">
        <v>157</v>
      </c>
      <c r="K9704" s="142">
        <v>0</v>
      </c>
      <c r="L9704" s="142">
        <v>0</v>
      </c>
      <c r="M9704" s="142">
        <v>75</v>
      </c>
    </row>
    <row r="9705" spans="1:13" x14ac:dyDescent="0.45">
      <c r="A9705" s="142" t="s">
        <v>13007</v>
      </c>
      <c r="B9705" s="142" t="s">
        <v>15262</v>
      </c>
      <c r="C9705" s="142" t="s">
        <v>15847</v>
      </c>
      <c r="D9705" s="142" t="s">
        <v>15848</v>
      </c>
      <c r="E9705" s="142" t="s">
        <v>15849</v>
      </c>
      <c r="F9705" s="142" t="s">
        <v>217</v>
      </c>
      <c r="G9705" s="142" t="s">
        <v>8653</v>
      </c>
      <c r="H9705" s="142" t="s">
        <v>25555</v>
      </c>
      <c r="I9705" s="142">
        <v>2</v>
      </c>
      <c r="J9705" s="142">
        <v>0</v>
      </c>
      <c r="K9705" s="142">
        <v>0</v>
      </c>
      <c r="L9705" s="142">
        <v>0</v>
      </c>
      <c r="M9705" s="142">
        <v>2</v>
      </c>
    </row>
    <row r="9706" spans="1:13" x14ac:dyDescent="0.45">
      <c r="A9706" s="142" t="s">
        <v>13568</v>
      </c>
      <c r="B9706" s="142" t="s">
        <v>15242</v>
      </c>
      <c r="C9706" s="142" t="s">
        <v>15847</v>
      </c>
      <c r="D9706" s="142" t="s">
        <v>15848</v>
      </c>
      <c r="E9706" s="142" t="s">
        <v>15849</v>
      </c>
      <c r="F9706" s="142" t="s">
        <v>217</v>
      </c>
      <c r="G9706" s="142" t="s">
        <v>8653</v>
      </c>
      <c r="H9706" s="142" t="s">
        <v>25556</v>
      </c>
      <c r="I9706" s="142">
        <v>140</v>
      </c>
      <c r="J9706" s="142">
        <v>104</v>
      </c>
      <c r="K9706" s="142">
        <v>0</v>
      </c>
      <c r="L9706" s="142">
        <v>36</v>
      </c>
      <c r="M9706" s="142">
        <v>0</v>
      </c>
    </row>
    <row r="9707" spans="1:13" x14ac:dyDescent="0.45">
      <c r="A9707" s="142" t="s">
        <v>13055</v>
      </c>
      <c r="B9707" s="142" t="s">
        <v>14595</v>
      </c>
      <c r="C9707" s="142" t="s">
        <v>15847</v>
      </c>
      <c r="D9707" s="142" t="s">
        <v>15848</v>
      </c>
      <c r="E9707" s="142" t="s">
        <v>15849</v>
      </c>
      <c r="F9707" s="142" t="s">
        <v>217</v>
      </c>
      <c r="G9707" s="142" t="s">
        <v>8653</v>
      </c>
      <c r="H9707" s="142" t="s">
        <v>25557</v>
      </c>
      <c r="I9707" s="142">
        <v>144</v>
      </c>
      <c r="J9707" s="142">
        <v>50</v>
      </c>
      <c r="K9707" s="142">
        <v>0</v>
      </c>
      <c r="L9707" s="142">
        <v>25</v>
      </c>
      <c r="M9707" s="142">
        <v>69</v>
      </c>
    </row>
    <row r="9708" spans="1:13" x14ac:dyDescent="0.45">
      <c r="A9708" s="142" t="s">
        <v>13569</v>
      </c>
      <c r="B9708" s="142" t="s">
        <v>15441</v>
      </c>
      <c r="C9708" s="142" t="s">
        <v>15847</v>
      </c>
      <c r="D9708" s="142" t="s">
        <v>15848</v>
      </c>
      <c r="E9708" s="142" t="s">
        <v>15849</v>
      </c>
      <c r="F9708" s="142" t="s">
        <v>217</v>
      </c>
      <c r="G9708" s="142" t="s">
        <v>8653</v>
      </c>
      <c r="H9708" s="142" t="s">
        <v>25558</v>
      </c>
      <c r="I9708" s="142">
        <v>21</v>
      </c>
      <c r="J9708" s="142">
        <v>0</v>
      </c>
      <c r="K9708" s="142">
        <v>0</v>
      </c>
      <c r="L9708" s="142">
        <v>21</v>
      </c>
      <c r="M9708" s="142">
        <v>0</v>
      </c>
    </row>
    <row r="9709" spans="1:13" x14ac:dyDescent="0.45">
      <c r="A9709" s="142" t="s">
        <v>13009</v>
      </c>
      <c r="B9709" s="142" t="s">
        <v>15256</v>
      </c>
      <c r="C9709" s="142" t="s">
        <v>15847</v>
      </c>
      <c r="D9709" s="142" t="s">
        <v>15848</v>
      </c>
      <c r="E9709" s="142" t="s">
        <v>15849</v>
      </c>
      <c r="F9709" s="142" t="s">
        <v>217</v>
      </c>
      <c r="G9709" s="142" t="s">
        <v>8653</v>
      </c>
      <c r="H9709" s="142" t="s">
        <v>25559</v>
      </c>
      <c r="I9709" s="142">
        <v>8</v>
      </c>
      <c r="J9709" s="142">
        <v>0</v>
      </c>
      <c r="K9709" s="142">
        <v>0</v>
      </c>
      <c r="L9709" s="142">
        <v>8</v>
      </c>
      <c r="M9709" s="142">
        <v>0</v>
      </c>
    </row>
    <row r="9710" spans="1:13" x14ac:dyDescent="0.45">
      <c r="A9710" s="142" t="s">
        <v>13011</v>
      </c>
      <c r="B9710" s="142" t="s">
        <v>14695</v>
      </c>
      <c r="C9710" s="142" t="s">
        <v>15847</v>
      </c>
      <c r="D9710" s="142" t="s">
        <v>15848</v>
      </c>
      <c r="E9710" s="142" t="s">
        <v>15849</v>
      </c>
      <c r="F9710" s="142" t="s">
        <v>217</v>
      </c>
      <c r="G9710" s="142" t="s">
        <v>8653</v>
      </c>
      <c r="H9710" s="142" t="s">
        <v>25560</v>
      </c>
      <c r="I9710" s="142">
        <v>262</v>
      </c>
      <c r="J9710" s="142">
        <v>197</v>
      </c>
      <c r="K9710" s="142">
        <v>7</v>
      </c>
      <c r="L9710" s="142">
        <v>6</v>
      </c>
      <c r="M9710" s="142">
        <v>52</v>
      </c>
    </row>
    <row r="9711" spans="1:13" x14ac:dyDescent="0.45">
      <c r="A9711" s="142" t="s">
        <v>13205</v>
      </c>
      <c r="B9711" s="142" t="s">
        <v>14496</v>
      </c>
      <c r="C9711" s="142" t="s">
        <v>15847</v>
      </c>
      <c r="D9711" s="142" t="s">
        <v>15848</v>
      </c>
      <c r="E9711" s="142" t="s">
        <v>15849</v>
      </c>
      <c r="F9711" s="142" t="s">
        <v>217</v>
      </c>
      <c r="G9711" s="142" t="s">
        <v>8653</v>
      </c>
      <c r="H9711" s="142" t="s">
        <v>25561</v>
      </c>
      <c r="I9711" s="142">
        <v>230</v>
      </c>
      <c r="J9711" s="142">
        <v>117</v>
      </c>
      <c r="K9711" s="142">
        <v>0</v>
      </c>
      <c r="L9711" s="142">
        <v>113</v>
      </c>
      <c r="M9711" s="142">
        <v>0</v>
      </c>
    </row>
    <row r="9712" spans="1:13" x14ac:dyDescent="0.45">
      <c r="A9712" s="142" t="s">
        <v>13012</v>
      </c>
      <c r="B9712" s="142" t="s">
        <v>15337</v>
      </c>
      <c r="C9712" s="142" t="s">
        <v>15847</v>
      </c>
      <c r="D9712" s="142" t="s">
        <v>15848</v>
      </c>
      <c r="E9712" s="142" t="s">
        <v>15849</v>
      </c>
      <c r="F9712" s="142" t="s">
        <v>217</v>
      </c>
      <c r="G9712" s="142" t="s">
        <v>8653</v>
      </c>
      <c r="H9712" s="142" t="s">
        <v>25562</v>
      </c>
      <c r="I9712" s="142">
        <v>54</v>
      </c>
      <c r="J9712" s="142">
        <v>54</v>
      </c>
      <c r="K9712" s="142">
        <v>0</v>
      </c>
      <c r="L9712" s="142">
        <v>0</v>
      </c>
      <c r="M9712" s="142">
        <v>0</v>
      </c>
    </row>
    <row r="9713" spans="1:13" x14ac:dyDescent="0.45">
      <c r="A9713" s="142" t="s">
        <v>13638</v>
      </c>
      <c r="B9713" s="142" t="s">
        <v>15271</v>
      </c>
      <c r="C9713" s="142" t="s">
        <v>15847</v>
      </c>
      <c r="D9713" s="142" t="s">
        <v>15848</v>
      </c>
      <c r="E9713" s="142" t="s">
        <v>15849</v>
      </c>
      <c r="F9713" s="142" t="s">
        <v>217</v>
      </c>
      <c r="G9713" s="142" t="s">
        <v>8653</v>
      </c>
      <c r="H9713" s="142" t="s">
        <v>25563</v>
      </c>
      <c r="I9713" s="142">
        <v>224</v>
      </c>
      <c r="J9713" s="142">
        <v>224</v>
      </c>
      <c r="K9713" s="142">
        <v>0</v>
      </c>
      <c r="L9713" s="142">
        <v>0</v>
      </c>
      <c r="M9713" s="142">
        <v>0</v>
      </c>
    </row>
    <row r="9714" spans="1:13" x14ac:dyDescent="0.45">
      <c r="A9714" s="142" t="s">
        <v>13013</v>
      </c>
      <c r="B9714" s="142" t="s">
        <v>15347</v>
      </c>
      <c r="C9714" s="142" t="s">
        <v>15860</v>
      </c>
      <c r="D9714" s="142" t="s">
        <v>15861</v>
      </c>
      <c r="E9714" s="142" t="s">
        <v>15849</v>
      </c>
      <c r="F9714" s="142" t="s">
        <v>217</v>
      </c>
      <c r="G9714" s="142" t="s">
        <v>8653</v>
      </c>
      <c r="H9714" s="142" t="s">
        <v>25564</v>
      </c>
      <c r="I9714" s="142">
        <v>16</v>
      </c>
      <c r="J9714" s="142">
        <v>16</v>
      </c>
      <c r="K9714" s="142">
        <v>0</v>
      </c>
      <c r="L9714" s="142">
        <v>0</v>
      </c>
      <c r="M9714" s="142">
        <v>0</v>
      </c>
    </row>
    <row r="9715" spans="1:13" x14ac:dyDescent="0.45">
      <c r="A9715" s="142" t="s">
        <v>13014</v>
      </c>
      <c r="B9715" s="142" t="s">
        <v>14505</v>
      </c>
      <c r="C9715" s="142" t="s">
        <v>15847</v>
      </c>
      <c r="D9715" s="142" t="s">
        <v>15848</v>
      </c>
      <c r="E9715" s="142" t="s">
        <v>15849</v>
      </c>
      <c r="F9715" s="142" t="s">
        <v>217</v>
      </c>
      <c r="G9715" s="142" t="s">
        <v>8653</v>
      </c>
      <c r="H9715" s="142" t="s">
        <v>25565</v>
      </c>
      <c r="I9715" s="142">
        <v>225</v>
      </c>
      <c r="J9715" s="142">
        <v>175</v>
      </c>
      <c r="K9715" s="142">
        <v>0</v>
      </c>
      <c r="L9715" s="142">
        <v>49</v>
      </c>
      <c r="M9715" s="142">
        <v>1</v>
      </c>
    </row>
    <row r="9716" spans="1:13" x14ac:dyDescent="0.45">
      <c r="A9716" s="142" t="s">
        <v>13042</v>
      </c>
      <c r="B9716" s="142" t="s">
        <v>15489</v>
      </c>
      <c r="C9716" s="142" t="s">
        <v>15847</v>
      </c>
      <c r="D9716" s="142" t="s">
        <v>15848</v>
      </c>
      <c r="E9716" s="142" t="s">
        <v>15849</v>
      </c>
      <c r="F9716" s="142" t="s">
        <v>217</v>
      </c>
      <c r="G9716" s="142" t="s">
        <v>8653</v>
      </c>
      <c r="H9716" s="142" t="s">
        <v>25566</v>
      </c>
      <c r="I9716" s="142">
        <v>15</v>
      </c>
      <c r="J9716" s="142">
        <v>0</v>
      </c>
      <c r="K9716" s="142">
        <v>0</v>
      </c>
      <c r="L9716" s="142">
        <v>15</v>
      </c>
      <c r="M9716" s="142">
        <v>0</v>
      </c>
    </row>
    <row r="9717" spans="1:13" x14ac:dyDescent="0.45">
      <c r="A9717" s="142" t="s">
        <v>13570</v>
      </c>
      <c r="B9717" s="142" t="s">
        <v>15181</v>
      </c>
      <c r="C9717" s="142" t="s">
        <v>15860</v>
      </c>
      <c r="D9717" s="142" t="s">
        <v>15861</v>
      </c>
      <c r="E9717" s="142" t="s">
        <v>15849</v>
      </c>
      <c r="F9717" s="142" t="s">
        <v>217</v>
      </c>
      <c r="G9717" s="142" t="s">
        <v>8653</v>
      </c>
      <c r="H9717" s="142" t="s">
        <v>25567</v>
      </c>
      <c r="I9717" s="142">
        <v>70</v>
      </c>
      <c r="J9717" s="142">
        <v>0</v>
      </c>
      <c r="K9717" s="142">
        <v>0</v>
      </c>
      <c r="L9717" s="142">
        <v>70</v>
      </c>
      <c r="M9717" s="142">
        <v>0</v>
      </c>
    </row>
    <row r="9718" spans="1:13" x14ac:dyDescent="0.45">
      <c r="A9718" s="142" t="s">
        <v>13222</v>
      </c>
      <c r="B9718" s="142" t="s">
        <v>14449</v>
      </c>
      <c r="C9718" s="142" t="s">
        <v>15860</v>
      </c>
      <c r="D9718" s="142" t="s">
        <v>15861</v>
      </c>
      <c r="E9718" s="142" t="s">
        <v>15849</v>
      </c>
      <c r="F9718" s="142" t="s">
        <v>217</v>
      </c>
      <c r="G9718" s="142" t="s">
        <v>8653</v>
      </c>
      <c r="H9718" s="142" t="s">
        <v>25568</v>
      </c>
      <c r="I9718" s="142">
        <v>12</v>
      </c>
      <c r="J9718" s="142">
        <v>0</v>
      </c>
      <c r="K9718" s="142">
        <v>0</v>
      </c>
      <c r="L9718" s="142">
        <v>12</v>
      </c>
      <c r="M9718" s="142">
        <v>0</v>
      </c>
    </row>
    <row r="9719" spans="1:13" x14ac:dyDescent="0.45">
      <c r="A9719" s="142" t="s">
        <v>13110</v>
      </c>
      <c r="B9719" s="142" t="s">
        <v>15502</v>
      </c>
      <c r="C9719" s="142" t="s">
        <v>15847</v>
      </c>
      <c r="D9719" s="142" t="s">
        <v>15848</v>
      </c>
      <c r="E9719" s="142" t="s">
        <v>15849</v>
      </c>
      <c r="F9719" s="142" t="s">
        <v>218</v>
      </c>
      <c r="G9719" s="142" t="s">
        <v>1885</v>
      </c>
      <c r="H9719" s="142" t="s">
        <v>25569</v>
      </c>
      <c r="I9719" s="142">
        <v>13</v>
      </c>
      <c r="J9719" s="142">
        <v>0</v>
      </c>
      <c r="K9719" s="142">
        <v>0</v>
      </c>
      <c r="L9719" s="142">
        <v>13</v>
      </c>
      <c r="M9719" s="142">
        <v>0</v>
      </c>
    </row>
    <row r="9720" spans="1:13" x14ac:dyDescent="0.45">
      <c r="A9720" s="142" t="s">
        <v>13166</v>
      </c>
      <c r="B9720" s="142" t="s">
        <v>15576</v>
      </c>
      <c r="C9720" s="142" t="s">
        <v>15847</v>
      </c>
      <c r="D9720" s="142" t="s">
        <v>15848</v>
      </c>
      <c r="E9720" s="142" t="s">
        <v>15849</v>
      </c>
      <c r="F9720" s="142" t="s">
        <v>218</v>
      </c>
      <c r="G9720" s="142" t="s">
        <v>1885</v>
      </c>
      <c r="H9720" s="142" t="s">
        <v>25570</v>
      </c>
      <c r="I9720" s="142">
        <v>85</v>
      </c>
      <c r="J9720" s="142">
        <v>49</v>
      </c>
      <c r="K9720" s="142">
        <v>0</v>
      </c>
      <c r="L9720" s="142">
        <v>33</v>
      </c>
      <c r="M9720" s="142">
        <v>3</v>
      </c>
    </row>
    <row r="9721" spans="1:13" x14ac:dyDescent="0.45">
      <c r="A9721" s="142" t="s">
        <v>13046</v>
      </c>
      <c r="B9721" s="142" t="s">
        <v>15537</v>
      </c>
      <c r="C9721" s="142" t="s">
        <v>15860</v>
      </c>
      <c r="D9721" s="142" t="s">
        <v>15861</v>
      </c>
      <c r="E9721" s="142" t="s">
        <v>15849</v>
      </c>
      <c r="F9721" s="142" t="s">
        <v>218</v>
      </c>
      <c r="G9721" s="142" t="s">
        <v>1885</v>
      </c>
      <c r="H9721" s="142" t="s">
        <v>25571</v>
      </c>
      <c r="I9721" s="142">
        <v>9</v>
      </c>
      <c r="J9721" s="142">
        <v>0</v>
      </c>
      <c r="K9721" s="142">
        <v>0</v>
      </c>
      <c r="L9721" s="142">
        <v>9</v>
      </c>
      <c r="M9721" s="142">
        <v>0</v>
      </c>
    </row>
    <row r="9722" spans="1:13" x14ac:dyDescent="0.45">
      <c r="A9722" s="142" t="s">
        <v>13167</v>
      </c>
      <c r="B9722" s="142" t="s">
        <v>15418</v>
      </c>
      <c r="C9722" s="142" t="s">
        <v>15847</v>
      </c>
      <c r="D9722" s="142" t="s">
        <v>15848</v>
      </c>
      <c r="E9722" s="142" t="s">
        <v>15849</v>
      </c>
      <c r="F9722" s="142" t="s">
        <v>218</v>
      </c>
      <c r="G9722" s="142" t="s">
        <v>1885</v>
      </c>
      <c r="H9722" s="142" t="s">
        <v>25572</v>
      </c>
      <c r="I9722" s="142">
        <v>210</v>
      </c>
      <c r="J9722" s="142">
        <v>127</v>
      </c>
      <c r="K9722" s="142">
        <v>0</v>
      </c>
      <c r="L9722" s="142">
        <v>4</v>
      </c>
      <c r="M9722" s="142">
        <v>79</v>
      </c>
    </row>
    <row r="9723" spans="1:13" x14ac:dyDescent="0.45">
      <c r="A9723" s="142" t="s">
        <v>13021</v>
      </c>
      <c r="B9723" s="142" t="s">
        <v>15501</v>
      </c>
      <c r="C9723" s="142" t="s">
        <v>15847</v>
      </c>
      <c r="D9723" s="142" t="s">
        <v>15848</v>
      </c>
      <c r="E9723" s="142" t="s">
        <v>15849</v>
      </c>
      <c r="F9723" s="142" t="s">
        <v>218</v>
      </c>
      <c r="G9723" s="142" t="s">
        <v>1885</v>
      </c>
      <c r="H9723" s="142" t="s">
        <v>25573</v>
      </c>
      <c r="I9723" s="142">
        <v>10</v>
      </c>
      <c r="J9723" s="142">
        <v>0</v>
      </c>
      <c r="K9723" s="142">
        <v>0</v>
      </c>
      <c r="L9723" s="142">
        <v>4</v>
      </c>
      <c r="M9723" s="142">
        <v>6</v>
      </c>
    </row>
    <row r="9724" spans="1:13" x14ac:dyDescent="0.45">
      <c r="A9724" s="142" t="s">
        <v>13023</v>
      </c>
      <c r="B9724" s="142" t="s">
        <v>15571</v>
      </c>
      <c r="C9724" s="142" t="s">
        <v>15847</v>
      </c>
      <c r="D9724" s="142" t="s">
        <v>15848</v>
      </c>
      <c r="E9724" s="142" t="s">
        <v>15849</v>
      </c>
      <c r="F9724" s="142" t="s">
        <v>218</v>
      </c>
      <c r="G9724" s="142" t="s">
        <v>1885</v>
      </c>
      <c r="H9724" s="142" t="s">
        <v>25574</v>
      </c>
      <c r="I9724" s="142">
        <v>15</v>
      </c>
      <c r="J9724" s="142">
        <v>0</v>
      </c>
      <c r="K9724" s="142">
        <v>0</v>
      </c>
      <c r="L9724" s="142">
        <v>15</v>
      </c>
      <c r="M9724" s="142">
        <v>0</v>
      </c>
    </row>
    <row r="9725" spans="1:13" x14ac:dyDescent="0.45">
      <c r="A9725" s="142" t="s">
        <v>13048</v>
      </c>
      <c r="B9725" s="142" t="s">
        <v>14479</v>
      </c>
      <c r="C9725" s="142" t="s">
        <v>15847</v>
      </c>
      <c r="D9725" s="142" t="s">
        <v>15848</v>
      </c>
      <c r="E9725" s="142" t="s">
        <v>15849</v>
      </c>
      <c r="F9725" s="142" t="s">
        <v>218</v>
      </c>
      <c r="G9725" s="142" t="s">
        <v>1885</v>
      </c>
      <c r="H9725" s="142" t="s">
        <v>25575</v>
      </c>
      <c r="I9725" s="142">
        <v>15</v>
      </c>
      <c r="J9725" s="142">
        <v>9</v>
      </c>
      <c r="K9725" s="142">
        <v>0</v>
      </c>
      <c r="L9725" s="142">
        <v>0</v>
      </c>
      <c r="M9725" s="142">
        <v>6</v>
      </c>
    </row>
    <row r="9726" spans="1:13" x14ac:dyDescent="0.45">
      <c r="A9726" s="142" t="s">
        <v>13433</v>
      </c>
      <c r="B9726" s="142" t="s">
        <v>15167</v>
      </c>
      <c r="C9726" s="142" t="s">
        <v>15847</v>
      </c>
      <c r="D9726" s="142" t="s">
        <v>15848</v>
      </c>
      <c r="E9726" s="142" t="s">
        <v>15849</v>
      </c>
      <c r="F9726" s="142" t="s">
        <v>218</v>
      </c>
      <c r="G9726" s="142" t="s">
        <v>1885</v>
      </c>
      <c r="H9726" s="142" t="s">
        <v>25576</v>
      </c>
      <c r="I9726" s="142">
        <v>50</v>
      </c>
      <c r="J9726" s="142">
        <v>0</v>
      </c>
      <c r="K9726" s="142">
        <v>0</v>
      </c>
      <c r="L9726" s="142">
        <v>50</v>
      </c>
      <c r="M9726" s="142">
        <v>0</v>
      </c>
    </row>
    <row r="9727" spans="1:13" x14ac:dyDescent="0.45">
      <c r="A9727" s="142" t="s">
        <v>13099</v>
      </c>
      <c r="B9727" s="142" t="s">
        <v>14547</v>
      </c>
      <c r="C9727" s="142" t="s">
        <v>15860</v>
      </c>
      <c r="D9727" s="142" t="s">
        <v>15861</v>
      </c>
      <c r="E9727" s="142" t="s">
        <v>15849</v>
      </c>
      <c r="F9727" s="142" t="s">
        <v>218</v>
      </c>
      <c r="G9727" s="142" t="s">
        <v>1885</v>
      </c>
      <c r="H9727" s="142" t="s">
        <v>25577</v>
      </c>
      <c r="I9727" s="142">
        <v>6</v>
      </c>
      <c r="J9727" s="142">
        <v>0</v>
      </c>
      <c r="K9727" s="142">
        <v>0</v>
      </c>
      <c r="L9727" s="142">
        <v>6</v>
      </c>
      <c r="M9727" s="142">
        <v>0</v>
      </c>
    </row>
    <row r="9728" spans="1:13" x14ac:dyDescent="0.45">
      <c r="A9728" s="142" t="s">
        <v>13310</v>
      </c>
      <c r="B9728" s="142" t="s">
        <v>14558</v>
      </c>
      <c r="C9728" s="142" t="s">
        <v>15860</v>
      </c>
      <c r="D9728" s="142" t="s">
        <v>15861</v>
      </c>
      <c r="E9728" s="142" t="s">
        <v>15849</v>
      </c>
      <c r="F9728" s="142" t="s">
        <v>218</v>
      </c>
      <c r="G9728" s="142" t="s">
        <v>1885</v>
      </c>
      <c r="H9728" s="142" t="s">
        <v>25578</v>
      </c>
      <c r="I9728" s="142">
        <v>3</v>
      </c>
      <c r="J9728" s="142">
        <v>0</v>
      </c>
      <c r="K9728" s="142">
        <v>0</v>
      </c>
      <c r="L9728" s="142">
        <v>3</v>
      </c>
      <c r="M9728" s="142">
        <v>0</v>
      </c>
    </row>
    <row r="9729" spans="1:13" x14ac:dyDescent="0.45">
      <c r="A9729" s="142" t="s">
        <v>13500</v>
      </c>
      <c r="B9729" s="142" t="s">
        <v>15422</v>
      </c>
      <c r="C9729" s="142" t="s">
        <v>15847</v>
      </c>
      <c r="D9729" s="142" t="s">
        <v>15848</v>
      </c>
      <c r="E9729" s="142" t="s">
        <v>15849</v>
      </c>
      <c r="F9729" s="142" t="s">
        <v>218</v>
      </c>
      <c r="G9729" s="142" t="s">
        <v>1885</v>
      </c>
      <c r="H9729" s="142" t="s">
        <v>25579</v>
      </c>
      <c r="I9729" s="142">
        <v>11</v>
      </c>
      <c r="J9729" s="142">
        <v>0</v>
      </c>
      <c r="K9729" s="142">
        <v>0</v>
      </c>
      <c r="L9729" s="142">
        <v>0</v>
      </c>
      <c r="M9729" s="142">
        <v>11</v>
      </c>
    </row>
    <row r="9730" spans="1:13" x14ac:dyDescent="0.45">
      <c r="A9730" s="142" t="s">
        <v>13050</v>
      </c>
      <c r="B9730" s="142" t="s">
        <v>15237</v>
      </c>
      <c r="C9730" s="142" t="s">
        <v>15847</v>
      </c>
      <c r="D9730" s="142" t="s">
        <v>15848</v>
      </c>
      <c r="E9730" s="142" t="s">
        <v>15849</v>
      </c>
      <c r="F9730" s="142" t="s">
        <v>218</v>
      </c>
      <c r="G9730" s="142" t="s">
        <v>1885</v>
      </c>
      <c r="H9730" s="142" t="s">
        <v>25580</v>
      </c>
      <c r="I9730" s="142">
        <v>16</v>
      </c>
      <c r="J9730" s="142">
        <v>16</v>
      </c>
      <c r="K9730" s="142">
        <v>0</v>
      </c>
      <c r="L9730" s="142">
        <v>0</v>
      </c>
      <c r="M9730" s="142">
        <v>0</v>
      </c>
    </row>
    <row r="9731" spans="1:13" x14ac:dyDescent="0.45">
      <c r="A9731" s="142" t="s">
        <v>13028</v>
      </c>
      <c r="B9731" s="142" t="s">
        <v>14462</v>
      </c>
      <c r="C9731" s="142" t="s">
        <v>15847</v>
      </c>
      <c r="D9731" s="142" t="s">
        <v>15848</v>
      </c>
      <c r="E9731" s="142" t="s">
        <v>15849</v>
      </c>
      <c r="F9731" s="142" t="s">
        <v>218</v>
      </c>
      <c r="G9731" s="142" t="s">
        <v>1885</v>
      </c>
      <c r="H9731" s="142" t="s">
        <v>25581</v>
      </c>
      <c r="I9731" s="142">
        <v>59</v>
      </c>
      <c r="J9731" s="142">
        <v>0</v>
      </c>
      <c r="K9731" s="142">
        <v>0</v>
      </c>
      <c r="L9731" s="142">
        <v>0</v>
      </c>
      <c r="M9731" s="142">
        <v>59</v>
      </c>
    </row>
    <row r="9732" spans="1:13" x14ac:dyDescent="0.45">
      <c r="A9732" s="142" t="s">
        <v>13002</v>
      </c>
      <c r="B9732" s="142" t="s">
        <v>15376</v>
      </c>
      <c r="C9732" s="142" t="s">
        <v>15847</v>
      </c>
      <c r="D9732" s="142" t="s">
        <v>15848</v>
      </c>
      <c r="E9732" s="142" t="s">
        <v>15849</v>
      </c>
      <c r="F9732" s="142" t="s">
        <v>218</v>
      </c>
      <c r="G9732" s="142" t="s">
        <v>1885</v>
      </c>
      <c r="H9732" s="142" t="s">
        <v>25582</v>
      </c>
      <c r="I9732" s="142">
        <v>307</v>
      </c>
      <c r="J9732" s="142">
        <v>220</v>
      </c>
      <c r="K9732" s="142">
        <v>0</v>
      </c>
      <c r="L9732" s="142">
        <v>8</v>
      </c>
      <c r="M9732" s="142">
        <v>79</v>
      </c>
    </row>
    <row r="9733" spans="1:13" x14ac:dyDescent="0.45">
      <c r="A9733" s="142" t="s">
        <v>13003</v>
      </c>
      <c r="B9733" s="142" t="s">
        <v>15245</v>
      </c>
      <c r="C9733" s="142" t="s">
        <v>15847</v>
      </c>
      <c r="D9733" s="142" t="s">
        <v>15848</v>
      </c>
      <c r="E9733" s="142" t="s">
        <v>15849</v>
      </c>
      <c r="F9733" s="142" t="s">
        <v>218</v>
      </c>
      <c r="G9733" s="142" t="s">
        <v>1885</v>
      </c>
      <c r="H9733" s="142" t="s">
        <v>25583</v>
      </c>
      <c r="I9733" s="142">
        <v>26</v>
      </c>
      <c r="J9733" s="142">
        <v>0</v>
      </c>
      <c r="K9733" s="142">
        <v>0</v>
      </c>
      <c r="L9733" s="142">
        <v>26</v>
      </c>
      <c r="M9733" s="142">
        <v>0</v>
      </c>
    </row>
    <row r="9734" spans="1:13" x14ac:dyDescent="0.45">
      <c r="A9734" s="142" t="s">
        <v>13169</v>
      </c>
      <c r="B9734" s="142" t="s">
        <v>15408</v>
      </c>
      <c r="C9734" s="142" t="s">
        <v>15847</v>
      </c>
      <c r="D9734" s="142" t="s">
        <v>15848</v>
      </c>
      <c r="E9734" s="142" t="s">
        <v>15849</v>
      </c>
      <c r="F9734" s="142" t="s">
        <v>218</v>
      </c>
      <c r="G9734" s="142" t="s">
        <v>1885</v>
      </c>
      <c r="H9734" s="142" t="s">
        <v>25584</v>
      </c>
      <c r="I9734" s="142">
        <v>746</v>
      </c>
      <c r="J9734" s="142">
        <v>512</v>
      </c>
      <c r="K9734" s="142">
        <v>0</v>
      </c>
      <c r="L9734" s="142">
        <v>55</v>
      </c>
      <c r="M9734" s="142">
        <v>179</v>
      </c>
    </row>
    <row r="9735" spans="1:13" x14ac:dyDescent="0.45">
      <c r="A9735" s="142" t="s">
        <v>14392</v>
      </c>
      <c r="B9735" s="142" t="s">
        <v>14580</v>
      </c>
      <c r="C9735" s="142" t="s">
        <v>15860</v>
      </c>
      <c r="D9735" s="142" t="s">
        <v>15861</v>
      </c>
      <c r="E9735" s="142" t="s">
        <v>15849</v>
      </c>
      <c r="F9735" s="142" t="s">
        <v>218</v>
      </c>
      <c r="G9735" s="142" t="s">
        <v>1885</v>
      </c>
      <c r="H9735" s="142" t="s">
        <v>25585</v>
      </c>
      <c r="I9735" s="142">
        <v>135</v>
      </c>
      <c r="J9735" s="142">
        <v>34</v>
      </c>
      <c r="K9735" s="142">
        <v>0</v>
      </c>
      <c r="L9735" s="142">
        <v>101</v>
      </c>
      <c r="M9735" s="142">
        <v>0</v>
      </c>
    </row>
    <row r="9736" spans="1:13" x14ac:dyDescent="0.45">
      <c r="A9736" s="142" t="s">
        <v>13005</v>
      </c>
      <c r="B9736" s="142" t="s">
        <v>15475</v>
      </c>
      <c r="C9736" s="142" t="s">
        <v>15847</v>
      </c>
      <c r="D9736" s="142" t="s">
        <v>15848</v>
      </c>
      <c r="E9736" s="142" t="s">
        <v>15849</v>
      </c>
      <c r="F9736" s="142" t="s">
        <v>218</v>
      </c>
      <c r="G9736" s="142" t="s">
        <v>1885</v>
      </c>
      <c r="H9736" s="142" t="s">
        <v>25586</v>
      </c>
      <c r="I9736" s="142">
        <v>1</v>
      </c>
      <c r="J9736" s="142">
        <v>0</v>
      </c>
      <c r="K9736" s="142">
        <v>0</v>
      </c>
      <c r="L9736" s="142">
        <v>0</v>
      </c>
      <c r="M9736" s="142">
        <v>1</v>
      </c>
    </row>
    <row r="9737" spans="1:13" x14ac:dyDescent="0.45">
      <c r="A9737" s="142" t="s">
        <v>13029</v>
      </c>
      <c r="B9737" s="142" t="s">
        <v>14665</v>
      </c>
      <c r="C9737" s="142" t="s">
        <v>15847</v>
      </c>
      <c r="D9737" s="142" t="s">
        <v>15848</v>
      </c>
      <c r="E9737" s="142" t="s">
        <v>15849</v>
      </c>
      <c r="F9737" s="142" t="s">
        <v>218</v>
      </c>
      <c r="G9737" s="142" t="s">
        <v>1885</v>
      </c>
      <c r="H9737" s="142" t="s">
        <v>25587</v>
      </c>
      <c r="I9737" s="142">
        <v>3</v>
      </c>
      <c r="J9737" s="142">
        <v>0</v>
      </c>
      <c r="K9737" s="142">
        <v>0</v>
      </c>
      <c r="L9737" s="142">
        <v>0</v>
      </c>
      <c r="M9737" s="142">
        <v>3</v>
      </c>
    </row>
    <row r="9738" spans="1:13" x14ac:dyDescent="0.45">
      <c r="A9738" s="142" t="s">
        <v>13006</v>
      </c>
      <c r="B9738" s="142" t="s">
        <v>15288</v>
      </c>
      <c r="C9738" s="142" t="s">
        <v>15847</v>
      </c>
      <c r="D9738" s="142" t="s">
        <v>15848</v>
      </c>
      <c r="E9738" s="142" t="s">
        <v>15849</v>
      </c>
      <c r="F9738" s="142" t="s">
        <v>218</v>
      </c>
      <c r="G9738" s="142" t="s">
        <v>1885</v>
      </c>
      <c r="H9738" s="142" t="s">
        <v>25588</v>
      </c>
      <c r="I9738" s="142">
        <v>799</v>
      </c>
      <c r="J9738" s="142">
        <v>360</v>
      </c>
      <c r="K9738" s="142">
        <v>0</v>
      </c>
      <c r="L9738" s="142">
        <v>0</v>
      </c>
      <c r="M9738" s="142">
        <v>439</v>
      </c>
    </row>
    <row r="9739" spans="1:13" x14ac:dyDescent="0.45">
      <c r="A9739" s="142" t="s">
        <v>13007</v>
      </c>
      <c r="B9739" s="142" t="s">
        <v>15262</v>
      </c>
      <c r="C9739" s="142" t="s">
        <v>15847</v>
      </c>
      <c r="D9739" s="142" t="s">
        <v>15848</v>
      </c>
      <c r="E9739" s="142" t="s">
        <v>15849</v>
      </c>
      <c r="F9739" s="142" t="s">
        <v>218</v>
      </c>
      <c r="G9739" s="142" t="s">
        <v>1885</v>
      </c>
      <c r="H9739" s="142" t="s">
        <v>25589</v>
      </c>
      <c r="I9739" s="142">
        <v>1</v>
      </c>
      <c r="J9739" s="142">
        <v>0</v>
      </c>
      <c r="K9739" s="142">
        <v>0</v>
      </c>
      <c r="L9739" s="142">
        <v>0</v>
      </c>
      <c r="M9739" s="142">
        <v>1</v>
      </c>
    </row>
    <row r="9740" spans="1:13" x14ac:dyDescent="0.45">
      <c r="A9740" s="142" t="s">
        <v>13284</v>
      </c>
      <c r="B9740" s="142" t="s">
        <v>15364</v>
      </c>
      <c r="C9740" s="142" t="s">
        <v>15847</v>
      </c>
      <c r="D9740" s="142" t="s">
        <v>15848</v>
      </c>
      <c r="E9740" s="142" t="s">
        <v>15849</v>
      </c>
      <c r="F9740" s="142" t="s">
        <v>218</v>
      </c>
      <c r="G9740" s="142" t="s">
        <v>1885</v>
      </c>
      <c r="H9740" s="142" t="s">
        <v>25590</v>
      </c>
      <c r="I9740" s="142">
        <v>11</v>
      </c>
      <c r="J9740" s="142">
        <v>11</v>
      </c>
      <c r="K9740" s="142">
        <v>0</v>
      </c>
      <c r="L9740" s="142">
        <v>0</v>
      </c>
      <c r="M9740" s="142">
        <v>0</v>
      </c>
    </row>
    <row r="9741" spans="1:13" x14ac:dyDescent="0.45">
      <c r="A9741" s="142" t="s">
        <v>13104</v>
      </c>
      <c r="B9741" s="142" t="s">
        <v>14622</v>
      </c>
      <c r="C9741" s="142" t="s">
        <v>15847</v>
      </c>
      <c r="D9741" s="142" t="s">
        <v>15848</v>
      </c>
      <c r="E9741" s="142" t="s">
        <v>15849</v>
      </c>
      <c r="F9741" s="142" t="s">
        <v>218</v>
      </c>
      <c r="G9741" s="142" t="s">
        <v>1885</v>
      </c>
      <c r="H9741" s="142" t="s">
        <v>25591</v>
      </c>
      <c r="I9741" s="142">
        <v>196</v>
      </c>
      <c r="J9741" s="142">
        <v>111</v>
      </c>
      <c r="K9741" s="142">
        <v>0</v>
      </c>
      <c r="L9741" s="142">
        <v>0</v>
      </c>
      <c r="M9741" s="142">
        <v>85</v>
      </c>
    </row>
    <row r="9742" spans="1:13" x14ac:dyDescent="0.45">
      <c r="A9742" s="142" t="s">
        <v>13033</v>
      </c>
      <c r="B9742" s="142" t="s">
        <v>15276</v>
      </c>
      <c r="C9742" s="142" t="s">
        <v>15847</v>
      </c>
      <c r="D9742" s="142" t="s">
        <v>15848</v>
      </c>
      <c r="E9742" s="142" t="s">
        <v>15849</v>
      </c>
      <c r="F9742" s="142" t="s">
        <v>218</v>
      </c>
      <c r="G9742" s="142" t="s">
        <v>1885</v>
      </c>
      <c r="H9742" s="142" t="s">
        <v>25592</v>
      </c>
      <c r="I9742" s="142">
        <v>158</v>
      </c>
      <c r="J9742" s="142">
        <v>135</v>
      </c>
      <c r="K9742" s="142">
        <v>0</v>
      </c>
      <c r="L9742" s="142">
        <v>0</v>
      </c>
      <c r="M9742" s="142">
        <v>23</v>
      </c>
    </row>
    <row r="9743" spans="1:13" x14ac:dyDescent="0.45">
      <c r="A9743" s="142" t="s">
        <v>13039</v>
      </c>
      <c r="B9743" s="142" t="s">
        <v>14647</v>
      </c>
      <c r="C9743" s="142" t="s">
        <v>15847</v>
      </c>
      <c r="D9743" s="142" t="s">
        <v>15848</v>
      </c>
      <c r="E9743" s="142" t="s">
        <v>15849</v>
      </c>
      <c r="F9743" s="142" t="s">
        <v>218</v>
      </c>
      <c r="G9743" s="142" t="s">
        <v>1885</v>
      </c>
      <c r="H9743" s="142" t="s">
        <v>25593</v>
      </c>
      <c r="I9743" s="142">
        <v>40</v>
      </c>
      <c r="J9743" s="142">
        <v>40</v>
      </c>
      <c r="K9743" s="142">
        <v>0</v>
      </c>
      <c r="L9743" s="142">
        <v>0</v>
      </c>
      <c r="M9743" s="142">
        <v>0</v>
      </c>
    </row>
    <row r="9744" spans="1:13" x14ac:dyDescent="0.45">
      <c r="A9744" s="142" t="s">
        <v>13009</v>
      </c>
      <c r="B9744" s="142" t="s">
        <v>15256</v>
      </c>
      <c r="C9744" s="142" t="s">
        <v>15847</v>
      </c>
      <c r="D9744" s="142" t="s">
        <v>15848</v>
      </c>
      <c r="E9744" s="142" t="s">
        <v>15849</v>
      </c>
      <c r="F9744" s="142" t="s">
        <v>218</v>
      </c>
      <c r="G9744" s="142" t="s">
        <v>1885</v>
      </c>
      <c r="H9744" s="142" t="s">
        <v>25594</v>
      </c>
      <c r="I9744" s="142">
        <v>64</v>
      </c>
      <c r="J9744" s="142">
        <v>59</v>
      </c>
      <c r="K9744" s="142">
        <v>0</v>
      </c>
      <c r="L9744" s="142">
        <v>0</v>
      </c>
      <c r="M9744" s="142">
        <v>5</v>
      </c>
    </row>
    <row r="9745" spans="1:13" x14ac:dyDescent="0.45">
      <c r="A9745" s="142" t="s">
        <v>13011</v>
      </c>
      <c r="B9745" s="142" t="s">
        <v>14695</v>
      </c>
      <c r="C9745" s="142" t="s">
        <v>15847</v>
      </c>
      <c r="D9745" s="142" t="s">
        <v>15848</v>
      </c>
      <c r="E9745" s="142" t="s">
        <v>15849</v>
      </c>
      <c r="F9745" s="142" t="s">
        <v>218</v>
      </c>
      <c r="G9745" s="142" t="s">
        <v>1885</v>
      </c>
      <c r="H9745" s="142" t="s">
        <v>25595</v>
      </c>
      <c r="I9745" s="142">
        <v>263</v>
      </c>
      <c r="J9745" s="142">
        <v>193</v>
      </c>
      <c r="K9745" s="142">
        <v>4</v>
      </c>
      <c r="L9745" s="142">
        <v>45</v>
      </c>
      <c r="M9745" s="142">
        <v>21</v>
      </c>
    </row>
    <row r="9746" spans="1:13" x14ac:dyDescent="0.45">
      <c r="A9746" s="142" t="s">
        <v>13058</v>
      </c>
      <c r="B9746" s="142" t="s">
        <v>14584</v>
      </c>
      <c r="C9746" s="142" t="s">
        <v>15847</v>
      </c>
      <c r="D9746" s="142" t="s">
        <v>15848</v>
      </c>
      <c r="E9746" s="142" t="s">
        <v>15849</v>
      </c>
      <c r="F9746" s="142" t="s">
        <v>218</v>
      </c>
      <c r="G9746" s="142" t="s">
        <v>1885</v>
      </c>
      <c r="H9746" s="142" t="s">
        <v>25596</v>
      </c>
      <c r="I9746" s="142">
        <v>526</v>
      </c>
      <c r="J9746" s="142">
        <v>296</v>
      </c>
      <c r="K9746" s="142">
        <v>0</v>
      </c>
      <c r="L9746" s="142">
        <v>0</v>
      </c>
      <c r="M9746" s="142">
        <v>230</v>
      </c>
    </row>
    <row r="9747" spans="1:13" x14ac:dyDescent="0.45">
      <c r="A9747" s="142" t="s">
        <v>13041</v>
      </c>
      <c r="B9747" s="142" t="s">
        <v>14441</v>
      </c>
      <c r="C9747" s="142" t="s">
        <v>15847</v>
      </c>
      <c r="D9747" s="142" t="s">
        <v>15848</v>
      </c>
      <c r="E9747" s="142" t="s">
        <v>15849</v>
      </c>
      <c r="F9747" s="142" t="s">
        <v>218</v>
      </c>
      <c r="G9747" s="142" t="s">
        <v>1885</v>
      </c>
      <c r="H9747" s="142" t="s">
        <v>25597</v>
      </c>
      <c r="I9747" s="142">
        <v>32</v>
      </c>
      <c r="J9747" s="142">
        <v>0</v>
      </c>
      <c r="K9747" s="142">
        <v>0</v>
      </c>
      <c r="L9747" s="142">
        <v>0</v>
      </c>
      <c r="M9747" s="142">
        <v>32</v>
      </c>
    </row>
    <row r="9748" spans="1:13" x14ac:dyDescent="0.45">
      <c r="A9748" s="142" t="s">
        <v>13012</v>
      </c>
      <c r="B9748" s="142" t="s">
        <v>15337</v>
      </c>
      <c r="C9748" s="142" t="s">
        <v>15847</v>
      </c>
      <c r="D9748" s="142" t="s">
        <v>15848</v>
      </c>
      <c r="E9748" s="142" t="s">
        <v>15849</v>
      </c>
      <c r="F9748" s="142" t="s">
        <v>218</v>
      </c>
      <c r="G9748" s="142" t="s">
        <v>1885</v>
      </c>
      <c r="H9748" s="142" t="s">
        <v>25598</v>
      </c>
      <c r="I9748" s="142">
        <v>5</v>
      </c>
      <c r="J9748" s="142">
        <v>4</v>
      </c>
      <c r="K9748" s="142">
        <v>0</v>
      </c>
      <c r="L9748" s="142">
        <v>0</v>
      </c>
      <c r="M9748" s="142">
        <v>1</v>
      </c>
    </row>
    <row r="9749" spans="1:13" x14ac:dyDescent="0.45">
      <c r="A9749" s="142" t="s">
        <v>13174</v>
      </c>
      <c r="B9749" s="142" t="s">
        <v>15280</v>
      </c>
      <c r="C9749" s="142" t="s">
        <v>15847</v>
      </c>
      <c r="D9749" s="142" t="s">
        <v>15848</v>
      </c>
      <c r="E9749" s="142" t="s">
        <v>15849</v>
      </c>
      <c r="F9749" s="142" t="s">
        <v>218</v>
      </c>
      <c r="G9749" s="142" t="s">
        <v>1885</v>
      </c>
      <c r="H9749" s="142" t="s">
        <v>25599</v>
      </c>
      <c r="I9749" s="142">
        <v>40</v>
      </c>
      <c r="J9749" s="142">
        <v>40</v>
      </c>
      <c r="K9749" s="142">
        <v>0</v>
      </c>
      <c r="L9749" s="142">
        <v>0</v>
      </c>
      <c r="M9749" s="142">
        <v>0</v>
      </c>
    </row>
    <row r="9750" spans="1:13" x14ac:dyDescent="0.45">
      <c r="A9750" s="142" t="s">
        <v>13015</v>
      </c>
      <c r="B9750" s="142" t="s">
        <v>14596</v>
      </c>
      <c r="C9750" s="142" t="s">
        <v>15847</v>
      </c>
      <c r="D9750" s="142" t="s">
        <v>15848</v>
      </c>
      <c r="E9750" s="142" t="s">
        <v>15849</v>
      </c>
      <c r="F9750" s="142" t="s">
        <v>218</v>
      </c>
      <c r="G9750" s="142" t="s">
        <v>1885</v>
      </c>
      <c r="H9750" s="142" t="s">
        <v>25600</v>
      </c>
      <c r="I9750" s="142">
        <v>595</v>
      </c>
      <c r="J9750" s="142">
        <v>342</v>
      </c>
      <c r="K9750" s="142">
        <v>0</v>
      </c>
      <c r="L9750" s="142">
        <v>0</v>
      </c>
      <c r="M9750" s="142">
        <v>253</v>
      </c>
    </row>
    <row r="9751" spans="1:13" x14ac:dyDescent="0.45">
      <c r="A9751" s="142" t="s">
        <v>14393</v>
      </c>
      <c r="B9751" s="142" t="s">
        <v>15244</v>
      </c>
      <c r="C9751" s="142" t="s">
        <v>15860</v>
      </c>
      <c r="D9751" s="142" t="s">
        <v>15861</v>
      </c>
      <c r="E9751" s="142" t="s">
        <v>15849</v>
      </c>
      <c r="F9751" s="142" t="s">
        <v>218</v>
      </c>
      <c r="G9751" s="142" t="s">
        <v>1885</v>
      </c>
      <c r="H9751" s="142" t="s">
        <v>25601</v>
      </c>
      <c r="I9751" s="142">
        <v>42</v>
      </c>
      <c r="J9751" s="142">
        <v>0</v>
      </c>
      <c r="K9751" s="142">
        <v>0</v>
      </c>
      <c r="L9751" s="142">
        <v>42</v>
      </c>
      <c r="M9751" s="142">
        <v>0</v>
      </c>
    </row>
    <row r="9752" spans="1:13" x14ac:dyDescent="0.45">
      <c r="A9752" s="142" t="s">
        <v>14394</v>
      </c>
      <c r="B9752" s="142" t="s">
        <v>14801</v>
      </c>
      <c r="C9752" s="142" t="s">
        <v>15860</v>
      </c>
      <c r="D9752" s="142" t="s">
        <v>15861</v>
      </c>
      <c r="E9752" s="142" t="s">
        <v>15849</v>
      </c>
      <c r="F9752" s="142" t="s">
        <v>218</v>
      </c>
      <c r="G9752" s="142" t="s">
        <v>1885</v>
      </c>
      <c r="H9752" s="142" t="s">
        <v>25602</v>
      </c>
      <c r="I9752" s="142">
        <v>18</v>
      </c>
      <c r="J9752" s="142">
        <v>18</v>
      </c>
      <c r="K9752" s="142">
        <v>0</v>
      </c>
      <c r="L9752" s="142">
        <v>0</v>
      </c>
      <c r="M9752" s="142">
        <v>0</v>
      </c>
    </row>
    <row r="9753" spans="1:13" x14ac:dyDescent="0.45">
      <c r="A9753" s="142" t="s">
        <v>13023</v>
      </c>
      <c r="B9753" s="142" t="s">
        <v>15571</v>
      </c>
      <c r="C9753" s="142" t="s">
        <v>15847</v>
      </c>
      <c r="D9753" s="142" t="s">
        <v>15848</v>
      </c>
      <c r="E9753" s="142" t="s">
        <v>15849</v>
      </c>
      <c r="F9753" s="142" t="s">
        <v>219</v>
      </c>
      <c r="G9753" s="142" t="s">
        <v>10894</v>
      </c>
      <c r="H9753" s="142" t="s">
        <v>25603</v>
      </c>
      <c r="I9753" s="142">
        <v>254</v>
      </c>
      <c r="J9753" s="142">
        <v>0</v>
      </c>
      <c r="K9753" s="142">
        <v>0</v>
      </c>
      <c r="L9753" s="142">
        <v>224</v>
      </c>
      <c r="M9753" s="142">
        <v>30</v>
      </c>
    </row>
    <row r="9754" spans="1:13" x14ac:dyDescent="0.45">
      <c r="A9754" s="142" t="s">
        <v>13226</v>
      </c>
      <c r="B9754" s="142" t="s">
        <v>14495</v>
      </c>
      <c r="C9754" s="142" t="s">
        <v>15860</v>
      </c>
      <c r="D9754" s="142" t="s">
        <v>15861</v>
      </c>
      <c r="E9754" s="142" t="s">
        <v>15849</v>
      </c>
      <c r="F9754" s="142" t="s">
        <v>219</v>
      </c>
      <c r="G9754" s="142" t="s">
        <v>10894</v>
      </c>
      <c r="H9754" s="142" t="s">
        <v>25604</v>
      </c>
      <c r="I9754" s="142">
        <v>112</v>
      </c>
      <c r="J9754" s="142">
        <v>0</v>
      </c>
      <c r="K9754" s="142">
        <v>112</v>
      </c>
      <c r="L9754" s="142">
        <v>0</v>
      </c>
      <c r="M9754" s="142">
        <v>0</v>
      </c>
    </row>
    <row r="9755" spans="1:13" x14ac:dyDescent="0.45">
      <c r="A9755" s="142" t="s">
        <v>13082</v>
      </c>
      <c r="B9755" s="142" t="s">
        <v>14478</v>
      </c>
      <c r="C9755" s="142" t="s">
        <v>15860</v>
      </c>
      <c r="D9755" s="142" t="s">
        <v>15861</v>
      </c>
      <c r="E9755" s="142" t="s">
        <v>15849</v>
      </c>
      <c r="F9755" s="142" t="s">
        <v>219</v>
      </c>
      <c r="G9755" s="142" t="s">
        <v>10894</v>
      </c>
      <c r="H9755" s="142" t="s">
        <v>25605</v>
      </c>
      <c r="I9755" s="142">
        <v>11</v>
      </c>
      <c r="J9755" s="142">
        <v>0</v>
      </c>
      <c r="K9755" s="142">
        <v>0</v>
      </c>
      <c r="L9755" s="142">
        <v>11</v>
      </c>
      <c r="M9755" s="142">
        <v>0</v>
      </c>
    </row>
    <row r="9756" spans="1:13" x14ac:dyDescent="0.45">
      <c r="A9756" s="142" t="s">
        <v>13065</v>
      </c>
      <c r="B9756" s="142" t="s">
        <v>14497</v>
      </c>
      <c r="C9756" s="142" t="s">
        <v>15847</v>
      </c>
      <c r="D9756" s="142" t="s">
        <v>15848</v>
      </c>
      <c r="E9756" s="142" t="s">
        <v>15849</v>
      </c>
      <c r="F9756" s="142" t="s">
        <v>219</v>
      </c>
      <c r="G9756" s="142" t="s">
        <v>10894</v>
      </c>
      <c r="H9756" s="142" t="s">
        <v>25606</v>
      </c>
      <c r="I9756" s="142">
        <v>37</v>
      </c>
      <c r="J9756" s="142">
        <v>0</v>
      </c>
      <c r="K9756" s="142">
        <v>0</v>
      </c>
      <c r="L9756" s="142">
        <v>37</v>
      </c>
      <c r="M9756" s="142">
        <v>0</v>
      </c>
    </row>
    <row r="9757" spans="1:13" x14ac:dyDescent="0.45">
      <c r="A9757" s="142" t="s">
        <v>13230</v>
      </c>
      <c r="B9757" s="142" t="s">
        <v>15339</v>
      </c>
      <c r="C9757" s="142" t="s">
        <v>15847</v>
      </c>
      <c r="D9757" s="142" t="s">
        <v>15848</v>
      </c>
      <c r="E9757" s="142" t="s">
        <v>15849</v>
      </c>
      <c r="F9757" s="142" t="s">
        <v>219</v>
      </c>
      <c r="G9757" s="142" t="s">
        <v>10894</v>
      </c>
      <c r="H9757" s="142" t="s">
        <v>25607</v>
      </c>
      <c r="I9757" s="142">
        <v>38</v>
      </c>
      <c r="J9757" s="142">
        <v>34</v>
      </c>
      <c r="K9757" s="142">
        <v>0</v>
      </c>
      <c r="L9757" s="142">
        <v>0</v>
      </c>
      <c r="M9757" s="142">
        <v>4</v>
      </c>
    </row>
    <row r="9758" spans="1:13" x14ac:dyDescent="0.45">
      <c r="A9758" s="142" t="s">
        <v>13235</v>
      </c>
      <c r="B9758" s="142" t="s">
        <v>14573</v>
      </c>
      <c r="C9758" s="142" t="s">
        <v>15847</v>
      </c>
      <c r="D9758" s="142" t="s">
        <v>15848</v>
      </c>
      <c r="E9758" s="142" t="s">
        <v>15849</v>
      </c>
      <c r="F9758" s="142" t="s">
        <v>219</v>
      </c>
      <c r="G9758" s="142" t="s">
        <v>10894</v>
      </c>
      <c r="H9758" s="142" t="s">
        <v>25608</v>
      </c>
      <c r="I9758" s="142">
        <v>1488</v>
      </c>
      <c r="J9758" s="142">
        <v>1198</v>
      </c>
      <c r="K9758" s="142">
        <v>0</v>
      </c>
      <c r="L9758" s="142">
        <v>173</v>
      </c>
      <c r="M9758" s="142">
        <v>117</v>
      </c>
    </row>
    <row r="9759" spans="1:13" x14ac:dyDescent="0.45">
      <c r="A9759" s="142" t="s">
        <v>13159</v>
      </c>
      <c r="B9759" s="142" t="s">
        <v>14521</v>
      </c>
      <c r="C9759" s="142" t="s">
        <v>15860</v>
      </c>
      <c r="D9759" s="142" t="s">
        <v>15861</v>
      </c>
      <c r="E9759" s="142" t="s">
        <v>15849</v>
      </c>
      <c r="F9759" s="142" t="s">
        <v>219</v>
      </c>
      <c r="G9759" s="142" t="s">
        <v>10894</v>
      </c>
      <c r="H9759" s="142" t="s">
        <v>25609</v>
      </c>
      <c r="I9759" s="142">
        <v>11</v>
      </c>
      <c r="J9759" s="142">
        <v>0</v>
      </c>
      <c r="K9759" s="142">
        <v>0</v>
      </c>
      <c r="L9759" s="142">
        <v>11</v>
      </c>
      <c r="M9759" s="142">
        <v>0</v>
      </c>
    </row>
    <row r="9760" spans="1:13" x14ac:dyDescent="0.45">
      <c r="A9760" s="142" t="s">
        <v>13237</v>
      </c>
      <c r="B9760" s="142" t="s">
        <v>14643</v>
      </c>
      <c r="C9760" s="142" t="s">
        <v>15847</v>
      </c>
      <c r="D9760" s="142" t="s">
        <v>15848</v>
      </c>
      <c r="E9760" s="142" t="s">
        <v>15849</v>
      </c>
      <c r="F9760" s="142" t="s">
        <v>219</v>
      </c>
      <c r="G9760" s="142" t="s">
        <v>10894</v>
      </c>
      <c r="H9760" s="142" t="s">
        <v>25610</v>
      </c>
      <c r="I9760" s="142">
        <v>3</v>
      </c>
      <c r="J9760" s="142">
        <v>3</v>
      </c>
      <c r="K9760" s="142">
        <v>0</v>
      </c>
      <c r="L9760" s="142">
        <v>0</v>
      </c>
      <c r="M9760" s="142">
        <v>0</v>
      </c>
    </row>
    <row r="9761" spans="1:13" x14ac:dyDescent="0.45">
      <c r="A9761" s="142" t="s">
        <v>13000</v>
      </c>
      <c r="B9761" s="142" t="s">
        <v>14610</v>
      </c>
      <c r="C9761" s="142" t="s">
        <v>15847</v>
      </c>
      <c r="D9761" s="142" t="s">
        <v>15848</v>
      </c>
      <c r="E9761" s="142" t="s">
        <v>15849</v>
      </c>
      <c r="F9761" s="142" t="s">
        <v>219</v>
      </c>
      <c r="G9761" s="142" t="s">
        <v>10894</v>
      </c>
      <c r="H9761" s="142" t="s">
        <v>25611</v>
      </c>
      <c r="I9761" s="142">
        <v>8</v>
      </c>
      <c r="J9761" s="142">
        <v>3</v>
      </c>
      <c r="K9761" s="142">
        <v>0</v>
      </c>
      <c r="L9761" s="142">
        <v>0</v>
      </c>
      <c r="M9761" s="142">
        <v>5</v>
      </c>
    </row>
    <row r="9762" spans="1:13" x14ac:dyDescent="0.45">
      <c r="A9762" s="142" t="s">
        <v>13099</v>
      </c>
      <c r="B9762" s="142" t="s">
        <v>14547</v>
      </c>
      <c r="C9762" s="142" t="s">
        <v>15860</v>
      </c>
      <c r="D9762" s="142" t="s">
        <v>15861</v>
      </c>
      <c r="E9762" s="142" t="s">
        <v>15849</v>
      </c>
      <c r="F9762" s="142" t="s">
        <v>219</v>
      </c>
      <c r="G9762" s="142" t="s">
        <v>10894</v>
      </c>
      <c r="H9762" s="142" t="s">
        <v>25612</v>
      </c>
      <c r="I9762" s="142">
        <v>3</v>
      </c>
      <c r="J9762" s="142">
        <v>0</v>
      </c>
      <c r="K9762" s="142">
        <v>0</v>
      </c>
      <c r="L9762" s="142">
        <v>3</v>
      </c>
      <c r="M9762" s="142">
        <v>0</v>
      </c>
    </row>
    <row r="9763" spans="1:13" x14ac:dyDescent="0.45">
      <c r="A9763" s="142" t="s">
        <v>13027</v>
      </c>
      <c r="B9763" s="142" t="s">
        <v>14562</v>
      </c>
      <c r="C9763" s="142" t="s">
        <v>15847</v>
      </c>
      <c r="D9763" s="142" t="s">
        <v>15848</v>
      </c>
      <c r="E9763" s="142" t="s">
        <v>15849</v>
      </c>
      <c r="F9763" s="142" t="s">
        <v>219</v>
      </c>
      <c r="G9763" s="142" t="s">
        <v>10894</v>
      </c>
      <c r="H9763" s="142" t="s">
        <v>25613</v>
      </c>
      <c r="I9763" s="142">
        <v>9</v>
      </c>
      <c r="J9763" s="142">
        <v>0</v>
      </c>
      <c r="K9763" s="142">
        <v>0</v>
      </c>
      <c r="L9763" s="142">
        <v>9</v>
      </c>
      <c r="M9763" s="142">
        <v>0</v>
      </c>
    </row>
    <row r="9764" spans="1:13" x14ac:dyDescent="0.45">
      <c r="A9764" s="142" t="s">
        <v>13243</v>
      </c>
      <c r="B9764" s="142" t="s">
        <v>15560</v>
      </c>
      <c r="C9764" s="142" t="s">
        <v>15847</v>
      </c>
      <c r="D9764" s="142" t="s">
        <v>15848</v>
      </c>
      <c r="E9764" s="142" t="s">
        <v>15849</v>
      </c>
      <c r="F9764" s="142" t="s">
        <v>219</v>
      </c>
      <c r="G9764" s="142" t="s">
        <v>10894</v>
      </c>
      <c r="H9764" s="142" t="s">
        <v>25614</v>
      </c>
      <c r="I9764" s="142">
        <v>1627</v>
      </c>
      <c r="J9764" s="142">
        <v>1273</v>
      </c>
      <c r="K9764" s="142">
        <v>7</v>
      </c>
      <c r="L9764" s="142">
        <v>311</v>
      </c>
      <c r="M9764" s="142">
        <v>36</v>
      </c>
    </row>
    <row r="9765" spans="1:13" x14ac:dyDescent="0.45">
      <c r="A9765" s="142" t="s">
        <v>13149</v>
      </c>
      <c r="B9765" s="142" t="s">
        <v>14458</v>
      </c>
      <c r="C9765" s="142" t="s">
        <v>15860</v>
      </c>
      <c r="D9765" s="142" t="s">
        <v>15861</v>
      </c>
      <c r="E9765" s="142" t="s">
        <v>15849</v>
      </c>
      <c r="F9765" s="142" t="s">
        <v>219</v>
      </c>
      <c r="G9765" s="142" t="s">
        <v>10894</v>
      </c>
      <c r="H9765" s="142" t="s">
        <v>25615</v>
      </c>
      <c r="I9765" s="142">
        <v>4</v>
      </c>
      <c r="J9765" s="142">
        <v>0</v>
      </c>
      <c r="K9765" s="142">
        <v>0</v>
      </c>
      <c r="L9765" s="142">
        <v>4</v>
      </c>
      <c r="M9765" s="142">
        <v>0</v>
      </c>
    </row>
    <row r="9766" spans="1:13" x14ac:dyDescent="0.45">
      <c r="A9766" s="142" t="s">
        <v>13028</v>
      </c>
      <c r="B9766" s="142" t="s">
        <v>14462</v>
      </c>
      <c r="C9766" s="142" t="s">
        <v>15847</v>
      </c>
      <c r="D9766" s="142" t="s">
        <v>15848</v>
      </c>
      <c r="E9766" s="142" t="s">
        <v>15849</v>
      </c>
      <c r="F9766" s="142" t="s">
        <v>219</v>
      </c>
      <c r="G9766" s="142" t="s">
        <v>10894</v>
      </c>
      <c r="H9766" s="142" t="s">
        <v>25616</v>
      </c>
      <c r="I9766" s="142">
        <v>9</v>
      </c>
      <c r="J9766" s="142">
        <v>0</v>
      </c>
      <c r="K9766" s="142">
        <v>0</v>
      </c>
      <c r="L9766" s="142">
        <v>0</v>
      </c>
      <c r="M9766" s="142">
        <v>9</v>
      </c>
    </row>
    <row r="9767" spans="1:13" x14ac:dyDescent="0.45">
      <c r="A9767" s="142" t="s">
        <v>14396</v>
      </c>
      <c r="B9767" s="142" t="s">
        <v>15213</v>
      </c>
      <c r="C9767" s="142" t="s">
        <v>15860</v>
      </c>
      <c r="D9767" s="142" t="s">
        <v>15861</v>
      </c>
      <c r="E9767" s="142" t="s">
        <v>15849</v>
      </c>
      <c r="F9767" s="142" t="s">
        <v>219</v>
      </c>
      <c r="G9767" s="142" t="s">
        <v>10894</v>
      </c>
      <c r="H9767" s="142" t="s">
        <v>25617</v>
      </c>
      <c r="I9767" s="142">
        <v>12</v>
      </c>
      <c r="J9767" s="142">
        <v>0</v>
      </c>
      <c r="K9767" s="142">
        <v>0</v>
      </c>
      <c r="L9767" s="142">
        <v>12</v>
      </c>
      <c r="M9767" s="142">
        <v>0</v>
      </c>
    </row>
    <row r="9768" spans="1:13" x14ac:dyDescent="0.45">
      <c r="A9768" s="142" t="s">
        <v>13002</v>
      </c>
      <c r="B9768" s="142" t="s">
        <v>15376</v>
      </c>
      <c r="C9768" s="142" t="s">
        <v>15847</v>
      </c>
      <c r="D9768" s="142" t="s">
        <v>15848</v>
      </c>
      <c r="E9768" s="142" t="s">
        <v>15849</v>
      </c>
      <c r="F9768" s="142" t="s">
        <v>219</v>
      </c>
      <c r="G9768" s="142" t="s">
        <v>10894</v>
      </c>
      <c r="H9768" s="142" t="s">
        <v>25618</v>
      </c>
      <c r="I9768" s="142">
        <v>22</v>
      </c>
      <c r="J9768" s="142">
        <v>0</v>
      </c>
      <c r="K9768" s="142">
        <v>0</v>
      </c>
      <c r="L9768" s="142">
        <v>22</v>
      </c>
      <c r="M9768" s="142">
        <v>0</v>
      </c>
    </row>
    <row r="9769" spans="1:13" x14ac:dyDescent="0.45">
      <c r="A9769" s="142" t="s">
        <v>13003</v>
      </c>
      <c r="B9769" s="142" t="s">
        <v>15245</v>
      </c>
      <c r="C9769" s="142" t="s">
        <v>15847</v>
      </c>
      <c r="D9769" s="142" t="s">
        <v>15848</v>
      </c>
      <c r="E9769" s="142" t="s">
        <v>15849</v>
      </c>
      <c r="F9769" s="142" t="s">
        <v>219</v>
      </c>
      <c r="G9769" s="142" t="s">
        <v>10894</v>
      </c>
      <c r="H9769" s="142" t="s">
        <v>25619</v>
      </c>
      <c r="I9769" s="142">
        <v>313</v>
      </c>
      <c r="J9769" s="142">
        <v>0</v>
      </c>
      <c r="K9769" s="142">
        <v>0</v>
      </c>
      <c r="L9769" s="142">
        <v>313</v>
      </c>
      <c r="M9769" s="142">
        <v>0</v>
      </c>
    </row>
    <row r="9770" spans="1:13" x14ac:dyDescent="0.45">
      <c r="A9770" s="142" t="s">
        <v>13066</v>
      </c>
      <c r="B9770" s="142" t="s">
        <v>14459</v>
      </c>
      <c r="C9770" s="142" t="s">
        <v>15847</v>
      </c>
      <c r="D9770" s="142" t="s">
        <v>15848</v>
      </c>
      <c r="E9770" s="142" t="s">
        <v>15849</v>
      </c>
      <c r="F9770" s="142" t="s">
        <v>219</v>
      </c>
      <c r="G9770" s="142" t="s">
        <v>10894</v>
      </c>
      <c r="H9770" s="142" t="s">
        <v>25620</v>
      </c>
      <c r="I9770" s="142">
        <v>44</v>
      </c>
      <c r="J9770" s="142">
        <v>0</v>
      </c>
      <c r="K9770" s="142">
        <v>0</v>
      </c>
      <c r="L9770" s="142">
        <v>44</v>
      </c>
      <c r="M9770" s="142">
        <v>0</v>
      </c>
    </row>
    <row r="9771" spans="1:13" x14ac:dyDescent="0.45">
      <c r="A9771" s="142" t="s">
        <v>13076</v>
      </c>
      <c r="B9771" s="142" t="s">
        <v>14636</v>
      </c>
      <c r="C9771" s="142" t="s">
        <v>15847</v>
      </c>
      <c r="D9771" s="142" t="s">
        <v>15848</v>
      </c>
      <c r="E9771" s="142" t="s">
        <v>15849</v>
      </c>
      <c r="F9771" s="142" t="s">
        <v>219</v>
      </c>
      <c r="G9771" s="142" t="s">
        <v>10894</v>
      </c>
      <c r="H9771" s="142" t="s">
        <v>25621</v>
      </c>
      <c r="I9771" s="142">
        <v>13</v>
      </c>
      <c r="J9771" s="142">
        <v>13</v>
      </c>
      <c r="K9771" s="142">
        <v>0</v>
      </c>
      <c r="L9771" s="142">
        <v>0</v>
      </c>
      <c r="M9771" s="142">
        <v>0</v>
      </c>
    </row>
    <row r="9772" spans="1:13" x14ac:dyDescent="0.45">
      <c r="A9772" s="142" t="s">
        <v>13192</v>
      </c>
      <c r="B9772" s="142" t="s">
        <v>15539</v>
      </c>
      <c r="C9772" s="142" t="s">
        <v>15860</v>
      </c>
      <c r="D9772" s="142" t="s">
        <v>15861</v>
      </c>
      <c r="E9772" s="142" t="s">
        <v>15849</v>
      </c>
      <c r="F9772" s="142" t="s">
        <v>219</v>
      </c>
      <c r="G9772" s="142" t="s">
        <v>10894</v>
      </c>
      <c r="H9772" s="142" t="s">
        <v>25622</v>
      </c>
      <c r="I9772" s="142">
        <v>40</v>
      </c>
      <c r="J9772" s="142">
        <v>0</v>
      </c>
      <c r="K9772" s="142">
        <v>0</v>
      </c>
      <c r="L9772" s="142">
        <v>40</v>
      </c>
      <c r="M9772" s="142">
        <v>0</v>
      </c>
    </row>
    <row r="9773" spans="1:13" x14ac:dyDescent="0.45">
      <c r="A9773" s="142" t="s">
        <v>13248</v>
      </c>
      <c r="B9773" s="142" t="s">
        <v>15463</v>
      </c>
      <c r="C9773" s="142" t="s">
        <v>15847</v>
      </c>
      <c r="D9773" s="142" t="s">
        <v>15848</v>
      </c>
      <c r="E9773" s="142" t="s">
        <v>15849</v>
      </c>
      <c r="F9773" s="142" t="s">
        <v>219</v>
      </c>
      <c r="G9773" s="142" t="s">
        <v>10894</v>
      </c>
      <c r="H9773" s="142" t="s">
        <v>25623</v>
      </c>
      <c r="I9773" s="142">
        <v>2152</v>
      </c>
      <c r="J9773" s="142">
        <v>1765</v>
      </c>
      <c r="K9773" s="142">
        <v>0</v>
      </c>
      <c r="L9773" s="142">
        <v>336</v>
      </c>
      <c r="M9773" s="142">
        <v>51</v>
      </c>
    </row>
    <row r="9774" spans="1:13" x14ac:dyDescent="0.45">
      <c r="A9774" s="142" t="s">
        <v>13250</v>
      </c>
      <c r="B9774" s="142" t="s">
        <v>15395</v>
      </c>
      <c r="C9774" s="142" t="s">
        <v>15847</v>
      </c>
      <c r="D9774" s="142" t="s">
        <v>15848</v>
      </c>
      <c r="E9774" s="142" t="s">
        <v>15849</v>
      </c>
      <c r="F9774" s="142" t="s">
        <v>219</v>
      </c>
      <c r="G9774" s="142" t="s">
        <v>10894</v>
      </c>
      <c r="H9774" s="142" t="s">
        <v>25624</v>
      </c>
      <c r="I9774" s="142">
        <v>410</v>
      </c>
      <c r="J9774" s="142">
        <v>333</v>
      </c>
      <c r="K9774" s="142">
        <v>0</v>
      </c>
      <c r="L9774" s="142">
        <v>77</v>
      </c>
      <c r="M9774" s="142">
        <v>0</v>
      </c>
    </row>
    <row r="9775" spans="1:13" x14ac:dyDescent="0.45">
      <c r="A9775" s="142" t="s">
        <v>13008</v>
      </c>
      <c r="B9775" s="142" t="s">
        <v>15411</v>
      </c>
      <c r="C9775" s="142" t="s">
        <v>15847</v>
      </c>
      <c r="D9775" s="142" t="s">
        <v>15848</v>
      </c>
      <c r="E9775" s="142" t="s">
        <v>15849</v>
      </c>
      <c r="F9775" s="142" t="s">
        <v>219</v>
      </c>
      <c r="G9775" s="142" t="s">
        <v>10894</v>
      </c>
      <c r="H9775" s="142" t="s">
        <v>25625</v>
      </c>
      <c r="I9775" s="142">
        <v>2</v>
      </c>
      <c r="J9775" s="142">
        <v>2</v>
      </c>
      <c r="K9775" s="142">
        <v>0</v>
      </c>
      <c r="L9775" s="142">
        <v>0</v>
      </c>
      <c r="M9775" s="142">
        <v>0</v>
      </c>
    </row>
    <row r="9776" spans="1:13" x14ac:dyDescent="0.45">
      <c r="A9776" s="142" t="s">
        <v>13031</v>
      </c>
      <c r="B9776" s="142" t="s">
        <v>14620</v>
      </c>
      <c r="C9776" s="142" t="s">
        <v>15860</v>
      </c>
      <c r="D9776" s="142" t="s">
        <v>15861</v>
      </c>
      <c r="E9776" s="142" t="s">
        <v>15849</v>
      </c>
      <c r="F9776" s="142" t="s">
        <v>219</v>
      </c>
      <c r="G9776" s="142" t="s">
        <v>10894</v>
      </c>
      <c r="H9776" s="142" t="s">
        <v>25626</v>
      </c>
      <c r="I9776" s="142">
        <v>19</v>
      </c>
      <c r="J9776" s="142">
        <v>0</v>
      </c>
      <c r="K9776" s="142">
        <v>0</v>
      </c>
      <c r="L9776" s="142">
        <v>19</v>
      </c>
      <c r="M9776" s="142">
        <v>0</v>
      </c>
    </row>
    <row r="9777" spans="1:13" x14ac:dyDescent="0.45">
      <c r="A9777" s="142" t="s">
        <v>13035</v>
      </c>
      <c r="B9777" s="142" t="s">
        <v>14648</v>
      </c>
      <c r="C9777" s="142" t="s">
        <v>15847</v>
      </c>
      <c r="D9777" s="142" t="s">
        <v>15848</v>
      </c>
      <c r="E9777" s="142" t="s">
        <v>15849</v>
      </c>
      <c r="F9777" s="142" t="s">
        <v>219</v>
      </c>
      <c r="G9777" s="142" t="s">
        <v>10894</v>
      </c>
      <c r="H9777" s="142" t="s">
        <v>25627</v>
      </c>
      <c r="I9777" s="142">
        <v>12</v>
      </c>
      <c r="J9777" s="142">
        <v>6</v>
      </c>
      <c r="K9777" s="142">
        <v>0</v>
      </c>
      <c r="L9777" s="142">
        <v>0</v>
      </c>
      <c r="M9777" s="142">
        <v>6</v>
      </c>
    </row>
    <row r="9778" spans="1:13" x14ac:dyDescent="0.45">
      <c r="A9778" s="142" t="s">
        <v>13038</v>
      </c>
      <c r="B9778" s="142" t="s">
        <v>14646</v>
      </c>
      <c r="C9778" s="142" t="s">
        <v>15847</v>
      </c>
      <c r="D9778" s="142" t="s">
        <v>15848</v>
      </c>
      <c r="E9778" s="142" t="s">
        <v>15849</v>
      </c>
      <c r="F9778" s="142" t="s">
        <v>219</v>
      </c>
      <c r="G9778" s="142" t="s">
        <v>10894</v>
      </c>
      <c r="H9778" s="142" t="s">
        <v>25628</v>
      </c>
      <c r="I9778" s="142">
        <v>17</v>
      </c>
      <c r="J9778" s="142">
        <v>10</v>
      </c>
      <c r="K9778" s="142">
        <v>0</v>
      </c>
      <c r="L9778" s="142">
        <v>0</v>
      </c>
      <c r="M9778" s="142">
        <v>7</v>
      </c>
    </row>
    <row r="9779" spans="1:13" x14ac:dyDescent="0.45">
      <c r="A9779" s="142" t="s">
        <v>13009</v>
      </c>
      <c r="B9779" s="142" t="s">
        <v>15256</v>
      </c>
      <c r="C9779" s="142" t="s">
        <v>15847</v>
      </c>
      <c r="D9779" s="142" t="s">
        <v>15848</v>
      </c>
      <c r="E9779" s="142" t="s">
        <v>15849</v>
      </c>
      <c r="F9779" s="142" t="s">
        <v>219</v>
      </c>
      <c r="G9779" s="142" t="s">
        <v>10894</v>
      </c>
      <c r="H9779" s="142" t="s">
        <v>25629</v>
      </c>
      <c r="I9779" s="142">
        <v>131</v>
      </c>
      <c r="J9779" s="142">
        <v>129</v>
      </c>
      <c r="K9779" s="142">
        <v>0</v>
      </c>
      <c r="L9779" s="142">
        <v>0</v>
      </c>
      <c r="M9779" s="142">
        <v>2</v>
      </c>
    </row>
    <row r="9780" spans="1:13" x14ac:dyDescent="0.45">
      <c r="A9780" s="142" t="s">
        <v>13451</v>
      </c>
      <c r="B9780" s="142" t="s">
        <v>15582</v>
      </c>
      <c r="C9780" s="142" t="s">
        <v>15847</v>
      </c>
      <c r="D9780" s="142" t="s">
        <v>15848</v>
      </c>
      <c r="E9780" s="142" t="s">
        <v>15849</v>
      </c>
      <c r="F9780" s="142" t="s">
        <v>219</v>
      </c>
      <c r="G9780" s="142" t="s">
        <v>10894</v>
      </c>
      <c r="H9780" s="142" t="s">
        <v>25630</v>
      </c>
      <c r="I9780" s="142">
        <v>148</v>
      </c>
      <c r="J9780" s="142">
        <v>141</v>
      </c>
      <c r="K9780" s="142">
        <v>0</v>
      </c>
      <c r="L9780" s="142">
        <v>0</v>
      </c>
      <c r="M9780" s="142">
        <v>7</v>
      </c>
    </row>
    <row r="9781" spans="1:13" x14ac:dyDescent="0.45">
      <c r="A9781" s="142" t="s">
        <v>13267</v>
      </c>
      <c r="B9781" s="142" t="s">
        <v>15451</v>
      </c>
      <c r="C9781" s="142" t="s">
        <v>15847</v>
      </c>
      <c r="D9781" s="142" t="s">
        <v>15848</v>
      </c>
      <c r="E9781" s="142" t="s">
        <v>15849</v>
      </c>
      <c r="F9781" s="142" t="s">
        <v>219</v>
      </c>
      <c r="G9781" s="142" t="s">
        <v>10894</v>
      </c>
      <c r="H9781" s="142" t="s">
        <v>25631</v>
      </c>
      <c r="I9781" s="142">
        <v>473</v>
      </c>
      <c r="J9781" s="142">
        <v>367</v>
      </c>
      <c r="K9781" s="142">
        <v>0</v>
      </c>
      <c r="L9781" s="142">
        <v>38</v>
      </c>
      <c r="M9781" s="142">
        <v>68</v>
      </c>
    </row>
    <row r="9782" spans="1:13" x14ac:dyDescent="0.45">
      <c r="A9782" s="142" t="s">
        <v>13016</v>
      </c>
      <c r="B9782" s="142" t="s">
        <v>14535</v>
      </c>
      <c r="C9782" s="142" t="s">
        <v>15860</v>
      </c>
      <c r="D9782" s="142" t="s">
        <v>15861</v>
      </c>
      <c r="E9782" s="142" t="s">
        <v>15849</v>
      </c>
      <c r="F9782" s="142" t="s">
        <v>219</v>
      </c>
      <c r="G9782" s="142" t="s">
        <v>10894</v>
      </c>
      <c r="H9782" s="142" t="s">
        <v>25632</v>
      </c>
      <c r="I9782" s="142">
        <v>10</v>
      </c>
      <c r="J9782" s="142">
        <v>0</v>
      </c>
      <c r="K9782" s="142">
        <v>0</v>
      </c>
      <c r="L9782" s="142">
        <v>10</v>
      </c>
      <c r="M9782" s="142">
        <v>0</v>
      </c>
    </row>
    <row r="9783" spans="1:13" x14ac:dyDescent="0.45">
      <c r="A9783" s="142" t="s">
        <v>14397</v>
      </c>
      <c r="B9783" s="142" t="s">
        <v>15164</v>
      </c>
      <c r="C9783" s="142" t="s">
        <v>15860</v>
      </c>
      <c r="D9783" s="142" t="s">
        <v>15861</v>
      </c>
      <c r="E9783" s="142" t="s">
        <v>15849</v>
      </c>
      <c r="F9783" s="142" t="s">
        <v>219</v>
      </c>
      <c r="G9783" s="142" t="s">
        <v>10894</v>
      </c>
      <c r="H9783" s="142" t="s">
        <v>25633</v>
      </c>
      <c r="I9783" s="142">
        <v>25</v>
      </c>
      <c r="J9783" s="142">
        <v>0</v>
      </c>
      <c r="K9783" s="142">
        <v>0</v>
      </c>
      <c r="L9783" s="142">
        <v>25</v>
      </c>
      <c r="M9783" s="142">
        <v>0</v>
      </c>
    </row>
    <row r="9784" spans="1:13" x14ac:dyDescent="0.45">
      <c r="A9784" s="142" t="s">
        <v>14159</v>
      </c>
      <c r="B9784" s="142" t="s">
        <v>15487</v>
      </c>
      <c r="C9784" s="142" t="s">
        <v>15860</v>
      </c>
      <c r="D9784" s="142" t="s">
        <v>15861</v>
      </c>
      <c r="E9784" s="142" t="s">
        <v>15849</v>
      </c>
      <c r="F9784" s="142" t="s">
        <v>219</v>
      </c>
      <c r="G9784" s="142" t="s">
        <v>10894</v>
      </c>
      <c r="H9784" s="142" t="s">
        <v>25634</v>
      </c>
      <c r="I9784" s="142">
        <v>63</v>
      </c>
      <c r="J9784" s="142">
        <v>36</v>
      </c>
      <c r="K9784" s="142">
        <v>27</v>
      </c>
      <c r="L9784" s="142">
        <v>0</v>
      </c>
      <c r="M9784" s="142">
        <v>0</v>
      </c>
    </row>
    <row r="9785" spans="1:13" x14ac:dyDescent="0.45">
      <c r="A9785" s="142" t="s">
        <v>13021</v>
      </c>
      <c r="B9785" s="142" t="s">
        <v>15501</v>
      </c>
      <c r="C9785" s="142" t="s">
        <v>15847</v>
      </c>
      <c r="D9785" s="142" t="s">
        <v>15848</v>
      </c>
      <c r="E9785" s="142" t="s">
        <v>15849</v>
      </c>
      <c r="F9785" s="142" t="s">
        <v>220</v>
      </c>
      <c r="G9785" s="142" t="s">
        <v>9313</v>
      </c>
      <c r="H9785" s="142" t="s">
        <v>25635</v>
      </c>
      <c r="I9785" s="142">
        <v>12</v>
      </c>
      <c r="J9785" s="142">
        <v>0</v>
      </c>
      <c r="K9785" s="142">
        <v>0</v>
      </c>
      <c r="L9785" s="142">
        <v>8</v>
      </c>
      <c r="M9785" s="142">
        <v>4</v>
      </c>
    </row>
    <row r="9786" spans="1:13" x14ac:dyDescent="0.45">
      <c r="A9786" s="142" t="s">
        <v>13023</v>
      </c>
      <c r="B9786" s="142" t="s">
        <v>15571</v>
      </c>
      <c r="C9786" s="142" t="s">
        <v>15847</v>
      </c>
      <c r="D9786" s="142" t="s">
        <v>15848</v>
      </c>
      <c r="E9786" s="142" t="s">
        <v>15849</v>
      </c>
      <c r="F9786" s="142" t="s">
        <v>220</v>
      </c>
      <c r="G9786" s="142" t="s">
        <v>9313</v>
      </c>
      <c r="H9786" s="142" t="s">
        <v>25636</v>
      </c>
      <c r="I9786" s="142">
        <v>32</v>
      </c>
      <c r="J9786" s="142">
        <v>0</v>
      </c>
      <c r="K9786" s="142">
        <v>0</v>
      </c>
      <c r="L9786" s="142">
        <v>32</v>
      </c>
      <c r="M9786" s="142">
        <v>0</v>
      </c>
    </row>
    <row r="9787" spans="1:13" x14ac:dyDescent="0.45">
      <c r="A9787" s="142" t="s">
        <v>13082</v>
      </c>
      <c r="B9787" s="142" t="s">
        <v>14478</v>
      </c>
      <c r="C9787" s="142" t="s">
        <v>15860</v>
      </c>
      <c r="D9787" s="142" t="s">
        <v>15861</v>
      </c>
      <c r="E9787" s="142" t="s">
        <v>15849</v>
      </c>
      <c r="F9787" s="142" t="s">
        <v>220</v>
      </c>
      <c r="G9787" s="142" t="s">
        <v>9313</v>
      </c>
      <c r="H9787" s="142" t="s">
        <v>25637</v>
      </c>
      <c r="I9787" s="142">
        <v>7</v>
      </c>
      <c r="J9787" s="142">
        <v>0</v>
      </c>
      <c r="K9787" s="142">
        <v>0</v>
      </c>
      <c r="L9787" s="142">
        <v>7</v>
      </c>
      <c r="M9787" s="142">
        <v>0</v>
      </c>
    </row>
    <row r="9788" spans="1:13" x14ac:dyDescent="0.45">
      <c r="A9788" s="142" t="s">
        <v>13115</v>
      </c>
      <c r="B9788" s="142" t="s">
        <v>14508</v>
      </c>
      <c r="C9788" s="142" t="s">
        <v>15860</v>
      </c>
      <c r="D9788" s="142" t="s">
        <v>15861</v>
      </c>
      <c r="E9788" s="142" t="s">
        <v>15849</v>
      </c>
      <c r="F9788" s="142" t="s">
        <v>220</v>
      </c>
      <c r="G9788" s="142" t="s">
        <v>9313</v>
      </c>
      <c r="H9788" s="142" t="s">
        <v>25638</v>
      </c>
      <c r="I9788" s="142">
        <v>14</v>
      </c>
      <c r="J9788" s="142">
        <v>0</v>
      </c>
      <c r="K9788" s="142">
        <v>0</v>
      </c>
      <c r="L9788" s="142">
        <v>14</v>
      </c>
      <c r="M9788" s="142">
        <v>0</v>
      </c>
    </row>
    <row r="9789" spans="1:13" x14ac:dyDescent="0.45">
      <c r="A9789" s="142" t="s">
        <v>13235</v>
      </c>
      <c r="B9789" s="142" t="s">
        <v>14573</v>
      </c>
      <c r="C9789" s="142" t="s">
        <v>15847</v>
      </c>
      <c r="D9789" s="142" t="s">
        <v>15848</v>
      </c>
      <c r="E9789" s="142" t="s">
        <v>15849</v>
      </c>
      <c r="F9789" s="142" t="s">
        <v>220</v>
      </c>
      <c r="G9789" s="142" t="s">
        <v>9313</v>
      </c>
      <c r="H9789" s="142" t="s">
        <v>25639</v>
      </c>
      <c r="I9789" s="142">
        <v>238</v>
      </c>
      <c r="J9789" s="142">
        <v>216</v>
      </c>
      <c r="K9789" s="142">
        <v>0</v>
      </c>
      <c r="L9789" s="142">
        <v>4</v>
      </c>
      <c r="M9789" s="142">
        <v>18</v>
      </c>
    </row>
    <row r="9790" spans="1:13" x14ac:dyDescent="0.45">
      <c r="A9790" s="142" t="s">
        <v>13237</v>
      </c>
      <c r="B9790" s="142" t="s">
        <v>14643</v>
      </c>
      <c r="C9790" s="142" t="s">
        <v>15847</v>
      </c>
      <c r="D9790" s="142" t="s">
        <v>15848</v>
      </c>
      <c r="E9790" s="142" t="s">
        <v>15849</v>
      </c>
      <c r="F9790" s="142" t="s">
        <v>220</v>
      </c>
      <c r="G9790" s="142" t="s">
        <v>9313</v>
      </c>
      <c r="H9790" s="142" t="s">
        <v>25640</v>
      </c>
      <c r="I9790" s="142">
        <v>1365</v>
      </c>
      <c r="J9790" s="142">
        <v>1139</v>
      </c>
      <c r="K9790" s="142">
        <v>0</v>
      </c>
      <c r="L9790" s="142">
        <v>73</v>
      </c>
      <c r="M9790" s="142">
        <v>153</v>
      </c>
    </row>
    <row r="9791" spans="1:13" x14ac:dyDescent="0.45">
      <c r="A9791" s="142" t="s">
        <v>13000</v>
      </c>
      <c r="B9791" s="142" t="s">
        <v>14610</v>
      </c>
      <c r="C9791" s="142" t="s">
        <v>15847</v>
      </c>
      <c r="D9791" s="142" t="s">
        <v>15848</v>
      </c>
      <c r="E9791" s="142" t="s">
        <v>15849</v>
      </c>
      <c r="F9791" s="142" t="s">
        <v>220</v>
      </c>
      <c r="G9791" s="142" t="s">
        <v>9313</v>
      </c>
      <c r="H9791" s="142" t="s">
        <v>25641</v>
      </c>
      <c r="I9791" s="142">
        <v>8</v>
      </c>
      <c r="J9791" s="142">
        <v>0</v>
      </c>
      <c r="K9791" s="142">
        <v>0</v>
      </c>
      <c r="L9791" s="142">
        <v>0</v>
      </c>
      <c r="M9791" s="142">
        <v>8</v>
      </c>
    </row>
    <row r="9792" spans="1:13" x14ac:dyDescent="0.45">
      <c r="A9792" s="142" t="s">
        <v>13119</v>
      </c>
      <c r="B9792" s="142" t="s">
        <v>14451</v>
      </c>
      <c r="C9792" s="142" t="s">
        <v>15860</v>
      </c>
      <c r="D9792" s="142" t="s">
        <v>15861</v>
      </c>
      <c r="E9792" s="142" t="s">
        <v>15849</v>
      </c>
      <c r="F9792" s="142" t="s">
        <v>220</v>
      </c>
      <c r="G9792" s="142" t="s">
        <v>9313</v>
      </c>
      <c r="H9792" s="142" t="s">
        <v>25642</v>
      </c>
      <c r="I9792" s="142">
        <v>32</v>
      </c>
      <c r="J9792" s="142">
        <v>0</v>
      </c>
      <c r="K9792" s="142">
        <v>0</v>
      </c>
      <c r="L9792" s="142">
        <v>32</v>
      </c>
      <c r="M9792" s="142">
        <v>0</v>
      </c>
    </row>
    <row r="9793" spans="1:13" x14ac:dyDescent="0.45">
      <c r="A9793" s="142" t="s">
        <v>13049</v>
      </c>
      <c r="B9793" s="142" t="s">
        <v>14534</v>
      </c>
      <c r="C9793" s="142" t="s">
        <v>15860</v>
      </c>
      <c r="D9793" s="142" t="s">
        <v>15861</v>
      </c>
      <c r="E9793" s="142" t="s">
        <v>15849</v>
      </c>
      <c r="F9793" s="142" t="s">
        <v>220</v>
      </c>
      <c r="G9793" s="142" t="s">
        <v>9313</v>
      </c>
      <c r="H9793" s="142" t="s">
        <v>25643</v>
      </c>
      <c r="I9793" s="142">
        <v>2</v>
      </c>
      <c r="J9793" s="142">
        <v>0</v>
      </c>
      <c r="K9793" s="142">
        <v>0</v>
      </c>
      <c r="L9793" s="142">
        <v>2</v>
      </c>
      <c r="M9793" s="142">
        <v>0</v>
      </c>
    </row>
    <row r="9794" spans="1:13" x14ac:dyDescent="0.45">
      <c r="A9794" s="142" t="s">
        <v>13027</v>
      </c>
      <c r="B9794" s="142" t="s">
        <v>14562</v>
      </c>
      <c r="C9794" s="142" t="s">
        <v>15847</v>
      </c>
      <c r="D9794" s="142" t="s">
        <v>15848</v>
      </c>
      <c r="E9794" s="142" t="s">
        <v>15849</v>
      </c>
      <c r="F9794" s="142" t="s">
        <v>220</v>
      </c>
      <c r="G9794" s="142" t="s">
        <v>9313</v>
      </c>
      <c r="H9794" s="142" t="s">
        <v>25644</v>
      </c>
      <c r="I9794" s="142">
        <v>6</v>
      </c>
      <c r="J9794" s="142">
        <v>0</v>
      </c>
      <c r="K9794" s="142">
        <v>0</v>
      </c>
      <c r="L9794" s="142">
        <v>6</v>
      </c>
      <c r="M9794" s="142">
        <v>0</v>
      </c>
    </row>
    <row r="9795" spans="1:13" x14ac:dyDescent="0.45">
      <c r="A9795" s="142" t="s">
        <v>13028</v>
      </c>
      <c r="B9795" s="142" t="s">
        <v>14462</v>
      </c>
      <c r="C9795" s="142" t="s">
        <v>15847</v>
      </c>
      <c r="D9795" s="142" t="s">
        <v>15848</v>
      </c>
      <c r="E9795" s="142" t="s">
        <v>15849</v>
      </c>
      <c r="F9795" s="142" t="s">
        <v>220</v>
      </c>
      <c r="G9795" s="142" t="s">
        <v>9313</v>
      </c>
      <c r="H9795" s="142" t="s">
        <v>25645</v>
      </c>
      <c r="I9795" s="142">
        <v>6</v>
      </c>
      <c r="J9795" s="142">
        <v>0</v>
      </c>
      <c r="K9795" s="142">
        <v>0</v>
      </c>
      <c r="L9795" s="142">
        <v>0</v>
      </c>
      <c r="M9795" s="142">
        <v>6</v>
      </c>
    </row>
    <row r="9796" spans="1:13" x14ac:dyDescent="0.45">
      <c r="A9796" s="142" t="s">
        <v>13002</v>
      </c>
      <c r="B9796" s="142" t="s">
        <v>15376</v>
      </c>
      <c r="C9796" s="142" t="s">
        <v>15847</v>
      </c>
      <c r="D9796" s="142" t="s">
        <v>15848</v>
      </c>
      <c r="E9796" s="142" t="s">
        <v>15849</v>
      </c>
      <c r="F9796" s="142" t="s">
        <v>220</v>
      </c>
      <c r="G9796" s="142" t="s">
        <v>9313</v>
      </c>
      <c r="H9796" s="142" t="s">
        <v>25646</v>
      </c>
      <c r="I9796" s="142">
        <v>22</v>
      </c>
      <c r="J9796" s="142">
        <v>0</v>
      </c>
      <c r="K9796" s="142">
        <v>0</v>
      </c>
      <c r="L9796" s="142">
        <v>22</v>
      </c>
      <c r="M9796" s="142">
        <v>0</v>
      </c>
    </row>
    <row r="9797" spans="1:13" x14ac:dyDescent="0.45">
      <c r="A9797" s="142" t="s">
        <v>13003</v>
      </c>
      <c r="B9797" s="142" t="s">
        <v>15245</v>
      </c>
      <c r="C9797" s="142" t="s">
        <v>15847</v>
      </c>
      <c r="D9797" s="142" t="s">
        <v>15848</v>
      </c>
      <c r="E9797" s="142" t="s">
        <v>15849</v>
      </c>
      <c r="F9797" s="142" t="s">
        <v>220</v>
      </c>
      <c r="G9797" s="142" t="s">
        <v>9313</v>
      </c>
      <c r="H9797" s="142" t="s">
        <v>25647</v>
      </c>
      <c r="I9797" s="142">
        <v>71</v>
      </c>
      <c r="J9797" s="142">
        <v>0</v>
      </c>
      <c r="K9797" s="142">
        <v>0</v>
      </c>
      <c r="L9797" s="142">
        <v>41</v>
      </c>
      <c r="M9797" s="142">
        <v>30</v>
      </c>
    </row>
    <row r="9798" spans="1:13" x14ac:dyDescent="0.45">
      <c r="A9798" s="142" t="s">
        <v>13420</v>
      </c>
      <c r="B9798" s="142" t="s">
        <v>14576</v>
      </c>
      <c r="C9798" s="142" t="s">
        <v>15860</v>
      </c>
      <c r="D9798" s="142" t="s">
        <v>15861</v>
      </c>
      <c r="E9798" s="142" t="s">
        <v>15849</v>
      </c>
      <c r="F9798" s="142" t="s">
        <v>220</v>
      </c>
      <c r="G9798" s="142" t="s">
        <v>9313</v>
      </c>
      <c r="H9798" s="142" t="s">
        <v>25648</v>
      </c>
      <c r="I9798" s="142">
        <v>12</v>
      </c>
      <c r="J9798" s="142">
        <v>0</v>
      </c>
      <c r="K9798" s="142">
        <v>0</v>
      </c>
      <c r="L9798" s="142">
        <v>12</v>
      </c>
      <c r="M9798" s="142">
        <v>0</v>
      </c>
    </row>
    <row r="9799" spans="1:13" x14ac:dyDescent="0.45">
      <c r="A9799" s="142" t="s">
        <v>13066</v>
      </c>
      <c r="B9799" s="142" t="s">
        <v>14459</v>
      </c>
      <c r="C9799" s="142" t="s">
        <v>15847</v>
      </c>
      <c r="D9799" s="142" t="s">
        <v>15848</v>
      </c>
      <c r="E9799" s="142" t="s">
        <v>15849</v>
      </c>
      <c r="F9799" s="142" t="s">
        <v>220</v>
      </c>
      <c r="G9799" s="142" t="s">
        <v>9313</v>
      </c>
      <c r="H9799" s="142" t="s">
        <v>25649</v>
      </c>
      <c r="I9799" s="142">
        <v>51</v>
      </c>
      <c r="J9799" s="142">
        <v>0</v>
      </c>
      <c r="K9799" s="142">
        <v>0</v>
      </c>
      <c r="L9799" s="142">
        <v>51</v>
      </c>
      <c r="M9799" s="142">
        <v>0</v>
      </c>
    </row>
    <row r="9800" spans="1:13" x14ac:dyDescent="0.45">
      <c r="A9800" s="142" t="s">
        <v>13248</v>
      </c>
      <c r="B9800" s="142" t="s">
        <v>15463</v>
      </c>
      <c r="C9800" s="142" t="s">
        <v>15847</v>
      </c>
      <c r="D9800" s="142" t="s">
        <v>15848</v>
      </c>
      <c r="E9800" s="142" t="s">
        <v>15849</v>
      </c>
      <c r="F9800" s="142" t="s">
        <v>220</v>
      </c>
      <c r="G9800" s="142" t="s">
        <v>9313</v>
      </c>
      <c r="H9800" s="142" t="s">
        <v>25650</v>
      </c>
      <c r="I9800" s="142">
        <v>1</v>
      </c>
      <c r="J9800" s="142">
        <v>0</v>
      </c>
      <c r="K9800" s="142">
        <v>0</v>
      </c>
      <c r="L9800" s="142">
        <v>0</v>
      </c>
      <c r="M9800" s="142">
        <v>1</v>
      </c>
    </row>
    <row r="9801" spans="1:13" x14ac:dyDescent="0.45">
      <c r="A9801" s="142" t="s">
        <v>13284</v>
      </c>
      <c r="B9801" s="142" t="s">
        <v>15364</v>
      </c>
      <c r="C9801" s="142" t="s">
        <v>15847</v>
      </c>
      <c r="D9801" s="142" t="s">
        <v>15848</v>
      </c>
      <c r="E9801" s="142" t="s">
        <v>15849</v>
      </c>
      <c r="F9801" s="142" t="s">
        <v>220</v>
      </c>
      <c r="G9801" s="142" t="s">
        <v>9313</v>
      </c>
      <c r="H9801" s="142" t="s">
        <v>25651</v>
      </c>
      <c r="I9801" s="142">
        <v>43</v>
      </c>
      <c r="J9801" s="142">
        <v>43</v>
      </c>
      <c r="K9801" s="142">
        <v>0</v>
      </c>
      <c r="L9801" s="142">
        <v>0</v>
      </c>
      <c r="M9801" s="142">
        <v>0</v>
      </c>
    </row>
    <row r="9802" spans="1:13" x14ac:dyDescent="0.45">
      <c r="A9802" s="142" t="s">
        <v>13008</v>
      </c>
      <c r="B9802" s="142" t="s">
        <v>15411</v>
      </c>
      <c r="C9802" s="142" t="s">
        <v>15847</v>
      </c>
      <c r="D9802" s="142" t="s">
        <v>15848</v>
      </c>
      <c r="E9802" s="142" t="s">
        <v>15849</v>
      </c>
      <c r="F9802" s="142" t="s">
        <v>220</v>
      </c>
      <c r="G9802" s="142" t="s">
        <v>9313</v>
      </c>
      <c r="H9802" s="142" t="s">
        <v>25652</v>
      </c>
      <c r="I9802" s="142">
        <v>3</v>
      </c>
      <c r="J9802" s="142">
        <v>3</v>
      </c>
      <c r="K9802" s="142">
        <v>0</v>
      </c>
      <c r="L9802" s="142">
        <v>0</v>
      </c>
      <c r="M9802" s="142">
        <v>0</v>
      </c>
    </row>
    <row r="9803" spans="1:13" x14ac:dyDescent="0.45">
      <c r="A9803" s="142" t="s">
        <v>13077</v>
      </c>
      <c r="B9803" s="142" t="s">
        <v>15407</v>
      </c>
      <c r="C9803" s="142" t="s">
        <v>15847</v>
      </c>
      <c r="D9803" s="142" t="s">
        <v>15848</v>
      </c>
      <c r="E9803" s="142" t="s">
        <v>15849</v>
      </c>
      <c r="F9803" s="142" t="s">
        <v>220</v>
      </c>
      <c r="G9803" s="142" t="s">
        <v>9313</v>
      </c>
      <c r="H9803" s="142" t="s">
        <v>25653</v>
      </c>
      <c r="I9803" s="142">
        <v>41</v>
      </c>
      <c r="J9803" s="142">
        <v>41</v>
      </c>
      <c r="K9803" s="142">
        <v>0</v>
      </c>
      <c r="L9803" s="142">
        <v>0</v>
      </c>
      <c r="M9803" s="142">
        <v>0</v>
      </c>
    </row>
    <row r="9804" spans="1:13" x14ac:dyDescent="0.45">
      <c r="A9804" s="142" t="s">
        <v>13965</v>
      </c>
      <c r="B9804" s="142" t="s">
        <v>14551</v>
      </c>
      <c r="C9804" s="142" t="s">
        <v>15860</v>
      </c>
      <c r="D9804" s="142" t="s">
        <v>15861</v>
      </c>
      <c r="E9804" s="142" t="s">
        <v>15849</v>
      </c>
      <c r="F9804" s="142" t="s">
        <v>220</v>
      </c>
      <c r="G9804" s="142" t="s">
        <v>9313</v>
      </c>
      <c r="H9804" s="142" t="s">
        <v>25654</v>
      </c>
      <c r="I9804" s="142">
        <v>1</v>
      </c>
      <c r="J9804" s="142">
        <v>1</v>
      </c>
      <c r="K9804" s="142">
        <v>0</v>
      </c>
      <c r="L9804" s="142">
        <v>0</v>
      </c>
      <c r="M9804" s="142">
        <v>0</v>
      </c>
    </row>
    <row r="9805" spans="1:13" x14ac:dyDescent="0.45">
      <c r="A9805" s="142" t="s">
        <v>13035</v>
      </c>
      <c r="B9805" s="142" t="s">
        <v>14648</v>
      </c>
      <c r="C9805" s="142" t="s">
        <v>15847</v>
      </c>
      <c r="D9805" s="142" t="s">
        <v>15848</v>
      </c>
      <c r="E9805" s="142" t="s">
        <v>15849</v>
      </c>
      <c r="F9805" s="142" t="s">
        <v>220</v>
      </c>
      <c r="G9805" s="142" t="s">
        <v>9313</v>
      </c>
      <c r="H9805" s="142" t="s">
        <v>25655</v>
      </c>
      <c r="I9805" s="142">
        <v>5584</v>
      </c>
      <c r="J9805" s="142">
        <v>4538</v>
      </c>
      <c r="K9805" s="142">
        <v>0</v>
      </c>
      <c r="L9805" s="142">
        <v>808</v>
      </c>
      <c r="M9805" s="142">
        <v>238</v>
      </c>
    </row>
    <row r="9806" spans="1:13" x14ac:dyDescent="0.45">
      <c r="A9806" s="142" t="s">
        <v>13036</v>
      </c>
      <c r="B9806" s="142" t="s">
        <v>15567</v>
      </c>
      <c r="C9806" s="142" t="s">
        <v>15847</v>
      </c>
      <c r="D9806" s="142" t="s">
        <v>15848</v>
      </c>
      <c r="E9806" s="142" t="s">
        <v>15849</v>
      </c>
      <c r="F9806" s="142" t="s">
        <v>220</v>
      </c>
      <c r="G9806" s="142" t="s">
        <v>9313</v>
      </c>
      <c r="H9806" s="142" t="s">
        <v>25656</v>
      </c>
      <c r="I9806" s="142">
        <v>3</v>
      </c>
      <c r="J9806" s="142">
        <v>0</v>
      </c>
      <c r="K9806" s="142">
        <v>0</v>
      </c>
      <c r="L9806" s="142">
        <v>3</v>
      </c>
      <c r="M9806" s="142">
        <v>0</v>
      </c>
    </row>
    <row r="9807" spans="1:13" x14ac:dyDescent="0.45">
      <c r="A9807" s="142" t="s">
        <v>13394</v>
      </c>
      <c r="B9807" s="142" t="s">
        <v>15569</v>
      </c>
      <c r="C9807" s="142" t="s">
        <v>15847</v>
      </c>
      <c r="D9807" s="142" t="s">
        <v>15848</v>
      </c>
      <c r="E9807" s="142" t="s">
        <v>15849</v>
      </c>
      <c r="F9807" s="142" t="s">
        <v>220</v>
      </c>
      <c r="G9807" s="142" t="s">
        <v>9313</v>
      </c>
      <c r="H9807" s="142" t="s">
        <v>25657</v>
      </c>
      <c r="I9807" s="142">
        <v>119</v>
      </c>
      <c r="J9807" s="142">
        <v>78</v>
      </c>
      <c r="K9807" s="142">
        <v>41</v>
      </c>
      <c r="L9807" s="142">
        <v>0</v>
      </c>
      <c r="M9807" s="142">
        <v>0</v>
      </c>
    </row>
    <row r="9808" spans="1:13" x14ac:dyDescent="0.45">
      <c r="A9808" s="142" t="s">
        <v>13091</v>
      </c>
      <c r="B9808" s="142" t="s">
        <v>14473</v>
      </c>
      <c r="C9808" s="142" t="s">
        <v>15847</v>
      </c>
      <c r="D9808" s="142" t="s">
        <v>15848</v>
      </c>
      <c r="E9808" s="142" t="s">
        <v>15849</v>
      </c>
      <c r="F9808" s="142" t="s">
        <v>220</v>
      </c>
      <c r="G9808" s="142" t="s">
        <v>9313</v>
      </c>
      <c r="H9808" s="142" t="s">
        <v>25658</v>
      </c>
      <c r="I9808" s="142">
        <v>132</v>
      </c>
      <c r="J9808" s="142">
        <v>34</v>
      </c>
      <c r="K9808" s="142">
        <v>0</v>
      </c>
      <c r="L9808" s="142">
        <v>95</v>
      </c>
      <c r="M9808" s="142">
        <v>3</v>
      </c>
    </row>
    <row r="9809" spans="1:13" x14ac:dyDescent="0.45">
      <c r="A9809" s="142" t="s">
        <v>13009</v>
      </c>
      <c r="B9809" s="142" t="s">
        <v>15256</v>
      </c>
      <c r="C9809" s="142" t="s">
        <v>15847</v>
      </c>
      <c r="D9809" s="142" t="s">
        <v>15848</v>
      </c>
      <c r="E9809" s="142" t="s">
        <v>15849</v>
      </c>
      <c r="F9809" s="142" t="s">
        <v>220</v>
      </c>
      <c r="G9809" s="142" t="s">
        <v>9313</v>
      </c>
      <c r="H9809" s="142" t="s">
        <v>25659</v>
      </c>
      <c r="I9809" s="142">
        <v>334</v>
      </c>
      <c r="J9809" s="142">
        <v>163</v>
      </c>
      <c r="K9809" s="142">
        <v>0</v>
      </c>
      <c r="L9809" s="142">
        <v>135</v>
      </c>
      <c r="M9809" s="142">
        <v>36</v>
      </c>
    </row>
    <row r="9810" spans="1:13" x14ac:dyDescent="0.45">
      <c r="A9810" s="142" t="s">
        <v>13012</v>
      </c>
      <c r="B9810" s="142" t="s">
        <v>15337</v>
      </c>
      <c r="C9810" s="142" t="s">
        <v>15847</v>
      </c>
      <c r="D9810" s="142" t="s">
        <v>15848</v>
      </c>
      <c r="E9810" s="142" t="s">
        <v>15849</v>
      </c>
      <c r="F9810" s="142" t="s">
        <v>220</v>
      </c>
      <c r="G9810" s="142" t="s">
        <v>9313</v>
      </c>
      <c r="H9810" s="142" t="s">
        <v>25660</v>
      </c>
      <c r="I9810" s="142">
        <v>182</v>
      </c>
      <c r="J9810" s="142">
        <v>119</v>
      </c>
      <c r="K9810" s="142">
        <v>0</v>
      </c>
      <c r="L9810" s="142">
        <v>0</v>
      </c>
      <c r="M9810" s="142">
        <v>63</v>
      </c>
    </row>
    <row r="9811" spans="1:13" x14ac:dyDescent="0.45">
      <c r="A9811" s="142" t="s">
        <v>13467</v>
      </c>
      <c r="B9811" s="142" t="s">
        <v>14585</v>
      </c>
      <c r="C9811" s="142" t="s">
        <v>15860</v>
      </c>
      <c r="D9811" s="142" t="s">
        <v>15861</v>
      </c>
      <c r="E9811" s="142" t="s">
        <v>15849</v>
      </c>
      <c r="F9811" s="142" t="s">
        <v>220</v>
      </c>
      <c r="G9811" s="142" t="s">
        <v>9313</v>
      </c>
      <c r="H9811" s="142" t="s">
        <v>25661</v>
      </c>
      <c r="I9811" s="142">
        <v>9</v>
      </c>
      <c r="J9811" s="142">
        <v>0</v>
      </c>
      <c r="K9811" s="142">
        <v>0</v>
      </c>
      <c r="L9811" s="142">
        <v>9</v>
      </c>
      <c r="M9811" s="142">
        <v>0</v>
      </c>
    </row>
    <row r="9812" spans="1:13" x14ac:dyDescent="0.45">
      <c r="A9812" s="142" t="s">
        <v>13222</v>
      </c>
      <c r="B9812" s="142" t="s">
        <v>14449</v>
      </c>
      <c r="C9812" s="142" t="s">
        <v>15860</v>
      </c>
      <c r="D9812" s="142" t="s">
        <v>15861</v>
      </c>
      <c r="E9812" s="142" t="s">
        <v>15849</v>
      </c>
      <c r="F9812" s="142" t="s">
        <v>220</v>
      </c>
      <c r="G9812" s="142" t="s">
        <v>9313</v>
      </c>
      <c r="H9812" s="142" t="s">
        <v>25662</v>
      </c>
      <c r="I9812" s="142">
        <v>12</v>
      </c>
      <c r="J9812" s="142">
        <v>0</v>
      </c>
      <c r="K9812" s="142">
        <v>0</v>
      </c>
      <c r="L9812" s="142">
        <v>12</v>
      </c>
      <c r="M9812" s="142">
        <v>0</v>
      </c>
    </row>
    <row r="9813" spans="1:13" x14ac:dyDescent="0.45">
      <c r="A9813" s="142" t="s">
        <v>13267</v>
      </c>
      <c r="B9813" s="142" t="s">
        <v>15451</v>
      </c>
      <c r="C9813" s="142" t="s">
        <v>15847</v>
      </c>
      <c r="D9813" s="142" t="s">
        <v>15848</v>
      </c>
      <c r="E9813" s="142" t="s">
        <v>15849</v>
      </c>
      <c r="F9813" s="142" t="s">
        <v>220</v>
      </c>
      <c r="G9813" s="142" t="s">
        <v>9313</v>
      </c>
      <c r="H9813" s="142" t="s">
        <v>25663</v>
      </c>
      <c r="I9813" s="142">
        <v>91</v>
      </c>
      <c r="J9813" s="142">
        <v>62</v>
      </c>
      <c r="K9813" s="142">
        <v>0</v>
      </c>
      <c r="L9813" s="142">
        <v>0</v>
      </c>
      <c r="M9813" s="142">
        <v>29</v>
      </c>
    </row>
    <row r="9814" spans="1:13" x14ac:dyDescent="0.45">
      <c r="A9814" s="142" t="s">
        <v>13016</v>
      </c>
      <c r="B9814" s="142" t="s">
        <v>14535</v>
      </c>
      <c r="C9814" s="142" t="s">
        <v>15860</v>
      </c>
      <c r="D9814" s="142" t="s">
        <v>15861</v>
      </c>
      <c r="E9814" s="142" t="s">
        <v>15849</v>
      </c>
      <c r="F9814" s="142" t="s">
        <v>220</v>
      </c>
      <c r="G9814" s="142" t="s">
        <v>9313</v>
      </c>
      <c r="H9814" s="142" t="s">
        <v>25664</v>
      </c>
      <c r="I9814" s="142">
        <v>18</v>
      </c>
      <c r="J9814" s="142">
        <v>0</v>
      </c>
      <c r="K9814" s="142">
        <v>0</v>
      </c>
      <c r="L9814" s="142">
        <v>18</v>
      </c>
      <c r="M9814" s="142">
        <v>0</v>
      </c>
    </row>
    <row r="9815" spans="1:13" x14ac:dyDescent="0.45">
      <c r="A9815" s="142" t="s">
        <v>14399</v>
      </c>
      <c r="B9815" s="142" t="s">
        <v>14600</v>
      </c>
      <c r="C9815" s="142" t="s">
        <v>15860</v>
      </c>
      <c r="D9815" s="142" t="s">
        <v>15861</v>
      </c>
      <c r="E9815" s="142" t="s">
        <v>15849</v>
      </c>
      <c r="F9815" s="142" t="s">
        <v>220</v>
      </c>
      <c r="G9815" s="142" t="s">
        <v>9313</v>
      </c>
      <c r="H9815" s="142" t="s">
        <v>25665</v>
      </c>
      <c r="I9815" s="142">
        <v>100</v>
      </c>
      <c r="J9815" s="142">
        <v>68</v>
      </c>
      <c r="K9815" s="142">
        <v>0</v>
      </c>
      <c r="L9815" s="142">
        <v>32</v>
      </c>
      <c r="M9815" s="142">
        <v>0</v>
      </c>
    </row>
    <row r="9816" spans="1:13" x14ac:dyDescent="0.45">
      <c r="A9816" s="142" t="s">
        <v>14125</v>
      </c>
      <c r="B9816" s="142" t="s">
        <v>15548</v>
      </c>
      <c r="C9816" s="142" t="s">
        <v>15860</v>
      </c>
      <c r="D9816" s="142" t="s">
        <v>15861</v>
      </c>
      <c r="E9816" s="142" t="s">
        <v>15849</v>
      </c>
      <c r="F9816" s="142" t="s">
        <v>220</v>
      </c>
      <c r="G9816" s="142" t="s">
        <v>9313</v>
      </c>
      <c r="H9816" s="142" t="s">
        <v>25666</v>
      </c>
      <c r="I9816" s="142">
        <v>43</v>
      </c>
      <c r="J9816" s="142">
        <v>9</v>
      </c>
      <c r="K9816" s="142">
        <v>5</v>
      </c>
      <c r="L9816" s="142">
        <v>29</v>
      </c>
      <c r="M9816" s="142">
        <v>0</v>
      </c>
    </row>
    <row r="9817" spans="1:13" x14ac:dyDescent="0.45">
      <c r="A9817" s="142" t="s">
        <v>13353</v>
      </c>
      <c r="B9817" s="142" t="s">
        <v>15145</v>
      </c>
      <c r="C9817" s="142" t="s">
        <v>15860</v>
      </c>
      <c r="D9817" s="142" t="s">
        <v>15861</v>
      </c>
      <c r="E9817" s="142" t="s">
        <v>15849</v>
      </c>
      <c r="F9817" s="142" t="s">
        <v>221</v>
      </c>
      <c r="G9817" s="142" t="s">
        <v>9154</v>
      </c>
      <c r="H9817" s="142" t="s">
        <v>25667</v>
      </c>
      <c r="I9817" s="142">
        <v>9</v>
      </c>
      <c r="J9817" s="142">
        <v>0</v>
      </c>
      <c r="K9817" s="142">
        <v>0</v>
      </c>
      <c r="L9817" s="142">
        <v>9</v>
      </c>
      <c r="M9817" s="142">
        <v>0</v>
      </c>
    </row>
    <row r="9818" spans="1:13" x14ac:dyDescent="0.45">
      <c r="A9818" s="142" t="s">
        <v>13046</v>
      </c>
      <c r="B9818" s="142" t="s">
        <v>15537</v>
      </c>
      <c r="C9818" s="142" t="s">
        <v>15860</v>
      </c>
      <c r="D9818" s="142" t="s">
        <v>15861</v>
      </c>
      <c r="E9818" s="142" t="s">
        <v>15849</v>
      </c>
      <c r="F9818" s="142" t="s">
        <v>221</v>
      </c>
      <c r="G9818" s="142" t="s">
        <v>9154</v>
      </c>
      <c r="H9818" s="142" t="s">
        <v>25668</v>
      </c>
      <c r="I9818" s="142">
        <v>17</v>
      </c>
      <c r="J9818" s="142">
        <v>0</v>
      </c>
      <c r="K9818" s="142">
        <v>0</v>
      </c>
      <c r="L9818" s="142">
        <v>17</v>
      </c>
      <c r="M9818" s="142">
        <v>0</v>
      </c>
    </row>
    <row r="9819" spans="1:13" x14ac:dyDescent="0.45">
      <c r="A9819" s="142" t="s">
        <v>13023</v>
      </c>
      <c r="B9819" s="142" t="s">
        <v>15571</v>
      </c>
      <c r="C9819" s="142" t="s">
        <v>15847</v>
      </c>
      <c r="D9819" s="142" t="s">
        <v>15848</v>
      </c>
      <c r="E9819" s="142" t="s">
        <v>15849</v>
      </c>
      <c r="F9819" s="142" t="s">
        <v>221</v>
      </c>
      <c r="G9819" s="142" t="s">
        <v>9154</v>
      </c>
      <c r="H9819" s="142" t="s">
        <v>25669</v>
      </c>
      <c r="I9819" s="142">
        <v>65</v>
      </c>
      <c r="J9819" s="142">
        <v>1</v>
      </c>
      <c r="K9819" s="142">
        <v>0</v>
      </c>
      <c r="L9819" s="142">
        <v>49</v>
      </c>
      <c r="M9819" s="142">
        <v>15</v>
      </c>
    </row>
    <row r="9820" spans="1:13" x14ac:dyDescent="0.45">
      <c r="A9820" s="142" t="s">
        <v>13000</v>
      </c>
      <c r="B9820" s="142" t="s">
        <v>14610</v>
      </c>
      <c r="C9820" s="142" t="s">
        <v>15847</v>
      </c>
      <c r="D9820" s="142" t="s">
        <v>15848</v>
      </c>
      <c r="E9820" s="142" t="s">
        <v>15849</v>
      </c>
      <c r="F9820" s="142" t="s">
        <v>221</v>
      </c>
      <c r="G9820" s="142" t="s">
        <v>9154</v>
      </c>
      <c r="H9820" s="142" t="s">
        <v>25670</v>
      </c>
      <c r="I9820" s="142">
        <v>204</v>
      </c>
      <c r="J9820" s="142">
        <v>159</v>
      </c>
      <c r="K9820" s="142">
        <v>0</v>
      </c>
      <c r="L9820" s="142">
        <v>15</v>
      </c>
      <c r="M9820" s="142">
        <v>30</v>
      </c>
    </row>
    <row r="9821" spans="1:13" x14ac:dyDescent="0.45">
      <c r="A9821" s="142" t="s">
        <v>13049</v>
      </c>
      <c r="B9821" s="142" t="s">
        <v>14534</v>
      </c>
      <c r="C9821" s="142" t="s">
        <v>15860</v>
      </c>
      <c r="D9821" s="142" t="s">
        <v>15861</v>
      </c>
      <c r="E9821" s="142" t="s">
        <v>15849</v>
      </c>
      <c r="F9821" s="142" t="s">
        <v>221</v>
      </c>
      <c r="G9821" s="142" t="s">
        <v>9154</v>
      </c>
      <c r="H9821" s="142" t="s">
        <v>25671</v>
      </c>
      <c r="I9821" s="142">
        <v>8</v>
      </c>
      <c r="J9821" s="142">
        <v>0</v>
      </c>
      <c r="K9821" s="142">
        <v>0</v>
      </c>
      <c r="L9821" s="142">
        <v>8</v>
      </c>
      <c r="M9821" s="142">
        <v>0</v>
      </c>
    </row>
    <row r="9822" spans="1:13" x14ac:dyDescent="0.45">
      <c r="A9822" s="142" t="s">
        <v>13027</v>
      </c>
      <c r="B9822" s="142" t="s">
        <v>14562</v>
      </c>
      <c r="C9822" s="142" t="s">
        <v>15847</v>
      </c>
      <c r="D9822" s="142" t="s">
        <v>15848</v>
      </c>
      <c r="E9822" s="142" t="s">
        <v>15849</v>
      </c>
      <c r="F9822" s="142" t="s">
        <v>221</v>
      </c>
      <c r="G9822" s="142" t="s">
        <v>9154</v>
      </c>
      <c r="H9822" s="142" t="s">
        <v>25672</v>
      </c>
      <c r="I9822" s="142">
        <v>13</v>
      </c>
      <c r="J9822" s="142">
        <v>0</v>
      </c>
      <c r="K9822" s="142">
        <v>0</v>
      </c>
      <c r="L9822" s="142">
        <v>13</v>
      </c>
      <c r="M9822" s="142">
        <v>0</v>
      </c>
    </row>
    <row r="9823" spans="1:13" x14ac:dyDescent="0.45">
      <c r="A9823" s="142" t="s">
        <v>14401</v>
      </c>
      <c r="B9823" s="142" t="s">
        <v>15573</v>
      </c>
      <c r="C9823" s="142" t="s">
        <v>15860</v>
      </c>
      <c r="D9823" s="142" t="s">
        <v>15861</v>
      </c>
      <c r="E9823" s="142" t="s">
        <v>15849</v>
      </c>
      <c r="F9823" s="142" t="s">
        <v>221</v>
      </c>
      <c r="G9823" s="142" t="s">
        <v>9154</v>
      </c>
      <c r="H9823" s="142" t="s">
        <v>25673</v>
      </c>
      <c r="I9823" s="142">
        <v>5</v>
      </c>
      <c r="J9823" s="142">
        <v>0</v>
      </c>
      <c r="K9823" s="142">
        <v>0</v>
      </c>
      <c r="L9823" s="142">
        <v>5</v>
      </c>
      <c r="M9823" s="142">
        <v>0</v>
      </c>
    </row>
    <row r="9824" spans="1:13" x14ac:dyDescent="0.45">
      <c r="A9824" s="142" t="s">
        <v>13002</v>
      </c>
      <c r="B9824" s="142" t="s">
        <v>15376</v>
      </c>
      <c r="C9824" s="142" t="s">
        <v>15847</v>
      </c>
      <c r="D9824" s="142" t="s">
        <v>15848</v>
      </c>
      <c r="E9824" s="142" t="s">
        <v>15849</v>
      </c>
      <c r="F9824" s="142" t="s">
        <v>221</v>
      </c>
      <c r="G9824" s="142" t="s">
        <v>9154</v>
      </c>
      <c r="H9824" s="142" t="s">
        <v>25674</v>
      </c>
      <c r="I9824" s="142">
        <v>55</v>
      </c>
      <c r="J9824" s="142">
        <v>35</v>
      </c>
      <c r="K9824" s="142">
        <v>0</v>
      </c>
      <c r="L9824" s="142">
        <v>20</v>
      </c>
      <c r="M9824" s="142">
        <v>0</v>
      </c>
    </row>
    <row r="9825" spans="1:13" x14ac:dyDescent="0.45">
      <c r="A9825" s="142" t="s">
        <v>13003</v>
      </c>
      <c r="B9825" s="142" t="s">
        <v>15245</v>
      </c>
      <c r="C9825" s="142" t="s">
        <v>15847</v>
      </c>
      <c r="D9825" s="142" t="s">
        <v>15848</v>
      </c>
      <c r="E9825" s="142" t="s">
        <v>15849</v>
      </c>
      <c r="F9825" s="142" t="s">
        <v>221</v>
      </c>
      <c r="G9825" s="142" t="s">
        <v>9154</v>
      </c>
      <c r="H9825" s="142" t="s">
        <v>25675</v>
      </c>
      <c r="I9825" s="142">
        <v>44</v>
      </c>
      <c r="J9825" s="142">
        <v>0</v>
      </c>
      <c r="K9825" s="142">
        <v>0</v>
      </c>
      <c r="L9825" s="142">
        <v>44</v>
      </c>
      <c r="M9825" s="142">
        <v>0</v>
      </c>
    </row>
    <row r="9826" spans="1:13" x14ac:dyDescent="0.45">
      <c r="A9826" s="142" t="s">
        <v>13004</v>
      </c>
      <c r="B9826" s="142" t="s">
        <v>15492</v>
      </c>
      <c r="C9826" s="142" t="s">
        <v>15847</v>
      </c>
      <c r="D9826" s="142" t="s">
        <v>15848</v>
      </c>
      <c r="E9826" s="142" t="s">
        <v>15849</v>
      </c>
      <c r="F9826" s="142" t="s">
        <v>221</v>
      </c>
      <c r="G9826" s="142" t="s">
        <v>9154</v>
      </c>
      <c r="H9826" s="142" t="s">
        <v>25676</v>
      </c>
      <c r="I9826" s="142">
        <v>80</v>
      </c>
      <c r="J9826" s="142">
        <v>65</v>
      </c>
      <c r="K9826" s="142">
        <v>0</v>
      </c>
      <c r="L9826" s="142">
        <v>4</v>
      </c>
      <c r="M9826" s="142">
        <v>11</v>
      </c>
    </row>
    <row r="9827" spans="1:13" x14ac:dyDescent="0.45">
      <c r="A9827" s="142" t="s">
        <v>13066</v>
      </c>
      <c r="B9827" s="142" t="s">
        <v>14459</v>
      </c>
      <c r="C9827" s="142" t="s">
        <v>15847</v>
      </c>
      <c r="D9827" s="142" t="s">
        <v>15848</v>
      </c>
      <c r="E9827" s="142" t="s">
        <v>15849</v>
      </c>
      <c r="F9827" s="142" t="s">
        <v>221</v>
      </c>
      <c r="G9827" s="142" t="s">
        <v>9154</v>
      </c>
      <c r="H9827" s="142" t="s">
        <v>25677</v>
      </c>
      <c r="I9827" s="142">
        <v>20</v>
      </c>
      <c r="J9827" s="142">
        <v>0</v>
      </c>
      <c r="K9827" s="142">
        <v>0</v>
      </c>
      <c r="L9827" s="142">
        <v>20</v>
      </c>
      <c r="M9827" s="142">
        <v>0</v>
      </c>
    </row>
    <row r="9828" spans="1:13" x14ac:dyDescent="0.45">
      <c r="A9828" s="142" t="s">
        <v>13005</v>
      </c>
      <c r="B9828" s="142" t="s">
        <v>15475</v>
      </c>
      <c r="C9828" s="142" t="s">
        <v>15847</v>
      </c>
      <c r="D9828" s="142" t="s">
        <v>15848</v>
      </c>
      <c r="E9828" s="142" t="s">
        <v>15849</v>
      </c>
      <c r="F9828" s="142" t="s">
        <v>221</v>
      </c>
      <c r="G9828" s="142" t="s">
        <v>9154</v>
      </c>
      <c r="H9828" s="142" t="s">
        <v>25678</v>
      </c>
      <c r="I9828" s="142">
        <v>1</v>
      </c>
      <c r="J9828" s="142">
        <v>0</v>
      </c>
      <c r="K9828" s="142">
        <v>0</v>
      </c>
      <c r="L9828" s="142">
        <v>0</v>
      </c>
      <c r="M9828" s="142">
        <v>1</v>
      </c>
    </row>
    <row r="9829" spans="1:13" x14ac:dyDescent="0.45">
      <c r="A9829" s="142" t="s">
        <v>13007</v>
      </c>
      <c r="B9829" s="142" t="s">
        <v>15262</v>
      </c>
      <c r="C9829" s="142" t="s">
        <v>15847</v>
      </c>
      <c r="D9829" s="142" t="s">
        <v>15848</v>
      </c>
      <c r="E9829" s="142" t="s">
        <v>15849</v>
      </c>
      <c r="F9829" s="142" t="s">
        <v>221</v>
      </c>
      <c r="G9829" s="142" t="s">
        <v>9154</v>
      </c>
      <c r="H9829" s="142" t="s">
        <v>25679</v>
      </c>
      <c r="I9829" s="142">
        <v>3</v>
      </c>
      <c r="J9829" s="142">
        <v>3</v>
      </c>
      <c r="K9829" s="142">
        <v>0</v>
      </c>
      <c r="L9829" s="142">
        <v>0</v>
      </c>
      <c r="M9829" s="142">
        <v>0</v>
      </c>
    </row>
    <row r="9830" spans="1:13" x14ac:dyDescent="0.45">
      <c r="A9830" s="142" t="s">
        <v>14402</v>
      </c>
      <c r="B9830" s="142" t="s">
        <v>14769</v>
      </c>
      <c r="C9830" s="142" t="s">
        <v>15860</v>
      </c>
      <c r="D9830" s="142" t="s">
        <v>15861</v>
      </c>
      <c r="E9830" s="142" t="s">
        <v>15849</v>
      </c>
      <c r="F9830" s="142" t="s">
        <v>221</v>
      </c>
      <c r="G9830" s="142" t="s">
        <v>9154</v>
      </c>
      <c r="H9830" s="142" t="s">
        <v>25680</v>
      </c>
      <c r="I9830" s="142">
        <v>74</v>
      </c>
      <c r="J9830" s="142">
        <v>10</v>
      </c>
      <c r="K9830" s="142">
        <v>0</v>
      </c>
      <c r="L9830" s="142">
        <v>64</v>
      </c>
      <c r="M9830" s="142">
        <v>0</v>
      </c>
    </row>
    <row r="9831" spans="1:13" x14ac:dyDescent="0.45">
      <c r="A9831" s="142" t="s">
        <v>13033</v>
      </c>
      <c r="B9831" s="142" t="s">
        <v>15276</v>
      </c>
      <c r="C9831" s="142" t="s">
        <v>15847</v>
      </c>
      <c r="D9831" s="142" t="s">
        <v>15848</v>
      </c>
      <c r="E9831" s="142" t="s">
        <v>15849</v>
      </c>
      <c r="F9831" s="142" t="s">
        <v>221</v>
      </c>
      <c r="G9831" s="142" t="s">
        <v>9154</v>
      </c>
      <c r="H9831" s="142" t="s">
        <v>25681</v>
      </c>
      <c r="I9831" s="142">
        <v>134</v>
      </c>
      <c r="J9831" s="142">
        <v>134</v>
      </c>
      <c r="K9831" s="142">
        <v>0</v>
      </c>
      <c r="L9831" s="142">
        <v>0</v>
      </c>
      <c r="M9831" s="142">
        <v>0</v>
      </c>
    </row>
    <row r="9832" spans="1:13" x14ac:dyDescent="0.45">
      <c r="A9832" s="142" t="s">
        <v>13009</v>
      </c>
      <c r="B9832" s="142" t="s">
        <v>15256</v>
      </c>
      <c r="C9832" s="142" t="s">
        <v>15847</v>
      </c>
      <c r="D9832" s="142" t="s">
        <v>15848</v>
      </c>
      <c r="E9832" s="142" t="s">
        <v>15849</v>
      </c>
      <c r="F9832" s="142" t="s">
        <v>221</v>
      </c>
      <c r="G9832" s="142" t="s">
        <v>9154</v>
      </c>
      <c r="H9832" s="142" t="s">
        <v>25682</v>
      </c>
      <c r="I9832" s="142">
        <v>163</v>
      </c>
      <c r="J9832" s="142">
        <v>146</v>
      </c>
      <c r="K9832" s="142">
        <v>0</v>
      </c>
      <c r="L9832" s="142">
        <v>17</v>
      </c>
      <c r="M9832" s="142">
        <v>0</v>
      </c>
    </row>
    <row r="9833" spans="1:13" x14ac:dyDescent="0.45">
      <c r="A9833" s="142" t="s">
        <v>13056</v>
      </c>
      <c r="B9833" s="142" t="s">
        <v>15435</v>
      </c>
      <c r="C9833" s="142" t="s">
        <v>15847</v>
      </c>
      <c r="D9833" s="142" t="s">
        <v>15848</v>
      </c>
      <c r="E9833" s="142" t="s">
        <v>15849</v>
      </c>
      <c r="F9833" s="142" t="s">
        <v>221</v>
      </c>
      <c r="G9833" s="142" t="s">
        <v>9154</v>
      </c>
      <c r="H9833" s="142" t="s">
        <v>25683</v>
      </c>
      <c r="I9833" s="142">
        <v>180</v>
      </c>
      <c r="J9833" s="142">
        <v>52</v>
      </c>
      <c r="K9833" s="142">
        <v>0</v>
      </c>
      <c r="L9833" s="142">
        <v>61</v>
      </c>
      <c r="M9833" s="142">
        <v>67</v>
      </c>
    </row>
    <row r="9834" spans="1:13" x14ac:dyDescent="0.45">
      <c r="A9834" s="142" t="s">
        <v>13010</v>
      </c>
      <c r="B9834" s="142" t="s">
        <v>15349</v>
      </c>
      <c r="C9834" s="142" t="s">
        <v>15860</v>
      </c>
      <c r="D9834" s="142" t="s">
        <v>15861</v>
      </c>
      <c r="E9834" s="142" t="s">
        <v>15849</v>
      </c>
      <c r="F9834" s="142" t="s">
        <v>221</v>
      </c>
      <c r="G9834" s="142" t="s">
        <v>9154</v>
      </c>
      <c r="H9834" s="142" t="s">
        <v>25684</v>
      </c>
      <c r="I9834" s="142">
        <v>35</v>
      </c>
      <c r="J9834" s="142">
        <v>0</v>
      </c>
      <c r="K9834" s="142">
        <v>0</v>
      </c>
      <c r="L9834" s="142">
        <v>35</v>
      </c>
      <c r="M9834" s="142">
        <v>0</v>
      </c>
    </row>
    <row r="9835" spans="1:13" x14ac:dyDescent="0.45">
      <c r="A9835" s="142" t="s">
        <v>13011</v>
      </c>
      <c r="B9835" s="142" t="s">
        <v>14695</v>
      </c>
      <c r="C9835" s="142" t="s">
        <v>15847</v>
      </c>
      <c r="D9835" s="142" t="s">
        <v>15848</v>
      </c>
      <c r="E9835" s="142" t="s">
        <v>15849</v>
      </c>
      <c r="F9835" s="142" t="s">
        <v>221</v>
      </c>
      <c r="G9835" s="142" t="s">
        <v>9154</v>
      </c>
      <c r="H9835" s="142" t="s">
        <v>25685</v>
      </c>
      <c r="I9835" s="142">
        <v>1049</v>
      </c>
      <c r="J9835" s="142">
        <v>829</v>
      </c>
      <c r="K9835" s="142">
        <v>0</v>
      </c>
      <c r="L9835" s="142">
        <v>66</v>
      </c>
      <c r="M9835" s="142">
        <v>154</v>
      </c>
    </row>
    <row r="9836" spans="1:13" x14ac:dyDescent="0.45">
      <c r="A9836" s="142" t="s">
        <v>13012</v>
      </c>
      <c r="B9836" s="142" t="s">
        <v>15337</v>
      </c>
      <c r="C9836" s="142" t="s">
        <v>15847</v>
      </c>
      <c r="D9836" s="142" t="s">
        <v>15848</v>
      </c>
      <c r="E9836" s="142" t="s">
        <v>15849</v>
      </c>
      <c r="F9836" s="142" t="s">
        <v>221</v>
      </c>
      <c r="G9836" s="142" t="s">
        <v>9154</v>
      </c>
      <c r="H9836" s="142" t="s">
        <v>25686</v>
      </c>
      <c r="I9836" s="142">
        <v>114</v>
      </c>
      <c r="J9836" s="142">
        <v>105</v>
      </c>
      <c r="K9836" s="142">
        <v>0</v>
      </c>
      <c r="L9836" s="142">
        <v>0</v>
      </c>
      <c r="M9836" s="142">
        <v>9</v>
      </c>
    </row>
    <row r="9837" spans="1:13" x14ac:dyDescent="0.45">
      <c r="A9837" s="142" t="s">
        <v>13013</v>
      </c>
      <c r="B9837" s="142" t="s">
        <v>15347</v>
      </c>
      <c r="C9837" s="142" t="s">
        <v>15860</v>
      </c>
      <c r="D9837" s="142" t="s">
        <v>15861</v>
      </c>
      <c r="E9837" s="142" t="s">
        <v>15849</v>
      </c>
      <c r="F9837" s="142" t="s">
        <v>221</v>
      </c>
      <c r="G9837" s="142" t="s">
        <v>9154</v>
      </c>
      <c r="H9837" s="142" t="s">
        <v>25687</v>
      </c>
      <c r="I9837" s="142">
        <v>6</v>
      </c>
      <c r="J9837" s="142">
        <v>6</v>
      </c>
      <c r="K9837" s="142">
        <v>0</v>
      </c>
      <c r="L9837" s="142">
        <v>0</v>
      </c>
      <c r="M9837" s="142">
        <v>0</v>
      </c>
    </row>
    <row r="9838" spans="1:13" x14ac:dyDescent="0.45">
      <c r="A9838" s="142" t="s">
        <v>13014</v>
      </c>
      <c r="B9838" s="142" t="s">
        <v>14505</v>
      </c>
      <c r="C9838" s="142" t="s">
        <v>15847</v>
      </c>
      <c r="D9838" s="142" t="s">
        <v>15848</v>
      </c>
      <c r="E9838" s="142" t="s">
        <v>15849</v>
      </c>
      <c r="F9838" s="142" t="s">
        <v>221</v>
      </c>
      <c r="G9838" s="142" t="s">
        <v>9154</v>
      </c>
      <c r="H9838" s="142" t="s">
        <v>25688</v>
      </c>
      <c r="I9838" s="142">
        <v>14</v>
      </c>
      <c r="J9838" s="142">
        <v>14</v>
      </c>
      <c r="K9838" s="142">
        <v>0</v>
      </c>
      <c r="L9838" s="142">
        <v>0</v>
      </c>
      <c r="M9838" s="142">
        <v>0</v>
      </c>
    </row>
    <row r="9839" spans="1:13" x14ac:dyDescent="0.45">
      <c r="A9839" s="142" t="s">
        <v>13017</v>
      </c>
      <c r="B9839" s="142" t="s">
        <v>15580</v>
      </c>
      <c r="C9839" s="142" t="s">
        <v>15847</v>
      </c>
      <c r="D9839" s="142" t="s">
        <v>15848</v>
      </c>
      <c r="E9839" s="142" t="s">
        <v>15849</v>
      </c>
      <c r="F9839" s="142" t="s">
        <v>221</v>
      </c>
      <c r="G9839" s="142" t="s">
        <v>9154</v>
      </c>
      <c r="H9839" s="142" t="s">
        <v>25689</v>
      </c>
      <c r="I9839" s="142">
        <v>3010</v>
      </c>
      <c r="J9839" s="142">
        <v>2680</v>
      </c>
      <c r="K9839" s="142">
        <v>0</v>
      </c>
      <c r="L9839" s="142">
        <v>236</v>
      </c>
      <c r="M9839" s="142">
        <v>94</v>
      </c>
    </row>
    <row r="9840" spans="1:13" x14ac:dyDescent="0.45">
      <c r="A9840" s="142" t="s">
        <v>13364</v>
      </c>
      <c r="B9840" s="142" t="s">
        <v>14448</v>
      </c>
      <c r="C9840" s="142" t="s">
        <v>15860</v>
      </c>
      <c r="D9840" s="142" t="s">
        <v>15861</v>
      </c>
      <c r="E9840" s="142" t="s">
        <v>15849</v>
      </c>
      <c r="F9840" s="142" t="s">
        <v>221</v>
      </c>
      <c r="G9840" s="142" t="s">
        <v>9154</v>
      </c>
      <c r="H9840" s="142" t="s">
        <v>25690</v>
      </c>
      <c r="I9840" s="142">
        <v>29</v>
      </c>
      <c r="J9840" s="142">
        <v>0</v>
      </c>
      <c r="K9840" s="142">
        <v>0</v>
      </c>
      <c r="L9840" s="142">
        <v>29</v>
      </c>
      <c r="M9840" s="142">
        <v>0</v>
      </c>
    </row>
    <row r="9841" spans="1:13" x14ac:dyDescent="0.45">
      <c r="A9841" s="142" t="s">
        <v>13021</v>
      </c>
      <c r="B9841" s="142" t="s">
        <v>15501</v>
      </c>
      <c r="C9841" s="142" t="s">
        <v>15847</v>
      </c>
      <c r="D9841" s="142" t="s">
        <v>15848</v>
      </c>
      <c r="E9841" s="142" t="s">
        <v>15849</v>
      </c>
      <c r="F9841" s="142" t="s">
        <v>222</v>
      </c>
      <c r="G9841" s="142" t="s">
        <v>9354</v>
      </c>
      <c r="H9841" s="142" t="s">
        <v>25691</v>
      </c>
      <c r="I9841" s="142">
        <v>3</v>
      </c>
      <c r="J9841" s="142">
        <v>0</v>
      </c>
      <c r="K9841" s="142">
        <v>0</v>
      </c>
      <c r="L9841" s="142">
        <v>0</v>
      </c>
      <c r="M9841" s="142">
        <v>3</v>
      </c>
    </row>
    <row r="9842" spans="1:13" x14ac:dyDescent="0.45">
      <c r="A9842" s="142" t="s">
        <v>13023</v>
      </c>
      <c r="B9842" s="142" t="s">
        <v>15571</v>
      </c>
      <c r="C9842" s="142" t="s">
        <v>15847</v>
      </c>
      <c r="D9842" s="142" t="s">
        <v>15848</v>
      </c>
      <c r="E9842" s="142" t="s">
        <v>15849</v>
      </c>
      <c r="F9842" s="142" t="s">
        <v>222</v>
      </c>
      <c r="G9842" s="142" t="s">
        <v>9354</v>
      </c>
      <c r="H9842" s="142" t="s">
        <v>25692</v>
      </c>
      <c r="I9842" s="142">
        <v>24</v>
      </c>
      <c r="J9842" s="142">
        <v>0</v>
      </c>
      <c r="K9842" s="142">
        <v>0</v>
      </c>
      <c r="L9842" s="142">
        <v>0</v>
      </c>
      <c r="M9842" s="142">
        <v>24</v>
      </c>
    </row>
    <row r="9843" spans="1:13" x14ac:dyDescent="0.45">
      <c r="A9843" s="142" t="s">
        <v>13235</v>
      </c>
      <c r="B9843" s="142" t="s">
        <v>14573</v>
      </c>
      <c r="C9843" s="142" t="s">
        <v>15847</v>
      </c>
      <c r="D9843" s="142" t="s">
        <v>15848</v>
      </c>
      <c r="E9843" s="142" t="s">
        <v>15849</v>
      </c>
      <c r="F9843" s="142" t="s">
        <v>222</v>
      </c>
      <c r="G9843" s="142" t="s">
        <v>9354</v>
      </c>
      <c r="H9843" s="142" t="s">
        <v>25693</v>
      </c>
      <c r="I9843" s="142">
        <v>355</v>
      </c>
      <c r="J9843" s="142">
        <v>307</v>
      </c>
      <c r="K9843" s="142">
        <v>0</v>
      </c>
      <c r="L9843" s="142">
        <v>0</v>
      </c>
      <c r="M9843" s="142">
        <v>48</v>
      </c>
    </row>
    <row r="9844" spans="1:13" x14ac:dyDescent="0.45">
      <c r="A9844" s="142" t="s">
        <v>13236</v>
      </c>
      <c r="B9844" s="142" t="s">
        <v>15601</v>
      </c>
      <c r="C9844" s="142" t="s">
        <v>15847</v>
      </c>
      <c r="D9844" s="142" t="s">
        <v>15848</v>
      </c>
      <c r="E9844" s="142" t="s">
        <v>15849</v>
      </c>
      <c r="F9844" s="142" t="s">
        <v>222</v>
      </c>
      <c r="G9844" s="142" t="s">
        <v>9354</v>
      </c>
      <c r="H9844" s="142" t="s">
        <v>25694</v>
      </c>
      <c r="I9844" s="142">
        <v>95</v>
      </c>
      <c r="J9844" s="142">
        <v>82</v>
      </c>
      <c r="K9844" s="142">
        <v>0</v>
      </c>
      <c r="L9844" s="142">
        <v>0</v>
      </c>
      <c r="M9844" s="142">
        <v>13</v>
      </c>
    </row>
    <row r="9845" spans="1:13" x14ac:dyDescent="0.45">
      <c r="A9845" s="142" t="s">
        <v>13237</v>
      </c>
      <c r="B9845" s="142" t="s">
        <v>14643</v>
      </c>
      <c r="C9845" s="142" t="s">
        <v>15847</v>
      </c>
      <c r="D9845" s="142" t="s">
        <v>15848</v>
      </c>
      <c r="E9845" s="142" t="s">
        <v>15849</v>
      </c>
      <c r="F9845" s="142" t="s">
        <v>222</v>
      </c>
      <c r="G9845" s="142" t="s">
        <v>9354</v>
      </c>
      <c r="H9845" s="142" t="s">
        <v>25695</v>
      </c>
      <c r="I9845" s="142">
        <v>649</v>
      </c>
      <c r="J9845" s="142">
        <v>537</v>
      </c>
      <c r="K9845" s="142">
        <v>0</v>
      </c>
      <c r="L9845" s="142">
        <v>41</v>
      </c>
      <c r="M9845" s="142">
        <v>71</v>
      </c>
    </row>
    <row r="9846" spans="1:13" x14ac:dyDescent="0.45">
      <c r="A9846" s="142" t="s">
        <v>13474</v>
      </c>
      <c r="B9846" s="142" t="s">
        <v>15438</v>
      </c>
      <c r="C9846" s="142" t="s">
        <v>15847</v>
      </c>
      <c r="D9846" s="142" t="s">
        <v>15848</v>
      </c>
      <c r="E9846" s="142" t="s">
        <v>15849</v>
      </c>
      <c r="F9846" s="142" t="s">
        <v>222</v>
      </c>
      <c r="G9846" s="142" t="s">
        <v>9354</v>
      </c>
      <c r="H9846" s="142" t="s">
        <v>25696</v>
      </c>
      <c r="I9846" s="142">
        <v>88</v>
      </c>
      <c r="J9846" s="142">
        <v>67</v>
      </c>
      <c r="K9846" s="142">
        <v>0</v>
      </c>
      <c r="L9846" s="142">
        <v>0</v>
      </c>
      <c r="M9846" s="142">
        <v>21</v>
      </c>
    </row>
    <row r="9847" spans="1:13" x14ac:dyDescent="0.45">
      <c r="A9847" s="142" t="s">
        <v>13028</v>
      </c>
      <c r="B9847" s="142" t="s">
        <v>14462</v>
      </c>
      <c r="C9847" s="142" t="s">
        <v>15847</v>
      </c>
      <c r="D9847" s="142" t="s">
        <v>15848</v>
      </c>
      <c r="E9847" s="142" t="s">
        <v>15849</v>
      </c>
      <c r="F9847" s="142" t="s">
        <v>222</v>
      </c>
      <c r="G9847" s="142" t="s">
        <v>9354</v>
      </c>
      <c r="H9847" s="142" t="s">
        <v>25697</v>
      </c>
      <c r="I9847" s="142">
        <v>26</v>
      </c>
      <c r="J9847" s="142">
        <v>0</v>
      </c>
      <c r="K9847" s="142">
        <v>0</v>
      </c>
      <c r="L9847" s="142">
        <v>0</v>
      </c>
      <c r="M9847" s="142">
        <v>26</v>
      </c>
    </row>
    <row r="9848" spans="1:13" x14ac:dyDescent="0.45">
      <c r="A9848" s="142" t="s">
        <v>13003</v>
      </c>
      <c r="B9848" s="142" t="s">
        <v>15245</v>
      </c>
      <c r="C9848" s="142" t="s">
        <v>15847</v>
      </c>
      <c r="D9848" s="142" t="s">
        <v>15848</v>
      </c>
      <c r="E9848" s="142" t="s">
        <v>15849</v>
      </c>
      <c r="F9848" s="142" t="s">
        <v>222</v>
      </c>
      <c r="G9848" s="142" t="s">
        <v>9354</v>
      </c>
      <c r="H9848" s="142" t="s">
        <v>25698</v>
      </c>
      <c r="I9848" s="142">
        <v>52</v>
      </c>
      <c r="J9848" s="142">
        <v>0</v>
      </c>
      <c r="K9848" s="142">
        <v>0</v>
      </c>
      <c r="L9848" s="142">
        <v>52</v>
      </c>
      <c r="M9848" s="142">
        <v>0</v>
      </c>
    </row>
    <row r="9849" spans="1:13" x14ac:dyDescent="0.45">
      <c r="A9849" s="142" t="s">
        <v>13066</v>
      </c>
      <c r="B9849" s="142" t="s">
        <v>14459</v>
      </c>
      <c r="C9849" s="142" t="s">
        <v>15847</v>
      </c>
      <c r="D9849" s="142" t="s">
        <v>15848</v>
      </c>
      <c r="E9849" s="142" t="s">
        <v>15849</v>
      </c>
      <c r="F9849" s="142" t="s">
        <v>222</v>
      </c>
      <c r="G9849" s="142" t="s">
        <v>9354</v>
      </c>
      <c r="H9849" s="142" t="s">
        <v>25699</v>
      </c>
      <c r="I9849" s="142">
        <v>12</v>
      </c>
      <c r="J9849" s="142">
        <v>0</v>
      </c>
      <c r="K9849" s="142">
        <v>0</v>
      </c>
      <c r="L9849" s="142">
        <v>12</v>
      </c>
      <c r="M9849" s="142">
        <v>0</v>
      </c>
    </row>
    <row r="9850" spans="1:13" x14ac:dyDescent="0.45">
      <c r="A9850" s="142" t="s">
        <v>13191</v>
      </c>
      <c r="B9850" s="142" t="s">
        <v>15467</v>
      </c>
      <c r="C9850" s="142" t="s">
        <v>15847</v>
      </c>
      <c r="D9850" s="142" t="s">
        <v>15848</v>
      </c>
      <c r="E9850" s="142" t="s">
        <v>15849</v>
      </c>
      <c r="F9850" s="142" t="s">
        <v>222</v>
      </c>
      <c r="G9850" s="142" t="s">
        <v>9354</v>
      </c>
      <c r="H9850" s="142" t="s">
        <v>25700</v>
      </c>
      <c r="I9850" s="142">
        <v>10</v>
      </c>
      <c r="J9850" s="142">
        <v>8</v>
      </c>
      <c r="K9850" s="142">
        <v>0</v>
      </c>
      <c r="L9850" s="142">
        <v>0</v>
      </c>
      <c r="M9850" s="142">
        <v>2</v>
      </c>
    </row>
    <row r="9851" spans="1:13" x14ac:dyDescent="0.45">
      <c r="A9851" s="142" t="s">
        <v>13248</v>
      </c>
      <c r="B9851" s="142" t="s">
        <v>15463</v>
      </c>
      <c r="C9851" s="142" t="s">
        <v>15847</v>
      </c>
      <c r="D9851" s="142" t="s">
        <v>15848</v>
      </c>
      <c r="E9851" s="142" t="s">
        <v>15849</v>
      </c>
      <c r="F9851" s="142" t="s">
        <v>222</v>
      </c>
      <c r="G9851" s="142" t="s">
        <v>9354</v>
      </c>
      <c r="H9851" s="142" t="s">
        <v>25701</v>
      </c>
      <c r="I9851" s="142">
        <v>1</v>
      </c>
      <c r="J9851" s="142">
        <v>0</v>
      </c>
      <c r="K9851" s="142">
        <v>0</v>
      </c>
      <c r="L9851" s="142">
        <v>1</v>
      </c>
      <c r="M9851" s="142">
        <v>0</v>
      </c>
    </row>
    <row r="9852" spans="1:13" x14ac:dyDescent="0.45">
      <c r="A9852" s="142" t="s">
        <v>13035</v>
      </c>
      <c r="B9852" s="142" t="s">
        <v>14648</v>
      </c>
      <c r="C9852" s="142" t="s">
        <v>15847</v>
      </c>
      <c r="D9852" s="142" t="s">
        <v>15848</v>
      </c>
      <c r="E9852" s="142" t="s">
        <v>15849</v>
      </c>
      <c r="F9852" s="142" t="s">
        <v>222</v>
      </c>
      <c r="G9852" s="142" t="s">
        <v>9354</v>
      </c>
      <c r="H9852" s="142" t="s">
        <v>25702</v>
      </c>
      <c r="I9852" s="142">
        <v>4209</v>
      </c>
      <c r="J9852" s="142">
        <v>3449</v>
      </c>
      <c r="K9852" s="142">
        <v>0</v>
      </c>
      <c r="L9852" s="142">
        <v>406</v>
      </c>
      <c r="M9852" s="142">
        <v>354</v>
      </c>
    </row>
    <row r="9853" spans="1:13" x14ac:dyDescent="0.45">
      <c r="A9853" s="142" t="s">
        <v>13105</v>
      </c>
      <c r="B9853" s="142" t="s">
        <v>14654</v>
      </c>
      <c r="C9853" s="142" t="s">
        <v>15847</v>
      </c>
      <c r="D9853" s="142" t="s">
        <v>15848</v>
      </c>
      <c r="E9853" s="142" t="s">
        <v>15849</v>
      </c>
      <c r="F9853" s="142" t="s">
        <v>222</v>
      </c>
      <c r="G9853" s="142" t="s">
        <v>9354</v>
      </c>
      <c r="H9853" s="142" t="s">
        <v>25703</v>
      </c>
      <c r="I9853" s="142">
        <v>11</v>
      </c>
      <c r="J9853" s="142">
        <v>0</v>
      </c>
      <c r="K9853" s="142">
        <v>0</v>
      </c>
      <c r="L9853" s="142">
        <v>0</v>
      </c>
      <c r="M9853" s="142">
        <v>11</v>
      </c>
    </row>
    <row r="9854" spans="1:13" x14ac:dyDescent="0.45">
      <c r="A9854" s="142" t="s">
        <v>13394</v>
      </c>
      <c r="B9854" s="142" t="s">
        <v>15569</v>
      </c>
      <c r="C9854" s="142" t="s">
        <v>15847</v>
      </c>
      <c r="D9854" s="142" t="s">
        <v>15848</v>
      </c>
      <c r="E9854" s="142" t="s">
        <v>15849</v>
      </c>
      <c r="F9854" s="142" t="s">
        <v>222</v>
      </c>
      <c r="G9854" s="142" t="s">
        <v>9354</v>
      </c>
      <c r="H9854" s="142" t="s">
        <v>25704</v>
      </c>
      <c r="I9854" s="142">
        <v>4711</v>
      </c>
      <c r="J9854" s="142">
        <v>4116</v>
      </c>
      <c r="K9854" s="142">
        <v>0</v>
      </c>
      <c r="L9854" s="142">
        <v>404</v>
      </c>
      <c r="M9854" s="142">
        <v>191</v>
      </c>
    </row>
    <row r="9855" spans="1:13" x14ac:dyDescent="0.45">
      <c r="A9855" s="142" t="s">
        <v>13091</v>
      </c>
      <c r="B9855" s="142" t="s">
        <v>14473</v>
      </c>
      <c r="C9855" s="142" t="s">
        <v>15847</v>
      </c>
      <c r="D9855" s="142" t="s">
        <v>15848</v>
      </c>
      <c r="E9855" s="142" t="s">
        <v>15849</v>
      </c>
      <c r="F9855" s="142" t="s">
        <v>222</v>
      </c>
      <c r="G9855" s="142" t="s">
        <v>9354</v>
      </c>
      <c r="H9855" s="142" t="s">
        <v>25705</v>
      </c>
      <c r="I9855" s="142">
        <v>155</v>
      </c>
      <c r="J9855" s="142">
        <v>76</v>
      </c>
      <c r="K9855" s="142">
        <v>0</v>
      </c>
      <c r="L9855" s="142">
        <v>0</v>
      </c>
      <c r="M9855" s="142">
        <v>79</v>
      </c>
    </row>
    <row r="9856" spans="1:13" x14ac:dyDescent="0.45">
      <c r="A9856" s="142" t="s">
        <v>13009</v>
      </c>
      <c r="B9856" s="142" t="s">
        <v>15256</v>
      </c>
      <c r="C9856" s="142" t="s">
        <v>15847</v>
      </c>
      <c r="D9856" s="142" t="s">
        <v>15848</v>
      </c>
      <c r="E9856" s="142" t="s">
        <v>15849</v>
      </c>
      <c r="F9856" s="142" t="s">
        <v>222</v>
      </c>
      <c r="G9856" s="142" t="s">
        <v>9354</v>
      </c>
      <c r="H9856" s="142" t="s">
        <v>25706</v>
      </c>
      <c r="I9856" s="142">
        <v>63</v>
      </c>
      <c r="J9856" s="142">
        <v>53</v>
      </c>
      <c r="K9856" s="142">
        <v>0</v>
      </c>
      <c r="L9856" s="142">
        <v>0</v>
      </c>
      <c r="M9856" s="142">
        <v>10</v>
      </c>
    </row>
    <row r="9857" spans="1:13" x14ac:dyDescent="0.45">
      <c r="A9857" s="142" t="s">
        <v>13257</v>
      </c>
      <c r="B9857" s="142" t="s">
        <v>15219</v>
      </c>
      <c r="C9857" s="142" t="s">
        <v>15860</v>
      </c>
      <c r="D9857" s="142" t="s">
        <v>15861</v>
      </c>
      <c r="E9857" s="142" t="s">
        <v>15849</v>
      </c>
      <c r="F9857" s="142" t="s">
        <v>222</v>
      </c>
      <c r="G9857" s="142" t="s">
        <v>9354</v>
      </c>
      <c r="H9857" s="142" t="s">
        <v>25707</v>
      </c>
      <c r="I9857" s="142">
        <v>10</v>
      </c>
      <c r="J9857" s="142">
        <v>0</v>
      </c>
      <c r="K9857" s="142">
        <v>0</v>
      </c>
      <c r="L9857" s="142">
        <v>10</v>
      </c>
      <c r="M9857" s="142">
        <v>0</v>
      </c>
    </row>
    <row r="9858" spans="1:13" x14ac:dyDescent="0.45">
      <c r="A9858" s="142" t="s">
        <v>13012</v>
      </c>
      <c r="B9858" s="142" t="s">
        <v>15337</v>
      </c>
      <c r="C9858" s="142" t="s">
        <v>15847</v>
      </c>
      <c r="D9858" s="142" t="s">
        <v>15848</v>
      </c>
      <c r="E9858" s="142" t="s">
        <v>15849</v>
      </c>
      <c r="F9858" s="142" t="s">
        <v>222</v>
      </c>
      <c r="G9858" s="142" t="s">
        <v>9354</v>
      </c>
      <c r="H9858" s="142" t="s">
        <v>25708</v>
      </c>
      <c r="I9858" s="142">
        <v>29</v>
      </c>
      <c r="J9858" s="142">
        <v>23</v>
      </c>
      <c r="K9858" s="142">
        <v>0</v>
      </c>
      <c r="L9858" s="142">
        <v>0</v>
      </c>
      <c r="M9858" s="142">
        <v>6</v>
      </c>
    </row>
    <row r="9859" spans="1:13" x14ac:dyDescent="0.45">
      <c r="A9859" s="142" t="s">
        <v>13966</v>
      </c>
      <c r="B9859" s="142" t="s">
        <v>15586</v>
      </c>
      <c r="C9859" s="142" t="s">
        <v>15847</v>
      </c>
      <c r="D9859" s="142" t="s">
        <v>15848</v>
      </c>
      <c r="E9859" s="142" t="s">
        <v>15849</v>
      </c>
      <c r="F9859" s="142" t="s">
        <v>222</v>
      </c>
      <c r="G9859" s="142" t="s">
        <v>9354</v>
      </c>
      <c r="H9859" s="142" t="s">
        <v>25709</v>
      </c>
      <c r="I9859" s="142">
        <v>1</v>
      </c>
      <c r="J9859" s="142">
        <v>1</v>
      </c>
      <c r="K9859" s="142">
        <v>0</v>
      </c>
      <c r="L9859" s="142">
        <v>0</v>
      </c>
      <c r="M9859" s="142">
        <v>0</v>
      </c>
    </row>
    <row r="9860" spans="1:13" x14ac:dyDescent="0.45">
      <c r="A9860" s="142" t="s">
        <v>13014</v>
      </c>
      <c r="B9860" s="142" t="s">
        <v>14505</v>
      </c>
      <c r="C9860" s="142" t="s">
        <v>15847</v>
      </c>
      <c r="D9860" s="142" t="s">
        <v>15848</v>
      </c>
      <c r="E9860" s="142" t="s">
        <v>15849</v>
      </c>
      <c r="F9860" s="142" t="s">
        <v>222</v>
      </c>
      <c r="G9860" s="142" t="s">
        <v>9354</v>
      </c>
      <c r="H9860" s="142" t="s">
        <v>25710</v>
      </c>
      <c r="I9860" s="142">
        <v>1</v>
      </c>
      <c r="J9860" s="142">
        <v>0</v>
      </c>
      <c r="K9860" s="142">
        <v>0</v>
      </c>
      <c r="L9860" s="142">
        <v>0</v>
      </c>
      <c r="M9860" s="142">
        <v>1</v>
      </c>
    </row>
    <row r="9861" spans="1:13" x14ac:dyDescent="0.45">
      <c r="A9861" s="142" t="s">
        <v>13264</v>
      </c>
      <c r="B9861" s="142" t="s">
        <v>15302</v>
      </c>
      <c r="C9861" s="142" t="s">
        <v>15847</v>
      </c>
      <c r="D9861" s="142" t="s">
        <v>15848</v>
      </c>
      <c r="E9861" s="142" t="s">
        <v>15849</v>
      </c>
      <c r="F9861" s="142" t="s">
        <v>222</v>
      </c>
      <c r="G9861" s="142" t="s">
        <v>9354</v>
      </c>
      <c r="H9861" s="142" t="s">
        <v>25711</v>
      </c>
      <c r="I9861" s="142">
        <v>27</v>
      </c>
      <c r="J9861" s="142">
        <v>20</v>
      </c>
      <c r="K9861" s="142">
        <v>0</v>
      </c>
      <c r="L9861" s="142">
        <v>0</v>
      </c>
      <c r="M9861" s="142">
        <v>7</v>
      </c>
    </row>
    <row r="9862" spans="1:13" x14ac:dyDescent="0.45">
      <c r="A9862" s="142" t="s">
        <v>13222</v>
      </c>
      <c r="B9862" s="142" t="s">
        <v>14449</v>
      </c>
      <c r="C9862" s="142" t="s">
        <v>15860</v>
      </c>
      <c r="D9862" s="142" t="s">
        <v>15861</v>
      </c>
      <c r="E9862" s="142" t="s">
        <v>15849</v>
      </c>
      <c r="F9862" s="142" t="s">
        <v>222</v>
      </c>
      <c r="G9862" s="142" t="s">
        <v>9354</v>
      </c>
      <c r="H9862" s="142" t="s">
        <v>25712</v>
      </c>
      <c r="I9862" s="142">
        <v>46</v>
      </c>
      <c r="J9862" s="142">
        <v>0</v>
      </c>
      <c r="K9862" s="142">
        <v>0</v>
      </c>
      <c r="L9862" s="142">
        <v>46</v>
      </c>
      <c r="M9862" s="142">
        <v>0</v>
      </c>
    </row>
    <row r="9863" spans="1:13" x14ac:dyDescent="0.45">
      <c r="A9863" s="142" t="s">
        <v>13267</v>
      </c>
      <c r="B9863" s="142" t="s">
        <v>15451</v>
      </c>
      <c r="C9863" s="142" t="s">
        <v>15847</v>
      </c>
      <c r="D9863" s="142" t="s">
        <v>15848</v>
      </c>
      <c r="E9863" s="142" t="s">
        <v>15849</v>
      </c>
      <c r="F9863" s="142" t="s">
        <v>222</v>
      </c>
      <c r="G9863" s="142" t="s">
        <v>9354</v>
      </c>
      <c r="H9863" s="142" t="s">
        <v>25713</v>
      </c>
      <c r="I9863" s="142">
        <v>180</v>
      </c>
      <c r="J9863" s="142">
        <v>131</v>
      </c>
      <c r="K9863" s="142">
        <v>0</v>
      </c>
      <c r="L9863" s="142">
        <v>0</v>
      </c>
      <c r="M9863" s="142">
        <v>49</v>
      </c>
    </row>
    <row r="9864" spans="1:13" x14ac:dyDescent="0.45">
      <c r="A9864" s="142" t="s">
        <v>13016</v>
      </c>
      <c r="B9864" s="142" t="s">
        <v>14535</v>
      </c>
      <c r="C9864" s="142" t="s">
        <v>15860</v>
      </c>
      <c r="D9864" s="142" t="s">
        <v>15861</v>
      </c>
      <c r="E9864" s="142" t="s">
        <v>15849</v>
      </c>
      <c r="F9864" s="142" t="s">
        <v>222</v>
      </c>
      <c r="G9864" s="142" t="s">
        <v>9354</v>
      </c>
      <c r="H9864" s="142" t="s">
        <v>25714</v>
      </c>
      <c r="I9864" s="142">
        <v>16</v>
      </c>
      <c r="J9864" s="142">
        <v>0</v>
      </c>
      <c r="K9864" s="142">
        <v>0</v>
      </c>
      <c r="L9864" s="142">
        <v>16</v>
      </c>
      <c r="M9864" s="142">
        <v>0</v>
      </c>
    </row>
    <row r="9865" spans="1:13" x14ac:dyDescent="0.45">
      <c r="A9865" s="142" t="s">
        <v>13072</v>
      </c>
      <c r="B9865" s="142" t="s">
        <v>15530</v>
      </c>
      <c r="C9865" s="142" t="s">
        <v>15847</v>
      </c>
      <c r="D9865" s="142" t="s">
        <v>15848</v>
      </c>
      <c r="E9865" s="142" t="s">
        <v>15849</v>
      </c>
      <c r="F9865" s="142" t="s">
        <v>223</v>
      </c>
      <c r="G9865" s="142" t="s">
        <v>6370</v>
      </c>
      <c r="H9865" s="142" t="s">
        <v>25715</v>
      </c>
      <c r="I9865" s="142">
        <v>8</v>
      </c>
      <c r="J9865" s="142">
        <v>8</v>
      </c>
      <c r="K9865" s="142">
        <v>0</v>
      </c>
      <c r="L9865" s="142">
        <v>0</v>
      </c>
      <c r="M9865" s="142">
        <v>0</v>
      </c>
    </row>
    <row r="9866" spans="1:13" x14ac:dyDescent="0.45">
      <c r="A9866" s="142" t="s">
        <v>13021</v>
      </c>
      <c r="B9866" s="142" t="s">
        <v>15501</v>
      </c>
      <c r="C9866" s="142" t="s">
        <v>15847</v>
      </c>
      <c r="D9866" s="142" t="s">
        <v>15848</v>
      </c>
      <c r="E9866" s="142" t="s">
        <v>15849</v>
      </c>
      <c r="F9866" s="142" t="s">
        <v>223</v>
      </c>
      <c r="G9866" s="142" t="s">
        <v>6370</v>
      </c>
      <c r="H9866" s="142" t="s">
        <v>25716</v>
      </c>
      <c r="I9866" s="142">
        <v>1</v>
      </c>
      <c r="J9866" s="142">
        <v>0</v>
      </c>
      <c r="K9866" s="142">
        <v>0</v>
      </c>
      <c r="L9866" s="142">
        <v>0</v>
      </c>
      <c r="M9866" s="142">
        <v>1</v>
      </c>
    </row>
    <row r="9867" spans="1:13" x14ac:dyDescent="0.45">
      <c r="A9867" s="142" t="s">
        <v>13113</v>
      </c>
      <c r="B9867" s="142" t="s">
        <v>14503</v>
      </c>
      <c r="C9867" s="142" t="s">
        <v>15860</v>
      </c>
      <c r="D9867" s="142" t="s">
        <v>15861</v>
      </c>
      <c r="E9867" s="142" t="s">
        <v>15849</v>
      </c>
      <c r="F9867" s="142" t="s">
        <v>223</v>
      </c>
      <c r="G9867" s="142" t="s">
        <v>6370</v>
      </c>
      <c r="H9867" s="142" t="s">
        <v>25717</v>
      </c>
      <c r="I9867" s="142">
        <v>4</v>
      </c>
      <c r="J9867" s="142">
        <v>4</v>
      </c>
      <c r="K9867" s="142">
        <v>0</v>
      </c>
      <c r="L9867" s="142">
        <v>0</v>
      </c>
      <c r="M9867" s="142">
        <v>0</v>
      </c>
    </row>
    <row r="9868" spans="1:13" x14ac:dyDescent="0.45">
      <c r="A9868" s="142" t="s">
        <v>13279</v>
      </c>
      <c r="B9868" s="142" t="s">
        <v>14507</v>
      </c>
      <c r="C9868" s="142" t="s">
        <v>15860</v>
      </c>
      <c r="D9868" s="142" t="s">
        <v>15861</v>
      </c>
      <c r="E9868" s="142" t="s">
        <v>15849</v>
      </c>
      <c r="F9868" s="142" t="s">
        <v>223</v>
      </c>
      <c r="G9868" s="142" t="s">
        <v>6370</v>
      </c>
      <c r="H9868" s="142" t="s">
        <v>25718</v>
      </c>
      <c r="I9868" s="142">
        <v>4</v>
      </c>
      <c r="J9868" s="142">
        <v>0</v>
      </c>
      <c r="K9868" s="142">
        <v>0</v>
      </c>
      <c r="L9868" s="142">
        <v>4</v>
      </c>
      <c r="M9868" s="142">
        <v>0</v>
      </c>
    </row>
    <row r="9869" spans="1:13" x14ac:dyDescent="0.45">
      <c r="A9869" s="142" t="s">
        <v>13147</v>
      </c>
      <c r="B9869" s="142" t="s">
        <v>14529</v>
      </c>
      <c r="C9869" s="142" t="s">
        <v>15860</v>
      </c>
      <c r="D9869" s="142" t="s">
        <v>15861</v>
      </c>
      <c r="E9869" s="142" t="s">
        <v>15849</v>
      </c>
      <c r="F9869" s="142" t="s">
        <v>223</v>
      </c>
      <c r="G9869" s="142" t="s">
        <v>6370</v>
      </c>
      <c r="H9869" s="142" t="s">
        <v>25719</v>
      </c>
      <c r="I9869" s="142">
        <v>5</v>
      </c>
      <c r="J9869" s="142">
        <v>5</v>
      </c>
      <c r="K9869" s="142">
        <v>0</v>
      </c>
      <c r="L9869" s="142">
        <v>0</v>
      </c>
      <c r="M9869" s="142">
        <v>0</v>
      </c>
    </row>
    <row r="9870" spans="1:13" x14ac:dyDescent="0.45">
      <c r="A9870" s="142" t="s">
        <v>13065</v>
      </c>
      <c r="B9870" s="142" t="s">
        <v>14497</v>
      </c>
      <c r="C9870" s="142" t="s">
        <v>15847</v>
      </c>
      <c r="D9870" s="142" t="s">
        <v>15848</v>
      </c>
      <c r="E9870" s="142" t="s">
        <v>15849</v>
      </c>
      <c r="F9870" s="142" t="s">
        <v>223</v>
      </c>
      <c r="G9870" s="142" t="s">
        <v>6370</v>
      </c>
      <c r="H9870" s="142" t="s">
        <v>25720</v>
      </c>
      <c r="I9870" s="142">
        <v>5</v>
      </c>
      <c r="J9870" s="142">
        <v>0</v>
      </c>
      <c r="K9870" s="142">
        <v>0</v>
      </c>
      <c r="L9870" s="142">
        <v>5</v>
      </c>
      <c r="M9870" s="142">
        <v>0</v>
      </c>
    </row>
    <row r="9871" spans="1:13" x14ac:dyDescent="0.45">
      <c r="A9871" s="142" t="s">
        <v>13288</v>
      </c>
      <c r="B9871" s="142" t="s">
        <v>14444</v>
      </c>
      <c r="C9871" s="142" t="s">
        <v>15860</v>
      </c>
      <c r="D9871" s="142" t="s">
        <v>15861</v>
      </c>
      <c r="E9871" s="142" t="s">
        <v>15849</v>
      </c>
      <c r="F9871" s="142" t="s">
        <v>223</v>
      </c>
      <c r="G9871" s="142" t="s">
        <v>6370</v>
      </c>
      <c r="H9871" s="142" t="s">
        <v>25721</v>
      </c>
      <c r="I9871" s="142">
        <v>24</v>
      </c>
      <c r="J9871" s="142">
        <v>0</v>
      </c>
      <c r="K9871" s="142">
        <v>0</v>
      </c>
      <c r="L9871" s="142">
        <v>24</v>
      </c>
      <c r="M9871" s="142">
        <v>0</v>
      </c>
    </row>
    <row r="9872" spans="1:13" x14ac:dyDescent="0.45">
      <c r="A9872" s="142" t="s">
        <v>13273</v>
      </c>
      <c r="B9872" s="142" t="s">
        <v>14465</v>
      </c>
      <c r="C9872" s="142" t="s">
        <v>15860</v>
      </c>
      <c r="D9872" s="142" t="s">
        <v>15861</v>
      </c>
      <c r="E9872" s="142" t="s">
        <v>15849</v>
      </c>
      <c r="F9872" s="142" t="s">
        <v>223</v>
      </c>
      <c r="G9872" s="142" t="s">
        <v>6370</v>
      </c>
      <c r="H9872" s="142" t="s">
        <v>25722</v>
      </c>
      <c r="I9872" s="142">
        <v>3</v>
      </c>
      <c r="J9872" s="142">
        <v>0</v>
      </c>
      <c r="K9872" s="142">
        <v>0</v>
      </c>
      <c r="L9872" s="142">
        <v>3</v>
      </c>
      <c r="M9872" s="142">
        <v>0</v>
      </c>
    </row>
    <row r="9873" spans="1:13" x14ac:dyDescent="0.45">
      <c r="A9873" s="142" t="s">
        <v>13238</v>
      </c>
      <c r="B9873" s="142" t="s">
        <v>14477</v>
      </c>
      <c r="C9873" s="142" t="s">
        <v>15860</v>
      </c>
      <c r="D9873" s="142" t="s">
        <v>15861</v>
      </c>
      <c r="E9873" s="142" t="s">
        <v>15849</v>
      </c>
      <c r="F9873" s="142" t="s">
        <v>223</v>
      </c>
      <c r="G9873" s="142" t="s">
        <v>6370</v>
      </c>
      <c r="H9873" s="142" t="s">
        <v>25723</v>
      </c>
      <c r="I9873" s="142">
        <v>22</v>
      </c>
      <c r="J9873" s="142">
        <v>0</v>
      </c>
      <c r="K9873" s="142">
        <v>0</v>
      </c>
      <c r="L9873" s="142">
        <v>22</v>
      </c>
      <c r="M9873" s="142">
        <v>0</v>
      </c>
    </row>
    <row r="9874" spans="1:13" x14ac:dyDescent="0.45">
      <c r="A9874" s="142" t="s">
        <v>13085</v>
      </c>
      <c r="B9874" s="142" t="s">
        <v>14460</v>
      </c>
      <c r="C9874" s="142" t="s">
        <v>15860</v>
      </c>
      <c r="D9874" s="142" t="s">
        <v>15861</v>
      </c>
      <c r="E9874" s="142" t="s">
        <v>15849</v>
      </c>
      <c r="F9874" s="142" t="s">
        <v>223</v>
      </c>
      <c r="G9874" s="142" t="s">
        <v>6370</v>
      </c>
      <c r="H9874" s="142" t="s">
        <v>25724</v>
      </c>
      <c r="I9874" s="142">
        <v>7</v>
      </c>
      <c r="J9874" s="142">
        <v>0</v>
      </c>
      <c r="K9874" s="142">
        <v>0</v>
      </c>
      <c r="L9874" s="142">
        <v>7</v>
      </c>
      <c r="M9874" s="142">
        <v>0</v>
      </c>
    </row>
    <row r="9875" spans="1:13" x14ac:dyDescent="0.45">
      <c r="A9875" s="142" t="s">
        <v>13082</v>
      </c>
      <c r="B9875" s="142" t="s">
        <v>14478</v>
      </c>
      <c r="C9875" s="142" t="s">
        <v>15860</v>
      </c>
      <c r="D9875" s="142" t="s">
        <v>15861</v>
      </c>
      <c r="E9875" s="142" t="s">
        <v>15849</v>
      </c>
      <c r="F9875" s="142" t="s">
        <v>224</v>
      </c>
      <c r="G9875" s="142" t="s">
        <v>9395</v>
      </c>
      <c r="H9875" s="142" t="s">
        <v>25725</v>
      </c>
      <c r="I9875" s="142">
        <v>9</v>
      </c>
      <c r="J9875" s="142">
        <v>0</v>
      </c>
      <c r="K9875" s="142">
        <v>0</v>
      </c>
      <c r="L9875" s="142">
        <v>9</v>
      </c>
      <c r="M9875" s="142">
        <v>0</v>
      </c>
    </row>
    <row r="9876" spans="1:13" x14ac:dyDescent="0.45">
      <c r="A9876" s="142" t="s">
        <v>13235</v>
      </c>
      <c r="B9876" s="142" t="s">
        <v>14573</v>
      </c>
      <c r="C9876" s="142" t="s">
        <v>15847</v>
      </c>
      <c r="D9876" s="142" t="s">
        <v>15848</v>
      </c>
      <c r="E9876" s="142" t="s">
        <v>15849</v>
      </c>
      <c r="F9876" s="142" t="s">
        <v>224</v>
      </c>
      <c r="G9876" s="142" t="s">
        <v>9395</v>
      </c>
      <c r="H9876" s="142" t="s">
        <v>25726</v>
      </c>
      <c r="I9876" s="142">
        <v>171</v>
      </c>
      <c r="J9876" s="142">
        <v>105</v>
      </c>
      <c r="K9876" s="142">
        <v>0</v>
      </c>
      <c r="L9876" s="142">
        <v>11</v>
      </c>
      <c r="M9876" s="142">
        <v>55</v>
      </c>
    </row>
    <row r="9877" spans="1:13" x14ac:dyDescent="0.45">
      <c r="A9877" s="142" t="s">
        <v>13236</v>
      </c>
      <c r="B9877" s="142" t="s">
        <v>15601</v>
      </c>
      <c r="C9877" s="142" t="s">
        <v>15847</v>
      </c>
      <c r="D9877" s="142" t="s">
        <v>15848</v>
      </c>
      <c r="E9877" s="142" t="s">
        <v>15849</v>
      </c>
      <c r="F9877" s="142" t="s">
        <v>224</v>
      </c>
      <c r="G9877" s="142" t="s">
        <v>9395</v>
      </c>
      <c r="H9877" s="142" t="s">
        <v>25727</v>
      </c>
      <c r="I9877" s="142">
        <v>45</v>
      </c>
      <c r="J9877" s="142">
        <v>31</v>
      </c>
      <c r="K9877" s="142">
        <v>0</v>
      </c>
      <c r="L9877" s="142">
        <v>0</v>
      </c>
      <c r="M9877" s="142">
        <v>14</v>
      </c>
    </row>
    <row r="9878" spans="1:13" x14ac:dyDescent="0.45">
      <c r="A9878" s="142" t="s">
        <v>13237</v>
      </c>
      <c r="B9878" s="142" t="s">
        <v>14643</v>
      </c>
      <c r="C9878" s="142" t="s">
        <v>15847</v>
      </c>
      <c r="D9878" s="142" t="s">
        <v>15848</v>
      </c>
      <c r="E9878" s="142" t="s">
        <v>15849</v>
      </c>
      <c r="F9878" s="142" t="s">
        <v>224</v>
      </c>
      <c r="G9878" s="142" t="s">
        <v>9395</v>
      </c>
      <c r="H9878" s="142" t="s">
        <v>25728</v>
      </c>
      <c r="I9878" s="142">
        <v>882</v>
      </c>
      <c r="J9878" s="142">
        <v>616</v>
      </c>
      <c r="K9878" s="142">
        <v>0</v>
      </c>
      <c r="L9878" s="142">
        <v>77</v>
      </c>
      <c r="M9878" s="142">
        <v>189</v>
      </c>
    </row>
    <row r="9879" spans="1:13" x14ac:dyDescent="0.45">
      <c r="A9879" s="142" t="s">
        <v>13085</v>
      </c>
      <c r="B9879" s="142" t="s">
        <v>14460</v>
      </c>
      <c r="C9879" s="142" t="s">
        <v>15860</v>
      </c>
      <c r="D9879" s="142" t="s">
        <v>15861</v>
      </c>
      <c r="E9879" s="142" t="s">
        <v>15849</v>
      </c>
      <c r="F9879" s="142" t="s">
        <v>224</v>
      </c>
      <c r="G9879" s="142" t="s">
        <v>9395</v>
      </c>
      <c r="H9879" s="142" t="s">
        <v>25729</v>
      </c>
      <c r="I9879" s="142">
        <v>4</v>
      </c>
      <c r="J9879" s="142">
        <v>0</v>
      </c>
      <c r="K9879" s="142">
        <v>0</v>
      </c>
      <c r="L9879" s="142">
        <v>4</v>
      </c>
      <c r="M9879" s="142">
        <v>0</v>
      </c>
    </row>
    <row r="9880" spans="1:13" x14ac:dyDescent="0.45">
      <c r="A9880" s="142" t="s">
        <v>13099</v>
      </c>
      <c r="B9880" s="142" t="s">
        <v>14547</v>
      </c>
      <c r="C9880" s="142" t="s">
        <v>15860</v>
      </c>
      <c r="D9880" s="142" t="s">
        <v>15861</v>
      </c>
      <c r="E9880" s="142" t="s">
        <v>15849</v>
      </c>
      <c r="F9880" s="142" t="s">
        <v>224</v>
      </c>
      <c r="G9880" s="142" t="s">
        <v>9395</v>
      </c>
      <c r="H9880" s="142" t="s">
        <v>25730</v>
      </c>
      <c r="I9880" s="142">
        <v>1</v>
      </c>
      <c r="J9880" s="142">
        <v>0</v>
      </c>
      <c r="K9880" s="142">
        <v>0</v>
      </c>
      <c r="L9880" s="142">
        <v>1</v>
      </c>
      <c r="M9880" s="142">
        <v>0</v>
      </c>
    </row>
    <row r="9881" spans="1:13" x14ac:dyDescent="0.45">
      <c r="A9881" s="142" t="s">
        <v>13049</v>
      </c>
      <c r="B9881" s="142" t="s">
        <v>14534</v>
      </c>
      <c r="C9881" s="142" t="s">
        <v>15860</v>
      </c>
      <c r="D9881" s="142" t="s">
        <v>15861</v>
      </c>
      <c r="E9881" s="142" t="s">
        <v>15849</v>
      </c>
      <c r="F9881" s="142" t="s">
        <v>224</v>
      </c>
      <c r="G9881" s="142" t="s">
        <v>9395</v>
      </c>
      <c r="H9881" s="142" t="s">
        <v>25731</v>
      </c>
      <c r="I9881" s="142">
        <v>11</v>
      </c>
      <c r="J9881" s="142">
        <v>0</v>
      </c>
      <c r="K9881" s="142">
        <v>0</v>
      </c>
      <c r="L9881" s="142">
        <v>11</v>
      </c>
      <c r="M9881" s="142">
        <v>0</v>
      </c>
    </row>
    <row r="9882" spans="1:13" x14ac:dyDescent="0.45">
      <c r="A9882" s="142" t="s">
        <v>13002</v>
      </c>
      <c r="B9882" s="142" t="s">
        <v>15376</v>
      </c>
      <c r="C9882" s="142" t="s">
        <v>15847</v>
      </c>
      <c r="D9882" s="142" t="s">
        <v>15848</v>
      </c>
      <c r="E9882" s="142" t="s">
        <v>15849</v>
      </c>
      <c r="F9882" s="142" t="s">
        <v>224</v>
      </c>
      <c r="G9882" s="142" t="s">
        <v>9395</v>
      </c>
      <c r="H9882" s="142" t="s">
        <v>25732</v>
      </c>
      <c r="I9882" s="142">
        <v>14</v>
      </c>
      <c r="J9882" s="142">
        <v>0</v>
      </c>
      <c r="K9882" s="142">
        <v>0</v>
      </c>
      <c r="L9882" s="142">
        <v>14</v>
      </c>
      <c r="M9882" s="142">
        <v>0</v>
      </c>
    </row>
    <row r="9883" spans="1:13" x14ac:dyDescent="0.45">
      <c r="A9883" s="142" t="s">
        <v>13066</v>
      </c>
      <c r="B9883" s="142" t="s">
        <v>14459</v>
      </c>
      <c r="C9883" s="142" t="s">
        <v>15847</v>
      </c>
      <c r="D9883" s="142" t="s">
        <v>15848</v>
      </c>
      <c r="E9883" s="142" t="s">
        <v>15849</v>
      </c>
      <c r="F9883" s="142" t="s">
        <v>224</v>
      </c>
      <c r="G9883" s="142" t="s">
        <v>9395</v>
      </c>
      <c r="H9883" s="142" t="s">
        <v>25733</v>
      </c>
      <c r="I9883" s="142">
        <v>27</v>
      </c>
      <c r="J9883" s="142">
        <v>0</v>
      </c>
      <c r="K9883" s="142">
        <v>0</v>
      </c>
      <c r="L9883" s="142">
        <v>27</v>
      </c>
      <c r="M9883" s="142">
        <v>0</v>
      </c>
    </row>
    <row r="9884" spans="1:13" x14ac:dyDescent="0.45">
      <c r="A9884" s="142" t="s">
        <v>13076</v>
      </c>
      <c r="B9884" s="142" t="s">
        <v>14636</v>
      </c>
      <c r="C9884" s="142" t="s">
        <v>15847</v>
      </c>
      <c r="D9884" s="142" t="s">
        <v>15848</v>
      </c>
      <c r="E9884" s="142" t="s">
        <v>15849</v>
      </c>
      <c r="F9884" s="142" t="s">
        <v>224</v>
      </c>
      <c r="G9884" s="142" t="s">
        <v>9395</v>
      </c>
      <c r="H9884" s="142" t="s">
        <v>25734</v>
      </c>
      <c r="I9884" s="142">
        <v>7</v>
      </c>
      <c r="J9884" s="142">
        <v>0</v>
      </c>
      <c r="K9884" s="142">
        <v>0</v>
      </c>
      <c r="L9884" s="142">
        <v>0</v>
      </c>
      <c r="M9884" s="142">
        <v>7</v>
      </c>
    </row>
    <row r="9885" spans="1:13" x14ac:dyDescent="0.45">
      <c r="A9885" s="142" t="s">
        <v>13248</v>
      </c>
      <c r="B9885" s="142" t="s">
        <v>15463</v>
      </c>
      <c r="C9885" s="142" t="s">
        <v>15847</v>
      </c>
      <c r="D9885" s="142" t="s">
        <v>15848</v>
      </c>
      <c r="E9885" s="142" t="s">
        <v>15849</v>
      </c>
      <c r="F9885" s="142" t="s">
        <v>224</v>
      </c>
      <c r="G9885" s="142" t="s">
        <v>9395</v>
      </c>
      <c r="H9885" s="142" t="s">
        <v>25735</v>
      </c>
      <c r="I9885" s="142">
        <v>1</v>
      </c>
      <c r="J9885" s="142">
        <v>0</v>
      </c>
      <c r="K9885" s="142">
        <v>0</v>
      </c>
      <c r="L9885" s="142">
        <v>0</v>
      </c>
      <c r="M9885" s="142">
        <v>1</v>
      </c>
    </row>
    <row r="9886" spans="1:13" x14ac:dyDescent="0.45">
      <c r="A9886" s="142" t="s">
        <v>13035</v>
      </c>
      <c r="B9886" s="142" t="s">
        <v>14648</v>
      </c>
      <c r="C9886" s="142" t="s">
        <v>15847</v>
      </c>
      <c r="D9886" s="142" t="s">
        <v>15848</v>
      </c>
      <c r="E9886" s="142" t="s">
        <v>15849</v>
      </c>
      <c r="F9886" s="142" t="s">
        <v>224</v>
      </c>
      <c r="G9886" s="142" t="s">
        <v>9395</v>
      </c>
      <c r="H9886" s="142" t="s">
        <v>25736</v>
      </c>
      <c r="I9886" s="142">
        <v>398</v>
      </c>
      <c r="J9886" s="142">
        <v>320</v>
      </c>
      <c r="K9886" s="142">
        <v>0</v>
      </c>
      <c r="L9886" s="142">
        <v>30</v>
      </c>
      <c r="M9886" s="142">
        <v>48</v>
      </c>
    </row>
    <row r="9887" spans="1:13" x14ac:dyDescent="0.45">
      <c r="A9887" s="142" t="s">
        <v>13036</v>
      </c>
      <c r="B9887" s="142" t="s">
        <v>15567</v>
      </c>
      <c r="C9887" s="142" t="s">
        <v>15847</v>
      </c>
      <c r="D9887" s="142" t="s">
        <v>15848</v>
      </c>
      <c r="E9887" s="142" t="s">
        <v>15849</v>
      </c>
      <c r="F9887" s="142" t="s">
        <v>224</v>
      </c>
      <c r="G9887" s="142" t="s">
        <v>9395</v>
      </c>
      <c r="H9887" s="142" t="s">
        <v>25737</v>
      </c>
      <c r="I9887" s="142">
        <v>5</v>
      </c>
      <c r="J9887" s="142">
        <v>0</v>
      </c>
      <c r="K9887" s="142">
        <v>0</v>
      </c>
      <c r="L9887" s="142">
        <v>5</v>
      </c>
      <c r="M9887" s="142">
        <v>0</v>
      </c>
    </row>
    <row r="9888" spans="1:13" x14ac:dyDescent="0.45">
      <c r="A9888" s="142" t="s">
        <v>13394</v>
      </c>
      <c r="B9888" s="142" t="s">
        <v>15569</v>
      </c>
      <c r="C9888" s="142" t="s">
        <v>15847</v>
      </c>
      <c r="D9888" s="142" t="s">
        <v>15848</v>
      </c>
      <c r="E9888" s="142" t="s">
        <v>15849</v>
      </c>
      <c r="F9888" s="142" t="s">
        <v>224</v>
      </c>
      <c r="G9888" s="142" t="s">
        <v>9395</v>
      </c>
      <c r="H9888" s="142" t="s">
        <v>25738</v>
      </c>
      <c r="I9888" s="142">
        <v>31</v>
      </c>
      <c r="J9888" s="142">
        <v>31</v>
      </c>
      <c r="K9888" s="142">
        <v>0</v>
      </c>
      <c r="L9888" s="142">
        <v>0</v>
      </c>
      <c r="M9888" s="142">
        <v>0</v>
      </c>
    </row>
    <row r="9889" spans="1:13" x14ac:dyDescent="0.45">
      <c r="A9889" s="142" t="s">
        <v>13009</v>
      </c>
      <c r="B9889" s="142" t="s">
        <v>15256</v>
      </c>
      <c r="C9889" s="142" t="s">
        <v>15847</v>
      </c>
      <c r="D9889" s="142" t="s">
        <v>15848</v>
      </c>
      <c r="E9889" s="142" t="s">
        <v>15849</v>
      </c>
      <c r="F9889" s="142" t="s">
        <v>224</v>
      </c>
      <c r="G9889" s="142" t="s">
        <v>9395</v>
      </c>
      <c r="H9889" s="142" t="s">
        <v>25739</v>
      </c>
      <c r="I9889" s="142">
        <v>8</v>
      </c>
      <c r="J9889" s="142">
        <v>0</v>
      </c>
      <c r="K9889" s="142">
        <v>0</v>
      </c>
      <c r="L9889" s="142">
        <v>8</v>
      </c>
      <c r="M9889" s="142">
        <v>0</v>
      </c>
    </row>
    <row r="9890" spans="1:13" x14ac:dyDescent="0.45">
      <c r="A9890" s="142" t="s">
        <v>13012</v>
      </c>
      <c r="B9890" s="142" t="s">
        <v>15337</v>
      </c>
      <c r="C9890" s="142" t="s">
        <v>15847</v>
      </c>
      <c r="D9890" s="142" t="s">
        <v>15848</v>
      </c>
      <c r="E9890" s="142" t="s">
        <v>15849</v>
      </c>
      <c r="F9890" s="142" t="s">
        <v>224</v>
      </c>
      <c r="G9890" s="142" t="s">
        <v>9395</v>
      </c>
      <c r="H9890" s="142" t="s">
        <v>25740</v>
      </c>
      <c r="I9890" s="142">
        <v>141</v>
      </c>
      <c r="J9890" s="142">
        <v>112</v>
      </c>
      <c r="K9890" s="142">
        <v>0</v>
      </c>
      <c r="L9890" s="142">
        <v>0</v>
      </c>
      <c r="M9890" s="142">
        <v>29</v>
      </c>
    </row>
    <row r="9891" spans="1:13" x14ac:dyDescent="0.45">
      <c r="A9891" s="142" t="s">
        <v>13966</v>
      </c>
      <c r="B9891" s="142" t="s">
        <v>15586</v>
      </c>
      <c r="C9891" s="142" t="s">
        <v>15847</v>
      </c>
      <c r="D9891" s="142" t="s">
        <v>15848</v>
      </c>
      <c r="E9891" s="142" t="s">
        <v>15849</v>
      </c>
      <c r="F9891" s="142" t="s">
        <v>224</v>
      </c>
      <c r="G9891" s="142" t="s">
        <v>9395</v>
      </c>
      <c r="H9891" s="142" t="s">
        <v>25741</v>
      </c>
      <c r="I9891" s="142">
        <v>5928</v>
      </c>
      <c r="J9891" s="142">
        <v>3502</v>
      </c>
      <c r="K9891" s="142">
        <v>0</v>
      </c>
      <c r="L9891" s="142">
        <v>2061</v>
      </c>
      <c r="M9891" s="142">
        <v>365</v>
      </c>
    </row>
    <row r="9892" spans="1:13" x14ac:dyDescent="0.45">
      <c r="A9892" s="142" t="s">
        <v>13016</v>
      </c>
      <c r="B9892" s="142" t="s">
        <v>14535</v>
      </c>
      <c r="C9892" s="142" t="s">
        <v>15860</v>
      </c>
      <c r="D9892" s="142" t="s">
        <v>15861</v>
      </c>
      <c r="E9892" s="142" t="s">
        <v>15849</v>
      </c>
      <c r="F9892" s="142" t="s">
        <v>224</v>
      </c>
      <c r="G9892" s="142" t="s">
        <v>9395</v>
      </c>
      <c r="H9892" s="142" t="s">
        <v>25742</v>
      </c>
      <c r="I9892" s="142">
        <v>9</v>
      </c>
      <c r="J9892" s="142">
        <v>0</v>
      </c>
      <c r="K9892" s="142">
        <v>0</v>
      </c>
      <c r="L9892" s="142">
        <v>9</v>
      </c>
      <c r="M9892" s="142">
        <v>0</v>
      </c>
    </row>
    <row r="9893" spans="1:13" x14ac:dyDescent="0.45">
      <c r="A9893" s="142" t="s">
        <v>13148</v>
      </c>
      <c r="B9893" s="142" t="s">
        <v>15314</v>
      </c>
      <c r="C9893" s="142" t="s">
        <v>15847</v>
      </c>
      <c r="D9893" s="142" t="s">
        <v>15848</v>
      </c>
      <c r="E9893" s="142" t="s">
        <v>15849</v>
      </c>
      <c r="F9893" s="142" t="s">
        <v>223</v>
      </c>
      <c r="G9893" s="142" t="s">
        <v>6370</v>
      </c>
      <c r="H9893" s="142" t="s">
        <v>25743</v>
      </c>
      <c r="I9893" s="142">
        <v>431</v>
      </c>
      <c r="J9893" s="142">
        <v>291</v>
      </c>
      <c r="K9893" s="142">
        <v>0</v>
      </c>
      <c r="L9893" s="142">
        <v>54</v>
      </c>
      <c r="M9893" s="142">
        <v>86</v>
      </c>
    </row>
    <row r="9894" spans="1:13" x14ac:dyDescent="0.45">
      <c r="A9894" s="142" t="s">
        <v>13149</v>
      </c>
      <c r="B9894" s="142" t="s">
        <v>14458</v>
      </c>
      <c r="C9894" s="142" t="s">
        <v>15860</v>
      </c>
      <c r="D9894" s="142" t="s">
        <v>15861</v>
      </c>
      <c r="E9894" s="142" t="s">
        <v>15849</v>
      </c>
      <c r="F9894" s="142" t="s">
        <v>223</v>
      </c>
      <c r="G9894" s="142" t="s">
        <v>6370</v>
      </c>
      <c r="H9894" s="142" t="s">
        <v>25744</v>
      </c>
      <c r="I9894" s="142">
        <v>4</v>
      </c>
      <c r="J9894" s="142">
        <v>0</v>
      </c>
      <c r="K9894" s="142">
        <v>0</v>
      </c>
      <c r="L9894" s="142">
        <v>4</v>
      </c>
      <c r="M9894" s="142">
        <v>0</v>
      </c>
    </row>
    <row r="9895" spans="1:13" x14ac:dyDescent="0.45">
      <c r="A9895" s="142" t="s">
        <v>13028</v>
      </c>
      <c r="B9895" s="142" t="s">
        <v>14462</v>
      </c>
      <c r="C9895" s="142" t="s">
        <v>15847</v>
      </c>
      <c r="D9895" s="142" t="s">
        <v>15848</v>
      </c>
      <c r="E9895" s="142" t="s">
        <v>15849</v>
      </c>
      <c r="F9895" s="142" t="s">
        <v>223</v>
      </c>
      <c r="G9895" s="142" t="s">
        <v>6370</v>
      </c>
      <c r="H9895" s="142" t="s">
        <v>25745</v>
      </c>
      <c r="I9895" s="142">
        <v>83</v>
      </c>
      <c r="J9895" s="142">
        <v>0</v>
      </c>
      <c r="K9895" s="142">
        <v>0</v>
      </c>
      <c r="L9895" s="142">
        <v>0</v>
      </c>
      <c r="M9895" s="142">
        <v>83</v>
      </c>
    </row>
    <row r="9896" spans="1:13" x14ac:dyDescent="0.45">
      <c r="A9896" s="142" t="s">
        <v>13066</v>
      </c>
      <c r="B9896" s="142" t="s">
        <v>14459</v>
      </c>
      <c r="C9896" s="142" t="s">
        <v>15847</v>
      </c>
      <c r="D9896" s="142" t="s">
        <v>15848</v>
      </c>
      <c r="E9896" s="142" t="s">
        <v>15849</v>
      </c>
      <c r="F9896" s="142" t="s">
        <v>223</v>
      </c>
      <c r="G9896" s="142" t="s">
        <v>6370</v>
      </c>
      <c r="H9896" s="142" t="s">
        <v>25746</v>
      </c>
      <c r="I9896" s="142">
        <v>3</v>
      </c>
      <c r="J9896" s="142">
        <v>0</v>
      </c>
      <c r="K9896" s="142">
        <v>0</v>
      </c>
      <c r="L9896" s="142">
        <v>3</v>
      </c>
      <c r="M9896" s="142">
        <v>0</v>
      </c>
    </row>
    <row r="9897" spans="1:13" x14ac:dyDescent="0.45">
      <c r="A9897" s="142" t="s">
        <v>13291</v>
      </c>
      <c r="B9897" s="142" t="s">
        <v>15495</v>
      </c>
      <c r="C9897" s="142" t="s">
        <v>15847</v>
      </c>
      <c r="D9897" s="142" t="s">
        <v>15848</v>
      </c>
      <c r="E9897" s="142" t="s">
        <v>15849</v>
      </c>
      <c r="F9897" s="142" t="s">
        <v>223</v>
      </c>
      <c r="G9897" s="142" t="s">
        <v>6370</v>
      </c>
      <c r="H9897" s="142" t="s">
        <v>25747</v>
      </c>
      <c r="I9897" s="142">
        <v>656</v>
      </c>
      <c r="J9897" s="142">
        <v>595</v>
      </c>
      <c r="K9897" s="142">
        <v>0</v>
      </c>
      <c r="L9897" s="142">
        <v>0</v>
      </c>
      <c r="M9897" s="142">
        <v>61</v>
      </c>
    </row>
    <row r="9898" spans="1:13" x14ac:dyDescent="0.45">
      <c r="A9898" s="142" t="s">
        <v>13201</v>
      </c>
      <c r="B9898" s="142" t="s">
        <v>14481</v>
      </c>
      <c r="C9898" s="142" t="s">
        <v>15860</v>
      </c>
      <c r="D9898" s="142" t="s">
        <v>15861</v>
      </c>
      <c r="E9898" s="142" t="s">
        <v>15849</v>
      </c>
      <c r="F9898" s="142" t="s">
        <v>223</v>
      </c>
      <c r="G9898" s="142" t="s">
        <v>6370</v>
      </c>
      <c r="H9898" s="142" t="s">
        <v>25748</v>
      </c>
      <c r="I9898" s="142">
        <v>14</v>
      </c>
      <c r="J9898" s="142">
        <v>0</v>
      </c>
      <c r="K9898" s="142">
        <v>0</v>
      </c>
      <c r="L9898" s="142">
        <v>14</v>
      </c>
      <c r="M9898" s="142">
        <v>0</v>
      </c>
    </row>
    <row r="9899" spans="1:13" x14ac:dyDescent="0.45">
      <c r="A9899" s="142" t="s">
        <v>13178</v>
      </c>
      <c r="B9899" s="142" t="s">
        <v>14683</v>
      </c>
      <c r="C9899" s="142" t="s">
        <v>15847</v>
      </c>
      <c r="D9899" s="142" t="s">
        <v>15848</v>
      </c>
      <c r="E9899" s="142" t="s">
        <v>15849</v>
      </c>
      <c r="F9899" s="142" t="s">
        <v>223</v>
      </c>
      <c r="G9899" s="142" t="s">
        <v>6370</v>
      </c>
      <c r="H9899" s="142" t="s">
        <v>25749</v>
      </c>
      <c r="I9899" s="142">
        <v>7</v>
      </c>
      <c r="J9899" s="142">
        <v>7</v>
      </c>
      <c r="K9899" s="142">
        <v>0</v>
      </c>
      <c r="L9899" s="142">
        <v>0</v>
      </c>
      <c r="M9899" s="142">
        <v>0</v>
      </c>
    </row>
    <row r="9900" spans="1:13" x14ac:dyDescent="0.45">
      <c r="A9900" s="142" t="s">
        <v>13076</v>
      </c>
      <c r="B9900" s="142" t="s">
        <v>14636</v>
      </c>
      <c r="C9900" s="142" t="s">
        <v>15847</v>
      </c>
      <c r="D9900" s="142" t="s">
        <v>15848</v>
      </c>
      <c r="E9900" s="142" t="s">
        <v>15849</v>
      </c>
      <c r="F9900" s="142" t="s">
        <v>223</v>
      </c>
      <c r="G9900" s="142" t="s">
        <v>6370</v>
      </c>
      <c r="H9900" s="142" t="s">
        <v>25750</v>
      </c>
      <c r="I9900" s="142">
        <v>53</v>
      </c>
      <c r="J9900" s="142">
        <v>16</v>
      </c>
      <c r="K9900" s="142">
        <v>0</v>
      </c>
      <c r="L9900" s="142">
        <v>0</v>
      </c>
      <c r="M9900" s="142">
        <v>37</v>
      </c>
    </row>
    <row r="9901" spans="1:13" x14ac:dyDescent="0.45">
      <c r="A9901" s="142" t="s">
        <v>13005</v>
      </c>
      <c r="B9901" s="142" t="s">
        <v>15475</v>
      </c>
      <c r="C9901" s="142" t="s">
        <v>15847</v>
      </c>
      <c r="D9901" s="142" t="s">
        <v>15848</v>
      </c>
      <c r="E9901" s="142" t="s">
        <v>15849</v>
      </c>
      <c r="F9901" s="142" t="s">
        <v>223</v>
      </c>
      <c r="G9901" s="142" t="s">
        <v>6370</v>
      </c>
      <c r="H9901" s="142" t="s">
        <v>25751</v>
      </c>
      <c r="I9901" s="142">
        <v>33</v>
      </c>
      <c r="J9901" s="142">
        <v>14</v>
      </c>
      <c r="K9901" s="142">
        <v>0</v>
      </c>
      <c r="L9901" s="142">
        <v>0</v>
      </c>
      <c r="M9901" s="142">
        <v>19</v>
      </c>
    </row>
    <row r="9902" spans="1:13" x14ac:dyDescent="0.45">
      <c r="A9902" s="142" t="s">
        <v>13872</v>
      </c>
      <c r="B9902" s="142" t="s">
        <v>15396</v>
      </c>
      <c r="C9902" s="142" t="s">
        <v>15860</v>
      </c>
      <c r="D9902" s="142" t="s">
        <v>15861</v>
      </c>
      <c r="E9902" s="142" t="s">
        <v>15849</v>
      </c>
      <c r="F9902" s="142" t="s">
        <v>223</v>
      </c>
      <c r="G9902" s="142" t="s">
        <v>6370</v>
      </c>
      <c r="H9902" s="142" t="s">
        <v>25752</v>
      </c>
      <c r="I9902" s="142">
        <v>31</v>
      </c>
      <c r="J9902" s="142">
        <v>31</v>
      </c>
      <c r="K9902" s="142">
        <v>0</v>
      </c>
      <c r="L9902" s="142">
        <v>0</v>
      </c>
      <c r="M9902" s="142">
        <v>0</v>
      </c>
    </row>
    <row r="9903" spans="1:13" x14ac:dyDescent="0.45">
      <c r="A9903" s="142" t="s">
        <v>13029</v>
      </c>
      <c r="B9903" s="142" t="s">
        <v>14665</v>
      </c>
      <c r="C9903" s="142" t="s">
        <v>15847</v>
      </c>
      <c r="D9903" s="142" t="s">
        <v>15848</v>
      </c>
      <c r="E9903" s="142" t="s">
        <v>15849</v>
      </c>
      <c r="F9903" s="142" t="s">
        <v>223</v>
      </c>
      <c r="G9903" s="142" t="s">
        <v>6370</v>
      </c>
      <c r="H9903" s="142" t="s">
        <v>25753</v>
      </c>
      <c r="I9903" s="142">
        <v>3</v>
      </c>
      <c r="J9903" s="142">
        <v>0</v>
      </c>
      <c r="K9903" s="142">
        <v>0</v>
      </c>
      <c r="L9903" s="142">
        <v>0</v>
      </c>
      <c r="M9903" s="142">
        <v>3</v>
      </c>
    </row>
    <row r="9904" spans="1:13" x14ac:dyDescent="0.45">
      <c r="A9904" s="142" t="s">
        <v>13284</v>
      </c>
      <c r="B9904" s="142" t="s">
        <v>15364</v>
      </c>
      <c r="C9904" s="142" t="s">
        <v>15847</v>
      </c>
      <c r="D9904" s="142" t="s">
        <v>15848</v>
      </c>
      <c r="E9904" s="142" t="s">
        <v>15849</v>
      </c>
      <c r="F9904" s="142" t="s">
        <v>223</v>
      </c>
      <c r="G9904" s="142" t="s">
        <v>6370</v>
      </c>
      <c r="H9904" s="142" t="s">
        <v>25754</v>
      </c>
      <c r="I9904" s="142">
        <v>13</v>
      </c>
      <c r="J9904" s="142">
        <v>7</v>
      </c>
      <c r="K9904" s="142">
        <v>0</v>
      </c>
      <c r="L9904" s="142">
        <v>0</v>
      </c>
      <c r="M9904" s="142">
        <v>6</v>
      </c>
    </row>
    <row r="9905" spans="1:13" x14ac:dyDescent="0.45">
      <c r="A9905" s="142" t="s">
        <v>13486</v>
      </c>
      <c r="B9905" s="142" t="s">
        <v>14563</v>
      </c>
      <c r="C9905" s="142" t="s">
        <v>15847</v>
      </c>
      <c r="D9905" s="142" t="s">
        <v>15848</v>
      </c>
      <c r="E9905" s="142" t="s">
        <v>15849</v>
      </c>
      <c r="F9905" s="142" t="s">
        <v>223</v>
      </c>
      <c r="G9905" s="142" t="s">
        <v>6370</v>
      </c>
      <c r="H9905" s="142" t="s">
        <v>25755</v>
      </c>
      <c r="I9905" s="142">
        <v>18</v>
      </c>
      <c r="J9905" s="142">
        <v>18</v>
      </c>
      <c r="K9905" s="142">
        <v>0</v>
      </c>
      <c r="L9905" s="142">
        <v>0</v>
      </c>
      <c r="M9905" s="142">
        <v>0</v>
      </c>
    </row>
    <row r="9906" spans="1:13" x14ac:dyDescent="0.45">
      <c r="A9906" s="142" t="s">
        <v>13032</v>
      </c>
      <c r="B9906" s="142" t="s">
        <v>14532</v>
      </c>
      <c r="C9906" s="142" t="s">
        <v>15860</v>
      </c>
      <c r="D9906" s="142" t="s">
        <v>15861</v>
      </c>
      <c r="E9906" s="142" t="s">
        <v>15849</v>
      </c>
      <c r="F9906" s="142" t="s">
        <v>223</v>
      </c>
      <c r="G9906" s="142" t="s">
        <v>6370</v>
      </c>
      <c r="H9906" s="142" t="s">
        <v>25756</v>
      </c>
      <c r="I9906" s="142">
        <v>7</v>
      </c>
      <c r="J9906" s="142">
        <v>0</v>
      </c>
      <c r="K9906" s="142">
        <v>0</v>
      </c>
      <c r="L9906" s="142">
        <v>7</v>
      </c>
      <c r="M9906" s="142">
        <v>0</v>
      </c>
    </row>
    <row r="9907" spans="1:13" x14ac:dyDescent="0.45">
      <c r="A9907" s="142" t="s">
        <v>13033</v>
      </c>
      <c r="B9907" s="142" t="s">
        <v>15276</v>
      </c>
      <c r="C9907" s="142" t="s">
        <v>15847</v>
      </c>
      <c r="D9907" s="142" t="s">
        <v>15848</v>
      </c>
      <c r="E9907" s="142" t="s">
        <v>15849</v>
      </c>
      <c r="F9907" s="142" t="s">
        <v>223</v>
      </c>
      <c r="G9907" s="142" t="s">
        <v>6370</v>
      </c>
      <c r="H9907" s="142" t="s">
        <v>25757</v>
      </c>
      <c r="I9907" s="142">
        <v>397</v>
      </c>
      <c r="J9907" s="142">
        <v>359</v>
      </c>
      <c r="K9907" s="142">
        <v>0</v>
      </c>
      <c r="L9907" s="142">
        <v>0</v>
      </c>
      <c r="M9907" s="142">
        <v>38</v>
      </c>
    </row>
    <row r="9908" spans="1:13" x14ac:dyDescent="0.45">
      <c r="A9908" s="142" t="s">
        <v>13034</v>
      </c>
      <c r="B9908" s="142" t="s">
        <v>15562</v>
      </c>
      <c r="C9908" s="142" t="s">
        <v>15847</v>
      </c>
      <c r="D9908" s="142" t="s">
        <v>15848</v>
      </c>
      <c r="E9908" s="142" t="s">
        <v>15849</v>
      </c>
      <c r="F9908" s="142" t="s">
        <v>223</v>
      </c>
      <c r="G9908" s="142" t="s">
        <v>6370</v>
      </c>
      <c r="H9908" s="142" t="s">
        <v>25758</v>
      </c>
      <c r="I9908" s="142">
        <v>1</v>
      </c>
      <c r="J9908" s="142">
        <v>0</v>
      </c>
      <c r="K9908" s="142">
        <v>0</v>
      </c>
      <c r="L9908" s="142">
        <v>1</v>
      </c>
      <c r="M9908" s="142">
        <v>0</v>
      </c>
    </row>
    <row r="9909" spans="1:13" x14ac:dyDescent="0.45">
      <c r="A9909" s="142" t="s">
        <v>13036</v>
      </c>
      <c r="B9909" s="142" t="s">
        <v>15567</v>
      </c>
      <c r="C9909" s="142" t="s">
        <v>15847</v>
      </c>
      <c r="D9909" s="142" t="s">
        <v>15848</v>
      </c>
      <c r="E9909" s="142" t="s">
        <v>15849</v>
      </c>
      <c r="F9909" s="142" t="s">
        <v>223</v>
      </c>
      <c r="G9909" s="142" t="s">
        <v>6370</v>
      </c>
      <c r="H9909" s="142" t="s">
        <v>25759</v>
      </c>
      <c r="I9909" s="142">
        <v>302</v>
      </c>
      <c r="J9909" s="142">
        <v>160</v>
      </c>
      <c r="K9909" s="142">
        <v>0</v>
      </c>
      <c r="L9909" s="142">
        <v>84</v>
      </c>
      <c r="M9909" s="142">
        <v>58</v>
      </c>
    </row>
    <row r="9910" spans="1:13" x14ac:dyDescent="0.45">
      <c r="A9910" s="142" t="s">
        <v>13105</v>
      </c>
      <c r="B9910" s="142" t="s">
        <v>14654</v>
      </c>
      <c r="C9910" s="142" t="s">
        <v>15847</v>
      </c>
      <c r="D9910" s="142" t="s">
        <v>15848</v>
      </c>
      <c r="E9910" s="142" t="s">
        <v>15849</v>
      </c>
      <c r="F9910" s="142" t="s">
        <v>223</v>
      </c>
      <c r="G9910" s="142" t="s">
        <v>6370</v>
      </c>
      <c r="H9910" s="142" t="s">
        <v>25760</v>
      </c>
      <c r="I9910" s="142">
        <v>5</v>
      </c>
      <c r="J9910" s="142">
        <v>0</v>
      </c>
      <c r="K9910" s="142">
        <v>0</v>
      </c>
      <c r="L9910" s="142">
        <v>0</v>
      </c>
      <c r="M9910" s="142">
        <v>5</v>
      </c>
    </row>
    <row r="9911" spans="1:13" x14ac:dyDescent="0.45">
      <c r="A9911" s="142" t="s">
        <v>13277</v>
      </c>
      <c r="B9911" s="142" t="s">
        <v>14454</v>
      </c>
      <c r="C9911" s="142" t="s">
        <v>15847</v>
      </c>
      <c r="D9911" s="142" t="s">
        <v>15848</v>
      </c>
      <c r="E9911" s="142" t="s">
        <v>15849</v>
      </c>
      <c r="F9911" s="142" t="s">
        <v>223</v>
      </c>
      <c r="G9911" s="142" t="s">
        <v>6370</v>
      </c>
      <c r="H9911" s="142" t="s">
        <v>25761</v>
      </c>
      <c r="I9911" s="142">
        <v>2851</v>
      </c>
      <c r="J9911" s="142">
        <v>2354</v>
      </c>
      <c r="K9911" s="142">
        <v>0</v>
      </c>
      <c r="L9911" s="142">
        <v>476</v>
      </c>
      <c r="M9911" s="142">
        <v>21</v>
      </c>
    </row>
    <row r="9912" spans="1:13" x14ac:dyDescent="0.45">
      <c r="A9912" s="142" t="s">
        <v>13041</v>
      </c>
      <c r="B9912" s="142" t="s">
        <v>14441</v>
      </c>
      <c r="C9912" s="142" t="s">
        <v>15847</v>
      </c>
      <c r="D9912" s="142" t="s">
        <v>15848</v>
      </c>
      <c r="E9912" s="142" t="s">
        <v>15849</v>
      </c>
      <c r="F9912" s="142" t="s">
        <v>223</v>
      </c>
      <c r="G9912" s="142" t="s">
        <v>6370</v>
      </c>
      <c r="H9912" s="142" t="s">
        <v>25762</v>
      </c>
      <c r="I9912" s="142">
        <v>14</v>
      </c>
      <c r="J9912" s="142">
        <v>0</v>
      </c>
      <c r="K9912" s="142">
        <v>0</v>
      </c>
      <c r="L9912" s="142">
        <v>0</v>
      </c>
      <c r="M9912" s="142">
        <v>14</v>
      </c>
    </row>
    <row r="9913" spans="1:13" x14ac:dyDescent="0.45">
      <c r="A9913" s="142" t="s">
        <v>13285</v>
      </c>
      <c r="B9913" s="142" t="s">
        <v>15158</v>
      </c>
      <c r="C9913" s="142" t="s">
        <v>15860</v>
      </c>
      <c r="D9913" s="142" t="s">
        <v>15861</v>
      </c>
      <c r="E9913" s="142" t="s">
        <v>15849</v>
      </c>
      <c r="F9913" s="142" t="s">
        <v>223</v>
      </c>
      <c r="G9913" s="142" t="s">
        <v>6370</v>
      </c>
      <c r="H9913" s="142" t="s">
        <v>25763</v>
      </c>
      <c r="I9913" s="142">
        <v>12</v>
      </c>
      <c r="J9913" s="142">
        <v>0</v>
      </c>
      <c r="K9913" s="142">
        <v>0</v>
      </c>
      <c r="L9913" s="142">
        <v>12</v>
      </c>
      <c r="M9913" s="142">
        <v>0</v>
      </c>
    </row>
    <row r="9914" spans="1:13" x14ac:dyDescent="0.45">
      <c r="A9914" s="142" t="s">
        <v>13014</v>
      </c>
      <c r="B9914" s="142" t="s">
        <v>14505</v>
      </c>
      <c r="C9914" s="142" t="s">
        <v>15847</v>
      </c>
      <c r="D9914" s="142" t="s">
        <v>15848</v>
      </c>
      <c r="E9914" s="142" t="s">
        <v>15849</v>
      </c>
      <c r="F9914" s="142" t="s">
        <v>223</v>
      </c>
      <c r="G9914" s="142" t="s">
        <v>6370</v>
      </c>
      <c r="H9914" s="142" t="s">
        <v>25764</v>
      </c>
      <c r="I9914" s="142">
        <v>1</v>
      </c>
      <c r="J9914" s="142">
        <v>0</v>
      </c>
      <c r="K9914" s="142">
        <v>0</v>
      </c>
      <c r="L9914" s="142">
        <v>0</v>
      </c>
      <c r="M9914" s="142">
        <v>1</v>
      </c>
    </row>
    <row r="9915" spans="1:13" x14ac:dyDescent="0.45">
      <c r="A9915" s="142" t="s">
        <v>13286</v>
      </c>
      <c r="B9915" s="142" t="s">
        <v>15342</v>
      </c>
      <c r="C9915" s="142" t="s">
        <v>15847</v>
      </c>
      <c r="D9915" s="142" t="s">
        <v>15848</v>
      </c>
      <c r="E9915" s="142" t="s">
        <v>15849</v>
      </c>
      <c r="F9915" s="142" t="s">
        <v>223</v>
      </c>
      <c r="G9915" s="142" t="s">
        <v>6370</v>
      </c>
      <c r="H9915" s="142" t="s">
        <v>25765</v>
      </c>
      <c r="I9915" s="142">
        <v>34</v>
      </c>
      <c r="J9915" s="142">
        <v>0</v>
      </c>
      <c r="K9915" s="142">
        <v>0</v>
      </c>
      <c r="L9915" s="142">
        <v>10</v>
      </c>
      <c r="M9915" s="142">
        <v>24</v>
      </c>
    </row>
    <row r="9916" spans="1:13" x14ac:dyDescent="0.45">
      <c r="A9916" s="142" t="s">
        <v>13146</v>
      </c>
      <c r="B9916" s="142" t="s">
        <v>15310</v>
      </c>
      <c r="C9916" s="142" t="s">
        <v>15847</v>
      </c>
      <c r="D9916" s="142" t="s">
        <v>15848</v>
      </c>
      <c r="E9916" s="142" t="s">
        <v>15849</v>
      </c>
      <c r="F9916" s="142" t="s">
        <v>225</v>
      </c>
      <c r="G9916" s="142" t="s">
        <v>855</v>
      </c>
      <c r="H9916" s="142" t="s">
        <v>25766</v>
      </c>
      <c r="I9916" s="142">
        <v>560</v>
      </c>
      <c r="J9916" s="142">
        <v>335</v>
      </c>
      <c r="K9916" s="142">
        <v>2</v>
      </c>
      <c r="L9916" s="142">
        <v>203</v>
      </c>
      <c r="M9916" s="142">
        <v>20</v>
      </c>
    </row>
    <row r="9917" spans="1:13" x14ac:dyDescent="0.45">
      <c r="A9917" s="142" t="s">
        <v>13072</v>
      </c>
      <c r="B9917" s="142" t="s">
        <v>15530</v>
      </c>
      <c r="C9917" s="142" t="s">
        <v>15847</v>
      </c>
      <c r="D9917" s="142" t="s">
        <v>15848</v>
      </c>
      <c r="E9917" s="142" t="s">
        <v>15849</v>
      </c>
      <c r="F9917" s="142" t="s">
        <v>225</v>
      </c>
      <c r="G9917" s="142" t="s">
        <v>855</v>
      </c>
      <c r="H9917" s="142" t="s">
        <v>25767</v>
      </c>
      <c r="I9917" s="142">
        <v>164</v>
      </c>
      <c r="J9917" s="142">
        <v>128</v>
      </c>
      <c r="K9917" s="142">
        <v>0</v>
      </c>
      <c r="L9917" s="142">
        <v>0</v>
      </c>
      <c r="M9917" s="142">
        <v>36</v>
      </c>
    </row>
    <row r="9918" spans="1:13" x14ac:dyDescent="0.45">
      <c r="A9918" s="142" t="s">
        <v>13021</v>
      </c>
      <c r="B9918" s="142" t="s">
        <v>15501</v>
      </c>
      <c r="C9918" s="142" t="s">
        <v>15847</v>
      </c>
      <c r="D9918" s="142" t="s">
        <v>15848</v>
      </c>
      <c r="E9918" s="142" t="s">
        <v>15849</v>
      </c>
      <c r="F9918" s="142" t="s">
        <v>225</v>
      </c>
      <c r="G9918" s="142" t="s">
        <v>855</v>
      </c>
      <c r="H9918" s="142" t="s">
        <v>25768</v>
      </c>
      <c r="I9918" s="142">
        <v>1</v>
      </c>
      <c r="J9918" s="142">
        <v>0</v>
      </c>
      <c r="K9918" s="142">
        <v>0</v>
      </c>
      <c r="L9918" s="142">
        <v>0</v>
      </c>
      <c r="M9918" s="142">
        <v>1</v>
      </c>
    </row>
    <row r="9919" spans="1:13" x14ac:dyDescent="0.45">
      <c r="A9919" s="142" t="s">
        <v>13023</v>
      </c>
      <c r="B9919" s="142" t="s">
        <v>15571</v>
      </c>
      <c r="C9919" s="142" t="s">
        <v>15847</v>
      </c>
      <c r="D9919" s="142" t="s">
        <v>15848</v>
      </c>
      <c r="E9919" s="142" t="s">
        <v>15849</v>
      </c>
      <c r="F9919" s="142" t="s">
        <v>225</v>
      </c>
      <c r="G9919" s="142" t="s">
        <v>855</v>
      </c>
      <c r="H9919" s="142" t="s">
        <v>25769</v>
      </c>
      <c r="I9919" s="142">
        <v>166</v>
      </c>
      <c r="J9919" s="142">
        <v>0</v>
      </c>
      <c r="K9919" s="142">
        <v>0</v>
      </c>
      <c r="L9919" s="142">
        <v>166</v>
      </c>
      <c r="M9919" s="142">
        <v>0</v>
      </c>
    </row>
    <row r="9920" spans="1:13" x14ac:dyDescent="0.45">
      <c r="A9920" s="142" t="s">
        <v>13065</v>
      </c>
      <c r="B9920" s="142" t="s">
        <v>14497</v>
      </c>
      <c r="C9920" s="142" t="s">
        <v>15847</v>
      </c>
      <c r="D9920" s="142" t="s">
        <v>15848</v>
      </c>
      <c r="E9920" s="142" t="s">
        <v>15849</v>
      </c>
      <c r="F9920" s="142" t="s">
        <v>225</v>
      </c>
      <c r="G9920" s="142" t="s">
        <v>855</v>
      </c>
      <c r="H9920" s="142" t="s">
        <v>25770</v>
      </c>
      <c r="I9920" s="142">
        <v>4</v>
      </c>
      <c r="J9920" s="142">
        <v>0</v>
      </c>
      <c r="K9920" s="142">
        <v>0</v>
      </c>
      <c r="L9920" s="142">
        <v>4</v>
      </c>
      <c r="M9920" s="142">
        <v>0</v>
      </c>
    </row>
    <row r="9921" spans="1:13" x14ac:dyDescent="0.45">
      <c r="A9921" s="142" t="s">
        <v>13115</v>
      </c>
      <c r="B9921" s="142" t="s">
        <v>14508</v>
      </c>
      <c r="C9921" s="142" t="s">
        <v>15860</v>
      </c>
      <c r="D9921" s="142" t="s">
        <v>15861</v>
      </c>
      <c r="E9921" s="142" t="s">
        <v>15849</v>
      </c>
      <c r="F9921" s="142" t="s">
        <v>225</v>
      </c>
      <c r="G9921" s="142" t="s">
        <v>855</v>
      </c>
      <c r="H9921" s="142" t="s">
        <v>25771</v>
      </c>
      <c r="I9921" s="142">
        <v>11</v>
      </c>
      <c r="J9921" s="142">
        <v>0</v>
      </c>
      <c r="K9921" s="142">
        <v>0</v>
      </c>
      <c r="L9921" s="142">
        <v>11</v>
      </c>
      <c r="M9921" s="142">
        <v>0</v>
      </c>
    </row>
    <row r="9922" spans="1:13" x14ac:dyDescent="0.45">
      <c r="A9922" s="142" t="s">
        <v>13595</v>
      </c>
      <c r="B9922" s="142" t="s">
        <v>15566</v>
      </c>
      <c r="C9922" s="142" t="s">
        <v>15847</v>
      </c>
      <c r="D9922" s="142" t="s">
        <v>15848</v>
      </c>
      <c r="E9922" s="142" t="s">
        <v>15849</v>
      </c>
      <c r="F9922" s="142" t="s">
        <v>225</v>
      </c>
      <c r="G9922" s="142" t="s">
        <v>855</v>
      </c>
      <c r="H9922" s="142" t="s">
        <v>25772</v>
      </c>
      <c r="I9922" s="142">
        <v>66</v>
      </c>
      <c r="J9922" s="142">
        <v>65</v>
      </c>
      <c r="K9922" s="142">
        <v>0</v>
      </c>
      <c r="L9922" s="142">
        <v>0</v>
      </c>
      <c r="M9922" s="142">
        <v>1</v>
      </c>
    </row>
    <row r="9923" spans="1:13" x14ac:dyDescent="0.45">
      <c r="A9923" s="142" t="s">
        <v>13000</v>
      </c>
      <c r="B9923" s="142" t="s">
        <v>14610</v>
      </c>
      <c r="C9923" s="142" t="s">
        <v>15847</v>
      </c>
      <c r="D9923" s="142" t="s">
        <v>15848</v>
      </c>
      <c r="E9923" s="142" t="s">
        <v>15849</v>
      </c>
      <c r="F9923" s="142" t="s">
        <v>225</v>
      </c>
      <c r="G9923" s="142" t="s">
        <v>855</v>
      </c>
      <c r="H9923" s="142" t="s">
        <v>25773</v>
      </c>
      <c r="I9923" s="142">
        <v>101</v>
      </c>
      <c r="J9923" s="142">
        <v>8</v>
      </c>
      <c r="K9923" s="142">
        <v>0</v>
      </c>
      <c r="L9923" s="142">
        <v>0</v>
      </c>
      <c r="M9923" s="142">
        <v>93</v>
      </c>
    </row>
    <row r="9924" spans="1:13" x14ac:dyDescent="0.45">
      <c r="A9924" s="142" t="s">
        <v>14404</v>
      </c>
      <c r="B9924" s="142" t="s">
        <v>14841</v>
      </c>
      <c r="C9924" s="142" t="s">
        <v>15860</v>
      </c>
      <c r="D9924" s="142" t="s">
        <v>15861</v>
      </c>
      <c r="E9924" s="142" t="s">
        <v>15849</v>
      </c>
      <c r="F9924" s="142" t="s">
        <v>225</v>
      </c>
      <c r="G9924" s="142" t="s">
        <v>855</v>
      </c>
      <c r="H9924" s="142" t="s">
        <v>25774</v>
      </c>
      <c r="I9924" s="142">
        <v>12</v>
      </c>
      <c r="J9924" s="142">
        <v>0</v>
      </c>
      <c r="K9924" s="142">
        <v>0</v>
      </c>
      <c r="L9924" s="142">
        <v>12</v>
      </c>
      <c r="M9924" s="142">
        <v>0</v>
      </c>
    </row>
    <row r="9925" spans="1:13" x14ac:dyDescent="0.45">
      <c r="A9925" s="142" t="s">
        <v>13119</v>
      </c>
      <c r="B9925" s="142" t="s">
        <v>14451</v>
      </c>
      <c r="C9925" s="142" t="s">
        <v>15860</v>
      </c>
      <c r="D9925" s="142" t="s">
        <v>15861</v>
      </c>
      <c r="E9925" s="142" t="s">
        <v>15849</v>
      </c>
      <c r="F9925" s="142" t="s">
        <v>225</v>
      </c>
      <c r="G9925" s="142" t="s">
        <v>855</v>
      </c>
      <c r="H9925" s="142" t="s">
        <v>25775</v>
      </c>
      <c r="I9925" s="142">
        <v>6</v>
      </c>
      <c r="J9925" s="142">
        <v>0</v>
      </c>
      <c r="K9925" s="142">
        <v>0</v>
      </c>
      <c r="L9925" s="142">
        <v>6</v>
      </c>
      <c r="M9925" s="142">
        <v>0</v>
      </c>
    </row>
    <row r="9926" spans="1:13" x14ac:dyDescent="0.45">
      <c r="A9926" s="142" t="s">
        <v>13027</v>
      </c>
      <c r="B9926" s="142" t="s">
        <v>14562</v>
      </c>
      <c r="C9926" s="142" t="s">
        <v>15847</v>
      </c>
      <c r="D9926" s="142" t="s">
        <v>15848</v>
      </c>
      <c r="E9926" s="142" t="s">
        <v>15849</v>
      </c>
      <c r="F9926" s="142" t="s">
        <v>225</v>
      </c>
      <c r="G9926" s="142" t="s">
        <v>855</v>
      </c>
      <c r="H9926" s="142" t="s">
        <v>25776</v>
      </c>
      <c r="I9926" s="142">
        <v>8</v>
      </c>
      <c r="J9926" s="142">
        <v>0</v>
      </c>
      <c r="K9926" s="142">
        <v>0</v>
      </c>
      <c r="L9926" s="142">
        <v>8</v>
      </c>
      <c r="M9926" s="142">
        <v>0</v>
      </c>
    </row>
    <row r="9927" spans="1:13" x14ac:dyDescent="0.45">
      <c r="A9927" s="142" t="s">
        <v>13001</v>
      </c>
      <c r="B9927" s="142" t="s">
        <v>15506</v>
      </c>
      <c r="C9927" s="142" t="s">
        <v>15847</v>
      </c>
      <c r="D9927" s="142" t="s">
        <v>15848</v>
      </c>
      <c r="E9927" s="142" t="s">
        <v>15849</v>
      </c>
      <c r="F9927" s="142" t="s">
        <v>225</v>
      </c>
      <c r="G9927" s="142" t="s">
        <v>855</v>
      </c>
      <c r="H9927" s="142" t="s">
        <v>25777</v>
      </c>
      <c r="I9927" s="142">
        <v>12</v>
      </c>
      <c r="J9927" s="142">
        <v>10</v>
      </c>
      <c r="K9927" s="142">
        <v>0</v>
      </c>
      <c r="L9927" s="142">
        <v>2</v>
      </c>
      <c r="M9927" s="142">
        <v>0</v>
      </c>
    </row>
    <row r="9928" spans="1:13" x14ac:dyDescent="0.45">
      <c r="A9928" s="142" t="s">
        <v>13002</v>
      </c>
      <c r="B9928" s="142" t="s">
        <v>15376</v>
      </c>
      <c r="C9928" s="142" t="s">
        <v>15847</v>
      </c>
      <c r="D9928" s="142" t="s">
        <v>15848</v>
      </c>
      <c r="E9928" s="142" t="s">
        <v>15849</v>
      </c>
      <c r="F9928" s="142" t="s">
        <v>225</v>
      </c>
      <c r="G9928" s="142" t="s">
        <v>855</v>
      </c>
      <c r="H9928" s="142" t="s">
        <v>25778</v>
      </c>
      <c r="I9928" s="142">
        <v>616</v>
      </c>
      <c r="J9928" s="142">
        <v>575</v>
      </c>
      <c r="K9928" s="142">
        <v>0</v>
      </c>
      <c r="L9928" s="142">
        <v>5</v>
      </c>
      <c r="M9928" s="142">
        <v>36</v>
      </c>
    </row>
    <row r="9929" spans="1:13" x14ac:dyDescent="0.45">
      <c r="A9929" s="142" t="s">
        <v>13003</v>
      </c>
      <c r="B9929" s="142" t="s">
        <v>15245</v>
      </c>
      <c r="C9929" s="142" t="s">
        <v>15847</v>
      </c>
      <c r="D9929" s="142" t="s">
        <v>15848</v>
      </c>
      <c r="E9929" s="142" t="s">
        <v>15849</v>
      </c>
      <c r="F9929" s="142" t="s">
        <v>225</v>
      </c>
      <c r="G9929" s="142" t="s">
        <v>855</v>
      </c>
      <c r="H9929" s="142" t="s">
        <v>25779</v>
      </c>
      <c r="I9929" s="142">
        <v>32</v>
      </c>
      <c r="J9929" s="142">
        <v>0</v>
      </c>
      <c r="K9929" s="142">
        <v>0</v>
      </c>
      <c r="L9929" s="142">
        <v>32</v>
      </c>
      <c r="M9929" s="142">
        <v>0</v>
      </c>
    </row>
    <row r="9930" spans="1:13" x14ac:dyDescent="0.45">
      <c r="A9930" s="142" t="s">
        <v>13066</v>
      </c>
      <c r="B9930" s="142" t="s">
        <v>14459</v>
      </c>
      <c r="C9930" s="142" t="s">
        <v>15847</v>
      </c>
      <c r="D9930" s="142" t="s">
        <v>15848</v>
      </c>
      <c r="E9930" s="142" t="s">
        <v>15849</v>
      </c>
      <c r="F9930" s="142" t="s">
        <v>225</v>
      </c>
      <c r="G9930" s="142" t="s">
        <v>855</v>
      </c>
      <c r="H9930" s="142" t="s">
        <v>25780</v>
      </c>
      <c r="I9930" s="142">
        <v>9</v>
      </c>
      <c r="J9930" s="142">
        <v>0</v>
      </c>
      <c r="K9930" s="142">
        <v>0</v>
      </c>
      <c r="L9930" s="142">
        <v>9</v>
      </c>
      <c r="M9930" s="142">
        <v>0</v>
      </c>
    </row>
    <row r="9931" spans="1:13" x14ac:dyDescent="0.45">
      <c r="A9931" s="142" t="s">
        <v>13657</v>
      </c>
      <c r="B9931" s="142" t="s">
        <v>14644</v>
      </c>
      <c r="C9931" s="142" t="s">
        <v>15847</v>
      </c>
      <c r="D9931" s="142" t="s">
        <v>15848</v>
      </c>
      <c r="E9931" s="142" t="s">
        <v>15849</v>
      </c>
      <c r="F9931" s="142" t="s">
        <v>225</v>
      </c>
      <c r="G9931" s="142" t="s">
        <v>855</v>
      </c>
      <c r="H9931" s="142" t="s">
        <v>25781</v>
      </c>
      <c r="I9931" s="142">
        <v>1753</v>
      </c>
      <c r="J9931" s="142">
        <v>1221</v>
      </c>
      <c r="K9931" s="142">
        <v>0</v>
      </c>
      <c r="L9931" s="142">
        <v>153</v>
      </c>
      <c r="M9931" s="142">
        <v>379</v>
      </c>
    </row>
    <row r="9932" spans="1:13" x14ac:dyDescent="0.45">
      <c r="A9932" s="142" t="s">
        <v>13557</v>
      </c>
      <c r="B9932" s="142" t="s">
        <v>14592</v>
      </c>
      <c r="C9932" s="142" t="s">
        <v>15847</v>
      </c>
      <c r="D9932" s="142" t="s">
        <v>15848</v>
      </c>
      <c r="E9932" s="142" t="s">
        <v>15849</v>
      </c>
      <c r="F9932" s="142" t="s">
        <v>225</v>
      </c>
      <c r="G9932" s="142" t="s">
        <v>855</v>
      </c>
      <c r="H9932" s="142" t="s">
        <v>25782</v>
      </c>
      <c r="I9932" s="142">
        <v>182</v>
      </c>
      <c r="J9932" s="142">
        <v>182</v>
      </c>
      <c r="K9932" s="142">
        <v>0</v>
      </c>
      <c r="L9932" s="142">
        <v>0</v>
      </c>
      <c r="M9932" s="142">
        <v>0</v>
      </c>
    </row>
    <row r="9933" spans="1:13" x14ac:dyDescent="0.45">
      <c r="A9933" s="142" t="s">
        <v>13192</v>
      </c>
      <c r="B9933" s="142" t="s">
        <v>15539</v>
      </c>
      <c r="C9933" s="142" t="s">
        <v>15860</v>
      </c>
      <c r="D9933" s="142" t="s">
        <v>15861</v>
      </c>
      <c r="E9933" s="142" t="s">
        <v>15849</v>
      </c>
      <c r="F9933" s="142" t="s">
        <v>225</v>
      </c>
      <c r="G9933" s="142" t="s">
        <v>855</v>
      </c>
      <c r="H9933" s="142" t="s">
        <v>25783</v>
      </c>
      <c r="I9933" s="142">
        <v>30</v>
      </c>
      <c r="J9933" s="142">
        <v>0</v>
      </c>
      <c r="K9933" s="142">
        <v>0</v>
      </c>
      <c r="L9933" s="142">
        <v>30</v>
      </c>
      <c r="M9933" s="142">
        <v>0</v>
      </c>
    </row>
    <row r="9934" spans="1:13" x14ac:dyDescent="0.45">
      <c r="A9934" s="142" t="s">
        <v>13033</v>
      </c>
      <c r="B9934" s="142" t="s">
        <v>15276</v>
      </c>
      <c r="C9934" s="142" t="s">
        <v>15847</v>
      </c>
      <c r="D9934" s="142" t="s">
        <v>15848</v>
      </c>
      <c r="E9934" s="142" t="s">
        <v>15849</v>
      </c>
      <c r="F9934" s="142" t="s">
        <v>225</v>
      </c>
      <c r="G9934" s="142" t="s">
        <v>855</v>
      </c>
      <c r="H9934" s="142" t="s">
        <v>25784</v>
      </c>
      <c r="I9934" s="142">
        <v>2</v>
      </c>
      <c r="J9934" s="142">
        <v>0</v>
      </c>
      <c r="K9934" s="142">
        <v>0</v>
      </c>
      <c r="L9934" s="142">
        <v>0</v>
      </c>
      <c r="M9934" s="142">
        <v>2</v>
      </c>
    </row>
    <row r="9935" spans="1:13" x14ac:dyDescent="0.45">
      <c r="A9935" s="142" t="s">
        <v>13036</v>
      </c>
      <c r="B9935" s="142" t="s">
        <v>15567</v>
      </c>
      <c r="C9935" s="142" t="s">
        <v>15847</v>
      </c>
      <c r="D9935" s="142" t="s">
        <v>15848</v>
      </c>
      <c r="E9935" s="142" t="s">
        <v>15849</v>
      </c>
      <c r="F9935" s="142" t="s">
        <v>225</v>
      </c>
      <c r="G9935" s="142" t="s">
        <v>855</v>
      </c>
      <c r="H9935" s="142" t="s">
        <v>25785</v>
      </c>
      <c r="I9935" s="142">
        <v>27</v>
      </c>
      <c r="J9935" s="142">
        <v>0</v>
      </c>
      <c r="K9935" s="142">
        <v>0</v>
      </c>
      <c r="L9935" s="142">
        <v>27</v>
      </c>
      <c r="M9935" s="142">
        <v>0</v>
      </c>
    </row>
    <row r="9936" spans="1:13" x14ac:dyDescent="0.45">
      <c r="A9936" s="142" t="s">
        <v>13560</v>
      </c>
      <c r="B9936" s="142" t="s">
        <v>14778</v>
      </c>
      <c r="C9936" s="142" t="s">
        <v>15847</v>
      </c>
      <c r="D9936" s="142" t="s">
        <v>15848</v>
      </c>
      <c r="E9936" s="142" t="s">
        <v>15849</v>
      </c>
      <c r="F9936" s="142" t="s">
        <v>225</v>
      </c>
      <c r="G9936" s="142" t="s">
        <v>855</v>
      </c>
      <c r="H9936" s="142" t="s">
        <v>25786</v>
      </c>
      <c r="I9936" s="142">
        <v>195</v>
      </c>
      <c r="J9936" s="142">
        <v>57</v>
      </c>
      <c r="K9936" s="142">
        <v>0</v>
      </c>
      <c r="L9936" s="142">
        <v>136</v>
      </c>
      <c r="M9936" s="142">
        <v>2</v>
      </c>
    </row>
    <row r="9937" spans="1:13" x14ac:dyDescent="0.45">
      <c r="A9937" s="142" t="s">
        <v>13107</v>
      </c>
      <c r="B9937" s="142" t="s">
        <v>14522</v>
      </c>
      <c r="C9937" s="142" t="s">
        <v>15860</v>
      </c>
      <c r="D9937" s="142" t="s">
        <v>15861</v>
      </c>
      <c r="E9937" s="142" t="s">
        <v>15849</v>
      </c>
      <c r="F9937" s="142" t="s">
        <v>225</v>
      </c>
      <c r="G9937" s="142" t="s">
        <v>855</v>
      </c>
      <c r="H9937" s="142" t="s">
        <v>25787</v>
      </c>
      <c r="I9937" s="142">
        <v>2</v>
      </c>
      <c r="J9937" s="142">
        <v>0</v>
      </c>
      <c r="K9937" s="142">
        <v>0</v>
      </c>
      <c r="L9937" s="142">
        <v>2</v>
      </c>
      <c r="M9937" s="142">
        <v>0</v>
      </c>
    </row>
    <row r="9938" spans="1:13" x14ac:dyDescent="0.45">
      <c r="A9938" s="142" t="s">
        <v>14405</v>
      </c>
      <c r="B9938" s="142" t="s">
        <v>15174</v>
      </c>
      <c r="C9938" s="142" t="s">
        <v>15860</v>
      </c>
      <c r="D9938" s="142" t="s">
        <v>15861</v>
      </c>
      <c r="E9938" s="142" t="s">
        <v>15849</v>
      </c>
      <c r="F9938" s="142" t="s">
        <v>225</v>
      </c>
      <c r="G9938" s="142" t="s">
        <v>855</v>
      </c>
      <c r="H9938" s="142" t="s">
        <v>25788</v>
      </c>
      <c r="I9938" s="142">
        <v>44</v>
      </c>
      <c r="J9938" s="142">
        <v>0</v>
      </c>
      <c r="K9938" s="142">
        <v>0</v>
      </c>
      <c r="L9938" s="142">
        <v>44</v>
      </c>
      <c r="M9938" s="142">
        <v>0</v>
      </c>
    </row>
    <row r="9939" spans="1:13" x14ac:dyDescent="0.45">
      <c r="A9939" s="142" t="s">
        <v>13014</v>
      </c>
      <c r="B9939" s="142" t="s">
        <v>14505</v>
      </c>
      <c r="C9939" s="142" t="s">
        <v>15847</v>
      </c>
      <c r="D9939" s="142" t="s">
        <v>15848</v>
      </c>
      <c r="E9939" s="142" t="s">
        <v>15849</v>
      </c>
      <c r="F9939" s="142" t="s">
        <v>225</v>
      </c>
      <c r="G9939" s="142" t="s">
        <v>855</v>
      </c>
      <c r="H9939" s="142" t="s">
        <v>25789</v>
      </c>
      <c r="I9939" s="142">
        <v>1</v>
      </c>
      <c r="J9939" s="142">
        <v>0</v>
      </c>
      <c r="K9939" s="142">
        <v>0</v>
      </c>
      <c r="L9939" s="142">
        <v>0</v>
      </c>
      <c r="M9939" s="142">
        <v>1</v>
      </c>
    </row>
    <row r="9940" spans="1:13" x14ac:dyDescent="0.45">
      <c r="A9940" s="142" t="s">
        <v>13042</v>
      </c>
      <c r="B9940" s="142" t="s">
        <v>15489</v>
      </c>
      <c r="C9940" s="142" t="s">
        <v>15847</v>
      </c>
      <c r="D9940" s="142" t="s">
        <v>15848</v>
      </c>
      <c r="E9940" s="142" t="s">
        <v>15849</v>
      </c>
      <c r="F9940" s="142" t="s">
        <v>225</v>
      </c>
      <c r="G9940" s="142" t="s">
        <v>855</v>
      </c>
      <c r="H9940" s="142" t="s">
        <v>25790</v>
      </c>
      <c r="I9940" s="142">
        <v>101</v>
      </c>
      <c r="J9940" s="142">
        <v>68</v>
      </c>
      <c r="K9940" s="142">
        <v>0</v>
      </c>
      <c r="L9940" s="142">
        <v>33</v>
      </c>
      <c r="M9940" s="142">
        <v>0</v>
      </c>
    </row>
    <row r="9941" spans="1:13" x14ac:dyDescent="0.45">
      <c r="A9941" s="142" t="s">
        <v>13096</v>
      </c>
      <c r="B9941" s="142" t="s">
        <v>15478</v>
      </c>
      <c r="C9941" s="142" t="s">
        <v>15847</v>
      </c>
      <c r="D9941" s="142" t="s">
        <v>15848</v>
      </c>
      <c r="E9941" s="142" t="s">
        <v>15849</v>
      </c>
      <c r="F9941" s="142" t="s">
        <v>225</v>
      </c>
      <c r="G9941" s="142" t="s">
        <v>855</v>
      </c>
      <c r="H9941" s="142" t="s">
        <v>25791</v>
      </c>
      <c r="I9941" s="142">
        <v>305</v>
      </c>
      <c r="J9941" s="142">
        <v>271</v>
      </c>
      <c r="K9941" s="142">
        <v>0</v>
      </c>
      <c r="L9941" s="142">
        <v>0</v>
      </c>
      <c r="M9941" s="142">
        <v>34</v>
      </c>
    </row>
    <row r="9942" spans="1:13" x14ac:dyDescent="0.45">
      <c r="A9942" s="142" t="s">
        <v>13154</v>
      </c>
      <c r="B9942" s="142" t="s">
        <v>15415</v>
      </c>
      <c r="C9942" s="142" t="s">
        <v>15847</v>
      </c>
      <c r="D9942" s="142" t="s">
        <v>15848</v>
      </c>
      <c r="E9942" s="142" t="s">
        <v>15849</v>
      </c>
      <c r="F9942" s="142" t="s">
        <v>225</v>
      </c>
      <c r="G9942" s="142" t="s">
        <v>855</v>
      </c>
      <c r="H9942" s="142" t="s">
        <v>25792</v>
      </c>
      <c r="I9942" s="142">
        <v>32</v>
      </c>
      <c r="J9942" s="142">
        <v>23</v>
      </c>
      <c r="K9942" s="142">
        <v>0</v>
      </c>
      <c r="L9942" s="142">
        <v>0</v>
      </c>
      <c r="M9942" s="142">
        <v>9</v>
      </c>
    </row>
    <row r="9943" spans="1:13" x14ac:dyDescent="0.45">
      <c r="A9943" s="142" t="s">
        <v>13155</v>
      </c>
      <c r="B9943" s="142" t="s">
        <v>15455</v>
      </c>
      <c r="C9943" s="142" t="s">
        <v>15847</v>
      </c>
      <c r="D9943" s="142" t="s">
        <v>15848</v>
      </c>
      <c r="E9943" s="142" t="s">
        <v>15849</v>
      </c>
      <c r="F9943" s="142" t="s">
        <v>225</v>
      </c>
      <c r="G9943" s="142" t="s">
        <v>855</v>
      </c>
      <c r="H9943" s="142" t="s">
        <v>25793</v>
      </c>
      <c r="I9943" s="142">
        <v>2</v>
      </c>
      <c r="J9943" s="142">
        <v>2</v>
      </c>
      <c r="K9943" s="142">
        <v>0</v>
      </c>
      <c r="L9943" s="142">
        <v>0</v>
      </c>
      <c r="M9943" s="142">
        <v>0</v>
      </c>
    </row>
    <row r="9944" spans="1:13" x14ac:dyDescent="0.45">
      <c r="A9944" s="142" t="s">
        <v>13157</v>
      </c>
      <c r="B9944" s="142" t="s">
        <v>15477</v>
      </c>
      <c r="C9944" s="142" t="s">
        <v>15847</v>
      </c>
      <c r="D9944" s="142" t="s">
        <v>15848</v>
      </c>
      <c r="E9944" s="142" t="s">
        <v>15849</v>
      </c>
      <c r="F9944" s="142" t="s">
        <v>225</v>
      </c>
      <c r="G9944" s="142" t="s">
        <v>855</v>
      </c>
      <c r="H9944" s="142" t="s">
        <v>25794</v>
      </c>
      <c r="I9944" s="142">
        <v>1485</v>
      </c>
      <c r="J9944" s="142">
        <v>1276</v>
      </c>
      <c r="K9944" s="142">
        <v>0</v>
      </c>
      <c r="L9944" s="142">
        <v>138</v>
      </c>
      <c r="M9944" s="142">
        <v>71</v>
      </c>
    </row>
    <row r="9945" spans="1:13" x14ac:dyDescent="0.45">
      <c r="A9945" s="142" t="s">
        <v>12999</v>
      </c>
      <c r="B9945" s="142" t="s">
        <v>15609</v>
      </c>
      <c r="C9945" s="142" t="s">
        <v>25795</v>
      </c>
      <c r="D9945" s="142" t="s">
        <v>25795</v>
      </c>
      <c r="E9945" s="142" t="s">
        <v>25796</v>
      </c>
      <c r="F9945" s="142" t="s">
        <v>8903</v>
      </c>
      <c r="G9945" s="142" t="s">
        <v>8902</v>
      </c>
      <c r="H9945" s="142" t="s">
        <v>25797</v>
      </c>
      <c r="I9945" s="142">
        <v>2528</v>
      </c>
      <c r="J9945" s="142">
        <v>2261</v>
      </c>
      <c r="K9945" s="142">
        <v>0</v>
      </c>
      <c r="L9945" s="142">
        <v>267</v>
      </c>
      <c r="M9945" s="142">
        <v>0</v>
      </c>
    </row>
    <row r="9946" spans="1:13" x14ac:dyDescent="0.45">
      <c r="A9946" s="142" t="s">
        <v>13018</v>
      </c>
      <c r="B9946" s="142" t="s">
        <v>15610</v>
      </c>
      <c r="C9946" s="142" t="s">
        <v>25795</v>
      </c>
      <c r="D9946" s="142" t="s">
        <v>25795</v>
      </c>
      <c r="E9946" s="142" t="s">
        <v>25796</v>
      </c>
      <c r="F9946" s="142" t="s">
        <v>3126</v>
      </c>
      <c r="G9946" s="142" t="s">
        <v>3125</v>
      </c>
      <c r="H9946" s="142" t="s">
        <v>25798</v>
      </c>
      <c r="I9946" s="142">
        <v>0</v>
      </c>
      <c r="J9946" s="142">
        <v>0</v>
      </c>
      <c r="K9946" s="142">
        <v>0</v>
      </c>
      <c r="L9946" s="142">
        <v>0</v>
      </c>
      <c r="M9946" s="142">
        <v>0</v>
      </c>
    </row>
    <row r="9947" spans="1:13" x14ac:dyDescent="0.45">
      <c r="A9947" s="142" t="s">
        <v>13045</v>
      </c>
      <c r="B9947" s="142" t="s">
        <v>15611</v>
      </c>
      <c r="C9947" s="142" t="s">
        <v>25795</v>
      </c>
      <c r="D9947" s="142" t="s">
        <v>25795</v>
      </c>
      <c r="E9947" s="142" t="s">
        <v>25796</v>
      </c>
      <c r="F9947" s="142" t="s">
        <v>8945</v>
      </c>
      <c r="G9947" s="142" t="s">
        <v>8944</v>
      </c>
      <c r="H9947" s="142" t="s">
        <v>25799</v>
      </c>
      <c r="I9947" s="142">
        <v>3483</v>
      </c>
      <c r="J9947" s="142">
        <v>2738</v>
      </c>
      <c r="K9947" s="142">
        <v>10</v>
      </c>
      <c r="L9947" s="142">
        <v>691</v>
      </c>
      <c r="M9947" s="142">
        <v>44</v>
      </c>
    </row>
    <row r="9948" spans="1:13" x14ac:dyDescent="0.45">
      <c r="A9948" s="142" t="s">
        <v>13063</v>
      </c>
      <c r="B9948" s="142" t="s">
        <v>15612</v>
      </c>
      <c r="C9948" s="142" t="s">
        <v>25795</v>
      </c>
      <c r="D9948" s="142" t="s">
        <v>25795</v>
      </c>
      <c r="E9948" s="142" t="s">
        <v>25796</v>
      </c>
      <c r="F9948" s="142" t="s">
        <v>7293</v>
      </c>
      <c r="G9948" s="142" t="s">
        <v>7292</v>
      </c>
      <c r="H9948" s="142" t="s">
        <v>25800</v>
      </c>
      <c r="I9948" s="142">
        <v>6640</v>
      </c>
      <c r="J9948" s="142">
        <v>5005</v>
      </c>
      <c r="K9948" s="142">
        <v>1</v>
      </c>
      <c r="L9948" s="142">
        <v>1634</v>
      </c>
      <c r="M9948" s="142">
        <v>0</v>
      </c>
    </row>
    <row r="9949" spans="1:13" x14ac:dyDescent="0.45">
      <c r="A9949" s="142" t="s">
        <v>13071</v>
      </c>
      <c r="B9949" s="142" t="s">
        <v>15613</v>
      </c>
      <c r="C9949" s="142" t="s">
        <v>25795</v>
      </c>
      <c r="D9949" s="142" t="s">
        <v>25795</v>
      </c>
      <c r="E9949" s="142" t="s">
        <v>25796</v>
      </c>
      <c r="F9949" s="142" t="s">
        <v>5426</v>
      </c>
      <c r="G9949" s="142" t="s">
        <v>5425</v>
      </c>
      <c r="H9949" s="142" t="s">
        <v>25801</v>
      </c>
      <c r="I9949" s="142">
        <v>5157</v>
      </c>
      <c r="J9949" s="142">
        <v>4735</v>
      </c>
      <c r="K9949" s="142">
        <v>0</v>
      </c>
      <c r="L9949" s="142">
        <v>403</v>
      </c>
      <c r="M9949" s="142">
        <v>19</v>
      </c>
    </row>
    <row r="9950" spans="1:13" x14ac:dyDescent="0.45">
      <c r="A9950" s="142" t="s">
        <v>13081</v>
      </c>
      <c r="B9950" s="142" t="s">
        <v>15614</v>
      </c>
      <c r="C9950" s="142" t="s">
        <v>25795</v>
      </c>
      <c r="D9950" s="142" t="s">
        <v>25795</v>
      </c>
      <c r="E9950" s="142" t="s">
        <v>25796</v>
      </c>
      <c r="F9950" s="142" t="s">
        <v>8120</v>
      </c>
      <c r="G9950" s="142" t="s">
        <v>8119</v>
      </c>
      <c r="H9950" s="142" t="s">
        <v>25802</v>
      </c>
      <c r="I9950" s="142">
        <v>3562</v>
      </c>
      <c r="J9950" s="142">
        <v>3219</v>
      </c>
      <c r="K9950" s="142">
        <v>22</v>
      </c>
      <c r="L9950" s="142">
        <v>260</v>
      </c>
      <c r="M9950" s="142">
        <v>61</v>
      </c>
    </row>
    <row r="9951" spans="1:13" x14ac:dyDescent="0.45">
      <c r="A9951" s="142" t="s">
        <v>13145</v>
      </c>
      <c r="B9951" s="142" t="s">
        <v>15615</v>
      </c>
      <c r="C9951" s="142" t="s">
        <v>25795</v>
      </c>
      <c r="D9951" s="142" t="s">
        <v>25795</v>
      </c>
      <c r="E9951" s="142" t="s">
        <v>25796</v>
      </c>
      <c r="F9951" s="142" t="s">
        <v>10309</v>
      </c>
      <c r="G9951" s="142" t="s">
        <v>10308</v>
      </c>
      <c r="H9951" s="142" t="s">
        <v>25803</v>
      </c>
      <c r="I9951" s="142">
        <v>17921</v>
      </c>
      <c r="J9951" s="142">
        <v>17198</v>
      </c>
      <c r="K9951" s="142">
        <v>0</v>
      </c>
      <c r="L9951" s="142">
        <v>723</v>
      </c>
      <c r="M9951" s="142">
        <v>0</v>
      </c>
    </row>
    <row r="9952" spans="1:13" x14ac:dyDescent="0.45">
      <c r="A9952" s="142" t="s">
        <v>15617</v>
      </c>
      <c r="B9952" s="142" t="s">
        <v>15616</v>
      </c>
      <c r="C9952" s="142" t="s">
        <v>25795</v>
      </c>
      <c r="D9952" s="142" t="s">
        <v>25795</v>
      </c>
      <c r="E9952" s="142" t="s">
        <v>25796</v>
      </c>
      <c r="F9952" s="142" t="s">
        <v>4004</v>
      </c>
      <c r="G9952" s="142" t="s">
        <v>4003</v>
      </c>
      <c r="H9952" s="142" t="s">
        <v>25804</v>
      </c>
      <c r="I9952" s="142">
        <v>10863</v>
      </c>
      <c r="J9952" s="142">
        <v>8970</v>
      </c>
      <c r="K9952" s="142">
        <v>0</v>
      </c>
      <c r="L9952" s="142">
        <v>1687</v>
      </c>
      <c r="M9952" s="142">
        <v>206</v>
      </c>
    </row>
    <row r="9953" spans="1:13" x14ac:dyDescent="0.45">
      <c r="A9953" s="142" t="s">
        <v>13177</v>
      </c>
      <c r="B9953" s="142" t="s">
        <v>15618</v>
      </c>
      <c r="C9953" s="142" t="s">
        <v>25795</v>
      </c>
      <c r="D9953" s="142" t="s">
        <v>25795</v>
      </c>
      <c r="E9953" s="142" t="s">
        <v>25796</v>
      </c>
      <c r="F9953" s="142" t="s">
        <v>7335</v>
      </c>
      <c r="G9953" s="142" t="s">
        <v>7334</v>
      </c>
      <c r="H9953" s="142" t="s">
        <v>25805</v>
      </c>
      <c r="I9953" s="142">
        <v>6518</v>
      </c>
      <c r="J9953" s="142">
        <v>6410</v>
      </c>
      <c r="K9953" s="142">
        <v>0</v>
      </c>
      <c r="L9953" s="142">
        <v>108</v>
      </c>
      <c r="M9953" s="142">
        <v>0</v>
      </c>
    </row>
    <row r="9954" spans="1:13" x14ac:dyDescent="0.45">
      <c r="A9954" s="142" t="s">
        <v>13181</v>
      </c>
      <c r="B9954" s="142" t="s">
        <v>15619</v>
      </c>
      <c r="C9954" s="142" t="s">
        <v>25795</v>
      </c>
      <c r="D9954" s="142" t="s">
        <v>25795</v>
      </c>
      <c r="E9954" s="142" t="s">
        <v>25796</v>
      </c>
      <c r="F9954" s="142" t="s">
        <v>1183</v>
      </c>
      <c r="G9954" s="142" t="s">
        <v>1182</v>
      </c>
      <c r="H9954" s="142" t="s">
        <v>25806</v>
      </c>
      <c r="I9954" s="142">
        <v>37</v>
      </c>
      <c r="J9954" s="142">
        <v>10</v>
      </c>
      <c r="K9954" s="142">
        <v>0</v>
      </c>
      <c r="L9954" s="142">
        <v>25</v>
      </c>
      <c r="M9954" s="142">
        <v>2</v>
      </c>
    </row>
    <row r="9955" spans="1:13" x14ac:dyDescent="0.45">
      <c r="A9955" s="142" t="s">
        <v>13196</v>
      </c>
      <c r="B9955" s="142" t="s">
        <v>15620</v>
      </c>
      <c r="C9955" s="142" t="s">
        <v>25795</v>
      </c>
      <c r="D9955" s="142" t="s">
        <v>25795</v>
      </c>
      <c r="E9955" s="142" t="s">
        <v>25796</v>
      </c>
      <c r="F9955" s="142" t="s">
        <v>2422</v>
      </c>
      <c r="G9955" s="142" t="s">
        <v>2421</v>
      </c>
      <c r="H9955" s="142" t="s">
        <v>25807</v>
      </c>
      <c r="I9955" s="142">
        <v>20</v>
      </c>
      <c r="J9955" s="142">
        <v>0</v>
      </c>
      <c r="K9955" s="142">
        <v>0</v>
      </c>
      <c r="L9955" s="142">
        <v>20</v>
      </c>
      <c r="M9955" s="142">
        <v>0</v>
      </c>
    </row>
    <row r="9956" spans="1:13" x14ac:dyDescent="0.45">
      <c r="A9956" s="142" t="s">
        <v>13224</v>
      </c>
      <c r="B9956" s="142" t="s">
        <v>15621</v>
      </c>
      <c r="C9956" s="142" t="s">
        <v>25795</v>
      </c>
      <c r="D9956" s="142" t="s">
        <v>25795</v>
      </c>
      <c r="E9956" s="142" t="s">
        <v>25796</v>
      </c>
      <c r="F9956" s="142" t="s">
        <v>10644</v>
      </c>
      <c r="G9956" s="142" t="s">
        <v>10643</v>
      </c>
      <c r="H9956" s="142" t="s">
        <v>25808</v>
      </c>
      <c r="I9956" s="142">
        <v>58652</v>
      </c>
      <c r="J9956" s="142">
        <v>52892</v>
      </c>
      <c r="K9956" s="142">
        <v>783</v>
      </c>
      <c r="L9956" s="142">
        <v>4905</v>
      </c>
      <c r="M9956" s="142">
        <v>72</v>
      </c>
    </row>
    <row r="9957" spans="1:13" x14ac:dyDescent="0.45">
      <c r="A9957" s="142" t="s">
        <v>13270</v>
      </c>
      <c r="B9957" s="142" t="s">
        <v>15622</v>
      </c>
      <c r="C9957" s="142" t="s">
        <v>25795</v>
      </c>
      <c r="D9957" s="142" t="s">
        <v>25795</v>
      </c>
      <c r="E9957" s="142" t="s">
        <v>25796</v>
      </c>
      <c r="F9957" s="142" t="s">
        <v>6412</v>
      </c>
      <c r="G9957" s="142" t="s">
        <v>6411</v>
      </c>
      <c r="H9957" s="142" t="s">
        <v>25809</v>
      </c>
      <c r="I9957" s="142">
        <v>15</v>
      </c>
      <c r="J9957" s="142">
        <v>15</v>
      </c>
      <c r="K9957" s="142">
        <v>0</v>
      </c>
      <c r="L9957" s="142">
        <v>0</v>
      </c>
      <c r="M9957" s="142">
        <v>0</v>
      </c>
    </row>
    <row r="9958" spans="1:13" x14ac:dyDescent="0.45">
      <c r="A9958" s="142" t="s">
        <v>13278</v>
      </c>
      <c r="B9958" s="142" t="s">
        <v>15623</v>
      </c>
      <c r="C9958" s="142" t="s">
        <v>25795</v>
      </c>
      <c r="D9958" s="142" t="s">
        <v>25795</v>
      </c>
      <c r="E9958" s="142" t="s">
        <v>25796</v>
      </c>
      <c r="F9958" s="142" t="s">
        <v>645</v>
      </c>
      <c r="G9958" s="142" t="s">
        <v>644</v>
      </c>
      <c r="H9958" s="142" t="s">
        <v>25810</v>
      </c>
      <c r="I9958" s="142">
        <v>4872</v>
      </c>
      <c r="J9958" s="142">
        <v>4023</v>
      </c>
      <c r="K9958" s="142">
        <v>0</v>
      </c>
      <c r="L9958" s="142">
        <v>849</v>
      </c>
      <c r="M9958" s="142">
        <v>0</v>
      </c>
    </row>
    <row r="9959" spans="1:13" x14ac:dyDescent="0.45">
      <c r="A9959" s="142" t="s">
        <v>13287</v>
      </c>
      <c r="B9959" s="142" t="s">
        <v>15624</v>
      </c>
      <c r="C9959" s="142" t="s">
        <v>25795</v>
      </c>
      <c r="D9959" s="142" t="s">
        <v>25795</v>
      </c>
      <c r="E9959" s="142" t="s">
        <v>25796</v>
      </c>
      <c r="F9959" s="142" t="s">
        <v>3168</v>
      </c>
      <c r="G9959" s="142" t="s">
        <v>3167</v>
      </c>
      <c r="H9959" s="142" t="s">
        <v>25811</v>
      </c>
      <c r="I9959" s="142">
        <v>4922</v>
      </c>
      <c r="J9959" s="142">
        <v>2633</v>
      </c>
      <c r="K9959" s="142">
        <v>0</v>
      </c>
      <c r="L9959" s="142">
        <v>2289</v>
      </c>
      <c r="M9959" s="142">
        <v>0</v>
      </c>
    </row>
    <row r="9960" spans="1:13" x14ac:dyDescent="0.45">
      <c r="A9960" s="142" t="s">
        <v>13817</v>
      </c>
      <c r="B9960" s="142" t="s">
        <v>15625</v>
      </c>
      <c r="C9960" s="142" t="s">
        <v>25795</v>
      </c>
      <c r="D9960" s="142" t="s">
        <v>25795</v>
      </c>
      <c r="E9960" s="142" t="s">
        <v>25796</v>
      </c>
      <c r="F9960" s="142" t="s">
        <v>7125</v>
      </c>
      <c r="G9960" s="142" t="s">
        <v>7124</v>
      </c>
      <c r="H9960" s="142" t="s">
        <v>25812</v>
      </c>
      <c r="I9960" s="142">
        <v>9</v>
      </c>
      <c r="J9960" s="142">
        <v>7</v>
      </c>
      <c r="K9960" s="142">
        <v>0</v>
      </c>
      <c r="L9960" s="142">
        <v>0</v>
      </c>
      <c r="M9960" s="142">
        <v>2</v>
      </c>
    </row>
    <row r="9961" spans="1:13" x14ac:dyDescent="0.45">
      <c r="A9961" s="142" t="s">
        <v>13294</v>
      </c>
      <c r="B9961" s="142" t="s">
        <v>15626</v>
      </c>
      <c r="C9961" s="142" t="s">
        <v>25795</v>
      </c>
      <c r="D9961" s="142" t="s">
        <v>25795</v>
      </c>
      <c r="E9961" s="142" t="s">
        <v>25796</v>
      </c>
      <c r="F9961" s="142" t="s">
        <v>6706</v>
      </c>
      <c r="G9961" s="142" t="s">
        <v>6705</v>
      </c>
      <c r="H9961" s="142" t="s">
        <v>25813</v>
      </c>
      <c r="I9961" s="142">
        <v>12</v>
      </c>
      <c r="J9961" s="142">
        <v>12</v>
      </c>
      <c r="K9961" s="142">
        <v>0</v>
      </c>
      <c r="L9961" s="142">
        <v>0</v>
      </c>
      <c r="M9961" s="142">
        <v>0</v>
      </c>
    </row>
    <row r="9962" spans="1:13" x14ac:dyDescent="0.45">
      <c r="A9962" s="142" t="s">
        <v>13298</v>
      </c>
      <c r="B9962" s="142" t="s">
        <v>15627</v>
      </c>
      <c r="C9962" s="142" t="s">
        <v>25795</v>
      </c>
      <c r="D9962" s="142" t="s">
        <v>25795</v>
      </c>
      <c r="E9962" s="142" t="s">
        <v>25796</v>
      </c>
      <c r="F9962" s="142" t="s">
        <v>2548</v>
      </c>
      <c r="G9962" s="142" t="s">
        <v>2547</v>
      </c>
      <c r="H9962" s="142" t="s">
        <v>25814</v>
      </c>
      <c r="I9962" s="142">
        <v>9606</v>
      </c>
      <c r="J9962" s="142">
        <v>7440</v>
      </c>
      <c r="K9962" s="142">
        <v>0</v>
      </c>
      <c r="L9962" s="142">
        <v>2127</v>
      </c>
      <c r="M9962" s="142">
        <v>39</v>
      </c>
    </row>
    <row r="9963" spans="1:13" x14ac:dyDescent="0.45">
      <c r="A9963" s="142" t="s">
        <v>13329</v>
      </c>
      <c r="B9963" s="142" t="s">
        <v>15628</v>
      </c>
      <c r="C9963" s="142" t="s">
        <v>25795</v>
      </c>
      <c r="D9963" s="142" t="s">
        <v>25795</v>
      </c>
      <c r="E9963" s="142" t="s">
        <v>25796</v>
      </c>
      <c r="F9963" s="142" t="s">
        <v>6999</v>
      </c>
      <c r="G9963" s="142" t="s">
        <v>6998</v>
      </c>
      <c r="H9963" s="142" t="s">
        <v>25815</v>
      </c>
      <c r="I9963" s="142">
        <v>55</v>
      </c>
      <c r="J9963" s="142">
        <v>48</v>
      </c>
      <c r="K9963" s="142">
        <v>7</v>
      </c>
      <c r="L9963" s="142">
        <v>0</v>
      </c>
      <c r="M9963" s="142">
        <v>0</v>
      </c>
    </row>
    <row r="9964" spans="1:13" x14ac:dyDescent="0.45">
      <c r="A9964" s="142" t="s">
        <v>13347</v>
      </c>
      <c r="B9964" s="142" t="s">
        <v>15629</v>
      </c>
      <c r="C9964" s="142" t="s">
        <v>25795</v>
      </c>
      <c r="D9964" s="142" t="s">
        <v>25795</v>
      </c>
      <c r="E9964" s="142" t="s">
        <v>25796</v>
      </c>
      <c r="F9964" s="142" t="s">
        <v>4088</v>
      </c>
      <c r="G9964" s="142" t="s">
        <v>4087</v>
      </c>
      <c r="H9964" s="142" t="s">
        <v>25816</v>
      </c>
      <c r="I9964" s="142">
        <v>2387</v>
      </c>
      <c r="J9964" s="142">
        <v>1979</v>
      </c>
      <c r="K9964" s="142">
        <v>0</v>
      </c>
      <c r="L9964" s="142">
        <v>396</v>
      </c>
      <c r="M9964" s="142">
        <v>12</v>
      </c>
    </row>
    <row r="9965" spans="1:13" x14ac:dyDescent="0.45">
      <c r="A9965" s="142" t="s">
        <v>13352</v>
      </c>
      <c r="B9965" s="142" t="s">
        <v>15630</v>
      </c>
      <c r="C9965" s="142" t="s">
        <v>25795</v>
      </c>
      <c r="D9965" s="142" t="s">
        <v>25795</v>
      </c>
      <c r="E9965" s="142" t="s">
        <v>25796</v>
      </c>
      <c r="F9965" s="142" t="s">
        <v>1969</v>
      </c>
      <c r="G9965" s="142" t="s">
        <v>1968</v>
      </c>
      <c r="H9965" s="142" t="s">
        <v>25817</v>
      </c>
      <c r="I9965" s="142">
        <v>12680</v>
      </c>
      <c r="J9965" s="142">
        <v>11797</v>
      </c>
      <c r="K9965" s="142">
        <v>0</v>
      </c>
      <c r="L9965" s="142">
        <v>883</v>
      </c>
      <c r="M9965" s="142">
        <v>0</v>
      </c>
    </row>
    <row r="9966" spans="1:13" x14ac:dyDescent="0.45">
      <c r="A9966" s="142" t="s">
        <v>13365</v>
      </c>
      <c r="B9966" s="142" t="s">
        <v>15631</v>
      </c>
      <c r="C9966" s="142" t="s">
        <v>25795</v>
      </c>
      <c r="D9966" s="142" t="s">
        <v>25795</v>
      </c>
      <c r="E9966" s="142" t="s">
        <v>25796</v>
      </c>
      <c r="F9966" s="142" t="s">
        <v>1226</v>
      </c>
      <c r="G9966" s="142" t="s">
        <v>1225</v>
      </c>
      <c r="H9966" s="142" t="s">
        <v>25818</v>
      </c>
      <c r="I9966" s="142">
        <v>26799</v>
      </c>
      <c r="J9966" s="142">
        <v>25787</v>
      </c>
      <c r="K9966" s="142">
        <v>0</v>
      </c>
      <c r="L9966" s="142">
        <v>981</v>
      </c>
      <c r="M9966" s="142">
        <v>31</v>
      </c>
    </row>
    <row r="9967" spans="1:13" x14ac:dyDescent="0.45">
      <c r="A9967" s="142" t="s">
        <v>13376</v>
      </c>
      <c r="B9967" s="142" t="s">
        <v>15632</v>
      </c>
      <c r="C9967" s="142" t="s">
        <v>25795</v>
      </c>
      <c r="D9967" s="142" t="s">
        <v>25795</v>
      </c>
      <c r="E9967" s="142" t="s">
        <v>25796</v>
      </c>
      <c r="F9967" s="142" t="s">
        <v>7041</v>
      </c>
      <c r="G9967" s="142" t="s">
        <v>7040</v>
      </c>
      <c r="H9967" s="142" t="s">
        <v>25819</v>
      </c>
      <c r="I9967" s="142">
        <v>39</v>
      </c>
      <c r="J9967" s="142">
        <v>4</v>
      </c>
      <c r="K9967" s="142">
        <v>35</v>
      </c>
      <c r="L9967" s="142">
        <v>0</v>
      </c>
      <c r="M9967" s="142">
        <v>0</v>
      </c>
    </row>
    <row r="9968" spans="1:13" x14ac:dyDescent="0.45">
      <c r="A9968" s="142" t="s">
        <v>13396</v>
      </c>
      <c r="B9968" s="142" t="s">
        <v>15633</v>
      </c>
      <c r="C9968" s="142" t="s">
        <v>25795</v>
      </c>
      <c r="D9968" s="142" t="s">
        <v>25795</v>
      </c>
      <c r="E9968" s="142" t="s">
        <v>25796</v>
      </c>
      <c r="F9968" s="142" t="s">
        <v>7377</v>
      </c>
      <c r="G9968" s="142" t="s">
        <v>7376</v>
      </c>
      <c r="H9968" s="142" t="s">
        <v>25820</v>
      </c>
      <c r="I9968" s="142">
        <v>4383</v>
      </c>
      <c r="J9968" s="142">
        <v>3259</v>
      </c>
      <c r="K9968" s="142">
        <v>0</v>
      </c>
      <c r="L9968" s="142">
        <v>1120</v>
      </c>
      <c r="M9968" s="142">
        <v>4</v>
      </c>
    </row>
    <row r="9969" spans="1:13" x14ac:dyDescent="0.45">
      <c r="A9969" s="142" t="s">
        <v>13406</v>
      </c>
      <c r="B9969" s="142" t="s">
        <v>15634</v>
      </c>
      <c r="C9969" s="142" t="s">
        <v>25795</v>
      </c>
      <c r="D9969" s="142" t="s">
        <v>25795</v>
      </c>
      <c r="E9969" s="142" t="s">
        <v>25796</v>
      </c>
      <c r="F9969" s="142" t="s">
        <v>5918</v>
      </c>
      <c r="G9969" s="142" t="s">
        <v>5917</v>
      </c>
      <c r="H9969" s="142" t="s">
        <v>25821</v>
      </c>
      <c r="I9969" s="142">
        <v>23</v>
      </c>
      <c r="J9969" s="142">
        <v>19</v>
      </c>
      <c r="K9969" s="142">
        <v>4</v>
      </c>
      <c r="L9969" s="142">
        <v>0</v>
      </c>
      <c r="M9969" s="142">
        <v>0</v>
      </c>
    </row>
    <row r="9970" spans="1:13" x14ac:dyDescent="0.45">
      <c r="A9970" s="142" t="s">
        <v>13409</v>
      </c>
      <c r="B9970" s="142" t="s">
        <v>15635</v>
      </c>
      <c r="C9970" s="142" t="s">
        <v>25795</v>
      </c>
      <c r="D9970" s="142" t="s">
        <v>25795</v>
      </c>
      <c r="E9970" s="142" t="s">
        <v>25796</v>
      </c>
      <c r="F9970" s="142" t="s">
        <v>9727</v>
      </c>
      <c r="G9970" s="142" t="s">
        <v>9726</v>
      </c>
      <c r="H9970" s="142" t="s">
        <v>25822</v>
      </c>
      <c r="I9970" s="142">
        <v>7672</v>
      </c>
      <c r="J9970" s="142">
        <v>7159</v>
      </c>
      <c r="K9970" s="142">
        <v>0</v>
      </c>
      <c r="L9970" s="142">
        <v>508</v>
      </c>
      <c r="M9970" s="142">
        <v>5</v>
      </c>
    </row>
    <row r="9971" spans="1:13" x14ac:dyDescent="0.45">
      <c r="A9971" s="142" t="s">
        <v>13423</v>
      </c>
      <c r="B9971" s="142" t="s">
        <v>15636</v>
      </c>
      <c r="C9971" s="142" t="s">
        <v>25795</v>
      </c>
      <c r="D9971" s="142" t="s">
        <v>25795</v>
      </c>
      <c r="E9971" s="142" t="s">
        <v>25796</v>
      </c>
      <c r="F9971" s="142" t="s">
        <v>2924</v>
      </c>
      <c r="G9971" s="142" t="s">
        <v>2923</v>
      </c>
      <c r="H9971" s="142" t="s">
        <v>25823</v>
      </c>
      <c r="I9971" s="142">
        <v>7719</v>
      </c>
      <c r="J9971" s="142">
        <v>7079</v>
      </c>
      <c r="K9971" s="142">
        <v>21</v>
      </c>
      <c r="L9971" s="142">
        <v>539</v>
      </c>
      <c r="M9971" s="142">
        <v>80</v>
      </c>
    </row>
    <row r="9972" spans="1:13" x14ac:dyDescent="0.45">
      <c r="A9972" s="142" t="s">
        <v>13445</v>
      </c>
      <c r="B9972" s="142" t="s">
        <v>15637</v>
      </c>
      <c r="C9972" s="142" t="s">
        <v>25795</v>
      </c>
      <c r="D9972" s="142" t="s">
        <v>25795</v>
      </c>
      <c r="E9972" s="142" t="s">
        <v>25796</v>
      </c>
      <c r="F9972" s="142" t="s">
        <v>7795</v>
      </c>
      <c r="G9972" s="142" t="s">
        <v>7794</v>
      </c>
      <c r="H9972" s="142" t="s">
        <v>25824</v>
      </c>
      <c r="I9972" s="142">
        <v>5014</v>
      </c>
      <c r="J9972" s="142">
        <v>4920</v>
      </c>
      <c r="K9972" s="142">
        <v>0</v>
      </c>
      <c r="L9972" s="142">
        <v>94</v>
      </c>
      <c r="M9972" s="142">
        <v>0</v>
      </c>
    </row>
    <row r="9973" spans="1:13" x14ac:dyDescent="0.45">
      <c r="A9973" s="142" t="s">
        <v>13452</v>
      </c>
      <c r="B9973" s="142" t="s">
        <v>15638</v>
      </c>
      <c r="C9973" s="142" t="s">
        <v>25795</v>
      </c>
      <c r="D9973" s="142" t="s">
        <v>25795</v>
      </c>
      <c r="E9973" s="142" t="s">
        <v>25796</v>
      </c>
      <c r="F9973" s="142" t="s">
        <v>5468</v>
      </c>
      <c r="G9973" s="142" t="s">
        <v>5467</v>
      </c>
      <c r="H9973" s="142" t="s">
        <v>25825</v>
      </c>
      <c r="I9973" s="142">
        <v>5132</v>
      </c>
      <c r="J9973" s="142">
        <v>4526</v>
      </c>
      <c r="K9973" s="142">
        <v>22</v>
      </c>
      <c r="L9973" s="142">
        <v>584</v>
      </c>
      <c r="M9973" s="142">
        <v>0</v>
      </c>
    </row>
    <row r="9974" spans="1:13" x14ac:dyDescent="0.45">
      <c r="A9974" s="142" t="s">
        <v>13458</v>
      </c>
      <c r="B9974" s="142" t="s">
        <v>15639</v>
      </c>
      <c r="C9974" s="142" t="s">
        <v>25795</v>
      </c>
      <c r="D9974" s="142" t="s">
        <v>25795</v>
      </c>
      <c r="E9974" s="142" t="s">
        <v>25796</v>
      </c>
      <c r="F9974" s="142" t="s">
        <v>4130</v>
      </c>
      <c r="G9974" s="142" t="s">
        <v>4129</v>
      </c>
      <c r="H9974" s="142" t="s">
        <v>25826</v>
      </c>
      <c r="I9974" s="142">
        <v>1508</v>
      </c>
      <c r="J9974" s="142">
        <v>1197</v>
      </c>
      <c r="K9974" s="142">
        <v>0</v>
      </c>
      <c r="L9974" s="142">
        <v>311</v>
      </c>
      <c r="M9974" s="142">
        <v>0</v>
      </c>
    </row>
    <row r="9975" spans="1:13" x14ac:dyDescent="0.45">
      <c r="A9975" s="142" t="s">
        <v>13461</v>
      </c>
      <c r="B9975" s="142" t="s">
        <v>15640</v>
      </c>
      <c r="C9975" s="142" t="s">
        <v>25795</v>
      </c>
      <c r="D9975" s="142" t="s">
        <v>25795</v>
      </c>
      <c r="E9975" s="142" t="s">
        <v>25796</v>
      </c>
      <c r="F9975" s="142" t="s">
        <v>2464</v>
      </c>
      <c r="G9975" s="142" t="s">
        <v>2463</v>
      </c>
      <c r="H9975" s="142" t="s">
        <v>25827</v>
      </c>
      <c r="I9975" s="142">
        <v>5542</v>
      </c>
      <c r="J9975" s="142">
        <v>4632</v>
      </c>
      <c r="K9975" s="142">
        <v>62</v>
      </c>
      <c r="L9975" s="142">
        <v>806</v>
      </c>
      <c r="M9975" s="142">
        <v>42</v>
      </c>
    </row>
    <row r="9976" spans="1:13" x14ac:dyDescent="0.45">
      <c r="A9976" s="142" t="s">
        <v>13465</v>
      </c>
      <c r="B9976" s="142" t="s">
        <v>15641</v>
      </c>
      <c r="C9976" s="142" t="s">
        <v>25795</v>
      </c>
      <c r="D9976" s="142" t="s">
        <v>25795</v>
      </c>
      <c r="E9976" s="142" t="s">
        <v>25796</v>
      </c>
      <c r="F9976" s="142" t="s">
        <v>6454</v>
      </c>
      <c r="G9976" s="142" t="s">
        <v>6453</v>
      </c>
      <c r="H9976" s="142" t="s">
        <v>25828</v>
      </c>
      <c r="I9976" s="142">
        <v>5418</v>
      </c>
      <c r="J9976" s="142">
        <v>4997</v>
      </c>
      <c r="K9976" s="142">
        <v>0</v>
      </c>
      <c r="L9976" s="142">
        <v>421</v>
      </c>
      <c r="M9976" s="142">
        <v>0</v>
      </c>
    </row>
    <row r="9977" spans="1:13" x14ac:dyDescent="0.45">
      <c r="A9977" s="142" t="s">
        <v>13468</v>
      </c>
      <c r="B9977" s="142" t="s">
        <v>15642</v>
      </c>
      <c r="C9977" s="142" t="s">
        <v>25795</v>
      </c>
      <c r="D9977" s="142" t="s">
        <v>25795</v>
      </c>
      <c r="E9977" s="142" t="s">
        <v>25796</v>
      </c>
      <c r="F9977" s="142" t="s">
        <v>4172</v>
      </c>
      <c r="G9977" s="142" t="s">
        <v>4171</v>
      </c>
      <c r="H9977" s="142" t="s">
        <v>25829</v>
      </c>
      <c r="I9977" s="142">
        <v>75</v>
      </c>
      <c r="J9977" s="142">
        <v>75</v>
      </c>
      <c r="K9977" s="142">
        <v>0</v>
      </c>
      <c r="L9977" s="142">
        <v>0</v>
      </c>
      <c r="M9977" s="142">
        <v>0</v>
      </c>
    </row>
    <row r="9978" spans="1:13" x14ac:dyDescent="0.45">
      <c r="A9978" s="142" t="s">
        <v>13470</v>
      </c>
      <c r="B9978" s="142" t="s">
        <v>15643</v>
      </c>
      <c r="C9978" s="142" t="s">
        <v>25795</v>
      </c>
      <c r="D9978" s="142" t="s">
        <v>25795</v>
      </c>
      <c r="E9978" s="142" t="s">
        <v>25796</v>
      </c>
      <c r="F9978" s="142" t="s">
        <v>4498</v>
      </c>
      <c r="G9978" s="142" t="s">
        <v>4497</v>
      </c>
      <c r="H9978" s="142" t="s">
        <v>25830</v>
      </c>
      <c r="I9978" s="142">
        <v>4556</v>
      </c>
      <c r="J9978" s="142">
        <v>4028</v>
      </c>
      <c r="K9978" s="142">
        <v>0</v>
      </c>
      <c r="L9978" s="142">
        <v>490</v>
      </c>
      <c r="M9978" s="142">
        <v>38</v>
      </c>
    </row>
    <row r="9979" spans="1:13" x14ac:dyDescent="0.45">
      <c r="A9979" s="142" t="s">
        <v>13476</v>
      </c>
      <c r="B9979" s="142" t="s">
        <v>15644</v>
      </c>
      <c r="C9979" s="142" t="s">
        <v>25795</v>
      </c>
      <c r="D9979" s="142" t="s">
        <v>25795</v>
      </c>
      <c r="E9979" s="142" t="s">
        <v>25796</v>
      </c>
      <c r="F9979" s="142" t="s">
        <v>7587</v>
      </c>
      <c r="G9979" s="142" t="s">
        <v>7586</v>
      </c>
      <c r="H9979" s="142" t="s">
        <v>25831</v>
      </c>
      <c r="I9979" s="142">
        <v>203</v>
      </c>
      <c r="J9979" s="142">
        <v>51</v>
      </c>
      <c r="K9979" s="142">
        <v>1</v>
      </c>
      <c r="L9979" s="142">
        <v>51</v>
      </c>
      <c r="M9979" s="142">
        <v>100</v>
      </c>
    </row>
    <row r="9980" spans="1:13" x14ac:dyDescent="0.45">
      <c r="A9980" s="142" t="s">
        <v>13497</v>
      </c>
      <c r="B9980" s="142" t="s">
        <v>15645</v>
      </c>
      <c r="C9980" s="142" t="s">
        <v>25795</v>
      </c>
      <c r="D9980" s="142" t="s">
        <v>25795</v>
      </c>
      <c r="E9980" s="142" t="s">
        <v>25796</v>
      </c>
      <c r="F9980" s="142" t="s">
        <v>2221</v>
      </c>
      <c r="G9980" s="142" t="s">
        <v>2220</v>
      </c>
      <c r="H9980" s="142" t="s">
        <v>25832</v>
      </c>
      <c r="I9980" s="142">
        <v>5305</v>
      </c>
      <c r="J9980" s="142">
        <v>5267</v>
      </c>
      <c r="K9980" s="142">
        <v>0</v>
      </c>
      <c r="L9980" s="142">
        <v>18</v>
      </c>
      <c r="M9980" s="142">
        <v>20</v>
      </c>
    </row>
    <row r="9981" spans="1:13" x14ac:dyDescent="0.45">
      <c r="A9981" s="142" t="s">
        <v>13506</v>
      </c>
      <c r="B9981" s="142" t="s">
        <v>15646</v>
      </c>
      <c r="C9981" s="142" t="s">
        <v>25795</v>
      </c>
      <c r="D9981" s="142" t="s">
        <v>25795</v>
      </c>
      <c r="E9981" s="142" t="s">
        <v>25796</v>
      </c>
      <c r="F9981" s="142" t="s">
        <v>3210</v>
      </c>
      <c r="G9981" s="142" t="s">
        <v>3209</v>
      </c>
      <c r="H9981" s="142" t="s">
        <v>25833</v>
      </c>
      <c r="I9981" s="142">
        <v>8728</v>
      </c>
      <c r="J9981" s="142">
        <v>8587</v>
      </c>
      <c r="K9981" s="142">
        <v>0</v>
      </c>
      <c r="L9981" s="142">
        <v>141</v>
      </c>
      <c r="M9981" s="142">
        <v>0</v>
      </c>
    </row>
    <row r="9982" spans="1:13" x14ac:dyDescent="0.45">
      <c r="A9982" s="142" t="s">
        <v>13513</v>
      </c>
      <c r="B9982" s="142" t="s">
        <v>15647</v>
      </c>
      <c r="C9982" s="142" t="s">
        <v>25795</v>
      </c>
      <c r="D9982" s="142" t="s">
        <v>25795</v>
      </c>
      <c r="E9982" s="142" t="s">
        <v>25796</v>
      </c>
      <c r="F9982" s="142" t="s">
        <v>5960</v>
      </c>
      <c r="G9982" s="142" t="s">
        <v>5959</v>
      </c>
      <c r="H9982" s="142" t="s">
        <v>25834</v>
      </c>
      <c r="I9982" s="142">
        <v>159</v>
      </c>
      <c r="J9982" s="142">
        <v>32</v>
      </c>
      <c r="K9982" s="142">
        <v>0</v>
      </c>
      <c r="L9982" s="142">
        <v>127</v>
      </c>
      <c r="M9982" s="142">
        <v>0</v>
      </c>
    </row>
    <row r="9983" spans="1:13" x14ac:dyDescent="0.45">
      <c r="A9983" s="142" t="s">
        <v>13311</v>
      </c>
      <c r="B9983" s="142" t="s">
        <v>15648</v>
      </c>
      <c r="C9983" s="142" t="s">
        <v>25795</v>
      </c>
      <c r="D9983" s="142" t="s">
        <v>25795</v>
      </c>
      <c r="E9983" s="142" t="s">
        <v>25796</v>
      </c>
      <c r="F9983" s="142" t="s">
        <v>10936</v>
      </c>
      <c r="G9983" s="142" t="s">
        <v>10935</v>
      </c>
      <c r="H9983" s="142" t="s">
        <v>25835</v>
      </c>
      <c r="I9983" s="142">
        <v>425</v>
      </c>
      <c r="J9983" s="142">
        <v>356</v>
      </c>
      <c r="K9983" s="142">
        <v>0</v>
      </c>
      <c r="L9983" s="142">
        <v>69</v>
      </c>
      <c r="M9983" s="142">
        <v>0</v>
      </c>
    </row>
    <row r="9984" spans="1:13" x14ac:dyDescent="0.45">
      <c r="A9984" s="142" t="s">
        <v>13615</v>
      </c>
      <c r="B9984" s="142" t="s">
        <v>15649</v>
      </c>
      <c r="C9984" s="142" t="s">
        <v>25795</v>
      </c>
      <c r="D9984" s="142" t="s">
        <v>25795</v>
      </c>
      <c r="E9984" s="142" t="s">
        <v>25796</v>
      </c>
      <c r="F9984" s="142" t="s">
        <v>10351</v>
      </c>
      <c r="G9984" s="142" t="s">
        <v>10350</v>
      </c>
      <c r="H9984" s="142" t="s">
        <v>25836</v>
      </c>
      <c r="I9984" s="142">
        <v>19898</v>
      </c>
      <c r="J9984" s="142">
        <v>19898</v>
      </c>
      <c r="K9984" s="142">
        <v>0</v>
      </c>
      <c r="L9984" s="142">
        <v>0</v>
      </c>
      <c r="M9984" s="142">
        <v>0</v>
      </c>
    </row>
    <row r="9985" spans="1:13" x14ac:dyDescent="0.45">
      <c r="A9985" s="142" t="s">
        <v>13909</v>
      </c>
      <c r="B9985" s="142" t="s">
        <v>15650</v>
      </c>
      <c r="C9985" s="142" t="s">
        <v>25795</v>
      </c>
      <c r="D9985" s="142" t="s">
        <v>25795</v>
      </c>
      <c r="E9985" s="142" t="s">
        <v>25796</v>
      </c>
      <c r="F9985" s="142" t="s">
        <v>6790</v>
      </c>
      <c r="G9985" s="142" t="s">
        <v>6789</v>
      </c>
      <c r="H9985" s="142" t="s">
        <v>25837</v>
      </c>
      <c r="I9985" s="142">
        <v>7780</v>
      </c>
      <c r="J9985" s="142">
        <v>7316</v>
      </c>
      <c r="K9985" s="142">
        <v>0</v>
      </c>
      <c r="L9985" s="142">
        <v>464</v>
      </c>
      <c r="M9985" s="142">
        <v>0</v>
      </c>
    </row>
    <row r="9986" spans="1:13" x14ac:dyDescent="0.45">
      <c r="A9986" s="142" t="s">
        <v>13517</v>
      </c>
      <c r="B9986" s="142" t="s">
        <v>15651</v>
      </c>
      <c r="C9986" s="142" t="s">
        <v>25795</v>
      </c>
      <c r="D9986" s="142" t="s">
        <v>25795</v>
      </c>
      <c r="E9986" s="142" t="s">
        <v>25796</v>
      </c>
      <c r="F9986" s="142" t="s">
        <v>11187</v>
      </c>
      <c r="G9986" s="142" t="s">
        <v>11186</v>
      </c>
      <c r="H9986" s="142" t="s">
        <v>25838</v>
      </c>
      <c r="I9986" s="142">
        <v>1923</v>
      </c>
      <c r="J9986" s="142">
        <v>1792</v>
      </c>
      <c r="K9986" s="142">
        <v>0</v>
      </c>
      <c r="L9986" s="142">
        <v>131</v>
      </c>
      <c r="M9986" s="142">
        <v>0</v>
      </c>
    </row>
    <row r="9987" spans="1:13" x14ac:dyDescent="0.45">
      <c r="A9987" s="142" t="s">
        <v>14363</v>
      </c>
      <c r="B9987" s="142" t="s">
        <v>15652</v>
      </c>
      <c r="C9987" s="142" t="s">
        <v>25795</v>
      </c>
      <c r="D9987" s="142" t="s">
        <v>25795</v>
      </c>
      <c r="E9987" s="142" t="s">
        <v>25796</v>
      </c>
      <c r="F9987" s="142" t="s">
        <v>210</v>
      </c>
      <c r="G9987" s="142" t="s">
        <v>12528</v>
      </c>
      <c r="H9987" s="142" t="s">
        <v>25839</v>
      </c>
      <c r="I9987" s="142">
        <v>11962</v>
      </c>
      <c r="J9987" s="142">
        <v>10912</v>
      </c>
      <c r="K9987" s="142">
        <v>0</v>
      </c>
      <c r="L9987" s="142">
        <v>1050</v>
      </c>
      <c r="M9987" s="142">
        <v>0</v>
      </c>
    </row>
    <row r="9988" spans="1:13" x14ac:dyDescent="0.45">
      <c r="A9988" s="142" t="s">
        <v>14403</v>
      </c>
      <c r="B9988" s="142" t="s">
        <v>15653</v>
      </c>
      <c r="C9988" s="142" t="s">
        <v>25795</v>
      </c>
      <c r="D9988" s="142" t="s">
        <v>25795</v>
      </c>
      <c r="E9988" s="142" t="s">
        <v>25796</v>
      </c>
      <c r="F9988" s="142" t="s">
        <v>225</v>
      </c>
      <c r="G9988" s="142" t="s">
        <v>855</v>
      </c>
      <c r="H9988" s="142" t="s">
        <v>25840</v>
      </c>
      <c r="I9988" s="142">
        <v>7481</v>
      </c>
      <c r="J9988" s="142">
        <v>6900</v>
      </c>
      <c r="K9988" s="142">
        <v>0</v>
      </c>
      <c r="L9988" s="142">
        <v>455</v>
      </c>
      <c r="M9988" s="142">
        <v>126</v>
      </c>
    </row>
    <row r="9989" spans="1:13" x14ac:dyDescent="0.45">
      <c r="A9989" s="142" t="s">
        <v>13519</v>
      </c>
      <c r="B9989" s="142" t="s">
        <v>15654</v>
      </c>
      <c r="C9989" s="142" t="s">
        <v>25795</v>
      </c>
      <c r="D9989" s="142" t="s">
        <v>25795</v>
      </c>
      <c r="E9989" s="142" t="s">
        <v>25796</v>
      </c>
      <c r="F9989" s="142" t="s">
        <v>4214</v>
      </c>
      <c r="G9989" s="142" t="s">
        <v>4213</v>
      </c>
      <c r="H9989" s="142" t="s">
        <v>25841</v>
      </c>
      <c r="I9989" s="142">
        <v>6066</v>
      </c>
      <c r="J9989" s="142">
        <v>5438</v>
      </c>
      <c r="K9989" s="142">
        <v>0</v>
      </c>
      <c r="L9989" s="142">
        <v>622</v>
      </c>
      <c r="M9989" s="142">
        <v>6</v>
      </c>
    </row>
    <row r="9990" spans="1:13" x14ac:dyDescent="0.45">
      <c r="A9990" s="142" t="s">
        <v>13527</v>
      </c>
      <c r="B9990" s="142" t="s">
        <v>15655</v>
      </c>
      <c r="C9990" s="142" t="s">
        <v>25795</v>
      </c>
      <c r="D9990" s="142" t="s">
        <v>25795</v>
      </c>
      <c r="E9990" s="142" t="s">
        <v>25796</v>
      </c>
      <c r="F9990" s="142" t="s">
        <v>2305</v>
      </c>
      <c r="G9990" s="142" t="s">
        <v>2304</v>
      </c>
      <c r="H9990" s="142" t="s">
        <v>25842</v>
      </c>
      <c r="I9990" s="142">
        <v>10488</v>
      </c>
      <c r="J9990" s="142">
        <v>10315</v>
      </c>
      <c r="K9990" s="142">
        <v>0</v>
      </c>
      <c r="L9990" s="142">
        <v>76</v>
      </c>
      <c r="M9990" s="142">
        <v>97</v>
      </c>
    </row>
    <row r="9991" spans="1:13" x14ac:dyDescent="0.45">
      <c r="A9991" s="142" t="s">
        <v>13803</v>
      </c>
      <c r="B9991" s="142" t="s">
        <v>15656</v>
      </c>
      <c r="C9991" s="142" t="s">
        <v>25795</v>
      </c>
      <c r="D9991" s="142" t="s">
        <v>25795</v>
      </c>
      <c r="E9991" s="142" t="s">
        <v>25796</v>
      </c>
      <c r="F9991" s="142" t="s">
        <v>2347</v>
      </c>
      <c r="G9991" s="142" t="s">
        <v>2346</v>
      </c>
      <c r="H9991" s="142" t="s">
        <v>25843</v>
      </c>
      <c r="I9991" s="142">
        <v>100</v>
      </c>
      <c r="J9991" s="142">
        <v>100</v>
      </c>
      <c r="K9991" s="142">
        <v>0</v>
      </c>
      <c r="L9991" s="142">
        <v>0</v>
      </c>
      <c r="M9991" s="142">
        <v>0</v>
      </c>
    </row>
    <row r="9992" spans="1:13" x14ac:dyDescent="0.45">
      <c r="A9992" s="142" t="s">
        <v>13566</v>
      </c>
      <c r="B9992" s="142" t="s">
        <v>15657</v>
      </c>
      <c r="C9992" s="142" t="s">
        <v>25795</v>
      </c>
      <c r="D9992" s="142" t="s">
        <v>25795</v>
      </c>
      <c r="E9992" s="142" t="s">
        <v>25796</v>
      </c>
      <c r="F9992" s="142" t="s">
        <v>9029</v>
      </c>
      <c r="G9992" s="142" t="s">
        <v>9028</v>
      </c>
      <c r="H9992" s="142" t="s">
        <v>25844</v>
      </c>
      <c r="I9992" s="142">
        <v>8173</v>
      </c>
      <c r="J9992" s="142">
        <v>7500</v>
      </c>
      <c r="K9992" s="142">
        <v>0</v>
      </c>
      <c r="L9992" s="142">
        <v>560</v>
      </c>
      <c r="M9992" s="142">
        <v>113</v>
      </c>
    </row>
    <row r="9993" spans="1:13" x14ac:dyDescent="0.45">
      <c r="A9993" s="142" t="s">
        <v>13588</v>
      </c>
      <c r="B9993" s="142" t="s">
        <v>15658</v>
      </c>
      <c r="C9993" s="142" t="s">
        <v>25795</v>
      </c>
      <c r="D9993" s="142" t="s">
        <v>25795</v>
      </c>
      <c r="E9993" s="142" t="s">
        <v>25796</v>
      </c>
      <c r="F9993" s="142" t="s">
        <v>5226</v>
      </c>
      <c r="G9993" s="142" t="s">
        <v>5225</v>
      </c>
      <c r="H9993" s="142" t="s">
        <v>25845</v>
      </c>
      <c r="I9993" s="142">
        <v>10240</v>
      </c>
      <c r="J9993" s="142">
        <v>8345</v>
      </c>
      <c r="K9993" s="142">
        <v>0</v>
      </c>
      <c r="L9993" s="142">
        <v>1894</v>
      </c>
      <c r="M9993" s="142">
        <v>1</v>
      </c>
    </row>
    <row r="9994" spans="1:13" x14ac:dyDescent="0.45">
      <c r="A9994" s="142" t="s">
        <v>13592</v>
      </c>
      <c r="B9994" s="142" t="s">
        <v>15659</v>
      </c>
      <c r="C9994" s="142" t="s">
        <v>25795</v>
      </c>
      <c r="D9994" s="142" t="s">
        <v>25795</v>
      </c>
      <c r="E9994" s="142" t="s">
        <v>25796</v>
      </c>
      <c r="F9994" s="142" t="s">
        <v>477</v>
      </c>
      <c r="G9994" s="142" t="s">
        <v>476</v>
      </c>
      <c r="H9994" s="142" t="s">
        <v>25846</v>
      </c>
      <c r="I9994" s="142">
        <v>5240</v>
      </c>
      <c r="J9994" s="142">
        <v>4861</v>
      </c>
      <c r="K9994" s="142">
        <v>0</v>
      </c>
      <c r="L9994" s="142">
        <v>379</v>
      </c>
      <c r="M9994" s="142">
        <v>0</v>
      </c>
    </row>
    <row r="9995" spans="1:13" x14ac:dyDescent="0.45">
      <c r="A9995" s="142" t="s">
        <v>13599</v>
      </c>
      <c r="B9995" s="142" t="s">
        <v>15660</v>
      </c>
      <c r="C9995" s="142" t="s">
        <v>25795</v>
      </c>
      <c r="D9995" s="142" t="s">
        <v>25795</v>
      </c>
      <c r="E9995" s="142" t="s">
        <v>25796</v>
      </c>
      <c r="F9995" s="142" t="s">
        <v>5510</v>
      </c>
      <c r="G9995" s="142" t="s">
        <v>5509</v>
      </c>
      <c r="H9995" s="142" t="s">
        <v>25847</v>
      </c>
      <c r="I9995" s="142">
        <v>4202</v>
      </c>
      <c r="J9995" s="142">
        <v>3762</v>
      </c>
      <c r="K9995" s="142">
        <v>0</v>
      </c>
      <c r="L9995" s="142">
        <v>440</v>
      </c>
      <c r="M9995" s="142">
        <v>0</v>
      </c>
    </row>
    <row r="9996" spans="1:13" x14ac:dyDescent="0.45">
      <c r="A9996" s="142" t="s">
        <v>13604</v>
      </c>
      <c r="B9996" s="142" t="s">
        <v>15661</v>
      </c>
      <c r="C9996" s="142" t="s">
        <v>25795</v>
      </c>
      <c r="D9996" s="142" t="s">
        <v>25795</v>
      </c>
      <c r="E9996" s="142" t="s">
        <v>25796</v>
      </c>
      <c r="F9996" s="142" t="s">
        <v>897</v>
      </c>
      <c r="G9996" s="142" t="s">
        <v>896</v>
      </c>
      <c r="H9996" s="142" t="s">
        <v>25848</v>
      </c>
      <c r="I9996" s="142">
        <v>12354</v>
      </c>
      <c r="J9996" s="142">
        <v>9878</v>
      </c>
      <c r="K9996" s="142">
        <v>0</v>
      </c>
      <c r="L9996" s="142">
        <v>2416</v>
      </c>
      <c r="M9996" s="142">
        <v>60</v>
      </c>
    </row>
    <row r="9997" spans="1:13" x14ac:dyDescent="0.45">
      <c r="A9997" s="142" t="s">
        <v>13609</v>
      </c>
      <c r="B9997" s="142" t="s">
        <v>15662</v>
      </c>
      <c r="C9997" s="142" t="s">
        <v>25795</v>
      </c>
      <c r="D9997" s="142" t="s">
        <v>25795</v>
      </c>
      <c r="E9997" s="142" t="s">
        <v>25796</v>
      </c>
      <c r="F9997" s="142" t="s">
        <v>3252</v>
      </c>
      <c r="G9997" s="142" t="s">
        <v>3251</v>
      </c>
      <c r="H9997" s="142" t="s">
        <v>25849</v>
      </c>
      <c r="I9997" s="142">
        <v>44</v>
      </c>
      <c r="J9997" s="142">
        <v>40</v>
      </c>
      <c r="K9997" s="142">
        <v>0</v>
      </c>
      <c r="L9997" s="142">
        <v>0</v>
      </c>
      <c r="M9997" s="142">
        <v>4</v>
      </c>
    </row>
    <row r="9998" spans="1:13" x14ac:dyDescent="0.45">
      <c r="A9998" s="142" t="s">
        <v>13619</v>
      </c>
      <c r="B9998" s="142" t="s">
        <v>15663</v>
      </c>
      <c r="C9998" s="142" t="s">
        <v>25795</v>
      </c>
      <c r="D9998" s="142" t="s">
        <v>25795</v>
      </c>
      <c r="E9998" s="142" t="s">
        <v>25796</v>
      </c>
      <c r="F9998" s="142" t="s">
        <v>2590</v>
      </c>
      <c r="G9998" s="142" t="s">
        <v>2589</v>
      </c>
      <c r="H9998" s="142" t="s">
        <v>25850</v>
      </c>
      <c r="I9998" s="142">
        <v>160</v>
      </c>
      <c r="J9998" s="142">
        <v>53</v>
      </c>
      <c r="K9998" s="142">
        <v>0</v>
      </c>
      <c r="L9998" s="142">
        <v>107</v>
      </c>
      <c r="M9998" s="142">
        <v>0</v>
      </c>
    </row>
    <row r="9999" spans="1:13" x14ac:dyDescent="0.45">
      <c r="A9999" s="142" t="s">
        <v>13624</v>
      </c>
      <c r="B9999" s="142" t="s">
        <v>15664</v>
      </c>
      <c r="C9999" s="142" t="s">
        <v>25795</v>
      </c>
      <c r="D9999" s="142" t="s">
        <v>25795</v>
      </c>
      <c r="E9999" s="142" t="s">
        <v>25796</v>
      </c>
      <c r="F9999" s="142" t="s">
        <v>5552</v>
      </c>
      <c r="G9999" s="142" t="s">
        <v>5551</v>
      </c>
      <c r="H9999" s="142" t="s">
        <v>25851</v>
      </c>
      <c r="I9999" s="142">
        <v>4479</v>
      </c>
      <c r="J9999" s="142">
        <v>4436</v>
      </c>
      <c r="K9999" s="142">
        <v>0</v>
      </c>
      <c r="L9999" s="142">
        <v>0</v>
      </c>
      <c r="M9999" s="142">
        <v>43</v>
      </c>
    </row>
    <row r="10000" spans="1:13" x14ac:dyDescent="0.45">
      <c r="A10000" s="142" t="s">
        <v>13627</v>
      </c>
      <c r="B10000" s="142" t="s">
        <v>15665</v>
      </c>
      <c r="C10000" s="142" t="s">
        <v>25795</v>
      </c>
      <c r="D10000" s="142" t="s">
        <v>25795</v>
      </c>
      <c r="E10000" s="142" t="s">
        <v>25796</v>
      </c>
      <c r="F10000" s="142" t="s">
        <v>10728</v>
      </c>
      <c r="G10000" s="142" t="s">
        <v>10727</v>
      </c>
      <c r="H10000" s="142" t="s">
        <v>25852</v>
      </c>
      <c r="I10000" s="142">
        <v>20731</v>
      </c>
      <c r="J10000" s="142">
        <v>20306</v>
      </c>
      <c r="K10000" s="142">
        <v>0</v>
      </c>
      <c r="L10000" s="142">
        <v>425</v>
      </c>
      <c r="M10000" s="142">
        <v>0</v>
      </c>
    </row>
    <row r="10001" spans="1:13" x14ac:dyDescent="0.45">
      <c r="A10001" s="142" t="s">
        <v>13545</v>
      </c>
      <c r="B10001" s="142" t="s">
        <v>15666</v>
      </c>
      <c r="C10001" s="142" t="s">
        <v>25795</v>
      </c>
      <c r="D10001" s="142" t="s">
        <v>25795</v>
      </c>
      <c r="E10001" s="142" t="s">
        <v>25796</v>
      </c>
      <c r="F10001" s="142" t="s">
        <v>2137</v>
      </c>
      <c r="G10001" s="142" t="s">
        <v>2136</v>
      </c>
      <c r="H10001" s="142" t="s">
        <v>25853</v>
      </c>
      <c r="I10001" s="142">
        <v>141</v>
      </c>
      <c r="J10001" s="142">
        <v>43</v>
      </c>
      <c r="K10001" s="142">
        <v>0</v>
      </c>
      <c r="L10001" s="142">
        <v>98</v>
      </c>
      <c r="M10001" s="142">
        <v>0</v>
      </c>
    </row>
    <row r="10002" spans="1:13" x14ac:dyDescent="0.45">
      <c r="A10002" s="142" t="s">
        <v>13641</v>
      </c>
      <c r="B10002" s="142" t="s">
        <v>15667</v>
      </c>
      <c r="C10002" s="142" t="s">
        <v>25795</v>
      </c>
      <c r="D10002" s="142" t="s">
        <v>25795</v>
      </c>
      <c r="E10002" s="142" t="s">
        <v>25796</v>
      </c>
      <c r="F10002" s="142" t="s">
        <v>3462</v>
      </c>
      <c r="G10002" s="142" t="s">
        <v>3461</v>
      </c>
      <c r="H10002" s="142" t="s">
        <v>25854</v>
      </c>
      <c r="I10002" s="142">
        <v>4155</v>
      </c>
      <c r="J10002" s="142">
        <v>2785</v>
      </c>
      <c r="K10002" s="142">
        <v>20</v>
      </c>
      <c r="L10002" s="142">
        <v>1350</v>
      </c>
      <c r="M10002" s="142">
        <v>0</v>
      </c>
    </row>
    <row r="10003" spans="1:13" x14ac:dyDescent="0.45">
      <c r="A10003" s="142" t="s">
        <v>13648</v>
      </c>
      <c r="B10003" s="142" t="s">
        <v>15668</v>
      </c>
      <c r="C10003" s="142" t="s">
        <v>25795</v>
      </c>
      <c r="D10003" s="142" t="s">
        <v>25795</v>
      </c>
      <c r="E10003" s="142" t="s">
        <v>25796</v>
      </c>
      <c r="F10003" s="142" t="s">
        <v>9519</v>
      </c>
      <c r="G10003" s="142" t="s">
        <v>9518</v>
      </c>
      <c r="H10003" s="142" t="s">
        <v>25855</v>
      </c>
      <c r="I10003" s="142">
        <v>0</v>
      </c>
      <c r="J10003" s="142">
        <v>0</v>
      </c>
      <c r="K10003" s="142">
        <v>0</v>
      </c>
      <c r="L10003" s="142">
        <v>0</v>
      </c>
      <c r="M10003" s="142">
        <v>0</v>
      </c>
    </row>
    <row r="10004" spans="1:13" x14ac:dyDescent="0.45">
      <c r="A10004" s="142" t="s">
        <v>13650</v>
      </c>
      <c r="B10004" s="142" t="s">
        <v>15669</v>
      </c>
      <c r="C10004" s="142" t="s">
        <v>25795</v>
      </c>
      <c r="D10004" s="142" t="s">
        <v>25795</v>
      </c>
      <c r="E10004" s="142" t="s">
        <v>25796</v>
      </c>
      <c r="F10004" s="142" t="s">
        <v>6748</v>
      </c>
      <c r="G10004" s="142" t="s">
        <v>6747</v>
      </c>
      <c r="H10004" s="142" t="s">
        <v>25856</v>
      </c>
      <c r="I10004" s="142">
        <v>5</v>
      </c>
      <c r="J10004" s="142">
        <v>5</v>
      </c>
      <c r="K10004" s="142">
        <v>0</v>
      </c>
      <c r="L10004" s="142">
        <v>0</v>
      </c>
      <c r="M10004" s="142">
        <v>0</v>
      </c>
    </row>
    <row r="10005" spans="1:13" x14ac:dyDescent="0.45">
      <c r="A10005" s="142" t="s">
        <v>13654</v>
      </c>
      <c r="B10005" s="142" t="s">
        <v>15670</v>
      </c>
      <c r="C10005" s="142" t="s">
        <v>25795</v>
      </c>
      <c r="D10005" s="142" t="s">
        <v>25795</v>
      </c>
      <c r="E10005" s="142" t="s">
        <v>25796</v>
      </c>
      <c r="F10005" s="142" t="s">
        <v>730</v>
      </c>
      <c r="G10005" s="142" t="s">
        <v>729</v>
      </c>
      <c r="H10005" s="142" t="s">
        <v>25857</v>
      </c>
      <c r="I10005" s="142">
        <v>11412</v>
      </c>
      <c r="J10005" s="142">
        <v>10668</v>
      </c>
      <c r="K10005" s="142">
        <v>0</v>
      </c>
      <c r="L10005" s="142">
        <v>607</v>
      </c>
      <c r="M10005" s="142">
        <v>137</v>
      </c>
    </row>
    <row r="10006" spans="1:13" x14ac:dyDescent="0.45">
      <c r="A10006" s="142" t="s">
        <v>13661</v>
      </c>
      <c r="B10006" s="142" t="s">
        <v>15671</v>
      </c>
      <c r="C10006" s="142" t="s">
        <v>25795</v>
      </c>
      <c r="D10006" s="142" t="s">
        <v>25795</v>
      </c>
      <c r="E10006" s="142" t="s">
        <v>25796</v>
      </c>
      <c r="F10006" s="142" t="s">
        <v>9602</v>
      </c>
      <c r="G10006" s="142" t="s">
        <v>9601</v>
      </c>
      <c r="H10006" s="142" t="s">
        <v>25858</v>
      </c>
      <c r="I10006" s="142">
        <v>4334</v>
      </c>
      <c r="J10006" s="142">
        <v>3943</v>
      </c>
      <c r="K10006" s="142">
        <v>13</v>
      </c>
      <c r="L10006" s="142">
        <v>357</v>
      </c>
      <c r="M10006" s="142">
        <v>21</v>
      </c>
    </row>
    <row r="10007" spans="1:13" x14ac:dyDescent="0.45">
      <c r="A10007" s="142" t="s">
        <v>13667</v>
      </c>
      <c r="B10007" s="142" t="s">
        <v>15672</v>
      </c>
      <c r="C10007" s="142" t="s">
        <v>25795</v>
      </c>
      <c r="D10007" s="142" t="s">
        <v>25795</v>
      </c>
      <c r="E10007" s="142" t="s">
        <v>25796</v>
      </c>
      <c r="F10007" s="142" t="s">
        <v>3795</v>
      </c>
      <c r="G10007" s="142" t="s">
        <v>3794</v>
      </c>
      <c r="H10007" s="142" t="s">
        <v>25859</v>
      </c>
      <c r="I10007" s="142">
        <v>3442</v>
      </c>
      <c r="J10007" s="142">
        <v>3114</v>
      </c>
      <c r="K10007" s="142">
        <v>0</v>
      </c>
      <c r="L10007" s="142">
        <v>301</v>
      </c>
      <c r="M10007" s="142">
        <v>27</v>
      </c>
    </row>
    <row r="10008" spans="1:13" x14ac:dyDescent="0.45">
      <c r="A10008" s="142" t="s">
        <v>13668</v>
      </c>
      <c r="B10008" s="142" t="s">
        <v>15673</v>
      </c>
      <c r="C10008" s="142" t="s">
        <v>25795</v>
      </c>
      <c r="D10008" s="142" t="s">
        <v>25795</v>
      </c>
      <c r="E10008" s="142" t="s">
        <v>25796</v>
      </c>
      <c r="F10008" s="142" t="s">
        <v>4824</v>
      </c>
      <c r="G10008" s="142" t="s">
        <v>4823</v>
      </c>
      <c r="H10008" s="142" t="s">
        <v>25860</v>
      </c>
      <c r="I10008" s="142">
        <v>38</v>
      </c>
      <c r="J10008" s="142">
        <v>10</v>
      </c>
      <c r="K10008" s="142">
        <v>0</v>
      </c>
      <c r="L10008" s="142">
        <v>28</v>
      </c>
      <c r="M10008" s="142">
        <v>0</v>
      </c>
    </row>
    <row r="10009" spans="1:13" x14ac:dyDescent="0.45">
      <c r="A10009" s="142" t="s">
        <v>13670</v>
      </c>
      <c r="B10009" s="142" t="s">
        <v>15674</v>
      </c>
      <c r="C10009" s="142" t="s">
        <v>25795</v>
      </c>
      <c r="D10009" s="142" t="s">
        <v>25795</v>
      </c>
      <c r="E10009" s="142" t="s">
        <v>25796</v>
      </c>
      <c r="F10009" s="142" t="s">
        <v>8246</v>
      </c>
      <c r="G10009" s="142" t="s">
        <v>8245</v>
      </c>
      <c r="H10009" s="142" t="s">
        <v>25861</v>
      </c>
      <c r="I10009" s="142">
        <v>96</v>
      </c>
      <c r="J10009" s="142">
        <v>96</v>
      </c>
      <c r="K10009" s="142">
        <v>0</v>
      </c>
      <c r="L10009" s="142">
        <v>0</v>
      </c>
      <c r="M10009" s="142">
        <v>0</v>
      </c>
    </row>
    <row r="10010" spans="1:13" x14ac:dyDescent="0.45">
      <c r="A10010" s="142" t="s">
        <v>13682</v>
      </c>
      <c r="B10010" s="142" t="s">
        <v>15675</v>
      </c>
      <c r="C10010" s="142" t="s">
        <v>25795</v>
      </c>
      <c r="D10010" s="142" t="s">
        <v>25795</v>
      </c>
      <c r="E10010" s="142" t="s">
        <v>25796</v>
      </c>
      <c r="F10010" s="142" t="s">
        <v>4256</v>
      </c>
      <c r="G10010" s="142" t="s">
        <v>4255</v>
      </c>
      <c r="H10010" s="142" t="s">
        <v>25862</v>
      </c>
      <c r="I10010" s="142">
        <v>6376</v>
      </c>
      <c r="J10010" s="142">
        <v>5822</v>
      </c>
      <c r="K10010" s="142">
        <v>0</v>
      </c>
      <c r="L10010" s="142">
        <v>554</v>
      </c>
      <c r="M10010" s="142">
        <v>0</v>
      </c>
    </row>
    <row r="10011" spans="1:13" x14ac:dyDescent="0.45">
      <c r="A10011" s="142" t="s">
        <v>13687</v>
      </c>
      <c r="B10011" s="142" t="s">
        <v>15676</v>
      </c>
      <c r="C10011" s="142" t="s">
        <v>25795</v>
      </c>
      <c r="D10011" s="142" t="s">
        <v>25795</v>
      </c>
      <c r="E10011" s="142" t="s">
        <v>25796</v>
      </c>
      <c r="F10011" s="142" t="s">
        <v>3504</v>
      </c>
      <c r="G10011" s="142" t="s">
        <v>3503</v>
      </c>
      <c r="H10011" s="142" t="s">
        <v>25863</v>
      </c>
      <c r="I10011" s="142">
        <v>4734</v>
      </c>
      <c r="J10011" s="142">
        <v>4668</v>
      </c>
      <c r="K10011" s="142">
        <v>0</v>
      </c>
      <c r="L10011" s="142">
        <v>53</v>
      </c>
      <c r="M10011" s="142">
        <v>13</v>
      </c>
    </row>
    <row r="10012" spans="1:13" x14ac:dyDescent="0.45">
      <c r="A10012" s="142" t="s">
        <v>13689</v>
      </c>
      <c r="B10012" s="142" t="s">
        <v>15677</v>
      </c>
      <c r="C10012" s="142" t="s">
        <v>25795</v>
      </c>
      <c r="D10012" s="142" t="s">
        <v>25795</v>
      </c>
      <c r="E10012" s="142" t="s">
        <v>25796</v>
      </c>
      <c r="F10012" s="142" t="s">
        <v>4866</v>
      </c>
      <c r="G10012" s="142" t="s">
        <v>4865</v>
      </c>
      <c r="H10012" s="142" t="s">
        <v>25864</v>
      </c>
      <c r="I10012" s="142">
        <v>2408</v>
      </c>
      <c r="J10012" s="142">
        <v>1713</v>
      </c>
      <c r="K10012" s="142">
        <v>14</v>
      </c>
      <c r="L10012" s="142">
        <v>614</v>
      </c>
      <c r="M10012" s="142">
        <v>67</v>
      </c>
    </row>
    <row r="10013" spans="1:13" x14ac:dyDescent="0.45">
      <c r="A10013" s="142" t="s">
        <v>13694</v>
      </c>
      <c r="B10013" s="142" t="s">
        <v>15678</v>
      </c>
      <c r="C10013" s="142" t="s">
        <v>25795</v>
      </c>
      <c r="D10013" s="142" t="s">
        <v>25795</v>
      </c>
      <c r="E10013" s="142" t="s">
        <v>25796</v>
      </c>
      <c r="F10013" s="142" t="s">
        <v>5720</v>
      </c>
      <c r="G10013" s="142" t="s">
        <v>5719</v>
      </c>
      <c r="H10013" s="142" t="s">
        <v>25865</v>
      </c>
      <c r="I10013" s="142">
        <v>3416</v>
      </c>
      <c r="J10013" s="142">
        <v>2787</v>
      </c>
      <c r="K10013" s="142">
        <v>0</v>
      </c>
      <c r="L10013" s="142">
        <v>611</v>
      </c>
      <c r="M10013" s="142">
        <v>18</v>
      </c>
    </row>
    <row r="10014" spans="1:13" x14ac:dyDescent="0.45">
      <c r="A10014" s="142" t="s">
        <v>13701</v>
      </c>
      <c r="B10014" s="142" t="s">
        <v>15679</v>
      </c>
      <c r="C10014" s="142" t="s">
        <v>25795</v>
      </c>
      <c r="D10014" s="142" t="s">
        <v>25795</v>
      </c>
      <c r="E10014" s="142" t="s">
        <v>25796</v>
      </c>
      <c r="F10014" s="142" t="s">
        <v>11145</v>
      </c>
      <c r="G10014" s="142" t="s">
        <v>11144</v>
      </c>
      <c r="H10014" s="142" t="s">
        <v>25866</v>
      </c>
      <c r="I10014" s="142">
        <v>17996</v>
      </c>
      <c r="J10014" s="142">
        <v>16459</v>
      </c>
      <c r="K10014" s="142">
        <v>0</v>
      </c>
      <c r="L10014" s="142">
        <v>1530</v>
      </c>
      <c r="M10014" s="142">
        <v>7</v>
      </c>
    </row>
    <row r="10015" spans="1:13" x14ac:dyDescent="0.45">
      <c r="A10015" s="142" t="s">
        <v>13705</v>
      </c>
      <c r="B10015" s="142" t="s">
        <v>15680</v>
      </c>
      <c r="C10015" s="142" t="s">
        <v>25795</v>
      </c>
      <c r="D10015" s="142" t="s">
        <v>25795</v>
      </c>
      <c r="E10015" s="142" t="s">
        <v>25796</v>
      </c>
      <c r="F10015" s="142" t="s">
        <v>4616</v>
      </c>
      <c r="G10015" s="142" t="s">
        <v>4615</v>
      </c>
      <c r="H10015" s="142" t="s">
        <v>25867</v>
      </c>
      <c r="I10015" s="142">
        <v>0</v>
      </c>
      <c r="J10015" s="142">
        <v>0</v>
      </c>
      <c r="K10015" s="142">
        <v>0</v>
      </c>
      <c r="L10015" s="142">
        <v>0</v>
      </c>
      <c r="M10015" s="142">
        <v>0</v>
      </c>
    </row>
    <row r="10016" spans="1:13" x14ac:dyDescent="0.45">
      <c r="A10016" s="142" t="s">
        <v>13707</v>
      </c>
      <c r="B10016" s="142" t="s">
        <v>15681</v>
      </c>
      <c r="C10016" s="142" t="s">
        <v>25795</v>
      </c>
      <c r="D10016" s="142" t="s">
        <v>25795</v>
      </c>
      <c r="E10016" s="142" t="s">
        <v>25796</v>
      </c>
      <c r="F10016" s="142" t="s">
        <v>4908</v>
      </c>
      <c r="G10016" s="142" t="s">
        <v>4907</v>
      </c>
      <c r="H10016" s="142" t="s">
        <v>25868</v>
      </c>
      <c r="I10016" s="142">
        <v>3061</v>
      </c>
      <c r="J10016" s="142">
        <v>2788</v>
      </c>
      <c r="K10016" s="142">
        <v>0</v>
      </c>
      <c r="L10016" s="142">
        <v>273</v>
      </c>
      <c r="M10016" s="142">
        <v>0</v>
      </c>
    </row>
    <row r="10017" spans="1:13" x14ac:dyDescent="0.45">
      <c r="A10017" s="142" t="s">
        <v>13710</v>
      </c>
      <c r="B10017" s="142" t="s">
        <v>15682</v>
      </c>
      <c r="C10017" s="142" t="s">
        <v>25795</v>
      </c>
      <c r="D10017" s="142" t="s">
        <v>25795</v>
      </c>
      <c r="E10017" s="142" t="s">
        <v>25796</v>
      </c>
      <c r="F10017" s="142" t="s">
        <v>5594</v>
      </c>
      <c r="G10017" s="142" t="s">
        <v>5593</v>
      </c>
      <c r="H10017" s="142" t="s">
        <v>25869</v>
      </c>
      <c r="I10017" s="142">
        <v>5641</v>
      </c>
      <c r="J10017" s="142">
        <v>5641</v>
      </c>
      <c r="K10017" s="142">
        <v>0</v>
      </c>
      <c r="L10017" s="142">
        <v>0</v>
      </c>
      <c r="M10017" s="142">
        <v>0</v>
      </c>
    </row>
    <row r="10018" spans="1:13" x14ac:dyDescent="0.45">
      <c r="A10018" s="142" t="s">
        <v>13712</v>
      </c>
      <c r="B10018" s="142" t="s">
        <v>15683</v>
      </c>
      <c r="C10018" s="142" t="s">
        <v>25795</v>
      </c>
      <c r="D10018" s="142" t="s">
        <v>25795</v>
      </c>
      <c r="E10018" s="142" t="s">
        <v>25796</v>
      </c>
      <c r="F10018" s="142" t="s">
        <v>7083</v>
      </c>
      <c r="G10018" s="142" t="s">
        <v>7082</v>
      </c>
      <c r="H10018" s="142" t="s">
        <v>25870</v>
      </c>
      <c r="I10018" s="142">
        <v>5796</v>
      </c>
      <c r="J10018" s="142">
        <v>4818</v>
      </c>
      <c r="K10018" s="142">
        <v>0</v>
      </c>
      <c r="L10018" s="142">
        <v>978</v>
      </c>
      <c r="M10018" s="142">
        <v>0</v>
      </c>
    </row>
    <row r="10019" spans="1:13" x14ac:dyDescent="0.45">
      <c r="A10019" s="142" t="s">
        <v>13721</v>
      </c>
      <c r="B10019" s="142" t="s">
        <v>15684</v>
      </c>
      <c r="C10019" s="142" t="s">
        <v>25795</v>
      </c>
      <c r="D10019" s="142" t="s">
        <v>25795</v>
      </c>
      <c r="E10019" s="142" t="s">
        <v>25796</v>
      </c>
      <c r="F10019" s="142" t="s">
        <v>8330</v>
      </c>
      <c r="G10019" s="142" t="s">
        <v>8329</v>
      </c>
      <c r="H10019" s="142" t="s">
        <v>25871</v>
      </c>
      <c r="I10019" s="142">
        <v>5217</v>
      </c>
      <c r="J10019" s="142">
        <v>4980</v>
      </c>
      <c r="K10019" s="142">
        <v>0</v>
      </c>
      <c r="L10019" s="142">
        <v>46</v>
      </c>
      <c r="M10019" s="142">
        <v>191</v>
      </c>
    </row>
    <row r="10020" spans="1:13" x14ac:dyDescent="0.45">
      <c r="A10020" s="142" t="s">
        <v>13751</v>
      </c>
      <c r="B10020" s="142" t="s">
        <v>15685</v>
      </c>
      <c r="C10020" s="142" t="s">
        <v>25795</v>
      </c>
      <c r="D10020" s="142" t="s">
        <v>25795</v>
      </c>
      <c r="E10020" s="142" t="s">
        <v>25796</v>
      </c>
      <c r="F10020" s="142" t="s">
        <v>11734</v>
      </c>
      <c r="G10020" s="142" t="s">
        <v>11733</v>
      </c>
      <c r="H10020" s="142" t="s">
        <v>25872</v>
      </c>
      <c r="I10020" s="142">
        <v>15415</v>
      </c>
      <c r="J10020" s="142">
        <v>14080</v>
      </c>
      <c r="K10020" s="142">
        <v>0</v>
      </c>
      <c r="L10020" s="142">
        <v>1316</v>
      </c>
      <c r="M10020" s="142">
        <v>19</v>
      </c>
    </row>
    <row r="10021" spans="1:13" x14ac:dyDescent="0.45">
      <c r="A10021" s="142" t="s">
        <v>13758</v>
      </c>
      <c r="B10021" s="142" t="s">
        <v>15686</v>
      </c>
      <c r="C10021" s="142" t="s">
        <v>25795</v>
      </c>
      <c r="D10021" s="142" t="s">
        <v>25795</v>
      </c>
      <c r="E10021" s="142" t="s">
        <v>25796</v>
      </c>
      <c r="F10021" s="142" t="s">
        <v>4298</v>
      </c>
      <c r="G10021" s="142" t="s">
        <v>4297</v>
      </c>
      <c r="H10021" s="142" t="s">
        <v>25873</v>
      </c>
      <c r="I10021" s="142">
        <v>9050</v>
      </c>
      <c r="J10021" s="142">
        <v>8515</v>
      </c>
      <c r="K10021" s="142">
        <v>3</v>
      </c>
      <c r="L10021" s="142">
        <v>523</v>
      </c>
      <c r="M10021" s="142">
        <v>9</v>
      </c>
    </row>
    <row r="10022" spans="1:13" x14ac:dyDescent="0.45">
      <c r="A10022" s="142" t="s">
        <v>13763</v>
      </c>
      <c r="B10022" s="142" t="s">
        <v>15687</v>
      </c>
      <c r="C10022" s="142" t="s">
        <v>25795</v>
      </c>
      <c r="D10022" s="142" t="s">
        <v>25795</v>
      </c>
      <c r="E10022" s="142" t="s">
        <v>25796</v>
      </c>
      <c r="F10022" s="142" t="s">
        <v>291</v>
      </c>
      <c r="G10022" s="142" t="s">
        <v>290</v>
      </c>
      <c r="H10022" s="142" t="s">
        <v>25874</v>
      </c>
      <c r="I10022" s="142">
        <v>356</v>
      </c>
      <c r="J10022" s="142">
        <v>356</v>
      </c>
      <c r="K10022" s="142">
        <v>0</v>
      </c>
      <c r="L10022" s="142">
        <v>0</v>
      </c>
      <c r="M10022" s="142">
        <v>0</v>
      </c>
    </row>
    <row r="10023" spans="1:13" x14ac:dyDescent="0.45">
      <c r="A10023" s="142" t="s">
        <v>13766</v>
      </c>
      <c r="B10023" s="142" t="s">
        <v>15688</v>
      </c>
      <c r="C10023" s="142" t="s">
        <v>25795</v>
      </c>
      <c r="D10023" s="142" t="s">
        <v>25795</v>
      </c>
      <c r="E10023" s="142" t="s">
        <v>25796</v>
      </c>
      <c r="F10023" s="142" t="s">
        <v>3837</v>
      </c>
      <c r="G10023" s="142" t="s">
        <v>3836</v>
      </c>
      <c r="H10023" s="142" t="s">
        <v>25875</v>
      </c>
      <c r="I10023" s="142">
        <v>137</v>
      </c>
      <c r="J10023" s="142">
        <v>66</v>
      </c>
      <c r="K10023" s="142">
        <v>12</v>
      </c>
      <c r="L10023" s="142">
        <v>59</v>
      </c>
      <c r="M10023" s="142">
        <v>0</v>
      </c>
    </row>
    <row r="10024" spans="1:13" x14ac:dyDescent="0.45">
      <c r="A10024" s="142" t="s">
        <v>13769</v>
      </c>
      <c r="B10024" s="142" t="s">
        <v>15689</v>
      </c>
      <c r="C10024" s="142" t="s">
        <v>25795</v>
      </c>
      <c r="D10024" s="142" t="s">
        <v>25795</v>
      </c>
      <c r="E10024" s="142" t="s">
        <v>25796</v>
      </c>
      <c r="F10024" s="142" t="s">
        <v>1058</v>
      </c>
      <c r="G10024" s="142" t="s">
        <v>1057</v>
      </c>
      <c r="H10024" s="142" t="s">
        <v>25876</v>
      </c>
      <c r="I10024" s="142">
        <v>0</v>
      </c>
      <c r="J10024" s="142">
        <v>0</v>
      </c>
      <c r="K10024" s="142">
        <v>0</v>
      </c>
      <c r="L10024" s="142">
        <v>0</v>
      </c>
      <c r="M10024" s="142">
        <v>0</v>
      </c>
    </row>
    <row r="10025" spans="1:13" x14ac:dyDescent="0.45">
      <c r="A10025" s="142" t="s">
        <v>13775</v>
      </c>
      <c r="B10025" s="142" t="s">
        <v>15690</v>
      </c>
      <c r="C10025" s="142" t="s">
        <v>25795</v>
      </c>
      <c r="D10025" s="142" t="s">
        <v>25795</v>
      </c>
      <c r="E10025" s="142" t="s">
        <v>25796</v>
      </c>
      <c r="F10025" s="142" t="s">
        <v>3336</v>
      </c>
      <c r="G10025" s="142" t="s">
        <v>3335</v>
      </c>
      <c r="H10025" s="142" t="s">
        <v>25877</v>
      </c>
      <c r="I10025" s="142">
        <v>3801</v>
      </c>
      <c r="J10025" s="142">
        <v>3531</v>
      </c>
      <c r="K10025" s="142">
        <v>0</v>
      </c>
      <c r="L10025" s="142">
        <v>270</v>
      </c>
      <c r="M10025" s="142">
        <v>0</v>
      </c>
    </row>
    <row r="10026" spans="1:13" x14ac:dyDescent="0.45">
      <c r="A10026" s="142" t="s">
        <v>13781</v>
      </c>
      <c r="B10026" s="142" t="s">
        <v>15691</v>
      </c>
      <c r="C10026" s="142" t="s">
        <v>25795</v>
      </c>
      <c r="D10026" s="142" t="s">
        <v>25795</v>
      </c>
      <c r="E10026" s="142" t="s">
        <v>25796</v>
      </c>
      <c r="F10026" s="142" t="s">
        <v>6538</v>
      </c>
      <c r="G10026" s="142" t="s">
        <v>6537</v>
      </c>
      <c r="H10026" s="142" t="s">
        <v>25878</v>
      </c>
      <c r="I10026" s="142">
        <v>3211</v>
      </c>
      <c r="J10026" s="142">
        <v>2819</v>
      </c>
      <c r="K10026" s="142">
        <v>0</v>
      </c>
      <c r="L10026" s="142">
        <v>390</v>
      </c>
      <c r="M10026" s="142">
        <v>2</v>
      </c>
    </row>
    <row r="10027" spans="1:13" x14ac:dyDescent="0.45">
      <c r="A10027" s="142" t="s">
        <v>13795</v>
      </c>
      <c r="B10027" s="142" t="s">
        <v>15692</v>
      </c>
      <c r="C10027" s="142" t="s">
        <v>25795</v>
      </c>
      <c r="D10027" s="142" t="s">
        <v>25795</v>
      </c>
      <c r="E10027" s="142" t="s">
        <v>25796</v>
      </c>
      <c r="F10027" s="142" t="s">
        <v>8162</v>
      </c>
      <c r="G10027" s="142" t="s">
        <v>8161</v>
      </c>
      <c r="H10027" s="142" t="s">
        <v>25879</v>
      </c>
      <c r="I10027" s="142">
        <v>7763</v>
      </c>
      <c r="J10027" s="142">
        <v>7763</v>
      </c>
      <c r="K10027" s="142">
        <v>0</v>
      </c>
      <c r="L10027" s="142">
        <v>0</v>
      </c>
      <c r="M10027" s="142">
        <v>0</v>
      </c>
    </row>
    <row r="10028" spans="1:13" x14ac:dyDescent="0.45">
      <c r="A10028" s="142" t="s">
        <v>13799</v>
      </c>
      <c r="B10028" s="142" t="s">
        <v>15693</v>
      </c>
      <c r="C10028" s="142" t="s">
        <v>25795</v>
      </c>
      <c r="D10028" s="142" t="s">
        <v>25795</v>
      </c>
      <c r="E10028" s="142" t="s">
        <v>25796</v>
      </c>
      <c r="F10028" s="142" t="s">
        <v>2095</v>
      </c>
      <c r="G10028" s="142" t="s">
        <v>2094</v>
      </c>
      <c r="H10028" s="142" t="s">
        <v>25880</v>
      </c>
      <c r="I10028" s="142">
        <v>86</v>
      </c>
      <c r="J10028" s="142">
        <v>36</v>
      </c>
      <c r="K10028" s="142">
        <v>0</v>
      </c>
      <c r="L10028" s="142">
        <v>0</v>
      </c>
      <c r="M10028" s="142">
        <v>50</v>
      </c>
    </row>
    <row r="10029" spans="1:13" x14ac:dyDescent="0.45">
      <c r="A10029" s="142" t="s">
        <v>13820</v>
      </c>
      <c r="B10029" s="142" t="s">
        <v>15694</v>
      </c>
      <c r="C10029" s="142" t="s">
        <v>25795</v>
      </c>
      <c r="D10029" s="142" t="s">
        <v>25795</v>
      </c>
      <c r="E10029" s="142" t="s">
        <v>25796</v>
      </c>
      <c r="F10029" s="142" t="s">
        <v>687</v>
      </c>
      <c r="G10029" s="142" t="s">
        <v>686</v>
      </c>
      <c r="H10029" s="142" t="s">
        <v>25881</v>
      </c>
      <c r="I10029" s="142">
        <v>22944</v>
      </c>
      <c r="J10029" s="142">
        <v>22172</v>
      </c>
      <c r="K10029" s="142">
        <v>97</v>
      </c>
      <c r="L10029" s="142">
        <v>675</v>
      </c>
      <c r="M10029" s="142">
        <v>0</v>
      </c>
    </row>
    <row r="10030" spans="1:13" x14ac:dyDescent="0.45">
      <c r="A10030" s="142" t="s">
        <v>13828</v>
      </c>
      <c r="B10030" s="142" t="s">
        <v>15695</v>
      </c>
      <c r="C10030" s="142" t="s">
        <v>25795</v>
      </c>
      <c r="D10030" s="142" t="s">
        <v>25795</v>
      </c>
      <c r="E10030" s="142" t="s">
        <v>25796</v>
      </c>
      <c r="F10030" s="142" t="s">
        <v>11020</v>
      </c>
      <c r="G10030" s="142" t="s">
        <v>11019</v>
      </c>
      <c r="H10030" s="142" t="s">
        <v>25882</v>
      </c>
      <c r="I10030" s="142">
        <v>21599</v>
      </c>
      <c r="J10030" s="142">
        <v>21061</v>
      </c>
      <c r="K10030" s="142">
        <v>0</v>
      </c>
      <c r="L10030" s="142">
        <v>538</v>
      </c>
      <c r="M10030" s="142">
        <v>0</v>
      </c>
    </row>
    <row r="10031" spans="1:13" x14ac:dyDescent="0.45">
      <c r="A10031" s="142" t="s">
        <v>13870</v>
      </c>
      <c r="B10031" s="142" t="s">
        <v>15696</v>
      </c>
      <c r="C10031" s="142" t="s">
        <v>25795</v>
      </c>
      <c r="D10031" s="142" t="s">
        <v>25795</v>
      </c>
      <c r="E10031" s="142" t="s">
        <v>25796</v>
      </c>
      <c r="F10031" s="142" t="s">
        <v>6078</v>
      </c>
      <c r="G10031" s="142" t="s">
        <v>6077</v>
      </c>
      <c r="H10031" s="142" t="s">
        <v>25883</v>
      </c>
      <c r="I10031" s="142">
        <v>3602</v>
      </c>
      <c r="J10031" s="142">
        <v>3016</v>
      </c>
      <c r="K10031" s="142">
        <v>0</v>
      </c>
      <c r="L10031" s="142">
        <v>585</v>
      </c>
      <c r="M10031" s="142">
        <v>1</v>
      </c>
    </row>
    <row r="10032" spans="1:13" x14ac:dyDescent="0.45">
      <c r="A10032" s="142" t="s">
        <v>13874</v>
      </c>
      <c r="B10032" s="142" t="s">
        <v>15697</v>
      </c>
      <c r="C10032" s="142" t="s">
        <v>25795</v>
      </c>
      <c r="D10032" s="142" t="s">
        <v>25795</v>
      </c>
      <c r="E10032" s="142" t="s">
        <v>25796</v>
      </c>
      <c r="F10032" s="142" t="s">
        <v>11062</v>
      </c>
      <c r="G10032" s="142" t="s">
        <v>11061</v>
      </c>
      <c r="H10032" s="142" t="s">
        <v>25884</v>
      </c>
      <c r="I10032" s="142">
        <v>52355</v>
      </c>
      <c r="J10032" s="142">
        <v>48166</v>
      </c>
      <c r="K10032" s="142">
        <v>0</v>
      </c>
      <c r="L10032" s="142">
        <v>4183</v>
      </c>
      <c r="M10032" s="142">
        <v>6</v>
      </c>
    </row>
    <row r="10033" spans="1:13" x14ac:dyDescent="0.45">
      <c r="A10033" s="142" t="s">
        <v>13884</v>
      </c>
      <c r="B10033" s="142" t="s">
        <v>15698</v>
      </c>
      <c r="C10033" s="142" t="s">
        <v>25795</v>
      </c>
      <c r="D10033" s="142" t="s">
        <v>25795</v>
      </c>
      <c r="E10033" s="142" t="s">
        <v>25796</v>
      </c>
      <c r="F10033" s="142" t="s">
        <v>940</v>
      </c>
      <c r="G10033" s="142" t="s">
        <v>939</v>
      </c>
      <c r="H10033" s="142" t="s">
        <v>25885</v>
      </c>
      <c r="I10033" s="142">
        <v>19407</v>
      </c>
      <c r="J10033" s="142">
        <v>19288</v>
      </c>
      <c r="K10033" s="142">
        <v>3</v>
      </c>
      <c r="L10033" s="142">
        <v>116</v>
      </c>
      <c r="M10033" s="142">
        <v>0</v>
      </c>
    </row>
    <row r="10034" spans="1:13" x14ac:dyDescent="0.45">
      <c r="A10034" s="142" t="s">
        <v>13891</v>
      </c>
      <c r="B10034" s="142" t="s">
        <v>15699</v>
      </c>
      <c r="C10034" s="142" t="s">
        <v>25795</v>
      </c>
      <c r="D10034" s="142" t="s">
        <v>25795</v>
      </c>
      <c r="E10034" s="142" t="s">
        <v>25796</v>
      </c>
      <c r="F10034" s="142" t="s">
        <v>3879</v>
      </c>
      <c r="G10034" s="142" t="s">
        <v>3878</v>
      </c>
      <c r="H10034" s="142" t="s">
        <v>25886</v>
      </c>
      <c r="I10034" s="142">
        <v>3254</v>
      </c>
      <c r="J10034" s="142">
        <v>2859</v>
      </c>
      <c r="K10034" s="142">
        <v>0</v>
      </c>
      <c r="L10034" s="142">
        <v>379</v>
      </c>
      <c r="M10034" s="142">
        <v>16</v>
      </c>
    </row>
    <row r="10035" spans="1:13" x14ac:dyDescent="0.45">
      <c r="A10035" s="142" t="s">
        <v>13908</v>
      </c>
      <c r="B10035" s="142" t="s">
        <v>15700</v>
      </c>
      <c r="C10035" s="142" t="s">
        <v>25795</v>
      </c>
      <c r="D10035" s="142" t="s">
        <v>25795</v>
      </c>
      <c r="E10035" s="142" t="s">
        <v>25796</v>
      </c>
      <c r="F10035" s="142" t="s">
        <v>7871</v>
      </c>
      <c r="G10035" s="142" t="s">
        <v>7870</v>
      </c>
      <c r="H10035" s="142" t="s">
        <v>25887</v>
      </c>
      <c r="I10035" s="142">
        <v>11</v>
      </c>
      <c r="J10035" s="142">
        <v>11</v>
      </c>
      <c r="K10035" s="142">
        <v>0</v>
      </c>
      <c r="L10035" s="142">
        <v>0</v>
      </c>
      <c r="M10035" s="142">
        <v>0</v>
      </c>
    </row>
    <row r="10036" spans="1:13" x14ac:dyDescent="0.45">
      <c r="A10036" s="142" t="s">
        <v>13912</v>
      </c>
      <c r="B10036" s="142" t="s">
        <v>15701</v>
      </c>
      <c r="C10036" s="142" t="s">
        <v>25795</v>
      </c>
      <c r="D10036" s="142" t="s">
        <v>25795</v>
      </c>
      <c r="E10036" s="142" t="s">
        <v>25796</v>
      </c>
      <c r="F10036" s="142" t="s">
        <v>10143</v>
      </c>
      <c r="G10036" s="142" t="s">
        <v>10142</v>
      </c>
      <c r="H10036" s="142" t="s">
        <v>25888</v>
      </c>
      <c r="I10036" s="142">
        <v>6</v>
      </c>
      <c r="J10036" s="142">
        <v>6</v>
      </c>
      <c r="K10036" s="142">
        <v>0</v>
      </c>
      <c r="L10036" s="142">
        <v>0</v>
      </c>
      <c r="M10036" s="142">
        <v>0</v>
      </c>
    </row>
    <row r="10037" spans="1:13" x14ac:dyDescent="0.45">
      <c r="A10037" s="142" t="s">
        <v>13097</v>
      </c>
      <c r="B10037" s="142" t="s">
        <v>15702</v>
      </c>
      <c r="C10037" s="142" t="s">
        <v>25795</v>
      </c>
      <c r="D10037" s="142" t="s">
        <v>25795</v>
      </c>
      <c r="E10037" s="142" t="s">
        <v>25796</v>
      </c>
      <c r="F10037" s="142" t="s">
        <v>11230</v>
      </c>
      <c r="G10037" s="142" t="s">
        <v>11229</v>
      </c>
      <c r="H10037" s="142" t="s">
        <v>25889</v>
      </c>
      <c r="I10037" s="142">
        <v>15723</v>
      </c>
      <c r="J10037" s="142">
        <v>14961</v>
      </c>
      <c r="K10037" s="142">
        <v>0</v>
      </c>
      <c r="L10037" s="142">
        <v>730</v>
      </c>
      <c r="M10037" s="142">
        <v>32</v>
      </c>
    </row>
    <row r="10038" spans="1:13" x14ac:dyDescent="0.45">
      <c r="A10038" s="142" t="s">
        <v>13109</v>
      </c>
      <c r="B10038" s="142" t="s">
        <v>15703</v>
      </c>
      <c r="C10038" s="142" t="s">
        <v>25795</v>
      </c>
      <c r="D10038" s="142" t="s">
        <v>25795</v>
      </c>
      <c r="E10038" s="142" t="s">
        <v>25796</v>
      </c>
      <c r="F10038" s="142" t="s">
        <v>11272</v>
      </c>
      <c r="G10038" s="142" t="s">
        <v>11271</v>
      </c>
      <c r="H10038" s="142" t="s">
        <v>25890</v>
      </c>
      <c r="I10038" s="142">
        <v>9115</v>
      </c>
      <c r="J10038" s="142">
        <v>8352</v>
      </c>
      <c r="K10038" s="142">
        <v>0</v>
      </c>
      <c r="L10038" s="142">
        <v>751</v>
      </c>
      <c r="M10038" s="142">
        <v>12</v>
      </c>
    </row>
    <row r="10039" spans="1:13" x14ac:dyDescent="0.45">
      <c r="A10039" s="142" t="s">
        <v>13208</v>
      </c>
      <c r="B10039" s="142" t="s">
        <v>15704</v>
      </c>
      <c r="C10039" s="142" t="s">
        <v>25795</v>
      </c>
      <c r="D10039" s="142" t="s">
        <v>25795</v>
      </c>
      <c r="E10039" s="142" t="s">
        <v>25796</v>
      </c>
      <c r="F10039" s="142" t="s">
        <v>11314</v>
      </c>
      <c r="G10039" s="142" t="s">
        <v>11313</v>
      </c>
      <c r="H10039" s="142" t="s">
        <v>25891</v>
      </c>
      <c r="I10039" s="142">
        <v>3</v>
      </c>
      <c r="J10039" s="142">
        <v>3</v>
      </c>
      <c r="K10039" s="142">
        <v>0</v>
      </c>
      <c r="L10039" s="142">
        <v>0</v>
      </c>
      <c r="M10039" s="142">
        <v>0</v>
      </c>
    </row>
    <row r="10040" spans="1:13" x14ac:dyDescent="0.45">
      <c r="A10040" s="142" t="s">
        <v>13333</v>
      </c>
      <c r="B10040" s="142" t="s">
        <v>15705</v>
      </c>
      <c r="C10040" s="142" t="s">
        <v>25795</v>
      </c>
      <c r="D10040" s="142" t="s">
        <v>25795</v>
      </c>
      <c r="E10040" s="142" t="s">
        <v>25796</v>
      </c>
      <c r="F10040" s="142" t="s">
        <v>11356</v>
      </c>
      <c r="G10040" s="142" t="s">
        <v>11355</v>
      </c>
      <c r="H10040" s="142" t="s">
        <v>25892</v>
      </c>
      <c r="I10040" s="142">
        <v>8080</v>
      </c>
      <c r="J10040" s="142">
        <v>8043</v>
      </c>
      <c r="K10040" s="142">
        <v>0</v>
      </c>
      <c r="L10040" s="142">
        <v>11</v>
      </c>
      <c r="M10040" s="142">
        <v>26</v>
      </c>
    </row>
    <row r="10041" spans="1:13" x14ac:dyDescent="0.45">
      <c r="A10041" s="142" t="s">
        <v>13377</v>
      </c>
      <c r="B10041" s="142" t="s">
        <v>15706</v>
      </c>
      <c r="C10041" s="142" t="s">
        <v>25795</v>
      </c>
      <c r="D10041" s="142" t="s">
        <v>25795</v>
      </c>
      <c r="E10041" s="142" t="s">
        <v>25796</v>
      </c>
      <c r="F10041" s="142" t="s">
        <v>11398</v>
      </c>
      <c r="G10041" s="142" t="s">
        <v>11397</v>
      </c>
      <c r="H10041" s="142" t="s">
        <v>25893</v>
      </c>
      <c r="I10041" s="142">
        <v>61</v>
      </c>
      <c r="J10041" s="142">
        <v>61</v>
      </c>
      <c r="K10041" s="142">
        <v>0</v>
      </c>
      <c r="L10041" s="142">
        <v>0</v>
      </c>
      <c r="M10041" s="142">
        <v>0</v>
      </c>
    </row>
    <row r="10042" spans="1:13" x14ac:dyDescent="0.45">
      <c r="A10042" s="142" t="s">
        <v>13431</v>
      </c>
      <c r="B10042" s="142" t="s">
        <v>15707</v>
      </c>
      <c r="C10042" s="142" t="s">
        <v>25795</v>
      </c>
      <c r="D10042" s="142" t="s">
        <v>25795</v>
      </c>
      <c r="E10042" s="142" t="s">
        <v>25796</v>
      </c>
      <c r="F10042" s="142" t="s">
        <v>11440</v>
      </c>
      <c r="G10042" s="142" t="s">
        <v>11439</v>
      </c>
      <c r="H10042" s="142" t="s">
        <v>25894</v>
      </c>
      <c r="I10042" s="142">
        <v>22654</v>
      </c>
      <c r="J10042" s="142">
        <v>22426</v>
      </c>
      <c r="K10042" s="142">
        <v>213</v>
      </c>
      <c r="L10042" s="142">
        <v>0</v>
      </c>
      <c r="M10042" s="142">
        <v>15</v>
      </c>
    </row>
    <row r="10043" spans="1:13" x14ac:dyDescent="0.45">
      <c r="A10043" s="142" t="s">
        <v>13571</v>
      </c>
      <c r="B10043" s="142" t="s">
        <v>15708</v>
      </c>
      <c r="C10043" s="142" t="s">
        <v>25795</v>
      </c>
      <c r="D10043" s="142" t="s">
        <v>25795</v>
      </c>
      <c r="E10043" s="142" t="s">
        <v>25796</v>
      </c>
      <c r="F10043" s="142" t="s">
        <v>11482</v>
      </c>
      <c r="G10043" s="142" t="s">
        <v>11481</v>
      </c>
      <c r="H10043" s="142" t="s">
        <v>25895</v>
      </c>
      <c r="I10043" s="142">
        <v>13347</v>
      </c>
      <c r="J10043" s="142">
        <v>12103</v>
      </c>
      <c r="K10043" s="142">
        <v>0</v>
      </c>
      <c r="L10043" s="142">
        <v>1237</v>
      </c>
      <c r="M10043" s="142">
        <v>7</v>
      </c>
    </row>
    <row r="10044" spans="1:13" x14ac:dyDescent="0.45">
      <c r="A10044" s="142" t="s">
        <v>13629</v>
      </c>
      <c r="B10044" s="142" t="s">
        <v>15709</v>
      </c>
      <c r="C10044" s="142" t="s">
        <v>25795</v>
      </c>
      <c r="D10044" s="142" t="s">
        <v>25795</v>
      </c>
      <c r="E10044" s="142" t="s">
        <v>25796</v>
      </c>
      <c r="F10044" s="142" t="s">
        <v>11524</v>
      </c>
      <c r="G10044" s="142" t="s">
        <v>11523</v>
      </c>
      <c r="H10044" s="142" t="s">
        <v>25896</v>
      </c>
      <c r="I10044" s="142">
        <v>11259</v>
      </c>
      <c r="J10044" s="142">
        <v>10057</v>
      </c>
      <c r="K10044" s="142">
        <v>0</v>
      </c>
      <c r="L10044" s="142">
        <v>1102</v>
      </c>
      <c r="M10044" s="142">
        <v>100</v>
      </c>
    </row>
    <row r="10045" spans="1:13" x14ac:dyDescent="0.45">
      <c r="A10045" s="142" t="s">
        <v>13676</v>
      </c>
      <c r="B10045" s="142" t="s">
        <v>15710</v>
      </c>
      <c r="C10045" s="142" t="s">
        <v>25795</v>
      </c>
      <c r="D10045" s="142" t="s">
        <v>25795</v>
      </c>
      <c r="E10045" s="142" t="s">
        <v>25796</v>
      </c>
      <c r="F10045" s="142" t="s">
        <v>11566</v>
      </c>
      <c r="G10045" s="142" t="s">
        <v>11565</v>
      </c>
      <c r="H10045" s="142" t="s">
        <v>25897</v>
      </c>
      <c r="I10045" s="142">
        <v>10455</v>
      </c>
      <c r="J10045" s="142">
        <v>10395</v>
      </c>
      <c r="K10045" s="142">
        <v>5</v>
      </c>
      <c r="L10045" s="142">
        <v>0</v>
      </c>
      <c r="M10045" s="142">
        <v>55</v>
      </c>
    </row>
    <row r="10046" spans="1:13" x14ac:dyDescent="0.45">
      <c r="A10046" s="142" t="s">
        <v>13728</v>
      </c>
      <c r="B10046" s="142" t="s">
        <v>15711</v>
      </c>
      <c r="C10046" s="142" t="s">
        <v>25795</v>
      </c>
      <c r="D10046" s="142" t="s">
        <v>25795</v>
      </c>
      <c r="E10046" s="142" t="s">
        <v>25796</v>
      </c>
      <c r="F10046" s="142" t="s">
        <v>11650</v>
      </c>
      <c r="G10046" s="142" t="s">
        <v>11649</v>
      </c>
      <c r="H10046" s="142" t="s">
        <v>25898</v>
      </c>
      <c r="I10046" s="142">
        <v>21552</v>
      </c>
      <c r="J10046" s="142">
        <v>21409</v>
      </c>
      <c r="K10046" s="142">
        <v>59</v>
      </c>
      <c r="L10046" s="142">
        <v>0</v>
      </c>
      <c r="M10046" s="142">
        <v>84</v>
      </c>
    </row>
    <row r="10047" spans="1:13" x14ac:dyDescent="0.45">
      <c r="A10047" s="142" t="s">
        <v>13745</v>
      </c>
      <c r="B10047" s="142" t="s">
        <v>15712</v>
      </c>
      <c r="C10047" s="142" t="s">
        <v>25795</v>
      </c>
      <c r="D10047" s="142" t="s">
        <v>25795</v>
      </c>
      <c r="E10047" s="142" t="s">
        <v>25796</v>
      </c>
      <c r="F10047" s="142" t="s">
        <v>11692</v>
      </c>
      <c r="G10047" s="142" t="s">
        <v>11691</v>
      </c>
      <c r="H10047" s="142" t="s">
        <v>25899</v>
      </c>
      <c r="I10047" s="142">
        <v>11983</v>
      </c>
      <c r="J10047" s="142">
        <v>11961</v>
      </c>
      <c r="K10047" s="142">
        <v>0</v>
      </c>
      <c r="L10047" s="142">
        <v>0</v>
      </c>
      <c r="M10047" s="142">
        <v>22</v>
      </c>
    </row>
    <row r="10048" spans="1:13" x14ac:dyDescent="0.45">
      <c r="A10048" s="142" t="s">
        <v>13761</v>
      </c>
      <c r="B10048" s="142" t="s">
        <v>15713</v>
      </c>
      <c r="C10048" s="142" t="s">
        <v>25795</v>
      </c>
      <c r="D10048" s="142" t="s">
        <v>25795</v>
      </c>
      <c r="E10048" s="142" t="s">
        <v>25796</v>
      </c>
      <c r="F10048" s="142" t="s">
        <v>11776</v>
      </c>
      <c r="G10048" s="142" t="s">
        <v>11775</v>
      </c>
      <c r="H10048" s="142" t="s">
        <v>25900</v>
      </c>
      <c r="I10048" s="142">
        <v>4790</v>
      </c>
      <c r="J10048" s="142">
        <v>4262</v>
      </c>
      <c r="K10048" s="142">
        <v>0</v>
      </c>
      <c r="L10048" s="142">
        <v>503</v>
      </c>
      <c r="M10048" s="142">
        <v>25</v>
      </c>
    </row>
    <row r="10049" spans="1:13" x14ac:dyDescent="0.45">
      <c r="A10049" s="142" t="s">
        <v>13768</v>
      </c>
      <c r="B10049" s="142" t="s">
        <v>15714</v>
      </c>
      <c r="C10049" s="142" t="s">
        <v>25795</v>
      </c>
      <c r="D10049" s="142" t="s">
        <v>25795</v>
      </c>
      <c r="E10049" s="142" t="s">
        <v>25796</v>
      </c>
      <c r="F10049" s="142" t="s">
        <v>11818</v>
      </c>
      <c r="G10049" s="142" t="s">
        <v>11817</v>
      </c>
      <c r="H10049" s="142" t="s">
        <v>25901</v>
      </c>
      <c r="I10049" s="142">
        <v>9147</v>
      </c>
      <c r="J10049" s="142">
        <v>8178</v>
      </c>
      <c r="K10049" s="142">
        <v>0</v>
      </c>
      <c r="L10049" s="142">
        <v>753</v>
      </c>
      <c r="M10049" s="142">
        <v>216</v>
      </c>
    </row>
    <row r="10050" spans="1:13" x14ac:dyDescent="0.45">
      <c r="A10050" s="142" t="s">
        <v>13776</v>
      </c>
      <c r="B10050" s="142" t="s">
        <v>15715</v>
      </c>
      <c r="C10050" s="142" t="s">
        <v>25795</v>
      </c>
      <c r="D10050" s="142" t="s">
        <v>25795</v>
      </c>
      <c r="E10050" s="142" t="s">
        <v>25796</v>
      </c>
      <c r="F10050" s="142" t="s">
        <v>11860</v>
      </c>
      <c r="G10050" s="142" t="s">
        <v>11859</v>
      </c>
      <c r="H10050" s="142" t="s">
        <v>25902</v>
      </c>
      <c r="I10050" s="142">
        <v>10445</v>
      </c>
      <c r="J10050" s="142">
        <v>10182</v>
      </c>
      <c r="K10050" s="142">
        <v>13</v>
      </c>
      <c r="L10050" s="142">
        <v>161</v>
      </c>
      <c r="M10050" s="142">
        <v>89</v>
      </c>
    </row>
    <row r="10051" spans="1:13" x14ac:dyDescent="0.45">
      <c r="A10051" s="142" t="s">
        <v>13783</v>
      </c>
      <c r="B10051" s="142" t="s">
        <v>15716</v>
      </c>
      <c r="C10051" s="142" t="s">
        <v>25795</v>
      </c>
      <c r="D10051" s="142" t="s">
        <v>25795</v>
      </c>
      <c r="E10051" s="142" t="s">
        <v>25796</v>
      </c>
      <c r="F10051" s="142" t="s">
        <v>11902</v>
      </c>
      <c r="G10051" s="142" t="s">
        <v>11901</v>
      </c>
      <c r="H10051" s="142" t="s">
        <v>25903</v>
      </c>
      <c r="I10051" s="142">
        <v>13447</v>
      </c>
      <c r="J10051" s="142">
        <v>12514</v>
      </c>
      <c r="K10051" s="142">
        <v>0</v>
      </c>
      <c r="L10051" s="142">
        <v>866</v>
      </c>
      <c r="M10051" s="142">
        <v>67</v>
      </c>
    </row>
    <row r="10052" spans="1:13" x14ac:dyDescent="0.45">
      <c r="A10052" s="142" t="s">
        <v>13804</v>
      </c>
      <c r="B10052" s="142" t="s">
        <v>15717</v>
      </c>
      <c r="C10052" s="142" t="s">
        <v>25795</v>
      </c>
      <c r="D10052" s="142" t="s">
        <v>25795</v>
      </c>
      <c r="E10052" s="142" t="s">
        <v>25796</v>
      </c>
      <c r="F10052" s="142" t="s">
        <v>11944</v>
      </c>
      <c r="G10052" s="142" t="s">
        <v>11943</v>
      </c>
      <c r="H10052" s="142" t="s">
        <v>25904</v>
      </c>
      <c r="I10052" s="142">
        <v>25737</v>
      </c>
      <c r="J10052" s="142">
        <v>25634</v>
      </c>
      <c r="K10052" s="142">
        <v>0</v>
      </c>
      <c r="L10052" s="142">
        <v>30</v>
      </c>
      <c r="M10052" s="142">
        <v>73</v>
      </c>
    </row>
    <row r="10053" spans="1:13" x14ac:dyDescent="0.45">
      <c r="A10053" s="142" t="s">
        <v>13842</v>
      </c>
      <c r="B10053" s="142" t="s">
        <v>15718</v>
      </c>
      <c r="C10053" s="142" t="s">
        <v>25795</v>
      </c>
      <c r="D10053" s="142" t="s">
        <v>25795</v>
      </c>
      <c r="E10053" s="142" t="s">
        <v>25796</v>
      </c>
      <c r="F10053" s="142" t="s">
        <v>12072</v>
      </c>
      <c r="G10053" s="142" t="s">
        <v>12071</v>
      </c>
      <c r="H10053" s="142" t="s">
        <v>25905</v>
      </c>
      <c r="I10053" s="142">
        <v>23348</v>
      </c>
      <c r="J10053" s="142">
        <v>22670</v>
      </c>
      <c r="K10053" s="142">
        <v>0</v>
      </c>
      <c r="L10053" s="142">
        <v>678</v>
      </c>
      <c r="M10053" s="142">
        <v>0</v>
      </c>
    </row>
    <row r="10054" spans="1:13" x14ac:dyDescent="0.45">
      <c r="A10054" s="142" t="s">
        <v>13896</v>
      </c>
      <c r="B10054" s="142" t="s">
        <v>15719</v>
      </c>
      <c r="C10054" s="142" t="s">
        <v>25795</v>
      </c>
      <c r="D10054" s="142" t="s">
        <v>25795</v>
      </c>
      <c r="E10054" s="142" t="s">
        <v>25796</v>
      </c>
      <c r="F10054" s="142" t="s">
        <v>12114</v>
      </c>
      <c r="G10054" s="142" t="s">
        <v>12113</v>
      </c>
      <c r="H10054" s="142" t="s">
        <v>25906</v>
      </c>
      <c r="I10054" s="142">
        <v>14660</v>
      </c>
      <c r="J10054" s="142">
        <v>13347</v>
      </c>
      <c r="K10054" s="142">
        <v>834</v>
      </c>
      <c r="L10054" s="142">
        <v>446</v>
      </c>
      <c r="M10054" s="142">
        <v>33</v>
      </c>
    </row>
    <row r="10055" spans="1:13" x14ac:dyDescent="0.45">
      <c r="A10055" s="142" t="s">
        <v>13984</v>
      </c>
      <c r="B10055" s="142" t="s">
        <v>15720</v>
      </c>
      <c r="C10055" s="142" t="s">
        <v>25795</v>
      </c>
      <c r="D10055" s="142" t="s">
        <v>25795</v>
      </c>
      <c r="E10055" s="142" t="s">
        <v>25796</v>
      </c>
      <c r="F10055" s="142" t="s">
        <v>12156</v>
      </c>
      <c r="G10055" s="142" t="s">
        <v>12155</v>
      </c>
      <c r="H10055" s="142" t="s">
        <v>25907</v>
      </c>
      <c r="I10055" s="142">
        <v>12</v>
      </c>
      <c r="J10055" s="142">
        <v>0</v>
      </c>
      <c r="K10055" s="142">
        <v>0</v>
      </c>
      <c r="L10055" s="142">
        <v>12</v>
      </c>
      <c r="M10055" s="142">
        <v>0</v>
      </c>
    </row>
    <row r="10056" spans="1:13" x14ac:dyDescent="0.45">
      <c r="A10056" s="142" t="s">
        <v>14023</v>
      </c>
      <c r="B10056" s="142" t="s">
        <v>15721</v>
      </c>
      <c r="C10056" s="142" t="s">
        <v>25795</v>
      </c>
      <c r="D10056" s="142" t="s">
        <v>25795</v>
      </c>
      <c r="E10056" s="142" t="s">
        <v>25796</v>
      </c>
      <c r="F10056" s="142" t="s">
        <v>12198</v>
      </c>
      <c r="G10056" s="142" t="s">
        <v>12197</v>
      </c>
      <c r="H10056" s="142" t="s">
        <v>25908</v>
      </c>
      <c r="I10056" s="142">
        <v>19032</v>
      </c>
      <c r="J10056" s="142">
        <v>18875</v>
      </c>
      <c r="K10056" s="142">
        <v>0</v>
      </c>
      <c r="L10056" s="142">
        <v>0</v>
      </c>
      <c r="M10056" s="142">
        <v>157</v>
      </c>
    </row>
    <row r="10057" spans="1:13" x14ac:dyDescent="0.45">
      <c r="A10057" s="142" t="s">
        <v>14119</v>
      </c>
      <c r="B10057" s="142" t="s">
        <v>15722</v>
      </c>
      <c r="C10057" s="142" t="s">
        <v>25795</v>
      </c>
      <c r="D10057" s="142" t="s">
        <v>25795</v>
      </c>
      <c r="E10057" s="142" t="s">
        <v>25796</v>
      </c>
      <c r="F10057" s="142" t="s">
        <v>12240</v>
      </c>
      <c r="G10057" s="142" t="s">
        <v>12239</v>
      </c>
      <c r="H10057" s="142" t="s">
        <v>25909</v>
      </c>
      <c r="I10057" s="142">
        <v>4674</v>
      </c>
      <c r="J10057" s="142">
        <v>4549</v>
      </c>
      <c r="K10057" s="142">
        <v>0</v>
      </c>
      <c r="L10057" s="142">
        <v>125</v>
      </c>
      <c r="M10057" s="142">
        <v>0</v>
      </c>
    </row>
    <row r="10058" spans="1:13" x14ac:dyDescent="0.45">
      <c r="A10058" s="142" t="s">
        <v>14131</v>
      </c>
      <c r="B10058" s="142" t="s">
        <v>15723</v>
      </c>
      <c r="C10058" s="142" t="s">
        <v>25795</v>
      </c>
      <c r="D10058" s="142" t="s">
        <v>25795</v>
      </c>
      <c r="E10058" s="142" t="s">
        <v>25796</v>
      </c>
      <c r="F10058" s="142" t="s">
        <v>12282</v>
      </c>
      <c r="G10058" s="142" t="s">
        <v>12281</v>
      </c>
      <c r="H10058" s="142" t="s">
        <v>25910</v>
      </c>
      <c r="I10058" s="142">
        <v>0</v>
      </c>
      <c r="J10058" s="142">
        <v>0</v>
      </c>
      <c r="K10058" s="142">
        <v>0</v>
      </c>
      <c r="L10058" s="142">
        <v>0</v>
      </c>
      <c r="M10058" s="142">
        <v>0</v>
      </c>
    </row>
    <row r="10059" spans="1:13" x14ac:dyDescent="0.45">
      <c r="A10059" s="142" t="s">
        <v>14262</v>
      </c>
      <c r="B10059" s="142" t="s">
        <v>15724</v>
      </c>
      <c r="C10059" s="142" t="s">
        <v>25795</v>
      </c>
      <c r="D10059" s="142" t="s">
        <v>25795</v>
      </c>
      <c r="E10059" s="142" t="s">
        <v>25796</v>
      </c>
      <c r="F10059" s="142" t="s">
        <v>171</v>
      </c>
      <c r="G10059" s="142" t="s">
        <v>12364</v>
      </c>
      <c r="H10059" s="142" t="s">
        <v>25911</v>
      </c>
      <c r="I10059" s="142">
        <v>6024</v>
      </c>
      <c r="J10059" s="142">
        <v>5535</v>
      </c>
      <c r="K10059" s="142">
        <v>0</v>
      </c>
      <c r="L10059" s="142">
        <v>483</v>
      </c>
      <c r="M10059" s="142">
        <v>6</v>
      </c>
    </row>
    <row r="10060" spans="1:13" x14ac:dyDescent="0.45">
      <c r="A10060" s="142" t="s">
        <v>14302</v>
      </c>
      <c r="B10060" s="142" t="s">
        <v>15725</v>
      </c>
      <c r="C10060" s="142" t="s">
        <v>25795</v>
      </c>
      <c r="D10060" s="142" t="s">
        <v>25795</v>
      </c>
      <c r="E10060" s="142" t="s">
        <v>25796</v>
      </c>
      <c r="F10060" s="142" t="s">
        <v>188</v>
      </c>
      <c r="G10060" s="142" t="s">
        <v>12405</v>
      </c>
      <c r="H10060" s="142" t="s">
        <v>25912</v>
      </c>
      <c r="I10060" s="142">
        <v>11985</v>
      </c>
      <c r="J10060" s="142">
        <v>11981</v>
      </c>
      <c r="K10060" s="142">
        <v>0</v>
      </c>
      <c r="L10060" s="142">
        <v>2</v>
      </c>
      <c r="M10060" s="142">
        <v>2</v>
      </c>
    </row>
    <row r="10061" spans="1:13" x14ac:dyDescent="0.45">
      <c r="A10061" s="142" t="s">
        <v>14332</v>
      </c>
      <c r="B10061" s="142" t="s">
        <v>15726</v>
      </c>
      <c r="C10061" s="142" t="s">
        <v>25795</v>
      </c>
      <c r="D10061" s="142" t="s">
        <v>25795</v>
      </c>
      <c r="E10061" s="142" t="s">
        <v>25796</v>
      </c>
      <c r="F10061" s="142" t="s">
        <v>195</v>
      </c>
      <c r="G10061" s="142" t="s">
        <v>12446</v>
      </c>
      <c r="H10061" s="142" t="s">
        <v>25913</v>
      </c>
      <c r="I10061" s="142">
        <v>10198</v>
      </c>
      <c r="J10061" s="142">
        <v>9454</v>
      </c>
      <c r="K10061" s="142">
        <v>0</v>
      </c>
      <c r="L10061" s="142">
        <v>460</v>
      </c>
      <c r="M10061" s="142">
        <v>284</v>
      </c>
    </row>
    <row r="10062" spans="1:13" x14ac:dyDescent="0.45">
      <c r="A10062" s="142" t="s">
        <v>14335</v>
      </c>
      <c r="B10062" s="142" t="s">
        <v>15727</v>
      </c>
      <c r="C10062" s="142" t="s">
        <v>25795</v>
      </c>
      <c r="D10062" s="142" t="s">
        <v>25795</v>
      </c>
      <c r="E10062" s="142" t="s">
        <v>25796</v>
      </c>
      <c r="F10062" s="142" t="s">
        <v>196</v>
      </c>
      <c r="G10062" s="142" t="s">
        <v>12487</v>
      </c>
      <c r="H10062" s="142" t="s">
        <v>25914</v>
      </c>
      <c r="I10062" s="142">
        <v>17468</v>
      </c>
      <c r="J10062" s="142">
        <v>16111</v>
      </c>
      <c r="K10062" s="142">
        <v>184</v>
      </c>
      <c r="L10062" s="142">
        <v>1086</v>
      </c>
      <c r="M10062" s="142">
        <v>87</v>
      </c>
    </row>
    <row r="10063" spans="1:13" x14ac:dyDescent="0.45">
      <c r="A10063" s="142" t="s">
        <v>13951</v>
      </c>
      <c r="B10063" s="142" t="s">
        <v>15728</v>
      </c>
      <c r="C10063" s="142" t="s">
        <v>25795</v>
      </c>
      <c r="D10063" s="142" t="s">
        <v>25795</v>
      </c>
      <c r="E10063" s="142" t="s">
        <v>25796</v>
      </c>
      <c r="F10063" s="142" t="s">
        <v>1519</v>
      </c>
      <c r="G10063" s="142" t="s">
        <v>1518</v>
      </c>
      <c r="H10063" s="142" t="s">
        <v>25915</v>
      </c>
      <c r="I10063" s="142">
        <v>7592</v>
      </c>
      <c r="J10063" s="142">
        <v>7573</v>
      </c>
      <c r="K10063" s="142">
        <v>0</v>
      </c>
      <c r="L10063" s="142">
        <v>0</v>
      </c>
      <c r="M10063" s="142">
        <v>19</v>
      </c>
    </row>
    <row r="10064" spans="1:13" x14ac:dyDescent="0.45">
      <c r="A10064" s="142" t="s">
        <v>13954</v>
      </c>
      <c r="B10064" s="142" t="s">
        <v>15729</v>
      </c>
      <c r="C10064" s="142" t="s">
        <v>25795</v>
      </c>
      <c r="D10064" s="142" t="s">
        <v>25795</v>
      </c>
      <c r="E10064" s="142" t="s">
        <v>25796</v>
      </c>
      <c r="F10064" s="142" t="s">
        <v>5636</v>
      </c>
      <c r="G10064" s="142" t="s">
        <v>5635</v>
      </c>
      <c r="H10064" s="142" t="s">
        <v>25916</v>
      </c>
      <c r="I10064" s="142">
        <v>6</v>
      </c>
      <c r="J10064" s="142">
        <v>6</v>
      </c>
      <c r="K10064" s="142">
        <v>0</v>
      </c>
      <c r="L10064" s="142">
        <v>0</v>
      </c>
      <c r="M10064" s="142">
        <v>0</v>
      </c>
    </row>
    <row r="10065" spans="1:13" x14ac:dyDescent="0.45">
      <c r="A10065" s="142" t="s">
        <v>13963</v>
      </c>
      <c r="B10065" s="142" t="s">
        <v>15730</v>
      </c>
      <c r="C10065" s="142" t="s">
        <v>25795</v>
      </c>
      <c r="D10065" s="142" t="s">
        <v>25795</v>
      </c>
      <c r="E10065" s="142" t="s">
        <v>25796</v>
      </c>
      <c r="F10065" s="142" t="s">
        <v>4340</v>
      </c>
      <c r="G10065" s="142" t="s">
        <v>4339</v>
      </c>
      <c r="H10065" s="142" t="s">
        <v>25917</v>
      </c>
      <c r="I10065" s="142">
        <v>1</v>
      </c>
      <c r="J10065" s="142">
        <v>0</v>
      </c>
      <c r="K10065" s="142">
        <v>0</v>
      </c>
      <c r="L10065" s="142">
        <v>1</v>
      </c>
      <c r="M10065" s="142">
        <v>0</v>
      </c>
    </row>
    <row r="10066" spans="1:13" x14ac:dyDescent="0.45">
      <c r="A10066" s="142" t="s">
        <v>13967</v>
      </c>
      <c r="B10066" s="142" t="s">
        <v>15731</v>
      </c>
      <c r="C10066" s="142" t="s">
        <v>25795</v>
      </c>
      <c r="D10066" s="142" t="s">
        <v>25795</v>
      </c>
      <c r="E10066" s="142" t="s">
        <v>25796</v>
      </c>
      <c r="F10066" s="142" t="s">
        <v>9769</v>
      </c>
      <c r="G10066" s="142" t="s">
        <v>9768</v>
      </c>
      <c r="H10066" s="142" t="s">
        <v>25918</v>
      </c>
      <c r="I10066" s="142">
        <v>15192</v>
      </c>
      <c r="J10066" s="142">
        <v>14078</v>
      </c>
      <c r="K10066" s="142">
        <v>0</v>
      </c>
      <c r="L10066" s="142">
        <v>1095</v>
      </c>
      <c r="M10066" s="142">
        <v>19</v>
      </c>
    </row>
    <row r="10067" spans="1:13" x14ac:dyDescent="0.45">
      <c r="A10067" s="142" t="s">
        <v>13977</v>
      </c>
      <c r="B10067" s="142" t="s">
        <v>15732</v>
      </c>
      <c r="C10067" s="142" t="s">
        <v>25795</v>
      </c>
      <c r="D10067" s="142" t="s">
        <v>25795</v>
      </c>
      <c r="E10067" s="142" t="s">
        <v>25796</v>
      </c>
      <c r="F10067" s="142" t="s">
        <v>7461</v>
      </c>
      <c r="G10067" s="142" t="s">
        <v>7460</v>
      </c>
      <c r="H10067" s="142" t="s">
        <v>25919</v>
      </c>
      <c r="I10067" s="142">
        <v>6304</v>
      </c>
      <c r="J10067" s="142">
        <v>4204</v>
      </c>
      <c r="K10067" s="142">
        <v>0</v>
      </c>
      <c r="L10067" s="142">
        <v>2084</v>
      </c>
      <c r="M10067" s="142">
        <v>16</v>
      </c>
    </row>
    <row r="10068" spans="1:13" x14ac:dyDescent="0.45">
      <c r="A10068" s="142" t="s">
        <v>13979</v>
      </c>
      <c r="B10068" s="142" t="s">
        <v>15733</v>
      </c>
      <c r="C10068" s="142" t="s">
        <v>25795</v>
      </c>
      <c r="D10068" s="142" t="s">
        <v>25795</v>
      </c>
      <c r="E10068" s="142" t="s">
        <v>25796</v>
      </c>
      <c r="F10068" s="142" t="s">
        <v>1643</v>
      </c>
      <c r="G10068" s="142" t="s">
        <v>1642</v>
      </c>
      <c r="H10068" s="142" t="s">
        <v>25920</v>
      </c>
      <c r="I10068" s="142">
        <v>3037</v>
      </c>
      <c r="J10068" s="142">
        <v>2735</v>
      </c>
      <c r="K10068" s="142">
        <v>7</v>
      </c>
      <c r="L10068" s="142">
        <v>295</v>
      </c>
      <c r="M10068" s="142">
        <v>0</v>
      </c>
    </row>
    <row r="10069" spans="1:13" x14ac:dyDescent="0.45">
      <c r="A10069" s="142" t="s">
        <v>13983</v>
      </c>
      <c r="B10069" s="142" t="s">
        <v>15734</v>
      </c>
      <c r="C10069" s="142" t="s">
        <v>25795</v>
      </c>
      <c r="D10069" s="142" t="s">
        <v>25795</v>
      </c>
      <c r="E10069" s="142" t="s">
        <v>25796</v>
      </c>
      <c r="F10069" s="142" t="s">
        <v>6580</v>
      </c>
      <c r="G10069" s="142" t="s">
        <v>6579</v>
      </c>
      <c r="H10069" s="142" t="s">
        <v>25921</v>
      </c>
      <c r="I10069" s="142">
        <v>1785</v>
      </c>
      <c r="J10069" s="142">
        <v>1566</v>
      </c>
      <c r="K10069" s="142">
        <v>0</v>
      </c>
      <c r="L10069" s="142">
        <v>219</v>
      </c>
      <c r="M10069" s="142">
        <v>0</v>
      </c>
    </row>
    <row r="10070" spans="1:13" x14ac:dyDescent="0.45">
      <c r="A10070" s="142" t="s">
        <v>13986</v>
      </c>
      <c r="B10070" s="142" t="s">
        <v>15735</v>
      </c>
      <c r="C10070" s="142" t="s">
        <v>25795</v>
      </c>
      <c r="D10070" s="142" t="s">
        <v>25795</v>
      </c>
      <c r="E10070" s="142" t="s">
        <v>25796</v>
      </c>
      <c r="F10070" s="142" t="s">
        <v>3546</v>
      </c>
      <c r="G10070" s="142" t="s">
        <v>3545</v>
      </c>
      <c r="H10070" s="142" t="s">
        <v>25922</v>
      </c>
      <c r="I10070" s="142">
        <v>2911</v>
      </c>
      <c r="J10070" s="142">
        <v>2911</v>
      </c>
      <c r="K10070" s="142">
        <v>0</v>
      </c>
      <c r="L10070" s="142">
        <v>0</v>
      </c>
      <c r="M10070" s="142">
        <v>0</v>
      </c>
    </row>
    <row r="10071" spans="1:13" x14ac:dyDescent="0.45">
      <c r="A10071" s="142" t="s">
        <v>13991</v>
      </c>
      <c r="B10071" s="142" t="s">
        <v>15736</v>
      </c>
      <c r="C10071" s="142" t="s">
        <v>25795</v>
      </c>
      <c r="D10071" s="142" t="s">
        <v>25795</v>
      </c>
      <c r="E10071" s="142" t="s">
        <v>25796</v>
      </c>
      <c r="F10071" s="142" t="s">
        <v>8204</v>
      </c>
      <c r="G10071" s="142" t="s">
        <v>8203</v>
      </c>
      <c r="H10071" s="142" t="s">
        <v>25923</v>
      </c>
      <c r="I10071" s="142">
        <v>3515</v>
      </c>
      <c r="J10071" s="142">
        <v>3104</v>
      </c>
      <c r="K10071" s="142">
        <v>22</v>
      </c>
      <c r="L10071" s="142">
        <v>280</v>
      </c>
      <c r="M10071" s="142">
        <v>109</v>
      </c>
    </row>
    <row r="10072" spans="1:13" x14ac:dyDescent="0.45">
      <c r="A10072" s="142" t="s">
        <v>13995</v>
      </c>
      <c r="B10072" s="142" t="s">
        <v>15737</v>
      </c>
      <c r="C10072" s="142" t="s">
        <v>25795</v>
      </c>
      <c r="D10072" s="142" t="s">
        <v>25795</v>
      </c>
      <c r="E10072" s="142" t="s">
        <v>25796</v>
      </c>
      <c r="F10072" s="142" t="s">
        <v>352</v>
      </c>
      <c r="G10072" s="142" t="s">
        <v>351</v>
      </c>
      <c r="H10072" s="142" t="s">
        <v>25924</v>
      </c>
      <c r="I10072" s="142">
        <v>0</v>
      </c>
      <c r="J10072" s="142">
        <v>0</v>
      </c>
      <c r="K10072" s="142">
        <v>0</v>
      </c>
      <c r="L10072" s="142">
        <v>0</v>
      </c>
      <c r="M10072" s="142">
        <v>0</v>
      </c>
    </row>
    <row r="10073" spans="1:13" x14ac:dyDescent="0.45">
      <c r="A10073" s="142" t="s">
        <v>13997</v>
      </c>
      <c r="B10073" s="142" t="s">
        <v>15738</v>
      </c>
      <c r="C10073" s="142" t="s">
        <v>25795</v>
      </c>
      <c r="D10073" s="142" t="s">
        <v>25795</v>
      </c>
      <c r="E10073" s="142" t="s">
        <v>25796</v>
      </c>
      <c r="F10073" s="142" t="s">
        <v>1927</v>
      </c>
      <c r="G10073" s="142" t="s">
        <v>1926</v>
      </c>
      <c r="H10073" s="142" t="s">
        <v>25925</v>
      </c>
      <c r="I10073" s="142">
        <v>12409</v>
      </c>
      <c r="J10073" s="142">
        <v>10858</v>
      </c>
      <c r="K10073" s="142">
        <v>0</v>
      </c>
      <c r="L10073" s="142">
        <v>71</v>
      </c>
      <c r="M10073" s="142">
        <v>1480</v>
      </c>
    </row>
    <row r="10074" spans="1:13" x14ac:dyDescent="0.45">
      <c r="A10074" s="142" t="s">
        <v>14002</v>
      </c>
      <c r="B10074" s="142" t="s">
        <v>15739</v>
      </c>
      <c r="C10074" s="142" t="s">
        <v>25795</v>
      </c>
      <c r="D10074" s="142" t="s">
        <v>25795</v>
      </c>
      <c r="E10074" s="142" t="s">
        <v>25796</v>
      </c>
      <c r="F10074" s="142" t="s">
        <v>8372</v>
      </c>
      <c r="G10074" s="142" t="s">
        <v>8371</v>
      </c>
      <c r="H10074" s="142" t="s">
        <v>25926</v>
      </c>
      <c r="I10074" s="142">
        <v>1</v>
      </c>
      <c r="J10074" s="142">
        <v>1</v>
      </c>
      <c r="K10074" s="142">
        <v>0</v>
      </c>
      <c r="L10074" s="142">
        <v>0</v>
      </c>
      <c r="M10074" s="142">
        <v>0</v>
      </c>
    </row>
    <row r="10075" spans="1:13" x14ac:dyDescent="0.45">
      <c r="A10075" s="142" t="s">
        <v>14005</v>
      </c>
      <c r="B10075" s="142" t="s">
        <v>15740</v>
      </c>
      <c r="C10075" s="142" t="s">
        <v>25795</v>
      </c>
      <c r="D10075" s="142" t="s">
        <v>25795</v>
      </c>
      <c r="E10075" s="142" t="s">
        <v>25796</v>
      </c>
      <c r="F10075" s="142" t="s">
        <v>5026</v>
      </c>
      <c r="G10075" s="142" t="s">
        <v>5025</v>
      </c>
      <c r="H10075" s="142" t="s">
        <v>25927</v>
      </c>
      <c r="I10075" s="142">
        <v>5251</v>
      </c>
      <c r="J10075" s="142">
        <v>5167</v>
      </c>
      <c r="K10075" s="142">
        <v>70</v>
      </c>
      <c r="L10075" s="142">
        <v>0</v>
      </c>
      <c r="M10075" s="142">
        <v>14</v>
      </c>
    </row>
    <row r="10076" spans="1:13" x14ac:dyDescent="0.45">
      <c r="A10076" s="142" t="s">
        <v>14007</v>
      </c>
      <c r="B10076" s="142" t="s">
        <v>15741</v>
      </c>
      <c r="C10076" s="142" t="s">
        <v>25795</v>
      </c>
      <c r="D10076" s="142" t="s">
        <v>25795</v>
      </c>
      <c r="E10076" s="142" t="s">
        <v>25796</v>
      </c>
      <c r="F10076" s="142" t="s">
        <v>7503</v>
      </c>
      <c r="G10076" s="142" t="s">
        <v>7502</v>
      </c>
      <c r="H10076" s="142" t="s">
        <v>25928</v>
      </c>
      <c r="I10076" s="142">
        <v>5621</v>
      </c>
      <c r="J10076" s="142">
        <v>2955</v>
      </c>
      <c r="K10076" s="142">
        <v>0</v>
      </c>
      <c r="L10076" s="142">
        <v>2666</v>
      </c>
      <c r="M10076" s="142">
        <v>0</v>
      </c>
    </row>
    <row r="10077" spans="1:13" x14ac:dyDescent="0.45">
      <c r="A10077" s="142" t="s">
        <v>14011</v>
      </c>
      <c r="B10077" s="142" t="s">
        <v>15742</v>
      </c>
      <c r="C10077" s="142" t="s">
        <v>25795</v>
      </c>
      <c r="D10077" s="142" t="s">
        <v>25795</v>
      </c>
      <c r="E10077" s="142" t="s">
        <v>25796</v>
      </c>
      <c r="F10077" s="142" t="s">
        <v>10477</v>
      </c>
      <c r="G10077" s="142" t="s">
        <v>10476</v>
      </c>
      <c r="H10077" s="142" t="s">
        <v>25929</v>
      </c>
      <c r="I10077" s="142">
        <v>24681</v>
      </c>
      <c r="J10077" s="142">
        <v>23564</v>
      </c>
      <c r="K10077" s="142">
        <v>0</v>
      </c>
      <c r="L10077" s="142">
        <v>1117</v>
      </c>
      <c r="M10077" s="142">
        <v>0</v>
      </c>
    </row>
    <row r="10078" spans="1:13" x14ac:dyDescent="0.45">
      <c r="A10078" s="142" t="s">
        <v>14034</v>
      </c>
      <c r="B10078" s="142" t="s">
        <v>15743</v>
      </c>
      <c r="C10078" s="142" t="s">
        <v>25795</v>
      </c>
      <c r="D10078" s="142" t="s">
        <v>25795</v>
      </c>
      <c r="E10078" s="142" t="s">
        <v>25796</v>
      </c>
      <c r="F10078" s="142" t="s">
        <v>3378</v>
      </c>
      <c r="G10078" s="142" t="s">
        <v>3377</v>
      </c>
      <c r="H10078" s="142" t="s">
        <v>25930</v>
      </c>
      <c r="I10078" s="142">
        <v>7500</v>
      </c>
      <c r="J10078" s="142">
        <v>7489</v>
      </c>
      <c r="K10078" s="142">
        <v>0</v>
      </c>
      <c r="L10078" s="142">
        <v>0</v>
      </c>
      <c r="M10078" s="142">
        <v>11</v>
      </c>
    </row>
    <row r="10079" spans="1:13" x14ac:dyDescent="0.45">
      <c r="A10079" s="142" t="s">
        <v>14039</v>
      </c>
      <c r="B10079" s="142" t="s">
        <v>15744</v>
      </c>
      <c r="C10079" s="142" t="s">
        <v>25795</v>
      </c>
      <c r="D10079" s="142" t="s">
        <v>25795</v>
      </c>
      <c r="E10079" s="142" t="s">
        <v>25796</v>
      </c>
      <c r="F10079" s="142" t="s">
        <v>6832</v>
      </c>
      <c r="G10079" s="142" t="s">
        <v>6831</v>
      </c>
      <c r="H10079" s="142" t="s">
        <v>25931</v>
      </c>
      <c r="I10079" s="142">
        <v>3923</v>
      </c>
      <c r="J10079" s="142">
        <v>3913</v>
      </c>
      <c r="K10079" s="142">
        <v>10</v>
      </c>
      <c r="L10079" s="142">
        <v>0</v>
      </c>
      <c r="M10079" s="142">
        <v>0</v>
      </c>
    </row>
    <row r="10080" spans="1:13" x14ac:dyDescent="0.45">
      <c r="A10080" s="142" t="s">
        <v>14041</v>
      </c>
      <c r="B10080" s="142" t="s">
        <v>15745</v>
      </c>
      <c r="C10080" s="142" t="s">
        <v>25795</v>
      </c>
      <c r="D10080" s="142" t="s">
        <v>25795</v>
      </c>
      <c r="E10080" s="142" t="s">
        <v>25796</v>
      </c>
      <c r="F10080" s="142" t="s">
        <v>7167</v>
      </c>
      <c r="G10080" s="142" t="s">
        <v>7166</v>
      </c>
      <c r="H10080" s="142" t="s">
        <v>25932</v>
      </c>
      <c r="I10080" s="142">
        <v>5</v>
      </c>
      <c r="J10080" s="142">
        <v>5</v>
      </c>
      <c r="K10080" s="142">
        <v>0</v>
      </c>
      <c r="L10080" s="142">
        <v>0</v>
      </c>
      <c r="M10080" s="142">
        <v>0</v>
      </c>
    </row>
    <row r="10081" spans="1:13" x14ac:dyDescent="0.45">
      <c r="A10081" s="142" t="s">
        <v>14043</v>
      </c>
      <c r="B10081" s="142" t="s">
        <v>15746</v>
      </c>
      <c r="C10081" s="142" t="s">
        <v>25795</v>
      </c>
      <c r="D10081" s="142" t="s">
        <v>25795</v>
      </c>
      <c r="E10081" s="142" t="s">
        <v>25796</v>
      </c>
      <c r="F10081" s="142" t="s">
        <v>2674</v>
      </c>
      <c r="G10081" s="142" t="s">
        <v>2673</v>
      </c>
      <c r="H10081" s="142" t="s">
        <v>25933</v>
      </c>
      <c r="I10081" s="142">
        <v>8081</v>
      </c>
      <c r="J10081" s="142">
        <v>7108</v>
      </c>
      <c r="K10081" s="142">
        <v>0</v>
      </c>
      <c r="L10081" s="142">
        <v>973</v>
      </c>
      <c r="M10081" s="142">
        <v>0</v>
      </c>
    </row>
    <row r="10082" spans="1:13" x14ac:dyDescent="0.45">
      <c r="A10082" s="142" t="s">
        <v>14049</v>
      </c>
      <c r="B10082" s="142" t="s">
        <v>15747</v>
      </c>
      <c r="C10082" s="142" t="s">
        <v>25795</v>
      </c>
      <c r="D10082" s="142" t="s">
        <v>25795</v>
      </c>
      <c r="E10082" s="142" t="s">
        <v>25796</v>
      </c>
      <c r="F10082" s="142" t="s">
        <v>1268</v>
      </c>
      <c r="G10082" s="142" t="s">
        <v>1267</v>
      </c>
      <c r="H10082" s="142" t="s">
        <v>25934</v>
      </c>
      <c r="I10082" s="142">
        <v>0</v>
      </c>
      <c r="J10082" s="142">
        <v>0</v>
      </c>
      <c r="K10082" s="142">
        <v>0</v>
      </c>
      <c r="L10082" s="142">
        <v>0</v>
      </c>
      <c r="M10082" s="142">
        <v>0</v>
      </c>
    </row>
    <row r="10083" spans="1:13" x14ac:dyDescent="0.45">
      <c r="A10083" s="142" t="s">
        <v>14052</v>
      </c>
      <c r="B10083" s="142" t="s">
        <v>15748</v>
      </c>
      <c r="C10083" s="142" t="s">
        <v>25795</v>
      </c>
      <c r="D10083" s="142" t="s">
        <v>25795</v>
      </c>
      <c r="E10083" s="142" t="s">
        <v>25796</v>
      </c>
      <c r="F10083" s="142" t="s">
        <v>10519</v>
      </c>
      <c r="G10083" s="142" t="s">
        <v>10518</v>
      </c>
      <c r="H10083" s="142" t="s">
        <v>25935</v>
      </c>
      <c r="I10083" s="142">
        <v>14033</v>
      </c>
      <c r="J10083" s="142">
        <v>12539</v>
      </c>
      <c r="K10083" s="142">
        <v>0</v>
      </c>
      <c r="L10083" s="142">
        <v>1494</v>
      </c>
      <c r="M10083" s="142">
        <v>0</v>
      </c>
    </row>
    <row r="10084" spans="1:13" x14ac:dyDescent="0.45">
      <c r="A10084" s="142" t="s">
        <v>14056</v>
      </c>
      <c r="B10084" s="142" t="s">
        <v>15749</v>
      </c>
      <c r="C10084" s="142" t="s">
        <v>25795</v>
      </c>
      <c r="D10084" s="142" t="s">
        <v>25795</v>
      </c>
      <c r="E10084" s="142" t="s">
        <v>25796</v>
      </c>
      <c r="F10084" s="142" t="s">
        <v>8695</v>
      </c>
      <c r="G10084" s="142" t="s">
        <v>8694</v>
      </c>
      <c r="H10084" s="142" t="s">
        <v>25936</v>
      </c>
      <c r="I10084" s="142">
        <v>2583</v>
      </c>
      <c r="J10084" s="142">
        <v>2583</v>
      </c>
      <c r="K10084" s="142">
        <v>0</v>
      </c>
      <c r="L10084" s="142">
        <v>0</v>
      </c>
      <c r="M10084" s="142">
        <v>0</v>
      </c>
    </row>
    <row r="10085" spans="1:13" x14ac:dyDescent="0.45">
      <c r="A10085" s="142" t="s">
        <v>14058</v>
      </c>
      <c r="B10085" s="142" t="s">
        <v>15750</v>
      </c>
      <c r="C10085" s="142" t="s">
        <v>25795</v>
      </c>
      <c r="D10085" s="142" t="s">
        <v>25795</v>
      </c>
      <c r="E10085" s="142" t="s">
        <v>25796</v>
      </c>
      <c r="F10085" s="142" t="s">
        <v>6622</v>
      </c>
      <c r="G10085" s="142" t="s">
        <v>6621</v>
      </c>
      <c r="H10085" s="142" t="s">
        <v>25937</v>
      </c>
      <c r="I10085" s="142">
        <v>4080</v>
      </c>
      <c r="J10085" s="142">
        <v>3165</v>
      </c>
      <c r="K10085" s="142">
        <v>0</v>
      </c>
      <c r="L10085" s="142">
        <v>915</v>
      </c>
      <c r="M10085" s="142">
        <v>0</v>
      </c>
    </row>
    <row r="10086" spans="1:13" x14ac:dyDescent="0.45">
      <c r="A10086" s="142" t="s">
        <v>14060</v>
      </c>
      <c r="B10086" s="142" t="s">
        <v>15751</v>
      </c>
      <c r="C10086" s="142" t="s">
        <v>25795</v>
      </c>
      <c r="D10086" s="142" t="s">
        <v>25795</v>
      </c>
      <c r="E10086" s="142" t="s">
        <v>25796</v>
      </c>
      <c r="F10086" s="142" t="s">
        <v>2840</v>
      </c>
      <c r="G10086" s="142" t="s">
        <v>2839</v>
      </c>
      <c r="H10086" s="142" t="s">
        <v>25938</v>
      </c>
      <c r="I10086" s="142">
        <v>8504</v>
      </c>
      <c r="J10086" s="142">
        <v>7835</v>
      </c>
      <c r="K10086" s="142">
        <v>73</v>
      </c>
      <c r="L10086" s="142">
        <v>475</v>
      </c>
      <c r="M10086" s="142">
        <v>121</v>
      </c>
    </row>
    <row r="10087" spans="1:13" x14ac:dyDescent="0.45">
      <c r="A10087" s="142" t="s">
        <v>14075</v>
      </c>
      <c r="B10087" s="142" t="s">
        <v>15752</v>
      </c>
      <c r="C10087" s="142" t="s">
        <v>25795</v>
      </c>
      <c r="D10087" s="142" t="s">
        <v>25795</v>
      </c>
      <c r="E10087" s="142" t="s">
        <v>25796</v>
      </c>
      <c r="F10087" s="142" t="s">
        <v>2506</v>
      </c>
      <c r="G10087" s="142" t="s">
        <v>2505</v>
      </c>
      <c r="H10087" s="142" t="s">
        <v>25939</v>
      </c>
      <c r="I10087" s="142">
        <v>8213</v>
      </c>
      <c r="J10087" s="142">
        <v>7941</v>
      </c>
      <c r="K10087" s="142">
        <v>0</v>
      </c>
      <c r="L10087" s="142">
        <v>269</v>
      </c>
      <c r="M10087" s="142">
        <v>3</v>
      </c>
    </row>
    <row r="10088" spans="1:13" x14ac:dyDescent="0.45">
      <c r="A10088" s="142" t="s">
        <v>14083</v>
      </c>
      <c r="B10088" s="142" t="s">
        <v>15753</v>
      </c>
      <c r="C10088" s="142" t="s">
        <v>25795</v>
      </c>
      <c r="D10088" s="142" t="s">
        <v>25795</v>
      </c>
      <c r="E10088" s="142" t="s">
        <v>25796</v>
      </c>
      <c r="F10088" s="142" t="s">
        <v>7209</v>
      </c>
      <c r="G10088" s="142" t="s">
        <v>7208</v>
      </c>
      <c r="H10088" s="142" t="s">
        <v>25940</v>
      </c>
      <c r="I10088" s="142">
        <v>14130</v>
      </c>
      <c r="J10088" s="142">
        <v>13205</v>
      </c>
      <c r="K10088" s="142">
        <v>2</v>
      </c>
      <c r="L10088" s="142">
        <v>923</v>
      </c>
      <c r="M10088" s="142">
        <v>0</v>
      </c>
    </row>
    <row r="10089" spans="1:13" x14ac:dyDescent="0.45">
      <c r="A10089" s="142" t="s">
        <v>14090</v>
      </c>
      <c r="B10089" s="142" t="s">
        <v>15754</v>
      </c>
      <c r="C10089" s="142" t="s">
        <v>25795</v>
      </c>
      <c r="D10089" s="142" t="s">
        <v>25795</v>
      </c>
      <c r="E10089" s="142" t="s">
        <v>25796</v>
      </c>
      <c r="F10089" s="142" t="s">
        <v>1016</v>
      </c>
      <c r="G10089" s="142" t="s">
        <v>1015</v>
      </c>
      <c r="H10089" s="142" t="s">
        <v>25941</v>
      </c>
      <c r="I10089" s="142">
        <v>24323</v>
      </c>
      <c r="J10089" s="142">
        <v>22231</v>
      </c>
      <c r="K10089" s="142">
        <v>0</v>
      </c>
      <c r="L10089" s="142">
        <v>2092</v>
      </c>
      <c r="M10089" s="142">
        <v>0</v>
      </c>
    </row>
    <row r="10090" spans="1:13" x14ac:dyDescent="0.45">
      <c r="A10090" s="142" t="s">
        <v>14095</v>
      </c>
      <c r="B10090" s="142" t="s">
        <v>15755</v>
      </c>
      <c r="C10090" s="142" t="s">
        <v>25795</v>
      </c>
      <c r="D10090" s="142" t="s">
        <v>25795</v>
      </c>
      <c r="E10090" s="142" t="s">
        <v>25796</v>
      </c>
      <c r="F10090" s="142" t="s">
        <v>8737</v>
      </c>
      <c r="G10090" s="142" t="s">
        <v>8736</v>
      </c>
      <c r="H10090" s="142" t="s">
        <v>25942</v>
      </c>
      <c r="I10090" s="142">
        <v>5625</v>
      </c>
      <c r="J10090" s="142">
        <v>5625</v>
      </c>
      <c r="K10090" s="142">
        <v>0</v>
      </c>
      <c r="L10090" s="142">
        <v>0</v>
      </c>
      <c r="M10090" s="142">
        <v>0</v>
      </c>
    </row>
    <row r="10091" spans="1:13" x14ac:dyDescent="0.45">
      <c r="A10091" s="142" t="s">
        <v>14098</v>
      </c>
      <c r="B10091" s="142" t="s">
        <v>15756</v>
      </c>
      <c r="C10091" s="142" t="s">
        <v>25795</v>
      </c>
      <c r="D10091" s="142" t="s">
        <v>25795</v>
      </c>
      <c r="E10091" s="142" t="s">
        <v>25796</v>
      </c>
      <c r="F10091" s="142" t="s">
        <v>6664</v>
      </c>
      <c r="G10091" s="142" t="s">
        <v>6663</v>
      </c>
      <c r="H10091" s="142" t="s">
        <v>25943</v>
      </c>
      <c r="I10091" s="142">
        <v>1178</v>
      </c>
      <c r="J10091" s="142">
        <v>1046</v>
      </c>
      <c r="K10091" s="142">
        <v>0</v>
      </c>
      <c r="L10091" s="142">
        <v>132</v>
      </c>
      <c r="M10091" s="142">
        <v>0</v>
      </c>
    </row>
    <row r="10092" spans="1:13" x14ac:dyDescent="0.45">
      <c r="A10092" s="142" t="s">
        <v>14101</v>
      </c>
      <c r="B10092" s="142" t="s">
        <v>15757</v>
      </c>
      <c r="C10092" s="142" t="s">
        <v>25795</v>
      </c>
      <c r="D10092" s="142" t="s">
        <v>25795</v>
      </c>
      <c r="E10092" s="142" t="s">
        <v>25796</v>
      </c>
      <c r="F10092" s="142" t="s">
        <v>9811</v>
      </c>
      <c r="G10092" s="142" t="s">
        <v>9810</v>
      </c>
      <c r="H10092" s="142" t="s">
        <v>25944</v>
      </c>
      <c r="I10092" s="142">
        <v>2083</v>
      </c>
      <c r="J10092" s="142">
        <v>634</v>
      </c>
      <c r="K10092" s="142">
        <v>0</v>
      </c>
      <c r="L10092" s="142">
        <v>1449</v>
      </c>
      <c r="M10092" s="142">
        <v>0</v>
      </c>
    </row>
    <row r="10093" spans="1:13" x14ac:dyDescent="0.45">
      <c r="A10093" s="142" t="s">
        <v>14102</v>
      </c>
      <c r="B10093" s="142" t="s">
        <v>15758</v>
      </c>
      <c r="C10093" s="142" t="s">
        <v>25795</v>
      </c>
      <c r="D10093" s="142" t="s">
        <v>25795</v>
      </c>
      <c r="E10093" s="142" t="s">
        <v>25796</v>
      </c>
      <c r="F10093" s="142" t="s">
        <v>7629</v>
      </c>
      <c r="G10093" s="142" t="s">
        <v>7628</v>
      </c>
      <c r="H10093" s="142" t="s">
        <v>25945</v>
      </c>
      <c r="I10093" s="142">
        <v>8062</v>
      </c>
      <c r="J10093" s="142">
        <v>7993</v>
      </c>
      <c r="K10093" s="142">
        <v>0</v>
      </c>
      <c r="L10093" s="142">
        <v>0</v>
      </c>
      <c r="M10093" s="142">
        <v>69</v>
      </c>
    </row>
    <row r="10094" spans="1:13" x14ac:dyDescent="0.45">
      <c r="A10094" s="142" t="s">
        <v>14106</v>
      </c>
      <c r="B10094" s="142" t="s">
        <v>15759</v>
      </c>
      <c r="C10094" s="142" t="s">
        <v>25795</v>
      </c>
      <c r="D10094" s="142" t="s">
        <v>25795</v>
      </c>
      <c r="E10094" s="142" t="s">
        <v>25796</v>
      </c>
      <c r="F10094" s="142" t="s">
        <v>1476</v>
      </c>
      <c r="G10094" s="142" t="s">
        <v>1475</v>
      </c>
      <c r="H10094" s="142" t="s">
        <v>25946</v>
      </c>
      <c r="I10094" s="142">
        <v>71</v>
      </c>
      <c r="J10094" s="142">
        <v>37</v>
      </c>
      <c r="K10094" s="142">
        <v>0</v>
      </c>
      <c r="L10094" s="142">
        <v>34</v>
      </c>
      <c r="M10094" s="142">
        <v>0</v>
      </c>
    </row>
    <row r="10095" spans="1:13" x14ac:dyDescent="0.45">
      <c r="A10095" s="142" t="s">
        <v>14107</v>
      </c>
      <c r="B10095" s="142" t="s">
        <v>15760</v>
      </c>
      <c r="C10095" s="142" t="s">
        <v>25795</v>
      </c>
      <c r="D10095" s="142" t="s">
        <v>25795</v>
      </c>
      <c r="E10095" s="142" t="s">
        <v>25796</v>
      </c>
      <c r="F10095" s="142" t="s">
        <v>1352</v>
      </c>
      <c r="G10095" s="142" t="s">
        <v>1351</v>
      </c>
      <c r="H10095" s="142" t="s">
        <v>25947</v>
      </c>
      <c r="I10095" s="142">
        <v>1</v>
      </c>
      <c r="J10095" s="142">
        <v>1</v>
      </c>
      <c r="K10095" s="142">
        <v>0</v>
      </c>
      <c r="L10095" s="142">
        <v>0</v>
      </c>
      <c r="M10095" s="142">
        <v>0</v>
      </c>
    </row>
    <row r="10096" spans="1:13" x14ac:dyDescent="0.45">
      <c r="A10096" s="142" t="s">
        <v>14111</v>
      </c>
      <c r="B10096" s="142" t="s">
        <v>15761</v>
      </c>
      <c r="C10096" s="142" t="s">
        <v>25795</v>
      </c>
      <c r="D10096" s="142" t="s">
        <v>25795</v>
      </c>
      <c r="E10096" s="142" t="s">
        <v>25796</v>
      </c>
      <c r="F10096" s="142" t="s">
        <v>2011</v>
      </c>
      <c r="G10096" s="142" t="s">
        <v>2010</v>
      </c>
      <c r="H10096" s="142" t="s">
        <v>25948</v>
      </c>
      <c r="I10096" s="142">
        <v>15716</v>
      </c>
      <c r="J10096" s="142">
        <v>13808</v>
      </c>
      <c r="K10096" s="142">
        <v>0</v>
      </c>
      <c r="L10096" s="142">
        <v>1821</v>
      </c>
      <c r="M10096" s="142">
        <v>87</v>
      </c>
    </row>
    <row r="10097" spans="1:13" x14ac:dyDescent="0.45">
      <c r="A10097" s="142" t="s">
        <v>14116</v>
      </c>
      <c r="B10097" s="142" t="s">
        <v>15762</v>
      </c>
      <c r="C10097" s="142" t="s">
        <v>25795</v>
      </c>
      <c r="D10097" s="142" t="s">
        <v>25795</v>
      </c>
      <c r="E10097" s="142" t="s">
        <v>25796</v>
      </c>
      <c r="F10097" s="142" t="s">
        <v>1761</v>
      </c>
      <c r="G10097" s="142" t="s">
        <v>1760</v>
      </c>
      <c r="H10097" s="142" t="s">
        <v>25949</v>
      </c>
      <c r="I10097" s="142">
        <v>6827</v>
      </c>
      <c r="J10097" s="142">
        <v>6480</v>
      </c>
      <c r="K10097" s="142">
        <v>0</v>
      </c>
      <c r="L10097" s="142">
        <v>341</v>
      </c>
      <c r="M10097" s="142">
        <v>6</v>
      </c>
    </row>
    <row r="10098" spans="1:13" x14ac:dyDescent="0.45">
      <c r="A10098" s="142" t="s">
        <v>14123</v>
      </c>
      <c r="B10098" s="142" t="s">
        <v>15763</v>
      </c>
      <c r="C10098" s="142" t="s">
        <v>25795</v>
      </c>
      <c r="D10098" s="142" t="s">
        <v>25795</v>
      </c>
      <c r="E10098" s="142" t="s">
        <v>25796</v>
      </c>
      <c r="F10098" s="142" t="s">
        <v>9272</v>
      </c>
      <c r="G10098" s="142" t="s">
        <v>9271</v>
      </c>
      <c r="H10098" s="142" t="s">
        <v>25950</v>
      </c>
      <c r="I10098" s="142">
        <v>5531</v>
      </c>
      <c r="J10098" s="142">
        <v>5477</v>
      </c>
      <c r="K10098" s="142">
        <v>0</v>
      </c>
      <c r="L10098" s="142">
        <v>54</v>
      </c>
      <c r="M10098" s="142">
        <v>0</v>
      </c>
    </row>
    <row r="10099" spans="1:13" x14ac:dyDescent="0.45">
      <c r="A10099" s="142" t="s">
        <v>14126</v>
      </c>
      <c r="B10099" s="142" t="s">
        <v>15764</v>
      </c>
      <c r="C10099" s="142" t="s">
        <v>25795</v>
      </c>
      <c r="D10099" s="142" t="s">
        <v>25795</v>
      </c>
      <c r="E10099" s="142" t="s">
        <v>25796</v>
      </c>
      <c r="F10099" s="142" t="s">
        <v>8414</v>
      </c>
      <c r="G10099" s="142" t="s">
        <v>8413</v>
      </c>
      <c r="H10099" s="142" t="s">
        <v>25951</v>
      </c>
      <c r="I10099" s="142">
        <v>67</v>
      </c>
      <c r="J10099" s="142">
        <v>53</v>
      </c>
      <c r="K10099" s="142">
        <v>0</v>
      </c>
      <c r="L10099" s="142">
        <v>14</v>
      </c>
      <c r="M10099" s="142">
        <v>0</v>
      </c>
    </row>
    <row r="10100" spans="1:13" x14ac:dyDescent="0.45">
      <c r="A10100" s="142" t="s">
        <v>14128</v>
      </c>
      <c r="B10100" s="142" t="s">
        <v>15765</v>
      </c>
      <c r="C10100" s="142" t="s">
        <v>25795</v>
      </c>
      <c r="D10100" s="142" t="s">
        <v>25795</v>
      </c>
      <c r="E10100" s="142" t="s">
        <v>25796</v>
      </c>
      <c r="F10100" s="142" t="s">
        <v>6204</v>
      </c>
      <c r="G10100" s="142" t="s">
        <v>6203</v>
      </c>
      <c r="H10100" s="142" t="s">
        <v>25952</v>
      </c>
      <c r="I10100" s="142">
        <v>10</v>
      </c>
      <c r="J10100" s="142">
        <v>2</v>
      </c>
      <c r="K10100" s="142">
        <v>0</v>
      </c>
      <c r="L10100" s="142">
        <v>8</v>
      </c>
      <c r="M10100" s="142">
        <v>0</v>
      </c>
    </row>
    <row r="10101" spans="1:13" x14ac:dyDescent="0.45">
      <c r="A10101" s="142" t="s">
        <v>14138</v>
      </c>
      <c r="B10101" s="142" t="s">
        <v>15766</v>
      </c>
      <c r="C10101" s="142" t="s">
        <v>25795</v>
      </c>
      <c r="D10101" s="142" t="s">
        <v>25795</v>
      </c>
      <c r="E10101" s="142" t="s">
        <v>25796</v>
      </c>
      <c r="F10101" s="142" t="s">
        <v>6246</v>
      </c>
      <c r="G10101" s="142" t="s">
        <v>6245</v>
      </c>
      <c r="H10101" s="142" t="s">
        <v>25953</v>
      </c>
      <c r="I10101" s="142">
        <v>21</v>
      </c>
      <c r="J10101" s="142">
        <v>7</v>
      </c>
      <c r="K10101" s="142">
        <v>0</v>
      </c>
      <c r="L10101" s="142">
        <v>14</v>
      </c>
      <c r="M10101" s="142">
        <v>0</v>
      </c>
    </row>
    <row r="10102" spans="1:13" x14ac:dyDescent="0.45">
      <c r="A10102" s="142" t="s">
        <v>14139</v>
      </c>
      <c r="B10102" s="142" t="s">
        <v>15767</v>
      </c>
      <c r="C10102" s="142" t="s">
        <v>25795</v>
      </c>
      <c r="D10102" s="142" t="s">
        <v>25795</v>
      </c>
      <c r="E10102" s="142" t="s">
        <v>25796</v>
      </c>
      <c r="F10102" s="142" t="s">
        <v>3921</v>
      </c>
      <c r="G10102" s="142" t="s">
        <v>3920</v>
      </c>
      <c r="H10102" s="142" t="s">
        <v>25954</v>
      </c>
      <c r="I10102" s="142">
        <v>72</v>
      </c>
      <c r="J10102" s="142">
        <v>2</v>
      </c>
      <c r="K10102" s="142">
        <v>0</v>
      </c>
      <c r="L10102" s="142">
        <v>70</v>
      </c>
      <c r="M10102" s="142">
        <v>0</v>
      </c>
    </row>
    <row r="10103" spans="1:13" x14ac:dyDescent="0.45">
      <c r="A10103" s="142" t="s">
        <v>14141</v>
      </c>
      <c r="B10103" s="142" t="s">
        <v>15768</v>
      </c>
      <c r="C10103" s="142" t="s">
        <v>25795</v>
      </c>
      <c r="D10103" s="142" t="s">
        <v>25795</v>
      </c>
      <c r="E10103" s="142" t="s">
        <v>25796</v>
      </c>
      <c r="F10103" s="142" t="s">
        <v>10393</v>
      </c>
      <c r="G10103" s="142" t="s">
        <v>10392</v>
      </c>
      <c r="H10103" s="142" t="s">
        <v>25955</v>
      </c>
      <c r="I10103" s="142">
        <v>20076</v>
      </c>
      <c r="J10103" s="142">
        <v>19942</v>
      </c>
      <c r="K10103" s="142">
        <v>0</v>
      </c>
      <c r="L10103" s="142">
        <v>0</v>
      </c>
      <c r="M10103" s="142">
        <v>134</v>
      </c>
    </row>
    <row r="10104" spans="1:13" x14ac:dyDescent="0.45">
      <c r="A10104" s="142" t="s">
        <v>13716</v>
      </c>
      <c r="B10104" s="142" t="s">
        <v>15769</v>
      </c>
      <c r="C10104" s="142" t="s">
        <v>25795</v>
      </c>
      <c r="D10104" s="142" t="s">
        <v>25795</v>
      </c>
      <c r="E10104" s="142" t="s">
        <v>25796</v>
      </c>
      <c r="F10104" s="142" t="s">
        <v>11608</v>
      </c>
      <c r="G10104" s="142" t="s">
        <v>11607</v>
      </c>
      <c r="H10104" s="142" t="s">
        <v>25956</v>
      </c>
      <c r="I10104" s="142">
        <v>20070</v>
      </c>
      <c r="J10104" s="142">
        <v>19429</v>
      </c>
      <c r="K10104" s="142">
        <v>0</v>
      </c>
      <c r="L10104" s="142">
        <v>641</v>
      </c>
      <c r="M10104" s="142">
        <v>0</v>
      </c>
    </row>
    <row r="10105" spans="1:13" x14ac:dyDescent="0.45">
      <c r="A10105" s="142" t="s">
        <v>13814</v>
      </c>
      <c r="B10105" s="142" t="s">
        <v>15770</v>
      </c>
      <c r="C10105" s="142" t="s">
        <v>25795</v>
      </c>
      <c r="D10105" s="142" t="s">
        <v>25795</v>
      </c>
      <c r="E10105" s="142" t="s">
        <v>25796</v>
      </c>
      <c r="F10105" s="142" t="s">
        <v>11986</v>
      </c>
      <c r="G10105" s="142" t="s">
        <v>11985</v>
      </c>
      <c r="H10105" s="142" t="s">
        <v>25957</v>
      </c>
      <c r="I10105" s="142">
        <v>7008</v>
      </c>
      <c r="J10105" s="142">
        <v>6736</v>
      </c>
      <c r="K10105" s="142">
        <v>0</v>
      </c>
      <c r="L10105" s="142">
        <v>272</v>
      </c>
      <c r="M10105" s="142">
        <v>0</v>
      </c>
    </row>
    <row r="10106" spans="1:13" x14ac:dyDescent="0.45">
      <c r="A10106" s="142" t="s">
        <v>13826</v>
      </c>
      <c r="B10106" s="142" t="s">
        <v>15771</v>
      </c>
      <c r="C10106" s="142" t="s">
        <v>25795</v>
      </c>
      <c r="D10106" s="142" t="s">
        <v>25795</v>
      </c>
      <c r="E10106" s="142" t="s">
        <v>25796</v>
      </c>
      <c r="F10106" s="142" t="s">
        <v>12028</v>
      </c>
      <c r="G10106" s="142" t="s">
        <v>12027</v>
      </c>
      <c r="H10106" s="142" t="s">
        <v>25958</v>
      </c>
      <c r="I10106" s="142">
        <v>4463</v>
      </c>
      <c r="J10106" s="142">
        <v>4426</v>
      </c>
      <c r="K10106" s="142">
        <v>0</v>
      </c>
      <c r="L10106" s="142">
        <v>0</v>
      </c>
      <c r="M10106" s="142">
        <v>37</v>
      </c>
    </row>
    <row r="10107" spans="1:13" x14ac:dyDescent="0.45">
      <c r="A10107" s="142" t="s">
        <v>14142</v>
      </c>
      <c r="B10107" s="142" t="s">
        <v>15772</v>
      </c>
      <c r="C10107" s="142" t="s">
        <v>25795</v>
      </c>
      <c r="D10107" s="142" t="s">
        <v>25795</v>
      </c>
      <c r="E10107" s="142" t="s">
        <v>25796</v>
      </c>
      <c r="F10107" s="142" t="s">
        <v>8779</v>
      </c>
      <c r="G10107" s="142" t="s">
        <v>8778</v>
      </c>
      <c r="H10107" s="142" t="s">
        <v>25959</v>
      </c>
      <c r="I10107" s="142">
        <v>3411</v>
      </c>
      <c r="J10107" s="142">
        <v>3404</v>
      </c>
      <c r="K10107" s="142">
        <v>0</v>
      </c>
      <c r="L10107" s="142">
        <v>0</v>
      </c>
      <c r="M10107" s="142">
        <v>7</v>
      </c>
    </row>
    <row r="10108" spans="1:13" x14ac:dyDescent="0.45">
      <c r="A10108" s="142" t="s">
        <v>14145</v>
      </c>
      <c r="B10108" s="142" t="s">
        <v>15773</v>
      </c>
      <c r="C10108" s="142" t="s">
        <v>25795</v>
      </c>
      <c r="D10108" s="142" t="s">
        <v>25795</v>
      </c>
      <c r="E10108" s="142" t="s">
        <v>25796</v>
      </c>
      <c r="F10108" s="142" t="s">
        <v>8456</v>
      </c>
      <c r="G10108" s="142" t="s">
        <v>8455</v>
      </c>
      <c r="H10108" s="142" t="s">
        <v>25960</v>
      </c>
      <c r="I10108" s="142">
        <v>2891</v>
      </c>
      <c r="J10108" s="142">
        <v>2620</v>
      </c>
      <c r="K10108" s="142">
        <v>8</v>
      </c>
      <c r="L10108" s="142">
        <v>208</v>
      </c>
      <c r="M10108" s="142">
        <v>55</v>
      </c>
    </row>
    <row r="10109" spans="1:13" x14ac:dyDescent="0.45">
      <c r="A10109" s="142" t="s">
        <v>14148</v>
      </c>
      <c r="B10109" s="142" t="s">
        <v>15774</v>
      </c>
      <c r="C10109" s="142" t="s">
        <v>25795</v>
      </c>
      <c r="D10109" s="142" t="s">
        <v>25795</v>
      </c>
      <c r="E10109" s="142" t="s">
        <v>25796</v>
      </c>
      <c r="F10109" s="142" t="s">
        <v>5068</v>
      </c>
      <c r="G10109" s="142" t="s">
        <v>5067</v>
      </c>
      <c r="H10109" s="142" t="s">
        <v>25961</v>
      </c>
      <c r="I10109" s="142">
        <v>6</v>
      </c>
      <c r="J10109" s="142">
        <v>6</v>
      </c>
      <c r="K10109" s="142">
        <v>0</v>
      </c>
      <c r="L10109" s="142">
        <v>0</v>
      </c>
      <c r="M10109" s="142">
        <v>0</v>
      </c>
    </row>
    <row r="10110" spans="1:13" x14ac:dyDescent="0.45">
      <c r="A10110" s="142" t="s">
        <v>14151</v>
      </c>
      <c r="B10110" s="142" t="s">
        <v>15775</v>
      </c>
      <c r="C10110" s="142" t="s">
        <v>25795</v>
      </c>
      <c r="D10110" s="142" t="s">
        <v>25795</v>
      </c>
      <c r="E10110" s="142" t="s">
        <v>25796</v>
      </c>
      <c r="F10110" s="142" t="s">
        <v>9895</v>
      </c>
      <c r="G10110" s="142" t="s">
        <v>9894</v>
      </c>
      <c r="H10110" s="142" t="s">
        <v>25962</v>
      </c>
      <c r="I10110" s="142">
        <v>1207</v>
      </c>
      <c r="J10110" s="142">
        <v>1181</v>
      </c>
      <c r="K10110" s="142">
        <v>0</v>
      </c>
      <c r="L10110" s="142">
        <v>26</v>
      </c>
      <c r="M10110" s="142">
        <v>0</v>
      </c>
    </row>
    <row r="10111" spans="1:13" x14ac:dyDescent="0.45">
      <c r="A10111" s="142" t="s">
        <v>14156</v>
      </c>
      <c r="B10111" s="142" t="s">
        <v>15776</v>
      </c>
      <c r="C10111" s="142" t="s">
        <v>25795</v>
      </c>
      <c r="D10111" s="142" t="s">
        <v>25795</v>
      </c>
      <c r="E10111" s="142" t="s">
        <v>25796</v>
      </c>
      <c r="F10111" s="142" t="s">
        <v>10770</v>
      </c>
      <c r="G10111" s="142" t="s">
        <v>10769</v>
      </c>
      <c r="H10111" s="142" t="s">
        <v>25963</v>
      </c>
      <c r="I10111" s="142">
        <v>27717</v>
      </c>
      <c r="J10111" s="142">
        <v>27494</v>
      </c>
      <c r="K10111" s="142">
        <v>0</v>
      </c>
      <c r="L10111" s="142">
        <v>223</v>
      </c>
      <c r="M10111" s="142">
        <v>0</v>
      </c>
    </row>
    <row r="10112" spans="1:13" x14ac:dyDescent="0.45">
      <c r="A10112" s="142" t="s">
        <v>14160</v>
      </c>
      <c r="B10112" s="142" t="s">
        <v>15777</v>
      </c>
      <c r="C10112" s="142" t="s">
        <v>25795</v>
      </c>
      <c r="D10112" s="142" t="s">
        <v>25795</v>
      </c>
      <c r="E10112" s="142" t="s">
        <v>25796</v>
      </c>
      <c r="F10112" s="142" t="s">
        <v>10226</v>
      </c>
      <c r="G10112" s="142" t="s">
        <v>10225</v>
      </c>
      <c r="H10112" s="142" t="s">
        <v>25964</v>
      </c>
      <c r="I10112" s="142">
        <v>0</v>
      </c>
      <c r="J10112" s="142">
        <v>0</v>
      </c>
      <c r="K10112" s="142">
        <v>0</v>
      </c>
      <c r="L10112" s="142">
        <v>0</v>
      </c>
      <c r="M10112" s="142">
        <v>0</v>
      </c>
    </row>
    <row r="10113" spans="1:13" x14ac:dyDescent="0.45">
      <c r="A10113" s="142" t="s">
        <v>14164</v>
      </c>
      <c r="B10113" s="142" t="s">
        <v>15778</v>
      </c>
      <c r="C10113" s="142" t="s">
        <v>25795</v>
      </c>
      <c r="D10113" s="142" t="s">
        <v>25795</v>
      </c>
      <c r="E10113" s="142" t="s">
        <v>25796</v>
      </c>
      <c r="F10113" s="142" t="s">
        <v>10435</v>
      </c>
      <c r="G10113" s="142" t="s">
        <v>10434</v>
      </c>
      <c r="H10113" s="142" t="s">
        <v>25965</v>
      </c>
      <c r="I10113" s="142">
        <v>38122</v>
      </c>
      <c r="J10113" s="142">
        <v>36810</v>
      </c>
      <c r="K10113" s="142">
        <v>0</v>
      </c>
      <c r="L10113" s="142">
        <v>1288</v>
      </c>
      <c r="M10113" s="142">
        <v>24</v>
      </c>
    </row>
    <row r="10114" spans="1:13" x14ac:dyDescent="0.45">
      <c r="A10114" s="142" t="s">
        <v>14167</v>
      </c>
      <c r="B10114" s="142" t="s">
        <v>15779</v>
      </c>
      <c r="C10114" s="142" t="s">
        <v>25795</v>
      </c>
      <c r="D10114" s="142" t="s">
        <v>25795</v>
      </c>
      <c r="E10114" s="142" t="s">
        <v>25796</v>
      </c>
      <c r="F10114" s="142" t="s">
        <v>2263</v>
      </c>
      <c r="G10114" s="142" t="s">
        <v>2262</v>
      </c>
      <c r="H10114" s="142" t="s">
        <v>25966</v>
      </c>
      <c r="I10114" s="142">
        <v>4070</v>
      </c>
      <c r="J10114" s="142">
        <v>3676</v>
      </c>
      <c r="K10114" s="142">
        <v>14</v>
      </c>
      <c r="L10114" s="142">
        <v>326</v>
      </c>
      <c r="M10114" s="142">
        <v>54</v>
      </c>
    </row>
    <row r="10115" spans="1:13" x14ac:dyDescent="0.45">
      <c r="A10115" s="142" t="s">
        <v>14175</v>
      </c>
      <c r="B10115" s="142" t="s">
        <v>15780</v>
      </c>
      <c r="C10115" s="142" t="s">
        <v>25795</v>
      </c>
      <c r="D10115" s="142" t="s">
        <v>25795</v>
      </c>
      <c r="E10115" s="142" t="s">
        <v>25796</v>
      </c>
      <c r="F10115" s="142" t="s">
        <v>1803</v>
      </c>
      <c r="G10115" s="142" t="s">
        <v>1802</v>
      </c>
      <c r="H10115" s="142" t="s">
        <v>25967</v>
      </c>
      <c r="I10115" s="142">
        <v>5955</v>
      </c>
      <c r="J10115" s="142">
        <v>5955</v>
      </c>
      <c r="K10115" s="142">
        <v>0</v>
      </c>
      <c r="L10115" s="142">
        <v>0</v>
      </c>
      <c r="M10115" s="142">
        <v>0</v>
      </c>
    </row>
    <row r="10116" spans="1:13" x14ac:dyDescent="0.45">
      <c r="A10116" s="142" t="s">
        <v>14177</v>
      </c>
      <c r="B10116" s="142" t="s">
        <v>15781</v>
      </c>
      <c r="C10116" s="142" t="s">
        <v>25795</v>
      </c>
      <c r="D10116" s="142" t="s">
        <v>25795</v>
      </c>
      <c r="E10116" s="142" t="s">
        <v>25796</v>
      </c>
      <c r="F10116" s="142" t="s">
        <v>10812</v>
      </c>
      <c r="G10116" s="142" t="s">
        <v>10811</v>
      </c>
      <c r="H10116" s="142" t="s">
        <v>25968</v>
      </c>
      <c r="I10116" s="142">
        <v>9828</v>
      </c>
      <c r="J10116" s="142">
        <v>9686</v>
      </c>
      <c r="K10116" s="142">
        <v>0</v>
      </c>
      <c r="L10116" s="142">
        <v>74</v>
      </c>
      <c r="M10116" s="142">
        <v>68</v>
      </c>
    </row>
    <row r="10117" spans="1:13" x14ac:dyDescent="0.45">
      <c r="A10117" s="142" t="s">
        <v>14182</v>
      </c>
      <c r="B10117" s="142" t="s">
        <v>15782</v>
      </c>
      <c r="C10117" s="142" t="s">
        <v>25795</v>
      </c>
      <c r="D10117" s="142" t="s">
        <v>25795</v>
      </c>
      <c r="E10117" s="142" t="s">
        <v>25796</v>
      </c>
      <c r="F10117" s="142" t="s">
        <v>2882</v>
      </c>
      <c r="G10117" s="142" t="s">
        <v>2881</v>
      </c>
      <c r="H10117" s="142" t="s">
        <v>25969</v>
      </c>
      <c r="I10117" s="142">
        <v>9682</v>
      </c>
      <c r="J10117" s="142">
        <v>7703</v>
      </c>
      <c r="K10117" s="142">
        <v>0</v>
      </c>
      <c r="L10117" s="142">
        <v>1900</v>
      </c>
      <c r="M10117" s="142">
        <v>79</v>
      </c>
    </row>
    <row r="10118" spans="1:13" x14ac:dyDescent="0.45">
      <c r="A10118" s="142" t="s">
        <v>14194</v>
      </c>
      <c r="B10118" s="142" t="s">
        <v>15783</v>
      </c>
      <c r="C10118" s="142" t="s">
        <v>25795</v>
      </c>
      <c r="D10118" s="142" t="s">
        <v>25795</v>
      </c>
      <c r="E10118" s="142" t="s">
        <v>25796</v>
      </c>
      <c r="F10118" s="142" t="s">
        <v>3084</v>
      </c>
      <c r="G10118" s="142" t="s">
        <v>3083</v>
      </c>
      <c r="H10118" s="142" t="s">
        <v>25970</v>
      </c>
      <c r="I10118" s="142">
        <v>5762</v>
      </c>
      <c r="J10118" s="142">
        <v>4444</v>
      </c>
      <c r="K10118" s="142">
        <v>0</v>
      </c>
      <c r="L10118" s="142">
        <v>1075</v>
      </c>
      <c r="M10118" s="142">
        <v>243</v>
      </c>
    </row>
    <row r="10119" spans="1:13" x14ac:dyDescent="0.45">
      <c r="A10119" s="142" t="s">
        <v>14195</v>
      </c>
      <c r="B10119" s="142" t="s">
        <v>15784</v>
      </c>
      <c r="C10119" s="142" t="s">
        <v>25795</v>
      </c>
      <c r="D10119" s="142" t="s">
        <v>25795</v>
      </c>
      <c r="E10119" s="142" t="s">
        <v>25796</v>
      </c>
      <c r="F10119" s="142" t="s">
        <v>3420</v>
      </c>
      <c r="G10119" s="142" t="s">
        <v>3419</v>
      </c>
      <c r="H10119" s="142" t="s">
        <v>25971</v>
      </c>
      <c r="I10119" s="142">
        <v>2914</v>
      </c>
      <c r="J10119" s="142">
        <v>1987</v>
      </c>
      <c r="K10119" s="142">
        <v>0</v>
      </c>
      <c r="L10119" s="142">
        <v>927</v>
      </c>
      <c r="M10119" s="142">
        <v>0</v>
      </c>
    </row>
    <row r="10120" spans="1:13" x14ac:dyDescent="0.45">
      <c r="A10120" s="142" t="s">
        <v>14199</v>
      </c>
      <c r="B10120" s="142" t="s">
        <v>15785</v>
      </c>
      <c r="C10120" s="142" t="s">
        <v>25795</v>
      </c>
      <c r="D10120" s="142" t="s">
        <v>25795</v>
      </c>
      <c r="E10120" s="142" t="s">
        <v>25796</v>
      </c>
      <c r="F10120" s="142" t="s">
        <v>3630</v>
      </c>
      <c r="G10120" s="142" t="s">
        <v>3629</v>
      </c>
      <c r="H10120" s="142" t="s">
        <v>25972</v>
      </c>
      <c r="I10120" s="142">
        <v>36</v>
      </c>
      <c r="J10120" s="142">
        <v>36</v>
      </c>
      <c r="K10120" s="142">
        <v>0</v>
      </c>
      <c r="L10120" s="142">
        <v>0</v>
      </c>
      <c r="M10120" s="142">
        <v>0</v>
      </c>
    </row>
    <row r="10121" spans="1:13" x14ac:dyDescent="0.45">
      <c r="A10121" s="142" t="s">
        <v>14200</v>
      </c>
      <c r="B10121" s="142" t="s">
        <v>15786</v>
      </c>
      <c r="C10121" s="142" t="s">
        <v>25795</v>
      </c>
      <c r="D10121" s="142" t="s">
        <v>25795</v>
      </c>
      <c r="E10121" s="142" t="s">
        <v>25796</v>
      </c>
      <c r="F10121" s="142" t="s">
        <v>6874</v>
      </c>
      <c r="G10121" s="142" t="s">
        <v>6873</v>
      </c>
      <c r="H10121" s="142" t="s">
        <v>25973</v>
      </c>
      <c r="I10121" s="142">
        <v>3838</v>
      </c>
      <c r="J10121" s="142">
        <v>2719</v>
      </c>
      <c r="K10121" s="142">
        <v>0</v>
      </c>
      <c r="L10121" s="142">
        <v>1069</v>
      </c>
      <c r="M10121" s="142">
        <v>50</v>
      </c>
    </row>
    <row r="10122" spans="1:13" x14ac:dyDescent="0.45">
      <c r="A10122" s="142" t="s">
        <v>14201</v>
      </c>
      <c r="B10122" s="142" t="s">
        <v>15787</v>
      </c>
      <c r="C10122" s="142" t="s">
        <v>25795</v>
      </c>
      <c r="D10122" s="142" t="s">
        <v>25795</v>
      </c>
      <c r="E10122" s="142" t="s">
        <v>25796</v>
      </c>
      <c r="F10122" s="142" t="s">
        <v>6916</v>
      </c>
      <c r="G10122" s="142" t="s">
        <v>6915</v>
      </c>
      <c r="H10122" s="142" t="s">
        <v>25974</v>
      </c>
      <c r="I10122" s="142">
        <v>5898</v>
      </c>
      <c r="J10122" s="142">
        <v>4730</v>
      </c>
      <c r="K10122" s="142">
        <v>0</v>
      </c>
      <c r="L10122" s="142">
        <v>1118</v>
      </c>
      <c r="M10122" s="142">
        <v>50</v>
      </c>
    </row>
    <row r="10123" spans="1:13" x14ac:dyDescent="0.45">
      <c r="A10123" s="142" t="s">
        <v>14202</v>
      </c>
      <c r="B10123" s="142" t="s">
        <v>15788</v>
      </c>
      <c r="C10123" s="142" t="s">
        <v>25795</v>
      </c>
      <c r="D10123" s="142" t="s">
        <v>25795</v>
      </c>
      <c r="E10123" s="142" t="s">
        <v>25796</v>
      </c>
      <c r="F10123" s="142" t="s">
        <v>7251</v>
      </c>
      <c r="G10123" s="142" t="s">
        <v>7250</v>
      </c>
      <c r="H10123" s="142" t="s">
        <v>25975</v>
      </c>
      <c r="I10123" s="142">
        <v>51</v>
      </c>
      <c r="J10123" s="142">
        <v>38</v>
      </c>
      <c r="K10123" s="142">
        <v>13</v>
      </c>
      <c r="L10123" s="142">
        <v>0</v>
      </c>
      <c r="M10123" s="142">
        <v>0</v>
      </c>
    </row>
    <row r="10124" spans="1:13" x14ac:dyDescent="0.45">
      <c r="A10124" s="142" t="s">
        <v>14203</v>
      </c>
      <c r="B10124" s="142" t="s">
        <v>15789</v>
      </c>
      <c r="C10124" s="142" t="s">
        <v>25795</v>
      </c>
      <c r="D10124" s="142" t="s">
        <v>25795</v>
      </c>
      <c r="E10124" s="142" t="s">
        <v>25796</v>
      </c>
      <c r="F10124" s="142" t="s">
        <v>7671</v>
      </c>
      <c r="G10124" s="142" t="s">
        <v>7670</v>
      </c>
      <c r="H10124" s="142" t="s">
        <v>25976</v>
      </c>
      <c r="I10124" s="142">
        <v>33</v>
      </c>
      <c r="J10124" s="142">
        <v>33</v>
      </c>
      <c r="K10124" s="142">
        <v>0</v>
      </c>
      <c r="L10124" s="142">
        <v>0</v>
      </c>
      <c r="M10124" s="142">
        <v>0</v>
      </c>
    </row>
    <row r="10125" spans="1:13" x14ac:dyDescent="0.45">
      <c r="A10125" s="142" t="s">
        <v>14207</v>
      </c>
      <c r="B10125" s="142" t="s">
        <v>15790</v>
      </c>
      <c r="C10125" s="142" t="s">
        <v>25795</v>
      </c>
      <c r="D10125" s="142" t="s">
        <v>25795</v>
      </c>
      <c r="E10125" s="142" t="s">
        <v>25796</v>
      </c>
      <c r="F10125" s="142" t="s">
        <v>6288</v>
      </c>
      <c r="G10125" s="142" t="s">
        <v>6287</v>
      </c>
      <c r="H10125" s="142" t="s">
        <v>25977</v>
      </c>
      <c r="I10125" s="142">
        <v>98</v>
      </c>
      <c r="J10125" s="142">
        <v>23</v>
      </c>
      <c r="K10125" s="142">
        <v>0</v>
      </c>
      <c r="L10125" s="142">
        <v>75</v>
      </c>
      <c r="M10125" s="142">
        <v>0</v>
      </c>
    </row>
    <row r="10126" spans="1:13" x14ac:dyDescent="0.45">
      <c r="A10126" s="142" t="s">
        <v>14208</v>
      </c>
      <c r="B10126" s="142" t="s">
        <v>15791</v>
      </c>
      <c r="C10126" s="142" t="s">
        <v>25795</v>
      </c>
      <c r="D10126" s="142" t="s">
        <v>25795</v>
      </c>
      <c r="E10126" s="142" t="s">
        <v>25796</v>
      </c>
      <c r="F10126" s="142" t="s">
        <v>10561</v>
      </c>
      <c r="G10126" s="142" t="s">
        <v>10560</v>
      </c>
      <c r="H10126" s="142" t="s">
        <v>25978</v>
      </c>
      <c r="I10126" s="142">
        <v>15829</v>
      </c>
      <c r="J10126" s="142">
        <v>14668</v>
      </c>
      <c r="K10126" s="142">
        <v>0</v>
      </c>
      <c r="L10126" s="142">
        <v>1157</v>
      </c>
      <c r="M10126" s="142">
        <v>4</v>
      </c>
    </row>
    <row r="10127" spans="1:13" x14ac:dyDescent="0.45">
      <c r="A10127" s="142" t="s">
        <v>14209</v>
      </c>
      <c r="B10127" s="142" t="s">
        <v>15792</v>
      </c>
      <c r="C10127" s="142" t="s">
        <v>25795</v>
      </c>
      <c r="D10127" s="142" t="s">
        <v>25795</v>
      </c>
      <c r="E10127" s="142" t="s">
        <v>25796</v>
      </c>
      <c r="F10127" s="142" t="s">
        <v>2053</v>
      </c>
      <c r="G10127" s="142" t="s">
        <v>2052</v>
      </c>
      <c r="H10127" s="142" t="s">
        <v>25979</v>
      </c>
      <c r="I10127" s="142">
        <v>15892</v>
      </c>
      <c r="J10127" s="142">
        <v>12452</v>
      </c>
      <c r="K10127" s="142">
        <v>18</v>
      </c>
      <c r="L10127" s="142">
        <v>3325</v>
      </c>
      <c r="M10127" s="142">
        <v>97</v>
      </c>
    </row>
    <row r="10128" spans="1:13" x14ac:dyDescent="0.45">
      <c r="A10128" s="142" t="s">
        <v>14212</v>
      </c>
      <c r="B10128" s="142" t="s">
        <v>15793</v>
      </c>
      <c r="C10128" s="142" t="s">
        <v>25795</v>
      </c>
      <c r="D10128" s="142" t="s">
        <v>25795</v>
      </c>
      <c r="E10128" s="142" t="s">
        <v>25796</v>
      </c>
      <c r="F10128" s="142" t="s">
        <v>156</v>
      </c>
      <c r="G10128" s="142" t="s">
        <v>1560</v>
      </c>
      <c r="H10128" s="142" t="s">
        <v>25980</v>
      </c>
      <c r="I10128" s="142">
        <v>6098</v>
      </c>
      <c r="J10128" s="142">
        <v>4947</v>
      </c>
      <c r="K10128" s="142">
        <v>0</v>
      </c>
      <c r="L10128" s="142">
        <v>1140</v>
      </c>
      <c r="M10128" s="142">
        <v>11</v>
      </c>
    </row>
    <row r="10129" spans="1:13" x14ac:dyDescent="0.45">
      <c r="A10129" s="142" t="s">
        <v>14217</v>
      </c>
      <c r="B10129" s="142" t="s">
        <v>15794</v>
      </c>
      <c r="C10129" s="142" t="s">
        <v>25795</v>
      </c>
      <c r="D10129" s="142" t="s">
        <v>25795</v>
      </c>
      <c r="E10129" s="142" t="s">
        <v>25796</v>
      </c>
      <c r="F10129" s="142" t="s">
        <v>157</v>
      </c>
      <c r="G10129" s="142" t="s">
        <v>12323</v>
      </c>
      <c r="H10129" s="142" t="s">
        <v>25981</v>
      </c>
      <c r="I10129" s="142">
        <v>37062</v>
      </c>
      <c r="J10129" s="142">
        <v>36144</v>
      </c>
      <c r="K10129" s="142">
        <v>0</v>
      </c>
      <c r="L10129" s="142">
        <v>728</v>
      </c>
      <c r="M10129" s="142">
        <v>190</v>
      </c>
    </row>
    <row r="10130" spans="1:13" x14ac:dyDescent="0.45">
      <c r="A10130" s="142" t="s">
        <v>14230</v>
      </c>
      <c r="B10130" s="142" t="s">
        <v>15795</v>
      </c>
      <c r="C10130" s="142" t="s">
        <v>25795</v>
      </c>
      <c r="D10130" s="142" t="s">
        <v>25795</v>
      </c>
      <c r="E10130" s="142" t="s">
        <v>25796</v>
      </c>
      <c r="F10130" s="142" t="s">
        <v>158</v>
      </c>
      <c r="G10130" s="142" t="s">
        <v>8497</v>
      </c>
      <c r="H10130" s="142" t="s">
        <v>25982</v>
      </c>
      <c r="I10130" s="142">
        <v>31</v>
      </c>
      <c r="J10130" s="142">
        <v>0</v>
      </c>
      <c r="K10130" s="142">
        <v>0</v>
      </c>
      <c r="L10130" s="142">
        <v>31</v>
      </c>
      <c r="M10130" s="142">
        <v>0</v>
      </c>
    </row>
    <row r="10131" spans="1:13" x14ac:dyDescent="0.45">
      <c r="A10131" s="142" t="s">
        <v>14232</v>
      </c>
      <c r="B10131" s="142" t="s">
        <v>15796</v>
      </c>
      <c r="C10131" s="142" t="s">
        <v>25795</v>
      </c>
      <c r="D10131" s="142" t="s">
        <v>25795</v>
      </c>
      <c r="E10131" s="142" t="s">
        <v>25796</v>
      </c>
      <c r="F10131" s="142" t="s">
        <v>159</v>
      </c>
      <c r="G10131" s="142" t="s">
        <v>9436</v>
      </c>
      <c r="H10131" s="142" t="s">
        <v>25983</v>
      </c>
      <c r="I10131" s="142">
        <v>4673</v>
      </c>
      <c r="J10131" s="142">
        <v>4673</v>
      </c>
      <c r="K10131" s="142">
        <v>0</v>
      </c>
      <c r="L10131" s="142">
        <v>0</v>
      </c>
      <c r="M10131" s="142">
        <v>0</v>
      </c>
    </row>
    <row r="10132" spans="1:13" x14ac:dyDescent="0.45">
      <c r="A10132" s="142" t="s">
        <v>14237</v>
      </c>
      <c r="B10132" s="142" t="s">
        <v>15797</v>
      </c>
      <c r="C10132" s="142" t="s">
        <v>25795</v>
      </c>
      <c r="D10132" s="142" t="s">
        <v>25795</v>
      </c>
      <c r="E10132" s="142" t="s">
        <v>25796</v>
      </c>
      <c r="F10132" s="142" t="s">
        <v>163</v>
      </c>
      <c r="G10132" s="142" t="s">
        <v>9560</v>
      </c>
      <c r="H10132" s="142" t="s">
        <v>25984</v>
      </c>
      <c r="I10132" s="142">
        <v>7971</v>
      </c>
      <c r="J10132" s="142">
        <v>6798</v>
      </c>
      <c r="K10132" s="142">
        <v>0</v>
      </c>
      <c r="L10132" s="142">
        <v>1093</v>
      </c>
      <c r="M10132" s="142">
        <v>80</v>
      </c>
    </row>
    <row r="10133" spans="1:13" x14ac:dyDescent="0.45">
      <c r="A10133" s="142" t="s">
        <v>14240</v>
      </c>
      <c r="B10133" s="142" t="s">
        <v>15798</v>
      </c>
      <c r="C10133" s="142" t="s">
        <v>25795</v>
      </c>
      <c r="D10133" s="142" t="s">
        <v>25795</v>
      </c>
      <c r="E10133" s="142" t="s">
        <v>25796</v>
      </c>
      <c r="F10133" s="142" t="s">
        <v>164</v>
      </c>
      <c r="G10133" s="142" t="s">
        <v>9936</v>
      </c>
      <c r="H10133" s="142" t="s">
        <v>25985</v>
      </c>
      <c r="I10133" s="142">
        <v>10953</v>
      </c>
      <c r="J10133" s="142">
        <v>9844</v>
      </c>
      <c r="K10133" s="142">
        <v>0</v>
      </c>
      <c r="L10133" s="142">
        <v>1034</v>
      </c>
      <c r="M10133" s="142">
        <v>75</v>
      </c>
    </row>
    <row r="10134" spans="1:13" x14ac:dyDescent="0.45">
      <c r="A10134" s="142" t="s">
        <v>14242</v>
      </c>
      <c r="B10134" s="142" t="s">
        <v>15799</v>
      </c>
      <c r="C10134" s="142" t="s">
        <v>25795</v>
      </c>
      <c r="D10134" s="142" t="s">
        <v>25795</v>
      </c>
      <c r="E10134" s="142" t="s">
        <v>25796</v>
      </c>
      <c r="F10134" s="142" t="s">
        <v>166</v>
      </c>
      <c r="G10134" s="142" t="s">
        <v>1141</v>
      </c>
      <c r="H10134" s="142" t="s">
        <v>25986</v>
      </c>
      <c r="I10134" s="142">
        <v>17274</v>
      </c>
      <c r="J10134" s="142">
        <v>17009</v>
      </c>
      <c r="K10134" s="142">
        <v>0</v>
      </c>
      <c r="L10134" s="142">
        <v>265</v>
      </c>
      <c r="M10134" s="142">
        <v>0</v>
      </c>
    </row>
    <row r="10135" spans="1:13" x14ac:dyDescent="0.45">
      <c r="A10135" s="142" t="s">
        <v>14247</v>
      </c>
      <c r="B10135" s="142" t="s">
        <v>15800</v>
      </c>
      <c r="C10135" s="142" t="s">
        <v>25795</v>
      </c>
      <c r="D10135" s="142" t="s">
        <v>25795</v>
      </c>
      <c r="E10135" s="142" t="s">
        <v>25796</v>
      </c>
      <c r="F10135" s="142" t="s">
        <v>167</v>
      </c>
      <c r="G10135" s="142" t="s">
        <v>8820</v>
      </c>
      <c r="H10135" s="142" t="s">
        <v>25987</v>
      </c>
      <c r="I10135" s="142">
        <v>0</v>
      </c>
      <c r="J10135" s="142">
        <v>0</v>
      </c>
      <c r="K10135" s="142">
        <v>0</v>
      </c>
      <c r="L10135" s="142">
        <v>0</v>
      </c>
      <c r="M10135" s="142">
        <v>0</v>
      </c>
    </row>
    <row r="10136" spans="1:13" x14ac:dyDescent="0.45">
      <c r="A10136" s="142" t="s">
        <v>14251</v>
      </c>
      <c r="B10136" s="142" t="s">
        <v>15801</v>
      </c>
      <c r="C10136" s="142" t="s">
        <v>25795</v>
      </c>
      <c r="D10136" s="142" t="s">
        <v>25795</v>
      </c>
      <c r="E10136" s="142" t="s">
        <v>25796</v>
      </c>
      <c r="F10136" s="142" t="s">
        <v>168</v>
      </c>
      <c r="G10136" s="142" t="s">
        <v>4657</v>
      </c>
      <c r="H10136" s="142" t="s">
        <v>25988</v>
      </c>
      <c r="I10136" s="142">
        <v>4989</v>
      </c>
      <c r="J10136" s="142">
        <v>4214</v>
      </c>
      <c r="K10136" s="142">
        <v>0</v>
      </c>
      <c r="L10136" s="142">
        <v>731</v>
      </c>
      <c r="M10136" s="142">
        <v>44</v>
      </c>
    </row>
    <row r="10137" spans="1:13" x14ac:dyDescent="0.45">
      <c r="A10137" s="142" t="s">
        <v>14254</v>
      </c>
      <c r="B10137" s="142" t="s">
        <v>15802</v>
      </c>
      <c r="C10137" s="142" t="s">
        <v>25795</v>
      </c>
      <c r="D10137" s="142" t="s">
        <v>25795</v>
      </c>
      <c r="E10137" s="142" t="s">
        <v>25796</v>
      </c>
      <c r="F10137" s="142" t="s">
        <v>169</v>
      </c>
      <c r="G10137" s="142" t="s">
        <v>10602</v>
      </c>
      <c r="H10137" s="142" t="s">
        <v>25989</v>
      </c>
      <c r="I10137" s="142">
        <v>178</v>
      </c>
      <c r="J10137" s="142">
        <v>105</v>
      </c>
      <c r="K10137" s="142">
        <v>0</v>
      </c>
      <c r="L10137" s="142">
        <v>73</v>
      </c>
      <c r="M10137" s="142">
        <v>0</v>
      </c>
    </row>
    <row r="10138" spans="1:13" x14ac:dyDescent="0.45">
      <c r="A10138" s="142" t="s">
        <v>14269</v>
      </c>
      <c r="B10138" s="142" t="s">
        <v>15803</v>
      </c>
      <c r="C10138" s="142" t="s">
        <v>25795</v>
      </c>
      <c r="D10138" s="142" t="s">
        <v>25795</v>
      </c>
      <c r="E10138" s="142" t="s">
        <v>25796</v>
      </c>
      <c r="F10138" s="142" t="s">
        <v>173</v>
      </c>
      <c r="G10138" s="142" t="s">
        <v>1434</v>
      </c>
      <c r="H10138" s="142" t="s">
        <v>25990</v>
      </c>
      <c r="I10138" s="142">
        <v>10381</v>
      </c>
      <c r="J10138" s="142">
        <v>10244</v>
      </c>
      <c r="K10138" s="142">
        <v>0</v>
      </c>
      <c r="L10138" s="142">
        <v>137</v>
      </c>
      <c r="M10138" s="142">
        <v>0</v>
      </c>
    </row>
    <row r="10139" spans="1:13" x14ac:dyDescent="0.45">
      <c r="A10139" s="142" t="s">
        <v>14273</v>
      </c>
      <c r="B10139" s="142" t="s">
        <v>15804</v>
      </c>
      <c r="C10139" s="142" t="s">
        <v>25795</v>
      </c>
      <c r="D10139" s="142" t="s">
        <v>25795</v>
      </c>
      <c r="E10139" s="142" t="s">
        <v>25796</v>
      </c>
      <c r="F10139" s="142" t="s">
        <v>175</v>
      </c>
      <c r="G10139" s="142" t="s">
        <v>8078</v>
      </c>
      <c r="H10139" s="142" t="s">
        <v>25991</v>
      </c>
      <c r="I10139" s="142">
        <v>4286</v>
      </c>
      <c r="J10139" s="142">
        <v>4266</v>
      </c>
      <c r="K10139" s="142">
        <v>0</v>
      </c>
      <c r="L10139" s="142">
        <v>20</v>
      </c>
      <c r="M10139" s="142">
        <v>0</v>
      </c>
    </row>
    <row r="10140" spans="1:13" x14ac:dyDescent="0.45">
      <c r="A10140" s="142" t="s">
        <v>14275</v>
      </c>
      <c r="B10140" s="142" t="s">
        <v>15805</v>
      </c>
      <c r="C10140" s="142" t="s">
        <v>25795</v>
      </c>
      <c r="D10140" s="142" t="s">
        <v>25795</v>
      </c>
      <c r="E10140" s="142" t="s">
        <v>25796</v>
      </c>
      <c r="F10140" s="142" t="s">
        <v>176</v>
      </c>
      <c r="G10140" s="142" t="s">
        <v>8571</v>
      </c>
      <c r="H10140" s="142" t="s">
        <v>25992</v>
      </c>
      <c r="I10140" s="142">
        <v>2587</v>
      </c>
      <c r="J10140" s="142">
        <v>2246</v>
      </c>
      <c r="K10140" s="142">
        <v>0</v>
      </c>
      <c r="L10140" s="142">
        <v>341</v>
      </c>
      <c r="M10140" s="142">
        <v>0</v>
      </c>
    </row>
    <row r="10141" spans="1:13" x14ac:dyDescent="0.45">
      <c r="A10141" s="142" t="s">
        <v>14277</v>
      </c>
      <c r="B10141" s="142" t="s">
        <v>15806</v>
      </c>
      <c r="C10141" s="142" t="s">
        <v>25795</v>
      </c>
      <c r="D10141" s="142" t="s">
        <v>25795</v>
      </c>
      <c r="E10141" s="142" t="s">
        <v>25796</v>
      </c>
      <c r="F10141" s="142" t="s">
        <v>177</v>
      </c>
      <c r="G10141" s="142" t="s">
        <v>3671</v>
      </c>
      <c r="H10141" s="142" t="s">
        <v>25993</v>
      </c>
      <c r="I10141" s="142">
        <v>50</v>
      </c>
      <c r="J10141" s="142">
        <v>30</v>
      </c>
      <c r="K10141" s="142">
        <v>0</v>
      </c>
      <c r="L10141" s="142">
        <v>20</v>
      </c>
      <c r="M10141" s="142">
        <v>0</v>
      </c>
    </row>
    <row r="10142" spans="1:13" x14ac:dyDescent="0.45">
      <c r="A10142" s="142" t="s">
        <v>14280</v>
      </c>
      <c r="B10142" s="142" t="s">
        <v>15807</v>
      </c>
      <c r="C10142" s="142" t="s">
        <v>25795</v>
      </c>
      <c r="D10142" s="142" t="s">
        <v>25795</v>
      </c>
      <c r="E10142" s="142" t="s">
        <v>25796</v>
      </c>
      <c r="F10142" s="142" t="s">
        <v>178</v>
      </c>
      <c r="G10142" s="142" t="s">
        <v>1100</v>
      </c>
      <c r="H10142" s="142" t="s">
        <v>25994</v>
      </c>
      <c r="I10142" s="142">
        <v>25</v>
      </c>
      <c r="J10142" s="142">
        <v>2</v>
      </c>
      <c r="K10142" s="142">
        <v>0</v>
      </c>
      <c r="L10142" s="142">
        <v>23</v>
      </c>
      <c r="M10142" s="142">
        <v>0</v>
      </c>
    </row>
    <row r="10143" spans="1:13" x14ac:dyDescent="0.45">
      <c r="A10143" s="142" t="s">
        <v>14282</v>
      </c>
      <c r="B10143" s="142" t="s">
        <v>15808</v>
      </c>
      <c r="C10143" s="142" t="s">
        <v>25795</v>
      </c>
      <c r="D10143" s="142" t="s">
        <v>25795</v>
      </c>
      <c r="E10143" s="142" t="s">
        <v>25796</v>
      </c>
      <c r="F10143" s="142" t="s">
        <v>179</v>
      </c>
      <c r="G10143" s="142" t="s">
        <v>4415</v>
      </c>
      <c r="H10143" s="142" t="s">
        <v>25995</v>
      </c>
      <c r="I10143" s="142">
        <v>3078</v>
      </c>
      <c r="J10143" s="142">
        <v>3078</v>
      </c>
      <c r="K10143" s="142">
        <v>0</v>
      </c>
      <c r="L10143" s="142">
        <v>0</v>
      </c>
      <c r="M10143" s="142">
        <v>0</v>
      </c>
    </row>
    <row r="10144" spans="1:13" x14ac:dyDescent="0.45">
      <c r="A10144" s="142" t="s">
        <v>14287</v>
      </c>
      <c r="B10144" s="142" t="s">
        <v>15809</v>
      </c>
      <c r="C10144" s="142" t="s">
        <v>25795</v>
      </c>
      <c r="D10144" s="142" t="s">
        <v>25795</v>
      </c>
      <c r="E10144" s="142" t="s">
        <v>25796</v>
      </c>
      <c r="F10144" s="142" t="s">
        <v>182</v>
      </c>
      <c r="G10144" s="142" t="s">
        <v>5794</v>
      </c>
      <c r="H10144" s="142" t="s">
        <v>25996</v>
      </c>
      <c r="I10144" s="142">
        <v>3169</v>
      </c>
      <c r="J10144" s="142">
        <v>3158</v>
      </c>
      <c r="K10144" s="142">
        <v>0</v>
      </c>
      <c r="L10144" s="142">
        <v>0</v>
      </c>
      <c r="M10144" s="142">
        <v>11</v>
      </c>
    </row>
    <row r="10145" spans="1:13" x14ac:dyDescent="0.45">
      <c r="A10145" s="142" t="s">
        <v>14290</v>
      </c>
      <c r="B10145" s="142" t="s">
        <v>15810</v>
      </c>
      <c r="C10145" s="142" t="s">
        <v>25795</v>
      </c>
      <c r="D10145" s="142" t="s">
        <v>25795</v>
      </c>
      <c r="E10145" s="142" t="s">
        <v>25796</v>
      </c>
      <c r="F10145" s="142" t="s">
        <v>184</v>
      </c>
      <c r="G10145" s="142" t="s">
        <v>1601</v>
      </c>
      <c r="H10145" s="142" t="s">
        <v>25997</v>
      </c>
      <c r="I10145" s="142">
        <v>9790</v>
      </c>
      <c r="J10145" s="142">
        <v>8575</v>
      </c>
      <c r="K10145" s="142">
        <v>0</v>
      </c>
      <c r="L10145" s="142">
        <v>1215</v>
      </c>
      <c r="M10145" s="142">
        <v>0</v>
      </c>
    </row>
    <row r="10146" spans="1:13" x14ac:dyDescent="0.45">
      <c r="A10146" s="142" t="s">
        <v>14291</v>
      </c>
      <c r="B10146" s="142" t="s">
        <v>15811</v>
      </c>
      <c r="C10146" s="142" t="s">
        <v>25795</v>
      </c>
      <c r="D10146" s="142" t="s">
        <v>25795</v>
      </c>
      <c r="E10146" s="142" t="s">
        <v>25796</v>
      </c>
      <c r="F10146" s="142" t="s">
        <v>185</v>
      </c>
      <c r="G10146" s="142" t="s">
        <v>5835</v>
      </c>
      <c r="H10146" s="142" t="s">
        <v>25998</v>
      </c>
      <c r="I10146" s="142">
        <v>0</v>
      </c>
      <c r="J10146" s="142">
        <v>0</v>
      </c>
      <c r="K10146" s="142">
        <v>0</v>
      </c>
      <c r="L10146" s="142">
        <v>0</v>
      </c>
      <c r="M10146" s="142">
        <v>0</v>
      </c>
    </row>
    <row r="10147" spans="1:13" x14ac:dyDescent="0.45">
      <c r="A10147" s="142" t="s">
        <v>14298</v>
      </c>
      <c r="B10147" s="142" t="s">
        <v>15812</v>
      </c>
      <c r="C10147" s="142" t="s">
        <v>25795</v>
      </c>
      <c r="D10147" s="142" t="s">
        <v>25795</v>
      </c>
      <c r="E10147" s="142" t="s">
        <v>25796</v>
      </c>
      <c r="F10147" s="142" t="s">
        <v>186</v>
      </c>
      <c r="G10147" s="142" t="s">
        <v>1393</v>
      </c>
      <c r="H10147" s="142" t="s">
        <v>25999</v>
      </c>
      <c r="I10147" s="142">
        <v>15</v>
      </c>
      <c r="J10147" s="142">
        <v>9</v>
      </c>
      <c r="K10147" s="142">
        <v>0</v>
      </c>
      <c r="L10147" s="142">
        <v>6</v>
      </c>
      <c r="M10147" s="142">
        <v>0</v>
      </c>
    </row>
    <row r="10148" spans="1:13" x14ac:dyDescent="0.45">
      <c r="A10148" s="142" t="s">
        <v>14312</v>
      </c>
      <c r="B10148" s="142" t="s">
        <v>15813</v>
      </c>
      <c r="C10148" s="142" t="s">
        <v>25795</v>
      </c>
      <c r="D10148" s="142" t="s">
        <v>25795</v>
      </c>
      <c r="E10148" s="142" t="s">
        <v>25796</v>
      </c>
      <c r="F10148" s="142" t="s">
        <v>189</v>
      </c>
      <c r="G10148" s="142" t="s">
        <v>10018</v>
      </c>
      <c r="H10148" s="142" t="s">
        <v>26000</v>
      </c>
      <c r="I10148" s="142">
        <v>24</v>
      </c>
      <c r="J10148" s="142">
        <v>24</v>
      </c>
      <c r="K10148" s="142">
        <v>0</v>
      </c>
      <c r="L10148" s="142">
        <v>0</v>
      </c>
      <c r="M10148" s="142">
        <v>0</v>
      </c>
    </row>
    <row r="10149" spans="1:13" x14ac:dyDescent="0.45">
      <c r="A10149" s="142" t="s">
        <v>14313</v>
      </c>
      <c r="B10149" s="142" t="s">
        <v>15814</v>
      </c>
      <c r="C10149" s="142" t="s">
        <v>25795</v>
      </c>
      <c r="D10149" s="142" t="s">
        <v>25795</v>
      </c>
      <c r="E10149" s="142" t="s">
        <v>25796</v>
      </c>
      <c r="F10149" s="142" t="s">
        <v>190</v>
      </c>
      <c r="G10149" s="142" t="s">
        <v>5876</v>
      </c>
      <c r="H10149" s="142" t="s">
        <v>26001</v>
      </c>
      <c r="I10149" s="142">
        <v>0</v>
      </c>
      <c r="J10149" s="142">
        <v>0</v>
      </c>
      <c r="K10149" s="142">
        <v>0</v>
      </c>
      <c r="L10149" s="142">
        <v>0</v>
      </c>
      <c r="M10149" s="142">
        <v>0</v>
      </c>
    </row>
    <row r="10150" spans="1:13" x14ac:dyDescent="0.45">
      <c r="A10150" s="142" t="s">
        <v>14318</v>
      </c>
      <c r="B10150" s="142" t="s">
        <v>15815</v>
      </c>
      <c r="C10150" s="142" t="s">
        <v>25795</v>
      </c>
      <c r="D10150" s="142" t="s">
        <v>25795</v>
      </c>
      <c r="E10150" s="142" t="s">
        <v>25796</v>
      </c>
      <c r="F10150" s="142" t="s">
        <v>191</v>
      </c>
      <c r="G10150" s="142" t="s">
        <v>4456</v>
      </c>
      <c r="H10150" s="142" t="s">
        <v>26002</v>
      </c>
      <c r="I10150" s="142">
        <v>2831</v>
      </c>
      <c r="J10150" s="142">
        <v>2422</v>
      </c>
      <c r="K10150" s="142">
        <v>0</v>
      </c>
      <c r="L10150" s="142">
        <v>401</v>
      </c>
      <c r="M10150" s="142">
        <v>8</v>
      </c>
    </row>
    <row r="10151" spans="1:13" x14ac:dyDescent="0.45">
      <c r="A10151" s="142" t="s">
        <v>14319</v>
      </c>
      <c r="B10151" s="142" t="s">
        <v>15816</v>
      </c>
      <c r="C10151" s="142" t="s">
        <v>25795</v>
      </c>
      <c r="D10151" s="142" t="s">
        <v>25795</v>
      </c>
      <c r="E10151" s="142" t="s">
        <v>25796</v>
      </c>
      <c r="F10151" s="142" t="s">
        <v>192</v>
      </c>
      <c r="G10151" s="142" t="s">
        <v>7712</v>
      </c>
      <c r="H10151" s="142" t="s">
        <v>26003</v>
      </c>
      <c r="I10151" s="142">
        <v>34</v>
      </c>
      <c r="J10151" s="142">
        <v>34</v>
      </c>
      <c r="K10151" s="142">
        <v>0</v>
      </c>
      <c r="L10151" s="142">
        <v>0</v>
      </c>
      <c r="M10151" s="142">
        <v>0</v>
      </c>
    </row>
    <row r="10152" spans="1:13" x14ac:dyDescent="0.45">
      <c r="A10152" s="142" t="s">
        <v>14326</v>
      </c>
      <c r="B10152" s="142" t="s">
        <v>15817</v>
      </c>
      <c r="C10152" s="142" t="s">
        <v>25795</v>
      </c>
      <c r="D10152" s="142" t="s">
        <v>25795</v>
      </c>
      <c r="E10152" s="142" t="s">
        <v>25796</v>
      </c>
      <c r="F10152" s="142" t="s">
        <v>194</v>
      </c>
      <c r="G10152" s="142" t="s">
        <v>10853</v>
      </c>
      <c r="H10152" s="142" t="s">
        <v>26004</v>
      </c>
      <c r="I10152" s="142">
        <v>23</v>
      </c>
      <c r="J10152" s="142">
        <v>0</v>
      </c>
      <c r="K10152" s="142">
        <v>0</v>
      </c>
      <c r="L10152" s="142">
        <v>23</v>
      </c>
      <c r="M10152" s="142">
        <v>0</v>
      </c>
    </row>
    <row r="10153" spans="1:13" x14ac:dyDescent="0.45">
      <c r="A10153" s="142" t="s">
        <v>14341</v>
      </c>
      <c r="B10153" s="142" t="s">
        <v>15818</v>
      </c>
      <c r="C10153" s="142" t="s">
        <v>25795</v>
      </c>
      <c r="D10153" s="142" t="s">
        <v>25795</v>
      </c>
      <c r="E10153" s="142" t="s">
        <v>25796</v>
      </c>
      <c r="F10153" s="142" t="s">
        <v>197</v>
      </c>
      <c r="G10153" s="142" t="s">
        <v>561</v>
      </c>
      <c r="H10153" s="142" t="s">
        <v>26005</v>
      </c>
      <c r="I10153" s="142">
        <v>54</v>
      </c>
      <c r="J10153" s="142">
        <v>0</v>
      </c>
      <c r="K10153" s="142">
        <v>0</v>
      </c>
      <c r="L10153" s="142">
        <v>54</v>
      </c>
      <c r="M10153" s="142">
        <v>0</v>
      </c>
    </row>
    <row r="10154" spans="1:13" x14ac:dyDescent="0.45">
      <c r="A10154" s="142" t="s">
        <v>14342</v>
      </c>
      <c r="B10154" s="142" t="s">
        <v>15819</v>
      </c>
      <c r="C10154" s="142" t="s">
        <v>25795</v>
      </c>
      <c r="D10154" s="142" t="s">
        <v>25795</v>
      </c>
      <c r="E10154" s="142" t="s">
        <v>25796</v>
      </c>
      <c r="F10154" s="142" t="s">
        <v>198</v>
      </c>
      <c r="G10154" s="142" t="s">
        <v>8861</v>
      </c>
      <c r="H10154" s="142" t="s">
        <v>26006</v>
      </c>
      <c r="I10154" s="142">
        <v>5713</v>
      </c>
      <c r="J10154" s="142">
        <v>5635</v>
      </c>
      <c r="K10154" s="142">
        <v>0</v>
      </c>
      <c r="L10154" s="142">
        <v>13</v>
      </c>
      <c r="M10154" s="142">
        <v>65</v>
      </c>
    </row>
    <row r="10155" spans="1:13" x14ac:dyDescent="0.45">
      <c r="A10155" s="142" t="s">
        <v>14343</v>
      </c>
      <c r="B10155" s="142" t="s">
        <v>15820</v>
      </c>
      <c r="C10155" s="142" t="s">
        <v>25795</v>
      </c>
      <c r="D10155" s="142" t="s">
        <v>25795</v>
      </c>
      <c r="E10155" s="142" t="s">
        <v>25796</v>
      </c>
      <c r="F10155" s="142" t="s">
        <v>200</v>
      </c>
      <c r="G10155" s="142" t="s">
        <v>8612</v>
      </c>
      <c r="H10155" s="142" t="s">
        <v>26007</v>
      </c>
      <c r="I10155" s="142">
        <v>4777</v>
      </c>
      <c r="J10155" s="142">
        <v>4723</v>
      </c>
      <c r="K10155" s="142">
        <v>0</v>
      </c>
      <c r="L10155" s="142">
        <v>0</v>
      </c>
      <c r="M10155" s="142">
        <v>54</v>
      </c>
    </row>
    <row r="10156" spans="1:13" x14ac:dyDescent="0.45">
      <c r="A10156" s="142" t="s">
        <v>14346</v>
      </c>
      <c r="B10156" s="142" t="s">
        <v>15821</v>
      </c>
      <c r="C10156" s="142" t="s">
        <v>25795</v>
      </c>
      <c r="D10156" s="142" t="s">
        <v>25795</v>
      </c>
      <c r="E10156" s="142" t="s">
        <v>25796</v>
      </c>
      <c r="F10156" s="142" t="s">
        <v>201</v>
      </c>
      <c r="G10156" s="142" t="s">
        <v>3962</v>
      </c>
      <c r="H10156" s="142" t="s">
        <v>26008</v>
      </c>
      <c r="I10156" s="142">
        <v>3139</v>
      </c>
      <c r="J10156" s="142">
        <v>2621</v>
      </c>
      <c r="K10156" s="142">
        <v>0</v>
      </c>
      <c r="L10156" s="142">
        <v>434</v>
      </c>
      <c r="M10156" s="142">
        <v>84</v>
      </c>
    </row>
    <row r="10157" spans="1:13" x14ac:dyDescent="0.45">
      <c r="A10157" s="142" t="s">
        <v>14348</v>
      </c>
      <c r="B10157" s="142" t="s">
        <v>15822</v>
      </c>
      <c r="C10157" s="142" t="s">
        <v>25795</v>
      </c>
      <c r="D10157" s="142" t="s">
        <v>25795</v>
      </c>
      <c r="E10157" s="142" t="s">
        <v>25796</v>
      </c>
      <c r="F10157" s="142" t="s">
        <v>202</v>
      </c>
      <c r="G10157" s="142" t="s">
        <v>9477</v>
      </c>
      <c r="H10157" s="142" t="s">
        <v>26009</v>
      </c>
      <c r="I10157" s="142">
        <v>8817</v>
      </c>
      <c r="J10157" s="142">
        <v>7146</v>
      </c>
      <c r="K10157" s="142">
        <v>0</v>
      </c>
      <c r="L10157" s="142">
        <v>1663</v>
      </c>
      <c r="M10157" s="142">
        <v>8</v>
      </c>
    </row>
    <row r="10158" spans="1:13" x14ac:dyDescent="0.45">
      <c r="A10158" s="142" t="s">
        <v>14350</v>
      </c>
      <c r="B10158" s="142" t="s">
        <v>15823</v>
      </c>
      <c r="C10158" s="142" t="s">
        <v>25795</v>
      </c>
      <c r="D10158" s="142" t="s">
        <v>25795</v>
      </c>
      <c r="E10158" s="142" t="s">
        <v>25796</v>
      </c>
      <c r="F10158" s="142" t="s">
        <v>203</v>
      </c>
      <c r="G10158" s="142" t="s">
        <v>1719</v>
      </c>
      <c r="H10158" s="142" t="s">
        <v>26010</v>
      </c>
      <c r="I10158" s="142">
        <v>0</v>
      </c>
      <c r="J10158" s="142">
        <v>0</v>
      </c>
      <c r="K10158" s="142">
        <v>0</v>
      </c>
      <c r="L10158" s="142">
        <v>0</v>
      </c>
      <c r="M10158" s="142">
        <v>0</v>
      </c>
    </row>
    <row r="10159" spans="1:13" x14ac:dyDescent="0.45">
      <c r="A10159" s="142" t="s">
        <v>14353</v>
      </c>
      <c r="B10159" s="142" t="s">
        <v>15824</v>
      </c>
      <c r="C10159" s="142" t="s">
        <v>25795</v>
      </c>
      <c r="D10159" s="142" t="s">
        <v>25795</v>
      </c>
      <c r="E10159" s="142" t="s">
        <v>25796</v>
      </c>
      <c r="F10159" s="142" t="s">
        <v>204</v>
      </c>
      <c r="G10159" s="142" t="s">
        <v>3753</v>
      </c>
      <c r="H10159" s="142" t="s">
        <v>26011</v>
      </c>
      <c r="I10159" s="142">
        <v>9</v>
      </c>
      <c r="J10159" s="142">
        <v>9</v>
      </c>
      <c r="K10159" s="142">
        <v>0</v>
      </c>
      <c r="L10159" s="142">
        <v>0</v>
      </c>
      <c r="M10159" s="142">
        <v>0</v>
      </c>
    </row>
    <row r="10160" spans="1:13" x14ac:dyDescent="0.45">
      <c r="A10160" s="142" t="s">
        <v>14357</v>
      </c>
      <c r="B10160" s="142" t="s">
        <v>15825</v>
      </c>
      <c r="C10160" s="142" t="s">
        <v>25795</v>
      </c>
      <c r="D10160" s="142" t="s">
        <v>25795</v>
      </c>
      <c r="E10160" s="142" t="s">
        <v>25796</v>
      </c>
      <c r="F10160" s="142" t="s">
        <v>205</v>
      </c>
      <c r="G10160" s="142" t="s">
        <v>6329</v>
      </c>
      <c r="H10160" s="142" t="s">
        <v>26012</v>
      </c>
      <c r="I10160" s="142">
        <v>5783</v>
      </c>
      <c r="J10160" s="142">
        <v>4697</v>
      </c>
      <c r="K10160" s="142">
        <v>0</v>
      </c>
      <c r="L10160" s="142">
        <v>1085</v>
      </c>
      <c r="M10160" s="142">
        <v>1</v>
      </c>
    </row>
    <row r="10161" spans="1:13" x14ac:dyDescent="0.45">
      <c r="A10161" s="142" t="s">
        <v>14359</v>
      </c>
      <c r="B10161" s="142" t="s">
        <v>15826</v>
      </c>
      <c r="C10161" s="142" t="s">
        <v>25795</v>
      </c>
      <c r="D10161" s="142" t="s">
        <v>25795</v>
      </c>
      <c r="E10161" s="142" t="s">
        <v>25796</v>
      </c>
      <c r="F10161" s="142" t="s">
        <v>207</v>
      </c>
      <c r="G10161" s="142" t="s">
        <v>2715</v>
      </c>
      <c r="H10161" s="142" t="s">
        <v>26013</v>
      </c>
      <c r="I10161" s="142">
        <v>11537</v>
      </c>
      <c r="J10161" s="142">
        <v>11373</v>
      </c>
      <c r="K10161" s="142">
        <v>0</v>
      </c>
      <c r="L10161" s="142">
        <v>82</v>
      </c>
      <c r="M10161" s="142">
        <v>82</v>
      </c>
    </row>
    <row r="10162" spans="1:13" x14ac:dyDescent="0.45">
      <c r="A10162" s="142" t="s">
        <v>14361</v>
      </c>
      <c r="B10162" s="142" t="s">
        <v>15827</v>
      </c>
      <c r="C10162" s="142" t="s">
        <v>25795</v>
      </c>
      <c r="D10162" s="142" t="s">
        <v>25795</v>
      </c>
      <c r="E10162" s="142" t="s">
        <v>25796</v>
      </c>
      <c r="F10162" s="142" t="s">
        <v>209</v>
      </c>
      <c r="G10162" s="142" t="s">
        <v>9643</v>
      </c>
      <c r="H10162" s="142" t="s">
        <v>26014</v>
      </c>
      <c r="I10162" s="142">
        <v>8</v>
      </c>
      <c r="J10162" s="142">
        <v>8</v>
      </c>
      <c r="K10162" s="142">
        <v>0</v>
      </c>
      <c r="L10162" s="142">
        <v>0</v>
      </c>
      <c r="M10162" s="142">
        <v>0</v>
      </c>
    </row>
    <row r="10163" spans="1:13" x14ac:dyDescent="0.45">
      <c r="A10163" s="142" t="s">
        <v>14371</v>
      </c>
      <c r="B10163" s="142" t="s">
        <v>15828</v>
      </c>
      <c r="C10163" s="142" t="s">
        <v>25795</v>
      </c>
      <c r="D10163" s="142" t="s">
        <v>25795</v>
      </c>
      <c r="E10163" s="142" t="s">
        <v>25796</v>
      </c>
      <c r="F10163" s="142" t="s">
        <v>211</v>
      </c>
      <c r="G10163" s="142" t="s">
        <v>2798</v>
      </c>
      <c r="H10163" s="142" t="s">
        <v>26015</v>
      </c>
      <c r="I10163" s="142">
        <v>2559</v>
      </c>
      <c r="J10163" s="142">
        <v>2559</v>
      </c>
      <c r="K10163" s="142">
        <v>0</v>
      </c>
      <c r="L10163" s="142">
        <v>0</v>
      </c>
      <c r="M10163" s="142">
        <v>0</v>
      </c>
    </row>
    <row r="10164" spans="1:13" x14ac:dyDescent="0.45">
      <c r="A10164" s="142" t="s">
        <v>14376</v>
      </c>
      <c r="B10164" s="142" t="s">
        <v>15829</v>
      </c>
      <c r="C10164" s="142" t="s">
        <v>25795</v>
      </c>
      <c r="D10164" s="142" t="s">
        <v>25795</v>
      </c>
      <c r="E10164" s="142" t="s">
        <v>25796</v>
      </c>
      <c r="F10164" s="142" t="s">
        <v>212</v>
      </c>
      <c r="G10164" s="142" t="s">
        <v>10059</v>
      </c>
      <c r="H10164" s="142" t="s">
        <v>26016</v>
      </c>
      <c r="I10164" s="142">
        <v>21311</v>
      </c>
      <c r="J10164" s="142">
        <v>19815</v>
      </c>
      <c r="K10164" s="142">
        <v>3</v>
      </c>
      <c r="L10164" s="142">
        <v>1493</v>
      </c>
      <c r="M10164" s="142">
        <v>0</v>
      </c>
    </row>
    <row r="10165" spans="1:13" x14ac:dyDescent="0.45">
      <c r="A10165" s="142" t="s">
        <v>14377</v>
      </c>
      <c r="B10165" s="142" t="s">
        <v>15830</v>
      </c>
      <c r="C10165" s="142" t="s">
        <v>25795</v>
      </c>
      <c r="D10165" s="142" t="s">
        <v>25795</v>
      </c>
      <c r="E10165" s="142" t="s">
        <v>25796</v>
      </c>
      <c r="F10165" s="142" t="s">
        <v>213</v>
      </c>
      <c r="G10165" s="142" t="s">
        <v>2380</v>
      </c>
      <c r="H10165" s="142" t="s">
        <v>26017</v>
      </c>
      <c r="I10165" s="142">
        <v>5351</v>
      </c>
      <c r="J10165" s="142">
        <v>4725</v>
      </c>
      <c r="K10165" s="142">
        <v>0</v>
      </c>
      <c r="L10165" s="142">
        <v>601</v>
      </c>
      <c r="M10165" s="142">
        <v>25</v>
      </c>
    </row>
    <row r="10166" spans="1:13" x14ac:dyDescent="0.45">
      <c r="A10166" s="142" t="s">
        <v>14382</v>
      </c>
      <c r="B10166" s="142" t="s">
        <v>15831</v>
      </c>
      <c r="C10166" s="142" t="s">
        <v>25795</v>
      </c>
      <c r="D10166" s="142" t="s">
        <v>25795</v>
      </c>
      <c r="E10166" s="142" t="s">
        <v>25796</v>
      </c>
      <c r="F10166" s="142" t="s">
        <v>214</v>
      </c>
      <c r="G10166" s="142" t="s">
        <v>5150</v>
      </c>
      <c r="H10166" s="142" t="s">
        <v>26018</v>
      </c>
      <c r="I10166" s="142">
        <v>5253</v>
      </c>
      <c r="J10166" s="142">
        <v>4641</v>
      </c>
      <c r="K10166" s="142">
        <v>0</v>
      </c>
      <c r="L10166" s="142">
        <v>513</v>
      </c>
      <c r="M10166" s="142">
        <v>99</v>
      </c>
    </row>
    <row r="10167" spans="1:13" x14ac:dyDescent="0.45">
      <c r="A10167" s="142" t="s">
        <v>14387</v>
      </c>
      <c r="B10167" s="142" t="s">
        <v>15832</v>
      </c>
      <c r="C10167" s="142" t="s">
        <v>25795</v>
      </c>
      <c r="D10167" s="142" t="s">
        <v>25795</v>
      </c>
      <c r="E10167" s="142" t="s">
        <v>25796</v>
      </c>
      <c r="F10167" s="142" t="s">
        <v>216</v>
      </c>
      <c r="G10167" s="142" t="s">
        <v>10267</v>
      </c>
      <c r="H10167" s="142" t="s">
        <v>26019</v>
      </c>
      <c r="I10167" s="142">
        <v>28</v>
      </c>
      <c r="J10167" s="142">
        <v>28</v>
      </c>
      <c r="K10167" s="142">
        <v>0</v>
      </c>
      <c r="L10167" s="142">
        <v>0</v>
      </c>
      <c r="M10167" s="142">
        <v>0</v>
      </c>
    </row>
    <row r="10168" spans="1:13" x14ac:dyDescent="0.45">
      <c r="A10168" s="142" t="s">
        <v>14390</v>
      </c>
      <c r="B10168" s="142" t="s">
        <v>15833</v>
      </c>
      <c r="C10168" s="142" t="s">
        <v>25795</v>
      </c>
      <c r="D10168" s="142" t="s">
        <v>25795</v>
      </c>
      <c r="E10168" s="142" t="s">
        <v>25796</v>
      </c>
      <c r="F10168" s="142" t="s">
        <v>217</v>
      </c>
      <c r="G10168" s="142" t="s">
        <v>8653</v>
      </c>
      <c r="H10168" s="142" t="s">
        <v>26020</v>
      </c>
      <c r="I10168" s="142">
        <v>3363</v>
      </c>
      <c r="J10168" s="142">
        <v>2932</v>
      </c>
      <c r="K10168" s="142">
        <v>0</v>
      </c>
      <c r="L10168" s="142">
        <v>361</v>
      </c>
      <c r="M10168" s="142">
        <v>70</v>
      </c>
    </row>
    <row r="10169" spans="1:13" x14ac:dyDescent="0.45">
      <c r="A10169" s="142" t="s">
        <v>14391</v>
      </c>
      <c r="B10169" s="142" t="s">
        <v>15834</v>
      </c>
      <c r="C10169" s="142" t="s">
        <v>25795</v>
      </c>
      <c r="D10169" s="142" t="s">
        <v>25795</v>
      </c>
      <c r="E10169" s="142" t="s">
        <v>25796</v>
      </c>
      <c r="F10169" s="142" t="s">
        <v>218</v>
      </c>
      <c r="G10169" s="142" t="s">
        <v>1885</v>
      </c>
      <c r="H10169" s="142" t="s">
        <v>26021</v>
      </c>
      <c r="I10169" s="142">
        <v>2721</v>
      </c>
      <c r="J10169" s="142">
        <v>2339</v>
      </c>
      <c r="K10169" s="142">
        <v>42</v>
      </c>
      <c r="L10169" s="142">
        <v>262</v>
      </c>
      <c r="M10169" s="142">
        <v>78</v>
      </c>
    </row>
    <row r="10170" spans="1:13" x14ac:dyDescent="0.45">
      <c r="A10170" s="142" t="s">
        <v>14395</v>
      </c>
      <c r="B10170" s="142" t="s">
        <v>15835</v>
      </c>
      <c r="C10170" s="142" t="s">
        <v>25795</v>
      </c>
      <c r="D10170" s="142" t="s">
        <v>25795</v>
      </c>
      <c r="E10170" s="142" t="s">
        <v>25796</v>
      </c>
      <c r="F10170" s="142" t="s">
        <v>219</v>
      </c>
      <c r="G10170" s="142" t="s">
        <v>10894</v>
      </c>
      <c r="H10170" s="142" t="s">
        <v>26022</v>
      </c>
      <c r="I10170" s="142">
        <v>21302</v>
      </c>
      <c r="J10170" s="142">
        <v>21226</v>
      </c>
      <c r="K10170" s="142">
        <v>0</v>
      </c>
      <c r="L10170" s="142">
        <v>21</v>
      </c>
      <c r="M10170" s="142">
        <v>55</v>
      </c>
    </row>
    <row r="10171" spans="1:13" x14ac:dyDescent="0.45">
      <c r="A10171" s="142" t="s">
        <v>14398</v>
      </c>
      <c r="B10171" s="142" t="s">
        <v>15836</v>
      </c>
      <c r="C10171" s="142" t="s">
        <v>25795</v>
      </c>
      <c r="D10171" s="142" t="s">
        <v>25795</v>
      </c>
      <c r="E10171" s="142" t="s">
        <v>25796</v>
      </c>
      <c r="F10171" s="142" t="s">
        <v>220</v>
      </c>
      <c r="G10171" s="142" t="s">
        <v>9313</v>
      </c>
      <c r="H10171" s="142" t="s">
        <v>26023</v>
      </c>
      <c r="I10171" s="142">
        <v>2</v>
      </c>
      <c r="J10171" s="142">
        <v>2</v>
      </c>
      <c r="K10171" s="142">
        <v>0</v>
      </c>
      <c r="L10171" s="142">
        <v>0</v>
      </c>
      <c r="M10171" s="142">
        <v>0</v>
      </c>
    </row>
    <row r="10172" spans="1:13" x14ac:dyDescent="0.45">
      <c r="A10172" s="142" t="s">
        <v>14400</v>
      </c>
      <c r="B10172" s="142" t="s">
        <v>15837</v>
      </c>
      <c r="C10172" s="142" t="s">
        <v>25795</v>
      </c>
      <c r="D10172" s="142" t="s">
        <v>25795</v>
      </c>
      <c r="E10172" s="142" t="s">
        <v>25796</v>
      </c>
      <c r="F10172" s="142" t="s">
        <v>221</v>
      </c>
      <c r="G10172" s="142" t="s">
        <v>9154</v>
      </c>
      <c r="H10172" s="142" t="s">
        <v>26024</v>
      </c>
      <c r="I10172" s="142">
        <v>37</v>
      </c>
      <c r="J10172" s="142">
        <v>37</v>
      </c>
      <c r="K10172" s="142">
        <v>0</v>
      </c>
      <c r="L10172" s="142">
        <v>0</v>
      </c>
      <c r="M10172" s="142">
        <v>0</v>
      </c>
    </row>
    <row r="10173" spans="1:13" x14ac:dyDescent="0.45">
      <c r="A10173" s="142" t="s">
        <v>8903</v>
      </c>
      <c r="B10173" s="142" t="s">
        <v>8902</v>
      </c>
      <c r="C10173" s="142" t="s">
        <v>14419</v>
      </c>
      <c r="D10173" s="142" t="s">
        <v>14419</v>
      </c>
      <c r="E10173" s="142" t="s">
        <v>349</v>
      </c>
      <c r="F10173" s="142" t="s">
        <v>1644</v>
      </c>
      <c r="G10173" s="142" t="s">
        <v>8902</v>
      </c>
      <c r="H10173" s="142" t="s">
        <v>26025</v>
      </c>
      <c r="I10173" s="142">
        <v>3829</v>
      </c>
      <c r="J10173" s="142">
        <v>3189</v>
      </c>
      <c r="K10173" s="142">
        <v>0</v>
      </c>
      <c r="L10173" s="142">
        <v>458</v>
      </c>
      <c r="M10173" s="142">
        <v>182</v>
      </c>
    </row>
    <row r="10174" spans="1:13" x14ac:dyDescent="0.45">
      <c r="A10174" s="142" t="s">
        <v>3126</v>
      </c>
      <c r="B10174" s="142" t="s">
        <v>3125</v>
      </c>
      <c r="C10174" s="142" t="s">
        <v>14419</v>
      </c>
      <c r="D10174" s="142" t="s">
        <v>14419</v>
      </c>
      <c r="E10174" s="142" t="s">
        <v>349</v>
      </c>
      <c r="F10174" s="142" t="s">
        <v>898</v>
      </c>
      <c r="G10174" s="142" t="s">
        <v>3125</v>
      </c>
      <c r="H10174" s="142" t="s">
        <v>26026</v>
      </c>
      <c r="I10174" s="142">
        <v>8084</v>
      </c>
      <c r="J10174" s="142">
        <v>5069</v>
      </c>
      <c r="K10174" s="142">
        <v>0</v>
      </c>
      <c r="L10174" s="142">
        <v>2606</v>
      </c>
      <c r="M10174" s="142">
        <v>409</v>
      </c>
    </row>
    <row r="10175" spans="1:13" x14ac:dyDescent="0.45">
      <c r="A10175" s="142" t="s">
        <v>8945</v>
      </c>
      <c r="B10175" s="142" t="s">
        <v>8944</v>
      </c>
      <c r="C10175" s="142" t="s">
        <v>14419</v>
      </c>
      <c r="D10175" s="142" t="s">
        <v>14419</v>
      </c>
      <c r="E10175" s="142" t="s">
        <v>349</v>
      </c>
      <c r="F10175" s="142" t="s">
        <v>1644</v>
      </c>
      <c r="G10175" s="142" t="s">
        <v>8944</v>
      </c>
      <c r="H10175" s="142" t="s">
        <v>26027</v>
      </c>
      <c r="I10175" s="142">
        <v>8959</v>
      </c>
      <c r="J10175" s="142">
        <v>6428</v>
      </c>
      <c r="K10175" s="142">
        <v>11</v>
      </c>
      <c r="L10175" s="142">
        <v>1293</v>
      </c>
      <c r="M10175" s="142">
        <v>1227</v>
      </c>
    </row>
    <row r="10176" spans="1:13" x14ac:dyDescent="0.45">
      <c r="A10176" s="142" t="s">
        <v>7293</v>
      </c>
      <c r="B10176" s="142" t="s">
        <v>7292</v>
      </c>
      <c r="C10176" s="142" t="s">
        <v>14419</v>
      </c>
      <c r="D10176" s="142" t="s">
        <v>14419</v>
      </c>
      <c r="E10176" s="142" t="s">
        <v>349</v>
      </c>
      <c r="F10176" s="142" t="s">
        <v>898</v>
      </c>
      <c r="G10176" s="142" t="s">
        <v>7292</v>
      </c>
      <c r="H10176" s="142" t="s">
        <v>26028</v>
      </c>
      <c r="I10176" s="142">
        <v>9096</v>
      </c>
      <c r="J10176" s="142">
        <v>6731</v>
      </c>
      <c r="K10176" s="142">
        <v>1</v>
      </c>
      <c r="L10176" s="142">
        <v>2117</v>
      </c>
      <c r="M10176" s="142">
        <v>247</v>
      </c>
    </row>
    <row r="10177" spans="1:13" x14ac:dyDescent="0.45">
      <c r="A10177" s="142" t="s">
        <v>5426</v>
      </c>
      <c r="B10177" s="142" t="s">
        <v>5425</v>
      </c>
      <c r="C10177" s="142" t="s">
        <v>14419</v>
      </c>
      <c r="D10177" s="142" t="s">
        <v>14419</v>
      </c>
      <c r="E10177" s="142" t="s">
        <v>349</v>
      </c>
      <c r="F10177" s="142" t="s">
        <v>1644</v>
      </c>
      <c r="G10177" s="142" t="s">
        <v>5425</v>
      </c>
      <c r="H10177" s="142" t="s">
        <v>26029</v>
      </c>
      <c r="I10177" s="142">
        <v>9088</v>
      </c>
      <c r="J10177" s="142">
        <v>7239</v>
      </c>
      <c r="K10177" s="142">
        <v>0</v>
      </c>
      <c r="L10177" s="142">
        <v>773</v>
      </c>
      <c r="M10177" s="142">
        <v>1076</v>
      </c>
    </row>
    <row r="10178" spans="1:13" x14ac:dyDescent="0.45">
      <c r="A10178" s="142" t="s">
        <v>8120</v>
      </c>
      <c r="B10178" s="142" t="s">
        <v>8119</v>
      </c>
      <c r="C10178" s="142" t="s">
        <v>14419</v>
      </c>
      <c r="D10178" s="142" t="s">
        <v>14419</v>
      </c>
      <c r="E10178" s="142" t="s">
        <v>349</v>
      </c>
      <c r="F10178" s="142" t="s">
        <v>1477</v>
      </c>
      <c r="G10178" s="142" t="s">
        <v>8119</v>
      </c>
      <c r="H10178" s="142" t="s">
        <v>26030</v>
      </c>
      <c r="I10178" s="142">
        <v>6503</v>
      </c>
      <c r="J10178" s="142">
        <v>5552</v>
      </c>
      <c r="K10178" s="142">
        <v>22</v>
      </c>
      <c r="L10178" s="142">
        <v>490</v>
      </c>
      <c r="M10178" s="142">
        <v>439</v>
      </c>
    </row>
    <row r="10179" spans="1:13" x14ac:dyDescent="0.45">
      <c r="A10179" s="142" t="s">
        <v>11230</v>
      </c>
      <c r="B10179" s="142" t="s">
        <v>11229</v>
      </c>
      <c r="C10179" s="142" t="s">
        <v>14419</v>
      </c>
      <c r="D10179" s="142" t="s">
        <v>14419</v>
      </c>
      <c r="E10179" s="142" t="s">
        <v>349</v>
      </c>
      <c r="F10179" s="142" t="s">
        <v>11188</v>
      </c>
      <c r="G10179" s="142" t="s">
        <v>11229</v>
      </c>
      <c r="H10179" s="142" t="s">
        <v>26031</v>
      </c>
      <c r="I10179" s="142">
        <v>23129</v>
      </c>
      <c r="J10179" s="142">
        <v>19977</v>
      </c>
      <c r="K10179" s="142">
        <v>0</v>
      </c>
      <c r="L10179" s="142">
        <v>1565</v>
      </c>
      <c r="M10179" s="142">
        <v>1587</v>
      </c>
    </row>
    <row r="10180" spans="1:13" x14ac:dyDescent="0.45">
      <c r="A10180" s="142" t="s">
        <v>11272</v>
      </c>
      <c r="B10180" s="142" t="s">
        <v>11271</v>
      </c>
      <c r="C10180" s="142" t="s">
        <v>14419</v>
      </c>
      <c r="D10180" s="142" t="s">
        <v>14419</v>
      </c>
      <c r="E10180" s="142" t="s">
        <v>349</v>
      </c>
      <c r="F10180" s="142" t="s">
        <v>11188</v>
      </c>
      <c r="G10180" s="142" t="s">
        <v>11271</v>
      </c>
      <c r="H10180" s="142" t="s">
        <v>26032</v>
      </c>
      <c r="I10180" s="142">
        <v>21419</v>
      </c>
      <c r="J10180" s="142">
        <v>17004</v>
      </c>
      <c r="K10180" s="142">
        <v>18</v>
      </c>
      <c r="L10180" s="142">
        <v>2649</v>
      </c>
      <c r="M10180" s="142">
        <v>1748</v>
      </c>
    </row>
    <row r="10181" spans="1:13" x14ac:dyDescent="0.45">
      <c r="A10181" s="142" t="s">
        <v>10309</v>
      </c>
      <c r="B10181" s="142" t="s">
        <v>10308</v>
      </c>
      <c r="C10181" s="142" t="s">
        <v>14419</v>
      </c>
      <c r="D10181" s="142" t="s">
        <v>14419</v>
      </c>
      <c r="E10181" s="142" t="s">
        <v>349</v>
      </c>
      <c r="F10181" s="142" t="s">
        <v>688</v>
      </c>
      <c r="G10181" s="142" t="s">
        <v>10308</v>
      </c>
      <c r="H10181" s="142" t="s">
        <v>26033</v>
      </c>
      <c r="I10181" s="142">
        <v>22666</v>
      </c>
      <c r="J10181" s="142">
        <v>20430</v>
      </c>
      <c r="K10181" s="142">
        <v>0</v>
      </c>
      <c r="L10181" s="142">
        <v>1686</v>
      </c>
      <c r="M10181" s="142">
        <v>550</v>
      </c>
    </row>
    <row r="10182" spans="1:13" x14ac:dyDescent="0.45">
      <c r="A10182" s="142" t="s">
        <v>4004</v>
      </c>
      <c r="B10182" s="142" t="s">
        <v>4003</v>
      </c>
      <c r="C10182" s="142" t="s">
        <v>14419</v>
      </c>
      <c r="D10182" s="142" t="s">
        <v>14419</v>
      </c>
      <c r="E10182" s="142" t="s">
        <v>349</v>
      </c>
      <c r="F10182" s="142" t="s">
        <v>1477</v>
      </c>
      <c r="G10182" s="142" t="s">
        <v>4003</v>
      </c>
      <c r="H10182" s="142" t="s">
        <v>26034</v>
      </c>
      <c r="I10182" s="142">
        <v>17478</v>
      </c>
      <c r="J10182" s="142">
        <v>14290</v>
      </c>
      <c r="K10182" s="142">
        <v>0</v>
      </c>
      <c r="L10182" s="142">
        <v>2261</v>
      </c>
      <c r="M10182" s="142">
        <v>927</v>
      </c>
    </row>
    <row r="10183" spans="1:13" x14ac:dyDescent="0.45">
      <c r="A10183" s="142" t="s">
        <v>4740</v>
      </c>
      <c r="B10183" s="142" t="s">
        <v>4739</v>
      </c>
      <c r="C10183" s="142" t="s">
        <v>14419</v>
      </c>
      <c r="D10183" s="142" t="s">
        <v>14419</v>
      </c>
      <c r="E10183" s="142" t="s">
        <v>349</v>
      </c>
      <c r="F10183" s="142" t="s">
        <v>1644</v>
      </c>
      <c r="G10183" s="142" t="s">
        <v>4739</v>
      </c>
      <c r="H10183" s="142" t="s">
        <v>26035</v>
      </c>
      <c r="I10183" s="142">
        <v>17034</v>
      </c>
      <c r="J10183" s="142">
        <v>13670</v>
      </c>
      <c r="K10183" s="142">
        <v>312</v>
      </c>
      <c r="L10183" s="142">
        <v>1274</v>
      </c>
      <c r="M10183" s="142">
        <v>1778</v>
      </c>
    </row>
    <row r="10184" spans="1:13" x14ac:dyDescent="0.45">
      <c r="A10184" s="142" t="s">
        <v>7335</v>
      </c>
      <c r="B10184" s="142" t="s">
        <v>7334</v>
      </c>
      <c r="C10184" s="142" t="s">
        <v>14419</v>
      </c>
      <c r="D10184" s="142" t="s">
        <v>14419</v>
      </c>
      <c r="E10184" s="142" t="s">
        <v>349</v>
      </c>
      <c r="F10184" s="142" t="s">
        <v>898</v>
      </c>
      <c r="G10184" s="142" t="s">
        <v>7334</v>
      </c>
      <c r="H10184" s="142" t="s">
        <v>26036</v>
      </c>
      <c r="I10184" s="142">
        <v>8727</v>
      </c>
      <c r="J10184" s="142">
        <v>7890</v>
      </c>
      <c r="K10184" s="142">
        <v>0</v>
      </c>
      <c r="L10184" s="142">
        <v>527</v>
      </c>
      <c r="M10184" s="142">
        <v>310</v>
      </c>
    </row>
    <row r="10185" spans="1:13" x14ac:dyDescent="0.45">
      <c r="A10185" s="142" t="s">
        <v>1183</v>
      </c>
      <c r="B10185" s="142" t="s">
        <v>1182</v>
      </c>
      <c r="C10185" s="142" t="s">
        <v>14419</v>
      </c>
      <c r="D10185" s="142" t="s">
        <v>14419</v>
      </c>
      <c r="E10185" s="142" t="s">
        <v>349</v>
      </c>
      <c r="F10185" s="142" t="s">
        <v>1184</v>
      </c>
      <c r="G10185" s="142" t="s">
        <v>1182</v>
      </c>
      <c r="H10185" s="142" t="s">
        <v>26037</v>
      </c>
      <c r="I10185" s="142">
        <v>12818</v>
      </c>
      <c r="J10185" s="142">
        <v>9334</v>
      </c>
      <c r="K10185" s="142">
        <v>0</v>
      </c>
      <c r="L10185" s="142">
        <v>2654</v>
      </c>
      <c r="M10185" s="142">
        <v>830</v>
      </c>
    </row>
    <row r="10186" spans="1:13" x14ac:dyDescent="0.45">
      <c r="A10186" s="142" t="s">
        <v>2422</v>
      </c>
      <c r="B10186" s="142" t="s">
        <v>2421</v>
      </c>
      <c r="C10186" s="142" t="s">
        <v>14419</v>
      </c>
      <c r="D10186" s="142" t="s">
        <v>14419</v>
      </c>
      <c r="E10186" s="142" t="s">
        <v>349</v>
      </c>
      <c r="F10186" s="142" t="s">
        <v>1477</v>
      </c>
      <c r="G10186" s="142" t="s">
        <v>2421</v>
      </c>
      <c r="H10186" s="142" t="s">
        <v>26038</v>
      </c>
      <c r="I10186" s="142">
        <v>14659</v>
      </c>
      <c r="J10186" s="142">
        <v>11392</v>
      </c>
      <c r="K10186" s="142">
        <v>66</v>
      </c>
      <c r="L10186" s="142">
        <v>1586</v>
      </c>
      <c r="M10186" s="142">
        <v>1615</v>
      </c>
    </row>
    <row r="10187" spans="1:13" x14ac:dyDescent="0.45">
      <c r="A10187" s="142" t="s">
        <v>11314</v>
      </c>
      <c r="B10187" s="142" t="s">
        <v>11313</v>
      </c>
      <c r="C10187" s="142" t="s">
        <v>14419</v>
      </c>
      <c r="D10187" s="142" t="s">
        <v>14419</v>
      </c>
      <c r="E10187" s="142" t="s">
        <v>349</v>
      </c>
      <c r="F10187" s="142" t="s">
        <v>11188</v>
      </c>
      <c r="G10187" s="142" t="s">
        <v>11313</v>
      </c>
      <c r="H10187" s="142" t="s">
        <v>26039</v>
      </c>
      <c r="I10187" s="142">
        <v>15536</v>
      </c>
      <c r="J10187" s="142">
        <v>12502</v>
      </c>
      <c r="K10187" s="142">
        <v>55</v>
      </c>
      <c r="L10187" s="142">
        <v>1500</v>
      </c>
      <c r="M10187" s="142">
        <v>1479</v>
      </c>
    </row>
    <row r="10188" spans="1:13" x14ac:dyDescent="0.45">
      <c r="A10188" s="142" t="s">
        <v>10644</v>
      </c>
      <c r="B10188" s="142" t="s">
        <v>10643</v>
      </c>
      <c r="C10188" s="142" t="s">
        <v>14419</v>
      </c>
      <c r="D10188" s="142" t="s">
        <v>14419</v>
      </c>
      <c r="E10188" s="142" t="s">
        <v>349</v>
      </c>
      <c r="F10188" s="142" t="s">
        <v>1059</v>
      </c>
      <c r="G10188" s="142" t="s">
        <v>10643</v>
      </c>
      <c r="H10188" s="142" t="s">
        <v>26040</v>
      </c>
      <c r="I10188" s="142">
        <v>107574</v>
      </c>
      <c r="J10188" s="142">
        <v>87049</v>
      </c>
      <c r="K10188" s="142">
        <v>1606</v>
      </c>
      <c r="L10188" s="142">
        <v>15699</v>
      </c>
      <c r="M10188" s="142">
        <v>3220</v>
      </c>
    </row>
    <row r="10189" spans="1:13" x14ac:dyDescent="0.45">
      <c r="A10189" s="142" t="s">
        <v>6412</v>
      </c>
      <c r="B10189" s="142" t="s">
        <v>6411</v>
      </c>
      <c r="C10189" s="142" t="s">
        <v>14419</v>
      </c>
      <c r="D10189" s="142" t="s">
        <v>14419</v>
      </c>
      <c r="E10189" s="142" t="s">
        <v>349</v>
      </c>
      <c r="F10189" s="142" t="s">
        <v>898</v>
      </c>
      <c r="G10189" s="142" t="s">
        <v>6411</v>
      </c>
      <c r="H10189" s="142" t="s">
        <v>26041</v>
      </c>
      <c r="I10189" s="142">
        <v>4430</v>
      </c>
      <c r="J10189" s="142">
        <v>2439</v>
      </c>
      <c r="K10189" s="142">
        <v>0</v>
      </c>
      <c r="L10189" s="142">
        <v>1514</v>
      </c>
      <c r="M10189" s="142">
        <v>477</v>
      </c>
    </row>
    <row r="10190" spans="1:13" x14ac:dyDescent="0.45">
      <c r="A10190" s="142" t="s">
        <v>603</v>
      </c>
      <c r="B10190" s="142" t="s">
        <v>602</v>
      </c>
      <c r="C10190" s="142" t="s">
        <v>14419</v>
      </c>
      <c r="D10190" s="142" t="s">
        <v>14419</v>
      </c>
      <c r="E10190" s="142" t="s">
        <v>349</v>
      </c>
      <c r="F10190" s="142" t="s">
        <v>520</v>
      </c>
      <c r="G10190" s="142" t="s">
        <v>602</v>
      </c>
      <c r="H10190" s="142" t="s">
        <v>26042</v>
      </c>
      <c r="I10190" s="142">
        <v>11872</v>
      </c>
      <c r="J10190" s="142">
        <v>10046</v>
      </c>
      <c r="K10190" s="142">
        <v>0</v>
      </c>
      <c r="L10190" s="142">
        <v>1562</v>
      </c>
      <c r="M10190" s="142">
        <v>264</v>
      </c>
    </row>
    <row r="10191" spans="1:13" x14ac:dyDescent="0.45">
      <c r="A10191" s="142" t="s">
        <v>645</v>
      </c>
      <c r="B10191" s="142" t="s">
        <v>644</v>
      </c>
      <c r="C10191" s="142" t="s">
        <v>14419</v>
      </c>
      <c r="D10191" s="142" t="s">
        <v>14419</v>
      </c>
      <c r="E10191" s="142" t="s">
        <v>349</v>
      </c>
      <c r="F10191" s="142" t="s">
        <v>520</v>
      </c>
      <c r="G10191" s="142" t="s">
        <v>644</v>
      </c>
      <c r="H10191" s="142" t="s">
        <v>26043</v>
      </c>
      <c r="I10191" s="142">
        <v>7529</v>
      </c>
      <c r="J10191" s="142">
        <v>5902</v>
      </c>
      <c r="K10191" s="142">
        <v>0</v>
      </c>
      <c r="L10191" s="142">
        <v>1485</v>
      </c>
      <c r="M10191" s="142">
        <v>142</v>
      </c>
    </row>
    <row r="10192" spans="1:13" x14ac:dyDescent="0.45">
      <c r="A10192" s="142" t="s">
        <v>3168</v>
      </c>
      <c r="B10192" s="142" t="s">
        <v>3167</v>
      </c>
      <c r="C10192" s="142" t="s">
        <v>14419</v>
      </c>
      <c r="D10192" s="142" t="s">
        <v>14419</v>
      </c>
      <c r="E10192" s="142" t="s">
        <v>349</v>
      </c>
      <c r="F10192" s="142" t="s">
        <v>898</v>
      </c>
      <c r="G10192" s="142" t="s">
        <v>3167</v>
      </c>
      <c r="H10192" s="142" t="s">
        <v>26044</v>
      </c>
      <c r="I10192" s="142">
        <v>6260</v>
      </c>
      <c r="J10192" s="142">
        <v>3481</v>
      </c>
      <c r="K10192" s="142">
        <v>0</v>
      </c>
      <c r="L10192" s="142">
        <v>2656</v>
      </c>
      <c r="M10192" s="142">
        <v>123</v>
      </c>
    </row>
    <row r="10193" spans="1:13" x14ac:dyDescent="0.45">
      <c r="A10193" s="142" t="s">
        <v>9685</v>
      </c>
      <c r="B10193" s="142" t="s">
        <v>9684</v>
      </c>
      <c r="C10193" s="142" t="s">
        <v>14419</v>
      </c>
      <c r="D10193" s="142" t="s">
        <v>14419</v>
      </c>
      <c r="E10193" s="142" t="s">
        <v>349</v>
      </c>
      <c r="F10193" s="142" t="s">
        <v>520</v>
      </c>
      <c r="G10193" s="142" t="s">
        <v>9684</v>
      </c>
      <c r="H10193" s="142" t="s">
        <v>26045</v>
      </c>
      <c r="I10193" s="142">
        <v>26204</v>
      </c>
      <c r="J10193" s="142">
        <v>21179</v>
      </c>
      <c r="K10193" s="142">
        <v>9</v>
      </c>
      <c r="L10193" s="142">
        <v>4418</v>
      </c>
      <c r="M10193" s="142">
        <v>598</v>
      </c>
    </row>
    <row r="10194" spans="1:13" x14ac:dyDescent="0.45">
      <c r="A10194" s="142" t="s">
        <v>6706</v>
      </c>
      <c r="B10194" s="142" t="s">
        <v>6705</v>
      </c>
      <c r="C10194" s="142" t="s">
        <v>14419</v>
      </c>
      <c r="D10194" s="142" t="s">
        <v>14419</v>
      </c>
      <c r="E10194" s="142" t="s">
        <v>349</v>
      </c>
      <c r="F10194" s="142" t="s">
        <v>898</v>
      </c>
      <c r="G10194" s="142" t="s">
        <v>6705</v>
      </c>
      <c r="H10194" s="142" t="s">
        <v>26046</v>
      </c>
      <c r="I10194" s="142">
        <v>6571</v>
      </c>
      <c r="J10194" s="142">
        <v>5017</v>
      </c>
      <c r="K10194" s="142">
        <v>0</v>
      </c>
      <c r="L10194" s="142">
        <v>1064</v>
      </c>
      <c r="M10194" s="142">
        <v>490</v>
      </c>
    </row>
    <row r="10195" spans="1:13" x14ac:dyDescent="0.45">
      <c r="A10195" s="142" t="s">
        <v>2548</v>
      </c>
      <c r="B10195" s="142" t="s">
        <v>2547</v>
      </c>
      <c r="C10195" s="142" t="s">
        <v>14419</v>
      </c>
      <c r="D10195" s="142" t="s">
        <v>14419</v>
      </c>
      <c r="E10195" s="142" t="s">
        <v>349</v>
      </c>
      <c r="F10195" s="142" t="s">
        <v>1184</v>
      </c>
      <c r="G10195" s="142" t="s">
        <v>2547</v>
      </c>
      <c r="H10195" s="142" t="s">
        <v>26047</v>
      </c>
      <c r="I10195" s="142">
        <v>19744</v>
      </c>
      <c r="J10195" s="142">
        <v>14373</v>
      </c>
      <c r="K10195" s="142">
        <v>13</v>
      </c>
      <c r="L10195" s="142">
        <v>4305</v>
      </c>
      <c r="M10195" s="142">
        <v>1053</v>
      </c>
    </row>
    <row r="10196" spans="1:13" x14ac:dyDescent="0.45">
      <c r="A10196" s="142" t="s">
        <v>1686</v>
      </c>
      <c r="B10196" s="142" t="s">
        <v>1685</v>
      </c>
      <c r="C10196" s="142" t="s">
        <v>14419</v>
      </c>
      <c r="D10196" s="142" t="s">
        <v>14419</v>
      </c>
      <c r="E10196" s="142" t="s">
        <v>349</v>
      </c>
      <c r="F10196" s="142" t="s">
        <v>1644</v>
      </c>
      <c r="G10196" s="142" t="s">
        <v>1685</v>
      </c>
      <c r="H10196" s="142" t="s">
        <v>26048</v>
      </c>
      <c r="I10196" s="142">
        <v>9069</v>
      </c>
      <c r="J10196" s="142">
        <v>7439</v>
      </c>
      <c r="K10196" s="142">
        <v>0</v>
      </c>
      <c r="L10196" s="142">
        <v>757</v>
      </c>
      <c r="M10196" s="142">
        <v>873</v>
      </c>
    </row>
    <row r="10197" spans="1:13" x14ac:dyDescent="0.45">
      <c r="A10197" s="142" t="s">
        <v>10936</v>
      </c>
      <c r="B10197" s="142" t="s">
        <v>10935</v>
      </c>
      <c r="C10197" s="142" t="s">
        <v>14419</v>
      </c>
      <c r="D10197" s="142" t="s">
        <v>14419</v>
      </c>
      <c r="E10197" s="142" t="s">
        <v>349</v>
      </c>
      <c r="F10197" s="142" t="s">
        <v>688</v>
      </c>
      <c r="G10197" s="142" t="s">
        <v>10935</v>
      </c>
      <c r="H10197" s="142" t="s">
        <v>26049</v>
      </c>
      <c r="I10197" s="142">
        <v>33154</v>
      </c>
      <c r="J10197" s="142">
        <v>27465</v>
      </c>
      <c r="K10197" s="142">
        <v>6</v>
      </c>
      <c r="L10197" s="142">
        <v>4678</v>
      </c>
      <c r="M10197" s="142">
        <v>1005</v>
      </c>
    </row>
    <row r="10198" spans="1:13" x14ac:dyDescent="0.45">
      <c r="A10198" s="142" t="s">
        <v>4046</v>
      </c>
      <c r="B10198" s="142" t="s">
        <v>4045</v>
      </c>
      <c r="C10198" s="142" t="s">
        <v>14419</v>
      </c>
      <c r="D10198" s="142" t="s">
        <v>14419</v>
      </c>
      <c r="E10198" s="142" t="s">
        <v>349</v>
      </c>
      <c r="F10198" s="142" t="s">
        <v>1477</v>
      </c>
      <c r="G10198" s="142" t="s">
        <v>4045</v>
      </c>
      <c r="H10198" s="142" t="s">
        <v>26050</v>
      </c>
      <c r="I10198" s="142">
        <v>12695</v>
      </c>
      <c r="J10198" s="142">
        <v>10774</v>
      </c>
      <c r="K10198" s="142">
        <v>0</v>
      </c>
      <c r="L10198" s="142">
        <v>1053</v>
      </c>
      <c r="M10198" s="142">
        <v>868</v>
      </c>
    </row>
    <row r="10199" spans="1:13" x14ac:dyDescent="0.45">
      <c r="A10199" s="142" t="s">
        <v>6999</v>
      </c>
      <c r="B10199" s="142" t="s">
        <v>6998</v>
      </c>
      <c r="C10199" s="142" t="s">
        <v>14419</v>
      </c>
      <c r="D10199" s="142" t="s">
        <v>14419</v>
      </c>
      <c r="E10199" s="142" t="s">
        <v>349</v>
      </c>
      <c r="F10199" s="142" t="s">
        <v>1477</v>
      </c>
      <c r="G10199" s="142" t="s">
        <v>6998</v>
      </c>
      <c r="H10199" s="142" t="s">
        <v>26051</v>
      </c>
      <c r="I10199" s="142">
        <v>9960</v>
      </c>
      <c r="J10199" s="142">
        <v>8677</v>
      </c>
      <c r="K10199" s="142">
        <v>7</v>
      </c>
      <c r="L10199" s="142">
        <v>542</v>
      </c>
      <c r="M10199" s="142">
        <v>734</v>
      </c>
    </row>
    <row r="10200" spans="1:13" x14ac:dyDescent="0.45">
      <c r="A10200" s="142" t="s">
        <v>11356</v>
      </c>
      <c r="B10200" s="142" t="s">
        <v>11355</v>
      </c>
      <c r="C10200" s="142" t="s">
        <v>14419</v>
      </c>
      <c r="D10200" s="142" t="s">
        <v>14419</v>
      </c>
      <c r="E10200" s="142" t="s">
        <v>349</v>
      </c>
      <c r="F10200" s="142" t="s">
        <v>11188</v>
      </c>
      <c r="G10200" s="142" t="s">
        <v>11355</v>
      </c>
      <c r="H10200" s="142" t="s">
        <v>26052</v>
      </c>
      <c r="I10200" s="142">
        <v>30154</v>
      </c>
      <c r="J10200" s="142">
        <v>24719</v>
      </c>
      <c r="K10200" s="142">
        <v>728</v>
      </c>
      <c r="L10200" s="142">
        <v>2054</v>
      </c>
      <c r="M10200" s="142">
        <v>2653</v>
      </c>
    </row>
    <row r="10201" spans="1:13" x14ac:dyDescent="0.45">
      <c r="A10201" s="142" t="s">
        <v>4088</v>
      </c>
      <c r="B10201" s="142" t="s">
        <v>4087</v>
      </c>
      <c r="C10201" s="142" t="s">
        <v>14419</v>
      </c>
      <c r="D10201" s="142" t="s">
        <v>14419</v>
      </c>
      <c r="E10201" s="142" t="s">
        <v>349</v>
      </c>
      <c r="F10201" s="142" t="s">
        <v>1477</v>
      </c>
      <c r="G10201" s="142" t="s">
        <v>4087</v>
      </c>
      <c r="H10201" s="142" t="s">
        <v>26053</v>
      </c>
      <c r="I10201" s="142">
        <v>3678</v>
      </c>
      <c r="J10201" s="142">
        <v>2769</v>
      </c>
      <c r="K10201" s="142">
        <v>8</v>
      </c>
      <c r="L10201" s="142">
        <v>660</v>
      </c>
      <c r="M10201" s="142">
        <v>241</v>
      </c>
    </row>
    <row r="10202" spans="1:13" x14ac:dyDescent="0.45">
      <c r="A10202" s="142" t="s">
        <v>1969</v>
      </c>
      <c r="B10202" s="142" t="s">
        <v>1968</v>
      </c>
      <c r="C10202" s="142" t="s">
        <v>14419</v>
      </c>
      <c r="D10202" s="142" t="s">
        <v>14419</v>
      </c>
      <c r="E10202" s="142" t="s">
        <v>349</v>
      </c>
      <c r="F10202" s="142" t="s">
        <v>1644</v>
      </c>
      <c r="G10202" s="142" t="s">
        <v>1968</v>
      </c>
      <c r="H10202" s="142" t="s">
        <v>26054</v>
      </c>
      <c r="I10202" s="142">
        <v>20966</v>
      </c>
      <c r="J10202" s="142">
        <v>16705</v>
      </c>
      <c r="K10202" s="142">
        <v>117</v>
      </c>
      <c r="L10202" s="142">
        <v>2794</v>
      </c>
      <c r="M10202" s="142">
        <v>1350</v>
      </c>
    </row>
    <row r="10203" spans="1:13" x14ac:dyDescent="0.45">
      <c r="A10203" s="142" t="s">
        <v>1226</v>
      </c>
      <c r="B10203" s="142" t="s">
        <v>1225</v>
      </c>
      <c r="C10203" s="142" t="s">
        <v>14419</v>
      </c>
      <c r="D10203" s="142" t="s">
        <v>14419</v>
      </c>
      <c r="E10203" s="142" t="s">
        <v>349</v>
      </c>
      <c r="F10203" s="142" t="s">
        <v>1184</v>
      </c>
      <c r="G10203" s="142" t="s">
        <v>1225</v>
      </c>
      <c r="H10203" s="142" t="s">
        <v>26055</v>
      </c>
      <c r="I10203" s="142">
        <v>42142</v>
      </c>
      <c r="J10203" s="142">
        <v>35447</v>
      </c>
      <c r="K10203" s="142">
        <v>215</v>
      </c>
      <c r="L10203" s="142">
        <v>4644</v>
      </c>
      <c r="M10203" s="142">
        <v>1836</v>
      </c>
    </row>
    <row r="10204" spans="1:13" x14ac:dyDescent="0.45">
      <c r="A10204" s="142" t="s">
        <v>7041</v>
      </c>
      <c r="B10204" s="142" t="s">
        <v>7040</v>
      </c>
      <c r="C10204" s="142" t="s">
        <v>14419</v>
      </c>
      <c r="D10204" s="142" t="s">
        <v>14419</v>
      </c>
      <c r="E10204" s="142" t="s">
        <v>349</v>
      </c>
      <c r="F10204" s="142" t="s">
        <v>1477</v>
      </c>
      <c r="G10204" s="142" t="s">
        <v>7040</v>
      </c>
      <c r="H10204" s="142" t="s">
        <v>26056</v>
      </c>
      <c r="I10204" s="142">
        <v>7203</v>
      </c>
      <c r="J10204" s="142">
        <v>5492</v>
      </c>
      <c r="K10204" s="142">
        <v>35</v>
      </c>
      <c r="L10204" s="142">
        <v>757</v>
      </c>
      <c r="M10204" s="142">
        <v>919</v>
      </c>
    </row>
    <row r="10205" spans="1:13" x14ac:dyDescent="0.45">
      <c r="A10205" s="142" t="s">
        <v>11398</v>
      </c>
      <c r="B10205" s="142" t="s">
        <v>11397</v>
      </c>
      <c r="C10205" s="142" t="s">
        <v>14419</v>
      </c>
      <c r="D10205" s="142" t="s">
        <v>14419</v>
      </c>
      <c r="E10205" s="142" t="s">
        <v>349</v>
      </c>
      <c r="F10205" s="142" t="s">
        <v>11188</v>
      </c>
      <c r="G10205" s="142" t="s">
        <v>11397</v>
      </c>
      <c r="H10205" s="142" t="s">
        <v>26057</v>
      </c>
      <c r="I10205" s="142">
        <v>20623</v>
      </c>
      <c r="J10205" s="142">
        <v>16806</v>
      </c>
      <c r="K10205" s="142">
        <v>108</v>
      </c>
      <c r="L10205" s="142">
        <v>2533</v>
      </c>
      <c r="M10205" s="142">
        <v>1176</v>
      </c>
    </row>
    <row r="10206" spans="1:13" x14ac:dyDescent="0.45">
      <c r="A10206" s="142" t="s">
        <v>9196</v>
      </c>
      <c r="B10206" s="142" t="s">
        <v>9195</v>
      </c>
      <c r="C10206" s="142" t="s">
        <v>14419</v>
      </c>
      <c r="D10206" s="142" t="s">
        <v>14419</v>
      </c>
      <c r="E10206" s="142" t="s">
        <v>349</v>
      </c>
      <c r="F10206" s="142" t="s">
        <v>1059</v>
      </c>
      <c r="G10206" s="142" t="s">
        <v>9195</v>
      </c>
      <c r="H10206" s="142" t="s">
        <v>26058</v>
      </c>
      <c r="I10206" s="142">
        <v>5068</v>
      </c>
      <c r="J10206" s="142">
        <v>3542</v>
      </c>
      <c r="K10206" s="142">
        <v>0</v>
      </c>
      <c r="L10206" s="142">
        <v>1089</v>
      </c>
      <c r="M10206" s="142">
        <v>437</v>
      </c>
    </row>
    <row r="10207" spans="1:13" x14ac:dyDescent="0.45">
      <c r="A10207" s="142" t="s">
        <v>5192</v>
      </c>
      <c r="B10207" s="142" t="s">
        <v>5191</v>
      </c>
      <c r="C10207" s="142" t="s">
        <v>14419</v>
      </c>
      <c r="D10207" s="142" t="s">
        <v>14419</v>
      </c>
      <c r="E10207" s="142" t="s">
        <v>349</v>
      </c>
      <c r="F10207" s="142" t="s">
        <v>1477</v>
      </c>
      <c r="G10207" s="142" t="s">
        <v>5191</v>
      </c>
      <c r="H10207" s="142" t="s">
        <v>26059</v>
      </c>
      <c r="I10207" s="142">
        <v>6154</v>
      </c>
      <c r="J10207" s="142">
        <v>5121</v>
      </c>
      <c r="K10207" s="142">
        <v>0</v>
      </c>
      <c r="L10207" s="142">
        <v>491</v>
      </c>
      <c r="M10207" s="142">
        <v>542</v>
      </c>
    </row>
    <row r="10208" spans="1:13" x14ac:dyDescent="0.45">
      <c r="A10208" s="142" t="s">
        <v>7377</v>
      </c>
      <c r="B10208" s="142" t="s">
        <v>7376</v>
      </c>
      <c r="C10208" s="142" t="s">
        <v>14419</v>
      </c>
      <c r="D10208" s="142" t="s">
        <v>14419</v>
      </c>
      <c r="E10208" s="142" t="s">
        <v>349</v>
      </c>
      <c r="F10208" s="142" t="s">
        <v>898</v>
      </c>
      <c r="G10208" s="142" t="s">
        <v>7376</v>
      </c>
      <c r="H10208" s="142" t="s">
        <v>26060</v>
      </c>
      <c r="I10208" s="142">
        <v>5990</v>
      </c>
      <c r="J10208" s="142">
        <v>4483</v>
      </c>
      <c r="K10208" s="142">
        <v>0</v>
      </c>
      <c r="L10208" s="142">
        <v>1360</v>
      </c>
      <c r="M10208" s="142">
        <v>147</v>
      </c>
    </row>
    <row r="10209" spans="1:13" x14ac:dyDescent="0.45">
      <c r="A10209" s="142" t="s">
        <v>2632</v>
      </c>
      <c r="B10209" s="142" t="s">
        <v>2631</v>
      </c>
      <c r="C10209" s="142" t="s">
        <v>14419</v>
      </c>
      <c r="D10209" s="142" t="s">
        <v>14419</v>
      </c>
      <c r="E10209" s="142" t="s">
        <v>349</v>
      </c>
      <c r="F10209" s="142" t="s">
        <v>1644</v>
      </c>
      <c r="G10209" s="142" t="s">
        <v>2631</v>
      </c>
      <c r="H10209" s="142" t="s">
        <v>26061</v>
      </c>
      <c r="I10209" s="142">
        <v>33291</v>
      </c>
      <c r="J10209" s="142">
        <v>26054</v>
      </c>
      <c r="K10209" s="142">
        <v>147</v>
      </c>
      <c r="L10209" s="142">
        <v>4074</v>
      </c>
      <c r="M10209" s="142">
        <v>3016</v>
      </c>
    </row>
    <row r="10210" spans="1:13" x14ac:dyDescent="0.45">
      <c r="A10210" s="142" t="s">
        <v>5918</v>
      </c>
      <c r="B10210" s="142" t="s">
        <v>5917</v>
      </c>
      <c r="C10210" s="142" t="s">
        <v>14419</v>
      </c>
      <c r="D10210" s="142" t="s">
        <v>14419</v>
      </c>
      <c r="E10210" s="142" t="s">
        <v>349</v>
      </c>
      <c r="F10210" s="142" t="s">
        <v>520</v>
      </c>
      <c r="G10210" s="142" t="s">
        <v>5917</v>
      </c>
      <c r="H10210" s="142" t="s">
        <v>26062</v>
      </c>
      <c r="I10210" s="142">
        <v>6660</v>
      </c>
      <c r="J10210" s="142">
        <v>4745</v>
      </c>
      <c r="K10210" s="142">
        <v>4</v>
      </c>
      <c r="L10210" s="142">
        <v>1832</v>
      </c>
      <c r="M10210" s="142">
        <v>79</v>
      </c>
    </row>
    <row r="10211" spans="1:13" x14ac:dyDescent="0.45">
      <c r="A10211" s="142" t="s">
        <v>9727</v>
      </c>
      <c r="B10211" s="142" t="s">
        <v>9726</v>
      </c>
      <c r="C10211" s="142" t="s">
        <v>14419</v>
      </c>
      <c r="D10211" s="142" t="s">
        <v>14419</v>
      </c>
      <c r="E10211" s="142" t="s">
        <v>349</v>
      </c>
      <c r="F10211" s="142" t="s">
        <v>520</v>
      </c>
      <c r="G10211" s="142" t="s">
        <v>9726</v>
      </c>
      <c r="H10211" s="142" t="s">
        <v>26063</v>
      </c>
      <c r="I10211" s="142">
        <v>12999</v>
      </c>
      <c r="J10211" s="142">
        <v>11121</v>
      </c>
      <c r="K10211" s="142">
        <v>0</v>
      </c>
      <c r="L10211" s="142">
        <v>1667</v>
      </c>
      <c r="M10211" s="142">
        <v>211</v>
      </c>
    </row>
    <row r="10212" spans="1:13" x14ac:dyDescent="0.45">
      <c r="A10212" s="142" t="s">
        <v>10978</v>
      </c>
      <c r="B10212" s="142" t="s">
        <v>10977</v>
      </c>
      <c r="C10212" s="142" t="s">
        <v>14419</v>
      </c>
      <c r="D10212" s="142" t="s">
        <v>14419</v>
      </c>
      <c r="E10212" s="142" t="s">
        <v>349</v>
      </c>
      <c r="F10212" s="142" t="s">
        <v>688</v>
      </c>
      <c r="G10212" s="142" t="s">
        <v>10977</v>
      </c>
      <c r="H10212" s="142" t="s">
        <v>26064</v>
      </c>
      <c r="I10212" s="142">
        <v>14460</v>
      </c>
      <c r="J10212" s="142">
        <v>12764</v>
      </c>
      <c r="K10212" s="142">
        <v>0</v>
      </c>
      <c r="L10212" s="142">
        <v>1383</v>
      </c>
      <c r="M10212" s="142">
        <v>313</v>
      </c>
    </row>
    <row r="10213" spans="1:13" x14ac:dyDescent="0.45">
      <c r="A10213" s="142" t="s">
        <v>2924</v>
      </c>
      <c r="B10213" s="142" t="s">
        <v>2923</v>
      </c>
      <c r="C10213" s="142" t="s">
        <v>14419</v>
      </c>
      <c r="D10213" s="142" t="s">
        <v>14419</v>
      </c>
      <c r="E10213" s="142" t="s">
        <v>349</v>
      </c>
      <c r="F10213" s="142" t="s">
        <v>1477</v>
      </c>
      <c r="G10213" s="142" t="s">
        <v>2923</v>
      </c>
      <c r="H10213" s="142" t="s">
        <v>26065</v>
      </c>
      <c r="I10213" s="142">
        <v>13818</v>
      </c>
      <c r="J10213" s="142">
        <v>11024</v>
      </c>
      <c r="K10213" s="142">
        <v>618</v>
      </c>
      <c r="L10213" s="142">
        <v>1443</v>
      </c>
      <c r="M10213" s="142">
        <v>733</v>
      </c>
    </row>
    <row r="10214" spans="1:13" x14ac:dyDescent="0.45">
      <c r="A10214" s="142" t="s">
        <v>11440</v>
      </c>
      <c r="B10214" s="142" t="s">
        <v>11439</v>
      </c>
      <c r="C10214" s="142" t="s">
        <v>14419</v>
      </c>
      <c r="D10214" s="142" t="s">
        <v>14419</v>
      </c>
      <c r="E10214" s="142" t="s">
        <v>349</v>
      </c>
      <c r="F10214" s="142" t="s">
        <v>11188</v>
      </c>
      <c r="G10214" s="142" t="s">
        <v>11439</v>
      </c>
      <c r="H10214" s="142" t="s">
        <v>26066</v>
      </c>
      <c r="I10214" s="142">
        <v>35321</v>
      </c>
      <c r="J10214" s="142">
        <v>31735</v>
      </c>
      <c r="K10214" s="142">
        <v>715</v>
      </c>
      <c r="L10214" s="142">
        <v>2299</v>
      </c>
      <c r="M10214" s="142">
        <v>572</v>
      </c>
    </row>
    <row r="10215" spans="1:13" x14ac:dyDescent="0.45">
      <c r="A10215" s="142" t="s">
        <v>7795</v>
      </c>
      <c r="B10215" s="142" t="s">
        <v>7794</v>
      </c>
      <c r="C10215" s="142" t="s">
        <v>14419</v>
      </c>
      <c r="D10215" s="142" t="s">
        <v>14419</v>
      </c>
      <c r="E10215" s="142" t="s">
        <v>349</v>
      </c>
      <c r="F10215" s="142" t="s">
        <v>1059</v>
      </c>
      <c r="G10215" s="142" t="s">
        <v>7794</v>
      </c>
      <c r="H10215" s="142" t="s">
        <v>26067</v>
      </c>
      <c r="I10215" s="142">
        <v>7924</v>
      </c>
      <c r="J10215" s="142">
        <v>7022</v>
      </c>
      <c r="K10215" s="142">
        <v>2</v>
      </c>
      <c r="L10215" s="142">
        <v>580</v>
      </c>
      <c r="M10215" s="142">
        <v>320</v>
      </c>
    </row>
    <row r="10216" spans="1:13" x14ac:dyDescent="0.45">
      <c r="A10216" s="142" t="s">
        <v>5468</v>
      </c>
      <c r="B10216" s="142" t="s">
        <v>5467</v>
      </c>
      <c r="C10216" s="142" t="s">
        <v>14419</v>
      </c>
      <c r="D10216" s="142" t="s">
        <v>14419</v>
      </c>
      <c r="E10216" s="142" t="s">
        <v>349</v>
      </c>
      <c r="F10216" s="142" t="s">
        <v>1644</v>
      </c>
      <c r="G10216" s="142" t="s">
        <v>5467</v>
      </c>
      <c r="H10216" s="142" t="s">
        <v>26068</v>
      </c>
      <c r="I10216" s="142">
        <v>9194</v>
      </c>
      <c r="J10216" s="142">
        <v>7061</v>
      </c>
      <c r="K10216" s="142">
        <v>22</v>
      </c>
      <c r="L10216" s="142">
        <v>1150</v>
      </c>
      <c r="M10216" s="142">
        <v>961</v>
      </c>
    </row>
    <row r="10217" spans="1:13" x14ac:dyDescent="0.45">
      <c r="A10217" s="142" t="s">
        <v>4130</v>
      </c>
      <c r="B10217" s="142" t="s">
        <v>4129</v>
      </c>
      <c r="C10217" s="142" t="s">
        <v>14419</v>
      </c>
      <c r="D10217" s="142" t="s">
        <v>14419</v>
      </c>
      <c r="E10217" s="142" t="s">
        <v>349</v>
      </c>
      <c r="F10217" s="142" t="s">
        <v>1477</v>
      </c>
      <c r="G10217" s="142" t="s">
        <v>4129</v>
      </c>
      <c r="H10217" s="142" t="s">
        <v>26069</v>
      </c>
      <c r="I10217" s="142">
        <v>2180</v>
      </c>
      <c r="J10217" s="142">
        <v>1659</v>
      </c>
      <c r="K10217" s="142">
        <v>0</v>
      </c>
      <c r="L10217" s="142">
        <v>432</v>
      </c>
      <c r="M10217" s="142">
        <v>89</v>
      </c>
    </row>
    <row r="10218" spans="1:13" x14ac:dyDescent="0.45">
      <c r="A10218" s="142" t="s">
        <v>2464</v>
      </c>
      <c r="B10218" s="142" t="s">
        <v>2463</v>
      </c>
      <c r="C10218" s="142" t="s">
        <v>14419</v>
      </c>
      <c r="D10218" s="142" t="s">
        <v>14419</v>
      </c>
      <c r="E10218" s="142" t="s">
        <v>349</v>
      </c>
      <c r="F10218" s="142" t="s">
        <v>1477</v>
      </c>
      <c r="G10218" s="142" t="s">
        <v>2463</v>
      </c>
      <c r="H10218" s="142" t="s">
        <v>26070</v>
      </c>
      <c r="I10218" s="142">
        <v>21740</v>
      </c>
      <c r="J10218" s="142">
        <v>16426</v>
      </c>
      <c r="K10218" s="142">
        <v>62</v>
      </c>
      <c r="L10218" s="142">
        <v>1969</v>
      </c>
      <c r="M10218" s="142">
        <v>3283</v>
      </c>
    </row>
    <row r="10219" spans="1:13" x14ac:dyDescent="0.45">
      <c r="A10219" s="142" t="s">
        <v>6454</v>
      </c>
      <c r="B10219" s="142" t="s">
        <v>6453</v>
      </c>
      <c r="C10219" s="142" t="s">
        <v>14419</v>
      </c>
      <c r="D10219" s="142" t="s">
        <v>14419</v>
      </c>
      <c r="E10219" s="142" t="s">
        <v>349</v>
      </c>
      <c r="F10219" s="142" t="s">
        <v>898</v>
      </c>
      <c r="G10219" s="142" t="s">
        <v>6453</v>
      </c>
      <c r="H10219" s="142" t="s">
        <v>26071</v>
      </c>
      <c r="I10219" s="142">
        <v>10587</v>
      </c>
      <c r="J10219" s="142">
        <v>8648</v>
      </c>
      <c r="K10219" s="142">
        <v>5</v>
      </c>
      <c r="L10219" s="142">
        <v>1140</v>
      </c>
      <c r="M10219" s="142">
        <v>794</v>
      </c>
    </row>
    <row r="10220" spans="1:13" x14ac:dyDescent="0.45">
      <c r="A10220" s="142" t="s">
        <v>4172</v>
      </c>
      <c r="B10220" s="142" t="s">
        <v>4171</v>
      </c>
      <c r="C10220" s="142" t="s">
        <v>14419</v>
      </c>
      <c r="D10220" s="142" t="s">
        <v>14419</v>
      </c>
      <c r="E10220" s="142" t="s">
        <v>349</v>
      </c>
      <c r="F10220" s="142" t="s">
        <v>1477</v>
      </c>
      <c r="G10220" s="142" t="s">
        <v>4171</v>
      </c>
      <c r="H10220" s="142" t="s">
        <v>26072</v>
      </c>
      <c r="I10220" s="142">
        <v>12325</v>
      </c>
      <c r="J10220" s="142">
        <v>10268</v>
      </c>
      <c r="K10220" s="142">
        <v>250</v>
      </c>
      <c r="L10220" s="142">
        <v>630</v>
      </c>
      <c r="M10220" s="142">
        <v>1177</v>
      </c>
    </row>
    <row r="10221" spans="1:13" x14ac:dyDescent="0.45">
      <c r="A10221" s="142" t="s">
        <v>4498</v>
      </c>
      <c r="B10221" s="142" t="s">
        <v>4497</v>
      </c>
      <c r="C10221" s="142" t="s">
        <v>14419</v>
      </c>
      <c r="D10221" s="142" t="s">
        <v>14419</v>
      </c>
      <c r="E10221" s="142" t="s">
        <v>349</v>
      </c>
      <c r="F10221" s="142" t="s">
        <v>1184</v>
      </c>
      <c r="G10221" s="142" t="s">
        <v>4497</v>
      </c>
      <c r="H10221" s="142" t="s">
        <v>26073</v>
      </c>
      <c r="I10221" s="142">
        <v>7604</v>
      </c>
      <c r="J10221" s="142">
        <v>5952</v>
      </c>
      <c r="K10221" s="142">
        <v>0</v>
      </c>
      <c r="L10221" s="142">
        <v>1135</v>
      </c>
      <c r="M10221" s="142">
        <v>517</v>
      </c>
    </row>
    <row r="10222" spans="1:13" x14ac:dyDescent="0.45">
      <c r="A10222" s="142" t="s">
        <v>7587</v>
      </c>
      <c r="B10222" s="142" t="s">
        <v>7586</v>
      </c>
      <c r="C10222" s="142" t="s">
        <v>14419</v>
      </c>
      <c r="D10222" s="142" t="s">
        <v>14419</v>
      </c>
      <c r="E10222" s="142" t="s">
        <v>349</v>
      </c>
      <c r="F10222" s="142" t="s">
        <v>1644</v>
      </c>
      <c r="G10222" s="142" t="s">
        <v>7586</v>
      </c>
      <c r="H10222" s="142" t="s">
        <v>26074</v>
      </c>
      <c r="I10222" s="142">
        <v>10962</v>
      </c>
      <c r="J10222" s="142">
        <v>7750</v>
      </c>
      <c r="K10222" s="142">
        <v>6</v>
      </c>
      <c r="L10222" s="142">
        <v>1785</v>
      </c>
      <c r="M10222" s="142">
        <v>1421</v>
      </c>
    </row>
    <row r="10223" spans="1:13" x14ac:dyDescent="0.45">
      <c r="A10223" s="142" t="s">
        <v>2179</v>
      </c>
      <c r="B10223" s="142" t="s">
        <v>2178</v>
      </c>
      <c r="C10223" s="142" t="s">
        <v>14419</v>
      </c>
      <c r="D10223" s="142" t="s">
        <v>14419</v>
      </c>
      <c r="E10223" s="142" t="s">
        <v>349</v>
      </c>
      <c r="F10223" s="142" t="s">
        <v>520</v>
      </c>
      <c r="G10223" s="142" t="s">
        <v>2178</v>
      </c>
      <c r="H10223" s="142" t="s">
        <v>26075</v>
      </c>
      <c r="I10223" s="142">
        <v>25079</v>
      </c>
      <c r="J10223" s="142">
        <v>18742</v>
      </c>
      <c r="K10223" s="142">
        <v>0</v>
      </c>
      <c r="L10223" s="142">
        <v>3761</v>
      </c>
      <c r="M10223" s="142">
        <v>2576</v>
      </c>
    </row>
    <row r="10224" spans="1:13" x14ac:dyDescent="0.45">
      <c r="A10224" s="142" t="s">
        <v>2221</v>
      </c>
      <c r="B10224" s="142" t="s">
        <v>2220</v>
      </c>
      <c r="C10224" s="142" t="s">
        <v>14419</v>
      </c>
      <c r="D10224" s="142" t="s">
        <v>14419</v>
      </c>
      <c r="E10224" s="142" t="s">
        <v>349</v>
      </c>
      <c r="F10224" s="142" t="s">
        <v>520</v>
      </c>
      <c r="G10224" s="142" t="s">
        <v>2220</v>
      </c>
      <c r="H10224" s="142" t="s">
        <v>26076</v>
      </c>
      <c r="I10224" s="142">
        <v>27733</v>
      </c>
      <c r="J10224" s="142">
        <v>21255</v>
      </c>
      <c r="K10224" s="142">
        <v>149</v>
      </c>
      <c r="L10224" s="142">
        <v>3692</v>
      </c>
      <c r="M10224" s="142">
        <v>2637</v>
      </c>
    </row>
    <row r="10225" spans="1:13" x14ac:dyDescent="0.45">
      <c r="A10225" s="142" t="s">
        <v>3210</v>
      </c>
      <c r="B10225" s="142" t="s">
        <v>3209</v>
      </c>
      <c r="C10225" s="142" t="s">
        <v>14419</v>
      </c>
      <c r="D10225" s="142" t="s">
        <v>14419</v>
      </c>
      <c r="E10225" s="142" t="s">
        <v>349</v>
      </c>
      <c r="F10225" s="142" t="s">
        <v>898</v>
      </c>
      <c r="G10225" s="142" t="s">
        <v>3209</v>
      </c>
      <c r="H10225" s="142" t="s">
        <v>26077</v>
      </c>
      <c r="I10225" s="142">
        <v>10619</v>
      </c>
      <c r="J10225" s="142">
        <v>9530</v>
      </c>
      <c r="K10225" s="142">
        <v>0</v>
      </c>
      <c r="L10225" s="142">
        <v>868</v>
      </c>
      <c r="M10225" s="142">
        <v>221</v>
      </c>
    </row>
    <row r="10226" spans="1:13" x14ac:dyDescent="0.45">
      <c r="A10226" s="142" t="s">
        <v>8987</v>
      </c>
      <c r="B10226" s="142" t="s">
        <v>8986</v>
      </c>
      <c r="C10226" s="142" t="s">
        <v>14419</v>
      </c>
      <c r="D10226" s="142" t="s">
        <v>14419</v>
      </c>
      <c r="E10226" s="142" t="s">
        <v>349</v>
      </c>
      <c r="F10226" s="142" t="s">
        <v>1644</v>
      </c>
      <c r="G10226" s="142" t="s">
        <v>8986</v>
      </c>
      <c r="H10226" s="142" t="s">
        <v>26078</v>
      </c>
      <c r="I10226" s="142">
        <v>10014</v>
      </c>
      <c r="J10226" s="142">
        <v>7942</v>
      </c>
      <c r="K10226" s="142">
        <v>0</v>
      </c>
      <c r="L10226" s="142">
        <v>934</v>
      </c>
      <c r="M10226" s="142">
        <v>1138</v>
      </c>
    </row>
    <row r="10227" spans="1:13" x14ac:dyDescent="0.45">
      <c r="A10227" s="142" t="s">
        <v>5960</v>
      </c>
      <c r="B10227" s="142" t="s">
        <v>5959</v>
      </c>
      <c r="C10227" s="142" t="s">
        <v>14419</v>
      </c>
      <c r="D10227" s="142" t="s">
        <v>14419</v>
      </c>
      <c r="E10227" s="142" t="s">
        <v>349</v>
      </c>
      <c r="F10227" s="142" t="s">
        <v>520</v>
      </c>
      <c r="G10227" s="142" t="s">
        <v>5959</v>
      </c>
      <c r="H10227" s="142" t="s">
        <v>26079</v>
      </c>
      <c r="I10227" s="142">
        <v>7739</v>
      </c>
      <c r="J10227" s="142">
        <v>6168</v>
      </c>
      <c r="K10227" s="142">
        <v>9</v>
      </c>
      <c r="L10227" s="142">
        <v>1176</v>
      </c>
      <c r="M10227" s="142">
        <v>386</v>
      </c>
    </row>
    <row r="10228" spans="1:13" x14ac:dyDescent="0.45">
      <c r="A10228" s="142" t="s">
        <v>11187</v>
      </c>
      <c r="B10228" s="142" t="s">
        <v>11186</v>
      </c>
      <c r="C10228" s="142" t="s">
        <v>14419</v>
      </c>
      <c r="D10228" s="142" t="s">
        <v>14419</v>
      </c>
      <c r="E10228" s="142" t="s">
        <v>349</v>
      </c>
      <c r="F10228" s="142" t="s">
        <v>11188</v>
      </c>
      <c r="G10228" s="142" t="s">
        <v>11186</v>
      </c>
      <c r="H10228" s="142" t="s">
        <v>26080</v>
      </c>
      <c r="I10228" s="142">
        <v>2196</v>
      </c>
      <c r="J10228" s="142">
        <v>1986</v>
      </c>
      <c r="K10228" s="142">
        <v>0</v>
      </c>
      <c r="L10228" s="142">
        <v>210</v>
      </c>
      <c r="M10228" s="142">
        <v>0</v>
      </c>
    </row>
    <row r="10229" spans="1:13" x14ac:dyDescent="0.45">
      <c r="A10229" s="142" t="s">
        <v>4214</v>
      </c>
      <c r="B10229" s="142" t="s">
        <v>4213</v>
      </c>
      <c r="C10229" s="142" t="s">
        <v>14419</v>
      </c>
      <c r="D10229" s="142" t="s">
        <v>14419</v>
      </c>
      <c r="E10229" s="142" t="s">
        <v>349</v>
      </c>
      <c r="F10229" s="142" t="s">
        <v>1477</v>
      </c>
      <c r="G10229" s="142" t="s">
        <v>4213</v>
      </c>
      <c r="H10229" s="142" t="s">
        <v>26081</v>
      </c>
      <c r="I10229" s="142">
        <v>12097</v>
      </c>
      <c r="J10229" s="142">
        <v>10060</v>
      </c>
      <c r="K10229" s="142">
        <v>135</v>
      </c>
      <c r="L10229" s="142">
        <v>1484</v>
      </c>
      <c r="M10229" s="142">
        <v>418</v>
      </c>
    </row>
    <row r="10230" spans="1:13" x14ac:dyDescent="0.45">
      <c r="A10230" s="142" t="s">
        <v>2305</v>
      </c>
      <c r="B10230" s="142" t="s">
        <v>2304</v>
      </c>
      <c r="C10230" s="142" t="s">
        <v>14419</v>
      </c>
      <c r="D10230" s="142" t="s">
        <v>14419</v>
      </c>
      <c r="E10230" s="142" t="s">
        <v>349</v>
      </c>
      <c r="F10230" s="142" t="s">
        <v>1184</v>
      </c>
      <c r="G10230" s="142" t="s">
        <v>2304</v>
      </c>
      <c r="H10230" s="142" t="s">
        <v>26082</v>
      </c>
      <c r="I10230" s="142">
        <v>37136</v>
      </c>
      <c r="J10230" s="142">
        <v>30300</v>
      </c>
      <c r="K10230" s="142">
        <v>0</v>
      </c>
      <c r="L10230" s="142">
        <v>3432</v>
      </c>
      <c r="M10230" s="142">
        <v>3404</v>
      </c>
    </row>
    <row r="10231" spans="1:13" x14ac:dyDescent="0.45">
      <c r="A10231" s="142" t="s">
        <v>4540</v>
      </c>
      <c r="B10231" s="142" t="s">
        <v>4539</v>
      </c>
      <c r="C10231" s="142" t="s">
        <v>14419</v>
      </c>
      <c r="D10231" s="142" t="s">
        <v>14419</v>
      </c>
      <c r="E10231" s="142" t="s">
        <v>349</v>
      </c>
      <c r="F10231" s="142" t="s">
        <v>1184</v>
      </c>
      <c r="G10231" s="142" t="s">
        <v>4539</v>
      </c>
      <c r="H10231" s="142" t="s">
        <v>26083</v>
      </c>
      <c r="I10231" s="142">
        <v>7087</v>
      </c>
      <c r="J10231" s="142">
        <v>5712</v>
      </c>
      <c r="K10231" s="142">
        <v>0</v>
      </c>
      <c r="L10231" s="142">
        <v>555</v>
      </c>
      <c r="M10231" s="142">
        <v>820</v>
      </c>
    </row>
    <row r="10232" spans="1:13" x14ac:dyDescent="0.45">
      <c r="A10232" s="142" t="s">
        <v>2137</v>
      </c>
      <c r="B10232" s="142" t="s">
        <v>2136</v>
      </c>
      <c r="C10232" s="142" t="s">
        <v>14419</v>
      </c>
      <c r="D10232" s="142" t="s">
        <v>14419</v>
      </c>
      <c r="E10232" s="142" t="s">
        <v>349</v>
      </c>
      <c r="F10232" s="142" t="s">
        <v>292</v>
      </c>
      <c r="G10232" s="142" t="s">
        <v>2136</v>
      </c>
      <c r="H10232" s="142" t="s">
        <v>26084</v>
      </c>
      <c r="I10232" s="142">
        <v>49804</v>
      </c>
      <c r="J10232" s="142">
        <v>45995</v>
      </c>
      <c r="K10232" s="142">
        <v>0</v>
      </c>
      <c r="L10232" s="142">
        <v>3283</v>
      </c>
      <c r="M10232" s="142">
        <v>526</v>
      </c>
    </row>
    <row r="10233" spans="1:13" x14ac:dyDescent="0.45">
      <c r="A10233" s="142" t="s">
        <v>10686</v>
      </c>
      <c r="B10233" s="142" t="s">
        <v>10685</v>
      </c>
      <c r="C10233" s="142" t="s">
        <v>14419</v>
      </c>
      <c r="D10233" s="142" t="s">
        <v>14419</v>
      </c>
      <c r="E10233" s="142" t="s">
        <v>349</v>
      </c>
      <c r="F10233" s="142" t="s">
        <v>1059</v>
      </c>
      <c r="G10233" s="142" t="s">
        <v>10685</v>
      </c>
      <c r="H10233" s="142" t="s">
        <v>26085</v>
      </c>
      <c r="I10233" s="142">
        <v>25651</v>
      </c>
      <c r="J10233" s="142">
        <v>22190</v>
      </c>
      <c r="K10233" s="142">
        <v>156</v>
      </c>
      <c r="L10233" s="142">
        <v>2567</v>
      </c>
      <c r="M10233" s="142">
        <v>738</v>
      </c>
    </row>
    <row r="10234" spans="1:13" x14ac:dyDescent="0.45">
      <c r="A10234" s="142" t="s">
        <v>9029</v>
      </c>
      <c r="B10234" s="142" t="s">
        <v>9028</v>
      </c>
      <c r="C10234" s="142" t="s">
        <v>14419</v>
      </c>
      <c r="D10234" s="142" t="s">
        <v>14419</v>
      </c>
      <c r="E10234" s="142" t="s">
        <v>349</v>
      </c>
      <c r="F10234" s="142" t="s">
        <v>1644</v>
      </c>
      <c r="G10234" s="142" t="s">
        <v>9028</v>
      </c>
      <c r="H10234" s="142" t="s">
        <v>26086</v>
      </c>
      <c r="I10234" s="142">
        <v>11292</v>
      </c>
      <c r="J10234" s="142">
        <v>9756</v>
      </c>
      <c r="K10234" s="142">
        <v>0</v>
      </c>
      <c r="L10234" s="142">
        <v>995</v>
      </c>
      <c r="M10234" s="142">
        <v>541</v>
      </c>
    </row>
    <row r="10235" spans="1:13" x14ac:dyDescent="0.45">
      <c r="A10235" s="142" t="s">
        <v>11482</v>
      </c>
      <c r="B10235" s="142" t="s">
        <v>11481</v>
      </c>
      <c r="C10235" s="142" t="s">
        <v>14419</v>
      </c>
      <c r="D10235" s="142" t="s">
        <v>14419</v>
      </c>
      <c r="E10235" s="142" t="s">
        <v>349</v>
      </c>
      <c r="F10235" s="142" t="s">
        <v>11188</v>
      </c>
      <c r="G10235" s="142" t="s">
        <v>11481</v>
      </c>
      <c r="H10235" s="142" t="s">
        <v>26087</v>
      </c>
      <c r="I10235" s="142">
        <v>30104</v>
      </c>
      <c r="J10235" s="142">
        <v>24069</v>
      </c>
      <c r="K10235" s="142">
        <v>71</v>
      </c>
      <c r="L10235" s="142">
        <v>3144</v>
      </c>
      <c r="M10235" s="142">
        <v>2820</v>
      </c>
    </row>
    <row r="10236" spans="1:13" x14ac:dyDescent="0.45">
      <c r="A10236" s="142" t="s">
        <v>2757</v>
      </c>
      <c r="B10236" s="142" t="s">
        <v>2756</v>
      </c>
      <c r="C10236" s="142" t="s">
        <v>14419</v>
      </c>
      <c r="D10236" s="142" t="s">
        <v>14419</v>
      </c>
      <c r="E10236" s="142" t="s">
        <v>349</v>
      </c>
      <c r="F10236" s="142" t="s">
        <v>520</v>
      </c>
      <c r="G10236" s="142" t="s">
        <v>2756</v>
      </c>
      <c r="H10236" s="142" t="s">
        <v>26088</v>
      </c>
      <c r="I10236" s="142">
        <v>23261</v>
      </c>
      <c r="J10236" s="142">
        <v>21159</v>
      </c>
      <c r="K10236" s="142">
        <v>0</v>
      </c>
      <c r="L10236" s="142">
        <v>1588</v>
      </c>
      <c r="M10236" s="142">
        <v>514</v>
      </c>
    </row>
    <row r="10237" spans="1:13" x14ac:dyDescent="0.45">
      <c r="A10237" s="142" t="s">
        <v>5226</v>
      </c>
      <c r="B10237" s="142" t="s">
        <v>5225</v>
      </c>
      <c r="C10237" s="142" t="s">
        <v>14419</v>
      </c>
      <c r="D10237" s="142" t="s">
        <v>14419</v>
      </c>
      <c r="E10237" s="142" t="s">
        <v>349</v>
      </c>
      <c r="F10237" s="142" t="s">
        <v>1477</v>
      </c>
      <c r="G10237" s="142" t="s">
        <v>5225</v>
      </c>
      <c r="H10237" s="142" t="s">
        <v>26089</v>
      </c>
      <c r="I10237" s="142">
        <v>14766</v>
      </c>
      <c r="J10237" s="142">
        <v>11824</v>
      </c>
      <c r="K10237" s="142">
        <v>0</v>
      </c>
      <c r="L10237" s="142">
        <v>2449</v>
      </c>
      <c r="M10237" s="142">
        <v>493</v>
      </c>
    </row>
    <row r="10238" spans="1:13" x14ac:dyDescent="0.45">
      <c r="A10238" s="142" t="s">
        <v>477</v>
      </c>
      <c r="B10238" s="142" t="s">
        <v>476</v>
      </c>
      <c r="C10238" s="142" t="s">
        <v>14419</v>
      </c>
      <c r="D10238" s="142" t="s">
        <v>14419</v>
      </c>
      <c r="E10238" s="142" t="s">
        <v>349</v>
      </c>
      <c r="F10238" s="142" t="s">
        <v>292</v>
      </c>
      <c r="G10238" s="142" t="s">
        <v>476</v>
      </c>
      <c r="H10238" s="142" t="s">
        <v>26090</v>
      </c>
      <c r="I10238" s="142">
        <v>8592</v>
      </c>
      <c r="J10238" s="142">
        <v>7101</v>
      </c>
      <c r="K10238" s="142">
        <v>6</v>
      </c>
      <c r="L10238" s="142">
        <v>1317</v>
      </c>
      <c r="M10238" s="142">
        <v>168</v>
      </c>
    </row>
    <row r="10239" spans="1:13" x14ac:dyDescent="0.45">
      <c r="A10239" s="142" t="s">
        <v>5510</v>
      </c>
      <c r="B10239" s="142" t="s">
        <v>5509</v>
      </c>
      <c r="C10239" s="142" t="s">
        <v>14419</v>
      </c>
      <c r="D10239" s="142" t="s">
        <v>14419</v>
      </c>
      <c r="E10239" s="142" t="s">
        <v>349</v>
      </c>
      <c r="F10239" s="142" t="s">
        <v>1644</v>
      </c>
      <c r="G10239" s="142" t="s">
        <v>5509</v>
      </c>
      <c r="H10239" s="142" t="s">
        <v>26091</v>
      </c>
      <c r="I10239" s="142">
        <v>8049</v>
      </c>
      <c r="J10239" s="142">
        <v>5855</v>
      </c>
      <c r="K10239" s="142">
        <v>17</v>
      </c>
      <c r="L10239" s="142">
        <v>677</v>
      </c>
      <c r="M10239" s="142">
        <v>1500</v>
      </c>
    </row>
    <row r="10240" spans="1:13" x14ac:dyDescent="0.45">
      <c r="A10240" s="142" t="s">
        <v>897</v>
      </c>
      <c r="B10240" s="142" t="s">
        <v>896</v>
      </c>
      <c r="C10240" s="142" t="s">
        <v>14419</v>
      </c>
      <c r="D10240" s="142" t="s">
        <v>14419</v>
      </c>
      <c r="E10240" s="142" t="s">
        <v>349</v>
      </c>
      <c r="F10240" s="142" t="s">
        <v>898</v>
      </c>
      <c r="G10240" s="142" t="s">
        <v>896</v>
      </c>
      <c r="H10240" s="142" t="s">
        <v>26092</v>
      </c>
      <c r="I10240" s="142">
        <v>21219</v>
      </c>
      <c r="J10240" s="142">
        <v>16092</v>
      </c>
      <c r="K10240" s="142">
        <v>102</v>
      </c>
      <c r="L10240" s="142">
        <v>4357</v>
      </c>
      <c r="M10240" s="142">
        <v>668</v>
      </c>
    </row>
    <row r="10241" spans="1:13" x14ac:dyDescent="0.45">
      <c r="A10241" s="142" t="s">
        <v>3252</v>
      </c>
      <c r="B10241" s="142" t="s">
        <v>3251</v>
      </c>
      <c r="C10241" s="142" t="s">
        <v>14419</v>
      </c>
      <c r="D10241" s="142" t="s">
        <v>14419</v>
      </c>
      <c r="E10241" s="142" t="s">
        <v>349</v>
      </c>
      <c r="F10241" s="142" t="s">
        <v>898</v>
      </c>
      <c r="G10241" s="142" t="s">
        <v>3251</v>
      </c>
      <c r="H10241" s="142" t="s">
        <v>26093</v>
      </c>
      <c r="I10241" s="142">
        <v>4577</v>
      </c>
      <c r="J10241" s="142">
        <v>3974</v>
      </c>
      <c r="K10241" s="142">
        <v>0</v>
      </c>
      <c r="L10241" s="142">
        <v>342</v>
      </c>
      <c r="M10241" s="142">
        <v>261</v>
      </c>
    </row>
    <row r="10242" spans="1:13" x14ac:dyDescent="0.45">
      <c r="A10242" s="142" t="s">
        <v>10351</v>
      </c>
      <c r="B10242" s="142" t="s">
        <v>10350</v>
      </c>
      <c r="C10242" s="142" t="s">
        <v>14419</v>
      </c>
      <c r="D10242" s="142" t="s">
        <v>14419</v>
      </c>
      <c r="E10242" s="142" t="s">
        <v>349</v>
      </c>
      <c r="F10242" s="142" t="s">
        <v>688</v>
      </c>
      <c r="G10242" s="142" t="s">
        <v>10350</v>
      </c>
      <c r="H10242" s="142" t="s">
        <v>26094</v>
      </c>
      <c r="I10242" s="142">
        <v>25905</v>
      </c>
      <c r="J10242" s="142">
        <v>23262</v>
      </c>
      <c r="K10242" s="142">
        <v>3</v>
      </c>
      <c r="L10242" s="142">
        <v>1910</v>
      </c>
      <c r="M10242" s="142">
        <v>730</v>
      </c>
    </row>
    <row r="10243" spans="1:13" x14ac:dyDescent="0.45">
      <c r="A10243" s="142" t="s">
        <v>2590</v>
      </c>
      <c r="B10243" s="142" t="s">
        <v>2589</v>
      </c>
      <c r="C10243" s="142" t="s">
        <v>14419</v>
      </c>
      <c r="D10243" s="142" t="s">
        <v>14419</v>
      </c>
      <c r="E10243" s="142" t="s">
        <v>349</v>
      </c>
      <c r="F10243" s="142" t="s">
        <v>1184</v>
      </c>
      <c r="G10243" s="142" t="s">
        <v>2589</v>
      </c>
      <c r="H10243" s="142" t="s">
        <v>26095</v>
      </c>
      <c r="I10243" s="142">
        <v>24083</v>
      </c>
      <c r="J10243" s="142">
        <v>17409</v>
      </c>
      <c r="K10243" s="142">
        <v>0</v>
      </c>
      <c r="L10243" s="142">
        <v>4733</v>
      </c>
      <c r="M10243" s="142">
        <v>1941</v>
      </c>
    </row>
    <row r="10244" spans="1:13" x14ac:dyDescent="0.45">
      <c r="A10244" s="142" t="s">
        <v>5552</v>
      </c>
      <c r="B10244" s="142" t="s">
        <v>5551</v>
      </c>
      <c r="C10244" s="142" t="s">
        <v>14419</v>
      </c>
      <c r="D10244" s="142" t="s">
        <v>14419</v>
      </c>
      <c r="E10244" s="142" t="s">
        <v>349</v>
      </c>
      <c r="F10244" s="142" t="s">
        <v>1644</v>
      </c>
      <c r="G10244" s="142" t="s">
        <v>5551</v>
      </c>
      <c r="H10244" s="142" t="s">
        <v>26096</v>
      </c>
      <c r="I10244" s="142">
        <v>7918</v>
      </c>
      <c r="J10244" s="142">
        <v>6750</v>
      </c>
      <c r="K10244" s="142">
        <v>0</v>
      </c>
      <c r="L10244" s="142">
        <v>723</v>
      </c>
      <c r="M10244" s="142">
        <v>445</v>
      </c>
    </row>
    <row r="10245" spans="1:13" x14ac:dyDescent="0.45">
      <c r="A10245" s="142" t="s">
        <v>10728</v>
      </c>
      <c r="B10245" s="142" t="s">
        <v>10727</v>
      </c>
      <c r="C10245" s="142" t="s">
        <v>14419</v>
      </c>
      <c r="D10245" s="142" t="s">
        <v>14419</v>
      </c>
      <c r="E10245" s="142" t="s">
        <v>349</v>
      </c>
      <c r="F10245" s="142" t="s">
        <v>1059</v>
      </c>
      <c r="G10245" s="142" t="s">
        <v>10727</v>
      </c>
      <c r="H10245" s="142" t="s">
        <v>26097</v>
      </c>
      <c r="I10245" s="142">
        <v>26973</v>
      </c>
      <c r="J10245" s="142">
        <v>24718</v>
      </c>
      <c r="K10245" s="142">
        <v>0</v>
      </c>
      <c r="L10245" s="142">
        <v>1536</v>
      </c>
      <c r="M10245" s="142">
        <v>719</v>
      </c>
    </row>
    <row r="10246" spans="1:13" x14ac:dyDescent="0.45">
      <c r="A10246" s="142" t="s">
        <v>11524</v>
      </c>
      <c r="B10246" s="142" t="s">
        <v>11523</v>
      </c>
      <c r="C10246" s="142" t="s">
        <v>14419</v>
      </c>
      <c r="D10246" s="142" t="s">
        <v>14419</v>
      </c>
      <c r="E10246" s="142" t="s">
        <v>349</v>
      </c>
      <c r="F10246" s="142" t="s">
        <v>11188</v>
      </c>
      <c r="G10246" s="142" t="s">
        <v>11523</v>
      </c>
      <c r="H10246" s="142" t="s">
        <v>26098</v>
      </c>
      <c r="I10246" s="142">
        <v>28412</v>
      </c>
      <c r="J10246" s="142">
        <v>21834</v>
      </c>
      <c r="K10246" s="142">
        <v>207</v>
      </c>
      <c r="L10246" s="142">
        <v>2709</v>
      </c>
      <c r="M10246" s="142">
        <v>3662</v>
      </c>
    </row>
    <row r="10247" spans="1:13" x14ac:dyDescent="0.45">
      <c r="A10247" s="142" t="s">
        <v>2966</v>
      </c>
      <c r="B10247" s="142" t="s">
        <v>2965</v>
      </c>
      <c r="C10247" s="142" t="s">
        <v>14419</v>
      </c>
      <c r="D10247" s="142" t="s">
        <v>14419</v>
      </c>
      <c r="E10247" s="142" t="s">
        <v>349</v>
      </c>
      <c r="F10247" s="142" t="s">
        <v>1477</v>
      </c>
      <c r="G10247" s="142" t="s">
        <v>2965</v>
      </c>
      <c r="H10247" s="142" t="s">
        <v>26099</v>
      </c>
      <c r="I10247" s="142">
        <v>6524</v>
      </c>
      <c r="J10247" s="142">
        <v>4667</v>
      </c>
      <c r="K10247" s="142">
        <v>5</v>
      </c>
      <c r="L10247" s="142">
        <v>1127</v>
      </c>
      <c r="M10247" s="142">
        <v>725</v>
      </c>
    </row>
    <row r="10248" spans="1:13" x14ac:dyDescent="0.45">
      <c r="A10248" s="142" t="s">
        <v>3462</v>
      </c>
      <c r="B10248" s="142" t="s">
        <v>3461</v>
      </c>
      <c r="C10248" s="142" t="s">
        <v>14419</v>
      </c>
      <c r="D10248" s="142" t="s">
        <v>14419</v>
      </c>
      <c r="E10248" s="142" t="s">
        <v>349</v>
      </c>
      <c r="F10248" s="142" t="s">
        <v>1184</v>
      </c>
      <c r="G10248" s="142" t="s">
        <v>3461</v>
      </c>
      <c r="H10248" s="142" t="s">
        <v>26100</v>
      </c>
      <c r="I10248" s="142">
        <v>8532</v>
      </c>
      <c r="J10248" s="142">
        <v>5723</v>
      </c>
      <c r="K10248" s="142">
        <v>21</v>
      </c>
      <c r="L10248" s="142">
        <v>1675</v>
      </c>
      <c r="M10248" s="142">
        <v>1113</v>
      </c>
    </row>
    <row r="10249" spans="1:13" x14ac:dyDescent="0.45">
      <c r="A10249" s="142" t="s">
        <v>4782</v>
      </c>
      <c r="B10249" s="142" t="s">
        <v>4781</v>
      </c>
      <c r="C10249" s="142" t="s">
        <v>14419</v>
      </c>
      <c r="D10249" s="142" t="s">
        <v>14419</v>
      </c>
      <c r="E10249" s="142" t="s">
        <v>349</v>
      </c>
      <c r="F10249" s="142" t="s">
        <v>1644</v>
      </c>
      <c r="G10249" s="142" t="s">
        <v>4781</v>
      </c>
      <c r="H10249" s="142" t="s">
        <v>26101</v>
      </c>
      <c r="I10249" s="142">
        <v>7808</v>
      </c>
      <c r="J10249" s="142">
        <v>6061</v>
      </c>
      <c r="K10249" s="142">
        <v>0</v>
      </c>
      <c r="L10249" s="142">
        <v>902</v>
      </c>
      <c r="M10249" s="142">
        <v>845</v>
      </c>
    </row>
    <row r="10250" spans="1:13" x14ac:dyDescent="0.45">
      <c r="A10250" s="142" t="s">
        <v>9519</v>
      </c>
      <c r="B10250" s="142" t="s">
        <v>9518</v>
      </c>
      <c r="C10250" s="142" t="s">
        <v>14419</v>
      </c>
      <c r="D10250" s="142" t="s">
        <v>14419</v>
      </c>
      <c r="E10250" s="142" t="s">
        <v>349</v>
      </c>
      <c r="F10250" s="142" t="s">
        <v>1477</v>
      </c>
      <c r="G10250" s="142" t="s">
        <v>9518</v>
      </c>
      <c r="H10250" s="142" t="s">
        <v>26102</v>
      </c>
      <c r="I10250" s="142">
        <v>10412</v>
      </c>
      <c r="J10250" s="142">
        <v>7957</v>
      </c>
      <c r="K10250" s="142">
        <v>0</v>
      </c>
      <c r="L10250" s="142">
        <v>1251</v>
      </c>
      <c r="M10250" s="142">
        <v>1204</v>
      </c>
    </row>
    <row r="10251" spans="1:13" x14ac:dyDescent="0.45">
      <c r="A10251" s="142" t="s">
        <v>6748</v>
      </c>
      <c r="B10251" s="142" t="s">
        <v>6747</v>
      </c>
      <c r="C10251" s="142" t="s">
        <v>14419</v>
      </c>
      <c r="D10251" s="142" t="s">
        <v>14419</v>
      </c>
      <c r="E10251" s="142" t="s">
        <v>349</v>
      </c>
      <c r="F10251" s="142" t="s">
        <v>898</v>
      </c>
      <c r="G10251" s="142" t="s">
        <v>6747</v>
      </c>
      <c r="H10251" s="142" t="s">
        <v>26103</v>
      </c>
      <c r="I10251" s="142">
        <v>8612</v>
      </c>
      <c r="J10251" s="142">
        <v>7081</v>
      </c>
      <c r="K10251" s="142">
        <v>0</v>
      </c>
      <c r="L10251" s="142">
        <v>765</v>
      </c>
      <c r="M10251" s="142">
        <v>766</v>
      </c>
    </row>
    <row r="10252" spans="1:13" x14ac:dyDescent="0.45">
      <c r="A10252" s="142" t="s">
        <v>730</v>
      </c>
      <c r="B10252" s="142" t="s">
        <v>729</v>
      </c>
      <c r="C10252" s="142" t="s">
        <v>14419</v>
      </c>
      <c r="D10252" s="142" t="s">
        <v>14419</v>
      </c>
      <c r="E10252" s="142" t="s">
        <v>349</v>
      </c>
      <c r="F10252" s="142" t="s">
        <v>688</v>
      </c>
      <c r="G10252" s="142" t="s">
        <v>729</v>
      </c>
      <c r="H10252" s="142" t="s">
        <v>26104</v>
      </c>
      <c r="I10252" s="142">
        <v>16487</v>
      </c>
      <c r="J10252" s="142">
        <v>13944</v>
      </c>
      <c r="K10252" s="142">
        <v>0</v>
      </c>
      <c r="L10252" s="142">
        <v>1489</v>
      </c>
      <c r="M10252" s="142">
        <v>1054</v>
      </c>
    </row>
    <row r="10253" spans="1:13" x14ac:dyDescent="0.45">
      <c r="A10253" s="142" t="s">
        <v>7837</v>
      </c>
      <c r="B10253" s="142" t="s">
        <v>7836</v>
      </c>
      <c r="C10253" s="142" t="s">
        <v>14419</v>
      </c>
      <c r="D10253" s="142" t="s">
        <v>14419</v>
      </c>
      <c r="E10253" s="142" t="s">
        <v>349</v>
      </c>
      <c r="F10253" s="142" t="s">
        <v>1059</v>
      </c>
      <c r="G10253" s="142" t="s">
        <v>7836</v>
      </c>
      <c r="H10253" s="142" t="s">
        <v>26105</v>
      </c>
      <c r="I10253" s="142">
        <v>7709</v>
      </c>
      <c r="J10253" s="142">
        <v>6774</v>
      </c>
      <c r="K10253" s="142">
        <v>0</v>
      </c>
      <c r="L10253" s="142">
        <v>458</v>
      </c>
      <c r="M10253" s="142">
        <v>477</v>
      </c>
    </row>
    <row r="10254" spans="1:13" x14ac:dyDescent="0.45">
      <c r="A10254" s="142" t="s">
        <v>9602</v>
      </c>
      <c r="B10254" s="142" t="s">
        <v>9601</v>
      </c>
      <c r="C10254" s="142" t="s">
        <v>14419</v>
      </c>
      <c r="D10254" s="142" t="s">
        <v>14419</v>
      </c>
      <c r="E10254" s="142" t="s">
        <v>349</v>
      </c>
      <c r="F10254" s="142" t="s">
        <v>1477</v>
      </c>
      <c r="G10254" s="142" t="s">
        <v>9601</v>
      </c>
      <c r="H10254" s="142" t="s">
        <v>26106</v>
      </c>
      <c r="I10254" s="142">
        <v>15419</v>
      </c>
      <c r="J10254" s="142">
        <v>13144</v>
      </c>
      <c r="K10254" s="142">
        <v>13</v>
      </c>
      <c r="L10254" s="142">
        <v>1764</v>
      </c>
      <c r="M10254" s="142">
        <v>498</v>
      </c>
    </row>
    <row r="10255" spans="1:13" x14ac:dyDescent="0.45">
      <c r="A10255" s="142" t="s">
        <v>3795</v>
      </c>
      <c r="B10255" s="142" t="s">
        <v>3794</v>
      </c>
      <c r="C10255" s="142" t="s">
        <v>14419</v>
      </c>
      <c r="D10255" s="142" t="s">
        <v>14419</v>
      </c>
      <c r="E10255" s="142" t="s">
        <v>349</v>
      </c>
      <c r="F10255" s="142" t="s">
        <v>1644</v>
      </c>
      <c r="G10255" s="142" t="s">
        <v>3794</v>
      </c>
      <c r="H10255" s="142" t="s">
        <v>26107</v>
      </c>
      <c r="I10255" s="142">
        <v>6146</v>
      </c>
      <c r="J10255" s="142">
        <v>4818</v>
      </c>
      <c r="K10255" s="142">
        <v>0</v>
      </c>
      <c r="L10255" s="142">
        <v>1147</v>
      </c>
      <c r="M10255" s="142">
        <v>181</v>
      </c>
    </row>
    <row r="10256" spans="1:13" x14ac:dyDescent="0.45">
      <c r="A10256" s="142" t="s">
        <v>4824</v>
      </c>
      <c r="B10256" s="142" t="s">
        <v>4823</v>
      </c>
      <c r="C10256" s="142" t="s">
        <v>14419</v>
      </c>
      <c r="D10256" s="142" t="s">
        <v>14419</v>
      </c>
      <c r="E10256" s="142" t="s">
        <v>349</v>
      </c>
      <c r="F10256" s="142" t="s">
        <v>1644</v>
      </c>
      <c r="G10256" s="142" t="s">
        <v>4823</v>
      </c>
      <c r="H10256" s="142" t="s">
        <v>26108</v>
      </c>
      <c r="I10256" s="142">
        <v>9518</v>
      </c>
      <c r="J10256" s="142">
        <v>7185</v>
      </c>
      <c r="K10256" s="142">
        <v>0</v>
      </c>
      <c r="L10256" s="142">
        <v>898</v>
      </c>
      <c r="M10256" s="142">
        <v>1435</v>
      </c>
    </row>
    <row r="10257" spans="1:13" x14ac:dyDescent="0.45">
      <c r="A10257" s="142" t="s">
        <v>8246</v>
      </c>
      <c r="B10257" s="142" t="s">
        <v>8245</v>
      </c>
      <c r="C10257" s="142" t="s">
        <v>14419</v>
      </c>
      <c r="D10257" s="142" t="s">
        <v>14419</v>
      </c>
      <c r="E10257" s="142" t="s">
        <v>349</v>
      </c>
      <c r="F10257" s="142" t="s">
        <v>1644</v>
      </c>
      <c r="G10257" s="142" t="s">
        <v>8245</v>
      </c>
      <c r="H10257" s="142" t="s">
        <v>26109</v>
      </c>
      <c r="I10257" s="142">
        <v>6804</v>
      </c>
      <c r="J10257" s="142">
        <v>4787</v>
      </c>
      <c r="K10257" s="142">
        <v>16</v>
      </c>
      <c r="L10257" s="142">
        <v>1378</v>
      </c>
      <c r="M10257" s="142">
        <v>623</v>
      </c>
    </row>
    <row r="10258" spans="1:13" x14ac:dyDescent="0.45">
      <c r="A10258" s="142" t="s">
        <v>11566</v>
      </c>
      <c r="B10258" s="142" t="s">
        <v>11565</v>
      </c>
      <c r="C10258" s="142" t="s">
        <v>14419</v>
      </c>
      <c r="D10258" s="142" t="s">
        <v>14419</v>
      </c>
      <c r="E10258" s="142" t="s">
        <v>349</v>
      </c>
      <c r="F10258" s="142" t="s">
        <v>11188</v>
      </c>
      <c r="G10258" s="142" t="s">
        <v>11565</v>
      </c>
      <c r="H10258" s="142" t="s">
        <v>26110</v>
      </c>
      <c r="I10258" s="142">
        <v>20567</v>
      </c>
      <c r="J10258" s="142">
        <v>17404</v>
      </c>
      <c r="K10258" s="142">
        <v>370</v>
      </c>
      <c r="L10258" s="142">
        <v>1267</v>
      </c>
      <c r="M10258" s="142">
        <v>1526</v>
      </c>
    </row>
    <row r="10259" spans="1:13" x14ac:dyDescent="0.45">
      <c r="A10259" s="142" t="s">
        <v>4256</v>
      </c>
      <c r="B10259" s="142" t="s">
        <v>4255</v>
      </c>
      <c r="C10259" s="142" t="s">
        <v>14419</v>
      </c>
      <c r="D10259" s="142" t="s">
        <v>14419</v>
      </c>
      <c r="E10259" s="142" t="s">
        <v>349</v>
      </c>
      <c r="F10259" s="142" t="s">
        <v>1477</v>
      </c>
      <c r="G10259" s="142" t="s">
        <v>4255</v>
      </c>
      <c r="H10259" s="142" t="s">
        <v>26111</v>
      </c>
      <c r="I10259" s="142">
        <v>8720</v>
      </c>
      <c r="J10259" s="142">
        <v>7372</v>
      </c>
      <c r="K10259" s="142">
        <v>0</v>
      </c>
      <c r="L10259" s="142">
        <v>945</v>
      </c>
      <c r="M10259" s="142">
        <v>403</v>
      </c>
    </row>
    <row r="10260" spans="1:13" x14ac:dyDescent="0.45">
      <c r="A10260" s="142" t="s">
        <v>8288</v>
      </c>
      <c r="B10260" s="142" t="s">
        <v>8287</v>
      </c>
      <c r="C10260" s="142" t="s">
        <v>14419</v>
      </c>
      <c r="D10260" s="142" t="s">
        <v>14419</v>
      </c>
      <c r="E10260" s="142" t="s">
        <v>349</v>
      </c>
      <c r="F10260" s="142" t="s">
        <v>1644</v>
      </c>
      <c r="G10260" s="142" t="s">
        <v>8287</v>
      </c>
      <c r="H10260" s="142" t="s">
        <v>26112</v>
      </c>
      <c r="I10260" s="142">
        <v>3198</v>
      </c>
      <c r="J10260" s="142">
        <v>2296</v>
      </c>
      <c r="K10260" s="142">
        <v>0</v>
      </c>
      <c r="L10260" s="142">
        <v>555</v>
      </c>
      <c r="M10260" s="142">
        <v>347</v>
      </c>
    </row>
    <row r="10261" spans="1:13" x14ac:dyDescent="0.45">
      <c r="A10261" s="142" t="s">
        <v>3294</v>
      </c>
      <c r="B10261" s="142" t="s">
        <v>3293</v>
      </c>
      <c r="C10261" s="142" t="s">
        <v>14419</v>
      </c>
      <c r="D10261" s="142" t="s">
        <v>14419</v>
      </c>
      <c r="E10261" s="142" t="s">
        <v>349</v>
      </c>
      <c r="F10261" s="142" t="s">
        <v>898</v>
      </c>
      <c r="G10261" s="142" t="s">
        <v>3293</v>
      </c>
      <c r="H10261" s="142" t="s">
        <v>26113</v>
      </c>
      <c r="I10261" s="142">
        <v>7018</v>
      </c>
      <c r="J10261" s="142">
        <v>4760</v>
      </c>
      <c r="K10261" s="142">
        <v>0</v>
      </c>
      <c r="L10261" s="142">
        <v>2029</v>
      </c>
      <c r="M10261" s="142">
        <v>229</v>
      </c>
    </row>
    <row r="10262" spans="1:13" x14ac:dyDescent="0.45">
      <c r="A10262" s="142" t="s">
        <v>3504</v>
      </c>
      <c r="B10262" s="142" t="s">
        <v>3503</v>
      </c>
      <c r="C10262" s="142" t="s">
        <v>14419</v>
      </c>
      <c r="D10262" s="142" t="s">
        <v>14419</v>
      </c>
      <c r="E10262" s="142" t="s">
        <v>349</v>
      </c>
      <c r="F10262" s="142" t="s">
        <v>1184</v>
      </c>
      <c r="G10262" s="142" t="s">
        <v>3503</v>
      </c>
      <c r="H10262" s="142" t="s">
        <v>26114</v>
      </c>
      <c r="I10262" s="142">
        <v>10379</v>
      </c>
      <c r="J10262" s="142">
        <v>8682</v>
      </c>
      <c r="K10262" s="142">
        <v>4</v>
      </c>
      <c r="L10262" s="142">
        <v>1031</v>
      </c>
      <c r="M10262" s="142">
        <v>662</v>
      </c>
    </row>
    <row r="10263" spans="1:13" x14ac:dyDescent="0.45">
      <c r="A10263" s="142" t="s">
        <v>4866</v>
      </c>
      <c r="B10263" s="142" t="s">
        <v>4865</v>
      </c>
      <c r="C10263" s="142" t="s">
        <v>14419</v>
      </c>
      <c r="D10263" s="142" t="s">
        <v>14419</v>
      </c>
      <c r="E10263" s="142" t="s">
        <v>349</v>
      </c>
      <c r="F10263" s="142" t="s">
        <v>1644</v>
      </c>
      <c r="G10263" s="142" t="s">
        <v>4865</v>
      </c>
      <c r="H10263" s="142" t="s">
        <v>26115</v>
      </c>
      <c r="I10263" s="142">
        <v>4733</v>
      </c>
      <c r="J10263" s="142">
        <v>3321</v>
      </c>
      <c r="K10263" s="142">
        <v>14</v>
      </c>
      <c r="L10263" s="142">
        <v>975</v>
      </c>
      <c r="M10263" s="142">
        <v>423</v>
      </c>
    </row>
    <row r="10264" spans="1:13" x14ac:dyDescent="0.45">
      <c r="A10264" s="142" t="s">
        <v>3000</v>
      </c>
      <c r="B10264" s="142" t="s">
        <v>2999</v>
      </c>
      <c r="C10264" s="142" t="s">
        <v>14419</v>
      </c>
      <c r="D10264" s="142" t="s">
        <v>14419</v>
      </c>
      <c r="E10264" s="142" t="s">
        <v>349</v>
      </c>
      <c r="F10264" s="142" t="s">
        <v>1477</v>
      </c>
      <c r="G10264" s="142" t="s">
        <v>2999</v>
      </c>
      <c r="H10264" s="142" t="s">
        <v>26116</v>
      </c>
      <c r="I10264" s="142">
        <v>6319</v>
      </c>
      <c r="J10264" s="142">
        <v>4991</v>
      </c>
      <c r="K10264" s="142">
        <v>0</v>
      </c>
      <c r="L10264" s="142">
        <v>985</v>
      </c>
      <c r="M10264" s="142">
        <v>343</v>
      </c>
    </row>
    <row r="10265" spans="1:13" x14ac:dyDescent="0.45">
      <c r="A10265" s="142" t="s">
        <v>5720</v>
      </c>
      <c r="B10265" s="142" t="s">
        <v>5719</v>
      </c>
      <c r="C10265" s="142" t="s">
        <v>14419</v>
      </c>
      <c r="D10265" s="142" t="s">
        <v>14419</v>
      </c>
      <c r="E10265" s="142" t="s">
        <v>349</v>
      </c>
      <c r="F10265" s="142" t="s">
        <v>1644</v>
      </c>
      <c r="G10265" s="142" t="s">
        <v>5719</v>
      </c>
      <c r="H10265" s="142" t="s">
        <v>26117</v>
      </c>
      <c r="I10265" s="142">
        <v>5905</v>
      </c>
      <c r="J10265" s="142">
        <v>4502</v>
      </c>
      <c r="K10265" s="142">
        <v>0</v>
      </c>
      <c r="L10265" s="142">
        <v>1035</v>
      </c>
      <c r="M10265" s="142">
        <v>368</v>
      </c>
    </row>
    <row r="10266" spans="1:13" x14ac:dyDescent="0.45">
      <c r="A10266" s="142" t="s">
        <v>4574</v>
      </c>
      <c r="B10266" s="142" t="s">
        <v>4573</v>
      </c>
      <c r="C10266" s="142" t="s">
        <v>14419</v>
      </c>
      <c r="D10266" s="142" t="s">
        <v>14419</v>
      </c>
      <c r="E10266" s="142" t="s">
        <v>349</v>
      </c>
      <c r="F10266" s="142" t="s">
        <v>1184</v>
      </c>
      <c r="G10266" s="142" t="s">
        <v>4573</v>
      </c>
      <c r="H10266" s="142" t="s">
        <v>26118</v>
      </c>
      <c r="I10266" s="142">
        <v>5804</v>
      </c>
      <c r="J10266" s="142">
        <v>4567</v>
      </c>
      <c r="K10266" s="142">
        <v>0</v>
      </c>
      <c r="L10266" s="142">
        <v>855</v>
      </c>
      <c r="M10266" s="142">
        <v>382</v>
      </c>
    </row>
    <row r="10267" spans="1:13" x14ac:dyDescent="0.45">
      <c r="A10267" s="142" t="s">
        <v>6002</v>
      </c>
      <c r="B10267" s="142" t="s">
        <v>6001</v>
      </c>
      <c r="C10267" s="142" t="s">
        <v>14419</v>
      </c>
      <c r="D10267" s="142" t="s">
        <v>14419</v>
      </c>
      <c r="E10267" s="142" t="s">
        <v>349</v>
      </c>
      <c r="F10267" s="142" t="s">
        <v>520</v>
      </c>
      <c r="G10267" s="142" t="s">
        <v>6001</v>
      </c>
      <c r="H10267" s="142" t="s">
        <v>26119</v>
      </c>
      <c r="I10267" s="142">
        <v>3689</v>
      </c>
      <c r="J10267" s="142">
        <v>2724</v>
      </c>
      <c r="K10267" s="142">
        <v>0</v>
      </c>
      <c r="L10267" s="142">
        <v>622</v>
      </c>
      <c r="M10267" s="142">
        <v>343</v>
      </c>
    </row>
    <row r="10268" spans="1:13" x14ac:dyDescent="0.45">
      <c r="A10268" s="142" t="s">
        <v>11145</v>
      </c>
      <c r="B10268" s="142" t="s">
        <v>11144</v>
      </c>
      <c r="C10268" s="142" t="s">
        <v>14419</v>
      </c>
      <c r="D10268" s="142" t="s">
        <v>14419</v>
      </c>
      <c r="E10268" s="142" t="s">
        <v>349</v>
      </c>
      <c r="F10268" s="142" t="s">
        <v>292</v>
      </c>
      <c r="G10268" s="142" t="s">
        <v>11144</v>
      </c>
      <c r="H10268" s="142" t="s">
        <v>26120</v>
      </c>
      <c r="I10268" s="142">
        <v>24027</v>
      </c>
      <c r="J10268" s="142">
        <v>20570</v>
      </c>
      <c r="K10268" s="142">
        <v>0</v>
      </c>
      <c r="L10268" s="142">
        <v>3098</v>
      </c>
      <c r="M10268" s="142">
        <v>359</v>
      </c>
    </row>
    <row r="10269" spans="1:13" x14ac:dyDescent="0.45">
      <c r="A10269" s="142" t="s">
        <v>7419</v>
      </c>
      <c r="B10269" s="142" t="s">
        <v>7418</v>
      </c>
      <c r="C10269" s="142" t="s">
        <v>14419</v>
      </c>
      <c r="D10269" s="142" t="s">
        <v>14419</v>
      </c>
      <c r="E10269" s="142" t="s">
        <v>349</v>
      </c>
      <c r="F10269" s="142" t="s">
        <v>898</v>
      </c>
      <c r="G10269" s="142" t="s">
        <v>7418</v>
      </c>
      <c r="H10269" s="142" t="s">
        <v>26121</v>
      </c>
      <c r="I10269" s="142">
        <v>5648</v>
      </c>
      <c r="J10269" s="142">
        <v>3873</v>
      </c>
      <c r="K10269" s="142">
        <v>0</v>
      </c>
      <c r="L10269" s="142">
        <v>1478</v>
      </c>
      <c r="M10269" s="142">
        <v>297</v>
      </c>
    </row>
    <row r="10270" spans="1:13" x14ac:dyDescent="0.45">
      <c r="A10270" s="142" t="s">
        <v>4616</v>
      </c>
      <c r="B10270" s="142" t="s">
        <v>4615</v>
      </c>
      <c r="C10270" s="142" t="s">
        <v>14419</v>
      </c>
      <c r="D10270" s="142" t="s">
        <v>14419</v>
      </c>
      <c r="E10270" s="142" t="s">
        <v>349</v>
      </c>
      <c r="F10270" s="142" t="s">
        <v>1184</v>
      </c>
      <c r="G10270" s="142" t="s">
        <v>4615</v>
      </c>
      <c r="H10270" s="142" t="s">
        <v>26122</v>
      </c>
      <c r="I10270" s="142">
        <v>9552</v>
      </c>
      <c r="J10270" s="142">
        <v>7273</v>
      </c>
      <c r="K10270" s="142">
        <v>0</v>
      </c>
      <c r="L10270" s="142">
        <v>1452</v>
      </c>
      <c r="M10270" s="142">
        <v>827</v>
      </c>
    </row>
    <row r="10271" spans="1:13" x14ac:dyDescent="0.45">
      <c r="A10271" s="142" t="s">
        <v>4908</v>
      </c>
      <c r="B10271" s="142" t="s">
        <v>4907</v>
      </c>
      <c r="C10271" s="142" t="s">
        <v>14419</v>
      </c>
      <c r="D10271" s="142" t="s">
        <v>14419</v>
      </c>
      <c r="E10271" s="142" t="s">
        <v>349</v>
      </c>
      <c r="F10271" s="142" t="s">
        <v>1644</v>
      </c>
      <c r="G10271" s="142" t="s">
        <v>4907</v>
      </c>
      <c r="H10271" s="142" t="s">
        <v>26123</v>
      </c>
      <c r="I10271" s="142">
        <v>6537</v>
      </c>
      <c r="J10271" s="142">
        <v>5108</v>
      </c>
      <c r="K10271" s="142">
        <v>0</v>
      </c>
      <c r="L10271" s="142">
        <v>999</v>
      </c>
      <c r="M10271" s="142">
        <v>430</v>
      </c>
    </row>
    <row r="10272" spans="1:13" x14ac:dyDescent="0.45">
      <c r="A10272" s="142" t="s">
        <v>5594</v>
      </c>
      <c r="B10272" s="142" t="s">
        <v>5593</v>
      </c>
      <c r="C10272" s="142" t="s">
        <v>14419</v>
      </c>
      <c r="D10272" s="142" t="s">
        <v>14419</v>
      </c>
      <c r="E10272" s="142" t="s">
        <v>349</v>
      </c>
      <c r="F10272" s="142" t="s">
        <v>1644</v>
      </c>
      <c r="G10272" s="142" t="s">
        <v>5593</v>
      </c>
      <c r="H10272" s="142" t="s">
        <v>26124</v>
      </c>
      <c r="I10272" s="142">
        <v>8307</v>
      </c>
      <c r="J10272" s="142">
        <v>7349</v>
      </c>
      <c r="K10272" s="142">
        <v>0</v>
      </c>
      <c r="L10272" s="142">
        <v>203</v>
      </c>
      <c r="M10272" s="142">
        <v>755</v>
      </c>
    </row>
    <row r="10273" spans="1:13" x14ac:dyDescent="0.45">
      <c r="A10273" s="142" t="s">
        <v>7083</v>
      </c>
      <c r="B10273" s="142" t="s">
        <v>7082</v>
      </c>
      <c r="C10273" s="142" t="s">
        <v>14419</v>
      </c>
      <c r="D10273" s="142" t="s">
        <v>14419</v>
      </c>
      <c r="E10273" s="142" t="s">
        <v>349</v>
      </c>
      <c r="F10273" s="142" t="s">
        <v>1477</v>
      </c>
      <c r="G10273" s="142" t="s">
        <v>7082</v>
      </c>
      <c r="H10273" s="142" t="s">
        <v>26125</v>
      </c>
      <c r="I10273" s="142">
        <v>7840</v>
      </c>
      <c r="J10273" s="142">
        <v>6366</v>
      </c>
      <c r="K10273" s="142">
        <v>0</v>
      </c>
      <c r="L10273" s="142">
        <v>1376</v>
      </c>
      <c r="M10273" s="142">
        <v>98</v>
      </c>
    </row>
    <row r="10274" spans="1:13" x14ac:dyDescent="0.45">
      <c r="A10274" s="142" t="s">
        <v>11608</v>
      </c>
      <c r="B10274" s="142" t="s">
        <v>11607</v>
      </c>
      <c r="C10274" s="142" t="s">
        <v>14419</v>
      </c>
      <c r="D10274" s="142" t="s">
        <v>14419</v>
      </c>
      <c r="E10274" s="142" t="s">
        <v>349</v>
      </c>
      <c r="F10274" s="142" t="s">
        <v>11188</v>
      </c>
      <c r="G10274" s="142" t="s">
        <v>11607</v>
      </c>
      <c r="H10274" s="142" t="s">
        <v>26126</v>
      </c>
      <c r="I10274" s="142">
        <v>38747</v>
      </c>
      <c r="J10274" s="142">
        <v>33182</v>
      </c>
      <c r="K10274" s="142">
        <v>163</v>
      </c>
      <c r="L10274" s="142">
        <v>2343</v>
      </c>
      <c r="M10274" s="142">
        <v>3059</v>
      </c>
    </row>
    <row r="10275" spans="1:13" x14ac:dyDescent="0.45">
      <c r="A10275" s="142" t="s">
        <v>8330</v>
      </c>
      <c r="B10275" s="142" t="s">
        <v>8329</v>
      </c>
      <c r="C10275" s="142" t="s">
        <v>14419</v>
      </c>
      <c r="D10275" s="142" t="s">
        <v>14419</v>
      </c>
      <c r="E10275" s="142" t="s">
        <v>349</v>
      </c>
      <c r="F10275" s="142" t="s">
        <v>1644</v>
      </c>
      <c r="G10275" s="142" t="s">
        <v>8329</v>
      </c>
      <c r="H10275" s="142" t="s">
        <v>26127</v>
      </c>
      <c r="I10275" s="142">
        <v>8558</v>
      </c>
      <c r="J10275" s="142">
        <v>7182</v>
      </c>
      <c r="K10275" s="142">
        <v>0</v>
      </c>
      <c r="L10275" s="142">
        <v>510</v>
      </c>
      <c r="M10275" s="142">
        <v>866</v>
      </c>
    </row>
    <row r="10276" spans="1:13" x14ac:dyDescent="0.45">
      <c r="A10276" s="142" t="s">
        <v>11650</v>
      </c>
      <c r="B10276" s="142" t="s">
        <v>11649</v>
      </c>
      <c r="C10276" s="142" t="s">
        <v>14419</v>
      </c>
      <c r="D10276" s="142" t="s">
        <v>14419</v>
      </c>
      <c r="E10276" s="142" t="s">
        <v>349</v>
      </c>
      <c r="F10276" s="142" t="s">
        <v>11188</v>
      </c>
      <c r="G10276" s="142" t="s">
        <v>11649</v>
      </c>
      <c r="H10276" s="142" t="s">
        <v>26128</v>
      </c>
      <c r="I10276" s="142">
        <v>48032</v>
      </c>
      <c r="J10276" s="142">
        <v>41607</v>
      </c>
      <c r="K10276" s="142">
        <v>646</v>
      </c>
      <c r="L10276" s="142">
        <v>3267</v>
      </c>
      <c r="M10276" s="142">
        <v>2512</v>
      </c>
    </row>
    <row r="10277" spans="1:13" x14ac:dyDescent="0.45">
      <c r="A10277" s="142" t="s">
        <v>519</v>
      </c>
      <c r="B10277" s="142" t="s">
        <v>518</v>
      </c>
      <c r="C10277" s="142" t="s">
        <v>14419</v>
      </c>
      <c r="D10277" s="142" t="s">
        <v>14419</v>
      </c>
      <c r="E10277" s="142" t="s">
        <v>349</v>
      </c>
      <c r="F10277" s="142" t="s">
        <v>520</v>
      </c>
      <c r="G10277" s="142" t="s">
        <v>518</v>
      </c>
      <c r="H10277" s="142" t="s">
        <v>26129</v>
      </c>
      <c r="I10277" s="142">
        <v>15115</v>
      </c>
      <c r="J10277" s="142">
        <v>13496</v>
      </c>
      <c r="K10277" s="142">
        <v>0</v>
      </c>
      <c r="L10277" s="142">
        <v>1088</v>
      </c>
      <c r="M10277" s="142">
        <v>531</v>
      </c>
    </row>
    <row r="10278" spans="1:13" x14ac:dyDescent="0.45">
      <c r="A10278" s="142" t="s">
        <v>11692</v>
      </c>
      <c r="B10278" s="142" t="s">
        <v>11691</v>
      </c>
      <c r="C10278" s="142" t="s">
        <v>14419</v>
      </c>
      <c r="D10278" s="142" t="s">
        <v>14419</v>
      </c>
      <c r="E10278" s="142" t="s">
        <v>349</v>
      </c>
      <c r="F10278" s="142" t="s">
        <v>11188</v>
      </c>
      <c r="G10278" s="142" t="s">
        <v>11691</v>
      </c>
      <c r="H10278" s="142" t="s">
        <v>26130</v>
      </c>
      <c r="I10278" s="142">
        <v>27064</v>
      </c>
      <c r="J10278" s="142">
        <v>24089</v>
      </c>
      <c r="K10278" s="142">
        <v>169</v>
      </c>
      <c r="L10278" s="142">
        <v>1658</v>
      </c>
      <c r="M10278" s="142">
        <v>1148</v>
      </c>
    </row>
    <row r="10279" spans="1:13" x14ac:dyDescent="0.45">
      <c r="A10279" s="142" t="s">
        <v>6496</v>
      </c>
      <c r="B10279" s="142" t="s">
        <v>6495</v>
      </c>
      <c r="C10279" s="142" t="s">
        <v>14419</v>
      </c>
      <c r="D10279" s="142" t="s">
        <v>14419</v>
      </c>
      <c r="E10279" s="142" t="s">
        <v>349</v>
      </c>
      <c r="F10279" s="142" t="s">
        <v>898</v>
      </c>
      <c r="G10279" s="142" t="s">
        <v>6495</v>
      </c>
      <c r="H10279" s="142" t="s">
        <v>26131</v>
      </c>
      <c r="I10279" s="142">
        <v>4998</v>
      </c>
      <c r="J10279" s="142">
        <v>3553</v>
      </c>
      <c r="K10279" s="142">
        <v>0</v>
      </c>
      <c r="L10279" s="142">
        <v>389</v>
      </c>
      <c r="M10279" s="142">
        <v>1056</v>
      </c>
    </row>
    <row r="10280" spans="1:13" x14ac:dyDescent="0.45">
      <c r="A10280" s="142" t="s">
        <v>11734</v>
      </c>
      <c r="B10280" s="142" t="s">
        <v>11733</v>
      </c>
      <c r="C10280" s="142" t="s">
        <v>14419</v>
      </c>
      <c r="D10280" s="142" t="s">
        <v>14419</v>
      </c>
      <c r="E10280" s="142" t="s">
        <v>349</v>
      </c>
      <c r="F10280" s="142" t="s">
        <v>11188</v>
      </c>
      <c r="G10280" s="142" t="s">
        <v>11733</v>
      </c>
      <c r="H10280" s="142" t="s">
        <v>26132</v>
      </c>
      <c r="I10280" s="142">
        <v>29392</v>
      </c>
      <c r="J10280" s="142">
        <v>24287</v>
      </c>
      <c r="K10280" s="142">
        <v>64</v>
      </c>
      <c r="L10280" s="142">
        <v>3038</v>
      </c>
      <c r="M10280" s="142">
        <v>2003</v>
      </c>
    </row>
    <row r="10281" spans="1:13" x14ac:dyDescent="0.45">
      <c r="A10281" s="142" t="s">
        <v>4298</v>
      </c>
      <c r="B10281" s="142" t="s">
        <v>4297</v>
      </c>
      <c r="C10281" s="142" t="s">
        <v>14419</v>
      </c>
      <c r="D10281" s="142" t="s">
        <v>14419</v>
      </c>
      <c r="E10281" s="142" t="s">
        <v>349</v>
      </c>
      <c r="F10281" s="142" t="s">
        <v>1477</v>
      </c>
      <c r="G10281" s="142" t="s">
        <v>4297</v>
      </c>
      <c r="H10281" s="142" t="s">
        <v>26133</v>
      </c>
      <c r="I10281" s="142">
        <v>12023</v>
      </c>
      <c r="J10281" s="142">
        <v>10241</v>
      </c>
      <c r="K10281" s="142">
        <v>239</v>
      </c>
      <c r="L10281" s="142">
        <v>890</v>
      </c>
      <c r="M10281" s="142">
        <v>653</v>
      </c>
    </row>
    <row r="10282" spans="1:13" x14ac:dyDescent="0.45">
      <c r="A10282" s="142" t="s">
        <v>11776</v>
      </c>
      <c r="B10282" s="142" t="s">
        <v>11775</v>
      </c>
      <c r="C10282" s="142" t="s">
        <v>14419</v>
      </c>
      <c r="D10282" s="142" t="s">
        <v>14419</v>
      </c>
      <c r="E10282" s="142" t="s">
        <v>349</v>
      </c>
      <c r="F10282" s="142" t="s">
        <v>11188</v>
      </c>
      <c r="G10282" s="142" t="s">
        <v>11775</v>
      </c>
      <c r="H10282" s="142" t="s">
        <v>26134</v>
      </c>
      <c r="I10282" s="142">
        <v>10843</v>
      </c>
      <c r="J10282" s="142">
        <v>8159</v>
      </c>
      <c r="K10282" s="142">
        <v>8</v>
      </c>
      <c r="L10282" s="142">
        <v>1393</v>
      </c>
      <c r="M10282" s="142">
        <v>1283</v>
      </c>
    </row>
    <row r="10283" spans="1:13" x14ac:dyDescent="0.45">
      <c r="A10283" s="142" t="s">
        <v>4950</v>
      </c>
      <c r="B10283" s="142" t="s">
        <v>4949</v>
      </c>
      <c r="C10283" s="142" t="s">
        <v>14419</v>
      </c>
      <c r="D10283" s="142" t="s">
        <v>14419</v>
      </c>
      <c r="E10283" s="142" t="s">
        <v>349</v>
      </c>
      <c r="F10283" s="142" t="s">
        <v>1644</v>
      </c>
      <c r="G10283" s="142" t="s">
        <v>4949</v>
      </c>
      <c r="H10283" s="142" t="s">
        <v>26135</v>
      </c>
      <c r="I10283" s="142">
        <v>4656</v>
      </c>
      <c r="J10283" s="142">
        <v>3427</v>
      </c>
      <c r="K10283" s="142">
        <v>0</v>
      </c>
      <c r="L10283" s="142">
        <v>356</v>
      </c>
      <c r="M10283" s="142">
        <v>873</v>
      </c>
    </row>
    <row r="10284" spans="1:13" x14ac:dyDescent="0.45">
      <c r="A10284" s="142" t="s">
        <v>291</v>
      </c>
      <c r="B10284" s="142" t="s">
        <v>290</v>
      </c>
      <c r="C10284" s="142" t="s">
        <v>14419</v>
      </c>
      <c r="D10284" s="142" t="s">
        <v>14419</v>
      </c>
      <c r="E10284" s="142" t="s">
        <v>349</v>
      </c>
      <c r="F10284" s="142" t="s">
        <v>292</v>
      </c>
      <c r="G10284" s="142" t="s">
        <v>290</v>
      </c>
      <c r="H10284" s="142" t="s">
        <v>26136</v>
      </c>
      <c r="I10284" s="142">
        <v>10832</v>
      </c>
      <c r="J10284" s="142">
        <v>8219</v>
      </c>
      <c r="K10284" s="142">
        <v>0</v>
      </c>
      <c r="L10284" s="142">
        <v>2260</v>
      </c>
      <c r="M10284" s="142">
        <v>353</v>
      </c>
    </row>
    <row r="10285" spans="1:13" x14ac:dyDescent="0.45">
      <c r="A10285" s="142" t="s">
        <v>3837</v>
      </c>
      <c r="B10285" s="142" t="s">
        <v>3836</v>
      </c>
      <c r="C10285" s="142" t="s">
        <v>14419</v>
      </c>
      <c r="D10285" s="142" t="s">
        <v>14419</v>
      </c>
      <c r="E10285" s="142" t="s">
        <v>349</v>
      </c>
      <c r="F10285" s="142" t="s">
        <v>1644</v>
      </c>
      <c r="G10285" s="142" t="s">
        <v>3836</v>
      </c>
      <c r="H10285" s="142" t="s">
        <v>26137</v>
      </c>
      <c r="I10285" s="142">
        <v>6588</v>
      </c>
      <c r="J10285" s="142">
        <v>5263</v>
      </c>
      <c r="K10285" s="142">
        <v>12</v>
      </c>
      <c r="L10285" s="142">
        <v>1020</v>
      </c>
      <c r="M10285" s="142">
        <v>293</v>
      </c>
    </row>
    <row r="10286" spans="1:13" x14ac:dyDescent="0.45">
      <c r="A10286" s="142" t="s">
        <v>4984</v>
      </c>
      <c r="B10286" s="142" t="s">
        <v>4983</v>
      </c>
      <c r="C10286" s="142" t="s">
        <v>14419</v>
      </c>
      <c r="D10286" s="142" t="s">
        <v>14419</v>
      </c>
      <c r="E10286" s="142" t="s">
        <v>349</v>
      </c>
      <c r="F10286" s="142" t="s">
        <v>1644</v>
      </c>
      <c r="G10286" s="142" t="s">
        <v>4983</v>
      </c>
      <c r="H10286" s="142" t="s">
        <v>26138</v>
      </c>
      <c r="I10286" s="142">
        <v>6538</v>
      </c>
      <c r="J10286" s="142">
        <v>4632</v>
      </c>
      <c r="K10286" s="142">
        <v>0</v>
      </c>
      <c r="L10286" s="142">
        <v>1324</v>
      </c>
      <c r="M10286" s="142">
        <v>582</v>
      </c>
    </row>
    <row r="10287" spans="1:13" x14ac:dyDescent="0.45">
      <c r="A10287" s="142" t="s">
        <v>11818</v>
      </c>
      <c r="B10287" s="142" t="s">
        <v>11817</v>
      </c>
      <c r="C10287" s="142" t="s">
        <v>14419</v>
      </c>
      <c r="D10287" s="142" t="s">
        <v>14419</v>
      </c>
      <c r="E10287" s="142" t="s">
        <v>349</v>
      </c>
      <c r="F10287" s="142" t="s">
        <v>11188</v>
      </c>
      <c r="G10287" s="142" t="s">
        <v>11817</v>
      </c>
      <c r="H10287" s="142" t="s">
        <v>26139</v>
      </c>
      <c r="I10287" s="142">
        <v>15274</v>
      </c>
      <c r="J10287" s="142">
        <v>12235</v>
      </c>
      <c r="K10287" s="142">
        <v>290</v>
      </c>
      <c r="L10287" s="142">
        <v>1444</v>
      </c>
      <c r="M10287" s="142">
        <v>1305</v>
      </c>
    </row>
    <row r="10288" spans="1:13" x14ac:dyDescent="0.45">
      <c r="A10288" s="142" t="s">
        <v>1058</v>
      </c>
      <c r="B10288" s="142" t="s">
        <v>1057</v>
      </c>
      <c r="C10288" s="142" t="s">
        <v>14419</v>
      </c>
      <c r="D10288" s="142" t="s">
        <v>14419</v>
      </c>
      <c r="E10288" s="142" t="s">
        <v>349</v>
      </c>
      <c r="F10288" s="142" t="s">
        <v>1059</v>
      </c>
      <c r="G10288" s="142" t="s">
        <v>1057</v>
      </c>
      <c r="H10288" s="142" t="s">
        <v>26140</v>
      </c>
      <c r="I10288" s="142">
        <v>13054</v>
      </c>
      <c r="J10288" s="142">
        <v>9890</v>
      </c>
      <c r="K10288" s="142">
        <v>0</v>
      </c>
      <c r="L10288" s="142">
        <v>1997</v>
      </c>
      <c r="M10288" s="142">
        <v>1167</v>
      </c>
    </row>
    <row r="10289" spans="1:13" x14ac:dyDescent="0.45">
      <c r="A10289" s="142" t="s">
        <v>5268</v>
      </c>
      <c r="B10289" s="142" t="s">
        <v>5267</v>
      </c>
      <c r="C10289" s="142" t="s">
        <v>14419</v>
      </c>
      <c r="D10289" s="142" t="s">
        <v>14419</v>
      </c>
      <c r="E10289" s="142" t="s">
        <v>349</v>
      </c>
      <c r="F10289" s="142" t="s">
        <v>1477</v>
      </c>
      <c r="G10289" s="142" t="s">
        <v>5267</v>
      </c>
      <c r="H10289" s="142" t="s">
        <v>26141</v>
      </c>
      <c r="I10289" s="142">
        <v>8043</v>
      </c>
      <c r="J10289" s="142">
        <v>6513</v>
      </c>
      <c r="K10289" s="142">
        <v>0</v>
      </c>
      <c r="L10289" s="142">
        <v>985</v>
      </c>
      <c r="M10289" s="142">
        <v>545</v>
      </c>
    </row>
    <row r="10290" spans="1:13" x14ac:dyDescent="0.45">
      <c r="A10290" s="142" t="s">
        <v>3336</v>
      </c>
      <c r="B10290" s="142" t="s">
        <v>3335</v>
      </c>
      <c r="C10290" s="142" t="s">
        <v>14419</v>
      </c>
      <c r="D10290" s="142" t="s">
        <v>14419</v>
      </c>
      <c r="E10290" s="142" t="s">
        <v>349</v>
      </c>
      <c r="F10290" s="142" t="s">
        <v>898</v>
      </c>
      <c r="G10290" s="142" t="s">
        <v>3335</v>
      </c>
      <c r="H10290" s="142" t="s">
        <v>26142</v>
      </c>
      <c r="I10290" s="142">
        <v>5692</v>
      </c>
      <c r="J10290" s="142">
        <v>4742</v>
      </c>
      <c r="K10290" s="142">
        <v>1</v>
      </c>
      <c r="L10290" s="142">
        <v>660</v>
      </c>
      <c r="M10290" s="142">
        <v>289</v>
      </c>
    </row>
    <row r="10291" spans="1:13" x14ac:dyDescent="0.45">
      <c r="A10291" s="142" t="s">
        <v>11860</v>
      </c>
      <c r="B10291" s="142" t="s">
        <v>11859</v>
      </c>
      <c r="C10291" s="142" t="s">
        <v>14419</v>
      </c>
      <c r="D10291" s="142" t="s">
        <v>14419</v>
      </c>
      <c r="E10291" s="142" t="s">
        <v>349</v>
      </c>
      <c r="F10291" s="142" t="s">
        <v>11188</v>
      </c>
      <c r="G10291" s="142" t="s">
        <v>11859</v>
      </c>
      <c r="H10291" s="142" t="s">
        <v>26143</v>
      </c>
      <c r="I10291" s="142">
        <v>19652</v>
      </c>
      <c r="J10291" s="142">
        <v>16774</v>
      </c>
      <c r="K10291" s="142">
        <v>243</v>
      </c>
      <c r="L10291" s="142">
        <v>1251</v>
      </c>
      <c r="M10291" s="142">
        <v>1384</v>
      </c>
    </row>
    <row r="10292" spans="1:13" x14ac:dyDescent="0.45">
      <c r="A10292" s="142" t="s">
        <v>6538</v>
      </c>
      <c r="B10292" s="142" t="s">
        <v>6537</v>
      </c>
      <c r="C10292" s="142" t="s">
        <v>14419</v>
      </c>
      <c r="D10292" s="142" t="s">
        <v>14419</v>
      </c>
      <c r="E10292" s="142" t="s">
        <v>349</v>
      </c>
      <c r="F10292" s="142" t="s">
        <v>898</v>
      </c>
      <c r="G10292" s="142" t="s">
        <v>6537</v>
      </c>
      <c r="H10292" s="142" t="s">
        <v>26144</v>
      </c>
      <c r="I10292" s="142">
        <v>6535</v>
      </c>
      <c r="J10292" s="142">
        <v>5173</v>
      </c>
      <c r="K10292" s="142">
        <v>1</v>
      </c>
      <c r="L10292" s="142">
        <v>722</v>
      </c>
      <c r="M10292" s="142">
        <v>639</v>
      </c>
    </row>
    <row r="10293" spans="1:13" x14ac:dyDescent="0.45">
      <c r="A10293" s="142" t="s">
        <v>9071</v>
      </c>
      <c r="B10293" s="142" t="s">
        <v>9070</v>
      </c>
      <c r="C10293" s="142" t="s">
        <v>14419</v>
      </c>
      <c r="D10293" s="142" t="s">
        <v>14419</v>
      </c>
      <c r="E10293" s="142" t="s">
        <v>349</v>
      </c>
      <c r="F10293" s="142" t="s">
        <v>1644</v>
      </c>
      <c r="G10293" s="142" t="s">
        <v>9070</v>
      </c>
      <c r="H10293" s="142" t="s">
        <v>26145</v>
      </c>
      <c r="I10293" s="142">
        <v>8573</v>
      </c>
      <c r="J10293" s="142">
        <v>6269</v>
      </c>
      <c r="K10293" s="142">
        <v>0</v>
      </c>
      <c r="L10293" s="142">
        <v>1140</v>
      </c>
      <c r="M10293" s="142">
        <v>1164</v>
      </c>
    </row>
    <row r="10294" spans="1:13" x14ac:dyDescent="0.45">
      <c r="A10294" s="142" t="s">
        <v>11902</v>
      </c>
      <c r="B10294" s="142" t="s">
        <v>11901</v>
      </c>
      <c r="C10294" s="142" t="s">
        <v>14419</v>
      </c>
      <c r="D10294" s="142" t="s">
        <v>14419</v>
      </c>
      <c r="E10294" s="142" t="s">
        <v>349</v>
      </c>
      <c r="F10294" s="142" t="s">
        <v>11188</v>
      </c>
      <c r="G10294" s="142" t="s">
        <v>11901</v>
      </c>
      <c r="H10294" s="142" t="s">
        <v>26146</v>
      </c>
      <c r="I10294" s="142">
        <v>24987</v>
      </c>
      <c r="J10294" s="142">
        <v>21084</v>
      </c>
      <c r="K10294" s="142">
        <v>97</v>
      </c>
      <c r="L10294" s="142">
        <v>1403</v>
      </c>
      <c r="M10294" s="142">
        <v>2403</v>
      </c>
    </row>
    <row r="10295" spans="1:13" x14ac:dyDescent="0.45">
      <c r="A10295" s="142" t="s">
        <v>3042</v>
      </c>
      <c r="B10295" s="142" t="s">
        <v>3041</v>
      </c>
      <c r="C10295" s="142" t="s">
        <v>14419</v>
      </c>
      <c r="D10295" s="142" t="s">
        <v>14419</v>
      </c>
      <c r="E10295" s="142" t="s">
        <v>349</v>
      </c>
      <c r="F10295" s="142" t="s">
        <v>1477</v>
      </c>
      <c r="G10295" s="142" t="s">
        <v>3041</v>
      </c>
      <c r="H10295" s="142" t="s">
        <v>26147</v>
      </c>
      <c r="I10295" s="142">
        <v>12732</v>
      </c>
      <c r="J10295" s="142">
        <v>9800</v>
      </c>
      <c r="K10295" s="142">
        <v>0</v>
      </c>
      <c r="L10295" s="142">
        <v>1491</v>
      </c>
      <c r="M10295" s="142">
        <v>1441</v>
      </c>
    </row>
    <row r="10296" spans="1:13" x14ac:dyDescent="0.45">
      <c r="A10296" s="142" t="s">
        <v>6036</v>
      </c>
      <c r="B10296" s="142" t="s">
        <v>6035</v>
      </c>
      <c r="C10296" s="142" t="s">
        <v>14419</v>
      </c>
      <c r="D10296" s="142" t="s">
        <v>14419</v>
      </c>
      <c r="E10296" s="142" t="s">
        <v>349</v>
      </c>
      <c r="F10296" s="142" t="s">
        <v>520</v>
      </c>
      <c r="G10296" s="142" t="s">
        <v>6035</v>
      </c>
      <c r="H10296" s="142" t="s">
        <v>26148</v>
      </c>
      <c r="I10296" s="142">
        <v>5223</v>
      </c>
      <c r="J10296" s="142">
        <v>3249</v>
      </c>
      <c r="K10296" s="142">
        <v>0</v>
      </c>
      <c r="L10296" s="142">
        <v>1862</v>
      </c>
      <c r="M10296" s="142">
        <v>112</v>
      </c>
    </row>
    <row r="10297" spans="1:13" x14ac:dyDescent="0.45">
      <c r="A10297" s="142" t="s">
        <v>8162</v>
      </c>
      <c r="B10297" s="142" t="s">
        <v>8161</v>
      </c>
      <c r="C10297" s="142" t="s">
        <v>14419</v>
      </c>
      <c r="D10297" s="142" t="s">
        <v>14419</v>
      </c>
      <c r="E10297" s="142" t="s">
        <v>349</v>
      </c>
      <c r="F10297" s="142" t="s">
        <v>1477</v>
      </c>
      <c r="G10297" s="142" t="s">
        <v>8161</v>
      </c>
      <c r="H10297" s="142" t="s">
        <v>26149</v>
      </c>
      <c r="I10297" s="142">
        <v>13056</v>
      </c>
      <c r="J10297" s="142">
        <v>11502</v>
      </c>
      <c r="K10297" s="142">
        <v>0</v>
      </c>
      <c r="L10297" s="142">
        <v>1242</v>
      </c>
      <c r="M10297" s="142">
        <v>312</v>
      </c>
    </row>
    <row r="10298" spans="1:13" x14ac:dyDescent="0.45">
      <c r="A10298" s="142" t="s">
        <v>2095</v>
      </c>
      <c r="B10298" s="142" t="s">
        <v>2094</v>
      </c>
      <c r="C10298" s="142" t="s">
        <v>14419</v>
      </c>
      <c r="D10298" s="142" t="s">
        <v>14419</v>
      </c>
      <c r="E10298" s="142" t="s">
        <v>349</v>
      </c>
      <c r="F10298" s="142" t="s">
        <v>1644</v>
      </c>
      <c r="G10298" s="142" t="s">
        <v>2094</v>
      </c>
      <c r="H10298" s="142" t="s">
        <v>26150</v>
      </c>
      <c r="I10298" s="142">
        <v>7775</v>
      </c>
      <c r="J10298" s="142">
        <v>6291</v>
      </c>
      <c r="K10298" s="142">
        <v>0</v>
      </c>
      <c r="L10298" s="142">
        <v>1138</v>
      </c>
      <c r="M10298" s="142">
        <v>346</v>
      </c>
    </row>
    <row r="10299" spans="1:13" x14ac:dyDescent="0.45">
      <c r="A10299" s="142" t="s">
        <v>2347</v>
      </c>
      <c r="B10299" s="142" t="s">
        <v>2346</v>
      </c>
      <c r="C10299" s="142" t="s">
        <v>14419</v>
      </c>
      <c r="D10299" s="142" t="s">
        <v>14419</v>
      </c>
      <c r="E10299" s="142" t="s">
        <v>349</v>
      </c>
      <c r="F10299" s="142" t="s">
        <v>1184</v>
      </c>
      <c r="G10299" s="142" t="s">
        <v>2346</v>
      </c>
      <c r="H10299" s="142" t="s">
        <v>26151</v>
      </c>
      <c r="I10299" s="142">
        <v>160</v>
      </c>
      <c r="J10299" s="142">
        <v>160</v>
      </c>
      <c r="K10299" s="142">
        <v>0</v>
      </c>
      <c r="L10299" s="142">
        <v>0</v>
      </c>
      <c r="M10299" s="142">
        <v>0</v>
      </c>
    </row>
    <row r="10300" spans="1:13" x14ac:dyDescent="0.45">
      <c r="A10300" s="142" t="s">
        <v>11944</v>
      </c>
      <c r="B10300" s="142" t="s">
        <v>11943</v>
      </c>
      <c r="C10300" s="142" t="s">
        <v>14419</v>
      </c>
      <c r="D10300" s="142" t="s">
        <v>14419</v>
      </c>
      <c r="E10300" s="142" t="s">
        <v>349</v>
      </c>
      <c r="F10300" s="142" t="s">
        <v>11188</v>
      </c>
      <c r="G10300" s="142" t="s">
        <v>11943</v>
      </c>
      <c r="H10300" s="142" t="s">
        <v>26152</v>
      </c>
      <c r="I10300" s="142">
        <v>43678</v>
      </c>
      <c r="J10300" s="142">
        <v>39756</v>
      </c>
      <c r="K10300" s="142">
        <v>301</v>
      </c>
      <c r="L10300" s="142">
        <v>2163</v>
      </c>
      <c r="M10300" s="142">
        <v>1458</v>
      </c>
    </row>
    <row r="10301" spans="1:13" x14ac:dyDescent="0.45">
      <c r="A10301" s="142" t="s">
        <v>11986</v>
      </c>
      <c r="B10301" s="142" t="s">
        <v>11985</v>
      </c>
      <c r="C10301" s="142" t="s">
        <v>14419</v>
      </c>
      <c r="D10301" s="142" t="s">
        <v>14419</v>
      </c>
      <c r="E10301" s="142" t="s">
        <v>349</v>
      </c>
      <c r="F10301" s="142" t="s">
        <v>11188</v>
      </c>
      <c r="G10301" s="142" t="s">
        <v>11985</v>
      </c>
      <c r="H10301" s="142" t="s">
        <v>26153</v>
      </c>
      <c r="I10301" s="142">
        <v>20279</v>
      </c>
      <c r="J10301" s="142">
        <v>17327</v>
      </c>
      <c r="K10301" s="142">
        <v>310</v>
      </c>
      <c r="L10301" s="142">
        <v>2090</v>
      </c>
      <c r="M10301" s="142">
        <v>552</v>
      </c>
    </row>
    <row r="10302" spans="1:13" x14ac:dyDescent="0.45">
      <c r="A10302" s="142" t="s">
        <v>7125</v>
      </c>
      <c r="B10302" s="142" t="s">
        <v>7124</v>
      </c>
      <c r="C10302" s="142" t="s">
        <v>14419</v>
      </c>
      <c r="D10302" s="142" t="s">
        <v>14419</v>
      </c>
      <c r="E10302" s="142" t="s">
        <v>349</v>
      </c>
      <c r="F10302" s="142" t="s">
        <v>1477</v>
      </c>
      <c r="G10302" s="142" t="s">
        <v>7124</v>
      </c>
      <c r="H10302" s="142" t="s">
        <v>26154</v>
      </c>
      <c r="I10302" s="142">
        <v>10254</v>
      </c>
      <c r="J10302" s="142">
        <v>8643</v>
      </c>
      <c r="K10302" s="142">
        <v>22</v>
      </c>
      <c r="L10302" s="142">
        <v>1281</v>
      </c>
      <c r="M10302" s="142">
        <v>308</v>
      </c>
    </row>
    <row r="10303" spans="1:13" x14ac:dyDescent="0.45">
      <c r="A10303" s="142" t="s">
        <v>687</v>
      </c>
      <c r="B10303" s="142" t="s">
        <v>686</v>
      </c>
      <c r="C10303" s="142" t="s">
        <v>14419</v>
      </c>
      <c r="D10303" s="142" t="s">
        <v>14419</v>
      </c>
      <c r="E10303" s="142" t="s">
        <v>349</v>
      </c>
      <c r="F10303" s="142" t="s">
        <v>688</v>
      </c>
      <c r="G10303" s="142" t="s">
        <v>686</v>
      </c>
      <c r="H10303" s="142" t="s">
        <v>26155</v>
      </c>
      <c r="I10303" s="142">
        <v>33105</v>
      </c>
      <c r="J10303" s="142">
        <v>29665</v>
      </c>
      <c r="K10303" s="142">
        <v>97</v>
      </c>
      <c r="L10303" s="142">
        <v>2848</v>
      </c>
      <c r="M10303" s="142">
        <v>495</v>
      </c>
    </row>
    <row r="10304" spans="1:13" x14ac:dyDescent="0.45">
      <c r="A10304" s="142" t="s">
        <v>12028</v>
      </c>
      <c r="B10304" s="142" t="s">
        <v>12027</v>
      </c>
      <c r="C10304" s="142" t="s">
        <v>14419</v>
      </c>
      <c r="D10304" s="142" t="s">
        <v>14419</v>
      </c>
      <c r="E10304" s="142" t="s">
        <v>349</v>
      </c>
      <c r="F10304" s="142" t="s">
        <v>11188</v>
      </c>
      <c r="G10304" s="142" t="s">
        <v>12027</v>
      </c>
      <c r="H10304" s="142" t="s">
        <v>26156</v>
      </c>
      <c r="I10304" s="142">
        <v>7961</v>
      </c>
      <c r="J10304" s="142">
        <v>6784</v>
      </c>
      <c r="K10304" s="142">
        <v>94</v>
      </c>
      <c r="L10304" s="142">
        <v>499</v>
      </c>
      <c r="M10304" s="142">
        <v>584</v>
      </c>
    </row>
    <row r="10305" spans="1:13" x14ac:dyDescent="0.45">
      <c r="A10305" s="142" t="s">
        <v>11020</v>
      </c>
      <c r="B10305" s="142" t="s">
        <v>11019</v>
      </c>
      <c r="C10305" s="142" t="s">
        <v>14419</v>
      </c>
      <c r="D10305" s="142" t="s">
        <v>14419</v>
      </c>
      <c r="E10305" s="142" t="s">
        <v>349</v>
      </c>
      <c r="F10305" s="142" t="s">
        <v>688</v>
      </c>
      <c r="G10305" s="142" t="s">
        <v>11019</v>
      </c>
      <c r="H10305" s="142" t="s">
        <v>26157</v>
      </c>
      <c r="I10305" s="142">
        <v>28543</v>
      </c>
      <c r="J10305" s="142">
        <v>25648</v>
      </c>
      <c r="K10305" s="142">
        <v>0</v>
      </c>
      <c r="L10305" s="142">
        <v>2223</v>
      </c>
      <c r="M10305" s="142">
        <v>672</v>
      </c>
    </row>
    <row r="10306" spans="1:13" x14ac:dyDescent="0.45">
      <c r="A10306" s="142" t="s">
        <v>10101</v>
      </c>
      <c r="B10306" s="142" t="s">
        <v>10100</v>
      </c>
      <c r="C10306" s="142" t="s">
        <v>14419</v>
      </c>
      <c r="D10306" s="142" t="s">
        <v>14419</v>
      </c>
      <c r="E10306" s="142" t="s">
        <v>349</v>
      </c>
      <c r="F10306" s="142" t="s">
        <v>520</v>
      </c>
      <c r="G10306" s="142" t="s">
        <v>10100</v>
      </c>
      <c r="H10306" s="142" t="s">
        <v>26158</v>
      </c>
      <c r="I10306" s="142">
        <v>19145</v>
      </c>
      <c r="J10306" s="142">
        <v>16076</v>
      </c>
      <c r="K10306" s="142">
        <v>4</v>
      </c>
      <c r="L10306" s="142">
        <v>2212</v>
      </c>
      <c r="M10306" s="142">
        <v>853</v>
      </c>
    </row>
    <row r="10307" spans="1:13" x14ac:dyDescent="0.45">
      <c r="A10307" s="142" t="s">
        <v>12072</v>
      </c>
      <c r="B10307" s="142" t="s">
        <v>12071</v>
      </c>
      <c r="C10307" s="142" t="s">
        <v>14419</v>
      </c>
      <c r="D10307" s="142" t="s">
        <v>14419</v>
      </c>
      <c r="E10307" s="142" t="s">
        <v>349</v>
      </c>
      <c r="F10307" s="142" t="s">
        <v>11188</v>
      </c>
      <c r="G10307" s="142" t="s">
        <v>12071</v>
      </c>
      <c r="H10307" s="142" t="s">
        <v>26159</v>
      </c>
      <c r="I10307" s="142">
        <v>50476</v>
      </c>
      <c r="J10307" s="142">
        <v>44305</v>
      </c>
      <c r="K10307" s="142">
        <v>97</v>
      </c>
      <c r="L10307" s="142">
        <v>4055</v>
      </c>
      <c r="M10307" s="142">
        <v>2019</v>
      </c>
    </row>
    <row r="10308" spans="1:13" x14ac:dyDescent="0.45">
      <c r="A10308" s="142" t="s">
        <v>6078</v>
      </c>
      <c r="B10308" s="142" t="s">
        <v>6077</v>
      </c>
      <c r="C10308" s="142" t="s">
        <v>14419</v>
      </c>
      <c r="D10308" s="142" t="s">
        <v>14419</v>
      </c>
      <c r="E10308" s="142" t="s">
        <v>349</v>
      </c>
      <c r="F10308" s="142" t="s">
        <v>520</v>
      </c>
      <c r="G10308" s="142" t="s">
        <v>6077</v>
      </c>
      <c r="H10308" s="142" t="s">
        <v>26160</v>
      </c>
      <c r="I10308" s="142">
        <v>7106</v>
      </c>
      <c r="J10308" s="142">
        <v>5135</v>
      </c>
      <c r="K10308" s="142">
        <v>1</v>
      </c>
      <c r="L10308" s="142">
        <v>1533</v>
      </c>
      <c r="M10308" s="142">
        <v>437</v>
      </c>
    </row>
    <row r="10309" spans="1:13" x14ac:dyDescent="0.45">
      <c r="A10309" s="142" t="s">
        <v>11062</v>
      </c>
      <c r="B10309" s="142" t="s">
        <v>11061</v>
      </c>
      <c r="C10309" s="142" t="s">
        <v>14419</v>
      </c>
      <c r="D10309" s="142" t="s">
        <v>14419</v>
      </c>
      <c r="E10309" s="142" t="s">
        <v>349</v>
      </c>
      <c r="F10309" s="142" t="s">
        <v>688</v>
      </c>
      <c r="G10309" s="142" t="s">
        <v>11061</v>
      </c>
      <c r="H10309" s="142" t="s">
        <v>26161</v>
      </c>
      <c r="I10309" s="142">
        <v>73191</v>
      </c>
      <c r="J10309" s="142">
        <v>62317</v>
      </c>
      <c r="K10309" s="142">
        <v>22</v>
      </c>
      <c r="L10309" s="142">
        <v>8960</v>
      </c>
      <c r="M10309" s="142">
        <v>1892</v>
      </c>
    </row>
    <row r="10310" spans="1:13" x14ac:dyDescent="0.45">
      <c r="A10310" s="142" t="s">
        <v>940</v>
      </c>
      <c r="B10310" s="142" t="s">
        <v>939</v>
      </c>
      <c r="C10310" s="142" t="s">
        <v>14419</v>
      </c>
      <c r="D10310" s="142" t="s">
        <v>14419</v>
      </c>
      <c r="E10310" s="142" t="s">
        <v>349</v>
      </c>
      <c r="F10310" s="142" t="s">
        <v>898</v>
      </c>
      <c r="G10310" s="142" t="s">
        <v>939</v>
      </c>
      <c r="H10310" s="142" t="s">
        <v>26162</v>
      </c>
      <c r="I10310" s="142">
        <v>31004</v>
      </c>
      <c r="J10310" s="142">
        <v>28416</v>
      </c>
      <c r="K10310" s="142">
        <v>3</v>
      </c>
      <c r="L10310" s="142">
        <v>1982</v>
      </c>
      <c r="M10310" s="142">
        <v>603</v>
      </c>
    </row>
    <row r="10311" spans="1:13" x14ac:dyDescent="0.45">
      <c r="A10311" s="142" t="s">
        <v>3879</v>
      </c>
      <c r="B10311" s="142" t="s">
        <v>3878</v>
      </c>
      <c r="C10311" s="142" t="s">
        <v>14419</v>
      </c>
      <c r="D10311" s="142" t="s">
        <v>14419</v>
      </c>
      <c r="E10311" s="142" t="s">
        <v>349</v>
      </c>
      <c r="F10311" s="142" t="s">
        <v>1644</v>
      </c>
      <c r="G10311" s="142" t="s">
        <v>3878</v>
      </c>
      <c r="H10311" s="142" t="s">
        <v>26163</v>
      </c>
      <c r="I10311" s="142">
        <v>5789</v>
      </c>
      <c r="J10311" s="142">
        <v>4263</v>
      </c>
      <c r="K10311" s="142">
        <v>0</v>
      </c>
      <c r="L10311" s="142">
        <v>969</v>
      </c>
      <c r="M10311" s="142">
        <v>557</v>
      </c>
    </row>
    <row r="10312" spans="1:13" x14ac:dyDescent="0.45">
      <c r="A10312" s="142" t="s">
        <v>12114</v>
      </c>
      <c r="B10312" s="142" t="s">
        <v>12113</v>
      </c>
      <c r="C10312" s="142" t="s">
        <v>14419</v>
      </c>
      <c r="D10312" s="142" t="s">
        <v>14419</v>
      </c>
      <c r="E10312" s="142" t="s">
        <v>349</v>
      </c>
      <c r="F10312" s="142" t="s">
        <v>11188</v>
      </c>
      <c r="G10312" s="142" t="s">
        <v>12113</v>
      </c>
      <c r="H10312" s="142" t="s">
        <v>26164</v>
      </c>
      <c r="I10312" s="142">
        <v>40707</v>
      </c>
      <c r="J10312" s="142">
        <v>34661</v>
      </c>
      <c r="K10312" s="142">
        <v>950</v>
      </c>
      <c r="L10312" s="142">
        <v>3010</v>
      </c>
      <c r="M10312" s="142">
        <v>2086</v>
      </c>
    </row>
    <row r="10313" spans="1:13" x14ac:dyDescent="0.45">
      <c r="A10313" s="142" t="s">
        <v>7871</v>
      </c>
      <c r="B10313" s="142" t="s">
        <v>7870</v>
      </c>
      <c r="C10313" s="142" t="s">
        <v>14419</v>
      </c>
      <c r="D10313" s="142" t="s">
        <v>14419</v>
      </c>
      <c r="E10313" s="142" t="s">
        <v>349</v>
      </c>
      <c r="F10313" s="142" t="s">
        <v>1059</v>
      </c>
      <c r="G10313" s="142" t="s">
        <v>7870</v>
      </c>
      <c r="H10313" s="142" t="s">
        <v>26165</v>
      </c>
      <c r="I10313" s="142">
        <v>7241</v>
      </c>
      <c r="J10313" s="142">
        <v>6009</v>
      </c>
      <c r="K10313" s="142">
        <v>0</v>
      </c>
      <c r="L10313" s="142">
        <v>441</v>
      </c>
      <c r="M10313" s="142">
        <v>791</v>
      </c>
    </row>
    <row r="10314" spans="1:13" x14ac:dyDescent="0.45">
      <c r="A10314" s="142" t="s">
        <v>6790</v>
      </c>
      <c r="B10314" s="142" t="s">
        <v>6789</v>
      </c>
      <c r="C10314" s="142" t="s">
        <v>14419</v>
      </c>
      <c r="D10314" s="142" t="s">
        <v>14419</v>
      </c>
      <c r="E10314" s="142" t="s">
        <v>349</v>
      </c>
      <c r="F10314" s="142" t="s">
        <v>898</v>
      </c>
      <c r="G10314" s="142" t="s">
        <v>6789</v>
      </c>
      <c r="H10314" s="142" t="s">
        <v>26166</v>
      </c>
      <c r="I10314" s="142">
        <v>10057</v>
      </c>
      <c r="J10314" s="142">
        <v>8675</v>
      </c>
      <c r="K10314" s="142">
        <v>0</v>
      </c>
      <c r="L10314" s="142">
        <v>1091</v>
      </c>
      <c r="M10314" s="142">
        <v>291</v>
      </c>
    </row>
    <row r="10315" spans="1:13" x14ac:dyDescent="0.45">
      <c r="A10315" s="142" t="s">
        <v>10143</v>
      </c>
      <c r="B10315" s="142" t="s">
        <v>10142</v>
      </c>
      <c r="C10315" s="142" t="s">
        <v>14419</v>
      </c>
      <c r="D10315" s="142" t="s">
        <v>14419</v>
      </c>
      <c r="E10315" s="142" t="s">
        <v>349</v>
      </c>
      <c r="F10315" s="142" t="s">
        <v>520</v>
      </c>
      <c r="G10315" s="142" t="s">
        <v>10142</v>
      </c>
      <c r="H10315" s="142" t="s">
        <v>26167</v>
      </c>
      <c r="I10315" s="142">
        <v>59483</v>
      </c>
      <c r="J10315" s="142">
        <v>52060</v>
      </c>
      <c r="K10315" s="142">
        <v>16</v>
      </c>
      <c r="L10315" s="142">
        <v>6415</v>
      </c>
      <c r="M10315" s="142">
        <v>992</v>
      </c>
    </row>
    <row r="10316" spans="1:13" x14ac:dyDescent="0.45">
      <c r="A10316" s="142" t="s">
        <v>1519</v>
      </c>
      <c r="B10316" s="142" t="s">
        <v>1518</v>
      </c>
      <c r="C10316" s="142" t="s">
        <v>14419</v>
      </c>
      <c r="D10316" s="142" t="s">
        <v>14419</v>
      </c>
      <c r="E10316" s="142" t="s">
        <v>349</v>
      </c>
      <c r="F10316" s="142" t="s">
        <v>1477</v>
      </c>
      <c r="G10316" s="142" t="s">
        <v>1518</v>
      </c>
      <c r="H10316" s="142" t="s">
        <v>26168</v>
      </c>
      <c r="I10316" s="142">
        <v>12701</v>
      </c>
      <c r="J10316" s="142">
        <v>11538</v>
      </c>
      <c r="K10316" s="142">
        <v>171</v>
      </c>
      <c r="L10316" s="142">
        <v>638</v>
      </c>
      <c r="M10316" s="142">
        <v>354</v>
      </c>
    </row>
    <row r="10317" spans="1:13" x14ac:dyDescent="0.45">
      <c r="A10317" s="142" t="s">
        <v>5636</v>
      </c>
      <c r="B10317" s="142" t="s">
        <v>5635</v>
      </c>
      <c r="C10317" s="142" t="s">
        <v>14419</v>
      </c>
      <c r="D10317" s="142" t="s">
        <v>14419</v>
      </c>
      <c r="E10317" s="142" t="s">
        <v>349</v>
      </c>
      <c r="F10317" s="142" t="s">
        <v>1644</v>
      </c>
      <c r="G10317" s="142" t="s">
        <v>5635</v>
      </c>
      <c r="H10317" s="142" t="s">
        <v>26169</v>
      </c>
      <c r="I10317" s="142">
        <v>11738</v>
      </c>
      <c r="J10317" s="142">
        <v>9375</v>
      </c>
      <c r="K10317" s="142">
        <v>0</v>
      </c>
      <c r="L10317" s="142">
        <v>813</v>
      </c>
      <c r="M10317" s="142">
        <v>1550</v>
      </c>
    </row>
    <row r="10318" spans="1:13" x14ac:dyDescent="0.45">
      <c r="A10318" s="142" t="s">
        <v>4340</v>
      </c>
      <c r="B10318" s="142" t="s">
        <v>4339</v>
      </c>
      <c r="C10318" s="142" t="s">
        <v>14419</v>
      </c>
      <c r="D10318" s="142" t="s">
        <v>14419</v>
      </c>
      <c r="E10318" s="142" t="s">
        <v>349</v>
      </c>
      <c r="F10318" s="142" t="s">
        <v>1477</v>
      </c>
      <c r="G10318" s="142" t="s">
        <v>4339</v>
      </c>
      <c r="H10318" s="142" t="s">
        <v>26170</v>
      </c>
      <c r="I10318" s="142">
        <v>3829</v>
      </c>
      <c r="J10318" s="142">
        <v>2707</v>
      </c>
      <c r="K10318" s="142">
        <v>0</v>
      </c>
      <c r="L10318" s="142">
        <v>828</v>
      </c>
      <c r="M10318" s="142">
        <v>294</v>
      </c>
    </row>
    <row r="10319" spans="1:13" x14ac:dyDescent="0.45">
      <c r="A10319" s="142" t="s">
        <v>9230</v>
      </c>
      <c r="B10319" s="142" t="s">
        <v>9229</v>
      </c>
      <c r="C10319" s="142" t="s">
        <v>14419</v>
      </c>
      <c r="D10319" s="142" t="s">
        <v>14419</v>
      </c>
      <c r="E10319" s="142" t="s">
        <v>349</v>
      </c>
      <c r="F10319" s="142" t="s">
        <v>1059</v>
      </c>
      <c r="G10319" s="142" t="s">
        <v>9229</v>
      </c>
      <c r="H10319" s="142" t="s">
        <v>26171</v>
      </c>
      <c r="I10319" s="142">
        <v>6234</v>
      </c>
      <c r="J10319" s="142">
        <v>4922</v>
      </c>
      <c r="K10319" s="142">
        <v>0</v>
      </c>
      <c r="L10319" s="142">
        <v>672</v>
      </c>
      <c r="M10319" s="142">
        <v>640</v>
      </c>
    </row>
    <row r="10320" spans="1:13" x14ac:dyDescent="0.45">
      <c r="A10320" s="142" t="s">
        <v>9769</v>
      </c>
      <c r="B10320" s="142" t="s">
        <v>9768</v>
      </c>
      <c r="C10320" s="142" t="s">
        <v>14419</v>
      </c>
      <c r="D10320" s="142" t="s">
        <v>14419</v>
      </c>
      <c r="E10320" s="142" t="s">
        <v>349</v>
      </c>
      <c r="F10320" s="142" t="s">
        <v>520</v>
      </c>
      <c r="G10320" s="142" t="s">
        <v>9768</v>
      </c>
      <c r="H10320" s="142" t="s">
        <v>26172</v>
      </c>
      <c r="I10320" s="142">
        <v>69234</v>
      </c>
      <c r="J10320" s="142">
        <v>60559</v>
      </c>
      <c r="K10320" s="142">
        <v>250</v>
      </c>
      <c r="L10320" s="142">
        <v>6478</v>
      </c>
      <c r="M10320" s="142">
        <v>1947</v>
      </c>
    </row>
    <row r="10321" spans="1:13" x14ac:dyDescent="0.45">
      <c r="A10321" s="142" t="s">
        <v>7461</v>
      </c>
      <c r="B10321" s="142" t="s">
        <v>7460</v>
      </c>
      <c r="C10321" s="142" t="s">
        <v>14419</v>
      </c>
      <c r="D10321" s="142" t="s">
        <v>14419</v>
      </c>
      <c r="E10321" s="142" t="s">
        <v>349</v>
      </c>
      <c r="F10321" s="142" t="s">
        <v>898</v>
      </c>
      <c r="G10321" s="142" t="s">
        <v>7460</v>
      </c>
      <c r="H10321" s="142" t="s">
        <v>26173</v>
      </c>
      <c r="I10321" s="142">
        <v>8833</v>
      </c>
      <c r="J10321" s="142">
        <v>5992</v>
      </c>
      <c r="K10321" s="142">
        <v>0</v>
      </c>
      <c r="L10321" s="142">
        <v>2650</v>
      </c>
      <c r="M10321" s="142">
        <v>191</v>
      </c>
    </row>
    <row r="10322" spans="1:13" x14ac:dyDescent="0.45">
      <c r="A10322" s="142" t="s">
        <v>1643</v>
      </c>
      <c r="B10322" s="142" t="s">
        <v>1642</v>
      </c>
      <c r="C10322" s="142" t="s">
        <v>14419</v>
      </c>
      <c r="D10322" s="142" t="s">
        <v>14419</v>
      </c>
      <c r="E10322" s="142" t="s">
        <v>349</v>
      </c>
      <c r="F10322" s="142" t="s">
        <v>1644</v>
      </c>
      <c r="G10322" s="142" t="s">
        <v>1642</v>
      </c>
      <c r="H10322" s="142" t="s">
        <v>26174</v>
      </c>
      <c r="I10322" s="142">
        <v>10634</v>
      </c>
      <c r="J10322" s="142">
        <v>7127</v>
      </c>
      <c r="K10322" s="142">
        <v>15</v>
      </c>
      <c r="L10322" s="142">
        <v>1650</v>
      </c>
      <c r="M10322" s="142">
        <v>1842</v>
      </c>
    </row>
    <row r="10323" spans="1:13" x14ac:dyDescent="0.45">
      <c r="A10323" s="142" t="s">
        <v>6580</v>
      </c>
      <c r="B10323" s="142" t="s">
        <v>6579</v>
      </c>
      <c r="C10323" s="142" t="s">
        <v>14419</v>
      </c>
      <c r="D10323" s="142" t="s">
        <v>14419</v>
      </c>
      <c r="E10323" s="142" t="s">
        <v>349</v>
      </c>
      <c r="F10323" s="142" t="s">
        <v>898</v>
      </c>
      <c r="G10323" s="142" t="s">
        <v>6579</v>
      </c>
      <c r="H10323" s="142" t="s">
        <v>26175</v>
      </c>
      <c r="I10323" s="142">
        <v>3094</v>
      </c>
      <c r="J10323" s="142">
        <v>2385</v>
      </c>
      <c r="K10323" s="142">
        <v>0</v>
      </c>
      <c r="L10323" s="142">
        <v>379</v>
      </c>
      <c r="M10323" s="142">
        <v>330</v>
      </c>
    </row>
    <row r="10324" spans="1:13" x14ac:dyDescent="0.45">
      <c r="A10324" s="142" t="s">
        <v>12156</v>
      </c>
      <c r="B10324" s="142" t="s">
        <v>12155</v>
      </c>
      <c r="C10324" s="142" t="s">
        <v>14419</v>
      </c>
      <c r="D10324" s="142" t="s">
        <v>14419</v>
      </c>
      <c r="E10324" s="142" t="s">
        <v>349</v>
      </c>
      <c r="F10324" s="142" t="s">
        <v>11188</v>
      </c>
      <c r="G10324" s="142" t="s">
        <v>12155</v>
      </c>
      <c r="H10324" s="142" t="s">
        <v>26176</v>
      </c>
      <c r="I10324" s="142">
        <v>12379</v>
      </c>
      <c r="J10324" s="142">
        <v>10149</v>
      </c>
      <c r="K10324" s="142">
        <v>25</v>
      </c>
      <c r="L10324" s="142">
        <v>1159</v>
      </c>
      <c r="M10324" s="142">
        <v>1046</v>
      </c>
    </row>
    <row r="10325" spans="1:13" x14ac:dyDescent="0.45">
      <c r="A10325" s="142" t="s">
        <v>3546</v>
      </c>
      <c r="B10325" s="142" t="s">
        <v>3545</v>
      </c>
      <c r="C10325" s="142" t="s">
        <v>14419</v>
      </c>
      <c r="D10325" s="142" t="s">
        <v>14419</v>
      </c>
      <c r="E10325" s="142" t="s">
        <v>349</v>
      </c>
      <c r="F10325" s="142" t="s">
        <v>1184</v>
      </c>
      <c r="G10325" s="142" t="s">
        <v>3545</v>
      </c>
      <c r="H10325" s="142" t="s">
        <v>26177</v>
      </c>
      <c r="I10325" s="142">
        <v>4957</v>
      </c>
      <c r="J10325" s="142">
        <v>4236</v>
      </c>
      <c r="K10325" s="142">
        <v>0</v>
      </c>
      <c r="L10325" s="142">
        <v>357</v>
      </c>
      <c r="M10325" s="142">
        <v>364</v>
      </c>
    </row>
    <row r="10326" spans="1:13" x14ac:dyDescent="0.45">
      <c r="A10326" s="142" t="s">
        <v>8204</v>
      </c>
      <c r="B10326" s="142" t="s">
        <v>8203</v>
      </c>
      <c r="C10326" s="142" t="s">
        <v>14419</v>
      </c>
      <c r="D10326" s="142" t="s">
        <v>14419</v>
      </c>
      <c r="E10326" s="142" t="s">
        <v>349</v>
      </c>
      <c r="F10326" s="142" t="s">
        <v>1477</v>
      </c>
      <c r="G10326" s="142" t="s">
        <v>8203</v>
      </c>
      <c r="H10326" s="142" t="s">
        <v>26178</v>
      </c>
      <c r="I10326" s="142">
        <v>6858</v>
      </c>
      <c r="J10326" s="142">
        <v>5294</v>
      </c>
      <c r="K10326" s="142">
        <v>22</v>
      </c>
      <c r="L10326" s="142">
        <v>576</v>
      </c>
      <c r="M10326" s="142">
        <v>966</v>
      </c>
    </row>
    <row r="10327" spans="1:13" x14ac:dyDescent="0.45">
      <c r="A10327" s="142" t="s">
        <v>9113</v>
      </c>
      <c r="B10327" s="142" t="s">
        <v>9112</v>
      </c>
      <c r="C10327" s="142" t="s">
        <v>14419</v>
      </c>
      <c r="D10327" s="142" t="s">
        <v>14419</v>
      </c>
      <c r="E10327" s="142" t="s">
        <v>349</v>
      </c>
      <c r="F10327" s="142" t="s">
        <v>1644</v>
      </c>
      <c r="G10327" s="142" t="s">
        <v>9112</v>
      </c>
      <c r="H10327" s="142" t="s">
        <v>26179</v>
      </c>
      <c r="I10327" s="142">
        <v>9078</v>
      </c>
      <c r="J10327" s="142">
        <v>7095</v>
      </c>
      <c r="K10327" s="142">
        <v>0</v>
      </c>
      <c r="L10327" s="142">
        <v>959</v>
      </c>
      <c r="M10327" s="142">
        <v>1024</v>
      </c>
    </row>
    <row r="10328" spans="1:13" x14ac:dyDescent="0.45">
      <c r="A10328" s="142" t="s">
        <v>352</v>
      </c>
      <c r="B10328" s="142" t="s">
        <v>351</v>
      </c>
      <c r="C10328" s="142" t="s">
        <v>14419</v>
      </c>
      <c r="D10328" s="142" t="s">
        <v>14419</v>
      </c>
      <c r="E10328" s="142" t="s">
        <v>349</v>
      </c>
      <c r="F10328" s="142" t="s">
        <v>292</v>
      </c>
      <c r="G10328" s="142" t="s">
        <v>351</v>
      </c>
      <c r="H10328" s="142" t="s">
        <v>26180</v>
      </c>
      <c r="I10328" s="142">
        <v>15372</v>
      </c>
      <c r="J10328" s="142">
        <v>12985</v>
      </c>
      <c r="K10328" s="142">
        <v>2</v>
      </c>
      <c r="L10328" s="142">
        <v>1966</v>
      </c>
      <c r="M10328" s="142">
        <v>419</v>
      </c>
    </row>
    <row r="10329" spans="1:13" x14ac:dyDescent="0.45">
      <c r="A10329" s="142" t="s">
        <v>1927</v>
      </c>
      <c r="B10329" s="142" t="s">
        <v>1926</v>
      </c>
      <c r="C10329" s="142" t="s">
        <v>14419</v>
      </c>
      <c r="D10329" s="142" t="s">
        <v>14419</v>
      </c>
      <c r="E10329" s="142" t="s">
        <v>349</v>
      </c>
      <c r="F10329" s="142" t="s">
        <v>1644</v>
      </c>
      <c r="G10329" s="142" t="s">
        <v>1926</v>
      </c>
      <c r="H10329" s="142" t="s">
        <v>26181</v>
      </c>
      <c r="I10329" s="142">
        <v>30391</v>
      </c>
      <c r="J10329" s="142">
        <v>21012</v>
      </c>
      <c r="K10329" s="142">
        <v>114</v>
      </c>
      <c r="L10329" s="142">
        <v>1257</v>
      </c>
      <c r="M10329" s="142">
        <v>8008</v>
      </c>
    </row>
    <row r="10330" spans="1:13" x14ac:dyDescent="0.45">
      <c r="A10330" s="142" t="s">
        <v>8372</v>
      </c>
      <c r="B10330" s="142" t="s">
        <v>8371</v>
      </c>
      <c r="C10330" s="142" t="s">
        <v>14419</v>
      </c>
      <c r="D10330" s="142" t="s">
        <v>14419</v>
      </c>
      <c r="E10330" s="142" t="s">
        <v>349</v>
      </c>
      <c r="F10330" s="142" t="s">
        <v>1644</v>
      </c>
      <c r="G10330" s="142" t="s">
        <v>8371</v>
      </c>
      <c r="H10330" s="142" t="s">
        <v>26182</v>
      </c>
      <c r="I10330" s="142">
        <v>4712</v>
      </c>
      <c r="J10330" s="142">
        <v>3520</v>
      </c>
      <c r="K10330" s="142">
        <v>0</v>
      </c>
      <c r="L10330" s="142">
        <v>870</v>
      </c>
      <c r="M10330" s="142">
        <v>322</v>
      </c>
    </row>
    <row r="10331" spans="1:13" x14ac:dyDescent="0.45">
      <c r="A10331" s="142" t="s">
        <v>5026</v>
      </c>
      <c r="B10331" s="142" t="s">
        <v>5025</v>
      </c>
      <c r="C10331" s="142" t="s">
        <v>14419</v>
      </c>
      <c r="D10331" s="142" t="s">
        <v>14419</v>
      </c>
      <c r="E10331" s="142" t="s">
        <v>349</v>
      </c>
      <c r="F10331" s="142" t="s">
        <v>1644</v>
      </c>
      <c r="G10331" s="142" t="s">
        <v>5025</v>
      </c>
      <c r="H10331" s="142" t="s">
        <v>26183</v>
      </c>
      <c r="I10331" s="142">
        <v>9210</v>
      </c>
      <c r="J10331" s="142">
        <v>8068</v>
      </c>
      <c r="K10331" s="142">
        <v>78</v>
      </c>
      <c r="L10331" s="142">
        <v>614</v>
      </c>
      <c r="M10331" s="142">
        <v>450</v>
      </c>
    </row>
    <row r="10332" spans="1:13" x14ac:dyDescent="0.45">
      <c r="A10332" s="142" t="s">
        <v>7503</v>
      </c>
      <c r="B10332" s="142" t="s">
        <v>7502</v>
      </c>
      <c r="C10332" s="142" t="s">
        <v>14419</v>
      </c>
      <c r="D10332" s="142" t="s">
        <v>14419</v>
      </c>
      <c r="E10332" s="142" t="s">
        <v>349</v>
      </c>
      <c r="F10332" s="142" t="s">
        <v>898</v>
      </c>
      <c r="G10332" s="142" t="s">
        <v>7502</v>
      </c>
      <c r="H10332" s="142" t="s">
        <v>26184</v>
      </c>
      <c r="I10332" s="142">
        <v>8896</v>
      </c>
      <c r="J10332" s="142">
        <v>5110</v>
      </c>
      <c r="K10332" s="142">
        <v>0</v>
      </c>
      <c r="L10332" s="142">
        <v>3298</v>
      </c>
      <c r="M10332" s="142">
        <v>488</v>
      </c>
    </row>
    <row r="10333" spans="1:13" x14ac:dyDescent="0.45">
      <c r="A10333" s="142" t="s">
        <v>10477</v>
      </c>
      <c r="B10333" s="142" t="s">
        <v>10476</v>
      </c>
      <c r="C10333" s="142" t="s">
        <v>14419</v>
      </c>
      <c r="D10333" s="142" t="s">
        <v>14419</v>
      </c>
      <c r="E10333" s="142" t="s">
        <v>349</v>
      </c>
      <c r="F10333" s="142" t="s">
        <v>292</v>
      </c>
      <c r="G10333" s="142" t="s">
        <v>10476</v>
      </c>
      <c r="H10333" s="142" t="s">
        <v>26185</v>
      </c>
      <c r="I10333" s="142">
        <v>35890</v>
      </c>
      <c r="J10333" s="142">
        <v>31054</v>
      </c>
      <c r="K10333" s="142">
        <v>131</v>
      </c>
      <c r="L10333" s="142">
        <v>4215</v>
      </c>
      <c r="M10333" s="142">
        <v>490</v>
      </c>
    </row>
    <row r="10334" spans="1:13" x14ac:dyDescent="0.45">
      <c r="A10334" s="142" t="s">
        <v>7913</v>
      </c>
      <c r="B10334" s="142" t="s">
        <v>7912</v>
      </c>
      <c r="C10334" s="142" t="s">
        <v>14419</v>
      </c>
      <c r="D10334" s="142" t="s">
        <v>14419</v>
      </c>
      <c r="E10334" s="142" t="s">
        <v>349</v>
      </c>
      <c r="F10334" s="142" t="s">
        <v>1059</v>
      </c>
      <c r="G10334" s="142" t="s">
        <v>7912</v>
      </c>
      <c r="H10334" s="142" t="s">
        <v>26186</v>
      </c>
      <c r="I10334" s="142">
        <v>9905</v>
      </c>
      <c r="J10334" s="142">
        <v>8655</v>
      </c>
      <c r="K10334" s="142">
        <v>10</v>
      </c>
      <c r="L10334" s="142">
        <v>937</v>
      </c>
      <c r="M10334" s="142">
        <v>303</v>
      </c>
    </row>
    <row r="10335" spans="1:13" x14ac:dyDescent="0.45">
      <c r="A10335" s="142" t="s">
        <v>12198</v>
      </c>
      <c r="B10335" s="142" t="s">
        <v>12197</v>
      </c>
      <c r="C10335" s="142" t="s">
        <v>14419</v>
      </c>
      <c r="D10335" s="142" t="s">
        <v>14419</v>
      </c>
      <c r="E10335" s="142" t="s">
        <v>349</v>
      </c>
      <c r="F10335" s="142" t="s">
        <v>11188</v>
      </c>
      <c r="G10335" s="142" t="s">
        <v>12197</v>
      </c>
      <c r="H10335" s="142" t="s">
        <v>26187</v>
      </c>
      <c r="I10335" s="142">
        <v>38138</v>
      </c>
      <c r="J10335" s="142">
        <v>32698</v>
      </c>
      <c r="K10335" s="142">
        <v>14</v>
      </c>
      <c r="L10335" s="142">
        <v>1901</v>
      </c>
      <c r="M10335" s="142">
        <v>3525</v>
      </c>
    </row>
    <row r="10336" spans="1:13" x14ac:dyDescent="0.45">
      <c r="A10336" s="142" t="s">
        <v>3588</v>
      </c>
      <c r="B10336" s="142" t="s">
        <v>3587</v>
      </c>
      <c r="C10336" s="142" t="s">
        <v>14419</v>
      </c>
      <c r="D10336" s="142" t="s">
        <v>14419</v>
      </c>
      <c r="E10336" s="142" t="s">
        <v>349</v>
      </c>
      <c r="F10336" s="142" t="s">
        <v>1184</v>
      </c>
      <c r="G10336" s="142" t="s">
        <v>3587</v>
      </c>
      <c r="H10336" s="142" t="s">
        <v>26188</v>
      </c>
      <c r="I10336" s="142">
        <v>5568</v>
      </c>
      <c r="J10336" s="142">
        <v>4200</v>
      </c>
      <c r="K10336" s="142">
        <v>0</v>
      </c>
      <c r="L10336" s="142">
        <v>891</v>
      </c>
      <c r="M10336" s="142">
        <v>477</v>
      </c>
    </row>
    <row r="10337" spans="1:13" x14ac:dyDescent="0.45">
      <c r="A10337" s="142" t="s">
        <v>3378</v>
      </c>
      <c r="B10337" s="142" t="s">
        <v>3377</v>
      </c>
      <c r="C10337" s="142" t="s">
        <v>14419</v>
      </c>
      <c r="D10337" s="142" t="s">
        <v>14419</v>
      </c>
      <c r="E10337" s="142" t="s">
        <v>349</v>
      </c>
      <c r="F10337" s="142" t="s">
        <v>898</v>
      </c>
      <c r="G10337" s="142" t="s">
        <v>3377</v>
      </c>
      <c r="H10337" s="142" t="s">
        <v>26189</v>
      </c>
      <c r="I10337" s="142">
        <v>9194</v>
      </c>
      <c r="J10337" s="142">
        <v>8616</v>
      </c>
      <c r="K10337" s="142">
        <v>1</v>
      </c>
      <c r="L10337" s="142">
        <v>201</v>
      </c>
      <c r="M10337" s="142">
        <v>376</v>
      </c>
    </row>
    <row r="10338" spans="1:13" x14ac:dyDescent="0.45">
      <c r="A10338" s="142" t="s">
        <v>772</v>
      </c>
      <c r="B10338" s="142" t="s">
        <v>771</v>
      </c>
      <c r="C10338" s="142" t="s">
        <v>14419</v>
      </c>
      <c r="D10338" s="142" t="s">
        <v>14419</v>
      </c>
      <c r="E10338" s="142" t="s">
        <v>349</v>
      </c>
      <c r="F10338" s="142" t="s">
        <v>688</v>
      </c>
      <c r="G10338" s="142" t="s">
        <v>771</v>
      </c>
      <c r="H10338" s="142" t="s">
        <v>26190</v>
      </c>
      <c r="I10338" s="142">
        <v>9963</v>
      </c>
      <c r="J10338" s="142">
        <v>8047</v>
      </c>
      <c r="K10338" s="142">
        <v>0</v>
      </c>
      <c r="L10338" s="142">
        <v>1583</v>
      </c>
      <c r="M10338" s="142">
        <v>333</v>
      </c>
    </row>
    <row r="10339" spans="1:13" x14ac:dyDescent="0.45">
      <c r="A10339" s="142" t="s">
        <v>5310</v>
      </c>
      <c r="B10339" s="142" t="s">
        <v>5309</v>
      </c>
      <c r="C10339" s="142" t="s">
        <v>14419</v>
      </c>
      <c r="D10339" s="142" t="s">
        <v>14419</v>
      </c>
      <c r="E10339" s="142" t="s">
        <v>349</v>
      </c>
      <c r="F10339" s="142" t="s">
        <v>1477</v>
      </c>
      <c r="G10339" s="142" t="s">
        <v>5309</v>
      </c>
      <c r="H10339" s="142" t="s">
        <v>26191</v>
      </c>
      <c r="I10339" s="142">
        <v>11638</v>
      </c>
      <c r="J10339" s="142">
        <v>9657</v>
      </c>
      <c r="K10339" s="142">
        <v>0</v>
      </c>
      <c r="L10339" s="142">
        <v>1292</v>
      </c>
      <c r="M10339" s="142">
        <v>689</v>
      </c>
    </row>
    <row r="10340" spans="1:13" x14ac:dyDescent="0.45">
      <c r="A10340" s="142" t="s">
        <v>6832</v>
      </c>
      <c r="B10340" s="142" t="s">
        <v>6831</v>
      </c>
      <c r="C10340" s="142" t="s">
        <v>14419</v>
      </c>
      <c r="D10340" s="142" t="s">
        <v>14419</v>
      </c>
      <c r="E10340" s="142" t="s">
        <v>349</v>
      </c>
      <c r="F10340" s="142" t="s">
        <v>898</v>
      </c>
      <c r="G10340" s="142" t="s">
        <v>6831</v>
      </c>
      <c r="H10340" s="142" t="s">
        <v>26192</v>
      </c>
      <c r="I10340" s="142">
        <v>6341</v>
      </c>
      <c r="J10340" s="142">
        <v>5363</v>
      </c>
      <c r="K10340" s="142">
        <v>10</v>
      </c>
      <c r="L10340" s="142">
        <v>283</v>
      </c>
      <c r="M10340" s="142">
        <v>685</v>
      </c>
    </row>
    <row r="10341" spans="1:13" x14ac:dyDescent="0.45">
      <c r="A10341" s="142" t="s">
        <v>814</v>
      </c>
      <c r="B10341" s="142" t="s">
        <v>813</v>
      </c>
      <c r="C10341" s="142" t="s">
        <v>14419</v>
      </c>
      <c r="D10341" s="142" t="s">
        <v>14419</v>
      </c>
      <c r="E10341" s="142" t="s">
        <v>349</v>
      </c>
      <c r="F10341" s="142" t="s">
        <v>688</v>
      </c>
      <c r="G10341" s="142" t="s">
        <v>813</v>
      </c>
      <c r="H10341" s="142" t="s">
        <v>26193</v>
      </c>
      <c r="I10341" s="142">
        <v>11827</v>
      </c>
      <c r="J10341" s="142">
        <v>11126</v>
      </c>
      <c r="K10341" s="142">
        <v>2</v>
      </c>
      <c r="L10341" s="142">
        <v>533</v>
      </c>
      <c r="M10341" s="142">
        <v>166</v>
      </c>
    </row>
    <row r="10342" spans="1:13" x14ac:dyDescent="0.45">
      <c r="A10342" s="142" t="s">
        <v>7167</v>
      </c>
      <c r="B10342" s="142" t="s">
        <v>7166</v>
      </c>
      <c r="C10342" s="142" t="s">
        <v>14419</v>
      </c>
      <c r="D10342" s="142" t="s">
        <v>14419</v>
      </c>
      <c r="E10342" s="142" t="s">
        <v>349</v>
      </c>
      <c r="F10342" s="142" t="s">
        <v>1477</v>
      </c>
      <c r="G10342" s="142" t="s">
        <v>7166</v>
      </c>
      <c r="H10342" s="142" t="s">
        <v>26194</v>
      </c>
      <c r="I10342" s="142">
        <v>6547</v>
      </c>
      <c r="J10342" s="142">
        <v>5921</v>
      </c>
      <c r="K10342" s="142">
        <v>0</v>
      </c>
      <c r="L10342" s="142">
        <v>323</v>
      </c>
      <c r="M10342" s="142">
        <v>303</v>
      </c>
    </row>
    <row r="10343" spans="1:13" x14ac:dyDescent="0.45">
      <c r="A10343" s="142" t="s">
        <v>2674</v>
      </c>
      <c r="B10343" s="142" t="s">
        <v>2673</v>
      </c>
      <c r="C10343" s="142" t="s">
        <v>14419</v>
      </c>
      <c r="D10343" s="142" t="s">
        <v>14419</v>
      </c>
      <c r="E10343" s="142" t="s">
        <v>349</v>
      </c>
      <c r="F10343" s="142" t="s">
        <v>898</v>
      </c>
      <c r="G10343" s="142" t="s">
        <v>2673</v>
      </c>
      <c r="H10343" s="142" t="s">
        <v>26195</v>
      </c>
      <c r="I10343" s="142">
        <v>27223</v>
      </c>
      <c r="J10343" s="142">
        <v>22075</v>
      </c>
      <c r="K10343" s="142">
        <v>210</v>
      </c>
      <c r="L10343" s="142">
        <v>2679</v>
      </c>
      <c r="M10343" s="142">
        <v>2259</v>
      </c>
    </row>
    <row r="10344" spans="1:13" x14ac:dyDescent="0.45">
      <c r="A10344" s="142" t="s">
        <v>1268</v>
      </c>
      <c r="B10344" s="142" t="s">
        <v>1267</v>
      </c>
      <c r="C10344" s="142" t="s">
        <v>14419</v>
      </c>
      <c r="D10344" s="142" t="s">
        <v>14419</v>
      </c>
      <c r="E10344" s="142" t="s">
        <v>349</v>
      </c>
      <c r="F10344" s="142" t="s">
        <v>1184</v>
      </c>
      <c r="G10344" s="142" t="s">
        <v>1267</v>
      </c>
      <c r="H10344" s="142" t="s">
        <v>26196</v>
      </c>
      <c r="I10344" s="142">
        <v>11183</v>
      </c>
      <c r="J10344" s="142">
        <v>9143</v>
      </c>
      <c r="K10344" s="142">
        <v>61</v>
      </c>
      <c r="L10344" s="142">
        <v>1113</v>
      </c>
      <c r="M10344" s="142">
        <v>866</v>
      </c>
    </row>
    <row r="10345" spans="1:13" x14ac:dyDescent="0.45">
      <c r="A10345" s="142" t="s">
        <v>10519</v>
      </c>
      <c r="B10345" s="142" t="s">
        <v>10518</v>
      </c>
      <c r="C10345" s="142" t="s">
        <v>14419</v>
      </c>
      <c r="D10345" s="142" t="s">
        <v>14419</v>
      </c>
      <c r="E10345" s="142" t="s">
        <v>349</v>
      </c>
      <c r="F10345" s="142" t="s">
        <v>292</v>
      </c>
      <c r="G10345" s="142" t="s">
        <v>10518</v>
      </c>
      <c r="H10345" s="142" t="s">
        <v>26197</v>
      </c>
      <c r="I10345" s="142">
        <v>21112</v>
      </c>
      <c r="J10345" s="142">
        <v>17090</v>
      </c>
      <c r="K10345" s="142">
        <v>0</v>
      </c>
      <c r="L10345" s="142">
        <v>3513</v>
      </c>
      <c r="M10345" s="142">
        <v>509</v>
      </c>
    </row>
    <row r="10346" spans="1:13" x14ac:dyDescent="0.45">
      <c r="A10346" s="142" t="s">
        <v>8695</v>
      </c>
      <c r="B10346" s="142" t="s">
        <v>8694</v>
      </c>
      <c r="C10346" s="142" t="s">
        <v>14419</v>
      </c>
      <c r="D10346" s="142" t="s">
        <v>14419</v>
      </c>
      <c r="E10346" s="142" t="s">
        <v>349</v>
      </c>
      <c r="F10346" s="142" t="s">
        <v>1059</v>
      </c>
      <c r="G10346" s="142" t="s">
        <v>8694</v>
      </c>
      <c r="H10346" s="142" t="s">
        <v>26198</v>
      </c>
      <c r="I10346" s="142">
        <v>4224</v>
      </c>
      <c r="J10346" s="142">
        <v>3837</v>
      </c>
      <c r="K10346" s="142">
        <v>0</v>
      </c>
      <c r="L10346" s="142">
        <v>86</v>
      </c>
      <c r="M10346" s="142">
        <v>301</v>
      </c>
    </row>
    <row r="10347" spans="1:13" x14ac:dyDescent="0.45">
      <c r="A10347" s="142" t="s">
        <v>6622</v>
      </c>
      <c r="B10347" s="142" t="s">
        <v>6621</v>
      </c>
      <c r="C10347" s="142" t="s">
        <v>14419</v>
      </c>
      <c r="D10347" s="142" t="s">
        <v>14419</v>
      </c>
      <c r="E10347" s="142" t="s">
        <v>349</v>
      </c>
      <c r="F10347" s="142" t="s">
        <v>898</v>
      </c>
      <c r="G10347" s="142" t="s">
        <v>6621</v>
      </c>
      <c r="H10347" s="142" t="s">
        <v>26199</v>
      </c>
      <c r="I10347" s="142">
        <v>7399</v>
      </c>
      <c r="J10347" s="142">
        <v>5603</v>
      </c>
      <c r="K10347" s="142">
        <v>2</v>
      </c>
      <c r="L10347" s="142">
        <v>1165</v>
      </c>
      <c r="M10347" s="142">
        <v>629</v>
      </c>
    </row>
    <row r="10348" spans="1:13" x14ac:dyDescent="0.45">
      <c r="A10348" s="142" t="s">
        <v>2840</v>
      </c>
      <c r="B10348" s="142" t="s">
        <v>2839</v>
      </c>
      <c r="C10348" s="142" t="s">
        <v>14419</v>
      </c>
      <c r="D10348" s="142" t="s">
        <v>14419</v>
      </c>
      <c r="E10348" s="142" t="s">
        <v>349</v>
      </c>
      <c r="F10348" s="142" t="s">
        <v>688</v>
      </c>
      <c r="G10348" s="142" t="s">
        <v>2839</v>
      </c>
      <c r="H10348" s="142" t="s">
        <v>26200</v>
      </c>
      <c r="I10348" s="142">
        <v>39089</v>
      </c>
      <c r="J10348" s="142">
        <v>32002</v>
      </c>
      <c r="K10348" s="142">
        <v>81</v>
      </c>
      <c r="L10348" s="142">
        <v>3636</v>
      </c>
      <c r="M10348" s="142">
        <v>3370</v>
      </c>
    </row>
    <row r="10349" spans="1:13" x14ac:dyDescent="0.45">
      <c r="A10349" s="142" t="s">
        <v>2506</v>
      </c>
      <c r="B10349" s="142" t="s">
        <v>2505</v>
      </c>
      <c r="C10349" s="142" t="s">
        <v>14419</v>
      </c>
      <c r="D10349" s="142" t="s">
        <v>14419</v>
      </c>
      <c r="E10349" s="142" t="s">
        <v>349</v>
      </c>
      <c r="F10349" s="142" t="s">
        <v>292</v>
      </c>
      <c r="G10349" s="142" t="s">
        <v>2505</v>
      </c>
      <c r="H10349" s="142" t="s">
        <v>26201</v>
      </c>
      <c r="I10349" s="142">
        <v>27407</v>
      </c>
      <c r="J10349" s="142">
        <v>22731</v>
      </c>
      <c r="K10349" s="142">
        <v>0</v>
      </c>
      <c r="L10349" s="142">
        <v>3797</v>
      </c>
      <c r="M10349" s="142">
        <v>879</v>
      </c>
    </row>
    <row r="10350" spans="1:13" x14ac:dyDescent="0.45">
      <c r="A10350" s="142" t="s">
        <v>7209</v>
      </c>
      <c r="B10350" s="142" t="s">
        <v>7208</v>
      </c>
      <c r="C10350" s="142" t="s">
        <v>14419</v>
      </c>
      <c r="D10350" s="142" t="s">
        <v>14419</v>
      </c>
      <c r="E10350" s="142" t="s">
        <v>349</v>
      </c>
      <c r="F10350" s="142" t="s">
        <v>1477</v>
      </c>
      <c r="G10350" s="142" t="s">
        <v>7208</v>
      </c>
      <c r="H10350" s="142" t="s">
        <v>26202</v>
      </c>
      <c r="I10350" s="142">
        <v>20291</v>
      </c>
      <c r="J10350" s="142">
        <v>17418</v>
      </c>
      <c r="K10350" s="142">
        <v>6</v>
      </c>
      <c r="L10350" s="142">
        <v>2538</v>
      </c>
      <c r="M10350" s="142">
        <v>329</v>
      </c>
    </row>
    <row r="10351" spans="1:13" x14ac:dyDescent="0.45">
      <c r="A10351" s="142" t="s">
        <v>1016</v>
      </c>
      <c r="B10351" s="142" t="s">
        <v>1015</v>
      </c>
      <c r="C10351" s="142" t="s">
        <v>14419</v>
      </c>
      <c r="D10351" s="142" t="s">
        <v>14419</v>
      </c>
      <c r="E10351" s="142" t="s">
        <v>349</v>
      </c>
      <c r="F10351" s="142" t="s">
        <v>898</v>
      </c>
      <c r="G10351" s="142" t="s">
        <v>1015</v>
      </c>
      <c r="H10351" s="142" t="s">
        <v>26203</v>
      </c>
      <c r="I10351" s="142">
        <v>35332</v>
      </c>
      <c r="J10351" s="142">
        <v>28969</v>
      </c>
      <c r="K10351" s="142">
        <v>150</v>
      </c>
      <c r="L10351" s="142">
        <v>5859</v>
      </c>
      <c r="M10351" s="142">
        <v>354</v>
      </c>
    </row>
    <row r="10352" spans="1:13" x14ac:dyDescent="0.45">
      <c r="A10352" s="142" t="s">
        <v>8737</v>
      </c>
      <c r="B10352" s="142" t="s">
        <v>8736</v>
      </c>
      <c r="C10352" s="142" t="s">
        <v>14419</v>
      </c>
      <c r="D10352" s="142" t="s">
        <v>14419</v>
      </c>
      <c r="E10352" s="142" t="s">
        <v>349</v>
      </c>
      <c r="F10352" s="142" t="s">
        <v>1059</v>
      </c>
      <c r="G10352" s="142" t="s">
        <v>8736</v>
      </c>
      <c r="H10352" s="142" t="s">
        <v>26204</v>
      </c>
      <c r="I10352" s="142">
        <v>10163</v>
      </c>
      <c r="J10352" s="142">
        <v>8696</v>
      </c>
      <c r="K10352" s="142">
        <v>0</v>
      </c>
      <c r="L10352" s="142">
        <v>604</v>
      </c>
      <c r="M10352" s="142">
        <v>863</v>
      </c>
    </row>
    <row r="10353" spans="1:13" x14ac:dyDescent="0.45">
      <c r="A10353" s="142" t="s">
        <v>6664</v>
      </c>
      <c r="B10353" s="142" t="s">
        <v>6663</v>
      </c>
      <c r="C10353" s="142" t="s">
        <v>14419</v>
      </c>
      <c r="D10353" s="142" t="s">
        <v>14419</v>
      </c>
      <c r="E10353" s="142" t="s">
        <v>349</v>
      </c>
      <c r="F10353" s="142" t="s">
        <v>898</v>
      </c>
      <c r="G10353" s="142" t="s">
        <v>6663</v>
      </c>
      <c r="H10353" s="142" t="s">
        <v>26205</v>
      </c>
      <c r="I10353" s="142">
        <v>2260</v>
      </c>
      <c r="J10353" s="142">
        <v>1709</v>
      </c>
      <c r="K10353" s="142">
        <v>0</v>
      </c>
      <c r="L10353" s="142">
        <v>307</v>
      </c>
      <c r="M10353" s="142">
        <v>244</v>
      </c>
    </row>
    <row r="10354" spans="1:13" x14ac:dyDescent="0.45">
      <c r="A10354" s="142" t="s">
        <v>9811</v>
      </c>
      <c r="B10354" s="142" t="s">
        <v>9810</v>
      </c>
      <c r="C10354" s="142" t="s">
        <v>14419</v>
      </c>
      <c r="D10354" s="142" t="s">
        <v>14419</v>
      </c>
      <c r="E10354" s="142" t="s">
        <v>349</v>
      </c>
      <c r="F10354" s="142" t="s">
        <v>520</v>
      </c>
      <c r="G10354" s="142" t="s">
        <v>9810</v>
      </c>
      <c r="H10354" s="142" t="s">
        <v>26206</v>
      </c>
      <c r="I10354" s="142">
        <v>21247</v>
      </c>
      <c r="J10354" s="142">
        <v>17938</v>
      </c>
      <c r="K10354" s="142">
        <v>5</v>
      </c>
      <c r="L10354" s="142">
        <v>2825</v>
      </c>
      <c r="M10354" s="142">
        <v>479</v>
      </c>
    </row>
    <row r="10355" spans="1:13" x14ac:dyDescent="0.45">
      <c r="A10355" s="142" t="s">
        <v>7629</v>
      </c>
      <c r="B10355" s="142" t="s">
        <v>7628</v>
      </c>
      <c r="C10355" s="142" t="s">
        <v>14419</v>
      </c>
      <c r="D10355" s="142" t="s">
        <v>14419</v>
      </c>
      <c r="E10355" s="142" t="s">
        <v>349</v>
      </c>
      <c r="F10355" s="142" t="s">
        <v>1644</v>
      </c>
      <c r="G10355" s="142" t="s">
        <v>7628</v>
      </c>
      <c r="H10355" s="142" t="s">
        <v>26207</v>
      </c>
      <c r="I10355" s="142">
        <v>13349</v>
      </c>
      <c r="J10355" s="142">
        <v>11203</v>
      </c>
      <c r="K10355" s="142">
        <v>53</v>
      </c>
      <c r="L10355" s="142">
        <v>1228</v>
      </c>
      <c r="M10355" s="142">
        <v>865</v>
      </c>
    </row>
    <row r="10356" spans="1:13" x14ac:dyDescent="0.45">
      <c r="A10356" s="142" t="s">
        <v>6120</v>
      </c>
      <c r="B10356" s="142" t="s">
        <v>6119</v>
      </c>
      <c r="C10356" s="142" t="s">
        <v>14419</v>
      </c>
      <c r="D10356" s="142" t="s">
        <v>14419</v>
      </c>
      <c r="E10356" s="142" t="s">
        <v>349</v>
      </c>
      <c r="F10356" s="142" t="s">
        <v>520</v>
      </c>
      <c r="G10356" s="142" t="s">
        <v>6119</v>
      </c>
      <c r="H10356" s="142" t="s">
        <v>26208</v>
      </c>
      <c r="I10356" s="142">
        <v>4890</v>
      </c>
      <c r="J10356" s="142">
        <v>4358</v>
      </c>
      <c r="K10356" s="142">
        <v>0</v>
      </c>
      <c r="L10356" s="142">
        <v>490</v>
      </c>
      <c r="M10356" s="142">
        <v>42</v>
      </c>
    </row>
    <row r="10357" spans="1:13" x14ac:dyDescent="0.45">
      <c r="A10357" s="142" t="s">
        <v>1476</v>
      </c>
      <c r="B10357" s="142" t="s">
        <v>1475</v>
      </c>
      <c r="C10357" s="142" t="s">
        <v>14419</v>
      </c>
      <c r="D10357" s="142" t="s">
        <v>14419</v>
      </c>
      <c r="E10357" s="142" t="s">
        <v>349</v>
      </c>
      <c r="F10357" s="142" t="s">
        <v>1477</v>
      </c>
      <c r="G10357" s="142" t="s">
        <v>1475</v>
      </c>
      <c r="H10357" s="142" t="s">
        <v>26209</v>
      </c>
      <c r="I10357" s="142">
        <v>18292</v>
      </c>
      <c r="J10357" s="142">
        <v>13858</v>
      </c>
      <c r="K10357" s="142">
        <v>25</v>
      </c>
      <c r="L10357" s="142">
        <v>3006</v>
      </c>
      <c r="M10357" s="142">
        <v>1403</v>
      </c>
    </row>
    <row r="10358" spans="1:13" x14ac:dyDescent="0.45">
      <c r="A10358" s="142" t="s">
        <v>1352</v>
      </c>
      <c r="B10358" s="142" t="s">
        <v>1351</v>
      </c>
      <c r="C10358" s="142" t="s">
        <v>14419</v>
      </c>
      <c r="D10358" s="142" t="s">
        <v>14419</v>
      </c>
      <c r="E10358" s="142" t="s">
        <v>349</v>
      </c>
      <c r="F10358" s="142" t="s">
        <v>1184</v>
      </c>
      <c r="G10358" s="142" t="s">
        <v>1351</v>
      </c>
      <c r="H10358" s="142" t="s">
        <v>26210</v>
      </c>
      <c r="I10358" s="142">
        <v>23530</v>
      </c>
      <c r="J10358" s="142">
        <v>18927</v>
      </c>
      <c r="K10358" s="142">
        <v>6</v>
      </c>
      <c r="L10358" s="142">
        <v>3365</v>
      </c>
      <c r="M10358" s="142">
        <v>1232</v>
      </c>
    </row>
    <row r="10359" spans="1:13" x14ac:dyDescent="0.45">
      <c r="A10359" s="142" t="s">
        <v>2011</v>
      </c>
      <c r="B10359" s="142" t="s">
        <v>2010</v>
      </c>
      <c r="C10359" s="142" t="s">
        <v>14419</v>
      </c>
      <c r="D10359" s="142" t="s">
        <v>14419</v>
      </c>
      <c r="E10359" s="142" t="s">
        <v>349</v>
      </c>
      <c r="F10359" s="142" t="s">
        <v>1644</v>
      </c>
      <c r="G10359" s="142" t="s">
        <v>2010</v>
      </c>
      <c r="H10359" s="142" t="s">
        <v>26211</v>
      </c>
      <c r="I10359" s="142">
        <v>22617</v>
      </c>
      <c r="J10359" s="142">
        <v>18481</v>
      </c>
      <c r="K10359" s="142">
        <v>7</v>
      </c>
      <c r="L10359" s="142">
        <v>3377</v>
      </c>
      <c r="M10359" s="142">
        <v>752</v>
      </c>
    </row>
    <row r="10360" spans="1:13" x14ac:dyDescent="0.45">
      <c r="A10360" s="142" t="s">
        <v>6162</v>
      </c>
      <c r="B10360" s="142" t="s">
        <v>6161</v>
      </c>
      <c r="C10360" s="142" t="s">
        <v>14419</v>
      </c>
      <c r="D10360" s="142" t="s">
        <v>14419</v>
      </c>
      <c r="E10360" s="142" t="s">
        <v>349</v>
      </c>
      <c r="F10360" s="142" t="s">
        <v>520</v>
      </c>
      <c r="G10360" s="142" t="s">
        <v>6161</v>
      </c>
      <c r="H10360" s="142" t="s">
        <v>26212</v>
      </c>
      <c r="I10360" s="142">
        <v>13625</v>
      </c>
      <c r="J10360" s="142">
        <v>10836</v>
      </c>
      <c r="K10360" s="142">
        <v>0</v>
      </c>
      <c r="L10360" s="142">
        <v>1843</v>
      </c>
      <c r="M10360" s="142">
        <v>946</v>
      </c>
    </row>
    <row r="10361" spans="1:13" x14ac:dyDescent="0.45">
      <c r="A10361" s="142" t="s">
        <v>1761</v>
      </c>
      <c r="B10361" s="142" t="s">
        <v>1760</v>
      </c>
      <c r="C10361" s="142" t="s">
        <v>14419</v>
      </c>
      <c r="D10361" s="142" t="s">
        <v>14419</v>
      </c>
      <c r="E10361" s="142" t="s">
        <v>349</v>
      </c>
      <c r="F10361" s="142" t="s">
        <v>1644</v>
      </c>
      <c r="G10361" s="142" t="s">
        <v>1760</v>
      </c>
      <c r="H10361" s="142" t="s">
        <v>26213</v>
      </c>
      <c r="I10361" s="142">
        <v>12660</v>
      </c>
      <c r="J10361" s="142">
        <v>10396</v>
      </c>
      <c r="K10361" s="142">
        <v>0</v>
      </c>
      <c r="L10361" s="142">
        <v>1170</v>
      </c>
      <c r="M10361" s="142">
        <v>1094</v>
      </c>
    </row>
    <row r="10362" spans="1:13" x14ac:dyDescent="0.45">
      <c r="A10362" s="142" t="s">
        <v>12240</v>
      </c>
      <c r="B10362" s="142" t="s">
        <v>12239</v>
      </c>
      <c r="C10362" s="142" t="s">
        <v>14419</v>
      </c>
      <c r="D10362" s="142" t="s">
        <v>14419</v>
      </c>
      <c r="E10362" s="142" t="s">
        <v>349</v>
      </c>
      <c r="F10362" s="142" t="s">
        <v>11188</v>
      </c>
      <c r="G10362" s="142" t="s">
        <v>12239</v>
      </c>
      <c r="H10362" s="142" t="s">
        <v>26214</v>
      </c>
      <c r="I10362" s="142">
        <v>10577</v>
      </c>
      <c r="J10362" s="142">
        <v>8205</v>
      </c>
      <c r="K10362" s="142">
        <v>1</v>
      </c>
      <c r="L10362" s="142">
        <v>1461</v>
      </c>
      <c r="M10362" s="142">
        <v>910</v>
      </c>
    </row>
    <row r="10363" spans="1:13" x14ac:dyDescent="0.45">
      <c r="A10363" s="142" t="s">
        <v>394</v>
      </c>
      <c r="B10363" s="142" t="s">
        <v>393</v>
      </c>
      <c r="C10363" s="142" t="s">
        <v>14419</v>
      </c>
      <c r="D10363" s="142" t="s">
        <v>14419</v>
      </c>
      <c r="E10363" s="142" t="s">
        <v>349</v>
      </c>
      <c r="F10363" s="142" t="s">
        <v>292</v>
      </c>
      <c r="G10363" s="142" t="s">
        <v>393</v>
      </c>
      <c r="H10363" s="142" t="s">
        <v>26215</v>
      </c>
      <c r="I10363" s="142">
        <v>13349</v>
      </c>
      <c r="J10363" s="142">
        <v>11788</v>
      </c>
      <c r="K10363" s="142">
        <v>0</v>
      </c>
      <c r="L10363" s="142">
        <v>1129</v>
      </c>
      <c r="M10363" s="142">
        <v>432</v>
      </c>
    </row>
    <row r="10364" spans="1:13" x14ac:dyDescent="0.45">
      <c r="A10364" s="142" t="s">
        <v>9272</v>
      </c>
      <c r="B10364" s="142" t="s">
        <v>9271</v>
      </c>
      <c r="C10364" s="142" t="s">
        <v>14419</v>
      </c>
      <c r="D10364" s="142" t="s">
        <v>14419</v>
      </c>
      <c r="E10364" s="142" t="s">
        <v>349</v>
      </c>
      <c r="F10364" s="142" t="s">
        <v>1059</v>
      </c>
      <c r="G10364" s="142" t="s">
        <v>9271</v>
      </c>
      <c r="H10364" s="142" t="s">
        <v>26216</v>
      </c>
      <c r="I10364" s="142">
        <v>8245</v>
      </c>
      <c r="J10364" s="142">
        <v>7508</v>
      </c>
      <c r="K10364" s="142">
        <v>0</v>
      </c>
      <c r="L10364" s="142">
        <v>457</v>
      </c>
      <c r="M10364" s="142">
        <v>280</v>
      </c>
    </row>
    <row r="10365" spans="1:13" x14ac:dyDescent="0.45">
      <c r="A10365" s="142" t="s">
        <v>8414</v>
      </c>
      <c r="B10365" s="142" t="s">
        <v>8413</v>
      </c>
      <c r="C10365" s="142" t="s">
        <v>14419</v>
      </c>
      <c r="D10365" s="142" t="s">
        <v>14419</v>
      </c>
      <c r="E10365" s="142" t="s">
        <v>349</v>
      </c>
      <c r="F10365" s="142" t="s">
        <v>1644</v>
      </c>
      <c r="G10365" s="142" t="s">
        <v>8413</v>
      </c>
      <c r="H10365" s="142" t="s">
        <v>26217</v>
      </c>
      <c r="I10365" s="142">
        <v>8396</v>
      </c>
      <c r="J10365" s="142">
        <v>6309</v>
      </c>
      <c r="K10365" s="142">
        <v>0</v>
      </c>
      <c r="L10365" s="142">
        <v>1051</v>
      </c>
      <c r="M10365" s="142">
        <v>1036</v>
      </c>
    </row>
    <row r="10366" spans="1:13" x14ac:dyDescent="0.45">
      <c r="A10366" s="142" t="s">
        <v>6204</v>
      </c>
      <c r="B10366" s="142" t="s">
        <v>6203</v>
      </c>
      <c r="C10366" s="142" t="s">
        <v>14419</v>
      </c>
      <c r="D10366" s="142" t="s">
        <v>14419</v>
      </c>
      <c r="E10366" s="142" t="s">
        <v>349</v>
      </c>
      <c r="F10366" s="142" t="s">
        <v>520</v>
      </c>
      <c r="G10366" s="142" t="s">
        <v>6203</v>
      </c>
      <c r="H10366" s="142" t="s">
        <v>26218</v>
      </c>
      <c r="I10366" s="142">
        <v>2990</v>
      </c>
      <c r="J10366" s="142">
        <v>1541</v>
      </c>
      <c r="K10366" s="142">
        <v>0</v>
      </c>
      <c r="L10366" s="142">
        <v>838</v>
      </c>
      <c r="M10366" s="142">
        <v>611</v>
      </c>
    </row>
    <row r="10367" spans="1:13" x14ac:dyDescent="0.45">
      <c r="A10367" s="142" t="s">
        <v>12282</v>
      </c>
      <c r="B10367" s="142" t="s">
        <v>12281</v>
      </c>
      <c r="C10367" s="142" t="s">
        <v>14419</v>
      </c>
      <c r="D10367" s="142" t="s">
        <v>14419</v>
      </c>
      <c r="E10367" s="142" t="s">
        <v>349</v>
      </c>
      <c r="F10367" s="142" t="s">
        <v>11188</v>
      </c>
      <c r="G10367" s="142" t="s">
        <v>12281</v>
      </c>
      <c r="H10367" s="142" t="s">
        <v>26219</v>
      </c>
      <c r="I10367" s="142">
        <v>10343</v>
      </c>
      <c r="J10367" s="142">
        <v>8838</v>
      </c>
      <c r="K10367" s="142">
        <v>0</v>
      </c>
      <c r="L10367" s="142">
        <v>1070</v>
      </c>
      <c r="M10367" s="142">
        <v>435</v>
      </c>
    </row>
    <row r="10368" spans="1:13" x14ac:dyDescent="0.45">
      <c r="A10368" s="142" t="s">
        <v>9853</v>
      </c>
      <c r="B10368" s="142" t="s">
        <v>9852</v>
      </c>
      <c r="C10368" s="142" t="s">
        <v>14419</v>
      </c>
      <c r="D10368" s="142" t="s">
        <v>14419</v>
      </c>
      <c r="E10368" s="142" t="s">
        <v>349</v>
      </c>
      <c r="F10368" s="142" t="s">
        <v>520</v>
      </c>
      <c r="G10368" s="142" t="s">
        <v>9852</v>
      </c>
      <c r="H10368" s="142" t="s">
        <v>26220</v>
      </c>
      <c r="I10368" s="142">
        <v>21058</v>
      </c>
      <c r="J10368" s="142">
        <v>17972</v>
      </c>
      <c r="K10368" s="142">
        <v>0</v>
      </c>
      <c r="L10368" s="142">
        <v>2723</v>
      </c>
      <c r="M10368" s="142">
        <v>363</v>
      </c>
    </row>
    <row r="10369" spans="1:13" x14ac:dyDescent="0.45">
      <c r="A10369" s="142" t="s">
        <v>4382</v>
      </c>
      <c r="B10369" s="142" t="s">
        <v>4381</v>
      </c>
      <c r="C10369" s="142" t="s">
        <v>14419</v>
      </c>
      <c r="D10369" s="142" t="s">
        <v>14419</v>
      </c>
      <c r="E10369" s="142" t="s">
        <v>349</v>
      </c>
      <c r="F10369" s="142" t="s">
        <v>1477</v>
      </c>
      <c r="G10369" s="142" t="s">
        <v>4381</v>
      </c>
      <c r="H10369" s="142" t="s">
        <v>26221</v>
      </c>
      <c r="I10369" s="142">
        <v>3951</v>
      </c>
      <c r="J10369" s="142">
        <v>2766</v>
      </c>
      <c r="K10369" s="142">
        <v>0</v>
      </c>
      <c r="L10369" s="142">
        <v>725</v>
      </c>
      <c r="M10369" s="142">
        <v>460</v>
      </c>
    </row>
    <row r="10370" spans="1:13" x14ac:dyDescent="0.45">
      <c r="A10370" s="142" t="s">
        <v>6246</v>
      </c>
      <c r="B10370" s="142" t="s">
        <v>6245</v>
      </c>
      <c r="C10370" s="142" t="s">
        <v>14419</v>
      </c>
      <c r="D10370" s="142" t="s">
        <v>14419</v>
      </c>
      <c r="E10370" s="142" t="s">
        <v>349</v>
      </c>
      <c r="F10370" s="142" t="s">
        <v>520</v>
      </c>
      <c r="G10370" s="142" t="s">
        <v>6245</v>
      </c>
      <c r="H10370" s="142" t="s">
        <v>26222</v>
      </c>
      <c r="I10370" s="142">
        <v>4801</v>
      </c>
      <c r="J10370" s="142">
        <v>4291</v>
      </c>
      <c r="K10370" s="142">
        <v>0</v>
      </c>
      <c r="L10370" s="142">
        <v>470</v>
      </c>
      <c r="M10370" s="142">
        <v>40</v>
      </c>
    </row>
    <row r="10371" spans="1:13" x14ac:dyDescent="0.45">
      <c r="A10371" s="142" t="s">
        <v>3921</v>
      </c>
      <c r="B10371" s="142" t="s">
        <v>3920</v>
      </c>
      <c r="C10371" s="142" t="s">
        <v>14419</v>
      </c>
      <c r="D10371" s="142" t="s">
        <v>14419</v>
      </c>
      <c r="E10371" s="142" t="s">
        <v>349</v>
      </c>
      <c r="F10371" s="142" t="s">
        <v>1644</v>
      </c>
      <c r="G10371" s="142" t="s">
        <v>3920</v>
      </c>
      <c r="H10371" s="142" t="s">
        <v>26223</v>
      </c>
      <c r="I10371" s="142">
        <v>5111</v>
      </c>
      <c r="J10371" s="142">
        <v>3831</v>
      </c>
      <c r="K10371" s="142">
        <v>0</v>
      </c>
      <c r="L10371" s="142">
        <v>830</v>
      </c>
      <c r="M10371" s="142">
        <v>450</v>
      </c>
    </row>
    <row r="10372" spans="1:13" x14ac:dyDescent="0.45">
      <c r="A10372" s="142" t="s">
        <v>10393</v>
      </c>
      <c r="B10372" s="142" t="s">
        <v>10392</v>
      </c>
      <c r="C10372" s="142" t="s">
        <v>14419</v>
      </c>
      <c r="D10372" s="142" t="s">
        <v>14419</v>
      </c>
      <c r="E10372" s="142" t="s">
        <v>349</v>
      </c>
      <c r="F10372" s="142" t="s">
        <v>688</v>
      </c>
      <c r="G10372" s="142" t="s">
        <v>10392</v>
      </c>
      <c r="H10372" s="142" t="s">
        <v>26224</v>
      </c>
      <c r="I10372" s="142">
        <v>25724</v>
      </c>
      <c r="J10372" s="142">
        <v>23897</v>
      </c>
      <c r="K10372" s="142">
        <v>0</v>
      </c>
      <c r="L10372" s="142">
        <v>1265</v>
      </c>
      <c r="M10372" s="142">
        <v>562</v>
      </c>
    </row>
    <row r="10373" spans="1:13" x14ac:dyDescent="0.45">
      <c r="A10373" s="142" t="s">
        <v>8779</v>
      </c>
      <c r="B10373" s="142" t="s">
        <v>8778</v>
      </c>
      <c r="C10373" s="142" t="s">
        <v>14419</v>
      </c>
      <c r="D10373" s="142" t="s">
        <v>14419</v>
      </c>
      <c r="E10373" s="142" t="s">
        <v>349</v>
      </c>
      <c r="F10373" s="142" t="s">
        <v>1059</v>
      </c>
      <c r="G10373" s="142" t="s">
        <v>8778</v>
      </c>
      <c r="H10373" s="142" t="s">
        <v>26225</v>
      </c>
      <c r="I10373" s="142">
        <v>7538</v>
      </c>
      <c r="J10373" s="142">
        <v>6444</v>
      </c>
      <c r="K10373" s="142">
        <v>0</v>
      </c>
      <c r="L10373" s="142">
        <v>291</v>
      </c>
      <c r="M10373" s="142">
        <v>803</v>
      </c>
    </row>
    <row r="10374" spans="1:13" x14ac:dyDescent="0.45">
      <c r="A10374" s="142" t="s">
        <v>8456</v>
      </c>
      <c r="B10374" s="142" t="s">
        <v>8455</v>
      </c>
      <c r="C10374" s="142" t="s">
        <v>14419</v>
      </c>
      <c r="D10374" s="142" t="s">
        <v>14419</v>
      </c>
      <c r="E10374" s="142" t="s">
        <v>349</v>
      </c>
      <c r="F10374" s="142" t="s">
        <v>1644</v>
      </c>
      <c r="G10374" s="142" t="s">
        <v>8455</v>
      </c>
      <c r="H10374" s="142" t="s">
        <v>26226</v>
      </c>
      <c r="I10374" s="142">
        <v>5468</v>
      </c>
      <c r="J10374" s="142">
        <v>4090</v>
      </c>
      <c r="K10374" s="142">
        <v>296</v>
      </c>
      <c r="L10374" s="142">
        <v>593</v>
      </c>
      <c r="M10374" s="142">
        <v>489</v>
      </c>
    </row>
    <row r="10375" spans="1:13" x14ac:dyDescent="0.45">
      <c r="A10375" s="142" t="s">
        <v>7545</v>
      </c>
      <c r="B10375" s="142" t="s">
        <v>7544</v>
      </c>
      <c r="C10375" s="142" t="s">
        <v>14419</v>
      </c>
      <c r="D10375" s="142" t="s">
        <v>14419</v>
      </c>
      <c r="E10375" s="142" t="s">
        <v>349</v>
      </c>
      <c r="F10375" s="142" t="s">
        <v>898</v>
      </c>
      <c r="G10375" s="142" t="s">
        <v>7544</v>
      </c>
      <c r="H10375" s="142" t="s">
        <v>26227</v>
      </c>
      <c r="I10375" s="142">
        <v>6106</v>
      </c>
      <c r="J10375" s="142">
        <v>3679</v>
      </c>
      <c r="K10375" s="142">
        <v>0</v>
      </c>
      <c r="L10375" s="142">
        <v>1474</v>
      </c>
      <c r="M10375" s="142">
        <v>953</v>
      </c>
    </row>
    <row r="10376" spans="1:13" x14ac:dyDescent="0.45">
      <c r="A10376" s="142" t="s">
        <v>5068</v>
      </c>
      <c r="B10376" s="142" t="s">
        <v>5067</v>
      </c>
      <c r="C10376" s="142" t="s">
        <v>14419</v>
      </c>
      <c r="D10376" s="142" t="s">
        <v>14419</v>
      </c>
      <c r="E10376" s="142" t="s">
        <v>349</v>
      </c>
      <c r="F10376" s="142" t="s">
        <v>1644</v>
      </c>
      <c r="G10376" s="142" t="s">
        <v>5067</v>
      </c>
      <c r="H10376" s="142" t="s">
        <v>26228</v>
      </c>
      <c r="I10376" s="142">
        <v>7755</v>
      </c>
      <c r="J10376" s="142">
        <v>6014</v>
      </c>
      <c r="K10376" s="142">
        <v>5</v>
      </c>
      <c r="L10376" s="142">
        <v>877</v>
      </c>
      <c r="M10376" s="142">
        <v>859</v>
      </c>
    </row>
    <row r="10377" spans="1:13" x14ac:dyDescent="0.45">
      <c r="A10377" s="142" t="s">
        <v>982</v>
      </c>
      <c r="B10377" s="142" t="s">
        <v>981</v>
      </c>
      <c r="C10377" s="142" t="s">
        <v>14419</v>
      </c>
      <c r="D10377" s="142" t="s">
        <v>14419</v>
      </c>
      <c r="E10377" s="142" t="s">
        <v>349</v>
      </c>
      <c r="F10377" s="142" t="s">
        <v>898</v>
      </c>
      <c r="G10377" s="142" t="s">
        <v>981</v>
      </c>
      <c r="H10377" s="142" t="s">
        <v>26229</v>
      </c>
      <c r="I10377" s="142">
        <v>2042</v>
      </c>
      <c r="J10377" s="142">
        <v>1523</v>
      </c>
      <c r="K10377" s="142">
        <v>0</v>
      </c>
      <c r="L10377" s="142">
        <v>303</v>
      </c>
      <c r="M10377" s="142">
        <v>216</v>
      </c>
    </row>
    <row r="10378" spans="1:13" x14ac:dyDescent="0.45">
      <c r="A10378" s="142" t="s">
        <v>9895</v>
      </c>
      <c r="B10378" s="142" t="s">
        <v>9894</v>
      </c>
      <c r="C10378" s="142" t="s">
        <v>14419</v>
      </c>
      <c r="D10378" s="142" t="s">
        <v>14419</v>
      </c>
      <c r="E10378" s="142" t="s">
        <v>349</v>
      </c>
      <c r="F10378" s="142" t="s">
        <v>520</v>
      </c>
      <c r="G10378" s="142" t="s">
        <v>9894</v>
      </c>
      <c r="H10378" s="142" t="s">
        <v>26230</v>
      </c>
      <c r="I10378" s="142">
        <v>32258</v>
      </c>
      <c r="J10378" s="142">
        <v>28224</v>
      </c>
      <c r="K10378" s="142">
        <v>14</v>
      </c>
      <c r="L10378" s="142">
        <v>3280</v>
      </c>
      <c r="M10378" s="142">
        <v>740</v>
      </c>
    </row>
    <row r="10379" spans="1:13" x14ac:dyDescent="0.45">
      <c r="A10379" s="142" t="s">
        <v>10770</v>
      </c>
      <c r="B10379" s="142" t="s">
        <v>10769</v>
      </c>
      <c r="C10379" s="142" t="s">
        <v>14419</v>
      </c>
      <c r="D10379" s="142" t="s">
        <v>14419</v>
      </c>
      <c r="E10379" s="142" t="s">
        <v>349</v>
      </c>
      <c r="F10379" s="142" t="s">
        <v>1059</v>
      </c>
      <c r="G10379" s="142" t="s">
        <v>10769</v>
      </c>
      <c r="H10379" s="142" t="s">
        <v>26231</v>
      </c>
      <c r="I10379" s="142">
        <v>36018</v>
      </c>
      <c r="J10379" s="142">
        <v>33799</v>
      </c>
      <c r="K10379" s="142">
        <v>68</v>
      </c>
      <c r="L10379" s="142">
        <v>1631</v>
      </c>
      <c r="M10379" s="142">
        <v>520</v>
      </c>
    </row>
    <row r="10380" spans="1:13" x14ac:dyDescent="0.45">
      <c r="A10380" s="142" t="s">
        <v>10226</v>
      </c>
      <c r="B10380" s="142" t="s">
        <v>10225</v>
      </c>
      <c r="C10380" s="142" t="s">
        <v>14419</v>
      </c>
      <c r="D10380" s="142" t="s">
        <v>14419</v>
      </c>
      <c r="E10380" s="142" t="s">
        <v>349</v>
      </c>
      <c r="F10380" s="142" t="s">
        <v>520</v>
      </c>
      <c r="G10380" s="142" t="s">
        <v>10225</v>
      </c>
      <c r="H10380" s="142" t="s">
        <v>26232</v>
      </c>
      <c r="I10380" s="142">
        <v>20113</v>
      </c>
      <c r="J10380" s="142">
        <v>15905</v>
      </c>
      <c r="K10380" s="142">
        <v>0</v>
      </c>
      <c r="L10380" s="142">
        <v>3246</v>
      </c>
      <c r="M10380" s="142">
        <v>962</v>
      </c>
    </row>
    <row r="10381" spans="1:13" x14ac:dyDescent="0.45">
      <c r="A10381" s="142" t="s">
        <v>5678</v>
      </c>
      <c r="B10381" s="142" t="s">
        <v>5677</v>
      </c>
      <c r="C10381" s="142" t="s">
        <v>14419</v>
      </c>
      <c r="D10381" s="142" t="s">
        <v>14419</v>
      </c>
      <c r="E10381" s="142" t="s">
        <v>349</v>
      </c>
      <c r="F10381" s="142" t="s">
        <v>1644</v>
      </c>
      <c r="G10381" s="142" t="s">
        <v>5677</v>
      </c>
      <c r="H10381" s="142" t="s">
        <v>26233</v>
      </c>
      <c r="I10381" s="142">
        <v>7546</v>
      </c>
      <c r="J10381" s="142">
        <v>5890</v>
      </c>
      <c r="K10381" s="142">
        <v>0</v>
      </c>
      <c r="L10381" s="142">
        <v>789</v>
      </c>
      <c r="M10381" s="142">
        <v>867</v>
      </c>
    </row>
    <row r="10382" spans="1:13" x14ac:dyDescent="0.45">
      <c r="A10382" s="142" t="s">
        <v>10435</v>
      </c>
      <c r="B10382" s="142" t="s">
        <v>10434</v>
      </c>
      <c r="C10382" s="142" t="s">
        <v>14419</v>
      </c>
      <c r="D10382" s="142" t="s">
        <v>14419</v>
      </c>
      <c r="E10382" s="142" t="s">
        <v>349</v>
      </c>
      <c r="F10382" s="142" t="s">
        <v>688</v>
      </c>
      <c r="G10382" s="142" t="s">
        <v>10434</v>
      </c>
      <c r="H10382" s="142" t="s">
        <v>26234</v>
      </c>
      <c r="I10382" s="142">
        <v>56574</v>
      </c>
      <c r="J10382" s="142">
        <v>52321</v>
      </c>
      <c r="K10382" s="142">
        <v>2</v>
      </c>
      <c r="L10382" s="142">
        <v>3681</v>
      </c>
      <c r="M10382" s="142">
        <v>570</v>
      </c>
    </row>
    <row r="10383" spans="1:13" x14ac:dyDescent="0.45">
      <c r="A10383" s="142" t="s">
        <v>2263</v>
      </c>
      <c r="B10383" s="142" t="s">
        <v>2262</v>
      </c>
      <c r="C10383" s="142" t="s">
        <v>14419</v>
      </c>
      <c r="D10383" s="142" t="s">
        <v>14419</v>
      </c>
      <c r="E10383" s="142" t="s">
        <v>349</v>
      </c>
      <c r="F10383" s="142" t="s">
        <v>1059</v>
      </c>
      <c r="G10383" s="142" t="s">
        <v>2262</v>
      </c>
      <c r="H10383" s="142" t="s">
        <v>26235</v>
      </c>
      <c r="I10383" s="142">
        <v>20552</v>
      </c>
      <c r="J10383" s="142">
        <v>16510</v>
      </c>
      <c r="K10383" s="142">
        <v>175</v>
      </c>
      <c r="L10383" s="142">
        <v>2658</v>
      </c>
      <c r="M10383" s="142">
        <v>1209</v>
      </c>
    </row>
    <row r="10384" spans="1:13" x14ac:dyDescent="0.45">
      <c r="A10384" s="142" t="s">
        <v>1803</v>
      </c>
      <c r="B10384" s="142" t="s">
        <v>1802</v>
      </c>
      <c r="C10384" s="142" t="s">
        <v>14419</v>
      </c>
      <c r="D10384" s="142" t="s">
        <v>14419</v>
      </c>
      <c r="E10384" s="142" t="s">
        <v>349</v>
      </c>
      <c r="F10384" s="142" t="s">
        <v>1644</v>
      </c>
      <c r="G10384" s="142" t="s">
        <v>1802</v>
      </c>
      <c r="H10384" s="142" t="s">
        <v>26236</v>
      </c>
      <c r="I10384" s="142">
        <v>10966</v>
      </c>
      <c r="J10384" s="142">
        <v>9840</v>
      </c>
      <c r="K10384" s="142">
        <v>24</v>
      </c>
      <c r="L10384" s="142">
        <v>532</v>
      </c>
      <c r="M10384" s="142">
        <v>570</v>
      </c>
    </row>
    <row r="10385" spans="1:13" x14ac:dyDescent="0.45">
      <c r="A10385" s="142" t="s">
        <v>10812</v>
      </c>
      <c r="B10385" s="142" t="s">
        <v>10811</v>
      </c>
      <c r="C10385" s="142" t="s">
        <v>14419</v>
      </c>
      <c r="D10385" s="142" t="s">
        <v>14419</v>
      </c>
      <c r="E10385" s="142" t="s">
        <v>349</v>
      </c>
      <c r="F10385" s="142" t="s">
        <v>1059</v>
      </c>
      <c r="G10385" s="142" t="s">
        <v>10811</v>
      </c>
      <c r="H10385" s="142" t="s">
        <v>26237</v>
      </c>
      <c r="I10385" s="142">
        <v>14189</v>
      </c>
      <c r="J10385" s="142">
        <v>12523</v>
      </c>
      <c r="K10385" s="142">
        <v>29</v>
      </c>
      <c r="L10385" s="142">
        <v>818</v>
      </c>
      <c r="M10385" s="142">
        <v>819</v>
      </c>
    </row>
    <row r="10386" spans="1:13" x14ac:dyDescent="0.45">
      <c r="A10386" s="142" t="s">
        <v>2882</v>
      </c>
      <c r="B10386" s="142" t="s">
        <v>2881</v>
      </c>
      <c r="C10386" s="142" t="s">
        <v>14419</v>
      </c>
      <c r="D10386" s="142" t="s">
        <v>14419</v>
      </c>
      <c r="E10386" s="142" t="s">
        <v>349</v>
      </c>
      <c r="F10386" s="142" t="s">
        <v>1184</v>
      </c>
      <c r="G10386" s="142" t="s">
        <v>2881</v>
      </c>
      <c r="H10386" s="142" t="s">
        <v>26238</v>
      </c>
      <c r="I10386" s="142">
        <v>40669</v>
      </c>
      <c r="J10386" s="142">
        <v>30371</v>
      </c>
      <c r="K10386" s="142">
        <v>48</v>
      </c>
      <c r="L10386" s="142">
        <v>7105</v>
      </c>
      <c r="M10386" s="142">
        <v>3145</v>
      </c>
    </row>
    <row r="10387" spans="1:13" x14ac:dyDescent="0.45">
      <c r="A10387" s="142" t="s">
        <v>3084</v>
      </c>
      <c r="B10387" s="142" t="s">
        <v>3083</v>
      </c>
      <c r="C10387" s="142" t="s">
        <v>14419</v>
      </c>
      <c r="D10387" s="142" t="s">
        <v>14419</v>
      </c>
      <c r="E10387" s="142" t="s">
        <v>349</v>
      </c>
      <c r="F10387" s="142" t="s">
        <v>1477</v>
      </c>
      <c r="G10387" s="142" t="s">
        <v>3083</v>
      </c>
      <c r="H10387" s="142" t="s">
        <v>26239</v>
      </c>
      <c r="I10387" s="142">
        <v>12465</v>
      </c>
      <c r="J10387" s="142">
        <v>8844</v>
      </c>
      <c r="K10387" s="142">
        <v>0</v>
      </c>
      <c r="L10387" s="142">
        <v>1628</v>
      </c>
      <c r="M10387" s="142">
        <v>1993</v>
      </c>
    </row>
    <row r="10388" spans="1:13" x14ac:dyDescent="0.45">
      <c r="A10388" s="142" t="s">
        <v>3420</v>
      </c>
      <c r="B10388" s="142" t="s">
        <v>3419</v>
      </c>
      <c r="C10388" s="142" t="s">
        <v>14419</v>
      </c>
      <c r="D10388" s="142" t="s">
        <v>14419</v>
      </c>
      <c r="E10388" s="142" t="s">
        <v>349</v>
      </c>
      <c r="F10388" s="142" t="s">
        <v>898</v>
      </c>
      <c r="G10388" s="142" t="s">
        <v>3419</v>
      </c>
      <c r="H10388" s="142" t="s">
        <v>26240</v>
      </c>
      <c r="I10388" s="142">
        <v>6142</v>
      </c>
      <c r="J10388" s="142">
        <v>4387</v>
      </c>
      <c r="K10388" s="142">
        <v>0</v>
      </c>
      <c r="L10388" s="142">
        <v>1125</v>
      </c>
      <c r="M10388" s="142">
        <v>630</v>
      </c>
    </row>
    <row r="10389" spans="1:13" x14ac:dyDescent="0.45">
      <c r="A10389" s="142" t="s">
        <v>1310</v>
      </c>
      <c r="B10389" s="142" t="s">
        <v>1309</v>
      </c>
      <c r="C10389" s="142" t="s">
        <v>14419</v>
      </c>
      <c r="D10389" s="142" t="s">
        <v>14419</v>
      </c>
      <c r="E10389" s="142" t="s">
        <v>349</v>
      </c>
      <c r="F10389" s="142" t="s">
        <v>1184</v>
      </c>
      <c r="G10389" s="142" t="s">
        <v>1309</v>
      </c>
      <c r="H10389" s="142" t="s">
        <v>26241</v>
      </c>
      <c r="I10389" s="142">
        <v>16689</v>
      </c>
      <c r="J10389" s="142">
        <v>12831</v>
      </c>
      <c r="K10389" s="142">
        <v>0</v>
      </c>
      <c r="L10389" s="142">
        <v>2161</v>
      </c>
      <c r="M10389" s="142">
        <v>1697</v>
      </c>
    </row>
    <row r="10390" spans="1:13" x14ac:dyDescent="0.45">
      <c r="A10390" s="142" t="s">
        <v>3630</v>
      </c>
      <c r="B10390" s="142" t="s">
        <v>3629</v>
      </c>
      <c r="C10390" s="142" t="s">
        <v>14419</v>
      </c>
      <c r="D10390" s="142" t="s">
        <v>14419</v>
      </c>
      <c r="E10390" s="142" t="s">
        <v>349</v>
      </c>
      <c r="F10390" s="142" t="s">
        <v>1184</v>
      </c>
      <c r="G10390" s="142" t="s">
        <v>3629</v>
      </c>
      <c r="H10390" s="142" t="s">
        <v>26242</v>
      </c>
      <c r="I10390" s="142">
        <v>5983</v>
      </c>
      <c r="J10390" s="142">
        <v>4454</v>
      </c>
      <c r="K10390" s="142">
        <v>0</v>
      </c>
      <c r="L10390" s="142">
        <v>600</v>
      </c>
      <c r="M10390" s="142">
        <v>929</v>
      </c>
    </row>
    <row r="10391" spans="1:13" x14ac:dyDescent="0.45">
      <c r="A10391" s="142" t="s">
        <v>6874</v>
      </c>
      <c r="B10391" s="142" t="s">
        <v>6873</v>
      </c>
      <c r="C10391" s="142" t="s">
        <v>14419</v>
      </c>
      <c r="D10391" s="142" t="s">
        <v>14419</v>
      </c>
      <c r="E10391" s="142" t="s">
        <v>349</v>
      </c>
      <c r="F10391" s="142" t="s">
        <v>898</v>
      </c>
      <c r="G10391" s="142" t="s">
        <v>6873</v>
      </c>
      <c r="H10391" s="142" t="s">
        <v>26243</v>
      </c>
      <c r="I10391" s="142">
        <v>6171</v>
      </c>
      <c r="J10391" s="142">
        <v>4245</v>
      </c>
      <c r="K10391" s="142">
        <v>0</v>
      </c>
      <c r="L10391" s="142">
        <v>1171</v>
      </c>
      <c r="M10391" s="142">
        <v>755</v>
      </c>
    </row>
    <row r="10392" spans="1:13" x14ac:dyDescent="0.45">
      <c r="A10392" s="142" t="s">
        <v>6916</v>
      </c>
      <c r="B10392" s="142" t="s">
        <v>6915</v>
      </c>
      <c r="C10392" s="142" t="s">
        <v>14419</v>
      </c>
      <c r="D10392" s="142" t="s">
        <v>14419</v>
      </c>
      <c r="E10392" s="142" t="s">
        <v>349</v>
      </c>
      <c r="F10392" s="142" t="s">
        <v>898</v>
      </c>
      <c r="G10392" s="142" t="s">
        <v>6915</v>
      </c>
      <c r="H10392" s="142" t="s">
        <v>26244</v>
      </c>
      <c r="I10392" s="142">
        <v>9356</v>
      </c>
      <c r="J10392" s="142">
        <v>6976</v>
      </c>
      <c r="K10392" s="142">
        <v>0</v>
      </c>
      <c r="L10392" s="142">
        <v>1523</v>
      </c>
      <c r="M10392" s="142">
        <v>857</v>
      </c>
    </row>
    <row r="10393" spans="1:13" x14ac:dyDescent="0.45">
      <c r="A10393" s="142" t="s">
        <v>7251</v>
      </c>
      <c r="B10393" s="142" t="s">
        <v>7250</v>
      </c>
      <c r="C10393" s="142" t="s">
        <v>14419</v>
      </c>
      <c r="D10393" s="142" t="s">
        <v>14419</v>
      </c>
      <c r="E10393" s="142" t="s">
        <v>349</v>
      </c>
      <c r="F10393" s="142" t="s">
        <v>1477</v>
      </c>
      <c r="G10393" s="142" t="s">
        <v>7250</v>
      </c>
      <c r="H10393" s="142" t="s">
        <v>26245</v>
      </c>
      <c r="I10393" s="142">
        <v>9368</v>
      </c>
      <c r="J10393" s="142">
        <v>7404</v>
      </c>
      <c r="K10393" s="142">
        <v>13</v>
      </c>
      <c r="L10393" s="142">
        <v>991</v>
      </c>
      <c r="M10393" s="142">
        <v>960</v>
      </c>
    </row>
    <row r="10394" spans="1:13" x14ac:dyDescent="0.45">
      <c r="A10394" s="142" t="s">
        <v>7671</v>
      </c>
      <c r="B10394" s="142" t="s">
        <v>7670</v>
      </c>
      <c r="C10394" s="142" t="s">
        <v>14419</v>
      </c>
      <c r="D10394" s="142" t="s">
        <v>14419</v>
      </c>
      <c r="E10394" s="142" t="s">
        <v>349</v>
      </c>
      <c r="F10394" s="142" t="s">
        <v>1644</v>
      </c>
      <c r="G10394" s="142" t="s">
        <v>7670</v>
      </c>
      <c r="H10394" s="142" t="s">
        <v>26246</v>
      </c>
      <c r="I10394" s="142">
        <v>9824</v>
      </c>
      <c r="J10394" s="142">
        <v>7209</v>
      </c>
      <c r="K10394" s="142">
        <v>0</v>
      </c>
      <c r="L10394" s="142">
        <v>1128</v>
      </c>
      <c r="M10394" s="142">
        <v>1487</v>
      </c>
    </row>
    <row r="10395" spans="1:13" x14ac:dyDescent="0.45">
      <c r="A10395" s="142" t="s">
        <v>6288</v>
      </c>
      <c r="B10395" s="142" t="s">
        <v>6287</v>
      </c>
      <c r="C10395" s="142" t="s">
        <v>14419</v>
      </c>
      <c r="D10395" s="142" t="s">
        <v>14419</v>
      </c>
      <c r="E10395" s="142" t="s">
        <v>349</v>
      </c>
      <c r="F10395" s="142" t="s">
        <v>520</v>
      </c>
      <c r="G10395" s="142" t="s">
        <v>6287</v>
      </c>
      <c r="H10395" s="142" t="s">
        <v>26247</v>
      </c>
      <c r="I10395" s="142">
        <v>6194</v>
      </c>
      <c r="J10395" s="142">
        <v>4316</v>
      </c>
      <c r="K10395" s="142">
        <v>0</v>
      </c>
      <c r="L10395" s="142">
        <v>1361</v>
      </c>
      <c r="M10395" s="142">
        <v>517</v>
      </c>
    </row>
    <row r="10396" spans="1:13" x14ac:dyDescent="0.45">
      <c r="A10396" s="142" t="s">
        <v>7955</v>
      </c>
      <c r="B10396" s="142" t="s">
        <v>7954</v>
      </c>
      <c r="C10396" s="142" t="s">
        <v>14419</v>
      </c>
      <c r="D10396" s="142" t="s">
        <v>14419</v>
      </c>
      <c r="E10396" s="142" t="s">
        <v>349</v>
      </c>
      <c r="F10396" s="142" t="s">
        <v>1059</v>
      </c>
      <c r="G10396" s="142" t="s">
        <v>7954</v>
      </c>
      <c r="H10396" s="142" t="s">
        <v>26248</v>
      </c>
      <c r="I10396" s="142">
        <v>7591</v>
      </c>
      <c r="J10396" s="142">
        <v>5997</v>
      </c>
      <c r="K10396" s="142">
        <v>0</v>
      </c>
      <c r="L10396" s="142">
        <v>892</v>
      </c>
      <c r="M10396" s="142">
        <v>702</v>
      </c>
    </row>
    <row r="10397" spans="1:13" x14ac:dyDescent="0.45">
      <c r="A10397" s="142" t="s">
        <v>10561</v>
      </c>
      <c r="B10397" s="142" t="s">
        <v>10560</v>
      </c>
      <c r="C10397" s="142" t="s">
        <v>14419</v>
      </c>
      <c r="D10397" s="142" t="s">
        <v>14419</v>
      </c>
      <c r="E10397" s="142" t="s">
        <v>349</v>
      </c>
      <c r="F10397" s="142" t="s">
        <v>292</v>
      </c>
      <c r="G10397" s="142" t="s">
        <v>10560</v>
      </c>
      <c r="H10397" s="142" t="s">
        <v>26249</v>
      </c>
      <c r="I10397" s="142">
        <v>21502</v>
      </c>
      <c r="J10397" s="142">
        <v>18919</v>
      </c>
      <c r="K10397" s="142">
        <v>0</v>
      </c>
      <c r="L10397" s="142">
        <v>2288</v>
      </c>
      <c r="M10397" s="142">
        <v>295</v>
      </c>
    </row>
    <row r="10398" spans="1:13" x14ac:dyDescent="0.45">
      <c r="A10398" s="142" t="s">
        <v>2053</v>
      </c>
      <c r="B10398" s="142" t="s">
        <v>2052</v>
      </c>
      <c r="C10398" s="142" t="s">
        <v>14419</v>
      </c>
      <c r="D10398" s="142" t="s">
        <v>14419</v>
      </c>
      <c r="E10398" s="142" t="s">
        <v>349</v>
      </c>
      <c r="F10398" s="142" t="s">
        <v>1644</v>
      </c>
      <c r="G10398" s="142" t="s">
        <v>2052</v>
      </c>
      <c r="H10398" s="142" t="s">
        <v>26250</v>
      </c>
      <c r="I10398" s="142">
        <v>24829</v>
      </c>
      <c r="J10398" s="142">
        <v>18443</v>
      </c>
      <c r="K10398" s="142">
        <v>84</v>
      </c>
      <c r="L10398" s="142">
        <v>5295</v>
      </c>
      <c r="M10398" s="142">
        <v>1007</v>
      </c>
    </row>
    <row r="10399" spans="1:13" x14ac:dyDescent="0.45">
      <c r="A10399" s="142" t="s">
        <v>156</v>
      </c>
      <c r="B10399" s="142" t="s">
        <v>1560</v>
      </c>
      <c r="C10399" s="142" t="s">
        <v>14419</v>
      </c>
      <c r="D10399" s="142" t="s">
        <v>14419</v>
      </c>
      <c r="E10399" s="142" t="s">
        <v>349</v>
      </c>
      <c r="F10399" s="142" t="s">
        <v>1477</v>
      </c>
      <c r="G10399" s="142" t="s">
        <v>1560</v>
      </c>
      <c r="H10399" s="142" t="s">
        <v>26251</v>
      </c>
      <c r="I10399" s="142">
        <v>10379</v>
      </c>
      <c r="J10399" s="142">
        <v>7807</v>
      </c>
      <c r="K10399" s="142">
        <v>0</v>
      </c>
      <c r="L10399" s="142">
        <v>2102</v>
      </c>
      <c r="M10399" s="142">
        <v>470</v>
      </c>
    </row>
    <row r="10400" spans="1:13" x14ac:dyDescent="0.45">
      <c r="A10400" s="142" t="s">
        <v>157</v>
      </c>
      <c r="B10400" s="142" t="s">
        <v>12323</v>
      </c>
      <c r="C10400" s="142" t="s">
        <v>14419</v>
      </c>
      <c r="D10400" s="142" t="s">
        <v>14419</v>
      </c>
      <c r="E10400" s="142" t="s">
        <v>349</v>
      </c>
      <c r="F10400" s="142" t="s">
        <v>11188</v>
      </c>
      <c r="G10400" s="142" t="s">
        <v>12323</v>
      </c>
      <c r="H10400" s="142" t="s">
        <v>26252</v>
      </c>
      <c r="I10400" s="142">
        <v>57818</v>
      </c>
      <c r="J10400" s="142">
        <v>51526</v>
      </c>
      <c r="K10400" s="142">
        <v>329</v>
      </c>
      <c r="L10400" s="142">
        <v>2818</v>
      </c>
      <c r="M10400" s="142">
        <v>3145</v>
      </c>
    </row>
    <row r="10401" spans="1:13" x14ac:dyDescent="0.45">
      <c r="A10401" s="142" t="s">
        <v>158</v>
      </c>
      <c r="B10401" s="142" t="s">
        <v>8497</v>
      </c>
      <c r="C10401" s="142" t="s">
        <v>14419</v>
      </c>
      <c r="D10401" s="142" t="s">
        <v>14419</v>
      </c>
      <c r="E10401" s="142" t="s">
        <v>349</v>
      </c>
      <c r="F10401" s="142" t="s">
        <v>1644</v>
      </c>
      <c r="G10401" s="142" t="s">
        <v>8497</v>
      </c>
      <c r="H10401" s="142" t="s">
        <v>26253</v>
      </c>
      <c r="I10401" s="142">
        <v>6229</v>
      </c>
      <c r="J10401" s="142">
        <v>4986</v>
      </c>
      <c r="K10401" s="142">
        <v>0</v>
      </c>
      <c r="L10401" s="142">
        <v>476</v>
      </c>
      <c r="M10401" s="142">
        <v>767</v>
      </c>
    </row>
    <row r="10402" spans="1:13" x14ac:dyDescent="0.45">
      <c r="A10402" s="142" t="s">
        <v>159</v>
      </c>
      <c r="B10402" s="142" t="s">
        <v>9436</v>
      </c>
      <c r="C10402" s="142" t="s">
        <v>14419</v>
      </c>
      <c r="D10402" s="142" t="s">
        <v>14419</v>
      </c>
      <c r="E10402" s="142" t="s">
        <v>349</v>
      </c>
      <c r="F10402" s="142" t="s">
        <v>1477</v>
      </c>
      <c r="G10402" s="142" t="s">
        <v>9436</v>
      </c>
      <c r="H10402" s="142" t="s">
        <v>26254</v>
      </c>
      <c r="I10402" s="142">
        <v>7928</v>
      </c>
      <c r="J10402" s="142">
        <v>6984</v>
      </c>
      <c r="K10402" s="142">
        <v>88</v>
      </c>
      <c r="L10402" s="142">
        <v>512</v>
      </c>
      <c r="M10402" s="142">
        <v>344</v>
      </c>
    </row>
    <row r="10403" spans="1:13" x14ac:dyDescent="0.45">
      <c r="A10403" s="142" t="s">
        <v>160</v>
      </c>
      <c r="B10403" s="142" t="s">
        <v>10184</v>
      </c>
      <c r="C10403" s="142" t="s">
        <v>14419</v>
      </c>
      <c r="D10403" s="142" t="s">
        <v>14419</v>
      </c>
      <c r="E10403" s="142" t="s">
        <v>349</v>
      </c>
      <c r="F10403" s="142" t="s">
        <v>520</v>
      </c>
      <c r="G10403" s="142" t="s">
        <v>10184</v>
      </c>
      <c r="H10403" s="142" t="s">
        <v>26255</v>
      </c>
      <c r="I10403" s="142">
        <v>17979</v>
      </c>
      <c r="J10403" s="142">
        <v>14616</v>
      </c>
      <c r="K10403" s="142">
        <v>0</v>
      </c>
      <c r="L10403" s="142">
        <v>2730</v>
      </c>
      <c r="M10403" s="142">
        <v>633</v>
      </c>
    </row>
    <row r="10404" spans="1:13" x14ac:dyDescent="0.45">
      <c r="A10404" s="142" t="s">
        <v>161</v>
      </c>
      <c r="B10404" s="142" t="s">
        <v>7996</v>
      </c>
      <c r="C10404" s="142" t="s">
        <v>14419</v>
      </c>
      <c r="D10404" s="142" t="s">
        <v>14419</v>
      </c>
      <c r="E10404" s="142" t="s">
        <v>349</v>
      </c>
      <c r="F10404" s="142" t="s">
        <v>1059</v>
      </c>
      <c r="G10404" s="142" t="s">
        <v>7996</v>
      </c>
      <c r="H10404" s="142" t="s">
        <v>26256</v>
      </c>
      <c r="I10404" s="142">
        <v>9550</v>
      </c>
      <c r="J10404" s="142">
        <v>7521</v>
      </c>
      <c r="K10404" s="142">
        <v>0</v>
      </c>
      <c r="L10404" s="142">
        <v>1398</v>
      </c>
      <c r="M10404" s="142">
        <v>631</v>
      </c>
    </row>
    <row r="10405" spans="1:13" x14ac:dyDescent="0.45">
      <c r="A10405" s="142" t="s">
        <v>162</v>
      </c>
      <c r="B10405" s="142" t="s">
        <v>8037</v>
      </c>
      <c r="C10405" s="142" t="s">
        <v>14419</v>
      </c>
      <c r="D10405" s="142" t="s">
        <v>14419</v>
      </c>
      <c r="E10405" s="142" t="s">
        <v>349</v>
      </c>
      <c r="F10405" s="142" t="s">
        <v>1059</v>
      </c>
      <c r="G10405" s="142" t="s">
        <v>8037</v>
      </c>
      <c r="H10405" s="142" t="s">
        <v>26257</v>
      </c>
      <c r="I10405" s="142">
        <v>3997</v>
      </c>
      <c r="J10405" s="142">
        <v>3423</v>
      </c>
      <c r="K10405" s="142">
        <v>11</v>
      </c>
      <c r="L10405" s="142">
        <v>438</v>
      </c>
      <c r="M10405" s="142">
        <v>125</v>
      </c>
    </row>
    <row r="10406" spans="1:13" x14ac:dyDescent="0.45">
      <c r="A10406" s="142" t="s">
        <v>163</v>
      </c>
      <c r="B10406" s="142" t="s">
        <v>9560</v>
      </c>
      <c r="C10406" s="142" t="s">
        <v>14419</v>
      </c>
      <c r="D10406" s="142" t="s">
        <v>14419</v>
      </c>
      <c r="E10406" s="142" t="s">
        <v>349</v>
      </c>
      <c r="F10406" s="142" t="s">
        <v>1477</v>
      </c>
      <c r="G10406" s="142" t="s">
        <v>9560</v>
      </c>
      <c r="H10406" s="142" t="s">
        <v>26258</v>
      </c>
      <c r="I10406" s="142">
        <v>10883</v>
      </c>
      <c r="J10406" s="142">
        <v>8606</v>
      </c>
      <c r="K10406" s="142">
        <v>0</v>
      </c>
      <c r="L10406" s="142">
        <v>1617</v>
      </c>
      <c r="M10406" s="142">
        <v>660</v>
      </c>
    </row>
    <row r="10407" spans="1:13" x14ac:dyDescent="0.45">
      <c r="A10407" s="142" t="s">
        <v>164</v>
      </c>
      <c r="B10407" s="142" t="s">
        <v>9936</v>
      </c>
      <c r="C10407" s="142" t="s">
        <v>14419</v>
      </c>
      <c r="D10407" s="142" t="s">
        <v>14419</v>
      </c>
      <c r="E10407" s="142" t="s">
        <v>349</v>
      </c>
      <c r="F10407" s="142" t="s">
        <v>520</v>
      </c>
      <c r="G10407" s="142" t="s">
        <v>9936</v>
      </c>
      <c r="H10407" s="142" t="s">
        <v>26259</v>
      </c>
      <c r="I10407" s="142">
        <v>18981</v>
      </c>
      <c r="J10407" s="142">
        <v>14780</v>
      </c>
      <c r="K10407" s="142">
        <v>0</v>
      </c>
      <c r="L10407" s="142">
        <v>2825</v>
      </c>
      <c r="M10407" s="142">
        <v>1376</v>
      </c>
    </row>
    <row r="10408" spans="1:13" x14ac:dyDescent="0.45">
      <c r="A10408" s="142" t="s">
        <v>165</v>
      </c>
      <c r="B10408" s="142" t="s">
        <v>435</v>
      </c>
      <c r="C10408" s="142" t="s">
        <v>14419</v>
      </c>
      <c r="D10408" s="142" t="s">
        <v>14419</v>
      </c>
      <c r="E10408" s="142" t="s">
        <v>349</v>
      </c>
      <c r="F10408" s="142" t="s">
        <v>292</v>
      </c>
      <c r="G10408" s="142" t="s">
        <v>435</v>
      </c>
      <c r="H10408" s="142" t="s">
        <v>26260</v>
      </c>
      <c r="I10408" s="142">
        <v>14687</v>
      </c>
      <c r="J10408" s="142">
        <v>13101</v>
      </c>
      <c r="K10408" s="142">
        <v>0</v>
      </c>
      <c r="L10408" s="142">
        <v>1071</v>
      </c>
      <c r="M10408" s="142">
        <v>515</v>
      </c>
    </row>
    <row r="10409" spans="1:13" x14ac:dyDescent="0.45">
      <c r="A10409" s="142" t="s">
        <v>166</v>
      </c>
      <c r="B10409" s="142" t="s">
        <v>1141</v>
      </c>
      <c r="C10409" s="142" t="s">
        <v>14419</v>
      </c>
      <c r="D10409" s="142" t="s">
        <v>14419</v>
      </c>
      <c r="E10409" s="142" t="s">
        <v>349</v>
      </c>
      <c r="F10409" s="142" t="s">
        <v>1059</v>
      </c>
      <c r="G10409" s="142" t="s">
        <v>1141</v>
      </c>
      <c r="H10409" s="142" t="s">
        <v>26261</v>
      </c>
      <c r="I10409" s="142">
        <v>26040</v>
      </c>
      <c r="J10409" s="142">
        <v>23261</v>
      </c>
      <c r="K10409" s="142">
        <v>8</v>
      </c>
      <c r="L10409" s="142">
        <v>2516</v>
      </c>
      <c r="M10409" s="142">
        <v>255</v>
      </c>
    </row>
    <row r="10410" spans="1:13" x14ac:dyDescent="0.45">
      <c r="A10410" s="142" t="s">
        <v>167</v>
      </c>
      <c r="B10410" s="142" t="s">
        <v>8820</v>
      </c>
      <c r="C10410" s="142" t="s">
        <v>14419</v>
      </c>
      <c r="D10410" s="142" t="s">
        <v>14419</v>
      </c>
      <c r="E10410" s="142" t="s">
        <v>349</v>
      </c>
      <c r="F10410" s="142" t="s">
        <v>1059</v>
      </c>
      <c r="G10410" s="142" t="s">
        <v>8820</v>
      </c>
      <c r="H10410" s="142" t="s">
        <v>26262</v>
      </c>
      <c r="I10410" s="142">
        <v>10508</v>
      </c>
      <c r="J10410" s="142">
        <v>8174</v>
      </c>
      <c r="K10410" s="142">
        <v>2</v>
      </c>
      <c r="L10410" s="142">
        <v>942</v>
      </c>
      <c r="M10410" s="142">
        <v>1390</v>
      </c>
    </row>
    <row r="10411" spans="1:13" x14ac:dyDescent="0.45">
      <c r="A10411" s="142" t="s">
        <v>168</v>
      </c>
      <c r="B10411" s="142" t="s">
        <v>4657</v>
      </c>
      <c r="C10411" s="142" t="s">
        <v>14419</v>
      </c>
      <c r="D10411" s="142" t="s">
        <v>14419</v>
      </c>
      <c r="E10411" s="142" t="s">
        <v>349</v>
      </c>
      <c r="F10411" s="142" t="s">
        <v>1184</v>
      </c>
      <c r="G10411" s="142" t="s">
        <v>4657</v>
      </c>
      <c r="H10411" s="142" t="s">
        <v>26263</v>
      </c>
      <c r="I10411" s="142">
        <v>8202</v>
      </c>
      <c r="J10411" s="142">
        <v>6181</v>
      </c>
      <c r="K10411" s="142">
        <v>4</v>
      </c>
      <c r="L10411" s="142">
        <v>1014</v>
      </c>
      <c r="M10411" s="142">
        <v>1003</v>
      </c>
    </row>
    <row r="10412" spans="1:13" x14ac:dyDescent="0.45">
      <c r="A10412" s="142" t="s">
        <v>169</v>
      </c>
      <c r="B10412" s="142" t="s">
        <v>10602</v>
      </c>
      <c r="C10412" s="142" t="s">
        <v>14419</v>
      </c>
      <c r="D10412" s="142" t="s">
        <v>14419</v>
      </c>
      <c r="E10412" s="142" t="s">
        <v>349</v>
      </c>
      <c r="F10412" s="142" t="s">
        <v>292</v>
      </c>
      <c r="G10412" s="142" t="s">
        <v>10602</v>
      </c>
      <c r="H10412" s="142" t="s">
        <v>26264</v>
      </c>
      <c r="I10412" s="142">
        <v>35509</v>
      </c>
      <c r="J10412" s="142">
        <v>31976</v>
      </c>
      <c r="K10412" s="142">
        <v>0</v>
      </c>
      <c r="L10412" s="142">
        <v>3026</v>
      </c>
      <c r="M10412" s="142">
        <v>507</v>
      </c>
    </row>
    <row r="10413" spans="1:13" x14ac:dyDescent="0.45">
      <c r="A10413" s="142" t="s">
        <v>170</v>
      </c>
      <c r="B10413" s="142" t="s">
        <v>8538</v>
      </c>
      <c r="C10413" s="142" t="s">
        <v>14419</v>
      </c>
      <c r="D10413" s="142" t="s">
        <v>14419</v>
      </c>
      <c r="E10413" s="142" t="s">
        <v>349</v>
      </c>
      <c r="F10413" s="142" t="s">
        <v>1644</v>
      </c>
      <c r="G10413" s="142" t="s">
        <v>8538</v>
      </c>
      <c r="H10413" s="142" t="s">
        <v>26265</v>
      </c>
      <c r="I10413" s="142">
        <v>4206</v>
      </c>
      <c r="J10413" s="142">
        <v>3200</v>
      </c>
      <c r="K10413" s="142">
        <v>120</v>
      </c>
      <c r="L10413" s="142">
        <v>398</v>
      </c>
      <c r="M10413" s="142">
        <v>488</v>
      </c>
    </row>
    <row r="10414" spans="1:13" x14ac:dyDescent="0.45">
      <c r="A10414" s="142" t="s">
        <v>171</v>
      </c>
      <c r="B10414" s="142" t="s">
        <v>12364</v>
      </c>
      <c r="C10414" s="142" t="s">
        <v>14419</v>
      </c>
      <c r="D10414" s="142" t="s">
        <v>14419</v>
      </c>
      <c r="E10414" s="142" t="s">
        <v>349</v>
      </c>
      <c r="F10414" s="142" t="s">
        <v>11188</v>
      </c>
      <c r="G10414" s="142" t="s">
        <v>12364</v>
      </c>
      <c r="H10414" s="142" t="s">
        <v>26266</v>
      </c>
      <c r="I10414" s="142">
        <v>12901</v>
      </c>
      <c r="J10414" s="142">
        <v>10114</v>
      </c>
      <c r="K10414" s="142">
        <v>8</v>
      </c>
      <c r="L10414" s="142">
        <v>1836</v>
      </c>
      <c r="M10414" s="142">
        <v>943</v>
      </c>
    </row>
    <row r="10415" spans="1:13" x14ac:dyDescent="0.45">
      <c r="A10415" s="142" t="s">
        <v>172</v>
      </c>
      <c r="B10415" s="142" t="s">
        <v>5761</v>
      </c>
      <c r="C10415" s="142" t="s">
        <v>14419</v>
      </c>
      <c r="D10415" s="142" t="s">
        <v>14419</v>
      </c>
      <c r="E10415" s="142" t="s">
        <v>349</v>
      </c>
      <c r="F10415" s="142" t="s">
        <v>1644</v>
      </c>
      <c r="G10415" s="142" t="s">
        <v>5761</v>
      </c>
      <c r="H10415" s="142" t="s">
        <v>26267</v>
      </c>
      <c r="I10415" s="142">
        <v>10140</v>
      </c>
      <c r="J10415" s="142">
        <v>8284</v>
      </c>
      <c r="K10415" s="142">
        <v>0</v>
      </c>
      <c r="L10415" s="142">
        <v>664</v>
      </c>
      <c r="M10415" s="142">
        <v>1192</v>
      </c>
    </row>
    <row r="10416" spans="1:13" x14ac:dyDescent="0.45">
      <c r="A10416" s="142" t="s">
        <v>173</v>
      </c>
      <c r="B10416" s="142" t="s">
        <v>1434</v>
      </c>
      <c r="C10416" s="142" t="s">
        <v>14419</v>
      </c>
      <c r="D10416" s="142" t="s">
        <v>14419</v>
      </c>
      <c r="E10416" s="142" t="s">
        <v>349</v>
      </c>
      <c r="F10416" s="142" t="s">
        <v>1184</v>
      </c>
      <c r="G10416" s="142" t="s">
        <v>1434</v>
      </c>
      <c r="H10416" s="142" t="s">
        <v>26268</v>
      </c>
      <c r="I10416" s="142">
        <v>17569</v>
      </c>
      <c r="J10416" s="142">
        <v>14686</v>
      </c>
      <c r="K10416" s="142">
        <v>0</v>
      </c>
      <c r="L10416" s="142">
        <v>1634</v>
      </c>
      <c r="M10416" s="142">
        <v>1249</v>
      </c>
    </row>
    <row r="10417" spans="1:13" x14ac:dyDescent="0.45">
      <c r="A10417" s="142" t="s">
        <v>174</v>
      </c>
      <c r="B10417" s="142" t="s">
        <v>9977</v>
      </c>
      <c r="C10417" s="142" t="s">
        <v>14419</v>
      </c>
      <c r="D10417" s="142" t="s">
        <v>14419</v>
      </c>
      <c r="E10417" s="142" t="s">
        <v>349</v>
      </c>
      <c r="F10417" s="142" t="s">
        <v>520</v>
      </c>
      <c r="G10417" s="142" t="s">
        <v>9977</v>
      </c>
      <c r="H10417" s="142" t="s">
        <v>26269</v>
      </c>
      <c r="I10417" s="142">
        <v>22914</v>
      </c>
      <c r="J10417" s="142">
        <v>20380</v>
      </c>
      <c r="K10417" s="142">
        <v>2</v>
      </c>
      <c r="L10417" s="142">
        <v>2216</v>
      </c>
      <c r="M10417" s="142">
        <v>316</v>
      </c>
    </row>
    <row r="10418" spans="1:13" x14ac:dyDescent="0.45">
      <c r="A10418" s="142" t="s">
        <v>175</v>
      </c>
      <c r="B10418" s="142" t="s">
        <v>8078</v>
      </c>
      <c r="C10418" s="142" t="s">
        <v>14419</v>
      </c>
      <c r="D10418" s="142" t="s">
        <v>14419</v>
      </c>
      <c r="E10418" s="142" t="s">
        <v>349</v>
      </c>
      <c r="F10418" s="142" t="s">
        <v>1059</v>
      </c>
      <c r="G10418" s="142" t="s">
        <v>8078</v>
      </c>
      <c r="H10418" s="142" t="s">
        <v>26270</v>
      </c>
      <c r="I10418" s="142">
        <v>6563</v>
      </c>
      <c r="J10418" s="142">
        <v>6041</v>
      </c>
      <c r="K10418" s="142">
        <v>0</v>
      </c>
      <c r="L10418" s="142">
        <v>263</v>
      </c>
      <c r="M10418" s="142">
        <v>259</v>
      </c>
    </row>
    <row r="10419" spans="1:13" x14ac:dyDescent="0.45">
      <c r="A10419" s="142" t="s">
        <v>176</v>
      </c>
      <c r="B10419" s="142" t="s">
        <v>8571</v>
      </c>
      <c r="C10419" s="142" t="s">
        <v>14419</v>
      </c>
      <c r="D10419" s="142" t="s">
        <v>14419</v>
      </c>
      <c r="E10419" s="142" t="s">
        <v>349</v>
      </c>
      <c r="F10419" s="142" t="s">
        <v>1644</v>
      </c>
      <c r="G10419" s="142" t="s">
        <v>8571</v>
      </c>
      <c r="H10419" s="142" t="s">
        <v>26271</v>
      </c>
      <c r="I10419" s="142">
        <v>4477</v>
      </c>
      <c r="J10419" s="142">
        <v>3543</v>
      </c>
      <c r="K10419" s="142">
        <v>0</v>
      </c>
      <c r="L10419" s="142">
        <v>546</v>
      </c>
      <c r="M10419" s="142">
        <v>388</v>
      </c>
    </row>
    <row r="10420" spans="1:13" x14ac:dyDescent="0.45">
      <c r="A10420" s="142" t="s">
        <v>177</v>
      </c>
      <c r="B10420" s="142" t="s">
        <v>3671</v>
      </c>
      <c r="C10420" s="142" t="s">
        <v>14419</v>
      </c>
      <c r="D10420" s="142" t="s">
        <v>14419</v>
      </c>
      <c r="E10420" s="142" t="s">
        <v>349</v>
      </c>
      <c r="F10420" s="142" t="s">
        <v>1184</v>
      </c>
      <c r="G10420" s="142" t="s">
        <v>3671</v>
      </c>
      <c r="H10420" s="142" t="s">
        <v>26272</v>
      </c>
      <c r="I10420" s="142">
        <v>7066</v>
      </c>
      <c r="J10420" s="142">
        <v>4572</v>
      </c>
      <c r="K10420" s="142">
        <v>0</v>
      </c>
      <c r="L10420" s="142">
        <v>1608</v>
      </c>
      <c r="M10420" s="142">
        <v>886</v>
      </c>
    </row>
    <row r="10421" spans="1:13" x14ac:dyDescent="0.45">
      <c r="A10421" s="142" t="s">
        <v>178</v>
      </c>
      <c r="B10421" s="142" t="s">
        <v>1100</v>
      </c>
      <c r="C10421" s="142" t="s">
        <v>14419</v>
      </c>
      <c r="D10421" s="142" t="s">
        <v>14419</v>
      </c>
      <c r="E10421" s="142" t="s">
        <v>349</v>
      </c>
      <c r="F10421" s="142" t="s">
        <v>1059</v>
      </c>
      <c r="G10421" s="142" t="s">
        <v>1100</v>
      </c>
      <c r="H10421" s="142" t="s">
        <v>26273</v>
      </c>
      <c r="I10421" s="142">
        <v>16041</v>
      </c>
      <c r="J10421" s="142">
        <v>12205</v>
      </c>
      <c r="K10421" s="142">
        <v>0</v>
      </c>
      <c r="L10421" s="142">
        <v>2942</v>
      </c>
      <c r="M10421" s="142">
        <v>894</v>
      </c>
    </row>
    <row r="10422" spans="1:13" x14ac:dyDescent="0.45">
      <c r="A10422" s="142" t="s">
        <v>179</v>
      </c>
      <c r="B10422" s="142" t="s">
        <v>4415</v>
      </c>
      <c r="C10422" s="142" t="s">
        <v>14419</v>
      </c>
      <c r="D10422" s="142" t="s">
        <v>14419</v>
      </c>
      <c r="E10422" s="142" t="s">
        <v>349</v>
      </c>
      <c r="F10422" s="142" t="s">
        <v>1477</v>
      </c>
      <c r="G10422" s="142" t="s">
        <v>4415</v>
      </c>
      <c r="H10422" s="142" t="s">
        <v>26274</v>
      </c>
      <c r="I10422" s="142">
        <v>6702</v>
      </c>
      <c r="J10422" s="142">
        <v>5493</v>
      </c>
      <c r="K10422" s="142">
        <v>0</v>
      </c>
      <c r="L10422" s="142">
        <v>807</v>
      </c>
      <c r="M10422" s="142">
        <v>402</v>
      </c>
    </row>
    <row r="10423" spans="1:13" x14ac:dyDescent="0.45">
      <c r="A10423" s="142" t="s">
        <v>180</v>
      </c>
      <c r="B10423" s="142" t="s">
        <v>5109</v>
      </c>
      <c r="C10423" s="142" t="s">
        <v>14419</v>
      </c>
      <c r="D10423" s="142" t="s">
        <v>14419</v>
      </c>
      <c r="E10423" s="142" t="s">
        <v>349</v>
      </c>
      <c r="F10423" s="142" t="s">
        <v>1644</v>
      </c>
      <c r="G10423" s="142" t="s">
        <v>5109</v>
      </c>
      <c r="H10423" s="142" t="s">
        <v>26275</v>
      </c>
      <c r="I10423" s="142">
        <v>9781</v>
      </c>
      <c r="J10423" s="142">
        <v>7862</v>
      </c>
      <c r="K10423" s="142">
        <v>0</v>
      </c>
      <c r="L10423" s="142">
        <v>751</v>
      </c>
      <c r="M10423" s="142">
        <v>1168</v>
      </c>
    </row>
    <row r="10424" spans="1:13" x14ac:dyDescent="0.45">
      <c r="A10424" s="142" t="s">
        <v>181</v>
      </c>
      <c r="B10424" s="142" t="s">
        <v>4698</v>
      </c>
      <c r="C10424" s="142" t="s">
        <v>14419</v>
      </c>
      <c r="D10424" s="142" t="s">
        <v>14419</v>
      </c>
      <c r="E10424" s="142" t="s">
        <v>349</v>
      </c>
      <c r="F10424" s="142" t="s">
        <v>1184</v>
      </c>
      <c r="G10424" s="142" t="s">
        <v>4698</v>
      </c>
      <c r="H10424" s="142" t="s">
        <v>26276</v>
      </c>
      <c r="I10424" s="142">
        <v>7593</v>
      </c>
      <c r="J10424" s="142">
        <v>5506</v>
      </c>
      <c r="K10424" s="142">
        <v>0</v>
      </c>
      <c r="L10424" s="142">
        <v>665</v>
      </c>
      <c r="M10424" s="142">
        <v>1422</v>
      </c>
    </row>
    <row r="10425" spans="1:13" x14ac:dyDescent="0.45">
      <c r="A10425" s="142" t="s">
        <v>182</v>
      </c>
      <c r="B10425" s="142" t="s">
        <v>5794</v>
      </c>
      <c r="C10425" s="142" t="s">
        <v>14419</v>
      </c>
      <c r="D10425" s="142" t="s">
        <v>14419</v>
      </c>
      <c r="E10425" s="142" t="s">
        <v>349</v>
      </c>
      <c r="F10425" s="142" t="s">
        <v>1644</v>
      </c>
      <c r="G10425" s="142" t="s">
        <v>5794</v>
      </c>
      <c r="H10425" s="142" t="s">
        <v>26277</v>
      </c>
      <c r="I10425" s="142">
        <v>8777</v>
      </c>
      <c r="J10425" s="142">
        <v>7316</v>
      </c>
      <c r="K10425" s="142">
        <v>0</v>
      </c>
      <c r="L10425" s="142">
        <v>804</v>
      </c>
      <c r="M10425" s="142">
        <v>657</v>
      </c>
    </row>
    <row r="10426" spans="1:13" x14ac:dyDescent="0.45">
      <c r="A10426" s="142" t="s">
        <v>183</v>
      </c>
      <c r="B10426" s="142" t="s">
        <v>5343</v>
      </c>
      <c r="C10426" s="142" t="s">
        <v>14419</v>
      </c>
      <c r="D10426" s="142" t="s">
        <v>14419</v>
      </c>
      <c r="E10426" s="142" t="s">
        <v>349</v>
      </c>
      <c r="F10426" s="142" t="s">
        <v>1477</v>
      </c>
      <c r="G10426" s="142" t="s">
        <v>5343</v>
      </c>
      <c r="H10426" s="142" t="s">
        <v>26278</v>
      </c>
      <c r="I10426" s="142">
        <v>5949</v>
      </c>
      <c r="J10426" s="142">
        <v>4591</v>
      </c>
      <c r="K10426" s="142">
        <v>22</v>
      </c>
      <c r="L10426" s="142">
        <v>915</v>
      </c>
      <c r="M10426" s="142">
        <v>421</v>
      </c>
    </row>
    <row r="10427" spans="1:13" x14ac:dyDescent="0.45">
      <c r="A10427" s="142" t="s">
        <v>184</v>
      </c>
      <c r="B10427" s="142" t="s">
        <v>1601</v>
      </c>
      <c r="C10427" s="142" t="s">
        <v>14419</v>
      </c>
      <c r="D10427" s="142" t="s">
        <v>14419</v>
      </c>
      <c r="E10427" s="142" t="s">
        <v>349</v>
      </c>
      <c r="F10427" s="142" t="s">
        <v>1477</v>
      </c>
      <c r="G10427" s="142" t="s">
        <v>1601</v>
      </c>
      <c r="H10427" s="142" t="s">
        <v>26279</v>
      </c>
      <c r="I10427" s="142">
        <v>12532</v>
      </c>
      <c r="J10427" s="142">
        <v>10558</v>
      </c>
      <c r="K10427" s="142">
        <v>0</v>
      </c>
      <c r="L10427" s="142">
        <v>1413</v>
      </c>
      <c r="M10427" s="142">
        <v>561</v>
      </c>
    </row>
    <row r="10428" spans="1:13" x14ac:dyDescent="0.45">
      <c r="A10428" s="142" t="s">
        <v>185</v>
      </c>
      <c r="B10428" s="142" t="s">
        <v>5835</v>
      </c>
      <c r="C10428" s="142" t="s">
        <v>14419</v>
      </c>
      <c r="D10428" s="142" t="s">
        <v>14419</v>
      </c>
      <c r="E10428" s="142" t="s">
        <v>349</v>
      </c>
      <c r="F10428" s="142" t="s">
        <v>1644</v>
      </c>
      <c r="G10428" s="142" t="s">
        <v>5835</v>
      </c>
      <c r="H10428" s="142" t="s">
        <v>26280</v>
      </c>
      <c r="I10428" s="142">
        <v>9891</v>
      </c>
      <c r="J10428" s="142">
        <v>7937</v>
      </c>
      <c r="K10428" s="142">
        <v>1</v>
      </c>
      <c r="L10428" s="142">
        <v>731</v>
      </c>
      <c r="M10428" s="142">
        <v>1222</v>
      </c>
    </row>
    <row r="10429" spans="1:13" x14ac:dyDescent="0.45">
      <c r="A10429" s="142" t="s">
        <v>186</v>
      </c>
      <c r="B10429" s="142" t="s">
        <v>1393</v>
      </c>
      <c r="C10429" s="142" t="s">
        <v>14419</v>
      </c>
      <c r="D10429" s="142" t="s">
        <v>14419</v>
      </c>
      <c r="E10429" s="142" t="s">
        <v>349</v>
      </c>
      <c r="F10429" s="142" t="s">
        <v>1184</v>
      </c>
      <c r="G10429" s="142" t="s">
        <v>1393</v>
      </c>
      <c r="H10429" s="142" t="s">
        <v>26281</v>
      </c>
      <c r="I10429" s="142">
        <v>6122</v>
      </c>
      <c r="J10429" s="142">
        <v>4356</v>
      </c>
      <c r="K10429" s="142">
        <v>0</v>
      </c>
      <c r="L10429" s="142">
        <v>1200</v>
      </c>
      <c r="M10429" s="142">
        <v>566</v>
      </c>
    </row>
    <row r="10430" spans="1:13" x14ac:dyDescent="0.45">
      <c r="A10430" s="142" t="s">
        <v>187</v>
      </c>
      <c r="B10430" s="142" t="s">
        <v>3712</v>
      </c>
      <c r="C10430" s="142" t="s">
        <v>14419</v>
      </c>
      <c r="D10430" s="142" t="s">
        <v>14419</v>
      </c>
      <c r="E10430" s="142" t="s">
        <v>349</v>
      </c>
      <c r="F10430" s="142" t="s">
        <v>1184</v>
      </c>
      <c r="G10430" s="142" t="s">
        <v>3712</v>
      </c>
      <c r="H10430" s="142" t="s">
        <v>26282</v>
      </c>
      <c r="I10430" s="142">
        <v>3316</v>
      </c>
      <c r="J10430" s="142">
        <v>2625</v>
      </c>
      <c r="K10430" s="142">
        <v>0</v>
      </c>
      <c r="L10430" s="142">
        <v>399</v>
      </c>
      <c r="M10430" s="142">
        <v>292</v>
      </c>
    </row>
    <row r="10431" spans="1:13" x14ac:dyDescent="0.45">
      <c r="A10431" s="142" t="s">
        <v>188</v>
      </c>
      <c r="B10431" s="142" t="s">
        <v>12405</v>
      </c>
      <c r="C10431" s="142" t="s">
        <v>14419</v>
      </c>
      <c r="D10431" s="142" t="s">
        <v>14419</v>
      </c>
      <c r="E10431" s="142" t="s">
        <v>349</v>
      </c>
      <c r="F10431" s="142" t="s">
        <v>11188</v>
      </c>
      <c r="G10431" s="142" t="s">
        <v>12405</v>
      </c>
      <c r="H10431" s="142" t="s">
        <v>26283</v>
      </c>
      <c r="I10431" s="142">
        <v>49476</v>
      </c>
      <c r="J10431" s="142">
        <v>42947</v>
      </c>
      <c r="K10431" s="142">
        <v>124</v>
      </c>
      <c r="L10431" s="142">
        <v>2356</v>
      </c>
      <c r="M10431" s="142">
        <v>4049</v>
      </c>
    </row>
    <row r="10432" spans="1:13" x14ac:dyDescent="0.45">
      <c r="A10432" s="142" t="s">
        <v>189</v>
      </c>
      <c r="B10432" s="142" t="s">
        <v>10018</v>
      </c>
      <c r="C10432" s="142" t="s">
        <v>14419</v>
      </c>
      <c r="D10432" s="142" t="s">
        <v>14419</v>
      </c>
      <c r="E10432" s="142" t="s">
        <v>349</v>
      </c>
      <c r="F10432" s="142" t="s">
        <v>520</v>
      </c>
      <c r="G10432" s="142" t="s">
        <v>10018</v>
      </c>
      <c r="H10432" s="142" t="s">
        <v>26284</v>
      </c>
      <c r="I10432" s="142">
        <v>16511</v>
      </c>
      <c r="J10432" s="142">
        <v>11906</v>
      </c>
      <c r="K10432" s="142">
        <v>0</v>
      </c>
      <c r="L10432" s="142">
        <v>3767</v>
      </c>
      <c r="M10432" s="142">
        <v>838</v>
      </c>
    </row>
    <row r="10433" spans="1:13" x14ac:dyDescent="0.45">
      <c r="A10433" s="142" t="s">
        <v>190</v>
      </c>
      <c r="B10433" s="142" t="s">
        <v>5876</v>
      </c>
      <c r="C10433" s="142" t="s">
        <v>14419</v>
      </c>
      <c r="D10433" s="142" t="s">
        <v>14419</v>
      </c>
      <c r="E10433" s="142" t="s">
        <v>349</v>
      </c>
      <c r="F10433" s="142" t="s">
        <v>1644</v>
      </c>
      <c r="G10433" s="142" t="s">
        <v>5876</v>
      </c>
      <c r="H10433" s="142" t="s">
        <v>26285</v>
      </c>
      <c r="I10433" s="142">
        <v>8230</v>
      </c>
      <c r="J10433" s="142">
        <v>6545</v>
      </c>
      <c r="K10433" s="142">
        <v>0</v>
      </c>
      <c r="L10433" s="142">
        <v>964</v>
      </c>
      <c r="M10433" s="142">
        <v>721</v>
      </c>
    </row>
    <row r="10434" spans="1:13" x14ac:dyDescent="0.45">
      <c r="A10434" s="142" t="s">
        <v>191</v>
      </c>
      <c r="B10434" s="142" t="s">
        <v>4456</v>
      </c>
      <c r="C10434" s="142" t="s">
        <v>14419</v>
      </c>
      <c r="D10434" s="142" t="s">
        <v>14419</v>
      </c>
      <c r="E10434" s="142" t="s">
        <v>349</v>
      </c>
      <c r="F10434" s="142" t="s">
        <v>1477</v>
      </c>
      <c r="G10434" s="142" t="s">
        <v>4456</v>
      </c>
      <c r="H10434" s="142" t="s">
        <v>26286</v>
      </c>
      <c r="I10434" s="142">
        <v>6218</v>
      </c>
      <c r="J10434" s="142">
        <v>4714</v>
      </c>
      <c r="K10434" s="142">
        <v>0</v>
      </c>
      <c r="L10434" s="142">
        <v>750</v>
      </c>
      <c r="M10434" s="142">
        <v>754</v>
      </c>
    </row>
    <row r="10435" spans="1:13" x14ac:dyDescent="0.45">
      <c r="A10435" s="142" t="s">
        <v>192</v>
      </c>
      <c r="B10435" s="142" t="s">
        <v>7712</v>
      </c>
      <c r="C10435" s="142" t="s">
        <v>14419</v>
      </c>
      <c r="D10435" s="142" t="s">
        <v>14419</v>
      </c>
      <c r="E10435" s="142" t="s">
        <v>349</v>
      </c>
      <c r="F10435" s="142" t="s">
        <v>1644</v>
      </c>
      <c r="G10435" s="142" t="s">
        <v>7712</v>
      </c>
      <c r="H10435" s="142" t="s">
        <v>26287</v>
      </c>
      <c r="I10435" s="142">
        <v>10516</v>
      </c>
      <c r="J10435" s="142">
        <v>8602</v>
      </c>
      <c r="K10435" s="142">
        <v>0</v>
      </c>
      <c r="L10435" s="142">
        <v>648</v>
      </c>
      <c r="M10435" s="142">
        <v>1266</v>
      </c>
    </row>
    <row r="10436" spans="1:13" x14ac:dyDescent="0.45">
      <c r="A10436" s="142" t="s">
        <v>193</v>
      </c>
      <c r="B10436" s="142" t="s">
        <v>11103</v>
      </c>
      <c r="C10436" s="142" t="s">
        <v>14419</v>
      </c>
      <c r="D10436" s="142" t="s">
        <v>14419</v>
      </c>
      <c r="E10436" s="142" t="s">
        <v>349</v>
      </c>
      <c r="F10436" s="142" t="s">
        <v>688</v>
      </c>
      <c r="G10436" s="142" t="s">
        <v>11103</v>
      </c>
      <c r="H10436" s="142" t="s">
        <v>26288</v>
      </c>
      <c r="I10436" s="142">
        <v>36793</v>
      </c>
      <c r="J10436" s="142">
        <v>32720</v>
      </c>
      <c r="K10436" s="142">
        <v>11</v>
      </c>
      <c r="L10436" s="142">
        <v>2559</v>
      </c>
      <c r="M10436" s="142">
        <v>1503</v>
      </c>
    </row>
    <row r="10437" spans="1:13" x14ac:dyDescent="0.45">
      <c r="A10437" s="142" t="s">
        <v>194</v>
      </c>
      <c r="B10437" s="142" t="s">
        <v>10853</v>
      </c>
      <c r="C10437" s="142" t="s">
        <v>14419</v>
      </c>
      <c r="D10437" s="142" t="s">
        <v>14419</v>
      </c>
      <c r="E10437" s="142" t="s">
        <v>349</v>
      </c>
      <c r="F10437" s="142" t="s">
        <v>1059</v>
      </c>
      <c r="G10437" s="142" t="s">
        <v>10853</v>
      </c>
      <c r="H10437" s="142" t="s">
        <v>26289</v>
      </c>
      <c r="I10437" s="142">
        <v>28409</v>
      </c>
      <c r="J10437" s="142">
        <v>26575</v>
      </c>
      <c r="K10437" s="142">
        <v>5</v>
      </c>
      <c r="L10437" s="142">
        <v>1316</v>
      </c>
      <c r="M10437" s="142">
        <v>513</v>
      </c>
    </row>
    <row r="10438" spans="1:13" x14ac:dyDescent="0.45">
      <c r="A10438" s="142" t="s">
        <v>195</v>
      </c>
      <c r="B10438" s="142" t="s">
        <v>12446</v>
      </c>
      <c r="C10438" s="142" t="s">
        <v>14419</v>
      </c>
      <c r="D10438" s="142" t="s">
        <v>14419</v>
      </c>
      <c r="E10438" s="142" t="s">
        <v>349</v>
      </c>
      <c r="F10438" s="142" t="s">
        <v>11188</v>
      </c>
      <c r="G10438" s="142" t="s">
        <v>12446</v>
      </c>
      <c r="H10438" s="142" t="s">
        <v>26290</v>
      </c>
      <c r="I10438" s="142">
        <v>25265</v>
      </c>
      <c r="J10438" s="142">
        <v>20478</v>
      </c>
      <c r="K10438" s="142">
        <v>13</v>
      </c>
      <c r="L10438" s="142">
        <v>2335</v>
      </c>
      <c r="M10438" s="142">
        <v>2439</v>
      </c>
    </row>
    <row r="10439" spans="1:13" x14ac:dyDescent="0.45">
      <c r="A10439" s="142" t="s">
        <v>196</v>
      </c>
      <c r="B10439" s="142" t="s">
        <v>12487</v>
      </c>
      <c r="C10439" s="142" t="s">
        <v>14419</v>
      </c>
      <c r="D10439" s="142" t="s">
        <v>14419</v>
      </c>
      <c r="E10439" s="142" t="s">
        <v>349</v>
      </c>
      <c r="F10439" s="142" t="s">
        <v>11188</v>
      </c>
      <c r="G10439" s="142" t="s">
        <v>12487</v>
      </c>
      <c r="H10439" s="142" t="s">
        <v>26291</v>
      </c>
      <c r="I10439" s="142">
        <v>31897</v>
      </c>
      <c r="J10439" s="142">
        <v>25439</v>
      </c>
      <c r="K10439" s="142">
        <v>508</v>
      </c>
      <c r="L10439" s="142">
        <v>3045</v>
      </c>
      <c r="M10439" s="142">
        <v>2905</v>
      </c>
    </row>
    <row r="10440" spans="1:13" x14ac:dyDescent="0.45">
      <c r="A10440" s="142" t="s">
        <v>197</v>
      </c>
      <c r="B10440" s="142" t="s">
        <v>561</v>
      </c>
      <c r="C10440" s="142" t="s">
        <v>14419</v>
      </c>
      <c r="D10440" s="142" t="s">
        <v>14419</v>
      </c>
      <c r="E10440" s="142" t="s">
        <v>349</v>
      </c>
      <c r="F10440" s="142" t="s">
        <v>520</v>
      </c>
      <c r="G10440" s="142" t="s">
        <v>561</v>
      </c>
      <c r="H10440" s="142" t="s">
        <v>26292</v>
      </c>
      <c r="I10440" s="142">
        <v>15811</v>
      </c>
      <c r="J10440" s="142">
        <v>12204</v>
      </c>
      <c r="K10440" s="142">
        <v>0</v>
      </c>
      <c r="L10440" s="142">
        <v>2781</v>
      </c>
      <c r="M10440" s="142">
        <v>826</v>
      </c>
    </row>
    <row r="10441" spans="1:13" x14ac:dyDescent="0.45">
      <c r="A10441" s="142" t="s">
        <v>198</v>
      </c>
      <c r="B10441" s="142" t="s">
        <v>8861</v>
      </c>
      <c r="C10441" s="142" t="s">
        <v>14419</v>
      </c>
      <c r="D10441" s="142" t="s">
        <v>14419</v>
      </c>
      <c r="E10441" s="142" t="s">
        <v>349</v>
      </c>
      <c r="F10441" s="142" t="s">
        <v>1059</v>
      </c>
      <c r="G10441" s="142" t="s">
        <v>8861</v>
      </c>
      <c r="H10441" s="142" t="s">
        <v>26293</v>
      </c>
      <c r="I10441" s="142">
        <v>11608</v>
      </c>
      <c r="J10441" s="142">
        <v>9688</v>
      </c>
      <c r="K10441" s="142">
        <v>0</v>
      </c>
      <c r="L10441" s="142">
        <v>710</v>
      </c>
      <c r="M10441" s="142">
        <v>1210</v>
      </c>
    </row>
    <row r="10442" spans="1:13" x14ac:dyDescent="0.45">
      <c r="A10442" s="142" t="s">
        <v>199</v>
      </c>
      <c r="B10442" s="142" t="s">
        <v>5384</v>
      </c>
      <c r="C10442" s="142" t="s">
        <v>14419</v>
      </c>
      <c r="D10442" s="142" t="s">
        <v>14419</v>
      </c>
      <c r="E10442" s="142" t="s">
        <v>349</v>
      </c>
      <c r="F10442" s="142" t="s">
        <v>1477</v>
      </c>
      <c r="G10442" s="142" t="s">
        <v>5384</v>
      </c>
      <c r="H10442" s="142" t="s">
        <v>26294</v>
      </c>
      <c r="I10442" s="142">
        <v>7960</v>
      </c>
      <c r="J10442" s="142">
        <v>6117</v>
      </c>
      <c r="K10442" s="142">
        <v>161</v>
      </c>
      <c r="L10442" s="142">
        <v>1038</v>
      </c>
      <c r="M10442" s="142">
        <v>644</v>
      </c>
    </row>
    <row r="10443" spans="1:13" x14ac:dyDescent="0.45">
      <c r="A10443" s="142" t="s">
        <v>200</v>
      </c>
      <c r="B10443" s="142" t="s">
        <v>8612</v>
      </c>
      <c r="C10443" s="142" t="s">
        <v>14419</v>
      </c>
      <c r="D10443" s="142" t="s">
        <v>14419</v>
      </c>
      <c r="E10443" s="142" t="s">
        <v>349</v>
      </c>
      <c r="F10443" s="142" t="s">
        <v>1644</v>
      </c>
      <c r="G10443" s="142" t="s">
        <v>8612</v>
      </c>
      <c r="H10443" s="142" t="s">
        <v>26295</v>
      </c>
      <c r="I10443" s="142">
        <v>7816</v>
      </c>
      <c r="J10443" s="142">
        <v>6538</v>
      </c>
      <c r="K10443" s="142">
        <v>0</v>
      </c>
      <c r="L10443" s="142">
        <v>314</v>
      </c>
      <c r="M10443" s="142">
        <v>964</v>
      </c>
    </row>
    <row r="10444" spans="1:13" x14ac:dyDescent="0.45">
      <c r="A10444" s="142" t="s">
        <v>201</v>
      </c>
      <c r="B10444" s="142" t="s">
        <v>3962</v>
      </c>
      <c r="C10444" s="142" t="s">
        <v>14419</v>
      </c>
      <c r="D10444" s="142" t="s">
        <v>14419</v>
      </c>
      <c r="E10444" s="142" t="s">
        <v>349</v>
      </c>
      <c r="F10444" s="142" t="s">
        <v>1644</v>
      </c>
      <c r="G10444" s="142" t="s">
        <v>3962</v>
      </c>
      <c r="H10444" s="142" t="s">
        <v>26296</v>
      </c>
      <c r="I10444" s="142">
        <v>7736</v>
      </c>
      <c r="J10444" s="142">
        <v>5765</v>
      </c>
      <c r="K10444" s="142">
        <v>0</v>
      </c>
      <c r="L10444" s="142">
        <v>895</v>
      </c>
      <c r="M10444" s="142">
        <v>1076</v>
      </c>
    </row>
    <row r="10445" spans="1:13" x14ac:dyDescent="0.45">
      <c r="A10445" s="142" t="s">
        <v>202</v>
      </c>
      <c r="B10445" s="142" t="s">
        <v>9477</v>
      </c>
      <c r="C10445" s="142" t="s">
        <v>14419</v>
      </c>
      <c r="D10445" s="142" t="s">
        <v>14419</v>
      </c>
      <c r="E10445" s="142" t="s">
        <v>349</v>
      </c>
      <c r="F10445" s="142" t="s">
        <v>1477</v>
      </c>
      <c r="G10445" s="142" t="s">
        <v>9477</v>
      </c>
      <c r="H10445" s="142" t="s">
        <v>26297</v>
      </c>
      <c r="I10445" s="142">
        <v>13460</v>
      </c>
      <c r="J10445" s="142">
        <v>10240</v>
      </c>
      <c r="K10445" s="142">
        <v>0</v>
      </c>
      <c r="L10445" s="142">
        <v>2413</v>
      </c>
      <c r="M10445" s="142">
        <v>807</v>
      </c>
    </row>
    <row r="10446" spans="1:13" x14ac:dyDescent="0.45">
      <c r="A10446" s="142" t="s">
        <v>203</v>
      </c>
      <c r="B10446" s="142" t="s">
        <v>1719</v>
      </c>
      <c r="C10446" s="142" t="s">
        <v>14419</v>
      </c>
      <c r="D10446" s="142" t="s">
        <v>14419</v>
      </c>
      <c r="E10446" s="142" t="s">
        <v>349</v>
      </c>
      <c r="F10446" s="142" t="s">
        <v>1644</v>
      </c>
      <c r="G10446" s="142" t="s">
        <v>1719</v>
      </c>
      <c r="H10446" s="142" t="s">
        <v>26298</v>
      </c>
      <c r="I10446" s="142">
        <v>10334</v>
      </c>
      <c r="J10446" s="142">
        <v>8181</v>
      </c>
      <c r="K10446" s="142">
        <v>0</v>
      </c>
      <c r="L10446" s="142">
        <v>1232</v>
      </c>
      <c r="M10446" s="142">
        <v>921</v>
      </c>
    </row>
    <row r="10447" spans="1:13" x14ac:dyDescent="0.45">
      <c r="A10447" s="142" t="s">
        <v>204</v>
      </c>
      <c r="B10447" s="142" t="s">
        <v>3753</v>
      </c>
      <c r="C10447" s="142" t="s">
        <v>14419</v>
      </c>
      <c r="D10447" s="142" t="s">
        <v>14419</v>
      </c>
      <c r="E10447" s="142" t="s">
        <v>349</v>
      </c>
      <c r="F10447" s="142" t="s">
        <v>1184</v>
      </c>
      <c r="G10447" s="142" t="s">
        <v>3753</v>
      </c>
      <c r="H10447" s="142" t="s">
        <v>26299</v>
      </c>
      <c r="I10447" s="142">
        <v>2917</v>
      </c>
      <c r="J10447" s="142">
        <v>2323</v>
      </c>
      <c r="K10447" s="142">
        <v>2</v>
      </c>
      <c r="L10447" s="142">
        <v>387</v>
      </c>
      <c r="M10447" s="142">
        <v>205</v>
      </c>
    </row>
    <row r="10448" spans="1:13" x14ac:dyDescent="0.45">
      <c r="A10448" s="142" t="s">
        <v>205</v>
      </c>
      <c r="B10448" s="142" t="s">
        <v>6329</v>
      </c>
      <c r="C10448" s="142" t="s">
        <v>14419</v>
      </c>
      <c r="D10448" s="142" t="s">
        <v>14419</v>
      </c>
      <c r="E10448" s="142" t="s">
        <v>349</v>
      </c>
      <c r="F10448" s="142" t="s">
        <v>520</v>
      </c>
      <c r="G10448" s="142" t="s">
        <v>6329</v>
      </c>
      <c r="H10448" s="142" t="s">
        <v>26300</v>
      </c>
      <c r="I10448" s="142">
        <v>8319</v>
      </c>
      <c r="J10448" s="142">
        <v>6047</v>
      </c>
      <c r="K10448" s="142">
        <v>0</v>
      </c>
      <c r="L10448" s="142">
        <v>1660</v>
      </c>
      <c r="M10448" s="142">
        <v>612</v>
      </c>
    </row>
    <row r="10449" spans="1:13" x14ac:dyDescent="0.45">
      <c r="A10449" s="142" t="s">
        <v>206</v>
      </c>
      <c r="B10449" s="142" t="s">
        <v>6957</v>
      </c>
      <c r="C10449" s="142" t="s">
        <v>14419</v>
      </c>
      <c r="D10449" s="142" t="s">
        <v>14419</v>
      </c>
      <c r="E10449" s="142" t="s">
        <v>349</v>
      </c>
      <c r="F10449" s="142" t="s">
        <v>898</v>
      </c>
      <c r="G10449" s="142" t="s">
        <v>6957</v>
      </c>
      <c r="H10449" s="142" t="s">
        <v>26301</v>
      </c>
      <c r="I10449" s="142">
        <v>5619</v>
      </c>
      <c r="J10449" s="142">
        <v>4609</v>
      </c>
      <c r="K10449" s="142">
        <v>0</v>
      </c>
      <c r="L10449" s="142">
        <v>526</v>
      </c>
      <c r="M10449" s="142">
        <v>484</v>
      </c>
    </row>
    <row r="10450" spans="1:13" x14ac:dyDescent="0.45">
      <c r="A10450" s="142" t="s">
        <v>207</v>
      </c>
      <c r="B10450" s="142" t="s">
        <v>2715</v>
      </c>
      <c r="C10450" s="142" t="s">
        <v>14419</v>
      </c>
      <c r="D10450" s="142" t="s">
        <v>14419</v>
      </c>
      <c r="E10450" s="142" t="s">
        <v>349</v>
      </c>
      <c r="F10450" s="142" t="s">
        <v>898</v>
      </c>
      <c r="G10450" s="142" t="s">
        <v>2715</v>
      </c>
      <c r="H10450" s="142" t="s">
        <v>26302</v>
      </c>
      <c r="I10450" s="142">
        <v>30072</v>
      </c>
      <c r="J10450" s="142">
        <v>24176</v>
      </c>
      <c r="K10450" s="142">
        <v>0</v>
      </c>
      <c r="L10450" s="142">
        <v>2812</v>
      </c>
      <c r="M10450" s="142">
        <v>3084</v>
      </c>
    </row>
    <row r="10451" spans="1:13" x14ac:dyDescent="0.45">
      <c r="A10451" s="142" t="s">
        <v>208</v>
      </c>
      <c r="B10451" s="142" t="s">
        <v>7753</v>
      </c>
      <c r="C10451" s="142" t="s">
        <v>14419</v>
      </c>
      <c r="D10451" s="142" t="s">
        <v>14419</v>
      </c>
      <c r="E10451" s="142" t="s">
        <v>349</v>
      </c>
      <c r="F10451" s="142" t="s">
        <v>1644</v>
      </c>
      <c r="G10451" s="142" t="s">
        <v>7753</v>
      </c>
      <c r="H10451" s="142" t="s">
        <v>26303</v>
      </c>
      <c r="I10451" s="142">
        <v>8224</v>
      </c>
      <c r="J10451" s="142">
        <v>6656</v>
      </c>
      <c r="K10451" s="142">
        <v>2</v>
      </c>
      <c r="L10451" s="142">
        <v>365</v>
      </c>
      <c r="M10451" s="142">
        <v>1201</v>
      </c>
    </row>
    <row r="10452" spans="1:13" x14ac:dyDescent="0.45">
      <c r="A10452" s="142" t="s">
        <v>209</v>
      </c>
      <c r="B10452" s="142" t="s">
        <v>9643</v>
      </c>
      <c r="C10452" s="142" t="s">
        <v>14419</v>
      </c>
      <c r="D10452" s="142" t="s">
        <v>14419</v>
      </c>
      <c r="E10452" s="142" t="s">
        <v>349</v>
      </c>
      <c r="F10452" s="142" t="s">
        <v>1477</v>
      </c>
      <c r="G10452" s="142" t="s">
        <v>9643</v>
      </c>
      <c r="H10452" s="142" t="s">
        <v>26304</v>
      </c>
      <c r="I10452" s="142">
        <v>14118</v>
      </c>
      <c r="J10452" s="142">
        <v>11877</v>
      </c>
      <c r="K10452" s="142">
        <v>0</v>
      </c>
      <c r="L10452" s="142">
        <v>1173</v>
      </c>
      <c r="M10452" s="142">
        <v>1068</v>
      </c>
    </row>
    <row r="10453" spans="1:13" x14ac:dyDescent="0.45">
      <c r="A10453" s="142" t="s">
        <v>210</v>
      </c>
      <c r="B10453" s="142" t="s">
        <v>12528</v>
      </c>
      <c r="C10453" s="142" t="s">
        <v>14419</v>
      </c>
      <c r="D10453" s="142" t="s">
        <v>14419</v>
      </c>
      <c r="E10453" s="142" t="s">
        <v>349</v>
      </c>
      <c r="F10453" s="142" t="s">
        <v>11188</v>
      </c>
      <c r="G10453" s="142" t="s">
        <v>12528</v>
      </c>
      <c r="H10453" s="142" t="s">
        <v>26305</v>
      </c>
      <c r="I10453" s="142">
        <v>28057</v>
      </c>
      <c r="J10453" s="142">
        <v>23397</v>
      </c>
      <c r="K10453" s="142">
        <v>926</v>
      </c>
      <c r="L10453" s="142">
        <v>3250</v>
      </c>
      <c r="M10453" s="142">
        <v>484</v>
      </c>
    </row>
    <row r="10454" spans="1:13" x14ac:dyDescent="0.45">
      <c r="A10454" s="142" t="s">
        <v>211</v>
      </c>
      <c r="B10454" s="142" t="s">
        <v>2798</v>
      </c>
      <c r="C10454" s="142" t="s">
        <v>14419</v>
      </c>
      <c r="D10454" s="142" t="s">
        <v>14419</v>
      </c>
      <c r="E10454" s="142" t="s">
        <v>349</v>
      </c>
      <c r="F10454" s="142" t="s">
        <v>520</v>
      </c>
      <c r="G10454" s="142" t="s">
        <v>2798</v>
      </c>
      <c r="H10454" s="142" t="s">
        <v>26306</v>
      </c>
      <c r="I10454" s="142">
        <v>11765</v>
      </c>
      <c r="J10454" s="142">
        <v>9550</v>
      </c>
      <c r="K10454" s="142">
        <v>0</v>
      </c>
      <c r="L10454" s="142">
        <v>1488</v>
      </c>
      <c r="M10454" s="142">
        <v>727</v>
      </c>
    </row>
    <row r="10455" spans="1:13" x14ac:dyDescent="0.45">
      <c r="A10455" s="142" t="s">
        <v>212</v>
      </c>
      <c r="B10455" s="142" t="s">
        <v>10059</v>
      </c>
      <c r="C10455" s="142" t="s">
        <v>14419</v>
      </c>
      <c r="D10455" s="142" t="s">
        <v>14419</v>
      </c>
      <c r="E10455" s="142" t="s">
        <v>349</v>
      </c>
      <c r="F10455" s="142" t="s">
        <v>520</v>
      </c>
      <c r="G10455" s="142" t="s">
        <v>10059</v>
      </c>
      <c r="H10455" s="142" t="s">
        <v>26307</v>
      </c>
      <c r="I10455" s="142">
        <v>27260</v>
      </c>
      <c r="J10455" s="142">
        <v>22978</v>
      </c>
      <c r="K10455" s="142">
        <v>3</v>
      </c>
      <c r="L10455" s="142">
        <v>3242</v>
      </c>
      <c r="M10455" s="142">
        <v>1037</v>
      </c>
    </row>
    <row r="10456" spans="1:13" x14ac:dyDescent="0.45">
      <c r="A10456" s="142" t="s">
        <v>213</v>
      </c>
      <c r="B10456" s="142" t="s">
        <v>2380</v>
      </c>
      <c r="C10456" s="142" t="s">
        <v>14419</v>
      </c>
      <c r="D10456" s="142" t="s">
        <v>14419</v>
      </c>
      <c r="E10456" s="142" t="s">
        <v>349</v>
      </c>
      <c r="F10456" s="142" t="s">
        <v>1184</v>
      </c>
      <c r="G10456" s="142" t="s">
        <v>2380</v>
      </c>
      <c r="H10456" s="142" t="s">
        <v>26308</v>
      </c>
      <c r="I10456" s="142">
        <v>35223</v>
      </c>
      <c r="J10456" s="142">
        <v>28099</v>
      </c>
      <c r="K10456" s="142">
        <v>0</v>
      </c>
      <c r="L10456" s="142">
        <v>4209</v>
      </c>
      <c r="M10456" s="142">
        <v>2915</v>
      </c>
    </row>
    <row r="10457" spans="1:13" x14ac:dyDescent="0.45">
      <c r="A10457" s="142" t="s">
        <v>214</v>
      </c>
      <c r="B10457" s="142" t="s">
        <v>5150</v>
      </c>
      <c r="C10457" s="142" t="s">
        <v>14419</v>
      </c>
      <c r="D10457" s="142" t="s">
        <v>14419</v>
      </c>
      <c r="E10457" s="142" t="s">
        <v>349</v>
      </c>
      <c r="F10457" s="142" t="s">
        <v>1644</v>
      </c>
      <c r="G10457" s="142" t="s">
        <v>5150</v>
      </c>
      <c r="H10457" s="142" t="s">
        <v>26309</v>
      </c>
      <c r="I10457" s="142">
        <v>10058</v>
      </c>
      <c r="J10457" s="142">
        <v>7806</v>
      </c>
      <c r="K10457" s="142">
        <v>0</v>
      </c>
      <c r="L10457" s="142">
        <v>902</v>
      </c>
      <c r="M10457" s="142">
        <v>1350</v>
      </c>
    </row>
    <row r="10458" spans="1:13" x14ac:dyDescent="0.45">
      <c r="A10458" s="142" t="s">
        <v>215</v>
      </c>
      <c r="B10458" s="142" t="s">
        <v>1844</v>
      </c>
      <c r="C10458" s="142" t="s">
        <v>14419</v>
      </c>
      <c r="D10458" s="142" t="s">
        <v>14419</v>
      </c>
      <c r="E10458" s="142" t="s">
        <v>349</v>
      </c>
      <c r="F10458" s="142" t="s">
        <v>1644</v>
      </c>
      <c r="G10458" s="142" t="s">
        <v>1844</v>
      </c>
      <c r="H10458" s="142" t="s">
        <v>26310</v>
      </c>
      <c r="I10458" s="142">
        <v>8374</v>
      </c>
      <c r="J10458" s="142">
        <v>6785</v>
      </c>
      <c r="K10458" s="142">
        <v>41</v>
      </c>
      <c r="L10458" s="142">
        <v>1064</v>
      </c>
      <c r="M10458" s="142">
        <v>484</v>
      </c>
    </row>
    <row r="10459" spans="1:13" x14ac:dyDescent="0.45">
      <c r="A10459" s="142" t="s">
        <v>216</v>
      </c>
      <c r="B10459" s="142" t="s">
        <v>10267</v>
      </c>
      <c r="C10459" s="142" t="s">
        <v>14419</v>
      </c>
      <c r="D10459" s="142" t="s">
        <v>14419</v>
      </c>
      <c r="E10459" s="142" t="s">
        <v>349</v>
      </c>
      <c r="F10459" s="142" t="s">
        <v>520</v>
      </c>
      <c r="G10459" s="142" t="s">
        <v>10267</v>
      </c>
      <c r="H10459" s="142" t="s">
        <v>26311</v>
      </c>
      <c r="I10459" s="142">
        <v>24196</v>
      </c>
      <c r="J10459" s="142">
        <v>18317</v>
      </c>
      <c r="K10459" s="142">
        <v>0</v>
      </c>
      <c r="L10459" s="142">
        <v>5236</v>
      </c>
      <c r="M10459" s="142">
        <v>643</v>
      </c>
    </row>
    <row r="10460" spans="1:13" x14ac:dyDescent="0.45">
      <c r="A10460" s="142" t="s">
        <v>217</v>
      </c>
      <c r="B10460" s="142" t="s">
        <v>8653</v>
      </c>
      <c r="C10460" s="142" t="s">
        <v>14419</v>
      </c>
      <c r="D10460" s="142" t="s">
        <v>14419</v>
      </c>
      <c r="E10460" s="142" t="s">
        <v>349</v>
      </c>
      <c r="F10460" s="142" t="s">
        <v>1644</v>
      </c>
      <c r="G10460" s="142" t="s">
        <v>8653</v>
      </c>
      <c r="H10460" s="142" t="s">
        <v>26312</v>
      </c>
      <c r="I10460" s="142">
        <v>5315</v>
      </c>
      <c r="J10460" s="142">
        <v>4128</v>
      </c>
      <c r="K10460" s="142">
        <v>7</v>
      </c>
      <c r="L10460" s="142">
        <v>853</v>
      </c>
      <c r="M10460" s="142">
        <v>327</v>
      </c>
    </row>
    <row r="10461" spans="1:13" x14ac:dyDescent="0.45">
      <c r="A10461" s="142" t="s">
        <v>218</v>
      </c>
      <c r="B10461" s="142" t="s">
        <v>1885</v>
      </c>
      <c r="C10461" s="142" t="s">
        <v>14419</v>
      </c>
      <c r="D10461" s="142" t="s">
        <v>14419</v>
      </c>
      <c r="E10461" s="142" t="s">
        <v>349</v>
      </c>
      <c r="F10461" s="142" t="s">
        <v>1644</v>
      </c>
      <c r="G10461" s="142" t="s">
        <v>1885</v>
      </c>
      <c r="H10461" s="142" t="s">
        <v>26313</v>
      </c>
      <c r="I10461" s="142">
        <v>7231</v>
      </c>
      <c r="J10461" s="142">
        <v>4915</v>
      </c>
      <c r="K10461" s="142">
        <v>46</v>
      </c>
      <c r="L10461" s="142">
        <v>676</v>
      </c>
      <c r="M10461" s="142">
        <v>1594</v>
      </c>
    </row>
    <row r="10462" spans="1:13" x14ac:dyDescent="0.45">
      <c r="A10462" s="142" t="s">
        <v>219</v>
      </c>
      <c r="B10462" s="142" t="s">
        <v>10894</v>
      </c>
      <c r="C10462" s="142" t="s">
        <v>14419</v>
      </c>
      <c r="D10462" s="142" t="s">
        <v>14419</v>
      </c>
      <c r="E10462" s="142" t="s">
        <v>349</v>
      </c>
      <c r="F10462" s="142" t="s">
        <v>1059</v>
      </c>
      <c r="G10462" s="142" t="s">
        <v>10894</v>
      </c>
      <c r="H10462" s="142" t="s">
        <v>26314</v>
      </c>
      <c r="I10462" s="142">
        <v>28822</v>
      </c>
      <c r="J10462" s="142">
        <v>26539</v>
      </c>
      <c r="K10462" s="142">
        <v>146</v>
      </c>
      <c r="L10462" s="142">
        <v>1740</v>
      </c>
      <c r="M10462" s="142">
        <v>397</v>
      </c>
    </row>
    <row r="10463" spans="1:13" x14ac:dyDescent="0.45">
      <c r="A10463" s="142" t="s">
        <v>220</v>
      </c>
      <c r="B10463" s="142" t="s">
        <v>9313</v>
      </c>
      <c r="C10463" s="142" t="s">
        <v>14419</v>
      </c>
      <c r="D10463" s="142" t="s">
        <v>14419</v>
      </c>
      <c r="E10463" s="142" t="s">
        <v>349</v>
      </c>
      <c r="F10463" s="142" t="s">
        <v>1059</v>
      </c>
      <c r="G10463" s="142" t="s">
        <v>9313</v>
      </c>
      <c r="H10463" s="142" t="s">
        <v>26315</v>
      </c>
      <c r="I10463" s="142">
        <v>8596</v>
      </c>
      <c r="J10463" s="142">
        <v>6516</v>
      </c>
      <c r="K10463" s="142">
        <v>46</v>
      </c>
      <c r="L10463" s="142">
        <v>1445</v>
      </c>
      <c r="M10463" s="142">
        <v>589</v>
      </c>
    </row>
    <row r="10464" spans="1:13" x14ac:dyDescent="0.45">
      <c r="A10464" s="142" t="s">
        <v>221</v>
      </c>
      <c r="B10464" s="142" t="s">
        <v>9154</v>
      </c>
      <c r="C10464" s="142" t="s">
        <v>14419</v>
      </c>
      <c r="D10464" s="142" t="s">
        <v>14419</v>
      </c>
      <c r="E10464" s="142" t="s">
        <v>349</v>
      </c>
      <c r="F10464" s="142" t="s">
        <v>1644</v>
      </c>
      <c r="G10464" s="142" t="s">
        <v>9154</v>
      </c>
      <c r="H10464" s="142" t="s">
        <v>26316</v>
      </c>
      <c r="I10464" s="142">
        <v>5369</v>
      </c>
      <c r="J10464" s="142">
        <v>4276</v>
      </c>
      <c r="K10464" s="142">
        <v>0</v>
      </c>
      <c r="L10464" s="142">
        <v>712</v>
      </c>
      <c r="M10464" s="142">
        <v>381</v>
      </c>
    </row>
    <row r="10465" spans="1:13" x14ac:dyDescent="0.45">
      <c r="A10465" s="142" t="s">
        <v>222</v>
      </c>
      <c r="B10465" s="142" t="s">
        <v>9354</v>
      </c>
      <c r="C10465" s="142" t="s">
        <v>14419</v>
      </c>
      <c r="D10465" s="142" t="s">
        <v>14419</v>
      </c>
      <c r="E10465" s="142" t="s">
        <v>349</v>
      </c>
      <c r="F10465" s="142" t="s">
        <v>1059</v>
      </c>
      <c r="G10465" s="142" t="s">
        <v>9354</v>
      </c>
      <c r="H10465" s="142" t="s">
        <v>26317</v>
      </c>
      <c r="I10465" s="142">
        <v>10774</v>
      </c>
      <c r="J10465" s="142">
        <v>8870</v>
      </c>
      <c r="K10465" s="142">
        <v>0</v>
      </c>
      <c r="L10465" s="142">
        <v>988</v>
      </c>
      <c r="M10465" s="142">
        <v>916</v>
      </c>
    </row>
    <row r="10466" spans="1:13" x14ac:dyDescent="0.45">
      <c r="A10466" s="142" t="s">
        <v>223</v>
      </c>
      <c r="B10466" s="142" t="s">
        <v>6370</v>
      </c>
      <c r="C10466" s="142" t="s">
        <v>14419</v>
      </c>
      <c r="D10466" s="142" t="s">
        <v>14419</v>
      </c>
      <c r="E10466" s="142" t="s">
        <v>349</v>
      </c>
      <c r="F10466" s="142" t="s">
        <v>520</v>
      </c>
      <c r="G10466" s="142" t="s">
        <v>6370</v>
      </c>
      <c r="H10466" s="142" t="s">
        <v>26318</v>
      </c>
      <c r="I10466" s="142">
        <v>5056</v>
      </c>
      <c r="J10466" s="142">
        <v>3869</v>
      </c>
      <c r="K10466" s="142">
        <v>0</v>
      </c>
      <c r="L10466" s="142">
        <v>730</v>
      </c>
      <c r="M10466" s="142">
        <v>457</v>
      </c>
    </row>
    <row r="10467" spans="1:13" x14ac:dyDescent="0.45">
      <c r="A10467" s="142" t="s">
        <v>224</v>
      </c>
      <c r="B10467" s="142" t="s">
        <v>9395</v>
      </c>
      <c r="C10467" s="142" t="s">
        <v>14419</v>
      </c>
      <c r="D10467" s="142" t="s">
        <v>14419</v>
      </c>
      <c r="E10467" s="142" t="s">
        <v>349</v>
      </c>
      <c r="F10467" s="142" t="s">
        <v>1059</v>
      </c>
      <c r="G10467" s="142" t="s">
        <v>9395</v>
      </c>
      <c r="H10467" s="142" t="s">
        <v>26319</v>
      </c>
      <c r="I10467" s="142">
        <v>7692</v>
      </c>
      <c r="J10467" s="142">
        <v>4717</v>
      </c>
      <c r="K10467" s="142">
        <v>0</v>
      </c>
      <c r="L10467" s="142">
        <v>2267</v>
      </c>
      <c r="M10467" s="142">
        <v>708</v>
      </c>
    </row>
    <row r="10468" spans="1:13" x14ac:dyDescent="0.45">
      <c r="A10468" s="142" t="s">
        <v>225</v>
      </c>
      <c r="B10468" s="142" t="s">
        <v>855</v>
      </c>
      <c r="C10468" s="142" t="s">
        <v>14419</v>
      </c>
      <c r="D10468" s="142" t="s">
        <v>14419</v>
      </c>
      <c r="E10468" s="142" t="s">
        <v>349</v>
      </c>
      <c r="F10468" s="142" t="s">
        <v>688</v>
      </c>
      <c r="G10468" s="142" t="s">
        <v>855</v>
      </c>
      <c r="H10468" s="142" t="s">
        <v>26320</v>
      </c>
      <c r="I10468" s="142">
        <v>13410</v>
      </c>
      <c r="J10468" s="142">
        <v>11121</v>
      </c>
      <c r="K10468" s="142">
        <v>2</v>
      </c>
      <c r="L10468" s="142">
        <v>1476</v>
      </c>
      <c r="M10468" s="142">
        <v>811</v>
      </c>
    </row>
    <row r="10469" spans="1:13" x14ac:dyDescent="0.45">
      <c r="A10469" s="142" t="str">
        <f>_xlfn.TEXTAFTER(H10469,"England",1)</f>
        <v>East Midlands</v>
      </c>
      <c r="B10469" s="142" t="s">
        <v>109</v>
      </c>
      <c r="C10469" s="142" t="s">
        <v>277</v>
      </c>
      <c r="D10469" s="142" t="s">
        <v>277</v>
      </c>
      <c r="E10469" s="142" t="s">
        <v>277</v>
      </c>
      <c r="F10469" s="142" t="s">
        <v>109</v>
      </c>
      <c r="G10469" s="142" t="s">
        <v>109</v>
      </c>
      <c r="H10469" s="142" t="s">
        <v>26321</v>
      </c>
      <c r="I10469" s="142">
        <v>349804</v>
      </c>
      <c r="J10469" s="142">
        <v>275044</v>
      </c>
      <c r="K10469" s="142">
        <v>486</v>
      </c>
      <c r="L10469" s="142">
        <v>53422</v>
      </c>
      <c r="M10469" s="142">
        <v>20852</v>
      </c>
    </row>
    <row r="10470" spans="1:13" x14ac:dyDescent="0.45">
      <c r="A10470" s="142" t="str">
        <f t="shared" ref="A10470:A10477" si="0">_xlfn.TEXTAFTER(H10470,"England",1)</f>
        <v>East of England</v>
      </c>
      <c r="B10470" s="142" t="s">
        <v>109</v>
      </c>
      <c r="C10470" s="142" t="s">
        <v>277</v>
      </c>
      <c r="D10470" s="142" t="s">
        <v>277</v>
      </c>
      <c r="E10470" s="142" t="s">
        <v>277</v>
      </c>
      <c r="F10470" s="142" t="s">
        <v>109</v>
      </c>
      <c r="G10470" s="142" t="s">
        <v>109</v>
      </c>
      <c r="H10470" s="142" t="s">
        <v>26322</v>
      </c>
      <c r="I10470" s="142">
        <v>468667</v>
      </c>
      <c r="J10470" s="142">
        <v>378918</v>
      </c>
      <c r="K10470" s="142">
        <v>1990</v>
      </c>
      <c r="L10470" s="142">
        <v>54869</v>
      </c>
      <c r="M10470" s="142">
        <v>32890</v>
      </c>
    </row>
    <row r="10471" spans="1:13" x14ac:dyDescent="0.45">
      <c r="A10471" s="142" t="str">
        <f t="shared" si="0"/>
        <v>London</v>
      </c>
      <c r="B10471" s="142" t="s">
        <v>109</v>
      </c>
      <c r="C10471" s="142" t="s">
        <v>277</v>
      </c>
      <c r="D10471" s="142" t="s">
        <v>277</v>
      </c>
      <c r="E10471" s="142" t="s">
        <v>277</v>
      </c>
      <c r="F10471" s="142" t="s">
        <v>109</v>
      </c>
      <c r="G10471" s="142" t="s">
        <v>109</v>
      </c>
      <c r="H10471" s="142" t="s">
        <v>26323</v>
      </c>
      <c r="I10471" s="142">
        <v>881404</v>
      </c>
      <c r="J10471" s="142">
        <v>746077</v>
      </c>
      <c r="K10471" s="142">
        <v>7652</v>
      </c>
      <c r="L10471" s="142">
        <v>68775</v>
      </c>
      <c r="M10471" s="142">
        <v>58900</v>
      </c>
    </row>
    <row r="10472" spans="1:13" x14ac:dyDescent="0.45">
      <c r="A10472" s="142" t="str">
        <f t="shared" si="0"/>
        <v>North East</v>
      </c>
      <c r="B10472" s="142" t="s">
        <v>109</v>
      </c>
      <c r="C10472" s="142" t="s">
        <v>277</v>
      </c>
      <c r="D10472" s="142" t="s">
        <v>277</v>
      </c>
      <c r="E10472" s="142" t="s">
        <v>277</v>
      </c>
      <c r="F10472" s="142" t="s">
        <v>109</v>
      </c>
      <c r="G10472" s="142" t="s">
        <v>109</v>
      </c>
      <c r="H10472" s="142" t="s">
        <v>26324</v>
      </c>
      <c r="I10472" s="142">
        <v>278083</v>
      </c>
      <c r="J10472" s="142">
        <v>241529</v>
      </c>
      <c r="K10472" s="142">
        <v>139</v>
      </c>
      <c r="L10472" s="142">
        <v>30963</v>
      </c>
      <c r="M10472" s="142">
        <v>5452</v>
      </c>
    </row>
    <row r="10473" spans="1:13" x14ac:dyDescent="0.45">
      <c r="A10473" s="142" t="str">
        <f t="shared" si="0"/>
        <v>North West</v>
      </c>
      <c r="B10473" s="142" t="s">
        <v>109</v>
      </c>
      <c r="C10473" s="142" t="s">
        <v>277</v>
      </c>
      <c r="D10473" s="142" t="s">
        <v>277</v>
      </c>
      <c r="E10473" s="142" t="s">
        <v>277</v>
      </c>
      <c r="F10473" s="142" t="s">
        <v>109</v>
      </c>
      <c r="G10473" s="142" t="s">
        <v>109</v>
      </c>
      <c r="H10473" s="142" t="s">
        <v>26325</v>
      </c>
      <c r="I10473" s="142">
        <v>624039</v>
      </c>
      <c r="J10473" s="142">
        <v>513644</v>
      </c>
      <c r="K10473" s="142">
        <v>466</v>
      </c>
      <c r="L10473" s="142">
        <v>85142</v>
      </c>
      <c r="M10473" s="142">
        <v>24787</v>
      </c>
    </row>
    <row r="10474" spans="1:13" x14ac:dyDescent="0.45">
      <c r="A10474" s="142" t="str">
        <f t="shared" si="0"/>
        <v>South East</v>
      </c>
      <c r="B10474" s="142" t="s">
        <v>109</v>
      </c>
      <c r="C10474" s="142" t="s">
        <v>277</v>
      </c>
      <c r="D10474" s="142" t="s">
        <v>277</v>
      </c>
      <c r="E10474" s="142" t="s">
        <v>277</v>
      </c>
      <c r="F10474" s="142" t="s">
        <v>109</v>
      </c>
      <c r="G10474" s="142" t="s">
        <v>109</v>
      </c>
      <c r="H10474" s="142" t="s">
        <v>26326</v>
      </c>
      <c r="I10474" s="142">
        <v>614086</v>
      </c>
      <c r="J10474" s="142">
        <v>479820</v>
      </c>
      <c r="K10474" s="142">
        <v>1567</v>
      </c>
      <c r="L10474" s="142">
        <v>68264</v>
      </c>
      <c r="M10474" s="142">
        <v>64435</v>
      </c>
    </row>
    <row r="10475" spans="1:13" x14ac:dyDescent="0.45">
      <c r="A10475" s="142" t="str">
        <f t="shared" si="0"/>
        <v>South West</v>
      </c>
      <c r="B10475" s="142" t="s">
        <v>109</v>
      </c>
      <c r="C10475" s="142" t="s">
        <v>277</v>
      </c>
      <c r="D10475" s="142" t="s">
        <v>277</v>
      </c>
      <c r="E10475" s="142" t="s">
        <v>277</v>
      </c>
      <c r="F10475" s="142" t="s">
        <v>109</v>
      </c>
      <c r="G10475" s="142" t="s">
        <v>109</v>
      </c>
      <c r="H10475" s="142" t="s">
        <v>26327</v>
      </c>
      <c r="I10475" s="142">
        <v>381628</v>
      </c>
      <c r="J10475" s="142">
        <v>297442</v>
      </c>
      <c r="K10475" s="142">
        <v>374</v>
      </c>
      <c r="L10475" s="142">
        <v>53179</v>
      </c>
      <c r="M10475" s="142">
        <v>30633</v>
      </c>
    </row>
    <row r="10476" spans="1:13" x14ac:dyDescent="0.45">
      <c r="A10476" s="142" t="str">
        <f t="shared" si="0"/>
        <v>West Midlands</v>
      </c>
      <c r="B10476" s="142" t="s">
        <v>109</v>
      </c>
      <c r="C10476" s="142" t="s">
        <v>277</v>
      </c>
      <c r="D10476" s="142" t="s">
        <v>277</v>
      </c>
      <c r="E10476" s="142" t="s">
        <v>277</v>
      </c>
      <c r="F10476" s="142" t="s">
        <v>109</v>
      </c>
      <c r="G10476" s="142" t="s">
        <v>109</v>
      </c>
      <c r="H10476" s="142" t="s">
        <v>26328</v>
      </c>
      <c r="I10476" s="142">
        <v>494453</v>
      </c>
      <c r="J10476" s="142">
        <v>419615</v>
      </c>
      <c r="K10476" s="142">
        <v>2264</v>
      </c>
      <c r="L10476" s="142">
        <v>50378</v>
      </c>
      <c r="M10476" s="142">
        <v>22196</v>
      </c>
    </row>
    <row r="10477" spans="1:13" x14ac:dyDescent="0.45">
      <c r="A10477" s="142" t="str">
        <f t="shared" si="0"/>
        <v>Yorkshire and the Humber</v>
      </c>
      <c r="B10477" s="142" t="s">
        <v>109</v>
      </c>
      <c r="C10477" s="142" t="s">
        <v>277</v>
      </c>
      <c r="D10477" s="142" t="s">
        <v>277</v>
      </c>
      <c r="E10477" s="142" t="s">
        <v>277</v>
      </c>
      <c r="F10477" s="142" t="s">
        <v>109</v>
      </c>
      <c r="G10477" s="142" t="s">
        <v>109</v>
      </c>
      <c r="H10477" s="142" t="s">
        <v>26329</v>
      </c>
      <c r="I10477" s="142">
        <v>440891</v>
      </c>
      <c r="J10477" s="142">
        <v>386729</v>
      </c>
      <c r="K10477" s="142">
        <v>226</v>
      </c>
      <c r="L10477" s="142">
        <v>39910</v>
      </c>
      <c r="M10477" s="142">
        <v>14026</v>
      </c>
    </row>
    <row r="10481" s="142" customFormat="1" x14ac:dyDescent="0.45"/>
    <row r="10482" s="142" customFormat="1" x14ac:dyDescent="0.45"/>
    <row r="10483" s="142" customFormat="1" x14ac:dyDescent="0.45"/>
    <row r="10484" s="142" customFormat="1" x14ac:dyDescent="0.45"/>
    <row r="10485" s="142" customFormat="1" x14ac:dyDescent="0.45"/>
    <row r="10486" s="142" customFormat="1" x14ac:dyDescent="0.45"/>
    <row r="10487" s="142" customFormat="1" x14ac:dyDescent="0.45"/>
    <row r="10488" s="142" customFormat="1" x14ac:dyDescent="0.45"/>
    <row r="10489" s="142" customFormat="1" x14ac:dyDescent="0.45"/>
    <row r="10490" s="142" customFormat="1" x14ac:dyDescent="0.45"/>
    <row r="10491" s="142" customFormat="1" x14ac:dyDescent="0.45"/>
    <row r="10492" s="142" customFormat="1" x14ac:dyDescent="0.45"/>
    <row r="10493" s="142" customFormat="1" x14ac:dyDescent="0.45"/>
    <row r="10494" s="142" customFormat="1" x14ac:dyDescent="0.45"/>
    <row r="10495" s="142" customFormat="1" x14ac:dyDescent="0.45"/>
    <row r="10496" s="142" customFormat="1" x14ac:dyDescent="0.45"/>
    <row r="10497" s="142" customFormat="1" x14ac:dyDescent="0.45"/>
    <row r="10498" s="142" customFormat="1" x14ac:dyDescent="0.45"/>
    <row r="10499" s="142" customFormat="1" x14ac:dyDescent="0.45"/>
    <row r="10500" s="142" customFormat="1" x14ac:dyDescent="0.45"/>
    <row r="10501" s="142" customFormat="1" x14ac:dyDescent="0.45"/>
    <row r="10502" s="142" customFormat="1" x14ac:dyDescent="0.45"/>
    <row r="10503" s="142" customFormat="1" x14ac:dyDescent="0.45"/>
    <row r="10504" s="142" customFormat="1" x14ac:dyDescent="0.45"/>
    <row r="10505" s="142" customFormat="1" x14ac:dyDescent="0.45"/>
    <row r="10506" s="142" customFormat="1" x14ac:dyDescent="0.45"/>
    <row r="10507" s="142" customFormat="1" x14ac:dyDescent="0.45"/>
    <row r="10508" s="142" customFormat="1" x14ac:dyDescent="0.45"/>
    <row r="10509" s="142" customFormat="1" x14ac:dyDescent="0.45"/>
    <row r="10510" s="142" customFormat="1" x14ac:dyDescent="0.45"/>
    <row r="10511" s="142" customFormat="1" x14ac:dyDescent="0.45"/>
    <row r="10512" s="142" customFormat="1" x14ac:dyDescent="0.45"/>
    <row r="10513" s="142" customFormat="1" x14ac:dyDescent="0.45"/>
    <row r="10514" s="142" customFormat="1" x14ac:dyDescent="0.45"/>
    <row r="10515" s="142" customFormat="1" x14ac:dyDescent="0.45"/>
    <row r="10516" s="142" customFormat="1" x14ac:dyDescent="0.45"/>
    <row r="10517" s="142" customFormat="1" x14ac:dyDescent="0.45"/>
    <row r="10518" s="142" customFormat="1" x14ac:dyDescent="0.45"/>
    <row r="10519" s="142" customFormat="1" x14ac:dyDescent="0.45"/>
    <row r="10520" s="142" customFormat="1" x14ac:dyDescent="0.45"/>
    <row r="10521" s="142" customFormat="1" x14ac:dyDescent="0.45"/>
    <row r="10522" s="142" customFormat="1" x14ac:dyDescent="0.45"/>
    <row r="10523" s="142" customFormat="1" x14ac:dyDescent="0.45"/>
    <row r="10524" s="142" customFormat="1" x14ac:dyDescent="0.45"/>
    <row r="10525" s="142" customFormat="1" x14ac:dyDescent="0.45"/>
    <row r="10526" s="142" customFormat="1" x14ac:dyDescent="0.45"/>
    <row r="10527" s="142" customFormat="1" x14ac:dyDescent="0.45"/>
    <row r="10528" s="142" customFormat="1" x14ac:dyDescent="0.45"/>
    <row r="10529" s="142" customFormat="1" x14ac:dyDescent="0.45"/>
    <row r="10530" s="142" customFormat="1" x14ac:dyDescent="0.45"/>
    <row r="10531" s="142" customFormat="1" x14ac:dyDescent="0.45"/>
    <row r="10532" s="142" customFormat="1" x14ac:dyDescent="0.45"/>
    <row r="10533" s="142" customFormat="1" x14ac:dyDescent="0.45"/>
    <row r="10534" s="142" customFormat="1" x14ac:dyDescent="0.45"/>
    <row r="10535" s="142" customFormat="1" x14ac:dyDescent="0.45"/>
    <row r="10536" s="142" customFormat="1" x14ac:dyDescent="0.45"/>
    <row r="10537" s="142" customFormat="1" x14ac:dyDescent="0.45"/>
    <row r="10538" s="142" customFormat="1" x14ac:dyDescent="0.45"/>
    <row r="10539" s="142" customFormat="1" x14ac:dyDescent="0.45"/>
    <row r="10540" s="142" customFormat="1" x14ac:dyDescent="0.45"/>
    <row r="10541" s="142" customFormat="1" x14ac:dyDescent="0.45"/>
    <row r="10542" s="142" customFormat="1" x14ac:dyDescent="0.45"/>
    <row r="10543" s="142" customFormat="1" x14ac:dyDescent="0.45"/>
    <row r="10544" s="142" customFormat="1" x14ac:dyDescent="0.45"/>
    <row r="10545" s="142" customFormat="1" x14ac:dyDescent="0.45"/>
    <row r="10546" s="142" customFormat="1" x14ac:dyDescent="0.45"/>
    <row r="10547" s="142" customFormat="1" x14ac:dyDescent="0.45"/>
    <row r="10548" s="142" customFormat="1" x14ac:dyDescent="0.45"/>
    <row r="10549" s="142" customFormat="1" x14ac:dyDescent="0.45"/>
    <row r="10550" s="142" customFormat="1" x14ac:dyDescent="0.45"/>
    <row r="10551" s="142" customFormat="1" x14ac:dyDescent="0.45"/>
    <row r="10552" s="142" customFormat="1" x14ac:dyDescent="0.45"/>
    <row r="10553" s="142" customFormat="1" x14ac:dyDescent="0.45"/>
    <row r="10554" s="142" customFormat="1" x14ac:dyDescent="0.45"/>
    <row r="10555" s="142" customFormat="1" x14ac:dyDescent="0.45"/>
    <row r="10556" s="142" customFormat="1" x14ac:dyDescent="0.45"/>
    <row r="10557" s="142" customFormat="1" x14ac:dyDescent="0.45"/>
    <row r="10558" s="142" customFormat="1" x14ac:dyDescent="0.45"/>
    <row r="10559" s="142" customFormat="1" x14ac:dyDescent="0.45"/>
    <row r="10560" s="142" customFormat="1" x14ac:dyDescent="0.45"/>
    <row r="10561" s="142" customFormat="1" x14ac:dyDescent="0.45"/>
    <row r="10562" s="142" customFormat="1" x14ac:dyDescent="0.45"/>
    <row r="10563" s="142" customFormat="1" x14ac:dyDescent="0.45"/>
    <row r="10564" s="142" customFormat="1" x14ac:dyDescent="0.45"/>
    <row r="10565" s="142" customFormat="1" x14ac:dyDescent="0.45"/>
    <row r="10566" s="142" customFormat="1" x14ac:dyDescent="0.45"/>
    <row r="10567" s="142" customFormat="1" x14ac:dyDescent="0.45"/>
    <row r="10568" s="142" customFormat="1" x14ac:dyDescent="0.45"/>
    <row r="10569" s="142" customFormat="1" x14ac:dyDescent="0.45"/>
    <row r="10570" s="142" customFormat="1" x14ac:dyDescent="0.45"/>
    <row r="10571" s="142" customFormat="1" x14ac:dyDescent="0.45"/>
    <row r="10572" s="142" customFormat="1" x14ac:dyDescent="0.45"/>
    <row r="10573" s="142" customFormat="1" x14ac:dyDescent="0.45"/>
    <row r="10574" s="142" customFormat="1" x14ac:dyDescent="0.45"/>
    <row r="10575" s="142" customFormat="1" x14ac:dyDescent="0.45"/>
    <row r="10576" s="142" customFormat="1" x14ac:dyDescent="0.45"/>
    <row r="10577" s="142" customFormat="1" x14ac:dyDescent="0.45"/>
    <row r="10578" s="142" customFormat="1" x14ac:dyDescent="0.45"/>
    <row r="10579" s="142" customFormat="1" x14ac:dyDescent="0.45"/>
    <row r="10580" s="142" customFormat="1" x14ac:dyDescent="0.45"/>
    <row r="10581" s="142" customFormat="1" x14ac:dyDescent="0.45"/>
    <row r="10582" s="142" customFormat="1" x14ac:dyDescent="0.45"/>
    <row r="10583" s="142" customFormat="1" x14ac:dyDescent="0.45"/>
    <row r="10584" s="142" customFormat="1" x14ac:dyDescent="0.45"/>
    <row r="10585" s="142" customFormat="1" x14ac:dyDescent="0.45"/>
    <row r="10586" s="142" customFormat="1" x14ac:dyDescent="0.45"/>
    <row r="10587" s="142" customFormat="1" x14ac:dyDescent="0.45"/>
    <row r="10588" s="142" customFormat="1" x14ac:dyDescent="0.45"/>
    <row r="10589" s="142" customFormat="1" x14ac:dyDescent="0.45"/>
    <row r="10590" s="142" customFormat="1" x14ac:dyDescent="0.45"/>
    <row r="10591" s="142" customFormat="1" x14ac:dyDescent="0.45"/>
    <row r="10592" s="142" customFormat="1" x14ac:dyDescent="0.45"/>
    <row r="10593" s="142" customFormat="1" x14ac:dyDescent="0.45"/>
    <row r="10594" s="142" customFormat="1" x14ac:dyDescent="0.45"/>
    <row r="10595" s="142" customFormat="1" x14ac:dyDescent="0.45"/>
    <row r="10596" s="142" customFormat="1" x14ac:dyDescent="0.45"/>
    <row r="10597" s="142" customFormat="1" x14ac:dyDescent="0.45"/>
    <row r="10598" s="142" customFormat="1" x14ac:dyDescent="0.45"/>
    <row r="10599" s="142" customFormat="1" x14ac:dyDescent="0.45"/>
    <row r="10600" s="142" customFormat="1" x14ac:dyDescent="0.45"/>
    <row r="10601" s="142" customFormat="1" x14ac:dyDescent="0.45"/>
    <row r="10602" s="142" customFormat="1" x14ac:dyDescent="0.45"/>
    <row r="10603" s="142" customFormat="1" x14ac:dyDescent="0.45"/>
    <row r="10604" s="142" customFormat="1" x14ac:dyDescent="0.45"/>
    <row r="10605" s="142" customFormat="1" x14ac:dyDescent="0.45"/>
    <row r="10606" s="142" customFormat="1" x14ac:dyDescent="0.45"/>
    <row r="10607" s="142" customFormat="1" x14ac:dyDescent="0.45"/>
    <row r="10608" s="142" customFormat="1" x14ac:dyDescent="0.45"/>
    <row r="10609" s="142" customFormat="1" x14ac:dyDescent="0.45"/>
    <row r="10610" s="142" customFormat="1" x14ac:dyDescent="0.45"/>
    <row r="10611" s="142" customFormat="1" x14ac:dyDescent="0.45"/>
    <row r="10612" s="142" customFormat="1" x14ac:dyDescent="0.45"/>
    <row r="10613" s="142" customFormat="1" x14ac:dyDescent="0.45"/>
    <row r="10614" s="142" customFormat="1" x14ac:dyDescent="0.45"/>
    <row r="10615" s="142" customFormat="1" x14ac:dyDescent="0.45"/>
    <row r="10616" s="142" customFormat="1" x14ac:dyDescent="0.45"/>
    <row r="10617" s="142" customFormat="1" x14ac:dyDescent="0.45"/>
    <row r="10618" s="142" customFormat="1" x14ac:dyDescent="0.45"/>
    <row r="10619" s="142" customFormat="1" x14ac:dyDescent="0.45"/>
    <row r="10620" s="142" customFormat="1" x14ac:dyDescent="0.45"/>
    <row r="10621" s="142" customFormat="1" x14ac:dyDescent="0.45"/>
    <row r="10622" s="142" customFormat="1" x14ac:dyDescent="0.45"/>
    <row r="10623" s="142" customFormat="1" x14ac:dyDescent="0.45"/>
    <row r="10624" s="142" customFormat="1" x14ac:dyDescent="0.45"/>
    <row r="10625" s="142" customFormat="1" x14ac:dyDescent="0.45"/>
    <row r="10626" s="142" customFormat="1" x14ac:dyDescent="0.45"/>
    <row r="10627" s="142" customFormat="1" x14ac:dyDescent="0.45"/>
    <row r="10628" s="142" customFormat="1" x14ac:dyDescent="0.45"/>
    <row r="10629" s="142" customFormat="1" x14ac:dyDescent="0.45"/>
    <row r="10630" s="142" customFormat="1" x14ac:dyDescent="0.45"/>
    <row r="10631" s="142" customFormat="1" x14ac:dyDescent="0.45"/>
    <row r="10632" s="142" customFormat="1" x14ac:dyDescent="0.45"/>
    <row r="10633" s="142" customFormat="1" x14ac:dyDescent="0.45"/>
    <row r="10634" s="142" customFormat="1" x14ac:dyDescent="0.45"/>
    <row r="10635" s="142" customFormat="1" x14ac:dyDescent="0.45"/>
    <row r="10636" s="142" customFormat="1" x14ac:dyDescent="0.45"/>
    <row r="10637" s="142" customFormat="1" x14ac:dyDescent="0.45"/>
    <row r="10638" s="142" customFormat="1" x14ac:dyDescent="0.45"/>
    <row r="10639" s="142" customFormat="1" x14ac:dyDescent="0.45"/>
    <row r="10640" s="142" customFormat="1" x14ac:dyDescent="0.45"/>
    <row r="10641" s="142" customFormat="1" x14ac:dyDescent="0.45"/>
    <row r="10642" s="142" customFormat="1" x14ac:dyDescent="0.45"/>
    <row r="10643" s="142" customFormat="1" x14ac:dyDescent="0.45"/>
    <row r="10644" s="142" customFormat="1" x14ac:dyDescent="0.45"/>
    <row r="10645" s="142" customFormat="1" x14ac:dyDescent="0.45"/>
    <row r="10646" s="142" customFormat="1" x14ac:dyDescent="0.45"/>
    <row r="10647" s="142" customFormat="1" x14ac:dyDescent="0.45"/>
    <row r="10648" s="142" customFormat="1" x14ac:dyDescent="0.45"/>
    <row r="10649" s="142" customFormat="1" x14ac:dyDescent="0.45"/>
    <row r="10650" s="142" customFormat="1" x14ac:dyDescent="0.45"/>
    <row r="10651" s="142" customFormat="1" x14ac:dyDescent="0.45"/>
    <row r="10652" s="142" customFormat="1" x14ac:dyDescent="0.45"/>
    <row r="10653" s="142" customFormat="1" x14ac:dyDescent="0.45"/>
    <row r="10654" s="142" customFormat="1" x14ac:dyDescent="0.45"/>
    <row r="10655" s="142" customFormat="1" x14ac:dyDescent="0.45"/>
    <row r="10656" s="142" customFormat="1" x14ac:dyDescent="0.45"/>
    <row r="10657" s="142" customFormat="1" x14ac:dyDescent="0.45"/>
    <row r="10658" s="142" customFormat="1" x14ac:dyDescent="0.45"/>
    <row r="10659" s="142" customFormat="1" x14ac:dyDescent="0.45"/>
    <row r="10660" s="142" customFormat="1" x14ac:dyDescent="0.45"/>
    <row r="10661" s="142" customFormat="1" x14ac:dyDescent="0.45"/>
    <row r="10662" s="142" customFormat="1" x14ac:dyDescent="0.45"/>
    <row r="10663" s="142" customFormat="1" x14ac:dyDescent="0.45"/>
    <row r="10664" s="142" customFormat="1" x14ac:dyDescent="0.45"/>
    <row r="10665" s="142" customFormat="1" x14ac:dyDescent="0.45"/>
    <row r="10666" s="142" customFormat="1" x14ac:dyDescent="0.45"/>
    <row r="10667" s="142" customFormat="1" x14ac:dyDescent="0.45"/>
    <row r="10668" s="142" customFormat="1" x14ac:dyDescent="0.45"/>
    <row r="10669" s="142" customFormat="1" x14ac:dyDescent="0.45"/>
    <row r="10670" s="142" customFormat="1" x14ac:dyDescent="0.45"/>
    <row r="10671" s="142" customFormat="1" x14ac:dyDescent="0.45"/>
    <row r="10672" s="142" customFormat="1" x14ac:dyDescent="0.45"/>
    <row r="10673" s="142" customFormat="1" x14ac:dyDescent="0.45"/>
    <row r="10674" s="142" customFormat="1" x14ac:dyDescent="0.45"/>
    <row r="10675" s="142" customFormat="1" x14ac:dyDescent="0.45"/>
    <row r="10676" s="142" customFormat="1" x14ac:dyDescent="0.45"/>
    <row r="10677" s="142" customFormat="1" x14ac:dyDescent="0.45"/>
    <row r="10678" s="142" customFormat="1" x14ac:dyDescent="0.45"/>
    <row r="10679" s="142" customFormat="1" x14ac:dyDescent="0.45"/>
    <row r="10680" s="142" customFormat="1" x14ac:dyDescent="0.45"/>
    <row r="10681" s="142" customFormat="1" x14ac:dyDescent="0.45"/>
    <row r="10682" s="142" customFormat="1" x14ac:dyDescent="0.45"/>
    <row r="10683" s="142" customFormat="1" x14ac:dyDescent="0.45"/>
    <row r="10684" s="142" customFormat="1" x14ac:dyDescent="0.45"/>
    <row r="10685" s="142" customFormat="1" x14ac:dyDescent="0.45"/>
    <row r="10686" s="142" customFormat="1" x14ac:dyDescent="0.45"/>
    <row r="10687" s="142" customFormat="1" x14ac:dyDescent="0.45"/>
    <row r="10688" s="142" customFormat="1" x14ac:dyDescent="0.45"/>
    <row r="10689" s="142" customFormat="1" x14ac:dyDescent="0.45"/>
    <row r="10690" s="142" customFormat="1" x14ac:dyDescent="0.45"/>
    <row r="10691" s="142" customFormat="1" x14ac:dyDescent="0.45"/>
    <row r="10692" s="142" customFormat="1" x14ac:dyDescent="0.45"/>
    <row r="10693" s="142" customFormat="1" x14ac:dyDescent="0.45"/>
    <row r="10694" s="142" customFormat="1" x14ac:dyDescent="0.45"/>
    <row r="10695" s="142" customFormat="1" x14ac:dyDescent="0.45"/>
    <row r="10696" s="142" customFormat="1" x14ac:dyDescent="0.45"/>
    <row r="10697" s="142" customFormat="1" x14ac:dyDescent="0.45"/>
    <row r="10698" s="142" customFormat="1" x14ac:dyDescent="0.45"/>
    <row r="10699" s="142" customFormat="1" x14ac:dyDescent="0.45"/>
    <row r="10700" s="142" customFormat="1" x14ac:dyDescent="0.45"/>
    <row r="10701" s="142" customFormat="1" x14ac:dyDescent="0.45"/>
    <row r="10702" s="142" customFormat="1" x14ac:dyDescent="0.45"/>
    <row r="10703" s="142" customFormat="1" x14ac:dyDescent="0.45"/>
    <row r="10704" s="142" customFormat="1" x14ac:dyDescent="0.45"/>
    <row r="10705" s="142" customFormat="1" x14ac:dyDescent="0.45"/>
    <row r="10706" s="142" customFormat="1" x14ac:dyDescent="0.45"/>
    <row r="10707" s="142" customFormat="1" x14ac:dyDescent="0.45"/>
    <row r="10708" s="142" customFormat="1" x14ac:dyDescent="0.45"/>
    <row r="10709" s="142" customFormat="1" x14ac:dyDescent="0.45"/>
    <row r="10710" s="142" customFormat="1" x14ac:dyDescent="0.45"/>
    <row r="10711" s="142" customFormat="1" x14ac:dyDescent="0.45"/>
    <row r="10712" s="142" customFormat="1" x14ac:dyDescent="0.45"/>
    <row r="10713" s="142" customFormat="1" x14ac:dyDescent="0.45"/>
    <row r="10714" s="142" customFormat="1" x14ac:dyDescent="0.45"/>
    <row r="10715" s="142" customFormat="1" x14ac:dyDescent="0.45"/>
    <row r="10716" s="142" customFormat="1" x14ac:dyDescent="0.45"/>
    <row r="10717" s="142" customFormat="1" x14ac:dyDescent="0.45"/>
    <row r="10718" s="142" customFormat="1" x14ac:dyDescent="0.45"/>
    <row r="10719" s="142" customFormat="1" x14ac:dyDescent="0.45"/>
    <row r="10720" s="142" customFormat="1" x14ac:dyDescent="0.45"/>
    <row r="10721" s="142" customFormat="1" x14ac:dyDescent="0.45"/>
    <row r="10722" s="142" customFormat="1" x14ac:dyDescent="0.45"/>
    <row r="10723" s="142" customFormat="1" x14ac:dyDescent="0.45"/>
    <row r="10724" s="142" customFormat="1" x14ac:dyDescent="0.45"/>
    <row r="10725" s="142" customFormat="1" x14ac:dyDescent="0.45"/>
    <row r="10726" s="142" customFormat="1" x14ac:dyDescent="0.45"/>
    <row r="10727" s="142" customFormat="1" x14ac:dyDescent="0.45"/>
    <row r="10728" s="142" customFormat="1" x14ac:dyDescent="0.45"/>
    <row r="10729" s="142" customFormat="1" x14ac:dyDescent="0.45"/>
    <row r="10730" s="142" customFormat="1" x14ac:dyDescent="0.45"/>
    <row r="10731" s="142" customFormat="1" x14ac:dyDescent="0.45"/>
    <row r="10732" s="142" customFormat="1" x14ac:dyDescent="0.45"/>
    <row r="10733" s="142" customFormat="1" x14ac:dyDescent="0.45"/>
    <row r="10734" s="142" customFormat="1" x14ac:dyDescent="0.45"/>
    <row r="10735" s="142" customFormat="1" x14ac:dyDescent="0.45"/>
    <row r="10736" s="142" customFormat="1" x14ac:dyDescent="0.45"/>
    <row r="10737" s="142" customFormat="1" x14ac:dyDescent="0.45"/>
    <row r="10738" s="142" customFormat="1" x14ac:dyDescent="0.45"/>
    <row r="10739" s="142" customFormat="1" x14ac:dyDescent="0.45"/>
    <row r="10740" s="142" customFormat="1" x14ac:dyDescent="0.45"/>
    <row r="10741" s="142" customFormat="1" x14ac:dyDescent="0.45"/>
    <row r="10742" s="142" customFormat="1" x14ac:dyDescent="0.45"/>
    <row r="10743" s="142" customFormat="1" x14ac:dyDescent="0.45"/>
    <row r="10744" s="142" customFormat="1" x14ac:dyDescent="0.45"/>
    <row r="10745" s="142" customFormat="1" x14ac:dyDescent="0.45"/>
    <row r="10746" s="142" customFormat="1" x14ac:dyDescent="0.45"/>
    <row r="10747" s="142" customFormat="1" x14ac:dyDescent="0.45"/>
    <row r="10748" s="142" customFormat="1" x14ac:dyDescent="0.45"/>
    <row r="10749" s="142" customFormat="1" x14ac:dyDescent="0.45"/>
    <row r="10750" s="142" customFormat="1" x14ac:dyDescent="0.45"/>
    <row r="10751" s="142" customFormat="1" x14ac:dyDescent="0.45"/>
    <row r="10752" s="142" customFormat="1" x14ac:dyDescent="0.45"/>
    <row r="10753" s="142" customFormat="1" x14ac:dyDescent="0.45"/>
    <row r="10754" s="142" customFormat="1" x14ac:dyDescent="0.45"/>
    <row r="10755" s="142" customFormat="1" x14ac:dyDescent="0.45"/>
    <row r="10756" s="142" customFormat="1" x14ac:dyDescent="0.45"/>
    <row r="10757" s="142" customFormat="1" x14ac:dyDescent="0.45"/>
    <row r="10758" s="142" customFormat="1" x14ac:dyDescent="0.45"/>
    <row r="10759" s="142" customFormat="1" x14ac:dyDescent="0.45"/>
    <row r="10760" s="142" customFormat="1" x14ac:dyDescent="0.45"/>
    <row r="10761" s="142" customFormat="1" x14ac:dyDescent="0.45"/>
    <row r="10762" s="142" customFormat="1" x14ac:dyDescent="0.45"/>
    <row r="10763" s="142" customFormat="1" x14ac:dyDescent="0.45"/>
    <row r="10764" s="142" customFormat="1" x14ac:dyDescent="0.45"/>
    <row r="10765" s="142" customFormat="1" x14ac:dyDescent="0.45"/>
    <row r="10766" s="142" customFormat="1" x14ac:dyDescent="0.45"/>
    <row r="10767" s="142" customFormat="1" x14ac:dyDescent="0.45"/>
    <row r="10768" s="142" customFormat="1" x14ac:dyDescent="0.45"/>
    <row r="10769" s="142" customFormat="1" x14ac:dyDescent="0.45"/>
    <row r="10770" s="142" customFormat="1" x14ac:dyDescent="0.45"/>
    <row r="10771" s="142" customFormat="1" x14ac:dyDescent="0.45"/>
    <row r="10772" s="142" customFormat="1" x14ac:dyDescent="0.45"/>
    <row r="10773" s="142" customFormat="1" x14ac:dyDescent="0.45"/>
    <row r="10774" s="142" customFormat="1" x14ac:dyDescent="0.45"/>
    <row r="10775" s="142" customFormat="1" x14ac:dyDescent="0.45"/>
    <row r="10776" s="142" customFormat="1" x14ac:dyDescent="0.45"/>
    <row r="10777" s="142" customFormat="1" x14ac:dyDescent="0.45"/>
    <row r="10778" s="142" customFormat="1" x14ac:dyDescent="0.45"/>
    <row r="10779" s="142" customFormat="1" x14ac:dyDescent="0.45"/>
    <row r="10780" s="142" customFormat="1" x14ac:dyDescent="0.45"/>
    <row r="10781" s="142" customFormat="1" x14ac:dyDescent="0.45"/>
    <row r="10782" s="142" customFormat="1" x14ac:dyDescent="0.45"/>
    <row r="10783" s="142" customFormat="1" x14ac:dyDescent="0.45"/>
    <row r="10784" s="142" customFormat="1" x14ac:dyDescent="0.45"/>
    <row r="10785" s="142" customFormat="1" x14ac:dyDescent="0.45"/>
    <row r="10786" s="142" customFormat="1" x14ac:dyDescent="0.45"/>
    <row r="10787" s="142" customFormat="1" x14ac:dyDescent="0.45"/>
    <row r="10788" s="142" customFormat="1" x14ac:dyDescent="0.45"/>
    <row r="10789" s="142" customFormat="1" x14ac:dyDescent="0.45"/>
    <row r="10790" s="142" customFormat="1" x14ac:dyDescent="0.45"/>
    <row r="10791" s="142" customFormat="1" x14ac:dyDescent="0.45"/>
    <row r="10792" s="142" customFormat="1" x14ac:dyDescent="0.45"/>
    <row r="10793" s="142" customFormat="1" x14ac:dyDescent="0.45"/>
    <row r="10794" s="142" customFormat="1" x14ac:dyDescent="0.45"/>
    <row r="10795" s="142" customFormat="1" x14ac:dyDescent="0.45"/>
    <row r="10796" s="142" customFormat="1" x14ac:dyDescent="0.45"/>
    <row r="10797" s="142" customFormat="1" x14ac:dyDescent="0.45"/>
    <row r="10798" s="142" customFormat="1" x14ac:dyDescent="0.45"/>
    <row r="10799" s="142" customFormat="1" x14ac:dyDescent="0.45"/>
    <row r="10800" s="142" customFormat="1" x14ac:dyDescent="0.45"/>
    <row r="10801" s="142" customFormat="1" x14ac:dyDescent="0.45"/>
    <row r="10802" s="142" customFormat="1" x14ac:dyDescent="0.45"/>
    <row r="10803" s="142" customFormat="1" x14ac:dyDescent="0.45"/>
    <row r="10804" s="142" customFormat="1" x14ac:dyDescent="0.45"/>
    <row r="10805" s="142" customFormat="1" x14ac:dyDescent="0.45"/>
    <row r="10806" s="142" customFormat="1" x14ac:dyDescent="0.45"/>
    <row r="10807" s="142" customFormat="1" x14ac:dyDescent="0.45"/>
    <row r="10808" s="142" customFormat="1" x14ac:dyDescent="0.45"/>
    <row r="10809" s="142" customFormat="1" x14ac:dyDescent="0.45"/>
    <row r="10810" s="142" customFormat="1" x14ac:dyDescent="0.45"/>
    <row r="10811" s="142" customFormat="1" x14ac:dyDescent="0.45"/>
    <row r="10812" s="142" customFormat="1" x14ac:dyDescent="0.45"/>
    <row r="10813" s="142" customFormat="1" x14ac:dyDescent="0.45"/>
    <row r="10814" s="142" customFormat="1" x14ac:dyDescent="0.45"/>
    <row r="10815" s="142" customFormat="1" x14ac:dyDescent="0.45"/>
    <row r="10816" s="142" customFormat="1" x14ac:dyDescent="0.45"/>
    <row r="10817" s="142" customFormat="1" x14ac:dyDescent="0.45"/>
    <row r="10818" s="142" customFormat="1" x14ac:dyDescent="0.45"/>
    <row r="10819" s="142" customFormat="1" x14ac:dyDescent="0.45"/>
    <row r="10820" s="142" customFormat="1" x14ac:dyDescent="0.45"/>
    <row r="10821" s="142" customFormat="1" x14ac:dyDescent="0.45"/>
    <row r="10822" s="142" customFormat="1" x14ac:dyDescent="0.45"/>
    <row r="10823" s="142" customFormat="1" x14ac:dyDescent="0.45"/>
    <row r="10824" s="142" customFormat="1" x14ac:dyDescent="0.45"/>
    <row r="10825" s="142" customFormat="1" x14ac:dyDescent="0.45"/>
    <row r="10826" s="142" customFormat="1" x14ac:dyDescent="0.45"/>
    <row r="10827" s="142" customFormat="1" x14ac:dyDescent="0.45"/>
    <row r="10828" s="142" customFormat="1" x14ac:dyDescent="0.45"/>
    <row r="10829" s="142" customFormat="1" x14ac:dyDescent="0.45"/>
    <row r="10830" s="142" customFormat="1" x14ac:dyDescent="0.45"/>
    <row r="10831" s="142" customFormat="1" x14ac:dyDescent="0.45"/>
    <row r="10832" s="142" customFormat="1" x14ac:dyDescent="0.45"/>
    <row r="10833" s="142" customFormat="1" x14ac:dyDescent="0.45"/>
    <row r="10834" s="142" customFormat="1" x14ac:dyDescent="0.45"/>
    <row r="10835" s="142" customFormat="1" x14ac:dyDescent="0.45"/>
    <row r="10836" s="142" customFormat="1" x14ac:dyDescent="0.45"/>
    <row r="10837" s="142" customFormat="1" x14ac:dyDescent="0.45"/>
    <row r="10838" s="142" customFormat="1" x14ac:dyDescent="0.45"/>
    <row r="10839" s="142" customFormat="1" x14ac:dyDescent="0.45"/>
    <row r="10840" s="142" customFormat="1" x14ac:dyDescent="0.45"/>
    <row r="10841" s="142" customFormat="1" x14ac:dyDescent="0.45"/>
    <row r="10842" s="142" customFormat="1" x14ac:dyDescent="0.45"/>
    <row r="10843" s="142" customFormat="1" x14ac:dyDescent="0.45"/>
    <row r="10844" s="142" customFormat="1" x14ac:dyDescent="0.45"/>
    <row r="10845" s="142" customFormat="1" x14ac:dyDescent="0.45"/>
    <row r="10846" s="142" customFormat="1" x14ac:dyDescent="0.45"/>
    <row r="10847" s="142" customFormat="1" x14ac:dyDescent="0.45"/>
    <row r="10848" s="142" customFormat="1" x14ac:dyDescent="0.45"/>
    <row r="10849" s="142" customFormat="1" x14ac:dyDescent="0.45"/>
    <row r="10850" s="142" customFormat="1" x14ac:dyDescent="0.45"/>
    <row r="10851" s="142" customFormat="1" x14ac:dyDescent="0.45"/>
    <row r="10852" s="142" customFormat="1" x14ac:dyDescent="0.45"/>
    <row r="10853" s="142" customFormat="1" x14ac:dyDescent="0.45"/>
    <row r="10854" s="142" customFormat="1" x14ac:dyDescent="0.45"/>
    <row r="10855" s="142" customFormat="1" x14ac:dyDescent="0.45"/>
    <row r="10856" s="142" customFormat="1" x14ac:dyDescent="0.45"/>
    <row r="10857" s="142" customFormat="1" x14ac:dyDescent="0.45"/>
    <row r="10858" s="142" customFormat="1" x14ac:dyDescent="0.45"/>
    <row r="10859" s="142" customFormat="1" x14ac:dyDescent="0.45"/>
    <row r="10860" s="142" customFormat="1" x14ac:dyDescent="0.45"/>
    <row r="10861" s="142" customFormat="1" x14ac:dyDescent="0.45"/>
    <row r="10862" s="142" customFormat="1" x14ac:dyDescent="0.45"/>
    <row r="10863" s="142" customFormat="1" x14ac:dyDescent="0.45"/>
    <row r="10864" s="142" customFormat="1" x14ac:dyDescent="0.45"/>
    <row r="10865" s="142" customFormat="1" x14ac:dyDescent="0.45"/>
    <row r="10866" s="142" customFormat="1" x14ac:dyDescent="0.45"/>
    <row r="10867" s="142" customFormat="1" x14ac:dyDescent="0.45"/>
    <row r="10868" s="142" customFormat="1" x14ac:dyDescent="0.45"/>
    <row r="10869" s="142" customFormat="1" x14ac:dyDescent="0.45"/>
    <row r="10870" s="142" customFormat="1" x14ac:dyDescent="0.45"/>
    <row r="10871" s="142" customFormat="1" x14ac:dyDescent="0.45"/>
    <row r="10872" s="142" customFormat="1" x14ac:dyDescent="0.45"/>
    <row r="10873" s="142" customFormat="1" x14ac:dyDescent="0.45"/>
    <row r="10874" s="142" customFormat="1" x14ac:dyDescent="0.45"/>
    <row r="10875" s="142" customFormat="1" x14ac:dyDescent="0.45"/>
    <row r="10876" s="142" customFormat="1" x14ac:dyDescent="0.45"/>
    <row r="10877" s="142" customFormat="1" x14ac:dyDescent="0.45"/>
    <row r="10878" s="142" customFormat="1" x14ac:dyDescent="0.45"/>
    <row r="10879" s="142" customFormat="1" x14ac:dyDescent="0.45"/>
    <row r="10880" s="142" customFormat="1" x14ac:dyDescent="0.45"/>
    <row r="10881" s="142" customFormat="1" x14ac:dyDescent="0.45"/>
    <row r="10882" s="142" customFormat="1" x14ac:dyDescent="0.45"/>
    <row r="10883" s="142" customFormat="1" x14ac:dyDescent="0.45"/>
    <row r="10884" s="142" customFormat="1" x14ac:dyDescent="0.45"/>
    <row r="10885" s="142" customFormat="1" x14ac:dyDescent="0.45"/>
    <row r="10886" s="142" customFormat="1" x14ac:dyDescent="0.45"/>
    <row r="10887" s="142" customFormat="1" x14ac:dyDescent="0.45"/>
    <row r="10888" s="142" customFormat="1" x14ac:dyDescent="0.45"/>
    <row r="10889" s="142" customFormat="1" x14ac:dyDescent="0.45"/>
    <row r="10890" s="142" customFormat="1" x14ac:dyDescent="0.45"/>
    <row r="10891" s="142" customFormat="1" x14ac:dyDescent="0.45"/>
    <row r="10892" s="142" customFormat="1" x14ac:dyDescent="0.45"/>
    <row r="10893" s="142" customFormat="1" x14ac:dyDescent="0.45"/>
    <row r="10894" s="142" customFormat="1" x14ac:dyDescent="0.45"/>
    <row r="10895" s="142" customFormat="1" x14ac:dyDescent="0.45"/>
    <row r="10896" s="142" customFormat="1" x14ac:dyDescent="0.45"/>
    <row r="10897" s="142" customFormat="1" x14ac:dyDescent="0.45"/>
    <row r="10898" s="142" customFormat="1" x14ac:dyDescent="0.45"/>
    <row r="10899" s="142" customFormat="1" x14ac:dyDescent="0.45"/>
    <row r="10900" s="142" customFormat="1" x14ac:dyDescent="0.45"/>
    <row r="10901" s="142" customFormat="1" x14ac:dyDescent="0.45"/>
    <row r="10902" s="142" customFormat="1" x14ac:dyDescent="0.45"/>
    <row r="10903" s="142" customFormat="1" x14ac:dyDescent="0.45"/>
    <row r="10904" s="142" customFormat="1" x14ac:dyDescent="0.45"/>
    <row r="10905" s="142" customFormat="1" x14ac:dyDescent="0.45"/>
    <row r="10906" s="142" customFormat="1" x14ac:dyDescent="0.45"/>
    <row r="10907" s="142" customFormat="1" x14ac:dyDescent="0.45"/>
    <row r="10908" s="142" customFormat="1" x14ac:dyDescent="0.45"/>
    <row r="10909" s="142" customFormat="1" x14ac:dyDescent="0.45"/>
    <row r="10910" s="142" customFormat="1" x14ac:dyDescent="0.45"/>
    <row r="10911" s="142" customFormat="1" x14ac:dyDescent="0.45"/>
    <row r="10912" s="142" customFormat="1" x14ac:dyDescent="0.45"/>
    <row r="10913" s="142" customFormat="1" x14ac:dyDescent="0.45"/>
    <row r="10914" s="142" customFormat="1" x14ac:dyDescent="0.45"/>
    <row r="10915" s="142" customFormat="1" x14ac:dyDescent="0.45"/>
    <row r="10916" s="142" customFormat="1" x14ac:dyDescent="0.45"/>
    <row r="10917" s="142" customFormat="1" x14ac:dyDescent="0.45"/>
    <row r="10918" s="142" customFormat="1" x14ac:dyDescent="0.45"/>
    <row r="10919" s="142" customFormat="1" x14ac:dyDescent="0.45"/>
    <row r="10920" s="142" customFormat="1" x14ac:dyDescent="0.45"/>
    <row r="10921" s="142" customFormat="1" x14ac:dyDescent="0.45"/>
    <row r="10922" s="142" customFormat="1" x14ac:dyDescent="0.45"/>
    <row r="10923" s="142" customFormat="1" x14ac:dyDescent="0.45"/>
    <row r="10924" s="142" customFormat="1" x14ac:dyDescent="0.45"/>
    <row r="10925" s="142" customFormat="1" x14ac:dyDescent="0.45"/>
    <row r="10926" s="142" customFormat="1" x14ac:dyDescent="0.45"/>
    <row r="10927" s="142" customFormat="1" x14ac:dyDescent="0.45"/>
    <row r="10928" s="142" customFormat="1" x14ac:dyDescent="0.45"/>
    <row r="10929" s="142" customFormat="1" x14ac:dyDescent="0.45"/>
    <row r="10930" s="142" customFormat="1" x14ac:dyDescent="0.45"/>
    <row r="10931" s="142" customFormat="1" x14ac:dyDescent="0.45"/>
    <row r="10932" s="142" customFormat="1" x14ac:dyDescent="0.45"/>
    <row r="10933" s="142" customFormat="1" x14ac:dyDescent="0.45"/>
    <row r="10934" s="142" customFormat="1" x14ac:dyDescent="0.45"/>
    <row r="10935" s="142" customFormat="1" x14ac:dyDescent="0.45"/>
    <row r="10936" s="142" customFormat="1" x14ac:dyDescent="0.45"/>
    <row r="10937" s="142" customFormat="1" x14ac:dyDescent="0.45"/>
    <row r="10938" s="142" customFormat="1" x14ac:dyDescent="0.45"/>
    <row r="10939" s="142" customFormat="1" x14ac:dyDescent="0.45"/>
    <row r="10940" s="142" customFormat="1" x14ac:dyDescent="0.45"/>
    <row r="10941" s="142" customFormat="1" x14ac:dyDescent="0.45"/>
    <row r="10942" s="142" customFormat="1" x14ac:dyDescent="0.45"/>
    <row r="10943" s="142" customFormat="1" x14ac:dyDescent="0.45"/>
    <row r="10944" s="142" customFormat="1" x14ac:dyDescent="0.45"/>
    <row r="10945" s="142" customFormat="1" x14ac:dyDescent="0.45"/>
    <row r="10946" s="142" customFormat="1" x14ac:dyDescent="0.45"/>
    <row r="10947" s="142" customFormat="1" x14ac:dyDescent="0.45"/>
    <row r="10948" s="142" customFormat="1" x14ac:dyDescent="0.45"/>
    <row r="10949" s="142" customFormat="1" x14ac:dyDescent="0.45"/>
    <row r="10950" s="142" customFormat="1" x14ac:dyDescent="0.45"/>
    <row r="10951" s="142" customFormat="1" x14ac:dyDescent="0.45"/>
    <row r="10952" s="142" customFormat="1" x14ac:dyDescent="0.45"/>
    <row r="10953" s="142" customFormat="1" x14ac:dyDescent="0.45"/>
    <row r="10954" s="142" customFormat="1" x14ac:dyDescent="0.45"/>
    <row r="10955" s="142" customFormat="1" x14ac:dyDescent="0.45"/>
    <row r="10956" s="142" customFormat="1" x14ac:dyDescent="0.45"/>
    <row r="10957" s="142" customFormat="1" x14ac:dyDescent="0.45"/>
    <row r="10958" s="142" customFormat="1" x14ac:dyDescent="0.45"/>
    <row r="10959" s="142" customFormat="1" x14ac:dyDescent="0.45"/>
    <row r="10960" s="142" customFormat="1" x14ac:dyDescent="0.45"/>
    <row r="10961" s="142" customFormat="1" x14ac:dyDescent="0.45"/>
    <row r="10962" s="142" customFormat="1" x14ac:dyDescent="0.45"/>
    <row r="10963" s="142" customFormat="1" x14ac:dyDescent="0.45"/>
    <row r="10964" s="142" customFormat="1" x14ac:dyDescent="0.45"/>
    <row r="10965" s="142" customFormat="1" x14ac:dyDescent="0.45"/>
    <row r="10966" s="142" customFormat="1" x14ac:dyDescent="0.45"/>
    <row r="10967" s="142" customFormat="1" x14ac:dyDescent="0.45"/>
    <row r="10968" s="142" customFormat="1" x14ac:dyDescent="0.45"/>
    <row r="10969" s="142" customFormat="1" x14ac:dyDescent="0.45"/>
    <row r="10970" s="142" customFormat="1" x14ac:dyDescent="0.45"/>
    <row r="10971" s="142" customFormat="1" x14ac:dyDescent="0.45"/>
    <row r="10972" s="142" customFormat="1" x14ac:dyDescent="0.45"/>
    <row r="10973" s="142" customFormat="1" x14ac:dyDescent="0.45"/>
    <row r="10974" s="142" customFormat="1" x14ac:dyDescent="0.45"/>
    <row r="10975" s="142" customFormat="1" x14ac:dyDescent="0.45"/>
    <row r="10976" s="142" customFormat="1" x14ac:dyDescent="0.45"/>
    <row r="10977" s="142" customFormat="1" x14ac:dyDescent="0.45"/>
    <row r="10978" s="142" customFormat="1" x14ac:dyDescent="0.45"/>
    <row r="10979" s="142" customFormat="1" x14ac:dyDescent="0.45"/>
    <row r="10980" s="142" customFormat="1" x14ac:dyDescent="0.45"/>
    <row r="10981" s="142" customFormat="1" x14ac:dyDescent="0.45"/>
    <row r="10982" s="142" customFormat="1" x14ac:dyDescent="0.45"/>
    <row r="10983" s="142" customFormat="1" x14ac:dyDescent="0.45"/>
    <row r="10984" s="142" customFormat="1" x14ac:dyDescent="0.45"/>
    <row r="10985" s="142" customFormat="1" x14ac:dyDescent="0.45"/>
    <row r="10986" s="142" customFormat="1" x14ac:dyDescent="0.45"/>
    <row r="10987" s="142" customFormat="1" x14ac:dyDescent="0.45"/>
    <row r="10988" s="142" customFormat="1" x14ac:dyDescent="0.45"/>
    <row r="10989" s="142" customFormat="1" x14ac:dyDescent="0.45"/>
    <row r="10990" s="142" customFormat="1" x14ac:dyDescent="0.45"/>
    <row r="10991" s="142" customFormat="1" x14ac:dyDescent="0.45"/>
    <row r="10992" s="142" customFormat="1" x14ac:dyDescent="0.45"/>
    <row r="10993" s="142" customFormat="1" x14ac:dyDescent="0.45"/>
    <row r="10994" s="142" customFormat="1" x14ac:dyDescent="0.45"/>
    <row r="10995" s="142" customFormat="1" x14ac:dyDescent="0.45"/>
    <row r="10996" s="142" customFormat="1" x14ac:dyDescent="0.45"/>
    <row r="10997" s="142" customFormat="1" x14ac:dyDescent="0.45"/>
    <row r="10998" s="142" customFormat="1" x14ac:dyDescent="0.45"/>
    <row r="10999" s="142" customFormat="1" x14ac:dyDescent="0.45"/>
    <row r="11000" s="142" customFormat="1" x14ac:dyDescent="0.45"/>
    <row r="11001" s="142" customFormat="1" x14ac:dyDescent="0.45"/>
    <row r="11002" s="142" customFormat="1" x14ac:dyDescent="0.45"/>
    <row r="11003" s="142" customFormat="1" x14ac:dyDescent="0.45"/>
    <row r="11004" s="142" customFormat="1" x14ac:dyDescent="0.45"/>
    <row r="11005" s="142" customFormat="1" x14ac:dyDescent="0.45"/>
    <row r="11006" s="142" customFormat="1" x14ac:dyDescent="0.45"/>
    <row r="11007" s="142" customFormat="1" x14ac:dyDescent="0.45"/>
    <row r="11008" s="142" customFormat="1" x14ac:dyDescent="0.45"/>
    <row r="11009" s="142" customFormat="1" x14ac:dyDescent="0.45"/>
    <row r="11010" s="142" customFormat="1" x14ac:dyDescent="0.45"/>
    <row r="11011" s="142" customFormat="1" x14ac:dyDescent="0.45"/>
    <row r="11012" s="142" customFormat="1" x14ac:dyDescent="0.45"/>
    <row r="11013" s="142" customFormat="1" x14ac:dyDescent="0.45"/>
    <row r="11014" s="142" customFormat="1" x14ac:dyDescent="0.45"/>
    <row r="11015" s="142" customFormat="1" x14ac:dyDescent="0.45"/>
    <row r="11016" s="142" customFormat="1" x14ac:dyDescent="0.45"/>
    <row r="11017" s="142" customFormat="1" x14ac:dyDescent="0.45"/>
    <row r="11018" s="142" customFormat="1" x14ac:dyDescent="0.45"/>
    <row r="11019" s="142" customFormat="1" x14ac:dyDescent="0.45"/>
    <row r="11020" s="142" customFormat="1" x14ac:dyDescent="0.45"/>
    <row r="11021" s="142" customFormat="1" x14ac:dyDescent="0.45"/>
    <row r="11022" s="142" customFormat="1" x14ac:dyDescent="0.45"/>
    <row r="11023" s="142" customFormat="1" x14ac:dyDescent="0.45"/>
    <row r="11024" s="142" customFormat="1" x14ac:dyDescent="0.45"/>
    <row r="11025" s="142" customFormat="1" x14ac:dyDescent="0.45"/>
    <row r="11026" s="142" customFormat="1" x14ac:dyDescent="0.45"/>
    <row r="11027" s="142" customFormat="1" x14ac:dyDescent="0.45"/>
    <row r="11028" s="142" customFormat="1" x14ac:dyDescent="0.45"/>
    <row r="11029" s="142" customFormat="1" x14ac:dyDescent="0.45"/>
    <row r="11030" s="142" customFormat="1" x14ac:dyDescent="0.45"/>
    <row r="11031" s="142" customFormat="1" x14ac:dyDescent="0.45"/>
    <row r="11032" s="142" customFormat="1" x14ac:dyDescent="0.45"/>
    <row r="11033" s="142" customFormat="1" x14ac:dyDescent="0.45"/>
    <row r="11034" s="142" customFormat="1" x14ac:dyDescent="0.45"/>
    <row r="11035" s="142" customFormat="1" x14ac:dyDescent="0.45"/>
    <row r="11036" s="142" customFormat="1" x14ac:dyDescent="0.45"/>
    <row r="11037" s="142" customFormat="1" x14ac:dyDescent="0.45"/>
    <row r="11038" s="142" customFormat="1" x14ac:dyDescent="0.45"/>
    <row r="11039" s="142" customFormat="1" x14ac:dyDescent="0.45"/>
    <row r="11040" s="142" customFormat="1" x14ac:dyDescent="0.45"/>
    <row r="11041" s="142" customFormat="1" x14ac:dyDescent="0.45"/>
    <row r="11042" s="142" customFormat="1" x14ac:dyDescent="0.45"/>
    <row r="11043" s="142" customFormat="1" x14ac:dyDescent="0.45"/>
    <row r="11044" s="142" customFormat="1" x14ac:dyDescent="0.45"/>
    <row r="11045" s="142" customFormat="1" x14ac:dyDescent="0.45"/>
    <row r="11046" s="142" customFormat="1" x14ac:dyDescent="0.45"/>
    <row r="11047" s="142" customFormat="1" x14ac:dyDescent="0.45"/>
    <row r="11048" s="142" customFormat="1" x14ac:dyDescent="0.45"/>
    <row r="11049" s="142" customFormat="1" x14ac:dyDescent="0.45"/>
    <row r="11050" s="142" customFormat="1" x14ac:dyDescent="0.45"/>
    <row r="11051" s="142" customFormat="1" x14ac:dyDescent="0.45"/>
    <row r="11052" s="142" customFormat="1" x14ac:dyDescent="0.45"/>
    <row r="11053" s="142" customFormat="1" x14ac:dyDescent="0.45"/>
    <row r="11054" s="142" customFormat="1" x14ac:dyDescent="0.45"/>
    <row r="11055" s="142" customFormat="1" x14ac:dyDescent="0.45"/>
    <row r="11056" s="142" customFormat="1" x14ac:dyDescent="0.45"/>
    <row r="11057" s="142" customFormat="1" x14ac:dyDescent="0.45"/>
    <row r="11058" s="142" customFormat="1" x14ac:dyDescent="0.45"/>
    <row r="11059" s="142" customFormat="1" x14ac:dyDescent="0.45"/>
    <row r="11060" s="142" customFormat="1" x14ac:dyDescent="0.45"/>
    <row r="11061" s="142" customFormat="1" x14ac:dyDescent="0.45"/>
    <row r="11062" s="142" customFormat="1" x14ac:dyDescent="0.45"/>
    <row r="11063" s="142" customFormat="1" x14ac:dyDescent="0.45"/>
    <row r="11064" s="142" customFormat="1" x14ac:dyDescent="0.45"/>
    <row r="11065" s="142" customFormat="1" x14ac:dyDescent="0.45"/>
    <row r="11066" s="142" customFormat="1" x14ac:dyDescent="0.45"/>
    <row r="11067" s="142" customFormat="1" x14ac:dyDescent="0.45"/>
    <row r="11068" s="142" customFormat="1" x14ac:dyDescent="0.45"/>
    <row r="11069" s="142" customFormat="1" x14ac:dyDescent="0.45"/>
    <row r="11070" s="142" customFormat="1" x14ac:dyDescent="0.45"/>
    <row r="11071" s="142" customFormat="1" x14ac:dyDescent="0.45"/>
    <row r="11072" s="142" customFormat="1" x14ac:dyDescent="0.45"/>
    <row r="11073" s="142" customFormat="1" x14ac:dyDescent="0.45"/>
    <row r="11074" s="142" customFormat="1" x14ac:dyDescent="0.45"/>
    <row r="11075" s="142" customFormat="1" x14ac:dyDescent="0.45"/>
    <row r="11076" s="142" customFormat="1" x14ac:dyDescent="0.45"/>
    <row r="11077" s="142" customFormat="1" x14ac:dyDescent="0.45"/>
    <row r="11078" s="142" customFormat="1" x14ac:dyDescent="0.45"/>
    <row r="11079" s="142" customFormat="1" x14ac:dyDescent="0.45"/>
    <row r="11080" s="142" customFormat="1" x14ac:dyDescent="0.45"/>
    <row r="11081" s="142" customFormat="1" x14ac:dyDescent="0.45"/>
    <row r="11082" s="142" customFormat="1" x14ac:dyDescent="0.45"/>
    <row r="11083" s="142" customFormat="1" x14ac:dyDescent="0.45"/>
    <row r="11084" s="142" customFormat="1" x14ac:dyDescent="0.45"/>
    <row r="11085" s="142" customFormat="1" x14ac:dyDescent="0.45"/>
    <row r="11086" s="142" customFormat="1" x14ac:dyDescent="0.45"/>
    <row r="11087" s="142" customFormat="1" x14ac:dyDescent="0.45"/>
    <row r="11088" s="142" customFormat="1" x14ac:dyDescent="0.45"/>
    <row r="11089" s="142" customFormat="1" x14ac:dyDescent="0.45"/>
    <row r="11090" s="142" customFormat="1" x14ac:dyDescent="0.45"/>
    <row r="11091" s="142" customFormat="1" x14ac:dyDescent="0.45"/>
    <row r="11092" s="142" customFormat="1" x14ac:dyDescent="0.45"/>
    <row r="11093" s="142" customFormat="1" x14ac:dyDescent="0.45"/>
    <row r="11094" s="142" customFormat="1" x14ac:dyDescent="0.45"/>
    <row r="11095" s="142" customFormat="1" x14ac:dyDescent="0.45"/>
    <row r="11096" s="142" customFormat="1" x14ac:dyDescent="0.45"/>
    <row r="11097" s="142" customFormat="1" x14ac:dyDescent="0.45"/>
    <row r="11098" s="142" customFormat="1" x14ac:dyDescent="0.45"/>
    <row r="11099" s="142" customFormat="1" x14ac:dyDescent="0.45"/>
    <row r="11100" s="142" customFormat="1" x14ac:dyDescent="0.45"/>
    <row r="11101" s="142" customFormat="1" x14ac:dyDescent="0.45"/>
    <row r="11102" s="142" customFormat="1" x14ac:dyDescent="0.45"/>
    <row r="11103" s="142" customFormat="1" x14ac:dyDescent="0.45"/>
    <row r="11104" s="142" customFormat="1" x14ac:dyDescent="0.45"/>
    <row r="11105" s="142" customFormat="1" x14ac:dyDescent="0.45"/>
    <row r="11106" s="142" customFormat="1" x14ac:dyDescent="0.45"/>
    <row r="11107" s="142" customFormat="1" x14ac:dyDescent="0.45"/>
    <row r="11108" s="142" customFormat="1" x14ac:dyDescent="0.45"/>
    <row r="11109" s="142" customFormat="1" x14ac:dyDescent="0.45"/>
    <row r="11110" s="142" customFormat="1" x14ac:dyDescent="0.45"/>
    <row r="11111" s="142" customFormat="1" x14ac:dyDescent="0.45"/>
    <row r="11112" s="142" customFormat="1" x14ac:dyDescent="0.45"/>
    <row r="11113" s="142" customFormat="1" x14ac:dyDescent="0.45"/>
    <row r="11114" s="142" customFormat="1" x14ac:dyDescent="0.45"/>
    <row r="11115" s="142" customFormat="1" x14ac:dyDescent="0.45"/>
    <row r="11116" s="142" customFormat="1" x14ac:dyDescent="0.45"/>
    <row r="11117" s="142" customFormat="1" x14ac:dyDescent="0.45"/>
    <row r="11118" s="142" customFormat="1" x14ac:dyDescent="0.45"/>
    <row r="11119" s="142" customFormat="1" x14ac:dyDescent="0.45"/>
    <row r="11120" s="142" customFormat="1" x14ac:dyDescent="0.45"/>
    <row r="11121" s="142" customFormat="1" x14ac:dyDescent="0.45"/>
    <row r="11122" s="142" customFormat="1" x14ac:dyDescent="0.45"/>
    <row r="11123" s="142" customFormat="1" x14ac:dyDescent="0.45"/>
    <row r="11124" s="142" customFormat="1" x14ac:dyDescent="0.45"/>
    <row r="11125" s="142" customFormat="1" x14ac:dyDescent="0.45"/>
    <row r="11126" s="142" customFormat="1" x14ac:dyDescent="0.45"/>
    <row r="11127" s="142" customFormat="1" x14ac:dyDescent="0.45"/>
    <row r="11128" s="142" customFormat="1" x14ac:dyDescent="0.45"/>
    <row r="11129" s="142" customFormat="1" x14ac:dyDescent="0.45"/>
    <row r="11130" s="142" customFormat="1" x14ac:dyDescent="0.45"/>
    <row r="11131" s="142" customFormat="1" x14ac:dyDescent="0.45"/>
    <row r="11132" s="142" customFormat="1" x14ac:dyDescent="0.45"/>
    <row r="11133" s="142" customFormat="1" x14ac:dyDescent="0.45"/>
    <row r="11134" s="142" customFormat="1" x14ac:dyDescent="0.45"/>
    <row r="11135" s="142" customFormat="1" x14ac:dyDescent="0.45"/>
    <row r="11136" s="142" customFormat="1" x14ac:dyDescent="0.45"/>
    <row r="11137" s="142" customFormat="1" x14ac:dyDescent="0.45"/>
    <row r="11138" s="142" customFormat="1" x14ac:dyDescent="0.45"/>
    <row r="11139" s="142" customFormat="1" x14ac:dyDescent="0.45"/>
    <row r="11140" s="142" customFormat="1" x14ac:dyDescent="0.45"/>
    <row r="11141" s="142" customFormat="1" x14ac:dyDescent="0.45"/>
    <row r="11142" s="142" customFormat="1" x14ac:dyDescent="0.45"/>
    <row r="11143" s="142" customFormat="1" x14ac:dyDescent="0.45"/>
    <row r="11144" s="142" customFormat="1" x14ac:dyDescent="0.45"/>
    <row r="11145" s="142" customFormat="1" x14ac:dyDescent="0.45"/>
    <row r="11146" s="142" customFormat="1" x14ac:dyDescent="0.45"/>
    <row r="11147" s="142" customFormat="1" x14ac:dyDescent="0.45"/>
    <row r="11148" s="142" customFormat="1" x14ac:dyDescent="0.45"/>
    <row r="11149" s="142" customFormat="1" x14ac:dyDescent="0.45"/>
    <row r="11150" s="142" customFormat="1" x14ac:dyDescent="0.45"/>
    <row r="11151" s="142" customFormat="1" x14ac:dyDescent="0.45"/>
    <row r="11152" s="142" customFormat="1" x14ac:dyDescent="0.45"/>
    <row r="11153" s="142" customFormat="1" x14ac:dyDescent="0.45"/>
    <row r="11154" s="142" customFormat="1" x14ac:dyDescent="0.45"/>
    <row r="11155" s="142" customFormat="1" x14ac:dyDescent="0.45"/>
    <row r="11156" s="142" customFormat="1" x14ac:dyDescent="0.45"/>
    <row r="11157" s="142" customFormat="1" x14ac:dyDescent="0.45"/>
    <row r="11158" s="142" customFormat="1" x14ac:dyDescent="0.45"/>
    <row r="11159" s="142" customFormat="1" x14ac:dyDescent="0.45"/>
    <row r="11160" s="142" customFormat="1" x14ac:dyDescent="0.45"/>
    <row r="11161" s="142" customFormat="1" x14ac:dyDescent="0.45"/>
    <row r="11162" s="142" customFormat="1" x14ac:dyDescent="0.45"/>
    <row r="11163" s="142" customFormat="1" x14ac:dyDescent="0.45"/>
    <row r="11164" s="142" customFormat="1" x14ac:dyDescent="0.45"/>
    <row r="11165" s="142" customFormat="1" x14ac:dyDescent="0.45"/>
    <row r="11166" s="142" customFormat="1" x14ac:dyDescent="0.45"/>
    <row r="11167" s="142" customFormat="1" x14ac:dyDescent="0.45"/>
    <row r="11168" s="142" customFormat="1" x14ac:dyDescent="0.45"/>
    <row r="11169" s="142" customFormat="1" x14ac:dyDescent="0.45"/>
    <row r="11170" s="142" customFormat="1" x14ac:dyDescent="0.45"/>
    <row r="11171" s="142" customFormat="1" x14ac:dyDescent="0.45"/>
    <row r="11172" s="142" customFormat="1" x14ac:dyDescent="0.45"/>
    <row r="11173" s="142" customFormat="1" x14ac:dyDescent="0.45"/>
    <row r="11174" s="142" customFormat="1" x14ac:dyDescent="0.45"/>
    <row r="11175" s="142" customFormat="1" x14ac:dyDescent="0.45"/>
    <row r="11176" s="142" customFormat="1" x14ac:dyDescent="0.45"/>
    <row r="11177" s="142" customFormat="1" x14ac:dyDescent="0.45"/>
    <row r="11178" s="142" customFormat="1" x14ac:dyDescent="0.45"/>
    <row r="11179" s="142" customFormat="1" x14ac:dyDescent="0.45"/>
    <row r="11180" s="142" customFormat="1" x14ac:dyDescent="0.45"/>
    <row r="11181" s="142" customFormat="1" x14ac:dyDescent="0.45"/>
    <row r="11182" s="142" customFormat="1" x14ac:dyDescent="0.45"/>
    <row r="11183" s="142" customFormat="1" x14ac:dyDescent="0.45"/>
    <row r="11184" s="142" customFormat="1" x14ac:dyDescent="0.45"/>
    <row r="11185" s="142" customFormat="1" x14ac:dyDescent="0.45"/>
    <row r="11186" s="142" customFormat="1" x14ac:dyDescent="0.45"/>
    <row r="11187" s="142" customFormat="1" x14ac:dyDescent="0.45"/>
    <row r="11188" s="142" customFormat="1" x14ac:dyDescent="0.45"/>
    <row r="11189" s="142" customFormat="1" x14ac:dyDescent="0.45"/>
    <row r="11190" s="142" customFormat="1" x14ac:dyDescent="0.45"/>
    <row r="11191" s="142" customFormat="1" x14ac:dyDescent="0.45"/>
    <row r="11192" s="142" customFormat="1" x14ac:dyDescent="0.45"/>
    <row r="11193" s="142" customFormat="1" x14ac:dyDescent="0.45"/>
    <row r="11194" s="142" customFormat="1" x14ac:dyDescent="0.45"/>
    <row r="11195" s="142" customFormat="1" x14ac:dyDescent="0.45"/>
    <row r="11196" s="142" customFormat="1" x14ac:dyDescent="0.45"/>
    <row r="11197" s="142" customFormat="1" x14ac:dyDescent="0.45"/>
    <row r="11198" s="142" customFormat="1" x14ac:dyDescent="0.45"/>
    <row r="11199" s="142" customFormat="1" x14ac:dyDescent="0.45"/>
    <row r="11200" s="142" customFormat="1" x14ac:dyDescent="0.45"/>
    <row r="11201" s="142" customFormat="1" x14ac:dyDescent="0.45"/>
    <row r="11202" s="142" customFormat="1" x14ac:dyDescent="0.45"/>
    <row r="11203" s="142" customFormat="1" x14ac:dyDescent="0.45"/>
    <row r="11204" s="142" customFormat="1" x14ac:dyDescent="0.45"/>
    <row r="11205" s="142" customFormat="1" x14ac:dyDescent="0.45"/>
    <row r="11206" s="142" customFormat="1" x14ac:dyDescent="0.45"/>
    <row r="11207" s="142" customFormat="1" x14ac:dyDescent="0.45"/>
    <row r="11208" s="142" customFormat="1" x14ac:dyDescent="0.45"/>
    <row r="11209" s="142" customFormat="1" x14ac:dyDescent="0.45"/>
    <row r="11210" s="142" customFormat="1" x14ac:dyDescent="0.45"/>
    <row r="11211" s="142" customFormat="1" x14ac:dyDescent="0.45"/>
    <row r="11212" s="142" customFormat="1" x14ac:dyDescent="0.45"/>
    <row r="11213" s="142" customFormat="1" x14ac:dyDescent="0.45"/>
    <row r="11214" s="142" customFormat="1" x14ac:dyDescent="0.45"/>
    <row r="11215" s="142" customFormat="1" x14ac:dyDescent="0.45"/>
    <row r="11216" s="142" customFormat="1" x14ac:dyDescent="0.45"/>
    <row r="11217" s="142" customFormat="1" x14ac:dyDescent="0.45"/>
    <row r="11218" s="142" customFormat="1" x14ac:dyDescent="0.45"/>
    <row r="11219" s="142" customFormat="1" x14ac:dyDescent="0.45"/>
    <row r="11220" s="142" customFormat="1" x14ac:dyDescent="0.45"/>
    <row r="11221" s="142" customFormat="1" x14ac:dyDescent="0.45"/>
    <row r="11222" s="142" customFormat="1" x14ac:dyDescent="0.45"/>
    <row r="11223" s="142" customFormat="1" x14ac:dyDescent="0.45"/>
    <row r="11224" s="142" customFormat="1" x14ac:dyDescent="0.45"/>
    <row r="11225" s="142" customFormat="1" x14ac:dyDescent="0.45"/>
    <row r="11226" s="142" customFormat="1" x14ac:dyDescent="0.45"/>
    <row r="11227" s="142" customFormat="1" x14ac:dyDescent="0.45"/>
    <row r="11228" s="142" customFormat="1" x14ac:dyDescent="0.45"/>
    <row r="11229" s="142" customFormat="1" x14ac:dyDescent="0.45"/>
    <row r="11230" s="142" customFormat="1" x14ac:dyDescent="0.45"/>
    <row r="11231" s="142" customFormat="1" x14ac:dyDescent="0.45"/>
    <row r="11232" s="142" customFormat="1" x14ac:dyDescent="0.45"/>
    <row r="11233" s="142" customFormat="1" x14ac:dyDescent="0.45"/>
    <row r="11234" s="142" customFormat="1" x14ac:dyDescent="0.45"/>
    <row r="11235" s="142" customFormat="1" x14ac:dyDescent="0.45"/>
    <row r="11236" s="142" customFormat="1" x14ac:dyDescent="0.45"/>
    <row r="11237" s="142" customFormat="1" x14ac:dyDescent="0.45"/>
    <row r="11238" s="142" customFormat="1" x14ac:dyDescent="0.45"/>
    <row r="11239" s="142" customFormat="1" x14ac:dyDescent="0.45"/>
    <row r="11240" s="142" customFormat="1" x14ac:dyDescent="0.45"/>
    <row r="11241" s="142" customFormat="1" x14ac:dyDescent="0.45"/>
    <row r="11242" s="142" customFormat="1" x14ac:dyDescent="0.45"/>
    <row r="11243" s="142" customFormat="1" x14ac:dyDescent="0.45"/>
    <row r="11244" s="142" customFormat="1" x14ac:dyDescent="0.45"/>
    <row r="11245" s="142" customFormat="1" x14ac:dyDescent="0.45"/>
    <row r="11246" s="142" customFormat="1" x14ac:dyDescent="0.45"/>
    <row r="11247" s="142" customFormat="1" x14ac:dyDescent="0.45"/>
    <row r="11248" s="142" customFormat="1" x14ac:dyDescent="0.45"/>
    <row r="11249" s="142" customFormat="1" x14ac:dyDescent="0.45"/>
    <row r="11250" s="142" customFormat="1" x14ac:dyDescent="0.45"/>
    <row r="11251" s="142" customFormat="1" x14ac:dyDescent="0.45"/>
    <row r="11252" s="142" customFormat="1" x14ac:dyDescent="0.45"/>
    <row r="11253" s="142" customFormat="1" x14ac:dyDescent="0.45"/>
    <row r="11254" s="142" customFormat="1" x14ac:dyDescent="0.45"/>
    <row r="11255" s="142" customFormat="1" x14ac:dyDescent="0.45"/>
    <row r="11256" s="142" customFormat="1" x14ac:dyDescent="0.45"/>
    <row r="11257" s="142" customFormat="1" x14ac:dyDescent="0.45"/>
    <row r="11258" s="142" customFormat="1" x14ac:dyDescent="0.45"/>
    <row r="11259" s="142" customFormat="1" x14ac:dyDescent="0.45"/>
    <row r="11260" s="142" customFormat="1" x14ac:dyDescent="0.45"/>
    <row r="11261" s="142" customFormat="1" x14ac:dyDescent="0.45"/>
    <row r="11262" s="142" customFormat="1" x14ac:dyDescent="0.45"/>
    <row r="11263" s="142" customFormat="1" x14ac:dyDescent="0.45"/>
    <row r="11264" s="142" customFormat="1" x14ac:dyDescent="0.45"/>
    <row r="11265" s="142" customFormat="1" x14ac:dyDescent="0.45"/>
    <row r="11266" s="142" customFormat="1" x14ac:dyDescent="0.45"/>
    <row r="11267" s="142" customFormat="1" x14ac:dyDescent="0.45"/>
    <row r="11268" s="142" customFormat="1" x14ac:dyDescent="0.45"/>
    <row r="11269" s="142" customFormat="1" x14ac:dyDescent="0.45"/>
    <row r="11270" s="142" customFormat="1" x14ac:dyDescent="0.45"/>
    <row r="11271" s="142" customFormat="1" x14ac:dyDescent="0.45"/>
    <row r="11272" s="142" customFormat="1" x14ac:dyDescent="0.45"/>
    <row r="11273" s="142" customFormat="1" x14ac:dyDescent="0.45"/>
    <row r="11274" s="142" customFormat="1" x14ac:dyDescent="0.45"/>
    <row r="11275" s="142" customFormat="1" x14ac:dyDescent="0.45"/>
    <row r="11276" s="142" customFormat="1" x14ac:dyDescent="0.45"/>
    <row r="11277" s="142" customFormat="1" x14ac:dyDescent="0.45"/>
    <row r="11278" s="142" customFormat="1" x14ac:dyDescent="0.45"/>
    <row r="11279" s="142" customFormat="1" x14ac:dyDescent="0.45"/>
    <row r="11280" s="142" customFormat="1" x14ac:dyDescent="0.45"/>
    <row r="11281" s="142" customFormat="1" x14ac:dyDescent="0.45"/>
    <row r="11282" s="142" customFormat="1" x14ac:dyDescent="0.45"/>
    <row r="11283" s="142" customFormat="1" x14ac:dyDescent="0.45"/>
    <row r="11284" s="142" customFormat="1" x14ac:dyDescent="0.45"/>
    <row r="11285" s="142" customFormat="1" x14ac:dyDescent="0.45"/>
    <row r="11286" s="142" customFormat="1" x14ac:dyDescent="0.45"/>
    <row r="11287" s="142" customFormat="1" x14ac:dyDescent="0.45"/>
    <row r="11288" s="142" customFormat="1" x14ac:dyDescent="0.45"/>
    <row r="11289" s="142" customFormat="1" x14ac:dyDescent="0.45"/>
    <row r="11290" s="142" customFormat="1" x14ac:dyDescent="0.45"/>
    <row r="11291" s="142" customFormat="1" x14ac:dyDescent="0.45"/>
    <row r="11292" s="142" customFormat="1" x14ac:dyDescent="0.45"/>
    <row r="11293" s="142" customFormat="1" x14ac:dyDescent="0.45"/>
    <row r="11294" s="142" customFormat="1" x14ac:dyDescent="0.45"/>
    <row r="11295" s="142" customFormat="1" x14ac:dyDescent="0.45"/>
    <row r="11296" s="142" customFormat="1" x14ac:dyDescent="0.45"/>
    <row r="11297" s="142" customFormat="1" x14ac:dyDescent="0.45"/>
    <row r="11298" s="142" customFormat="1" x14ac:dyDescent="0.45"/>
    <row r="11299" s="142" customFormat="1" x14ac:dyDescent="0.45"/>
    <row r="11300" s="142" customFormat="1" x14ac:dyDescent="0.45"/>
    <row r="11301" s="142" customFormat="1" x14ac:dyDescent="0.45"/>
    <row r="11302" s="142" customFormat="1" x14ac:dyDescent="0.45"/>
    <row r="11303" s="142" customFormat="1" x14ac:dyDescent="0.45"/>
    <row r="11304" s="142" customFormat="1" x14ac:dyDescent="0.45"/>
    <row r="11305" s="142" customFormat="1" x14ac:dyDescent="0.45"/>
    <row r="11306" s="142" customFormat="1" x14ac:dyDescent="0.45"/>
    <row r="11307" s="142" customFormat="1" x14ac:dyDescent="0.45"/>
    <row r="11308" s="142" customFormat="1" x14ac:dyDescent="0.45"/>
    <row r="11309" s="142" customFormat="1" x14ac:dyDescent="0.45"/>
    <row r="11310" s="142" customFormat="1" x14ac:dyDescent="0.45"/>
    <row r="11311" s="142" customFormat="1" x14ac:dyDescent="0.45"/>
    <row r="11312" s="142" customFormat="1" x14ac:dyDescent="0.45"/>
    <row r="11313" s="142" customFormat="1" x14ac:dyDescent="0.45"/>
    <row r="11314" s="142" customFormat="1" x14ac:dyDescent="0.45"/>
    <row r="11315" s="142" customFormat="1" x14ac:dyDescent="0.45"/>
    <row r="11316" s="142" customFormat="1" x14ac:dyDescent="0.45"/>
    <row r="11317" s="142" customFormat="1" x14ac:dyDescent="0.45"/>
    <row r="11318" s="142" customFormat="1" x14ac:dyDescent="0.45"/>
    <row r="11319" s="142" customFormat="1" x14ac:dyDescent="0.45"/>
    <row r="11320" s="142" customFormat="1" x14ac:dyDescent="0.45"/>
    <row r="11321" s="142" customFormat="1" x14ac:dyDescent="0.45"/>
    <row r="11322" s="142" customFormat="1" x14ac:dyDescent="0.45"/>
    <row r="11323" s="142" customFormat="1" x14ac:dyDescent="0.45"/>
    <row r="11324" s="142" customFormat="1" x14ac:dyDescent="0.45"/>
    <row r="11325" s="142" customFormat="1" x14ac:dyDescent="0.45"/>
    <row r="11326" s="142" customFormat="1" x14ac:dyDescent="0.45"/>
    <row r="11327" s="142" customFormat="1" x14ac:dyDescent="0.45"/>
    <row r="11328" s="142" customFormat="1" x14ac:dyDescent="0.45"/>
    <row r="11329" s="142" customFormat="1" x14ac:dyDescent="0.45"/>
    <row r="11330" s="142" customFormat="1" x14ac:dyDescent="0.45"/>
    <row r="11331" s="142" customFormat="1" x14ac:dyDescent="0.45"/>
    <row r="11332" s="142" customFormat="1" x14ac:dyDescent="0.45"/>
    <row r="11333" s="142" customFormat="1" x14ac:dyDescent="0.45"/>
    <row r="11334" s="142" customFormat="1" x14ac:dyDescent="0.45"/>
    <row r="11335" s="142" customFormat="1" x14ac:dyDescent="0.45"/>
    <row r="11336" s="142" customFormat="1" x14ac:dyDescent="0.45"/>
    <row r="11337" s="142" customFormat="1" x14ac:dyDescent="0.45"/>
    <row r="11338" s="142" customFormat="1" x14ac:dyDescent="0.45"/>
    <row r="11339" s="142" customFormat="1" x14ac:dyDescent="0.45"/>
    <row r="11340" s="142" customFormat="1" x14ac:dyDescent="0.45"/>
    <row r="11341" s="142" customFormat="1" x14ac:dyDescent="0.45"/>
    <row r="11342" s="142" customFormat="1" x14ac:dyDescent="0.45"/>
    <row r="11343" s="142" customFormat="1" x14ac:dyDescent="0.45"/>
    <row r="11344" s="142" customFormat="1" x14ac:dyDescent="0.45"/>
    <row r="11345" s="142" customFormat="1" x14ac:dyDescent="0.45"/>
    <row r="11346" s="142" customFormat="1" x14ac:dyDescent="0.45"/>
    <row r="11347" s="142" customFormat="1" x14ac:dyDescent="0.45"/>
    <row r="11348" s="142" customFormat="1" x14ac:dyDescent="0.45"/>
    <row r="11349" s="142" customFormat="1" x14ac:dyDescent="0.45"/>
    <row r="11350" s="142" customFormat="1" x14ac:dyDescent="0.45"/>
    <row r="11351" s="142" customFormat="1" x14ac:dyDescent="0.45"/>
    <row r="11352" s="142" customFormat="1" x14ac:dyDescent="0.45"/>
    <row r="11353" s="142" customFormat="1" x14ac:dyDescent="0.45"/>
    <row r="11354" s="142" customFormat="1" x14ac:dyDescent="0.45"/>
    <row r="11355" s="142" customFormat="1" x14ac:dyDescent="0.45"/>
    <row r="11356" s="142" customFormat="1" x14ac:dyDescent="0.45"/>
    <row r="11357" s="142" customFormat="1" x14ac:dyDescent="0.45"/>
    <row r="11358" s="142" customFormat="1" x14ac:dyDescent="0.45"/>
    <row r="11359" s="142" customFormat="1" x14ac:dyDescent="0.45"/>
    <row r="11360" s="142" customFormat="1" x14ac:dyDescent="0.45"/>
    <row r="11361" s="142" customFormat="1" x14ac:dyDescent="0.45"/>
    <row r="11362" s="142" customFormat="1" x14ac:dyDescent="0.45"/>
    <row r="11363" s="142" customFormat="1" x14ac:dyDescent="0.45"/>
    <row r="11364" s="142" customFormat="1" x14ac:dyDescent="0.45"/>
    <row r="11365" s="142" customFormat="1" x14ac:dyDescent="0.45"/>
    <row r="11366" s="142" customFormat="1" x14ac:dyDescent="0.45"/>
    <row r="11367" s="142" customFormat="1" x14ac:dyDescent="0.45"/>
    <row r="11368" s="142" customFormat="1" x14ac:dyDescent="0.45"/>
    <row r="11369" s="142" customFormat="1" x14ac:dyDescent="0.45"/>
    <row r="11370" s="142" customFormat="1" x14ac:dyDescent="0.45"/>
    <row r="11371" s="142" customFormat="1" x14ac:dyDescent="0.45"/>
    <row r="11372" s="142" customFormat="1" x14ac:dyDescent="0.45"/>
    <row r="11373" s="142" customFormat="1" x14ac:dyDescent="0.45"/>
    <row r="11374" s="142" customFormat="1" x14ac:dyDescent="0.45"/>
    <row r="11375" s="142" customFormat="1" x14ac:dyDescent="0.45"/>
    <row r="11376" s="142" customFormat="1" x14ac:dyDescent="0.45"/>
    <row r="11377" s="142" customFormat="1" x14ac:dyDescent="0.45"/>
    <row r="11378" s="142" customFormat="1" x14ac:dyDescent="0.45"/>
    <row r="11379" s="142" customFormat="1" x14ac:dyDescent="0.45"/>
    <row r="11380" s="142" customFormat="1" x14ac:dyDescent="0.45"/>
    <row r="11381" s="142" customFormat="1" x14ac:dyDescent="0.45"/>
    <row r="11382" s="142" customFormat="1" x14ac:dyDescent="0.45"/>
    <row r="11383" s="142" customFormat="1" x14ac:dyDescent="0.45"/>
    <row r="11384" s="142" customFormat="1" x14ac:dyDescent="0.45"/>
    <row r="11385" s="142" customFormat="1" x14ac:dyDescent="0.45"/>
    <row r="11386" s="142" customFormat="1" x14ac:dyDescent="0.45"/>
    <row r="11387" s="142" customFormat="1" x14ac:dyDescent="0.45"/>
    <row r="11388" s="142" customFormat="1" x14ac:dyDescent="0.45"/>
    <row r="11389" s="142" customFormat="1" x14ac:dyDescent="0.45"/>
    <row r="11390" s="142" customFormat="1" x14ac:dyDescent="0.45"/>
    <row r="11391" s="142" customFormat="1" x14ac:dyDescent="0.45"/>
    <row r="11392" s="142" customFormat="1" x14ac:dyDescent="0.45"/>
    <row r="11393" s="142" customFormat="1" x14ac:dyDescent="0.45"/>
    <row r="11394" s="142" customFormat="1" x14ac:dyDescent="0.45"/>
    <row r="11395" s="142" customFormat="1" x14ac:dyDescent="0.45"/>
    <row r="11396" s="142" customFormat="1" x14ac:dyDescent="0.45"/>
    <row r="11397" s="142" customFormat="1" x14ac:dyDescent="0.45"/>
    <row r="11398" s="142" customFormat="1" x14ac:dyDescent="0.45"/>
    <row r="11399" s="142" customFormat="1" x14ac:dyDescent="0.45"/>
    <row r="11400" s="142" customFormat="1" x14ac:dyDescent="0.45"/>
    <row r="11401" s="142" customFormat="1" x14ac:dyDescent="0.45"/>
    <row r="11402" s="142" customFormat="1" x14ac:dyDescent="0.45"/>
    <row r="11403" s="142" customFormat="1" x14ac:dyDescent="0.45"/>
    <row r="11404" s="142" customFormat="1" x14ac:dyDescent="0.45"/>
    <row r="11405" s="142" customFormat="1" x14ac:dyDescent="0.45"/>
    <row r="11406" s="142" customFormat="1" x14ac:dyDescent="0.45"/>
    <row r="11407" s="142" customFormat="1" x14ac:dyDescent="0.45"/>
    <row r="11408" s="142" customFormat="1" x14ac:dyDescent="0.45"/>
    <row r="11409" s="142" customFormat="1" x14ac:dyDescent="0.45"/>
    <row r="11410" s="142" customFormat="1" x14ac:dyDescent="0.45"/>
    <row r="11411" s="142" customFormat="1" x14ac:dyDescent="0.45"/>
    <row r="11412" s="142" customFormat="1" x14ac:dyDescent="0.45"/>
    <row r="11413" s="142" customFormat="1" x14ac:dyDescent="0.45"/>
    <row r="11414" s="142" customFormat="1" x14ac:dyDescent="0.45"/>
    <row r="11415" s="142" customFormat="1" x14ac:dyDescent="0.45"/>
    <row r="11416" s="142" customFormat="1" x14ac:dyDescent="0.45"/>
    <row r="11417" s="142" customFormat="1" x14ac:dyDescent="0.45"/>
    <row r="11418" s="142" customFormat="1" x14ac:dyDescent="0.45"/>
    <row r="11419" s="142" customFormat="1" x14ac:dyDescent="0.45"/>
    <row r="11420" s="142" customFormat="1" x14ac:dyDescent="0.45"/>
    <row r="11421" s="142" customFormat="1" x14ac:dyDescent="0.45"/>
    <row r="11422" s="142" customFormat="1" x14ac:dyDescent="0.45"/>
    <row r="11423" s="142" customFormat="1" x14ac:dyDescent="0.45"/>
    <row r="11424" s="142" customFormat="1" x14ac:dyDescent="0.45"/>
    <row r="11425" s="142" customFormat="1" x14ac:dyDescent="0.45"/>
    <row r="11426" s="142" customFormat="1" x14ac:dyDescent="0.45"/>
    <row r="11427" s="142" customFormat="1" x14ac:dyDescent="0.45"/>
    <row r="11428" s="142" customFormat="1" x14ac:dyDescent="0.45"/>
    <row r="11429" s="142" customFormat="1" x14ac:dyDescent="0.45"/>
    <row r="11430" s="142" customFormat="1" x14ac:dyDescent="0.45"/>
    <row r="11431" s="142" customFormat="1" x14ac:dyDescent="0.45"/>
    <row r="11432" s="142" customFormat="1" x14ac:dyDescent="0.45"/>
    <row r="11433" s="142" customFormat="1" x14ac:dyDescent="0.45"/>
    <row r="11434" s="142" customFormat="1" x14ac:dyDescent="0.45"/>
    <row r="11435" s="142" customFormat="1" x14ac:dyDescent="0.45"/>
    <row r="11436" s="142" customFormat="1" x14ac:dyDescent="0.45"/>
    <row r="11437" s="142" customFormat="1" x14ac:dyDescent="0.45"/>
    <row r="11438" s="142" customFormat="1" x14ac:dyDescent="0.45"/>
    <row r="11439" s="142" customFormat="1" x14ac:dyDescent="0.45"/>
    <row r="11440" s="142" customFormat="1" x14ac:dyDescent="0.45"/>
    <row r="11441" s="142" customFormat="1" x14ac:dyDescent="0.45"/>
    <row r="11442" s="142" customFormat="1" x14ac:dyDescent="0.45"/>
    <row r="11443" s="142" customFormat="1" x14ac:dyDescent="0.45"/>
    <row r="11444" s="142" customFormat="1" x14ac:dyDescent="0.45"/>
    <row r="11445" s="142" customFormat="1" x14ac:dyDescent="0.45"/>
    <row r="11446" s="142" customFormat="1" x14ac:dyDescent="0.45"/>
    <row r="11447" s="142" customFormat="1" x14ac:dyDescent="0.45"/>
    <row r="11448" s="142" customFormat="1" x14ac:dyDescent="0.45"/>
    <row r="11449" s="142" customFormat="1" x14ac:dyDescent="0.45"/>
    <row r="11450" s="142" customFormat="1" x14ac:dyDescent="0.45"/>
    <row r="11451" s="142" customFormat="1" x14ac:dyDescent="0.45"/>
    <row r="11452" s="142" customFormat="1" x14ac:dyDescent="0.45"/>
    <row r="11453" s="142" customFormat="1" x14ac:dyDescent="0.45"/>
    <row r="11454" s="142" customFormat="1" x14ac:dyDescent="0.45"/>
    <row r="11455" s="142" customFormat="1" x14ac:dyDescent="0.45"/>
    <row r="11456" s="142" customFormat="1" x14ac:dyDescent="0.45"/>
    <row r="11457" s="142" customFormat="1" x14ac:dyDescent="0.45"/>
    <row r="11458" s="142" customFormat="1" x14ac:dyDescent="0.45"/>
    <row r="11459" s="142" customFormat="1" x14ac:dyDescent="0.45"/>
    <row r="11460" s="142" customFormat="1" x14ac:dyDescent="0.45"/>
    <row r="11461" s="142" customFormat="1" x14ac:dyDescent="0.45"/>
    <row r="11462" s="142" customFormat="1" x14ac:dyDescent="0.45"/>
    <row r="11463" s="142" customFormat="1" x14ac:dyDescent="0.45"/>
    <row r="11464" s="142" customFormat="1" x14ac:dyDescent="0.45"/>
    <row r="11465" s="142" customFormat="1" x14ac:dyDescent="0.45"/>
    <row r="11466" s="142" customFormat="1" x14ac:dyDescent="0.45"/>
    <row r="11467" s="142" customFormat="1" x14ac:dyDescent="0.45"/>
    <row r="11468" s="142" customFormat="1" x14ac:dyDescent="0.45"/>
    <row r="11469" s="142" customFormat="1" x14ac:dyDescent="0.45"/>
    <row r="11470" s="142" customFormat="1" x14ac:dyDescent="0.45"/>
    <row r="11471" s="142" customFormat="1" x14ac:dyDescent="0.45"/>
    <row r="11472" s="142" customFormat="1" x14ac:dyDescent="0.45"/>
    <row r="11473" s="142" customFormat="1" x14ac:dyDescent="0.45"/>
    <row r="11474" s="142" customFormat="1" x14ac:dyDescent="0.45"/>
    <row r="11475" s="142" customFormat="1" x14ac:dyDescent="0.45"/>
    <row r="11476" s="142" customFormat="1" x14ac:dyDescent="0.45"/>
    <row r="11477" s="142" customFormat="1" x14ac:dyDescent="0.45"/>
    <row r="11478" s="142" customFormat="1" x14ac:dyDescent="0.45"/>
    <row r="11479" s="142" customFormat="1" x14ac:dyDescent="0.45"/>
    <row r="11480" s="142" customFormat="1" x14ac:dyDescent="0.45"/>
    <row r="11481" s="142" customFormat="1" x14ac:dyDescent="0.45"/>
    <row r="11482" s="142" customFormat="1" x14ac:dyDescent="0.45"/>
    <row r="11483" s="142" customFormat="1" x14ac:dyDescent="0.45"/>
    <row r="11484" s="142" customFormat="1" x14ac:dyDescent="0.45"/>
    <row r="11485" s="142" customFormat="1" x14ac:dyDescent="0.45"/>
    <row r="11486" s="142" customFormat="1" x14ac:dyDescent="0.45"/>
    <row r="11487" s="142" customFormat="1" x14ac:dyDescent="0.45"/>
    <row r="11488" s="142" customFormat="1" x14ac:dyDescent="0.45"/>
    <row r="11489" s="142" customFormat="1" x14ac:dyDescent="0.45"/>
    <row r="11490" s="142" customFormat="1" x14ac:dyDescent="0.45"/>
    <row r="11491" s="142" customFormat="1" x14ac:dyDescent="0.45"/>
    <row r="11492" s="142" customFormat="1" x14ac:dyDescent="0.45"/>
    <row r="11493" s="142" customFormat="1" x14ac:dyDescent="0.45"/>
    <row r="11494" s="142" customFormat="1" x14ac:dyDescent="0.45"/>
    <row r="11495" s="142" customFormat="1" x14ac:dyDescent="0.45"/>
    <row r="11496" s="142" customFormat="1" x14ac:dyDescent="0.45"/>
    <row r="11497" s="142" customFormat="1" x14ac:dyDescent="0.45"/>
    <row r="11498" s="142" customFormat="1" x14ac:dyDescent="0.45"/>
    <row r="11499" s="142" customFormat="1" x14ac:dyDescent="0.45"/>
    <row r="11500" s="142" customFormat="1" x14ac:dyDescent="0.45"/>
    <row r="11501" s="142" customFormat="1" x14ac:dyDescent="0.45"/>
    <row r="11502" s="142" customFormat="1" x14ac:dyDescent="0.45"/>
    <row r="11503" s="142" customFormat="1" x14ac:dyDescent="0.45"/>
    <row r="11504" s="142" customFormat="1" x14ac:dyDescent="0.45"/>
    <row r="11505" s="142" customFormat="1" x14ac:dyDescent="0.45"/>
    <row r="11506" s="142" customFormat="1" x14ac:dyDescent="0.45"/>
    <row r="11507" s="142" customFormat="1" x14ac:dyDescent="0.45"/>
    <row r="11508" s="142" customFormat="1" x14ac:dyDescent="0.45"/>
    <row r="11509" s="142" customFormat="1" x14ac:dyDescent="0.45"/>
    <row r="11510" s="142" customFormat="1" x14ac:dyDescent="0.45"/>
    <row r="11511" s="142" customFormat="1" x14ac:dyDescent="0.45"/>
    <row r="11512" s="142" customFormat="1" x14ac:dyDescent="0.45"/>
    <row r="11513" s="142" customFormat="1" x14ac:dyDescent="0.45"/>
    <row r="11514" s="142" customFormat="1" x14ac:dyDescent="0.45"/>
    <row r="11515" s="142" customFormat="1" x14ac:dyDescent="0.45"/>
    <row r="11516" s="142" customFormat="1" x14ac:dyDescent="0.45"/>
    <row r="11517" s="142" customFormat="1" x14ac:dyDescent="0.45"/>
    <row r="11518" s="142" customFormat="1" x14ac:dyDescent="0.45"/>
    <row r="11519" s="142" customFormat="1" x14ac:dyDescent="0.45"/>
    <row r="11520" s="142" customFormat="1" x14ac:dyDescent="0.45"/>
    <row r="11521" s="142" customFormat="1" x14ac:dyDescent="0.45"/>
    <row r="11522" s="142" customFormat="1" x14ac:dyDescent="0.45"/>
    <row r="11523" s="142" customFormat="1" x14ac:dyDescent="0.45"/>
    <row r="11524" s="142" customFormat="1" x14ac:dyDescent="0.45"/>
    <row r="11525" s="142" customFormat="1" x14ac:dyDescent="0.45"/>
    <row r="11526" s="142" customFormat="1" x14ac:dyDescent="0.45"/>
    <row r="11527" s="142" customFormat="1" x14ac:dyDescent="0.45"/>
    <row r="11528" s="142" customFormat="1" x14ac:dyDescent="0.45"/>
    <row r="11529" s="142" customFormat="1" x14ac:dyDescent="0.45"/>
    <row r="11530" s="142" customFormat="1" x14ac:dyDescent="0.45"/>
    <row r="11531" s="142" customFormat="1" x14ac:dyDescent="0.45"/>
    <row r="11532" s="142" customFormat="1" x14ac:dyDescent="0.45"/>
    <row r="11533" s="142" customFormat="1" x14ac:dyDescent="0.45"/>
    <row r="11534" s="142" customFormat="1" x14ac:dyDescent="0.45"/>
    <row r="11535" s="142" customFormat="1" x14ac:dyDescent="0.45"/>
    <row r="11536" s="142" customFormat="1" x14ac:dyDescent="0.45"/>
    <row r="11537" s="142" customFormat="1" x14ac:dyDescent="0.45"/>
    <row r="11538" s="142" customFormat="1" x14ac:dyDescent="0.45"/>
    <row r="11539" s="142" customFormat="1" x14ac:dyDescent="0.45"/>
    <row r="11540" s="142" customFormat="1" x14ac:dyDescent="0.45"/>
    <row r="11541" s="142" customFormat="1" x14ac:dyDescent="0.45"/>
    <row r="11542" s="142" customFormat="1" x14ac:dyDescent="0.45"/>
    <row r="11543" s="142" customFormat="1" x14ac:dyDescent="0.45"/>
    <row r="11544" s="142" customFormat="1" x14ac:dyDescent="0.45"/>
    <row r="11545" s="142" customFormat="1" x14ac:dyDescent="0.45"/>
    <row r="11546" s="142" customFormat="1" x14ac:dyDescent="0.45"/>
    <row r="11547" s="142" customFormat="1" x14ac:dyDescent="0.45"/>
    <row r="11548" s="142" customFormat="1" x14ac:dyDescent="0.45"/>
    <row r="11549" s="142" customFormat="1" x14ac:dyDescent="0.45"/>
    <row r="11550" s="142" customFormat="1" x14ac:dyDescent="0.45"/>
    <row r="11551" s="142" customFormat="1" x14ac:dyDescent="0.45"/>
    <row r="11552" s="142" customFormat="1" x14ac:dyDescent="0.45"/>
    <row r="11553" s="142" customFormat="1" x14ac:dyDescent="0.45"/>
    <row r="11554" s="142" customFormat="1" x14ac:dyDescent="0.45"/>
    <row r="11555" s="142" customFormat="1" x14ac:dyDescent="0.45"/>
    <row r="11556" s="142" customFormat="1" x14ac:dyDescent="0.45"/>
    <row r="11557" s="142" customFormat="1" x14ac:dyDescent="0.45"/>
    <row r="11558" s="142" customFormat="1" x14ac:dyDescent="0.45"/>
    <row r="11559" s="142" customFormat="1" x14ac:dyDescent="0.45"/>
    <row r="11560" s="142" customFormat="1" x14ac:dyDescent="0.45"/>
    <row r="11561" s="142" customFormat="1" x14ac:dyDescent="0.45"/>
    <row r="11562" s="142" customFormat="1" x14ac:dyDescent="0.45"/>
    <row r="11563" s="142" customFormat="1" x14ac:dyDescent="0.45"/>
    <row r="11564" s="142" customFormat="1" x14ac:dyDescent="0.45"/>
    <row r="11565" s="142" customFormat="1" x14ac:dyDescent="0.45"/>
    <row r="11566" s="142" customFormat="1" x14ac:dyDescent="0.45"/>
    <row r="11567" s="142" customFormat="1" x14ac:dyDescent="0.45"/>
    <row r="11568" s="142" customFormat="1" x14ac:dyDescent="0.45"/>
    <row r="11569" s="142" customFormat="1" x14ac:dyDescent="0.45"/>
    <row r="11570" s="142" customFormat="1" x14ac:dyDescent="0.45"/>
    <row r="11571" s="142" customFormat="1" x14ac:dyDescent="0.45"/>
    <row r="11572" s="142" customFormat="1" x14ac:dyDescent="0.45"/>
    <row r="11573" s="142" customFormat="1" x14ac:dyDescent="0.45"/>
    <row r="11574" s="142" customFormat="1" x14ac:dyDescent="0.45"/>
    <row r="11575" s="142" customFormat="1" x14ac:dyDescent="0.45"/>
    <row r="11576" s="142" customFormat="1" x14ac:dyDescent="0.45"/>
    <row r="11577" s="142" customFormat="1" x14ac:dyDescent="0.45"/>
    <row r="11578" s="142" customFormat="1" x14ac:dyDescent="0.45"/>
    <row r="11579" s="142" customFormat="1" x14ac:dyDescent="0.45"/>
    <row r="11580" s="142" customFormat="1" x14ac:dyDescent="0.45"/>
    <row r="11581" s="142" customFormat="1" x14ac:dyDescent="0.45"/>
    <row r="11582" s="142" customFormat="1" x14ac:dyDescent="0.45"/>
    <row r="11583" s="142" customFormat="1" x14ac:dyDescent="0.45"/>
    <row r="11584" s="142" customFormat="1" x14ac:dyDescent="0.45"/>
    <row r="11585" s="142" customFormat="1" x14ac:dyDescent="0.45"/>
    <row r="11586" s="142" customFormat="1" x14ac:dyDescent="0.45"/>
    <row r="11587" s="142" customFormat="1" x14ac:dyDescent="0.45"/>
    <row r="11588" s="142" customFormat="1" x14ac:dyDescent="0.45"/>
    <row r="11589" s="142" customFormat="1" x14ac:dyDescent="0.45"/>
    <row r="11590" s="142" customFormat="1" x14ac:dyDescent="0.45"/>
    <row r="11591" s="142" customFormat="1" x14ac:dyDescent="0.45"/>
    <row r="11592" s="142" customFormat="1" x14ac:dyDescent="0.45"/>
    <row r="11593" s="142" customFormat="1" x14ac:dyDescent="0.45"/>
    <row r="11594" s="142" customFormat="1" x14ac:dyDescent="0.45"/>
    <row r="11595" s="142" customFormat="1" x14ac:dyDescent="0.45"/>
    <row r="11596" s="142" customFormat="1" x14ac:dyDescent="0.45"/>
    <row r="11597" s="142" customFormat="1" x14ac:dyDescent="0.45"/>
    <row r="11598" s="142" customFormat="1" x14ac:dyDescent="0.45"/>
    <row r="11599" s="142" customFormat="1" x14ac:dyDescent="0.45"/>
    <row r="11600" s="142" customFormat="1" x14ac:dyDescent="0.45"/>
    <row r="11601" s="142" customFormat="1" x14ac:dyDescent="0.45"/>
    <row r="11602" s="142" customFormat="1" x14ac:dyDescent="0.45"/>
    <row r="11603" s="142" customFormat="1" x14ac:dyDescent="0.45"/>
    <row r="11604" s="142" customFormat="1" x14ac:dyDescent="0.45"/>
    <row r="11605" s="142" customFormat="1" x14ac:dyDescent="0.45"/>
    <row r="11606" s="142" customFormat="1" x14ac:dyDescent="0.45"/>
    <row r="11607" s="142" customFormat="1" x14ac:dyDescent="0.45"/>
    <row r="11608" s="142" customFormat="1" x14ac:dyDescent="0.45"/>
    <row r="11609" s="142" customFormat="1" x14ac:dyDescent="0.45"/>
    <row r="11610" s="142" customFormat="1" x14ac:dyDescent="0.45"/>
    <row r="11611" s="142" customFormat="1" x14ac:dyDescent="0.45"/>
    <row r="11612" s="142" customFormat="1" x14ac:dyDescent="0.45"/>
    <row r="11613" s="142" customFormat="1" x14ac:dyDescent="0.45"/>
    <row r="11614" s="142" customFormat="1" x14ac:dyDescent="0.45"/>
    <row r="11615" s="142" customFormat="1" x14ac:dyDescent="0.45"/>
    <row r="11616" s="142" customFormat="1" x14ac:dyDescent="0.45"/>
    <row r="11617" s="142" customFormat="1" x14ac:dyDescent="0.45"/>
    <row r="11618" s="142" customFormat="1" x14ac:dyDescent="0.45"/>
    <row r="11619" s="142" customFormat="1" x14ac:dyDescent="0.45"/>
    <row r="11620" s="142" customFormat="1" x14ac:dyDescent="0.45"/>
    <row r="11621" s="142" customFormat="1" x14ac:dyDescent="0.45"/>
    <row r="11622" s="142" customFormat="1" x14ac:dyDescent="0.45"/>
    <row r="11623" s="142" customFormat="1" x14ac:dyDescent="0.45"/>
    <row r="11624" s="142" customFormat="1" x14ac:dyDescent="0.45"/>
    <row r="11625" s="142" customFormat="1" x14ac:dyDescent="0.45"/>
    <row r="11626" s="142" customFormat="1" x14ac:dyDescent="0.45"/>
    <row r="11627" s="142" customFormat="1" x14ac:dyDescent="0.45"/>
    <row r="11628" s="142" customFormat="1" x14ac:dyDescent="0.45"/>
    <row r="11629" s="142" customFormat="1" x14ac:dyDescent="0.45"/>
    <row r="11630" s="142" customFormat="1" x14ac:dyDescent="0.45"/>
    <row r="11631" s="142" customFormat="1" x14ac:dyDescent="0.45"/>
    <row r="11632" s="142" customFormat="1" x14ac:dyDescent="0.45"/>
    <row r="11633" s="142" customFormat="1" x14ac:dyDescent="0.45"/>
    <row r="11634" s="142" customFormat="1" x14ac:dyDescent="0.45"/>
    <row r="11635" s="142" customFormat="1" x14ac:dyDescent="0.45"/>
    <row r="11636" s="142" customFormat="1" x14ac:dyDescent="0.45"/>
    <row r="11637" s="142" customFormat="1" x14ac:dyDescent="0.45"/>
    <row r="11638" s="142" customFormat="1" x14ac:dyDescent="0.45"/>
    <row r="11639" s="142" customFormat="1" x14ac:dyDescent="0.45"/>
    <row r="11640" s="142" customFormat="1" x14ac:dyDescent="0.45"/>
    <row r="11641" s="142" customFormat="1" x14ac:dyDescent="0.45"/>
    <row r="11642" s="142" customFormat="1" x14ac:dyDescent="0.45"/>
    <row r="11643" s="142" customFormat="1" x14ac:dyDescent="0.45"/>
    <row r="11644" s="142" customFormat="1" x14ac:dyDescent="0.45"/>
    <row r="11645" s="142" customFormat="1" x14ac:dyDescent="0.45"/>
    <row r="11646" s="142" customFormat="1" x14ac:dyDescent="0.45"/>
    <row r="11647" s="142" customFormat="1" x14ac:dyDescent="0.45"/>
    <row r="11648" s="142" customFormat="1" x14ac:dyDescent="0.45"/>
    <row r="11649" s="142" customFormat="1" x14ac:dyDescent="0.45"/>
    <row r="11650" s="142" customFormat="1" x14ac:dyDescent="0.45"/>
    <row r="11651" s="142" customFormat="1" x14ac:dyDescent="0.45"/>
    <row r="11652" s="142" customFormat="1" x14ac:dyDescent="0.45"/>
    <row r="11653" s="142" customFormat="1" x14ac:dyDescent="0.45"/>
    <row r="11654" s="142" customFormat="1" x14ac:dyDescent="0.45"/>
    <row r="11655" s="142" customFormat="1" x14ac:dyDescent="0.45"/>
    <row r="11656" s="142" customFormat="1" x14ac:dyDescent="0.45"/>
    <row r="11657" s="142" customFormat="1" x14ac:dyDescent="0.45"/>
    <row r="11658" s="142" customFormat="1" x14ac:dyDescent="0.45"/>
    <row r="11659" s="142" customFormat="1" x14ac:dyDescent="0.45"/>
    <row r="11660" s="142" customFormat="1" x14ac:dyDescent="0.45"/>
    <row r="11661" s="142" customFormat="1" x14ac:dyDescent="0.45"/>
    <row r="11662" s="142" customFormat="1" x14ac:dyDescent="0.45"/>
    <row r="11663" s="142" customFormat="1" x14ac:dyDescent="0.45"/>
    <row r="11664" s="142" customFormat="1" x14ac:dyDescent="0.45"/>
    <row r="11665" s="142" customFormat="1" x14ac:dyDescent="0.45"/>
    <row r="11666" s="142" customFormat="1" x14ac:dyDescent="0.45"/>
    <row r="11667" s="142" customFormat="1" x14ac:dyDescent="0.45"/>
    <row r="11668" s="142" customFormat="1" x14ac:dyDescent="0.45"/>
    <row r="11669" s="142" customFormat="1" x14ac:dyDescent="0.45"/>
    <row r="11670" s="142" customFormat="1" x14ac:dyDescent="0.45"/>
    <row r="11671" s="142" customFormat="1" x14ac:dyDescent="0.45"/>
    <row r="11672" s="142" customFormat="1" x14ac:dyDescent="0.45"/>
    <row r="11673" s="142" customFormat="1" x14ac:dyDescent="0.45"/>
    <row r="11674" s="142" customFormat="1" x14ac:dyDescent="0.45"/>
    <row r="11675" s="142" customFormat="1" x14ac:dyDescent="0.45"/>
    <row r="11676" s="142" customFormat="1" x14ac:dyDescent="0.45"/>
    <row r="11677" s="142" customFormat="1" x14ac:dyDescent="0.45"/>
    <row r="11678" s="142" customFormat="1" x14ac:dyDescent="0.45"/>
    <row r="11679" s="142" customFormat="1" x14ac:dyDescent="0.45"/>
    <row r="11680" s="142" customFormat="1" x14ac:dyDescent="0.45"/>
    <row r="11681" s="142" customFormat="1" x14ac:dyDescent="0.45"/>
    <row r="11682" s="142" customFormat="1" x14ac:dyDescent="0.45"/>
    <row r="11683" s="142" customFormat="1" x14ac:dyDescent="0.45"/>
    <row r="11684" s="142" customFormat="1" x14ac:dyDescent="0.45"/>
    <row r="11685" s="142" customFormat="1" x14ac:dyDescent="0.45"/>
    <row r="11686" s="142" customFormat="1" x14ac:dyDescent="0.45"/>
    <row r="11687" s="142" customFormat="1" x14ac:dyDescent="0.45"/>
    <row r="11688" s="142" customFormat="1" x14ac:dyDescent="0.45"/>
    <row r="11689" s="142" customFormat="1" x14ac:dyDescent="0.45"/>
    <row r="11690" s="142" customFormat="1" x14ac:dyDescent="0.45"/>
    <row r="11691" s="142" customFormat="1" x14ac:dyDescent="0.45"/>
    <row r="11692" s="142" customFormat="1" x14ac:dyDescent="0.45"/>
    <row r="11693" s="142" customFormat="1" x14ac:dyDescent="0.45"/>
    <row r="11694" s="142" customFormat="1" x14ac:dyDescent="0.45"/>
    <row r="11695" s="142" customFormat="1" x14ac:dyDescent="0.45"/>
    <row r="11696" s="142" customFormat="1" x14ac:dyDescent="0.45"/>
    <row r="11697" s="142" customFormat="1" x14ac:dyDescent="0.45"/>
    <row r="11698" s="142" customFormat="1" x14ac:dyDescent="0.45"/>
    <row r="11699" s="142" customFormat="1" x14ac:dyDescent="0.45"/>
    <row r="11700" s="142" customFormat="1" x14ac:dyDescent="0.45"/>
    <row r="11701" s="142" customFormat="1" x14ac:dyDescent="0.45"/>
    <row r="11702" s="142" customFormat="1" x14ac:dyDescent="0.45"/>
    <row r="11703" s="142" customFormat="1" x14ac:dyDescent="0.45"/>
    <row r="11704" s="142" customFormat="1" x14ac:dyDescent="0.45"/>
    <row r="11705" s="142" customFormat="1" x14ac:dyDescent="0.45"/>
    <row r="11706" s="142" customFormat="1" x14ac:dyDescent="0.45"/>
    <row r="11707" s="142" customFormat="1" x14ac:dyDescent="0.45"/>
    <row r="11708" s="142" customFormat="1" x14ac:dyDescent="0.45"/>
    <row r="11709" s="142" customFormat="1" x14ac:dyDescent="0.45"/>
    <row r="11710" s="142" customFormat="1" x14ac:dyDescent="0.45"/>
    <row r="11711" s="142" customFormat="1" x14ac:dyDescent="0.45"/>
    <row r="11712" s="142" customFormat="1" x14ac:dyDescent="0.45"/>
    <row r="11713" s="142" customFormat="1" x14ac:dyDescent="0.45"/>
    <row r="11714" s="142" customFormat="1" x14ac:dyDescent="0.45"/>
    <row r="11715" s="142" customFormat="1" x14ac:dyDescent="0.45"/>
    <row r="11716" s="142" customFormat="1" x14ac:dyDescent="0.45"/>
    <row r="11717" s="142" customFormat="1" x14ac:dyDescent="0.45"/>
    <row r="11718" s="142" customFormat="1" x14ac:dyDescent="0.45"/>
    <row r="11719" s="142" customFormat="1" x14ac:dyDescent="0.45"/>
    <row r="11720" s="142" customFormat="1" x14ac:dyDescent="0.45"/>
    <row r="11721" s="142" customFormat="1" x14ac:dyDescent="0.45"/>
    <row r="11722" s="142" customFormat="1" x14ac:dyDescent="0.45"/>
    <row r="11723" s="142" customFormat="1" x14ac:dyDescent="0.45"/>
    <row r="11724" s="142" customFormat="1" x14ac:dyDescent="0.45"/>
    <row r="11725" s="142" customFormat="1" x14ac:dyDescent="0.45"/>
    <row r="11726" s="142" customFormat="1" x14ac:dyDescent="0.45"/>
    <row r="11727" s="142" customFormat="1" x14ac:dyDescent="0.45"/>
    <row r="11728" s="142" customFormat="1" x14ac:dyDescent="0.45"/>
    <row r="11729" s="142" customFormat="1" x14ac:dyDescent="0.45"/>
    <row r="11730" s="142" customFormat="1" x14ac:dyDescent="0.45"/>
    <row r="11731" s="142" customFormat="1" x14ac:dyDescent="0.45"/>
    <row r="11732" s="142" customFormat="1" x14ac:dyDescent="0.45"/>
    <row r="11733" s="142" customFormat="1" x14ac:dyDescent="0.45"/>
    <row r="11734" s="142" customFormat="1" x14ac:dyDescent="0.45"/>
    <row r="11735" s="142" customFormat="1" x14ac:dyDescent="0.45"/>
    <row r="11736" s="142" customFormat="1" x14ac:dyDescent="0.45"/>
    <row r="11737" s="142" customFormat="1" x14ac:dyDescent="0.45"/>
    <row r="11738" s="142" customFormat="1" x14ac:dyDescent="0.45"/>
    <row r="11739" s="142" customFormat="1" x14ac:dyDescent="0.45"/>
    <row r="11740" s="142" customFormat="1" x14ac:dyDescent="0.45"/>
    <row r="11741" s="142" customFormat="1" x14ac:dyDescent="0.45"/>
    <row r="11742" s="142" customFormat="1" x14ac:dyDescent="0.45"/>
    <row r="11743" s="142" customFormat="1" x14ac:dyDescent="0.45"/>
    <row r="11744" s="142" customFormat="1" x14ac:dyDescent="0.45"/>
    <row r="11745" s="142" customFormat="1" x14ac:dyDescent="0.45"/>
    <row r="11746" s="142" customFormat="1" x14ac:dyDescent="0.45"/>
    <row r="11747" s="142" customFormat="1" x14ac:dyDescent="0.45"/>
    <row r="11748" s="142" customFormat="1" x14ac:dyDescent="0.45"/>
    <row r="11749" s="142" customFormat="1" x14ac:dyDescent="0.45"/>
    <row r="11750" s="142" customFormat="1" x14ac:dyDescent="0.45"/>
    <row r="11751" s="142" customFormat="1" x14ac:dyDescent="0.45"/>
    <row r="11752" s="142" customFormat="1" x14ac:dyDescent="0.45"/>
    <row r="11753" s="142" customFormat="1" x14ac:dyDescent="0.45"/>
    <row r="11754" s="142" customFormat="1" x14ac:dyDescent="0.45"/>
    <row r="11755" s="142" customFormat="1" x14ac:dyDescent="0.45"/>
    <row r="11756" s="142" customFormat="1" x14ac:dyDescent="0.45"/>
    <row r="11757" s="142" customFormat="1" x14ac:dyDescent="0.45"/>
    <row r="11758" s="142" customFormat="1" x14ac:dyDescent="0.45"/>
    <row r="11759" s="142" customFormat="1" x14ac:dyDescent="0.45"/>
    <row r="11760" s="142" customFormat="1" x14ac:dyDescent="0.45"/>
    <row r="11761" s="142" customFormat="1" x14ac:dyDescent="0.45"/>
    <row r="11762" s="142" customFormat="1" x14ac:dyDescent="0.45"/>
    <row r="11763" s="142" customFormat="1" x14ac:dyDescent="0.45"/>
    <row r="11764" s="142" customFormat="1" x14ac:dyDescent="0.45"/>
    <row r="11765" s="142" customFormat="1" x14ac:dyDescent="0.45"/>
    <row r="11766" s="142" customFormat="1" x14ac:dyDescent="0.45"/>
    <row r="11767" s="142" customFormat="1" x14ac:dyDescent="0.45"/>
    <row r="11768" s="142" customFormat="1" x14ac:dyDescent="0.45"/>
    <row r="11769" s="142" customFormat="1" x14ac:dyDescent="0.45"/>
    <row r="11770" s="142" customFormat="1" x14ac:dyDescent="0.45"/>
    <row r="11771" s="142" customFormat="1" x14ac:dyDescent="0.45"/>
    <row r="11772" s="142" customFormat="1" x14ac:dyDescent="0.45"/>
    <row r="11773" s="142" customFormat="1" x14ac:dyDescent="0.45"/>
    <row r="11774" s="142" customFormat="1" x14ac:dyDescent="0.45"/>
    <row r="11775" s="142" customFormat="1" x14ac:dyDescent="0.45"/>
    <row r="11776" s="142" customFormat="1" x14ac:dyDescent="0.45"/>
    <row r="11777" s="142" customFormat="1" x14ac:dyDescent="0.45"/>
    <row r="11778" s="142" customFormat="1" x14ac:dyDescent="0.45"/>
    <row r="11779" s="142" customFormat="1" x14ac:dyDescent="0.45"/>
    <row r="11780" s="142" customFormat="1" x14ac:dyDescent="0.45"/>
    <row r="11781" s="142" customFormat="1" x14ac:dyDescent="0.45"/>
    <row r="11782" s="142" customFormat="1" x14ac:dyDescent="0.45"/>
    <row r="11783" s="142" customFormat="1" x14ac:dyDescent="0.45"/>
    <row r="11784" s="142" customFormat="1" x14ac:dyDescent="0.45"/>
    <row r="11785" s="142" customFormat="1" x14ac:dyDescent="0.45"/>
    <row r="11786" s="142" customFormat="1" x14ac:dyDescent="0.45"/>
    <row r="11787" s="142" customFormat="1" x14ac:dyDescent="0.45"/>
    <row r="11788" s="142" customFormat="1" x14ac:dyDescent="0.45"/>
    <row r="11789" s="142" customFormat="1" x14ac:dyDescent="0.45"/>
    <row r="11790" s="142" customFormat="1" x14ac:dyDescent="0.45"/>
    <row r="11791" s="142" customFormat="1" x14ac:dyDescent="0.45"/>
    <row r="11792" s="142" customFormat="1" x14ac:dyDescent="0.45"/>
    <row r="11793" s="142" customFormat="1" x14ac:dyDescent="0.45"/>
    <row r="11794" s="142" customFormat="1" x14ac:dyDescent="0.45"/>
    <row r="11795" s="142" customFormat="1" x14ac:dyDescent="0.45"/>
    <row r="11796" s="142" customFormat="1" x14ac:dyDescent="0.45"/>
    <row r="11797" s="142" customFormat="1" x14ac:dyDescent="0.45"/>
    <row r="11798" s="142" customFormat="1" x14ac:dyDescent="0.45"/>
    <row r="11799" s="142" customFormat="1" x14ac:dyDescent="0.45"/>
    <row r="11800" s="142" customFormat="1" x14ac:dyDescent="0.45"/>
    <row r="11801" s="142" customFormat="1" x14ac:dyDescent="0.45"/>
    <row r="11802" s="142" customFormat="1" x14ac:dyDescent="0.45"/>
    <row r="11803" s="142" customFormat="1" x14ac:dyDescent="0.45"/>
    <row r="11804" s="142" customFormat="1" x14ac:dyDescent="0.45"/>
    <row r="11805" s="142" customFormat="1" x14ac:dyDescent="0.45"/>
    <row r="11806" s="142" customFormat="1" x14ac:dyDescent="0.45"/>
    <row r="11807" s="142" customFormat="1" x14ac:dyDescent="0.45"/>
    <row r="11808" s="142" customFormat="1" x14ac:dyDescent="0.45"/>
    <row r="11809" s="142" customFormat="1" x14ac:dyDescent="0.45"/>
    <row r="11810" s="142" customFormat="1" x14ac:dyDescent="0.45"/>
    <row r="11811" s="142" customFormat="1" x14ac:dyDescent="0.45"/>
    <row r="11812" s="142" customFormat="1" x14ac:dyDescent="0.45"/>
    <row r="11813" s="142" customFormat="1" x14ac:dyDescent="0.45"/>
    <row r="11814" s="142" customFormat="1" x14ac:dyDescent="0.45"/>
    <row r="11815" s="142" customFormat="1" x14ac:dyDescent="0.45"/>
    <row r="11816" s="142" customFormat="1" x14ac:dyDescent="0.45"/>
    <row r="11817" s="142" customFormat="1" x14ac:dyDescent="0.45"/>
    <row r="11818" s="142" customFormat="1" x14ac:dyDescent="0.45"/>
    <row r="11819" s="142" customFormat="1" x14ac:dyDescent="0.45"/>
    <row r="11820" s="142" customFormat="1" x14ac:dyDescent="0.45"/>
    <row r="11821" s="142" customFormat="1" x14ac:dyDescent="0.45"/>
    <row r="11822" s="142" customFormat="1" x14ac:dyDescent="0.45"/>
    <row r="11823" s="142" customFormat="1" x14ac:dyDescent="0.45"/>
    <row r="11824" s="142" customFormat="1" x14ac:dyDescent="0.45"/>
    <row r="11825" s="142" customFormat="1" x14ac:dyDescent="0.45"/>
    <row r="11826" s="142" customFormat="1" x14ac:dyDescent="0.45"/>
    <row r="11827" s="142" customFormat="1" x14ac:dyDescent="0.45"/>
    <row r="11828" s="142" customFormat="1" x14ac:dyDescent="0.45"/>
    <row r="11829" s="142" customFormat="1" x14ac:dyDescent="0.45"/>
    <row r="11830" s="142" customFormat="1" x14ac:dyDescent="0.45"/>
    <row r="11831" s="142" customFormat="1" x14ac:dyDescent="0.45"/>
    <row r="11832" s="142" customFormat="1" x14ac:dyDescent="0.45"/>
    <row r="11833" s="142" customFormat="1" x14ac:dyDescent="0.45"/>
    <row r="11834" s="142" customFormat="1" x14ac:dyDescent="0.45"/>
    <row r="11835" s="142" customFormat="1" x14ac:dyDescent="0.45"/>
    <row r="11836" s="142" customFormat="1" x14ac:dyDescent="0.45"/>
    <row r="11837" s="142" customFormat="1" x14ac:dyDescent="0.45"/>
    <row r="11838" s="142" customFormat="1" x14ac:dyDescent="0.45"/>
    <row r="11839" s="142" customFormat="1" x14ac:dyDescent="0.45"/>
    <row r="11840" s="142" customFormat="1" x14ac:dyDescent="0.45"/>
    <row r="11841" s="142" customFormat="1" x14ac:dyDescent="0.45"/>
    <row r="11842" s="142" customFormat="1" x14ac:dyDescent="0.45"/>
    <row r="11843" s="142" customFormat="1" x14ac:dyDescent="0.45"/>
    <row r="11844" s="142" customFormat="1" x14ac:dyDescent="0.45"/>
    <row r="11845" s="142" customFormat="1" x14ac:dyDescent="0.45"/>
    <row r="11846" s="142" customFormat="1" x14ac:dyDescent="0.45"/>
    <row r="11847" s="142" customFormat="1" x14ac:dyDescent="0.45"/>
    <row r="11848" s="142" customFormat="1" x14ac:dyDescent="0.45"/>
    <row r="11849" s="142" customFormat="1" x14ac:dyDescent="0.45"/>
    <row r="11850" s="142" customFormat="1" x14ac:dyDescent="0.45"/>
    <row r="11851" s="142" customFormat="1" x14ac:dyDescent="0.45"/>
    <row r="11852" s="142" customFormat="1" x14ac:dyDescent="0.45"/>
    <row r="11853" s="142" customFormat="1" x14ac:dyDescent="0.45"/>
    <row r="11854" s="142" customFormat="1" x14ac:dyDescent="0.45"/>
    <row r="11855" s="142" customFormat="1" x14ac:dyDescent="0.45"/>
    <row r="11856" s="142" customFormat="1" x14ac:dyDescent="0.45"/>
    <row r="11857" s="142" customFormat="1" x14ac:dyDescent="0.45"/>
    <row r="11858" s="142" customFormat="1" x14ac:dyDescent="0.45"/>
    <row r="11859" s="142" customFormat="1" x14ac:dyDescent="0.45"/>
    <row r="11860" s="142" customFormat="1" x14ac:dyDescent="0.45"/>
    <row r="11861" s="142" customFormat="1" x14ac:dyDescent="0.45"/>
    <row r="11862" s="142" customFormat="1" x14ac:dyDescent="0.45"/>
    <row r="11863" s="142" customFormat="1" x14ac:dyDescent="0.45"/>
    <row r="11864" s="142" customFormat="1" x14ac:dyDescent="0.45"/>
    <row r="11865" s="142" customFormat="1" x14ac:dyDescent="0.45"/>
    <row r="11866" s="142" customFormat="1" x14ac:dyDescent="0.45"/>
    <row r="11867" s="142" customFormat="1" x14ac:dyDescent="0.45"/>
    <row r="11868" s="142" customFormat="1" x14ac:dyDescent="0.45"/>
    <row r="11869" s="142" customFormat="1" x14ac:dyDescent="0.45"/>
    <row r="11870" s="142" customFormat="1" x14ac:dyDescent="0.45"/>
    <row r="11871" s="142" customFormat="1" x14ac:dyDescent="0.45"/>
    <row r="11872" s="142" customFormat="1" x14ac:dyDescent="0.45"/>
    <row r="11873" s="142" customFormat="1" x14ac:dyDescent="0.45"/>
    <row r="11874" s="142" customFormat="1" x14ac:dyDescent="0.45"/>
    <row r="11875" s="142" customFormat="1" x14ac:dyDescent="0.45"/>
    <row r="11876" s="142" customFormat="1" x14ac:dyDescent="0.45"/>
    <row r="11877" s="142" customFormat="1" x14ac:dyDescent="0.45"/>
    <row r="11878" s="142" customFormat="1" x14ac:dyDescent="0.45"/>
    <row r="11879" s="142" customFormat="1" x14ac:dyDescent="0.45"/>
    <row r="11880" s="142" customFormat="1" x14ac:dyDescent="0.45"/>
    <row r="11881" s="142" customFormat="1" x14ac:dyDescent="0.45"/>
    <row r="11882" s="142" customFormat="1" x14ac:dyDescent="0.45"/>
    <row r="11883" s="142" customFormat="1" x14ac:dyDescent="0.45"/>
    <row r="11884" s="142" customFormat="1" x14ac:dyDescent="0.45"/>
    <row r="11885" s="142" customFormat="1" x14ac:dyDescent="0.45"/>
    <row r="11886" s="142" customFormat="1" x14ac:dyDescent="0.45"/>
    <row r="11887" s="142" customFormat="1" x14ac:dyDescent="0.45"/>
    <row r="11888" s="142" customFormat="1" x14ac:dyDescent="0.45"/>
    <row r="11889" s="142" customFormat="1" x14ac:dyDescent="0.45"/>
    <row r="11890" s="142" customFormat="1" x14ac:dyDescent="0.45"/>
    <row r="11891" s="142" customFormat="1" x14ac:dyDescent="0.45"/>
    <row r="11892" s="142" customFormat="1" x14ac:dyDescent="0.45"/>
    <row r="11893" s="142" customFormat="1" x14ac:dyDescent="0.45"/>
    <row r="11894" s="142" customFormat="1" x14ac:dyDescent="0.45"/>
    <row r="11895" s="142" customFormat="1" x14ac:dyDescent="0.45"/>
    <row r="11896" s="142" customFormat="1" x14ac:dyDescent="0.45"/>
    <row r="11897" s="142" customFormat="1" x14ac:dyDescent="0.45"/>
    <row r="11898" s="142" customFormat="1" x14ac:dyDescent="0.45"/>
    <row r="11899" s="142" customFormat="1" x14ac:dyDescent="0.45"/>
    <row r="11900" s="142" customFormat="1" x14ac:dyDescent="0.45"/>
    <row r="11901" s="142" customFormat="1" x14ac:dyDescent="0.45"/>
    <row r="11902" s="142" customFormat="1" x14ac:dyDescent="0.45"/>
    <row r="11903" s="142" customFormat="1" x14ac:dyDescent="0.45"/>
    <row r="11904" s="142" customFormat="1" x14ac:dyDescent="0.45"/>
    <row r="11913" spans="8:12" x14ac:dyDescent="0.45">
      <c r="H11913" s="398"/>
      <c r="I11913" s="398"/>
      <c r="J11913" s="398"/>
      <c r="K11913" s="398"/>
      <c r="L11913" s="397"/>
    </row>
    <row r="11921" s="142" customFormat="1" x14ac:dyDescent="0.45"/>
    <row r="11922" s="142" customFormat="1" x14ac:dyDescent="0.45"/>
    <row r="11923" s="142" customFormat="1" x14ac:dyDescent="0.45"/>
    <row r="11924" s="142" customFormat="1" x14ac:dyDescent="0.45"/>
    <row r="11925" s="142" customFormat="1" x14ac:dyDescent="0.45"/>
    <row r="11926" s="142" customFormat="1" x14ac:dyDescent="0.45"/>
    <row r="11927" s="142" customFormat="1" x14ac:dyDescent="0.45"/>
    <row r="11928" s="142" customFormat="1" x14ac:dyDescent="0.45"/>
    <row r="11929" s="142" customFormat="1" x14ac:dyDescent="0.45"/>
    <row r="11930" s="142" customFormat="1" x14ac:dyDescent="0.45"/>
    <row r="11931" s="142" customFormat="1" x14ac:dyDescent="0.45"/>
    <row r="11932" s="142" customFormat="1" x14ac:dyDescent="0.45"/>
    <row r="11933" s="142" customFormat="1" x14ac:dyDescent="0.45"/>
    <row r="11934" s="142" customFormat="1" x14ac:dyDescent="0.45"/>
    <row r="11935" s="142" customFormat="1" x14ac:dyDescent="0.45"/>
    <row r="11936" s="142" customFormat="1" x14ac:dyDescent="0.45"/>
    <row r="11937" s="142" customFormat="1" x14ac:dyDescent="0.45"/>
    <row r="11938" s="142" customFormat="1" x14ac:dyDescent="0.45"/>
    <row r="11939" s="142" customFormat="1" x14ac:dyDescent="0.45"/>
    <row r="11940" s="142" customFormat="1" x14ac:dyDescent="0.45"/>
    <row r="11941" s="142" customFormat="1" x14ac:dyDescent="0.45"/>
    <row r="11942" s="142" customFormat="1" x14ac:dyDescent="0.45"/>
    <row r="11943" s="142" customFormat="1" x14ac:dyDescent="0.45"/>
    <row r="11944" s="142" customFormat="1" x14ac:dyDescent="0.45"/>
    <row r="11945" s="142" customFormat="1" x14ac:dyDescent="0.45"/>
    <row r="11946" s="142" customFormat="1" x14ac:dyDescent="0.45"/>
    <row r="11947" s="142" customFormat="1" x14ac:dyDescent="0.45"/>
    <row r="11948" s="142" customFormat="1" x14ac:dyDescent="0.45"/>
    <row r="11949" s="142" customFormat="1" x14ac:dyDescent="0.45"/>
    <row r="11950" s="142" customFormat="1" x14ac:dyDescent="0.45"/>
    <row r="11951" s="142" customFormat="1" x14ac:dyDescent="0.45"/>
    <row r="11952" s="142" customFormat="1" x14ac:dyDescent="0.45"/>
    <row r="11953" s="142" customFormat="1" x14ac:dyDescent="0.45"/>
    <row r="11954" s="142" customFormat="1" x14ac:dyDescent="0.45"/>
    <row r="11955" s="142" customFormat="1" x14ac:dyDescent="0.45"/>
    <row r="11956" s="142" customFormat="1" x14ac:dyDescent="0.45"/>
    <row r="11957" s="142" customFormat="1" x14ac:dyDescent="0.45"/>
    <row r="11958" s="142" customFormat="1" x14ac:dyDescent="0.45"/>
    <row r="11959" s="142" customFormat="1" x14ac:dyDescent="0.45"/>
    <row r="11960" s="142" customFormat="1" x14ac:dyDescent="0.45"/>
    <row r="11961" s="142" customFormat="1" x14ac:dyDescent="0.45"/>
    <row r="11962" s="142" customFormat="1" x14ac:dyDescent="0.45"/>
    <row r="11963" s="142" customFormat="1" x14ac:dyDescent="0.45"/>
    <row r="11964" s="142" customFormat="1" x14ac:dyDescent="0.45"/>
    <row r="11965" s="142" customFormat="1" x14ac:dyDescent="0.45"/>
    <row r="11966" s="142" customFormat="1" x14ac:dyDescent="0.45"/>
    <row r="11967" s="142" customFormat="1" x14ac:dyDescent="0.45"/>
    <row r="11968" s="142" customFormat="1" x14ac:dyDescent="0.45"/>
    <row r="11969" s="142" customFormat="1" x14ac:dyDescent="0.45"/>
    <row r="11970" s="142" customFormat="1" x14ac:dyDescent="0.45"/>
    <row r="11971" s="142" customFormat="1" x14ac:dyDescent="0.45"/>
    <row r="11972" s="142" customFormat="1" x14ac:dyDescent="0.45"/>
    <row r="11973" s="142" customFormat="1" x14ac:dyDescent="0.45"/>
    <row r="11974" s="142" customFormat="1" x14ac:dyDescent="0.45"/>
    <row r="11975" s="142" customFormat="1" x14ac:dyDescent="0.45"/>
    <row r="11976" s="142" customFormat="1" x14ac:dyDescent="0.45"/>
    <row r="11977" s="142" customFormat="1" x14ac:dyDescent="0.45"/>
    <row r="11978" s="142" customFormat="1" x14ac:dyDescent="0.45"/>
    <row r="11979" s="142" customFormat="1" x14ac:dyDescent="0.45"/>
    <row r="11980" s="142" customFormat="1" x14ac:dyDescent="0.45"/>
    <row r="11981" s="142" customFormat="1" x14ac:dyDescent="0.45"/>
    <row r="11982" s="142" customFormat="1" x14ac:dyDescent="0.45"/>
    <row r="11983" s="142" customFormat="1" x14ac:dyDescent="0.45"/>
    <row r="11984" s="142" customFormat="1" x14ac:dyDescent="0.45"/>
    <row r="11985" s="142" customFormat="1" x14ac:dyDescent="0.45"/>
    <row r="11986" s="142" customFormat="1" x14ac:dyDescent="0.45"/>
    <row r="11987" s="142" customFormat="1" x14ac:dyDescent="0.45"/>
    <row r="11988" s="142" customFormat="1" x14ac:dyDescent="0.45"/>
    <row r="11989" s="142" customFormat="1" x14ac:dyDescent="0.45"/>
    <row r="11990" s="142" customFormat="1" x14ac:dyDescent="0.45"/>
    <row r="11991" s="142" customFormat="1" x14ac:dyDescent="0.45"/>
    <row r="11992" s="142" customFormat="1" x14ac:dyDescent="0.45"/>
    <row r="11993" s="142" customFormat="1" x14ac:dyDescent="0.45"/>
    <row r="11994" s="142" customFormat="1" x14ac:dyDescent="0.45"/>
    <row r="11995" s="142" customFormat="1" x14ac:dyDescent="0.45"/>
    <row r="11996" s="142" customFormat="1" x14ac:dyDescent="0.45"/>
    <row r="11997" s="142" customFormat="1" x14ac:dyDescent="0.45"/>
    <row r="11998" s="142" customFormat="1" x14ac:dyDescent="0.45"/>
    <row r="11999" s="142" customFormat="1" x14ac:dyDescent="0.45"/>
    <row r="12000" s="142" customFormat="1" x14ac:dyDescent="0.45"/>
    <row r="12001" s="142" customFormat="1" x14ac:dyDescent="0.45"/>
    <row r="12002" s="142" customFormat="1" x14ac:dyDescent="0.45"/>
    <row r="12003" s="142" customFormat="1" x14ac:dyDescent="0.45"/>
    <row r="12004" s="142" customFormat="1" x14ac:dyDescent="0.45"/>
    <row r="12005" s="142" customFormat="1" x14ac:dyDescent="0.45"/>
    <row r="12006" s="142" customFormat="1" x14ac:dyDescent="0.45"/>
    <row r="12007" s="142" customFormat="1" x14ac:dyDescent="0.45"/>
    <row r="12008" s="142" customFormat="1" x14ac:dyDescent="0.45"/>
    <row r="12009" s="142" customFormat="1" x14ac:dyDescent="0.45"/>
    <row r="12010" s="142" customFormat="1" x14ac:dyDescent="0.45"/>
    <row r="12011" s="142" customFormat="1" x14ac:dyDescent="0.45"/>
    <row r="12012" s="142" customFormat="1" x14ac:dyDescent="0.45"/>
    <row r="12013" s="142" customFormat="1" x14ac:dyDescent="0.45"/>
    <row r="12014" s="142" customFormat="1" x14ac:dyDescent="0.45"/>
    <row r="12015" s="142" customFormat="1" x14ac:dyDescent="0.45"/>
    <row r="12016" s="142" customFormat="1" x14ac:dyDescent="0.45"/>
    <row r="12017" s="142" customFormat="1" x14ac:dyDescent="0.45"/>
    <row r="12018" s="142" customFormat="1" x14ac:dyDescent="0.45"/>
    <row r="12019" s="142" customFormat="1" x14ac:dyDescent="0.45"/>
    <row r="12020" s="142" customFormat="1" x14ac:dyDescent="0.45"/>
    <row r="12021" s="142" customFormat="1" x14ac:dyDescent="0.45"/>
    <row r="12022" s="142" customFormat="1" x14ac:dyDescent="0.45"/>
    <row r="12023" s="142" customFormat="1" x14ac:dyDescent="0.45"/>
    <row r="12024" s="142" customFormat="1" x14ac:dyDescent="0.45"/>
    <row r="12025" s="142" customFormat="1" x14ac:dyDescent="0.45"/>
    <row r="12026" s="142" customFormat="1" x14ac:dyDescent="0.45"/>
    <row r="12027" s="142" customFormat="1" x14ac:dyDescent="0.45"/>
    <row r="12028" s="142" customFormat="1" x14ac:dyDescent="0.45"/>
    <row r="12029" s="142" customFormat="1" x14ac:dyDescent="0.45"/>
    <row r="12030" s="142" customFormat="1" x14ac:dyDescent="0.45"/>
    <row r="12031" s="142" customFormat="1" x14ac:dyDescent="0.45"/>
    <row r="12032" s="142" customFormat="1" x14ac:dyDescent="0.45"/>
    <row r="12033" s="142" customFormat="1" x14ac:dyDescent="0.45"/>
    <row r="12034" s="142" customFormat="1" x14ac:dyDescent="0.45"/>
    <row r="12035" s="142" customFormat="1" x14ac:dyDescent="0.45"/>
    <row r="12036" s="142" customFormat="1" x14ac:dyDescent="0.45"/>
    <row r="12037" s="142" customFormat="1" x14ac:dyDescent="0.45"/>
    <row r="12038" s="142" customFormat="1" x14ac:dyDescent="0.45"/>
    <row r="12039" s="142" customFormat="1" x14ac:dyDescent="0.45"/>
    <row r="12040" s="142" customFormat="1" x14ac:dyDescent="0.45"/>
    <row r="12041" s="142" customFormat="1" x14ac:dyDescent="0.45"/>
    <row r="12042" s="142" customFormat="1" x14ac:dyDescent="0.45"/>
    <row r="12043" s="142" customFormat="1" x14ac:dyDescent="0.45"/>
    <row r="12044" s="142" customFormat="1" x14ac:dyDescent="0.45"/>
    <row r="12045" s="142" customFormat="1" x14ac:dyDescent="0.45"/>
    <row r="12046" s="142" customFormat="1" x14ac:dyDescent="0.45"/>
    <row r="12047" s="142" customFormat="1" x14ac:dyDescent="0.45"/>
    <row r="12048" s="142" customFormat="1" x14ac:dyDescent="0.45"/>
    <row r="12049" s="142" customFormat="1" x14ac:dyDescent="0.45"/>
    <row r="12050" s="142" customFormat="1" x14ac:dyDescent="0.45"/>
    <row r="12051" s="142" customFormat="1" x14ac:dyDescent="0.45"/>
    <row r="12052" s="142" customFormat="1" x14ac:dyDescent="0.45"/>
    <row r="12053" s="142" customFormat="1" x14ac:dyDescent="0.45"/>
    <row r="12054" s="142" customFormat="1" x14ac:dyDescent="0.45"/>
    <row r="12055" s="142" customFormat="1" x14ac:dyDescent="0.45"/>
    <row r="12056" s="142" customFormat="1" x14ac:dyDescent="0.45"/>
    <row r="12057" s="142" customFormat="1" x14ac:dyDescent="0.45"/>
    <row r="12058" s="142" customFormat="1" x14ac:dyDescent="0.45"/>
    <row r="12059" s="142" customFormat="1" x14ac:dyDescent="0.45"/>
    <row r="12060" s="142" customFormat="1" x14ac:dyDescent="0.45"/>
    <row r="12061" s="142" customFormat="1" x14ac:dyDescent="0.45"/>
    <row r="12062" s="142" customFormat="1" x14ac:dyDescent="0.45"/>
    <row r="12063" s="142" customFormat="1" x14ac:dyDescent="0.45"/>
    <row r="12064" s="142" customFormat="1" x14ac:dyDescent="0.45"/>
    <row r="12065" s="142" customFormat="1" x14ac:dyDescent="0.45"/>
    <row r="12066" s="142" customFormat="1" x14ac:dyDescent="0.45"/>
    <row r="12067" s="142" customFormat="1" x14ac:dyDescent="0.45"/>
    <row r="12068" s="142" customFormat="1" x14ac:dyDescent="0.45"/>
    <row r="12069" s="142" customFormat="1" x14ac:dyDescent="0.45"/>
    <row r="12070" s="142" customFormat="1" x14ac:dyDescent="0.45"/>
    <row r="12071" s="142" customFormat="1" x14ac:dyDescent="0.45"/>
    <row r="12072" s="142" customFormat="1" x14ac:dyDescent="0.45"/>
    <row r="12073" s="142" customFormat="1" x14ac:dyDescent="0.45"/>
    <row r="12074" s="142" customFormat="1" x14ac:dyDescent="0.45"/>
    <row r="12075" s="142" customFormat="1" x14ac:dyDescent="0.45"/>
    <row r="12076" s="142" customFormat="1" x14ac:dyDescent="0.45"/>
    <row r="12077" s="142" customFormat="1" x14ac:dyDescent="0.45"/>
    <row r="12078" s="142" customFormat="1" x14ac:dyDescent="0.45"/>
    <row r="12079" s="142" customFormat="1" x14ac:dyDescent="0.45"/>
    <row r="12080" s="142" customFormat="1" x14ac:dyDescent="0.45"/>
    <row r="12081" s="142" customFormat="1" x14ac:dyDescent="0.45"/>
    <row r="12082" s="142" customFormat="1" x14ac:dyDescent="0.45"/>
    <row r="12083" s="142" customFormat="1" x14ac:dyDescent="0.45"/>
    <row r="12084" s="142" customFormat="1" x14ac:dyDescent="0.45"/>
    <row r="12085" s="142" customFormat="1" x14ac:dyDescent="0.45"/>
    <row r="12086" s="142" customFormat="1" x14ac:dyDescent="0.45"/>
    <row r="12087" s="142" customFormat="1" x14ac:dyDescent="0.45"/>
    <row r="12088" s="142" customFormat="1" x14ac:dyDescent="0.45"/>
    <row r="12089" s="142" customFormat="1" x14ac:dyDescent="0.45"/>
    <row r="12090" s="142" customFormat="1" x14ac:dyDescent="0.45"/>
    <row r="12091" s="142" customFormat="1" x14ac:dyDescent="0.45"/>
    <row r="12092" s="142" customFormat="1" x14ac:dyDescent="0.45"/>
    <row r="12093" s="142" customFormat="1" x14ac:dyDescent="0.45"/>
    <row r="12094" s="142" customFormat="1" x14ac:dyDescent="0.45"/>
    <row r="12095" s="142" customFormat="1" x14ac:dyDescent="0.45"/>
    <row r="12096" s="142" customFormat="1" x14ac:dyDescent="0.45"/>
    <row r="12097" s="142" customFormat="1" x14ac:dyDescent="0.45"/>
    <row r="12098" s="142" customFormat="1" x14ac:dyDescent="0.45"/>
    <row r="12099" s="142" customFormat="1" x14ac:dyDescent="0.45"/>
    <row r="12100" s="142" customFormat="1" x14ac:dyDescent="0.45"/>
    <row r="12101" s="142" customFormat="1" x14ac:dyDescent="0.45"/>
    <row r="12102" s="142" customFormat="1" x14ac:dyDescent="0.45"/>
    <row r="12103" s="142" customFormat="1" x14ac:dyDescent="0.45"/>
    <row r="12104" s="142" customFormat="1" x14ac:dyDescent="0.45"/>
    <row r="12105" s="142" customFormat="1" x14ac:dyDescent="0.45"/>
    <row r="12106" s="142" customFormat="1" x14ac:dyDescent="0.45"/>
    <row r="12107" s="142" customFormat="1" x14ac:dyDescent="0.45"/>
    <row r="12108" s="142" customFormat="1" x14ac:dyDescent="0.45"/>
    <row r="12109" s="142" customFormat="1" x14ac:dyDescent="0.45"/>
    <row r="12110" s="142" customFormat="1" x14ac:dyDescent="0.45"/>
    <row r="12111" s="142" customFormat="1" x14ac:dyDescent="0.45"/>
    <row r="12112" s="142" customFormat="1" x14ac:dyDescent="0.45"/>
    <row r="12113" s="142" customFormat="1" x14ac:dyDescent="0.45"/>
    <row r="12114" s="142" customFormat="1" x14ac:dyDescent="0.45"/>
    <row r="12115" s="142" customFormat="1" x14ac:dyDescent="0.45"/>
    <row r="12116" s="142" customFormat="1" x14ac:dyDescent="0.45"/>
    <row r="12117" s="142" customFormat="1" x14ac:dyDescent="0.45"/>
    <row r="12118" s="142" customFormat="1" x14ac:dyDescent="0.45"/>
    <row r="12119" s="142" customFormat="1" x14ac:dyDescent="0.45"/>
    <row r="12120" s="142" customFormat="1" x14ac:dyDescent="0.45"/>
    <row r="12121" s="142" customFormat="1" x14ac:dyDescent="0.45"/>
    <row r="12122" s="142" customFormat="1" x14ac:dyDescent="0.45"/>
    <row r="12123" s="142" customFormat="1" x14ac:dyDescent="0.45"/>
    <row r="12124" s="142" customFormat="1" x14ac:dyDescent="0.45"/>
    <row r="12125" s="142" customFormat="1" x14ac:dyDescent="0.45"/>
    <row r="12126" s="142" customFormat="1" x14ac:dyDescent="0.45"/>
    <row r="12127" s="142" customFormat="1" x14ac:dyDescent="0.45"/>
    <row r="12128" s="142" customFormat="1" x14ac:dyDescent="0.45"/>
    <row r="12129" s="142" customFormat="1" x14ac:dyDescent="0.45"/>
    <row r="12130" s="142" customFormat="1" x14ac:dyDescent="0.45"/>
    <row r="12131" s="142" customFormat="1" x14ac:dyDescent="0.45"/>
    <row r="12132" s="142" customFormat="1" x14ac:dyDescent="0.45"/>
    <row r="12133" s="142" customFormat="1" x14ac:dyDescent="0.45"/>
    <row r="12134" s="142" customFormat="1" x14ac:dyDescent="0.45"/>
    <row r="12135" s="142" customFormat="1" x14ac:dyDescent="0.45"/>
    <row r="12136" s="142" customFormat="1" x14ac:dyDescent="0.45"/>
    <row r="12137" s="142" customFormat="1" x14ac:dyDescent="0.45"/>
    <row r="12138" s="142" customFormat="1" x14ac:dyDescent="0.45"/>
    <row r="12139" s="142" customFormat="1" x14ac:dyDescent="0.45"/>
    <row r="12140" s="142" customFormat="1" x14ac:dyDescent="0.45"/>
    <row r="12141" s="142" customFormat="1" x14ac:dyDescent="0.45"/>
    <row r="12142" s="142" customFormat="1" x14ac:dyDescent="0.45"/>
    <row r="12143" s="142" customFormat="1" x14ac:dyDescent="0.45"/>
    <row r="12144" s="142" customFormat="1" x14ac:dyDescent="0.45"/>
    <row r="12148" spans="8:12" x14ac:dyDescent="0.45">
      <c r="H12148" s="398"/>
      <c r="I12148" s="398"/>
      <c r="J12148" s="398"/>
      <c r="K12148" s="398"/>
      <c r="L12148" s="397"/>
    </row>
    <row r="12161" s="142" customFormat="1" x14ac:dyDescent="0.45"/>
    <row r="12162" s="142" customFormat="1" x14ac:dyDescent="0.45"/>
    <row r="12163" s="142" customFormat="1" x14ac:dyDescent="0.45"/>
    <row r="12164" s="142" customFormat="1" x14ac:dyDescent="0.45"/>
    <row r="12165" s="142" customFormat="1" x14ac:dyDescent="0.45"/>
    <row r="12166" s="142" customFormat="1" x14ac:dyDescent="0.45"/>
    <row r="12167" s="142" customFormat="1" x14ac:dyDescent="0.45"/>
    <row r="12168" s="142" customFormat="1" x14ac:dyDescent="0.45"/>
    <row r="12169" s="142" customFormat="1" x14ac:dyDescent="0.45"/>
    <row r="12170" s="142" customFormat="1" x14ac:dyDescent="0.45"/>
    <row r="12171" s="142" customFormat="1" x14ac:dyDescent="0.45"/>
    <row r="12172" s="142" customFormat="1" x14ac:dyDescent="0.45"/>
    <row r="12173" s="142" customFormat="1" x14ac:dyDescent="0.45"/>
    <row r="12174" s="142" customFormat="1" x14ac:dyDescent="0.45"/>
    <row r="12175" s="142" customFormat="1" x14ac:dyDescent="0.45"/>
    <row r="12176" s="142" customFormat="1" x14ac:dyDescent="0.45"/>
    <row r="12177" s="142" customFormat="1" x14ac:dyDescent="0.45"/>
    <row r="12178" s="142" customFormat="1" x14ac:dyDescent="0.45"/>
    <row r="12179" s="142" customFormat="1" x14ac:dyDescent="0.45"/>
    <row r="12180" s="142" customFormat="1" x14ac:dyDescent="0.45"/>
    <row r="12181" s="142" customFormat="1" x14ac:dyDescent="0.45"/>
    <row r="12182" s="142" customFormat="1" x14ac:dyDescent="0.45"/>
    <row r="12183" s="142" customFormat="1" x14ac:dyDescent="0.45"/>
    <row r="12184" s="142" customFormat="1" x14ac:dyDescent="0.45"/>
    <row r="12185" s="142" customFormat="1" x14ac:dyDescent="0.45"/>
    <row r="12186" s="142" customFormat="1" x14ac:dyDescent="0.45"/>
    <row r="12187" s="142" customFormat="1" x14ac:dyDescent="0.45"/>
    <row r="12188" s="142" customFormat="1" x14ac:dyDescent="0.45"/>
    <row r="12189" s="142" customFormat="1" x14ac:dyDescent="0.45"/>
    <row r="12190" s="142" customFormat="1" x14ac:dyDescent="0.45"/>
    <row r="12191" s="142" customFormat="1" x14ac:dyDescent="0.45"/>
    <row r="12192" s="142" customFormat="1" x14ac:dyDescent="0.45"/>
    <row r="12193" s="142" customFormat="1" x14ac:dyDescent="0.45"/>
    <row r="12194" s="142" customFormat="1" x14ac:dyDescent="0.45"/>
    <row r="12195" s="142" customFormat="1" x14ac:dyDescent="0.45"/>
    <row r="12196" s="142" customFormat="1" x14ac:dyDescent="0.45"/>
    <row r="12197" s="142" customFormat="1" x14ac:dyDescent="0.45"/>
    <row r="12198" s="142" customFormat="1" x14ac:dyDescent="0.45"/>
    <row r="12199" s="142" customFormat="1" x14ac:dyDescent="0.45"/>
    <row r="12200" s="142" customFormat="1" x14ac:dyDescent="0.45"/>
    <row r="12201" s="142" customFormat="1" x14ac:dyDescent="0.45"/>
    <row r="12202" s="142" customFormat="1" x14ac:dyDescent="0.45"/>
    <row r="12203" s="142" customFormat="1" x14ac:dyDescent="0.45"/>
    <row r="12204" s="142" customFormat="1" x14ac:dyDescent="0.45"/>
    <row r="12205" s="142" customFormat="1" x14ac:dyDescent="0.45"/>
    <row r="12206" s="142" customFormat="1" x14ac:dyDescent="0.45"/>
    <row r="12207" s="142" customFormat="1" x14ac:dyDescent="0.45"/>
    <row r="12208" s="142" customFormat="1" x14ac:dyDescent="0.45"/>
    <row r="12209" s="142" customFormat="1" x14ac:dyDescent="0.45"/>
    <row r="12210" s="142" customFormat="1" x14ac:dyDescent="0.45"/>
    <row r="12211" s="142" customFormat="1" x14ac:dyDescent="0.45"/>
    <row r="12212" s="142" customFormat="1" x14ac:dyDescent="0.45"/>
    <row r="12213" s="142" customFormat="1" x14ac:dyDescent="0.45"/>
    <row r="12214" s="142" customFormat="1" x14ac:dyDescent="0.45"/>
    <row r="12215" s="142" customFormat="1" x14ac:dyDescent="0.45"/>
    <row r="12216" s="142" customFormat="1" x14ac:dyDescent="0.45"/>
    <row r="12217" s="142" customFormat="1" x14ac:dyDescent="0.45"/>
    <row r="12218" s="142" customFormat="1" x14ac:dyDescent="0.45"/>
    <row r="12219" s="142" customFormat="1" x14ac:dyDescent="0.45"/>
    <row r="12220" s="142" customFormat="1" x14ac:dyDescent="0.45"/>
    <row r="12221" s="142" customFormat="1" x14ac:dyDescent="0.45"/>
    <row r="12222" s="142" customFormat="1" x14ac:dyDescent="0.45"/>
    <row r="12223" s="142" customFormat="1" x14ac:dyDescent="0.45"/>
    <row r="12224" s="142" customFormat="1" x14ac:dyDescent="0.45"/>
    <row r="12225" s="142" customFormat="1" x14ac:dyDescent="0.45"/>
    <row r="12226" s="142" customFormat="1" x14ac:dyDescent="0.45"/>
    <row r="12227" s="142" customFormat="1" x14ac:dyDescent="0.45"/>
    <row r="12228" s="142" customFormat="1" x14ac:dyDescent="0.45"/>
    <row r="12229" s="142" customFormat="1" x14ac:dyDescent="0.45"/>
    <row r="12230" s="142" customFormat="1" x14ac:dyDescent="0.45"/>
    <row r="12231" s="142" customFormat="1" x14ac:dyDescent="0.45"/>
    <row r="12232" s="142" customFormat="1" x14ac:dyDescent="0.45"/>
    <row r="12233" s="142" customFormat="1" x14ac:dyDescent="0.45"/>
    <row r="12234" s="142" customFormat="1" x14ac:dyDescent="0.45"/>
    <row r="12235" s="142" customFormat="1" x14ac:dyDescent="0.45"/>
    <row r="12236" s="142" customFormat="1" x14ac:dyDescent="0.45"/>
    <row r="12237" s="142" customFormat="1" x14ac:dyDescent="0.45"/>
    <row r="12238" s="142" customFormat="1" x14ac:dyDescent="0.45"/>
    <row r="12239" s="142" customFormat="1" x14ac:dyDescent="0.45"/>
    <row r="12240" s="142" customFormat="1" x14ac:dyDescent="0.45"/>
    <row r="12241" s="142" customFormat="1" x14ac:dyDescent="0.45"/>
    <row r="12242" s="142" customFormat="1" x14ac:dyDescent="0.45"/>
    <row r="12243" s="142" customFormat="1" x14ac:dyDescent="0.45"/>
    <row r="12244" s="142" customFormat="1" x14ac:dyDescent="0.45"/>
    <row r="12245" s="142" customFormat="1" x14ac:dyDescent="0.45"/>
    <row r="12246" s="142" customFormat="1" x14ac:dyDescent="0.45"/>
    <row r="12247" s="142" customFormat="1" x14ac:dyDescent="0.45"/>
    <row r="12248" s="142" customFormat="1" x14ac:dyDescent="0.45"/>
    <row r="12249" s="142" customFormat="1" x14ac:dyDescent="0.45"/>
    <row r="12250" s="142" customFormat="1" x14ac:dyDescent="0.45"/>
    <row r="12251" s="142" customFormat="1" x14ac:dyDescent="0.45"/>
    <row r="12252" s="142" customFormat="1" x14ac:dyDescent="0.45"/>
    <row r="12253" s="142" customFormat="1" x14ac:dyDescent="0.45"/>
    <row r="12254" s="142" customFormat="1" x14ac:dyDescent="0.45"/>
    <row r="12255" s="142" customFormat="1" x14ac:dyDescent="0.45"/>
    <row r="12256" s="142" customFormat="1" x14ac:dyDescent="0.45"/>
    <row r="12265" spans="8:8" x14ac:dyDescent="0.45">
      <c r="H12265" s="404"/>
    </row>
    <row r="12274" spans="8:12" x14ac:dyDescent="0.45">
      <c r="H12274" s="400"/>
      <c r="I12274" s="400"/>
      <c r="J12274" s="400"/>
      <c r="K12274" s="400"/>
      <c r="L12274" s="400"/>
    </row>
  </sheetData>
  <autoFilter ref="A1:M12561" xr:uid="{00000000-0001-0000-0600-000000000000}"/>
  <sortState xmlns:xlrd2="http://schemas.microsoft.com/office/spreadsheetml/2017/richdata2" ref="A2:M12546">
    <sortCondition ref="I2:I12546"/>
  </sortState>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C2BD21-E1AD-4DE7-AF38-64E1382D14F0}">
  <sheetPr codeName="Sheet2">
    <tabColor rgb="FF59468D"/>
  </sheetPr>
  <dimension ref="A1:D68"/>
  <sheetViews>
    <sheetView workbookViewId="0">
      <selection activeCell="B8" sqref="B8"/>
    </sheetView>
  </sheetViews>
  <sheetFormatPr defaultColWidth="0" defaultRowHeight="12.75" customHeight="1" zeroHeight="1" x14ac:dyDescent="0.35"/>
  <cols>
    <col min="1" max="1" width="9.19921875" style="5" customWidth="1"/>
    <col min="2" max="2" width="124.73046875" style="5" customWidth="1"/>
    <col min="3" max="4" width="9.19921875" style="5" customWidth="1"/>
    <col min="5" max="16384" width="9.19921875" style="5" hidden="1"/>
  </cols>
  <sheetData>
    <row r="1" spans="1:3" ht="23.25" customHeight="1" x14ac:dyDescent="0.35"/>
    <row r="2" spans="1:3" ht="23.25" customHeight="1" x14ac:dyDescent="0.8">
      <c r="B2" s="401" t="s">
        <v>42</v>
      </c>
      <c r="C2" s="239"/>
    </row>
    <row r="3" spans="1:3" ht="23.25" customHeight="1" x14ac:dyDescent="0.6">
      <c r="A3" s="177"/>
    </row>
    <row r="4" spans="1:3" ht="23.25" customHeight="1" x14ac:dyDescent="0.6">
      <c r="A4" s="177"/>
    </row>
    <row r="5" spans="1:3" ht="23.25" customHeight="1" x14ac:dyDescent="0.35"/>
    <row r="6" spans="1:3" ht="22.5" x14ac:dyDescent="0.6">
      <c r="B6" s="193" t="s">
        <v>11</v>
      </c>
    </row>
    <row r="7" spans="1:3" ht="22.5" x14ac:dyDescent="0.6">
      <c r="B7" s="193"/>
    </row>
    <row r="8" spans="1:3" ht="76.05" customHeight="1" x14ac:dyDescent="0.35">
      <c r="B8" s="282" t="s">
        <v>43</v>
      </c>
    </row>
    <row r="9" spans="1:3" x14ac:dyDescent="0.35">
      <c r="B9" s="240"/>
    </row>
    <row r="10" spans="1:3" x14ac:dyDescent="0.35">
      <c r="B10" s="240"/>
    </row>
    <row r="11" spans="1:3" ht="15" x14ac:dyDescent="0.35">
      <c r="B11" s="275" t="s">
        <v>44</v>
      </c>
    </row>
    <row r="12" spans="1:3" ht="56.2" customHeight="1" x14ac:dyDescent="0.35">
      <c r="B12" s="274" t="s">
        <v>45</v>
      </c>
    </row>
    <row r="13" spans="1:3" ht="15" x14ac:dyDescent="0.35">
      <c r="B13" s="274"/>
    </row>
    <row r="14" spans="1:3" ht="15" x14ac:dyDescent="0.35">
      <c r="B14" s="275" t="s">
        <v>46</v>
      </c>
    </row>
    <row r="15" spans="1:3" ht="30" x14ac:dyDescent="0.35">
      <c r="B15" s="274" t="s">
        <v>47</v>
      </c>
    </row>
    <row r="16" spans="1:3" ht="15" x14ac:dyDescent="0.35">
      <c r="B16" s="274"/>
    </row>
    <row r="17" spans="2:2" ht="15" x14ac:dyDescent="0.35">
      <c r="B17" s="275" t="s">
        <v>48</v>
      </c>
    </row>
    <row r="18" spans="2:2" ht="31.05" customHeight="1" x14ac:dyDescent="0.35">
      <c r="B18" s="274" t="s">
        <v>49</v>
      </c>
    </row>
    <row r="19" spans="2:2" ht="15" x14ac:dyDescent="0.35">
      <c r="B19" s="274"/>
    </row>
    <row r="20" spans="2:2" ht="15" x14ac:dyDescent="0.35">
      <c r="B20" s="275" t="s">
        <v>50</v>
      </c>
    </row>
    <row r="21" spans="2:2" ht="15" x14ac:dyDescent="0.35">
      <c r="B21" s="274" t="s">
        <v>51</v>
      </c>
    </row>
    <row r="22" spans="2:2" ht="15" x14ac:dyDescent="0.35">
      <c r="B22" s="274"/>
    </row>
    <row r="23" spans="2:2" ht="15" x14ac:dyDescent="0.35">
      <c r="B23" s="275" t="s">
        <v>52</v>
      </c>
    </row>
    <row r="24" spans="2:2" ht="15.7" customHeight="1" x14ac:dyDescent="0.35">
      <c r="B24" s="274" t="s">
        <v>53</v>
      </c>
    </row>
    <row r="25" spans="2:2" ht="15" x14ac:dyDescent="0.35">
      <c r="B25" s="274"/>
    </row>
    <row r="26" spans="2:2" ht="15" x14ac:dyDescent="0.35">
      <c r="B26" s="275" t="s">
        <v>54</v>
      </c>
    </row>
    <row r="27" spans="2:2" ht="30" x14ac:dyDescent="0.35">
      <c r="B27" s="274" t="s">
        <v>55</v>
      </c>
    </row>
    <row r="28" spans="2:2" ht="15" x14ac:dyDescent="0.35">
      <c r="B28" s="274"/>
    </row>
    <row r="29" spans="2:2" ht="15" x14ac:dyDescent="0.35">
      <c r="B29" s="275" t="s">
        <v>56</v>
      </c>
    </row>
    <row r="30" spans="2:2" ht="57" customHeight="1" x14ac:dyDescent="0.35">
      <c r="B30" s="396" t="s">
        <v>57</v>
      </c>
    </row>
    <row r="31" spans="2:2" ht="15" x14ac:dyDescent="0.35">
      <c r="B31" s="274"/>
    </row>
    <row r="32" spans="2:2" ht="15" x14ac:dyDescent="0.35">
      <c r="B32" s="275" t="s">
        <v>58</v>
      </c>
    </row>
    <row r="33" spans="2:2" ht="45" x14ac:dyDescent="0.35">
      <c r="B33" s="274" t="s">
        <v>59</v>
      </c>
    </row>
    <row r="34" spans="2:2" ht="15" x14ac:dyDescent="0.35">
      <c r="B34" s="274"/>
    </row>
    <row r="35" spans="2:2" ht="15" x14ac:dyDescent="0.35">
      <c r="B35" s="275" t="s">
        <v>60</v>
      </c>
    </row>
    <row r="36" spans="2:2" ht="60" x14ac:dyDescent="0.35">
      <c r="B36" s="274" t="s">
        <v>61</v>
      </c>
    </row>
    <row r="37" spans="2:2" ht="15" x14ac:dyDescent="0.35">
      <c r="B37" s="274"/>
    </row>
    <row r="38" spans="2:2" ht="15" x14ac:dyDescent="0.35">
      <c r="B38" s="275" t="s">
        <v>62</v>
      </c>
    </row>
    <row r="39" spans="2:2" ht="15" x14ac:dyDescent="0.35">
      <c r="B39" s="274" t="s">
        <v>63</v>
      </c>
    </row>
    <row r="40" spans="2:2" ht="15" x14ac:dyDescent="0.35">
      <c r="B40" s="274"/>
    </row>
    <row r="41" spans="2:2" ht="15" x14ac:dyDescent="0.35">
      <c r="B41" s="275" t="s">
        <v>64</v>
      </c>
    </row>
    <row r="42" spans="2:2" ht="45" x14ac:dyDescent="0.35">
      <c r="B42" s="274" t="s">
        <v>65</v>
      </c>
    </row>
    <row r="43" spans="2:2" ht="15" x14ac:dyDescent="0.35">
      <c r="B43" s="274"/>
    </row>
    <row r="44" spans="2:2" ht="15" x14ac:dyDescent="0.35">
      <c r="B44" s="275" t="s">
        <v>66</v>
      </c>
    </row>
    <row r="45" spans="2:2" ht="30" x14ac:dyDescent="0.35">
      <c r="B45" s="274" t="s">
        <v>67</v>
      </c>
    </row>
    <row r="46" spans="2:2" ht="15" x14ac:dyDescent="0.35">
      <c r="B46" s="274"/>
    </row>
    <row r="47" spans="2:2" ht="15" x14ac:dyDescent="0.35">
      <c r="B47" s="275" t="s">
        <v>68</v>
      </c>
    </row>
    <row r="48" spans="2:2" ht="30" x14ac:dyDescent="0.35">
      <c r="B48" s="274" t="s">
        <v>69</v>
      </c>
    </row>
    <row r="49" spans="2:2" ht="15" x14ac:dyDescent="0.35">
      <c r="B49" s="274"/>
    </row>
    <row r="50" spans="2:2" ht="15" x14ac:dyDescent="0.35">
      <c r="B50" s="275" t="s">
        <v>70</v>
      </c>
    </row>
    <row r="51" spans="2:2" ht="75" x14ac:dyDescent="0.35">
      <c r="B51" s="274" t="s">
        <v>71</v>
      </c>
    </row>
    <row r="52" spans="2:2" ht="15" x14ac:dyDescent="0.35">
      <c r="B52" s="274"/>
    </row>
    <row r="53" spans="2:2" ht="15" x14ac:dyDescent="0.35">
      <c r="B53" s="275" t="s">
        <v>72</v>
      </c>
    </row>
    <row r="54" spans="2:2" ht="15" x14ac:dyDescent="0.35">
      <c r="B54" s="274" t="s">
        <v>73</v>
      </c>
    </row>
    <row r="55" spans="2:2" ht="15" x14ac:dyDescent="0.35">
      <c r="B55" s="274"/>
    </row>
    <row r="56" spans="2:2" ht="15" x14ac:dyDescent="0.35">
      <c r="B56" s="275" t="s">
        <v>74</v>
      </c>
    </row>
    <row r="57" spans="2:2" ht="30" x14ac:dyDescent="0.35">
      <c r="B57" s="274" t="s">
        <v>75</v>
      </c>
    </row>
    <row r="58" spans="2:2" ht="15" x14ac:dyDescent="0.35">
      <c r="B58" s="274"/>
    </row>
    <row r="59" spans="2:2" ht="15" x14ac:dyDescent="0.35">
      <c r="B59" s="275" t="s">
        <v>76</v>
      </c>
    </row>
    <row r="60" spans="2:2" ht="30" x14ac:dyDescent="0.35">
      <c r="B60" s="274" t="s">
        <v>77</v>
      </c>
    </row>
    <row r="61" spans="2:2" ht="15" x14ac:dyDescent="0.35">
      <c r="B61" s="274"/>
    </row>
    <row r="62" spans="2:2" ht="15" x14ac:dyDescent="0.35">
      <c r="B62" s="275" t="s">
        <v>78</v>
      </c>
    </row>
    <row r="63" spans="2:2" ht="30" x14ac:dyDescent="0.35">
      <c r="B63" s="274" t="s">
        <v>79</v>
      </c>
    </row>
    <row r="64" spans="2:2" ht="15" x14ac:dyDescent="0.35">
      <c r="B64" s="274"/>
    </row>
    <row r="65" spans="2:2" ht="15" x14ac:dyDescent="0.35">
      <c r="B65" s="275" t="s">
        <v>80</v>
      </c>
    </row>
    <row r="66" spans="2:2" ht="30" x14ac:dyDescent="0.4">
      <c r="B66" s="283" t="s">
        <v>81</v>
      </c>
    </row>
    <row r="67" spans="2:2" ht="15" x14ac:dyDescent="0.35">
      <c r="B67" s="274"/>
    </row>
    <row r="68" spans="2:2" hidden="1" x14ac:dyDescent="0.35"/>
  </sheetData>
  <sheetProtection algorithmName="SHA-512" hashValue="xF+6rXb75zcpUSiMJtq8+f8DbKuZVfjDt4Jk3vB2058fnpem3U+OIWzMEE+GVH4it7JX+AyJ/iIvZ6trOjFBzQ==" saltValue="UQaIAqEnLbCR0ik9EZbHiA==" spinCount="100000" sheet="1" formatColumns="0" formatRows="0"/>
  <hyperlinks>
    <hyperlink ref="B30" r:id="rId1" display="London Affordable Rent (LAR), was introduced in 2016 by the Mayor of London. LAR units are Affordable Rent units in London let at or below the weekly rent benchmarks set by the GLA. They are included in Affordable Rent figures in the LADR collection. For more information see https://www.london.gov.uk/programmes-strategies/housing-and-land/homes-londoners-affordable-homes-programmes" xr:uid="{642A581F-46AF-4E0F-97C6-9C4BD940A89D}"/>
  </hyperlinks>
  <pageMargins left="0.7" right="0.7" top="0.75" bottom="0.75" header="0.3" footer="0.3"/>
  <headerFooter>
    <oddHeader>&amp;C&amp;"Calibri"&amp;10&amp;K000000 OFFICIAL&amp;1#_x000D_</oddHeader>
    <oddFooter>&amp;C_x000D_&amp;1#&amp;"Calibri"&amp;10&amp;K000000 OFFICIAL</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AE12A1-06EA-4800-ABD2-F3320188B0B4}">
  <sheetPr codeName="Sheet3">
    <tabColor rgb="FF59468D"/>
  </sheetPr>
  <dimension ref="A1:V28"/>
  <sheetViews>
    <sheetView workbookViewId="0">
      <selection activeCell="C9" sqref="C9"/>
    </sheetView>
  </sheetViews>
  <sheetFormatPr defaultColWidth="0" defaultRowHeight="12.75" x14ac:dyDescent="0.35"/>
  <cols>
    <col min="1" max="1" width="1.53125" style="5" customWidth="1"/>
    <col min="2" max="2" width="11" style="204" customWidth="1"/>
    <col min="3" max="3" width="24.53125" style="205" customWidth="1"/>
    <col min="4" max="4" width="101" style="205" customWidth="1"/>
    <col min="5" max="5" width="4.53125" style="205" customWidth="1"/>
    <col min="6" max="22" width="0" style="205" hidden="1" customWidth="1"/>
    <col min="23" max="16384" width="9.19921875" style="205" hidden="1"/>
  </cols>
  <sheetData>
    <row r="1" spans="2:21" s="196" customFormat="1" ht="22.5" x14ac:dyDescent="0.6">
      <c r="B1" s="432"/>
      <c r="C1" s="432"/>
      <c r="D1" s="432"/>
      <c r="E1" s="195"/>
      <c r="F1" s="195"/>
      <c r="G1" s="195"/>
      <c r="H1" s="195"/>
      <c r="I1" s="195"/>
      <c r="J1" s="195"/>
      <c r="K1" s="195"/>
      <c r="L1" s="195"/>
      <c r="M1" s="195"/>
      <c r="N1" s="195"/>
      <c r="O1" s="195"/>
      <c r="P1" s="195"/>
      <c r="Q1" s="195"/>
      <c r="R1" s="195"/>
      <c r="S1" s="195"/>
      <c r="T1" s="195"/>
    </row>
    <row r="2" spans="2:21" s="196" customFormat="1" ht="27.75" x14ac:dyDescent="0.75">
      <c r="B2" s="273"/>
      <c r="C2" s="273"/>
      <c r="D2" s="401" t="s">
        <v>42</v>
      </c>
      <c r="E2" s="5"/>
      <c r="F2" s="5"/>
      <c r="G2" s="5"/>
      <c r="H2" s="5"/>
      <c r="I2" s="5"/>
      <c r="J2" s="5"/>
      <c r="K2" s="5"/>
      <c r="L2" s="5"/>
      <c r="M2" s="5"/>
      <c r="N2" s="5"/>
      <c r="O2" s="5"/>
      <c r="P2" s="5"/>
      <c r="Q2" s="5"/>
      <c r="R2" s="5"/>
      <c r="S2" s="5"/>
      <c r="T2" s="5"/>
    </row>
    <row r="3" spans="2:21" s="196" customFormat="1" ht="30" x14ac:dyDescent="0.8">
      <c r="B3" s="273"/>
      <c r="C3" s="273"/>
      <c r="D3" s="239"/>
      <c r="E3" s="5"/>
      <c r="F3" s="5"/>
      <c r="G3" s="5"/>
      <c r="H3" s="5"/>
      <c r="I3" s="5"/>
      <c r="J3" s="5"/>
      <c r="K3" s="5"/>
      <c r="L3" s="5"/>
      <c r="M3" s="5"/>
      <c r="N3" s="5"/>
      <c r="O3" s="5"/>
      <c r="P3" s="5"/>
      <c r="Q3" s="5"/>
      <c r="R3" s="5"/>
      <c r="S3" s="5"/>
      <c r="T3" s="5"/>
    </row>
    <row r="4" spans="2:21" s="196" customFormat="1" ht="22.5" x14ac:dyDescent="0.6">
      <c r="B4" s="273"/>
      <c r="C4" s="273"/>
      <c r="D4" s="273"/>
      <c r="E4" s="5"/>
      <c r="F4" s="5"/>
      <c r="G4" s="5"/>
      <c r="H4" s="5"/>
      <c r="I4" s="5"/>
      <c r="J4" s="5"/>
      <c r="K4" s="5"/>
      <c r="L4" s="5"/>
      <c r="M4" s="5"/>
      <c r="N4" s="5"/>
      <c r="O4" s="5"/>
      <c r="P4" s="5"/>
      <c r="Q4" s="5"/>
      <c r="R4" s="5"/>
      <c r="S4" s="5"/>
      <c r="T4" s="5"/>
    </row>
    <row r="5" spans="2:21" s="196" customFormat="1" ht="22.5" x14ac:dyDescent="0.6">
      <c r="B5" s="273"/>
      <c r="C5" s="273"/>
      <c r="D5" s="273"/>
      <c r="E5" s="5"/>
      <c r="F5" s="5"/>
      <c r="G5" s="5"/>
      <c r="H5" s="5"/>
      <c r="I5" s="5"/>
      <c r="J5" s="5"/>
      <c r="K5" s="5"/>
      <c r="L5" s="5"/>
      <c r="M5" s="5"/>
      <c r="N5" s="5"/>
      <c r="O5" s="5"/>
      <c r="P5" s="5"/>
      <c r="Q5" s="5"/>
      <c r="R5" s="5"/>
      <c r="S5" s="5"/>
      <c r="T5" s="5"/>
    </row>
    <row r="6" spans="2:21" s="198" customFormat="1" ht="15" x14ac:dyDescent="0.4">
      <c r="B6" s="199"/>
      <c r="C6" s="200"/>
      <c r="D6" s="200"/>
      <c r="E6" s="201"/>
      <c r="F6" s="201"/>
      <c r="G6" s="201"/>
      <c r="H6" s="201"/>
      <c r="I6" s="202"/>
      <c r="J6" s="202"/>
      <c r="K6" s="208"/>
      <c r="L6" s="201"/>
      <c r="M6" s="201"/>
      <c r="N6" s="202"/>
      <c r="O6" s="208"/>
      <c r="P6" s="201"/>
      <c r="Q6" s="202"/>
      <c r="R6" s="208"/>
      <c r="S6" s="201"/>
      <c r="T6" s="197"/>
      <c r="U6" s="203"/>
    </row>
    <row r="7" spans="2:21" s="205" customFormat="1" ht="15" x14ac:dyDescent="0.4">
      <c r="B7" s="241" t="s">
        <v>82</v>
      </c>
      <c r="C7" s="241" t="s">
        <v>83</v>
      </c>
      <c r="D7" s="242" t="s">
        <v>84</v>
      </c>
      <c r="E7" s="204"/>
    </row>
    <row r="8" spans="2:21" s="205" customFormat="1" ht="15" x14ac:dyDescent="0.35">
      <c r="B8" s="243">
        <v>1</v>
      </c>
      <c r="C8" s="295" t="s">
        <v>85</v>
      </c>
      <c r="D8" s="245" t="s">
        <v>86</v>
      </c>
      <c r="E8" s="204"/>
    </row>
    <row r="9" spans="2:21" s="205" customFormat="1" ht="15" x14ac:dyDescent="0.35">
      <c r="B9" s="246">
        <v>1.1000000000000001</v>
      </c>
      <c r="C9" s="244" t="s">
        <v>87</v>
      </c>
      <c r="D9" s="245" t="s">
        <v>88</v>
      </c>
      <c r="E9" s="204"/>
    </row>
    <row r="10" spans="2:21" s="205" customFormat="1" ht="15" x14ac:dyDescent="0.35">
      <c r="B10" s="246"/>
      <c r="C10" s="247"/>
      <c r="D10" s="248"/>
      <c r="E10" s="204"/>
    </row>
    <row r="11" spans="2:21" s="205" customFormat="1" ht="15" x14ac:dyDescent="0.4">
      <c r="B11" s="246"/>
      <c r="C11" s="249"/>
      <c r="D11" s="250"/>
      <c r="E11" s="204"/>
    </row>
    <row r="12" spans="2:21" s="205" customFormat="1" ht="15" x14ac:dyDescent="0.4">
      <c r="B12" s="251"/>
      <c r="C12" s="252"/>
      <c r="D12" s="253"/>
      <c r="E12" s="204"/>
    </row>
    <row r="13" spans="2:21" s="205" customFormat="1" ht="15" x14ac:dyDescent="0.4">
      <c r="B13" s="254"/>
      <c r="C13" s="252"/>
      <c r="D13" s="250"/>
      <c r="E13" s="204"/>
    </row>
    <row r="14" spans="2:21" s="205" customFormat="1" ht="15" x14ac:dyDescent="0.4">
      <c r="B14" s="255"/>
      <c r="C14" s="256"/>
      <c r="D14" s="406"/>
      <c r="E14" s="204"/>
    </row>
    <row r="15" spans="2:21" s="205" customFormat="1" ht="15" x14ac:dyDescent="0.4">
      <c r="B15" s="257"/>
      <c r="C15" s="252"/>
      <c r="D15" s="252"/>
    </row>
    <row r="16" spans="2:21" s="205" customFormat="1" ht="15" x14ac:dyDescent="0.4">
      <c r="B16" s="257"/>
      <c r="C16" s="252"/>
      <c r="D16" s="252"/>
    </row>
    <row r="17" spans="1:4" ht="15" x14ac:dyDescent="0.4">
      <c r="B17" s="257"/>
      <c r="C17" s="252"/>
      <c r="D17" s="252"/>
    </row>
    <row r="18" spans="1:4" ht="15" x14ac:dyDescent="0.4">
      <c r="B18" s="257"/>
      <c r="C18" s="252"/>
      <c r="D18" s="252"/>
    </row>
    <row r="19" spans="1:4" ht="15" x14ac:dyDescent="0.4">
      <c r="B19" s="258" t="s">
        <v>89</v>
      </c>
      <c r="C19" s="252"/>
      <c r="D19" s="252"/>
    </row>
    <row r="20" spans="1:4" s="206" customFormat="1" ht="15" x14ac:dyDescent="0.4">
      <c r="A20" s="5"/>
      <c r="B20" s="259" t="s">
        <v>90</v>
      </c>
      <c r="C20" s="260"/>
      <c r="D20" s="260"/>
    </row>
    <row r="21" spans="1:4" s="206" customFormat="1" ht="15" x14ac:dyDescent="0.4">
      <c r="A21" s="5"/>
      <c r="B21" s="176" t="s">
        <v>39</v>
      </c>
      <c r="C21" s="260"/>
      <c r="D21" s="260"/>
    </row>
    <row r="22" spans="1:4" s="206" customFormat="1" ht="15" x14ac:dyDescent="0.4">
      <c r="A22" s="5"/>
      <c r="B22" s="259"/>
      <c r="C22" s="260"/>
      <c r="D22" s="260"/>
    </row>
    <row r="23" spans="1:4" s="206" customFormat="1" ht="15" x14ac:dyDescent="0.4">
      <c r="A23" s="5"/>
      <c r="B23" s="261" t="s">
        <v>40</v>
      </c>
      <c r="C23" s="260"/>
      <c r="D23" s="260"/>
    </row>
    <row r="24" spans="1:4" ht="15" x14ac:dyDescent="0.4">
      <c r="B24" s="160" t="s">
        <v>41</v>
      </c>
      <c r="C24" s="252"/>
      <c r="D24" s="252"/>
    </row>
    <row r="25" spans="1:4" ht="15" x14ac:dyDescent="0.4">
      <c r="B25" s="174"/>
      <c r="C25" s="252"/>
      <c r="D25" s="252"/>
    </row>
    <row r="26" spans="1:4" ht="15" x14ac:dyDescent="0.4">
      <c r="B26" s="257"/>
      <c r="C26" s="252"/>
      <c r="D26" s="252"/>
    </row>
    <row r="27" spans="1:4" ht="15" x14ac:dyDescent="0.4">
      <c r="B27" s="257"/>
      <c r="C27" s="252"/>
      <c r="D27" s="252"/>
    </row>
    <row r="28" spans="1:4" ht="15" x14ac:dyDescent="0.4">
      <c r="B28" s="257"/>
      <c r="C28" s="252"/>
      <c r="D28" s="252"/>
    </row>
  </sheetData>
  <sheetProtection algorithmName="SHA-512" hashValue="gKjlgsRBFB1E/7egWmPjPQaCYRw1+Ux8pMe27UcLshl7x0NBsE559OaywS+VVC+5YOShn9g62Bm/dERuu8UIRA==" saltValue="VFWyYgPQMHmE2PEqMFNuIA==" spinCount="100000" sheet="1" objects="1" scenarios="1"/>
  <mergeCells count="1">
    <mergeCell ref="B1:D1"/>
  </mergeCells>
  <hyperlinks>
    <hyperlink ref="B21" r:id="rId1" xr:uid="{52C56792-8711-452A-AE40-8D967C7AEA8D}"/>
  </hyperlinks>
  <pageMargins left="0.7" right="0.7" top="0.75" bottom="0.75" header="0.3" footer="0.3"/>
  <headerFooter>
    <oddHeader>&amp;C&amp;"Calibri"&amp;10&amp;K000000 OFFICIAL&amp;1#_x000D_</oddHeader>
    <oddFooter>&amp;C_x000D_&amp;1#&amp;"Calibri"&amp;10&amp;K000000 OFFICIAL</oddFooter>
  </headerFooter>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118EDD-C24A-463D-A485-FC9494E12D1E}">
  <sheetPr codeName="Sheet12">
    <tabColor rgb="FF97D88A"/>
  </sheetPr>
  <dimension ref="A1:AE304"/>
  <sheetViews>
    <sheetView zoomScaleNormal="100" workbookViewId="0">
      <pane ySplit="6" topLeftCell="A7" activePane="bottomLeft" state="frozen"/>
      <selection activeCell="B3" sqref="B3:Q3"/>
      <selection pane="bottomLeft" activeCell="E3" sqref="E3:G3"/>
    </sheetView>
  </sheetViews>
  <sheetFormatPr defaultColWidth="0" defaultRowHeight="13.5" zeroHeight="1" x14ac:dyDescent="0.35"/>
  <cols>
    <col min="1" max="1" width="4" style="66" customWidth="1"/>
    <col min="2" max="2" width="22.73046875" style="301" customWidth="1"/>
    <col min="3" max="7" width="14.19921875" style="301" customWidth="1"/>
    <col min="8" max="8" width="3.19921875" style="301" customWidth="1"/>
    <col min="9" max="9" width="30" style="301" customWidth="1"/>
    <col min="10" max="14" width="12.19921875" style="301" customWidth="1"/>
    <col min="15" max="15" width="8.19921875" style="301" customWidth="1"/>
    <col min="16" max="16" width="11.19921875" style="301" hidden="1" customWidth="1"/>
    <col min="17" max="17" width="12.796875" style="301" hidden="1" customWidth="1"/>
    <col min="18" max="25" width="9.19921875" style="301" hidden="1" customWidth="1"/>
    <col min="26" max="27" width="14.53125" style="301" hidden="1" customWidth="1"/>
    <col min="28" max="28" width="20.796875" style="301" hidden="1" customWidth="1"/>
    <col min="29" max="29" width="14.796875" style="301" hidden="1" customWidth="1"/>
    <col min="30" max="30" width="17.53125" style="301" hidden="1" customWidth="1"/>
    <col min="31" max="31" width="14.19921875" style="301" hidden="1" customWidth="1"/>
    <col min="32" max="16384" width="9.19921875" style="301" hidden="1"/>
  </cols>
  <sheetData>
    <row r="1" spans="1:17" s="296" customFormat="1" ht="27.75" x14ac:dyDescent="0.35">
      <c r="A1" s="59"/>
      <c r="B1" s="438" t="s">
        <v>91</v>
      </c>
      <c r="C1" s="438"/>
      <c r="D1" s="438"/>
      <c r="E1" s="438"/>
      <c r="F1" s="438"/>
      <c r="G1" s="438"/>
      <c r="H1" s="438"/>
      <c r="I1" s="438"/>
      <c r="J1" s="438"/>
      <c r="K1" s="438"/>
      <c r="L1" s="438"/>
      <c r="M1" s="438"/>
      <c r="N1" s="438"/>
    </row>
    <row r="2" spans="1:17" s="296" customFormat="1" ht="13.9" thickBot="1" x14ac:dyDescent="0.4">
      <c r="A2" s="59"/>
      <c r="B2" s="211"/>
      <c r="H2" s="297"/>
    </row>
    <row r="3" spans="1:17" s="296" customFormat="1" ht="13.9" thickBot="1" x14ac:dyDescent="0.4">
      <c r="A3" s="59"/>
      <c r="B3" s="212"/>
      <c r="C3" s="61"/>
      <c r="D3" s="279" t="s">
        <v>92</v>
      </c>
      <c r="E3" s="453"/>
      <c r="F3" s="454"/>
      <c r="G3" s="455"/>
      <c r="H3" s="62"/>
      <c r="I3" s="280" t="s">
        <v>93</v>
      </c>
      <c r="J3" s="62" t="str">
        <f>IFERROR(IF(LookupMaster="","",_xlfn.XLOOKUP(LookupMaster,LA_REG_LOOKUP[LA],LA_REG_LOOKUP[REG],"",0)),"")</f>
        <v/>
      </c>
      <c r="N3" s="62"/>
    </row>
    <row r="4" spans="1:17" s="296" customFormat="1" x14ac:dyDescent="0.35">
      <c r="A4" s="59"/>
      <c r="B4" s="63"/>
      <c r="C4" s="212"/>
      <c r="D4" s="279" t="s">
        <v>94</v>
      </c>
      <c r="E4" s="278" t="str" cm="1">
        <f t="array" ref="E4">IFERROR(IF(LookupMaster="","Please select an LA area in the box above",_xlfn.XLOOKUP(LookupMaster,RP_Counts[[#All],[Area]],RP_Counts[[#All],[RP_count]],"",0)),"")</f>
        <v>Please select an LA area in the box above</v>
      </c>
      <c r="F4" s="298"/>
      <c r="H4" s="62"/>
      <c r="I4" s="279" t="s">
        <v>95</v>
      </c>
      <c r="J4" s="278" t="str">
        <f>IFERROR(IF(J3="","",_xlfn.XLOOKUP(J3,LA_RP_COUNTS[Area],LA_RP_COUNTS[RP_Count_inc_LARPs],"",0)),"")</f>
        <v/>
      </c>
      <c r="K4" s="451" t="s">
        <v>96</v>
      </c>
      <c r="L4" s="451"/>
      <c r="M4" s="451"/>
      <c r="N4" s="62"/>
      <c r="P4" s="60" t="s">
        <v>97</v>
      </c>
    </row>
    <row r="5" spans="1:17" s="296" customFormat="1" ht="13.9" x14ac:dyDescent="0.35">
      <c r="A5" s="59"/>
      <c r="B5" s="64"/>
      <c r="D5" s="279" t="s">
        <v>98</v>
      </c>
      <c r="E5" s="60" t="str">
        <f>IFERROR(IF($E$3="Please select a local authority area.","",(IF($P$5&lt;&gt;"No","Yes","No"))),"")</f>
        <v>Yes</v>
      </c>
      <c r="H5" s="62"/>
      <c r="I5" s="279" t="s">
        <v>99</v>
      </c>
      <c r="J5" s="180" t="str">
        <f>IFERROR(IF(LookupMaster="","",_xlfn.XLOOKUP($J$3,LARP_COUNTS[GOR],LARP_COUNTS[LARP_Count],"",0)),"")</f>
        <v/>
      </c>
      <c r="K5" s="452" t="s">
        <v>100</v>
      </c>
      <c r="L5" s="452"/>
      <c r="M5" s="452"/>
      <c r="N5" s="62"/>
      <c r="P5" s="65" t="str">
        <f>IF(LookupMaster="","",(_xlfn.XLOOKUP(LookupMaster,LARP_REG_LOOKUP[Organisation Name],LARP_REG_LOOKUP[Organisation Name],"No",0)))</f>
        <v/>
      </c>
    </row>
    <row r="6" spans="1:17" s="296" customFormat="1" x14ac:dyDescent="0.35">
      <c r="A6" s="64"/>
      <c r="B6" s="299"/>
      <c r="C6" s="300"/>
      <c r="D6" s="300"/>
      <c r="E6" s="300"/>
    </row>
    <row r="7" spans="1:17" ht="13.9" x14ac:dyDescent="0.4">
      <c r="B7" s="100" t="str">
        <f>IF($E$5="No","The LARP section is blank because there is no LARP in the "&amp;$E$3&amp;" area.",IF($E$21=0,"This LARP is registered but does not currently own any stock.",""))</f>
        <v>This LARP is registered but does not currently own any stock.</v>
      </c>
      <c r="C7" s="67"/>
      <c r="D7" s="68"/>
      <c r="E7" s="68"/>
      <c r="F7" s="68"/>
      <c r="G7" s="68"/>
      <c r="H7" s="69"/>
      <c r="I7" s="70"/>
      <c r="J7" s="70"/>
      <c r="K7" s="70"/>
      <c r="L7" s="70"/>
      <c r="M7" s="70"/>
    </row>
    <row r="8" spans="1:17" ht="13.9" x14ac:dyDescent="0.4">
      <c r="A8" s="439">
        <v>1</v>
      </c>
      <c r="B8" s="440" t="str">
        <f>IF($E$3="","Total social units by provision type","Total social units by provision type in "&amp;$E$3)</f>
        <v>Total social units by provision type</v>
      </c>
      <c r="C8" s="441"/>
      <c r="D8" s="441"/>
      <c r="E8" s="441"/>
      <c r="F8" s="441"/>
      <c r="G8" s="442"/>
      <c r="H8" s="213"/>
      <c r="K8" s="70"/>
      <c r="L8" s="70"/>
      <c r="M8" s="70"/>
      <c r="P8" s="302" t="str">
        <f>IF(E3="","","Total low cost rental units by provision type")</f>
        <v/>
      </c>
    </row>
    <row r="9" spans="1:17" ht="13.9" x14ac:dyDescent="0.4">
      <c r="A9" s="439"/>
      <c r="B9" s="443"/>
      <c r="C9" s="444"/>
      <c r="D9" s="444"/>
      <c r="E9" s="444"/>
      <c r="F9" s="444"/>
      <c r="G9" s="445"/>
      <c r="K9" s="70"/>
      <c r="L9" s="70"/>
      <c r="M9" s="70"/>
    </row>
    <row r="10" spans="1:17" ht="13.9" x14ac:dyDescent="0.4">
      <c r="A10" s="72"/>
      <c r="B10" s="446"/>
      <c r="C10" s="444"/>
      <c r="D10" s="444"/>
      <c r="E10" s="444"/>
      <c r="F10" s="444"/>
      <c r="G10" s="445"/>
      <c r="K10" s="70"/>
      <c r="L10" s="70"/>
      <c r="M10" s="70"/>
    </row>
    <row r="11" spans="1:17" ht="13.9" x14ac:dyDescent="0.4">
      <c r="B11" s="303"/>
      <c r="C11" s="304"/>
      <c r="D11" s="304"/>
      <c r="E11" s="304"/>
      <c r="F11" s="305"/>
      <c r="G11" s="306"/>
      <c r="K11" s="70"/>
      <c r="L11" s="70"/>
      <c r="M11" s="70"/>
      <c r="P11" s="301" t="s">
        <v>101</v>
      </c>
      <c r="Q11" s="307" t="str">
        <f>IF(G15=0,"",G15)</f>
        <v/>
      </c>
    </row>
    <row r="12" spans="1:17" ht="13.9" x14ac:dyDescent="0.4">
      <c r="B12" s="308"/>
      <c r="G12" s="73" t="s">
        <v>102</v>
      </c>
      <c r="K12" s="70"/>
      <c r="L12" s="70"/>
      <c r="M12" s="70"/>
      <c r="P12" s="301" t="s">
        <v>103</v>
      </c>
      <c r="Q12" s="307" t="str">
        <f>IF(G18=0,"",G18)</f>
        <v/>
      </c>
    </row>
    <row r="13" spans="1:17" ht="13.9" x14ac:dyDescent="0.4">
      <c r="B13" s="309"/>
      <c r="E13" s="232" t="s">
        <v>104</v>
      </c>
      <c r="F13" s="310" t="s">
        <v>105</v>
      </c>
      <c r="G13" s="233" t="s">
        <v>106</v>
      </c>
      <c r="K13" s="70"/>
      <c r="L13" s="70"/>
      <c r="M13" s="70"/>
      <c r="P13" s="301" t="s">
        <v>58</v>
      </c>
      <c r="Q13" s="307" t="str">
        <f>IF(G19=0,"",G19)</f>
        <v/>
      </c>
    </row>
    <row r="14" spans="1:17" ht="3" customHeight="1" x14ac:dyDescent="0.4">
      <c r="B14" s="141"/>
      <c r="C14" s="141"/>
      <c r="D14" s="141"/>
      <c r="E14" s="236"/>
      <c r="F14" s="237"/>
      <c r="G14" s="238"/>
      <c r="I14" s="70"/>
      <c r="J14" s="70"/>
      <c r="K14" s="70"/>
      <c r="L14" s="70"/>
      <c r="M14" s="70"/>
    </row>
    <row r="15" spans="1:17" ht="13.9" x14ac:dyDescent="0.4">
      <c r="B15" s="218" t="s">
        <v>60</v>
      </c>
      <c r="C15" s="219" t="s">
        <v>101</v>
      </c>
      <c r="D15" s="220"/>
      <c r="E15" s="267">
        <f>IFERROR(SUM(E16:E17),"")</f>
        <v>0</v>
      </c>
      <c r="F15" s="311">
        <f t="shared" ref="F15" si="0">SUM(F16:F17)</f>
        <v>0</v>
      </c>
      <c r="G15" s="74">
        <f>SUM($E$15,$F$15)</f>
        <v>0</v>
      </c>
      <c r="K15" s="70"/>
      <c r="L15" s="70"/>
      <c r="M15" s="70"/>
      <c r="P15" s="214"/>
      <c r="Q15" s="214"/>
    </row>
    <row r="16" spans="1:17" ht="13.9" x14ac:dyDescent="0.4">
      <c r="B16" s="221"/>
      <c r="C16" s="75" t="s">
        <v>107</v>
      </c>
      <c r="D16" s="76"/>
      <c r="E16" s="402">
        <f>_xlfn.XLOOKUP(LookupMaster&amp;"GNAGGSC",FLAT_FILE[Concat],FLAT_FILE[LADR_Own],0,0)</f>
        <v>0</v>
      </c>
      <c r="F16" s="402">
        <f>_xlfn.XLOOKUP(LookupMaster&amp;"GNAGGSC",FLAT_FILE[Concat],FLAT_FILE[SDR_Own],0,0)</f>
        <v>0</v>
      </c>
      <c r="G16" s="312">
        <f>SUM(E16:F16)</f>
        <v>0</v>
      </c>
      <c r="K16" s="70"/>
      <c r="L16" s="70"/>
      <c r="M16" s="70"/>
      <c r="P16" s="214"/>
      <c r="Q16" s="214"/>
    </row>
    <row r="17" spans="1:7" x14ac:dyDescent="0.35">
      <c r="B17" s="221"/>
      <c r="C17" s="313" t="s">
        <v>108</v>
      </c>
      <c r="D17" s="314"/>
      <c r="E17" s="315">
        <f>_xlfn.XLOOKUP(LookupMaster&amp;"GNAGGNSC",FLAT_FILE[Concat],FLAT_FILE[LADR_Own],0,0)</f>
        <v>0</v>
      </c>
      <c r="F17" s="315">
        <f>_xlfn.XLOOKUP(LookupMaster&amp;"GNAGGNSC",FLAT_FILE[Concat],FLAT_FILE[SDR_Own],0,0)</f>
        <v>0</v>
      </c>
      <c r="G17" s="316">
        <f t="shared" ref="G17:G19" si="1">SUM(E17:F17)</f>
        <v>0</v>
      </c>
    </row>
    <row r="18" spans="1:7" ht="29.2" customHeight="1" x14ac:dyDescent="0.35">
      <c r="B18" s="221"/>
      <c r="C18" s="447" t="s">
        <v>103</v>
      </c>
      <c r="D18" s="448"/>
      <c r="E18" s="269">
        <f>_xlfn.XLOOKUP(LookupMaster&amp;"SHHOPAGGNA",FLAT_FILE[Concat],FLAT_FILE[LADR_Own],0,0)</f>
        <v>0</v>
      </c>
      <c r="F18" s="403">
        <f>_xlfn.XLOOKUP(LookupMaster&amp;"SHHOPAGGNA",FLAT_FILE[Concat],FLAT_FILE[SDR_Own],0,0)</f>
        <v>0</v>
      </c>
      <c r="G18" s="77">
        <f>SUM(E18:F18)</f>
        <v>0</v>
      </c>
    </row>
    <row r="19" spans="1:7" x14ac:dyDescent="0.35">
      <c r="B19" s="219" t="s">
        <v>58</v>
      </c>
      <c r="C19" s="78"/>
      <c r="D19" s="220"/>
      <c r="E19" s="268">
        <f>_xlfn.XLOOKUP(LookupMaster&amp;"LCHO",FLAT_FILE[Concat],FLAT_FILE[LADR_Own],0,0)</f>
        <v>0</v>
      </c>
      <c r="F19" s="311">
        <f>_xlfn.XLOOKUP(LookupMaster&amp;"LCHO",FLAT_FILE[Concat],FLAT_FILE[SDR_Own],0,0)</f>
        <v>0</v>
      </c>
      <c r="G19" s="79">
        <f t="shared" si="1"/>
        <v>0</v>
      </c>
    </row>
    <row r="20" spans="1:7" x14ac:dyDescent="0.35">
      <c r="B20" s="317"/>
      <c r="C20" s="318"/>
      <c r="D20" s="319"/>
      <c r="E20" s="320"/>
      <c r="F20" s="321"/>
      <c r="G20" s="322"/>
    </row>
    <row r="21" spans="1:7" ht="13.9" x14ac:dyDescent="0.4">
      <c r="B21" s="323" t="str">
        <f>"Total "&amp;$E$3</f>
        <v xml:space="preserve">Total </v>
      </c>
      <c r="C21" s="319"/>
      <c r="D21" s="319"/>
      <c r="E21" s="324">
        <f>IFERROR(SUM($E$15,$E$18:$E$19),"")</f>
        <v>0</v>
      </c>
      <c r="F21" s="325">
        <f>SUM($F$15,$F$18:$F$19)</f>
        <v>0</v>
      </c>
      <c r="G21" s="326">
        <f>SUM(E21:F21)</f>
        <v>0</v>
      </c>
    </row>
    <row r="22" spans="1:7" ht="13.9" x14ac:dyDescent="0.4">
      <c r="A22" s="433"/>
      <c r="B22" s="323"/>
      <c r="C22" s="319"/>
      <c r="D22" s="319"/>
      <c r="E22" s="327"/>
      <c r="F22" s="321"/>
      <c r="G22" s="328"/>
    </row>
    <row r="23" spans="1:7" ht="13.9" x14ac:dyDescent="0.4">
      <c r="A23" s="434"/>
      <c r="B23" s="80" t="str">
        <f>J3</f>
        <v/>
      </c>
      <c r="C23" s="81"/>
      <c r="D23" s="319"/>
      <c r="E23" s="181" t="str">
        <f>_xlfn.XLOOKUP(B23&amp;"TotalTotal",FLAT_FILE[Concat],FLAT_FILE[LADR_Own],"",0)</f>
        <v/>
      </c>
      <c r="F23" s="181" t="str">
        <f>_xlfn.XLOOKUP(B23&amp;"TotalTotal",FLAT_FILE[Concat],FLAT_FILE[SDR_Own],"",0)</f>
        <v/>
      </c>
      <c r="G23" s="182">
        <f>SUM(E23:F23)</f>
        <v>0</v>
      </c>
    </row>
    <row r="24" spans="1:7" ht="13.9" x14ac:dyDescent="0.4">
      <c r="B24" s="323"/>
      <c r="C24" s="329"/>
      <c r="D24" s="319"/>
      <c r="E24" s="327"/>
      <c r="F24" s="321"/>
      <c r="G24" s="328"/>
    </row>
    <row r="25" spans="1:7" ht="13.9" x14ac:dyDescent="0.4">
      <c r="B25" s="80" t="s">
        <v>109</v>
      </c>
      <c r="C25" s="319"/>
      <c r="D25" s="319"/>
      <c r="E25" s="327">
        <f>_xlfn.XLOOKUP(B25&amp;"TotalTotal",FLAT_FILE[Concat],FLAT_FILE[LADR_Own],0,0)</f>
        <v>1567512</v>
      </c>
      <c r="F25" s="270">
        <f>_xlfn.XLOOKUP(B25&amp;"TotalTotal",FLAT_FILE[Concat],FLAT_FILE[SDR_Own],0,0)</f>
        <v>2965543</v>
      </c>
      <c r="G25" s="82">
        <f>SUM(E25:F25)</f>
        <v>4533055</v>
      </c>
    </row>
    <row r="26" spans="1:7" x14ac:dyDescent="0.35">
      <c r="B26" s="83" t="s">
        <v>110</v>
      </c>
      <c r="C26" s="222"/>
      <c r="D26" s="222"/>
      <c r="E26" s="223"/>
      <c r="F26" s="84"/>
      <c r="G26" s="85"/>
    </row>
    <row r="27" spans="1:7" x14ac:dyDescent="0.35">
      <c r="B27" s="330" t="s">
        <v>111</v>
      </c>
      <c r="C27" s="319"/>
      <c r="D27" s="319"/>
      <c r="E27" s="331"/>
      <c r="F27" s="331"/>
      <c r="G27" s="332"/>
    </row>
    <row r="28" spans="1:7" ht="13.9" x14ac:dyDescent="0.4">
      <c r="B28" s="100" t="str">
        <f>IF($E$5="No","The LARP section is blank because there is no LARP in the "&amp;$E$3&amp;" area.",IF($E$21=0,"This LARP is registered but does not currently own any stock.",""))</f>
        <v>This LARP is registered but does not currently own any stock.</v>
      </c>
    </row>
    <row r="29" spans="1:7" x14ac:dyDescent="0.35">
      <c r="A29" s="439">
        <v>2</v>
      </c>
      <c r="B29" s="440" t="str">
        <f>IF($E$3="","Total social units by provision type","Total social units by provision type in "&amp;$E$3)</f>
        <v>Total social units by provision type</v>
      </c>
      <c r="C29" s="441"/>
      <c r="D29" s="441"/>
      <c r="E29" s="441"/>
      <c r="F29" s="441"/>
      <c r="G29" s="442"/>
    </row>
    <row r="30" spans="1:7" x14ac:dyDescent="0.35">
      <c r="A30" s="439"/>
      <c r="B30" s="443"/>
      <c r="C30" s="444"/>
      <c r="D30" s="444"/>
      <c r="E30" s="444"/>
      <c r="F30" s="444"/>
      <c r="G30" s="445"/>
    </row>
    <row r="31" spans="1:7" x14ac:dyDescent="0.35">
      <c r="B31" s="446"/>
      <c r="C31" s="444"/>
      <c r="D31" s="444"/>
      <c r="E31" s="444"/>
      <c r="F31" s="444"/>
      <c r="G31" s="445"/>
    </row>
    <row r="32" spans="1:7" ht="13.9" x14ac:dyDescent="0.4">
      <c r="B32" s="333" t="str">
        <f>B29</f>
        <v>Total social units by provision type</v>
      </c>
      <c r="C32" s="304"/>
      <c r="D32" s="304"/>
      <c r="E32" s="334"/>
      <c r="F32" s="87"/>
      <c r="G32" s="306"/>
    </row>
    <row r="33" spans="1:17" ht="13.9" x14ac:dyDescent="0.4">
      <c r="B33" s="308"/>
      <c r="E33" s="449" t="s">
        <v>112</v>
      </c>
      <c r="F33" s="450"/>
      <c r="G33" s="335"/>
      <c r="K33" s="86"/>
      <c r="L33" s="70"/>
      <c r="M33" s="70"/>
      <c r="P33" s="88"/>
    </row>
    <row r="34" spans="1:17" ht="13.9" x14ac:dyDescent="0.4">
      <c r="B34" s="309"/>
      <c r="E34" s="234" t="s">
        <v>104</v>
      </c>
      <c r="F34" s="336" t="s">
        <v>105</v>
      </c>
      <c r="G34" s="337" t="s">
        <v>106</v>
      </c>
      <c r="K34" s="86"/>
      <c r="L34" s="70"/>
      <c r="M34" s="70"/>
      <c r="P34" s="89"/>
    </row>
    <row r="35" spans="1:17" ht="3" customHeight="1" x14ac:dyDescent="0.4">
      <c r="B35" s="141"/>
      <c r="C35" s="141"/>
      <c r="D35" s="141"/>
      <c r="E35" s="236"/>
      <c r="F35" s="237"/>
      <c r="G35" s="238"/>
      <c r="I35" s="70"/>
      <c r="J35" s="70"/>
      <c r="K35" s="70"/>
      <c r="L35" s="70"/>
      <c r="M35" s="70"/>
    </row>
    <row r="36" spans="1:17" ht="13.9" x14ac:dyDescent="0.4">
      <c r="A36" s="301"/>
      <c r="B36" s="218" t="s">
        <v>60</v>
      </c>
      <c r="C36" s="219" t="s">
        <v>101</v>
      </c>
      <c r="D36" s="220"/>
      <c r="E36" s="90">
        <f>IF(E5="No","",IFERROR((E15/G15),0))</f>
        <v>0</v>
      </c>
      <c r="F36" s="91">
        <f>IFERROR((F15/G15),0)</f>
        <v>0</v>
      </c>
      <c r="G36" s="338">
        <f>IFERROR((G15/G15),G15)</f>
        <v>0</v>
      </c>
      <c r="K36" s="86"/>
      <c r="L36" s="70"/>
      <c r="M36" s="70"/>
      <c r="P36" s="339" t="s">
        <v>104</v>
      </c>
      <c r="Q36" s="339" t="s">
        <v>105</v>
      </c>
    </row>
    <row r="37" spans="1:17" ht="13.9" x14ac:dyDescent="0.4">
      <c r="A37" s="301"/>
      <c r="B37" s="221"/>
      <c r="C37" s="75" t="s">
        <v>107</v>
      </c>
      <c r="D37" s="76"/>
      <c r="E37" s="92">
        <f>IF(E5="No","",IFERROR((E16/G16),0))</f>
        <v>0</v>
      </c>
      <c r="F37" s="93">
        <f>IFERROR((F16/G16),0)</f>
        <v>0</v>
      </c>
      <c r="G37" s="340">
        <f>IFERROR((G16/G16),G16)</f>
        <v>0</v>
      </c>
      <c r="K37" s="86"/>
      <c r="L37" s="70"/>
      <c r="M37" s="70"/>
      <c r="P37" s="341">
        <f>'Area Summary'!$E$40</f>
        <v>0</v>
      </c>
      <c r="Q37" s="341">
        <f>'Area Summary'!$F$40</f>
        <v>0</v>
      </c>
    </row>
    <row r="38" spans="1:17" ht="13.9" x14ac:dyDescent="0.4">
      <c r="A38" s="301"/>
      <c r="B38" s="221"/>
      <c r="C38" s="313" t="s">
        <v>108</v>
      </c>
      <c r="D38" s="314"/>
      <c r="E38" s="94">
        <f>IF(E5="No","",IFERROR((E17/G17),0))</f>
        <v>0</v>
      </c>
      <c r="F38" s="342">
        <f>IFERROR((F17/G17),0)</f>
        <v>0</v>
      </c>
      <c r="G38" s="343">
        <f>IFERROR((G17/G17),G17)</f>
        <v>0</v>
      </c>
      <c r="K38" s="86"/>
      <c r="L38" s="70"/>
      <c r="M38" s="70"/>
      <c r="P38" s="341">
        <f>'Area Summary'!$E$39</f>
        <v>0</v>
      </c>
      <c r="Q38" s="341">
        <f>'Area Summary'!$F$39</f>
        <v>0</v>
      </c>
    </row>
    <row r="39" spans="1:17" ht="29.2" customHeight="1" x14ac:dyDescent="0.4">
      <c r="A39" s="301"/>
      <c r="B39" s="221"/>
      <c r="C39" s="447" t="s">
        <v>103</v>
      </c>
      <c r="D39" s="448"/>
      <c r="E39" s="90">
        <f>IF(E5="no","",IFERROR((E18/G18),0))</f>
        <v>0</v>
      </c>
      <c r="F39" s="91">
        <f>IFERROR((F18/G18),0)</f>
        <v>0</v>
      </c>
      <c r="G39" s="344">
        <f>IFERROR((G18/G18),G18)</f>
        <v>0</v>
      </c>
      <c r="K39" s="86"/>
      <c r="L39" s="70"/>
      <c r="M39" s="70"/>
      <c r="P39" s="341">
        <f>'Area Summary'!$E$38</f>
        <v>0</v>
      </c>
      <c r="Q39" s="341">
        <f>'Area Summary'!$F$38</f>
        <v>0</v>
      </c>
    </row>
    <row r="40" spans="1:17" ht="13.9" x14ac:dyDescent="0.4">
      <c r="A40" s="301"/>
      <c r="B40" s="219" t="s">
        <v>58</v>
      </c>
      <c r="C40" s="78"/>
      <c r="D40" s="220"/>
      <c r="E40" s="90">
        <f>IF(E5="no","",IFERROR((E19/G19),0))</f>
        <v>0</v>
      </c>
      <c r="F40" s="91">
        <f>IFERROR((F19/G19),0)</f>
        <v>0</v>
      </c>
      <c r="G40" s="95">
        <f>IFERROR((G19/G19),G19)</f>
        <v>0</v>
      </c>
      <c r="K40" s="86"/>
      <c r="L40" s="70"/>
      <c r="M40" s="70"/>
      <c r="P40" s="341">
        <f>'Area Summary'!$E$37</f>
        <v>0</v>
      </c>
      <c r="Q40" s="341">
        <f>'Area Summary'!$F$37</f>
        <v>0</v>
      </c>
    </row>
    <row r="41" spans="1:17" ht="13.9" x14ac:dyDescent="0.4">
      <c r="B41" s="345"/>
      <c r="C41" s="318"/>
      <c r="D41" s="346"/>
      <c r="E41" s="347"/>
      <c r="F41" s="348"/>
      <c r="G41" s="322"/>
      <c r="K41" s="86"/>
      <c r="L41" s="70"/>
      <c r="M41" s="70"/>
      <c r="P41" s="341">
        <f>'Area Summary'!$E$36</f>
        <v>0</v>
      </c>
      <c r="Q41" s="341">
        <f>'Area Summary'!$F$36</f>
        <v>0</v>
      </c>
    </row>
    <row r="42" spans="1:17" ht="13.9" x14ac:dyDescent="0.4">
      <c r="B42" s="323" t="str">
        <f>IF(E5="No","",("Total "&amp;$E$3))</f>
        <v xml:space="preserve">Total </v>
      </c>
      <c r="C42" s="346"/>
      <c r="D42" s="346"/>
      <c r="E42" s="349">
        <f>IFERROR((E21/G21),0)</f>
        <v>0</v>
      </c>
      <c r="F42" s="349">
        <f>IF(E5="No","",IFERROR((F21/G21),0))</f>
        <v>0</v>
      </c>
      <c r="G42" s="350">
        <f>IFERROR((G21/G21),G21)</f>
        <v>0</v>
      </c>
      <c r="K42" s="86"/>
      <c r="L42" s="70"/>
      <c r="M42" s="70"/>
    </row>
    <row r="43" spans="1:17" ht="13.9" x14ac:dyDescent="0.4">
      <c r="B43" s="96"/>
      <c r="E43" s="97"/>
      <c r="F43" s="98"/>
      <c r="G43" s="351"/>
      <c r="K43" s="86"/>
      <c r="L43" s="70"/>
      <c r="M43" s="70"/>
    </row>
    <row r="44" spans="1:17" ht="13.9" x14ac:dyDescent="0.4">
      <c r="B44" s="435" t="s">
        <v>113</v>
      </c>
      <c r="C44" s="436"/>
      <c r="D44" s="436"/>
      <c r="E44" s="436"/>
      <c r="F44" s="436"/>
      <c r="G44" s="437"/>
      <c r="K44" s="86"/>
      <c r="L44" s="70"/>
      <c r="M44" s="70"/>
    </row>
    <row r="45" spans="1:17" ht="13.9" x14ac:dyDescent="0.4">
      <c r="B45" s="435"/>
      <c r="C45" s="436"/>
      <c r="D45" s="436"/>
      <c r="E45" s="436"/>
      <c r="F45" s="436"/>
      <c r="G45" s="437"/>
      <c r="K45" s="86"/>
      <c r="L45" s="70"/>
      <c r="M45" s="70"/>
    </row>
    <row r="46" spans="1:17" ht="13.9" x14ac:dyDescent="0.4">
      <c r="B46" s="83" t="s">
        <v>114</v>
      </c>
      <c r="C46" s="352"/>
      <c r="D46" s="352"/>
      <c r="E46" s="352"/>
      <c r="F46" s="352"/>
      <c r="G46" s="144"/>
      <c r="K46" s="86"/>
      <c r="L46" s="70"/>
      <c r="M46" s="70"/>
    </row>
    <row r="47" spans="1:17" ht="13.9" x14ac:dyDescent="0.4">
      <c r="B47" s="353"/>
      <c r="E47" s="354"/>
      <c r="F47" s="84"/>
      <c r="G47" s="85"/>
      <c r="K47" s="86"/>
      <c r="L47" s="70"/>
      <c r="M47" s="70"/>
    </row>
    <row r="48" spans="1:17" ht="13.9" x14ac:dyDescent="0.4">
      <c r="B48" s="330" t="s">
        <v>111</v>
      </c>
      <c r="C48" s="346"/>
      <c r="D48" s="346"/>
      <c r="E48" s="331"/>
      <c r="F48" s="331"/>
      <c r="G48" s="332"/>
      <c r="K48" s="86"/>
      <c r="L48" s="70"/>
      <c r="M48" s="70"/>
    </row>
    <row r="49" spans="1:21" ht="13.9" x14ac:dyDescent="0.4">
      <c r="B49" s="100" t="str">
        <f>IF($E$5="No","The LARP section is blank because there is no LARP in the "&amp;$E$3&amp;" area.",IF($E$21=0,"This LARP is registered but does not currently own any stock.",""))</f>
        <v>This LARP is registered but does not currently own any stock.</v>
      </c>
      <c r="K49" s="86"/>
      <c r="L49" s="70"/>
      <c r="M49" s="70"/>
    </row>
    <row r="50" spans="1:21" ht="15" x14ac:dyDescent="0.35">
      <c r="A50" s="433">
        <v>3</v>
      </c>
      <c r="B50" s="355" t="s">
        <v>115</v>
      </c>
      <c r="C50" s="99"/>
      <c r="D50" s="99"/>
      <c r="E50" s="99"/>
      <c r="F50" s="99"/>
      <c r="G50" s="356"/>
      <c r="H50" s="67"/>
    </row>
    <row r="51" spans="1:21" ht="13.9" x14ac:dyDescent="0.4">
      <c r="A51" s="434"/>
      <c r="B51" s="446" t="str">
        <f>$P$54</f>
        <v/>
      </c>
      <c r="C51" s="456"/>
      <c r="D51" s="456"/>
      <c r="E51" s="456"/>
      <c r="F51" s="456"/>
      <c r="G51" s="457"/>
      <c r="H51" s="67"/>
      <c r="P51" s="100" t="s">
        <v>116</v>
      </c>
    </row>
    <row r="52" spans="1:21" x14ac:dyDescent="0.35">
      <c r="B52" s="458"/>
      <c r="C52" s="456"/>
      <c r="D52" s="456"/>
      <c r="E52" s="456"/>
      <c r="F52" s="456"/>
      <c r="G52" s="457"/>
      <c r="H52" s="67"/>
      <c r="O52" s="357"/>
      <c r="P52" s="357"/>
      <c r="S52" s="101"/>
    </row>
    <row r="53" spans="1:21" ht="14.55" customHeight="1" x14ac:dyDescent="0.35">
      <c r="B53" s="458"/>
      <c r="C53" s="456"/>
      <c r="D53" s="456"/>
      <c r="E53" s="456"/>
      <c r="F53" s="456"/>
      <c r="G53" s="457"/>
      <c r="H53" s="102" t="str">
        <f>IFERROR(IF(B61="","Average weekly net rent (£ per week) for England - Large PRPs","Average weekly net rent (£ per week) for "&amp;$U$74&amp;" - Large PRPs"),"")</f>
        <v>Average weekly net rent (£ per week) for England - Large PRPs</v>
      </c>
      <c r="P53" s="358" t="str">
        <f>IF($E$3="","",IFERROR(IF($B$61="","Average weekly net rent (£ per week) and units for England - LARPs &amp; Large PRPs","Average weekly net rent (£ per week) and units for "&amp;$U$59&amp;" - LARPs &amp; Large PRPs"),""))</f>
        <v/>
      </c>
      <c r="Q53" s="359"/>
      <c r="R53" s="359"/>
      <c r="S53" s="359"/>
      <c r="T53" s="359"/>
      <c r="U53" s="103"/>
    </row>
    <row r="54" spans="1:21" x14ac:dyDescent="0.35">
      <c r="B54" s="458"/>
      <c r="C54" s="456"/>
      <c r="D54" s="456"/>
      <c r="E54" s="456"/>
      <c r="F54" s="456"/>
      <c r="G54" s="457"/>
      <c r="H54" s="67"/>
      <c r="P54" s="104" t="str">
        <f>IF($E$3="","",IF($E$5="No","Average weekly net rent (£ per week) and units for "&amp;$U$59&amp;" - Large PRPs only",$P$53))</f>
        <v/>
      </c>
      <c r="Q54" s="101"/>
      <c r="R54" s="101"/>
      <c r="S54" s="101"/>
      <c r="T54" s="101"/>
      <c r="U54" s="101"/>
    </row>
    <row r="55" spans="1:21" ht="13.9" x14ac:dyDescent="0.4">
      <c r="B55" s="118"/>
      <c r="C55" s="235" t="s">
        <v>117</v>
      </c>
      <c r="D55" s="235" t="s">
        <v>104</v>
      </c>
      <c r="E55" s="235" t="s">
        <v>118</v>
      </c>
      <c r="F55" s="235" t="s">
        <v>105</v>
      </c>
      <c r="G55" s="224" t="s">
        <v>112</v>
      </c>
      <c r="H55" s="67"/>
      <c r="P55" s="105" t="str">
        <f>IF(E3="","",IFERROR(IF($B$61="","Average weekly net rent (£ per week) for England - LARPs &amp; Large PRPs","Average weekly net rent (£ per week) for "&amp;$U$59&amp;" - LARPs &amp; Large PRPs"),""))</f>
        <v/>
      </c>
      <c r="Q55" s="101"/>
      <c r="R55" s="101"/>
      <c r="S55" s="101"/>
      <c r="T55" s="101"/>
      <c r="U55" s="101"/>
    </row>
    <row r="56" spans="1:21" ht="3" customHeight="1" x14ac:dyDescent="0.4">
      <c r="B56" s="141"/>
      <c r="C56" s="236"/>
      <c r="D56" s="236"/>
      <c r="E56" s="237"/>
      <c r="F56" s="237"/>
      <c r="G56" s="238"/>
      <c r="I56" s="70"/>
      <c r="J56" s="70"/>
      <c r="K56" s="70"/>
      <c r="L56" s="70"/>
      <c r="M56" s="70"/>
    </row>
    <row r="57" spans="1:21" ht="13.9" x14ac:dyDescent="0.4">
      <c r="B57" s="362" t="str">
        <f>"Average weekly NET RENT (£ per week) for "&amp;$E$3&amp;", "&amp;$J$3&amp; " and England - Large PRPs"</f>
        <v>Average weekly NET RENT (£ per week) for ,  and England - Large PRPs</v>
      </c>
      <c r="C57" s="116" t="s">
        <v>119</v>
      </c>
      <c r="D57" s="116" t="s">
        <v>120</v>
      </c>
      <c r="E57" s="116" t="s">
        <v>119</v>
      </c>
      <c r="F57" s="116" t="s">
        <v>120</v>
      </c>
      <c r="G57" s="117" t="s">
        <v>121</v>
      </c>
      <c r="H57" s="67"/>
      <c r="P57" s="104" t="str">
        <f>IF($E$5="No","Average weekly net rent (£ per week) for "&amp;$U$59&amp;" - Large PRPs only",$P$55)</f>
        <v/>
      </c>
      <c r="Q57" s="101"/>
      <c r="R57" s="101"/>
      <c r="S57" s="101"/>
      <c r="T57" s="101"/>
      <c r="U57" s="101"/>
    </row>
    <row r="58" spans="1:21" ht="13.9" x14ac:dyDescent="0.4">
      <c r="B58" s="363" t="s">
        <v>101</v>
      </c>
      <c r="C58" s="364" t="s">
        <v>122</v>
      </c>
      <c r="D58" s="365" t="s">
        <v>123</v>
      </c>
      <c r="E58" s="364" t="s">
        <v>122</v>
      </c>
      <c r="F58" s="365" t="s">
        <v>123</v>
      </c>
      <c r="G58" s="106" t="s">
        <v>124</v>
      </c>
      <c r="H58" s="67"/>
      <c r="P58" s="107"/>
      <c r="Q58" s="101"/>
      <c r="R58" s="101"/>
      <c r="S58" s="101"/>
      <c r="T58" s="101"/>
      <c r="U58" s="101"/>
    </row>
    <row r="59" spans="1:21" x14ac:dyDescent="0.35">
      <c r="B59" s="145" t="str">
        <f>IFERROR(IF($E$3="Please select a local authority area.","",IF(E3=J3,"",E3)),"")</f>
        <v/>
      </c>
      <c r="C59" s="225">
        <f>_xlfn.XLOOKUP(LookupMaster&amp;"GNTotal",FLAT_FILE[Concat],FLAT_FILE[LADR_AVRENT],0,0)</f>
        <v>0</v>
      </c>
      <c r="D59" s="216">
        <f>_xlfn.XLOOKUP(LookupMaster&amp;"GNTotal",FLAT_FILE[Concat],FLAT_FILE[LADR_Own],0,0)</f>
        <v>0</v>
      </c>
      <c r="E59" s="225">
        <f>_xlfn.XLOOKUP(LookupMaster&amp;"GNTotal",FLAT_FILE[Concat],FLAT_FILE[SDR_AVRENT],0,0)</f>
        <v>0</v>
      </c>
      <c r="F59" s="216">
        <f>_xlfn.XLOOKUP(LookupMaster&amp;"GNTotal",FLAT_FILE[Concat],FLAT_FILE[SDR_Own],0,0)</f>
        <v>0</v>
      </c>
      <c r="G59" s="226">
        <f>_xlfn.XLOOKUP(LookupMaster&amp;"GNTotal",FLAT_FILE[Concat],FLAT_FILE[COMB_AVRent],0,0)</f>
        <v>0</v>
      </c>
      <c r="H59" s="67"/>
      <c r="I59" s="71"/>
      <c r="K59" s="366"/>
      <c r="L59" s="366"/>
      <c r="M59" s="366"/>
      <c r="N59" s="366"/>
      <c r="P59" s="104">
        <f>$E$3</f>
        <v>0</v>
      </c>
      <c r="Q59" s="109">
        <f>IF($P$59=$P$60,"",$P$59)</f>
        <v>0</v>
      </c>
      <c r="R59" s="109" t="str">
        <f>$Q$59&amp;", "&amp;$Q$60&amp;" and England"</f>
        <v>0,  and England</v>
      </c>
      <c r="S59" s="109"/>
      <c r="T59" s="109"/>
      <c r="U59" s="109" t="str">
        <f>IF($B$59="",$R$60,$R$59)</f>
        <v xml:space="preserve"> and England</v>
      </c>
    </row>
    <row r="60" spans="1:21" ht="13.9" x14ac:dyDescent="0.4">
      <c r="B60" s="105"/>
      <c r="C60" s="222"/>
      <c r="D60" s="222"/>
      <c r="E60" s="222"/>
      <c r="F60" s="222"/>
      <c r="G60" s="226"/>
      <c r="H60" s="67"/>
      <c r="I60" s="70"/>
      <c r="J60" s="70"/>
      <c r="K60" s="70"/>
      <c r="L60" s="70"/>
      <c r="M60" s="70"/>
      <c r="P60" s="104" t="str">
        <f>$J$3</f>
        <v/>
      </c>
      <c r="Q60" s="109" t="str">
        <f>IF($P$60=$P$61,"",$P$60)</f>
        <v/>
      </c>
      <c r="R60" s="109" t="str">
        <f>$Q$60&amp;" and England"</f>
        <v xml:space="preserve"> and England</v>
      </c>
      <c r="S60" s="109"/>
      <c r="T60" s="109"/>
      <c r="U60" s="109"/>
    </row>
    <row r="61" spans="1:21" ht="13.9" x14ac:dyDescent="0.4">
      <c r="B61" s="108" t="str">
        <f>IFERROR(IF(J3="England","",J3),"")</f>
        <v/>
      </c>
      <c r="C61" s="225">
        <f>_xlfn.XLOOKUP(B61&amp;"GNTotal",FLAT_FILE[Concat],FLAT_FILE[LADR_AVRENT],0,0)</f>
        <v>0</v>
      </c>
      <c r="D61" s="216">
        <f>_xlfn.XLOOKUP(B61&amp;"GNTotal",FLAT_FILE[Concat],FLAT_FILE[LADR_Own],0,0)</f>
        <v>0</v>
      </c>
      <c r="E61" s="225">
        <f>_xlfn.XLOOKUP(B61&amp;"GNTotal",FLAT_FILE[Concat],FLAT_FILE[SDR_AVRENT],0,0)</f>
        <v>0</v>
      </c>
      <c r="F61" s="216">
        <f>_xlfn.XLOOKUP(B61&amp;"GNTotal",FLAT_FILE[Concat],FLAT_FILE[SDR_Own],0,0)</f>
        <v>0</v>
      </c>
      <c r="G61" s="226">
        <f>_xlfn.XLOOKUP(B61&amp;"GNTotal",FLAT_FILE[Concat],FLAT_FILE[COMB_AVRent],0,0)</f>
        <v>0</v>
      </c>
      <c r="H61" s="67"/>
      <c r="I61" s="70"/>
      <c r="J61" s="70"/>
      <c r="K61" s="70"/>
      <c r="L61" s="70"/>
      <c r="M61" s="70"/>
      <c r="P61" s="367" t="s">
        <v>109</v>
      </c>
      <c r="Q61" s="368" t="s">
        <v>109</v>
      </c>
      <c r="R61" s="368" t="str">
        <f>$Q$61</f>
        <v>England</v>
      </c>
      <c r="S61" s="368"/>
      <c r="T61" s="368"/>
      <c r="U61" s="368"/>
    </row>
    <row r="62" spans="1:21" ht="13.9" x14ac:dyDescent="0.4">
      <c r="B62" s="105"/>
      <c r="C62" s="222"/>
      <c r="D62" s="222"/>
      <c r="E62" s="222"/>
      <c r="F62" s="222"/>
      <c r="G62" s="226"/>
      <c r="H62" s="67"/>
      <c r="I62" s="70"/>
      <c r="J62" s="70"/>
      <c r="K62" s="70"/>
      <c r="L62" s="70"/>
      <c r="M62" s="70"/>
      <c r="Q62" s="101"/>
      <c r="R62" s="101"/>
      <c r="S62" s="101"/>
      <c r="T62" s="101"/>
      <c r="U62" s="101"/>
    </row>
    <row r="63" spans="1:21" ht="13.9" x14ac:dyDescent="0.4">
      <c r="B63" s="369" t="str">
        <f>IF($E$3="Please select a local authority area.","","England")</f>
        <v>England</v>
      </c>
      <c r="C63" s="370">
        <f>_xlfn.XLOOKUP(B63&amp;"GNTotal",FLAT_FILE[Concat],FLAT_FILE[LADR_AVRENT],0,0)</f>
        <v>107.88</v>
      </c>
      <c r="D63" s="371">
        <f>_xlfn.XLOOKUP(B63&amp;"GNTotal",FLAT_FILE[Concat],FLAT_FILE[LADR_Own],0,0)</f>
        <v>1413524</v>
      </c>
      <c r="E63" s="370">
        <f>_xlfn.XLOOKUP(B63&amp;"GNTotal",FLAT_FILE[Concat],FLAT_FILE[SDR_AVRENT],0,0)</f>
        <v>118.15</v>
      </c>
      <c r="F63" s="371">
        <f>_xlfn.XLOOKUP(B63&amp;"GNTotal",FLAT_FILE[Concat],FLAT_FILE[SDR_Own],0,0)</f>
        <v>1840289</v>
      </c>
      <c r="G63" s="294">
        <f>_xlfn.XLOOKUP(B63&amp;"GNTotal",FLAT_FILE[Concat],FLAT_FILE[COMB_AVRent],0,0)</f>
        <v>113.69</v>
      </c>
      <c r="H63" s="67"/>
      <c r="I63" s="70"/>
      <c r="J63" s="70"/>
      <c r="K63" s="70"/>
      <c r="L63" s="70"/>
      <c r="M63" s="70"/>
      <c r="Q63" s="101"/>
      <c r="R63" s="101"/>
      <c r="S63" s="101"/>
      <c r="T63" s="101"/>
      <c r="U63" s="101"/>
    </row>
    <row r="65" spans="1:7" ht="13.9" x14ac:dyDescent="0.4">
      <c r="B65" s="288" t="s">
        <v>125</v>
      </c>
      <c r="C65" s="110"/>
      <c r="D65" s="110"/>
      <c r="E65" s="110"/>
      <c r="F65" s="110"/>
      <c r="G65" s="111"/>
    </row>
    <row r="66" spans="1:7" ht="13.9" x14ac:dyDescent="0.4">
      <c r="B66" s="112"/>
      <c r="C66" s="110"/>
      <c r="D66" s="110"/>
      <c r="E66" s="110"/>
      <c r="F66" s="110"/>
      <c r="G66" s="111"/>
    </row>
    <row r="67" spans="1:7" x14ac:dyDescent="0.35">
      <c r="B67" s="83" t="s">
        <v>126</v>
      </c>
      <c r="G67" s="361"/>
    </row>
    <row r="68" spans="1:7" x14ac:dyDescent="0.35">
      <c r="B68" s="112"/>
      <c r="C68" s="113"/>
      <c r="G68" s="361"/>
    </row>
    <row r="69" spans="1:7" x14ac:dyDescent="0.35">
      <c r="B69" s="83" t="s">
        <v>127</v>
      </c>
      <c r="C69" s="372"/>
      <c r="D69" s="372"/>
      <c r="E69" s="372"/>
      <c r="F69" s="372"/>
      <c r="G69" s="373"/>
    </row>
    <row r="70" spans="1:7" x14ac:dyDescent="0.35">
      <c r="B70" s="266"/>
      <c r="C70" s="372"/>
      <c r="D70" s="372"/>
      <c r="E70" s="372"/>
      <c r="F70" s="372"/>
      <c r="G70" s="373"/>
    </row>
    <row r="71" spans="1:7" x14ac:dyDescent="0.35">
      <c r="B71" s="112"/>
      <c r="C71" s="372"/>
      <c r="D71" s="372"/>
      <c r="E71" s="372"/>
      <c r="F71" s="372"/>
      <c r="G71" s="373"/>
    </row>
    <row r="72" spans="1:7" x14ac:dyDescent="0.35">
      <c r="B72" s="330" t="s">
        <v>111</v>
      </c>
      <c r="C72" s="346"/>
      <c r="D72" s="346"/>
      <c r="E72" s="346"/>
      <c r="F72" s="346"/>
      <c r="G72" s="374"/>
    </row>
    <row r="73" spans="1:7" ht="13.9" x14ac:dyDescent="0.4">
      <c r="B73" s="100" t="str">
        <f>IF($E$5="No","The LARP section is blank because there is no LARP in the "&amp;$E$3&amp;" area.",IF($E$21=0,"This LARP is registered but does not currently own any stock.",""))</f>
        <v>This LARP is registered but does not currently own any stock.</v>
      </c>
    </row>
    <row r="74" spans="1:7" ht="15" x14ac:dyDescent="0.35">
      <c r="A74" s="433">
        <v>4</v>
      </c>
      <c r="B74" s="355" t="s">
        <v>128</v>
      </c>
      <c r="C74" s="99"/>
      <c r="D74" s="99"/>
      <c r="E74" s="99"/>
      <c r="F74" s="99"/>
      <c r="G74" s="356"/>
    </row>
    <row r="75" spans="1:7" x14ac:dyDescent="0.35">
      <c r="A75" s="434"/>
      <c r="B75" s="446" t="str">
        <f>$P$54</f>
        <v/>
      </c>
      <c r="C75" s="444"/>
      <c r="D75" s="444"/>
      <c r="E75" s="444"/>
      <c r="F75" s="444"/>
      <c r="G75" s="445"/>
    </row>
    <row r="76" spans="1:7" ht="13.9" x14ac:dyDescent="0.4">
      <c r="A76" s="72"/>
      <c r="B76" s="446"/>
      <c r="C76" s="444"/>
      <c r="D76" s="444"/>
      <c r="E76" s="444"/>
      <c r="F76" s="444"/>
      <c r="G76" s="445"/>
    </row>
    <row r="77" spans="1:7" ht="13.9" x14ac:dyDescent="0.4">
      <c r="A77" s="72"/>
      <c r="B77" s="446"/>
      <c r="C77" s="444"/>
      <c r="D77" s="444"/>
      <c r="E77" s="444"/>
      <c r="F77" s="444"/>
      <c r="G77" s="445"/>
    </row>
    <row r="78" spans="1:7" x14ac:dyDescent="0.35">
      <c r="B78" s="459"/>
      <c r="C78" s="460"/>
      <c r="D78" s="460"/>
      <c r="E78" s="460"/>
      <c r="F78" s="460"/>
      <c r="G78" s="461"/>
    </row>
    <row r="79" spans="1:7" ht="13.9" x14ac:dyDescent="0.4">
      <c r="B79" s="215" t="str">
        <f>B75</f>
        <v/>
      </c>
      <c r="C79" s="235" t="s">
        <v>117</v>
      </c>
      <c r="D79" s="235" t="s">
        <v>104</v>
      </c>
      <c r="E79" s="235" t="s">
        <v>118</v>
      </c>
      <c r="F79" s="235" t="s">
        <v>105</v>
      </c>
      <c r="G79" s="224" t="s">
        <v>112</v>
      </c>
    </row>
    <row r="81" spans="2:7" ht="13.9" x14ac:dyDescent="0.4">
      <c r="B81" s="115" t="str">
        <f>"Average weekly NET RENT (£ per week) for "&amp;$E$3&amp;", "&amp;$J$3&amp; " and England - Large PRPs"</f>
        <v>Average weekly NET RENT (£ per week) for ,  and England - Large PRPs</v>
      </c>
      <c r="C81" s="116" t="s">
        <v>119</v>
      </c>
      <c r="D81" s="116" t="s">
        <v>120</v>
      </c>
      <c r="E81" s="116" t="s">
        <v>119</v>
      </c>
      <c r="F81" s="116" t="s">
        <v>120</v>
      </c>
      <c r="G81" s="117" t="s">
        <v>121</v>
      </c>
    </row>
    <row r="82" spans="2:7" ht="13.9" x14ac:dyDescent="0.4">
      <c r="B82" s="363" t="s">
        <v>129</v>
      </c>
      <c r="C82" s="364" t="s">
        <v>122</v>
      </c>
      <c r="D82" s="365" t="s">
        <v>123</v>
      </c>
      <c r="E82" s="364" t="s">
        <v>122</v>
      </c>
      <c r="F82" s="365" t="s">
        <v>123</v>
      </c>
      <c r="G82" s="106" t="s">
        <v>124</v>
      </c>
    </row>
    <row r="83" spans="2:7" x14ac:dyDescent="0.35">
      <c r="B83" s="145" t="str">
        <f>IFERROR(IF(E3="Please select a local authority area.","",IF($E$3=$J$3,"",$E$3)),"")</f>
        <v/>
      </c>
      <c r="C83" s="225">
        <f>_xlfn.XLOOKUP(LookupMaster&amp;"SHHOPTotal",FLAT_FILE[Concat],FLAT_FILE[LADR_AVRENT],0,0)</f>
        <v>0</v>
      </c>
      <c r="D83" s="216">
        <f>_xlfn.XLOOKUP(LookupMaster&amp;"SHHOPTotal",FLAT_FILE[Concat],FLAT_FILE[LADR_Own],0,0)</f>
        <v>0</v>
      </c>
      <c r="E83" s="225">
        <f>_xlfn.XLOOKUP(LookupMaster&amp;"SHHOPTotal",FLAT_FILE[Concat],FLAT_FILE[SDR_AVRENT],0,0)</f>
        <v>0</v>
      </c>
      <c r="F83" s="216">
        <f>_xlfn.XLOOKUP(LookupMaster&amp;"SHHOPTotal",FLAT_FILE[Concat],FLAT_FILE[SDR_Own],0,0)</f>
        <v>0</v>
      </c>
      <c r="G83" s="226">
        <f>_xlfn.XLOOKUP(LookupMaster&amp;"SHHOPTotal",FLAT_FILE[Concat],FLAT_FILE[COMB_AVRent],0,0)</f>
        <v>0</v>
      </c>
    </row>
    <row r="84" spans="2:7" x14ac:dyDescent="0.35">
      <c r="B84" s="105"/>
      <c r="C84" s="222"/>
      <c r="D84" s="222"/>
      <c r="E84" s="222"/>
      <c r="F84" s="222"/>
      <c r="G84" s="226"/>
    </row>
    <row r="85" spans="2:7" x14ac:dyDescent="0.35">
      <c r="B85" s="108" t="str">
        <f>IFERROR(IF($E$3="England","",$J$3),"")</f>
        <v/>
      </c>
      <c r="C85" s="225">
        <f>_xlfn.XLOOKUP(B85&amp;"SHHOPTotal",FLAT_FILE[Concat],FLAT_FILE[LADR_AVRENT],0,0)</f>
        <v>0</v>
      </c>
      <c r="D85" s="216">
        <f>_xlfn.XLOOKUP(B85&amp;"SHHOPTotal",FLAT_FILE[Concat],FLAT_FILE[LADR_Own],0,0)</f>
        <v>0</v>
      </c>
      <c r="E85" s="225">
        <f>_xlfn.XLOOKUP(B85&amp;"SHHOPTotal",FLAT_FILE[Concat],FLAT_FILE[SDR_AVRENT],0,0)</f>
        <v>0</v>
      </c>
      <c r="F85" s="216">
        <f>_xlfn.XLOOKUP(B85&amp;"SHHOPTotal",FLAT_FILE[Concat],FLAT_FILE[SDR_Own],0,0)</f>
        <v>0</v>
      </c>
      <c r="G85" s="226">
        <f>_xlfn.XLOOKUP(B85&amp;"SHHOPTotal",FLAT_FILE[Concat],FLAT_FILE[COMB_AVRent],0,0)</f>
        <v>0</v>
      </c>
    </row>
    <row r="86" spans="2:7" x14ac:dyDescent="0.35">
      <c r="B86" s="105"/>
      <c r="C86" s="222"/>
      <c r="D86" s="222"/>
      <c r="E86" s="222"/>
      <c r="F86" s="222"/>
      <c r="G86" s="226"/>
    </row>
    <row r="87" spans="2:7" ht="13.9" x14ac:dyDescent="0.4">
      <c r="B87" s="369" t="s">
        <v>109</v>
      </c>
      <c r="C87" s="370">
        <f>_xlfn.XLOOKUP(B87&amp;"SHHOPTotal",FLAT_FILE[Concat],FLAT_FILE[LADR_AVRENT],0,0)</f>
        <v>94.32</v>
      </c>
      <c r="D87" s="375">
        <f>_xlfn.XLOOKUP(B87&amp;"SHHOPTotal",FLAT_FILE[Concat],FLAT_FILE[LADR_Own],0,0)</f>
        <v>99394</v>
      </c>
      <c r="E87" s="370">
        <f>_xlfn.XLOOKUP(B87&amp;"SHHOPTotal",FLAT_FILE[Concat],FLAT_FILE[SDR_AVRENT],0,0)</f>
        <v>119.25</v>
      </c>
      <c r="F87" s="376">
        <f>_xlfn.XLOOKUP(B87&amp;"SHHOPTotal",FLAT_FILE[Concat],FLAT_FILE[SDR_Own],0,0)</f>
        <v>329185</v>
      </c>
      <c r="G87" s="294">
        <f>_xlfn.XLOOKUP(B87&amp;"SHHOPTotal",FLAT_FILE[Concat],FLAT_FILE[COMB_AVRent],0,0)</f>
        <v>113.47</v>
      </c>
    </row>
    <row r="88" spans="2:7" x14ac:dyDescent="0.35">
      <c r="B88" s="288" t="s">
        <v>125</v>
      </c>
      <c r="G88" s="361"/>
    </row>
    <row r="89" spans="2:7" x14ac:dyDescent="0.35">
      <c r="B89" s="112"/>
      <c r="G89" s="361"/>
    </row>
    <row r="90" spans="2:7" x14ac:dyDescent="0.35">
      <c r="B90" s="83" t="s">
        <v>126</v>
      </c>
      <c r="G90" s="361"/>
    </row>
    <row r="91" spans="2:7" x14ac:dyDescent="0.35">
      <c r="B91" s="112"/>
      <c r="C91" s="113"/>
      <c r="G91" s="361"/>
    </row>
    <row r="92" spans="2:7" x14ac:dyDescent="0.35">
      <c r="B92" s="83" t="s">
        <v>127</v>
      </c>
      <c r="C92" s="372"/>
      <c r="D92" s="372"/>
      <c r="E92" s="372"/>
      <c r="F92" s="372"/>
      <c r="G92" s="373"/>
    </row>
    <row r="93" spans="2:7" x14ac:dyDescent="0.35">
      <c r="B93" s="266"/>
      <c r="C93" s="372"/>
      <c r="D93" s="372"/>
      <c r="E93" s="372"/>
      <c r="F93" s="372"/>
      <c r="G93" s="373"/>
    </row>
    <row r="94" spans="2:7" x14ac:dyDescent="0.35">
      <c r="B94" s="112"/>
      <c r="C94" s="372"/>
      <c r="D94" s="372"/>
      <c r="E94" s="372"/>
      <c r="F94" s="372"/>
      <c r="G94" s="373"/>
    </row>
    <row r="95" spans="2:7" x14ac:dyDescent="0.35">
      <c r="B95" s="330" t="s">
        <v>111</v>
      </c>
      <c r="C95" s="346"/>
      <c r="D95" s="346"/>
      <c r="E95" s="346"/>
      <c r="F95" s="346"/>
      <c r="G95" s="374"/>
    </row>
    <row r="96" spans="2:7" ht="13.9" x14ac:dyDescent="0.4">
      <c r="B96" s="100" t="str">
        <f>IF($E$5="No","The LARP section is blank because there is no LARP in the "&amp;$E$3&amp;" area.",IF($E$21=0,"This LARP is registered but does not currently own any stock.",""))</f>
        <v>This LARP is registered but does not currently own any stock.</v>
      </c>
      <c r="C96" s="296"/>
      <c r="D96" s="296"/>
      <c r="E96" s="296"/>
      <c r="F96" s="296"/>
      <c r="G96" s="296"/>
    </row>
    <row r="97" spans="1:16" ht="15" x14ac:dyDescent="0.4">
      <c r="A97" s="439">
        <v>5</v>
      </c>
      <c r="B97" s="377" t="s">
        <v>130</v>
      </c>
      <c r="C97" s="99"/>
      <c r="D97" s="99"/>
      <c r="E97" s="99"/>
      <c r="F97" s="99"/>
      <c r="G97" s="356"/>
      <c r="I97" s="70"/>
      <c r="J97" s="70"/>
      <c r="K97" s="70"/>
      <c r="L97" s="70"/>
      <c r="M97" s="70"/>
      <c r="P97" s="217" t="s">
        <v>131</v>
      </c>
    </row>
    <row r="98" spans="1:16" ht="13.9" x14ac:dyDescent="0.4">
      <c r="A98" s="434"/>
      <c r="B98" s="446" t="str">
        <f>IFERROR($P$101,"")</f>
        <v>Average weekly net rent (£ per week) and units by unit size for  LARPs &amp; Large PRPs</v>
      </c>
      <c r="C98" s="462"/>
      <c r="D98" s="462"/>
      <c r="E98" s="462"/>
      <c r="F98" s="462"/>
      <c r="G98" s="463"/>
      <c r="I98" s="70"/>
      <c r="J98" s="70"/>
      <c r="K98" s="70"/>
      <c r="L98" s="70"/>
      <c r="M98" s="70"/>
    </row>
    <row r="99" spans="1:16" ht="13.9" x14ac:dyDescent="0.4">
      <c r="A99" s="72"/>
      <c r="B99" s="464"/>
      <c r="C99" s="462"/>
      <c r="D99" s="462"/>
      <c r="E99" s="462"/>
      <c r="F99" s="462"/>
      <c r="G99" s="463"/>
      <c r="I99" s="70"/>
      <c r="J99" s="70"/>
      <c r="K99" s="70"/>
      <c r="L99" s="70"/>
      <c r="M99" s="70"/>
      <c r="P99" s="357"/>
    </row>
    <row r="100" spans="1:16" ht="13.9" x14ac:dyDescent="0.4">
      <c r="B100" s="465"/>
      <c r="C100" s="466"/>
      <c r="D100" s="466"/>
      <c r="E100" s="466"/>
      <c r="F100" s="466"/>
      <c r="G100" s="467"/>
      <c r="I100" s="70"/>
      <c r="J100" s="70"/>
      <c r="K100" s="70"/>
      <c r="L100" s="70"/>
      <c r="M100" s="70"/>
      <c r="O100" s="357"/>
      <c r="P100" s="358" t="str">
        <f>IF($E$3=$J$3,"Average weekly net rent (£ per week) and units by unit size for "&amp;$E$3&amp; " LARPs &amp; Large PRPs","Average weekly net rent (£ per week) and units by unit size for "&amp;$E$3&amp; " LARP &amp; Large PRPs")</f>
        <v>Average weekly net rent (£ per week) and units by unit size for  LARPs &amp; Large PRPs</v>
      </c>
    </row>
    <row r="101" spans="1:16" ht="13.9" x14ac:dyDescent="0.4">
      <c r="B101" s="118"/>
      <c r="C101" s="235" t="s">
        <v>117</v>
      </c>
      <c r="D101" s="235" t="s">
        <v>104</v>
      </c>
      <c r="E101" s="235" t="s">
        <v>118</v>
      </c>
      <c r="F101" s="235" t="s">
        <v>105</v>
      </c>
      <c r="G101" s="224" t="s">
        <v>112</v>
      </c>
      <c r="I101" s="70"/>
      <c r="J101" s="70"/>
      <c r="K101" s="70"/>
      <c r="L101" s="70"/>
      <c r="M101" s="70"/>
      <c r="P101" s="104" t="str">
        <f>IF(E5="No","Average weekly net rent (£ per week) and units by unit size for "&amp;$E$3&amp;" - Large PRPs only",P100)</f>
        <v>Average weekly net rent (£ per week) and units by unit size for  LARPs &amp; Large PRPs</v>
      </c>
    </row>
    <row r="102" spans="1:16" ht="3" customHeight="1" x14ac:dyDescent="0.4">
      <c r="B102" s="141"/>
      <c r="C102" s="236"/>
      <c r="D102" s="236"/>
      <c r="E102" s="237"/>
      <c r="F102" s="237"/>
      <c r="G102" s="238"/>
      <c r="I102" s="70"/>
      <c r="J102" s="70"/>
      <c r="K102" s="70"/>
      <c r="L102" s="70"/>
      <c r="M102" s="70"/>
    </row>
    <row r="103" spans="1:16" ht="13.9" x14ac:dyDescent="0.4">
      <c r="B103" s="119" t="s">
        <v>132</v>
      </c>
      <c r="C103" s="116" t="s">
        <v>119</v>
      </c>
      <c r="D103" s="116" t="s">
        <v>120</v>
      </c>
      <c r="E103" s="116" t="s">
        <v>119</v>
      </c>
      <c r="F103" s="116" t="s">
        <v>120</v>
      </c>
      <c r="G103" s="117" t="s">
        <v>121</v>
      </c>
      <c r="I103" s="70"/>
      <c r="J103" s="70"/>
      <c r="K103" s="70"/>
      <c r="L103" s="70"/>
      <c r="M103" s="70"/>
      <c r="O103" s="71"/>
      <c r="P103" s="105" t="str">
        <f>IF($E$3=$J$3,"Average weekly net rent (£ per week) by unit size for "&amp;$E$3&amp; " LARPs &amp; Large PRPs","Average weekly net rent (£ per week) by unit size for "&amp;$E$3&amp; " LARP &amp; Large PRPs")</f>
        <v>Average weekly net rent (£ per week) by unit size for  LARPs &amp; Large PRPs</v>
      </c>
    </row>
    <row r="104" spans="1:16" ht="13.9" x14ac:dyDescent="0.4">
      <c r="B104" s="378"/>
      <c r="C104" s="364" t="s">
        <v>122</v>
      </c>
      <c r="D104" s="365" t="s">
        <v>123</v>
      </c>
      <c r="E104" s="364" t="s">
        <v>122</v>
      </c>
      <c r="F104" s="365" t="s">
        <v>123</v>
      </c>
      <c r="G104" s="106" t="s">
        <v>124</v>
      </c>
      <c r="I104" s="70"/>
      <c r="J104" s="70"/>
      <c r="K104" s="70"/>
      <c r="L104" s="70"/>
      <c r="M104" s="70"/>
      <c r="O104" s="71"/>
      <c r="P104" s="104" t="str">
        <f>IF(E5="No","Average weekly net rent (£ per week) by unit size for "&amp;$E$3&amp;" - Large PRPs only",P103)</f>
        <v>Average weekly net rent (£ per week) by unit size for  LARPs &amp; Large PRPs</v>
      </c>
    </row>
    <row r="105" spans="1:16" ht="13.9" x14ac:dyDescent="0.4">
      <c r="B105" s="228" t="s">
        <v>133</v>
      </c>
      <c r="C105" s="285">
        <f>_xlfn.XLOOKUP(LookupMaster&amp;"GNNSC",FLAT_FILE[Concat],FLAT_FILE[LADR_AVRENT],0,)</f>
        <v>0</v>
      </c>
      <c r="D105" s="216">
        <f>_xlfn.XLOOKUP(LookupMaster&amp;"GNNSC",FLAT_FILE[Concat],FLAT_FILE[LADR_Own],0,)</f>
        <v>0</v>
      </c>
      <c r="E105" s="285">
        <f>_xlfn.XLOOKUP(LookupMaster&amp;"GNNSC",FLAT_FILE[Concat],FLAT_FILE[SDR_AVRENT],0,)</f>
        <v>0</v>
      </c>
      <c r="F105" s="216">
        <f>_xlfn.XLOOKUP(LookupMaster&amp;"GNNSC",FLAT_FILE[Concat],FLAT_FILE[SDR_Own],0,)</f>
        <v>0</v>
      </c>
      <c r="G105" s="226">
        <f>_xlfn.XLOOKUP(LookupMaster&amp;"GNNSC",FLAT_FILE[Concat],FLAT_FILE[COMB_AVRent],0,)</f>
        <v>0</v>
      </c>
      <c r="I105" s="70"/>
      <c r="J105" s="70"/>
      <c r="K105" s="70"/>
      <c r="L105" s="70"/>
      <c r="M105" s="70"/>
      <c r="O105" s="71"/>
      <c r="P105" s="107"/>
    </row>
    <row r="106" spans="1:16" ht="13.9" x14ac:dyDescent="0.4">
      <c r="A106" s="66">
        <f t="shared" ref="A106:A114" si="2">$E$3</f>
        <v>0</v>
      </c>
      <c r="B106" s="228" t="s">
        <v>134</v>
      </c>
      <c r="C106" s="286">
        <f>_xlfn.XLOOKUP(LookupMaster&amp;"GNbdst",FLAT_FILE[Concat],FLAT_FILE[LADR_AVRENT],0,)</f>
        <v>0</v>
      </c>
      <c r="D106" s="216">
        <f>_xlfn.XLOOKUP(LookupMaster&amp;"GNbdst",FLAT_FILE[Concat],FLAT_FILE[LADR_Own],0,)</f>
        <v>0</v>
      </c>
      <c r="E106" s="286">
        <f>_xlfn.XLOOKUP(LookupMaster&amp;"GNbdst",FLAT_FILE[Concat],FLAT_FILE[SDR_AVRENT],0,)</f>
        <v>0</v>
      </c>
      <c r="F106" s="216">
        <f>_xlfn.XLOOKUP(LookupMaster&amp;"GNbdst",FLAT_FILE[Concat],FLAT_FILE[SDR_Own],0,)</f>
        <v>0</v>
      </c>
      <c r="G106" s="226">
        <f>_xlfn.XLOOKUP(LookupMaster&amp;"GNbdst",FLAT_FILE[Concat],FLAT_FILE[COMB_AVRent],0,)</f>
        <v>0</v>
      </c>
      <c r="I106" s="70"/>
      <c r="J106" s="70"/>
      <c r="K106" s="70"/>
      <c r="L106" s="70"/>
      <c r="M106" s="70"/>
      <c r="O106" s="357"/>
      <c r="P106" s="104"/>
    </row>
    <row r="107" spans="1:16" ht="13.9" x14ac:dyDescent="0.4">
      <c r="A107" s="66">
        <f t="shared" si="2"/>
        <v>0</v>
      </c>
      <c r="B107" s="228" t="s">
        <v>135</v>
      </c>
      <c r="C107" s="286">
        <f>_xlfn.XLOOKUP(LookupMaster&amp;"GN1bd",FLAT_FILE[Concat],FLAT_FILE[LADR_AVRENT],0,)</f>
        <v>0</v>
      </c>
      <c r="D107" s="229">
        <f>_xlfn.XLOOKUP(LookupMaster&amp;"GN1bd",FLAT_FILE[Concat],FLAT_FILE[LADR_Own],0,)</f>
        <v>0</v>
      </c>
      <c r="E107" s="286">
        <f>_xlfn.XLOOKUP(LookupMaster&amp;"GN1bd",FLAT_FILE[Concat],FLAT_FILE[SDR_AVRENT],0,)</f>
        <v>0</v>
      </c>
      <c r="F107" s="229">
        <f>_xlfn.XLOOKUP(LookupMaster&amp;"GN1bd",FLAT_FILE[Concat],FLAT_FILE[SDR_Own],0,)</f>
        <v>0</v>
      </c>
      <c r="G107" s="226">
        <f>_xlfn.XLOOKUP(LookupMaster&amp;"GN1bd",FLAT_FILE[Concat],FLAT_FILE[COMB_AVRent],0,)</f>
        <v>0</v>
      </c>
      <c r="I107" s="70"/>
      <c r="J107" s="70"/>
      <c r="K107" s="70"/>
      <c r="L107" s="70"/>
      <c r="M107" s="70"/>
      <c r="O107" s="120"/>
      <c r="P107" s="104"/>
    </row>
    <row r="108" spans="1:16" ht="13.9" x14ac:dyDescent="0.4">
      <c r="A108" s="66">
        <f t="shared" si="2"/>
        <v>0</v>
      </c>
      <c r="B108" s="228" t="s">
        <v>136</v>
      </c>
      <c r="C108" s="286">
        <f>_xlfn.XLOOKUP(LookupMaster&amp;"GN2bd",FLAT_FILE[Concat],FLAT_FILE[LADR_AVRENT],0,)</f>
        <v>0</v>
      </c>
      <c r="D108" s="229">
        <f>_xlfn.XLOOKUP(LookupMaster&amp;"GN2bd",FLAT_FILE[Concat],FLAT_FILE[LADR_Own],0,)</f>
        <v>0</v>
      </c>
      <c r="E108" s="286">
        <f>_xlfn.XLOOKUP(LookupMaster&amp;"GN2bd",FLAT_FILE[Concat],FLAT_FILE[SDR_AVRENT],0,)</f>
        <v>0</v>
      </c>
      <c r="F108" s="229">
        <f>_xlfn.XLOOKUP(LookupMaster&amp;"GN2bd",FLAT_FILE[Concat],FLAT_FILE[SDR_Own],0,)</f>
        <v>0</v>
      </c>
      <c r="G108" s="226">
        <f>_xlfn.XLOOKUP(LookupMaster&amp;"GN2bd",FLAT_FILE[Concat],FLAT_FILE[COMB_AVRent],0,)</f>
        <v>0</v>
      </c>
      <c r="I108" s="70"/>
      <c r="J108" s="70"/>
      <c r="K108" s="70"/>
      <c r="L108" s="70"/>
      <c r="M108" s="70"/>
      <c r="O108" s="71"/>
      <c r="P108" s="367"/>
    </row>
    <row r="109" spans="1:16" ht="13.9" x14ac:dyDescent="0.4">
      <c r="A109" s="66">
        <f t="shared" si="2"/>
        <v>0</v>
      </c>
      <c r="B109" s="228" t="s">
        <v>137</v>
      </c>
      <c r="C109" s="286">
        <f>_xlfn.XLOOKUP(LookupMaster&amp;"GN3bd",FLAT_FILE[Concat],FLAT_FILE[LADR_AVRENT],0,)</f>
        <v>0</v>
      </c>
      <c r="D109" s="229">
        <f>_xlfn.XLOOKUP(LookupMaster&amp;"GN3bd",FLAT_FILE[Concat],FLAT_FILE[LADR_Own],0,)</f>
        <v>0</v>
      </c>
      <c r="E109" s="286">
        <f>_xlfn.XLOOKUP(LookupMaster&amp;"GN3bd",FLAT_FILE[Concat],FLAT_FILE[SDR_AVRENT],0,)</f>
        <v>0</v>
      </c>
      <c r="F109" s="229">
        <f>_xlfn.XLOOKUP(LookupMaster&amp;"GN3bd",FLAT_FILE[Concat],FLAT_FILE[SDR_Own],0,)</f>
        <v>0</v>
      </c>
      <c r="G109" s="226">
        <f>_xlfn.XLOOKUP(LookupMaster&amp;"GN3bd",FLAT_FILE[Concat],FLAT_FILE[COMB_AVRent],0,)</f>
        <v>0</v>
      </c>
      <c r="I109" s="70"/>
      <c r="J109" s="70"/>
      <c r="K109" s="70"/>
      <c r="L109" s="70"/>
      <c r="M109" s="70"/>
      <c r="O109" s="71"/>
    </row>
    <row r="110" spans="1:16" ht="13.9" x14ac:dyDescent="0.4">
      <c r="A110" s="66">
        <f t="shared" si="2"/>
        <v>0</v>
      </c>
      <c r="B110" s="228" t="s">
        <v>138</v>
      </c>
      <c r="C110" s="286">
        <f>_xlfn.XLOOKUP(LookupMaster&amp;"GN4bd",FLAT_FILE[Concat],FLAT_FILE[LADR_AVRENT],0,)</f>
        <v>0</v>
      </c>
      <c r="D110" s="229">
        <f>_xlfn.XLOOKUP(LookupMaster&amp;"GN4bd",FLAT_FILE[Concat],FLAT_FILE[LADR_Own],0,)</f>
        <v>0</v>
      </c>
      <c r="E110" s="286">
        <f>_xlfn.XLOOKUP(LookupMaster&amp;"GN4bd",FLAT_FILE[Concat],FLAT_FILE[SDR_AVRENT],0,)</f>
        <v>0</v>
      </c>
      <c r="F110" s="229">
        <f>_xlfn.XLOOKUP(LookupMaster&amp;"GN4bd",FLAT_FILE[Concat],FLAT_FILE[SDR_Own],0,)</f>
        <v>0</v>
      </c>
      <c r="G110" s="226">
        <f>_xlfn.XLOOKUP(LookupMaster&amp;"GN4bd",FLAT_FILE[Concat],FLAT_FILE[COMB_AVRent],0,)</f>
        <v>0</v>
      </c>
      <c r="I110" s="70"/>
      <c r="J110" s="70"/>
      <c r="K110" s="70"/>
      <c r="L110" s="70"/>
      <c r="M110" s="70"/>
      <c r="O110" s="71"/>
    </row>
    <row r="111" spans="1:16" ht="13.9" x14ac:dyDescent="0.4">
      <c r="A111" s="66">
        <f t="shared" si="2"/>
        <v>0</v>
      </c>
      <c r="B111" s="228" t="s">
        <v>139</v>
      </c>
      <c r="C111" s="286">
        <f>_xlfn.XLOOKUP(LookupMaster&amp;"GN5bd",FLAT_FILE[Concat],FLAT_FILE[LADR_AVRENT],0,)</f>
        <v>0</v>
      </c>
      <c r="D111" s="229">
        <f>_xlfn.XLOOKUP(LookupMaster&amp;"GN5bd",FLAT_FILE[Concat],FLAT_FILE[LADR_Own],0,)</f>
        <v>0</v>
      </c>
      <c r="E111" s="286">
        <f>_xlfn.XLOOKUP(LookupMaster&amp;"GN5bd",FLAT_FILE[Concat],FLAT_FILE[SDR_AVRENT],0,)</f>
        <v>0</v>
      </c>
      <c r="F111" s="229">
        <f>_xlfn.XLOOKUP(LookupMaster&amp;"GN5bd",FLAT_FILE[Concat],FLAT_FILE[SDR_Own],0,)</f>
        <v>0</v>
      </c>
      <c r="G111" s="226">
        <f>_xlfn.XLOOKUP(LookupMaster&amp;"GN5bd",FLAT_FILE[Concat],FLAT_FILE[COMB_AVRent],0,)</f>
        <v>0</v>
      </c>
      <c r="I111" s="70"/>
      <c r="J111" s="70"/>
      <c r="K111" s="70"/>
      <c r="L111" s="70"/>
      <c r="M111" s="70"/>
      <c r="O111" s="71"/>
    </row>
    <row r="112" spans="1:16" ht="13.9" x14ac:dyDescent="0.4">
      <c r="A112" s="66">
        <f t="shared" si="2"/>
        <v>0</v>
      </c>
      <c r="B112" s="228" t="s">
        <v>140</v>
      </c>
      <c r="C112" s="286">
        <f>_xlfn.XLOOKUP(LookupMaster&amp;"GN6bd",FLAT_FILE[Concat],FLAT_FILE[LADR_AVRENT],0,)</f>
        <v>0</v>
      </c>
      <c r="D112" s="229">
        <f>_xlfn.XLOOKUP(LookupMaster&amp;"GN6bd",FLAT_FILE[Concat],FLAT_FILE[LADR_Own],0,)</f>
        <v>0</v>
      </c>
      <c r="E112" s="286">
        <f>_xlfn.XLOOKUP(LookupMaster&amp;"GN6bd",FLAT_FILE[Concat],FLAT_FILE[SDR_AVRENT],0,)</f>
        <v>0</v>
      </c>
      <c r="F112" s="229">
        <f>_xlfn.XLOOKUP(LookupMaster&amp;"GN6bd",FLAT_FILE[Concat],FLAT_FILE[SDR_Own],0,)</f>
        <v>0</v>
      </c>
      <c r="G112" s="226">
        <f>_xlfn.XLOOKUP(LookupMaster&amp;"GN6bd",FLAT_FILE[Concat],FLAT_FILE[COMB_AVRent],0,)</f>
        <v>0</v>
      </c>
      <c r="I112" s="70"/>
      <c r="J112" s="70"/>
      <c r="K112" s="70"/>
      <c r="L112" s="70"/>
      <c r="M112" s="70"/>
      <c r="O112" s="71"/>
    </row>
    <row r="113" spans="1:7" x14ac:dyDescent="0.35">
      <c r="A113" s="66">
        <f t="shared" si="2"/>
        <v>0</v>
      </c>
      <c r="B113" s="317" t="s">
        <v>141</v>
      </c>
      <c r="C113" s="287">
        <f>_xlfn.XLOOKUP(LookupMaster&amp;"GNSC",FLAT_FILE[Concat],FLAT_FILE[LADR_AVRENT],0,)</f>
        <v>0</v>
      </c>
      <c r="D113" s="229">
        <f>_xlfn.XLOOKUP(LookupMaster&amp;"GNSC",FLAT_FILE[Concat],FLAT_FILE[LADR_Own],0,)</f>
        <v>0</v>
      </c>
      <c r="E113" s="287">
        <f>_xlfn.XLOOKUP(LookupMaster&amp;"GNSC",FLAT_FILE[Concat],FLAT_FILE[SDR_AVRENT],0,)</f>
        <v>0</v>
      </c>
      <c r="F113" s="229">
        <f>_xlfn.XLOOKUP(LookupMaster&amp;"GNSC",FLAT_FILE[Concat],FLAT_FILE[SDR_Own],0,)</f>
        <v>0</v>
      </c>
      <c r="G113" s="227">
        <f>_xlfn.XLOOKUP(LookupMaster&amp;"GNSC",FLAT_FILE[Concat],FLAT_FILE[COMB_AVRent],0,)</f>
        <v>0</v>
      </c>
    </row>
    <row r="114" spans="1:7" ht="13.9" x14ac:dyDescent="0.4">
      <c r="A114" s="66">
        <f t="shared" si="2"/>
        <v>0</v>
      </c>
      <c r="B114" s="323" t="s">
        <v>142</v>
      </c>
      <c r="C114" s="292">
        <f>_xlfn.XLOOKUP(LookupMaster&amp;"GNtotal",FLAT_FILE[Concat],FLAT_FILE[LADR_AVRENT],0,)</f>
        <v>0</v>
      </c>
      <c r="D114" s="121">
        <f>_xlfn.XLOOKUP(LookupMaster&amp;"GNtotal",FLAT_FILE[Concat],FLAT_FILE[LADR_Own],0,)</f>
        <v>0</v>
      </c>
      <c r="E114" s="292">
        <f>_xlfn.XLOOKUP(LookupMaster&amp;"GNtotal",FLAT_FILE[Concat],FLAT_FILE[SDR_AVRENT],0,)</f>
        <v>0</v>
      </c>
      <c r="F114" s="121">
        <f>_xlfn.XLOOKUP(LookupMaster&amp;"GNtotal",FLAT_FILE[Concat],FLAT_FILE[SDR_Own],0,)</f>
        <v>0</v>
      </c>
      <c r="G114" s="293">
        <f>_xlfn.XLOOKUP(LookupMaster&amp;"GNtotal",FLAT_FILE[Concat],FLAT_FILE[COMB_AVRent],0,)</f>
        <v>0</v>
      </c>
    </row>
    <row r="115" spans="1:7" x14ac:dyDescent="0.35">
      <c r="B115" s="288" t="s">
        <v>125</v>
      </c>
      <c r="F115" s="359"/>
      <c r="G115" s="360"/>
    </row>
    <row r="116" spans="1:7" x14ac:dyDescent="0.35">
      <c r="B116" s="140" t="s">
        <v>126</v>
      </c>
      <c r="C116" s="126"/>
      <c r="D116" s="126"/>
      <c r="E116" s="126"/>
      <c r="F116" s="126"/>
      <c r="G116" s="127"/>
    </row>
    <row r="117" spans="1:7" x14ac:dyDescent="0.35">
      <c r="B117" s="83" t="s">
        <v>143</v>
      </c>
      <c r="C117" s="126"/>
      <c r="D117" s="126"/>
      <c r="E117" s="126"/>
      <c r="F117" s="126"/>
      <c r="G117" s="127"/>
    </row>
    <row r="118" spans="1:7" x14ac:dyDescent="0.35">
      <c r="B118" s="330" t="s">
        <v>111</v>
      </c>
      <c r="C118" s="346"/>
      <c r="D118" s="379"/>
      <c r="E118" s="346"/>
      <c r="F118" s="346"/>
      <c r="G118" s="374"/>
    </row>
    <row r="119" spans="1:7" ht="13.9" x14ac:dyDescent="0.4">
      <c r="B119" s="100" t="str">
        <f>IF($E$5="No","The LARP section is blank because there is no LARP in the "&amp;$E$3&amp;" area.",IF($E$21=0,"This LARP is registered but does not currently own any stock.",""))</f>
        <v>This LARP is registered but does not currently own any stock.</v>
      </c>
    </row>
    <row r="120" spans="1:7" ht="15" x14ac:dyDescent="0.35">
      <c r="A120" s="468">
        <v>6</v>
      </c>
      <c r="B120" s="355" t="s">
        <v>144</v>
      </c>
      <c r="C120" s="99"/>
      <c r="D120" s="99"/>
      <c r="E120" s="99"/>
      <c r="F120" s="99"/>
      <c r="G120" s="356"/>
    </row>
    <row r="121" spans="1:7" x14ac:dyDescent="0.35">
      <c r="A121" s="469"/>
      <c r="B121" s="470" t="str">
        <f>IFERROR($P$101,"")</f>
        <v>Average weekly net rent (£ per week) and units by unit size for  LARPs &amp; Large PRPs</v>
      </c>
      <c r="C121" s="456"/>
      <c r="D121" s="456"/>
      <c r="E121" s="456"/>
      <c r="F121" s="456"/>
      <c r="G121" s="457"/>
    </row>
    <row r="122" spans="1:7" x14ac:dyDescent="0.35">
      <c r="B122" s="458"/>
      <c r="C122" s="456"/>
      <c r="D122" s="456"/>
      <c r="E122" s="456"/>
      <c r="F122" s="456"/>
      <c r="G122" s="457"/>
    </row>
    <row r="123" spans="1:7" x14ac:dyDescent="0.35">
      <c r="B123" s="465"/>
      <c r="C123" s="466"/>
      <c r="D123" s="466"/>
      <c r="E123" s="466"/>
      <c r="F123" s="466"/>
      <c r="G123" s="467"/>
    </row>
    <row r="124" spans="1:7" ht="13.9" x14ac:dyDescent="0.4">
      <c r="B124" s="122" t="str">
        <f>$B$121</f>
        <v>Average weekly net rent (£ per week) and units by unit size for  LARPs &amp; Large PRPs</v>
      </c>
      <c r="C124" s="235" t="s">
        <v>117</v>
      </c>
      <c r="D124" s="235" t="s">
        <v>104</v>
      </c>
      <c r="E124" s="235" t="s">
        <v>118</v>
      </c>
      <c r="F124" s="235" t="s">
        <v>105</v>
      </c>
      <c r="G124" s="224" t="s">
        <v>112</v>
      </c>
    </row>
    <row r="125" spans="1:7" ht="3" customHeight="1" x14ac:dyDescent="0.4">
      <c r="B125" s="141"/>
      <c r="C125" s="236"/>
      <c r="D125" s="236"/>
      <c r="E125" s="237"/>
      <c r="F125" s="237"/>
      <c r="G125" s="238"/>
    </row>
    <row r="126" spans="1:7" ht="26.25" x14ac:dyDescent="0.4">
      <c r="B126" s="123" t="s">
        <v>145</v>
      </c>
      <c r="C126" s="116" t="s">
        <v>119</v>
      </c>
      <c r="D126" s="116" t="s">
        <v>120</v>
      </c>
      <c r="E126" s="116" t="s">
        <v>119</v>
      </c>
      <c r="F126" s="116" t="s">
        <v>120</v>
      </c>
      <c r="G126" s="117" t="s">
        <v>121</v>
      </c>
    </row>
    <row r="127" spans="1:7" ht="13.9" x14ac:dyDescent="0.4">
      <c r="B127" s="380"/>
      <c r="C127" s="364" t="s">
        <v>122</v>
      </c>
      <c r="D127" s="365" t="s">
        <v>123</v>
      </c>
      <c r="E127" s="364" t="s">
        <v>122</v>
      </c>
      <c r="F127" s="365" t="s">
        <v>123</v>
      </c>
      <c r="G127" s="106" t="s">
        <v>124</v>
      </c>
    </row>
    <row r="128" spans="1:7" x14ac:dyDescent="0.35">
      <c r="A128" s="66">
        <f t="shared" ref="A128:A135" si="3">$E$3</f>
        <v>0</v>
      </c>
      <c r="B128" s="3" t="s">
        <v>133</v>
      </c>
      <c r="C128" s="286">
        <f>_xlfn.XLOOKUP(LookupMaster&amp;"SHHOPNSC",FLAT_FILE[Concat],FLAT_FILE[LADR_AVRENT],0,)</f>
        <v>0</v>
      </c>
      <c r="D128" s="229">
        <f>_xlfn.XLOOKUP(LookupMaster&amp;"SHHOPNSC",FLAT_FILE[Concat],FLAT_FILE[LADR_Own],0,)</f>
        <v>0</v>
      </c>
      <c r="E128" s="286">
        <f>_xlfn.XLOOKUP(LookupMaster&amp;"SHHOPNSC",FLAT_FILE[Concat],FLAT_FILE[SDR_AVRENT],0,)</f>
        <v>0</v>
      </c>
      <c r="F128" s="229">
        <f>_xlfn.XLOOKUP(LookupMaster&amp;"SHHOPNSC",FLAT_FILE[Concat],FLAT_FILE[SDR_Own],0,)</f>
        <v>0</v>
      </c>
      <c r="G128" s="226">
        <f>_xlfn.XLOOKUP(LookupMaster&amp;"SHHOPNSC",FLAT_FILE[Concat],FLAT_FILE[COMB_AVRent],0,)</f>
        <v>0</v>
      </c>
    </row>
    <row r="129" spans="1:16" ht="13.9" x14ac:dyDescent="0.4">
      <c r="A129" s="66">
        <f t="shared" si="3"/>
        <v>0</v>
      </c>
      <c r="B129" s="3" t="s">
        <v>134</v>
      </c>
      <c r="C129" s="286">
        <f>_xlfn.XLOOKUP(LookupMaster&amp;"SHHOPbdst",FLAT_FILE[Concat],FLAT_FILE[LADR_AVRENT],0,)</f>
        <v>0</v>
      </c>
      <c r="D129" s="229">
        <f>_xlfn.XLOOKUP(LookupMaster&amp;"SHHOPbdst",FLAT_FILE[Concat],FLAT_FILE[LADR_Own],0,)</f>
        <v>0</v>
      </c>
      <c r="E129" s="286">
        <f>_xlfn.XLOOKUP(LookupMaster&amp;"SHHOPbdst",FLAT_FILE[Concat],FLAT_FILE[SDR_AVRENT],0,)</f>
        <v>0</v>
      </c>
      <c r="F129" s="229">
        <f>_xlfn.XLOOKUP(LookupMaster&amp;"SHHOPbdst",FLAT_FILE[Concat],FLAT_FILE[SDR_Own],0,)</f>
        <v>0</v>
      </c>
      <c r="G129" s="226">
        <f>_xlfn.XLOOKUP(LookupMaster&amp;"SHHOPbdst",FLAT_FILE[Concat],FLAT_FILE[COMB_AVRent],0,)</f>
        <v>0</v>
      </c>
      <c r="I129" s="70"/>
      <c r="J129" s="70"/>
      <c r="K129" s="70"/>
      <c r="L129" s="70"/>
      <c r="M129" s="70"/>
    </row>
    <row r="130" spans="1:16" ht="13.9" x14ac:dyDescent="0.4">
      <c r="A130" s="66">
        <f t="shared" si="3"/>
        <v>0</v>
      </c>
      <c r="B130" s="3" t="s">
        <v>135</v>
      </c>
      <c r="C130" s="286">
        <f>_xlfn.XLOOKUP(LookupMaster&amp;"SHHOP1bd",FLAT_FILE[Concat],FLAT_FILE[LADR_AVRENT],0,)</f>
        <v>0</v>
      </c>
      <c r="D130" s="229">
        <f>_xlfn.XLOOKUP(LookupMaster&amp;"SHHOP1bd",FLAT_FILE[Concat],FLAT_FILE[LADR_Own],0,)</f>
        <v>0</v>
      </c>
      <c r="E130" s="286">
        <f>_xlfn.XLOOKUP(LookupMaster&amp;"SHHOP1bd",FLAT_FILE[Concat],FLAT_FILE[SDR_AVRENT],0,)</f>
        <v>0</v>
      </c>
      <c r="F130" s="229">
        <f>_xlfn.XLOOKUP(LookupMaster&amp;"SHHOP1bd",FLAT_FILE[Concat],FLAT_FILE[SDR_Own],0,)</f>
        <v>0</v>
      </c>
      <c r="G130" s="226">
        <f>_xlfn.XLOOKUP(LookupMaster&amp;"SHHOP1bd",FLAT_FILE[Concat],FLAT_FILE[COMB_AVRent],0,)</f>
        <v>0</v>
      </c>
      <c r="I130" s="70"/>
      <c r="J130" s="70"/>
      <c r="K130" s="70"/>
      <c r="L130" s="70"/>
      <c r="M130" s="70"/>
    </row>
    <row r="131" spans="1:16" ht="13.9" x14ac:dyDescent="0.4">
      <c r="A131" s="66">
        <f t="shared" si="3"/>
        <v>0</v>
      </c>
      <c r="B131" s="3" t="s">
        <v>136</v>
      </c>
      <c r="C131" s="286">
        <f>_xlfn.XLOOKUP(LookupMaster&amp;"SHHOP2bd",FLAT_FILE[Concat],FLAT_FILE[LADR_AVRENT],0,)</f>
        <v>0</v>
      </c>
      <c r="D131" s="229">
        <f>_xlfn.XLOOKUP(LookupMaster&amp;"SHHOP2bd",FLAT_FILE[Concat],FLAT_FILE[LADR_Own],0,)</f>
        <v>0</v>
      </c>
      <c r="E131" s="286">
        <f>_xlfn.XLOOKUP(LookupMaster&amp;"SHHOP2bd",FLAT_FILE[Concat],FLAT_FILE[SDR_AVRENT],0,)</f>
        <v>0</v>
      </c>
      <c r="F131" s="229">
        <f>_xlfn.XLOOKUP(LookupMaster&amp;"SHHOP2bd",FLAT_FILE[Concat],FLAT_FILE[SDR_Own],0,)</f>
        <v>0</v>
      </c>
      <c r="G131" s="226">
        <f>_xlfn.XLOOKUP(LookupMaster&amp;"SHHOP2bd",FLAT_FILE[Concat],FLAT_FILE[COMB_AVRent],0,)</f>
        <v>0</v>
      </c>
      <c r="I131" s="70"/>
      <c r="J131" s="70"/>
      <c r="K131" s="70"/>
      <c r="L131" s="70"/>
      <c r="M131" s="70"/>
    </row>
    <row r="132" spans="1:16" ht="13.9" x14ac:dyDescent="0.4">
      <c r="A132" s="66">
        <f t="shared" si="3"/>
        <v>0</v>
      </c>
      <c r="B132" s="3" t="s">
        <v>137</v>
      </c>
      <c r="C132" s="286">
        <f>_xlfn.XLOOKUP(LookupMaster&amp;"SHHOP3bd",FLAT_FILE[Concat],FLAT_FILE[LADR_AVRENT],0,)</f>
        <v>0</v>
      </c>
      <c r="D132" s="229">
        <f>_xlfn.XLOOKUP(LookupMaster&amp;"SHHOP3bd",FLAT_FILE[Concat],FLAT_FILE[LADR_Own],0,)</f>
        <v>0</v>
      </c>
      <c r="E132" s="286">
        <f>_xlfn.XLOOKUP(LookupMaster&amp;"SHHOP3bd",FLAT_FILE[Concat],FLAT_FILE[SDR_AVRENT],0,)</f>
        <v>0</v>
      </c>
      <c r="F132" s="229">
        <f>_xlfn.XLOOKUP(LookupMaster&amp;"SHHOP3bd",FLAT_FILE[Concat],FLAT_FILE[SDR_Own],0,)</f>
        <v>0</v>
      </c>
      <c r="G132" s="226">
        <f>_xlfn.XLOOKUP(LookupMaster&amp;"SHHOP3bd",FLAT_FILE[Concat],FLAT_FILE[COMB_AVRent],0,)</f>
        <v>0</v>
      </c>
      <c r="I132" s="70"/>
      <c r="J132" s="70"/>
      <c r="K132" s="70"/>
      <c r="L132" s="70"/>
      <c r="M132" s="70"/>
    </row>
    <row r="133" spans="1:16" ht="13.9" x14ac:dyDescent="0.4">
      <c r="A133" s="66">
        <f t="shared" si="3"/>
        <v>0</v>
      </c>
      <c r="B133" s="3" t="s">
        <v>146</v>
      </c>
      <c r="C133" s="286">
        <f>_xlfn.XLOOKUP(LookupMaster&amp;"SHHOP4bd",FLAT_FILE[Concat],FLAT_FILE[LADR_AVRENT],0,)</f>
        <v>0</v>
      </c>
      <c r="D133" s="229">
        <f>_xlfn.XLOOKUP(LookupMaster&amp;"SHHOP4bd",FLAT_FILE[Concat],FLAT_FILE[LADR_Own],0,)</f>
        <v>0</v>
      </c>
      <c r="E133" s="286">
        <f>_xlfn.XLOOKUP(LookupMaster&amp;"SHHOP4bd",FLAT_FILE[Concat],FLAT_FILE[SDR_AVRENT],0,)</f>
        <v>0</v>
      </c>
      <c r="F133" s="229">
        <f>_xlfn.XLOOKUP(LookupMaster&amp;"SHHOP4bd",FLAT_FILE[Concat],FLAT_FILE[SDR_Own],0,)</f>
        <v>0</v>
      </c>
      <c r="G133" s="226">
        <f>_xlfn.XLOOKUP(LookupMaster&amp;"SHHOP4bd",FLAT_FILE[Concat],FLAT_FILE[COMB_AVRent],0,)</f>
        <v>0</v>
      </c>
      <c r="I133" s="70"/>
      <c r="J133" s="70"/>
      <c r="K133" s="70"/>
      <c r="L133" s="70"/>
      <c r="M133" s="70"/>
    </row>
    <row r="134" spans="1:16" ht="13.9" x14ac:dyDescent="0.4">
      <c r="A134" s="66">
        <f t="shared" si="3"/>
        <v>0</v>
      </c>
      <c r="B134" s="228" t="s">
        <v>141</v>
      </c>
      <c r="C134" s="287">
        <f>_xlfn.XLOOKUP(LookupMaster&amp;"SHHOPSC",FLAT_FILE[Concat],FLAT_FILE[LADR_AVRENT],0,)</f>
        <v>0</v>
      </c>
      <c r="D134" s="229">
        <f>_xlfn.XLOOKUP(LookupMaster&amp;"SHHOPSC",FLAT_FILE[Concat],FLAT_FILE[LADR_Own],0,)</f>
        <v>0</v>
      </c>
      <c r="E134" s="287">
        <f>_xlfn.XLOOKUP(LookupMaster&amp;"SHHOPSC",FLAT_FILE[Concat],FLAT_FILE[SDR_AVRENT],0,)</f>
        <v>0</v>
      </c>
      <c r="F134" s="229">
        <f>_xlfn.XLOOKUP(LookupMaster&amp;"SHHOPSC",FLAT_FILE[Concat],FLAT_FILE[SDR_Own],0,)</f>
        <v>0</v>
      </c>
      <c r="G134" s="226">
        <f>_xlfn.XLOOKUP(LookupMaster&amp;"SHHOPSC",FLAT_FILE[Concat],FLAT_FILE[COMB_AVRent],0,)</f>
        <v>0</v>
      </c>
      <c r="I134" s="70"/>
      <c r="J134" s="70"/>
      <c r="K134" s="70"/>
      <c r="L134" s="70"/>
      <c r="M134" s="70"/>
    </row>
    <row r="135" spans="1:16" ht="13.9" x14ac:dyDescent="0.4">
      <c r="A135" s="66">
        <f t="shared" si="3"/>
        <v>0</v>
      </c>
      <c r="B135" s="80" t="s">
        <v>142</v>
      </c>
      <c r="C135" s="292">
        <f>_xlfn.XLOOKUP(LookupMaster&amp;"SHHOPtotal",FLAT_FILE[Concat],FLAT_FILE[LADR_AVRENT],0,)</f>
        <v>0</v>
      </c>
      <c r="D135" s="121">
        <f>_xlfn.XLOOKUP(LookupMaster&amp;"SHHOPtotal",FLAT_FILE[Concat],FLAT_FILE[LADR_Own],0,)</f>
        <v>0</v>
      </c>
      <c r="E135" s="292">
        <f>_xlfn.XLOOKUP(LookupMaster&amp;"SHHOPtotal",FLAT_FILE[Concat],FLAT_FILE[SDR_AVRENT],0,)</f>
        <v>0</v>
      </c>
      <c r="F135" s="121">
        <f>_xlfn.XLOOKUP(LookupMaster&amp;"SHHOPtotal",FLAT_FILE[Concat],FLAT_FILE[SDR_Own],0,)</f>
        <v>0</v>
      </c>
      <c r="G135" s="293">
        <f>_xlfn.XLOOKUP(LookupMaster&amp;"SHHOPtotal",FLAT_FILE[Concat],FLAT_FILE[COMB_AVRent],0,)</f>
        <v>0</v>
      </c>
      <c r="I135" s="70"/>
      <c r="J135" s="70"/>
      <c r="K135" s="70"/>
      <c r="L135" s="70"/>
      <c r="M135" s="70"/>
    </row>
    <row r="136" spans="1:16" ht="13.9" x14ac:dyDescent="0.4">
      <c r="B136" s="124"/>
      <c r="C136" s="125"/>
      <c r="D136" s="125"/>
      <c r="E136" s="125"/>
      <c r="F136" s="125"/>
      <c r="G136" s="2"/>
      <c r="I136" s="70"/>
      <c r="J136" s="70"/>
      <c r="K136" s="70"/>
      <c r="L136" s="70"/>
      <c r="M136" s="70"/>
    </row>
    <row r="137" spans="1:16" ht="13.9" x14ac:dyDescent="0.4">
      <c r="B137" s="288" t="s">
        <v>125</v>
      </c>
      <c r="C137" s="125"/>
      <c r="D137" s="125"/>
      <c r="E137" s="125"/>
      <c r="F137" s="125"/>
      <c r="G137" s="2"/>
      <c r="I137" s="70"/>
      <c r="J137" s="70"/>
      <c r="K137" s="70"/>
      <c r="L137" s="70"/>
      <c r="M137" s="70"/>
    </row>
    <row r="138" spans="1:16" ht="13.9" x14ac:dyDescent="0.4">
      <c r="B138" s="140" t="s">
        <v>147</v>
      </c>
      <c r="C138" s="138"/>
      <c r="D138" s="138"/>
      <c r="E138" s="138"/>
      <c r="F138" s="138"/>
      <c r="G138" s="139"/>
      <c r="I138" s="70"/>
      <c r="J138" s="70"/>
      <c r="K138" s="70"/>
      <c r="L138" s="70"/>
      <c r="M138" s="70"/>
    </row>
    <row r="139" spans="1:16" ht="13.9" x14ac:dyDescent="0.4">
      <c r="B139" s="83" t="s">
        <v>143</v>
      </c>
      <c r="C139" s="138"/>
      <c r="D139" s="138"/>
      <c r="E139" s="138"/>
      <c r="F139" s="138"/>
      <c r="G139" s="139"/>
      <c r="I139" s="70"/>
      <c r="J139" s="70"/>
      <c r="K139" s="70"/>
      <c r="L139" s="70"/>
      <c r="M139" s="70"/>
    </row>
    <row r="140" spans="1:16" ht="13.9" x14ac:dyDescent="0.4">
      <c r="B140" s="112"/>
      <c r="D140" s="128"/>
      <c r="G140" s="361"/>
      <c r="I140" s="70"/>
      <c r="J140" s="70"/>
      <c r="K140" s="70"/>
      <c r="L140" s="70"/>
      <c r="M140" s="70"/>
    </row>
    <row r="141" spans="1:16" ht="13.9" x14ac:dyDescent="0.4">
      <c r="B141" s="330" t="s">
        <v>111</v>
      </c>
      <c r="C141" s="346"/>
      <c r="D141" s="346"/>
      <c r="E141" s="346"/>
      <c r="F141" s="346"/>
      <c r="G141" s="374"/>
      <c r="I141" s="70"/>
      <c r="J141" s="70"/>
      <c r="K141" s="70"/>
      <c r="L141" s="70"/>
      <c r="M141" s="70"/>
    </row>
    <row r="142" spans="1:16" ht="13.9" x14ac:dyDescent="0.4">
      <c r="B142" s="100" t="str">
        <f>IF($E$5="No","The LARP section is blank because there is no LARP in the "&amp;$E$3&amp;" area.",IF($E$21=0,"This LARP is registered but does not currently own any stock.",""))</f>
        <v>This LARP is registered but does not currently own any stock.</v>
      </c>
      <c r="H142" s="67"/>
      <c r="I142" s="114"/>
    </row>
    <row r="143" spans="1:16" ht="15" x14ac:dyDescent="0.35">
      <c r="A143" s="433">
        <v>7</v>
      </c>
      <c r="B143" s="355" t="s">
        <v>148</v>
      </c>
      <c r="C143" s="99"/>
      <c r="D143" s="99"/>
      <c r="E143" s="99"/>
      <c r="F143" s="99"/>
      <c r="G143" s="356"/>
      <c r="H143" s="67"/>
    </row>
    <row r="144" spans="1:16" ht="13.9" x14ac:dyDescent="0.4">
      <c r="A144" s="434"/>
      <c r="B144" s="471" t="str">
        <f>$P$147</f>
        <v>Average weekly gross rent (£ per week) and units for England - LARPs &amp; all PRPs</v>
      </c>
      <c r="C144" s="472"/>
      <c r="D144" s="472"/>
      <c r="E144" s="472"/>
      <c r="F144" s="472"/>
      <c r="G144" s="473"/>
      <c r="H144" s="67"/>
      <c r="P144" s="217" t="s">
        <v>149</v>
      </c>
    </row>
    <row r="145" spans="1:21" x14ac:dyDescent="0.35">
      <c r="B145" s="471"/>
      <c r="C145" s="472"/>
      <c r="D145" s="472"/>
      <c r="E145" s="472"/>
      <c r="F145" s="472"/>
      <c r="G145" s="473"/>
      <c r="H145" s="129" t="str">
        <f>IFERROR(IF(B176="","Average weekly gross rent (£ per week) for England","Average weekly gross rent (£ per week) for "&amp;#REF!),"")</f>
        <v>Average weekly gross rent (£ per week) for England</v>
      </c>
      <c r="P145" s="357"/>
      <c r="Q145" s="101"/>
      <c r="R145" s="101"/>
      <c r="S145" s="101"/>
      <c r="T145" s="101"/>
      <c r="U145" s="101"/>
    </row>
    <row r="146" spans="1:21" x14ac:dyDescent="0.35">
      <c r="B146" s="471"/>
      <c r="C146" s="472"/>
      <c r="D146" s="472"/>
      <c r="E146" s="472"/>
      <c r="F146" s="472"/>
      <c r="G146" s="473"/>
      <c r="H146" s="67"/>
      <c r="P146" s="358" t="str">
        <f>IFERROR(IF($B$61="","Average weekly gross rent (£ per week) and units for England - LARPs &amp; all PRPs","Average weekly gross rent (£ per week) and units for "&amp;$U$59&amp;" - LARPs &amp; all PRPs"),"")</f>
        <v>Average weekly gross rent (£ per week) and units for England - LARPs &amp; all PRPs</v>
      </c>
      <c r="Q146" s="359"/>
      <c r="R146" s="359"/>
      <c r="S146" s="359"/>
      <c r="T146" s="359"/>
      <c r="U146" s="103"/>
    </row>
    <row r="147" spans="1:21" x14ac:dyDescent="0.35">
      <c r="B147" s="471"/>
      <c r="C147" s="472"/>
      <c r="D147" s="472"/>
      <c r="E147" s="472"/>
      <c r="F147" s="472"/>
      <c r="G147" s="473"/>
      <c r="H147" s="67"/>
      <c r="P147" s="104" t="str">
        <f>IF(E5="No","Average weekly gross rent (£ per week) and units for "&amp;$U$59&amp;" - all PRPs",$P$146)</f>
        <v>Average weekly gross rent (£ per week) and units for England - LARPs &amp; all PRPs</v>
      </c>
      <c r="Q147" s="101"/>
      <c r="R147" s="101"/>
      <c r="S147" s="101"/>
      <c r="T147" s="101"/>
      <c r="U147" s="101"/>
    </row>
    <row r="148" spans="1:21" x14ac:dyDescent="0.35">
      <c r="B148" s="381"/>
      <c r="C148" s="382"/>
      <c r="D148" s="382"/>
      <c r="E148" s="382"/>
      <c r="F148" s="382"/>
      <c r="G148" s="383"/>
      <c r="H148" s="67"/>
      <c r="P148" s="105" t="str">
        <f>IFERROR(IF($B$61="","Average weekly gross rent (£ per week) for England - LARPs &amp; all PRPs","Average weekly gross rent (£ per week) for "&amp;$U$59&amp;" - LARPs &amp; all PRPs"),"")</f>
        <v>Average weekly gross rent (£ per week) for England - LARPs &amp; all PRPs</v>
      </c>
      <c r="Q148" s="101"/>
      <c r="R148" s="101"/>
      <c r="S148" s="101"/>
      <c r="T148" s="101"/>
      <c r="U148" s="101"/>
    </row>
    <row r="149" spans="1:21" ht="13.9" x14ac:dyDescent="0.4">
      <c r="B149" s="384"/>
      <c r="C149" s="235" t="s">
        <v>117</v>
      </c>
      <c r="D149" s="235" t="s">
        <v>104</v>
      </c>
      <c r="E149" s="235" t="s">
        <v>118</v>
      </c>
      <c r="F149" s="235" t="s">
        <v>105</v>
      </c>
      <c r="G149" s="230" t="s">
        <v>112</v>
      </c>
      <c r="H149" s="67"/>
      <c r="P149" s="104" t="str">
        <f>IF(E5="No","Average weekly gross rent (£ per week) for "&amp;$U$59&amp;" - all PRPs",$P$148)</f>
        <v>Average weekly gross rent (£ per week) for England - LARPs &amp; all PRPs</v>
      </c>
      <c r="Q149" s="101"/>
      <c r="R149" s="101"/>
      <c r="S149" s="101"/>
      <c r="T149" s="101"/>
      <c r="U149" s="101"/>
    </row>
    <row r="150" spans="1:21" ht="3" customHeight="1" x14ac:dyDescent="0.4">
      <c r="A150" s="301"/>
      <c r="B150" s="141"/>
      <c r="C150" s="236"/>
      <c r="D150" s="236"/>
      <c r="E150" s="237"/>
      <c r="F150" s="237"/>
      <c r="G150" s="238"/>
      <c r="I150" s="70"/>
      <c r="J150" s="70"/>
      <c r="K150" s="70"/>
      <c r="L150" s="70"/>
      <c r="M150" s="70"/>
    </row>
    <row r="151" spans="1:21" ht="13.9" x14ac:dyDescent="0.4">
      <c r="B151" s="358"/>
      <c r="C151" s="130" t="s">
        <v>150</v>
      </c>
      <c r="D151" s="136" t="s">
        <v>120</v>
      </c>
      <c r="E151" s="135" t="s">
        <v>150</v>
      </c>
      <c r="F151" s="136" t="s">
        <v>120</v>
      </c>
      <c r="G151" s="210" t="s">
        <v>151</v>
      </c>
      <c r="H151" s="67"/>
      <c r="P151" s="107"/>
      <c r="Q151" s="101"/>
      <c r="R151" s="101"/>
      <c r="S151" s="101"/>
      <c r="T151" s="101"/>
      <c r="U151" s="101"/>
    </row>
    <row r="152" spans="1:21" ht="13.9" x14ac:dyDescent="0.4">
      <c r="B152" s="384" t="s">
        <v>148</v>
      </c>
      <c r="C152" s="385" t="s">
        <v>124</v>
      </c>
      <c r="D152" s="365" t="s">
        <v>123</v>
      </c>
      <c r="E152" s="385" t="s">
        <v>124</v>
      </c>
      <c r="F152" s="386" t="s">
        <v>123</v>
      </c>
      <c r="G152" s="209" t="s">
        <v>124</v>
      </c>
      <c r="H152" s="67"/>
      <c r="P152" s="104">
        <f>$E$3</f>
        <v>0</v>
      </c>
      <c r="Q152" s="109">
        <f>IF($P$59=$P$60,"",$P$59)</f>
        <v>0</v>
      </c>
      <c r="R152" s="109" t="str">
        <f>$Q$59&amp;", the "&amp;$Q$60&amp;" and England"</f>
        <v>0, the  and England</v>
      </c>
      <c r="S152" s="109"/>
      <c r="T152" s="109"/>
      <c r="U152" s="109" t="str">
        <f>IF($B$59="",$R$60,$R$59)</f>
        <v xml:space="preserve"> and England</v>
      </c>
    </row>
    <row r="153" spans="1:21" x14ac:dyDescent="0.35">
      <c r="B153" s="145" t="str">
        <f>IFERROR(IF($E$3=$J$3,"",$E$3),"")</f>
        <v/>
      </c>
      <c r="C153" s="225">
        <f>_xlfn.XLOOKUP(LookupMaster&amp;"ARGNTotal",FLAT_FILE[Concat],FLAT_FILE[LADR_AVRENT],0,0)</f>
        <v>0</v>
      </c>
      <c r="D153" s="216">
        <f>_xlfn.XLOOKUP(LookupMaster&amp;"ARGNTotal",FLAT_FILE[Concat],FLAT_FILE[LADR_Own],0,0)</f>
        <v>0</v>
      </c>
      <c r="E153" s="225">
        <f>_xlfn.XLOOKUP(LookupMaster&amp;"ARGNTotal",FLAT_FILE[Concat],FLAT_FILE[SDR_AVRENT],0,0)</f>
        <v>0</v>
      </c>
      <c r="F153" s="216">
        <f>_xlfn.XLOOKUP(LookupMaster&amp;"ARGNTotal",FLAT_FILE[Concat],FLAT_FILE[SDR_Own],0,0)</f>
        <v>0</v>
      </c>
      <c r="G153" s="231">
        <f>_xlfn.XLOOKUP(LookupMaster&amp;"ARGNTotal",FLAT_FILE[Concat],FLAT_FILE[COMB_AVRent],0,0)</f>
        <v>0</v>
      </c>
      <c r="H153" s="67"/>
      <c r="P153" s="104" t="str">
        <f>$J$3</f>
        <v/>
      </c>
      <c r="Q153" s="109" t="str">
        <f>IF($P$60=$P$61,"",$P$60)</f>
        <v/>
      </c>
      <c r="R153" s="109" t="str">
        <f>"the "&amp;$Q$60&amp;" and England"</f>
        <v>the  and England</v>
      </c>
      <c r="S153" s="109"/>
      <c r="T153" s="109"/>
      <c r="U153" s="109"/>
    </row>
    <row r="154" spans="1:21" x14ac:dyDescent="0.35">
      <c r="B154" s="105"/>
      <c r="C154" s="222"/>
      <c r="D154" s="222"/>
      <c r="E154" s="222"/>
      <c r="F154" s="222"/>
      <c r="G154" s="226"/>
      <c r="H154" s="67"/>
      <c r="P154" s="367" t="s">
        <v>109</v>
      </c>
      <c r="Q154" s="368" t="s">
        <v>109</v>
      </c>
      <c r="R154" s="368" t="str">
        <f>$Q$61</f>
        <v>England</v>
      </c>
      <c r="S154" s="368"/>
      <c r="T154" s="368"/>
      <c r="U154" s="368"/>
    </row>
    <row r="155" spans="1:21" x14ac:dyDescent="0.35">
      <c r="B155" s="108" t="str">
        <f>IFERROR(IF($E$3="England","",$J$3),"")</f>
        <v/>
      </c>
      <c r="C155" s="225">
        <f>_xlfn.XLOOKUP(B155&amp;"ARGNTotal",FLAT_FILE[Concat],FLAT_FILE[LADR_AVRENT],0,0)</f>
        <v>0</v>
      </c>
      <c r="D155" s="216">
        <f>_xlfn.XLOOKUP(B155&amp;"ARGNTotal",FLAT_FILE[Concat],FLAT_FILE[LADR_Own],0,0)</f>
        <v>0</v>
      </c>
      <c r="E155" s="225">
        <f>_xlfn.XLOOKUP(B155&amp;"ARGNTotal",FLAT_FILE[Concat],FLAT_FILE[SDR_AVRENT],0,0)</f>
        <v>0</v>
      </c>
      <c r="F155" s="216">
        <f>_xlfn.XLOOKUP(B155&amp;"ARGNTotal",FLAT_FILE[Concat],FLAT_FILE[SDR_Own],0,0)</f>
        <v>0</v>
      </c>
      <c r="G155" s="226">
        <f>_xlfn.XLOOKUP(B155&amp;"ARGNTotal",FLAT_FILE[Concat],FLAT_FILE[COMB_AVRent],0,0)</f>
        <v>0</v>
      </c>
      <c r="H155" s="67"/>
      <c r="Q155" s="101"/>
      <c r="R155" s="101"/>
      <c r="S155" s="101"/>
      <c r="T155" s="101"/>
      <c r="U155" s="101"/>
    </row>
    <row r="156" spans="1:21" x14ac:dyDescent="0.35">
      <c r="B156" s="105"/>
      <c r="C156" s="222"/>
      <c r="D156" s="222"/>
      <c r="E156" s="222"/>
      <c r="F156" s="222"/>
      <c r="G156" s="226"/>
      <c r="H156" s="67"/>
      <c r="Q156" s="101"/>
      <c r="R156" s="101"/>
      <c r="S156" s="101"/>
      <c r="T156" s="101"/>
      <c r="U156" s="101"/>
    </row>
    <row r="157" spans="1:21" ht="13.9" x14ac:dyDescent="0.4">
      <c r="B157" s="369" t="s">
        <v>109</v>
      </c>
      <c r="C157" s="370">
        <f>_xlfn.XLOOKUP(B157&amp;"ARGNTotal",FLAT_FILE[Concat],FLAT_FILE[LADR_AVRENT],0,0)</f>
        <v>169.49</v>
      </c>
      <c r="D157" s="375">
        <f>_xlfn.XLOOKUP(B157&amp;"ARGNTotal",FLAT_FILE[Concat],FLAT_FILE[LADR_Own],0,0)</f>
        <v>41997</v>
      </c>
      <c r="E157" s="370">
        <f>_xlfn.XLOOKUP(B157&amp;"ARGNTotal",FLAT_FILE[Concat],FLAT_FILE[SDR_AVRENT],0,0)</f>
        <v>168.09</v>
      </c>
      <c r="F157" s="376">
        <f>_xlfn.XLOOKUP(B157&amp;"ARGNTotal",FLAT_FILE[Concat],FLAT_FILE[SDR_Own],0,0)</f>
        <v>358773</v>
      </c>
      <c r="G157" s="294">
        <f>_xlfn.XLOOKUP(B157&amp;"ARGNTotal",FLAT_FILE[Concat],FLAT_FILE[COMB_AVRent],0,0)</f>
        <v>168.23</v>
      </c>
      <c r="H157" s="67"/>
      <c r="Q157" s="101"/>
      <c r="R157" s="101"/>
      <c r="S157" s="101"/>
      <c r="T157" s="101"/>
      <c r="U157" s="101"/>
    </row>
    <row r="158" spans="1:21" x14ac:dyDescent="0.35">
      <c r="B158" s="131"/>
      <c r="G158" s="361"/>
      <c r="H158" s="67"/>
      <c r="Q158" s="101"/>
      <c r="R158" s="101"/>
      <c r="S158" s="101"/>
      <c r="T158" s="101"/>
      <c r="U158" s="101"/>
    </row>
    <row r="159" spans="1:21" x14ac:dyDescent="0.35">
      <c r="B159" s="288" t="s">
        <v>125</v>
      </c>
      <c r="G159" s="361"/>
      <c r="H159" s="67"/>
      <c r="Q159" s="101"/>
      <c r="R159" s="101"/>
      <c r="S159" s="101"/>
      <c r="T159" s="101"/>
      <c r="U159" s="101"/>
    </row>
    <row r="161" spans="1:8" x14ac:dyDescent="0.35">
      <c r="B161" s="132" t="s">
        <v>152</v>
      </c>
      <c r="C161" s="133"/>
      <c r="D161" s="133"/>
      <c r="E161" s="133"/>
      <c r="F161" s="133"/>
      <c r="G161" s="134"/>
      <c r="H161" s="67"/>
    </row>
    <row r="162" spans="1:8" x14ac:dyDescent="0.35">
      <c r="B162" s="132"/>
      <c r="C162" s="133"/>
      <c r="D162" s="133"/>
      <c r="E162" s="133"/>
      <c r="F162" s="133"/>
      <c r="G162" s="134"/>
      <c r="H162" s="67"/>
    </row>
    <row r="163" spans="1:8" x14ac:dyDescent="0.35">
      <c r="B163" s="132"/>
      <c r="C163" s="133"/>
      <c r="D163" s="133"/>
      <c r="E163" s="133"/>
      <c r="F163" s="133"/>
      <c r="G163" s="134"/>
      <c r="H163" s="67"/>
    </row>
    <row r="164" spans="1:8" x14ac:dyDescent="0.35">
      <c r="B164" s="330" t="s">
        <v>111</v>
      </c>
      <c r="C164" s="346"/>
      <c r="D164" s="346"/>
      <c r="E164" s="346"/>
      <c r="F164" s="346"/>
      <c r="G164" s="374"/>
      <c r="H164" s="67"/>
    </row>
    <row r="165" spans="1:8" ht="13.9" x14ac:dyDescent="0.4">
      <c r="B165" s="100" t="str">
        <f>IF($E$5="No","The LARP section is blank because there is no LARP in the "&amp;$E$3&amp;" area.",IF($E$21=0,"This LARP is registered but does not currently own any stock.",""))</f>
        <v>This LARP is registered but does not currently own any stock.</v>
      </c>
      <c r="H165" s="67"/>
    </row>
    <row r="166" spans="1:8" ht="15" x14ac:dyDescent="0.35">
      <c r="A166" s="439">
        <v>8</v>
      </c>
      <c r="B166" s="355" t="s">
        <v>153</v>
      </c>
      <c r="C166" s="99"/>
      <c r="D166" s="99"/>
      <c r="E166" s="99"/>
      <c r="F166" s="99"/>
      <c r="G166" s="356"/>
      <c r="H166" s="67"/>
    </row>
    <row r="167" spans="1:8" x14ac:dyDescent="0.35">
      <c r="A167" s="474"/>
      <c r="B167" s="446" t="str">
        <f>$P$147</f>
        <v>Average weekly gross rent (£ per week) and units for England - LARPs &amp; all PRPs</v>
      </c>
      <c r="C167" s="444" t="str">
        <f t="shared" ref="C167:G169" si="4">"Average weekly GROSS RENT (£ per week) for "&amp;$E$3&amp;", "&amp;$J$3&amp; " and England"</f>
        <v>Average weekly GROSS RENT (£ per week) for ,  and England</v>
      </c>
      <c r="D167" s="444" t="str">
        <f t="shared" si="4"/>
        <v>Average weekly GROSS RENT (£ per week) for ,  and England</v>
      </c>
      <c r="E167" s="444" t="str">
        <f t="shared" si="4"/>
        <v>Average weekly GROSS RENT (£ per week) for ,  and England</v>
      </c>
      <c r="F167" s="444" t="str">
        <f t="shared" si="4"/>
        <v>Average weekly GROSS RENT (£ per week) for ,  and England</v>
      </c>
      <c r="G167" s="445" t="str">
        <f t="shared" si="4"/>
        <v>Average weekly GROSS RENT (£ per week) for ,  and England</v>
      </c>
      <c r="H167" s="67"/>
    </row>
    <row r="168" spans="1:8" ht="14.55" customHeight="1" x14ac:dyDescent="0.4">
      <c r="A168" s="72"/>
      <c r="B168" s="446" t="str">
        <f>"Average weekly GROSS RENT (£ per week) for "&amp;$E$3&amp;", "&amp;$J$3&amp; " and England"</f>
        <v>Average weekly GROSS RENT (£ per week) for ,  and England</v>
      </c>
      <c r="C168" s="444" t="str">
        <f t="shared" si="4"/>
        <v>Average weekly GROSS RENT (£ per week) for ,  and England</v>
      </c>
      <c r="D168" s="444" t="str">
        <f t="shared" si="4"/>
        <v>Average weekly GROSS RENT (£ per week) for ,  and England</v>
      </c>
      <c r="E168" s="444" t="str">
        <f t="shared" si="4"/>
        <v>Average weekly GROSS RENT (£ per week) for ,  and England</v>
      </c>
      <c r="F168" s="444" t="str">
        <f t="shared" si="4"/>
        <v>Average weekly GROSS RENT (£ per week) for ,  and England</v>
      </c>
      <c r="G168" s="445" t="str">
        <f t="shared" si="4"/>
        <v>Average weekly GROSS RENT (£ per week) for ,  and England</v>
      </c>
      <c r="H168" s="102" t="str">
        <f>IFERROR(IF(B176="","Average weekly gross rent (£ per week) for England","Average weekly gross rent (£ per week) for "&amp;#REF!),"")</f>
        <v>Average weekly gross rent (£ per week) for England</v>
      </c>
    </row>
    <row r="169" spans="1:8" x14ac:dyDescent="0.35">
      <c r="B169" s="459" t="str">
        <f>"Average weekly GROSS RENT (£ per week) for "&amp;$E$3&amp;", "&amp;$J$3&amp; " and England"</f>
        <v>Average weekly GROSS RENT (£ per week) for ,  and England</v>
      </c>
      <c r="C169" s="444" t="str">
        <f t="shared" si="4"/>
        <v>Average weekly GROSS RENT (£ per week) for ,  and England</v>
      </c>
      <c r="D169" s="444" t="str">
        <f t="shared" si="4"/>
        <v>Average weekly GROSS RENT (£ per week) for ,  and England</v>
      </c>
      <c r="E169" s="460" t="str">
        <f t="shared" si="4"/>
        <v>Average weekly GROSS RENT (£ per week) for ,  and England</v>
      </c>
      <c r="F169" s="460" t="str">
        <f t="shared" si="4"/>
        <v>Average weekly GROSS RENT (£ per week) for ,  and England</v>
      </c>
      <c r="G169" s="461" t="str">
        <f t="shared" si="4"/>
        <v>Average weekly GROSS RENT (£ per week) for ,  and England</v>
      </c>
      <c r="H169" s="67"/>
    </row>
    <row r="170" spans="1:8" ht="13.9" x14ac:dyDescent="0.4">
      <c r="B170" s="215"/>
      <c r="C170" s="235" t="s">
        <v>117</v>
      </c>
      <c r="D170" s="235" t="s">
        <v>104</v>
      </c>
      <c r="E170" s="235" t="s">
        <v>118</v>
      </c>
      <c r="F170" s="235" t="s">
        <v>105</v>
      </c>
      <c r="G170" s="224" t="s">
        <v>112</v>
      </c>
      <c r="H170" s="67"/>
    </row>
    <row r="171" spans="1:8" ht="3" customHeight="1" x14ac:dyDescent="0.4">
      <c r="B171" s="141"/>
      <c r="C171" s="236"/>
      <c r="D171" s="236"/>
      <c r="E171" s="237"/>
      <c r="F171" s="237"/>
      <c r="G171" s="238"/>
    </row>
    <row r="172" spans="1:8" ht="13.9" x14ac:dyDescent="0.4">
      <c r="B172" s="362" t="str">
        <f>"Average weekly GROSS RENT (£ per week) for "&amp;$E$3&amp;", "&amp;$J$3&amp; " and England"</f>
        <v>Average weekly GROSS RENT (£ per week) for ,  and England</v>
      </c>
      <c r="C172" s="130" t="s">
        <v>150</v>
      </c>
      <c r="D172" s="136" t="s">
        <v>120</v>
      </c>
      <c r="E172" s="135" t="s">
        <v>150</v>
      </c>
      <c r="F172" s="136" t="s">
        <v>120</v>
      </c>
      <c r="G172" s="210" t="s">
        <v>151</v>
      </c>
      <c r="H172" s="67"/>
    </row>
    <row r="173" spans="1:8" ht="13.9" x14ac:dyDescent="0.4">
      <c r="B173" s="384" t="s">
        <v>154</v>
      </c>
      <c r="C173" s="385" t="s">
        <v>124</v>
      </c>
      <c r="D173" s="365" t="s">
        <v>123</v>
      </c>
      <c r="E173" s="385" t="s">
        <v>124</v>
      </c>
      <c r="F173" s="386" t="s">
        <v>123</v>
      </c>
      <c r="G173" s="209" t="s">
        <v>124</v>
      </c>
      <c r="H173" s="67"/>
    </row>
    <row r="174" spans="1:8" x14ac:dyDescent="0.35">
      <c r="B174" s="145" t="str">
        <f>IFERROR(IF($E$3=$J$3,"",$E$3),"")</f>
        <v/>
      </c>
      <c r="C174" s="225">
        <f>_xlfn.XLOOKUP(LookupMaster&amp;"ARSHHOPTotal",FLAT_FILE[Concat],FLAT_FILE[LADR_AVRENT],0,0)</f>
        <v>0</v>
      </c>
      <c r="D174" s="216">
        <f>_xlfn.XLOOKUP(LookupMaster&amp;"ARSHHOPTotal",FLAT_FILE[Concat],FLAT_FILE[LADR_Own],0,0)</f>
        <v>0</v>
      </c>
      <c r="E174" s="225">
        <f>_xlfn.XLOOKUP(LookupMaster&amp;"ARSHHOPTotal",FLAT_FILE[Concat],FLAT_FILE[SDR_AVRENT],0,0)</f>
        <v>0</v>
      </c>
      <c r="F174" s="216">
        <f>_xlfn.XLOOKUP(LookupMaster&amp;"ARSHHOPTotal",FLAT_FILE[Concat],FLAT_FILE[SDR_Own],0,0)</f>
        <v>0</v>
      </c>
      <c r="G174" s="231">
        <f>_xlfn.XLOOKUP(LookupMaster&amp;"ARSHHOPTotal",FLAT_FILE[Concat],FLAT_FILE[COMB_AVRent],0,0)</f>
        <v>0</v>
      </c>
      <c r="H174" s="67"/>
    </row>
    <row r="175" spans="1:8" x14ac:dyDescent="0.35">
      <c r="B175" s="105"/>
      <c r="C175" s="222"/>
      <c r="D175" s="222"/>
      <c r="E175" s="222"/>
      <c r="F175" s="222"/>
      <c r="G175" s="226"/>
      <c r="H175" s="67"/>
    </row>
    <row r="176" spans="1:8" x14ac:dyDescent="0.35">
      <c r="B176" s="108" t="str">
        <f>IFERROR(IF($E$3="England","",$J$3),"")</f>
        <v/>
      </c>
      <c r="C176" s="225">
        <f>_xlfn.XLOOKUP(B176&amp;"ARSHHOPTotal",FLAT_FILE[Concat],FLAT_FILE[LADR_AVRENT],0,0)</f>
        <v>0</v>
      </c>
      <c r="D176" s="216">
        <f>_xlfn.XLOOKUP(B176&amp;"ARSHHOPTotal",FLAT_FILE[Concat],FLAT_FILE[LADR_Own],0,0)</f>
        <v>0</v>
      </c>
      <c r="E176" s="225">
        <f>_xlfn.XLOOKUP(B176&amp;"ARSHHOPTotal",FLAT_FILE[Concat],FLAT_FILE[SDR_AVRENT],0,0)</f>
        <v>0</v>
      </c>
      <c r="F176" s="216">
        <f>_xlfn.XLOOKUP(B176&amp;"ARSHHOPTotal",FLAT_FILE[Concat],FLAT_FILE[SDR_Own],0,0)</f>
        <v>0</v>
      </c>
      <c r="G176" s="226">
        <f>_xlfn.XLOOKUP(B176&amp;"ARSHHOPTotal",FLAT_FILE[Concat],FLAT_FILE[COMB_AVRent],0,0)</f>
        <v>0</v>
      </c>
      <c r="H176" s="67"/>
    </row>
    <row r="178" spans="1:16" ht="13.9" x14ac:dyDescent="0.4">
      <c r="B178" s="369" t="s">
        <v>109</v>
      </c>
      <c r="C178" s="370">
        <f>_xlfn.XLOOKUP(B178&amp;"ARSHHOPTotal",FLAT_FILE[Concat],FLAT_FILE[LADR_AVRENT],0,0)</f>
        <v>177.61</v>
      </c>
      <c r="D178" s="375">
        <f>_xlfn.XLOOKUP(B178&amp;"ARSHHOPTotal",FLAT_FILE[Concat],FLAT_FILE[LADR_Own],0,0)</f>
        <v>5495</v>
      </c>
      <c r="E178" s="370">
        <f>_xlfn.XLOOKUP(B178&amp;"ARSHHOPTotal",FLAT_FILE[Concat],FLAT_FILE[SDR_AVRENT],0,0)</f>
        <v>231.1</v>
      </c>
      <c r="F178" s="376">
        <f>_xlfn.XLOOKUP(B178&amp;"ARSHHOPTotal",FLAT_FILE[Concat],FLAT_FILE[SDR_Own],0,0)</f>
        <v>17402</v>
      </c>
      <c r="G178" s="294">
        <f>_xlfn.XLOOKUP(B178&amp;"ARSHHOPTotal",FLAT_FILE[Concat],FLAT_FILE[COMB_AVRent],0,0)</f>
        <v>218.26</v>
      </c>
      <c r="H178" s="67"/>
    </row>
    <row r="179" spans="1:16" x14ac:dyDescent="0.35">
      <c r="B179" s="353"/>
      <c r="G179" s="361"/>
      <c r="H179" s="67"/>
    </row>
    <row r="180" spans="1:16" x14ac:dyDescent="0.35">
      <c r="B180" s="353"/>
      <c r="G180" s="361"/>
      <c r="H180" s="67"/>
    </row>
    <row r="181" spans="1:16" x14ac:dyDescent="0.35">
      <c r="B181" s="131"/>
      <c r="G181" s="361"/>
      <c r="H181" s="67"/>
    </row>
    <row r="182" spans="1:16" x14ac:dyDescent="0.35">
      <c r="B182" s="288" t="s">
        <v>125</v>
      </c>
      <c r="G182" s="361"/>
      <c r="H182" s="67"/>
    </row>
    <row r="183" spans="1:16" x14ac:dyDescent="0.35">
      <c r="B183" s="353"/>
      <c r="G183" s="361"/>
      <c r="H183" s="67"/>
    </row>
    <row r="184" spans="1:16" x14ac:dyDescent="0.35">
      <c r="B184" s="132" t="s">
        <v>152</v>
      </c>
      <c r="C184" s="133"/>
      <c r="D184" s="133"/>
      <c r="E184" s="133"/>
      <c r="F184" s="133"/>
      <c r="G184" s="134"/>
      <c r="H184" s="67"/>
    </row>
    <row r="185" spans="1:16" x14ac:dyDescent="0.35">
      <c r="B185" s="132"/>
      <c r="C185" s="133"/>
      <c r="D185" s="133"/>
      <c r="E185" s="133"/>
      <c r="F185" s="133"/>
      <c r="G185" s="134"/>
      <c r="H185" s="67"/>
    </row>
    <row r="186" spans="1:16" x14ac:dyDescent="0.35">
      <c r="B186" s="132"/>
      <c r="C186" s="133"/>
      <c r="D186" s="133"/>
      <c r="E186" s="133"/>
      <c r="F186" s="133"/>
      <c r="G186" s="134"/>
      <c r="H186" s="67"/>
    </row>
    <row r="187" spans="1:16" ht="13.9" x14ac:dyDescent="0.4">
      <c r="B187" s="330" t="s">
        <v>111</v>
      </c>
      <c r="C187" s="346"/>
      <c r="D187" s="346"/>
      <c r="E187" s="346"/>
      <c r="F187" s="346"/>
      <c r="G187" s="374"/>
      <c r="H187" s="67"/>
      <c r="I187" s="70"/>
      <c r="J187" s="70"/>
      <c r="K187" s="70"/>
      <c r="L187" s="70"/>
      <c r="M187" s="70"/>
    </row>
    <row r="188" spans="1:16" ht="13.9" x14ac:dyDescent="0.4">
      <c r="B188" s="100" t="str">
        <f>IF($E$5="No","The LARP section is blank because there is no LARP in the "&amp;$E$3&amp;" area.",IF($E$21=0,"This LARP is registered but does not currently own any stock.",""))</f>
        <v>This LARP is registered but does not currently own any stock.</v>
      </c>
      <c r="C188" s="296"/>
      <c r="D188" s="296"/>
      <c r="E188" s="296"/>
      <c r="F188" s="296"/>
      <c r="G188" s="296"/>
      <c r="H188" s="69"/>
      <c r="I188" s="114"/>
      <c r="J188" s="70"/>
      <c r="K188" s="70"/>
      <c r="L188" s="70"/>
      <c r="M188" s="70"/>
    </row>
    <row r="189" spans="1:16" ht="15" x14ac:dyDescent="0.4">
      <c r="A189" s="439">
        <v>9</v>
      </c>
      <c r="B189" s="355" t="s">
        <v>148</v>
      </c>
      <c r="C189" s="99"/>
      <c r="D189" s="99"/>
      <c r="E189" s="99"/>
      <c r="F189" s="137"/>
      <c r="G189" s="356"/>
      <c r="I189" s="70"/>
      <c r="J189" s="70"/>
      <c r="K189" s="70"/>
      <c r="L189" s="70"/>
      <c r="M189" s="70"/>
      <c r="P189" s="217" t="s">
        <v>155</v>
      </c>
    </row>
    <row r="190" spans="1:16" ht="13.9" x14ac:dyDescent="0.4">
      <c r="A190" s="434"/>
      <c r="B190" s="446" t="str">
        <f>IFERROR($P$193,"")</f>
        <v>Average weekly gross rent (£ per week) and units by unit size for  LARPs &amp; all PRPs</v>
      </c>
      <c r="C190" s="456"/>
      <c r="D190" s="456"/>
      <c r="E190" s="456"/>
      <c r="F190" s="456"/>
      <c r="G190" s="457"/>
      <c r="I190" s="70"/>
      <c r="J190" s="70"/>
      <c r="K190" s="70"/>
      <c r="L190" s="70"/>
      <c r="M190" s="70"/>
    </row>
    <row r="191" spans="1:16" ht="13.9" x14ac:dyDescent="0.4">
      <c r="B191" s="458"/>
      <c r="C191" s="456"/>
      <c r="D191" s="456"/>
      <c r="E191" s="456"/>
      <c r="F191" s="456"/>
      <c r="G191" s="457"/>
      <c r="I191" s="70"/>
      <c r="J191" s="70"/>
      <c r="K191" s="70"/>
      <c r="L191" s="70"/>
      <c r="M191" s="70"/>
      <c r="P191" s="357"/>
    </row>
    <row r="192" spans="1:16" ht="13.9" x14ac:dyDescent="0.4">
      <c r="B192" s="465"/>
      <c r="C192" s="466"/>
      <c r="D192" s="466"/>
      <c r="E192" s="466"/>
      <c r="F192" s="466"/>
      <c r="G192" s="467"/>
      <c r="I192" s="70"/>
      <c r="J192" s="70"/>
      <c r="K192" s="70"/>
      <c r="L192" s="70"/>
      <c r="M192" s="70"/>
      <c r="P192" s="358" t="str">
        <f>IF($E$3=$J$3,"Average weekly gross rent (£ per week) and units by unit size for "&amp;$E$3&amp; " LARPs &amp; all PRPs","Average weekly gross rent (£ per week) and units by unit size for "&amp;$E$3&amp; " LARP &amp; all PRPs")</f>
        <v>Average weekly gross rent (£ per week) and units by unit size for  LARPs &amp; all PRPs</v>
      </c>
    </row>
    <row r="193" spans="1:16" ht="13.9" x14ac:dyDescent="0.4">
      <c r="B193" s="118"/>
      <c r="C193" s="235" t="s">
        <v>117</v>
      </c>
      <c r="D193" s="235" t="s">
        <v>104</v>
      </c>
      <c r="E193" s="235" t="s">
        <v>118</v>
      </c>
      <c r="F193" s="235" t="s">
        <v>105</v>
      </c>
      <c r="G193" s="224" t="s">
        <v>112</v>
      </c>
      <c r="I193" s="70"/>
      <c r="J193" s="70"/>
      <c r="K193" s="70"/>
      <c r="L193" s="70"/>
      <c r="M193" s="70"/>
      <c r="P193" s="104" t="str">
        <f>IF(E5="No","Average weekly gross rent (£ per week) and units by unit size for "&amp;E3&amp;" - all PRPs",P192)</f>
        <v>Average weekly gross rent (£ per week) and units by unit size for  LARPs &amp; all PRPs</v>
      </c>
    </row>
    <row r="194" spans="1:16" ht="3" customHeight="1" x14ac:dyDescent="0.4">
      <c r="B194" s="141"/>
      <c r="C194" s="236"/>
      <c r="D194" s="236"/>
      <c r="E194" s="237"/>
      <c r="F194" s="237"/>
      <c r="G194" s="238"/>
      <c r="I194" s="70"/>
      <c r="J194" s="70"/>
      <c r="K194" s="70"/>
      <c r="L194" s="70"/>
      <c r="M194" s="70"/>
    </row>
    <row r="195" spans="1:16" ht="13.9" x14ac:dyDescent="0.4">
      <c r="B195" s="387" t="s">
        <v>132</v>
      </c>
      <c r="C195" s="130" t="s">
        <v>150</v>
      </c>
      <c r="D195" s="136" t="s">
        <v>120</v>
      </c>
      <c r="E195" s="135" t="s">
        <v>150</v>
      </c>
      <c r="F195" s="136" t="s">
        <v>120</v>
      </c>
      <c r="G195" s="210" t="s">
        <v>151</v>
      </c>
      <c r="I195" s="70"/>
      <c r="J195" s="70"/>
      <c r="K195" s="70"/>
      <c r="L195" s="70"/>
      <c r="M195" s="70"/>
      <c r="P195" s="105" t="str">
        <f>IF($E$3=$J$3,"Average weekly gross rent (£ per week) by unit size for "&amp;$E$3&amp; " LARPs &amp; all PRPs","Average weekly gross rent (£ per week) by unit size for "&amp;$E$3&amp; " LARP &amp; all PRPs")</f>
        <v>Average weekly gross rent (£ per week) by unit size for  LARPs &amp; all PRPs</v>
      </c>
    </row>
    <row r="196" spans="1:16" ht="13.9" x14ac:dyDescent="0.4">
      <c r="B196" s="317"/>
      <c r="C196" s="385" t="s">
        <v>124</v>
      </c>
      <c r="D196" s="365" t="s">
        <v>123</v>
      </c>
      <c r="E196" s="385" t="s">
        <v>124</v>
      </c>
      <c r="F196" s="386" t="s">
        <v>123</v>
      </c>
      <c r="G196" s="209" t="s">
        <v>124</v>
      </c>
      <c r="I196" s="70"/>
      <c r="J196" s="70"/>
      <c r="K196" s="70"/>
      <c r="L196" s="70"/>
      <c r="M196" s="70"/>
      <c r="P196" s="104" t="str">
        <f>IF(E5="No","Average weekly gross rent (£ per week) by unit size for "&amp;E3&amp;" - all PRPs",P195)</f>
        <v>Average weekly gross rent (£ per week) by unit size for  LARPs &amp; all PRPs</v>
      </c>
    </row>
    <row r="197" spans="1:16" ht="13.9" x14ac:dyDescent="0.4">
      <c r="A197" s="66">
        <f t="shared" ref="A197:A206" si="5">$E$3</f>
        <v>0</v>
      </c>
      <c r="B197" s="228" t="s">
        <v>133</v>
      </c>
      <c r="C197" s="285">
        <f>_xlfn.XLOOKUP(LookupMaster&amp;"ARGNNSC",FLAT_FILE[Concat],FLAT_FILE[LADR_AVRENT],0,)</f>
        <v>0</v>
      </c>
      <c r="D197" s="216">
        <f>_xlfn.XLOOKUP(LookupMaster&amp;"ARGNNSC",FLAT_FILE[Concat],FLAT_FILE[LADR_Own],0,)</f>
        <v>0</v>
      </c>
      <c r="E197" s="285">
        <f>_xlfn.XLOOKUP(LookupMaster&amp;"ARGNNSC",FLAT_FILE[Concat],FLAT_FILE[SDR_AVRENT],0,)</f>
        <v>0</v>
      </c>
      <c r="F197" s="216">
        <f>_xlfn.XLOOKUP(LookupMaster&amp;"ARGNNSC",FLAT_FILE[Concat],FLAT_FILE[SDR_Own],0,)</f>
        <v>0</v>
      </c>
      <c r="G197" s="226">
        <f>_xlfn.XLOOKUP(LookupMaster&amp;"ARGNNSC",FLAT_FILE[Concat],FLAT_FILE[COMB_AVRent],0,)</f>
        <v>0</v>
      </c>
      <c r="I197" s="70"/>
      <c r="J197" s="70"/>
      <c r="K197" s="70"/>
      <c r="L197" s="70"/>
      <c r="M197" s="70"/>
    </row>
    <row r="198" spans="1:16" ht="13.9" x14ac:dyDescent="0.4">
      <c r="A198" s="66">
        <f t="shared" si="5"/>
        <v>0</v>
      </c>
      <c r="B198" s="228" t="s">
        <v>134</v>
      </c>
      <c r="C198" s="286">
        <f>_xlfn.XLOOKUP(LookupMaster&amp;"ARGNbdst",FLAT_FILE[Concat],FLAT_FILE[LADR_AVRENT],0,)</f>
        <v>0</v>
      </c>
      <c r="D198" s="216">
        <f>_xlfn.XLOOKUP(LookupMaster&amp;"ARGNbdst",FLAT_FILE[Concat],FLAT_FILE[LADR_Own],0,)</f>
        <v>0</v>
      </c>
      <c r="E198" s="286">
        <f>_xlfn.XLOOKUP(LookupMaster&amp;"ARGNbdst",FLAT_FILE[Concat],FLAT_FILE[SDR_AVRENT],0,)</f>
        <v>0</v>
      </c>
      <c r="F198" s="216">
        <f>_xlfn.XLOOKUP(LookupMaster&amp;"ARGNbdst",FLAT_FILE[Concat],FLAT_FILE[SDR_Own],0,)</f>
        <v>0</v>
      </c>
      <c r="G198" s="226">
        <f>_xlfn.XLOOKUP(LookupMaster&amp;"ARGNbdst",FLAT_FILE[Concat],FLAT_FILE[COMB_AVRent],0,)</f>
        <v>0</v>
      </c>
      <c r="I198" s="70"/>
      <c r="J198" s="70"/>
      <c r="K198" s="70"/>
      <c r="L198" s="70"/>
      <c r="M198" s="70"/>
    </row>
    <row r="199" spans="1:16" ht="13.9" x14ac:dyDescent="0.4">
      <c r="A199" s="66">
        <f t="shared" si="5"/>
        <v>0</v>
      </c>
      <c r="B199" s="228" t="s">
        <v>135</v>
      </c>
      <c r="C199" s="286">
        <f>_xlfn.XLOOKUP(LookupMaster&amp;"ARGN1bd",FLAT_FILE[Concat],FLAT_FILE[LADR_AVRENT],0,)</f>
        <v>0</v>
      </c>
      <c r="D199" s="229">
        <f>_xlfn.XLOOKUP(LookupMaster&amp;"ARGN1bd",FLAT_FILE[Concat],FLAT_FILE[LADR_Own],0,)</f>
        <v>0</v>
      </c>
      <c r="E199" s="286">
        <f>_xlfn.XLOOKUP(LookupMaster&amp;"ARGN1bd",FLAT_FILE[Concat],FLAT_FILE[SDR_AVRENT],0,)</f>
        <v>0</v>
      </c>
      <c r="F199" s="229">
        <f>_xlfn.XLOOKUP(LookupMaster&amp;"ARGN1bd",FLAT_FILE[Concat],FLAT_FILE[SDR_Own],0,)</f>
        <v>0</v>
      </c>
      <c r="G199" s="226">
        <f>_xlfn.XLOOKUP(LookupMaster&amp;"ARGN1bd",FLAT_FILE[Concat],FLAT_FILE[COMB_AVRent],0,)</f>
        <v>0</v>
      </c>
      <c r="I199" s="70"/>
      <c r="J199" s="70"/>
      <c r="K199" s="70"/>
      <c r="L199" s="70"/>
      <c r="M199" s="70"/>
    </row>
    <row r="200" spans="1:16" ht="13.9" x14ac:dyDescent="0.4">
      <c r="A200" s="66">
        <f t="shared" si="5"/>
        <v>0</v>
      </c>
      <c r="B200" s="228" t="s">
        <v>136</v>
      </c>
      <c r="C200" s="286">
        <f>_xlfn.XLOOKUP(LookupMaster&amp;"ARGN2bd",FLAT_FILE[Concat],FLAT_FILE[LADR_AVRENT],0,)</f>
        <v>0</v>
      </c>
      <c r="D200" s="229">
        <f>_xlfn.XLOOKUP(LookupMaster&amp;"ARGN2bd",FLAT_FILE[Concat],FLAT_FILE[LADR_Own],0,)</f>
        <v>0</v>
      </c>
      <c r="E200" s="286">
        <f>_xlfn.XLOOKUP(LookupMaster&amp;"ARGN2bd",FLAT_FILE[Concat],FLAT_FILE[SDR_AVRENT],0,)</f>
        <v>0</v>
      </c>
      <c r="F200" s="229">
        <f>_xlfn.XLOOKUP(LookupMaster&amp;"ARGN2bd",FLAT_FILE[Concat],FLAT_FILE[SDR_Own],0,)</f>
        <v>0</v>
      </c>
      <c r="G200" s="226">
        <f>_xlfn.XLOOKUP(LookupMaster&amp;"ARGN2bd",FLAT_FILE[Concat],FLAT_FILE[COMB_AVRent],0,)</f>
        <v>0</v>
      </c>
      <c r="I200" s="70"/>
      <c r="J200" s="70"/>
      <c r="K200" s="70"/>
      <c r="L200" s="70"/>
      <c r="M200" s="70"/>
    </row>
    <row r="201" spans="1:16" ht="13.9" x14ac:dyDescent="0.4">
      <c r="A201" s="66">
        <f t="shared" si="5"/>
        <v>0</v>
      </c>
      <c r="B201" s="228" t="s">
        <v>137</v>
      </c>
      <c r="C201" s="286">
        <f>_xlfn.XLOOKUP(LookupMaster&amp;"ARGN3bd",FLAT_FILE[Concat],FLAT_FILE[LADR_AVRENT],0,)</f>
        <v>0</v>
      </c>
      <c r="D201" s="229">
        <f>_xlfn.XLOOKUP(LookupMaster&amp;"ARGN3bd",FLAT_FILE[Concat],FLAT_FILE[LADR_Own],0,)</f>
        <v>0</v>
      </c>
      <c r="E201" s="286">
        <f>_xlfn.XLOOKUP(LookupMaster&amp;"ARGN3bd",FLAT_FILE[Concat],FLAT_FILE[SDR_AVRENT],0,)</f>
        <v>0</v>
      </c>
      <c r="F201" s="229">
        <f>_xlfn.XLOOKUP(LookupMaster&amp;"ARGN3bd",FLAT_FILE[Concat],FLAT_FILE[SDR_Own],0,)</f>
        <v>0</v>
      </c>
      <c r="G201" s="226">
        <f>_xlfn.XLOOKUP(LookupMaster&amp;"ARGN3bd",FLAT_FILE[Concat],FLAT_FILE[COMB_AVRent],0,)</f>
        <v>0</v>
      </c>
      <c r="I201" s="70"/>
      <c r="J201" s="70"/>
      <c r="K201" s="70"/>
      <c r="L201" s="70"/>
      <c r="M201" s="70"/>
    </row>
    <row r="202" spans="1:16" ht="13.9" x14ac:dyDescent="0.4">
      <c r="A202" s="66">
        <f t="shared" si="5"/>
        <v>0</v>
      </c>
      <c r="B202" s="228" t="s">
        <v>138</v>
      </c>
      <c r="C202" s="286">
        <f>_xlfn.XLOOKUP(LookupMaster&amp;"ARGN4bd",FLAT_FILE[Concat],FLAT_FILE[LADR_AVRENT],0,)</f>
        <v>0</v>
      </c>
      <c r="D202" s="229">
        <f>_xlfn.XLOOKUP(LookupMaster&amp;"ARGN4bd",FLAT_FILE[Concat],FLAT_FILE[LADR_Own],0,)</f>
        <v>0</v>
      </c>
      <c r="E202" s="286">
        <f>_xlfn.XLOOKUP(LookupMaster&amp;"ARGN4bd",FLAT_FILE[Concat],FLAT_FILE[SDR_AVRENT],0,)</f>
        <v>0</v>
      </c>
      <c r="F202" s="229">
        <f>_xlfn.XLOOKUP(LookupMaster&amp;"ARGN4bd",FLAT_FILE[Concat],FLAT_FILE[SDR_Own],0,)</f>
        <v>0</v>
      </c>
      <c r="G202" s="226">
        <f>_xlfn.XLOOKUP(LookupMaster&amp;"ARGN4bd",FLAT_FILE[Concat],FLAT_FILE[COMB_AVRent],0,)</f>
        <v>0</v>
      </c>
      <c r="I202" s="70"/>
      <c r="J202" s="70"/>
      <c r="K202" s="70"/>
      <c r="L202" s="70"/>
      <c r="M202" s="70"/>
    </row>
    <row r="203" spans="1:16" ht="13.9" x14ac:dyDescent="0.4">
      <c r="A203" s="66">
        <f t="shared" si="5"/>
        <v>0</v>
      </c>
      <c r="B203" s="228" t="s">
        <v>139</v>
      </c>
      <c r="C203" s="286">
        <f>_xlfn.XLOOKUP(LookupMaster&amp;"ARGN5bd",FLAT_FILE[Concat],FLAT_FILE[LADR_AVRENT],0,)</f>
        <v>0</v>
      </c>
      <c r="D203" s="229">
        <f>_xlfn.XLOOKUP(LookupMaster&amp;"ARGN5bd",FLAT_FILE[Concat],FLAT_FILE[LADR_Own],0,)</f>
        <v>0</v>
      </c>
      <c r="E203" s="286">
        <f>_xlfn.XLOOKUP(LookupMaster&amp;"ARGN5bd",FLAT_FILE[Concat],FLAT_FILE[SDR_AVRENT],0,)</f>
        <v>0</v>
      </c>
      <c r="F203" s="229">
        <f>_xlfn.XLOOKUP(LookupMaster&amp;"ARGN5bd",FLAT_FILE[Concat],FLAT_FILE[SDR_Own],0,)</f>
        <v>0</v>
      </c>
      <c r="G203" s="226">
        <f>_xlfn.XLOOKUP(LookupMaster&amp;"ARGN5bd",FLAT_FILE[Concat],FLAT_FILE[COMB_AVRent],0,)</f>
        <v>0</v>
      </c>
      <c r="I203" s="70"/>
      <c r="J203" s="70"/>
      <c r="K203" s="70"/>
      <c r="L203" s="70"/>
      <c r="M203" s="70"/>
    </row>
    <row r="204" spans="1:16" ht="13.9" x14ac:dyDescent="0.4">
      <c r="A204" s="66">
        <f t="shared" si="5"/>
        <v>0</v>
      </c>
      <c r="B204" s="228" t="s">
        <v>140</v>
      </c>
      <c r="C204" s="286">
        <f>_xlfn.XLOOKUP(LookupMaster&amp;"ARGN6bd",FLAT_FILE[Concat],FLAT_FILE[LADR_AVRENT],0,)</f>
        <v>0</v>
      </c>
      <c r="D204" s="229">
        <f>_xlfn.XLOOKUP(LookupMaster&amp;"ARGN6bd",FLAT_FILE[Concat],FLAT_FILE[LADR_Own],0,)</f>
        <v>0</v>
      </c>
      <c r="E204" s="286">
        <f>_xlfn.XLOOKUP(LookupMaster&amp;"ARGN6bd",FLAT_FILE[Concat],FLAT_FILE[SDR_AVRENT],0,)</f>
        <v>0</v>
      </c>
      <c r="F204" s="229">
        <f>_xlfn.XLOOKUP(LookupMaster&amp;"ARGN6bd",FLAT_FILE[Concat],FLAT_FILE[SDR_Own],0,)</f>
        <v>0</v>
      </c>
      <c r="G204" s="226">
        <f>_xlfn.XLOOKUP(LookupMaster&amp;"ARGN6bd",FLAT_FILE[Concat],FLAT_FILE[COMB_AVRent],0,)</f>
        <v>0</v>
      </c>
      <c r="I204" s="70"/>
      <c r="J204" s="70"/>
      <c r="K204" s="70"/>
      <c r="L204" s="70"/>
      <c r="M204" s="70"/>
    </row>
    <row r="205" spans="1:16" ht="13.9" x14ac:dyDescent="0.4">
      <c r="A205" s="66">
        <f t="shared" si="5"/>
        <v>0</v>
      </c>
      <c r="B205" s="317" t="s">
        <v>141</v>
      </c>
      <c r="C205" s="287">
        <f>_xlfn.XLOOKUP(LookupMaster&amp;"ARGNSC",FLAT_FILE[Concat],FLAT_FILE[LADR_AVRENT],0,)</f>
        <v>0</v>
      </c>
      <c r="D205" s="229">
        <f>_xlfn.XLOOKUP(LookupMaster&amp;"ARGNSC",FLAT_FILE[Concat],FLAT_FILE[LADR_Own],0,)</f>
        <v>0</v>
      </c>
      <c r="E205" s="287">
        <f>_xlfn.XLOOKUP(LookupMaster&amp;"ARGNSC",FLAT_FILE[Concat],FLAT_FILE[SDR_AVRENT],0,)</f>
        <v>0</v>
      </c>
      <c r="F205" s="229">
        <f>_xlfn.XLOOKUP(LookupMaster&amp;"ARGNSC",FLAT_FILE[Concat],FLAT_FILE[SDR_Own],0,)</f>
        <v>0</v>
      </c>
      <c r="G205" s="227">
        <f>_xlfn.XLOOKUP(LookupMaster&amp;"ARGNSC",FLAT_FILE[Concat],FLAT_FILE[COMB_AVRent],0,)</f>
        <v>0</v>
      </c>
      <c r="I205" s="70"/>
      <c r="J205" s="70"/>
      <c r="K205" s="70"/>
      <c r="L205" s="70"/>
      <c r="M205" s="70"/>
    </row>
    <row r="206" spans="1:16" ht="13.9" x14ac:dyDescent="0.4">
      <c r="A206" s="66">
        <f t="shared" si="5"/>
        <v>0</v>
      </c>
      <c r="B206" s="323" t="s">
        <v>142</v>
      </c>
      <c r="C206" s="292">
        <f>_xlfn.XLOOKUP(LookupMaster&amp;"ARGNtotal",FLAT_FILE[Concat],FLAT_FILE[LADR_AVRENT],0,)</f>
        <v>0</v>
      </c>
      <c r="D206" s="121">
        <f>_xlfn.XLOOKUP(LookupMaster&amp;"ARGNtotal",FLAT_FILE[Concat],FLAT_FILE[LADR_Own],0,)</f>
        <v>0</v>
      </c>
      <c r="E206" s="292">
        <f>_xlfn.XLOOKUP(LookupMaster&amp;"ARGNtotal",FLAT_FILE[Concat],FLAT_FILE[SDR_AVRENT],0,)</f>
        <v>0</v>
      </c>
      <c r="F206" s="121">
        <f>_xlfn.XLOOKUP(LookupMaster&amp;"ARGNtotal",FLAT_FILE[Concat],FLAT_FILE[SDR_Own],0,)</f>
        <v>0</v>
      </c>
      <c r="G206" s="293">
        <f>_xlfn.XLOOKUP(LookupMaster&amp;"ARGNtotal",FLAT_FILE[Concat],FLAT_FILE[COMB_AVRent],0,)</f>
        <v>0</v>
      </c>
      <c r="I206" s="70"/>
      <c r="J206" s="70"/>
      <c r="K206" s="70"/>
      <c r="L206" s="70"/>
      <c r="M206" s="70"/>
    </row>
    <row r="207" spans="1:16" ht="13.9" x14ac:dyDescent="0.4">
      <c r="B207" s="288" t="s">
        <v>125</v>
      </c>
      <c r="G207" s="361"/>
      <c r="I207" s="70"/>
      <c r="J207" s="70"/>
      <c r="K207" s="70"/>
      <c r="L207" s="70"/>
      <c r="M207" s="70"/>
    </row>
    <row r="208" spans="1:16" ht="13.9" x14ac:dyDescent="0.4">
      <c r="B208" s="132" t="s">
        <v>152</v>
      </c>
      <c r="C208" s="138"/>
      <c r="D208" s="138"/>
      <c r="E208" s="138"/>
      <c r="F208" s="138"/>
      <c r="G208" s="139"/>
      <c r="I208" s="70"/>
      <c r="J208" s="70"/>
      <c r="K208" s="70"/>
      <c r="L208" s="70"/>
      <c r="M208" s="70"/>
    </row>
    <row r="210" spans="1:7" x14ac:dyDescent="0.35">
      <c r="B210" s="330" t="s">
        <v>111</v>
      </c>
      <c r="C210" s="346"/>
      <c r="D210" s="346"/>
      <c r="E210" s="346"/>
      <c r="F210" s="346"/>
      <c r="G210" s="374"/>
    </row>
    <row r="211" spans="1:7" ht="13.9" x14ac:dyDescent="0.4">
      <c r="B211" s="100" t="str">
        <f>IF($E$5="No","The LARP section is blank because there is no LARP in the "&amp;$E$3&amp;" area.",IF($E$21=0,"This LARP is registered but does not currently own any stock.",""))</f>
        <v>This LARP is registered but does not currently own any stock.</v>
      </c>
      <c r="E211" s="68"/>
      <c r="F211" s="68"/>
      <c r="G211" s="68"/>
    </row>
    <row r="212" spans="1:7" ht="15" x14ac:dyDescent="0.35">
      <c r="A212" s="439">
        <v>10</v>
      </c>
      <c r="B212" s="355" t="s">
        <v>153</v>
      </c>
      <c r="C212" s="99"/>
      <c r="D212" s="99"/>
      <c r="E212" s="99"/>
      <c r="F212" s="137"/>
      <c r="G212" s="356"/>
    </row>
    <row r="213" spans="1:7" x14ac:dyDescent="0.35">
      <c r="A213" s="474"/>
      <c r="B213" s="475" t="str">
        <f>IFERROR($P$193,"")</f>
        <v>Average weekly gross rent (£ per week) and units by unit size for  LARPs &amp; all PRPs</v>
      </c>
      <c r="C213" s="476"/>
      <c r="D213" s="476"/>
      <c r="E213" s="476"/>
      <c r="F213" s="476"/>
      <c r="G213" s="477"/>
    </row>
    <row r="214" spans="1:7" x14ac:dyDescent="0.35">
      <c r="B214" s="475"/>
      <c r="C214" s="476"/>
      <c r="D214" s="476"/>
      <c r="E214" s="476"/>
      <c r="F214" s="476"/>
      <c r="G214" s="477"/>
    </row>
    <row r="215" spans="1:7" x14ac:dyDescent="0.35">
      <c r="B215" s="388"/>
      <c r="C215" s="389"/>
      <c r="D215" s="389"/>
      <c r="E215" s="389"/>
      <c r="F215" s="389"/>
      <c r="G215" s="390"/>
    </row>
    <row r="216" spans="1:7" ht="13.9" x14ac:dyDescent="0.4">
      <c r="B216" s="141" t="str">
        <f>B213</f>
        <v>Average weekly gross rent (£ per week) and units by unit size for  LARPs &amp; all PRPs</v>
      </c>
      <c r="C216" s="235" t="s">
        <v>117</v>
      </c>
      <c r="D216" s="235" t="s">
        <v>104</v>
      </c>
      <c r="E216" s="235" t="s">
        <v>118</v>
      </c>
      <c r="F216" s="235" t="s">
        <v>105</v>
      </c>
      <c r="G216" s="224" t="s">
        <v>112</v>
      </c>
    </row>
    <row r="217" spans="1:7" ht="3" customHeight="1" x14ac:dyDescent="0.4">
      <c r="B217" s="141"/>
      <c r="C217" s="236"/>
      <c r="D217" s="236"/>
      <c r="E217" s="237"/>
      <c r="F217" s="237"/>
      <c r="G217" s="238"/>
    </row>
    <row r="218" spans="1:7" ht="13.9" x14ac:dyDescent="0.4">
      <c r="B218" s="96" t="s">
        <v>132</v>
      </c>
      <c r="C218" s="135" t="s">
        <v>150</v>
      </c>
      <c r="D218" s="136" t="s">
        <v>120</v>
      </c>
      <c r="E218" s="135" t="s">
        <v>150</v>
      </c>
      <c r="F218" s="136" t="s">
        <v>120</v>
      </c>
      <c r="G218" s="210" t="s">
        <v>151</v>
      </c>
    </row>
    <row r="219" spans="1:7" ht="13.9" x14ac:dyDescent="0.4">
      <c r="B219" s="391"/>
      <c r="C219" s="385" t="s">
        <v>124</v>
      </c>
      <c r="D219" s="365" t="s">
        <v>123</v>
      </c>
      <c r="E219" s="385" t="s">
        <v>124</v>
      </c>
      <c r="F219" s="386" t="s">
        <v>123</v>
      </c>
      <c r="G219" s="209" t="s">
        <v>124</v>
      </c>
    </row>
    <row r="220" spans="1:7" x14ac:dyDescent="0.35">
      <c r="A220" s="66">
        <f t="shared" ref="A220:A227" si="6">$E$3</f>
        <v>0</v>
      </c>
      <c r="B220" s="3" t="s">
        <v>133</v>
      </c>
      <c r="C220" s="286">
        <f>_xlfn.XLOOKUP(LookupMaster&amp;"ARSHHOPNSC",FLAT_FILE[Concat],FLAT_FILE[LADR_AVRENT],0,)</f>
        <v>0</v>
      </c>
      <c r="D220" s="229">
        <f>_xlfn.XLOOKUP(LookupMaster&amp;"ARSHHOPNSC",FLAT_FILE[Concat],FLAT_FILE[LADR_Own],0,)</f>
        <v>0</v>
      </c>
      <c r="E220" s="286">
        <f>_xlfn.XLOOKUP(LookupMaster&amp;"ARSHHOPNSC",FLAT_FILE[Concat],FLAT_FILE[SDR_AVRENT],0,)</f>
        <v>0</v>
      </c>
      <c r="F220" s="229">
        <f>_xlfn.XLOOKUP(LookupMaster&amp;"ARSHHOPNSC",FLAT_FILE[Concat],FLAT_FILE[SDR_Own],0,)</f>
        <v>0</v>
      </c>
      <c r="G220" s="226">
        <f>_xlfn.XLOOKUP(LookupMaster&amp;"ARSHHOPNSC",FLAT_FILE[Concat],FLAT_FILE[COMB_AVRent],0,)</f>
        <v>0</v>
      </c>
    </row>
    <row r="221" spans="1:7" x14ac:dyDescent="0.35">
      <c r="A221" s="66">
        <f t="shared" si="6"/>
        <v>0</v>
      </c>
      <c r="B221" s="3" t="s">
        <v>134</v>
      </c>
      <c r="C221" s="286">
        <f>_xlfn.XLOOKUP(LookupMaster&amp;"ARSHHOPbdst",FLAT_FILE[Concat],FLAT_FILE[LADR_AVRENT],0,)</f>
        <v>0</v>
      </c>
      <c r="D221" s="229">
        <f>_xlfn.XLOOKUP(LookupMaster&amp;"ARSHHOPbdst",FLAT_FILE[Concat],FLAT_FILE[LADR_Own],0,)</f>
        <v>0</v>
      </c>
      <c r="E221" s="286">
        <f>_xlfn.XLOOKUP(LookupMaster&amp;"ARSHHOPbdst",FLAT_FILE[Concat],FLAT_FILE[SDR_AVRENT],0,)</f>
        <v>0</v>
      </c>
      <c r="F221" s="229">
        <f>_xlfn.XLOOKUP(LookupMaster&amp;"ARSHHOPbdst",FLAT_FILE[Concat],FLAT_FILE[SDR_Own],0,)</f>
        <v>0</v>
      </c>
      <c r="G221" s="226">
        <f>_xlfn.XLOOKUP(LookupMaster&amp;"ARSHHOPbdst",FLAT_FILE[Concat],FLAT_FILE[COMB_AVRent],0,)</f>
        <v>0</v>
      </c>
    </row>
    <row r="222" spans="1:7" x14ac:dyDescent="0.35">
      <c r="A222" s="66">
        <f t="shared" si="6"/>
        <v>0</v>
      </c>
      <c r="B222" s="3" t="s">
        <v>135</v>
      </c>
      <c r="C222" s="286">
        <f>_xlfn.XLOOKUP(LookupMaster&amp;"ARSHHOP1bd",FLAT_FILE[Concat],FLAT_FILE[LADR_AVRENT],0,)</f>
        <v>0</v>
      </c>
      <c r="D222" s="229">
        <f>_xlfn.XLOOKUP(LookupMaster&amp;"ARSHHOP1bd",FLAT_FILE[Concat],FLAT_FILE[LADR_Own],0,)</f>
        <v>0</v>
      </c>
      <c r="E222" s="286">
        <f>_xlfn.XLOOKUP(LookupMaster&amp;"ARSHHOP1bd",FLAT_FILE[Concat],FLAT_FILE[SDR_AVRENT],0,)</f>
        <v>0</v>
      </c>
      <c r="F222" s="229">
        <f>_xlfn.XLOOKUP(LookupMaster&amp;"ARSHHOP1bd",FLAT_FILE[Concat],FLAT_FILE[SDR_Own],0,)</f>
        <v>0</v>
      </c>
      <c r="G222" s="226">
        <f>_xlfn.XLOOKUP(LookupMaster&amp;"ARSHHOP1bd",FLAT_FILE[Concat],FLAT_FILE[COMB_AVRent],0,)</f>
        <v>0</v>
      </c>
    </row>
    <row r="223" spans="1:7" x14ac:dyDescent="0.35">
      <c r="A223" s="66">
        <f t="shared" si="6"/>
        <v>0</v>
      </c>
      <c r="B223" s="3" t="s">
        <v>136</v>
      </c>
      <c r="C223" s="286">
        <f>_xlfn.XLOOKUP(LookupMaster&amp;"ARSHHOP2bd",FLAT_FILE[Concat],FLAT_FILE[LADR_AVRENT],0,)</f>
        <v>0</v>
      </c>
      <c r="D223" s="229">
        <f>_xlfn.XLOOKUP(LookupMaster&amp;"ARSHHOP2bd",FLAT_FILE[Concat],FLAT_FILE[LADR_Own],0,)</f>
        <v>0</v>
      </c>
      <c r="E223" s="286">
        <f>_xlfn.XLOOKUP(LookupMaster&amp;"ARSHHOP2bd",FLAT_FILE[Concat],FLAT_FILE[SDR_AVRENT],0,)</f>
        <v>0</v>
      </c>
      <c r="F223" s="229">
        <f>_xlfn.XLOOKUP(LookupMaster&amp;"ARSHHOP2bd",FLAT_FILE[Concat],FLAT_FILE[SDR_Own],0,)</f>
        <v>0</v>
      </c>
      <c r="G223" s="226">
        <f>_xlfn.XLOOKUP(LookupMaster&amp;"ARSHHOP2bd",FLAT_FILE[Concat],FLAT_FILE[COMB_AVRent],0,)</f>
        <v>0</v>
      </c>
    </row>
    <row r="224" spans="1:7" x14ac:dyDescent="0.35">
      <c r="A224" s="66">
        <f t="shared" si="6"/>
        <v>0</v>
      </c>
      <c r="B224" s="3" t="s">
        <v>137</v>
      </c>
      <c r="C224" s="286">
        <f>_xlfn.XLOOKUP(LookupMaster&amp;"ARSHHOP3bd",FLAT_FILE[Concat],FLAT_FILE[LADR_AVRENT],0,)</f>
        <v>0</v>
      </c>
      <c r="D224" s="229">
        <f>_xlfn.XLOOKUP(LookupMaster&amp;"ARSHHOP3bd",FLAT_FILE[Concat],FLAT_FILE[LADR_Own],0,)</f>
        <v>0</v>
      </c>
      <c r="E224" s="286">
        <f>_xlfn.XLOOKUP(LookupMaster&amp;"ARSHHOP3bd",FLAT_FILE[Concat],FLAT_FILE[SDR_AVRENT],0,)</f>
        <v>0</v>
      </c>
      <c r="F224" s="229">
        <f>_xlfn.XLOOKUP(LookupMaster&amp;"ARSHHOP3bd",FLAT_FILE[Concat],FLAT_FILE[SDR_Own],0,)</f>
        <v>0</v>
      </c>
      <c r="G224" s="226">
        <f>_xlfn.XLOOKUP(LookupMaster&amp;"ARSHHOP3bd",FLAT_FILE[Concat],FLAT_FILE[COMB_AVRent],0,)</f>
        <v>0</v>
      </c>
    </row>
    <row r="225" spans="1:26" ht="13.9" x14ac:dyDescent="0.4">
      <c r="A225" s="66">
        <f t="shared" si="6"/>
        <v>0</v>
      </c>
      <c r="B225" s="3" t="s">
        <v>146</v>
      </c>
      <c r="C225" s="286">
        <f>_xlfn.XLOOKUP(LookupMaster&amp;"ARSHHOP4bd",FLAT_FILE[Concat],FLAT_FILE[LADR_AVRENT],0,)</f>
        <v>0</v>
      </c>
      <c r="D225" s="229">
        <f>_xlfn.XLOOKUP(LookupMaster&amp;"ARSHHOP4bd",FLAT_FILE[Concat],FLAT_FILE[LADR_Own],0,)</f>
        <v>0</v>
      </c>
      <c r="E225" s="286">
        <f>_xlfn.XLOOKUP(LookupMaster&amp;"ARSHHOP4bd",FLAT_FILE[Concat],FLAT_FILE[SDR_AVRENT],0,)</f>
        <v>0</v>
      </c>
      <c r="F225" s="229">
        <f>_xlfn.XLOOKUP(LookupMaster&amp;"ARSHHOP4bd",FLAT_FILE[Concat],FLAT_FILE[SDR_Own],0,)</f>
        <v>0</v>
      </c>
      <c r="G225" s="226">
        <f>_xlfn.XLOOKUP(LookupMaster&amp;"ARSHHOP4bd",FLAT_FILE[Concat],FLAT_FILE[COMB_AVRent],0,)</f>
        <v>0</v>
      </c>
      <c r="I225" s="70"/>
      <c r="J225" s="70"/>
      <c r="K225" s="70"/>
      <c r="L225" s="70"/>
      <c r="M225" s="70"/>
    </row>
    <row r="226" spans="1:26" ht="13.9" x14ac:dyDescent="0.4">
      <c r="A226" s="66">
        <f t="shared" si="6"/>
        <v>0</v>
      </c>
      <c r="B226" s="317" t="s">
        <v>141</v>
      </c>
      <c r="C226" s="287">
        <f>_xlfn.XLOOKUP(LookupMaster&amp;"ARSHHOPSC",FLAT_FILE[Concat],FLAT_FILE[LADR_AVRENT],0,)</f>
        <v>0</v>
      </c>
      <c r="D226" s="229">
        <f>_xlfn.XLOOKUP(LookupMaster&amp;"ARSHHOPSC",FLAT_FILE[Concat],FLAT_FILE[LADR_Own],0,)</f>
        <v>0</v>
      </c>
      <c r="E226" s="287">
        <f>_xlfn.XLOOKUP(LookupMaster&amp;"ARSHHOPSC",FLAT_FILE[Concat],FLAT_FILE[SDR_AVRENT],0,)</f>
        <v>0</v>
      </c>
      <c r="F226" s="229">
        <f>_xlfn.XLOOKUP(LookupMaster&amp;"ARSHHOPSC",FLAT_FILE[Concat],FLAT_FILE[SDR_Own],0,)</f>
        <v>0</v>
      </c>
      <c r="G226" s="226">
        <f>_xlfn.XLOOKUP(LookupMaster&amp;"ARSHHOPSC",FLAT_FILE[Concat],FLAT_FILE[COMB_AVRent],0,)</f>
        <v>0</v>
      </c>
      <c r="I226" s="70"/>
      <c r="J226" s="70"/>
      <c r="K226" s="70"/>
      <c r="L226" s="70"/>
      <c r="M226" s="70"/>
    </row>
    <row r="227" spans="1:26" ht="13.9" x14ac:dyDescent="0.4">
      <c r="A227" s="66">
        <f t="shared" si="6"/>
        <v>0</v>
      </c>
      <c r="B227" s="323" t="s">
        <v>142</v>
      </c>
      <c r="C227" s="292">
        <f>_xlfn.XLOOKUP(LookupMaster&amp;"ARSHHOPtotal",FLAT_FILE[Concat],FLAT_FILE[LADR_AVRENT],0,)</f>
        <v>0</v>
      </c>
      <c r="D227" s="121">
        <f>_xlfn.XLOOKUP(LookupMaster&amp;"ARSHHOPtotal",FLAT_FILE[Concat],FLAT_FILE[LADR_Own],0,)</f>
        <v>0</v>
      </c>
      <c r="E227" s="292">
        <f>_xlfn.XLOOKUP(LookupMaster&amp;"ARSHHOPtotal",FLAT_FILE[Concat],FLAT_FILE[SDR_AVRENT],0,)</f>
        <v>0</v>
      </c>
      <c r="F227" s="121">
        <f>_xlfn.XLOOKUP(LookupMaster&amp;"ARSHHOPtotal",FLAT_FILE[Concat],FLAT_FILE[SDR_Own],0,)</f>
        <v>0</v>
      </c>
      <c r="G227" s="293">
        <f>_xlfn.XLOOKUP(LookupMaster&amp;"ARSHHOPtotal",FLAT_FILE[Concat],FLAT_FILE[COMB_AVRent],0,)</f>
        <v>0</v>
      </c>
      <c r="I227" s="70"/>
      <c r="J227" s="70"/>
      <c r="K227" s="70"/>
      <c r="L227" s="70"/>
      <c r="M227" s="70"/>
    </row>
    <row r="228" spans="1:26" ht="13.9" x14ac:dyDescent="0.4">
      <c r="B228" s="308"/>
      <c r="C228" s="359"/>
      <c r="D228" s="359"/>
      <c r="E228" s="359"/>
      <c r="F228" s="359"/>
      <c r="G228" s="360"/>
      <c r="I228" s="70"/>
      <c r="J228" s="70"/>
      <c r="K228" s="70"/>
      <c r="L228" s="70"/>
      <c r="M228" s="70"/>
    </row>
    <row r="229" spans="1:26" ht="13.9" x14ac:dyDescent="0.4">
      <c r="B229" s="288" t="s">
        <v>125</v>
      </c>
      <c r="C229" s="138"/>
      <c r="D229" s="138"/>
      <c r="E229" s="138"/>
      <c r="F229" s="138"/>
      <c r="G229" s="139"/>
      <c r="I229" s="70"/>
      <c r="J229" s="70"/>
      <c r="K229" s="70"/>
      <c r="L229" s="70"/>
      <c r="M229" s="70"/>
    </row>
    <row r="230" spans="1:26" ht="13.9" x14ac:dyDescent="0.4">
      <c r="B230" s="353"/>
      <c r="C230" s="138"/>
      <c r="D230" s="138"/>
      <c r="E230" s="138"/>
      <c r="F230" s="138"/>
      <c r="G230" s="139"/>
      <c r="I230" s="70"/>
      <c r="J230" s="70"/>
      <c r="K230" s="70"/>
      <c r="L230" s="70"/>
      <c r="M230" s="70"/>
    </row>
    <row r="231" spans="1:26" ht="13.9" x14ac:dyDescent="0.4">
      <c r="B231" s="140" t="s">
        <v>152</v>
      </c>
      <c r="C231" s="296"/>
      <c r="D231" s="296"/>
      <c r="E231" s="296"/>
      <c r="F231" s="296"/>
      <c r="G231" s="392"/>
      <c r="I231" s="70"/>
      <c r="J231" s="70"/>
      <c r="K231" s="70"/>
      <c r="L231" s="70"/>
      <c r="M231" s="70"/>
    </row>
    <row r="232" spans="1:26" ht="13.9" x14ac:dyDescent="0.4">
      <c r="B232" s="393"/>
      <c r="C232" s="296"/>
      <c r="D232" s="296"/>
      <c r="E232" s="296"/>
      <c r="F232" s="296"/>
      <c r="G232" s="392"/>
      <c r="I232" s="70"/>
      <c r="J232" s="70"/>
      <c r="K232" s="70"/>
      <c r="L232" s="70"/>
      <c r="M232" s="70"/>
    </row>
    <row r="233" spans="1:26" ht="13.9" x14ac:dyDescent="0.4">
      <c r="B233" s="394" t="s">
        <v>111</v>
      </c>
      <c r="C233" s="299"/>
      <c r="D233" s="299"/>
      <c r="E233" s="299"/>
      <c r="F233" s="299"/>
      <c r="G233" s="395"/>
      <c r="I233" s="70"/>
      <c r="J233" s="70"/>
      <c r="K233" s="70"/>
      <c r="L233" s="70"/>
      <c r="M233" s="70"/>
    </row>
    <row r="234" spans="1:26" ht="13.9" x14ac:dyDescent="0.4">
      <c r="E234" s="68"/>
      <c r="F234" s="68"/>
      <c r="G234" s="68"/>
      <c r="I234" s="70"/>
      <c r="J234" s="70"/>
      <c r="K234" s="70"/>
      <c r="L234" s="70"/>
      <c r="M234" s="70"/>
    </row>
    <row r="235" spans="1:26" ht="13.9" hidden="1" x14ac:dyDescent="0.4">
      <c r="I235" s="70"/>
      <c r="J235" s="70"/>
      <c r="K235" s="70"/>
      <c r="L235" s="70"/>
      <c r="M235" s="70"/>
      <c r="Y235" s="301" t="s">
        <v>156</v>
      </c>
      <c r="Z235" s="301">
        <v>37</v>
      </c>
    </row>
    <row r="236" spans="1:26" ht="13.9" hidden="1" x14ac:dyDescent="0.4">
      <c r="I236" s="70"/>
      <c r="J236" s="70"/>
      <c r="K236" s="70"/>
      <c r="L236" s="70"/>
      <c r="M236" s="70"/>
      <c r="Y236" s="301" t="s">
        <v>157</v>
      </c>
      <c r="Z236" s="301">
        <v>57</v>
      </c>
    </row>
    <row r="237" spans="1:26" ht="13.9" hidden="1" x14ac:dyDescent="0.4">
      <c r="H237" s="69"/>
      <c r="I237" s="70"/>
      <c r="J237" s="70"/>
      <c r="K237" s="70"/>
      <c r="L237" s="70"/>
      <c r="M237" s="70"/>
      <c r="Y237" s="301" t="s">
        <v>158</v>
      </c>
      <c r="Z237" s="301">
        <v>17</v>
      </c>
    </row>
    <row r="238" spans="1:26" hidden="1" x14ac:dyDescent="0.35">
      <c r="Y238" s="301" t="s">
        <v>159</v>
      </c>
      <c r="Z238" s="301">
        <v>27</v>
      </c>
    </row>
    <row r="239" spans="1:26" hidden="1" x14ac:dyDescent="0.35">
      <c r="Y239" s="301" t="s">
        <v>160</v>
      </c>
      <c r="Z239" s="301">
        <v>29</v>
      </c>
    </row>
    <row r="240" spans="1:26" hidden="1" x14ac:dyDescent="0.35">
      <c r="Y240" s="301" t="s">
        <v>161</v>
      </c>
      <c r="Z240" s="301">
        <v>24</v>
      </c>
    </row>
    <row r="241" spans="25:26" hidden="1" x14ac:dyDescent="0.35">
      <c r="Y241" s="301" t="s">
        <v>162</v>
      </c>
      <c r="Z241" s="301">
        <v>29</v>
      </c>
    </row>
    <row r="242" spans="25:26" hidden="1" x14ac:dyDescent="0.35">
      <c r="Y242" s="301" t="s">
        <v>163</v>
      </c>
      <c r="Z242" s="301">
        <v>31</v>
      </c>
    </row>
    <row r="243" spans="25:26" hidden="1" x14ac:dyDescent="0.35">
      <c r="Y243" s="301" t="s">
        <v>164</v>
      </c>
      <c r="Z243" s="301">
        <v>33</v>
      </c>
    </row>
    <row r="244" spans="25:26" hidden="1" x14ac:dyDescent="0.35">
      <c r="Y244" s="301" t="s">
        <v>165</v>
      </c>
      <c r="Z244" s="301">
        <v>24</v>
      </c>
    </row>
    <row r="245" spans="25:26" hidden="1" x14ac:dyDescent="0.35">
      <c r="Y245" s="301" t="s">
        <v>166</v>
      </c>
      <c r="Z245" s="301">
        <v>30</v>
      </c>
    </row>
    <row r="246" spans="25:26" hidden="1" x14ac:dyDescent="0.35">
      <c r="Y246" s="301" t="s">
        <v>167</v>
      </c>
      <c r="Z246" s="301">
        <v>31</v>
      </c>
    </row>
    <row r="247" spans="25:26" hidden="1" x14ac:dyDescent="0.35">
      <c r="Y247" s="301" t="s">
        <v>168</v>
      </c>
      <c r="Z247" s="301">
        <v>40</v>
      </c>
    </row>
    <row r="248" spans="25:26" hidden="1" x14ac:dyDescent="0.35">
      <c r="Y248" s="301" t="s">
        <v>169</v>
      </c>
      <c r="Z248" s="301">
        <v>36</v>
      </c>
    </row>
    <row r="249" spans="25:26" hidden="1" x14ac:dyDescent="0.35">
      <c r="Y249" s="301" t="s">
        <v>170</v>
      </c>
      <c r="Z249" s="301">
        <v>24</v>
      </c>
    </row>
    <row r="250" spans="25:26" hidden="1" x14ac:dyDescent="0.35">
      <c r="Y250" s="301" t="s">
        <v>171</v>
      </c>
      <c r="Z250" s="301">
        <v>41</v>
      </c>
    </row>
    <row r="251" spans="25:26" hidden="1" x14ac:dyDescent="0.35">
      <c r="Y251" s="301" t="s">
        <v>172</v>
      </c>
      <c r="Z251" s="301">
        <v>32</v>
      </c>
    </row>
    <row r="252" spans="25:26" hidden="1" x14ac:dyDescent="0.35">
      <c r="Y252" s="301" t="s">
        <v>173</v>
      </c>
      <c r="Z252" s="301">
        <v>35</v>
      </c>
    </row>
    <row r="253" spans="25:26" hidden="1" x14ac:dyDescent="0.35">
      <c r="Y253" s="301" t="s">
        <v>174</v>
      </c>
      <c r="Z253" s="301">
        <v>31</v>
      </c>
    </row>
    <row r="254" spans="25:26" hidden="1" x14ac:dyDescent="0.35">
      <c r="Y254" s="301" t="s">
        <v>175</v>
      </c>
      <c r="Z254" s="301">
        <v>24</v>
      </c>
    </row>
    <row r="255" spans="25:26" hidden="1" x14ac:dyDescent="0.35">
      <c r="Y255" s="301" t="s">
        <v>176</v>
      </c>
      <c r="Z255" s="301">
        <v>26</v>
      </c>
    </row>
    <row r="256" spans="25:26" hidden="1" x14ac:dyDescent="0.35">
      <c r="Y256" s="301" t="s">
        <v>177</v>
      </c>
      <c r="Z256" s="301">
        <v>29</v>
      </c>
    </row>
    <row r="257" spans="25:26" s="301" customFormat="1" hidden="1" x14ac:dyDescent="0.35">
      <c r="Y257" s="301" t="s">
        <v>178</v>
      </c>
      <c r="Z257" s="301">
        <v>33</v>
      </c>
    </row>
    <row r="258" spans="25:26" s="301" customFormat="1" hidden="1" x14ac:dyDescent="0.35">
      <c r="Y258" s="301" t="s">
        <v>179</v>
      </c>
      <c r="Z258" s="301">
        <v>40</v>
      </c>
    </row>
    <row r="259" spans="25:26" s="301" customFormat="1" hidden="1" x14ac:dyDescent="0.35">
      <c r="Y259" s="301" t="s">
        <v>180</v>
      </c>
      <c r="Z259" s="301">
        <v>33</v>
      </c>
    </row>
    <row r="260" spans="25:26" s="301" customFormat="1" hidden="1" x14ac:dyDescent="0.35">
      <c r="Y260" s="301" t="s">
        <v>181</v>
      </c>
      <c r="Z260" s="301">
        <v>29</v>
      </c>
    </row>
    <row r="261" spans="25:26" s="301" customFormat="1" hidden="1" x14ac:dyDescent="0.35">
      <c r="Y261" s="301" t="s">
        <v>182</v>
      </c>
      <c r="Z261" s="301">
        <v>26</v>
      </c>
    </row>
    <row r="262" spans="25:26" s="301" customFormat="1" hidden="1" x14ac:dyDescent="0.35">
      <c r="Y262" s="301" t="s">
        <v>183</v>
      </c>
      <c r="Z262" s="301">
        <v>25</v>
      </c>
    </row>
    <row r="263" spans="25:26" s="301" customFormat="1" hidden="1" x14ac:dyDescent="0.35">
      <c r="Y263" s="301" t="s">
        <v>184</v>
      </c>
      <c r="Z263" s="301">
        <v>23</v>
      </c>
    </row>
    <row r="264" spans="25:26" s="301" customFormat="1" hidden="1" x14ac:dyDescent="0.35">
      <c r="Y264" s="301" t="s">
        <v>185</v>
      </c>
      <c r="Z264" s="301">
        <v>34</v>
      </c>
    </row>
    <row r="265" spans="25:26" s="301" customFormat="1" hidden="1" x14ac:dyDescent="0.35">
      <c r="Y265" s="301" t="s">
        <v>186</v>
      </c>
      <c r="Z265" s="301">
        <v>31</v>
      </c>
    </row>
    <row r="266" spans="25:26" s="301" customFormat="1" hidden="1" x14ac:dyDescent="0.35">
      <c r="Y266" s="301" t="s">
        <v>187</v>
      </c>
      <c r="Z266" s="301">
        <v>25</v>
      </c>
    </row>
    <row r="267" spans="25:26" s="301" customFormat="1" hidden="1" x14ac:dyDescent="0.35">
      <c r="Y267" s="301" t="s">
        <v>188</v>
      </c>
      <c r="Z267" s="301">
        <v>51</v>
      </c>
    </row>
    <row r="268" spans="25:26" s="301" customFormat="1" hidden="1" x14ac:dyDescent="0.35">
      <c r="Y268" s="301" t="s">
        <v>189</v>
      </c>
      <c r="Z268" s="301">
        <v>35</v>
      </c>
    </row>
    <row r="269" spans="25:26" s="301" customFormat="1" hidden="1" x14ac:dyDescent="0.35">
      <c r="Y269" s="301" t="s">
        <v>190</v>
      </c>
      <c r="Z269" s="301">
        <v>39</v>
      </c>
    </row>
    <row r="270" spans="25:26" s="301" customFormat="1" hidden="1" x14ac:dyDescent="0.35">
      <c r="Y270" s="301" t="s">
        <v>191</v>
      </c>
      <c r="Z270" s="301">
        <v>34</v>
      </c>
    </row>
    <row r="271" spans="25:26" s="301" customFormat="1" hidden="1" x14ac:dyDescent="0.35">
      <c r="Y271" s="301" t="s">
        <v>192</v>
      </c>
      <c r="Z271" s="301">
        <v>35</v>
      </c>
    </row>
    <row r="272" spans="25:26" s="301" customFormat="1" hidden="1" x14ac:dyDescent="0.35">
      <c r="Y272" s="301" t="s">
        <v>193</v>
      </c>
      <c r="Z272" s="301">
        <v>41</v>
      </c>
    </row>
    <row r="273" spans="25:26" s="301" customFormat="1" hidden="1" x14ac:dyDescent="0.35">
      <c r="Y273" s="301" t="s">
        <v>194</v>
      </c>
      <c r="Z273" s="301">
        <v>31</v>
      </c>
    </row>
    <row r="274" spans="25:26" s="301" customFormat="1" hidden="1" x14ac:dyDescent="0.35">
      <c r="Y274" s="301" t="s">
        <v>195</v>
      </c>
      <c r="Z274" s="301">
        <v>44</v>
      </c>
    </row>
    <row r="275" spans="25:26" s="301" customFormat="1" hidden="1" x14ac:dyDescent="0.35">
      <c r="Y275" s="301" t="s">
        <v>196</v>
      </c>
      <c r="Z275" s="301">
        <v>41</v>
      </c>
    </row>
    <row r="276" spans="25:26" s="301" customFormat="1" hidden="1" x14ac:dyDescent="0.35">
      <c r="Y276" s="301" t="s">
        <v>197</v>
      </c>
      <c r="Z276" s="301">
        <v>34</v>
      </c>
    </row>
    <row r="277" spans="25:26" s="301" customFormat="1" hidden="1" x14ac:dyDescent="0.35">
      <c r="Y277" s="301" t="s">
        <v>198</v>
      </c>
      <c r="Z277" s="301">
        <v>32</v>
      </c>
    </row>
    <row r="278" spans="25:26" s="301" customFormat="1" hidden="1" x14ac:dyDescent="0.35">
      <c r="Y278" s="301" t="s">
        <v>199</v>
      </c>
      <c r="Z278" s="301">
        <v>34</v>
      </c>
    </row>
    <row r="279" spans="25:26" s="301" customFormat="1" hidden="1" x14ac:dyDescent="0.35">
      <c r="Y279" s="301" t="s">
        <v>200</v>
      </c>
      <c r="Z279" s="301">
        <v>33</v>
      </c>
    </row>
    <row r="280" spans="25:26" s="301" customFormat="1" hidden="1" x14ac:dyDescent="0.35">
      <c r="Y280" s="301" t="s">
        <v>201</v>
      </c>
      <c r="Z280" s="301">
        <v>30</v>
      </c>
    </row>
    <row r="281" spans="25:26" s="301" customFormat="1" hidden="1" x14ac:dyDescent="0.35">
      <c r="Y281" s="301" t="s">
        <v>202</v>
      </c>
      <c r="Z281" s="301">
        <v>30</v>
      </c>
    </row>
    <row r="282" spans="25:26" s="301" customFormat="1" hidden="1" x14ac:dyDescent="0.35">
      <c r="Y282" s="301" t="s">
        <v>203</v>
      </c>
      <c r="Z282" s="301">
        <v>36</v>
      </c>
    </row>
    <row r="283" spans="25:26" s="301" customFormat="1" hidden="1" x14ac:dyDescent="0.35">
      <c r="Y283" s="301" t="s">
        <v>204</v>
      </c>
      <c r="Z283" s="301">
        <v>26</v>
      </c>
    </row>
    <row r="284" spans="25:26" s="301" customFormat="1" hidden="1" x14ac:dyDescent="0.35">
      <c r="Y284" s="301" t="s">
        <v>205</v>
      </c>
      <c r="Z284" s="301">
        <v>33</v>
      </c>
    </row>
    <row r="285" spans="25:26" s="301" customFormat="1" hidden="1" x14ac:dyDescent="0.35">
      <c r="Y285" s="301" t="s">
        <v>206</v>
      </c>
      <c r="Z285" s="301">
        <v>21</v>
      </c>
    </row>
    <row r="286" spans="25:26" s="301" customFormat="1" hidden="1" x14ac:dyDescent="0.35">
      <c r="Y286" s="301" t="s">
        <v>207</v>
      </c>
      <c r="Z286" s="301">
        <v>50</v>
      </c>
    </row>
    <row r="287" spans="25:26" s="301" customFormat="1" hidden="1" x14ac:dyDescent="0.35">
      <c r="Y287" s="301" t="s">
        <v>208</v>
      </c>
      <c r="Z287" s="301">
        <v>30</v>
      </c>
    </row>
    <row r="288" spans="25:26" s="301" customFormat="1" hidden="1" x14ac:dyDescent="0.35">
      <c r="Y288" s="301" t="s">
        <v>209</v>
      </c>
      <c r="Z288" s="301">
        <v>39</v>
      </c>
    </row>
    <row r="289" spans="25:26" s="301" customFormat="1" hidden="1" x14ac:dyDescent="0.35">
      <c r="Y289" s="301" t="s">
        <v>210</v>
      </c>
      <c r="Z289" s="301">
        <v>40</v>
      </c>
    </row>
    <row r="290" spans="25:26" s="301" customFormat="1" hidden="1" x14ac:dyDescent="0.35">
      <c r="Y290" s="301" t="s">
        <v>211</v>
      </c>
      <c r="Z290" s="301">
        <v>31</v>
      </c>
    </row>
    <row r="291" spans="25:26" s="301" customFormat="1" hidden="1" x14ac:dyDescent="0.35">
      <c r="Y291" s="301" t="s">
        <v>212</v>
      </c>
      <c r="Z291" s="301">
        <v>33</v>
      </c>
    </row>
    <row r="292" spans="25:26" s="301" customFormat="1" hidden="1" x14ac:dyDescent="0.35">
      <c r="Y292" s="301" t="s">
        <v>213</v>
      </c>
      <c r="Z292" s="301">
        <v>58</v>
      </c>
    </row>
    <row r="293" spans="25:26" s="301" customFormat="1" hidden="1" x14ac:dyDescent="0.35">
      <c r="Y293" s="301" t="s">
        <v>214</v>
      </c>
      <c r="Z293" s="301">
        <v>35</v>
      </c>
    </row>
    <row r="294" spans="25:26" s="301" customFormat="1" hidden="1" x14ac:dyDescent="0.35">
      <c r="Y294" s="301" t="s">
        <v>215</v>
      </c>
      <c r="Z294" s="301">
        <v>22</v>
      </c>
    </row>
    <row r="295" spans="25:26" s="301" customFormat="1" hidden="1" x14ac:dyDescent="0.35">
      <c r="Y295" s="301" t="s">
        <v>216</v>
      </c>
      <c r="Z295" s="301">
        <v>38</v>
      </c>
    </row>
    <row r="296" spans="25:26" s="301" customFormat="1" hidden="1" x14ac:dyDescent="0.35">
      <c r="Y296" s="301" t="s">
        <v>217</v>
      </c>
      <c r="Z296" s="301">
        <v>31</v>
      </c>
    </row>
    <row r="297" spans="25:26" s="301" customFormat="1" hidden="1" x14ac:dyDescent="0.35">
      <c r="Y297" s="301" t="s">
        <v>218</v>
      </c>
      <c r="Z297" s="301">
        <v>34</v>
      </c>
    </row>
    <row r="298" spans="25:26" s="301" customFormat="1" hidden="1" x14ac:dyDescent="0.35">
      <c r="Y298" s="301" t="s">
        <v>219</v>
      </c>
      <c r="Z298" s="301">
        <v>32</v>
      </c>
    </row>
    <row r="299" spans="25:26" s="301" customFormat="1" hidden="1" x14ac:dyDescent="0.35">
      <c r="Y299" s="301" t="s">
        <v>220</v>
      </c>
      <c r="Z299" s="301">
        <v>32</v>
      </c>
    </row>
    <row r="300" spans="25:26" s="301" customFormat="1" hidden="1" x14ac:dyDescent="0.35">
      <c r="Y300" s="301" t="s">
        <v>221</v>
      </c>
      <c r="Z300" s="301">
        <v>24</v>
      </c>
    </row>
    <row r="301" spans="25:26" s="301" customFormat="1" hidden="1" x14ac:dyDescent="0.35">
      <c r="Y301" s="301" t="s">
        <v>222</v>
      </c>
      <c r="Z301" s="301">
        <v>24</v>
      </c>
    </row>
    <row r="302" spans="25:26" s="301" customFormat="1" hidden="1" x14ac:dyDescent="0.35">
      <c r="Y302" s="301" t="s">
        <v>223</v>
      </c>
      <c r="Z302" s="301">
        <v>33</v>
      </c>
    </row>
    <row r="303" spans="25:26" s="301" customFormat="1" hidden="1" x14ac:dyDescent="0.35">
      <c r="Y303" s="301" t="s">
        <v>224</v>
      </c>
      <c r="Z303" s="301">
        <v>18</v>
      </c>
    </row>
    <row r="304" spans="25:26" s="301" customFormat="1" hidden="1" x14ac:dyDescent="0.35">
      <c r="Y304" s="301" t="s">
        <v>225</v>
      </c>
      <c r="Z304" s="301">
        <v>29</v>
      </c>
    </row>
  </sheetData>
  <sheetProtection algorithmName="SHA-512" hashValue="8PhznQ6atyG+9yljvqHx5kQvA4HzzKaqVA0pJMl47ToPF+1+0OmGNOjcZbXbXVjze+/PNz93k0AWnJv80NrPXg==" saltValue="CXomAFdmp0P9iT/2x6RHSQ==" spinCount="100000" sheet="1" formatRows="0"/>
  <mergeCells count="29">
    <mergeCell ref="A120:A121"/>
    <mergeCell ref="B121:G123"/>
    <mergeCell ref="A143:A144"/>
    <mergeCell ref="B144:G147"/>
    <mergeCell ref="A212:A213"/>
    <mergeCell ref="B213:G214"/>
    <mergeCell ref="A166:A167"/>
    <mergeCell ref="B167:G169"/>
    <mergeCell ref="A189:A190"/>
    <mergeCell ref="B190:G192"/>
    <mergeCell ref="A50:A51"/>
    <mergeCell ref="B51:G54"/>
    <mergeCell ref="A74:A75"/>
    <mergeCell ref="B75:G78"/>
    <mergeCell ref="A97:A98"/>
    <mergeCell ref="B98:G100"/>
    <mergeCell ref="A22:A23"/>
    <mergeCell ref="B44:G45"/>
    <mergeCell ref="B1:N1"/>
    <mergeCell ref="A8:A9"/>
    <mergeCell ref="B8:G10"/>
    <mergeCell ref="C18:D18"/>
    <mergeCell ref="A29:A30"/>
    <mergeCell ref="B29:G31"/>
    <mergeCell ref="E33:F33"/>
    <mergeCell ref="C39:D39"/>
    <mergeCell ref="K4:M4"/>
    <mergeCell ref="K5:M5"/>
    <mergeCell ref="E3:G3"/>
  </mergeCells>
  <conditionalFormatting sqref="B7 B28 B49 B73 B96 B119 B142 B165 B188 B211">
    <cfRule type="expression" dxfId="110" priority="24">
      <formula>$E$3=""</formula>
    </cfRule>
    <cfRule type="expression" dxfId="109" priority="25">
      <formula>$E$3="Please select a local authority area."</formula>
    </cfRule>
  </conditionalFormatting>
  <conditionalFormatting sqref="B23">
    <cfRule type="expression" dxfId="108" priority="19">
      <formula>$E$3=$J$3</formula>
    </cfRule>
  </conditionalFormatting>
  <conditionalFormatting sqref="B23:B24">
    <cfRule type="expression" dxfId="107" priority="13">
      <formula>$E$3="England"</formula>
    </cfRule>
  </conditionalFormatting>
  <conditionalFormatting sqref="B23:B25 E25:G25">
    <cfRule type="expression" dxfId="106" priority="23">
      <formula>$E$3=""</formula>
    </cfRule>
  </conditionalFormatting>
  <conditionalFormatting sqref="B23:D25 B59:F59 B61:F61 B83:F83 B85:F85 B153:F153 B155:F155 B174:F174 B176:F176">
    <cfRule type="expression" dxfId="105" priority="11">
      <formula>$E$3="England"</formula>
    </cfRule>
  </conditionalFormatting>
  <conditionalFormatting sqref="B59:F59 B83:F83 B153:F153 B174:F174">
    <cfRule type="expression" dxfId="104" priority="18">
      <formula>$E$3=$J$3</formula>
    </cfRule>
  </conditionalFormatting>
  <conditionalFormatting sqref="B23:G23">
    <cfRule type="expression" dxfId="103" priority="3">
      <formula>$E$3=$J$3</formula>
    </cfRule>
  </conditionalFormatting>
  <conditionalFormatting sqref="C23:D23">
    <cfRule type="expression" dxfId="102" priority="20">
      <formula>$E$3=$J$3</formula>
    </cfRule>
  </conditionalFormatting>
  <conditionalFormatting sqref="C23:D24">
    <cfRule type="expression" dxfId="101" priority="14">
      <formula>$E$3="England"</formula>
    </cfRule>
  </conditionalFormatting>
  <conditionalFormatting sqref="D197:D206">
    <cfRule type="expression" dxfId="100" priority="7">
      <formula>$E$5="No"</formula>
    </cfRule>
  </conditionalFormatting>
  <conditionalFormatting sqref="D220:D227">
    <cfRule type="expression" dxfId="99" priority="6">
      <formula>$E$5="No"</formula>
    </cfRule>
  </conditionalFormatting>
  <conditionalFormatting sqref="E4">
    <cfRule type="expression" dxfId="98" priority="22">
      <formula>E3=""</formula>
    </cfRule>
  </conditionalFormatting>
  <conditionalFormatting sqref="E5">
    <cfRule type="expression" dxfId="97" priority="15">
      <formula>$E$3=""</formula>
    </cfRule>
    <cfRule type="expression" dxfId="96" priority="16">
      <formula>$E$5="No"</formula>
    </cfRule>
    <cfRule type="expression" dxfId="95" priority="17">
      <formula>$E$4="No"</formula>
    </cfRule>
  </conditionalFormatting>
  <conditionalFormatting sqref="E14 E34:E35 E41:E42 C55:D59 C61:D61 C63:D63 C79:D83 C85:D85 C87:D87 C101:D104 D105:D114 C124:D127 D128:D135 C149:D153 C155:D155 C157:D157 C170:D174 C176:D176 C178:D178 C193:D196 C216:D219">
    <cfRule type="expression" dxfId="94" priority="26">
      <formula>$E$5="No"</formula>
    </cfRule>
  </conditionalFormatting>
  <conditionalFormatting sqref="E33 G33 F34:G34 Q36 G36:G40 F41:G42">
    <cfRule type="expression" dxfId="93" priority="10">
      <formula>#REF!="No"</formula>
    </cfRule>
  </conditionalFormatting>
  <conditionalFormatting sqref="E36:E40">
    <cfRule type="expression" dxfId="92" priority="27">
      <formula>$E$5="No"</formula>
    </cfRule>
  </conditionalFormatting>
  <conditionalFormatting sqref="E23:G23">
    <cfRule type="expression" dxfId="91" priority="1">
      <formula>$E$3=$J$3</formula>
    </cfRule>
  </conditionalFormatting>
  <conditionalFormatting sqref="E23:G24">
    <cfRule type="expression" dxfId="90" priority="4">
      <formula>$E$3="England"</formula>
    </cfRule>
  </conditionalFormatting>
  <conditionalFormatting sqref="E23:G25">
    <cfRule type="expression" dxfId="89" priority="5">
      <formula>$E$3="England"</formula>
    </cfRule>
  </conditionalFormatting>
  <conditionalFormatting sqref="E25:G25">
    <cfRule type="expression" dxfId="88" priority="2">
      <formula>$E$3="England"</formula>
    </cfRule>
  </conditionalFormatting>
  <conditionalFormatting sqref="G59 G83 G153 G174">
    <cfRule type="expression" dxfId="87" priority="21">
      <formula>$E$3=$J$3</formula>
    </cfRule>
  </conditionalFormatting>
  <conditionalFormatting sqref="G59:G62 G83:G86 G153:G156 G174:G177">
    <cfRule type="expression" dxfId="86" priority="12">
      <formula>$E$3="England"</formula>
    </cfRule>
  </conditionalFormatting>
  <conditionalFormatting sqref="I3:J5 D4:D5">
    <cfRule type="expression" dxfId="85" priority="8">
      <formula>$E$3=""</formula>
    </cfRule>
  </conditionalFormatting>
  <conditionalFormatting sqref="P36">
    <cfRule type="expression" dxfId="84" priority="9">
      <formula>$E$42=0</formula>
    </cfRule>
  </conditionalFormatting>
  <dataValidations count="1">
    <dataValidation type="list" allowBlank="1" prompt="_x000a_" sqref="E3" xr:uid="{118900F8-EA15-41A6-90EF-048F0084591A}">
      <formula1>Validation_List_2</formula1>
    </dataValidation>
  </dataValidations>
  <hyperlinks>
    <hyperlink ref="K5" location="'LARPs and PRPs in region'!B5" display="View LARP and/or PRPs in area" xr:uid="{91A317EA-1960-4186-BC8B-EC81E9CD9021}"/>
    <hyperlink ref="K4" location="'How to use the search function'!A1" display="Click for help on the search function" xr:uid="{2C5BA780-CA5C-4DC8-84DA-C604C02B3B65}"/>
  </hyperlinks>
  <pageMargins left="0.7" right="0.7" top="0.75" bottom="0.75" header="0.3" footer="0.3"/>
  <pageSetup paperSize="9" scale="44" orientation="portrait" r:id="rId1"/>
  <headerFooter>
    <oddHeader>&amp;C&amp;"Calibri"&amp;10&amp;K000000 OFFICIAL&amp;1#_x000D_</oddHeader>
    <oddFooter>&amp;C_x000D_&amp;1#&amp;"Calibri"&amp;10&amp;K000000 OFFICIAL</oddFooter>
  </headerFooter>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97D88A"/>
  </sheetPr>
  <dimension ref="A3:BI208"/>
  <sheetViews>
    <sheetView zoomScaleNormal="100" workbookViewId="0">
      <pane ySplit="8" topLeftCell="A9" activePane="bottomLeft" state="frozen"/>
      <selection activeCell="D3" sqref="D3:G3"/>
      <selection pane="bottomLeft" activeCell="B5" sqref="B5"/>
    </sheetView>
  </sheetViews>
  <sheetFormatPr defaultColWidth="0" defaultRowHeight="12.75" x14ac:dyDescent="0.35"/>
  <cols>
    <col min="1" max="1" width="5.46484375" style="5" customWidth="1"/>
    <col min="2" max="2" width="64.53125" style="5" bestFit="1" customWidth="1"/>
    <col min="3" max="3" width="7" style="5" bestFit="1" customWidth="1"/>
    <col min="4" max="17" width="11.53125" style="5" customWidth="1"/>
    <col min="18" max="18" width="9" style="5" customWidth="1"/>
    <col min="19" max="22" width="8.796875" style="5" hidden="1" customWidth="1"/>
    <col min="23" max="52" width="8.796875" style="6" hidden="1" customWidth="1"/>
    <col min="53" max="53" width="10" style="6" hidden="1" customWidth="1"/>
    <col min="54" max="58" width="8.796875" style="6" hidden="1" customWidth="1"/>
    <col min="59" max="59" width="12.53125" style="6" hidden="1" customWidth="1"/>
    <col min="60" max="60" width="8.796875" style="6" hidden="1" customWidth="1"/>
    <col min="61" max="61" width="53.46484375" style="6" hidden="1" customWidth="1"/>
    <col min="62" max="16384" width="8.796875" style="6" hidden="1"/>
  </cols>
  <sheetData>
    <row r="3" spans="1:61" ht="27.75" x14ac:dyDescent="0.75">
      <c r="A3" s="1"/>
      <c r="B3" s="478" t="str">
        <f>IF($B$6="","Please select an Area in the 'Area Summary' sheet",IF(OR(C9="LARP",C9="Small",C9="Large"),"Social stock in "&amp;$B$6&amp; " by provider 2025","Social stock in "&amp;$B$6&amp; " by area 2025"))</f>
        <v>Please select an Area in the 'Area Summary' sheet</v>
      </c>
      <c r="C3" s="478"/>
      <c r="D3" s="478"/>
      <c r="E3" s="478"/>
      <c r="F3" s="478"/>
      <c r="G3" s="478"/>
      <c r="H3" s="478"/>
      <c r="I3" s="478"/>
      <c r="J3" s="478"/>
      <c r="K3" s="478"/>
      <c r="L3" s="478"/>
      <c r="M3" s="478"/>
      <c r="N3" s="478"/>
      <c r="O3" s="478"/>
      <c r="P3" s="478"/>
      <c r="Q3" s="478"/>
      <c r="R3" s="1"/>
      <c r="S3" s="1"/>
    </row>
    <row r="4" spans="1:61" x14ac:dyDescent="0.35">
      <c r="A4" s="1"/>
      <c r="B4" s="1"/>
      <c r="C4" s="1"/>
      <c r="D4" s="1"/>
      <c r="E4" s="1"/>
      <c r="F4" s="1"/>
      <c r="G4" s="1"/>
      <c r="H4" s="1"/>
      <c r="I4" s="1"/>
      <c r="J4" s="1"/>
      <c r="K4" s="1"/>
      <c r="L4" s="1"/>
      <c r="M4" s="1"/>
      <c r="N4" s="1"/>
      <c r="O4" s="1"/>
      <c r="P4" s="1"/>
      <c r="Q4" s="1"/>
      <c r="R4" s="1"/>
      <c r="S4" s="1"/>
    </row>
    <row r="5" spans="1:61" ht="59.2" customHeight="1" thickBot="1" x14ac:dyDescent="0.4">
      <c r="A5" s="1"/>
      <c r="B5" s="53" t="s">
        <v>226</v>
      </c>
      <c r="C5" s="1"/>
      <c r="D5" s="479" t="s">
        <v>227</v>
      </c>
      <c r="E5" s="482" t="s">
        <v>228</v>
      </c>
      <c r="F5" s="482" t="s">
        <v>229</v>
      </c>
      <c r="G5" s="482" t="s">
        <v>230</v>
      </c>
      <c r="H5" s="484" t="s">
        <v>231</v>
      </c>
      <c r="I5" s="484" t="s">
        <v>232</v>
      </c>
      <c r="J5" s="484" t="s">
        <v>233</v>
      </c>
      <c r="K5" s="486" t="s">
        <v>234</v>
      </c>
      <c r="L5" s="486" t="s">
        <v>235</v>
      </c>
      <c r="M5" s="486" t="s">
        <v>236</v>
      </c>
      <c r="N5" s="489" t="s">
        <v>237</v>
      </c>
      <c r="O5" s="489" t="s">
        <v>238</v>
      </c>
      <c r="P5" s="489" t="s">
        <v>239</v>
      </c>
      <c r="Q5" s="494" t="s">
        <v>240</v>
      </c>
      <c r="R5" s="1"/>
      <c r="S5" s="1"/>
      <c r="T5" s="1"/>
      <c r="U5" s="1"/>
      <c r="V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row>
    <row r="6" spans="1:61" ht="13.45" customHeight="1" thickBot="1" x14ac:dyDescent="0.45">
      <c r="A6" s="1"/>
      <c r="B6" s="207" t="str">
        <f>IF(LookupMaster="","",LookupMaster)</f>
        <v/>
      </c>
      <c r="C6" s="54"/>
      <c r="D6" s="480"/>
      <c r="E6" s="483"/>
      <c r="F6" s="483"/>
      <c r="G6" s="483"/>
      <c r="H6" s="485"/>
      <c r="I6" s="485"/>
      <c r="J6" s="485"/>
      <c r="K6" s="487"/>
      <c r="L6" s="487"/>
      <c r="M6" s="487"/>
      <c r="N6" s="490"/>
      <c r="O6" s="490"/>
      <c r="P6" s="490"/>
      <c r="Q6" s="495"/>
      <c r="R6" s="1"/>
      <c r="S6" s="1"/>
      <c r="T6" s="1"/>
      <c r="U6" s="1"/>
      <c r="V6" s="1"/>
      <c r="Y6" s="1"/>
      <c r="Z6" s="1"/>
      <c r="AA6" s="497" t="s">
        <v>241</v>
      </c>
      <c r="AB6" s="498"/>
      <c r="AC6" s="499"/>
      <c r="AD6" s="499"/>
      <c r="AE6" s="499"/>
      <c r="AF6" s="499"/>
      <c r="AG6" s="499"/>
      <c r="AH6" s="499"/>
      <c r="AI6" s="500"/>
      <c r="AJ6" s="501"/>
      <c r="AK6" s="501"/>
      <c r="AL6" s="501"/>
      <c r="AM6" s="501"/>
      <c r="AN6" s="501"/>
      <c r="AO6" s="501"/>
      <c r="AP6" s="502"/>
      <c r="AQ6" s="503" t="s">
        <v>242</v>
      </c>
      <c r="AR6" s="504"/>
      <c r="AS6" s="504"/>
      <c r="AT6" s="504"/>
      <c r="AU6" s="504"/>
      <c r="AV6" s="504"/>
      <c r="AW6" s="504"/>
      <c r="AX6" s="505"/>
      <c r="AY6" s="491" t="s">
        <v>243</v>
      </c>
      <c r="AZ6" s="492"/>
      <c r="BA6" s="492"/>
      <c r="BB6" s="492"/>
      <c r="BC6" s="492"/>
      <c r="BD6" s="492"/>
      <c r="BE6" s="492"/>
      <c r="BF6" s="493"/>
      <c r="BG6" s="7" t="s">
        <v>244</v>
      </c>
      <c r="BH6" s="1"/>
      <c r="BI6" s="1"/>
    </row>
    <row r="7" spans="1:61" ht="32.25" customHeight="1" x14ac:dyDescent="0.35">
      <c r="A7" s="1"/>
      <c r="B7" s="407" t="s">
        <v>245</v>
      </c>
      <c r="C7" s="276" t="str" cm="1">
        <f t="array" ref="C7">_xlfn.XLOOKUP(B6,LA_RP_COUNTS[[#All],[Area]],LA_RP_COUNTS[[#All],[RP_Count_inc_LARPs]],"",0)</f>
        <v/>
      </c>
      <c r="D7" s="480"/>
      <c r="E7" s="483"/>
      <c r="F7" s="483"/>
      <c r="G7" s="483"/>
      <c r="H7" s="485"/>
      <c r="I7" s="485"/>
      <c r="J7" s="485"/>
      <c r="K7" s="488"/>
      <c r="L7" s="488"/>
      <c r="M7" s="487"/>
      <c r="N7" s="490"/>
      <c r="O7" s="490"/>
      <c r="P7" s="490"/>
      <c r="Q7" s="496"/>
      <c r="R7" s="1"/>
      <c r="S7" s="1"/>
      <c r="T7" s="1"/>
      <c r="U7" s="1"/>
      <c r="V7" s="1"/>
      <c r="Y7" s="1"/>
      <c r="Z7" s="408" t="s">
        <v>246</v>
      </c>
      <c r="AA7" s="8" t="s">
        <v>247</v>
      </c>
      <c r="AB7" s="9"/>
      <c r="AC7" s="10" t="s">
        <v>248</v>
      </c>
      <c r="AD7" s="10" t="s">
        <v>249</v>
      </c>
      <c r="AE7" s="10" t="s">
        <v>250</v>
      </c>
      <c r="AF7" s="10" t="s">
        <v>251</v>
      </c>
      <c r="AG7" s="10" t="s">
        <v>248</v>
      </c>
      <c r="AH7" s="10" t="s">
        <v>252</v>
      </c>
      <c r="AI7" s="10" t="s">
        <v>253</v>
      </c>
      <c r="AJ7" s="409" t="s">
        <v>254</v>
      </c>
      <c r="AK7" s="12" t="s">
        <v>255</v>
      </c>
      <c r="AL7" s="410" t="s">
        <v>256</v>
      </c>
      <c r="AM7" s="409" t="s">
        <v>247</v>
      </c>
      <c r="AN7" s="12" t="s">
        <v>257</v>
      </c>
      <c r="AO7" s="12" t="s">
        <v>252</v>
      </c>
      <c r="AP7" s="410" t="s">
        <v>258</v>
      </c>
      <c r="AQ7" s="13" t="s">
        <v>251</v>
      </c>
      <c r="AR7" s="14" t="s">
        <v>259</v>
      </c>
      <c r="AS7" s="14" t="s">
        <v>260</v>
      </c>
      <c r="AT7" s="15" t="s">
        <v>261</v>
      </c>
      <c r="AU7" s="14" t="s">
        <v>247</v>
      </c>
      <c r="AV7" s="14" t="s">
        <v>259</v>
      </c>
      <c r="AW7" s="14" t="s">
        <v>252</v>
      </c>
      <c r="AX7" s="14" t="s">
        <v>258</v>
      </c>
      <c r="AY7" s="411" t="s">
        <v>251</v>
      </c>
      <c r="AZ7" s="16" t="s">
        <v>262</v>
      </c>
      <c r="BA7" s="16" t="s">
        <v>263</v>
      </c>
      <c r="BB7" s="412" t="s">
        <v>264</v>
      </c>
      <c r="BC7" s="411" t="s">
        <v>247</v>
      </c>
      <c r="BD7" s="16" t="s">
        <v>259</v>
      </c>
      <c r="BE7" s="16" t="s">
        <v>252</v>
      </c>
      <c r="BF7" s="412" t="s">
        <v>258</v>
      </c>
      <c r="BG7" s="413"/>
      <c r="BH7" s="1"/>
      <c r="BI7" s="1"/>
    </row>
    <row r="8" spans="1:61" ht="13.45" customHeight="1" x14ac:dyDescent="0.4">
      <c r="A8" s="17"/>
      <c r="B8" s="18" t="s">
        <v>265</v>
      </c>
      <c r="C8" s="19"/>
      <c r="D8" s="481"/>
      <c r="E8" s="20">
        <f>SUM(E9:E500)</f>
        <v>0</v>
      </c>
      <c r="F8" s="21">
        <f>SUM(F9:F500)</f>
        <v>0</v>
      </c>
      <c r="G8" s="483"/>
      <c r="H8" s="20">
        <f>SUM(H9:H500)</f>
        <v>0</v>
      </c>
      <c r="I8" s="21">
        <f>SUM(I9:I500)</f>
        <v>0</v>
      </c>
      <c r="J8" s="485"/>
      <c r="K8" s="20">
        <f>SUM(K9:K500)</f>
        <v>0</v>
      </c>
      <c r="L8" s="21">
        <f>SUM(L9:L500)</f>
        <v>0</v>
      </c>
      <c r="M8" s="487"/>
      <c r="N8" s="20">
        <f>SUM(N9:N500)</f>
        <v>0</v>
      </c>
      <c r="O8" s="21">
        <f>SUM(O9:O500)</f>
        <v>0</v>
      </c>
      <c r="P8" s="490"/>
      <c r="Q8" s="20">
        <f>SUM(Q9:Q500)</f>
        <v>0</v>
      </c>
      <c r="R8" s="1"/>
      <c r="S8" s="1"/>
      <c r="T8" s="1"/>
      <c r="U8" s="1"/>
      <c r="V8" s="1"/>
      <c r="Y8" s="1"/>
      <c r="Z8" s="22"/>
      <c r="AA8" s="23"/>
      <c r="AB8" s="9"/>
      <c r="AC8" s="10"/>
      <c r="AD8" s="10"/>
      <c r="AE8" s="24">
        <f>SUM(E9:E500)</f>
        <v>0</v>
      </c>
      <c r="AF8" s="24"/>
      <c r="AG8" s="24"/>
      <c r="AH8" s="24"/>
      <c r="AI8" s="24">
        <f>SUM(E9:E500)</f>
        <v>0</v>
      </c>
      <c r="AJ8" s="25"/>
      <c r="AK8" s="11"/>
      <c r="AL8" s="26">
        <f>SUM(H9:H500)</f>
        <v>0</v>
      </c>
      <c r="AM8" s="25"/>
      <c r="AN8" s="11"/>
      <c r="AO8" s="11"/>
      <c r="AP8" s="26"/>
      <c r="AQ8" s="13"/>
      <c r="AR8" s="14"/>
      <c r="AS8" s="14"/>
      <c r="AT8" s="27">
        <f>SUM(K9:K500)</f>
        <v>0</v>
      </c>
      <c r="AU8" s="14"/>
      <c r="AV8" s="14"/>
      <c r="AW8" s="14"/>
      <c r="AX8" s="14"/>
      <c r="AY8" s="28"/>
      <c r="AZ8" s="29"/>
      <c r="BA8" s="29"/>
      <c r="BB8" s="30">
        <f>SUM(N9:N500)</f>
        <v>0</v>
      </c>
      <c r="BC8" s="28"/>
      <c r="BD8" s="29"/>
      <c r="BE8" s="29"/>
      <c r="BF8" s="31"/>
      <c r="BG8" s="32"/>
      <c r="BH8" s="1"/>
      <c r="BI8" s="1"/>
    </row>
    <row r="9" spans="1:61" ht="12.75" customHeight="1" x14ac:dyDescent="0.35">
      <c r="A9" s="33">
        <v>1</v>
      </c>
      <c r="B9" s="1" t="str">
        <f t="shared" ref="B9:B11" si="0">IFERROR(IF(Y9=0,"",Y9),"")</f>
        <v/>
      </c>
      <c r="C9" s="146" t="str">
        <f>IFERROR(BH9,"")</f>
        <v/>
      </c>
      <c r="D9" s="33" t="str">
        <f>IF(B9="","",IF('totals_&amp;_RP_counts'!$O$3=0,IFERROR(IF(AA9=2,"0",AB9),""),"-"))</f>
        <v/>
      </c>
      <c r="E9" s="35" t="str">
        <f>IFERROR(AE9,"")</f>
        <v/>
      </c>
      <c r="F9" s="36" t="str">
        <f>IFERROR(AC9,"")</f>
        <v/>
      </c>
      <c r="G9" s="36" t="str">
        <f>IFERROR(IF(AF9=2,"-",AG9),"")</f>
        <v/>
      </c>
      <c r="H9" s="33" t="str">
        <f t="shared" ref="H9:H72" si="1">IFERROR(AL9,"")</f>
        <v/>
      </c>
      <c r="I9" s="36" t="str">
        <f>IFERROR(AJ9,"")</f>
        <v/>
      </c>
      <c r="J9" s="36" t="str">
        <f>IFERROR(IF(AM9=2,"-",AN9),"")</f>
        <v/>
      </c>
      <c r="K9" s="33" t="str">
        <f t="shared" ref="K9:K72" si="2">IFERROR(AT9,"")</f>
        <v/>
      </c>
      <c r="L9" s="36" t="str">
        <f t="shared" ref="L9:L72" si="3">IFERROR(IF(AQ9=2,"-",AR9),"")</f>
        <v/>
      </c>
      <c r="M9" s="36" t="str">
        <f>IFERROR(IF(AU9=2,"-",AV9),"")</f>
        <v/>
      </c>
      <c r="N9" s="33" t="str">
        <f>IFERROR(BB9,"")</f>
        <v/>
      </c>
      <c r="O9" s="36" t="str">
        <f>IFERROR(IF(AY9=2,"-",AZ9),"")</f>
        <v/>
      </c>
      <c r="P9" s="36" t="str">
        <f>IFERROR(IF(BC9=2,"-",BD9),"")</f>
        <v/>
      </c>
      <c r="Q9" s="33" t="str">
        <f>IFERROR(BG9,"")</f>
        <v/>
      </c>
      <c r="R9" s="1"/>
      <c r="S9" s="1"/>
      <c r="Y9" s="1" t="e">
        <f>VLOOKUP($B$6,LOOKUP_SCE,2,0)</f>
        <v>#N/A</v>
      </c>
      <c r="Z9" s="22" t="str">
        <f t="shared" ref="Z9:Z40" si="4">IF(ISNUMBER(SEARCH("*",B9)),1,"")</f>
        <v/>
      </c>
      <c r="AA9" s="414">
        <f>IFERROR(ERROR.TYPE(AB9),0)</f>
        <v>7</v>
      </c>
      <c r="AB9" s="55" t="e">
        <f t="shared" ref="AB9:AB40" si="5">IF(C9="LARP","-",SUM(VLOOKUP($B9,RP_LA_Count,2,0)-1))</f>
        <v>#N/A</v>
      </c>
      <c r="AC9" s="37" t="e">
        <f>IF(AD9&gt;0,AD9,"-")</f>
        <v>#N/A</v>
      </c>
      <c r="AD9" s="37" t="e">
        <f>$AE9/$AE$8</f>
        <v>#N/A</v>
      </c>
      <c r="AE9" s="415" t="e">
        <f t="shared" ref="AE9:AE40" si="6">VLOOKUP(BI9,Stock_By_LA,2,0)</f>
        <v>#N/A</v>
      </c>
      <c r="AF9" s="10">
        <f>IFERROR(ERROR.TYPE(AG9),0)</f>
        <v>7</v>
      </c>
      <c r="AG9" s="38" t="e">
        <f t="shared" ref="AG9:AG72" si="7">IF(AH9&gt;0,AH9,"-")</f>
        <v>#N/A</v>
      </c>
      <c r="AH9" s="38" t="e">
        <f>$AE9/$AI9</f>
        <v>#N/A</v>
      </c>
      <c r="AI9" s="10" t="e">
        <f t="shared" ref="AI9:AI40" si="8">VLOOKUP(B9,RP_Totals,2,0)</f>
        <v>#N/A</v>
      </c>
      <c r="AJ9" s="39" t="e">
        <f>IF(AK9&gt;0,AK9,"-")</f>
        <v>#N/A</v>
      </c>
      <c r="AK9" s="40" t="e">
        <f t="shared" ref="AK9:AK72" si="9">$AL9/$AL$8</f>
        <v>#N/A</v>
      </c>
      <c r="AL9" s="11" t="e">
        <f t="shared" ref="AL9:AL40" si="10">VLOOKUP($BI9,Stock_By_LA,3,0)</f>
        <v>#N/A</v>
      </c>
      <c r="AM9" s="416">
        <f>IFERROR(ERROR.TYPE(AN9),0)</f>
        <v>7</v>
      </c>
      <c r="AN9" s="42" t="e">
        <f t="shared" ref="AN9:AN72" si="11">IF(AO9&gt;0,AO9,"-")</f>
        <v>#N/A</v>
      </c>
      <c r="AO9" s="58" t="e">
        <f>$AL9/$AP9</f>
        <v>#N/A</v>
      </c>
      <c r="AP9" s="417" t="e">
        <f t="shared" ref="AP9:AP40" si="12">VLOOKUP(B9,RP_Totals,3,0)</f>
        <v>#N/A</v>
      </c>
      <c r="AQ9" s="56">
        <f>IFERROR(ERROR.TYPE(AR9),0)</f>
        <v>7</v>
      </c>
      <c r="AR9" s="43" t="e">
        <f>IF(AS9&gt;0,AS9,"-")</f>
        <v>#N/A</v>
      </c>
      <c r="AS9" s="44" t="e">
        <f>AT9/$AT$8</f>
        <v>#N/A</v>
      </c>
      <c r="AT9" s="45" t="e">
        <f t="shared" ref="AT9:AT40" si="13">VLOOKUP($BI9,Stock_By_LA,4,0)</f>
        <v>#N/A</v>
      </c>
      <c r="AU9" s="14">
        <f>IFERROR(ERROR.TYPE(AV9),0)</f>
        <v>7</v>
      </c>
      <c r="AV9" s="44" t="e">
        <f t="shared" ref="AV9:AV72" si="14">IF(AW9&gt;0,AW9,"-")</f>
        <v>#N/A</v>
      </c>
      <c r="AW9" s="14" t="e">
        <f>$AT9/$AX9</f>
        <v>#N/A</v>
      </c>
      <c r="AX9" s="14" t="e">
        <f t="shared" ref="AX9:AX40" si="15">VLOOKUP(B9,RP_Totals,4,0)</f>
        <v>#N/A</v>
      </c>
      <c r="AY9" s="46">
        <f>IFERROR(ERROR.TYPE(AZ9),0)</f>
        <v>7</v>
      </c>
      <c r="AZ9" s="47" t="e">
        <f>IF(BA9&gt;0,BA9,"-")</f>
        <v>#N/A</v>
      </c>
      <c r="BA9" s="48" t="e">
        <f>$BB9/$BB$8</f>
        <v>#N/A</v>
      </c>
      <c r="BB9" s="31" t="e">
        <f t="shared" ref="BB9:BB40" si="16">VLOOKUP($BI9,Stock_By_LA,5,0)</f>
        <v>#N/A</v>
      </c>
      <c r="BC9" s="28">
        <f>IFERROR(ERROR.TYPE(BD9),0)</f>
        <v>7</v>
      </c>
      <c r="BD9" s="47" t="e">
        <f>IF(BE9&gt;0,BE9,"-")</f>
        <v>#N/A</v>
      </c>
      <c r="BE9" s="48" t="e">
        <f>$BB9/$BF9</f>
        <v>#N/A</v>
      </c>
      <c r="BF9" s="31" t="e">
        <f t="shared" ref="BF9:BF40" si="17">VLOOKUP(B9,RP_Totals,5,0)</f>
        <v>#N/A</v>
      </c>
      <c r="BG9" s="49" t="e">
        <f t="shared" ref="BG9:BG40" si="18">VLOOKUP(BI9,Stock_By_LA,6,0)</f>
        <v>#N/A</v>
      </c>
      <c r="BH9" s="1" t="e">
        <f>VLOOKUP($B9,STOCK_BY_LA!$A$2:$C$10477,3,0)</f>
        <v>#N/A</v>
      </c>
      <c r="BI9" s="1" t="str">
        <f>$B$6&amp;$B9</f>
        <v/>
      </c>
    </row>
    <row r="10" spans="1:61" x14ac:dyDescent="0.35">
      <c r="A10" s="1" t="str">
        <f t="shared" ref="A10:A41" si="19">IF(Z10=1,A9+1,"")</f>
        <v/>
      </c>
      <c r="B10" s="1" t="str">
        <f t="shared" si="0"/>
        <v/>
      </c>
      <c r="C10" s="146" t="str">
        <f t="shared" ref="C10:C73" si="20">IFERROR(BH10,"")</f>
        <v/>
      </c>
      <c r="D10" s="33" t="str">
        <f>IF(B10="","",IF('totals_&amp;_RP_counts'!$O$3=0,IFERROR(IF(AA10=2,"0",AB10),""),"-"))</f>
        <v/>
      </c>
      <c r="E10" s="35" t="str">
        <f t="shared" ref="E10:E73" si="21">IFERROR(AE10,"")</f>
        <v/>
      </c>
      <c r="F10" s="36" t="str">
        <f t="shared" ref="F10:F73" si="22">IFERROR(AC10,"")</f>
        <v/>
      </c>
      <c r="G10" s="36" t="str">
        <f t="shared" ref="G10:G73" si="23">IFERROR(IF(AF10=2,"-",AG10),"")</f>
        <v/>
      </c>
      <c r="H10" s="33" t="str">
        <f t="shared" si="1"/>
        <v/>
      </c>
      <c r="I10" s="36" t="str">
        <f t="shared" ref="I10:I73" si="24">IFERROR(AJ10,"")</f>
        <v/>
      </c>
      <c r="J10" s="36" t="str">
        <f t="shared" ref="J10:J73" si="25">IFERROR(IF(AM10=2,"-",AN10),"")</f>
        <v/>
      </c>
      <c r="K10" s="33" t="str">
        <f t="shared" si="2"/>
        <v/>
      </c>
      <c r="L10" s="36" t="str">
        <f t="shared" si="3"/>
        <v/>
      </c>
      <c r="M10" s="36" t="str">
        <f t="shared" ref="M10:M73" si="26">IFERROR(IF(AU10=2,"-",AV10),"")</f>
        <v/>
      </c>
      <c r="N10" s="33" t="str">
        <f t="shared" ref="N10:N73" si="27">IFERROR(BB10,"")</f>
        <v/>
      </c>
      <c r="O10" s="36" t="str">
        <f t="shared" ref="O10:O73" si="28">IFERROR(IF(AY10=2,"-",AZ10),"")</f>
        <v/>
      </c>
      <c r="P10" s="36" t="str">
        <f t="shared" ref="P10:P73" si="29">IFERROR(IF(BC10=2,"-",BD10),"")</f>
        <v/>
      </c>
      <c r="Q10" s="33" t="str">
        <f t="shared" ref="Q10:Q73" si="30">IFERROR(BG10,"")</f>
        <v/>
      </c>
      <c r="R10" s="1"/>
      <c r="S10" s="1"/>
      <c r="Y10" s="1" t="e">
        <f>VLOOKUP($B$6,LOOKUP_SCE,3,0)</f>
        <v>#N/A</v>
      </c>
      <c r="Z10" s="22" t="str">
        <f t="shared" si="4"/>
        <v/>
      </c>
      <c r="AA10" s="23">
        <f t="shared" ref="AA10:AA73" si="31">IFERROR(ERROR.TYPE(AB10),0)</f>
        <v>7</v>
      </c>
      <c r="AB10" s="55" t="e">
        <f t="shared" si="5"/>
        <v>#N/A</v>
      </c>
      <c r="AC10" s="38" t="e">
        <f t="shared" ref="AC10:AC73" si="32">IF(AD10&gt;0,AD10,"-")</f>
        <v>#N/A</v>
      </c>
      <c r="AD10" s="38" t="e">
        <f t="shared" ref="AD10:AD73" si="33">$AE10/$AE$8</f>
        <v>#N/A</v>
      </c>
      <c r="AE10" s="415" t="e">
        <f t="shared" si="6"/>
        <v>#N/A</v>
      </c>
      <c r="AF10" s="10">
        <f t="shared" ref="AF10:AF73" si="34">IFERROR(ERROR.TYPE(AG10),0)</f>
        <v>7</v>
      </c>
      <c r="AG10" s="38" t="e">
        <f t="shared" si="7"/>
        <v>#N/A</v>
      </c>
      <c r="AH10" s="38" t="e">
        <f t="shared" ref="AH10:AH73" si="35">$AE10/$AI10</f>
        <v>#N/A</v>
      </c>
      <c r="AI10" s="10" t="e">
        <f t="shared" si="8"/>
        <v>#N/A</v>
      </c>
      <c r="AJ10" s="39" t="e">
        <f t="shared" ref="AJ10:AJ73" si="36">IF(AK10&gt;0,AK10,"-")</f>
        <v>#N/A</v>
      </c>
      <c r="AK10" s="40" t="e">
        <f t="shared" si="9"/>
        <v>#N/A</v>
      </c>
      <c r="AL10" s="11" t="e">
        <f t="shared" si="10"/>
        <v>#N/A</v>
      </c>
      <c r="AM10" s="41">
        <f t="shared" ref="AM10:AM73" si="37">IFERROR(ERROR.TYPE(AN10),0)</f>
        <v>7</v>
      </c>
      <c r="AN10" s="57" t="e">
        <f t="shared" si="11"/>
        <v>#N/A</v>
      </c>
      <c r="AO10" s="40" t="e">
        <f t="shared" ref="AO10:AO73" si="38">$AL10/$AP10</f>
        <v>#N/A</v>
      </c>
      <c r="AP10" s="417" t="e">
        <f t="shared" si="12"/>
        <v>#N/A</v>
      </c>
      <c r="AQ10" s="56">
        <f t="shared" ref="AQ10:AQ73" si="39">IFERROR(ERROR.TYPE(AR10),0)</f>
        <v>7</v>
      </c>
      <c r="AR10" s="43" t="e">
        <f t="shared" ref="AR10:AR73" si="40">IF(AS10&gt;0,AS10,"-")</f>
        <v>#N/A</v>
      </c>
      <c r="AS10" s="44" t="e">
        <f t="shared" ref="AS10:AS73" si="41">AT10/$AT$8</f>
        <v>#N/A</v>
      </c>
      <c r="AT10" s="45" t="e">
        <f t="shared" si="13"/>
        <v>#N/A</v>
      </c>
      <c r="AU10" s="14">
        <f t="shared" ref="AU10:AU73" si="42">IFERROR(ERROR.TYPE(AV10),0)</f>
        <v>7</v>
      </c>
      <c r="AV10" s="44" t="e">
        <f t="shared" si="14"/>
        <v>#N/A</v>
      </c>
      <c r="AW10" s="14" t="e">
        <f t="shared" ref="AW10:AW73" si="43">$AT10/$AX10</f>
        <v>#N/A</v>
      </c>
      <c r="AX10" s="14" t="e">
        <f t="shared" si="15"/>
        <v>#N/A</v>
      </c>
      <c r="AY10" s="46">
        <f t="shared" ref="AY10:AY73" si="44">IFERROR(ERROR.TYPE(AZ10),0)</f>
        <v>7</v>
      </c>
      <c r="AZ10" s="47" t="e">
        <f t="shared" ref="AZ10:AZ73" si="45">IF(BA10&gt;0,BA10,"-")</f>
        <v>#N/A</v>
      </c>
      <c r="BA10" s="48" t="e">
        <f t="shared" ref="BA10:BA73" si="46">$BB10/$BB$8</f>
        <v>#N/A</v>
      </c>
      <c r="BB10" s="31" t="e">
        <f t="shared" si="16"/>
        <v>#N/A</v>
      </c>
      <c r="BC10" s="28">
        <f t="shared" ref="BC10:BC73" si="47">IFERROR(ERROR.TYPE(BD10),0)</f>
        <v>7</v>
      </c>
      <c r="BD10" s="47" t="e">
        <f t="shared" ref="BD10:BD73" si="48">IF(BE10&gt;0,BE10,"-")</f>
        <v>#N/A</v>
      </c>
      <c r="BE10" s="48" t="e">
        <f t="shared" ref="BE10:BE73" si="49">$BB10/$BF10</f>
        <v>#N/A</v>
      </c>
      <c r="BF10" s="31" t="e">
        <f t="shared" si="17"/>
        <v>#N/A</v>
      </c>
      <c r="BG10" s="49" t="e">
        <f t="shared" si="18"/>
        <v>#N/A</v>
      </c>
      <c r="BH10" s="1" t="e">
        <f>VLOOKUP($B10,STOCK_BY_LA!$A$2:$C$10477,3,0)</f>
        <v>#N/A</v>
      </c>
      <c r="BI10" s="1" t="str">
        <f t="shared" ref="BI10:BI73" si="50">$B$6&amp;$B10</f>
        <v/>
      </c>
    </row>
    <row r="11" spans="1:61" x14ac:dyDescent="0.35">
      <c r="A11" s="33" t="str">
        <f t="shared" si="19"/>
        <v/>
      </c>
      <c r="B11" s="1" t="str">
        <f t="shared" si="0"/>
        <v/>
      </c>
      <c r="C11" s="146" t="str">
        <f t="shared" si="20"/>
        <v/>
      </c>
      <c r="D11" s="33" t="str">
        <f>IF(B11="","",IF('totals_&amp;_RP_counts'!$O$3=0,IFERROR(IF(AA11=2,"0",AB11),""),"-"))</f>
        <v/>
      </c>
      <c r="E11" s="35" t="str">
        <f t="shared" si="21"/>
        <v/>
      </c>
      <c r="F11" s="36" t="str">
        <f t="shared" si="22"/>
        <v/>
      </c>
      <c r="G11" s="36" t="str">
        <f t="shared" si="23"/>
        <v/>
      </c>
      <c r="H11" s="33" t="str">
        <f t="shared" si="1"/>
        <v/>
      </c>
      <c r="I11" s="36" t="str">
        <f t="shared" si="24"/>
        <v/>
      </c>
      <c r="J11" s="36" t="str">
        <f t="shared" si="25"/>
        <v/>
      </c>
      <c r="K11" s="33" t="str">
        <f t="shared" si="2"/>
        <v/>
      </c>
      <c r="L11" s="36" t="str">
        <f t="shared" si="3"/>
        <v/>
      </c>
      <c r="M11" s="36" t="str">
        <f t="shared" si="26"/>
        <v/>
      </c>
      <c r="N11" s="33" t="str">
        <f t="shared" si="27"/>
        <v/>
      </c>
      <c r="O11" s="36" t="str">
        <f t="shared" si="28"/>
        <v/>
      </c>
      <c r="P11" s="36" t="str">
        <f t="shared" si="29"/>
        <v/>
      </c>
      <c r="Q11" s="33" t="str">
        <f t="shared" si="30"/>
        <v/>
      </c>
      <c r="R11" s="1"/>
      <c r="S11" s="1"/>
      <c r="Y11" s="1" t="e">
        <f>VLOOKUP($B$6,LOOKUP_SCE,4,0)</f>
        <v>#N/A</v>
      </c>
      <c r="Z11" s="22" t="str">
        <f t="shared" si="4"/>
        <v/>
      </c>
      <c r="AA11" s="23">
        <f t="shared" si="31"/>
        <v>7</v>
      </c>
      <c r="AB11" s="55" t="e">
        <f t="shared" si="5"/>
        <v>#N/A</v>
      </c>
      <c r="AC11" s="38" t="e">
        <f t="shared" si="32"/>
        <v>#N/A</v>
      </c>
      <c r="AD11" s="38" t="e">
        <f t="shared" si="33"/>
        <v>#N/A</v>
      </c>
      <c r="AE11" s="415" t="e">
        <f t="shared" si="6"/>
        <v>#N/A</v>
      </c>
      <c r="AF11" s="10">
        <f t="shared" si="34"/>
        <v>7</v>
      </c>
      <c r="AG11" s="38" t="e">
        <f t="shared" si="7"/>
        <v>#N/A</v>
      </c>
      <c r="AH11" s="38" t="e">
        <f t="shared" si="35"/>
        <v>#N/A</v>
      </c>
      <c r="AI11" s="10" t="e">
        <f t="shared" si="8"/>
        <v>#N/A</v>
      </c>
      <c r="AJ11" s="39" t="e">
        <f t="shared" si="36"/>
        <v>#N/A</v>
      </c>
      <c r="AK11" s="40" t="e">
        <f t="shared" si="9"/>
        <v>#N/A</v>
      </c>
      <c r="AL11" s="11" t="e">
        <f t="shared" si="10"/>
        <v>#N/A</v>
      </c>
      <c r="AM11" s="41">
        <f t="shared" si="37"/>
        <v>7</v>
      </c>
      <c r="AN11" s="57" t="e">
        <f t="shared" si="11"/>
        <v>#N/A</v>
      </c>
      <c r="AO11" s="40" t="e">
        <f t="shared" si="38"/>
        <v>#N/A</v>
      </c>
      <c r="AP11" s="417" t="e">
        <f t="shared" si="12"/>
        <v>#N/A</v>
      </c>
      <c r="AQ11" s="56">
        <f t="shared" si="39"/>
        <v>7</v>
      </c>
      <c r="AR11" s="43" t="e">
        <f t="shared" si="40"/>
        <v>#N/A</v>
      </c>
      <c r="AS11" s="44" t="e">
        <f t="shared" si="41"/>
        <v>#N/A</v>
      </c>
      <c r="AT11" s="45" t="e">
        <f t="shared" si="13"/>
        <v>#N/A</v>
      </c>
      <c r="AU11" s="14">
        <f t="shared" si="42"/>
        <v>7</v>
      </c>
      <c r="AV11" s="44" t="e">
        <f t="shared" si="14"/>
        <v>#N/A</v>
      </c>
      <c r="AW11" s="14" t="e">
        <f t="shared" si="43"/>
        <v>#N/A</v>
      </c>
      <c r="AX11" s="14" t="e">
        <f t="shared" si="15"/>
        <v>#N/A</v>
      </c>
      <c r="AY11" s="46">
        <f t="shared" si="44"/>
        <v>7</v>
      </c>
      <c r="AZ11" s="47" t="e">
        <f t="shared" si="45"/>
        <v>#N/A</v>
      </c>
      <c r="BA11" s="48" t="e">
        <f t="shared" si="46"/>
        <v>#N/A</v>
      </c>
      <c r="BB11" s="31" t="e">
        <f t="shared" si="16"/>
        <v>#N/A</v>
      </c>
      <c r="BC11" s="28">
        <f t="shared" si="47"/>
        <v>7</v>
      </c>
      <c r="BD11" s="47" t="e">
        <f t="shared" si="48"/>
        <v>#N/A</v>
      </c>
      <c r="BE11" s="48" t="e">
        <f t="shared" si="49"/>
        <v>#N/A</v>
      </c>
      <c r="BF11" s="31" t="e">
        <f t="shared" si="17"/>
        <v>#N/A</v>
      </c>
      <c r="BG11" s="49" t="e">
        <f t="shared" si="18"/>
        <v>#N/A</v>
      </c>
      <c r="BH11" s="1" t="e">
        <f>VLOOKUP($B11,STOCK_BY_LA!$A$2:$C$10477,3,0)</f>
        <v>#N/A</v>
      </c>
      <c r="BI11" s="1" t="str">
        <f t="shared" si="50"/>
        <v/>
      </c>
    </row>
    <row r="12" spans="1:61" x14ac:dyDescent="0.35">
      <c r="A12" s="1" t="str">
        <f t="shared" si="19"/>
        <v/>
      </c>
      <c r="B12" s="1" t="str">
        <f>IFERROR(IF(Y12=0,"",Y12),"")</f>
        <v/>
      </c>
      <c r="C12" s="146" t="str">
        <f t="shared" si="20"/>
        <v/>
      </c>
      <c r="D12" s="33" t="str">
        <f>IF(B12="","",IF('totals_&amp;_RP_counts'!$O$3=0,IFERROR(IF(AA12=2,"0",AB12),""),"-"))</f>
        <v/>
      </c>
      <c r="E12" s="35" t="str">
        <f t="shared" si="21"/>
        <v/>
      </c>
      <c r="F12" s="36" t="str">
        <f t="shared" si="22"/>
        <v/>
      </c>
      <c r="G12" s="36" t="str">
        <f t="shared" si="23"/>
        <v/>
      </c>
      <c r="H12" s="33" t="str">
        <f t="shared" si="1"/>
        <v/>
      </c>
      <c r="I12" s="36" t="str">
        <f t="shared" si="24"/>
        <v/>
      </c>
      <c r="J12" s="36" t="str">
        <f t="shared" si="25"/>
        <v/>
      </c>
      <c r="K12" s="33" t="str">
        <f t="shared" si="2"/>
        <v/>
      </c>
      <c r="L12" s="36" t="str">
        <f t="shared" si="3"/>
        <v/>
      </c>
      <c r="M12" s="36" t="str">
        <f t="shared" si="26"/>
        <v/>
      </c>
      <c r="N12" s="33" t="str">
        <f t="shared" si="27"/>
        <v/>
      </c>
      <c r="O12" s="36" t="str">
        <f t="shared" si="28"/>
        <v/>
      </c>
      <c r="P12" s="36" t="str">
        <f t="shared" si="29"/>
        <v/>
      </c>
      <c r="Q12" s="33" t="str">
        <f t="shared" si="30"/>
        <v/>
      </c>
      <c r="R12" s="1"/>
      <c r="S12" s="1"/>
      <c r="Y12" s="1" t="e">
        <f>VLOOKUP($B$6,LOOKUP_SCE,5,0)</f>
        <v>#N/A</v>
      </c>
      <c r="Z12" s="22" t="str">
        <f t="shared" si="4"/>
        <v/>
      </c>
      <c r="AA12" s="23">
        <f t="shared" si="31"/>
        <v>7</v>
      </c>
      <c r="AB12" s="55" t="e">
        <f t="shared" si="5"/>
        <v>#N/A</v>
      </c>
      <c r="AC12" s="38" t="e">
        <f t="shared" si="32"/>
        <v>#N/A</v>
      </c>
      <c r="AD12" s="38" t="e">
        <f t="shared" si="33"/>
        <v>#N/A</v>
      </c>
      <c r="AE12" s="415" t="e">
        <f t="shared" si="6"/>
        <v>#N/A</v>
      </c>
      <c r="AF12" s="10">
        <f t="shared" si="34"/>
        <v>7</v>
      </c>
      <c r="AG12" s="38" t="e">
        <f t="shared" si="7"/>
        <v>#N/A</v>
      </c>
      <c r="AH12" s="38" t="e">
        <f t="shared" si="35"/>
        <v>#N/A</v>
      </c>
      <c r="AI12" s="10" t="e">
        <f t="shared" si="8"/>
        <v>#N/A</v>
      </c>
      <c r="AJ12" s="39" t="e">
        <f t="shared" si="36"/>
        <v>#N/A</v>
      </c>
      <c r="AK12" s="40" t="e">
        <f t="shared" si="9"/>
        <v>#N/A</v>
      </c>
      <c r="AL12" s="11" t="e">
        <f t="shared" si="10"/>
        <v>#N/A</v>
      </c>
      <c r="AM12" s="41">
        <f t="shared" si="37"/>
        <v>7</v>
      </c>
      <c r="AN12" s="57" t="e">
        <f t="shared" si="11"/>
        <v>#N/A</v>
      </c>
      <c r="AO12" s="40" t="e">
        <f t="shared" si="38"/>
        <v>#N/A</v>
      </c>
      <c r="AP12" s="417" t="e">
        <f t="shared" si="12"/>
        <v>#N/A</v>
      </c>
      <c r="AQ12" s="56">
        <f t="shared" si="39"/>
        <v>7</v>
      </c>
      <c r="AR12" s="43" t="e">
        <f t="shared" si="40"/>
        <v>#N/A</v>
      </c>
      <c r="AS12" s="44" t="e">
        <f t="shared" si="41"/>
        <v>#N/A</v>
      </c>
      <c r="AT12" s="45" t="e">
        <f t="shared" si="13"/>
        <v>#N/A</v>
      </c>
      <c r="AU12" s="14">
        <f t="shared" si="42"/>
        <v>7</v>
      </c>
      <c r="AV12" s="44" t="e">
        <f t="shared" si="14"/>
        <v>#N/A</v>
      </c>
      <c r="AW12" s="14" t="e">
        <f t="shared" si="43"/>
        <v>#N/A</v>
      </c>
      <c r="AX12" s="14" t="e">
        <f t="shared" si="15"/>
        <v>#N/A</v>
      </c>
      <c r="AY12" s="46">
        <f t="shared" si="44"/>
        <v>7</v>
      </c>
      <c r="AZ12" s="47" t="e">
        <f t="shared" si="45"/>
        <v>#N/A</v>
      </c>
      <c r="BA12" s="48" t="e">
        <f t="shared" si="46"/>
        <v>#N/A</v>
      </c>
      <c r="BB12" s="31" t="e">
        <f t="shared" si="16"/>
        <v>#N/A</v>
      </c>
      <c r="BC12" s="28">
        <f t="shared" si="47"/>
        <v>7</v>
      </c>
      <c r="BD12" s="47" t="e">
        <f t="shared" si="48"/>
        <v>#N/A</v>
      </c>
      <c r="BE12" s="48" t="e">
        <f t="shared" si="49"/>
        <v>#N/A</v>
      </c>
      <c r="BF12" s="31" t="e">
        <f t="shared" si="17"/>
        <v>#N/A</v>
      </c>
      <c r="BG12" s="49" t="e">
        <f t="shared" si="18"/>
        <v>#N/A</v>
      </c>
      <c r="BH12" s="1" t="e">
        <f>VLOOKUP($B12,STOCK_BY_LA!$A$2:$C$10477,3,0)</f>
        <v>#N/A</v>
      </c>
      <c r="BI12" s="1" t="str">
        <f t="shared" si="50"/>
        <v/>
      </c>
    </row>
    <row r="13" spans="1:61" x14ac:dyDescent="0.35">
      <c r="A13" s="33" t="str">
        <f t="shared" si="19"/>
        <v/>
      </c>
      <c r="B13" s="1" t="str">
        <f t="shared" ref="B13:B76" si="51">IFERROR(IF(Y13=0,"",Y13),"")</f>
        <v/>
      </c>
      <c r="C13" s="146" t="str">
        <f t="shared" si="20"/>
        <v/>
      </c>
      <c r="D13" s="33" t="str">
        <f>IF(B13="","",IF('totals_&amp;_RP_counts'!$O$3=0,IFERROR(IF(AA13=2,"0",AB13),""),"-"))</f>
        <v/>
      </c>
      <c r="E13" s="35" t="str">
        <f t="shared" si="21"/>
        <v/>
      </c>
      <c r="F13" s="36" t="str">
        <f t="shared" si="22"/>
        <v/>
      </c>
      <c r="G13" s="36" t="str">
        <f t="shared" si="23"/>
        <v/>
      </c>
      <c r="H13" s="33" t="str">
        <f t="shared" si="1"/>
        <v/>
      </c>
      <c r="I13" s="36" t="str">
        <f t="shared" si="24"/>
        <v/>
      </c>
      <c r="J13" s="36" t="str">
        <f t="shared" si="25"/>
        <v/>
      </c>
      <c r="K13" s="33" t="str">
        <f t="shared" si="2"/>
        <v/>
      </c>
      <c r="L13" s="36" t="str">
        <f t="shared" si="3"/>
        <v/>
      </c>
      <c r="M13" s="36" t="str">
        <f t="shared" si="26"/>
        <v/>
      </c>
      <c r="N13" s="33" t="str">
        <f t="shared" si="27"/>
        <v/>
      </c>
      <c r="O13" s="36" t="str">
        <f t="shared" si="28"/>
        <v/>
      </c>
      <c r="P13" s="36" t="str">
        <f t="shared" si="29"/>
        <v/>
      </c>
      <c r="Q13" s="33" t="str">
        <f t="shared" si="30"/>
        <v/>
      </c>
      <c r="R13" s="1"/>
      <c r="S13" s="1"/>
      <c r="Y13" s="1" t="e">
        <f>VLOOKUP($B$6,LOOKUP_SCE,6,0)</f>
        <v>#N/A</v>
      </c>
      <c r="Z13" s="22" t="str">
        <f t="shared" si="4"/>
        <v/>
      </c>
      <c r="AA13" s="23">
        <f t="shared" si="31"/>
        <v>7</v>
      </c>
      <c r="AB13" s="55" t="e">
        <f t="shared" si="5"/>
        <v>#N/A</v>
      </c>
      <c r="AC13" s="38" t="e">
        <f t="shared" si="32"/>
        <v>#N/A</v>
      </c>
      <c r="AD13" s="38" t="e">
        <f t="shared" si="33"/>
        <v>#N/A</v>
      </c>
      <c r="AE13" s="415" t="e">
        <f t="shared" si="6"/>
        <v>#N/A</v>
      </c>
      <c r="AF13" s="10">
        <f t="shared" si="34"/>
        <v>7</v>
      </c>
      <c r="AG13" s="38" t="e">
        <f t="shared" si="7"/>
        <v>#N/A</v>
      </c>
      <c r="AH13" s="38" t="e">
        <f t="shared" si="35"/>
        <v>#N/A</v>
      </c>
      <c r="AI13" s="10" t="e">
        <f t="shared" si="8"/>
        <v>#N/A</v>
      </c>
      <c r="AJ13" s="39" t="e">
        <f t="shared" si="36"/>
        <v>#N/A</v>
      </c>
      <c r="AK13" s="40" t="e">
        <f t="shared" si="9"/>
        <v>#N/A</v>
      </c>
      <c r="AL13" s="11" t="e">
        <f t="shared" si="10"/>
        <v>#N/A</v>
      </c>
      <c r="AM13" s="41">
        <f t="shared" si="37"/>
        <v>7</v>
      </c>
      <c r="AN13" s="57" t="e">
        <f t="shared" si="11"/>
        <v>#N/A</v>
      </c>
      <c r="AO13" s="40" t="e">
        <f t="shared" si="38"/>
        <v>#N/A</v>
      </c>
      <c r="AP13" s="417" t="e">
        <f t="shared" si="12"/>
        <v>#N/A</v>
      </c>
      <c r="AQ13" s="56">
        <f t="shared" si="39"/>
        <v>7</v>
      </c>
      <c r="AR13" s="43" t="e">
        <f t="shared" si="40"/>
        <v>#N/A</v>
      </c>
      <c r="AS13" s="44" t="e">
        <f t="shared" si="41"/>
        <v>#N/A</v>
      </c>
      <c r="AT13" s="45" t="e">
        <f t="shared" si="13"/>
        <v>#N/A</v>
      </c>
      <c r="AU13" s="14">
        <f t="shared" si="42"/>
        <v>7</v>
      </c>
      <c r="AV13" s="44" t="e">
        <f t="shared" si="14"/>
        <v>#N/A</v>
      </c>
      <c r="AW13" s="14" t="e">
        <f t="shared" si="43"/>
        <v>#N/A</v>
      </c>
      <c r="AX13" s="14" t="e">
        <f t="shared" si="15"/>
        <v>#N/A</v>
      </c>
      <c r="AY13" s="46">
        <f t="shared" si="44"/>
        <v>7</v>
      </c>
      <c r="AZ13" s="47" t="e">
        <f t="shared" si="45"/>
        <v>#N/A</v>
      </c>
      <c r="BA13" s="48" t="e">
        <f t="shared" si="46"/>
        <v>#N/A</v>
      </c>
      <c r="BB13" s="31" t="e">
        <f t="shared" si="16"/>
        <v>#N/A</v>
      </c>
      <c r="BC13" s="28">
        <f t="shared" si="47"/>
        <v>7</v>
      </c>
      <c r="BD13" s="47" t="e">
        <f t="shared" si="48"/>
        <v>#N/A</v>
      </c>
      <c r="BE13" s="48" t="e">
        <f t="shared" si="49"/>
        <v>#N/A</v>
      </c>
      <c r="BF13" s="31" t="e">
        <f t="shared" si="17"/>
        <v>#N/A</v>
      </c>
      <c r="BG13" s="49" t="e">
        <f t="shared" si="18"/>
        <v>#N/A</v>
      </c>
      <c r="BH13" s="1" t="e">
        <f>VLOOKUP($B13,STOCK_BY_LA!$A$2:$C$10477,3,0)</f>
        <v>#N/A</v>
      </c>
      <c r="BI13" s="1" t="str">
        <f t="shared" si="50"/>
        <v/>
      </c>
    </row>
    <row r="14" spans="1:61" x14ac:dyDescent="0.35">
      <c r="A14" s="1" t="str">
        <f t="shared" si="19"/>
        <v/>
      </c>
      <c r="B14" s="1" t="str">
        <f t="shared" si="51"/>
        <v/>
      </c>
      <c r="C14" s="146" t="str">
        <f t="shared" si="20"/>
        <v/>
      </c>
      <c r="D14" s="33" t="str">
        <f>IF(B14="","",IF('totals_&amp;_RP_counts'!$O$3=0,IFERROR(IF(AA14=2,"0",AB14),""),"-"))</f>
        <v/>
      </c>
      <c r="E14" s="35" t="str">
        <f t="shared" si="21"/>
        <v/>
      </c>
      <c r="F14" s="36" t="str">
        <f t="shared" si="22"/>
        <v/>
      </c>
      <c r="G14" s="36" t="str">
        <f t="shared" si="23"/>
        <v/>
      </c>
      <c r="H14" s="33" t="str">
        <f t="shared" si="1"/>
        <v/>
      </c>
      <c r="I14" s="36" t="str">
        <f t="shared" si="24"/>
        <v/>
      </c>
      <c r="J14" s="36" t="str">
        <f t="shared" si="25"/>
        <v/>
      </c>
      <c r="K14" s="33" t="str">
        <f t="shared" si="2"/>
        <v/>
      </c>
      <c r="L14" s="36" t="str">
        <f t="shared" si="3"/>
        <v/>
      </c>
      <c r="M14" s="36" t="str">
        <f t="shared" si="26"/>
        <v/>
      </c>
      <c r="N14" s="33" t="str">
        <f t="shared" si="27"/>
        <v/>
      </c>
      <c r="O14" s="36" t="str">
        <f t="shared" si="28"/>
        <v/>
      </c>
      <c r="P14" s="36" t="str">
        <f t="shared" si="29"/>
        <v/>
      </c>
      <c r="Q14" s="33" t="str">
        <f t="shared" si="30"/>
        <v/>
      </c>
      <c r="R14" s="1"/>
      <c r="S14" s="1"/>
      <c r="Y14" s="1" t="e">
        <f>VLOOKUP($B$6,LOOKUP_SCE,7,0)</f>
        <v>#N/A</v>
      </c>
      <c r="Z14" s="22" t="str">
        <f t="shared" si="4"/>
        <v/>
      </c>
      <c r="AA14" s="23">
        <f t="shared" si="31"/>
        <v>7</v>
      </c>
      <c r="AB14" s="55" t="e">
        <f t="shared" si="5"/>
        <v>#N/A</v>
      </c>
      <c r="AC14" s="38" t="e">
        <f t="shared" si="32"/>
        <v>#N/A</v>
      </c>
      <c r="AD14" s="38" t="e">
        <f t="shared" si="33"/>
        <v>#N/A</v>
      </c>
      <c r="AE14" s="415" t="e">
        <f t="shared" si="6"/>
        <v>#N/A</v>
      </c>
      <c r="AF14" s="10">
        <f t="shared" si="34"/>
        <v>7</v>
      </c>
      <c r="AG14" s="38" t="e">
        <f t="shared" si="7"/>
        <v>#N/A</v>
      </c>
      <c r="AH14" s="38" t="e">
        <f t="shared" si="35"/>
        <v>#N/A</v>
      </c>
      <c r="AI14" s="10" t="e">
        <f t="shared" si="8"/>
        <v>#N/A</v>
      </c>
      <c r="AJ14" s="39" t="e">
        <f t="shared" si="36"/>
        <v>#N/A</v>
      </c>
      <c r="AK14" s="40" t="e">
        <f t="shared" si="9"/>
        <v>#N/A</v>
      </c>
      <c r="AL14" s="11" t="e">
        <f t="shared" si="10"/>
        <v>#N/A</v>
      </c>
      <c r="AM14" s="41">
        <f t="shared" si="37"/>
        <v>7</v>
      </c>
      <c r="AN14" s="57" t="e">
        <f t="shared" si="11"/>
        <v>#N/A</v>
      </c>
      <c r="AO14" s="40" t="e">
        <f t="shared" si="38"/>
        <v>#N/A</v>
      </c>
      <c r="AP14" s="417" t="e">
        <f t="shared" si="12"/>
        <v>#N/A</v>
      </c>
      <c r="AQ14" s="56">
        <f t="shared" si="39"/>
        <v>7</v>
      </c>
      <c r="AR14" s="43" t="e">
        <f t="shared" si="40"/>
        <v>#N/A</v>
      </c>
      <c r="AS14" s="44" t="e">
        <f t="shared" si="41"/>
        <v>#N/A</v>
      </c>
      <c r="AT14" s="45" t="e">
        <f t="shared" si="13"/>
        <v>#N/A</v>
      </c>
      <c r="AU14" s="14">
        <f t="shared" si="42"/>
        <v>7</v>
      </c>
      <c r="AV14" s="44" t="e">
        <f t="shared" si="14"/>
        <v>#N/A</v>
      </c>
      <c r="AW14" s="14" t="e">
        <f t="shared" si="43"/>
        <v>#N/A</v>
      </c>
      <c r="AX14" s="14" t="e">
        <f t="shared" si="15"/>
        <v>#N/A</v>
      </c>
      <c r="AY14" s="46">
        <f t="shared" si="44"/>
        <v>7</v>
      </c>
      <c r="AZ14" s="47" t="e">
        <f t="shared" si="45"/>
        <v>#N/A</v>
      </c>
      <c r="BA14" s="48" t="e">
        <f t="shared" si="46"/>
        <v>#N/A</v>
      </c>
      <c r="BB14" s="31" t="e">
        <f t="shared" si="16"/>
        <v>#N/A</v>
      </c>
      <c r="BC14" s="28">
        <f t="shared" si="47"/>
        <v>7</v>
      </c>
      <c r="BD14" s="47" t="e">
        <f t="shared" si="48"/>
        <v>#N/A</v>
      </c>
      <c r="BE14" s="48" t="e">
        <f t="shared" si="49"/>
        <v>#N/A</v>
      </c>
      <c r="BF14" s="31" t="e">
        <f t="shared" si="17"/>
        <v>#N/A</v>
      </c>
      <c r="BG14" s="49" t="e">
        <f t="shared" si="18"/>
        <v>#N/A</v>
      </c>
      <c r="BH14" s="1" t="e">
        <f>VLOOKUP($B14,STOCK_BY_LA!$A$2:$C$10477,3,0)</f>
        <v>#N/A</v>
      </c>
      <c r="BI14" s="1" t="str">
        <f t="shared" si="50"/>
        <v/>
      </c>
    </row>
    <row r="15" spans="1:61" x14ac:dyDescent="0.35">
      <c r="A15" s="33" t="str">
        <f t="shared" si="19"/>
        <v/>
      </c>
      <c r="B15" s="1" t="str">
        <f t="shared" si="51"/>
        <v/>
      </c>
      <c r="C15" s="146" t="str">
        <f t="shared" si="20"/>
        <v/>
      </c>
      <c r="D15" s="33" t="str">
        <f>IF(B15="","",IF('totals_&amp;_RP_counts'!$O$3=0,IFERROR(IF(AA15=2,"0",AB15),""),"-"))</f>
        <v/>
      </c>
      <c r="E15" s="35" t="str">
        <f t="shared" si="21"/>
        <v/>
      </c>
      <c r="F15" s="36" t="str">
        <f t="shared" si="22"/>
        <v/>
      </c>
      <c r="G15" s="36" t="str">
        <f t="shared" si="23"/>
        <v/>
      </c>
      <c r="H15" s="33" t="str">
        <f t="shared" si="1"/>
        <v/>
      </c>
      <c r="I15" s="36" t="str">
        <f t="shared" si="24"/>
        <v/>
      </c>
      <c r="J15" s="36" t="str">
        <f t="shared" si="25"/>
        <v/>
      </c>
      <c r="K15" s="33" t="str">
        <f t="shared" si="2"/>
        <v/>
      </c>
      <c r="L15" s="36" t="str">
        <f t="shared" si="3"/>
        <v/>
      </c>
      <c r="M15" s="36" t="str">
        <f t="shared" si="26"/>
        <v/>
      </c>
      <c r="N15" s="33" t="str">
        <f t="shared" si="27"/>
        <v/>
      </c>
      <c r="O15" s="36" t="str">
        <f t="shared" si="28"/>
        <v/>
      </c>
      <c r="P15" s="36" t="str">
        <f t="shared" si="29"/>
        <v/>
      </c>
      <c r="Q15" s="33" t="str">
        <f t="shared" si="30"/>
        <v/>
      </c>
      <c r="R15" s="1"/>
      <c r="S15" s="1"/>
      <c r="Y15" s="1" t="e">
        <f>VLOOKUP($B$6,LOOKUP_SCE,8,0)</f>
        <v>#N/A</v>
      </c>
      <c r="Z15" s="22" t="str">
        <f t="shared" si="4"/>
        <v/>
      </c>
      <c r="AA15" s="23">
        <f t="shared" si="31"/>
        <v>7</v>
      </c>
      <c r="AB15" s="55" t="e">
        <f t="shared" si="5"/>
        <v>#N/A</v>
      </c>
      <c r="AC15" s="38" t="e">
        <f t="shared" si="32"/>
        <v>#N/A</v>
      </c>
      <c r="AD15" s="38" t="e">
        <f t="shared" si="33"/>
        <v>#N/A</v>
      </c>
      <c r="AE15" s="415" t="e">
        <f t="shared" si="6"/>
        <v>#N/A</v>
      </c>
      <c r="AF15" s="10">
        <f t="shared" si="34"/>
        <v>7</v>
      </c>
      <c r="AG15" s="38" t="e">
        <f t="shared" si="7"/>
        <v>#N/A</v>
      </c>
      <c r="AH15" s="38" t="e">
        <f t="shared" si="35"/>
        <v>#N/A</v>
      </c>
      <c r="AI15" s="10" t="e">
        <f t="shared" si="8"/>
        <v>#N/A</v>
      </c>
      <c r="AJ15" s="39" t="e">
        <f t="shared" si="36"/>
        <v>#N/A</v>
      </c>
      <c r="AK15" s="40" t="e">
        <f t="shared" si="9"/>
        <v>#N/A</v>
      </c>
      <c r="AL15" s="11" t="e">
        <f t="shared" si="10"/>
        <v>#N/A</v>
      </c>
      <c r="AM15" s="41">
        <f t="shared" si="37"/>
        <v>7</v>
      </c>
      <c r="AN15" s="57" t="e">
        <f t="shared" si="11"/>
        <v>#N/A</v>
      </c>
      <c r="AO15" s="40" t="e">
        <f t="shared" si="38"/>
        <v>#N/A</v>
      </c>
      <c r="AP15" s="417" t="e">
        <f t="shared" si="12"/>
        <v>#N/A</v>
      </c>
      <c r="AQ15" s="56">
        <f t="shared" si="39"/>
        <v>7</v>
      </c>
      <c r="AR15" s="43" t="e">
        <f t="shared" si="40"/>
        <v>#N/A</v>
      </c>
      <c r="AS15" s="44" t="e">
        <f t="shared" si="41"/>
        <v>#N/A</v>
      </c>
      <c r="AT15" s="45" t="e">
        <f t="shared" si="13"/>
        <v>#N/A</v>
      </c>
      <c r="AU15" s="14">
        <f t="shared" si="42"/>
        <v>7</v>
      </c>
      <c r="AV15" s="44" t="e">
        <f t="shared" si="14"/>
        <v>#N/A</v>
      </c>
      <c r="AW15" s="14" t="e">
        <f t="shared" si="43"/>
        <v>#N/A</v>
      </c>
      <c r="AX15" s="14" t="e">
        <f t="shared" si="15"/>
        <v>#N/A</v>
      </c>
      <c r="AY15" s="46">
        <f t="shared" si="44"/>
        <v>7</v>
      </c>
      <c r="AZ15" s="47" t="e">
        <f t="shared" si="45"/>
        <v>#N/A</v>
      </c>
      <c r="BA15" s="48" t="e">
        <f t="shared" si="46"/>
        <v>#N/A</v>
      </c>
      <c r="BB15" s="31" t="e">
        <f t="shared" si="16"/>
        <v>#N/A</v>
      </c>
      <c r="BC15" s="28">
        <f t="shared" si="47"/>
        <v>7</v>
      </c>
      <c r="BD15" s="47" t="e">
        <f t="shared" si="48"/>
        <v>#N/A</v>
      </c>
      <c r="BE15" s="48" t="e">
        <f t="shared" si="49"/>
        <v>#N/A</v>
      </c>
      <c r="BF15" s="31" t="e">
        <f t="shared" si="17"/>
        <v>#N/A</v>
      </c>
      <c r="BG15" s="49" t="e">
        <f t="shared" si="18"/>
        <v>#N/A</v>
      </c>
      <c r="BH15" s="1" t="e">
        <f>VLOOKUP($B15,STOCK_BY_LA!$A$2:$C$10477,3,0)</f>
        <v>#N/A</v>
      </c>
      <c r="BI15" s="1" t="str">
        <f t="shared" si="50"/>
        <v/>
      </c>
    </row>
    <row r="16" spans="1:61" x14ac:dyDescent="0.35">
      <c r="A16" s="1" t="str">
        <f t="shared" si="19"/>
        <v/>
      </c>
      <c r="B16" s="1" t="str">
        <f t="shared" si="51"/>
        <v/>
      </c>
      <c r="C16" s="146" t="str">
        <f t="shared" si="20"/>
        <v/>
      </c>
      <c r="D16" s="33" t="str">
        <f>IF(B16="","",IF('totals_&amp;_RP_counts'!$O$3=0,IFERROR(IF(AA16=2,"0",AB16),""),"-"))</f>
        <v/>
      </c>
      <c r="E16" s="35" t="str">
        <f t="shared" si="21"/>
        <v/>
      </c>
      <c r="F16" s="36" t="str">
        <f t="shared" si="22"/>
        <v/>
      </c>
      <c r="G16" s="36" t="str">
        <f t="shared" si="23"/>
        <v/>
      </c>
      <c r="H16" s="33" t="str">
        <f t="shared" si="1"/>
        <v/>
      </c>
      <c r="I16" s="36" t="str">
        <f t="shared" si="24"/>
        <v/>
      </c>
      <c r="J16" s="36" t="str">
        <f t="shared" si="25"/>
        <v/>
      </c>
      <c r="K16" s="33" t="str">
        <f t="shared" si="2"/>
        <v/>
      </c>
      <c r="L16" s="36" t="str">
        <f t="shared" si="3"/>
        <v/>
      </c>
      <c r="M16" s="36" t="str">
        <f t="shared" si="26"/>
        <v/>
      </c>
      <c r="N16" s="33" t="str">
        <f t="shared" si="27"/>
        <v/>
      </c>
      <c r="O16" s="36" t="str">
        <f t="shared" si="28"/>
        <v/>
      </c>
      <c r="P16" s="36" t="str">
        <f t="shared" si="29"/>
        <v/>
      </c>
      <c r="Q16" s="33" t="str">
        <f t="shared" si="30"/>
        <v/>
      </c>
      <c r="R16" s="1"/>
      <c r="S16" s="1"/>
      <c r="Y16" s="1" t="e">
        <f>VLOOKUP($B$6,LOOKUP_SCE,9,0)</f>
        <v>#N/A</v>
      </c>
      <c r="Z16" s="22" t="str">
        <f t="shared" si="4"/>
        <v/>
      </c>
      <c r="AA16" s="23">
        <f t="shared" si="31"/>
        <v>7</v>
      </c>
      <c r="AB16" s="55" t="e">
        <f t="shared" si="5"/>
        <v>#N/A</v>
      </c>
      <c r="AC16" s="38" t="e">
        <f t="shared" si="32"/>
        <v>#N/A</v>
      </c>
      <c r="AD16" s="38" t="e">
        <f t="shared" si="33"/>
        <v>#N/A</v>
      </c>
      <c r="AE16" s="415" t="e">
        <f t="shared" si="6"/>
        <v>#N/A</v>
      </c>
      <c r="AF16" s="10">
        <f t="shared" si="34"/>
        <v>7</v>
      </c>
      <c r="AG16" s="38" t="e">
        <f t="shared" si="7"/>
        <v>#N/A</v>
      </c>
      <c r="AH16" s="38" t="e">
        <f t="shared" si="35"/>
        <v>#N/A</v>
      </c>
      <c r="AI16" s="10" t="e">
        <f t="shared" si="8"/>
        <v>#N/A</v>
      </c>
      <c r="AJ16" s="39" t="e">
        <f t="shared" si="36"/>
        <v>#N/A</v>
      </c>
      <c r="AK16" s="40" t="e">
        <f t="shared" si="9"/>
        <v>#N/A</v>
      </c>
      <c r="AL16" s="11" t="e">
        <f t="shared" si="10"/>
        <v>#N/A</v>
      </c>
      <c r="AM16" s="41">
        <f t="shared" si="37"/>
        <v>7</v>
      </c>
      <c r="AN16" s="57" t="e">
        <f t="shared" si="11"/>
        <v>#N/A</v>
      </c>
      <c r="AO16" s="40" t="e">
        <f t="shared" si="38"/>
        <v>#N/A</v>
      </c>
      <c r="AP16" s="417" t="e">
        <f t="shared" si="12"/>
        <v>#N/A</v>
      </c>
      <c r="AQ16" s="56">
        <f t="shared" si="39"/>
        <v>7</v>
      </c>
      <c r="AR16" s="43" t="e">
        <f t="shared" si="40"/>
        <v>#N/A</v>
      </c>
      <c r="AS16" s="44" t="e">
        <f t="shared" si="41"/>
        <v>#N/A</v>
      </c>
      <c r="AT16" s="45" t="e">
        <f t="shared" si="13"/>
        <v>#N/A</v>
      </c>
      <c r="AU16" s="14">
        <f t="shared" si="42"/>
        <v>7</v>
      </c>
      <c r="AV16" s="44" t="e">
        <f t="shared" si="14"/>
        <v>#N/A</v>
      </c>
      <c r="AW16" s="14" t="e">
        <f t="shared" si="43"/>
        <v>#N/A</v>
      </c>
      <c r="AX16" s="14" t="e">
        <f t="shared" si="15"/>
        <v>#N/A</v>
      </c>
      <c r="AY16" s="46">
        <f t="shared" si="44"/>
        <v>7</v>
      </c>
      <c r="AZ16" s="47" t="e">
        <f t="shared" si="45"/>
        <v>#N/A</v>
      </c>
      <c r="BA16" s="48" t="e">
        <f t="shared" si="46"/>
        <v>#N/A</v>
      </c>
      <c r="BB16" s="31" t="e">
        <f t="shared" si="16"/>
        <v>#N/A</v>
      </c>
      <c r="BC16" s="28">
        <f t="shared" si="47"/>
        <v>7</v>
      </c>
      <c r="BD16" s="47" t="e">
        <f t="shared" si="48"/>
        <v>#N/A</v>
      </c>
      <c r="BE16" s="48" t="e">
        <f t="shared" si="49"/>
        <v>#N/A</v>
      </c>
      <c r="BF16" s="31" t="e">
        <f t="shared" si="17"/>
        <v>#N/A</v>
      </c>
      <c r="BG16" s="49" t="e">
        <f t="shared" si="18"/>
        <v>#N/A</v>
      </c>
      <c r="BH16" s="1" t="e">
        <f>VLOOKUP($B16,STOCK_BY_LA!$A$2:$C$10477,3,0)</f>
        <v>#N/A</v>
      </c>
      <c r="BI16" s="1" t="str">
        <f t="shared" si="50"/>
        <v/>
      </c>
    </row>
    <row r="17" spans="1:61" x14ac:dyDescent="0.35">
      <c r="A17" s="33" t="str">
        <f t="shared" si="19"/>
        <v/>
      </c>
      <c r="B17" s="1" t="str">
        <f t="shared" si="51"/>
        <v/>
      </c>
      <c r="C17" s="146" t="str">
        <f t="shared" si="20"/>
        <v/>
      </c>
      <c r="D17" s="33" t="str">
        <f>IF(B17="","",IF('totals_&amp;_RP_counts'!$O$3=0,IFERROR(IF(AA17=2,"0",AB17),""),"-"))</f>
        <v/>
      </c>
      <c r="E17" s="35" t="str">
        <f t="shared" si="21"/>
        <v/>
      </c>
      <c r="F17" s="36" t="str">
        <f t="shared" si="22"/>
        <v/>
      </c>
      <c r="G17" s="36" t="str">
        <f t="shared" si="23"/>
        <v/>
      </c>
      <c r="H17" s="33" t="str">
        <f t="shared" si="1"/>
        <v/>
      </c>
      <c r="I17" s="36" t="str">
        <f t="shared" si="24"/>
        <v/>
      </c>
      <c r="J17" s="36" t="str">
        <f t="shared" si="25"/>
        <v/>
      </c>
      <c r="K17" s="33" t="str">
        <f t="shared" si="2"/>
        <v/>
      </c>
      <c r="L17" s="36" t="str">
        <f t="shared" si="3"/>
        <v/>
      </c>
      <c r="M17" s="36" t="str">
        <f t="shared" si="26"/>
        <v/>
      </c>
      <c r="N17" s="33" t="str">
        <f t="shared" si="27"/>
        <v/>
      </c>
      <c r="O17" s="36" t="str">
        <f t="shared" si="28"/>
        <v/>
      </c>
      <c r="P17" s="36" t="str">
        <f t="shared" si="29"/>
        <v/>
      </c>
      <c r="Q17" s="33" t="str">
        <f t="shared" si="30"/>
        <v/>
      </c>
      <c r="R17" s="1"/>
      <c r="S17" s="1"/>
      <c r="Y17" s="1" t="e">
        <f>VLOOKUP($B$6,LOOKUP_SCE,10,0)</f>
        <v>#N/A</v>
      </c>
      <c r="Z17" s="22" t="str">
        <f t="shared" si="4"/>
        <v/>
      </c>
      <c r="AA17" s="23">
        <f t="shared" si="31"/>
        <v>7</v>
      </c>
      <c r="AB17" s="55" t="e">
        <f t="shared" si="5"/>
        <v>#N/A</v>
      </c>
      <c r="AC17" s="38" t="e">
        <f t="shared" si="32"/>
        <v>#N/A</v>
      </c>
      <c r="AD17" s="38" t="e">
        <f t="shared" si="33"/>
        <v>#N/A</v>
      </c>
      <c r="AE17" s="415" t="e">
        <f t="shared" si="6"/>
        <v>#N/A</v>
      </c>
      <c r="AF17" s="10">
        <f t="shared" si="34"/>
        <v>7</v>
      </c>
      <c r="AG17" s="38" t="e">
        <f t="shared" si="7"/>
        <v>#N/A</v>
      </c>
      <c r="AH17" s="38" t="e">
        <f t="shared" si="35"/>
        <v>#N/A</v>
      </c>
      <c r="AI17" s="10" t="e">
        <f t="shared" si="8"/>
        <v>#N/A</v>
      </c>
      <c r="AJ17" s="39" t="e">
        <f t="shared" si="36"/>
        <v>#N/A</v>
      </c>
      <c r="AK17" s="40" t="e">
        <f t="shared" si="9"/>
        <v>#N/A</v>
      </c>
      <c r="AL17" s="11" t="e">
        <f t="shared" si="10"/>
        <v>#N/A</v>
      </c>
      <c r="AM17" s="41">
        <f t="shared" si="37"/>
        <v>7</v>
      </c>
      <c r="AN17" s="57" t="e">
        <f t="shared" si="11"/>
        <v>#N/A</v>
      </c>
      <c r="AO17" s="40" t="e">
        <f t="shared" si="38"/>
        <v>#N/A</v>
      </c>
      <c r="AP17" s="417" t="e">
        <f t="shared" si="12"/>
        <v>#N/A</v>
      </c>
      <c r="AQ17" s="56">
        <f t="shared" si="39"/>
        <v>7</v>
      </c>
      <c r="AR17" s="43" t="e">
        <f t="shared" si="40"/>
        <v>#N/A</v>
      </c>
      <c r="AS17" s="44" t="e">
        <f t="shared" si="41"/>
        <v>#N/A</v>
      </c>
      <c r="AT17" s="45" t="e">
        <f t="shared" si="13"/>
        <v>#N/A</v>
      </c>
      <c r="AU17" s="14">
        <f t="shared" si="42"/>
        <v>7</v>
      </c>
      <c r="AV17" s="44" t="e">
        <f t="shared" si="14"/>
        <v>#N/A</v>
      </c>
      <c r="AW17" s="14" t="e">
        <f t="shared" si="43"/>
        <v>#N/A</v>
      </c>
      <c r="AX17" s="14" t="e">
        <f t="shared" si="15"/>
        <v>#N/A</v>
      </c>
      <c r="AY17" s="46">
        <f t="shared" si="44"/>
        <v>7</v>
      </c>
      <c r="AZ17" s="47" t="e">
        <f t="shared" si="45"/>
        <v>#N/A</v>
      </c>
      <c r="BA17" s="48" t="e">
        <f t="shared" si="46"/>
        <v>#N/A</v>
      </c>
      <c r="BB17" s="31" t="e">
        <f t="shared" si="16"/>
        <v>#N/A</v>
      </c>
      <c r="BC17" s="28">
        <f t="shared" si="47"/>
        <v>7</v>
      </c>
      <c r="BD17" s="47" t="e">
        <f t="shared" si="48"/>
        <v>#N/A</v>
      </c>
      <c r="BE17" s="48" t="e">
        <f t="shared" si="49"/>
        <v>#N/A</v>
      </c>
      <c r="BF17" s="31" t="e">
        <f t="shared" si="17"/>
        <v>#N/A</v>
      </c>
      <c r="BG17" s="49" t="e">
        <f t="shared" si="18"/>
        <v>#N/A</v>
      </c>
      <c r="BH17" s="1" t="e">
        <f>VLOOKUP($B17,STOCK_BY_LA!$A$2:$C$10477,3,0)</f>
        <v>#N/A</v>
      </c>
      <c r="BI17" s="1" t="str">
        <f t="shared" si="50"/>
        <v/>
      </c>
    </row>
    <row r="18" spans="1:61" x14ac:dyDescent="0.35">
      <c r="A18" s="1" t="str">
        <f t="shared" si="19"/>
        <v/>
      </c>
      <c r="B18" s="1" t="str">
        <f t="shared" si="51"/>
        <v/>
      </c>
      <c r="C18" s="50" t="str">
        <f t="shared" si="20"/>
        <v/>
      </c>
      <c r="D18" s="33" t="str">
        <f>IF(B18="","",IF('totals_&amp;_RP_counts'!$O$3=0,IFERROR(IF(AA18=2,"0",AB18),""),"-"))</f>
        <v/>
      </c>
      <c r="E18" s="35" t="str">
        <f t="shared" si="21"/>
        <v/>
      </c>
      <c r="F18" s="36" t="str">
        <f t="shared" si="22"/>
        <v/>
      </c>
      <c r="G18" s="36" t="str">
        <f t="shared" si="23"/>
        <v/>
      </c>
      <c r="H18" s="33" t="str">
        <f t="shared" si="1"/>
        <v/>
      </c>
      <c r="I18" s="36" t="str">
        <f t="shared" si="24"/>
        <v/>
      </c>
      <c r="J18" s="36" t="str">
        <f t="shared" si="25"/>
        <v/>
      </c>
      <c r="K18" s="33" t="str">
        <f t="shared" si="2"/>
        <v/>
      </c>
      <c r="L18" s="36" t="str">
        <f t="shared" si="3"/>
        <v/>
      </c>
      <c r="M18" s="36" t="str">
        <f t="shared" si="26"/>
        <v/>
      </c>
      <c r="N18" s="33" t="str">
        <f t="shared" si="27"/>
        <v/>
      </c>
      <c r="O18" s="36" t="str">
        <f t="shared" si="28"/>
        <v/>
      </c>
      <c r="P18" s="36" t="str">
        <f t="shared" si="29"/>
        <v/>
      </c>
      <c r="Q18" s="33" t="str">
        <f t="shared" si="30"/>
        <v/>
      </c>
      <c r="R18" s="1"/>
      <c r="S18" s="1"/>
      <c r="Y18" s="1" t="e">
        <f>VLOOKUP($B$6,LOOKUP_SCE,11,0)</f>
        <v>#N/A</v>
      </c>
      <c r="Z18" s="22" t="str">
        <f t="shared" si="4"/>
        <v/>
      </c>
      <c r="AA18" s="23">
        <f t="shared" si="31"/>
        <v>7</v>
      </c>
      <c r="AB18" s="55" t="e">
        <f t="shared" si="5"/>
        <v>#N/A</v>
      </c>
      <c r="AC18" s="38" t="e">
        <f t="shared" si="32"/>
        <v>#N/A</v>
      </c>
      <c r="AD18" s="38" t="e">
        <f t="shared" si="33"/>
        <v>#N/A</v>
      </c>
      <c r="AE18" s="415" t="e">
        <f t="shared" si="6"/>
        <v>#N/A</v>
      </c>
      <c r="AF18" s="10">
        <f t="shared" si="34"/>
        <v>7</v>
      </c>
      <c r="AG18" s="38" t="e">
        <f t="shared" si="7"/>
        <v>#N/A</v>
      </c>
      <c r="AH18" s="38" t="e">
        <f t="shared" si="35"/>
        <v>#N/A</v>
      </c>
      <c r="AI18" s="10" t="e">
        <f t="shared" si="8"/>
        <v>#N/A</v>
      </c>
      <c r="AJ18" s="39" t="e">
        <f t="shared" si="36"/>
        <v>#N/A</v>
      </c>
      <c r="AK18" s="40" t="e">
        <f t="shared" si="9"/>
        <v>#N/A</v>
      </c>
      <c r="AL18" s="11" t="e">
        <f t="shared" si="10"/>
        <v>#N/A</v>
      </c>
      <c r="AM18" s="41">
        <f t="shared" si="37"/>
        <v>7</v>
      </c>
      <c r="AN18" s="57" t="e">
        <f t="shared" si="11"/>
        <v>#N/A</v>
      </c>
      <c r="AO18" s="40" t="e">
        <f t="shared" si="38"/>
        <v>#N/A</v>
      </c>
      <c r="AP18" s="417" t="e">
        <f t="shared" si="12"/>
        <v>#N/A</v>
      </c>
      <c r="AQ18" s="56">
        <f t="shared" si="39"/>
        <v>7</v>
      </c>
      <c r="AR18" s="43" t="e">
        <f t="shared" si="40"/>
        <v>#N/A</v>
      </c>
      <c r="AS18" s="44" t="e">
        <f t="shared" si="41"/>
        <v>#N/A</v>
      </c>
      <c r="AT18" s="45" t="e">
        <f t="shared" si="13"/>
        <v>#N/A</v>
      </c>
      <c r="AU18" s="14">
        <f t="shared" si="42"/>
        <v>7</v>
      </c>
      <c r="AV18" s="44" t="e">
        <f t="shared" si="14"/>
        <v>#N/A</v>
      </c>
      <c r="AW18" s="14" t="e">
        <f t="shared" si="43"/>
        <v>#N/A</v>
      </c>
      <c r="AX18" s="14" t="e">
        <f t="shared" si="15"/>
        <v>#N/A</v>
      </c>
      <c r="AY18" s="46">
        <f t="shared" si="44"/>
        <v>7</v>
      </c>
      <c r="AZ18" s="47" t="e">
        <f t="shared" si="45"/>
        <v>#N/A</v>
      </c>
      <c r="BA18" s="48" t="e">
        <f t="shared" si="46"/>
        <v>#N/A</v>
      </c>
      <c r="BB18" s="31" t="e">
        <f t="shared" si="16"/>
        <v>#N/A</v>
      </c>
      <c r="BC18" s="28">
        <f t="shared" si="47"/>
        <v>7</v>
      </c>
      <c r="BD18" s="47" t="e">
        <f t="shared" si="48"/>
        <v>#N/A</v>
      </c>
      <c r="BE18" s="48" t="e">
        <f t="shared" si="49"/>
        <v>#N/A</v>
      </c>
      <c r="BF18" s="31" t="e">
        <f t="shared" si="17"/>
        <v>#N/A</v>
      </c>
      <c r="BG18" s="49" t="e">
        <f t="shared" si="18"/>
        <v>#N/A</v>
      </c>
      <c r="BH18" s="1" t="e">
        <f>VLOOKUP($B18,STOCK_BY_LA!$A$2:$C$10477,3,0)</f>
        <v>#N/A</v>
      </c>
      <c r="BI18" s="1" t="str">
        <f t="shared" si="50"/>
        <v/>
      </c>
    </row>
    <row r="19" spans="1:61" x14ac:dyDescent="0.35">
      <c r="A19" s="33" t="str">
        <f t="shared" si="19"/>
        <v/>
      </c>
      <c r="B19" s="1" t="str">
        <f t="shared" si="51"/>
        <v/>
      </c>
      <c r="C19" s="34" t="str">
        <f t="shared" si="20"/>
        <v/>
      </c>
      <c r="D19" s="33" t="str">
        <f>IF(B19="","",IF('totals_&amp;_RP_counts'!$O$3=0,IFERROR(IF(AA19=2,"0",AB19),""),"-"))</f>
        <v/>
      </c>
      <c r="E19" s="35" t="str">
        <f t="shared" si="21"/>
        <v/>
      </c>
      <c r="F19" s="36" t="str">
        <f t="shared" si="22"/>
        <v/>
      </c>
      <c r="G19" s="36" t="str">
        <f t="shared" si="23"/>
        <v/>
      </c>
      <c r="H19" s="33" t="str">
        <f t="shared" si="1"/>
        <v/>
      </c>
      <c r="I19" s="36" t="str">
        <f t="shared" si="24"/>
        <v/>
      </c>
      <c r="J19" s="36" t="str">
        <f t="shared" si="25"/>
        <v/>
      </c>
      <c r="K19" s="33" t="str">
        <f t="shared" si="2"/>
        <v/>
      </c>
      <c r="L19" s="36" t="str">
        <f t="shared" si="3"/>
        <v/>
      </c>
      <c r="M19" s="36" t="str">
        <f t="shared" si="26"/>
        <v/>
      </c>
      <c r="N19" s="33" t="str">
        <f t="shared" si="27"/>
        <v/>
      </c>
      <c r="O19" s="36" t="str">
        <f t="shared" si="28"/>
        <v/>
      </c>
      <c r="P19" s="36" t="str">
        <f t="shared" si="29"/>
        <v/>
      </c>
      <c r="Q19" s="33" t="str">
        <f t="shared" si="30"/>
        <v/>
      </c>
      <c r="R19" s="1"/>
      <c r="S19" s="1"/>
      <c r="Y19" s="1" t="e">
        <f>VLOOKUP($B$6,LOOKUP_SCE,12,0)</f>
        <v>#N/A</v>
      </c>
      <c r="Z19" s="22" t="str">
        <f t="shared" si="4"/>
        <v/>
      </c>
      <c r="AA19" s="23">
        <f t="shared" si="31"/>
        <v>7</v>
      </c>
      <c r="AB19" s="55" t="e">
        <f t="shared" si="5"/>
        <v>#N/A</v>
      </c>
      <c r="AC19" s="38" t="e">
        <f t="shared" si="32"/>
        <v>#N/A</v>
      </c>
      <c r="AD19" s="38" t="e">
        <f t="shared" si="33"/>
        <v>#N/A</v>
      </c>
      <c r="AE19" s="415" t="e">
        <f t="shared" si="6"/>
        <v>#N/A</v>
      </c>
      <c r="AF19" s="10">
        <f t="shared" si="34"/>
        <v>7</v>
      </c>
      <c r="AG19" s="38" t="e">
        <f t="shared" si="7"/>
        <v>#N/A</v>
      </c>
      <c r="AH19" s="38" t="e">
        <f t="shared" si="35"/>
        <v>#N/A</v>
      </c>
      <c r="AI19" s="10" t="e">
        <f t="shared" si="8"/>
        <v>#N/A</v>
      </c>
      <c r="AJ19" s="39" t="e">
        <f t="shared" si="36"/>
        <v>#N/A</v>
      </c>
      <c r="AK19" s="40" t="e">
        <f t="shared" si="9"/>
        <v>#N/A</v>
      </c>
      <c r="AL19" s="11" t="e">
        <f t="shared" si="10"/>
        <v>#N/A</v>
      </c>
      <c r="AM19" s="41">
        <f t="shared" si="37"/>
        <v>7</v>
      </c>
      <c r="AN19" s="57" t="e">
        <f t="shared" si="11"/>
        <v>#N/A</v>
      </c>
      <c r="AO19" s="40" t="e">
        <f t="shared" si="38"/>
        <v>#N/A</v>
      </c>
      <c r="AP19" s="417" t="e">
        <f t="shared" si="12"/>
        <v>#N/A</v>
      </c>
      <c r="AQ19" s="56">
        <f t="shared" si="39"/>
        <v>7</v>
      </c>
      <c r="AR19" s="43" t="e">
        <f t="shared" si="40"/>
        <v>#N/A</v>
      </c>
      <c r="AS19" s="44" t="e">
        <f t="shared" si="41"/>
        <v>#N/A</v>
      </c>
      <c r="AT19" s="45" t="e">
        <f t="shared" si="13"/>
        <v>#N/A</v>
      </c>
      <c r="AU19" s="14">
        <f t="shared" si="42"/>
        <v>7</v>
      </c>
      <c r="AV19" s="44" t="e">
        <f t="shared" si="14"/>
        <v>#N/A</v>
      </c>
      <c r="AW19" s="14" t="e">
        <f t="shared" si="43"/>
        <v>#N/A</v>
      </c>
      <c r="AX19" s="14" t="e">
        <f t="shared" si="15"/>
        <v>#N/A</v>
      </c>
      <c r="AY19" s="46">
        <f t="shared" si="44"/>
        <v>7</v>
      </c>
      <c r="AZ19" s="47" t="e">
        <f t="shared" si="45"/>
        <v>#N/A</v>
      </c>
      <c r="BA19" s="48" t="e">
        <f t="shared" si="46"/>
        <v>#N/A</v>
      </c>
      <c r="BB19" s="31" t="e">
        <f t="shared" si="16"/>
        <v>#N/A</v>
      </c>
      <c r="BC19" s="28">
        <f t="shared" si="47"/>
        <v>7</v>
      </c>
      <c r="BD19" s="47" t="e">
        <f t="shared" si="48"/>
        <v>#N/A</v>
      </c>
      <c r="BE19" s="48" t="e">
        <f t="shared" si="49"/>
        <v>#N/A</v>
      </c>
      <c r="BF19" s="31" t="e">
        <f t="shared" si="17"/>
        <v>#N/A</v>
      </c>
      <c r="BG19" s="49" t="e">
        <f t="shared" si="18"/>
        <v>#N/A</v>
      </c>
      <c r="BH19" s="1" t="e">
        <f>VLOOKUP($B19,STOCK_BY_LA!$A$2:$C$10477,3,0)</f>
        <v>#N/A</v>
      </c>
      <c r="BI19" s="1" t="str">
        <f t="shared" si="50"/>
        <v/>
      </c>
    </row>
    <row r="20" spans="1:61" x14ac:dyDescent="0.35">
      <c r="A20" s="1" t="str">
        <f t="shared" si="19"/>
        <v/>
      </c>
      <c r="B20" s="1" t="str">
        <f t="shared" si="51"/>
        <v/>
      </c>
      <c r="C20" s="50" t="str">
        <f t="shared" si="20"/>
        <v/>
      </c>
      <c r="D20" s="33" t="str">
        <f>IF(B20="","",IF('totals_&amp;_RP_counts'!$O$3=0,IFERROR(IF(AA20=2,"0",AB20),""),"-"))</f>
        <v/>
      </c>
      <c r="E20" s="35" t="str">
        <f t="shared" si="21"/>
        <v/>
      </c>
      <c r="F20" s="36" t="str">
        <f t="shared" si="22"/>
        <v/>
      </c>
      <c r="G20" s="36" t="str">
        <f t="shared" si="23"/>
        <v/>
      </c>
      <c r="H20" s="33" t="str">
        <f t="shared" si="1"/>
        <v/>
      </c>
      <c r="I20" s="36" t="str">
        <f t="shared" si="24"/>
        <v/>
      </c>
      <c r="J20" s="36" t="str">
        <f t="shared" si="25"/>
        <v/>
      </c>
      <c r="K20" s="33" t="str">
        <f t="shared" si="2"/>
        <v/>
      </c>
      <c r="L20" s="36" t="str">
        <f t="shared" si="3"/>
        <v/>
      </c>
      <c r="M20" s="36" t="str">
        <f t="shared" si="26"/>
        <v/>
      </c>
      <c r="N20" s="33" t="str">
        <f t="shared" si="27"/>
        <v/>
      </c>
      <c r="O20" s="36" t="str">
        <f t="shared" si="28"/>
        <v/>
      </c>
      <c r="P20" s="36" t="str">
        <f t="shared" si="29"/>
        <v/>
      </c>
      <c r="Q20" s="33" t="str">
        <f t="shared" si="30"/>
        <v/>
      </c>
      <c r="R20" s="1"/>
      <c r="S20" s="1"/>
      <c r="Y20" s="1" t="e">
        <f>VLOOKUP($B$6,LOOKUP_SCE,13,0)</f>
        <v>#N/A</v>
      </c>
      <c r="Z20" s="22" t="str">
        <f t="shared" si="4"/>
        <v/>
      </c>
      <c r="AA20" s="23">
        <f t="shared" si="31"/>
        <v>7</v>
      </c>
      <c r="AB20" s="55" t="e">
        <f t="shared" si="5"/>
        <v>#N/A</v>
      </c>
      <c r="AC20" s="38" t="e">
        <f t="shared" si="32"/>
        <v>#N/A</v>
      </c>
      <c r="AD20" s="38" t="e">
        <f t="shared" si="33"/>
        <v>#N/A</v>
      </c>
      <c r="AE20" s="415" t="e">
        <f t="shared" si="6"/>
        <v>#N/A</v>
      </c>
      <c r="AF20" s="10">
        <f t="shared" si="34"/>
        <v>7</v>
      </c>
      <c r="AG20" s="38" t="e">
        <f t="shared" si="7"/>
        <v>#N/A</v>
      </c>
      <c r="AH20" s="38" t="e">
        <f t="shared" si="35"/>
        <v>#N/A</v>
      </c>
      <c r="AI20" s="10" t="e">
        <f t="shared" si="8"/>
        <v>#N/A</v>
      </c>
      <c r="AJ20" s="39" t="e">
        <f t="shared" si="36"/>
        <v>#N/A</v>
      </c>
      <c r="AK20" s="40" t="e">
        <f t="shared" si="9"/>
        <v>#N/A</v>
      </c>
      <c r="AL20" s="11" t="e">
        <f t="shared" si="10"/>
        <v>#N/A</v>
      </c>
      <c r="AM20" s="41">
        <f t="shared" si="37"/>
        <v>7</v>
      </c>
      <c r="AN20" s="57" t="e">
        <f t="shared" si="11"/>
        <v>#N/A</v>
      </c>
      <c r="AO20" s="40" t="e">
        <f t="shared" si="38"/>
        <v>#N/A</v>
      </c>
      <c r="AP20" s="417" t="e">
        <f t="shared" si="12"/>
        <v>#N/A</v>
      </c>
      <c r="AQ20" s="56">
        <f t="shared" si="39"/>
        <v>7</v>
      </c>
      <c r="AR20" s="43" t="e">
        <f t="shared" si="40"/>
        <v>#N/A</v>
      </c>
      <c r="AS20" s="44" t="e">
        <f t="shared" si="41"/>
        <v>#N/A</v>
      </c>
      <c r="AT20" s="45" t="e">
        <f t="shared" si="13"/>
        <v>#N/A</v>
      </c>
      <c r="AU20" s="14">
        <f t="shared" si="42"/>
        <v>7</v>
      </c>
      <c r="AV20" s="44" t="e">
        <f t="shared" si="14"/>
        <v>#N/A</v>
      </c>
      <c r="AW20" s="14" t="e">
        <f t="shared" si="43"/>
        <v>#N/A</v>
      </c>
      <c r="AX20" s="14" t="e">
        <f t="shared" si="15"/>
        <v>#N/A</v>
      </c>
      <c r="AY20" s="46">
        <f t="shared" si="44"/>
        <v>7</v>
      </c>
      <c r="AZ20" s="47" t="e">
        <f t="shared" si="45"/>
        <v>#N/A</v>
      </c>
      <c r="BA20" s="48" t="e">
        <f t="shared" si="46"/>
        <v>#N/A</v>
      </c>
      <c r="BB20" s="31" t="e">
        <f t="shared" si="16"/>
        <v>#N/A</v>
      </c>
      <c r="BC20" s="28">
        <f t="shared" si="47"/>
        <v>7</v>
      </c>
      <c r="BD20" s="47" t="e">
        <f t="shared" si="48"/>
        <v>#N/A</v>
      </c>
      <c r="BE20" s="48" t="e">
        <f t="shared" si="49"/>
        <v>#N/A</v>
      </c>
      <c r="BF20" s="31" t="e">
        <f t="shared" si="17"/>
        <v>#N/A</v>
      </c>
      <c r="BG20" s="49" t="e">
        <f t="shared" si="18"/>
        <v>#N/A</v>
      </c>
      <c r="BH20" s="1" t="e">
        <f>VLOOKUP($B20,STOCK_BY_LA!$A$2:$C$10477,3,0)</f>
        <v>#N/A</v>
      </c>
      <c r="BI20" s="1" t="str">
        <f t="shared" si="50"/>
        <v/>
      </c>
    </row>
    <row r="21" spans="1:61" x14ac:dyDescent="0.35">
      <c r="A21" s="33" t="str">
        <f t="shared" si="19"/>
        <v/>
      </c>
      <c r="B21" s="1" t="str">
        <f t="shared" si="51"/>
        <v/>
      </c>
      <c r="C21" s="34" t="str">
        <f t="shared" si="20"/>
        <v/>
      </c>
      <c r="D21" s="33" t="str">
        <f>IF(B21="","",IF('totals_&amp;_RP_counts'!$O$3=0,IFERROR(IF(AA21=2,"0",AB21),""),"-"))</f>
        <v/>
      </c>
      <c r="E21" s="35" t="str">
        <f t="shared" si="21"/>
        <v/>
      </c>
      <c r="F21" s="36" t="str">
        <f t="shared" si="22"/>
        <v/>
      </c>
      <c r="G21" s="36" t="str">
        <f t="shared" si="23"/>
        <v/>
      </c>
      <c r="H21" s="33" t="str">
        <f t="shared" si="1"/>
        <v/>
      </c>
      <c r="I21" s="36" t="str">
        <f t="shared" si="24"/>
        <v/>
      </c>
      <c r="J21" s="36" t="str">
        <f t="shared" si="25"/>
        <v/>
      </c>
      <c r="K21" s="33" t="str">
        <f t="shared" si="2"/>
        <v/>
      </c>
      <c r="L21" s="36" t="str">
        <f t="shared" si="3"/>
        <v/>
      </c>
      <c r="M21" s="36" t="str">
        <f t="shared" si="26"/>
        <v/>
      </c>
      <c r="N21" s="33" t="str">
        <f t="shared" si="27"/>
        <v/>
      </c>
      <c r="O21" s="36" t="str">
        <f t="shared" si="28"/>
        <v/>
      </c>
      <c r="P21" s="36" t="str">
        <f t="shared" si="29"/>
        <v/>
      </c>
      <c r="Q21" s="33" t="str">
        <f t="shared" si="30"/>
        <v/>
      </c>
      <c r="R21" s="1"/>
      <c r="S21" s="1"/>
      <c r="Y21" s="1" t="e">
        <f>VLOOKUP($B$6,LOOKUP_SCE,14,0)</f>
        <v>#N/A</v>
      </c>
      <c r="Z21" s="22" t="str">
        <f t="shared" si="4"/>
        <v/>
      </c>
      <c r="AA21" s="23">
        <f t="shared" si="31"/>
        <v>7</v>
      </c>
      <c r="AB21" s="55" t="e">
        <f t="shared" si="5"/>
        <v>#N/A</v>
      </c>
      <c r="AC21" s="38" t="e">
        <f t="shared" si="32"/>
        <v>#N/A</v>
      </c>
      <c r="AD21" s="38" t="e">
        <f t="shared" si="33"/>
        <v>#N/A</v>
      </c>
      <c r="AE21" s="415" t="e">
        <f t="shared" si="6"/>
        <v>#N/A</v>
      </c>
      <c r="AF21" s="10">
        <f t="shared" si="34"/>
        <v>7</v>
      </c>
      <c r="AG21" s="38" t="e">
        <f t="shared" si="7"/>
        <v>#N/A</v>
      </c>
      <c r="AH21" s="38" t="e">
        <f t="shared" si="35"/>
        <v>#N/A</v>
      </c>
      <c r="AI21" s="10" t="e">
        <f t="shared" si="8"/>
        <v>#N/A</v>
      </c>
      <c r="AJ21" s="39" t="e">
        <f t="shared" si="36"/>
        <v>#N/A</v>
      </c>
      <c r="AK21" s="40" t="e">
        <f t="shared" si="9"/>
        <v>#N/A</v>
      </c>
      <c r="AL21" s="11" t="e">
        <f t="shared" si="10"/>
        <v>#N/A</v>
      </c>
      <c r="AM21" s="41">
        <f t="shared" si="37"/>
        <v>7</v>
      </c>
      <c r="AN21" s="57" t="e">
        <f t="shared" si="11"/>
        <v>#N/A</v>
      </c>
      <c r="AO21" s="40" t="e">
        <f t="shared" si="38"/>
        <v>#N/A</v>
      </c>
      <c r="AP21" s="417" t="e">
        <f t="shared" si="12"/>
        <v>#N/A</v>
      </c>
      <c r="AQ21" s="56">
        <f t="shared" si="39"/>
        <v>7</v>
      </c>
      <c r="AR21" s="43" t="e">
        <f t="shared" si="40"/>
        <v>#N/A</v>
      </c>
      <c r="AS21" s="44" t="e">
        <f t="shared" si="41"/>
        <v>#N/A</v>
      </c>
      <c r="AT21" s="45" t="e">
        <f t="shared" si="13"/>
        <v>#N/A</v>
      </c>
      <c r="AU21" s="14">
        <f t="shared" si="42"/>
        <v>7</v>
      </c>
      <c r="AV21" s="44" t="e">
        <f t="shared" si="14"/>
        <v>#N/A</v>
      </c>
      <c r="AW21" s="14" t="e">
        <f t="shared" si="43"/>
        <v>#N/A</v>
      </c>
      <c r="AX21" s="14" t="e">
        <f t="shared" si="15"/>
        <v>#N/A</v>
      </c>
      <c r="AY21" s="46">
        <f t="shared" si="44"/>
        <v>7</v>
      </c>
      <c r="AZ21" s="47" t="e">
        <f t="shared" si="45"/>
        <v>#N/A</v>
      </c>
      <c r="BA21" s="48" t="e">
        <f t="shared" si="46"/>
        <v>#N/A</v>
      </c>
      <c r="BB21" s="31" t="e">
        <f t="shared" si="16"/>
        <v>#N/A</v>
      </c>
      <c r="BC21" s="28">
        <f t="shared" si="47"/>
        <v>7</v>
      </c>
      <c r="BD21" s="47" t="e">
        <f t="shared" si="48"/>
        <v>#N/A</v>
      </c>
      <c r="BE21" s="48" t="e">
        <f t="shared" si="49"/>
        <v>#N/A</v>
      </c>
      <c r="BF21" s="31" t="e">
        <f t="shared" si="17"/>
        <v>#N/A</v>
      </c>
      <c r="BG21" s="49" t="e">
        <f t="shared" si="18"/>
        <v>#N/A</v>
      </c>
      <c r="BH21" s="1" t="e">
        <f>VLOOKUP($B21,STOCK_BY_LA!$A$2:$C$10477,3,0)</f>
        <v>#N/A</v>
      </c>
      <c r="BI21" s="1" t="str">
        <f t="shared" si="50"/>
        <v/>
      </c>
    </row>
    <row r="22" spans="1:61" x14ac:dyDescent="0.35">
      <c r="A22" s="1" t="str">
        <f t="shared" si="19"/>
        <v/>
      </c>
      <c r="B22" s="1" t="str">
        <f t="shared" si="51"/>
        <v/>
      </c>
      <c r="C22" s="50" t="str">
        <f t="shared" si="20"/>
        <v/>
      </c>
      <c r="D22" s="33" t="str">
        <f>IF(B22="","",IF('totals_&amp;_RP_counts'!$O$3=0,IFERROR(IF(AA22=2,"0",AB22),""),"-"))</f>
        <v/>
      </c>
      <c r="E22" s="35" t="str">
        <f t="shared" si="21"/>
        <v/>
      </c>
      <c r="F22" s="36" t="str">
        <f t="shared" si="22"/>
        <v/>
      </c>
      <c r="G22" s="36" t="str">
        <f t="shared" si="23"/>
        <v/>
      </c>
      <c r="H22" s="33" t="str">
        <f t="shared" si="1"/>
        <v/>
      </c>
      <c r="I22" s="36" t="str">
        <f t="shared" si="24"/>
        <v/>
      </c>
      <c r="J22" s="36" t="str">
        <f t="shared" si="25"/>
        <v/>
      </c>
      <c r="K22" s="33" t="str">
        <f t="shared" si="2"/>
        <v/>
      </c>
      <c r="L22" s="36" t="str">
        <f t="shared" si="3"/>
        <v/>
      </c>
      <c r="M22" s="36" t="str">
        <f t="shared" si="26"/>
        <v/>
      </c>
      <c r="N22" s="33" t="str">
        <f t="shared" si="27"/>
        <v/>
      </c>
      <c r="O22" s="36" t="str">
        <f t="shared" si="28"/>
        <v/>
      </c>
      <c r="P22" s="36" t="str">
        <f t="shared" si="29"/>
        <v/>
      </c>
      <c r="Q22" s="33" t="str">
        <f t="shared" si="30"/>
        <v/>
      </c>
      <c r="R22" s="1"/>
      <c r="S22" s="1"/>
      <c r="Y22" s="1" t="e">
        <f>VLOOKUP($B$6,LOOKUP_SCE,15,0)</f>
        <v>#N/A</v>
      </c>
      <c r="Z22" s="22" t="str">
        <f t="shared" si="4"/>
        <v/>
      </c>
      <c r="AA22" s="23">
        <f t="shared" si="31"/>
        <v>7</v>
      </c>
      <c r="AB22" s="55" t="e">
        <f t="shared" si="5"/>
        <v>#N/A</v>
      </c>
      <c r="AC22" s="38" t="e">
        <f t="shared" si="32"/>
        <v>#N/A</v>
      </c>
      <c r="AD22" s="38" t="e">
        <f t="shared" si="33"/>
        <v>#N/A</v>
      </c>
      <c r="AE22" s="415" t="e">
        <f t="shared" si="6"/>
        <v>#N/A</v>
      </c>
      <c r="AF22" s="10">
        <f t="shared" si="34"/>
        <v>7</v>
      </c>
      <c r="AG22" s="38" t="e">
        <f t="shared" si="7"/>
        <v>#N/A</v>
      </c>
      <c r="AH22" s="38" t="e">
        <f t="shared" si="35"/>
        <v>#N/A</v>
      </c>
      <c r="AI22" s="10" t="e">
        <f t="shared" si="8"/>
        <v>#N/A</v>
      </c>
      <c r="AJ22" s="39" t="e">
        <f t="shared" si="36"/>
        <v>#N/A</v>
      </c>
      <c r="AK22" s="40" t="e">
        <f t="shared" si="9"/>
        <v>#N/A</v>
      </c>
      <c r="AL22" s="11" t="e">
        <f t="shared" si="10"/>
        <v>#N/A</v>
      </c>
      <c r="AM22" s="41">
        <f t="shared" si="37"/>
        <v>7</v>
      </c>
      <c r="AN22" s="57" t="e">
        <f t="shared" si="11"/>
        <v>#N/A</v>
      </c>
      <c r="AO22" s="40" t="e">
        <f t="shared" si="38"/>
        <v>#N/A</v>
      </c>
      <c r="AP22" s="417" t="e">
        <f t="shared" si="12"/>
        <v>#N/A</v>
      </c>
      <c r="AQ22" s="56">
        <f t="shared" si="39"/>
        <v>7</v>
      </c>
      <c r="AR22" s="43" t="e">
        <f t="shared" si="40"/>
        <v>#N/A</v>
      </c>
      <c r="AS22" s="44" t="e">
        <f t="shared" si="41"/>
        <v>#N/A</v>
      </c>
      <c r="AT22" s="45" t="e">
        <f t="shared" si="13"/>
        <v>#N/A</v>
      </c>
      <c r="AU22" s="14">
        <f t="shared" si="42"/>
        <v>7</v>
      </c>
      <c r="AV22" s="44" t="e">
        <f t="shared" si="14"/>
        <v>#N/A</v>
      </c>
      <c r="AW22" s="14" t="e">
        <f t="shared" si="43"/>
        <v>#N/A</v>
      </c>
      <c r="AX22" s="14" t="e">
        <f t="shared" si="15"/>
        <v>#N/A</v>
      </c>
      <c r="AY22" s="46">
        <f t="shared" si="44"/>
        <v>7</v>
      </c>
      <c r="AZ22" s="47" t="e">
        <f t="shared" si="45"/>
        <v>#N/A</v>
      </c>
      <c r="BA22" s="48" t="e">
        <f t="shared" si="46"/>
        <v>#N/A</v>
      </c>
      <c r="BB22" s="31" t="e">
        <f t="shared" si="16"/>
        <v>#N/A</v>
      </c>
      <c r="BC22" s="28">
        <f t="shared" si="47"/>
        <v>7</v>
      </c>
      <c r="BD22" s="47" t="e">
        <f t="shared" si="48"/>
        <v>#N/A</v>
      </c>
      <c r="BE22" s="48" t="e">
        <f t="shared" si="49"/>
        <v>#N/A</v>
      </c>
      <c r="BF22" s="31" t="e">
        <f t="shared" si="17"/>
        <v>#N/A</v>
      </c>
      <c r="BG22" s="49" t="e">
        <f t="shared" si="18"/>
        <v>#N/A</v>
      </c>
      <c r="BH22" s="1" t="e">
        <f>VLOOKUP($B22,STOCK_BY_LA!$A$2:$C$10477,3,0)</f>
        <v>#N/A</v>
      </c>
      <c r="BI22" s="1" t="str">
        <f t="shared" si="50"/>
        <v/>
      </c>
    </row>
    <row r="23" spans="1:61" x14ac:dyDescent="0.35">
      <c r="A23" s="33" t="str">
        <f t="shared" si="19"/>
        <v/>
      </c>
      <c r="B23" s="1" t="str">
        <f t="shared" si="51"/>
        <v/>
      </c>
      <c r="C23" s="34" t="str">
        <f t="shared" si="20"/>
        <v/>
      </c>
      <c r="D23" s="33" t="str">
        <f>IF(B23="","",IF('totals_&amp;_RP_counts'!$O$3=0,IFERROR(IF(AA23=2,"0",AB23),""),"-"))</f>
        <v/>
      </c>
      <c r="E23" s="35" t="str">
        <f t="shared" si="21"/>
        <v/>
      </c>
      <c r="F23" s="36" t="str">
        <f t="shared" si="22"/>
        <v/>
      </c>
      <c r="G23" s="36" t="str">
        <f t="shared" si="23"/>
        <v/>
      </c>
      <c r="H23" s="33" t="str">
        <f t="shared" si="1"/>
        <v/>
      </c>
      <c r="I23" s="36" t="str">
        <f t="shared" si="24"/>
        <v/>
      </c>
      <c r="J23" s="36" t="str">
        <f t="shared" si="25"/>
        <v/>
      </c>
      <c r="K23" s="33" t="str">
        <f t="shared" si="2"/>
        <v/>
      </c>
      <c r="L23" s="36" t="str">
        <f t="shared" si="3"/>
        <v/>
      </c>
      <c r="M23" s="36" t="str">
        <f t="shared" si="26"/>
        <v/>
      </c>
      <c r="N23" s="33" t="str">
        <f t="shared" si="27"/>
        <v/>
      </c>
      <c r="O23" s="36" t="str">
        <f t="shared" si="28"/>
        <v/>
      </c>
      <c r="P23" s="36" t="str">
        <f t="shared" si="29"/>
        <v/>
      </c>
      <c r="Q23" s="33" t="str">
        <f t="shared" si="30"/>
        <v/>
      </c>
      <c r="R23" s="1"/>
      <c r="S23" s="1"/>
      <c r="Y23" s="1" t="e">
        <f>VLOOKUP($B$6,LOOKUP_SCE,16,0)</f>
        <v>#N/A</v>
      </c>
      <c r="Z23" s="22" t="str">
        <f t="shared" si="4"/>
        <v/>
      </c>
      <c r="AA23" s="23">
        <f t="shared" si="31"/>
        <v>7</v>
      </c>
      <c r="AB23" s="55" t="e">
        <f t="shared" si="5"/>
        <v>#N/A</v>
      </c>
      <c r="AC23" s="38" t="e">
        <f t="shared" si="32"/>
        <v>#N/A</v>
      </c>
      <c r="AD23" s="38" t="e">
        <f t="shared" si="33"/>
        <v>#N/A</v>
      </c>
      <c r="AE23" s="415" t="e">
        <f t="shared" si="6"/>
        <v>#N/A</v>
      </c>
      <c r="AF23" s="10">
        <f t="shared" si="34"/>
        <v>7</v>
      </c>
      <c r="AG23" s="38" t="e">
        <f t="shared" si="7"/>
        <v>#N/A</v>
      </c>
      <c r="AH23" s="38" t="e">
        <f t="shared" si="35"/>
        <v>#N/A</v>
      </c>
      <c r="AI23" s="10" t="e">
        <f t="shared" si="8"/>
        <v>#N/A</v>
      </c>
      <c r="AJ23" s="39" t="e">
        <f t="shared" si="36"/>
        <v>#N/A</v>
      </c>
      <c r="AK23" s="40" t="e">
        <f t="shared" si="9"/>
        <v>#N/A</v>
      </c>
      <c r="AL23" s="11" t="e">
        <f t="shared" si="10"/>
        <v>#N/A</v>
      </c>
      <c r="AM23" s="41">
        <f t="shared" si="37"/>
        <v>7</v>
      </c>
      <c r="AN23" s="57" t="e">
        <f t="shared" si="11"/>
        <v>#N/A</v>
      </c>
      <c r="AO23" s="40" t="e">
        <f t="shared" si="38"/>
        <v>#N/A</v>
      </c>
      <c r="AP23" s="417" t="e">
        <f t="shared" si="12"/>
        <v>#N/A</v>
      </c>
      <c r="AQ23" s="56">
        <f t="shared" si="39"/>
        <v>7</v>
      </c>
      <c r="AR23" s="43" t="e">
        <f t="shared" si="40"/>
        <v>#N/A</v>
      </c>
      <c r="AS23" s="44" t="e">
        <f t="shared" si="41"/>
        <v>#N/A</v>
      </c>
      <c r="AT23" s="45" t="e">
        <f t="shared" si="13"/>
        <v>#N/A</v>
      </c>
      <c r="AU23" s="14">
        <f t="shared" si="42"/>
        <v>7</v>
      </c>
      <c r="AV23" s="44" t="e">
        <f t="shared" si="14"/>
        <v>#N/A</v>
      </c>
      <c r="AW23" s="14" t="e">
        <f t="shared" si="43"/>
        <v>#N/A</v>
      </c>
      <c r="AX23" s="14" t="e">
        <f t="shared" si="15"/>
        <v>#N/A</v>
      </c>
      <c r="AY23" s="46">
        <f t="shared" si="44"/>
        <v>7</v>
      </c>
      <c r="AZ23" s="47" t="e">
        <f t="shared" si="45"/>
        <v>#N/A</v>
      </c>
      <c r="BA23" s="48" t="e">
        <f t="shared" si="46"/>
        <v>#N/A</v>
      </c>
      <c r="BB23" s="31" t="e">
        <f t="shared" si="16"/>
        <v>#N/A</v>
      </c>
      <c r="BC23" s="28">
        <f t="shared" si="47"/>
        <v>7</v>
      </c>
      <c r="BD23" s="47" t="e">
        <f t="shared" si="48"/>
        <v>#N/A</v>
      </c>
      <c r="BE23" s="48" t="e">
        <f t="shared" si="49"/>
        <v>#N/A</v>
      </c>
      <c r="BF23" s="31" t="e">
        <f t="shared" si="17"/>
        <v>#N/A</v>
      </c>
      <c r="BG23" s="49" t="e">
        <f t="shared" si="18"/>
        <v>#N/A</v>
      </c>
      <c r="BH23" s="1" t="e">
        <f>VLOOKUP($B23,STOCK_BY_LA!$A$2:$C$10477,3,0)</f>
        <v>#N/A</v>
      </c>
      <c r="BI23" s="1" t="str">
        <f t="shared" si="50"/>
        <v/>
      </c>
    </row>
    <row r="24" spans="1:61" x14ac:dyDescent="0.35">
      <c r="A24" s="1" t="str">
        <f t="shared" si="19"/>
        <v/>
      </c>
      <c r="B24" s="1" t="str">
        <f t="shared" si="51"/>
        <v/>
      </c>
      <c r="C24" s="50" t="str">
        <f t="shared" si="20"/>
        <v/>
      </c>
      <c r="D24" s="33" t="str">
        <f>IF(B24="","",IF('totals_&amp;_RP_counts'!$O$3=0,IFERROR(IF(AA24=2,"0",AB24),""),"-"))</f>
        <v/>
      </c>
      <c r="E24" s="35" t="str">
        <f t="shared" si="21"/>
        <v/>
      </c>
      <c r="F24" s="36" t="str">
        <f t="shared" si="22"/>
        <v/>
      </c>
      <c r="G24" s="36" t="str">
        <f t="shared" si="23"/>
        <v/>
      </c>
      <c r="H24" s="33" t="str">
        <f t="shared" si="1"/>
        <v/>
      </c>
      <c r="I24" s="36" t="str">
        <f t="shared" si="24"/>
        <v/>
      </c>
      <c r="J24" s="36" t="str">
        <f t="shared" si="25"/>
        <v/>
      </c>
      <c r="K24" s="33" t="str">
        <f t="shared" si="2"/>
        <v/>
      </c>
      <c r="L24" s="36" t="str">
        <f t="shared" si="3"/>
        <v/>
      </c>
      <c r="M24" s="36" t="str">
        <f t="shared" si="26"/>
        <v/>
      </c>
      <c r="N24" s="33" t="str">
        <f t="shared" si="27"/>
        <v/>
      </c>
      <c r="O24" s="36" t="str">
        <f t="shared" si="28"/>
        <v/>
      </c>
      <c r="P24" s="36" t="str">
        <f t="shared" si="29"/>
        <v/>
      </c>
      <c r="Q24" s="33" t="str">
        <f t="shared" si="30"/>
        <v/>
      </c>
      <c r="R24" s="1"/>
      <c r="S24" s="1"/>
      <c r="Y24" s="1" t="e">
        <f>VLOOKUP($B$6,LOOKUP_SCE,17,0)</f>
        <v>#N/A</v>
      </c>
      <c r="Z24" s="22" t="str">
        <f t="shared" si="4"/>
        <v/>
      </c>
      <c r="AA24" s="23">
        <f t="shared" si="31"/>
        <v>7</v>
      </c>
      <c r="AB24" s="55" t="e">
        <f t="shared" si="5"/>
        <v>#N/A</v>
      </c>
      <c r="AC24" s="38" t="e">
        <f t="shared" si="32"/>
        <v>#N/A</v>
      </c>
      <c r="AD24" s="38" t="e">
        <f t="shared" si="33"/>
        <v>#N/A</v>
      </c>
      <c r="AE24" s="415" t="e">
        <f t="shared" si="6"/>
        <v>#N/A</v>
      </c>
      <c r="AF24" s="10">
        <f t="shared" si="34"/>
        <v>7</v>
      </c>
      <c r="AG24" s="38" t="e">
        <f t="shared" si="7"/>
        <v>#N/A</v>
      </c>
      <c r="AH24" s="38" t="e">
        <f t="shared" si="35"/>
        <v>#N/A</v>
      </c>
      <c r="AI24" s="10" t="e">
        <f t="shared" si="8"/>
        <v>#N/A</v>
      </c>
      <c r="AJ24" s="39" t="e">
        <f t="shared" si="36"/>
        <v>#N/A</v>
      </c>
      <c r="AK24" s="40" t="e">
        <f t="shared" si="9"/>
        <v>#N/A</v>
      </c>
      <c r="AL24" s="11" t="e">
        <f t="shared" si="10"/>
        <v>#N/A</v>
      </c>
      <c r="AM24" s="41">
        <f t="shared" si="37"/>
        <v>7</v>
      </c>
      <c r="AN24" s="57" t="e">
        <f t="shared" si="11"/>
        <v>#N/A</v>
      </c>
      <c r="AO24" s="40" t="e">
        <f t="shared" si="38"/>
        <v>#N/A</v>
      </c>
      <c r="AP24" s="417" t="e">
        <f t="shared" si="12"/>
        <v>#N/A</v>
      </c>
      <c r="AQ24" s="56">
        <f t="shared" si="39"/>
        <v>7</v>
      </c>
      <c r="AR24" s="43" t="e">
        <f t="shared" si="40"/>
        <v>#N/A</v>
      </c>
      <c r="AS24" s="44" t="e">
        <f t="shared" si="41"/>
        <v>#N/A</v>
      </c>
      <c r="AT24" s="45" t="e">
        <f t="shared" si="13"/>
        <v>#N/A</v>
      </c>
      <c r="AU24" s="14">
        <f t="shared" si="42"/>
        <v>7</v>
      </c>
      <c r="AV24" s="44" t="e">
        <f t="shared" si="14"/>
        <v>#N/A</v>
      </c>
      <c r="AW24" s="14" t="e">
        <f t="shared" si="43"/>
        <v>#N/A</v>
      </c>
      <c r="AX24" s="14" t="e">
        <f t="shared" si="15"/>
        <v>#N/A</v>
      </c>
      <c r="AY24" s="46">
        <f t="shared" si="44"/>
        <v>7</v>
      </c>
      <c r="AZ24" s="47" t="e">
        <f t="shared" si="45"/>
        <v>#N/A</v>
      </c>
      <c r="BA24" s="48" t="e">
        <f t="shared" si="46"/>
        <v>#N/A</v>
      </c>
      <c r="BB24" s="31" t="e">
        <f t="shared" si="16"/>
        <v>#N/A</v>
      </c>
      <c r="BC24" s="28">
        <f t="shared" si="47"/>
        <v>7</v>
      </c>
      <c r="BD24" s="47" t="e">
        <f t="shared" si="48"/>
        <v>#N/A</v>
      </c>
      <c r="BE24" s="48" t="e">
        <f t="shared" si="49"/>
        <v>#N/A</v>
      </c>
      <c r="BF24" s="31" t="e">
        <f t="shared" si="17"/>
        <v>#N/A</v>
      </c>
      <c r="BG24" s="49" t="e">
        <f t="shared" si="18"/>
        <v>#N/A</v>
      </c>
      <c r="BH24" s="1" t="e">
        <f>VLOOKUP($B24,STOCK_BY_LA!$A$2:$C$10477,3,0)</f>
        <v>#N/A</v>
      </c>
      <c r="BI24" s="1" t="str">
        <f t="shared" si="50"/>
        <v/>
      </c>
    </row>
    <row r="25" spans="1:61" x14ac:dyDescent="0.35">
      <c r="A25" s="33" t="str">
        <f t="shared" si="19"/>
        <v/>
      </c>
      <c r="B25" s="1" t="str">
        <f t="shared" si="51"/>
        <v/>
      </c>
      <c r="C25" s="34" t="str">
        <f t="shared" si="20"/>
        <v/>
      </c>
      <c r="D25" s="33" t="str">
        <f>IF(B25="","",IF('totals_&amp;_RP_counts'!$O$3=0,IFERROR(IF(AA25=2,"0",AB25),""),"-"))</f>
        <v/>
      </c>
      <c r="E25" s="35" t="str">
        <f t="shared" si="21"/>
        <v/>
      </c>
      <c r="F25" s="36" t="str">
        <f t="shared" si="22"/>
        <v/>
      </c>
      <c r="G25" s="36" t="str">
        <f t="shared" si="23"/>
        <v/>
      </c>
      <c r="H25" s="33" t="str">
        <f t="shared" si="1"/>
        <v/>
      </c>
      <c r="I25" s="36" t="str">
        <f t="shared" si="24"/>
        <v/>
      </c>
      <c r="J25" s="36" t="str">
        <f t="shared" si="25"/>
        <v/>
      </c>
      <c r="K25" s="33" t="str">
        <f t="shared" si="2"/>
        <v/>
      </c>
      <c r="L25" s="36" t="str">
        <f t="shared" si="3"/>
        <v/>
      </c>
      <c r="M25" s="36" t="str">
        <f t="shared" si="26"/>
        <v/>
      </c>
      <c r="N25" s="33" t="str">
        <f t="shared" si="27"/>
        <v/>
      </c>
      <c r="O25" s="36" t="str">
        <f t="shared" si="28"/>
        <v/>
      </c>
      <c r="P25" s="36" t="str">
        <f t="shared" si="29"/>
        <v/>
      </c>
      <c r="Q25" s="33" t="str">
        <f t="shared" si="30"/>
        <v/>
      </c>
      <c r="R25" s="1"/>
      <c r="S25" s="1"/>
      <c r="Y25" s="1" t="e">
        <f>VLOOKUP($B$6,LOOKUP_SCE,18,0)</f>
        <v>#N/A</v>
      </c>
      <c r="Z25" s="22" t="str">
        <f t="shared" si="4"/>
        <v/>
      </c>
      <c r="AA25" s="23">
        <f t="shared" si="31"/>
        <v>7</v>
      </c>
      <c r="AB25" s="55" t="e">
        <f t="shared" si="5"/>
        <v>#N/A</v>
      </c>
      <c r="AC25" s="38" t="e">
        <f t="shared" si="32"/>
        <v>#N/A</v>
      </c>
      <c r="AD25" s="38" t="e">
        <f t="shared" si="33"/>
        <v>#N/A</v>
      </c>
      <c r="AE25" s="415" t="e">
        <f t="shared" si="6"/>
        <v>#N/A</v>
      </c>
      <c r="AF25" s="10">
        <f t="shared" si="34"/>
        <v>7</v>
      </c>
      <c r="AG25" s="38" t="e">
        <f t="shared" si="7"/>
        <v>#N/A</v>
      </c>
      <c r="AH25" s="38" t="e">
        <f t="shared" si="35"/>
        <v>#N/A</v>
      </c>
      <c r="AI25" s="10" t="e">
        <f t="shared" si="8"/>
        <v>#N/A</v>
      </c>
      <c r="AJ25" s="39" t="e">
        <f t="shared" si="36"/>
        <v>#N/A</v>
      </c>
      <c r="AK25" s="40" t="e">
        <f t="shared" si="9"/>
        <v>#N/A</v>
      </c>
      <c r="AL25" s="11" t="e">
        <f t="shared" si="10"/>
        <v>#N/A</v>
      </c>
      <c r="AM25" s="41">
        <f t="shared" si="37"/>
        <v>7</v>
      </c>
      <c r="AN25" s="57" t="e">
        <f t="shared" si="11"/>
        <v>#N/A</v>
      </c>
      <c r="AO25" s="40" t="e">
        <f t="shared" si="38"/>
        <v>#N/A</v>
      </c>
      <c r="AP25" s="417" t="e">
        <f t="shared" si="12"/>
        <v>#N/A</v>
      </c>
      <c r="AQ25" s="56">
        <f t="shared" si="39"/>
        <v>7</v>
      </c>
      <c r="AR25" s="43" t="e">
        <f t="shared" si="40"/>
        <v>#N/A</v>
      </c>
      <c r="AS25" s="44" t="e">
        <f t="shared" si="41"/>
        <v>#N/A</v>
      </c>
      <c r="AT25" s="45" t="e">
        <f t="shared" si="13"/>
        <v>#N/A</v>
      </c>
      <c r="AU25" s="14">
        <f t="shared" si="42"/>
        <v>7</v>
      </c>
      <c r="AV25" s="44" t="e">
        <f t="shared" si="14"/>
        <v>#N/A</v>
      </c>
      <c r="AW25" s="14" t="e">
        <f t="shared" si="43"/>
        <v>#N/A</v>
      </c>
      <c r="AX25" s="14" t="e">
        <f t="shared" si="15"/>
        <v>#N/A</v>
      </c>
      <c r="AY25" s="46">
        <f t="shared" si="44"/>
        <v>7</v>
      </c>
      <c r="AZ25" s="47" t="e">
        <f t="shared" si="45"/>
        <v>#N/A</v>
      </c>
      <c r="BA25" s="48" t="e">
        <f t="shared" si="46"/>
        <v>#N/A</v>
      </c>
      <c r="BB25" s="31" t="e">
        <f t="shared" si="16"/>
        <v>#N/A</v>
      </c>
      <c r="BC25" s="28">
        <f t="shared" si="47"/>
        <v>7</v>
      </c>
      <c r="BD25" s="47" t="e">
        <f t="shared" si="48"/>
        <v>#N/A</v>
      </c>
      <c r="BE25" s="48" t="e">
        <f t="shared" si="49"/>
        <v>#N/A</v>
      </c>
      <c r="BF25" s="31" t="e">
        <f t="shared" si="17"/>
        <v>#N/A</v>
      </c>
      <c r="BG25" s="49" t="e">
        <f t="shared" si="18"/>
        <v>#N/A</v>
      </c>
      <c r="BH25" s="1" t="e">
        <f>VLOOKUP($B25,STOCK_BY_LA!$A$2:$C$10477,3,0)</f>
        <v>#N/A</v>
      </c>
      <c r="BI25" s="1" t="str">
        <f t="shared" si="50"/>
        <v/>
      </c>
    </row>
    <row r="26" spans="1:61" x14ac:dyDescent="0.35">
      <c r="A26" s="1" t="str">
        <f t="shared" si="19"/>
        <v/>
      </c>
      <c r="B26" s="1" t="str">
        <f t="shared" si="51"/>
        <v/>
      </c>
      <c r="C26" s="50" t="str">
        <f t="shared" si="20"/>
        <v/>
      </c>
      <c r="D26" s="33" t="str">
        <f>IF(B26="","",IF('totals_&amp;_RP_counts'!$O$3=0,IFERROR(IF(AA26=2,"0",AB26),""),"-"))</f>
        <v/>
      </c>
      <c r="E26" s="35" t="str">
        <f t="shared" si="21"/>
        <v/>
      </c>
      <c r="F26" s="36" t="str">
        <f t="shared" si="22"/>
        <v/>
      </c>
      <c r="G26" s="36" t="str">
        <f t="shared" si="23"/>
        <v/>
      </c>
      <c r="H26" s="33" t="str">
        <f t="shared" si="1"/>
        <v/>
      </c>
      <c r="I26" s="36" t="str">
        <f t="shared" si="24"/>
        <v/>
      </c>
      <c r="J26" s="36" t="str">
        <f t="shared" si="25"/>
        <v/>
      </c>
      <c r="K26" s="33" t="str">
        <f t="shared" si="2"/>
        <v/>
      </c>
      <c r="L26" s="36" t="str">
        <f t="shared" si="3"/>
        <v/>
      </c>
      <c r="M26" s="36" t="str">
        <f t="shared" si="26"/>
        <v/>
      </c>
      <c r="N26" s="33" t="str">
        <f t="shared" si="27"/>
        <v/>
      </c>
      <c r="O26" s="36" t="str">
        <f t="shared" si="28"/>
        <v/>
      </c>
      <c r="P26" s="36" t="str">
        <f t="shared" si="29"/>
        <v/>
      </c>
      <c r="Q26" s="33" t="str">
        <f t="shared" si="30"/>
        <v/>
      </c>
      <c r="R26" s="1"/>
      <c r="S26" s="1"/>
      <c r="Y26" s="1" t="e">
        <f>VLOOKUP($B$6,LOOKUP_SCE,19,0)</f>
        <v>#N/A</v>
      </c>
      <c r="Z26" s="22" t="str">
        <f t="shared" si="4"/>
        <v/>
      </c>
      <c r="AA26" s="23">
        <f t="shared" si="31"/>
        <v>7</v>
      </c>
      <c r="AB26" s="55" t="e">
        <f t="shared" si="5"/>
        <v>#N/A</v>
      </c>
      <c r="AC26" s="38" t="e">
        <f t="shared" si="32"/>
        <v>#N/A</v>
      </c>
      <c r="AD26" s="38" t="e">
        <f t="shared" si="33"/>
        <v>#N/A</v>
      </c>
      <c r="AE26" s="415" t="e">
        <f t="shared" si="6"/>
        <v>#N/A</v>
      </c>
      <c r="AF26" s="10">
        <f t="shared" si="34"/>
        <v>7</v>
      </c>
      <c r="AG26" s="38" t="e">
        <f t="shared" si="7"/>
        <v>#N/A</v>
      </c>
      <c r="AH26" s="38" t="e">
        <f t="shared" si="35"/>
        <v>#N/A</v>
      </c>
      <c r="AI26" s="10" t="e">
        <f t="shared" si="8"/>
        <v>#N/A</v>
      </c>
      <c r="AJ26" s="39" t="e">
        <f t="shared" si="36"/>
        <v>#N/A</v>
      </c>
      <c r="AK26" s="40" t="e">
        <f t="shared" si="9"/>
        <v>#N/A</v>
      </c>
      <c r="AL26" s="11" t="e">
        <f t="shared" si="10"/>
        <v>#N/A</v>
      </c>
      <c r="AM26" s="41">
        <f t="shared" si="37"/>
        <v>7</v>
      </c>
      <c r="AN26" s="57" t="e">
        <f t="shared" si="11"/>
        <v>#N/A</v>
      </c>
      <c r="AO26" s="40" t="e">
        <f t="shared" si="38"/>
        <v>#N/A</v>
      </c>
      <c r="AP26" s="417" t="e">
        <f t="shared" si="12"/>
        <v>#N/A</v>
      </c>
      <c r="AQ26" s="56">
        <f t="shared" si="39"/>
        <v>7</v>
      </c>
      <c r="AR26" s="43" t="e">
        <f t="shared" si="40"/>
        <v>#N/A</v>
      </c>
      <c r="AS26" s="44" t="e">
        <f t="shared" si="41"/>
        <v>#N/A</v>
      </c>
      <c r="AT26" s="45" t="e">
        <f t="shared" si="13"/>
        <v>#N/A</v>
      </c>
      <c r="AU26" s="14">
        <f t="shared" si="42"/>
        <v>7</v>
      </c>
      <c r="AV26" s="44" t="e">
        <f t="shared" si="14"/>
        <v>#N/A</v>
      </c>
      <c r="AW26" s="14" t="e">
        <f t="shared" si="43"/>
        <v>#N/A</v>
      </c>
      <c r="AX26" s="14" t="e">
        <f t="shared" si="15"/>
        <v>#N/A</v>
      </c>
      <c r="AY26" s="46">
        <f t="shared" si="44"/>
        <v>7</v>
      </c>
      <c r="AZ26" s="47" t="e">
        <f t="shared" si="45"/>
        <v>#N/A</v>
      </c>
      <c r="BA26" s="48" t="e">
        <f t="shared" si="46"/>
        <v>#N/A</v>
      </c>
      <c r="BB26" s="31" t="e">
        <f t="shared" si="16"/>
        <v>#N/A</v>
      </c>
      <c r="BC26" s="28">
        <f t="shared" si="47"/>
        <v>7</v>
      </c>
      <c r="BD26" s="47" t="e">
        <f t="shared" si="48"/>
        <v>#N/A</v>
      </c>
      <c r="BE26" s="48" t="e">
        <f t="shared" si="49"/>
        <v>#N/A</v>
      </c>
      <c r="BF26" s="31" t="e">
        <f t="shared" si="17"/>
        <v>#N/A</v>
      </c>
      <c r="BG26" s="49" t="e">
        <f t="shared" si="18"/>
        <v>#N/A</v>
      </c>
      <c r="BH26" s="1" t="e">
        <f>VLOOKUP($B26,STOCK_BY_LA!$A$2:$C$10477,3,0)</f>
        <v>#N/A</v>
      </c>
      <c r="BI26" s="1" t="str">
        <f t="shared" si="50"/>
        <v/>
      </c>
    </row>
    <row r="27" spans="1:61" x14ac:dyDescent="0.35">
      <c r="A27" s="33" t="str">
        <f t="shared" si="19"/>
        <v/>
      </c>
      <c r="B27" s="1" t="str">
        <f t="shared" si="51"/>
        <v/>
      </c>
      <c r="C27" s="34" t="str">
        <f t="shared" si="20"/>
        <v/>
      </c>
      <c r="D27" s="33" t="str">
        <f>IF(B27="","",IF('totals_&amp;_RP_counts'!$O$3=0,IFERROR(IF(AA27=2,"0",AB27),""),"-"))</f>
        <v/>
      </c>
      <c r="E27" s="35" t="str">
        <f t="shared" si="21"/>
        <v/>
      </c>
      <c r="F27" s="36" t="str">
        <f t="shared" si="22"/>
        <v/>
      </c>
      <c r="G27" s="36" t="str">
        <f t="shared" si="23"/>
        <v/>
      </c>
      <c r="H27" s="33" t="str">
        <f t="shared" si="1"/>
        <v/>
      </c>
      <c r="I27" s="36" t="str">
        <f t="shared" si="24"/>
        <v/>
      </c>
      <c r="J27" s="36" t="str">
        <f t="shared" si="25"/>
        <v/>
      </c>
      <c r="K27" s="33" t="str">
        <f t="shared" si="2"/>
        <v/>
      </c>
      <c r="L27" s="36" t="str">
        <f t="shared" si="3"/>
        <v/>
      </c>
      <c r="M27" s="36" t="str">
        <f t="shared" si="26"/>
        <v/>
      </c>
      <c r="N27" s="33" t="str">
        <f t="shared" si="27"/>
        <v/>
      </c>
      <c r="O27" s="36" t="str">
        <f t="shared" si="28"/>
        <v/>
      </c>
      <c r="P27" s="36" t="str">
        <f t="shared" si="29"/>
        <v/>
      </c>
      <c r="Q27" s="33" t="str">
        <f t="shared" si="30"/>
        <v/>
      </c>
      <c r="R27" s="1"/>
      <c r="S27" s="1"/>
      <c r="Y27" s="1" t="e">
        <f>VLOOKUP($B$6,LOOKUP_SCE,20,0)</f>
        <v>#N/A</v>
      </c>
      <c r="Z27" s="22" t="str">
        <f t="shared" si="4"/>
        <v/>
      </c>
      <c r="AA27" s="23">
        <f t="shared" si="31"/>
        <v>7</v>
      </c>
      <c r="AB27" s="55" t="e">
        <f t="shared" si="5"/>
        <v>#N/A</v>
      </c>
      <c r="AC27" s="38" t="e">
        <f t="shared" si="32"/>
        <v>#N/A</v>
      </c>
      <c r="AD27" s="38" t="e">
        <f t="shared" si="33"/>
        <v>#N/A</v>
      </c>
      <c r="AE27" s="415" t="e">
        <f t="shared" si="6"/>
        <v>#N/A</v>
      </c>
      <c r="AF27" s="10">
        <f t="shared" si="34"/>
        <v>7</v>
      </c>
      <c r="AG27" s="38" t="e">
        <f t="shared" si="7"/>
        <v>#N/A</v>
      </c>
      <c r="AH27" s="38" t="e">
        <f t="shared" si="35"/>
        <v>#N/A</v>
      </c>
      <c r="AI27" s="10" t="e">
        <f t="shared" si="8"/>
        <v>#N/A</v>
      </c>
      <c r="AJ27" s="39" t="e">
        <f t="shared" si="36"/>
        <v>#N/A</v>
      </c>
      <c r="AK27" s="40" t="e">
        <f t="shared" si="9"/>
        <v>#N/A</v>
      </c>
      <c r="AL27" s="11" t="e">
        <f t="shared" si="10"/>
        <v>#N/A</v>
      </c>
      <c r="AM27" s="41">
        <f t="shared" si="37"/>
        <v>7</v>
      </c>
      <c r="AN27" s="57" t="e">
        <f t="shared" si="11"/>
        <v>#N/A</v>
      </c>
      <c r="AO27" s="40" t="e">
        <f t="shared" si="38"/>
        <v>#N/A</v>
      </c>
      <c r="AP27" s="417" t="e">
        <f t="shared" si="12"/>
        <v>#N/A</v>
      </c>
      <c r="AQ27" s="56">
        <f t="shared" si="39"/>
        <v>7</v>
      </c>
      <c r="AR27" s="43" t="e">
        <f t="shared" si="40"/>
        <v>#N/A</v>
      </c>
      <c r="AS27" s="44" t="e">
        <f t="shared" si="41"/>
        <v>#N/A</v>
      </c>
      <c r="AT27" s="45" t="e">
        <f t="shared" si="13"/>
        <v>#N/A</v>
      </c>
      <c r="AU27" s="14">
        <f t="shared" si="42"/>
        <v>7</v>
      </c>
      <c r="AV27" s="44" t="e">
        <f t="shared" si="14"/>
        <v>#N/A</v>
      </c>
      <c r="AW27" s="14" t="e">
        <f t="shared" si="43"/>
        <v>#N/A</v>
      </c>
      <c r="AX27" s="14" t="e">
        <f t="shared" si="15"/>
        <v>#N/A</v>
      </c>
      <c r="AY27" s="46">
        <f t="shared" si="44"/>
        <v>7</v>
      </c>
      <c r="AZ27" s="47" t="e">
        <f t="shared" si="45"/>
        <v>#N/A</v>
      </c>
      <c r="BA27" s="48" t="e">
        <f t="shared" si="46"/>
        <v>#N/A</v>
      </c>
      <c r="BB27" s="31" t="e">
        <f t="shared" si="16"/>
        <v>#N/A</v>
      </c>
      <c r="BC27" s="28">
        <f t="shared" si="47"/>
        <v>7</v>
      </c>
      <c r="BD27" s="47" t="e">
        <f t="shared" si="48"/>
        <v>#N/A</v>
      </c>
      <c r="BE27" s="48" t="e">
        <f t="shared" si="49"/>
        <v>#N/A</v>
      </c>
      <c r="BF27" s="31" t="e">
        <f t="shared" si="17"/>
        <v>#N/A</v>
      </c>
      <c r="BG27" s="49" t="e">
        <f t="shared" si="18"/>
        <v>#N/A</v>
      </c>
      <c r="BH27" s="1" t="e">
        <f>VLOOKUP($B27,STOCK_BY_LA!$A$2:$C$10477,3,0)</f>
        <v>#N/A</v>
      </c>
      <c r="BI27" s="1" t="str">
        <f t="shared" si="50"/>
        <v/>
      </c>
    </row>
    <row r="28" spans="1:61" x14ac:dyDescent="0.35">
      <c r="A28" s="1" t="str">
        <f t="shared" si="19"/>
        <v/>
      </c>
      <c r="B28" s="1" t="str">
        <f t="shared" si="51"/>
        <v/>
      </c>
      <c r="C28" s="50" t="str">
        <f t="shared" si="20"/>
        <v/>
      </c>
      <c r="D28" s="33" t="str">
        <f>IF(B28="","",IF('totals_&amp;_RP_counts'!$O$3=0,IFERROR(IF(AA28=2,"0",AB28),""),"-"))</f>
        <v/>
      </c>
      <c r="E28" s="35" t="str">
        <f t="shared" si="21"/>
        <v/>
      </c>
      <c r="F28" s="36" t="str">
        <f t="shared" si="22"/>
        <v/>
      </c>
      <c r="G28" s="36" t="str">
        <f t="shared" si="23"/>
        <v/>
      </c>
      <c r="H28" s="33" t="str">
        <f t="shared" si="1"/>
        <v/>
      </c>
      <c r="I28" s="36" t="str">
        <f t="shared" si="24"/>
        <v/>
      </c>
      <c r="J28" s="36" t="str">
        <f t="shared" si="25"/>
        <v/>
      </c>
      <c r="K28" s="33" t="str">
        <f t="shared" si="2"/>
        <v/>
      </c>
      <c r="L28" s="36" t="str">
        <f t="shared" si="3"/>
        <v/>
      </c>
      <c r="M28" s="36" t="str">
        <f t="shared" si="26"/>
        <v/>
      </c>
      <c r="N28" s="33" t="str">
        <f t="shared" si="27"/>
        <v/>
      </c>
      <c r="O28" s="36" t="str">
        <f t="shared" si="28"/>
        <v/>
      </c>
      <c r="P28" s="36" t="str">
        <f t="shared" si="29"/>
        <v/>
      </c>
      <c r="Q28" s="33" t="str">
        <f t="shared" si="30"/>
        <v/>
      </c>
      <c r="R28" s="1"/>
      <c r="S28" s="1"/>
      <c r="Y28" s="1" t="e">
        <f>VLOOKUP($B$6,LOOKUP_SCE,21,0)</f>
        <v>#N/A</v>
      </c>
      <c r="Z28" s="22" t="str">
        <f t="shared" si="4"/>
        <v/>
      </c>
      <c r="AA28" s="23">
        <f t="shared" si="31"/>
        <v>7</v>
      </c>
      <c r="AB28" s="55" t="e">
        <f t="shared" si="5"/>
        <v>#N/A</v>
      </c>
      <c r="AC28" s="38" t="e">
        <f t="shared" si="32"/>
        <v>#N/A</v>
      </c>
      <c r="AD28" s="38" t="e">
        <f t="shared" si="33"/>
        <v>#N/A</v>
      </c>
      <c r="AE28" s="415" t="e">
        <f t="shared" si="6"/>
        <v>#N/A</v>
      </c>
      <c r="AF28" s="10">
        <f t="shared" si="34"/>
        <v>7</v>
      </c>
      <c r="AG28" s="38" t="e">
        <f t="shared" si="7"/>
        <v>#N/A</v>
      </c>
      <c r="AH28" s="38" t="e">
        <f t="shared" si="35"/>
        <v>#N/A</v>
      </c>
      <c r="AI28" s="10" t="e">
        <f t="shared" si="8"/>
        <v>#N/A</v>
      </c>
      <c r="AJ28" s="39" t="e">
        <f t="shared" si="36"/>
        <v>#N/A</v>
      </c>
      <c r="AK28" s="40" t="e">
        <f t="shared" si="9"/>
        <v>#N/A</v>
      </c>
      <c r="AL28" s="11" t="e">
        <f t="shared" si="10"/>
        <v>#N/A</v>
      </c>
      <c r="AM28" s="41">
        <f t="shared" si="37"/>
        <v>7</v>
      </c>
      <c r="AN28" s="57" t="e">
        <f t="shared" si="11"/>
        <v>#N/A</v>
      </c>
      <c r="AO28" s="40" t="e">
        <f t="shared" si="38"/>
        <v>#N/A</v>
      </c>
      <c r="AP28" s="417" t="e">
        <f t="shared" si="12"/>
        <v>#N/A</v>
      </c>
      <c r="AQ28" s="56">
        <f t="shared" si="39"/>
        <v>7</v>
      </c>
      <c r="AR28" s="43" t="e">
        <f t="shared" si="40"/>
        <v>#N/A</v>
      </c>
      <c r="AS28" s="44" t="e">
        <f t="shared" si="41"/>
        <v>#N/A</v>
      </c>
      <c r="AT28" s="45" t="e">
        <f t="shared" si="13"/>
        <v>#N/A</v>
      </c>
      <c r="AU28" s="14">
        <f t="shared" si="42"/>
        <v>7</v>
      </c>
      <c r="AV28" s="44" t="e">
        <f t="shared" si="14"/>
        <v>#N/A</v>
      </c>
      <c r="AW28" s="14" t="e">
        <f t="shared" si="43"/>
        <v>#N/A</v>
      </c>
      <c r="AX28" s="14" t="e">
        <f t="shared" si="15"/>
        <v>#N/A</v>
      </c>
      <c r="AY28" s="46">
        <f t="shared" si="44"/>
        <v>7</v>
      </c>
      <c r="AZ28" s="47" t="e">
        <f t="shared" si="45"/>
        <v>#N/A</v>
      </c>
      <c r="BA28" s="48" t="e">
        <f t="shared" si="46"/>
        <v>#N/A</v>
      </c>
      <c r="BB28" s="31" t="e">
        <f t="shared" si="16"/>
        <v>#N/A</v>
      </c>
      <c r="BC28" s="28">
        <f t="shared" si="47"/>
        <v>7</v>
      </c>
      <c r="BD28" s="47" t="e">
        <f t="shared" si="48"/>
        <v>#N/A</v>
      </c>
      <c r="BE28" s="48" t="e">
        <f t="shared" si="49"/>
        <v>#N/A</v>
      </c>
      <c r="BF28" s="31" t="e">
        <f t="shared" si="17"/>
        <v>#N/A</v>
      </c>
      <c r="BG28" s="49" t="e">
        <f t="shared" si="18"/>
        <v>#N/A</v>
      </c>
      <c r="BH28" s="1" t="e">
        <f>VLOOKUP($B28,STOCK_BY_LA!$A$2:$C$10477,3,0)</f>
        <v>#N/A</v>
      </c>
      <c r="BI28" s="1" t="str">
        <f t="shared" si="50"/>
        <v/>
      </c>
    </row>
    <row r="29" spans="1:61" x14ac:dyDescent="0.35">
      <c r="A29" s="33" t="str">
        <f t="shared" si="19"/>
        <v/>
      </c>
      <c r="B29" s="1" t="str">
        <f t="shared" si="51"/>
        <v/>
      </c>
      <c r="C29" s="34" t="str">
        <f t="shared" si="20"/>
        <v/>
      </c>
      <c r="D29" s="33" t="str">
        <f>IF(B29="","",IF('totals_&amp;_RP_counts'!$O$3=0,IFERROR(IF(AA29=2,"0",AB29),""),"-"))</f>
        <v/>
      </c>
      <c r="E29" s="35" t="str">
        <f t="shared" si="21"/>
        <v/>
      </c>
      <c r="F29" s="36" t="str">
        <f t="shared" si="22"/>
        <v/>
      </c>
      <c r="G29" s="36" t="str">
        <f t="shared" si="23"/>
        <v/>
      </c>
      <c r="H29" s="33" t="str">
        <f t="shared" si="1"/>
        <v/>
      </c>
      <c r="I29" s="36" t="str">
        <f t="shared" si="24"/>
        <v/>
      </c>
      <c r="J29" s="36" t="str">
        <f t="shared" si="25"/>
        <v/>
      </c>
      <c r="K29" s="33" t="str">
        <f t="shared" si="2"/>
        <v/>
      </c>
      <c r="L29" s="36" t="str">
        <f t="shared" si="3"/>
        <v/>
      </c>
      <c r="M29" s="36" t="str">
        <f t="shared" si="26"/>
        <v/>
      </c>
      <c r="N29" s="33" t="str">
        <f t="shared" si="27"/>
        <v/>
      </c>
      <c r="O29" s="36" t="str">
        <f t="shared" si="28"/>
        <v/>
      </c>
      <c r="P29" s="36" t="str">
        <f t="shared" si="29"/>
        <v/>
      </c>
      <c r="Q29" s="33" t="str">
        <f t="shared" si="30"/>
        <v/>
      </c>
      <c r="R29" s="1"/>
      <c r="S29" s="1"/>
      <c r="Y29" s="1" t="e">
        <f>VLOOKUP($B$6,LOOKUP_SCE,22,0)</f>
        <v>#N/A</v>
      </c>
      <c r="Z29" s="22" t="str">
        <f t="shared" si="4"/>
        <v/>
      </c>
      <c r="AA29" s="23">
        <f t="shared" si="31"/>
        <v>7</v>
      </c>
      <c r="AB29" s="55" t="e">
        <f t="shared" si="5"/>
        <v>#N/A</v>
      </c>
      <c r="AC29" s="38" t="e">
        <f t="shared" si="32"/>
        <v>#N/A</v>
      </c>
      <c r="AD29" s="38" t="e">
        <f t="shared" si="33"/>
        <v>#N/A</v>
      </c>
      <c r="AE29" s="415" t="e">
        <f t="shared" si="6"/>
        <v>#N/A</v>
      </c>
      <c r="AF29" s="10">
        <f t="shared" si="34"/>
        <v>7</v>
      </c>
      <c r="AG29" s="38" t="e">
        <f t="shared" si="7"/>
        <v>#N/A</v>
      </c>
      <c r="AH29" s="38" t="e">
        <f t="shared" si="35"/>
        <v>#N/A</v>
      </c>
      <c r="AI29" s="10" t="e">
        <f t="shared" si="8"/>
        <v>#N/A</v>
      </c>
      <c r="AJ29" s="39" t="e">
        <f t="shared" si="36"/>
        <v>#N/A</v>
      </c>
      <c r="AK29" s="40" t="e">
        <f t="shared" si="9"/>
        <v>#N/A</v>
      </c>
      <c r="AL29" s="11" t="e">
        <f t="shared" si="10"/>
        <v>#N/A</v>
      </c>
      <c r="AM29" s="41">
        <f t="shared" si="37"/>
        <v>7</v>
      </c>
      <c r="AN29" s="57" t="e">
        <f t="shared" si="11"/>
        <v>#N/A</v>
      </c>
      <c r="AO29" s="40" t="e">
        <f t="shared" si="38"/>
        <v>#N/A</v>
      </c>
      <c r="AP29" s="417" t="e">
        <f t="shared" si="12"/>
        <v>#N/A</v>
      </c>
      <c r="AQ29" s="56">
        <f t="shared" si="39"/>
        <v>7</v>
      </c>
      <c r="AR29" s="43" t="e">
        <f t="shared" si="40"/>
        <v>#N/A</v>
      </c>
      <c r="AS29" s="44" t="e">
        <f t="shared" si="41"/>
        <v>#N/A</v>
      </c>
      <c r="AT29" s="45" t="e">
        <f t="shared" si="13"/>
        <v>#N/A</v>
      </c>
      <c r="AU29" s="14">
        <f t="shared" si="42"/>
        <v>7</v>
      </c>
      <c r="AV29" s="44" t="e">
        <f t="shared" si="14"/>
        <v>#N/A</v>
      </c>
      <c r="AW29" s="14" t="e">
        <f t="shared" si="43"/>
        <v>#N/A</v>
      </c>
      <c r="AX29" s="14" t="e">
        <f t="shared" si="15"/>
        <v>#N/A</v>
      </c>
      <c r="AY29" s="46">
        <f t="shared" si="44"/>
        <v>7</v>
      </c>
      <c r="AZ29" s="47" t="e">
        <f t="shared" si="45"/>
        <v>#N/A</v>
      </c>
      <c r="BA29" s="48" t="e">
        <f t="shared" si="46"/>
        <v>#N/A</v>
      </c>
      <c r="BB29" s="31" t="e">
        <f t="shared" si="16"/>
        <v>#N/A</v>
      </c>
      <c r="BC29" s="28">
        <f t="shared" si="47"/>
        <v>7</v>
      </c>
      <c r="BD29" s="47" t="e">
        <f t="shared" si="48"/>
        <v>#N/A</v>
      </c>
      <c r="BE29" s="48" t="e">
        <f t="shared" si="49"/>
        <v>#N/A</v>
      </c>
      <c r="BF29" s="31" t="e">
        <f t="shared" si="17"/>
        <v>#N/A</v>
      </c>
      <c r="BG29" s="49" t="e">
        <f t="shared" si="18"/>
        <v>#N/A</v>
      </c>
      <c r="BH29" s="1" t="e">
        <f>VLOOKUP($B29,STOCK_BY_LA!$A$2:$C$10477,3,0)</f>
        <v>#N/A</v>
      </c>
      <c r="BI29" s="1" t="str">
        <f t="shared" si="50"/>
        <v/>
      </c>
    </row>
    <row r="30" spans="1:61" x14ac:dyDescent="0.35">
      <c r="A30" s="1" t="str">
        <f t="shared" si="19"/>
        <v/>
      </c>
      <c r="B30" s="1" t="str">
        <f t="shared" si="51"/>
        <v/>
      </c>
      <c r="C30" s="50" t="str">
        <f t="shared" si="20"/>
        <v/>
      </c>
      <c r="D30" s="33" t="str">
        <f>IF(B30="","",IF('totals_&amp;_RP_counts'!$O$3=0,IFERROR(IF(AA30=2,"0",AB30),""),"-"))</f>
        <v/>
      </c>
      <c r="E30" s="35" t="str">
        <f t="shared" si="21"/>
        <v/>
      </c>
      <c r="F30" s="36" t="str">
        <f t="shared" si="22"/>
        <v/>
      </c>
      <c r="G30" s="36" t="str">
        <f t="shared" si="23"/>
        <v/>
      </c>
      <c r="H30" s="33" t="str">
        <f t="shared" si="1"/>
        <v/>
      </c>
      <c r="I30" s="36" t="str">
        <f t="shared" si="24"/>
        <v/>
      </c>
      <c r="J30" s="36" t="str">
        <f t="shared" si="25"/>
        <v/>
      </c>
      <c r="K30" s="33" t="str">
        <f t="shared" si="2"/>
        <v/>
      </c>
      <c r="L30" s="36" t="str">
        <f t="shared" si="3"/>
        <v/>
      </c>
      <c r="M30" s="36" t="str">
        <f t="shared" si="26"/>
        <v/>
      </c>
      <c r="N30" s="33" t="str">
        <f t="shared" si="27"/>
        <v/>
      </c>
      <c r="O30" s="36" t="str">
        <f t="shared" si="28"/>
        <v/>
      </c>
      <c r="P30" s="36" t="str">
        <f t="shared" si="29"/>
        <v/>
      </c>
      <c r="Q30" s="33" t="str">
        <f t="shared" si="30"/>
        <v/>
      </c>
      <c r="R30" s="1"/>
      <c r="S30" s="1"/>
      <c r="Y30" s="1" t="e">
        <f>VLOOKUP($B$6,LOOKUP_SCE,23,0)</f>
        <v>#N/A</v>
      </c>
      <c r="Z30" s="22" t="str">
        <f t="shared" si="4"/>
        <v/>
      </c>
      <c r="AA30" s="23">
        <f t="shared" si="31"/>
        <v>7</v>
      </c>
      <c r="AB30" s="55" t="e">
        <f t="shared" si="5"/>
        <v>#N/A</v>
      </c>
      <c r="AC30" s="38" t="e">
        <f t="shared" si="32"/>
        <v>#N/A</v>
      </c>
      <c r="AD30" s="38" t="e">
        <f t="shared" si="33"/>
        <v>#N/A</v>
      </c>
      <c r="AE30" s="415" t="e">
        <f t="shared" si="6"/>
        <v>#N/A</v>
      </c>
      <c r="AF30" s="10">
        <f t="shared" si="34"/>
        <v>7</v>
      </c>
      <c r="AG30" s="38" t="e">
        <f t="shared" si="7"/>
        <v>#N/A</v>
      </c>
      <c r="AH30" s="38" t="e">
        <f t="shared" si="35"/>
        <v>#N/A</v>
      </c>
      <c r="AI30" s="10" t="e">
        <f t="shared" si="8"/>
        <v>#N/A</v>
      </c>
      <c r="AJ30" s="39" t="e">
        <f t="shared" si="36"/>
        <v>#N/A</v>
      </c>
      <c r="AK30" s="40" t="e">
        <f t="shared" si="9"/>
        <v>#N/A</v>
      </c>
      <c r="AL30" s="11" t="e">
        <f t="shared" si="10"/>
        <v>#N/A</v>
      </c>
      <c r="AM30" s="41">
        <f t="shared" si="37"/>
        <v>7</v>
      </c>
      <c r="AN30" s="57" t="e">
        <f t="shared" si="11"/>
        <v>#N/A</v>
      </c>
      <c r="AO30" s="40" t="e">
        <f t="shared" si="38"/>
        <v>#N/A</v>
      </c>
      <c r="AP30" s="417" t="e">
        <f t="shared" si="12"/>
        <v>#N/A</v>
      </c>
      <c r="AQ30" s="56">
        <f t="shared" si="39"/>
        <v>7</v>
      </c>
      <c r="AR30" s="43" t="e">
        <f t="shared" si="40"/>
        <v>#N/A</v>
      </c>
      <c r="AS30" s="44" t="e">
        <f t="shared" si="41"/>
        <v>#N/A</v>
      </c>
      <c r="AT30" s="45" t="e">
        <f t="shared" si="13"/>
        <v>#N/A</v>
      </c>
      <c r="AU30" s="14">
        <f t="shared" si="42"/>
        <v>7</v>
      </c>
      <c r="AV30" s="44" t="e">
        <f t="shared" si="14"/>
        <v>#N/A</v>
      </c>
      <c r="AW30" s="14" t="e">
        <f t="shared" si="43"/>
        <v>#N/A</v>
      </c>
      <c r="AX30" s="14" t="e">
        <f t="shared" si="15"/>
        <v>#N/A</v>
      </c>
      <c r="AY30" s="46">
        <f t="shared" si="44"/>
        <v>7</v>
      </c>
      <c r="AZ30" s="47" t="e">
        <f t="shared" si="45"/>
        <v>#N/A</v>
      </c>
      <c r="BA30" s="48" t="e">
        <f t="shared" si="46"/>
        <v>#N/A</v>
      </c>
      <c r="BB30" s="31" t="e">
        <f t="shared" si="16"/>
        <v>#N/A</v>
      </c>
      <c r="BC30" s="28">
        <f t="shared" si="47"/>
        <v>7</v>
      </c>
      <c r="BD30" s="47" t="e">
        <f t="shared" si="48"/>
        <v>#N/A</v>
      </c>
      <c r="BE30" s="48" t="e">
        <f t="shared" si="49"/>
        <v>#N/A</v>
      </c>
      <c r="BF30" s="31" t="e">
        <f t="shared" si="17"/>
        <v>#N/A</v>
      </c>
      <c r="BG30" s="49" t="e">
        <f t="shared" si="18"/>
        <v>#N/A</v>
      </c>
      <c r="BH30" s="1" t="e">
        <f>VLOOKUP($B30,STOCK_BY_LA!$A$2:$C$10477,3,0)</f>
        <v>#N/A</v>
      </c>
      <c r="BI30" s="1" t="str">
        <f t="shared" si="50"/>
        <v/>
      </c>
    </row>
    <row r="31" spans="1:61" x14ac:dyDescent="0.35">
      <c r="A31" s="33" t="str">
        <f t="shared" si="19"/>
        <v/>
      </c>
      <c r="B31" s="1" t="str">
        <f t="shared" si="51"/>
        <v/>
      </c>
      <c r="C31" s="34" t="str">
        <f t="shared" si="20"/>
        <v/>
      </c>
      <c r="D31" s="33" t="str">
        <f>IF(B31="","",IF('totals_&amp;_RP_counts'!$O$3=0,IFERROR(IF(AA31=2,"0",AB31),""),"-"))</f>
        <v/>
      </c>
      <c r="E31" s="35" t="str">
        <f t="shared" si="21"/>
        <v/>
      </c>
      <c r="F31" s="36" t="str">
        <f t="shared" si="22"/>
        <v/>
      </c>
      <c r="G31" s="36" t="str">
        <f t="shared" si="23"/>
        <v/>
      </c>
      <c r="H31" s="33" t="str">
        <f t="shared" si="1"/>
        <v/>
      </c>
      <c r="I31" s="36" t="str">
        <f t="shared" si="24"/>
        <v/>
      </c>
      <c r="J31" s="36" t="str">
        <f t="shared" si="25"/>
        <v/>
      </c>
      <c r="K31" s="33" t="str">
        <f t="shared" si="2"/>
        <v/>
      </c>
      <c r="L31" s="36" t="str">
        <f t="shared" si="3"/>
        <v/>
      </c>
      <c r="M31" s="36" t="str">
        <f t="shared" si="26"/>
        <v/>
      </c>
      <c r="N31" s="33" t="str">
        <f t="shared" si="27"/>
        <v/>
      </c>
      <c r="O31" s="36" t="str">
        <f t="shared" si="28"/>
        <v/>
      </c>
      <c r="P31" s="36" t="str">
        <f t="shared" si="29"/>
        <v/>
      </c>
      <c r="Q31" s="33" t="str">
        <f t="shared" si="30"/>
        <v/>
      </c>
      <c r="R31" s="1"/>
      <c r="S31" s="1"/>
      <c r="Y31" s="1" t="e">
        <f>VLOOKUP($B$6,LOOKUP_SCE,24,0)</f>
        <v>#N/A</v>
      </c>
      <c r="Z31" s="22" t="str">
        <f t="shared" si="4"/>
        <v/>
      </c>
      <c r="AA31" s="23">
        <f t="shared" si="31"/>
        <v>7</v>
      </c>
      <c r="AB31" s="55" t="e">
        <f t="shared" si="5"/>
        <v>#N/A</v>
      </c>
      <c r="AC31" s="38" t="e">
        <f t="shared" si="32"/>
        <v>#N/A</v>
      </c>
      <c r="AD31" s="38" t="e">
        <f t="shared" si="33"/>
        <v>#N/A</v>
      </c>
      <c r="AE31" s="415" t="e">
        <f t="shared" si="6"/>
        <v>#N/A</v>
      </c>
      <c r="AF31" s="10">
        <f t="shared" si="34"/>
        <v>7</v>
      </c>
      <c r="AG31" s="38" t="e">
        <f t="shared" si="7"/>
        <v>#N/A</v>
      </c>
      <c r="AH31" s="38" t="e">
        <f t="shared" si="35"/>
        <v>#N/A</v>
      </c>
      <c r="AI31" s="10" t="e">
        <f t="shared" si="8"/>
        <v>#N/A</v>
      </c>
      <c r="AJ31" s="39" t="e">
        <f t="shared" si="36"/>
        <v>#N/A</v>
      </c>
      <c r="AK31" s="40" t="e">
        <f t="shared" si="9"/>
        <v>#N/A</v>
      </c>
      <c r="AL31" s="11" t="e">
        <f t="shared" si="10"/>
        <v>#N/A</v>
      </c>
      <c r="AM31" s="41">
        <f t="shared" si="37"/>
        <v>7</v>
      </c>
      <c r="AN31" s="57" t="e">
        <f t="shared" si="11"/>
        <v>#N/A</v>
      </c>
      <c r="AO31" s="40" t="e">
        <f t="shared" si="38"/>
        <v>#N/A</v>
      </c>
      <c r="AP31" s="417" t="e">
        <f t="shared" si="12"/>
        <v>#N/A</v>
      </c>
      <c r="AQ31" s="56">
        <f t="shared" si="39"/>
        <v>7</v>
      </c>
      <c r="AR31" s="43" t="e">
        <f t="shared" si="40"/>
        <v>#N/A</v>
      </c>
      <c r="AS31" s="44" t="e">
        <f t="shared" si="41"/>
        <v>#N/A</v>
      </c>
      <c r="AT31" s="45" t="e">
        <f t="shared" si="13"/>
        <v>#N/A</v>
      </c>
      <c r="AU31" s="14">
        <f t="shared" si="42"/>
        <v>7</v>
      </c>
      <c r="AV31" s="44" t="e">
        <f t="shared" si="14"/>
        <v>#N/A</v>
      </c>
      <c r="AW31" s="14" t="e">
        <f t="shared" si="43"/>
        <v>#N/A</v>
      </c>
      <c r="AX31" s="14" t="e">
        <f t="shared" si="15"/>
        <v>#N/A</v>
      </c>
      <c r="AY31" s="46">
        <f t="shared" si="44"/>
        <v>7</v>
      </c>
      <c r="AZ31" s="47" t="e">
        <f t="shared" si="45"/>
        <v>#N/A</v>
      </c>
      <c r="BA31" s="48" t="e">
        <f t="shared" si="46"/>
        <v>#N/A</v>
      </c>
      <c r="BB31" s="31" t="e">
        <f t="shared" si="16"/>
        <v>#N/A</v>
      </c>
      <c r="BC31" s="28">
        <f t="shared" si="47"/>
        <v>7</v>
      </c>
      <c r="BD31" s="47" t="e">
        <f t="shared" si="48"/>
        <v>#N/A</v>
      </c>
      <c r="BE31" s="48" t="e">
        <f t="shared" si="49"/>
        <v>#N/A</v>
      </c>
      <c r="BF31" s="31" t="e">
        <f t="shared" si="17"/>
        <v>#N/A</v>
      </c>
      <c r="BG31" s="49" t="e">
        <f t="shared" si="18"/>
        <v>#N/A</v>
      </c>
      <c r="BH31" s="1" t="e">
        <f>VLOOKUP($B31,STOCK_BY_LA!$A$2:$C$10477,3,0)</f>
        <v>#N/A</v>
      </c>
      <c r="BI31" s="1" t="str">
        <f t="shared" si="50"/>
        <v/>
      </c>
    </row>
    <row r="32" spans="1:61" x14ac:dyDescent="0.35">
      <c r="A32" s="1" t="str">
        <f t="shared" si="19"/>
        <v/>
      </c>
      <c r="B32" s="1" t="str">
        <f t="shared" si="51"/>
        <v/>
      </c>
      <c r="C32" s="50" t="str">
        <f t="shared" si="20"/>
        <v/>
      </c>
      <c r="D32" s="33" t="str">
        <f>IF(B32="","",IF('totals_&amp;_RP_counts'!$O$3=0,IFERROR(IF(AA32=2,"0",AB32),""),"-"))</f>
        <v/>
      </c>
      <c r="E32" s="35" t="str">
        <f t="shared" si="21"/>
        <v/>
      </c>
      <c r="F32" s="36" t="str">
        <f t="shared" si="22"/>
        <v/>
      </c>
      <c r="G32" s="36" t="str">
        <f t="shared" si="23"/>
        <v/>
      </c>
      <c r="H32" s="33" t="str">
        <f t="shared" si="1"/>
        <v/>
      </c>
      <c r="I32" s="36" t="str">
        <f t="shared" si="24"/>
        <v/>
      </c>
      <c r="J32" s="36" t="str">
        <f t="shared" si="25"/>
        <v/>
      </c>
      <c r="K32" s="33" t="str">
        <f t="shared" si="2"/>
        <v/>
      </c>
      <c r="L32" s="36" t="str">
        <f t="shared" si="3"/>
        <v/>
      </c>
      <c r="M32" s="36" t="str">
        <f t="shared" si="26"/>
        <v/>
      </c>
      <c r="N32" s="33" t="str">
        <f t="shared" si="27"/>
        <v/>
      </c>
      <c r="O32" s="36" t="str">
        <f t="shared" si="28"/>
        <v/>
      </c>
      <c r="P32" s="36" t="str">
        <f t="shared" si="29"/>
        <v/>
      </c>
      <c r="Q32" s="33" t="str">
        <f t="shared" si="30"/>
        <v/>
      </c>
      <c r="R32" s="1"/>
      <c r="S32" s="1"/>
      <c r="Y32" s="1" t="e">
        <f>VLOOKUP($B$6,LOOKUP_SCE,25,0)</f>
        <v>#N/A</v>
      </c>
      <c r="Z32" s="22" t="str">
        <f t="shared" si="4"/>
        <v/>
      </c>
      <c r="AA32" s="23">
        <f t="shared" si="31"/>
        <v>7</v>
      </c>
      <c r="AB32" s="55" t="e">
        <f t="shared" si="5"/>
        <v>#N/A</v>
      </c>
      <c r="AC32" s="38" t="e">
        <f t="shared" si="32"/>
        <v>#N/A</v>
      </c>
      <c r="AD32" s="38" t="e">
        <f t="shared" si="33"/>
        <v>#N/A</v>
      </c>
      <c r="AE32" s="415" t="e">
        <f t="shared" si="6"/>
        <v>#N/A</v>
      </c>
      <c r="AF32" s="10">
        <f t="shared" si="34"/>
        <v>7</v>
      </c>
      <c r="AG32" s="38" t="e">
        <f t="shared" si="7"/>
        <v>#N/A</v>
      </c>
      <c r="AH32" s="38" t="e">
        <f t="shared" si="35"/>
        <v>#N/A</v>
      </c>
      <c r="AI32" s="10" t="e">
        <f t="shared" si="8"/>
        <v>#N/A</v>
      </c>
      <c r="AJ32" s="39" t="e">
        <f t="shared" si="36"/>
        <v>#N/A</v>
      </c>
      <c r="AK32" s="40" t="e">
        <f t="shared" si="9"/>
        <v>#N/A</v>
      </c>
      <c r="AL32" s="11" t="e">
        <f t="shared" si="10"/>
        <v>#N/A</v>
      </c>
      <c r="AM32" s="41">
        <f t="shared" si="37"/>
        <v>7</v>
      </c>
      <c r="AN32" s="57" t="e">
        <f t="shared" si="11"/>
        <v>#N/A</v>
      </c>
      <c r="AO32" s="40" t="e">
        <f t="shared" si="38"/>
        <v>#N/A</v>
      </c>
      <c r="AP32" s="417" t="e">
        <f t="shared" si="12"/>
        <v>#N/A</v>
      </c>
      <c r="AQ32" s="56">
        <f t="shared" si="39"/>
        <v>7</v>
      </c>
      <c r="AR32" s="43" t="e">
        <f t="shared" si="40"/>
        <v>#N/A</v>
      </c>
      <c r="AS32" s="44" t="e">
        <f t="shared" si="41"/>
        <v>#N/A</v>
      </c>
      <c r="AT32" s="45" t="e">
        <f t="shared" si="13"/>
        <v>#N/A</v>
      </c>
      <c r="AU32" s="14">
        <f t="shared" si="42"/>
        <v>7</v>
      </c>
      <c r="AV32" s="44" t="e">
        <f t="shared" si="14"/>
        <v>#N/A</v>
      </c>
      <c r="AW32" s="14" t="e">
        <f t="shared" si="43"/>
        <v>#N/A</v>
      </c>
      <c r="AX32" s="14" t="e">
        <f t="shared" si="15"/>
        <v>#N/A</v>
      </c>
      <c r="AY32" s="46">
        <f t="shared" si="44"/>
        <v>7</v>
      </c>
      <c r="AZ32" s="47" t="e">
        <f t="shared" si="45"/>
        <v>#N/A</v>
      </c>
      <c r="BA32" s="48" t="e">
        <f t="shared" si="46"/>
        <v>#N/A</v>
      </c>
      <c r="BB32" s="31" t="e">
        <f t="shared" si="16"/>
        <v>#N/A</v>
      </c>
      <c r="BC32" s="28">
        <f t="shared" si="47"/>
        <v>7</v>
      </c>
      <c r="BD32" s="47" t="e">
        <f t="shared" si="48"/>
        <v>#N/A</v>
      </c>
      <c r="BE32" s="48" t="e">
        <f t="shared" si="49"/>
        <v>#N/A</v>
      </c>
      <c r="BF32" s="31" t="e">
        <f t="shared" si="17"/>
        <v>#N/A</v>
      </c>
      <c r="BG32" s="49" t="e">
        <f t="shared" si="18"/>
        <v>#N/A</v>
      </c>
      <c r="BH32" s="1" t="e">
        <f>VLOOKUP($B32,STOCK_BY_LA!$A$2:$C$10477,3,0)</f>
        <v>#N/A</v>
      </c>
      <c r="BI32" s="1" t="str">
        <f t="shared" si="50"/>
        <v/>
      </c>
    </row>
    <row r="33" spans="1:61" x14ac:dyDescent="0.35">
      <c r="A33" s="33" t="str">
        <f t="shared" si="19"/>
        <v/>
      </c>
      <c r="B33" s="1" t="str">
        <f t="shared" si="51"/>
        <v/>
      </c>
      <c r="C33" s="34" t="str">
        <f t="shared" si="20"/>
        <v/>
      </c>
      <c r="D33" s="33" t="str">
        <f>IF(B33="","",IF('totals_&amp;_RP_counts'!$O$3=0,IFERROR(IF(AA33=2,"0",AB33),""),"-"))</f>
        <v/>
      </c>
      <c r="E33" s="35" t="str">
        <f t="shared" si="21"/>
        <v/>
      </c>
      <c r="F33" s="36" t="str">
        <f t="shared" si="22"/>
        <v/>
      </c>
      <c r="G33" s="36" t="str">
        <f t="shared" si="23"/>
        <v/>
      </c>
      <c r="H33" s="33" t="str">
        <f t="shared" si="1"/>
        <v/>
      </c>
      <c r="I33" s="36" t="str">
        <f t="shared" si="24"/>
        <v/>
      </c>
      <c r="J33" s="36" t="str">
        <f t="shared" si="25"/>
        <v/>
      </c>
      <c r="K33" s="33" t="str">
        <f t="shared" si="2"/>
        <v/>
      </c>
      <c r="L33" s="36" t="str">
        <f t="shared" si="3"/>
        <v/>
      </c>
      <c r="M33" s="36" t="str">
        <f t="shared" si="26"/>
        <v/>
      </c>
      <c r="N33" s="33" t="str">
        <f t="shared" si="27"/>
        <v/>
      </c>
      <c r="O33" s="36" t="str">
        <f t="shared" si="28"/>
        <v/>
      </c>
      <c r="P33" s="36" t="str">
        <f t="shared" si="29"/>
        <v/>
      </c>
      <c r="Q33" s="33" t="str">
        <f t="shared" si="30"/>
        <v/>
      </c>
      <c r="R33" s="1"/>
      <c r="S33" s="1"/>
      <c r="Y33" s="1" t="e">
        <f>VLOOKUP($B$6,LOOKUP_SCE,26,0)</f>
        <v>#N/A</v>
      </c>
      <c r="Z33" s="22" t="str">
        <f t="shared" si="4"/>
        <v/>
      </c>
      <c r="AA33" s="23">
        <f t="shared" si="31"/>
        <v>7</v>
      </c>
      <c r="AB33" s="55" t="e">
        <f t="shared" si="5"/>
        <v>#N/A</v>
      </c>
      <c r="AC33" s="38" t="e">
        <f t="shared" si="32"/>
        <v>#N/A</v>
      </c>
      <c r="AD33" s="38" t="e">
        <f t="shared" si="33"/>
        <v>#N/A</v>
      </c>
      <c r="AE33" s="415" t="e">
        <f t="shared" si="6"/>
        <v>#N/A</v>
      </c>
      <c r="AF33" s="10">
        <f t="shared" si="34"/>
        <v>7</v>
      </c>
      <c r="AG33" s="38" t="e">
        <f t="shared" si="7"/>
        <v>#N/A</v>
      </c>
      <c r="AH33" s="38" t="e">
        <f t="shared" si="35"/>
        <v>#N/A</v>
      </c>
      <c r="AI33" s="10" t="e">
        <f t="shared" si="8"/>
        <v>#N/A</v>
      </c>
      <c r="AJ33" s="39" t="e">
        <f t="shared" si="36"/>
        <v>#N/A</v>
      </c>
      <c r="AK33" s="40" t="e">
        <f t="shared" si="9"/>
        <v>#N/A</v>
      </c>
      <c r="AL33" s="11" t="e">
        <f t="shared" si="10"/>
        <v>#N/A</v>
      </c>
      <c r="AM33" s="41">
        <f t="shared" si="37"/>
        <v>7</v>
      </c>
      <c r="AN33" s="57" t="e">
        <f t="shared" si="11"/>
        <v>#N/A</v>
      </c>
      <c r="AO33" s="40" t="e">
        <f t="shared" si="38"/>
        <v>#N/A</v>
      </c>
      <c r="AP33" s="417" t="e">
        <f t="shared" si="12"/>
        <v>#N/A</v>
      </c>
      <c r="AQ33" s="56">
        <f t="shared" si="39"/>
        <v>7</v>
      </c>
      <c r="AR33" s="43" t="e">
        <f t="shared" si="40"/>
        <v>#N/A</v>
      </c>
      <c r="AS33" s="44" t="e">
        <f t="shared" si="41"/>
        <v>#N/A</v>
      </c>
      <c r="AT33" s="45" t="e">
        <f t="shared" si="13"/>
        <v>#N/A</v>
      </c>
      <c r="AU33" s="14">
        <f t="shared" si="42"/>
        <v>7</v>
      </c>
      <c r="AV33" s="44" t="e">
        <f t="shared" si="14"/>
        <v>#N/A</v>
      </c>
      <c r="AW33" s="14" t="e">
        <f t="shared" si="43"/>
        <v>#N/A</v>
      </c>
      <c r="AX33" s="14" t="e">
        <f t="shared" si="15"/>
        <v>#N/A</v>
      </c>
      <c r="AY33" s="46">
        <f t="shared" si="44"/>
        <v>7</v>
      </c>
      <c r="AZ33" s="47" t="e">
        <f t="shared" si="45"/>
        <v>#N/A</v>
      </c>
      <c r="BA33" s="48" t="e">
        <f t="shared" si="46"/>
        <v>#N/A</v>
      </c>
      <c r="BB33" s="31" t="e">
        <f t="shared" si="16"/>
        <v>#N/A</v>
      </c>
      <c r="BC33" s="28">
        <f t="shared" si="47"/>
        <v>7</v>
      </c>
      <c r="BD33" s="47" t="e">
        <f t="shared" si="48"/>
        <v>#N/A</v>
      </c>
      <c r="BE33" s="48" t="e">
        <f t="shared" si="49"/>
        <v>#N/A</v>
      </c>
      <c r="BF33" s="31" t="e">
        <f t="shared" si="17"/>
        <v>#N/A</v>
      </c>
      <c r="BG33" s="49" t="e">
        <f t="shared" si="18"/>
        <v>#N/A</v>
      </c>
      <c r="BH33" s="1" t="e">
        <f>VLOOKUP($B33,STOCK_BY_LA!$A$2:$C$10477,3,0)</f>
        <v>#N/A</v>
      </c>
      <c r="BI33" s="1" t="str">
        <f t="shared" si="50"/>
        <v/>
      </c>
    </row>
    <row r="34" spans="1:61" x14ac:dyDescent="0.35">
      <c r="A34" s="1" t="str">
        <f t="shared" si="19"/>
        <v/>
      </c>
      <c r="B34" s="1" t="str">
        <f t="shared" si="51"/>
        <v/>
      </c>
      <c r="C34" s="50" t="str">
        <f t="shared" si="20"/>
        <v/>
      </c>
      <c r="D34" s="33" t="str">
        <f>IF(B34="","",IF('totals_&amp;_RP_counts'!$O$3=0,IFERROR(IF(AA34=2,"0",AB34),""),"-"))</f>
        <v/>
      </c>
      <c r="E34" s="35" t="str">
        <f t="shared" si="21"/>
        <v/>
      </c>
      <c r="F34" s="36" t="str">
        <f t="shared" si="22"/>
        <v/>
      </c>
      <c r="G34" s="36" t="str">
        <f t="shared" si="23"/>
        <v/>
      </c>
      <c r="H34" s="33" t="str">
        <f t="shared" si="1"/>
        <v/>
      </c>
      <c r="I34" s="36" t="str">
        <f t="shared" si="24"/>
        <v/>
      </c>
      <c r="J34" s="36" t="str">
        <f t="shared" si="25"/>
        <v/>
      </c>
      <c r="K34" s="33" t="str">
        <f t="shared" si="2"/>
        <v/>
      </c>
      <c r="L34" s="36" t="str">
        <f t="shared" si="3"/>
        <v/>
      </c>
      <c r="M34" s="36" t="str">
        <f t="shared" si="26"/>
        <v/>
      </c>
      <c r="N34" s="33" t="str">
        <f t="shared" si="27"/>
        <v/>
      </c>
      <c r="O34" s="36" t="str">
        <f t="shared" si="28"/>
        <v/>
      </c>
      <c r="P34" s="36" t="str">
        <f t="shared" si="29"/>
        <v/>
      </c>
      <c r="Q34" s="33" t="str">
        <f t="shared" si="30"/>
        <v/>
      </c>
      <c r="R34" s="1"/>
      <c r="S34" s="1"/>
      <c r="Y34" s="1" t="e">
        <f>VLOOKUP($B$6,LOOKUP_SCE,27,0)</f>
        <v>#N/A</v>
      </c>
      <c r="Z34" s="22" t="str">
        <f t="shared" si="4"/>
        <v/>
      </c>
      <c r="AA34" s="23">
        <f t="shared" si="31"/>
        <v>7</v>
      </c>
      <c r="AB34" s="55" t="e">
        <f t="shared" si="5"/>
        <v>#N/A</v>
      </c>
      <c r="AC34" s="38" t="e">
        <f t="shared" si="32"/>
        <v>#N/A</v>
      </c>
      <c r="AD34" s="38" t="e">
        <f t="shared" si="33"/>
        <v>#N/A</v>
      </c>
      <c r="AE34" s="415" t="e">
        <f t="shared" si="6"/>
        <v>#N/A</v>
      </c>
      <c r="AF34" s="10">
        <f t="shared" si="34"/>
        <v>7</v>
      </c>
      <c r="AG34" s="38" t="e">
        <f t="shared" si="7"/>
        <v>#N/A</v>
      </c>
      <c r="AH34" s="38" t="e">
        <f t="shared" si="35"/>
        <v>#N/A</v>
      </c>
      <c r="AI34" s="10" t="e">
        <f t="shared" si="8"/>
        <v>#N/A</v>
      </c>
      <c r="AJ34" s="39" t="e">
        <f t="shared" si="36"/>
        <v>#N/A</v>
      </c>
      <c r="AK34" s="40" t="e">
        <f t="shared" si="9"/>
        <v>#N/A</v>
      </c>
      <c r="AL34" s="11" t="e">
        <f t="shared" si="10"/>
        <v>#N/A</v>
      </c>
      <c r="AM34" s="41">
        <f t="shared" si="37"/>
        <v>7</v>
      </c>
      <c r="AN34" s="57" t="e">
        <f t="shared" si="11"/>
        <v>#N/A</v>
      </c>
      <c r="AO34" s="40" t="e">
        <f t="shared" si="38"/>
        <v>#N/A</v>
      </c>
      <c r="AP34" s="417" t="e">
        <f t="shared" si="12"/>
        <v>#N/A</v>
      </c>
      <c r="AQ34" s="56">
        <f t="shared" si="39"/>
        <v>7</v>
      </c>
      <c r="AR34" s="43" t="e">
        <f t="shared" si="40"/>
        <v>#N/A</v>
      </c>
      <c r="AS34" s="44" t="e">
        <f t="shared" si="41"/>
        <v>#N/A</v>
      </c>
      <c r="AT34" s="45" t="e">
        <f t="shared" si="13"/>
        <v>#N/A</v>
      </c>
      <c r="AU34" s="14">
        <f t="shared" si="42"/>
        <v>7</v>
      </c>
      <c r="AV34" s="44" t="e">
        <f t="shared" si="14"/>
        <v>#N/A</v>
      </c>
      <c r="AW34" s="14" t="e">
        <f t="shared" si="43"/>
        <v>#N/A</v>
      </c>
      <c r="AX34" s="14" t="e">
        <f t="shared" si="15"/>
        <v>#N/A</v>
      </c>
      <c r="AY34" s="46">
        <f t="shared" si="44"/>
        <v>7</v>
      </c>
      <c r="AZ34" s="47" t="e">
        <f t="shared" si="45"/>
        <v>#N/A</v>
      </c>
      <c r="BA34" s="48" t="e">
        <f t="shared" si="46"/>
        <v>#N/A</v>
      </c>
      <c r="BB34" s="31" t="e">
        <f t="shared" si="16"/>
        <v>#N/A</v>
      </c>
      <c r="BC34" s="28">
        <f t="shared" si="47"/>
        <v>7</v>
      </c>
      <c r="BD34" s="47" t="e">
        <f t="shared" si="48"/>
        <v>#N/A</v>
      </c>
      <c r="BE34" s="48" t="e">
        <f t="shared" si="49"/>
        <v>#N/A</v>
      </c>
      <c r="BF34" s="31" t="e">
        <f t="shared" si="17"/>
        <v>#N/A</v>
      </c>
      <c r="BG34" s="49" t="e">
        <f t="shared" si="18"/>
        <v>#N/A</v>
      </c>
      <c r="BH34" s="1" t="e">
        <f>VLOOKUP($B34,STOCK_BY_LA!$A$2:$C$10477,3,0)</f>
        <v>#N/A</v>
      </c>
      <c r="BI34" s="1" t="str">
        <f t="shared" si="50"/>
        <v/>
      </c>
    </row>
    <row r="35" spans="1:61" x14ac:dyDescent="0.35">
      <c r="A35" s="33" t="str">
        <f t="shared" si="19"/>
        <v/>
      </c>
      <c r="B35" s="1" t="str">
        <f t="shared" si="51"/>
        <v/>
      </c>
      <c r="C35" s="34" t="str">
        <f t="shared" si="20"/>
        <v/>
      </c>
      <c r="D35" s="33" t="str">
        <f>IF(B35="","",IF('totals_&amp;_RP_counts'!$O$3=0,IFERROR(IF(AA35=2,"0",AB35),""),"-"))</f>
        <v/>
      </c>
      <c r="E35" s="35" t="str">
        <f t="shared" si="21"/>
        <v/>
      </c>
      <c r="F35" s="36" t="str">
        <f t="shared" si="22"/>
        <v/>
      </c>
      <c r="G35" s="36" t="str">
        <f t="shared" si="23"/>
        <v/>
      </c>
      <c r="H35" s="33" t="str">
        <f t="shared" si="1"/>
        <v/>
      </c>
      <c r="I35" s="36" t="str">
        <f t="shared" si="24"/>
        <v/>
      </c>
      <c r="J35" s="36" t="str">
        <f t="shared" si="25"/>
        <v/>
      </c>
      <c r="K35" s="33" t="str">
        <f t="shared" si="2"/>
        <v/>
      </c>
      <c r="L35" s="36" t="str">
        <f t="shared" si="3"/>
        <v/>
      </c>
      <c r="M35" s="36" t="str">
        <f t="shared" si="26"/>
        <v/>
      </c>
      <c r="N35" s="33" t="str">
        <f t="shared" si="27"/>
        <v/>
      </c>
      <c r="O35" s="36" t="str">
        <f t="shared" si="28"/>
        <v/>
      </c>
      <c r="P35" s="36" t="str">
        <f t="shared" si="29"/>
        <v/>
      </c>
      <c r="Q35" s="33" t="str">
        <f t="shared" si="30"/>
        <v/>
      </c>
      <c r="R35" s="1"/>
      <c r="S35" s="1"/>
      <c r="Y35" s="1" t="e">
        <f>VLOOKUP($B$6,LOOKUP_SCE,28,0)</f>
        <v>#N/A</v>
      </c>
      <c r="Z35" s="22" t="str">
        <f t="shared" si="4"/>
        <v/>
      </c>
      <c r="AA35" s="23">
        <f t="shared" si="31"/>
        <v>7</v>
      </c>
      <c r="AB35" s="55" t="e">
        <f t="shared" si="5"/>
        <v>#N/A</v>
      </c>
      <c r="AC35" s="38" t="e">
        <f t="shared" si="32"/>
        <v>#N/A</v>
      </c>
      <c r="AD35" s="38" t="e">
        <f t="shared" si="33"/>
        <v>#N/A</v>
      </c>
      <c r="AE35" s="415" t="e">
        <f t="shared" si="6"/>
        <v>#N/A</v>
      </c>
      <c r="AF35" s="10">
        <f t="shared" si="34"/>
        <v>7</v>
      </c>
      <c r="AG35" s="38" t="e">
        <f t="shared" si="7"/>
        <v>#N/A</v>
      </c>
      <c r="AH35" s="38" t="e">
        <f t="shared" si="35"/>
        <v>#N/A</v>
      </c>
      <c r="AI35" s="10" t="e">
        <f t="shared" si="8"/>
        <v>#N/A</v>
      </c>
      <c r="AJ35" s="39" t="e">
        <f t="shared" si="36"/>
        <v>#N/A</v>
      </c>
      <c r="AK35" s="40" t="e">
        <f t="shared" si="9"/>
        <v>#N/A</v>
      </c>
      <c r="AL35" s="11" t="e">
        <f t="shared" si="10"/>
        <v>#N/A</v>
      </c>
      <c r="AM35" s="41">
        <f t="shared" si="37"/>
        <v>7</v>
      </c>
      <c r="AN35" s="57" t="e">
        <f t="shared" si="11"/>
        <v>#N/A</v>
      </c>
      <c r="AO35" s="40" t="e">
        <f t="shared" si="38"/>
        <v>#N/A</v>
      </c>
      <c r="AP35" s="417" t="e">
        <f t="shared" si="12"/>
        <v>#N/A</v>
      </c>
      <c r="AQ35" s="56">
        <f t="shared" si="39"/>
        <v>7</v>
      </c>
      <c r="AR35" s="43" t="e">
        <f t="shared" si="40"/>
        <v>#N/A</v>
      </c>
      <c r="AS35" s="44" t="e">
        <f t="shared" si="41"/>
        <v>#N/A</v>
      </c>
      <c r="AT35" s="45" t="e">
        <f t="shared" si="13"/>
        <v>#N/A</v>
      </c>
      <c r="AU35" s="14">
        <f t="shared" si="42"/>
        <v>7</v>
      </c>
      <c r="AV35" s="44" t="e">
        <f t="shared" si="14"/>
        <v>#N/A</v>
      </c>
      <c r="AW35" s="14" t="e">
        <f t="shared" si="43"/>
        <v>#N/A</v>
      </c>
      <c r="AX35" s="14" t="e">
        <f t="shared" si="15"/>
        <v>#N/A</v>
      </c>
      <c r="AY35" s="46">
        <f t="shared" si="44"/>
        <v>7</v>
      </c>
      <c r="AZ35" s="47" t="e">
        <f t="shared" si="45"/>
        <v>#N/A</v>
      </c>
      <c r="BA35" s="48" t="e">
        <f t="shared" si="46"/>
        <v>#N/A</v>
      </c>
      <c r="BB35" s="31" t="e">
        <f t="shared" si="16"/>
        <v>#N/A</v>
      </c>
      <c r="BC35" s="28">
        <f t="shared" si="47"/>
        <v>7</v>
      </c>
      <c r="BD35" s="47" t="e">
        <f t="shared" si="48"/>
        <v>#N/A</v>
      </c>
      <c r="BE35" s="48" t="e">
        <f t="shared" si="49"/>
        <v>#N/A</v>
      </c>
      <c r="BF35" s="31" t="e">
        <f t="shared" si="17"/>
        <v>#N/A</v>
      </c>
      <c r="BG35" s="49" t="e">
        <f t="shared" si="18"/>
        <v>#N/A</v>
      </c>
      <c r="BH35" s="1" t="e">
        <f>VLOOKUP($B35,STOCK_BY_LA!$A$2:$C$10477,3,0)</f>
        <v>#N/A</v>
      </c>
      <c r="BI35" s="1" t="str">
        <f t="shared" si="50"/>
        <v/>
      </c>
    </row>
    <row r="36" spans="1:61" x14ac:dyDescent="0.35">
      <c r="A36" s="1" t="str">
        <f t="shared" si="19"/>
        <v/>
      </c>
      <c r="B36" s="1" t="str">
        <f t="shared" si="51"/>
        <v/>
      </c>
      <c r="C36" s="50" t="str">
        <f t="shared" si="20"/>
        <v/>
      </c>
      <c r="D36" s="33" t="str">
        <f>IF(B36="","",IF('totals_&amp;_RP_counts'!$O$3=0,IFERROR(IF(AA36=2,"0",AB36),""),"-"))</f>
        <v/>
      </c>
      <c r="E36" s="35" t="str">
        <f t="shared" si="21"/>
        <v/>
      </c>
      <c r="F36" s="36" t="str">
        <f t="shared" si="22"/>
        <v/>
      </c>
      <c r="G36" s="36" t="str">
        <f t="shared" si="23"/>
        <v/>
      </c>
      <c r="H36" s="33" t="str">
        <f t="shared" si="1"/>
        <v/>
      </c>
      <c r="I36" s="36" t="str">
        <f t="shared" si="24"/>
        <v/>
      </c>
      <c r="J36" s="36" t="str">
        <f t="shared" si="25"/>
        <v/>
      </c>
      <c r="K36" s="33" t="str">
        <f t="shared" si="2"/>
        <v/>
      </c>
      <c r="L36" s="36" t="str">
        <f t="shared" si="3"/>
        <v/>
      </c>
      <c r="M36" s="36" t="str">
        <f t="shared" si="26"/>
        <v/>
      </c>
      <c r="N36" s="33" t="str">
        <f t="shared" si="27"/>
        <v/>
      </c>
      <c r="O36" s="36" t="str">
        <f t="shared" si="28"/>
        <v/>
      </c>
      <c r="P36" s="36" t="str">
        <f t="shared" si="29"/>
        <v/>
      </c>
      <c r="Q36" s="33" t="str">
        <f t="shared" si="30"/>
        <v/>
      </c>
      <c r="R36" s="1"/>
      <c r="S36" s="1"/>
      <c r="Y36" s="1" t="e">
        <f>VLOOKUP($B$6,LOOKUP_SCE,29,0)</f>
        <v>#N/A</v>
      </c>
      <c r="Z36" s="22" t="str">
        <f t="shared" si="4"/>
        <v/>
      </c>
      <c r="AA36" s="23">
        <f t="shared" si="31"/>
        <v>7</v>
      </c>
      <c r="AB36" s="55" t="e">
        <f t="shared" si="5"/>
        <v>#N/A</v>
      </c>
      <c r="AC36" s="38" t="e">
        <f t="shared" si="32"/>
        <v>#N/A</v>
      </c>
      <c r="AD36" s="38" t="e">
        <f t="shared" si="33"/>
        <v>#N/A</v>
      </c>
      <c r="AE36" s="415" t="e">
        <f t="shared" si="6"/>
        <v>#N/A</v>
      </c>
      <c r="AF36" s="10">
        <f t="shared" si="34"/>
        <v>7</v>
      </c>
      <c r="AG36" s="38" t="e">
        <f t="shared" si="7"/>
        <v>#N/A</v>
      </c>
      <c r="AH36" s="38" t="e">
        <f t="shared" si="35"/>
        <v>#N/A</v>
      </c>
      <c r="AI36" s="10" t="e">
        <f t="shared" si="8"/>
        <v>#N/A</v>
      </c>
      <c r="AJ36" s="39" t="e">
        <f t="shared" si="36"/>
        <v>#N/A</v>
      </c>
      <c r="AK36" s="40" t="e">
        <f t="shared" si="9"/>
        <v>#N/A</v>
      </c>
      <c r="AL36" s="11" t="e">
        <f t="shared" si="10"/>
        <v>#N/A</v>
      </c>
      <c r="AM36" s="41">
        <f t="shared" si="37"/>
        <v>7</v>
      </c>
      <c r="AN36" s="57" t="e">
        <f t="shared" si="11"/>
        <v>#N/A</v>
      </c>
      <c r="AO36" s="40" t="e">
        <f t="shared" si="38"/>
        <v>#N/A</v>
      </c>
      <c r="AP36" s="417" t="e">
        <f t="shared" si="12"/>
        <v>#N/A</v>
      </c>
      <c r="AQ36" s="56">
        <f t="shared" si="39"/>
        <v>7</v>
      </c>
      <c r="AR36" s="43" t="e">
        <f t="shared" si="40"/>
        <v>#N/A</v>
      </c>
      <c r="AS36" s="44" t="e">
        <f t="shared" si="41"/>
        <v>#N/A</v>
      </c>
      <c r="AT36" s="45" t="e">
        <f t="shared" si="13"/>
        <v>#N/A</v>
      </c>
      <c r="AU36" s="14">
        <f t="shared" si="42"/>
        <v>7</v>
      </c>
      <c r="AV36" s="44" t="e">
        <f t="shared" si="14"/>
        <v>#N/A</v>
      </c>
      <c r="AW36" s="14" t="e">
        <f t="shared" si="43"/>
        <v>#N/A</v>
      </c>
      <c r="AX36" s="14" t="e">
        <f t="shared" si="15"/>
        <v>#N/A</v>
      </c>
      <c r="AY36" s="46">
        <f t="shared" si="44"/>
        <v>7</v>
      </c>
      <c r="AZ36" s="47" t="e">
        <f t="shared" si="45"/>
        <v>#N/A</v>
      </c>
      <c r="BA36" s="48" t="e">
        <f t="shared" si="46"/>
        <v>#N/A</v>
      </c>
      <c r="BB36" s="31" t="e">
        <f t="shared" si="16"/>
        <v>#N/A</v>
      </c>
      <c r="BC36" s="28">
        <f t="shared" si="47"/>
        <v>7</v>
      </c>
      <c r="BD36" s="47" t="e">
        <f t="shared" si="48"/>
        <v>#N/A</v>
      </c>
      <c r="BE36" s="48" t="e">
        <f t="shared" si="49"/>
        <v>#N/A</v>
      </c>
      <c r="BF36" s="31" t="e">
        <f t="shared" si="17"/>
        <v>#N/A</v>
      </c>
      <c r="BG36" s="49" t="e">
        <f t="shared" si="18"/>
        <v>#N/A</v>
      </c>
      <c r="BH36" s="1" t="e">
        <f>VLOOKUP($B36,STOCK_BY_LA!$A$2:$C$10477,3,0)</f>
        <v>#N/A</v>
      </c>
      <c r="BI36" s="1" t="str">
        <f t="shared" si="50"/>
        <v/>
      </c>
    </row>
    <row r="37" spans="1:61" x14ac:dyDescent="0.35">
      <c r="A37" s="33" t="str">
        <f t="shared" si="19"/>
        <v/>
      </c>
      <c r="B37" s="1" t="str">
        <f t="shared" si="51"/>
        <v/>
      </c>
      <c r="C37" s="34" t="str">
        <f t="shared" si="20"/>
        <v/>
      </c>
      <c r="D37" s="33" t="str">
        <f>IF(B37="","",IF('totals_&amp;_RP_counts'!$O$3=0,IFERROR(IF(AA37=2,"0",AB37),""),"-"))</f>
        <v/>
      </c>
      <c r="E37" s="35" t="str">
        <f t="shared" si="21"/>
        <v/>
      </c>
      <c r="F37" s="36" t="str">
        <f t="shared" si="22"/>
        <v/>
      </c>
      <c r="G37" s="36" t="str">
        <f t="shared" si="23"/>
        <v/>
      </c>
      <c r="H37" s="33" t="str">
        <f t="shared" si="1"/>
        <v/>
      </c>
      <c r="I37" s="36" t="str">
        <f t="shared" si="24"/>
        <v/>
      </c>
      <c r="J37" s="36" t="str">
        <f t="shared" si="25"/>
        <v/>
      </c>
      <c r="K37" s="33" t="str">
        <f t="shared" si="2"/>
        <v/>
      </c>
      <c r="L37" s="36" t="str">
        <f t="shared" si="3"/>
        <v/>
      </c>
      <c r="M37" s="36" t="str">
        <f t="shared" si="26"/>
        <v/>
      </c>
      <c r="N37" s="33" t="str">
        <f t="shared" si="27"/>
        <v/>
      </c>
      <c r="O37" s="36" t="str">
        <f t="shared" si="28"/>
        <v/>
      </c>
      <c r="P37" s="36" t="str">
        <f t="shared" si="29"/>
        <v/>
      </c>
      <c r="Q37" s="33" t="str">
        <f t="shared" si="30"/>
        <v/>
      </c>
      <c r="R37" s="1"/>
      <c r="S37" s="1"/>
      <c r="Y37" s="1" t="e">
        <f>VLOOKUP($B$6,LOOKUP_SCE,30,0)</f>
        <v>#N/A</v>
      </c>
      <c r="Z37" s="22" t="str">
        <f t="shared" si="4"/>
        <v/>
      </c>
      <c r="AA37" s="23">
        <f t="shared" si="31"/>
        <v>7</v>
      </c>
      <c r="AB37" s="55" t="e">
        <f t="shared" si="5"/>
        <v>#N/A</v>
      </c>
      <c r="AC37" s="38" t="e">
        <f t="shared" si="32"/>
        <v>#N/A</v>
      </c>
      <c r="AD37" s="38" t="e">
        <f t="shared" si="33"/>
        <v>#N/A</v>
      </c>
      <c r="AE37" s="415" t="e">
        <f t="shared" si="6"/>
        <v>#N/A</v>
      </c>
      <c r="AF37" s="10">
        <f t="shared" si="34"/>
        <v>7</v>
      </c>
      <c r="AG37" s="38" t="e">
        <f t="shared" si="7"/>
        <v>#N/A</v>
      </c>
      <c r="AH37" s="38" t="e">
        <f t="shared" si="35"/>
        <v>#N/A</v>
      </c>
      <c r="AI37" s="10" t="e">
        <f t="shared" si="8"/>
        <v>#N/A</v>
      </c>
      <c r="AJ37" s="39" t="e">
        <f t="shared" si="36"/>
        <v>#N/A</v>
      </c>
      <c r="AK37" s="40" t="e">
        <f t="shared" si="9"/>
        <v>#N/A</v>
      </c>
      <c r="AL37" s="11" t="e">
        <f t="shared" si="10"/>
        <v>#N/A</v>
      </c>
      <c r="AM37" s="41">
        <f t="shared" si="37"/>
        <v>7</v>
      </c>
      <c r="AN37" s="57" t="e">
        <f t="shared" si="11"/>
        <v>#N/A</v>
      </c>
      <c r="AO37" s="40" t="e">
        <f t="shared" si="38"/>
        <v>#N/A</v>
      </c>
      <c r="AP37" s="417" t="e">
        <f t="shared" si="12"/>
        <v>#N/A</v>
      </c>
      <c r="AQ37" s="56">
        <f t="shared" si="39"/>
        <v>7</v>
      </c>
      <c r="AR37" s="43" t="e">
        <f t="shared" si="40"/>
        <v>#N/A</v>
      </c>
      <c r="AS37" s="44" t="e">
        <f t="shared" si="41"/>
        <v>#N/A</v>
      </c>
      <c r="AT37" s="45" t="e">
        <f t="shared" si="13"/>
        <v>#N/A</v>
      </c>
      <c r="AU37" s="14">
        <f t="shared" si="42"/>
        <v>7</v>
      </c>
      <c r="AV37" s="44" t="e">
        <f t="shared" si="14"/>
        <v>#N/A</v>
      </c>
      <c r="AW37" s="14" t="e">
        <f t="shared" si="43"/>
        <v>#N/A</v>
      </c>
      <c r="AX37" s="14" t="e">
        <f t="shared" si="15"/>
        <v>#N/A</v>
      </c>
      <c r="AY37" s="46">
        <f t="shared" si="44"/>
        <v>7</v>
      </c>
      <c r="AZ37" s="47" t="e">
        <f t="shared" si="45"/>
        <v>#N/A</v>
      </c>
      <c r="BA37" s="48" t="e">
        <f t="shared" si="46"/>
        <v>#N/A</v>
      </c>
      <c r="BB37" s="31" t="e">
        <f t="shared" si="16"/>
        <v>#N/A</v>
      </c>
      <c r="BC37" s="28">
        <f t="shared" si="47"/>
        <v>7</v>
      </c>
      <c r="BD37" s="47" t="e">
        <f t="shared" si="48"/>
        <v>#N/A</v>
      </c>
      <c r="BE37" s="48" t="e">
        <f t="shared" si="49"/>
        <v>#N/A</v>
      </c>
      <c r="BF37" s="31" t="e">
        <f t="shared" si="17"/>
        <v>#N/A</v>
      </c>
      <c r="BG37" s="49" t="e">
        <f t="shared" si="18"/>
        <v>#N/A</v>
      </c>
      <c r="BH37" s="1" t="e">
        <f>VLOOKUP($B37,STOCK_BY_LA!$A$2:$C$10477,3,0)</f>
        <v>#N/A</v>
      </c>
      <c r="BI37" s="1" t="str">
        <f t="shared" si="50"/>
        <v/>
      </c>
    </row>
    <row r="38" spans="1:61" x14ac:dyDescent="0.35">
      <c r="A38" s="1" t="str">
        <f t="shared" si="19"/>
        <v/>
      </c>
      <c r="B38" s="1" t="str">
        <f t="shared" si="51"/>
        <v/>
      </c>
      <c r="C38" s="50" t="str">
        <f t="shared" si="20"/>
        <v/>
      </c>
      <c r="D38" s="33" t="str">
        <f>IF(B38="","",IF('totals_&amp;_RP_counts'!$O$3=0,IFERROR(IF(AA38=2,"0",AB38),""),"-"))</f>
        <v/>
      </c>
      <c r="E38" s="35" t="str">
        <f t="shared" si="21"/>
        <v/>
      </c>
      <c r="F38" s="36" t="str">
        <f t="shared" si="22"/>
        <v/>
      </c>
      <c r="G38" s="36" t="str">
        <f t="shared" si="23"/>
        <v/>
      </c>
      <c r="H38" s="33" t="str">
        <f t="shared" si="1"/>
        <v/>
      </c>
      <c r="I38" s="36" t="str">
        <f t="shared" si="24"/>
        <v/>
      </c>
      <c r="J38" s="36" t="str">
        <f t="shared" si="25"/>
        <v/>
      </c>
      <c r="K38" s="33" t="str">
        <f t="shared" si="2"/>
        <v/>
      </c>
      <c r="L38" s="36" t="str">
        <f t="shared" si="3"/>
        <v/>
      </c>
      <c r="M38" s="36" t="str">
        <f t="shared" si="26"/>
        <v/>
      </c>
      <c r="N38" s="33" t="str">
        <f t="shared" si="27"/>
        <v/>
      </c>
      <c r="O38" s="36" t="str">
        <f t="shared" si="28"/>
        <v/>
      </c>
      <c r="P38" s="36" t="str">
        <f t="shared" si="29"/>
        <v/>
      </c>
      <c r="Q38" s="33" t="str">
        <f t="shared" si="30"/>
        <v/>
      </c>
      <c r="R38" s="1"/>
      <c r="S38" s="1"/>
      <c r="Y38" s="1" t="e">
        <f>VLOOKUP($B$6,LOOKUP_SCE,31,0)</f>
        <v>#N/A</v>
      </c>
      <c r="Z38" s="22" t="str">
        <f t="shared" si="4"/>
        <v/>
      </c>
      <c r="AA38" s="23">
        <f t="shared" si="31"/>
        <v>7</v>
      </c>
      <c r="AB38" s="55" t="e">
        <f t="shared" si="5"/>
        <v>#N/A</v>
      </c>
      <c r="AC38" s="38" t="e">
        <f t="shared" si="32"/>
        <v>#N/A</v>
      </c>
      <c r="AD38" s="38" t="e">
        <f t="shared" si="33"/>
        <v>#N/A</v>
      </c>
      <c r="AE38" s="415" t="e">
        <f t="shared" si="6"/>
        <v>#N/A</v>
      </c>
      <c r="AF38" s="10">
        <f t="shared" si="34"/>
        <v>7</v>
      </c>
      <c r="AG38" s="38" t="e">
        <f t="shared" si="7"/>
        <v>#N/A</v>
      </c>
      <c r="AH38" s="38" t="e">
        <f t="shared" si="35"/>
        <v>#N/A</v>
      </c>
      <c r="AI38" s="10" t="e">
        <f t="shared" si="8"/>
        <v>#N/A</v>
      </c>
      <c r="AJ38" s="39" t="e">
        <f t="shared" si="36"/>
        <v>#N/A</v>
      </c>
      <c r="AK38" s="40" t="e">
        <f t="shared" si="9"/>
        <v>#N/A</v>
      </c>
      <c r="AL38" s="11" t="e">
        <f t="shared" si="10"/>
        <v>#N/A</v>
      </c>
      <c r="AM38" s="41">
        <f t="shared" si="37"/>
        <v>7</v>
      </c>
      <c r="AN38" s="57" t="e">
        <f t="shared" si="11"/>
        <v>#N/A</v>
      </c>
      <c r="AO38" s="40" t="e">
        <f t="shared" si="38"/>
        <v>#N/A</v>
      </c>
      <c r="AP38" s="417" t="e">
        <f t="shared" si="12"/>
        <v>#N/A</v>
      </c>
      <c r="AQ38" s="56">
        <f t="shared" si="39"/>
        <v>7</v>
      </c>
      <c r="AR38" s="43" t="e">
        <f t="shared" si="40"/>
        <v>#N/A</v>
      </c>
      <c r="AS38" s="44" t="e">
        <f t="shared" si="41"/>
        <v>#N/A</v>
      </c>
      <c r="AT38" s="45" t="e">
        <f t="shared" si="13"/>
        <v>#N/A</v>
      </c>
      <c r="AU38" s="14">
        <f t="shared" si="42"/>
        <v>7</v>
      </c>
      <c r="AV38" s="44" t="e">
        <f t="shared" si="14"/>
        <v>#N/A</v>
      </c>
      <c r="AW38" s="14" t="e">
        <f t="shared" si="43"/>
        <v>#N/A</v>
      </c>
      <c r="AX38" s="14" t="e">
        <f t="shared" si="15"/>
        <v>#N/A</v>
      </c>
      <c r="AY38" s="46">
        <f t="shared" si="44"/>
        <v>7</v>
      </c>
      <c r="AZ38" s="47" t="e">
        <f t="shared" si="45"/>
        <v>#N/A</v>
      </c>
      <c r="BA38" s="48" t="e">
        <f t="shared" si="46"/>
        <v>#N/A</v>
      </c>
      <c r="BB38" s="31" t="e">
        <f t="shared" si="16"/>
        <v>#N/A</v>
      </c>
      <c r="BC38" s="28">
        <f t="shared" si="47"/>
        <v>7</v>
      </c>
      <c r="BD38" s="47" t="e">
        <f t="shared" si="48"/>
        <v>#N/A</v>
      </c>
      <c r="BE38" s="48" t="e">
        <f t="shared" si="49"/>
        <v>#N/A</v>
      </c>
      <c r="BF38" s="31" t="e">
        <f t="shared" si="17"/>
        <v>#N/A</v>
      </c>
      <c r="BG38" s="49" t="e">
        <f t="shared" si="18"/>
        <v>#N/A</v>
      </c>
      <c r="BH38" s="1" t="e">
        <f>VLOOKUP($B38,STOCK_BY_LA!$A$2:$C$10477,3,0)</f>
        <v>#N/A</v>
      </c>
      <c r="BI38" s="1" t="str">
        <f t="shared" si="50"/>
        <v/>
      </c>
    </row>
    <row r="39" spans="1:61" x14ac:dyDescent="0.35">
      <c r="A39" s="33" t="str">
        <f t="shared" si="19"/>
        <v/>
      </c>
      <c r="B39" s="1" t="str">
        <f t="shared" si="51"/>
        <v/>
      </c>
      <c r="C39" s="34" t="str">
        <f t="shared" si="20"/>
        <v/>
      </c>
      <c r="D39" s="33" t="str">
        <f>IF(B39="","",IF('totals_&amp;_RP_counts'!$O$3=0,IFERROR(IF(AA39=2,"0",AB39),""),"-"))</f>
        <v/>
      </c>
      <c r="E39" s="35" t="str">
        <f t="shared" si="21"/>
        <v/>
      </c>
      <c r="F39" s="36" t="str">
        <f t="shared" si="22"/>
        <v/>
      </c>
      <c r="G39" s="36" t="str">
        <f t="shared" si="23"/>
        <v/>
      </c>
      <c r="H39" s="33" t="str">
        <f t="shared" si="1"/>
        <v/>
      </c>
      <c r="I39" s="36" t="str">
        <f t="shared" si="24"/>
        <v/>
      </c>
      <c r="J39" s="36" t="str">
        <f t="shared" si="25"/>
        <v/>
      </c>
      <c r="K39" s="33" t="str">
        <f t="shared" si="2"/>
        <v/>
      </c>
      <c r="L39" s="36" t="str">
        <f t="shared" si="3"/>
        <v/>
      </c>
      <c r="M39" s="36" t="str">
        <f t="shared" si="26"/>
        <v/>
      </c>
      <c r="N39" s="33" t="str">
        <f t="shared" si="27"/>
        <v/>
      </c>
      <c r="O39" s="36" t="str">
        <f t="shared" si="28"/>
        <v/>
      </c>
      <c r="P39" s="36" t="str">
        <f t="shared" si="29"/>
        <v/>
      </c>
      <c r="Q39" s="33" t="str">
        <f t="shared" si="30"/>
        <v/>
      </c>
      <c r="R39" s="1"/>
      <c r="S39" s="1"/>
      <c r="Y39" s="1" t="e">
        <f>VLOOKUP($B$6,LOOKUP_SCE,32,0)</f>
        <v>#N/A</v>
      </c>
      <c r="Z39" s="22" t="str">
        <f t="shared" si="4"/>
        <v/>
      </c>
      <c r="AA39" s="23">
        <f t="shared" si="31"/>
        <v>7</v>
      </c>
      <c r="AB39" s="55" t="e">
        <f t="shared" si="5"/>
        <v>#N/A</v>
      </c>
      <c r="AC39" s="38" t="e">
        <f t="shared" si="32"/>
        <v>#N/A</v>
      </c>
      <c r="AD39" s="38" t="e">
        <f t="shared" si="33"/>
        <v>#N/A</v>
      </c>
      <c r="AE39" s="415" t="e">
        <f t="shared" si="6"/>
        <v>#N/A</v>
      </c>
      <c r="AF39" s="10">
        <f t="shared" si="34"/>
        <v>7</v>
      </c>
      <c r="AG39" s="38" t="e">
        <f t="shared" si="7"/>
        <v>#N/A</v>
      </c>
      <c r="AH39" s="38" t="e">
        <f t="shared" si="35"/>
        <v>#N/A</v>
      </c>
      <c r="AI39" s="10" t="e">
        <f t="shared" si="8"/>
        <v>#N/A</v>
      </c>
      <c r="AJ39" s="39" t="e">
        <f t="shared" si="36"/>
        <v>#N/A</v>
      </c>
      <c r="AK39" s="40" t="e">
        <f t="shared" si="9"/>
        <v>#N/A</v>
      </c>
      <c r="AL39" s="11" t="e">
        <f t="shared" si="10"/>
        <v>#N/A</v>
      </c>
      <c r="AM39" s="41">
        <f t="shared" si="37"/>
        <v>7</v>
      </c>
      <c r="AN39" s="57" t="e">
        <f t="shared" si="11"/>
        <v>#N/A</v>
      </c>
      <c r="AO39" s="40" t="e">
        <f t="shared" si="38"/>
        <v>#N/A</v>
      </c>
      <c r="AP39" s="417" t="e">
        <f t="shared" si="12"/>
        <v>#N/A</v>
      </c>
      <c r="AQ39" s="56">
        <f t="shared" si="39"/>
        <v>7</v>
      </c>
      <c r="AR39" s="43" t="e">
        <f t="shared" si="40"/>
        <v>#N/A</v>
      </c>
      <c r="AS39" s="44" t="e">
        <f t="shared" si="41"/>
        <v>#N/A</v>
      </c>
      <c r="AT39" s="45" t="e">
        <f t="shared" si="13"/>
        <v>#N/A</v>
      </c>
      <c r="AU39" s="14">
        <f t="shared" si="42"/>
        <v>7</v>
      </c>
      <c r="AV39" s="44" t="e">
        <f t="shared" si="14"/>
        <v>#N/A</v>
      </c>
      <c r="AW39" s="14" t="e">
        <f t="shared" si="43"/>
        <v>#N/A</v>
      </c>
      <c r="AX39" s="14" t="e">
        <f t="shared" si="15"/>
        <v>#N/A</v>
      </c>
      <c r="AY39" s="46">
        <f t="shared" si="44"/>
        <v>7</v>
      </c>
      <c r="AZ39" s="47" t="e">
        <f t="shared" si="45"/>
        <v>#N/A</v>
      </c>
      <c r="BA39" s="48" t="e">
        <f t="shared" si="46"/>
        <v>#N/A</v>
      </c>
      <c r="BB39" s="31" t="e">
        <f t="shared" si="16"/>
        <v>#N/A</v>
      </c>
      <c r="BC39" s="28">
        <f t="shared" si="47"/>
        <v>7</v>
      </c>
      <c r="BD39" s="47" t="e">
        <f t="shared" si="48"/>
        <v>#N/A</v>
      </c>
      <c r="BE39" s="48" t="e">
        <f t="shared" si="49"/>
        <v>#N/A</v>
      </c>
      <c r="BF39" s="31" t="e">
        <f t="shared" si="17"/>
        <v>#N/A</v>
      </c>
      <c r="BG39" s="49" t="e">
        <f t="shared" si="18"/>
        <v>#N/A</v>
      </c>
      <c r="BH39" s="1" t="e">
        <f>VLOOKUP($B39,STOCK_BY_LA!$A$2:$C$10477,3,0)</f>
        <v>#N/A</v>
      </c>
      <c r="BI39" s="1" t="str">
        <f t="shared" si="50"/>
        <v/>
      </c>
    </row>
    <row r="40" spans="1:61" x14ac:dyDescent="0.35">
      <c r="A40" s="1" t="str">
        <f t="shared" si="19"/>
        <v/>
      </c>
      <c r="B40" s="1" t="str">
        <f t="shared" si="51"/>
        <v/>
      </c>
      <c r="C40" s="50" t="str">
        <f t="shared" si="20"/>
        <v/>
      </c>
      <c r="D40" s="33" t="str">
        <f>IF(B40="","",IF('totals_&amp;_RP_counts'!$O$3=0,IFERROR(IF(AA40=2,"0",AB40),""),"-"))</f>
        <v/>
      </c>
      <c r="E40" s="35" t="str">
        <f t="shared" si="21"/>
        <v/>
      </c>
      <c r="F40" s="36" t="str">
        <f t="shared" si="22"/>
        <v/>
      </c>
      <c r="G40" s="36" t="str">
        <f t="shared" si="23"/>
        <v/>
      </c>
      <c r="H40" s="33" t="str">
        <f t="shared" si="1"/>
        <v/>
      </c>
      <c r="I40" s="36" t="str">
        <f t="shared" si="24"/>
        <v/>
      </c>
      <c r="J40" s="36" t="str">
        <f t="shared" si="25"/>
        <v/>
      </c>
      <c r="K40" s="33" t="str">
        <f t="shared" si="2"/>
        <v/>
      </c>
      <c r="L40" s="36" t="str">
        <f t="shared" si="3"/>
        <v/>
      </c>
      <c r="M40" s="36" t="str">
        <f t="shared" si="26"/>
        <v/>
      </c>
      <c r="N40" s="33" t="str">
        <f t="shared" si="27"/>
        <v/>
      </c>
      <c r="O40" s="36" t="str">
        <f t="shared" si="28"/>
        <v/>
      </c>
      <c r="P40" s="36" t="str">
        <f t="shared" si="29"/>
        <v/>
      </c>
      <c r="Q40" s="33" t="str">
        <f t="shared" si="30"/>
        <v/>
      </c>
      <c r="R40" s="1"/>
      <c r="S40" s="1"/>
      <c r="Y40" s="1" t="e">
        <f>VLOOKUP($B$6,LOOKUP_SCE,33,0)</f>
        <v>#N/A</v>
      </c>
      <c r="Z40" s="22" t="str">
        <f t="shared" si="4"/>
        <v/>
      </c>
      <c r="AA40" s="23">
        <f t="shared" si="31"/>
        <v>7</v>
      </c>
      <c r="AB40" s="55" t="e">
        <f t="shared" si="5"/>
        <v>#N/A</v>
      </c>
      <c r="AC40" s="38" t="e">
        <f t="shared" si="32"/>
        <v>#N/A</v>
      </c>
      <c r="AD40" s="38" t="e">
        <f t="shared" si="33"/>
        <v>#N/A</v>
      </c>
      <c r="AE40" s="415" t="e">
        <f t="shared" si="6"/>
        <v>#N/A</v>
      </c>
      <c r="AF40" s="10">
        <f t="shared" si="34"/>
        <v>7</v>
      </c>
      <c r="AG40" s="38" t="e">
        <f t="shared" si="7"/>
        <v>#N/A</v>
      </c>
      <c r="AH40" s="38" t="e">
        <f t="shared" si="35"/>
        <v>#N/A</v>
      </c>
      <c r="AI40" s="10" t="e">
        <f t="shared" si="8"/>
        <v>#N/A</v>
      </c>
      <c r="AJ40" s="39" t="e">
        <f t="shared" si="36"/>
        <v>#N/A</v>
      </c>
      <c r="AK40" s="40" t="e">
        <f t="shared" si="9"/>
        <v>#N/A</v>
      </c>
      <c r="AL40" s="11" t="e">
        <f t="shared" si="10"/>
        <v>#N/A</v>
      </c>
      <c r="AM40" s="41">
        <f t="shared" si="37"/>
        <v>7</v>
      </c>
      <c r="AN40" s="57" t="e">
        <f t="shared" si="11"/>
        <v>#N/A</v>
      </c>
      <c r="AO40" s="40" t="e">
        <f t="shared" si="38"/>
        <v>#N/A</v>
      </c>
      <c r="AP40" s="417" t="e">
        <f t="shared" si="12"/>
        <v>#N/A</v>
      </c>
      <c r="AQ40" s="56">
        <f t="shared" si="39"/>
        <v>7</v>
      </c>
      <c r="AR40" s="43" t="e">
        <f t="shared" si="40"/>
        <v>#N/A</v>
      </c>
      <c r="AS40" s="44" t="e">
        <f t="shared" si="41"/>
        <v>#N/A</v>
      </c>
      <c r="AT40" s="45" t="e">
        <f t="shared" si="13"/>
        <v>#N/A</v>
      </c>
      <c r="AU40" s="14">
        <f t="shared" si="42"/>
        <v>7</v>
      </c>
      <c r="AV40" s="44" t="e">
        <f t="shared" si="14"/>
        <v>#N/A</v>
      </c>
      <c r="AW40" s="14" t="e">
        <f t="shared" si="43"/>
        <v>#N/A</v>
      </c>
      <c r="AX40" s="14" t="e">
        <f t="shared" si="15"/>
        <v>#N/A</v>
      </c>
      <c r="AY40" s="46">
        <f t="shared" si="44"/>
        <v>7</v>
      </c>
      <c r="AZ40" s="47" t="e">
        <f t="shared" si="45"/>
        <v>#N/A</v>
      </c>
      <c r="BA40" s="48" t="e">
        <f t="shared" si="46"/>
        <v>#N/A</v>
      </c>
      <c r="BB40" s="31" t="e">
        <f t="shared" si="16"/>
        <v>#N/A</v>
      </c>
      <c r="BC40" s="28">
        <f t="shared" si="47"/>
        <v>7</v>
      </c>
      <c r="BD40" s="47" t="e">
        <f t="shared" si="48"/>
        <v>#N/A</v>
      </c>
      <c r="BE40" s="48" t="e">
        <f t="shared" si="49"/>
        <v>#N/A</v>
      </c>
      <c r="BF40" s="31" t="e">
        <f t="shared" si="17"/>
        <v>#N/A</v>
      </c>
      <c r="BG40" s="49" t="e">
        <f t="shared" si="18"/>
        <v>#N/A</v>
      </c>
      <c r="BH40" s="1" t="e">
        <f>VLOOKUP($B40,STOCK_BY_LA!$A$2:$C$10477,3,0)</f>
        <v>#N/A</v>
      </c>
      <c r="BI40" s="1" t="str">
        <f t="shared" si="50"/>
        <v/>
      </c>
    </row>
    <row r="41" spans="1:61" x14ac:dyDescent="0.35">
      <c r="A41" s="33" t="str">
        <f t="shared" si="19"/>
        <v/>
      </c>
      <c r="B41" s="1" t="str">
        <f t="shared" si="51"/>
        <v/>
      </c>
      <c r="C41" s="34" t="str">
        <f t="shared" si="20"/>
        <v/>
      </c>
      <c r="D41" s="33" t="str">
        <f>IF(B41="","",IF('totals_&amp;_RP_counts'!$O$3=0,IFERROR(IF(AA41=2,"0",AB41),""),"-"))</f>
        <v/>
      </c>
      <c r="E41" s="35" t="str">
        <f t="shared" si="21"/>
        <v/>
      </c>
      <c r="F41" s="36" t="str">
        <f t="shared" si="22"/>
        <v/>
      </c>
      <c r="G41" s="36" t="str">
        <f t="shared" si="23"/>
        <v/>
      </c>
      <c r="H41" s="33" t="str">
        <f t="shared" si="1"/>
        <v/>
      </c>
      <c r="I41" s="36" t="str">
        <f t="shared" si="24"/>
        <v/>
      </c>
      <c r="J41" s="36" t="str">
        <f t="shared" si="25"/>
        <v/>
      </c>
      <c r="K41" s="33" t="str">
        <f t="shared" si="2"/>
        <v/>
      </c>
      <c r="L41" s="36" t="str">
        <f t="shared" si="3"/>
        <v/>
      </c>
      <c r="M41" s="36" t="str">
        <f t="shared" si="26"/>
        <v/>
      </c>
      <c r="N41" s="33" t="str">
        <f t="shared" si="27"/>
        <v/>
      </c>
      <c r="O41" s="36" t="str">
        <f t="shared" si="28"/>
        <v/>
      </c>
      <c r="P41" s="36" t="str">
        <f t="shared" si="29"/>
        <v/>
      </c>
      <c r="Q41" s="33" t="str">
        <f t="shared" si="30"/>
        <v/>
      </c>
      <c r="R41" s="1"/>
      <c r="S41" s="1"/>
      <c r="Y41" s="1" t="e">
        <f>VLOOKUP($B$6,LOOKUP_SCE,34,0)</f>
        <v>#N/A</v>
      </c>
      <c r="Z41" s="22" t="str">
        <f t="shared" ref="Z41:Z72" si="52">IF(ISNUMBER(SEARCH("*",B41)),1,"")</f>
        <v/>
      </c>
      <c r="AA41" s="23">
        <f t="shared" si="31"/>
        <v>7</v>
      </c>
      <c r="AB41" s="55" t="e">
        <f t="shared" ref="AB41:AB72" si="53">IF(C41="LARP","-",SUM(VLOOKUP($B41,RP_LA_Count,2,0)-1))</f>
        <v>#N/A</v>
      </c>
      <c r="AC41" s="38" t="e">
        <f t="shared" si="32"/>
        <v>#N/A</v>
      </c>
      <c r="AD41" s="38" t="e">
        <f t="shared" si="33"/>
        <v>#N/A</v>
      </c>
      <c r="AE41" s="415" t="e">
        <f t="shared" ref="AE41:AE72" si="54">VLOOKUP(BI41,Stock_By_LA,2,0)</f>
        <v>#N/A</v>
      </c>
      <c r="AF41" s="10">
        <f t="shared" si="34"/>
        <v>7</v>
      </c>
      <c r="AG41" s="38" t="e">
        <f t="shared" si="7"/>
        <v>#N/A</v>
      </c>
      <c r="AH41" s="38" t="e">
        <f t="shared" si="35"/>
        <v>#N/A</v>
      </c>
      <c r="AI41" s="10" t="e">
        <f t="shared" ref="AI41:AI72" si="55">VLOOKUP(B41,RP_Totals,2,0)</f>
        <v>#N/A</v>
      </c>
      <c r="AJ41" s="39" t="e">
        <f t="shared" si="36"/>
        <v>#N/A</v>
      </c>
      <c r="AK41" s="40" t="e">
        <f t="shared" si="9"/>
        <v>#N/A</v>
      </c>
      <c r="AL41" s="11" t="e">
        <f t="shared" ref="AL41:AL72" si="56">VLOOKUP($BI41,Stock_By_LA,3,0)</f>
        <v>#N/A</v>
      </c>
      <c r="AM41" s="41">
        <f t="shared" si="37"/>
        <v>7</v>
      </c>
      <c r="AN41" s="57" t="e">
        <f t="shared" si="11"/>
        <v>#N/A</v>
      </c>
      <c r="AO41" s="40" t="e">
        <f t="shared" si="38"/>
        <v>#N/A</v>
      </c>
      <c r="AP41" s="417" t="e">
        <f t="shared" ref="AP41:AP72" si="57">VLOOKUP(B41,RP_Totals,3,0)</f>
        <v>#N/A</v>
      </c>
      <c r="AQ41" s="56">
        <f t="shared" si="39"/>
        <v>7</v>
      </c>
      <c r="AR41" s="43" t="e">
        <f t="shared" si="40"/>
        <v>#N/A</v>
      </c>
      <c r="AS41" s="44" t="e">
        <f t="shared" si="41"/>
        <v>#N/A</v>
      </c>
      <c r="AT41" s="45" t="e">
        <f t="shared" ref="AT41:AT72" si="58">VLOOKUP($BI41,Stock_By_LA,4,0)</f>
        <v>#N/A</v>
      </c>
      <c r="AU41" s="14">
        <f t="shared" si="42"/>
        <v>7</v>
      </c>
      <c r="AV41" s="44" t="e">
        <f t="shared" si="14"/>
        <v>#N/A</v>
      </c>
      <c r="AW41" s="14" t="e">
        <f t="shared" si="43"/>
        <v>#N/A</v>
      </c>
      <c r="AX41" s="14" t="e">
        <f t="shared" ref="AX41:AX72" si="59">VLOOKUP(B41,RP_Totals,4,0)</f>
        <v>#N/A</v>
      </c>
      <c r="AY41" s="46">
        <f t="shared" si="44"/>
        <v>7</v>
      </c>
      <c r="AZ41" s="47" t="e">
        <f t="shared" si="45"/>
        <v>#N/A</v>
      </c>
      <c r="BA41" s="48" t="e">
        <f t="shared" si="46"/>
        <v>#N/A</v>
      </c>
      <c r="BB41" s="31" t="e">
        <f t="shared" ref="BB41:BB72" si="60">VLOOKUP($BI41,Stock_By_LA,5,0)</f>
        <v>#N/A</v>
      </c>
      <c r="BC41" s="28">
        <f t="shared" si="47"/>
        <v>7</v>
      </c>
      <c r="BD41" s="47" t="e">
        <f t="shared" si="48"/>
        <v>#N/A</v>
      </c>
      <c r="BE41" s="48" t="e">
        <f t="shared" si="49"/>
        <v>#N/A</v>
      </c>
      <c r="BF41" s="31" t="e">
        <f t="shared" ref="BF41:BF72" si="61">VLOOKUP(B41,RP_Totals,5,0)</f>
        <v>#N/A</v>
      </c>
      <c r="BG41" s="49" t="e">
        <f t="shared" ref="BG41:BG72" si="62">VLOOKUP(BI41,Stock_By_LA,6,0)</f>
        <v>#N/A</v>
      </c>
      <c r="BH41" s="1" t="e">
        <f>VLOOKUP($B41,STOCK_BY_LA!$A$2:$C$10477,3,0)</f>
        <v>#N/A</v>
      </c>
      <c r="BI41" s="1" t="str">
        <f t="shared" si="50"/>
        <v/>
      </c>
    </row>
    <row r="42" spans="1:61" x14ac:dyDescent="0.35">
      <c r="A42" s="1" t="str">
        <f t="shared" ref="A42:A73" si="63">IF(Z42=1,A41+1,"")</f>
        <v/>
      </c>
      <c r="B42" s="1" t="str">
        <f t="shared" si="51"/>
        <v/>
      </c>
      <c r="C42" s="50" t="str">
        <f t="shared" si="20"/>
        <v/>
      </c>
      <c r="D42" s="33" t="str">
        <f>IF(B42="","",IF('totals_&amp;_RP_counts'!$O$3=0,IFERROR(IF(AA42=2,"0",AB42),""),"-"))</f>
        <v/>
      </c>
      <c r="E42" s="35" t="str">
        <f t="shared" si="21"/>
        <v/>
      </c>
      <c r="F42" s="36" t="str">
        <f t="shared" si="22"/>
        <v/>
      </c>
      <c r="G42" s="36" t="str">
        <f t="shared" si="23"/>
        <v/>
      </c>
      <c r="H42" s="33" t="str">
        <f t="shared" si="1"/>
        <v/>
      </c>
      <c r="I42" s="36" t="str">
        <f t="shared" si="24"/>
        <v/>
      </c>
      <c r="J42" s="36" t="str">
        <f t="shared" si="25"/>
        <v/>
      </c>
      <c r="K42" s="33" t="str">
        <f t="shared" si="2"/>
        <v/>
      </c>
      <c r="L42" s="36" t="str">
        <f t="shared" si="3"/>
        <v/>
      </c>
      <c r="M42" s="36" t="str">
        <f t="shared" si="26"/>
        <v/>
      </c>
      <c r="N42" s="33" t="str">
        <f t="shared" si="27"/>
        <v/>
      </c>
      <c r="O42" s="36" t="str">
        <f t="shared" si="28"/>
        <v/>
      </c>
      <c r="P42" s="36" t="str">
        <f t="shared" si="29"/>
        <v/>
      </c>
      <c r="Q42" s="33" t="str">
        <f t="shared" si="30"/>
        <v/>
      </c>
      <c r="R42" s="1"/>
      <c r="S42" s="1"/>
      <c r="Y42" s="1" t="e">
        <f>VLOOKUP($B$6,LOOKUP_SCE,35,0)</f>
        <v>#N/A</v>
      </c>
      <c r="Z42" s="22" t="str">
        <f t="shared" si="52"/>
        <v/>
      </c>
      <c r="AA42" s="23">
        <f t="shared" si="31"/>
        <v>7</v>
      </c>
      <c r="AB42" s="55" t="e">
        <f t="shared" si="53"/>
        <v>#N/A</v>
      </c>
      <c r="AC42" s="38" t="e">
        <f t="shared" si="32"/>
        <v>#N/A</v>
      </c>
      <c r="AD42" s="38" t="e">
        <f t="shared" si="33"/>
        <v>#N/A</v>
      </c>
      <c r="AE42" s="415" t="e">
        <f t="shared" si="54"/>
        <v>#N/A</v>
      </c>
      <c r="AF42" s="10">
        <f t="shared" si="34"/>
        <v>7</v>
      </c>
      <c r="AG42" s="38" t="e">
        <f t="shared" si="7"/>
        <v>#N/A</v>
      </c>
      <c r="AH42" s="38" t="e">
        <f t="shared" si="35"/>
        <v>#N/A</v>
      </c>
      <c r="AI42" s="10" t="e">
        <f t="shared" si="55"/>
        <v>#N/A</v>
      </c>
      <c r="AJ42" s="39" t="e">
        <f t="shared" si="36"/>
        <v>#N/A</v>
      </c>
      <c r="AK42" s="40" t="e">
        <f t="shared" si="9"/>
        <v>#N/A</v>
      </c>
      <c r="AL42" s="11" t="e">
        <f t="shared" si="56"/>
        <v>#N/A</v>
      </c>
      <c r="AM42" s="41">
        <f t="shared" si="37"/>
        <v>7</v>
      </c>
      <c r="AN42" s="57" t="e">
        <f t="shared" si="11"/>
        <v>#N/A</v>
      </c>
      <c r="AO42" s="40" t="e">
        <f t="shared" si="38"/>
        <v>#N/A</v>
      </c>
      <c r="AP42" s="417" t="e">
        <f t="shared" si="57"/>
        <v>#N/A</v>
      </c>
      <c r="AQ42" s="56">
        <f t="shared" si="39"/>
        <v>7</v>
      </c>
      <c r="AR42" s="43" t="e">
        <f t="shared" si="40"/>
        <v>#N/A</v>
      </c>
      <c r="AS42" s="44" t="e">
        <f t="shared" si="41"/>
        <v>#N/A</v>
      </c>
      <c r="AT42" s="45" t="e">
        <f t="shared" si="58"/>
        <v>#N/A</v>
      </c>
      <c r="AU42" s="14">
        <f t="shared" si="42"/>
        <v>7</v>
      </c>
      <c r="AV42" s="44" t="e">
        <f t="shared" si="14"/>
        <v>#N/A</v>
      </c>
      <c r="AW42" s="14" t="e">
        <f t="shared" si="43"/>
        <v>#N/A</v>
      </c>
      <c r="AX42" s="14" t="e">
        <f t="shared" si="59"/>
        <v>#N/A</v>
      </c>
      <c r="AY42" s="46">
        <f t="shared" si="44"/>
        <v>7</v>
      </c>
      <c r="AZ42" s="47" t="e">
        <f t="shared" si="45"/>
        <v>#N/A</v>
      </c>
      <c r="BA42" s="48" t="e">
        <f t="shared" si="46"/>
        <v>#N/A</v>
      </c>
      <c r="BB42" s="31" t="e">
        <f t="shared" si="60"/>
        <v>#N/A</v>
      </c>
      <c r="BC42" s="28">
        <f t="shared" si="47"/>
        <v>7</v>
      </c>
      <c r="BD42" s="47" t="e">
        <f t="shared" si="48"/>
        <v>#N/A</v>
      </c>
      <c r="BE42" s="48" t="e">
        <f t="shared" si="49"/>
        <v>#N/A</v>
      </c>
      <c r="BF42" s="31" t="e">
        <f t="shared" si="61"/>
        <v>#N/A</v>
      </c>
      <c r="BG42" s="49" t="e">
        <f t="shared" si="62"/>
        <v>#N/A</v>
      </c>
      <c r="BH42" s="1" t="e">
        <f>VLOOKUP($B42,STOCK_BY_LA!$A$2:$C$10477,3,0)</f>
        <v>#N/A</v>
      </c>
      <c r="BI42" s="1" t="str">
        <f t="shared" si="50"/>
        <v/>
      </c>
    </row>
    <row r="43" spans="1:61" x14ac:dyDescent="0.35">
      <c r="A43" s="33" t="str">
        <f t="shared" si="63"/>
        <v/>
      </c>
      <c r="B43" s="1" t="str">
        <f t="shared" si="51"/>
        <v/>
      </c>
      <c r="C43" s="34" t="str">
        <f t="shared" si="20"/>
        <v/>
      </c>
      <c r="D43" s="33" t="str">
        <f>IF(B43="","",IF('totals_&amp;_RP_counts'!$O$3=0,IFERROR(IF(AA43=2,"0",AB43),""),"-"))</f>
        <v/>
      </c>
      <c r="E43" s="35" t="str">
        <f t="shared" si="21"/>
        <v/>
      </c>
      <c r="F43" s="36" t="str">
        <f t="shared" si="22"/>
        <v/>
      </c>
      <c r="G43" s="36" t="str">
        <f t="shared" si="23"/>
        <v/>
      </c>
      <c r="H43" s="33" t="str">
        <f t="shared" si="1"/>
        <v/>
      </c>
      <c r="I43" s="36" t="str">
        <f t="shared" si="24"/>
        <v/>
      </c>
      <c r="J43" s="36" t="str">
        <f t="shared" si="25"/>
        <v/>
      </c>
      <c r="K43" s="33" t="str">
        <f t="shared" si="2"/>
        <v/>
      </c>
      <c r="L43" s="36" t="str">
        <f t="shared" si="3"/>
        <v/>
      </c>
      <c r="M43" s="36" t="str">
        <f t="shared" si="26"/>
        <v/>
      </c>
      <c r="N43" s="33" t="str">
        <f t="shared" si="27"/>
        <v/>
      </c>
      <c r="O43" s="36" t="str">
        <f t="shared" si="28"/>
        <v/>
      </c>
      <c r="P43" s="36" t="str">
        <f t="shared" si="29"/>
        <v/>
      </c>
      <c r="Q43" s="33" t="str">
        <f t="shared" si="30"/>
        <v/>
      </c>
      <c r="R43" s="1"/>
      <c r="S43" s="1"/>
      <c r="Y43" s="1" t="e">
        <f>VLOOKUP($B$6,LOOKUP_SCE,36,0)</f>
        <v>#N/A</v>
      </c>
      <c r="Z43" s="22" t="str">
        <f t="shared" si="52"/>
        <v/>
      </c>
      <c r="AA43" s="23">
        <f t="shared" si="31"/>
        <v>7</v>
      </c>
      <c r="AB43" s="55" t="e">
        <f t="shared" si="53"/>
        <v>#N/A</v>
      </c>
      <c r="AC43" s="38" t="e">
        <f t="shared" si="32"/>
        <v>#N/A</v>
      </c>
      <c r="AD43" s="38" t="e">
        <f t="shared" si="33"/>
        <v>#N/A</v>
      </c>
      <c r="AE43" s="415" t="e">
        <f t="shared" si="54"/>
        <v>#N/A</v>
      </c>
      <c r="AF43" s="10">
        <f t="shared" si="34"/>
        <v>7</v>
      </c>
      <c r="AG43" s="38" t="e">
        <f t="shared" si="7"/>
        <v>#N/A</v>
      </c>
      <c r="AH43" s="38" t="e">
        <f t="shared" si="35"/>
        <v>#N/A</v>
      </c>
      <c r="AI43" s="10" t="e">
        <f t="shared" si="55"/>
        <v>#N/A</v>
      </c>
      <c r="AJ43" s="39" t="e">
        <f t="shared" si="36"/>
        <v>#N/A</v>
      </c>
      <c r="AK43" s="40" t="e">
        <f t="shared" si="9"/>
        <v>#N/A</v>
      </c>
      <c r="AL43" s="11" t="e">
        <f t="shared" si="56"/>
        <v>#N/A</v>
      </c>
      <c r="AM43" s="41">
        <f t="shared" si="37"/>
        <v>7</v>
      </c>
      <c r="AN43" s="57" t="e">
        <f t="shared" si="11"/>
        <v>#N/A</v>
      </c>
      <c r="AO43" s="40" t="e">
        <f t="shared" si="38"/>
        <v>#N/A</v>
      </c>
      <c r="AP43" s="417" t="e">
        <f t="shared" si="57"/>
        <v>#N/A</v>
      </c>
      <c r="AQ43" s="56">
        <f t="shared" si="39"/>
        <v>7</v>
      </c>
      <c r="AR43" s="43" t="e">
        <f t="shared" si="40"/>
        <v>#N/A</v>
      </c>
      <c r="AS43" s="44" t="e">
        <f t="shared" si="41"/>
        <v>#N/A</v>
      </c>
      <c r="AT43" s="45" t="e">
        <f t="shared" si="58"/>
        <v>#N/A</v>
      </c>
      <c r="AU43" s="14">
        <f t="shared" si="42"/>
        <v>7</v>
      </c>
      <c r="AV43" s="44" t="e">
        <f t="shared" si="14"/>
        <v>#N/A</v>
      </c>
      <c r="AW43" s="14" t="e">
        <f t="shared" si="43"/>
        <v>#N/A</v>
      </c>
      <c r="AX43" s="14" t="e">
        <f t="shared" si="59"/>
        <v>#N/A</v>
      </c>
      <c r="AY43" s="46">
        <f t="shared" si="44"/>
        <v>7</v>
      </c>
      <c r="AZ43" s="47" t="e">
        <f t="shared" si="45"/>
        <v>#N/A</v>
      </c>
      <c r="BA43" s="48" t="e">
        <f t="shared" si="46"/>
        <v>#N/A</v>
      </c>
      <c r="BB43" s="31" t="e">
        <f t="shared" si="60"/>
        <v>#N/A</v>
      </c>
      <c r="BC43" s="28">
        <f t="shared" si="47"/>
        <v>7</v>
      </c>
      <c r="BD43" s="47" t="e">
        <f t="shared" si="48"/>
        <v>#N/A</v>
      </c>
      <c r="BE43" s="48" t="e">
        <f t="shared" si="49"/>
        <v>#N/A</v>
      </c>
      <c r="BF43" s="31" t="e">
        <f t="shared" si="61"/>
        <v>#N/A</v>
      </c>
      <c r="BG43" s="49" t="e">
        <f t="shared" si="62"/>
        <v>#N/A</v>
      </c>
      <c r="BH43" s="1" t="e">
        <f>VLOOKUP($B43,STOCK_BY_LA!$A$2:$C$10477,3,0)</f>
        <v>#N/A</v>
      </c>
      <c r="BI43" s="1" t="str">
        <f t="shared" si="50"/>
        <v/>
      </c>
    </row>
    <row r="44" spans="1:61" x14ac:dyDescent="0.35">
      <c r="A44" s="1" t="str">
        <f t="shared" si="63"/>
        <v/>
      </c>
      <c r="B44" s="1" t="str">
        <f t="shared" si="51"/>
        <v/>
      </c>
      <c r="C44" s="50" t="str">
        <f t="shared" si="20"/>
        <v/>
      </c>
      <c r="D44" s="33" t="str">
        <f>IF(B44="","",IF('totals_&amp;_RP_counts'!$O$3=0,IFERROR(IF(AA44=2,"0",AB44),""),"-"))</f>
        <v/>
      </c>
      <c r="E44" s="35" t="str">
        <f t="shared" si="21"/>
        <v/>
      </c>
      <c r="F44" s="36" t="str">
        <f t="shared" si="22"/>
        <v/>
      </c>
      <c r="G44" s="36" t="str">
        <f t="shared" si="23"/>
        <v/>
      </c>
      <c r="H44" s="33" t="str">
        <f t="shared" si="1"/>
        <v/>
      </c>
      <c r="I44" s="36" t="str">
        <f t="shared" si="24"/>
        <v/>
      </c>
      <c r="J44" s="36" t="str">
        <f t="shared" si="25"/>
        <v/>
      </c>
      <c r="K44" s="33" t="str">
        <f t="shared" si="2"/>
        <v/>
      </c>
      <c r="L44" s="36" t="str">
        <f t="shared" si="3"/>
        <v/>
      </c>
      <c r="M44" s="36" t="str">
        <f t="shared" si="26"/>
        <v/>
      </c>
      <c r="N44" s="33" t="str">
        <f t="shared" si="27"/>
        <v/>
      </c>
      <c r="O44" s="36" t="str">
        <f t="shared" si="28"/>
        <v/>
      </c>
      <c r="P44" s="36" t="str">
        <f t="shared" si="29"/>
        <v/>
      </c>
      <c r="Q44" s="33" t="str">
        <f t="shared" si="30"/>
        <v/>
      </c>
      <c r="R44" s="1"/>
      <c r="S44" s="1"/>
      <c r="Y44" s="1" t="e">
        <f>VLOOKUP($B$6,LOOKUP_SCE,37,0)</f>
        <v>#N/A</v>
      </c>
      <c r="Z44" s="22" t="str">
        <f t="shared" si="52"/>
        <v/>
      </c>
      <c r="AA44" s="23">
        <f t="shared" si="31"/>
        <v>7</v>
      </c>
      <c r="AB44" s="55" t="e">
        <f t="shared" si="53"/>
        <v>#N/A</v>
      </c>
      <c r="AC44" s="38" t="e">
        <f t="shared" si="32"/>
        <v>#N/A</v>
      </c>
      <c r="AD44" s="38" t="e">
        <f t="shared" si="33"/>
        <v>#N/A</v>
      </c>
      <c r="AE44" s="415" t="e">
        <f t="shared" si="54"/>
        <v>#N/A</v>
      </c>
      <c r="AF44" s="10">
        <f t="shared" si="34"/>
        <v>7</v>
      </c>
      <c r="AG44" s="38" t="e">
        <f t="shared" si="7"/>
        <v>#N/A</v>
      </c>
      <c r="AH44" s="38" t="e">
        <f t="shared" si="35"/>
        <v>#N/A</v>
      </c>
      <c r="AI44" s="10" t="e">
        <f t="shared" si="55"/>
        <v>#N/A</v>
      </c>
      <c r="AJ44" s="39" t="e">
        <f t="shared" si="36"/>
        <v>#N/A</v>
      </c>
      <c r="AK44" s="40" t="e">
        <f t="shared" si="9"/>
        <v>#N/A</v>
      </c>
      <c r="AL44" s="11" t="e">
        <f t="shared" si="56"/>
        <v>#N/A</v>
      </c>
      <c r="AM44" s="41">
        <f t="shared" si="37"/>
        <v>7</v>
      </c>
      <c r="AN44" s="57" t="e">
        <f t="shared" si="11"/>
        <v>#N/A</v>
      </c>
      <c r="AO44" s="40" t="e">
        <f t="shared" si="38"/>
        <v>#N/A</v>
      </c>
      <c r="AP44" s="417" t="e">
        <f t="shared" si="57"/>
        <v>#N/A</v>
      </c>
      <c r="AQ44" s="56">
        <f t="shared" si="39"/>
        <v>7</v>
      </c>
      <c r="AR44" s="43" t="e">
        <f t="shared" si="40"/>
        <v>#N/A</v>
      </c>
      <c r="AS44" s="44" t="e">
        <f t="shared" si="41"/>
        <v>#N/A</v>
      </c>
      <c r="AT44" s="45" t="e">
        <f t="shared" si="58"/>
        <v>#N/A</v>
      </c>
      <c r="AU44" s="14">
        <f t="shared" si="42"/>
        <v>7</v>
      </c>
      <c r="AV44" s="44" t="e">
        <f t="shared" si="14"/>
        <v>#N/A</v>
      </c>
      <c r="AW44" s="14" t="e">
        <f t="shared" si="43"/>
        <v>#N/A</v>
      </c>
      <c r="AX44" s="14" t="e">
        <f t="shared" si="59"/>
        <v>#N/A</v>
      </c>
      <c r="AY44" s="46">
        <f t="shared" si="44"/>
        <v>7</v>
      </c>
      <c r="AZ44" s="47" t="e">
        <f t="shared" si="45"/>
        <v>#N/A</v>
      </c>
      <c r="BA44" s="48" t="e">
        <f t="shared" si="46"/>
        <v>#N/A</v>
      </c>
      <c r="BB44" s="31" t="e">
        <f t="shared" si="60"/>
        <v>#N/A</v>
      </c>
      <c r="BC44" s="28">
        <f t="shared" si="47"/>
        <v>7</v>
      </c>
      <c r="BD44" s="47" t="e">
        <f t="shared" si="48"/>
        <v>#N/A</v>
      </c>
      <c r="BE44" s="48" t="e">
        <f t="shared" si="49"/>
        <v>#N/A</v>
      </c>
      <c r="BF44" s="31" t="e">
        <f t="shared" si="61"/>
        <v>#N/A</v>
      </c>
      <c r="BG44" s="49" t="e">
        <f t="shared" si="62"/>
        <v>#N/A</v>
      </c>
      <c r="BH44" s="1" t="e">
        <f>VLOOKUP($B44,STOCK_BY_LA!$A$2:$C$10477,3,0)</f>
        <v>#N/A</v>
      </c>
      <c r="BI44" s="1" t="str">
        <f t="shared" si="50"/>
        <v/>
      </c>
    </row>
    <row r="45" spans="1:61" x14ac:dyDescent="0.35">
      <c r="A45" s="33" t="str">
        <f t="shared" si="63"/>
        <v/>
      </c>
      <c r="B45" s="1" t="str">
        <f t="shared" si="51"/>
        <v/>
      </c>
      <c r="C45" s="34" t="str">
        <f t="shared" si="20"/>
        <v/>
      </c>
      <c r="D45" s="33" t="str">
        <f>IF(B45="","",IF('totals_&amp;_RP_counts'!$O$3=0,IFERROR(IF(AA45=2,"0",AB45),""),"-"))</f>
        <v/>
      </c>
      <c r="E45" s="35" t="str">
        <f t="shared" si="21"/>
        <v/>
      </c>
      <c r="F45" s="36" t="str">
        <f t="shared" si="22"/>
        <v/>
      </c>
      <c r="G45" s="36" t="str">
        <f t="shared" si="23"/>
        <v/>
      </c>
      <c r="H45" s="33" t="str">
        <f t="shared" si="1"/>
        <v/>
      </c>
      <c r="I45" s="36" t="str">
        <f t="shared" si="24"/>
        <v/>
      </c>
      <c r="J45" s="36" t="str">
        <f t="shared" si="25"/>
        <v/>
      </c>
      <c r="K45" s="33" t="str">
        <f t="shared" si="2"/>
        <v/>
      </c>
      <c r="L45" s="36" t="str">
        <f t="shared" si="3"/>
        <v/>
      </c>
      <c r="M45" s="36" t="str">
        <f t="shared" si="26"/>
        <v/>
      </c>
      <c r="N45" s="33" t="str">
        <f t="shared" si="27"/>
        <v/>
      </c>
      <c r="O45" s="36" t="str">
        <f t="shared" si="28"/>
        <v/>
      </c>
      <c r="P45" s="36" t="str">
        <f t="shared" si="29"/>
        <v/>
      </c>
      <c r="Q45" s="33" t="str">
        <f t="shared" si="30"/>
        <v/>
      </c>
      <c r="R45" s="1"/>
      <c r="S45" s="1"/>
      <c r="Y45" s="1" t="e">
        <f>VLOOKUP($B$6,LOOKUP_SCE,38,0)</f>
        <v>#N/A</v>
      </c>
      <c r="Z45" s="22" t="str">
        <f t="shared" si="52"/>
        <v/>
      </c>
      <c r="AA45" s="23">
        <f t="shared" si="31"/>
        <v>7</v>
      </c>
      <c r="AB45" s="55" t="e">
        <f t="shared" si="53"/>
        <v>#N/A</v>
      </c>
      <c r="AC45" s="38" t="e">
        <f t="shared" si="32"/>
        <v>#N/A</v>
      </c>
      <c r="AD45" s="38" t="e">
        <f t="shared" si="33"/>
        <v>#N/A</v>
      </c>
      <c r="AE45" s="415" t="e">
        <f t="shared" si="54"/>
        <v>#N/A</v>
      </c>
      <c r="AF45" s="10">
        <f t="shared" si="34"/>
        <v>7</v>
      </c>
      <c r="AG45" s="38" t="e">
        <f t="shared" si="7"/>
        <v>#N/A</v>
      </c>
      <c r="AH45" s="38" t="e">
        <f t="shared" si="35"/>
        <v>#N/A</v>
      </c>
      <c r="AI45" s="10" t="e">
        <f t="shared" si="55"/>
        <v>#N/A</v>
      </c>
      <c r="AJ45" s="39" t="e">
        <f t="shared" si="36"/>
        <v>#N/A</v>
      </c>
      <c r="AK45" s="40" t="e">
        <f t="shared" si="9"/>
        <v>#N/A</v>
      </c>
      <c r="AL45" s="11" t="e">
        <f t="shared" si="56"/>
        <v>#N/A</v>
      </c>
      <c r="AM45" s="41">
        <f t="shared" si="37"/>
        <v>7</v>
      </c>
      <c r="AN45" s="57" t="e">
        <f t="shared" si="11"/>
        <v>#N/A</v>
      </c>
      <c r="AO45" s="40" t="e">
        <f t="shared" si="38"/>
        <v>#N/A</v>
      </c>
      <c r="AP45" s="417" t="e">
        <f t="shared" si="57"/>
        <v>#N/A</v>
      </c>
      <c r="AQ45" s="56">
        <f t="shared" si="39"/>
        <v>7</v>
      </c>
      <c r="AR45" s="43" t="e">
        <f t="shared" si="40"/>
        <v>#N/A</v>
      </c>
      <c r="AS45" s="44" t="e">
        <f t="shared" si="41"/>
        <v>#N/A</v>
      </c>
      <c r="AT45" s="45" t="e">
        <f t="shared" si="58"/>
        <v>#N/A</v>
      </c>
      <c r="AU45" s="14">
        <f t="shared" si="42"/>
        <v>7</v>
      </c>
      <c r="AV45" s="44" t="e">
        <f t="shared" si="14"/>
        <v>#N/A</v>
      </c>
      <c r="AW45" s="14" t="e">
        <f t="shared" si="43"/>
        <v>#N/A</v>
      </c>
      <c r="AX45" s="14" t="e">
        <f t="shared" si="59"/>
        <v>#N/A</v>
      </c>
      <c r="AY45" s="46">
        <f t="shared" si="44"/>
        <v>7</v>
      </c>
      <c r="AZ45" s="47" t="e">
        <f t="shared" si="45"/>
        <v>#N/A</v>
      </c>
      <c r="BA45" s="48" t="e">
        <f t="shared" si="46"/>
        <v>#N/A</v>
      </c>
      <c r="BB45" s="31" t="e">
        <f t="shared" si="60"/>
        <v>#N/A</v>
      </c>
      <c r="BC45" s="28">
        <f t="shared" si="47"/>
        <v>7</v>
      </c>
      <c r="BD45" s="47" t="e">
        <f t="shared" si="48"/>
        <v>#N/A</v>
      </c>
      <c r="BE45" s="48" t="e">
        <f t="shared" si="49"/>
        <v>#N/A</v>
      </c>
      <c r="BF45" s="31" t="e">
        <f t="shared" si="61"/>
        <v>#N/A</v>
      </c>
      <c r="BG45" s="49" t="e">
        <f t="shared" si="62"/>
        <v>#N/A</v>
      </c>
      <c r="BH45" s="1" t="e">
        <f>VLOOKUP($B45,STOCK_BY_LA!$A$2:$C$10477,3,0)</f>
        <v>#N/A</v>
      </c>
      <c r="BI45" s="1" t="str">
        <f t="shared" si="50"/>
        <v/>
      </c>
    </row>
    <row r="46" spans="1:61" x14ac:dyDescent="0.35">
      <c r="A46" s="1" t="str">
        <f t="shared" si="63"/>
        <v/>
      </c>
      <c r="B46" s="1" t="str">
        <f t="shared" si="51"/>
        <v/>
      </c>
      <c r="C46" s="50" t="str">
        <f t="shared" si="20"/>
        <v/>
      </c>
      <c r="D46" s="33" t="str">
        <f>IF(B46="","",IF('totals_&amp;_RP_counts'!$O$3=0,IFERROR(IF(AA46=2,"0",AB46),""),"-"))</f>
        <v/>
      </c>
      <c r="E46" s="35" t="str">
        <f t="shared" si="21"/>
        <v/>
      </c>
      <c r="F46" s="36" t="str">
        <f t="shared" si="22"/>
        <v/>
      </c>
      <c r="G46" s="36" t="str">
        <f t="shared" si="23"/>
        <v/>
      </c>
      <c r="H46" s="33" t="str">
        <f t="shared" si="1"/>
        <v/>
      </c>
      <c r="I46" s="36" t="str">
        <f t="shared" si="24"/>
        <v/>
      </c>
      <c r="J46" s="36" t="str">
        <f t="shared" si="25"/>
        <v/>
      </c>
      <c r="K46" s="33" t="str">
        <f t="shared" si="2"/>
        <v/>
      </c>
      <c r="L46" s="36" t="str">
        <f t="shared" si="3"/>
        <v/>
      </c>
      <c r="M46" s="36" t="str">
        <f t="shared" si="26"/>
        <v/>
      </c>
      <c r="N46" s="33" t="str">
        <f t="shared" si="27"/>
        <v/>
      </c>
      <c r="O46" s="36" t="str">
        <f t="shared" si="28"/>
        <v/>
      </c>
      <c r="P46" s="36" t="str">
        <f t="shared" si="29"/>
        <v/>
      </c>
      <c r="Q46" s="33" t="str">
        <f t="shared" si="30"/>
        <v/>
      </c>
      <c r="R46" s="1"/>
      <c r="S46" s="1"/>
      <c r="Y46" s="1" t="e">
        <f>VLOOKUP($B$6,LOOKUP_SCE,39,0)</f>
        <v>#N/A</v>
      </c>
      <c r="Z46" s="22" t="str">
        <f t="shared" si="52"/>
        <v/>
      </c>
      <c r="AA46" s="23">
        <f t="shared" si="31"/>
        <v>7</v>
      </c>
      <c r="AB46" s="55" t="e">
        <f t="shared" si="53"/>
        <v>#N/A</v>
      </c>
      <c r="AC46" s="38" t="e">
        <f t="shared" si="32"/>
        <v>#N/A</v>
      </c>
      <c r="AD46" s="38" t="e">
        <f t="shared" si="33"/>
        <v>#N/A</v>
      </c>
      <c r="AE46" s="415" t="e">
        <f t="shared" si="54"/>
        <v>#N/A</v>
      </c>
      <c r="AF46" s="10">
        <f t="shared" si="34"/>
        <v>7</v>
      </c>
      <c r="AG46" s="38" t="e">
        <f t="shared" si="7"/>
        <v>#N/A</v>
      </c>
      <c r="AH46" s="38" t="e">
        <f t="shared" si="35"/>
        <v>#N/A</v>
      </c>
      <c r="AI46" s="10" t="e">
        <f t="shared" si="55"/>
        <v>#N/A</v>
      </c>
      <c r="AJ46" s="39" t="e">
        <f t="shared" si="36"/>
        <v>#N/A</v>
      </c>
      <c r="AK46" s="40" t="e">
        <f t="shared" si="9"/>
        <v>#N/A</v>
      </c>
      <c r="AL46" s="11" t="e">
        <f t="shared" si="56"/>
        <v>#N/A</v>
      </c>
      <c r="AM46" s="41">
        <f t="shared" si="37"/>
        <v>7</v>
      </c>
      <c r="AN46" s="57" t="e">
        <f t="shared" si="11"/>
        <v>#N/A</v>
      </c>
      <c r="AO46" s="40" t="e">
        <f t="shared" si="38"/>
        <v>#N/A</v>
      </c>
      <c r="AP46" s="417" t="e">
        <f t="shared" si="57"/>
        <v>#N/A</v>
      </c>
      <c r="AQ46" s="56">
        <f t="shared" si="39"/>
        <v>7</v>
      </c>
      <c r="AR46" s="43" t="e">
        <f t="shared" si="40"/>
        <v>#N/A</v>
      </c>
      <c r="AS46" s="44" t="e">
        <f t="shared" si="41"/>
        <v>#N/A</v>
      </c>
      <c r="AT46" s="45" t="e">
        <f t="shared" si="58"/>
        <v>#N/A</v>
      </c>
      <c r="AU46" s="14">
        <f t="shared" si="42"/>
        <v>7</v>
      </c>
      <c r="AV46" s="44" t="e">
        <f t="shared" si="14"/>
        <v>#N/A</v>
      </c>
      <c r="AW46" s="14" t="e">
        <f t="shared" si="43"/>
        <v>#N/A</v>
      </c>
      <c r="AX46" s="14" t="e">
        <f t="shared" si="59"/>
        <v>#N/A</v>
      </c>
      <c r="AY46" s="46">
        <f t="shared" si="44"/>
        <v>7</v>
      </c>
      <c r="AZ46" s="47" t="e">
        <f t="shared" si="45"/>
        <v>#N/A</v>
      </c>
      <c r="BA46" s="48" t="e">
        <f t="shared" si="46"/>
        <v>#N/A</v>
      </c>
      <c r="BB46" s="31" t="e">
        <f t="shared" si="60"/>
        <v>#N/A</v>
      </c>
      <c r="BC46" s="28">
        <f t="shared" si="47"/>
        <v>7</v>
      </c>
      <c r="BD46" s="47" t="e">
        <f t="shared" si="48"/>
        <v>#N/A</v>
      </c>
      <c r="BE46" s="48" t="e">
        <f t="shared" si="49"/>
        <v>#N/A</v>
      </c>
      <c r="BF46" s="31" t="e">
        <f t="shared" si="61"/>
        <v>#N/A</v>
      </c>
      <c r="BG46" s="49" t="e">
        <f t="shared" si="62"/>
        <v>#N/A</v>
      </c>
      <c r="BH46" s="1" t="e">
        <f>VLOOKUP($B46,STOCK_BY_LA!$A$2:$C$10477,3,0)</f>
        <v>#N/A</v>
      </c>
      <c r="BI46" s="1" t="str">
        <f t="shared" si="50"/>
        <v/>
      </c>
    </row>
    <row r="47" spans="1:61" x14ac:dyDescent="0.35">
      <c r="A47" s="33" t="str">
        <f t="shared" si="63"/>
        <v/>
      </c>
      <c r="B47" s="1" t="str">
        <f t="shared" si="51"/>
        <v/>
      </c>
      <c r="C47" s="34" t="str">
        <f t="shared" si="20"/>
        <v/>
      </c>
      <c r="D47" s="33" t="str">
        <f>IF(B47="","",IF('totals_&amp;_RP_counts'!$O$3=0,IFERROR(IF(AA47=2,"0",AB47),""),"-"))</f>
        <v/>
      </c>
      <c r="E47" s="35" t="str">
        <f t="shared" si="21"/>
        <v/>
      </c>
      <c r="F47" s="36" t="str">
        <f t="shared" si="22"/>
        <v/>
      </c>
      <c r="G47" s="36" t="str">
        <f t="shared" si="23"/>
        <v/>
      </c>
      <c r="H47" s="33" t="str">
        <f t="shared" si="1"/>
        <v/>
      </c>
      <c r="I47" s="36" t="str">
        <f t="shared" si="24"/>
        <v/>
      </c>
      <c r="J47" s="36" t="str">
        <f t="shared" si="25"/>
        <v/>
      </c>
      <c r="K47" s="33" t="str">
        <f t="shared" si="2"/>
        <v/>
      </c>
      <c r="L47" s="36" t="str">
        <f t="shared" si="3"/>
        <v/>
      </c>
      <c r="M47" s="36" t="str">
        <f t="shared" si="26"/>
        <v/>
      </c>
      <c r="N47" s="33" t="str">
        <f t="shared" si="27"/>
        <v/>
      </c>
      <c r="O47" s="36" t="str">
        <f t="shared" si="28"/>
        <v/>
      </c>
      <c r="P47" s="36" t="str">
        <f t="shared" si="29"/>
        <v/>
      </c>
      <c r="Q47" s="33" t="str">
        <f t="shared" si="30"/>
        <v/>
      </c>
      <c r="R47" s="1"/>
      <c r="S47" s="1"/>
      <c r="Y47" s="1" t="e">
        <f>VLOOKUP($B$6,LOOKUP_SCE,40,0)</f>
        <v>#N/A</v>
      </c>
      <c r="Z47" s="22" t="str">
        <f t="shared" si="52"/>
        <v/>
      </c>
      <c r="AA47" s="23">
        <f t="shared" si="31"/>
        <v>7</v>
      </c>
      <c r="AB47" s="55" t="e">
        <f t="shared" si="53"/>
        <v>#N/A</v>
      </c>
      <c r="AC47" s="38" t="e">
        <f t="shared" si="32"/>
        <v>#N/A</v>
      </c>
      <c r="AD47" s="38" t="e">
        <f t="shared" si="33"/>
        <v>#N/A</v>
      </c>
      <c r="AE47" s="415" t="e">
        <f t="shared" si="54"/>
        <v>#N/A</v>
      </c>
      <c r="AF47" s="10">
        <f t="shared" si="34"/>
        <v>7</v>
      </c>
      <c r="AG47" s="38" t="e">
        <f t="shared" si="7"/>
        <v>#N/A</v>
      </c>
      <c r="AH47" s="38" t="e">
        <f t="shared" si="35"/>
        <v>#N/A</v>
      </c>
      <c r="AI47" s="10" t="e">
        <f t="shared" si="55"/>
        <v>#N/A</v>
      </c>
      <c r="AJ47" s="39" t="e">
        <f t="shared" si="36"/>
        <v>#N/A</v>
      </c>
      <c r="AK47" s="40" t="e">
        <f t="shared" si="9"/>
        <v>#N/A</v>
      </c>
      <c r="AL47" s="11" t="e">
        <f t="shared" si="56"/>
        <v>#N/A</v>
      </c>
      <c r="AM47" s="41">
        <f t="shared" si="37"/>
        <v>7</v>
      </c>
      <c r="AN47" s="57" t="e">
        <f t="shared" si="11"/>
        <v>#N/A</v>
      </c>
      <c r="AO47" s="40" t="e">
        <f t="shared" si="38"/>
        <v>#N/A</v>
      </c>
      <c r="AP47" s="417" t="e">
        <f t="shared" si="57"/>
        <v>#N/A</v>
      </c>
      <c r="AQ47" s="56">
        <f t="shared" si="39"/>
        <v>7</v>
      </c>
      <c r="AR47" s="43" t="e">
        <f t="shared" si="40"/>
        <v>#N/A</v>
      </c>
      <c r="AS47" s="44" t="e">
        <f t="shared" si="41"/>
        <v>#N/A</v>
      </c>
      <c r="AT47" s="45" t="e">
        <f t="shared" si="58"/>
        <v>#N/A</v>
      </c>
      <c r="AU47" s="14">
        <f t="shared" si="42"/>
        <v>7</v>
      </c>
      <c r="AV47" s="44" t="e">
        <f t="shared" si="14"/>
        <v>#N/A</v>
      </c>
      <c r="AW47" s="14" t="e">
        <f t="shared" si="43"/>
        <v>#N/A</v>
      </c>
      <c r="AX47" s="14" t="e">
        <f t="shared" si="59"/>
        <v>#N/A</v>
      </c>
      <c r="AY47" s="46">
        <f t="shared" si="44"/>
        <v>7</v>
      </c>
      <c r="AZ47" s="47" t="e">
        <f t="shared" si="45"/>
        <v>#N/A</v>
      </c>
      <c r="BA47" s="48" t="e">
        <f t="shared" si="46"/>
        <v>#N/A</v>
      </c>
      <c r="BB47" s="31" t="e">
        <f t="shared" si="60"/>
        <v>#N/A</v>
      </c>
      <c r="BC47" s="28">
        <f t="shared" si="47"/>
        <v>7</v>
      </c>
      <c r="BD47" s="47" t="e">
        <f t="shared" si="48"/>
        <v>#N/A</v>
      </c>
      <c r="BE47" s="48" t="e">
        <f t="shared" si="49"/>
        <v>#N/A</v>
      </c>
      <c r="BF47" s="31" t="e">
        <f t="shared" si="61"/>
        <v>#N/A</v>
      </c>
      <c r="BG47" s="49" t="e">
        <f t="shared" si="62"/>
        <v>#N/A</v>
      </c>
      <c r="BH47" s="1" t="e">
        <f>VLOOKUP($B47,STOCK_BY_LA!$A$2:$C$10477,3,0)</f>
        <v>#N/A</v>
      </c>
      <c r="BI47" s="1" t="str">
        <f t="shared" si="50"/>
        <v/>
      </c>
    </row>
    <row r="48" spans="1:61" x14ac:dyDescent="0.35">
      <c r="A48" s="1" t="str">
        <f t="shared" si="63"/>
        <v/>
      </c>
      <c r="B48" s="1" t="str">
        <f t="shared" si="51"/>
        <v/>
      </c>
      <c r="C48" s="50" t="str">
        <f t="shared" si="20"/>
        <v/>
      </c>
      <c r="D48" s="33" t="str">
        <f>IF(B48="","",IF('totals_&amp;_RP_counts'!$O$3=0,IFERROR(IF(AA48=2,"0",AB48),""),"-"))</f>
        <v/>
      </c>
      <c r="E48" s="35" t="str">
        <f t="shared" si="21"/>
        <v/>
      </c>
      <c r="F48" s="36" t="str">
        <f t="shared" si="22"/>
        <v/>
      </c>
      <c r="G48" s="36" t="str">
        <f t="shared" si="23"/>
        <v/>
      </c>
      <c r="H48" s="33" t="str">
        <f t="shared" si="1"/>
        <v/>
      </c>
      <c r="I48" s="36" t="str">
        <f t="shared" si="24"/>
        <v/>
      </c>
      <c r="J48" s="36" t="str">
        <f t="shared" si="25"/>
        <v/>
      </c>
      <c r="K48" s="33" t="str">
        <f t="shared" si="2"/>
        <v/>
      </c>
      <c r="L48" s="36" t="str">
        <f t="shared" si="3"/>
        <v/>
      </c>
      <c r="M48" s="36" t="str">
        <f t="shared" si="26"/>
        <v/>
      </c>
      <c r="N48" s="33" t="str">
        <f t="shared" si="27"/>
        <v/>
      </c>
      <c r="O48" s="36" t="str">
        <f t="shared" si="28"/>
        <v/>
      </c>
      <c r="P48" s="36" t="str">
        <f t="shared" si="29"/>
        <v/>
      </c>
      <c r="Q48" s="33" t="str">
        <f t="shared" si="30"/>
        <v/>
      </c>
      <c r="R48" s="1"/>
      <c r="S48" s="1"/>
      <c r="Y48" s="1" t="e">
        <f>VLOOKUP($B$6,LOOKUP_SCE,41,0)</f>
        <v>#N/A</v>
      </c>
      <c r="Z48" s="22" t="str">
        <f t="shared" si="52"/>
        <v/>
      </c>
      <c r="AA48" s="23">
        <f t="shared" si="31"/>
        <v>7</v>
      </c>
      <c r="AB48" s="55" t="e">
        <f t="shared" si="53"/>
        <v>#N/A</v>
      </c>
      <c r="AC48" s="38" t="e">
        <f t="shared" si="32"/>
        <v>#N/A</v>
      </c>
      <c r="AD48" s="38" t="e">
        <f t="shared" si="33"/>
        <v>#N/A</v>
      </c>
      <c r="AE48" s="415" t="e">
        <f t="shared" si="54"/>
        <v>#N/A</v>
      </c>
      <c r="AF48" s="10">
        <f t="shared" si="34"/>
        <v>7</v>
      </c>
      <c r="AG48" s="38" t="e">
        <f t="shared" si="7"/>
        <v>#N/A</v>
      </c>
      <c r="AH48" s="38" t="e">
        <f t="shared" si="35"/>
        <v>#N/A</v>
      </c>
      <c r="AI48" s="10" t="e">
        <f t="shared" si="55"/>
        <v>#N/A</v>
      </c>
      <c r="AJ48" s="39" t="e">
        <f t="shared" si="36"/>
        <v>#N/A</v>
      </c>
      <c r="AK48" s="40" t="e">
        <f t="shared" si="9"/>
        <v>#N/A</v>
      </c>
      <c r="AL48" s="11" t="e">
        <f t="shared" si="56"/>
        <v>#N/A</v>
      </c>
      <c r="AM48" s="41">
        <f t="shared" si="37"/>
        <v>7</v>
      </c>
      <c r="AN48" s="57" t="e">
        <f t="shared" si="11"/>
        <v>#N/A</v>
      </c>
      <c r="AO48" s="40" t="e">
        <f t="shared" si="38"/>
        <v>#N/A</v>
      </c>
      <c r="AP48" s="417" t="e">
        <f t="shared" si="57"/>
        <v>#N/A</v>
      </c>
      <c r="AQ48" s="56">
        <f t="shared" si="39"/>
        <v>7</v>
      </c>
      <c r="AR48" s="43" t="e">
        <f t="shared" si="40"/>
        <v>#N/A</v>
      </c>
      <c r="AS48" s="44" t="e">
        <f t="shared" si="41"/>
        <v>#N/A</v>
      </c>
      <c r="AT48" s="45" t="e">
        <f t="shared" si="58"/>
        <v>#N/A</v>
      </c>
      <c r="AU48" s="14">
        <f t="shared" si="42"/>
        <v>7</v>
      </c>
      <c r="AV48" s="44" t="e">
        <f t="shared" si="14"/>
        <v>#N/A</v>
      </c>
      <c r="AW48" s="14" t="e">
        <f t="shared" si="43"/>
        <v>#N/A</v>
      </c>
      <c r="AX48" s="14" t="e">
        <f t="shared" si="59"/>
        <v>#N/A</v>
      </c>
      <c r="AY48" s="46">
        <f t="shared" si="44"/>
        <v>7</v>
      </c>
      <c r="AZ48" s="47" t="e">
        <f t="shared" si="45"/>
        <v>#N/A</v>
      </c>
      <c r="BA48" s="48" t="e">
        <f t="shared" si="46"/>
        <v>#N/A</v>
      </c>
      <c r="BB48" s="31" t="e">
        <f t="shared" si="60"/>
        <v>#N/A</v>
      </c>
      <c r="BC48" s="28">
        <f t="shared" si="47"/>
        <v>7</v>
      </c>
      <c r="BD48" s="47" t="e">
        <f t="shared" si="48"/>
        <v>#N/A</v>
      </c>
      <c r="BE48" s="48" t="e">
        <f t="shared" si="49"/>
        <v>#N/A</v>
      </c>
      <c r="BF48" s="31" t="e">
        <f t="shared" si="61"/>
        <v>#N/A</v>
      </c>
      <c r="BG48" s="49" t="e">
        <f t="shared" si="62"/>
        <v>#N/A</v>
      </c>
      <c r="BH48" s="1" t="e">
        <f>VLOOKUP($B48,STOCK_BY_LA!$A$2:$C$10477,3,0)</f>
        <v>#N/A</v>
      </c>
      <c r="BI48" s="1" t="str">
        <f t="shared" si="50"/>
        <v/>
      </c>
    </row>
    <row r="49" spans="1:61" x14ac:dyDescent="0.35">
      <c r="A49" s="33" t="str">
        <f t="shared" si="63"/>
        <v/>
      </c>
      <c r="B49" s="1" t="str">
        <f t="shared" si="51"/>
        <v/>
      </c>
      <c r="C49" s="34" t="str">
        <f t="shared" si="20"/>
        <v/>
      </c>
      <c r="D49" s="33" t="str">
        <f>IF(B49="","",IF('totals_&amp;_RP_counts'!$O$3=0,IFERROR(IF(AA49=2,"0",AB49),""),"-"))</f>
        <v/>
      </c>
      <c r="E49" s="35" t="str">
        <f t="shared" si="21"/>
        <v/>
      </c>
      <c r="F49" s="36" t="str">
        <f t="shared" si="22"/>
        <v/>
      </c>
      <c r="G49" s="36" t="str">
        <f t="shared" si="23"/>
        <v/>
      </c>
      <c r="H49" s="33" t="str">
        <f t="shared" si="1"/>
        <v/>
      </c>
      <c r="I49" s="36" t="str">
        <f t="shared" si="24"/>
        <v/>
      </c>
      <c r="J49" s="36" t="str">
        <f t="shared" si="25"/>
        <v/>
      </c>
      <c r="K49" s="33" t="str">
        <f t="shared" si="2"/>
        <v/>
      </c>
      <c r="L49" s="36" t="str">
        <f t="shared" si="3"/>
        <v/>
      </c>
      <c r="M49" s="36" t="str">
        <f t="shared" si="26"/>
        <v/>
      </c>
      <c r="N49" s="33" t="str">
        <f t="shared" si="27"/>
        <v/>
      </c>
      <c r="O49" s="36" t="str">
        <f t="shared" si="28"/>
        <v/>
      </c>
      <c r="P49" s="36" t="str">
        <f t="shared" si="29"/>
        <v/>
      </c>
      <c r="Q49" s="33" t="str">
        <f t="shared" si="30"/>
        <v/>
      </c>
      <c r="R49" s="1"/>
      <c r="S49" s="1"/>
      <c r="Y49" s="1" t="e">
        <f>VLOOKUP($B$6,LOOKUP_SCE,42,0)</f>
        <v>#N/A</v>
      </c>
      <c r="Z49" s="22" t="str">
        <f t="shared" si="52"/>
        <v/>
      </c>
      <c r="AA49" s="23">
        <f t="shared" si="31"/>
        <v>7</v>
      </c>
      <c r="AB49" s="55" t="e">
        <f t="shared" si="53"/>
        <v>#N/A</v>
      </c>
      <c r="AC49" s="38" t="e">
        <f t="shared" si="32"/>
        <v>#N/A</v>
      </c>
      <c r="AD49" s="38" t="e">
        <f t="shared" si="33"/>
        <v>#N/A</v>
      </c>
      <c r="AE49" s="415" t="e">
        <f t="shared" si="54"/>
        <v>#N/A</v>
      </c>
      <c r="AF49" s="10">
        <f t="shared" si="34"/>
        <v>7</v>
      </c>
      <c r="AG49" s="38" t="e">
        <f t="shared" si="7"/>
        <v>#N/A</v>
      </c>
      <c r="AH49" s="38" t="e">
        <f t="shared" si="35"/>
        <v>#N/A</v>
      </c>
      <c r="AI49" s="10" t="e">
        <f t="shared" si="55"/>
        <v>#N/A</v>
      </c>
      <c r="AJ49" s="39" t="e">
        <f t="shared" si="36"/>
        <v>#N/A</v>
      </c>
      <c r="AK49" s="40" t="e">
        <f t="shared" si="9"/>
        <v>#N/A</v>
      </c>
      <c r="AL49" s="11" t="e">
        <f t="shared" si="56"/>
        <v>#N/A</v>
      </c>
      <c r="AM49" s="41">
        <f t="shared" si="37"/>
        <v>7</v>
      </c>
      <c r="AN49" s="57" t="e">
        <f t="shared" si="11"/>
        <v>#N/A</v>
      </c>
      <c r="AO49" s="40" t="e">
        <f t="shared" si="38"/>
        <v>#N/A</v>
      </c>
      <c r="AP49" s="417" t="e">
        <f t="shared" si="57"/>
        <v>#N/A</v>
      </c>
      <c r="AQ49" s="56">
        <f t="shared" si="39"/>
        <v>7</v>
      </c>
      <c r="AR49" s="43" t="e">
        <f t="shared" si="40"/>
        <v>#N/A</v>
      </c>
      <c r="AS49" s="44" t="e">
        <f t="shared" si="41"/>
        <v>#N/A</v>
      </c>
      <c r="AT49" s="45" t="e">
        <f t="shared" si="58"/>
        <v>#N/A</v>
      </c>
      <c r="AU49" s="14">
        <f t="shared" si="42"/>
        <v>7</v>
      </c>
      <c r="AV49" s="44" t="e">
        <f t="shared" si="14"/>
        <v>#N/A</v>
      </c>
      <c r="AW49" s="14" t="e">
        <f t="shared" si="43"/>
        <v>#N/A</v>
      </c>
      <c r="AX49" s="14" t="e">
        <f t="shared" si="59"/>
        <v>#N/A</v>
      </c>
      <c r="AY49" s="46">
        <f t="shared" si="44"/>
        <v>7</v>
      </c>
      <c r="AZ49" s="47" t="e">
        <f t="shared" si="45"/>
        <v>#N/A</v>
      </c>
      <c r="BA49" s="48" t="e">
        <f t="shared" si="46"/>
        <v>#N/A</v>
      </c>
      <c r="BB49" s="31" t="e">
        <f t="shared" si="60"/>
        <v>#N/A</v>
      </c>
      <c r="BC49" s="28">
        <f t="shared" si="47"/>
        <v>7</v>
      </c>
      <c r="BD49" s="47" t="e">
        <f t="shared" si="48"/>
        <v>#N/A</v>
      </c>
      <c r="BE49" s="48" t="e">
        <f t="shared" si="49"/>
        <v>#N/A</v>
      </c>
      <c r="BF49" s="31" t="e">
        <f t="shared" si="61"/>
        <v>#N/A</v>
      </c>
      <c r="BG49" s="49" t="e">
        <f t="shared" si="62"/>
        <v>#N/A</v>
      </c>
      <c r="BH49" s="1" t="e">
        <f>VLOOKUP($B49,STOCK_BY_LA!$A$2:$C$10477,3,0)</f>
        <v>#N/A</v>
      </c>
      <c r="BI49" s="1" t="str">
        <f t="shared" si="50"/>
        <v/>
      </c>
    </row>
    <row r="50" spans="1:61" x14ac:dyDescent="0.35">
      <c r="A50" s="1" t="str">
        <f t="shared" si="63"/>
        <v/>
      </c>
      <c r="B50" s="1" t="str">
        <f t="shared" si="51"/>
        <v/>
      </c>
      <c r="C50" s="50" t="str">
        <f t="shared" si="20"/>
        <v/>
      </c>
      <c r="D50" s="33" t="str">
        <f>IF(B50="","",IF('totals_&amp;_RP_counts'!$O$3=0,IFERROR(IF(AA50=2,"0",AB50),""),"-"))</f>
        <v/>
      </c>
      <c r="E50" s="35" t="str">
        <f t="shared" si="21"/>
        <v/>
      </c>
      <c r="F50" s="36" t="str">
        <f t="shared" si="22"/>
        <v/>
      </c>
      <c r="G50" s="36" t="str">
        <f t="shared" si="23"/>
        <v/>
      </c>
      <c r="H50" s="33" t="str">
        <f t="shared" si="1"/>
        <v/>
      </c>
      <c r="I50" s="36" t="str">
        <f t="shared" si="24"/>
        <v/>
      </c>
      <c r="J50" s="36" t="str">
        <f t="shared" si="25"/>
        <v/>
      </c>
      <c r="K50" s="33" t="str">
        <f t="shared" si="2"/>
        <v/>
      </c>
      <c r="L50" s="36" t="str">
        <f t="shared" si="3"/>
        <v/>
      </c>
      <c r="M50" s="36" t="str">
        <f t="shared" si="26"/>
        <v/>
      </c>
      <c r="N50" s="33" t="str">
        <f t="shared" si="27"/>
        <v/>
      </c>
      <c r="O50" s="36" t="str">
        <f t="shared" si="28"/>
        <v/>
      </c>
      <c r="P50" s="36" t="str">
        <f t="shared" si="29"/>
        <v/>
      </c>
      <c r="Q50" s="33" t="str">
        <f t="shared" si="30"/>
        <v/>
      </c>
      <c r="R50" s="1"/>
      <c r="S50" s="1"/>
      <c r="Y50" s="1" t="e">
        <f>VLOOKUP($B$6,LOOKUP_SCE,43,0)</f>
        <v>#N/A</v>
      </c>
      <c r="Z50" s="22" t="str">
        <f t="shared" si="52"/>
        <v/>
      </c>
      <c r="AA50" s="23">
        <f t="shared" si="31"/>
        <v>7</v>
      </c>
      <c r="AB50" s="55" t="e">
        <f t="shared" si="53"/>
        <v>#N/A</v>
      </c>
      <c r="AC50" s="38" t="e">
        <f t="shared" si="32"/>
        <v>#N/A</v>
      </c>
      <c r="AD50" s="38" t="e">
        <f t="shared" si="33"/>
        <v>#N/A</v>
      </c>
      <c r="AE50" s="415" t="e">
        <f t="shared" si="54"/>
        <v>#N/A</v>
      </c>
      <c r="AF50" s="10">
        <f t="shared" si="34"/>
        <v>7</v>
      </c>
      <c r="AG50" s="38" t="e">
        <f t="shared" si="7"/>
        <v>#N/A</v>
      </c>
      <c r="AH50" s="38" t="e">
        <f t="shared" si="35"/>
        <v>#N/A</v>
      </c>
      <c r="AI50" s="10" t="e">
        <f t="shared" si="55"/>
        <v>#N/A</v>
      </c>
      <c r="AJ50" s="39" t="e">
        <f t="shared" si="36"/>
        <v>#N/A</v>
      </c>
      <c r="AK50" s="40" t="e">
        <f t="shared" si="9"/>
        <v>#N/A</v>
      </c>
      <c r="AL50" s="11" t="e">
        <f t="shared" si="56"/>
        <v>#N/A</v>
      </c>
      <c r="AM50" s="41">
        <f t="shared" si="37"/>
        <v>7</v>
      </c>
      <c r="AN50" s="57" t="e">
        <f t="shared" si="11"/>
        <v>#N/A</v>
      </c>
      <c r="AO50" s="40" t="e">
        <f t="shared" si="38"/>
        <v>#N/A</v>
      </c>
      <c r="AP50" s="417" t="e">
        <f t="shared" si="57"/>
        <v>#N/A</v>
      </c>
      <c r="AQ50" s="56">
        <f t="shared" si="39"/>
        <v>7</v>
      </c>
      <c r="AR50" s="43" t="e">
        <f t="shared" si="40"/>
        <v>#N/A</v>
      </c>
      <c r="AS50" s="44" t="e">
        <f t="shared" si="41"/>
        <v>#N/A</v>
      </c>
      <c r="AT50" s="45" t="e">
        <f t="shared" si="58"/>
        <v>#N/A</v>
      </c>
      <c r="AU50" s="14">
        <f t="shared" si="42"/>
        <v>7</v>
      </c>
      <c r="AV50" s="44" t="e">
        <f t="shared" si="14"/>
        <v>#N/A</v>
      </c>
      <c r="AW50" s="14" t="e">
        <f t="shared" si="43"/>
        <v>#N/A</v>
      </c>
      <c r="AX50" s="14" t="e">
        <f t="shared" si="59"/>
        <v>#N/A</v>
      </c>
      <c r="AY50" s="46">
        <f t="shared" si="44"/>
        <v>7</v>
      </c>
      <c r="AZ50" s="47" t="e">
        <f t="shared" si="45"/>
        <v>#N/A</v>
      </c>
      <c r="BA50" s="48" t="e">
        <f t="shared" si="46"/>
        <v>#N/A</v>
      </c>
      <c r="BB50" s="31" t="e">
        <f t="shared" si="60"/>
        <v>#N/A</v>
      </c>
      <c r="BC50" s="28">
        <f t="shared" si="47"/>
        <v>7</v>
      </c>
      <c r="BD50" s="47" t="e">
        <f t="shared" si="48"/>
        <v>#N/A</v>
      </c>
      <c r="BE50" s="48" t="e">
        <f t="shared" si="49"/>
        <v>#N/A</v>
      </c>
      <c r="BF50" s="31" t="e">
        <f t="shared" si="61"/>
        <v>#N/A</v>
      </c>
      <c r="BG50" s="49" t="e">
        <f t="shared" si="62"/>
        <v>#N/A</v>
      </c>
      <c r="BH50" s="1" t="e">
        <f>VLOOKUP($B50,STOCK_BY_LA!$A$2:$C$10477,3,0)</f>
        <v>#N/A</v>
      </c>
      <c r="BI50" s="1" t="str">
        <f t="shared" si="50"/>
        <v/>
      </c>
    </row>
    <row r="51" spans="1:61" x14ac:dyDescent="0.35">
      <c r="A51" s="33" t="str">
        <f t="shared" si="63"/>
        <v/>
      </c>
      <c r="B51" s="1" t="str">
        <f t="shared" si="51"/>
        <v/>
      </c>
      <c r="C51" s="34" t="str">
        <f t="shared" si="20"/>
        <v/>
      </c>
      <c r="D51" s="33" t="str">
        <f>IF(B51="","",IF('totals_&amp;_RP_counts'!$O$3=0,IFERROR(IF(AA51=2,"0",AB51),""),"-"))</f>
        <v/>
      </c>
      <c r="E51" s="35" t="str">
        <f t="shared" si="21"/>
        <v/>
      </c>
      <c r="F51" s="36" t="str">
        <f t="shared" si="22"/>
        <v/>
      </c>
      <c r="G51" s="36" t="str">
        <f t="shared" si="23"/>
        <v/>
      </c>
      <c r="H51" s="33" t="str">
        <f t="shared" si="1"/>
        <v/>
      </c>
      <c r="I51" s="36" t="str">
        <f t="shared" si="24"/>
        <v/>
      </c>
      <c r="J51" s="36" t="str">
        <f t="shared" si="25"/>
        <v/>
      </c>
      <c r="K51" s="33" t="str">
        <f t="shared" si="2"/>
        <v/>
      </c>
      <c r="L51" s="36" t="str">
        <f t="shared" si="3"/>
        <v/>
      </c>
      <c r="M51" s="36" t="str">
        <f t="shared" si="26"/>
        <v/>
      </c>
      <c r="N51" s="33" t="str">
        <f t="shared" si="27"/>
        <v/>
      </c>
      <c r="O51" s="36" t="str">
        <f t="shared" si="28"/>
        <v/>
      </c>
      <c r="P51" s="36" t="str">
        <f t="shared" si="29"/>
        <v/>
      </c>
      <c r="Q51" s="33" t="str">
        <f t="shared" si="30"/>
        <v/>
      </c>
      <c r="R51" s="1"/>
      <c r="S51" s="1"/>
      <c r="Y51" s="1" t="e">
        <f>VLOOKUP($B$6,LOOKUP_SCE,44,0)</f>
        <v>#N/A</v>
      </c>
      <c r="Z51" s="22" t="str">
        <f t="shared" si="52"/>
        <v/>
      </c>
      <c r="AA51" s="23">
        <f t="shared" si="31"/>
        <v>7</v>
      </c>
      <c r="AB51" s="55" t="e">
        <f t="shared" si="53"/>
        <v>#N/A</v>
      </c>
      <c r="AC51" s="38" t="e">
        <f t="shared" si="32"/>
        <v>#N/A</v>
      </c>
      <c r="AD51" s="38" t="e">
        <f t="shared" si="33"/>
        <v>#N/A</v>
      </c>
      <c r="AE51" s="415" t="e">
        <f t="shared" si="54"/>
        <v>#N/A</v>
      </c>
      <c r="AF51" s="10">
        <f t="shared" si="34"/>
        <v>7</v>
      </c>
      <c r="AG51" s="38" t="e">
        <f t="shared" si="7"/>
        <v>#N/A</v>
      </c>
      <c r="AH51" s="38" t="e">
        <f t="shared" si="35"/>
        <v>#N/A</v>
      </c>
      <c r="AI51" s="10" t="e">
        <f t="shared" si="55"/>
        <v>#N/A</v>
      </c>
      <c r="AJ51" s="39" t="e">
        <f t="shared" si="36"/>
        <v>#N/A</v>
      </c>
      <c r="AK51" s="40" t="e">
        <f t="shared" si="9"/>
        <v>#N/A</v>
      </c>
      <c r="AL51" s="11" t="e">
        <f t="shared" si="56"/>
        <v>#N/A</v>
      </c>
      <c r="AM51" s="41">
        <f t="shared" si="37"/>
        <v>7</v>
      </c>
      <c r="AN51" s="57" t="e">
        <f t="shared" si="11"/>
        <v>#N/A</v>
      </c>
      <c r="AO51" s="40" t="e">
        <f t="shared" si="38"/>
        <v>#N/A</v>
      </c>
      <c r="AP51" s="417" t="e">
        <f t="shared" si="57"/>
        <v>#N/A</v>
      </c>
      <c r="AQ51" s="56">
        <f t="shared" si="39"/>
        <v>7</v>
      </c>
      <c r="AR51" s="43" t="e">
        <f t="shared" si="40"/>
        <v>#N/A</v>
      </c>
      <c r="AS51" s="44" t="e">
        <f t="shared" si="41"/>
        <v>#N/A</v>
      </c>
      <c r="AT51" s="45" t="e">
        <f t="shared" si="58"/>
        <v>#N/A</v>
      </c>
      <c r="AU51" s="14">
        <f t="shared" si="42"/>
        <v>7</v>
      </c>
      <c r="AV51" s="44" t="e">
        <f t="shared" si="14"/>
        <v>#N/A</v>
      </c>
      <c r="AW51" s="14" t="e">
        <f t="shared" si="43"/>
        <v>#N/A</v>
      </c>
      <c r="AX51" s="14" t="e">
        <f t="shared" si="59"/>
        <v>#N/A</v>
      </c>
      <c r="AY51" s="46">
        <f t="shared" si="44"/>
        <v>7</v>
      </c>
      <c r="AZ51" s="47" t="e">
        <f t="shared" si="45"/>
        <v>#N/A</v>
      </c>
      <c r="BA51" s="48" t="e">
        <f t="shared" si="46"/>
        <v>#N/A</v>
      </c>
      <c r="BB51" s="31" t="e">
        <f t="shared" si="60"/>
        <v>#N/A</v>
      </c>
      <c r="BC51" s="28">
        <f t="shared" si="47"/>
        <v>7</v>
      </c>
      <c r="BD51" s="47" t="e">
        <f t="shared" si="48"/>
        <v>#N/A</v>
      </c>
      <c r="BE51" s="48" t="e">
        <f t="shared" si="49"/>
        <v>#N/A</v>
      </c>
      <c r="BF51" s="31" t="e">
        <f t="shared" si="61"/>
        <v>#N/A</v>
      </c>
      <c r="BG51" s="49" t="e">
        <f t="shared" si="62"/>
        <v>#N/A</v>
      </c>
      <c r="BH51" s="1" t="e">
        <f>VLOOKUP($B51,STOCK_BY_LA!$A$2:$C$10477,3,0)</f>
        <v>#N/A</v>
      </c>
      <c r="BI51" s="1" t="str">
        <f t="shared" si="50"/>
        <v/>
      </c>
    </row>
    <row r="52" spans="1:61" x14ac:dyDescent="0.35">
      <c r="A52" s="1" t="str">
        <f t="shared" si="63"/>
        <v/>
      </c>
      <c r="B52" s="1" t="str">
        <f t="shared" si="51"/>
        <v/>
      </c>
      <c r="C52" s="50" t="str">
        <f t="shared" si="20"/>
        <v/>
      </c>
      <c r="D52" s="33" t="str">
        <f>IF(B52="","",IF('totals_&amp;_RP_counts'!$O$3=0,IFERROR(IF(AA52=2,"0",AB52),""),"-"))</f>
        <v/>
      </c>
      <c r="E52" s="35" t="str">
        <f t="shared" si="21"/>
        <v/>
      </c>
      <c r="F52" s="36" t="str">
        <f t="shared" si="22"/>
        <v/>
      </c>
      <c r="G52" s="36" t="str">
        <f t="shared" si="23"/>
        <v/>
      </c>
      <c r="H52" s="33" t="str">
        <f t="shared" si="1"/>
        <v/>
      </c>
      <c r="I52" s="36" t="str">
        <f t="shared" si="24"/>
        <v/>
      </c>
      <c r="J52" s="36" t="str">
        <f t="shared" si="25"/>
        <v/>
      </c>
      <c r="K52" s="33" t="str">
        <f t="shared" si="2"/>
        <v/>
      </c>
      <c r="L52" s="36" t="str">
        <f t="shared" si="3"/>
        <v/>
      </c>
      <c r="M52" s="36" t="str">
        <f t="shared" si="26"/>
        <v/>
      </c>
      <c r="N52" s="33" t="str">
        <f t="shared" si="27"/>
        <v/>
      </c>
      <c r="O52" s="36" t="str">
        <f t="shared" si="28"/>
        <v/>
      </c>
      <c r="P52" s="36" t="str">
        <f t="shared" si="29"/>
        <v/>
      </c>
      <c r="Q52" s="33" t="str">
        <f t="shared" si="30"/>
        <v/>
      </c>
      <c r="R52" s="1"/>
      <c r="S52" s="1"/>
      <c r="Y52" s="1" t="e">
        <f>VLOOKUP($B$6,LOOKUP_SCE,45,0)</f>
        <v>#N/A</v>
      </c>
      <c r="Z52" s="22" t="str">
        <f t="shared" si="52"/>
        <v/>
      </c>
      <c r="AA52" s="23">
        <f t="shared" si="31"/>
        <v>7</v>
      </c>
      <c r="AB52" s="55" t="e">
        <f t="shared" si="53"/>
        <v>#N/A</v>
      </c>
      <c r="AC52" s="38" t="e">
        <f t="shared" si="32"/>
        <v>#N/A</v>
      </c>
      <c r="AD52" s="38" t="e">
        <f t="shared" si="33"/>
        <v>#N/A</v>
      </c>
      <c r="AE52" s="415" t="e">
        <f t="shared" si="54"/>
        <v>#N/A</v>
      </c>
      <c r="AF52" s="10">
        <f t="shared" si="34"/>
        <v>7</v>
      </c>
      <c r="AG52" s="38" t="e">
        <f t="shared" si="7"/>
        <v>#N/A</v>
      </c>
      <c r="AH52" s="38" t="e">
        <f t="shared" si="35"/>
        <v>#N/A</v>
      </c>
      <c r="AI52" s="10" t="e">
        <f t="shared" si="55"/>
        <v>#N/A</v>
      </c>
      <c r="AJ52" s="39" t="e">
        <f t="shared" si="36"/>
        <v>#N/A</v>
      </c>
      <c r="AK52" s="40" t="e">
        <f t="shared" si="9"/>
        <v>#N/A</v>
      </c>
      <c r="AL52" s="11" t="e">
        <f t="shared" si="56"/>
        <v>#N/A</v>
      </c>
      <c r="AM52" s="41">
        <f t="shared" si="37"/>
        <v>7</v>
      </c>
      <c r="AN52" s="57" t="e">
        <f t="shared" si="11"/>
        <v>#N/A</v>
      </c>
      <c r="AO52" s="40" t="e">
        <f t="shared" si="38"/>
        <v>#N/A</v>
      </c>
      <c r="AP52" s="417" t="e">
        <f t="shared" si="57"/>
        <v>#N/A</v>
      </c>
      <c r="AQ52" s="56">
        <f t="shared" si="39"/>
        <v>7</v>
      </c>
      <c r="AR52" s="43" t="e">
        <f t="shared" si="40"/>
        <v>#N/A</v>
      </c>
      <c r="AS52" s="44" t="e">
        <f t="shared" si="41"/>
        <v>#N/A</v>
      </c>
      <c r="AT52" s="45" t="e">
        <f t="shared" si="58"/>
        <v>#N/A</v>
      </c>
      <c r="AU52" s="14">
        <f t="shared" si="42"/>
        <v>7</v>
      </c>
      <c r="AV52" s="44" t="e">
        <f t="shared" si="14"/>
        <v>#N/A</v>
      </c>
      <c r="AW52" s="14" t="e">
        <f t="shared" si="43"/>
        <v>#N/A</v>
      </c>
      <c r="AX52" s="14" t="e">
        <f t="shared" si="59"/>
        <v>#N/A</v>
      </c>
      <c r="AY52" s="46">
        <f t="shared" si="44"/>
        <v>7</v>
      </c>
      <c r="AZ52" s="47" t="e">
        <f t="shared" si="45"/>
        <v>#N/A</v>
      </c>
      <c r="BA52" s="48" t="e">
        <f t="shared" si="46"/>
        <v>#N/A</v>
      </c>
      <c r="BB52" s="31" t="e">
        <f t="shared" si="60"/>
        <v>#N/A</v>
      </c>
      <c r="BC52" s="28">
        <f t="shared" si="47"/>
        <v>7</v>
      </c>
      <c r="BD52" s="47" t="e">
        <f t="shared" si="48"/>
        <v>#N/A</v>
      </c>
      <c r="BE52" s="48" t="e">
        <f t="shared" si="49"/>
        <v>#N/A</v>
      </c>
      <c r="BF52" s="31" t="e">
        <f t="shared" si="61"/>
        <v>#N/A</v>
      </c>
      <c r="BG52" s="49" t="e">
        <f t="shared" si="62"/>
        <v>#N/A</v>
      </c>
      <c r="BH52" s="1" t="e">
        <f>VLOOKUP($B52,STOCK_BY_LA!$A$2:$C$10477,3,0)</f>
        <v>#N/A</v>
      </c>
      <c r="BI52" s="1" t="str">
        <f t="shared" si="50"/>
        <v/>
      </c>
    </row>
    <row r="53" spans="1:61" x14ac:dyDescent="0.35">
      <c r="A53" s="33" t="str">
        <f t="shared" si="63"/>
        <v/>
      </c>
      <c r="B53" s="1" t="str">
        <f t="shared" si="51"/>
        <v/>
      </c>
      <c r="C53" s="34" t="str">
        <f t="shared" si="20"/>
        <v/>
      </c>
      <c r="D53" s="33" t="str">
        <f>IF(B53="","",IF('totals_&amp;_RP_counts'!$O$3=0,IFERROR(IF(AA53=2,"0",AB53),""),"-"))</f>
        <v/>
      </c>
      <c r="E53" s="35" t="str">
        <f t="shared" si="21"/>
        <v/>
      </c>
      <c r="F53" s="36" t="str">
        <f t="shared" si="22"/>
        <v/>
      </c>
      <c r="G53" s="36" t="str">
        <f t="shared" si="23"/>
        <v/>
      </c>
      <c r="H53" s="33" t="str">
        <f t="shared" si="1"/>
        <v/>
      </c>
      <c r="I53" s="36" t="str">
        <f t="shared" si="24"/>
        <v/>
      </c>
      <c r="J53" s="36" t="str">
        <f t="shared" si="25"/>
        <v/>
      </c>
      <c r="K53" s="33" t="str">
        <f t="shared" si="2"/>
        <v/>
      </c>
      <c r="L53" s="36" t="str">
        <f t="shared" si="3"/>
        <v/>
      </c>
      <c r="M53" s="36" t="str">
        <f t="shared" si="26"/>
        <v/>
      </c>
      <c r="N53" s="33" t="str">
        <f t="shared" si="27"/>
        <v/>
      </c>
      <c r="O53" s="36" t="str">
        <f t="shared" si="28"/>
        <v/>
      </c>
      <c r="P53" s="36" t="str">
        <f t="shared" si="29"/>
        <v/>
      </c>
      <c r="Q53" s="33" t="str">
        <f t="shared" si="30"/>
        <v/>
      </c>
      <c r="R53" s="1"/>
      <c r="S53" s="1"/>
      <c r="Y53" s="1" t="e">
        <f>VLOOKUP($B$6,LOOKUP_SCE,46,0)</f>
        <v>#N/A</v>
      </c>
      <c r="Z53" s="22" t="str">
        <f t="shared" si="52"/>
        <v/>
      </c>
      <c r="AA53" s="23">
        <f t="shared" si="31"/>
        <v>7</v>
      </c>
      <c r="AB53" s="55" t="e">
        <f t="shared" si="53"/>
        <v>#N/A</v>
      </c>
      <c r="AC53" s="38" t="e">
        <f t="shared" si="32"/>
        <v>#N/A</v>
      </c>
      <c r="AD53" s="38" t="e">
        <f t="shared" si="33"/>
        <v>#N/A</v>
      </c>
      <c r="AE53" s="415" t="e">
        <f t="shared" si="54"/>
        <v>#N/A</v>
      </c>
      <c r="AF53" s="10">
        <f t="shared" si="34"/>
        <v>7</v>
      </c>
      <c r="AG53" s="38" t="e">
        <f t="shared" si="7"/>
        <v>#N/A</v>
      </c>
      <c r="AH53" s="38" t="e">
        <f t="shared" si="35"/>
        <v>#N/A</v>
      </c>
      <c r="AI53" s="10" t="e">
        <f t="shared" si="55"/>
        <v>#N/A</v>
      </c>
      <c r="AJ53" s="39" t="e">
        <f t="shared" si="36"/>
        <v>#N/A</v>
      </c>
      <c r="AK53" s="40" t="e">
        <f t="shared" si="9"/>
        <v>#N/A</v>
      </c>
      <c r="AL53" s="11" t="e">
        <f t="shared" si="56"/>
        <v>#N/A</v>
      </c>
      <c r="AM53" s="41">
        <f t="shared" si="37"/>
        <v>7</v>
      </c>
      <c r="AN53" s="57" t="e">
        <f t="shared" si="11"/>
        <v>#N/A</v>
      </c>
      <c r="AO53" s="40" t="e">
        <f t="shared" si="38"/>
        <v>#N/A</v>
      </c>
      <c r="AP53" s="417" t="e">
        <f t="shared" si="57"/>
        <v>#N/A</v>
      </c>
      <c r="AQ53" s="56">
        <f t="shared" si="39"/>
        <v>7</v>
      </c>
      <c r="AR53" s="43" t="e">
        <f t="shared" si="40"/>
        <v>#N/A</v>
      </c>
      <c r="AS53" s="44" t="e">
        <f t="shared" si="41"/>
        <v>#N/A</v>
      </c>
      <c r="AT53" s="45" t="e">
        <f t="shared" si="58"/>
        <v>#N/A</v>
      </c>
      <c r="AU53" s="14">
        <f t="shared" si="42"/>
        <v>7</v>
      </c>
      <c r="AV53" s="44" t="e">
        <f t="shared" si="14"/>
        <v>#N/A</v>
      </c>
      <c r="AW53" s="14" t="e">
        <f t="shared" si="43"/>
        <v>#N/A</v>
      </c>
      <c r="AX53" s="14" t="e">
        <f t="shared" si="59"/>
        <v>#N/A</v>
      </c>
      <c r="AY53" s="46">
        <f t="shared" si="44"/>
        <v>7</v>
      </c>
      <c r="AZ53" s="47" t="e">
        <f t="shared" si="45"/>
        <v>#N/A</v>
      </c>
      <c r="BA53" s="48" t="e">
        <f t="shared" si="46"/>
        <v>#N/A</v>
      </c>
      <c r="BB53" s="31" t="e">
        <f t="shared" si="60"/>
        <v>#N/A</v>
      </c>
      <c r="BC53" s="28">
        <f t="shared" si="47"/>
        <v>7</v>
      </c>
      <c r="BD53" s="47" t="e">
        <f t="shared" si="48"/>
        <v>#N/A</v>
      </c>
      <c r="BE53" s="48" t="e">
        <f t="shared" si="49"/>
        <v>#N/A</v>
      </c>
      <c r="BF53" s="31" t="e">
        <f t="shared" si="61"/>
        <v>#N/A</v>
      </c>
      <c r="BG53" s="49" t="e">
        <f t="shared" si="62"/>
        <v>#N/A</v>
      </c>
      <c r="BH53" s="1" t="e">
        <f>VLOOKUP($B53,STOCK_BY_LA!$A$2:$C$10477,3,0)</f>
        <v>#N/A</v>
      </c>
      <c r="BI53" s="1" t="str">
        <f t="shared" si="50"/>
        <v/>
      </c>
    </row>
    <row r="54" spans="1:61" x14ac:dyDescent="0.35">
      <c r="A54" s="1" t="str">
        <f t="shared" si="63"/>
        <v/>
      </c>
      <c r="B54" s="1" t="str">
        <f t="shared" si="51"/>
        <v/>
      </c>
      <c r="C54" s="50" t="str">
        <f t="shared" si="20"/>
        <v/>
      </c>
      <c r="D54" s="33" t="str">
        <f>IF(B54="","",IF('totals_&amp;_RP_counts'!$O$3=0,IFERROR(IF(AA54=2,"0",AB54),""),"-"))</f>
        <v/>
      </c>
      <c r="E54" s="35" t="str">
        <f t="shared" si="21"/>
        <v/>
      </c>
      <c r="F54" s="36" t="str">
        <f t="shared" si="22"/>
        <v/>
      </c>
      <c r="G54" s="36" t="str">
        <f t="shared" si="23"/>
        <v/>
      </c>
      <c r="H54" s="33" t="str">
        <f t="shared" si="1"/>
        <v/>
      </c>
      <c r="I54" s="36" t="str">
        <f t="shared" si="24"/>
        <v/>
      </c>
      <c r="J54" s="36" t="str">
        <f t="shared" si="25"/>
        <v/>
      </c>
      <c r="K54" s="33" t="str">
        <f t="shared" si="2"/>
        <v/>
      </c>
      <c r="L54" s="36" t="str">
        <f t="shared" si="3"/>
        <v/>
      </c>
      <c r="M54" s="36" t="str">
        <f t="shared" si="26"/>
        <v/>
      </c>
      <c r="N54" s="33" t="str">
        <f t="shared" si="27"/>
        <v/>
      </c>
      <c r="O54" s="36" t="str">
        <f t="shared" si="28"/>
        <v/>
      </c>
      <c r="P54" s="36" t="str">
        <f t="shared" si="29"/>
        <v/>
      </c>
      <c r="Q54" s="33" t="str">
        <f t="shared" si="30"/>
        <v/>
      </c>
      <c r="R54" s="1"/>
      <c r="S54" s="1"/>
      <c r="Y54" s="1" t="e">
        <f>VLOOKUP($B$6,LOOKUP_SCE,47,0)</f>
        <v>#N/A</v>
      </c>
      <c r="Z54" s="22" t="str">
        <f t="shared" si="52"/>
        <v/>
      </c>
      <c r="AA54" s="23">
        <f t="shared" si="31"/>
        <v>7</v>
      </c>
      <c r="AB54" s="55" t="e">
        <f t="shared" si="53"/>
        <v>#N/A</v>
      </c>
      <c r="AC54" s="38" t="e">
        <f t="shared" si="32"/>
        <v>#N/A</v>
      </c>
      <c r="AD54" s="38" t="e">
        <f t="shared" si="33"/>
        <v>#N/A</v>
      </c>
      <c r="AE54" s="415" t="e">
        <f t="shared" si="54"/>
        <v>#N/A</v>
      </c>
      <c r="AF54" s="10">
        <f t="shared" si="34"/>
        <v>7</v>
      </c>
      <c r="AG54" s="38" t="e">
        <f t="shared" si="7"/>
        <v>#N/A</v>
      </c>
      <c r="AH54" s="38" t="e">
        <f t="shared" si="35"/>
        <v>#N/A</v>
      </c>
      <c r="AI54" s="10" t="e">
        <f t="shared" si="55"/>
        <v>#N/A</v>
      </c>
      <c r="AJ54" s="39" t="e">
        <f t="shared" si="36"/>
        <v>#N/A</v>
      </c>
      <c r="AK54" s="40" t="e">
        <f t="shared" si="9"/>
        <v>#N/A</v>
      </c>
      <c r="AL54" s="11" t="e">
        <f t="shared" si="56"/>
        <v>#N/A</v>
      </c>
      <c r="AM54" s="41">
        <f t="shared" si="37"/>
        <v>7</v>
      </c>
      <c r="AN54" s="57" t="e">
        <f t="shared" si="11"/>
        <v>#N/A</v>
      </c>
      <c r="AO54" s="40" t="e">
        <f t="shared" si="38"/>
        <v>#N/A</v>
      </c>
      <c r="AP54" s="417" t="e">
        <f t="shared" si="57"/>
        <v>#N/A</v>
      </c>
      <c r="AQ54" s="56">
        <f t="shared" si="39"/>
        <v>7</v>
      </c>
      <c r="AR54" s="43" t="e">
        <f t="shared" si="40"/>
        <v>#N/A</v>
      </c>
      <c r="AS54" s="44" t="e">
        <f t="shared" si="41"/>
        <v>#N/A</v>
      </c>
      <c r="AT54" s="45" t="e">
        <f t="shared" si="58"/>
        <v>#N/A</v>
      </c>
      <c r="AU54" s="14">
        <f t="shared" si="42"/>
        <v>7</v>
      </c>
      <c r="AV54" s="44" t="e">
        <f t="shared" si="14"/>
        <v>#N/A</v>
      </c>
      <c r="AW54" s="14" t="e">
        <f t="shared" si="43"/>
        <v>#N/A</v>
      </c>
      <c r="AX54" s="14" t="e">
        <f t="shared" si="59"/>
        <v>#N/A</v>
      </c>
      <c r="AY54" s="46">
        <f t="shared" si="44"/>
        <v>7</v>
      </c>
      <c r="AZ54" s="47" t="e">
        <f t="shared" si="45"/>
        <v>#N/A</v>
      </c>
      <c r="BA54" s="48" t="e">
        <f t="shared" si="46"/>
        <v>#N/A</v>
      </c>
      <c r="BB54" s="31" t="e">
        <f t="shared" si="60"/>
        <v>#N/A</v>
      </c>
      <c r="BC54" s="28">
        <f t="shared" si="47"/>
        <v>7</v>
      </c>
      <c r="BD54" s="47" t="e">
        <f t="shared" si="48"/>
        <v>#N/A</v>
      </c>
      <c r="BE54" s="48" t="e">
        <f t="shared" si="49"/>
        <v>#N/A</v>
      </c>
      <c r="BF54" s="31" t="e">
        <f t="shared" si="61"/>
        <v>#N/A</v>
      </c>
      <c r="BG54" s="49" t="e">
        <f t="shared" si="62"/>
        <v>#N/A</v>
      </c>
      <c r="BH54" s="1" t="e">
        <f>VLOOKUP($B54,STOCK_BY_LA!$A$2:$C$10477,3,0)</f>
        <v>#N/A</v>
      </c>
      <c r="BI54" s="1" t="str">
        <f t="shared" si="50"/>
        <v/>
      </c>
    </row>
    <row r="55" spans="1:61" x14ac:dyDescent="0.35">
      <c r="A55" s="33" t="str">
        <f t="shared" si="63"/>
        <v/>
      </c>
      <c r="B55" s="1" t="str">
        <f t="shared" si="51"/>
        <v/>
      </c>
      <c r="C55" s="34" t="str">
        <f t="shared" si="20"/>
        <v/>
      </c>
      <c r="D55" s="33" t="str">
        <f>IF(B55="","",IF('totals_&amp;_RP_counts'!$O$3=0,IFERROR(IF(AA55=2,"0",AB55),""),"-"))</f>
        <v/>
      </c>
      <c r="E55" s="35" t="str">
        <f t="shared" si="21"/>
        <v/>
      </c>
      <c r="F55" s="36" t="str">
        <f t="shared" si="22"/>
        <v/>
      </c>
      <c r="G55" s="36" t="str">
        <f t="shared" si="23"/>
        <v/>
      </c>
      <c r="H55" s="33" t="str">
        <f t="shared" si="1"/>
        <v/>
      </c>
      <c r="I55" s="36" t="str">
        <f t="shared" si="24"/>
        <v/>
      </c>
      <c r="J55" s="36" t="str">
        <f t="shared" si="25"/>
        <v/>
      </c>
      <c r="K55" s="33" t="str">
        <f t="shared" si="2"/>
        <v/>
      </c>
      <c r="L55" s="36" t="str">
        <f t="shared" si="3"/>
        <v/>
      </c>
      <c r="M55" s="36" t="str">
        <f t="shared" si="26"/>
        <v/>
      </c>
      <c r="N55" s="33" t="str">
        <f t="shared" si="27"/>
        <v/>
      </c>
      <c r="O55" s="36" t="str">
        <f t="shared" si="28"/>
        <v/>
      </c>
      <c r="P55" s="36" t="str">
        <f t="shared" si="29"/>
        <v/>
      </c>
      <c r="Q55" s="33" t="str">
        <f t="shared" si="30"/>
        <v/>
      </c>
      <c r="R55" s="1"/>
      <c r="S55" s="1"/>
      <c r="Y55" s="1" t="e">
        <f>VLOOKUP($B$6,LOOKUP_SCE,48,0)</f>
        <v>#N/A</v>
      </c>
      <c r="Z55" s="22" t="str">
        <f t="shared" si="52"/>
        <v/>
      </c>
      <c r="AA55" s="23">
        <f t="shared" si="31"/>
        <v>7</v>
      </c>
      <c r="AB55" s="55" t="e">
        <f t="shared" si="53"/>
        <v>#N/A</v>
      </c>
      <c r="AC55" s="38" t="e">
        <f t="shared" si="32"/>
        <v>#N/A</v>
      </c>
      <c r="AD55" s="38" t="e">
        <f t="shared" si="33"/>
        <v>#N/A</v>
      </c>
      <c r="AE55" s="415" t="e">
        <f t="shared" si="54"/>
        <v>#N/A</v>
      </c>
      <c r="AF55" s="10">
        <f t="shared" si="34"/>
        <v>7</v>
      </c>
      <c r="AG55" s="38" t="e">
        <f t="shared" si="7"/>
        <v>#N/A</v>
      </c>
      <c r="AH55" s="38" t="e">
        <f t="shared" si="35"/>
        <v>#N/A</v>
      </c>
      <c r="AI55" s="10" t="e">
        <f t="shared" si="55"/>
        <v>#N/A</v>
      </c>
      <c r="AJ55" s="39" t="e">
        <f t="shared" si="36"/>
        <v>#N/A</v>
      </c>
      <c r="AK55" s="40" t="e">
        <f t="shared" si="9"/>
        <v>#N/A</v>
      </c>
      <c r="AL55" s="11" t="e">
        <f t="shared" si="56"/>
        <v>#N/A</v>
      </c>
      <c r="AM55" s="41">
        <f t="shared" si="37"/>
        <v>7</v>
      </c>
      <c r="AN55" s="57" t="e">
        <f t="shared" si="11"/>
        <v>#N/A</v>
      </c>
      <c r="AO55" s="40" t="e">
        <f t="shared" si="38"/>
        <v>#N/A</v>
      </c>
      <c r="AP55" s="417" t="e">
        <f t="shared" si="57"/>
        <v>#N/A</v>
      </c>
      <c r="AQ55" s="56">
        <f t="shared" si="39"/>
        <v>7</v>
      </c>
      <c r="AR55" s="43" t="e">
        <f t="shared" si="40"/>
        <v>#N/A</v>
      </c>
      <c r="AS55" s="44" t="e">
        <f t="shared" si="41"/>
        <v>#N/A</v>
      </c>
      <c r="AT55" s="45" t="e">
        <f t="shared" si="58"/>
        <v>#N/A</v>
      </c>
      <c r="AU55" s="14">
        <f t="shared" si="42"/>
        <v>7</v>
      </c>
      <c r="AV55" s="44" t="e">
        <f t="shared" si="14"/>
        <v>#N/A</v>
      </c>
      <c r="AW55" s="14" t="e">
        <f t="shared" si="43"/>
        <v>#N/A</v>
      </c>
      <c r="AX55" s="14" t="e">
        <f t="shared" si="59"/>
        <v>#N/A</v>
      </c>
      <c r="AY55" s="46">
        <f t="shared" si="44"/>
        <v>7</v>
      </c>
      <c r="AZ55" s="47" t="e">
        <f t="shared" si="45"/>
        <v>#N/A</v>
      </c>
      <c r="BA55" s="48" t="e">
        <f t="shared" si="46"/>
        <v>#N/A</v>
      </c>
      <c r="BB55" s="31" t="e">
        <f t="shared" si="60"/>
        <v>#N/A</v>
      </c>
      <c r="BC55" s="28">
        <f t="shared" si="47"/>
        <v>7</v>
      </c>
      <c r="BD55" s="47" t="e">
        <f t="shared" si="48"/>
        <v>#N/A</v>
      </c>
      <c r="BE55" s="48" t="e">
        <f t="shared" si="49"/>
        <v>#N/A</v>
      </c>
      <c r="BF55" s="31" t="e">
        <f t="shared" si="61"/>
        <v>#N/A</v>
      </c>
      <c r="BG55" s="49" t="e">
        <f t="shared" si="62"/>
        <v>#N/A</v>
      </c>
      <c r="BH55" s="1" t="e">
        <f>VLOOKUP($B55,STOCK_BY_LA!$A$2:$C$10477,3,0)</f>
        <v>#N/A</v>
      </c>
      <c r="BI55" s="1" t="str">
        <f t="shared" si="50"/>
        <v/>
      </c>
    </row>
    <row r="56" spans="1:61" x14ac:dyDescent="0.35">
      <c r="A56" s="1" t="str">
        <f t="shared" si="63"/>
        <v/>
      </c>
      <c r="B56" s="1" t="str">
        <f t="shared" si="51"/>
        <v/>
      </c>
      <c r="C56" s="50" t="str">
        <f t="shared" si="20"/>
        <v/>
      </c>
      <c r="D56" s="33" t="str">
        <f>IF(B56="","",IF('totals_&amp;_RP_counts'!$O$3=0,IFERROR(IF(AA56=2,"0",AB56),""),"-"))</f>
        <v/>
      </c>
      <c r="E56" s="35" t="str">
        <f t="shared" si="21"/>
        <v/>
      </c>
      <c r="F56" s="36" t="str">
        <f t="shared" si="22"/>
        <v/>
      </c>
      <c r="G56" s="36" t="str">
        <f t="shared" si="23"/>
        <v/>
      </c>
      <c r="H56" s="33" t="str">
        <f t="shared" si="1"/>
        <v/>
      </c>
      <c r="I56" s="36" t="str">
        <f t="shared" si="24"/>
        <v/>
      </c>
      <c r="J56" s="36" t="str">
        <f t="shared" si="25"/>
        <v/>
      </c>
      <c r="K56" s="33" t="str">
        <f t="shared" si="2"/>
        <v/>
      </c>
      <c r="L56" s="36" t="str">
        <f t="shared" si="3"/>
        <v/>
      </c>
      <c r="M56" s="36" t="str">
        <f t="shared" si="26"/>
        <v/>
      </c>
      <c r="N56" s="33" t="str">
        <f t="shared" si="27"/>
        <v/>
      </c>
      <c r="O56" s="36" t="str">
        <f t="shared" si="28"/>
        <v/>
      </c>
      <c r="P56" s="36" t="str">
        <f t="shared" si="29"/>
        <v/>
      </c>
      <c r="Q56" s="33" t="str">
        <f t="shared" si="30"/>
        <v/>
      </c>
      <c r="R56" s="1"/>
      <c r="S56" s="1"/>
      <c r="Y56" s="1" t="e">
        <f>VLOOKUP($B$6,LOOKUP_SCE,49,0)</f>
        <v>#N/A</v>
      </c>
      <c r="Z56" s="22" t="str">
        <f t="shared" si="52"/>
        <v/>
      </c>
      <c r="AA56" s="23">
        <f t="shared" si="31"/>
        <v>7</v>
      </c>
      <c r="AB56" s="55" t="e">
        <f t="shared" si="53"/>
        <v>#N/A</v>
      </c>
      <c r="AC56" s="38" t="e">
        <f t="shared" si="32"/>
        <v>#N/A</v>
      </c>
      <c r="AD56" s="38" t="e">
        <f t="shared" si="33"/>
        <v>#N/A</v>
      </c>
      <c r="AE56" s="415" t="e">
        <f t="shared" si="54"/>
        <v>#N/A</v>
      </c>
      <c r="AF56" s="10">
        <f t="shared" si="34"/>
        <v>7</v>
      </c>
      <c r="AG56" s="38" t="e">
        <f t="shared" si="7"/>
        <v>#N/A</v>
      </c>
      <c r="AH56" s="38" t="e">
        <f t="shared" si="35"/>
        <v>#N/A</v>
      </c>
      <c r="AI56" s="10" t="e">
        <f t="shared" si="55"/>
        <v>#N/A</v>
      </c>
      <c r="AJ56" s="39" t="e">
        <f t="shared" si="36"/>
        <v>#N/A</v>
      </c>
      <c r="AK56" s="40" t="e">
        <f t="shared" si="9"/>
        <v>#N/A</v>
      </c>
      <c r="AL56" s="11" t="e">
        <f t="shared" si="56"/>
        <v>#N/A</v>
      </c>
      <c r="AM56" s="41">
        <f t="shared" si="37"/>
        <v>7</v>
      </c>
      <c r="AN56" s="57" t="e">
        <f t="shared" si="11"/>
        <v>#N/A</v>
      </c>
      <c r="AO56" s="40" t="e">
        <f t="shared" si="38"/>
        <v>#N/A</v>
      </c>
      <c r="AP56" s="417" t="e">
        <f t="shared" si="57"/>
        <v>#N/A</v>
      </c>
      <c r="AQ56" s="56">
        <f t="shared" si="39"/>
        <v>7</v>
      </c>
      <c r="AR56" s="43" t="e">
        <f t="shared" si="40"/>
        <v>#N/A</v>
      </c>
      <c r="AS56" s="44" t="e">
        <f t="shared" si="41"/>
        <v>#N/A</v>
      </c>
      <c r="AT56" s="45" t="e">
        <f t="shared" si="58"/>
        <v>#N/A</v>
      </c>
      <c r="AU56" s="14">
        <f t="shared" si="42"/>
        <v>7</v>
      </c>
      <c r="AV56" s="44" t="e">
        <f t="shared" si="14"/>
        <v>#N/A</v>
      </c>
      <c r="AW56" s="14" t="e">
        <f t="shared" si="43"/>
        <v>#N/A</v>
      </c>
      <c r="AX56" s="14" t="e">
        <f t="shared" si="59"/>
        <v>#N/A</v>
      </c>
      <c r="AY56" s="46">
        <f t="shared" si="44"/>
        <v>7</v>
      </c>
      <c r="AZ56" s="47" t="e">
        <f t="shared" si="45"/>
        <v>#N/A</v>
      </c>
      <c r="BA56" s="48" t="e">
        <f t="shared" si="46"/>
        <v>#N/A</v>
      </c>
      <c r="BB56" s="31" t="e">
        <f t="shared" si="60"/>
        <v>#N/A</v>
      </c>
      <c r="BC56" s="28">
        <f t="shared" si="47"/>
        <v>7</v>
      </c>
      <c r="BD56" s="47" t="e">
        <f t="shared" si="48"/>
        <v>#N/A</v>
      </c>
      <c r="BE56" s="48" t="e">
        <f t="shared" si="49"/>
        <v>#N/A</v>
      </c>
      <c r="BF56" s="31" t="e">
        <f t="shared" si="61"/>
        <v>#N/A</v>
      </c>
      <c r="BG56" s="49" t="e">
        <f t="shared" si="62"/>
        <v>#N/A</v>
      </c>
      <c r="BH56" s="1" t="e">
        <f>VLOOKUP($B56,STOCK_BY_LA!$A$2:$C$10477,3,0)</f>
        <v>#N/A</v>
      </c>
      <c r="BI56" s="1" t="str">
        <f t="shared" si="50"/>
        <v/>
      </c>
    </row>
    <row r="57" spans="1:61" x14ac:dyDescent="0.35">
      <c r="A57" s="33" t="str">
        <f t="shared" si="63"/>
        <v/>
      </c>
      <c r="B57" s="1" t="str">
        <f t="shared" si="51"/>
        <v/>
      </c>
      <c r="C57" s="34" t="str">
        <f t="shared" si="20"/>
        <v/>
      </c>
      <c r="D57" s="33" t="str">
        <f>IF(B57="","",IF('totals_&amp;_RP_counts'!$O$3=0,IFERROR(IF(AA57=2,"0",AB57),""),"-"))</f>
        <v/>
      </c>
      <c r="E57" s="35" t="str">
        <f t="shared" si="21"/>
        <v/>
      </c>
      <c r="F57" s="36" t="str">
        <f t="shared" si="22"/>
        <v/>
      </c>
      <c r="G57" s="36" t="str">
        <f t="shared" si="23"/>
        <v/>
      </c>
      <c r="H57" s="33" t="str">
        <f t="shared" si="1"/>
        <v/>
      </c>
      <c r="I57" s="36" t="str">
        <f t="shared" si="24"/>
        <v/>
      </c>
      <c r="J57" s="36" t="str">
        <f t="shared" si="25"/>
        <v/>
      </c>
      <c r="K57" s="33" t="str">
        <f t="shared" si="2"/>
        <v/>
      </c>
      <c r="L57" s="36" t="str">
        <f t="shared" si="3"/>
        <v/>
      </c>
      <c r="M57" s="36" t="str">
        <f t="shared" si="26"/>
        <v/>
      </c>
      <c r="N57" s="33" t="str">
        <f t="shared" si="27"/>
        <v/>
      </c>
      <c r="O57" s="36" t="str">
        <f t="shared" si="28"/>
        <v/>
      </c>
      <c r="P57" s="36" t="str">
        <f t="shared" si="29"/>
        <v/>
      </c>
      <c r="Q57" s="33" t="str">
        <f t="shared" si="30"/>
        <v/>
      </c>
      <c r="R57" s="1"/>
      <c r="S57" s="1"/>
      <c r="Y57" s="1" t="e">
        <f>VLOOKUP($B$6,LOOKUP_SCE,50,0)</f>
        <v>#N/A</v>
      </c>
      <c r="Z57" s="22" t="str">
        <f t="shared" si="52"/>
        <v/>
      </c>
      <c r="AA57" s="23">
        <f t="shared" si="31"/>
        <v>7</v>
      </c>
      <c r="AB57" s="55" t="e">
        <f t="shared" si="53"/>
        <v>#N/A</v>
      </c>
      <c r="AC57" s="38" t="e">
        <f t="shared" si="32"/>
        <v>#N/A</v>
      </c>
      <c r="AD57" s="38" t="e">
        <f t="shared" si="33"/>
        <v>#N/A</v>
      </c>
      <c r="AE57" s="415" t="e">
        <f t="shared" si="54"/>
        <v>#N/A</v>
      </c>
      <c r="AF57" s="10">
        <f t="shared" si="34"/>
        <v>7</v>
      </c>
      <c r="AG57" s="38" t="e">
        <f t="shared" si="7"/>
        <v>#N/A</v>
      </c>
      <c r="AH57" s="38" t="e">
        <f t="shared" si="35"/>
        <v>#N/A</v>
      </c>
      <c r="AI57" s="10" t="e">
        <f t="shared" si="55"/>
        <v>#N/A</v>
      </c>
      <c r="AJ57" s="39" t="e">
        <f t="shared" si="36"/>
        <v>#N/A</v>
      </c>
      <c r="AK57" s="40" t="e">
        <f t="shared" si="9"/>
        <v>#N/A</v>
      </c>
      <c r="AL57" s="11" t="e">
        <f t="shared" si="56"/>
        <v>#N/A</v>
      </c>
      <c r="AM57" s="41">
        <f t="shared" si="37"/>
        <v>7</v>
      </c>
      <c r="AN57" s="57" t="e">
        <f t="shared" si="11"/>
        <v>#N/A</v>
      </c>
      <c r="AO57" s="40" t="e">
        <f t="shared" si="38"/>
        <v>#N/A</v>
      </c>
      <c r="AP57" s="417" t="e">
        <f t="shared" si="57"/>
        <v>#N/A</v>
      </c>
      <c r="AQ57" s="56">
        <f t="shared" si="39"/>
        <v>7</v>
      </c>
      <c r="AR57" s="43" t="e">
        <f t="shared" si="40"/>
        <v>#N/A</v>
      </c>
      <c r="AS57" s="44" t="e">
        <f t="shared" si="41"/>
        <v>#N/A</v>
      </c>
      <c r="AT57" s="45" t="e">
        <f t="shared" si="58"/>
        <v>#N/A</v>
      </c>
      <c r="AU57" s="14">
        <f t="shared" si="42"/>
        <v>7</v>
      </c>
      <c r="AV57" s="44" t="e">
        <f t="shared" si="14"/>
        <v>#N/A</v>
      </c>
      <c r="AW57" s="14" t="e">
        <f t="shared" si="43"/>
        <v>#N/A</v>
      </c>
      <c r="AX57" s="14" t="e">
        <f t="shared" si="59"/>
        <v>#N/A</v>
      </c>
      <c r="AY57" s="46">
        <f t="shared" si="44"/>
        <v>7</v>
      </c>
      <c r="AZ57" s="47" t="e">
        <f t="shared" si="45"/>
        <v>#N/A</v>
      </c>
      <c r="BA57" s="48" t="e">
        <f t="shared" si="46"/>
        <v>#N/A</v>
      </c>
      <c r="BB57" s="31" t="e">
        <f t="shared" si="60"/>
        <v>#N/A</v>
      </c>
      <c r="BC57" s="28">
        <f t="shared" si="47"/>
        <v>7</v>
      </c>
      <c r="BD57" s="47" t="e">
        <f t="shared" si="48"/>
        <v>#N/A</v>
      </c>
      <c r="BE57" s="48" t="e">
        <f t="shared" si="49"/>
        <v>#N/A</v>
      </c>
      <c r="BF57" s="31" t="e">
        <f t="shared" si="61"/>
        <v>#N/A</v>
      </c>
      <c r="BG57" s="49" t="e">
        <f t="shared" si="62"/>
        <v>#N/A</v>
      </c>
      <c r="BH57" s="1" t="e">
        <f>VLOOKUP($B57,STOCK_BY_LA!$A$2:$C$10477,3,0)</f>
        <v>#N/A</v>
      </c>
      <c r="BI57" s="1" t="str">
        <f t="shared" si="50"/>
        <v/>
      </c>
    </row>
    <row r="58" spans="1:61" x14ac:dyDescent="0.35">
      <c r="A58" s="1" t="str">
        <f t="shared" si="63"/>
        <v/>
      </c>
      <c r="B58" s="1" t="str">
        <f t="shared" si="51"/>
        <v/>
      </c>
      <c r="C58" s="50" t="str">
        <f t="shared" si="20"/>
        <v/>
      </c>
      <c r="D58" s="33" t="str">
        <f>IF(B58="","",IF('totals_&amp;_RP_counts'!$O$3=0,IFERROR(IF(AA58=2,"0",AB58),""),"-"))</f>
        <v/>
      </c>
      <c r="E58" s="35" t="str">
        <f t="shared" si="21"/>
        <v/>
      </c>
      <c r="F58" s="36" t="str">
        <f t="shared" si="22"/>
        <v/>
      </c>
      <c r="G58" s="36" t="str">
        <f t="shared" si="23"/>
        <v/>
      </c>
      <c r="H58" s="33" t="str">
        <f t="shared" si="1"/>
        <v/>
      </c>
      <c r="I58" s="36" t="str">
        <f t="shared" si="24"/>
        <v/>
      </c>
      <c r="J58" s="36" t="str">
        <f t="shared" si="25"/>
        <v/>
      </c>
      <c r="K58" s="33" t="str">
        <f t="shared" si="2"/>
        <v/>
      </c>
      <c r="L58" s="36" t="str">
        <f t="shared" si="3"/>
        <v/>
      </c>
      <c r="M58" s="36" t="str">
        <f t="shared" si="26"/>
        <v/>
      </c>
      <c r="N58" s="33" t="str">
        <f t="shared" si="27"/>
        <v/>
      </c>
      <c r="O58" s="36" t="str">
        <f t="shared" si="28"/>
        <v/>
      </c>
      <c r="P58" s="36" t="str">
        <f t="shared" si="29"/>
        <v/>
      </c>
      <c r="Q58" s="33" t="str">
        <f t="shared" si="30"/>
        <v/>
      </c>
      <c r="R58" s="1"/>
      <c r="S58" s="1"/>
      <c r="Y58" s="1" t="e">
        <f>VLOOKUP($B$6,LOOKUP_SCE,51,0)</f>
        <v>#N/A</v>
      </c>
      <c r="Z58" s="22" t="str">
        <f t="shared" si="52"/>
        <v/>
      </c>
      <c r="AA58" s="23">
        <f t="shared" si="31"/>
        <v>7</v>
      </c>
      <c r="AB58" s="55" t="e">
        <f t="shared" si="53"/>
        <v>#N/A</v>
      </c>
      <c r="AC58" s="38" t="e">
        <f t="shared" si="32"/>
        <v>#N/A</v>
      </c>
      <c r="AD58" s="38" t="e">
        <f t="shared" si="33"/>
        <v>#N/A</v>
      </c>
      <c r="AE58" s="415" t="e">
        <f t="shared" si="54"/>
        <v>#N/A</v>
      </c>
      <c r="AF58" s="10">
        <f t="shared" si="34"/>
        <v>7</v>
      </c>
      <c r="AG58" s="38" t="e">
        <f t="shared" si="7"/>
        <v>#N/A</v>
      </c>
      <c r="AH58" s="38" t="e">
        <f t="shared" si="35"/>
        <v>#N/A</v>
      </c>
      <c r="AI58" s="10" t="e">
        <f t="shared" si="55"/>
        <v>#N/A</v>
      </c>
      <c r="AJ58" s="39" t="e">
        <f t="shared" si="36"/>
        <v>#N/A</v>
      </c>
      <c r="AK58" s="40" t="e">
        <f t="shared" si="9"/>
        <v>#N/A</v>
      </c>
      <c r="AL58" s="11" t="e">
        <f t="shared" si="56"/>
        <v>#N/A</v>
      </c>
      <c r="AM58" s="41">
        <f t="shared" si="37"/>
        <v>7</v>
      </c>
      <c r="AN58" s="57" t="e">
        <f t="shared" si="11"/>
        <v>#N/A</v>
      </c>
      <c r="AO58" s="40" t="e">
        <f t="shared" si="38"/>
        <v>#N/A</v>
      </c>
      <c r="AP58" s="417" t="e">
        <f t="shared" si="57"/>
        <v>#N/A</v>
      </c>
      <c r="AQ58" s="56">
        <f t="shared" si="39"/>
        <v>7</v>
      </c>
      <c r="AR58" s="43" t="e">
        <f t="shared" si="40"/>
        <v>#N/A</v>
      </c>
      <c r="AS58" s="44" t="e">
        <f t="shared" si="41"/>
        <v>#N/A</v>
      </c>
      <c r="AT58" s="45" t="e">
        <f t="shared" si="58"/>
        <v>#N/A</v>
      </c>
      <c r="AU58" s="14">
        <f t="shared" si="42"/>
        <v>7</v>
      </c>
      <c r="AV58" s="44" t="e">
        <f t="shared" si="14"/>
        <v>#N/A</v>
      </c>
      <c r="AW58" s="14" t="e">
        <f t="shared" si="43"/>
        <v>#N/A</v>
      </c>
      <c r="AX58" s="14" t="e">
        <f t="shared" si="59"/>
        <v>#N/A</v>
      </c>
      <c r="AY58" s="46">
        <f t="shared" si="44"/>
        <v>7</v>
      </c>
      <c r="AZ58" s="47" t="e">
        <f t="shared" si="45"/>
        <v>#N/A</v>
      </c>
      <c r="BA58" s="48" t="e">
        <f t="shared" si="46"/>
        <v>#N/A</v>
      </c>
      <c r="BB58" s="31" t="e">
        <f t="shared" si="60"/>
        <v>#N/A</v>
      </c>
      <c r="BC58" s="28">
        <f t="shared" si="47"/>
        <v>7</v>
      </c>
      <c r="BD58" s="47" t="e">
        <f t="shared" si="48"/>
        <v>#N/A</v>
      </c>
      <c r="BE58" s="48" t="e">
        <f t="shared" si="49"/>
        <v>#N/A</v>
      </c>
      <c r="BF58" s="31" t="e">
        <f t="shared" si="61"/>
        <v>#N/A</v>
      </c>
      <c r="BG58" s="49" t="e">
        <f t="shared" si="62"/>
        <v>#N/A</v>
      </c>
      <c r="BH58" s="1" t="e">
        <f>VLOOKUP($B58,STOCK_BY_LA!$A$2:$C$10477,3,0)</f>
        <v>#N/A</v>
      </c>
      <c r="BI58" s="1" t="str">
        <f t="shared" si="50"/>
        <v/>
      </c>
    </row>
    <row r="59" spans="1:61" x14ac:dyDescent="0.35">
      <c r="A59" s="33" t="str">
        <f t="shared" si="63"/>
        <v/>
      </c>
      <c r="B59" s="1" t="str">
        <f t="shared" si="51"/>
        <v/>
      </c>
      <c r="C59" s="34" t="str">
        <f t="shared" si="20"/>
        <v/>
      </c>
      <c r="D59" s="33" t="str">
        <f>IF(B59="","",IF('totals_&amp;_RP_counts'!$O$3=0,IFERROR(IF(AA59=2,"0",AB59),""),"-"))</f>
        <v/>
      </c>
      <c r="E59" s="35" t="str">
        <f t="shared" si="21"/>
        <v/>
      </c>
      <c r="F59" s="36" t="str">
        <f t="shared" si="22"/>
        <v/>
      </c>
      <c r="G59" s="36" t="str">
        <f t="shared" si="23"/>
        <v/>
      </c>
      <c r="H59" s="33" t="str">
        <f t="shared" si="1"/>
        <v/>
      </c>
      <c r="I59" s="36" t="str">
        <f t="shared" si="24"/>
        <v/>
      </c>
      <c r="J59" s="36" t="str">
        <f t="shared" si="25"/>
        <v/>
      </c>
      <c r="K59" s="33" t="str">
        <f t="shared" si="2"/>
        <v/>
      </c>
      <c r="L59" s="36" t="str">
        <f t="shared" si="3"/>
        <v/>
      </c>
      <c r="M59" s="36" t="str">
        <f t="shared" si="26"/>
        <v/>
      </c>
      <c r="N59" s="33" t="str">
        <f t="shared" si="27"/>
        <v/>
      </c>
      <c r="O59" s="36" t="str">
        <f t="shared" si="28"/>
        <v/>
      </c>
      <c r="P59" s="36" t="str">
        <f t="shared" si="29"/>
        <v/>
      </c>
      <c r="Q59" s="33" t="str">
        <f t="shared" si="30"/>
        <v/>
      </c>
      <c r="R59" s="1"/>
      <c r="S59" s="1"/>
      <c r="Y59" s="1" t="e">
        <f>VLOOKUP($B$6,LOOKUP_SCE,52,0)</f>
        <v>#N/A</v>
      </c>
      <c r="Z59" s="22" t="str">
        <f t="shared" si="52"/>
        <v/>
      </c>
      <c r="AA59" s="23">
        <f t="shared" si="31"/>
        <v>7</v>
      </c>
      <c r="AB59" s="55" t="e">
        <f t="shared" si="53"/>
        <v>#N/A</v>
      </c>
      <c r="AC59" s="38" t="e">
        <f t="shared" si="32"/>
        <v>#N/A</v>
      </c>
      <c r="AD59" s="38" t="e">
        <f t="shared" si="33"/>
        <v>#N/A</v>
      </c>
      <c r="AE59" s="415" t="e">
        <f t="shared" si="54"/>
        <v>#N/A</v>
      </c>
      <c r="AF59" s="10">
        <f t="shared" si="34"/>
        <v>7</v>
      </c>
      <c r="AG59" s="38" t="e">
        <f t="shared" si="7"/>
        <v>#N/A</v>
      </c>
      <c r="AH59" s="38" t="e">
        <f t="shared" si="35"/>
        <v>#N/A</v>
      </c>
      <c r="AI59" s="10" t="e">
        <f t="shared" si="55"/>
        <v>#N/A</v>
      </c>
      <c r="AJ59" s="39" t="e">
        <f t="shared" si="36"/>
        <v>#N/A</v>
      </c>
      <c r="AK59" s="40" t="e">
        <f t="shared" si="9"/>
        <v>#N/A</v>
      </c>
      <c r="AL59" s="11" t="e">
        <f t="shared" si="56"/>
        <v>#N/A</v>
      </c>
      <c r="AM59" s="41">
        <f t="shared" si="37"/>
        <v>7</v>
      </c>
      <c r="AN59" s="57" t="e">
        <f t="shared" si="11"/>
        <v>#N/A</v>
      </c>
      <c r="AO59" s="40" t="e">
        <f t="shared" si="38"/>
        <v>#N/A</v>
      </c>
      <c r="AP59" s="417" t="e">
        <f t="shared" si="57"/>
        <v>#N/A</v>
      </c>
      <c r="AQ59" s="56">
        <f t="shared" si="39"/>
        <v>7</v>
      </c>
      <c r="AR59" s="43" t="e">
        <f t="shared" si="40"/>
        <v>#N/A</v>
      </c>
      <c r="AS59" s="44" t="e">
        <f t="shared" si="41"/>
        <v>#N/A</v>
      </c>
      <c r="AT59" s="45" t="e">
        <f t="shared" si="58"/>
        <v>#N/A</v>
      </c>
      <c r="AU59" s="14">
        <f t="shared" si="42"/>
        <v>7</v>
      </c>
      <c r="AV59" s="44" t="e">
        <f t="shared" si="14"/>
        <v>#N/A</v>
      </c>
      <c r="AW59" s="14" t="e">
        <f t="shared" si="43"/>
        <v>#N/A</v>
      </c>
      <c r="AX59" s="14" t="e">
        <f t="shared" si="59"/>
        <v>#N/A</v>
      </c>
      <c r="AY59" s="46">
        <f t="shared" si="44"/>
        <v>7</v>
      </c>
      <c r="AZ59" s="47" t="e">
        <f t="shared" si="45"/>
        <v>#N/A</v>
      </c>
      <c r="BA59" s="48" t="e">
        <f t="shared" si="46"/>
        <v>#N/A</v>
      </c>
      <c r="BB59" s="31" t="e">
        <f t="shared" si="60"/>
        <v>#N/A</v>
      </c>
      <c r="BC59" s="28">
        <f t="shared" si="47"/>
        <v>7</v>
      </c>
      <c r="BD59" s="47" t="e">
        <f t="shared" si="48"/>
        <v>#N/A</v>
      </c>
      <c r="BE59" s="48" t="e">
        <f t="shared" si="49"/>
        <v>#N/A</v>
      </c>
      <c r="BF59" s="31" t="e">
        <f t="shared" si="61"/>
        <v>#N/A</v>
      </c>
      <c r="BG59" s="49" t="e">
        <f t="shared" si="62"/>
        <v>#N/A</v>
      </c>
      <c r="BH59" s="1" t="e">
        <f>VLOOKUP($B59,STOCK_BY_LA!$A$2:$C$10477,3,0)</f>
        <v>#N/A</v>
      </c>
      <c r="BI59" s="1" t="str">
        <f t="shared" si="50"/>
        <v/>
      </c>
    </row>
    <row r="60" spans="1:61" x14ac:dyDescent="0.35">
      <c r="A60" s="1" t="str">
        <f t="shared" si="63"/>
        <v/>
      </c>
      <c r="B60" s="1" t="str">
        <f t="shared" si="51"/>
        <v/>
      </c>
      <c r="C60" s="50" t="str">
        <f t="shared" si="20"/>
        <v/>
      </c>
      <c r="D60" s="33" t="str">
        <f>IF(B60="","",IF('totals_&amp;_RP_counts'!$O$3=0,IFERROR(IF(AA60=2,"0",AB60),""),"-"))</f>
        <v/>
      </c>
      <c r="E60" s="35" t="str">
        <f t="shared" si="21"/>
        <v/>
      </c>
      <c r="F60" s="36" t="str">
        <f t="shared" si="22"/>
        <v/>
      </c>
      <c r="G60" s="36" t="str">
        <f t="shared" si="23"/>
        <v/>
      </c>
      <c r="H60" s="33" t="str">
        <f t="shared" si="1"/>
        <v/>
      </c>
      <c r="I60" s="36" t="str">
        <f t="shared" si="24"/>
        <v/>
      </c>
      <c r="J60" s="36" t="str">
        <f t="shared" si="25"/>
        <v/>
      </c>
      <c r="K60" s="33" t="str">
        <f t="shared" si="2"/>
        <v/>
      </c>
      <c r="L60" s="36" t="str">
        <f t="shared" si="3"/>
        <v/>
      </c>
      <c r="M60" s="36" t="str">
        <f t="shared" si="26"/>
        <v/>
      </c>
      <c r="N60" s="33" t="str">
        <f t="shared" si="27"/>
        <v/>
      </c>
      <c r="O60" s="36" t="str">
        <f t="shared" si="28"/>
        <v/>
      </c>
      <c r="P60" s="36" t="str">
        <f t="shared" si="29"/>
        <v/>
      </c>
      <c r="Q60" s="33" t="str">
        <f t="shared" si="30"/>
        <v/>
      </c>
      <c r="R60" s="1"/>
      <c r="S60" s="1"/>
      <c r="Y60" s="1" t="e">
        <f>VLOOKUP($B$6,LOOKUP_SCE,53,0)</f>
        <v>#N/A</v>
      </c>
      <c r="Z60" s="22" t="str">
        <f t="shared" si="52"/>
        <v/>
      </c>
      <c r="AA60" s="23">
        <f t="shared" si="31"/>
        <v>7</v>
      </c>
      <c r="AB60" s="55" t="e">
        <f t="shared" si="53"/>
        <v>#N/A</v>
      </c>
      <c r="AC60" s="38" t="e">
        <f t="shared" si="32"/>
        <v>#N/A</v>
      </c>
      <c r="AD60" s="38" t="e">
        <f t="shared" si="33"/>
        <v>#N/A</v>
      </c>
      <c r="AE60" s="415" t="e">
        <f t="shared" si="54"/>
        <v>#N/A</v>
      </c>
      <c r="AF60" s="10">
        <f t="shared" si="34"/>
        <v>7</v>
      </c>
      <c r="AG60" s="38" t="e">
        <f t="shared" si="7"/>
        <v>#N/A</v>
      </c>
      <c r="AH60" s="38" t="e">
        <f t="shared" si="35"/>
        <v>#N/A</v>
      </c>
      <c r="AI60" s="10" t="e">
        <f t="shared" si="55"/>
        <v>#N/A</v>
      </c>
      <c r="AJ60" s="39" t="e">
        <f t="shared" si="36"/>
        <v>#N/A</v>
      </c>
      <c r="AK60" s="40" t="e">
        <f t="shared" si="9"/>
        <v>#N/A</v>
      </c>
      <c r="AL60" s="11" t="e">
        <f t="shared" si="56"/>
        <v>#N/A</v>
      </c>
      <c r="AM60" s="41">
        <f t="shared" si="37"/>
        <v>7</v>
      </c>
      <c r="AN60" s="57" t="e">
        <f t="shared" si="11"/>
        <v>#N/A</v>
      </c>
      <c r="AO60" s="40" t="e">
        <f t="shared" si="38"/>
        <v>#N/A</v>
      </c>
      <c r="AP60" s="417" t="e">
        <f t="shared" si="57"/>
        <v>#N/A</v>
      </c>
      <c r="AQ60" s="56">
        <f t="shared" si="39"/>
        <v>7</v>
      </c>
      <c r="AR60" s="43" t="e">
        <f t="shared" si="40"/>
        <v>#N/A</v>
      </c>
      <c r="AS60" s="44" t="e">
        <f t="shared" si="41"/>
        <v>#N/A</v>
      </c>
      <c r="AT60" s="45" t="e">
        <f t="shared" si="58"/>
        <v>#N/A</v>
      </c>
      <c r="AU60" s="14">
        <f t="shared" si="42"/>
        <v>7</v>
      </c>
      <c r="AV60" s="44" t="e">
        <f t="shared" si="14"/>
        <v>#N/A</v>
      </c>
      <c r="AW60" s="14" t="e">
        <f t="shared" si="43"/>
        <v>#N/A</v>
      </c>
      <c r="AX60" s="14" t="e">
        <f t="shared" si="59"/>
        <v>#N/A</v>
      </c>
      <c r="AY60" s="46">
        <f t="shared" si="44"/>
        <v>7</v>
      </c>
      <c r="AZ60" s="47" t="e">
        <f t="shared" si="45"/>
        <v>#N/A</v>
      </c>
      <c r="BA60" s="48" t="e">
        <f t="shared" si="46"/>
        <v>#N/A</v>
      </c>
      <c r="BB60" s="31" t="e">
        <f t="shared" si="60"/>
        <v>#N/A</v>
      </c>
      <c r="BC60" s="28">
        <f t="shared" si="47"/>
        <v>7</v>
      </c>
      <c r="BD60" s="47" t="e">
        <f t="shared" si="48"/>
        <v>#N/A</v>
      </c>
      <c r="BE60" s="48" t="e">
        <f t="shared" si="49"/>
        <v>#N/A</v>
      </c>
      <c r="BF60" s="31" t="e">
        <f t="shared" si="61"/>
        <v>#N/A</v>
      </c>
      <c r="BG60" s="49" t="e">
        <f t="shared" si="62"/>
        <v>#N/A</v>
      </c>
      <c r="BH60" s="1" t="e">
        <f>VLOOKUP($B60,STOCK_BY_LA!$A$2:$C$10477,3,0)</f>
        <v>#N/A</v>
      </c>
      <c r="BI60" s="1" t="str">
        <f t="shared" si="50"/>
        <v/>
      </c>
    </row>
    <row r="61" spans="1:61" x14ac:dyDescent="0.35">
      <c r="A61" s="33" t="str">
        <f t="shared" si="63"/>
        <v/>
      </c>
      <c r="B61" s="1" t="str">
        <f t="shared" si="51"/>
        <v/>
      </c>
      <c r="C61" s="34" t="str">
        <f t="shared" si="20"/>
        <v/>
      </c>
      <c r="D61" s="33" t="str">
        <f>IF(B61="","",IF('totals_&amp;_RP_counts'!$O$3=0,IFERROR(IF(AA61=2,"0",AB61),""),"-"))</f>
        <v/>
      </c>
      <c r="E61" s="35" t="str">
        <f t="shared" si="21"/>
        <v/>
      </c>
      <c r="F61" s="36" t="str">
        <f t="shared" si="22"/>
        <v/>
      </c>
      <c r="G61" s="36" t="str">
        <f t="shared" si="23"/>
        <v/>
      </c>
      <c r="H61" s="33" t="str">
        <f t="shared" si="1"/>
        <v/>
      </c>
      <c r="I61" s="36" t="str">
        <f t="shared" si="24"/>
        <v/>
      </c>
      <c r="J61" s="36" t="str">
        <f t="shared" si="25"/>
        <v/>
      </c>
      <c r="K61" s="33" t="str">
        <f t="shared" si="2"/>
        <v/>
      </c>
      <c r="L61" s="36" t="str">
        <f t="shared" si="3"/>
        <v/>
      </c>
      <c r="M61" s="36" t="str">
        <f t="shared" si="26"/>
        <v/>
      </c>
      <c r="N61" s="33" t="str">
        <f t="shared" si="27"/>
        <v/>
      </c>
      <c r="O61" s="36" t="str">
        <f t="shared" si="28"/>
        <v/>
      </c>
      <c r="P61" s="36" t="str">
        <f t="shared" si="29"/>
        <v/>
      </c>
      <c r="Q61" s="33" t="str">
        <f t="shared" si="30"/>
        <v/>
      </c>
      <c r="R61" s="1"/>
      <c r="S61" s="1"/>
      <c r="Y61" s="1" t="e">
        <f>VLOOKUP($B$6,LOOKUP_SCE,54,0)</f>
        <v>#N/A</v>
      </c>
      <c r="Z61" s="22" t="str">
        <f t="shared" si="52"/>
        <v/>
      </c>
      <c r="AA61" s="23">
        <f t="shared" si="31"/>
        <v>7</v>
      </c>
      <c r="AB61" s="55" t="e">
        <f t="shared" si="53"/>
        <v>#N/A</v>
      </c>
      <c r="AC61" s="38" t="e">
        <f t="shared" si="32"/>
        <v>#N/A</v>
      </c>
      <c r="AD61" s="38" t="e">
        <f t="shared" si="33"/>
        <v>#N/A</v>
      </c>
      <c r="AE61" s="415" t="e">
        <f t="shared" si="54"/>
        <v>#N/A</v>
      </c>
      <c r="AF61" s="10">
        <f t="shared" si="34"/>
        <v>7</v>
      </c>
      <c r="AG61" s="38" t="e">
        <f t="shared" si="7"/>
        <v>#N/A</v>
      </c>
      <c r="AH61" s="38" t="e">
        <f t="shared" si="35"/>
        <v>#N/A</v>
      </c>
      <c r="AI61" s="10" t="e">
        <f t="shared" si="55"/>
        <v>#N/A</v>
      </c>
      <c r="AJ61" s="39" t="e">
        <f t="shared" si="36"/>
        <v>#N/A</v>
      </c>
      <c r="AK61" s="40" t="e">
        <f t="shared" si="9"/>
        <v>#N/A</v>
      </c>
      <c r="AL61" s="11" t="e">
        <f t="shared" si="56"/>
        <v>#N/A</v>
      </c>
      <c r="AM61" s="41">
        <f t="shared" si="37"/>
        <v>7</v>
      </c>
      <c r="AN61" s="57" t="e">
        <f t="shared" si="11"/>
        <v>#N/A</v>
      </c>
      <c r="AO61" s="40" t="e">
        <f t="shared" si="38"/>
        <v>#N/A</v>
      </c>
      <c r="AP61" s="417" t="e">
        <f t="shared" si="57"/>
        <v>#N/A</v>
      </c>
      <c r="AQ61" s="56">
        <f t="shared" si="39"/>
        <v>7</v>
      </c>
      <c r="AR61" s="43" t="e">
        <f t="shared" si="40"/>
        <v>#N/A</v>
      </c>
      <c r="AS61" s="44" t="e">
        <f t="shared" si="41"/>
        <v>#N/A</v>
      </c>
      <c r="AT61" s="45" t="e">
        <f t="shared" si="58"/>
        <v>#N/A</v>
      </c>
      <c r="AU61" s="14">
        <f t="shared" si="42"/>
        <v>7</v>
      </c>
      <c r="AV61" s="44" t="e">
        <f t="shared" si="14"/>
        <v>#N/A</v>
      </c>
      <c r="AW61" s="14" t="e">
        <f t="shared" si="43"/>
        <v>#N/A</v>
      </c>
      <c r="AX61" s="14" t="e">
        <f t="shared" si="59"/>
        <v>#N/A</v>
      </c>
      <c r="AY61" s="46">
        <f t="shared" si="44"/>
        <v>7</v>
      </c>
      <c r="AZ61" s="47" t="e">
        <f t="shared" si="45"/>
        <v>#N/A</v>
      </c>
      <c r="BA61" s="48" t="e">
        <f t="shared" si="46"/>
        <v>#N/A</v>
      </c>
      <c r="BB61" s="31" t="e">
        <f t="shared" si="60"/>
        <v>#N/A</v>
      </c>
      <c r="BC61" s="28">
        <f t="shared" si="47"/>
        <v>7</v>
      </c>
      <c r="BD61" s="47" t="e">
        <f t="shared" si="48"/>
        <v>#N/A</v>
      </c>
      <c r="BE61" s="48" t="e">
        <f t="shared" si="49"/>
        <v>#N/A</v>
      </c>
      <c r="BF61" s="31" t="e">
        <f t="shared" si="61"/>
        <v>#N/A</v>
      </c>
      <c r="BG61" s="49" t="e">
        <f t="shared" si="62"/>
        <v>#N/A</v>
      </c>
      <c r="BH61" s="1" t="e">
        <f>VLOOKUP($B61,STOCK_BY_LA!$A$2:$C$10477,3,0)</f>
        <v>#N/A</v>
      </c>
      <c r="BI61" s="1" t="str">
        <f t="shared" si="50"/>
        <v/>
      </c>
    </row>
    <row r="62" spans="1:61" x14ac:dyDescent="0.35">
      <c r="A62" s="1" t="str">
        <f t="shared" si="63"/>
        <v/>
      </c>
      <c r="B62" s="1" t="str">
        <f t="shared" si="51"/>
        <v/>
      </c>
      <c r="C62" s="50" t="str">
        <f t="shared" si="20"/>
        <v/>
      </c>
      <c r="D62" s="33" t="str">
        <f>IF(B62="","",IF('totals_&amp;_RP_counts'!$O$3=0,IFERROR(IF(AA62=2,"0",AB62),""),"-"))</f>
        <v/>
      </c>
      <c r="E62" s="35" t="str">
        <f t="shared" si="21"/>
        <v/>
      </c>
      <c r="F62" s="36" t="str">
        <f t="shared" si="22"/>
        <v/>
      </c>
      <c r="G62" s="36" t="str">
        <f t="shared" si="23"/>
        <v/>
      </c>
      <c r="H62" s="33" t="str">
        <f t="shared" si="1"/>
        <v/>
      </c>
      <c r="I62" s="36" t="str">
        <f t="shared" si="24"/>
        <v/>
      </c>
      <c r="J62" s="36" t="str">
        <f t="shared" si="25"/>
        <v/>
      </c>
      <c r="K62" s="33" t="str">
        <f t="shared" si="2"/>
        <v/>
      </c>
      <c r="L62" s="36" t="str">
        <f t="shared" si="3"/>
        <v/>
      </c>
      <c r="M62" s="36" t="str">
        <f t="shared" si="26"/>
        <v/>
      </c>
      <c r="N62" s="33" t="str">
        <f t="shared" si="27"/>
        <v/>
      </c>
      <c r="O62" s="36" t="str">
        <f t="shared" si="28"/>
        <v/>
      </c>
      <c r="P62" s="36" t="str">
        <f t="shared" si="29"/>
        <v/>
      </c>
      <c r="Q62" s="33" t="str">
        <f t="shared" si="30"/>
        <v/>
      </c>
      <c r="R62" s="1"/>
      <c r="S62" s="1"/>
      <c r="Y62" s="1" t="e">
        <f>VLOOKUP($B$6,LOOKUP_SCE,55,0)</f>
        <v>#N/A</v>
      </c>
      <c r="Z62" s="22" t="str">
        <f t="shared" si="52"/>
        <v/>
      </c>
      <c r="AA62" s="23">
        <f t="shared" si="31"/>
        <v>7</v>
      </c>
      <c r="AB62" s="55" t="e">
        <f t="shared" si="53"/>
        <v>#N/A</v>
      </c>
      <c r="AC62" s="38" t="e">
        <f t="shared" si="32"/>
        <v>#N/A</v>
      </c>
      <c r="AD62" s="38" t="e">
        <f t="shared" si="33"/>
        <v>#N/A</v>
      </c>
      <c r="AE62" s="415" t="e">
        <f t="shared" si="54"/>
        <v>#N/A</v>
      </c>
      <c r="AF62" s="10">
        <f t="shared" si="34"/>
        <v>7</v>
      </c>
      <c r="AG62" s="38" t="e">
        <f t="shared" si="7"/>
        <v>#N/A</v>
      </c>
      <c r="AH62" s="38" t="e">
        <f t="shared" si="35"/>
        <v>#N/A</v>
      </c>
      <c r="AI62" s="10" t="e">
        <f t="shared" si="55"/>
        <v>#N/A</v>
      </c>
      <c r="AJ62" s="39" t="e">
        <f t="shared" si="36"/>
        <v>#N/A</v>
      </c>
      <c r="AK62" s="40" t="e">
        <f t="shared" si="9"/>
        <v>#N/A</v>
      </c>
      <c r="AL62" s="11" t="e">
        <f t="shared" si="56"/>
        <v>#N/A</v>
      </c>
      <c r="AM62" s="41">
        <f t="shared" si="37"/>
        <v>7</v>
      </c>
      <c r="AN62" s="57" t="e">
        <f t="shared" si="11"/>
        <v>#N/A</v>
      </c>
      <c r="AO62" s="40" t="e">
        <f t="shared" si="38"/>
        <v>#N/A</v>
      </c>
      <c r="AP62" s="417" t="e">
        <f t="shared" si="57"/>
        <v>#N/A</v>
      </c>
      <c r="AQ62" s="56">
        <f t="shared" si="39"/>
        <v>7</v>
      </c>
      <c r="AR62" s="43" t="e">
        <f t="shared" si="40"/>
        <v>#N/A</v>
      </c>
      <c r="AS62" s="44" t="e">
        <f t="shared" si="41"/>
        <v>#N/A</v>
      </c>
      <c r="AT62" s="45" t="e">
        <f t="shared" si="58"/>
        <v>#N/A</v>
      </c>
      <c r="AU62" s="14">
        <f t="shared" si="42"/>
        <v>7</v>
      </c>
      <c r="AV62" s="44" t="e">
        <f t="shared" si="14"/>
        <v>#N/A</v>
      </c>
      <c r="AW62" s="14" t="e">
        <f t="shared" si="43"/>
        <v>#N/A</v>
      </c>
      <c r="AX62" s="14" t="e">
        <f t="shared" si="59"/>
        <v>#N/A</v>
      </c>
      <c r="AY62" s="46">
        <f t="shared" si="44"/>
        <v>7</v>
      </c>
      <c r="AZ62" s="47" t="e">
        <f t="shared" si="45"/>
        <v>#N/A</v>
      </c>
      <c r="BA62" s="48" t="e">
        <f t="shared" si="46"/>
        <v>#N/A</v>
      </c>
      <c r="BB62" s="31" t="e">
        <f t="shared" si="60"/>
        <v>#N/A</v>
      </c>
      <c r="BC62" s="28">
        <f t="shared" si="47"/>
        <v>7</v>
      </c>
      <c r="BD62" s="47" t="e">
        <f t="shared" si="48"/>
        <v>#N/A</v>
      </c>
      <c r="BE62" s="48" t="e">
        <f t="shared" si="49"/>
        <v>#N/A</v>
      </c>
      <c r="BF62" s="31" t="e">
        <f t="shared" si="61"/>
        <v>#N/A</v>
      </c>
      <c r="BG62" s="49" t="e">
        <f t="shared" si="62"/>
        <v>#N/A</v>
      </c>
      <c r="BH62" s="1" t="e">
        <f>VLOOKUP($B62,STOCK_BY_LA!$A$2:$C$10477,3,0)</f>
        <v>#N/A</v>
      </c>
      <c r="BI62" s="1" t="str">
        <f t="shared" si="50"/>
        <v/>
      </c>
    </row>
    <row r="63" spans="1:61" x14ac:dyDescent="0.35">
      <c r="A63" s="33" t="str">
        <f t="shared" si="63"/>
        <v/>
      </c>
      <c r="B63" s="1" t="str">
        <f t="shared" si="51"/>
        <v/>
      </c>
      <c r="C63" s="34" t="str">
        <f t="shared" si="20"/>
        <v/>
      </c>
      <c r="D63" s="33" t="str">
        <f>IF(B63="","",IF('totals_&amp;_RP_counts'!$O$3=0,IFERROR(IF(AA63=2,"0",AB63),""),"-"))</f>
        <v/>
      </c>
      <c r="E63" s="35" t="str">
        <f t="shared" si="21"/>
        <v/>
      </c>
      <c r="F63" s="36" t="str">
        <f t="shared" si="22"/>
        <v/>
      </c>
      <c r="G63" s="36" t="str">
        <f t="shared" si="23"/>
        <v/>
      </c>
      <c r="H63" s="33" t="str">
        <f t="shared" si="1"/>
        <v/>
      </c>
      <c r="I63" s="36" t="str">
        <f t="shared" si="24"/>
        <v/>
      </c>
      <c r="J63" s="36" t="str">
        <f t="shared" si="25"/>
        <v/>
      </c>
      <c r="K63" s="33" t="str">
        <f t="shared" si="2"/>
        <v/>
      </c>
      <c r="L63" s="36" t="str">
        <f t="shared" si="3"/>
        <v/>
      </c>
      <c r="M63" s="36" t="str">
        <f t="shared" si="26"/>
        <v/>
      </c>
      <c r="N63" s="33" t="str">
        <f t="shared" si="27"/>
        <v/>
      </c>
      <c r="O63" s="36" t="str">
        <f t="shared" si="28"/>
        <v/>
      </c>
      <c r="P63" s="36" t="str">
        <f t="shared" si="29"/>
        <v/>
      </c>
      <c r="Q63" s="33" t="str">
        <f t="shared" si="30"/>
        <v/>
      </c>
      <c r="R63" s="1"/>
      <c r="S63" s="1"/>
      <c r="Y63" s="1" t="e">
        <f>VLOOKUP($B$6,LOOKUP_SCE,56,0)</f>
        <v>#N/A</v>
      </c>
      <c r="Z63" s="22" t="str">
        <f t="shared" si="52"/>
        <v/>
      </c>
      <c r="AA63" s="23">
        <f t="shared" si="31"/>
        <v>7</v>
      </c>
      <c r="AB63" s="55" t="e">
        <f t="shared" si="53"/>
        <v>#N/A</v>
      </c>
      <c r="AC63" s="38" t="e">
        <f t="shared" si="32"/>
        <v>#N/A</v>
      </c>
      <c r="AD63" s="38" t="e">
        <f t="shared" si="33"/>
        <v>#N/A</v>
      </c>
      <c r="AE63" s="415" t="e">
        <f t="shared" si="54"/>
        <v>#N/A</v>
      </c>
      <c r="AF63" s="10">
        <f t="shared" si="34"/>
        <v>7</v>
      </c>
      <c r="AG63" s="38" t="e">
        <f t="shared" si="7"/>
        <v>#N/A</v>
      </c>
      <c r="AH63" s="38" t="e">
        <f t="shared" si="35"/>
        <v>#N/A</v>
      </c>
      <c r="AI63" s="10" t="e">
        <f t="shared" si="55"/>
        <v>#N/A</v>
      </c>
      <c r="AJ63" s="39" t="e">
        <f t="shared" si="36"/>
        <v>#N/A</v>
      </c>
      <c r="AK63" s="40" t="e">
        <f t="shared" si="9"/>
        <v>#N/A</v>
      </c>
      <c r="AL63" s="11" t="e">
        <f t="shared" si="56"/>
        <v>#N/A</v>
      </c>
      <c r="AM63" s="41">
        <f t="shared" si="37"/>
        <v>7</v>
      </c>
      <c r="AN63" s="57" t="e">
        <f t="shared" si="11"/>
        <v>#N/A</v>
      </c>
      <c r="AO63" s="40" t="e">
        <f t="shared" si="38"/>
        <v>#N/A</v>
      </c>
      <c r="AP63" s="417" t="e">
        <f t="shared" si="57"/>
        <v>#N/A</v>
      </c>
      <c r="AQ63" s="56">
        <f t="shared" si="39"/>
        <v>7</v>
      </c>
      <c r="AR63" s="43" t="e">
        <f t="shared" si="40"/>
        <v>#N/A</v>
      </c>
      <c r="AS63" s="44" t="e">
        <f t="shared" si="41"/>
        <v>#N/A</v>
      </c>
      <c r="AT63" s="45" t="e">
        <f t="shared" si="58"/>
        <v>#N/A</v>
      </c>
      <c r="AU63" s="14">
        <f t="shared" si="42"/>
        <v>7</v>
      </c>
      <c r="AV63" s="44" t="e">
        <f t="shared" si="14"/>
        <v>#N/A</v>
      </c>
      <c r="AW63" s="14" t="e">
        <f t="shared" si="43"/>
        <v>#N/A</v>
      </c>
      <c r="AX63" s="14" t="e">
        <f t="shared" si="59"/>
        <v>#N/A</v>
      </c>
      <c r="AY63" s="46">
        <f t="shared" si="44"/>
        <v>7</v>
      </c>
      <c r="AZ63" s="47" t="e">
        <f t="shared" si="45"/>
        <v>#N/A</v>
      </c>
      <c r="BA63" s="48" t="e">
        <f t="shared" si="46"/>
        <v>#N/A</v>
      </c>
      <c r="BB63" s="31" t="e">
        <f t="shared" si="60"/>
        <v>#N/A</v>
      </c>
      <c r="BC63" s="28">
        <f t="shared" si="47"/>
        <v>7</v>
      </c>
      <c r="BD63" s="47" t="e">
        <f t="shared" si="48"/>
        <v>#N/A</v>
      </c>
      <c r="BE63" s="48" t="e">
        <f t="shared" si="49"/>
        <v>#N/A</v>
      </c>
      <c r="BF63" s="31" t="e">
        <f t="shared" si="61"/>
        <v>#N/A</v>
      </c>
      <c r="BG63" s="49" t="e">
        <f t="shared" si="62"/>
        <v>#N/A</v>
      </c>
      <c r="BH63" s="1" t="e">
        <f>VLOOKUP($B63,STOCK_BY_LA!$A$2:$C$10477,3,0)</f>
        <v>#N/A</v>
      </c>
      <c r="BI63" s="1" t="str">
        <f t="shared" si="50"/>
        <v/>
      </c>
    </row>
    <row r="64" spans="1:61" x14ac:dyDescent="0.35">
      <c r="A64" s="1" t="str">
        <f t="shared" si="63"/>
        <v/>
      </c>
      <c r="B64" s="1" t="str">
        <f t="shared" si="51"/>
        <v/>
      </c>
      <c r="C64" s="50" t="str">
        <f t="shared" si="20"/>
        <v/>
      </c>
      <c r="D64" s="33" t="str">
        <f>IF(B64="","",IF('totals_&amp;_RP_counts'!$O$3=0,IFERROR(IF(AA64=2,"0",AB64),""),"-"))</f>
        <v/>
      </c>
      <c r="E64" s="35" t="str">
        <f t="shared" si="21"/>
        <v/>
      </c>
      <c r="F64" s="36" t="str">
        <f t="shared" si="22"/>
        <v/>
      </c>
      <c r="G64" s="36" t="str">
        <f t="shared" si="23"/>
        <v/>
      </c>
      <c r="H64" s="33" t="str">
        <f t="shared" si="1"/>
        <v/>
      </c>
      <c r="I64" s="36" t="str">
        <f t="shared" si="24"/>
        <v/>
      </c>
      <c r="J64" s="36" t="str">
        <f t="shared" si="25"/>
        <v/>
      </c>
      <c r="K64" s="33" t="str">
        <f t="shared" si="2"/>
        <v/>
      </c>
      <c r="L64" s="36" t="str">
        <f t="shared" si="3"/>
        <v/>
      </c>
      <c r="M64" s="36" t="str">
        <f t="shared" si="26"/>
        <v/>
      </c>
      <c r="N64" s="33" t="str">
        <f t="shared" si="27"/>
        <v/>
      </c>
      <c r="O64" s="36" t="str">
        <f t="shared" si="28"/>
        <v/>
      </c>
      <c r="P64" s="36" t="str">
        <f t="shared" si="29"/>
        <v/>
      </c>
      <c r="Q64" s="33" t="str">
        <f t="shared" si="30"/>
        <v/>
      </c>
      <c r="R64" s="1"/>
      <c r="S64" s="1"/>
      <c r="Y64" s="1" t="e">
        <f>VLOOKUP($B$6,LOOKUP_SCE,57,0)</f>
        <v>#N/A</v>
      </c>
      <c r="Z64" s="22" t="str">
        <f t="shared" si="52"/>
        <v/>
      </c>
      <c r="AA64" s="23">
        <f t="shared" si="31"/>
        <v>7</v>
      </c>
      <c r="AB64" s="55" t="e">
        <f t="shared" si="53"/>
        <v>#N/A</v>
      </c>
      <c r="AC64" s="38" t="e">
        <f t="shared" si="32"/>
        <v>#N/A</v>
      </c>
      <c r="AD64" s="38" t="e">
        <f t="shared" si="33"/>
        <v>#N/A</v>
      </c>
      <c r="AE64" s="415" t="e">
        <f t="shared" si="54"/>
        <v>#N/A</v>
      </c>
      <c r="AF64" s="10">
        <f t="shared" si="34"/>
        <v>7</v>
      </c>
      <c r="AG64" s="38" t="e">
        <f t="shared" si="7"/>
        <v>#N/A</v>
      </c>
      <c r="AH64" s="38" t="e">
        <f t="shared" si="35"/>
        <v>#N/A</v>
      </c>
      <c r="AI64" s="10" t="e">
        <f t="shared" si="55"/>
        <v>#N/A</v>
      </c>
      <c r="AJ64" s="39" t="e">
        <f t="shared" si="36"/>
        <v>#N/A</v>
      </c>
      <c r="AK64" s="40" t="e">
        <f t="shared" si="9"/>
        <v>#N/A</v>
      </c>
      <c r="AL64" s="11" t="e">
        <f t="shared" si="56"/>
        <v>#N/A</v>
      </c>
      <c r="AM64" s="41">
        <f t="shared" si="37"/>
        <v>7</v>
      </c>
      <c r="AN64" s="57" t="e">
        <f t="shared" si="11"/>
        <v>#N/A</v>
      </c>
      <c r="AO64" s="40" t="e">
        <f t="shared" si="38"/>
        <v>#N/A</v>
      </c>
      <c r="AP64" s="417" t="e">
        <f t="shared" si="57"/>
        <v>#N/A</v>
      </c>
      <c r="AQ64" s="56">
        <f t="shared" si="39"/>
        <v>7</v>
      </c>
      <c r="AR64" s="43" t="e">
        <f t="shared" si="40"/>
        <v>#N/A</v>
      </c>
      <c r="AS64" s="44" t="e">
        <f t="shared" si="41"/>
        <v>#N/A</v>
      </c>
      <c r="AT64" s="45" t="e">
        <f t="shared" si="58"/>
        <v>#N/A</v>
      </c>
      <c r="AU64" s="14">
        <f t="shared" si="42"/>
        <v>7</v>
      </c>
      <c r="AV64" s="44" t="e">
        <f t="shared" si="14"/>
        <v>#N/A</v>
      </c>
      <c r="AW64" s="14" t="e">
        <f t="shared" si="43"/>
        <v>#N/A</v>
      </c>
      <c r="AX64" s="14" t="e">
        <f t="shared" si="59"/>
        <v>#N/A</v>
      </c>
      <c r="AY64" s="46">
        <f t="shared" si="44"/>
        <v>7</v>
      </c>
      <c r="AZ64" s="47" t="e">
        <f t="shared" si="45"/>
        <v>#N/A</v>
      </c>
      <c r="BA64" s="48" t="e">
        <f t="shared" si="46"/>
        <v>#N/A</v>
      </c>
      <c r="BB64" s="31" t="e">
        <f t="shared" si="60"/>
        <v>#N/A</v>
      </c>
      <c r="BC64" s="28">
        <f t="shared" si="47"/>
        <v>7</v>
      </c>
      <c r="BD64" s="47" t="e">
        <f t="shared" si="48"/>
        <v>#N/A</v>
      </c>
      <c r="BE64" s="48" t="e">
        <f t="shared" si="49"/>
        <v>#N/A</v>
      </c>
      <c r="BF64" s="31" t="e">
        <f t="shared" si="61"/>
        <v>#N/A</v>
      </c>
      <c r="BG64" s="49" t="e">
        <f t="shared" si="62"/>
        <v>#N/A</v>
      </c>
      <c r="BH64" s="1" t="e">
        <f>VLOOKUP($B64,STOCK_BY_LA!$A$2:$C$10477,3,0)</f>
        <v>#N/A</v>
      </c>
      <c r="BI64" s="1" t="str">
        <f t="shared" si="50"/>
        <v/>
      </c>
    </row>
    <row r="65" spans="1:61" x14ac:dyDescent="0.35">
      <c r="A65" s="33" t="str">
        <f t="shared" si="63"/>
        <v/>
      </c>
      <c r="B65" s="1" t="str">
        <f t="shared" si="51"/>
        <v/>
      </c>
      <c r="C65" s="34" t="str">
        <f t="shared" si="20"/>
        <v/>
      </c>
      <c r="D65" s="33" t="str">
        <f>IF(B65="","",IF('totals_&amp;_RP_counts'!$O$3=0,IFERROR(IF(AA65=2,"0",AB65),""),"-"))</f>
        <v/>
      </c>
      <c r="E65" s="35" t="str">
        <f t="shared" si="21"/>
        <v/>
      </c>
      <c r="F65" s="36" t="str">
        <f t="shared" si="22"/>
        <v/>
      </c>
      <c r="G65" s="36" t="str">
        <f t="shared" si="23"/>
        <v/>
      </c>
      <c r="H65" s="33" t="str">
        <f t="shared" si="1"/>
        <v/>
      </c>
      <c r="I65" s="36" t="str">
        <f t="shared" si="24"/>
        <v/>
      </c>
      <c r="J65" s="36" t="str">
        <f t="shared" si="25"/>
        <v/>
      </c>
      <c r="K65" s="33" t="str">
        <f t="shared" si="2"/>
        <v/>
      </c>
      <c r="L65" s="36" t="str">
        <f t="shared" si="3"/>
        <v/>
      </c>
      <c r="M65" s="36" t="str">
        <f t="shared" si="26"/>
        <v/>
      </c>
      <c r="N65" s="33" t="str">
        <f t="shared" si="27"/>
        <v/>
      </c>
      <c r="O65" s="36" t="str">
        <f t="shared" si="28"/>
        <v/>
      </c>
      <c r="P65" s="36" t="str">
        <f t="shared" si="29"/>
        <v/>
      </c>
      <c r="Q65" s="33" t="str">
        <f t="shared" si="30"/>
        <v/>
      </c>
      <c r="R65" s="1"/>
      <c r="S65" s="1"/>
      <c r="Y65" s="1" t="e">
        <f>VLOOKUP($B$6,LOOKUP_SCE,58,0)</f>
        <v>#N/A</v>
      </c>
      <c r="Z65" s="22" t="str">
        <f t="shared" si="52"/>
        <v/>
      </c>
      <c r="AA65" s="23">
        <f t="shared" si="31"/>
        <v>7</v>
      </c>
      <c r="AB65" s="55" t="e">
        <f t="shared" si="53"/>
        <v>#N/A</v>
      </c>
      <c r="AC65" s="38" t="e">
        <f t="shared" si="32"/>
        <v>#N/A</v>
      </c>
      <c r="AD65" s="38" t="e">
        <f t="shared" si="33"/>
        <v>#N/A</v>
      </c>
      <c r="AE65" s="415" t="e">
        <f t="shared" si="54"/>
        <v>#N/A</v>
      </c>
      <c r="AF65" s="10">
        <f t="shared" si="34"/>
        <v>7</v>
      </c>
      <c r="AG65" s="38" t="e">
        <f t="shared" si="7"/>
        <v>#N/A</v>
      </c>
      <c r="AH65" s="38" t="e">
        <f t="shared" si="35"/>
        <v>#N/A</v>
      </c>
      <c r="AI65" s="10" t="e">
        <f t="shared" si="55"/>
        <v>#N/A</v>
      </c>
      <c r="AJ65" s="39" t="e">
        <f t="shared" si="36"/>
        <v>#N/A</v>
      </c>
      <c r="AK65" s="40" t="e">
        <f t="shared" si="9"/>
        <v>#N/A</v>
      </c>
      <c r="AL65" s="11" t="e">
        <f t="shared" si="56"/>
        <v>#N/A</v>
      </c>
      <c r="AM65" s="41">
        <f t="shared" si="37"/>
        <v>7</v>
      </c>
      <c r="AN65" s="57" t="e">
        <f t="shared" si="11"/>
        <v>#N/A</v>
      </c>
      <c r="AO65" s="40" t="e">
        <f t="shared" si="38"/>
        <v>#N/A</v>
      </c>
      <c r="AP65" s="417" t="e">
        <f t="shared" si="57"/>
        <v>#N/A</v>
      </c>
      <c r="AQ65" s="56">
        <f t="shared" si="39"/>
        <v>7</v>
      </c>
      <c r="AR65" s="43" t="e">
        <f t="shared" si="40"/>
        <v>#N/A</v>
      </c>
      <c r="AS65" s="44" t="e">
        <f t="shared" si="41"/>
        <v>#N/A</v>
      </c>
      <c r="AT65" s="45" t="e">
        <f t="shared" si="58"/>
        <v>#N/A</v>
      </c>
      <c r="AU65" s="14">
        <f t="shared" si="42"/>
        <v>7</v>
      </c>
      <c r="AV65" s="44" t="e">
        <f t="shared" si="14"/>
        <v>#N/A</v>
      </c>
      <c r="AW65" s="14" t="e">
        <f t="shared" si="43"/>
        <v>#N/A</v>
      </c>
      <c r="AX65" s="14" t="e">
        <f t="shared" si="59"/>
        <v>#N/A</v>
      </c>
      <c r="AY65" s="46">
        <f t="shared" si="44"/>
        <v>7</v>
      </c>
      <c r="AZ65" s="47" t="e">
        <f t="shared" si="45"/>
        <v>#N/A</v>
      </c>
      <c r="BA65" s="48" t="e">
        <f t="shared" si="46"/>
        <v>#N/A</v>
      </c>
      <c r="BB65" s="31" t="e">
        <f t="shared" si="60"/>
        <v>#N/A</v>
      </c>
      <c r="BC65" s="28">
        <f t="shared" si="47"/>
        <v>7</v>
      </c>
      <c r="BD65" s="47" t="e">
        <f t="shared" si="48"/>
        <v>#N/A</v>
      </c>
      <c r="BE65" s="48" t="e">
        <f t="shared" si="49"/>
        <v>#N/A</v>
      </c>
      <c r="BF65" s="31" t="e">
        <f t="shared" si="61"/>
        <v>#N/A</v>
      </c>
      <c r="BG65" s="49" t="e">
        <f t="shared" si="62"/>
        <v>#N/A</v>
      </c>
      <c r="BH65" s="1" t="e">
        <f>VLOOKUP($B65,STOCK_BY_LA!$A$2:$C$10477,3,0)</f>
        <v>#N/A</v>
      </c>
      <c r="BI65" s="1" t="str">
        <f t="shared" si="50"/>
        <v/>
      </c>
    </row>
    <row r="66" spans="1:61" x14ac:dyDescent="0.35">
      <c r="A66" s="1" t="str">
        <f t="shared" si="63"/>
        <v/>
      </c>
      <c r="B66" s="1" t="str">
        <f t="shared" si="51"/>
        <v/>
      </c>
      <c r="C66" s="50" t="str">
        <f t="shared" si="20"/>
        <v/>
      </c>
      <c r="D66" s="33" t="str">
        <f>IF(B66="","",IF('totals_&amp;_RP_counts'!$O$3=0,IFERROR(IF(AA66=2,"0",AB66),""),"-"))</f>
        <v/>
      </c>
      <c r="E66" s="35" t="str">
        <f t="shared" si="21"/>
        <v/>
      </c>
      <c r="F66" s="36" t="str">
        <f t="shared" si="22"/>
        <v/>
      </c>
      <c r="G66" s="36" t="str">
        <f t="shared" si="23"/>
        <v/>
      </c>
      <c r="H66" s="33" t="str">
        <f t="shared" si="1"/>
        <v/>
      </c>
      <c r="I66" s="36" t="str">
        <f t="shared" si="24"/>
        <v/>
      </c>
      <c r="J66" s="36" t="str">
        <f t="shared" si="25"/>
        <v/>
      </c>
      <c r="K66" s="33" t="str">
        <f t="shared" si="2"/>
        <v/>
      </c>
      <c r="L66" s="36" t="str">
        <f t="shared" si="3"/>
        <v/>
      </c>
      <c r="M66" s="36" t="str">
        <f t="shared" si="26"/>
        <v/>
      </c>
      <c r="N66" s="33" t="str">
        <f t="shared" si="27"/>
        <v/>
      </c>
      <c r="O66" s="36" t="str">
        <f t="shared" si="28"/>
        <v/>
      </c>
      <c r="P66" s="36" t="str">
        <f t="shared" si="29"/>
        <v/>
      </c>
      <c r="Q66" s="33" t="str">
        <f t="shared" si="30"/>
        <v/>
      </c>
      <c r="R66" s="1"/>
      <c r="S66" s="1"/>
      <c r="Y66" s="1" t="e">
        <f>VLOOKUP($B$6,LOOKUP_SCE,59,0)</f>
        <v>#N/A</v>
      </c>
      <c r="Z66" s="22" t="str">
        <f t="shared" si="52"/>
        <v/>
      </c>
      <c r="AA66" s="23">
        <f t="shared" si="31"/>
        <v>7</v>
      </c>
      <c r="AB66" s="55" t="e">
        <f t="shared" si="53"/>
        <v>#N/A</v>
      </c>
      <c r="AC66" s="38" t="e">
        <f t="shared" si="32"/>
        <v>#N/A</v>
      </c>
      <c r="AD66" s="38" t="e">
        <f t="shared" si="33"/>
        <v>#N/A</v>
      </c>
      <c r="AE66" s="415" t="e">
        <f t="shared" si="54"/>
        <v>#N/A</v>
      </c>
      <c r="AF66" s="10">
        <f t="shared" si="34"/>
        <v>7</v>
      </c>
      <c r="AG66" s="38" t="e">
        <f t="shared" si="7"/>
        <v>#N/A</v>
      </c>
      <c r="AH66" s="38" t="e">
        <f t="shared" si="35"/>
        <v>#N/A</v>
      </c>
      <c r="AI66" s="10" t="e">
        <f t="shared" si="55"/>
        <v>#N/A</v>
      </c>
      <c r="AJ66" s="39" t="e">
        <f t="shared" si="36"/>
        <v>#N/A</v>
      </c>
      <c r="AK66" s="40" t="e">
        <f t="shared" si="9"/>
        <v>#N/A</v>
      </c>
      <c r="AL66" s="11" t="e">
        <f t="shared" si="56"/>
        <v>#N/A</v>
      </c>
      <c r="AM66" s="41">
        <f t="shared" si="37"/>
        <v>7</v>
      </c>
      <c r="AN66" s="57" t="e">
        <f t="shared" si="11"/>
        <v>#N/A</v>
      </c>
      <c r="AO66" s="40" t="e">
        <f t="shared" si="38"/>
        <v>#N/A</v>
      </c>
      <c r="AP66" s="417" t="e">
        <f t="shared" si="57"/>
        <v>#N/A</v>
      </c>
      <c r="AQ66" s="56">
        <f t="shared" si="39"/>
        <v>7</v>
      </c>
      <c r="AR66" s="43" t="e">
        <f t="shared" si="40"/>
        <v>#N/A</v>
      </c>
      <c r="AS66" s="44" t="e">
        <f t="shared" si="41"/>
        <v>#N/A</v>
      </c>
      <c r="AT66" s="45" t="e">
        <f t="shared" si="58"/>
        <v>#N/A</v>
      </c>
      <c r="AU66" s="14">
        <f t="shared" si="42"/>
        <v>7</v>
      </c>
      <c r="AV66" s="44" t="e">
        <f t="shared" si="14"/>
        <v>#N/A</v>
      </c>
      <c r="AW66" s="14" t="e">
        <f t="shared" si="43"/>
        <v>#N/A</v>
      </c>
      <c r="AX66" s="14" t="e">
        <f t="shared" si="59"/>
        <v>#N/A</v>
      </c>
      <c r="AY66" s="46">
        <f t="shared" si="44"/>
        <v>7</v>
      </c>
      <c r="AZ66" s="47" t="e">
        <f t="shared" si="45"/>
        <v>#N/A</v>
      </c>
      <c r="BA66" s="48" t="e">
        <f t="shared" si="46"/>
        <v>#N/A</v>
      </c>
      <c r="BB66" s="31" t="e">
        <f t="shared" si="60"/>
        <v>#N/A</v>
      </c>
      <c r="BC66" s="28">
        <f t="shared" si="47"/>
        <v>7</v>
      </c>
      <c r="BD66" s="47" t="e">
        <f t="shared" si="48"/>
        <v>#N/A</v>
      </c>
      <c r="BE66" s="48" t="e">
        <f t="shared" si="49"/>
        <v>#N/A</v>
      </c>
      <c r="BF66" s="31" t="e">
        <f t="shared" si="61"/>
        <v>#N/A</v>
      </c>
      <c r="BG66" s="49" t="e">
        <f t="shared" si="62"/>
        <v>#N/A</v>
      </c>
      <c r="BH66" s="1" t="e">
        <f>VLOOKUP($B66,STOCK_BY_LA!$A$2:$C$10477,3,0)</f>
        <v>#N/A</v>
      </c>
      <c r="BI66" s="1" t="str">
        <f t="shared" si="50"/>
        <v/>
      </c>
    </row>
    <row r="67" spans="1:61" x14ac:dyDescent="0.35">
      <c r="A67" s="33" t="str">
        <f t="shared" si="63"/>
        <v/>
      </c>
      <c r="B67" s="1" t="str">
        <f t="shared" si="51"/>
        <v/>
      </c>
      <c r="C67" s="34" t="str">
        <f t="shared" si="20"/>
        <v/>
      </c>
      <c r="D67" s="33" t="str">
        <f>IF(B67="","",IF('totals_&amp;_RP_counts'!$O$3=0,IFERROR(IF(AA67=2,"0",AB67),""),"-"))</f>
        <v/>
      </c>
      <c r="E67" s="35" t="str">
        <f t="shared" si="21"/>
        <v/>
      </c>
      <c r="F67" s="36" t="str">
        <f t="shared" si="22"/>
        <v/>
      </c>
      <c r="G67" s="36" t="str">
        <f t="shared" si="23"/>
        <v/>
      </c>
      <c r="H67" s="33" t="str">
        <f t="shared" si="1"/>
        <v/>
      </c>
      <c r="I67" s="36" t="str">
        <f t="shared" si="24"/>
        <v/>
      </c>
      <c r="J67" s="36" t="str">
        <f t="shared" si="25"/>
        <v/>
      </c>
      <c r="K67" s="33" t="str">
        <f t="shared" si="2"/>
        <v/>
      </c>
      <c r="L67" s="36" t="str">
        <f t="shared" si="3"/>
        <v/>
      </c>
      <c r="M67" s="36" t="str">
        <f t="shared" si="26"/>
        <v/>
      </c>
      <c r="N67" s="33" t="str">
        <f t="shared" si="27"/>
        <v/>
      </c>
      <c r="O67" s="36" t="str">
        <f t="shared" si="28"/>
        <v/>
      </c>
      <c r="P67" s="36" t="str">
        <f t="shared" si="29"/>
        <v/>
      </c>
      <c r="Q67" s="33" t="str">
        <f t="shared" si="30"/>
        <v/>
      </c>
      <c r="R67" s="1"/>
      <c r="S67" s="1"/>
      <c r="Y67" s="1" t="e">
        <f>VLOOKUP($B$6,LOOKUP_SCE,60,0)</f>
        <v>#N/A</v>
      </c>
      <c r="Z67" s="22" t="str">
        <f t="shared" si="52"/>
        <v/>
      </c>
      <c r="AA67" s="23">
        <f t="shared" si="31"/>
        <v>7</v>
      </c>
      <c r="AB67" s="55" t="e">
        <f t="shared" si="53"/>
        <v>#N/A</v>
      </c>
      <c r="AC67" s="38" t="e">
        <f t="shared" si="32"/>
        <v>#N/A</v>
      </c>
      <c r="AD67" s="38" t="e">
        <f t="shared" si="33"/>
        <v>#N/A</v>
      </c>
      <c r="AE67" s="415" t="e">
        <f t="shared" si="54"/>
        <v>#N/A</v>
      </c>
      <c r="AF67" s="10">
        <f t="shared" si="34"/>
        <v>7</v>
      </c>
      <c r="AG67" s="38" t="e">
        <f t="shared" si="7"/>
        <v>#N/A</v>
      </c>
      <c r="AH67" s="38" t="e">
        <f t="shared" si="35"/>
        <v>#N/A</v>
      </c>
      <c r="AI67" s="10" t="e">
        <f t="shared" si="55"/>
        <v>#N/A</v>
      </c>
      <c r="AJ67" s="39" t="e">
        <f t="shared" si="36"/>
        <v>#N/A</v>
      </c>
      <c r="AK67" s="40" t="e">
        <f t="shared" si="9"/>
        <v>#N/A</v>
      </c>
      <c r="AL67" s="11" t="e">
        <f t="shared" si="56"/>
        <v>#N/A</v>
      </c>
      <c r="AM67" s="41">
        <f t="shared" si="37"/>
        <v>7</v>
      </c>
      <c r="AN67" s="57" t="e">
        <f t="shared" si="11"/>
        <v>#N/A</v>
      </c>
      <c r="AO67" s="40" t="e">
        <f t="shared" si="38"/>
        <v>#N/A</v>
      </c>
      <c r="AP67" s="417" t="e">
        <f t="shared" si="57"/>
        <v>#N/A</v>
      </c>
      <c r="AQ67" s="56">
        <f t="shared" si="39"/>
        <v>7</v>
      </c>
      <c r="AR67" s="43" t="e">
        <f t="shared" si="40"/>
        <v>#N/A</v>
      </c>
      <c r="AS67" s="44" t="e">
        <f t="shared" si="41"/>
        <v>#N/A</v>
      </c>
      <c r="AT67" s="45" t="e">
        <f t="shared" si="58"/>
        <v>#N/A</v>
      </c>
      <c r="AU67" s="14">
        <f t="shared" si="42"/>
        <v>7</v>
      </c>
      <c r="AV67" s="44" t="e">
        <f t="shared" si="14"/>
        <v>#N/A</v>
      </c>
      <c r="AW67" s="14" t="e">
        <f t="shared" si="43"/>
        <v>#N/A</v>
      </c>
      <c r="AX67" s="14" t="e">
        <f t="shared" si="59"/>
        <v>#N/A</v>
      </c>
      <c r="AY67" s="46">
        <f t="shared" si="44"/>
        <v>7</v>
      </c>
      <c r="AZ67" s="47" t="e">
        <f t="shared" si="45"/>
        <v>#N/A</v>
      </c>
      <c r="BA67" s="48" t="e">
        <f t="shared" si="46"/>
        <v>#N/A</v>
      </c>
      <c r="BB67" s="31" t="e">
        <f t="shared" si="60"/>
        <v>#N/A</v>
      </c>
      <c r="BC67" s="28">
        <f t="shared" si="47"/>
        <v>7</v>
      </c>
      <c r="BD67" s="47" t="e">
        <f t="shared" si="48"/>
        <v>#N/A</v>
      </c>
      <c r="BE67" s="48" t="e">
        <f t="shared" si="49"/>
        <v>#N/A</v>
      </c>
      <c r="BF67" s="31" t="e">
        <f t="shared" si="61"/>
        <v>#N/A</v>
      </c>
      <c r="BG67" s="49" t="e">
        <f t="shared" si="62"/>
        <v>#N/A</v>
      </c>
      <c r="BH67" s="1" t="e">
        <f>VLOOKUP($B67,STOCK_BY_LA!$A$2:$C$10477,3,0)</f>
        <v>#N/A</v>
      </c>
      <c r="BI67" s="1" t="str">
        <f t="shared" si="50"/>
        <v/>
      </c>
    </row>
    <row r="68" spans="1:61" x14ac:dyDescent="0.35">
      <c r="A68" s="1" t="str">
        <f t="shared" si="63"/>
        <v/>
      </c>
      <c r="B68" s="1" t="str">
        <f t="shared" si="51"/>
        <v/>
      </c>
      <c r="C68" s="50" t="str">
        <f t="shared" si="20"/>
        <v/>
      </c>
      <c r="D68" s="33" t="str">
        <f>IF(B68="","",IF('totals_&amp;_RP_counts'!$O$3=0,IFERROR(IF(AA68=2,"0",AB68),""),"-"))</f>
        <v/>
      </c>
      <c r="E68" s="35" t="str">
        <f t="shared" si="21"/>
        <v/>
      </c>
      <c r="F68" s="36" t="str">
        <f t="shared" si="22"/>
        <v/>
      </c>
      <c r="G68" s="36" t="str">
        <f t="shared" si="23"/>
        <v/>
      </c>
      <c r="H68" s="33" t="str">
        <f t="shared" si="1"/>
        <v/>
      </c>
      <c r="I68" s="36" t="str">
        <f t="shared" si="24"/>
        <v/>
      </c>
      <c r="J68" s="36" t="str">
        <f t="shared" si="25"/>
        <v/>
      </c>
      <c r="K68" s="33" t="str">
        <f t="shared" si="2"/>
        <v/>
      </c>
      <c r="L68" s="36" t="str">
        <f t="shared" si="3"/>
        <v/>
      </c>
      <c r="M68" s="36" t="str">
        <f t="shared" si="26"/>
        <v/>
      </c>
      <c r="N68" s="33" t="str">
        <f t="shared" si="27"/>
        <v/>
      </c>
      <c r="O68" s="36" t="str">
        <f t="shared" si="28"/>
        <v/>
      </c>
      <c r="P68" s="36" t="str">
        <f t="shared" si="29"/>
        <v/>
      </c>
      <c r="Q68" s="33" t="str">
        <f t="shared" si="30"/>
        <v/>
      </c>
      <c r="R68" s="1"/>
      <c r="S68" s="1"/>
      <c r="Y68" s="1" t="e">
        <f>VLOOKUP($B$6,LOOKUP_SCE,61,0)</f>
        <v>#N/A</v>
      </c>
      <c r="Z68" s="22" t="str">
        <f t="shared" si="52"/>
        <v/>
      </c>
      <c r="AA68" s="23">
        <f t="shared" si="31"/>
        <v>7</v>
      </c>
      <c r="AB68" s="55" t="e">
        <f t="shared" si="53"/>
        <v>#N/A</v>
      </c>
      <c r="AC68" s="38" t="e">
        <f t="shared" si="32"/>
        <v>#N/A</v>
      </c>
      <c r="AD68" s="38" t="e">
        <f t="shared" si="33"/>
        <v>#N/A</v>
      </c>
      <c r="AE68" s="415" t="e">
        <f t="shared" si="54"/>
        <v>#N/A</v>
      </c>
      <c r="AF68" s="10">
        <f t="shared" si="34"/>
        <v>7</v>
      </c>
      <c r="AG68" s="38" t="e">
        <f t="shared" si="7"/>
        <v>#N/A</v>
      </c>
      <c r="AH68" s="38" t="e">
        <f t="shared" si="35"/>
        <v>#N/A</v>
      </c>
      <c r="AI68" s="10" t="e">
        <f t="shared" si="55"/>
        <v>#N/A</v>
      </c>
      <c r="AJ68" s="39" t="e">
        <f t="shared" si="36"/>
        <v>#N/A</v>
      </c>
      <c r="AK68" s="40" t="e">
        <f t="shared" si="9"/>
        <v>#N/A</v>
      </c>
      <c r="AL68" s="11" t="e">
        <f t="shared" si="56"/>
        <v>#N/A</v>
      </c>
      <c r="AM68" s="41">
        <f t="shared" si="37"/>
        <v>7</v>
      </c>
      <c r="AN68" s="57" t="e">
        <f t="shared" si="11"/>
        <v>#N/A</v>
      </c>
      <c r="AO68" s="40" t="e">
        <f t="shared" si="38"/>
        <v>#N/A</v>
      </c>
      <c r="AP68" s="417" t="e">
        <f t="shared" si="57"/>
        <v>#N/A</v>
      </c>
      <c r="AQ68" s="56">
        <f t="shared" si="39"/>
        <v>7</v>
      </c>
      <c r="AR68" s="43" t="e">
        <f t="shared" si="40"/>
        <v>#N/A</v>
      </c>
      <c r="AS68" s="44" t="e">
        <f t="shared" si="41"/>
        <v>#N/A</v>
      </c>
      <c r="AT68" s="45" t="e">
        <f t="shared" si="58"/>
        <v>#N/A</v>
      </c>
      <c r="AU68" s="14">
        <f t="shared" si="42"/>
        <v>7</v>
      </c>
      <c r="AV68" s="44" t="e">
        <f t="shared" si="14"/>
        <v>#N/A</v>
      </c>
      <c r="AW68" s="14" t="e">
        <f t="shared" si="43"/>
        <v>#N/A</v>
      </c>
      <c r="AX68" s="14" t="e">
        <f t="shared" si="59"/>
        <v>#N/A</v>
      </c>
      <c r="AY68" s="46">
        <f t="shared" si="44"/>
        <v>7</v>
      </c>
      <c r="AZ68" s="47" t="e">
        <f t="shared" si="45"/>
        <v>#N/A</v>
      </c>
      <c r="BA68" s="48" t="e">
        <f t="shared" si="46"/>
        <v>#N/A</v>
      </c>
      <c r="BB68" s="31" t="e">
        <f t="shared" si="60"/>
        <v>#N/A</v>
      </c>
      <c r="BC68" s="28">
        <f t="shared" si="47"/>
        <v>7</v>
      </c>
      <c r="BD68" s="47" t="e">
        <f t="shared" si="48"/>
        <v>#N/A</v>
      </c>
      <c r="BE68" s="48" t="e">
        <f t="shared" si="49"/>
        <v>#N/A</v>
      </c>
      <c r="BF68" s="31" t="e">
        <f t="shared" si="61"/>
        <v>#N/A</v>
      </c>
      <c r="BG68" s="49" t="e">
        <f t="shared" si="62"/>
        <v>#N/A</v>
      </c>
      <c r="BH68" s="1" t="e">
        <f>VLOOKUP($B68,STOCK_BY_LA!$A$2:$C$10477,3,0)</f>
        <v>#N/A</v>
      </c>
      <c r="BI68" s="1" t="str">
        <f t="shared" si="50"/>
        <v/>
      </c>
    </row>
    <row r="69" spans="1:61" x14ac:dyDescent="0.35">
      <c r="A69" s="33" t="str">
        <f t="shared" si="63"/>
        <v/>
      </c>
      <c r="B69" s="1" t="str">
        <f t="shared" si="51"/>
        <v/>
      </c>
      <c r="C69" s="34" t="str">
        <f t="shared" si="20"/>
        <v/>
      </c>
      <c r="D69" s="33" t="str">
        <f>IF(B69="","",IF('totals_&amp;_RP_counts'!$O$3=0,IFERROR(IF(AA69=2,"0",AB69),""),"-"))</f>
        <v/>
      </c>
      <c r="E69" s="35" t="str">
        <f t="shared" si="21"/>
        <v/>
      </c>
      <c r="F69" s="36" t="str">
        <f t="shared" si="22"/>
        <v/>
      </c>
      <c r="G69" s="36" t="str">
        <f t="shared" si="23"/>
        <v/>
      </c>
      <c r="H69" s="33" t="str">
        <f t="shared" si="1"/>
        <v/>
      </c>
      <c r="I69" s="36" t="str">
        <f t="shared" si="24"/>
        <v/>
      </c>
      <c r="J69" s="36" t="str">
        <f t="shared" si="25"/>
        <v/>
      </c>
      <c r="K69" s="33" t="str">
        <f t="shared" si="2"/>
        <v/>
      </c>
      <c r="L69" s="36" t="str">
        <f t="shared" si="3"/>
        <v/>
      </c>
      <c r="M69" s="36" t="str">
        <f t="shared" si="26"/>
        <v/>
      </c>
      <c r="N69" s="33" t="str">
        <f t="shared" si="27"/>
        <v/>
      </c>
      <c r="O69" s="36" t="str">
        <f t="shared" si="28"/>
        <v/>
      </c>
      <c r="P69" s="36" t="str">
        <f t="shared" si="29"/>
        <v/>
      </c>
      <c r="Q69" s="33" t="str">
        <f t="shared" si="30"/>
        <v/>
      </c>
      <c r="R69" s="1"/>
      <c r="S69" s="1"/>
      <c r="Y69" s="1" t="e">
        <f>VLOOKUP($B$6,LOOKUP_SCE,62,0)</f>
        <v>#N/A</v>
      </c>
      <c r="Z69" s="22" t="str">
        <f t="shared" si="52"/>
        <v/>
      </c>
      <c r="AA69" s="23">
        <f t="shared" si="31"/>
        <v>7</v>
      </c>
      <c r="AB69" s="55" t="e">
        <f t="shared" si="53"/>
        <v>#N/A</v>
      </c>
      <c r="AC69" s="38" t="e">
        <f t="shared" si="32"/>
        <v>#N/A</v>
      </c>
      <c r="AD69" s="38" t="e">
        <f t="shared" si="33"/>
        <v>#N/A</v>
      </c>
      <c r="AE69" s="415" t="e">
        <f t="shared" si="54"/>
        <v>#N/A</v>
      </c>
      <c r="AF69" s="10">
        <f t="shared" si="34"/>
        <v>7</v>
      </c>
      <c r="AG69" s="38" t="e">
        <f t="shared" si="7"/>
        <v>#N/A</v>
      </c>
      <c r="AH69" s="38" t="e">
        <f t="shared" si="35"/>
        <v>#N/A</v>
      </c>
      <c r="AI69" s="10" t="e">
        <f t="shared" si="55"/>
        <v>#N/A</v>
      </c>
      <c r="AJ69" s="39" t="e">
        <f t="shared" si="36"/>
        <v>#N/A</v>
      </c>
      <c r="AK69" s="40" t="e">
        <f t="shared" si="9"/>
        <v>#N/A</v>
      </c>
      <c r="AL69" s="11" t="e">
        <f t="shared" si="56"/>
        <v>#N/A</v>
      </c>
      <c r="AM69" s="41">
        <f t="shared" si="37"/>
        <v>7</v>
      </c>
      <c r="AN69" s="57" t="e">
        <f t="shared" si="11"/>
        <v>#N/A</v>
      </c>
      <c r="AO69" s="40" t="e">
        <f t="shared" si="38"/>
        <v>#N/A</v>
      </c>
      <c r="AP69" s="417" t="e">
        <f t="shared" si="57"/>
        <v>#N/A</v>
      </c>
      <c r="AQ69" s="56">
        <f t="shared" si="39"/>
        <v>7</v>
      </c>
      <c r="AR69" s="43" t="e">
        <f t="shared" si="40"/>
        <v>#N/A</v>
      </c>
      <c r="AS69" s="44" t="e">
        <f t="shared" si="41"/>
        <v>#N/A</v>
      </c>
      <c r="AT69" s="45" t="e">
        <f t="shared" si="58"/>
        <v>#N/A</v>
      </c>
      <c r="AU69" s="14">
        <f t="shared" si="42"/>
        <v>7</v>
      </c>
      <c r="AV69" s="44" t="e">
        <f t="shared" si="14"/>
        <v>#N/A</v>
      </c>
      <c r="AW69" s="14" t="e">
        <f t="shared" si="43"/>
        <v>#N/A</v>
      </c>
      <c r="AX69" s="14" t="e">
        <f t="shared" si="59"/>
        <v>#N/A</v>
      </c>
      <c r="AY69" s="46">
        <f t="shared" si="44"/>
        <v>7</v>
      </c>
      <c r="AZ69" s="47" t="e">
        <f t="shared" si="45"/>
        <v>#N/A</v>
      </c>
      <c r="BA69" s="48" t="e">
        <f t="shared" si="46"/>
        <v>#N/A</v>
      </c>
      <c r="BB69" s="31" t="e">
        <f t="shared" si="60"/>
        <v>#N/A</v>
      </c>
      <c r="BC69" s="28">
        <f t="shared" si="47"/>
        <v>7</v>
      </c>
      <c r="BD69" s="47" t="e">
        <f t="shared" si="48"/>
        <v>#N/A</v>
      </c>
      <c r="BE69" s="48" t="e">
        <f t="shared" si="49"/>
        <v>#N/A</v>
      </c>
      <c r="BF69" s="31" t="e">
        <f t="shared" si="61"/>
        <v>#N/A</v>
      </c>
      <c r="BG69" s="49" t="e">
        <f t="shared" si="62"/>
        <v>#N/A</v>
      </c>
      <c r="BH69" s="1" t="e">
        <f>VLOOKUP($B69,STOCK_BY_LA!$A$2:$C$10477,3,0)</f>
        <v>#N/A</v>
      </c>
      <c r="BI69" s="1" t="str">
        <f t="shared" si="50"/>
        <v/>
      </c>
    </row>
    <row r="70" spans="1:61" x14ac:dyDescent="0.35">
      <c r="A70" s="1" t="str">
        <f t="shared" si="63"/>
        <v/>
      </c>
      <c r="B70" s="1" t="str">
        <f t="shared" si="51"/>
        <v/>
      </c>
      <c r="C70" s="50" t="str">
        <f t="shared" si="20"/>
        <v/>
      </c>
      <c r="D70" s="33" t="str">
        <f>IF(B70="","",IF('totals_&amp;_RP_counts'!$O$3=0,IFERROR(IF(AA70=2,"0",AB70),""),"-"))</f>
        <v/>
      </c>
      <c r="E70" s="35" t="str">
        <f t="shared" si="21"/>
        <v/>
      </c>
      <c r="F70" s="36" t="str">
        <f t="shared" si="22"/>
        <v/>
      </c>
      <c r="G70" s="36" t="str">
        <f t="shared" si="23"/>
        <v/>
      </c>
      <c r="H70" s="33" t="str">
        <f t="shared" si="1"/>
        <v/>
      </c>
      <c r="I70" s="36" t="str">
        <f t="shared" si="24"/>
        <v/>
      </c>
      <c r="J70" s="36" t="str">
        <f t="shared" si="25"/>
        <v/>
      </c>
      <c r="K70" s="33" t="str">
        <f t="shared" si="2"/>
        <v/>
      </c>
      <c r="L70" s="36" t="str">
        <f t="shared" si="3"/>
        <v/>
      </c>
      <c r="M70" s="36" t="str">
        <f t="shared" si="26"/>
        <v/>
      </c>
      <c r="N70" s="33" t="str">
        <f t="shared" si="27"/>
        <v/>
      </c>
      <c r="O70" s="36" t="str">
        <f t="shared" si="28"/>
        <v/>
      </c>
      <c r="P70" s="36" t="str">
        <f t="shared" si="29"/>
        <v/>
      </c>
      <c r="Q70" s="33" t="str">
        <f t="shared" si="30"/>
        <v/>
      </c>
      <c r="R70" s="1"/>
      <c r="S70" s="1"/>
      <c r="Y70" s="1" t="e">
        <f>VLOOKUP($B$6,LOOKUP_SCE,63,0)</f>
        <v>#N/A</v>
      </c>
      <c r="Z70" s="22" t="str">
        <f t="shared" si="52"/>
        <v/>
      </c>
      <c r="AA70" s="23">
        <f t="shared" si="31"/>
        <v>7</v>
      </c>
      <c r="AB70" s="55" t="e">
        <f t="shared" si="53"/>
        <v>#N/A</v>
      </c>
      <c r="AC70" s="38" t="e">
        <f t="shared" si="32"/>
        <v>#N/A</v>
      </c>
      <c r="AD70" s="38" t="e">
        <f t="shared" si="33"/>
        <v>#N/A</v>
      </c>
      <c r="AE70" s="415" t="e">
        <f t="shared" si="54"/>
        <v>#N/A</v>
      </c>
      <c r="AF70" s="10">
        <f t="shared" si="34"/>
        <v>7</v>
      </c>
      <c r="AG70" s="38" t="e">
        <f t="shared" si="7"/>
        <v>#N/A</v>
      </c>
      <c r="AH70" s="38" t="e">
        <f t="shared" si="35"/>
        <v>#N/A</v>
      </c>
      <c r="AI70" s="10" t="e">
        <f t="shared" si="55"/>
        <v>#N/A</v>
      </c>
      <c r="AJ70" s="39" t="e">
        <f t="shared" si="36"/>
        <v>#N/A</v>
      </c>
      <c r="AK70" s="40" t="e">
        <f t="shared" si="9"/>
        <v>#N/A</v>
      </c>
      <c r="AL70" s="11" t="e">
        <f t="shared" si="56"/>
        <v>#N/A</v>
      </c>
      <c r="AM70" s="41">
        <f t="shared" si="37"/>
        <v>7</v>
      </c>
      <c r="AN70" s="57" t="e">
        <f t="shared" si="11"/>
        <v>#N/A</v>
      </c>
      <c r="AO70" s="40" t="e">
        <f t="shared" si="38"/>
        <v>#N/A</v>
      </c>
      <c r="AP70" s="417" t="e">
        <f t="shared" si="57"/>
        <v>#N/A</v>
      </c>
      <c r="AQ70" s="56">
        <f t="shared" si="39"/>
        <v>7</v>
      </c>
      <c r="AR70" s="43" t="e">
        <f t="shared" si="40"/>
        <v>#N/A</v>
      </c>
      <c r="AS70" s="44" t="e">
        <f t="shared" si="41"/>
        <v>#N/A</v>
      </c>
      <c r="AT70" s="45" t="e">
        <f t="shared" si="58"/>
        <v>#N/A</v>
      </c>
      <c r="AU70" s="14">
        <f t="shared" si="42"/>
        <v>7</v>
      </c>
      <c r="AV70" s="44" t="e">
        <f t="shared" si="14"/>
        <v>#N/A</v>
      </c>
      <c r="AW70" s="14" t="e">
        <f t="shared" si="43"/>
        <v>#N/A</v>
      </c>
      <c r="AX70" s="14" t="e">
        <f t="shared" si="59"/>
        <v>#N/A</v>
      </c>
      <c r="AY70" s="46">
        <f t="shared" si="44"/>
        <v>7</v>
      </c>
      <c r="AZ70" s="47" t="e">
        <f t="shared" si="45"/>
        <v>#N/A</v>
      </c>
      <c r="BA70" s="48" t="e">
        <f t="shared" si="46"/>
        <v>#N/A</v>
      </c>
      <c r="BB70" s="31" t="e">
        <f t="shared" si="60"/>
        <v>#N/A</v>
      </c>
      <c r="BC70" s="28">
        <f t="shared" si="47"/>
        <v>7</v>
      </c>
      <c r="BD70" s="47" t="e">
        <f t="shared" si="48"/>
        <v>#N/A</v>
      </c>
      <c r="BE70" s="48" t="e">
        <f t="shared" si="49"/>
        <v>#N/A</v>
      </c>
      <c r="BF70" s="31" t="e">
        <f t="shared" si="61"/>
        <v>#N/A</v>
      </c>
      <c r="BG70" s="49" t="e">
        <f t="shared" si="62"/>
        <v>#N/A</v>
      </c>
      <c r="BH70" s="1" t="e">
        <f>VLOOKUP($B70,STOCK_BY_LA!$A$2:$C$10477,3,0)</f>
        <v>#N/A</v>
      </c>
      <c r="BI70" s="1" t="str">
        <f t="shared" si="50"/>
        <v/>
      </c>
    </row>
    <row r="71" spans="1:61" x14ac:dyDescent="0.35">
      <c r="A71" s="33" t="str">
        <f t="shared" si="63"/>
        <v/>
      </c>
      <c r="B71" s="1" t="str">
        <f t="shared" si="51"/>
        <v/>
      </c>
      <c r="C71" s="34" t="str">
        <f t="shared" si="20"/>
        <v/>
      </c>
      <c r="D71" s="33" t="str">
        <f>IF(B71="","",IF('totals_&amp;_RP_counts'!$O$3=0,IFERROR(IF(AA71=2,"0",AB71),""),"-"))</f>
        <v/>
      </c>
      <c r="E71" s="35" t="str">
        <f t="shared" si="21"/>
        <v/>
      </c>
      <c r="F71" s="36" t="str">
        <f t="shared" si="22"/>
        <v/>
      </c>
      <c r="G71" s="36" t="str">
        <f t="shared" si="23"/>
        <v/>
      </c>
      <c r="H71" s="33" t="str">
        <f t="shared" si="1"/>
        <v/>
      </c>
      <c r="I71" s="36" t="str">
        <f t="shared" si="24"/>
        <v/>
      </c>
      <c r="J71" s="36" t="str">
        <f t="shared" si="25"/>
        <v/>
      </c>
      <c r="K71" s="33" t="str">
        <f t="shared" si="2"/>
        <v/>
      </c>
      <c r="L71" s="36" t="str">
        <f t="shared" si="3"/>
        <v/>
      </c>
      <c r="M71" s="36" t="str">
        <f t="shared" si="26"/>
        <v/>
      </c>
      <c r="N71" s="33" t="str">
        <f t="shared" si="27"/>
        <v/>
      </c>
      <c r="O71" s="36" t="str">
        <f t="shared" si="28"/>
        <v/>
      </c>
      <c r="P71" s="36" t="str">
        <f t="shared" si="29"/>
        <v/>
      </c>
      <c r="Q71" s="33" t="str">
        <f t="shared" si="30"/>
        <v/>
      </c>
      <c r="R71" s="1"/>
      <c r="S71" s="1"/>
      <c r="Y71" s="1" t="e">
        <f>VLOOKUP($B$6,LOOKUP_SCE,64,0)</f>
        <v>#N/A</v>
      </c>
      <c r="Z71" s="22" t="str">
        <f t="shared" si="52"/>
        <v/>
      </c>
      <c r="AA71" s="23">
        <f t="shared" si="31"/>
        <v>7</v>
      </c>
      <c r="AB71" s="55" t="e">
        <f t="shared" si="53"/>
        <v>#N/A</v>
      </c>
      <c r="AC71" s="38" t="e">
        <f t="shared" si="32"/>
        <v>#N/A</v>
      </c>
      <c r="AD71" s="38" t="e">
        <f t="shared" si="33"/>
        <v>#N/A</v>
      </c>
      <c r="AE71" s="415" t="e">
        <f t="shared" si="54"/>
        <v>#N/A</v>
      </c>
      <c r="AF71" s="10">
        <f t="shared" si="34"/>
        <v>7</v>
      </c>
      <c r="AG71" s="38" t="e">
        <f t="shared" si="7"/>
        <v>#N/A</v>
      </c>
      <c r="AH71" s="38" t="e">
        <f t="shared" si="35"/>
        <v>#N/A</v>
      </c>
      <c r="AI71" s="10" t="e">
        <f t="shared" si="55"/>
        <v>#N/A</v>
      </c>
      <c r="AJ71" s="39" t="e">
        <f t="shared" si="36"/>
        <v>#N/A</v>
      </c>
      <c r="AK71" s="40" t="e">
        <f t="shared" si="9"/>
        <v>#N/A</v>
      </c>
      <c r="AL71" s="11" t="e">
        <f t="shared" si="56"/>
        <v>#N/A</v>
      </c>
      <c r="AM71" s="41">
        <f t="shared" si="37"/>
        <v>7</v>
      </c>
      <c r="AN71" s="57" t="e">
        <f t="shared" si="11"/>
        <v>#N/A</v>
      </c>
      <c r="AO71" s="40" t="e">
        <f t="shared" si="38"/>
        <v>#N/A</v>
      </c>
      <c r="AP71" s="417" t="e">
        <f t="shared" si="57"/>
        <v>#N/A</v>
      </c>
      <c r="AQ71" s="56">
        <f t="shared" si="39"/>
        <v>7</v>
      </c>
      <c r="AR71" s="43" t="e">
        <f t="shared" si="40"/>
        <v>#N/A</v>
      </c>
      <c r="AS71" s="44" t="e">
        <f t="shared" si="41"/>
        <v>#N/A</v>
      </c>
      <c r="AT71" s="45" t="e">
        <f t="shared" si="58"/>
        <v>#N/A</v>
      </c>
      <c r="AU71" s="14">
        <f t="shared" si="42"/>
        <v>7</v>
      </c>
      <c r="AV71" s="44" t="e">
        <f t="shared" si="14"/>
        <v>#N/A</v>
      </c>
      <c r="AW71" s="14" t="e">
        <f t="shared" si="43"/>
        <v>#N/A</v>
      </c>
      <c r="AX71" s="14" t="e">
        <f t="shared" si="59"/>
        <v>#N/A</v>
      </c>
      <c r="AY71" s="46">
        <f t="shared" si="44"/>
        <v>7</v>
      </c>
      <c r="AZ71" s="47" t="e">
        <f t="shared" si="45"/>
        <v>#N/A</v>
      </c>
      <c r="BA71" s="48" t="e">
        <f t="shared" si="46"/>
        <v>#N/A</v>
      </c>
      <c r="BB71" s="31" t="e">
        <f t="shared" si="60"/>
        <v>#N/A</v>
      </c>
      <c r="BC71" s="28">
        <f t="shared" si="47"/>
        <v>7</v>
      </c>
      <c r="BD71" s="47" t="e">
        <f t="shared" si="48"/>
        <v>#N/A</v>
      </c>
      <c r="BE71" s="48" t="e">
        <f t="shared" si="49"/>
        <v>#N/A</v>
      </c>
      <c r="BF71" s="31" t="e">
        <f t="shared" si="61"/>
        <v>#N/A</v>
      </c>
      <c r="BG71" s="49" t="e">
        <f t="shared" si="62"/>
        <v>#N/A</v>
      </c>
      <c r="BH71" s="1" t="e">
        <f>VLOOKUP($B71,STOCK_BY_LA!$A$2:$C$10477,3,0)</f>
        <v>#N/A</v>
      </c>
      <c r="BI71" s="1" t="str">
        <f t="shared" si="50"/>
        <v/>
      </c>
    </row>
    <row r="72" spans="1:61" x14ac:dyDescent="0.35">
      <c r="A72" s="1" t="str">
        <f t="shared" si="63"/>
        <v/>
      </c>
      <c r="B72" s="1" t="str">
        <f t="shared" si="51"/>
        <v/>
      </c>
      <c r="C72" s="50" t="str">
        <f t="shared" si="20"/>
        <v/>
      </c>
      <c r="D72" s="33" t="str">
        <f>IF(B72="","",IF('totals_&amp;_RP_counts'!$O$3=0,IFERROR(IF(AA72=2,"0",AB72),""),"-"))</f>
        <v/>
      </c>
      <c r="E72" s="35" t="str">
        <f t="shared" si="21"/>
        <v/>
      </c>
      <c r="F72" s="36" t="str">
        <f t="shared" si="22"/>
        <v/>
      </c>
      <c r="G72" s="36" t="str">
        <f t="shared" si="23"/>
        <v/>
      </c>
      <c r="H72" s="33" t="str">
        <f t="shared" si="1"/>
        <v/>
      </c>
      <c r="I72" s="36" t="str">
        <f t="shared" si="24"/>
        <v/>
      </c>
      <c r="J72" s="36" t="str">
        <f t="shared" si="25"/>
        <v/>
      </c>
      <c r="K72" s="33" t="str">
        <f t="shared" si="2"/>
        <v/>
      </c>
      <c r="L72" s="36" t="str">
        <f t="shared" si="3"/>
        <v/>
      </c>
      <c r="M72" s="36" t="str">
        <f t="shared" si="26"/>
        <v/>
      </c>
      <c r="N72" s="33" t="str">
        <f t="shared" si="27"/>
        <v/>
      </c>
      <c r="O72" s="36" t="str">
        <f t="shared" si="28"/>
        <v/>
      </c>
      <c r="P72" s="36" t="str">
        <f t="shared" si="29"/>
        <v/>
      </c>
      <c r="Q72" s="33" t="str">
        <f t="shared" si="30"/>
        <v/>
      </c>
      <c r="R72" s="1"/>
      <c r="S72" s="1"/>
      <c r="Y72" s="1" t="e">
        <f>VLOOKUP($B$6,LOOKUP_SCE,65,0)</f>
        <v>#N/A</v>
      </c>
      <c r="Z72" s="22" t="str">
        <f t="shared" si="52"/>
        <v/>
      </c>
      <c r="AA72" s="23">
        <f t="shared" si="31"/>
        <v>7</v>
      </c>
      <c r="AB72" s="55" t="e">
        <f t="shared" si="53"/>
        <v>#N/A</v>
      </c>
      <c r="AC72" s="38" t="e">
        <f t="shared" si="32"/>
        <v>#N/A</v>
      </c>
      <c r="AD72" s="38" t="e">
        <f t="shared" si="33"/>
        <v>#N/A</v>
      </c>
      <c r="AE72" s="415" t="e">
        <f t="shared" si="54"/>
        <v>#N/A</v>
      </c>
      <c r="AF72" s="10">
        <f t="shared" si="34"/>
        <v>7</v>
      </c>
      <c r="AG72" s="38" t="e">
        <f t="shared" si="7"/>
        <v>#N/A</v>
      </c>
      <c r="AH72" s="38" t="e">
        <f t="shared" si="35"/>
        <v>#N/A</v>
      </c>
      <c r="AI72" s="10" t="e">
        <f t="shared" si="55"/>
        <v>#N/A</v>
      </c>
      <c r="AJ72" s="39" t="e">
        <f t="shared" si="36"/>
        <v>#N/A</v>
      </c>
      <c r="AK72" s="40" t="e">
        <f t="shared" si="9"/>
        <v>#N/A</v>
      </c>
      <c r="AL72" s="11" t="e">
        <f t="shared" si="56"/>
        <v>#N/A</v>
      </c>
      <c r="AM72" s="41">
        <f t="shared" si="37"/>
        <v>7</v>
      </c>
      <c r="AN72" s="57" t="e">
        <f t="shared" si="11"/>
        <v>#N/A</v>
      </c>
      <c r="AO72" s="40" t="e">
        <f t="shared" si="38"/>
        <v>#N/A</v>
      </c>
      <c r="AP72" s="417" t="e">
        <f t="shared" si="57"/>
        <v>#N/A</v>
      </c>
      <c r="AQ72" s="56">
        <f t="shared" si="39"/>
        <v>7</v>
      </c>
      <c r="AR72" s="43" t="e">
        <f t="shared" si="40"/>
        <v>#N/A</v>
      </c>
      <c r="AS72" s="44" t="e">
        <f t="shared" si="41"/>
        <v>#N/A</v>
      </c>
      <c r="AT72" s="45" t="e">
        <f t="shared" si="58"/>
        <v>#N/A</v>
      </c>
      <c r="AU72" s="14">
        <f t="shared" si="42"/>
        <v>7</v>
      </c>
      <c r="AV72" s="44" t="e">
        <f t="shared" si="14"/>
        <v>#N/A</v>
      </c>
      <c r="AW72" s="14" t="e">
        <f t="shared" si="43"/>
        <v>#N/A</v>
      </c>
      <c r="AX72" s="14" t="e">
        <f t="shared" si="59"/>
        <v>#N/A</v>
      </c>
      <c r="AY72" s="46">
        <f t="shared" si="44"/>
        <v>7</v>
      </c>
      <c r="AZ72" s="47" t="e">
        <f t="shared" si="45"/>
        <v>#N/A</v>
      </c>
      <c r="BA72" s="48" t="e">
        <f t="shared" si="46"/>
        <v>#N/A</v>
      </c>
      <c r="BB72" s="31" t="e">
        <f t="shared" si="60"/>
        <v>#N/A</v>
      </c>
      <c r="BC72" s="28">
        <f t="shared" si="47"/>
        <v>7</v>
      </c>
      <c r="BD72" s="47" t="e">
        <f t="shared" si="48"/>
        <v>#N/A</v>
      </c>
      <c r="BE72" s="48" t="e">
        <f t="shared" si="49"/>
        <v>#N/A</v>
      </c>
      <c r="BF72" s="31" t="e">
        <f t="shared" si="61"/>
        <v>#N/A</v>
      </c>
      <c r="BG72" s="49" t="e">
        <f t="shared" si="62"/>
        <v>#N/A</v>
      </c>
      <c r="BH72" s="1" t="e">
        <f>VLOOKUP($B72,STOCK_BY_LA!$A$2:$C$10477,3,0)</f>
        <v>#N/A</v>
      </c>
      <c r="BI72" s="1" t="str">
        <f t="shared" si="50"/>
        <v/>
      </c>
    </row>
    <row r="73" spans="1:61" x14ac:dyDescent="0.35">
      <c r="A73" s="33" t="str">
        <f t="shared" si="63"/>
        <v/>
      </c>
      <c r="B73" s="1" t="str">
        <f t="shared" si="51"/>
        <v/>
      </c>
      <c r="C73" s="34" t="str">
        <f t="shared" si="20"/>
        <v/>
      </c>
      <c r="D73" s="33" t="str">
        <f>IF(B73="","",IF('totals_&amp;_RP_counts'!$O$3=0,IFERROR(IF(AA73=2,"0",AB73),""),"-"))</f>
        <v/>
      </c>
      <c r="E73" s="35" t="str">
        <f t="shared" si="21"/>
        <v/>
      </c>
      <c r="F73" s="36" t="str">
        <f t="shared" si="22"/>
        <v/>
      </c>
      <c r="G73" s="36" t="str">
        <f t="shared" si="23"/>
        <v/>
      </c>
      <c r="H73" s="33" t="str">
        <f t="shared" ref="H73:H136" si="64">IFERROR(AL73,"")</f>
        <v/>
      </c>
      <c r="I73" s="36" t="str">
        <f t="shared" si="24"/>
        <v/>
      </c>
      <c r="J73" s="36" t="str">
        <f t="shared" si="25"/>
        <v/>
      </c>
      <c r="K73" s="33" t="str">
        <f t="shared" ref="K73:K136" si="65">IFERROR(AT73,"")</f>
        <v/>
      </c>
      <c r="L73" s="36" t="str">
        <f t="shared" ref="L73:L136" si="66">IFERROR(IF(AQ73=2,"-",AR73),"")</f>
        <v/>
      </c>
      <c r="M73" s="36" t="str">
        <f t="shared" si="26"/>
        <v/>
      </c>
      <c r="N73" s="33" t="str">
        <f t="shared" si="27"/>
        <v/>
      </c>
      <c r="O73" s="36" t="str">
        <f t="shared" si="28"/>
        <v/>
      </c>
      <c r="P73" s="36" t="str">
        <f t="shared" si="29"/>
        <v/>
      </c>
      <c r="Q73" s="33" t="str">
        <f t="shared" si="30"/>
        <v/>
      </c>
      <c r="R73" s="1"/>
      <c r="S73" s="1"/>
      <c r="Y73" s="1" t="e">
        <f>VLOOKUP($B$6,LOOKUP_SCE,66,0)</f>
        <v>#N/A</v>
      </c>
      <c r="Z73" s="22" t="str">
        <f t="shared" ref="Z73:Z104" si="67">IF(ISNUMBER(SEARCH("*",B73)),1,"")</f>
        <v/>
      </c>
      <c r="AA73" s="23">
        <f t="shared" si="31"/>
        <v>7</v>
      </c>
      <c r="AB73" s="55" t="e">
        <f t="shared" ref="AB73:AB104" si="68">IF(C73="LARP","-",SUM(VLOOKUP($B73,RP_LA_Count,2,0)-1))</f>
        <v>#N/A</v>
      </c>
      <c r="AC73" s="38" t="e">
        <f t="shared" si="32"/>
        <v>#N/A</v>
      </c>
      <c r="AD73" s="38" t="e">
        <f t="shared" si="33"/>
        <v>#N/A</v>
      </c>
      <c r="AE73" s="415" t="e">
        <f t="shared" ref="AE73:AE104" si="69">VLOOKUP(BI73,Stock_By_LA,2,0)</f>
        <v>#N/A</v>
      </c>
      <c r="AF73" s="10">
        <f t="shared" si="34"/>
        <v>7</v>
      </c>
      <c r="AG73" s="38" t="e">
        <f t="shared" ref="AG73:AG136" si="70">IF(AH73&gt;0,AH73,"-")</f>
        <v>#N/A</v>
      </c>
      <c r="AH73" s="38" t="e">
        <f t="shared" si="35"/>
        <v>#N/A</v>
      </c>
      <c r="AI73" s="10" t="e">
        <f t="shared" ref="AI73:AI104" si="71">VLOOKUP(B73,RP_Totals,2,0)</f>
        <v>#N/A</v>
      </c>
      <c r="AJ73" s="39" t="e">
        <f t="shared" si="36"/>
        <v>#N/A</v>
      </c>
      <c r="AK73" s="40" t="e">
        <f t="shared" ref="AK73:AK136" si="72">$AL73/$AL$8</f>
        <v>#N/A</v>
      </c>
      <c r="AL73" s="11" t="e">
        <f t="shared" ref="AL73:AL104" si="73">VLOOKUP($BI73,Stock_By_LA,3,0)</f>
        <v>#N/A</v>
      </c>
      <c r="AM73" s="41">
        <f t="shared" si="37"/>
        <v>7</v>
      </c>
      <c r="AN73" s="57" t="e">
        <f t="shared" ref="AN73:AN136" si="74">IF(AO73&gt;0,AO73,"-")</f>
        <v>#N/A</v>
      </c>
      <c r="AO73" s="40" t="e">
        <f t="shared" si="38"/>
        <v>#N/A</v>
      </c>
      <c r="AP73" s="417" t="e">
        <f t="shared" ref="AP73:AP104" si="75">VLOOKUP(B73,RP_Totals,3,0)</f>
        <v>#N/A</v>
      </c>
      <c r="AQ73" s="56">
        <f t="shared" si="39"/>
        <v>7</v>
      </c>
      <c r="AR73" s="43" t="e">
        <f t="shared" si="40"/>
        <v>#N/A</v>
      </c>
      <c r="AS73" s="44" t="e">
        <f t="shared" si="41"/>
        <v>#N/A</v>
      </c>
      <c r="AT73" s="45" t="e">
        <f t="shared" ref="AT73:AT104" si="76">VLOOKUP($BI73,Stock_By_LA,4,0)</f>
        <v>#N/A</v>
      </c>
      <c r="AU73" s="14">
        <f t="shared" si="42"/>
        <v>7</v>
      </c>
      <c r="AV73" s="44" t="e">
        <f t="shared" ref="AV73:AV136" si="77">IF(AW73&gt;0,AW73,"-")</f>
        <v>#N/A</v>
      </c>
      <c r="AW73" s="14" t="e">
        <f t="shared" si="43"/>
        <v>#N/A</v>
      </c>
      <c r="AX73" s="14" t="e">
        <f t="shared" ref="AX73:AX104" si="78">VLOOKUP(B73,RP_Totals,4,0)</f>
        <v>#N/A</v>
      </c>
      <c r="AY73" s="46">
        <f t="shared" si="44"/>
        <v>7</v>
      </c>
      <c r="AZ73" s="47" t="e">
        <f t="shared" si="45"/>
        <v>#N/A</v>
      </c>
      <c r="BA73" s="48" t="e">
        <f t="shared" si="46"/>
        <v>#N/A</v>
      </c>
      <c r="BB73" s="31" t="e">
        <f t="shared" ref="BB73:BB104" si="79">VLOOKUP($BI73,Stock_By_LA,5,0)</f>
        <v>#N/A</v>
      </c>
      <c r="BC73" s="28">
        <f t="shared" si="47"/>
        <v>7</v>
      </c>
      <c r="BD73" s="47" t="e">
        <f t="shared" si="48"/>
        <v>#N/A</v>
      </c>
      <c r="BE73" s="48" t="e">
        <f t="shared" si="49"/>
        <v>#N/A</v>
      </c>
      <c r="BF73" s="31" t="e">
        <f t="shared" ref="BF73:BF104" si="80">VLOOKUP(B73,RP_Totals,5,0)</f>
        <v>#N/A</v>
      </c>
      <c r="BG73" s="49" t="e">
        <f t="shared" ref="BG73:BG104" si="81">VLOOKUP(BI73,Stock_By_LA,6,0)</f>
        <v>#N/A</v>
      </c>
      <c r="BH73" s="1" t="e">
        <f>VLOOKUP($B73,STOCK_BY_LA!$A$2:$C$10477,3,0)</f>
        <v>#N/A</v>
      </c>
      <c r="BI73" s="1" t="str">
        <f t="shared" si="50"/>
        <v/>
      </c>
    </row>
    <row r="74" spans="1:61" x14ac:dyDescent="0.35">
      <c r="A74" s="1" t="str">
        <f t="shared" ref="A74:A105" si="82">IF(Z74=1,A73+1,"")</f>
        <v/>
      </c>
      <c r="B74" s="1" t="str">
        <f t="shared" si="51"/>
        <v/>
      </c>
      <c r="C74" s="50" t="str">
        <f t="shared" ref="C74:C137" si="83">IFERROR(BH74,"")</f>
        <v/>
      </c>
      <c r="D74" s="33" t="str">
        <f>IF(B74="","",IF('totals_&amp;_RP_counts'!$O$3=0,IFERROR(IF(AA74=2,"0",AB74),""),"-"))</f>
        <v/>
      </c>
      <c r="E74" s="35" t="str">
        <f t="shared" ref="E74:E137" si="84">IFERROR(AE74,"")</f>
        <v/>
      </c>
      <c r="F74" s="36" t="str">
        <f t="shared" ref="F74:F137" si="85">IFERROR(AC74,"")</f>
        <v/>
      </c>
      <c r="G74" s="36" t="str">
        <f t="shared" ref="G74:G137" si="86">IFERROR(IF(AF74=2,"-",AG74),"")</f>
        <v/>
      </c>
      <c r="H74" s="33" t="str">
        <f t="shared" si="64"/>
        <v/>
      </c>
      <c r="I74" s="36" t="str">
        <f t="shared" ref="I74:I137" si="87">IFERROR(AJ74,"")</f>
        <v/>
      </c>
      <c r="J74" s="36" t="str">
        <f t="shared" ref="J74:J137" si="88">IFERROR(IF(AM74=2,"-",AN74),"")</f>
        <v/>
      </c>
      <c r="K74" s="33" t="str">
        <f t="shared" si="65"/>
        <v/>
      </c>
      <c r="L74" s="36" t="str">
        <f t="shared" si="66"/>
        <v/>
      </c>
      <c r="M74" s="36" t="str">
        <f t="shared" ref="M74:M137" si="89">IFERROR(IF(AU74=2,"-",AV74),"")</f>
        <v/>
      </c>
      <c r="N74" s="33" t="str">
        <f t="shared" ref="N74:N137" si="90">IFERROR(BB74,"")</f>
        <v/>
      </c>
      <c r="O74" s="36" t="str">
        <f t="shared" ref="O74:O137" si="91">IFERROR(IF(AY74=2,"-",AZ74),"")</f>
        <v/>
      </c>
      <c r="P74" s="36" t="str">
        <f t="shared" ref="P74:P137" si="92">IFERROR(IF(BC74=2,"-",BD74),"")</f>
        <v/>
      </c>
      <c r="Q74" s="33" t="str">
        <f t="shared" ref="Q74:Q137" si="93">IFERROR(BG74,"")</f>
        <v/>
      </c>
      <c r="R74" s="1"/>
      <c r="S74" s="1"/>
      <c r="Y74" s="1" t="e">
        <f>VLOOKUP($B$6,LOOKUP_SCE,67,0)</f>
        <v>#N/A</v>
      </c>
      <c r="Z74" s="22" t="str">
        <f t="shared" si="67"/>
        <v/>
      </c>
      <c r="AA74" s="23">
        <f t="shared" ref="AA74:AA137" si="94">IFERROR(ERROR.TYPE(AB74),0)</f>
        <v>7</v>
      </c>
      <c r="AB74" s="55" t="e">
        <f t="shared" si="68"/>
        <v>#N/A</v>
      </c>
      <c r="AC74" s="38" t="e">
        <f t="shared" ref="AC74:AC137" si="95">IF(AD74&gt;0,AD74,"-")</f>
        <v>#N/A</v>
      </c>
      <c r="AD74" s="38" t="e">
        <f t="shared" ref="AD74:AD137" si="96">$AE74/$AE$8</f>
        <v>#N/A</v>
      </c>
      <c r="AE74" s="415" t="e">
        <f t="shared" si="69"/>
        <v>#N/A</v>
      </c>
      <c r="AF74" s="10">
        <f t="shared" ref="AF74:AF137" si="97">IFERROR(ERROR.TYPE(AG74),0)</f>
        <v>7</v>
      </c>
      <c r="AG74" s="38" t="e">
        <f t="shared" si="70"/>
        <v>#N/A</v>
      </c>
      <c r="AH74" s="38" t="e">
        <f t="shared" ref="AH74:AH137" si="98">$AE74/$AI74</f>
        <v>#N/A</v>
      </c>
      <c r="AI74" s="10" t="e">
        <f t="shared" si="71"/>
        <v>#N/A</v>
      </c>
      <c r="AJ74" s="39" t="e">
        <f t="shared" ref="AJ74:AJ137" si="99">IF(AK74&gt;0,AK74,"-")</f>
        <v>#N/A</v>
      </c>
      <c r="AK74" s="40" t="e">
        <f t="shared" si="72"/>
        <v>#N/A</v>
      </c>
      <c r="AL74" s="11" t="e">
        <f t="shared" si="73"/>
        <v>#N/A</v>
      </c>
      <c r="AM74" s="41">
        <f t="shared" ref="AM74:AM137" si="100">IFERROR(ERROR.TYPE(AN74),0)</f>
        <v>7</v>
      </c>
      <c r="AN74" s="57" t="e">
        <f t="shared" si="74"/>
        <v>#N/A</v>
      </c>
      <c r="AO74" s="40" t="e">
        <f t="shared" ref="AO74:AO137" si="101">$AL74/$AP74</f>
        <v>#N/A</v>
      </c>
      <c r="AP74" s="417" t="e">
        <f t="shared" si="75"/>
        <v>#N/A</v>
      </c>
      <c r="AQ74" s="56">
        <f t="shared" ref="AQ74:AQ137" si="102">IFERROR(ERROR.TYPE(AR74),0)</f>
        <v>7</v>
      </c>
      <c r="AR74" s="43" t="e">
        <f t="shared" ref="AR74:AR137" si="103">IF(AS74&gt;0,AS74,"-")</f>
        <v>#N/A</v>
      </c>
      <c r="AS74" s="44" t="e">
        <f t="shared" ref="AS74:AS137" si="104">AT74/$AT$8</f>
        <v>#N/A</v>
      </c>
      <c r="AT74" s="45" t="e">
        <f t="shared" si="76"/>
        <v>#N/A</v>
      </c>
      <c r="AU74" s="14">
        <f t="shared" ref="AU74:AU137" si="105">IFERROR(ERROR.TYPE(AV74),0)</f>
        <v>7</v>
      </c>
      <c r="AV74" s="44" t="e">
        <f t="shared" si="77"/>
        <v>#N/A</v>
      </c>
      <c r="AW74" s="14" t="e">
        <f t="shared" ref="AW74:AW137" si="106">$AT74/$AX74</f>
        <v>#N/A</v>
      </c>
      <c r="AX74" s="14" t="e">
        <f t="shared" si="78"/>
        <v>#N/A</v>
      </c>
      <c r="AY74" s="46">
        <f t="shared" ref="AY74:AY137" si="107">IFERROR(ERROR.TYPE(AZ74),0)</f>
        <v>7</v>
      </c>
      <c r="AZ74" s="47" t="e">
        <f t="shared" ref="AZ74:AZ137" si="108">IF(BA74&gt;0,BA74,"-")</f>
        <v>#N/A</v>
      </c>
      <c r="BA74" s="48" t="e">
        <f t="shared" ref="BA74:BA137" si="109">$BB74/$BB$8</f>
        <v>#N/A</v>
      </c>
      <c r="BB74" s="31" t="e">
        <f t="shared" si="79"/>
        <v>#N/A</v>
      </c>
      <c r="BC74" s="28">
        <f t="shared" ref="BC74:BC137" si="110">IFERROR(ERROR.TYPE(BD74),0)</f>
        <v>7</v>
      </c>
      <c r="BD74" s="47" t="e">
        <f t="shared" ref="BD74:BD137" si="111">IF(BE74&gt;0,BE74,"-")</f>
        <v>#N/A</v>
      </c>
      <c r="BE74" s="48" t="e">
        <f t="shared" ref="BE74:BE137" si="112">$BB74/$BF74</f>
        <v>#N/A</v>
      </c>
      <c r="BF74" s="31" t="e">
        <f t="shared" si="80"/>
        <v>#N/A</v>
      </c>
      <c r="BG74" s="49" t="e">
        <f t="shared" si="81"/>
        <v>#N/A</v>
      </c>
      <c r="BH74" s="1" t="e">
        <f>VLOOKUP($B74,STOCK_BY_LA!$A$2:$C$10477,3,0)</f>
        <v>#N/A</v>
      </c>
      <c r="BI74" s="1" t="str">
        <f t="shared" ref="BI74:BI137" si="113">$B$6&amp;$B74</f>
        <v/>
      </c>
    </row>
    <row r="75" spans="1:61" x14ac:dyDescent="0.35">
      <c r="A75" s="33" t="str">
        <f t="shared" si="82"/>
        <v/>
      </c>
      <c r="B75" s="1" t="str">
        <f t="shared" si="51"/>
        <v/>
      </c>
      <c r="C75" s="34" t="str">
        <f t="shared" si="83"/>
        <v/>
      </c>
      <c r="D75" s="33" t="str">
        <f>IF(B75="","",IF('totals_&amp;_RP_counts'!$O$3=0,IFERROR(IF(AA75=2,"0",AB75),""),"-"))</f>
        <v/>
      </c>
      <c r="E75" s="35" t="str">
        <f t="shared" si="84"/>
        <v/>
      </c>
      <c r="F75" s="36" t="str">
        <f t="shared" si="85"/>
        <v/>
      </c>
      <c r="G75" s="36" t="str">
        <f t="shared" si="86"/>
        <v/>
      </c>
      <c r="H75" s="33" t="str">
        <f t="shared" si="64"/>
        <v/>
      </c>
      <c r="I75" s="36" t="str">
        <f t="shared" si="87"/>
        <v/>
      </c>
      <c r="J75" s="36" t="str">
        <f t="shared" si="88"/>
        <v/>
      </c>
      <c r="K75" s="33" t="str">
        <f t="shared" si="65"/>
        <v/>
      </c>
      <c r="L75" s="36" t="str">
        <f t="shared" si="66"/>
        <v/>
      </c>
      <c r="M75" s="36" t="str">
        <f t="shared" si="89"/>
        <v/>
      </c>
      <c r="N75" s="33" t="str">
        <f t="shared" si="90"/>
        <v/>
      </c>
      <c r="O75" s="36" t="str">
        <f t="shared" si="91"/>
        <v/>
      </c>
      <c r="P75" s="36" t="str">
        <f t="shared" si="92"/>
        <v/>
      </c>
      <c r="Q75" s="33" t="str">
        <f t="shared" si="93"/>
        <v/>
      </c>
      <c r="R75" s="1"/>
      <c r="S75" s="1"/>
      <c r="Y75" s="1" t="e">
        <f>VLOOKUP($B$6,LOOKUP_SCE,68,0)</f>
        <v>#N/A</v>
      </c>
      <c r="Z75" s="22" t="str">
        <f t="shared" si="67"/>
        <v/>
      </c>
      <c r="AA75" s="23">
        <f t="shared" si="94"/>
        <v>7</v>
      </c>
      <c r="AB75" s="55" t="e">
        <f t="shared" si="68"/>
        <v>#N/A</v>
      </c>
      <c r="AC75" s="38" t="e">
        <f t="shared" si="95"/>
        <v>#N/A</v>
      </c>
      <c r="AD75" s="38" t="e">
        <f t="shared" si="96"/>
        <v>#N/A</v>
      </c>
      <c r="AE75" s="415" t="e">
        <f t="shared" si="69"/>
        <v>#N/A</v>
      </c>
      <c r="AF75" s="10">
        <f t="shared" si="97"/>
        <v>7</v>
      </c>
      <c r="AG75" s="38" t="e">
        <f t="shared" si="70"/>
        <v>#N/A</v>
      </c>
      <c r="AH75" s="38" t="e">
        <f t="shared" si="98"/>
        <v>#N/A</v>
      </c>
      <c r="AI75" s="10" t="e">
        <f t="shared" si="71"/>
        <v>#N/A</v>
      </c>
      <c r="AJ75" s="39" t="e">
        <f t="shared" si="99"/>
        <v>#N/A</v>
      </c>
      <c r="AK75" s="40" t="e">
        <f t="shared" si="72"/>
        <v>#N/A</v>
      </c>
      <c r="AL75" s="11" t="e">
        <f t="shared" si="73"/>
        <v>#N/A</v>
      </c>
      <c r="AM75" s="41">
        <f t="shared" si="100"/>
        <v>7</v>
      </c>
      <c r="AN75" s="57" t="e">
        <f t="shared" si="74"/>
        <v>#N/A</v>
      </c>
      <c r="AO75" s="40" t="e">
        <f t="shared" si="101"/>
        <v>#N/A</v>
      </c>
      <c r="AP75" s="417" t="e">
        <f t="shared" si="75"/>
        <v>#N/A</v>
      </c>
      <c r="AQ75" s="56">
        <f t="shared" si="102"/>
        <v>7</v>
      </c>
      <c r="AR75" s="43" t="e">
        <f t="shared" si="103"/>
        <v>#N/A</v>
      </c>
      <c r="AS75" s="44" t="e">
        <f t="shared" si="104"/>
        <v>#N/A</v>
      </c>
      <c r="AT75" s="45" t="e">
        <f t="shared" si="76"/>
        <v>#N/A</v>
      </c>
      <c r="AU75" s="14">
        <f t="shared" si="105"/>
        <v>7</v>
      </c>
      <c r="AV75" s="44" t="e">
        <f t="shared" si="77"/>
        <v>#N/A</v>
      </c>
      <c r="AW75" s="14" t="e">
        <f t="shared" si="106"/>
        <v>#N/A</v>
      </c>
      <c r="AX75" s="14" t="e">
        <f t="shared" si="78"/>
        <v>#N/A</v>
      </c>
      <c r="AY75" s="46">
        <f t="shared" si="107"/>
        <v>7</v>
      </c>
      <c r="AZ75" s="47" t="e">
        <f t="shared" si="108"/>
        <v>#N/A</v>
      </c>
      <c r="BA75" s="48" t="e">
        <f t="shared" si="109"/>
        <v>#N/A</v>
      </c>
      <c r="BB75" s="31" t="e">
        <f t="shared" si="79"/>
        <v>#N/A</v>
      </c>
      <c r="BC75" s="28">
        <f t="shared" si="110"/>
        <v>7</v>
      </c>
      <c r="BD75" s="47" t="e">
        <f t="shared" si="111"/>
        <v>#N/A</v>
      </c>
      <c r="BE75" s="48" t="e">
        <f t="shared" si="112"/>
        <v>#N/A</v>
      </c>
      <c r="BF75" s="31" t="e">
        <f t="shared" si="80"/>
        <v>#N/A</v>
      </c>
      <c r="BG75" s="49" t="e">
        <f t="shared" si="81"/>
        <v>#N/A</v>
      </c>
      <c r="BH75" s="1" t="e">
        <f>VLOOKUP($B75,STOCK_BY_LA!$A$2:$C$10477,3,0)</f>
        <v>#N/A</v>
      </c>
      <c r="BI75" s="1" t="str">
        <f t="shared" si="113"/>
        <v/>
      </c>
    </row>
    <row r="76" spans="1:61" x14ac:dyDescent="0.35">
      <c r="A76" s="1" t="str">
        <f t="shared" si="82"/>
        <v/>
      </c>
      <c r="B76" s="1" t="str">
        <f t="shared" si="51"/>
        <v/>
      </c>
      <c r="C76" s="50" t="str">
        <f t="shared" si="83"/>
        <v/>
      </c>
      <c r="D76" s="33" t="str">
        <f>IF(B76="","",IF('totals_&amp;_RP_counts'!$O$3=0,IFERROR(IF(AA76=2,"0",AB76),""),"-"))</f>
        <v/>
      </c>
      <c r="E76" s="35" t="str">
        <f t="shared" si="84"/>
        <v/>
      </c>
      <c r="F76" s="36" t="str">
        <f t="shared" si="85"/>
        <v/>
      </c>
      <c r="G76" s="36" t="str">
        <f t="shared" si="86"/>
        <v/>
      </c>
      <c r="H76" s="33" t="str">
        <f t="shared" si="64"/>
        <v/>
      </c>
      <c r="I76" s="36" t="str">
        <f t="shared" si="87"/>
        <v/>
      </c>
      <c r="J76" s="36" t="str">
        <f t="shared" si="88"/>
        <v/>
      </c>
      <c r="K76" s="33" t="str">
        <f t="shared" si="65"/>
        <v/>
      </c>
      <c r="L76" s="36" t="str">
        <f t="shared" si="66"/>
        <v/>
      </c>
      <c r="M76" s="36" t="str">
        <f t="shared" si="89"/>
        <v/>
      </c>
      <c r="N76" s="33" t="str">
        <f t="shared" si="90"/>
        <v/>
      </c>
      <c r="O76" s="36" t="str">
        <f t="shared" si="91"/>
        <v/>
      </c>
      <c r="P76" s="36" t="str">
        <f t="shared" si="92"/>
        <v/>
      </c>
      <c r="Q76" s="33" t="str">
        <f t="shared" si="93"/>
        <v/>
      </c>
      <c r="R76" s="1"/>
      <c r="S76" s="1"/>
      <c r="Y76" s="1" t="e">
        <f>VLOOKUP($B$6,LOOKUP_SCE,69,0)</f>
        <v>#N/A</v>
      </c>
      <c r="Z76" s="22" t="str">
        <f t="shared" si="67"/>
        <v/>
      </c>
      <c r="AA76" s="23">
        <f t="shared" si="94"/>
        <v>7</v>
      </c>
      <c r="AB76" s="55" t="e">
        <f t="shared" si="68"/>
        <v>#N/A</v>
      </c>
      <c r="AC76" s="38" t="e">
        <f t="shared" si="95"/>
        <v>#N/A</v>
      </c>
      <c r="AD76" s="38" t="e">
        <f t="shared" si="96"/>
        <v>#N/A</v>
      </c>
      <c r="AE76" s="415" t="e">
        <f t="shared" si="69"/>
        <v>#N/A</v>
      </c>
      <c r="AF76" s="10">
        <f t="shared" si="97"/>
        <v>7</v>
      </c>
      <c r="AG76" s="38" t="e">
        <f t="shared" si="70"/>
        <v>#N/A</v>
      </c>
      <c r="AH76" s="38" t="e">
        <f t="shared" si="98"/>
        <v>#N/A</v>
      </c>
      <c r="AI76" s="10" t="e">
        <f t="shared" si="71"/>
        <v>#N/A</v>
      </c>
      <c r="AJ76" s="39" t="e">
        <f t="shared" si="99"/>
        <v>#N/A</v>
      </c>
      <c r="AK76" s="40" t="e">
        <f t="shared" si="72"/>
        <v>#N/A</v>
      </c>
      <c r="AL76" s="11" t="e">
        <f t="shared" si="73"/>
        <v>#N/A</v>
      </c>
      <c r="AM76" s="41">
        <f t="shared" si="100"/>
        <v>7</v>
      </c>
      <c r="AN76" s="57" t="e">
        <f t="shared" si="74"/>
        <v>#N/A</v>
      </c>
      <c r="AO76" s="40" t="e">
        <f t="shared" si="101"/>
        <v>#N/A</v>
      </c>
      <c r="AP76" s="417" t="e">
        <f t="shared" si="75"/>
        <v>#N/A</v>
      </c>
      <c r="AQ76" s="56">
        <f t="shared" si="102"/>
        <v>7</v>
      </c>
      <c r="AR76" s="43" t="e">
        <f t="shared" si="103"/>
        <v>#N/A</v>
      </c>
      <c r="AS76" s="44" t="e">
        <f t="shared" si="104"/>
        <v>#N/A</v>
      </c>
      <c r="AT76" s="45" t="e">
        <f t="shared" si="76"/>
        <v>#N/A</v>
      </c>
      <c r="AU76" s="14">
        <f t="shared" si="105"/>
        <v>7</v>
      </c>
      <c r="AV76" s="44" t="e">
        <f t="shared" si="77"/>
        <v>#N/A</v>
      </c>
      <c r="AW76" s="14" t="e">
        <f t="shared" si="106"/>
        <v>#N/A</v>
      </c>
      <c r="AX76" s="14" t="e">
        <f t="shared" si="78"/>
        <v>#N/A</v>
      </c>
      <c r="AY76" s="46">
        <f t="shared" si="107"/>
        <v>7</v>
      </c>
      <c r="AZ76" s="47" t="e">
        <f t="shared" si="108"/>
        <v>#N/A</v>
      </c>
      <c r="BA76" s="48" t="e">
        <f t="shared" si="109"/>
        <v>#N/A</v>
      </c>
      <c r="BB76" s="31" t="e">
        <f t="shared" si="79"/>
        <v>#N/A</v>
      </c>
      <c r="BC76" s="28">
        <f t="shared" si="110"/>
        <v>7</v>
      </c>
      <c r="BD76" s="47" t="e">
        <f t="shared" si="111"/>
        <v>#N/A</v>
      </c>
      <c r="BE76" s="48" t="e">
        <f t="shared" si="112"/>
        <v>#N/A</v>
      </c>
      <c r="BF76" s="31" t="e">
        <f t="shared" si="80"/>
        <v>#N/A</v>
      </c>
      <c r="BG76" s="49" t="e">
        <f t="shared" si="81"/>
        <v>#N/A</v>
      </c>
      <c r="BH76" s="1" t="e">
        <f>VLOOKUP($B76,STOCK_BY_LA!$A$2:$C$10477,3,0)</f>
        <v>#N/A</v>
      </c>
      <c r="BI76" s="1" t="str">
        <f t="shared" si="113"/>
        <v/>
      </c>
    </row>
    <row r="77" spans="1:61" x14ac:dyDescent="0.35">
      <c r="A77" s="33" t="str">
        <f t="shared" si="82"/>
        <v/>
      </c>
      <c r="B77" s="1" t="str">
        <f t="shared" ref="B77:B140" si="114">IFERROR(IF(Y77=0,"",Y77),"")</f>
        <v/>
      </c>
      <c r="C77" s="34" t="str">
        <f t="shared" si="83"/>
        <v/>
      </c>
      <c r="D77" s="33" t="str">
        <f>IF(B77="","",IF('totals_&amp;_RP_counts'!$O$3=0,IFERROR(IF(AA77=2,"0",AB77),""),"-"))</f>
        <v/>
      </c>
      <c r="E77" s="35" t="str">
        <f t="shared" si="84"/>
        <v/>
      </c>
      <c r="F77" s="36" t="str">
        <f t="shared" si="85"/>
        <v/>
      </c>
      <c r="G77" s="36" t="str">
        <f t="shared" si="86"/>
        <v/>
      </c>
      <c r="H77" s="33" t="str">
        <f t="shared" si="64"/>
        <v/>
      </c>
      <c r="I77" s="36" t="str">
        <f t="shared" si="87"/>
        <v/>
      </c>
      <c r="J77" s="36" t="str">
        <f t="shared" si="88"/>
        <v/>
      </c>
      <c r="K77" s="33" t="str">
        <f t="shared" si="65"/>
        <v/>
      </c>
      <c r="L77" s="36" t="str">
        <f t="shared" si="66"/>
        <v/>
      </c>
      <c r="M77" s="36" t="str">
        <f t="shared" si="89"/>
        <v/>
      </c>
      <c r="N77" s="33" t="str">
        <f t="shared" si="90"/>
        <v/>
      </c>
      <c r="O77" s="36" t="str">
        <f t="shared" si="91"/>
        <v/>
      </c>
      <c r="P77" s="36" t="str">
        <f t="shared" si="92"/>
        <v/>
      </c>
      <c r="Q77" s="33" t="str">
        <f t="shared" si="93"/>
        <v/>
      </c>
      <c r="R77" s="1"/>
      <c r="S77" s="1"/>
      <c r="Y77" s="1" t="e">
        <f>VLOOKUP($B$6,LOOKUP_SCE,70,0)</f>
        <v>#N/A</v>
      </c>
      <c r="Z77" s="22" t="str">
        <f t="shared" si="67"/>
        <v/>
      </c>
      <c r="AA77" s="23">
        <f t="shared" si="94"/>
        <v>7</v>
      </c>
      <c r="AB77" s="55" t="e">
        <f t="shared" si="68"/>
        <v>#N/A</v>
      </c>
      <c r="AC77" s="38" t="e">
        <f t="shared" si="95"/>
        <v>#N/A</v>
      </c>
      <c r="AD77" s="38" t="e">
        <f t="shared" si="96"/>
        <v>#N/A</v>
      </c>
      <c r="AE77" s="415" t="e">
        <f t="shared" si="69"/>
        <v>#N/A</v>
      </c>
      <c r="AF77" s="10">
        <f t="shared" si="97"/>
        <v>7</v>
      </c>
      <c r="AG77" s="38" t="e">
        <f t="shared" si="70"/>
        <v>#N/A</v>
      </c>
      <c r="AH77" s="38" t="e">
        <f t="shared" si="98"/>
        <v>#N/A</v>
      </c>
      <c r="AI77" s="10" t="e">
        <f t="shared" si="71"/>
        <v>#N/A</v>
      </c>
      <c r="AJ77" s="39" t="e">
        <f t="shared" si="99"/>
        <v>#N/A</v>
      </c>
      <c r="AK77" s="40" t="e">
        <f t="shared" si="72"/>
        <v>#N/A</v>
      </c>
      <c r="AL77" s="11" t="e">
        <f t="shared" si="73"/>
        <v>#N/A</v>
      </c>
      <c r="AM77" s="41">
        <f t="shared" si="100"/>
        <v>7</v>
      </c>
      <c r="AN77" s="57" t="e">
        <f t="shared" si="74"/>
        <v>#N/A</v>
      </c>
      <c r="AO77" s="40" t="e">
        <f t="shared" si="101"/>
        <v>#N/A</v>
      </c>
      <c r="AP77" s="417" t="e">
        <f t="shared" si="75"/>
        <v>#N/A</v>
      </c>
      <c r="AQ77" s="56">
        <f t="shared" si="102"/>
        <v>7</v>
      </c>
      <c r="AR77" s="43" t="e">
        <f t="shared" si="103"/>
        <v>#N/A</v>
      </c>
      <c r="AS77" s="44" t="e">
        <f t="shared" si="104"/>
        <v>#N/A</v>
      </c>
      <c r="AT77" s="45" t="e">
        <f t="shared" si="76"/>
        <v>#N/A</v>
      </c>
      <c r="AU77" s="14">
        <f t="shared" si="105"/>
        <v>7</v>
      </c>
      <c r="AV77" s="44" t="e">
        <f t="shared" si="77"/>
        <v>#N/A</v>
      </c>
      <c r="AW77" s="14" t="e">
        <f t="shared" si="106"/>
        <v>#N/A</v>
      </c>
      <c r="AX77" s="14" t="e">
        <f t="shared" si="78"/>
        <v>#N/A</v>
      </c>
      <c r="AY77" s="46">
        <f t="shared" si="107"/>
        <v>7</v>
      </c>
      <c r="AZ77" s="47" t="e">
        <f t="shared" si="108"/>
        <v>#N/A</v>
      </c>
      <c r="BA77" s="48" t="e">
        <f t="shared" si="109"/>
        <v>#N/A</v>
      </c>
      <c r="BB77" s="31" t="e">
        <f t="shared" si="79"/>
        <v>#N/A</v>
      </c>
      <c r="BC77" s="28">
        <f t="shared" si="110"/>
        <v>7</v>
      </c>
      <c r="BD77" s="47" t="e">
        <f t="shared" si="111"/>
        <v>#N/A</v>
      </c>
      <c r="BE77" s="48" t="e">
        <f t="shared" si="112"/>
        <v>#N/A</v>
      </c>
      <c r="BF77" s="31" t="e">
        <f t="shared" si="80"/>
        <v>#N/A</v>
      </c>
      <c r="BG77" s="49" t="e">
        <f t="shared" si="81"/>
        <v>#N/A</v>
      </c>
      <c r="BH77" s="1" t="e">
        <f>VLOOKUP($B77,STOCK_BY_LA!$A$2:$C$10477,3,0)</f>
        <v>#N/A</v>
      </c>
      <c r="BI77" s="1" t="str">
        <f t="shared" si="113"/>
        <v/>
      </c>
    </row>
    <row r="78" spans="1:61" x14ac:dyDescent="0.35">
      <c r="A78" s="1" t="str">
        <f t="shared" si="82"/>
        <v/>
      </c>
      <c r="B78" s="1" t="str">
        <f t="shared" si="114"/>
        <v/>
      </c>
      <c r="C78" s="50" t="str">
        <f t="shared" si="83"/>
        <v/>
      </c>
      <c r="D78" s="33" t="str">
        <f>IF(B78="","",IF('totals_&amp;_RP_counts'!$O$3=0,IFERROR(IF(AA78=2,"0",AB78),""),"-"))</f>
        <v/>
      </c>
      <c r="E78" s="35" t="str">
        <f t="shared" si="84"/>
        <v/>
      </c>
      <c r="F78" s="36" t="str">
        <f t="shared" si="85"/>
        <v/>
      </c>
      <c r="G78" s="36" t="str">
        <f t="shared" si="86"/>
        <v/>
      </c>
      <c r="H78" s="33" t="str">
        <f t="shared" si="64"/>
        <v/>
      </c>
      <c r="I78" s="36" t="str">
        <f t="shared" si="87"/>
        <v/>
      </c>
      <c r="J78" s="36" t="str">
        <f t="shared" si="88"/>
        <v/>
      </c>
      <c r="K78" s="33" t="str">
        <f t="shared" si="65"/>
        <v/>
      </c>
      <c r="L78" s="36" t="str">
        <f t="shared" si="66"/>
        <v/>
      </c>
      <c r="M78" s="36" t="str">
        <f t="shared" si="89"/>
        <v/>
      </c>
      <c r="N78" s="33" t="str">
        <f t="shared" si="90"/>
        <v/>
      </c>
      <c r="O78" s="36" t="str">
        <f t="shared" si="91"/>
        <v/>
      </c>
      <c r="P78" s="36" t="str">
        <f t="shared" si="92"/>
        <v/>
      </c>
      <c r="Q78" s="33" t="str">
        <f t="shared" si="93"/>
        <v/>
      </c>
      <c r="R78" s="1"/>
      <c r="S78" s="1"/>
      <c r="Y78" s="1" t="e">
        <f>VLOOKUP($B$6,LOOKUP_SCE,71,0)</f>
        <v>#N/A</v>
      </c>
      <c r="Z78" s="22" t="str">
        <f t="shared" si="67"/>
        <v/>
      </c>
      <c r="AA78" s="23">
        <f t="shared" si="94"/>
        <v>7</v>
      </c>
      <c r="AB78" s="55" t="e">
        <f t="shared" si="68"/>
        <v>#N/A</v>
      </c>
      <c r="AC78" s="38" t="e">
        <f t="shared" si="95"/>
        <v>#N/A</v>
      </c>
      <c r="AD78" s="38" t="e">
        <f t="shared" si="96"/>
        <v>#N/A</v>
      </c>
      <c r="AE78" s="415" t="e">
        <f t="shared" si="69"/>
        <v>#N/A</v>
      </c>
      <c r="AF78" s="10">
        <f t="shared" si="97"/>
        <v>7</v>
      </c>
      <c r="AG78" s="38" t="e">
        <f t="shared" si="70"/>
        <v>#N/A</v>
      </c>
      <c r="AH78" s="38" t="e">
        <f t="shared" si="98"/>
        <v>#N/A</v>
      </c>
      <c r="AI78" s="10" t="e">
        <f t="shared" si="71"/>
        <v>#N/A</v>
      </c>
      <c r="AJ78" s="39" t="e">
        <f t="shared" si="99"/>
        <v>#N/A</v>
      </c>
      <c r="AK78" s="40" t="e">
        <f t="shared" si="72"/>
        <v>#N/A</v>
      </c>
      <c r="AL78" s="11" t="e">
        <f t="shared" si="73"/>
        <v>#N/A</v>
      </c>
      <c r="AM78" s="41">
        <f t="shared" si="100"/>
        <v>7</v>
      </c>
      <c r="AN78" s="57" t="e">
        <f t="shared" si="74"/>
        <v>#N/A</v>
      </c>
      <c r="AO78" s="40" t="e">
        <f t="shared" si="101"/>
        <v>#N/A</v>
      </c>
      <c r="AP78" s="417" t="e">
        <f t="shared" si="75"/>
        <v>#N/A</v>
      </c>
      <c r="AQ78" s="56">
        <f t="shared" si="102"/>
        <v>7</v>
      </c>
      <c r="AR78" s="43" t="e">
        <f t="shared" si="103"/>
        <v>#N/A</v>
      </c>
      <c r="AS78" s="44" t="e">
        <f t="shared" si="104"/>
        <v>#N/A</v>
      </c>
      <c r="AT78" s="45" t="e">
        <f t="shared" si="76"/>
        <v>#N/A</v>
      </c>
      <c r="AU78" s="14">
        <f t="shared" si="105"/>
        <v>7</v>
      </c>
      <c r="AV78" s="44" t="e">
        <f t="shared" si="77"/>
        <v>#N/A</v>
      </c>
      <c r="AW78" s="14" t="e">
        <f t="shared" si="106"/>
        <v>#N/A</v>
      </c>
      <c r="AX78" s="14" t="e">
        <f t="shared" si="78"/>
        <v>#N/A</v>
      </c>
      <c r="AY78" s="46">
        <f t="shared" si="107"/>
        <v>7</v>
      </c>
      <c r="AZ78" s="47" t="e">
        <f t="shared" si="108"/>
        <v>#N/A</v>
      </c>
      <c r="BA78" s="48" t="e">
        <f t="shared" si="109"/>
        <v>#N/A</v>
      </c>
      <c r="BB78" s="31" t="e">
        <f t="shared" si="79"/>
        <v>#N/A</v>
      </c>
      <c r="BC78" s="28">
        <f t="shared" si="110"/>
        <v>7</v>
      </c>
      <c r="BD78" s="47" t="e">
        <f t="shared" si="111"/>
        <v>#N/A</v>
      </c>
      <c r="BE78" s="48" t="e">
        <f t="shared" si="112"/>
        <v>#N/A</v>
      </c>
      <c r="BF78" s="31" t="e">
        <f t="shared" si="80"/>
        <v>#N/A</v>
      </c>
      <c r="BG78" s="49" t="e">
        <f t="shared" si="81"/>
        <v>#N/A</v>
      </c>
      <c r="BH78" s="1" t="e">
        <f>VLOOKUP($B78,STOCK_BY_LA!$A$2:$C$10477,3,0)</f>
        <v>#N/A</v>
      </c>
      <c r="BI78" s="1" t="str">
        <f t="shared" si="113"/>
        <v/>
      </c>
    </row>
    <row r="79" spans="1:61" x14ac:dyDescent="0.35">
      <c r="A79" s="33" t="str">
        <f t="shared" si="82"/>
        <v/>
      </c>
      <c r="B79" s="1" t="str">
        <f t="shared" si="114"/>
        <v/>
      </c>
      <c r="C79" s="34" t="str">
        <f t="shared" si="83"/>
        <v/>
      </c>
      <c r="D79" s="33" t="str">
        <f>IF(B79="","",IF('totals_&amp;_RP_counts'!$O$3=0,IFERROR(IF(AA79=2,"0",AB79),""),"-"))</f>
        <v/>
      </c>
      <c r="E79" s="35" t="str">
        <f t="shared" si="84"/>
        <v/>
      </c>
      <c r="F79" s="36" t="str">
        <f t="shared" si="85"/>
        <v/>
      </c>
      <c r="G79" s="36" t="str">
        <f t="shared" si="86"/>
        <v/>
      </c>
      <c r="H79" s="33" t="str">
        <f t="shared" si="64"/>
        <v/>
      </c>
      <c r="I79" s="36" t="str">
        <f t="shared" si="87"/>
        <v/>
      </c>
      <c r="J79" s="36" t="str">
        <f t="shared" si="88"/>
        <v/>
      </c>
      <c r="K79" s="33" t="str">
        <f t="shared" si="65"/>
        <v/>
      </c>
      <c r="L79" s="36" t="str">
        <f t="shared" si="66"/>
        <v/>
      </c>
      <c r="M79" s="36" t="str">
        <f t="shared" si="89"/>
        <v/>
      </c>
      <c r="N79" s="33" t="str">
        <f t="shared" si="90"/>
        <v/>
      </c>
      <c r="O79" s="36" t="str">
        <f t="shared" si="91"/>
        <v/>
      </c>
      <c r="P79" s="36" t="str">
        <f t="shared" si="92"/>
        <v/>
      </c>
      <c r="Q79" s="33" t="str">
        <f t="shared" si="93"/>
        <v/>
      </c>
      <c r="R79" s="1"/>
      <c r="S79" s="1"/>
      <c r="Y79" s="1" t="e">
        <f>VLOOKUP($B$6,LOOKUP_SCE,72,0)</f>
        <v>#N/A</v>
      </c>
      <c r="Z79" s="22" t="str">
        <f t="shared" si="67"/>
        <v/>
      </c>
      <c r="AA79" s="23">
        <f t="shared" si="94"/>
        <v>7</v>
      </c>
      <c r="AB79" s="55" t="e">
        <f t="shared" si="68"/>
        <v>#N/A</v>
      </c>
      <c r="AC79" s="38" t="e">
        <f t="shared" si="95"/>
        <v>#N/A</v>
      </c>
      <c r="AD79" s="38" t="e">
        <f t="shared" si="96"/>
        <v>#N/A</v>
      </c>
      <c r="AE79" s="415" t="e">
        <f t="shared" si="69"/>
        <v>#N/A</v>
      </c>
      <c r="AF79" s="10">
        <f t="shared" si="97"/>
        <v>7</v>
      </c>
      <c r="AG79" s="38" t="e">
        <f t="shared" si="70"/>
        <v>#N/A</v>
      </c>
      <c r="AH79" s="38" t="e">
        <f t="shared" si="98"/>
        <v>#N/A</v>
      </c>
      <c r="AI79" s="10" t="e">
        <f t="shared" si="71"/>
        <v>#N/A</v>
      </c>
      <c r="AJ79" s="39" t="e">
        <f t="shared" si="99"/>
        <v>#N/A</v>
      </c>
      <c r="AK79" s="40" t="e">
        <f t="shared" si="72"/>
        <v>#N/A</v>
      </c>
      <c r="AL79" s="11" t="e">
        <f t="shared" si="73"/>
        <v>#N/A</v>
      </c>
      <c r="AM79" s="41">
        <f t="shared" si="100"/>
        <v>7</v>
      </c>
      <c r="AN79" s="57" t="e">
        <f t="shared" si="74"/>
        <v>#N/A</v>
      </c>
      <c r="AO79" s="40" t="e">
        <f t="shared" si="101"/>
        <v>#N/A</v>
      </c>
      <c r="AP79" s="417" t="e">
        <f t="shared" si="75"/>
        <v>#N/A</v>
      </c>
      <c r="AQ79" s="56">
        <f t="shared" si="102"/>
        <v>7</v>
      </c>
      <c r="AR79" s="43" t="e">
        <f t="shared" si="103"/>
        <v>#N/A</v>
      </c>
      <c r="AS79" s="44" t="e">
        <f t="shared" si="104"/>
        <v>#N/A</v>
      </c>
      <c r="AT79" s="45" t="e">
        <f t="shared" si="76"/>
        <v>#N/A</v>
      </c>
      <c r="AU79" s="14">
        <f t="shared" si="105"/>
        <v>7</v>
      </c>
      <c r="AV79" s="44" t="e">
        <f t="shared" si="77"/>
        <v>#N/A</v>
      </c>
      <c r="AW79" s="14" t="e">
        <f t="shared" si="106"/>
        <v>#N/A</v>
      </c>
      <c r="AX79" s="14" t="e">
        <f t="shared" si="78"/>
        <v>#N/A</v>
      </c>
      <c r="AY79" s="46">
        <f t="shared" si="107"/>
        <v>7</v>
      </c>
      <c r="AZ79" s="47" t="e">
        <f t="shared" si="108"/>
        <v>#N/A</v>
      </c>
      <c r="BA79" s="48" t="e">
        <f t="shared" si="109"/>
        <v>#N/A</v>
      </c>
      <c r="BB79" s="31" t="e">
        <f t="shared" si="79"/>
        <v>#N/A</v>
      </c>
      <c r="BC79" s="28">
        <f t="shared" si="110"/>
        <v>7</v>
      </c>
      <c r="BD79" s="47" t="e">
        <f t="shared" si="111"/>
        <v>#N/A</v>
      </c>
      <c r="BE79" s="48" t="e">
        <f t="shared" si="112"/>
        <v>#N/A</v>
      </c>
      <c r="BF79" s="31" t="e">
        <f t="shared" si="80"/>
        <v>#N/A</v>
      </c>
      <c r="BG79" s="49" t="e">
        <f t="shared" si="81"/>
        <v>#N/A</v>
      </c>
      <c r="BH79" s="1" t="e">
        <f>VLOOKUP($B79,STOCK_BY_LA!$A$2:$C$10477,3,0)</f>
        <v>#N/A</v>
      </c>
      <c r="BI79" s="1" t="str">
        <f t="shared" si="113"/>
        <v/>
      </c>
    </row>
    <row r="80" spans="1:61" x14ac:dyDescent="0.35">
      <c r="A80" s="1" t="str">
        <f t="shared" si="82"/>
        <v/>
      </c>
      <c r="B80" s="1" t="str">
        <f t="shared" si="114"/>
        <v/>
      </c>
      <c r="C80" s="50" t="str">
        <f t="shared" si="83"/>
        <v/>
      </c>
      <c r="D80" s="33" t="str">
        <f>IF(B80="","",IF('totals_&amp;_RP_counts'!$O$3=0,IFERROR(IF(AA80=2,"0",AB80),""),"-"))</f>
        <v/>
      </c>
      <c r="E80" s="35" t="str">
        <f t="shared" si="84"/>
        <v/>
      </c>
      <c r="F80" s="36" t="str">
        <f t="shared" si="85"/>
        <v/>
      </c>
      <c r="G80" s="36" t="str">
        <f t="shared" si="86"/>
        <v/>
      </c>
      <c r="H80" s="33" t="str">
        <f t="shared" si="64"/>
        <v/>
      </c>
      <c r="I80" s="36" t="str">
        <f t="shared" si="87"/>
        <v/>
      </c>
      <c r="J80" s="36" t="str">
        <f t="shared" si="88"/>
        <v/>
      </c>
      <c r="K80" s="33" t="str">
        <f t="shared" si="65"/>
        <v/>
      </c>
      <c r="L80" s="36" t="str">
        <f t="shared" si="66"/>
        <v/>
      </c>
      <c r="M80" s="36" t="str">
        <f t="shared" si="89"/>
        <v/>
      </c>
      <c r="N80" s="33" t="str">
        <f t="shared" si="90"/>
        <v/>
      </c>
      <c r="O80" s="36" t="str">
        <f t="shared" si="91"/>
        <v/>
      </c>
      <c r="P80" s="36" t="str">
        <f t="shared" si="92"/>
        <v/>
      </c>
      <c r="Q80" s="33" t="str">
        <f t="shared" si="93"/>
        <v/>
      </c>
      <c r="R80" s="1"/>
      <c r="S80" s="1"/>
      <c r="Y80" s="1" t="e">
        <f>VLOOKUP($B$6,LOOKUP_SCE,73,0)</f>
        <v>#N/A</v>
      </c>
      <c r="Z80" s="22" t="str">
        <f t="shared" si="67"/>
        <v/>
      </c>
      <c r="AA80" s="23">
        <f t="shared" si="94"/>
        <v>7</v>
      </c>
      <c r="AB80" s="55" t="e">
        <f t="shared" si="68"/>
        <v>#N/A</v>
      </c>
      <c r="AC80" s="38" t="e">
        <f t="shared" si="95"/>
        <v>#N/A</v>
      </c>
      <c r="AD80" s="38" t="e">
        <f t="shared" si="96"/>
        <v>#N/A</v>
      </c>
      <c r="AE80" s="415" t="e">
        <f t="shared" si="69"/>
        <v>#N/A</v>
      </c>
      <c r="AF80" s="10">
        <f t="shared" si="97"/>
        <v>7</v>
      </c>
      <c r="AG80" s="38" t="e">
        <f t="shared" si="70"/>
        <v>#N/A</v>
      </c>
      <c r="AH80" s="38" t="e">
        <f t="shared" si="98"/>
        <v>#N/A</v>
      </c>
      <c r="AI80" s="10" t="e">
        <f t="shared" si="71"/>
        <v>#N/A</v>
      </c>
      <c r="AJ80" s="39" t="e">
        <f t="shared" si="99"/>
        <v>#N/A</v>
      </c>
      <c r="AK80" s="40" t="e">
        <f t="shared" si="72"/>
        <v>#N/A</v>
      </c>
      <c r="AL80" s="11" t="e">
        <f t="shared" si="73"/>
        <v>#N/A</v>
      </c>
      <c r="AM80" s="41">
        <f t="shared" si="100"/>
        <v>7</v>
      </c>
      <c r="AN80" s="57" t="e">
        <f t="shared" si="74"/>
        <v>#N/A</v>
      </c>
      <c r="AO80" s="40" t="e">
        <f t="shared" si="101"/>
        <v>#N/A</v>
      </c>
      <c r="AP80" s="417" t="e">
        <f t="shared" si="75"/>
        <v>#N/A</v>
      </c>
      <c r="AQ80" s="56">
        <f t="shared" si="102"/>
        <v>7</v>
      </c>
      <c r="AR80" s="43" t="e">
        <f t="shared" si="103"/>
        <v>#N/A</v>
      </c>
      <c r="AS80" s="44" t="e">
        <f t="shared" si="104"/>
        <v>#N/A</v>
      </c>
      <c r="AT80" s="45" t="e">
        <f t="shared" si="76"/>
        <v>#N/A</v>
      </c>
      <c r="AU80" s="14">
        <f t="shared" si="105"/>
        <v>7</v>
      </c>
      <c r="AV80" s="44" t="e">
        <f t="shared" si="77"/>
        <v>#N/A</v>
      </c>
      <c r="AW80" s="14" t="e">
        <f t="shared" si="106"/>
        <v>#N/A</v>
      </c>
      <c r="AX80" s="14" t="e">
        <f t="shared" si="78"/>
        <v>#N/A</v>
      </c>
      <c r="AY80" s="46">
        <f t="shared" si="107"/>
        <v>7</v>
      </c>
      <c r="AZ80" s="47" t="e">
        <f t="shared" si="108"/>
        <v>#N/A</v>
      </c>
      <c r="BA80" s="48" t="e">
        <f t="shared" si="109"/>
        <v>#N/A</v>
      </c>
      <c r="BB80" s="31" t="e">
        <f t="shared" si="79"/>
        <v>#N/A</v>
      </c>
      <c r="BC80" s="28">
        <f t="shared" si="110"/>
        <v>7</v>
      </c>
      <c r="BD80" s="47" t="e">
        <f t="shared" si="111"/>
        <v>#N/A</v>
      </c>
      <c r="BE80" s="48" t="e">
        <f t="shared" si="112"/>
        <v>#N/A</v>
      </c>
      <c r="BF80" s="31" t="e">
        <f t="shared" si="80"/>
        <v>#N/A</v>
      </c>
      <c r="BG80" s="49" t="e">
        <f t="shared" si="81"/>
        <v>#N/A</v>
      </c>
      <c r="BH80" s="1" t="e">
        <f>VLOOKUP($B80,STOCK_BY_LA!$A$2:$C$10477,3,0)</f>
        <v>#N/A</v>
      </c>
      <c r="BI80" s="1" t="str">
        <f t="shared" si="113"/>
        <v/>
      </c>
    </row>
    <row r="81" spans="1:61" x14ac:dyDescent="0.35">
      <c r="A81" s="33" t="str">
        <f t="shared" si="82"/>
        <v/>
      </c>
      <c r="B81" s="1" t="str">
        <f t="shared" si="114"/>
        <v/>
      </c>
      <c r="C81" s="34" t="str">
        <f t="shared" si="83"/>
        <v/>
      </c>
      <c r="D81" s="33" t="str">
        <f>IF(B81="","",IF('totals_&amp;_RP_counts'!$O$3=0,IFERROR(IF(AA81=2,"0",AB81),""),"-"))</f>
        <v/>
      </c>
      <c r="E81" s="35" t="str">
        <f t="shared" si="84"/>
        <v/>
      </c>
      <c r="F81" s="36" t="str">
        <f t="shared" si="85"/>
        <v/>
      </c>
      <c r="G81" s="36" t="str">
        <f t="shared" si="86"/>
        <v/>
      </c>
      <c r="H81" s="33" t="str">
        <f t="shared" si="64"/>
        <v/>
      </c>
      <c r="I81" s="36" t="str">
        <f t="shared" si="87"/>
        <v/>
      </c>
      <c r="J81" s="36" t="str">
        <f t="shared" si="88"/>
        <v/>
      </c>
      <c r="K81" s="33" t="str">
        <f t="shared" si="65"/>
        <v/>
      </c>
      <c r="L81" s="36" t="str">
        <f t="shared" si="66"/>
        <v/>
      </c>
      <c r="M81" s="36" t="str">
        <f t="shared" si="89"/>
        <v/>
      </c>
      <c r="N81" s="33" t="str">
        <f t="shared" si="90"/>
        <v/>
      </c>
      <c r="O81" s="36" t="str">
        <f t="shared" si="91"/>
        <v/>
      </c>
      <c r="P81" s="36" t="str">
        <f t="shared" si="92"/>
        <v/>
      </c>
      <c r="Q81" s="33" t="str">
        <f t="shared" si="93"/>
        <v/>
      </c>
      <c r="R81" s="1"/>
      <c r="S81" s="1"/>
      <c r="Y81" s="1" t="e">
        <f>VLOOKUP($B$6,LOOKUP_SCE,74,0)</f>
        <v>#N/A</v>
      </c>
      <c r="Z81" s="22" t="str">
        <f t="shared" si="67"/>
        <v/>
      </c>
      <c r="AA81" s="23">
        <f t="shared" si="94"/>
        <v>7</v>
      </c>
      <c r="AB81" s="55" t="e">
        <f t="shared" si="68"/>
        <v>#N/A</v>
      </c>
      <c r="AC81" s="38" t="e">
        <f t="shared" si="95"/>
        <v>#N/A</v>
      </c>
      <c r="AD81" s="38" t="e">
        <f t="shared" si="96"/>
        <v>#N/A</v>
      </c>
      <c r="AE81" s="415" t="e">
        <f t="shared" si="69"/>
        <v>#N/A</v>
      </c>
      <c r="AF81" s="10">
        <f t="shared" si="97"/>
        <v>7</v>
      </c>
      <c r="AG81" s="38" t="e">
        <f t="shared" si="70"/>
        <v>#N/A</v>
      </c>
      <c r="AH81" s="38" t="e">
        <f t="shared" si="98"/>
        <v>#N/A</v>
      </c>
      <c r="AI81" s="10" t="e">
        <f t="shared" si="71"/>
        <v>#N/A</v>
      </c>
      <c r="AJ81" s="39" t="e">
        <f t="shared" si="99"/>
        <v>#N/A</v>
      </c>
      <c r="AK81" s="40" t="e">
        <f t="shared" si="72"/>
        <v>#N/A</v>
      </c>
      <c r="AL81" s="11" t="e">
        <f t="shared" si="73"/>
        <v>#N/A</v>
      </c>
      <c r="AM81" s="41">
        <f t="shared" si="100"/>
        <v>7</v>
      </c>
      <c r="AN81" s="57" t="e">
        <f t="shared" si="74"/>
        <v>#N/A</v>
      </c>
      <c r="AO81" s="40" t="e">
        <f t="shared" si="101"/>
        <v>#N/A</v>
      </c>
      <c r="AP81" s="417" t="e">
        <f t="shared" si="75"/>
        <v>#N/A</v>
      </c>
      <c r="AQ81" s="56">
        <f t="shared" si="102"/>
        <v>7</v>
      </c>
      <c r="AR81" s="43" t="e">
        <f t="shared" si="103"/>
        <v>#N/A</v>
      </c>
      <c r="AS81" s="44" t="e">
        <f t="shared" si="104"/>
        <v>#N/A</v>
      </c>
      <c r="AT81" s="45" t="e">
        <f t="shared" si="76"/>
        <v>#N/A</v>
      </c>
      <c r="AU81" s="14">
        <f t="shared" si="105"/>
        <v>7</v>
      </c>
      <c r="AV81" s="44" t="e">
        <f t="shared" si="77"/>
        <v>#N/A</v>
      </c>
      <c r="AW81" s="14" t="e">
        <f t="shared" si="106"/>
        <v>#N/A</v>
      </c>
      <c r="AX81" s="14" t="e">
        <f t="shared" si="78"/>
        <v>#N/A</v>
      </c>
      <c r="AY81" s="46">
        <f t="shared" si="107"/>
        <v>7</v>
      </c>
      <c r="AZ81" s="47" t="e">
        <f t="shared" si="108"/>
        <v>#N/A</v>
      </c>
      <c r="BA81" s="48" t="e">
        <f t="shared" si="109"/>
        <v>#N/A</v>
      </c>
      <c r="BB81" s="31" t="e">
        <f t="shared" si="79"/>
        <v>#N/A</v>
      </c>
      <c r="BC81" s="28">
        <f t="shared" si="110"/>
        <v>7</v>
      </c>
      <c r="BD81" s="47" t="e">
        <f t="shared" si="111"/>
        <v>#N/A</v>
      </c>
      <c r="BE81" s="48" t="e">
        <f t="shared" si="112"/>
        <v>#N/A</v>
      </c>
      <c r="BF81" s="31" t="e">
        <f t="shared" si="80"/>
        <v>#N/A</v>
      </c>
      <c r="BG81" s="49" t="e">
        <f t="shared" si="81"/>
        <v>#N/A</v>
      </c>
      <c r="BH81" s="1" t="e">
        <f>VLOOKUP($B81,STOCK_BY_LA!$A$2:$C$10477,3,0)</f>
        <v>#N/A</v>
      </c>
      <c r="BI81" s="1" t="str">
        <f t="shared" si="113"/>
        <v/>
      </c>
    </row>
    <row r="82" spans="1:61" x14ac:dyDescent="0.35">
      <c r="A82" s="1" t="str">
        <f t="shared" si="82"/>
        <v/>
      </c>
      <c r="B82" s="1" t="str">
        <f t="shared" si="114"/>
        <v/>
      </c>
      <c r="C82" s="50" t="str">
        <f t="shared" si="83"/>
        <v/>
      </c>
      <c r="D82" s="33" t="str">
        <f>IF(B82="","",IF('totals_&amp;_RP_counts'!$O$3=0,IFERROR(IF(AA82=2,"0",AB82),""),"-"))</f>
        <v/>
      </c>
      <c r="E82" s="35" t="str">
        <f t="shared" si="84"/>
        <v/>
      </c>
      <c r="F82" s="36" t="str">
        <f t="shared" si="85"/>
        <v/>
      </c>
      <c r="G82" s="36" t="str">
        <f t="shared" si="86"/>
        <v/>
      </c>
      <c r="H82" s="33" t="str">
        <f t="shared" si="64"/>
        <v/>
      </c>
      <c r="I82" s="36" t="str">
        <f t="shared" si="87"/>
        <v/>
      </c>
      <c r="J82" s="36" t="str">
        <f t="shared" si="88"/>
        <v/>
      </c>
      <c r="K82" s="33" t="str">
        <f t="shared" si="65"/>
        <v/>
      </c>
      <c r="L82" s="36" t="str">
        <f t="shared" si="66"/>
        <v/>
      </c>
      <c r="M82" s="36" t="str">
        <f t="shared" si="89"/>
        <v/>
      </c>
      <c r="N82" s="33" t="str">
        <f t="shared" si="90"/>
        <v/>
      </c>
      <c r="O82" s="36" t="str">
        <f t="shared" si="91"/>
        <v/>
      </c>
      <c r="P82" s="36" t="str">
        <f t="shared" si="92"/>
        <v/>
      </c>
      <c r="Q82" s="33" t="str">
        <f t="shared" si="93"/>
        <v/>
      </c>
      <c r="R82" s="1"/>
      <c r="S82" s="1"/>
      <c r="Y82" s="1" t="e">
        <f>VLOOKUP($B$6,LOOKUP_SCE,75,0)</f>
        <v>#N/A</v>
      </c>
      <c r="Z82" s="22" t="str">
        <f t="shared" si="67"/>
        <v/>
      </c>
      <c r="AA82" s="23">
        <f t="shared" si="94"/>
        <v>7</v>
      </c>
      <c r="AB82" s="55" t="e">
        <f t="shared" si="68"/>
        <v>#N/A</v>
      </c>
      <c r="AC82" s="38" t="e">
        <f t="shared" si="95"/>
        <v>#N/A</v>
      </c>
      <c r="AD82" s="38" t="e">
        <f t="shared" si="96"/>
        <v>#N/A</v>
      </c>
      <c r="AE82" s="415" t="e">
        <f t="shared" si="69"/>
        <v>#N/A</v>
      </c>
      <c r="AF82" s="10">
        <f t="shared" si="97"/>
        <v>7</v>
      </c>
      <c r="AG82" s="38" t="e">
        <f t="shared" si="70"/>
        <v>#N/A</v>
      </c>
      <c r="AH82" s="38" t="e">
        <f t="shared" si="98"/>
        <v>#N/A</v>
      </c>
      <c r="AI82" s="10" t="e">
        <f t="shared" si="71"/>
        <v>#N/A</v>
      </c>
      <c r="AJ82" s="39" t="e">
        <f t="shared" si="99"/>
        <v>#N/A</v>
      </c>
      <c r="AK82" s="40" t="e">
        <f t="shared" si="72"/>
        <v>#N/A</v>
      </c>
      <c r="AL82" s="11" t="e">
        <f t="shared" si="73"/>
        <v>#N/A</v>
      </c>
      <c r="AM82" s="41">
        <f t="shared" si="100"/>
        <v>7</v>
      </c>
      <c r="AN82" s="57" t="e">
        <f t="shared" si="74"/>
        <v>#N/A</v>
      </c>
      <c r="AO82" s="40" t="e">
        <f t="shared" si="101"/>
        <v>#N/A</v>
      </c>
      <c r="AP82" s="417" t="e">
        <f t="shared" si="75"/>
        <v>#N/A</v>
      </c>
      <c r="AQ82" s="56">
        <f t="shared" si="102"/>
        <v>7</v>
      </c>
      <c r="AR82" s="43" t="e">
        <f t="shared" si="103"/>
        <v>#N/A</v>
      </c>
      <c r="AS82" s="44" t="e">
        <f t="shared" si="104"/>
        <v>#N/A</v>
      </c>
      <c r="AT82" s="45" t="e">
        <f t="shared" si="76"/>
        <v>#N/A</v>
      </c>
      <c r="AU82" s="14">
        <f t="shared" si="105"/>
        <v>7</v>
      </c>
      <c r="AV82" s="44" t="e">
        <f t="shared" si="77"/>
        <v>#N/A</v>
      </c>
      <c r="AW82" s="14" t="e">
        <f t="shared" si="106"/>
        <v>#N/A</v>
      </c>
      <c r="AX82" s="14" t="e">
        <f t="shared" si="78"/>
        <v>#N/A</v>
      </c>
      <c r="AY82" s="46">
        <f t="shared" si="107"/>
        <v>7</v>
      </c>
      <c r="AZ82" s="47" t="e">
        <f t="shared" si="108"/>
        <v>#N/A</v>
      </c>
      <c r="BA82" s="48" t="e">
        <f t="shared" si="109"/>
        <v>#N/A</v>
      </c>
      <c r="BB82" s="31" t="e">
        <f t="shared" si="79"/>
        <v>#N/A</v>
      </c>
      <c r="BC82" s="28">
        <f t="shared" si="110"/>
        <v>7</v>
      </c>
      <c r="BD82" s="47" t="e">
        <f t="shared" si="111"/>
        <v>#N/A</v>
      </c>
      <c r="BE82" s="48" t="e">
        <f t="shared" si="112"/>
        <v>#N/A</v>
      </c>
      <c r="BF82" s="31" t="e">
        <f t="shared" si="80"/>
        <v>#N/A</v>
      </c>
      <c r="BG82" s="49" t="e">
        <f t="shared" si="81"/>
        <v>#N/A</v>
      </c>
      <c r="BH82" s="1" t="e">
        <f>VLOOKUP($B82,STOCK_BY_LA!$A$2:$C$10477,3,0)</f>
        <v>#N/A</v>
      </c>
      <c r="BI82" s="1" t="str">
        <f t="shared" si="113"/>
        <v/>
      </c>
    </row>
    <row r="83" spans="1:61" x14ac:dyDescent="0.35">
      <c r="A83" s="33" t="str">
        <f t="shared" si="82"/>
        <v/>
      </c>
      <c r="B83" s="1" t="str">
        <f t="shared" si="114"/>
        <v/>
      </c>
      <c r="C83" s="34" t="str">
        <f t="shared" si="83"/>
        <v/>
      </c>
      <c r="D83" s="33" t="str">
        <f>IF(B83="","",IF('totals_&amp;_RP_counts'!$O$3=0,IFERROR(IF(AA83=2,"0",AB83),""),"-"))</f>
        <v/>
      </c>
      <c r="E83" s="35" t="str">
        <f t="shared" si="84"/>
        <v/>
      </c>
      <c r="F83" s="36" t="str">
        <f t="shared" si="85"/>
        <v/>
      </c>
      <c r="G83" s="36" t="str">
        <f t="shared" si="86"/>
        <v/>
      </c>
      <c r="H83" s="33" t="str">
        <f t="shared" si="64"/>
        <v/>
      </c>
      <c r="I83" s="36" t="str">
        <f t="shared" si="87"/>
        <v/>
      </c>
      <c r="J83" s="36" t="str">
        <f t="shared" si="88"/>
        <v/>
      </c>
      <c r="K83" s="33" t="str">
        <f t="shared" si="65"/>
        <v/>
      </c>
      <c r="L83" s="36" t="str">
        <f t="shared" si="66"/>
        <v/>
      </c>
      <c r="M83" s="36" t="str">
        <f t="shared" si="89"/>
        <v/>
      </c>
      <c r="N83" s="33" t="str">
        <f t="shared" si="90"/>
        <v/>
      </c>
      <c r="O83" s="36" t="str">
        <f t="shared" si="91"/>
        <v/>
      </c>
      <c r="P83" s="36" t="str">
        <f t="shared" si="92"/>
        <v/>
      </c>
      <c r="Q83" s="33" t="str">
        <f t="shared" si="93"/>
        <v/>
      </c>
      <c r="R83" s="1"/>
      <c r="S83" s="1"/>
      <c r="Y83" s="1" t="e">
        <f>VLOOKUP($B$6,LOOKUP_SCE,76,0)</f>
        <v>#N/A</v>
      </c>
      <c r="Z83" s="22" t="str">
        <f t="shared" si="67"/>
        <v/>
      </c>
      <c r="AA83" s="23">
        <f t="shared" si="94"/>
        <v>7</v>
      </c>
      <c r="AB83" s="55" t="e">
        <f t="shared" si="68"/>
        <v>#N/A</v>
      </c>
      <c r="AC83" s="38" t="e">
        <f t="shared" si="95"/>
        <v>#N/A</v>
      </c>
      <c r="AD83" s="38" t="e">
        <f t="shared" si="96"/>
        <v>#N/A</v>
      </c>
      <c r="AE83" s="415" t="e">
        <f t="shared" si="69"/>
        <v>#N/A</v>
      </c>
      <c r="AF83" s="10">
        <f t="shared" si="97"/>
        <v>7</v>
      </c>
      <c r="AG83" s="38" t="e">
        <f t="shared" si="70"/>
        <v>#N/A</v>
      </c>
      <c r="AH83" s="38" t="e">
        <f t="shared" si="98"/>
        <v>#N/A</v>
      </c>
      <c r="AI83" s="10" t="e">
        <f t="shared" si="71"/>
        <v>#N/A</v>
      </c>
      <c r="AJ83" s="39" t="e">
        <f t="shared" si="99"/>
        <v>#N/A</v>
      </c>
      <c r="AK83" s="40" t="e">
        <f t="shared" si="72"/>
        <v>#N/A</v>
      </c>
      <c r="AL83" s="11" t="e">
        <f t="shared" si="73"/>
        <v>#N/A</v>
      </c>
      <c r="AM83" s="41">
        <f t="shared" si="100"/>
        <v>7</v>
      </c>
      <c r="AN83" s="57" t="e">
        <f t="shared" si="74"/>
        <v>#N/A</v>
      </c>
      <c r="AO83" s="40" t="e">
        <f t="shared" si="101"/>
        <v>#N/A</v>
      </c>
      <c r="AP83" s="417" t="e">
        <f t="shared" si="75"/>
        <v>#N/A</v>
      </c>
      <c r="AQ83" s="56">
        <f t="shared" si="102"/>
        <v>7</v>
      </c>
      <c r="AR83" s="43" t="e">
        <f t="shared" si="103"/>
        <v>#N/A</v>
      </c>
      <c r="AS83" s="44" t="e">
        <f t="shared" si="104"/>
        <v>#N/A</v>
      </c>
      <c r="AT83" s="45" t="e">
        <f t="shared" si="76"/>
        <v>#N/A</v>
      </c>
      <c r="AU83" s="14">
        <f t="shared" si="105"/>
        <v>7</v>
      </c>
      <c r="AV83" s="44" t="e">
        <f t="shared" si="77"/>
        <v>#N/A</v>
      </c>
      <c r="AW83" s="14" t="e">
        <f t="shared" si="106"/>
        <v>#N/A</v>
      </c>
      <c r="AX83" s="14" t="e">
        <f t="shared" si="78"/>
        <v>#N/A</v>
      </c>
      <c r="AY83" s="46">
        <f t="shared" si="107"/>
        <v>7</v>
      </c>
      <c r="AZ83" s="47" t="e">
        <f t="shared" si="108"/>
        <v>#N/A</v>
      </c>
      <c r="BA83" s="48" t="e">
        <f t="shared" si="109"/>
        <v>#N/A</v>
      </c>
      <c r="BB83" s="31" t="e">
        <f t="shared" si="79"/>
        <v>#N/A</v>
      </c>
      <c r="BC83" s="28">
        <f t="shared" si="110"/>
        <v>7</v>
      </c>
      <c r="BD83" s="47" t="e">
        <f t="shared" si="111"/>
        <v>#N/A</v>
      </c>
      <c r="BE83" s="48" t="e">
        <f t="shared" si="112"/>
        <v>#N/A</v>
      </c>
      <c r="BF83" s="31" t="e">
        <f t="shared" si="80"/>
        <v>#N/A</v>
      </c>
      <c r="BG83" s="49" t="e">
        <f t="shared" si="81"/>
        <v>#N/A</v>
      </c>
      <c r="BH83" s="1" t="e">
        <f>VLOOKUP($B83,STOCK_BY_LA!$A$2:$C$10477,3,0)</f>
        <v>#N/A</v>
      </c>
      <c r="BI83" s="1" t="str">
        <f t="shared" si="113"/>
        <v/>
      </c>
    </row>
    <row r="84" spans="1:61" x14ac:dyDescent="0.35">
      <c r="A84" s="1" t="str">
        <f t="shared" si="82"/>
        <v/>
      </c>
      <c r="B84" s="1" t="str">
        <f t="shared" si="114"/>
        <v/>
      </c>
      <c r="C84" s="50" t="str">
        <f t="shared" si="83"/>
        <v/>
      </c>
      <c r="D84" s="33" t="str">
        <f>IF(B84="","",IF('totals_&amp;_RP_counts'!$O$3=0,IFERROR(IF(AA84=2,"0",AB84),""),"-"))</f>
        <v/>
      </c>
      <c r="E84" s="35" t="str">
        <f t="shared" si="84"/>
        <v/>
      </c>
      <c r="F84" s="36" t="str">
        <f t="shared" si="85"/>
        <v/>
      </c>
      <c r="G84" s="36" t="str">
        <f t="shared" si="86"/>
        <v/>
      </c>
      <c r="H84" s="33" t="str">
        <f t="shared" si="64"/>
        <v/>
      </c>
      <c r="I84" s="36" t="str">
        <f t="shared" si="87"/>
        <v/>
      </c>
      <c r="J84" s="36" t="str">
        <f t="shared" si="88"/>
        <v/>
      </c>
      <c r="K84" s="33" t="str">
        <f t="shared" si="65"/>
        <v/>
      </c>
      <c r="L84" s="36" t="str">
        <f t="shared" si="66"/>
        <v/>
      </c>
      <c r="M84" s="36" t="str">
        <f t="shared" si="89"/>
        <v/>
      </c>
      <c r="N84" s="33" t="str">
        <f t="shared" si="90"/>
        <v/>
      </c>
      <c r="O84" s="36" t="str">
        <f t="shared" si="91"/>
        <v/>
      </c>
      <c r="P84" s="36" t="str">
        <f t="shared" si="92"/>
        <v/>
      </c>
      <c r="Q84" s="33" t="str">
        <f t="shared" si="93"/>
        <v/>
      </c>
      <c r="R84" s="1"/>
      <c r="S84" s="1"/>
      <c r="Y84" s="1" t="e">
        <f>VLOOKUP($B$6,LOOKUP_SCE,77,0)</f>
        <v>#N/A</v>
      </c>
      <c r="Z84" s="22" t="str">
        <f t="shared" si="67"/>
        <v/>
      </c>
      <c r="AA84" s="23">
        <f t="shared" si="94"/>
        <v>7</v>
      </c>
      <c r="AB84" s="55" t="e">
        <f t="shared" si="68"/>
        <v>#N/A</v>
      </c>
      <c r="AC84" s="38" t="e">
        <f t="shared" si="95"/>
        <v>#N/A</v>
      </c>
      <c r="AD84" s="38" t="e">
        <f t="shared" si="96"/>
        <v>#N/A</v>
      </c>
      <c r="AE84" s="415" t="e">
        <f t="shared" si="69"/>
        <v>#N/A</v>
      </c>
      <c r="AF84" s="10">
        <f t="shared" si="97"/>
        <v>7</v>
      </c>
      <c r="AG84" s="38" t="e">
        <f t="shared" si="70"/>
        <v>#N/A</v>
      </c>
      <c r="AH84" s="38" t="e">
        <f t="shared" si="98"/>
        <v>#N/A</v>
      </c>
      <c r="AI84" s="10" t="e">
        <f t="shared" si="71"/>
        <v>#N/A</v>
      </c>
      <c r="AJ84" s="39" t="e">
        <f t="shared" si="99"/>
        <v>#N/A</v>
      </c>
      <c r="AK84" s="40" t="e">
        <f t="shared" si="72"/>
        <v>#N/A</v>
      </c>
      <c r="AL84" s="11" t="e">
        <f t="shared" si="73"/>
        <v>#N/A</v>
      </c>
      <c r="AM84" s="41">
        <f t="shared" si="100"/>
        <v>7</v>
      </c>
      <c r="AN84" s="57" t="e">
        <f t="shared" si="74"/>
        <v>#N/A</v>
      </c>
      <c r="AO84" s="40" t="e">
        <f t="shared" si="101"/>
        <v>#N/A</v>
      </c>
      <c r="AP84" s="417" t="e">
        <f t="shared" si="75"/>
        <v>#N/A</v>
      </c>
      <c r="AQ84" s="56">
        <f t="shared" si="102"/>
        <v>7</v>
      </c>
      <c r="AR84" s="43" t="e">
        <f t="shared" si="103"/>
        <v>#N/A</v>
      </c>
      <c r="AS84" s="44" t="e">
        <f t="shared" si="104"/>
        <v>#N/A</v>
      </c>
      <c r="AT84" s="45" t="e">
        <f t="shared" si="76"/>
        <v>#N/A</v>
      </c>
      <c r="AU84" s="14">
        <f t="shared" si="105"/>
        <v>7</v>
      </c>
      <c r="AV84" s="44" t="e">
        <f t="shared" si="77"/>
        <v>#N/A</v>
      </c>
      <c r="AW84" s="14" t="e">
        <f t="shared" si="106"/>
        <v>#N/A</v>
      </c>
      <c r="AX84" s="14" t="e">
        <f t="shared" si="78"/>
        <v>#N/A</v>
      </c>
      <c r="AY84" s="46">
        <f t="shared" si="107"/>
        <v>7</v>
      </c>
      <c r="AZ84" s="47" t="e">
        <f t="shared" si="108"/>
        <v>#N/A</v>
      </c>
      <c r="BA84" s="48" t="e">
        <f t="shared" si="109"/>
        <v>#N/A</v>
      </c>
      <c r="BB84" s="31" t="e">
        <f t="shared" si="79"/>
        <v>#N/A</v>
      </c>
      <c r="BC84" s="28">
        <f t="shared" si="110"/>
        <v>7</v>
      </c>
      <c r="BD84" s="47" t="e">
        <f t="shared" si="111"/>
        <v>#N/A</v>
      </c>
      <c r="BE84" s="48" t="e">
        <f t="shared" si="112"/>
        <v>#N/A</v>
      </c>
      <c r="BF84" s="31" t="e">
        <f t="shared" si="80"/>
        <v>#N/A</v>
      </c>
      <c r="BG84" s="49" t="e">
        <f t="shared" si="81"/>
        <v>#N/A</v>
      </c>
      <c r="BH84" s="1" t="e">
        <f>VLOOKUP($B84,STOCK_BY_LA!$A$2:$C$10477,3,0)</f>
        <v>#N/A</v>
      </c>
      <c r="BI84" s="1" t="str">
        <f t="shared" si="113"/>
        <v/>
      </c>
    </row>
    <row r="85" spans="1:61" x14ac:dyDescent="0.35">
      <c r="A85" s="33" t="str">
        <f t="shared" si="82"/>
        <v/>
      </c>
      <c r="B85" s="1" t="str">
        <f t="shared" si="114"/>
        <v/>
      </c>
      <c r="C85" s="34" t="str">
        <f t="shared" si="83"/>
        <v/>
      </c>
      <c r="D85" s="33" t="str">
        <f>IF(B85="","",IF('totals_&amp;_RP_counts'!$O$3=0,IFERROR(IF(AA85=2,"0",AB85),""),"-"))</f>
        <v/>
      </c>
      <c r="E85" s="35" t="str">
        <f t="shared" si="84"/>
        <v/>
      </c>
      <c r="F85" s="36" t="str">
        <f t="shared" si="85"/>
        <v/>
      </c>
      <c r="G85" s="36" t="str">
        <f t="shared" si="86"/>
        <v/>
      </c>
      <c r="H85" s="33" t="str">
        <f t="shared" si="64"/>
        <v/>
      </c>
      <c r="I85" s="36" t="str">
        <f t="shared" si="87"/>
        <v/>
      </c>
      <c r="J85" s="36" t="str">
        <f t="shared" si="88"/>
        <v/>
      </c>
      <c r="K85" s="33" t="str">
        <f t="shared" si="65"/>
        <v/>
      </c>
      <c r="L85" s="36" t="str">
        <f t="shared" si="66"/>
        <v/>
      </c>
      <c r="M85" s="36" t="str">
        <f t="shared" si="89"/>
        <v/>
      </c>
      <c r="N85" s="33" t="str">
        <f t="shared" si="90"/>
        <v/>
      </c>
      <c r="O85" s="36" t="str">
        <f t="shared" si="91"/>
        <v/>
      </c>
      <c r="P85" s="36" t="str">
        <f t="shared" si="92"/>
        <v/>
      </c>
      <c r="Q85" s="33" t="str">
        <f t="shared" si="93"/>
        <v/>
      </c>
      <c r="R85" s="1"/>
      <c r="S85" s="1"/>
      <c r="Y85" s="1" t="e">
        <f>VLOOKUP($B$6,LOOKUP_SCE,78,0)</f>
        <v>#N/A</v>
      </c>
      <c r="Z85" s="22" t="str">
        <f t="shared" si="67"/>
        <v/>
      </c>
      <c r="AA85" s="23">
        <f t="shared" si="94"/>
        <v>7</v>
      </c>
      <c r="AB85" s="55" t="e">
        <f t="shared" si="68"/>
        <v>#N/A</v>
      </c>
      <c r="AC85" s="38" t="e">
        <f t="shared" si="95"/>
        <v>#N/A</v>
      </c>
      <c r="AD85" s="38" t="e">
        <f t="shared" si="96"/>
        <v>#N/A</v>
      </c>
      <c r="AE85" s="415" t="e">
        <f t="shared" si="69"/>
        <v>#N/A</v>
      </c>
      <c r="AF85" s="10">
        <f t="shared" si="97"/>
        <v>7</v>
      </c>
      <c r="AG85" s="38" t="e">
        <f t="shared" si="70"/>
        <v>#N/A</v>
      </c>
      <c r="AH85" s="38" t="e">
        <f t="shared" si="98"/>
        <v>#N/A</v>
      </c>
      <c r="AI85" s="10" t="e">
        <f t="shared" si="71"/>
        <v>#N/A</v>
      </c>
      <c r="AJ85" s="39" t="e">
        <f t="shared" si="99"/>
        <v>#N/A</v>
      </c>
      <c r="AK85" s="40" t="e">
        <f t="shared" si="72"/>
        <v>#N/A</v>
      </c>
      <c r="AL85" s="11" t="e">
        <f t="shared" si="73"/>
        <v>#N/A</v>
      </c>
      <c r="AM85" s="41">
        <f t="shared" si="100"/>
        <v>7</v>
      </c>
      <c r="AN85" s="57" t="e">
        <f t="shared" si="74"/>
        <v>#N/A</v>
      </c>
      <c r="AO85" s="40" t="e">
        <f t="shared" si="101"/>
        <v>#N/A</v>
      </c>
      <c r="AP85" s="417" t="e">
        <f t="shared" si="75"/>
        <v>#N/A</v>
      </c>
      <c r="AQ85" s="56">
        <f t="shared" si="102"/>
        <v>7</v>
      </c>
      <c r="AR85" s="43" t="e">
        <f t="shared" si="103"/>
        <v>#N/A</v>
      </c>
      <c r="AS85" s="44" t="e">
        <f t="shared" si="104"/>
        <v>#N/A</v>
      </c>
      <c r="AT85" s="45" t="e">
        <f t="shared" si="76"/>
        <v>#N/A</v>
      </c>
      <c r="AU85" s="14">
        <f t="shared" si="105"/>
        <v>7</v>
      </c>
      <c r="AV85" s="44" t="e">
        <f t="shared" si="77"/>
        <v>#N/A</v>
      </c>
      <c r="AW85" s="14" t="e">
        <f t="shared" si="106"/>
        <v>#N/A</v>
      </c>
      <c r="AX85" s="14" t="e">
        <f t="shared" si="78"/>
        <v>#N/A</v>
      </c>
      <c r="AY85" s="46">
        <f t="shared" si="107"/>
        <v>7</v>
      </c>
      <c r="AZ85" s="47" t="e">
        <f t="shared" si="108"/>
        <v>#N/A</v>
      </c>
      <c r="BA85" s="48" t="e">
        <f t="shared" si="109"/>
        <v>#N/A</v>
      </c>
      <c r="BB85" s="31" t="e">
        <f t="shared" si="79"/>
        <v>#N/A</v>
      </c>
      <c r="BC85" s="28">
        <f t="shared" si="110"/>
        <v>7</v>
      </c>
      <c r="BD85" s="47" t="e">
        <f t="shared" si="111"/>
        <v>#N/A</v>
      </c>
      <c r="BE85" s="48" t="e">
        <f t="shared" si="112"/>
        <v>#N/A</v>
      </c>
      <c r="BF85" s="31" t="e">
        <f t="shared" si="80"/>
        <v>#N/A</v>
      </c>
      <c r="BG85" s="49" t="e">
        <f t="shared" si="81"/>
        <v>#N/A</v>
      </c>
      <c r="BH85" s="1" t="e">
        <f>VLOOKUP($B85,STOCK_BY_LA!$A$2:$C$10477,3,0)</f>
        <v>#N/A</v>
      </c>
      <c r="BI85" s="1" t="str">
        <f t="shared" si="113"/>
        <v/>
      </c>
    </row>
    <row r="86" spans="1:61" x14ac:dyDescent="0.35">
      <c r="A86" s="1" t="str">
        <f t="shared" si="82"/>
        <v/>
      </c>
      <c r="B86" s="1" t="str">
        <f t="shared" si="114"/>
        <v/>
      </c>
      <c r="C86" s="50" t="str">
        <f t="shared" si="83"/>
        <v/>
      </c>
      <c r="D86" s="33" t="str">
        <f>IF(B86="","",IF('totals_&amp;_RP_counts'!$O$3=0,IFERROR(IF(AA86=2,"0",AB86),""),"-"))</f>
        <v/>
      </c>
      <c r="E86" s="35" t="str">
        <f t="shared" si="84"/>
        <v/>
      </c>
      <c r="F86" s="36" t="str">
        <f t="shared" si="85"/>
        <v/>
      </c>
      <c r="G86" s="36" t="str">
        <f t="shared" si="86"/>
        <v/>
      </c>
      <c r="H86" s="33" t="str">
        <f t="shared" si="64"/>
        <v/>
      </c>
      <c r="I86" s="36" t="str">
        <f t="shared" si="87"/>
        <v/>
      </c>
      <c r="J86" s="36" t="str">
        <f t="shared" si="88"/>
        <v/>
      </c>
      <c r="K86" s="33" t="str">
        <f t="shared" si="65"/>
        <v/>
      </c>
      <c r="L86" s="36" t="str">
        <f t="shared" si="66"/>
        <v/>
      </c>
      <c r="M86" s="36" t="str">
        <f t="shared" si="89"/>
        <v/>
      </c>
      <c r="N86" s="33" t="str">
        <f t="shared" si="90"/>
        <v/>
      </c>
      <c r="O86" s="36" t="str">
        <f t="shared" si="91"/>
        <v/>
      </c>
      <c r="P86" s="36" t="str">
        <f t="shared" si="92"/>
        <v/>
      </c>
      <c r="Q86" s="33" t="str">
        <f t="shared" si="93"/>
        <v/>
      </c>
      <c r="R86" s="1"/>
      <c r="S86" s="1"/>
      <c r="Y86" s="1" t="e">
        <f>VLOOKUP($B$6,LOOKUP_SCE,79,0)</f>
        <v>#N/A</v>
      </c>
      <c r="Z86" s="22" t="str">
        <f t="shared" si="67"/>
        <v/>
      </c>
      <c r="AA86" s="23">
        <f t="shared" si="94"/>
        <v>7</v>
      </c>
      <c r="AB86" s="55" t="e">
        <f t="shared" si="68"/>
        <v>#N/A</v>
      </c>
      <c r="AC86" s="38" t="e">
        <f t="shared" si="95"/>
        <v>#N/A</v>
      </c>
      <c r="AD86" s="38" t="e">
        <f t="shared" si="96"/>
        <v>#N/A</v>
      </c>
      <c r="AE86" s="415" t="e">
        <f t="shared" si="69"/>
        <v>#N/A</v>
      </c>
      <c r="AF86" s="10">
        <f t="shared" si="97"/>
        <v>7</v>
      </c>
      <c r="AG86" s="38" t="e">
        <f t="shared" si="70"/>
        <v>#N/A</v>
      </c>
      <c r="AH86" s="38" t="e">
        <f t="shared" si="98"/>
        <v>#N/A</v>
      </c>
      <c r="AI86" s="10" t="e">
        <f t="shared" si="71"/>
        <v>#N/A</v>
      </c>
      <c r="AJ86" s="39" t="e">
        <f t="shared" si="99"/>
        <v>#N/A</v>
      </c>
      <c r="AK86" s="40" t="e">
        <f t="shared" si="72"/>
        <v>#N/A</v>
      </c>
      <c r="AL86" s="11" t="e">
        <f t="shared" si="73"/>
        <v>#N/A</v>
      </c>
      <c r="AM86" s="41">
        <f t="shared" si="100"/>
        <v>7</v>
      </c>
      <c r="AN86" s="57" t="e">
        <f t="shared" si="74"/>
        <v>#N/A</v>
      </c>
      <c r="AO86" s="40" t="e">
        <f t="shared" si="101"/>
        <v>#N/A</v>
      </c>
      <c r="AP86" s="417" t="e">
        <f t="shared" si="75"/>
        <v>#N/A</v>
      </c>
      <c r="AQ86" s="56">
        <f t="shared" si="102"/>
        <v>7</v>
      </c>
      <c r="AR86" s="43" t="e">
        <f t="shared" si="103"/>
        <v>#N/A</v>
      </c>
      <c r="AS86" s="44" t="e">
        <f t="shared" si="104"/>
        <v>#N/A</v>
      </c>
      <c r="AT86" s="45" t="e">
        <f t="shared" si="76"/>
        <v>#N/A</v>
      </c>
      <c r="AU86" s="14">
        <f t="shared" si="105"/>
        <v>7</v>
      </c>
      <c r="AV86" s="44" t="e">
        <f t="shared" si="77"/>
        <v>#N/A</v>
      </c>
      <c r="AW86" s="14" t="e">
        <f t="shared" si="106"/>
        <v>#N/A</v>
      </c>
      <c r="AX86" s="14" t="e">
        <f t="shared" si="78"/>
        <v>#N/A</v>
      </c>
      <c r="AY86" s="46">
        <f t="shared" si="107"/>
        <v>7</v>
      </c>
      <c r="AZ86" s="47" t="e">
        <f t="shared" si="108"/>
        <v>#N/A</v>
      </c>
      <c r="BA86" s="48" t="e">
        <f t="shared" si="109"/>
        <v>#N/A</v>
      </c>
      <c r="BB86" s="31" t="e">
        <f t="shared" si="79"/>
        <v>#N/A</v>
      </c>
      <c r="BC86" s="28">
        <f t="shared" si="110"/>
        <v>7</v>
      </c>
      <c r="BD86" s="47" t="e">
        <f t="shared" si="111"/>
        <v>#N/A</v>
      </c>
      <c r="BE86" s="48" t="e">
        <f t="shared" si="112"/>
        <v>#N/A</v>
      </c>
      <c r="BF86" s="31" t="e">
        <f t="shared" si="80"/>
        <v>#N/A</v>
      </c>
      <c r="BG86" s="49" t="e">
        <f t="shared" si="81"/>
        <v>#N/A</v>
      </c>
      <c r="BH86" s="1" t="e">
        <f>VLOOKUP($B86,STOCK_BY_LA!$A$2:$C$10477,3,0)</f>
        <v>#N/A</v>
      </c>
      <c r="BI86" s="1" t="str">
        <f t="shared" si="113"/>
        <v/>
      </c>
    </row>
    <row r="87" spans="1:61" x14ac:dyDescent="0.35">
      <c r="A87" s="33" t="str">
        <f t="shared" si="82"/>
        <v/>
      </c>
      <c r="B87" s="1" t="str">
        <f t="shared" si="114"/>
        <v/>
      </c>
      <c r="C87" s="34" t="str">
        <f t="shared" si="83"/>
        <v/>
      </c>
      <c r="D87" s="33" t="str">
        <f>IF(B87="","",IF('totals_&amp;_RP_counts'!$O$3=0,IFERROR(IF(AA87=2,"0",AB87),""),"-"))</f>
        <v/>
      </c>
      <c r="E87" s="35" t="str">
        <f t="shared" si="84"/>
        <v/>
      </c>
      <c r="F87" s="36" t="str">
        <f t="shared" si="85"/>
        <v/>
      </c>
      <c r="G87" s="36" t="str">
        <f t="shared" si="86"/>
        <v/>
      </c>
      <c r="H87" s="33" t="str">
        <f t="shared" si="64"/>
        <v/>
      </c>
      <c r="I87" s="36" t="str">
        <f t="shared" si="87"/>
        <v/>
      </c>
      <c r="J87" s="36" t="str">
        <f t="shared" si="88"/>
        <v/>
      </c>
      <c r="K87" s="33" t="str">
        <f t="shared" si="65"/>
        <v/>
      </c>
      <c r="L87" s="36" t="str">
        <f t="shared" si="66"/>
        <v/>
      </c>
      <c r="M87" s="36" t="str">
        <f t="shared" si="89"/>
        <v/>
      </c>
      <c r="N87" s="33" t="str">
        <f t="shared" si="90"/>
        <v/>
      </c>
      <c r="O87" s="36" t="str">
        <f t="shared" si="91"/>
        <v/>
      </c>
      <c r="P87" s="36" t="str">
        <f t="shared" si="92"/>
        <v/>
      </c>
      <c r="Q87" s="33" t="str">
        <f t="shared" si="93"/>
        <v/>
      </c>
      <c r="R87" s="1"/>
      <c r="S87" s="1"/>
      <c r="Y87" s="1" t="e">
        <f>VLOOKUP($B$6,LOOKUP_SCE,80,0)</f>
        <v>#N/A</v>
      </c>
      <c r="Z87" s="22" t="str">
        <f t="shared" si="67"/>
        <v/>
      </c>
      <c r="AA87" s="23">
        <f t="shared" si="94"/>
        <v>7</v>
      </c>
      <c r="AB87" s="55" t="e">
        <f t="shared" si="68"/>
        <v>#N/A</v>
      </c>
      <c r="AC87" s="38" t="e">
        <f t="shared" si="95"/>
        <v>#N/A</v>
      </c>
      <c r="AD87" s="38" t="e">
        <f t="shared" si="96"/>
        <v>#N/A</v>
      </c>
      <c r="AE87" s="415" t="e">
        <f t="shared" si="69"/>
        <v>#N/A</v>
      </c>
      <c r="AF87" s="10">
        <f t="shared" si="97"/>
        <v>7</v>
      </c>
      <c r="AG87" s="38" t="e">
        <f t="shared" si="70"/>
        <v>#N/A</v>
      </c>
      <c r="AH87" s="38" t="e">
        <f t="shared" si="98"/>
        <v>#N/A</v>
      </c>
      <c r="AI87" s="10" t="e">
        <f t="shared" si="71"/>
        <v>#N/A</v>
      </c>
      <c r="AJ87" s="39" t="e">
        <f t="shared" si="99"/>
        <v>#N/A</v>
      </c>
      <c r="AK87" s="40" t="e">
        <f t="shared" si="72"/>
        <v>#N/A</v>
      </c>
      <c r="AL87" s="11" t="e">
        <f t="shared" si="73"/>
        <v>#N/A</v>
      </c>
      <c r="AM87" s="41">
        <f t="shared" si="100"/>
        <v>7</v>
      </c>
      <c r="AN87" s="57" t="e">
        <f t="shared" si="74"/>
        <v>#N/A</v>
      </c>
      <c r="AO87" s="40" t="e">
        <f t="shared" si="101"/>
        <v>#N/A</v>
      </c>
      <c r="AP87" s="417" t="e">
        <f t="shared" si="75"/>
        <v>#N/A</v>
      </c>
      <c r="AQ87" s="56">
        <f t="shared" si="102"/>
        <v>7</v>
      </c>
      <c r="AR87" s="43" t="e">
        <f t="shared" si="103"/>
        <v>#N/A</v>
      </c>
      <c r="AS87" s="44" t="e">
        <f t="shared" si="104"/>
        <v>#N/A</v>
      </c>
      <c r="AT87" s="45" t="e">
        <f t="shared" si="76"/>
        <v>#N/A</v>
      </c>
      <c r="AU87" s="14">
        <f t="shared" si="105"/>
        <v>7</v>
      </c>
      <c r="AV87" s="44" t="e">
        <f t="shared" si="77"/>
        <v>#N/A</v>
      </c>
      <c r="AW87" s="14" t="e">
        <f t="shared" si="106"/>
        <v>#N/A</v>
      </c>
      <c r="AX87" s="14" t="e">
        <f t="shared" si="78"/>
        <v>#N/A</v>
      </c>
      <c r="AY87" s="46">
        <f t="shared" si="107"/>
        <v>7</v>
      </c>
      <c r="AZ87" s="47" t="e">
        <f t="shared" si="108"/>
        <v>#N/A</v>
      </c>
      <c r="BA87" s="48" t="e">
        <f t="shared" si="109"/>
        <v>#N/A</v>
      </c>
      <c r="BB87" s="31" t="e">
        <f t="shared" si="79"/>
        <v>#N/A</v>
      </c>
      <c r="BC87" s="28">
        <f t="shared" si="110"/>
        <v>7</v>
      </c>
      <c r="BD87" s="47" t="e">
        <f t="shared" si="111"/>
        <v>#N/A</v>
      </c>
      <c r="BE87" s="48" t="e">
        <f t="shared" si="112"/>
        <v>#N/A</v>
      </c>
      <c r="BF87" s="31" t="e">
        <f t="shared" si="80"/>
        <v>#N/A</v>
      </c>
      <c r="BG87" s="49" t="e">
        <f t="shared" si="81"/>
        <v>#N/A</v>
      </c>
      <c r="BH87" s="1" t="e">
        <f>VLOOKUP($B87,STOCK_BY_LA!$A$2:$C$10477,3,0)</f>
        <v>#N/A</v>
      </c>
      <c r="BI87" s="1" t="str">
        <f t="shared" si="113"/>
        <v/>
      </c>
    </row>
    <row r="88" spans="1:61" x14ac:dyDescent="0.35">
      <c r="A88" s="1" t="str">
        <f t="shared" si="82"/>
        <v/>
      </c>
      <c r="B88" s="1" t="str">
        <f t="shared" si="114"/>
        <v/>
      </c>
      <c r="C88" s="50" t="str">
        <f t="shared" si="83"/>
        <v/>
      </c>
      <c r="D88" s="33" t="str">
        <f>IF(B88="","",IF('totals_&amp;_RP_counts'!$O$3=0,IFERROR(IF(AA88=2,"0",AB88),""),"-"))</f>
        <v/>
      </c>
      <c r="E88" s="35" t="str">
        <f t="shared" si="84"/>
        <v/>
      </c>
      <c r="F88" s="36" t="str">
        <f t="shared" si="85"/>
        <v/>
      </c>
      <c r="G88" s="36" t="str">
        <f t="shared" si="86"/>
        <v/>
      </c>
      <c r="H88" s="33" t="str">
        <f t="shared" si="64"/>
        <v/>
      </c>
      <c r="I88" s="36" t="str">
        <f t="shared" si="87"/>
        <v/>
      </c>
      <c r="J88" s="36" t="str">
        <f t="shared" si="88"/>
        <v/>
      </c>
      <c r="K88" s="33" t="str">
        <f t="shared" si="65"/>
        <v/>
      </c>
      <c r="L88" s="36" t="str">
        <f t="shared" si="66"/>
        <v/>
      </c>
      <c r="M88" s="36" t="str">
        <f t="shared" si="89"/>
        <v/>
      </c>
      <c r="N88" s="33" t="str">
        <f t="shared" si="90"/>
        <v/>
      </c>
      <c r="O88" s="36" t="str">
        <f t="shared" si="91"/>
        <v/>
      </c>
      <c r="P88" s="36" t="str">
        <f t="shared" si="92"/>
        <v/>
      </c>
      <c r="Q88" s="33" t="str">
        <f t="shared" si="93"/>
        <v/>
      </c>
      <c r="R88" s="1"/>
      <c r="S88" s="1"/>
      <c r="Y88" s="1" t="e">
        <f>VLOOKUP($B$6,LOOKUP_SCE,81,0)</f>
        <v>#N/A</v>
      </c>
      <c r="Z88" s="22" t="str">
        <f t="shared" si="67"/>
        <v/>
      </c>
      <c r="AA88" s="23">
        <f t="shared" si="94"/>
        <v>7</v>
      </c>
      <c r="AB88" s="55" t="e">
        <f t="shared" si="68"/>
        <v>#N/A</v>
      </c>
      <c r="AC88" s="38" t="e">
        <f t="shared" si="95"/>
        <v>#N/A</v>
      </c>
      <c r="AD88" s="38" t="e">
        <f t="shared" si="96"/>
        <v>#N/A</v>
      </c>
      <c r="AE88" s="415" t="e">
        <f t="shared" si="69"/>
        <v>#N/A</v>
      </c>
      <c r="AF88" s="10">
        <f t="shared" si="97"/>
        <v>7</v>
      </c>
      <c r="AG88" s="38" t="e">
        <f t="shared" si="70"/>
        <v>#N/A</v>
      </c>
      <c r="AH88" s="38" t="e">
        <f t="shared" si="98"/>
        <v>#N/A</v>
      </c>
      <c r="AI88" s="10" t="e">
        <f t="shared" si="71"/>
        <v>#N/A</v>
      </c>
      <c r="AJ88" s="39" t="e">
        <f t="shared" si="99"/>
        <v>#N/A</v>
      </c>
      <c r="AK88" s="40" t="e">
        <f t="shared" si="72"/>
        <v>#N/A</v>
      </c>
      <c r="AL88" s="11" t="e">
        <f t="shared" si="73"/>
        <v>#N/A</v>
      </c>
      <c r="AM88" s="41">
        <f t="shared" si="100"/>
        <v>7</v>
      </c>
      <c r="AN88" s="57" t="e">
        <f t="shared" si="74"/>
        <v>#N/A</v>
      </c>
      <c r="AO88" s="40" t="e">
        <f t="shared" si="101"/>
        <v>#N/A</v>
      </c>
      <c r="AP88" s="417" t="e">
        <f t="shared" si="75"/>
        <v>#N/A</v>
      </c>
      <c r="AQ88" s="56">
        <f t="shared" si="102"/>
        <v>7</v>
      </c>
      <c r="AR88" s="43" t="e">
        <f t="shared" si="103"/>
        <v>#N/A</v>
      </c>
      <c r="AS88" s="44" t="e">
        <f t="shared" si="104"/>
        <v>#N/A</v>
      </c>
      <c r="AT88" s="45" t="e">
        <f t="shared" si="76"/>
        <v>#N/A</v>
      </c>
      <c r="AU88" s="14">
        <f t="shared" si="105"/>
        <v>7</v>
      </c>
      <c r="AV88" s="44" t="e">
        <f t="shared" si="77"/>
        <v>#N/A</v>
      </c>
      <c r="AW88" s="14" t="e">
        <f t="shared" si="106"/>
        <v>#N/A</v>
      </c>
      <c r="AX88" s="14" t="e">
        <f t="shared" si="78"/>
        <v>#N/A</v>
      </c>
      <c r="AY88" s="46">
        <f t="shared" si="107"/>
        <v>7</v>
      </c>
      <c r="AZ88" s="47" t="e">
        <f t="shared" si="108"/>
        <v>#N/A</v>
      </c>
      <c r="BA88" s="48" t="e">
        <f t="shared" si="109"/>
        <v>#N/A</v>
      </c>
      <c r="BB88" s="31" t="e">
        <f t="shared" si="79"/>
        <v>#N/A</v>
      </c>
      <c r="BC88" s="28">
        <f t="shared" si="110"/>
        <v>7</v>
      </c>
      <c r="BD88" s="47" t="e">
        <f t="shared" si="111"/>
        <v>#N/A</v>
      </c>
      <c r="BE88" s="48" t="e">
        <f t="shared" si="112"/>
        <v>#N/A</v>
      </c>
      <c r="BF88" s="31" t="e">
        <f t="shared" si="80"/>
        <v>#N/A</v>
      </c>
      <c r="BG88" s="49" t="e">
        <f t="shared" si="81"/>
        <v>#N/A</v>
      </c>
      <c r="BH88" s="1" t="e">
        <f>VLOOKUP($B88,STOCK_BY_LA!$A$2:$C$10477,3,0)</f>
        <v>#N/A</v>
      </c>
      <c r="BI88" s="1" t="str">
        <f t="shared" si="113"/>
        <v/>
      </c>
    </row>
    <row r="89" spans="1:61" x14ac:dyDescent="0.35">
      <c r="A89" s="33" t="str">
        <f t="shared" si="82"/>
        <v/>
      </c>
      <c r="B89" s="1" t="str">
        <f t="shared" si="114"/>
        <v/>
      </c>
      <c r="C89" s="34" t="str">
        <f t="shared" si="83"/>
        <v/>
      </c>
      <c r="D89" s="33" t="str">
        <f>IF(B89="","",IF('totals_&amp;_RP_counts'!$O$3=0,IFERROR(IF(AA89=2,"0",AB89),""),"-"))</f>
        <v/>
      </c>
      <c r="E89" s="35" t="str">
        <f t="shared" si="84"/>
        <v/>
      </c>
      <c r="F89" s="36" t="str">
        <f t="shared" si="85"/>
        <v/>
      </c>
      <c r="G89" s="36" t="str">
        <f t="shared" si="86"/>
        <v/>
      </c>
      <c r="H89" s="33" t="str">
        <f t="shared" si="64"/>
        <v/>
      </c>
      <c r="I89" s="36" t="str">
        <f t="shared" si="87"/>
        <v/>
      </c>
      <c r="J89" s="36" t="str">
        <f t="shared" si="88"/>
        <v/>
      </c>
      <c r="K89" s="33" t="str">
        <f t="shared" si="65"/>
        <v/>
      </c>
      <c r="L89" s="36" t="str">
        <f t="shared" si="66"/>
        <v/>
      </c>
      <c r="M89" s="36" t="str">
        <f t="shared" si="89"/>
        <v/>
      </c>
      <c r="N89" s="33" t="str">
        <f t="shared" si="90"/>
        <v/>
      </c>
      <c r="O89" s="36" t="str">
        <f t="shared" si="91"/>
        <v/>
      </c>
      <c r="P89" s="36" t="str">
        <f t="shared" si="92"/>
        <v/>
      </c>
      <c r="Q89" s="33" t="str">
        <f t="shared" si="93"/>
        <v/>
      </c>
      <c r="R89" s="1"/>
      <c r="S89" s="1"/>
      <c r="Y89" s="1" t="e">
        <f>VLOOKUP($B$6,LOOKUP_SCE,82,0)</f>
        <v>#N/A</v>
      </c>
      <c r="Z89" s="22" t="str">
        <f t="shared" si="67"/>
        <v/>
      </c>
      <c r="AA89" s="23">
        <f t="shared" si="94"/>
        <v>7</v>
      </c>
      <c r="AB89" s="55" t="e">
        <f t="shared" si="68"/>
        <v>#N/A</v>
      </c>
      <c r="AC89" s="38" t="e">
        <f t="shared" si="95"/>
        <v>#N/A</v>
      </c>
      <c r="AD89" s="38" t="e">
        <f t="shared" si="96"/>
        <v>#N/A</v>
      </c>
      <c r="AE89" s="415" t="e">
        <f t="shared" si="69"/>
        <v>#N/A</v>
      </c>
      <c r="AF89" s="10">
        <f t="shared" si="97"/>
        <v>7</v>
      </c>
      <c r="AG89" s="38" t="e">
        <f t="shared" si="70"/>
        <v>#N/A</v>
      </c>
      <c r="AH89" s="38" t="e">
        <f t="shared" si="98"/>
        <v>#N/A</v>
      </c>
      <c r="AI89" s="10" t="e">
        <f t="shared" si="71"/>
        <v>#N/A</v>
      </c>
      <c r="AJ89" s="39" t="e">
        <f t="shared" si="99"/>
        <v>#N/A</v>
      </c>
      <c r="AK89" s="40" t="e">
        <f t="shared" si="72"/>
        <v>#N/A</v>
      </c>
      <c r="AL89" s="11" t="e">
        <f t="shared" si="73"/>
        <v>#N/A</v>
      </c>
      <c r="AM89" s="41">
        <f t="shared" si="100"/>
        <v>7</v>
      </c>
      <c r="AN89" s="57" t="e">
        <f t="shared" si="74"/>
        <v>#N/A</v>
      </c>
      <c r="AO89" s="40" t="e">
        <f t="shared" si="101"/>
        <v>#N/A</v>
      </c>
      <c r="AP89" s="417" t="e">
        <f t="shared" si="75"/>
        <v>#N/A</v>
      </c>
      <c r="AQ89" s="56">
        <f t="shared" si="102"/>
        <v>7</v>
      </c>
      <c r="AR89" s="43" t="e">
        <f t="shared" si="103"/>
        <v>#N/A</v>
      </c>
      <c r="AS89" s="44" t="e">
        <f t="shared" si="104"/>
        <v>#N/A</v>
      </c>
      <c r="AT89" s="45" t="e">
        <f t="shared" si="76"/>
        <v>#N/A</v>
      </c>
      <c r="AU89" s="14">
        <f t="shared" si="105"/>
        <v>7</v>
      </c>
      <c r="AV89" s="44" t="e">
        <f t="shared" si="77"/>
        <v>#N/A</v>
      </c>
      <c r="AW89" s="14" t="e">
        <f t="shared" si="106"/>
        <v>#N/A</v>
      </c>
      <c r="AX89" s="14" t="e">
        <f t="shared" si="78"/>
        <v>#N/A</v>
      </c>
      <c r="AY89" s="46">
        <f t="shared" si="107"/>
        <v>7</v>
      </c>
      <c r="AZ89" s="47" t="e">
        <f t="shared" si="108"/>
        <v>#N/A</v>
      </c>
      <c r="BA89" s="48" t="e">
        <f t="shared" si="109"/>
        <v>#N/A</v>
      </c>
      <c r="BB89" s="31" t="e">
        <f t="shared" si="79"/>
        <v>#N/A</v>
      </c>
      <c r="BC89" s="28">
        <f t="shared" si="110"/>
        <v>7</v>
      </c>
      <c r="BD89" s="47" t="e">
        <f t="shared" si="111"/>
        <v>#N/A</v>
      </c>
      <c r="BE89" s="48" t="e">
        <f t="shared" si="112"/>
        <v>#N/A</v>
      </c>
      <c r="BF89" s="31" t="e">
        <f t="shared" si="80"/>
        <v>#N/A</v>
      </c>
      <c r="BG89" s="49" t="e">
        <f t="shared" si="81"/>
        <v>#N/A</v>
      </c>
      <c r="BH89" s="1" t="e">
        <f>VLOOKUP($B89,STOCK_BY_LA!$A$2:$C$10477,3,0)</f>
        <v>#N/A</v>
      </c>
      <c r="BI89" s="1" t="str">
        <f t="shared" si="113"/>
        <v/>
      </c>
    </row>
    <row r="90" spans="1:61" x14ac:dyDescent="0.35">
      <c r="A90" s="1" t="str">
        <f t="shared" si="82"/>
        <v/>
      </c>
      <c r="B90" s="1" t="str">
        <f t="shared" si="114"/>
        <v/>
      </c>
      <c r="C90" s="50" t="str">
        <f t="shared" si="83"/>
        <v/>
      </c>
      <c r="D90" s="33" t="str">
        <f>IF(B90="","",IF('totals_&amp;_RP_counts'!$O$3=0,IFERROR(IF(AA90=2,"0",AB90),""),"-"))</f>
        <v/>
      </c>
      <c r="E90" s="35" t="str">
        <f t="shared" si="84"/>
        <v/>
      </c>
      <c r="F90" s="36" t="str">
        <f t="shared" si="85"/>
        <v/>
      </c>
      <c r="G90" s="36" t="str">
        <f t="shared" si="86"/>
        <v/>
      </c>
      <c r="H90" s="33" t="str">
        <f t="shared" si="64"/>
        <v/>
      </c>
      <c r="I90" s="36" t="str">
        <f t="shared" si="87"/>
        <v/>
      </c>
      <c r="J90" s="36" t="str">
        <f t="shared" si="88"/>
        <v/>
      </c>
      <c r="K90" s="33" t="str">
        <f t="shared" si="65"/>
        <v/>
      </c>
      <c r="L90" s="36" t="str">
        <f t="shared" si="66"/>
        <v/>
      </c>
      <c r="M90" s="36" t="str">
        <f t="shared" si="89"/>
        <v/>
      </c>
      <c r="N90" s="33" t="str">
        <f t="shared" si="90"/>
        <v/>
      </c>
      <c r="O90" s="36" t="str">
        <f t="shared" si="91"/>
        <v/>
      </c>
      <c r="P90" s="36" t="str">
        <f t="shared" si="92"/>
        <v/>
      </c>
      <c r="Q90" s="33" t="str">
        <f t="shared" si="93"/>
        <v/>
      </c>
      <c r="R90" s="1"/>
      <c r="S90" s="1"/>
      <c r="Y90" s="1" t="e">
        <f>VLOOKUP($B$6,LOOKUP_SCE,83,0)</f>
        <v>#N/A</v>
      </c>
      <c r="Z90" s="22" t="str">
        <f t="shared" si="67"/>
        <v/>
      </c>
      <c r="AA90" s="23">
        <f t="shared" si="94"/>
        <v>7</v>
      </c>
      <c r="AB90" s="55" t="e">
        <f t="shared" si="68"/>
        <v>#N/A</v>
      </c>
      <c r="AC90" s="38" t="e">
        <f t="shared" si="95"/>
        <v>#N/A</v>
      </c>
      <c r="AD90" s="38" t="e">
        <f t="shared" si="96"/>
        <v>#N/A</v>
      </c>
      <c r="AE90" s="415" t="e">
        <f t="shared" si="69"/>
        <v>#N/A</v>
      </c>
      <c r="AF90" s="10">
        <f t="shared" si="97"/>
        <v>7</v>
      </c>
      <c r="AG90" s="38" t="e">
        <f t="shared" si="70"/>
        <v>#N/A</v>
      </c>
      <c r="AH90" s="38" t="e">
        <f t="shared" si="98"/>
        <v>#N/A</v>
      </c>
      <c r="AI90" s="10" t="e">
        <f t="shared" si="71"/>
        <v>#N/A</v>
      </c>
      <c r="AJ90" s="39" t="e">
        <f t="shared" si="99"/>
        <v>#N/A</v>
      </c>
      <c r="AK90" s="40" t="e">
        <f t="shared" si="72"/>
        <v>#N/A</v>
      </c>
      <c r="AL90" s="11" t="e">
        <f t="shared" si="73"/>
        <v>#N/A</v>
      </c>
      <c r="AM90" s="41">
        <f t="shared" si="100"/>
        <v>7</v>
      </c>
      <c r="AN90" s="57" t="e">
        <f t="shared" si="74"/>
        <v>#N/A</v>
      </c>
      <c r="AO90" s="40" t="e">
        <f t="shared" si="101"/>
        <v>#N/A</v>
      </c>
      <c r="AP90" s="417" t="e">
        <f t="shared" si="75"/>
        <v>#N/A</v>
      </c>
      <c r="AQ90" s="56">
        <f t="shared" si="102"/>
        <v>7</v>
      </c>
      <c r="AR90" s="43" t="e">
        <f t="shared" si="103"/>
        <v>#N/A</v>
      </c>
      <c r="AS90" s="44" t="e">
        <f t="shared" si="104"/>
        <v>#N/A</v>
      </c>
      <c r="AT90" s="45" t="e">
        <f t="shared" si="76"/>
        <v>#N/A</v>
      </c>
      <c r="AU90" s="14">
        <f t="shared" si="105"/>
        <v>7</v>
      </c>
      <c r="AV90" s="44" t="e">
        <f t="shared" si="77"/>
        <v>#N/A</v>
      </c>
      <c r="AW90" s="14" t="e">
        <f t="shared" si="106"/>
        <v>#N/A</v>
      </c>
      <c r="AX90" s="14" t="e">
        <f t="shared" si="78"/>
        <v>#N/A</v>
      </c>
      <c r="AY90" s="46">
        <f t="shared" si="107"/>
        <v>7</v>
      </c>
      <c r="AZ90" s="47" t="e">
        <f t="shared" si="108"/>
        <v>#N/A</v>
      </c>
      <c r="BA90" s="48" t="e">
        <f t="shared" si="109"/>
        <v>#N/A</v>
      </c>
      <c r="BB90" s="31" t="e">
        <f t="shared" si="79"/>
        <v>#N/A</v>
      </c>
      <c r="BC90" s="28">
        <f t="shared" si="110"/>
        <v>7</v>
      </c>
      <c r="BD90" s="47" t="e">
        <f t="shared" si="111"/>
        <v>#N/A</v>
      </c>
      <c r="BE90" s="48" t="e">
        <f t="shared" si="112"/>
        <v>#N/A</v>
      </c>
      <c r="BF90" s="31" t="e">
        <f t="shared" si="80"/>
        <v>#N/A</v>
      </c>
      <c r="BG90" s="49" t="e">
        <f t="shared" si="81"/>
        <v>#N/A</v>
      </c>
      <c r="BH90" s="1" t="e">
        <f>VLOOKUP($B90,STOCK_BY_LA!$A$2:$C$10477,3,0)</f>
        <v>#N/A</v>
      </c>
      <c r="BI90" s="1" t="str">
        <f t="shared" si="113"/>
        <v/>
      </c>
    </row>
    <row r="91" spans="1:61" x14ac:dyDescent="0.35">
      <c r="A91" s="33" t="str">
        <f t="shared" si="82"/>
        <v/>
      </c>
      <c r="B91" s="1" t="str">
        <f t="shared" si="114"/>
        <v/>
      </c>
      <c r="C91" s="34" t="str">
        <f t="shared" si="83"/>
        <v/>
      </c>
      <c r="D91" s="33" t="str">
        <f>IF(B91="","",IF('totals_&amp;_RP_counts'!$O$3=0,IFERROR(IF(AA91=2,"0",AB91),""),"-"))</f>
        <v/>
      </c>
      <c r="E91" s="35" t="str">
        <f t="shared" si="84"/>
        <v/>
      </c>
      <c r="F91" s="36" t="str">
        <f t="shared" si="85"/>
        <v/>
      </c>
      <c r="G91" s="36" t="str">
        <f t="shared" si="86"/>
        <v/>
      </c>
      <c r="H91" s="33" t="str">
        <f t="shared" si="64"/>
        <v/>
      </c>
      <c r="I91" s="36" t="str">
        <f t="shared" si="87"/>
        <v/>
      </c>
      <c r="J91" s="36" t="str">
        <f t="shared" si="88"/>
        <v/>
      </c>
      <c r="K91" s="33" t="str">
        <f t="shared" si="65"/>
        <v/>
      </c>
      <c r="L91" s="36" t="str">
        <f t="shared" si="66"/>
        <v/>
      </c>
      <c r="M91" s="36" t="str">
        <f t="shared" si="89"/>
        <v/>
      </c>
      <c r="N91" s="33" t="str">
        <f t="shared" si="90"/>
        <v/>
      </c>
      <c r="O91" s="36" t="str">
        <f t="shared" si="91"/>
        <v/>
      </c>
      <c r="P91" s="36" t="str">
        <f t="shared" si="92"/>
        <v/>
      </c>
      <c r="Q91" s="33" t="str">
        <f t="shared" si="93"/>
        <v/>
      </c>
      <c r="R91" s="1"/>
      <c r="S91" s="1"/>
      <c r="Y91" s="1" t="e">
        <f>VLOOKUP($B$6,LOOKUP_SCE,84,0)</f>
        <v>#N/A</v>
      </c>
      <c r="Z91" s="22" t="str">
        <f t="shared" si="67"/>
        <v/>
      </c>
      <c r="AA91" s="23">
        <f t="shared" si="94"/>
        <v>7</v>
      </c>
      <c r="AB91" s="55" t="e">
        <f t="shared" si="68"/>
        <v>#N/A</v>
      </c>
      <c r="AC91" s="38" t="e">
        <f t="shared" si="95"/>
        <v>#N/A</v>
      </c>
      <c r="AD91" s="38" t="e">
        <f t="shared" si="96"/>
        <v>#N/A</v>
      </c>
      <c r="AE91" s="415" t="e">
        <f t="shared" si="69"/>
        <v>#N/A</v>
      </c>
      <c r="AF91" s="10">
        <f t="shared" si="97"/>
        <v>7</v>
      </c>
      <c r="AG91" s="38" t="e">
        <f t="shared" si="70"/>
        <v>#N/A</v>
      </c>
      <c r="AH91" s="38" t="e">
        <f t="shared" si="98"/>
        <v>#N/A</v>
      </c>
      <c r="AI91" s="10" t="e">
        <f t="shared" si="71"/>
        <v>#N/A</v>
      </c>
      <c r="AJ91" s="39" t="e">
        <f t="shared" si="99"/>
        <v>#N/A</v>
      </c>
      <c r="AK91" s="40" t="e">
        <f t="shared" si="72"/>
        <v>#N/A</v>
      </c>
      <c r="AL91" s="11" t="e">
        <f t="shared" si="73"/>
        <v>#N/A</v>
      </c>
      <c r="AM91" s="41">
        <f t="shared" si="100"/>
        <v>7</v>
      </c>
      <c r="AN91" s="57" t="e">
        <f t="shared" si="74"/>
        <v>#N/A</v>
      </c>
      <c r="AO91" s="40" t="e">
        <f t="shared" si="101"/>
        <v>#N/A</v>
      </c>
      <c r="AP91" s="417" t="e">
        <f t="shared" si="75"/>
        <v>#N/A</v>
      </c>
      <c r="AQ91" s="56">
        <f t="shared" si="102"/>
        <v>7</v>
      </c>
      <c r="AR91" s="43" t="e">
        <f t="shared" si="103"/>
        <v>#N/A</v>
      </c>
      <c r="AS91" s="44" t="e">
        <f t="shared" si="104"/>
        <v>#N/A</v>
      </c>
      <c r="AT91" s="45" t="e">
        <f t="shared" si="76"/>
        <v>#N/A</v>
      </c>
      <c r="AU91" s="14">
        <f t="shared" si="105"/>
        <v>7</v>
      </c>
      <c r="AV91" s="44" t="e">
        <f t="shared" si="77"/>
        <v>#N/A</v>
      </c>
      <c r="AW91" s="14" t="e">
        <f t="shared" si="106"/>
        <v>#N/A</v>
      </c>
      <c r="AX91" s="14" t="e">
        <f t="shared" si="78"/>
        <v>#N/A</v>
      </c>
      <c r="AY91" s="46">
        <f t="shared" si="107"/>
        <v>7</v>
      </c>
      <c r="AZ91" s="47" t="e">
        <f t="shared" si="108"/>
        <v>#N/A</v>
      </c>
      <c r="BA91" s="48" t="e">
        <f t="shared" si="109"/>
        <v>#N/A</v>
      </c>
      <c r="BB91" s="31" t="e">
        <f t="shared" si="79"/>
        <v>#N/A</v>
      </c>
      <c r="BC91" s="28">
        <f t="shared" si="110"/>
        <v>7</v>
      </c>
      <c r="BD91" s="47" t="e">
        <f t="shared" si="111"/>
        <v>#N/A</v>
      </c>
      <c r="BE91" s="48" t="e">
        <f t="shared" si="112"/>
        <v>#N/A</v>
      </c>
      <c r="BF91" s="31" t="e">
        <f t="shared" si="80"/>
        <v>#N/A</v>
      </c>
      <c r="BG91" s="49" t="e">
        <f t="shared" si="81"/>
        <v>#N/A</v>
      </c>
      <c r="BH91" s="1" t="e">
        <f>VLOOKUP($B91,STOCK_BY_LA!$A$2:$C$10477,3,0)</f>
        <v>#N/A</v>
      </c>
      <c r="BI91" s="1" t="str">
        <f t="shared" si="113"/>
        <v/>
      </c>
    </row>
    <row r="92" spans="1:61" x14ac:dyDescent="0.35">
      <c r="A92" s="1" t="str">
        <f t="shared" si="82"/>
        <v/>
      </c>
      <c r="B92" s="1" t="str">
        <f t="shared" si="114"/>
        <v/>
      </c>
      <c r="C92" s="50" t="str">
        <f t="shared" si="83"/>
        <v/>
      </c>
      <c r="D92" s="33" t="str">
        <f>IF(B92="","",IF('totals_&amp;_RP_counts'!$O$3=0,IFERROR(IF(AA92=2,"0",AB92),""),"-"))</f>
        <v/>
      </c>
      <c r="E92" s="35" t="str">
        <f t="shared" si="84"/>
        <v/>
      </c>
      <c r="F92" s="36" t="str">
        <f t="shared" si="85"/>
        <v/>
      </c>
      <c r="G92" s="36" t="str">
        <f t="shared" si="86"/>
        <v/>
      </c>
      <c r="H92" s="33" t="str">
        <f t="shared" si="64"/>
        <v/>
      </c>
      <c r="I92" s="36" t="str">
        <f t="shared" si="87"/>
        <v/>
      </c>
      <c r="J92" s="36" t="str">
        <f t="shared" si="88"/>
        <v/>
      </c>
      <c r="K92" s="33" t="str">
        <f t="shared" si="65"/>
        <v/>
      </c>
      <c r="L92" s="36" t="str">
        <f t="shared" si="66"/>
        <v/>
      </c>
      <c r="M92" s="36" t="str">
        <f t="shared" si="89"/>
        <v/>
      </c>
      <c r="N92" s="33" t="str">
        <f t="shared" si="90"/>
        <v/>
      </c>
      <c r="O92" s="36" t="str">
        <f t="shared" si="91"/>
        <v/>
      </c>
      <c r="P92" s="36" t="str">
        <f t="shared" si="92"/>
        <v/>
      </c>
      <c r="Q92" s="33" t="str">
        <f t="shared" si="93"/>
        <v/>
      </c>
      <c r="R92" s="1"/>
      <c r="S92" s="1"/>
      <c r="Y92" s="1" t="e">
        <f>VLOOKUP($B$6,LOOKUP_SCE,85,0)</f>
        <v>#N/A</v>
      </c>
      <c r="Z92" s="22" t="str">
        <f t="shared" si="67"/>
        <v/>
      </c>
      <c r="AA92" s="23">
        <f t="shared" si="94"/>
        <v>7</v>
      </c>
      <c r="AB92" s="55" t="e">
        <f t="shared" si="68"/>
        <v>#N/A</v>
      </c>
      <c r="AC92" s="38" t="e">
        <f t="shared" si="95"/>
        <v>#N/A</v>
      </c>
      <c r="AD92" s="38" t="e">
        <f t="shared" si="96"/>
        <v>#N/A</v>
      </c>
      <c r="AE92" s="415" t="e">
        <f t="shared" si="69"/>
        <v>#N/A</v>
      </c>
      <c r="AF92" s="10">
        <f t="shared" si="97"/>
        <v>7</v>
      </c>
      <c r="AG92" s="38" t="e">
        <f t="shared" si="70"/>
        <v>#N/A</v>
      </c>
      <c r="AH92" s="38" t="e">
        <f t="shared" si="98"/>
        <v>#N/A</v>
      </c>
      <c r="AI92" s="10" t="e">
        <f t="shared" si="71"/>
        <v>#N/A</v>
      </c>
      <c r="AJ92" s="39" t="e">
        <f t="shared" si="99"/>
        <v>#N/A</v>
      </c>
      <c r="AK92" s="40" t="e">
        <f t="shared" si="72"/>
        <v>#N/A</v>
      </c>
      <c r="AL92" s="11" t="e">
        <f t="shared" si="73"/>
        <v>#N/A</v>
      </c>
      <c r="AM92" s="41">
        <f t="shared" si="100"/>
        <v>7</v>
      </c>
      <c r="AN92" s="57" t="e">
        <f t="shared" si="74"/>
        <v>#N/A</v>
      </c>
      <c r="AO92" s="40" t="e">
        <f t="shared" si="101"/>
        <v>#N/A</v>
      </c>
      <c r="AP92" s="417" t="e">
        <f t="shared" si="75"/>
        <v>#N/A</v>
      </c>
      <c r="AQ92" s="56">
        <f t="shared" si="102"/>
        <v>7</v>
      </c>
      <c r="AR92" s="43" t="e">
        <f t="shared" si="103"/>
        <v>#N/A</v>
      </c>
      <c r="AS92" s="44" t="e">
        <f t="shared" si="104"/>
        <v>#N/A</v>
      </c>
      <c r="AT92" s="45" t="e">
        <f t="shared" si="76"/>
        <v>#N/A</v>
      </c>
      <c r="AU92" s="14">
        <f t="shared" si="105"/>
        <v>7</v>
      </c>
      <c r="AV92" s="44" t="e">
        <f t="shared" si="77"/>
        <v>#N/A</v>
      </c>
      <c r="AW92" s="14" t="e">
        <f t="shared" si="106"/>
        <v>#N/A</v>
      </c>
      <c r="AX92" s="14" t="e">
        <f t="shared" si="78"/>
        <v>#N/A</v>
      </c>
      <c r="AY92" s="46">
        <f t="shared" si="107"/>
        <v>7</v>
      </c>
      <c r="AZ92" s="47" t="e">
        <f t="shared" si="108"/>
        <v>#N/A</v>
      </c>
      <c r="BA92" s="48" t="e">
        <f t="shared" si="109"/>
        <v>#N/A</v>
      </c>
      <c r="BB92" s="31" t="e">
        <f t="shared" si="79"/>
        <v>#N/A</v>
      </c>
      <c r="BC92" s="28">
        <f t="shared" si="110"/>
        <v>7</v>
      </c>
      <c r="BD92" s="47" t="e">
        <f t="shared" si="111"/>
        <v>#N/A</v>
      </c>
      <c r="BE92" s="48" t="e">
        <f t="shared" si="112"/>
        <v>#N/A</v>
      </c>
      <c r="BF92" s="31" t="e">
        <f t="shared" si="80"/>
        <v>#N/A</v>
      </c>
      <c r="BG92" s="49" t="e">
        <f t="shared" si="81"/>
        <v>#N/A</v>
      </c>
      <c r="BH92" s="1" t="e">
        <f>VLOOKUP($B92,STOCK_BY_LA!$A$2:$C$10477,3,0)</f>
        <v>#N/A</v>
      </c>
      <c r="BI92" s="1" t="str">
        <f t="shared" si="113"/>
        <v/>
      </c>
    </row>
    <row r="93" spans="1:61" x14ac:dyDescent="0.35">
      <c r="A93" s="33" t="str">
        <f t="shared" si="82"/>
        <v/>
      </c>
      <c r="B93" s="1" t="str">
        <f t="shared" si="114"/>
        <v/>
      </c>
      <c r="C93" s="34" t="str">
        <f t="shared" si="83"/>
        <v/>
      </c>
      <c r="D93" s="33" t="str">
        <f>IF(B93="","",IF('totals_&amp;_RP_counts'!$O$3=0,IFERROR(IF(AA93=2,"0",AB93),""),"-"))</f>
        <v/>
      </c>
      <c r="E93" s="35" t="str">
        <f t="shared" si="84"/>
        <v/>
      </c>
      <c r="F93" s="36" t="str">
        <f t="shared" si="85"/>
        <v/>
      </c>
      <c r="G93" s="36" t="str">
        <f t="shared" si="86"/>
        <v/>
      </c>
      <c r="H93" s="33" t="str">
        <f t="shared" si="64"/>
        <v/>
      </c>
      <c r="I93" s="36" t="str">
        <f t="shared" si="87"/>
        <v/>
      </c>
      <c r="J93" s="36" t="str">
        <f t="shared" si="88"/>
        <v/>
      </c>
      <c r="K93" s="33" t="str">
        <f t="shared" si="65"/>
        <v/>
      </c>
      <c r="L93" s="36" t="str">
        <f t="shared" si="66"/>
        <v/>
      </c>
      <c r="M93" s="36" t="str">
        <f t="shared" si="89"/>
        <v/>
      </c>
      <c r="N93" s="33" t="str">
        <f t="shared" si="90"/>
        <v/>
      </c>
      <c r="O93" s="36" t="str">
        <f t="shared" si="91"/>
        <v/>
      </c>
      <c r="P93" s="36" t="str">
        <f t="shared" si="92"/>
        <v/>
      </c>
      <c r="Q93" s="33" t="str">
        <f t="shared" si="93"/>
        <v/>
      </c>
      <c r="R93" s="1"/>
      <c r="S93" s="1"/>
      <c r="Y93" s="1" t="e">
        <f>VLOOKUP($B$6,LOOKUP_SCE,86,0)</f>
        <v>#N/A</v>
      </c>
      <c r="Z93" s="22" t="str">
        <f t="shared" si="67"/>
        <v/>
      </c>
      <c r="AA93" s="23">
        <f t="shared" si="94"/>
        <v>7</v>
      </c>
      <c r="AB93" s="55" t="e">
        <f t="shared" si="68"/>
        <v>#N/A</v>
      </c>
      <c r="AC93" s="38" t="e">
        <f t="shared" si="95"/>
        <v>#N/A</v>
      </c>
      <c r="AD93" s="38" t="e">
        <f t="shared" si="96"/>
        <v>#N/A</v>
      </c>
      <c r="AE93" s="415" t="e">
        <f t="shared" si="69"/>
        <v>#N/A</v>
      </c>
      <c r="AF93" s="10">
        <f t="shared" si="97"/>
        <v>7</v>
      </c>
      <c r="AG93" s="38" t="e">
        <f t="shared" si="70"/>
        <v>#N/A</v>
      </c>
      <c r="AH93" s="38" t="e">
        <f t="shared" si="98"/>
        <v>#N/A</v>
      </c>
      <c r="AI93" s="10" t="e">
        <f t="shared" si="71"/>
        <v>#N/A</v>
      </c>
      <c r="AJ93" s="39" t="e">
        <f t="shared" si="99"/>
        <v>#N/A</v>
      </c>
      <c r="AK93" s="40" t="e">
        <f t="shared" si="72"/>
        <v>#N/A</v>
      </c>
      <c r="AL93" s="11" t="e">
        <f t="shared" si="73"/>
        <v>#N/A</v>
      </c>
      <c r="AM93" s="41">
        <f t="shared" si="100"/>
        <v>7</v>
      </c>
      <c r="AN93" s="57" t="e">
        <f t="shared" si="74"/>
        <v>#N/A</v>
      </c>
      <c r="AO93" s="40" t="e">
        <f t="shared" si="101"/>
        <v>#N/A</v>
      </c>
      <c r="AP93" s="417" t="e">
        <f t="shared" si="75"/>
        <v>#N/A</v>
      </c>
      <c r="AQ93" s="56">
        <f t="shared" si="102"/>
        <v>7</v>
      </c>
      <c r="AR93" s="43" t="e">
        <f t="shared" si="103"/>
        <v>#N/A</v>
      </c>
      <c r="AS93" s="44" t="e">
        <f t="shared" si="104"/>
        <v>#N/A</v>
      </c>
      <c r="AT93" s="45" t="e">
        <f t="shared" si="76"/>
        <v>#N/A</v>
      </c>
      <c r="AU93" s="14">
        <f t="shared" si="105"/>
        <v>7</v>
      </c>
      <c r="AV93" s="44" t="e">
        <f t="shared" si="77"/>
        <v>#N/A</v>
      </c>
      <c r="AW93" s="14" t="e">
        <f t="shared" si="106"/>
        <v>#N/A</v>
      </c>
      <c r="AX93" s="14" t="e">
        <f t="shared" si="78"/>
        <v>#N/A</v>
      </c>
      <c r="AY93" s="46">
        <f t="shared" si="107"/>
        <v>7</v>
      </c>
      <c r="AZ93" s="47" t="e">
        <f t="shared" si="108"/>
        <v>#N/A</v>
      </c>
      <c r="BA93" s="48" t="e">
        <f t="shared" si="109"/>
        <v>#N/A</v>
      </c>
      <c r="BB93" s="31" t="e">
        <f t="shared" si="79"/>
        <v>#N/A</v>
      </c>
      <c r="BC93" s="28">
        <f t="shared" si="110"/>
        <v>7</v>
      </c>
      <c r="BD93" s="47" t="e">
        <f t="shared" si="111"/>
        <v>#N/A</v>
      </c>
      <c r="BE93" s="48" t="e">
        <f t="shared" si="112"/>
        <v>#N/A</v>
      </c>
      <c r="BF93" s="31" t="e">
        <f t="shared" si="80"/>
        <v>#N/A</v>
      </c>
      <c r="BG93" s="49" t="e">
        <f t="shared" si="81"/>
        <v>#N/A</v>
      </c>
      <c r="BH93" s="1" t="e">
        <f>VLOOKUP($B93,STOCK_BY_LA!$A$2:$C$10477,3,0)</f>
        <v>#N/A</v>
      </c>
      <c r="BI93" s="1" t="str">
        <f t="shared" si="113"/>
        <v/>
      </c>
    </row>
    <row r="94" spans="1:61" x14ac:dyDescent="0.35">
      <c r="A94" s="1" t="str">
        <f t="shared" si="82"/>
        <v/>
      </c>
      <c r="B94" s="1" t="str">
        <f t="shared" si="114"/>
        <v/>
      </c>
      <c r="C94" s="50" t="str">
        <f t="shared" si="83"/>
        <v/>
      </c>
      <c r="D94" s="33" t="str">
        <f>IF(B94="","",IF('totals_&amp;_RP_counts'!$O$3=0,IFERROR(IF(AA94=2,"0",AB94),""),"-"))</f>
        <v/>
      </c>
      <c r="E94" s="35" t="str">
        <f t="shared" si="84"/>
        <v/>
      </c>
      <c r="F94" s="36" t="str">
        <f t="shared" si="85"/>
        <v/>
      </c>
      <c r="G94" s="36" t="str">
        <f t="shared" si="86"/>
        <v/>
      </c>
      <c r="H94" s="33" t="str">
        <f t="shared" si="64"/>
        <v/>
      </c>
      <c r="I94" s="36" t="str">
        <f t="shared" si="87"/>
        <v/>
      </c>
      <c r="J94" s="36" t="str">
        <f t="shared" si="88"/>
        <v/>
      </c>
      <c r="K94" s="33" t="str">
        <f t="shared" si="65"/>
        <v/>
      </c>
      <c r="L94" s="36" t="str">
        <f t="shared" si="66"/>
        <v/>
      </c>
      <c r="M94" s="36" t="str">
        <f t="shared" si="89"/>
        <v/>
      </c>
      <c r="N94" s="33" t="str">
        <f t="shared" si="90"/>
        <v/>
      </c>
      <c r="O94" s="36" t="str">
        <f t="shared" si="91"/>
        <v/>
      </c>
      <c r="P94" s="36" t="str">
        <f t="shared" si="92"/>
        <v/>
      </c>
      <c r="Q94" s="33" t="str">
        <f t="shared" si="93"/>
        <v/>
      </c>
      <c r="R94" s="1"/>
      <c r="S94" s="1"/>
      <c r="Y94" s="1" t="e">
        <f>VLOOKUP($B$6,LOOKUP_SCE,87,0)</f>
        <v>#N/A</v>
      </c>
      <c r="Z94" s="22" t="str">
        <f t="shared" si="67"/>
        <v/>
      </c>
      <c r="AA94" s="23">
        <f t="shared" si="94"/>
        <v>7</v>
      </c>
      <c r="AB94" s="55" t="e">
        <f t="shared" si="68"/>
        <v>#N/A</v>
      </c>
      <c r="AC94" s="38" t="e">
        <f t="shared" si="95"/>
        <v>#N/A</v>
      </c>
      <c r="AD94" s="38" t="e">
        <f t="shared" si="96"/>
        <v>#N/A</v>
      </c>
      <c r="AE94" s="415" t="e">
        <f t="shared" si="69"/>
        <v>#N/A</v>
      </c>
      <c r="AF94" s="10">
        <f t="shared" si="97"/>
        <v>7</v>
      </c>
      <c r="AG94" s="38" t="e">
        <f t="shared" si="70"/>
        <v>#N/A</v>
      </c>
      <c r="AH94" s="38" t="e">
        <f t="shared" si="98"/>
        <v>#N/A</v>
      </c>
      <c r="AI94" s="10" t="e">
        <f t="shared" si="71"/>
        <v>#N/A</v>
      </c>
      <c r="AJ94" s="39" t="e">
        <f t="shared" si="99"/>
        <v>#N/A</v>
      </c>
      <c r="AK94" s="40" t="e">
        <f t="shared" si="72"/>
        <v>#N/A</v>
      </c>
      <c r="AL94" s="11" t="e">
        <f t="shared" si="73"/>
        <v>#N/A</v>
      </c>
      <c r="AM94" s="41">
        <f t="shared" si="100"/>
        <v>7</v>
      </c>
      <c r="AN94" s="57" t="e">
        <f t="shared" si="74"/>
        <v>#N/A</v>
      </c>
      <c r="AO94" s="40" t="e">
        <f t="shared" si="101"/>
        <v>#N/A</v>
      </c>
      <c r="AP94" s="417" t="e">
        <f t="shared" si="75"/>
        <v>#N/A</v>
      </c>
      <c r="AQ94" s="56">
        <f t="shared" si="102"/>
        <v>7</v>
      </c>
      <c r="AR94" s="43" t="e">
        <f t="shared" si="103"/>
        <v>#N/A</v>
      </c>
      <c r="AS94" s="44" t="e">
        <f t="shared" si="104"/>
        <v>#N/A</v>
      </c>
      <c r="AT94" s="45" t="e">
        <f t="shared" si="76"/>
        <v>#N/A</v>
      </c>
      <c r="AU94" s="14">
        <f t="shared" si="105"/>
        <v>7</v>
      </c>
      <c r="AV94" s="44" t="e">
        <f t="shared" si="77"/>
        <v>#N/A</v>
      </c>
      <c r="AW94" s="14" t="e">
        <f t="shared" si="106"/>
        <v>#N/A</v>
      </c>
      <c r="AX94" s="14" t="e">
        <f t="shared" si="78"/>
        <v>#N/A</v>
      </c>
      <c r="AY94" s="46">
        <f t="shared" si="107"/>
        <v>7</v>
      </c>
      <c r="AZ94" s="47" t="e">
        <f t="shared" si="108"/>
        <v>#N/A</v>
      </c>
      <c r="BA94" s="48" t="e">
        <f t="shared" si="109"/>
        <v>#N/A</v>
      </c>
      <c r="BB94" s="31" t="e">
        <f t="shared" si="79"/>
        <v>#N/A</v>
      </c>
      <c r="BC94" s="28">
        <f t="shared" si="110"/>
        <v>7</v>
      </c>
      <c r="BD94" s="47" t="e">
        <f t="shared" si="111"/>
        <v>#N/A</v>
      </c>
      <c r="BE94" s="48" t="e">
        <f t="shared" si="112"/>
        <v>#N/A</v>
      </c>
      <c r="BF94" s="31" t="e">
        <f t="shared" si="80"/>
        <v>#N/A</v>
      </c>
      <c r="BG94" s="49" t="e">
        <f t="shared" si="81"/>
        <v>#N/A</v>
      </c>
      <c r="BH94" s="1" t="e">
        <f>VLOOKUP($B94,STOCK_BY_LA!$A$2:$C$10477,3,0)</f>
        <v>#N/A</v>
      </c>
      <c r="BI94" s="1" t="str">
        <f t="shared" si="113"/>
        <v/>
      </c>
    </row>
    <row r="95" spans="1:61" x14ac:dyDescent="0.35">
      <c r="A95" s="33" t="str">
        <f t="shared" si="82"/>
        <v/>
      </c>
      <c r="B95" s="1" t="str">
        <f t="shared" si="114"/>
        <v/>
      </c>
      <c r="C95" s="34" t="str">
        <f t="shared" si="83"/>
        <v/>
      </c>
      <c r="D95" s="33" t="str">
        <f>IF(B95="","",IF('totals_&amp;_RP_counts'!$O$3=0,IFERROR(IF(AA95=2,"0",AB95),""),"-"))</f>
        <v/>
      </c>
      <c r="E95" s="35" t="str">
        <f t="shared" si="84"/>
        <v/>
      </c>
      <c r="F95" s="36" t="str">
        <f t="shared" si="85"/>
        <v/>
      </c>
      <c r="G95" s="36" t="str">
        <f t="shared" si="86"/>
        <v/>
      </c>
      <c r="H95" s="33" t="str">
        <f t="shared" si="64"/>
        <v/>
      </c>
      <c r="I95" s="36" t="str">
        <f t="shared" si="87"/>
        <v/>
      </c>
      <c r="J95" s="36" t="str">
        <f t="shared" si="88"/>
        <v/>
      </c>
      <c r="K95" s="33" t="str">
        <f t="shared" si="65"/>
        <v/>
      </c>
      <c r="L95" s="36" t="str">
        <f t="shared" si="66"/>
        <v/>
      </c>
      <c r="M95" s="36" t="str">
        <f t="shared" si="89"/>
        <v/>
      </c>
      <c r="N95" s="33" t="str">
        <f t="shared" si="90"/>
        <v/>
      </c>
      <c r="O95" s="36" t="str">
        <f t="shared" si="91"/>
        <v/>
      </c>
      <c r="P95" s="36" t="str">
        <f t="shared" si="92"/>
        <v/>
      </c>
      <c r="Q95" s="33" t="str">
        <f t="shared" si="93"/>
        <v/>
      </c>
      <c r="R95" s="1"/>
      <c r="S95" s="1"/>
      <c r="Y95" s="1" t="e">
        <f>VLOOKUP($B$6,LOOKUP_SCE,88,0)</f>
        <v>#N/A</v>
      </c>
      <c r="Z95" s="22" t="str">
        <f t="shared" si="67"/>
        <v/>
      </c>
      <c r="AA95" s="23">
        <f t="shared" si="94"/>
        <v>7</v>
      </c>
      <c r="AB95" s="55" t="e">
        <f t="shared" si="68"/>
        <v>#N/A</v>
      </c>
      <c r="AC95" s="38" t="e">
        <f t="shared" si="95"/>
        <v>#N/A</v>
      </c>
      <c r="AD95" s="38" t="e">
        <f t="shared" si="96"/>
        <v>#N/A</v>
      </c>
      <c r="AE95" s="415" t="e">
        <f t="shared" si="69"/>
        <v>#N/A</v>
      </c>
      <c r="AF95" s="10">
        <f t="shared" si="97"/>
        <v>7</v>
      </c>
      <c r="AG95" s="38" t="e">
        <f t="shared" si="70"/>
        <v>#N/A</v>
      </c>
      <c r="AH95" s="38" t="e">
        <f t="shared" si="98"/>
        <v>#N/A</v>
      </c>
      <c r="AI95" s="10" t="e">
        <f t="shared" si="71"/>
        <v>#N/A</v>
      </c>
      <c r="AJ95" s="39" t="e">
        <f t="shared" si="99"/>
        <v>#N/A</v>
      </c>
      <c r="AK95" s="40" t="e">
        <f t="shared" si="72"/>
        <v>#N/A</v>
      </c>
      <c r="AL95" s="11" t="e">
        <f t="shared" si="73"/>
        <v>#N/A</v>
      </c>
      <c r="AM95" s="41">
        <f t="shared" si="100"/>
        <v>7</v>
      </c>
      <c r="AN95" s="57" t="e">
        <f t="shared" si="74"/>
        <v>#N/A</v>
      </c>
      <c r="AO95" s="40" t="e">
        <f t="shared" si="101"/>
        <v>#N/A</v>
      </c>
      <c r="AP95" s="417" t="e">
        <f t="shared" si="75"/>
        <v>#N/A</v>
      </c>
      <c r="AQ95" s="56">
        <f t="shared" si="102"/>
        <v>7</v>
      </c>
      <c r="AR95" s="43" t="e">
        <f t="shared" si="103"/>
        <v>#N/A</v>
      </c>
      <c r="AS95" s="44" t="e">
        <f t="shared" si="104"/>
        <v>#N/A</v>
      </c>
      <c r="AT95" s="45" t="e">
        <f t="shared" si="76"/>
        <v>#N/A</v>
      </c>
      <c r="AU95" s="14">
        <f t="shared" si="105"/>
        <v>7</v>
      </c>
      <c r="AV95" s="44" t="e">
        <f t="shared" si="77"/>
        <v>#N/A</v>
      </c>
      <c r="AW95" s="14" t="e">
        <f t="shared" si="106"/>
        <v>#N/A</v>
      </c>
      <c r="AX95" s="14" t="e">
        <f t="shared" si="78"/>
        <v>#N/A</v>
      </c>
      <c r="AY95" s="46">
        <f t="shared" si="107"/>
        <v>7</v>
      </c>
      <c r="AZ95" s="47" t="e">
        <f t="shared" si="108"/>
        <v>#N/A</v>
      </c>
      <c r="BA95" s="48" t="e">
        <f t="shared" si="109"/>
        <v>#N/A</v>
      </c>
      <c r="BB95" s="31" t="e">
        <f t="shared" si="79"/>
        <v>#N/A</v>
      </c>
      <c r="BC95" s="28">
        <f t="shared" si="110"/>
        <v>7</v>
      </c>
      <c r="BD95" s="47" t="e">
        <f t="shared" si="111"/>
        <v>#N/A</v>
      </c>
      <c r="BE95" s="48" t="e">
        <f t="shared" si="112"/>
        <v>#N/A</v>
      </c>
      <c r="BF95" s="31" t="e">
        <f t="shared" si="80"/>
        <v>#N/A</v>
      </c>
      <c r="BG95" s="49" t="e">
        <f t="shared" si="81"/>
        <v>#N/A</v>
      </c>
      <c r="BH95" s="1" t="e">
        <f>VLOOKUP($B95,STOCK_BY_LA!$A$2:$C$10477,3,0)</f>
        <v>#N/A</v>
      </c>
      <c r="BI95" s="1" t="str">
        <f t="shared" si="113"/>
        <v/>
      </c>
    </row>
    <row r="96" spans="1:61" x14ac:dyDescent="0.35">
      <c r="A96" s="1" t="str">
        <f t="shared" si="82"/>
        <v/>
      </c>
      <c r="B96" s="1" t="str">
        <f t="shared" si="114"/>
        <v/>
      </c>
      <c r="C96" s="50" t="str">
        <f t="shared" si="83"/>
        <v/>
      </c>
      <c r="D96" s="33" t="str">
        <f>IF(B96="","",IF('totals_&amp;_RP_counts'!$O$3=0,IFERROR(IF(AA96=2,"0",AB96),""),"-"))</f>
        <v/>
      </c>
      <c r="E96" s="35" t="str">
        <f t="shared" si="84"/>
        <v/>
      </c>
      <c r="F96" s="36" t="str">
        <f t="shared" si="85"/>
        <v/>
      </c>
      <c r="G96" s="36" t="str">
        <f t="shared" si="86"/>
        <v/>
      </c>
      <c r="H96" s="33" t="str">
        <f t="shared" si="64"/>
        <v/>
      </c>
      <c r="I96" s="36" t="str">
        <f t="shared" si="87"/>
        <v/>
      </c>
      <c r="J96" s="36" t="str">
        <f t="shared" si="88"/>
        <v/>
      </c>
      <c r="K96" s="33" t="str">
        <f t="shared" si="65"/>
        <v/>
      </c>
      <c r="L96" s="36" t="str">
        <f t="shared" si="66"/>
        <v/>
      </c>
      <c r="M96" s="36" t="str">
        <f t="shared" si="89"/>
        <v/>
      </c>
      <c r="N96" s="33" t="str">
        <f t="shared" si="90"/>
        <v/>
      </c>
      <c r="O96" s="36" t="str">
        <f t="shared" si="91"/>
        <v/>
      </c>
      <c r="P96" s="36" t="str">
        <f t="shared" si="92"/>
        <v/>
      </c>
      <c r="Q96" s="33" t="str">
        <f t="shared" si="93"/>
        <v/>
      </c>
      <c r="R96" s="1"/>
      <c r="S96" s="1"/>
      <c r="Y96" s="1" t="e">
        <f>VLOOKUP($B$6,LOOKUP_SCE,89,0)</f>
        <v>#N/A</v>
      </c>
      <c r="Z96" s="22" t="str">
        <f t="shared" si="67"/>
        <v/>
      </c>
      <c r="AA96" s="23">
        <f t="shared" si="94"/>
        <v>7</v>
      </c>
      <c r="AB96" s="55" t="e">
        <f t="shared" si="68"/>
        <v>#N/A</v>
      </c>
      <c r="AC96" s="38" t="e">
        <f t="shared" si="95"/>
        <v>#N/A</v>
      </c>
      <c r="AD96" s="38" t="e">
        <f t="shared" si="96"/>
        <v>#N/A</v>
      </c>
      <c r="AE96" s="415" t="e">
        <f t="shared" si="69"/>
        <v>#N/A</v>
      </c>
      <c r="AF96" s="10">
        <f t="shared" si="97"/>
        <v>7</v>
      </c>
      <c r="AG96" s="38" t="e">
        <f t="shared" si="70"/>
        <v>#N/A</v>
      </c>
      <c r="AH96" s="38" t="e">
        <f t="shared" si="98"/>
        <v>#N/A</v>
      </c>
      <c r="AI96" s="10" t="e">
        <f t="shared" si="71"/>
        <v>#N/A</v>
      </c>
      <c r="AJ96" s="39" t="e">
        <f t="shared" si="99"/>
        <v>#N/A</v>
      </c>
      <c r="AK96" s="40" t="e">
        <f t="shared" si="72"/>
        <v>#N/A</v>
      </c>
      <c r="AL96" s="11" t="e">
        <f t="shared" si="73"/>
        <v>#N/A</v>
      </c>
      <c r="AM96" s="41">
        <f t="shared" si="100"/>
        <v>7</v>
      </c>
      <c r="AN96" s="57" t="e">
        <f t="shared" si="74"/>
        <v>#N/A</v>
      </c>
      <c r="AO96" s="40" t="e">
        <f t="shared" si="101"/>
        <v>#N/A</v>
      </c>
      <c r="AP96" s="417" t="e">
        <f t="shared" si="75"/>
        <v>#N/A</v>
      </c>
      <c r="AQ96" s="56">
        <f t="shared" si="102"/>
        <v>7</v>
      </c>
      <c r="AR96" s="43" t="e">
        <f t="shared" si="103"/>
        <v>#N/A</v>
      </c>
      <c r="AS96" s="44" t="e">
        <f t="shared" si="104"/>
        <v>#N/A</v>
      </c>
      <c r="AT96" s="45" t="e">
        <f t="shared" si="76"/>
        <v>#N/A</v>
      </c>
      <c r="AU96" s="14">
        <f t="shared" si="105"/>
        <v>7</v>
      </c>
      <c r="AV96" s="44" t="e">
        <f t="shared" si="77"/>
        <v>#N/A</v>
      </c>
      <c r="AW96" s="14" t="e">
        <f t="shared" si="106"/>
        <v>#N/A</v>
      </c>
      <c r="AX96" s="14" t="e">
        <f t="shared" si="78"/>
        <v>#N/A</v>
      </c>
      <c r="AY96" s="46">
        <f t="shared" si="107"/>
        <v>7</v>
      </c>
      <c r="AZ96" s="47" t="e">
        <f t="shared" si="108"/>
        <v>#N/A</v>
      </c>
      <c r="BA96" s="48" t="e">
        <f t="shared" si="109"/>
        <v>#N/A</v>
      </c>
      <c r="BB96" s="31" t="e">
        <f t="shared" si="79"/>
        <v>#N/A</v>
      </c>
      <c r="BC96" s="28">
        <f t="shared" si="110"/>
        <v>7</v>
      </c>
      <c r="BD96" s="47" t="e">
        <f t="shared" si="111"/>
        <v>#N/A</v>
      </c>
      <c r="BE96" s="48" t="e">
        <f t="shared" si="112"/>
        <v>#N/A</v>
      </c>
      <c r="BF96" s="31" t="e">
        <f t="shared" si="80"/>
        <v>#N/A</v>
      </c>
      <c r="BG96" s="49" t="e">
        <f t="shared" si="81"/>
        <v>#N/A</v>
      </c>
      <c r="BH96" s="1" t="e">
        <f>VLOOKUP($B96,STOCK_BY_LA!$A$2:$C$10477,3,0)</f>
        <v>#N/A</v>
      </c>
      <c r="BI96" s="1" t="str">
        <f t="shared" si="113"/>
        <v/>
      </c>
    </row>
    <row r="97" spans="1:61" x14ac:dyDescent="0.35">
      <c r="A97" s="33" t="str">
        <f t="shared" si="82"/>
        <v/>
      </c>
      <c r="B97" s="1" t="str">
        <f t="shared" si="114"/>
        <v/>
      </c>
      <c r="C97" s="34" t="str">
        <f t="shared" si="83"/>
        <v/>
      </c>
      <c r="D97" s="33" t="str">
        <f>IF(B97="","",IF('totals_&amp;_RP_counts'!$O$3=0,IFERROR(IF(AA97=2,"0",AB97),""),"-"))</f>
        <v/>
      </c>
      <c r="E97" s="35" t="str">
        <f t="shared" si="84"/>
        <v/>
      </c>
      <c r="F97" s="36" t="str">
        <f t="shared" si="85"/>
        <v/>
      </c>
      <c r="G97" s="36" t="str">
        <f t="shared" si="86"/>
        <v/>
      </c>
      <c r="H97" s="33" t="str">
        <f t="shared" si="64"/>
        <v/>
      </c>
      <c r="I97" s="36" t="str">
        <f t="shared" si="87"/>
        <v/>
      </c>
      <c r="J97" s="36" t="str">
        <f t="shared" si="88"/>
        <v/>
      </c>
      <c r="K97" s="33" t="str">
        <f t="shared" si="65"/>
        <v/>
      </c>
      <c r="L97" s="36" t="str">
        <f t="shared" si="66"/>
        <v/>
      </c>
      <c r="M97" s="36" t="str">
        <f t="shared" si="89"/>
        <v/>
      </c>
      <c r="N97" s="33" t="str">
        <f t="shared" si="90"/>
        <v/>
      </c>
      <c r="O97" s="36" t="str">
        <f t="shared" si="91"/>
        <v/>
      </c>
      <c r="P97" s="36" t="str">
        <f t="shared" si="92"/>
        <v/>
      </c>
      <c r="Q97" s="33" t="str">
        <f t="shared" si="93"/>
        <v/>
      </c>
      <c r="R97" s="1"/>
      <c r="S97" s="1"/>
      <c r="Y97" s="1" t="e">
        <f>VLOOKUP($B$6,LOOKUP_SCE,90,0)</f>
        <v>#N/A</v>
      </c>
      <c r="Z97" s="22" t="str">
        <f t="shared" si="67"/>
        <v/>
      </c>
      <c r="AA97" s="23">
        <f t="shared" si="94"/>
        <v>7</v>
      </c>
      <c r="AB97" s="55" t="e">
        <f t="shared" si="68"/>
        <v>#N/A</v>
      </c>
      <c r="AC97" s="38" t="e">
        <f t="shared" si="95"/>
        <v>#N/A</v>
      </c>
      <c r="AD97" s="38" t="e">
        <f t="shared" si="96"/>
        <v>#N/A</v>
      </c>
      <c r="AE97" s="415" t="e">
        <f t="shared" si="69"/>
        <v>#N/A</v>
      </c>
      <c r="AF97" s="10">
        <f t="shared" si="97"/>
        <v>7</v>
      </c>
      <c r="AG97" s="38" t="e">
        <f t="shared" si="70"/>
        <v>#N/A</v>
      </c>
      <c r="AH97" s="38" t="e">
        <f t="shared" si="98"/>
        <v>#N/A</v>
      </c>
      <c r="AI97" s="10" t="e">
        <f t="shared" si="71"/>
        <v>#N/A</v>
      </c>
      <c r="AJ97" s="39" t="e">
        <f t="shared" si="99"/>
        <v>#N/A</v>
      </c>
      <c r="AK97" s="40" t="e">
        <f t="shared" si="72"/>
        <v>#N/A</v>
      </c>
      <c r="AL97" s="11" t="e">
        <f t="shared" si="73"/>
        <v>#N/A</v>
      </c>
      <c r="AM97" s="41">
        <f t="shared" si="100"/>
        <v>7</v>
      </c>
      <c r="AN97" s="57" t="e">
        <f t="shared" si="74"/>
        <v>#N/A</v>
      </c>
      <c r="AO97" s="40" t="e">
        <f t="shared" si="101"/>
        <v>#N/A</v>
      </c>
      <c r="AP97" s="417" t="e">
        <f t="shared" si="75"/>
        <v>#N/A</v>
      </c>
      <c r="AQ97" s="56">
        <f t="shared" si="102"/>
        <v>7</v>
      </c>
      <c r="AR97" s="43" t="e">
        <f t="shared" si="103"/>
        <v>#N/A</v>
      </c>
      <c r="AS97" s="44" t="e">
        <f t="shared" si="104"/>
        <v>#N/A</v>
      </c>
      <c r="AT97" s="45" t="e">
        <f t="shared" si="76"/>
        <v>#N/A</v>
      </c>
      <c r="AU97" s="14">
        <f t="shared" si="105"/>
        <v>7</v>
      </c>
      <c r="AV97" s="44" t="e">
        <f t="shared" si="77"/>
        <v>#N/A</v>
      </c>
      <c r="AW97" s="14" t="e">
        <f t="shared" si="106"/>
        <v>#N/A</v>
      </c>
      <c r="AX97" s="14" t="e">
        <f t="shared" si="78"/>
        <v>#N/A</v>
      </c>
      <c r="AY97" s="46">
        <f t="shared" si="107"/>
        <v>7</v>
      </c>
      <c r="AZ97" s="47" t="e">
        <f t="shared" si="108"/>
        <v>#N/A</v>
      </c>
      <c r="BA97" s="48" t="e">
        <f t="shared" si="109"/>
        <v>#N/A</v>
      </c>
      <c r="BB97" s="31" t="e">
        <f t="shared" si="79"/>
        <v>#N/A</v>
      </c>
      <c r="BC97" s="28">
        <f t="shared" si="110"/>
        <v>7</v>
      </c>
      <c r="BD97" s="47" t="e">
        <f t="shared" si="111"/>
        <v>#N/A</v>
      </c>
      <c r="BE97" s="48" t="e">
        <f t="shared" si="112"/>
        <v>#N/A</v>
      </c>
      <c r="BF97" s="31" t="e">
        <f t="shared" si="80"/>
        <v>#N/A</v>
      </c>
      <c r="BG97" s="49" t="e">
        <f t="shared" si="81"/>
        <v>#N/A</v>
      </c>
      <c r="BH97" s="1" t="e">
        <f>VLOOKUP($B97,STOCK_BY_LA!$A$2:$C$10477,3,0)</f>
        <v>#N/A</v>
      </c>
      <c r="BI97" s="1" t="str">
        <f t="shared" si="113"/>
        <v/>
      </c>
    </row>
    <row r="98" spans="1:61" x14ac:dyDescent="0.35">
      <c r="A98" s="1" t="str">
        <f t="shared" si="82"/>
        <v/>
      </c>
      <c r="B98" s="1" t="str">
        <f t="shared" si="114"/>
        <v/>
      </c>
      <c r="C98" s="50" t="str">
        <f t="shared" si="83"/>
        <v/>
      </c>
      <c r="D98" s="33" t="str">
        <f>IF(B98="","",IF('totals_&amp;_RP_counts'!$O$3=0,IFERROR(IF(AA98=2,"0",AB98),""),"-"))</f>
        <v/>
      </c>
      <c r="E98" s="35" t="str">
        <f t="shared" si="84"/>
        <v/>
      </c>
      <c r="F98" s="36" t="str">
        <f t="shared" si="85"/>
        <v/>
      </c>
      <c r="G98" s="36" t="str">
        <f t="shared" si="86"/>
        <v/>
      </c>
      <c r="H98" s="33" t="str">
        <f t="shared" si="64"/>
        <v/>
      </c>
      <c r="I98" s="36" t="str">
        <f t="shared" si="87"/>
        <v/>
      </c>
      <c r="J98" s="36" t="str">
        <f t="shared" si="88"/>
        <v/>
      </c>
      <c r="K98" s="33" t="str">
        <f t="shared" si="65"/>
        <v/>
      </c>
      <c r="L98" s="36" t="str">
        <f t="shared" si="66"/>
        <v/>
      </c>
      <c r="M98" s="36" t="str">
        <f t="shared" si="89"/>
        <v/>
      </c>
      <c r="N98" s="33" t="str">
        <f t="shared" si="90"/>
        <v/>
      </c>
      <c r="O98" s="36" t="str">
        <f t="shared" si="91"/>
        <v/>
      </c>
      <c r="P98" s="36" t="str">
        <f t="shared" si="92"/>
        <v/>
      </c>
      <c r="Q98" s="33" t="str">
        <f t="shared" si="93"/>
        <v/>
      </c>
      <c r="R98" s="1"/>
      <c r="S98" s="1"/>
      <c r="Y98" s="1" t="e">
        <f>VLOOKUP($B$6,LOOKUP_SCE,91,0)</f>
        <v>#N/A</v>
      </c>
      <c r="Z98" s="22" t="str">
        <f t="shared" si="67"/>
        <v/>
      </c>
      <c r="AA98" s="23">
        <f t="shared" si="94"/>
        <v>7</v>
      </c>
      <c r="AB98" s="55" t="e">
        <f t="shared" si="68"/>
        <v>#N/A</v>
      </c>
      <c r="AC98" s="38" t="e">
        <f t="shared" si="95"/>
        <v>#N/A</v>
      </c>
      <c r="AD98" s="38" t="e">
        <f t="shared" si="96"/>
        <v>#N/A</v>
      </c>
      <c r="AE98" s="415" t="e">
        <f t="shared" si="69"/>
        <v>#N/A</v>
      </c>
      <c r="AF98" s="10">
        <f t="shared" si="97"/>
        <v>7</v>
      </c>
      <c r="AG98" s="38" t="e">
        <f t="shared" si="70"/>
        <v>#N/A</v>
      </c>
      <c r="AH98" s="38" t="e">
        <f t="shared" si="98"/>
        <v>#N/A</v>
      </c>
      <c r="AI98" s="10" t="e">
        <f t="shared" si="71"/>
        <v>#N/A</v>
      </c>
      <c r="AJ98" s="39" t="e">
        <f t="shared" si="99"/>
        <v>#N/A</v>
      </c>
      <c r="AK98" s="40" t="e">
        <f t="shared" si="72"/>
        <v>#N/A</v>
      </c>
      <c r="AL98" s="11" t="e">
        <f t="shared" si="73"/>
        <v>#N/A</v>
      </c>
      <c r="AM98" s="41">
        <f t="shared" si="100"/>
        <v>7</v>
      </c>
      <c r="AN98" s="57" t="e">
        <f t="shared" si="74"/>
        <v>#N/A</v>
      </c>
      <c r="AO98" s="40" t="e">
        <f t="shared" si="101"/>
        <v>#N/A</v>
      </c>
      <c r="AP98" s="417" t="e">
        <f t="shared" si="75"/>
        <v>#N/A</v>
      </c>
      <c r="AQ98" s="56">
        <f t="shared" si="102"/>
        <v>7</v>
      </c>
      <c r="AR98" s="43" t="e">
        <f t="shared" si="103"/>
        <v>#N/A</v>
      </c>
      <c r="AS98" s="44" t="e">
        <f t="shared" si="104"/>
        <v>#N/A</v>
      </c>
      <c r="AT98" s="45" t="e">
        <f t="shared" si="76"/>
        <v>#N/A</v>
      </c>
      <c r="AU98" s="14">
        <f t="shared" si="105"/>
        <v>7</v>
      </c>
      <c r="AV98" s="44" t="e">
        <f t="shared" si="77"/>
        <v>#N/A</v>
      </c>
      <c r="AW98" s="14" t="e">
        <f t="shared" si="106"/>
        <v>#N/A</v>
      </c>
      <c r="AX98" s="14" t="e">
        <f t="shared" si="78"/>
        <v>#N/A</v>
      </c>
      <c r="AY98" s="46">
        <f t="shared" si="107"/>
        <v>7</v>
      </c>
      <c r="AZ98" s="47" t="e">
        <f t="shared" si="108"/>
        <v>#N/A</v>
      </c>
      <c r="BA98" s="48" t="e">
        <f t="shared" si="109"/>
        <v>#N/A</v>
      </c>
      <c r="BB98" s="31" t="e">
        <f t="shared" si="79"/>
        <v>#N/A</v>
      </c>
      <c r="BC98" s="28">
        <f t="shared" si="110"/>
        <v>7</v>
      </c>
      <c r="BD98" s="47" t="e">
        <f t="shared" si="111"/>
        <v>#N/A</v>
      </c>
      <c r="BE98" s="48" t="e">
        <f t="shared" si="112"/>
        <v>#N/A</v>
      </c>
      <c r="BF98" s="31" t="e">
        <f t="shared" si="80"/>
        <v>#N/A</v>
      </c>
      <c r="BG98" s="49" t="e">
        <f t="shared" si="81"/>
        <v>#N/A</v>
      </c>
      <c r="BH98" s="1" t="e">
        <f>VLOOKUP($B98,STOCK_BY_LA!$A$2:$C$10477,3,0)</f>
        <v>#N/A</v>
      </c>
      <c r="BI98" s="1" t="str">
        <f t="shared" si="113"/>
        <v/>
      </c>
    </row>
    <row r="99" spans="1:61" x14ac:dyDescent="0.35">
      <c r="A99" s="33" t="str">
        <f t="shared" si="82"/>
        <v/>
      </c>
      <c r="B99" s="1" t="str">
        <f t="shared" si="114"/>
        <v/>
      </c>
      <c r="C99" s="34" t="str">
        <f t="shared" si="83"/>
        <v/>
      </c>
      <c r="D99" s="33" t="str">
        <f>IF(B99="","",IF('totals_&amp;_RP_counts'!$O$3=0,IFERROR(IF(AA99=2,"0",AB99),""),"-"))</f>
        <v/>
      </c>
      <c r="E99" s="35" t="str">
        <f t="shared" si="84"/>
        <v/>
      </c>
      <c r="F99" s="36" t="str">
        <f t="shared" si="85"/>
        <v/>
      </c>
      <c r="G99" s="36" t="str">
        <f t="shared" si="86"/>
        <v/>
      </c>
      <c r="H99" s="33" t="str">
        <f t="shared" si="64"/>
        <v/>
      </c>
      <c r="I99" s="36" t="str">
        <f t="shared" si="87"/>
        <v/>
      </c>
      <c r="J99" s="36" t="str">
        <f t="shared" si="88"/>
        <v/>
      </c>
      <c r="K99" s="33" t="str">
        <f t="shared" si="65"/>
        <v/>
      </c>
      <c r="L99" s="36" t="str">
        <f t="shared" si="66"/>
        <v/>
      </c>
      <c r="M99" s="36" t="str">
        <f t="shared" si="89"/>
        <v/>
      </c>
      <c r="N99" s="33" t="str">
        <f t="shared" si="90"/>
        <v/>
      </c>
      <c r="O99" s="36" t="str">
        <f t="shared" si="91"/>
        <v/>
      </c>
      <c r="P99" s="36" t="str">
        <f t="shared" si="92"/>
        <v/>
      </c>
      <c r="Q99" s="33" t="str">
        <f t="shared" si="93"/>
        <v/>
      </c>
      <c r="R99" s="1"/>
      <c r="S99" s="1"/>
      <c r="Y99" s="1" t="e">
        <f>VLOOKUP($B$6,LOOKUP_SCE,92,0)</f>
        <v>#N/A</v>
      </c>
      <c r="Z99" s="22" t="str">
        <f t="shared" si="67"/>
        <v/>
      </c>
      <c r="AA99" s="23">
        <f t="shared" si="94"/>
        <v>7</v>
      </c>
      <c r="AB99" s="55" t="e">
        <f t="shared" si="68"/>
        <v>#N/A</v>
      </c>
      <c r="AC99" s="38" t="e">
        <f t="shared" si="95"/>
        <v>#N/A</v>
      </c>
      <c r="AD99" s="38" t="e">
        <f t="shared" si="96"/>
        <v>#N/A</v>
      </c>
      <c r="AE99" s="415" t="e">
        <f t="shared" si="69"/>
        <v>#N/A</v>
      </c>
      <c r="AF99" s="10">
        <f t="shared" si="97"/>
        <v>7</v>
      </c>
      <c r="AG99" s="38" t="e">
        <f t="shared" si="70"/>
        <v>#N/A</v>
      </c>
      <c r="AH99" s="38" t="e">
        <f t="shared" si="98"/>
        <v>#N/A</v>
      </c>
      <c r="AI99" s="10" t="e">
        <f t="shared" si="71"/>
        <v>#N/A</v>
      </c>
      <c r="AJ99" s="39" t="e">
        <f t="shared" si="99"/>
        <v>#N/A</v>
      </c>
      <c r="AK99" s="40" t="e">
        <f t="shared" si="72"/>
        <v>#N/A</v>
      </c>
      <c r="AL99" s="11" t="e">
        <f t="shared" si="73"/>
        <v>#N/A</v>
      </c>
      <c r="AM99" s="41">
        <f t="shared" si="100"/>
        <v>7</v>
      </c>
      <c r="AN99" s="57" t="e">
        <f t="shared" si="74"/>
        <v>#N/A</v>
      </c>
      <c r="AO99" s="40" t="e">
        <f t="shared" si="101"/>
        <v>#N/A</v>
      </c>
      <c r="AP99" s="417" t="e">
        <f t="shared" si="75"/>
        <v>#N/A</v>
      </c>
      <c r="AQ99" s="56">
        <f t="shared" si="102"/>
        <v>7</v>
      </c>
      <c r="AR99" s="43" t="e">
        <f t="shared" si="103"/>
        <v>#N/A</v>
      </c>
      <c r="AS99" s="44" t="e">
        <f t="shared" si="104"/>
        <v>#N/A</v>
      </c>
      <c r="AT99" s="45" t="e">
        <f t="shared" si="76"/>
        <v>#N/A</v>
      </c>
      <c r="AU99" s="14">
        <f t="shared" si="105"/>
        <v>7</v>
      </c>
      <c r="AV99" s="44" t="e">
        <f t="shared" si="77"/>
        <v>#N/A</v>
      </c>
      <c r="AW99" s="14" t="e">
        <f t="shared" si="106"/>
        <v>#N/A</v>
      </c>
      <c r="AX99" s="14" t="e">
        <f t="shared" si="78"/>
        <v>#N/A</v>
      </c>
      <c r="AY99" s="46">
        <f t="shared" si="107"/>
        <v>7</v>
      </c>
      <c r="AZ99" s="47" t="e">
        <f t="shared" si="108"/>
        <v>#N/A</v>
      </c>
      <c r="BA99" s="48" t="e">
        <f t="shared" si="109"/>
        <v>#N/A</v>
      </c>
      <c r="BB99" s="31" t="e">
        <f t="shared" si="79"/>
        <v>#N/A</v>
      </c>
      <c r="BC99" s="28">
        <f t="shared" si="110"/>
        <v>7</v>
      </c>
      <c r="BD99" s="47" t="e">
        <f t="shared" si="111"/>
        <v>#N/A</v>
      </c>
      <c r="BE99" s="48" t="e">
        <f t="shared" si="112"/>
        <v>#N/A</v>
      </c>
      <c r="BF99" s="31" t="e">
        <f t="shared" si="80"/>
        <v>#N/A</v>
      </c>
      <c r="BG99" s="49" t="e">
        <f t="shared" si="81"/>
        <v>#N/A</v>
      </c>
      <c r="BH99" s="1" t="e">
        <f>VLOOKUP($B99,STOCK_BY_LA!$A$2:$C$10477,3,0)</f>
        <v>#N/A</v>
      </c>
      <c r="BI99" s="1" t="str">
        <f t="shared" si="113"/>
        <v/>
      </c>
    </row>
    <row r="100" spans="1:61" x14ac:dyDescent="0.35">
      <c r="A100" s="1" t="str">
        <f t="shared" si="82"/>
        <v/>
      </c>
      <c r="B100" s="1" t="str">
        <f t="shared" si="114"/>
        <v/>
      </c>
      <c r="C100" s="50" t="str">
        <f t="shared" si="83"/>
        <v/>
      </c>
      <c r="D100" s="33" t="str">
        <f>IF(B100="","",IF('totals_&amp;_RP_counts'!$O$3=0,IFERROR(IF(AA100=2,"0",AB100),""),"-"))</f>
        <v/>
      </c>
      <c r="E100" s="35" t="str">
        <f t="shared" si="84"/>
        <v/>
      </c>
      <c r="F100" s="36" t="str">
        <f t="shared" si="85"/>
        <v/>
      </c>
      <c r="G100" s="36" t="str">
        <f t="shared" si="86"/>
        <v/>
      </c>
      <c r="H100" s="33" t="str">
        <f t="shared" si="64"/>
        <v/>
      </c>
      <c r="I100" s="36" t="str">
        <f t="shared" si="87"/>
        <v/>
      </c>
      <c r="J100" s="36" t="str">
        <f t="shared" si="88"/>
        <v/>
      </c>
      <c r="K100" s="33" t="str">
        <f t="shared" si="65"/>
        <v/>
      </c>
      <c r="L100" s="36" t="str">
        <f t="shared" si="66"/>
        <v/>
      </c>
      <c r="M100" s="36" t="str">
        <f t="shared" si="89"/>
        <v/>
      </c>
      <c r="N100" s="33" t="str">
        <f t="shared" si="90"/>
        <v/>
      </c>
      <c r="O100" s="36" t="str">
        <f t="shared" si="91"/>
        <v/>
      </c>
      <c r="P100" s="36" t="str">
        <f t="shared" si="92"/>
        <v/>
      </c>
      <c r="Q100" s="33" t="str">
        <f t="shared" si="93"/>
        <v/>
      </c>
      <c r="R100" s="1"/>
      <c r="S100" s="1"/>
      <c r="Y100" s="1" t="e">
        <f>VLOOKUP($B$6,LOOKUP_SCE,96,0)</f>
        <v>#N/A</v>
      </c>
      <c r="Z100" s="22" t="str">
        <f t="shared" si="67"/>
        <v/>
      </c>
      <c r="AA100" s="23">
        <f t="shared" si="94"/>
        <v>7</v>
      </c>
      <c r="AB100" s="55" t="e">
        <f t="shared" si="68"/>
        <v>#N/A</v>
      </c>
      <c r="AC100" s="38" t="e">
        <f t="shared" si="95"/>
        <v>#N/A</v>
      </c>
      <c r="AD100" s="38" t="e">
        <f t="shared" si="96"/>
        <v>#N/A</v>
      </c>
      <c r="AE100" s="415" t="e">
        <f t="shared" si="69"/>
        <v>#N/A</v>
      </c>
      <c r="AF100" s="10">
        <f t="shared" si="97"/>
        <v>7</v>
      </c>
      <c r="AG100" s="38" t="e">
        <f t="shared" si="70"/>
        <v>#N/A</v>
      </c>
      <c r="AH100" s="38" t="e">
        <f t="shared" si="98"/>
        <v>#N/A</v>
      </c>
      <c r="AI100" s="10" t="e">
        <f t="shared" si="71"/>
        <v>#N/A</v>
      </c>
      <c r="AJ100" s="39" t="e">
        <f t="shared" si="99"/>
        <v>#N/A</v>
      </c>
      <c r="AK100" s="40" t="e">
        <f t="shared" si="72"/>
        <v>#N/A</v>
      </c>
      <c r="AL100" s="11" t="e">
        <f t="shared" si="73"/>
        <v>#N/A</v>
      </c>
      <c r="AM100" s="41">
        <f t="shared" si="100"/>
        <v>7</v>
      </c>
      <c r="AN100" s="57" t="e">
        <f t="shared" si="74"/>
        <v>#N/A</v>
      </c>
      <c r="AO100" s="40" t="e">
        <f t="shared" si="101"/>
        <v>#N/A</v>
      </c>
      <c r="AP100" s="417" t="e">
        <f t="shared" si="75"/>
        <v>#N/A</v>
      </c>
      <c r="AQ100" s="56">
        <f t="shared" si="102"/>
        <v>7</v>
      </c>
      <c r="AR100" s="43" t="e">
        <f t="shared" si="103"/>
        <v>#N/A</v>
      </c>
      <c r="AS100" s="44" t="e">
        <f t="shared" si="104"/>
        <v>#N/A</v>
      </c>
      <c r="AT100" s="45" t="e">
        <f t="shared" si="76"/>
        <v>#N/A</v>
      </c>
      <c r="AU100" s="14">
        <f t="shared" si="105"/>
        <v>7</v>
      </c>
      <c r="AV100" s="44" t="e">
        <f t="shared" si="77"/>
        <v>#N/A</v>
      </c>
      <c r="AW100" s="14" t="e">
        <f t="shared" si="106"/>
        <v>#N/A</v>
      </c>
      <c r="AX100" s="14" t="e">
        <f t="shared" si="78"/>
        <v>#N/A</v>
      </c>
      <c r="AY100" s="46">
        <f t="shared" si="107"/>
        <v>7</v>
      </c>
      <c r="AZ100" s="47" t="e">
        <f t="shared" si="108"/>
        <v>#N/A</v>
      </c>
      <c r="BA100" s="48" t="e">
        <f t="shared" si="109"/>
        <v>#N/A</v>
      </c>
      <c r="BB100" s="31" t="e">
        <f t="shared" si="79"/>
        <v>#N/A</v>
      </c>
      <c r="BC100" s="28">
        <f t="shared" si="110"/>
        <v>7</v>
      </c>
      <c r="BD100" s="47" t="e">
        <f t="shared" si="111"/>
        <v>#N/A</v>
      </c>
      <c r="BE100" s="48" t="e">
        <f t="shared" si="112"/>
        <v>#N/A</v>
      </c>
      <c r="BF100" s="31" t="e">
        <f t="shared" si="80"/>
        <v>#N/A</v>
      </c>
      <c r="BG100" s="49" t="e">
        <f t="shared" si="81"/>
        <v>#N/A</v>
      </c>
      <c r="BH100" s="1" t="e">
        <f>VLOOKUP($B100,STOCK_BY_LA!$A$2:$C$10477,3,0)</f>
        <v>#N/A</v>
      </c>
      <c r="BI100" s="1" t="str">
        <f t="shared" si="113"/>
        <v/>
      </c>
    </row>
    <row r="101" spans="1:61" x14ac:dyDescent="0.35">
      <c r="A101" s="33" t="str">
        <f t="shared" si="82"/>
        <v/>
      </c>
      <c r="B101" s="1" t="str">
        <f t="shared" si="114"/>
        <v/>
      </c>
      <c r="C101" s="34" t="str">
        <f t="shared" si="83"/>
        <v/>
      </c>
      <c r="D101" s="33" t="str">
        <f>IF(B101="","",IF('totals_&amp;_RP_counts'!$O$3=0,IFERROR(IF(AA101=2,"0",AB101),""),"-"))</f>
        <v/>
      </c>
      <c r="E101" s="35" t="str">
        <f t="shared" si="84"/>
        <v/>
      </c>
      <c r="F101" s="36" t="str">
        <f t="shared" si="85"/>
        <v/>
      </c>
      <c r="G101" s="36" t="str">
        <f t="shared" si="86"/>
        <v/>
      </c>
      <c r="H101" s="33" t="str">
        <f t="shared" si="64"/>
        <v/>
      </c>
      <c r="I101" s="36" t="str">
        <f t="shared" si="87"/>
        <v/>
      </c>
      <c r="J101" s="36" t="str">
        <f t="shared" si="88"/>
        <v/>
      </c>
      <c r="K101" s="33" t="str">
        <f t="shared" si="65"/>
        <v/>
      </c>
      <c r="L101" s="36" t="str">
        <f t="shared" si="66"/>
        <v/>
      </c>
      <c r="M101" s="36" t="str">
        <f t="shared" si="89"/>
        <v/>
      </c>
      <c r="N101" s="33" t="str">
        <f t="shared" si="90"/>
        <v/>
      </c>
      <c r="O101" s="36" t="str">
        <f t="shared" si="91"/>
        <v/>
      </c>
      <c r="P101" s="36" t="str">
        <f t="shared" si="92"/>
        <v/>
      </c>
      <c r="Q101" s="33" t="str">
        <f t="shared" si="93"/>
        <v/>
      </c>
      <c r="R101" s="1"/>
      <c r="S101" s="1"/>
      <c r="Y101" s="1" t="e">
        <f>VLOOKUP($B$6,LOOKUP_SCE,94,0)</f>
        <v>#N/A</v>
      </c>
      <c r="Z101" s="22" t="str">
        <f t="shared" si="67"/>
        <v/>
      </c>
      <c r="AA101" s="23">
        <f t="shared" si="94"/>
        <v>7</v>
      </c>
      <c r="AB101" s="55" t="e">
        <f t="shared" si="68"/>
        <v>#N/A</v>
      </c>
      <c r="AC101" s="38" t="e">
        <f t="shared" si="95"/>
        <v>#N/A</v>
      </c>
      <c r="AD101" s="38" t="e">
        <f t="shared" si="96"/>
        <v>#N/A</v>
      </c>
      <c r="AE101" s="415" t="e">
        <f t="shared" si="69"/>
        <v>#N/A</v>
      </c>
      <c r="AF101" s="10">
        <f t="shared" si="97"/>
        <v>7</v>
      </c>
      <c r="AG101" s="38" t="e">
        <f t="shared" si="70"/>
        <v>#N/A</v>
      </c>
      <c r="AH101" s="38" t="e">
        <f t="shared" si="98"/>
        <v>#N/A</v>
      </c>
      <c r="AI101" s="10" t="e">
        <f t="shared" si="71"/>
        <v>#N/A</v>
      </c>
      <c r="AJ101" s="39" t="e">
        <f t="shared" si="99"/>
        <v>#N/A</v>
      </c>
      <c r="AK101" s="40" t="e">
        <f t="shared" si="72"/>
        <v>#N/A</v>
      </c>
      <c r="AL101" s="11" t="e">
        <f t="shared" si="73"/>
        <v>#N/A</v>
      </c>
      <c r="AM101" s="41">
        <f t="shared" si="100"/>
        <v>7</v>
      </c>
      <c r="AN101" s="57" t="e">
        <f t="shared" si="74"/>
        <v>#N/A</v>
      </c>
      <c r="AO101" s="40" t="e">
        <f t="shared" si="101"/>
        <v>#N/A</v>
      </c>
      <c r="AP101" s="417" t="e">
        <f t="shared" si="75"/>
        <v>#N/A</v>
      </c>
      <c r="AQ101" s="56">
        <f t="shared" si="102"/>
        <v>7</v>
      </c>
      <c r="AR101" s="43" t="e">
        <f t="shared" si="103"/>
        <v>#N/A</v>
      </c>
      <c r="AS101" s="44" t="e">
        <f t="shared" si="104"/>
        <v>#N/A</v>
      </c>
      <c r="AT101" s="45" t="e">
        <f t="shared" si="76"/>
        <v>#N/A</v>
      </c>
      <c r="AU101" s="14">
        <f t="shared" si="105"/>
        <v>7</v>
      </c>
      <c r="AV101" s="44" t="e">
        <f t="shared" si="77"/>
        <v>#N/A</v>
      </c>
      <c r="AW101" s="14" t="e">
        <f t="shared" si="106"/>
        <v>#N/A</v>
      </c>
      <c r="AX101" s="14" t="e">
        <f t="shared" si="78"/>
        <v>#N/A</v>
      </c>
      <c r="AY101" s="46">
        <f t="shared" si="107"/>
        <v>7</v>
      </c>
      <c r="AZ101" s="47" t="e">
        <f t="shared" si="108"/>
        <v>#N/A</v>
      </c>
      <c r="BA101" s="48" t="e">
        <f t="shared" si="109"/>
        <v>#N/A</v>
      </c>
      <c r="BB101" s="31" t="e">
        <f t="shared" si="79"/>
        <v>#N/A</v>
      </c>
      <c r="BC101" s="28">
        <f t="shared" si="110"/>
        <v>7</v>
      </c>
      <c r="BD101" s="47" t="e">
        <f t="shared" si="111"/>
        <v>#N/A</v>
      </c>
      <c r="BE101" s="48" t="e">
        <f t="shared" si="112"/>
        <v>#N/A</v>
      </c>
      <c r="BF101" s="31" t="e">
        <f t="shared" si="80"/>
        <v>#N/A</v>
      </c>
      <c r="BG101" s="49" t="e">
        <f t="shared" si="81"/>
        <v>#N/A</v>
      </c>
      <c r="BH101" s="1" t="e">
        <f>VLOOKUP($B101,STOCK_BY_LA!$A$2:$C$10477,3,0)</f>
        <v>#N/A</v>
      </c>
      <c r="BI101" s="1" t="str">
        <f t="shared" si="113"/>
        <v/>
      </c>
    </row>
    <row r="102" spans="1:61" x14ac:dyDescent="0.35">
      <c r="A102" s="1" t="str">
        <f t="shared" si="82"/>
        <v/>
      </c>
      <c r="B102" s="1" t="str">
        <f t="shared" si="114"/>
        <v/>
      </c>
      <c r="C102" s="50" t="str">
        <f t="shared" si="83"/>
        <v/>
      </c>
      <c r="D102" s="33" t="str">
        <f>IF(B102="","",IF('totals_&amp;_RP_counts'!$O$3=0,IFERROR(IF(AA102=2,"0",AB102),""),"-"))</f>
        <v/>
      </c>
      <c r="E102" s="35" t="str">
        <f t="shared" si="84"/>
        <v/>
      </c>
      <c r="F102" s="36" t="str">
        <f t="shared" si="85"/>
        <v/>
      </c>
      <c r="G102" s="36" t="str">
        <f t="shared" si="86"/>
        <v/>
      </c>
      <c r="H102" s="33" t="str">
        <f t="shared" si="64"/>
        <v/>
      </c>
      <c r="I102" s="36" t="str">
        <f t="shared" si="87"/>
        <v/>
      </c>
      <c r="J102" s="36" t="str">
        <f t="shared" si="88"/>
        <v/>
      </c>
      <c r="K102" s="33" t="str">
        <f t="shared" si="65"/>
        <v/>
      </c>
      <c r="L102" s="36" t="str">
        <f t="shared" si="66"/>
        <v/>
      </c>
      <c r="M102" s="36" t="str">
        <f t="shared" si="89"/>
        <v/>
      </c>
      <c r="N102" s="33" t="str">
        <f t="shared" si="90"/>
        <v/>
      </c>
      <c r="O102" s="36" t="str">
        <f t="shared" si="91"/>
        <v/>
      </c>
      <c r="P102" s="36" t="str">
        <f t="shared" si="92"/>
        <v/>
      </c>
      <c r="Q102" s="33" t="str">
        <f t="shared" si="93"/>
        <v/>
      </c>
      <c r="R102" s="1"/>
      <c r="S102" s="1"/>
      <c r="Y102" s="1" t="e">
        <f>VLOOKUP($B$6,LOOKUP_SCE,95,0)</f>
        <v>#N/A</v>
      </c>
      <c r="Z102" s="22" t="str">
        <f t="shared" si="67"/>
        <v/>
      </c>
      <c r="AA102" s="23">
        <f t="shared" si="94"/>
        <v>7</v>
      </c>
      <c r="AB102" s="55" t="e">
        <f t="shared" si="68"/>
        <v>#N/A</v>
      </c>
      <c r="AC102" s="38" t="e">
        <f t="shared" si="95"/>
        <v>#N/A</v>
      </c>
      <c r="AD102" s="38" t="e">
        <f t="shared" si="96"/>
        <v>#N/A</v>
      </c>
      <c r="AE102" s="415" t="e">
        <f t="shared" si="69"/>
        <v>#N/A</v>
      </c>
      <c r="AF102" s="10">
        <f t="shared" si="97"/>
        <v>7</v>
      </c>
      <c r="AG102" s="38" t="e">
        <f t="shared" si="70"/>
        <v>#N/A</v>
      </c>
      <c r="AH102" s="38" t="e">
        <f t="shared" si="98"/>
        <v>#N/A</v>
      </c>
      <c r="AI102" s="10" t="e">
        <f t="shared" si="71"/>
        <v>#N/A</v>
      </c>
      <c r="AJ102" s="39" t="e">
        <f t="shared" si="99"/>
        <v>#N/A</v>
      </c>
      <c r="AK102" s="40" t="e">
        <f t="shared" si="72"/>
        <v>#N/A</v>
      </c>
      <c r="AL102" s="11" t="e">
        <f t="shared" si="73"/>
        <v>#N/A</v>
      </c>
      <c r="AM102" s="41">
        <f t="shared" si="100"/>
        <v>7</v>
      </c>
      <c r="AN102" s="57" t="e">
        <f t="shared" si="74"/>
        <v>#N/A</v>
      </c>
      <c r="AO102" s="40" t="e">
        <f t="shared" si="101"/>
        <v>#N/A</v>
      </c>
      <c r="AP102" s="417" t="e">
        <f t="shared" si="75"/>
        <v>#N/A</v>
      </c>
      <c r="AQ102" s="56">
        <f t="shared" si="102"/>
        <v>7</v>
      </c>
      <c r="AR102" s="43" t="e">
        <f t="shared" si="103"/>
        <v>#N/A</v>
      </c>
      <c r="AS102" s="44" t="e">
        <f t="shared" si="104"/>
        <v>#N/A</v>
      </c>
      <c r="AT102" s="45" t="e">
        <f t="shared" si="76"/>
        <v>#N/A</v>
      </c>
      <c r="AU102" s="14">
        <f t="shared" si="105"/>
        <v>7</v>
      </c>
      <c r="AV102" s="44" t="e">
        <f t="shared" si="77"/>
        <v>#N/A</v>
      </c>
      <c r="AW102" s="14" t="e">
        <f t="shared" si="106"/>
        <v>#N/A</v>
      </c>
      <c r="AX102" s="14" t="e">
        <f t="shared" si="78"/>
        <v>#N/A</v>
      </c>
      <c r="AY102" s="46">
        <f t="shared" si="107"/>
        <v>7</v>
      </c>
      <c r="AZ102" s="47" t="e">
        <f t="shared" si="108"/>
        <v>#N/A</v>
      </c>
      <c r="BA102" s="48" t="e">
        <f t="shared" si="109"/>
        <v>#N/A</v>
      </c>
      <c r="BB102" s="31" t="e">
        <f t="shared" si="79"/>
        <v>#N/A</v>
      </c>
      <c r="BC102" s="28">
        <f t="shared" si="110"/>
        <v>7</v>
      </c>
      <c r="BD102" s="47" t="e">
        <f t="shared" si="111"/>
        <v>#N/A</v>
      </c>
      <c r="BE102" s="48" t="e">
        <f t="shared" si="112"/>
        <v>#N/A</v>
      </c>
      <c r="BF102" s="31" t="e">
        <f t="shared" si="80"/>
        <v>#N/A</v>
      </c>
      <c r="BG102" s="49" t="e">
        <f t="shared" si="81"/>
        <v>#N/A</v>
      </c>
      <c r="BH102" s="1" t="e">
        <f>VLOOKUP($B102,STOCK_BY_LA!$A$2:$C$10477,3,0)</f>
        <v>#N/A</v>
      </c>
      <c r="BI102" s="1" t="str">
        <f t="shared" si="113"/>
        <v/>
      </c>
    </row>
    <row r="103" spans="1:61" x14ac:dyDescent="0.35">
      <c r="A103" s="33" t="str">
        <f t="shared" si="82"/>
        <v/>
      </c>
      <c r="B103" s="1" t="str">
        <f t="shared" si="114"/>
        <v/>
      </c>
      <c r="C103" s="34" t="str">
        <f t="shared" si="83"/>
        <v/>
      </c>
      <c r="D103" s="33" t="str">
        <f>IF(B103="","",IF('totals_&amp;_RP_counts'!$O$3=0,IFERROR(IF(AA103=2,"0",AB103),""),"-"))</f>
        <v/>
      </c>
      <c r="E103" s="35" t="str">
        <f t="shared" si="84"/>
        <v/>
      </c>
      <c r="F103" s="36" t="str">
        <f t="shared" si="85"/>
        <v/>
      </c>
      <c r="G103" s="36" t="str">
        <f t="shared" si="86"/>
        <v/>
      </c>
      <c r="H103" s="33" t="str">
        <f t="shared" si="64"/>
        <v/>
      </c>
      <c r="I103" s="36" t="str">
        <f t="shared" si="87"/>
        <v/>
      </c>
      <c r="J103" s="36" t="str">
        <f t="shared" si="88"/>
        <v/>
      </c>
      <c r="K103" s="33" t="str">
        <f t="shared" si="65"/>
        <v/>
      </c>
      <c r="L103" s="36" t="str">
        <f t="shared" si="66"/>
        <v/>
      </c>
      <c r="M103" s="36" t="str">
        <f t="shared" si="89"/>
        <v/>
      </c>
      <c r="N103" s="33" t="str">
        <f t="shared" si="90"/>
        <v/>
      </c>
      <c r="O103" s="36" t="str">
        <f t="shared" si="91"/>
        <v/>
      </c>
      <c r="P103" s="36" t="str">
        <f t="shared" si="92"/>
        <v/>
      </c>
      <c r="Q103" s="33" t="str">
        <f t="shared" si="93"/>
        <v/>
      </c>
      <c r="R103" s="1"/>
      <c r="S103" s="1"/>
      <c r="Y103" s="1" t="e">
        <f>VLOOKUP($B$6,LOOKUP_SCE,96,0)</f>
        <v>#N/A</v>
      </c>
      <c r="Z103" s="22" t="str">
        <f t="shared" si="67"/>
        <v/>
      </c>
      <c r="AA103" s="23">
        <f t="shared" si="94"/>
        <v>7</v>
      </c>
      <c r="AB103" s="55" t="e">
        <f t="shared" si="68"/>
        <v>#N/A</v>
      </c>
      <c r="AC103" s="38" t="e">
        <f t="shared" si="95"/>
        <v>#N/A</v>
      </c>
      <c r="AD103" s="38" t="e">
        <f t="shared" si="96"/>
        <v>#N/A</v>
      </c>
      <c r="AE103" s="415" t="e">
        <f t="shared" si="69"/>
        <v>#N/A</v>
      </c>
      <c r="AF103" s="10">
        <f t="shared" si="97"/>
        <v>7</v>
      </c>
      <c r="AG103" s="38" t="e">
        <f t="shared" si="70"/>
        <v>#N/A</v>
      </c>
      <c r="AH103" s="38" t="e">
        <f t="shared" si="98"/>
        <v>#N/A</v>
      </c>
      <c r="AI103" s="10" t="e">
        <f t="shared" si="71"/>
        <v>#N/A</v>
      </c>
      <c r="AJ103" s="39" t="e">
        <f t="shared" si="99"/>
        <v>#N/A</v>
      </c>
      <c r="AK103" s="40" t="e">
        <f t="shared" si="72"/>
        <v>#N/A</v>
      </c>
      <c r="AL103" s="11" t="e">
        <f t="shared" si="73"/>
        <v>#N/A</v>
      </c>
      <c r="AM103" s="41">
        <f t="shared" si="100"/>
        <v>7</v>
      </c>
      <c r="AN103" s="57" t="e">
        <f t="shared" si="74"/>
        <v>#N/A</v>
      </c>
      <c r="AO103" s="40" t="e">
        <f t="shared" si="101"/>
        <v>#N/A</v>
      </c>
      <c r="AP103" s="417" t="e">
        <f t="shared" si="75"/>
        <v>#N/A</v>
      </c>
      <c r="AQ103" s="56">
        <f t="shared" si="102"/>
        <v>7</v>
      </c>
      <c r="AR103" s="43" t="e">
        <f t="shared" si="103"/>
        <v>#N/A</v>
      </c>
      <c r="AS103" s="44" t="e">
        <f t="shared" si="104"/>
        <v>#N/A</v>
      </c>
      <c r="AT103" s="45" t="e">
        <f t="shared" si="76"/>
        <v>#N/A</v>
      </c>
      <c r="AU103" s="14">
        <f t="shared" si="105"/>
        <v>7</v>
      </c>
      <c r="AV103" s="44" t="e">
        <f t="shared" si="77"/>
        <v>#N/A</v>
      </c>
      <c r="AW103" s="14" t="e">
        <f t="shared" si="106"/>
        <v>#N/A</v>
      </c>
      <c r="AX103" s="14" t="e">
        <f t="shared" si="78"/>
        <v>#N/A</v>
      </c>
      <c r="AY103" s="46">
        <f t="shared" si="107"/>
        <v>7</v>
      </c>
      <c r="AZ103" s="47" t="e">
        <f t="shared" si="108"/>
        <v>#N/A</v>
      </c>
      <c r="BA103" s="48" t="e">
        <f t="shared" si="109"/>
        <v>#N/A</v>
      </c>
      <c r="BB103" s="31" t="e">
        <f t="shared" si="79"/>
        <v>#N/A</v>
      </c>
      <c r="BC103" s="28">
        <f t="shared" si="110"/>
        <v>7</v>
      </c>
      <c r="BD103" s="47" t="e">
        <f t="shared" si="111"/>
        <v>#N/A</v>
      </c>
      <c r="BE103" s="48" t="e">
        <f t="shared" si="112"/>
        <v>#N/A</v>
      </c>
      <c r="BF103" s="31" t="e">
        <f t="shared" si="80"/>
        <v>#N/A</v>
      </c>
      <c r="BG103" s="49" t="e">
        <f t="shared" si="81"/>
        <v>#N/A</v>
      </c>
      <c r="BH103" s="1" t="e">
        <f>VLOOKUP($B103,STOCK_BY_LA!$A$2:$C$10477,3,0)</f>
        <v>#N/A</v>
      </c>
      <c r="BI103" s="1" t="str">
        <f t="shared" si="113"/>
        <v/>
      </c>
    </row>
    <row r="104" spans="1:61" x14ac:dyDescent="0.35">
      <c r="A104" s="1" t="str">
        <f t="shared" si="82"/>
        <v/>
      </c>
      <c r="B104" s="1" t="str">
        <f t="shared" si="114"/>
        <v/>
      </c>
      <c r="C104" s="50" t="str">
        <f t="shared" si="83"/>
        <v/>
      </c>
      <c r="D104" s="33" t="str">
        <f>IF(B104="","",IF('totals_&amp;_RP_counts'!$O$3=0,IFERROR(IF(AA104=2,"0",AB104),""),"-"))</f>
        <v/>
      </c>
      <c r="E104" s="35" t="str">
        <f t="shared" si="84"/>
        <v/>
      </c>
      <c r="F104" s="36" t="str">
        <f t="shared" si="85"/>
        <v/>
      </c>
      <c r="G104" s="36" t="str">
        <f t="shared" si="86"/>
        <v/>
      </c>
      <c r="H104" s="33" t="str">
        <f t="shared" si="64"/>
        <v/>
      </c>
      <c r="I104" s="36" t="str">
        <f t="shared" si="87"/>
        <v/>
      </c>
      <c r="J104" s="36" t="str">
        <f t="shared" si="88"/>
        <v/>
      </c>
      <c r="K104" s="33" t="str">
        <f t="shared" si="65"/>
        <v/>
      </c>
      <c r="L104" s="36" t="str">
        <f t="shared" si="66"/>
        <v/>
      </c>
      <c r="M104" s="36" t="str">
        <f t="shared" si="89"/>
        <v/>
      </c>
      <c r="N104" s="33" t="str">
        <f t="shared" si="90"/>
        <v/>
      </c>
      <c r="O104" s="36" t="str">
        <f t="shared" si="91"/>
        <v/>
      </c>
      <c r="P104" s="36" t="str">
        <f t="shared" si="92"/>
        <v/>
      </c>
      <c r="Q104" s="33" t="str">
        <f t="shared" si="93"/>
        <v/>
      </c>
      <c r="R104" s="1"/>
      <c r="S104" s="1"/>
      <c r="Y104" s="1" t="e">
        <f>VLOOKUP($B$6,LOOKUP_SCE,97,0)</f>
        <v>#N/A</v>
      </c>
      <c r="Z104" s="22" t="str">
        <f t="shared" si="67"/>
        <v/>
      </c>
      <c r="AA104" s="23">
        <f t="shared" si="94"/>
        <v>7</v>
      </c>
      <c r="AB104" s="55" t="e">
        <f t="shared" si="68"/>
        <v>#N/A</v>
      </c>
      <c r="AC104" s="38" t="e">
        <f t="shared" si="95"/>
        <v>#N/A</v>
      </c>
      <c r="AD104" s="38" t="e">
        <f t="shared" si="96"/>
        <v>#N/A</v>
      </c>
      <c r="AE104" s="415" t="e">
        <f t="shared" si="69"/>
        <v>#N/A</v>
      </c>
      <c r="AF104" s="10">
        <f t="shared" si="97"/>
        <v>7</v>
      </c>
      <c r="AG104" s="38" t="e">
        <f t="shared" si="70"/>
        <v>#N/A</v>
      </c>
      <c r="AH104" s="38" t="e">
        <f t="shared" si="98"/>
        <v>#N/A</v>
      </c>
      <c r="AI104" s="10" t="e">
        <f t="shared" si="71"/>
        <v>#N/A</v>
      </c>
      <c r="AJ104" s="39" t="e">
        <f t="shared" si="99"/>
        <v>#N/A</v>
      </c>
      <c r="AK104" s="40" t="e">
        <f t="shared" si="72"/>
        <v>#N/A</v>
      </c>
      <c r="AL104" s="11" t="e">
        <f t="shared" si="73"/>
        <v>#N/A</v>
      </c>
      <c r="AM104" s="41">
        <f t="shared" si="100"/>
        <v>7</v>
      </c>
      <c r="AN104" s="57" t="e">
        <f t="shared" si="74"/>
        <v>#N/A</v>
      </c>
      <c r="AO104" s="40" t="e">
        <f t="shared" si="101"/>
        <v>#N/A</v>
      </c>
      <c r="AP104" s="417" t="e">
        <f t="shared" si="75"/>
        <v>#N/A</v>
      </c>
      <c r="AQ104" s="56">
        <f t="shared" si="102"/>
        <v>7</v>
      </c>
      <c r="AR104" s="43" t="e">
        <f t="shared" si="103"/>
        <v>#N/A</v>
      </c>
      <c r="AS104" s="44" t="e">
        <f t="shared" si="104"/>
        <v>#N/A</v>
      </c>
      <c r="AT104" s="45" t="e">
        <f t="shared" si="76"/>
        <v>#N/A</v>
      </c>
      <c r="AU104" s="14">
        <f t="shared" si="105"/>
        <v>7</v>
      </c>
      <c r="AV104" s="44" t="e">
        <f t="shared" si="77"/>
        <v>#N/A</v>
      </c>
      <c r="AW104" s="14" t="e">
        <f t="shared" si="106"/>
        <v>#N/A</v>
      </c>
      <c r="AX104" s="14" t="e">
        <f t="shared" si="78"/>
        <v>#N/A</v>
      </c>
      <c r="AY104" s="46">
        <f t="shared" si="107"/>
        <v>7</v>
      </c>
      <c r="AZ104" s="47" t="e">
        <f t="shared" si="108"/>
        <v>#N/A</v>
      </c>
      <c r="BA104" s="48" t="e">
        <f t="shared" si="109"/>
        <v>#N/A</v>
      </c>
      <c r="BB104" s="31" t="e">
        <f t="shared" si="79"/>
        <v>#N/A</v>
      </c>
      <c r="BC104" s="28">
        <f t="shared" si="110"/>
        <v>7</v>
      </c>
      <c r="BD104" s="47" t="e">
        <f t="shared" si="111"/>
        <v>#N/A</v>
      </c>
      <c r="BE104" s="48" t="e">
        <f t="shared" si="112"/>
        <v>#N/A</v>
      </c>
      <c r="BF104" s="31" t="e">
        <f t="shared" si="80"/>
        <v>#N/A</v>
      </c>
      <c r="BG104" s="49" t="e">
        <f t="shared" si="81"/>
        <v>#N/A</v>
      </c>
      <c r="BH104" s="1" t="e">
        <f>VLOOKUP($B104,STOCK_BY_LA!$A$2:$C$10477,3,0)</f>
        <v>#N/A</v>
      </c>
      <c r="BI104" s="1" t="str">
        <f t="shared" si="113"/>
        <v/>
      </c>
    </row>
    <row r="105" spans="1:61" x14ac:dyDescent="0.35">
      <c r="A105" s="33" t="str">
        <f t="shared" si="82"/>
        <v/>
      </c>
      <c r="B105" s="1" t="str">
        <f t="shared" si="114"/>
        <v/>
      </c>
      <c r="C105" s="34" t="str">
        <f t="shared" si="83"/>
        <v/>
      </c>
      <c r="D105" s="33" t="str">
        <f>IF(B105="","",IF('totals_&amp;_RP_counts'!$O$3=0,IFERROR(IF(AA105=2,"0",AB105),""),"-"))</f>
        <v/>
      </c>
      <c r="E105" s="35" t="str">
        <f t="shared" si="84"/>
        <v/>
      </c>
      <c r="F105" s="36" t="str">
        <f t="shared" si="85"/>
        <v/>
      </c>
      <c r="G105" s="36" t="str">
        <f t="shared" si="86"/>
        <v/>
      </c>
      <c r="H105" s="33" t="str">
        <f t="shared" si="64"/>
        <v/>
      </c>
      <c r="I105" s="36" t="str">
        <f t="shared" si="87"/>
        <v/>
      </c>
      <c r="J105" s="36" t="str">
        <f t="shared" si="88"/>
        <v/>
      </c>
      <c r="K105" s="33" t="str">
        <f t="shared" si="65"/>
        <v/>
      </c>
      <c r="L105" s="36" t="str">
        <f t="shared" si="66"/>
        <v/>
      </c>
      <c r="M105" s="36" t="str">
        <f t="shared" si="89"/>
        <v/>
      </c>
      <c r="N105" s="33" t="str">
        <f t="shared" si="90"/>
        <v/>
      </c>
      <c r="O105" s="36" t="str">
        <f t="shared" si="91"/>
        <v/>
      </c>
      <c r="P105" s="36" t="str">
        <f t="shared" si="92"/>
        <v/>
      </c>
      <c r="Q105" s="33" t="str">
        <f t="shared" si="93"/>
        <v/>
      </c>
      <c r="R105" s="1"/>
      <c r="S105" s="1"/>
      <c r="Y105" s="1" t="e">
        <f>VLOOKUP($B$6,LOOKUP_SCE,98,0)</f>
        <v>#N/A</v>
      </c>
      <c r="Z105" s="22" t="str">
        <f t="shared" ref="Z105:Z136" si="115">IF(ISNUMBER(SEARCH("*",B105)),1,"")</f>
        <v/>
      </c>
      <c r="AA105" s="23">
        <f t="shared" si="94"/>
        <v>7</v>
      </c>
      <c r="AB105" s="55" t="e">
        <f t="shared" ref="AB105:AB136" si="116">IF(C105="LARP","-",SUM(VLOOKUP($B105,RP_LA_Count,2,0)-1))</f>
        <v>#N/A</v>
      </c>
      <c r="AC105" s="38" t="e">
        <f t="shared" si="95"/>
        <v>#N/A</v>
      </c>
      <c r="AD105" s="38" t="e">
        <f t="shared" si="96"/>
        <v>#N/A</v>
      </c>
      <c r="AE105" s="415" t="e">
        <f t="shared" ref="AE105:AE136" si="117">VLOOKUP(BI105,Stock_By_LA,2,0)</f>
        <v>#N/A</v>
      </c>
      <c r="AF105" s="10">
        <f t="shared" si="97"/>
        <v>7</v>
      </c>
      <c r="AG105" s="38" t="e">
        <f t="shared" si="70"/>
        <v>#N/A</v>
      </c>
      <c r="AH105" s="38" t="e">
        <f t="shared" si="98"/>
        <v>#N/A</v>
      </c>
      <c r="AI105" s="10" t="e">
        <f t="shared" ref="AI105:AI136" si="118">VLOOKUP(B105,RP_Totals,2,0)</f>
        <v>#N/A</v>
      </c>
      <c r="AJ105" s="39" t="e">
        <f t="shared" si="99"/>
        <v>#N/A</v>
      </c>
      <c r="AK105" s="40" t="e">
        <f t="shared" si="72"/>
        <v>#N/A</v>
      </c>
      <c r="AL105" s="11" t="e">
        <f t="shared" ref="AL105:AL136" si="119">VLOOKUP($BI105,Stock_By_LA,3,0)</f>
        <v>#N/A</v>
      </c>
      <c r="AM105" s="41">
        <f t="shared" si="100"/>
        <v>7</v>
      </c>
      <c r="AN105" s="57" t="e">
        <f t="shared" si="74"/>
        <v>#N/A</v>
      </c>
      <c r="AO105" s="40" t="e">
        <f t="shared" si="101"/>
        <v>#N/A</v>
      </c>
      <c r="AP105" s="417" t="e">
        <f t="shared" ref="AP105:AP136" si="120">VLOOKUP(B105,RP_Totals,3,0)</f>
        <v>#N/A</v>
      </c>
      <c r="AQ105" s="56">
        <f t="shared" si="102"/>
        <v>7</v>
      </c>
      <c r="AR105" s="43" t="e">
        <f t="shared" si="103"/>
        <v>#N/A</v>
      </c>
      <c r="AS105" s="44" t="e">
        <f t="shared" si="104"/>
        <v>#N/A</v>
      </c>
      <c r="AT105" s="45" t="e">
        <f t="shared" ref="AT105:AT136" si="121">VLOOKUP($BI105,Stock_By_LA,4,0)</f>
        <v>#N/A</v>
      </c>
      <c r="AU105" s="14">
        <f t="shared" si="105"/>
        <v>7</v>
      </c>
      <c r="AV105" s="44" t="e">
        <f t="shared" si="77"/>
        <v>#N/A</v>
      </c>
      <c r="AW105" s="14" t="e">
        <f t="shared" si="106"/>
        <v>#N/A</v>
      </c>
      <c r="AX105" s="14" t="e">
        <f t="shared" ref="AX105:AX136" si="122">VLOOKUP(B105,RP_Totals,4,0)</f>
        <v>#N/A</v>
      </c>
      <c r="AY105" s="46">
        <f t="shared" si="107"/>
        <v>7</v>
      </c>
      <c r="AZ105" s="47" t="e">
        <f t="shared" si="108"/>
        <v>#N/A</v>
      </c>
      <c r="BA105" s="48" t="e">
        <f t="shared" si="109"/>
        <v>#N/A</v>
      </c>
      <c r="BB105" s="31" t="e">
        <f t="shared" ref="BB105:BB136" si="123">VLOOKUP($BI105,Stock_By_LA,5,0)</f>
        <v>#N/A</v>
      </c>
      <c r="BC105" s="28">
        <f t="shared" si="110"/>
        <v>7</v>
      </c>
      <c r="BD105" s="47" t="e">
        <f t="shared" si="111"/>
        <v>#N/A</v>
      </c>
      <c r="BE105" s="48" t="e">
        <f t="shared" si="112"/>
        <v>#N/A</v>
      </c>
      <c r="BF105" s="31" t="e">
        <f t="shared" ref="BF105:BF136" si="124">VLOOKUP(B105,RP_Totals,5,0)</f>
        <v>#N/A</v>
      </c>
      <c r="BG105" s="49" t="e">
        <f t="shared" ref="BG105:BG136" si="125">VLOOKUP(BI105,Stock_By_LA,6,0)</f>
        <v>#N/A</v>
      </c>
      <c r="BH105" s="1" t="e">
        <f>VLOOKUP($B105,STOCK_BY_LA!$A$2:$C$10477,3,0)</f>
        <v>#N/A</v>
      </c>
      <c r="BI105" s="1" t="str">
        <f t="shared" si="113"/>
        <v/>
      </c>
    </row>
    <row r="106" spans="1:61" x14ac:dyDescent="0.35">
      <c r="A106" s="1" t="str">
        <f t="shared" ref="A106:A137" si="126">IF(Z106=1,A105+1,"")</f>
        <v/>
      </c>
      <c r="B106" s="1" t="str">
        <f t="shared" si="114"/>
        <v/>
      </c>
      <c r="C106" s="50" t="str">
        <f t="shared" si="83"/>
        <v/>
      </c>
      <c r="D106" s="33" t="str">
        <f>IF(B106="","",IF('totals_&amp;_RP_counts'!$O$3=0,IFERROR(IF(AA106=2,"0",AB106),""),"-"))</f>
        <v/>
      </c>
      <c r="E106" s="35" t="str">
        <f t="shared" si="84"/>
        <v/>
      </c>
      <c r="F106" s="36" t="str">
        <f t="shared" si="85"/>
        <v/>
      </c>
      <c r="G106" s="36" t="str">
        <f t="shared" si="86"/>
        <v/>
      </c>
      <c r="H106" s="33" t="str">
        <f t="shared" si="64"/>
        <v/>
      </c>
      <c r="I106" s="36" t="str">
        <f t="shared" si="87"/>
        <v/>
      </c>
      <c r="J106" s="36" t="str">
        <f t="shared" si="88"/>
        <v/>
      </c>
      <c r="K106" s="33" t="str">
        <f t="shared" si="65"/>
        <v/>
      </c>
      <c r="L106" s="36" t="str">
        <f t="shared" si="66"/>
        <v/>
      </c>
      <c r="M106" s="36" t="str">
        <f t="shared" si="89"/>
        <v/>
      </c>
      <c r="N106" s="33" t="str">
        <f t="shared" si="90"/>
        <v/>
      </c>
      <c r="O106" s="36" t="str">
        <f t="shared" si="91"/>
        <v/>
      </c>
      <c r="P106" s="36" t="str">
        <f t="shared" si="92"/>
        <v/>
      </c>
      <c r="Q106" s="33" t="str">
        <f t="shared" si="93"/>
        <v/>
      </c>
      <c r="R106" s="1"/>
      <c r="S106" s="1"/>
      <c r="Y106" s="1" t="e">
        <f>VLOOKUP($B$6,LOOKUP_SCE,99,0)</f>
        <v>#N/A</v>
      </c>
      <c r="Z106" s="22" t="str">
        <f t="shared" si="115"/>
        <v/>
      </c>
      <c r="AA106" s="23">
        <f t="shared" si="94"/>
        <v>7</v>
      </c>
      <c r="AB106" s="55" t="e">
        <f t="shared" si="116"/>
        <v>#N/A</v>
      </c>
      <c r="AC106" s="38" t="e">
        <f t="shared" si="95"/>
        <v>#N/A</v>
      </c>
      <c r="AD106" s="38" t="e">
        <f t="shared" si="96"/>
        <v>#N/A</v>
      </c>
      <c r="AE106" s="415" t="e">
        <f t="shared" si="117"/>
        <v>#N/A</v>
      </c>
      <c r="AF106" s="10">
        <f t="shared" si="97"/>
        <v>7</v>
      </c>
      <c r="AG106" s="38" t="e">
        <f t="shared" si="70"/>
        <v>#N/A</v>
      </c>
      <c r="AH106" s="38" t="e">
        <f t="shared" si="98"/>
        <v>#N/A</v>
      </c>
      <c r="AI106" s="10" t="e">
        <f t="shared" si="118"/>
        <v>#N/A</v>
      </c>
      <c r="AJ106" s="39" t="e">
        <f t="shared" si="99"/>
        <v>#N/A</v>
      </c>
      <c r="AK106" s="40" t="e">
        <f t="shared" si="72"/>
        <v>#N/A</v>
      </c>
      <c r="AL106" s="11" t="e">
        <f t="shared" si="119"/>
        <v>#N/A</v>
      </c>
      <c r="AM106" s="41">
        <f t="shared" si="100"/>
        <v>7</v>
      </c>
      <c r="AN106" s="57" t="e">
        <f t="shared" si="74"/>
        <v>#N/A</v>
      </c>
      <c r="AO106" s="40" t="e">
        <f t="shared" si="101"/>
        <v>#N/A</v>
      </c>
      <c r="AP106" s="417" t="e">
        <f t="shared" si="120"/>
        <v>#N/A</v>
      </c>
      <c r="AQ106" s="56">
        <f t="shared" si="102"/>
        <v>7</v>
      </c>
      <c r="AR106" s="43" t="e">
        <f t="shared" si="103"/>
        <v>#N/A</v>
      </c>
      <c r="AS106" s="44" t="e">
        <f t="shared" si="104"/>
        <v>#N/A</v>
      </c>
      <c r="AT106" s="45" t="e">
        <f t="shared" si="121"/>
        <v>#N/A</v>
      </c>
      <c r="AU106" s="14">
        <f t="shared" si="105"/>
        <v>7</v>
      </c>
      <c r="AV106" s="44" t="e">
        <f t="shared" si="77"/>
        <v>#N/A</v>
      </c>
      <c r="AW106" s="14" t="e">
        <f t="shared" si="106"/>
        <v>#N/A</v>
      </c>
      <c r="AX106" s="14" t="e">
        <f t="shared" si="122"/>
        <v>#N/A</v>
      </c>
      <c r="AY106" s="46">
        <f t="shared" si="107"/>
        <v>7</v>
      </c>
      <c r="AZ106" s="47" t="e">
        <f t="shared" si="108"/>
        <v>#N/A</v>
      </c>
      <c r="BA106" s="48" t="e">
        <f t="shared" si="109"/>
        <v>#N/A</v>
      </c>
      <c r="BB106" s="31" t="e">
        <f t="shared" si="123"/>
        <v>#N/A</v>
      </c>
      <c r="BC106" s="28">
        <f t="shared" si="110"/>
        <v>7</v>
      </c>
      <c r="BD106" s="47" t="e">
        <f t="shared" si="111"/>
        <v>#N/A</v>
      </c>
      <c r="BE106" s="48" t="e">
        <f t="shared" si="112"/>
        <v>#N/A</v>
      </c>
      <c r="BF106" s="31" t="e">
        <f t="shared" si="124"/>
        <v>#N/A</v>
      </c>
      <c r="BG106" s="49" t="e">
        <f t="shared" si="125"/>
        <v>#N/A</v>
      </c>
      <c r="BH106" s="1" t="e">
        <f>VLOOKUP($B106,STOCK_BY_LA!$A$2:$C$10477,3,0)</f>
        <v>#N/A</v>
      </c>
      <c r="BI106" s="1" t="str">
        <f t="shared" si="113"/>
        <v/>
      </c>
    </row>
    <row r="107" spans="1:61" x14ac:dyDescent="0.35">
      <c r="A107" s="33" t="str">
        <f t="shared" si="126"/>
        <v/>
      </c>
      <c r="B107" s="1" t="str">
        <f t="shared" si="114"/>
        <v/>
      </c>
      <c r="C107" s="34" t="str">
        <f t="shared" si="83"/>
        <v/>
      </c>
      <c r="D107" s="33" t="str">
        <f>IF(B107="","",IF('totals_&amp;_RP_counts'!$O$3=0,IFERROR(IF(AA107=2,"0",AB107),""),"-"))</f>
        <v/>
      </c>
      <c r="E107" s="35" t="str">
        <f t="shared" si="84"/>
        <v/>
      </c>
      <c r="F107" s="36" t="str">
        <f t="shared" si="85"/>
        <v/>
      </c>
      <c r="G107" s="36" t="str">
        <f t="shared" si="86"/>
        <v/>
      </c>
      <c r="H107" s="33" t="str">
        <f t="shared" si="64"/>
        <v/>
      </c>
      <c r="I107" s="36" t="str">
        <f t="shared" si="87"/>
        <v/>
      </c>
      <c r="J107" s="36" t="str">
        <f t="shared" si="88"/>
        <v/>
      </c>
      <c r="K107" s="33" t="str">
        <f t="shared" si="65"/>
        <v/>
      </c>
      <c r="L107" s="36" t="str">
        <f t="shared" si="66"/>
        <v/>
      </c>
      <c r="M107" s="36" t="str">
        <f t="shared" si="89"/>
        <v/>
      </c>
      <c r="N107" s="33" t="str">
        <f t="shared" si="90"/>
        <v/>
      </c>
      <c r="O107" s="36" t="str">
        <f t="shared" si="91"/>
        <v/>
      </c>
      <c r="P107" s="36" t="str">
        <f t="shared" si="92"/>
        <v/>
      </c>
      <c r="Q107" s="33" t="str">
        <f t="shared" si="93"/>
        <v/>
      </c>
      <c r="R107" s="1"/>
      <c r="S107" s="1"/>
      <c r="Y107" s="1" t="e">
        <f>VLOOKUP($B$6,LOOKUP_SCE,100,0)</f>
        <v>#N/A</v>
      </c>
      <c r="Z107" s="22" t="str">
        <f t="shared" si="115"/>
        <v/>
      </c>
      <c r="AA107" s="23">
        <f t="shared" si="94"/>
        <v>7</v>
      </c>
      <c r="AB107" s="55" t="e">
        <f t="shared" si="116"/>
        <v>#N/A</v>
      </c>
      <c r="AC107" s="38" t="e">
        <f t="shared" si="95"/>
        <v>#N/A</v>
      </c>
      <c r="AD107" s="38" t="e">
        <f t="shared" si="96"/>
        <v>#N/A</v>
      </c>
      <c r="AE107" s="415" t="e">
        <f t="shared" si="117"/>
        <v>#N/A</v>
      </c>
      <c r="AF107" s="10">
        <f t="shared" si="97"/>
        <v>7</v>
      </c>
      <c r="AG107" s="38" t="e">
        <f t="shared" si="70"/>
        <v>#N/A</v>
      </c>
      <c r="AH107" s="38" t="e">
        <f t="shared" si="98"/>
        <v>#N/A</v>
      </c>
      <c r="AI107" s="10" t="e">
        <f t="shared" si="118"/>
        <v>#N/A</v>
      </c>
      <c r="AJ107" s="39" t="e">
        <f t="shared" si="99"/>
        <v>#N/A</v>
      </c>
      <c r="AK107" s="40" t="e">
        <f t="shared" si="72"/>
        <v>#N/A</v>
      </c>
      <c r="AL107" s="11" t="e">
        <f t="shared" si="119"/>
        <v>#N/A</v>
      </c>
      <c r="AM107" s="41">
        <f t="shared" si="100"/>
        <v>7</v>
      </c>
      <c r="AN107" s="57" t="e">
        <f t="shared" si="74"/>
        <v>#N/A</v>
      </c>
      <c r="AO107" s="40" t="e">
        <f t="shared" si="101"/>
        <v>#N/A</v>
      </c>
      <c r="AP107" s="417" t="e">
        <f t="shared" si="120"/>
        <v>#N/A</v>
      </c>
      <c r="AQ107" s="56">
        <f t="shared" si="102"/>
        <v>7</v>
      </c>
      <c r="AR107" s="43" t="e">
        <f t="shared" si="103"/>
        <v>#N/A</v>
      </c>
      <c r="AS107" s="44" t="e">
        <f t="shared" si="104"/>
        <v>#N/A</v>
      </c>
      <c r="AT107" s="45" t="e">
        <f t="shared" si="121"/>
        <v>#N/A</v>
      </c>
      <c r="AU107" s="14">
        <f t="shared" si="105"/>
        <v>7</v>
      </c>
      <c r="AV107" s="44" t="e">
        <f t="shared" si="77"/>
        <v>#N/A</v>
      </c>
      <c r="AW107" s="14" t="e">
        <f t="shared" si="106"/>
        <v>#N/A</v>
      </c>
      <c r="AX107" s="14" t="e">
        <f t="shared" si="122"/>
        <v>#N/A</v>
      </c>
      <c r="AY107" s="46">
        <f t="shared" si="107"/>
        <v>7</v>
      </c>
      <c r="AZ107" s="47" t="e">
        <f t="shared" si="108"/>
        <v>#N/A</v>
      </c>
      <c r="BA107" s="48" t="e">
        <f t="shared" si="109"/>
        <v>#N/A</v>
      </c>
      <c r="BB107" s="31" t="e">
        <f t="shared" si="123"/>
        <v>#N/A</v>
      </c>
      <c r="BC107" s="28">
        <f t="shared" si="110"/>
        <v>7</v>
      </c>
      <c r="BD107" s="47" t="e">
        <f t="shared" si="111"/>
        <v>#N/A</v>
      </c>
      <c r="BE107" s="48" t="e">
        <f t="shared" si="112"/>
        <v>#N/A</v>
      </c>
      <c r="BF107" s="31" t="e">
        <f t="shared" si="124"/>
        <v>#N/A</v>
      </c>
      <c r="BG107" s="49" t="e">
        <f t="shared" si="125"/>
        <v>#N/A</v>
      </c>
      <c r="BH107" s="1" t="e">
        <f>VLOOKUP($B107,STOCK_BY_LA!$A$2:$C$10477,3,0)</f>
        <v>#N/A</v>
      </c>
      <c r="BI107" s="1" t="str">
        <f t="shared" si="113"/>
        <v/>
      </c>
    </row>
    <row r="108" spans="1:61" x14ac:dyDescent="0.35">
      <c r="A108" s="1" t="str">
        <f t="shared" si="126"/>
        <v/>
      </c>
      <c r="B108" s="1" t="str">
        <f t="shared" si="114"/>
        <v/>
      </c>
      <c r="C108" s="50" t="str">
        <f t="shared" si="83"/>
        <v/>
      </c>
      <c r="D108" s="33" t="str">
        <f>IF(B108="","",IF('totals_&amp;_RP_counts'!$O$3=0,IFERROR(IF(AA108=2,"0",AB108),""),"-"))</f>
        <v/>
      </c>
      <c r="E108" s="35" t="str">
        <f t="shared" si="84"/>
        <v/>
      </c>
      <c r="F108" s="36" t="str">
        <f t="shared" si="85"/>
        <v/>
      </c>
      <c r="G108" s="36" t="str">
        <f t="shared" si="86"/>
        <v/>
      </c>
      <c r="H108" s="33" t="str">
        <f t="shared" si="64"/>
        <v/>
      </c>
      <c r="I108" s="36" t="str">
        <f t="shared" si="87"/>
        <v/>
      </c>
      <c r="J108" s="36" t="str">
        <f t="shared" si="88"/>
        <v/>
      </c>
      <c r="K108" s="33" t="str">
        <f t="shared" si="65"/>
        <v/>
      </c>
      <c r="L108" s="36" t="str">
        <f t="shared" si="66"/>
        <v/>
      </c>
      <c r="M108" s="36" t="str">
        <f t="shared" si="89"/>
        <v/>
      </c>
      <c r="N108" s="33" t="str">
        <f t="shared" si="90"/>
        <v/>
      </c>
      <c r="O108" s="36" t="str">
        <f t="shared" si="91"/>
        <v/>
      </c>
      <c r="P108" s="36" t="str">
        <f t="shared" si="92"/>
        <v/>
      </c>
      <c r="Q108" s="33" t="str">
        <f t="shared" si="93"/>
        <v/>
      </c>
      <c r="R108" s="1"/>
      <c r="S108" s="1"/>
      <c r="Y108" s="1" t="e">
        <f>VLOOKUP($B$6,LOOKUP_SCE,101,0)</f>
        <v>#N/A</v>
      </c>
      <c r="Z108" s="22" t="str">
        <f t="shared" si="115"/>
        <v/>
      </c>
      <c r="AA108" s="23">
        <f t="shared" si="94"/>
        <v>7</v>
      </c>
      <c r="AB108" s="55" t="e">
        <f t="shared" si="116"/>
        <v>#N/A</v>
      </c>
      <c r="AC108" s="38" t="e">
        <f t="shared" si="95"/>
        <v>#N/A</v>
      </c>
      <c r="AD108" s="38" t="e">
        <f t="shared" si="96"/>
        <v>#N/A</v>
      </c>
      <c r="AE108" s="415" t="e">
        <f t="shared" si="117"/>
        <v>#N/A</v>
      </c>
      <c r="AF108" s="10">
        <f t="shared" si="97"/>
        <v>7</v>
      </c>
      <c r="AG108" s="38" t="e">
        <f t="shared" si="70"/>
        <v>#N/A</v>
      </c>
      <c r="AH108" s="38" t="e">
        <f t="shared" si="98"/>
        <v>#N/A</v>
      </c>
      <c r="AI108" s="10" t="e">
        <f t="shared" si="118"/>
        <v>#N/A</v>
      </c>
      <c r="AJ108" s="39" t="e">
        <f t="shared" si="99"/>
        <v>#N/A</v>
      </c>
      <c r="AK108" s="40" t="e">
        <f t="shared" si="72"/>
        <v>#N/A</v>
      </c>
      <c r="AL108" s="11" t="e">
        <f t="shared" si="119"/>
        <v>#N/A</v>
      </c>
      <c r="AM108" s="41">
        <f t="shared" si="100"/>
        <v>7</v>
      </c>
      <c r="AN108" s="57" t="e">
        <f t="shared" si="74"/>
        <v>#N/A</v>
      </c>
      <c r="AO108" s="40" t="e">
        <f t="shared" si="101"/>
        <v>#N/A</v>
      </c>
      <c r="AP108" s="417" t="e">
        <f t="shared" si="120"/>
        <v>#N/A</v>
      </c>
      <c r="AQ108" s="56">
        <f t="shared" si="102"/>
        <v>7</v>
      </c>
      <c r="AR108" s="43" t="e">
        <f t="shared" si="103"/>
        <v>#N/A</v>
      </c>
      <c r="AS108" s="44" t="e">
        <f t="shared" si="104"/>
        <v>#N/A</v>
      </c>
      <c r="AT108" s="45" t="e">
        <f t="shared" si="121"/>
        <v>#N/A</v>
      </c>
      <c r="AU108" s="14">
        <f t="shared" si="105"/>
        <v>7</v>
      </c>
      <c r="AV108" s="44" t="e">
        <f t="shared" si="77"/>
        <v>#N/A</v>
      </c>
      <c r="AW108" s="14" t="e">
        <f t="shared" si="106"/>
        <v>#N/A</v>
      </c>
      <c r="AX108" s="14" t="e">
        <f t="shared" si="122"/>
        <v>#N/A</v>
      </c>
      <c r="AY108" s="46">
        <f t="shared" si="107"/>
        <v>7</v>
      </c>
      <c r="AZ108" s="47" t="e">
        <f t="shared" si="108"/>
        <v>#N/A</v>
      </c>
      <c r="BA108" s="48" t="e">
        <f t="shared" si="109"/>
        <v>#N/A</v>
      </c>
      <c r="BB108" s="31" t="e">
        <f t="shared" si="123"/>
        <v>#N/A</v>
      </c>
      <c r="BC108" s="28">
        <f t="shared" si="110"/>
        <v>7</v>
      </c>
      <c r="BD108" s="47" t="e">
        <f t="shared" si="111"/>
        <v>#N/A</v>
      </c>
      <c r="BE108" s="48" t="e">
        <f t="shared" si="112"/>
        <v>#N/A</v>
      </c>
      <c r="BF108" s="31" t="e">
        <f t="shared" si="124"/>
        <v>#N/A</v>
      </c>
      <c r="BG108" s="49" t="e">
        <f t="shared" si="125"/>
        <v>#N/A</v>
      </c>
      <c r="BH108" s="1" t="e">
        <f>VLOOKUP($B108,STOCK_BY_LA!$A$2:$C$10477,3,0)</f>
        <v>#N/A</v>
      </c>
      <c r="BI108" s="1" t="str">
        <f t="shared" si="113"/>
        <v/>
      </c>
    </row>
    <row r="109" spans="1:61" x14ac:dyDescent="0.35">
      <c r="A109" s="33" t="str">
        <f t="shared" si="126"/>
        <v/>
      </c>
      <c r="B109" s="1" t="str">
        <f t="shared" si="114"/>
        <v/>
      </c>
      <c r="C109" s="34" t="str">
        <f t="shared" si="83"/>
        <v/>
      </c>
      <c r="D109" s="33" t="str">
        <f>IF(B109="","",IF('totals_&amp;_RP_counts'!$O$3=0,IFERROR(IF(AA109=2,"0",AB109),""),"-"))</f>
        <v/>
      </c>
      <c r="E109" s="35" t="str">
        <f t="shared" si="84"/>
        <v/>
      </c>
      <c r="F109" s="36" t="str">
        <f t="shared" si="85"/>
        <v/>
      </c>
      <c r="G109" s="36" t="str">
        <f t="shared" si="86"/>
        <v/>
      </c>
      <c r="H109" s="33" t="str">
        <f t="shared" si="64"/>
        <v/>
      </c>
      <c r="I109" s="36" t="str">
        <f t="shared" si="87"/>
        <v/>
      </c>
      <c r="J109" s="36" t="str">
        <f t="shared" si="88"/>
        <v/>
      </c>
      <c r="K109" s="33" t="str">
        <f t="shared" si="65"/>
        <v/>
      </c>
      <c r="L109" s="36" t="str">
        <f t="shared" si="66"/>
        <v/>
      </c>
      <c r="M109" s="36" t="str">
        <f t="shared" si="89"/>
        <v/>
      </c>
      <c r="N109" s="33" t="str">
        <f t="shared" si="90"/>
        <v/>
      </c>
      <c r="O109" s="36" t="str">
        <f t="shared" si="91"/>
        <v/>
      </c>
      <c r="P109" s="36" t="str">
        <f t="shared" si="92"/>
        <v/>
      </c>
      <c r="Q109" s="33" t="str">
        <f t="shared" si="93"/>
        <v/>
      </c>
      <c r="R109" s="1"/>
      <c r="S109" s="1"/>
      <c r="Y109" s="1" t="e">
        <f>VLOOKUP($B$6,LOOKUP_SCE,102,0)</f>
        <v>#N/A</v>
      </c>
      <c r="Z109" s="22" t="str">
        <f t="shared" si="115"/>
        <v/>
      </c>
      <c r="AA109" s="23">
        <f t="shared" si="94"/>
        <v>7</v>
      </c>
      <c r="AB109" s="55" t="e">
        <f t="shared" si="116"/>
        <v>#N/A</v>
      </c>
      <c r="AC109" s="38" t="e">
        <f t="shared" si="95"/>
        <v>#N/A</v>
      </c>
      <c r="AD109" s="38" t="e">
        <f t="shared" si="96"/>
        <v>#N/A</v>
      </c>
      <c r="AE109" s="415" t="e">
        <f t="shared" si="117"/>
        <v>#N/A</v>
      </c>
      <c r="AF109" s="10">
        <f t="shared" si="97"/>
        <v>7</v>
      </c>
      <c r="AG109" s="38" t="e">
        <f t="shared" si="70"/>
        <v>#N/A</v>
      </c>
      <c r="AH109" s="38" t="e">
        <f t="shared" si="98"/>
        <v>#N/A</v>
      </c>
      <c r="AI109" s="10" t="e">
        <f t="shared" si="118"/>
        <v>#N/A</v>
      </c>
      <c r="AJ109" s="39" t="e">
        <f t="shared" si="99"/>
        <v>#N/A</v>
      </c>
      <c r="AK109" s="40" t="e">
        <f t="shared" si="72"/>
        <v>#N/A</v>
      </c>
      <c r="AL109" s="11" t="e">
        <f t="shared" si="119"/>
        <v>#N/A</v>
      </c>
      <c r="AM109" s="41">
        <f t="shared" si="100"/>
        <v>7</v>
      </c>
      <c r="AN109" s="57" t="e">
        <f t="shared" si="74"/>
        <v>#N/A</v>
      </c>
      <c r="AO109" s="40" t="e">
        <f t="shared" si="101"/>
        <v>#N/A</v>
      </c>
      <c r="AP109" s="417" t="e">
        <f t="shared" si="120"/>
        <v>#N/A</v>
      </c>
      <c r="AQ109" s="56">
        <f t="shared" si="102"/>
        <v>7</v>
      </c>
      <c r="AR109" s="43" t="e">
        <f t="shared" si="103"/>
        <v>#N/A</v>
      </c>
      <c r="AS109" s="44" t="e">
        <f t="shared" si="104"/>
        <v>#N/A</v>
      </c>
      <c r="AT109" s="45" t="e">
        <f t="shared" si="121"/>
        <v>#N/A</v>
      </c>
      <c r="AU109" s="14">
        <f t="shared" si="105"/>
        <v>7</v>
      </c>
      <c r="AV109" s="44" t="e">
        <f t="shared" si="77"/>
        <v>#N/A</v>
      </c>
      <c r="AW109" s="14" t="e">
        <f t="shared" si="106"/>
        <v>#N/A</v>
      </c>
      <c r="AX109" s="14" t="e">
        <f t="shared" si="122"/>
        <v>#N/A</v>
      </c>
      <c r="AY109" s="46">
        <f t="shared" si="107"/>
        <v>7</v>
      </c>
      <c r="AZ109" s="47" t="e">
        <f t="shared" si="108"/>
        <v>#N/A</v>
      </c>
      <c r="BA109" s="48" t="e">
        <f t="shared" si="109"/>
        <v>#N/A</v>
      </c>
      <c r="BB109" s="31" t="e">
        <f t="shared" si="123"/>
        <v>#N/A</v>
      </c>
      <c r="BC109" s="28">
        <f t="shared" si="110"/>
        <v>7</v>
      </c>
      <c r="BD109" s="47" t="e">
        <f t="shared" si="111"/>
        <v>#N/A</v>
      </c>
      <c r="BE109" s="48" t="e">
        <f t="shared" si="112"/>
        <v>#N/A</v>
      </c>
      <c r="BF109" s="31" t="e">
        <f t="shared" si="124"/>
        <v>#N/A</v>
      </c>
      <c r="BG109" s="49" t="e">
        <f t="shared" si="125"/>
        <v>#N/A</v>
      </c>
      <c r="BH109" s="1" t="e">
        <f>VLOOKUP($B109,STOCK_BY_LA!$A$2:$C$10477,3,0)</f>
        <v>#N/A</v>
      </c>
      <c r="BI109" s="1" t="str">
        <f t="shared" si="113"/>
        <v/>
      </c>
    </row>
    <row r="110" spans="1:61" x14ac:dyDescent="0.35">
      <c r="A110" s="1" t="str">
        <f t="shared" si="126"/>
        <v/>
      </c>
      <c r="B110" s="1" t="str">
        <f t="shared" si="114"/>
        <v/>
      </c>
      <c r="C110" s="50" t="str">
        <f t="shared" si="83"/>
        <v/>
      </c>
      <c r="D110" s="33" t="str">
        <f>IF(B110="","",IF('totals_&amp;_RP_counts'!$O$3=0,IFERROR(IF(AA110=2,"0",AB110),""),"-"))</f>
        <v/>
      </c>
      <c r="E110" s="35" t="str">
        <f t="shared" si="84"/>
        <v/>
      </c>
      <c r="F110" s="36" t="str">
        <f t="shared" si="85"/>
        <v/>
      </c>
      <c r="G110" s="36" t="str">
        <f t="shared" si="86"/>
        <v/>
      </c>
      <c r="H110" s="33" t="str">
        <f t="shared" si="64"/>
        <v/>
      </c>
      <c r="I110" s="36" t="str">
        <f t="shared" si="87"/>
        <v/>
      </c>
      <c r="J110" s="36" t="str">
        <f t="shared" si="88"/>
        <v/>
      </c>
      <c r="K110" s="33" t="str">
        <f t="shared" si="65"/>
        <v/>
      </c>
      <c r="L110" s="36" t="str">
        <f t="shared" si="66"/>
        <v/>
      </c>
      <c r="M110" s="36" t="str">
        <f t="shared" si="89"/>
        <v/>
      </c>
      <c r="N110" s="33" t="str">
        <f t="shared" si="90"/>
        <v/>
      </c>
      <c r="O110" s="36" t="str">
        <f t="shared" si="91"/>
        <v/>
      </c>
      <c r="P110" s="36" t="str">
        <f t="shared" si="92"/>
        <v/>
      </c>
      <c r="Q110" s="33" t="str">
        <f t="shared" si="93"/>
        <v/>
      </c>
      <c r="R110" s="1"/>
      <c r="S110" s="1"/>
      <c r="Y110" s="1" t="e">
        <f>VLOOKUP($B$6,LOOKUP_SCE,103,0)</f>
        <v>#N/A</v>
      </c>
      <c r="Z110" s="22" t="str">
        <f t="shared" si="115"/>
        <v/>
      </c>
      <c r="AA110" s="23">
        <f t="shared" si="94"/>
        <v>7</v>
      </c>
      <c r="AB110" s="55" t="e">
        <f t="shared" si="116"/>
        <v>#N/A</v>
      </c>
      <c r="AC110" s="38" t="e">
        <f t="shared" si="95"/>
        <v>#N/A</v>
      </c>
      <c r="AD110" s="38" t="e">
        <f t="shared" si="96"/>
        <v>#N/A</v>
      </c>
      <c r="AE110" s="415" t="e">
        <f t="shared" si="117"/>
        <v>#N/A</v>
      </c>
      <c r="AF110" s="10">
        <f t="shared" si="97"/>
        <v>7</v>
      </c>
      <c r="AG110" s="38" t="e">
        <f t="shared" si="70"/>
        <v>#N/A</v>
      </c>
      <c r="AH110" s="38" t="e">
        <f t="shared" si="98"/>
        <v>#N/A</v>
      </c>
      <c r="AI110" s="10" t="e">
        <f t="shared" si="118"/>
        <v>#N/A</v>
      </c>
      <c r="AJ110" s="39" t="e">
        <f t="shared" si="99"/>
        <v>#N/A</v>
      </c>
      <c r="AK110" s="40" t="e">
        <f t="shared" si="72"/>
        <v>#N/A</v>
      </c>
      <c r="AL110" s="11" t="e">
        <f t="shared" si="119"/>
        <v>#N/A</v>
      </c>
      <c r="AM110" s="41">
        <f t="shared" si="100"/>
        <v>7</v>
      </c>
      <c r="AN110" s="57" t="e">
        <f t="shared" si="74"/>
        <v>#N/A</v>
      </c>
      <c r="AO110" s="40" t="e">
        <f t="shared" si="101"/>
        <v>#N/A</v>
      </c>
      <c r="AP110" s="417" t="e">
        <f t="shared" si="120"/>
        <v>#N/A</v>
      </c>
      <c r="AQ110" s="56">
        <f t="shared" si="102"/>
        <v>7</v>
      </c>
      <c r="AR110" s="43" t="e">
        <f t="shared" si="103"/>
        <v>#N/A</v>
      </c>
      <c r="AS110" s="44" t="e">
        <f t="shared" si="104"/>
        <v>#N/A</v>
      </c>
      <c r="AT110" s="45" t="e">
        <f t="shared" si="121"/>
        <v>#N/A</v>
      </c>
      <c r="AU110" s="14">
        <f t="shared" si="105"/>
        <v>7</v>
      </c>
      <c r="AV110" s="44" t="e">
        <f t="shared" si="77"/>
        <v>#N/A</v>
      </c>
      <c r="AW110" s="14" t="e">
        <f t="shared" si="106"/>
        <v>#N/A</v>
      </c>
      <c r="AX110" s="14" t="e">
        <f t="shared" si="122"/>
        <v>#N/A</v>
      </c>
      <c r="AY110" s="46">
        <f t="shared" si="107"/>
        <v>7</v>
      </c>
      <c r="AZ110" s="47" t="e">
        <f t="shared" si="108"/>
        <v>#N/A</v>
      </c>
      <c r="BA110" s="48" t="e">
        <f t="shared" si="109"/>
        <v>#N/A</v>
      </c>
      <c r="BB110" s="31" t="e">
        <f t="shared" si="123"/>
        <v>#N/A</v>
      </c>
      <c r="BC110" s="28">
        <f t="shared" si="110"/>
        <v>7</v>
      </c>
      <c r="BD110" s="47" t="e">
        <f t="shared" si="111"/>
        <v>#N/A</v>
      </c>
      <c r="BE110" s="48" t="e">
        <f t="shared" si="112"/>
        <v>#N/A</v>
      </c>
      <c r="BF110" s="31" t="e">
        <f t="shared" si="124"/>
        <v>#N/A</v>
      </c>
      <c r="BG110" s="49" t="e">
        <f t="shared" si="125"/>
        <v>#N/A</v>
      </c>
      <c r="BH110" s="1" t="e">
        <f>VLOOKUP($B110,STOCK_BY_LA!$A$2:$C$10477,3,0)</f>
        <v>#N/A</v>
      </c>
      <c r="BI110" s="1" t="str">
        <f t="shared" si="113"/>
        <v/>
      </c>
    </row>
    <row r="111" spans="1:61" x14ac:dyDescent="0.35">
      <c r="A111" s="33" t="str">
        <f t="shared" si="126"/>
        <v/>
      </c>
      <c r="B111" s="1" t="str">
        <f t="shared" si="114"/>
        <v/>
      </c>
      <c r="C111" s="34" t="str">
        <f t="shared" si="83"/>
        <v/>
      </c>
      <c r="D111" s="33" t="str">
        <f>IF(B111="","",IF('totals_&amp;_RP_counts'!$O$3=0,IFERROR(IF(AA111=2,"0",AB111),""),"-"))</f>
        <v/>
      </c>
      <c r="E111" s="35" t="str">
        <f t="shared" si="84"/>
        <v/>
      </c>
      <c r="F111" s="36" t="str">
        <f t="shared" si="85"/>
        <v/>
      </c>
      <c r="G111" s="36" t="str">
        <f t="shared" si="86"/>
        <v/>
      </c>
      <c r="H111" s="33" t="str">
        <f t="shared" si="64"/>
        <v/>
      </c>
      <c r="I111" s="36" t="str">
        <f t="shared" si="87"/>
        <v/>
      </c>
      <c r="J111" s="36" t="str">
        <f t="shared" si="88"/>
        <v/>
      </c>
      <c r="K111" s="33" t="str">
        <f t="shared" si="65"/>
        <v/>
      </c>
      <c r="L111" s="36" t="str">
        <f t="shared" si="66"/>
        <v/>
      </c>
      <c r="M111" s="36" t="str">
        <f t="shared" si="89"/>
        <v/>
      </c>
      <c r="N111" s="33" t="str">
        <f t="shared" si="90"/>
        <v/>
      </c>
      <c r="O111" s="36" t="str">
        <f t="shared" si="91"/>
        <v/>
      </c>
      <c r="P111" s="36" t="str">
        <f t="shared" si="92"/>
        <v/>
      </c>
      <c r="Q111" s="33" t="str">
        <f t="shared" si="93"/>
        <v/>
      </c>
      <c r="R111" s="1"/>
      <c r="S111" s="1"/>
      <c r="Y111" s="1" t="e">
        <f>VLOOKUP($B$6,LOOKUP_SCE,104,0)</f>
        <v>#N/A</v>
      </c>
      <c r="Z111" s="22" t="str">
        <f t="shared" si="115"/>
        <v/>
      </c>
      <c r="AA111" s="23">
        <f t="shared" si="94"/>
        <v>7</v>
      </c>
      <c r="AB111" s="55" t="e">
        <f t="shared" si="116"/>
        <v>#N/A</v>
      </c>
      <c r="AC111" s="38" t="e">
        <f t="shared" si="95"/>
        <v>#N/A</v>
      </c>
      <c r="AD111" s="38" t="e">
        <f t="shared" si="96"/>
        <v>#N/A</v>
      </c>
      <c r="AE111" s="415" t="e">
        <f t="shared" si="117"/>
        <v>#N/A</v>
      </c>
      <c r="AF111" s="10">
        <f t="shared" si="97"/>
        <v>7</v>
      </c>
      <c r="AG111" s="38" t="e">
        <f t="shared" si="70"/>
        <v>#N/A</v>
      </c>
      <c r="AH111" s="38" t="e">
        <f t="shared" si="98"/>
        <v>#N/A</v>
      </c>
      <c r="AI111" s="10" t="e">
        <f t="shared" si="118"/>
        <v>#N/A</v>
      </c>
      <c r="AJ111" s="39" t="e">
        <f t="shared" si="99"/>
        <v>#N/A</v>
      </c>
      <c r="AK111" s="40" t="e">
        <f t="shared" si="72"/>
        <v>#N/A</v>
      </c>
      <c r="AL111" s="11" t="e">
        <f t="shared" si="119"/>
        <v>#N/A</v>
      </c>
      <c r="AM111" s="41">
        <f t="shared" si="100"/>
        <v>7</v>
      </c>
      <c r="AN111" s="57" t="e">
        <f t="shared" si="74"/>
        <v>#N/A</v>
      </c>
      <c r="AO111" s="40" t="e">
        <f t="shared" si="101"/>
        <v>#N/A</v>
      </c>
      <c r="AP111" s="417" t="e">
        <f t="shared" si="120"/>
        <v>#N/A</v>
      </c>
      <c r="AQ111" s="56">
        <f t="shared" si="102"/>
        <v>7</v>
      </c>
      <c r="AR111" s="43" t="e">
        <f t="shared" si="103"/>
        <v>#N/A</v>
      </c>
      <c r="AS111" s="44" t="e">
        <f t="shared" si="104"/>
        <v>#N/A</v>
      </c>
      <c r="AT111" s="45" t="e">
        <f t="shared" si="121"/>
        <v>#N/A</v>
      </c>
      <c r="AU111" s="14">
        <f t="shared" si="105"/>
        <v>7</v>
      </c>
      <c r="AV111" s="44" t="e">
        <f t="shared" si="77"/>
        <v>#N/A</v>
      </c>
      <c r="AW111" s="14" t="e">
        <f t="shared" si="106"/>
        <v>#N/A</v>
      </c>
      <c r="AX111" s="14" t="e">
        <f t="shared" si="122"/>
        <v>#N/A</v>
      </c>
      <c r="AY111" s="46">
        <f t="shared" si="107"/>
        <v>7</v>
      </c>
      <c r="AZ111" s="47" t="e">
        <f t="shared" si="108"/>
        <v>#N/A</v>
      </c>
      <c r="BA111" s="48" t="e">
        <f t="shared" si="109"/>
        <v>#N/A</v>
      </c>
      <c r="BB111" s="31" t="e">
        <f t="shared" si="123"/>
        <v>#N/A</v>
      </c>
      <c r="BC111" s="28">
        <f t="shared" si="110"/>
        <v>7</v>
      </c>
      <c r="BD111" s="47" t="e">
        <f t="shared" si="111"/>
        <v>#N/A</v>
      </c>
      <c r="BE111" s="48" t="e">
        <f t="shared" si="112"/>
        <v>#N/A</v>
      </c>
      <c r="BF111" s="31" t="e">
        <f t="shared" si="124"/>
        <v>#N/A</v>
      </c>
      <c r="BG111" s="49" t="e">
        <f t="shared" si="125"/>
        <v>#N/A</v>
      </c>
      <c r="BH111" s="1" t="e">
        <f>VLOOKUP($B111,STOCK_BY_LA!$A$2:$C$10477,3,0)</f>
        <v>#N/A</v>
      </c>
      <c r="BI111" s="1" t="str">
        <f t="shared" si="113"/>
        <v/>
      </c>
    </row>
    <row r="112" spans="1:61" x14ac:dyDescent="0.35">
      <c r="A112" s="1" t="str">
        <f t="shared" si="126"/>
        <v/>
      </c>
      <c r="B112" s="1" t="str">
        <f t="shared" si="114"/>
        <v/>
      </c>
      <c r="C112" s="50" t="str">
        <f t="shared" si="83"/>
        <v/>
      </c>
      <c r="D112" s="33" t="str">
        <f>IF(B112="","",IF('totals_&amp;_RP_counts'!$O$3=0,IFERROR(IF(AA112=2,"0",AB112),""),"-"))</f>
        <v/>
      </c>
      <c r="E112" s="35" t="str">
        <f t="shared" si="84"/>
        <v/>
      </c>
      <c r="F112" s="36" t="str">
        <f t="shared" si="85"/>
        <v/>
      </c>
      <c r="G112" s="36" t="str">
        <f t="shared" si="86"/>
        <v/>
      </c>
      <c r="H112" s="33" t="str">
        <f t="shared" si="64"/>
        <v/>
      </c>
      <c r="I112" s="36" t="str">
        <f t="shared" si="87"/>
        <v/>
      </c>
      <c r="J112" s="36" t="str">
        <f t="shared" si="88"/>
        <v/>
      </c>
      <c r="K112" s="33" t="str">
        <f t="shared" si="65"/>
        <v/>
      </c>
      <c r="L112" s="36" t="str">
        <f t="shared" si="66"/>
        <v/>
      </c>
      <c r="M112" s="36" t="str">
        <f t="shared" si="89"/>
        <v/>
      </c>
      <c r="N112" s="33" t="str">
        <f t="shared" si="90"/>
        <v/>
      </c>
      <c r="O112" s="36" t="str">
        <f t="shared" si="91"/>
        <v/>
      </c>
      <c r="P112" s="36" t="str">
        <f t="shared" si="92"/>
        <v/>
      </c>
      <c r="Q112" s="33" t="str">
        <f t="shared" si="93"/>
        <v/>
      </c>
      <c r="R112" s="1"/>
      <c r="S112" s="1"/>
      <c r="Y112" s="1" t="e">
        <f>VLOOKUP($B$6,LOOKUP_SCE,105,0)</f>
        <v>#N/A</v>
      </c>
      <c r="Z112" s="22" t="str">
        <f t="shared" si="115"/>
        <v/>
      </c>
      <c r="AA112" s="23">
        <f t="shared" si="94"/>
        <v>7</v>
      </c>
      <c r="AB112" s="55" t="e">
        <f t="shared" si="116"/>
        <v>#N/A</v>
      </c>
      <c r="AC112" s="38" t="e">
        <f t="shared" si="95"/>
        <v>#N/A</v>
      </c>
      <c r="AD112" s="38" t="e">
        <f t="shared" si="96"/>
        <v>#N/A</v>
      </c>
      <c r="AE112" s="415" t="e">
        <f t="shared" si="117"/>
        <v>#N/A</v>
      </c>
      <c r="AF112" s="10">
        <f t="shared" si="97"/>
        <v>7</v>
      </c>
      <c r="AG112" s="38" t="e">
        <f t="shared" si="70"/>
        <v>#N/A</v>
      </c>
      <c r="AH112" s="38" t="e">
        <f t="shared" si="98"/>
        <v>#N/A</v>
      </c>
      <c r="AI112" s="10" t="e">
        <f t="shared" si="118"/>
        <v>#N/A</v>
      </c>
      <c r="AJ112" s="39" t="e">
        <f t="shared" si="99"/>
        <v>#N/A</v>
      </c>
      <c r="AK112" s="40" t="e">
        <f t="shared" si="72"/>
        <v>#N/A</v>
      </c>
      <c r="AL112" s="11" t="e">
        <f t="shared" si="119"/>
        <v>#N/A</v>
      </c>
      <c r="AM112" s="41">
        <f t="shared" si="100"/>
        <v>7</v>
      </c>
      <c r="AN112" s="57" t="e">
        <f t="shared" si="74"/>
        <v>#N/A</v>
      </c>
      <c r="AO112" s="40" t="e">
        <f t="shared" si="101"/>
        <v>#N/A</v>
      </c>
      <c r="AP112" s="417" t="e">
        <f t="shared" si="120"/>
        <v>#N/A</v>
      </c>
      <c r="AQ112" s="56">
        <f t="shared" si="102"/>
        <v>7</v>
      </c>
      <c r="AR112" s="43" t="e">
        <f t="shared" si="103"/>
        <v>#N/A</v>
      </c>
      <c r="AS112" s="44" t="e">
        <f t="shared" si="104"/>
        <v>#N/A</v>
      </c>
      <c r="AT112" s="45" t="e">
        <f t="shared" si="121"/>
        <v>#N/A</v>
      </c>
      <c r="AU112" s="14">
        <f t="shared" si="105"/>
        <v>7</v>
      </c>
      <c r="AV112" s="44" t="e">
        <f t="shared" si="77"/>
        <v>#N/A</v>
      </c>
      <c r="AW112" s="14" t="e">
        <f t="shared" si="106"/>
        <v>#N/A</v>
      </c>
      <c r="AX112" s="14" t="e">
        <f t="shared" si="122"/>
        <v>#N/A</v>
      </c>
      <c r="AY112" s="46">
        <f t="shared" si="107"/>
        <v>7</v>
      </c>
      <c r="AZ112" s="47" t="e">
        <f t="shared" si="108"/>
        <v>#N/A</v>
      </c>
      <c r="BA112" s="48" t="e">
        <f t="shared" si="109"/>
        <v>#N/A</v>
      </c>
      <c r="BB112" s="31" t="e">
        <f t="shared" si="123"/>
        <v>#N/A</v>
      </c>
      <c r="BC112" s="28">
        <f t="shared" si="110"/>
        <v>7</v>
      </c>
      <c r="BD112" s="47" t="e">
        <f t="shared" si="111"/>
        <v>#N/A</v>
      </c>
      <c r="BE112" s="48" t="e">
        <f t="shared" si="112"/>
        <v>#N/A</v>
      </c>
      <c r="BF112" s="31" t="e">
        <f t="shared" si="124"/>
        <v>#N/A</v>
      </c>
      <c r="BG112" s="49" t="e">
        <f t="shared" si="125"/>
        <v>#N/A</v>
      </c>
      <c r="BH112" s="1" t="e">
        <f>VLOOKUP($B112,STOCK_BY_LA!$A$2:$C$10477,3,0)</f>
        <v>#N/A</v>
      </c>
      <c r="BI112" s="1" t="str">
        <f t="shared" si="113"/>
        <v/>
      </c>
    </row>
    <row r="113" spans="1:61" x14ac:dyDescent="0.35">
      <c r="A113" s="33" t="str">
        <f t="shared" si="126"/>
        <v/>
      </c>
      <c r="B113" s="1" t="str">
        <f t="shared" si="114"/>
        <v/>
      </c>
      <c r="C113" s="34" t="str">
        <f t="shared" si="83"/>
        <v/>
      </c>
      <c r="D113" s="33" t="str">
        <f>IF(B113="","",IF('totals_&amp;_RP_counts'!$O$3=0,IFERROR(IF(AA113=2,"0",AB113),""),"-"))</f>
        <v/>
      </c>
      <c r="E113" s="35" t="str">
        <f t="shared" si="84"/>
        <v/>
      </c>
      <c r="F113" s="36" t="str">
        <f t="shared" si="85"/>
        <v/>
      </c>
      <c r="G113" s="36" t="str">
        <f t="shared" si="86"/>
        <v/>
      </c>
      <c r="H113" s="33" t="str">
        <f t="shared" si="64"/>
        <v/>
      </c>
      <c r="I113" s="36" t="str">
        <f t="shared" si="87"/>
        <v/>
      </c>
      <c r="J113" s="36" t="str">
        <f t="shared" si="88"/>
        <v/>
      </c>
      <c r="K113" s="33" t="str">
        <f t="shared" si="65"/>
        <v/>
      </c>
      <c r="L113" s="36" t="str">
        <f t="shared" si="66"/>
        <v/>
      </c>
      <c r="M113" s="36" t="str">
        <f t="shared" si="89"/>
        <v/>
      </c>
      <c r="N113" s="33" t="str">
        <f t="shared" si="90"/>
        <v/>
      </c>
      <c r="O113" s="36" t="str">
        <f t="shared" si="91"/>
        <v/>
      </c>
      <c r="P113" s="36" t="str">
        <f t="shared" si="92"/>
        <v/>
      </c>
      <c r="Q113" s="33" t="str">
        <f t="shared" si="93"/>
        <v/>
      </c>
      <c r="R113" s="1"/>
      <c r="S113" s="1"/>
      <c r="Y113" s="1" t="e">
        <f>VLOOKUP($B$6,LOOKUP_SCE,106,0)</f>
        <v>#N/A</v>
      </c>
      <c r="Z113" s="22" t="str">
        <f t="shared" si="115"/>
        <v/>
      </c>
      <c r="AA113" s="23">
        <f t="shared" si="94"/>
        <v>7</v>
      </c>
      <c r="AB113" s="55" t="e">
        <f t="shared" si="116"/>
        <v>#N/A</v>
      </c>
      <c r="AC113" s="38" t="e">
        <f t="shared" si="95"/>
        <v>#N/A</v>
      </c>
      <c r="AD113" s="38" t="e">
        <f t="shared" si="96"/>
        <v>#N/A</v>
      </c>
      <c r="AE113" s="415" t="e">
        <f t="shared" si="117"/>
        <v>#N/A</v>
      </c>
      <c r="AF113" s="10">
        <f t="shared" si="97"/>
        <v>7</v>
      </c>
      <c r="AG113" s="38" t="e">
        <f t="shared" si="70"/>
        <v>#N/A</v>
      </c>
      <c r="AH113" s="38" t="e">
        <f t="shared" si="98"/>
        <v>#N/A</v>
      </c>
      <c r="AI113" s="10" t="e">
        <f t="shared" si="118"/>
        <v>#N/A</v>
      </c>
      <c r="AJ113" s="39" t="e">
        <f t="shared" si="99"/>
        <v>#N/A</v>
      </c>
      <c r="AK113" s="40" t="e">
        <f t="shared" si="72"/>
        <v>#N/A</v>
      </c>
      <c r="AL113" s="11" t="e">
        <f t="shared" si="119"/>
        <v>#N/A</v>
      </c>
      <c r="AM113" s="41">
        <f t="shared" si="100"/>
        <v>7</v>
      </c>
      <c r="AN113" s="57" t="e">
        <f t="shared" si="74"/>
        <v>#N/A</v>
      </c>
      <c r="AO113" s="40" t="e">
        <f t="shared" si="101"/>
        <v>#N/A</v>
      </c>
      <c r="AP113" s="417" t="e">
        <f t="shared" si="120"/>
        <v>#N/A</v>
      </c>
      <c r="AQ113" s="56">
        <f t="shared" si="102"/>
        <v>7</v>
      </c>
      <c r="AR113" s="43" t="e">
        <f t="shared" si="103"/>
        <v>#N/A</v>
      </c>
      <c r="AS113" s="44" t="e">
        <f t="shared" si="104"/>
        <v>#N/A</v>
      </c>
      <c r="AT113" s="45" t="e">
        <f t="shared" si="121"/>
        <v>#N/A</v>
      </c>
      <c r="AU113" s="14">
        <f t="shared" si="105"/>
        <v>7</v>
      </c>
      <c r="AV113" s="44" t="e">
        <f t="shared" si="77"/>
        <v>#N/A</v>
      </c>
      <c r="AW113" s="14" t="e">
        <f t="shared" si="106"/>
        <v>#N/A</v>
      </c>
      <c r="AX113" s="14" t="e">
        <f t="shared" si="122"/>
        <v>#N/A</v>
      </c>
      <c r="AY113" s="46">
        <f t="shared" si="107"/>
        <v>7</v>
      </c>
      <c r="AZ113" s="47" t="e">
        <f t="shared" si="108"/>
        <v>#N/A</v>
      </c>
      <c r="BA113" s="48" t="e">
        <f t="shared" si="109"/>
        <v>#N/A</v>
      </c>
      <c r="BB113" s="31" t="e">
        <f t="shared" si="123"/>
        <v>#N/A</v>
      </c>
      <c r="BC113" s="28">
        <f t="shared" si="110"/>
        <v>7</v>
      </c>
      <c r="BD113" s="47" t="e">
        <f t="shared" si="111"/>
        <v>#N/A</v>
      </c>
      <c r="BE113" s="48" t="e">
        <f t="shared" si="112"/>
        <v>#N/A</v>
      </c>
      <c r="BF113" s="31" t="e">
        <f t="shared" si="124"/>
        <v>#N/A</v>
      </c>
      <c r="BG113" s="49" t="e">
        <f t="shared" si="125"/>
        <v>#N/A</v>
      </c>
      <c r="BH113" s="1" t="e">
        <f>VLOOKUP($B113,STOCK_BY_LA!$A$2:$C$10477,3,0)</f>
        <v>#N/A</v>
      </c>
      <c r="BI113" s="1" t="str">
        <f t="shared" si="113"/>
        <v/>
      </c>
    </row>
    <row r="114" spans="1:61" x14ac:dyDescent="0.35">
      <c r="A114" s="1" t="str">
        <f t="shared" si="126"/>
        <v/>
      </c>
      <c r="B114" s="1" t="str">
        <f t="shared" si="114"/>
        <v/>
      </c>
      <c r="C114" s="50" t="str">
        <f t="shared" si="83"/>
        <v/>
      </c>
      <c r="D114" s="33" t="str">
        <f>IF(B114="","",IF('totals_&amp;_RP_counts'!$O$3=0,IFERROR(IF(AA114=2,"0",AB114),""),"-"))</f>
        <v/>
      </c>
      <c r="E114" s="35" t="str">
        <f t="shared" si="84"/>
        <v/>
      </c>
      <c r="F114" s="36" t="str">
        <f t="shared" si="85"/>
        <v/>
      </c>
      <c r="G114" s="36" t="str">
        <f t="shared" si="86"/>
        <v/>
      </c>
      <c r="H114" s="33" t="str">
        <f t="shared" si="64"/>
        <v/>
      </c>
      <c r="I114" s="36" t="str">
        <f t="shared" si="87"/>
        <v/>
      </c>
      <c r="J114" s="36" t="str">
        <f t="shared" si="88"/>
        <v/>
      </c>
      <c r="K114" s="33" t="str">
        <f t="shared" si="65"/>
        <v/>
      </c>
      <c r="L114" s="36" t="str">
        <f t="shared" si="66"/>
        <v/>
      </c>
      <c r="M114" s="36" t="str">
        <f t="shared" si="89"/>
        <v/>
      </c>
      <c r="N114" s="33" t="str">
        <f t="shared" si="90"/>
        <v/>
      </c>
      <c r="O114" s="36" t="str">
        <f t="shared" si="91"/>
        <v/>
      </c>
      <c r="P114" s="36" t="str">
        <f t="shared" si="92"/>
        <v/>
      </c>
      <c r="Q114" s="33" t="str">
        <f t="shared" si="93"/>
        <v/>
      </c>
      <c r="R114" s="1"/>
      <c r="S114" s="1"/>
      <c r="Y114" s="1" t="e">
        <f>VLOOKUP($B$6,LOOKUP_SCE,107,0)</f>
        <v>#N/A</v>
      </c>
      <c r="Z114" s="22" t="str">
        <f t="shared" si="115"/>
        <v/>
      </c>
      <c r="AA114" s="23">
        <f t="shared" si="94"/>
        <v>7</v>
      </c>
      <c r="AB114" s="55" t="e">
        <f t="shared" si="116"/>
        <v>#N/A</v>
      </c>
      <c r="AC114" s="38" t="e">
        <f t="shared" si="95"/>
        <v>#N/A</v>
      </c>
      <c r="AD114" s="38" t="e">
        <f t="shared" si="96"/>
        <v>#N/A</v>
      </c>
      <c r="AE114" s="415" t="e">
        <f t="shared" si="117"/>
        <v>#N/A</v>
      </c>
      <c r="AF114" s="10">
        <f t="shared" si="97"/>
        <v>7</v>
      </c>
      <c r="AG114" s="38" t="e">
        <f t="shared" si="70"/>
        <v>#N/A</v>
      </c>
      <c r="AH114" s="38" t="e">
        <f t="shared" si="98"/>
        <v>#N/A</v>
      </c>
      <c r="AI114" s="10" t="e">
        <f t="shared" si="118"/>
        <v>#N/A</v>
      </c>
      <c r="AJ114" s="39" t="e">
        <f t="shared" si="99"/>
        <v>#N/A</v>
      </c>
      <c r="AK114" s="40" t="e">
        <f t="shared" si="72"/>
        <v>#N/A</v>
      </c>
      <c r="AL114" s="11" t="e">
        <f t="shared" si="119"/>
        <v>#N/A</v>
      </c>
      <c r="AM114" s="41">
        <f t="shared" si="100"/>
        <v>7</v>
      </c>
      <c r="AN114" s="57" t="e">
        <f t="shared" si="74"/>
        <v>#N/A</v>
      </c>
      <c r="AO114" s="40" t="e">
        <f t="shared" si="101"/>
        <v>#N/A</v>
      </c>
      <c r="AP114" s="417" t="e">
        <f t="shared" si="120"/>
        <v>#N/A</v>
      </c>
      <c r="AQ114" s="56">
        <f t="shared" si="102"/>
        <v>7</v>
      </c>
      <c r="AR114" s="43" t="e">
        <f t="shared" si="103"/>
        <v>#N/A</v>
      </c>
      <c r="AS114" s="44" t="e">
        <f t="shared" si="104"/>
        <v>#N/A</v>
      </c>
      <c r="AT114" s="45" t="e">
        <f t="shared" si="121"/>
        <v>#N/A</v>
      </c>
      <c r="AU114" s="14">
        <f t="shared" si="105"/>
        <v>7</v>
      </c>
      <c r="AV114" s="44" t="e">
        <f t="shared" si="77"/>
        <v>#N/A</v>
      </c>
      <c r="AW114" s="14" t="e">
        <f t="shared" si="106"/>
        <v>#N/A</v>
      </c>
      <c r="AX114" s="14" t="e">
        <f t="shared" si="122"/>
        <v>#N/A</v>
      </c>
      <c r="AY114" s="46">
        <f t="shared" si="107"/>
        <v>7</v>
      </c>
      <c r="AZ114" s="47" t="e">
        <f t="shared" si="108"/>
        <v>#N/A</v>
      </c>
      <c r="BA114" s="48" t="e">
        <f t="shared" si="109"/>
        <v>#N/A</v>
      </c>
      <c r="BB114" s="31" t="e">
        <f t="shared" si="123"/>
        <v>#N/A</v>
      </c>
      <c r="BC114" s="28">
        <f t="shared" si="110"/>
        <v>7</v>
      </c>
      <c r="BD114" s="47" t="e">
        <f t="shared" si="111"/>
        <v>#N/A</v>
      </c>
      <c r="BE114" s="48" t="e">
        <f t="shared" si="112"/>
        <v>#N/A</v>
      </c>
      <c r="BF114" s="31" t="e">
        <f t="shared" si="124"/>
        <v>#N/A</v>
      </c>
      <c r="BG114" s="49" t="e">
        <f t="shared" si="125"/>
        <v>#N/A</v>
      </c>
      <c r="BH114" s="1" t="e">
        <f>VLOOKUP($B114,STOCK_BY_LA!$A$2:$C$10477,3,0)</f>
        <v>#N/A</v>
      </c>
      <c r="BI114" s="1" t="str">
        <f t="shared" si="113"/>
        <v/>
      </c>
    </row>
    <row r="115" spans="1:61" x14ac:dyDescent="0.35">
      <c r="A115" s="33" t="str">
        <f t="shared" si="126"/>
        <v/>
      </c>
      <c r="B115" s="1" t="str">
        <f t="shared" si="114"/>
        <v/>
      </c>
      <c r="C115" s="34" t="str">
        <f t="shared" si="83"/>
        <v/>
      </c>
      <c r="D115" s="33" t="str">
        <f>IF(B115="","",IF('totals_&amp;_RP_counts'!$O$3=0,IFERROR(IF(AA115=2,"0",AB115),""),"-"))</f>
        <v/>
      </c>
      <c r="E115" s="35" t="str">
        <f t="shared" si="84"/>
        <v/>
      </c>
      <c r="F115" s="36" t="str">
        <f t="shared" si="85"/>
        <v/>
      </c>
      <c r="G115" s="36" t="str">
        <f t="shared" si="86"/>
        <v/>
      </c>
      <c r="H115" s="33" t="str">
        <f t="shared" si="64"/>
        <v/>
      </c>
      <c r="I115" s="36" t="str">
        <f t="shared" si="87"/>
        <v/>
      </c>
      <c r="J115" s="36" t="str">
        <f t="shared" si="88"/>
        <v/>
      </c>
      <c r="K115" s="33" t="str">
        <f t="shared" si="65"/>
        <v/>
      </c>
      <c r="L115" s="36" t="str">
        <f t="shared" si="66"/>
        <v/>
      </c>
      <c r="M115" s="36" t="str">
        <f t="shared" si="89"/>
        <v/>
      </c>
      <c r="N115" s="33" t="str">
        <f t="shared" si="90"/>
        <v/>
      </c>
      <c r="O115" s="36" t="str">
        <f t="shared" si="91"/>
        <v/>
      </c>
      <c r="P115" s="36" t="str">
        <f t="shared" si="92"/>
        <v/>
      </c>
      <c r="Q115" s="33" t="str">
        <f t="shared" si="93"/>
        <v/>
      </c>
      <c r="R115" s="1"/>
      <c r="S115" s="1"/>
      <c r="Y115" s="1" t="e">
        <f>VLOOKUP($B$6,LOOKUP_SCE,108,0)</f>
        <v>#N/A</v>
      </c>
      <c r="Z115" s="22" t="str">
        <f t="shared" si="115"/>
        <v/>
      </c>
      <c r="AA115" s="23">
        <f t="shared" si="94"/>
        <v>7</v>
      </c>
      <c r="AB115" s="55" t="e">
        <f t="shared" si="116"/>
        <v>#N/A</v>
      </c>
      <c r="AC115" s="38" t="e">
        <f t="shared" si="95"/>
        <v>#N/A</v>
      </c>
      <c r="AD115" s="38" t="e">
        <f t="shared" si="96"/>
        <v>#N/A</v>
      </c>
      <c r="AE115" s="415" t="e">
        <f t="shared" si="117"/>
        <v>#N/A</v>
      </c>
      <c r="AF115" s="10">
        <f t="shared" si="97"/>
        <v>7</v>
      </c>
      <c r="AG115" s="38" t="e">
        <f t="shared" si="70"/>
        <v>#N/A</v>
      </c>
      <c r="AH115" s="38" t="e">
        <f t="shared" si="98"/>
        <v>#N/A</v>
      </c>
      <c r="AI115" s="10" t="e">
        <f t="shared" si="118"/>
        <v>#N/A</v>
      </c>
      <c r="AJ115" s="39" t="e">
        <f t="shared" si="99"/>
        <v>#N/A</v>
      </c>
      <c r="AK115" s="40" t="e">
        <f t="shared" si="72"/>
        <v>#N/A</v>
      </c>
      <c r="AL115" s="11" t="e">
        <f t="shared" si="119"/>
        <v>#N/A</v>
      </c>
      <c r="AM115" s="41">
        <f t="shared" si="100"/>
        <v>7</v>
      </c>
      <c r="AN115" s="57" t="e">
        <f t="shared" si="74"/>
        <v>#N/A</v>
      </c>
      <c r="AO115" s="40" t="e">
        <f t="shared" si="101"/>
        <v>#N/A</v>
      </c>
      <c r="AP115" s="417" t="e">
        <f t="shared" si="120"/>
        <v>#N/A</v>
      </c>
      <c r="AQ115" s="56">
        <f t="shared" si="102"/>
        <v>7</v>
      </c>
      <c r="AR115" s="43" t="e">
        <f t="shared" si="103"/>
        <v>#N/A</v>
      </c>
      <c r="AS115" s="44" t="e">
        <f t="shared" si="104"/>
        <v>#N/A</v>
      </c>
      <c r="AT115" s="45" t="e">
        <f t="shared" si="121"/>
        <v>#N/A</v>
      </c>
      <c r="AU115" s="14">
        <f t="shared" si="105"/>
        <v>7</v>
      </c>
      <c r="AV115" s="44" t="e">
        <f t="shared" si="77"/>
        <v>#N/A</v>
      </c>
      <c r="AW115" s="14" t="e">
        <f t="shared" si="106"/>
        <v>#N/A</v>
      </c>
      <c r="AX115" s="14" t="e">
        <f t="shared" si="122"/>
        <v>#N/A</v>
      </c>
      <c r="AY115" s="46">
        <f t="shared" si="107"/>
        <v>7</v>
      </c>
      <c r="AZ115" s="47" t="e">
        <f t="shared" si="108"/>
        <v>#N/A</v>
      </c>
      <c r="BA115" s="48" t="e">
        <f t="shared" si="109"/>
        <v>#N/A</v>
      </c>
      <c r="BB115" s="31" t="e">
        <f t="shared" si="123"/>
        <v>#N/A</v>
      </c>
      <c r="BC115" s="28">
        <f t="shared" si="110"/>
        <v>7</v>
      </c>
      <c r="BD115" s="47" t="e">
        <f t="shared" si="111"/>
        <v>#N/A</v>
      </c>
      <c r="BE115" s="48" t="e">
        <f t="shared" si="112"/>
        <v>#N/A</v>
      </c>
      <c r="BF115" s="31" t="e">
        <f t="shared" si="124"/>
        <v>#N/A</v>
      </c>
      <c r="BG115" s="49" t="e">
        <f t="shared" si="125"/>
        <v>#N/A</v>
      </c>
      <c r="BH115" s="1" t="e">
        <f>VLOOKUP($B115,STOCK_BY_LA!$A$2:$C$10477,3,0)</f>
        <v>#N/A</v>
      </c>
      <c r="BI115" s="1" t="str">
        <f t="shared" si="113"/>
        <v/>
      </c>
    </row>
    <row r="116" spans="1:61" x14ac:dyDescent="0.35">
      <c r="A116" s="1" t="str">
        <f t="shared" si="126"/>
        <v/>
      </c>
      <c r="B116" s="1" t="str">
        <f t="shared" si="114"/>
        <v/>
      </c>
      <c r="C116" s="50" t="str">
        <f t="shared" si="83"/>
        <v/>
      </c>
      <c r="D116" s="33" t="str">
        <f>IF(B116="","",IF('totals_&amp;_RP_counts'!$O$3=0,IFERROR(IF(AA116=2,"0",AB116),""),"-"))</f>
        <v/>
      </c>
      <c r="E116" s="35" t="str">
        <f t="shared" si="84"/>
        <v/>
      </c>
      <c r="F116" s="36" t="str">
        <f t="shared" si="85"/>
        <v/>
      </c>
      <c r="G116" s="36" t="str">
        <f t="shared" si="86"/>
        <v/>
      </c>
      <c r="H116" s="33" t="str">
        <f t="shared" si="64"/>
        <v/>
      </c>
      <c r="I116" s="36" t="str">
        <f t="shared" si="87"/>
        <v/>
      </c>
      <c r="J116" s="36" t="str">
        <f t="shared" si="88"/>
        <v/>
      </c>
      <c r="K116" s="33" t="str">
        <f t="shared" si="65"/>
        <v/>
      </c>
      <c r="L116" s="36" t="str">
        <f t="shared" si="66"/>
        <v/>
      </c>
      <c r="M116" s="36" t="str">
        <f t="shared" si="89"/>
        <v/>
      </c>
      <c r="N116" s="33" t="str">
        <f t="shared" si="90"/>
        <v/>
      </c>
      <c r="O116" s="36" t="str">
        <f t="shared" si="91"/>
        <v/>
      </c>
      <c r="P116" s="36" t="str">
        <f t="shared" si="92"/>
        <v/>
      </c>
      <c r="Q116" s="33" t="str">
        <f t="shared" si="93"/>
        <v/>
      </c>
      <c r="R116" s="1"/>
      <c r="S116" s="1"/>
      <c r="Y116" s="1" t="e">
        <f>VLOOKUP($B$6,LOOKUP_SCE,109,0)</f>
        <v>#N/A</v>
      </c>
      <c r="Z116" s="22" t="str">
        <f t="shared" si="115"/>
        <v/>
      </c>
      <c r="AA116" s="23">
        <f t="shared" si="94"/>
        <v>7</v>
      </c>
      <c r="AB116" s="55" t="e">
        <f t="shared" si="116"/>
        <v>#N/A</v>
      </c>
      <c r="AC116" s="38" t="e">
        <f t="shared" si="95"/>
        <v>#N/A</v>
      </c>
      <c r="AD116" s="38" t="e">
        <f t="shared" si="96"/>
        <v>#N/A</v>
      </c>
      <c r="AE116" s="415" t="e">
        <f t="shared" si="117"/>
        <v>#N/A</v>
      </c>
      <c r="AF116" s="10">
        <f t="shared" si="97"/>
        <v>7</v>
      </c>
      <c r="AG116" s="38" t="e">
        <f t="shared" si="70"/>
        <v>#N/A</v>
      </c>
      <c r="AH116" s="38" t="e">
        <f t="shared" si="98"/>
        <v>#N/A</v>
      </c>
      <c r="AI116" s="10" t="e">
        <f t="shared" si="118"/>
        <v>#N/A</v>
      </c>
      <c r="AJ116" s="39" t="e">
        <f t="shared" si="99"/>
        <v>#N/A</v>
      </c>
      <c r="AK116" s="40" t="e">
        <f t="shared" si="72"/>
        <v>#N/A</v>
      </c>
      <c r="AL116" s="11" t="e">
        <f t="shared" si="119"/>
        <v>#N/A</v>
      </c>
      <c r="AM116" s="41">
        <f t="shared" si="100"/>
        <v>7</v>
      </c>
      <c r="AN116" s="57" t="e">
        <f t="shared" si="74"/>
        <v>#N/A</v>
      </c>
      <c r="AO116" s="40" t="e">
        <f t="shared" si="101"/>
        <v>#N/A</v>
      </c>
      <c r="AP116" s="417" t="e">
        <f t="shared" si="120"/>
        <v>#N/A</v>
      </c>
      <c r="AQ116" s="56">
        <f t="shared" si="102"/>
        <v>7</v>
      </c>
      <c r="AR116" s="43" t="e">
        <f t="shared" si="103"/>
        <v>#N/A</v>
      </c>
      <c r="AS116" s="44" t="e">
        <f t="shared" si="104"/>
        <v>#N/A</v>
      </c>
      <c r="AT116" s="45" t="e">
        <f t="shared" si="121"/>
        <v>#N/A</v>
      </c>
      <c r="AU116" s="14">
        <f t="shared" si="105"/>
        <v>7</v>
      </c>
      <c r="AV116" s="44" t="e">
        <f t="shared" si="77"/>
        <v>#N/A</v>
      </c>
      <c r="AW116" s="14" t="e">
        <f t="shared" si="106"/>
        <v>#N/A</v>
      </c>
      <c r="AX116" s="14" t="e">
        <f t="shared" si="122"/>
        <v>#N/A</v>
      </c>
      <c r="AY116" s="46">
        <f t="shared" si="107"/>
        <v>7</v>
      </c>
      <c r="AZ116" s="47" t="e">
        <f t="shared" si="108"/>
        <v>#N/A</v>
      </c>
      <c r="BA116" s="48" t="e">
        <f t="shared" si="109"/>
        <v>#N/A</v>
      </c>
      <c r="BB116" s="31" t="e">
        <f t="shared" si="123"/>
        <v>#N/A</v>
      </c>
      <c r="BC116" s="28">
        <f t="shared" si="110"/>
        <v>7</v>
      </c>
      <c r="BD116" s="47" t="e">
        <f t="shared" si="111"/>
        <v>#N/A</v>
      </c>
      <c r="BE116" s="48" t="e">
        <f t="shared" si="112"/>
        <v>#N/A</v>
      </c>
      <c r="BF116" s="31" t="e">
        <f t="shared" si="124"/>
        <v>#N/A</v>
      </c>
      <c r="BG116" s="49" t="e">
        <f t="shared" si="125"/>
        <v>#N/A</v>
      </c>
      <c r="BH116" s="1" t="e">
        <f>VLOOKUP($B116,STOCK_BY_LA!$A$2:$C$10477,3,0)</f>
        <v>#N/A</v>
      </c>
      <c r="BI116" s="1" t="str">
        <f t="shared" si="113"/>
        <v/>
      </c>
    </row>
    <row r="117" spans="1:61" x14ac:dyDescent="0.35">
      <c r="A117" s="33" t="str">
        <f t="shared" si="126"/>
        <v/>
      </c>
      <c r="B117" s="1" t="str">
        <f t="shared" si="114"/>
        <v/>
      </c>
      <c r="C117" s="34" t="str">
        <f t="shared" si="83"/>
        <v/>
      </c>
      <c r="D117" s="33" t="str">
        <f>IF(B117="","",IF('totals_&amp;_RP_counts'!$O$3=0,IFERROR(IF(AA117=2,"0",AB117),""),"-"))</f>
        <v/>
      </c>
      <c r="E117" s="35" t="str">
        <f t="shared" si="84"/>
        <v/>
      </c>
      <c r="F117" s="36" t="str">
        <f t="shared" si="85"/>
        <v/>
      </c>
      <c r="G117" s="36" t="str">
        <f t="shared" si="86"/>
        <v/>
      </c>
      <c r="H117" s="33" t="str">
        <f t="shared" si="64"/>
        <v/>
      </c>
      <c r="I117" s="36" t="str">
        <f t="shared" si="87"/>
        <v/>
      </c>
      <c r="J117" s="36" t="str">
        <f t="shared" si="88"/>
        <v/>
      </c>
      <c r="K117" s="33" t="str">
        <f t="shared" si="65"/>
        <v/>
      </c>
      <c r="L117" s="36" t="str">
        <f t="shared" si="66"/>
        <v/>
      </c>
      <c r="M117" s="36" t="str">
        <f t="shared" si="89"/>
        <v/>
      </c>
      <c r="N117" s="33" t="str">
        <f t="shared" si="90"/>
        <v/>
      </c>
      <c r="O117" s="36" t="str">
        <f t="shared" si="91"/>
        <v/>
      </c>
      <c r="P117" s="36" t="str">
        <f t="shared" si="92"/>
        <v/>
      </c>
      <c r="Q117" s="33" t="str">
        <f t="shared" si="93"/>
        <v/>
      </c>
      <c r="R117" s="1"/>
      <c r="S117" s="1"/>
      <c r="Y117" s="1" t="e">
        <f>VLOOKUP($B$6,LOOKUP_SCE,110,0)</f>
        <v>#N/A</v>
      </c>
      <c r="Z117" s="22" t="str">
        <f t="shared" si="115"/>
        <v/>
      </c>
      <c r="AA117" s="23">
        <f t="shared" si="94"/>
        <v>7</v>
      </c>
      <c r="AB117" s="55" t="e">
        <f t="shared" si="116"/>
        <v>#N/A</v>
      </c>
      <c r="AC117" s="38" t="e">
        <f t="shared" si="95"/>
        <v>#N/A</v>
      </c>
      <c r="AD117" s="38" t="e">
        <f t="shared" si="96"/>
        <v>#N/A</v>
      </c>
      <c r="AE117" s="415" t="e">
        <f t="shared" si="117"/>
        <v>#N/A</v>
      </c>
      <c r="AF117" s="10">
        <f t="shared" si="97"/>
        <v>7</v>
      </c>
      <c r="AG117" s="38" t="e">
        <f t="shared" si="70"/>
        <v>#N/A</v>
      </c>
      <c r="AH117" s="38" t="e">
        <f t="shared" si="98"/>
        <v>#N/A</v>
      </c>
      <c r="AI117" s="10" t="e">
        <f t="shared" si="118"/>
        <v>#N/A</v>
      </c>
      <c r="AJ117" s="39" t="e">
        <f t="shared" si="99"/>
        <v>#N/A</v>
      </c>
      <c r="AK117" s="40" t="e">
        <f t="shared" si="72"/>
        <v>#N/A</v>
      </c>
      <c r="AL117" s="11" t="e">
        <f t="shared" si="119"/>
        <v>#N/A</v>
      </c>
      <c r="AM117" s="41">
        <f t="shared" si="100"/>
        <v>7</v>
      </c>
      <c r="AN117" s="57" t="e">
        <f t="shared" si="74"/>
        <v>#N/A</v>
      </c>
      <c r="AO117" s="40" t="e">
        <f t="shared" si="101"/>
        <v>#N/A</v>
      </c>
      <c r="AP117" s="417" t="e">
        <f t="shared" si="120"/>
        <v>#N/A</v>
      </c>
      <c r="AQ117" s="56">
        <f t="shared" si="102"/>
        <v>7</v>
      </c>
      <c r="AR117" s="43" t="e">
        <f t="shared" si="103"/>
        <v>#N/A</v>
      </c>
      <c r="AS117" s="44" t="e">
        <f t="shared" si="104"/>
        <v>#N/A</v>
      </c>
      <c r="AT117" s="45" t="e">
        <f t="shared" si="121"/>
        <v>#N/A</v>
      </c>
      <c r="AU117" s="14">
        <f t="shared" si="105"/>
        <v>7</v>
      </c>
      <c r="AV117" s="44" t="e">
        <f t="shared" si="77"/>
        <v>#N/A</v>
      </c>
      <c r="AW117" s="14" t="e">
        <f t="shared" si="106"/>
        <v>#N/A</v>
      </c>
      <c r="AX117" s="14" t="e">
        <f t="shared" si="122"/>
        <v>#N/A</v>
      </c>
      <c r="AY117" s="46">
        <f t="shared" si="107"/>
        <v>7</v>
      </c>
      <c r="AZ117" s="47" t="e">
        <f t="shared" si="108"/>
        <v>#N/A</v>
      </c>
      <c r="BA117" s="48" t="e">
        <f t="shared" si="109"/>
        <v>#N/A</v>
      </c>
      <c r="BB117" s="31" t="e">
        <f t="shared" si="123"/>
        <v>#N/A</v>
      </c>
      <c r="BC117" s="28">
        <f t="shared" si="110"/>
        <v>7</v>
      </c>
      <c r="BD117" s="47" t="e">
        <f t="shared" si="111"/>
        <v>#N/A</v>
      </c>
      <c r="BE117" s="48" t="e">
        <f t="shared" si="112"/>
        <v>#N/A</v>
      </c>
      <c r="BF117" s="31" t="e">
        <f t="shared" si="124"/>
        <v>#N/A</v>
      </c>
      <c r="BG117" s="49" t="e">
        <f t="shared" si="125"/>
        <v>#N/A</v>
      </c>
      <c r="BH117" s="1" t="e">
        <f>VLOOKUP($B117,STOCK_BY_LA!$A$2:$C$10477,3,0)</f>
        <v>#N/A</v>
      </c>
      <c r="BI117" s="1" t="str">
        <f t="shared" si="113"/>
        <v/>
      </c>
    </row>
    <row r="118" spans="1:61" x14ac:dyDescent="0.35">
      <c r="A118" s="1" t="str">
        <f t="shared" si="126"/>
        <v/>
      </c>
      <c r="B118" s="1" t="str">
        <f t="shared" si="114"/>
        <v/>
      </c>
      <c r="C118" s="50" t="str">
        <f t="shared" si="83"/>
        <v/>
      </c>
      <c r="D118" s="33" t="str">
        <f>IF(B118="","",IF('totals_&amp;_RP_counts'!$O$3=0,IFERROR(IF(AA118=2,"0",AB118),""),"-"))</f>
        <v/>
      </c>
      <c r="E118" s="35" t="str">
        <f t="shared" si="84"/>
        <v/>
      </c>
      <c r="F118" s="36" t="str">
        <f t="shared" si="85"/>
        <v/>
      </c>
      <c r="G118" s="36" t="str">
        <f t="shared" si="86"/>
        <v/>
      </c>
      <c r="H118" s="33" t="str">
        <f t="shared" si="64"/>
        <v/>
      </c>
      <c r="I118" s="36" t="str">
        <f t="shared" si="87"/>
        <v/>
      </c>
      <c r="J118" s="36" t="str">
        <f t="shared" si="88"/>
        <v/>
      </c>
      <c r="K118" s="33" t="str">
        <f t="shared" si="65"/>
        <v/>
      </c>
      <c r="L118" s="36" t="str">
        <f t="shared" si="66"/>
        <v/>
      </c>
      <c r="M118" s="36" t="str">
        <f t="shared" si="89"/>
        <v/>
      </c>
      <c r="N118" s="33" t="str">
        <f t="shared" si="90"/>
        <v/>
      </c>
      <c r="O118" s="36" t="str">
        <f t="shared" si="91"/>
        <v/>
      </c>
      <c r="P118" s="36" t="str">
        <f t="shared" si="92"/>
        <v/>
      </c>
      <c r="Q118" s="33" t="str">
        <f t="shared" si="93"/>
        <v/>
      </c>
      <c r="R118" s="1"/>
      <c r="S118" s="1"/>
      <c r="Y118" s="1" t="e">
        <f>VLOOKUP($B$6,LOOKUP_SCE,111,0)</f>
        <v>#N/A</v>
      </c>
      <c r="Z118" s="22" t="str">
        <f t="shared" si="115"/>
        <v/>
      </c>
      <c r="AA118" s="23">
        <f t="shared" si="94"/>
        <v>7</v>
      </c>
      <c r="AB118" s="55" t="e">
        <f t="shared" si="116"/>
        <v>#N/A</v>
      </c>
      <c r="AC118" s="38" t="e">
        <f t="shared" si="95"/>
        <v>#N/A</v>
      </c>
      <c r="AD118" s="38" t="e">
        <f t="shared" si="96"/>
        <v>#N/A</v>
      </c>
      <c r="AE118" s="415" t="e">
        <f t="shared" si="117"/>
        <v>#N/A</v>
      </c>
      <c r="AF118" s="10">
        <f t="shared" si="97"/>
        <v>7</v>
      </c>
      <c r="AG118" s="38" t="e">
        <f t="shared" si="70"/>
        <v>#N/A</v>
      </c>
      <c r="AH118" s="38" t="e">
        <f t="shared" si="98"/>
        <v>#N/A</v>
      </c>
      <c r="AI118" s="10" t="e">
        <f t="shared" si="118"/>
        <v>#N/A</v>
      </c>
      <c r="AJ118" s="39" t="e">
        <f t="shared" si="99"/>
        <v>#N/A</v>
      </c>
      <c r="AK118" s="40" t="e">
        <f t="shared" si="72"/>
        <v>#N/A</v>
      </c>
      <c r="AL118" s="11" t="e">
        <f t="shared" si="119"/>
        <v>#N/A</v>
      </c>
      <c r="AM118" s="41">
        <f t="shared" si="100"/>
        <v>7</v>
      </c>
      <c r="AN118" s="57" t="e">
        <f t="shared" si="74"/>
        <v>#N/A</v>
      </c>
      <c r="AO118" s="40" t="e">
        <f t="shared" si="101"/>
        <v>#N/A</v>
      </c>
      <c r="AP118" s="417" t="e">
        <f t="shared" si="120"/>
        <v>#N/A</v>
      </c>
      <c r="AQ118" s="56">
        <f t="shared" si="102"/>
        <v>7</v>
      </c>
      <c r="AR118" s="43" t="e">
        <f t="shared" si="103"/>
        <v>#N/A</v>
      </c>
      <c r="AS118" s="44" t="e">
        <f t="shared" si="104"/>
        <v>#N/A</v>
      </c>
      <c r="AT118" s="45" t="e">
        <f t="shared" si="121"/>
        <v>#N/A</v>
      </c>
      <c r="AU118" s="14">
        <f t="shared" si="105"/>
        <v>7</v>
      </c>
      <c r="AV118" s="44" t="e">
        <f t="shared" si="77"/>
        <v>#N/A</v>
      </c>
      <c r="AW118" s="14" t="e">
        <f t="shared" si="106"/>
        <v>#N/A</v>
      </c>
      <c r="AX118" s="14" t="e">
        <f t="shared" si="122"/>
        <v>#N/A</v>
      </c>
      <c r="AY118" s="46">
        <f t="shared" si="107"/>
        <v>7</v>
      </c>
      <c r="AZ118" s="47" t="e">
        <f t="shared" si="108"/>
        <v>#N/A</v>
      </c>
      <c r="BA118" s="48" t="e">
        <f t="shared" si="109"/>
        <v>#N/A</v>
      </c>
      <c r="BB118" s="31" t="e">
        <f t="shared" si="123"/>
        <v>#N/A</v>
      </c>
      <c r="BC118" s="28">
        <f t="shared" si="110"/>
        <v>7</v>
      </c>
      <c r="BD118" s="47" t="e">
        <f t="shared" si="111"/>
        <v>#N/A</v>
      </c>
      <c r="BE118" s="48" t="e">
        <f t="shared" si="112"/>
        <v>#N/A</v>
      </c>
      <c r="BF118" s="31" t="e">
        <f t="shared" si="124"/>
        <v>#N/A</v>
      </c>
      <c r="BG118" s="49" t="e">
        <f t="shared" si="125"/>
        <v>#N/A</v>
      </c>
      <c r="BH118" s="1" t="e">
        <f>VLOOKUP($B118,STOCK_BY_LA!$A$2:$C$10477,3,0)</f>
        <v>#N/A</v>
      </c>
      <c r="BI118" s="1" t="str">
        <f t="shared" si="113"/>
        <v/>
      </c>
    </row>
    <row r="119" spans="1:61" x14ac:dyDescent="0.35">
      <c r="A119" s="33" t="str">
        <f t="shared" si="126"/>
        <v/>
      </c>
      <c r="B119" s="1" t="str">
        <f t="shared" si="114"/>
        <v/>
      </c>
      <c r="C119" s="34" t="str">
        <f t="shared" si="83"/>
        <v/>
      </c>
      <c r="D119" s="33" t="str">
        <f>IF(B119="","",IF('totals_&amp;_RP_counts'!$O$3=0,IFERROR(IF(AA119=2,"0",AB119),""),"-"))</f>
        <v/>
      </c>
      <c r="E119" s="35" t="str">
        <f t="shared" si="84"/>
        <v/>
      </c>
      <c r="F119" s="36" t="str">
        <f t="shared" si="85"/>
        <v/>
      </c>
      <c r="G119" s="36" t="str">
        <f t="shared" si="86"/>
        <v/>
      </c>
      <c r="H119" s="33" t="str">
        <f t="shared" si="64"/>
        <v/>
      </c>
      <c r="I119" s="36" t="str">
        <f t="shared" si="87"/>
        <v/>
      </c>
      <c r="J119" s="36" t="str">
        <f t="shared" si="88"/>
        <v/>
      </c>
      <c r="K119" s="33" t="str">
        <f t="shared" si="65"/>
        <v/>
      </c>
      <c r="L119" s="36" t="str">
        <f t="shared" si="66"/>
        <v/>
      </c>
      <c r="M119" s="36" t="str">
        <f t="shared" si="89"/>
        <v/>
      </c>
      <c r="N119" s="33" t="str">
        <f t="shared" si="90"/>
        <v/>
      </c>
      <c r="O119" s="36" t="str">
        <f t="shared" si="91"/>
        <v/>
      </c>
      <c r="P119" s="36" t="str">
        <f t="shared" si="92"/>
        <v/>
      </c>
      <c r="Q119" s="33" t="str">
        <f t="shared" si="93"/>
        <v/>
      </c>
      <c r="R119" s="1"/>
      <c r="S119" s="1"/>
      <c r="Y119" s="1" t="e">
        <f>VLOOKUP($B$6,LOOKUP_SCE,112,0)</f>
        <v>#N/A</v>
      </c>
      <c r="Z119" s="22" t="str">
        <f t="shared" si="115"/>
        <v/>
      </c>
      <c r="AA119" s="23">
        <f t="shared" si="94"/>
        <v>7</v>
      </c>
      <c r="AB119" s="55" t="e">
        <f t="shared" si="116"/>
        <v>#N/A</v>
      </c>
      <c r="AC119" s="38" t="e">
        <f t="shared" si="95"/>
        <v>#N/A</v>
      </c>
      <c r="AD119" s="38" t="e">
        <f t="shared" si="96"/>
        <v>#N/A</v>
      </c>
      <c r="AE119" s="415" t="e">
        <f t="shared" si="117"/>
        <v>#N/A</v>
      </c>
      <c r="AF119" s="10">
        <f t="shared" si="97"/>
        <v>7</v>
      </c>
      <c r="AG119" s="38" t="e">
        <f t="shared" si="70"/>
        <v>#N/A</v>
      </c>
      <c r="AH119" s="38" t="e">
        <f t="shared" si="98"/>
        <v>#N/A</v>
      </c>
      <c r="AI119" s="10" t="e">
        <f t="shared" si="118"/>
        <v>#N/A</v>
      </c>
      <c r="AJ119" s="39" t="e">
        <f t="shared" si="99"/>
        <v>#N/A</v>
      </c>
      <c r="AK119" s="40" t="e">
        <f t="shared" si="72"/>
        <v>#N/A</v>
      </c>
      <c r="AL119" s="11" t="e">
        <f t="shared" si="119"/>
        <v>#N/A</v>
      </c>
      <c r="AM119" s="41">
        <f t="shared" si="100"/>
        <v>7</v>
      </c>
      <c r="AN119" s="57" t="e">
        <f t="shared" si="74"/>
        <v>#N/A</v>
      </c>
      <c r="AO119" s="40" t="e">
        <f t="shared" si="101"/>
        <v>#N/A</v>
      </c>
      <c r="AP119" s="417" t="e">
        <f t="shared" si="120"/>
        <v>#N/A</v>
      </c>
      <c r="AQ119" s="56">
        <f t="shared" si="102"/>
        <v>7</v>
      </c>
      <c r="AR119" s="43" t="e">
        <f t="shared" si="103"/>
        <v>#N/A</v>
      </c>
      <c r="AS119" s="44" t="e">
        <f t="shared" si="104"/>
        <v>#N/A</v>
      </c>
      <c r="AT119" s="45" t="e">
        <f t="shared" si="121"/>
        <v>#N/A</v>
      </c>
      <c r="AU119" s="14">
        <f t="shared" si="105"/>
        <v>7</v>
      </c>
      <c r="AV119" s="44" t="e">
        <f t="shared" si="77"/>
        <v>#N/A</v>
      </c>
      <c r="AW119" s="14" t="e">
        <f t="shared" si="106"/>
        <v>#N/A</v>
      </c>
      <c r="AX119" s="14" t="e">
        <f t="shared" si="122"/>
        <v>#N/A</v>
      </c>
      <c r="AY119" s="46">
        <f t="shared" si="107"/>
        <v>7</v>
      </c>
      <c r="AZ119" s="47" t="e">
        <f t="shared" si="108"/>
        <v>#N/A</v>
      </c>
      <c r="BA119" s="48" t="e">
        <f t="shared" si="109"/>
        <v>#N/A</v>
      </c>
      <c r="BB119" s="31" t="e">
        <f t="shared" si="123"/>
        <v>#N/A</v>
      </c>
      <c r="BC119" s="28">
        <f t="shared" si="110"/>
        <v>7</v>
      </c>
      <c r="BD119" s="47" t="e">
        <f t="shared" si="111"/>
        <v>#N/A</v>
      </c>
      <c r="BE119" s="48" t="e">
        <f t="shared" si="112"/>
        <v>#N/A</v>
      </c>
      <c r="BF119" s="31" t="e">
        <f t="shared" si="124"/>
        <v>#N/A</v>
      </c>
      <c r="BG119" s="49" t="e">
        <f t="shared" si="125"/>
        <v>#N/A</v>
      </c>
      <c r="BH119" s="1" t="e">
        <f>VLOOKUP($B119,STOCK_BY_LA!$A$2:$C$10477,3,0)</f>
        <v>#N/A</v>
      </c>
      <c r="BI119" s="1" t="str">
        <f t="shared" si="113"/>
        <v/>
      </c>
    </row>
    <row r="120" spans="1:61" x14ac:dyDescent="0.35">
      <c r="A120" s="1" t="str">
        <f t="shared" si="126"/>
        <v/>
      </c>
      <c r="B120" s="1" t="str">
        <f t="shared" si="114"/>
        <v/>
      </c>
      <c r="C120" s="50" t="str">
        <f t="shared" si="83"/>
        <v/>
      </c>
      <c r="D120" s="33" t="str">
        <f>IF(B120="","",IF('totals_&amp;_RP_counts'!$O$3=0,IFERROR(IF(AA120=2,"0",AB120),""),"-"))</f>
        <v/>
      </c>
      <c r="E120" s="35" t="str">
        <f t="shared" si="84"/>
        <v/>
      </c>
      <c r="F120" s="36" t="str">
        <f t="shared" si="85"/>
        <v/>
      </c>
      <c r="G120" s="36" t="str">
        <f t="shared" si="86"/>
        <v/>
      </c>
      <c r="H120" s="33" t="str">
        <f t="shared" si="64"/>
        <v/>
      </c>
      <c r="I120" s="36" t="str">
        <f t="shared" si="87"/>
        <v/>
      </c>
      <c r="J120" s="36" t="str">
        <f t="shared" si="88"/>
        <v/>
      </c>
      <c r="K120" s="33" t="str">
        <f t="shared" si="65"/>
        <v/>
      </c>
      <c r="L120" s="36" t="str">
        <f t="shared" si="66"/>
        <v/>
      </c>
      <c r="M120" s="36" t="str">
        <f t="shared" si="89"/>
        <v/>
      </c>
      <c r="N120" s="33" t="str">
        <f t="shared" si="90"/>
        <v/>
      </c>
      <c r="O120" s="36" t="str">
        <f t="shared" si="91"/>
        <v/>
      </c>
      <c r="P120" s="36" t="str">
        <f t="shared" si="92"/>
        <v/>
      </c>
      <c r="Q120" s="33" t="str">
        <f t="shared" si="93"/>
        <v/>
      </c>
      <c r="R120" s="1"/>
      <c r="S120" s="1"/>
      <c r="Y120" s="1" t="e">
        <f>VLOOKUP($B$6,LOOKUP_SCE,113,0)</f>
        <v>#N/A</v>
      </c>
      <c r="Z120" s="22" t="str">
        <f t="shared" si="115"/>
        <v/>
      </c>
      <c r="AA120" s="23">
        <f t="shared" si="94"/>
        <v>7</v>
      </c>
      <c r="AB120" s="55" t="e">
        <f t="shared" si="116"/>
        <v>#N/A</v>
      </c>
      <c r="AC120" s="38" t="e">
        <f t="shared" si="95"/>
        <v>#N/A</v>
      </c>
      <c r="AD120" s="38" t="e">
        <f t="shared" si="96"/>
        <v>#N/A</v>
      </c>
      <c r="AE120" s="415" t="e">
        <f t="shared" si="117"/>
        <v>#N/A</v>
      </c>
      <c r="AF120" s="10">
        <f t="shared" si="97"/>
        <v>7</v>
      </c>
      <c r="AG120" s="38" t="e">
        <f t="shared" si="70"/>
        <v>#N/A</v>
      </c>
      <c r="AH120" s="38" t="e">
        <f t="shared" si="98"/>
        <v>#N/A</v>
      </c>
      <c r="AI120" s="10" t="e">
        <f t="shared" si="118"/>
        <v>#N/A</v>
      </c>
      <c r="AJ120" s="39" t="e">
        <f t="shared" si="99"/>
        <v>#N/A</v>
      </c>
      <c r="AK120" s="40" t="e">
        <f t="shared" si="72"/>
        <v>#N/A</v>
      </c>
      <c r="AL120" s="11" t="e">
        <f t="shared" si="119"/>
        <v>#N/A</v>
      </c>
      <c r="AM120" s="41">
        <f t="shared" si="100"/>
        <v>7</v>
      </c>
      <c r="AN120" s="57" t="e">
        <f t="shared" si="74"/>
        <v>#N/A</v>
      </c>
      <c r="AO120" s="40" t="e">
        <f t="shared" si="101"/>
        <v>#N/A</v>
      </c>
      <c r="AP120" s="417" t="e">
        <f t="shared" si="120"/>
        <v>#N/A</v>
      </c>
      <c r="AQ120" s="56">
        <f t="shared" si="102"/>
        <v>7</v>
      </c>
      <c r="AR120" s="43" t="e">
        <f t="shared" si="103"/>
        <v>#N/A</v>
      </c>
      <c r="AS120" s="44" t="e">
        <f t="shared" si="104"/>
        <v>#N/A</v>
      </c>
      <c r="AT120" s="45" t="e">
        <f t="shared" si="121"/>
        <v>#N/A</v>
      </c>
      <c r="AU120" s="14">
        <f t="shared" si="105"/>
        <v>7</v>
      </c>
      <c r="AV120" s="44" t="e">
        <f t="shared" si="77"/>
        <v>#N/A</v>
      </c>
      <c r="AW120" s="14" t="e">
        <f t="shared" si="106"/>
        <v>#N/A</v>
      </c>
      <c r="AX120" s="14" t="e">
        <f t="shared" si="122"/>
        <v>#N/A</v>
      </c>
      <c r="AY120" s="46">
        <f t="shared" si="107"/>
        <v>7</v>
      </c>
      <c r="AZ120" s="47" t="e">
        <f t="shared" si="108"/>
        <v>#N/A</v>
      </c>
      <c r="BA120" s="48" t="e">
        <f t="shared" si="109"/>
        <v>#N/A</v>
      </c>
      <c r="BB120" s="31" t="e">
        <f t="shared" si="123"/>
        <v>#N/A</v>
      </c>
      <c r="BC120" s="28">
        <f t="shared" si="110"/>
        <v>7</v>
      </c>
      <c r="BD120" s="47" t="e">
        <f t="shared" si="111"/>
        <v>#N/A</v>
      </c>
      <c r="BE120" s="48" t="e">
        <f t="shared" si="112"/>
        <v>#N/A</v>
      </c>
      <c r="BF120" s="31" t="e">
        <f t="shared" si="124"/>
        <v>#N/A</v>
      </c>
      <c r="BG120" s="49" t="e">
        <f t="shared" si="125"/>
        <v>#N/A</v>
      </c>
      <c r="BH120" s="1" t="e">
        <f>VLOOKUP($B120,STOCK_BY_LA!$A$2:$C$10477,3,0)</f>
        <v>#N/A</v>
      </c>
      <c r="BI120" s="1" t="str">
        <f t="shared" si="113"/>
        <v/>
      </c>
    </row>
    <row r="121" spans="1:61" x14ac:dyDescent="0.35">
      <c r="A121" s="33" t="str">
        <f t="shared" si="126"/>
        <v/>
      </c>
      <c r="B121" s="1" t="str">
        <f t="shared" si="114"/>
        <v/>
      </c>
      <c r="C121" s="34" t="str">
        <f t="shared" si="83"/>
        <v/>
      </c>
      <c r="D121" s="33" t="str">
        <f>IF(B121="","",IF('totals_&amp;_RP_counts'!$O$3=0,IFERROR(IF(AA121=2,"0",AB121),""),"-"))</f>
        <v/>
      </c>
      <c r="E121" s="35" t="str">
        <f t="shared" si="84"/>
        <v/>
      </c>
      <c r="F121" s="36" t="str">
        <f t="shared" si="85"/>
        <v/>
      </c>
      <c r="G121" s="36" t="str">
        <f t="shared" si="86"/>
        <v/>
      </c>
      <c r="H121" s="33" t="str">
        <f t="shared" si="64"/>
        <v/>
      </c>
      <c r="I121" s="36" t="str">
        <f t="shared" si="87"/>
        <v/>
      </c>
      <c r="J121" s="36" t="str">
        <f t="shared" si="88"/>
        <v/>
      </c>
      <c r="K121" s="33" t="str">
        <f t="shared" si="65"/>
        <v/>
      </c>
      <c r="L121" s="36" t="str">
        <f t="shared" si="66"/>
        <v/>
      </c>
      <c r="M121" s="36" t="str">
        <f t="shared" si="89"/>
        <v/>
      </c>
      <c r="N121" s="33" t="str">
        <f t="shared" si="90"/>
        <v/>
      </c>
      <c r="O121" s="36" t="str">
        <f t="shared" si="91"/>
        <v/>
      </c>
      <c r="P121" s="36" t="str">
        <f t="shared" si="92"/>
        <v/>
      </c>
      <c r="Q121" s="33" t="str">
        <f t="shared" si="93"/>
        <v/>
      </c>
      <c r="R121" s="1"/>
      <c r="S121" s="1"/>
      <c r="Y121" s="1" t="e">
        <f>VLOOKUP($B$6,LOOKUP_SCE,114,0)</f>
        <v>#N/A</v>
      </c>
      <c r="Z121" s="22" t="str">
        <f t="shared" si="115"/>
        <v/>
      </c>
      <c r="AA121" s="23">
        <f t="shared" si="94"/>
        <v>7</v>
      </c>
      <c r="AB121" s="55" t="e">
        <f t="shared" si="116"/>
        <v>#N/A</v>
      </c>
      <c r="AC121" s="38" t="e">
        <f t="shared" si="95"/>
        <v>#N/A</v>
      </c>
      <c r="AD121" s="38" t="e">
        <f t="shared" si="96"/>
        <v>#N/A</v>
      </c>
      <c r="AE121" s="415" t="e">
        <f t="shared" si="117"/>
        <v>#N/A</v>
      </c>
      <c r="AF121" s="10">
        <f t="shared" si="97"/>
        <v>7</v>
      </c>
      <c r="AG121" s="38" t="e">
        <f t="shared" si="70"/>
        <v>#N/A</v>
      </c>
      <c r="AH121" s="38" t="e">
        <f t="shared" si="98"/>
        <v>#N/A</v>
      </c>
      <c r="AI121" s="10" t="e">
        <f t="shared" si="118"/>
        <v>#N/A</v>
      </c>
      <c r="AJ121" s="39" t="e">
        <f t="shared" si="99"/>
        <v>#N/A</v>
      </c>
      <c r="AK121" s="40" t="e">
        <f t="shared" si="72"/>
        <v>#N/A</v>
      </c>
      <c r="AL121" s="11" t="e">
        <f t="shared" si="119"/>
        <v>#N/A</v>
      </c>
      <c r="AM121" s="41">
        <f t="shared" si="100"/>
        <v>7</v>
      </c>
      <c r="AN121" s="57" t="e">
        <f t="shared" si="74"/>
        <v>#N/A</v>
      </c>
      <c r="AO121" s="40" t="e">
        <f t="shared" si="101"/>
        <v>#N/A</v>
      </c>
      <c r="AP121" s="417" t="e">
        <f t="shared" si="120"/>
        <v>#N/A</v>
      </c>
      <c r="AQ121" s="56">
        <f t="shared" si="102"/>
        <v>7</v>
      </c>
      <c r="AR121" s="43" t="e">
        <f t="shared" si="103"/>
        <v>#N/A</v>
      </c>
      <c r="AS121" s="44" t="e">
        <f t="shared" si="104"/>
        <v>#N/A</v>
      </c>
      <c r="AT121" s="45" t="e">
        <f t="shared" si="121"/>
        <v>#N/A</v>
      </c>
      <c r="AU121" s="14">
        <f t="shared" si="105"/>
        <v>7</v>
      </c>
      <c r="AV121" s="44" t="e">
        <f t="shared" si="77"/>
        <v>#N/A</v>
      </c>
      <c r="AW121" s="14" t="e">
        <f t="shared" si="106"/>
        <v>#N/A</v>
      </c>
      <c r="AX121" s="14" t="e">
        <f t="shared" si="122"/>
        <v>#N/A</v>
      </c>
      <c r="AY121" s="46">
        <f t="shared" si="107"/>
        <v>7</v>
      </c>
      <c r="AZ121" s="47" t="e">
        <f t="shared" si="108"/>
        <v>#N/A</v>
      </c>
      <c r="BA121" s="48" t="e">
        <f t="shared" si="109"/>
        <v>#N/A</v>
      </c>
      <c r="BB121" s="31" t="e">
        <f t="shared" si="123"/>
        <v>#N/A</v>
      </c>
      <c r="BC121" s="28">
        <f t="shared" si="110"/>
        <v>7</v>
      </c>
      <c r="BD121" s="47" t="e">
        <f t="shared" si="111"/>
        <v>#N/A</v>
      </c>
      <c r="BE121" s="48" t="e">
        <f t="shared" si="112"/>
        <v>#N/A</v>
      </c>
      <c r="BF121" s="31" t="e">
        <f t="shared" si="124"/>
        <v>#N/A</v>
      </c>
      <c r="BG121" s="49" t="e">
        <f t="shared" si="125"/>
        <v>#N/A</v>
      </c>
      <c r="BH121" s="1" t="e">
        <f>VLOOKUP($B121,STOCK_BY_LA!$A$2:$C$10477,3,0)</f>
        <v>#N/A</v>
      </c>
      <c r="BI121" s="1" t="str">
        <f t="shared" si="113"/>
        <v/>
      </c>
    </row>
    <row r="122" spans="1:61" x14ac:dyDescent="0.35">
      <c r="A122" s="1" t="str">
        <f t="shared" si="126"/>
        <v/>
      </c>
      <c r="B122" s="1" t="str">
        <f t="shared" si="114"/>
        <v/>
      </c>
      <c r="C122" s="50" t="str">
        <f t="shared" si="83"/>
        <v/>
      </c>
      <c r="D122" s="33" t="str">
        <f>IF(B122="","",IF('totals_&amp;_RP_counts'!$O$3=0,IFERROR(IF(AA122=2,"0",AB122),""),"-"))</f>
        <v/>
      </c>
      <c r="E122" s="35" t="str">
        <f t="shared" si="84"/>
        <v/>
      </c>
      <c r="F122" s="36" t="str">
        <f t="shared" si="85"/>
        <v/>
      </c>
      <c r="G122" s="36" t="str">
        <f t="shared" si="86"/>
        <v/>
      </c>
      <c r="H122" s="33" t="str">
        <f t="shared" si="64"/>
        <v/>
      </c>
      <c r="I122" s="36" t="str">
        <f t="shared" si="87"/>
        <v/>
      </c>
      <c r="J122" s="36" t="str">
        <f t="shared" si="88"/>
        <v/>
      </c>
      <c r="K122" s="33" t="str">
        <f t="shared" si="65"/>
        <v/>
      </c>
      <c r="L122" s="36" t="str">
        <f t="shared" si="66"/>
        <v/>
      </c>
      <c r="M122" s="36" t="str">
        <f t="shared" si="89"/>
        <v/>
      </c>
      <c r="N122" s="33" t="str">
        <f t="shared" si="90"/>
        <v/>
      </c>
      <c r="O122" s="36" t="str">
        <f t="shared" si="91"/>
        <v/>
      </c>
      <c r="P122" s="36" t="str">
        <f t="shared" si="92"/>
        <v/>
      </c>
      <c r="Q122" s="33" t="str">
        <f t="shared" si="93"/>
        <v/>
      </c>
      <c r="R122" s="1"/>
      <c r="S122" s="1"/>
      <c r="Y122" s="1" t="e">
        <f>VLOOKUP($B$6,LOOKUP_SCE,115,0)</f>
        <v>#N/A</v>
      </c>
      <c r="Z122" s="22" t="str">
        <f t="shared" si="115"/>
        <v/>
      </c>
      <c r="AA122" s="23">
        <f t="shared" si="94"/>
        <v>7</v>
      </c>
      <c r="AB122" s="55" t="e">
        <f t="shared" si="116"/>
        <v>#N/A</v>
      </c>
      <c r="AC122" s="38" t="e">
        <f t="shared" si="95"/>
        <v>#N/A</v>
      </c>
      <c r="AD122" s="38" t="e">
        <f t="shared" si="96"/>
        <v>#N/A</v>
      </c>
      <c r="AE122" s="415" t="e">
        <f t="shared" si="117"/>
        <v>#N/A</v>
      </c>
      <c r="AF122" s="10">
        <f t="shared" si="97"/>
        <v>7</v>
      </c>
      <c r="AG122" s="38" t="e">
        <f t="shared" si="70"/>
        <v>#N/A</v>
      </c>
      <c r="AH122" s="38" t="e">
        <f t="shared" si="98"/>
        <v>#N/A</v>
      </c>
      <c r="AI122" s="10" t="e">
        <f t="shared" si="118"/>
        <v>#N/A</v>
      </c>
      <c r="AJ122" s="39" t="e">
        <f t="shared" si="99"/>
        <v>#N/A</v>
      </c>
      <c r="AK122" s="40" t="e">
        <f t="shared" si="72"/>
        <v>#N/A</v>
      </c>
      <c r="AL122" s="11" t="e">
        <f t="shared" si="119"/>
        <v>#N/A</v>
      </c>
      <c r="AM122" s="41">
        <f t="shared" si="100"/>
        <v>7</v>
      </c>
      <c r="AN122" s="57" t="e">
        <f t="shared" si="74"/>
        <v>#N/A</v>
      </c>
      <c r="AO122" s="40" t="e">
        <f t="shared" si="101"/>
        <v>#N/A</v>
      </c>
      <c r="AP122" s="417" t="e">
        <f t="shared" si="120"/>
        <v>#N/A</v>
      </c>
      <c r="AQ122" s="56">
        <f t="shared" si="102"/>
        <v>7</v>
      </c>
      <c r="AR122" s="43" t="e">
        <f t="shared" si="103"/>
        <v>#N/A</v>
      </c>
      <c r="AS122" s="44" t="e">
        <f t="shared" si="104"/>
        <v>#N/A</v>
      </c>
      <c r="AT122" s="45" t="e">
        <f t="shared" si="121"/>
        <v>#N/A</v>
      </c>
      <c r="AU122" s="14">
        <f t="shared" si="105"/>
        <v>7</v>
      </c>
      <c r="AV122" s="44" t="e">
        <f t="shared" si="77"/>
        <v>#N/A</v>
      </c>
      <c r="AW122" s="14" t="e">
        <f t="shared" si="106"/>
        <v>#N/A</v>
      </c>
      <c r="AX122" s="14" t="e">
        <f t="shared" si="122"/>
        <v>#N/A</v>
      </c>
      <c r="AY122" s="46">
        <f t="shared" si="107"/>
        <v>7</v>
      </c>
      <c r="AZ122" s="47" t="e">
        <f t="shared" si="108"/>
        <v>#N/A</v>
      </c>
      <c r="BA122" s="48" t="e">
        <f t="shared" si="109"/>
        <v>#N/A</v>
      </c>
      <c r="BB122" s="31" t="e">
        <f t="shared" si="123"/>
        <v>#N/A</v>
      </c>
      <c r="BC122" s="28">
        <f t="shared" si="110"/>
        <v>7</v>
      </c>
      <c r="BD122" s="47" t="e">
        <f t="shared" si="111"/>
        <v>#N/A</v>
      </c>
      <c r="BE122" s="48" t="e">
        <f t="shared" si="112"/>
        <v>#N/A</v>
      </c>
      <c r="BF122" s="31" t="e">
        <f t="shared" si="124"/>
        <v>#N/A</v>
      </c>
      <c r="BG122" s="49" t="e">
        <f t="shared" si="125"/>
        <v>#N/A</v>
      </c>
      <c r="BH122" s="1" t="e">
        <f>VLOOKUP($B122,STOCK_BY_LA!$A$2:$C$10477,3,0)</f>
        <v>#N/A</v>
      </c>
      <c r="BI122" s="1" t="str">
        <f t="shared" si="113"/>
        <v/>
      </c>
    </row>
    <row r="123" spans="1:61" x14ac:dyDescent="0.35">
      <c r="A123" s="33" t="str">
        <f t="shared" si="126"/>
        <v/>
      </c>
      <c r="B123" s="1" t="str">
        <f t="shared" si="114"/>
        <v/>
      </c>
      <c r="C123" s="34" t="str">
        <f t="shared" si="83"/>
        <v/>
      </c>
      <c r="D123" s="33" t="str">
        <f>IF(B123="","",IF('totals_&amp;_RP_counts'!$O$3=0,IFERROR(IF(AA123=2,"0",AB123),""),"-"))</f>
        <v/>
      </c>
      <c r="E123" s="35" t="str">
        <f t="shared" si="84"/>
        <v/>
      </c>
      <c r="F123" s="36" t="str">
        <f t="shared" si="85"/>
        <v/>
      </c>
      <c r="G123" s="36" t="str">
        <f t="shared" si="86"/>
        <v/>
      </c>
      <c r="H123" s="33" t="str">
        <f t="shared" si="64"/>
        <v/>
      </c>
      <c r="I123" s="36" t="str">
        <f t="shared" si="87"/>
        <v/>
      </c>
      <c r="J123" s="36" t="str">
        <f t="shared" si="88"/>
        <v/>
      </c>
      <c r="K123" s="33" t="str">
        <f t="shared" si="65"/>
        <v/>
      </c>
      <c r="L123" s="36" t="str">
        <f t="shared" si="66"/>
        <v/>
      </c>
      <c r="M123" s="36" t="str">
        <f t="shared" si="89"/>
        <v/>
      </c>
      <c r="N123" s="33" t="str">
        <f t="shared" si="90"/>
        <v/>
      </c>
      <c r="O123" s="36" t="str">
        <f t="shared" si="91"/>
        <v/>
      </c>
      <c r="P123" s="36" t="str">
        <f t="shared" si="92"/>
        <v/>
      </c>
      <c r="Q123" s="33" t="str">
        <f t="shared" si="93"/>
        <v/>
      </c>
      <c r="R123" s="1"/>
      <c r="S123" s="1"/>
      <c r="Y123" s="1" t="e">
        <f>VLOOKUP($B$6,LOOKUP_SCE,116,0)</f>
        <v>#N/A</v>
      </c>
      <c r="Z123" s="22" t="str">
        <f t="shared" si="115"/>
        <v/>
      </c>
      <c r="AA123" s="23">
        <f t="shared" si="94"/>
        <v>7</v>
      </c>
      <c r="AB123" s="55" t="e">
        <f t="shared" si="116"/>
        <v>#N/A</v>
      </c>
      <c r="AC123" s="38" t="e">
        <f t="shared" si="95"/>
        <v>#N/A</v>
      </c>
      <c r="AD123" s="38" t="e">
        <f t="shared" si="96"/>
        <v>#N/A</v>
      </c>
      <c r="AE123" s="415" t="e">
        <f t="shared" si="117"/>
        <v>#N/A</v>
      </c>
      <c r="AF123" s="10">
        <f t="shared" si="97"/>
        <v>7</v>
      </c>
      <c r="AG123" s="38" t="e">
        <f t="shared" si="70"/>
        <v>#N/A</v>
      </c>
      <c r="AH123" s="38" t="e">
        <f t="shared" si="98"/>
        <v>#N/A</v>
      </c>
      <c r="AI123" s="10" t="e">
        <f t="shared" si="118"/>
        <v>#N/A</v>
      </c>
      <c r="AJ123" s="39" t="e">
        <f t="shared" si="99"/>
        <v>#N/A</v>
      </c>
      <c r="AK123" s="40" t="e">
        <f t="shared" si="72"/>
        <v>#N/A</v>
      </c>
      <c r="AL123" s="11" t="e">
        <f t="shared" si="119"/>
        <v>#N/A</v>
      </c>
      <c r="AM123" s="41">
        <f t="shared" si="100"/>
        <v>7</v>
      </c>
      <c r="AN123" s="57" t="e">
        <f t="shared" si="74"/>
        <v>#N/A</v>
      </c>
      <c r="AO123" s="40" t="e">
        <f t="shared" si="101"/>
        <v>#N/A</v>
      </c>
      <c r="AP123" s="417" t="e">
        <f t="shared" si="120"/>
        <v>#N/A</v>
      </c>
      <c r="AQ123" s="56">
        <f t="shared" si="102"/>
        <v>7</v>
      </c>
      <c r="AR123" s="43" t="e">
        <f t="shared" si="103"/>
        <v>#N/A</v>
      </c>
      <c r="AS123" s="44" t="e">
        <f t="shared" si="104"/>
        <v>#N/A</v>
      </c>
      <c r="AT123" s="45" t="e">
        <f t="shared" si="121"/>
        <v>#N/A</v>
      </c>
      <c r="AU123" s="14">
        <f t="shared" si="105"/>
        <v>7</v>
      </c>
      <c r="AV123" s="44" t="e">
        <f t="shared" si="77"/>
        <v>#N/A</v>
      </c>
      <c r="AW123" s="14" t="e">
        <f t="shared" si="106"/>
        <v>#N/A</v>
      </c>
      <c r="AX123" s="14" t="e">
        <f t="shared" si="122"/>
        <v>#N/A</v>
      </c>
      <c r="AY123" s="46">
        <f t="shared" si="107"/>
        <v>7</v>
      </c>
      <c r="AZ123" s="47" t="e">
        <f t="shared" si="108"/>
        <v>#N/A</v>
      </c>
      <c r="BA123" s="48" t="e">
        <f t="shared" si="109"/>
        <v>#N/A</v>
      </c>
      <c r="BB123" s="31" t="e">
        <f t="shared" si="123"/>
        <v>#N/A</v>
      </c>
      <c r="BC123" s="28">
        <f t="shared" si="110"/>
        <v>7</v>
      </c>
      <c r="BD123" s="47" t="e">
        <f t="shared" si="111"/>
        <v>#N/A</v>
      </c>
      <c r="BE123" s="48" t="e">
        <f t="shared" si="112"/>
        <v>#N/A</v>
      </c>
      <c r="BF123" s="31" t="e">
        <f t="shared" si="124"/>
        <v>#N/A</v>
      </c>
      <c r="BG123" s="49" t="e">
        <f t="shared" si="125"/>
        <v>#N/A</v>
      </c>
      <c r="BH123" s="1" t="e">
        <f>VLOOKUP($B123,STOCK_BY_LA!$A$2:$C$10477,3,0)</f>
        <v>#N/A</v>
      </c>
      <c r="BI123" s="1" t="str">
        <f t="shared" si="113"/>
        <v/>
      </c>
    </row>
    <row r="124" spans="1:61" x14ac:dyDescent="0.35">
      <c r="A124" s="1" t="str">
        <f t="shared" si="126"/>
        <v/>
      </c>
      <c r="B124" s="1" t="str">
        <f t="shared" si="114"/>
        <v/>
      </c>
      <c r="C124" s="50" t="str">
        <f t="shared" si="83"/>
        <v/>
      </c>
      <c r="D124" s="33" t="str">
        <f>IF(B124="","",IF('totals_&amp;_RP_counts'!$O$3=0,IFERROR(IF(AA124=2,"0",AB124),""),"-"))</f>
        <v/>
      </c>
      <c r="E124" s="35" t="str">
        <f t="shared" si="84"/>
        <v/>
      </c>
      <c r="F124" s="36" t="str">
        <f t="shared" si="85"/>
        <v/>
      </c>
      <c r="G124" s="36" t="str">
        <f t="shared" si="86"/>
        <v/>
      </c>
      <c r="H124" s="33" t="str">
        <f t="shared" si="64"/>
        <v/>
      </c>
      <c r="I124" s="36" t="str">
        <f t="shared" si="87"/>
        <v/>
      </c>
      <c r="J124" s="36" t="str">
        <f t="shared" si="88"/>
        <v/>
      </c>
      <c r="K124" s="33" t="str">
        <f t="shared" si="65"/>
        <v/>
      </c>
      <c r="L124" s="36" t="str">
        <f t="shared" si="66"/>
        <v/>
      </c>
      <c r="M124" s="36" t="str">
        <f t="shared" si="89"/>
        <v/>
      </c>
      <c r="N124" s="33" t="str">
        <f t="shared" si="90"/>
        <v/>
      </c>
      <c r="O124" s="36" t="str">
        <f t="shared" si="91"/>
        <v/>
      </c>
      <c r="P124" s="36" t="str">
        <f t="shared" si="92"/>
        <v/>
      </c>
      <c r="Q124" s="33" t="str">
        <f t="shared" si="93"/>
        <v/>
      </c>
      <c r="R124" s="1"/>
      <c r="S124" s="1"/>
      <c r="Y124" s="1" t="e">
        <f>VLOOKUP($B$6,LOOKUP_SCE,117,0)</f>
        <v>#N/A</v>
      </c>
      <c r="Z124" s="22" t="str">
        <f t="shared" si="115"/>
        <v/>
      </c>
      <c r="AA124" s="23">
        <f t="shared" si="94"/>
        <v>7</v>
      </c>
      <c r="AB124" s="55" t="e">
        <f t="shared" si="116"/>
        <v>#N/A</v>
      </c>
      <c r="AC124" s="38" t="e">
        <f t="shared" si="95"/>
        <v>#N/A</v>
      </c>
      <c r="AD124" s="38" t="e">
        <f t="shared" si="96"/>
        <v>#N/A</v>
      </c>
      <c r="AE124" s="415" t="e">
        <f t="shared" si="117"/>
        <v>#N/A</v>
      </c>
      <c r="AF124" s="10">
        <f t="shared" si="97"/>
        <v>7</v>
      </c>
      <c r="AG124" s="38" t="e">
        <f t="shared" si="70"/>
        <v>#N/A</v>
      </c>
      <c r="AH124" s="38" t="e">
        <f t="shared" si="98"/>
        <v>#N/A</v>
      </c>
      <c r="AI124" s="10" t="e">
        <f t="shared" si="118"/>
        <v>#N/A</v>
      </c>
      <c r="AJ124" s="39" t="e">
        <f t="shared" si="99"/>
        <v>#N/A</v>
      </c>
      <c r="AK124" s="40" t="e">
        <f t="shared" si="72"/>
        <v>#N/A</v>
      </c>
      <c r="AL124" s="11" t="e">
        <f t="shared" si="119"/>
        <v>#N/A</v>
      </c>
      <c r="AM124" s="41">
        <f t="shared" si="100"/>
        <v>7</v>
      </c>
      <c r="AN124" s="57" t="e">
        <f t="shared" si="74"/>
        <v>#N/A</v>
      </c>
      <c r="AO124" s="40" t="e">
        <f t="shared" si="101"/>
        <v>#N/A</v>
      </c>
      <c r="AP124" s="417" t="e">
        <f t="shared" si="120"/>
        <v>#N/A</v>
      </c>
      <c r="AQ124" s="56">
        <f t="shared" si="102"/>
        <v>7</v>
      </c>
      <c r="AR124" s="43" t="e">
        <f t="shared" si="103"/>
        <v>#N/A</v>
      </c>
      <c r="AS124" s="44" t="e">
        <f t="shared" si="104"/>
        <v>#N/A</v>
      </c>
      <c r="AT124" s="45" t="e">
        <f t="shared" si="121"/>
        <v>#N/A</v>
      </c>
      <c r="AU124" s="14">
        <f t="shared" si="105"/>
        <v>7</v>
      </c>
      <c r="AV124" s="44" t="e">
        <f t="shared" si="77"/>
        <v>#N/A</v>
      </c>
      <c r="AW124" s="14" t="e">
        <f t="shared" si="106"/>
        <v>#N/A</v>
      </c>
      <c r="AX124" s="14" t="e">
        <f t="shared" si="122"/>
        <v>#N/A</v>
      </c>
      <c r="AY124" s="46">
        <f t="shared" si="107"/>
        <v>7</v>
      </c>
      <c r="AZ124" s="47" t="e">
        <f t="shared" si="108"/>
        <v>#N/A</v>
      </c>
      <c r="BA124" s="48" t="e">
        <f t="shared" si="109"/>
        <v>#N/A</v>
      </c>
      <c r="BB124" s="31" t="e">
        <f t="shared" si="123"/>
        <v>#N/A</v>
      </c>
      <c r="BC124" s="28">
        <f t="shared" si="110"/>
        <v>7</v>
      </c>
      <c r="BD124" s="47" t="e">
        <f t="shared" si="111"/>
        <v>#N/A</v>
      </c>
      <c r="BE124" s="48" t="e">
        <f t="shared" si="112"/>
        <v>#N/A</v>
      </c>
      <c r="BF124" s="31" t="e">
        <f t="shared" si="124"/>
        <v>#N/A</v>
      </c>
      <c r="BG124" s="49" t="e">
        <f t="shared" si="125"/>
        <v>#N/A</v>
      </c>
      <c r="BH124" s="1" t="e">
        <f>VLOOKUP($B124,STOCK_BY_LA!$A$2:$C$10477,3,0)</f>
        <v>#N/A</v>
      </c>
      <c r="BI124" s="1" t="str">
        <f t="shared" si="113"/>
        <v/>
      </c>
    </row>
    <row r="125" spans="1:61" x14ac:dyDescent="0.35">
      <c r="A125" s="33" t="str">
        <f t="shared" si="126"/>
        <v/>
      </c>
      <c r="B125" s="1" t="str">
        <f t="shared" si="114"/>
        <v/>
      </c>
      <c r="C125" s="34" t="str">
        <f t="shared" si="83"/>
        <v/>
      </c>
      <c r="D125" s="33" t="str">
        <f>IF(B125="","",IF('totals_&amp;_RP_counts'!$O$3=0,IFERROR(IF(AA125=2,"0",AB125),""),"-"))</f>
        <v/>
      </c>
      <c r="E125" s="35" t="str">
        <f t="shared" si="84"/>
        <v/>
      </c>
      <c r="F125" s="36" t="str">
        <f t="shared" si="85"/>
        <v/>
      </c>
      <c r="G125" s="36" t="str">
        <f t="shared" si="86"/>
        <v/>
      </c>
      <c r="H125" s="33" t="str">
        <f t="shared" si="64"/>
        <v/>
      </c>
      <c r="I125" s="36" t="str">
        <f t="shared" si="87"/>
        <v/>
      </c>
      <c r="J125" s="36" t="str">
        <f t="shared" si="88"/>
        <v/>
      </c>
      <c r="K125" s="33" t="str">
        <f t="shared" si="65"/>
        <v/>
      </c>
      <c r="L125" s="36" t="str">
        <f t="shared" si="66"/>
        <v/>
      </c>
      <c r="M125" s="36" t="str">
        <f t="shared" si="89"/>
        <v/>
      </c>
      <c r="N125" s="33" t="str">
        <f t="shared" si="90"/>
        <v/>
      </c>
      <c r="O125" s="36" t="str">
        <f t="shared" si="91"/>
        <v/>
      </c>
      <c r="P125" s="36" t="str">
        <f t="shared" si="92"/>
        <v/>
      </c>
      <c r="Q125" s="33" t="str">
        <f t="shared" si="93"/>
        <v/>
      </c>
      <c r="R125" s="1"/>
      <c r="S125" s="1"/>
      <c r="Y125" s="1" t="e">
        <f>VLOOKUP($B$6,LOOKUP_SCE,118,0)</f>
        <v>#N/A</v>
      </c>
      <c r="Z125" s="22" t="str">
        <f t="shared" si="115"/>
        <v/>
      </c>
      <c r="AA125" s="23">
        <f t="shared" si="94"/>
        <v>7</v>
      </c>
      <c r="AB125" s="55" t="e">
        <f t="shared" si="116"/>
        <v>#N/A</v>
      </c>
      <c r="AC125" s="38" t="e">
        <f t="shared" si="95"/>
        <v>#N/A</v>
      </c>
      <c r="AD125" s="38" t="e">
        <f t="shared" si="96"/>
        <v>#N/A</v>
      </c>
      <c r="AE125" s="415" t="e">
        <f t="shared" si="117"/>
        <v>#N/A</v>
      </c>
      <c r="AF125" s="10">
        <f t="shared" si="97"/>
        <v>7</v>
      </c>
      <c r="AG125" s="38" t="e">
        <f t="shared" si="70"/>
        <v>#N/A</v>
      </c>
      <c r="AH125" s="38" t="e">
        <f t="shared" si="98"/>
        <v>#N/A</v>
      </c>
      <c r="AI125" s="10" t="e">
        <f t="shared" si="118"/>
        <v>#N/A</v>
      </c>
      <c r="AJ125" s="39" t="e">
        <f t="shared" si="99"/>
        <v>#N/A</v>
      </c>
      <c r="AK125" s="40" t="e">
        <f t="shared" si="72"/>
        <v>#N/A</v>
      </c>
      <c r="AL125" s="11" t="e">
        <f t="shared" si="119"/>
        <v>#N/A</v>
      </c>
      <c r="AM125" s="41">
        <f t="shared" si="100"/>
        <v>7</v>
      </c>
      <c r="AN125" s="57" t="e">
        <f t="shared" si="74"/>
        <v>#N/A</v>
      </c>
      <c r="AO125" s="40" t="e">
        <f t="shared" si="101"/>
        <v>#N/A</v>
      </c>
      <c r="AP125" s="417" t="e">
        <f t="shared" si="120"/>
        <v>#N/A</v>
      </c>
      <c r="AQ125" s="56">
        <f t="shared" si="102"/>
        <v>7</v>
      </c>
      <c r="AR125" s="43" t="e">
        <f t="shared" si="103"/>
        <v>#N/A</v>
      </c>
      <c r="AS125" s="44" t="e">
        <f t="shared" si="104"/>
        <v>#N/A</v>
      </c>
      <c r="AT125" s="45" t="e">
        <f t="shared" si="121"/>
        <v>#N/A</v>
      </c>
      <c r="AU125" s="14">
        <f t="shared" si="105"/>
        <v>7</v>
      </c>
      <c r="AV125" s="44" t="e">
        <f t="shared" si="77"/>
        <v>#N/A</v>
      </c>
      <c r="AW125" s="14" t="e">
        <f t="shared" si="106"/>
        <v>#N/A</v>
      </c>
      <c r="AX125" s="14" t="e">
        <f t="shared" si="122"/>
        <v>#N/A</v>
      </c>
      <c r="AY125" s="46">
        <f t="shared" si="107"/>
        <v>7</v>
      </c>
      <c r="AZ125" s="47" t="e">
        <f t="shared" si="108"/>
        <v>#N/A</v>
      </c>
      <c r="BA125" s="48" t="e">
        <f t="shared" si="109"/>
        <v>#N/A</v>
      </c>
      <c r="BB125" s="31" t="e">
        <f t="shared" si="123"/>
        <v>#N/A</v>
      </c>
      <c r="BC125" s="28">
        <f t="shared" si="110"/>
        <v>7</v>
      </c>
      <c r="BD125" s="47" t="e">
        <f t="shared" si="111"/>
        <v>#N/A</v>
      </c>
      <c r="BE125" s="48" t="e">
        <f t="shared" si="112"/>
        <v>#N/A</v>
      </c>
      <c r="BF125" s="31" t="e">
        <f t="shared" si="124"/>
        <v>#N/A</v>
      </c>
      <c r="BG125" s="49" t="e">
        <f t="shared" si="125"/>
        <v>#N/A</v>
      </c>
      <c r="BH125" s="1" t="e">
        <f>VLOOKUP($B125,STOCK_BY_LA!$A$2:$C$10477,3,0)</f>
        <v>#N/A</v>
      </c>
      <c r="BI125" s="1" t="str">
        <f t="shared" si="113"/>
        <v/>
      </c>
    </row>
    <row r="126" spans="1:61" x14ac:dyDescent="0.35">
      <c r="A126" s="1" t="str">
        <f t="shared" si="126"/>
        <v/>
      </c>
      <c r="B126" s="1" t="str">
        <f t="shared" si="114"/>
        <v/>
      </c>
      <c r="C126" s="50" t="str">
        <f t="shared" si="83"/>
        <v/>
      </c>
      <c r="D126" s="33" t="str">
        <f>IF(B126="","",IF('totals_&amp;_RP_counts'!$O$3=0,IFERROR(IF(AA126=2,"0",AB126),""),"-"))</f>
        <v/>
      </c>
      <c r="E126" s="35" t="str">
        <f t="shared" si="84"/>
        <v/>
      </c>
      <c r="F126" s="36" t="str">
        <f t="shared" si="85"/>
        <v/>
      </c>
      <c r="G126" s="36" t="str">
        <f t="shared" si="86"/>
        <v/>
      </c>
      <c r="H126" s="33" t="str">
        <f t="shared" si="64"/>
        <v/>
      </c>
      <c r="I126" s="36" t="str">
        <f t="shared" si="87"/>
        <v/>
      </c>
      <c r="J126" s="36" t="str">
        <f t="shared" si="88"/>
        <v/>
      </c>
      <c r="K126" s="33" t="str">
        <f t="shared" si="65"/>
        <v/>
      </c>
      <c r="L126" s="36" t="str">
        <f t="shared" si="66"/>
        <v/>
      </c>
      <c r="M126" s="36" t="str">
        <f t="shared" si="89"/>
        <v/>
      </c>
      <c r="N126" s="33" t="str">
        <f t="shared" si="90"/>
        <v/>
      </c>
      <c r="O126" s="36" t="str">
        <f t="shared" si="91"/>
        <v/>
      </c>
      <c r="P126" s="36" t="str">
        <f t="shared" si="92"/>
        <v/>
      </c>
      <c r="Q126" s="33" t="str">
        <f t="shared" si="93"/>
        <v/>
      </c>
      <c r="R126" s="1"/>
      <c r="S126" s="1"/>
      <c r="Y126" s="1" t="e">
        <f>VLOOKUP($B$6,LOOKUP_SCE,119,0)</f>
        <v>#N/A</v>
      </c>
      <c r="Z126" s="22" t="str">
        <f t="shared" si="115"/>
        <v/>
      </c>
      <c r="AA126" s="23">
        <f t="shared" si="94"/>
        <v>7</v>
      </c>
      <c r="AB126" s="55" t="e">
        <f t="shared" si="116"/>
        <v>#N/A</v>
      </c>
      <c r="AC126" s="38" t="e">
        <f t="shared" si="95"/>
        <v>#N/A</v>
      </c>
      <c r="AD126" s="38" t="e">
        <f t="shared" si="96"/>
        <v>#N/A</v>
      </c>
      <c r="AE126" s="415" t="e">
        <f t="shared" si="117"/>
        <v>#N/A</v>
      </c>
      <c r="AF126" s="10">
        <f t="shared" si="97"/>
        <v>7</v>
      </c>
      <c r="AG126" s="38" t="e">
        <f t="shared" si="70"/>
        <v>#N/A</v>
      </c>
      <c r="AH126" s="38" t="e">
        <f t="shared" si="98"/>
        <v>#N/A</v>
      </c>
      <c r="AI126" s="10" t="e">
        <f t="shared" si="118"/>
        <v>#N/A</v>
      </c>
      <c r="AJ126" s="39" t="e">
        <f t="shared" si="99"/>
        <v>#N/A</v>
      </c>
      <c r="AK126" s="40" t="e">
        <f t="shared" si="72"/>
        <v>#N/A</v>
      </c>
      <c r="AL126" s="11" t="e">
        <f t="shared" si="119"/>
        <v>#N/A</v>
      </c>
      <c r="AM126" s="41">
        <f t="shared" si="100"/>
        <v>7</v>
      </c>
      <c r="AN126" s="57" t="e">
        <f t="shared" si="74"/>
        <v>#N/A</v>
      </c>
      <c r="AO126" s="40" t="e">
        <f t="shared" si="101"/>
        <v>#N/A</v>
      </c>
      <c r="AP126" s="417" t="e">
        <f t="shared" si="120"/>
        <v>#N/A</v>
      </c>
      <c r="AQ126" s="56">
        <f t="shared" si="102"/>
        <v>7</v>
      </c>
      <c r="AR126" s="43" t="e">
        <f t="shared" si="103"/>
        <v>#N/A</v>
      </c>
      <c r="AS126" s="44" t="e">
        <f t="shared" si="104"/>
        <v>#N/A</v>
      </c>
      <c r="AT126" s="45" t="e">
        <f t="shared" si="121"/>
        <v>#N/A</v>
      </c>
      <c r="AU126" s="14">
        <f t="shared" si="105"/>
        <v>7</v>
      </c>
      <c r="AV126" s="44" t="e">
        <f t="shared" si="77"/>
        <v>#N/A</v>
      </c>
      <c r="AW126" s="14" t="e">
        <f t="shared" si="106"/>
        <v>#N/A</v>
      </c>
      <c r="AX126" s="14" t="e">
        <f t="shared" si="122"/>
        <v>#N/A</v>
      </c>
      <c r="AY126" s="46">
        <f t="shared" si="107"/>
        <v>7</v>
      </c>
      <c r="AZ126" s="47" t="e">
        <f t="shared" si="108"/>
        <v>#N/A</v>
      </c>
      <c r="BA126" s="48" t="e">
        <f t="shared" si="109"/>
        <v>#N/A</v>
      </c>
      <c r="BB126" s="31" t="e">
        <f t="shared" si="123"/>
        <v>#N/A</v>
      </c>
      <c r="BC126" s="28">
        <f t="shared" si="110"/>
        <v>7</v>
      </c>
      <c r="BD126" s="47" t="e">
        <f t="shared" si="111"/>
        <v>#N/A</v>
      </c>
      <c r="BE126" s="48" t="e">
        <f t="shared" si="112"/>
        <v>#N/A</v>
      </c>
      <c r="BF126" s="31" t="e">
        <f t="shared" si="124"/>
        <v>#N/A</v>
      </c>
      <c r="BG126" s="49" t="e">
        <f t="shared" si="125"/>
        <v>#N/A</v>
      </c>
      <c r="BH126" s="1" t="e">
        <f>VLOOKUP($B126,STOCK_BY_LA!$A$2:$C$10477,3,0)</f>
        <v>#N/A</v>
      </c>
      <c r="BI126" s="1" t="str">
        <f t="shared" si="113"/>
        <v/>
      </c>
    </row>
    <row r="127" spans="1:61" x14ac:dyDescent="0.35">
      <c r="A127" s="33" t="str">
        <f t="shared" si="126"/>
        <v/>
      </c>
      <c r="B127" s="1" t="str">
        <f t="shared" si="114"/>
        <v/>
      </c>
      <c r="C127" s="34" t="str">
        <f t="shared" si="83"/>
        <v/>
      </c>
      <c r="D127" s="33" t="str">
        <f>IF(B127="","",IF('totals_&amp;_RP_counts'!$O$3=0,IFERROR(IF(AA127=2,"0",AB127),""),"-"))</f>
        <v/>
      </c>
      <c r="E127" s="35" t="str">
        <f t="shared" si="84"/>
        <v/>
      </c>
      <c r="F127" s="36" t="str">
        <f t="shared" si="85"/>
        <v/>
      </c>
      <c r="G127" s="36" t="str">
        <f t="shared" si="86"/>
        <v/>
      </c>
      <c r="H127" s="33" t="str">
        <f t="shared" si="64"/>
        <v/>
      </c>
      <c r="I127" s="36" t="str">
        <f t="shared" si="87"/>
        <v/>
      </c>
      <c r="J127" s="36" t="str">
        <f t="shared" si="88"/>
        <v/>
      </c>
      <c r="K127" s="33" t="str">
        <f t="shared" si="65"/>
        <v/>
      </c>
      <c r="L127" s="36" t="str">
        <f t="shared" si="66"/>
        <v/>
      </c>
      <c r="M127" s="36" t="str">
        <f t="shared" si="89"/>
        <v/>
      </c>
      <c r="N127" s="33" t="str">
        <f t="shared" si="90"/>
        <v/>
      </c>
      <c r="O127" s="36" t="str">
        <f t="shared" si="91"/>
        <v/>
      </c>
      <c r="P127" s="36" t="str">
        <f t="shared" si="92"/>
        <v/>
      </c>
      <c r="Q127" s="33" t="str">
        <f t="shared" si="93"/>
        <v/>
      </c>
      <c r="R127" s="1"/>
      <c r="S127" s="1"/>
      <c r="Y127" s="1" t="e">
        <f>VLOOKUP($B$6,LOOKUP_SCE,120,0)</f>
        <v>#N/A</v>
      </c>
      <c r="Z127" s="22" t="str">
        <f t="shared" si="115"/>
        <v/>
      </c>
      <c r="AA127" s="23">
        <f t="shared" si="94"/>
        <v>7</v>
      </c>
      <c r="AB127" s="55" t="e">
        <f t="shared" si="116"/>
        <v>#N/A</v>
      </c>
      <c r="AC127" s="38" t="e">
        <f t="shared" si="95"/>
        <v>#N/A</v>
      </c>
      <c r="AD127" s="38" t="e">
        <f t="shared" si="96"/>
        <v>#N/A</v>
      </c>
      <c r="AE127" s="415" t="e">
        <f t="shared" si="117"/>
        <v>#N/A</v>
      </c>
      <c r="AF127" s="10">
        <f t="shared" si="97"/>
        <v>7</v>
      </c>
      <c r="AG127" s="38" t="e">
        <f t="shared" si="70"/>
        <v>#N/A</v>
      </c>
      <c r="AH127" s="38" t="e">
        <f t="shared" si="98"/>
        <v>#N/A</v>
      </c>
      <c r="AI127" s="10" t="e">
        <f t="shared" si="118"/>
        <v>#N/A</v>
      </c>
      <c r="AJ127" s="39" t="e">
        <f t="shared" si="99"/>
        <v>#N/A</v>
      </c>
      <c r="AK127" s="40" t="e">
        <f t="shared" si="72"/>
        <v>#N/A</v>
      </c>
      <c r="AL127" s="11" t="e">
        <f t="shared" si="119"/>
        <v>#N/A</v>
      </c>
      <c r="AM127" s="41">
        <f t="shared" si="100"/>
        <v>7</v>
      </c>
      <c r="AN127" s="57" t="e">
        <f t="shared" si="74"/>
        <v>#N/A</v>
      </c>
      <c r="AO127" s="40" t="e">
        <f t="shared" si="101"/>
        <v>#N/A</v>
      </c>
      <c r="AP127" s="417" t="e">
        <f t="shared" si="120"/>
        <v>#N/A</v>
      </c>
      <c r="AQ127" s="56">
        <f t="shared" si="102"/>
        <v>7</v>
      </c>
      <c r="AR127" s="43" t="e">
        <f t="shared" si="103"/>
        <v>#N/A</v>
      </c>
      <c r="AS127" s="44" t="e">
        <f t="shared" si="104"/>
        <v>#N/A</v>
      </c>
      <c r="AT127" s="45" t="e">
        <f t="shared" si="121"/>
        <v>#N/A</v>
      </c>
      <c r="AU127" s="14">
        <f t="shared" si="105"/>
        <v>7</v>
      </c>
      <c r="AV127" s="44" t="e">
        <f t="shared" si="77"/>
        <v>#N/A</v>
      </c>
      <c r="AW127" s="14" t="e">
        <f t="shared" si="106"/>
        <v>#N/A</v>
      </c>
      <c r="AX127" s="14" t="e">
        <f t="shared" si="122"/>
        <v>#N/A</v>
      </c>
      <c r="AY127" s="46">
        <f t="shared" si="107"/>
        <v>7</v>
      </c>
      <c r="AZ127" s="47" t="e">
        <f t="shared" si="108"/>
        <v>#N/A</v>
      </c>
      <c r="BA127" s="48" t="e">
        <f t="shared" si="109"/>
        <v>#N/A</v>
      </c>
      <c r="BB127" s="31" t="e">
        <f t="shared" si="123"/>
        <v>#N/A</v>
      </c>
      <c r="BC127" s="28">
        <f t="shared" si="110"/>
        <v>7</v>
      </c>
      <c r="BD127" s="47" t="e">
        <f t="shared" si="111"/>
        <v>#N/A</v>
      </c>
      <c r="BE127" s="48" t="e">
        <f t="shared" si="112"/>
        <v>#N/A</v>
      </c>
      <c r="BF127" s="31" t="e">
        <f t="shared" si="124"/>
        <v>#N/A</v>
      </c>
      <c r="BG127" s="49" t="e">
        <f t="shared" si="125"/>
        <v>#N/A</v>
      </c>
      <c r="BH127" s="1" t="e">
        <f>VLOOKUP($B127,STOCK_BY_LA!$A$2:$C$10477,3,0)</f>
        <v>#N/A</v>
      </c>
      <c r="BI127" s="1" t="str">
        <f t="shared" si="113"/>
        <v/>
      </c>
    </row>
    <row r="128" spans="1:61" x14ac:dyDescent="0.35">
      <c r="A128" s="1" t="str">
        <f t="shared" si="126"/>
        <v/>
      </c>
      <c r="B128" s="1" t="str">
        <f t="shared" si="114"/>
        <v/>
      </c>
      <c r="C128" s="50" t="str">
        <f t="shared" si="83"/>
        <v/>
      </c>
      <c r="D128" s="33" t="str">
        <f>IF(B128="","",IF('totals_&amp;_RP_counts'!$O$3=0,IFERROR(IF(AA128=2,"0",AB128),""),"-"))</f>
        <v/>
      </c>
      <c r="E128" s="35" t="str">
        <f t="shared" si="84"/>
        <v/>
      </c>
      <c r="F128" s="36" t="str">
        <f t="shared" si="85"/>
        <v/>
      </c>
      <c r="G128" s="36" t="str">
        <f t="shared" si="86"/>
        <v/>
      </c>
      <c r="H128" s="33" t="str">
        <f t="shared" si="64"/>
        <v/>
      </c>
      <c r="I128" s="36" t="str">
        <f t="shared" si="87"/>
        <v/>
      </c>
      <c r="J128" s="36" t="str">
        <f t="shared" si="88"/>
        <v/>
      </c>
      <c r="K128" s="33" t="str">
        <f t="shared" si="65"/>
        <v/>
      </c>
      <c r="L128" s="36" t="str">
        <f t="shared" si="66"/>
        <v/>
      </c>
      <c r="M128" s="36" t="str">
        <f t="shared" si="89"/>
        <v/>
      </c>
      <c r="N128" s="33" t="str">
        <f t="shared" si="90"/>
        <v/>
      </c>
      <c r="O128" s="36" t="str">
        <f t="shared" si="91"/>
        <v/>
      </c>
      <c r="P128" s="36" t="str">
        <f t="shared" si="92"/>
        <v/>
      </c>
      <c r="Q128" s="33" t="str">
        <f t="shared" si="93"/>
        <v/>
      </c>
      <c r="R128" s="1"/>
      <c r="S128" s="1"/>
      <c r="Y128" s="1" t="e">
        <f>VLOOKUP($B$6,LOOKUP_SCE,121,0)</f>
        <v>#N/A</v>
      </c>
      <c r="Z128" s="22" t="str">
        <f t="shared" si="115"/>
        <v/>
      </c>
      <c r="AA128" s="23">
        <f t="shared" si="94"/>
        <v>7</v>
      </c>
      <c r="AB128" s="55" t="e">
        <f t="shared" si="116"/>
        <v>#N/A</v>
      </c>
      <c r="AC128" s="38" t="e">
        <f t="shared" si="95"/>
        <v>#N/A</v>
      </c>
      <c r="AD128" s="38" t="e">
        <f t="shared" si="96"/>
        <v>#N/A</v>
      </c>
      <c r="AE128" s="415" t="e">
        <f t="shared" si="117"/>
        <v>#N/A</v>
      </c>
      <c r="AF128" s="10">
        <f t="shared" si="97"/>
        <v>7</v>
      </c>
      <c r="AG128" s="38" t="e">
        <f t="shared" si="70"/>
        <v>#N/A</v>
      </c>
      <c r="AH128" s="38" t="e">
        <f t="shared" si="98"/>
        <v>#N/A</v>
      </c>
      <c r="AI128" s="10" t="e">
        <f t="shared" si="118"/>
        <v>#N/A</v>
      </c>
      <c r="AJ128" s="39" t="e">
        <f t="shared" si="99"/>
        <v>#N/A</v>
      </c>
      <c r="AK128" s="40" t="e">
        <f t="shared" si="72"/>
        <v>#N/A</v>
      </c>
      <c r="AL128" s="11" t="e">
        <f t="shared" si="119"/>
        <v>#N/A</v>
      </c>
      <c r="AM128" s="41">
        <f t="shared" si="100"/>
        <v>7</v>
      </c>
      <c r="AN128" s="57" t="e">
        <f t="shared" si="74"/>
        <v>#N/A</v>
      </c>
      <c r="AO128" s="40" t="e">
        <f t="shared" si="101"/>
        <v>#N/A</v>
      </c>
      <c r="AP128" s="417" t="e">
        <f t="shared" si="120"/>
        <v>#N/A</v>
      </c>
      <c r="AQ128" s="56">
        <f t="shared" si="102"/>
        <v>7</v>
      </c>
      <c r="AR128" s="43" t="e">
        <f t="shared" si="103"/>
        <v>#N/A</v>
      </c>
      <c r="AS128" s="44" t="e">
        <f t="shared" si="104"/>
        <v>#N/A</v>
      </c>
      <c r="AT128" s="45" t="e">
        <f t="shared" si="121"/>
        <v>#N/A</v>
      </c>
      <c r="AU128" s="14">
        <f t="shared" si="105"/>
        <v>7</v>
      </c>
      <c r="AV128" s="44" t="e">
        <f t="shared" si="77"/>
        <v>#N/A</v>
      </c>
      <c r="AW128" s="14" t="e">
        <f t="shared" si="106"/>
        <v>#N/A</v>
      </c>
      <c r="AX128" s="14" t="e">
        <f t="shared" si="122"/>
        <v>#N/A</v>
      </c>
      <c r="AY128" s="46">
        <f t="shared" si="107"/>
        <v>7</v>
      </c>
      <c r="AZ128" s="47" t="e">
        <f t="shared" si="108"/>
        <v>#N/A</v>
      </c>
      <c r="BA128" s="48" t="e">
        <f t="shared" si="109"/>
        <v>#N/A</v>
      </c>
      <c r="BB128" s="31" t="e">
        <f t="shared" si="123"/>
        <v>#N/A</v>
      </c>
      <c r="BC128" s="28">
        <f t="shared" si="110"/>
        <v>7</v>
      </c>
      <c r="BD128" s="47" t="e">
        <f t="shared" si="111"/>
        <v>#N/A</v>
      </c>
      <c r="BE128" s="48" t="e">
        <f t="shared" si="112"/>
        <v>#N/A</v>
      </c>
      <c r="BF128" s="31" t="e">
        <f t="shared" si="124"/>
        <v>#N/A</v>
      </c>
      <c r="BG128" s="49" t="e">
        <f t="shared" si="125"/>
        <v>#N/A</v>
      </c>
      <c r="BH128" s="1" t="e">
        <f>VLOOKUP($B128,STOCK_BY_LA!$A$2:$C$10477,3,0)</f>
        <v>#N/A</v>
      </c>
      <c r="BI128" s="1" t="str">
        <f t="shared" si="113"/>
        <v/>
      </c>
    </row>
    <row r="129" spans="1:61" x14ac:dyDescent="0.35">
      <c r="A129" s="33" t="str">
        <f t="shared" si="126"/>
        <v/>
      </c>
      <c r="B129" s="1" t="str">
        <f t="shared" si="114"/>
        <v/>
      </c>
      <c r="C129" s="34" t="str">
        <f t="shared" si="83"/>
        <v/>
      </c>
      <c r="D129" s="33" t="str">
        <f>IF(B129="","",IF('totals_&amp;_RP_counts'!$O$3=0,IFERROR(IF(AA129=2,"0",AB129),""),"-"))</f>
        <v/>
      </c>
      <c r="E129" s="35" t="str">
        <f t="shared" si="84"/>
        <v/>
      </c>
      <c r="F129" s="36" t="str">
        <f t="shared" si="85"/>
        <v/>
      </c>
      <c r="G129" s="36" t="str">
        <f t="shared" si="86"/>
        <v/>
      </c>
      <c r="H129" s="33" t="str">
        <f t="shared" si="64"/>
        <v/>
      </c>
      <c r="I129" s="36" t="str">
        <f t="shared" si="87"/>
        <v/>
      </c>
      <c r="J129" s="36" t="str">
        <f t="shared" si="88"/>
        <v/>
      </c>
      <c r="K129" s="33" t="str">
        <f t="shared" si="65"/>
        <v/>
      </c>
      <c r="L129" s="36" t="str">
        <f t="shared" si="66"/>
        <v/>
      </c>
      <c r="M129" s="36" t="str">
        <f t="shared" si="89"/>
        <v/>
      </c>
      <c r="N129" s="33" t="str">
        <f t="shared" si="90"/>
        <v/>
      </c>
      <c r="O129" s="36" t="str">
        <f t="shared" si="91"/>
        <v/>
      </c>
      <c r="P129" s="36" t="str">
        <f t="shared" si="92"/>
        <v/>
      </c>
      <c r="Q129" s="33" t="str">
        <f t="shared" si="93"/>
        <v/>
      </c>
      <c r="R129" s="1"/>
      <c r="S129" s="1"/>
      <c r="Y129" s="1" t="e">
        <f>VLOOKUP($B$6,LOOKUP_SCE,122,0)</f>
        <v>#N/A</v>
      </c>
      <c r="Z129" s="22" t="str">
        <f t="shared" si="115"/>
        <v/>
      </c>
      <c r="AA129" s="23">
        <f t="shared" si="94"/>
        <v>7</v>
      </c>
      <c r="AB129" s="55" t="e">
        <f t="shared" si="116"/>
        <v>#N/A</v>
      </c>
      <c r="AC129" s="38" t="e">
        <f t="shared" si="95"/>
        <v>#N/A</v>
      </c>
      <c r="AD129" s="38" t="e">
        <f t="shared" si="96"/>
        <v>#N/A</v>
      </c>
      <c r="AE129" s="415" t="e">
        <f t="shared" si="117"/>
        <v>#N/A</v>
      </c>
      <c r="AF129" s="10">
        <f t="shared" si="97"/>
        <v>7</v>
      </c>
      <c r="AG129" s="38" t="e">
        <f t="shared" si="70"/>
        <v>#N/A</v>
      </c>
      <c r="AH129" s="38" t="e">
        <f t="shared" si="98"/>
        <v>#N/A</v>
      </c>
      <c r="AI129" s="10" t="e">
        <f t="shared" si="118"/>
        <v>#N/A</v>
      </c>
      <c r="AJ129" s="39" t="e">
        <f t="shared" si="99"/>
        <v>#N/A</v>
      </c>
      <c r="AK129" s="40" t="e">
        <f t="shared" si="72"/>
        <v>#N/A</v>
      </c>
      <c r="AL129" s="11" t="e">
        <f t="shared" si="119"/>
        <v>#N/A</v>
      </c>
      <c r="AM129" s="41">
        <f t="shared" si="100"/>
        <v>7</v>
      </c>
      <c r="AN129" s="57" t="e">
        <f t="shared" si="74"/>
        <v>#N/A</v>
      </c>
      <c r="AO129" s="40" t="e">
        <f t="shared" si="101"/>
        <v>#N/A</v>
      </c>
      <c r="AP129" s="417" t="e">
        <f t="shared" si="120"/>
        <v>#N/A</v>
      </c>
      <c r="AQ129" s="56">
        <f t="shared" si="102"/>
        <v>7</v>
      </c>
      <c r="AR129" s="43" t="e">
        <f t="shared" si="103"/>
        <v>#N/A</v>
      </c>
      <c r="AS129" s="44" t="e">
        <f t="shared" si="104"/>
        <v>#N/A</v>
      </c>
      <c r="AT129" s="45" t="e">
        <f t="shared" si="121"/>
        <v>#N/A</v>
      </c>
      <c r="AU129" s="14">
        <f t="shared" si="105"/>
        <v>7</v>
      </c>
      <c r="AV129" s="44" t="e">
        <f t="shared" si="77"/>
        <v>#N/A</v>
      </c>
      <c r="AW129" s="14" t="e">
        <f t="shared" si="106"/>
        <v>#N/A</v>
      </c>
      <c r="AX129" s="14" t="e">
        <f t="shared" si="122"/>
        <v>#N/A</v>
      </c>
      <c r="AY129" s="46">
        <f t="shared" si="107"/>
        <v>7</v>
      </c>
      <c r="AZ129" s="47" t="e">
        <f t="shared" si="108"/>
        <v>#N/A</v>
      </c>
      <c r="BA129" s="48" t="e">
        <f t="shared" si="109"/>
        <v>#N/A</v>
      </c>
      <c r="BB129" s="31" t="e">
        <f t="shared" si="123"/>
        <v>#N/A</v>
      </c>
      <c r="BC129" s="28">
        <f t="shared" si="110"/>
        <v>7</v>
      </c>
      <c r="BD129" s="47" t="e">
        <f t="shared" si="111"/>
        <v>#N/A</v>
      </c>
      <c r="BE129" s="48" t="e">
        <f t="shared" si="112"/>
        <v>#N/A</v>
      </c>
      <c r="BF129" s="31" t="e">
        <f t="shared" si="124"/>
        <v>#N/A</v>
      </c>
      <c r="BG129" s="49" t="e">
        <f t="shared" si="125"/>
        <v>#N/A</v>
      </c>
      <c r="BH129" s="1" t="e">
        <f>VLOOKUP($B129,STOCK_BY_LA!$A$2:$C$10477,3,0)</f>
        <v>#N/A</v>
      </c>
      <c r="BI129" s="1" t="str">
        <f t="shared" si="113"/>
        <v/>
      </c>
    </row>
    <row r="130" spans="1:61" x14ac:dyDescent="0.35">
      <c r="A130" s="1" t="str">
        <f t="shared" si="126"/>
        <v/>
      </c>
      <c r="B130" s="1" t="str">
        <f t="shared" si="114"/>
        <v/>
      </c>
      <c r="C130" s="50" t="str">
        <f t="shared" si="83"/>
        <v/>
      </c>
      <c r="D130" s="33" t="str">
        <f>IF(B130="","",IF('totals_&amp;_RP_counts'!$O$3=0,IFERROR(IF(AA130=2,"0",AB130),""),"-"))</f>
        <v/>
      </c>
      <c r="E130" s="35" t="str">
        <f t="shared" si="84"/>
        <v/>
      </c>
      <c r="F130" s="36" t="str">
        <f t="shared" si="85"/>
        <v/>
      </c>
      <c r="G130" s="36" t="str">
        <f t="shared" si="86"/>
        <v/>
      </c>
      <c r="H130" s="33" t="str">
        <f t="shared" si="64"/>
        <v/>
      </c>
      <c r="I130" s="36" t="str">
        <f t="shared" si="87"/>
        <v/>
      </c>
      <c r="J130" s="36" t="str">
        <f t="shared" si="88"/>
        <v/>
      </c>
      <c r="K130" s="33" t="str">
        <f t="shared" si="65"/>
        <v/>
      </c>
      <c r="L130" s="36" t="str">
        <f t="shared" si="66"/>
        <v/>
      </c>
      <c r="M130" s="36" t="str">
        <f t="shared" si="89"/>
        <v/>
      </c>
      <c r="N130" s="33" t="str">
        <f t="shared" si="90"/>
        <v/>
      </c>
      <c r="O130" s="36" t="str">
        <f t="shared" si="91"/>
        <v/>
      </c>
      <c r="P130" s="36" t="str">
        <f t="shared" si="92"/>
        <v/>
      </c>
      <c r="Q130" s="33" t="str">
        <f t="shared" si="93"/>
        <v/>
      </c>
      <c r="R130" s="1"/>
      <c r="S130" s="1"/>
      <c r="Y130" s="1" t="e">
        <f>VLOOKUP($B$6,LOOKUP_SCE,123,0)</f>
        <v>#N/A</v>
      </c>
      <c r="Z130" s="22" t="str">
        <f t="shared" si="115"/>
        <v/>
      </c>
      <c r="AA130" s="23">
        <f t="shared" si="94"/>
        <v>7</v>
      </c>
      <c r="AB130" s="55" t="e">
        <f t="shared" si="116"/>
        <v>#N/A</v>
      </c>
      <c r="AC130" s="38" t="e">
        <f t="shared" si="95"/>
        <v>#N/A</v>
      </c>
      <c r="AD130" s="38" t="e">
        <f t="shared" si="96"/>
        <v>#N/A</v>
      </c>
      <c r="AE130" s="415" t="e">
        <f t="shared" si="117"/>
        <v>#N/A</v>
      </c>
      <c r="AF130" s="10">
        <f t="shared" si="97"/>
        <v>7</v>
      </c>
      <c r="AG130" s="38" t="e">
        <f t="shared" si="70"/>
        <v>#N/A</v>
      </c>
      <c r="AH130" s="38" t="e">
        <f t="shared" si="98"/>
        <v>#N/A</v>
      </c>
      <c r="AI130" s="10" t="e">
        <f t="shared" si="118"/>
        <v>#N/A</v>
      </c>
      <c r="AJ130" s="39" t="e">
        <f t="shared" si="99"/>
        <v>#N/A</v>
      </c>
      <c r="AK130" s="40" t="e">
        <f t="shared" si="72"/>
        <v>#N/A</v>
      </c>
      <c r="AL130" s="11" t="e">
        <f t="shared" si="119"/>
        <v>#N/A</v>
      </c>
      <c r="AM130" s="41">
        <f t="shared" si="100"/>
        <v>7</v>
      </c>
      <c r="AN130" s="57" t="e">
        <f t="shared" si="74"/>
        <v>#N/A</v>
      </c>
      <c r="AO130" s="40" t="e">
        <f t="shared" si="101"/>
        <v>#N/A</v>
      </c>
      <c r="AP130" s="417" t="e">
        <f t="shared" si="120"/>
        <v>#N/A</v>
      </c>
      <c r="AQ130" s="56">
        <f t="shared" si="102"/>
        <v>7</v>
      </c>
      <c r="AR130" s="43" t="e">
        <f t="shared" si="103"/>
        <v>#N/A</v>
      </c>
      <c r="AS130" s="44" t="e">
        <f t="shared" si="104"/>
        <v>#N/A</v>
      </c>
      <c r="AT130" s="45" t="e">
        <f t="shared" si="121"/>
        <v>#N/A</v>
      </c>
      <c r="AU130" s="14">
        <f t="shared" si="105"/>
        <v>7</v>
      </c>
      <c r="AV130" s="44" t="e">
        <f t="shared" si="77"/>
        <v>#N/A</v>
      </c>
      <c r="AW130" s="14" t="e">
        <f t="shared" si="106"/>
        <v>#N/A</v>
      </c>
      <c r="AX130" s="14" t="e">
        <f t="shared" si="122"/>
        <v>#N/A</v>
      </c>
      <c r="AY130" s="46">
        <f t="shared" si="107"/>
        <v>7</v>
      </c>
      <c r="AZ130" s="47" t="e">
        <f t="shared" si="108"/>
        <v>#N/A</v>
      </c>
      <c r="BA130" s="48" t="e">
        <f t="shared" si="109"/>
        <v>#N/A</v>
      </c>
      <c r="BB130" s="31" t="e">
        <f t="shared" si="123"/>
        <v>#N/A</v>
      </c>
      <c r="BC130" s="28">
        <f t="shared" si="110"/>
        <v>7</v>
      </c>
      <c r="BD130" s="47" t="e">
        <f t="shared" si="111"/>
        <v>#N/A</v>
      </c>
      <c r="BE130" s="48" t="e">
        <f t="shared" si="112"/>
        <v>#N/A</v>
      </c>
      <c r="BF130" s="31" t="e">
        <f t="shared" si="124"/>
        <v>#N/A</v>
      </c>
      <c r="BG130" s="49" t="e">
        <f t="shared" si="125"/>
        <v>#N/A</v>
      </c>
      <c r="BH130" s="1" t="e">
        <f>VLOOKUP($B130,STOCK_BY_LA!$A$2:$C$10477,3,0)</f>
        <v>#N/A</v>
      </c>
      <c r="BI130" s="1" t="str">
        <f t="shared" si="113"/>
        <v/>
      </c>
    </row>
    <row r="131" spans="1:61" x14ac:dyDescent="0.35">
      <c r="A131" s="33" t="str">
        <f t="shared" si="126"/>
        <v/>
      </c>
      <c r="B131" s="1" t="str">
        <f t="shared" si="114"/>
        <v/>
      </c>
      <c r="C131" s="34" t="str">
        <f t="shared" si="83"/>
        <v/>
      </c>
      <c r="D131" s="33" t="str">
        <f>IF(B131="","",IF('totals_&amp;_RP_counts'!$O$3=0,IFERROR(IF(AA131=2,"0",AB131),""),"-"))</f>
        <v/>
      </c>
      <c r="E131" s="35" t="str">
        <f t="shared" si="84"/>
        <v/>
      </c>
      <c r="F131" s="36" t="str">
        <f t="shared" si="85"/>
        <v/>
      </c>
      <c r="G131" s="36" t="str">
        <f t="shared" si="86"/>
        <v/>
      </c>
      <c r="H131" s="33" t="str">
        <f t="shared" si="64"/>
        <v/>
      </c>
      <c r="I131" s="36" t="str">
        <f t="shared" si="87"/>
        <v/>
      </c>
      <c r="J131" s="36" t="str">
        <f t="shared" si="88"/>
        <v/>
      </c>
      <c r="K131" s="33" t="str">
        <f t="shared" si="65"/>
        <v/>
      </c>
      <c r="L131" s="36" t="str">
        <f t="shared" si="66"/>
        <v/>
      </c>
      <c r="M131" s="36" t="str">
        <f t="shared" si="89"/>
        <v/>
      </c>
      <c r="N131" s="33" t="str">
        <f t="shared" si="90"/>
        <v/>
      </c>
      <c r="O131" s="36" t="str">
        <f t="shared" si="91"/>
        <v/>
      </c>
      <c r="P131" s="36" t="str">
        <f t="shared" si="92"/>
        <v/>
      </c>
      <c r="Q131" s="33" t="str">
        <f t="shared" si="93"/>
        <v/>
      </c>
      <c r="R131" s="1"/>
      <c r="S131" s="1"/>
      <c r="Y131" s="1" t="e">
        <f>VLOOKUP($B$6,LOOKUP_SCE,124,0)</f>
        <v>#N/A</v>
      </c>
      <c r="Z131" s="22" t="str">
        <f t="shared" si="115"/>
        <v/>
      </c>
      <c r="AA131" s="23">
        <f t="shared" si="94"/>
        <v>7</v>
      </c>
      <c r="AB131" s="55" t="e">
        <f t="shared" si="116"/>
        <v>#N/A</v>
      </c>
      <c r="AC131" s="38" t="e">
        <f t="shared" si="95"/>
        <v>#N/A</v>
      </c>
      <c r="AD131" s="38" t="e">
        <f t="shared" si="96"/>
        <v>#N/A</v>
      </c>
      <c r="AE131" s="415" t="e">
        <f t="shared" si="117"/>
        <v>#N/A</v>
      </c>
      <c r="AF131" s="10">
        <f t="shared" si="97"/>
        <v>7</v>
      </c>
      <c r="AG131" s="38" t="e">
        <f t="shared" si="70"/>
        <v>#N/A</v>
      </c>
      <c r="AH131" s="38" t="e">
        <f t="shared" si="98"/>
        <v>#N/A</v>
      </c>
      <c r="AI131" s="10" t="e">
        <f t="shared" si="118"/>
        <v>#N/A</v>
      </c>
      <c r="AJ131" s="39" t="e">
        <f t="shared" si="99"/>
        <v>#N/A</v>
      </c>
      <c r="AK131" s="40" t="e">
        <f t="shared" si="72"/>
        <v>#N/A</v>
      </c>
      <c r="AL131" s="11" t="e">
        <f t="shared" si="119"/>
        <v>#N/A</v>
      </c>
      <c r="AM131" s="41">
        <f t="shared" si="100"/>
        <v>7</v>
      </c>
      <c r="AN131" s="57" t="e">
        <f t="shared" si="74"/>
        <v>#N/A</v>
      </c>
      <c r="AO131" s="40" t="e">
        <f t="shared" si="101"/>
        <v>#N/A</v>
      </c>
      <c r="AP131" s="417" t="e">
        <f t="shared" si="120"/>
        <v>#N/A</v>
      </c>
      <c r="AQ131" s="56">
        <f t="shared" si="102"/>
        <v>7</v>
      </c>
      <c r="AR131" s="43" t="e">
        <f t="shared" si="103"/>
        <v>#N/A</v>
      </c>
      <c r="AS131" s="44" t="e">
        <f t="shared" si="104"/>
        <v>#N/A</v>
      </c>
      <c r="AT131" s="45" t="e">
        <f t="shared" si="121"/>
        <v>#N/A</v>
      </c>
      <c r="AU131" s="14">
        <f t="shared" si="105"/>
        <v>7</v>
      </c>
      <c r="AV131" s="44" t="e">
        <f t="shared" si="77"/>
        <v>#N/A</v>
      </c>
      <c r="AW131" s="14" t="e">
        <f t="shared" si="106"/>
        <v>#N/A</v>
      </c>
      <c r="AX131" s="14" t="e">
        <f t="shared" si="122"/>
        <v>#N/A</v>
      </c>
      <c r="AY131" s="46">
        <f t="shared" si="107"/>
        <v>7</v>
      </c>
      <c r="AZ131" s="47" t="e">
        <f t="shared" si="108"/>
        <v>#N/A</v>
      </c>
      <c r="BA131" s="48" t="e">
        <f t="shared" si="109"/>
        <v>#N/A</v>
      </c>
      <c r="BB131" s="31" t="e">
        <f t="shared" si="123"/>
        <v>#N/A</v>
      </c>
      <c r="BC131" s="28">
        <f t="shared" si="110"/>
        <v>7</v>
      </c>
      <c r="BD131" s="47" t="e">
        <f t="shared" si="111"/>
        <v>#N/A</v>
      </c>
      <c r="BE131" s="48" t="e">
        <f t="shared" si="112"/>
        <v>#N/A</v>
      </c>
      <c r="BF131" s="31" t="e">
        <f t="shared" si="124"/>
        <v>#N/A</v>
      </c>
      <c r="BG131" s="49" t="e">
        <f t="shared" si="125"/>
        <v>#N/A</v>
      </c>
      <c r="BH131" s="1" t="e">
        <f>VLOOKUP($B131,STOCK_BY_LA!$A$2:$C$10477,3,0)</f>
        <v>#N/A</v>
      </c>
      <c r="BI131" s="1" t="str">
        <f t="shared" si="113"/>
        <v/>
      </c>
    </row>
    <row r="132" spans="1:61" x14ac:dyDescent="0.35">
      <c r="A132" s="1" t="str">
        <f t="shared" si="126"/>
        <v/>
      </c>
      <c r="B132" s="1" t="str">
        <f t="shared" si="114"/>
        <v/>
      </c>
      <c r="C132" s="50" t="str">
        <f t="shared" si="83"/>
        <v/>
      </c>
      <c r="D132" s="33" t="str">
        <f>IF(B132="","",IF('totals_&amp;_RP_counts'!$O$3=0,IFERROR(IF(AA132=2,"0",AB132),""),"-"))</f>
        <v/>
      </c>
      <c r="E132" s="35" t="str">
        <f t="shared" si="84"/>
        <v/>
      </c>
      <c r="F132" s="36" t="str">
        <f t="shared" si="85"/>
        <v/>
      </c>
      <c r="G132" s="36" t="str">
        <f t="shared" si="86"/>
        <v/>
      </c>
      <c r="H132" s="33" t="str">
        <f t="shared" si="64"/>
        <v/>
      </c>
      <c r="I132" s="36" t="str">
        <f t="shared" si="87"/>
        <v/>
      </c>
      <c r="J132" s="36" t="str">
        <f t="shared" si="88"/>
        <v/>
      </c>
      <c r="K132" s="33" t="str">
        <f t="shared" si="65"/>
        <v/>
      </c>
      <c r="L132" s="36" t="str">
        <f t="shared" si="66"/>
        <v/>
      </c>
      <c r="M132" s="36" t="str">
        <f t="shared" si="89"/>
        <v/>
      </c>
      <c r="N132" s="33" t="str">
        <f t="shared" si="90"/>
        <v/>
      </c>
      <c r="O132" s="36" t="str">
        <f t="shared" si="91"/>
        <v/>
      </c>
      <c r="P132" s="36" t="str">
        <f t="shared" si="92"/>
        <v/>
      </c>
      <c r="Q132" s="33" t="str">
        <f t="shared" si="93"/>
        <v/>
      </c>
      <c r="R132" s="1"/>
      <c r="S132" s="1"/>
      <c r="Y132" s="1" t="e">
        <f>VLOOKUP($B$6,LOOKUP_SCE,125,0)</f>
        <v>#N/A</v>
      </c>
      <c r="Z132" s="22" t="str">
        <f t="shared" si="115"/>
        <v/>
      </c>
      <c r="AA132" s="23">
        <f t="shared" si="94"/>
        <v>7</v>
      </c>
      <c r="AB132" s="55" t="e">
        <f t="shared" si="116"/>
        <v>#N/A</v>
      </c>
      <c r="AC132" s="38" t="e">
        <f t="shared" si="95"/>
        <v>#N/A</v>
      </c>
      <c r="AD132" s="38" t="e">
        <f t="shared" si="96"/>
        <v>#N/A</v>
      </c>
      <c r="AE132" s="415" t="e">
        <f t="shared" si="117"/>
        <v>#N/A</v>
      </c>
      <c r="AF132" s="10">
        <f t="shared" si="97"/>
        <v>7</v>
      </c>
      <c r="AG132" s="38" t="e">
        <f t="shared" si="70"/>
        <v>#N/A</v>
      </c>
      <c r="AH132" s="38" t="e">
        <f t="shared" si="98"/>
        <v>#N/A</v>
      </c>
      <c r="AI132" s="10" t="e">
        <f t="shared" si="118"/>
        <v>#N/A</v>
      </c>
      <c r="AJ132" s="39" t="e">
        <f t="shared" si="99"/>
        <v>#N/A</v>
      </c>
      <c r="AK132" s="40" t="e">
        <f t="shared" si="72"/>
        <v>#N/A</v>
      </c>
      <c r="AL132" s="11" t="e">
        <f t="shared" si="119"/>
        <v>#N/A</v>
      </c>
      <c r="AM132" s="41">
        <f t="shared" si="100"/>
        <v>7</v>
      </c>
      <c r="AN132" s="57" t="e">
        <f t="shared" si="74"/>
        <v>#N/A</v>
      </c>
      <c r="AO132" s="40" t="e">
        <f t="shared" si="101"/>
        <v>#N/A</v>
      </c>
      <c r="AP132" s="417" t="e">
        <f t="shared" si="120"/>
        <v>#N/A</v>
      </c>
      <c r="AQ132" s="56">
        <f t="shared" si="102"/>
        <v>7</v>
      </c>
      <c r="AR132" s="43" t="e">
        <f t="shared" si="103"/>
        <v>#N/A</v>
      </c>
      <c r="AS132" s="44" t="e">
        <f t="shared" si="104"/>
        <v>#N/A</v>
      </c>
      <c r="AT132" s="45" t="e">
        <f t="shared" si="121"/>
        <v>#N/A</v>
      </c>
      <c r="AU132" s="14">
        <f t="shared" si="105"/>
        <v>7</v>
      </c>
      <c r="AV132" s="44" t="e">
        <f t="shared" si="77"/>
        <v>#N/A</v>
      </c>
      <c r="AW132" s="14" t="e">
        <f t="shared" si="106"/>
        <v>#N/A</v>
      </c>
      <c r="AX132" s="14" t="e">
        <f t="shared" si="122"/>
        <v>#N/A</v>
      </c>
      <c r="AY132" s="46">
        <f t="shared" si="107"/>
        <v>7</v>
      </c>
      <c r="AZ132" s="47" t="e">
        <f t="shared" si="108"/>
        <v>#N/A</v>
      </c>
      <c r="BA132" s="48" t="e">
        <f t="shared" si="109"/>
        <v>#N/A</v>
      </c>
      <c r="BB132" s="31" t="e">
        <f t="shared" si="123"/>
        <v>#N/A</v>
      </c>
      <c r="BC132" s="28">
        <f t="shared" si="110"/>
        <v>7</v>
      </c>
      <c r="BD132" s="47" t="e">
        <f t="shared" si="111"/>
        <v>#N/A</v>
      </c>
      <c r="BE132" s="48" t="e">
        <f t="shared" si="112"/>
        <v>#N/A</v>
      </c>
      <c r="BF132" s="31" t="e">
        <f t="shared" si="124"/>
        <v>#N/A</v>
      </c>
      <c r="BG132" s="49" t="e">
        <f t="shared" si="125"/>
        <v>#N/A</v>
      </c>
      <c r="BH132" s="1" t="e">
        <f>VLOOKUP($B132,STOCK_BY_LA!$A$2:$C$10477,3,0)</f>
        <v>#N/A</v>
      </c>
      <c r="BI132" s="1" t="str">
        <f t="shared" si="113"/>
        <v/>
      </c>
    </row>
    <row r="133" spans="1:61" x14ac:dyDescent="0.35">
      <c r="A133" s="33" t="str">
        <f t="shared" si="126"/>
        <v/>
      </c>
      <c r="B133" s="1" t="str">
        <f t="shared" si="114"/>
        <v/>
      </c>
      <c r="C133" s="34" t="str">
        <f t="shared" si="83"/>
        <v/>
      </c>
      <c r="D133" s="33" t="str">
        <f>IF(B133="","",IF('totals_&amp;_RP_counts'!$O$3=0,IFERROR(IF(AA133=2,"0",AB133),""),"-"))</f>
        <v/>
      </c>
      <c r="E133" s="35" t="str">
        <f t="shared" si="84"/>
        <v/>
      </c>
      <c r="F133" s="36" t="str">
        <f t="shared" si="85"/>
        <v/>
      </c>
      <c r="G133" s="36" t="str">
        <f t="shared" si="86"/>
        <v/>
      </c>
      <c r="H133" s="33" t="str">
        <f t="shared" si="64"/>
        <v/>
      </c>
      <c r="I133" s="36" t="str">
        <f t="shared" si="87"/>
        <v/>
      </c>
      <c r="J133" s="36" t="str">
        <f t="shared" si="88"/>
        <v/>
      </c>
      <c r="K133" s="33" t="str">
        <f t="shared" si="65"/>
        <v/>
      </c>
      <c r="L133" s="36" t="str">
        <f t="shared" si="66"/>
        <v/>
      </c>
      <c r="M133" s="36" t="str">
        <f t="shared" si="89"/>
        <v/>
      </c>
      <c r="N133" s="33" t="str">
        <f t="shared" si="90"/>
        <v/>
      </c>
      <c r="O133" s="36" t="str">
        <f t="shared" si="91"/>
        <v/>
      </c>
      <c r="P133" s="36" t="str">
        <f t="shared" si="92"/>
        <v/>
      </c>
      <c r="Q133" s="33" t="str">
        <f t="shared" si="93"/>
        <v/>
      </c>
      <c r="R133" s="1"/>
      <c r="S133" s="1"/>
      <c r="Y133" s="1" t="e">
        <f>VLOOKUP($B$6,LOOKUP_SCE,126,0)</f>
        <v>#N/A</v>
      </c>
      <c r="Z133" s="22" t="str">
        <f t="shared" si="115"/>
        <v/>
      </c>
      <c r="AA133" s="23">
        <f t="shared" si="94"/>
        <v>7</v>
      </c>
      <c r="AB133" s="55" t="e">
        <f t="shared" si="116"/>
        <v>#N/A</v>
      </c>
      <c r="AC133" s="38" t="e">
        <f t="shared" si="95"/>
        <v>#N/A</v>
      </c>
      <c r="AD133" s="38" t="e">
        <f t="shared" si="96"/>
        <v>#N/A</v>
      </c>
      <c r="AE133" s="415" t="e">
        <f t="shared" si="117"/>
        <v>#N/A</v>
      </c>
      <c r="AF133" s="10">
        <f t="shared" si="97"/>
        <v>7</v>
      </c>
      <c r="AG133" s="38" t="e">
        <f t="shared" si="70"/>
        <v>#N/A</v>
      </c>
      <c r="AH133" s="38" t="e">
        <f t="shared" si="98"/>
        <v>#N/A</v>
      </c>
      <c r="AI133" s="10" t="e">
        <f t="shared" si="118"/>
        <v>#N/A</v>
      </c>
      <c r="AJ133" s="39" t="e">
        <f t="shared" si="99"/>
        <v>#N/A</v>
      </c>
      <c r="AK133" s="40" t="e">
        <f t="shared" si="72"/>
        <v>#N/A</v>
      </c>
      <c r="AL133" s="11" t="e">
        <f t="shared" si="119"/>
        <v>#N/A</v>
      </c>
      <c r="AM133" s="41">
        <f t="shared" si="100"/>
        <v>7</v>
      </c>
      <c r="AN133" s="57" t="e">
        <f t="shared" si="74"/>
        <v>#N/A</v>
      </c>
      <c r="AO133" s="40" t="e">
        <f t="shared" si="101"/>
        <v>#N/A</v>
      </c>
      <c r="AP133" s="417" t="e">
        <f t="shared" si="120"/>
        <v>#N/A</v>
      </c>
      <c r="AQ133" s="56">
        <f t="shared" si="102"/>
        <v>7</v>
      </c>
      <c r="AR133" s="43" t="e">
        <f t="shared" si="103"/>
        <v>#N/A</v>
      </c>
      <c r="AS133" s="44" t="e">
        <f t="shared" si="104"/>
        <v>#N/A</v>
      </c>
      <c r="AT133" s="45" t="e">
        <f t="shared" si="121"/>
        <v>#N/A</v>
      </c>
      <c r="AU133" s="14">
        <f t="shared" si="105"/>
        <v>7</v>
      </c>
      <c r="AV133" s="44" t="e">
        <f t="shared" si="77"/>
        <v>#N/A</v>
      </c>
      <c r="AW133" s="14" t="e">
        <f t="shared" si="106"/>
        <v>#N/A</v>
      </c>
      <c r="AX133" s="14" t="e">
        <f t="shared" si="122"/>
        <v>#N/A</v>
      </c>
      <c r="AY133" s="46">
        <f t="shared" si="107"/>
        <v>7</v>
      </c>
      <c r="AZ133" s="47" t="e">
        <f t="shared" si="108"/>
        <v>#N/A</v>
      </c>
      <c r="BA133" s="48" t="e">
        <f t="shared" si="109"/>
        <v>#N/A</v>
      </c>
      <c r="BB133" s="31" t="e">
        <f t="shared" si="123"/>
        <v>#N/A</v>
      </c>
      <c r="BC133" s="28">
        <f t="shared" si="110"/>
        <v>7</v>
      </c>
      <c r="BD133" s="47" t="e">
        <f t="shared" si="111"/>
        <v>#N/A</v>
      </c>
      <c r="BE133" s="48" t="e">
        <f t="shared" si="112"/>
        <v>#N/A</v>
      </c>
      <c r="BF133" s="31" t="e">
        <f t="shared" si="124"/>
        <v>#N/A</v>
      </c>
      <c r="BG133" s="49" t="e">
        <f t="shared" si="125"/>
        <v>#N/A</v>
      </c>
      <c r="BH133" s="1" t="e">
        <f>VLOOKUP($B133,STOCK_BY_LA!$A$2:$C$10477,3,0)</f>
        <v>#N/A</v>
      </c>
      <c r="BI133" s="1" t="str">
        <f t="shared" si="113"/>
        <v/>
      </c>
    </row>
    <row r="134" spans="1:61" x14ac:dyDescent="0.35">
      <c r="A134" s="1" t="str">
        <f t="shared" si="126"/>
        <v/>
      </c>
      <c r="B134" s="1" t="str">
        <f t="shared" si="114"/>
        <v/>
      </c>
      <c r="C134" s="50" t="str">
        <f t="shared" si="83"/>
        <v/>
      </c>
      <c r="D134" s="33" t="str">
        <f>IF(B134="","",IF('totals_&amp;_RP_counts'!$O$3=0,IFERROR(IF(AA134=2,"0",AB134),""),"-"))</f>
        <v/>
      </c>
      <c r="E134" s="35" t="str">
        <f t="shared" si="84"/>
        <v/>
      </c>
      <c r="F134" s="36" t="str">
        <f t="shared" si="85"/>
        <v/>
      </c>
      <c r="G134" s="36" t="str">
        <f t="shared" si="86"/>
        <v/>
      </c>
      <c r="H134" s="33" t="str">
        <f t="shared" si="64"/>
        <v/>
      </c>
      <c r="I134" s="36" t="str">
        <f t="shared" si="87"/>
        <v/>
      </c>
      <c r="J134" s="36" t="str">
        <f t="shared" si="88"/>
        <v/>
      </c>
      <c r="K134" s="33" t="str">
        <f t="shared" si="65"/>
        <v/>
      </c>
      <c r="L134" s="36" t="str">
        <f t="shared" si="66"/>
        <v/>
      </c>
      <c r="M134" s="36" t="str">
        <f t="shared" si="89"/>
        <v/>
      </c>
      <c r="N134" s="33" t="str">
        <f t="shared" si="90"/>
        <v/>
      </c>
      <c r="O134" s="36" t="str">
        <f t="shared" si="91"/>
        <v/>
      </c>
      <c r="P134" s="36" t="str">
        <f t="shared" si="92"/>
        <v/>
      </c>
      <c r="Q134" s="33" t="str">
        <f t="shared" si="93"/>
        <v/>
      </c>
      <c r="R134" s="1"/>
      <c r="S134" s="1"/>
      <c r="Y134" s="1" t="e">
        <f>VLOOKUP($B$6,LOOKUP_SCE,127,0)</f>
        <v>#N/A</v>
      </c>
      <c r="Z134" s="22" t="str">
        <f t="shared" si="115"/>
        <v/>
      </c>
      <c r="AA134" s="23">
        <f t="shared" si="94"/>
        <v>7</v>
      </c>
      <c r="AB134" s="55" t="e">
        <f t="shared" si="116"/>
        <v>#N/A</v>
      </c>
      <c r="AC134" s="38" t="e">
        <f t="shared" si="95"/>
        <v>#N/A</v>
      </c>
      <c r="AD134" s="38" t="e">
        <f t="shared" si="96"/>
        <v>#N/A</v>
      </c>
      <c r="AE134" s="415" t="e">
        <f t="shared" si="117"/>
        <v>#N/A</v>
      </c>
      <c r="AF134" s="10">
        <f t="shared" si="97"/>
        <v>7</v>
      </c>
      <c r="AG134" s="38" t="e">
        <f t="shared" si="70"/>
        <v>#N/A</v>
      </c>
      <c r="AH134" s="38" t="e">
        <f t="shared" si="98"/>
        <v>#N/A</v>
      </c>
      <c r="AI134" s="10" t="e">
        <f t="shared" si="118"/>
        <v>#N/A</v>
      </c>
      <c r="AJ134" s="39" t="e">
        <f t="shared" si="99"/>
        <v>#N/A</v>
      </c>
      <c r="AK134" s="40" t="e">
        <f t="shared" si="72"/>
        <v>#N/A</v>
      </c>
      <c r="AL134" s="11" t="e">
        <f t="shared" si="119"/>
        <v>#N/A</v>
      </c>
      <c r="AM134" s="41">
        <f t="shared" si="100"/>
        <v>7</v>
      </c>
      <c r="AN134" s="57" t="e">
        <f t="shared" si="74"/>
        <v>#N/A</v>
      </c>
      <c r="AO134" s="40" t="e">
        <f t="shared" si="101"/>
        <v>#N/A</v>
      </c>
      <c r="AP134" s="417" t="e">
        <f t="shared" si="120"/>
        <v>#N/A</v>
      </c>
      <c r="AQ134" s="56">
        <f t="shared" si="102"/>
        <v>7</v>
      </c>
      <c r="AR134" s="43" t="e">
        <f t="shared" si="103"/>
        <v>#N/A</v>
      </c>
      <c r="AS134" s="44" t="e">
        <f t="shared" si="104"/>
        <v>#N/A</v>
      </c>
      <c r="AT134" s="45" t="e">
        <f t="shared" si="121"/>
        <v>#N/A</v>
      </c>
      <c r="AU134" s="14">
        <f t="shared" si="105"/>
        <v>7</v>
      </c>
      <c r="AV134" s="44" t="e">
        <f t="shared" si="77"/>
        <v>#N/A</v>
      </c>
      <c r="AW134" s="14" t="e">
        <f t="shared" si="106"/>
        <v>#N/A</v>
      </c>
      <c r="AX134" s="14" t="e">
        <f t="shared" si="122"/>
        <v>#N/A</v>
      </c>
      <c r="AY134" s="46">
        <f t="shared" si="107"/>
        <v>7</v>
      </c>
      <c r="AZ134" s="47" t="e">
        <f t="shared" si="108"/>
        <v>#N/A</v>
      </c>
      <c r="BA134" s="48" t="e">
        <f t="shared" si="109"/>
        <v>#N/A</v>
      </c>
      <c r="BB134" s="31" t="e">
        <f t="shared" si="123"/>
        <v>#N/A</v>
      </c>
      <c r="BC134" s="28">
        <f t="shared" si="110"/>
        <v>7</v>
      </c>
      <c r="BD134" s="47" t="e">
        <f t="shared" si="111"/>
        <v>#N/A</v>
      </c>
      <c r="BE134" s="48" t="e">
        <f t="shared" si="112"/>
        <v>#N/A</v>
      </c>
      <c r="BF134" s="31" t="e">
        <f t="shared" si="124"/>
        <v>#N/A</v>
      </c>
      <c r="BG134" s="49" t="e">
        <f t="shared" si="125"/>
        <v>#N/A</v>
      </c>
      <c r="BH134" s="1" t="e">
        <f>VLOOKUP($B134,STOCK_BY_LA!$A$2:$C$10477,3,0)</f>
        <v>#N/A</v>
      </c>
      <c r="BI134" s="1" t="str">
        <f t="shared" si="113"/>
        <v/>
      </c>
    </row>
    <row r="135" spans="1:61" x14ac:dyDescent="0.35">
      <c r="A135" s="33" t="str">
        <f t="shared" si="126"/>
        <v/>
      </c>
      <c r="B135" s="1" t="str">
        <f t="shared" si="114"/>
        <v/>
      </c>
      <c r="C135" s="34" t="str">
        <f t="shared" si="83"/>
        <v/>
      </c>
      <c r="D135" s="33" t="str">
        <f>IF(B135="","",IF('totals_&amp;_RP_counts'!$O$3=0,IFERROR(IF(AA135=2,"0",AB135),""),"-"))</f>
        <v/>
      </c>
      <c r="E135" s="35" t="str">
        <f t="shared" si="84"/>
        <v/>
      </c>
      <c r="F135" s="36" t="str">
        <f t="shared" si="85"/>
        <v/>
      </c>
      <c r="G135" s="36" t="str">
        <f t="shared" si="86"/>
        <v/>
      </c>
      <c r="H135" s="33" t="str">
        <f t="shared" si="64"/>
        <v/>
      </c>
      <c r="I135" s="36" t="str">
        <f t="shared" si="87"/>
        <v/>
      </c>
      <c r="J135" s="36" t="str">
        <f t="shared" si="88"/>
        <v/>
      </c>
      <c r="K135" s="33" t="str">
        <f t="shared" si="65"/>
        <v/>
      </c>
      <c r="L135" s="36" t="str">
        <f t="shared" si="66"/>
        <v/>
      </c>
      <c r="M135" s="36" t="str">
        <f t="shared" si="89"/>
        <v/>
      </c>
      <c r="N135" s="33" t="str">
        <f t="shared" si="90"/>
        <v/>
      </c>
      <c r="O135" s="36" t="str">
        <f t="shared" si="91"/>
        <v/>
      </c>
      <c r="P135" s="36" t="str">
        <f t="shared" si="92"/>
        <v/>
      </c>
      <c r="Q135" s="33" t="str">
        <f t="shared" si="93"/>
        <v/>
      </c>
      <c r="R135" s="1"/>
      <c r="S135" s="1"/>
      <c r="Y135" s="1" t="e">
        <f>VLOOKUP($B$6,LOOKUP_SCE,128,0)</f>
        <v>#N/A</v>
      </c>
      <c r="Z135" s="22" t="str">
        <f t="shared" si="115"/>
        <v/>
      </c>
      <c r="AA135" s="23">
        <f t="shared" si="94"/>
        <v>7</v>
      </c>
      <c r="AB135" s="55" t="e">
        <f t="shared" si="116"/>
        <v>#N/A</v>
      </c>
      <c r="AC135" s="38" t="e">
        <f t="shared" si="95"/>
        <v>#N/A</v>
      </c>
      <c r="AD135" s="38" t="e">
        <f t="shared" si="96"/>
        <v>#N/A</v>
      </c>
      <c r="AE135" s="415" t="e">
        <f t="shared" si="117"/>
        <v>#N/A</v>
      </c>
      <c r="AF135" s="10">
        <f t="shared" si="97"/>
        <v>7</v>
      </c>
      <c r="AG135" s="38" t="e">
        <f t="shared" si="70"/>
        <v>#N/A</v>
      </c>
      <c r="AH135" s="38" t="e">
        <f t="shared" si="98"/>
        <v>#N/A</v>
      </c>
      <c r="AI135" s="10" t="e">
        <f t="shared" si="118"/>
        <v>#N/A</v>
      </c>
      <c r="AJ135" s="39" t="e">
        <f t="shared" si="99"/>
        <v>#N/A</v>
      </c>
      <c r="AK135" s="40" t="e">
        <f t="shared" si="72"/>
        <v>#N/A</v>
      </c>
      <c r="AL135" s="11" t="e">
        <f t="shared" si="119"/>
        <v>#N/A</v>
      </c>
      <c r="AM135" s="41">
        <f t="shared" si="100"/>
        <v>7</v>
      </c>
      <c r="AN135" s="57" t="e">
        <f t="shared" si="74"/>
        <v>#N/A</v>
      </c>
      <c r="AO135" s="40" t="e">
        <f t="shared" si="101"/>
        <v>#N/A</v>
      </c>
      <c r="AP135" s="417" t="e">
        <f t="shared" si="120"/>
        <v>#N/A</v>
      </c>
      <c r="AQ135" s="56">
        <f t="shared" si="102"/>
        <v>7</v>
      </c>
      <c r="AR135" s="43" t="e">
        <f t="shared" si="103"/>
        <v>#N/A</v>
      </c>
      <c r="AS135" s="44" t="e">
        <f t="shared" si="104"/>
        <v>#N/A</v>
      </c>
      <c r="AT135" s="45" t="e">
        <f t="shared" si="121"/>
        <v>#N/A</v>
      </c>
      <c r="AU135" s="14">
        <f t="shared" si="105"/>
        <v>7</v>
      </c>
      <c r="AV135" s="44" t="e">
        <f t="shared" si="77"/>
        <v>#N/A</v>
      </c>
      <c r="AW135" s="14" t="e">
        <f t="shared" si="106"/>
        <v>#N/A</v>
      </c>
      <c r="AX135" s="14" t="e">
        <f t="shared" si="122"/>
        <v>#N/A</v>
      </c>
      <c r="AY135" s="46">
        <f t="shared" si="107"/>
        <v>7</v>
      </c>
      <c r="AZ135" s="47" t="e">
        <f t="shared" si="108"/>
        <v>#N/A</v>
      </c>
      <c r="BA135" s="48" t="e">
        <f t="shared" si="109"/>
        <v>#N/A</v>
      </c>
      <c r="BB135" s="31" t="e">
        <f t="shared" si="123"/>
        <v>#N/A</v>
      </c>
      <c r="BC135" s="28">
        <f t="shared" si="110"/>
        <v>7</v>
      </c>
      <c r="BD135" s="47" t="e">
        <f t="shared" si="111"/>
        <v>#N/A</v>
      </c>
      <c r="BE135" s="48" t="e">
        <f t="shared" si="112"/>
        <v>#N/A</v>
      </c>
      <c r="BF135" s="31" t="e">
        <f t="shared" si="124"/>
        <v>#N/A</v>
      </c>
      <c r="BG135" s="49" t="e">
        <f t="shared" si="125"/>
        <v>#N/A</v>
      </c>
      <c r="BH135" s="1" t="e">
        <f>VLOOKUP($B135,STOCK_BY_LA!$A$2:$C$10477,3,0)</f>
        <v>#N/A</v>
      </c>
      <c r="BI135" s="1" t="str">
        <f t="shared" si="113"/>
        <v/>
      </c>
    </row>
    <row r="136" spans="1:61" x14ac:dyDescent="0.35">
      <c r="A136" s="1" t="str">
        <f t="shared" si="126"/>
        <v/>
      </c>
      <c r="B136" s="1" t="str">
        <f t="shared" si="114"/>
        <v/>
      </c>
      <c r="C136" s="50" t="str">
        <f t="shared" si="83"/>
        <v/>
      </c>
      <c r="D136" s="33" t="str">
        <f>IF(B136="","",IF('totals_&amp;_RP_counts'!$O$3=0,IFERROR(IF(AA136=2,"0",AB136),""),"-"))</f>
        <v/>
      </c>
      <c r="E136" s="35" t="str">
        <f t="shared" si="84"/>
        <v/>
      </c>
      <c r="F136" s="36" t="str">
        <f t="shared" si="85"/>
        <v/>
      </c>
      <c r="G136" s="36" t="str">
        <f t="shared" si="86"/>
        <v/>
      </c>
      <c r="H136" s="33" t="str">
        <f t="shared" si="64"/>
        <v/>
      </c>
      <c r="I136" s="36" t="str">
        <f t="shared" si="87"/>
        <v/>
      </c>
      <c r="J136" s="36" t="str">
        <f t="shared" si="88"/>
        <v/>
      </c>
      <c r="K136" s="33" t="str">
        <f t="shared" si="65"/>
        <v/>
      </c>
      <c r="L136" s="36" t="str">
        <f t="shared" si="66"/>
        <v/>
      </c>
      <c r="M136" s="36" t="str">
        <f t="shared" si="89"/>
        <v/>
      </c>
      <c r="N136" s="33" t="str">
        <f t="shared" si="90"/>
        <v/>
      </c>
      <c r="O136" s="36" t="str">
        <f t="shared" si="91"/>
        <v/>
      </c>
      <c r="P136" s="36" t="str">
        <f t="shared" si="92"/>
        <v/>
      </c>
      <c r="Q136" s="33" t="str">
        <f t="shared" si="93"/>
        <v/>
      </c>
      <c r="R136" s="1"/>
      <c r="S136" s="1"/>
      <c r="Y136" s="1" t="e">
        <f>VLOOKUP($B$6,LOOKUP_SCE,129,0)</f>
        <v>#N/A</v>
      </c>
      <c r="Z136" s="22" t="str">
        <f t="shared" si="115"/>
        <v/>
      </c>
      <c r="AA136" s="23">
        <f t="shared" si="94"/>
        <v>7</v>
      </c>
      <c r="AB136" s="55" t="e">
        <f t="shared" si="116"/>
        <v>#N/A</v>
      </c>
      <c r="AC136" s="38" t="e">
        <f t="shared" si="95"/>
        <v>#N/A</v>
      </c>
      <c r="AD136" s="38" t="e">
        <f t="shared" si="96"/>
        <v>#N/A</v>
      </c>
      <c r="AE136" s="415" t="e">
        <f t="shared" si="117"/>
        <v>#N/A</v>
      </c>
      <c r="AF136" s="10">
        <f t="shared" si="97"/>
        <v>7</v>
      </c>
      <c r="AG136" s="38" t="e">
        <f t="shared" si="70"/>
        <v>#N/A</v>
      </c>
      <c r="AH136" s="38" t="e">
        <f t="shared" si="98"/>
        <v>#N/A</v>
      </c>
      <c r="AI136" s="10" t="e">
        <f t="shared" si="118"/>
        <v>#N/A</v>
      </c>
      <c r="AJ136" s="39" t="e">
        <f t="shared" si="99"/>
        <v>#N/A</v>
      </c>
      <c r="AK136" s="40" t="e">
        <f t="shared" si="72"/>
        <v>#N/A</v>
      </c>
      <c r="AL136" s="11" t="e">
        <f t="shared" si="119"/>
        <v>#N/A</v>
      </c>
      <c r="AM136" s="41">
        <f t="shared" si="100"/>
        <v>7</v>
      </c>
      <c r="AN136" s="57" t="e">
        <f t="shared" si="74"/>
        <v>#N/A</v>
      </c>
      <c r="AO136" s="40" t="e">
        <f t="shared" si="101"/>
        <v>#N/A</v>
      </c>
      <c r="AP136" s="417" t="e">
        <f t="shared" si="120"/>
        <v>#N/A</v>
      </c>
      <c r="AQ136" s="56">
        <f t="shared" si="102"/>
        <v>7</v>
      </c>
      <c r="AR136" s="43" t="e">
        <f t="shared" si="103"/>
        <v>#N/A</v>
      </c>
      <c r="AS136" s="44" t="e">
        <f t="shared" si="104"/>
        <v>#N/A</v>
      </c>
      <c r="AT136" s="45" t="e">
        <f t="shared" si="121"/>
        <v>#N/A</v>
      </c>
      <c r="AU136" s="14">
        <f t="shared" si="105"/>
        <v>7</v>
      </c>
      <c r="AV136" s="44" t="e">
        <f t="shared" si="77"/>
        <v>#N/A</v>
      </c>
      <c r="AW136" s="14" t="e">
        <f t="shared" si="106"/>
        <v>#N/A</v>
      </c>
      <c r="AX136" s="14" t="e">
        <f t="shared" si="122"/>
        <v>#N/A</v>
      </c>
      <c r="AY136" s="46">
        <f t="shared" si="107"/>
        <v>7</v>
      </c>
      <c r="AZ136" s="47" t="e">
        <f t="shared" si="108"/>
        <v>#N/A</v>
      </c>
      <c r="BA136" s="48" t="e">
        <f t="shared" si="109"/>
        <v>#N/A</v>
      </c>
      <c r="BB136" s="31" t="e">
        <f t="shared" si="123"/>
        <v>#N/A</v>
      </c>
      <c r="BC136" s="28">
        <f t="shared" si="110"/>
        <v>7</v>
      </c>
      <c r="BD136" s="47" t="e">
        <f t="shared" si="111"/>
        <v>#N/A</v>
      </c>
      <c r="BE136" s="48" t="e">
        <f t="shared" si="112"/>
        <v>#N/A</v>
      </c>
      <c r="BF136" s="31" t="e">
        <f t="shared" si="124"/>
        <v>#N/A</v>
      </c>
      <c r="BG136" s="49" t="e">
        <f t="shared" si="125"/>
        <v>#N/A</v>
      </c>
      <c r="BH136" s="1" t="e">
        <f>VLOOKUP($B136,STOCK_BY_LA!$A$2:$C$10477,3,0)</f>
        <v>#N/A</v>
      </c>
      <c r="BI136" s="1" t="str">
        <f t="shared" si="113"/>
        <v/>
      </c>
    </row>
    <row r="137" spans="1:61" x14ac:dyDescent="0.35">
      <c r="A137" s="33" t="str">
        <f t="shared" si="126"/>
        <v/>
      </c>
      <c r="B137" s="1" t="str">
        <f t="shared" si="114"/>
        <v/>
      </c>
      <c r="C137" s="34" t="str">
        <f t="shared" si="83"/>
        <v/>
      </c>
      <c r="D137" s="33" t="str">
        <f>IF(B137="","",IF('totals_&amp;_RP_counts'!$O$3=0,IFERROR(IF(AA137=2,"0",AB137),""),"-"))</f>
        <v/>
      </c>
      <c r="E137" s="35" t="str">
        <f t="shared" si="84"/>
        <v/>
      </c>
      <c r="F137" s="36" t="str">
        <f t="shared" si="85"/>
        <v/>
      </c>
      <c r="G137" s="36" t="str">
        <f t="shared" si="86"/>
        <v/>
      </c>
      <c r="H137" s="33" t="str">
        <f t="shared" ref="H137:H200" si="127">IFERROR(AL137,"")</f>
        <v/>
      </c>
      <c r="I137" s="36" t="str">
        <f t="shared" si="87"/>
        <v/>
      </c>
      <c r="J137" s="36" t="str">
        <f t="shared" si="88"/>
        <v/>
      </c>
      <c r="K137" s="33" t="str">
        <f t="shared" ref="K137:K200" si="128">IFERROR(AT137,"")</f>
        <v/>
      </c>
      <c r="L137" s="36" t="str">
        <f t="shared" ref="L137:L200" si="129">IFERROR(IF(AQ137=2,"-",AR137),"")</f>
        <v/>
      </c>
      <c r="M137" s="36" t="str">
        <f t="shared" si="89"/>
        <v/>
      </c>
      <c r="N137" s="33" t="str">
        <f t="shared" si="90"/>
        <v/>
      </c>
      <c r="O137" s="36" t="str">
        <f t="shared" si="91"/>
        <v/>
      </c>
      <c r="P137" s="36" t="str">
        <f t="shared" si="92"/>
        <v/>
      </c>
      <c r="Q137" s="33" t="str">
        <f t="shared" si="93"/>
        <v/>
      </c>
      <c r="R137" s="1"/>
      <c r="S137" s="1"/>
      <c r="Y137" s="1" t="e">
        <f>VLOOKUP($B$6,LOOKUP_SCE,130,0)</f>
        <v>#N/A</v>
      </c>
      <c r="Z137" s="22" t="str">
        <f t="shared" ref="Z137:Z168" si="130">IF(ISNUMBER(SEARCH("*",B137)),1,"")</f>
        <v/>
      </c>
      <c r="AA137" s="23">
        <f t="shared" si="94"/>
        <v>7</v>
      </c>
      <c r="AB137" s="55" t="e">
        <f t="shared" ref="AB137:AB168" si="131">IF(C137="LARP","-",SUM(VLOOKUP($B137,RP_LA_Count,2,0)-1))</f>
        <v>#N/A</v>
      </c>
      <c r="AC137" s="38" t="e">
        <f t="shared" si="95"/>
        <v>#N/A</v>
      </c>
      <c r="AD137" s="38" t="e">
        <f t="shared" si="96"/>
        <v>#N/A</v>
      </c>
      <c r="AE137" s="415" t="e">
        <f t="shared" ref="AE137:AE168" si="132">VLOOKUP(BI137,Stock_By_LA,2,0)</f>
        <v>#N/A</v>
      </c>
      <c r="AF137" s="10">
        <f t="shared" si="97"/>
        <v>7</v>
      </c>
      <c r="AG137" s="38" t="e">
        <f t="shared" ref="AG137:AG200" si="133">IF(AH137&gt;0,AH137,"-")</f>
        <v>#N/A</v>
      </c>
      <c r="AH137" s="38" t="e">
        <f t="shared" si="98"/>
        <v>#N/A</v>
      </c>
      <c r="AI137" s="10" t="e">
        <f t="shared" ref="AI137:AI168" si="134">VLOOKUP(B137,RP_Totals,2,0)</f>
        <v>#N/A</v>
      </c>
      <c r="AJ137" s="39" t="e">
        <f t="shared" si="99"/>
        <v>#N/A</v>
      </c>
      <c r="AK137" s="40" t="e">
        <f t="shared" ref="AK137:AK200" si="135">$AL137/$AL$8</f>
        <v>#N/A</v>
      </c>
      <c r="AL137" s="11" t="e">
        <f t="shared" ref="AL137:AL168" si="136">VLOOKUP($BI137,Stock_By_LA,3,0)</f>
        <v>#N/A</v>
      </c>
      <c r="AM137" s="41">
        <f t="shared" si="100"/>
        <v>7</v>
      </c>
      <c r="AN137" s="57" t="e">
        <f t="shared" ref="AN137:AN200" si="137">IF(AO137&gt;0,AO137,"-")</f>
        <v>#N/A</v>
      </c>
      <c r="AO137" s="40" t="e">
        <f t="shared" si="101"/>
        <v>#N/A</v>
      </c>
      <c r="AP137" s="417" t="e">
        <f t="shared" ref="AP137:AP168" si="138">VLOOKUP(B137,RP_Totals,3,0)</f>
        <v>#N/A</v>
      </c>
      <c r="AQ137" s="56">
        <f t="shared" si="102"/>
        <v>7</v>
      </c>
      <c r="AR137" s="43" t="e">
        <f t="shared" si="103"/>
        <v>#N/A</v>
      </c>
      <c r="AS137" s="44" t="e">
        <f t="shared" si="104"/>
        <v>#N/A</v>
      </c>
      <c r="AT137" s="45" t="e">
        <f t="shared" ref="AT137:AT168" si="139">VLOOKUP($BI137,Stock_By_LA,4,0)</f>
        <v>#N/A</v>
      </c>
      <c r="AU137" s="14">
        <f t="shared" si="105"/>
        <v>7</v>
      </c>
      <c r="AV137" s="44" t="e">
        <f t="shared" ref="AV137:AV200" si="140">IF(AW137&gt;0,AW137,"-")</f>
        <v>#N/A</v>
      </c>
      <c r="AW137" s="14" t="e">
        <f t="shared" si="106"/>
        <v>#N/A</v>
      </c>
      <c r="AX137" s="14" t="e">
        <f t="shared" ref="AX137:AX168" si="141">VLOOKUP(B137,RP_Totals,4,0)</f>
        <v>#N/A</v>
      </c>
      <c r="AY137" s="46">
        <f t="shared" si="107"/>
        <v>7</v>
      </c>
      <c r="AZ137" s="47" t="e">
        <f t="shared" si="108"/>
        <v>#N/A</v>
      </c>
      <c r="BA137" s="48" t="e">
        <f t="shared" si="109"/>
        <v>#N/A</v>
      </c>
      <c r="BB137" s="31" t="e">
        <f t="shared" ref="BB137:BB168" si="142">VLOOKUP($BI137,Stock_By_LA,5,0)</f>
        <v>#N/A</v>
      </c>
      <c r="BC137" s="28">
        <f t="shared" si="110"/>
        <v>7</v>
      </c>
      <c r="BD137" s="47" t="e">
        <f t="shared" si="111"/>
        <v>#N/A</v>
      </c>
      <c r="BE137" s="48" t="e">
        <f t="shared" si="112"/>
        <v>#N/A</v>
      </c>
      <c r="BF137" s="31" t="e">
        <f t="shared" ref="BF137:BF168" si="143">VLOOKUP(B137,RP_Totals,5,0)</f>
        <v>#N/A</v>
      </c>
      <c r="BG137" s="49" t="e">
        <f t="shared" ref="BG137:BG168" si="144">VLOOKUP(BI137,Stock_By_LA,6,0)</f>
        <v>#N/A</v>
      </c>
      <c r="BH137" s="1" t="e">
        <f>VLOOKUP($B137,STOCK_BY_LA!$A$2:$C$10477,3,0)</f>
        <v>#N/A</v>
      </c>
      <c r="BI137" s="1" t="str">
        <f t="shared" si="113"/>
        <v/>
      </c>
    </row>
    <row r="138" spans="1:61" x14ac:dyDescent="0.35">
      <c r="A138" s="1" t="str">
        <f t="shared" ref="A138:A169" si="145">IF(Z138=1,A137+1,"")</f>
        <v/>
      </c>
      <c r="B138" s="1" t="str">
        <f t="shared" si="114"/>
        <v/>
      </c>
      <c r="C138" s="50" t="str">
        <f t="shared" ref="C138:C201" si="146">IFERROR(BH138,"")</f>
        <v/>
      </c>
      <c r="D138" s="33" t="str">
        <f>IF(B138="","",IF('totals_&amp;_RP_counts'!$O$3=0,IFERROR(IF(AA138=2,"0",AB138),""),"-"))</f>
        <v/>
      </c>
      <c r="E138" s="35" t="str">
        <f t="shared" ref="E138:E201" si="147">IFERROR(AE138,"")</f>
        <v/>
      </c>
      <c r="F138" s="36" t="str">
        <f t="shared" ref="F138:F201" si="148">IFERROR(AC138,"")</f>
        <v/>
      </c>
      <c r="G138" s="36" t="str">
        <f t="shared" ref="G138:G201" si="149">IFERROR(IF(AF138=2,"-",AG138),"")</f>
        <v/>
      </c>
      <c r="H138" s="33" t="str">
        <f t="shared" si="127"/>
        <v/>
      </c>
      <c r="I138" s="36" t="str">
        <f t="shared" ref="I138:I201" si="150">IFERROR(AJ138,"")</f>
        <v/>
      </c>
      <c r="J138" s="36" t="str">
        <f t="shared" ref="J138:J201" si="151">IFERROR(IF(AM138=2,"-",AN138),"")</f>
        <v/>
      </c>
      <c r="K138" s="33" t="str">
        <f t="shared" si="128"/>
        <v/>
      </c>
      <c r="L138" s="36" t="str">
        <f t="shared" si="129"/>
        <v/>
      </c>
      <c r="M138" s="36" t="str">
        <f t="shared" ref="M138:M201" si="152">IFERROR(IF(AU138=2,"-",AV138),"")</f>
        <v/>
      </c>
      <c r="N138" s="33" t="str">
        <f t="shared" ref="N138:N201" si="153">IFERROR(BB138,"")</f>
        <v/>
      </c>
      <c r="O138" s="36" t="str">
        <f t="shared" ref="O138:O201" si="154">IFERROR(IF(AY138=2,"-",AZ138),"")</f>
        <v/>
      </c>
      <c r="P138" s="36" t="str">
        <f t="shared" ref="P138:P201" si="155">IFERROR(IF(BC138=2,"-",BD138),"")</f>
        <v/>
      </c>
      <c r="Q138" s="33" t="str">
        <f t="shared" ref="Q138:Q201" si="156">IFERROR(BG138,"")</f>
        <v/>
      </c>
      <c r="R138" s="1"/>
      <c r="S138" s="1"/>
      <c r="Y138" s="1" t="e">
        <f>VLOOKUP($B$6,LOOKUP_SCE,131,0)</f>
        <v>#N/A</v>
      </c>
      <c r="Z138" s="22" t="str">
        <f t="shared" si="130"/>
        <v/>
      </c>
      <c r="AA138" s="23">
        <f t="shared" ref="AA138:AA201" si="157">IFERROR(ERROR.TYPE(AB138),0)</f>
        <v>7</v>
      </c>
      <c r="AB138" s="55" t="e">
        <f t="shared" si="131"/>
        <v>#N/A</v>
      </c>
      <c r="AC138" s="38" t="e">
        <f t="shared" ref="AC138:AC201" si="158">IF(AD138&gt;0,AD138,"-")</f>
        <v>#N/A</v>
      </c>
      <c r="AD138" s="38" t="e">
        <f t="shared" ref="AD138:AD201" si="159">$AE138/$AE$8</f>
        <v>#N/A</v>
      </c>
      <c r="AE138" s="415" t="e">
        <f t="shared" si="132"/>
        <v>#N/A</v>
      </c>
      <c r="AF138" s="10">
        <f t="shared" ref="AF138:AF201" si="160">IFERROR(ERROR.TYPE(AG138),0)</f>
        <v>7</v>
      </c>
      <c r="AG138" s="38" t="e">
        <f t="shared" si="133"/>
        <v>#N/A</v>
      </c>
      <c r="AH138" s="38" t="e">
        <f t="shared" ref="AH138:AH201" si="161">$AE138/$AI138</f>
        <v>#N/A</v>
      </c>
      <c r="AI138" s="10" t="e">
        <f t="shared" si="134"/>
        <v>#N/A</v>
      </c>
      <c r="AJ138" s="39" t="e">
        <f t="shared" ref="AJ138:AJ201" si="162">IF(AK138&gt;0,AK138,"-")</f>
        <v>#N/A</v>
      </c>
      <c r="AK138" s="40" t="e">
        <f t="shared" si="135"/>
        <v>#N/A</v>
      </c>
      <c r="AL138" s="11" t="e">
        <f t="shared" si="136"/>
        <v>#N/A</v>
      </c>
      <c r="AM138" s="41">
        <f t="shared" ref="AM138:AM201" si="163">IFERROR(ERROR.TYPE(AN138),0)</f>
        <v>7</v>
      </c>
      <c r="AN138" s="57" t="e">
        <f t="shared" si="137"/>
        <v>#N/A</v>
      </c>
      <c r="AO138" s="40" t="e">
        <f t="shared" ref="AO138:AO201" si="164">$AL138/$AP138</f>
        <v>#N/A</v>
      </c>
      <c r="AP138" s="417" t="e">
        <f t="shared" si="138"/>
        <v>#N/A</v>
      </c>
      <c r="AQ138" s="56">
        <f t="shared" ref="AQ138:AQ201" si="165">IFERROR(ERROR.TYPE(AR138),0)</f>
        <v>7</v>
      </c>
      <c r="AR138" s="43" t="e">
        <f t="shared" ref="AR138:AR201" si="166">IF(AS138&gt;0,AS138,"-")</f>
        <v>#N/A</v>
      </c>
      <c r="AS138" s="44" t="e">
        <f t="shared" ref="AS138:AS201" si="167">AT138/$AT$8</f>
        <v>#N/A</v>
      </c>
      <c r="AT138" s="45" t="e">
        <f t="shared" si="139"/>
        <v>#N/A</v>
      </c>
      <c r="AU138" s="14">
        <f t="shared" ref="AU138:AU201" si="168">IFERROR(ERROR.TYPE(AV138),0)</f>
        <v>7</v>
      </c>
      <c r="AV138" s="44" t="e">
        <f t="shared" si="140"/>
        <v>#N/A</v>
      </c>
      <c r="AW138" s="14" t="e">
        <f t="shared" ref="AW138:AW201" si="169">$AT138/$AX138</f>
        <v>#N/A</v>
      </c>
      <c r="AX138" s="14" t="e">
        <f t="shared" si="141"/>
        <v>#N/A</v>
      </c>
      <c r="AY138" s="46">
        <f t="shared" ref="AY138:AY201" si="170">IFERROR(ERROR.TYPE(AZ138),0)</f>
        <v>7</v>
      </c>
      <c r="AZ138" s="47" t="e">
        <f t="shared" ref="AZ138:AZ201" si="171">IF(BA138&gt;0,BA138,"-")</f>
        <v>#N/A</v>
      </c>
      <c r="BA138" s="48" t="e">
        <f t="shared" ref="BA138:BA201" si="172">$BB138/$BB$8</f>
        <v>#N/A</v>
      </c>
      <c r="BB138" s="31" t="e">
        <f t="shared" si="142"/>
        <v>#N/A</v>
      </c>
      <c r="BC138" s="28">
        <f t="shared" ref="BC138:BC201" si="173">IFERROR(ERROR.TYPE(BD138),0)</f>
        <v>7</v>
      </c>
      <c r="BD138" s="47" t="e">
        <f t="shared" ref="BD138:BD201" si="174">IF(BE138&gt;0,BE138,"-")</f>
        <v>#N/A</v>
      </c>
      <c r="BE138" s="48" t="e">
        <f t="shared" ref="BE138:BE201" si="175">$BB138/$BF138</f>
        <v>#N/A</v>
      </c>
      <c r="BF138" s="31" t="e">
        <f t="shared" si="143"/>
        <v>#N/A</v>
      </c>
      <c r="BG138" s="49" t="e">
        <f t="shared" si="144"/>
        <v>#N/A</v>
      </c>
      <c r="BH138" s="1" t="e">
        <f>VLOOKUP($B138,STOCK_BY_LA!$A$2:$C$10477,3,0)</f>
        <v>#N/A</v>
      </c>
      <c r="BI138" s="1" t="str">
        <f t="shared" ref="BI138:BI201" si="176">$B$6&amp;$B138</f>
        <v/>
      </c>
    </row>
    <row r="139" spans="1:61" x14ac:dyDescent="0.35">
      <c r="A139" s="33" t="str">
        <f t="shared" si="145"/>
        <v/>
      </c>
      <c r="B139" s="1" t="str">
        <f t="shared" si="114"/>
        <v/>
      </c>
      <c r="C139" s="34" t="str">
        <f t="shared" si="146"/>
        <v/>
      </c>
      <c r="D139" s="33" t="str">
        <f>IF(B139="","",IF('totals_&amp;_RP_counts'!$O$3=0,IFERROR(IF(AA139=2,"0",AB139),""),"-"))</f>
        <v/>
      </c>
      <c r="E139" s="35" t="str">
        <f t="shared" si="147"/>
        <v/>
      </c>
      <c r="F139" s="36" t="str">
        <f t="shared" si="148"/>
        <v/>
      </c>
      <c r="G139" s="36" t="str">
        <f t="shared" si="149"/>
        <v/>
      </c>
      <c r="H139" s="33" t="str">
        <f t="shared" si="127"/>
        <v/>
      </c>
      <c r="I139" s="36" t="str">
        <f t="shared" si="150"/>
        <v/>
      </c>
      <c r="J139" s="36" t="str">
        <f t="shared" si="151"/>
        <v/>
      </c>
      <c r="K139" s="33" t="str">
        <f t="shared" si="128"/>
        <v/>
      </c>
      <c r="L139" s="36" t="str">
        <f t="shared" si="129"/>
        <v/>
      </c>
      <c r="M139" s="36" t="str">
        <f t="shared" si="152"/>
        <v/>
      </c>
      <c r="N139" s="33" t="str">
        <f t="shared" si="153"/>
        <v/>
      </c>
      <c r="O139" s="36" t="str">
        <f t="shared" si="154"/>
        <v/>
      </c>
      <c r="P139" s="36" t="str">
        <f t="shared" si="155"/>
        <v/>
      </c>
      <c r="Q139" s="33" t="str">
        <f t="shared" si="156"/>
        <v/>
      </c>
      <c r="R139" s="1"/>
      <c r="S139" s="1"/>
      <c r="Y139" s="1" t="e">
        <f>VLOOKUP($B$6,LOOKUP_SCE,132,0)</f>
        <v>#N/A</v>
      </c>
      <c r="Z139" s="22" t="str">
        <f t="shared" si="130"/>
        <v/>
      </c>
      <c r="AA139" s="23">
        <f t="shared" si="157"/>
        <v>7</v>
      </c>
      <c r="AB139" s="55" t="e">
        <f t="shared" si="131"/>
        <v>#N/A</v>
      </c>
      <c r="AC139" s="38" t="e">
        <f t="shared" si="158"/>
        <v>#N/A</v>
      </c>
      <c r="AD139" s="38" t="e">
        <f t="shared" si="159"/>
        <v>#N/A</v>
      </c>
      <c r="AE139" s="415" t="e">
        <f t="shared" si="132"/>
        <v>#N/A</v>
      </c>
      <c r="AF139" s="10">
        <f t="shared" si="160"/>
        <v>7</v>
      </c>
      <c r="AG139" s="38" t="e">
        <f t="shared" si="133"/>
        <v>#N/A</v>
      </c>
      <c r="AH139" s="38" t="e">
        <f t="shared" si="161"/>
        <v>#N/A</v>
      </c>
      <c r="AI139" s="10" t="e">
        <f t="shared" si="134"/>
        <v>#N/A</v>
      </c>
      <c r="AJ139" s="39" t="e">
        <f t="shared" si="162"/>
        <v>#N/A</v>
      </c>
      <c r="AK139" s="40" t="e">
        <f t="shared" si="135"/>
        <v>#N/A</v>
      </c>
      <c r="AL139" s="11" t="e">
        <f t="shared" si="136"/>
        <v>#N/A</v>
      </c>
      <c r="AM139" s="41">
        <f t="shared" si="163"/>
        <v>7</v>
      </c>
      <c r="AN139" s="57" t="e">
        <f t="shared" si="137"/>
        <v>#N/A</v>
      </c>
      <c r="AO139" s="40" t="e">
        <f t="shared" si="164"/>
        <v>#N/A</v>
      </c>
      <c r="AP139" s="417" t="e">
        <f t="shared" si="138"/>
        <v>#N/A</v>
      </c>
      <c r="AQ139" s="56">
        <f t="shared" si="165"/>
        <v>7</v>
      </c>
      <c r="AR139" s="43" t="e">
        <f t="shared" si="166"/>
        <v>#N/A</v>
      </c>
      <c r="AS139" s="44" t="e">
        <f t="shared" si="167"/>
        <v>#N/A</v>
      </c>
      <c r="AT139" s="45" t="e">
        <f t="shared" si="139"/>
        <v>#N/A</v>
      </c>
      <c r="AU139" s="14">
        <f t="shared" si="168"/>
        <v>7</v>
      </c>
      <c r="AV139" s="44" t="e">
        <f t="shared" si="140"/>
        <v>#N/A</v>
      </c>
      <c r="AW139" s="14" t="e">
        <f t="shared" si="169"/>
        <v>#N/A</v>
      </c>
      <c r="AX139" s="14" t="e">
        <f t="shared" si="141"/>
        <v>#N/A</v>
      </c>
      <c r="AY139" s="46">
        <f t="shared" si="170"/>
        <v>7</v>
      </c>
      <c r="AZ139" s="47" t="e">
        <f t="shared" si="171"/>
        <v>#N/A</v>
      </c>
      <c r="BA139" s="48" t="e">
        <f t="shared" si="172"/>
        <v>#N/A</v>
      </c>
      <c r="BB139" s="31" t="e">
        <f t="shared" si="142"/>
        <v>#N/A</v>
      </c>
      <c r="BC139" s="28">
        <f t="shared" si="173"/>
        <v>7</v>
      </c>
      <c r="BD139" s="47" t="e">
        <f t="shared" si="174"/>
        <v>#N/A</v>
      </c>
      <c r="BE139" s="48" t="e">
        <f t="shared" si="175"/>
        <v>#N/A</v>
      </c>
      <c r="BF139" s="31" t="e">
        <f t="shared" si="143"/>
        <v>#N/A</v>
      </c>
      <c r="BG139" s="49" t="e">
        <f t="shared" si="144"/>
        <v>#N/A</v>
      </c>
      <c r="BH139" s="1" t="e">
        <f>VLOOKUP($B139,STOCK_BY_LA!$A$2:$C$10477,3,0)</f>
        <v>#N/A</v>
      </c>
      <c r="BI139" s="1" t="str">
        <f t="shared" si="176"/>
        <v/>
      </c>
    </row>
    <row r="140" spans="1:61" x14ac:dyDescent="0.35">
      <c r="A140" s="1" t="str">
        <f t="shared" si="145"/>
        <v/>
      </c>
      <c r="B140" s="1" t="str">
        <f t="shared" si="114"/>
        <v/>
      </c>
      <c r="C140" s="50" t="str">
        <f t="shared" si="146"/>
        <v/>
      </c>
      <c r="D140" s="33" t="str">
        <f>IF(B140="","",IF('totals_&amp;_RP_counts'!$O$3=0,IFERROR(IF(AA140=2,"0",AB140),""),"-"))</f>
        <v/>
      </c>
      <c r="E140" s="35" t="str">
        <f t="shared" si="147"/>
        <v/>
      </c>
      <c r="F140" s="36" t="str">
        <f t="shared" si="148"/>
        <v/>
      </c>
      <c r="G140" s="36" t="str">
        <f t="shared" si="149"/>
        <v/>
      </c>
      <c r="H140" s="33" t="str">
        <f t="shared" si="127"/>
        <v/>
      </c>
      <c r="I140" s="36" t="str">
        <f t="shared" si="150"/>
        <v/>
      </c>
      <c r="J140" s="36" t="str">
        <f t="shared" si="151"/>
        <v/>
      </c>
      <c r="K140" s="33" t="str">
        <f t="shared" si="128"/>
        <v/>
      </c>
      <c r="L140" s="36" t="str">
        <f t="shared" si="129"/>
        <v/>
      </c>
      <c r="M140" s="36" t="str">
        <f t="shared" si="152"/>
        <v/>
      </c>
      <c r="N140" s="33" t="str">
        <f t="shared" si="153"/>
        <v/>
      </c>
      <c r="O140" s="36" t="str">
        <f t="shared" si="154"/>
        <v/>
      </c>
      <c r="P140" s="36" t="str">
        <f t="shared" si="155"/>
        <v/>
      </c>
      <c r="Q140" s="33" t="str">
        <f t="shared" si="156"/>
        <v/>
      </c>
      <c r="R140" s="1"/>
      <c r="S140" s="1"/>
      <c r="Y140" s="1" t="e">
        <f>VLOOKUP($B$6,LOOKUP_SCE,133,0)</f>
        <v>#N/A</v>
      </c>
      <c r="Z140" s="22" t="str">
        <f t="shared" si="130"/>
        <v/>
      </c>
      <c r="AA140" s="23">
        <f t="shared" si="157"/>
        <v>7</v>
      </c>
      <c r="AB140" s="55" t="e">
        <f t="shared" si="131"/>
        <v>#N/A</v>
      </c>
      <c r="AC140" s="38" t="e">
        <f t="shared" si="158"/>
        <v>#N/A</v>
      </c>
      <c r="AD140" s="38" t="e">
        <f t="shared" si="159"/>
        <v>#N/A</v>
      </c>
      <c r="AE140" s="415" t="e">
        <f t="shared" si="132"/>
        <v>#N/A</v>
      </c>
      <c r="AF140" s="10">
        <f t="shared" si="160"/>
        <v>7</v>
      </c>
      <c r="AG140" s="38" t="e">
        <f t="shared" si="133"/>
        <v>#N/A</v>
      </c>
      <c r="AH140" s="38" t="e">
        <f t="shared" si="161"/>
        <v>#N/A</v>
      </c>
      <c r="AI140" s="10" t="e">
        <f t="shared" si="134"/>
        <v>#N/A</v>
      </c>
      <c r="AJ140" s="39" t="e">
        <f t="shared" si="162"/>
        <v>#N/A</v>
      </c>
      <c r="AK140" s="40" t="e">
        <f t="shared" si="135"/>
        <v>#N/A</v>
      </c>
      <c r="AL140" s="11" t="e">
        <f t="shared" si="136"/>
        <v>#N/A</v>
      </c>
      <c r="AM140" s="41">
        <f t="shared" si="163"/>
        <v>7</v>
      </c>
      <c r="AN140" s="57" t="e">
        <f t="shared" si="137"/>
        <v>#N/A</v>
      </c>
      <c r="AO140" s="40" t="e">
        <f t="shared" si="164"/>
        <v>#N/A</v>
      </c>
      <c r="AP140" s="417" t="e">
        <f t="shared" si="138"/>
        <v>#N/A</v>
      </c>
      <c r="AQ140" s="56">
        <f t="shared" si="165"/>
        <v>7</v>
      </c>
      <c r="AR140" s="43" t="e">
        <f t="shared" si="166"/>
        <v>#N/A</v>
      </c>
      <c r="AS140" s="44" t="e">
        <f t="shared" si="167"/>
        <v>#N/A</v>
      </c>
      <c r="AT140" s="45" t="e">
        <f t="shared" si="139"/>
        <v>#N/A</v>
      </c>
      <c r="AU140" s="14">
        <f t="shared" si="168"/>
        <v>7</v>
      </c>
      <c r="AV140" s="44" t="e">
        <f t="shared" si="140"/>
        <v>#N/A</v>
      </c>
      <c r="AW140" s="14" t="e">
        <f t="shared" si="169"/>
        <v>#N/A</v>
      </c>
      <c r="AX140" s="14" t="e">
        <f t="shared" si="141"/>
        <v>#N/A</v>
      </c>
      <c r="AY140" s="46">
        <f t="shared" si="170"/>
        <v>7</v>
      </c>
      <c r="AZ140" s="47" t="e">
        <f t="shared" si="171"/>
        <v>#N/A</v>
      </c>
      <c r="BA140" s="48" t="e">
        <f t="shared" si="172"/>
        <v>#N/A</v>
      </c>
      <c r="BB140" s="31" t="e">
        <f t="shared" si="142"/>
        <v>#N/A</v>
      </c>
      <c r="BC140" s="28">
        <f t="shared" si="173"/>
        <v>7</v>
      </c>
      <c r="BD140" s="47" t="e">
        <f t="shared" si="174"/>
        <v>#N/A</v>
      </c>
      <c r="BE140" s="48" t="e">
        <f t="shared" si="175"/>
        <v>#N/A</v>
      </c>
      <c r="BF140" s="31" t="e">
        <f t="shared" si="143"/>
        <v>#N/A</v>
      </c>
      <c r="BG140" s="49" t="e">
        <f t="shared" si="144"/>
        <v>#N/A</v>
      </c>
      <c r="BH140" s="1" t="e">
        <f>VLOOKUP($B140,STOCK_BY_LA!$A$2:$C$10477,3,0)</f>
        <v>#N/A</v>
      </c>
      <c r="BI140" s="1" t="str">
        <f t="shared" si="176"/>
        <v/>
      </c>
    </row>
    <row r="141" spans="1:61" x14ac:dyDescent="0.35">
      <c r="A141" s="33" t="str">
        <f t="shared" si="145"/>
        <v/>
      </c>
      <c r="B141" s="1" t="str">
        <f t="shared" ref="B141:B204" si="177">IFERROR(IF(Y141=0,"",Y141),"")</f>
        <v/>
      </c>
      <c r="C141" s="34" t="str">
        <f t="shared" si="146"/>
        <v/>
      </c>
      <c r="D141" s="33" t="str">
        <f>IF(B141="","",IF('totals_&amp;_RP_counts'!$O$3=0,IFERROR(IF(AA141=2,"0",AB141),""),"-"))</f>
        <v/>
      </c>
      <c r="E141" s="35" t="str">
        <f t="shared" si="147"/>
        <v/>
      </c>
      <c r="F141" s="36" t="str">
        <f t="shared" si="148"/>
        <v/>
      </c>
      <c r="G141" s="36" t="str">
        <f t="shared" si="149"/>
        <v/>
      </c>
      <c r="H141" s="33" t="str">
        <f t="shared" si="127"/>
        <v/>
      </c>
      <c r="I141" s="36" t="str">
        <f t="shared" si="150"/>
        <v/>
      </c>
      <c r="J141" s="36" t="str">
        <f t="shared" si="151"/>
        <v/>
      </c>
      <c r="K141" s="33" t="str">
        <f t="shared" si="128"/>
        <v/>
      </c>
      <c r="L141" s="36" t="str">
        <f t="shared" si="129"/>
        <v/>
      </c>
      <c r="M141" s="36" t="str">
        <f t="shared" si="152"/>
        <v/>
      </c>
      <c r="N141" s="33" t="str">
        <f t="shared" si="153"/>
        <v/>
      </c>
      <c r="O141" s="36" t="str">
        <f t="shared" si="154"/>
        <v/>
      </c>
      <c r="P141" s="36" t="str">
        <f t="shared" si="155"/>
        <v/>
      </c>
      <c r="Q141" s="33" t="str">
        <f t="shared" si="156"/>
        <v/>
      </c>
      <c r="R141" s="1"/>
      <c r="S141" s="1"/>
      <c r="Y141" s="1" t="e">
        <f>VLOOKUP($B$6,LOOKUP_SCE,134,0)</f>
        <v>#N/A</v>
      </c>
      <c r="Z141" s="22" t="str">
        <f t="shared" si="130"/>
        <v/>
      </c>
      <c r="AA141" s="23">
        <f t="shared" si="157"/>
        <v>7</v>
      </c>
      <c r="AB141" s="55" t="e">
        <f t="shared" si="131"/>
        <v>#N/A</v>
      </c>
      <c r="AC141" s="38" t="e">
        <f t="shared" si="158"/>
        <v>#N/A</v>
      </c>
      <c r="AD141" s="38" t="e">
        <f t="shared" si="159"/>
        <v>#N/A</v>
      </c>
      <c r="AE141" s="415" t="e">
        <f t="shared" si="132"/>
        <v>#N/A</v>
      </c>
      <c r="AF141" s="10">
        <f t="shared" si="160"/>
        <v>7</v>
      </c>
      <c r="AG141" s="38" t="e">
        <f t="shared" si="133"/>
        <v>#N/A</v>
      </c>
      <c r="AH141" s="38" t="e">
        <f t="shared" si="161"/>
        <v>#N/A</v>
      </c>
      <c r="AI141" s="10" t="e">
        <f t="shared" si="134"/>
        <v>#N/A</v>
      </c>
      <c r="AJ141" s="39" t="e">
        <f t="shared" si="162"/>
        <v>#N/A</v>
      </c>
      <c r="AK141" s="40" t="e">
        <f t="shared" si="135"/>
        <v>#N/A</v>
      </c>
      <c r="AL141" s="11" t="e">
        <f t="shared" si="136"/>
        <v>#N/A</v>
      </c>
      <c r="AM141" s="41">
        <f t="shared" si="163"/>
        <v>7</v>
      </c>
      <c r="AN141" s="57" t="e">
        <f t="shared" si="137"/>
        <v>#N/A</v>
      </c>
      <c r="AO141" s="40" t="e">
        <f t="shared" si="164"/>
        <v>#N/A</v>
      </c>
      <c r="AP141" s="417" t="e">
        <f t="shared" si="138"/>
        <v>#N/A</v>
      </c>
      <c r="AQ141" s="56">
        <f t="shared" si="165"/>
        <v>7</v>
      </c>
      <c r="AR141" s="43" t="e">
        <f t="shared" si="166"/>
        <v>#N/A</v>
      </c>
      <c r="AS141" s="44" t="e">
        <f t="shared" si="167"/>
        <v>#N/A</v>
      </c>
      <c r="AT141" s="45" t="e">
        <f t="shared" si="139"/>
        <v>#N/A</v>
      </c>
      <c r="AU141" s="14">
        <f t="shared" si="168"/>
        <v>7</v>
      </c>
      <c r="AV141" s="44" t="e">
        <f t="shared" si="140"/>
        <v>#N/A</v>
      </c>
      <c r="AW141" s="14" t="e">
        <f t="shared" si="169"/>
        <v>#N/A</v>
      </c>
      <c r="AX141" s="14" t="e">
        <f t="shared" si="141"/>
        <v>#N/A</v>
      </c>
      <c r="AY141" s="46">
        <f t="shared" si="170"/>
        <v>7</v>
      </c>
      <c r="AZ141" s="47" t="e">
        <f t="shared" si="171"/>
        <v>#N/A</v>
      </c>
      <c r="BA141" s="48" t="e">
        <f t="shared" si="172"/>
        <v>#N/A</v>
      </c>
      <c r="BB141" s="31" t="e">
        <f t="shared" si="142"/>
        <v>#N/A</v>
      </c>
      <c r="BC141" s="28">
        <f t="shared" si="173"/>
        <v>7</v>
      </c>
      <c r="BD141" s="47" t="e">
        <f t="shared" si="174"/>
        <v>#N/A</v>
      </c>
      <c r="BE141" s="48" t="e">
        <f t="shared" si="175"/>
        <v>#N/A</v>
      </c>
      <c r="BF141" s="31" t="e">
        <f t="shared" si="143"/>
        <v>#N/A</v>
      </c>
      <c r="BG141" s="49" t="e">
        <f t="shared" si="144"/>
        <v>#N/A</v>
      </c>
      <c r="BH141" s="1" t="e">
        <f>VLOOKUP($B141,STOCK_BY_LA!$A$2:$C$10477,3,0)</f>
        <v>#N/A</v>
      </c>
      <c r="BI141" s="1" t="str">
        <f t="shared" si="176"/>
        <v/>
      </c>
    </row>
    <row r="142" spans="1:61" x14ac:dyDescent="0.35">
      <c r="A142" s="1" t="str">
        <f t="shared" si="145"/>
        <v/>
      </c>
      <c r="B142" s="1" t="str">
        <f t="shared" si="177"/>
        <v/>
      </c>
      <c r="C142" s="50" t="str">
        <f t="shared" si="146"/>
        <v/>
      </c>
      <c r="D142" s="33" t="str">
        <f>IF(B142="","",IF('totals_&amp;_RP_counts'!$O$3=0,IFERROR(IF(AA142=2,"0",AB142),""),"-"))</f>
        <v/>
      </c>
      <c r="E142" s="35" t="str">
        <f t="shared" si="147"/>
        <v/>
      </c>
      <c r="F142" s="36" t="str">
        <f t="shared" si="148"/>
        <v/>
      </c>
      <c r="G142" s="36" t="str">
        <f t="shared" si="149"/>
        <v/>
      </c>
      <c r="H142" s="33" t="str">
        <f t="shared" si="127"/>
        <v/>
      </c>
      <c r="I142" s="36" t="str">
        <f t="shared" si="150"/>
        <v/>
      </c>
      <c r="J142" s="36" t="str">
        <f t="shared" si="151"/>
        <v/>
      </c>
      <c r="K142" s="33" t="str">
        <f t="shared" si="128"/>
        <v/>
      </c>
      <c r="L142" s="36" t="str">
        <f t="shared" si="129"/>
        <v/>
      </c>
      <c r="M142" s="36" t="str">
        <f t="shared" si="152"/>
        <v/>
      </c>
      <c r="N142" s="33" t="str">
        <f t="shared" si="153"/>
        <v/>
      </c>
      <c r="O142" s="36" t="str">
        <f t="shared" si="154"/>
        <v/>
      </c>
      <c r="P142" s="36" t="str">
        <f t="shared" si="155"/>
        <v/>
      </c>
      <c r="Q142" s="33" t="str">
        <f t="shared" si="156"/>
        <v/>
      </c>
      <c r="R142" s="1"/>
      <c r="S142" s="1"/>
      <c r="Y142" s="1" t="e">
        <f>VLOOKUP($B$6,LOOKUP_SCE,135,0)</f>
        <v>#N/A</v>
      </c>
      <c r="Z142" s="22" t="str">
        <f t="shared" si="130"/>
        <v/>
      </c>
      <c r="AA142" s="23">
        <f t="shared" si="157"/>
        <v>7</v>
      </c>
      <c r="AB142" s="55" t="e">
        <f t="shared" si="131"/>
        <v>#N/A</v>
      </c>
      <c r="AC142" s="38" t="e">
        <f t="shared" si="158"/>
        <v>#N/A</v>
      </c>
      <c r="AD142" s="38" t="e">
        <f t="shared" si="159"/>
        <v>#N/A</v>
      </c>
      <c r="AE142" s="415" t="e">
        <f t="shared" si="132"/>
        <v>#N/A</v>
      </c>
      <c r="AF142" s="10">
        <f t="shared" si="160"/>
        <v>7</v>
      </c>
      <c r="AG142" s="38" t="e">
        <f t="shared" si="133"/>
        <v>#N/A</v>
      </c>
      <c r="AH142" s="38" t="e">
        <f t="shared" si="161"/>
        <v>#N/A</v>
      </c>
      <c r="AI142" s="10" t="e">
        <f t="shared" si="134"/>
        <v>#N/A</v>
      </c>
      <c r="AJ142" s="39" t="e">
        <f t="shared" si="162"/>
        <v>#N/A</v>
      </c>
      <c r="AK142" s="40" t="e">
        <f t="shared" si="135"/>
        <v>#N/A</v>
      </c>
      <c r="AL142" s="11" t="e">
        <f t="shared" si="136"/>
        <v>#N/A</v>
      </c>
      <c r="AM142" s="41">
        <f t="shared" si="163"/>
        <v>7</v>
      </c>
      <c r="AN142" s="57" t="e">
        <f t="shared" si="137"/>
        <v>#N/A</v>
      </c>
      <c r="AO142" s="40" t="e">
        <f t="shared" si="164"/>
        <v>#N/A</v>
      </c>
      <c r="AP142" s="417" t="e">
        <f t="shared" si="138"/>
        <v>#N/A</v>
      </c>
      <c r="AQ142" s="56">
        <f t="shared" si="165"/>
        <v>7</v>
      </c>
      <c r="AR142" s="43" t="e">
        <f t="shared" si="166"/>
        <v>#N/A</v>
      </c>
      <c r="AS142" s="44" t="e">
        <f t="shared" si="167"/>
        <v>#N/A</v>
      </c>
      <c r="AT142" s="45" t="e">
        <f t="shared" si="139"/>
        <v>#N/A</v>
      </c>
      <c r="AU142" s="14">
        <f t="shared" si="168"/>
        <v>7</v>
      </c>
      <c r="AV142" s="44" t="e">
        <f t="shared" si="140"/>
        <v>#N/A</v>
      </c>
      <c r="AW142" s="14" t="e">
        <f t="shared" si="169"/>
        <v>#N/A</v>
      </c>
      <c r="AX142" s="14" t="e">
        <f t="shared" si="141"/>
        <v>#N/A</v>
      </c>
      <c r="AY142" s="46">
        <f t="shared" si="170"/>
        <v>7</v>
      </c>
      <c r="AZ142" s="47" t="e">
        <f t="shared" si="171"/>
        <v>#N/A</v>
      </c>
      <c r="BA142" s="48" t="e">
        <f t="shared" si="172"/>
        <v>#N/A</v>
      </c>
      <c r="BB142" s="31" t="e">
        <f t="shared" si="142"/>
        <v>#N/A</v>
      </c>
      <c r="BC142" s="28">
        <f t="shared" si="173"/>
        <v>7</v>
      </c>
      <c r="BD142" s="47" t="e">
        <f t="shared" si="174"/>
        <v>#N/A</v>
      </c>
      <c r="BE142" s="48" t="e">
        <f t="shared" si="175"/>
        <v>#N/A</v>
      </c>
      <c r="BF142" s="31" t="e">
        <f t="shared" si="143"/>
        <v>#N/A</v>
      </c>
      <c r="BG142" s="49" t="e">
        <f t="shared" si="144"/>
        <v>#N/A</v>
      </c>
      <c r="BH142" s="1" t="e">
        <f>VLOOKUP($B142,STOCK_BY_LA!$A$2:$C$10477,3,0)</f>
        <v>#N/A</v>
      </c>
      <c r="BI142" s="1" t="str">
        <f t="shared" si="176"/>
        <v/>
      </c>
    </row>
    <row r="143" spans="1:61" x14ac:dyDescent="0.35">
      <c r="A143" s="33" t="str">
        <f t="shared" si="145"/>
        <v/>
      </c>
      <c r="B143" s="1" t="str">
        <f t="shared" si="177"/>
        <v/>
      </c>
      <c r="C143" s="34" t="str">
        <f t="shared" si="146"/>
        <v/>
      </c>
      <c r="D143" s="33" t="str">
        <f>IF(B143="","",IF('totals_&amp;_RP_counts'!$O$3=0,IFERROR(IF(AA143=2,"0",AB143),""),"-"))</f>
        <v/>
      </c>
      <c r="E143" s="35" t="str">
        <f t="shared" si="147"/>
        <v/>
      </c>
      <c r="F143" s="36" t="str">
        <f t="shared" si="148"/>
        <v/>
      </c>
      <c r="G143" s="36" t="str">
        <f t="shared" si="149"/>
        <v/>
      </c>
      <c r="H143" s="33" t="str">
        <f t="shared" si="127"/>
        <v/>
      </c>
      <c r="I143" s="36" t="str">
        <f t="shared" si="150"/>
        <v/>
      </c>
      <c r="J143" s="36" t="str">
        <f t="shared" si="151"/>
        <v/>
      </c>
      <c r="K143" s="33" t="str">
        <f t="shared" si="128"/>
        <v/>
      </c>
      <c r="L143" s="36" t="str">
        <f t="shared" si="129"/>
        <v/>
      </c>
      <c r="M143" s="36" t="str">
        <f t="shared" si="152"/>
        <v/>
      </c>
      <c r="N143" s="33" t="str">
        <f t="shared" si="153"/>
        <v/>
      </c>
      <c r="O143" s="36" t="str">
        <f t="shared" si="154"/>
        <v/>
      </c>
      <c r="P143" s="36" t="str">
        <f t="shared" si="155"/>
        <v/>
      </c>
      <c r="Q143" s="33" t="str">
        <f t="shared" si="156"/>
        <v/>
      </c>
      <c r="R143" s="1"/>
      <c r="S143" s="1"/>
      <c r="Y143" s="1" t="e">
        <f>VLOOKUP($B$6,LOOKUP_SCE,136,0)</f>
        <v>#N/A</v>
      </c>
      <c r="Z143" s="22" t="str">
        <f t="shared" si="130"/>
        <v/>
      </c>
      <c r="AA143" s="23">
        <f t="shared" si="157"/>
        <v>7</v>
      </c>
      <c r="AB143" s="55" t="e">
        <f t="shared" si="131"/>
        <v>#N/A</v>
      </c>
      <c r="AC143" s="38" t="e">
        <f t="shared" si="158"/>
        <v>#N/A</v>
      </c>
      <c r="AD143" s="38" t="e">
        <f t="shared" si="159"/>
        <v>#N/A</v>
      </c>
      <c r="AE143" s="415" t="e">
        <f t="shared" si="132"/>
        <v>#N/A</v>
      </c>
      <c r="AF143" s="10">
        <f t="shared" si="160"/>
        <v>7</v>
      </c>
      <c r="AG143" s="38" t="e">
        <f t="shared" si="133"/>
        <v>#N/A</v>
      </c>
      <c r="AH143" s="38" t="e">
        <f t="shared" si="161"/>
        <v>#N/A</v>
      </c>
      <c r="AI143" s="10" t="e">
        <f t="shared" si="134"/>
        <v>#N/A</v>
      </c>
      <c r="AJ143" s="39" t="e">
        <f t="shared" si="162"/>
        <v>#N/A</v>
      </c>
      <c r="AK143" s="40" t="e">
        <f t="shared" si="135"/>
        <v>#N/A</v>
      </c>
      <c r="AL143" s="11" t="e">
        <f t="shared" si="136"/>
        <v>#N/A</v>
      </c>
      <c r="AM143" s="41">
        <f t="shared" si="163"/>
        <v>7</v>
      </c>
      <c r="AN143" s="57" t="e">
        <f t="shared" si="137"/>
        <v>#N/A</v>
      </c>
      <c r="AO143" s="40" t="e">
        <f t="shared" si="164"/>
        <v>#N/A</v>
      </c>
      <c r="AP143" s="417" t="e">
        <f t="shared" si="138"/>
        <v>#N/A</v>
      </c>
      <c r="AQ143" s="56">
        <f t="shared" si="165"/>
        <v>7</v>
      </c>
      <c r="AR143" s="43" t="e">
        <f t="shared" si="166"/>
        <v>#N/A</v>
      </c>
      <c r="AS143" s="44" t="e">
        <f t="shared" si="167"/>
        <v>#N/A</v>
      </c>
      <c r="AT143" s="45" t="e">
        <f t="shared" si="139"/>
        <v>#N/A</v>
      </c>
      <c r="AU143" s="14">
        <f t="shared" si="168"/>
        <v>7</v>
      </c>
      <c r="AV143" s="44" t="e">
        <f t="shared" si="140"/>
        <v>#N/A</v>
      </c>
      <c r="AW143" s="14" t="e">
        <f t="shared" si="169"/>
        <v>#N/A</v>
      </c>
      <c r="AX143" s="14" t="e">
        <f t="shared" si="141"/>
        <v>#N/A</v>
      </c>
      <c r="AY143" s="46">
        <f t="shared" si="170"/>
        <v>7</v>
      </c>
      <c r="AZ143" s="47" t="e">
        <f t="shared" si="171"/>
        <v>#N/A</v>
      </c>
      <c r="BA143" s="48" t="e">
        <f t="shared" si="172"/>
        <v>#N/A</v>
      </c>
      <c r="BB143" s="31" t="e">
        <f t="shared" si="142"/>
        <v>#N/A</v>
      </c>
      <c r="BC143" s="28">
        <f t="shared" si="173"/>
        <v>7</v>
      </c>
      <c r="BD143" s="47" t="e">
        <f t="shared" si="174"/>
        <v>#N/A</v>
      </c>
      <c r="BE143" s="48" t="e">
        <f t="shared" si="175"/>
        <v>#N/A</v>
      </c>
      <c r="BF143" s="31" t="e">
        <f t="shared" si="143"/>
        <v>#N/A</v>
      </c>
      <c r="BG143" s="49" t="e">
        <f t="shared" si="144"/>
        <v>#N/A</v>
      </c>
      <c r="BH143" s="1" t="e">
        <f>VLOOKUP($B143,STOCK_BY_LA!$A$2:$C$10477,3,0)</f>
        <v>#N/A</v>
      </c>
      <c r="BI143" s="1" t="str">
        <f t="shared" si="176"/>
        <v/>
      </c>
    </row>
    <row r="144" spans="1:61" x14ac:dyDescent="0.35">
      <c r="A144" s="1" t="str">
        <f t="shared" si="145"/>
        <v/>
      </c>
      <c r="B144" s="1" t="str">
        <f t="shared" si="177"/>
        <v/>
      </c>
      <c r="C144" s="50" t="str">
        <f t="shared" si="146"/>
        <v/>
      </c>
      <c r="D144" s="33" t="str">
        <f>IF(B144="","",IF('totals_&amp;_RP_counts'!$O$3=0,IFERROR(IF(AA144=2,"0",AB144),""),"-"))</f>
        <v/>
      </c>
      <c r="E144" s="35" t="str">
        <f t="shared" si="147"/>
        <v/>
      </c>
      <c r="F144" s="36" t="str">
        <f t="shared" si="148"/>
        <v/>
      </c>
      <c r="G144" s="36" t="str">
        <f t="shared" si="149"/>
        <v/>
      </c>
      <c r="H144" s="33" t="str">
        <f t="shared" si="127"/>
        <v/>
      </c>
      <c r="I144" s="36" t="str">
        <f t="shared" si="150"/>
        <v/>
      </c>
      <c r="J144" s="36" t="str">
        <f t="shared" si="151"/>
        <v/>
      </c>
      <c r="K144" s="33" t="str">
        <f t="shared" si="128"/>
        <v/>
      </c>
      <c r="L144" s="36" t="str">
        <f t="shared" si="129"/>
        <v/>
      </c>
      <c r="M144" s="36" t="str">
        <f t="shared" si="152"/>
        <v/>
      </c>
      <c r="N144" s="33" t="str">
        <f t="shared" si="153"/>
        <v/>
      </c>
      <c r="O144" s="36" t="str">
        <f t="shared" si="154"/>
        <v/>
      </c>
      <c r="P144" s="36" t="str">
        <f t="shared" si="155"/>
        <v/>
      </c>
      <c r="Q144" s="33" t="str">
        <f t="shared" si="156"/>
        <v/>
      </c>
      <c r="R144" s="1"/>
      <c r="S144" s="1"/>
      <c r="Y144" s="1" t="e">
        <f>VLOOKUP($B$6,LOOKUP_SCE,137,0)</f>
        <v>#N/A</v>
      </c>
      <c r="Z144" s="22" t="str">
        <f t="shared" si="130"/>
        <v/>
      </c>
      <c r="AA144" s="23">
        <f t="shared" si="157"/>
        <v>7</v>
      </c>
      <c r="AB144" s="55" t="e">
        <f t="shared" si="131"/>
        <v>#N/A</v>
      </c>
      <c r="AC144" s="38" t="e">
        <f t="shared" si="158"/>
        <v>#N/A</v>
      </c>
      <c r="AD144" s="38" t="e">
        <f t="shared" si="159"/>
        <v>#N/A</v>
      </c>
      <c r="AE144" s="415" t="e">
        <f t="shared" si="132"/>
        <v>#N/A</v>
      </c>
      <c r="AF144" s="10">
        <f t="shared" si="160"/>
        <v>7</v>
      </c>
      <c r="AG144" s="38" t="e">
        <f t="shared" si="133"/>
        <v>#N/A</v>
      </c>
      <c r="AH144" s="38" t="e">
        <f t="shared" si="161"/>
        <v>#N/A</v>
      </c>
      <c r="AI144" s="10" t="e">
        <f t="shared" si="134"/>
        <v>#N/A</v>
      </c>
      <c r="AJ144" s="39" t="e">
        <f t="shared" si="162"/>
        <v>#N/A</v>
      </c>
      <c r="AK144" s="40" t="e">
        <f t="shared" si="135"/>
        <v>#N/A</v>
      </c>
      <c r="AL144" s="11" t="e">
        <f t="shared" si="136"/>
        <v>#N/A</v>
      </c>
      <c r="AM144" s="41">
        <f t="shared" si="163"/>
        <v>7</v>
      </c>
      <c r="AN144" s="57" t="e">
        <f t="shared" si="137"/>
        <v>#N/A</v>
      </c>
      <c r="AO144" s="40" t="e">
        <f t="shared" si="164"/>
        <v>#N/A</v>
      </c>
      <c r="AP144" s="417" t="e">
        <f t="shared" si="138"/>
        <v>#N/A</v>
      </c>
      <c r="AQ144" s="56">
        <f t="shared" si="165"/>
        <v>7</v>
      </c>
      <c r="AR144" s="43" t="e">
        <f t="shared" si="166"/>
        <v>#N/A</v>
      </c>
      <c r="AS144" s="44" t="e">
        <f t="shared" si="167"/>
        <v>#N/A</v>
      </c>
      <c r="AT144" s="45" t="e">
        <f t="shared" si="139"/>
        <v>#N/A</v>
      </c>
      <c r="AU144" s="14">
        <f t="shared" si="168"/>
        <v>7</v>
      </c>
      <c r="AV144" s="44" t="e">
        <f t="shared" si="140"/>
        <v>#N/A</v>
      </c>
      <c r="AW144" s="14" t="e">
        <f t="shared" si="169"/>
        <v>#N/A</v>
      </c>
      <c r="AX144" s="14" t="e">
        <f t="shared" si="141"/>
        <v>#N/A</v>
      </c>
      <c r="AY144" s="46">
        <f t="shared" si="170"/>
        <v>7</v>
      </c>
      <c r="AZ144" s="47" t="e">
        <f t="shared" si="171"/>
        <v>#N/A</v>
      </c>
      <c r="BA144" s="48" t="e">
        <f t="shared" si="172"/>
        <v>#N/A</v>
      </c>
      <c r="BB144" s="31" t="e">
        <f t="shared" si="142"/>
        <v>#N/A</v>
      </c>
      <c r="BC144" s="28">
        <f t="shared" si="173"/>
        <v>7</v>
      </c>
      <c r="BD144" s="47" t="e">
        <f t="shared" si="174"/>
        <v>#N/A</v>
      </c>
      <c r="BE144" s="48" t="e">
        <f t="shared" si="175"/>
        <v>#N/A</v>
      </c>
      <c r="BF144" s="31" t="e">
        <f t="shared" si="143"/>
        <v>#N/A</v>
      </c>
      <c r="BG144" s="49" t="e">
        <f t="shared" si="144"/>
        <v>#N/A</v>
      </c>
      <c r="BH144" s="1" t="e">
        <f>VLOOKUP($B144,STOCK_BY_LA!$A$2:$C$10477,3,0)</f>
        <v>#N/A</v>
      </c>
      <c r="BI144" s="1" t="str">
        <f t="shared" si="176"/>
        <v/>
      </c>
    </row>
    <row r="145" spans="1:61" x14ac:dyDescent="0.35">
      <c r="A145" s="33" t="str">
        <f t="shared" si="145"/>
        <v/>
      </c>
      <c r="B145" s="1" t="str">
        <f t="shared" si="177"/>
        <v/>
      </c>
      <c r="C145" s="34" t="str">
        <f t="shared" si="146"/>
        <v/>
      </c>
      <c r="D145" s="33" t="str">
        <f>IF(B145="","",IF('totals_&amp;_RP_counts'!$O$3=0,IFERROR(IF(AA145=2,"0",AB145),""),"-"))</f>
        <v/>
      </c>
      <c r="E145" s="35" t="str">
        <f t="shared" si="147"/>
        <v/>
      </c>
      <c r="F145" s="36" t="str">
        <f t="shared" si="148"/>
        <v/>
      </c>
      <c r="G145" s="36" t="str">
        <f t="shared" si="149"/>
        <v/>
      </c>
      <c r="H145" s="33" t="str">
        <f t="shared" si="127"/>
        <v/>
      </c>
      <c r="I145" s="36" t="str">
        <f t="shared" si="150"/>
        <v/>
      </c>
      <c r="J145" s="36" t="str">
        <f t="shared" si="151"/>
        <v/>
      </c>
      <c r="K145" s="33" t="str">
        <f t="shared" si="128"/>
        <v/>
      </c>
      <c r="L145" s="36" t="str">
        <f t="shared" si="129"/>
        <v/>
      </c>
      <c r="M145" s="36" t="str">
        <f t="shared" si="152"/>
        <v/>
      </c>
      <c r="N145" s="33" t="str">
        <f t="shared" si="153"/>
        <v/>
      </c>
      <c r="O145" s="36" t="str">
        <f t="shared" si="154"/>
        <v/>
      </c>
      <c r="P145" s="36" t="str">
        <f t="shared" si="155"/>
        <v/>
      </c>
      <c r="Q145" s="33" t="str">
        <f t="shared" si="156"/>
        <v/>
      </c>
      <c r="R145" s="1"/>
      <c r="S145" s="1"/>
      <c r="Y145" s="1" t="e">
        <f>VLOOKUP($B$6,LOOKUP_SCE,138,0)</f>
        <v>#N/A</v>
      </c>
      <c r="Z145" s="22" t="str">
        <f t="shared" si="130"/>
        <v/>
      </c>
      <c r="AA145" s="23">
        <f t="shared" si="157"/>
        <v>7</v>
      </c>
      <c r="AB145" s="55" t="e">
        <f t="shared" si="131"/>
        <v>#N/A</v>
      </c>
      <c r="AC145" s="38" t="e">
        <f t="shared" si="158"/>
        <v>#N/A</v>
      </c>
      <c r="AD145" s="38" t="e">
        <f t="shared" si="159"/>
        <v>#N/A</v>
      </c>
      <c r="AE145" s="415" t="e">
        <f t="shared" si="132"/>
        <v>#N/A</v>
      </c>
      <c r="AF145" s="10">
        <f t="shared" si="160"/>
        <v>7</v>
      </c>
      <c r="AG145" s="38" t="e">
        <f t="shared" si="133"/>
        <v>#N/A</v>
      </c>
      <c r="AH145" s="38" t="e">
        <f t="shared" si="161"/>
        <v>#N/A</v>
      </c>
      <c r="AI145" s="10" t="e">
        <f t="shared" si="134"/>
        <v>#N/A</v>
      </c>
      <c r="AJ145" s="39" t="e">
        <f t="shared" si="162"/>
        <v>#N/A</v>
      </c>
      <c r="AK145" s="40" t="e">
        <f t="shared" si="135"/>
        <v>#N/A</v>
      </c>
      <c r="AL145" s="11" t="e">
        <f t="shared" si="136"/>
        <v>#N/A</v>
      </c>
      <c r="AM145" s="41">
        <f t="shared" si="163"/>
        <v>7</v>
      </c>
      <c r="AN145" s="57" t="e">
        <f t="shared" si="137"/>
        <v>#N/A</v>
      </c>
      <c r="AO145" s="40" t="e">
        <f t="shared" si="164"/>
        <v>#N/A</v>
      </c>
      <c r="AP145" s="417" t="e">
        <f t="shared" si="138"/>
        <v>#N/A</v>
      </c>
      <c r="AQ145" s="56">
        <f t="shared" si="165"/>
        <v>7</v>
      </c>
      <c r="AR145" s="43" t="e">
        <f t="shared" si="166"/>
        <v>#N/A</v>
      </c>
      <c r="AS145" s="44" t="e">
        <f t="shared" si="167"/>
        <v>#N/A</v>
      </c>
      <c r="AT145" s="45" t="e">
        <f t="shared" si="139"/>
        <v>#N/A</v>
      </c>
      <c r="AU145" s="14">
        <f t="shared" si="168"/>
        <v>7</v>
      </c>
      <c r="AV145" s="44" t="e">
        <f t="shared" si="140"/>
        <v>#N/A</v>
      </c>
      <c r="AW145" s="14" t="e">
        <f t="shared" si="169"/>
        <v>#N/A</v>
      </c>
      <c r="AX145" s="14" t="e">
        <f t="shared" si="141"/>
        <v>#N/A</v>
      </c>
      <c r="AY145" s="46">
        <f t="shared" si="170"/>
        <v>7</v>
      </c>
      <c r="AZ145" s="47" t="e">
        <f t="shared" si="171"/>
        <v>#N/A</v>
      </c>
      <c r="BA145" s="48" t="e">
        <f t="shared" si="172"/>
        <v>#N/A</v>
      </c>
      <c r="BB145" s="31" t="e">
        <f t="shared" si="142"/>
        <v>#N/A</v>
      </c>
      <c r="BC145" s="28">
        <f t="shared" si="173"/>
        <v>7</v>
      </c>
      <c r="BD145" s="47" t="e">
        <f t="shared" si="174"/>
        <v>#N/A</v>
      </c>
      <c r="BE145" s="48" t="e">
        <f t="shared" si="175"/>
        <v>#N/A</v>
      </c>
      <c r="BF145" s="31" t="e">
        <f t="shared" si="143"/>
        <v>#N/A</v>
      </c>
      <c r="BG145" s="49" t="e">
        <f t="shared" si="144"/>
        <v>#N/A</v>
      </c>
      <c r="BH145" s="1" t="e">
        <f>VLOOKUP($B145,STOCK_BY_LA!$A$2:$C$10477,3,0)</f>
        <v>#N/A</v>
      </c>
      <c r="BI145" s="1" t="str">
        <f t="shared" si="176"/>
        <v/>
      </c>
    </row>
    <row r="146" spans="1:61" x14ac:dyDescent="0.35">
      <c r="A146" s="1" t="str">
        <f t="shared" si="145"/>
        <v/>
      </c>
      <c r="B146" s="1" t="str">
        <f t="shared" si="177"/>
        <v/>
      </c>
      <c r="C146" s="50" t="str">
        <f t="shared" si="146"/>
        <v/>
      </c>
      <c r="D146" s="33" t="str">
        <f>IF(B146="","",IF('totals_&amp;_RP_counts'!$O$3=0,IFERROR(IF(AA146=2,"0",AB146),""),"-"))</f>
        <v/>
      </c>
      <c r="E146" s="35" t="str">
        <f t="shared" si="147"/>
        <v/>
      </c>
      <c r="F146" s="36" t="str">
        <f t="shared" si="148"/>
        <v/>
      </c>
      <c r="G146" s="36" t="str">
        <f t="shared" si="149"/>
        <v/>
      </c>
      <c r="H146" s="33" t="str">
        <f t="shared" si="127"/>
        <v/>
      </c>
      <c r="I146" s="36" t="str">
        <f t="shared" si="150"/>
        <v/>
      </c>
      <c r="J146" s="36" t="str">
        <f t="shared" si="151"/>
        <v/>
      </c>
      <c r="K146" s="33" t="str">
        <f t="shared" si="128"/>
        <v/>
      </c>
      <c r="L146" s="36" t="str">
        <f t="shared" si="129"/>
        <v/>
      </c>
      <c r="M146" s="36" t="str">
        <f t="shared" si="152"/>
        <v/>
      </c>
      <c r="N146" s="33" t="str">
        <f t="shared" si="153"/>
        <v/>
      </c>
      <c r="O146" s="36" t="str">
        <f t="shared" si="154"/>
        <v/>
      </c>
      <c r="P146" s="36" t="str">
        <f t="shared" si="155"/>
        <v/>
      </c>
      <c r="Q146" s="33" t="str">
        <f t="shared" si="156"/>
        <v/>
      </c>
      <c r="R146" s="1"/>
      <c r="S146" s="1"/>
      <c r="Y146" s="1" t="e">
        <f>VLOOKUP($B$6,LOOKUP_SCE,139,0)</f>
        <v>#N/A</v>
      </c>
      <c r="Z146" s="22" t="str">
        <f t="shared" si="130"/>
        <v/>
      </c>
      <c r="AA146" s="23">
        <f t="shared" si="157"/>
        <v>7</v>
      </c>
      <c r="AB146" s="55" t="e">
        <f t="shared" si="131"/>
        <v>#N/A</v>
      </c>
      <c r="AC146" s="38" t="e">
        <f t="shared" si="158"/>
        <v>#N/A</v>
      </c>
      <c r="AD146" s="38" t="e">
        <f t="shared" si="159"/>
        <v>#N/A</v>
      </c>
      <c r="AE146" s="415" t="e">
        <f t="shared" si="132"/>
        <v>#N/A</v>
      </c>
      <c r="AF146" s="10">
        <f t="shared" si="160"/>
        <v>7</v>
      </c>
      <c r="AG146" s="38" t="e">
        <f t="shared" si="133"/>
        <v>#N/A</v>
      </c>
      <c r="AH146" s="38" t="e">
        <f t="shared" si="161"/>
        <v>#N/A</v>
      </c>
      <c r="AI146" s="10" t="e">
        <f t="shared" si="134"/>
        <v>#N/A</v>
      </c>
      <c r="AJ146" s="39" t="e">
        <f t="shared" si="162"/>
        <v>#N/A</v>
      </c>
      <c r="AK146" s="40" t="e">
        <f t="shared" si="135"/>
        <v>#N/A</v>
      </c>
      <c r="AL146" s="11" t="e">
        <f t="shared" si="136"/>
        <v>#N/A</v>
      </c>
      <c r="AM146" s="41">
        <f t="shared" si="163"/>
        <v>7</v>
      </c>
      <c r="AN146" s="57" t="e">
        <f t="shared" si="137"/>
        <v>#N/A</v>
      </c>
      <c r="AO146" s="40" t="e">
        <f t="shared" si="164"/>
        <v>#N/A</v>
      </c>
      <c r="AP146" s="417" t="e">
        <f t="shared" si="138"/>
        <v>#N/A</v>
      </c>
      <c r="AQ146" s="56">
        <f t="shared" si="165"/>
        <v>7</v>
      </c>
      <c r="AR146" s="43" t="e">
        <f t="shared" si="166"/>
        <v>#N/A</v>
      </c>
      <c r="AS146" s="44" t="e">
        <f t="shared" si="167"/>
        <v>#N/A</v>
      </c>
      <c r="AT146" s="45" t="e">
        <f t="shared" si="139"/>
        <v>#N/A</v>
      </c>
      <c r="AU146" s="14">
        <f t="shared" si="168"/>
        <v>7</v>
      </c>
      <c r="AV146" s="44" t="e">
        <f t="shared" si="140"/>
        <v>#N/A</v>
      </c>
      <c r="AW146" s="14" t="e">
        <f t="shared" si="169"/>
        <v>#N/A</v>
      </c>
      <c r="AX146" s="14" t="e">
        <f t="shared" si="141"/>
        <v>#N/A</v>
      </c>
      <c r="AY146" s="46">
        <f t="shared" si="170"/>
        <v>7</v>
      </c>
      <c r="AZ146" s="47" t="e">
        <f t="shared" si="171"/>
        <v>#N/A</v>
      </c>
      <c r="BA146" s="48" t="e">
        <f t="shared" si="172"/>
        <v>#N/A</v>
      </c>
      <c r="BB146" s="31" t="e">
        <f t="shared" si="142"/>
        <v>#N/A</v>
      </c>
      <c r="BC146" s="28">
        <f t="shared" si="173"/>
        <v>7</v>
      </c>
      <c r="BD146" s="47" t="e">
        <f t="shared" si="174"/>
        <v>#N/A</v>
      </c>
      <c r="BE146" s="48" t="e">
        <f t="shared" si="175"/>
        <v>#N/A</v>
      </c>
      <c r="BF146" s="31" t="e">
        <f t="shared" si="143"/>
        <v>#N/A</v>
      </c>
      <c r="BG146" s="49" t="e">
        <f t="shared" si="144"/>
        <v>#N/A</v>
      </c>
      <c r="BH146" s="1" t="e">
        <f>VLOOKUP($B146,STOCK_BY_LA!$A$2:$C$10477,3,0)</f>
        <v>#N/A</v>
      </c>
      <c r="BI146" s="1" t="str">
        <f t="shared" si="176"/>
        <v/>
      </c>
    </row>
    <row r="147" spans="1:61" x14ac:dyDescent="0.35">
      <c r="A147" s="33" t="str">
        <f t="shared" si="145"/>
        <v/>
      </c>
      <c r="B147" s="1" t="str">
        <f t="shared" si="177"/>
        <v/>
      </c>
      <c r="C147" s="34" t="str">
        <f t="shared" si="146"/>
        <v/>
      </c>
      <c r="D147" s="33" t="str">
        <f>IF(B147="","",IF('totals_&amp;_RP_counts'!$O$3=0,IFERROR(IF(AA147=2,"0",AB147),""),"-"))</f>
        <v/>
      </c>
      <c r="E147" s="35" t="str">
        <f t="shared" si="147"/>
        <v/>
      </c>
      <c r="F147" s="36" t="str">
        <f t="shared" si="148"/>
        <v/>
      </c>
      <c r="G147" s="36" t="str">
        <f t="shared" si="149"/>
        <v/>
      </c>
      <c r="H147" s="33" t="str">
        <f t="shared" si="127"/>
        <v/>
      </c>
      <c r="I147" s="36" t="str">
        <f t="shared" si="150"/>
        <v/>
      </c>
      <c r="J147" s="36" t="str">
        <f t="shared" si="151"/>
        <v/>
      </c>
      <c r="K147" s="33" t="str">
        <f t="shared" si="128"/>
        <v/>
      </c>
      <c r="L147" s="36" t="str">
        <f t="shared" si="129"/>
        <v/>
      </c>
      <c r="M147" s="36" t="str">
        <f t="shared" si="152"/>
        <v/>
      </c>
      <c r="N147" s="33" t="str">
        <f t="shared" si="153"/>
        <v/>
      </c>
      <c r="O147" s="36" t="str">
        <f t="shared" si="154"/>
        <v/>
      </c>
      <c r="P147" s="36" t="str">
        <f t="shared" si="155"/>
        <v/>
      </c>
      <c r="Q147" s="33" t="str">
        <f t="shared" si="156"/>
        <v/>
      </c>
      <c r="R147" s="1"/>
      <c r="S147" s="1"/>
      <c r="Y147" s="1" t="e">
        <f>VLOOKUP($B$6,LOOKUP_SCE,140,0)</f>
        <v>#N/A</v>
      </c>
      <c r="Z147" s="22" t="str">
        <f t="shared" si="130"/>
        <v/>
      </c>
      <c r="AA147" s="23">
        <f t="shared" si="157"/>
        <v>7</v>
      </c>
      <c r="AB147" s="55" t="e">
        <f t="shared" si="131"/>
        <v>#N/A</v>
      </c>
      <c r="AC147" s="38" t="e">
        <f t="shared" si="158"/>
        <v>#N/A</v>
      </c>
      <c r="AD147" s="38" t="e">
        <f t="shared" si="159"/>
        <v>#N/A</v>
      </c>
      <c r="AE147" s="415" t="e">
        <f t="shared" si="132"/>
        <v>#N/A</v>
      </c>
      <c r="AF147" s="10">
        <f t="shared" si="160"/>
        <v>7</v>
      </c>
      <c r="AG147" s="38" t="e">
        <f t="shared" si="133"/>
        <v>#N/A</v>
      </c>
      <c r="AH147" s="38" t="e">
        <f t="shared" si="161"/>
        <v>#N/A</v>
      </c>
      <c r="AI147" s="10" t="e">
        <f t="shared" si="134"/>
        <v>#N/A</v>
      </c>
      <c r="AJ147" s="39" t="e">
        <f t="shared" si="162"/>
        <v>#N/A</v>
      </c>
      <c r="AK147" s="40" t="e">
        <f t="shared" si="135"/>
        <v>#N/A</v>
      </c>
      <c r="AL147" s="11" t="e">
        <f t="shared" si="136"/>
        <v>#N/A</v>
      </c>
      <c r="AM147" s="41">
        <f t="shared" si="163"/>
        <v>7</v>
      </c>
      <c r="AN147" s="57" t="e">
        <f t="shared" si="137"/>
        <v>#N/A</v>
      </c>
      <c r="AO147" s="40" t="e">
        <f t="shared" si="164"/>
        <v>#N/A</v>
      </c>
      <c r="AP147" s="417" t="e">
        <f t="shared" si="138"/>
        <v>#N/A</v>
      </c>
      <c r="AQ147" s="56">
        <f t="shared" si="165"/>
        <v>7</v>
      </c>
      <c r="AR147" s="43" t="e">
        <f t="shared" si="166"/>
        <v>#N/A</v>
      </c>
      <c r="AS147" s="44" t="e">
        <f t="shared" si="167"/>
        <v>#N/A</v>
      </c>
      <c r="AT147" s="45" t="e">
        <f t="shared" si="139"/>
        <v>#N/A</v>
      </c>
      <c r="AU147" s="14">
        <f t="shared" si="168"/>
        <v>7</v>
      </c>
      <c r="AV147" s="44" t="e">
        <f t="shared" si="140"/>
        <v>#N/A</v>
      </c>
      <c r="AW147" s="14" t="e">
        <f t="shared" si="169"/>
        <v>#N/A</v>
      </c>
      <c r="AX147" s="14" t="e">
        <f t="shared" si="141"/>
        <v>#N/A</v>
      </c>
      <c r="AY147" s="46">
        <f t="shared" si="170"/>
        <v>7</v>
      </c>
      <c r="AZ147" s="47" t="e">
        <f t="shared" si="171"/>
        <v>#N/A</v>
      </c>
      <c r="BA147" s="48" t="e">
        <f t="shared" si="172"/>
        <v>#N/A</v>
      </c>
      <c r="BB147" s="31" t="e">
        <f t="shared" si="142"/>
        <v>#N/A</v>
      </c>
      <c r="BC147" s="28">
        <f t="shared" si="173"/>
        <v>7</v>
      </c>
      <c r="BD147" s="47" t="e">
        <f t="shared" si="174"/>
        <v>#N/A</v>
      </c>
      <c r="BE147" s="48" t="e">
        <f t="shared" si="175"/>
        <v>#N/A</v>
      </c>
      <c r="BF147" s="31" t="e">
        <f t="shared" si="143"/>
        <v>#N/A</v>
      </c>
      <c r="BG147" s="49" t="e">
        <f t="shared" si="144"/>
        <v>#N/A</v>
      </c>
      <c r="BH147" s="1" t="e">
        <f>VLOOKUP($B147,STOCK_BY_LA!$A$2:$C$10477,3,0)</f>
        <v>#N/A</v>
      </c>
      <c r="BI147" s="1" t="str">
        <f t="shared" si="176"/>
        <v/>
      </c>
    </row>
    <row r="148" spans="1:61" x14ac:dyDescent="0.35">
      <c r="A148" s="1" t="str">
        <f t="shared" si="145"/>
        <v/>
      </c>
      <c r="B148" s="1" t="str">
        <f t="shared" si="177"/>
        <v/>
      </c>
      <c r="C148" s="50" t="str">
        <f t="shared" si="146"/>
        <v/>
      </c>
      <c r="D148" s="33" t="str">
        <f>IF(B148="","",IF('totals_&amp;_RP_counts'!$O$3=0,IFERROR(IF(AA148=2,"0",AB148),""),"-"))</f>
        <v/>
      </c>
      <c r="E148" s="35" t="str">
        <f t="shared" si="147"/>
        <v/>
      </c>
      <c r="F148" s="36" t="str">
        <f t="shared" si="148"/>
        <v/>
      </c>
      <c r="G148" s="36" t="str">
        <f t="shared" si="149"/>
        <v/>
      </c>
      <c r="H148" s="33" t="str">
        <f t="shared" si="127"/>
        <v/>
      </c>
      <c r="I148" s="36" t="str">
        <f t="shared" si="150"/>
        <v/>
      </c>
      <c r="J148" s="36" t="str">
        <f t="shared" si="151"/>
        <v/>
      </c>
      <c r="K148" s="33" t="str">
        <f t="shared" si="128"/>
        <v/>
      </c>
      <c r="L148" s="36" t="str">
        <f t="shared" si="129"/>
        <v/>
      </c>
      <c r="M148" s="36" t="str">
        <f t="shared" si="152"/>
        <v/>
      </c>
      <c r="N148" s="33" t="str">
        <f t="shared" si="153"/>
        <v/>
      </c>
      <c r="O148" s="36" t="str">
        <f t="shared" si="154"/>
        <v/>
      </c>
      <c r="P148" s="36" t="str">
        <f t="shared" si="155"/>
        <v/>
      </c>
      <c r="Q148" s="33" t="str">
        <f t="shared" si="156"/>
        <v/>
      </c>
      <c r="R148" s="1"/>
      <c r="S148" s="1"/>
      <c r="Y148" s="1" t="e">
        <f>VLOOKUP($B$6,LOOKUP_SCE,141,0)</f>
        <v>#N/A</v>
      </c>
      <c r="Z148" s="22" t="str">
        <f t="shared" si="130"/>
        <v/>
      </c>
      <c r="AA148" s="23">
        <f t="shared" si="157"/>
        <v>7</v>
      </c>
      <c r="AB148" s="55" t="e">
        <f t="shared" si="131"/>
        <v>#N/A</v>
      </c>
      <c r="AC148" s="38" t="e">
        <f t="shared" si="158"/>
        <v>#N/A</v>
      </c>
      <c r="AD148" s="38" t="e">
        <f t="shared" si="159"/>
        <v>#N/A</v>
      </c>
      <c r="AE148" s="415" t="e">
        <f t="shared" si="132"/>
        <v>#N/A</v>
      </c>
      <c r="AF148" s="10">
        <f t="shared" si="160"/>
        <v>7</v>
      </c>
      <c r="AG148" s="38" t="e">
        <f t="shared" si="133"/>
        <v>#N/A</v>
      </c>
      <c r="AH148" s="38" t="e">
        <f t="shared" si="161"/>
        <v>#N/A</v>
      </c>
      <c r="AI148" s="10" t="e">
        <f t="shared" si="134"/>
        <v>#N/A</v>
      </c>
      <c r="AJ148" s="39" t="e">
        <f t="shared" si="162"/>
        <v>#N/A</v>
      </c>
      <c r="AK148" s="40" t="e">
        <f t="shared" si="135"/>
        <v>#N/A</v>
      </c>
      <c r="AL148" s="11" t="e">
        <f t="shared" si="136"/>
        <v>#N/A</v>
      </c>
      <c r="AM148" s="41">
        <f t="shared" si="163"/>
        <v>7</v>
      </c>
      <c r="AN148" s="57" t="e">
        <f t="shared" si="137"/>
        <v>#N/A</v>
      </c>
      <c r="AO148" s="40" t="e">
        <f t="shared" si="164"/>
        <v>#N/A</v>
      </c>
      <c r="AP148" s="417" t="e">
        <f t="shared" si="138"/>
        <v>#N/A</v>
      </c>
      <c r="AQ148" s="56">
        <f t="shared" si="165"/>
        <v>7</v>
      </c>
      <c r="AR148" s="43" t="e">
        <f t="shared" si="166"/>
        <v>#N/A</v>
      </c>
      <c r="AS148" s="44" t="e">
        <f t="shared" si="167"/>
        <v>#N/A</v>
      </c>
      <c r="AT148" s="45" t="e">
        <f t="shared" si="139"/>
        <v>#N/A</v>
      </c>
      <c r="AU148" s="14">
        <f t="shared" si="168"/>
        <v>7</v>
      </c>
      <c r="AV148" s="44" t="e">
        <f t="shared" si="140"/>
        <v>#N/A</v>
      </c>
      <c r="AW148" s="14" t="e">
        <f t="shared" si="169"/>
        <v>#N/A</v>
      </c>
      <c r="AX148" s="14" t="e">
        <f t="shared" si="141"/>
        <v>#N/A</v>
      </c>
      <c r="AY148" s="46">
        <f t="shared" si="170"/>
        <v>7</v>
      </c>
      <c r="AZ148" s="47" t="e">
        <f t="shared" si="171"/>
        <v>#N/A</v>
      </c>
      <c r="BA148" s="48" t="e">
        <f t="shared" si="172"/>
        <v>#N/A</v>
      </c>
      <c r="BB148" s="31" t="e">
        <f t="shared" si="142"/>
        <v>#N/A</v>
      </c>
      <c r="BC148" s="28">
        <f t="shared" si="173"/>
        <v>7</v>
      </c>
      <c r="BD148" s="47" t="e">
        <f t="shared" si="174"/>
        <v>#N/A</v>
      </c>
      <c r="BE148" s="48" t="e">
        <f t="shared" si="175"/>
        <v>#N/A</v>
      </c>
      <c r="BF148" s="31" t="e">
        <f t="shared" si="143"/>
        <v>#N/A</v>
      </c>
      <c r="BG148" s="49" t="e">
        <f t="shared" si="144"/>
        <v>#N/A</v>
      </c>
      <c r="BH148" s="1" t="e">
        <f>VLOOKUP($B148,STOCK_BY_LA!$A$2:$C$10477,3,0)</f>
        <v>#N/A</v>
      </c>
      <c r="BI148" s="1" t="str">
        <f t="shared" si="176"/>
        <v/>
      </c>
    </row>
    <row r="149" spans="1:61" x14ac:dyDescent="0.35">
      <c r="A149" s="33" t="str">
        <f t="shared" si="145"/>
        <v/>
      </c>
      <c r="B149" s="1" t="str">
        <f t="shared" si="177"/>
        <v/>
      </c>
      <c r="C149" s="34" t="str">
        <f t="shared" si="146"/>
        <v/>
      </c>
      <c r="D149" s="33" t="str">
        <f>IF(B149="","",IF('totals_&amp;_RP_counts'!$O$3=0,IFERROR(IF(AA149=2,"0",AB149),""),"-"))</f>
        <v/>
      </c>
      <c r="E149" s="35" t="str">
        <f t="shared" si="147"/>
        <v/>
      </c>
      <c r="F149" s="36" t="str">
        <f t="shared" si="148"/>
        <v/>
      </c>
      <c r="G149" s="36" t="str">
        <f t="shared" si="149"/>
        <v/>
      </c>
      <c r="H149" s="33" t="str">
        <f t="shared" si="127"/>
        <v/>
      </c>
      <c r="I149" s="36" t="str">
        <f t="shared" si="150"/>
        <v/>
      </c>
      <c r="J149" s="36" t="str">
        <f t="shared" si="151"/>
        <v/>
      </c>
      <c r="K149" s="33" t="str">
        <f t="shared" si="128"/>
        <v/>
      </c>
      <c r="L149" s="36" t="str">
        <f t="shared" si="129"/>
        <v/>
      </c>
      <c r="M149" s="36" t="str">
        <f t="shared" si="152"/>
        <v/>
      </c>
      <c r="N149" s="33" t="str">
        <f t="shared" si="153"/>
        <v/>
      </c>
      <c r="O149" s="36" t="str">
        <f t="shared" si="154"/>
        <v/>
      </c>
      <c r="P149" s="36" t="str">
        <f t="shared" si="155"/>
        <v/>
      </c>
      <c r="Q149" s="33" t="str">
        <f t="shared" si="156"/>
        <v/>
      </c>
      <c r="R149" s="1"/>
      <c r="S149" s="1"/>
      <c r="Y149" s="1" t="e">
        <f>VLOOKUP($B$6,LOOKUP_SCE,142,0)</f>
        <v>#N/A</v>
      </c>
      <c r="Z149" s="22" t="str">
        <f t="shared" si="130"/>
        <v/>
      </c>
      <c r="AA149" s="23">
        <f t="shared" si="157"/>
        <v>7</v>
      </c>
      <c r="AB149" s="55" t="e">
        <f t="shared" si="131"/>
        <v>#N/A</v>
      </c>
      <c r="AC149" s="38" t="e">
        <f t="shared" si="158"/>
        <v>#N/A</v>
      </c>
      <c r="AD149" s="38" t="e">
        <f t="shared" si="159"/>
        <v>#N/A</v>
      </c>
      <c r="AE149" s="415" t="e">
        <f t="shared" si="132"/>
        <v>#N/A</v>
      </c>
      <c r="AF149" s="10">
        <f t="shared" si="160"/>
        <v>7</v>
      </c>
      <c r="AG149" s="38" t="e">
        <f t="shared" si="133"/>
        <v>#N/A</v>
      </c>
      <c r="AH149" s="38" t="e">
        <f t="shared" si="161"/>
        <v>#N/A</v>
      </c>
      <c r="AI149" s="10" t="e">
        <f t="shared" si="134"/>
        <v>#N/A</v>
      </c>
      <c r="AJ149" s="39" t="e">
        <f t="shared" si="162"/>
        <v>#N/A</v>
      </c>
      <c r="AK149" s="40" t="e">
        <f t="shared" si="135"/>
        <v>#N/A</v>
      </c>
      <c r="AL149" s="11" t="e">
        <f t="shared" si="136"/>
        <v>#N/A</v>
      </c>
      <c r="AM149" s="41">
        <f t="shared" si="163"/>
        <v>7</v>
      </c>
      <c r="AN149" s="57" t="e">
        <f t="shared" si="137"/>
        <v>#N/A</v>
      </c>
      <c r="AO149" s="40" t="e">
        <f t="shared" si="164"/>
        <v>#N/A</v>
      </c>
      <c r="AP149" s="417" t="e">
        <f t="shared" si="138"/>
        <v>#N/A</v>
      </c>
      <c r="AQ149" s="56">
        <f t="shared" si="165"/>
        <v>7</v>
      </c>
      <c r="AR149" s="43" t="e">
        <f t="shared" si="166"/>
        <v>#N/A</v>
      </c>
      <c r="AS149" s="44" t="e">
        <f t="shared" si="167"/>
        <v>#N/A</v>
      </c>
      <c r="AT149" s="45" t="e">
        <f t="shared" si="139"/>
        <v>#N/A</v>
      </c>
      <c r="AU149" s="14">
        <f t="shared" si="168"/>
        <v>7</v>
      </c>
      <c r="AV149" s="44" t="e">
        <f t="shared" si="140"/>
        <v>#N/A</v>
      </c>
      <c r="AW149" s="14" t="e">
        <f t="shared" si="169"/>
        <v>#N/A</v>
      </c>
      <c r="AX149" s="14" t="e">
        <f t="shared" si="141"/>
        <v>#N/A</v>
      </c>
      <c r="AY149" s="46">
        <f t="shared" si="170"/>
        <v>7</v>
      </c>
      <c r="AZ149" s="47" t="e">
        <f t="shared" si="171"/>
        <v>#N/A</v>
      </c>
      <c r="BA149" s="48" t="e">
        <f t="shared" si="172"/>
        <v>#N/A</v>
      </c>
      <c r="BB149" s="31" t="e">
        <f t="shared" si="142"/>
        <v>#N/A</v>
      </c>
      <c r="BC149" s="28">
        <f t="shared" si="173"/>
        <v>7</v>
      </c>
      <c r="BD149" s="47" t="e">
        <f t="shared" si="174"/>
        <v>#N/A</v>
      </c>
      <c r="BE149" s="48" t="e">
        <f t="shared" si="175"/>
        <v>#N/A</v>
      </c>
      <c r="BF149" s="31" t="e">
        <f t="shared" si="143"/>
        <v>#N/A</v>
      </c>
      <c r="BG149" s="49" t="e">
        <f t="shared" si="144"/>
        <v>#N/A</v>
      </c>
      <c r="BH149" s="1" t="e">
        <f>VLOOKUP($B149,STOCK_BY_LA!$A$2:$C$10477,3,0)</f>
        <v>#N/A</v>
      </c>
      <c r="BI149" s="1" t="str">
        <f t="shared" si="176"/>
        <v/>
      </c>
    </row>
    <row r="150" spans="1:61" x14ac:dyDescent="0.35">
      <c r="A150" s="1" t="str">
        <f t="shared" si="145"/>
        <v/>
      </c>
      <c r="B150" s="1" t="str">
        <f t="shared" si="177"/>
        <v/>
      </c>
      <c r="C150" s="50" t="str">
        <f t="shared" si="146"/>
        <v/>
      </c>
      <c r="D150" s="33" t="str">
        <f>IF(B150="","",IF('totals_&amp;_RP_counts'!$O$3=0,IFERROR(IF(AA150=2,"0",AB150),""),"-"))</f>
        <v/>
      </c>
      <c r="E150" s="35" t="str">
        <f t="shared" si="147"/>
        <v/>
      </c>
      <c r="F150" s="36" t="str">
        <f t="shared" si="148"/>
        <v/>
      </c>
      <c r="G150" s="36" t="str">
        <f t="shared" si="149"/>
        <v/>
      </c>
      <c r="H150" s="33" t="str">
        <f t="shared" si="127"/>
        <v/>
      </c>
      <c r="I150" s="36" t="str">
        <f t="shared" si="150"/>
        <v/>
      </c>
      <c r="J150" s="36" t="str">
        <f t="shared" si="151"/>
        <v/>
      </c>
      <c r="K150" s="33" t="str">
        <f t="shared" si="128"/>
        <v/>
      </c>
      <c r="L150" s="36" t="str">
        <f t="shared" si="129"/>
        <v/>
      </c>
      <c r="M150" s="36" t="str">
        <f t="shared" si="152"/>
        <v/>
      </c>
      <c r="N150" s="33" t="str">
        <f t="shared" si="153"/>
        <v/>
      </c>
      <c r="O150" s="36" t="str">
        <f t="shared" si="154"/>
        <v/>
      </c>
      <c r="P150" s="36" t="str">
        <f t="shared" si="155"/>
        <v/>
      </c>
      <c r="Q150" s="33" t="str">
        <f t="shared" si="156"/>
        <v/>
      </c>
      <c r="R150" s="1"/>
      <c r="S150" s="1"/>
      <c r="Y150" s="1" t="e">
        <f>VLOOKUP($B$6,LOOKUP_SCE,143,0)</f>
        <v>#N/A</v>
      </c>
      <c r="Z150" s="22" t="str">
        <f t="shared" si="130"/>
        <v/>
      </c>
      <c r="AA150" s="23">
        <f t="shared" si="157"/>
        <v>7</v>
      </c>
      <c r="AB150" s="55" t="e">
        <f t="shared" si="131"/>
        <v>#N/A</v>
      </c>
      <c r="AC150" s="38" t="e">
        <f t="shared" si="158"/>
        <v>#N/A</v>
      </c>
      <c r="AD150" s="38" t="e">
        <f t="shared" si="159"/>
        <v>#N/A</v>
      </c>
      <c r="AE150" s="415" t="e">
        <f t="shared" si="132"/>
        <v>#N/A</v>
      </c>
      <c r="AF150" s="10">
        <f t="shared" si="160"/>
        <v>7</v>
      </c>
      <c r="AG150" s="38" t="e">
        <f t="shared" si="133"/>
        <v>#N/A</v>
      </c>
      <c r="AH150" s="38" t="e">
        <f t="shared" si="161"/>
        <v>#N/A</v>
      </c>
      <c r="AI150" s="10" t="e">
        <f t="shared" si="134"/>
        <v>#N/A</v>
      </c>
      <c r="AJ150" s="39" t="e">
        <f t="shared" si="162"/>
        <v>#N/A</v>
      </c>
      <c r="AK150" s="40" t="e">
        <f t="shared" si="135"/>
        <v>#N/A</v>
      </c>
      <c r="AL150" s="11" t="e">
        <f t="shared" si="136"/>
        <v>#N/A</v>
      </c>
      <c r="AM150" s="41">
        <f t="shared" si="163"/>
        <v>7</v>
      </c>
      <c r="AN150" s="57" t="e">
        <f t="shared" si="137"/>
        <v>#N/A</v>
      </c>
      <c r="AO150" s="40" t="e">
        <f t="shared" si="164"/>
        <v>#N/A</v>
      </c>
      <c r="AP150" s="417" t="e">
        <f t="shared" si="138"/>
        <v>#N/A</v>
      </c>
      <c r="AQ150" s="56">
        <f t="shared" si="165"/>
        <v>7</v>
      </c>
      <c r="AR150" s="43" t="e">
        <f t="shared" si="166"/>
        <v>#N/A</v>
      </c>
      <c r="AS150" s="44" t="e">
        <f t="shared" si="167"/>
        <v>#N/A</v>
      </c>
      <c r="AT150" s="45" t="e">
        <f t="shared" si="139"/>
        <v>#N/A</v>
      </c>
      <c r="AU150" s="14">
        <f t="shared" si="168"/>
        <v>7</v>
      </c>
      <c r="AV150" s="44" t="e">
        <f t="shared" si="140"/>
        <v>#N/A</v>
      </c>
      <c r="AW150" s="14" t="e">
        <f t="shared" si="169"/>
        <v>#N/A</v>
      </c>
      <c r="AX150" s="14" t="e">
        <f t="shared" si="141"/>
        <v>#N/A</v>
      </c>
      <c r="AY150" s="46">
        <f t="shared" si="170"/>
        <v>7</v>
      </c>
      <c r="AZ150" s="47" t="e">
        <f t="shared" si="171"/>
        <v>#N/A</v>
      </c>
      <c r="BA150" s="48" t="e">
        <f t="shared" si="172"/>
        <v>#N/A</v>
      </c>
      <c r="BB150" s="31" t="e">
        <f t="shared" si="142"/>
        <v>#N/A</v>
      </c>
      <c r="BC150" s="28">
        <f t="shared" si="173"/>
        <v>7</v>
      </c>
      <c r="BD150" s="47" t="e">
        <f t="shared" si="174"/>
        <v>#N/A</v>
      </c>
      <c r="BE150" s="48" t="e">
        <f t="shared" si="175"/>
        <v>#N/A</v>
      </c>
      <c r="BF150" s="31" t="e">
        <f t="shared" si="143"/>
        <v>#N/A</v>
      </c>
      <c r="BG150" s="49" t="e">
        <f t="shared" si="144"/>
        <v>#N/A</v>
      </c>
      <c r="BH150" s="1" t="e">
        <f>VLOOKUP($B150,STOCK_BY_LA!$A$2:$C$10477,3,0)</f>
        <v>#N/A</v>
      </c>
      <c r="BI150" s="1" t="str">
        <f t="shared" si="176"/>
        <v/>
      </c>
    </row>
    <row r="151" spans="1:61" x14ac:dyDescent="0.35">
      <c r="A151" s="33" t="str">
        <f t="shared" si="145"/>
        <v/>
      </c>
      <c r="B151" s="1" t="str">
        <f t="shared" si="177"/>
        <v/>
      </c>
      <c r="C151" s="34" t="str">
        <f t="shared" si="146"/>
        <v/>
      </c>
      <c r="D151" s="33" t="str">
        <f>IF(B151="","",IF('totals_&amp;_RP_counts'!$O$3=0,IFERROR(IF(AA151=2,"0",AB151),""),"-"))</f>
        <v/>
      </c>
      <c r="E151" s="35" t="str">
        <f t="shared" si="147"/>
        <v/>
      </c>
      <c r="F151" s="36" t="str">
        <f t="shared" si="148"/>
        <v/>
      </c>
      <c r="G151" s="36" t="str">
        <f t="shared" si="149"/>
        <v/>
      </c>
      <c r="H151" s="33" t="str">
        <f t="shared" si="127"/>
        <v/>
      </c>
      <c r="I151" s="36" t="str">
        <f t="shared" si="150"/>
        <v/>
      </c>
      <c r="J151" s="36" t="str">
        <f t="shared" si="151"/>
        <v/>
      </c>
      <c r="K151" s="33" t="str">
        <f t="shared" si="128"/>
        <v/>
      </c>
      <c r="L151" s="36" t="str">
        <f t="shared" si="129"/>
        <v/>
      </c>
      <c r="M151" s="36" t="str">
        <f t="shared" si="152"/>
        <v/>
      </c>
      <c r="N151" s="33" t="str">
        <f t="shared" si="153"/>
        <v/>
      </c>
      <c r="O151" s="36" t="str">
        <f t="shared" si="154"/>
        <v/>
      </c>
      <c r="P151" s="36" t="str">
        <f t="shared" si="155"/>
        <v/>
      </c>
      <c r="Q151" s="33" t="str">
        <f t="shared" si="156"/>
        <v/>
      </c>
      <c r="R151" s="1"/>
      <c r="S151" s="1"/>
      <c r="Y151" s="1" t="e">
        <f>VLOOKUP($B$6,LOOKUP_SCE,144,0)</f>
        <v>#N/A</v>
      </c>
      <c r="Z151" s="22" t="str">
        <f t="shared" si="130"/>
        <v/>
      </c>
      <c r="AA151" s="23">
        <f t="shared" si="157"/>
        <v>7</v>
      </c>
      <c r="AB151" s="55" t="e">
        <f t="shared" si="131"/>
        <v>#N/A</v>
      </c>
      <c r="AC151" s="38" t="e">
        <f t="shared" si="158"/>
        <v>#N/A</v>
      </c>
      <c r="AD151" s="38" t="e">
        <f t="shared" si="159"/>
        <v>#N/A</v>
      </c>
      <c r="AE151" s="415" t="e">
        <f t="shared" si="132"/>
        <v>#N/A</v>
      </c>
      <c r="AF151" s="10">
        <f t="shared" si="160"/>
        <v>7</v>
      </c>
      <c r="AG151" s="38" t="e">
        <f t="shared" si="133"/>
        <v>#N/A</v>
      </c>
      <c r="AH151" s="38" t="e">
        <f t="shared" si="161"/>
        <v>#N/A</v>
      </c>
      <c r="AI151" s="10" t="e">
        <f t="shared" si="134"/>
        <v>#N/A</v>
      </c>
      <c r="AJ151" s="39" t="e">
        <f t="shared" si="162"/>
        <v>#N/A</v>
      </c>
      <c r="AK151" s="40" t="e">
        <f t="shared" si="135"/>
        <v>#N/A</v>
      </c>
      <c r="AL151" s="11" t="e">
        <f t="shared" si="136"/>
        <v>#N/A</v>
      </c>
      <c r="AM151" s="41">
        <f t="shared" si="163"/>
        <v>7</v>
      </c>
      <c r="AN151" s="57" t="e">
        <f t="shared" si="137"/>
        <v>#N/A</v>
      </c>
      <c r="AO151" s="40" t="e">
        <f t="shared" si="164"/>
        <v>#N/A</v>
      </c>
      <c r="AP151" s="417" t="e">
        <f t="shared" si="138"/>
        <v>#N/A</v>
      </c>
      <c r="AQ151" s="56">
        <f t="shared" si="165"/>
        <v>7</v>
      </c>
      <c r="AR151" s="43" t="e">
        <f t="shared" si="166"/>
        <v>#N/A</v>
      </c>
      <c r="AS151" s="44" t="e">
        <f t="shared" si="167"/>
        <v>#N/A</v>
      </c>
      <c r="AT151" s="45" t="e">
        <f t="shared" si="139"/>
        <v>#N/A</v>
      </c>
      <c r="AU151" s="14">
        <f t="shared" si="168"/>
        <v>7</v>
      </c>
      <c r="AV151" s="44" t="e">
        <f t="shared" si="140"/>
        <v>#N/A</v>
      </c>
      <c r="AW151" s="14" t="e">
        <f t="shared" si="169"/>
        <v>#N/A</v>
      </c>
      <c r="AX151" s="14" t="e">
        <f t="shared" si="141"/>
        <v>#N/A</v>
      </c>
      <c r="AY151" s="46">
        <f t="shared" si="170"/>
        <v>7</v>
      </c>
      <c r="AZ151" s="47" t="e">
        <f t="shared" si="171"/>
        <v>#N/A</v>
      </c>
      <c r="BA151" s="48" t="e">
        <f t="shared" si="172"/>
        <v>#N/A</v>
      </c>
      <c r="BB151" s="31" t="e">
        <f t="shared" si="142"/>
        <v>#N/A</v>
      </c>
      <c r="BC151" s="28">
        <f t="shared" si="173"/>
        <v>7</v>
      </c>
      <c r="BD151" s="47" t="e">
        <f t="shared" si="174"/>
        <v>#N/A</v>
      </c>
      <c r="BE151" s="48" t="e">
        <f t="shared" si="175"/>
        <v>#N/A</v>
      </c>
      <c r="BF151" s="31" t="e">
        <f t="shared" si="143"/>
        <v>#N/A</v>
      </c>
      <c r="BG151" s="49" t="e">
        <f t="shared" si="144"/>
        <v>#N/A</v>
      </c>
      <c r="BH151" s="1" t="e">
        <f>VLOOKUP($B151,STOCK_BY_LA!$A$2:$C$10477,3,0)</f>
        <v>#N/A</v>
      </c>
      <c r="BI151" s="1" t="str">
        <f t="shared" si="176"/>
        <v/>
      </c>
    </row>
    <row r="152" spans="1:61" x14ac:dyDescent="0.35">
      <c r="A152" s="1" t="str">
        <f t="shared" si="145"/>
        <v/>
      </c>
      <c r="B152" s="1" t="str">
        <f t="shared" si="177"/>
        <v/>
      </c>
      <c r="C152" s="50" t="str">
        <f t="shared" si="146"/>
        <v/>
      </c>
      <c r="D152" s="33" t="str">
        <f>IF(B152="","",IF('totals_&amp;_RP_counts'!$O$3=0,IFERROR(IF(AA152=2,"0",AB152),""),"-"))</f>
        <v/>
      </c>
      <c r="E152" s="35" t="str">
        <f t="shared" si="147"/>
        <v/>
      </c>
      <c r="F152" s="36" t="str">
        <f t="shared" si="148"/>
        <v/>
      </c>
      <c r="G152" s="36" t="str">
        <f t="shared" si="149"/>
        <v/>
      </c>
      <c r="H152" s="33" t="str">
        <f t="shared" si="127"/>
        <v/>
      </c>
      <c r="I152" s="36" t="str">
        <f t="shared" si="150"/>
        <v/>
      </c>
      <c r="J152" s="36" t="str">
        <f t="shared" si="151"/>
        <v/>
      </c>
      <c r="K152" s="33" t="str">
        <f t="shared" si="128"/>
        <v/>
      </c>
      <c r="L152" s="36" t="str">
        <f t="shared" si="129"/>
        <v/>
      </c>
      <c r="M152" s="36" t="str">
        <f t="shared" si="152"/>
        <v/>
      </c>
      <c r="N152" s="33" t="str">
        <f t="shared" si="153"/>
        <v/>
      </c>
      <c r="O152" s="36" t="str">
        <f t="shared" si="154"/>
        <v/>
      </c>
      <c r="P152" s="36" t="str">
        <f t="shared" si="155"/>
        <v/>
      </c>
      <c r="Q152" s="33" t="str">
        <f t="shared" si="156"/>
        <v/>
      </c>
      <c r="R152" s="1"/>
      <c r="S152" s="1"/>
      <c r="Y152" s="1" t="e">
        <f>VLOOKUP($B$6,LOOKUP_SCE,145,0)</f>
        <v>#N/A</v>
      </c>
      <c r="Z152" s="22" t="str">
        <f t="shared" si="130"/>
        <v/>
      </c>
      <c r="AA152" s="23">
        <f t="shared" si="157"/>
        <v>7</v>
      </c>
      <c r="AB152" s="55" t="e">
        <f t="shared" si="131"/>
        <v>#N/A</v>
      </c>
      <c r="AC152" s="38" t="e">
        <f t="shared" si="158"/>
        <v>#N/A</v>
      </c>
      <c r="AD152" s="38" t="e">
        <f t="shared" si="159"/>
        <v>#N/A</v>
      </c>
      <c r="AE152" s="415" t="e">
        <f t="shared" si="132"/>
        <v>#N/A</v>
      </c>
      <c r="AF152" s="10">
        <f t="shared" si="160"/>
        <v>7</v>
      </c>
      <c r="AG152" s="38" t="e">
        <f t="shared" si="133"/>
        <v>#N/A</v>
      </c>
      <c r="AH152" s="38" t="e">
        <f t="shared" si="161"/>
        <v>#N/A</v>
      </c>
      <c r="AI152" s="10" t="e">
        <f t="shared" si="134"/>
        <v>#N/A</v>
      </c>
      <c r="AJ152" s="39" t="e">
        <f t="shared" si="162"/>
        <v>#N/A</v>
      </c>
      <c r="AK152" s="40" t="e">
        <f t="shared" si="135"/>
        <v>#N/A</v>
      </c>
      <c r="AL152" s="11" t="e">
        <f t="shared" si="136"/>
        <v>#N/A</v>
      </c>
      <c r="AM152" s="41">
        <f t="shared" si="163"/>
        <v>7</v>
      </c>
      <c r="AN152" s="57" t="e">
        <f t="shared" si="137"/>
        <v>#N/A</v>
      </c>
      <c r="AO152" s="40" t="e">
        <f t="shared" si="164"/>
        <v>#N/A</v>
      </c>
      <c r="AP152" s="417" t="e">
        <f t="shared" si="138"/>
        <v>#N/A</v>
      </c>
      <c r="AQ152" s="56">
        <f t="shared" si="165"/>
        <v>7</v>
      </c>
      <c r="AR152" s="43" t="e">
        <f t="shared" si="166"/>
        <v>#N/A</v>
      </c>
      <c r="AS152" s="44" t="e">
        <f t="shared" si="167"/>
        <v>#N/A</v>
      </c>
      <c r="AT152" s="45" t="e">
        <f t="shared" si="139"/>
        <v>#N/A</v>
      </c>
      <c r="AU152" s="14">
        <f t="shared" si="168"/>
        <v>7</v>
      </c>
      <c r="AV152" s="44" t="e">
        <f t="shared" si="140"/>
        <v>#N/A</v>
      </c>
      <c r="AW152" s="14" t="e">
        <f t="shared" si="169"/>
        <v>#N/A</v>
      </c>
      <c r="AX152" s="14" t="e">
        <f t="shared" si="141"/>
        <v>#N/A</v>
      </c>
      <c r="AY152" s="46">
        <f t="shared" si="170"/>
        <v>7</v>
      </c>
      <c r="AZ152" s="47" t="e">
        <f t="shared" si="171"/>
        <v>#N/A</v>
      </c>
      <c r="BA152" s="48" t="e">
        <f t="shared" si="172"/>
        <v>#N/A</v>
      </c>
      <c r="BB152" s="31" t="e">
        <f t="shared" si="142"/>
        <v>#N/A</v>
      </c>
      <c r="BC152" s="28">
        <f t="shared" si="173"/>
        <v>7</v>
      </c>
      <c r="BD152" s="47" t="e">
        <f t="shared" si="174"/>
        <v>#N/A</v>
      </c>
      <c r="BE152" s="48" t="e">
        <f t="shared" si="175"/>
        <v>#N/A</v>
      </c>
      <c r="BF152" s="31" t="e">
        <f t="shared" si="143"/>
        <v>#N/A</v>
      </c>
      <c r="BG152" s="49" t="e">
        <f t="shared" si="144"/>
        <v>#N/A</v>
      </c>
      <c r="BH152" s="1" t="e">
        <f>VLOOKUP($B152,STOCK_BY_LA!$A$2:$C$10477,3,0)</f>
        <v>#N/A</v>
      </c>
      <c r="BI152" s="1" t="str">
        <f t="shared" si="176"/>
        <v/>
      </c>
    </row>
    <row r="153" spans="1:61" x14ac:dyDescent="0.35">
      <c r="A153" s="33" t="str">
        <f t="shared" si="145"/>
        <v/>
      </c>
      <c r="B153" s="1" t="str">
        <f t="shared" si="177"/>
        <v/>
      </c>
      <c r="C153" s="34" t="str">
        <f t="shared" si="146"/>
        <v/>
      </c>
      <c r="D153" s="33" t="str">
        <f>IF(B153="","",IF('totals_&amp;_RP_counts'!$O$3=0,IFERROR(IF(AA153=2,"0",AB153),""),"-"))</f>
        <v/>
      </c>
      <c r="E153" s="35" t="str">
        <f t="shared" si="147"/>
        <v/>
      </c>
      <c r="F153" s="36" t="str">
        <f t="shared" si="148"/>
        <v/>
      </c>
      <c r="G153" s="36" t="str">
        <f t="shared" si="149"/>
        <v/>
      </c>
      <c r="H153" s="33" t="str">
        <f t="shared" si="127"/>
        <v/>
      </c>
      <c r="I153" s="36" t="str">
        <f t="shared" si="150"/>
        <v/>
      </c>
      <c r="J153" s="36" t="str">
        <f t="shared" si="151"/>
        <v/>
      </c>
      <c r="K153" s="33" t="str">
        <f t="shared" si="128"/>
        <v/>
      </c>
      <c r="L153" s="36" t="str">
        <f t="shared" si="129"/>
        <v/>
      </c>
      <c r="M153" s="36" t="str">
        <f t="shared" si="152"/>
        <v/>
      </c>
      <c r="N153" s="33" t="str">
        <f t="shared" si="153"/>
        <v/>
      </c>
      <c r="O153" s="36" t="str">
        <f t="shared" si="154"/>
        <v/>
      </c>
      <c r="P153" s="36" t="str">
        <f t="shared" si="155"/>
        <v/>
      </c>
      <c r="Q153" s="33" t="str">
        <f t="shared" si="156"/>
        <v/>
      </c>
      <c r="R153" s="1"/>
      <c r="S153" s="1"/>
      <c r="Y153" s="1" t="e">
        <f>VLOOKUP($B$6,LOOKUP_SCE,146,0)</f>
        <v>#N/A</v>
      </c>
      <c r="Z153" s="22" t="str">
        <f t="shared" si="130"/>
        <v/>
      </c>
      <c r="AA153" s="23">
        <f t="shared" si="157"/>
        <v>7</v>
      </c>
      <c r="AB153" s="55" t="e">
        <f t="shared" si="131"/>
        <v>#N/A</v>
      </c>
      <c r="AC153" s="38" t="e">
        <f t="shared" si="158"/>
        <v>#N/A</v>
      </c>
      <c r="AD153" s="38" t="e">
        <f t="shared" si="159"/>
        <v>#N/A</v>
      </c>
      <c r="AE153" s="415" t="e">
        <f t="shared" si="132"/>
        <v>#N/A</v>
      </c>
      <c r="AF153" s="10">
        <f t="shared" si="160"/>
        <v>7</v>
      </c>
      <c r="AG153" s="38" t="e">
        <f t="shared" si="133"/>
        <v>#N/A</v>
      </c>
      <c r="AH153" s="38" t="e">
        <f t="shared" si="161"/>
        <v>#N/A</v>
      </c>
      <c r="AI153" s="10" t="e">
        <f t="shared" si="134"/>
        <v>#N/A</v>
      </c>
      <c r="AJ153" s="39" t="e">
        <f t="shared" si="162"/>
        <v>#N/A</v>
      </c>
      <c r="AK153" s="40" t="e">
        <f t="shared" si="135"/>
        <v>#N/A</v>
      </c>
      <c r="AL153" s="11" t="e">
        <f t="shared" si="136"/>
        <v>#N/A</v>
      </c>
      <c r="AM153" s="41">
        <f t="shared" si="163"/>
        <v>7</v>
      </c>
      <c r="AN153" s="57" t="e">
        <f t="shared" si="137"/>
        <v>#N/A</v>
      </c>
      <c r="AO153" s="40" t="e">
        <f t="shared" si="164"/>
        <v>#N/A</v>
      </c>
      <c r="AP153" s="417" t="e">
        <f t="shared" si="138"/>
        <v>#N/A</v>
      </c>
      <c r="AQ153" s="56">
        <f t="shared" si="165"/>
        <v>7</v>
      </c>
      <c r="AR153" s="43" t="e">
        <f t="shared" si="166"/>
        <v>#N/A</v>
      </c>
      <c r="AS153" s="44" t="e">
        <f t="shared" si="167"/>
        <v>#N/A</v>
      </c>
      <c r="AT153" s="45" t="e">
        <f t="shared" si="139"/>
        <v>#N/A</v>
      </c>
      <c r="AU153" s="14">
        <f t="shared" si="168"/>
        <v>7</v>
      </c>
      <c r="AV153" s="44" t="e">
        <f t="shared" si="140"/>
        <v>#N/A</v>
      </c>
      <c r="AW153" s="14" t="e">
        <f t="shared" si="169"/>
        <v>#N/A</v>
      </c>
      <c r="AX153" s="14" t="e">
        <f t="shared" si="141"/>
        <v>#N/A</v>
      </c>
      <c r="AY153" s="46">
        <f t="shared" si="170"/>
        <v>7</v>
      </c>
      <c r="AZ153" s="47" t="e">
        <f t="shared" si="171"/>
        <v>#N/A</v>
      </c>
      <c r="BA153" s="48" t="e">
        <f t="shared" si="172"/>
        <v>#N/A</v>
      </c>
      <c r="BB153" s="31" t="e">
        <f t="shared" si="142"/>
        <v>#N/A</v>
      </c>
      <c r="BC153" s="28">
        <f t="shared" si="173"/>
        <v>7</v>
      </c>
      <c r="BD153" s="47" t="e">
        <f t="shared" si="174"/>
        <v>#N/A</v>
      </c>
      <c r="BE153" s="48" t="e">
        <f t="shared" si="175"/>
        <v>#N/A</v>
      </c>
      <c r="BF153" s="31" t="e">
        <f t="shared" si="143"/>
        <v>#N/A</v>
      </c>
      <c r="BG153" s="49" t="e">
        <f t="shared" si="144"/>
        <v>#N/A</v>
      </c>
      <c r="BH153" s="1" t="e">
        <f>VLOOKUP($B153,STOCK_BY_LA!$A$2:$C$10477,3,0)</f>
        <v>#N/A</v>
      </c>
      <c r="BI153" s="1" t="str">
        <f t="shared" si="176"/>
        <v/>
      </c>
    </row>
    <row r="154" spans="1:61" x14ac:dyDescent="0.35">
      <c r="A154" s="1" t="str">
        <f t="shared" si="145"/>
        <v/>
      </c>
      <c r="B154" s="1" t="str">
        <f t="shared" si="177"/>
        <v/>
      </c>
      <c r="C154" s="50" t="str">
        <f t="shared" si="146"/>
        <v/>
      </c>
      <c r="D154" s="33" t="str">
        <f>IF(B154="","",IF('totals_&amp;_RP_counts'!$O$3=0,IFERROR(IF(AA154=2,"0",AB154),""),"-"))</f>
        <v/>
      </c>
      <c r="E154" s="35" t="str">
        <f t="shared" si="147"/>
        <v/>
      </c>
      <c r="F154" s="36" t="str">
        <f t="shared" si="148"/>
        <v/>
      </c>
      <c r="G154" s="36" t="str">
        <f t="shared" si="149"/>
        <v/>
      </c>
      <c r="H154" s="33" t="str">
        <f t="shared" si="127"/>
        <v/>
      </c>
      <c r="I154" s="36" t="str">
        <f t="shared" si="150"/>
        <v/>
      </c>
      <c r="J154" s="36" t="str">
        <f t="shared" si="151"/>
        <v/>
      </c>
      <c r="K154" s="33" t="str">
        <f t="shared" si="128"/>
        <v/>
      </c>
      <c r="L154" s="36" t="str">
        <f t="shared" si="129"/>
        <v/>
      </c>
      <c r="M154" s="36" t="str">
        <f t="shared" si="152"/>
        <v/>
      </c>
      <c r="N154" s="33" t="str">
        <f t="shared" si="153"/>
        <v/>
      </c>
      <c r="O154" s="36" t="str">
        <f t="shared" si="154"/>
        <v/>
      </c>
      <c r="P154" s="36" t="str">
        <f t="shared" si="155"/>
        <v/>
      </c>
      <c r="Q154" s="33" t="str">
        <f t="shared" si="156"/>
        <v/>
      </c>
      <c r="R154" s="1"/>
      <c r="S154" s="1"/>
      <c r="Y154" s="1" t="e">
        <f>VLOOKUP($B$6,LOOKUP_SCE,147,0)</f>
        <v>#N/A</v>
      </c>
      <c r="Z154" s="22" t="str">
        <f t="shared" si="130"/>
        <v/>
      </c>
      <c r="AA154" s="23">
        <f t="shared" si="157"/>
        <v>7</v>
      </c>
      <c r="AB154" s="55" t="e">
        <f t="shared" si="131"/>
        <v>#N/A</v>
      </c>
      <c r="AC154" s="38" t="e">
        <f t="shared" si="158"/>
        <v>#N/A</v>
      </c>
      <c r="AD154" s="38" t="e">
        <f t="shared" si="159"/>
        <v>#N/A</v>
      </c>
      <c r="AE154" s="415" t="e">
        <f t="shared" si="132"/>
        <v>#N/A</v>
      </c>
      <c r="AF154" s="10">
        <f t="shared" si="160"/>
        <v>7</v>
      </c>
      <c r="AG154" s="38" t="e">
        <f t="shared" si="133"/>
        <v>#N/A</v>
      </c>
      <c r="AH154" s="38" t="e">
        <f t="shared" si="161"/>
        <v>#N/A</v>
      </c>
      <c r="AI154" s="10" t="e">
        <f t="shared" si="134"/>
        <v>#N/A</v>
      </c>
      <c r="AJ154" s="39" t="e">
        <f t="shared" si="162"/>
        <v>#N/A</v>
      </c>
      <c r="AK154" s="40" t="e">
        <f t="shared" si="135"/>
        <v>#N/A</v>
      </c>
      <c r="AL154" s="11" t="e">
        <f t="shared" si="136"/>
        <v>#N/A</v>
      </c>
      <c r="AM154" s="41">
        <f t="shared" si="163"/>
        <v>7</v>
      </c>
      <c r="AN154" s="57" t="e">
        <f t="shared" si="137"/>
        <v>#N/A</v>
      </c>
      <c r="AO154" s="40" t="e">
        <f t="shared" si="164"/>
        <v>#N/A</v>
      </c>
      <c r="AP154" s="417" t="e">
        <f t="shared" si="138"/>
        <v>#N/A</v>
      </c>
      <c r="AQ154" s="56">
        <f t="shared" si="165"/>
        <v>7</v>
      </c>
      <c r="AR154" s="43" t="e">
        <f t="shared" si="166"/>
        <v>#N/A</v>
      </c>
      <c r="AS154" s="44" t="e">
        <f t="shared" si="167"/>
        <v>#N/A</v>
      </c>
      <c r="AT154" s="45" t="e">
        <f t="shared" si="139"/>
        <v>#N/A</v>
      </c>
      <c r="AU154" s="14">
        <f t="shared" si="168"/>
        <v>7</v>
      </c>
      <c r="AV154" s="44" t="e">
        <f t="shared" si="140"/>
        <v>#N/A</v>
      </c>
      <c r="AW154" s="14" t="e">
        <f t="shared" si="169"/>
        <v>#N/A</v>
      </c>
      <c r="AX154" s="14" t="e">
        <f t="shared" si="141"/>
        <v>#N/A</v>
      </c>
      <c r="AY154" s="46">
        <f t="shared" si="170"/>
        <v>7</v>
      </c>
      <c r="AZ154" s="47" t="e">
        <f t="shared" si="171"/>
        <v>#N/A</v>
      </c>
      <c r="BA154" s="48" t="e">
        <f t="shared" si="172"/>
        <v>#N/A</v>
      </c>
      <c r="BB154" s="31" t="e">
        <f t="shared" si="142"/>
        <v>#N/A</v>
      </c>
      <c r="BC154" s="28">
        <f t="shared" si="173"/>
        <v>7</v>
      </c>
      <c r="BD154" s="47" t="e">
        <f t="shared" si="174"/>
        <v>#N/A</v>
      </c>
      <c r="BE154" s="48" t="e">
        <f t="shared" si="175"/>
        <v>#N/A</v>
      </c>
      <c r="BF154" s="31" t="e">
        <f t="shared" si="143"/>
        <v>#N/A</v>
      </c>
      <c r="BG154" s="49" t="e">
        <f t="shared" si="144"/>
        <v>#N/A</v>
      </c>
      <c r="BH154" s="1" t="e">
        <f>VLOOKUP($B154,STOCK_BY_LA!$A$2:$C$10477,3,0)</f>
        <v>#N/A</v>
      </c>
      <c r="BI154" s="1" t="str">
        <f t="shared" si="176"/>
        <v/>
      </c>
    </row>
    <row r="155" spans="1:61" x14ac:dyDescent="0.35">
      <c r="A155" s="33" t="str">
        <f t="shared" si="145"/>
        <v/>
      </c>
      <c r="B155" s="1" t="str">
        <f t="shared" si="177"/>
        <v/>
      </c>
      <c r="C155" s="34" t="str">
        <f t="shared" si="146"/>
        <v/>
      </c>
      <c r="D155" s="33" t="str">
        <f>IF(B155="","",IF('totals_&amp;_RP_counts'!$O$3=0,IFERROR(IF(AA155=2,"0",AB155),""),"-"))</f>
        <v/>
      </c>
      <c r="E155" s="35" t="str">
        <f t="shared" si="147"/>
        <v/>
      </c>
      <c r="F155" s="36" t="str">
        <f t="shared" si="148"/>
        <v/>
      </c>
      <c r="G155" s="36" t="str">
        <f t="shared" si="149"/>
        <v/>
      </c>
      <c r="H155" s="33" t="str">
        <f t="shared" si="127"/>
        <v/>
      </c>
      <c r="I155" s="36" t="str">
        <f t="shared" si="150"/>
        <v/>
      </c>
      <c r="J155" s="36" t="str">
        <f t="shared" si="151"/>
        <v/>
      </c>
      <c r="K155" s="33" t="str">
        <f t="shared" si="128"/>
        <v/>
      </c>
      <c r="L155" s="36" t="str">
        <f t="shared" si="129"/>
        <v/>
      </c>
      <c r="M155" s="36" t="str">
        <f t="shared" si="152"/>
        <v/>
      </c>
      <c r="N155" s="33" t="str">
        <f t="shared" si="153"/>
        <v/>
      </c>
      <c r="O155" s="36" t="str">
        <f t="shared" si="154"/>
        <v/>
      </c>
      <c r="P155" s="36" t="str">
        <f t="shared" si="155"/>
        <v/>
      </c>
      <c r="Q155" s="33" t="str">
        <f t="shared" si="156"/>
        <v/>
      </c>
      <c r="R155" s="1"/>
      <c r="S155" s="1"/>
      <c r="Y155" s="1" t="e">
        <f>VLOOKUP($B$6,LOOKUP_SCE,148,0)</f>
        <v>#N/A</v>
      </c>
      <c r="Z155" s="22" t="str">
        <f t="shared" si="130"/>
        <v/>
      </c>
      <c r="AA155" s="23">
        <f t="shared" si="157"/>
        <v>7</v>
      </c>
      <c r="AB155" s="55" t="e">
        <f t="shared" si="131"/>
        <v>#N/A</v>
      </c>
      <c r="AC155" s="38" t="e">
        <f t="shared" si="158"/>
        <v>#N/A</v>
      </c>
      <c r="AD155" s="38" t="e">
        <f t="shared" si="159"/>
        <v>#N/A</v>
      </c>
      <c r="AE155" s="415" t="e">
        <f t="shared" si="132"/>
        <v>#N/A</v>
      </c>
      <c r="AF155" s="10">
        <f t="shared" si="160"/>
        <v>7</v>
      </c>
      <c r="AG155" s="38" t="e">
        <f t="shared" si="133"/>
        <v>#N/A</v>
      </c>
      <c r="AH155" s="38" t="e">
        <f t="shared" si="161"/>
        <v>#N/A</v>
      </c>
      <c r="AI155" s="10" t="e">
        <f t="shared" si="134"/>
        <v>#N/A</v>
      </c>
      <c r="AJ155" s="39" t="e">
        <f t="shared" si="162"/>
        <v>#N/A</v>
      </c>
      <c r="AK155" s="40" t="e">
        <f t="shared" si="135"/>
        <v>#N/A</v>
      </c>
      <c r="AL155" s="11" t="e">
        <f t="shared" si="136"/>
        <v>#N/A</v>
      </c>
      <c r="AM155" s="41">
        <f t="shared" si="163"/>
        <v>7</v>
      </c>
      <c r="AN155" s="57" t="e">
        <f t="shared" si="137"/>
        <v>#N/A</v>
      </c>
      <c r="AO155" s="40" t="e">
        <f t="shared" si="164"/>
        <v>#N/A</v>
      </c>
      <c r="AP155" s="417" t="e">
        <f t="shared" si="138"/>
        <v>#N/A</v>
      </c>
      <c r="AQ155" s="56">
        <f t="shared" si="165"/>
        <v>7</v>
      </c>
      <c r="AR155" s="43" t="e">
        <f t="shared" si="166"/>
        <v>#N/A</v>
      </c>
      <c r="AS155" s="44" t="e">
        <f t="shared" si="167"/>
        <v>#N/A</v>
      </c>
      <c r="AT155" s="45" t="e">
        <f t="shared" si="139"/>
        <v>#N/A</v>
      </c>
      <c r="AU155" s="14">
        <f t="shared" si="168"/>
        <v>7</v>
      </c>
      <c r="AV155" s="44" t="e">
        <f t="shared" si="140"/>
        <v>#N/A</v>
      </c>
      <c r="AW155" s="14" t="e">
        <f t="shared" si="169"/>
        <v>#N/A</v>
      </c>
      <c r="AX155" s="14" t="e">
        <f t="shared" si="141"/>
        <v>#N/A</v>
      </c>
      <c r="AY155" s="46">
        <f t="shared" si="170"/>
        <v>7</v>
      </c>
      <c r="AZ155" s="47" t="e">
        <f t="shared" si="171"/>
        <v>#N/A</v>
      </c>
      <c r="BA155" s="48" t="e">
        <f t="shared" si="172"/>
        <v>#N/A</v>
      </c>
      <c r="BB155" s="31" t="e">
        <f t="shared" si="142"/>
        <v>#N/A</v>
      </c>
      <c r="BC155" s="28">
        <f t="shared" si="173"/>
        <v>7</v>
      </c>
      <c r="BD155" s="47" t="e">
        <f t="shared" si="174"/>
        <v>#N/A</v>
      </c>
      <c r="BE155" s="48" t="e">
        <f t="shared" si="175"/>
        <v>#N/A</v>
      </c>
      <c r="BF155" s="31" t="e">
        <f t="shared" si="143"/>
        <v>#N/A</v>
      </c>
      <c r="BG155" s="49" t="e">
        <f t="shared" si="144"/>
        <v>#N/A</v>
      </c>
      <c r="BH155" s="1" t="e">
        <f>VLOOKUP($B155,STOCK_BY_LA!$A$2:$C$10477,3,0)</f>
        <v>#N/A</v>
      </c>
      <c r="BI155" s="1" t="str">
        <f t="shared" si="176"/>
        <v/>
      </c>
    </row>
    <row r="156" spans="1:61" x14ac:dyDescent="0.35">
      <c r="A156" s="1" t="str">
        <f t="shared" si="145"/>
        <v/>
      </c>
      <c r="B156" s="1" t="str">
        <f t="shared" si="177"/>
        <v/>
      </c>
      <c r="C156" s="50" t="str">
        <f t="shared" si="146"/>
        <v/>
      </c>
      <c r="D156" s="33" t="str">
        <f>IF(B156="","",IF('totals_&amp;_RP_counts'!$O$3=0,IFERROR(IF(AA156=2,"0",AB156),""),"-"))</f>
        <v/>
      </c>
      <c r="E156" s="35" t="str">
        <f t="shared" si="147"/>
        <v/>
      </c>
      <c r="F156" s="36" t="str">
        <f t="shared" si="148"/>
        <v/>
      </c>
      <c r="G156" s="36" t="str">
        <f t="shared" si="149"/>
        <v/>
      </c>
      <c r="H156" s="33" t="str">
        <f t="shared" si="127"/>
        <v/>
      </c>
      <c r="I156" s="36" t="str">
        <f t="shared" si="150"/>
        <v/>
      </c>
      <c r="J156" s="36" t="str">
        <f t="shared" si="151"/>
        <v/>
      </c>
      <c r="K156" s="33" t="str">
        <f t="shared" si="128"/>
        <v/>
      </c>
      <c r="L156" s="36" t="str">
        <f t="shared" si="129"/>
        <v/>
      </c>
      <c r="M156" s="36" t="str">
        <f t="shared" si="152"/>
        <v/>
      </c>
      <c r="N156" s="33" t="str">
        <f t="shared" si="153"/>
        <v/>
      </c>
      <c r="O156" s="36" t="str">
        <f t="shared" si="154"/>
        <v/>
      </c>
      <c r="P156" s="36" t="str">
        <f t="shared" si="155"/>
        <v/>
      </c>
      <c r="Q156" s="33" t="str">
        <f t="shared" si="156"/>
        <v/>
      </c>
      <c r="R156" s="1"/>
      <c r="S156" s="1"/>
      <c r="Y156" s="1" t="e">
        <f>VLOOKUP($B$6,LOOKUP_SCE,149,0)</f>
        <v>#N/A</v>
      </c>
      <c r="Z156" s="22" t="str">
        <f t="shared" si="130"/>
        <v/>
      </c>
      <c r="AA156" s="23">
        <f t="shared" si="157"/>
        <v>7</v>
      </c>
      <c r="AB156" s="55" t="e">
        <f t="shared" si="131"/>
        <v>#N/A</v>
      </c>
      <c r="AC156" s="38" t="e">
        <f t="shared" si="158"/>
        <v>#N/A</v>
      </c>
      <c r="AD156" s="38" t="e">
        <f t="shared" si="159"/>
        <v>#N/A</v>
      </c>
      <c r="AE156" s="415" t="e">
        <f t="shared" si="132"/>
        <v>#N/A</v>
      </c>
      <c r="AF156" s="10">
        <f t="shared" si="160"/>
        <v>7</v>
      </c>
      <c r="AG156" s="38" t="e">
        <f t="shared" si="133"/>
        <v>#N/A</v>
      </c>
      <c r="AH156" s="38" t="e">
        <f t="shared" si="161"/>
        <v>#N/A</v>
      </c>
      <c r="AI156" s="10" t="e">
        <f t="shared" si="134"/>
        <v>#N/A</v>
      </c>
      <c r="AJ156" s="39" t="e">
        <f t="shared" si="162"/>
        <v>#N/A</v>
      </c>
      <c r="AK156" s="40" t="e">
        <f t="shared" si="135"/>
        <v>#N/A</v>
      </c>
      <c r="AL156" s="11" t="e">
        <f t="shared" si="136"/>
        <v>#N/A</v>
      </c>
      <c r="AM156" s="41">
        <f t="shared" si="163"/>
        <v>7</v>
      </c>
      <c r="AN156" s="57" t="e">
        <f t="shared" si="137"/>
        <v>#N/A</v>
      </c>
      <c r="AO156" s="40" t="e">
        <f t="shared" si="164"/>
        <v>#N/A</v>
      </c>
      <c r="AP156" s="417" t="e">
        <f t="shared" si="138"/>
        <v>#N/A</v>
      </c>
      <c r="AQ156" s="56">
        <f t="shared" si="165"/>
        <v>7</v>
      </c>
      <c r="AR156" s="43" t="e">
        <f t="shared" si="166"/>
        <v>#N/A</v>
      </c>
      <c r="AS156" s="44" t="e">
        <f t="shared" si="167"/>
        <v>#N/A</v>
      </c>
      <c r="AT156" s="45" t="e">
        <f t="shared" si="139"/>
        <v>#N/A</v>
      </c>
      <c r="AU156" s="14">
        <f t="shared" si="168"/>
        <v>7</v>
      </c>
      <c r="AV156" s="44" t="e">
        <f t="shared" si="140"/>
        <v>#N/A</v>
      </c>
      <c r="AW156" s="14" t="e">
        <f t="shared" si="169"/>
        <v>#N/A</v>
      </c>
      <c r="AX156" s="14" t="e">
        <f t="shared" si="141"/>
        <v>#N/A</v>
      </c>
      <c r="AY156" s="46">
        <f t="shared" si="170"/>
        <v>7</v>
      </c>
      <c r="AZ156" s="47" t="e">
        <f t="shared" si="171"/>
        <v>#N/A</v>
      </c>
      <c r="BA156" s="48" t="e">
        <f t="shared" si="172"/>
        <v>#N/A</v>
      </c>
      <c r="BB156" s="31" t="e">
        <f t="shared" si="142"/>
        <v>#N/A</v>
      </c>
      <c r="BC156" s="28">
        <f t="shared" si="173"/>
        <v>7</v>
      </c>
      <c r="BD156" s="47" t="e">
        <f t="shared" si="174"/>
        <v>#N/A</v>
      </c>
      <c r="BE156" s="48" t="e">
        <f t="shared" si="175"/>
        <v>#N/A</v>
      </c>
      <c r="BF156" s="31" t="e">
        <f t="shared" si="143"/>
        <v>#N/A</v>
      </c>
      <c r="BG156" s="49" t="e">
        <f t="shared" si="144"/>
        <v>#N/A</v>
      </c>
      <c r="BH156" s="1" t="e">
        <f>VLOOKUP($B156,STOCK_BY_LA!$A$2:$C$10477,3,0)</f>
        <v>#N/A</v>
      </c>
      <c r="BI156" s="1" t="str">
        <f t="shared" si="176"/>
        <v/>
      </c>
    </row>
    <row r="157" spans="1:61" x14ac:dyDescent="0.35">
      <c r="A157" s="33" t="str">
        <f t="shared" si="145"/>
        <v/>
      </c>
      <c r="B157" s="1" t="str">
        <f t="shared" si="177"/>
        <v/>
      </c>
      <c r="C157" s="34" t="str">
        <f t="shared" si="146"/>
        <v/>
      </c>
      <c r="D157" s="33" t="str">
        <f>IF(B157="","",IF('totals_&amp;_RP_counts'!$O$3=0,IFERROR(IF(AA157=2,"0",AB157),""),"-"))</f>
        <v/>
      </c>
      <c r="E157" s="35" t="str">
        <f t="shared" si="147"/>
        <v/>
      </c>
      <c r="F157" s="36" t="str">
        <f t="shared" si="148"/>
        <v/>
      </c>
      <c r="G157" s="36" t="str">
        <f t="shared" si="149"/>
        <v/>
      </c>
      <c r="H157" s="33" t="str">
        <f t="shared" si="127"/>
        <v/>
      </c>
      <c r="I157" s="36" t="str">
        <f t="shared" si="150"/>
        <v/>
      </c>
      <c r="J157" s="36" t="str">
        <f t="shared" si="151"/>
        <v/>
      </c>
      <c r="K157" s="33" t="str">
        <f t="shared" si="128"/>
        <v/>
      </c>
      <c r="L157" s="36" t="str">
        <f t="shared" si="129"/>
        <v/>
      </c>
      <c r="M157" s="36" t="str">
        <f t="shared" si="152"/>
        <v/>
      </c>
      <c r="N157" s="33" t="str">
        <f t="shared" si="153"/>
        <v/>
      </c>
      <c r="O157" s="36" t="str">
        <f t="shared" si="154"/>
        <v/>
      </c>
      <c r="P157" s="36" t="str">
        <f t="shared" si="155"/>
        <v/>
      </c>
      <c r="Q157" s="33" t="str">
        <f t="shared" si="156"/>
        <v/>
      </c>
      <c r="R157" s="1"/>
      <c r="S157" s="1"/>
      <c r="Y157" s="1" t="e">
        <f>VLOOKUP($B$6,LOOKUP_SCE,150,0)</f>
        <v>#N/A</v>
      </c>
      <c r="Z157" s="22" t="str">
        <f t="shared" si="130"/>
        <v/>
      </c>
      <c r="AA157" s="23">
        <f t="shared" si="157"/>
        <v>7</v>
      </c>
      <c r="AB157" s="55" t="e">
        <f t="shared" si="131"/>
        <v>#N/A</v>
      </c>
      <c r="AC157" s="38" t="e">
        <f t="shared" si="158"/>
        <v>#N/A</v>
      </c>
      <c r="AD157" s="38" t="e">
        <f t="shared" si="159"/>
        <v>#N/A</v>
      </c>
      <c r="AE157" s="415" t="e">
        <f t="shared" si="132"/>
        <v>#N/A</v>
      </c>
      <c r="AF157" s="10">
        <f t="shared" si="160"/>
        <v>7</v>
      </c>
      <c r="AG157" s="38" t="e">
        <f t="shared" si="133"/>
        <v>#N/A</v>
      </c>
      <c r="AH157" s="38" t="e">
        <f t="shared" si="161"/>
        <v>#N/A</v>
      </c>
      <c r="AI157" s="10" t="e">
        <f t="shared" si="134"/>
        <v>#N/A</v>
      </c>
      <c r="AJ157" s="39" t="e">
        <f t="shared" si="162"/>
        <v>#N/A</v>
      </c>
      <c r="AK157" s="40" t="e">
        <f t="shared" si="135"/>
        <v>#N/A</v>
      </c>
      <c r="AL157" s="11" t="e">
        <f t="shared" si="136"/>
        <v>#N/A</v>
      </c>
      <c r="AM157" s="41">
        <f t="shared" si="163"/>
        <v>7</v>
      </c>
      <c r="AN157" s="57" t="e">
        <f t="shared" si="137"/>
        <v>#N/A</v>
      </c>
      <c r="AO157" s="40" t="e">
        <f t="shared" si="164"/>
        <v>#N/A</v>
      </c>
      <c r="AP157" s="417" t="e">
        <f t="shared" si="138"/>
        <v>#N/A</v>
      </c>
      <c r="AQ157" s="56">
        <f t="shared" si="165"/>
        <v>7</v>
      </c>
      <c r="AR157" s="43" t="e">
        <f t="shared" si="166"/>
        <v>#N/A</v>
      </c>
      <c r="AS157" s="44" t="e">
        <f t="shared" si="167"/>
        <v>#N/A</v>
      </c>
      <c r="AT157" s="45" t="e">
        <f t="shared" si="139"/>
        <v>#N/A</v>
      </c>
      <c r="AU157" s="14">
        <f t="shared" si="168"/>
        <v>7</v>
      </c>
      <c r="AV157" s="44" t="e">
        <f t="shared" si="140"/>
        <v>#N/A</v>
      </c>
      <c r="AW157" s="14" t="e">
        <f t="shared" si="169"/>
        <v>#N/A</v>
      </c>
      <c r="AX157" s="14" t="e">
        <f t="shared" si="141"/>
        <v>#N/A</v>
      </c>
      <c r="AY157" s="46">
        <f t="shared" si="170"/>
        <v>7</v>
      </c>
      <c r="AZ157" s="47" t="e">
        <f t="shared" si="171"/>
        <v>#N/A</v>
      </c>
      <c r="BA157" s="48" t="e">
        <f t="shared" si="172"/>
        <v>#N/A</v>
      </c>
      <c r="BB157" s="31" t="e">
        <f t="shared" si="142"/>
        <v>#N/A</v>
      </c>
      <c r="BC157" s="28">
        <f t="shared" si="173"/>
        <v>7</v>
      </c>
      <c r="BD157" s="47" t="e">
        <f t="shared" si="174"/>
        <v>#N/A</v>
      </c>
      <c r="BE157" s="48" t="e">
        <f t="shared" si="175"/>
        <v>#N/A</v>
      </c>
      <c r="BF157" s="31" t="e">
        <f t="shared" si="143"/>
        <v>#N/A</v>
      </c>
      <c r="BG157" s="49" t="e">
        <f t="shared" si="144"/>
        <v>#N/A</v>
      </c>
      <c r="BH157" s="1" t="e">
        <f>VLOOKUP($B157,STOCK_BY_LA!$A$2:$C$10477,3,0)</f>
        <v>#N/A</v>
      </c>
      <c r="BI157" s="1" t="str">
        <f t="shared" si="176"/>
        <v/>
      </c>
    </row>
    <row r="158" spans="1:61" x14ac:dyDescent="0.35">
      <c r="A158" s="1" t="str">
        <f t="shared" si="145"/>
        <v/>
      </c>
      <c r="B158" s="1" t="str">
        <f t="shared" si="177"/>
        <v/>
      </c>
      <c r="C158" s="50" t="str">
        <f t="shared" si="146"/>
        <v/>
      </c>
      <c r="D158" s="33" t="str">
        <f>IF(B158="","",IF('totals_&amp;_RP_counts'!$O$3=0,IFERROR(IF(AA158=2,"0",AB158),""),"-"))</f>
        <v/>
      </c>
      <c r="E158" s="35" t="str">
        <f t="shared" si="147"/>
        <v/>
      </c>
      <c r="F158" s="36" t="str">
        <f t="shared" si="148"/>
        <v/>
      </c>
      <c r="G158" s="36" t="str">
        <f t="shared" si="149"/>
        <v/>
      </c>
      <c r="H158" s="33" t="str">
        <f t="shared" si="127"/>
        <v/>
      </c>
      <c r="I158" s="36" t="str">
        <f t="shared" si="150"/>
        <v/>
      </c>
      <c r="J158" s="36" t="str">
        <f t="shared" si="151"/>
        <v/>
      </c>
      <c r="K158" s="33" t="str">
        <f t="shared" si="128"/>
        <v/>
      </c>
      <c r="L158" s="36" t="str">
        <f t="shared" si="129"/>
        <v/>
      </c>
      <c r="M158" s="36" t="str">
        <f t="shared" si="152"/>
        <v/>
      </c>
      <c r="N158" s="33" t="str">
        <f t="shared" si="153"/>
        <v/>
      </c>
      <c r="O158" s="36" t="str">
        <f t="shared" si="154"/>
        <v/>
      </c>
      <c r="P158" s="36" t="str">
        <f t="shared" si="155"/>
        <v/>
      </c>
      <c r="Q158" s="33" t="str">
        <f t="shared" si="156"/>
        <v/>
      </c>
      <c r="R158" s="1"/>
      <c r="S158" s="1"/>
      <c r="Y158" s="1" t="e">
        <f>VLOOKUP($B$6,LOOKUP_SCE,151,0)</f>
        <v>#N/A</v>
      </c>
      <c r="Z158" s="22" t="str">
        <f t="shared" si="130"/>
        <v/>
      </c>
      <c r="AA158" s="23">
        <f t="shared" si="157"/>
        <v>7</v>
      </c>
      <c r="AB158" s="55" t="e">
        <f t="shared" si="131"/>
        <v>#N/A</v>
      </c>
      <c r="AC158" s="38" t="e">
        <f t="shared" si="158"/>
        <v>#N/A</v>
      </c>
      <c r="AD158" s="38" t="e">
        <f t="shared" si="159"/>
        <v>#N/A</v>
      </c>
      <c r="AE158" s="415" t="e">
        <f t="shared" si="132"/>
        <v>#N/A</v>
      </c>
      <c r="AF158" s="10">
        <f t="shared" si="160"/>
        <v>7</v>
      </c>
      <c r="AG158" s="38" t="e">
        <f t="shared" si="133"/>
        <v>#N/A</v>
      </c>
      <c r="AH158" s="38" t="e">
        <f t="shared" si="161"/>
        <v>#N/A</v>
      </c>
      <c r="AI158" s="10" t="e">
        <f t="shared" si="134"/>
        <v>#N/A</v>
      </c>
      <c r="AJ158" s="39" t="e">
        <f t="shared" si="162"/>
        <v>#N/A</v>
      </c>
      <c r="AK158" s="40" t="e">
        <f t="shared" si="135"/>
        <v>#N/A</v>
      </c>
      <c r="AL158" s="11" t="e">
        <f t="shared" si="136"/>
        <v>#N/A</v>
      </c>
      <c r="AM158" s="41">
        <f t="shared" si="163"/>
        <v>7</v>
      </c>
      <c r="AN158" s="57" t="e">
        <f t="shared" si="137"/>
        <v>#N/A</v>
      </c>
      <c r="AO158" s="40" t="e">
        <f t="shared" si="164"/>
        <v>#N/A</v>
      </c>
      <c r="AP158" s="417" t="e">
        <f t="shared" si="138"/>
        <v>#N/A</v>
      </c>
      <c r="AQ158" s="56">
        <f t="shared" si="165"/>
        <v>7</v>
      </c>
      <c r="AR158" s="43" t="e">
        <f t="shared" si="166"/>
        <v>#N/A</v>
      </c>
      <c r="AS158" s="44" t="e">
        <f t="shared" si="167"/>
        <v>#N/A</v>
      </c>
      <c r="AT158" s="45" t="e">
        <f t="shared" si="139"/>
        <v>#N/A</v>
      </c>
      <c r="AU158" s="14">
        <f t="shared" si="168"/>
        <v>7</v>
      </c>
      <c r="AV158" s="44" t="e">
        <f t="shared" si="140"/>
        <v>#N/A</v>
      </c>
      <c r="AW158" s="14" t="e">
        <f t="shared" si="169"/>
        <v>#N/A</v>
      </c>
      <c r="AX158" s="14" t="e">
        <f t="shared" si="141"/>
        <v>#N/A</v>
      </c>
      <c r="AY158" s="46">
        <f t="shared" si="170"/>
        <v>7</v>
      </c>
      <c r="AZ158" s="47" t="e">
        <f t="shared" si="171"/>
        <v>#N/A</v>
      </c>
      <c r="BA158" s="48" t="e">
        <f t="shared" si="172"/>
        <v>#N/A</v>
      </c>
      <c r="BB158" s="31" t="e">
        <f t="shared" si="142"/>
        <v>#N/A</v>
      </c>
      <c r="BC158" s="28">
        <f t="shared" si="173"/>
        <v>7</v>
      </c>
      <c r="BD158" s="47" t="e">
        <f t="shared" si="174"/>
        <v>#N/A</v>
      </c>
      <c r="BE158" s="48" t="e">
        <f t="shared" si="175"/>
        <v>#N/A</v>
      </c>
      <c r="BF158" s="31" t="e">
        <f t="shared" si="143"/>
        <v>#N/A</v>
      </c>
      <c r="BG158" s="49" t="e">
        <f t="shared" si="144"/>
        <v>#N/A</v>
      </c>
      <c r="BH158" s="1" t="e">
        <f>VLOOKUP($B158,STOCK_BY_LA!$A$2:$C$10477,3,0)</f>
        <v>#N/A</v>
      </c>
      <c r="BI158" s="1" t="str">
        <f t="shared" si="176"/>
        <v/>
      </c>
    </row>
    <row r="159" spans="1:61" x14ac:dyDescent="0.35">
      <c r="A159" s="33" t="str">
        <f t="shared" si="145"/>
        <v/>
      </c>
      <c r="B159" s="1" t="str">
        <f t="shared" si="177"/>
        <v/>
      </c>
      <c r="C159" s="34" t="str">
        <f t="shared" si="146"/>
        <v/>
      </c>
      <c r="D159" s="33" t="str">
        <f>IF(B159="","",IF('totals_&amp;_RP_counts'!$O$3=0,IFERROR(IF(AA159=2,"0",AB159),""),"-"))</f>
        <v/>
      </c>
      <c r="E159" s="35" t="str">
        <f t="shared" si="147"/>
        <v/>
      </c>
      <c r="F159" s="36" t="str">
        <f t="shared" si="148"/>
        <v/>
      </c>
      <c r="G159" s="36" t="str">
        <f t="shared" si="149"/>
        <v/>
      </c>
      <c r="H159" s="33" t="str">
        <f t="shared" si="127"/>
        <v/>
      </c>
      <c r="I159" s="36" t="str">
        <f t="shared" si="150"/>
        <v/>
      </c>
      <c r="J159" s="36" t="str">
        <f t="shared" si="151"/>
        <v/>
      </c>
      <c r="K159" s="33" t="str">
        <f t="shared" si="128"/>
        <v/>
      </c>
      <c r="L159" s="36" t="str">
        <f t="shared" si="129"/>
        <v/>
      </c>
      <c r="M159" s="36" t="str">
        <f t="shared" si="152"/>
        <v/>
      </c>
      <c r="N159" s="33" t="str">
        <f t="shared" si="153"/>
        <v/>
      </c>
      <c r="O159" s="36" t="str">
        <f t="shared" si="154"/>
        <v/>
      </c>
      <c r="P159" s="36" t="str">
        <f t="shared" si="155"/>
        <v/>
      </c>
      <c r="Q159" s="33" t="str">
        <f t="shared" si="156"/>
        <v/>
      </c>
      <c r="R159" s="1"/>
      <c r="S159" s="1"/>
      <c r="Y159" s="1" t="e">
        <f>VLOOKUP($B$6,LOOKUP_SCE,152,0)</f>
        <v>#N/A</v>
      </c>
      <c r="Z159" s="22" t="str">
        <f t="shared" si="130"/>
        <v/>
      </c>
      <c r="AA159" s="23">
        <f t="shared" si="157"/>
        <v>7</v>
      </c>
      <c r="AB159" s="55" t="e">
        <f t="shared" si="131"/>
        <v>#N/A</v>
      </c>
      <c r="AC159" s="38" t="e">
        <f t="shared" si="158"/>
        <v>#N/A</v>
      </c>
      <c r="AD159" s="38" t="e">
        <f t="shared" si="159"/>
        <v>#N/A</v>
      </c>
      <c r="AE159" s="415" t="e">
        <f t="shared" si="132"/>
        <v>#N/A</v>
      </c>
      <c r="AF159" s="10">
        <f t="shared" si="160"/>
        <v>7</v>
      </c>
      <c r="AG159" s="38" t="e">
        <f t="shared" si="133"/>
        <v>#N/A</v>
      </c>
      <c r="AH159" s="38" t="e">
        <f t="shared" si="161"/>
        <v>#N/A</v>
      </c>
      <c r="AI159" s="10" t="e">
        <f t="shared" si="134"/>
        <v>#N/A</v>
      </c>
      <c r="AJ159" s="39" t="e">
        <f t="shared" si="162"/>
        <v>#N/A</v>
      </c>
      <c r="AK159" s="40" t="e">
        <f t="shared" si="135"/>
        <v>#N/A</v>
      </c>
      <c r="AL159" s="11" t="e">
        <f t="shared" si="136"/>
        <v>#N/A</v>
      </c>
      <c r="AM159" s="41">
        <f t="shared" si="163"/>
        <v>7</v>
      </c>
      <c r="AN159" s="57" t="e">
        <f t="shared" si="137"/>
        <v>#N/A</v>
      </c>
      <c r="AO159" s="40" t="e">
        <f t="shared" si="164"/>
        <v>#N/A</v>
      </c>
      <c r="AP159" s="417" t="e">
        <f t="shared" si="138"/>
        <v>#N/A</v>
      </c>
      <c r="AQ159" s="56">
        <f t="shared" si="165"/>
        <v>7</v>
      </c>
      <c r="AR159" s="43" t="e">
        <f t="shared" si="166"/>
        <v>#N/A</v>
      </c>
      <c r="AS159" s="44" t="e">
        <f t="shared" si="167"/>
        <v>#N/A</v>
      </c>
      <c r="AT159" s="45" t="e">
        <f t="shared" si="139"/>
        <v>#N/A</v>
      </c>
      <c r="AU159" s="14">
        <f t="shared" si="168"/>
        <v>7</v>
      </c>
      <c r="AV159" s="44" t="e">
        <f t="shared" si="140"/>
        <v>#N/A</v>
      </c>
      <c r="AW159" s="14" t="e">
        <f t="shared" si="169"/>
        <v>#N/A</v>
      </c>
      <c r="AX159" s="14" t="e">
        <f t="shared" si="141"/>
        <v>#N/A</v>
      </c>
      <c r="AY159" s="46">
        <f t="shared" si="170"/>
        <v>7</v>
      </c>
      <c r="AZ159" s="47" t="e">
        <f t="shared" si="171"/>
        <v>#N/A</v>
      </c>
      <c r="BA159" s="48" t="e">
        <f t="shared" si="172"/>
        <v>#N/A</v>
      </c>
      <c r="BB159" s="31" t="e">
        <f t="shared" si="142"/>
        <v>#N/A</v>
      </c>
      <c r="BC159" s="28">
        <f t="shared" si="173"/>
        <v>7</v>
      </c>
      <c r="BD159" s="47" t="e">
        <f t="shared" si="174"/>
        <v>#N/A</v>
      </c>
      <c r="BE159" s="48" t="e">
        <f t="shared" si="175"/>
        <v>#N/A</v>
      </c>
      <c r="BF159" s="31" t="e">
        <f t="shared" si="143"/>
        <v>#N/A</v>
      </c>
      <c r="BG159" s="49" t="e">
        <f t="shared" si="144"/>
        <v>#N/A</v>
      </c>
      <c r="BH159" s="1" t="e">
        <f>VLOOKUP($B159,STOCK_BY_LA!$A$2:$C$10477,3,0)</f>
        <v>#N/A</v>
      </c>
      <c r="BI159" s="1" t="str">
        <f t="shared" si="176"/>
        <v/>
      </c>
    </row>
    <row r="160" spans="1:61" x14ac:dyDescent="0.35">
      <c r="A160" s="1" t="str">
        <f t="shared" si="145"/>
        <v/>
      </c>
      <c r="B160" s="1" t="str">
        <f t="shared" si="177"/>
        <v/>
      </c>
      <c r="C160" s="50" t="str">
        <f t="shared" si="146"/>
        <v/>
      </c>
      <c r="D160" s="33" t="str">
        <f>IF(B160="","",IF('totals_&amp;_RP_counts'!$O$3=0,IFERROR(IF(AA160=2,"0",AB160),""),"-"))</f>
        <v/>
      </c>
      <c r="E160" s="35" t="str">
        <f t="shared" si="147"/>
        <v/>
      </c>
      <c r="F160" s="36" t="str">
        <f t="shared" si="148"/>
        <v/>
      </c>
      <c r="G160" s="36" t="str">
        <f t="shared" si="149"/>
        <v/>
      </c>
      <c r="H160" s="33" t="str">
        <f t="shared" si="127"/>
        <v/>
      </c>
      <c r="I160" s="36" t="str">
        <f t="shared" si="150"/>
        <v/>
      </c>
      <c r="J160" s="36" t="str">
        <f t="shared" si="151"/>
        <v/>
      </c>
      <c r="K160" s="33" t="str">
        <f t="shared" si="128"/>
        <v/>
      </c>
      <c r="L160" s="36" t="str">
        <f t="shared" si="129"/>
        <v/>
      </c>
      <c r="M160" s="36" t="str">
        <f t="shared" si="152"/>
        <v/>
      </c>
      <c r="N160" s="33" t="str">
        <f t="shared" si="153"/>
        <v/>
      </c>
      <c r="O160" s="36" t="str">
        <f t="shared" si="154"/>
        <v/>
      </c>
      <c r="P160" s="36" t="str">
        <f t="shared" si="155"/>
        <v/>
      </c>
      <c r="Q160" s="33" t="str">
        <f t="shared" si="156"/>
        <v/>
      </c>
      <c r="R160" s="1"/>
      <c r="S160" s="1"/>
      <c r="Y160" s="1" t="e">
        <f>VLOOKUP($B$6,LOOKUP_SCE,153,0)</f>
        <v>#N/A</v>
      </c>
      <c r="Z160" s="22" t="str">
        <f t="shared" si="130"/>
        <v/>
      </c>
      <c r="AA160" s="23">
        <f t="shared" si="157"/>
        <v>7</v>
      </c>
      <c r="AB160" s="55" t="e">
        <f t="shared" si="131"/>
        <v>#N/A</v>
      </c>
      <c r="AC160" s="38" t="e">
        <f t="shared" si="158"/>
        <v>#N/A</v>
      </c>
      <c r="AD160" s="38" t="e">
        <f t="shared" si="159"/>
        <v>#N/A</v>
      </c>
      <c r="AE160" s="415" t="e">
        <f t="shared" si="132"/>
        <v>#N/A</v>
      </c>
      <c r="AF160" s="10">
        <f t="shared" si="160"/>
        <v>7</v>
      </c>
      <c r="AG160" s="38" t="e">
        <f t="shared" si="133"/>
        <v>#N/A</v>
      </c>
      <c r="AH160" s="38" t="e">
        <f t="shared" si="161"/>
        <v>#N/A</v>
      </c>
      <c r="AI160" s="10" t="e">
        <f t="shared" si="134"/>
        <v>#N/A</v>
      </c>
      <c r="AJ160" s="39" t="e">
        <f t="shared" si="162"/>
        <v>#N/A</v>
      </c>
      <c r="AK160" s="40" t="e">
        <f t="shared" si="135"/>
        <v>#N/A</v>
      </c>
      <c r="AL160" s="11" t="e">
        <f t="shared" si="136"/>
        <v>#N/A</v>
      </c>
      <c r="AM160" s="41">
        <f t="shared" si="163"/>
        <v>7</v>
      </c>
      <c r="AN160" s="57" t="e">
        <f t="shared" si="137"/>
        <v>#N/A</v>
      </c>
      <c r="AO160" s="40" t="e">
        <f t="shared" si="164"/>
        <v>#N/A</v>
      </c>
      <c r="AP160" s="417" t="e">
        <f t="shared" si="138"/>
        <v>#N/A</v>
      </c>
      <c r="AQ160" s="56">
        <f t="shared" si="165"/>
        <v>7</v>
      </c>
      <c r="AR160" s="43" t="e">
        <f t="shared" si="166"/>
        <v>#N/A</v>
      </c>
      <c r="AS160" s="44" t="e">
        <f t="shared" si="167"/>
        <v>#N/A</v>
      </c>
      <c r="AT160" s="45" t="e">
        <f t="shared" si="139"/>
        <v>#N/A</v>
      </c>
      <c r="AU160" s="14">
        <f t="shared" si="168"/>
        <v>7</v>
      </c>
      <c r="AV160" s="44" t="e">
        <f t="shared" si="140"/>
        <v>#N/A</v>
      </c>
      <c r="AW160" s="14" t="e">
        <f t="shared" si="169"/>
        <v>#N/A</v>
      </c>
      <c r="AX160" s="14" t="e">
        <f t="shared" si="141"/>
        <v>#N/A</v>
      </c>
      <c r="AY160" s="46">
        <f t="shared" si="170"/>
        <v>7</v>
      </c>
      <c r="AZ160" s="47" t="e">
        <f t="shared" si="171"/>
        <v>#N/A</v>
      </c>
      <c r="BA160" s="48" t="e">
        <f t="shared" si="172"/>
        <v>#N/A</v>
      </c>
      <c r="BB160" s="31" t="e">
        <f t="shared" si="142"/>
        <v>#N/A</v>
      </c>
      <c r="BC160" s="28">
        <f t="shared" si="173"/>
        <v>7</v>
      </c>
      <c r="BD160" s="47" t="e">
        <f t="shared" si="174"/>
        <v>#N/A</v>
      </c>
      <c r="BE160" s="48" t="e">
        <f t="shared" si="175"/>
        <v>#N/A</v>
      </c>
      <c r="BF160" s="31" t="e">
        <f t="shared" si="143"/>
        <v>#N/A</v>
      </c>
      <c r="BG160" s="49" t="e">
        <f t="shared" si="144"/>
        <v>#N/A</v>
      </c>
      <c r="BH160" s="1" t="e">
        <f>VLOOKUP($B160,STOCK_BY_LA!$A$2:$C$10477,3,0)</f>
        <v>#N/A</v>
      </c>
      <c r="BI160" s="1" t="str">
        <f t="shared" si="176"/>
        <v/>
      </c>
    </row>
    <row r="161" spans="1:61" x14ac:dyDescent="0.35">
      <c r="A161" s="33" t="str">
        <f t="shared" si="145"/>
        <v/>
      </c>
      <c r="B161" s="1" t="str">
        <f t="shared" si="177"/>
        <v/>
      </c>
      <c r="C161" s="34" t="str">
        <f t="shared" si="146"/>
        <v/>
      </c>
      <c r="D161" s="33" t="str">
        <f>IF(B161="","",IF('totals_&amp;_RP_counts'!$O$3=0,IFERROR(IF(AA161=2,"0",AB161),""),"-"))</f>
        <v/>
      </c>
      <c r="E161" s="35" t="str">
        <f t="shared" si="147"/>
        <v/>
      </c>
      <c r="F161" s="36" t="str">
        <f t="shared" si="148"/>
        <v/>
      </c>
      <c r="G161" s="36" t="str">
        <f t="shared" si="149"/>
        <v/>
      </c>
      <c r="H161" s="33" t="str">
        <f t="shared" si="127"/>
        <v/>
      </c>
      <c r="I161" s="36" t="str">
        <f t="shared" si="150"/>
        <v/>
      </c>
      <c r="J161" s="36" t="str">
        <f t="shared" si="151"/>
        <v/>
      </c>
      <c r="K161" s="33" t="str">
        <f t="shared" si="128"/>
        <v/>
      </c>
      <c r="L161" s="36" t="str">
        <f t="shared" si="129"/>
        <v/>
      </c>
      <c r="M161" s="36" t="str">
        <f t="shared" si="152"/>
        <v/>
      </c>
      <c r="N161" s="33" t="str">
        <f t="shared" si="153"/>
        <v/>
      </c>
      <c r="O161" s="36" t="str">
        <f t="shared" si="154"/>
        <v/>
      </c>
      <c r="P161" s="36" t="str">
        <f t="shared" si="155"/>
        <v/>
      </c>
      <c r="Q161" s="33" t="str">
        <f t="shared" si="156"/>
        <v/>
      </c>
      <c r="R161" s="1"/>
      <c r="S161" s="1"/>
      <c r="Y161" s="1" t="e">
        <f>VLOOKUP($B$6,LOOKUP_SCE,154,0)</f>
        <v>#N/A</v>
      </c>
      <c r="Z161" s="22" t="str">
        <f t="shared" si="130"/>
        <v/>
      </c>
      <c r="AA161" s="23">
        <f t="shared" si="157"/>
        <v>7</v>
      </c>
      <c r="AB161" s="55" t="e">
        <f t="shared" si="131"/>
        <v>#N/A</v>
      </c>
      <c r="AC161" s="38" t="e">
        <f t="shared" si="158"/>
        <v>#N/A</v>
      </c>
      <c r="AD161" s="38" t="e">
        <f t="shared" si="159"/>
        <v>#N/A</v>
      </c>
      <c r="AE161" s="415" t="e">
        <f t="shared" si="132"/>
        <v>#N/A</v>
      </c>
      <c r="AF161" s="10">
        <f t="shared" si="160"/>
        <v>7</v>
      </c>
      <c r="AG161" s="38" t="e">
        <f t="shared" si="133"/>
        <v>#N/A</v>
      </c>
      <c r="AH161" s="38" t="e">
        <f t="shared" si="161"/>
        <v>#N/A</v>
      </c>
      <c r="AI161" s="10" t="e">
        <f t="shared" si="134"/>
        <v>#N/A</v>
      </c>
      <c r="AJ161" s="39" t="e">
        <f t="shared" si="162"/>
        <v>#N/A</v>
      </c>
      <c r="AK161" s="40" t="e">
        <f t="shared" si="135"/>
        <v>#N/A</v>
      </c>
      <c r="AL161" s="11" t="e">
        <f t="shared" si="136"/>
        <v>#N/A</v>
      </c>
      <c r="AM161" s="41">
        <f t="shared" si="163"/>
        <v>7</v>
      </c>
      <c r="AN161" s="57" t="e">
        <f t="shared" si="137"/>
        <v>#N/A</v>
      </c>
      <c r="AO161" s="40" t="e">
        <f t="shared" si="164"/>
        <v>#N/A</v>
      </c>
      <c r="AP161" s="417" t="e">
        <f t="shared" si="138"/>
        <v>#N/A</v>
      </c>
      <c r="AQ161" s="56">
        <f t="shared" si="165"/>
        <v>7</v>
      </c>
      <c r="AR161" s="43" t="e">
        <f t="shared" si="166"/>
        <v>#N/A</v>
      </c>
      <c r="AS161" s="44" t="e">
        <f t="shared" si="167"/>
        <v>#N/A</v>
      </c>
      <c r="AT161" s="45" t="e">
        <f t="shared" si="139"/>
        <v>#N/A</v>
      </c>
      <c r="AU161" s="14">
        <f t="shared" si="168"/>
        <v>7</v>
      </c>
      <c r="AV161" s="44" t="e">
        <f t="shared" si="140"/>
        <v>#N/A</v>
      </c>
      <c r="AW161" s="14" t="e">
        <f t="shared" si="169"/>
        <v>#N/A</v>
      </c>
      <c r="AX161" s="14" t="e">
        <f t="shared" si="141"/>
        <v>#N/A</v>
      </c>
      <c r="AY161" s="46">
        <f t="shared" si="170"/>
        <v>7</v>
      </c>
      <c r="AZ161" s="47" t="e">
        <f t="shared" si="171"/>
        <v>#N/A</v>
      </c>
      <c r="BA161" s="48" t="e">
        <f t="shared" si="172"/>
        <v>#N/A</v>
      </c>
      <c r="BB161" s="31" t="e">
        <f t="shared" si="142"/>
        <v>#N/A</v>
      </c>
      <c r="BC161" s="28">
        <f t="shared" si="173"/>
        <v>7</v>
      </c>
      <c r="BD161" s="47" t="e">
        <f t="shared" si="174"/>
        <v>#N/A</v>
      </c>
      <c r="BE161" s="48" t="e">
        <f t="shared" si="175"/>
        <v>#N/A</v>
      </c>
      <c r="BF161" s="31" t="e">
        <f t="shared" si="143"/>
        <v>#N/A</v>
      </c>
      <c r="BG161" s="49" t="e">
        <f t="shared" si="144"/>
        <v>#N/A</v>
      </c>
      <c r="BH161" s="1" t="e">
        <f>VLOOKUP($B161,STOCK_BY_LA!$A$2:$C$10477,3,0)</f>
        <v>#N/A</v>
      </c>
      <c r="BI161" s="1" t="str">
        <f t="shared" si="176"/>
        <v/>
      </c>
    </row>
    <row r="162" spans="1:61" x14ac:dyDescent="0.35">
      <c r="A162" s="1" t="str">
        <f t="shared" si="145"/>
        <v/>
      </c>
      <c r="B162" s="1" t="str">
        <f t="shared" si="177"/>
        <v/>
      </c>
      <c r="C162" s="50" t="str">
        <f t="shared" si="146"/>
        <v/>
      </c>
      <c r="D162" s="33" t="str">
        <f>IF(B162="","",IF('totals_&amp;_RP_counts'!$O$3=0,IFERROR(IF(AA162=2,"0",AB162),""),"-"))</f>
        <v/>
      </c>
      <c r="E162" s="35" t="str">
        <f t="shared" si="147"/>
        <v/>
      </c>
      <c r="F162" s="36" t="str">
        <f t="shared" si="148"/>
        <v/>
      </c>
      <c r="G162" s="36" t="str">
        <f t="shared" si="149"/>
        <v/>
      </c>
      <c r="H162" s="33" t="str">
        <f t="shared" si="127"/>
        <v/>
      </c>
      <c r="I162" s="36" t="str">
        <f t="shared" si="150"/>
        <v/>
      </c>
      <c r="J162" s="36" t="str">
        <f t="shared" si="151"/>
        <v/>
      </c>
      <c r="K162" s="33" t="str">
        <f t="shared" si="128"/>
        <v/>
      </c>
      <c r="L162" s="36" t="str">
        <f t="shared" si="129"/>
        <v/>
      </c>
      <c r="M162" s="36" t="str">
        <f t="shared" si="152"/>
        <v/>
      </c>
      <c r="N162" s="33" t="str">
        <f t="shared" si="153"/>
        <v/>
      </c>
      <c r="O162" s="36" t="str">
        <f t="shared" si="154"/>
        <v/>
      </c>
      <c r="P162" s="36" t="str">
        <f t="shared" si="155"/>
        <v/>
      </c>
      <c r="Q162" s="33" t="str">
        <f t="shared" si="156"/>
        <v/>
      </c>
      <c r="R162" s="1"/>
      <c r="S162" s="1"/>
      <c r="Y162" s="1" t="e">
        <f>VLOOKUP($B$6,LOOKUP_SCE,155,0)</f>
        <v>#N/A</v>
      </c>
      <c r="Z162" s="22" t="str">
        <f t="shared" si="130"/>
        <v/>
      </c>
      <c r="AA162" s="23">
        <f t="shared" si="157"/>
        <v>7</v>
      </c>
      <c r="AB162" s="55" t="e">
        <f t="shared" si="131"/>
        <v>#N/A</v>
      </c>
      <c r="AC162" s="38" t="e">
        <f t="shared" si="158"/>
        <v>#N/A</v>
      </c>
      <c r="AD162" s="38" t="e">
        <f t="shared" si="159"/>
        <v>#N/A</v>
      </c>
      <c r="AE162" s="415" t="e">
        <f t="shared" si="132"/>
        <v>#N/A</v>
      </c>
      <c r="AF162" s="10">
        <f t="shared" si="160"/>
        <v>7</v>
      </c>
      <c r="AG162" s="38" t="e">
        <f t="shared" si="133"/>
        <v>#N/A</v>
      </c>
      <c r="AH162" s="38" t="e">
        <f t="shared" si="161"/>
        <v>#N/A</v>
      </c>
      <c r="AI162" s="10" t="e">
        <f t="shared" si="134"/>
        <v>#N/A</v>
      </c>
      <c r="AJ162" s="39" t="e">
        <f t="shared" si="162"/>
        <v>#N/A</v>
      </c>
      <c r="AK162" s="40" t="e">
        <f t="shared" si="135"/>
        <v>#N/A</v>
      </c>
      <c r="AL162" s="11" t="e">
        <f t="shared" si="136"/>
        <v>#N/A</v>
      </c>
      <c r="AM162" s="41">
        <f t="shared" si="163"/>
        <v>7</v>
      </c>
      <c r="AN162" s="57" t="e">
        <f t="shared" si="137"/>
        <v>#N/A</v>
      </c>
      <c r="AO162" s="40" t="e">
        <f t="shared" si="164"/>
        <v>#N/A</v>
      </c>
      <c r="AP162" s="417" t="e">
        <f t="shared" si="138"/>
        <v>#N/A</v>
      </c>
      <c r="AQ162" s="56">
        <f t="shared" si="165"/>
        <v>7</v>
      </c>
      <c r="AR162" s="43" t="e">
        <f t="shared" si="166"/>
        <v>#N/A</v>
      </c>
      <c r="AS162" s="44" t="e">
        <f t="shared" si="167"/>
        <v>#N/A</v>
      </c>
      <c r="AT162" s="45" t="e">
        <f t="shared" si="139"/>
        <v>#N/A</v>
      </c>
      <c r="AU162" s="14">
        <f t="shared" si="168"/>
        <v>7</v>
      </c>
      <c r="AV162" s="44" t="e">
        <f t="shared" si="140"/>
        <v>#N/A</v>
      </c>
      <c r="AW162" s="14" t="e">
        <f t="shared" si="169"/>
        <v>#N/A</v>
      </c>
      <c r="AX162" s="14" t="e">
        <f t="shared" si="141"/>
        <v>#N/A</v>
      </c>
      <c r="AY162" s="46">
        <f t="shared" si="170"/>
        <v>7</v>
      </c>
      <c r="AZ162" s="47" t="e">
        <f t="shared" si="171"/>
        <v>#N/A</v>
      </c>
      <c r="BA162" s="48" t="e">
        <f t="shared" si="172"/>
        <v>#N/A</v>
      </c>
      <c r="BB162" s="31" t="e">
        <f t="shared" si="142"/>
        <v>#N/A</v>
      </c>
      <c r="BC162" s="28">
        <f t="shared" si="173"/>
        <v>7</v>
      </c>
      <c r="BD162" s="47" t="e">
        <f t="shared" si="174"/>
        <v>#N/A</v>
      </c>
      <c r="BE162" s="48" t="e">
        <f t="shared" si="175"/>
        <v>#N/A</v>
      </c>
      <c r="BF162" s="31" t="e">
        <f t="shared" si="143"/>
        <v>#N/A</v>
      </c>
      <c r="BG162" s="49" t="e">
        <f t="shared" si="144"/>
        <v>#N/A</v>
      </c>
      <c r="BH162" s="1" t="e">
        <f>VLOOKUP($B162,STOCK_BY_LA!$A$2:$C$10477,3,0)</f>
        <v>#N/A</v>
      </c>
      <c r="BI162" s="1" t="str">
        <f t="shared" si="176"/>
        <v/>
      </c>
    </row>
    <row r="163" spans="1:61" x14ac:dyDescent="0.35">
      <c r="A163" s="33" t="str">
        <f t="shared" si="145"/>
        <v/>
      </c>
      <c r="B163" s="1" t="str">
        <f t="shared" si="177"/>
        <v/>
      </c>
      <c r="C163" s="34" t="str">
        <f t="shared" si="146"/>
        <v/>
      </c>
      <c r="D163" s="33" t="str">
        <f>IF(B163="","",IF('totals_&amp;_RP_counts'!$O$3=0,IFERROR(IF(AA163=2,"0",AB163),""),"-"))</f>
        <v/>
      </c>
      <c r="E163" s="35" t="str">
        <f t="shared" si="147"/>
        <v/>
      </c>
      <c r="F163" s="36" t="str">
        <f t="shared" si="148"/>
        <v/>
      </c>
      <c r="G163" s="36" t="str">
        <f t="shared" si="149"/>
        <v/>
      </c>
      <c r="H163" s="33" t="str">
        <f t="shared" si="127"/>
        <v/>
      </c>
      <c r="I163" s="36" t="str">
        <f t="shared" si="150"/>
        <v/>
      </c>
      <c r="J163" s="36" t="str">
        <f t="shared" si="151"/>
        <v/>
      </c>
      <c r="K163" s="33" t="str">
        <f t="shared" si="128"/>
        <v/>
      </c>
      <c r="L163" s="36" t="str">
        <f t="shared" si="129"/>
        <v/>
      </c>
      <c r="M163" s="36" t="str">
        <f t="shared" si="152"/>
        <v/>
      </c>
      <c r="N163" s="33" t="str">
        <f t="shared" si="153"/>
        <v/>
      </c>
      <c r="O163" s="36" t="str">
        <f t="shared" si="154"/>
        <v/>
      </c>
      <c r="P163" s="36" t="str">
        <f t="shared" si="155"/>
        <v/>
      </c>
      <c r="Q163" s="33" t="str">
        <f t="shared" si="156"/>
        <v/>
      </c>
      <c r="R163" s="1"/>
      <c r="S163" s="1"/>
      <c r="Y163" s="1" t="e">
        <f>VLOOKUP($B$6,LOOKUP_SCE,156,0)</f>
        <v>#N/A</v>
      </c>
      <c r="Z163" s="22" t="str">
        <f t="shared" si="130"/>
        <v/>
      </c>
      <c r="AA163" s="23">
        <f t="shared" si="157"/>
        <v>7</v>
      </c>
      <c r="AB163" s="55" t="e">
        <f t="shared" si="131"/>
        <v>#N/A</v>
      </c>
      <c r="AC163" s="38" t="e">
        <f t="shared" si="158"/>
        <v>#N/A</v>
      </c>
      <c r="AD163" s="38" t="e">
        <f t="shared" si="159"/>
        <v>#N/A</v>
      </c>
      <c r="AE163" s="415" t="e">
        <f t="shared" si="132"/>
        <v>#N/A</v>
      </c>
      <c r="AF163" s="10">
        <f t="shared" si="160"/>
        <v>7</v>
      </c>
      <c r="AG163" s="38" t="e">
        <f t="shared" si="133"/>
        <v>#N/A</v>
      </c>
      <c r="AH163" s="38" t="e">
        <f t="shared" si="161"/>
        <v>#N/A</v>
      </c>
      <c r="AI163" s="10" t="e">
        <f t="shared" si="134"/>
        <v>#N/A</v>
      </c>
      <c r="AJ163" s="39" t="e">
        <f t="shared" si="162"/>
        <v>#N/A</v>
      </c>
      <c r="AK163" s="40" t="e">
        <f t="shared" si="135"/>
        <v>#N/A</v>
      </c>
      <c r="AL163" s="11" t="e">
        <f t="shared" si="136"/>
        <v>#N/A</v>
      </c>
      <c r="AM163" s="41">
        <f t="shared" si="163"/>
        <v>7</v>
      </c>
      <c r="AN163" s="57" t="e">
        <f t="shared" si="137"/>
        <v>#N/A</v>
      </c>
      <c r="AO163" s="40" t="e">
        <f t="shared" si="164"/>
        <v>#N/A</v>
      </c>
      <c r="AP163" s="417" t="e">
        <f t="shared" si="138"/>
        <v>#N/A</v>
      </c>
      <c r="AQ163" s="56">
        <f t="shared" si="165"/>
        <v>7</v>
      </c>
      <c r="AR163" s="43" t="e">
        <f t="shared" si="166"/>
        <v>#N/A</v>
      </c>
      <c r="AS163" s="44" t="e">
        <f t="shared" si="167"/>
        <v>#N/A</v>
      </c>
      <c r="AT163" s="45" t="e">
        <f t="shared" si="139"/>
        <v>#N/A</v>
      </c>
      <c r="AU163" s="14">
        <f t="shared" si="168"/>
        <v>7</v>
      </c>
      <c r="AV163" s="44" t="e">
        <f t="shared" si="140"/>
        <v>#N/A</v>
      </c>
      <c r="AW163" s="14" t="e">
        <f t="shared" si="169"/>
        <v>#N/A</v>
      </c>
      <c r="AX163" s="14" t="e">
        <f t="shared" si="141"/>
        <v>#N/A</v>
      </c>
      <c r="AY163" s="46">
        <f t="shared" si="170"/>
        <v>7</v>
      </c>
      <c r="AZ163" s="47" t="e">
        <f t="shared" si="171"/>
        <v>#N/A</v>
      </c>
      <c r="BA163" s="48" t="e">
        <f t="shared" si="172"/>
        <v>#N/A</v>
      </c>
      <c r="BB163" s="31" t="e">
        <f t="shared" si="142"/>
        <v>#N/A</v>
      </c>
      <c r="BC163" s="28">
        <f t="shared" si="173"/>
        <v>7</v>
      </c>
      <c r="BD163" s="47" t="e">
        <f t="shared" si="174"/>
        <v>#N/A</v>
      </c>
      <c r="BE163" s="48" t="e">
        <f t="shared" si="175"/>
        <v>#N/A</v>
      </c>
      <c r="BF163" s="31" t="e">
        <f t="shared" si="143"/>
        <v>#N/A</v>
      </c>
      <c r="BG163" s="49" t="e">
        <f t="shared" si="144"/>
        <v>#N/A</v>
      </c>
      <c r="BH163" s="1" t="e">
        <f>VLOOKUP($B163,STOCK_BY_LA!$A$2:$C$10477,3,0)</f>
        <v>#N/A</v>
      </c>
      <c r="BI163" s="1" t="str">
        <f t="shared" si="176"/>
        <v/>
      </c>
    </row>
    <row r="164" spans="1:61" x14ac:dyDescent="0.35">
      <c r="A164" s="1" t="str">
        <f t="shared" si="145"/>
        <v/>
      </c>
      <c r="B164" s="1" t="str">
        <f t="shared" si="177"/>
        <v/>
      </c>
      <c r="C164" s="50" t="str">
        <f t="shared" si="146"/>
        <v/>
      </c>
      <c r="D164" s="33" t="str">
        <f>IF(B164="","",IF('totals_&amp;_RP_counts'!$O$3=0,IFERROR(IF(AA164=2,"0",AB164),""),"-"))</f>
        <v/>
      </c>
      <c r="E164" s="35" t="str">
        <f t="shared" si="147"/>
        <v/>
      </c>
      <c r="F164" s="36" t="str">
        <f t="shared" si="148"/>
        <v/>
      </c>
      <c r="G164" s="36" t="str">
        <f t="shared" si="149"/>
        <v/>
      </c>
      <c r="H164" s="33" t="str">
        <f t="shared" si="127"/>
        <v/>
      </c>
      <c r="I164" s="36" t="str">
        <f t="shared" si="150"/>
        <v/>
      </c>
      <c r="J164" s="36" t="str">
        <f t="shared" si="151"/>
        <v/>
      </c>
      <c r="K164" s="33" t="str">
        <f t="shared" si="128"/>
        <v/>
      </c>
      <c r="L164" s="36" t="str">
        <f t="shared" si="129"/>
        <v/>
      </c>
      <c r="M164" s="36" t="str">
        <f t="shared" si="152"/>
        <v/>
      </c>
      <c r="N164" s="33" t="str">
        <f t="shared" si="153"/>
        <v/>
      </c>
      <c r="O164" s="36" t="str">
        <f t="shared" si="154"/>
        <v/>
      </c>
      <c r="P164" s="36" t="str">
        <f t="shared" si="155"/>
        <v/>
      </c>
      <c r="Q164" s="33" t="str">
        <f t="shared" si="156"/>
        <v/>
      </c>
      <c r="R164" s="1"/>
      <c r="S164" s="1"/>
      <c r="Y164" s="1" t="e">
        <f>VLOOKUP($B$6,LOOKUP_SCE,157,0)</f>
        <v>#N/A</v>
      </c>
      <c r="Z164" s="22" t="str">
        <f t="shared" si="130"/>
        <v/>
      </c>
      <c r="AA164" s="23">
        <f t="shared" si="157"/>
        <v>7</v>
      </c>
      <c r="AB164" s="55" t="e">
        <f t="shared" si="131"/>
        <v>#N/A</v>
      </c>
      <c r="AC164" s="38" t="e">
        <f t="shared" si="158"/>
        <v>#N/A</v>
      </c>
      <c r="AD164" s="38" t="e">
        <f t="shared" si="159"/>
        <v>#N/A</v>
      </c>
      <c r="AE164" s="415" t="e">
        <f t="shared" si="132"/>
        <v>#N/A</v>
      </c>
      <c r="AF164" s="10">
        <f t="shared" si="160"/>
        <v>7</v>
      </c>
      <c r="AG164" s="38" t="e">
        <f t="shared" si="133"/>
        <v>#N/A</v>
      </c>
      <c r="AH164" s="38" t="e">
        <f t="shared" si="161"/>
        <v>#N/A</v>
      </c>
      <c r="AI164" s="10" t="e">
        <f t="shared" si="134"/>
        <v>#N/A</v>
      </c>
      <c r="AJ164" s="39" t="e">
        <f t="shared" si="162"/>
        <v>#N/A</v>
      </c>
      <c r="AK164" s="40" t="e">
        <f t="shared" si="135"/>
        <v>#N/A</v>
      </c>
      <c r="AL164" s="11" t="e">
        <f t="shared" si="136"/>
        <v>#N/A</v>
      </c>
      <c r="AM164" s="41">
        <f t="shared" si="163"/>
        <v>7</v>
      </c>
      <c r="AN164" s="57" t="e">
        <f t="shared" si="137"/>
        <v>#N/A</v>
      </c>
      <c r="AO164" s="40" t="e">
        <f t="shared" si="164"/>
        <v>#N/A</v>
      </c>
      <c r="AP164" s="417" t="e">
        <f t="shared" si="138"/>
        <v>#N/A</v>
      </c>
      <c r="AQ164" s="56">
        <f t="shared" si="165"/>
        <v>7</v>
      </c>
      <c r="AR164" s="43" t="e">
        <f t="shared" si="166"/>
        <v>#N/A</v>
      </c>
      <c r="AS164" s="44" t="e">
        <f t="shared" si="167"/>
        <v>#N/A</v>
      </c>
      <c r="AT164" s="45" t="e">
        <f t="shared" si="139"/>
        <v>#N/A</v>
      </c>
      <c r="AU164" s="14">
        <f t="shared" si="168"/>
        <v>7</v>
      </c>
      <c r="AV164" s="44" t="e">
        <f t="shared" si="140"/>
        <v>#N/A</v>
      </c>
      <c r="AW164" s="14" t="e">
        <f t="shared" si="169"/>
        <v>#N/A</v>
      </c>
      <c r="AX164" s="14" t="e">
        <f t="shared" si="141"/>
        <v>#N/A</v>
      </c>
      <c r="AY164" s="46">
        <f t="shared" si="170"/>
        <v>7</v>
      </c>
      <c r="AZ164" s="47" t="e">
        <f t="shared" si="171"/>
        <v>#N/A</v>
      </c>
      <c r="BA164" s="48" t="e">
        <f t="shared" si="172"/>
        <v>#N/A</v>
      </c>
      <c r="BB164" s="31" t="e">
        <f t="shared" si="142"/>
        <v>#N/A</v>
      </c>
      <c r="BC164" s="28">
        <f t="shared" si="173"/>
        <v>7</v>
      </c>
      <c r="BD164" s="47" t="e">
        <f t="shared" si="174"/>
        <v>#N/A</v>
      </c>
      <c r="BE164" s="48" t="e">
        <f t="shared" si="175"/>
        <v>#N/A</v>
      </c>
      <c r="BF164" s="31" t="e">
        <f t="shared" si="143"/>
        <v>#N/A</v>
      </c>
      <c r="BG164" s="49" t="e">
        <f t="shared" si="144"/>
        <v>#N/A</v>
      </c>
      <c r="BH164" s="1" t="e">
        <f>VLOOKUP($B164,STOCK_BY_LA!$A$2:$C$10477,3,0)</f>
        <v>#N/A</v>
      </c>
      <c r="BI164" s="1" t="str">
        <f t="shared" si="176"/>
        <v/>
      </c>
    </row>
    <row r="165" spans="1:61" x14ac:dyDescent="0.35">
      <c r="A165" s="33" t="str">
        <f t="shared" si="145"/>
        <v/>
      </c>
      <c r="B165" s="1" t="str">
        <f t="shared" si="177"/>
        <v/>
      </c>
      <c r="C165" s="34" t="str">
        <f t="shared" si="146"/>
        <v/>
      </c>
      <c r="D165" s="33" t="str">
        <f>IF(B165="","",IF('totals_&amp;_RP_counts'!$O$3=0,IFERROR(IF(AA165=2,"0",AB165),""),"-"))</f>
        <v/>
      </c>
      <c r="E165" s="35" t="str">
        <f t="shared" si="147"/>
        <v/>
      </c>
      <c r="F165" s="36" t="str">
        <f t="shared" si="148"/>
        <v/>
      </c>
      <c r="G165" s="36" t="str">
        <f t="shared" si="149"/>
        <v/>
      </c>
      <c r="H165" s="33" t="str">
        <f t="shared" si="127"/>
        <v/>
      </c>
      <c r="I165" s="36" t="str">
        <f t="shared" si="150"/>
        <v/>
      </c>
      <c r="J165" s="36" t="str">
        <f t="shared" si="151"/>
        <v/>
      </c>
      <c r="K165" s="33" t="str">
        <f t="shared" si="128"/>
        <v/>
      </c>
      <c r="L165" s="36" t="str">
        <f t="shared" si="129"/>
        <v/>
      </c>
      <c r="M165" s="36" t="str">
        <f t="shared" si="152"/>
        <v/>
      </c>
      <c r="N165" s="33" t="str">
        <f t="shared" si="153"/>
        <v/>
      </c>
      <c r="O165" s="36" t="str">
        <f t="shared" si="154"/>
        <v/>
      </c>
      <c r="P165" s="36" t="str">
        <f t="shared" si="155"/>
        <v/>
      </c>
      <c r="Q165" s="33" t="str">
        <f t="shared" si="156"/>
        <v/>
      </c>
      <c r="R165" s="1"/>
      <c r="S165" s="1"/>
      <c r="Y165" s="1" t="e">
        <f>VLOOKUP($B$6,LOOKUP_SCE,158,0)</f>
        <v>#N/A</v>
      </c>
      <c r="Z165" s="22" t="str">
        <f t="shared" si="130"/>
        <v/>
      </c>
      <c r="AA165" s="23">
        <f t="shared" si="157"/>
        <v>7</v>
      </c>
      <c r="AB165" s="55" t="e">
        <f t="shared" si="131"/>
        <v>#N/A</v>
      </c>
      <c r="AC165" s="38" t="e">
        <f t="shared" si="158"/>
        <v>#N/A</v>
      </c>
      <c r="AD165" s="38" t="e">
        <f t="shared" si="159"/>
        <v>#N/A</v>
      </c>
      <c r="AE165" s="415" t="e">
        <f t="shared" si="132"/>
        <v>#N/A</v>
      </c>
      <c r="AF165" s="10">
        <f t="shared" si="160"/>
        <v>7</v>
      </c>
      <c r="AG165" s="38" t="e">
        <f t="shared" si="133"/>
        <v>#N/A</v>
      </c>
      <c r="AH165" s="38" t="e">
        <f t="shared" si="161"/>
        <v>#N/A</v>
      </c>
      <c r="AI165" s="10" t="e">
        <f t="shared" si="134"/>
        <v>#N/A</v>
      </c>
      <c r="AJ165" s="39" t="e">
        <f t="shared" si="162"/>
        <v>#N/A</v>
      </c>
      <c r="AK165" s="40" t="e">
        <f t="shared" si="135"/>
        <v>#N/A</v>
      </c>
      <c r="AL165" s="11" t="e">
        <f t="shared" si="136"/>
        <v>#N/A</v>
      </c>
      <c r="AM165" s="41">
        <f t="shared" si="163"/>
        <v>7</v>
      </c>
      <c r="AN165" s="57" t="e">
        <f t="shared" si="137"/>
        <v>#N/A</v>
      </c>
      <c r="AO165" s="40" t="e">
        <f t="shared" si="164"/>
        <v>#N/A</v>
      </c>
      <c r="AP165" s="417" t="e">
        <f t="shared" si="138"/>
        <v>#N/A</v>
      </c>
      <c r="AQ165" s="56">
        <f t="shared" si="165"/>
        <v>7</v>
      </c>
      <c r="AR165" s="43" t="e">
        <f t="shared" si="166"/>
        <v>#N/A</v>
      </c>
      <c r="AS165" s="44" t="e">
        <f t="shared" si="167"/>
        <v>#N/A</v>
      </c>
      <c r="AT165" s="45" t="e">
        <f t="shared" si="139"/>
        <v>#N/A</v>
      </c>
      <c r="AU165" s="14">
        <f t="shared" si="168"/>
        <v>7</v>
      </c>
      <c r="AV165" s="44" t="e">
        <f t="shared" si="140"/>
        <v>#N/A</v>
      </c>
      <c r="AW165" s="14" t="e">
        <f t="shared" si="169"/>
        <v>#N/A</v>
      </c>
      <c r="AX165" s="14" t="e">
        <f t="shared" si="141"/>
        <v>#N/A</v>
      </c>
      <c r="AY165" s="46">
        <f t="shared" si="170"/>
        <v>7</v>
      </c>
      <c r="AZ165" s="47" t="e">
        <f t="shared" si="171"/>
        <v>#N/A</v>
      </c>
      <c r="BA165" s="48" t="e">
        <f t="shared" si="172"/>
        <v>#N/A</v>
      </c>
      <c r="BB165" s="31" t="e">
        <f t="shared" si="142"/>
        <v>#N/A</v>
      </c>
      <c r="BC165" s="28">
        <f t="shared" si="173"/>
        <v>7</v>
      </c>
      <c r="BD165" s="47" t="e">
        <f t="shared" si="174"/>
        <v>#N/A</v>
      </c>
      <c r="BE165" s="48" t="e">
        <f t="shared" si="175"/>
        <v>#N/A</v>
      </c>
      <c r="BF165" s="31" t="e">
        <f t="shared" si="143"/>
        <v>#N/A</v>
      </c>
      <c r="BG165" s="49" t="e">
        <f t="shared" si="144"/>
        <v>#N/A</v>
      </c>
      <c r="BH165" s="1" t="e">
        <f>VLOOKUP($B165,STOCK_BY_LA!$A$2:$C$10477,3,0)</f>
        <v>#N/A</v>
      </c>
      <c r="BI165" s="1" t="str">
        <f t="shared" si="176"/>
        <v/>
      </c>
    </row>
    <row r="166" spans="1:61" x14ac:dyDescent="0.35">
      <c r="A166" s="1" t="str">
        <f t="shared" si="145"/>
        <v/>
      </c>
      <c r="B166" s="1" t="str">
        <f t="shared" si="177"/>
        <v/>
      </c>
      <c r="C166" s="50" t="str">
        <f t="shared" si="146"/>
        <v/>
      </c>
      <c r="D166" s="33" t="str">
        <f>IF(B166="","",IF('totals_&amp;_RP_counts'!$O$3=0,IFERROR(IF(AA166=2,"0",AB166),""),"-"))</f>
        <v/>
      </c>
      <c r="E166" s="35" t="str">
        <f t="shared" si="147"/>
        <v/>
      </c>
      <c r="F166" s="36" t="str">
        <f t="shared" si="148"/>
        <v/>
      </c>
      <c r="G166" s="36" t="str">
        <f t="shared" si="149"/>
        <v/>
      </c>
      <c r="H166" s="33" t="str">
        <f t="shared" si="127"/>
        <v/>
      </c>
      <c r="I166" s="36" t="str">
        <f t="shared" si="150"/>
        <v/>
      </c>
      <c r="J166" s="36" t="str">
        <f t="shared" si="151"/>
        <v/>
      </c>
      <c r="K166" s="33" t="str">
        <f t="shared" si="128"/>
        <v/>
      </c>
      <c r="L166" s="36" t="str">
        <f t="shared" si="129"/>
        <v/>
      </c>
      <c r="M166" s="36" t="str">
        <f t="shared" si="152"/>
        <v/>
      </c>
      <c r="N166" s="33" t="str">
        <f t="shared" si="153"/>
        <v/>
      </c>
      <c r="O166" s="36" t="str">
        <f t="shared" si="154"/>
        <v/>
      </c>
      <c r="P166" s="36" t="str">
        <f t="shared" si="155"/>
        <v/>
      </c>
      <c r="Q166" s="33" t="str">
        <f t="shared" si="156"/>
        <v/>
      </c>
      <c r="R166" s="1"/>
      <c r="S166" s="1"/>
      <c r="Y166" s="1" t="e">
        <f>VLOOKUP($B$6,LOOKUP_SCE,159,0)</f>
        <v>#N/A</v>
      </c>
      <c r="Z166" s="22" t="str">
        <f t="shared" si="130"/>
        <v/>
      </c>
      <c r="AA166" s="23">
        <f t="shared" si="157"/>
        <v>7</v>
      </c>
      <c r="AB166" s="55" t="e">
        <f t="shared" si="131"/>
        <v>#N/A</v>
      </c>
      <c r="AC166" s="38" t="e">
        <f t="shared" si="158"/>
        <v>#N/A</v>
      </c>
      <c r="AD166" s="38" t="e">
        <f t="shared" si="159"/>
        <v>#N/A</v>
      </c>
      <c r="AE166" s="415" t="e">
        <f t="shared" si="132"/>
        <v>#N/A</v>
      </c>
      <c r="AF166" s="10">
        <f t="shared" si="160"/>
        <v>7</v>
      </c>
      <c r="AG166" s="38" t="e">
        <f t="shared" si="133"/>
        <v>#N/A</v>
      </c>
      <c r="AH166" s="38" t="e">
        <f t="shared" si="161"/>
        <v>#N/A</v>
      </c>
      <c r="AI166" s="10" t="e">
        <f t="shared" si="134"/>
        <v>#N/A</v>
      </c>
      <c r="AJ166" s="39" t="e">
        <f t="shared" si="162"/>
        <v>#N/A</v>
      </c>
      <c r="AK166" s="40" t="e">
        <f t="shared" si="135"/>
        <v>#N/A</v>
      </c>
      <c r="AL166" s="11" t="e">
        <f t="shared" si="136"/>
        <v>#N/A</v>
      </c>
      <c r="AM166" s="41">
        <f t="shared" si="163"/>
        <v>7</v>
      </c>
      <c r="AN166" s="57" t="e">
        <f t="shared" si="137"/>
        <v>#N/A</v>
      </c>
      <c r="AO166" s="40" t="e">
        <f t="shared" si="164"/>
        <v>#N/A</v>
      </c>
      <c r="AP166" s="417" t="e">
        <f t="shared" si="138"/>
        <v>#N/A</v>
      </c>
      <c r="AQ166" s="56">
        <f t="shared" si="165"/>
        <v>7</v>
      </c>
      <c r="AR166" s="43" t="e">
        <f t="shared" si="166"/>
        <v>#N/A</v>
      </c>
      <c r="AS166" s="44" t="e">
        <f t="shared" si="167"/>
        <v>#N/A</v>
      </c>
      <c r="AT166" s="45" t="e">
        <f t="shared" si="139"/>
        <v>#N/A</v>
      </c>
      <c r="AU166" s="14">
        <f t="shared" si="168"/>
        <v>7</v>
      </c>
      <c r="AV166" s="44" t="e">
        <f t="shared" si="140"/>
        <v>#N/A</v>
      </c>
      <c r="AW166" s="14" t="e">
        <f t="shared" si="169"/>
        <v>#N/A</v>
      </c>
      <c r="AX166" s="14" t="e">
        <f t="shared" si="141"/>
        <v>#N/A</v>
      </c>
      <c r="AY166" s="46">
        <f t="shared" si="170"/>
        <v>7</v>
      </c>
      <c r="AZ166" s="47" t="e">
        <f t="shared" si="171"/>
        <v>#N/A</v>
      </c>
      <c r="BA166" s="48" t="e">
        <f t="shared" si="172"/>
        <v>#N/A</v>
      </c>
      <c r="BB166" s="31" t="e">
        <f t="shared" si="142"/>
        <v>#N/A</v>
      </c>
      <c r="BC166" s="28">
        <f t="shared" si="173"/>
        <v>7</v>
      </c>
      <c r="BD166" s="47" t="e">
        <f t="shared" si="174"/>
        <v>#N/A</v>
      </c>
      <c r="BE166" s="48" t="e">
        <f t="shared" si="175"/>
        <v>#N/A</v>
      </c>
      <c r="BF166" s="31" t="e">
        <f t="shared" si="143"/>
        <v>#N/A</v>
      </c>
      <c r="BG166" s="49" t="e">
        <f t="shared" si="144"/>
        <v>#N/A</v>
      </c>
      <c r="BH166" s="1" t="e">
        <f>VLOOKUP($B166,STOCK_BY_LA!$A$2:$C$10477,3,0)</f>
        <v>#N/A</v>
      </c>
      <c r="BI166" s="1" t="str">
        <f t="shared" si="176"/>
        <v/>
      </c>
    </row>
    <row r="167" spans="1:61" x14ac:dyDescent="0.35">
      <c r="A167" s="33" t="str">
        <f t="shared" si="145"/>
        <v/>
      </c>
      <c r="B167" s="1" t="str">
        <f t="shared" si="177"/>
        <v/>
      </c>
      <c r="C167" s="34" t="str">
        <f t="shared" si="146"/>
        <v/>
      </c>
      <c r="D167" s="33" t="str">
        <f>IF(B167="","",IF('totals_&amp;_RP_counts'!$O$3=0,IFERROR(IF(AA167=2,"0",AB167),""),"-"))</f>
        <v/>
      </c>
      <c r="E167" s="35" t="str">
        <f t="shared" si="147"/>
        <v/>
      </c>
      <c r="F167" s="36" t="str">
        <f t="shared" si="148"/>
        <v/>
      </c>
      <c r="G167" s="36" t="str">
        <f t="shared" si="149"/>
        <v/>
      </c>
      <c r="H167" s="33" t="str">
        <f t="shared" si="127"/>
        <v/>
      </c>
      <c r="I167" s="36" t="str">
        <f t="shared" si="150"/>
        <v/>
      </c>
      <c r="J167" s="36" t="str">
        <f t="shared" si="151"/>
        <v/>
      </c>
      <c r="K167" s="33" t="str">
        <f t="shared" si="128"/>
        <v/>
      </c>
      <c r="L167" s="36" t="str">
        <f t="shared" si="129"/>
        <v/>
      </c>
      <c r="M167" s="36" t="str">
        <f t="shared" si="152"/>
        <v/>
      </c>
      <c r="N167" s="33" t="str">
        <f t="shared" si="153"/>
        <v/>
      </c>
      <c r="O167" s="36" t="str">
        <f t="shared" si="154"/>
        <v/>
      </c>
      <c r="P167" s="36" t="str">
        <f t="shared" si="155"/>
        <v/>
      </c>
      <c r="Q167" s="33" t="str">
        <f t="shared" si="156"/>
        <v/>
      </c>
      <c r="R167" s="1"/>
      <c r="S167" s="1"/>
      <c r="Y167" s="1" t="e">
        <f>VLOOKUP($B$6,LOOKUP_SCE,160,0)</f>
        <v>#N/A</v>
      </c>
      <c r="Z167" s="22" t="str">
        <f t="shared" si="130"/>
        <v/>
      </c>
      <c r="AA167" s="23">
        <f t="shared" si="157"/>
        <v>7</v>
      </c>
      <c r="AB167" s="55" t="e">
        <f t="shared" si="131"/>
        <v>#N/A</v>
      </c>
      <c r="AC167" s="38" t="e">
        <f t="shared" si="158"/>
        <v>#N/A</v>
      </c>
      <c r="AD167" s="38" t="e">
        <f t="shared" si="159"/>
        <v>#N/A</v>
      </c>
      <c r="AE167" s="415" t="e">
        <f t="shared" si="132"/>
        <v>#N/A</v>
      </c>
      <c r="AF167" s="10">
        <f t="shared" si="160"/>
        <v>7</v>
      </c>
      <c r="AG167" s="38" t="e">
        <f t="shared" si="133"/>
        <v>#N/A</v>
      </c>
      <c r="AH167" s="38" t="e">
        <f t="shared" si="161"/>
        <v>#N/A</v>
      </c>
      <c r="AI167" s="10" t="e">
        <f t="shared" si="134"/>
        <v>#N/A</v>
      </c>
      <c r="AJ167" s="39" t="e">
        <f t="shared" si="162"/>
        <v>#N/A</v>
      </c>
      <c r="AK167" s="40" t="e">
        <f t="shared" si="135"/>
        <v>#N/A</v>
      </c>
      <c r="AL167" s="11" t="e">
        <f t="shared" si="136"/>
        <v>#N/A</v>
      </c>
      <c r="AM167" s="41">
        <f t="shared" si="163"/>
        <v>7</v>
      </c>
      <c r="AN167" s="57" t="e">
        <f t="shared" si="137"/>
        <v>#N/A</v>
      </c>
      <c r="AO167" s="40" t="e">
        <f t="shared" si="164"/>
        <v>#N/A</v>
      </c>
      <c r="AP167" s="417" t="e">
        <f t="shared" si="138"/>
        <v>#N/A</v>
      </c>
      <c r="AQ167" s="56">
        <f t="shared" si="165"/>
        <v>7</v>
      </c>
      <c r="AR167" s="43" t="e">
        <f t="shared" si="166"/>
        <v>#N/A</v>
      </c>
      <c r="AS167" s="44" t="e">
        <f t="shared" si="167"/>
        <v>#N/A</v>
      </c>
      <c r="AT167" s="45" t="e">
        <f t="shared" si="139"/>
        <v>#N/A</v>
      </c>
      <c r="AU167" s="14">
        <f t="shared" si="168"/>
        <v>7</v>
      </c>
      <c r="AV167" s="44" t="e">
        <f t="shared" si="140"/>
        <v>#N/A</v>
      </c>
      <c r="AW167" s="14" t="e">
        <f t="shared" si="169"/>
        <v>#N/A</v>
      </c>
      <c r="AX167" s="14" t="e">
        <f t="shared" si="141"/>
        <v>#N/A</v>
      </c>
      <c r="AY167" s="46">
        <f t="shared" si="170"/>
        <v>7</v>
      </c>
      <c r="AZ167" s="47" t="e">
        <f t="shared" si="171"/>
        <v>#N/A</v>
      </c>
      <c r="BA167" s="48" t="e">
        <f t="shared" si="172"/>
        <v>#N/A</v>
      </c>
      <c r="BB167" s="31" t="e">
        <f t="shared" si="142"/>
        <v>#N/A</v>
      </c>
      <c r="BC167" s="28">
        <f t="shared" si="173"/>
        <v>7</v>
      </c>
      <c r="BD167" s="47" t="e">
        <f t="shared" si="174"/>
        <v>#N/A</v>
      </c>
      <c r="BE167" s="48" t="e">
        <f t="shared" si="175"/>
        <v>#N/A</v>
      </c>
      <c r="BF167" s="31" t="e">
        <f t="shared" si="143"/>
        <v>#N/A</v>
      </c>
      <c r="BG167" s="49" t="e">
        <f t="shared" si="144"/>
        <v>#N/A</v>
      </c>
      <c r="BH167" s="1" t="e">
        <f>VLOOKUP($B167,STOCK_BY_LA!$A$2:$C$10477,3,0)</f>
        <v>#N/A</v>
      </c>
      <c r="BI167" s="1" t="str">
        <f t="shared" si="176"/>
        <v/>
      </c>
    </row>
    <row r="168" spans="1:61" x14ac:dyDescent="0.35">
      <c r="A168" s="1" t="str">
        <f t="shared" si="145"/>
        <v/>
      </c>
      <c r="B168" s="1" t="str">
        <f t="shared" si="177"/>
        <v/>
      </c>
      <c r="C168" s="50" t="str">
        <f t="shared" si="146"/>
        <v/>
      </c>
      <c r="D168" s="33" t="str">
        <f>IF(B168="","",IF('totals_&amp;_RP_counts'!$O$3=0,IFERROR(IF(AA168=2,"0",AB168),""),"-"))</f>
        <v/>
      </c>
      <c r="E168" s="35" t="str">
        <f t="shared" si="147"/>
        <v/>
      </c>
      <c r="F168" s="36" t="str">
        <f t="shared" si="148"/>
        <v/>
      </c>
      <c r="G168" s="36" t="str">
        <f t="shared" si="149"/>
        <v/>
      </c>
      <c r="H168" s="33" t="str">
        <f t="shared" si="127"/>
        <v/>
      </c>
      <c r="I168" s="36" t="str">
        <f t="shared" si="150"/>
        <v/>
      </c>
      <c r="J168" s="36" t="str">
        <f t="shared" si="151"/>
        <v/>
      </c>
      <c r="K168" s="33" t="str">
        <f t="shared" si="128"/>
        <v/>
      </c>
      <c r="L168" s="36" t="str">
        <f t="shared" si="129"/>
        <v/>
      </c>
      <c r="M168" s="36" t="str">
        <f t="shared" si="152"/>
        <v/>
      </c>
      <c r="N168" s="33" t="str">
        <f t="shared" si="153"/>
        <v/>
      </c>
      <c r="O168" s="36" t="str">
        <f t="shared" si="154"/>
        <v/>
      </c>
      <c r="P168" s="36" t="str">
        <f t="shared" si="155"/>
        <v/>
      </c>
      <c r="Q168" s="33" t="str">
        <f t="shared" si="156"/>
        <v/>
      </c>
      <c r="R168" s="1"/>
      <c r="S168" s="1"/>
      <c r="Y168" s="1" t="e">
        <f>VLOOKUP($B$6,LOOKUP_SCE,161,0)</f>
        <v>#N/A</v>
      </c>
      <c r="Z168" s="22" t="str">
        <f t="shared" si="130"/>
        <v/>
      </c>
      <c r="AA168" s="23">
        <f t="shared" si="157"/>
        <v>7</v>
      </c>
      <c r="AB168" s="55" t="e">
        <f t="shared" si="131"/>
        <v>#N/A</v>
      </c>
      <c r="AC168" s="38" t="e">
        <f t="shared" si="158"/>
        <v>#N/A</v>
      </c>
      <c r="AD168" s="38" t="e">
        <f t="shared" si="159"/>
        <v>#N/A</v>
      </c>
      <c r="AE168" s="415" t="e">
        <f t="shared" si="132"/>
        <v>#N/A</v>
      </c>
      <c r="AF168" s="10">
        <f t="shared" si="160"/>
        <v>7</v>
      </c>
      <c r="AG168" s="38" t="e">
        <f t="shared" si="133"/>
        <v>#N/A</v>
      </c>
      <c r="AH168" s="38" t="e">
        <f t="shared" si="161"/>
        <v>#N/A</v>
      </c>
      <c r="AI168" s="10" t="e">
        <f t="shared" si="134"/>
        <v>#N/A</v>
      </c>
      <c r="AJ168" s="39" t="e">
        <f t="shared" si="162"/>
        <v>#N/A</v>
      </c>
      <c r="AK168" s="40" t="e">
        <f t="shared" si="135"/>
        <v>#N/A</v>
      </c>
      <c r="AL168" s="11" t="e">
        <f t="shared" si="136"/>
        <v>#N/A</v>
      </c>
      <c r="AM168" s="41">
        <f t="shared" si="163"/>
        <v>7</v>
      </c>
      <c r="AN168" s="57" t="e">
        <f t="shared" si="137"/>
        <v>#N/A</v>
      </c>
      <c r="AO168" s="40" t="e">
        <f t="shared" si="164"/>
        <v>#N/A</v>
      </c>
      <c r="AP168" s="417" t="e">
        <f t="shared" si="138"/>
        <v>#N/A</v>
      </c>
      <c r="AQ168" s="56">
        <f t="shared" si="165"/>
        <v>7</v>
      </c>
      <c r="AR168" s="43" t="e">
        <f t="shared" si="166"/>
        <v>#N/A</v>
      </c>
      <c r="AS168" s="44" t="e">
        <f t="shared" si="167"/>
        <v>#N/A</v>
      </c>
      <c r="AT168" s="45" t="e">
        <f t="shared" si="139"/>
        <v>#N/A</v>
      </c>
      <c r="AU168" s="14">
        <f t="shared" si="168"/>
        <v>7</v>
      </c>
      <c r="AV168" s="44" t="e">
        <f t="shared" si="140"/>
        <v>#N/A</v>
      </c>
      <c r="AW168" s="14" t="e">
        <f t="shared" si="169"/>
        <v>#N/A</v>
      </c>
      <c r="AX168" s="14" t="e">
        <f t="shared" si="141"/>
        <v>#N/A</v>
      </c>
      <c r="AY168" s="46">
        <f t="shared" si="170"/>
        <v>7</v>
      </c>
      <c r="AZ168" s="47" t="e">
        <f t="shared" si="171"/>
        <v>#N/A</v>
      </c>
      <c r="BA168" s="48" t="e">
        <f t="shared" si="172"/>
        <v>#N/A</v>
      </c>
      <c r="BB168" s="31" t="e">
        <f t="shared" si="142"/>
        <v>#N/A</v>
      </c>
      <c r="BC168" s="28">
        <f t="shared" si="173"/>
        <v>7</v>
      </c>
      <c r="BD168" s="47" t="e">
        <f t="shared" si="174"/>
        <v>#N/A</v>
      </c>
      <c r="BE168" s="48" t="e">
        <f t="shared" si="175"/>
        <v>#N/A</v>
      </c>
      <c r="BF168" s="31" t="e">
        <f t="shared" si="143"/>
        <v>#N/A</v>
      </c>
      <c r="BG168" s="49" t="e">
        <f t="shared" si="144"/>
        <v>#N/A</v>
      </c>
      <c r="BH168" s="1" t="e">
        <f>VLOOKUP($B168,STOCK_BY_LA!$A$2:$C$10477,3,0)</f>
        <v>#N/A</v>
      </c>
      <c r="BI168" s="1" t="str">
        <f t="shared" si="176"/>
        <v/>
      </c>
    </row>
    <row r="169" spans="1:61" x14ac:dyDescent="0.35">
      <c r="A169" s="33" t="str">
        <f t="shared" si="145"/>
        <v/>
      </c>
      <c r="B169" s="1" t="str">
        <f t="shared" si="177"/>
        <v/>
      </c>
      <c r="C169" s="34" t="str">
        <f t="shared" si="146"/>
        <v/>
      </c>
      <c r="D169" s="33" t="str">
        <f>IF(B169="","",IF('totals_&amp;_RP_counts'!$O$3=0,IFERROR(IF(AA169=2,"0",AB169),""),"-"))</f>
        <v/>
      </c>
      <c r="E169" s="35" t="str">
        <f t="shared" si="147"/>
        <v/>
      </c>
      <c r="F169" s="36" t="str">
        <f t="shared" si="148"/>
        <v/>
      </c>
      <c r="G169" s="36" t="str">
        <f t="shared" si="149"/>
        <v/>
      </c>
      <c r="H169" s="33" t="str">
        <f t="shared" si="127"/>
        <v/>
      </c>
      <c r="I169" s="36" t="str">
        <f t="shared" si="150"/>
        <v/>
      </c>
      <c r="J169" s="36" t="str">
        <f t="shared" si="151"/>
        <v/>
      </c>
      <c r="K169" s="33" t="str">
        <f t="shared" si="128"/>
        <v/>
      </c>
      <c r="L169" s="36" t="str">
        <f t="shared" si="129"/>
        <v/>
      </c>
      <c r="M169" s="36" t="str">
        <f t="shared" si="152"/>
        <v/>
      </c>
      <c r="N169" s="33" t="str">
        <f t="shared" si="153"/>
        <v/>
      </c>
      <c r="O169" s="36" t="str">
        <f t="shared" si="154"/>
        <v/>
      </c>
      <c r="P169" s="36" t="str">
        <f t="shared" si="155"/>
        <v/>
      </c>
      <c r="Q169" s="33" t="str">
        <f t="shared" si="156"/>
        <v/>
      </c>
      <c r="R169" s="1"/>
      <c r="S169" s="1"/>
      <c r="Y169" s="1" t="e">
        <f>VLOOKUP($B$6,LOOKUP_SCE,162,0)</f>
        <v>#N/A</v>
      </c>
      <c r="Z169" s="22" t="str">
        <f t="shared" ref="Z169:Z200" si="178">IF(ISNUMBER(SEARCH("*",B169)),1,"")</f>
        <v/>
      </c>
      <c r="AA169" s="23">
        <f t="shared" si="157"/>
        <v>7</v>
      </c>
      <c r="AB169" s="55" t="e">
        <f t="shared" ref="AB169:AB200" si="179">IF(C169="LARP","-",SUM(VLOOKUP($B169,RP_LA_Count,2,0)-1))</f>
        <v>#N/A</v>
      </c>
      <c r="AC169" s="38" t="e">
        <f t="shared" si="158"/>
        <v>#N/A</v>
      </c>
      <c r="AD169" s="38" t="e">
        <f t="shared" si="159"/>
        <v>#N/A</v>
      </c>
      <c r="AE169" s="415" t="e">
        <f t="shared" ref="AE169:AE200" si="180">VLOOKUP(BI169,Stock_By_LA,2,0)</f>
        <v>#N/A</v>
      </c>
      <c r="AF169" s="10">
        <f t="shared" si="160"/>
        <v>7</v>
      </c>
      <c r="AG169" s="38" t="e">
        <f t="shared" si="133"/>
        <v>#N/A</v>
      </c>
      <c r="AH169" s="38" t="e">
        <f t="shared" si="161"/>
        <v>#N/A</v>
      </c>
      <c r="AI169" s="10" t="e">
        <f t="shared" ref="AI169:AI200" si="181">VLOOKUP(B169,RP_Totals,2,0)</f>
        <v>#N/A</v>
      </c>
      <c r="AJ169" s="39" t="e">
        <f t="shared" si="162"/>
        <v>#N/A</v>
      </c>
      <c r="AK169" s="40" t="e">
        <f t="shared" si="135"/>
        <v>#N/A</v>
      </c>
      <c r="AL169" s="11" t="e">
        <f t="shared" ref="AL169:AL200" si="182">VLOOKUP($BI169,Stock_By_LA,3,0)</f>
        <v>#N/A</v>
      </c>
      <c r="AM169" s="41">
        <f t="shared" si="163"/>
        <v>7</v>
      </c>
      <c r="AN169" s="57" t="e">
        <f t="shared" si="137"/>
        <v>#N/A</v>
      </c>
      <c r="AO169" s="40" t="e">
        <f t="shared" si="164"/>
        <v>#N/A</v>
      </c>
      <c r="AP169" s="417" t="e">
        <f t="shared" ref="AP169:AP200" si="183">VLOOKUP(B169,RP_Totals,3,0)</f>
        <v>#N/A</v>
      </c>
      <c r="AQ169" s="56">
        <f t="shared" si="165"/>
        <v>7</v>
      </c>
      <c r="AR169" s="43" t="e">
        <f t="shared" si="166"/>
        <v>#N/A</v>
      </c>
      <c r="AS169" s="44" t="e">
        <f t="shared" si="167"/>
        <v>#N/A</v>
      </c>
      <c r="AT169" s="45" t="e">
        <f t="shared" ref="AT169:AT200" si="184">VLOOKUP($BI169,Stock_By_LA,4,0)</f>
        <v>#N/A</v>
      </c>
      <c r="AU169" s="14">
        <f t="shared" si="168"/>
        <v>7</v>
      </c>
      <c r="AV169" s="44" t="e">
        <f t="shared" si="140"/>
        <v>#N/A</v>
      </c>
      <c r="AW169" s="14" t="e">
        <f t="shared" si="169"/>
        <v>#N/A</v>
      </c>
      <c r="AX169" s="14" t="e">
        <f t="shared" ref="AX169:AX200" si="185">VLOOKUP(B169,RP_Totals,4,0)</f>
        <v>#N/A</v>
      </c>
      <c r="AY169" s="46">
        <f t="shared" si="170"/>
        <v>7</v>
      </c>
      <c r="AZ169" s="47" t="e">
        <f t="shared" si="171"/>
        <v>#N/A</v>
      </c>
      <c r="BA169" s="48" t="e">
        <f t="shared" si="172"/>
        <v>#N/A</v>
      </c>
      <c r="BB169" s="31" t="e">
        <f t="shared" ref="BB169:BB200" si="186">VLOOKUP($BI169,Stock_By_LA,5,0)</f>
        <v>#N/A</v>
      </c>
      <c r="BC169" s="28">
        <f t="shared" si="173"/>
        <v>7</v>
      </c>
      <c r="BD169" s="47" t="e">
        <f t="shared" si="174"/>
        <v>#N/A</v>
      </c>
      <c r="BE169" s="48" t="e">
        <f t="shared" si="175"/>
        <v>#N/A</v>
      </c>
      <c r="BF169" s="31" t="e">
        <f t="shared" ref="BF169:BF200" si="187">VLOOKUP(B169,RP_Totals,5,0)</f>
        <v>#N/A</v>
      </c>
      <c r="BG169" s="49" t="e">
        <f t="shared" ref="BG169:BG200" si="188">VLOOKUP(BI169,Stock_By_LA,6,0)</f>
        <v>#N/A</v>
      </c>
      <c r="BH169" s="1" t="e">
        <f>VLOOKUP($B169,STOCK_BY_LA!$A$2:$C$10477,3,0)</f>
        <v>#N/A</v>
      </c>
      <c r="BI169" s="1" t="str">
        <f t="shared" si="176"/>
        <v/>
      </c>
    </row>
    <row r="170" spans="1:61" x14ac:dyDescent="0.35">
      <c r="A170" s="1" t="str">
        <f t="shared" ref="A170:A201" si="189">IF(Z170=1,A169+1,"")</f>
        <v/>
      </c>
      <c r="B170" s="1" t="str">
        <f t="shared" si="177"/>
        <v/>
      </c>
      <c r="C170" s="50" t="str">
        <f t="shared" si="146"/>
        <v/>
      </c>
      <c r="D170" s="33" t="str">
        <f>IF(B170="","",IF('totals_&amp;_RP_counts'!$O$3=0,IFERROR(IF(AA170=2,"0",AB170),""),"-"))</f>
        <v/>
      </c>
      <c r="E170" s="35" t="str">
        <f t="shared" si="147"/>
        <v/>
      </c>
      <c r="F170" s="36" t="str">
        <f t="shared" si="148"/>
        <v/>
      </c>
      <c r="G170" s="36" t="str">
        <f t="shared" si="149"/>
        <v/>
      </c>
      <c r="H170" s="33" t="str">
        <f t="shared" si="127"/>
        <v/>
      </c>
      <c r="I170" s="36" t="str">
        <f t="shared" si="150"/>
        <v/>
      </c>
      <c r="J170" s="36" t="str">
        <f t="shared" si="151"/>
        <v/>
      </c>
      <c r="K170" s="33" t="str">
        <f t="shared" si="128"/>
        <v/>
      </c>
      <c r="L170" s="36" t="str">
        <f t="shared" si="129"/>
        <v/>
      </c>
      <c r="M170" s="36" t="str">
        <f t="shared" si="152"/>
        <v/>
      </c>
      <c r="N170" s="33" t="str">
        <f t="shared" si="153"/>
        <v/>
      </c>
      <c r="O170" s="36" t="str">
        <f t="shared" si="154"/>
        <v/>
      </c>
      <c r="P170" s="36" t="str">
        <f t="shared" si="155"/>
        <v/>
      </c>
      <c r="Q170" s="33" t="str">
        <f t="shared" si="156"/>
        <v/>
      </c>
      <c r="R170" s="1"/>
      <c r="S170" s="1"/>
      <c r="Y170" s="1" t="e">
        <f>VLOOKUP($B$6,LOOKUP_SCE,163,0)</f>
        <v>#N/A</v>
      </c>
      <c r="Z170" s="22" t="str">
        <f t="shared" si="178"/>
        <v/>
      </c>
      <c r="AA170" s="23">
        <f t="shared" si="157"/>
        <v>7</v>
      </c>
      <c r="AB170" s="55" t="e">
        <f t="shared" si="179"/>
        <v>#N/A</v>
      </c>
      <c r="AC170" s="38" t="e">
        <f t="shared" si="158"/>
        <v>#N/A</v>
      </c>
      <c r="AD170" s="38" t="e">
        <f t="shared" si="159"/>
        <v>#N/A</v>
      </c>
      <c r="AE170" s="415" t="e">
        <f t="shared" si="180"/>
        <v>#N/A</v>
      </c>
      <c r="AF170" s="10">
        <f t="shared" si="160"/>
        <v>7</v>
      </c>
      <c r="AG170" s="38" t="e">
        <f t="shared" si="133"/>
        <v>#N/A</v>
      </c>
      <c r="AH170" s="38" t="e">
        <f t="shared" si="161"/>
        <v>#N/A</v>
      </c>
      <c r="AI170" s="10" t="e">
        <f t="shared" si="181"/>
        <v>#N/A</v>
      </c>
      <c r="AJ170" s="39" t="e">
        <f t="shared" si="162"/>
        <v>#N/A</v>
      </c>
      <c r="AK170" s="40" t="e">
        <f t="shared" si="135"/>
        <v>#N/A</v>
      </c>
      <c r="AL170" s="11" t="e">
        <f t="shared" si="182"/>
        <v>#N/A</v>
      </c>
      <c r="AM170" s="41">
        <f t="shared" si="163"/>
        <v>7</v>
      </c>
      <c r="AN170" s="57" t="e">
        <f t="shared" si="137"/>
        <v>#N/A</v>
      </c>
      <c r="AO170" s="40" t="e">
        <f t="shared" si="164"/>
        <v>#N/A</v>
      </c>
      <c r="AP170" s="417" t="e">
        <f t="shared" si="183"/>
        <v>#N/A</v>
      </c>
      <c r="AQ170" s="56">
        <f t="shared" si="165"/>
        <v>7</v>
      </c>
      <c r="AR170" s="43" t="e">
        <f t="shared" si="166"/>
        <v>#N/A</v>
      </c>
      <c r="AS170" s="44" t="e">
        <f t="shared" si="167"/>
        <v>#N/A</v>
      </c>
      <c r="AT170" s="45" t="e">
        <f t="shared" si="184"/>
        <v>#N/A</v>
      </c>
      <c r="AU170" s="14">
        <f t="shared" si="168"/>
        <v>7</v>
      </c>
      <c r="AV170" s="44" t="e">
        <f t="shared" si="140"/>
        <v>#N/A</v>
      </c>
      <c r="AW170" s="14" t="e">
        <f t="shared" si="169"/>
        <v>#N/A</v>
      </c>
      <c r="AX170" s="14" t="e">
        <f t="shared" si="185"/>
        <v>#N/A</v>
      </c>
      <c r="AY170" s="46">
        <f t="shared" si="170"/>
        <v>7</v>
      </c>
      <c r="AZ170" s="47" t="e">
        <f t="shared" si="171"/>
        <v>#N/A</v>
      </c>
      <c r="BA170" s="48" t="e">
        <f t="shared" si="172"/>
        <v>#N/A</v>
      </c>
      <c r="BB170" s="31" t="e">
        <f t="shared" si="186"/>
        <v>#N/A</v>
      </c>
      <c r="BC170" s="28">
        <f t="shared" si="173"/>
        <v>7</v>
      </c>
      <c r="BD170" s="47" t="e">
        <f t="shared" si="174"/>
        <v>#N/A</v>
      </c>
      <c r="BE170" s="48" t="e">
        <f t="shared" si="175"/>
        <v>#N/A</v>
      </c>
      <c r="BF170" s="31" t="e">
        <f t="shared" si="187"/>
        <v>#N/A</v>
      </c>
      <c r="BG170" s="49" t="e">
        <f t="shared" si="188"/>
        <v>#N/A</v>
      </c>
      <c r="BH170" s="1" t="e">
        <f>VLOOKUP($B170,STOCK_BY_LA!$A$2:$C$10477,3,0)</f>
        <v>#N/A</v>
      </c>
      <c r="BI170" s="1" t="str">
        <f t="shared" si="176"/>
        <v/>
      </c>
    </row>
    <row r="171" spans="1:61" x14ac:dyDescent="0.35">
      <c r="A171" s="33" t="str">
        <f t="shared" si="189"/>
        <v/>
      </c>
      <c r="B171" s="1" t="str">
        <f t="shared" si="177"/>
        <v/>
      </c>
      <c r="C171" s="34" t="str">
        <f t="shared" si="146"/>
        <v/>
      </c>
      <c r="D171" s="33" t="str">
        <f>IF(B171="","",IF('totals_&amp;_RP_counts'!$O$3=0,IFERROR(IF(AA171=2,"0",AB171),""),"-"))</f>
        <v/>
      </c>
      <c r="E171" s="35" t="str">
        <f t="shared" si="147"/>
        <v/>
      </c>
      <c r="F171" s="36" t="str">
        <f t="shared" si="148"/>
        <v/>
      </c>
      <c r="G171" s="36" t="str">
        <f t="shared" si="149"/>
        <v/>
      </c>
      <c r="H171" s="33" t="str">
        <f t="shared" si="127"/>
        <v/>
      </c>
      <c r="I171" s="36" t="str">
        <f t="shared" si="150"/>
        <v/>
      </c>
      <c r="J171" s="36" t="str">
        <f t="shared" si="151"/>
        <v/>
      </c>
      <c r="K171" s="33" t="str">
        <f t="shared" si="128"/>
        <v/>
      </c>
      <c r="L171" s="36" t="str">
        <f t="shared" si="129"/>
        <v/>
      </c>
      <c r="M171" s="36" t="str">
        <f t="shared" si="152"/>
        <v/>
      </c>
      <c r="N171" s="33" t="str">
        <f t="shared" si="153"/>
        <v/>
      </c>
      <c r="O171" s="36" t="str">
        <f t="shared" si="154"/>
        <v/>
      </c>
      <c r="P171" s="36" t="str">
        <f t="shared" si="155"/>
        <v/>
      </c>
      <c r="Q171" s="33" t="str">
        <f t="shared" si="156"/>
        <v/>
      </c>
      <c r="R171" s="1"/>
      <c r="S171" s="1"/>
      <c r="Y171" s="1" t="e">
        <f>VLOOKUP($B$6,LOOKUP_SCE,164,0)</f>
        <v>#N/A</v>
      </c>
      <c r="Z171" s="22" t="str">
        <f t="shared" si="178"/>
        <v/>
      </c>
      <c r="AA171" s="23">
        <f t="shared" si="157"/>
        <v>7</v>
      </c>
      <c r="AB171" s="55" t="e">
        <f t="shared" si="179"/>
        <v>#N/A</v>
      </c>
      <c r="AC171" s="38" t="e">
        <f t="shared" si="158"/>
        <v>#N/A</v>
      </c>
      <c r="AD171" s="38" t="e">
        <f t="shared" si="159"/>
        <v>#N/A</v>
      </c>
      <c r="AE171" s="415" t="e">
        <f t="shared" si="180"/>
        <v>#N/A</v>
      </c>
      <c r="AF171" s="10">
        <f t="shared" si="160"/>
        <v>7</v>
      </c>
      <c r="AG171" s="38" t="e">
        <f t="shared" si="133"/>
        <v>#N/A</v>
      </c>
      <c r="AH171" s="38" t="e">
        <f t="shared" si="161"/>
        <v>#N/A</v>
      </c>
      <c r="AI171" s="10" t="e">
        <f t="shared" si="181"/>
        <v>#N/A</v>
      </c>
      <c r="AJ171" s="39" t="e">
        <f t="shared" si="162"/>
        <v>#N/A</v>
      </c>
      <c r="AK171" s="40" t="e">
        <f t="shared" si="135"/>
        <v>#N/A</v>
      </c>
      <c r="AL171" s="11" t="e">
        <f t="shared" si="182"/>
        <v>#N/A</v>
      </c>
      <c r="AM171" s="41">
        <f t="shared" si="163"/>
        <v>7</v>
      </c>
      <c r="AN171" s="57" t="e">
        <f t="shared" si="137"/>
        <v>#N/A</v>
      </c>
      <c r="AO171" s="40" t="e">
        <f t="shared" si="164"/>
        <v>#N/A</v>
      </c>
      <c r="AP171" s="417" t="e">
        <f t="shared" si="183"/>
        <v>#N/A</v>
      </c>
      <c r="AQ171" s="56">
        <f t="shared" si="165"/>
        <v>7</v>
      </c>
      <c r="AR171" s="43" t="e">
        <f t="shared" si="166"/>
        <v>#N/A</v>
      </c>
      <c r="AS171" s="44" t="e">
        <f t="shared" si="167"/>
        <v>#N/A</v>
      </c>
      <c r="AT171" s="45" t="e">
        <f t="shared" si="184"/>
        <v>#N/A</v>
      </c>
      <c r="AU171" s="14">
        <f t="shared" si="168"/>
        <v>7</v>
      </c>
      <c r="AV171" s="44" t="e">
        <f t="shared" si="140"/>
        <v>#N/A</v>
      </c>
      <c r="AW171" s="14" t="e">
        <f t="shared" si="169"/>
        <v>#N/A</v>
      </c>
      <c r="AX171" s="14" t="e">
        <f t="shared" si="185"/>
        <v>#N/A</v>
      </c>
      <c r="AY171" s="46">
        <f t="shared" si="170"/>
        <v>7</v>
      </c>
      <c r="AZ171" s="47" t="e">
        <f t="shared" si="171"/>
        <v>#N/A</v>
      </c>
      <c r="BA171" s="48" t="e">
        <f t="shared" si="172"/>
        <v>#N/A</v>
      </c>
      <c r="BB171" s="31" t="e">
        <f t="shared" si="186"/>
        <v>#N/A</v>
      </c>
      <c r="BC171" s="28">
        <f t="shared" si="173"/>
        <v>7</v>
      </c>
      <c r="BD171" s="47" t="e">
        <f t="shared" si="174"/>
        <v>#N/A</v>
      </c>
      <c r="BE171" s="48" t="e">
        <f t="shared" si="175"/>
        <v>#N/A</v>
      </c>
      <c r="BF171" s="31" t="e">
        <f t="shared" si="187"/>
        <v>#N/A</v>
      </c>
      <c r="BG171" s="49" t="e">
        <f t="shared" si="188"/>
        <v>#N/A</v>
      </c>
      <c r="BH171" s="1" t="e">
        <f>VLOOKUP($B171,STOCK_BY_LA!$A$2:$C$10477,3,0)</f>
        <v>#N/A</v>
      </c>
      <c r="BI171" s="1" t="str">
        <f t="shared" si="176"/>
        <v/>
      </c>
    </row>
    <row r="172" spans="1:61" x14ac:dyDescent="0.35">
      <c r="A172" s="1" t="str">
        <f t="shared" si="189"/>
        <v/>
      </c>
      <c r="B172" s="1" t="str">
        <f t="shared" si="177"/>
        <v/>
      </c>
      <c r="C172" s="50" t="str">
        <f t="shared" si="146"/>
        <v/>
      </c>
      <c r="D172" s="33" t="str">
        <f>IF(B172="","",IF('totals_&amp;_RP_counts'!$O$3=0,IFERROR(IF(AA172=2,"0",AB172),""),"-"))</f>
        <v/>
      </c>
      <c r="E172" s="35" t="str">
        <f t="shared" si="147"/>
        <v/>
      </c>
      <c r="F172" s="36" t="str">
        <f t="shared" si="148"/>
        <v/>
      </c>
      <c r="G172" s="36" t="str">
        <f t="shared" si="149"/>
        <v/>
      </c>
      <c r="H172" s="33" t="str">
        <f t="shared" si="127"/>
        <v/>
      </c>
      <c r="I172" s="36" t="str">
        <f t="shared" si="150"/>
        <v/>
      </c>
      <c r="J172" s="36" t="str">
        <f t="shared" si="151"/>
        <v/>
      </c>
      <c r="K172" s="33" t="str">
        <f t="shared" si="128"/>
        <v/>
      </c>
      <c r="L172" s="36" t="str">
        <f t="shared" si="129"/>
        <v/>
      </c>
      <c r="M172" s="36" t="str">
        <f t="shared" si="152"/>
        <v/>
      </c>
      <c r="N172" s="33" t="str">
        <f t="shared" si="153"/>
        <v/>
      </c>
      <c r="O172" s="36" t="str">
        <f t="shared" si="154"/>
        <v/>
      </c>
      <c r="P172" s="36" t="str">
        <f t="shared" si="155"/>
        <v/>
      </c>
      <c r="Q172" s="33" t="str">
        <f t="shared" si="156"/>
        <v/>
      </c>
      <c r="R172" s="1"/>
      <c r="S172" s="1"/>
      <c r="Y172" s="1" t="e">
        <f>VLOOKUP($B$6,LOOKUP_SCE,165,0)</f>
        <v>#N/A</v>
      </c>
      <c r="Z172" s="22" t="str">
        <f t="shared" si="178"/>
        <v/>
      </c>
      <c r="AA172" s="23">
        <f t="shared" si="157"/>
        <v>7</v>
      </c>
      <c r="AB172" s="55" t="e">
        <f t="shared" si="179"/>
        <v>#N/A</v>
      </c>
      <c r="AC172" s="38" t="e">
        <f t="shared" si="158"/>
        <v>#N/A</v>
      </c>
      <c r="AD172" s="38" t="e">
        <f t="shared" si="159"/>
        <v>#N/A</v>
      </c>
      <c r="AE172" s="415" t="e">
        <f t="shared" si="180"/>
        <v>#N/A</v>
      </c>
      <c r="AF172" s="10">
        <f t="shared" si="160"/>
        <v>7</v>
      </c>
      <c r="AG172" s="38" t="e">
        <f t="shared" si="133"/>
        <v>#N/A</v>
      </c>
      <c r="AH172" s="38" t="e">
        <f t="shared" si="161"/>
        <v>#N/A</v>
      </c>
      <c r="AI172" s="10" t="e">
        <f t="shared" si="181"/>
        <v>#N/A</v>
      </c>
      <c r="AJ172" s="39" t="e">
        <f t="shared" si="162"/>
        <v>#N/A</v>
      </c>
      <c r="AK172" s="40" t="e">
        <f t="shared" si="135"/>
        <v>#N/A</v>
      </c>
      <c r="AL172" s="11" t="e">
        <f t="shared" si="182"/>
        <v>#N/A</v>
      </c>
      <c r="AM172" s="41">
        <f t="shared" si="163"/>
        <v>7</v>
      </c>
      <c r="AN172" s="57" t="e">
        <f t="shared" si="137"/>
        <v>#N/A</v>
      </c>
      <c r="AO172" s="40" t="e">
        <f t="shared" si="164"/>
        <v>#N/A</v>
      </c>
      <c r="AP172" s="417" t="e">
        <f t="shared" si="183"/>
        <v>#N/A</v>
      </c>
      <c r="AQ172" s="56">
        <f t="shared" si="165"/>
        <v>7</v>
      </c>
      <c r="AR172" s="43" t="e">
        <f t="shared" si="166"/>
        <v>#N/A</v>
      </c>
      <c r="AS172" s="44" t="e">
        <f t="shared" si="167"/>
        <v>#N/A</v>
      </c>
      <c r="AT172" s="45" t="e">
        <f t="shared" si="184"/>
        <v>#N/A</v>
      </c>
      <c r="AU172" s="14">
        <f t="shared" si="168"/>
        <v>7</v>
      </c>
      <c r="AV172" s="44" t="e">
        <f t="shared" si="140"/>
        <v>#N/A</v>
      </c>
      <c r="AW172" s="14" t="e">
        <f t="shared" si="169"/>
        <v>#N/A</v>
      </c>
      <c r="AX172" s="14" t="e">
        <f t="shared" si="185"/>
        <v>#N/A</v>
      </c>
      <c r="AY172" s="46">
        <f t="shared" si="170"/>
        <v>7</v>
      </c>
      <c r="AZ172" s="47" t="e">
        <f t="shared" si="171"/>
        <v>#N/A</v>
      </c>
      <c r="BA172" s="48" t="e">
        <f t="shared" si="172"/>
        <v>#N/A</v>
      </c>
      <c r="BB172" s="31" t="e">
        <f t="shared" si="186"/>
        <v>#N/A</v>
      </c>
      <c r="BC172" s="28">
        <f t="shared" si="173"/>
        <v>7</v>
      </c>
      <c r="BD172" s="47" t="e">
        <f t="shared" si="174"/>
        <v>#N/A</v>
      </c>
      <c r="BE172" s="48" t="e">
        <f t="shared" si="175"/>
        <v>#N/A</v>
      </c>
      <c r="BF172" s="31" t="e">
        <f t="shared" si="187"/>
        <v>#N/A</v>
      </c>
      <c r="BG172" s="49" t="e">
        <f t="shared" si="188"/>
        <v>#N/A</v>
      </c>
      <c r="BH172" s="1" t="e">
        <f>VLOOKUP($B172,STOCK_BY_LA!$A$2:$C$10477,3,0)</f>
        <v>#N/A</v>
      </c>
      <c r="BI172" s="1" t="str">
        <f t="shared" si="176"/>
        <v/>
      </c>
    </row>
    <row r="173" spans="1:61" x14ac:dyDescent="0.35">
      <c r="A173" s="33" t="str">
        <f t="shared" si="189"/>
        <v/>
      </c>
      <c r="B173" s="1" t="str">
        <f t="shared" si="177"/>
        <v/>
      </c>
      <c r="C173" s="34" t="str">
        <f t="shared" si="146"/>
        <v/>
      </c>
      <c r="D173" s="33" t="str">
        <f>IF(B173="","",IF('totals_&amp;_RP_counts'!$O$3=0,IFERROR(IF(AA173=2,"0",AB173),""),"-"))</f>
        <v/>
      </c>
      <c r="E173" s="35" t="str">
        <f t="shared" si="147"/>
        <v/>
      </c>
      <c r="F173" s="36" t="str">
        <f t="shared" si="148"/>
        <v/>
      </c>
      <c r="G173" s="36" t="str">
        <f t="shared" si="149"/>
        <v/>
      </c>
      <c r="H173" s="33" t="str">
        <f t="shared" si="127"/>
        <v/>
      </c>
      <c r="I173" s="36" t="str">
        <f t="shared" si="150"/>
        <v/>
      </c>
      <c r="J173" s="36" t="str">
        <f t="shared" si="151"/>
        <v/>
      </c>
      <c r="K173" s="33" t="str">
        <f t="shared" si="128"/>
        <v/>
      </c>
      <c r="L173" s="36" t="str">
        <f t="shared" si="129"/>
        <v/>
      </c>
      <c r="M173" s="36" t="str">
        <f t="shared" si="152"/>
        <v/>
      </c>
      <c r="N173" s="33" t="str">
        <f t="shared" si="153"/>
        <v/>
      </c>
      <c r="O173" s="36" t="str">
        <f t="shared" si="154"/>
        <v/>
      </c>
      <c r="P173" s="36" t="str">
        <f t="shared" si="155"/>
        <v/>
      </c>
      <c r="Q173" s="33" t="str">
        <f t="shared" si="156"/>
        <v/>
      </c>
      <c r="R173" s="1"/>
      <c r="S173" s="1"/>
      <c r="Y173" s="1" t="e">
        <f>VLOOKUP($B$6,LOOKUP_SCE,166,0)</f>
        <v>#N/A</v>
      </c>
      <c r="Z173" s="22" t="str">
        <f t="shared" si="178"/>
        <v/>
      </c>
      <c r="AA173" s="23">
        <f t="shared" si="157"/>
        <v>7</v>
      </c>
      <c r="AB173" s="55" t="e">
        <f t="shared" si="179"/>
        <v>#N/A</v>
      </c>
      <c r="AC173" s="38" t="e">
        <f t="shared" si="158"/>
        <v>#N/A</v>
      </c>
      <c r="AD173" s="38" t="e">
        <f t="shared" si="159"/>
        <v>#N/A</v>
      </c>
      <c r="AE173" s="415" t="e">
        <f t="shared" si="180"/>
        <v>#N/A</v>
      </c>
      <c r="AF173" s="10">
        <f t="shared" si="160"/>
        <v>7</v>
      </c>
      <c r="AG173" s="38" t="e">
        <f t="shared" si="133"/>
        <v>#N/A</v>
      </c>
      <c r="AH173" s="38" t="e">
        <f t="shared" si="161"/>
        <v>#N/A</v>
      </c>
      <c r="AI173" s="10" t="e">
        <f t="shared" si="181"/>
        <v>#N/A</v>
      </c>
      <c r="AJ173" s="39" t="e">
        <f t="shared" si="162"/>
        <v>#N/A</v>
      </c>
      <c r="AK173" s="40" t="e">
        <f t="shared" si="135"/>
        <v>#N/A</v>
      </c>
      <c r="AL173" s="11" t="e">
        <f t="shared" si="182"/>
        <v>#N/A</v>
      </c>
      <c r="AM173" s="41">
        <f t="shared" si="163"/>
        <v>7</v>
      </c>
      <c r="AN173" s="57" t="e">
        <f t="shared" si="137"/>
        <v>#N/A</v>
      </c>
      <c r="AO173" s="40" t="e">
        <f t="shared" si="164"/>
        <v>#N/A</v>
      </c>
      <c r="AP173" s="417" t="e">
        <f t="shared" si="183"/>
        <v>#N/A</v>
      </c>
      <c r="AQ173" s="56">
        <f t="shared" si="165"/>
        <v>7</v>
      </c>
      <c r="AR173" s="43" t="e">
        <f t="shared" si="166"/>
        <v>#N/A</v>
      </c>
      <c r="AS173" s="44" t="e">
        <f t="shared" si="167"/>
        <v>#N/A</v>
      </c>
      <c r="AT173" s="45" t="e">
        <f t="shared" si="184"/>
        <v>#N/A</v>
      </c>
      <c r="AU173" s="14">
        <f t="shared" si="168"/>
        <v>7</v>
      </c>
      <c r="AV173" s="44" t="e">
        <f t="shared" si="140"/>
        <v>#N/A</v>
      </c>
      <c r="AW173" s="14" t="e">
        <f t="shared" si="169"/>
        <v>#N/A</v>
      </c>
      <c r="AX173" s="14" t="e">
        <f t="shared" si="185"/>
        <v>#N/A</v>
      </c>
      <c r="AY173" s="46">
        <f t="shared" si="170"/>
        <v>7</v>
      </c>
      <c r="AZ173" s="47" t="e">
        <f t="shared" si="171"/>
        <v>#N/A</v>
      </c>
      <c r="BA173" s="48" t="e">
        <f t="shared" si="172"/>
        <v>#N/A</v>
      </c>
      <c r="BB173" s="31" t="e">
        <f t="shared" si="186"/>
        <v>#N/A</v>
      </c>
      <c r="BC173" s="28">
        <f t="shared" si="173"/>
        <v>7</v>
      </c>
      <c r="BD173" s="47" t="e">
        <f t="shared" si="174"/>
        <v>#N/A</v>
      </c>
      <c r="BE173" s="48" t="e">
        <f t="shared" si="175"/>
        <v>#N/A</v>
      </c>
      <c r="BF173" s="31" t="e">
        <f t="shared" si="187"/>
        <v>#N/A</v>
      </c>
      <c r="BG173" s="49" t="e">
        <f t="shared" si="188"/>
        <v>#N/A</v>
      </c>
      <c r="BH173" s="1" t="e">
        <f>VLOOKUP($B173,STOCK_BY_LA!$A$2:$C$10477,3,0)</f>
        <v>#N/A</v>
      </c>
      <c r="BI173" s="1" t="str">
        <f t="shared" si="176"/>
        <v/>
      </c>
    </row>
    <row r="174" spans="1:61" x14ac:dyDescent="0.35">
      <c r="A174" s="1" t="str">
        <f t="shared" si="189"/>
        <v/>
      </c>
      <c r="B174" s="1" t="str">
        <f t="shared" si="177"/>
        <v/>
      </c>
      <c r="C174" s="50" t="str">
        <f t="shared" si="146"/>
        <v/>
      </c>
      <c r="D174" s="33" t="str">
        <f>IF(B174="","",IF('totals_&amp;_RP_counts'!$O$3=0,IFERROR(IF(AA174=2,"0",AB174),""),"-"))</f>
        <v/>
      </c>
      <c r="E174" s="35" t="str">
        <f t="shared" si="147"/>
        <v/>
      </c>
      <c r="F174" s="36" t="str">
        <f t="shared" si="148"/>
        <v/>
      </c>
      <c r="G174" s="36" t="str">
        <f t="shared" si="149"/>
        <v/>
      </c>
      <c r="H174" s="33" t="str">
        <f t="shared" si="127"/>
        <v/>
      </c>
      <c r="I174" s="36" t="str">
        <f t="shared" si="150"/>
        <v/>
      </c>
      <c r="J174" s="36" t="str">
        <f t="shared" si="151"/>
        <v/>
      </c>
      <c r="K174" s="33" t="str">
        <f t="shared" si="128"/>
        <v/>
      </c>
      <c r="L174" s="36" t="str">
        <f t="shared" si="129"/>
        <v/>
      </c>
      <c r="M174" s="36" t="str">
        <f t="shared" si="152"/>
        <v/>
      </c>
      <c r="N174" s="33" t="str">
        <f t="shared" si="153"/>
        <v/>
      </c>
      <c r="O174" s="36" t="str">
        <f t="shared" si="154"/>
        <v/>
      </c>
      <c r="P174" s="36" t="str">
        <f t="shared" si="155"/>
        <v/>
      </c>
      <c r="Q174" s="33" t="str">
        <f t="shared" si="156"/>
        <v/>
      </c>
      <c r="R174" s="1"/>
      <c r="S174" s="1"/>
      <c r="Y174" s="1" t="e">
        <f>VLOOKUP($B$6,LOOKUP_SCE,167,0)</f>
        <v>#N/A</v>
      </c>
      <c r="Z174" s="22" t="str">
        <f t="shared" si="178"/>
        <v/>
      </c>
      <c r="AA174" s="23">
        <f t="shared" si="157"/>
        <v>7</v>
      </c>
      <c r="AB174" s="55" t="e">
        <f t="shared" si="179"/>
        <v>#N/A</v>
      </c>
      <c r="AC174" s="38" t="e">
        <f t="shared" si="158"/>
        <v>#N/A</v>
      </c>
      <c r="AD174" s="38" t="e">
        <f t="shared" si="159"/>
        <v>#N/A</v>
      </c>
      <c r="AE174" s="415" t="e">
        <f t="shared" si="180"/>
        <v>#N/A</v>
      </c>
      <c r="AF174" s="10">
        <f t="shared" si="160"/>
        <v>7</v>
      </c>
      <c r="AG174" s="38" t="e">
        <f t="shared" si="133"/>
        <v>#N/A</v>
      </c>
      <c r="AH174" s="38" t="e">
        <f t="shared" si="161"/>
        <v>#N/A</v>
      </c>
      <c r="AI174" s="10" t="e">
        <f t="shared" si="181"/>
        <v>#N/A</v>
      </c>
      <c r="AJ174" s="39" t="e">
        <f t="shared" si="162"/>
        <v>#N/A</v>
      </c>
      <c r="AK174" s="40" t="e">
        <f t="shared" si="135"/>
        <v>#N/A</v>
      </c>
      <c r="AL174" s="11" t="e">
        <f t="shared" si="182"/>
        <v>#N/A</v>
      </c>
      <c r="AM174" s="41">
        <f t="shared" si="163"/>
        <v>7</v>
      </c>
      <c r="AN174" s="57" t="e">
        <f t="shared" si="137"/>
        <v>#N/A</v>
      </c>
      <c r="AO174" s="40" t="e">
        <f t="shared" si="164"/>
        <v>#N/A</v>
      </c>
      <c r="AP174" s="417" t="e">
        <f t="shared" si="183"/>
        <v>#N/A</v>
      </c>
      <c r="AQ174" s="56">
        <f t="shared" si="165"/>
        <v>7</v>
      </c>
      <c r="AR174" s="43" t="e">
        <f t="shared" si="166"/>
        <v>#N/A</v>
      </c>
      <c r="AS174" s="44" t="e">
        <f t="shared" si="167"/>
        <v>#N/A</v>
      </c>
      <c r="AT174" s="45" t="e">
        <f t="shared" si="184"/>
        <v>#N/A</v>
      </c>
      <c r="AU174" s="14">
        <f t="shared" si="168"/>
        <v>7</v>
      </c>
      <c r="AV174" s="44" t="e">
        <f t="shared" si="140"/>
        <v>#N/A</v>
      </c>
      <c r="AW174" s="14" t="e">
        <f t="shared" si="169"/>
        <v>#N/A</v>
      </c>
      <c r="AX174" s="14" t="e">
        <f t="shared" si="185"/>
        <v>#N/A</v>
      </c>
      <c r="AY174" s="46">
        <f t="shared" si="170"/>
        <v>7</v>
      </c>
      <c r="AZ174" s="47" t="e">
        <f t="shared" si="171"/>
        <v>#N/A</v>
      </c>
      <c r="BA174" s="48" t="e">
        <f t="shared" si="172"/>
        <v>#N/A</v>
      </c>
      <c r="BB174" s="31" t="e">
        <f t="shared" si="186"/>
        <v>#N/A</v>
      </c>
      <c r="BC174" s="28">
        <f t="shared" si="173"/>
        <v>7</v>
      </c>
      <c r="BD174" s="47" t="e">
        <f t="shared" si="174"/>
        <v>#N/A</v>
      </c>
      <c r="BE174" s="48" t="e">
        <f t="shared" si="175"/>
        <v>#N/A</v>
      </c>
      <c r="BF174" s="31" t="e">
        <f t="shared" si="187"/>
        <v>#N/A</v>
      </c>
      <c r="BG174" s="49" t="e">
        <f t="shared" si="188"/>
        <v>#N/A</v>
      </c>
      <c r="BH174" s="1" t="e">
        <f>VLOOKUP($B174,STOCK_BY_LA!$A$2:$C$10477,3,0)</f>
        <v>#N/A</v>
      </c>
      <c r="BI174" s="1" t="str">
        <f t="shared" si="176"/>
        <v/>
      </c>
    </row>
    <row r="175" spans="1:61" x14ac:dyDescent="0.35">
      <c r="A175" s="33" t="str">
        <f t="shared" si="189"/>
        <v/>
      </c>
      <c r="B175" s="1" t="str">
        <f t="shared" si="177"/>
        <v/>
      </c>
      <c r="C175" s="34" t="str">
        <f t="shared" si="146"/>
        <v/>
      </c>
      <c r="D175" s="33" t="str">
        <f>IF(B175="","",IF('totals_&amp;_RP_counts'!$O$3=0,IFERROR(IF(AA175=2,"0",AB175),""),"-"))</f>
        <v/>
      </c>
      <c r="E175" s="35" t="str">
        <f t="shared" si="147"/>
        <v/>
      </c>
      <c r="F175" s="36" t="str">
        <f t="shared" si="148"/>
        <v/>
      </c>
      <c r="G175" s="36" t="str">
        <f t="shared" si="149"/>
        <v/>
      </c>
      <c r="H175" s="33" t="str">
        <f t="shared" si="127"/>
        <v/>
      </c>
      <c r="I175" s="36" t="str">
        <f t="shared" si="150"/>
        <v/>
      </c>
      <c r="J175" s="36" t="str">
        <f t="shared" si="151"/>
        <v/>
      </c>
      <c r="K175" s="33" t="str">
        <f t="shared" si="128"/>
        <v/>
      </c>
      <c r="L175" s="36" t="str">
        <f t="shared" si="129"/>
        <v/>
      </c>
      <c r="M175" s="36" t="str">
        <f t="shared" si="152"/>
        <v/>
      </c>
      <c r="N175" s="33" t="str">
        <f t="shared" si="153"/>
        <v/>
      </c>
      <c r="O175" s="36" t="str">
        <f t="shared" si="154"/>
        <v/>
      </c>
      <c r="P175" s="36" t="str">
        <f t="shared" si="155"/>
        <v/>
      </c>
      <c r="Q175" s="33" t="str">
        <f t="shared" si="156"/>
        <v/>
      </c>
      <c r="R175" s="1"/>
      <c r="S175" s="1"/>
      <c r="Y175" s="1" t="e">
        <f>VLOOKUP($B$6,LOOKUP_SCE,168,0)</f>
        <v>#N/A</v>
      </c>
      <c r="Z175" s="22" t="str">
        <f t="shared" si="178"/>
        <v/>
      </c>
      <c r="AA175" s="23">
        <f t="shared" si="157"/>
        <v>7</v>
      </c>
      <c r="AB175" s="55" t="e">
        <f t="shared" si="179"/>
        <v>#N/A</v>
      </c>
      <c r="AC175" s="38" t="e">
        <f t="shared" si="158"/>
        <v>#N/A</v>
      </c>
      <c r="AD175" s="38" t="e">
        <f t="shared" si="159"/>
        <v>#N/A</v>
      </c>
      <c r="AE175" s="415" t="e">
        <f t="shared" si="180"/>
        <v>#N/A</v>
      </c>
      <c r="AF175" s="10">
        <f t="shared" si="160"/>
        <v>7</v>
      </c>
      <c r="AG175" s="38" t="e">
        <f t="shared" si="133"/>
        <v>#N/A</v>
      </c>
      <c r="AH175" s="38" t="e">
        <f t="shared" si="161"/>
        <v>#N/A</v>
      </c>
      <c r="AI175" s="10" t="e">
        <f t="shared" si="181"/>
        <v>#N/A</v>
      </c>
      <c r="AJ175" s="39" t="e">
        <f t="shared" si="162"/>
        <v>#N/A</v>
      </c>
      <c r="AK175" s="40" t="e">
        <f t="shared" si="135"/>
        <v>#N/A</v>
      </c>
      <c r="AL175" s="11" t="e">
        <f t="shared" si="182"/>
        <v>#N/A</v>
      </c>
      <c r="AM175" s="41">
        <f t="shared" si="163"/>
        <v>7</v>
      </c>
      <c r="AN175" s="57" t="e">
        <f t="shared" si="137"/>
        <v>#N/A</v>
      </c>
      <c r="AO175" s="40" t="e">
        <f t="shared" si="164"/>
        <v>#N/A</v>
      </c>
      <c r="AP175" s="417" t="e">
        <f t="shared" si="183"/>
        <v>#N/A</v>
      </c>
      <c r="AQ175" s="56">
        <f t="shared" si="165"/>
        <v>7</v>
      </c>
      <c r="AR175" s="43" t="e">
        <f t="shared" si="166"/>
        <v>#N/A</v>
      </c>
      <c r="AS175" s="44" t="e">
        <f t="shared" si="167"/>
        <v>#N/A</v>
      </c>
      <c r="AT175" s="45" t="e">
        <f t="shared" si="184"/>
        <v>#N/A</v>
      </c>
      <c r="AU175" s="14">
        <f t="shared" si="168"/>
        <v>7</v>
      </c>
      <c r="AV175" s="44" t="e">
        <f t="shared" si="140"/>
        <v>#N/A</v>
      </c>
      <c r="AW175" s="14" t="e">
        <f t="shared" si="169"/>
        <v>#N/A</v>
      </c>
      <c r="AX175" s="14" t="e">
        <f t="shared" si="185"/>
        <v>#N/A</v>
      </c>
      <c r="AY175" s="46">
        <f t="shared" si="170"/>
        <v>7</v>
      </c>
      <c r="AZ175" s="47" t="e">
        <f t="shared" si="171"/>
        <v>#N/A</v>
      </c>
      <c r="BA175" s="48" t="e">
        <f t="shared" si="172"/>
        <v>#N/A</v>
      </c>
      <c r="BB175" s="31" t="e">
        <f t="shared" si="186"/>
        <v>#N/A</v>
      </c>
      <c r="BC175" s="28">
        <f t="shared" si="173"/>
        <v>7</v>
      </c>
      <c r="BD175" s="47" t="e">
        <f t="shared" si="174"/>
        <v>#N/A</v>
      </c>
      <c r="BE175" s="48" t="e">
        <f t="shared" si="175"/>
        <v>#N/A</v>
      </c>
      <c r="BF175" s="31" t="e">
        <f t="shared" si="187"/>
        <v>#N/A</v>
      </c>
      <c r="BG175" s="49" t="e">
        <f t="shared" si="188"/>
        <v>#N/A</v>
      </c>
      <c r="BH175" s="1" t="e">
        <f>VLOOKUP($B175,STOCK_BY_LA!$A$2:$C$10477,3,0)</f>
        <v>#N/A</v>
      </c>
      <c r="BI175" s="1" t="str">
        <f t="shared" si="176"/>
        <v/>
      </c>
    </row>
    <row r="176" spans="1:61" x14ac:dyDescent="0.35">
      <c r="A176" s="1" t="str">
        <f t="shared" si="189"/>
        <v/>
      </c>
      <c r="B176" s="1" t="str">
        <f t="shared" si="177"/>
        <v/>
      </c>
      <c r="C176" s="50" t="str">
        <f t="shared" si="146"/>
        <v/>
      </c>
      <c r="D176" s="33" t="str">
        <f>IF(B176="","",IF('totals_&amp;_RP_counts'!$O$3=0,IFERROR(IF(AA176=2,"0",AB176),""),"-"))</f>
        <v/>
      </c>
      <c r="E176" s="35" t="str">
        <f t="shared" si="147"/>
        <v/>
      </c>
      <c r="F176" s="36" t="str">
        <f t="shared" si="148"/>
        <v/>
      </c>
      <c r="G176" s="36" t="str">
        <f t="shared" si="149"/>
        <v/>
      </c>
      <c r="H176" s="33" t="str">
        <f t="shared" si="127"/>
        <v/>
      </c>
      <c r="I176" s="36" t="str">
        <f t="shared" si="150"/>
        <v/>
      </c>
      <c r="J176" s="36" t="str">
        <f t="shared" si="151"/>
        <v/>
      </c>
      <c r="K176" s="33" t="str">
        <f t="shared" si="128"/>
        <v/>
      </c>
      <c r="L176" s="36" t="str">
        <f t="shared" si="129"/>
        <v/>
      </c>
      <c r="M176" s="36" t="str">
        <f t="shared" si="152"/>
        <v/>
      </c>
      <c r="N176" s="33" t="str">
        <f t="shared" si="153"/>
        <v/>
      </c>
      <c r="O176" s="36" t="str">
        <f t="shared" si="154"/>
        <v/>
      </c>
      <c r="P176" s="36" t="str">
        <f t="shared" si="155"/>
        <v/>
      </c>
      <c r="Q176" s="33" t="str">
        <f t="shared" si="156"/>
        <v/>
      </c>
      <c r="R176" s="1"/>
      <c r="S176" s="1"/>
      <c r="Y176" s="1" t="e">
        <f>VLOOKUP($B$6,LOOKUP_SCE,169,0)</f>
        <v>#N/A</v>
      </c>
      <c r="Z176" s="22" t="str">
        <f t="shared" si="178"/>
        <v/>
      </c>
      <c r="AA176" s="23">
        <f t="shared" si="157"/>
        <v>7</v>
      </c>
      <c r="AB176" s="55" t="e">
        <f t="shared" si="179"/>
        <v>#N/A</v>
      </c>
      <c r="AC176" s="38" t="e">
        <f t="shared" si="158"/>
        <v>#N/A</v>
      </c>
      <c r="AD176" s="38" t="e">
        <f t="shared" si="159"/>
        <v>#N/A</v>
      </c>
      <c r="AE176" s="415" t="e">
        <f t="shared" si="180"/>
        <v>#N/A</v>
      </c>
      <c r="AF176" s="10">
        <f t="shared" si="160"/>
        <v>7</v>
      </c>
      <c r="AG176" s="38" t="e">
        <f t="shared" si="133"/>
        <v>#N/A</v>
      </c>
      <c r="AH176" s="38" t="e">
        <f t="shared" si="161"/>
        <v>#N/A</v>
      </c>
      <c r="AI176" s="10" t="e">
        <f t="shared" si="181"/>
        <v>#N/A</v>
      </c>
      <c r="AJ176" s="39" t="e">
        <f t="shared" si="162"/>
        <v>#N/A</v>
      </c>
      <c r="AK176" s="40" t="e">
        <f t="shared" si="135"/>
        <v>#N/A</v>
      </c>
      <c r="AL176" s="11" t="e">
        <f t="shared" si="182"/>
        <v>#N/A</v>
      </c>
      <c r="AM176" s="41">
        <f t="shared" si="163"/>
        <v>7</v>
      </c>
      <c r="AN176" s="57" t="e">
        <f t="shared" si="137"/>
        <v>#N/A</v>
      </c>
      <c r="AO176" s="40" t="e">
        <f t="shared" si="164"/>
        <v>#N/A</v>
      </c>
      <c r="AP176" s="417" t="e">
        <f t="shared" si="183"/>
        <v>#N/A</v>
      </c>
      <c r="AQ176" s="56">
        <f t="shared" si="165"/>
        <v>7</v>
      </c>
      <c r="AR176" s="43" t="e">
        <f t="shared" si="166"/>
        <v>#N/A</v>
      </c>
      <c r="AS176" s="44" t="e">
        <f t="shared" si="167"/>
        <v>#N/A</v>
      </c>
      <c r="AT176" s="45" t="e">
        <f t="shared" si="184"/>
        <v>#N/A</v>
      </c>
      <c r="AU176" s="14">
        <f t="shared" si="168"/>
        <v>7</v>
      </c>
      <c r="AV176" s="44" t="e">
        <f t="shared" si="140"/>
        <v>#N/A</v>
      </c>
      <c r="AW176" s="14" t="e">
        <f t="shared" si="169"/>
        <v>#N/A</v>
      </c>
      <c r="AX176" s="14" t="e">
        <f t="shared" si="185"/>
        <v>#N/A</v>
      </c>
      <c r="AY176" s="46">
        <f t="shared" si="170"/>
        <v>7</v>
      </c>
      <c r="AZ176" s="47" t="e">
        <f t="shared" si="171"/>
        <v>#N/A</v>
      </c>
      <c r="BA176" s="48" t="e">
        <f t="shared" si="172"/>
        <v>#N/A</v>
      </c>
      <c r="BB176" s="31" t="e">
        <f t="shared" si="186"/>
        <v>#N/A</v>
      </c>
      <c r="BC176" s="28">
        <f t="shared" si="173"/>
        <v>7</v>
      </c>
      <c r="BD176" s="47" t="e">
        <f t="shared" si="174"/>
        <v>#N/A</v>
      </c>
      <c r="BE176" s="48" t="e">
        <f t="shared" si="175"/>
        <v>#N/A</v>
      </c>
      <c r="BF176" s="31" t="e">
        <f t="shared" si="187"/>
        <v>#N/A</v>
      </c>
      <c r="BG176" s="49" t="e">
        <f t="shared" si="188"/>
        <v>#N/A</v>
      </c>
      <c r="BH176" s="1" t="e">
        <f>VLOOKUP($B176,STOCK_BY_LA!$A$2:$C$10477,3,0)</f>
        <v>#N/A</v>
      </c>
      <c r="BI176" s="1" t="str">
        <f t="shared" si="176"/>
        <v/>
      </c>
    </row>
    <row r="177" spans="1:61" x14ac:dyDescent="0.35">
      <c r="A177" s="33" t="str">
        <f t="shared" si="189"/>
        <v/>
      </c>
      <c r="B177" s="1" t="str">
        <f t="shared" si="177"/>
        <v/>
      </c>
      <c r="C177" s="34" t="str">
        <f t="shared" si="146"/>
        <v/>
      </c>
      <c r="D177" s="33" t="str">
        <f>IF(B177="","",IF('totals_&amp;_RP_counts'!$O$3=0,IFERROR(IF(AA177=2,"0",AB177),""),"-"))</f>
        <v/>
      </c>
      <c r="E177" s="35" t="str">
        <f t="shared" si="147"/>
        <v/>
      </c>
      <c r="F177" s="36" t="str">
        <f t="shared" si="148"/>
        <v/>
      </c>
      <c r="G177" s="36" t="str">
        <f t="shared" si="149"/>
        <v/>
      </c>
      <c r="H177" s="33" t="str">
        <f t="shared" si="127"/>
        <v/>
      </c>
      <c r="I177" s="36" t="str">
        <f t="shared" si="150"/>
        <v/>
      </c>
      <c r="J177" s="36" t="str">
        <f t="shared" si="151"/>
        <v/>
      </c>
      <c r="K177" s="33" t="str">
        <f t="shared" si="128"/>
        <v/>
      </c>
      <c r="L177" s="36" t="str">
        <f t="shared" si="129"/>
        <v/>
      </c>
      <c r="M177" s="36" t="str">
        <f t="shared" si="152"/>
        <v/>
      </c>
      <c r="N177" s="33" t="str">
        <f t="shared" si="153"/>
        <v/>
      </c>
      <c r="O177" s="36" t="str">
        <f t="shared" si="154"/>
        <v/>
      </c>
      <c r="P177" s="36" t="str">
        <f t="shared" si="155"/>
        <v/>
      </c>
      <c r="Q177" s="33" t="str">
        <f t="shared" si="156"/>
        <v/>
      </c>
      <c r="R177" s="1"/>
      <c r="S177" s="1"/>
      <c r="Y177" s="1" t="e">
        <f>VLOOKUP($B$6,LOOKUP_SCE,170,0)</f>
        <v>#N/A</v>
      </c>
      <c r="Z177" s="22" t="str">
        <f t="shared" si="178"/>
        <v/>
      </c>
      <c r="AA177" s="23">
        <f t="shared" si="157"/>
        <v>7</v>
      </c>
      <c r="AB177" s="55" t="e">
        <f t="shared" si="179"/>
        <v>#N/A</v>
      </c>
      <c r="AC177" s="38" t="e">
        <f t="shared" si="158"/>
        <v>#N/A</v>
      </c>
      <c r="AD177" s="38" t="e">
        <f t="shared" si="159"/>
        <v>#N/A</v>
      </c>
      <c r="AE177" s="415" t="e">
        <f t="shared" si="180"/>
        <v>#N/A</v>
      </c>
      <c r="AF177" s="10">
        <f t="shared" si="160"/>
        <v>7</v>
      </c>
      <c r="AG177" s="38" t="e">
        <f t="shared" si="133"/>
        <v>#N/A</v>
      </c>
      <c r="AH177" s="38" t="e">
        <f t="shared" si="161"/>
        <v>#N/A</v>
      </c>
      <c r="AI177" s="10" t="e">
        <f t="shared" si="181"/>
        <v>#N/A</v>
      </c>
      <c r="AJ177" s="39" t="e">
        <f t="shared" si="162"/>
        <v>#N/A</v>
      </c>
      <c r="AK177" s="40" t="e">
        <f t="shared" si="135"/>
        <v>#N/A</v>
      </c>
      <c r="AL177" s="11" t="e">
        <f t="shared" si="182"/>
        <v>#N/A</v>
      </c>
      <c r="AM177" s="41">
        <f t="shared" si="163"/>
        <v>7</v>
      </c>
      <c r="AN177" s="57" t="e">
        <f t="shared" si="137"/>
        <v>#N/A</v>
      </c>
      <c r="AO177" s="40" t="e">
        <f t="shared" si="164"/>
        <v>#N/A</v>
      </c>
      <c r="AP177" s="417" t="e">
        <f t="shared" si="183"/>
        <v>#N/A</v>
      </c>
      <c r="AQ177" s="56">
        <f t="shared" si="165"/>
        <v>7</v>
      </c>
      <c r="AR177" s="43" t="e">
        <f t="shared" si="166"/>
        <v>#N/A</v>
      </c>
      <c r="AS177" s="44" t="e">
        <f t="shared" si="167"/>
        <v>#N/A</v>
      </c>
      <c r="AT177" s="45" t="e">
        <f t="shared" si="184"/>
        <v>#N/A</v>
      </c>
      <c r="AU177" s="14">
        <f t="shared" si="168"/>
        <v>7</v>
      </c>
      <c r="AV177" s="44" t="e">
        <f t="shared" si="140"/>
        <v>#N/A</v>
      </c>
      <c r="AW177" s="14" t="e">
        <f t="shared" si="169"/>
        <v>#N/A</v>
      </c>
      <c r="AX177" s="14" t="e">
        <f t="shared" si="185"/>
        <v>#N/A</v>
      </c>
      <c r="AY177" s="46">
        <f t="shared" si="170"/>
        <v>7</v>
      </c>
      <c r="AZ177" s="47" t="e">
        <f t="shared" si="171"/>
        <v>#N/A</v>
      </c>
      <c r="BA177" s="48" t="e">
        <f t="shared" si="172"/>
        <v>#N/A</v>
      </c>
      <c r="BB177" s="31" t="e">
        <f t="shared" si="186"/>
        <v>#N/A</v>
      </c>
      <c r="BC177" s="28">
        <f t="shared" si="173"/>
        <v>7</v>
      </c>
      <c r="BD177" s="47" t="e">
        <f t="shared" si="174"/>
        <v>#N/A</v>
      </c>
      <c r="BE177" s="48" t="e">
        <f t="shared" si="175"/>
        <v>#N/A</v>
      </c>
      <c r="BF177" s="31" t="e">
        <f t="shared" si="187"/>
        <v>#N/A</v>
      </c>
      <c r="BG177" s="49" t="e">
        <f t="shared" si="188"/>
        <v>#N/A</v>
      </c>
      <c r="BH177" s="1" t="e">
        <f>VLOOKUP($B177,STOCK_BY_LA!$A$2:$C$10477,3,0)</f>
        <v>#N/A</v>
      </c>
      <c r="BI177" s="1" t="str">
        <f t="shared" si="176"/>
        <v/>
      </c>
    </row>
    <row r="178" spans="1:61" x14ac:dyDescent="0.35">
      <c r="A178" s="1" t="str">
        <f t="shared" si="189"/>
        <v/>
      </c>
      <c r="B178" s="1" t="str">
        <f t="shared" si="177"/>
        <v/>
      </c>
      <c r="C178" s="50" t="str">
        <f t="shared" si="146"/>
        <v/>
      </c>
      <c r="D178" s="33" t="str">
        <f>IF(B178="","",IF('totals_&amp;_RP_counts'!$O$3=0,IFERROR(IF(AA178=2,"0",AB178),""),"-"))</f>
        <v/>
      </c>
      <c r="E178" s="35" t="str">
        <f t="shared" si="147"/>
        <v/>
      </c>
      <c r="F178" s="36" t="str">
        <f t="shared" si="148"/>
        <v/>
      </c>
      <c r="G178" s="36" t="str">
        <f t="shared" si="149"/>
        <v/>
      </c>
      <c r="H178" s="33" t="str">
        <f t="shared" si="127"/>
        <v/>
      </c>
      <c r="I178" s="36" t="str">
        <f t="shared" si="150"/>
        <v/>
      </c>
      <c r="J178" s="36" t="str">
        <f t="shared" si="151"/>
        <v/>
      </c>
      <c r="K178" s="33" t="str">
        <f t="shared" si="128"/>
        <v/>
      </c>
      <c r="L178" s="36" t="str">
        <f t="shared" si="129"/>
        <v/>
      </c>
      <c r="M178" s="36" t="str">
        <f t="shared" si="152"/>
        <v/>
      </c>
      <c r="N178" s="33" t="str">
        <f t="shared" si="153"/>
        <v/>
      </c>
      <c r="O178" s="36" t="str">
        <f t="shared" si="154"/>
        <v/>
      </c>
      <c r="P178" s="36" t="str">
        <f t="shared" si="155"/>
        <v/>
      </c>
      <c r="Q178" s="33" t="str">
        <f t="shared" si="156"/>
        <v/>
      </c>
      <c r="R178" s="1"/>
      <c r="S178" s="1"/>
      <c r="Y178" s="1" t="e">
        <f>VLOOKUP($B$6,LOOKUP_SCE,171,0)</f>
        <v>#N/A</v>
      </c>
      <c r="Z178" s="22" t="str">
        <f t="shared" si="178"/>
        <v/>
      </c>
      <c r="AA178" s="23">
        <f t="shared" si="157"/>
        <v>7</v>
      </c>
      <c r="AB178" s="55" t="e">
        <f t="shared" si="179"/>
        <v>#N/A</v>
      </c>
      <c r="AC178" s="38" t="e">
        <f t="shared" si="158"/>
        <v>#N/A</v>
      </c>
      <c r="AD178" s="38" t="e">
        <f t="shared" si="159"/>
        <v>#N/A</v>
      </c>
      <c r="AE178" s="415" t="e">
        <f t="shared" si="180"/>
        <v>#N/A</v>
      </c>
      <c r="AF178" s="10">
        <f t="shared" si="160"/>
        <v>7</v>
      </c>
      <c r="AG178" s="38" t="e">
        <f t="shared" si="133"/>
        <v>#N/A</v>
      </c>
      <c r="AH178" s="38" t="e">
        <f t="shared" si="161"/>
        <v>#N/A</v>
      </c>
      <c r="AI178" s="10" t="e">
        <f t="shared" si="181"/>
        <v>#N/A</v>
      </c>
      <c r="AJ178" s="39" t="e">
        <f t="shared" si="162"/>
        <v>#N/A</v>
      </c>
      <c r="AK178" s="40" t="e">
        <f t="shared" si="135"/>
        <v>#N/A</v>
      </c>
      <c r="AL178" s="11" t="e">
        <f t="shared" si="182"/>
        <v>#N/A</v>
      </c>
      <c r="AM178" s="41">
        <f t="shared" si="163"/>
        <v>7</v>
      </c>
      <c r="AN178" s="57" t="e">
        <f t="shared" si="137"/>
        <v>#N/A</v>
      </c>
      <c r="AO178" s="40" t="e">
        <f t="shared" si="164"/>
        <v>#N/A</v>
      </c>
      <c r="AP178" s="417" t="e">
        <f t="shared" si="183"/>
        <v>#N/A</v>
      </c>
      <c r="AQ178" s="56">
        <f t="shared" si="165"/>
        <v>7</v>
      </c>
      <c r="AR178" s="43" t="e">
        <f t="shared" si="166"/>
        <v>#N/A</v>
      </c>
      <c r="AS178" s="44" t="e">
        <f t="shared" si="167"/>
        <v>#N/A</v>
      </c>
      <c r="AT178" s="45" t="e">
        <f t="shared" si="184"/>
        <v>#N/A</v>
      </c>
      <c r="AU178" s="14">
        <f t="shared" si="168"/>
        <v>7</v>
      </c>
      <c r="AV178" s="44" t="e">
        <f t="shared" si="140"/>
        <v>#N/A</v>
      </c>
      <c r="AW178" s="14" t="e">
        <f t="shared" si="169"/>
        <v>#N/A</v>
      </c>
      <c r="AX178" s="14" t="e">
        <f t="shared" si="185"/>
        <v>#N/A</v>
      </c>
      <c r="AY178" s="46">
        <f t="shared" si="170"/>
        <v>7</v>
      </c>
      <c r="AZ178" s="47" t="e">
        <f t="shared" si="171"/>
        <v>#N/A</v>
      </c>
      <c r="BA178" s="48" t="e">
        <f t="shared" si="172"/>
        <v>#N/A</v>
      </c>
      <c r="BB178" s="31" t="e">
        <f t="shared" si="186"/>
        <v>#N/A</v>
      </c>
      <c r="BC178" s="28">
        <f t="shared" si="173"/>
        <v>7</v>
      </c>
      <c r="BD178" s="47" t="e">
        <f t="shared" si="174"/>
        <v>#N/A</v>
      </c>
      <c r="BE178" s="48" t="e">
        <f t="shared" si="175"/>
        <v>#N/A</v>
      </c>
      <c r="BF178" s="31" t="e">
        <f t="shared" si="187"/>
        <v>#N/A</v>
      </c>
      <c r="BG178" s="49" t="e">
        <f t="shared" si="188"/>
        <v>#N/A</v>
      </c>
      <c r="BH178" s="1" t="e">
        <f>VLOOKUP($B178,STOCK_BY_LA!$A$2:$C$10477,3,0)</f>
        <v>#N/A</v>
      </c>
      <c r="BI178" s="1" t="str">
        <f t="shared" si="176"/>
        <v/>
      </c>
    </row>
    <row r="179" spans="1:61" x14ac:dyDescent="0.35">
      <c r="A179" s="33" t="str">
        <f t="shared" si="189"/>
        <v/>
      </c>
      <c r="B179" s="1" t="str">
        <f t="shared" si="177"/>
        <v/>
      </c>
      <c r="C179" s="34" t="str">
        <f t="shared" si="146"/>
        <v/>
      </c>
      <c r="D179" s="33" t="str">
        <f>IF(B179="","",IF('totals_&amp;_RP_counts'!$O$3=0,IFERROR(IF(AA179=2,"0",AB179),""),"-"))</f>
        <v/>
      </c>
      <c r="E179" s="35" t="str">
        <f t="shared" si="147"/>
        <v/>
      </c>
      <c r="F179" s="36" t="str">
        <f t="shared" si="148"/>
        <v/>
      </c>
      <c r="G179" s="36" t="str">
        <f t="shared" si="149"/>
        <v/>
      </c>
      <c r="H179" s="33" t="str">
        <f t="shared" si="127"/>
        <v/>
      </c>
      <c r="I179" s="36" t="str">
        <f t="shared" si="150"/>
        <v/>
      </c>
      <c r="J179" s="36" t="str">
        <f t="shared" si="151"/>
        <v/>
      </c>
      <c r="K179" s="33" t="str">
        <f t="shared" si="128"/>
        <v/>
      </c>
      <c r="L179" s="36" t="str">
        <f t="shared" si="129"/>
        <v/>
      </c>
      <c r="M179" s="36" t="str">
        <f t="shared" si="152"/>
        <v/>
      </c>
      <c r="N179" s="33" t="str">
        <f t="shared" si="153"/>
        <v/>
      </c>
      <c r="O179" s="36" t="str">
        <f t="shared" si="154"/>
        <v/>
      </c>
      <c r="P179" s="36" t="str">
        <f t="shared" si="155"/>
        <v/>
      </c>
      <c r="Q179" s="33" t="str">
        <f t="shared" si="156"/>
        <v/>
      </c>
      <c r="R179" s="1"/>
      <c r="S179" s="1"/>
      <c r="Y179" s="1" t="e">
        <f>VLOOKUP($B$6,LOOKUP_SCE,172,0)</f>
        <v>#N/A</v>
      </c>
      <c r="Z179" s="22" t="str">
        <f t="shared" si="178"/>
        <v/>
      </c>
      <c r="AA179" s="23">
        <f t="shared" si="157"/>
        <v>7</v>
      </c>
      <c r="AB179" s="55" t="e">
        <f t="shared" si="179"/>
        <v>#N/A</v>
      </c>
      <c r="AC179" s="38" t="e">
        <f t="shared" si="158"/>
        <v>#N/A</v>
      </c>
      <c r="AD179" s="38" t="e">
        <f t="shared" si="159"/>
        <v>#N/A</v>
      </c>
      <c r="AE179" s="415" t="e">
        <f t="shared" si="180"/>
        <v>#N/A</v>
      </c>
      <c r="AF179" s="10">
        <f t="shared" si="160"/>
        <v>7</v>
      </c>
      <c r="AG179" s="38" t="e">
        <f t="shared" si="133"/>
        <v>#N/A</v>
      </c>
      <c r="AH179" s="38" t="e">
        <f t="shared" si="161"/>
        <v>#N/A</v>
      </c>
      <c r="AI179" s="10" t="e">
        <f t="shared" si="181"/>
        <v>#N/A</v>
      </c>
      <c r="AJ179" s="39" t="e">
        <f t="shared" si="162"/>
        <v>#N/A</v>
      </c>
      <c r="AK179" s="40" t="e">
        <f t="shared" si="135"/>
        <v>#N/A</v>
      </c>
      <c r="AL179" s="11" t="e">
        <f t="shared" si="182"/>
        <v>#N/A</v>
      </c>
      <c r="AM179" s="41">
        <f t="shared" si="163"/>
        <v>7</v>
      </c>
      <c r="AN179" s="57" t="e">
        <f t="shared" si="137"/>
        <v>#N/A</v>
      </c>
      <c r="AO179" s="40" t="e">
        <f t="shared" si="164"/>
        <v>#N/A</v>
      </c>
      <c r="AP179" s="417" t="e">
        <f t="shared" si="183"/>
        <v>#N/A</v>
      </c>
      <c r="AQ179" s="56">
        <f t="shared" si="165"/>
        <v>7</v>
      </c>
      <c r="AR179" s="43" t="e">
        <f t="shared" si="166"/>
        <v>#N/A</v>
      </c>
      <c r="AS179" s="44" t="e">
        <f t="shared" si="167"/>
        <v>#N/A</v>
      </c>
      <c r="AT179" s="45" t="e">
        <f t="shared" si="184"/>
        <v>#N/A</v>
      </c>
      <c r="AU179" s="14">
        <f t="shared" si="168"/>
        <v>7</v>
      </c>
      <c r="AV179" s="44" t="e">
        <f t="shared" si="140"/>
        <v>#N/A</v>
      </c>
      <c r="AW179" s="14" t="e">
        <f t="shared" si="169"/>
        <v>#N/A</v>
      </c>
      <c r="AX179" s="14" t="e">
        <f t="shared" si="185"/>
        <v>#N/A</v>
      </c>
      <c r="AY179" s="46">
        <f t="shared" si="170"/>
        <v>7</v>
      </c>
      <c r="AZ179" s="47" t="e">
        <f t="shared" si="171"/>
        <v>#N/A</v>
      </c>
      <c r="BA179" s="48" t="e">
        <f t="shared" si="172"/>
        <v>#N/A</v>
      </c>
      <c r="BB179" s="31" t="e">
        <f t="shared" si="186"/>
        <v>#N/A</v>
      </c>
      <c r="BC179" s="28">
        <f t="shared" si="173"/>
        <v>7</v>
      </c>
      <c r="BD179" s="47" t="e">
        <f t="shared" si="174"/>
        <v>#N/A</v>
      </c>
      <c r="BE179" s="48" t="e">
        <f t="shared" si="175"/>
        <v>#N/A</v>
      </c>
      <c r="BF179" s="31" t="e">
        <f t="shared" si="187"/>
        <v>#N/A</v>
      </c>
      <c r="BG179" s="49" t="e">
        <f t="shared" si="188"/>
        <v>#N/A</v>
      </c>
      <c r="BH179" s="1" t="e">
        <f>VLOOKUP($B179,STOCK_BY_LA!$A$2:$C$10477,3,0)</f>
        <v>#N/A</v>
      </c>
      <c r="BI179" s="1" t="str">
        <f t="shared" si="176"/>
        <v/>
      </c>
    </row>
    <row r="180" spans="1:61" x14ac:dyDescent="0.35">
      <c r="A180" s="1" t="str">
        <f t="shared" si="189"/>
        <v/>
      </c>
      <c r="B180" s="1" t="str">
        <f t="shared" si="177"/>
        <v/>
      </c>
      <c r="C180" s="50" t="str">
        <f t="shared" si="146"/>
        <v/>
      </c>
      <c r="D180" s="33" t="str">
        <f>IF(B180="","",IF('totals_&amp;_RP_counts'!$O$3=0,IFERROR(IF(AA180=2,"0",AB180),""),"-"))</f>
        <v/>
      </c>
      <c r="E180" s="35" t="str">
        <f t="shared" si="147"/>
        <v/>
      </c>
      <c r="F180" s="36" t="str">
        <f t="shared" si="148"/>
        <v/>
      </c>
      <c r="G180" s="36" t="str">
        <f t="shared" si="149"/>
        <v/>
      </c>
      <c r="H180" s="33" t="str">
        <f t="shared" si="127"/>
        <v/>
      </c>
      <c r="I180" s="36" t="str">
        <f t="shared" si="150"/>
        <v/>
      </c>
      <c r="J180" s="36" t="str">
        <f t="shared" si="151"/>
        <v/>
      </c>
      <c r="K180" s="33" t="str">
        <f t="shared" si="128"/>
        <v/>
      </c>
      <c r="L180" s="36" t="str">
        <f t="shared" si="129"/>
        <v/>
      </c>
      <c r="M180" s="36" t="str">
        <f t="shared" si="152"/>
        <v/>
      </c>
      <c r="N180" s="33" t="str">
        <f t="shared" si="153"/>
        <v/>
      </c>
      <c r="O180" s="36" t="str">
        <f t="shared" si="154"/>
        <v/>
      </c>
      <c r="P180" s="36" t="str">
        <f t="shared" si="155"/>
        <v/>
      </c>
      <c r="Q180" s="33" t="str">
        <f t="shared" si="156"/>
        <v/>
      </c>
      <c r="R180" s="1"/>
      <c r="S180" s="1"/>
      <c r="Y180" s="1" t="e">
        <f>VLOOKUP($B$6,LOOKUP_SCE,173,0)</f>
        <v>#N/A</v>
      </c>
      <c r="Z180" s="22" t="str">
        <f t="shared" si="178"/>
        <v/>
      </c>
      <c r="AA180" s="23">
        <f t="shared" si="157"/>
        <v>7</v>
      </c>
      <c r="AB180" s="55" t="e">
        <f t="shared" si="179"/>
        <v>#N/A</v>
      </c>
      <c r="AC180" s="38" t="e">
        <f t="shared" si="158"/>
        <v>#N/A</v>
      </c>
      <c r="AD180" s="38" t="e">
        <f t="shared" si="159"/>
        <v>#N/A</v>
      </c>
      <c r="AE180" s="415" t="e">
        <f t="shared" si="180"/>
        <v>#N/A</v>
      </c>
      <c r="AF180" s="10">
        <f t="shared" si="160"/>
        <v>7</v>
      </c>
      <c r="AG180" s="38" t="e">
        <f t="shared" si="133"/>
        <v>#N/A</v>
      </c>
      <c r="AH180" s="38" t="e">
        <f t="shared" si="161"/>
        <v>#N/A</v>
      </c>
      <c r="AI180" s="10" t="e">
        <f t="shared" si="181"/>
        <v>#N/A</v>
      </c>
      <c r="AJ180" s="39" t="e">
        <f t="shared" si="162"/>
        <v>#N/A</v>
      </c>
      <c r="AK180" s="40" t="e">
        <f t="shared" si="135"/>
        <v>#N/A</v>
      </c>
      <c r="AL180" s="11" t="e">
        <f t="shared" si="182"/>
        <v>#N/A</v>
      </c>
      <c r="AM180" s="41">
        <f t="shared" si="163"/>
        <v>7</v>
      </c>
      <c r="AN180" s="57" t="e">
        <f t="shared" si="137"/>
        <v>#N/A</v>
      </c>
      <c r="AO180" s="40" t="e">
        <f t="shared" si="164"/>
        <v>#N/A</v>
      </c>
      <c r="AP180" s="417" t="e">
        <f t="shared" si="183"/>
        <v>#N/A</v>
      </c>
      <c r="AQ180" s="56">
        <f t="shared" si="165"/>
        <v>7</v>
      </c>
      <c r="AR180" s="43" t="e">
        <f t="shared" si="166"/>
        <v>#N/A</v>
      </c>
      <c r="AS180" s="44" t="e">
        <f t="shared" si="167"/>
        <v>#N/A</v>
      </c>
      <c r="AT180" s="45" t="e">
        <f t="shared" si="184"/>
        <v>#N/A</v>
      </c>
      <c r="AU180" s="14">
        <f t="shared" si="168"/>
        <v>7</v>
      </c>
      <c r="AV180" s="44" t="e">
        <f t="shared" si="140"/>
        <v>#N/A</v>
      </c>
      <c r="AW180" s="14" t="e">
        <f t="shared" si="169"/>
        <v>#N/A</v>
      </c>
      <c r="AX180" s="14" t="e">
        <f t="shared" si="185"/>
        <v>#N/A</v>
      </c>
      <c r="AY180" s="46">
        <f t="shared" si="170"/>
        <v>7</v>
      </c>
      <c r="AZ180" s="47" t="e">
        <f t="shared" si="171"/>
        <v>#N/A</v>
      </c>
      <c r="BA180" s="48" t="e">
        <f t="shared" si="172"/>
        <v>#N/A</v>
      </c>
      <c r="BB180" s="31" t="e">
        <f t="shared" si="186"/>
        <v>#N/A</v>
      </c>
      <c r="BC180" s="28">
        <f t="shared" si="173"/>
        <v>7</v>
      </c>
      <c r="BD180" s="47" t="e">
        <f t="shared" si="174"/>
        <v>#N/A</v>
      </c>
      <c r="BE180" s="48" t="e">
        <f t="shared" si="175"/>
        <v>#N/A</v>
      </c>
      <c r="BF180" s="31" t="e">
        <f t="shared" si="187"/>
        <v>#N/A</v>
      </c>
      <c r="BG180" s="49" t="e">
        <f t="shared" si="188"/>
        <v>#N/A</v>
      </c>
      <c r="BH180" s="1" t="e">
        <f>VLOOKUP($B180,STOCK_BY_LA!$A$2:$C$10477,3,0)</f>
        <v>#N/A</v>
      </c>
      <c r="BI180" s="1" t="str">
        <f t="shared" si="176"/>
        <v/>
      </c>
    </row>
    <row r="181" spans="1:61" x14ac:dyDescent="0.35">
      <c r="A181" s="33" t="str">
        <f t="shared" si="189"/>
        <v/>
      </c>
      <c r="B181" s="1" t="str">
        <f t="shared" si="177"/>
        <v/>
      </c>
      <c r="C181" s="34" t="str">
        <f t="shared" si="146"/>
        <v/>
      </c>
      <c r="D181" s="33" t="str">
        <f>IF(B181="","",IF('totals_&amp;_RP_counts'!$O$3=0,IFERROR(IF(AA181=2,"0",AB181),""),"-"))</f>
        <v/>
      </c>
      <c r="E181" s="35" t="str">
        <f t="shared" si="147"/>
        <v/>
      </c>
      <c r="F181" s="36" t="str">
        <f t="shared" si="148"/>
        <v/>
      </c>
      <c r="G181" s="36" t="str">
        <f t="shared" si="149"/>
        <v/>
      </c>
      <c r="H181" s="33" t="str">
        <f t="shared" si="127"/>
        <v/>
      </c>
      <c r="I181" s="36" t="str">
        <f t="shared" si="150"/>
        <v/>
      </c>
      <c r="J181" s="36" t="str">
        <f t="shared" si="151"/>
        <v/>
      </c>
      <c r="K181" s="33" t="str">
        <f t="shared" si="128"/>
        <v/>
      </c>
      <c r="L181" s="36" t="str">
        <f t="shared" si="129"/>
        <v/>
      </c>
      <c r="M181" s="36" t="str">
        <f t="shared" si="152"/>
        <v/>
      </c>
      <c r="N181" s="33" t="str">
        <f t="shared" si="153"/>
        <v/>
      </c>
      <c r="O181" s="36" t="str">
        <f t="shared" si="154"/>
        <v/>
      </c>
      <c r="P181" s="36" t="str">
        <f t="shared" si="155"/>
        <v/>
      </c>
      <c r="Q181" s="33" t="str">
        <f t="shared" si="156"/>
        <v/>
      </c>
      <c r="R181" s="1"/>
      <c r="S181" s="1"/>
      <c r="Y181" s="1" t="e">
        <f>VLOOKUP($B$6,LOOKUP_SCE,174,0)</f>
        <v>#N/A</v>
      </c>
      <c r="Z181" s="22" t="str">
        <f t="shared" si="178"/>
        <v/>
      </c>
      <c r="AA181" s="23">
        <f t="shared" si="157"/>
        <v>7</v>
      </c>
      <c r="AB181" s="55" t="e">
        <f t="shared" si="179"/>
        <v>#N/A</v>
      </c>
      <c r="AC181" s="38" t="e">
        <f t="shared" si="158"/>
        <v>#N/A</v>
      </c>
      <c r="AD181" s="38" t="e">
        <f t="shared" si="159"/>
        <v>#N/A</v>
      </c>
      <c r="AE181" s="415" t="e">
        <f t="shared" si="180"/>
        <v>#N/A</v>
      </c>
      <c r="AF181" s="10">
        <f t="shared" si="160"/>
        <v>7</v>
      </c>
      <c r="AG181" s="38" t="e">
        <f t="shared" si="133"/>
        <v>#N/A</v>
      </c>
      <c r="AH181" s="38" t="e">
        <f t="shared" si="161"/>
        <v>#N/A</v>
      </c>
      <c r="AI181" s="10" t="e">
        <f t="shared" si="181"/>
        <v>#N/A</v>
      </c>
      <c r="AJ181" s="39" t="e">
        <f t="shared" si="162"/>
        <v>#N/A</v>
      </c>
      <c r="AK181" s="40" t="e">
        <f t="shared" si="135"/>
        <v>#N/A</v>
      </c>
      <c r="AL181" s="11" t="e">
        <f t="shared" si="182"/>
        <v>#N/A</v>
      </c>
      <c r="AM181" s="41">
        <f t="shared" si="163"/>
        <v>7</v>
      </c>
      <c r="AN181" s="57" t="e">
        <f t="shared" si="137"/>
        <v>#N/A</v>
      </c>
      <c r="AO181" s="40" t="e">
        <f t="shared" si="164"/>
        <v>#N/A</v>
      </c>
      <c r="AP181" s="417" t="e">
        <f t="shared" si="183"/>
        <v>#N/A</v>
      </c>
      <c r="AQ181" s="56">
        <f t="shared" si="165"/>
        <v>7</v>
      </c>
      <c r="AR181" s="43" t="e">
        <f t="shared" si="166"/>
        <v>#N/A</v>
      </c>
      <c r="AS181" s="44" t="e">
        <f t="shared" si="167"/>
        <v>#N/A</v>
      </c>
      <c r="AT181" s="45" t="e">
        <f t="shared" si="184"/>
        <v>#N/A</v>
      </c>
      <c r="AU181" s="14">
        <f t="shared" si="168"/>
        <v>7</v>
      </c>
      <c r="AV181" s="44" t="e">
        <f t="shared" si="140"/>
        <v>#N/A</v>
      </c>
      <c r="AW181" s="14" t="e">
        <f t="shared" si="169"/>
        <v>#N/A</v>
      </c>
      <c r="AX181" s="14" t="e">
        <f t="shared" si="185"/>
        <v>#N/A</v>
      </c>
      <c r="AY181" s="46">
        <f t="shared" si="170"/>
        <v>7</v>
      </c>
      <c r="AZ181" s="47" t="e">
        <f t="shared" si="171"/>
        <v>#N/A</v>
      </c>
      <c r="BA181" s="48" t="e">
        <f t="shared" si="172"/>
        <v>#N/A</v>
      </c>
      <c r="BB181" s="31" t="e">
        <f t="shared" si="186"/>
        <v>#N/A</v>
      </c>
      <c r="BC181" s="28">
        <f t="shared" si="173"/>
        <v>7</v>
      </c>
      <c r="BD181" s="47" t="e">
        <f t="shared" si="174"/>
        <v>#N/A</v>
      </c>
      <c r="BE181" s="48" t="e">
        <f t="shared" si="175"/>
        <v>#N/A</v>
      </c>
      <c r="BF181" s="31" t="e">
        <f t="shared" si="187"/>
        <v>#N/A</v>
      </c>
      <c r="BG181" s="49" t="e">
        <f t="shared" si="188"/>
        <v>#N/A</v>
      </c>
      <c r="BH181" s="1" t="e">
        <f>VLOOKUP($B181,STOCK_BY_LA!$A$2:$C$10477,3,0)</f>
        <v>#N/A</v>
      </c>
      <c r="BI181" s="1" t="str">
        <f t="shared" si="176"/>
        <v/>
      </c>
    </row>
    <row r="182" spans="1:61" x14ac:dyDescent="0.35">
      <c r="A182" s="1" t="str">
        <f t="shared" si="189"/>
        <v/>
      </c>
      <c r="B182" s="1" t="str">
        <f t="shared" si="177"/>
        <v/>
      </c>
      <c r="C182" s="50" t="str">
        <f t="shared" si="146"/>
        <v/>
      </c>
      <c r="D182" s="33" t="str">
        <f>IF(B182="","",IF('totals_&amp;_RP_counts'!$O$3=0,IFERROR(IF(AA182=2,"0",AB182),""),"-"))</f>
        <v/>
      </c>
      <c r="E182" s="35" t="str">
        <f t="shared" si="147"/>
        <v/>
      </c>
      <c r="F182" s="36" t="str">
        <f t="shared" si="148"/>
        <v/>
      </c>
      <c r="G182" s="36" t="str">
        <f t="shared" si="149"/>
        <v/>
      </c>
      <c r="H182" s="33" t="str">
        <f t="shared" si="127"/>
        <v/>
      </c>
      <c r="I182" s="36" t="str">
        <f t="shared" si="150"/>
        <v/>
      </c>
      <c r="J182" s="36" t="str">
        <f t="shared" si="151"/>
        <v/>
      </c>
      <c r="K182" s="33" t="str">
        <f t="shared" si="128"/>
        <v/>
      </c>
      <c r="L182" s="36" t="str">
        <f t="shared" si="129"/>
        <v/>
      </c>
      <c r="M182" s="36" t="str">
        <f t="shared" si="152"/>
        <v/>
      </c>
      <c r="N182" s="33" t="str">
        <f t="shared" si="153"/>
        <v/>
      </c>
      <c r="O182" s="36" t="str">
        <f t="shared" si="154"/>
        <v/>
      </c>
      <c r="P182" s="36" t="str">
        <f t="shared" si="155"/>
        <v/>
      </c>
      <c r="Q182" s="33" t="str">
        <f t="shared" si="156"/>
        <v/>
      </c>
      <c r="R182" s="1"/>
      <c r="S182" s="1"/>
      <c r="Y182" s="1" t="e">
        <f>VLOOKUP($B$6,LOOKUP_SCE,175,0)</f>
        <v>#N/A</v>
      </c>
      <c r="Z182" s="22" t="str">
        <f t="shared" si="178"/>
        <v/>
      </c>
      <c r="AA182" s="23">
        <f t="shared" si="157"/>
        <v>7</v>
      </c>
      <c r="AB182" s="55" t="e">
        <f t="shared" si="179"/>
        <v>#N/A</v>
      </c>
      <c r="AC182" s="38" t="e">
        <f t="shared" si="158"/>
        <v>#N/A</v>
      </c>
      <c r="AD182" s="38" t="e">
        <f t="shared" si="159"/>
        <v>#N/A</v>
      </c>
      <c r="AE182" s="415" t="e">
        <f t="shared" si="180"/>
        <v>#N/A</v>
      </c>
      <c r="AF182" s="10">
        <f t="shared" si="160"/>
        <v>7</v>
      </c>
      <c r="AG182" s="38" t="e">
        <f t="shared" si="133"/>
        <v>#N/A</v>
      </c>
      <c r="AH182" s="38" t="e">
        <f t="shared" si="161"/>
        <v>#N/A</v>
      </c>
      <c r="AI182" s="10" t="e">
        <f t="shared" si="181"/>
        <v>#N/A</v>
      </c>
      <c r="AJ182" s="39" t="e">
        <f t="shared" si="162"/>
        <v>#N/A</v>
      </c>
      <c r="AK182" s="40" t="e">
        <f t="shared" si="135"/>
        <v>#N/A</v>
      </c>
      <c r="AL182" s="11" t="e">
        <f t="shared" si="182"/>
        <v>#N/A</v>
      </c>
      <c r="AM182" s="41">
        <f t="shared" si="163"/>
        <v>7</v>
      </c>
      <c r="AN182" s="57" t="e">
        <f t="shared" si="137"/>
        <v>#N/A</v>
      </c>
      <c r="AO182" s="40" t="e">
        <f t="shared" si="164"/>
        <v>#N/A</v>
      </c>
      <c r="AP182" s="417" t="e">
        <f t="shared" si="183"/>
        <v>#N/A</v>
      </c>
      <c r="AQ182" s="56">
        <f t="shared" si="165"/>
        <v>7</v>
      </c>
      <c r="AR182" s="43" t="e">
        <f t="shared" si="166"/>
        <v>#N/A</v>
      </c>
      <c r="AS182" s="44" t="e">
        <f t="shared" si="167"/>
        <v>#N/A</v>
      </c>
      <c r="AT182" s="45" t="e">
        <f t="shared" si="184"/>
        <v>#N/A</v>
      </c>
      <c r="AU182" s="14">
        <f t="shared" si="168"/>
        <v>7</v>
      </c>
      <c r="AV182" s="44" t="e">
        <f t="shared" si="140"/>
        <v>#N/A</v>
      </c>
      <c r="AW182" s="14" t="e">
        <f t="shared" si="169"/>
        <v>#N/A</v>
      </c>
      <c r="AX182" s="14" t="e">
        <f t="shared" si="185"/>
        <v>#N/A</v>
      </c>
      <c r="AY182" s="46">
        <f t="shared" si="170"/>
        <v>7</v>
      </c>
      <c r="AZ182" s="47" t="e">
        <f t="shared" si="171"/>
        <v>#N/A</v>
      </c>
      <c r="BA182" s="48" t="e">
        <f t="shared" si="172"/>
        <v>#N/A</v>
      </c>
      <c r="BB182" s="31" t="e">
        <f t="shared" si="186"/>
        <v>#N/A</v>
      </c>
      <c r="BC182" s="28">
        <f t="shared" si="173"/>
        <v>7</v>
      </c>
      <c r="BD182" s="47" t="e">
        <f t="shared" si="174"/>
        <v>#N/A</v>
      </c>
      <c r="BE182" s="48" t="e">
        <f t="shared" si="175"/>
        <v>#N/A</v>
      </c>
      <c r="BF182" s="31" t="e">
        <f t="shared" si="187"/>
        <v>#N/A</v>
      </c>
      <c r="BG182" s="49" t="e">
        <f t="shared" si="188"/>
        <v>#N/A</v>
      </c>
      <c r="BH182" s="1" t="e">
        <f>VLOOKUP($B182,STOCK_BY_LA!$A$2:$C$10477,3,0)</f>
        <v>#N/A</v>
      </c>
      <c r="BI182" s="1" t="str">
        <f t="shared" si="176"/>
        <v/>
      </c>
    </row>
    <row r="183" spans="1:61" x14ac:dyDescent="0.35">
      <c r="A183" s="33" t="str">
        <f t="shared" si="189"/>
        <v/>
      </c>
      <c r="B183" s="1" t="str">
        <f t="shared" si="177"/>
        <v/>
      </c>
      <c r="C183" s="34" t="str">
        <f t="shared" si="146"/>
        <v/>
      </c>
      <c r="D183" s="33" t="str">
        <f>IF(B183="","",IF('totals_&amp;_RP_counts'!$O$3=0,IFERROR(IF(AA183=2,"0",AB183),""),"-"))</f>
        <v/>
      </c>
      <c r="E183" s="35" t="str">
        <f t="shared" si="147"/>
        <v/>
      </c>
      <c r="F183" s="36" t="str">
        <f t="shared" si="148"/>
        <v/>
      </c>
      <c r="G183" s="36" t="str">
        <f t="shared" si="149"/>
        <v/>
      </c>
      <c r="H183" s="33" t="str">
        <f t="shared" si="127"/>
        <v/>
      </c>
      <c r="I183" s="36" t="str">
        <f t="shared" si="150"/>
        <v/>
      </c>
      <c r="J183" s="36" t="str">
        <f t="shared" si="151"/>
        <v/>
      </c>
      <c r="K183" s="33" t="str">
        <f t="shared" si="128"/>
        <v/>
      </c>
      <c r="L183" s="36" t="str">
        <f t="shared" si="129"/>
        <v/>
      </c>
      <c r="M183" s="36" t="str">
        <f t="shared" si="152"/>
        <v/>
      </c>
      <c r="N183" s="33" t="str">
        <f t="shared" si="153"/>
        <v/>
      </c>
      <c r="O183" s="36" t="str">
        <f t="shared" si="154"/>
        <v/>
      </c>
      <c r="P183" s="36" t="str">
        <f t="shared" si="155"/>
        <v/>
      </c>
      <c r="Q183" s="33" t="str">
        <f t="shared" si="156"/>
        <v/>
      </c>
      <c r="R183" s="1"/>
      <c r="S183" s="1"/>
      <c r="Y183" s="1" t="e">
        <f>VLOOKUP($B$6,LOOKUP_SCE,176,0)</f>
        <v>#N/A</v>
      </c>
      <c r="Z183" s="22" t="str">
        <f t="shared" si="178"/>
        <v/>
      </c>
      <c r="AA183" s="23">
        <f t="shared" si="157"/>
        <v>7</v>
      </c>
      <c r="AB183" s="55" t="e">
        <f t="shared" si="179"/>
        <v>#N/A</v>
      </c>
      <c r="AC183" s="38" t="e">
        <f t="shared" si="158"/>
        <v>#N/A</v>
      </c>
      <c r="AD183" s="38" t="e">
        <f t="shared" si="159"/>
        <v>#N/A</v>
      </c>
      <c r="AE183" s="415" t="e">
        <f t="shared" si="180"/>
        <v>#N/A</v>
      </c>
      <c r="AF183" s="10">
        <f t="shared" si="160"/>
        <v>7</v>
      </c>
      <c r="AG183" s="38" t="e">
        <f t="shared" si="133"/>
        <v>#N/A</v>
      </c>
      <c r="AH183" s="38" t="e">
        <f t="shared" si="161"/>
        <v>#N/A</v>
      </c>
      <c r="AI183" s="10" t="e">
        <f t="shared" si="181"/>
        <v>#N/A</v>
      </c>
      <c r="AJ183" s="39" t="e">
        <f t="shared" si="162"/>
        <v>#N/A</v>
      </c>
      <c r="AK183" s="40" t="e">
        <f t="shared" si="135"/>
        <v>#N/A</v>
      </c>
      <c r="AL183" s="11" t="e">
        <f t="shared" si="182"/>
        <v>#N/A</v>
      </c>
      <c r="AM183" s="41">
        <f t="shared" si="163"/>
        <v>7</v>
      </c>
      <c r="AN183" s="57" t="e">
        <f t="shared" si="137"/>
        <v>#N/A</v>
      </c>
      <c r="AO183" s="40" t="e">
        <f t="shared" si="164"/>
        <v>#N/A</v>
      </c>
      <c r="AP183" s="417" t="e">
        <f t="shared" si="183"/>
        <v>#N/A</v>
      </c>
      <c r="AQ183" s="56">
        <f t="shared" si="165"/>
        <v>7</v>
      </c>
      <c r="AR183" s="43" t="e">
        <f t="shared" si="166"/>
        <v>#N/A</v>
      </c>
      <c r="AS183" s="44" t="e">
        <f t="shared" si="167"/>
        <v>#N/A</v>
      </c>
      <c r="AT183" s="45" t="e">
        <f t="shared" si="184"/>
        <v>#N/A</v>
      </c>
      <c r="AU183" s="14">
        <f t="shared" si="168"/>
        <v>7</v>
      </c>
      <c r="AV183" s="44" t="e">
        <f t="shared" si="140"/>
        <v>#N/A</v>
      </c>
      <c r="AW183" s="14" t="e">
        <f t="shared" si="169"/>
        <v>#N/A</v>
      </c>
      <c r="AX183" s="14" t="e">
        <f t="shared" si="185"/>
        <v>#N/A</v>
      </c>
      <c r="AY183" s="46">
        <f t="shared" si="170"/>
        <v>7</v>
      </c>
      <c r="AZ183" s="47" t="e">
        <f t="shared" si="171"/>
        <v>#N/A</v>
      </c>
      <c r="BA183" s="48" t="e">
        <f t="shared" si="172"/>
        <v>#N/A</v>
      </c>
      <c r="BB183" s="31" t="e">
        <f t="shared" si="186"/>
        <v>#N/A</v>
      </c>
      <c r="BC183" s="28">
        <f t="shared" si="173"/>
        <v>7</v>
      </c>
      <c r="BD183" s="47" t="e">
        <f t="shared" si="174"/>
        <v>#N/A</v>
      </c>
      <c r="BE183" s="48" t="e">
        <f t="shared" si="175"/>
        <v>#N/A</v>
      </c>
      <c r="BF183" s="31" t="e">
        <f t="shared" si="187"/>
        <v>#N/A</v>
      </c>
      <c r="BG183" s="49" t="e">
        <f t="shared" si="188"/>
        <v>#N/A</v>
      </c>
      <c r="BH183" s="1" t="e">
        <f>VLOOKUP($B183,STOCK_BY_LA!$A$2:$C$10477,3,0)</f>
        <v>#N/A</v>
      </c>
      <c r="BI183" s="1" t="str">
        <f t="shared" si="176"/>
        <v/>
      </c>
    </row>
    <row r="184" spans="1:61" x14ac:dyDescent="0.35">
      <c r="A184" s="1" t="str">
        <f t="shared" si="189"/>
        <v/>
      </c>
      <c r="B184" s="1" t="str">
        <f t="shared" si="177"/>
        <v/>
      </c>
      <c r="C184" s="50" t="str">
        <f t="shared" si="146"/>
        <v/>
      </c>
      <c r="D184" s="33" t="str">
        <f>IF(B184="","",IF('totals_&amp;_RP_counts'!$O$3=0,IFERROR(IF(AA184=2,"0",AB184),""),"-"))</f>
        <v/>
      </c>
      <c r="E184" s="35" t="str">
        <f t="shared" si="147"/>
        <v/>
      </c>
      <c r="F184" s="36" t="str">
        <f t="shared" si="148"/>
        <v/>
      </c>
      <c r="G184" s="36" t="str">
        <f t="shared" si="149"/>
        <v/>
      </c>
      <c r="H184" s="33" t="str">
        <f t="shared" si="127"/>
        <v/>
      </c>
      <c r="I184" s="36" t="str">
        <f t="shared" si="150"/>
        <v/>
      </c>
      <c r="J184" s="36" t="str">
        <f t="shared" si="151"/>
        <v/>
      </c>
      <c r="K184" s="33" t="str">
        <f t="shared" si="128"/>
        <v/>
      </c>
      <c r="L184" s="36" t="str">
        <f t="shared" si="129"/>
        <v/>
      </c>
      <c r="M184" s="36" t="str">
        <f t="shared" si="152"/>
        <v/>
      </c>
      <c r="N184" s="33" t="str">
        <f t="shared" si="153"/>
        <v/>
      </c>
      <c r="O184" s="36" t="str">
        <f t="shared" si="154"/>
        <v/>
      </c>
      <c r="P184" s="36" t="str">
        <f t="shared" si="155"/>
        <v/>
      </c>
      <c r="Q184" s="33" t="str">
        <f t="shared" si="156"/>
        <v/>
      </c>
      <c r="R184" s="1"/>
      <c r="S184" s="1"/>
      <c r="Y184" s="1" t="e">
        <f>VLOOKUP($B$6,LOOKUP_SCE,177,0)</f>
        <v>#N/A</v>
      </c>
      <c r="Z184" s="22" t="str">
        <f t="shared" si="178"/>
        <v/>
      </c>
      <c r="AA184" s="23">
        <f t="shared" si="157"/>
        <v>7</v>
      </c>
      <c r="AB184" s="55" t="e">
        <f t="shared" si="179"/>
        <v>#N/A</v>
      </c>
      <c r="AC184" s="38" t="e">
        <f t="shared" si="158"/>
        <v>#N/A</v>
      </c>
      <c r="AD184" s="38" t="e">
        <f t="shared" si="159"/>
        <v>#N/A</v>
      </c>
      <c r="AE184" s="415" t="e">
        <f t="shared" si="180"/>
        <v>#N/A</v>
      </c>
      <c r="AF184" s="10">
        <f t="shared" si="160"/>
        <v>7</v>
      </c>
      <c r="AG184" s="38" t="e">
        <f t="shared" si="133"/>
        <v>#N/A</v>
      </c>
      <c r="AH184" s="38" t="e">
        <f t="shared" si="161"/>
        <v>#N/A</v>
      </c>
      <c r="AI184" s="10" t="e">
        <f t="shared" si="181"/>
        <v>#N/A</v>
      </c>
      <c r="AJ184" s="39" t="e">
        <f t="shared" si="162"/>
        <v>#N/A</v>
      </c>
      <c r="AK184" s="40" t="e">
        <f t="shared" si="135"/>
        <v>#N/A</v>
      </c>
      <c r="AL184" s="11" t="e">
        <f t="shared" si="182"/>
        <v>#N/A</v>
      </c>
      <c r="AM184" s="41">
        <f t="shared" si="163"/>
        <v>7</v>
      </c>
      <c r="AN184" s="57" t="e">
        <f t="shared" si="137"/>
        <v>#N/A</v>
      </c>
      <c r="AO184" s="40" t="e">
        <f t="shared" si="164"/>
        <v>#N/A</v>
      </c>
      <c r="AP184" s="417" t="e">
        <f t="shared" si="183"/>
        <v>#N/A</v>
      </c>
      <c r="AQ184" s="56">
        <f t="shared" si="165"/>
        <v>7</v>
      </c>
      <c r="AR184" s="43" t="e">
        <f t="shared" si="166"/>
        <v>#N/A</v>
      </c>
      <c r="AS184" s="44" t="e">
        <f t="shared" si="167"/>
        <v>#N/A</v>
      </c>
      <c r="AT184" s="45" t="e">
        <f t="shared" si="184"/>
        <v>#N/A</v>
      </c>
      <c r="AU184" s="14">
        <f t="shared" si="168"/>
        <v>7</v>
      </c>
      <c r="AV184" s="44" t="e">
        <f t="shared" si="140"/>
        <v>#N/A</v>
      </c>
      <c r="AW184" s="14" t="e">
        <f t="shared" si="169"/>
        <v>#N/A</v>
      </c>
      <c r="AX184" s="14" t="e">
        <f t="shared" si="185"/>
        <v>#N/A</v>
      </c>
      <c r="AY184" s="46">
        <f t="shared" si="170"/>
        <v>7</v>
      </c>
      <c r="AZ184" s="47" t="e">
        <f t="shared" si="171"/>
        <v>#N/A</v>
      </c>
      <c r="BA184" s="48" t="e">
        <f t="shared" si="172"/>
        <v>#N/A</v>
      </c>
      <c r="BB184" s="31" t="e">
        <f t="shared" si="186"/>
        <v>#N/A</v>
      </c>
      <c r="BC184" s="28">
        <f t="shared" si="173"/>
        <v>7</v>
      </c>
      <c r="BD184" s="47" t="e">
        <f t="shared" si="174"/>
        <v>#N/A</v>
      </c>
      <c r="BE184" s="48" t="e">
        <f t="shared" si="175"/>
        <v>#N/A</v>
      </c>
      <c r="BF184" s="31" t="e">
        <f t="shared" si="187"/>
        <v>#N/A</v>
      </c>
      <c r="BG184" s="49" t="e">
        <f t="shared" si="188"/>
        <v>#N/A</v>
      </c>
      <c r="BH184" s="1" t="e">
        <f>VLOOKUP($B184,STOCK_BY_LA!$A$2:$C$10477,3,0)</f>
        <v>#N/A</v>
      </c>
      <c r="BI184" s="1" t="str">
        <f t="shared" si="176"/>
        <v/>
      </c>
    </row>
    <row r="185" spans="1:61" x14ac:dyDescent="0.35">
      <c r="A185" s="33" t="str">
        <f t="shared" si="189"/>
        <v/>
      </c>
      <c r="B185" s="1" t="str">
        <f t="shared" si="177"/>
        <v/>
      </c>
      <c r="C185" s="34" t="str">
        <f t="shared" si="146"/>
        <v/>
      </c>
      <c r="D185" s="33" t="str">
        <f>IF(B185="","",IF('totals_&amp;_RP_counts'!$O$3=0,IFERROR(IF(AA185=2,"0",AB185),""),"-"))</f>
        <v/>
      </c>
      <c r="E185" s="35" t="str">
        <f t="shared" si="147"/>
        <v/>
      </c>
      <c r="F185" s="36" t="str">
        <f t="shared" si="148"/>
        <v/>
      </c>
      <c r="G185" s="36" t="str">
        <f t="shared" si="149"/>
        <v/>
      </c>
      <c r="H185" s="33" t="str">
        <f t="shared" si="127"/>
        <v/>
      </c>
      <c r="I185" s="36" t="str">
        <f t="shared" si="150"/>
        <v/>
      </c>
      <c r="J185" s="36" t="str">
        <f t="shared" si="151"/>
        <v/>
      </c>
      <c r="K185" s="33" t="str">
        <f t="shared" si="128"/>
        <v/>
      </c>
      <c r="L185" s="36" t="str">
        <f t="shared" si="129"/>
        <v/>
      </c>
      <c r="M185" s="36" t="str">
        <f t="shared" si="152"/>
        <v/>
      </c>
      <c r="N185" s="33" t="str">
        <f t="shared" si="153"/>
        <v/>
      </c>
      <c r="O185" s="36" t="str">
        <f t="shared" si="154"/>
        <v/>
      </c>
      <c r="P185" s="36" t="str">
        <f t="shared" si="155"/>
        <v/>
      </c>
      <c r="Q185" s="33" t="str">
        <f t="shared" si="156"/>
        <v/>
      </c>
      <c r="R185" s="1"/>
      <c r="S185" s="1"/>
      <c r="Y185" s="1" t="e">
        <f>VLOOKUP($B$6,LOOKUP_SCE,178,0)</f>
        <v>#N/A</v>
      </c>
      <c r="Z185" s="22" t="str">
        <f t="shared" si="178"/>
        <v/>
      </c>
      <c r="AA185" s="23">
        <f t="shared" si="157"/>
        <v>7</v>
      </c>
      <c r="AB185" s="55" t="e">
        <f t="shared" si="179"/>
        <v>#N/A</v>
      </c>
      <c r="AC185" s="38" t="e">
        <f t="shared" si="158"/>
        <v>#N/A</v>
      </c>
      <c r="AD185" s="38" t="e">
        <f t="shared" si="159"/>
        <v>#N/A</v>
      </c>
      <c r="AE185" s="415" t="e">
        <f t="shared" si="180"/>
        <v>#N/A</v>
      </c>
      <c r="AF185" s="10">
        <f t="shared" si="160"/>
        <v>7</v>
      </c>
      <c r="AG185" s="38" t="e">
        <f t="shared" si="133"/>
        <v>#N/A</v>
      </c>
      <c r="AH185" s="38" t="e">
        <f t="shared" si="161"/>
        <v>#N/A</v>
      </c>
      <c r="AI185" s="10" t="e">
        <f t="shared" si="181"/>
        <v>#N/A</v>
      </c>
      <c r="AJ185" s="39" t="e">
        <f t="shared" si="162"/>
        <v>#N/A</v>
      </c>
      <c r="AK185" s="40" t="e">
        <f t="shared" si="135"/>
        <v>#N/A</v>
      </c>
      <c r="AL185" s="11" t="e">
        <f t="shared" si="182"/>
        <v>#N/A</v>
      </c>
      <c r="AM185" s="41">
        <f t="shared" si="163"/>
        <v>7</v>
      </c>
      <c r="AN185" s="57" t="e">
        <f t="shared" si="137"/>
        <v>#N/A</v>
      </c>
      <c r="AO185" s="40" t="e">
        <f t="shared" si="164"/>
        <v>#N/A</v>
      </c>
      <c r="AP185" s="417" t="e">
        <f t="shared" si="183"/>
        <v>#N/A</v>
      </c>
      <c r="AQ185" s="56">
        <f t="shared" si="165"/>
        <v>7</v>
      </c>
      <c r="AR185" s="43" t="e">
        <f t="shared" si="166"/>
        <v>#N/A</v>
      </c>
      <c r="AS185" s="44" t="e">
        <f t="shared" si="167"/>
        <v>#N/A</v>
      </c>
      <c r="AT185" s="45" t="e">
        <f t="shared" si="184"/>
        <v>#N/A</v>
      </c>
      <c r="AU185" s="14">
        <f t="shared" si="168"/>
        <v>7</v>
      </c>
      <c r="AV185" s="44" t="e">
        <f t="shared" si="140"/>
        <v>#N/A</v>
      </c>
      <c r="AW185" s="14" t="e">
        <f t="shared" si="169"/>
        <v>#N/A</v>
      </c>
      <c r="AX185" s="14" t="e">
        <f t="shared" si="185"/>
        <v>#N/A</v>
      </c>
      <c r="AY185" s="46">
        <f t="shared" si="170"/>
        <v>7</v>
      </c>
      <c r="AZ185" s="47" t="e">
        <f t="shared" si="171"/>
        <v>#N/A</v>
      </c>
      <c r="BA185" s="48" t="e">
        <f t="shared" si="172"/>
        <v>#N/A</v>
      </c>
      <c r="BB185" s="31" t="e">
        <f t="shared" si="186"/>
        <v>#N/A</v>
      </c>
      <c r="BC185" s="28">
        <f t="shared" si="173"/>
        <v>7</v>
      </c>
      <c r="BD185" s="47" t="e">
        <f t="shared" si="174"/>
        <v>#N/A</v>
      </c>
      <c r="BE185" s="48" t="e">
        <f t="shared" si="175"/>
        <v>#N/A</v>
      </c>
      <c r="BF185" s="31" t="e">
        <f t="shared" si="187"/>
        <v>#N/A</v>
      </c>
      <c r="BG185" s="49" t="e">
        <f t="shared" si="188"/>
        <v>#N/A</v>
      </c>
      <c r="BH185" s="1" t="e">
        <f>VLOOKUP($B185,STOCK_BY_LA!$A$2:$C$10477,3,0)</f>
        <v>#N/A</v>
      </c>
      <c r="BI185" s="1" t="str">
        <f t="shared" si="176"/>
        <v/>
      </c>
    </row>
    <row r="186" spans="1:61" x14ac:dyDescent="0.35">
      <c r="A186" s="1" t="str">
        <f t="shared" si="189"/>
        <v/>
      </c>
      <c r="B186" s="1" t="str">
        <f t="shared" si="177"/>
        <v/>
      </c>
      <c r="C186" s="50" t="str">
        <f t="shared" si="146"/>
        <v/>
      </c>
      <c r="D186" s="33" t="str">
        <f>IF(B186="","",IF('totals_&amp;_RP_counts'!$O$3=0,IFERROR(IF(AA186=2,"0",AB186),""),"-"))</f>
        <v/>
      </c>
      <c r="E186" s="35" t="str">
        <f t="shared" si="147"/>
        <v/>
      </c>
      <c r="F186" s="36" t="str">
        <f t="shared" si="148"/>
        <v/>
      </c>
      <c r="G186" s="36" t="str">
        <f t="shared" si="149"/>
        <v/>
      </c>
      <c r="H186" s="33" t="str">
        <f t="shared" si="127"/>
        <v/>
      </c>
      <c r="I186" s="36" t="str">
        <f t="shared" si="150"/>
        <v/>
      </c>
      <c r="J186" s="36" t="str">
        <f t="shared" si="151"/>
        <v/>
      </c>
      <c r="K186" s="33" t="str">
        <f t="shared" si="128"/>
        <v/>
      </c>
      <c r="L186" s="36" t="str">
        <f t="shared" si="129"/>
        <v/>
      </c>
      <c r="M186" s="36" t="str">
        <f t="shared" si="152"/>
        <v/>
      </c>
      <c r="N186" s="33" t="str">
        <f t="shared" si="153"/>
        <v/>
      </c>
      <c r="O186" s="36" t="str">
        <f t="shared" si="154"/>
        <v/>
      </c>
      <c r="P186" s="36" t="str">
        <f t="shared" si="155"/>
        <v/>
      </c>
      <c r="Q186" s="33" t="str">
        <f t="shared" si="156"/>
        <v/>
      </c>
      <c r="R186" s="1"/>
      <c r="S186" s="1"/>
      <c r="Y186" s="1" t="e">
        <f>VLOOKUP($B$6,LOOKUP_SCE,179,0)</f>
        <v>#N/A</v>
      </c>
      <c r="Z186" s="22" t="str">
        <f t="shared" si="178"/>
        <v/>
      </c>
      <c r="AA186" s="23">
        <f t="shared" si="157"/>
        <v>7</v>
      </c>
      <c r="AB186" s="55" t="e">
        <f t="shared" si="179"/>
        <v>#N/A</v>
      </c>
      <c r="AC186" s="38" t="e">
        <f t="shared" si="158"/>
        <v>#N/A</v>
      </c>
      <c r="AD186" s="38" t="e">
        <f t="shared" si="159"/>
        <v>#N/A</v>
      </c>
      <c r="AE186" s="415" t="e">
        <f t="shared" si="180"/>
        <v>#N/A</v>
      </c>
      <c r="AF186" s="10">
        <f t="shared" si="160"/>
        <v>7</v>
      </c>
      <c r="AG186" s="38" t="e">
        <f t="shared" si="133"/>
        <v>#N/A</v>
      </c>
      <c r="AH186" s="38" t="e">
        <f t="shared" si="161"/>
        <v>#N/A</v>
      </c>
      <c r="AI186" s="10" t="e">
        <f t="shared" si="181"/>
        <v>#N/A</v>
      </c>
      <c r="AJ186" s="39" t="e">
        <f t="shared" si="162"/>
        <v>#N/A</v>
      </c>
      <c r="AK186" s="40" t="e">
        <f t="shared" si="135"/>
        <v>#N/A</v>
      </c>
      <c r="AL186" s="11" t="e">
        <f t="shared" si="182"/>
        <v>#N/A</v>
      </c>
      <c r="AM186" s="41">
        <f t="shared" si="163"/>
        <v>7</v>
      </c>
      <c r="AN186" s="57" t="e">
        <f t="shared" si="137"/>
        <v>#N/A</v>
      </c>
      <c r="AO186" s="40" t="e">
        <f t="shared" si="164"/>
        <v>#N/A</v>
      </c>
      <c r="AP186" s="417" t="e">
        <f t="shared" si="183"/>
        <v>#N/A</v>
      </c>
      <c r="AQ186" s="56">
        <f t="shared" si="165"/>
        <v>7</v>
      </c>
      <c r="AR186" s="43" t="e">
        <f t="shared" si="166"/>
        <v>#N/A</v>
      </c>
      <c r="AS186" s="44" t="e">
        <f t="shared" si="167"/>
        <v>#N/A</v>
      </c>
      <c r="AT186" s="45" t="e">
        <f t="shared" si="184"/>
        <v>#N/A</v>
      </c>
      <c r="AU186" s="14">
        <f t="shared" si="168"/>
        <v>7</v>
      </c>
      <c r="AV186" s="44" t="e">
        <f t="shared" si="140"/>
        <v>#N/A</v>
      </c>
      <c r="AW186" s="14" t="e">
        <f t="shared" si="169"/>
        <v>#N/A</v>
      </c>
      <c r="AX186" s="14" t="e">
        <f t="shared" si="185"/>
        <v>#N/A</v>
      </c>
      <c r="AY186" s="46">
        <f t="shared" si="170"/>
        <v>7</v>
      </c>
      <c r="AZ186" s="47" t="e">
        <f t="shared" si="171"/>
        <v>#N/A</v>
      </c>
      <c r="BA186" s="48" t="e">
        <f t="shared" si="172"/>
        <v>#N/A</v>
      </c>
      <c r="BB186" s="31" t="e">
        <f t="shared" si="186"/>
        <v>#N/A</v>
      </c>
      <c r="BC186" s="28">
        <f t="shared" si="173"/>
        <v>7</v>
      </c>
      <c r="BD186" s="47" t="e">
        <f t="shared" si="174"/>
        <v>#N/A</v>
      </c>
      <c r="BE186" s="48" t="e">
        <f t="shared" si="175"/>
        <v>#N/A</v>
      </c>
      <c r="BF186" s="31" t="e">
        <f t="shared" si="187"/>
        <v>#N/A</v>
      </c>
      <c r="BG186" s="49" t="e">
        <f t="shared" si="188"/>
        <v>#N/A</v>
      </c>
      <c r="BH186" s="1" t="e">
        <f>VLOOKUP($B186,STOCK_BY_LA!$A$2:$C$10477,3,0)</f>
        <v>#N/A</v>
      </c>
      <c r="BI186" s="1" t="str">
        <f t="shared" si="176"/>
        <v/>
      </c>
    </row>
    <row r="187" spans="1:61" x14ac:dyDescent="0.35">
      <c r="A187" s="33" t="str">
        <f t="shared" si="189"/>
        <v/>
      </c>
      <c r="B187" s="1" t="str">
        <f t="shared" si="177"/>
        <v/>
      </c>
      <c r="C187" s="34" t="str">
        <f t="shared" si="146"/>
        <v/>
      </c>
      <c r="D187" s="33" t="str">
        <f>IF(B187="","",IF('totals_&amp;_RP_counts'!$O$3=0,IFERROR(IF(AA187=2,"0",AB187),""),"-"))</f>
        <v/>
      </c>
      <c r="E187" s="35" t="str">
        <f t="shared" si="147"/>
        <v/>
      </c>
      <c r="F187" s="36" t="str">
        <f t="shared" si="148"/>
        <v/>
      </c>
      <c r="G187" s="36" t="str">
        <f t="shared" si="149"/>
        <v/>
      </c>
      <c r="H187" s="33" t="str">
        <f t="shared" si="127"/>
        <v/>
      </c>
      <c r="I187" s="36" t="str">
        <f t="shared" si="150"/>
        <v/>
      </c>
      <c r="J187" s="36" t="str">
        <f t="shared" si="151"/>
        <v/>
      </c>
      <c r="K187" s="33" t="str">
        <f t="shared" si="128"/>
        <v/>
      </c>
      <c r="L187" s="36" t="str">
        <f t="shared" si="129"/>
        <v/>
      </c>
      <c r="M187" s="36" t="str">
        <f t="shared" si="152"/>
        <v/>
      </c>
      <c r="N187" s="33" t="str">
        <f t="shared" si="153"/>
        <v/>
      </c>
      <c r="O187" s="36" t="str">
        <f t="shared" si="154"/>
        <v/>
      </c>
      <c r="P187" s="36" t="str">
        <f t="shared" si="155"/>
        <v/>
      </c>
      <c r="Q187" s="33" t="str">
        <f t="shared" si="156"/>
        <v/>
      </c>
      <c r="R187" s="1"/>
      <c r="S187" s="1"/>
      <c r="Y187" s="1" t="e">
        <f>VLOOKUP($B$6,LOOKUP_SCE,180,0)</f>
        <v>#N/A</v>
      </c>
      <c r="Z187" s="22" t="str">
        <f t="shared" si="178"/>
        <v/>
      </c>
      <c r="AA187" s="23">
        <f t="shared" si="157"/>
        <v>7</v>
      </c>
      <c r="AB187" s="55" t="e">
        <f t="shared" si="179"/>
        <v>#N/A</v>
      </c>
      <c r="AC187" s="38" t="e">
        <f t="shared" si="158"/>
        <v>#N/A</v>
      </c>
      <c r="AD187" s="38" t="e">
        <f t="shared" si="159"/>
        <v>#N/A</v>
      </c>
      <c r="AE187" s="415" t="e">
        <f t="shared" si="180"/>
        <v>#N/A</v>
      </c>
      <c r="AF187" s="10">
        <f t="shared" si="160"/>
        <v>7</v>
      </c>
      <c r="AG187" s="38" t="e">
        <f t="shared" si="133"/>
        <v>#N/A</v>
      </c>
      <c r="AH187" s="38" t="e">
        <f t="shared" si="161"/>
        <v>#N/A</v>
      </c>
      <c r="AI187" s="10" t="e">
        <f t="shared" si="181"/>
        <v>#N/A</v>
      </c>
      <c r="AJ187" s="39" t="e">
        <f t="shared" si="162"/>
        <v>#N/A</v>
      </c>
      <c r="AK187" s="40" t="e">
        <f t="shared" si="135"/>
        <v>#N/A</v>
      </c>
      <c r="AL187" s="11" t="e">
        <f t="shared" si="182"/>
        <v>#N/A</v>
      </c>
      <c r="AM187" s="41">
        <f t="shared" si="163"/>
        <v>7</v>
      </c>
      <c r="AN187" s="57" t="e">
        <f t="shared" si="137"/>
        <v>#N/A</v>
      </c>
      <c r="AO187" s="40" t="e">
        <f t="shared" si="164"/>
        <v>#N/A</v>
      </c>
      <c r="AP187" s="417" t="e">
        <f t="shared" si="183"/>
        <v>#N/A</v>
      </c>
      <c r="AQ187" s="56">
        <f t="shared" si="165"/>
        <v>7</v>
      </c>
      <c r="AR187" s="43" t="e">
        <f t="shared" si="166"/>
        <v>#N/A</v>
      </c>
      <c r="AS187" s="44" t="e">
        <f t="shared" si="167"/>
        <v>#N/A</v>
      </c>
      <c r="AT187" s="45" t="e">
        <f t="shared" si="184"/>
        <v>#N/A</v>
      </c>
      <c r="AU187" s="14">
        <f t="shared" si="168"/>
        <v>7</v>
      </c>
      <c r="AV187" s="44" t="e">
        <f t="shared" si="140"/>
        <v>#N/A</v>
      </c>
      <c r="AW187" s="14" t="e">
        <f t="shared" si="169"/>
        <v>#N/A</v>
      </c>
      <c r="AX187" s="14" t="e">
        <f t="shared" si="185"/>
        <v>#N/A</v>
      </c>
      <c r="AY187" s="46">
        <f t="shared" si="170"/>
        <v>7</v>
      </c>
      <c r="AZ187" s="47" t="e">
        <f t="shared" si="171"/>
        <v>#N/A</v>
      </c>
      <c r="BA187" s="48" t="e">
        <f t="shared" si="172"/>
        <v>#N/A</v>
      </c>
      <c r="BB187" s="31" t="e">
        <f t="shared" si="186"/>
        <v>#N/A</v>
      </c>
      <c r="BC187" s="28">
        <f t="shared" si="173"/>
        <v>7</v>
      </c>
      <c r="BD187" s="47" t="e">
        <f t="shared" si="174"/>
        <v>#N/A</v>
      </c>
      <c r="BE187" s="48" t="e">
        <f t="shared" si="175"/>
        <v>#N/A</v>
      </c>
      <c r="BF187" s="31" t="e">
        <f t="shared" si="187"/>
        <v>#N/A</v>
      </c>
      <c r="BG187" s="49" t="e">
        <f t="shared" si="188"/>
        <v>#N/A</v>
      </c>
      <c r="BH187" s="1" t="e">
        <f>VLOOKUP($B187,STOCK_BY_LA!$A$2:$C$10477,3,0)</f>
        <v>#N/A</v>
      </c>
      <c r="BI187" s="1" t="str">
        <f t="shared" si="176"/>
        <v/>
      </c>
    </row>
    <row r="188" spans="1:61" x14ac:dyDescent="0.35">
      <c r="A188" s="1" t="str">
        <f t="shared" si="189"/>
        <v/>
      </c>
      <c r="B188" s="1" t="str">
        <f t="shared" si="177"/>
        <v/>
      </c>
      <c r="C188" s="50" t="str">
        <f t="shared" si="146"/>
        <v/>
      </c>
      <c r="D188" s="33" t="str">
        <f>IF(B188="","",IF('totals_&amp;_RP_counts'!$O$3=0,IFERROR(IF(AA188=2,"0",AB188),""),"-"))</f>
        <v/>
      </c>
      <c r="E188" s="35" t="str">
        <f t="shared" si="147"/>
        <v/>
      </c>
      <c r="F188" s="36" t="str">
        <f t="shared" si="148"/>
        <v/>
      </c>
      <c r="G188" s="36" t="str">
        <f t="shared" si="149"/>
        <v/>
      </c>
      <c r="H188" s="33" t="str">
        <f t="shared" si="127"/>
        <v/>
      </c>
      <c r="I188" s="36" t="str">
        <f t="shared" si="150"/>
        <v/>
      </c>
      <c r="J188" s="36" t="str">
        <f t="shared" si="151"/>
        <v/>
      </c>
      <c r="K188" s="33" t="str">
        <f t="shared" si="128"/>
        <v/>
      </c>
      <c r="L188" s="36" t="str">
        <f t="shared" si="129"/>
        <v/>
      </c>
      <c r="M188" s="36" t="str">
        <f t="shared" si="152"/>
        <v/>
      </c>
      <c r="N188" s="33" t="str">
        <f t="shared" si="153"/>
        <v/>
      </c>
      <c r="O188" s="36" t="str">
        <f t="shared" si="154"/>
        <v/>
      </c>
      <c r="P188" s="36" t="str">
        <f t="shared" si="155"/>
        <v/>
      </c>
      <c r="Q188" s="33" t="str">
        <f t="shared" si="156"/>
        <v/>
      </c>
      <c r="R188" s="1"/>
      <c r="S188" s="1"/>
      <c r="Y188" s="1" t="e">
        <f>VLOOKUP($B$6,LOOKUP_SCE,181,0)</f>
        <v>#N/A</v>
      </c>
      <c r="Z188" s="22" t="str">
        <f t="shared" si="178"/>
        <v/>
      </c>
      <c r="AA188" s="23">
        <f t="shared" si="157"/>
        <v>7</v>
      </c>
      <c r="AB188" s="55" t="e">
        <f t="shared" si="179"/>
        <v>#N/A</v>
      </c>
      <c r="AC188" s="38" t="e">
        <f t="shared" si="158"/>
        <v>#N/A</v>
      </c>
      <c r="AD188" s="38" t="e">
        <f t="shared" si="159"/>
        <v>#N/A</v>
      </c>
      <c r="AE188" s="415" t="e">
        <f t="shared" si="180"/>
        <v>#N/A</v>
      </c>
      <c r="AF188" s="10">
        <f t="shared" si="160"/>
        <v>7</v>
      </c>
      <c r="AG188" s="38" t="e">
        <f t="shared" si="133"/>
        <v>#N/A</v>
      </c>
      <c r="AH188" s="38" t="e">
        <f t="shared" si="161"/>
        <v>#N/A</v>
      </c>
      <c r="AI188" s="10" t="e">
        <f t="shared" si="181"/>
        <v>#N/A</v>
      </c>
      <c r="AJ188" s="39" t="e">
        <f t="shared" si="162"/>
        <v>#N/A</v>
      </c>
      <c r="AK188" s="40" t="e">
        <f t="shared" si="135"/>
        <v>#N/A</v>
      </c>
      <c r="AL188" s="11" t="e">
        <f t="shared" si="182"/>
        <v>#N/A</v>
      </c>
      <c r="AM188" s="41">
        <f t="shared" si="163"/>
        <v>7</v>
      </c>
      <c r="AN188" s="57" t="e">
        <f t="shared" si="137"/>
        <v>#N/A</v>
      </c>
      <c r="AO188" s="40" t="e">
        <f t="shared" si="164"/>
        <v>#N/A</v>
      </c>
      <c r="AP188" s="417" t="e">
        <f t="shared" si="183"/>
        <v>#N/A</v>
      </c>
      <c r="AQ188" s="56">
        <f t="shared" si="165"/>
        <v>7</v>
      </c>
      <c r="AR188" s="43" t="e">
        <f t="shared" si="166"/>
        <v>#N/A</v>
      </c>
      <c r="AS188" s="44" t="e">
        <f t="shared" si="167"/>
        <v>#N/A</v>
      </c>
      <c r="AT188" s="45" t="e">
        <f t="shared" si="184"/>
        <v>#N/A</v>
      </c>
      <c r="AU188" s="14">
        <f t="shared" si="168"/>
        <v>7</v>
      </c>
      <c r="AV188" s="44" t="e">
        <f t="shared" si="140"/>
        <v>#N/A</v>
      </c>
      <c r="AW188" s="14" t="e">
        <f t="shared" si="169"/>
        <v>#N/A</v>
      </c>
      <c r="AX188" s="14" t="e">
        <f t="shared" si="185"/>
        <v>#N/A</v>
      </c>
      <c r="AY188" s="46">
        <f t="shared" si="170"/>
        <v>7</v>
      </c>
      <c r="AZ188" s="47" t="e">
        <f t="shared" si="171"/>
        <v>#N/A</v>
      </c>
      <c r="BA188" s="48" t="e">
        <f t="shared" si="172"/>
        <v>#N/A</v>
      </c>
      <c r="BB188" s="31" t="e">
        <f t="shared" si="186"/>
        <v>#N/A</v>
      </c>
      <c r="BC188" s="28">
        <f t="shared" si="173"/>
        <v>7</v>
      </c>
      <c r="BD188" s="47" t="e">
        <f t="shared" si="174"/>
        <v>#N/A</v>
      </c>
      <c r="BE188" s="48" t="e">
        <f t="shared" si="175"/>
        <v>#N/A</v>
      </c>
      <c r="BF188" s="31" t="e">
        <f t="shared" si="187"/>
        <v>#N/A</v>
      </c>
      <c r="BG188" s="49" t="e">
        <f t="shared" si="188"/>
        <v>#N/A</v>
      </c>
      <c r="BH188" s="1" t="e">
        <f>VLOOKUP($B188,STOCK_BY_LA!$A$2:$C$10477,3,0)</f>
        <v>#N/A</v>
      </c>
      <c r="BI188" s="1" t="str">
        <f t="shared" si="176"/>
        <v/>
      </c>
    </row>
    <row r="189" spans="1:61" x14ac:dyDescent="0.35">
      <c r="A189" s="33" t="str">
        <f t="shared" si="189"/>
        <v/>
      </c>
      <c r="B189" s="1" t="str">
        <f t="shared" si="177"/>
        <v/>
      </c>
      <c r="C189" s="34" t="str">
        <f t="shared" si="146"/>
        <v/>
      </c>
      <c r="D189" s="33" t="str">
        <f>IF(B189="","",IF('totals_&amp;_RP_counts'!$O$3=0,IFERROR(IF(AA189=2,"0",AB189),""),"-"))</f>
        <v/>
      </c>
      <c r="E189" s="35" t="str">
        <f t="shared" si="147"/>
        <v/>
      </c>
      <c r="F189" s="36" t="str">
        <f t="shared" si="148"/>
        <v/>
      </c>
      <c r="G189" s="36" t="str">
        <f t="shared" si="149"/>
        <v/>
      </c>
      <c r="H189" s="33" t="str">
        <f t="shared" si="127"/>
        <v/>
      </c>
      <c r="I189" s="36" t="str">
        <f t="shared" si="150"/>
        <v/>
      </c>
      <c r="J189" s="36" t="str">
        <f t="shared" si="151"/>
        <v/>
      </c>
      <c r="K189" s="33" t="str">
        <f t="shared" si="128"/>
        <v/>
      </c>
      <c r="L189" s="36" t="str">
        <f t="shared" si="129"/>
        <v/>
      </c>
      <c r="M189" s="36" t="str">
        <f t="shared" si="152"/>
        <v/>
      </c>
      <c r="N189" s="33" t="str">
        <f t="shared" si="153"/>
        <v/>
      </c>
      <c r="O189" s="36" t="str">
        <f t="shared" si="154"/>
        <v/>
      </c>
      <c r="P189" s="36" t="str">
        <f t="shared" si="155"/>
        <v/>
      </c>
      <c r="Q189" s="33" t="str">
        <f t="shared" si="156"/>
        <v/>
      </c>
      <c r="R189" s="1"/>
      <c r="S189" s="1"/>
      <c r="Y189" s="1" t="e">
        <f>VLOOKUP($B$6,LOOKUP_SCE,182,0)</f>
        <v>#N/A</v>
      </c>
      <c r="Z189" s="22" t="str">
        <f t="shared" si="178"/>
        <v/>
      </c>
      <c r="AA189" s="23">
        <f t="shared" si="157"/>
        <v>7</v>
      </c>
      <c r="AB189" s="55" t="e">
        <f t="shared" si="179"/>
        <v>#N/A</v>
      </c>
      <c r="AC189" s="38" t="e">
        <f t="shared" si="158"/>
        <v>#N/A</v>
      </c>
      <c r="AD189" s="38" t="e">
        <f t="shared" si="159"/>
        <v>#N/A</v>
      </c>
      <c r="AE189" s="415" t="e">
        <f t="shared" si="180"/>
        <v>#N/A</v>
      </c>
      <c r="AF189" s="10">
        <f t="shared" si="160"/>
        <v>7</v>
      </c>
      <c r="AG189" s="38" t="e">
        <f t="shared" si="133"/>
        <v>#N/A</v>
      </c>
      <c r="AH189" s="38" t="e">
        <f t="shared" si="161"/>
        <v>#N/A</v>
      </c>
      <c r="AI189" s="10" t="e">
        <f t="shared" si="181"/>
        <v>#N/A</v>
      </c>
      <c r="AJ189" s="39" t="e">
        <f t="shared" si="162"/>
        <v>#N/A</v>
      </c>
      <c r="AK189" s="40" t="e">
        <f t="shared" si="135"/>
        <v>#N/A</v>
      </c>
      <c r="AL189" s="11" t="e">
        <f t="shared" si="182"/>
        <v>#N/A</v>
      </c>
      <c r="AM189" s="41">
        <f t="shared" si="163"/>
        <v>7</v>
      </c>
      <c r="AN189" s="57" t="e">
        <f t="shared" si="137"/>
        <v>#N/A</v>
      </c>
      <c r="AO189" s="40" t="e">
        <f t="shared" si="164"/>
        <v>#N/A</v>
      </c>
      <c r="AP189" s="417" t="e">
        <f t="shared" si="183"/>
        <v>#N/A</v>
      </c>
      <c r="AQ189" s="56">
        <f t="shared" si="165"/>
        <v>7</v>
      </c>
      <c r="AR189" s="43" t="e">
        <f t="shared" si="166"/>
        <v>#N/A</v>
      </c>
      <c r="AS189" s="44" t="e">
        <f t="shared" si="167"/>
        <v>#N/A</v>
      </c>
      <c r="AT189" s="45" t="e">
        <f t="shared" si="184"/>
        <v>#N/A</v>
      </c>
      <c r="AU189" s="14">
        <f t="shared" si="168"/>
        <v>7</v>
      </c>
      <c r="AV189" s="44" t="e">
        <f t="shared" si="140"/>
        <v>#N/A</v>
      </c>
      <c r="AW189" s="14" t="e">
        <f t="shared" si="169"/>
        <v>#N/A</v>
      </c>
      <c r="AX189" s="14" t="e">
        <f t="shared" si="185"/>
        <v>#N/A</v>
      </c>
      <c r="AY189" s="46">
        <f t="shared" si="170"/>
        <v>7</v>
      </c>
      <c r="AZ189" s="47" t="e">
        <f t="shared" si="171"/>
        <v>#N/A</v>
      </c>
      <c r="BA189" s="48" t="e">
        <f t="shared" si="172"/>
        <v>#N/A</v>
      </c>
      <c r="BB189" s="31" t="e">
        <f t="shared" si="186"/>
        <v>#N/A</v>
      </c>
      <c r="BC189" s="28">
        <f t="shared" si="173"/>
        <v>7</v>
      </c>
      <c r="BD189" s="47" t="e">
        <f t="shared" si="174"/>
        <v>#N/A</v>
      </c>
      <c r="BE189" s="48" t="e">
        <f t="shared" si="175"/>
        <v>#N/A</v>
      </c>
      <c r="BF189" s="31" t="e">
        <f t="shared" si="187"/>
        <v>#N/A</v>
      </c>
      <c r="BG189" s="49" t="e">
        <f t="shared" si="188"/>
        <v>#N/A</v>
      </c>
      <c r="BH189" s="1" t="e">
        <f>VLOOKUP($B189,STOCK_BY_LA!$A$2:$C$10477,3,0)</f>
        <v>#N/A</v>
      </c>
      <c r="BI189" s="1" t="str">
        <f t="shared" si="176"/>
        <v/>
      </c>
    </row>
    <row r="190" spans="1:61" x14ac:dyDescent="0.35">
      <c r="A190" s="1" t="str">
        <f t="shared" si="189"/>
        <v/>
      </c>
      <c r="B190" s="1" t="str">
        <f t="shared" si="177"/>
        <v/>
      </c>
      <c r="C190" s="50" t="str">
        <f t="shared" si="146"/>
        <v/>
      </c>
      <c r="D190" s="33" t="str">
        <f>IF(B190="","",IF('totals_&amp;_RP_counts'!$O$3=0,IFERROR(IF(AA190=2,"0",AB190),""),"-"))</f>
        <v/>
      </c>
      <c r="E190" s="35" t="str">
        <f t="shared" si="147"/>
        <v/>
      </c>
      <c r="F190" s="36" t="str">
        <f t="shared" si="148"/>
        <v/>
      </c>
      <c r="G190" s="36" t="str">
        <f t="shared" si="149"/>
        <v/>
      </c>
      <c r="H190" s="33" t="str">
        <f t="shared" si="127"/>
        <v/>
      </c>
      <c r="I190" s="36" t="str">
        <f t="shared" si="150"/>
        <v/>
      </c>
      <c r="J190" s="36" t="str">
        <f t="shared" si="151"/>
        <v/>
      </c>
      <c r="K190" s="33" t="str">
        <f t="shared" si="128"/>
        <v/>
      </c>
      <c r="L190" s="36" t="str">
        <f t="shared" si="129"/>
        <v/>
      </c>
      <c r="M190" s="36" t="str">
        <f t="shared" si="152"/>
        <v/>
      </c>
      <c r="N190" s="33" t="str">
        <f t="shared" si="153"/>
        <v/>
      </c>
      <c r="O190" s="36" t="str">
        <f t="shared" si="154"/>
        <v/>
      </c>
      <c r="P190" s="36" t="str">
        <f t="shared" si="155"/>
        <v/>
      </c>
      <c r="Q190" s="33" t="str">
        <f t="shared" si="156"/>
        <v/>
      </c>
      <c r="R190" s="1"/>
      <c r="S190" s="1"/>
      <c r="Y190" s="1" t="e">
        <f>VLOOKUP($B$6,LOOKUP_SCE,183,0)</f>
        <v>#N/A</v>
      </c>
      <c r="Z190" s="22" t="str">
        <f t="shared" si="178"/>
        <v/>
      </c>
      <c r="AA190" s="23">
        <f t="shared" si="157"/>
        <v>7</v>
      </c>
      <c r="AB190" s="55" t="e">
        <f t="shared" si="179"/>
        <v>#N/A</v>
      </c>
      <c r="AC190" s="38" t="e">
        <f t="shared" si="158"/>
        <v>#N/A</v>
      </c>
      <c r="AD190" s="38" t="e">
        <f t="shared" si="159"/>
        <v>#N/A</v>
      </c>
      <c r="AE190" s="415" t="e">
        <f t="shared" si="180"/>
        <v>#N/A</v>
      </c>
      <c r="AF190" s="10">
        <f t="shared" si="160"/>
        <v>7</v>
      </c>
      <c r="AG190" s="38" t="e">
        <f t="shared" si="133"/>
        <v>#N/A</v>
      </c>
      <c r="AH190" s="38" t="e">
        <f t="shared" si="161"/>
        <v>#N/A</v>
      </c>
      <c r="AI190" s="10" t="e">
        <f t="shared" si="181"/>
        <v>#N/A</v>
      </c>
      <c r="AJ190" s="39" t="e">
        <f t="shared" si="162"/>
        <v>#N/A</v>
      </c>
      <c r="AK190" s="40" t="e">
        <f t="shared" si="135"/>
        <v>#N/A</v>
      </c>
      <c r="AL190" s="11" t="e">
        <f t="shared" si="182"/>
        <v>#N/A</v>
      </c>
      <c r="AM190" s="41">
        <f t="shared" si="163"/>
        <v>7</v>
      </c>
      <c r="AN190" s="57" t="e">
        <f t="shared" si="137"/>
        <v>#N/A</v>
      </c>
      <c r="AO190" s="40" t="e">
        <f t="shared" si="164"/>
        <v>#N/A</v>
      </c>
      <c r="AP190" s="417" t="e">
        <f t="shared" si="183"/>
        <v>#N/A</v>
      </c>
      <c r="AQ190" s="56">
        <f t="shared" si="165"/>
        <v>7</v>
      </c>
      <c r="AR190" s="43" t="e">
        <f t="shared" si="166"/>
        <v>#N/A</v>
      </c>
      <c r="AS190" s="44" t="e">
        <f t="shared" si="167"/>
        <v>#N/A</v>
      </c>
      <c r="AT190" s="45" t="e">
        <f t="shared" si="184"/>
        <v>#N/A</v>
      </c>
      <c r="AU190" s="14">
        <f t="shared" si="168"/>
        <v>7</v>
      </c>
      <c r="AV190" s="44" t="e">
        <f t="shared" si="140"/>
        <v>#N/A</v>
      </c>
      <c r="AW190" s="14" t="e">
        <f t="shared" si="169"/>
        <v>#N/A</v>
      </c>
      <c r="AX190" s="14" t="e">
        <f t="shared" si="185"/>
        <v>#N/A</v>
      </c>
      <c r="AY190" s="46">
        <f t="shared" si="170"/>
        <v>7</v>
      </c>
      <c r="AZ190" s="47" t="e">
        <f t="shared" si="171"/>
        <v>#N/A</v>
      </c>
      <c r="BA190" s="48" t="e">
        <f t="shared" si="172"/>
        <v>#N/A</v>
      </c>
      <c r="BB190" s="31" t="e">
        <f t="shared" si="186"/>
        <v>#N/A</v>
      </c>
      <c r="BC190" s="28">
        <f t="shared" si="173"/>
        <v>7</v>
      </c>
      <c r="BD190" s="47" t="e">
        <f t="shared" si="174"/>
        <v>#N/A</v>
      </c>
      <c r="BE190" s="48" t="e">
        <f t="shared" si="175"/>
        <v>#N/A</v>
      </c>
      <c r="BF190" s="31" t="e">
        <f t="shared" si="187"/>
        <v>#N/A</v>
      </c>
      <c r="BG190" s="49" t="e">
        <f t="shared" si="188"/>
        <v>#N/A</v>
      </c>
      <c r="BH190" s="1" t="e">
        <f>VLOOKUP($B190,STOCK_BY_LA!$A$2:$C$10477,3,0)</f>
        <v>#N/A</v>
      </c>
      <c r="BI190" s="1" t="str">
        <f t="shared" si="176"/>
        <v/>
      </c>
    </row>
    <row r="191" spans="1:61" x14ac:dyDescent="0.35">
      <c r="A191" s="33" t="str">
        <f t="shared" si="189"/>
        <v/>
      </c>
      <c r="B191" s="1" t="str">
        <f t="shared" si="177"/>
        <v/>
      </c>
      <c r="C191" s="34" t="str">
        <f t="shared" si="146"/>
        <v/>
      </c>
      <c r="D191" s="33" t="str">
        <f>IF(B191="","",IF('totals_&amp;_RP_counts'!$O$3=0,IFERROR(IF(AA191=2,"0",AB191),""),"-"))</f>
        <v/>
      </c>
      <c r="E191" s="35" t="str">
        <f t="shared" si="147"/>
        <v/>
      </c>
      <c r="F191" s="36" t="str">
        <f t="shared" si="148"/>
        <v/>
      </c>
      <c r="G191" s="36" t="str">
        <f t="shared" si="149"/>
        <v/>
      </c>
      <c r="H191" s="33" t="str">
        <f t="shared" si="127"/>
        <v/>
      </c>
      <c r="I191" s="36" t="str">
        <f t="shared" si="150"/>
        <v/>
      </c>
      <c r="J191" s="36" t="str">
        <f t="shared" si="151"/>
        <v/>
      </c>
      <c r="K191" s="33" t="str">
        <f t="shared" si="128"/>
        <v/>
      </c>
      <c r="L191" s="36" t="str">
        <f t="shared" si="129"/>
        <v/>
      </c>
      <c r="M191" s="36" t="str">
        <f t="shared" si="152"/>
        <v/>
      </c>
      <c r="N191" s="33" t="str">
        <f t="shared" si="153"/>
        <v/>
      </c>
      <c r="O191" s="36" t="str">
        <f t="shared" si="154"/>
        <v/>
      </c>
      <c r="P191" s="36" t="str">
        <f t="shared" si="155"/>
        <v/>
      </c>
      <c r="Q191" s="33" t="str">
        <f t="shared" si="156"/>
        <v/>
      </c>
      <c r="R191" s="1"/>
      <c r="S191" s="1"/>
      <c r="Y191" s="1" t="e">
        <f>VLOOKUP($B$6,LOOKUP_SCE,184,0)</f>
        <v>#N/A</v>
      </c>
      <c r="Z191" s="22" t="str">
        <f t="shared" si="178"/>
        <v/>
      </c>
      <c r="AA191" s="23">
        <f t="shared" si="157"/>
        <v>7</v>
      </c>
      <c r="AB191" s="55" t="e">
        <f t="shared" si="179"/>
        <v>#N/A</v>
      </c>
      <c r="AC191" s="38" t="e">
        <f t="shared" si="158"/>
        <v>#N/A</v>
      </c>
      <c r="AD191" s="38" t="e">
        <f t="shared" si="159"/>
        <v>#N/A</v>
      </c>
      <c r="AE191" s="415" t="e">
        <f t="shared" si="180"/>
        <v>#N/A</v>
      </c>
      <c r="AF191" s="10">
        <f t="shared" si="160"/>
        <v>7</v>
      </c>
      <c r="AG191" s="38" t="e">
        <f t="shared" si="133"/>
        <v>#N/A</v>
      </c>
      <c r="AH191" s="38" t="e">
        <f t="shared" si="161"/>
        <v>#N/A</v>
      </c>
      <c r="AI191" s="10" t="e">
        <f t="shared" si="181"/>
        <v>#N/A</v>
      </c>
      <c r="AJ191" s="39" t="e">
        <f t="shared" si="162"/>
        <v>#N/A</v>
      </c>
      <c r="AK191" s="40" t="e">
        <f t="shared" si="135"/>
        <v>#N/A</v>
      </c>
      <c r="AL191" s="11" t="e">
        <f t="shared" si="182"/>
        <v>#N/A</v>
      </c>
      <c r="AM191" s="41">
        <f t="shared" si="163"/>
        <v>7</v>
      </c>
      <c r="AN191" s="57" t="e">
        <f t="shared" si="137"/>
        <v>#N/A</v>
      </c>
      <c r="AO191" s="40" t="e">
        <f t="shared" si="164"/>
        <v>#N/A</v>
      </c>
      <c r="AP191" s="417" t="e">
        <f t="shared" si="183"/>
        <v>#N/A</v>
      </c>
      <c r="AQ191" s="56">
        <f t="shared" si="165"/>
        <v>7</v>
      </c>
      <c r="AR191" s="43" t="e">
        <f t="shared" si="166"/>
        <v>#N/A</v>
      </c>
      <c r="AS191" s="44" t="e">
        <f t="shared" si="167"/>
        <v>#N/A</v>
      </c>
      <c r="AT191" s="45" t="e">
        <f t="shared" si="184"/>
        <v>#N/A</v>
      </c>
      <c r="AU191" s="14">
        <f t="shared" si="168"/>
        <v>7</v>
      </c>
      <c r="AV191" s="44" t="e">
        <f t="shared" si="140"/>
        <v>#N/A</v>
      </c>
      <c r="AW191" s="14" t="e">
        <f t="shared" si="169"/>
        <v>#N/A</v>
      </c>
      <c r="AX191" s="14" t="e">
        <f t="shared" si="185"/>
        <v>#N/A</v>
      </c>
      <c r="AY191" s="46">
        <f t="shared" si="170"/>
        <v>7</v>
      </c>
      <c r="AZ191" s="47" t="e">
        <f t="shared" si="171"/>
        <v>#N/A</v>
      </c>
      <c r="BA191" s="48" t="e">
        <f t="shared" si="172"/>
        <v>#N/A</v>
      </c>
      <c r="BB191" s="31" t="e">
        <f t="shared" si="186"/>
        <v>#N/A</v>
      </c>
      <c r="BC191" s="28">
        <f t="shared" si="173"/>
        <v>7</v>
      </c>
      <c r="BD191" s="47" t="e">
        <f t="shared" si="174"/>
        <v>#N/A</v>
      </c>
      <c r="BE191" s="48" t="e">
        <f t="shared" si="175"/>
        <v>#N/A</v>
      </c>
      <c r="BF191" s="31" t="e">
        <f t="shared" si="187"/>
        <v>#N/A</v>
      </c>
      <c r="BG191" s="49" t="e">
        <f t="shared" si="188"/>
        <v>#N/A</v>
      </c>
      <c r="BH191" s="1" t="e">
        <f>VLOOKUP($B191,STOCK_BY_LA!$A$2:$C$10477,3,0)</f>
        <v>#N/A</v>
      </c>
      <c r="BI191" s="1" t="str">
        <f t="shared" si="176"/>
        <v/>
      </c>
    </row>
    <row r="192" spans="1:61" x14ac:dyDescent="0.35">
      <c r="A192" s="1" t="str">
        <f t="shared" si="189"/>
        <v/>
      </c>
      <c r="B192" s="1" t="str">
        <f t="shared" si="177"/>
        <v/>
      </c>
      <c r="C192" s="50" t="str">
        <f t="shared" si="146"/>
        <v/>
      </c>
      <c r="D192" s="33" t="str">
        <f>IF(B192="","",IF('totals_&amp;_RP_counts'!$O$3=0,IFERROR(IF(AA192=2,"0",AB192),""),"-"))</f>
        <v/>
      </c>
      <c r="E192" s="35" t="str">
        <f t="shared" si="147"/>
        <v/>
      </c>
      <c r="F192" s="36" t="str">
        <f t="shared" si="148"/>
        <v/>
      </c>
      <c r="G192" s="36" t="str">
        <f t="shared" si="149"/>
        <v/>
      </c>
      <c r="H192" s="33" t="str">
        <f t="shared" si="127"/>
        <v/>
      </c>
      <c r="I192" s="36" t="str">
        <f t="shared" si="150"/>
        <v/>
      </c>
      <c r="J192" s="36" t="str">
        <f t="shared" si="151"/>
        <v/>
      </c>
      <c r="K192" s="33" t="str">
        <f t="shared" si="128"/>
        <v/>
      </c>
      <c r="L192" s="36" t="str">
        <f t="shared" si="129"/>
        <v/>
      </c>
      <c r="M192" s="36" t="str">
        <f t="shared" si="152"/>
        <v/>
      </c>
      <c r="N192" s="33" t="str">
        <f t="shared" si="153"/>
        <v/>
      </c>
      <c r="O192" s="36" t="str">
        <f t="shared" si="154"/>
        <v/>
      </c>
      <c r="P192" s="36" t="str">
        <f t="shared" si="155"/>
        <v/>
      </c>
      <c r="Q192" s="33" t="str">
        <f t="shared" si="156"/>
        <v/>
      </c>
      <c r="R192" s="1"/>
      <c r="S192" s="1"/>
      <c r="Y192" s="1" t="e">
        <f>VLOOKUP($B$6,LOOKUP_SCE,185,0)</f>
        <v>#N/A</v>
      </c>
      <c r="Z192" s="22" t="str">
        <f t="shared" si="178"/>
        <v/>
      </c>
      <c r="AA192" s="23">
        <f t="shared" si="157"/>
        <v>7</v>
      </c>
      <c r="AB192" s="55" t="e">
        <f t="shared" si="179"/>
        <v>#N/A</v>
      </c>
      <c r="AC192" s="38" t="e">
        <f t="shared" si="158"/>
        <v>#N/A</v>
      </c>
      <c r="AD192" s="38" t="e">
        <f t="shared" si="159"/>
        <v>#N/A</v>
      </c>
      <c r="AE192" s="415" t="e">
        <f t="shared" si="180"/>
        <v>#N/A</v>
      </c>
      <c r="AF192" s="10">
        <f t="shared" si="160"/>
        <v>7</v>
      </c>
      <c r="AG192" s="38" t="e">
        <f t="shared" si="133"/>
        <v>#N/A</v>
      </c>
      <c r="AH192" s="38" t="e">
        <f t="shared" si="161"/>
        <v>#N/A</v>
      </c>
      <c r="AI192" s="10" t="e">
        <f t="shared" si="181"/>
        <v>#N/A</v>
      </c>
      <c r="AJ192" s="39" t="e">
        <f t="shared" si="162"/>
        <v>#N/A</v>
      </c>
      <c r="AK192" s="40" t="e">
        <f t="shared" si="135"/>
        <v>#N/A</v>
      </c>
      <c r="AL192" s="11" t="e">
        <f t="shared" si="182"/>
        <v>#N/A</v>
      </c>
      <c r="AM192" s="41">
        <f t="shared" si="163"/>
        <v>7</v>
      </c>
      <c r="AN192" s="57" t="e">
        <f t="shared" si="137"/>
        <v>#N/A</v>
      </c>
      <c r="AO192" s="40" t="e">
        <f t="shared" si="164"/>
        <v>#N/A</v>
      </c>
      <c r="AP192" s="417" t="e">
        <f t="shared" si="183"/>
        <v>#N/A</v>
      </c>
      <c r="AQ192" s="56">
        <f t="shared" si="165"/>
        <v>7</v>
      </c>
      <c r="AR192" s="43" t="e">
        <f t="shared" si="166"/>
        <v>#N/A</v>
      </c>
      <c r="AS192" s="44" t="e">
        <f t="shared" si="167"/>
        <v>#N/A</v>
      </c>
      <c r="AT192" s="45" t="e">
        <f t="shared" si="184"/>
        <v>#N/A</v>
      </c>
      <c r="AU192" s="14">
        <f t="shared" si="168"/>
        <v>7</v>
      </c>
      <c r="AV192" s="44" t="e">
        <f t="shared" si="140"/>
        <v>#N/A</v>
      </c>
      <c r="AW192" s="14" t="e">
        <f t="shared" si="169"/>
        <v>#N/A</v>
      </c>
      <c r="AX192" s="14" t="e">
        <f t="shared" si="185"/>
        <v>#N/A</v>
      </c>
      <c r="AY192" s="46">
        <f t="shared" si="170"/>
        <v>7</v>
      </c>
      <c r="AZ192" s="47" t="e">
        <f t="shared" si="171"/>
        <v>#N/A</v>
      </c>
      <c r="BA192" s="48" t="e">
        <f t="shared" si="172"/>
        <v>#N/A</v>
      </c>
      <c r="BB192" s="31" t="e">
        <f t="shared" si="186"/>
        <v>#N/A</v>
      </c>
      <c r="BC192" s="28">
        <f t="shared" si="173"/>
        <v>7</v>
      </c>
      <c r="BD192" s="47" t="e">
        <f t="shared" si="174"/>
        <v>#N/A</v>
      </c>
      <c r="BE192" s="48" t="e">
        <f t="shared" si="175"/>
        <v>#N/A</v>
      </c>
      <c r="BF192" s="31" t="e">
        <f t="shared" si="187"/>
        <v>#N/A</v>
      </c>
      <c r="BG192" s="49" t="e">
        <f t="shared" si="188"/>
        <v>#N/A</v>
      </c>
      <c r="BH192" s="1" t="e">
        <f>VLOOKUP($B192,STOCK_BY_LA!$A$2:$C$10477,3,0)</f>
        <v>#N/A</v>
      </c>
      <c r="BI192" s="1" t="str">
        <f t="shared" si="176"/>
        <v/>
      </c>
    </row>
    <row r="193" spans="1:61" x14ac:dyDescent="0.35">
      <c r="A193" s="33" t="str">
        <f t="shared" si="189"/>
        <v/>
      </c>
      <c r="B193" s="1" t="str">
        <f t="shared" si="177"/>
        <v/>
      </c>
      <c r="C193" s="34" t="str">
        <f t="shared" si="146"/>
        <v/>
      </c>
      <c r="D193" s="33" t="str">
        <f>IF(B193="","",IF('totals_&amp;_RP_counts'!$O$3=0,IFERROR(IF(AA193=2,"0",AB193),""),"-"))</f>
        <v/>
      </c>
      <c r="E193" s="35" t="str">
        <f t="shared" si="147"/>
        <v/>
      </c>
      <c r="F193" s="36" t="str">
        <f t="shared" si="148"/>
        <v/>
      </c>
      <c r="G193" s="36" t="str">
        <f t="shared" si="149"/>
        <v/>
      </c>
      <c r="H193" s="33" t="str">
        <f t="shared" si="127"/>
        <v/>
      </c>
      <c r="I193" s="36" t="str">
        <f t="shared" si="150"/>
        <v/>
      </c>
      <c r="J193" s="36" t="str">
        <f t="shared" si="151"/>
        <v/>
      </c>
      <c r="K193" s="33" t="str">
        <f t="shared" si="128"/>
        <v/>
      </c>
      <c r="L193" s="36" t="str">
        <f t="shared" si="129"/>
        <v/>
      </c>
      <c r="M193" s="36" t="str">
        <f t="shared" si="152"/>
        <v/>
      </c>
      <c r="N193" s="33" t="str">
        <f t="shared" si="153"/>
        <v/>
      </c>
      <c r="O193" s="36" t="str">
        <f t="shared" si="154"/>
        <v/>
      </c>
      <c r="P193" s="36" t="str">
        <f t="shared" si="155"/>
        <v/>
      </c>
      <c r="Q193" s="33" t="str">
        <f t="shared" si="156"/>
        <v/>
      </c>
      <c r="R193" s="1"/>
      <c r="S193" s="1"/>
      <c r="Y193" s="1" t="e">
        <f>VLOOKUP($B$6,LOOKUP_SCE,186,0)</f>
        <v>#N/A</v>
      </c>
      <c r="Z193" s="22" t="str">
        <f t="shared" si="178"/>
        <v/>
      </c>
      <c r="AA193" s="23">
        <f t="shared" si="157"/>
        <v>7</v>
      </c>
      <c r="AB193" s="55" t="e">
        <f t="shared" si="179"/>
        <v>#N/A</v>
      </c>
      <c r="AC193" s="38" t="e">
        <f t="shared" si="158"/>
        <v>#N/A</v>
      </c>
      <c r="AD193" s="38" t="e">
        <f t="shared" si="159"/>
        <v>#N/A</v>
      </c>
      <c r="AE193" s="415" t="e">
        <f t="shared" si="180"/>
        <v>#N/A</v>
      </c>
      <c r="AF193" s="10">
        <f t="shared" si="160"/>
        <v>7</v>
      </c>
      <c r="AG193" s="38" t="e">
        <f t="shared" si="133"/>
        <v>#N/A</v>
      </c>
      <c r="AH193" s="38" t="e">
        <f t="shared" si="161"/>
        <v>#N/A</v>
      </c>
      <c r="AI193" s="10" t="e">
        <f t="shared" si="181"/>
        <v>#N/A</v>
      </c>
      <c r="AJ193" s="39" t="e">
        <f t="shared" si="162"/>
        <v>#N/A</v>
      </c>
      <c r="AK193" s="40" t="e">
        <f t="shared" si="135"/>
        <v>#N/A</v>
      </c>
      <c r="AL193" s="11" t="e">
        <f t="shared" si="182"/>
        <v>#N/A</v>
      </c>
      <c r="AM193" s="41">
        <f t="shared" si="163"/>
        <v>7</v>
      </c>
      <c r="AN193" s="57" t="e">
        <f t="shared" si="137"/>
        <v>#N/A</v>
      </c>
      <c r="AO193" s="40" t="e">
        <f t="shared" si="164"/>
        <v>#N/A</v>
      </c>
      <c r="AP193" s="417" t="e">
        <f t="shared" si="183"/>
        <v>#N/A</v>
      </c>
      <c r="AQ193" s="56">
        <f t="shared" si="165"/>
        <v>7</v>
      </c>
      <c r="AR193" s="43" t="e">
        <f t="shared" si="166"/>
        <v>#N/A</v>
      </c>
      <c r="AS193" s="44" t="e">
        <f t="shared" si="167"/>
        <v>#N/A</v>
      </c>
      <c r="AT193" s="45" t="e">
        <f t="shared" si="184"/>
        <v>#N/A</v>
      </c>
      <c r="AU193" s="14">
        <f t="shared" si="168"/>
        <v>7</v>
      </c>
      <c r="AV193" s="44" t="e">
        <f t="shared" si="140"/>
        <v>#N/A</v>
      </c>
      <c r="AW193" s="14" t="e">
        <f t="shared" si="169"/>
        <v>#N/A</v>
      </c>
      <c r="AX193" s="14" t="e">
        <f t="shared" si="185"/>
        <v>#N/A</v>
      </c>
      <c r="AY193" s="46">
        <f t="shared" si="170"/>
        <v>7</v>
      </c>
      <c r="AZ193" s="47" t="e">
        <f t="shared" si="171"/>
        <v>#N/A</v>
      </c>
      <c r="BA193" s="48" t="e">
        <f t="shared" si="172"/>
        <v>#N/A</v>
      </c>
      <c r="BB193" s="31" t="e">
        <f t="shared" si="186"/>
        <v>#N/A</v>
      </c>
      <c r="BC193" s="28">
        <f t="shared" si="173"/>
        <v>7</v>
      </c>
      <c r="BD193" s="47" t="e">
        <f t="shared" si="174"/>
        <v>#N/A</v>
      </c>
      <c r="BE193" s="48" t="e">
        <f t="shared" si="175"/>
        <v>#N/A</v>
      </c>
      <c r="BF193" s="31" t="e">
        <f t="shared" si="187"/>
        <v>#N/A</v>
      </c>
      <c r="BG193" s="49" t="e">
        <f t="shared" si="188"/>
        <v>#N/A</v>
      </c>
      <c r="BH193" s="1" t="e">
        <f>VLOOKUP($B193,STOCK_BY_LA!$A$2:$C$10477,3,0)</f>
        <v>#N/A</v>
      </c>
      <c r="BI193" s="1" t="str">
        <f t="shared" si="176"/>
        <v/>
      </c>
    </row>
    <row r="194" spans="1:61" x14ac:dyDescent="0.35">
      <c r="A194" s="1" t="str">
        <f t="shared" si="189"/>
        <v/>
      </c>
      <c r="B194" s="1" t="str">
        <f t="shared" si="177"/>
        <v/>
      </c>
      <c r="C194" s="50" t="str">
        <f t="shared" si="146"/>
        <v/>
      </c>
      <c r="D194" s="33" t="str">
        <f>IF(B194="","",IF('totals_&amp;_RP_counts'!$O$3=0,IFERROR(IF(AA194=2,"0",AB194),""),"-"))</f>
        <v/>
      </c>
      <c r="E194" s="35" t="str">
        <f t="shared" si="147"/>
        <v/>
      </c>
      <c r="F194" s="36" t="str">
        <f t="shared" si="148"/>
        <v/>
      </c>
      <c r="G194" s="36" t="str">
        <f t="shared" si="149"/>
        <v/>
      </c>
      <c r="H194" s="33" t="str">
        <f t="shared" si="127"/>
        <v/>
      </c>
      <c r="I194" s="36" t="str">
        <f t="shared" si="150"/>
        <v/>
      </c>
      <c r="J194" s="36" t="str">
        <f t="shared" si="151"/>
        <v/>
      </c>
      <c r="K194" s="33" t="str">
        <f t="shared" si="128"/>
        <v/>
      </c>
      <c r="L194" s="36" t="str">
        <f t="shared" si="129"/>
        <v/>
      </c>
      <c r="M194" s="36" t="str">
        <f t="shared" si="152"/>
        <v/>
      </c>
      <c r="N194" s="33" t="str">
        <f t="shared" si="153"/>
        <v/>
      </c>
      <c r="O194" s="36" t="str">
        <f t="shared" si="154"/>
        <v/>
      </c>
      <c r="P194" s="36" t="str">
        <f t="shared" si="155"/>
        <v/>
      </c>
      <c r="Q194" s="33" t="str">
        <f t="shared" si="156"/>
        <v/>
      </c>
      <c r="R194" s="1"/>
      <c r="S194" s="1"/>
      <c r="Y194" s="1" t="e">
        <f>VLOOKUP($B$6,LOOKUP_SCE,187,0)</f>
        <v>#N/A</v>
      </c>
      <c r="Z194" s="22" t="str">
        <f t="shared" si="178"/>
        <v/>
      </c>
      <c r="AA194" s="23">
        <f t="shared" si="157"/>
        <v>7</v>
      </c>
      <c r="AB194" s="55" t="e">
        <f t="shared" si="179"/>
        <v>#N/A</v>
      </c>
      <c r="AC194" s="38" t="e">
        <f t="shared" si="158"/>
        <v>#N/A</v>
      </c>
      <c r="AD194" s="38" t="e">
        <f t="shared" si="159"/>
        <v>#N/A</v>
      </c>
      <c r="AE194" s="415" t="e">
        <f t="shared" si="180"/>
        <v>#N/A</v>
      </c>
      <c r="AF194" s="10">
        <f t="shared" si="160"/>
        <v>7</v>
      </c>
      <c r="AG194" s="38" t="e">
        <f t="shared" si="133"/>
        <v>#N/A</v>
      </c>
      <c r="AH194" s="38" t="e">
        <f t="shared" si="161"/>
        <v>#N/A</v>
      </c>
      <c r="AI194" s="10" t="e">
        <f t="shared" si="181"/>
        <v>#N/A</v>
      </c>
      <c r="AJ194" s="39" t="e">
        <f t="shared" si="162"/>
        <v>#N/A</v>
      </c>
      <c r="AK194" s="40" t="e">
        <f t="shared" si="135"/>
        <v>#N/A</v>
      </c>
      <c r="AL194" s="11" t="e">
        <f t="shared" si="182"/>
        <v>#N/A</v>
      </c>
      <c r="AM194" s="41">
        <f t="shared" si="163"/>
        <v>7</v>
      </c>
      <c r="AN194" s="57" t="e">
        <f t="shared" si="137"/>
        <v>#N/A</v>
      </c>
      <c r="AO194" s="40" t="e">
        <f t="shared" si="164"/>
        <v>#N/A</v>
      </c>
      <c r="AP194" s="417" t="e">
        <f t="shared" si="183"/>
        <v>#N/A</v>
      </c>
      <c r="AQ194" s="56">
        <f t="shared" si="165"/>
        <v>7</v>
      </c>
      <c r="AR194" s="43" t="e">
        <f t="shared" si="166"/>
        <v>#N/A</v>
      </c>
      <c r="AS194" s="44" t="e">
        <f t="shared" si="167"/>
        <v>#N/A</v>
      </c>
      <c r="AT194" s="45" t="e">
        <f t="shared" si="184"/>
        <v>#N/A</v>
      </c>
      <c r="AU194" s="14">
        <f t="shared" si="168"/>
        <v>7</v>
      </c>
      <c r="AV194" s="44" t="e">
        <f t="shared" si="140"/>
        <v>#N/A</v>
      </c>
      <c r="AW194" s="14" t="e">
        <f t="shared" si="169"/>
        <v>#N/A</v>
      </c>
      <c r="AX194" s="14" t="e">
        <f t="shared" si="185"/>
        <v>#N/A</v>
      </c>
      <c r="AY194" s="46">
        <f t="shared" si="170"/>
        <v>7</v>
      </c>
      <c r="AZ194" s="47" t="e">
        <f t="shared" si="171"/>
        <v>#N/A</v>
      </c>
      <c r="BA194" s="48" t="e">
        <f t="shared" si="172"/>
        <v>#N/A</v>
      </c>
      <c r="BB194" s="31" t="e">
        <f t="shared" si="186"/>
        <v>#N/A</v>
      </c>
      <c r="BC194" s="28">
        <f t="shared" si="173"/>
        <v>7</v>
      </c>
      <c r="BD194" s="47" t="e">
        <f t="shared" si="174"/>
        <v>#N/A</v>
      </c>
      <c r="BE194" s="48" t="e">
        <f t="shared" si="175"/>
        <v>#N/A</v>
      </c>
      <c r="BF194" s="31" t="e">
        <f t="shared" si="187"/>
        <v>#N/A</v>
      </c>
      <c r="BG194" s="49" t="e">
        <f t="shared" si="188"/>
        <v>#N/A</v>
      </c>
      <c r="BH194" s="1" t="e">
        <f>VLOOKUP($B194,STOCK_BY_LA!$A$2:$C$10477,3,0)</f>
        <v>#N/A</v>
      </c>
      <c r="BI194" s="1" t="str">
        <f t="shared" si="176"/>
        <v/>
      </c>
    </row>
    <row r="195" spans="1:61" x14ac:dyDescent="0.35">
      <c r="A195" s="33" t="str">
        <f t="shared" si="189"/>
        <v/>
      </c>
      <c r="B195" s="1" t="str">
        <f t="shared" si="177"/>
        <v/>
      </c>
      <c r="C195" s="34" t="str">
        <f t="shared" si="146"/>
        <v/>
      </c>
      <c r="D195" s="33" t="str">
        <f>IF(B195="","",IF('totals_&amp;_RP_counts'!$O$3=0,IFERROR(IF(AA195=2,"0",AB195),""),"-"))</f>
        <v/>
      </c>
      <c r="E195" s="35" t="str">
        <f t="shared" si="147"/>
        <v/>
      </c>
      <c r="F195" s="36" t="str">
        <f t="shared" si="148"/>
        <v/>
      </c>
      <c r="G195" s="36" t="str">
        <f t="shared" si="149"/>
        <v/>
      </c>
      <c r="H195" s="33" t="str">
        <f t="shared" si="127"/>
        <v/>
      </c>
      <c r="I195" s="36" t="str">
        <f t="shared" si="150"/>
        <v/>
      </c>
      <c r="J195" s="36" t="str">
        <f t="shared" si="151"/>
        <v/>
      </c>
      <c r="K195" s="33" t="str">
        <f t="shared" si="128"/>
        <v/>
      </c>
      <c r="L195" s="36" t="str">
        <f t="shared" si="129"/>
        <v/>
      </c>
      <c r="M195" s="36" t="str">
        <f t="shared" si="152"/>
        <v/>
      </c>
      <c r="N195" s="33" t="str">
        <f t="shared" si="153"/>
        <v/>
      </c>
      <c r="O195" s="36" t="str">
        <f t="shared" si="154"/>
        <v/>
      </c>
      <c r="P195" s="36" t="str">
        <f t="shared" si="155"/>
        <v/>
      </c>
      <c r="Q195" s="33" t="str">
        <f t="shared" si="156"/>
        <v/>
      </c>
      <c r="R195" s="1"/>
      <c r="S195" s="1"/>
      <c r="Y195" s="1" t="e">
        <f>VLOOKUP($B$6,LOOKUP_SCE,188,0)</f>
        <v>#N/A</v>
      </c>
      <c r="Z195" s="22" t="str">
        <f t="shared" si="178"/>
        <v/>
      </c>
      <c r="AA195" s="23">
        <f t="shared" si="157"/>
        <v>7</v>
      </c>
      <c r="AB195" s="55" t="e">
        <f t="shared" si="179"/>
        <v>#N/A</v>
      </c>
      <c r="AC195" s="38" t="e">
        <f t="shared" si="158"/>
        <v>#N/A</v>
      </c>
      <c r="AD195" s="38" t="e">
        <f t="shared" si="159"/>
        <v>#N/A</v>
      </c>
      <c r="AE195" s="415" t="e">
        <f t="shared" si="180"/>
        <v>#N/A</v>
      </c>
      <c r="AF195" s="10">
        <f t="shared" si="160"/>
        <v>7</v>
      </c>
      <c r="AG195" s="38" t="e">
        <f t="shared" si="133"/>
        <v>#N/A</v>
      </c>
      <c r="AH195" s="38" t="e">
        <f t="shared" si="161"/>
        <v>#N/A</v>
      </c>
      <c r="AI195" s="10" t="e">
        <f t="shared" si="181"/>
        <v>#N/A</v>
      </c>
      <c r="AJ195" s="39" t="e">
        <f t="shared" si="162"/>
        <v>#N/A</v>
      </c>
      <c r="AK195" s="40" t="e">
        <f t="shared" si="135"/>
        <v>#N/A</v>
      </c>
      <c r="AL195" s="11" t="e">
        <f t="shared" si="182"/>
        <v>#N/A</v>
      </c>
      <c r="AM195" s="41">
        <f t="shared" si="163"/>
        <v>7</v>
      </c>
      <c r="AN195" s="57" t="e">
        <f t="shared" si="137"/>
        <v>#N/A</v>
      </c>
      <c r="AO195" s="40" t="e">
        <f t="shared" si="164"/>
        <v>#N/A</v>
      </c>
      <c r="AP195" s="417" t="e">
        <f t="shared" si="183"/>
        <v>#N/A</v>
      </c>
      <c r="AQ195" s="56">
        <f t="shared" si="165"/>
        <v>7</v>
      </c>
      <c r="AR195" s="43" t="e">
        <f t="shared" si="166"/>
        <v>#N/A</v>
      </c>
      <c r="AS195" s="44" t="e">
        <f t="shared" si="167"/>
        <v>#N/A</v>
      </c>
      <c r="AT195" s="45" t="e">
        <f t="shared" si="184"/>
        <v>#N/A</v>
      </c>
      <c r="AU195" s="14">
        <f t="shared" si="168"/>
        <v>7</v>
      </c>
      <c r="AV195" s="44" t="e">
        <f t="shared" si="140"/>
        <v>#N/A</v>
      </c>
      <c r="AW195" s="14" t="e">
        <f t="shared" si="169"/>
        <v>#N/A</v>
      </c>
      <c r="AX195" s="14" t="e">
        <f t="shared" si="185"/>
        <v>#N/A</v>
      </c>
      <c r="AY195" s="46">
        <f t="shared" si="170"/>
        <v>7</v>
      </c>
      <c r="AZ195" s="47" t="e">
        <f t="shared" si="171"/>
        <v>#N/A</v>
      </c>
      <c r="BA195" s="48" t="e">
        <f t="shared" si="172"/>
        <v>#N/A</v>
      </c>
      <c r="BB195" s="31" t="e">
        <f t="shared" si="186"/>
        <v>#N/A</v>
      </c>
      <c r="BC195" s="28">
        <f t="shared" si="173"/>
        <v>7</v>
      </c>
      <c r="BD195" s="47" t="e">
        <f t="shared" si="174"/>
        <v>#N/A</v>
      </c>
      <c r="BE195" s="48" t="e">
        <f t="shared" si="175"/>
        <v>#N/A</v>
      </c>
      <c r="BF195" s="31" t="e">
        <f t="shared" si="187"/>
        <v>#N/A</v>
      </c>
      <c r="BG195" s="49" t="e">
        <f t="shared" si="188"/>
        <v>#N/A</v>
      </c>
      <c r="BH195" s="1" t="e">
        <f>VLOOKUP($B195,STOCK_BY_LA!$A$2:$C$10477,3,0)</f>
        <v>#N/A</v>
      </c>
      <c r="BI195" s="1" t="str">
        <f t="shared" si="176"/>
        <v/>
      </c>
    </row>
    <row r="196" spans="1:61" x14ac:dyDescent="0.35">
      <c r="A196" s="1" t="str">
        <f t="shared" si="189"/>
        <v/>
      </c>
      <c r="B196" s="1" t="str">
        <f t="shared" si="177"/>
        <v/>
      </c>
      <c r="C196" s="50" t="str">
        <f t="shared" si="146"/>
        <v/>
      </c>
      <c r="D196" s="33" t="str">
        <f>IF(B196="","",IF('totals_&amp;_RP_counts'!$O$3=0,IFERROR(IF(AA196=2,"0",AB196),""),"-"))</f>
        <v/>
      </c>
      <c r="E196" s="35" t="str">
        <f t="shared" si="147"/>
        <v/>
      </c>
      <c r="F196" s="36" t="str">
        <f t="shared" si="148"/>
        <v/>
      </c>
      <c r="G196" s="36" t="str">
        <f t="shared" si="149"/>
        <v/>
      </c>
      <c r="H196" s="33" t="str">
        <f t="shared" si="127"/>
        <v/>
      </c>
      <c r="I196" s="36" t="str">
        <f t="shared" si="150"/>
        <v/>
      </c>
      <c r="J196" s="36" t="str">
        <f t="shared" si="151"/>
        <v/>
      </c>
      <c r="K196" s="33" t="str">
        <f t="shared" si="128"/>
        <v/>
      </c>
      <c r="L196" s="36" t="str">
        <f t="shared" si="129"/>
        <v/>
      </c>
      <c r="M196" s="36" t="str">
        <f t="shared" si="152"/>
        <v/>
      </c>
      <c r="N196" s="33" t="str">
        <f t="shared" si="153"/>
        <v/>
      </c>
      <c r="O196" s="36" t="str">
        <f t="shared" si="154"/>
        <v/>
      </c>
      <c r="P196" s="36" t="str">
        <f t="shared" si="155"/>
        <v/>
      </c>
      <c r="Q196" s="33" t="str">
        <f t="shared" si="156"/>
        <v/>
      </c>
      <c r="R196" s="1"/>
      <c r="S196" s="1"/>
      <c r="Y196" s="1" t="e">
        <f>VLOOKUP($B$6,LOOKUP_SCE,189,0)</f>
        <v>#N/A</v>
      </c>
      <c r="Z196" s="22" t="str">
        <f t="shared" si="178"/>
        <v/>
      </c>
      <c r="AA196" s="23">
        <f t="shared" si="157"/>
        <v>7</v>
      </c>
      <c r="AB196" s="55" t="e">
        <f t="shared" si="179"/>
        <v>#N/A</v>
      </c>
      <c r="AC196" s="38" t="e">
        <f t="shared" si="158"/>
        <v>#N/A</v>
      </c>
      <c r="AD196" s="38" t="e">
        <f t="shared" si="159"/>
        <v>#N/A</v>
      </c>
      <c r="AE196" s="415" t="e">
        <f t="shared" si="180"/>
        <v>#N/A</v>
      </c>
      <c r="AF196" s="10">
        <f t="shared" si="160"/>
        <v>7</v>
      </c>
      <c r="AG196" s="38" t="e">
        <f t="shared" si="133"/>
        <v>#N/A</v>
      </c>
      <c r="AH196" s="38" t="e">
        <f t="shared" si="161"/>
        <v>#N/A</v>
      </c>
      <c r="AI196" s="10" t="e">
        <f t="shared" si="181"/>
        <v>#N/A</v>
      </c>
      <c r="AJ196" s="39" t="e">
        <f t="shared" si="162"/>
        <v>#N/A</v>
      </c>
      <c r="AK196" s="40" t="e">
        <f t="shared" si="135"/>
        <v>#N/A</v>
      </c>
      <c r="AL196" s="11" t="e">
        <f t="shared" si="182"/>
        <v>#N/A</v>
      </c>
      <c r="AM196" s="41">
        <f t="shared" si="163"/>
        <v>7</v>
      </c>
      <c r="AN196" s="57" t="e">
        <f t="shared" si="137"/>
        <v>#N/A</v>
      </c>
      <c r="AO196" s="40" t="e">
        <f t="shared" si="164"/>
        <v>#N/A</v>
      </c>
      <c r="AP196" s="417" t="e">
        <f t="shared" si="183"/>
        <v>#N/A</v>
      </c>
      <c r="AQ196" s="56">
        <f t="shared" si="165"/>
        <v>7</v>
      </c>
      <c r="AR196" s="43" t="e">
        <f t="shared" si="166"/>
        <v>#N/A</v>
      </c>
      <c r="AS196" s="44" t="e">
        <f t="shared" si="167"/>
        <v>#N/A</v>
      </c>
      <c r="AT196" s="45" t="e">
        <f t="shared" si="184"/>
        <v>#N/A</v>
      </c>
      <c r="AU196" s="14">
        <f t="shared" si="168"/>
        <v>7</v>
      </c>
      <c r="AV196" s="44" t="e">
        <f t="shared" si="140"/>
        <v>#N/A</v>
      </c>
      <c r="AW196" s="14" t="e">
        <f t="shared" si="169"/>
        <v>#N/A</v>
      </c>
      <c r="AX196" s="14" t="e">
        <f t="shared" si="185"/>
        <v>#N/A</v>
      </c>
      <c r="AY196" s="46">
        <f t="shared" si="170"/>
        <v>7</v>
      </c>
      <c r="AZ196" s="47" t="e">
        <f t="shared" si="171"/>
        <v>#N/A</v>
      </c>
      <c r="BA196" s="48" t="e">
        <f t="shared" si="172"/>
        <v>#N/A</v>
      </c>
      <c r="BB196" s="31" t="e">
        <f t="shared" si="186"/>
        <v>#N/A</v>
      </c>
      <c r="BC196" s="28">
        <f t="shared" si="173"/>
        <v>7</v>
      </c>
      <c r="BD196" s="47" t="e">
        <f t="shared" si="174"/>
        <v>#N/A</v>
      </c>
      <c r="BE196" s="48" t="e">
        <f t="shared" si="175"/>
        <v>#N/A</v>
      </c>
      <c r="BF196" s="31" t="e">
        <f t="shared" si="187"/>
        <v>#N/A</v>
      </c>
      <c r="BG196" s="49" t="e">
        <f t="shared" si="188"/>
        <v>#N/A</v>
      </c>
      <c r="BH196" s="1" t="e">
        <f>VLOOKUP($B196,STOCK_BY_LA!$A$2:$C$10477,3,0)</f>
        <v>#N/A</v>
      </c>
      <c r="BI196" s="1" t="str">
        <f t="shared" si="176"/>
        <v/>
      </c>
    </row>
    <row r="197" spans="1:61" x14ac:dyDescent="0.35">
      <c r="A197" s="33" t="str">
        <f t="shared" si="189"/>
        <v/>
      </c>
      <c r="B197" s="1" t="str">
        <f t="shared" si="177"/>
        <v/>
      </c>
      <c r="C197" s="34" t="str">
        <f t="shared" si="146"/>
        <v/>
      </c>
      <c r="D197" s="33" t="str">
        <f>IF(B197="","",IF('totals_&amp;_RP_counts'!$O$3=0,IFERROR(IF(AA197=2,"0",AB197),""),"-"))</f>
        <v/>
      </c>
      <c r="E197" s="35" t="str">
        <f t="shared" si="147"/>
        <v/>
      </c>
      <c r="F197" s="36" t="str">
        <f t="shared" si="148"/>
        <v/>
      </c>
      <c r="G197" s="36" t="str">
        <f t="shared" si="149"/>
        <v/>
      </c>
      <c r="H197" s="33" t="str">
        <f t="shared" si="127"/>
        <v/>
      </c>
      <c r="I197" s="36" t="str">
        <f t="shared" si="150"/>
        <v/>
      </c>
      <c r="J197" s="36" t="str">
        <f t="shared" si="151"/>
        <v/>
      </c>
      <c r="K197" s="33" t="str">
        <f t="shared" si="128"/>
        <v/>
      </c>
      <c r="L197" s="36" t="str">
        <f t="shared" si="129"/>
        <v/>
      </c>
      <c r="M197" s="36" t="str">
        <f t="shared" si="152"/>
        <v/>
      </c>
      <c r="N197" s="33" t="str">
        <f t="shared" si="153"/>
        <v/>
      </c>
      <c r="O197" s="36" t="str">
        <f t="shared" si="154"/>
        <v/>
      </c>
      <c r="P197" s="36" t="str">
        <f t="shared" si="155"/>
        <v/>
      </c>
      <c r="Q197" s="33" t="str">
        <f t="shared" si="156"/>
        <v/>
      </c>
      <c r="R197" s="1"/>
      <c r="S197" s="1"/>
      <c r="Y197" s="1" t="e">
        <f>VLOOKUP($B$6,LOOKUP_SCE,190,0)</f>
        <v>#N/A</v>
      </c>
      <c r="Z197" s="22" t="str">
        <f t="shared" si="178"/>
        <v/>
      </c>
      <c r="AA197" s="23">
        <f t="shared" si="157"/>
        <v>7</v>
      </c>
      <c r="AB197" s="55" t="e">
        <f t="shared" si="179"/>
        <v>#N/A</v>
      </c>
      <c r="AC197" s="38" t="e">
        <f t="shared" si="158"/>
        <v>#N/A</v>
      </c>
      <c r="AD197" s="38" t="e">
        <f t="shared" si="159"/>
        <v>#N/A</v>
      </c>
      <c r="AE197" s="415" t="e">
        <f t="shared" si="180"/>
        <v>#N/A</v>
      </c>
      <c r="AF197" s="10">
        <f t="shared" si="160"/>
        <v>7</v>
      </c>
      <c r="AG197" s="38" t="e">
        <f t="shared" si="133"/>
        <v>#N/A</v>
      </c>
      <c r="AH197" s="38" t="e">
        <f t="shared" si="161"/>
        <v>#N/A</v>
      </c>
      <c r="AI197" s="10" t="e">
        <f t="shared" si="181"/>
        <v>#N/A</v>
      </c>
      <c r="AJ197" s="39" t="e">
        <f t="shared" si="162"/>
        <v>#N/A</v>
      </c>
      <c r="AK197" s="40" t="e">
        <f t="shared" si="135"/>
        <v>#N/A</v>
      </c>
      <c r="AL197" s="11" t="e">
        <f t="shared" si="182"/>
        <v>#N/A</v>
      </c>
      <c r="AM197" s="41">
        <f t="shared" si="163"/>
        <v>7</v>
      </c>
      <c r="AN197" s="57" t="e">
        <f t="shared" si="137"/>
        <v>#N/A</v>
      </c>
      <c r="AO197" s="40" t="e">
        <f t="shared" si="164"/>
        <v>#N/A</v>
      </c>
      <c r="AP197" s="417" t="e">
        <f t="shared" si="183"/>
        <v>#N/A</v>
      </c>
      <c r="AQ197" s="56">
        <f t="shared" si="165"/>
        <v>7</v>
      </c>
      <c r="AR197" s="43" t="e">
        <f t="shared" si="166"/>
        <v>#N/A</v>
      </c>
      <c r="AS197" s="44" t="e">
        <f t="shared" si="167"/>
        <v>#N/A</v>
      </c>
      <c r="AT197" s="45" t="e">
        <f t="shared" si="184"/>
        <v>#N/A</v>
      </c>
      <c r="AU197" s="14">
        <f t="shared" si="168"/>
        <v>7</v>
      </c>
      <c r="AV197" s="44" t="e">
        <f t="shared" si="140"/>
        <v>#N/A</v>
      </c>
      <c r="AW197" s="14" t="e">
        <f t="shared" si="169"/>
        <v>#N/A</v>
      </c>
      <c r="AX197" s="14" t="e">
        <f t="shared" si="185"/>
        <v>#N/A</v>
      </c>
      <c r="AY197" s="46">
        <f t="shared" si="170"/>
        <v>7</v>
      </c>
      <c r="AZ197" s="47" t="e">
        <f t="shared" si="171"/>
        <v>#N/A</v>
      </c>
      <c r="BA197" s="48" t="e">
        <f t="shared" si="172"/>
        <v>#N/A</v>
      </c>
      <c r="BB197" s="31" t="e">
        <f t="shared" si="186"/>
        <v>#N/A</v>
      </c>
      <c r="BC197" s="28">
        <f t="shared" si="173"/>
        <v>7</v>
      </c>
      <c r="BD197" s="47" t="e">
        <f t="shared" si="174"/>
        <v>#N/A</v>
      </c>
      <c r="BE197" s="48" t="e">
        <f t="shared" si="175"/>
        <v>#N/A</v>
      </c>
      <c r="BF197" s="31" t="e">
        <f t="shared" si="187"/>
        <v>#N/A</v>
      </c>
      <c r="BG197" s="49" t="e">
        <f t="shared" si="188"/>
        <v>#N/A</v>
      </c>
      <c r="BH197" s="1" t="e">
        <f>VLOOKUP($B197,STOCK_BY_LA!$A$2:$C$10477,3,0)</f>
        <v>#N/A</v>
      </c>
      <c r="BI197" s="1" t="str">
        <f t="shared" si="176"/>
        <v/>
      </c>
    </row>
    <row r="198" spans="1:61" x14ac:dyDescent="0.35">
      <c r="A198" s="1" t="str">
        <f t="shared" si="189"/>
        <v/>
      </c>
      <c r="B198" s="1" t="str">
        <f t="shared" si="177"/>
        <v/>
      </c>
      <c r="C198" s="50" t="str">
        <f t="shared" si="146"/>
        <v/>
      </c>
      <c r="D198" s="33" t="str">
        <f>IF(B198="","",IF('totals_&amp;_RP_counts'!$O$3=0,IFERROR(IF(AA198=2,"0",AB198),""),"-"))</f>
        <v/>
      </c>
      <c r="E198" s="35" t="str">
        <f t="shared" si="147"/>
        <v/>
      </c>
      <c r="F198" s="36" t="str">
        <f t="shared" si="148"/>
        <v/>
      </c>
      <c r="G198" s="36" t="str">
        <f t="shared" si="149"/>
        <v/>
      </c>
      <c r="H198" s="33" t="str">
        <f t="shared" si="127"/>
        <v/>
      </c>
      <c r="I198" s="36" t="str">
        <f t="shared" si="150"/>
        <v/>
      </c>
      <c r="J198" s="36" t="str">
        <f t="shared" si="151"/>
        <v/>
      </c>
      <c r="K198" s="33" t="str">
        <f t="shared" si="128"/>
        <v/>
      </c>
      <c r="L198" s="36" t="str">
        <f t="shared" si="129"/>
        <v/>
      </c>
      <c r="M198" s="36" t="str">
        <f t="shared" si="152"/>
        <v/>
      </c>
      <c r="N198" s="33" t="str">
        <f t="shared" si="153"/>
        <v/>
      </c>
      <c r="O198" s="36" t="str">
        <f t="shared" si="154"/>
        <v/>
      </c>
      <c r="P198" s="36" t="str">
        <f t="shared" si="155"/>
        <v/>
      </c>
      <c r="Q198" s="33" t="str">
        <f t="shared" si="156"/>
        <v/>
      </c>
      <c r="R198" s="1"/>
      <c r="S198" s="1"/>
      <c r="Y198" s="1" t="e">
        <f>VLOOKUP($B$6,LOOKUP_SCE,191,0)</f>
        <v>#N/A</v>
      </c>
      <c r="Z198" s="22" t="str">
        <f t="shared" si="178"/>
        <v/>
      </c>
      <c r="AA198" s="23">
        <f t="shared" si="157"/>
        <v>7</v>
      </c>
      <c r="AB198" s="55" t="e">
        <f t="shared" si="179"/>
        <v>#N/A</v>
      </c>
      <c r="AC198" s="38" t="e">
        <f t="shared" si="158"/>
        <v>#N/A</v>
      </c>
      <c r="AD198" s="38" t="e">
        <f t="shared" si="159"/>
        <v>#N/A</v>
      </c>
      <c r="AE198" s="415" t="e">
        <f t="shared" si="180"/>
        <v>#N/A</v>
      </c>
      <c r="AF198" s="10">
        <f t="shared" si="160"/>
        <v>7</v>
      </c>
      <c r="AG198" s="38" t="e">
        <f t="shared" si="133"/>
        <v>#N/A</v>
      </c>
      <c r="AH198" s="38" t="e">
        <f t="shared" si="161"/>
        <v>#N/A</v>
      </c>
      <c r="AI198" s="10" t="e">
        <f t="shared" si="181"/>
        <v>#N/A</v>
      </c>
      <c r="AJ198" s="39" t="e">
        <f t="shared" si="162"/>
        <v>#N/A</v>
      </c>
      <c r="AK198" s="40" t="e">
        <f t="shared" si="135"/>
        <v>#N/A</v>
      </c>
      <c r="AL198" s="11" t="e">
        <f t="shared" si="182"/>
        <v>#N/A</v>
      </c>
      <c r="AM198" s="41">
        <f t="shared" si="163"/>
        <v>7</v>
      </c>
      <c r="AN198" s="57" t="e">
        <f t="shared" si="137"/>
        <v>#N/A</v>
      </c>
      <c r="AO198" s="40" t="e">
        <f t="shared" si="164"/>
        <v>#N/A</v>
      </c>
      <c r="AP198" s="417" t="e">
        <f t="shared" si="183"/>
        <v>#N/A</v>
      </c>
      <c r="AQ198" s="56">
        <f t="shared" si="165"/>
        <v>7</v>
      </c>
      <c r="AR198" s="43" t="e">
        <f t="shared" si="166"/>
        <v>#N/A</v>
      </c>
      <c r="AS198" s="44" t="e">
        <f t="shared" si="167"/>
        <v>#N/A</v>
      </c>
      <c r="AT198" s="45" t="e">
        <f t="shared" si="184"/>
        <v>#N/A</v>
      </c>
      <c r="AU198" s="14">
        <f t="shared" si="168"/>
        <v>7</v>
      </c>
      <c r="AV198" s="44" t="e">
        <f t="shared" si="140"/>
        <v>#N/A</v>
      </c>
      <c r="AW198" s="14" t="e">
        <f t="shared" si="169"/>
        <v>#N/A</v>
      </c>
      <c r="AX198" s="14" t="e">
        <f t="shared" si="185"/>
        <v>#N/A</v>
      </c>
      <c r="AY198" s="46">
        <f t="shared" si="170"/>
        <v>7</v>
      </c>
      <c r="AZ198" s="47" t="e">
        <f t="shared" si="171"/>
        <v>#N/A</v>
      </c>
      <c r="BA198" s="48" t="e">
        <f t="shared" si="172"/>
        <v>#N/A</v>
      </c>
      <c r="BB198" s="31" t="e">
        <f t="shared" si="186"/>
        <v>#N/A</v>
      </c>
      <c r="BC198" s="28">
        <f t="shared" si="173"/>
        <v>7</v>
      </c>
      <c r="BD198" s="47" t="e">
        <f t="shared" si="174"/>
        <v>#N/A</v>
      </c>
      <c r="BE198" s="48" t="e">
        <f t="shared" si="175"/>
        <v>#N/A</v>
      </c>
      <c r="BF198" s="31" t="e">
        <f t="shared" si="187"/>
        <v>#N/A</v>
      </c>
      <c r="BG198" s="49" t="e">
        <f t="shared" si="188"/>
        <v>#N/A</v>
      </c>
      <c r="BH198" s="1" t="e">
        <f>VLOOKUP($B198,STOCK_BY_LA!$A$2:$C$10477,3,0)</f>
        <v>#N/A</v>
      </c>
      <c r="BI198" s="1" t="str">
        <f t="shared" si="176"/>
        <v/>
      </c>
    </row>
    <row r="199" spans="1:61" x14ac:dyDescent="0.35">
      <c r="A199" s="33" t="str">
        <f t="shared" si="189"/>
        <v/>
      </c>
      <c r="B199" s="1" t="str">
        <f t="shared" si="177"/>
        <v/>
      </c>
      <c r="C199" s="34" t="str">
        <f t="shared" si="146"/>
        <v/>
      </c>
      <c r="D199" s="33" t="str">
        <f>IF(B199="","",IF('totals_&amp;_RP_counts'!$O$3=0,IFERROR(IF(AA199=2,"0",AB199),""),"-"))</f>
        <v/>
      </c>
      <c r="E199" s="35" t="str">
        <f t="shared" si="147"/>
        <v/>
      </c>
      <c r="F199" s="36" t="str">
        <f t="shared" si="148"/>
        <v/>
      </c>
      <c r="G199" s="36" t="str">
        <f t="shared" si="149"/>
        <v/>
      </c>
      <c r="H199" s="33" t="str">
        <f t="shared" si="127"/>
        <v/>
      </c>
      <c r="I199" s="36" t="str">
        <f t="shared" si="150"/>
        <v/>
      </c>
      <c r="J199" s="36" t="str">
        <f t="shared" si="151"/>
        <v/>
      </c>
      <c r="K199" s="33" t="str">
        <f t="shared" si="128"/>
        <v/>
      </c>
      <c r="L199" s="36" t="str">
        <f t="shared" si="129"/>
        <v/>
      </c>
      <c r="M199" s="36" t="str">
        <f t="shared" si="152"/>
        <v/>
      </c>
      <c r="N199" s="33" t="str">
        <f t="shared" si="153"/>
        <v/>
      </c>
      <c r="O199" s="36" t="str">
        <f t="shared" si="154"/>
        <v/>
      </c>
      <c r="P199" s="36" t="str">
        <f t="shared" si="155"/>
        <v/>
      </c>
      <c r="Q199" s="33" t="str">
        <f t="shared" si="156"/>
        <v/>
      </c>
      <c r="R199" s="1"/>
      <c r="S199" s="1"/>
      <c r="Y199" s="1" t="e">
        <f>VLOOKUP($B$6,LOOKUP_SCE,192,0)</f>
        <v>#N/A</v>
      </c>
      <c r="Z199" s="22" t="str">
        <f t="shared" si="178"/>
        <v/>
      </c>
      <c r="AA199" s="23">
        <f t="shared" si="157"/>
        <v>7</v>
      </c>
      <c r="AB199" s="55" t="e">
        <f t="shared" si="179"/>
        <v>#N/A</v>
      </c>
      <c r="AC199" s="38" t="e">
        <f t="shared" si="158"/>
        <v>#N/A</v>
      </c>
      <c r="AD199" s="38" t="e">
        <f t="shared" si="159"/>
        <v>#N/A</v>
      </c>
      <c r="AE199" s="415" t="e">
        <f t="shared" si="180"/>
        <v>#N/A</v>
      </c>
      <c r="AF199" s="10">
        <f t="shared" si="160"/>
        <v>7</v>
      </c>
      <c r="AG199" s="38" t="e">
        <f t="shared" si="133"/>
        <v>#N/A</v>
      </c>
      <c r="AH199" s="38" t="e">
        <f t="shared" si="161"/>
        <v>#N/A</v>
      </c>
      <c r="AI199" s="10" t="e">
        <f t="shared" si="181"/>
        <v>#N/A</v>
      </c>
      <c r="AJ199" s="39" t="e">
        <f t="shared" si="162"/>
        <v>#N/A</v>
      </c>
      <c r="AK199" s="40" t="e">
        <f t="shared" si="135"/>
        <v>#N/A</v>
      </c>
      <c r="AL199" s="11" t="e">
        <f t="shared" si="182"/>
        <v>#N/A</v>
      </c>
      <c r="AM199" s="41">
        <f t="shared" si="163"/>
        <v>7</v>
      </c>
      <c r="AN199" s="57" t="e">
        <f t="shared" si="137"/>
        <v>#N/A</v>
      </c>
      <c r="AO199" s="40" t="e">
        <f t="shared" si="164"/>
        <v>#N/A</v>
      </c>
      <c r="AP199" s="417" t="e">
        <f t="shared" si="183"/>
        <v>#N/A</v>
      </c>
      <c r="AQ199" s="56">
        <f t="shared" si="165"/>
        <v>7</v>
      </c>
      <c r="AR199" s="43" t="e">
        <f t="shared" si="166"/>
        <v>#N/A</v>
      </c>
      <c r="AS199" s="44" t="e">
        <f t="shared" si="167"/>
        <v>#N/A</v>
      </c>
      <c r="AT199" s="45" t="e">
        <f t="shared" si="184"/>
        <v>#N/A</v>
      </c>
      <c r="AU199" s="14">
        <f t="shared" si="168"/>
        <v>7</v>
      </c>
      <c r="AV199" s="44" t="e">
        <f t="shared" si="140"/>
        <v>#N/A</v>
      </c>
      <c r="AW199" s="14" t="e">
        <f t="shared" si="169"/>
        <v>#N/A</v>
      </c>
      <c r="AX199" s="14" t="e">
        <f t="shared" si="185"/>
        <v>#N/A</v>
      </c>
      <c r="AY199" s="46">
        <f t="shared" si="170"/>
        <v>7</v>
      </c>
      <c r="AZ199" s="47" t="e">
        <f t="shared" si="171"/>
        <v>#N/A</v>
      </c>
      <c r="BA199" s="48" t="e">
        <f t="shared" si="172"/>
        <v>#N/A</v>
      </c>
      <c r="BB199" s="31" t="e">
        <f t="shared" si="186"/>
        <v>#N/A</v>
      </c>
      <c r="BC199" s="28">
        <f t="shared" si="173"/>
        <v>7</v>
      </c>
      <c r="BD199" s="47" t="e">
        <f t="shared" si="174"/>
        <v>#N/A</v>
      </c>
      <c r="BE199" s="48" t="e">
        <f t="shared" si="175"/>
        <v>#N/A</v>
      </c>
      <c r="BF199" s="31" t="e">
        <f t="shared" si="187"/>
        <v>#N/A</v>
      </c>
      <c r="BG199" s="49" t="e">
        <f t="shared" si="188"/>
        <v>#N/A</v>
      </c>
      <c r="BH199" s="1" t="e">
        <f>VLOOKUP($B199,STOCK_BY_LA!$A$2:$C$10477,3,0)</f>
        <v>#N/A</v>
      </c>
      <c r="BI199" s="1" t="str">
        <f t="shared" si="176"/>
        <v/>
      </c>
    </row>
    <row r="200" spans="1:61" x14ac:dyDescent="0.35">
      <c r="A200" s="1" t="str">
        <f t="shared" si="189"/>
        <v/>
      </c>
      <c r="B200" s="1" t="str">
        <f t="shared" si="177"/>
        <v/>
      </c>
      <c r="C200" s="50" t="str">
        <f t="shared" si="146"/>
        <v/>
      </c>
      <c r="D200" s="33" t="str">
        <f>IF(B200="","",IF('totals_&amp;_RP_counts'!$O$3=0,IFERROR(IF(AA200=2,"0",AB200),""),"-"))</f>
        <v/>
      </c>
      <c r="E200" s="35" t="str">
        <f t="shared" si="147"/>
        <v/>
      </c>
      <c r="F200" s="36" t="str">
        <f t="shared" si="148"/>
        <v/>
      </c>
      <c r="G200" s="36" t="str">
        <f t="shared" si="149"/>
        <v/>
      </c>
      <c r="H200" s="33" t="str">
        <f t="shared" si="127"/>
        <v/>
      </c>
      <c r="I200" s="36" t="str">
        <f t="shared" si="150"/>
        <v/>
      </c>
      <c r="J200" s="36" t="str">
        <f t="shared" si="151"/>
        <v/>
      </c>
      <c r="K200" s="33" t="str">
        <f t="shared" si="128"/>
        <v/>
      </c>
      <c r="L200" s="36" t="str">
        <f t="shared" si="129"/>
        <v/>
      </c>
      <c r="M200" s="36" t="str">
        <f t="shared" si="152"/>
        <v/>
      </c>
      <c r="N200" s="33" t="str">
        <f t="shared" si="153"/>
        <v/>
      </c>
      <c r="O200" s="36" t="str">
        <f t="shared" si="154"/>
        <v/>
      </c>
      <c r="P200" s="36" t="str">
        <f t="shared" si="155"/>
        <v/>
      </c>
      <c r="Q200" s="33" t="str">
        <f t="shared" si="156"/>
        <v/>
      </c>
      <c r="R200" s="1"/>
      <c r="S200" s="1"/>
      <c r="Y200" s="1" t="e">
        <f>VLOOKUP($B$6,LOOKUP_SCE,193,0)</f>
        <v>#N/A</v>
      </c>
      <c r="Z200" s="22" t="str">
        <f t="shared" si="178"/>
        <v/>
      </c>
      <c r="AA200" s="23">
        <f t="shared" si="157"/>
        <v>7</v>
      </c>
      <c r="AB200" s="55" t="e">
        <f t="shared" si="179"/>
        <v>#N/A</v>
      </c>
      <c r="AC200" s="38" t="e">
        <f t="shared" si="158"/>
        <v>#N/A</v>
      </c>
      <c r="AD200" s="38" t="e">
        <f t="shared" si="159"/>
        <v>#N/A</v>
      </c>
      <c r="AE200" s="415" t="e">
        <f t="shared" si="180"/>
        <v>#N/A</v>
      </c>
      <c r="AF200" s="10">
        <f t="shared" si="160"/>
        <v>7</v>
      </c>
      <c r="AG200" s="38" t="e">
        <f t="shared" si="133"/>
        <v>#N/A</v>
      </c>
      <c r="AH200" s="38" t="e">
        <f t="shared" si="161"/>
        <v>#N/A</v>
      </c>
      <c r="AI200" s="10" t="e">
        <f t="shared" si="181"/>
        <v>#N/A</v>
      </c>
      <c r="AJ200" s="39" t="e">
        <f t="shared" si="162"/>
        <v>#N/A</v>
      </c>
      <c r="AK200" s="40" t="e">
        <f t="shared" si="135"/>
        <v>#N/A</v>
      </c>
      <c r="AL200" s="11" t="e">
        <f t="shared" si="182"/>
        <v>#N/A</v>
      </c>
      <c r="AM200" s="41">
        <f t="shared" si="163"/>
        <v>7</v>
      </c>
      <c r="AN200" s="57" t="e">
        <f t="shared" si="137"/>
        <v>#N/A</v>
      </c>
      <c r="AO200" s="40" t="e">
        <f t="shared" si="164"/>
        <v>#N/A</v>
      </c>
      <c r="AP200" s="417" t="e">
        <f t="shared" si="183"/>
        <v>#N/A</v>
      </c>
      <c r="AQ200" s="56">
        <f t="shared" si="165"/>
        <v>7</v>
      </c>
      <c r="AR200" s="43" t="e">
        <f t="shared" si="166"/>
        <v>#N/A</v>
      </c>
      <c r="AS200" s="44" t="e">
        <f t="shared" si="167"/>
        <v>#N/A</v>
      </c>
      <c r="AT200" s="45" t="e">
        <f t="shared" si="184"/>
        <v>#N/A</v>
      </c>
      <c r="AU200" s="14">
        <f t="shared" si="168"/>
        <v>7</v>
      </c>
      <c r="AV200" s="44" t="e">
        <f t="shared" si="140"/>
        <v>#N/A</v>
      </c>
      <c r="AW200" s="14" t="e">
        <f t="shared" si="169"/>
        <v>#N/A</v>
      </c>
      <c r="AX200" s="14" t="e">
        <f t="shared" si="185"/>
        <v>#N/A</v>
      </c>
      <c r="AY200" s="46">
        <f t="shared" si="170"/>
        <v>7</v>
      </c>
      <c r="AZ200" s="47" t="e">
        <f t="shared" si="171"/>
        <v>#N/A</v>
      </c>
      <c r="BA200" s="48" t="e">
        <f t="shared" si="172"/>
        <v>#N/A</v>
      </c>
      <c r="BB200" s="31" t="e">
        <f t="shared" si="186"/>
        <v>#N/A</v>
      </c>
      <c r="BC200" s="28">
        <f t="shared" si="173"/>
        <v>7</v>
      </c>
      <c r="BD200" s="47" t="e">
        <f t="shared" si="174"/>
        <v>#N/A</v>
      </c>
      <c r="BE200" s="48" t="e">
        <f t="shared" si="175"/>
        <v>#N/A</v>
      </c>
      <c r="BF200" s="31" t="e">
        <f t="shared" si="187"/>
        <v>#N/A</v>
      </c>
      <c r="BG200" s="49" t="e">
        <f t="shared" si="188"/>
        <v>#N/A</v>
      </c>
      <c r="BH200" s="1" t="e">
        <f>VLOOKUP($B200,STOCK_BY_LA!$A$2:$C$10477,3,0)</f>
        <v>#N/A</v>
      </c>
      <c r="BI200" s="1" t="str">
        <f t="shared" si="176"/>
        <v/>
      </c>
    </row>
    <row r="201" spans="1:61" x14ac:dyDescent="0.35">
      <c r="A201" s="33" t="str">
        <f t="shared" si="189"/>
        <v/>
      </c>
      <c r="B201" s="1" t="str">
        <f t="shared" si="177"/>
        <v/>
      </c>
      <c r="C201" s="34" t="str">
        <f t="shared" si="146"/>
        <v/>
      </c>
      <c r="D201" s="33" t="str">
        <f>IF(B201="","",IF('totals_&amp;_RP_counts'!$O$3=0,IFERROR(IF(AA201=2,"0",AB201),""),"-"))</f>
        <v/>
      </c>
      <c r="E201" s="35" t="str">
        <f t="shared" si="147"/>
        <v/>
      </c>
      <c r="F201" s="36" t="str">
        <f t="shared" si="148"/>
        <v/>
      </c>
      <c r="G201" s="36" t="str">
        <f t="shared" si="149"/>
        <v/>
      </c>
      <c r="H201" s="33" t="str">
        <f t="shared" ref="H201:H208" si="190">IFERROR(AL201,"")</f>
        <v/>
      </c>
      <c r="I201" s="36" t="str">
        <f t="shared" si="150"/>
        <v/>
      </c>
      <c r="J201" s="36" t="str">
        <f t="shared" si="151"/>
        <v/>
      </c>
      <c r="K201" s="33" t="str">
        <f t="shared" ref="K201:K208" si="191">IFERROR(AT201,"")</f>
        <v/>
      </c>
      <c r="L201" s="36" t="str">
        <f t="shared" ref="L201:L208" si="192">IFERROR(IF(AQ201=2,"-",AR201),"")</f>
        <v/>
      </c>
      <c r="M201" s="36" t="str">
        <f t="shared" si="152"/>
        <v/>
      </c>
      <c r="N201" s="33" t="str">
        <f t="shared" si="153"/>
        <v/>
      </c>
      <c r="O201" s="36" t="str">
        <f t="shared" si="154"/>
        <v/>
      </c>
      <c r="P201" s="36" t="str">
        <f t="shared" si="155"/>
        <v/>
      </c>
      <c r="Q201" s="33" t="str">
        <f t="shared" si="156"/>
        <v/>
      </c>
      <c r="R201" s="1"/>
      <c r="S201" s="1"/>
      <c r="Y201" s="1" t="e">
        <f>VLOOKUP($B$6,LOOKUP_SCE,194,0)</f>
        <v>#N/A</v>
      </c>
      <c r="Z201" s="22" t="str">
        <f t="shared" ref="Z201:Z208" si="193">IF(ISNUMBER(SEARCH("*",B201)),1,"")</f>
        <v/>
      </c>
      <c r="AA201" s="23">
        <f t="shared" si="157"/>
        <v>7</v>
      </c>
      <c r="AB201" s="55" t="e">
        <f t="shared" ref="AB201:AB208" si="194">IF(C201="LARP","-",SUM(VLOOKUP($B201,RP_LA_Count,2,0)-1))</f>
        <v>#N/A</v>
      </c>
      <c r="AC201" s="38" t="e">
        <f t="shared" si="158"/>
        <v>#N/A</v>
      </c>
      <c r="AD201" s="38" t="e">
        <f t="shared" si="159"/>
        <v>#N/A</v>
      </c>
      <c r="AE201" s="415" t="e">
        <f t="shared" ref="AE201:AE208" si="195">VLOOKUP(BI201,Stock_By_LA,2,0)</f>
        <v>#N/A</v>
      </c>
      <c r="AF201" s="10">
        <f t="shared" si="160"/>
        <v>7</v>
      </c>
      <c r="AG201" s="38" t="e">
        <f t="shared" ref="AG201:AG208" si="196">IF(AH201&gt;0,AH201,"-")</f>
        <v>#N/A</v>
      </c>
      <c r="AH201" s="38" t="e">
        <f t="shared" si="161"/>
        <v>#N/A</v>
      </c>
      <c r="AI201" s="10" t="e">
        <f t="shared" ref="AI201:AI208" si="197">VLOOKUP(B201,RP_Totals,2,0)</f>
        <v>#N/A</v>
      </c>
      <c r="AJ201" s="39" t="e">
        <f t="shared" si="162"/>
        <v>#N/A</v>
      </c>
      <c r="AK201" s="40" t="e">
        <f t="shared" ref="AK201:AK208" si="198">$AL201/$AL$8</f>
        <v>#N/A</v>
      </c>
      <c r="AL201" s="11" t="e">
        <f t="shared" ref="AL201:AL208" si="199">VLOOKUP($BI201,Stock_By_LA,3,0)</f>
        <v>#N/A</v>
      </c>
      <c r="AM201" s="41">
        <f t="shared" si="163"/>
        <v>7</v>
      </c>
      <c r="AN201" s="57" t="e">
        <f t="shared" ref="AN201:AN208" si="200">IF(AO201&gt;0,AO201,"-")</f>
        <v>#N/A</v>
      </c>
      <c r="AO201" s="40" t="e">
        <f t="shared" si="164"/>
        <v>#N/A</v>
      </c>
      <c r="AP201" s="417" t="e">
        <f t="shared" ref="AP201:AP208" si="201">VLOOKUP(B201,RP_Totals,3,0)</f>
        <v>#N/A</v>
      </c>
      <c r="AQ201" s="56">
        <f t="shared" si="165"/>
        <v>7</v>
      </c>
      <c r="AR201" s="43" t="e">
        <f t="shared" si="166"/>
        <v>#N/A</v>
      </c>
      <c r="AS201" s="44" t="e">
        <f t="shared" si="167"/>
        <v>#N/A</v>
      </c>
      <c r="AT201" s="45" t="e">
        <f t="shared" ref="AT201:AT208" si="202">VLOOKUP($BI201,Stock_By_LA,4,0)</f>
        <v>#N/A</v>
      </c>
      <c r="AU201" s="14">
        <f t="shared" si="168"/>
        <v>7</v>
      </c>
      <c r="AV201" s="44" t="e">
        <f t="shared" ref="AV201:AV208" si="203">IF(AW201&gt;0,AW201,"-")</f>
        <v>#N/A</v>
      </c>
      <c r="AW201" s="14" t="e">
        <f t="shared" si="169"/>
        <v>#N/A</v>
      </c>
      <c r="AX201" s="14" t="e">
        <f t="shared" ref="AX201:AX208" si="204">VLOOKUP(B201,RP_Totals,4,0)</f>
        <v>#N/A</v>
      </c>
      <c r="AY201" s="46">
        <f t="shared" si="170"/>
        <v>7</v>
      </c>
      <c r="AZ201" s="47" t="e">
        <f t="shared" si="171"/>
        <v>#N/A</v>
      </c>
      <c r="BA201" s="48" t="e">
        <f t="shared" si="172"/>
        <v>#N/A</v>
      </c>
      <c r="BB201" s="31" t="e">
        <f t="shared" ref="BB201:BB208" si="205">VLOOKUP($BI201,Stock_By_LA,5,0)</f>
        <v>#N/A</v>
      </c>
      <c r="BC201" s="28">
        <f t="shared" si="173"/>
        <v>7</v>
      </c>
      <c r="BD201" s="47" t="e">
        <f t="shared" si="174"/>
        <v>#N/A</v>
      </c>
      <c r="BE201" s="48" t="e">
        <f t="shared" si="175"/>
        <v>#N/A</v>
      </c>
      <c r="BF201" s="31" t="e">
        <f t="shared" ref="BF201:BF208" si="206">VLOOKUP(B201,RP_Totals,5,0)</f>
        <v>#N/A</v>
      </c>
      <c r="BG201" s="49" t="e">
        <f t="shared" ref="BG201:BG208" si="207">VLOOKUP(BI201,Stock_By_LA,6,0)</f>
        <v>#N/A</v>
      </c>
      <c r="BH201" s="1" t="e">
        <f>VLOOKUP($B201,STOCK_BY_LA!$A$2:$C$10477,3,0)</f>
        <v>#N/A</v>
      </c>
      <c r="BI201" s="1" t="str">
        <f t="shared" si="176"/>
        <v/>
      </c>
    </row>
    <row r="202" spans="1:61" x14ac:dyDescent="0.35">
      <c r="A202" s="1" t="str">
        <f t="shared" ref="A202:A208" si="208">IF(Z202=1,A201+1,"")</f>
        <v/>
      </c>
      <c r="B202" s="1" t="str">
        <f t="shared" si="177"/>
        <v/>
      </c>
      <c r="C202" s="50" t="str">
        <f t="shared" ref="C202:C208" si="209">IFERROR(BH202,"")</f>
        <v/>
      </c>
      <c r="D202" s="33" t="str">
        <f>IF(B202="","",IF('totals_&amp;_RP_counts'!$O$3=0,IFERROR(IF(AA202=2,"0",AB202),""),"-"))</f>
        <v/>
      </c>
      <c r="E202" s="35" t="str">
        <f t="shared" ref="E202:E208" si="210">IFERROR(AE202,"")</f>
        <v/>
      </c>
      <c r="F202" s="36" t="str">
        <f t="shared" ref="F202:F208" si="211">IFERROR(AC202,"")</f>
        <v/>
      </c>
      <c r="G202" s="36" t="str">
        <f t="shared" ref="G202:G208" si="212">IFERROR(IF(AF202=2,"-",AG202),"")</f>
        <v/>
      </c>
      <c r="H202" s="33" t="str">
        <f t="shared" si="190"/>
        <v/>
      </c>
      <c r="I202" s="36" t="str">
        <f t="shared" ref="I202:I208" si="213">IFERROR(AJ202,"")</f>
        <v/>
      </c>
      <c r="J202" s="36" t="str">
        <f t="shared" ref="J202:J208" si="214">IFERROR(IF(AM202=2,"-",AN202),"")</f>
        <v/>
      </c>
      <c r="K202" s="33" t="str">
        <f t="shared" si="191"/>
        <v/>
      </c>
      <c r="L202" s="36" t="str">
        <f t="shared" si="192"/>
        <v/>
      </c>
      <c r="M202" s="36" t="str">
        <f t="shared" ref="M202:M208" si="215">IFERROR(IF(AU202=2,"-",AV202),"")</f>
        <v/>
      </c>
      <c r="N202" s="33" t="str">
        <f t="shared" ref="N202:N208" si="216">IFERROR(BB202,"")</f>
        <v/>
      </c>
      <c r="O202" s="36" t="str">
        <f t="shared" ref="O202:O208" si="217">IFERROR(IF(AY202=2,"-",AZ202),"")</f>
        <v/>
      </c>
      <c r="P202" s="36" t="str">
        <f t="shared" ref="P202:P208" si="218">IFERROR(IF(BC202=2,"-",BD202),"")</f>
        <v/>
      </c>
      <c r="Q202" s="33" t="str">
        <f t="shared" ref="Q202:Q208" si="219">IFERROR(BG202,"")</f>
        <v/>
      </c>
      <c r="R202" s="1"/>
      <c r="S202" s="1"/>
      <c r="Y202" s="1" t="e">
        <f>VLOOKUP($B$6,LOOKUP_SCE,195,0)</f>
        <v>#N/A</v>
      </c>
      <c r="Z202" s="22" t="str">
        <f t="shared" si="193"/>
        <v/>
      </c>
      <c r="AA202" s="23">
        <f t="shared" ref="AA202:AA208" si="220">IFERROR(ERROR.TYPE(AB202),0)</f>
        <v>7</v>
      </c>
      <c r="AB202" s="55" t="e">
        <f t="shared" si="194"/>
        <v>#N/A</v>
      </c>
      <c r="AC202" s="38" t="e">
        <f t="shared" ref="AC202:AC208" si="221">IF(AD202&gt;0,AD202,"-")</f>
        <v>#N/A</v>
      </c>
      <c r="AD202" s="38" t="e">
        <f t="shared" ref="AD202:AD208" si="222">$AE202/$AE$8</f>
        <v>#N/A</v>
      </c>
      <c r="AE202" s="415" t="e">
        <f t="shared" si="195"/>
        <v>#N/A</v>
      </c>
      <c r="AF202" s="10">
        <f t="shared" ref="AF202:AF208" si="223">IFERROR(ERROR.TYPE(AG202),0)</f>
        <v>7</v>
      </c>
      <c r="AG202" s="38" t="e">
        <f t="shared" si="196"/>
        <v>#N/A</v>
      </c>
      <c r="AH202" s="38" t="e">
        <f t="shared" ref="AH202:AH208" si="224">$AE202/$AI202</f>
        <v>#N/A</v>
      </c>
      <c r="AI202" s="10" t="e">
        <f t="shared" si="197"/>
        <v>#N/A</v>
      </c>
      <c r="AJ202" s="39" t="e">
        <f t="shared" ref="AJ202:AJ208" si="225">IF(AK202&gt;0,AK202,"-")</f>
        <v>#N/A</v>
      </c>
      <c r="AK202" s="40" t="e">
        <f t="shared" si="198"/>
        <v>#N/A</v>
      </c>
      <c r="AL202" s="11" t="e">
        <f t="shared" si="199"/>
        <v>#N/A</v>
      </c>
      <c r="AM202" s="41">
        <f t="shared" ref="AM202:AM208" si="226">IFERROR(ERROR.TYPE(AN202),0)</f>
        <v>7</v>
      </c>
      <c r="AN202" s="57" t="e">
        <f t="shared" si="200"/>
        <v>#N/A</v>
      </c>
      <c r="AO202" s="40" t="e">
        <f t="shared" ref="AO202:AO208" si="227">$AL202/$AP202</f>
        <v>#N/A</v>
      </c>
      <c r="AP202" s="417" t="e">
        <f t="shared" si="201"/>
        <v>#N/A</v>
      </c>
      <c r="AQ202" s="56">
        <f t="shared" ref="AQ202:AQ208" si="228">IFERROR(ERROR.TYPE(AR202),0)</f>
        <v>7</v>
      </c>
      <c r="AR202" s="43" t="e">
        <f t="shared" ref="AR202:AR208" si="229">IF(AS202&gt;0,AS202,"-")</f>
        <v>#N/A</v>
      </c>
      <c r="AS202" s="44" t="e">
        <f t="shared" ref="AS202:AS208" si="230">AT202/$AT$8</f>
        <v>#N/A</v>
      </c>
      <c r="AT202" s="45" t="e">
        <f t="shared" si="202"/>
        <v>#N/A</v>
      </c>
      <c r="AU202" s="14">
        <f t="shared" ref="AU202:AU208" si="231">IFERROR(ERROR.TYPE(AV202),0)</f>
        <v>7</v>
      </c>
      <c r="AV202" s="44" t="e">
        <f t="shared" si="203"/>
        <v>#N/A</v>
      </c>
      <c r="AW202" s="14" t="e">
        <f t="shared" ref="AW202:AW208" si="232">$AT202/$AX202</f>
        <v>#N/A</v>
      </c>
      <c r="AX202" s="14" t="e">
        <f t="shared" si="204"/>
        <v>#N/A</v>
      </c>
      <c r="AY202" s="46">
        <f t="shared" ref="AY202:AY208" si="233">IFERROR(ERROR.TYPE(AZ202),0)</f>
        <v>7</v>
      </c>
      <c r="AZ202" s="47" t="e">
        <f t="shared" ref="AZ202:AZ208" si="234">IF(BA202&gt;0,BA202,"-")</f>
        <v>#N/A</v>
      </c>
      <c r="BA202" s="48" t="e">
        <f t="shared" ref="BA202:BA208" si="235">$BB202/$BB$8</f>
        <v>#N/A</v>
      </c>
      <c r="BB202" s="31" t="e">
        <f t="shared" si="205"/>
        <v>#N/A</v>
      </c>
      <c r="BC202" s="28">
        <f t="shared" ref="BC202:BC208" si="236">IFERROR(ERROR.TYPE(BD202),0)</f>
        <v>7</v>
      </c>
      <c r="BD202" s="47" t="e">
        <f t="shared" ref="BD202:BD208" si="237">IF(BE202&gt;0,BE202,"-")</f>
        <v>#N/A</v>
      </c>
      <c r="BE202" s="48" t="e">
        <f t="shared" ref="BE202:BE208" si="238">$BB202/$BF202</f>
        <v>#N/A</v>
      </c>
      <c r="BF202" s="31" t="e">
        <f t="shared" si="206"/>
        <v>#N/A</v>
      </c>
      <c r="BG202" s="49" t="e">
        <f t="shared" si="207"/>
        <v>#N/A</v>
      </c>
      <c r="BH202" s="1" t="e">
        <f>VLOOKUP($B202,STOCK_BY_LA!$A$2:$C$10477,3,0)</f>
        <v>#N/A</v>
      </c>
      <c r="BI202" s="1" t="str">
        <f t="shared" ref="BI202:BI208" si="239">$B$6&amp;$B202</f>
        <v/>
      </c>
    </row>
    <row r="203" spans="1:61" x14ac:dyDescent="0.35">
      <c r="A203" s="33" t="str">
        <f t="shared" si="208"/>
        <v/>
      </c>
      <c r="B203" s="1" t="str">
        <f t="shared" si="177"/>
        <v/>
      </c>
      <c r="C203" s="34" t="str">
        <f t="shared" si="209"/>
        <v/>
      </c>
      <c r="D203" s="33" t="str">
        <f>IF(B203="","",IF('totals_&amp;_RP_counts'!$O$3=0,IFERROR(IF(AA203=2,"0",AB203),""),"-"))</f>
        <v/>
      </c>
      <c r="E203" s="35" t="str">
        <f t="shared" si="210"/>
        <v/>
      </c>
      <c r="F203" s="36" t="str">
        <f t="shared" si="211"/>
        <v/>
      </c>
      <c r="G203" s="36" t="str">
        <f t="shared" si="212"/>
        <v/>
      </c>
      <c r="H203" s="33" t="str">
        <f t="shared" si="190"/>
        <v/>
      </c>
      <c r="I203" s="36" t="str">
        <f t="shared" si="213"/>
        <v/>
      </c>
      <c r="J203" s="36" t="str">
        <f t="shared" si="214"/>
        <v/>
      </c>
      <c r="K203" s="33" t="str">
        <f t="shared" si="191"/>
        <v/>
      </c>
      <c r="L203" s="36" t="str">
        <f t="shared" si="192"/>
        <v/>
      </c>
      <c r="M203" s="36" t="str">
        <f t="shared" si="215"/>
        <v/>
      </c>
      <c r="N203" s="33" t="str">
        <f t="shared" si="216"/>
        <v/>
      </c>
      <c r="O203" s="36" t="str">
        <f t="shared" si="217"/>
        <v/>
      </c>
      <c r="P203" s="36" t="str">
        <f t="shared" si="218"/>
        <v/>
      </c>
      <c r="Q203" s="33" t="str">
        <f t="shared" si="219"/>
        <v/>
      </c>
      <c r="R203" s="1"/>
      <c r="S203" s="1"/>
      <c r="Y203" s="1" t="e">
        <f>VLOOKUP($B$6,LOOKUP_SCE,196,0)</f>
        <v>#N/A</v>
      </c>
      <c r="Z203" s="22" t="str">
        <f t="shared" si="193"/>
        <v/>
      </c>
      <c r="AA203" s="23">
        <f t="shared" si="220"/>
        <v>7</v>
      </c>
      <c r="AB203" s="55" t="e">
        <f t="shared" si="194"/>
        <v>#N/A</v>
      </c>
      <c r="AC203" s="38" t="e">
        <f t="shared" si="221"/>
        <v>#N/A</v>
      </c>
      <c r="AD203" s="38" t="e">
        <f t="shared" si="222"/>
        <v>#N/A</v>
      </c>
      <c r="AE203" s="415" t="e">
        <f t="shared" si="195"/>
        <v>#N/A</v>
      </c>
      <c r="AF203" s="10">
        <f t="shared" si="223"/>
        <v>7</v>
      </c>
      <c r="AG203" s="38" t="e">
        <f t="shared" si="196"/>
        <v>#N/A</v>
      </c>
      <c r="AH203" s="38" t="e">
        <f t="shared" si="224"/>
        <v>#N/A</v>
      </c>
      <c r="AI203" s="10" t="e">
        <f t="shared" si="197"/>
        <v>#N/A</v>
      </c>
      <c r="AJ203" s="39" t="e">
        <f t="shared" si="225"/>
        <v>#N/A</v>
      </c>
      <c r="AK203" s="40" t="e">
        <f t="shared" si="198"/>
        <v>#N/A</v>
      </c>
      <c r="AL203" s="11" t="e">
        <f t="shared" si="199"/>
        <v>#N/A</v>
      </c>
      <c r="AM203" s="41">
        <f t="shared" si="226"/>
        <v>7</v>
      </c>
      <c r="AN203" s="57" t="e">
        <f t="shared" si="200"/>
        <v>#N/A</v>
      </c>
      <c r="AO203" s="40" t="e">
        <f t="shared" si="227"/>
        <v>#N/A</v>
      </c>
      <c r="AP203" s="417" t="e">
        <f t="shared" si="201"/>
        <v>#N/A</v>
      </c>
      <c r="AQ203" s="56">
        <f t="shared" si="228"/>
        <v>7</v>
      </c>
      <c r="AR203" s="43" t="e">
        <f t="shared" si="229"/>
        <v>#N/A</v>
      </c>
      <c r="AS203" s="44" t="e">
        <f t="shared" si="230"/>
        <v>#N/A</v>
      </c>
      <c r="AT203" s="45" t="e">
        <f t="shared" si="202"/>
        <v>#N/A</v>
      </c>
      <c r="AU203" s="14">
        <f t="shared" si="231"/>
        <v>7</v>
      </c>
      <c r="AV203" s="44" t="e">
        <f t="shared" si="203"/>
        <v>#N/A</v>
      </c>
      <c r="AW203" s="14" t="e">
        <f t="shared" si="232"/>
        <v>#N/A</v>
      </c>
      <c r="AX203" s="14" t="e">
        <f t="shared" si="204"/>
        <v>#N/A</v>
      </c>
      <c r="AY203" s="46">
        <f t="shared" si="233"/>
        <v>7</v>
      </c>
      <c r="AZ203" s="47" t="e">
        <f t="shared" si="234"/>
        <v>#N/A</v>
      </c>
      <c r="BA203" s="48" t="e">
        <f t="shared" si="235"/>
        <v>#N/A</v>
      </c>
      <c r="BB203" s="31" t="e">
        <f t="shared" si="205"/>
        <v>#N/A</v>
      </c>
      <c r="BC203" s="28">
        <f t="shared" si="236"/>
        <v>7</v>
      </c>
      <c r="BD203" s="47" t="e">
        <f t="shared" si="237"/>
        <v>#N/A</v>
      </c>
      <c r="BE203" s="48" t="e">
        <f t="shared" si="238"/>
        <v>#N/A</v>
      </c>
      <c r="BF203" s="31" t="e">
        <f t="shared" si="206"/>
        <v>#N/A</v>
      </c>
      <c r="BG203" s="49" t="e">
        <f t="shared" si="207"/>
        <v>#N/A</v>
      </c>
      <c r="BH203" s="1" t="e">
        <f>VLOOKUP($B203,STOCK_BY_LA!$A$2:$C$10477,3,0)</f>
        <v>#N/A</v>
      </c>
      <c r="BI203" s="1" t="str">
        <f t="shared" si="239"/>
        <v/>
      </c>
    </row>
    <row r="204" spans="1:61" x14ac:dyDescent="0.35">
      <c r="A204" s="1" t="str">
        <f t="shared" si="208"/>
        <v/>
      </c>
      <c r="B204" s="1" t="str">
        <f t="shared" si="177"/>
        <v/>
      </c>
      <c r="C204" s="50" t="str">
        <f t="shared" si="209"/>
        <v/>
      </c>
      <c r="D204" s="33" t="str">
        <f>IF(B204="","",IF('totals_&amp;_RP_counts'!$O$3=0,IFERROR(IF(AA204=2,"0",AB204),""),"-"))</f>
        <v/>
      </c>
      <c r="E204" s="35" t="str">
        <f t="shared" si="210"/>
        <v/>
      </c>
      <c r="F204" s="36" t="str">
        <f t="shared" si="211"/>
        <v/>
      </c>
      <c r="G204" s="36" t="str">
        <f t="shared" si="212"/>
        <v/>
      </c>
      <c r="H204" s="33" t="str">
        <f t="shared" si="190"/>
        <v/>
      </c>
      <c r="I204" s="36" t="str">
        <f t="shared" si="213"/>
        <v/>
      </c>
      <c r="J204" s="36" t="str">
        <f t="shared" si="214"/>
        <v/>
      </c>
      <c r="K204" s="33" t="str">
        <f t="shared" si="191"/>
        <v/>
      </c>
      <c r="L204" s="36" t="str">
        <f t="shared" si="192"/>
        <v/>
      </c>
      <c r="M204" s="36" t="str">
        <f t="shared" si="215"/>
        <v/>
      </c>
      <c r="N204" s="33" t="str">
        <f t="shared" si="216"/>
        <v/>
      </c>
      <c r="O204" s="36" t="str">
        <f t="shared" si="217"/>
        <v/>
      </c>
      <c r="P204" s="36" t="str">
        <f t="shared" si="218"/>
        <v/>
      </c>
      <c r="Q204" s="33" t="str">
        <f t="shared" si="219"/>
        <v/>
      </c>
      <c r="R204" s="1"/>
      <c r="S204" s="1"/>
      <c r="Y204" s="1" t="e">
        <f>VLOOKUP($B$6,LOOKUP_SCE,197,0)</f>
        <v>#N/A</v>
      </c>
      <c r="Z204" s="22" t="str">
        <f t="shared" si="193"/>
        <v/>
      </c>
      <c r="AA204" s="23">
        <f t="shared" si="220"/>
        <v>7</v>
      </c>
      <c r="AB204" s="55" t="e">
        <f t="shared" si="194"/>
        <v>#N/A</v>
      </c>
      <c r="AC204" s="38" t="e">
        <f t="shared" si="221"/>
        <v>#N/A</v>
      </c>
      <c r="AD204" s="38" t="e">
        <f t="shared" si="222"/>
        <v>#N/A</v>
      </c>
      <c r="AE204" s="415" t="e">
        <f t="shared" si="195"/>
        <v>#N/A</v>
      </c>
      <c r="AF204" s="10">
        <f t="shared" si="223"/>
        <v>7</v>
      </c>
      <c r="AG204" s="38" t="e">
        <f t="shared" si="196"/>
        <v>#N/A</v>
      </c>
      <c r="AH204" s="38" t="e">
        <f t="shared" si="224"/>
        <v>#N/A</v>
      </c>
      <c r="AI204" s="10" t="e">
        <f t="shared" si="197"/>
        <v>#N/A</v>
      </c>
      <c r="AJ204" s="39" t="e">
        <f t="shared" si="225"/>
        <v>#N/A</v>
      </c>
      <c r="AK204" s="40" t="e">
        <f t="shared" si="198"/>
        <v>#N/A</v>
      </c>
      <c r="AL204" s="11" t="e">
        <f t="shared" si="199"/>
        <v>#N/A</v>
      </c>
      <c r="AM204" s="41">
        <f t="shared" si="226"/>
        <v>7</v>
      </c>
      <c r="AN204" s="57" t="e">
        <f t="shared" si="200"/>
        <v>#N/A</v>
      </c>
      <c r="AO204" s="40" t="e">
        <f t="shared" si="227"/>
        <v>#N/A</v>
      </c>
      <c r="AP204" s="417" t="e">
        <f t="shared" si="201"/>
        <v>#N/A</v>
      </c>
      <c r="AQ204" s="56">
        <f t="shared" si="228"/>
        <v>7</v>
      </c>
      <c r="AR204" s="43" t="e">
        <f t="shared" si="229"/>
        <v>#N/A</v>
      </c>
      <c r="AS204" s="44" t="e">
        <f t="shared" si="230"/>
        <v>#N/A</v>
      </c>
      <c r="AT204" s="45" t="e">
        <f t="shared" si="202"/>
        <v>#N/A</v>
      </c>
      <c r="AU204" s="14">
        <f t="shared" si="231"/>
        <v>7</v>
      </c>
      <c r="AV204" s="44" t="e">
        <f t="shared" si="203"/>
        <v>#N/A</v>
      </c>
      <c r="AW204" s="14" t="e">
        <f t="shared" si="232"/>
        <v>#N/A</v>
      </c>
      <c r="AX204" s="14" t="e">
        <f t="shared" si="204"/>
        <v>#N/A</v>
      </c>
      <c r="AY204" s="46">
        <f t="shared" si="233"/>
        <v>7</v>
      </c>
      <c r="AZ204" s="47" t="e">
        <f t="shared" si="234"/>
        <v>#N/A</v>
      </c>
      <c r="BA204" s="48" t="e">
        <f t="shared" si="235"/>
        <v>#N/A</v>
      </c>
      <c r="BB204" s="31" t="e">
        <f t="shared" si="205"/>
        <v>#N/A</v>
      </c>
      <c r="BC204" s="28">
        <f t="shared" si="236"/>
        <v>7</v>
      </c>
      <c r="BD204" s="47" t="e">
        <f t="shared" si="237"/>
        <v>#N/A</v>
      </c>
      <c r="BE204" s="48" t="e">
        <f t="shared" si="238"/>
        <v>#N/A</v>
      </c>
      <c r="BF204" s="31" t="e">
        <f t="shared" si="206"/>
        <v>#N/A</v>
      </c>
      <c r="BG204" s="49" t="e">
        <f t="shared" si="207"/>
        <v>#N/A</v>
      </c>
      <c r="BH204" s="1" t="e">
        <f>VLOOKUP($B204,STOCK_BY_LA!$A$2:$C$10477,3,0)</f>
        <v>#N/A</v>
      </c>
      <c r="BI204" s="1" t="str">
        <f t="shared" si="239"/>
        <v/>
      </c>
    </row>
    <row r="205" spans="1:61" x14ac:dyDescent="0.35">
      <c r="A205" s="33" t="str">
        <f t="shared" si="208"/>
        <v/>
      </c>
      <c r="B205" s="1" t="str">
        <f t="shared" ref="B205:B208" si="240">IFERROR(IF(Y205=0,"",Y205),"")</f>
        <v/>
      </c>
      <c r="C205" s="34" t="str">
        <f t="shared" si="209"/>
        <v/>
      </c>
      <c r="D205" s="33" t="str">
        <f>IF(B205="","",IF('totals_&amp;_RP_counts'!$O$3=0,IFERROR(IF(AA205=2,"0",AB205),""),"-"))</f>
        <v/>
      </c>
      <c r="E205" s="35" t="str">
        <f t="shared" si="210"/>
        <v/>
      </c>
      <c r="F205" s="36" t="str">
        <f t="shared" si="211"/>
        <v/>
      </c>
      <c r="G205" s="36" t="str">
        <f t="shared" si="212"/>
        <v/>
      </c>
      <c r="H205" s="33" t="str">
        <f t="shared" si="190"/>
        <v/>
      </c>
      <c r="I205" s="36" t="str">
        <f t="shared" si="213"/>
        <v/>
      </c>
      <c r="J205" s="36" t="str">
        <f t="shared" si="214"/>
        <v/>
      </c>
      <c r="K205" s="33" t="str">
        <f t="shared" si="191"/>
        <v/>
      </c>
      <c r="L205" s="36" t="str">
        <f t="shared" si="192"/>
        <v/>
      </c>
      <c r="M205" s="36" t="str">
        <f t="shared" si="215"/>
        <v/>
      </c>
      <c r="N205" s="33" t="str">
        <f t="shared" si="216"/>
        <v/>
      </c>
      <c r="O205" s="36" t="str">
        <f t="shared" si="217"/>
        <v/>
      </c>
      <c r="P205" s="36" t="str">
        <f t="shared" si="218"/>
        <v/>
      </c>
      <c r="Q205" s="33" t="str">
        <f t="shared" si="219"/>
        <v/>
      </c>
      <c r="R205" s="1"/>
      <c r="S205" s="1"/>
      <c r="Y205" s="1" t="e">
        <f>VLOOKUP($B$6,LOOKUP_SCE,198,0)</f>
        <v>#N/A</v>
      </c>
      <c r="Z205" s="22" t="str">
        <f t="shared" si="193"/>
        <v/>
      </c>
      <c r="AA205" s="23">
        <f t="shared" si="220"/>
        <v>7</v>
      </c>
      <c r="AB205" s="55" t="e">
        <f t="shared" si="194"/>
        <v>#N/A</v>
      </c>
      <c r="AC205" s="38" t="e">
        <f t="shared" si="221"/>
        <v>#N/A</v>
      </c>
      <c r="AD205" s="38" t="e">
        <f t="shared" si="222"/>
        <v>#N/A</v>
      </c>
      <c r="AE205" s="415" t="e">
        <f t="shared" si="195"/>
        <v>#N/A</v>
      </c>
      <c r="AF205" s="10">
        <f t="shared" si="223"/>
        <v>7</v>
      </c>
      <c r="AG205" s="38" t="e">
        <f t="shared" si="196"/>
        <v>#N/A</v>
      </c>
      <c r="AH205" s="38" t="e">
        <f t="shared" si="224"/>
        <v>#N/A</v>
      </c>
      <c r="AI205" s="10" t="e">
        <f t="shared" si="197"/>
        <v>#N/A</v>
      </c>
      <c r="AJ205" s="39" t="e">
        <f t="shared" si="225"/>
        <v>#N/A</v>
      </c>
      <c r="AK205" s="40" t="e">
        <f t="shared" si="198"/>
        <v>#N/A</v>
      </c>
      <c r="AL205" s="11" t="e">
        <f t="shared" si="199"/>
        <v>#N/A</v>
      </c>
      <c r="AM205" s="41">
        <f t="shared" si="226"/>
        <v>7</v>
      </c>
      <c r="AN205" s="57" t="e">
        <f t="shared" si="200"/>
        <v>#N/A</v>
      </c>
      <c r="AO205" s="40" t="e">
        <f t="shared" si="227"/>
        <v>#N/A</v>
      </c>
      <c r="AP205" s="417" t="e">
        <f t="shared" si="201"/>
        <v>#N/A</v>
      </c>
      <c r="AQ205" s="56">
        <f t="shared" si="228"/>
        <v>7</v>
      </c>
      <c r="AR205" s="43" t="e">
        <f t="shared" si="229"/>
        <v>#N/A</v>
      </c>
      <c r="AS205" s="44" t="e">
        <f t="shared" si="230"/>
        <v>#N/A</v>
      </c>
      <c r="AT205" s="45" t="e">
        <f t="shared" si="202"/>
        <v>#N/A</v>
      </c>
      <c r="AU205" s="14">
        <f t="shared" si="231"/>
        <v>7</v>
      </c>
      <c r="AV205" s="44" t="e">
        <f t="shared" si="203"/>
        <v>#N/A</v>
      </c>
      <c r="AW205" s="14" t="e">
        <f t="shared" si="232"/>
        <v>#N/A</v>
      </c>
      <c r="AX205" s="14" t="e">
        <f t="shared" si="204"/>
        <v>#N/A</v>
      </c>
      <c r="AY205" s="46">
        <f t="shared" si="233"/>
        <v>7</v>
      </c>
      <c r="AZ205" s="47" t="e">
        <f t="shared" si="234"/>
        <v>#N/A</v>
      </c>
      <c r="BA205" s="48" t="e">
        <f t="shared" si="235"/>
        <v>#N/A</v>
      </c>
      <c r="BB205" s="31" t="e">
        <f t="shared" si="205"/>
        <v>#N/A</v>
      </c>
      <c r="BC205" s="28">
        <f t="shared" si="236"/>
        <v>7</v>
      </c>
      <c r="BD205" s="47" t="e">
        <f t="shared" si="237"/>
        <v>#N/A</v>
      </c>
      <c r="BE205" s="48" t="e">
        <f t="shared" si="238"/>
        <v>#N/A</v>
      </c>
      <c r="BF205" s="31" t="e">
        <f t="shared" si="206"/>
        <v>#N/A</v>
      </c>
      <c r="BG205" s="49" t="e">
        <f t="shared" si="207"/>
        <v>#N/A</v>
      </c>
      <c r="BH205" s="1" t="e">
        <f>VLOOKUP($B205,STOCK_BY_LA!$A$2:$C$10477,3,0)</f>
        <v>#N/A</v>
      </c>
      <c r="BI205" s="1" t="str">
        <f t="shared" si="239"/>
        <v/>
      </c>
    </row>
    <row r="206" spans="1:61" x14ac:dyDescent="0.35">
      <c r="A206" s="1" t="str">
        <f t="shared" si="208"/>
        <v/>
      </c>
      <c r="B206" s="1" t="str">
        <f t="shared" si="240"/>
        <v/>
      </c>
      <c r="C206" s="50" t="str">
        <f t="shared" si="209"/>
        <v/>
      </c>
      <c r="D206" s="33" t="str">
        <f>IF(B206="","",IF('totals_&amp;_RP_counts'!$O$3=0,IFERROR(IF(AA206=2,"0",AB206),""),"-"))</f>
        <v/>
      </c>
      <c r="E206" s="35" t="str">
        <f t="shared" si="210"/>
        <v/>
      </c>
      <c r="F206" s="36" t="str">
        <f t="shared" si="211"/>
        <v/>
      </c>
      <c r="G206" s="36" t="str">
        <f t="shared" si="212"/>
        <v/>
      </c>
      <c r="H206" s="33" t="str">
        <f t="shared" si="190"/>
        <v/>
      </c>
      <c r="I206" s="36" t="str">
        <f t="shared" si="213"/>
        <v/>
      </c>
      <c r="J206" s="36" t="str">
        <f t="shared" si="214"/>
        <v/>
      </c>
      <c r="K206" s="33" t="str">
        <f t="shared" si="191"/>
        <v/>
      </c>
      <c r="L206" s="36" t="str">
        <f t="shared" si="192"/>
        <v/>
      </c>
      <c r="M206" s="36" t="str">
        <f t="shared" si="215"/>
        <v/>
      </c>
      <c r="N206" s="33" t="str">
        <f t="shared" si="216"/>
        <v/>
      </c>
      <c r="O206" s="36" t="str">
        <f t="shared" si="217"/>
        <v/>
      </c>
      <c r="P206" s="36" t="str">
        <f t="shared" si="218"/>
        <v/>
      </c>
      <c r="Q206" s="33" t="str">
        <f t="shared" si="219"/>
        <v/>
      </c>
      <c r="R206" s="1"/>
      <c r="S206" s="1"/>
      <c r="Y206" s="1" t="e">
        <f>VLOOKUP($B$6,LOOKUP_SCE,199,0)</f>
        <v>#N/A</v>
      </c>
      <c r="Z206" s="22" t="str">
        <f t="shared" si="193"/>
        <v/>
      </c>
      <c r="AA206" s="23">
        <f t="shared" si="220"/>
        <v>7</v>
      </c>
      <c r="AB206" s="55" t="e">
        <f t="shared" si="194"/>
        <v>#N/A</v>
      </c>
      <c r="AC206" s="38" t="e">
        <f t="shared" si="221"/>
        <v>#N/A</v>
      </c>
      <c r="AD206" s="38" t="e">
        <f t="shared" si="222"/>
        <v>#N/A</v>
      </c>
      <c r="AE206" s="415" t="e">
        <f t="shared" si="195"/>
        <v>#N/A</v>
      </c>
      <c r="AF206" s="10">
        <f t="shared" si="223"/>
        <v>7</v>
      </c>
      <c r="AG206" s="38" t="e">
        <f t="shared" si="196"/>
        <v>#N/A</v>
      </c>
      <c r="AH206" s="38" t="e">
        <f t="shared" si="224"/>
        <v>#N/A</v>
      </c>
      <c r="AI206" s="10" t="e">
        <f t="shared" si="197"/>
        <v>#N/A</v>
      </c>
      <c r="AJ206" s="39" t="e">
        <f t="shared" si="225"/>
        <v>#N/A</v>
      </c>
      <c r="AK206" s="40" t="e">
        <f t="shared" si="198"/>
        <v>#N/A</v>
      </c>
      <c r="AL206" s="11" t="e">
        <f t="shared" si="199"/>
        <v>#N/A</v>
      </c>
      <c r="AM206" s="41">
        <f t="shared" si="226"/>
        <v>7</v>
      </c>
      <c r="AN206" s="57" t="e">
        <f t="shared" si="200"/>
        <v>#N/A</v>
      </c>
      <c r="AO206" s="40" t="e">
        <f t="shared" si="227"/>
        <v>#N/A</v>
      </c>
      <c r="AP206" s="417" t="e">
        <f t="shared" si="201"/>
        <v>#N/A</v>
      </c>
      <c r="AQ206" s="56">
        <f t="shared" si="228"/>
        <v>7</v>
      </c>
      <c r="AR206" s="43" t="e">
        <f t="shared" si="229"/>
        <v>#N/A</v>
      </c>
      <c r="AS206" s="44" t="e">
        <f t="shared" si="230"/>
        <v>#N/A</v>
      </c>
      <c r="AT206" s="45" t="e">
        <f t="shared" si="202"/>
        <v>#N/A</v>
      </c>
      <c r="AU206" s="14">
        <f t="shared" si="231"/>
        <v>7</v>
      </c>
      <c r="AV206" s="44" t="e">
        <f t="shared" si="203"/>
        <v>#N/A</v>
      </c>
      <c r="AW206" s="14" t="e">
        <f t="shared" si="232"/>
        <v>#N/A</v>
      </c>
      <c r="AX206" s="14" t="e">
        <f t="shared" si="204"/>
        <v>#N/A</v>
      </c>
      <c r="AY206" s="46">
        <f t="shared" si="233"/>
        <v>7</v>
      </c>
      <c r="AZ206" s="47" t="e">
        <f t="shared" si="234"/>
        <v>#N/A</v>
      </c>
      <c r="BA206" s="48" t="e">
        <f t="shared" si="235"/>
        <v>#N/A</v>
      </c>
      <c r="BB206" s="31" t="e">
        <f t="shared" si="205"/>
        <v>#N/A</v>
      </c>
      <c r="BC206" s="28">
        <f t="shared" si="236"/>
        <v>7</v>
      </c>
      <c r="BD206" s="47" t="e">
        <f t="shared" si="237"/>
        <v>#N/A</v>
      </c>
      <c r="BE206" s="48" t="e">
        <f t="shared" si="238"/>
        <v>#N/A</v>
      </c>
      <c r="BF206" s="31" t="e">
        <f t="shared" si="206"/>
        <v>#N/A</v>
      </c>
      <c r="BG206" s="49" t="e">
        <f t="shared" si="207"/>
        <v>#N/A</v>
      </c>
      <c r="BH206" s="1" t="e">
        <f>VLOOKUP($B206,STOCK_BY_LA!$A$2:$C$10477,3,0)</f>
        <v>#N/A</v>
      </c>
      <c r="BI206" s="1" t="str">
        <f t="shared" si="239"/>
        <v/>
      </c>
    </row>
    <row r="207" spans="1:61" x14ac:dyDescent="0.35">
      <c r="A207" s="33" t="str">
        <f t="shared" si="208"/>
        <v/>
      </c>
      <c r="B207" s="1" t="str">
        <f t="shared" si="240"/>
        <v/>
      </c>
      <c r="C207" s="34" t="str">
        <f t="shared" si="209"/>
        <v/>
      </c>
      <c r="D207" s="33" t="str">
        <f>IF(B207="","",IF('totals_&amp;_RP_counts'!$O$3=0,IFERROR(IF(AA207=2,"0",AB207),""),"-"))</f>
        <v/>
      </c>
      <c r="E207" s="35" t="str">
        <f t="shared" si="210"/>
        <v/>
      </c>
      <c r="F207" s="36" t="str">
        <f t="shared" si="211"/>
        <v/>
      </c>
      <c r="G207" s="36" t="str">
        <f t="shared" si="212"/>
        <v/>
      </c>
      <c r="H207" s="33" t="str">
        <f t="shared" si="190"/>
        <v/>
      </c>
      <c r="I207" s="36" t="str">
        <f t="shared" si="213"/>
        <v/>
      </c>
      <c r="J207" s="36" t="str">
        <f t="shared" si="214"/>
        <v/>
      </c>
      <c r="K207" s="33" t="str">
        <f t="shared" si="191"/>
        <v/>
      </c>
      <c r="L207" s="36" t="str">
        <f t="shared" si="192"/>
        <v/>
      </c>
      <c r="M207" s="36" t="str">
        <f t="shared" si="215"/>
        <v/>
      </c>
      <c r="N207" s="33" t="str">
        <f t="shared" si="216"/>
        <v/>
      </c>
      <c r="O207" s="36" t="str">
        <f t="shared" si="217"/>
        <v/>
      </c>
      <c r="P207" s="36" t="str">
        <f t="shared" si="218"/>
        <v/>
      </c>
      <c r="Q207" s="33" t="str">
        <f t="shared" si="219"/>
        <v/>
      </c>
      <c r="R207" s="1"/>
      <c r="S207" s="1"/>
      <c r="Y207" s="1" t="e">
        <f>VLOOKUP($B$6,LOOKUP_SCE,200,0)</f>
        <v>#N/A</v>
      </c>
      <c r="Z207" s="22" t="str">
        <f t="shared" si="193"/>
        <v/>
      </c>
      <c r="AA207" s="23">
        <f t="shared" si="220"/>
        <v>7</v>
      </c>
      <c r="AB207" s="55" t="e">
        <f t="shared" si="194"/>
        <v>#N/A</v>
      </c>
      <c r="AC207" s="38" t="e">
        <f t="shared" si="221"/>
        <v>#N/A</v>
      </c>
      <c r="AD207" s="38" t="e">
        <f t="shared" si="222"/>
        <v>#N/A</v>
      </c>
      <c r="AE207" s="415" t="e">
        <f t="shared" si="195"/>
        <v>#N/A</v>
      </c>
      <c r="AF207" s="10">
        <f t="shared" si="223"/>
        <v>7</v>
      </c>
      <c r="AG207" s="38" t="e">
        <f t="shared" si="196"/>
        <v>#N/A</v>
      </c>
      <c r="AH207" s="38" t="e">
        <f t="shared" si="224"/>
        <v>#N/A</v>
      </c>
      <c r="AI207" s="10" t="e">
        <f t="shared" si="197"/>
        <v>#N/A</v>
      </c>
      <c r="AJ207" s="39" t="e">
        <f t="shared" si="225"/>
        <v>#N/A</v>
      </c>
      <c r="AK207" s="40" t="e">
        <f t="shared" si="198"/>
        <v>#N/A</v>
      </c>
      <c r="AL207" s="11" t="e">
        <f t="shared" si="199"/>
        <v>#N/A</v>
      </c>
      <c r="AM207" s="41">
        <f t="shared" si="226"/>
        <v>7</v>
      </c>
      <c r="AN207" s="57" t="e">
        <f t="shared" si="200"/>
        <v>#N/A</v>
      </c>
      <c r="AO207" s="40" t="e">
        <f t="shared" si="227"/>
        <v>#N/A</v>
      </c>
      <c r="AP207" s="417" t="e">
        <f t="shared" si="201"/>
        <v>#N/A</v>
      </c>
      <c r="AQ207" s="56">
        <f t="shared" si="228"/>
        <v>7</v>
      </c>
      <c r="AR207" s="43" t="e">
        <f t="shared" si="229"/>
        <v>#N/A</v>
      </c>
      <c r="AS207" s="44" t="e">
        <f t="shared" si="230"/>
        <v>#N/A</v>
      </c>
      <c r="AT207" s="45" t="e">
        <f t="shared" si="202"/>
        <v>#N/A</v>
      </c>
      <c r="AU207" s="14">
        <f t="shared" si="231"/>
        <v>7</v>
      </c>
      <c r="AV207" s="44" t="e">
        <f t="shared" si="203"/>
        <v>#N/A</v>
      </c>
      <c r="AW207" s="14" t="e">
        <f t="shared" si="232"/>
        <v>#N/A</v>
      </c>
      <c r="AX207" s="14" t="e">
        <f t="shared" si="204"/>
        <v>#N/A</v>
      </c>
      <c r="AY207" s="46">
        <f t="shared" si="233"/>
        <v>7</v>
      </c>
      <c r="AZ207" s="47" t="e">
        <f t="shared" si="234"/>
        <v>#N/A</v>
      </c>
      <c r="BA207" s="48" t="e">
        <f t="shared" si="235"/>
        <v>#N/A</v>
      </c>
      <c r="BB207" s="31" t="e">
        <f t="shared" si="205"/>
        <v>#N/A</v>
      </c>
      <c r="BC207" s="28">
        <f t="shared" si="236"/>
        <v>7</v>
      </c>
      <c r="BD207" s="47" t="e">
        <f t="shared" si="237"/>
        <v>#N/A</v>
      </c>
      <c r="BE207" s="48" t="e">
        <f t="shared" si="238"/>
        <v>#N/A</v>
      </c>
      <c r="BF207" s="31" t="e">
        <f t="shared" si="206"/>
        <v>#N/A</v>
      </c>
      <c r="BG207" s="49" t="e">
        <f t="shared" si="207"/>
        <v>#N/A</v>
      </c>
      <c r="BH207" s="1" t="e">
        <f>VLOOKUP($B207,STOCK_BY_LA!$A$2:$C$10477,3,0)</f>
        <v>#N/A</v>
      </c>
      <c r="BI207" s="1" t="str">
        <f t="shared" si="239"/>
        <v/>
      </c>
    </row>
    <row r="208" spans="1:61" x14ac:dyDescent="0.35">
      <c r="A208" s="1" t="str">
        <f t="shared" si="208"/>
        <v/>
      </c>
      <c r="B208" s="1" t="str">
        <f t="shared" si="240"/>
        <v/>
      </c>
      <c r="C208" s="50" t="str">
        <f t="shared" si="209"/>
        <v/>
      </c>
      <c r="D208" s="33" t="str">
        <f>IF(B208="","",IF('totals_&amp;_RP_counts'!$P$3=0,IFERROR(IF(AA208=2,"0",AB208),""),"-"))</f>
        <v/>
      </c>
      <c r="E208" s="35" t="str">
        <f t="shared" si="210"/>
        <v/>
      </c>
      <c r="F208" s="36" t="str">
        <f t="shared" si="211"/>
        <v/>
      </c>
      <c r="G208" s="36" t="str">
        <f t="shared" si="212"/>
        <v/>
      </c>
      <c r="H208" s="33" t="str">
        <f t="shared" si="190"/>
        <v/>
      </c>
      <c r="I208" s="36" t="str">
        <f t="shared" si="213"/>
        <v/>
      </c>
      <c r="J208" s="36" t="str">
        <f t="shared" si="214"/>
        <v/>
      </c>
      <c r="K208" s="33" t="str">
        <f t="shared" si="191"/>
        <v/>
      </c>
      <c r="L208" s="36" t="str">
        <f t="shared" si="192"/>
        <v/>
      </c>
      <c r="M208" s="36" t="str">
        <f t="shared" si="215"/>
        <v/>
      </c>
      <c r="N208" s="33" t="str">
        <f t="shared" si="216"/>
        <v/>
      </c>
      <c r="O208" s="36" t="str">
        <f t="shared" si="217"/>
        <v/>
      </c>
      <c r="P208" s="36" t="str">
        <f t="shared" si="218"/>
        <v/>
      </c>
      <c r="Q208" s="33" t="str">
        <f t="shared" si="219"/>
        <v/>
      </c>
      <c r="R208" s="1"/>
      <c r="S208" s="1"/>
      <c r="Y208" s="1" t="e">
        <f>VLOOKUP($B$6,LOOKUP_SCE,201,0)</f>
        <v>#N/A</v>
      </c>
      <c r="Z208" s="22" t="str">
        <f t="shared" si="193"/>
        <v/>
      </c>
      <c r="AA208" s="23">
        <f t="shared" si="220"/>
        <v>7</v>
      </c>
      <c r="AB208" s="55" t="e">
        <f t="shared" si="194"/>
        <v>#N/A</v>
      </c>
      <c r="AC208" s="38" t="e">
        <f t="shared" si="221"/>
        <v>#N/A</v>
      </c>
      <c r="AD208" s="38" t="e">
        <f t="shared" si="222"/>
        <v>#N/A</v>
      </c>
      <c r="AE208" s="415" t="e">
        <f t="shared" si="195"/>
        <v>#N/A</v>
      </c>
      <c r="AF208" s="10">
        <f t="shared" si="223"/>
        <v>7</v>
      </c>
      <c r="AG208" s="38" t="e">
        <f t="shared" si="196"/>
        <v>#N/A</v>
      </c>
      <c r="AH208" s="38" t="e">
        <f t="shared" si="224"/>
        <v>#N/A</v>
      </c>
      <c r="AI208" s="10" t="e">
        <f t="shared" si="197"/>
        <v>#N/A</v>
      </c>
      <c r="AJ208" s="39" t="e">
        <f t="shared" si="225"/>
        <v>#N/A</v>
      </c>
      <c r="AK208" s="40" t="e">
        <f t="shared" si="198"/>
        <v>#N/A</v>
      </c>
      <c r="AL208" s="11" t="e">
        <f t="shared" si="199"/>
        <v>#N/A</v>
      </c>
      <c r="AM208" s="41">
        <f t="shared" si="226"/>
        <v>7</v>
      </c>
      <c r="AN208" s="57" t="e">
        <f t="shared" si="200"/>
        <v>#N/A</v>
      </c>
      <c r="AO208" s="40" t="e">
        <f t="shared" si="227"/>
        <v>#N/A</v>
      </c>
      <c r="AP208" s="417" t="e">
        <f t="shared" si="201"/>
        <v>#N/A</v>
      </c>
      <c r="AQ208" s="56">
        <f t="shared" si="228"/>
        <v>7</v>
      </c>
      <c r="AR208" s="43" t="e">
        <f t="shared" si="229"/>
        <v>#N/A</v>
      </c>
      <c r="AS208" s="44" t="e">
        <f t="shared" si="230"/>
        <v>#N/A</v>
      </c>
      <c r="AT208" s="45" t="e">
        <f t="shared" si="202"/>
        <v>#N/A</v>
      </c>
      <c r="AU208" s="14">
        <f t="shared" si="231"/>
        <v>7</v>
      </c>
      <c r="AV208" s="44" t="e">
        <f t="shared" si="203"/>
        <v>#N/A</v>
      </c>
      <c r="AW208" s="14" t="e">
        <f t="shared" si="232"/>
        <v>#N/A</v>
      </c>
      <c r="AX208" s="14" t="e">
        <f t="shared" si="204"/>
        <v>#N/A</v>
      </c>
      <c r="AY208" s="46">
        <f t="shared" si="233"/>
        <v>7</v>
      </c>
      <c r="AZ208" s="47" t="e">
        <f t="shared" si="234"/>
        <v>#N/A</v>
      </c>
      <c r="BA208" s="48" t="e">
        <f t="shared" si="235"/>
        <v>#N/A</v>
      </c>
      <c r="BB208" s="31" t="e">
        <f t="shared" si="205"/>
        <v>#N/A</v>
      </c>
      <c r="BC208" s="28">
        <f t="shared" si="236"/>
        <v>7</v>
      </c>
      <c r="BD208" s="47" t="e">
        <f t="shared" si="237"/>
        <v>#N/A</v>
      </c>
      <c r="BE208" s="48" t="e">
        <f t="shared" si="238"/>
        <v>#N/A</v>
      </c>
      <c r="BF208" s="31" t="e">
        <f t="shared" si="206"/>
        <v>#N/A</v>
      </c>
      <c r="BG208" s="49" t="e">
        <f t="shared" si="207"/>
        <v>#N/A</v>
      </c>
      <c r="BH208" s="1" t="e">
        <f>VLOOKUP($B208,STOCK_BY_LA!$A$2:$C$10477,3,0)</f>
        <v>#N/A</v>
      </c>
      <c r="BI208" s="1" t="str">
        <f t="shared" si="239"/>
        <v/>
      </c>
    </row>
  </sheetData>
  <sheetProtection algorithmName="SHA-512" hashValue="mLrkjPBKmzjM7OKaIsXekbbyITQyHRoJjQNUKj+JbrEE9cLwgjnVYTcp3YaASQbMkbBL8knnlSVtO335cADjUQ==" saltValue="N5B4WI6W9Wd01eJS/FH05Q==" spinCount="100000" sheet="1" objects="1" scenarios="1"/>
  <mergeCells count="20">
    <mergeCell ref="AY6:BF6"/>
    <mergeCell ref="Q5:Q7"/>
    <mergeCell ref="AA6:AB6"/>
    <mergeCell ref="AC6:AI6"/>
    <mergeCell ref="AJ6:AP6"/>
    <mergeCell ref="AQ6:AX6"/>
    <mergeCell ref="B3:Q3"/>
    <mergeCell ref="D5:D8"/>
    <mergeCell ref="E5:E7"/>
    <mergeCell ref="F5:F7"/>
    <mergeCell ref="G5:G8"/>
    <mergeCell ref="H5:H7"/>
    <mergeCell ref="I5:I7"/>
    <mergeCell ref="J5:J8"/>
    <mergeCell ref="K5:K7"/>
    <mergeCell ref="L5:L7"/>
    <mergeCell ref="M5:M8"/>
    <mergeCell ref="N5:N7"/>
    <mergeCell ref="O5:O7"/>
    <mergeCell ref="P5:P8"/>
  </mergeCells>
  <conditionalFormatting sqref="A9">
    <cfRule type="containsText" dxfId="83" priority="131" operator="containsText" text="*">
      <formula>NOT(ISERROR(SEARCH("*",A9)))</formula>
    </cfRule>
  </conditionalFormatting>
  <conditionalFormatting sqref="A9:A12">
    <cfRule type="expression" dxfId="82" priority="130">
      <formula>AND(A9&lt;&gt;"",A10="")</formula>
    </cfRule>
  </conditionalFormatting>
  <conditionalFormatting sqref="A14 A16 A18 A20 A22 A24 A26 A28 A30 A32 A34 A36 A38 A40 A42 A44 A46 A48 A50 A52 A54 A56 A58 A60 A62 A64 A66 A68 A70 A72 A74 A76 A78 A80 A82 A84 A86">
    <cfRule type="expression" dxfId="81" priority="231">
      <formula>AND(A14&lt;&gt;"",A15="")</formula>
    </cfRule>
  </conditionalFormatting>
  <conditionalFormatting sqref="A88:A89">
    <cfRule type="expression" dxfId="80" priority="91">
      <formula>AND(A88&lt;&gt;"",A89="")</formula>
    </cfRule>
  </conditionalFormatting>
  <conditionalFormatting sqref="A35:D35">
    <cfRule type="containsText" dxfId="79" priority="68" operator="containsText" text="*">
      <formula>NOT(ISERROR(SEARCH("*",A35)))</formula>
    </cfRule>
  </conditionalFormatting>
  <conditionalFormatting sqref="A39:D39">
    <cfRule type="containsText" dxfId="78" priority="66" operator="containsText" text="*">
      <formula>NOT(ISERROR(SEARCH("*",A39)))</formula>
    </cfRule>
  </conditionalFormatting>
  <conditionalFormatting sqref="A13:M13">
    <cfRule type="containsText" dxfId="77" priority="222" operator="containsText" text="*">
      <formula>NOT(ISERROR(SEARCH("*",A13)))</formula>
    </cfRule>
    <cfRule type="expression" dxfId="76" priority="221">
      <formula>AND(A13&lt;&gt;"",A14="")</formula>
    </cfRule>
  </conditionalFormatting>
  <conditionalFormatting sqref="A89:M89">
    <cfRule type="containsText" dxfId="75" priority="92" operator="containsText" text="*">
      <formula>NOT(ISERROR(SEARCH("*",A89)))</formula>
    </cfRule>
  </conditionalFormatting>
  <conditionalFormatting sqref="A15:P15 A17:P17 A19:P19 A21:P21 A23:P23">
    <cfRule type="expression" dxfId="74" priority="200">
      <formula>AND(A15&lt;&gt;"",A16="")</formula>
    </cfRule>
  </conditionalFormatting>
  <conditionalFormatting sqref="A25:P25 A27:P27 A29:P29 A31:P31 A33:P33 A37:P37 A41:P41 A43:P43 A45:P45 A47:P47 A49:P49 A51:P51">
    <cfRule type="expression" dxfId="73" priority="198">
      <formula>AND(A25&lt;&gt;"",A26="")</formula>
    </cfRule>
  </conditionalFormatting>
  <conditionalFormatting sqref="A35:P35">
    <cfRule type="expression" dxfId="72" priority="67">
      <formula>AND(A35&lt;&gt;"",A36="")</formula>
    </cfRule>
  </conditionalFormatting>
  <conditionalFormatting sqref="A39:P39">
    <cfRule type="expression" dxfId="71" priority="65">
      <formula>AND(A39&lt;&gt;"",A40="")</formula>
    </cfRule>
  </conditionalFormatting>
  <conditionalFormatting sqref="A53:P53 A55:P55 A57:P57 A59:P59 A61:P61 A63:P63 A65:P65 A67:P67 A69:P69 A71:P71 A73:P73 A75:P75 A77:P77 A79:P79 A81:P81 A83:P83 A85:P85 A87:P87">
    <cfRule type="expression" dxfId="70" priority="196">
      <formula>AND(A53&lt;&gt;"",A54="")</formula>
    </cfRule>
  </conditionalFormatting>
  <conditionalFormatting sqref="A90:P468">
    <cfRule type="expression" dxfId="69" priority="71">
      <formula>AND(A90&lt;&gt;"",A91="")</formula>
    </cfRule>
  </conditionalFormatting>
  <conditionalFormatting sqref="A233:P233 A235:P235 A237:P237 A239:P239 A241:P241 A243:P243 A245:P245">
    <cfRule type="containsText" dxfId="68" priority="72" operator="containsText" text="*">
      <formula>NOT(ISERROR(SEARCH("*",A233)))</formula>
    </cfRule>
  </conditionalFormatting>
  <conditionalFormatting sqref="A10:Q10">
    <cfRule type="containsText" dxfId="67" priority="76" operator="containsText" text="*">
      <formula>NOT(ISERROR(SEARCH("*",A10)))</formula>
    </cfRule>
  </conditionalFormatting>
  <conditionalFormatting sqref="A11:Q11 N13:Q13">
    <cfRule type="containsText" dxfId="66" priority="203" operator="containsText" text="*">
      <formula>NOT(ISERROR(SEARCH("*",A11)))</formula>
    </cfRule>
  </conditionalFormatting>
  <conditionalFormatting sqref="A12:Q12 A14:Q14 A16:Q16 A18:Q18 A20:Q20 A22:Q22 A24:Q24 A26:Q26 A28:Q28 A30:Q30 A32:Q32 A34:Q34 A36:Q36 A38:Q38 A40:Q40 A42:Q42 A44:Q44 A46:Q46 A48:Q48 A50:Q50 A52:Q52 A54:Q54 A56:Q56 A58:Q58 A60:Q60 A62:Q62 A64:Q64 A66:Q66 A68:Q68 A70:Q70 A72:Q72 A74:Q74 A76:Q76 A78:Q78 A80:Q80 A82:Q82 A84:Q84 A86:Q86 A88:Q88">
    <cfRule type="containsText" dxfId="65" priority="205" operator="containsText" text="*">
      <formula>NOT(ISERROR(SEARCH("*",A12)))</formula>
    </cfRule>
  </conditionalFormatting>
  <conditionalFormatting sqref="A15:Q15 A17:Q17 A19:Q19 A21:Q21 A23:Q23">
    <cfRule type="containsText" dxfId="64" priority="201" operator="containsText" text="*">
      <formula>NOT(ISERROR(SEARCH("*",A15)))</formula>
    </cfRule>
  </conditionalFormatting>
  <conditionalFormatting sqref="A25:Q25 A27:Q27 A29:Q29 A31:Q31 A33:Q33 A37:Q37 A41:Q41 A43:Q43 A45:Q45 A47:Q47 A49:Q49 A51:Q51 E35:Q35 E39:Q39">
    <cfRule type="containsText" dxfId="63" priority="199" operator="containsText" text="*">
      <formula>NOT(ISERROR(SEARCH("*",A25)))</formula>
    </cfRule>
  </conditionalFormatting>
  <conditionalFormatting sqref="A53:Q53 A55:Q55 A57:Q57 A59:Q59 A61:Q61 A63:Q63 A65:Q65 A67:Q67 A69:Q69 A71:Q71 A73:Q73 A75:Q75 A77:Q77 A79:Q79 A81:Q81 A83:Q83 A85:Q85 A87:Q87">
    <cfRule type="containsText" dxfId="62" priority="197" operator="containsText" text="*">
      <formula>NOT(ISERROR(SEARCH("*",A53)))</formula>
    </cfRule>
  </conditionalFormatting>
  <conditionalFormatting sqref="A90:Q90 A92:Q92 A94:Q94 A96:Q96 A98:Q98 A100:Q100 A102:Q102 A104:Q104 A106:Q106 A108:Q108 A110:Q110 A112:Q112 A114:Q114 A116:Q116 A118:Q118 A120:Q120 A122:Q122 A124:Q124 A126:Q126 A128:Q128 A130:Q130 A132:Q132 A134:Q134 A136:Q136 A138:Q138 A140:Q140 A142:Q142 A144:Q144 A146:Q146 A148:Q148 A150:Q150 A152:Q152 A154:Q154 A156:Q156 A158:Q158 A160:Q160 A162:Q162 A164:Q164 A166:Q166 A168:Q168 A170:Q170 A172:Q172 A174:Q174 A176:Q176 A178:Q178 A180:Q180 A182:Q182 A184:Q184 A186:Q186 A188:Q188 A190:Q190 A192:Q192 A194:Q194 A196:Q196 A198:Q198 A200:Q200 A202:Q202 A204:Q204 A206:Q206 A208:Q208 A210:Q210 A212:Q212 A214:Q214 A216:Q216 A218:Q218 A220:Q220 A222:Q222 A224:Q224 A226:Q226 A228:Q228 A230:Q230 A232:Q232 A248:Q248 A250:Q250 A252:Q252 A254:Q254 A256:Q256 A258:Q258 A260:Q260 A262:Q262 A264:Q264 A266:Q266 A268:Q268 A270:Q270 A272:Q272 A274:Q274 A276:Q276 A278:Q278 A280:Q280 A282:Q282 A284:Q284 A286:Q286 A288:Q288 A290:Q290 A292:Q292 A294:Q294 A296:Q296 A298:Q298 A300:Q300 A302:Q302 A304:Q304 A306:Q306 A308:Q308 A310:Q310 A312:Q312 A314:Q314 A316:Q316 A318:Q318 A320:Q320 A322:Q322 A324:Q324 A326:Q326 A328:Q328 A330:Q330 A332:Q332 A334:Q334 A336:Q336 A338:Q338 A340:Q340 A342:Q342 A344:Q344 A346:Q346 A348:Q348 A350:Q350 A352:Q352 A354:Q354 A356:Q356 A358:Q358 A360:Q360 A362:Q362 A364:Q364 A366:Q366 A368:Q368 A370:Q370 A372:Q372 A374:Q374 A376:Q376 A378:Q378 A380:Q380 A382:Q382 A384:Q384 A386:Q386 A388:Q388 A390:Q390 A392:Q392 A394:Q394 A396:Q396 A398:Q398 A400:Q400 A402:Q402 A404:Q404 A406:Q406 A408:Q408 A410:Q410 A412:Q412 A414:Q414 A416:Q416 A418:Q418 A420:Q420 A422:Q422 A424:Q424 A426:Q426 A428:Q428 A430:Q430 A432:Q432 A434:Q434 A436:Q436 A438:Q438 A440:Q440 A442:Q442 A444:Q444 A446:Q446 A448:Q448 A450:Q450 A452:Q452 A454:Q454 A456:Q456 A458:Q458 A460:Q460 A462:Q462 A464:Q464 A466:Q466 A468:Q493">
    <cfRule type="containsText" dxfId="61" priority="87" operator="containsText" text="*">
      <formula>NOT(ISERROR(SEARCH("*",A90)))</formula>
    </cfRule>
  </conditionalFormatting>
  <conditionalFormatting sqref="A234:Q234 A236:Q236 A238:Q238 A240:Q240 A242:Q242 A244:Q244 A246:Q246">
    <cfRule type="containsText" dxfId="60" priority="74" operator="containsText" text="*">
      <formula>NOT(ISERROR(SEARCH("*",A234)))</formula>
    </cfRule>
  </conditionalFormatting>
  <conditionalFormatting sqref="A469:Q493">
    <cfRule type="expression" dxfId="59" priority="160">
      <formula>AND(A469&lt;&gt;"",A470="")</formula>
    </cfRule>
  </conditionalFormatting>
  <conditionalFormatting sqref="B6">
    <cfRule type="expression" dxfId="58" priority="39">
      <formula>$B$6=0</formula>
    </cfRule>
  </conditionalFormatting>
  <conditionalFormatting sqref="B9">
    <cfRule type="containsText" dxfId="57" priority="135" operator="containsText" text="*">
      <formula>NOT(ISERROR(SEARCH("*",B9)))</formula>
    </cfRule>
  </conditionalFormatting>
  <conditionalFormatting sqref="B9:B11">
    <cfRule type="expression" dxfId="56" priority="134">
      <formula>AND(B9&lt;&gt;"",B10="")</formula>
    </cfRule>
  </conditionalFormatting>
  <conditionalFormatting sqref="B9:B468">
    <cfRule type="expression" dxfId="55" priority="245">
      <formula>AND(B9&lt;&gt;"",B10="")</formula>
    </cfRule>
    <cfRule type="containsText" dxfId="54" priority="246" operator="containsText" text="*">
      <formula>NOT(ISERROR(SEARCH("*",B9)))</formula>
    </cfRule>
  </conditionalFormatting>
  <conditionalFormatting sqref="B469:B493">
    <cfRule type="containsText" dxfId="53" priority="210" operator="containsText" text="*">
      <formula>NOT(ISERROR(SEARCH("*",B469)))</formula>
    </cfRule>
  </conditionalFormatting>
  <conditionalFormatting sqref="B89:P89">
    <cfRule type="expression" dxfId="52" priority="84">
      <formula>AND(B89&lt;&gt;"",B90="")</formula>
    </cfRule>
  </conditionalFormatting>
  <conditionalFormatting sqref="C9">
    <cfRule type="expression" dxfId="51" priority="38">
      <formula>$C$9="LARP"</formula>
    </cfRule>
  </conditionalFormatting>
  <conditionalFormatting sqref="C10">
    <cfRule type="expression" dxfId="50" priority="37">
      <formula>$C$10="LARP"</formula>
    </cfRule>
  </conditionalFormatting>
  <conditionalFormatting sqref="C11">
    <cfRule type="expression" dxfId="49" priority="36">
      <formula>$C$11="LARP"</formula>
    </cfRule>
  </conditionalFormatting>
  <conditionalFormatting sqref="C12">
    <cfRule type="expression" dxfId="48" priority="35">
      <formula>$C$12="LARP"</formula>
    </cfRule>
  </conditionalFormatting>
  <conditionalFormatting sqref="C13">
    <cfRule type="expression" dxfId="47" priority="34">
      <formula>$C$13="LARP"</formula>
    </cfRule>
  </conditionalFormatting>
  <conditionalFormatting sqref="C14">
    <cfRule type="expression" dxfId="46" priority="33">
      <formula>$C$14="LARP"</formula>
    </cfRule>
  </conditionalFormatting>
  <conditionalFormatting sqref="C15">
    <cfRule type="expression" dxfId="45" priority="32">
      <formula>$C$15="LARP"</formula>
    </cfRule>
  </conditionalFormatting>
  <conditionalFormatting sqref="C16">
    <cfRule type="expression" dxfId="44" priority="31">
      <formula>$C$16="LARP"</formula>
    </cfRule>
  </conditionalFormatting>
  <conditionalFormatting sqref="C17">
    <cfRule type="expression" dxfId="43" priority="30">
      <formula>$C$17="LARP"</formula>
    </cfRule>
  </conditionalFormatting>
  <conditionalFormatting sqref="C18">
    <cfRule type="expression" dxfId="42" priority="29">
      <formula>$C$18="LARP"</formula>
    </cfRule>
  </conditionalFormatting>
  <conditionalFormatting sqref="C19">
    <cfRule type="expression" dxfId="41" priority="28">
      <formula>$C$19="LARP"</formula>
    </cfRule>
  </conditionalFormatting>
  <conditionalFormatting sqref="C20">
    <cfRule type="expression" dxfId="40" priority="27">
      <formula>$C$20="LARP"</formula>
    </cfRule>
  </conditionalFormatting>
  <conditionalFormatting sqref="C21">
    <cfRule type="expression" dxfId="39" priority="26">
      <formula>$C$21="LARP"</formula>
    </cfRule>
  </conditionalFormatting>
  <conditionalFormatting sqref="C22">
    <cfRule type="expression" dxfId="38" priority="25">
      <formula>$C$22="LARP"</formula>
    </cfRule>
  </conditionalFormatting>
  <conditionalFormatting sqref="C23">
    <cfRule type="expression" dxfId="37" priority="24">
      <formula>$C$23="LARP"</formula>
    </cfRule>
  </conditionalFormatting>
  <conditionalFormatting sqref="C24">
    <cfRule type="expression" dxfId="36" priority="23">
      <formula>$C$24="LARP"</formula>
    </cfRule>
  </conditionalFormatting>
  <conditionalFormatting sqref="C25">
    <cfRule type="expression" dxfId="35" priority="22">
      <formula>$C$25="LARP"</formula>
    </cfRule>
  </conditionalFormatting>
  <conditionalFormatting sqref="C26">
    <cfRule type="expression" dxfId="34" priority="21">
      <formula>$C$26="LARP"</formula>
    </cfRule>
  </conditionalFormatting>
  <conditionalFormatting sqref="C27">
    <cfRule type="expression" dxfId="33" priority="20">
      <formula>$C$27="LARP"</formula>
    </cfRule>
  </conditionalFormatting>
  <conditionalFormatting sqref="C28">
    <cfRule type="expression" dxfId="32" priority="19">
      <formula>$C$28="LARP"</formula>
    </cfRule>
  </conditionalFormatting>
  <conditionalFormatting sqref="C29">
    <cfRule type="expression" dxfId="31" priority="18">
      <formula>$C$29="LARP"</formula>
    </cfRule>
  </conditionalFormatting>
  <conditionalFormatting sqref="C30">
    <cfRule type="expression" dxfId="30" priority="17">
      <formula>$C$30="LARP"</formula>
    </cfRule>
  </conditionalFormatting>
  <conditionalFormatting sqref="C31">
    <cfRule type="expression" dxfId="29" priority="16">
      <formula>$C$31="LARP"</formula>
    </cfRule>
  </conditionalFormatting>
  <conditionalFormatting sqref="C32">
    <cfRule type="expression" dxfId="28" priority="15">
      <formula>$C$32="LARP"</formula>
    </cfRule>
  </conditionalFormatting>
  <conditionalFormatting sqref="C33">
    <cfRule type="expression" dxfId="27" priority="14">
      <formula>$C$33="LARP"</formula>
    </cfRule>
  </conditionalFormatting>
  <conditionalFormatting sqref="C34">
    <cfRule type="expression" dxfId="26" priority="13">
      <formula>$C$34="LARP"</formula>
    </cfRule>
  </conditionalFormatting>
  <conditionalFormatting sqref="C35">
    <cfRule type="expression" dxfId="25" priority="12">
      <formula>$C$35="LARP"</formula>
    </cfRule>
  </conditionalFormatting>
  <conditionalFormatting sqref="C36">
    <cfRule type="expression" dxfId="24" priority="11">
      <formula>$C$36="LARP"</formula>
    </cfRule>
  </conditionalFormatting>
  <conditionalFormatting sqref="C37">
    <cfRule type="expression" dxfId="23" priority="10">
      <formula>$C$37="LARP"</formula>
    </cfRule>
  </conditionalFormatting>
  <conditionalFormatting sqref="C38">
    <cfRule type="expression" dxfId="22" priority="9">
      <formula>$C$38="LARP"</formula>
    </cfRule>
  </conditionalFormatting>
  <conditionalFormatting sqref="C39">
    <cfRule type="expression" dxfId="21" priority="8">
      <formula>$C$39="LARP"</formula>
    </cfRule>
  </conditionalFormatting>
  <conditionalFormatting sqref="C40">
    <cfRule type="expression" dxfId="20" priority="7">
      <formula>$C$40="LARP"</formula>
    </cfRule>
  </conditionalFormatting>
  <conditionalFormatting sqref="C41">
    <cfRule type="expression" dxfId="19" priority="6">
      <formula>$C$41="LARP"</formula>
    </cfRule>
  </conditionalFormatting>
  <conditionalFormatting sqref="C42">
    <cfRule type="expression" dxfId="18" priority="5">
      <formula>$C$42="LARP"</formula>
    </cfRule>
  </conditionalFormatting>
  <conditionalFormatting sqref="C43">
    <cfRule type="expression" dxfId="17" priority="4">
      <formula>$C$43="LARP"</formula>
    </cfRule>
  </conditionalFormatting>
  <conditionalFormatting sqref="C44">
    <cfRule type="expression" dxfId="16" priority="3">
      <formula>$C$44="LARP"</formula>
    </cfRule>
  </conditionalFormatting>
  <conditionalFormatting sqref="C45">
    <cfRule type="expression" dxfId="15" priority="2">
      <formula>$C$45="LARP"</formula>
    </cfRule>
  </conditionalFormatting>
  <conditionalFormatting sqref="C46">
    <cfRule type="expression" dxfId="14" priority="1">
      <formula>$C$46="LARP"</formula>
    </cfRule>
  </conditionalFormatting>
  <conditionalFormatting sqref="C9:D9">
    <cfRule type="containsText" dxfId="13" priority="70" operator="containsText" text="*">
      <formula>NOT(ISERROR(SEARCH("*",C9)))</formula>
    </cfRule>
  </conditionalFormatting>
  <conditionalFormatting sqref="C9:M12">
    <cfRule type="expression" dxfId="12" priority="69">
      <formula>AND(C9&lt;&gt;"",C10="")</formula>
    </cfRule>
  </conditionalFormatting>
  <conditionalFormatting sqref="C14:P14 C16:P16 C18:P18 C20:P20 C22:P22 C24:P24 C26:P26 C28:P28 C30:P30 C32:P32 C34:P34 C36:P36 C38:P38 C40:P40 C42:P42 C44:P44 C46:P46 C48:P48 C50:P50 C52:P52 C54:P54 C56:P56 C58:P58 C60:P60 C62:P62 C64:P64 C66:P66 C68:P68 C70:P70 C72:P72 C74:P74 C76:P76 C78:P78 C80:P80 C82:P82 C84:P84 C86:P86 C88:P88">
    <cfRule type="expression" dxfId="11" priority="204">
      <formula>AND(C14&lt;&gt;"",C15="")</formula>
    </cfRule>
  </conditionalFormatting>
  <conditionalFormatting sqref="E9:Q9">
    <cfRule type="containsText" dxfId="10" priority="124" operator="containsText" text="*">
      <formula>NOT(ISERROR(SEARCH("*",E9)))</formula>
    </cfRule>
  </conditionalFormatting>
  <conditionalFormatting sqref="N9:P13">
    <cfRule type="expression" dxfId="9" priority="123">
      <formula>AND(N9&lt;&gt;"",N10="")</formula>
    </cfRule>
  </conditionalFormatting>
  <conditionalFormatting sqref="N89:P89 A91:P91 A93:P93 A95:P95 A97:P97 A99:P99 A101:P101 A103:P103 A105:P105 A107:P107 A109:P109 A111:P111 A113:P113 A115:P115 A117:P117 A119:P119 A121:P121 A123:P123 A125:P125 A127:P127 A129:P129 A131:P131 A133:P133 A135:P135 A137:P137 A139:P139 A141:P141 A143:P143 A145:P145 A147:P147 A149:P149 A151:P151 A153:P153 A155:P155 A157:P157 A159:P159 A161:P161 A163:P163 A165:P165 A167:P167 A169:P169 A171:P171 A173:P173 A175:P175 A177:P177 A179:P179 A181:P181 A183:P183 A185:P185 A187:P187 A189:P189 A191:P191 A193:P193 A195:P195 A197:P197 A199:P199 A201:P201 A203:P203 A205:P205 A207:P207 A209:P209 A211:P211 A213:P213 A215:P215 A217:P217 A219:P219 A221:P221 A223:P223 A225:P225 A227:P227 A229:P229 A231:P231 A247:P247 A249:P249 A251:P251 A253:P253 A255:P255 A257:P257 A259:P259 A261:P261 A263:P263 A265:P265 A267:P267 A269:P269 A271:P271 A273:P273 A275:P275 A277:P277 A279:P279 A281:P281 A283:P283 A285:P285 A287:P287 A289:P289 A291:P291 A293:P293 A295:P295 A297:P297 A299:P299 A301:P301 A303:P303 A305:P305 A307:P307 A309:P309 A311:P311 A313:P313 A315:P315 A317:P317 A319:P319 A321:P321 A323:P323 A325:P325 A327:P327 A329:P329 A331:P331 A333:P333 A335:P335 A337:P337 A339:P339 A341:P341 A343:P343 A345:P345 A347:P347 A349:P349 A351:P351 A353:P353 A355:P355 A357:P357 A359:P359 A361:P361 A363:P363 A365:P365 A367:P367 A369:P369 A371:P371 A373:P373 A375:P375 A377:P377 A379:P379 A381:P381 A383:P383 A385:P385 A387:P387 A389:P389 A391:P391 A393:P393 A395:P395 A397:P397 A399:P399 A401:P401 A403:P403 A405:P405 A407:P407 A409:P409 A411:P411 A413:P413 A415:P415 A417:P417 A419:P419 A421:P421 A423:P423 A425:P425 A427:P427 A429:P429 A431:P431 A433:P433 A435:P435 A437:P437 A439:P439 A441:P441 A443:P443 A445:P445 A447:P447 A449:P449 A451:P451 A453:P453 A455:P455 A457:P457 A459:P459 A461:P461 A463:P463 A465:P465 A467:P467">
    <cfRule type="containsText" dxfId="8" priority="85" operator="containsText" text="*">
      <formula>NOT(ISERROR(SEARCH("*",A89)))</formula>
    </cfRule>
  </conditionalFormatting>
  <conditionalFormatting sqref="Q9:Q468">
    <cfRule type="expression" dxfId="7" priority="93">
      <formula>AND(Q9&lt;&gt;"",Q10="")</formula>
    </cfRule>
  </conditionalFormatting>
  <conditionalFormatting sqref="Q89 Q91 Q93 Q95 Q97 Q99 Q101 Q103 Q105 Q107 Q109 Q111 Q113 Q115 Q117 Q119 Q121 Q123 Q125 Q127 Q129 Q131 Q133 Q135 Q137 Q139 Q141 Q143 Q145 Q147 Q149 Q151 Q153 Q155 Q157 Q159 Q161 Q163 Q165 Q167 Q169 Q171 Q173 Q175 Q177 Q179 Q181 Q183 Q185 Q187 Q189 Q191 Q193 Q195 Q197 Q199 Q201 Q203 Q205 Q207 Q209 Q211 Q213 Q215 Q217 Q219 Q221 Q223 Q225 Q227 Q229 Q231 Q233 Q235 Q237 Q239 Q241 Q243 Q245 Q247 Q249 Q251 Q253 Q255 Q257 Q259 Q261 Q263 Q265 Q267 Q269 Q271 Q273 Q275 Q277 Q279 Q281 Q283 Q285 Q287 Q289 Q291 Q293 Q295 Q297 Q299 Q301 Q303 Q305 Q307 Q309 Q311 Q313 Q315 Q317 Q319 Q321 Q323 Q325 Q327 Q329 Q331 Q333 Q335 Q337 Q339 Q341 Q343 Q345 Q347 Q349 Q351 Q353 Q355 Q357 Q359 Q361 Q363 Q365 Q367 Q369 Q371 Q373 Q375 Q377 Q379 Q381 Q383 Q385 Q387 Q389 Q391 Q393 Q395 Q397 Q399 Q401 Q403 Q405 Q407 Q409 Q411 Q413 Q415 Q417 Q419 Q421 Q423 Q425 Q427 Q429 Q431 Q433 Q435 Q437 Q439 Q441 Q443 Q445 Q447 Q449 Q451 Q453 Q455 Q457 Q459 Q461 Q463 Q465 Q467">
    <cfRule type="containsText" dxfId="6" priority="94" operator="containsText" text="*">
      <formula>NOT(ISERROR(SEARCH("*",Q89)))</formula>
    </cfRule>
  </conditionalFormatting>
  <conditionalFormatting sqref="Y9:Y208">
    <cfRule type="containsText" dxfId="5" priority="46" operator="containsText" text="*">
      <formula>NOT(ISERROR(SEARCH("*",Y9)))</formula>
    </cfRule>
  </conditionalFormatting>
  <conditionalFormatting sqref="Y9:Y470">
    <cfRule type="expression" dxfId="4" priority="41">
      <formula>AND(Y9&lt;&gt;"",Y10="")</formula>
    </cfRule>
  </conditionalFormatting>
  <conditionalFormatting sqref="Y209 Y211 Y213 Y215 Y217 Y219 Y221 Y223 Y225 Y227 Y229 Y231 Y233 Y235 Y237 Y239 Y241 Y243 Y245 Y247 Y249 Y251 Y253 Y255 Y257 Y259 Y261 Y263 Y265 Y267 Y269 Y271 Y273 Y275 Y277 Y279 Y281 Y283 Y285 Y287 Y289 Y291 Y293 Y295 Y297 Y299 Y301 Y303 Y305 Y307 Y309 Y311 Y313 Y315 Y317 Y319 Y321 Y323 Y325 Y327 Y329 Y331 Y333 Y335 Y337 Y339 Y341 Y343 Y345 Y347 Y349 Y351 Y353 Y355 Y357 Y359 Y361 Y363 Y365 Y367 Y369 Y371 Y373 Y375 Y377 Y379 Y381 Y383 Y385 Y387 Y389 Y391 Y393 Y395 Y397 Y399 Y401 Y403 Y405 Y407 Y409 Y411 Y413 Y415 Y417 Y419 Y421 Y423 Y425 Y427 Y429 Y431 Y433 Y435 Y437 Y439 Y441 Y443 Y445 Y447 Y449 Y451 Y453 Y455 Y457 Y459 Y461 Y463 Y465 Y467">
    <cfRule type="containsText" dxfId="3" priority="48" operator="containsText" text="*">
      <formula>NOT(ISERROR(SEARCH("*",Y209)))</formula>
    </cfRule>
  </conditionalFormatting>
  <conditionalFormatting sqref="Y210 Y212 Y214 Y216 Y218 Y220 Y222 Y224 Y226 Y228 Y230 Y232 Y234 Y236 Y238 Y240 Y242 Y244 Y246 Y248 Y250 Y252 Y254 Y256 Y258 Y260 Y262 Y264 Y266 Y268 Y270 Y272 Y274 Y276 Y278 Y280 Y282 Y284 Y286 Y288 Y290 Y292 Y294 Y296 Y298 Y300 Y302 Y304 Y306 Y308 Y310 Y312 Y314 Y316 Y318 Y320 Y322 Y324 Y326 Y328 Y330 Y332 Y334 Y336 Y338 Y340 Y342 Y344 Y346 Y348 Y350 Y352 Y354 Y356 Y358 Y360 Y362 Y364 Y366 Y368 Y370 Y372 Y374 Y376 Y378 Y380 Y382 Y384 Y386 Y388 Y390 Y392 Y394 Y396 Y398 Y400 Y402 Y404 Y406 Y408 Y410 Y412 Y414 Y416 Y418 Y420 Y422 Y424 Y426 Y428 Y430 Y432 Y434 Y436 Y438 Y440 Y442 Y444 Y446 Y448 Y450 Y452 Y454 Y456 Y458 Y460 Y462 Y464 Y466 Y468">
    <cfRule type="containsText" dxfId="2" priority="50" operator="containsText" text="*">
      <formula>NOT(ISERROR(SEARCH("*",Y210)))</formula>
    </cfRule>
  </conditionalFormatting>
  <conditionalFormatting sqref="Y469">
    <cfRule type="containsText" dxfId="1" priority="42" operator="containsText" text="*">
      <formula>NOT(ISERROR(SEARCH("*",Y469)))</formula>
    </cfRule>
  </conditionalFormatting>
  <conditionalFormatting sqref="Y470">
    <cfRule type="containsText" dxfId="0" priority="44" operator="containsText" text="*">
      <formula>NOT(ISERROR(SEARCH("*",Y470)))</formula>
    </cfRule>
  </conditionalFormatting>
  <hyperlinks>
    <hyperlink ref="B5" location="'Area Summary'!E3" display="'Area Summary'!E3" xr:uid="{00000000-0004-0000-0400-000000000000}"/>
    <hyperlink ref="B6" location="'Area summary'!I5" display="'Area summary'!I5" xr:uid="{00000000-0004-0000-0400-000001000000}"/>
  </hyperlinks>
  <printOptions horizontalCentered="1"/>
  <pageMargins left="0.25" right="0.25" top="0.75" bottom="0.75" header="0.3" footer="0.3"/>
  <pageSetup paperSize="9" scale="48" orientation="landscape" r:id="rId1"/>
  <headerFooter>
    <oddHeader>&amp;C&amp;"Calibri"&amp;10&amp;K000000 OFFICIAL&amp;1#_x000D_</oddHeader>
    <oddFooter>&amp;C_x000D_&amp;1#&amp;"Calibri"&amp;10&amp;K000000 OFFICIAL</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394C45-8A8C-4099-8C62-553C2E678300}">
  <sheetPr codeName="Sheet14">
    <tabColor rgb="FFEDEBF5"/>
  </sheetPr>
  <dimension ref="B2:Q61"/>
  <sheetViews>
    <sheetView workbookViewId="0">
      <selection activeCell="M27" sqref="M27"/>
    </sheetView>
  </sheetViews>
  <sheetFormatPr defaultColWidth="9.19921875" defaultRowHeight="12.75" x14ac:dyDescent="0.35"/>
  <cols>
    <col min="1" max="1" width="3.46484375" style="5" customWidth="1"/>
    <col min="2" max="16384" width="9.19921875" style="5"/>
  </cols>
  <sheetData>
    <row r="2" spans="2:17" ht="27.75" x14ac:dyDescent="0.75">
      <c r="B2" s="178" t="s">
        <v>266</v>
      </c>
    </row>
    <row r="4" spans="2:17" ht="15" x14ac:dyDescent="0.4">
      <c r="B4" s="281" t="s">
        <v>267</v>
      </c>
    </row>
    <row r="10" spans="2:17" ht="15" x14ac:dyDescent="0.4">
      <c r="B10" s="179" t="s">
        <v>268</v>
      </c>
    </row>
    <row r="12" spans="2:17" x14ac:dyDescent="0.35">
      <c r="B12" s="5" t="s">
        <v>269</v>
      </c>
    </row>
    <row r="14" spans="2:17" ht="13.15" x14ac:dyDescent="0.4">
      <c r="Q14" s="4"/>
    </row>
    <row r="26" spans="2:17" ht="15" x14ac:dyDescent="0.4">
      <c r="B26" s="179" t="s">
        <v>270</v>
      </c>
    </row>
    <row r="28" spans="2:17" x14ac:dyDescent="0.35">
      <c r="B28" s="5" t="s">
        <v>271</v>
      </c>
    </row>
    <row r="30" spans="2:17" ht="13.15" x14ac:dyDescent="0.4">
      <c r="Q30" s="4"/>
    </row>
    <row r="35" spans="2:2" x14ac:dyDescent="0.35">
      <c r="B35" s="5" t="s">
        <v>272</v>
      </c>
    </row>
    <row r="54" spans="2:5" ht="15" x14ac:dyDescent="0.4">
      <c r="B54" s="281" t="s">
        <v>273</v>
      </c>
    </row>
    <row r="61" spans="2:5" ht="15" x14ac:dyDescent="0.4">
      <c r="B61" s="427" t="s">
        <v>274</v>
      </c>
      <c r="C61" s="427"/>
      <c r="D61" s="427"/>
      <c r="E61" s="427"/>
    </row>
  </sheetData>
  <sheetProtection algorithmName="SHA-512" hashValue="QlXDbfB2T8RRnhga0JSYgRIFNlBZh4b3aPUFvomMIfshll2ytW9g5xo/wQRFD6e0DE6hC+fDjAmBrZb+1Hk/fQ==" saltValue="4+4rlOkZ+uxb+Pn3n+N28Q==" spinCount="100000" sheet="1" objects="1" scenarios="1"/>
  <mergeCells count="1">
    <mergeCell ref="B61:E61"/>
  </mergeCells>
  <hyperlinks>
    <hyperlink ref="B61" location="'2019 PRP Results'!J5" display="Return to sheet &quot;2019 PRP Results&quot;" xr:uid="{C727378A-2428-41A1-957E-2D304F5B535E}"/>
    <hyperlink ref="B61:E61" location="'Area Summary'!E3" display="Return to sheet &quot;Area Summary&quot;" xr:uid="{1A194BFE-6F6D-479A-AD92-51AA69FC2C39}"/>
  </hyperlinks>
  <pageMargins left="0.7" right="0.7" top="0.75" bottom="0.75" header="0.3" footer="0.3"/>
  <headerFooter>
    <oddHeader>&amp;C&amp;"Calibri"&amp;10&amp;K000000 OFFICIAL&amp;1#_x000D_</oddHeader>
    <oddFooter>&amp;C_x000D_&amp;1#&amp;"Calibri"&amp;10&amp;K000000 OFFICIAL</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2BEC6-C06F-483A-8EBD-AF3011DA9B98}">
  <sheetPr codeName="Sheet4">
    <tabColor rgb="FFFFC000"/>
  </sheetPr>
  <dimension ref="A1:O12160"/>
  <sheetViews>
    <sheetView workbookViewId="0">
      <selection activeCell="D23" sqref="D23"/>
    </sheetView>
  </sheetViews>
  <sheetFormatPr defaultRowHeight="12.75" x14ac:dyDescent="0.35"/>
  <cols>
    <col min="1" max="1" width="10.53125" customWidth="1"/>
    <col min="2" max="2" width="11.19921875" customWidth="1"/>
    <col min="3" max="3" width="9" customWidth="1"/>
    <col min="5" max="5" width="9.73046875" customWidth="1"/>
    <col min="6" max="6" width="43.796875" bestFit="1" customWidth="1"/>
    <col min="7" max="7" width="11.46484375" customWidth="1"/>
    <col min="8" max="8" width="18.46484375" customWidth="1"/>
    <col min="9" max="9" width="14.53125" customWidth="1"/>
    <col min="10" max="10" width="12.53125" customWidth="1"/>
    <col min="11" max="11" width="19.53125" customWidth="1"/>
    <col min="12" max="12" width="15.73046875" customWidth="1"/>
    <col min="13" max="13" width="13.19921875" customWidth="1"/>
    <col min="14" max="14" width="20.19921875" customWidth="1"/>
    <col min="15" max="15" width="13.19921875" customWidth="1"/>
  </cols>
  <sheetData>
    <row r="1" spans="1:15" x14ac:dyDescent="0.35">
      <c r="A1" t="s">
        <v>275</v>
      </c>
      <c r="B1" t="s">
        <v>276</v>
      </c>
      <c r="C1" t="s">
        <v>277</v>
      </c>
      <c r="D1" t="s">
        <v>278</v>
      </c>
      <c r="E1" t="s">
        <v>279</v>
      </c>
      <c r="F1" t="s">
        <v>280</v>
      </c>
      <c r="G1" t="s">
        <v>281</v>
      </c>
      <c r="H1" t="s">
        <v>282</v>
      </c>
      <c r="I1" t="s">
        <v>283</v>
      </c>
      <c r="J1" t="s">
        <v>284</v>
      </c>
      <c r="K1" t="s">
        <v>285</v>
      </c>
      <c r="L1" t="s">
        <v>286</v>
      </c>
      <c r="M1" t="s">
        <v>287</v>
      </c>
      <c r="N1" t="s">
        <v>288</v>
      </c>
      <c r="O1" t="s">
        <v>289</v>
      </c>
    </row>
    <row r="2" spans="1:15" x14ac:dyDescent="0.35">
      <c r="A2" t="s">
        <v>290</v>
      </c>
      <c r="B2" t="s">
        <v>291</v>
      </c>
      <c r="C2" t="s">
        <v>292</v>
      </c>
      <c r="D2" t="s">
        <v>293</v>
      </c>
      <c r="E2" t="s">
        <v>294</v>
      </c>
      <c r="F2" t="s">
        <v>295</v>
      </c>
      <c r="G2">
        <v>27</v>
      </c>
      <c r="H2">
        <v>2535.3900000000003</v>
      </c>
      <c r="I2">
        <v>93.9</v>
      </c>
      <c r="J2">
        <v>15</v>
      </c>
      <c r="K2">
        <v>1184.0999999999999</v>
      </c>
      <c r="L2">
        <v>78.94</v>
      </c>
      <c r="M2">
        <v>42</v>
      </c>
      <c r="N2">
        <v>3719.4900000000002</v>
      </c>
      <c r="O2">
        <v>88.56</v>
      </c>
    </row>
    <row r="3" spans="1:15" x14ac:dyDescent="0.35">
      <c r="A3" t="s">
        <v>290</v>
      </c>
      <c r="B3" t="s">
        <v>291</v>
      </c>
      <c r="C3" t="s">
        <v>292</v>
      </c>
      <c r="D3" t="s">
        <v>293</v>
      </c>
      <c r="E3" t="s">
        <v>296</v>
      </c>
      <c r="F3" t="s">
        <v>297</v>
      </c>
      <c r="G3">
        <v>689</v>
      </c>
      <c r="H3">
        <v>80223.99000000002</v>
      </c>
      <c r="I3">
        <v>116.44</v>
      </c>
      <c r="J3">
        <v>215</v>
      </c>
      <c r="K3">
        <v>21837.55</v>
      </c>
      <c r="L3">
        <v>101.57</v>
      </c>
      <c r="M3">
        <v>904</v>
      </c>
      <c r="N3">
        <v>102061.54000000002</v>
      </c>
      <c r="O3">
        <v>112.9</v>
      </c>
    </row>
    <row r="4" spans="1:15" x14ac:dyDescent="0.35">
      <c r="A4" t="s">
        <v>290</v>
      </c>
      <c r="B4" t="s">
        <v>291</v>
      </c>
      <c r="C4" t="s">
        <v>292</v>
      </c>
      <c r="D4" t="s">
        <v>293</v>
      </c>
      <c r="E4" t="s">
        <v>298</v>
      </c>
      <c r="F4" t="s">
        <v>299</v>
      </c>
      <c r="G4">
        <v>545</v>
      </c>
      <c r="H4">
        <v>69104.56</v>
      </c>
      <c r="I4">
        <v>126.8</v>
      </c>
      <c r="J4">
        <v>111</v>
      </c>
      <c r="K4">
        <v>13429.89</v>
      </c>
      <c r="L4">
        <v>120.99</v>
      </c>
      <c r="M4">
        <v>656</v>
      </c>
      <c r="N4">
        <v>82534.45</v>
      </c>
      <c r="O4">
        <v>125.81</v>
      </c>
    </row>
    <row r="5" spans="1:15" x14ac:dyDescent="0.35">
      <c r="A5" t="s">
        <v>290</v>
      </c>
      <c r="B5" t="s">
        <v>291</v>
      </c>
      <c r="C5" t="s">
        <v>292</v>
      </c>
      <c r="D5" t="s">
        <v>293</v>
      </c>
      <c r="E5" t="s">
        <v>300</v>
      </c>
      <c r="F5" t="s">
        <v>301</v>
      </c>
      <c r="G5">
        <v>43</v>
      </c>
      <c r="H5">
        <v>5968.16</v>
      </c>
      <c r="I5">
        <v>138.79</v>
      </c>
      <c r="J5">
        <v>14</v>
      </c>
      <c r="K5">
        <v>1953.7000000000003</v>
      </c>
      <c r="L5">
        <v>139.55000000000001</v>
      </c>
      <c r="M5">
        <v>57</v>
      </c>
      <c r="N5">
        <v>7921.8600000000006</v>
      </c>
      <c r="O5">
        <v>138.97999999999999</v>
      </c>
    </row>
    <row r="6" spans="1:15" x14ac:dyDescent="0.35">
      <c r="A6" t="s">
        <v>290</v>
      </c>
      <c r="B6" t="s">
        <v>291</v>
      </c>
      <c r="C6" t="s">
        <v>292</v>
      </c>
      <c r="D6" t="s">
        <v>293</v>
      </c>
      <c r="E6" t="s">
        <v>302</v>
      </c>
      <c r="F6" t="s">
        <v>303</v>
      </c>
      <c r="G6">
        <v>4</v>
      </c>
      <c r="H6">
        <v>549.06999999999994</v>
      </c>
      <c r="I6">
        <v>137.27000000000001</v>
      </c>
      <c r="J6">
        <v>0</v>
      </c>
      <c r="K6">
        <v>0</v>
      </c>
      <c r="L6">
        <v>0</v>
      </c>
      <c r="M6">
        <v>4</v>
      </c>
      <c r="N6">
        <v>549.06999999999994</v>
      </c>
      <c r="O6">
        <v>137.27000000000001</v>
      </c>
    </row>
    <row r="7" spans="1:15" x14ac:dyDescent="0.35">
      <c r="A7" t="s">
        <v>290</v>
      </c>
      <c r="B7" t="s">
        <v>291</v>
      </c>
      <c r="C7" t="s">
        <v>292</v>
      </c>
      <c r="D7" t="s">
        <v>293</v>
      </c>
      <c r="E7" t="s">
        <v>304</v>
      </c>
      <c r="F7" t="s">
        <v>305</v>
      </c>
      <c r="G7">
        <v>1</v>
      </c>
      <c r="H7">
        <v>144</v>
      </c>
      <c r="I7">
        <v>144</v>
      </c>
      <c r="J7">
        <v>1</v>
      </c>
      <c r="K7">
        <v>137.66999999999999</v>
      </c>
      <c r="L7">
        <v>137.66999999999999</v>
      </c>
      <c r="M7">
        <v>2</v>
      </c>
      <c r="N7">
        <v>281.66999999999996</v>
      </c>
      <c r="O7">
        <v>140.84</v>
      </c>
    </row>
    <row r="8" spans="1:15" x14ac:dyDescent="0.35">
      <c r="A8" t="s">
        <v>290</v>
      </c>
      <c r="B8" t="s">
        <v>291</v>
      </c>
      <c r="C8" t="s">
        <v>292</v>
      </c>
      <c r="D8" t="s">
        <v>293</v>
      </c>
      <c r="E8" t="s">
        <v>306</v>
      </c>
      <c r="F8" t="s">
        <v>307</v>
      </c>
      <c r="G8">
        <v>0</v>
      </c>
      <c r="H8">
        <v>0</v>
      </c>
      <c r="I8">
        <v>0</v>
      </c>
      <c r="J8">
        <v>0</v>
      </c>
      <c r="K8">
        <v>0</v>
      </c>
      <c r="L8">
        <v>0</v>
      </c>
      <c r="M8">
        <v>0</v>
      </c>
      <c r="N8">
        <v>0</v>
      </c>
      <c r="O8">
        <v>0</v>
      </c>
    </row>
    <row r="9" spans="1:15" x14ac:dyDescent="0.35">
      <c r="A9" t="s">
        <v>290</v>
      </c>
      <c r="B9" t="s">
        <v>291</v>
      </c>
      <c r="C9" t="s">
        <v>292</v>
      </c>
      <c r="D9" t="s">
        <v>293</v>
      </c>
      <c r="E9" t="s">
        <v>308</v>
      </c>
      <c r="F9" t="s">
        <v>309</v>
      </c>
      <c r="G9">
        <v>0</v>
      </c>
      <c r="H9">
        <v>0</v>
      </c>
      <c r="I9">
        <v>0</v>
      </c>
      <c r="J9">
        <v>0</v>
      </c>
      <c r="K9">
        <v>0</v>
      </c>
      <c r="L9">
        <v>0</v>
      </c>
      <c r="M9">
        <v>0</v>
      </c>
      <c r="N9">
        <v>0</v>
      </c>
      <c r="O9">
        <v>0</v>
      </c>
    </row>
    <row r="10" spans="1:15" x14ac:dyDescent="0.35">
      <c r="A10" t="s">
        <v>290</v>
      </c>
      <c r="B10" t="s">
        <v>291</v>
      </c>
      <c r="C10" t="s">
        <v>292</v>
      </c>
      <c r="D10" t="s">
        <v>293</v>
      </c>
      <c r="E10" t="s">
        <v>310</v>
      </c>
      <c r="F10" t="s">
        <v>311</v>
      </c>
      <c r="G10">
        <v>1309</v>
      </c>
      <c r="H10">
        <v>158525.17000000001</v>
      </c>
      <c r="I10">
        <v>121.1</v>
      </c>
      <c r="J10">
        <v>356</v>
      </c>
      <c r="K10">
        <v>38542.909999999989</v>
      </c>
      <c r="L10">
        <v>108.27</v>
      </c>
      <c r="M10">
        <v>1665</v>
      </c>
      <c r="N10">
        <v>197068.08000000002</v>
      </c>
      <c r="O10">
        <v>118.36</v>
      </c>
    </row>
    <row r="11" spans="1:15" x14ac:dyDescent="0.35">
      <c r="A11" t="s">
        <v>290</v>
      </c>
      <c r="B11" t="s">
        <v>291</v>
      </c>
      <c r="C11" t="s">
        <v>292</v>
      </c>
      <c r="D11" t="s">
        <v>293</v>
      </c>
      <c r="E11" t="s">
        <v>312</v>
      </c>
      <c r="F11" t="s">
        <v>313</v>
      </c>
      <c r="G11">
        <v>1309</v>
      </c>
      <c r="H11">
        <v>158525.17000000001</v>
      </c>
      <c r="I11">
        <v>121.1</v>
      </c>
      <c r="J11">
        <v>356</v>
      </c>
      <c r="K11">
        <v>38542.909999999989</v>
      </c>
      <c r="L11">
        <v>108.27</v>
      </c>
      <c r="M11">
        <v>1665</v>
      </c>
      <c r="N11">
        <v>197068.08000000002</v>
      </c>
      <c r="O11">
        <v>118.36</v>
      </c>
    </row>
    <row r="12" spans="1:15" x14ac:dyDescent="0.35">
      <c r="A12" t="s">
        <v>290</v>
      </c>
      <c r="B12" t="s">
        <v>291</v>
      </c>
      <c r="C12" t="s">
        <v>292</v>
      </c>
      <c r="D12" t="s">
        <v>314</v>
      </c>
      <c r="E12" t="s">
        <v>294</v>
      </c>
      <c r="F12" t="s">
        <v>315</v>
      </c>
      <c r="G12">
        <v>3</v>
      </c>
      <c r="H12">
        <v>336.47</v>
      </c>
      <c r="I12">
        <v>112.16</v>
      </c>
      <c r="J12">
        <v>0</v>
      </c>
      <c r="K12">
        <v>0</v>
      </c>
      <c r="L12">
        <v>0</v>
      </c>
      <c r="M12">
        <v>3</v>
      </c>
      <c r="N12">
        <v>336.47</v>
      </c>
      <c r="O12">
        <v>112.16</v>
      </c>
    </row>
    <row r="13" spans="1:15" x14ac:dyDescent="0.35">
      <c r="A13" t="s">
        <v>290</v>
      </c>
      <c r="B13" t="s">
        <v>291</v>
      </c>
      <c r="C13" t="s">
        <v>292</v>
      </c>
      <c r="D13" t="s">
        <v>314</v>
      </c>
      <c r="E13" t="s">
        <v>296</v>
      </c>
      <c r="F13" t="s">
        <v>316</v>
      </c>
      <c r="G13">
        <v>64</v>
      </c>
      <c r="H13">
        <v>8586.739999999998</v>
      </c>
      <c r="I13">
        <v>134.16999999999999</v>
      </c>
      <c r="J13">
        <v>0</v>
      </c>
      <c r="K13">
        <v>0</v>
      </c>
      <c r="L13">
        <v>0</v>
      </c>
      <c r="M13">
        <v>64</v>
      </c>
      <c r="N13">
        <v>8586.739999999998</v>
      </c>
      <c r="O13">
        <v>134.16999999999999</v>
      </c>
    </row>
    <row r="14" spans="1:15" x14ac:dyDescent="0.35">
      <c r="A14" t="s">
        <v>290</v>
      </c>
      <c r="B14" t="s">
        <v>291</v>
      </c>
      <c r="C14" t="s">
        <v>292</v>
      </c>
      <c r="D14" t="s">
        <v>314</v>
      </c>
      <c r="E14" t="s">
        <v>298</v>
      </c>
      <c r="F14" t="s">
        <v>317</v>
      </c>
      <c r="G14">
        <v>2</v>
      </c>
      <c r="H14">
        <v>284.24</v>
      </c>
      <c r="I14">
        <v>142.12</v>
      </c>
      <c r="J14">
        <v>0</v>
      </c>
      <c r="K14">
        <v>0</v>
      </c>
      <c r="L14">
        <v>0</v>
      </c>
      <c r="M14">
        <v>2</v>
      </c>
      <c r="N14">
        <v>284.24</v>
      </c>
      <c r="O14">
        <v>142.12</v>
      </c>
    </row>
    <row r="15" spans="1:15" x14ac:dyDescent="0.35">
      <c r="A15" t="s">
        <v>290</v>
      </c>
      <c r="B15" t="s">
        <v>291</v>
      </c>
      <c r="C15" t="s">
        <v>292</v>
      </c>
      <c r="D15" t="s">
        <v>314</v>
      </c>
      <c r="E15" t="s">
        <v>300</v>
      </c>
      <c r="F15" t="s">
        <v>318</v>
      </c>
      <c r="G15">
        <v>0</v>
      </c>
      <c r="H15">
        <v>0</v>
      </c>
      <c r="I15">
        <v>0</v>
      </c>
      <c r="J15">
        <v>0</v>
      </c>
      <c r="K15">
        <v>0</v>
      </c>
      <c r="L15">
        <v>0</v>
      </c>
      <c r="M15">
        <v>0</v>
      </c>
      <c r="N15">
        <v>0</v>
      </c>
      <c r="O15">
        <v>0</v>
      </c>
    </row>
    <row r="16" spans="1:15" x14ac:dyDescent="0.35">
      <c r="A16" t="s">
        <v>290</v>
      </c>
      <c r="B16" t="s">
        <v>291</v>
      </c>
      <c r="C16" t="s">
        <v>292</v>
      </c>
      <c r="D16" t="s">
        <v>314</v>
      </c>
      <c r="E16" t="s">
        <v>306</v>
      </c>
      <c r="F16" t="s">
        <v>319</v>
      </c>
      <c r="G16">
        <v>0</v>
      </c>
      <c r="H16">
        <v>0</v>
      </c>
      <c r="I16">
        <v>0</v>
      </c>
      <c r="J16">
        <v>0</v>
      </c>
      <c r="K16">
        <v>0</v>
      </c>
      <c r="L16">
        <v>0</v>
      </c>
      <c r="M16">
        <v>0</v>
      </c>
      <c r="N16">
        <v>0</v>
      </c>
      <c r="O16">
        <v>0</v>
      </c>
    </row>
    <row r="17" spans="1:15" x14ac:dyDescent="0.35">
      <c r="A17" t="s">
        <v>290</v>
      </c>
      <c r="B17" t="s">
        <v>291</v>
      </c>
      <c r="C17" t="s">
        <v>292</v>
      </c>
      <c r="D17" t="s">
        <v>314</v>
      </c>
      <c r="E17" t="s">
        <v>308</v>
      </c>
      <c r="F17" t="s">
        <v>320</v>
      </c>
      <c r="G17">
        <v>0</v>
      </c>
      <c r="H17">
        <v>0</v>
      </c>
      <c r="I17">
        <v>0</v>
      </c>
      <c r="J17">
        <v>0</v>
      </c>
      <c r="K17">
        <v>0</v>
      </c>
      <c r="L17">
        <v>0</v>
      </c>
      <c r="M17">
        <v>0</v>
      </c>
      <c r="N17">
        <v>0</v>
      </c>
      <c r="O17">
        <v>0</v>
      </c>
    </row>
    <row r="18" spans="1:15" x14ac:dyDescent="0.35">
      <c r="A18" t="s">
        <v>290</v>
      </c>
      <c r="B18" t="s">
        <v>291</v>
      </c>
      <c r="C18" t="s">
        <v>292</v>
      </c>
      <c r="D18" t="s">
        <v>314</v>
      </c>
      <c r="E18" t="s">
        <v>312</v>
      </c>
      <c r="F18" t="s">
        <v>321</v>
      </c>
      <c r="G18">
        <v>69</v>
      </c>
      <c r="H18">
        <v>9207.4499999999971</v>
      </c>
      <c r="I18">
        <v>133.44</v>
      </c>
      <c r="J18">
        <v>0</v>
      </c>
      <c r="K18">
        <v>0</v>
      </c>
      <c r="L18">
        <v>0</v>
      </c>
      <c r="M18">
        <v>69</v>
      </c>
      <c r="N18">
        <v>9207.4499999999971</v>
      </c>
      <c r="O18">
        <v>133.44</v>
      </c>
    </row>
    <row r="19" spans="1:15" x14ac:dyDescent="0.35">
      <c r="A19" t="s">
        <v>290</v>
      </c>
      <c r="B19" t="s">
        <v>291</v>
      </c>
      <c r="C19" t="s">
        <v>292</v>
      </c>
      <c r="D19" t="s">
        <v>314</v>
      </c>
      <c r="E19" t="s">
        <v>310</v>
      </c>
      <c r="F19" t="s">
        <v>322</v>
      </c>
      <c r="G19">
        <v>69</v>
      </c>
      <c r="H19">
        <v>9207.4499999999971</v>
      </c>
      <c r="I19">
        <v>133.44</v>
      </c>
      <c r="J19">
        <v>0</v>
      </c>
      <c r="K19">
        <v>0</v>
      </c>
      <c r="L19">
        <v>0</v>
      </c>
      <c r="M19">
        <v>69</v>
      </c>
      <c r="N19">
        <v>9207.4499999999971</v>
      </c>
      <c r="O19">
        <v>133.44</v>
      </c>
    </row>
    <row r="20" spans="1:15" x14ac:dyDescent="0.35">
      <c r="A20" t="s">
        <v>290</v>
      </c>
      <c r="B20" t="s">
        <v>291</v>
      </c>
      <c r="C20" t="s">
        <v>292</v>
      </c>
      <c r="D20" t="s">
        <v>323</v>
      </c>
      <c r="E20" t="s">
        <v>294</v>
      </c>
      <c r="F20" t="s">
        <v>324</v>
      </c>
      <c r="G20">
        <v>1518</v>
      </c>
      <c r="H20">
        <v>133993.20000000001</v>
      </c>
      <c r="I20">
        <v>88.27</v>
      </c>
      <c r="J20">
        <v>0</v>
      </c>
      <c r="K20">
        <v>0</v>
      </c>
      <c r="L20">
        <v>0</v>
      </c>
      <c r="M20">
        <v>1518</v>
      </c>
      <c r="N20">
        <v>133993.20000000001</v>
      </c>
      <c r="O20">
        <v>88.27</v>
      </c>
    </row>
    <row r="21" spans="1:15" x14ac:dyDescent="0.35">
      <c r="A21" t="s">
        <v>290</v>
      </c>
      <c r="B21" t="s">
        <v>291</v>
      </c>
      <c r="C21" t="s">
        <v>292</v>
      </c>
      <c r="D21" t="s">
        <v>323</v>
      </c>
      <c r="E21" t="s">
        <v>296</v>
      </c>
      <c r="F21" t="s">
        <v>325</v>
      </c>
      <c r="G21">
        <v>2308</v>
      </c>
      <c r="H21">
        <v>234742.27</v>
      </c>
      <c r="I21">
        <v>101.71</v>
      </c>
      <c r="J21">
        <v>0</v>
      </c>
      <c r="K21">
        <v>0</v>
      </c>
      <c r="L21">
        <v>0</v>
      </c>
      <c r="M21">
        <v>2308</v>
      </c>
      <c r="N21">
        <v>234742.27</v>
      </c>
      <c r="O21">
        <v>101.71</v>
      </c>
    </row>
    <row r="22" spans="1:15" x14ac:dyDescent="0.35">
      <c r="A22" t="s">
        <v>290</v>
      </c>
      <c r="B22" t="s">
        <v>291</v>
      </c>
      <c r="C22" t="s">
        <v>292</v>
      </c>
      <c r="D22" t="s">
        <v>323</v>
      </c>
      <c r="E22" t="s">
        <v>298</v>
      </c>
      <c r="F22" t="s">
        <v>326</v>
      </c>
      <c r="G22">
        <v>2461</v>
      </c>
      <c r="H22">
        <v>270328.28000000003</v>
      </c>
      <c r="I22">
        <v>109.84</v>
      </c>
      <c r="J22">
        <v>0</v>
      </c>
      <c r="K22">
        <v>0</v>
      </c>
      <c r="L22">
        <v>0</v>
      </c>
      <c r="M22">
        <v>2461</v>
      </c>
      <c r="N22">
        <v>270328.28000000003</v>
      </c>
      <c r="O22">
        <v>109.84</v>
      </c>
    </row>
    <row r="23" spans="1:15" x14ac:dyDescent="0.35">
      <c r="A23" t="s">
        <v>290</v>
      </c>
      <c r="B23" t="s">
        <v>291</v>
      </c>
      <c r="C23" t="s">
        <v>292</v>
      </c>
      <c r="D23" t="s">
        <v>323</v>
      </c>
      <c r="E23" t="s">
        <v>300</v>
      </c>
      <c r="F23" t="s">
        <v>327</v>
      </c>
      <c r="G23">
        <v>161</v>
      </c>
      <c r="H23">
        <v>19434.660000000003</v>
      </c>
      <c r="I23">
        <v>120.71</v>
      </c>
      <c r="J23">
        <v>0</v>
      </c>
      <c r="K23">
        <v>0</v>
      </c>
      <c r="L23">
        <v>0</v>
      </c>
      <c r="M23">
        <v>161</v>
      </c>
      <c r="N23">
        <v>19434.660000000003</v>
      </c>
      <c r="O23">
        <v>120.71</v>
      </c>
    </row>
    <row r="24" spans="1:15" x14ac:dyDescent="0.35">
      <c r="A24" t="s">
        <v>290</v>
      </c>
      <c r="B24" t="s">
        <v>291</v>
      </c>
      <c r="C24" t="s">
        <v>292</v>
      </c>
      <c r="D24" t="s">
        <v>323</v>
      </c>
      <c r="E24" t="s">
        <v>302</v>
      </c>
      <c r="F24" t="s">
        <v>328</v>
      </c>
      <c r="G24">
        <v>8</v>
      </c>
      <c r="H24">
        <v>986.64</v>
      </c>
      <c r="I24">
        <v>123.33</v>
      </c>
      <c r="J24">
        <v>0</v>
      </c>
      <c r="K24">
        <v>0</v>
      </c>
      <c r="L24">
        <v>0</v>
      </c>
      <c r="M24">
        <v>8</v>
      </c>
      <c r="N24">
        <v>986.64</v>
      </c>
      <c r="O24">
        <v>123.33</v>
      </c>
    </row>
    <row r="25" spans="1:15" x14ac:dyDescent="0.35">
      <c r="A25" t="s">
        <v>290</v>
      </c>
      <c r="B25" t="s">
        <v>291</v>
      </c>
      <c r="C25" t="s">
        <v>292</v>
      </c>
      <c r="D25" t="s">
        <v>323</v>
      </c>
      <c r="E25" t="s">
        <v>304</v>
      </c>
      <c r="F25" t="s">
        <v>329</v>
      </c>
      <c r="G25">
        <v>1</v>
      </c>
      <c r="H25">
        <v>145</v>
      </c>
      <c r="I25">
        <v>145</v>
      </c>
      <c r="J25">
        <v>0</v>
      </c>
      <c r="K25">
        <v>0</v>
      </c>
      <c r="L25">
        <v>0</v>
      </c>
      <c r="M25">
        <v>1</v>
      </c>
      <c r="N25">
        <v>145</v>
      </c>
      <c r="O25">
        <v>145</v>
      </c>
    </row>
    <row r="26" spans="1:15" x14ac:dyDescent="0.35">
      <c r="A26" t="s">
        <v>290</v>
      </c>
      <c r="B26" t="s">
        <v>291</v>
      </c>
      <c r="C26" t="s">
        <v>292</v>
      </c>
      <c r="D26" t="s">
        <v>323</v>
      </c>
      <c r="E26" t="s">
        <v>306</v>
      </c>
      <c r="F26" t="s">
        <v>330</v>
      </c>
      <c r="G26">
        <v>4</v>
      </c>
      <c r="H26">
        <v>323.27999999999997</v>
      </c>
      <c r="I26">
        <v>80.819999999999993</v>
      </c>
      <c r="J26">
        <v>0</v>
      </c>
      <c r="K26">
        <v>0</v>
      </c>
      <c r="L26">
        <v>0</v>
      </c>
      <c r="M26">
        <v>4</v>
      </c>
      <c r="N26">
        <v>323.27999999999997</v>
      </c>
      <c r="O26">
        <v>80.819999999999993</v>
      </c>
    </row>
    <row r="27" spans="1:15" x14ac:dyDescent="0.35">
      <c r="A27" t="s">
        <v>290</v>
      </c>
      <c r="B27" t="s">
        <v>291</v>
      </c>
      <c r="C27" t="s">
        <v>292</v>
      </c>
      <c r="D27" t="s">
        <v>323</v>
      </c>
      <c r="E27" t="s">
        <v>308</v>
      </c>
      <c r="F27" t="s">
        <v>331</v>
      </c>
      <c r="G27">
        <v>0</v>
      </c>
      <c r="H27">
        <v>0</v>
      </c>
      <c r="I27">
        <v>0</v>
      </c>
      <c r="J27">
        <v>0</v>
      </c>
      <c r="K27">
        <v>0</v>
      </c>
      <c r="L27">
        <v>0</v>
      </c>
      <c r="M27">
        <v>0</v>
      </c>
      <c r="N27">
        <v>0</v>
      </c>
      <c r="O27">
        <v>0</v>
      </c>
    </row>
    <row r="28" spans="1:15" x14ac:dyDescent="0.35">
      <c r="A28" t="s">
        <v>290</v>
      </c>
      <c r="B28" t="s">
        <v>291</v>
      </c>
      <c r="C28" t="s">
        <v>292</v>
      </c>
      <c r="D28" t="s">
        <v>323</v>
      </c>
      <c r="E28" t="s">
        <v>310</v>
      </c>
      <c r="F28" t="s">
        <v>332</v>
      </c>
      <c r="G28">
        <v>6461</v>
      </c>
      <c r="H28">
        <v>659953.33000000007</v>
      </c>
      <c r="I28">
        <v>102.14</v>
      </c>
      <c r="J28">
        <v>0</v>
      </c>
      <c r="K28">
        <v>0</v>
      </c>
      <c r="L28">
        <v>0</v>
      </c>
      <c r="M28">
        <v>6461</v>
      </c>
      <c r="N28">
        <v>659953.33000000007</v>
      </c>
      <c r="O28">
        <v>102.14</v>
      </c>
    </row>
    <row r="29" spans="1:15" x14ac:dyDescent="0.35">
      <c r="A29" t="s">
        <v>290</v>
      </c>
      <c r="B29" t="s">
        <v>291</v>
      </c>
      <c r="C29" t="s">
        <v>292</v>
      </c>
      <c r="D29" t="s">
        <v>323</v>
      </c>
      <c r="E29" t="s">
        <v>312</v>
      </c>
      <c r="F29" t="s">
        <v>333</v>
      </c>
      <c r="G29">
        <v>6461</v>
      </c>
      <c r="H29">
        <v>659953.33000000007</v>
      </c>
      <c r="I29">
        <v>102.14</v>
      </c>
      <c r="J29">
        <v>0</v>
      </c>
      <c r="K29">
        <v>0</v>
      </c>
      <c r="L29">
        <v>0</v>
      </c>
      <c r="M29">
        <v>6461</v>
      </c>
      <c r="N29">
        <v>659953.33000000007</v>
      </c>
      <c r="O29">
        <v>102.14</v>
      </c>
    </row>
    <row r="30" spans="1:15" x14ac:dyDescent="0.35">
      <c r="A30" t="s">
        <v>290</v>
      </c>
      <c r="B30" t="s">
        <v>291</v>
      </c>
      <c r="C30" t="s">
        <v>292</v>
      </c>
      <c r="D30" t="s">
        <v>334</v>
      </c>
      <c r="E30" t="s">
        <v>312</v>
      </c>
      <c r="F30" t="s">
        <v>335</v>
      </c>
      <c r="G30">
        <v>7863</v>
      </c>
      <c r="H30">
        <v>818478.50000000012</v>
      </c>
      <c r="I30">
        <v>105.34</v>
      </c>
      <c r="J30">
        <v>356</v>
      </c>
      <c r="K30">
        <v>38542.909999999989</v>
      </c>
      <c r="L30">
        <v>108.27</v>
      </c>
      <c r="M30">
        <v>8219</v>
      </c>
      <c r="N30">
        <v>857021.41000000015</v>
      </c>
      <c r="O30">
        <v>105.47</v>
      </c>
    </row>
    <row r="31" spans="1:15" x14ac:dyDescent="0.35">
      <c r="A31" t="s">
        <v>290</v>
      </c>
      <c r="B31" t="s">
        <v>291</v>
      </c>
      <c r="C31" t="s">
        <v>292</v>
      </c>
      <c r="D31" t="s">
        <v>334</v>
      </c>
      <c r="E31" t="s">
        <v>308</v>
      </c>
      <c r="F31" t="s">
        <v>336</v>
      </c>
      <c r="G31">
        <v>0</v>
      </c>
      <c r="H31">
        <v>0</v>
      </c>
      <c r="I31">
        <v>0</v>
      </c>
      <c r="J31">
        <v>0</v>
      </c>
      <c r="K31">
        <v>0</v>
      </c>
      <c r="L31">
        <v>0</v>
      </c>
      <c r="M31">
        <v>0</v>
      </c>
      <c r="N31">
        <v>0</v>
      </c>
      <c r="O31">
        <v>0</v>
      </c>
    </row>
    <row r="32" spans="1:15" x14ac:dyDescent="0.35">
      <c r="A32" t="s">
        <v>290</v>
      </c>
      <c r="B32" t="s">
        <v>291</v>
      </c>
      <c r="C32" t="s">
        <v>292</v>
      </c>
      <c r="D32" t="s">
        <v>337</v>
      </c>
      <c r="E32" t="s">
        <v>337</v>
      </c>
      <c r="F32" t="s">
        <v>338</v>
      </c>
      <c r="G32">
        <v>353</v>
      </c>
      <c r="J32">
        <v>0</v>
      </c>
      <c r="M32">
        <v>353</v>
      </c>
    </row>
    <row r="33" spans="1:15" x14ac:dyDescent="0.35">
      <c r="A33" t="s">
        <v>290</v>
      </c>
      <c r="B33" t="s">
        <v>291</v>
      </c>
      <c r="C33" t="s">
        <v>292</v>
      </c>
      <c r="D33" t="s">
        <v>339</v>
      </c>
      <c r="E33" t="s">
        <v>294</v>
      </c>
      <c r="F33" t="s">
        <v>340</v>
      </c>
      <c r="G33">
        <v>1077</v>
      </c>
      <c r="H33">
        <v>106140.18</v>
      </c>
      <c r="I33">
        <v>98.55</v>
      </c>
      <c r="J33">
        <v>0</v>
      </c>
      <c r="K33">
        <v>0</v>
      </c>
      <c r="L33">
        <v>0</v>
      </c>
      <c r="M33">
        <v>1077</v>
      </c>
      <c r="N33">
        <v>106140.18</v>
      </c>
      <c r="O33">
        <v>98.55</v>
      </c>
    </row>
    <row r="34" spans="1:15" x14ac:dyDescent="0.35">
      <c r="A34" t="s">
        <v>290</v>
      </c>
      <c r="B34" t="s">
        <v>291</v>
      </c>
      <c r="C34" t="s">
        <v>292</v>
      </c>
      <c r="D34" t="s">
        <v>339</v>
      </c>
      <c r="E34" t="s">
        <v>296</v>
      </c>
      <c r="F34" t="s">
        <v>341</v>
      </c>
      <c r="G34">
        <v>910</v>
      </c>
      <c r="H34">
        <v>102038.18000000001</v>
      </c>
      <c r="I34">
        <v>112.13</v>
      </c>
      <c r="J34">
        <v>0</v>
      </c>
      <c r="K34">
        <v>0</v>
      </c>
      <c r="L34">
        <v>0</v>
      </c>
      <c r="M34">
        <v>910</v>
      </c>
      <c r="N34">
        <v>102038.18000000001</v>
      </c>
      <c r="O34">
        <v>112.13</v>
      </c>
    </row>
    <row r="35" spans="1:15" x14ac:dyDescent="0.35">
      <c r="A35" t="s">
        <v>290</v>
      </c>
      <c r="B35" t="s">
        <v>291</v>
      </c>
      <c r="C35" t="s">
        <v>292</v>
      </c>
      <c r="D35" t="s">
        <v>339</v>
      </c>
      <c r="E35" t="s">
        <v>298</v>
      </c>
      <c r="F35" t="s">
        <v>342</v>
      </c>
      <c r="G35">
        <v>16</v>
      </c>
      <c r="H35">
        <v>2088.91</v>
      </c>
      <c r="I35">
        <v>130.56</v>
      </c>
      <c r="J35">
        <v>0</v>
      </c>
      <c r="K35">
        <v>0</v>
      </c>
      <c r="L35">
        <v>0</v>
      </c>
      <c r="M35">
        <v>16</v>
      </c>
      <c r="N35">
        <v>2088.91</v>
      </c>
      <c r="O35">
        <v>130.56</v>
      </c>
    </row>
    <row r="36" spans="1:15" x14ac:dyDescent="0.35">
      <c r="A36" t="s">
        <v>290</v>
      </c>
      <c r="B36" t="s">
        <v>291</v>
      </c>
      <c r="C36" t="s">
        <v>292</v>
      </c>
      <c r="D36" t="s">
        <v>339</v>
      </c>
      <c r="E36" t="s">
        <v>300</v>
      </c>
      <c r="F36" t="s">
        <v>343</v>
      </c>
      <c r="G36">
        <v>1</v>
      </c>
      <c r="H36">
        <v>138.80000000000001</v>
      </c>
      <c r="I36">
        <v>138.80000000000001</v>
      </c>
      <c r="J36">
        <v>0</v>
      </c>
      <c r="K36">
        <v>0</v>
      </c>
      <c r="L36">
        <v>0</v>
      </c>
      <c r="M36">
        <v>1</v>
      </c>
      <c r="N36">
        <v>138.80000000000001</v>
      </c>
      <c r="O36">
        <v>138.80000000000001</v>
      </c>
    </row>
    <row r="37" spans="1:15" x14ac:dyDescent="0.35">
      <c r="A37" t="s">
        <v>290</v>
      </c>
      <c r="B37" t="s">
        <v>291</v>
      </c>
      <c r="C37" t="s">
        <v>292</v>
      </c>
      <c r="D37" t="s">
        <v>339</v>
      </c>
      <c r="E37" t="s">
        <v>306</v>
      </c>
      <c r="F37" t="s">
        <v>344</v>
      </c>
      <c r="G37">
        <v>81</v>
      </c>
      <c r="H37">
        <v>6974.9500000000007</v>
      </c>
      <c r="I37">
        <v>86.11</v>
      </c>
      <c r="J37">
        <v>0</v>
      </c>
      <c r="K37">
        <v>0</v>
      </c>
      <c r="L37">
        <v>0</v>
      </c>
      <c r="M37">
        <v>81</v>
      </c>
      <c r="N37">
        <v>6974.9500000000007</v>
      </c>
      <c r="O37">
        <v>86.11</v>
      </c>
    </row>
    <row r="38" spans="1:15" x14ac:dyDescent="0.35">
      <c r="A38" t="s">
        <v>290</v>
      </c>
      <c r="B38" t="s">
        <v>291</v>
      </c>
      <c r="C38" t="s">
        <v>292</v>
      </c>
      <c r="D38" t="s">
        <v>339</v>
      </c>
      <c r="E38" t="s">
        <v>308</v>
      </c>
      <c r="F38" t="s">
        <v>345</v>
      </c>
      <c r="G38">
        <v>44</v>
      </c>
      <c r="H38">
        <v>7478.6399999999994</v>
      </c>
      <c r="I38">
        <v>169.97</v>
      </c>
      <c r="J38">
        <v>0</v>
      </c>
      <c r="K38">
        <v>0</v>
      </c>
      <c r="L38">
        <v>0</v>
      </c>
      <c r="M38">
        <v>44</v>
      </c>
      <c r="N38">
        <v>7478.6399999999994</v>
      </c>
      <c r="O38">
        <v>169.97</v>
      </c>
    </row>
    <row r="39" spans="1:15" x14ac:dyDescent="0.35">
      <c r="A39" t="s">
        <v>290</v>
      </c>
      <c r="B39" t="s">
        <v>291</v>
      </c>
      <c r="C39" t="s">
        <v>292</v>
      </c>
      <c r="D39" t="s">
        <v>339</v>
      </c>
      <c r="E39" t="s">
        <v>310</v>
      </c>
      <c r="F39" t="s">
        <v>346</v>
      </c>
      <c r="G39">
        <v>2129</v>
      </c>
      <c r="H39">
        <v>224859.65999999997</v>
      </c>
      <c r="I39">
        <v>105.62</v>
      </c>
      <c r="J39">
        <v>0</v>
      </c>
      <c r="K39">
        <v>0</v>
      </c>
      <c r="L39">
        <v>0</v>
      </c>
      <c r="M39">
        <v>2129</v>
      </c>
      <c r="N39">
        <v>224859.65999999997</v>
      </c>
      <c r="O39">
        <v>105.62</v>
      </c>
    </row>
    <row r="40" spans="1:15" x14ac:dyDescent="0.35">
      <c r="A40" t="s">
        <v>290</v>
      </c>
      <c r="B40" t="s">
        <v>291</v>
      </c>
      <c r="C40" t="s">
        <v>292</v>
      </c>
      <c r="D40" t="s">
        <v>339</v>
      </c>
      <c r="E40" t="s">
        <v>312</v>
      </c>
      <c r="F40" t="s">
        <v>347</v>
      </c>
      <c r="G40">
        <v>2085</v>
      </c>
      <c r="H40">
        <v>217381.02</v>
      </c>
      <c r="I40">
        <v>104.26</v>
      </c>
      <c r="J40">
        <v>0</v>
      </c>
      <c r="K40">
        <v>0</v>
      </c>
      <c r="L40">
        <v>0</v>
      </c>
      <c r="M40">
        <v>2085</v>
      </c>
      <c r="N40">
        <v>217381.02</v>
      </c>
      <c r="O40">
        <v>104.26</v>
      </c>
    </row>
    <row r="41" spans="1:15" x14ac:dyDescent="0.35">
      <c r="A41" t="s">
        <v>290</v>
      </c>
      <c r="B41" t="s">
        <v>291</v>
      </c>
      <c r="C41" t="s">
        <v>292</v>
      </c>
      <c r="D41" t="s">
        <v>348</v>
      </c>
      <c r="E41" t="s">
        <v>349</v>
      </c>
      <c r="F41" t="s">
        <v>350</v>
      </c>
      <c r="G41">
        <v>2260</v>
      </c>
      <c r="H41">
        <v>234067.11</v>
      </c>
      <c r="I41">
        <v>106.49</v>
      </c>
      <c r="J41">
        <v>0</v>
      </c>
      <c r="K41">
        <v>0</v>
      </c>
      <c r="L41">
        <v>0</v>
      </c>
      <c r="M41">
        <v>2260</v>
      </c>
      <c r="N41">
        <v>234067.11</v>
      </c>
      <c r="O41">
        <v>106.49</v>
      </c>
    </row>
    <row r="42" spans="1:15" x14ac:dyDescent="0.35">
      <c r="A42" t="s">
        <v>351</v>
      </c>
      <c r="B42" t="s">
        <v>352</v>
      </c>
      <c r="C42" t="s">
        <v>292</v>
      </c>
      <c r="D42" t="s">
        <v>293</v>
      </c>
      <c r="E42" t="s">
        <v>294</v>
      </c>
      <c r="F42" t="s">
        <v>353</v>
      </c>
      <c r="G42">
        <v>36</v>
      </c>
      <c r="H42">
        <v>3899.25</v>
      </c>
      <c r="I42">
        <v>108.31</v>
      </c>
      <c r="J42">
        <v>0</v>
      </c>
      <c r="K42">
        <v>0</v>
      </c>
      <c r="L42">
        <v>0</v>
      </c>
      <c r="M42">
        <v>36</v>
      </c>
      <c r="N42">
        <v>3899.25</v>
      </c>
      <c r="O42">
        <v>108.31</v>
      </c>
    </row>
    <row r="43" spans="1:15" x14ac:dyDescent="0.35">
      <c r="A43" t="s">
        <v>351</v>
      </c>
      <c r="B43" t="s">
        <v>352</v>
      </c>
      <c r="C43" t="s">
        <v>292</v>
      </c>
      <c r="D43" t="s">
        <v>293</v>
      </c>
      <c r="E43" t="s">
        <v>296</v>
      </c>
      <c r="F43" t="s">
        <v>354</v>
      </c>
      <c r="G43">
        <v>681</v>
      </c>
      <c r="H43">
        <v>83176.900000000009</v>
      </c>
      <c r="I43">
        <v>122.14</v>
      </c>
      <c r="J43">
        <v>0</v>
      </c>
      <c r="K43">
        <v>0</v>
      </c>
      <c r="L43">
        <v>0</v>
      </c>
      <c r="M43">
        <v>681</v>
      </c>
      <c r="N43">
        <v>83176.900000000009</v>
      </c>
      <c r="O43">
        <v>122.14</v>
      </c>
    </row>
    <row r="44" spans="1:15" x14ac:dyDescent="0.35">
      <c r="A44" t="s">
        <v>351</v>
      </c>
      <c r="B44" t="s">
        <v>352</v>
      </c>
      <c r="C44" t="s">
        <v>292</v>
      </c>
      <c r="D44" t="s">
        <v>293</v>
      </c>
      <c r="E44" t="s">
        <v>298</v>
      </c>
      <c r="F44" t="s">
        <v>355</v>
      </c>
      <c r="G44">
        <v>340</v>
      </c>
      <c r="H44">
        <v>46134.710000000006</v>
      </c>
      <c r="I44">
        <v>135.69</v>
      </c>
      <c r="J44">
        <v>0</v>
      </c>
      <c r="K44">
        <v>0</v>
      </c>
      <c r="L44">
        <v>0</v>
      </c>
      <c r="M44">
        <v>340</v>
      </c>
      <c r="N44">
        <v>46134.710000000006</v>
      </c>
      <c r="O44">
        <v>135.69</v>
      </c>
    </row>
    <row r="45" spans="1:15" x14ac:dyDescent="0.35">
      <c r="A45" t="s">
        <v>351</v>
      </c>
      <c r="B45" t="s">
        <v>352</v>
      </c>
      <c r="C45" t="s">
        <v>292</v>
      </c>
      <c r="D45" t="s">
        <v>293</v>
      </c>
      <c r="E45" t="s">
        <v>300</v>
      </c>
      <c r="F45" t="s">
        <v>356</v>
      </c>
      <c r="G45">
        <v>15</v>
      </c>
      <c r="H45">
        <v>2274.6300000000006</v>
      </c>
      <c r="I45">
        <v>151.63999999999999</v>
      </c>
      <c r="J45">
        <v>0</v>
      </c>
      <c r="K45">
        <v>0</v>
      </c>
      <c r="L45">
        <v>0</v>
      </c>
      <c r="M45">
        <v>15</v>
      </c>
      <c r="N45">
        <v>2274.6300000000006</v>
      </c>
      <c r="O45">
        <v>151.63999999999999</v>
      </c>
    </row>
    <row r="46" spans="1:15" x14ac:dyDescent="0.35">
      <c r="A46" t="s">
        <v>351</v>
      </c>
      <c r="B46" t="s">
        <v>352</v>
      </c>
      <c r="C46" t="s">
        <v>292</v>
      </c>
      <c r="D46" t="s">
        <v>293</v>
      </c>
      <c r="E46" t="s">
        <v>302</v>
      </c>
      <c r="F46" t="s">
        <v>357</v>
      </c>
      <c r="G46">
        <v>0</v>
      </c>
      <c r="H46">
        <v>0</v>
      </c>
      <c r="I46">
        <v>0</v>
      </c>
      <c r="J46">
        <v>0</v>
      </c>
      <c r="K46">
        <v>0</v>
      </c>
      <c r="L46">
        <v>0</v>
      </c>
      <c r="M46">
        <v>0</v>
      </c>
      <c r="N46">
        <v>0</v>
      </c>
      <c r="O46">
        <v>0</v>
      </c>
    </row>
    <row r="47" spans="1:15" x14ac:dyDescent="0.35">
      <c r="A47" t="s">
        <v>351</v>
      </c>
      <c r="B47" t="s">
        <v>352</v>
      </c>
      <c r="C47" t="s">
        <v>292</v>
      </c>
      <c r="D47" t="s">
        <v>293</v>
      </c>
      <c r="E47" t="s">
        <v>304</v>
      </c>
      <c r="F47" t="s">
        <v>358</v>
      </c>
      <c r="G47">
        <v>0</v>
      </c>
      <c r="H47">
        <v>0</v>
      </c>
      <c r="I47">
        <v>0</v>
      </c>
      <c r="J47">
        <v>0</v>
      </c>
      <c r="K47">
        <v>0</v>
      </c>
      <c r="L47">
        <v>0</v>
      </c>
      <c r="M47">
        <v>0</v>
      </c>
      <c r="N47">
        <v>0</v>
      </c>
      <c r="O47">
        <v>0</v>
      </c>
    </row>
    <row r="48" spans="1:15" x14ac:dyDescent="0.35">
      <c r="A48" t="s">
        <v>351</v>
      </c>
      <c r="B48" t="s">
        <v>352</v>
      </c>
      <c r="C48" t="s">
        <v>292</v>
      </c>
      <c r="D48" t="s">
        <v>293</v>
      </c>
      <c r="E48" t="s">
        <v>306</v>
      </c>
      <c r="F48" t="s">
        <v>359</v>
      </c>
      <c r="G48">
        <v>0</v>
      </c>
      <c r="H48">
        <v>0</v>
      </c>
      <c r="I48">
        <v>0</v>
      </c>
      <c r="J48">
        <v>0</v>
      </c>
      <c r="K48">
        <v>0</v>
      </c>
      <c r="L48">
        <v>0</v>
      </c>
      <c r="M48">
        <v>0</v>
      </c>
      <c r="N48">
        <v>0</v>
      </c>
      <c r="O48">
        <v>0</v>
      </c>
    </row>
    <row r="49" spans="1:15" x14ac:dyDescent="0.35">
      <c r="A49" t="s">
        <v>351</v>
      </c>
      <c r="B49" t="s">
        <v>352</v>
      </c>
      <c r="C49" t="s">
        <v>292</v>
      </c>
      <c r="D49" t="s">
        <v>293</v>
      </c>
      <c r="E49" t="s">
        <v>308</v>
      </c>
      <c r="F49" t="s">
        <v>360</v>
      </c>
      <c r="G49">
        <v>0</v>
      </c>
      <c r="H49">
        <v>0</v>
      </c>
      <c r="I49">
        <v>0</v>
      </c>
      <c r="J49">
        <v>0</v>
      </c>
      <c r="K49">
        <v>0</v>
      </c>
      <c r="L49">
        <v>0</v>
      </c>
      <c r="M49">
        <v>0</v>
      </c>
      <c r="N49">
        <v>0</v>
      </c>
      <c r="O49">
        <v>0</v>
      </c>
    </row>
    <row r="50" spans="1:15" x14ac:dyDescent="0.35">
      <c r="A50" t="s">
        <v>351</v>
      </c>
      <c r="B50" t="s">
        <v>352</v>
      </c>
      <c r="C50" t="s">
        <v>292</v>
      </c>
      <c r="D50" t="s">
        <v>293</v>
      </c>
      <c r="E50" t="s">
        <v>310</v>
      </c>
      <c r="F50" t="s">
        <v>361</v>
      </c>
      <c r="G50">
        <v>1072</v>
      </c>
      <c r="H50">
        <v>135485.49000000002</v>
      </c>
      <c r="I50">
        <v>126.39</v>
      </c>
      <c r="J50">
        <v>0</v>
      </c>
      <c r="K50">
        <v>0</v>
      </c>
      <c r="L50">
        <v>0</v>
      </c>
      <c r="M50">
        <v>1072</v>
      </c>
      <c r="N50">
        <v>135485.49000000002</v>
      </c>
      <c r="O50">
        <v>126.39</v>
      </c>
    </row>
    <row r="51" spans="1:15" x14ac:dyDescent="0.35">
      <c r="A51" t="s">
        <v>351</v>
      </c>
      <c r="B51" t="s">
        <v>352</v>
      </c>
      <c r="C51" t="s">
        <v>292</v>
      </c>
      <c r="D51" t="s">
        <v>293</v>
      </c>
      <c r="E51" t="s">
        <v>312</v>
      </c>
      <c r="F51" t="s">
        <v>362</v>
      </c>
      <c r="G51">
        <v>1072</v>
      </c>
      <c r="H51">
        <v>135485.49000000002</v>
      </c>
      <c r="I51">
        <v>126.39</v>
      </c>
      <c r="J51">
        <v>0</v>
      </c>
      <c r="K51">
        <v>0</v>
      </c>
      <c r="L51">
        <v>0</v>
      </c>
      <c r="M51">
        <v>1072</v>
      </c>
      <c r="N51">
        <v>135485.49000000002</v>
      </c>
      <c r="O51">
        <v>126.39</v>
      </c>
    </row>
    <row r="52" spans="1:15" x14ac:dyDescent="0.35">
      <c r="A52" t="s">
        <v>351</v>
      </c>
      <c r="B52" t="s">
        <v>352</v>
      </c>
      <c r="C52" t="s">
        <v>292</v>
      </c>
      <c r="D52" t="s">
        <v>314</v>
      </c>
      <c r="E52" t="s">
        <v>294</v>
      </c>
      <c r="F52" t="s">
        <v>363</v>
      </c>
      <c r="G52">
        <v>20</v>
      </c>
      <c r="H52">
        <v>3740.33</v>
      </c>
      <c r="I52">
        <v>187.02</v>
      </c>
      <c r="J52">
        <v>0</v>
      </c>
      <c r="K52">
        <v>0</v>
      </c>
      <c r="L52">
        <v>0</v>
      </c>
      <c r="M52">
        <v>20</v>
      </c>
      <c r="N52">
        <v>3740.33</v>
      </c>
      <c r="O52">
        <v>187.02</v>
      </c>
    </row>
    <row r="53" spans="1:15" x14ac:dyDescent="0.35">
      <c r="A53" t="s">
        <v>351</v>
      </c>
      <c r="B53" t="s">
        <v>352</v>
      </c>
      <c r="C53" t="s">
        <v>292</v>
      </c>
      <c r="D53" t="s">
        <v>314</v>
      </c>
      <c r="E53" t="s">
        <v>296</v>
      </c>
      <c r="F53" t="s">
        <v>364</v>
      </c>
      <c r="G53">
        <v>96</v>
      </c>
      <c r="H53">
        <v>19098.509999999998</v>
      </c>
      <c r="I53">
        <v>198.94</v>
      </c>
      <c r="J53">
        <v>0</v>
      </c>
      <c r="K53">
        <v>0</v>
      </c>
      <c r="L53">
        <v>0</v>
      </c>
      <c r="M53">
        <v>96</v>
      </c>
      <c r="N53">
        <v>19098.509999999998</v>
      </c>
      <c r="O53">
        <v>198.94</v>
      </c>
    </row>
    <row r="54" spans="1:15" x14ac:dyDescent="0.35">
      <c r="A54" t="s">
        <v>351</v>
      </c>
      <c r="B54" t="s">
        <v>352</v>
      </c>
      <c r="C54" t="s">
        <v>292</v>
      </c>
      <c r="D54" t="s">
        <v>314</v>
      </c>
      <c r="E54" t="s">
        <v>298</v>
      </c>
      <c r="F54" t="s">
        <v>365</v>
      </c>
      <c r="G54">
        <v>2</v>
      </c>
      <c r="H54">
        <v>412.4</v>
      </c>
      <c r="I54">
        <v>206.2</v>
      </c>
      <c r="J54">
        <v>0</v>
      </c>
      <c r="K54">
        <v>0</v>
      </c>
      <c r="L54">
        <v>0</v>
      </c>
      <c r="M54">
        <v>2</v>
      </c>
      <c r="N54">
        <v>412.4</v>
      </c>
      <c r="O54">
        <v>206.2</v>
      </c>
    </row>
    <row r="55" spans="1:15" x14ac:dyDescent="0.35">
      <c r="A55" t="s">
        <v>351</v>
      </c>
      <c r="B55" t="s">
        <v>352</v>
      </c>
      <c r="C55" t="s">
        <v>292</v>
      </c>
      <c r="D55" t="s">
        <v>314</v>
      </c>
      <c r="E55" t="s">
        <v>300</v>
      </c>
      <c r="F55" t="s">
        <v>366</v>
      </c>
      <c r="G55">
        <v>0</v>
      </c>
      <c r="H55">
        <v>0</v>
      </c>
      <c r="I55">
        <v>0</v>
      </c>
      <c r="J55">
        <v>0</v>
      </c>
      <c r="K55">
        <v>0</v>
      </c>
      <c r="L55">
        <v>0</v>
      </c>
      <c r="M55">
        <v>0</v>
      </c>
      <c r="N55">
        <v>0</v>
      </c>
      <c r="O55">
        <v>0</v>
      </c>
    </row>
    <row r="56" spans="1:15" x14ac:dyDescent="0.35">
      <c r="A56" t="s">
        <v>351</v>
      </c>
      <c r="B56" t="s">
        <v>352</v>
      </c>
      <c r="C56" t="s">
        <v>292</v>
      </c>
      <c r="D56" t="s">
        <v>314</v>
      </c>
      <c r="E56" t="s">
        <v>306</v>
      </c>
      <c r="F56" t="s">
        <v>367</v>
      </c>
      <c r="G56">
        <v>0</v>
      </c>
      <c r="H56">
        <v>0</v>
      </c>
      <c r="I56">
        <v>0</v>
      </c>
      <c r="J56">
        <v>0</v>
      </c>
      <c r="K56">
        <v>0</v>
      </c>
      <c r="L56">
        <v>0</v>
      </c>
      <c r="M56">
        <v>0</v>
      </c>
      <c r="N56">
        <v>0</v>
      </c>
      <c r="O56">
        <v>0</v>
      </c>
    </row>
    <row r="57" spans="1:15" x14ac:dyDescent="0.35">
      <c r="A57" t="s">
        <v>351</v>
      </c>
      <c r="B57" t="s">
        <v>352</v>
      </c>
      <c r="C57" t="s">
        <v>292</v>
      </c>
      <c r="D57" t="s">
        <v>314</v>
      </c>
      <c r="E57" t="s">
        <v>308</v>
      </c>
      <c r="F57" t="s">
        <v>368</v>
      </c>
      <c r="G57">
        <v>4</v>
      </c>
      <c r="H57">
        <v>887.36</v>
      </c>
      <c r="I57">
        <v>221.84</v>
      </c>
      <c r="J57">
        <v>0</v>
      </c>
      <c r="K57">
        <v>0</v>
      </c>
      <c r="L57">
        <v>0</v>
      </c>
      <c r="M57">
        <v>4</v>
      </c>
      <c r="N57">
        <v>887.36</v>
      </c>
      <c r="O57">
        <v>221.84</v>
      </c>
    </row>
    <row r="58" spans="1:15" x14ac:dyDescent="0.35">
      <c r="A58" t="s">
        <v>351</v>
      </c>
      <c r="B58" t="s">
        <v>352</v>
      </c>
      <c r="C58" t="s">
        <v>292</v>
      </c>
      <c r="D58" t="s">
        <v>314</v>
      </c>
      <c r="E58" t="s">
        <v>312</v>
      </c>
      <c r="F58" t="s">
        <v>369</v>
      </c>
      <c r="G58">
        <v>118</v>
      </c>
      <c r="H58">
        <v>23251.239999999998</v>
      </c>
      <c r="I58">
        <v>197.04</v>
      </c>
      <c r="J58">
        <v>0</v>
      </c>
      <c r="K58">
        <v>0</v>
      </c>
      <c r="L58">
        <v>0</v>
      </c>
      <c r="M58">
        <v>118</v>
      </c>
      <c r="N58">
        <v>23251.239999999998</v>
      </c>
      <c r="O58">
        <v>197.04</v>
      </c>
    </row>
    <row r="59" spans="1:15" x14ac:dyDescent="0.35">
      <c r="A59" t="s">
        <v>351</v>
      </c>
      <c r="B59" t="s">
        <v>352</v>
      </c>
      <c r="C59" t="s">
        <v>292</v>
      </c>
      <c r="D59" t="s">
        <v>314</v>
      </c>
      <c r="E59" t="s">
        <v>310</v>
      </c>
      <c r="F59" t="s">
        <v>370</v>
      </c>
      <c r="G59">
        <v>122</v>
      </c>
      <c r="H59">
        <v>24138.6</v>
      </c>
      <c r="I59">
        <v>197.86</v>
      </c>
      <c r="J59">
        <v>0</v>
      </c>
      <c r="K59">
        <v>0</v>
      </c>
      <c r="L59">
        <v>0</v>
      </c>
      <c r="M59">
        <v>122</v>
      </c>
      <c r="N59">
        <v>24138.6</v>
      </c>
      <c r="O59">
        <v>197.86</v>
      </c>
    </row>
    <row r="60" spans="1:15" x14ac:dyDescent="0.35">
      <c r="A60" t="s">
        <v>351</v>
      </c>
      <c r="B60" t="s">
        <v>352</v>
      </c>
      <c r="C60" t="s">
        <v>292</v>
      </c>
      <c r="D60" t="s">
        <v>323</v>
      </c>
      <c r="E60" t="s">
        <v>294</v>
      </c>
      <c r="F60" t="s">
        <v>371</v>
      </c>
      <c r="G60">
        <v>2512</v>
      </c>
      <c r="H60">
        <v>232286.31999999998</v>
      </c>
      <c r="I60">
        <v>92.47</v>
      </c>
      <c r="J60">
        <v>0</v>
      </c>
      <c r="K60">
        <v>0</v>
      </c>
      <c r="L60">
        <v>0</v>
      </c>
      <c r="M60">
        <v>2512</v>
      </c>
      <c r="N60">
        <v>232286.31999999998</v>
      </c>
      <c r="O60">
        <v>92.47</v>
      </c>
    </row>
    <row r="61" spans="1:15" x14ac:dyDescent="0.35">
      <c r="A61" t="s">
        <v>351</v>
      </c>
      <c r="B61" t="s">
        <v>352</v>
      </c>
      <c r="C61" t="s">
        <v>292</v>
      </c>
      <c r="D61" t="s">
        <v>323</v>
      </c>
      <c r="E61" t="s">
        <v>296</v>
      </c>
      <c r="F61" t="s">
        <v>372</v>
      </c>
      <c r="G61">
        <v>3406</v>
      </c>
      <c r="H61">
        <v>353997.24</v>
      </c>
      <c r="I61">
        <v>103.93</v>
      </c>
      <c r="J61">
        <v>0</v>
      </c>
      <c r="K61">
        <v>0</v>
      </c>
      <c r="L61">
        <v>0</v>
      </c>
      <c r="M61">
        <v>3406</v>
      </c>
      <c r="N61">
        <v>353997.24</v>
      </c>
      <c r="O61">
        <v>103.93</v>
      </c>
    </row>
    <row r="62" spans="1:15" x14ac:dyDescent="0.35">
      <c r="A62" t="s">
        <v>351</v>
      </c>
      <c r="B62" t="s">
        <v>352</v>
      </c>
      <c r="C62" t="s">
        <v>292</v>
      </c>
      <c r="D62" t="s">
        <v>323</v>
      </c>
      <c r="E62" t="s">
        <v>298</v>
      </c>
      <c r="F62" t="s">
        <v>373</v>
      </c>
      <c r="G62">
        <v>5484</v>
      </c>
      <c r="H62">
        <v>624484.08000000007</v>
      </c>
      <c r="I62">
        <v>113.87</v>
      </c>
      <c r="J62">
        <v>0</v>
      </c>
      <c r="K62">
        <v>0</v>
      </c>
      <c r="L62">
        <v>0</v>
      </c>
      <c r="M62">
        <v>5484</v>
      </c>
      <c r="N62">
        <v>624484.08000000007</v>
      </c>
      <c r="O62">
        <v>113.87</v>
      </c>
    </row>
    <row r="63" spans="1:15" x14ac:dyDescent="0.35">
      <c r="A63" t="s">
        <v>351</v>
      </c>
      <c r="B63" t="s">
        <v>352</v>
      </c>
      <c r="C63" t="s">
        <v>292</v>
      </c>
      <c r="D63" t="s">
        <v>323</v>
      </c>
      <c r="E63" t="s">
        <v>300</v>
      </c>
      <c r="F63" t="s">
        <v>374</v>
      </c>
      <c r="G63">
        <v>307</v>
      </c>
      <c r="H63">
        <v>38024.549999999996</v>
      </c>
      <c r="I63">
        <v>123.86</v>
      </c>
      <c r="J63">
        <v>0</v>
      </c>
      <c r="K63">
        <v>0</v>
      </c>
      <c r="L63">
        <v>0</v>
      </c>
      <c r="M63">
        <v>307</v>
      </c>
      <c r="N63">
        <v>38024.549999999996</v>
      </c>
      <c r="O63">
        <v>123.86</v>
      </c>
    </row>
    <row r="64" spans="1:15" x14ac:dyDescent="0.35">
      <c r="A64" t="s">
        <v>351</v>
      </c>
      <c r="B64" t="s">
        <v>352</v>
      </c>
      <c r="C64" t="s">
        <v>292</v>
      </c>
      <c r="D64" t="s">
        <v>323</v>
      </c>
      <c r="E64" t="s">
        <v>302</v>
      </c>
      <c r="F64" t="s">
        <v>375</v>
      </c>
      <c r="G64">
        <v>41</v>
      </c>
      <c r="H64">
        <v>5445.68</v>
      </c>
      <c r="I64">
        <v>132.82</v>
      </c>
      <c r="J64">
        <v>0</v>
      </c>
      <c r="K64">
        <v>0</v>
      </c>
      <c r="L64">
        <v>0</v>
      </c>
      <c r="M64">
        <v>41</v>
      </c>
      <c r="N64">
        <v>5445.68</v>
      </c>
      <c r="O64">
        <v>132.82</v>
      </c>
    </row>
    <row r="65" spans="1:15" x14ac:dyDescent="0.35">
      <c r="A65" t="s">
        <v>351</v>
      </c>
      <c r="B65" t="s">
        <v>352</v>
      </c>
      <c r="C65" t="s">
        <v>292</v>
      </c>
      <c r="D65" t="s">
        <v>323</v>
      </c>
      <c r="E65" t="s">
        <v>304</v>
      </c>
      <c r="F65" t="s">
        <v>376</v>
      </c>
      <c r="G65">
        <v>2</v>
      </c>
      <c r="H65">
        <v>278.64</v>
      </c>
      <c r="I65">
        <v>139.32</v>
      </c>
      <c r="J65">
        <v>0</v>
      </c>
      <c r="K65">
        <v>0</v>
      </c>
      <c r="L65">
        <v>0</v>
      </c>
      <c r="M65">
        <v>2</v>
      </c>
      <c r="N65">
        <v>278.64</v>
      </c>
      <c r="O65">
        <v>139.32</v>
      </c>
    </row>
    <row r="66" spans="1:15" x14ac:dyDescent="0.35">
      <c r="A66" t="s">
        <v>351</v>
      </c>
      <c r="B66" t="s">
        <v>352</v>
      </c>
      <c r="C66" t="s">
        <v>292</v>
      </c>
      <c r="D66" t="s">
        <v>323</v>
      </c>
      <c r="E66" t="s">
        <v>306</v>
      </c>
      <c r="F66" t="s">
        <v>377</v>
      </c>
      <c r="G66">
        <v>38</v>
      </c>
      <c r="H66">
        <v>3042.74</v>
      </c>
      <c r="I66">
        <v>80.069999999999993</v>
      </c>
      <c r="J66">
        <v>0</v>
      </c>
      <c r="K66">
        <v>0</v>
      </c>
      <c r="L66">
        <v>0</v>
      </c>
      <c r="M66">
        <v>38</v>
      </c>
      <c r="N66">
        <v>3042.74</v>
      </c>
      <c r="O66">
        <v>80.069999999999993</v>
      </c>
    </row>
    <row r="67" spans="1:15" x14ac:dyDescent="0.35">
      <c r="A67" t="s">
        <v>351</v>
      </c>
      <c r="B67" t="s">
        <v>352</v>
      </c>
      <c r="C67" t="s">
        <v>292</v>
      </c>
      <c r="D67" t="s">
        <v>323</v>
      </c>
      <c r="E67" t="s">
        <v>308</v>
      </c>
      <c r="F67" t="s">
        <v>378</v>
      </c>
      <c r="G67">
        <v>2</v>
      </c>
      <c r="H67">
        <v>159.62</v>
      </c>
      <c r="I67">
        <v>79.81</v>
      </c>
      <c r="J67">
        <v>0</v>
      </c>
      <c r="K67">
        <v>0</v>
      </c>
      <c r="L67">
        <v>0</v>
      </c>
      <c r="M67">
        <v>2</v>
      </c>
      <c r="N67">
        <v>159.62</v>
      </c>
      <c r="O67">
        <v>79.81</v>
      </c>
    </row>
    <row r="68" spans="1:15" x14ac:dyDescent="0.35">
      <c r="A68" t="s">
        <v>351</v>
      </c>
      <c r="B68" t="s">
        <v>352</v>
      </c>
      <c r="C68" t="s">
        <v>292</v>
      </c>
      <c r="D68" t="s">
        <v>323</v>
      </c>
      <c r="E68" t="s">
        <v>310</v>
      </c>
      <c r="F68" t="s">
        <v>379</v>
      </c>
      <c r="G68">
        <v>11792</v>
      </c>
      <c r="H68">
        <v>1257718.8700000001</v>
      </c>
      <c r="I68">
        <v>106.66</v>
      </c>
      <c r="J68">
        <v>0</v>
      </c>
      <c r="K68">
        <v>0</v>
      </c>
      <c r="L68">
        <v>0</v>
      </c>
      <c r="M68">
        <v>11792</v>
      </c>
      <c r="N68">
        <v>1257718.8700000001</v>
      </c>
      <c r="O68">
        <v>106.66</v>
      </c>
    </row>
    <row r="69" spans="1:15" x14ac:dyDescent="0.35">
      <c r="A69" t="s">
        <v>351</v>
      </c>
      <c r="B69" t="s">
        <v>352</v>
      </c>
      <c r="C69" t="s">
        <v>292</v>
      </c>
      <c r="D69" t="s">
        <v>323</v>
      </c>
      <c r="E69" t="s">
        <v>312</v>
      </c>
      <c r="F69" t="s">
        <v>380</v>
      </c>
      <c r="G69">
        <v>11790</v>
      </c>
      <c r="H69">
        <v>1257559.25</v>
      </c>
      <c r="I69">
        <v>106.66</v>
      </c>
      <c r="J69">
        <v>0</v>
      </c>
      <c r="K69">
        <v>0</v>
      </c>
      <c r="L69">
        <v>0</v>
      </c>
      <c r="M69">
        <v>11790</v>
      </c>
      <c r="N69">
        <v>1257559.25</v>
      </c>
      <c r="O69">
        <v>106.66</v>
      </c>
    </row>
    <row r="70" spans="1:15" x14ac:dyDescent="0.35">
      <c r="A70" t="s">
        <v>351</v>
      </c>
      <c r="B70" t="s">
        <v>352</v>
      </c>
      <c r="C70" t="s">
        <v>292</v>
      </c>
      <c r="D70" t="s">
        <v>334</v>
      </c>
      <c r="E70" t="s">
        <v>312</v>
      </c>
      <c r="F70" t="s">
        <v>381</v>
      </c>
      <c r="G70">
        <v>12985</v>
      </c>
      <c r="H70">
        <v>1393044.74</v>
      </c>
      <c r="I70">
        <v>108.31</v>
      </c>
      <c r="J70">
        <v>0</v>
      </c>
      <c r="K70">
        <v>0</v>
      </c>
      <c r="L70">
        <v>0</v>
      </c>
      <c r="M70">
        <v>12985</v>
      </c>
      <c r="N70">
        <v>1393044.74</v>
      </c>
      <c r="O70">
        <v>108.31</v>
      </c>
    </row>
    <row r="71" spans="1:15" x14ac:dyDescent="0.35">
      <c r="A71" t="s">
        <v>351</v>
      </c>
      <c r="B71" t="s">
        <v>352</v>
      </c>
      <c r="C71" t="s">
        <v>292</v>
      </c>
      <c r="D71" t="s">
        <v>334</v>
      </c>
      <c r="E71" t="s">
        <v>308</v>
      </c>
      <c r="F71" t="s">
        <v>382</v>
      </c>
      <c r="G71">
        <v>2</v>
      </c>
      <c r="H71">
        <v>159.62</v>
      </c>
      <c r="I71">
        <v>79.81</v>
      </c>
      <c r="J71">
        <v>0</v>
      </c>
      <c r="K71">
        <v>0</v>
      </c>
      <c r="L71">
        <v>0</v>
      </c>
      <c r="M71">
        <v>2</v>
      </c>
      <c r="N71">
        <v>159.62</v>
      </c>
      <c r="O71">
        <v>79.81</v>
      </c>
    </row>
    <row r="72" spans="1:15" x14ac:dyDescent="0.35">
      <c r="A72" t="s">
        <v>351</v>
      </c>
      <c r="B72" t="s">
        <v>352</v>
      </c>
      <c r="C72" t="s">
        <v>292</v>
      </c>
      <c r="D72" t="s">
        <v>337</v>
      </c>
      <c r="E72" t="s">
        <v>337</v>
      </c>
      <c r="F72" t="s">
        <v>383</v>
      </c>
      <c r="G72">
        <v>419</v>
      </c>
      <c r="J72">
        <v>0</v>
      </c>
      <c r="M72">
        <v>419</v>
      </c>
    </row>
    <row r="73" spans="1:15" x14ac:dyDescent="0.35">
      <c r="A73" t="s">
        <v>351</v>
      </c>
      <c r="B73" t="s">
        <v>352</v>
      </c>
      <c r="C73" t="s">
        <v>292</v>
      </c>
      <c r="D73" t="s">
        <v>339</v>
      </c>
      <c r="E73" t="s">
        <v>294</v>
      </c>
      <c r="F73" t="s">
        <v>384</v>
      </c>
      <c r="G73">
        <v>1075</v>
      </c>
      <c r="H73">
        <v>112207.46</v>
      </c>
      <c r="I73">
        <v>104.38</v>
      </c>
      <c r="J73">
        <v>0</v>
      </c>
      <c r="K73">
        <v>0</v>
      </c>
      <c r="L73">
        <v>0</v>
      </c>
      <c r="M73">
        <v>1075</v>
      </c>
      <c r="N73">
        <v>112207.46</v>
      </c>
      <c r="O73">
        <v>104.38</v>
      </c>
    </row>
    <row r="74" spans="1:15" x14ac:dyDescent="0.35">
      <c r="A74" t="s">
        <v>351</v>
      </c>
      <c r="B74" t="s">
        <v>352</v>
      </c>
      <c r="C74" t="s">
        <v>292</v>
      </c>
      <c r="D74" t="s">
        <v>339</v>
      </c>
      <c r="E74" t="s">
        <v>296</v>
      </c>
      <c r="F74" t="s">
        <v>385</v>
      </c>
      <c r="G74">
        <v>410</v>
      </c>
      <c r="H74">
        <v>46641.22</v>
      </c>
      <c r="I74">
        <v>113.76</v>
      </c>
      <c r="J74">
        <v>0</v>
      </c>
      <c r="K74">
        <v>0</v>
      </c>
      <c r="L74">
        <v>0</v>
      </c>
      <c r="M74">
        <v>410</v>
      </c>
      <c r="N74">
        <v>46641.22</v>
      </c>
      <c r="O74">
        <v>113.76</v>
      </c>
    </row>
    <row r="75" spans="1:15" x14ac:dyDescent="0.35">
      <c r="A75" t="s">
        <v>351</v>
      </c>
      <c r="B75" t="s">
        <v>352</v>
      </c>
      <c r="C75" t="s">
        <v>292</v>
      </c>
      <c r="D75" t="s">
        <v>339</v>
      </c>
      <c r="E75" t="s">
        <v>298</v>
      </c>
      <c r="F75" t="s">
        <v>386</v>
      </c>
      <c r="G75">
        <v>19</v>
      </c>
      <c r="H75">
        <v>2569.4499999999998</v>
      </c>
      <c r="I75">
        <v>135.22999999999999</v>
      </c>
      <c r="J75">
        <v>0</v>
      </c>
      <c r="K75">
        <v>0</v>
      </c>
      <c r="L75">
        <v>0</v>
      </c>
      <c r="M75">
        <v>19</v>
      </c>
      <c r="N75">
        <v>2569.4499999999998</v>
      </c>
      <c r="O75">
        <v>135.22999999999999</v>
      </c>
    </row>
    <row r="76" spans="1:15" x14ac:dyDescent="0.35">
      <c r="A76" t="s">
        <v>351</v>
      </c>
      <c r="B76" t="s">
        <v>352</v>
      </c>
      <c r="C76" t="s">
        <v>292</v>
      </c>
      <c r="D76" t="s">
        <v>339</v>
      </c>
      <c r="E76" t="s">
        <v>300</v>
      </c>
      <c r="F76" t="s">
        <v>387</v>
      </c>
      <c r="G76">
        <v>0</v>
      </c>
      <c r="H76">
        <v>0</v>
      </c>
      <c r="I76">
        <v>0</v>
      </c>
      <c r="J76">
        <v>0</v>
      </c>
      <c r="K76">
        <v>0</v>
      </c>
      <c r="L76">
        <v>0</v>
      </c>
      <c r="M76">
        <v>0</v>
      </c>
      <c r="N76">
        <v>0</v>
      </c>
      <c r="O76">
        <v>0</v>
      </c>
    </row>
    <row r="77" spans="1:15" x14ac:dyDescent="0.35">
      <c r="A77" t="s">
        <v>351</v>
      </c>
      <c r="B77" t="s">
        <v>352</v>
      </c>
      <c r="C77" t="s">
        <v>292</v>
      </c>
      <c r="D77" t="s">
        <v>339</v>
      </c>
      <c r="E77" t="s">
        <v>306</v>
      </c>
      <c r="F77" t="s">
        <v>388</v>
      </c>
      <c r="G77">
        <v>96</v>
      </c>
      <c r="H77">
        <v>8924.8799999999992</v>
      </c>
      <c r="I77">
        <v>92.97</v>
      </c>
      <c r="J77">
        <v>0</v>
      </c>
      <c r="K77">
        <v>0</v>
      </c>
      <c r="L77">
        <v>0</v>
      </c>
      <c r="M77">
        <v>96</v>
      </c>
      <c r="N77">
        <v>8924.8799999999992</v>
      </c>
      <c r="O77">
        <v>92.97</v>
      </c>
    </row>
    <row r="78" spans="1:15" x14ac:dyDescent="0.35">
      <c r="A78" t="s">
        <v>351</v>
      </c>
      <c r="B78" t="s">
        <v>352</v>
      </c>
      <c r="C78" t="s">
        <v>292</v>
      </c>
      <c r="D78" t="s">
        <v>339</v>
      </c>
      <c r="E78" t="s">
        <v>308</v>
      </c>
      <c r="F78" t="s">
        <v>389</v>
      </c>
      <c r="G78">
        <v>164</v>
      </c>
      <c r="H78">
        <v>26184.44</v>
      </c>
      <c r="I78">
        <v>159.66</v>
      </c>
      <c r="J78">
        <v>0</v>
      </c>
      <c r="K78">
        <v>0</v>
      </c>
      <c r="L78">
        <v>0</v>
      </c>
      <c r="M78">
        <v>164</v>
      </c>
      <c r="N78">
        <v>26184.44</v>
      </c>
      <c r="O78">
        <v>159.66</v>
      </c>
    </row>
    <row r="79" spans="1:15" x14ac:dyDescent="0.35">
      <c r="A79" t="s">
        <v>351</v>
      </c>
      <c r="B79" t="s">
        <v>352</v>
      </c>
      <c r="C79" t="s">
        <v>292</v>
      </c>
      <c r="D79" t="s">
        <v>339</v>
      </c>
      <c r="E79" t="s">
        <v>310</v>
      </c>
      <c r="F79" t="s">
        <v>390</v>
      </c>
      <c r="G79">
        <v>1764</v>
      </c>
      <c r="H79">
        <v>196527.45</v>
      </c>
      <c r="I79">
        <v>111.41</v>
      </c>
      <c r="J79">
        <v>0</v>
      </c>
      <c r="K79">
        <v>0</v>
      </c>
      <c r="L79">
        <v>0</v>
      </c>
      <c r="M79">
        <v>1764</v>
      </c>
      <c r="N79">
        <v>196527.45</v>
      </c>
      <c r="O79">
        <v>111.41</v>
      </c>
    </row>
    <row r="80" spans="1:15" x14ac:dyDescent="0.35">
      <c r="A80" t="s">
        <v>351</v>
      </c>
      <c r="B80" t="s">
        <v>352</v>
      </c>
      <c r="C80" t="s">
        <v>292</v>
      </c>
      <c r="D80" t="s">
        <v>339</v>
      </c>
      <c r="E80" t="s">
        <v>312</v>
      </c>
      <c r="F80" t="s">
        <v>391</v>
      </c>
      <c r="G80">
        <v>1600</v>
      </c>
      <c r="H80">
        <v>170343.01</v>
      </c>
      <c r="I80">
        <v>106.46</v>
      </c>
      <c r="J80">
        <v>0</v>
      </c>
      <c r="K80">
        <v>0</v>
      </c>
      <c r="L80">
        <v>0</v>
      </c>
      <c r="M80">
        <v>1600</v>
      </c>
      <c r="N80">
        <v>170343.01</v>
      </c>
      <c r="O80">
        <v>106.46</v>
      </c>
    </row>
    <row r="81" spans="1:15" x14ac:dyDescent="0.35">
      <c r="A81" t="s">
        <v>351</v>
      </c>
      <c r="B81" t="s">
        <v>352</v>
      </c>
      <c r="C81" t="s">
        <v>292</v>
      </c>
      <c r="D81" t="s">
        <v>348</v>
      </c>
      <c r="E81" t="s">
        <v>349</v>
      </c>
      <c r="F81" t="s">
        <v>392</v>
      </c>
      <c r="G81">
        <v>1966</v>
      </c>
      <c r="H81">
        <v>220666.05000000002</v>
      </c>
      <c r="I81">
        <v>117</v>
      </c>
      <c r="J81">
        <v>0</v>
      </c>
      <c r="K81">
        <v>0</v>
      </c>
      <c r="L81">
        <v>0</v>
      </c>
      <c r="M81">
        <v>1966</v>
      </c>
      <c r="N81">
        <v>220666.05000000002</v>
      </c>
      <c r="O81">
        <v>117</v>
      </c>
    </row>
    <row r="82" spans="1:15" x14ac:dyDescent="0.35">
      <c r="A82" t="s">
        <v>393</v>
      </c>
      <c r="B82" t="s">
        <v>394</v>
      </c>
      <c r="C82" t="s">
        <v>292</v>
      </c>
      <c r="D82" t="s">
        <v>293</v>
      </c>
      <c r="E82" t="s">
        <v>294</v>
      </c>
      <c r="F82" t="s">
        <v>395</v>
      </c>
      <c r="G82">
        <v>74</v>
      </c>
      <c r="H82">
        <v>7827.65</v>
      </c>
      <c r="I82">
        <v>105.78</v>
      </c>
      <c r="J82">
        <v>0</v>
      </c>
      <c r="K82">
        <v>0</v>
      </c>
      <c r="L82">
        <v>0</v>
      </c>
      <c r="M82">
        <v>74</v>
      </c>
      <c r="N82">
        <v>7827.65</v>
      </c>
      <c r="O82">
        <v>105.78</v>
      </c>
    </row>
    <row r="83" spans="1:15" x14ac:dyDescent="0.35">
      <c r="A83" t="s">
        <v>393</v>
      </c>
      <c r="B83" t="s">
        <v>394</v>
      </c>
      <c r="C83" t="s">
        <v>292</v>
      </c>
      <c r="D83" t="s">
        <v>293</v>
      </c>
      <c r="E83" t="s">
        <v>296</v>
      </c>
      <c r="F83" t="s">
        <v>396</v>
      </c>
      <c r="G83">
        <v>546</v>
      </c>
      <c r="H83">
        <v>68660.39</v>
      </c>
      <c r="I83">
        <v>125.75</v>
      </c>
      <c r="J83">
        <v>0</v>
      </c>
      <c r="K83">
        <v>0</v>
      </c>
      <c r="L83">
        <v>0</v>
      </c>
      <c r="M83">
        <v>546</v>
      </c>
      <c r="N83">
        <v>68660.39</v>
      </c>
      <c r="O83">
        <v>125.75</v>
      </c>
    </row>
    <row r="84" spans="1:15" x14ac:dyDescent="0.35">
      <c r="A84" t="s">
        <v>393</v>
      </c>
      <c r="B84" t="s">
        <v>394</v>
      </c>
      <c r="C84" t="s">
        <v>292</v>
      </c>
      <c r="D84" t="s">
        <v>293</v>
      </c>
      <c r="E84" t="s">
        <v>298</v>
      </c>
      <c r="F84" t="s">
        <v>397</v>
      </c>
      <c r="G84">
        <v>387</v>
      </c>
      <c r="H84">
        <v>54319.729999999996</v>
      </c>
      <c r="I84">
        <v>140.36000000000001</v>
      </c>
      <c r="J84">
        <v>0</v>
      </c>
      <c r="K84">
        <v>0</v>
      </c>
      <c r="L84">
        <v>0</v>
      </c>
      <c r="M84">
        <v>387</v>
      </c>
      <c r="N84">
        <v>54319.729999999996</v>
      </c>
      <c r="O84">
        <v>140.36000000000001</v>
      </c>
    </row>
    <row r="85" spans="1:15" x14ac:dyDescent="0.35">
      <c r="A85" t="s">
        <v>393</v>
      </c>
      <c r="B85" t="s">
        <v>394</v>
      </c>
      <c r="C85" t="s">
        <v>292</v>
      </c>
      <c r="D85" t="s">
        <v>293</v>
      </c>
      <c r="E85" t="s">
        <v>300</v>
      </c>
      <c r="F85" t="s">
        <v>398</v>
      </c>
      <c r="G85">
        <v>38</v>
      </c>
      <c r="H85">
        <v>6065.7799999999988</v>
      </c>
      <c r="I85">
        <v>159.63</v>
      </c>
      <c r="J85">
        <v>0</v>
      </c>
      <c r="K85">
        <v>0</v>
      </c>
      <c r="L85">
        <v>0</v>
      </c>
      <c r="M85">
        <v>38</v>
      </c>
      <c r="N85">
        <v>6065.7799999999988</v>
      </c>
      <c r="O85">
        <v>159.63</v>
      </c>
    </row>
    <row r="86" spans="1:15" x14ac:dyDescent="0.35">
      <c r="A86" t="s">
        <v>393</v>
      </c>
      <c r="B86" t="s">
        <v>394</v>
      </c>
      <c r="C86" t="s">
        <v>292</v>
      </c>
      <c r="D86" t="s">
        <v>293</v>
      </c>
      <c r="E86" t="s">
        <v>302</v>
      </c>
      <c r="F86" t="s">
        <v>399</v>
      </c>
      <c r="G86">
        <v>0</v>
      </c>
      <c r="H86">
        <v>0</v>
      </c>
      <c r="I86">
        <v>0</v>
      </c>
      <c r="J86">
        <v>0</v>
      </c>
      <c r="K86">
        <v>0</v>
      </c>
      <c r="L86">
        <v>0</v>
      </c>
      <c r="M86">
        <v>0</v>
      </c>
      <c r="N86">
        <v>0</v>
      </c>
      <c r="O86">
        <v>0</v>
      </c>
    </row>
    <row r="87" spans="1:15" x14ac:dyDescent="0.35">
      <c r="A87" t="s">
        <v>393</v>
      </c>
      <c r="B87" t="s">
        <v>394</v>
      </c>
      <c r="C87" t="s">
        <v>292</v>
      </c>
      <c r="D87" t="s">
        <v>293</v>
      </c>
      <c r="E87" t="s">
        <v>304</v>
      </c>
      <c r="F87" t="s">
        <v>400</v>
      </c>
      <c r="G87">
        <v>0</v>
      </c>
      <c r="H87">
        <v>0</v>
      </c>
      <c r="I87">
        <v>0</v>
      </c>
      <c r="J87">
        <v>0</v>
      </c>
      <c r="K87">
        <v>0</v>
      </c>
      <c r="L87">
        <v>0</v>
      </c>
      <c r="M87">
        <v>0</v>
      </c>
      <c r="N87">
        <v>0</v>
      </c>
      <c r="O87">
        <v>0</v>
      </c>
    </row>
    <row r="88" spans="1:15" x14ac:dyDescent="0.35">
      <c r="A88" t="s">
        <v>393</v>
      </c>
      <c r="B88" t="s">
        <v>394</v>
      </c>
      <c r="C88" t="s">
        <v>292</v>
      </c>
      <c r="D88" t="s">
        <v>293</v>
      </c>
      <c r="E88" t="s">
        <v>306</v>
      </c>
      <c r="F88" t="s">
        <v>401</v>
      </c>
      <c r="G88">
        <v>0</v>
      </c>
      <c r="H88">
        <v>0</v>
      </c>
      <c r="I88">
        <v>0</v>
      </c>
      <c r="J88">
        <v>0</v>
      </c>
      <c r="K88">
        <v>0</v>
      </c>
      <c r="L88">
        <v>0</v>
      </c>
      <c r="M88">
        <v>0</v>
      </c>
      <c r="N88">
        <v>0</v>
      </c>
      <c r="O88">
        <v>0</v>
      </c>
    </row>
    <row r="89" spans="1:15" x14ac:dyDescent="0.35">
      <c r="A89" t="s">
        <v>393</v>
      </c>
      <c r="B89" t="s">
        <v>394</v>
      </c>
      <c r="C89" t="s">
        <v>292</v>
      </c>
      <c r="D89" t="s">
        <v>293</v>
      </c>
      <c r="E89" t="s">
        <v>308</v>
      </c>
      <c r="F89" t="s">
        <v>402</v>
      </c>
      <c r="G89">
        <v>0</v>
      </c>
      <c r="H89">
        <v>0</v>
      </c>
      <c r="I89">
        <v>0</v>
      </c>
      <c r="J89">
        <v>0</v>
      </c>
      <c r="K89">
        <v>0</v>
      </c>
      <c r="L89">
        <v>0</v>
      </c>
      <c r="M89">
        <v>0</v>
      </c>
      <c r="N89">
        <v>0</v>
      </c>
      <c r="O89">
        <v>0</v>
      </c>
    </row>
    <row r="90" spans="1:15" x14ac:dyDescent="0.35">
      <c r="A90" t="s">
        <v>393</v>
      </c>
      <c r="B90" t="s">
        <v>394</v>
      </c>
      <c r="C90" t="s">
        <v>292</v>
      </c>
      <c r="D90" t="s">
        <v>293</v>
      </c>
      <c r="E90" t="s">
        <v>310</v>
      </c>
      <c r="F90" t="s">
        <v>403</v>
      </c>
      <c r="G90">
        <v>1045</v>
      </c>
      <c r="H90">
        <v>136873.54999999999</v>
      </c>
      <c r="I90">
        <v>130.97999999999999</v>
      </c>
      <c r="J90">
        <v>0</v>
      </c>
      <c r="K90">
        <v>0</v>
      </c>
      <c r="L90">
        <v>0</v>
      </c>
      <c r="M90">
        <v>1045</v>
      </c>
      <c r="N90">
        <v>136873.54999999999</v>
      </c>
      <c r="O90">
        <v>130.97999999999999</v>
      </c>
    </row>
    <row r="91" spans="1:15" x14ac:dyDescent="0.35">
      <c r="A91" t="s">
        <v>393</v>
      </c>
      <c r="B91" t="s">
        <v>394</v>
      </c>
      <c r="C91" t="s">
        <v>292</v>
      </c>
      <c r="D91" t="s">
        <v>293</v>
      </c>
      <c r="E91" t="s">
        <v>312</v>
      </c>
      <c r="F91" t="s">
        <v>404</v>
      </c>
      <c r="G91">
        <v>1045</v>
      </c>
      <c r="H91">
        <v>136873.54999999999</v>
      </c>
      <c r="I91">
        <v>130.97999999999999</v>
      </c>
      <c r="J91">
        <v>0</v>
      </c>
      <c r="K91">
        <v>0</v>
      </c>
      <c r="L91">
        <v>0</v>
      </c>
      <c r="M91">
        <v>1045</v>
      </c>
      <c r="N91">
        <v>136873.54999999999</v>
      </c>
      <c r="O91">
        <v>130.97999999999999</v>
      </c>
    </row>
    <row r="92" spans="1:15" x14ac:dyDescent="0.35">
      <c r="A92" t="s">
        <v>393</v>
      </c>
      <c r="B92" t="s">
        <v>394</v>
      </c>
      <c r="C92" t="s">
        <v>292</v>
      </c>
      <c r="D92" t="s">
        <v>314</v>
      </c>
      <c r="E92" t="s">
        <v>294</v>
      </c>
      <c r="F92" t="s">
        <v>405</v>
      </c>
      <c r="G92">
        <v>131</v>
      </c>
      <c r="H92">
        <v>22396.1</v>
      </c>
      <c r="I92">
        <v>170.96</v>
      </c>
      <c r="J92">
        <v>0</v>
      </c>
      <c r="K92">
        <v>0</v>
      </c>
      <c r="L92">
        <v>0</v>
      </c>
      <c r="M92">
        <v>131</v>
      </c>
      <c r="N92">
        <v>22396.1</v>
      </c>
      <c r="O92">
        <v>170.96</v>
      </c>
    </row>
    <row r="93" spans="1:15" x14ac:dyDescent="0.35">
      <c r="A93" t="s">
        <v>393</v>
      </c>
      <c r="B93" t="s">
        <v>394</v>
      </c>
      <c r="C93" t="s">
        <v>292</v>
      </c>
      <c r="D93" t="s">
        <v>314</v>
      </c>
      <c r="E93" t="s">
        <v>296</v>
      </c>
      <c r="F93" t="s">
        <v>406</v>
      </c>
      <c r="G93">
        <v>162</v>
      </c>
      <c r="H93">
        <v>24413.34</v>
      </c>
      <c r="I93">
        <v>150.69999999999999</v>
      </c>
      <c r="J93">
        <v>0</v>
      </c>
      <c r="K93">
        <v>0</v>
      </c>
      <c r="L93">
        <v>0</v>
      </c>
      <c r="M93">
        <v>162</v>
      </c>
      <c r="N93">
        <v>24413.34</v>
      </c>
      <c r="O93">
        <v>150.69999999999999</v>
      </c>
    </row>
    <row r="94" spans="1:15" x14ac:dyDescent="0.35">
      <c r="A94" t="s">
        <v>393</v>
      </c>
      <c r="B94" t="s">
        <v>394</v>
      </c>
      <c r="C94" t="s">
        <v>292</v>
      </c>
      <c r="D94" t="s">
        <v>314</v>
      </c>
      <c r="E94" t="s">
        <v>298</v>
      </c>
      <c r="F94" t="s">
        <v>407</v>
      </c>
      <c r="G94">
        <v>27</v>
      </c>
      <c r="H94">
        <v>3927.9599999999996</v>
      </c>
      <c r="I94">
        <v>145.47999999999999</v>
      </c>
      <c r="J94">
        <v>0</v>
      </c>
      <c r="K94">
        <v>0</v>
      </c>
      <c r="L94">
        <v>0</v>
      </c>
      <c r="M94">
        <v>27</v>
      </c>
      <c r="N94">
        <v>3927.9599999999996</v>
      </c>
      <c r="O94">
        <v>145.47999999999999</v>
      </c>
    </row>
    <row r="95" spans="1:15" x14ac:dyDescent="0.35">
      <c r="A95" t="s">
        <v>393</v>
      </c>
      <c r="B95" t="s">
        <v>394</v>
      </c>
      <c r="C95" t="s">
        <v>292</v>
      </c>
      <c r="D95" t="s">
        <v>314</v>
      </c>
      <c r="E95" t="s">
        <v>300</v>
      </c>
      <c r="F95" t="s">
        <v>408</v>
      </c>
      <c r="G95">
        <v>0</v>
      </c>
      <c r="H95">
        <v>0</v>
      </c>
      <c r="I95">
        <v>0</v>
      </c>
      <c r="J95">
        <v>0</v>
      </c>
      <c r="K95">
        <v>0</v>
      </c>
      <c r="L95">
        <v>0</v>
      </c>
      <c r="M95">
        <v>0</v>
      </c>
      <c r="N95">
        <v>0</v>
      </c>
      <c r="O95">
        <v>0</v>
      </c>
    </row>
    <row r="96" spans="1:15" x14ac:dyDescent="0.35">
      <c r="A96" t="s">
        <v>393</v>
      </c>
      <c r="B96" t="s">
        <v>394</v>
      </c>
      <c r="C96" t="s">
        <v>292</v>
      </c>
      <c r="D96" t="s">
        <v>314</v>
      </c>
      <c r="E96" t="s">
        <v>306</v>
      </c>
      <c r="F96" t="s">
        <v>409</v>
      </c>
      <c r="G96">
        <v>0</v>
      </c>
      <c r="H96">
        <v>0</v>
      </c>
      <c r="I96">
        <v>0</v>
      </c>
      <c r="J96">
        <v>0</v>
      </c>
      <c r="K96">
        <v>0</v>
      </c>
      <c r="L96">
        <v>0</v>
      </c>
      <c r="M96">
        <v>0</v>
      </c>
      <c r="N96">
        <v>0</v>
      </c>
      <c r="O96">
        <v>0</v>
      </c>
    </row>
    <row r="97" spans="1:15" x14ac:dyDescent="0.35">
      <c r="A97" t="s">
        <v>393</v>
      </c>
      <c r="B97" t="s">
        <v>394</v>
      </c>
      <c r="C97" t="s">
        <v>292</v>
      </c>
      <c r="D97" t="s">
        <v>314</v>
      </c>
      <c r="E97" t="s">
        <v>308</v>
      </c>
      <c r="F97" t="s">
        <v>410</v>
      </c>
      <c r="G97">
        <v>0</v>
      </c>
      <c r="H97">
        <v>0</v>
      </c>
      <c r="I97">
        <v>0</v>
      </c>
      <c r="J97">
        <v>0</v>
      </c>
      <c r="K97">
        <v>0</v>
      </c>
      <c r="L97">
        <v>0</v>
      </c>
      <c r="M97">
        <v>0</v>
      </c>
      <c r="N97">
        <v>0</v>
      </c>
      <c r="O97">
        <v>0</v>
      </c>
    </row>
    <row r="98" spans="1:15" x14ac:dyDescent="0.35">
      <c r="A98" t="s">
        <v>393</v>
      </c>
      <c r="B98" t="s">
        <v>394</v>
      </c>
      <c r="C98" t="s">
        <v>292</v>
      </c>
      <c r="D98" t="s">
        <v>314</v>
      </c>
      <c r="E98" t="s">
        <v>312</v>
      </c>
      <c r="F98" t="s">
        <v>411</v>
      </c>
      <c r="G98">
        <v>320</v>
      </c>
      <c r="H98">
        <v>50737.4</v>
      </c>
      <c r="I98">
        <v>158.55000000000001</v>
      </c>
      <c r="J98">
        <v>0</v>
      </c>
      <c r="K98">
        <v>0</v>
      </c>
      <c r="L98">
        <v>0</v>
      </c>
      <c r="M98">
        <v>320</v>
      </c>
      <c r="N98">
        <v>50737.4</v>
      </c>
      <c r="O98">
        <v>158.55000000000001</v>
      </c>
    </row>
    <row r="99" spans="1:15" x14ac:dyDescent="0.35">
      <c r="A99" t="s">
        <v>393</v>
      </c>
      <c r="B99" t="s">
        <v>394</v>
      </c>
      <c r="C99" t="s">
        <v>292</v>
      </c>
      <c r="D99" t="s">
        <v>314</v>
      </c>
      <c r="E99" t="s">
        <v>310</v>
      </c>
      <c r="F99" t="s">
        <v>412</v>
      </c>
      <c r="G99">
        <v>320</v>
      </c>
      <c r="H99">
        <v>50737.4</v>
      </c>
      <c r="I99">
        <v>158.55000000000001</v>
      </c>
      <c r="J99">
        <v>0</v>
      </c>
      <c r="K99">
        <v>0</v>
      </c>
      <c r="L99">
        <v>0</v>
      </c>
      <c r="M99">
        <v>320</v>
      </c>
      <c r="N99">
        <v>50737.4</v>
      </c>
      <c r="O99">
        <v>158.55000000000001</v>
      </c>
    </row>
    <row r="100" spans="1:15" x14ac:dyDescent="0.35">
      <c r="A100" t="s">
        <v>393</v>
      </c>
      <c r="B100" t="s">
        <v>394</v>
      </c>
      <c r="C100" t="s">
        <v>292</v>
      </c>
      <c r="D100" t="s">
        <v>323</v>
      </c>
      <c r="E100" t="s">
        <v>294</v>
      </c>
      <c r="F100" t="s">
        <v>413</v>
      </c>
      <c r="G100">
        <v>2665</v>
      </c>
      <c r="H100">
        <v>255235.89999999997</v>
      </c>
      <c r="I100">
        <v>95.77</v>
      </c>
      <c r="J100">
        <v>0</v>
      </c>
      <c r="K100">
        <v>0</v>
      </c>
      <c r="L100">
        <v>0</v>
      </c>
      <c r="M100">
        <v>2665</v>
      </c>
      <c r="N100">
        <v>255235.89999999997</v>
      </c>
      <c r="O100">
        <v>95.77</v>
      </c>
    </row>
    <row r="101" spans="1:15" x14ac:dyDescent="0.35">
      <c r="A101" t="s">
        <v>393</v>
      </c>
      <c r="B101" t="s">
        <v>394</v>
      </c>
      <c r="C101" t="s">
        <v>292</v>
      </c>
      <c r="D101" t="s">
        <v>323</v>
      </c>
      <c r="E101" t="s">
        <v>296</v>
      </c>
      <c r="F101" t="s">
        <v>414</v>
      </c>
      <c r="G101">
        <v>4103</v>
      </c>
      <c r="H101">
        <v>436532.99</v>
      </c>
      <c r="I101">
        <v>106.39</v>
      </c>
      <c r="J101">
        <v>0</v>
      </c>
      <c r="K101">
        <v>0</v>
      </c>
      <c r="L101">
        <v>0</v>
      </c>
      <c r="M101">
        <v>4103</v>
      </c>
      <c r="N101">
        <v>436532.99</v>
      </c>
      <c r="O101">
        <v>106.39</v>
      </c>
    </row>
    <row r="102" spans="1:15" x14ac:dyDescent="0.35">
      <c r="A102" t="s">
        <v>393</v>
      </c>
      <c r="B102" t="s">
        <v>394</v>
      </c>
      <c r="C102" t="s">
        <v>292</v>
      </c>
      <c r="D102" t="s">
        <v>323</v>
      </c>
      <c r="E102" t="s">
        <v>298</v>
      </c>
      <c r="F102" t="s">
        <v>415</v>
      </c>
      <c r="G102">
        <v>3643</v>
      </c>
      <c r="H102">
        <v>427279.27</v>
      </c>
      <c r="I102">
        <v>117.29</v>
      </c>
      <c r="J102">
        <v>0</v>
      </c>
      <c r="K102">
        <v>0</v>
      </c>
      <c r="L102">
        <v>0</v>
      </c>
      <c r="M102">
        <v>3643</v>
      </c>
      <c r="N102">
        <v>427279.27</v>
      </c>
      <c r="O102">
        <v>117.29</v>
      </c>
    </row>
    <row r="103" spans="1:15" x14ac:dyDescent="0.35">
      <c r="A103" t="s">
        <v>393</v>
      </c>
      <c r="B103" t="s">
        <v>394</v>
      </c>
      <c r="C103" t="s">
        <v>292</v>
      </c>
      <c r="D103" t="s">
        <v>323</v>
      </c>
      <c r="E103" t="s">
        <v>300</v>
      </c>
      <c r="F103" t="s">
        <v>416</v>
      </c>
      <c r="G103">
        <v>171</v>
      </c>
      <c r="H103">
        <v>22191.23</v>
      </c>
      <c r="I103">
        <v>129.77000000000001</v>
      </c>
      <c r="J103">
        <v>0</v>
      </c>
      <c r="K103">
        <v>0</v>
      </c>
      <c r="L103">
        <v>0</v>
      </c>
      <c r="M103">
        <v>171</v>
      </c>
      <c r="N103">
        <v>22191.23</v>
      </c>
      <c r="O103">
        <v>129.77000000000001</v>
      </c>
    </row>
    <row r="104" spans="1:15" x14ac:dyDescent="0.35">
      <c r="A104" t="s">
        <v>393</v>
      </c>
      <c r="B104" t="s">
        <v>394</v>
      </c>
      <c r="C104" t="s">
        <v>292</v>
      </c>
      <c r="D104" t="s">
        <v>323</v>
      </c>
      <c r="E104" t="s">
        <v>302</v>
      </c>
      <c r="F104" t="s">
        <v>417</v>
      </c>
      <c r="G104">
        <v>20</v>
      </c>
      <c r="H104">
        <v>2750.4</v>
      </c>
      <c r="I104">
        <v>137.52000000000001</v>
      </c>
      <c r="J104">
        <v>0</v>
      </c>
      <c r="K104">
        <v>0</v>
      </c>
      <c r="L104">
        <v>0</v>
      </c>
      <c r="M104">
        <v>20</v>
      </c>
      <c r="N104">
        <v>2750.4</v>
      </c>
      <c r="O104">
        <v>137.52000000000001</v>
      </c>
    </row>
    <row r="105" spans="1:15" x14ac:dyDescent="0.35">
      <c r="A105" t="s">
        <v>393</v>
      </c>
      <c r="B105" t="s">
        <v>394</v>
      </c>
      <c r="C105" t="s">
        <v>292</v>
      </c>
      <c r="D105" t="s">
        <v>323</v>
      </c>
      <c r="E105" t="s">
        <v>304</v>
      </c>
      <c r="F105" t="s">
        <v>418</v>
      </c>
      <c r="G105">
        <v>1</v>
      </c>
      <c r="H105">
        <v>155.22</v>
      </c>
      <c r="I105">
        <v>155.22</v>
      </c>
      <c r="J105">
        <v>0</v>
      </c>
      <c r="K105">
        <v>0</v>
      </c>
      <c r="L105">
        <v>0</v>
      </c>
      <c r="M105">
        <v>1</v>
      </c>
      <c r="N105">
        <v>155.22</v>
      </c>
      <c r="O105">
        <v>155.22</v>
      </c>
    </row>
    <row r="106" spans="1:15" x14ac:dyDescent="0.35">
      <c r="A106" t="s">
        <v>393</v>
      </c>
      <c r="B106" t="s">
        <v>394</v>
      </c>
      <c r="C106" t="s">
        <v>292</v>
      </c>
      <c r="D106" t="s">
        <v>323</v>
      </c>
      <c r="E106" t="s">
        <v>306</v>
      </c>
      <c r="F106" t="s">
        <v>419</v>
      </c>
      <c r="G106">
        <v>29</v>
      </c>
      <c r="H106">
        <v>2334.79</v>
      </c>
      <c r="I106">
        <v>80.510000000000005</v>
      </c>
      <c r="J106">
        <v>0</v>
      </c>
      <c r="K106">
        <v>0</v>
      </c>
      <c r="L106">
        <v>0</v>
      </c>
      <c r="M106">
        <v>29</v>
      </c>
      <c r="N106">
        <v>2334.79</v>
      </c>
      <c r="O106">
        <v>80.510000000000005</v>
      </c>
    </row>
    <row r="107" spans="1:15" x14ac:dyDescent="0.35">
      <c r="A107" t="s">
        <v>393</v>
      </c>
      <c r="B107" t="s">
        <v>394</v>
      </c>
      <c r="C107" t="s">
        <v>292</v>
      </c>
      <c r="D107" t="s">
        <v>323</v>
      </c>
      <c r="E107" t="s">
        <v>308</v>
      </c>
      <c r="F107" t="s">
        <v>420</v>
      </c>
      <c r="G107">
        <v>0</v>
      </c>
      <c r="H107">
        <v>0</v>
      </c>
      <c r="I107">
        <v>0</v>
      </c>
      <c r="J107">
        <v>0</v>
      </c>
      <c r="K107">
        <v>0</v>
      </c>
      <c r="L107">
        <v>0</v>
      </c>
      <c r="M107">
        <v>0</v>
      </c>
      <c r="N107">
        <v>0</v>
      </c>
      <c r="O107">
        <v>0</v>
      </c>
    </row>
    <row r="108" spans="1:15" x14ac:dyDescent="0.35">
      <c r="A108" t="s">
        <v>393</v>
      </c>
      <c r="B108" t="s">
        <v>394</v>
      </c>
      <c r="C108" t="s">
        <v>292</v>
      </c>
      <c r="D108" t="s">
        <v>323</v>
      </c>
      <c r="E108" t="s">
        <v>310</v>
      </c>
      <c r="F108" t="s">
        <v>421</v>
      </c>
      <c r="G108">
        <v>10632</v>
      </c>
      <c r="H108">
        <v>1146479.7999999998</v>
      </c>
      <c r="I108">
        <v>107.83</v>
      </c>
      <c r="J108">
        <v>0</v>
      </c>
      <c r="K108">
        <v>0</v>
      </c>
      <c r="L108">
        <v>0</v>
      </c>
      <c r="M108">
        <v>10632</v>
      </c>
      <c r="N108">
        <v>1146479.7999999998</v>
      </c>
      <c r="O108">
        <v>107.83</v>
      </c>
    </row>
    <row r="109" spans="1:15" x14ac:dyDescent="0.35">
      <c r="A109" t="s">
        <v>393</v>
      </c>
      <c r="B109" t="s">
        <v>394</v>
      </c>
      <c r="C109" t="s">
        <v>292</v>
      </c>
      <c r="D109" t="s">
        <v>323</v>
      </c>
      <c r="E109" t="s">
        <v>312</v>
      </c>
      <c r="F109" t="s">
        <v>422</v>
      </c>
      <c r="G109">
        <v>10632</v>
      </c>
      <c r="H109">
        <v>1146479.7999999998</v>
      </c>
      <c r="I109">
        <v>107.83</v>
      </c>
      <c r="J109">
        <v>0</v>
      </c>
      <c r="K109">
        <v>0</v>
      </c>
      <c r="L109">
        <v>0</v>
      </c>
      <c r="M109">
        <v>10632</v>
      </c>
      <c r="N109">
        <v>1146479.7999999998</v>
      </c>
      <c r="O109">
        <v>107.83</v>
      </c>
    </row>
    <row r="110" spans="1:15" x14ac:dyDescent="0.35">
      <c r="A110" t="s">
        <v>393</v>
      </c>
      <c r="B110" t="s">
        <v>394</v>
      </c>
      <c r="C110" t="s">
        <v>292</v>
      </c>
      <c r="D110" t="s">
        <v>334</v>
      </c>
      <c r="E110" t="s">
        <v>312</v>
      </c>
      <c r="F110" t="s">
        <v>423</v>
      </c>
      <c r="G110">
        <v>11788</v>
      </c>
      <c r="H110">
        <v>1283353.3499999999</v>
      </c>
      <c r="I110">
        <v>109.9</v>
      </c>
      <c r="J110">
        <v>0</v>
      </c>
      <c r="K110">
        <v>0</v>
      </c>
      <c r="L110">
        <v>0</v>
      </c>
      <c r="M110">
        <v>11788</v>
      </c>
      <c r="N110">
        <v>1283353.3499999999</v>
      </c>
      <c r="O110">
        <v>109.9</v>
      </c>
    </row>
    <row r="111" spans="1:15" x14ac:dyDescent="0.35">
      <c r="A111" t="s">
        <v>393</v>
      </c>
      <c r="B111" t="s">
        <v>394</v>
      </c>
      <c r="C111" t="s">
        <v>292</v>
      </c>
      <c r="D111" t="s">
        <v>334</v>
      </c>
      <c r="E111" t="s">
        <v>308</v>
      </c>
      <c r="F111" t="s">
        <v>424</v>
      </c>
      <c r="G111">
        <v>0</v>
      </c>
      <c r="H111">
        <v>0</v>
      </c>
      <c r="I111">
        <v>0</v>
      </c>
      <c r="J111">
        <v>0</v>
      </c>
      <c r="K111">
        <v>0</v>
      </c>
      <c r="L111">
        <v>0</v>
      </c>
      <c r="M111">
        <v>0</v>
      </c>
      <c r="N111">
        <v>0</v>
      </c>
      <c r="O111">
        <v>0</v>
      </c>
    </row>
    <row r="112" spans="1:15" x14ac:dyDescent="0.35">
      <c r="A112" t="s">
        <v>393</v>
      </c>
      <c r="B112" t="s">
        <v>394</v>
      </c>
      <c r="C112" t="s">
        <v>292</v>
      </c>
      <c r="D112" t="s">
        <v>337</v>
      </c>
      <c r="E112" t="s">
        <v>337</v>
      </c>
      <c r="F112" t="s">
        <v>425</v>
      </c>
      <c r="G112">
        <v>432</v>
      </c>
      <c r="J112">
        <v>0</v>
      </c>
      <c r="M112">
        <v>432</v>
      </c>
    </row>
    <row r="113" spans="1:15" x14ac:dyDescent="0.35">
      <c r="A113" t="s">
        <v>393</v>
      </c>
      <c r="B113" t="s">
        <v>394</v>
      </c>
      <c r="C113" t="s">
        <v>292</v>
      </c>
      <c r="D113" t="s">
        <v>339</v>
      </c>
      <c r="E113" t="s">
        <v>294</v>
      </c>
      <c r="F113" t="s">
        <v>426</v>
      </c>
      <c r="G113">
        <v>424</v>
      </c>
      <c r="H113">
        <v>46603.32</v>
      </c>
      <c r="I113">
        <v>109.91</v>
      </c>
      <c r="J113">
        <v>0</v>
      </c>
      <c r="K113">
        <v>0</v>
      </c>
      <c r="L113">
        <v>0</v>
      </c>
      <c r="M113">
        <v>424</v>
      </c>
      <c r="N113">
        <v>46603.32</v>
      </c>
      <c r="O113">
        <v>109.91</v>
      </c>
    </row>
    <row r="114" spans="1:15" x14ac:dyDescent="0.35">
      <c r="A114" t="s">
        <v>393</v>
      </c>
      <c r="B114" t="s">
        <v>394</v>
      </c>
      <c r="C114" t="s">
        <v>292</v>
      </c>
      <c r="D114" t="s">
        <v>339</v>
      </c>
      <c r="E114" t="s">
        <v>296</v>
      </c>
      <c r="F114" t="s">
        <v>427</v>
      </c>
      <c r="G114">
        <v>147</v>
      </c>
      <c r="H114">
        <v>18117.27</v>
      </c>
      <c r="I114">
        <v>123.25</v>
      </c>
      <c r="J114">
        <v>0</v>
      </c>
      <c r="K114">
        <v>0</v>
      </c>
      <c r="L114">
        <v>0</v>
      </c>
      <c r="M114">
        <v>147</v>
      </c>
      <c r="N114">
        <v>18117.27</v>
      </c>
      <c r="O114">
        <v>123.25</v>
      </c>
    </row>
    <row r="115" spans="1:15" x14ac:dyDescent="0.35">
      <c r="A115" t="s">
        <v>393</v>
      </c>
      <c r="B115" t="s">
        <v>394</v>
      </c>
      <c r="C115" t="s">
        <v>292</v>
      </c>
      <c r="D115" t="s">
        <v>339</v>
      </c>
      <c r="E115" t="s">
        <v>298</v>
      </c>
      <c r="F115" t="s">
        <v>428</v>
      </c>
      <c r="G115">
        <v>7</v>
      </c>
      <c r="H115">
        <v>996.45</v>
      </c>
      <c r="I115">
        <v>142.35</v>
      </c>
      <c r="J115">
        <v>0</v>
      </c>
      <c r="K115">
        <v>0</v>
      </c>
      <c r="L115">
        <v>0</v>
      </c>
      <c r="M115">
        <v>7</v>
      </c>
      <c r="N115">
        <v>996.45</v>
      </c>
      <c r="O115">
        <v>142.35</v>
      </c>
    </row>
    <row r="116" spans="1:15" x14ac:dyDescent="0.35">
      <c r="A116" t="s">
        <v>393</v>
      </c>
      <c r="B116" t="s">
        <v>394</v>
      </c>
      <c r="C116" t="s">
        <v>292</v>
      </c>
      <c r="D116" t="s">
        <v>339</v>
      </c>
      <c r="E116" t="s">
        <v>300</v>
      </c>
      <c r="F116" t="s">
        <v>429</v>
      </c>
      <c r="G116">
        <v>0</v>
      </c>
      <c r="H116">
        <v>0</v>
      </c>
      <c r="I116">
        <v>0</v>
      </c>
      <c r="J116">
        <v>0</v>
      </c>
      <c r="K116">
        <v>0</v>
      </c>
      <c r="L116">
        <v>0</v>
      </c>
      <c r="M116">
        <v>0</v>
      </c>
      <c r="N116">
        <v>0</v>
      </c>
      <c r="O116">
        <v>0</v>
      </c>
    </row>
    <row r="117" spans="1:15" x14ac:dyDescent="0.35">
      <c r="A117" t="s">
        <v>393</v>
      </c>
      <c r="B117" t="s">
        <v>394</v>
      </c>
      <c r="C117" t="s">
        <v>292</v>
      </c>
      <c r="D117" t="s">
        <v>339</v>
      </c>
      <c r="E117" t="s">
        <v>306</v>
      </c>
      <c r="F117" t="s">
        <v>430</v>
      </c>
      <c r="G117">
        <v>86</v>
      </c>
      <c r="H117">
        <v>7604.54</v>
      </c>
      <c r="I117">
        <v>88.42</v>
      </c>
      <c r="J117">
        <v>0</v>
      </c>
      <c r="K117">
        <v>0</v>
      </c>
      <c r="L117">
        <v>0</v>
      </c>
      <c r="M117">
        <v>86</v>
      </c>
      <c r="N117">
        <v>7604.54</v>
      </c>
      <c r="O117">
        <v>88.42</v>
      </c>
    </row>
    <row r="118" spans="1:15" x14ac:dyDescent="0.35">
      <c r="A118" t="s">
        <v>393</v>
      </c>
      <c r="B118" t="s">
        <v>394</v>
      </c>
      <c r="C118" t="s">
        <v>292</v>
      </c>
      <c r="D118" t="s">
        <v>339</v>
      </c>
      <c r="E118" t="s">
        <v>308</v>
      </c>
      <c r="F118" t="s">
        <v>431</v>
      </c>
      <c r="G118">
        <v>50</v>
      </c>
      <c r="H118">
        <v>8198.0399999999991</v>
      </c>
      <c r="I118">
        <v>163.96</v>
      </c>
      <c r="J118">
        <v>0</v>
      </c>
      <c r="K118">
        <v>0</v>
      </c>
      <c r="L118">
        <v>0</v>
      </c>
      <c r="M118">
        <v>50</v>
      </c>
      <c r="N118">
        <v>8198.0399999999991</v>
      </c>
      <c r="O118">
        <v>163.96</v>
      </c>
    </row>
    <row r="119" spans="1:15" x14ac:dyDescent="0.35">
      <c r="A119" t="s">
        <v>393</v>
      </c>
      <c r="B119" t="s">
        <v>394</v>
      </c>
      <c r="C119" t="s">
        <v>292</v>
      </c>
      <c r="D119" t="s">
        <v>339</v>
      </c>
      <c r="E119" t="s">
        <v>310</v>
      </c>
      <c r="F119" t="s">
        <v>432</v>
      </c>
      <c r="G119">
        <v>714</v>
      </c>
      <c r="H119">
        <v>81519.619999999981</v>
      </c>
      <c r="I119">
        <v>114.17</v>
      </c>
      <c r="J119">
        <v>0</v>
      </c>
      <c r="K119">
        <v>0</v>
      </c>
      <c r="L119">
        <v>0</v>
      </c>
      <c r="M119">
        <v>714</v>
      </c>
      <c r="N119">
        <v>81519.619999999981</v>
      </c>
      <c r="O119">
        <v>114.17</v>
      </c>
    </row>
    <row r="120" spans="1:15" x14ac:dyDescent="0.35">
      <c r="A120" t="s">
        <v>393</v>
      </c>
      <c r="B120" t="s">
        <v>394</v>
      </c>
      <c r="C120" t="s">
        <v>292</v>
      </c>
      <c r="D120" t="s">
        <v>339</v>
      </c>
      <c r="E120" t="s">
        <v>312</v>
      </c>
      <c r="F120" t="s">
        <v>433</v>
      </c>
      <c r="G120">
        <v>664</v>
      </c>
      <c r="H120">
        <v>73321.579999999987</v>
      </c>
      <c r="I120">
        <v>110.42</v>
      </c>
      <c r="J120">
        <v>0</v>
      </c>
      <c r="K120">
        <v>0</v>
      </c>
      <c r="L120">
        <v>0</v>
      </c>
      <c r="M120">
        <v>664</v>
      </c>
      <c r="N120">
        <v>73321.579999999987</v>
      </c>
      <c r="O120">
        <v>110.42</v>
      </c>
    </row>
    <row r="121" spans="1:15" x14ac:dyDescent="0.35">
      <c r="A121" t="s">
        <v>393</v>
      </c>
      <c r="B121" t="s">
        <v>394</v>
      </c>
      <c r="C121" t="s">
        <v>292</v>
      </c>
      <c r="D121" t="s">
        <v>348</v>
      </c>
      <c r="E121" t="s">
        <v>349</v>
      </c>
      <c r="F121" t="s">
        <v>434</v>
      </c>
      <c r="G121">
        <v>1129</v>
      </c>
      <c r="H121">
        <v>132257.01999999999</v>
      </c>
      <c r="I121">
        <v>127.91</v>
      </c>
      <c r="J121">
        <v>0</v>
      </c>
      <c r="K121">
        <v>0</v>
      </c>
      <c r="L121">
        <v>0</v>
      </c>
      <c r="M121">
        <v>1129</v>
      </c>
      <c r="N121">
        <v>132257.01999999999</v>
      </c>
      <c r="O121">
        <v>127.91</v>
      </c>
    </row>
    <row r="122" spans="1:15" x14ac:dyDescent="0.35">
      <c r="A122" t="s">
        <v>435</v>
      </c>
      <c r="B122" t="s">
        <v>165</v>
      </c>
      <c r="C122" t="s">
        <v>292</v>
      </c>
      <c r="D122" t="s">
        <v>293</v>
      </c>
      <c r="E122" t="s">
        <v>294</v>
      </c>
      <c r="F122" t="s">
        <v>436</v>
      </c>
      <c r="G122">
        <v>46</v>
      </c>
      <c r="H122">
        <v>5070.84</v>
      </c>
      <c r="I122">
        <v>110.24</v>
      </c>
      <c r="J122">
        <v>0</v>
      </c>
      <c r="K122">
        <v>0</v>
      </c>
      <c r="L122">
        <v>0</v>
      </c>
      <c r="M122">
        <v>46</v>
      </c>
      <c r="N122">
        <v>5070.84</v>
      </c>
      <c r="O122">
        <v>110.24</v>
      </c>
    </row>
    <row r="123" spans="1:15" x14ac:dyDescent="0.35">
      <c r="A123" t="s">
        <v>435</v>
      </c>
      <c r="B123" t="s">
        <v>165</v>
      </c>
      <c r="C123" t="s">
        <v>292</v>
      </c>
      <c r="D123" t="s">
        <v>293</v>
      </c>
      <c r="E123" t="s">
        <v>296</v>
      </c>
      <c r="F123" t="s">
        <v>437</v>
      </c>
      <c r="G123">
        <v>1257</v>
      </c>
      <c r="H123">
        <v>153467.02000000002</v>
      </c>
      <c r="I123">
        <v>122.09</v>
      </c>
      <c r="J123">
        <v>0</v>
      </c>
      <c r="K123">
        <v>0</v>
      </c>
      <c r="L123">
        <v>0</v>
      </c>
      <c r="M123">
        <v>1257</v>
      </c>
      <c r="N123">
        <v>153467.02000000002</v>
      </c>
      <c r="O123">
        <v>122.09</v>
      </c>
    </row>
    <row r="124" spans="1:15" x14ac:dyDescent="0.35">
      <c r="A124" t="s">
        <v>435</v>
      </c>
      <c r="B124" t="s">
        <v>165</v>
      </c>
      <c r="C124" t="s">
        <v>292</v>
      </c>
      <c r="D124" t="s">
        <v>293</v>
      </c>
      <c r="E124" t="s">
        <v>298</v>
      </c>
      <c r="F124" t="s">
        <v>438</v>
      </c>
      <c r="G124">
        <v>954</v>
      </c>
      <c r="H124">
        <v>123363.68000000001</v>
      </c>
      <c r="I124">
        <v>129.31</v>
      </c>
      <c r="J124">
        <v>0</v>
      </c>
      <c r="K124">
        <v>0</v>
      </c>
      <c r="L124">
        <v>0</v>
      </c>
      <c r="M124">
        <v>954</v>
      </c>
      <c r="N124">
        <v>123363.68000000001</v>
      </c>
      <c r="O124">
        <v>129.31</v>
      </c>
    </row>
    <row r="125" spans="1:15" x14ac:dyDescent="0.35">
      <c r="A125" t="s">
        <v>435</v>
      </c>
      <c r="B125" t="s">
        <v>165</v>
      </c>
      <c r="C125" t="s">
        <v>292</v>
      </c>
      <c r="D125" t="s">
        <v>293</v>
      </c>
      <c r="E125" t="s">
        <v>300</v>
      </c>
      <c r="F125" t="s">
        <v>439</v>
      </c>
      <c r="G125">
        <v>62</v>
      </c>
      <c r="H125">
        <v>9113.1999999999989</v>
      </c>
      <c r="I125">
        <v>146.99</v>
      </c>
      <c r="J125">
        <v>0</v>
      </c>
      <c r="K125">
        <v>0</v>
      </c>
      <c r="L125">
        <v>0</v>
      </c>
      <c r="M125">
        <v>62</v>
      </c>
      <c r="N125">
        <v>9113.1999999999989</v>
      </c>
      <c r="O125">
        <v>146.99</v>
      </c>
    </row>
    <row r="126" spans="1:15" x14ac:dyDescent="0.35">
      <c r="A126" t="s">
        <v>435</v>
      </c>
      <c r="B126" t="s">
        <v>165</v>
      </c>
      <c r="C126" t="s">
        <v>292</v>
      </c>
      <c r="D126" t="s">
        <v>293</v>
      </c>
      <c r="E126" t="s">
        <v>302</v>
      </c>
      <c r="F126" t="s">
        <v>440</v>
      </c>
      <c r="G126">
        <v>3</v>
      </c>
      <c r="H126">
        <v>464.31000000000006</v>
      </c>
      <c r="I126">
        <v>154.77000000000001</v>
      </c>
      <c r="J126">
        <v>0</v>
      </c>
      <c r="K126">
        <v>0</v>
      </c>
      <c r="L126">
        <v>0</v>
      </c>
      <c r="M126">
        <v>3</v>
      </c>
      <c r="N126">
        <v>464.31000000000006</v>
      </c>
      <c r="O126">
        <v>154.77000000000001</v>
      </c>
    </row>
    <row r="127" spans="1:15" x14ac:dyDescent="0.35">
      <c r="A127" t="s">
        <v>435</v>
      </c>
      <c r="B127" t="s">
        <v>165</v>
      </c>
      <c r="C127" t="s">
        <v>292</v>
      </c>
      <c r="D127" t="s">
        <v>293</v>
      </c>
      <c r="E127" t="s">
        <v>304</v>
      </c>
      <c r="F127" t="s">
        <v>441</v>
      </c>
      <c r="G127">
        <v>0</v>
      </c>
      <c r="H127">
        <v>0</v>
      </c>
      <c r="I127">
        <v>0</v>
      </c>
      <c r="J127">
        <v>0</v>
      </c>
      <c r="K127">
        <v>0</v>
      </c>
      <c r="L127">
        <v>0</v>
      </c>
      <c r="M127">
        <v>0</v>
      </c>
      <c r="N127">
        <v>0</v>
      </c>
      <c r="O127">
        <v>0</v>
      </c>
    </row>
    <row r="128" spans="1:15" x14ac:dyDescent="0.35">
      <c r="A128" t="s">
        <v>435</v>
      </c>
      <c r="B128" t="s">
        <v>165</v>
      </c>
      <c r="C128" t="s">
        <v>292</v>
      </c>
      <c r="D128" t="s">
        <v>293</v>
      </c>
      <c r="E128" t="s">
        <v>306</v>
      </c>
      <c r="F128" t="s">
        <v>442</v>
      </c>
      <c r="G128">
        <v>0</v>
      </c>
      <c r="H128">
        <v>0</v>
      </c>
      <c r="I128">
        <v>0</v>
      </c>
      <c r="J128">
        <v>0</v>
      </c>
      <c r="K128">
        <v>0</v>
      </c>
      <c r="L128">
        <v>0</v>
      </c>
      <c r="M128">
        <v>0</v>
      </c>
      <c r="N128">
        <v>0</v>
      </c>
      <c r="O128">
        <v>0</v>
      </c>
    </row>
    <row r="129" spans="1:15" x14ac:dyDescent="0.35">
      <c r="A129" t="s">
        <v>435</v>
      </c>
      <c r="B129" t="s">
        <v>165</v>
      </c>
      <c r="C129" t="s">
        <v>292</v>
      </c>
      <c r="D129" t="s">
        <v>293</v>
      </c>
      <c r="E129" t="s">
        <v>308</v>
      </c>
      <c r="F129" t="s">
        <v>443</v>
      </c>
      <c r="G129">
        <v>0</v>
      </c>
      <c r="H129">
        <v>0</v>
      </c>
      <c r="I129">
        <v>0</v>
      </c>
      <c r="J129">
        <v>0</v>
      </c>
      <c r="K129">
        <v>0</v>
      </c>
      <c r="L129">
        <v>0</v>
      </c>
      <c r="M129">
        <v>0</v>
      </c>
      <c r="N129">
        <v>0</v>
      </c>
      <c r="O129">
        <v>0</v>
      </c>
    </row>
    <row r="130" spans="1:15" x14ac:dyDescent="0.35">
      <c r="A130" t="s">
        <v>435</v>
      </c>
      <c r="B130" t="s">
        <v>165</v>
      </c>
      <c r="C130" t="s">
        <v>292</v>
      </c>
      <c r="D130" t="s">
        <v>293</v>
      </c>
      <c r="E130" t="s">
        <v>310</v>
      </c>
      <c r="F130" t="s">
        <v>444</v>
      </c>
      <c r="G130">
        <v>2322</v>
      </c>
      <c r="H130">
        <v>291479.05000000005</v>
      </c>
      <c r="I130">
        <v>125.53</v>
      </c>
      <c r="J130">
        <v>0</v>
      </c>
      <c r="K130">
        <v>0</v>
      </c>
      <c r="L130">
        <v>0</v>
      </c>
      <c r="M130">
        <v>2322</v>
      </c>
      <c r="N130">
        <v>291479.05000000005</v>
      </c>
      <c r="O130">
        <v>125.53</v>
      </c>
    </row>
    <row r="131" spans="1:15" x14ac:dyDescent="0.35">
      <c r="A131" t="s">
        <v>435</v>
      </c>
      <c r="B131" t="s">
        <v>165</v>
      </c>
      <c r="C131" t="s">
        <v>292</v>
      </c>
      <c r="D131" t="s">
        <v>293</v>
      </c>
      <c r="E131" t="s">
        <v>312</v>
      </c>
      <c r="F131" t="s">
        <v>445</v>
      </c>
      <c r="G131">
        <v>2322</v>
      </c>
      <c r="H131">
        <v>291479.05000000005</v>
      </c>
      <c r="I131">
        <v>125.53</v>
      </c>
      <c r="J131">
        <v>0</v>
      </c>
      <c r="K131">
        <v>0</v>
      </c>
      <c r="L131">
        <v>0</v>
      </c>
      <c r="M131">
        <v>2322</v>
      </c>
      <c r="N131">
        <v>291479.05000000005</v>
      </c>
      <c r="O131">
        <v>125.53</v>
      </c>
    </row>
    <row r="132" spans="1:15" x14ac:dyDescent="0.35">
      <c r="A132" t="s">
        <v>435</v>
      </c>
      <c r="B132" t="s">
        <v>165</v>
      </c>
      <c r="C132" t="s">
        <v>292</v>
      </c>
      <c r="D132" t="s">
        <v>314</v>
      </c>
      <c r="E132" t="s">
        <v>294</v>
      </c>
      <c r="F132" t="s">
        <v>446</v>
      </c>
      <c r="G132">
        <v>31</v>
      </c>
      <c r="H132">
        <v>5551.4800000000005</v>
      </c>
      <c r="I132">
        <v>179.08</v>
      </c>
      <c r="J132">
        <v>0</v>
      </c>
      <c r="K132">
        <v>0</v>
      </c>
      <c r="L132">
        <v>0</v>
      </c>
      <c r="M132">
        <v>31</v>
      </c>
      <c r="N132">
        <v>5551.4800000000005</v>
      </c>
      <c r="O132">
        <v>179.08</v>
      </c>
    </row>
    <row r="133" spans="1:15" x14ac:dyDescent="0.35">
      <c r="A133" t="s">
        <v>435</v>
      </c>
      <c r="B133" t="s">
        <v>165</v>
      </c>
      <c r="C133" t="s">
        <v>292</v>
      </c>
      <c r="D133" t="s">
        <v>314</v>
      </c>
      <c r="E133" t="s">
        <v>296</v>
      </c>
      <c r="F133" t="s">
        <v>447</v>
      </c>
      <c r="G133">
        <v>27</v>
      </c>
      <c r="H133">
        <v>6049.08</v>
      </c>
      <c r="I133">
        <v>224.04</v>
      </c>
      <c r="J133">
        <v>0</v>
      </c>
      <c r="K133">
        <v>0</v>
      </c>
      <c r="L133">
        <v>0</v>
      </c>
      <c r="M133">
        <v>27</v>
      </c>
      <c r="N133">
        <v>6049.08</v>
      </c>
      <c r="O133">
        <v>224.04</v>
      </c>
    </row>
    <row r="134" spans="1:15" x14ac:dyDescent="0.35">
      <c r="A134" t="s">
        <v>435</v>
      </c>
      <c r="B134" t="s">
        <v>165</v>
      </c>
      <c r="C134" t="s">
        <v>292</v>
      </c>
      <c r="D134" t="s">
        <v>314</v>
      </c>
      <c r="E134" t="s">
        <v>298</v>
      </c>
      <c r="F134" t="s">
        <v>448</v>
      </c>
      <c r="G134">
        <v>0</v>
      </c>
      <c r="H134">
        <v>0</v>
      </c>
      <c r="I134">
        <v>0</v>
      </c>
      <c r="J134">
        <v>0</v>
      </c>
      <c r="K134">
        <v>0</v>
      </c>
      <c r="L134">
        <v>0</v>
      </c>
      <c r="M134">
        <v>0</v>
      </c>
      <c r="N134">
        <v>0</v>
      </c>
      <c r="O134">
        <v>0</v>
      </c>
    </row>
    <row r="135" spans="1:15" x14ac:dyDescent="0.35">
      <c r="A135" t="s">
        <v>435</v>
      </c>
      <c r="B135" t="s">
        <v>165</v>
      </c>
      <c r="C135" t="s">
        <v>292</v>
      </c>
      <c r="D135" t="s">
        <v>314</v>
      </c>
      <c r="E135" t="s">
        <v>300</v>
      </c>
      <c r="F135" t="s">
        <v>449</v>
      </c>
      <c r="G135">
        <v>0</v>
      </c>
      <c r="H135">
        <v>0</v>
      </c>
      <c r="I135">
        <v>0</v>
      </c>
      <c r="J135">
        <v>0</v>
      </c>
      <c r="K135">
        <v>0</v>
      </c>
      <c r="L135">
        <v>0</v>
      </c>
      <c r="M135">
        <v>0</v>
      </c>
      <c r="N135">
        <v>0</v>
      </c>
      <c r="O135">
        <v>0</v>
      </c>
    </row>
    <row r="136" spans="1:15" x14ac:dyDescent="0.35">
      <c r="A136" t="s">
        <v>435</v>
      </c>
      <c r="B136" t="s">
        <v>165</v>
      </c>
      <c r="C136" t="s">
        <v>292</v>
      </c>
      <c r="D136" t="s">
        <v>314</v>
      </c>
      <c r="E136" t="s">
        <v>306</v>
      </c>
      <c r="F136" t="s">
        <v>450</v>
      </c>
      <c r="G136">
        <v>0</v>
      </c>
      <c r="H136">
        <v>0</v>
      </c>
      <c r="I136">
        <v>0</v>
      </c>
      <c r="J136">
        <v>0</v>
      </c>
      <c r="K136">
        <v>0</v>
      </c>
      <c r="L136">
        <v>0</v>
      </c>
      <c r="M136">
        <v>0</v>
      </c>
      <c r="N136">
        <v>0</v>
      </c>
      <c r="O136">
        <v>0</v>
      </c>
    </row>
    <row r="137" spans="1:15" x14ac:dyDescent="0.35">
      <c r="A137" t="s">
        <v>435</v>
      </c>
      <c r="B137" t="s">
        <v>165</v>
      </c>
      <c r="C137" t="s">
        <v>292</v>
      </c>
      <c r="D137" t="s">
        <v>314</v>
      </c>
      <c r="E137" t="s">
        <v>308</v>
      </c>
      <c r="F137" t="s">
        <v>451</v>
      </c>
      <c r="G137">
        <v>2</v>
      </c>
      <c r="H137">
        <v>268.89999999999998</v>
      </c>
      <c r="I137">
        <v>134.44999999999999</v>
      </c>
      <c r="J137">
        <v>0</v>
      </c>
      <c r="K137">
        <v>0</v>
      </c>
      <c r="L137">
        <v>0</v>
      </c>
      <c r="M137">
        <v>2</v>
      </c>
      <c r="N137">
        <v>268.89999999999998</v>
      </c>
      <c r="O137">
        <v>134.44999999999999</v>
      </c>
    </row>
    <row r="138" spans="1:15" x14ac:dyDescent="0.35">
      <c r="A138" t="s">
        <v>435</v>
      </c>
      <c r="B138" t="s">
        <v>165</v>
      </c>
      <c r="C138" t="s">
        <v>292</v>
      </c>
      <c r="D138" t="s">
        <v>314</v>
      </c>
      <c r="E138" t="s">
        <v>312</v>
      </c>
      <c r="F138" t="s">
        <v>452</v>
      </c>
      <c r="G138">
        <v>58</v>
      </c>
      <c r="H138">
        <v>11600.560000000001</v>
      </c>
      <c r="I138">
        <v>200.01</v>
      </c>
      <c r="J138">
        <v>0</v>
      </c>
      <c r="K138">
        <v>0</v>
      </c>
      <c r="L138">
        <v>0</v>
      </c>
      <c r="M138">
        <v>58</v>
      </c>
      <c r="N138">
        <v>11600.560000000001</v>
      </c>
      <c r="O138">
        <v>200.01</v>
      </c>
    </row>
    <row r="139" spans="1:15" x14ac:dyDescent="0.35">
      <c r="A139" t="s">
        <v>435</v>
      </c>
      <c r="B139" t="s">
        <v>165</v>
      </c>
      <c r="C139" t="s">
        <v>292</v>
      </c>
      <c r="D139" t="s">
        <v>314</v>
      </c>
      <c r="E139" t="s">
        <v>310</v>
      </c>
      <c r="F139" t="s">
        <v>453</v>
      </c>
      <c r="G139">
        <v>60</v>
      </c>
      <c r="H139">
        <v>11869.460000000001</v>
      </c>
      <c r="I139">
        <v>197.82</v>
      </c>
      <c r="J139">
        <v>0</v>
      </c>
      <c r="K139">
        <v>0</v>
      </c>
      <c r="L139">
        <v>0</v>
      </c>
      <c r="M139">
        <v>60</v>
      </c>
      <c r="N139">
        <v>11869.460000000001</v>
      </c>
      <c r="O139">
        <v>197.82</v>
      </c>
    </row>
    <row r="140" spans="1:15" x14ac:dyDescent="0.35">
      <c r="A140" t="s">
        <v>435</v>
      </c>
      <c r="B140" t="s">
        <v>165</v>
      </c>
      <c r="C140" t="s">
        <v>292</v>
      </c>
      <c r="D140" t="s">
        <v>323</v>
      </c>
      <c r="E140" t="s">
        <v>294</v>
      </c>
      <c r="F140" t="s">
        <v>454</v>
      </c>
      <c r="G140">
        <v>3152</v>
      </c>
      <c r="H140">
        <v>286292.57</v>
      </c>
      <c r="I140">
        <v>90.83</v>
      </c>
      <c r="J140">
        <v>0</v>
      </c>
      <c r="K140">
        <v>0</v>
      </c>
      <c r="L140">
        <v>0</v>
      </c>
      <c r="M140">
        <v>3152</v>
      </c>
      <c r="N140">
        <v>286292.57</v>
      </c>
      <c r="O140">
        <v>90.83</v>
      </c>
    </row>
    <row r="141" spans="1:15" x14ac:dyDescent="0.35">
      <c r="A141" t="s">
        <v>435</v>
      </c>
      <c r="B141" t="s">
        <v>165</v>
      </c>
      <c r="C141" t="s">
        <v>292</v>
      </c>
      <c r="D141" t="s">
        <v>323</v>
      </c>
      <c r="E141" t="s">
        <v>296</v>
      </c>
      <c r="F141" t="s">
        <v>455</v>
      </c>
      <c r="G141">
        <v>3550</v>
      </c>
      <c r="H141">
        <v>362129.48000000004</v>
      </c>
      <c r="I141">
        <v>102.01</v>
      </c>
      <c r="J141">
        <v>0</v>
      </c>
      <c r="K141">
        <v>0</v>
      </c>
      <c r="L141">
        <v>0</v>
      </c>
      <c r="M141">
        <v>3550</v>
      </c>
      <c r="N141">
        <v>362129.48000000004</v>
      </c>
      <c r="O141">
        <v>102.01</v>
      </c>
    </row>
    <row r="142" spans="1:15" x14ac:dyDescent="0.35">
      <c r="A142" t="s">
        <v>435</v>
      </c>
      <c r="B142" t="s">
        <v>165</v>
      </c>
      <c r="C142" t="s">
        <v>292</v>
      </c>
      <c r="D142" t="s">
        <v>323</v>
      </c>
      <c r="E142" t="s">
        <v>298</v>
      </c>
      <c r="F142" t="s">
        <v>456</v>
      </c>
      <c r="G142">
        <v>3521</v>
      </c>
      <c r="H142">
        <v>390492.86</v>
      </c>
      <c r="I142">
        <v>110.9</v>
      </c>
      <c r="J142">
        <v>0</v>
      </c>
      <c r="K142">
        <v>0</v>
      </c>
      <c r="L142">
        <v>0</v>
      </c>
      <c r="M142">
        <v>3521</v>
      </c>
      <c r="N142">
        <v>390492.86</v>
      </c>
      <c r="O142">
        <v>110.9</v>
      </c>
    </row>
    <row r="143" spans="1:15" x14ac:dyDescent="0.35">
      <c r="A143" t="s">
        <v>435</v>
      </c>
      <c r="B143" t="s">
        <v>165</v>
      </c>
      <c r="C143" t="s">
        <v>292</v>
      </c>
      <c r="D143" t="s">
        <v>323</v>
      </c>
      <c r="E143" t="s">
        <v>300</v>
      </c>
      <c r="F143" t="s">
        <v>457</v>
      </c>
      <c r="G143">
        <v>251</v>
      </c>
      <c r="H143">
        <v>30303.200000000001</v>
      </c>
      <c r="I143">
        <v>120.73</v>
      </c>
      <c r="J143">
        <v>0</v>
      </c>
      <c r="K143">
        <v>0</v>
      </c>
      <c r="L143">
        <v>0</v>
      </c>
      <c r="M143">
        <v>251</v>
      </c>
      <c r="N143">
        <v>30303.200000000001</v>
      </c>
      <c r="O143">
        <v>120.73</v>
      </c>
    </row>
    <row r="144" spans="1:15" x14ac:dyDescent="0.35">
      <c r="A144" t="s">
        <v>435</v>
      </c>
      <c r="B144" t="s">
        <v>165</v>
      </c>
      <c r="C144" t="s">
        <v>292</v>
      </c>
      <c r="D144" t="s">
        <v>323</v>
      </c>
      <c r="E144" t="s">
        <v>302</v>
      </c>
      <c r="F144" t="s">
        <v>458</v>
      </c>
      <c r="G144">
        <v>19</v>
      </c>
      <c r="H144">
        <v>2418.4299999999998</v>
      </c>
      <c r="I144">
        <v>127.29</v>
      </c>
      <c r="J144">
        <v>0</v>
      </c>
      <c r="K144">
        <v>0</v>
      </c>
      <c r="L144">
        <v>0</v>
      </c>
      <c r="M144">
        <v>19</v>
      </c>
      <c r="N144">
        <v>2418.4299999999998</v>
      </c>
      <c r="O144">
        <v>127.29</v>
      </c>
    </row>
    <row r="145" spans="1:15" x14ac:dyDescent="0.35">
      <c r="A145" t="s">
        <v>435</v>
      </c>
      <c r="B145" t="s">
        <v>165</v>
      </c>
      <c r="C145" t="s">
        <v>292</v>
      </c>
      <c r="D145" t="s">
        <v>323</v>
      </c>
      <c r="E145" t="s">
        <v>304</v>
      </c>
      <c r="F145" t="s">
        <v>459</v>
      </c>
      <c r="G145">
        <v>0</v>
      </c>
      <c r="H145">
        <v>0</v>
      </c>
      <c r="I145">
        <v>0</v>
      </c>
      <c r="J145">
        <v>0</v>
      </c>
      <c r="K145">
        <v>0</v>
      </c>
      <c r="L145">
        <v>0</v>
      </c>
      <c r="M145">
        <v>0</v>
      </c>
      <c r="N145">
        <v>0</v>
      </c>
      <c r="O145">
        <v>0</v>
      </c>
    </row>
    <row r="146" spans="1:15" x14ac:dyDescent="0.35">
      <c r="A146" t="s">
        <v>435</v>
      </c>
      <c r="B146" t="s">
        <v>165</v>
      </c>
      <c r="C146" t="s">
        <v>292</v>
      </c>
      <c r="D146" t="s">
        <v>323</v>
      </c>
      <c r="E146" t="s">
        <v>306</v>
      </c>
      <c r="F146" t="s">
        <v>460</v>
      </c>
      <c r="G146">
        <v>97</v>
      </c>
      <c r="H146">
        <v>7567.5400000000009</v>
      </c>
      <c r="I146">
        <v>78.02</v>
      </c>
      <c r="J146">
        <v>0</v>
      </c>
      <c r="K146">
        <v>0</v>
      </c>
      <c r="L146">
        <v>0</v>
      </c>
      <c r="M146">
        <v>97</v>
      </c>
      <c r="N146">
        <v>7567.5400000000009</v>
      </c>
      <c r="O146">
        <v>78.02</v>
      </c>
    </row>
    <row r="147" spans="1:15" x14ac:dyDescent="0.35">
      <c r="A147" t="s">
        <v>435</v>
      </c>
      <c r="B147" t="s">
        <v>165</v>
      </c>
      <c r="C147" t="s">
        <v>292</v>
      </c>
      <c r="D147" t="s">
        <v>323</v>
      </c>
      <c r="E147" t="s">
        <v>308</v>
      </c>
      <c r="F147" t="s">
        <v>461</v>
      </c>
      <c r="G147">
        <v>0</v>
      </c>
      <c r="H147">
        <v>0</v>
      </c>
      <c r="I147">
        <v>0</v>
      </c>
      <c r="J147">
        <v>0</v>
      </c>
      <c r="K147">
        <v>0</v>
      </c>
      <c r="L147">
        <v>0</v>
      </c>
      <c r="M147">
        <v>0</v>
      </c>
      <c r="N147">
        <v>0</v>
      </c>
      <c r="O147">
        <v>0</v>
      </c>
    </row>
    <row r="148" spans="1:15" x14ac:dyDescent="0.35">
      <c r="A148" t="s">
        <v>435</v>
      </c>
      <c r="B148" t="s">
        <v>165</v>
      </c>
      <c r="C148" t="s">
        <v>292</v>
      </c>
      <c r="D148" t="s">
        <v>323</v>
      </c>
      <c r="E148" t="s">
        <v>310</v>
      </c>
      <c r="F148" t="s">
        <v>462</v>
      </c>
      <c r="G148">
        <v>10590</v>
      </c>
      <c r="H148">
        <v>1079204.08</v>
      </c>
      <c r="I148">
        <v>101.91</v>
      </c>
      <c r="J148">
        <v>0</v>
      </c>
      <c r="K148">
        <v>0</v>
      </c>
      <c r="L148">
        <v>0</v>
      </c>
      <c r="M148">
        <v>10590</v>
      </c>
      <c r="N148">
        <v>1079204.08</v>
      </c>
      <c r="O148">
        <v>101.91</v>
      </c>
    </row>
    <row r="149" spans="1:15" x14ac:dyDescent="0.35">
      <c r="A149" t="s">
        <v>435</v>
      </c>
      <c r="B149" t="s">
        <v>165</v>
      </c>
      <c r="C149" t="s">
        <v>292</v>
      </c>
      <c r="D149" t="s">
        <v>323</v>
      </c>
      <c r="E149" t="s">
        <v>312</v>
      </c>
      <c r="F149" t="s">
        <v>463</v>
      </c>
      <c r="G149">
        <v>10590</v>
      </c>
      <c r="H149">
        <v>1079204.08</v>
      </c>
      <c r="I149">
        <v>101.91</v>
      </c>
      <c r="J149">
        <v>0</v>
      </c>
      <c r="K149">
        <v>0</v>
      </c>
      <c r="L149">
        <v>0</v>
      </c>
      <c r="M149">
        <v>10590</v>
      </c>
      <c r="N149">
        <v>1079204.08</v>
      </c>
      <c r="O149">
        <v>101.91</v>
      </c>
    </row>
    <row r="150" spans="1:15" x14ac:dyDescent="0.35">
      <c r="A150" t="s">
        <v>435</v>
      </c>
      <c r="B150" t="s">
        <v>165</v>
      </c>
      <c r="C150" t="s">
        <v>292</v>
      </c>
      <c r="D150" t="s">
        <v>334</v>
      </c>
      <c r="E150" t="s">
        <v>312</v>
      </c>
      <c r="F150" t="s">
        <v>464</v>
      </c>
      <c r="G150">
        <v>13101</v>
      </c>
      <c r="H150">
        <v>1370683.13</v>
      </c>
      <c r="I150">
        <v>106.16</v>
      </c>
      <c r="J150">
        <v>0</v>
      </c>
      <c r="K150">
        <v>0</v>
      </c>
      <c r="L150">
        <v>0</v>
      </c>
      <c r="M150">
        <v>13101</v>
      </c>
      <c r="N150">
        <v>1370683.13</v>
      </c>
      <c r="O150">
        <v>106.16</v>
      </c>
    </row>
    <row r="151" spans="1:15" x14ac:dyDescent="0.35">
      <c r="A151" t="s">
        <v>435</v>
      </c>
      <c r="B151" t="s">
        <v>165</v>
      </c>
      <c r="C151" t="s">
        <v>292</v>
      </c>
      <c r="D151" t="s">
        <v>334</v>
      </c>
      <c r="E151" t="s">
        <v>308</v>
      </c>
      <c r="F151" t="s">
        <v>465</v>
      </c>
      <c r="G151">
        <v>0</v>
      </c>
      <c r="H151">
        <v>0</v>
      </c>
      <c r="I151">
        <v>0</v>
      </c>
      <c r="J151">
        <v>0</v>
      </c>
      <c r="K151">
        <v>0</v>
      </c>
      <c r="L151">
        <v>0</v>
      </c>
      <c r="M151">
        <v>0</v>
      </c>
      <c r="N151">
        <v>0</v>
      </c>
      <c r="O151">
        <v>0</v>
      </c>
    </row>
    <row r="152" spans="1:15" x14ac:dyDescent="0.35">
      <c r="A152" t="s">
        <v>435</v>
      </c>
      <c r="B152" t="s">
        <v>165</v>
      </c>
      <c r="C152" t="s">
        <v>292</v>
      </c>
      <c r="D152" t="s">
        <v>337</v>
      </c>
      <c r="E152" t="s">
        <v>337</v>
      </c>
      <c r="F152" t="s">
        <v>466</v>
      </c>
      <c r="G152">
        <v>515</v>
      </c>
      <c r="J152">
        <v>0</v>
      </c>
      <c r="M152">
        <v>515</v>
      </c>
    </row>
    <row r="153" spans="1:15" x14ac:dyDescent="0.35">
      <c r="A153" t="s">
        <v>435</v>
      </c>
      <c r="B153" t="s">
        <v>165</v>
      </c>
      <c r="C153" t="s">
        <v>292</v>
      </c>
      <c r="D153" t="s">
        <v>339</v>
      </c>
      <c r="E153" t="s">
        <v>294</v>
      </c>
      <c r="F153" t="s">
        <v>467</v>
      </c>
      <c r="G153">
        <v>520</v>
      </c>
      <c r="H153">
        <v>52452.439999999995</v>
      </c>
      <c r="I153">
        <v>100.87</v>
      </c>
      <c r="J153">
        <v>0</v>
      </c>
      <c r="K153">
        <v>0</v>
      </c>
      <c r="L153">
        <v>0</v>
      </c>
      <c r="M153">
        <v>520</v>
      </c>
      <c r="N153">
        <v>52452.439999999995</v>
      </c>
      <c r="O153">
        <v>100.87</v>
      </c>
    </row>
    <row r="154" spans="1:15" x14ac:dyDescent="0.35">
      <c r="A154" t="s">
        <v>435</v>
      </c>
      <c r="B154" t="s">
        <v>165</v>
      </c>
      <c r="C154" t="s">
        <v>292</v>
      </c>
      <c r="D154" t="s">
        <v>339</v>
      </c>
      <c r="E154" t="s">
        <v>296</v>
      </c>
      <c r="F154" t="s">
        <v>468</v>
      </c>
      <c r="G154">
        <v>300</v>
      </c>
      <c r="H154">
        <v>35506.79</v>
      </c>
      <c r="I154">
        <v>118.36</v>
      </c>
      <c r="J154">
        <v>0</v>
      </c>
      <c r="K154">
        <v>0</v>
      </c>
      <c r="L154">
        <v>0</v>
      </c>
      <c r="M154">
        <v>300</v>
      </c>
      <c r="N154">
        <v>35506.79</v>
      </c>
      <c r="O154">
        <v>118.36</v>
      </c>
    </row>
    <row r="155" spans="1:15" x14ac:dyDescent="0.35">
      <c r="A155" t="s">
        <v>435</v>
      </c>
      <c r="B155" t="s">
        <v>165</v>
      </c>
      <c r="C155" t="s">
        <v>292</v>
      </c>
      <c r="D155" t="s">
        <v>339</v>
      </c>
      <c r="E155" t="s">
        <v>298</v>
      </c>
      <c r="F155" t="s">
        <v>469</v>
      </c>
      <c r="G155">
        <v>16</v>
      </c>
      <c r="H155">
        <v>2116.1</v>
      </c>
      <c r="I155">
        <v>132.26</v>
      </c>
      <c r="J155">
        <v>0</v>
      </c>
      <c r="K155">
        <v>0</v>
      </c>
      <c r="L155">
        <v>0</v>
      </c>
      <c r="M155">
        <v>16</v>
      </c>
      <c r="N155">
        <v>2116.1</v>
      </c>
      <c r="O155">
        <v>132.26</v>
      </c>
    </row>
    <row r="156" spans="1:15" x14ac:dyDescent="0.35">
      <c r="A156" t="s">
        <v>435</v>
      </c>
      <c r="B156" t="s">
        <v>165</v>
      </c>
      <c r="C156" t="s">
        <v>292</v>
      </c>
      <c r="D156" t="s">
        <v>339</v>
      </c>
      <c r="E156" t="s">
        <v>300</v>
      </c>
      <c r="F156" t="s">
        <v>470</v>
      </c>
      <c r="G156">
        <v>0</v>
      </c>
      <c r="H156">
        <v>0</v>
      </c>
      <c r="I156">
        <v>0</v>
      </c>
      <c r="J156">
        <v>0</v>
      </c>
      <c r="K156">
        <v>0</v>
      </c>
      <c r="L156">
        <v>0</v>
      </c>
      <c r="M156">
        <v>0</v>
      </c>
      <c r="N156">
        <v>0</v>
      </c>
      <c r="O156">
        <v>0</v>
      </c>
    </row>
    <row r="157" spans="1:15" x14ac:dyDescent="0.35">
      <c r="A157" t="s">
        <v>435</v>
      </c>
      <c r="B157" t="s">
        <v>165</v>
      </c>
      <c r="C157" t="s">
        <v>292</v>
      </c>
      <c r="D157" t="s">
        <v>339</v>
      </c>
      <c r="E157" t="s">
        <v>306</v>
      </c>
      <c r="F157" t="s">
        <v>471</v>
      </c>
      <c r="G157">
        <v>101</v>
      </c>
      <c r="H157">
        <v>8773.19</v>
      </c>
      <c r="I157">
        <v>86.86</v>
      </c>
      <c r="J157">
        <v>0</v>
      </c>
      <c r="K157">
        <v>0</v>
      </c>
      <c r="L157">
        <v>0</v>
      </c>
      <c r="M157">
        <v>101</v>
      </c>
      <c r="N157">
        <v>8773.19</v>
      </c>
      <c r="O157">
        <v>86.86</v>
      </c>
    </row>
    <row r="158" spans="1:15" x14ac:dyDescent="0.35">
      <c r="A158" t="s">
        <v>435</v>
      </c>
      <c r="B158" t="s">
        <v>165</v>
      </c>
      <c r="C158" t="s">
        <v>292</v>
      </c>
      <c r="D158" t="s">
        <v>339</v>
      </c>
      <c r="E158" t="s">
        <v>308</v>
      </c>
      <c r="F158" t="s">
        <v>472</v>
      </c>
      <c r="G158">
        <v>29</v>
      </c>
      <c r="H158">
        <v>3767.85</v>
      </c>
      <c r="I158">
        <v>129.93</v>
      </c>
      <c r="J158">
        <v>0</v>
      </c>
      <c r="K158">
        <v>0</v>
      </c>
      <c r="L158">
        <v>0</v>
      </c>
      <c r="M158">
        <v>29</v>
      </c>
      <c r="N158">
        <v>3767.85</v>
      </c>
      <c r="O158">
        <v>129.93</v>
      </c>
    </row>
    <row r="159" spans="1:15" x14ac:dyDescent="0.35">
      <c r="A159" t="s">
        <v>435</v>
      </c>
      <c r="B159" t="s">
        <v>165</v>
      </c>
      <c r="C159" t="s">
        <v>292</v>
      </c>
      <c r="D159" t="s">
        <v>339</v>
      </c>
      <c r="E159" t="s">
        <v>310</v>
      </c>
      <c r="F159" t="s">
        <v>473</v>
      </c>
      <c r="G159">
        <v>966</v>
      </c>
      <c r="H159">
        <v>102616.37000000001</v>
      </c>
      <c r="I159">
        <v>106.23</v>
      </c>
      <c r="J159">
        <v>0</v>
      </c>
      <c r="K159">
        <v>0</v>
      </c>
      <c r="L159">
        <v>0</v>
      </c>
      <c r="M159">
        <v>966</v>
      </c>
      <c r="N159">
        <v>102616.37000000001</v>
      </c>
      <c r="O159">
        <v>106.23</v>
      </c>
    </row>
    <row r="160" spans="1:15" x14ac:dyDescent="0.35">
      <c r="A160" t="s">
        <v>435</v>
      </c>
      <c r="B160" t="s">
        <v>165</v>
      </c>
      <c r="C160" t="s">
        <v>292</v>
      </c>
      <c r="D160" t="s">
        <v>339</v>
      </c>
      <c r="E160" t="s">
        <v>312</v>
      </c>
      <c r="F160" t="s">
        <v>474</v>
      </c>
      <c r="G160">
        <v>937</v>
      </c>
      <c r="H160">
        <v>98848.52</v>
      </c>
      <c r="I160">
        <v>105.49</v>
      </c>
      <c r="J160">
        <v>0</v>
      </c>
      <c r="K160">
        <v>0</v>
      </c>
      <c r="L160">
        <v>0</v>
      </c>
      <c r="M160">
        <v>937</v>
      </c>
      <c r="N160">
        <v>98848.52</v>
      </c>
      <c r="O160">
        <v>105.49</v>
      </c>
    </row>
    <row r="161" spans="1:15" x14ac:dyDescent="0.35">
      <c r="A161" t="s">
        <v>435</v>
      </c>
      <c r="B161" t="s">
        <v>165</v>
      </c>
      <c r="C161" t="s">
        <v>292</v>
      </c>
      <c r="D161" t="s">
        <v>348</v>
      </c>
      <c r="E161" t="s">
        <v>349</v>
      </c>
      <c r="F161" t="s">
        <v>475</v>
      </c>
      <c r="G161">
        <v>1071</v>
      </c>
      <c r="H161">
        <v>114485.83000000002</v>
      </c>
      <c r="I161">
        <v>111.58</v>
      </c>
      <c r="J161">
        <v>0</v>
      </c>
      <c r="K161">
        <v>0</v>
      </c>
      <c r="L161">
        <v>0</v>
      </c>
      <c r="M161">
        <v>1071</v>
      </c>
      <c r="N161">
        <v>114485.83000000002</v>
      </c>
      <c r="O161">
        <v>111.58</v>
      </c>
    </row>
    <row r="162" spans="1:15" x14ac:dyDescent="0.35">
      <c r="A162" t="s">
        <v>476</v>
      </c>
      <c r="B162" t="s">
        <v>477</v>
      </c>
      <c r="C162" t="s">
        <v>292</v>
      </c>
      <c r="D162" t="s">
        <v>293</v>
      </c>
      <c r="E162" t="s">
        <v>294</v>
      </c>
      <c r="F162" t="s">
        <v>478</v>
      </c>
      <c r="G162">
        <v>100</v>
      </c>
      <c r="H162">
        <v>10461.939999999999</v>
      </c>
      <c r="I162">
        <v>104.62</v>
      </c>
      <c r="J162">
        <v>467</v>
      </c>
      <c r="K162">
        <v>49866.26</v>
      </c>
      <c r="L162">
        <v>106.78</v>
      </c>
      <c r="M162">
        <v>567</v>
      </c>
      <c r="N162">
        <v>60328.2</v>
      </c>
      <c r="O162">
        <v>106.4</v>
      </c>
    </row>
    <row r="163" spans="1:15" x14ac:dyDescent="0.35">
      <c r="A163" t="s">
        <v>476</v>
      </c>
      <c r="B163" t="s">
        <v>477</v>
      </c>
      <c r="C163" t="s">
        <v>292</v>
      </c>
      <c r="D163" t="s">
        <v>293</v>
      </c>
      <c r="E163" t="s">
        <v>296</v>
      </c>
      <c r="F163" t="s">
        <v>479</v>
      </c>
      <c r="G163">
        <v>425</v>
      </c>
      <c r="H163">
        <v>50893.33</v>
      </c>
      <c r="I163">
        <v>119.75</v>
      </c>
      <c r="J163">
        <v>470</v>
      </c>
      <c r="K163">
        <v>51366.3</v>
      </c>
      <c r="L163">
        <v>109.29</v>
      </c>
      <c r="M163">
        <v>895</v>
      </c>
      <c r="N163">
        <v>102259.63</v>
      </c>
      <c r="O163">
        <v>114.26</v>
      </c>
    </row>
    <row r="164" spans="1:15" x14ac:dyDescent="0.35">
      <c r="A164" t="s">
        <v>476</v>
      </c>
      <c r="B164" t="s">
        <v>477</v>
      </c>
      <c r="C164" t="s">
        <v>292</v>
      </c>
      <c r="D164" t="s">
        <v>293</v>
      </c>
      <c r="E164" t="s">
        <v>298</v>
      </c>
      <c r="F164" t="s">
        <v>480</v>
      </c>
      <c r="G164">
        <v>217</v>
      </c>
      <c r="H164">
        <v>29015.7</v>
      </c>
      <c r="I164">
        <v>133.71</v>
      </c>
      <c r="J164">
        <v>287</v>
      </c>
      <c r="K164">
        <v>35553.56</v>
      </c>
      <c r="L164">
        <v>123.88</v>
      </c>
      <c r="M164">
        <v>504</v>
      </c>
      <c r="N164">
        <v>64569.259999999995</v>
      </c>
      <c r="O164">
        <v>128.11000000000001</v>
      </c>
    </row>
    <row r="165" spans="1:15" x14ac:dyDescent="0.35">
      <c r="A165" t="s">
        <v>476</v>
      </c>
      <c r="B165" t="s">
        <v>477</v>
      </c>
      <c r="C165" t="s">
        <v>292</v>
      </c>
      <c r="D165" t="s">
        <v>293</v>
      </c>
      <c r="E165" t="s">
        <v>300</v>
      </c>
      <c r="F165" t="s">
        <v>481</v>
      </c>
      <c r="G165">
        <v>26</v>
      </c>
      <c r="H165">
        <v>3767.1999999999994</v>
      </c>
      <c r="I165">
        <v>144.88999999999999</v>
      </c>
      <c r="J165">
        <v>15</v>
      </c>
      <c r="K165">
        <v>2740.2000000000003</v>
      </c>
      <c r="L165">
        <v>182.68</v>
      </c>
      <c r="M165">
        <v>41</v>
      </c>
      <c r="N165">
        <v>6507.4</v>
      </c>
      <c r="O165">
        <v>158.72</v>
      </c>
    </row>
    <row r="166" spans="1:15" x14ac:dyDescent="0.35">
      <c r="A166" t="s">
        <v>476</v>
      </c>
      <c r="B166" t="s">
        <v>477</v>
      </c>
      <c r="C166" t="s">
        <v>292</v>
      </c>
      <c r="D166" t="s">
        <v>293</v>
      </c>
      <c r="E166" t="s">
        <v>302</v>
      </c>
      <c r="F166" t="s">
        <v>482</v>
      </c>
      <c r="G166">
        <v>0</v>
      </c>
      <c r="H166">
        <v>0</v>
      </c>
      <c r="I166">
        <v>0</v>
      </c>
      <c r="J166">
        <v>1</v>
      </c>
      <c r="K166">
        <v>145.82</v>
      </c>
      <c r="L166">
        <v>145.82</v>
      </c>
      <c r="M166">
        <v>1</v>
      </c>
      <c r="N166">
        <v>145.82</v>
      </c>
      <c r="O166">
        <v>145.82</v>
      </c>
    </row>
    <row r="167" spans="1:15" x14ac:dyDescent="0.35">
      <c r="A167" t="s">
        <v>476</v>
      </c>
      <c r="B167" t="s">
        <v>477</v>
      </c>
      <c r="C167" t="s">
        <v>292</v>
      </c>
      <c r="D167" t="s">
        <v>293</v>
      </c>
      <c r="E167" t="s">
        <v>304</v>
      </c>
      <c r="F167" t="s">
        <v>483</v>
      </c>
      <c r="G167">
        <v>0</v>
      </c>
      <c r="H167">
        <v>0</v>
      </c>
      <c r="I167">
        <v>0</v>
      </c>
      <c r="J167">
        <v>0</v>
      </c>
      <c r="K167">
        <v>0</v>
      </c>
      <c r="L167">
        <v>0</v>
      </c>
      <c r="M167">
        <v>0</v>
      </c>
      <c r="N167">
        <v>0</v>
      </c>
      <c r="O167">
        <v>0</v>
      </c>
    </row>
    <row r="168" spans="1:15" x14ac:dyDescent="0.35">
      <c r="A168" t="s">
        <v>476</v>
      </c>
      <c r="B168" t="s">
        <v>477</v>
      </c>
      <c r="C168" t="s">
        <v>292</v>
      </c>
      <c r="D168" t="s">
        <v>293</v>
      </c>
      <c r="E168" t="s">
        <v>306</v>
      </c>
      <c r="F168" t="s">
        <v>484</v>
      </c>
      <c r="G168">
        <v>0</v>
      </c>
      <c r="H168">
        <v>0</v>
      </c>
      <c r="I168">
        <v>0</v>
      </c>
      <c r="J168">
        <v>0</v>
      </c>
      <c r="K168">
        <v>0</v>
      </c>
      <c r="L168">
        <v>0</v>
      </c>
      <c r="M168">
        <v>0</v>
      </c>
      <c r="N168">
        <v>0</v>
      </c>
      <c r="O168">
        <v>0</v>
      </c>
    </row>
    <row r="169" spans="1:15" x14ac:dyDescent="0.35">
      <c r="A169" t="s">
        <v>476</v>
      </c>
      <c r="B169" t="s">
        <v>477</v>
      </c>
      <c r="C169" t="s">
        <v>292</v>
      </c>
      <c r="D169" t="s">
        <v>293</v>
      </c>
      <c r="E169" t="s">
        <v>308</v>
      </c>
      <c r="F169" t="s">
        <v>485</v>
      </c>
      <c r="G169">
        <v>6</v>
      </c>
      <c r="H169">
        <v>545.16</v>
      </c>
      <c r="I169">
        <v>90.86</v>
      </c>
      <c r="J169">
        <v>0</v>
      </c>
      <c r="K169">
        <v>0</v>
      </c>
      <c r="L169">
        <v>0</v>
      </c>
      <c r="M169">
        <v>6</v>
      </c>
      <c r="N169">
        <v>545.16</v>
      </c>
      <c r="O169">
        <v>90.86</v>
      </c>
    </row>
    <row r="170" spans="1:15" x14ac:dyDescent="0.35">
      <c r="A170" t="s">
        <v>476</v>
      </c>
      <c r="B170" t="s">
        <v>477</v>
      </c>
      <c r="C170" t="s">
        <v>292</v>
      </c>
      <c r="D170" t="s">
        <v>293</v>
      </c>
      <c r="E170" t="s">
        <v>310</v>
      </c>
      <c r="F170" t="s">
        <v>486</v>
      </c>
      <c r="G170">
        <v>774</v>
      </c>
      <c r="H170">
        <v>94683.33</v>
      </c>
      <c r="I170">
        <v>122.33</v>
      </c>
      <c r="J170">
        <v>1240</v>
      </c>
      <c r="K170">
        <v>139672.14000000001</v>
      </c>
      <c r="L170">
        <v>112.64</v>
      </c>
      <c r="M170">
        <v>2014</v>
      </c>
      <c r="N170">
        <v>234355.47000000003</v>
      </c>
      <c r="O170">
        <v>116.36</v>
      </c>
    </row>
    <row r="171" spans="1:15" x14ac:dyDescent="0.35">
      <c r="A171" t="s">
        <v>476</v>
      </c>
      <c r="B171" t="s">
        <v>477</v>
      </c>
      <c r="C171" t="s">
        <v>292</v>
      </c>
      <c r="D171" t="s">
        <v>293</v>
      </c>
      <c r="E171" t="s">
        <v>312</v>
      </c>
      <c r="F171" t="s">
        <v>487</v>
      </c>
      <c r="G171">
        <v>768</v>
      </c>
      <c r="H171">
        <v>94138.17</v>
      </c>
      <c r="I171">
        <v>122.58</v>
      </c>
      <c r="J171">
        <v>1240</v>
      </c>
      <c r="K171">
        <v>139672.14000000001</v>
      </c>
      <c r="L171">
        <v>112.64</v>
      </c>
      <c r="M171">
        <v>2008</v>
      </c>
      <c r="N171">
        <v>233810.31</v>
      </c>
      <c r="O171">
        <v>116.44</v>
      </c>
    </row>
    <row r="172" spans="1:15" x14ac:dyDescent="0.35">
      <c r="A172" t="s">
        <v>476</v>
      </c>
      <c r="B172" t="s">
        <v>477</v>
      </c>
      <c r="C172" t="s">
        <v>292</v>
      </c>
      <c r="D172" t="s">
        <v>314</v>
      </c>
      <c r="E172" t="s">
        <v>294</v>
      </c>
      <c r="F172" t="s">
        <v>488</v>
      </c>
      <c r="G172">
        <v>0</v>
      </c>
      <c r="H172">
        <v>0</v>
      </c>
      <c r="I172">
        <v>0</v>
      </c>
      <c r="J172">
        <v>117</v>
      </c>
      <c r="K172">
        <v>17156.879999999997</v>
      </c>
      <c r="L172">
        <v>146.63999999999999</v>
      </c>
      <c r="M172">
        <v>117</v>
      </c>
      <c r="N172">
        <v>17156.879999999997</v>
      </c>
      <c r="O172">
        <v>146.63999999999999</v>
      </c>
    </row>
    <row r="173" spans="1:15" x14ac:dyDescent="0.35">
      <c r="A173" t="s">
        <v>476</v>
      </c>
      <c r="B173" t="s">
        <v>477</v>
      </c>
      <c r="C173" t="s">
        <v>292</v>
      </c>
      <c r="D173" t="s">
        <v>314</v>
      </c>
      <c r="E173" t="s">
        <v>296</v>
      </c>
      <c r="F173" t="s">
        <v>489</v>
      </c>
      <c r="G173">
        <v>48</v>
      </c>
      <c r="H173">
        <v>6304.2499999999991</v>
      </c>
      <c r="I173">
        <v>131.34</v>
      </c>
      <c r="J173">
        <v>5</v>
      </c>
      <c r="K173">
        <v>751.4</v>
      </c>
      <c r="L173">
        <v>150.28</v>
      </c>
      <c r="M173">
        <v>53</v>
      </c>
      <c r="N173">
        <v>7055.6499999999987</v>
      </c>
      <c r="O173">
        <v>133.13</v>
      </c>
    </row>
    <row r="174" spans="1:15" x14ac:dyDescent="0.35">
      <c r="A174" t="s">
        <v>476</v>
      </c>
      <c r="B174" t="s">
        <v>477</v>
      </c>
      <c r="C174" t="s">
        <v>292</v>
      </c>
      <c r="D174" t="s">
        <v>314</v>
      </c>
      <c r="E174" t="s">
        <v>298</v>
      </c>
      <c r="F174" t="s">
        <v>490</v>
      </c>
      <c r="G174">
        <v>0</v>
      </c>
      <c r="H174">
        <v>0</v>
      </c>
      <c r="I174">
        <v>0</v>
      </c>
      <c r="J174">
        <v>0</v>
      </c>
      <c r="K174">
        <v>0</v>
      </c>
      <c r="L174">
        <v>0</v>
      </c>
      <c r="M174">
        <v>0</v>
      </c>
      <c r="N174">
        <v>0</v>
      </c>
      <c r="O174">
        <v>0</v>
      </c>
    </row>
    <row r="175" spans="1:15" x14ac:dyDescent="0.35">
      <c r="A175" t="s">
        <v>476</v>
      </c>
      <c r="B175" t="s">
        <v>477</v>
      </c>
      <c r="C175" t="s">
        <v>292</v>
      </c>
      <c r="D175" t="s">
        <v>314</v>
      </c>
      <c r="E175" t="s">
        <v>300</v>
      </c>
      <c r="F175" t="s">
        <v>491</v>
      </c>
      <c r="G175">
        <v>0</v>
      </c>
      <c r="H175">
        <v>0</v>
      </c>
      <c r="I175">
        <v>0</v>
      </c>
      <c r="J175">
        <v>0</v>
      </c>
      <c r="K175">
        <v>0</v>
      </c>
      <c r="L175">
        <v>0</v>
      </c>
      <c r="M175">
        <v>0</v>
      </c>
      <c r="N175">
        <v>0</v>
      </c>
      <c r="O175">
        <v>0</v>
      </c>
    </row>
    <row r="176" spans="1:15" x14ac:dyDescent="0.35">
      <c r="A176" t="s">
        <v>476</v>
      </c>
      <c r="B176" t="s">
        <v>477</v>
      </c>
      <c r="C176" t="s">
        <v>292</v>
      </c>
      <c r="D176" t="s">
        <v>314</v>
      </c>
      <c r="E176" t="s">
        <v>306</v>
      </c>
      <c r="F176" t="s">
        <v>492</v>
      </c>
      <c r="G176">
        <v>0</v>
      </c>
      <c r="H176">
        <v>0</v>
      </c>
      <c r="I176">
        <v>0</v>
      </c>
      <c r="J176">
        <v>0</v>
      </c>
      <c r="K176">
        <v>0</v>
      </c>
      <c r="L176">
        <v>0</v>
      </c>
      <c r="M176">
        <v>0</v>
      </c>
      <c r="N176">
        <v>0</v>
      </c>
      <c r="O176">
        <v>0</v>
      </c>
    </row>
    <row r="177" spans="1:15" x14ac:dyDescent="0.35">
      <c r="A177" t="s">
        <v>476</v>
      </c>
      <c r="B177" t="s">
        <v>477</v>
      </c>
      <c r="C177" t="s">
        <v>292</v>
      </c>
      <c r="D177" t="s">
        <v>314</v>
      </c>
      <c r="E177" t="s">
        <v>308</v>
      </c>
      <c r="F177" t="s">
        <v>493</v>
      </c>
      <c r="G177">
        <v>0</v>
      </c>
      <c r="H177">
        <v>0</v>
      </c>
      <c r="I177">
        <v>0</v>
      </c>
      <c r="J177">
        <v>0</v>
      </c>
      <c r="K177">
        <v>0</v>
      </c>
      <c r="L177">
        <v>0</v>
      </c>
      <c r="M177">
        <v>0</v>
      </c>
      <c r="N177">
        <v>0</v>
      </c>
      <c r="O177">
        <v>0</v>
      </c>
    </row>
    <row r="178" spans="1:15" x14ac:dyDescent="0.35">
      <c r="A178" t="s">
        <v>476</v>
      </c>
      <c r="B178" t="s">
        <v>477</v>
      </c>
      <c r="C178" t="s">
        <v>292</v>
      </c>
      <c r="D178" t="s">
        <v>314</v>
      </c>
      <c r="E178" t="s">
        <v>312</v>
      </c>
      <c r="F178" t="s">
        <v>494</v>
      </c>
      <c r="G178">
        <v>48</v>
      </c>
      <c r="H178">
        <v>6304.2499999999991</v>
      </c>
      <c r="I178">
        <v>131.34</v>
      </c>
      <c r="J178">
        <v>122</v>
      </c>
      <c r="K178">
        <v>17908.28</v>
      </c>
      <c r="L178">
        <v>146.79</v>
      </c>
      <c r="M178">
        <v>170</v>
      </c>
      <c r="N178">
        <v>24212.53</v>
      </c>
      <c r="O178">
        <v>142.43</v>
      </c>
    </row>
    <row r="179" spans="1:15" x14ac:dyDescent="0.35">
      <c r="A179" t="s">
        <v>476</v>
      </c>
      <c r="B179" t="s">
        <v>477</v>
      </c>
      <c r="C179" t="s">
        <v>292</v>
      </c>
      <c r="D179" t="s">
        <v>314</v>
      </c>
      <c r="E179" t="s">
        <v>310</v>
      </c>
      <c r="F179" t="s">
        <v>495</v>
      </c>
      <c r="G179">
        <v>48</v>
      </c>
      <c r="H179">
        <v>6304.2499999999991</v>
      </c>
      <c r="I179">
        <v>131.34</v>
      </c>
      <c r="J179">
        <v>122</v>
      </c>
      <c r="K179">
        <v>17908.28</v>
      </c>
      <c r="L179">
        <v>146.79</v>
      </c>
      <c r="M179">
        <v>170</v>
      </c>
      <c r="N179">
        <v>24212.53</v>
      </c>
      <c r="O179">
        <v>142.43</v>
      </c>
    </row>
    <row r="180" spans="1:15" x14ac:dyDescent="0.35">
      <c r="A180" t="s">
        <v>476</v>
      </c>
      <c r="B180" t="s">
        <v>477</v>
      </c>
      <c r="C180" t="s">
        <v>292</v>
      </c>
      <c r="D180" t="s">
        <v>323</v>
      </c>
      <c r="E180" t="s">
        <v>294</v>
      </c>
      <c r="F180" t="s">
        <v>496</v>
      </c>
      <c r="G180">
        <v>356</v>
      </c>
      <c r="H180">
        <v>29373.170000000002</v>
      </c>
      <c r="I180">
        <v>82.51</v>
      </c>
      <c r="J180">
        <v>1236</v>
      </c>
      <c r="K180">
        <v>92267.400000000009</v>
      </c>
      <c r="L180">
        <v>74.650000000000006</v>
      </c>
      <c r="M180">
        <v>1592</v>
      </c>
      <c r="N180">
        <v>121640.57</v>
      </c>
      <c r="O180">
        <v>76.41</v>
      </c>
    </row>
    <row r="181" spans="1:15" x14ac:dyDescent="0.35">
      <c r="A181" t="s">
        <v>476</v>
      </c>
      <c r="B181" t="s">
        <v>477</v>
      </c>
      <c r="C181" t="s">
        <v>292</v>
      </c>
      <c r="D181" t="s">
        <v>323</v>
      </c>
      <c r="E181" t="s">
        <v>296</v>
      </c>
      <c r="F181" t="s">
        <v>497</v>
      </c>
      <c r="G181">
        <v>348</v>
      </c>
      <c r="H181">
        <v>33936.399999999994</v>
      </c>
      <c r="I181">
        <v>97.52</v>
      </c>
      <c r="J181">
        <v>1173</v>
      </c>
      <c r="K181">
        <v>99141.959999999992</v>
      </c>
      <c r="L181">
        <v>84.52</v>
      </c>
      <c r="M181">
        <v>1521</v>
      </c>
      <c r="N181">
        <v>133078.35999999999</v>
      </c>
      <c r="O181">
        <v>87.49</v>
      </c>
    </row>
    <row r="182" spans="1:15" x14ac:dyDescent="0.35">
      <c r="A182" t="s">
        <v>476</v>
      </c>
      <c r="B182" t="s">
        <v>477</v>
      </c>
      <c r="C182" t="s">
        <v>292</v>
      </c>
      <c r="D182" t="s">
        <v>323</v>
      </c>
      <c r="E182" t="s">
        <v>298</v>
      </c>
      <c r="F182" t="s">
        <v>498</v>
      </c>
      <c r="G182">
        <v>538</v>
      </c>
      <c r="H182">
        <v>56247.11</v>
      </c>
      <c r="I182">
        <v>104.55</v>
      </c>
      <c r="J182">
        <v>1185</v>
      </c>
      <c r="K182">
        <v>111354.45</v>
      </c>
      <c r="L182">
        <v>93.97</v>
      </c>
      <c r="M182">
        <v>1723</v>
      </c>
      <c r="N182">
        <v>167601.56</v>
      </c>
      <c r="O182">
        <v>97.27</v>
      </c>
    </row>
    <row r="183" spans="1:15" x14ac:dyDescent="0.35">
      <c r="A183" t="s">
        <v>476</v>
      </c>
      <c r="B183" t="s">
        <v>477</v>
      </c>
      <c r="C183" t="s">
        <v>292</v>
      </c>
      <c r="D183" t="s">
        <v>323</v>
      </c>
      <c r="E183" t="s">
        <v>300</v>
      </c>
      <c r="F183" t="s">
        <v>499</v>
      </c>
      <c r="G183">
        <v>48</v>
      </c>
      <c r="H183">
        <v>6028.89</v>
      </c>
      <c r="I183">
        <v>125.6</v>
      </c>
      <c r="J183">
        <v>27</v>
      </c>
      <c r="K183">
        <v>2706.21</v>
      </c>
      <c r="L183">
        <v>100.23</v>
      </c>
      <c r="M183">
        <v>75</v>
      </c>
      <c r="N183">
        <v>8735.1</v>
      </c>
      <c r="O183">
        <v>116.47</v>
      </c>
    </row>
    <row r="184" spans="1:15" x14ac:dyDescent="0.35">
      <c r="A184" t="s">
        <v>476</v>
      </c>
      <c r="B184" t="s">
        <v>477</v>
      </c>
      <c r="C184" t="s">
        <v>292</v>
      </c>
      <c r="D184" t="s">
        <v>323</v>
      </c>
      <c r="E184" t="s">
        <v>302</v>
      </c>
      <c r="F184" t="s">
        <v>500</v>
      </c>
      <c r="G184">
        <v>0</v>
      </c>
      <c r="H184">
        <v>0</v>
      </c>
      <c r="I184">
        <v>0</v>
      </c>
      <c r="J184">
        <v>0</v>
      </c>
      <c r="K184">
        <v>0</v>
      </c>
      <c r="L184">
        <v>0</v>
      </c>
      <c r="M184">
        <v>0</v>
      </c>
      <c r="N184">
        <v>0</v>
      </c>
      <c r="O184">
        <v>0</v>
      </c>
    </row>
    <row r="185" spans="1:15" x14ac:dyDescent="0.35">
      <c r="A185" t="s">
        <v>476</v>
      </c>
      <c r="B185" t="s">
        <v>477</v>
      </c>
      <c r="C185" t="s">
        <v>292</v>
      </c>
      <c r="D185" t="s">
        <v>323</v>
      </c>
      <c r="E185" t="s">
        <v>304</v>
      </c>
      <c r="F185" t="s">
        <v>501</v>
      </c>
      <c r="G185">
        <v>0</v>
      </c>
      <c r="H185">
        <v>0</v>
      </c>
      <c r="I185">
        <v>0</v>
      </c>
      <c r="J185">
        <v>0</v>
      </c>
      <c r="K185">
        <v>0</v>
      </c>
      <c r="L185">
        <v>0</v>
      </c>
      <c r="M185">
        <v>0</v>
      </c>
      <c r="N185">
        <v>0</v>
      </c>
      <c r="O185">
        <v>0</v>
      </c>
    </row>
    <row r="186" spans="1:15" x14ac:dyDescent="0.35">
      <c r="A186" t="s">
        <v>476</v>
      </c>
      <c r="B186" t="s">
        <v>477</v>
      </c>
      <c r="C186" t="s">
        <v>292</v>
      </c>
      <c r="D186" t="s">
        <v>323</v>
      </c>
      <c r="E186" t="s">
        <v>306</v>
      </c>
      <c r="F186" t="s">
        <v>502</v>
      </c>
      <c r="G186">
        <v>0</v>
      </c>
      <c r="H186">
        <v>0</v>
      </c>
      <c r="I186">
        <v>0</v>
      </c>
      <c r="J186">
        <v>0</v>
      </c>
      <c r="K186">
        <v>0</v>
      </c>
      <c r="L186">
        <v>0</v>
      </c>
      <c r="M186">
        <v>0</v>
      </c>
      <c r="N186">
        <v>0</v>
      </c>
      <c r="O186">
        <v>0</v>
      </c>
    </row>
    <row r="187" spans="1:15" x14ac:dyDescent="0.35">
      <c r="A187" t="s">
        <v>476</v>
      </c>
      <c r="B187" t="s">
        <v>477</v>
      </c>
      <c r="C187" t="s">
        <v>292</v>
      </c>
      <c r="D187" t="s">
        <v>323</v>
      </c>
      <c r="E187" t="s">
        <v>308</v>
      </c>
      <c r="F187" t="s">
        <v>503</v>
      </c>
      <c r="G187">
        <v>0</v>
      </c>
      <c r="H187">
        <v>0</v>
      </c>
      <c r="I187">
        <v>0</v>
      </c>
      <c r="J187">
        <v>0</v>
      </c>
      <c r="K187">
        <v>0</v>
      </c>
      <c r="L187">
        <v>0</v>
      </c>
      <c r="M187">
        <v>0</v>
      </c>
      <c r="N187">
        <v>0</v>
      </c>
      <c r="O187">
        <v>0</v>
      </c>
    </row>
    <row r="188" spans="1:15" x14ac:dyDescent="0.35">
      <c r="A188" t="s">
        <v>476</v>
      </c>
      <c r="B188" t="s">
        <v>477</v>
      </c>
      <c r="C188" t="s">
        <v>292</v>
      </c>
      <c r="D188" t="s">
        <v>323</v>
      </c>
      <c r="E188" t="s">
        <v>310</v>
      </c>
      <c r="F188" t="s">
        <v>504</v>
      </c>
      <c r="G188">
        <v>1290</v>
      </c>
      <c r="H188">
        <v>125585.56999999999</v>
      </c>
      <c r="I188">
        <v>97.35</v>
      </c>
      <c r="J188">
        <v>3621</v>
      </c>
      <c r="K188">
        <v>305470.02</v>
      </c>
      <c r="L188">
        <v>84.36</v>
      </c>
      <c r="M188">
        <v>4911</v>
      </c>
      <c r="N188">
        <v>431055.59</v>
      </c>
      <c r="O188">
        <v>87.77</v>
      </c>
    </row>
    <row r="189" spans="1:15" x14ac:dyDescent="0.35">
      <c r="A189" t="s">
        <v>476</v>
      </c>
      <c r="B189" t="s">
        <v>477</v>
      </c>
      <c r="C189" t="s">
        <v>292</v>
      </c>
      <c r="D189" t="s">
        <v>323</v>
      </c>
      <c r="E189" t="s">
        <v>312</v>
      </c>
      <c r="F189" t="s">
        <v>505</v>
      </c>
      <c r="G189">
        <v>1290</v>
      </c>
      <c r="H189">
        <v>125585.56999999999</v>
      </c>
      <c r="I189">
        <v>97.35</v>
      </c>
      <c r="J189">
        <v>3621</v>
      </c>
      <c r="K189">
        <v>305470.02</v>
      </c>
      <c r="L189">
        <v>84.36</v>
      </c>
      <c r="M189">
        <v>4911</v>
      </c>
      <c r="N189">
        <v>431055.59</v>
      </c>
      <c r="O189">
        <v>87.77</v>
      </c>
    </row>
    <row r="190" spans="1:15" x14ac:dyDescent="0.35">
      <c r="A190" t="s">
        <v>476</v>
      </c>
      <c r="B190" t="s">
        <v>477</v>
      </c>
      <c r="C190" t="s">
        <v>292</v>
      </c>
      <c r="D190" t="s">
        <v>334</v>
      </c>
      <c r="E190" t="s">
        <v>312</v>
      </c>
      <c r="F190" t="s">
        <v>506</v>
      </c>
      <c r="G190">
        <v>2240</v>
      </c>
      <c r="H190">
        <v>219723.74</v>
      </c>
      <c r="I190">
        <v>106.77</v>
      </c>
      <c r="J190">
        <v>4861</v>
      </c>
      <c r="K190">
        <v>445142.16000000003</v>
      </c>
      <c r="L190">
        <v>91.57</v>
      </c>
      <c r="M190">
        <v>7101</v>
      </c>
      <c r="N190">
        <v>664865.9</v>
      </c>
      <c r="O190">
        <v>96.09</v>
      </c>
    </row>
    <row r="191" spans="1:15" x14ac:dyDescent="0.35">
      <c r="A191" t="s">
        <v>476</v>
      </c>
      <c r="B191" t="s">
        <v>477</v>
      </c>
      <c r="C191" t="s">
        <v>292</v>
      </c>
      <c r="D191" t="s">
        <v>334</v>
      </c>
      <c r="E191" t="s">
        <v>308</v>
      </c>
      <c r="F191" t="s">
        <v>507</v>
      </c>
      <c r="G191">
        <v>6</v>
      </c>
      <c r="H191">
        <v>545.16</v>
      </c>
      <c r="I191">
        <v>90.86</v>
      </c>
      <c r="J191">
        <v>0</v>
      </c>
      <c r="K191">
        <v>0</v>
      </c>
      <c r="L191">
        <v>0</v>
      </c>
      <c r="M191">
        <v>6</v>
      </c>
      <c r="N191">
        <v>545.16</v>
      </c>
      <c r="O191">
        <v>90.86</v>
      </c>
    </row>
    <row r="192" spans="1:15" x14ac:dyDescent="0.35">
      <c r="A192" t="s">
        <v>476</v>
      </c>
      <c r="B192" t="s">
        <v>477</v>
      </c>
      <c r="C192" t="s">
        <v>292</v>
      </c>
      <c r="D192" t="s">
        <v>337</v>
      </c>
      <c r="E192" t="s">
        <v>337</v>
      </c>
      <c r="F192" t="s">
        <v>508</v>
      </c>
      <c r="G192">
        <v>168</v>
      </c>
      <c r="J192">
        <v>0</v>
      </c>
      <c r="M192">
        <v>168</v>
      </c>
    </row>
    <row r="193" spans="1:15" x14ac:dyDescent="0.35">
      <c r="A193" t="s">
        <v>476</v>
      </c>
      <c r="B193" t="s">
        <v>477</v>
      </c>
      <c r="C193" t="s">
        <v>292</v>
      </c>
      <c r="D193" t="s">
        <v>339</v>
      </c>
      <c r="E193" t="s">
        <v>294</v>
      </c>
      <c r="F193" t="s">
        <v>509</v>
      </c>
      <c r="G193">
        <v>302</v>
      </c>
      <c r="H193">
        <v>37048.36</v>
      </c>
      <c r="I193">
        <v>122.68</v>
      </c>
      <c r="J193">
        <v>241</v>
      </c>
      <c r="K193">
        <v>18679.91</v>
      </c>
      <c r="L193">
        <v>77.510000000000005</v>
      </c>
      <c r="M193">
        <v>543</v>
      </c>
      <c r="N193">
        <v>55728.270000000004</v>
      </c>
      <c r="O193">
        <v>102.63</v>
      </c>
    </row>
    <row r="194" spans="1:15" x14ac:dyDescent="0.35">
      <c r="A194" t="s">
        <v>476</v>
      </c>
      <c r="B194" t="s">
        <v>477</v>
      </c>
      <c r="C194" t="s">
        <v>292</v>
      </c>
      <c r="D194" t="s">
        <v>339</v>
      </c>
      <c r="E194" t="s">
        <v>296</v>
      </c>
      <c r="F194" t="s">
        <v>510</v>
      </c>
      <c r="G194">
        <v>190</v>
      </c>
      <c r="H194">
        <v>19638.099999999999</v>
      </c>
      <c r="I194">
        <v>103.36</v>
      </c>
      <c r="J194">
        <v>14</v>
      </c>
      <c r="K194">
        <v>1166.8999999999999</v>
      </c>
      <c r="L194">
        <v>83.35</v>
      </c>
      <c r="M194">
        <v>204</v>
      </c>
      <c r="N194">
        <v>20805</v>
      </c>
      <c r="O194">
        <v>101.99</v>
      </c>
    </row>
    <row r="195" spans="1:15" x14ac:dyDescent="0.35">
      <c r="A195" t="s">
        <v>476</v>
      </c>
      <c r="B195" t="s">
        <v>477</v>
      </c>
      <c r="C195" t="s">
        <v>292</v>
      </c>
      <c r="D195" t="s">
        <v>339</v>
      </c>
      <c r="E195" t="s">
        <v>298</v>
      </c>
      <c r="F195" t="s">
        <v>511</v>
      </c>
      <c r="G195">
        <v>6</v>
      </c>
      <c r="H195">
        <v>709.65</v>
      </c>
      <c r="I195">
        <v>118.28</v>
      </c>
      <c r="J195">
        <v>2</v>
      </c>
      <c r="K195">
        <v>187.68</v>
      </c>
      <c r="L195">
        <v>93.84</v>
      </c>
      <c r="M195">
        <v>8</v>
      </c>
      <c r="N195">
        <v>897.32999999999993</v>
      </c>
      <c r="O195">
        <v>112.17</v>
      </c>
    </row>
    <row r="196" spans="1:15" x14ac:dyDescent="0.35">
      <c r="A196" t="s">
        <v>476</v>
      </c>
      <c r="B196" t="s">
        <v>477</v>
      </c>
      <c r="C196" t="s">
        <v>292</v>
      </c>
      <c r="D196" t="s">
        <v>339</v>
      </c>
      <c r="E196" t="s">
        <v>300</v>
      </c>
      <c r="F196" t="s">
        <v>512</v>
      </c>
      <c r="G196">
        <v>0</v>
      </c>
      <c r="H196">
        <v>0</v>
      </c>
      <c r="I196">
        <v>0</v>
      </c>
      <c r="J196">
        <v>0</v>
      </c>
      <c r="K196">
        <v>0</v>
      </c>
      <c r="L196">
        <v>0</v>
      </c>
      <c r="M196">
        <v>0</v>
      </c>
      <c r="N196">
        <v>0</v>
      </c>
      <c r="O196">
        <v>0</v>
      </c>
    </row>
    <row r="197" spans="1:15" x14ac:dyDescent="0.35">
      <c r="A197" t="s">
        <v>476</v>
      </c>
      <c r="B197" t="s">
        <v>477</v>
      </c>
      <c r="C197" t="s">
        <v>292</v>
      </c>
      <c r="D197" t="s">
        <v>339</v>
      </c>
      <c r="E197" t="s">
        <v>306</v>
      </c>
      <c r="F197" t="s">
        <v>513</v>
      </c>
      <c r="G197">
        <v>48</v>
      </c>
      <c r="H197">
        <v>3923.37</v>
      </c>
      <c r="I197">
        <v>81.739999999999995</v>
      </c>
      <c r="J197">
        <v>0</v>
      </c>
      <c r="K197">
        <v>0</v>
      </c>
      <c r="L197">
        <v>0</v>
      </c>
      <c r="M197">
        <v>48</v>
      </c>
      <c r="N197">
        <v>3923.37</v>
      </c>
      <c r="O197">
        <v>81.739999999999995</v>
      </c>
    </row>
    <row r="198" spans="1:15" x14ac:dyDescent="0.35">
      <c r="A198" t="s">
        <v>476</v>
      </c>
      <c r="B198" t="s">
        <v>477</v>
      </c>
      <c r="C198" t="s">
        <v>292</v>
      </c>
      <c r="D198" t="s">
        <v>339</v>
      </c>
      <c r="E198" t="s">
        <v>308</v>
      </c>
      <c r="F198" t="s">
        <v>514</v>
      </c>
      <c r="G198">
        <v>102</v>
      </c>
      <c r="H198">
        <v>15152.99</v>
      </c>
      <c r="I198">
        <v>148.56</v>
      </c>
      <c r="J198">
        <v>0</v>
      </c>
      <c r="K198">
        <v>0</v>
      </c>
      <c r="L198">
        <v>0</v>
      </c>
      <c r="M198">
        <v>102</v>
      </c>
      <c r="N198">
        <v>15152.99</v>
      </c>
      <c r="O198">
        <v>148.56</v>
      </c>
    </row>
    <row r="199" spans="1:15" x14ac:dyDescent="0.35">
      <c r="A199" t="s">
        <v>476</v>
      </c>
      <c r="B199" t="s">
        <v>477</v>
      </c>
      <c r="C199" t="s">
        <v>292</v>
      </c>
      <c r="D199" t="s">
        <v>339</v>
      </c>
      <c r="E199" t="s">
        <v>310</v>
      </c>
      <c r="F199" t="s">
        <v>515</v>
      </c>
      <c r="G199">
        <v>648</v>
      </c>
      <c r="H199">
        <v>76472.47</v>
      </c>
      <c r="I199">
        <v>118.01</v>
      </c>
      <c r="J199">
        <v>257</v>
      </c>
      <c r="K199">
        <v>20034.490000000002</v>
      </c>
      <c r="L199">
        <v>77.959999999999994</v>
      </c>
      <c r="M199">
        <v>905</v>
      </c>
      <c r="N199">
        <v>96506.96</v>
      </c>
      <c r="O199">
        <v>106.64</v>
      </c>
    </row>
    <row r="200" spans="1:15" x14ac:dyDescent="0.35">
      <c r="A200" t="s">
        <v>476</v>
      </c>
      <c r="B200" t="s">
        <v>477</v>
      </c>
      <c r="C200" t="s">
        <v>292</v>
      </c>
      <c r="D200" t="s">
        <v>339</v>
      </c>
      <c r="E200" t="s">
        <v>312</v>
      </c>
      <c r="F200" t="s">
        <v>516</v>
      </c>
      <c r="G200">
        <v>546</v>
      </c>
      <c r="H200">
        <v>61319.48</v>
      </c>
      <c r="I200">
        <v>112.31</v>
      </c>
      <c r="J200">
        <v>257</v>
      </c>
      <c r="K200">
        <v>20034.490000000002</v>
      </c>
      <c r="L200">
        <v>77.959999999999994</v>
      </c>
      <c r="M200">
        <v>803</v>
      </c>
      <c r="N200">
        <v>81353.97</v>
      </c>
      <c r="O200">
        <v>101.31</v>
      </c>
    </row>
    <row r="201" spans="1:15" x14ac:dyDescent="0.35">
      <c r="A201" t="s">
        <v>476</v>
      </c>
      <c r="B201" t="s">
        <v>477</v>
      </c>
      <c r="C201" t="s">
        <v>292</v>
      </c>
      <c r="D201" t="s">
        <v>348</v>
      </c>
      <c r="E201" t="s">
        <v>349</v>
      </c>
      <c r="F201" t="s">
        <v>517</v>
      </c>
      <c r="G201">
        <v>938</v>
      </c>
      <c r="H201">
        <v>82776.72</v>
      </c>
      <c r="I201">
        <v>118.93</v>
      </c>
      <c r="J201">
        <v>379</v>
      </c>
      <c r="K201">
        <v>37942.770000000004</v>
      </c>
      <c r="L201">
        <v>100.11</v>
      </c>
      <c r="M201">
        <v>1317</v>
      </c>
      <c r="N201">
        <v>120719.49</v>
      </c>
      <c r="O201">
        <v>112.3</v>
      </c>
    </row>
    <row r="202" spans="1:15" x14ac:dyDescent="0.35">
      <c r="A202" t="s">
        <v>518</v>
      </c>
      <c r="B202" t="s">
        <v>519</v>
      </c>
      <c r="C202" t="s">
        <v>520</v>
      </c>
      <c r="D202" t="s">
        <v>293</v>
      </c>
      <c r="E202" t="s">
        <v>294</v>
      </c>
      <c r="F202" t="s">
        <v>521</v>
      </c>
      <c r="G202">
        <v>306</v>
      </c>
      <c r="H202">
        <v>32959.33</v>
      </c>
      <c r="I202">
        <v>107.71</v>
      </c>
      <c r="J202">
        <v>0</v>
      </c>
      <c r="K202">
        <v>0</v>
      </c>
      <c r="L202">
        <v>0</v>
      </c>
      <c r="M202">
        <v>306</v>
      </c>
      <c r="N202">
        <v>32959.33</v>
      </c>
      <c r="O202">
        <v>107.71</v>
      </c>
    </row>
    <row r="203" spans="1:15" x14ac:dyDescent="0.35">
      <c r="A203" t="s">
        <v>518</v>
      </c>
      <c r="B203" t="s">
        <v>519</v>
      </c>
      <c r="C203" t="s">
        <v>520</v>
      </c>
      <c r="D203" t="s">
        <v>293</v>
      </c>
      <c r="E203" t="s">
        <v>296</v>
      </c>
      <c r="F203" t="s">
        <v>522</v>
      </c>
      <c r="G203">
        <v>1029</v>
      </c>
      <c r="H203">
        <v>128698.20999999999</v>
      </c>
      <c r="I203">
        <v>125.07</v>
      </c>
      <c r="J203">
        <v>0</v>
      </c>
      <c r="K203">
        <v>0</v>
      </c>
      <c r="L203">
        <v>0</v>
      </c>
      <c r="M203">
        <v>1029</v>
      </c>
      <c r="N203">
        <v>128698.20999999999</v>
      </c>
      <c r="O203">
        <v>125.07</v>
      </c>
    </row>
    <row r="204" spans="1:15" x14ac:dyDescent="0.35">
      <c r="A204" t="s">
        <v>518</v>
      </c>
      <c r="B204" t="s">
        <v>519</v>
      </c>
      <c r="C204" t="s">
        <v>520</v>
      </c>
      <c r="D204" t="s">
        <v>293</v>
      </c>
      <c r="E204" t="s">
        <v>298</v>
      </c>
      <c r="F204" t="s">
        <v>523</v>
      </c>
      <c r="G204">
        <v>846</v>
      </c>
      <c r="H204">
        <v>114624.65999999999</v>
      </c>
      <c r="I204">
        <v>135.49</v>
      </c>
      <c r="J204">
        <v>0</v>
      </c>
      <c r="K204">
        <v>0</v>
      </c>
      <c r="L204">
        <v>0</v>
      </c>
      <c r="M204">
        <v>846</v>
      </c>
      <c r="N204">
        <v>114624.65999999999</v>
      </c>
      <c r="O204">
        <v>135.49</v>
      </c>
    </row>
    <row r="205" spans="1:15" x14ac:dyDescent="0.35">
      <c r="A205" t="s">
        <v>518</v>
      </c>
      <c r="B205" t="s">
        <v>519</v>
      </c>
      <c r="C205" t="s">
        <v>520</v>
      </c>
      <c r="D205" t="s">
        <v>293</v>
      </c>
      <c r="E205" t="s">
        <v>300</v>
      </c>
      <c r="F205" t="s">
        <v>524</v>
      </c>
      <c r="G205">
        <v>63</v>
      </c>
      <c r="H205">
        <v>9232.93</v>
      </c>
      <c r="I205">
        <v>146.55000000000001</v>
      </c>
      <c r="J205">
        <v>0</v>
      </c>
      <c r="K205">
        <v>0</v>
      </c>
      <c r="L205">
        <v>0</v>
      </c>
      <c r="M205">
        <v>63</v>
      </c>
      <c r="N205">
        <v>9232.93</v>
      </c>
      <c r="O205">
        <v>146.55000000000001</v>
      </c>
    </row>
    <row r="206" spans="1:15" x14ac:dyDescent="0.35">
      <c r="A206" t="s">
        <v>518</v>
      </c>
      <c r="B206" t="s">
        <v>519</v>
      </c>
      <c r="C206" t="s">
        <v>520</v>
      </c>
      <c r="D206" t="s">
        <v>293</v>
      </c>
      <c r="E206" t="s">
        <v>302</v>
      </c>
      <c r="F206" t="s">
        <v>525</v>
      </c>
      <c r="G206">
        <v>1</v>
      </c>
      <c r="H206">
        <v>153.91999999999999</v>
      </c>
      <c r="I206">
        <v>153.91999999999999</v>
      </c>
      <c r="J206">
        <v>0</v>
      </c>
      <c r="K206">
        <v>0</v>
      </c>
      <c r="L206">
        <v>0</v>
      </c>
      <c r="M206">
        <v>1</v>
      </c>
      <c r="N206">
        <v>153.91999999999999</v>
      </c>
      <c r="O206">
        <v>153.91999999999999</v>
      </c>
    </row>
    <row r="207" spans="1:15" x14ac:dyDescent="0.35">
      <c r="A207" t="s">
        <v>518</v>
      </c>
      <c r="B207" t="s">
        <v>519</v>
      </c>
      <c r="C207" t="s">
        <v>520</v>
      </c>
      <c r="D207" t="s">
        <v>293</v>
      </c>
      <c r="E207" t="s">
        <v>304</v>
      </c>
      <c r="F207" t="s">
        <v>526</v>
      </c>
      <c r="G207">
        <v>0</v>
      </c>
      <c r="H207">
        <v>0</v>
      </c>
      <c r="I207">
        <v>0</v>
      </c>
      <c r="J207">
        <v>0</v>
      </c>
      <c r="K207">
        <v>0</v>
      </c>
      <c r="L207">
        <v>0</v>
      </c>
      <c r="M207">
        <v>0</v>
      </c>
      <c r="N207">
        <v>0</v>
      </c>
      <c r="O207">
        <v>0</v>
      </c>
    </row>
    <row r="208" spans="1:15" x14ac:dyDescent="0.35">
      <c r="A208" t="s">
        <v>518</v>
      </c>
      <c r="B208" t="s">
        <v>519</v>
      </c>
      <c r="C208" t="s">
        <v>520</v>
      </c>
      <c r="D208" t="s">
        <v>293</v>
      </c>
      <c r="E208" t="s">
        <v>306</v>
      </c>
      <c r="F208" t="s">
        <v>527</v>
      </c>
      <c r="G208">
        <v>0</v>
      </c>
      <c r="H208">
        <v>0</v>
      </c>
      <c r="I208">
        <v>0</v>
      </c>
      <c r="J208">
        <v>0</v>
      </c>
      <c r="K208">
        <v>0</v>
      </c>
      <c r="L208">
        <v>0</v>
      </c>
      <c r="M208">
        <v>0</v>
      </c>
      <c r="N208">
        <v>0</v>
      </c>
      <c r="O208">
        <v>0</v>
      </c>
    </row>
    <row r="209" spans="1:15" x14ac:dyDescent="0.35">
      <c r="A209" t="s">
        <v>518</v>
      </c>
      <c r="B209" t="s">
        <v>519</v>
      </c>
      <c r="C209" t="s">
        <v>520</v>
      </c>
      <c r="D209" t="s">
        <v>293</v>
      </c>
      <c r="E209" t="s">
        <v>308</v>
      </c>
      <c r="F209" t="s">
        <v>528</v>
      </c>
      <c r="G209">
        <v>0</v>
      </c>
      <c r="H209">
        <v>0</v>
      </c>
      <c r="I209">
        <v>0</v>
      </c>
      <c r="J209">
        <v>0</v>
      </c>
      <c r="K209">
        <v>0</v>
      </c>
      <c r="L209">
        <v>0</v>
      </c>
      <c r="M209">
        <v>0</v>
      </c>
      <c r="N209">
        <v>0</v>
      </c>
      <c r="O209">
        <v>0</v>
      </c>
    </row>
    <row r="210" spans="1:15" x14ac:dyDescent="0.35">
      <c r="A210" t="s">
        <v>518</v>
      </c>
      <c r="B210" t="s">
        <v>519</v>
      </c>
      <c r="C210" t="s">
        <v>520</v>
      </c>
      <c r="D210" t="s">
        <v>293</v>
      </c>
      <c r="E210" t="s">
        <v>310</v>
      </c>
      <c r="F210" t="s">
        <v>529</v>
      </c>
      <c r="G210">
        <v>2245</v>
      </c>
      <c r="H210">
        <v>285669.04999999993</v>
      </c>
      <c r="I210">
        <v>127.25</v>
      </c>
      <c r="J210">
        <v>0</v>
      </c>
      <c r="K210">
        <v>0</v>
      </c>
      <c r="L210">
        <v>0</v>
      </c>
      <c r="M210">
        <v>2245</v>
      </c>
      <c r="N210">
        <v>285669.04999999993</v>
      </c>
      <c r="O210">
        <v>127.25</v>
      </c>
    </row>
    <row r="211" spans="1:15" x14ac:dyDescent="0.35">
      <c r="A211" t="s">
        <v>518</v>
      </c>
      <c r="B211" t="s">
        <v>519</v>
      </c>
      <c r="C211" t="s">
        <v>520</v>
      </c>
      <c r="D211" t="s">
        <v>293</v>
      </c>
      <c r="E211" t="s">
        <v>312</v>
      </c>
      <c r="F211" t="s">
        <v>530</v>
      </c>
      <c r="G211">
        <v>2245</v>
      </c>
      <c r="H211">
        <v>285669.04999999993</v>
      </c>
      <c r="I211">
        <v>127.25</v>
      </c>
      <c r="J211">
        <v>0</v>
      </c>
      <c r="K211">
        <v>0</v>
      </c>
      <c r="L211">
        <v>0</v>
      </c>
      <c r="M211">
        <v>2245</v>
      </c>
      <c r="N211">
        <v>285669.04999999993</v>
      </c>
      <c r="O211">
        <v>127.25</v>
      </c>
    </row>
    <row r="212" spans="1:15" x14ac:dyDescent="0.35">
      <c r="A212" t="s">
        <v>518</v>
      </c>
      <c r="B212" t="s">
        <v>519</v>
      </c>
      <c r="C212" t="s">
        <v>520</v>
      </c>
      <c r="D212" t="s">
        <v>314</v>
      </c>
      <c r="E212" t="s">
        <v>294</v>
      </c>
      <c r="F212" t="s">
        <v>531</v>
      </c>
      <c r="G212">
        <v>27</v>
      </c>
      <c r="H212">
        <v>3983.89</v>
      </c>
      <c r="I212">
        <v>147.55000000000001</v>
      </c>
      <c r="J212">
        <v>0</v>
      </c>
      <c r="K212">
        <v>0</v>
      </c>
      <c r="L212">
        <v>0</v>
      </c>
      <c r="M212">
        <v>27</v>
      </c>
      <c r="N212">
        <v>3983.89</v>
      </c>
      <c r="O212">
        <v>147.55000000000001</v>
      </c>
    </row>
    <row r="213" spans="1:15" x14ac:dyDescent="0.35">
      <c r="A213" t="s">
        <v>518</v>
      </c>
      <c r="B213" t="s">
        <v>519</v>
      </c>
      <c r="C213" t="s">
        <v>520</v>
      </c>
      <c r="D213" t="s">
        <v>314</v>
      </c>
      <c r="E213" t="s">
        <v>296</v>
      </c>
      <c r="F213" t="s">
        <v>532</v>
      </c>
      <c r="G213">
        <v>117</v>
      </c>
      <c r="H213">
        <v>23552.47</v>
      </c>
      <c r="I213">
        <v>201.3</v>
      </c>
      <c r="J213">
        <v>0</v>
      </c>
      <c r="K213">
        <v>0</v>
      </c>
      <c r="L213">
        <v>0</v>
      </c>
      <c r="M213">
        <v>117</v>
      </c>
      <c r="N213">
        <v>23552.47</v>
      </c>
      <c r="O213">
        <v>201.3</v>
      </c>
    </row>
    <row r="214" spans="1:15" x14ac:dyDescent="0.35">
      <c r="A214" t="s">
        <v>518</v>
      </c>
      <c r="B214" t="s">
        <v>519</v>
      </c>
      <c r="C214" t="s">
        <v>520</v>
      </c>
      <c r="D214" t="s">
        <v>314</v>
      </c>
      <c r="E214" t="s">
        <v>298</v>
      </c>
      <c r="F214" t="s">
        <v>533</v>
      </c>
      <c r="G214">
        <v>0</v>
      </c>
      <c r="H214">
        <v>0</v>
      </c>
      <c r="I214">
        <v>0</v>
      </c>
      <c r="J214">
        <v>0</v>
      </c>
      <c r="K214">
        <v>0</v>
      </c>
      <c r="L214">
        <v>0</v>
      </c>
      <c r="M214">
        <v>0</v>
      </c>
      <c r="N214">
        <v>0</v>
      </c>
      <c r="O214">
        <v>0</v>
      </c>
    </row>
    <row r="215" spans="1:15" x14ac:dyDescent="0.35">
      <c r="A215" t="s">
        <v>518</v>
      </c>
      <c r="B215" t="s">
        <v>519</v>
      </c>
      <c r="C215" t="s">
        <v>520</v>
      </c>
      <c r="D215" t="s">
        <v>314</v>
      </c>
      <c r="E215" t="s">
        <v>300</v>
      </c>
      <c r="F215" t="s">
        <v>534</v>
      </c>
      <c r="G215">
        <v>0</v>
      </c>
      <c r="H215">
        <v>0</v>
      </c>
      <c r="I215">
        <v>0</v>
      </c>
      <c r="J215">
        <v>0</v>
      </c>
      <c r="K215">
        <v>0</v>
      </c>
      <c r="L215">
        <v>0</v>
      </c>
      <c r="M215">
        <v>0</v>
      </c>
      <c r="N215">
        <v>0</v>
      </c>
      <c r="O215">
        <v>0</v>
      </c>
    </row>
    <row r="216" spans="1:15" x14ac:dyDescent="0.35">
      <c r="A216" t="s">
        <v>518</v>
      </c>
      <c r="B216" t="s">
        <v>519</v>
      </c>
      <c r="C216" t="s">
        <v>520</v>
      </c>
      <c r="D216" t="s">
        <v>314</v>
      </c>
      <c r="E216" t="s">
        <v>306</v>
      </c>
      <c r="F216" t="s">
        <v>535</v>
      </c>
      <c r="G216">
        <v>39</v>
      </c>
      <c r="H216">
        <v>6544.59</v>
      </c>
      <c r="I216">
        <v>167.81</v>
      </c>
      <c r="J216">
        <v>0</v>
      </c>
      <c r="K216">
        <v>0</v>
      </c>
      <c r="L216">
        <v>0</v>
      </c>
      <c r="M216">
        <v>39</v>
      </c>
      <c r="N216">
        <v>6544.59</v>
      </c>
      <c r="O216">
        <v>167.81</v>
      </c>
    </row>
    <row r="217" spans="1:15" x14ac:dyDescent="0.35">
      <c r="A217" t="s">
        <v>518</v>
      </c>
      <c r="B217" t="s">
        <v>519</v>
      </c>
      <c r="C217" t="s">
        <v>520</v>
      </c>
      <c r="D217" t="s">
        <v>314</v>
      </c>
      <c r="E217" t="s">
        <v>308</v>
      </c>
      <c r="F217" t="s">
        <v>536</v>
      </c>
      <c r="G217">
        <v>0</v>
      </c>
      <c r="H217">
        <v>0</v>
      </c>
      <c r="I217">
        <v>0</v>
      </c>
      <c r="J217">
        <v>0</v>
      </c>
      <c r="K217">
        <v>0</v>
      </c>
      <c r="L217">
        <v>0</v>
      </c>
      <c r="M217">
        <v>0</v>
      </c>
      <c r="N217">
        <v>0</v>
      </c>
      <c r="O217">
        <v>0</v>
      </c>
    </row>
    <row r="218" spans="1:15" x14ac:dyDescent="0.35">
      <c r="A218" t="s">
        <v>518</v>
      </c>
      <c r="B218" t="s">
        <v>519</v>
      </c>
      <c r="C218" t="s">
        <v>520</v>
      </c>
      <c r="D218" t="s">
        <v>314</v>
      </c>
      <c r="E218" t="s">
        <v>312</v>
      </c>
      <c r="F218" t="s">
        <v>537</v>
      </c>
      <c r="G218">
        <v>183</v>
      </c>
      <c r="H218">
        <v>34080.949999999997</v>
      </c>
      <c r="I218">
        <v>186.23</v>
      </c>
      <c r="J218">
        <v>0</v>
      </c>
      <c r="K218">
        <v>0</v>
      </c>
      <c r="L218">
        <v>0</v>
      </c>
      <c r="M218">
        <v>183</v>
      </c>
      <c r="N218">
        <v>34080.949999999997</v>
      </c>
      <c r="O218">
        <v>186.23</v>
      </c>
    </row>
    <row r="219" spans="1:15" x14ac:dyDescent="0.35">
      <c r="A219" t="s">
        <v>518</v>
      </c>
      <c r="B219" t="s">
        <v>519</v>
      </c>
      <c r="C219" t="s">
        <v>520</v>
      </c>
      <c r="D219" t="s">
        <v>314</v>
      </c>
      <c r="E219" t="s">
        <v>310</v>
      </c>
      <c r="F219" t="s">
        <v>538</v>
      </c>
      <c r="G219">
        <v>183</v>
      </c>
      <c r="H219">
        <v>34080.949999999997</v>
      </c>
      <c r="I219">
        <v>186.23</v>
      </c>
      <c r="J219">
        <v>0</v>
      </c>
      <c r="K219">
        <v>0</v>
      </c>
      <c r="L219">
        <v>0</v>
      </c>
      <c r="M219">
        <v>183</v>
      </c>
      <c r="N219">
        <v>34080.949999999997</v>
      </c>
      <c r="O219">
        <v>186.23</v>
      </c>
    </row>
    <row r="220" spans="1:15" x14ac:dyDescent="0.35">
      <c r="A220" t="s">
        <v>518</v>
      </c>
      <c r="B220" t="s">
        <v>519</v>
      </c>
      <c r="C220" t="s">
        <v>520</v>
      </c>
      <c r="D220" t="s">
        <v>323</v>
      </c>
      <c r="E220" t="s">
        <v>294</v>
      </c>
      <c r="F220" t="s">
        <v>539</v>
      </c>
      <c r="G220">
        <v>2625</v>
      </c>
      <c r="H220">
        <v>235098.43000000005</v>
      </c>
      <c r="I220">
        <v>89.56</v>
      </c>
      <c r="J220">
        <v>0</v>
      </c>
      <c r="K220">
        <v>0</v>
      </c>
      <c r="L220">
        <v>0</v>
      </c>
      <c r="M220">
        <v>2625</v>
      </c>
      <c r="N220">
        <v>235098.43000000005</v>
      </c>
      <c r="O220">
        <v>89.56</v>
      </c>
    </row>
    <row r="221" spans="1:15" x14ac:dyDescent="0.35">
      <c r="A221" t="s">
        <v>518</v>
      </c>
      <c r="B221" t="s">
        <v>519</v>
      </c>
      <c r="C221" t="s">
        <v>520</v>
      </c>
      <c r="D221" t="s">
        <v>323</v>
      </c>
      <c r="E221" t="s">
        <v>296</v>
      </c>
      <c r="F221" t="s">
        <v>540</v>
      </c>
      <c r="G221">
        <v>2996</v>
      </c>
      <c r="H221">
        <v>300305.14</v>
      </c>
      <c r="I221">
        <v>100.24</v>
      </c>
      <c r="J221">
        <v>0</v>
      </c>
      <c r="K221">
        <v>0</v>
      </c>
      <c r="L221">
        <v>0</v>
      </c>
      <c r="M221">
        <v>2996</v>
      </c>
      <c r="N221">
        <v>300305.14</v>
      </c>
      <c r="O221">
        <v>100.24</v>
      </c>
    </row>
    <row r="222" spans="1:15" x14ac:dyDescent="0.35">
      <c r="A222" t="s">
        <v>518</v>
      </c>
      <c r="B222" t="s">
        <v>519</v>
      </c>
      <c r="C222" t="s">
        <v>520</v>
      </c>
      <c r="D222" t="s">
        <v>323</v>
      </c>
      <c r="E222" t="s">
        <v>298</v>
      </c>
      <c r="F222" t="s">
        <v>541</v>
      </c>
      <c r="G222">
        <v>4979</v>
      </c>
      <c r="H222">
        <v>539491.12</v>
      </c>
      <c r="I222">
        <v>108.35</v>
      </c>
      <c r="J222">
        <v>0</v>
      </c>
      <c r="K222">
        <v>0</v>
      </c>
      <c r="L222">
        <v>0</v>
      </c>
      <c r="M222">
        <v>4979</v>
      </c>
      <c r="N222">
        <v>539491.12</v>
      </c>
      <c r="O222">
        <v>108.35</v>
      </c>
    </row>
    <row r="223" spans="1:15" x14ac:dyDescent="0.35">
      <c r="A223" t="s">
        <v>518</v>
      </c>
      <c r="B223" t="s">
        <v>519</v>
      </c>
      <c r="C223" t="s">
        <v>520</v>
      </c>
      <c r="D223" t="s">
        <v>323</v>
      </c>
      <c r="E223" t="s">
        <v>300</v>
      </c>
      <c r="F223" t="s">
        <v>542</v>
      </c>
      <c r="G223">
        <v>591</v>
      </c>
      <c r="H223">
        <v>68605.919999999998</v>
      </c>
      <c r="I223">
        <v>116.08</v>
      </c>
      <c r="J223">
        <v>0</v>
      </c>
      <c r="K223">
        <v>0</v>
      </c>
      <c r="L223">
        <v>0</v>
      </c>
      <c r="M223">
        <v>591</v>
      </c>
      <c r="N223">
        <v>68605.919999999998</v>
      </c>
      <c r="O223">
        <v>116.08</v>
      </c>
    </row>
    <row r="224" spans="1:15" x14ac:dyDescent="0.35">
      <c r="A224" t="s">
        <v>518</v>
      </c>
      <c r="B224" t="s">
        <v>519</v>
      </c>
      <c r="C224" t="s">
        <v>520</v>
      </c>
      <c r="D224" t="s">
        <v>323</v>
      </c>
      <c r="E224" t="s">
        <v>302</v>
      </c>
      <c r="F224" t="s">
        <v>543</v>
      </c>
      <c r="G224">
        <v>24</v>
      </c>
      <c r="H224">
        <v>2853.22</v>
      </c>
      <c r="I224">
        <v>118.88</v>
      </c>
      <c r="J224">
        <v>0</v>
      </c>
      <c r="K224">
        <v>0</v>
      </c>
      <c r="L224">
        <v>0</v>
      </c>
      <c r="M224">
        <v>24</v>
      </c>
      <c r="N224">
        <v>2853.22</v>
      </c>
      <c r="O224">
        <v>118.88</v>
      </c>
    </row>
    <row r="225" spans="1:15" x14ac:dyDescent="0.35">
      <c r="A225" t="s">
        <v>518</v>
      </c>
      <c r="B225" t="s">
        <v>519</v>
      </c>
      <c r="C225" t="s">
        <v>520</v>
      </c>
      <c r="D225" t="s">
        <v>323</v>
      </c>
      <c r="E225" t="s">
        <v>304</v>
      </c>
      <c r="F225" t="s">
        <v>544</v>
      </c>
      <c r="G225">
        <v>0</v>
      </c>
      <c r="H225">
        <v>0</v>
      </c>
      <c r="I225">
        <v>0</v>
      </c>
      <c r="J225">
        <v>0</v>
      </c>
      <c r="K225">
        <v>0</v>
      </c>
      <c r="L225">
        <v>0</v>
      </c>
      <c r="M225">
        <v>0</v>
      </c>
      <c r="N225">
        <v>0</v>
      </c>
      <c r="O225">
        <v>0</v>
      </c>
    </row>
    <row r="226" spans="1:15" x14ac:dyDescent="0.35">
      <c r="A226" t="s">
        <v>518</v>
      </c>
      <c r="B226" t="s">
        <v>519</v>
      </c>
      <c r="C226" t="s">
        <v>520</v>
      </c>
      <c r="D226" t="s">
        <v>323</v>
      </c>
      <c r="E226" t="s">
        <v>306</v>
      </c>
      <c r="F226" t="s">
        <v>545</v>
      </c>
      <c r="G226">
        <v>0</v>
      </c>
      <c r="H226">
        <v>0</v>
      </c>
      <c r="I226">
        <v>0</v>
      </c>
      <c r="J226">
        <v>0</v>
      </c>
      <c r="K226">
        <v>0</v>
      </c>
      <c r="L226">
        <v>0</v>
      </c>
      <c r="M226">
        <v>0</v>
      </c>
      <c r="N226">
        <v>0</v>
      </c>
      <c r="O226">
        <v>0</v>
      </c>
    </row>
    <row r="227" spans="1:15" x14ac:dyDescent="0.35">
      <c r="A227" t="s">
        <v>518</v>
      </c>
      <c r="B227" t="s">
        <v>519</v>
      </c>
      <c r="C227" t="s">
        <v>520</v>
      </c>
      <c r="D227" t="s">
        <v>323</v>
      </c>
      <c r="E227" t="s">
        <v>308</v>
      </c>
      <c r="F227" t="s">
        <v>546</v>
      </c>
      <c r="G227">
        <v>0</v>
      </c>
      <c r="H227">
        <v>0</v>
      </c>
      <c r="I227">
        <v>0</v>
      </c>
      <c r="J227">
        <v>0</v>
      </c>
      <c r="K227">
        <v>0</v>
      </c>
      <c r="L227">
        <v>0</v>
      </c>
      <c r="M227">
        <v>0</v>
      </c>
      <c r="N227">
        <v>0</v>
      </c>
      <c r="O227">
        <v>0</v>
      </c>
    </row>
    <row r="228" spans="1:15" x14ac:dyDescent="0.35">
      <c r="A228" t="s">
        <v>518</v>
      </c>
      <c r="B228" t="s">
        <v>519</v>
      </c>
      <c r="C228" t="s">
        <v>520</v>
      </c>
      <c r="D228" t="s">
        <v>323</v>
      </c>
      <c r="E228" t="s">
        <v>310</v>
      </c>
      <c r="F228" t="s">
        <v>547</v>
      </c>
      <c r="G228">
        <v>11215</v>
      </c>
      <c r="H228">
        <v>1146353.8299999998</v>
      </c>
      <c r="I228">
        <v>102.22</v>
      </c>
      <c r="J228">
        <v>0</v>
      </c>
      <c r="K228">
        <v>0</v>
      </c>
      <c r="L228">
        <v>0</v>
      </c>
      <c r="M228">
        <v>11215</v>
      </c>
      <c r="N228">
        <v>1146353.8299999998</v>
      </c>
      <c r="O228">
        <v>102.22</v>
      </c>
    </row>
    <row r="229" spans="1:15" x14ac:dyDescent="0.35">
      <c r="A229" t="s">
        <v>518</v>
      </c>
      <c r="B229" t="s">
        <v>519</v>
      </c>
      <c r="C229" t="s">
        <v>520</v>
      </c>
      <c r="D229" t="s">
        <v>323</v>
      </c>
      <c r="E229" t="s">
        <v>312</v>
      </c>
      <c r="F229" t="s">
        <v>548</v>
      </c>
      <c r="G229">
        <v>11215</v>
      </c>
      <c r="H229">
        <v>1146353.8299999998</v>
      </c>
      <c r="I229">
        <v>102.22</v>
      </c>
      <c r="J229">
        <v>0</v>
      </c>
      <c r="K229">
        <v>0</v>
      </c>
      <c r="L229">
        <v>0</v>
      </c>
      <c r="M229">
        <v>11215</v>
      </c>
      <c r="N229">
        <v>1146353.8299999998</v>
      </c>
      <c r="O229">
        <v>102.22</v>
      </c>
    </row>
    <row r="230" spans="1:15" x14ac:dyDescent="0.35">
      <c r="A230" t="s">
        <v>518</v>
      </c>
      <c r="B230" t="s">
        <v>519</v>
      </c>
      <c r="C230" t="s">
        <v>520</v>
      </c>
      <c r="D230" t="s">
        <v>334</v>
      </c>
      <c r="E230" t="s">
        <v>312</v>
      </c>
      <c r="F230" t="s">
        <v>549</v>
      </c>
      <c r="G230">
        <v>13496</v>
      </c>
      <c r="H230">
        <v>1432022.88</v>
      </c>
      <c r="I230">
        <v>106.39</v>
      </c>
      <c r="J230">
        <v>0</v>
      </c>
      <c r="K230">
        <v>0</v>
      </c>
      <c r="L230">
        <v>0</v>
      </c>
      <c r="M230">
        <v>13496</v>
      </c>
      <c r="N230">
        <v>1432022.88</v>
      </c>
      <c r="O230">
        <v>106.39</v>
      </c>
    </row>
    <row r="231" spans="1:15" x14ac:dyDescent="0.35">
      <c r="A231" t="s">
        <v>518</v>
      </c>
      <c r="B231" t="s">
        <v>519</v>
      </c>
      <c r="C231" t="s">
        <v>520</v>
      </c>
      <c r="D231" t="s">
        <v>334</v>
      </c>
      <c r="E231" t="s">
        <v>308</v>
      </c>
      <c r="F231" t="s">
        <v>550</v>
      </c>
      <c r="G231">
        <v>0</v>
      </c>
      <c r="H231">
        <v>0</v>
      </c>
      <c r="I231">
        <v>0</v>
      </c>
      <c r="J231">
        <v>0</v>
      </c>
      <c r="K231">
        <v>0</v>
      </c>
      <c r="L231">
        <v>0</v>
      </c>
      <c r="M231">
        <v>0</v>
      </c>
      <c r="N231">
        <v>0</v>
      </c>
      <c r="O231">
        <v>0</v>
      </c>
    </row>
    <row r="232" spans="1:15" x14ac:dyDescent="0.35">
      <c r="A232" t="s">
        <v>518</v>
      </c>
      <c r="B232" t="s">
        <v>519</v>
      </c>
      <c r="C232" t="s">
        <v>520</v>
      </c>
      <c r="D232" t="s">
        <v>337</v>
      </c>
      <c r="E232" t="s">
        <v>337</v>
      </c>
      <c r="F232" t="s">
        <v>551</v>
      </c>
      <c r="G232">
        <v>531</v>
      </c>
      <c r="J232">
        <v>0</v>
      </c>
      <c r="M232">
        <v>531</v>
      </c>
    </row>
    <row r="233" spans="1:15" x14ac:dyDescent="0.35">
      <c r="A233" t="s">
        <v>518</v>
      </c>
      <c r="B233" t="s">
        <v>519</v>
      </c>
      <c r="C233" t="s">
        <v>520</v>
      </c>
      <c r="D233" t="s">
        <v>339</v>
      </c>
      <c r="E233" t="s">
        <v>294</v>
      </c>
      <c r="F233" t="s">
        <v>552</v>
      </c>
      <c r="G233">
        <v>635</v>
      </c>
      <c r="H233">
        <v>64913.14</v>
      </c>
      <c r="I233">
        <v>102.23</v>
      </c>
      <c r="J233">
        <v>0</v>
      </c>
      <c r="K233">
        <v>0</v>
      </c>
      <c r="L233">
        <v>0</v>
      </c>
      <c r="M233">
        <v>635</v>
      </c>
      <c r="N233">
        <v>64913.14</v>
      </c>
      <c r="O233">
        <v>102.23</v>
      </c>
    </row>
    <row r="234" spans="1:15" x14ac:dyDescent="0.35">
      <c r="A234" t="s">
        <v>518</v>
      </c>
      <c r="B234" t="s">
        <v>519</v>
      </c>
      <c r="C234" t="s">
        <v>520</v>
      </c>
      <c r="D234" t="s">
        <v>339</v>
      </c>
      <c r="E234" t="s">
        <v>296</v>
      </c>
      <c r="F234" t="s">
        <v>553</v>
      </c>
      <c r="G234">
        <v>65</v>
      </c>
      <c r="H234">
        <v>7912.41</v>
      </c>
      <c r="I234">
        <v>121.73</v>
      </c>
      <c r="J234">
        <v>0</v>
      </c>
      <c r="K234">
        <v>0</v>
      </c>
      <c r="L234">
        <v>0</v>
      </c>
      <c r="M234">
        <v>65</v>
      </c>
      <c r="N234">
        <v>7912.41</v>
      </c>
      <c r="O234">
        <v>121.73</v>
      </c>
    </row>
    <row r="235" spans="1:15" x14ac:dyDescent="0.35">
      <c r="A235" t="s">
        <v>518</v>
      </c>
      <c r="B235" t="s">
        <v>519</v>
      </c>
      <c r="C235" t="s">
        <v>520</v>
      </c>
      <c r="D235" t="s">
        <v>339</v>
      </c>
      <c r="E235" t="s">
        <v>298</v>
      </c>
      <c r="F235" t="s">
        <v>554</v>
      </c>
      <c r="G235">
        <v>9</v>
      </c>
      <c r="H235">
        <v>1216.2500000000002</v>
      </c>
      <c r="I235">
        <v>135.13999999999999</v>
      </c>
      <c r="J235">
        <v>0</v>
      </c>
      <c r="K235">
        <v>0</v>
      </c>
      <c r="L235">
        <v>0</v>
      </c>
      <c r="M235">
        <v>9</v>
      </c>
      <c r="N235">
        <v>1216.2500000000002</v>
      </c>
      <c r="O235">
        <v>135.13999999999999</v>
      </c>
    </row>
    <row r="236" spans="1:15" x14ac:dyDescent="0.35">
      <c r="A236" t="s">
        <v>518</v>
      </c>
      <c r="B236" t="s">
        <v>519</v>
      </c>
      <c r="C236" t="s">
        <v>520</v>
      </c>
      <c r="D236" t="s">
        <v>339</v>
      </c>
      <c r="E236" t="s">
        <v>300</v>
      </c>
      <c r="F236" t="s">
        <v>555</v>
      </c>
      <c r="G236">
        <v>0</v>
      </c>
      <c r="H236">
        <v>0</v>
      </c>
      <c r="I236">
        <v>0</v>
      </c>
      <c r="J236">
        <v>0</v>
      </c>
      <c r="K236">
        <v>0</v>
      </c>
      <c r="L236">
        <v>0</v>
      </c>
      <c r="M236">
        <v>0</v>
      </c>
      <c r="N236">
        <v>0</v>
      </c>
      <c r="O236">
        <v>0</v>
      </c>
    </row>
    <row r="237" spans="1:15" x14ac:dyDescent="0.35">
      <c r="A237" t="s">
        <v>518</v>
      </c>
      <c r="B237" t="s">
        <v>519</v>
      </c>
      <c r="C237" t="s">
        <v>520</v>
      </c>
      <c r="D237" t="s">
        <v>339</v>
      </c>
      <c r="E237" t="s">
        <v>306</v>
      </c>
      <c r="F237" t="s">
        <v>556</v>
      </c>
      <c r="G237">
        <v>8</v>
      </c>
      <c r="H237">
        <v>838.24</v>
      </c>
      <c r="I237">
        <v>104.78</v>
      </c>
      <c r="J237">
        <v>0</v>
      </c>
      <c r="K237">
        <v>0</v>
      </c>
      <c r="L237">
        <v>0</v>
      </c>
      <c r="M237">
        <v>8</v>
      </c>
      <c r="N237">
        <v>838.24</v>
      </c>
      <c r="O237">
        <v>104.78</v>
      </c>
    </row>
    <row r="238" spans="1:15" x14ac:dyDescent="0.35">
      <c r="A238" t="s">
        <v>518</v>
      </c>
      <c r="B238" t="s">
        <v>519</v>
      </c>
      <c r="C238" t="s">
        <v>520</v>
      </c>
      <c r="D238" t="s">
        <v>339</v>
      </c>
      <c r="E238" t="s">
        <v>308</v>
      </c>
      <c r="F238" t="s">
        <v>557</v>
      </c>
      <c r="G238">
        <v>114</v>
      </c>
      <c r="H238">
        <v>19733.79</v>
      </c>
      <c r="I238">
        <v>173.1</v>
      </c>
      <c r="J238">
        <v>0</v>
      </c>
      <c r="K238">
        <v>0</v>
      </c>
      <c r="L238">
        <v>0</v>
      </c>
      <c r="M238">
        <v>114</v>
      </c>
      <c r="N238">
        <v>19733.79</v>
      </c>
      <c r="O238">
        <v>173.1</v>
      </c>
    </row>
    <row r="239" spans="1:15" x14ac:dyDescent="0.35">
      <c r="A239" t="s">
        <v>518</v>
      </c>
      <c r="B239" t="s">
        <v>519</v>
      </c>
      <c r="C239" t="s">
        <v>520</v>
      </c>
      <c r="D239" t="s">
        <v>339</v>
      </c>
      <c r="E239" t="s">
        <v>310</v>
      </c>
      <c r="F239" t="s">
        <v>558</v>
      </c>
      <c r="G239">
        <v>831</v>
      </c>
      <c r="H239">
        <v>94613.830000000016</v>
      </c>
      <c r="I239">
        <v>113.86</v>
      </c>
      <c r="J239">
        <v>0</v>
      </c>
      <c r="K239">
        <v>0</v>
      </c>
      <c r="L239">
        <v>0</v>
      </c>
      <c r="M239">
        <v>831</v>
      </c>
      <c r="N239">
        <v>94613.830000000016</v>
      </c>
      <c r="O239">
        <v>113.86</v>
      </c>
    </row>
    <row r="240" spans="1:15" x14ac:dyDescent="0.35">
      <c r="A240" t="s">
        <v>518</v>
      </c>
      <c r="B240" t="s">
        <v>519</v>
      </c>
      <c r="C240" t="s">
        <v>520</v>
      </c>
      <c r="D240" t="s">
        <v>339</v>
      </c>
      <c r="E240" t="s">
        <v>312</v>
      </c>
      <c r="F240" t="s">
        <v>559</v>
      </c>
      <c r="G240">
        <v>717</v>
      </c>
      <c r="H240">
        <v>74880.040000000008</v>
      </c>
      <c r="I240">
        <v>104.44</v>
      </c>
      <c r="J240">
        <v>0</v>
      </c>
      <c r="K240">
        <v>0</v>
      </c>
      <c r="L240">
        <v>0</v>
      </c>
      <c r="M240">
        <v>717</v>
      </c>
      <c r="N240">
        <v>74880.040000000008</v>
      </c>
      <c r="O240">
        <v>104.44</v>
      </c>
    </row>
    <row r="241" spans="1:15" x14ac:dyDescent="0.35">
      <c r="A241" t="s">
        <v>518</v>
      </c>
      <c r="B241" t="s">
        <v>519</v>
      </c>
      <c r="C241" t="s">
        <v>520</v>
      </c>
      <c r="D241" t="s">
        <v>348</v>
      </c>
      <c r="E241" t="s">
        <v>349</v>
      </c>
      <c r="F241" t="s">
        <v>560</v>
      </c>
      <c r="G241">
        <v>1088</v>
      </c>
      <c r="H241">
        <v>128694.78</v>
      </c>
      <c r="I241">
        <v>126.92</v>
      </c>
      <c r="J241">
        <v>0</v>
      </c>
      <c r="K241">
        <v>0</v>
      </c>
      <c r="L241">
        <v>0</v>
      </c>
      <c r="M241">
        <v>1088</v>
      </c>
      <c r="N241">
        <v>128694.78</v>
      </c>
      <c r="O241">
        <v>126.92</v>
      </c>
    </row>
    <row r="242" spans="1:15" x14ac:dyDescent="0.35">
      <c r="A242" t="s">
        <v>561</v>
      </c>
      <c r="B242" t="s">
        <v>197</v>
      </c>
      <c r="C242" t="s">
        <v>520</v>
      </c>
      <c r="D242" t="s">
        <v>293</v>
      </c>
      <c r="E242" t="s">
        <v>294</v>
      </c>
      <c r="F242" t="s">
        <v>562</v>
      </c>
      <c r="G242">
        <v>164</v>
      </c>
      <c r="H242">
        <v>18813.93</v>
      </c>
      <c r="I242">
        <v>114.72</v>
      </c>
      <c r="J242">
        <v>0</v>
      </c>
      <c r="K242">
        <v>0</v>
      </c>
      <c r="L242">
        <v>0</v>
      </c>
      <c r="M242">
        <v>164</v>
      </c>
      <c r="N242">
        <v>18813.93</v>
      </c>
      <c r="O242">
        <v>114.72</v>
      </c>
    </row>
    <row r="243" spans="1:15" x14ac:dyDescent="0.35">
      <c r="A243" t="s">
        <v>561</v>
      </c>
      <c r="B243" t="s">
        <v>197</v>
      </c>
      <c r="C243" t="s">
        <v>520</v>
      </c>
      <c r="D243" t="s">
        <v>293</v>
      </c>
      <c r="E243" t="s">
        <v>296</v>
      </c>
      <c r="F243" t="s">
        <v>563</v>
      </c>
      <c r="G243">
        <v>621</v>
      </c>
      <c r="H243">
        <v>84106.489999999991</v>
      </c>
      <c r="I243">
        <v>135.44</v>
      </c>
      <c r="J243">
        <v>0</v>
      </c>
      <c r="K243">
        <v>0</v>
      </c>
      <c r="L243">
        <v>0</v>
      </c>
      <c r="M243">
        <v>621</v>
      </c>
      <c r="N243">
        <v>84106.489999999991</v>
      </c>
      <c r="O243">
        <v>135.44</v>
      </c>
    </row>
    <row r="244" spans="1:15" x14ac:dyDescent="0.35">
      <c r="A244" t="s">
        <v>561</v>
      </c>
      <c r="B244" t="s">
        <v>197</v>
      </c>
      <c r="C244" t="s">
        <v>520</v>
      </c>
      <c r="D244" t="s">
        <v>293</v>
      </c>
      <c r="E244" t="s">
        <v>298</v>
      </c>
      <c r="F244" t="s">
        <v>564</v>
      </c>
      <c r="G244">
        <v>244</v>
      </c>
      <c r="H244">
        <v>38456.61</v>
      </c>
      <c r="I244">
        <v>157.61000000000001</v>
      </c>
      <c r="J244">
        <v>0</v>
      </c>
      <c r="K244">
        <v>0</v>
      </c>
      <c r="L244">
        <v>0</v>
      </c>
      <c r="M244">
        <v>244</v>
      </c>
      <c r="N244">
        <v>38456.61</v>
      </c>
      <c r="O244">
        <v>157.61000000000001</v>
      </c>
    </row>
    <row r="245" spans="1:15" x14ac:dyDescent="0.35">
      <c r="A245" t="s">
        <v>561</v>
      </c>
      <c r="B245" t="s">
        <v>197</v>
      </c>
      <c r="C245" t="s">
        <v>520</v>
      </c>
      <c r="D245" t="s">
        <v>293</v>
      </c>
      <c r="E245" t="s">
        <v>300</v>
      </c>
      <c r="F245" t="s">
        <v>565</v>
      </c>
      <c r="G245">
        <v>17</v>
      </c>
      <c r="H245">
        <v>3012.27</v>
      </c>
      <c r="I245">
        <v>177.19</v>
      </c>
      <c r="J245">
        <v>0</v>
      </c>
      <c r="K245">
        <v>0</v>
      </c>
      <c r="L245">
        <v>0</v>
      </c>
      <c r="M245">
        <v>17</v>
      </c>
      <c r="N245">
        <v>3012.27</v>
      </c>
      <c r="O245">
        <v>177.19</v>
      </c>
    </row>
    <row r="246" spans="1:15" x14ac:dyDescent="0.35">
      <c r="A246" t="s">
        <v>561</v>
      </c>
      <c r="B246" t="s">
        <v>197</v>
      </c>
      <c r="C246" t="s">
        <v>520</v>
      </c>
      <c r="D246" t="s">
        <v>293</v>
      </c>
      <c r="E246" t="s">
        <v>302</v>
      </c>
      <c r="F246" t="s">
        <v>566</v>
      </c>
      <c r="G246">
        <v>1</v>
      </c>
      <c r="H246">
        <v>173.55</v>
      </c>
      <c r="I246">
        <v>173.55</v>
      </c>
      <c r="J246">
        <v>0</v>
      </c>
      <c r="K246">
        <v>0</v>
      </c>
      <c r="L246">
        <v>0</v>
      </c>
      <c r="M246">
        <v>1</v>
      </c>
      <c r="N246">
        <v>173.55</v>
      </c>
      <c r="O246">
        <v>173.55</v>
      </c>
    </row>
    <row r="247" spans="1:15" x14ac:dyDescent="0.35">
      <c r="A247" t="s">
        <v>561</v>
      </c>
      <c r="B247" t="s">
        <v>197</v>
      </c>
      <c r="C247" t="s">
        <v>520</v>
      </c>
      <c r="D247" t="s">
        <v>293</v>
      </c>
      <c r="E247" t="s">
        <v>304</v>
      </c>
      <c r="F247" t="s">
        <v>567</v>
      </c>
      <c r="G247">
        <v>0</v>
      </c>
      <c r="H247">
        <v>0</v>
      </c>
      <c r="I247">
        <v>0</v>
      </c>
      <c r="J247">
        <v>0</v>
      </c>
      <c r="K247">
        <v>0</v>
      </c>
      <c r="L247">
        <v>0</v>
      </c>
      <c r="M247">
        <v>0</v>
      </c>
      <c r="N247">
        <v>0</v>
      </c>
      <c r="O247">
        <v>0</v>
      </c>
    </row>
    <row r="248" spans="1:15" x14ac:dyDescent="0.35">
      <c r="A248" t="s">
        <v>561</v>
      </c>
      <c r="B248" t="s">
        <v>197</v>
      </c>
      <c r="C248" t="s">
        <v>520</v>
      </c>
      <c r="D248" t="s">
        <v>293</v>
      </c>
      <c r="E248" t="s">
        <v>306</v>
      </c>
      <c r="F248" t="s">
        <v>568</v>
      </c>
      <c r="G248">
        <v>1</v>
      </c>
      <c r="H248">
        <v>85</v>
      </c>
      <c r="I248">
        <v>85</v>
      </c>
      <c r="J248">
        <v>0</v>
      </c>
      <c r="K248">
        <v>0</v>
      </c>
      <c r="L248">
        <v>0</v>
      </c>
      <c r="M248">
        <v>1</v>
      </c>
      <c r="N248">
        <v>85</v>
      </c>
      <c r="O248">
        <v>85</v>
      </c>
    </row>
    <row r="249" spans="1:15" x14ac:dyDescent="0.35">
      <c r="A249" t="s">
        <v>561</v>
      </c>
      <c r="B249" t="s">
        <v>197</v>
      </c>
      <c r="C249" t="s">
        <v>520</v>
      </c>
      <c r="D249" t="s">
        <v>293</v>
      </c>
      <c r="E249" t="s">
        <v>308</v>
      </c>
      <c r="F249" t="s">
        <v>569</v>
      </c>
      <c r="G249">
        <v>0</v>
      </c>
      <c r="H249">
        <v>0</v>
      </c>
      <c r="I249">
        <v>0</v>
      </c>
      <c r="J249">
        <v>0</v>
      </c>
      <c r="K249">
        <v>0</v>
      </c>
      <c r="L249">
        <v>0</v>
      </c>
      <c r="M249">
        <v>0</v>
      </c>
      <c r="N249">
        <v>0</v>
      </c>
      <c r="O249">
        <v>0</v>
      </c>
    </row>
    <row r="250" spans="1:15" x14ac:dyDescent="0.35">
      <c r="A250" t="s">
        <v>561</v>
      </c>
      <c r="B250" t="s">
        <v>197</v>
      </c>
      <c r="C250" t="s">
        <v>520</v>
      </c>
      <c r="D250" t="s">
        <v>293</v>
      </c>
      <c r="E250" t="s">
        <v>310</v>
      </c>
      <c r="F250" t="s">
        <v>570</v>
      </c>
      <c r="G250">
        <v>1048</v>
      </c>
      <c r="H250">
        <v>144647.84999999995</v>
      </c>
      <c r="I250">
        <v>138.02000000000001</v>
      </c>
      <c r="J250">
        <v>0</v>
      </c>
      <c r="K250">
        <v>0</v>
      </c>
      <c r="L250">
        <v>0</v>
      </c>
      <c r="M250">
        <v>1048</v>
      </c>
      <c r="N250">
        <v>144647.84999999995</v>
      </c>
      <c r="O250">
        <v>138.02000000000001</v>
      </c>
    </row>
    <row r="251" spans="1:15" x14ac:dyDescent="0.35">
      <c r="A251" t="s">
        <v>561</v>
      </c>
      <c r="B251" t="s">
        <v>197</v>
      </c>
      <c r="C251" t="s">
        <v>520</v>
      </c>
      <c r="D251" t="s">
        <v>293</v>
      </c>
      <c r="E251" t="s">
        <v>312</v>
      </c>
      <c r="F251" t="s">
        <v>571</v>
      </c>
      <c r="G251">
        <v>1048</v>
      </c>
      <c r="H251">
        <v>144647.84999999995</v>
      </c>
      <c r="I251">
        <v>138.02000000000001</v>
      </c>
      <c r="J251">
        <v>0</v>
      </c>
      <c r="K251">
        <v>0</v>
      </c>
      <c r="L251">
        <v>0</v>
      </c>
      <c r="M251">
        <v>1048</v>
      </c>
      <c r="N251">
        <v>144647.84999999995</v>
      </c>
      <c r="O251">
        <v>138.02000000000001</v>
      </c>
    </row>
    <row r="252" spans="1:15" x14ac:dyDescent="0.35">
      <c r="A252" t="s">
        <v>561</v>
      </c>
      <c r="B252" t="s">
        <v>197</v>
      </c>
      <c r="C252" t="s">
        <v>520</v>
      </c>
      <c r="D252" t="s">
        <v>314</v>
      </c>
      <c r="E252" t="s">
        <v>294</v>
      </c>
      <c r="F252" t="s">
        <v>572</v>
      </c>
      <c r="G252">
        <v>51</v>
      </c>
      <c r="H252">
        <v>9205.5</v>
      </c>
      <c r="I252">
        <v>180.5</v>
      </c>
      <c r="J252">
        <v>25</v>
      </c>
      <c r="K252">
        <v>3301.5</v>
      </c>
      <c r="L252">
        <v>132.06</v>
      </c>
      <c r="M252">
        <v>76</v>
      </c>
      <c r="N252">
        <v>12507</v>
      </c>
      <c r="O252">
        <v>164.57</v>
      </c>
    </row>
    <row r="253" spans="1:15" x14ac:dyDescent="0.35">
      <c r="A253" t="s">
        <v>561</v>
      </c>
      <c r="B253" t="s">
        <v>197</v>
      </c>
      <c r="C253" t="s">
        <v>520</v>
      </c>
      <c r="D253" t="s">
        <v>314</v>
      </c>
      <c r="E253" t="s">
        <v>296</v>
      </c>
      <c r="F253" t="s">
        <v>573</v>
      </c>
      <c r="G253">
        <v>42</v>
      </c>
      <c r="H253">
        <v>8100.1200000000008</v>
      </c>
      <c r="I253">
        <v>192.86</v>
      </c>
      <c r="J253">
        <v>29</v>
      </c>
      <c r="K253">
        <v>4195.4299999999994</v>
      </c>
      <c r="L253">
        <v>144.66999999999999</v>
      </c>
      <c r="M253">
        <v>71</v>
      </c>
      <c r="N253">
        <v>12295.55</v>
      </c>
      <c r="O253">
        <v>173.18</v>
      </c>
    </row>
    <row r="254" spans="1:15" x14ac:dyDescent="0.35">
      <c r="A254" t="s">
        <v>561</v>
      </c>
      <c r="B254" t="s">
        <v>197</v>
      </c>
      <c r="C254" t="s">
        <v>520</v>
      </c>
      <c r="D254" t="s">
        <v>314</v>
      </c>
      <c r="E254" t="s">
        <v>298</v>
      </c>
      <c r="F254" t="s">
        <v>574</v>
      </c>
      <c r="G254">
        <v>0</v>
      </c>
      <c r="H254">
        <v>0</v>
      </c>
      <c r="I254">
        <v>0</v>
      </c>
      <c r="J254">
        <v>0</v>
      </c>
      <c r="K254">
        <v>0</v>
      </c>
      <c r="L254">
        <v>0</v>
      </c>
      <c r="M254">
        <v>0</v>
      </c>
      <c r="N254">
        <v>0</v>
      </c>
      <c r="O254">
        <v>0</v>
      </c>
    </row>
    <row r="255" spans="1:15" x14ac:dyDescent="0.35">
      <c r="A255" t="s">
        <v>561</v>
      </c>
      <c r="B255" t="s">
        <v>197</v>
      </c>
      <c r="C255" t="s">
        <v>520</v>
      </c>
      <c r="D255" t="s">
        <v>314</v>
      </c>
      <c r="E255" t="s">
        <v>300</v>
      </c>
      <c r="F255" t="s">
        <v>575</v>
      </c>
      <c r="G255">
        <v>0</v>
      </c>
      <c r="H255">
        <v>0</v>
      </c>
      <c r="I255">
        <v>0</v>
      </c>
      <c r="J255">
        <v>0</v>
      </c>
      <c r="K255">
        <v>0</v>
      </c>
      <c r="L255">
        <v>0</v>
      </c>
      <c r="M255">
        <v>0</v>
      </c>
      <c r="N255">
        <v>0</v>
      </c>
      <c r="O255">
        <v>0</v>
      </c>
    </row>
    <row r="256" spans="1:15" x14ac:dyDescent="0.35">
      <c r="A256" t="s">
        <v>561</v>
      </c>
      <c r="B256" t="s">
        <v>197</v>
      </c>
      <c r="C256" t="s">
        <v>520</v>
      </c>
      <c r="D256" t="s">
        <v>314</v>
      </c>
      <c r="E256" t="s">
        <v>306</v>
      </c>
      <c r="F256" t="s">
        <v>576</v>
      </c>
      <c r="G256">
        <v>0</v>
      </c>
      <c r="H256">
        <v>0</v>
      </c>
      <c r="I256">
        <v>0</v>
      </c>
      <c r="J256">
        <v>0</v>
      </c>
      <c r="K256">
        <v>0</v>
      </c>
      <c r="L256">
        <v>0</v>
      </c>
      <c r="M256">
        <v>0</v>
      </c>
      <c r="N256">
        <v>0</v>
      </c>
      <c r="O256">
        <v>0</v>
      </c>
    </row>
    <row r="257" spans="1:15" x14ac:dyDescent="0.35">
      <c r="A257" t="s">
        <v>561</v>
      </c>
      <c r="B257" t="s">
        <v>197</v>
      </c>
      <c r="C257" t="s">
        <v>520</v>
      </c>
      <c r="D257" t="s">
        <v>314</v>
      </c>
      <c r="E257" t="s">
        <v>308</v>
      </c>
      <c r="F257" t="s">
        <v>577</v>
      </c>
      <c r="G257">
        <v>0</v>
      </c>
      <c r="H257">
        <v>0</v>
      </c>
      <c r="I257">
        <v>0</v>
      </c>
      <c r="J257">
        <v>0</v>
      </c>
      <c r="K257">
        <v>0</v>
      </c>
      <c r="L257">
        <v>0</v>
      </c>
      <c r="M257">
        <v>0</v>
      </c>
      <c r="N257">
        <v>0</v>
      </c>
      <c r="O257">
        <v>0</v>
      </c>
    </row>
    <row r="258" spans="1:15" x14ac:dyDescent="0.35">
      <c r="A258" t="s">
        <v>561</v>
      </c>
      <c r="B258" t="s">
        <v>197</v>
      </c>
      <c r="C258" t="s">
        <v>520</v>
      </c>
      <c r="D258" t="s">
        <v>314</v>
      </c>
      <c r="E258" t="s">
        <v>312</v>
      </c>
      <c r="F258" t="s">
        <v>578</v>
      </c>
      <c r="G258">
        <v>93</v>
      </c>
      <c r="H258">
        <v>17305.620000000003</v>
      </c>
      <c r="I258">
        <v>186.08</v>
      </c>
      <c r="J258">
        <v>54</v>
      </c>
      <c r="K258">
        <v>7496.9299999999994</v>
      </c>
      <c r="L258">
        <v>138.83000000000001</v>
      </c>
      <c r="M258">
        <v>147</v>
      </c>
      <c r="N258">
        <v>24802.550000000003</v>
      </c>
      <c r="O258">
        <v>168.72</v>
      </c>
    </row>
    <row r="259" spans="1:15" x14ac:dyDescent="0.35">
      <c r="A259" t="s">
        <v>561</v>
      </c>
      <c r="B259" t="s">
        <v>197</v>
      </c>
      <c r="C259" t="s">
        <v>520</v>
      </c>
      <c r="D259" t="s">
        <v>314</v>
      </c>
      <c r="E259" t="s">
        <v>310</v>
      </c>
      <c r="F259" t="s">
        <v>579</v>
      </c>
      <c r="G259">
        <v>93</v>
      </c>
      <c r="H259">
        <v>17305.620000000003</v>
      </c>
      <c r="I259">
        <v>186.08</v>
      </c>
      <c r="J259">
        <v>54</v>
      </c>
      <c r="K259">
        <v>7496.9299999999994</v>
      </c>
      <c r="L259">
        <v>138.83000000000001</v>
      </c>
      <c r="M259">
        <v>147</v>
      </c>
      <c r="N259">
        <v>24802.550000000003</v>
      </c>
      <c r="O259">
        <v>168.72</v>
      </c>
    </row>
    <row r="260" spans="1:15" x14ac:dyDescent="0.35">
      <c r="A260" t="s">
        <v>561</v>
      </c>
      <c r="B260" t="s">
        <v>197</v>
      </c>
      <c r="C260" t="s">
        <v>520</v>
      </c>
      <c r="D260" t="s">
        <v>323</v>
      </c>
      <c r="E260" t="s">
        <v>294</v>
      </c>
      <c r="F260" t="s">
        <v>580</v>
      </c>
      <c r="G260">
        <v>3340</v>
      </c>
      <c r="H260">
        <v>301944.84999999998</v>
      </c>
      <c r="I260">
        <v>90.4</v>
      </c>
      <c r="J260">
        <v>0</v>
      </c>
      <c r="K260">
        <v>0</v>
      </c>
      <c r="L260">
        <v>0</v>
      </c>
      <c r="M260">
        <v>3340</v>
      </c>
      <c r="N260">
        <v>301944.84999999998</v>
      </c>
      <c r="O260">
        <v>90.4</v>
      </c>
    </row>
    <row r="261" spans="1:15" x14ac:dyDescent="0.35">
      <c r="A261" t="s">
        <v>561</v>
      </c>
      <c r="B261" t="s">
        <v>197</v>
      </c>
      <c r="C261" t="s">
        <v>520</v>
      </c>
      <c r="D261" t="s">
        <v>323</v>
      </c>
      <c r="E261" t="s">
        <v>296</v>
      </c>
      <c r="F261" t="s">
        <v>581</v>
      </c>
      <c r="G261">
        <v>2804</v>
      </c>
      <c r="H261">
        <v>292678.39</v>
      </c>
      <c r="I261">
        <v>104.38</v>
      </c>
      <c r="J261">
        <v>0</v>
      </c>
      <c r="K261">
        <v>0</v>
      </c>
      <c r="L261">
        <v>0</v>
      </c>
      <c r="M261">
        <v>2804</v>
      </c>
      <c r="N261">
        <v>292678.39</v>
      </c>
      <c r="O261">
        <v>104.38</v>
      </c>
    </row>
    <row r="262" spans="1:15" x14ac:dyDescent="0.35">
      <c r="A262" t="s">
        <v>561</v>
      </c>
      <c r="B262" t="s">
        <v>197</v>
      </c>
      <c r="C262" t="s">
        <v>520</v>
      </c>
      <c r="D262" t="s">
        <v>323</v>
      </c>
      <c r="E262" t="s">
        <v>298</v>
      </c>
      <c r="F262" t="s">
        <v>582</v>
      </c>
      <c r="G262">
        <v>4315</v>
      </c>
      <c r="H262">
        <v>493829.34</v>
      </c>
      <c r="I262">
        <v>114.44</v>
      </c>
      <c r="J262">
        <v>0</v>
      </c>
      <c r="K262">
        <v>0</v>
      </c>
      <c r="L262">
        <v>0</v>
      </c>
      <c r="M262">
        <v>4315</v>
      </c>
      <c r="N262">
        <v>493829.34</v>
      </c>
      <c r="O262">
        <v>114.44</v>
      </c>
    </row>
    <row r="263" spans="1:15" x14ac:dyDescent="0.35">
      <c r="A263" t="s">
        <v>561</v>
      </c>
      <c r="B263" t="s">
        <v>197</v>
      </c>
      <c r="C263" t="s">
        <v>520</v>
      </c>
      <c r="D263" t="s">
        <v>323</v>
      </c>
      <c r="E263" t="s">
        <v>300</v>
      </c>
      <c r="F263" t="s">
        <v>583</v>
      </c>
      <c r="G263">
        <v>379</v>
      </c>
      <c r="H263">
        <v>46879.310000000005</v>
      </c>
      <c r="I263">
        <v>123.69</v>
      </c>
      <c r="J263">
        <v>0</v>
      </c>
      <c r="K263">
        <v>0</v>
      </c>
      <c r="L263">
        <v>0</v>
      </c>
      <c r="M263">
        <v>379</v>
      </c>
      <c r="N263">
        <v>46879.310000000005</v>
      </c>
      <c r="O263">
        <v>123.69</v>
      </c>
    </row>
    <row r="264" spans="1:15" x14ac:dyDescent="0.35">
      <c r="A264" t="s">
        <v>561</v>
      </c>
      <c r="B264" t="s">
        <v>197</v>
      </c>
      <c r="C264" t="s">
        <v>520</v>
      </c>
      <c r="D264" t="s">
        <v>323</v>
      </c>
      <c r="E264" t="s">
        <v>302</v>
      </c>
      <c r="F264" t="s">
        <v>584</v>
      </c>
      <c r="G264">
        <v>12</v>
      </c>
      <c r="H264">
        <v>1737.54</v>
      </c>
      <c r="I264">
        <v>144.80000000000001</v>
      </c>
      <c r="J264">
        <v>0</v>
      </c>
      <c r="K264">
        <v>0</v>
      </c>
      <c r="L264">
        <v>0</v>
      </c>
      <c r="M264">
        <v>12</v>
      </c>
      <c r="N264">
        <v>1737.54</v>
      </c>
      <c r="O264">
        <v>144.80000000000001</v>
      </c>
    </row>
    <row r="265" spans="1:15" x14ac:dyDescent="0.35">
      <c r="A265" t="s">
        <v>561</v>
      </c>
      <c r="B265" t="s">
        <v>197</v>
      </c>
      <c r="C265" t="s">
        <v>520</v>
      </c>
      <c r="D265" t="s">
        <v>323</v>
      </c>
      <c r="E265" t="s">
        <v>304</v>
      </c>
      <c r="F265" t="s">
        <v>585</v>
      </c>
      <c r="G265">
        <v>1</v>
      </c>
      <c r="H265">
        <v>151.07</v>
      </c>
      <c r="I265">
        <v>151.07</v>
      </c>
      <c r="J265">
        <v>0</v>
      </c>
      <c r="K265">
        <v>0</v>
      </c>
      <c r="L265">
        <v>0</v>
      </c>
      <c r="M265">
        <v>1</v>
      </c>
      <c r="N265">
        <v>151.07</v>
      </c>
      <c r="O265">
        <v>151.07</v>
      </c>
    </row>
    <row r="266" spans="1:15" x14ac:dyDescent="0.35">
      <c r="A266" t="s">
        <v>561</v>
      </c>
      <c r="B266" t="s">
        <v>197</v>
      </c>
      <c r="C266" t="s">
        <v>520</v>
      </c>
      <c r="D266" t="s">
        <v>323</v>
      </c>
      <c r="E266" t="s">
        <v>306</v>
      </c>
      <c r="F266" t="s">
        <v>586</v>
      </c>
      <c r="G266">
        <v>24</v>
      </c>
      <c r="H266">
        <v>1934.97</v>
      </c>
      <c r="I266">
        <v>80.62</v>
      </c>
      <c r="J266">
        <v>0</v>
      </c>
      <c r="K266">
        <v>0</v>
      </c>
      <c r="L266">
        <v>0</v>
      </c>
      <c r="M266">
        <v>24</v>
      </c>
      <c r="N266">
        <v>1934.97</v>
      </c>
      <c r="O266">
        <v>80.62</v>
      </c>
    </row>
    <row r="267" spans="1:15" x14ac:dyDescent="0.35">
      <c r="A267" t="s">
        <v>561</v>
      </c>
      <c r="B267" t="s">
        <v>197</v>
      </c>
      <c r="C267" t="s">
        <v>520</v>
      </c>
      <c r="D267" t="s">
        <v>323</v>
      </c>
      <c r="E267" t="s">
        <v>308</v>
      </c>
      <c r="F267" t="s">
        <v>587</v>
      </c>
      <c r="G267">
        <v>0</v>
      </c>
      <c r="H267">
        <v>0</v>
      </c>
      <c r="I267">
        <v>0</v>
      </c>
      <c r="J267">
        <v>0</v>
      </c>
      <c r="K267">
        <v>0</v>
      </c>
      <c r="L267">
        <v>0</v>
      </c>
      <c r="M267">
        <v>0</v>
      </c>
      <c r="N267">
        <v>0</v>
      </c>
      <c r="O267">
        <v>0</v>
      </c>
    </row>
    <row r="268" spans="1:15" x14ac:dyDescent="0.35">
      <c r="A268" t="s">
        <v>561</v>
      </c>
      <c r="B268" t="s">
        <v>197</v>
      </c>
      <c r="C268" t="s">
        <v>520</v>
      </c>
      <c r="D268" t="s">
        <v>323</v>
      </c>
      <c r="E268" t="s">
        <v>310</v>
      </c>
      <c r="F268" t="s">
        <v>588</v>
      </c>
      <c r="G268">
        <v>10875</v>
      </c>
      <c r="H268">
        <v>1139155.4700000002</v>
      </c>
      <c r="I268">
        <v>104.75</v>
      </c>
      <c r="J268">
        <v>0</v>
      </c>
      <c r="K268">
        <v>0</v>
      </c>
      <c r="L268">
        <v>0</v>
      </c>
      <c r="M268">
        <v>10875</v>
      </c>
      <c r="N268">
        <v>1139155.4700000002</v>
      </c>
      <c r="O268">
        <v>104.75</v>
      </c>
    </row>
    <row r="269" spans="1:15" x14ac:dyDescent="0.35">
      <c r="A269" t="s">
        <v>561</v>
      </c>
      <c r="B269" t="s">
        <v>197</v>
      </c>
      <c r="C269" t="s">
        <v>520</v>
      </c>
      <c r="D269" t="s">
        <v>323</v>
      </c>
      <c r="E269" t="s">
        <v>312</v>
      </c>
      <c r="F269" t="s">
        <v>589</v>
      </c>
      <c r="G269">
        <v>10875</v>
      </c>
      <c r="H269">
        <v>1139155.4700000002</v>
      </c>
      <c r="I269">
        <v>104.75</v>
      </c>
      <c r="J269">
        <v>0</v>
      </c>
      <c r="K269">
        <v>0</v>
      </c>
      <c r="L269">
        <v>0</v>
      </c>
      <c r="M269">
        <v>10875</v>
      </c>
      <c r="N269">
        <v>1139155.4700000002</v>
      </c>
      <c r="O269">
        <v>104.75</v>
      </c>
    </row>
    <row r="270" spans="1:15" x14ac:dyDescent="0.35">
      <c r="A270" t="s">
        <v>561</v>
      </c>
      <c r="B270" t="s">
        <v>197</v>
      </c>
      <c r="C270" t="s">
        <v>520</v>
      </c>
      <c r="D270" t="s">
        <v>334</v>
      </c>
      <c r="E270" t="s">
        <v>312</v>
      </c>
      <c r="F270" t="s">
        <v>590</v>
      </c>
      <c r="G270">
        <v>12204</v>
      </c>
      <c r="H270">
        <v>1283803.32</v>
      </c>
      <c r="I270">
        <v>107.67</v>
      </c>
      <c r="J270">
        <v>0</v>
      </c>
      <c r="K270">
        <v>0</v>
      </c>
      <c r="L270">
        <v>0</v>
      </c>
      <c r="M270">
        <v>12204</v>
      </c>
      <c r="N270">
        <v>1283803.32</v>
      </c>
      <c r="O270">
        <v>107.67</v>
      </c>
    </row>
    <row r="271" spans="1:15" x14ac:dyDescent="0.35">
      <c r="A271" t="s">
        <v>561</v>
      </c>
      <c r="B271" t="s">
        <v>197</v>
      </c>
      <c r="C271" t="s">
        <v>520</v>
      </c>
      <c r="D271" t="s">
        <v>334</v>
      </c>
      <c r="E271" t="s">
        <v>308</v>
      </c>
      <c r="F271" t="s">
        <v>591</v>
      </c>
      <c r="G271">
        <v>0</v>
      </c>
      <c r="H271">
        <v>0</v>
      </c>
      <c r="I271">
        <v>0</v>
      </c>
      <c r="J271">
        <v>0</v>
      </c>
      <c r="K271">
        <v>0</v>
      </c>
      <c r="L271">
        <v>0</v>
      </c>
      <c r="M271">
        <v>0</v>
      </c>
      <c r="N271">
        <v>0</v>
      </c>
      <c r="O271">
        <v>0</v>
      </c>
    </row>
    <row r="272" spans="1:15" x14ac:dyDescent="0.35">
      <c r="A272" t="s">
        <v>561</v>
      </c>
      <c r="B272" t="s">
        <v>197</v>
      </c>
      <c r="C272" t="s">
        <v>520</v>
      </c>
      <c r="D272" t="s">
        <v>337</v>
      </c>
      <c r="E272" t="s">
        <v>337</v>
      </c>
      <c r="F272" t="s">
        <v>592</v>
      </c>
      <c r="G272">
        <v>826</v>
      </c>
      <c r="J272">
        <v>0</v>
      </c>
      <c r="M272">
        <v>826</v>
      </c>
    </row>
    <row r="273" spans="1:15" x14ac:dyDescent="0.35">
      <c r="A273" t="s">
        <v>561</v>
      </c>
      <c r="B273" t="s">
        <v>197</v>
      </c>
      <c r="C273" t="s">
        <v>520</v>
      </c>
      <c r="D273" t="s">
        <v>339</v>
      </c>
      <c r="E273" t="s">
        <v>294</v>
      </c>
      <c r="F273" t="s">
        <v>593</v>
      </c>
      <c r="G273">
        <v>1803</v>
      </c>
      <c r="H273">
        <v>194263.75999999998</v>
      </c>
      <c r="I273">
        <v>107.74</v>
      </c>
      <c r="J273">
        <v>0</v>
      </c>
      <c r="K273">
        <v>0</v>
      </c>
      <c r="L273">
        <v>0</v>
      </c>
      <c r="M273">
        <v>1803</v>
      </c>
      <c r="N273">
        <v>194263.75999999998</v>
      </c>
      <c r="O273">
        <v>107.74</v>
      </c>
    </row>
    <row r="274" spans="1:15" x14ac:dyDescent="0.35">
      <c r="A274" t="s">
        <v>561</v>
      </c>
      <c r="B274" t="s">
        <v>197</v>
      </c>
      <c r="C274" t="s">
        <v>520</v>
      </c>
      <c r="D274" t="s">
        <v>339</v>
      </c>
      <c r="E274" t="s">
        <v>296</v>
      </c>
      <c r="F274" t="s">
        <v>594</v>
      </c>
      <c r="G274">
        <v>468</v>
      </c>
      <c r="H274">
        <v>52189.8</v>
      </c>
      <c r="I274">
        <v>111.52</v>
      </c>
      <c r="J274">
        <v>0</v>
      </c>
      <c r="K274">
        <v>0</v>
      </c>
      <c r="L274">
        <v>0</v>
      </c>
      <c r="M274">
        <v>468</v>
      </c>
      <c r="N274">
        <v>52189.8</v>
      </c>
      <c r="O274">
        <v>111.52</v>
      </c>
    </row>
    <row r="275" spans="1:15" x14ac:dyDescent="0.35">
      <c r="A275" t="s">
        <v>561</v>
      </c>
      <c r="B275" t="s">
        <v>197</v>
      </c>
      <c r="C275" t="s">
        <v>520</v>
      </c>
      <c r="D275" t="s">
        <v>339</v>
      </c>
      <c r="E275" t="s">
        <v>298</v>
      </c>
      <c r="F275" t="s">
        <v>595</v>
      </c>
      <c r="G275">
        <v>23</v>
      </c>
      <c r="H275">
        <v>4165.6000000000004</v>
      </c>
      <c r="I275">
        <v>181.11</v>
      </c>
      <c r="J275">
        <v>0</v>
      </c>
      <c r="K275">
        <v>0</v>
      </c>
      <c r="L275">
        <v>0</v>
      </c>
      <c r="M275">
        <v>23</v>
      </c>
      <c r="N275">
        <v>4165.6000000000004</v>
      </c>
      <c r="O275">
        <v>181.11</v>
      </c>
    </row>
    <row r="276" spans="1:15" x14ac:dyDescent="0.35">
      <c r="A276" t="s">
        <v>561</v>
      </c>
      <c r="B276" t="s">
        <v>197</v>
      </c>
      <c r="C276" t="s">
        <v>520</v>
      </c>
      <c r="D276" t="s">
        <v>339</v>
      </c>
      <c r="E276" t="s">
        <v>300</v>
      </c>
      <c r="F276" t="s">
        <v>596</v>
      </c>
      <c r="G276">
        <v>6</v>
      </c>
      <c r="H276">
        <v>1435.5900000000001</v>
      </c>
      <c r="I276">
        <v>239.27</v>
      </c>
      <c r="J276">
        <v>0</v>
      </c>
      <c r="K276">
        <v>0</v>
      </c>
      <c r="L276">
        <v>0</v>
      </c>
      <c r="M276">
        <v>6</v>
      </c>
      <c r="N276">
        <v>1435.5900000000001</v>
      </c>
      <c r="O276">
        <v>239.27</v>
      </c>
    </row>
    <row r="277" spans="1:15" x14ac:dyDescent="0.35">
      <c r="A277" t="s">
        <v>561</v>
      </c>
      <c r="B277" t="s">
        <v>197</v>
      </c>
      <c r="C277" t="s">
        <v>520</v>
      </c>
      <c r="D277" t="s">
        <v>339</v>
      </c>
      <c r="E277" t="s">
        <v>306</v>
      </c>
      <c r="F277" t="s">
        <v>597</v>
      </c>
      <c r="G277">
        <v>111</v>
      </c>
      <c r="H277">
        <v>9071.18</v>
      </c>
      <c r="I277">
        <v>81.72</v>
      </c>
      <c r="J277">
        <v>0</v>
      </c>
      <c r="K277">
        <v>0</v>
      </c>
      <c r="L277">
        <v>0</v>
      </c>
      <c r="M277">
        <v>111</v>
      </c>
      <c r="N277">
        <v>9071.18</v>
      </c>
      <c r="O277">
        <v>81.72</v>
      </c>
    </row>
    <row r="278" spans="1:15" x14ac:dyDescent="0.35">
      <c r="A278" t="s">
        <v>561</v>
      </c>
      <c r="B278" t="s">
        <v>197</v>
      </c>
      <c r="C278" t="s">
        <v>520</v>
      </c>
      <c r="D278" t="s">
        <v>339</v>
      </c>
      <c r="E278" t="s">
        <v>308</v>
      </c>
      <c r="F278" t="s">
        <v>598</v>
      </c>
      <c r="G278">
        <v>96</v>
      </c>
      <c r="H278">
        <v>10975.28</v>
      </c>
      <c r="I278">
        <v>114.33</v>
      </c>
      <c r="J278">
        <v>0</v>
      </c>
      <c r="K278">
        <v>0</v>
      </c>
      <c r="L278">
        <v>0</v>
      </c>
      <c r="M278">
        <v>96</v>
      </c>
      <c r="N278">
        <v>10975.28</v>
      </c>
      <c r="O278">
        <v>114.33</v>
      </c>
    </row>
    <row r="279" spans="1:15" x14ac:dyDescent="0.35">
      <c r="A279" t="s">
        <v>561</v>
      </c>
      <c r="B279" t="s">
        <v>197</v>
      </c>
      <c r="C279" t="s">
        <v>520</v>
      </c>
      <c r="D279" t="s">
        <v>339</v>
      </c>
      <c r="E279" t="s">
        <v>310</v>
      </c>
      <c r="F279" t="s">
        <v>599</v>
      </c>
      <c r="G279">
        <v>2507</v>
      </c>
      <c r="H279">
        <v>272101.21000000002</v>
      </c>
      <c r="I279">
        <v>108.54</v>
      </c>
      <c r="J279">
        <v>0</v>
      </c>
      <c r="K279">
        <v>0</v>
      </c>
      <c r="L279">
        <v>0</v>
      </c>
      <c r="M279">
        <v>2507</v>
      </c>
      <c r="N279">
        <v>272101.21000000002</v>
      </c>
      <c r="O279">
        <v>108.54</v>
      </c>
    </row>
    <row r="280" spans="1:15" x14ac:dyDescent="0.35">
      <c r="A280" t="s">
        <v>561</v>
      </c>
      <c r="B280" t="s">
        <v>197</v>
      </c>
      <c r="C280" t="s">
        <v>520</v>
      </c>
      <c r="D280" t="s">
        <v>339</v>
      </c>
      <c r="E280" t="s">
        <v>312</v>
      </c>
      <c r="F280" t="s">
        <v>600</v>
      </c>
      <c r="G280">
        <v>2411</v>
      </c>
      <c r="H280">
        <v>261125.93</v>
      </c>
      <c r="I280">
        <v>108.31</v>
      </c>
      <c r="J280">
        <v>0</v>
      </c>
      <c r="K280">
        <v>0</v>
      </c>
      <c r="L280">
        <v>0</v>
      </c>
      <c r="M280">
        <v>2411</v>
      </c>
      <c r="N280">
        <v>261125.93</v>
      </c>
      <c r="O280">
        <v>108.31</v>
      </c>
    </row>
    <row r="281" spans="1:15" x14ac:dyDescent="0.35">
      <c r="A281" t="s">
        <v>561</v>
      </c>
      <c r="B281" t="s">
        <v>197</v>
      </c>
      <c r="C281" t="s">
        <v>520</v>
      </c>
      <c r="D281" t="s">
        <v>348</v>
      </c>
      <c r="E281" t="s">
        <v>349</v>
      </c>
      <c r="F281" t="s">
        <v>601</v>
      </c>
      <c r="G281">
        <v>2727</v>
      </c>
      <c r="H281">
        <v>289406.83</v>
      </c>
      <c r="I281">
        <v>111.31</v>
      </c>
      <c r="J281">
        <v>54</v>
      </c>
      <c r="K281">
        <v>7496.9299999999994</v>
      </c>
      <c r="L281">
        <v>138.83000000000001</v>
      </c>
      <c r="M281">
        <v>2781</v>
      </c>
      <c r="N281">
        <v>296903.76</v>
      </c>
      <c r="O281">
        <v>111.87</v>
      </c>
    </row>
    <row r="282" spans="1:15" x14ac:dyDescent="0.35">
      <c r="A282" t="s">
        <v>602</v>
      </c>
      <c r="B282" t="s">
        <v>603</v>
      </c>
      <c r="C282" t="s">
        <v>520</v>
      </c>
      <c r="D282" t="s">
        <v>293</v>
      </c>
      <c r="E282" t="s">
        <v>294</v>
      </c>
      <c r="F282" t="s">
        <v>604</v>
      </c>
      <c r="G282">
        <v>24</v>
      </c>
      <c r="H282">
        <v>2338.7400000000002</v>
      </c>
      <c r="I282">
        <v>97.45</v>
      </c>
      <c r="J282">
        <v>0</v>
      </c>
      <c r="K282">
        <v>0</v>
      </c>
      <c r="L282">
        <v>0</v>
      </c>
      <c r="M282">
        <v>24</v>
      </c>
      <c r="N282">
        <v>2338.7400000000002</v>
      </c>
      <c r="O282">
        <v>97.45</v>
      </c>
    </row>
    <row r="283" spans="1:15" x14ac:dyDescent="0.35">
      <c r="A283" t="s">
        <v>602</v>
      </c>
      <c r="B283" t="s">
        <v>603</v>
      </c>
      <c r="C283" t="s">
        <v>520</v>
      </c>
      <c r="D283" t="s">
        <v>293</v>
      </c>
      <c r="E283" t="s">
        <v>296</v>
      </c>
      <c r="F283" t="s">
        <v>605</v>
      </c>
      <c r="G283">
        <v>468</v>
      </c>
      <c r="H283">
        <v>55334.659999999996</v>
      </c>
      <c r="I283">
        <v>118.24</v>
      </c>
      <c r="J283">
        <v>0</v>
      </c>
      <c r="K283">
        <v>0</v>
      </c>
      <c r="L283">
        <v>0</v>
      </c>
      <c r="M283">
        <v>468</v>
      </c>
      <c r="N283">
        <v>55334.659999999996</v>
      </c>
      <c r="O283">
        <v>118.24</v>
      </c>
    </row>
    <row r="284" spans="1:15" x14ac:dyDescent="0.35">
      <c r="A284" t="s">
        <v>602</v>
      </c>
      <c r="B284" t="s">
        <v>603</v>
      </c>
      <c r="C284" t="s">
        <v>520</v>
      </c>
      <c r="D284" t="s">
        <v>293</v>
      </c>
      <c r="E284" t="s">
        <v>298</v>
      </c>
      <c r="F284" t="s">
        <v>606</v>
      </c>
      <c r="G284">
        <v>1098</v>
      </c>
      <c r="H284">
        <v>133621.97999999998</v>
      </c>
      <c r="I284">
        <v>121.7</v>
      </c>
      <c r="J284">
        <v>0</v>
      </c>
      <c r="K284">
        <v>0</v>
      </c>
      <c r="L284">
        <v>0</v>
      </c>
      <c r="M284">
        <v>1098</v>
      </c>
      <c r="N284">
        <v>133621.97999999998</v>
      </c>
      <c r="O284">
        <v>121.7</v>
      </c>
    </row>
    <row r="285" spans="1:15" x14ac:dyDescent="0.35">
      <c r="A285" t="s">
        <v>602</v>
      </c>
      <c r="B285" t="s">
        <v>603</v>
      </c>
      <c r="C285" t="s">
        <v>520</v>
      </c>
      <c r="D285" t="s">
        <v>293</v>
      </c>
      <c r="E285" t="s">
        <v>300</v>
      </c>
      <c r="F285" t="s">
        <v>607</v>
      </c>
      <c r="G285">
        <v>113</v>
      </c>
      <c r="H285">
        <v>16501.36</v>
      </c>
      <c r="I285">
        <v>146.03</v>
      </c>
      <c r="J285">
        <v>0</v>
      </c>
      <c r="K285">
        <v>0</v>
      </c>
      <c r="L285">
        <v>0</v>
      </c>
      <c r="M285">
        <v>113</v>
      </c>
      <c r="N285">
        <v>16501.36</v>
      </c>
      <c r="O285">
        <v>146.03</v>
      </c>
    </row>
    <row r="286" spans="1:15" x14ac:dyDescent="0.35">
      <c r="A286" t="s">
        <v>602</v>
      </c>
      <c r="B286" t="s">
        <v>603</v>
      </c>
      <c r="C286" t="s">
        <v>520</v>
      </c>
      <c r="D286" t="s">
        <v>293</v>
      </c>
      <c r="E286" t="s">
        <v>302</v>
      </c>
      <c r="F286" t="s">
        <v>608</v>
      </c>
      <c r="G286">
        <v>8</v>
      </c>
      <c r="H286">
        <v>1238.79</v>
      </c>
      <c r="I286">
        <v>154.85</v>
      </c>
      <c r="J286">
        <v>0</v>
      </c>
      <c r="K286">
        <v>0</v>
      </c>
      <c r="L286">
        <v>0</v>
      </c>
      <c r="M286">
        <v>8</v>
      </c>
      <c r="N286">
        <v>1238.79</v>
      </c>
      <c r="O286">
        <v>154.85</v>
      </c>
    </row>
    <row r="287" spans="1:15" x14ac:dyDescent="0.35">
      <c r="A287" t="s">
        <v>602</v>
      </c>
      <c r="B287" t="s">
        <v>603</v>
      </c>
      <c r="C287" t="s">
        <v>520</v>
      </c>
      <c r="D287" t="s">
        <v>293</v>
      </c>
      <c r="E287" t="s">
        <v>304</v>
      </c>
      <c r="F287" t="s">
        <v>609</v>
      </c>
      <c r="G287">
        <v>0</v>
      </c>
      <c r="H287">
        <v>0</v>
      </c>
      <c r="I287">
        <v>0</v>
      </c>
      <c r="J287">
        <v>0</v>
      </c>
      <c r="K287">
        <v>0</v>
      </c>
      <c r="L287">
        <v>0</v>
      </c>
      <c r="M287">
        <v>0</v>
      </c>
      <c r="N287">
        <v>0</v>
      </c>
      <c r="O287">
        <v>0</v>
      </c>
    </row>
    <row r="288" spans="1:15" x14ac:dyDescent="0.35">
      <c r="A288" t="s">
        <v>602</v>
      </c>
      <c r="B288" t="s">
        <v>603</v>
      </c>
      <c r="C288" t="s">
        <v>520</v>
      </c>
      <c r="D288" t="s">
        <v>293</v>
      </c>
      <c r="E288" t="s">
        <v>306</v>
      </c>
      <c r="F288" t="s">
        <v>610</v>
      </c>
      <c r="G288">
        <v>0</v>
      </c>
      <c r="H288">
        <v>0</v>
      </c>
      <c r="I288">
        <v>0</v>
      </c>
      <c r="J288">
        <v>0</v>
      </c>
      <c r="K288">
        <v>0</v>
      </c>
      <c r="L288">
        <v>0</v>
      </c>
      <c r="M288">
        <v>0</v>
      </c>
      <c r="N288">
        <v>0</v>
      </c>
      <c r="O288">
        <v>0</v>
      </c>
    </row>
    <row r="289" spans="1:15" x14ac:dyDescent="0.35">
      <c r="A289" t="s">
        <v>602</v>
      </c>
      <c r="B289" t="s">
        <v>603</v>
      </c>
      <c r="C289" t="s">
        <v>520</v>
      </c>
      <c r="D289" t="s">
        <v>293</v>
      </c>
      <c r="E289" t="s">
        <v>308</v>
      </c>
      <c r="F289" t="s">
        <v>611</v>
      </c>
      <c r="G289">
        <v>0</v>
      </c>
      <c r="H289">
        <v>0</v>
      </c>
      <c r="I289">
        <v>0</v>
      </c>
      <c r="J289">
        <v>0</v>
      </c>
      <c r="K289">
        <v>0</v>
      </c>
      <c r="L289">
        <v>0</v>
      </c>
      <c r="M289">
        <v>0</v>
      </c>
      <c r="N289">
        <v>0</v>
      </c>
      <c r="O289">
        <v>0</v>
      </c>
    </row>
    <row r="290" spans="1:15" x14ac:dyDescent="0.35">
      <c r="A290" t="s">
        <v>602</v>
      </c>
      <c r="B290" t="s">
        <v>603</v>
      </c>
      <c r="C290" t="s">
        <v>520</v>
      </c>
      <c r="D290" t="s">
        <v>293</v>
      </c>
      <c r="E290" t="s">
        <v>310</v>
      </c>
      <c r="F290" t="s">
        <v>612</v>
      </c>
      <c r="G290">
        <v>1711</v>
      </c>
      <c r="H290">
        <v>209035.53</v>
      </c>
      <c r="I290">
        <v>122.17</v>
      </c>
      <c r="J290">
        <v>0</v>
      </c>
      <c r="K290">
        <v>0</v>
      </c>
      <c r="L290">
        <v>0</v>
      </c>
      <c r="M290">
        <v>1711</v>
      </c>
      <c r="N290">
        <v>209035.53</v>
      </c>
      <c r="O290">
        <v>122.17</v>
      </c>
    </row>
    <row r="291" spans="1:15" x14ac:dyDescent="0.35">
      <c r="A291" t="s">
        <v>602</v>
      </c>
      <c r="B291" t="s">
        <v>603</v>
      </c>
      <c r="C291" t="s">
        <v>520</v>
      </c>
      <c r="D291" t="s">
        <v>293</v>
      </c>
      <c r="E291" t="s">
        <v>312</v>
      </c>
      <c r="F291" t="s">
        <v>613</v>
      </c>
      <c r="G291">
        <v>1711</v>
      </c>
      <c r="H291">
        <v>209035.53</v>
      </c>
      <c r="I291">
        <v>122.17</v>
      </c>
      <c r="J291">
        <v>0</v>
      </c>
      <c r="K291">
        <v>0</v>
      </c>
      <c r="L291">
        <v>0</v>
      </c>
      <c r="M291">
        <v>1711</v>
      </c>
      <c r="N291">
        <v>209035.53</v>
      </c>
      <c r="O291">
        <v>122.17</v>
      </c>
    </row>
    <row r="292" spans="1:15" x14ac:dyDescent="0.35">
      <c r="A292" t="s">
        <v>602</v>
      </c>
      <c r="B292" t="s">
        <v>603</v>
      </c>
      <c r="C292" t="s">
        <v>520</v>
      </c>
      <c r="D292" t="s">
        <v>314</v>
      </c>
      <c r="E292" t="s">
        <v>294</v>
      </c>
      <c r="F292" t="s">
        <v>614</v>
      </c>
      <c r="G292">
        <v>20</v>
      </c>
      <c r="H292">
        <v>3712</v>
      </c>
      <c r="I292">
        <v>185.6</v>
      </c>
      <c r="J292">
        <v>0</v>
      </c>
      <c r="K292">
        <v>0</v>
      </c>
      <c r="L292">
        <v>0</v>
      </c>
      <c r="M292">
        <v>20</v>
      </c>
      <c r="N292">
        <v>3712</v>
      </c>
      <c r="O292">
        <v>185.6</v>
      </c>
    </row>
    <row r="293" spans="1:15" x14ac:dyDescent="0.35">
      <c r="A293" t="s">
        <v>602</v>
      </c>
      <c r="B293" t="s">
        <v>603</v>
      </c>
      <c r="C293" t="s">
        <v>520</v>
      </c>
      <c r="D293" t="s">
        <v>314</v>
      </c>
      <c r="E293" t="s">
        <v>296</v>
      </c>
      <c r="F293" t="s">
        <v>615</v>
      </c>
      <c r="G293">
        <v>65</v>
      </c>
      <c r="H293">
        <v>12738.699999999999</v>
      </c>
      <c r="I293">
        <v>195.98</v>
      </c>
      <c r="J293">
        <v>0</v>
      </c>
      <c r="K293">
        <v>0</v>
      </c>
      <c r="L293">
        <v>0</v>
      </c>
      <c r="M293">
        <v>65</v>
      </c>
      <c r="N293">
        <v>12738.699999999999</v>
      </c>
      <c r="O293">
        <v>195.98</v>
      </c>
    </row>
    <row r="294" spans="1:15" x14ac:dyDescent="0.35">
      <c r="A294" t="s">
        <v>602</v>
      </c>
      <c r="B294" t="s">
        <v>603</v>
      </c>
      <c r="C294" t="s">
        <v>520</v>
      </c>
      <c r="D294" t="s">
        <v>314</v>
      </c>
      <c r="E294" t="s">
        <v>298</v>
      </c>
      <c r="F294" t="s">
        <v>616</v>
      </c>
      <c r="G294">
        <v>0</v>
      </c>
      <c r="H294">
        <v>0</v>
      </c>
      <c r="I294">
        <v>0</v>
      </c>
      <c r="J294">
        <v>0</v>
      </c>
      <c r="K294">
        <v>0</v>
      </c>
      <c r="L294">
        <v>0</v>
      </c>
      <c r="M294">
        <v>0</v>
      </c>
      <c r="N294">
        <v>0</v>
      </c>
      <c r="O294">
        <v>0</v>
      </c>
    </row>
    <row r="295" spans="1:15" x14ac:dyDescent="0.35">
      <c r="A295" t="s">
        <v>602</v>
      </c>
      <c r="B295" t="s">
        <v>603</v>
      </c>
      <c r="C295" t="s">
        <v>520</v>
      </c>
      <c r="D295" t="s">
        <v>314</v>
      </c>
      <c r="E295" t="s">
        <v>300</v>
      </c>
      <c r="F295" t="s">
        <v>617</v>
      </c>
      <c r="G295">
        <v>0</v>
      </c>
      <c r="H295">
        <v>0</v>
      </c>
      <c r="I295">
        <v>0</v>
      </c>
      <c r="J295">
        <v>0</v>
      </c>
      <c r="K295">
        <v>0</v>
      </c>
      <c r="L295">
        <v>0</v>
      </c>
      <c r="M295">
        <v>0</v>
      </c>
      <c r="N295">
        <v>0</v>
      </c>
      <c r="O295">
        <v>0</v>
      </c>
    </row>
    <row r="296" spans="1:15" x14ac:dyDescent="0.35">
      <c r="A296" t="s">
        <v>602</v>
      </c>
      <c r="B296" t="s">
        <v>603</v>
      </c>
      <c r="C296" t="s">
        <v>520</v>
      </c>
      <c r="D296" t="s">
        <v>314</v>
      </c>
      <c r="E296" t="s">
        <v>306</v>
      </c>
      <c r="F296" t="s">
        <v>618</v>
      </c>
      <c r="G296">
        <v>0</v>
      </c>
      <c r="H296">
        <v>0</v>
      </c>
      <c r="I296">
        <v>0</v>
      </c>
      <c r="J296">
        <v>0</v>
      </c>
      <c r="K296">
        <v>0</v>
      </c>
      <c r="L296">
        <v>0</v>
      </c>
      <c r="M296">
        <v>0</v>
      </c>
      <c r="N296">
        <v>0</v>
      </c>
      <c r="O296">
        <v>0</v>
      </c>
    </row>
    <row r="297" spans="1:15" x14ac:dyDescent="0.35">
      <c r="A297" t="s">
        <v>602</v>
      </c>
      <c r="B297" t="s">
        <v>603</v>
      </c>
      <c r="C297" t="s">
        <v>520</v>
      </c>
      <c r="D297" t="s">
        <v>314</v>
      </c>
      <c r="E297" t="s">
        <v>308</v>
      </c>
      <c r="F297" t="s">
        <v>619</v>
      </c>
      <c r="G297">
        <v>0</v>
      </c>
      <c r="H297">
        <v>0</v>
      </c>
      <c r="I297">
        <v>0</v>
      </c>
      <c r="J297">
        <v>0</v>
      </c>
      <c r="K297">
        <v>0</v>
      </c>
      <c r="L297">
        <v>0</v>
      </c>
      <c r="M297">
        <v>0</v>
      </c>
      <c r="N297">
        <v>0</v>
      </c>
      <c r="O297">
        <v>0</v>
      </c>
    </row>
    <row r="298" spans="1:15" x14ac:dyDescent="0.35">
      <c r="A298" t="s">
        <v>602</v>
      </c>
      <c r="B298" t="s">
        <v>603</v>
      </c>
      <c r="C298" t="s">
        <v>520</v>
      </c>
      <c r="D298" t="s">
        <v>314</v>
      </c>
      <c r="E298" t="s">
        <v>312</v>
      </c>
      <c r="F298" t="s">
        <v>620</v>
      </c>
      <c r="G298">
        <v>85</v>
      </c>
      <c r="H298">
        <v>16450.699999999997</v>
      </c>
      <c r="I298">
        <v>193.54</v>
      </c>
      <c r="J298">
        <v>0</v>
      </c>
      <c r="K298">
        <v>0</v>
      </c>
      <c r="L298">
        <v>0</v>
      </c>
      <c r="M298">
        <v>85</v>
      </c>
      <c r="N298">
        <v>16450.699999999997</v>
      </c>
      <c r="O298">
        <v>193.54</v>
      </c>
    </row>
    <row r="299" spans="1:15" x14ac:dyDescent="0.35">
      <c r="A299" t="s">
        <v>602</v>
      </c>
      <c r="B299" t="s">
        <v>603</v>
      </c>
      <c r="C299" t="s">
        <v>520</v>
      </c>
      <c r="D299" t="s">
        <v>314</v>
      </c>
      <c r="E299" t="s">
        <v>310</v>
      </c>
      <c r="F299" t="s">
        <v>621</v>
      </c>
      <c r="G299">
        <v>85</v>
      </c>
      <c r="H299">
        <v>16450.699999999997</v>
      </c>
      <c r="I299">
        <v>193.54</v>
      </c>
      <c r="J299">
        <v>0</v>
      </c>
      <c r="K299">
        <v>0</v>
      </c>
      <c r="L299">
        <v>0</v>
      </c>
      <c r="M299">
        <v>85</v>
      </c>
      <c r="N299">
        <v>16450.699999999997</v>
      </c>
      <c r="O299">
        <v>193.54</v>
      </c>
    </row>
    <row r="300" spans="1:15" x14ac:dyDescent="0.35">
      <c r="A300" t="s">
        <v>602</v>
      </c>
      <c r="B300" t="s">
        <v>603</v>
      </c>
      <c r="C300" t="s">
        <v>520</v>
      </c>
      <c r="D300" t="s">
        <v>323</v>
      </c>
      <c r="E300" t="s">
        <v>294</v>
      </c>
      <c r="F300" t="s">
        <v>622</v>
      </c>
      <c r="G300">
        <v>2341</v>
      </c>
      <c r="H300">
        <v>191405.19999999998</v>
      </c>
      <c r="I300">
        <v>81.760000000000005</v>
      </c>
      <c r="J300">
        <v>0</v>
      </c>
      <c r="K300">
        <v>0</v>
      </c>
      <c r="L300">
        <v>0</v>
      </c>
      <c r="M300">
        <v>2341</v>
      </c>
      <c r="N300">
        <v>191405.19999999998</v>
      </c>
      <c r="O300">
        <v>81.760000000000005</v>
      </c>
    </row>
    <row r="301" spans="1:15" x14ac:dyDescent="0.35">
      <c r="A301" t="s">
        <v>602</v>
      </c>
      <c r="B301" t="s">
        <v>603</v>
      </c>
      <c r="C301" t="s">
        <v>520</v>
      </c>
      <c r="D301" t="s">
        <v>323</v>
      </c>
      <c r="E301" t="s">
        <v>296</v>
      </c>
      <c r="F301" t="s">
        <v>623</v>
      </c>
      <c r="G301">
        <v>3125</v>
      </c>
      <c r="H301">
        <v>297208.80000000005</v>
      </c>
      <c r="I301">
        <v>95.11</v>
      </c>
      <c r="J301">
        <v>0</v>
      </c>
      <c r="K301">
        <v>0</v>
      </c>
      <c r="L301">
        <v>0</v>
      </c>
      <c r="M301">
        <v>3125</v>
      </c>
      <c r="N301">
        <v>297208.80000000005</v>
      </c>
      <c r="O301">
        <v>95.11</v>
      </c>
    </row>
    <row r="302" spans="1:15" x14ac:dyDescent="0.35">
      <c r="A302" t="s">
        <v>602</v>
      </c>
      <c r="B302" t="s">
        <v>603</v>
      </c>
      <c r="C302" t="s">
        <v>520</v>
      </c>
      <c r="D302" t="s">
        <v>323</v>
      </c>
      <c r="E302" t="s">
        <v>298</v>
      </c>
      <c r="F302" t="s">
        <v>624</v>
      </c>
      <c r="G302">
        <v>2274</v>
      </c>
      <c r="H302">
        <v>245190.25</v>
      </c>
      <c r="I302">
        <v>107.82</v>
      </c>
      <c r="J302">
        <v>0</v>
      </c>
      <c r="K302">
        <v>0</v>
      </c>
      <c r="L302">
        <v>0</v>
      </c>
      <c r="M302">
        <v>2274</v>
      </c>
      <c r="N302">
        <v>245190.25</v>
      </c>
      <c r="O302">
        <v>107.82</v>
      </c>
    </row>
    <row r="303" spans="1:15" x14ac:dyDescent="0.35">
      <c r="A303" t="s">
        <v>602</v>
      </c>
      <c r="B303" t="s">
        <v>603</v>
      </c>
      <c r="C303" t="s">
        <v>520</v>
      </c>
      <c r="D303" t="s">
        <v>323</v>
      </c>
      <c r="E303" t="s">
        <v>300</v>
      </c>
      <c r="F303" t="s">
        <v>625</v>
      </c>
      <c r="G303">
        <v>382</v>
      </c>
      <c r="H303">
        <v>47110.46</v>
      </c>
      <c r="I303">
        <v>123.33</v>
      </c>
      <c r="J303">
        <v>0</v>
      </c>
      <c r="K303">
        <v>0</v>
      </c>
      <c r="L303">
        <v>0</v>
      </c>
      <c r="M303">
        <v>382</v>
      </c>
      <c r="N303">
        <v>47110.46</v>
      </c>
      <c r="O303">
        <v>123.33</v>
      </c>
    </row>
    <row r="304" spans="1:15" x14ac:dyDescent="0.35">
      <c r="A304" t="s">
        <v>602</v>
      </c>
      <c r="B304" t="s">
        <v>603</v>
      </c>
      <c r="C304" t="s">
        <v>520</v>
      </c>
      <c r="D304" t="s">
        <v>323</v>
      </c>
      <c r="E304" t="s">
        <v>302</v>
      </c>
      <c r="F304" t="s">
        <v>626</v>
      </c>
      <c r="G304">
        <v>55</v>
      </c>
      <c r="H304">
        <v>7476.22</v>
      </c>
      <c r="I304">
        <v>135.93</v>
      </c>
      <c r="J304">
        <v>0</v>
      </c>
      <c r="K304">
        <v>0</v>
      </c>
      <c r="L304">
        <v>0</v>
      </c>
      <c r="M304">
        <v>55</v>
      </c>
      <c r="N304">
        <v>7476.22</v>
      </c>
      <c r="O304">
        <v>135.93</v>
      </c>
    </row>
    <row r="305" spans="1:15" x14ac:dyDescent="0.35">
      <c r="A305" t="s">
        <v>602</v>
      </c>
      <c r="B305" t="s">
        <v>603</v>
      </c>
      <c r="C305" t="s">
        <v>520</v>
      </c>
      <c r="D305" t="s">
        <v>323</v>
      </c>
      <c r="E305" t="s">
        <v>304</v>
      </c>
      <c r="F305" t="s">
        <v>627</v>
      </c>
      <c r="G305">
        <v>10</v>
      </c>
      <c r="H305">
        <v>1403.98</v>
      </c>
      <c r="I305">
        <v>140.4</v>
      </c>
      <c r="J305">
        <v>0</v>
      </c>
      <c r="K305">
        <v>0</v>
      </c>
      <c r="L305">
        <v>0</v>
      </c>
      <c r="M305">
        <v>10</v>
      </c>
      <c r="N305">
        <v>1403.98</v>
      </c>
      <c r="O305">
        <v>140.4</v>
      </c>
    </row>
    <row r="306" spans="1:15" x14ac:dyDescent="0.35">
      <c r="A306" t="s">
        <v>602</v>
      </c>
      <c r="B306" t="s">
        <v>603</v>
      </c>
      <c r="C306" t="s">
        <v>520</v>
      </c>
      <c r="D306" t="s">
        <v>323</v>
      </c>
      <c r="E306" t="s">
        <v>306</v>
      </c>
      <c r="F306" t="s">
        <v>628</v>
      </c>
      <c r="G306">
        <v>88</v>
      </c>
      <c r="H306">
        <v>6363.68</v>
      </c>
      <c r="I306">
        <v>72.31</v>
      </c>
      <c r="J306">
        <v>0</v>
      </c>
      <c r="K306">
        <v>0</v>
      </c>
      <c r="L306">
        <v>0</v>
      </c>
      <c r="M306">
        <v>88</v>
      </c>
      <c r="N306">
        <v>6363.68</v>
      </c>
      <c r="O306">
        <v>72.31</v>
      </c>
    </row>
    <row r="307" spans="1:15" x14ac:dyDescent="0.35">
      <c r="A307" t="s">
        <v>602</v>
      </c>
      <c r="B307" t="s">
        <v>603</v>
      </c>
      <c r="C307" t="s">
        <v>520</v>
      </c>
      <c r="D307" t="s">
        <v>323</v>
      </c>
      <c r="E307" t="s">
        <v>308</v>
      </c>
      <c r="F307" t="s">
        <v>629</v>
      </c>
      <c r="G307">
        <v>0</v>
      </c>
      <c r="H307">
        <v>0</v>
      </c>
      <c r="I307">
        <v>0</v>
      </c>
      <c r="J307">
        <v>0</v>
      </c>
      <c r="K307">
        <v>0</v>
      </c>
      <c r="L307">
        <v>0</v>
      </c>
      <c r="M307">
        <v>0</v>
      </c>
      <c r="N307">
        <v>0</v>
      </c>
      <c r="O307">
        <v>0</v>
      </c>
    </row>
    <row r="308" spans="1:15" x14ac:dyDescent="0.35">
      <c r="A308" t="s">
        <v>602</v>
      </c>
      <c r="B308" t="s">
        <v>603</v>
      </c>
      <c r="C308" t="s">
        <v>520</v>
      </c>
      <c r="D308" t="s">
        <v>323</v>
      </c>
      <c r="E308" t="s">
        <v>310</v>
      </c>
      <c r="F308" t="s">
        <v>630</v>
      </c>
      <c r="G308">
        <v>8275</v>
      </c>
      <c r="H308">
        <v>796158.59</v>
      </c>
      <c r="I308">
        <v>96.21</v>
      </c>
      <c r="J308">
        <v>0</v>
      </c>
      <c r="K308">
        <v>0</v>
      </c>
      <c r="L308">
        <v>0</v>
      </c>
      <c r="M308">
        <v>8275</v>
      </c>
      <c r="N308">
        <v>796158.59</v>
      </c>
      <c r="O308">
        <v>96.21</v>
      </c>
    </row>
    <row r="309" spans="1:15" x14ac:dyDescent="0.35">
      <c r="A309" t="s">
        <v>602</v>
      </c>
      <c r="B309" t="s">
        <v>603</v>
      </c>
      <c r="C309" t="s">
        <v>520</v>
      </c>
      <c r="D309" t="s">
        <v>323</v>
      </c>
      <c r="E309" t="s">
        <v>312</v>
      </c>
      <c r="F309" t="s">
        <v>631</v>
      </c>
      <c r="G309">
        <v>8275</v>
      </c>
      <c r="H309">
        <v>796158.59</v>
      </c>
      <c r="I309">
        <v>96.21</v>
      </c>
      <c r="J309">
        <v>0</v>
      </c>
      <c r="K309">
        <v>0</v>
      </c>
      <c r="L309">
        <v>0</v>
      </c>
      <c r="M309">
        <v>8275</v>
      </c>
      <c r="N309">
        <v>796158.59</v>
      </c>
      <c r="O309">
        <v>96.21</v>
      </c>
    </row>
    <row r="310" spans="1:15" x14ac:dyDescent="0.35">
      <c r="A310" t="s">
        <v>602</v>
      </c>
      <c r="B310" t="s">
        <v>603</v>
      </c>
      <c r="C310" t="s">
        <v>520</v>
      </c>
      <c r="D310" t="s">
        <v>334</v>
      </c>
      <c r="E310" t="s">
        <v>312</v>
      </c>
      <c r="F310" t="s">
        <v>632</v>
      </c>
      <c r="G310">
        <v>10046</v>
      </c>
      <c r="H310">
        <v>1005194.12</v>
      </c>
      <c r="I310">
        <v>100.66</v>
      </c>
      <c r="J310">
        <v>0</v>
      </c>
      <c r="K310">
        <v>0</v>
      </c>
      <c r="L310">
        <v>0</v>
      </c>
      <c r="M310">
        <v>10046</v>
      </c>
      <c r="N310">
        <v>1005194.12</v>
      </c>
      <c r="O310">
        <v>100.66</v>
      </c>
    </row>
    <row r="311" spans="1:15" x14ac:dyDescent="0.35">
      <c r="A311" t="s">
        <v>602</v>
      </c>
      <c r="B311" t="s">
        <v>603</v>
      </c>
      <c r="C311" t="s">
        <v>520</v>
      </c>
      <c r="D311" t="s">
        <v>334</v>
      </c>
      <c r="E311" t="s">
        <v>308</v>
      </c>
      <c r="F311" t="s">
        <v>633</v>
      </c>
      <c r="G311">
        <v>0</v>
      </c>
      <c r="H311">
        <v>0</v>
      </c>
      <c r="I311">
        <v>0</v>
      </c>
      <c r="J311">
        <v>0</v>
      </c>
      <c r="K311">
        <v>0</v>
      </c>
      <c r="L311">
        <v>0</v>
      </c>
      <c r="M311">
        <v>0</v>
      </c>
      <c r="N311">
        <v>0</v>
      </c>
      <c r="O311">
        <v>0</v>
      </c>
    </row>
    <row r="312" spans="1:15" x14ac:dyDescent="0.35">
      <c r="A312" t="s">
        <v>602</v>
      </c>
      <c r="B312" t="s">
        <v>603</v>
      </c>
      <c r="C312" t="s">
        <v>520</v>
      </c>
      <c r="D312" t="s">
        <v>337</v>
      </c>
      <c r="E312" t="s">
        <v>337</v>
      </c>
      <c r="F312" t="s">
        <v>634</v>
      </c>
      <c r="G312">
        <v>264</v>
      </c>
      <c r="J312">
        <v>0</v>
      </c>
      <c r="M312">
        <v>264</v>
      </c>
    </row>
    <row r="313" spans="1:15" x14ac:dyDescent="0.35">
      <c r="A313" t="s">
        <v>602</v>
      </c>
      <c r="B313" t="s">
        <v>603</v>
      </c>
      <c r="C313" t="s">
        <v>520</v>
      </c>
      <c r="D313" t="s">
        <v>339</v>
      </c>
      <c r="E313" t="s">
        <v>294</v>
      </c>
      <c r="F313" t="s">
        <v>635</v>
      </c>
      <c r="G313">
        <v>931</v>
      </c>
      <c r="H313">
        <v>107519.43000000001</v>
      </c>
      <c r="I313">
        <v>115.49</v>
      </c>
      <c r="J313">
        <v>0</v>
      </c>
      <c r="K313">
        <v>0</v>
      </c>
      <c r="L313">
        <v>0</v>
      </c>
      <c r="M313">
        <v>931</v>
      </c>
      <c r="N313">
        <v>107519.43000000001</v>
      </c>
      <c r="O313">
        <v>115.49</v>
      </c>
    </row>
    <row r="314" spans="1:15" x14ac:dyDescent="0.35">
      <c r="A314" t="s">
        <v>602</v>
      </c>
      <c r="B314" t="s">
        <v>603</v>
      </c>
      <c r="C314" t="s">
        <v>520</v>
      </c>
      <c r="D314" t="s">
        <v>339</v>
      </c>
      <c r="E314" t="s">
        <v>296</v>
      </c>
      <c r="F314" t="s">
        <v>636</v>
      </c>
      <c r="G314">
        <v>152</v>
      </c>
      <c r="H314">
        <v>20269.649999999998</v>
      </c>
      <c r="I314">
        <v>133.35</v>
      </c>
      <c r="J314">
        <v>0</v>
      </c>
      <c r="K314">
        <v>0</v>
      </c>
      <c r="L314">
        <v>0</v>
      </c>
      <c r="M314">
        <v>152</v>
      </c>
      <c r="N314">
        <v>20269.649999999998</v>
      </c>
      <c r="O314">
        <v>133.35</v>
      </c>
    </row>
    <row r="315" spans="1:15" x14ac:dyDescent="0.35">
      <c r="A315" t="s">
        <v>602</v>
      </c>
      <c r="B315" t="s">
        <v>603</v>
      </c>
      <c r="C315" t="s">
        <v>520</v>
      </c>
      <c r="D315" t="s">
        <v>339</v>
      </c>
      <c r="E315" t="s">
        <v>298</v>
      </c>
      <c r="F315" t="s">
        <v>637</v>
      </c>
      <c r="G315">
        <v>9</v>
      </c>
      <c r="H315">
        <v>1080.52</v>
      </c>
      <c r="I315">
        <v>120.06</v>
      </c>
      <c r="J315">
        <v>0</v>
      </c>
      <c r="K315">
        <v>0</v>
      </c>
      <c r="L315">
        <v>0</v>
      </c>
      <c r="M315">
        <v>9</v>
      </c>
      <c r="N315">
        <v>1080.52</v>
      </c>
      <c r="O315">
        <v>120.06</v>
      </c>
    </row>
    <row r="316" spans="1:15" x14ac:dyDescent="0.35">
      <c r="A316" t="s">
        <v>602</v>
      </c>
      <c r="B316" t="s">
        <v>603</v>
      </c>
      <c r="C316" t="s">
        <v>520</v>
      </c>
      <c r="D316" t="s">
        <v>339</v>
      </c>
      <c r="E316" t="s">
        <v>300</v>
      </c>
      <c r="F316" t="s">
        <v>638</v>
      </c>
      <c r="G316">
        <v>1</v>
      </c>
      <c r="H316">
        <v>225.94</v>
      </c>
      <c r="I316">
        <v>225.94</v>
      </c>
      <c r="J316">
        <v>0</v>
      </c>
      <c r="K316">
        <v>0</v>
      </c>
      <c r="L316">
        <v>0</v>
      </c>
      <c r="M316">
        <v>1</v>
      </c>
      <c r="N316">
        <v>225.94</v>
      </c>
      <c r="O316">
        <v>225.94</v>
      </c>
    </row>
    <row r="317" spans="1:15" x14ac:dyDescent="0.35">
      <c r="A317" t="s">
        <v>602</v>
      </c>
      <c r="B317" t="s">
        <v>603</v>
      </c>
      <c r="C317" t="s">
        <v>520</v>
      </c>
      <c r="D317" t="s">
        <v>339</v>
      </c>
      <c r="E317" t="s">
        <v>306</v>
      </c>
      <c r="F317" t="s">
        <v>639</v>
      </c>
      <c r="G317">
        <v>100</v>
      </c>
      <c r="H317">
        <v>7735.66</v>
      </c>
      <c r="I317">
        <v>77.36</v>
      </c>
      <c r="J317">
        <v>0</v>
      </c>
      <c r="K317">
        <v>0</v>
      </c>
      <c r="L317">
        <v>0</v>
      </c>
      <c r="M317">
        <v>100</v>
      </c>
      <c r="N317">
        <v>7735.66</v>
      </c>
      <c r="O317">
        <v>77.36</v>
      </c>
    </row>
    <row r="318" spans="1:15" x14ac:dyDescent="0.35">
      <c r="A318" t="s">
        <v>602</v>
      </c>
      <c r="B318" t="s">
        <v>603</v>
      </c>
      <c r="C318" t="s">
        <v>520</v>
      </c>
      <c r="D318" t="s">
        <v>339</v>
      </c>
      <c r="E318" t="s">
        <v>308</v>
      </c>
      <c r="F318" t="s">
        <v>640</v>
      </c>
      <c r="G318">
        <v>129</v>
      </c>
      <c r="H318">
        <v>17350.650000000001</v>
      </c>
      <c r="I318">
        <v>134.5</v>
      </c>
      <c r="J318">
        <v>0</v>
      </c>
      <c r="K318">
        <v>0</v>
      </c>
      <c r="L318">
        <v>0</v>
      </c>
      <c r="M318">
        <v>129</v>
      </c>
      <c r="N318">
        <v>17350.650000000001</v>
      </c>
      <c r="O318">
        <v>134.5</v>
      </c>
    </row>
    <row r="319" spans="1:15" x14ac:dyDescent="0.35">
      <c r="A319" t="s">
        <v>602</v>
      </c>
      <c r="B319" t="s">
        <v>603</v>
      </c>
      <c r="C319" t="s">
        <v>520</v>
      </c>
      <c r="D319" t="s">
        <v>339</v>
      </c>
      <c r="E319" t="s">
        <v>310</v>
      </c>
      <c r="F319" t="s">
        <v>641</v>
      </c>
      <c r="G319">
        <v>1322</v>
      </c>
      <c r="H319">
        <v>154181.85</v>
      </c>
      <c r="I319">
        <v>116.63</v>
      </c>
      <c r="J319">
        <v>0</v>
      </c>
      <c r="K319">
        <v>0</v>
      </c>
      <c r="L319">
        <v>0</v>
      </c>
      <c r="M319">
        <v>1322</v>
      </c>
      <c r="N319">
        <v>154181.85</v>
      </c>
      <c r="O319">
        <v>116.63</v>
      </c>
    </row>
    <row r="320" spans="1:15" x14ac:dyDescent="0.35">
      <c r="A320" t="s">
        <v>602</v>
      </c>
      <c r="B320" t="s">
        <v>603</v>
      </c>
      <c r="C320" t="s">
        <v>520</v>
      </c>
      <c r="D320" t="s">
        <v>339</v>
      </c>
      <c r="E320" t="s">
        <v>312</v>
      </c>
      <c r="F320" t="s">
        <v>642</v>
      </c>
      <c r="G320">
        <v>1193</v>
      </c>
      <c r="H320">
        <v>136831.20000000001</v>
      </c>
      <c r="I320">
        <v>114.7</v>
      </c>
      <c r="J320">
        <v>0</v>
      </c>
      <c r="K320">
        <v>0</v>
      </c>
      <c r="L320">
        <v>0</v>
      </c>
      <c r="M320">
        <v>1193</v>
      </c>
      <c r="N320">
        <v>136831.20000000001</v>
      </c>
      <c r="O320">
        <v>114.7</v>
      </c>
    </row>
    <row r="321" spans="1:15" x14ac:dyDescent="0.35">
      <c r="A321" t="s">
        <v>602</v>
      </c>
      <c r="B321" t="s">
        <v>603</v>
      </c>
      <c r="C321" t="s">
        <v>520</v>
      </c>
      <c r="D321" t="s">
        <v>348</v>
      </c>
      <c r="E321" t="s">
        <v>349</v>
      </c>
      <c r="F321" t="s">
        <v>643</v>
      </c>
      <c r="G321">
        <v>1562</v>
      </c>
      <c r="H321">
        <v>170632.55</v>
      </c>
      <c r="I321">
        <v>121.27</v>
      </c>
      <c r="J321">
        <v>0</v>
      </c>
      <c r="K321">
        <v>0</v>
      </c>
      <c r="L321">
        <v>0</v>
      </c>
      <c r="M321">
        <v>1562</v>
      </c>
      <c r="N321">
        <v>170632.55</v>
      </c>
      <c r="O321">
        <v>121.27</v>
      </c>
    </row>
    <row r="322" spans="1:15" x14ac:dyDescent="0.35">
      <c r="A322" t="s">
        <v>644</v>
      </c>
      <c r="B322" t="s">
        <v>645</v>
      </c>
      <c r="C322" t="s">
        <v>520</v>
      </c>
      <c r="D322" t="s">
        <v>293</v>
      </c>
      <c r="E322" t="s">
        <v>294</v>
      </c>
      <c r="F322" t="s">
        <v>646</v>
      </c>
      <c r="G322">
        <v>78</v>
      </c>
      <c r="H322">
        <v>7925.8600000000006</v>
      </c>
      <c r="I322">
        <v>101.61</v>
      </c>
      <c r="J322">
        <v>261</v>
      </c>
      <c r="K322">
        <v>22610.43</v>
      </c>
      <c r="L322">
        <v>86.63</v>
      </c>
      <c r="M322">
        <v>339</v>
      </c>
      <c r="N322">
        <v>30536.29</v>
      </c>
      <c r="O322">
        <v>90.08</v>
      </c>
    </row>
    <row r="323" spans="1:15" x14ac:dyDescent="0.35">
      <c r="A323" t="s">
        <v>644</v>
      </c>
      <c r="B323" t="s">
        <v>645</v>
      </c>
      <c r="C323" t="s">
        <v>520</v>
      </c>
      <c r="D323" t="s">
        <v>293</v>
      </c>
      <c r="E323" t="s">
        <v>296</v>
      </c>
      <c r="F323" t="s">
        <v>647</v>
      </c>
      <c r="G323">
        <v>236</v>
      </c>
      <c r="H323">
        <v>29931.84</v>
      </c>
      <c r="I323">
        <v>126.83</v>
      </c>
      <c r="J323">
        <v>230</v>
      </c>
      <c r="K323">
        <v>27503.399999999998</v>
      </c>
      <c r="L323">
        <v>119.58</v>
      </c>
      <c r="M323">
        <v>466</v>
      </c>
      <c r="N323">
        <v>57435.24</v>
      </c>
      <c r="O323">
        <v>123.25</v>
      </c>
    </row>
    <row r="324" spans="1:15" x14ac:dyDescent="0.35">
      <c r="A324" t="s">
        <v>644</v>
      </c>
      <c r="B324" t="s">
        <v>645</v>
      </c>
      <c r="C324" t="s">
        <v>520</v>
      </c>
      <c r="D324" t="s">
        <v>293</v>
      </c>
      <c r="E324" t="s">
        <v>298</v>
      </c>
      <c r="F324" t="s">
        <v>648</v>
      </c>
      <c r="G324">
        <v>214</v>
      </c>
      <c r="H324">
        <v>30587.260000000002</v>
      </c>
      <c r="I324">
        <v>142.93</v>
      </c>
      <c r="J324">
        <v>147</v>
      </c>
      <c r="K324">
        <v>19631.850000000002</v>
      </c>
      <c r="L324">
        <v>133.55000000000001</v>
      </c>
      <c r="M324">
        <v>361</v>
      </c>
      <c r="N324">
        <v>50219.11</v>
      </c>
      <c r="O324">
        <v>139.11000000000001</v>
      </c>
    </row>
    <row r="325" spans="1:15" x14ac:dyDescent="0.35">
      <c r="A325" t="s">
        <v>644</v>
      </c>
      <c r="B325" t="s">
        <v>645</v>
      </c>
      <c r="C325" t="s">
        <v>520</v>
      </c>
      <c r="D325" t="s">
        <v>293</v>
      </c>
      <c r="E325" t="s">
        <v>300</v>
      </c>
      <c r="F325" t="s">
        <v>649</v>
      </c>
      <c r="G325">
        <v>44</v>
      </c>
      <c r="H325">
        <v>6924.46</v>
      </c>
      <c r="I325">
        <v>157.37</v>
      </c>
      <c r="J325">
        <v>30</v>
      </c>
      <c r="K325">
        <v>4741.8</v>
      </c>
      <c r="L325">
        <v>158.06</v>
      </c>
      <c r="M325">
        <v>74</v>
      </c>
      <c r="N325">
        <v>11666.26</v>
      </c>
      <c r="O325">
        <v>157.65</v>
      </c>
    </row>
    <row r="326" spans="1:15" x14ac:dyDescent="0.35">
      <c r="A326" t="s">
        <v>644</v>
      </c>
      <c r="B326" t="s">
        <v>645</v>
      </c>
      <c r="C326" t="s">
        <v>520</v>
      </c>
      <c r="D326" t="s">
        <v>293</v>
      </c>
      <c r="E326" t="s">
        <v>302</v>
      </c>
      <c r="F326" t="s">
        <v>650</v>
      </c>
      <c r="G326">
        <v>2</v>
      </c>
      <c r="H326">
        <v>313.16000000000003</v>
      </c>
      <c r="I326">
        <v>156.58000000000001</v>
      </c>
      <c r="J326">
        <v>12</v>
      </c>
      <c r="K326">
        <v>1892.6399999999999</v>
      </c>
      <c r="L326">
        <v>157.72</v>
      </c>
      <c r="M326">
        <v>14</v>
      </c>
      <c r="N326">
        <v>2205.7999999999997</v>
      </c>
      <c r="O326">
        <v>157.56</v>
      </c>
    </row>
    <row r="327" spans="1:15" x14ac:dyDescent="0.35">
      <c r="A327" t="s">
        <v>644</v>
      </c>
      <c r="B327" t="s">
        <v>645</v>
      </c>
      <c r="C327" t="s">
        <v>520</v>
      </c>
      <c r="D327" t="s">
        <v>293</v>
      </c>
      <c r="E327" t="s">
        <v>304</v>
      </c>
      <c r="F327" t="s">
        <v>651</v>
      </c>
      <c r="G327">
        <v>0</v>
      </c>
      <c r="H327">
        <v>0</v>
      </c>
      <c r="I327">
        <v>0</v>
      </c>
      <c r="J327">
        <v>3</v>
      </c>
      <c r="K327">
        <v>485.40000000000003</v>
      </c>
      <c r="L327">
        <v>161.80000000000001</v>
      </c>
      <c r="M327">
        <v>3</v>
      </c>
      <c r="N327">
        <v>485.40000000000003</v>
      </c>
      <c r="O327">
        <v>161.80000000000001</v>
      </c>
    </row>
    <row r="328" spans="1:15" x14ac:dyDescent="0.35">
      <c r="A328" t="s">
        <v>644</v>
      </c>
      <c r="B328" t="s">
        <v>645</v>
      </c>
      <c r="C328" t="s">
        <v>520</v>
      </c>
      <c r="D328" t="s">
        <v>293</v>
      </c>
      <c r="E328" t="s">
        <v>306</v>
      </c>
      <c r="F328" t="s">
        <v>652</v>
      </c>
      <c r="G328">
        <v>0</v>
      </c>
      <c r="H328">
        <v>0</v>
      </c>
      <c r="I328">
        <v>0</v>
      </c>
      <c r="J328">
        <v>0</v>
      </c>
      <c r="K328">
        <v>0</v>
      </c>
      <c r="L328">
        <v>0</v>
      </c>
      <c r="M328">
        <v>0</v>
      </c>
      <c r="N328">
        <v>0</v>
      </c>
      <c r="O328">
        <v>0</v>
      </c>
    </row>
    <row r="329" spans="1:15" x14ac:dyDescent="0.35">
      <c r="A329" t="s">
        <v>644</v>
      </c>
      <c r="B329" t="s">
        <v>645</v>
      </c>
      <c r="C329" t="s">
        <v>520</v>
      </c>
      <c r="D329" t="s">
        <v>293</v>
      </c>
      <c r="E329" t="s">
        <v>308</v>
      </c>
      <c r="F329" t="s">
        <v>653</v>
      </c>
      <c r="G329">
        <v>0</v>
      </c>
      <c r="H329">
        <v>0</v>
      </c>
      <c r="I329">
        <v>0</v>
      </c>
      <c r="J329">
        <v>0</v>
      </c>
      <c r="K329">
        <v>0</v>
      </c>
      <c r="L329">
        <v>0</v>
      </c>
      <c r="M329">
        <v>0</v>
      </c>
      <c r="N329">
        <v>0</v>
      </c>
      <c r="O329">
        <v>0</v>
      </c>
    </row>
    <row r="330" spans="1:15" x14ac:dyDescent="0.35">
      <c r="A330" t="s">
        <v>644</v>
      </c>
      <c r="B330" t="s">
        <v>645</v>
      </c>
      <c r="C330" t="s">
        <v>520</v>
      </c>
      <c r="D330" t="s">
        <v>293</v>
      </c>
      <c r="E330" t="s">
        <v>310</v>
      </c>
      <c r="F330" t="s">
        <v>654</v>
      </c>
      <c r="G330">
        <v>574</v>
      </c>
      <c r="H330">
        <v>75682.58</v>
      </c>
      <c r="I330">
        <v>131.85</v>
      </c>
      <c r="J330">
        <v>683</v>
      </c>
      <c r="K330">
        <v>76865.52</v>
      </c>
      <c r="L330">
        <v>112.54</v>
      </c>
      <c r="M330">
        <v>1257</v>
      </c>
      <c r="N330">
        <v>152548.1</v>
      </c>
      <c r="O330">
        <v>121.36</v>
      </c>
    </row>
    <row r="331" spans="1:15" x14ac:dyDescent="0.35">
      <c r="A331" t="s">
        <v>644</v>
      </c>
      <c r="B331" t="s">
        <v>645</v>
      </c>
      <c r="C331" t="s">
        <v>520</v>
      </c>
      <c r="D331" t="s">
        <v>293</v>
      </c>
      <c r="E331" t="s">
        <v>312</v>
      </c>
      <c r="F331" t="s">
        <v>655</v>
      </c>
      <c r="G331">
        <v>574</v>
      </c>
      <c r="H331">
        <v>75682.58</v>
      </c>
      <c r="I331">
        <v>131.85</v>
      </c>
      <c r="J331">
        <v>683</v>
      </c>
      <c r="K331">
        <v>76865.52</v>
      </c>
      <c r="L331">
        <v>112.54</v>
      </c>
      <c r="M331">
        <v>1257</v>
      </c>
      <c r="N331">
        <v>152548.1</v>
      </c>
      <c r="O331">
        <v>121.36</v>
      </c>
    </row>
    <row r="332" spans="1:15" x14ac:dyDescent="0.35">
      <c r="A332" t="s">
        <v>644</v>
      </c>
      <c r="B332" t="s">
        <v>645</v>
      </c>
      <c r="C332" t="s">
        <v>520</v>
      </c>
      <c r="D332" t="s">
        <v>314</v>
      </c>
      <c r="E332" t="s">
        <v>294</v>
      </c>
      <c r="F332" t="s">
        <v>656</v>
      </c>
      <c r="G332">
        <v>0</v>
      </c>
      <c r="H332">
        <v>0</v>
      </c>
      <c r="I332">
        <v>0</v>
      </c>
      <c r="J332">
        <v>26</v>
      </c>
      <c r="K332">
        <v>2526.16</v>
      </c>
      <c r="L332">
        <v>97.16</v>
      </c>
      <c r="M332">
        <v>26</v>
      </c>
      <c r="N332">
        <v>2526.16</v>
      </c>
      <c r="O332">
        <v>97.16</v>
      </c>
    </row>
    <row r="333" spans="1:15" x14ac:dyDescent="0.35">
      <c r="A333" t="s">
        <v>644</v>
      </c>
      <c r="B333" t="s">
        <v>645</v>
      </c>
      <c r="C333" t="s">
        <v>520</v>
      </c>
      <c r="D333" t="s">
        <v>314</v>
      </c>
      <c r="E333" t="s">
        <v>296</v>
      </c>
      <c r="F333" t="s">
        <v>657</v>
      </c>
      <c r="G333">
        <v>0</v>
      </c>
      <c r="H333">
        <v>0</v>
      </c>
      <c r="I333">
        <v>0</v>
      </c>
      <c r="J333">
        <v>0</v>
      </c>
      <c r="K333">
        <v>0</v>
      </c>
      <c r="L333">
        <v>0</v>
      </c>
      <c r="M333">
        <v>0</v>
      </c>
      <c r="N333">
        <v>0</v>
      </c>
      <c r="O333">
        <v>0</v>
      </c>
    </row>
    <row r="334" spans="1:15" x14ac:dyDescent="0.35">
      <c r="A334" t="s">
        <v>644</v>
      </c>
      <c r="B334" t="s">
        <v>645</v>
      </c>
      <c r="C334" t="s">
        <v>520</v>
      </c>
      <c r="D334" t="s">
        <v>314</v>
      </c>
      <c r="E334" t="s">
        <v>298</v>
      </c>
      <c r="F334" t="s">
        <v>658</v>
      </c>
      <c r="G334">
        <v>0</v>
      </c>
      <c r="H334">
        <v>0</v>
      </c>
      <c r="I334">
        <v>0</v>
      </c>
      <c r="J334">
        <v>0</v>
      </c>
      <c r="K334">
        <v>0</v>
      </c>
      <c r="L334">
        <v>0</v>
      </c>
      <c r="M334">
        <v>0</v>
      </c>
      <c r="N334">
        <v>0</v>
      </c>
      <c r="O334">
        <v>0</v>
      </c>
    </row>
    <row r="335" spans="1:15" x14ac:dyDescent="0.35">
      <c r="A335" t="s">
        <v>644</v>
      </c>
      <c r="B335" t="s">
        <v>645</v>
      </c>
      <c r="C335" t="s">
        <v>520</v>
      </c>
      <c r="D335" t="s">
        <v>314</v>
      </c>
      <c r="E335" t="s">
        <v>300</v>
      </c>
      <c r="F335" t="s">
        <v>659</v>
      </c>
      <c r="G335">
        <v>0</v>
      </c>
      <c r="H335">
        <v>0</v>
      </c>
      <c r="I335">
        <v>0</v>
      </c>
      <c r="J335">
        <v>0</v>
      </c>
      <c r="K335">
        <v>0</v>
      </c>
      <c r="L335">
        <v>0</v>
      </c>
      <c r="M335">
        <v>0</v>
      </c>
      <c r="N335">
        <v>0</v>
      </c>
      <c r="O335">
        <v>0</v>
      </c>
    </row>
    <row r="336" spans="1:15" x14ac:dyDescent="0.35">
      <c r="A336" t="s">
        <v>644</v>
      </c>
      <c r="B336" t="s">
        <v>645</v>
      </c>
      <c r="C336" t="s">
        <v>520</v>
      </c>
      <c r="D336" t="s">
        <v>314</v>
      </c>
      <c r="E336" t="s">
        <v>306</v>
      </c>
      <c r="F336" t="s">
        <v>660</v>
      </c>
      <c r="G336">
        <v>0</v>
      </c>
      <c r="H336">
        <v>0</v>
      </c>
      <c r="I336">
        <v>0</v>
      </c>
      <c r="J336">
        <v>0</v>
      </c>
      <c r="K336">
        <v>0</v>
      </c>
      <c r="L336">
        <v>0</v>
      </c>
      <c r="M336">
        <v>0</v>
      </c>
      <c r="N336">
        <v>0</v>
      </c>
      <c r="O336">
        <v>0</v>
      </c>
    </row>
    <row r="337" spans="1:15" x14ac:dyDescent="0.35">
      <c r="A337" t="s">
        <v>644</v>
      </c>
      <c r="B337" t="s">
        <v>645</v>
      </c>
      <c r="C337" t="s">
        <v>520</v>
      </c>
      <c r="D337" t="s">
        <v>314</v>
      </c>
      <c r="E337" t="s">
        <v>308</v>
      </c>
      <c r="F337" t="s">
        <v>661</v>
      </c>
      <c r="G337">
        <v>0</v>
      </c>
      <c r="H337">
        <v>0</v>
      </c>
      <c r="I337">
        <v>0</v>
      </c>
      <c r="J337">
        <v>0</v>
      </c>
      <c r="K337">
        <v>0</v>
      </c>
      <c r="L337">
        <v>0</v>
      </c>
      <c r="M337">
        <v>0</v>
      </c>
      <c r="N337">
        <v>0</v>
      </c>
      <c r="O337">
        <v>0</v>
      </c>
    </row>
    <row r="338" spans="1:15" x14ac:dyDescent="0.35">
      <c r="A338" t="s">
        <v>644</v>
      </c>
      <c r="B338" t="s">
        <v>645</v>
      </c>
      <c r="C338" t="s">
        <v>520</v>
      </c>
      <c r="D338" t="s">
        <v>314</v>
      </c>
      <c r="E338" t="s">
        <v>312</v>
      </c>
      <c r="F338" t="s">
        <v>662</v>
      </c>
      <c r="G338">
        <v>0</v>
      </c>
      <c r="H338">
        <v>0</v>
      </c>
      <c r="I338">
        <v>0</v>
      </c>
      <c r="J338">
        <v>26</v>
      </c>
      <c r="K338">
        <v>2526.16</v>
      </c>
      <c r="L338">
        <v>97.16</v>
      </c>
      <c r="M338">
        <v>26</v>
      </c>
      <c r="N338">
        <v>2526.16</v>
      </c>
      <c r="O338">
        <v>97.16</v>
      </c>
    </row>
    <row r="339" spans="1:15" x14ac:dyDescent="0.35">
      <c r="A339" t="s">
        <v>644</v>
      </c>
      <c r="B339" t="s">
        <v>645</v>
      </c>
      <c r="C339" t="s">
        <v>520</v>
      </c>
      <c r="D339" t="s">
        <v>314</v>
      </c>
      <c r="E339" t="s">
        <v>310</v>
      </c>
      <c r="F339" t="s">
        <v>663</v>
      </c>
      <c r="G339">
        <v>0</v>
      </c>
      <c r="H339">
        <v>0</v>
      </c>
      <c r="I339">
        <v>0</v>
      </c>
      <c r="J339">
        <v>26</v>
      </c>
      <c r="K339">
        <v>2526.16</v>
      </c>
      <c r="L339">
        <v>97.16</v>
      </c>
      <c r="M339">
        <v>26</v>
      </c>
      <c r="N339">
        <v>2526.16</v>
      </c>
      <c r="O339">
        <v>97.16</v>
      </c>
    </row>
    <row r="340" spans="1:15" x14ac:dyDescent="0.35">
      <c r="A340" t="s">
        <v>644</v>
      </c>
      <c r="B340" t="s">
        <v>645</v>
      </c>
      <c r="C340" t="s">
        <v>520</v>
      </c>
      <c r="D340" t="s">
        <v>323</v>
      </c>
      <c r="E340" t="s">
        <v>294</v>
      </c>
      <c r="F340" t="s">
        <v>664</v>
      </c>
      <c r="G340">
        <v>283</v>
      </c>
      <c r="H340">
        <v>26085.309999999998</v>
      </c>
      <c r="I340">
        <v>92.17</v>
      </c>
      <c r="J340">
        <v>1596</v>
      </c>
      <c r="K340">
        <v>123690</v>
      </c>
      <c r="L340">
        <v>77.5</v>
      </c>
      <c r="M340">
        <v>1879</v>
      </c>
      <c r="N340">
        <v>149775.31</v>
      </c>
      <c r="O340">
        <v>79.709999999999994</v>
      </c>
    </row>
    <row r="341" spans="1:15" x14ac:dyDescent="0.35">
      <c r="A341" t="s">
        <v>644</v>
      </c>
      <c r="B341" t="s">
        <v>645</v>
      </c>
      <c r="C341" t="s">
        <v>520</v>
      </c>
      <c r="D341" t="s">
        <v>323</v>
      </c>
      <c r="E341" t="s">
        <v>296</v>
      </c>
      <c r="F341" t="s">
        <v>665</v>
      </c>
      <c r="G341">
        <v>432</v>
      </c>
      <c r="H341">
        <v>45351.56</v>
      </c>
      <c r="I341">
        <v>104.98</v>
      </c>
      <c r="J341">
        <v>773</v>
      </c>
      <c r="K341">
        <v>67003.64</v>
      </c>
      <c r="L341">
        <v>86.68</v>
      </c>
      <c r="M341">
        <v>1205</v>
      </c>
      <c r="N341">
        <v>112355.2</v>
      </c>
      <c r="O341">
        <v>93.24</v>
      </c>
    </row>
    <row r="342" spans="1:15" x14ac:dyDescent="0.35">
      <c r="A342" t="s">
        <v>644</v>
      </c>
      <c r="B342" t="s">
        <v>645</v>
      </c>
      <c r="C342" t="s">
        <v>520</v>
      </c>
      <c r="D342" t="s">
        <v>323</v>
      </c>
      <c r="E342" t="s">
        <v>298</v>
      </c>
      <c r="F342" t="s">
        <v>666</v>
      </c>
      <c r="G342">
        <v>368</v>
      </c>
      <c r="H342">
        <v>42107.790000000008</v>
      </c>
      <c r="I342">
        <v>114.42</v>
      </c>
      <c r="J342">
        <v>881</v>
      </c>
      <c r="K342">
        <v>83668.569999999992</v>
      </c>
      <c r="L342">
        <v>94.97</v>
      </c>
      <c r="M342">
        <v>1249</v>
      </c>
      <c r="N342">
        <v>125776.36</v>
      </c>
      <c r="O342">
        <v>100.7</v>
      </c>
    </row>
    <row r="343" spans="1:15" x14ac:dyDescent="0.35">
      <c r="A343" t="s">
        <v>644</v>
      </c>
      <c r="B343" t="s">
        <v>645</v>
      </c>
      <c r="C343" t="s">
        <v>520</v>
      </c>
      <c r="D343" t="s">
        <v>323</v>
      </c>
      <c r="E343" t="s">
        <v>300</v>
      </c>
      <c r="F343" t="s">
        <v>667</v>
      </c>
      <c r="G343">
        <v>99</v>
      </c>
      <c r="H343">
        <v>11930.060000000001</v>
      </c>
      <c r="I343">
        <v>120.51</v>
      </c>
      <c r="J343">
        <v>76</v>
      </c>
      <c r="K343">
        <v>8341.76</v>
      </c>
      <c r="L343">
        <v>109.76</v>
      </c>
      <c r="M343">
        <v>175</v>
      </c>
      <c r="N343">
        <v>20271.82</v>
      </c>
      <c r="O343">
        <v>115.84</v>
      </c>
    </row>
    <row r="344" spans="1:15" x14ac:dyDescent="0.35">
      <c r="A344" t="s">
        <v>644</v>
      </c>
      <c r="B344" t="s">
        <v>645</v>
      </c>
      <c r="C344" t="s">
        <v>520</v>
      </c>
      <c r="D344" t="s">
        <v>323</v>
      </c>
      <c r="E344" t="s">
        <v>302</v>
      </c>
      <c r="F344" t="s">
        <v>668</v>
      </c>
      <c r="G344">
        <v>13</v>
      </c>
      <c r="H344">
        <v>1656.3799999999999</v>
      </c>
      <c r="I344">
        <v>127.41</v>
      </c>
      <c r="J344">
        <v>1</v>
      </c>
      <c r="K344">
        <v>130.68</v>
      </c>
      <c r="L344">
        <v>130.68</v>
      </c>
      <c r="M344">
        <v>14</v>
      </c>
      <c r="N344">
        <v>1787.06</v>
      </c>
      <c r="O344">
        <v>127.65</v>
      </c>
    </row>
    <row r="345" spans="1:15" x14ac:dyDescent="0.35">
      <c r="A345" t="s">
        <v>644</v>
      </c>
      <c r="B345" t="s">
        <v>645</v>
      </c>
      <c r="C345" t="s">
        <v>520</v>
      </c>
      <c r="D345" t="s">
        <v>323</v>
      </c>
      <c r="E345" t="s">
        <v>304</v>
      </c>
      <c r="F345" t="s">
        <v>669</v>
      </c>
      <c r="G345">
        <v>1</v>
      </c>
      <c r="H345">
        <v>159.63</v>
      </c>
      <c r="I345">
        <v>159.63</v>
      </c>
      <c r="J345">
        <v>2</v>
      </c>
      <c r="K345">
        <v>270.12</v>
      </c>
      <c r="L345">
        <v>135.06</v>
      </c>
      <c r="M345">
        <v>3</v>
      </c>
      <c r="N345">
        <v>429.75</v>
      </c>
      <c r="O345">
        <v>143.25</v>
      </c>
    </row>
    <row r="346" spans="1:15" x14ac:dyDescent="0.35">
      <c r="A346" t="s">
        <v>644</v>
      </c>
      <c r="B346" t="s">
        <v>645</v>
      </c>
      <c r="C346" t="s">
        <v>520</v>
      </c>
      <c r="D346" t="s">
        <v>323</v>
      </c>
      <c r="E346" t="s">
        <v>306</v>
      </c>
      <c r="F346" t="s">
        <v>670</v>
      </c>
      <c r="G346">
        <v>0</v>
      </c>
      <c r="H346">
        <v>0</v>
      </c>
      <c r="I346">
        <v>0</v>
      </c>
      <c r="J346">
        <v>11</v>
      </c>
      <c r="K346">
        <v>712.36</v>
      </c>
      <c r="L346">
        <v>64.760000000000005</v>
      </c>
      <c r="M346">
        <v>11</v>
      </c>
      <c r="N346">
        <v>712.36</v>
      </c>
      <c r="O346">
        <v>64.760000000000005</v>
      </c>
    </row>
    <row r="347" spans="1:15" x14ac:dyDescent="0.35">
      <c r="A347" t="s">
        <v>644</v>
      </c>
      <c r="B347" t="s">
        <v>645</v>
      </c>
      <c r="C347" t="s">
        <v>520</v>
      </c>
      <c r="D347" t="s">
        <v>323</v>
      </c>
      <c r="E347" t="s">
        <v>308</v>
      </c>
      <c r="F347" t="s">
        <v>671</v>
      </c>
      <c r="G347">
        <v>0</v>
      </c>
      <c r="H347">
        <v>0</v>
      </c>
      <c r="I347">
        <v>0</v>
      </c>
      <c r="J347">
        <v>0</v>
      </c>
      <c r="K347">
        <v>0</v>
      </c>
      <c r="L347">
        <v>0</v>
      </c>
      <c r="M347">
        <v>0</v>
      </c>
      <c r="N347">
        <v>0</v>
      </c>
      <c r="O347">
        <v>0</v>
      </c>
    </row>
    <row r="348" spans="1:15" x14ac:dyDescent="0.35">
      <c r="A348" t="s">
        <v>644</v>
      </c>
      <c r="B348" t="s">
        <v>645</v>
      </c>
      <c r="C348" t="s">
        <v>520</v>
      </c>
      <c r="D348" t="s">
        <v>323</v>
      </c>
      <c r="E348" t="s">
        <v>310</v>
      </c>
      <c r="F348" t="s">
        <v>672</v>
      </c>
      <c r="G348">
        <v>1196</v>
      </c>
      <c r="H348">
        <v>127290.73000000001</v>
      </c>
      <c r="I348">
        <v>106.43</v>
      </c>
      <c r="J348">
        <v>3340</v>
      </c>
      <c r="K348">
        <v>283817.13</v>
      </c>
      <c r="L348">
        <v>84.98</v>
      </c>
      <c r="M348">
        <v>4536</v>
      </c>
      <c r="N348">
        <v>411107.86</v>
      </c>
      <c r="O348">
        <v>90.63</v>
      </c>
    </row>
    <row r="349" spans="1:15" x14ac:dyDescent="0.35">
      <c r="A349" t="s">
        <v>644</v>
      </c>
      <c r="B349" t="s">
        <v>645</v>
      </c>
      <c r="C349" t="s">
        <v>520</v>
      </c>
      <c r="D349" t="s">
        <v>323</v>
      </c>
      <c r="E349" t="s">
        <v>312</v>
      </c>
      <c r="F349" t="s">
        <v>673</v>
      </c>
      <c r="G349">
        <v>1196</v>
      </c>
      <c r="H349">
        <v>127290.73000000001</v>
      </c>
      <c r="I349">
        <v>106.43</v>
      </c>
      <c r="J349">
        <v>3340</v>
      </c>
      <c r="K349">
        <v>283817.13</v>
      </c>
      <c r="L349">
        <v>84.98</v>
      </c>
      <c r="M349">
        <v>4536</v>
      </c>
      <c r="N349">
        <v>411107.86</v>
      </c>
      <c r="O349">
        <v>90.63</v>
      </c>
    </row>
    <row r="350" spans="1:15" x14ac:dyDescent="0.35">
      <c r="A350" t="s">
        <v>644</v>
      </c>
      <c r="B350" t="s">
        <v>645</v>
      </c>
      <c r="C350" t="s">
        <v>520</v>
      </c>
      <c r="D350" t="s">
        <v>334</v>
      </c>
      <c r="E350" t="s">
        <v>312</v>
      </c>
      <c r="F350" t="s">
        <v>674</v>
      </c>
      <c r="G350">
        <v>1879</v>
      </c>
      <c r="H350">
        <v>202973.31000000003</v>
      </c>
      <c r="I350">
        <v>114.67</v>
      </c>
      <c r="J350">
        <v>4023</v>
      </c>
      <c r="K350">
        <v>360682.65</v>
      </c>
      <c r="L350">
        <v>89.66</v>
      </c>
      <c r="M350">
        <v>5902</v>
      </c>
      <c r="N350">
        <v>563655.96000000008</v>
      </c>
      <c r="O350">
        <v>97.3</v>
      </c>
    </row>
    <row r="351" spans="1:15" x14ac:dyDescent="0.35">
      <c r="A351" t="s">
        <v>644</v>
      </c>
      <c r="B351" t="s">
        <v>645</v>
      </c>
      <c r="C351" t="s">
        <v>520</v>
      </c>
      <c r="D351" t="s">
        <v>334</v>
      </c>
      <c r="E351" t="s">
        <v>308</v>
      </c>
      <c r="F351" t="s">
        <v>675</v>
      </c>
      <c r="G351">
        <v>0</v>
      </c>
      <c r="H351">
        <v>0</v>
      </c>
      <c r="I351">
        <v>0</v>
      </c>
      <c r="J351">
        <v>0</v>
      </c>
      <c r="K351">
        <v>0</v>
      </c>
      <c r="L351">
        <v>0</v>
      </c>
      <c r="M351">
        <v>0</v>
      </c>
      <c r="N351">
        <v>0</v>
      </c>
      <c r="O351">
        <v>0</v>
      </c>
    </row>
    <row r="352" spans="1:15" x14ac:dyDescent="0.35">
      <c r="A352" t="s">
        <v>644</v>
      </c>
      <c r="B352" t="s">
        <v>645</v>
      </c>
      <c r="C352" t="s">
        <v>520</v>
      </c>
      <c r="D352" t="s">
        <v>337</v>
      </c>
      <c r="E352" t="s">
        <v>337</v>
      </c>
      <c r="F352" t="s">
        <v>676</v>
      </c>
      <c r="G352">
        <v>142</v>
      </c>
      <c r="J352">
        <v>0</v>
      </c>
      <c r="M352">
        <v>142</v>
      </c>
    </row>
    <row r="353" spans="1:15" x14ac:dyDescent="0.35">
      <c r="A353" t="s">
        <v>644</v>
      </c>
      <c r="B353" t="s">
        <v>645</v>
      </c>
      <c r="C353" t="s">
        <v>520</v>
      </c>
      <c r="D353" t="s">
        <v>339</v>
      </c>
      <c r="E353" t="s">
        <v>294</v>
      </c>
      <c r="F353" t="s">
        <v>677</v>
      </c>
      <c r="G353">
        <v>268</v>
      </c>
      <c r="H353">
        <v>34597.39</v>
      </c>
      <c r="I353">
        <v>129.09</v>
      </c>
      <c r="J353">
        <v>654</v>
      </c>
      <c r="K353">
        <v>51495.96</v>
      </c>
      <c r="L353">
        <v>78.739999999999995</v>
      </c>
      <c r="M353">
        <v>922</v>
      </c>
      <c r="N353">
        <v>86093.35</v>
      </c>
      <c r="O353">
        <v>93.38</v>
      </c>
    </row>
    <row r="354" spans="1:15" x14ac:dyDescent="0.35">
      <c r="A354" t="s">
        <v>644</v>
      </c>
      <c r="B354" t="s">
        <v>645</v>
      </c>
      <c r="C354" t="s">
        <v>520</v>
      </c>
      <c r="D354" t="s">
        <v>339</v>
      </c>
      <c r="E354" t="s">
        <v>296</v>
      </c>
      <c r="F354" t="s">
        <v>678</v>
      </c>
      <c r="G354">
        <v>101</v>
      </c>
      <c r="H354">
        <v>15042.57</v>
      </c>
      <c r="I354">
        <v>148.94</v>
      </c>
      <c r="J354">
        <v>59</v>
      </c>
      <c r="K354">
        <v>5050.99</v>
      </c>
      <c r="L354">
        <v>85.61</v>
      </c>
      <c r="M354">
        <v>160</v>
      </c>
      <c r="N354">
        <v>20093.559999999998</v>
      </c>
      <c r="O354">
        <v>125.58</v>
      </c>
    </row>
    <row r="355" spans="1:15" x14ac:dyDescent="0.35">
      <c r="A355" t="s">
        <v>644</v>
      </c>
      <c r="B355" t="s">
        <v>645</v>
      </c>
      <c r="C355" t="s">
        <v>520</v>
      </c>
      <c r="D355" t="s">
        <v>339</v>
      </c>
      <c r="E355" t="s">
        <v>298</v>
      </c>
      <c r="F355" t="s">
        <v>679</v>
      </c>
      <c r="G355">
        <v>0</v>
      </c>
      <c r="H355">
        <v>0</v>
      </c>
      <c r="I355">
        <v>0</v>
      </c>
      <c r="J355">
        <v>1</v>
      </c>
      <c r="K355">
        <v>93.37</v>
      </c>
      <c r="L355">
        <v>93.37</v>
      </c>
      <c r="M355">
        <v>1</v>
      </c>
      <c r="N355">
        <v>93.37</v>
      </c>
      <c r="O355">
        <v>93.37</v>
      </c>
    </row>
    <row r="356" spans="1:15" x14ac:dyDescent="0.35">
      <c r="A356" t="s">
        <v>644</v>
      </c>
      <c r="B356" t="s">
        <v>645</v>
      </c>
      <c r="C356" t="s">
        <v>520</v>
      </c>
      <c r="D356" t="s">
        <v>339</v>
      </c>
      <c r="E356" t="s">
        <v>300</v>
      </c>
      <c r="F356" t="s">
        <v>680</v>
      </c>
      <c r="G356">
        <v>0</v>
      </c>
      <c r="H356">
        <v>0</v>
      </c>
      <c r="I356">
        <v>0</v>
      </c>
      <c r="J356">
        <v>0</v>
      </c>
      <c r="K356">
        <v>0</v>
      </c>
      <c r="L356">
        <v>0</v>
      </c>
      <c r="M356">
        <v>0</v>
      </c>
      <c r="N356">
        <v>0</v>
      </c>
      <c r="O356">
        <v>0</v>
      </c>
    </row>
    <row r="357" spans="1:15" x14ac:dyDescent="0.35">
      <c r="A357" t="s">
        <v>644</v>
      </c>
      <c r="B357" t="s">
        <v>645</v>
      </c>
      <c r="C357" t="s">
        <v>520</v>
      </c>
      <c r="D357" t="s">
        <v>339</v>
      </c>
      <c r="E357" t="s">
        <v>306</v>
      </c>
      <c r="F357" t="s">
        <v>681</v>
      </c>
      <c r="G357">
        <v>54</v>
      </c>
      <c r="H357">
        <v>5305.82</v>
      </c>
      <c r="I357">
        <v>98.26</v>
      </c>
      <c r="J357">
        <v>29</v>
      </c>
      <c r="K357">
        <v>1992.3000000000002</v>
      </c>
      <c r="L357">
        <v>68.7</v>
      </c>
      <c r="M357">
        <v>83</v>
      </c>
      <c r="N357">
        <v>7298.12</v>
      </c>
      <c r="O357">
        <v>87.93</v>
      </c>
    </row>
    <row r="358" spans="1:15" x14ac:dyDescent="0.35">
      <c r="A358" t="s">
        <v>644</v>
      </c>
      <c r="B358" t="s">
        <v>645</v>
      </c>
      <c r="C358" t="s">
        <v>520</v>
      </c>
      <c r="D358" t="s">
        <v>339</v>
      </c>
      <c r="E358" t="s">
        <v>308</v>
      </c>
      <c r="F358" t="s">
        <v>682</v>
      </c>
      <c r="G358">
        <v>105</v>
      </c>
      <c r="H358">
        <v>22600.739999999998</v>
      </c>
      <c r="I358">
        <v>215.25</v>
      </c>
      <c r="J358">
        <v>80</v>
      </c>
      <c r="K358">
        <v>7803.2000000000007</v>
      </c>
      <c r="L358">
        <v>97.54</v>
      </c>
      <c r="M358">
        <v>185</v>
      </c>
      <c r="N358">
        <v>30403.94</v>
      </c>
      <c r="O358">
        <v>164.35</v>
      </c>
    </row>
    <row r="359" spans="1:15" x14ac:dyDescent="0.35">
      <c r="A359" t="s">
        <v>644</v>
      </c>
      <c r="B359" t="s">
        <v>645</v>
      </c>
      <c r="C359" t="s">
        <v>520</v>
      </c>
      <c r="D359" t="s">
        <v>339</v>
      </c>
      <c r="E359" t="s">
        <v>310</v>
      </c>
      <c r="F359" t="s">
        <v>683</v>
      </c>
      <c r="G359">
        <v>528</v>
      </c>
      <c r="H359">
        <v>77546.51999999999</v>
      </c>
      <c r="I359">
        <v>146.87</v>
      </c>
      <c r="J359">
        <v>823</v>
      </c>
      <c r="K359">
        <v>66435.820000000007</v>
      </c>
      <c r="L359">
        <v>80.72</v>
      </c>
      <c r="M359">
        <v>1351</v>
      </c>
      <c r="N359">
        <v>143982.34</v>
      </c>
      <c r="O359">
        <v>106.57</v>
      </c>
    </row>
    <row r="360" spans="1:15" x14ac:dyDescent="0.35">
      <c r="A360" t="s">
        <v>644</v>
      </c>
      <c r="B360" t="s">
        <v>645</v>
      </c>
      <c r="C360" t="s">
        <v>520</v>
      </c>
      <c r="D360" t="s">
        <v>339</v>
      </c>
      <c r="E360" t="s">
        <v>312</v>
      </c>
      <c r="F360" t="s">
        <v>684</v>
      </c>
      <c r="G360">
        <v>423</v>
      </c>
      <c r="H360">
        <v>54945.78</v>
      </c>
      <c r="I360">
        <v>129.9</v>
      </c>
      <c r="J360">
        <v>743</v>
      </c>
      <c r="K360">
        <v>58632.62</v>
      </c>
      <c r="L360">
        <v>78.91</v>
      </c>
      <c r="M360">
        <v>1166</v>
      </c>
      <c r="N360">
        <v>113578.4</v>
      </c>
      <c r="O360">
        <v>97.41</v>
      </c>
    </row>
    <row r="361" spans="1:15" x14ac:dyDescent="0.35">
      <c r="A361" t="s">
        <v>644</v>
      </c>
      <c r="B361" t="s">
        <v>645</v>
      </c>
      <c r="C361" t="s">
        <v>520</v>
      </c>
      <c r="D361" t="s">
        <v>348</v>
      </c>
      <c r="E361" t="s">
        <v>349</v>
      </c>
      <c r="F361" t="s">
        <v>685</v>
      </c>
      <c r="G361">
        <v>636</v>
      </c>
      <c r="H361">
        <v>77546.51999999999</v>
      </c>
      <c r="I361">
        <v>146.87</v>
      </c>
      <c r="J361">
        <v>849</v>
      </c>
      <c r="K361">
        <v>68961.98</v>
      </c>
      <c r="L361">
        <v>81.23</v>
      </c>
      <c r="M361">
        <v>1485</v>
      </c>
      <c r="N361">
        <v>146508.5</v>
      </c>
      <c r="O361">
        <v>106.4</v>
      </c>
    </row>
    <row r="362" spans="1:15" x14ac:dyDescent="0.35">
      <c r="A362" t="s">
        <v>686</v>
      </c>
      <c r="B362" t="s">
        <v>687</v>
      </c>
      <c r="C362" t="s">
        <v>688</v>
      </c>
      <c r="D362" t="s">
        <v>293</v>
      </c>
      <c r="E362" t="s">
        <v>294</v>
      </c>
      <c r="F362" t="s">
        <v>689</v>
      </c>
      <c r="G362">
        <v>37</v>
      </c>
      <c r="H362">
        <v>3224.99</v>
      </c>
      <c r="I362">
        <v>87.16</v>
      </c>
      <c r="J362">
        <v>138</v>
      </c>
      <c r="K362">
        <v>13471.560000000001</v>
      </c>
      <c r="L362">
        <v>97.62</v>
      </c>
      <c r="M362">
        <v>175</v>
      </c>
      <c r="N362">
        <v>16696.550000000003</v>
      </c>
      <c r="O362">
        <v>95.41</v>
      </c>
    </row>
    <row r="363" spans="1:15" x14ac:dyDescent="0.35">
      <c r="A363" t="s">
        <v>686</v>
      </c>
      <c r="B363" t="s">
        <v>687</v>
      </c>
      <c r="C363" t="s">
        <v>688</v>
      </c>
      <c r="D363" t="s">
        <v>293</v>
      </c>
      <c r="E363" t="s">
        <v>296</v>
      </c>
      <c r="F363" t="s">
        <v>690</v>
      </c>
      <c r="G363">
        <v>549</v>
      </c>
      <c r="H363">
        <v>61722.79</v>
      </c>
      <c r="I363">
        <v>112.43</v>
      </c>
      <c r="J363">
        <v>302</v>
      </c>
      <c r="K363">
        <v>34237.74</v>
      </c>
      <c r="L363">
        <v>113.37</v>
      </c>
      <c r="M363">
        <v>851</v>
      </c>
      <c r="N363">
        <v>95960.53</v>
      </c>
      <c r="O363">
        <v>112.76</v>
      </c>
    </row>
    <row r="364" spans="1:15" x14ac:dyDescent="0.35">
      <c r="A364" t="s">
        <v>686</v>
      </c>
      <c r="B364" t="s">
        <v>687</v>
      </c>
      <c r="C364" t="s">
        <v>688</v>
      </c>
      <c r="D364" t="s">
        <v>293</v>
      </c>
      <c r="E364" t="s">
        <v>298</v>
      </c>
      <c r="F364" t="s">
        <v>691</v>
      </c>
      <c r="G364">
        <v>454</v>
      </c>
      <c r="H364">
        <v>57374.189999999988</v>
      </c>
      <c r="I364">
        <v>126.37</v>
      </c>
      <c r="J364">
        <v>136</v>
      </c>
      <c r="K364">
        <v>18619.759999999998</v>
      </c>
      <c r="L364">
        <v>136.91</v>
      </c>
      <c r="M364">
        <v>590</v>
      </c>
      <c r="N364">
        <v>75993.949999999983</v>
      </c>
      <c r="O364">
        <v>128.80000000000001</v>
      </c>
    </row>
    <row r="365" spans="1:15" x14ac:dyDescent="0.35">
      <c r="A365" t="s">
        <v>686</v>
      </c>
      <c r="B365" t="s">
        <v>687</v>
      </c>
      <c r="C365" t="s">
        <v>688</v>
      </c>
      <c r="D365" t="s">
        <v>293</v>
      </c>
      <c r="E365" t="s">
        <v>300</v>
      </c>
      <c r="F365" t="s">
        <v>692</v>
      </c>
      <c r="G365">
        <v>58</v>
      </c>
      <c r="H365">
        <v>8232.67</v>
      </c>
      <c r="I365">
        <v>141.94</v>
      </c>
      <c r="J365">
        <v>13</v>
      </c>
      <c r="K365">
        <v>2337.27</v>
      </c>
      <c r="L365">
        <v>179.79</v>
      </c>
      <c r="M365">
        <v>71</v>
      </c>
      <c r="N365">
        <v>10569.94</v>
      </c>
      <c r="O365">
        <v>148.87</v>
      </c>
    </row>
    <row r="366" spans="1:15" x14ac:dyDescent="0.35">
      <c r="A366" t="s">
        <v>686</v>
      </c>
      <c r="B366" t="s">
        <v>687</v>
      </c>
      <c r="C366" t="s">
        <v>688</v>
      </c>
      <c r="D366" t="s">
        <v>293</v>
      </c>
      <c r="E366" t="s">
        <v>302</v>
      </c>
      <c r="F366" t="s">
        <v>693</v>
      </c>
      <c r="G366">
        <v>1</v>
      </c>
      <c r="H366">
        <v>129.27000000000001</v>
      </c>
      <c r="I366">
        <v>129.27000000000001</v>
      </c>
      <c r="J366">
        <v>1</v>
      </c>
      <c r="K366">
        <v>134.51</v>
      </c>
      <c r="L366">
        <v>134.51</v>
      </c>
      <c r="M366">
        <v>2</v>
      </c>
      <c r="N366">
        <v>263.77999999999997</v>
      </c>
      <c r="O366">
        <v>131.88999999999999</v>
      </c>
    </row>
    <row r="367" spans="1:15" x14ac:dyDescent="0.35">
      <c r="A367" t="s">
        <v>686</v>
      </c>
      <c r="B367" t="s">
        <v>687</v>
      </c>
      <c r="C367" t="s">
        <v>688</v>
      </c>
      <c r="D367" t="s">
        <v>293</v>
      </c>
      <c r="E367" t="s">
        <v>304</v>
      </c>
      <c r="F367" t="s">
        <v>694</v>
      </c>
      <c r="G367">
        <v>0</v>
      </c>
      <c r="H367">
        <v>0</v>
      </c>
      <c r="I367">
        <v>0</v>
      </c>
      <c r="J367">
        <v>0</v>
      </c>
      <c r="K367">
        <v>0</v>
      </c>
      <c r="L367">
        <v>0</v>
      </c>
      <c r="M367">
        <v>0</v>
      </c>
      <c r="N367">
        <v>0</v>
      </c>
      <c r="O367">
        <v>0</v>
      </c>
    </row>
    <row r="368" spans="1:15" x14ac:dyDescent="0.35">
      <c r="A368" t="s">
        <v>686</v>
      </c>
      <c r="B368" t="s">
        <v>687</v>
      </c>
      <c r="C368" t="s">
        <v>688</v>
      </c>
      <c r="D368" t="s">
        <v>293</v>
      </c>
      <c r="E368" t="s">
        <v>306</v>
      </c>
      <c r="F368" t="s">
        <v>695</v>
      </c>
      <c r="G368">
        <v>0</v>
      </c>
      <c r="H368">
        <v>0</v>
      </c>
      <c r="I368">
        <v>0</v>
      </c>
      <c r="J368">
        <v>0</v>
      </c>
      <c r="K368">
        <v>0</v>
      </c>
      <c r="L368">
        <v>0</v>
      </c>
      <c r="M368">
        <v>0</v>
      </c>
      <c r="N368">
        <v>0</v>
      </c>
      <c r="O368">
        <v>0</v>
      </c>
    </row>
    <row r="369" spans="1:15" x14ac:dyDescent="0.35">
      <c r="A369" t="s">
        <v>686</v>
      </c>
      <c r="B369" t="s">
        <v>687</v>
      </c>
      <c r="C369" t="s">
        <v>688</v>
      </c>
      <c r="D369" t="s">
        <v>293</v>
      </c>
      <c r="E369" t="s">
        <v>308</v>
      </c>
      <c r="F369" t="s">
        <v>696</v>
      </c>
      <c r="G369">
        <v>0</v>
      </c>
      <c r="H369">
        <v>0</v>
      </c>
      <c r="I369">
        <v>0</v>
      </c>
      <c r="J369">
        <v>0</v>
      </c>
      <c r="K369">
        <v>0</v>
      </c>
      <c r="L369">
        <v>0</v>
      </c>
      <c r="M369">
        <v>0</v>
      </c>
      <c r="N369">
        <v>0</v>
      </c>
      <c r="O369">
        <v>0</v>
      </c>
    </row>
    <row r="370" spans="1:15" x14ac:dyDescent="0.35">
      <c r="A370" t="s">
        <v>686</v>
      </c>
      <c r="B370" t="s">
        <v>687</v>
      </c>
      <c r="C370" t="s">
        <v>688</v>
      </c>
      <c r="D370" t="s">
        <v>293</v>
      </c>
      <c r="E370" t="s">
        <v>310</v>
      </c>
      <c r="F370" t="s">
        <v>697</v>
      </c>
      <c r="G370">
        <v>1099</v>
      </c>
      <c r="H370">
        <v>130683.90999999999</v>
      </c>
      <c r="I370">
        <v>118.91</v>
      </c>
      <c r="J370">
        <v>590</v>
      </c>
      <c r="K370">
        <v>68800.84</v>
      </c>
      <c r="L370">
        <v>116.61</v>
      </c>
      <c r="M370">
        <v>1689</v>
      </c>
      <c r="N370">
        <v>199484.75</v>
      </c>
      <c r="O370">
        <v>118.11</v>
      </c>
    </row>
    <row r="371" spans="1:15" x14ac:dyDescent="0.35">
      <c r="A371" t="s">
        <v>686</v>
      </c>
      <c r="B371" t="s">
        <v>687</v>
      </c>
      <c r="C371" t="s">
        <v>688</v>
      </c>
      <c r="D371" t="s">
        <v>293</v>
      </c>
      <c r="E371" t="s">
        <v>312</v>
      </c>
      <c r="F371" t="s">
        <v>698</v>
      </c>
      <c r="G371">
        <v>1099</v>
      </c>
      <c r="H371">
        <v>130683.90999999999</v>
      </c>
      <c r="I371">
        <v>118.91</v>
      </c>
      <c r="J371">
        <v>590</v>
      </c>
      <c r="K371">
        <v>68800.84</v>
      </c>
      <c r="L371">
        <v>116.61</v>
      </c>
      <c r="M371">
        <v>1689</v>
      </c>
      <c r="N371">
        <v>199484.75</v>
      </c>
      <c r="O371">
        <v>118.11</v>
      </c>
    </row>
    <row r="372" spans="1:15" x14ac:dyDescent="0.35">
      <c r="A372" t="s">
        <v>686</v>
      </c>
      <c r="B372" t="s">
        <v>687</v>
      </c>
      <c r="C372" t="s">
        <v>688</v>
      </c>
      <c r="D372" t="s">
        <v>314</v>
      </c>
      <c r="E372" t="s">
        <v>294</v>
      </c>
      <c r="F372" t="s">
        <v>699</v>
      </c>
      <c r="G372">
        <v>0</v>
      </c>
      <c r="H372">
        <v>0</v>
      </c>
      <c r="I372">
        <v>0</v>
      </c>
      <c r="J372">
        <v>0</v>
      </c>
      <c r="K372">
        <v>0</v>
      </c>
      <c r="L372">
        <v>0</v>
      </c>
      <c r="M372">
        <v>0</v>
      </c>
      <c r="N372">
        <v>0</v>
      </c>
      <c r="O372">
        <v>0</v>
      </c>
    </row>
    <row r="373" spans="1:15" x14ac:dyDescent="0.35">
      <c r="A373" t="s">
        <v>686</v>
      </c>
      <c r="B373" t="s">
        <v>687</v>
      </c>
      <c r="C373" t="s">
        <v>688</v>
      </c>
      <c r="D373" t="s">
        <v>314</v>
      </c>
      <c r="E373" t="s">
        <v>296</v>
      </c>
      <c r="F373" t="s">
        <v>700</v>
      </c>
      <c r="G373">
        <v>0</v>
      </c>
      <c r="H373">
        <v>0</v>
      </c>
      <c r="I373">
        <v>0</v>
      </c>
      <c r="J373">
        <v>0</v>
      </c>
      <c r="K373">
        <v>0</v>
      </c>
      <c r="L373">
        <v>0</v>
      </c>
      <c r="M373">
        <v>0</v>
      </c>
      <c r="N373">
        <v>0</v>
      </c>
      <c r="O373">
        <v>0</v>
      </c>
    </row>
    <row r="374" spans="1:15" x14ac:dyDescent="0.35">
      <c r="A374" t="s">
        <v>686</v>
      </c>
      <c r="B374" t="s">
        <v>687</v>
      </c>
      <c r="C374" t="s">
        <v>688</v>
      </c>
      <c r="D374" t="s">
        <v>314</v>
      </c>
      <c r="E374" t="s">
        <v>298</v>
      </c>
      <c r="F374" t="s">
        <v>701</v>
      </c>
      <c r="G374">
        <v>0</v>
      </c>
      <c r="H374">
        <v>0</v>
      </c>
      <c r="I374">
        <v>0</v>
      </c>
      <c r="J374">
        <v>0</v>
      </c>
      <c r="K374">
        <v>0</v>
      </c>
      <c r="L374">
        <v>0</v>
      </c>
      <c r="M374">
        <v>0</v>
      </c>
      <c r="N374">
        <v>0</v>
      </c>
      <c r="O374">
        <v>0</v>
      </c>
    </row>
    <row r="375" spans="1:15" x14ac:dyDescent="0.35">
      <c r="A375" t="s">
        <v>686</v>
      </c>
      <c r="B375" t="s">
        <v>687</v>
      </c>
      <c r="C375" t="s">
        <v>688</v>
      </c>
      <c r="D375" t="s">
        <v>314</v>
      </c>
      <c r="E375" t="s">
        <v>300</v>
      </c>
      <c r="F375" t="s">
        <v>702</v>
      </c>
      <c r="G375">
        <v>0</v>
      </c>
      <c r="H375">
        <v>0</v>
      </c>
      <c r="I375">
        <v>0</v>
      </c>
      <c r="J375">
        <v>0</v>
      </c>
      <c r="K375">
        <v>0</v>
      </c>
      <c r="L375">
        <v>0</v>
      </c>
      <c r="M375">
        <v>0</v>
      </c>
      <c r="N375">
        <v>0</v>
      </c>
      <c r="O375">
        <v>0</v>
      </c>
    </row>
    <row r="376" spans="1:15" x14ac:dyDescent="0.35">
      <c r="A376" t="s">
        <v>686</v>
      </c>
      <c r="B376" t="s">
        <v>687</v>
      </c>
      <c r="C376" t="s">
        <v>688</v>
      </c>
      <c r="D376" t="s">
        <v>314</v>
      </c>
      <c r="E376" t="s">
        <v>306</v>
      </c>
      <c r="F376" t="s">
        <v>703</v>
      </c>
      <c r="G376">
        <v>30</v>
      </c>
      <c r="H376">
        <v>8420.1</v>
      </c>
      <c r="I376">
        <v>280.67</v>
      </c>
      <c r="J376">
        <v>0</v>
      </c>
      <c r="K376">
        <v>0</v>
      </c>
      <c r="L376">
        <v>0</v>
      </c>
      <c r="M376">
        <v>30</v>
      </c>
      <c r="N376">
        <v>8420.1</v>
      </c>
      <c r="O376">
        <v>280.67</v>
      </c>
    </row>
    <row r="377" spans="1:15" x14ac:dyDescent="0.35">
      <c r="A377" t="s">
        <v>686</v>
      </c>
      <c r="B377" t="s">
        <v>687</v>
      </c>
      <c r="C377" t="s">
        <v>688</v>
      </c>
      <c r="D377" t="s">
        <v>314</v>
      </c>
      <c r="E377" t="s">
        <v>308</v>
      </c>
      <c r="F377" t="s">
        <v>704</v>
      </c>
      <c r="G377">
        <v>0</v>
      </c>
      <c r="H377">
        <v>0</v>
      </c>
      <c r="I377">
        <v>0</v>
      </c>
      <c r="J377">
        <v>0</v>
      </c>
      <c r="K377">
        <v>0</v>
      </c>
      <c r="L377">
        <v>0</v>
      </c>
      <c r="M377">
        <v>0</v>
      </c>
      <c r="N377">
        <v>0</v>
      </c>
      <c r="O377">
        <v>0</v>
      </c>
    </row>
    <row r="378" spans="1:15" x14ac:dyDescent="0.35">
      <c r="A378" t="s">
        <v>686</v>
      </c>
      <c r="B378" t="s">
        <v>687</v>
      </c>
      <c r="C378" t="s">
        <v>688</v>
      </c>
      <c r="D378" t="s">
        <v>314</v>
      </c>
      <c r="E378" t="s">
        <v>312</v>
      </c>
      <c r="F378" t="s">
        <v>705</v>
      </c>
      <c r="G378">
        <v>30</v>
      </c>
      <c r="H378">
        <v>8420.1</v>
      </c>
      <c r="I378">
        <v>280.67</v>
      </c>
      <c r="J378">
        <v>0</v>
      </c>
      <c r="K378">
        <v>0</v>
      </c>
      <c r="L378">
        <v>0</v>
      </c>
      <c r="M378">
        <v>30</v>
      </c>
      <c r="N378">
        <v>8420.1</v>
      </c>
      <c r="O378">
        <v>280.67</v>
      </c>
    </row>
    <row r="379" spans="1:15" x14ac:dyDescent="0.35">
      <c r="A379" t="s">
        <v>686</v>
      </c>
      <c r="B379" t="s">
        <v>687</v>
      </c>
      <c r="C379" t="s">
        <v>688</v>
      </c>
      <c r="D379" t="s">
        <v>314</v>
      </c>
      <c r="E379" t="s">
        <v>310</v>
      </c>
      <c r="F379" t="s">
        <v>706</v>
      </c>
      <c r="G379">
        <v>30</v>
      </c>
      <c r="H379">
        <v>8420.1</v>
      </c>
      <c r="I379">
        <v>280.67</v>
      </c>
      <c r="J379">
        <v>0</v>
      </c>
      <c r="K379">
        <v>0</v>
      </c>
      <c r="L379">
        <v>0</v>
      </c>
      <c r="M379">
        <v>30</v>
      </c>
      <c r="N379">
        <v>8420.1</v>
      </c>
      <c r="O379">
        <v>280.67</v>
      </c>
    </row>
    <row r="380" spans="1:15" x14ac:dyDescent="0.35">
      <c r="A380" t="s">
        <v>686</v>
      </c>
      <c r="B380" t="s">
        <v>687</v>
      </c>
      <c r="C380" t="s">
        <v>688</v>
      </c>
      <c r="D380" t="s">
        <v>323</v>
      </c>
      <c r="E380" t="s">
        <v>294</v>
      </c>
      <c r="F380" t="s">
        <v>707</v>
      </c>
      <c r="G380">
        <v>1586</v>
      </c>
      <c r="H380">
        <v>138835.88999999998</v>
      </c>
      <c r="I380">
        <v>87.54</v>
      </c>
      <c r="J380">
        <v>5037</v>
      </c>
      <c r="K380">
        <v>390770.45999999996</v>
      </c>
      <c r="L380">
        <v>77.58</v>
      </c>
      <c r="M380">
        <v>6623</v>
      </c>
      <c r="N380">
        <v>529606.35</v>
      </c>
      <c r="O380">
        <v>79.959999999999994</v>
      </c>
    </row>
    <row r="381" spans="1:15" x14ac:dyDescent="0.35">
      <c r="A381" t="s">
        <v>686</v>
      </c>
      <c r="B381" t="s">
        <v>687</v>
      </c>
      <c r="C381" t="s">
        <v>688</v>
      </c>
      <c r="D381" t="s">
        <v>323</v>
      </c>
      <c r="E381" t="s">
        <v>296</v>
      </c>
      <c r="F381" t="s">
        <v>708</v>
      </c>
      <c r="G381">
        <v>2749</v>
      </c>
      <c r="H381">
        <v>294423.62</v>
      </c>
      <c r="I381">
        <v>107.1</v>
      </c>
      <c r="J381">
        <v>7909</v>
      </c>
      <c r="K381">
        <v>707539.1399999999</v>
      </c>
      <c r="L381">
        <v>89.46</v>
      </c>
      <c r="M381">
        <v>10658</v>
      </c>
      <c r="N381">
        <v>1001962.7599999999</v>
      </c>
      <c r="O381">
        <v>94.01</v>
      </c>
    </row>
    <row r="382" spans="1:15" x14ac:dyDescent="0.35">
      <c r="A382" t="s">
        <v>686</v>
      </c>
      <c r="B382" t="s">
        <v>687</v>
      </c>
      <c r="C382" t="s">
        <v>688</v>
      </c>
      <c r="D382" t="s">
        <v>323</v>
      </c>
      <c r="E382" t="s">
        <v>298</v>
      </c>
      <c r="F382" t="s">
        <v>709</v>
      </c>
      <c r="G382">
        <v>1621</v>
      </c>
      <c r="H382">
        <v>169768.12</v>
      </c>
      <c r="I382">
        <v>104.73</v>
      </c>
      <c r="J382">
        <v>7538</v>
      </c>
      <c r="K382">
        <v>736462.6</v>
      </c>
      <c r="L382">
        <v>97.7</v>
      </c>
      <c r="M382">
        <v>9159</v>
      </c>
      <c r="N382">
        <v>906230.72</v>
      </c>
      <c r="O382">
        <v>98.94</v>
      </c>
    </row>
    <row r="383" spans="1:15" x14ac:dyDescent="0.35">
      <c r="A383" t="s">
        <v>686</v>
      </c>
      <c r="B383" t="s">
        <v>687</v>
      </c>
      <c r="C383" t="s">
        <v>688</v>
      </c>
      <c r="D383" t="s">
        <v>323</v>
      </c>
      <c r="E383" t="s">
        <v>300</v>
      </c>
      <c r="F383" t="s">
        <v>710</v>
      </c>
      <c r="G383">
        <v>203</v>
      </c>
      <c r="H383">
        <v>24349.96</v>
      </c>
      <c r="I383">
        <v>119.95</v>
      </c>
      <c r="J383">
        <v>927</v>
      </c>
      <c r="K383">
        <v>97538.94</v>
      </c>
      <c r="L383">
        <v>105.22</v>
      </c>
      <c r="M383">
        <v>1130</v>
      </c>
      <c r="N383">
        <v>121888.9</v>
      </c>
      <c r="O383">
        <v>107.87</v>
      </c>
    </row>
    <row r="384" spans="1:15" x14ac:dyDescent="0.35">
      <c r="A384" t="s">
        <v>686</v>
      </c>
      <c r="B384" t="s">
        <v>687</v>
      </c>
      <c r="C384" t="s">
        <v>688</v>
      </c>
      <c r="D384" t="s">
        <v>323</v>
      </c>
      <c r="E384" t="s">
        <v>302</v>
      </c>
      <c r="F384" t="s">
        <v>711</v>
      </c>
      <c r="G384">
        <v>9</v>
      </c>
      <c r="H384">
        <v>1188.6100000000001</v>
      </c>
      <c r="I384">
        <v>132.07</v>
      </c>
      <c r="J384">
        <v>93</v>
      </c>
      <c r="K384">
        <v>10495.05</v>
      </c>
      <c r="L384">
        <v>112.85</v>
      </c>
      <c r="M384">
        <v>102</v>
      </c>
      <c r="N384">
        <v>11683.66</v>
      </c>
      <c r="O384">
        <v>114.55</v>
      </c>
    </row>
    <row r="385" spans="1:15" x14ac:dyDescent="0.35">
      <c r="A385" t="s">
        <v>686</v>
      </c>
      <c r="B385" t="s">
        <v>687</v>
      </c>
      <c r="C385" t="s">
        <v>688</v>
      </c>
      <c r="D385" t="s">
        <v>323</v>
      </c>
      <c r="E385" t="s">
        <v>304</v>
      </c>
      <c r="F385" t="s">
        <v>712</v>
      </c>
      <c r="G385">
        <v>1</v>
      </c>
      <c r="H385">
        <v>133.6</v>
      </c>
      <c r="I385">
        <v>133.6</v>
      </c>
      <c r="J385">
        <v>11</v>
      </c>
      <c r="K385">
        <v>1392.16</v>
      </c>
      <c r="L385">
        <v>126.56</v>
      </c>
      <c r="M385">
        <v>12</v>
      </c>
      <c r="N385">
        <v>1525.76</v>
      </c>
      <c r="O385">
        <v>127.15</v>
      </c>
    </row>
    <row r="386" spans="1:15" x14ac:dyDescent="0.35">
      <c r="A386" t="s">
        <v>686</v>
      </c>
      <c r="B386" t="s">
        <v>687</v>
      </c>
      <c r="C386" t="s">
        <v>688</v>
      </c>
      <c r="D386" t="s">
        <v>323</v>
      </c>
      <c r="E386" t="s">
        <v>306</v>
      </c>
      <c r="F386" t="s">
        <v>713</v>
      </c>
      <c r="G386">
        <v>29</v>
      </c>
      <c r="H386">
        <v>2226.35</v>
      </c>
      <c r="I386">
        <v>76.77</v>
      </c>
      <c r="J386">
        <v>67</v>
      </c>
      <c r="K386">
        <v>4363.04</v>
      </c>
      <c r="L386">
        <v>65.12</v>
      </c>
      <c r="M386">
        <v>96</v>
      </c>
      <c r="N386">
        <v>6589.3899999999994</v>
      </c>
      <c r="O386">
        <v>68.64</v>
      </c>
    </row>
    <row r="387" spans="1:15" x14ac:dyDescent="0.35">
      <c r="A387" t="s">
        <v>686</v>
      </c>
      <c r="B387" t="s">
        <v>687</v>
      </c>
      <c r="C387" t="s">
        <v>688</v>
      </c>
      <c r="D387" t="s">
        <v>323</v>
      </c>
      <c r="E387" t="s">
        <v>308</v>
      </c>
      <c r="F387" t="s">
        <v>714</v>
      </c>
      <c r="G387">
        <v>0</v>
      </c>
      <c r="H387">
        <v>0</v>
      </c>
      <c r="I387">
        <v>0</v>
      </c>
      <c r="J387">
        <v>97</v>
      </c>
      <c r="K387">
        <v>7213.89</v>
      </c>
      <c r="L387">
        <v>74.37</v>
      </c>
      <c r="M387">
        <v>97</v>
      </c>
      <c r="N387">
        <v>7213.89</v>
      </c>
      <c r="O387">
        <v>74.37</v>
      </c>
    </row>
    <row r="388" spans="1:15" x14ac:dyDescent="0.35">
      <c r="A388" t="s">
        <v>686</v>
      </c>
      <c r="B388" t="s">
        <v>687</v>
      </c>
      <c r="C388" t="s">
        <v>688</v>
      </c>
      <c r="D388" t="s">
        <v>323</v>
      </c>
      <c r="E388" t="s">
        <v>310</v>
      </c>
      <c r="F388" t="s">
        <v>715</v>
      </c>
      <c r="G388">
        <v>6198</v>
      </c>
      <c r="H388">
        <v>630926.14999999991</v>
      </c>
      <c r="I388">
        <v>101.8</v>
      </c>
      <c r="J388">
        <v>21679</v>
      </c>
      <c r="K388">
        <v>1955775.2799999996</v>
      </c>
      <c r="L388">
        <v>90.22</v>
      </c>
      <c r="M388">
        <v>27877</v>
      </c>
      <c r="N388">
        <v>2586701.4299999997</v>
      </c>
      <c r="O388">
        <v>92.79</v>
      </c>
    </row>
    <row r="389" spans="1:15" x14ac:dyDescent="0.35">
      <c r="A389" t="s">
        <v>686</v>
      </c>
      <c r="B389" t="s">
        <v>687</v>
      </c>
      <c r="C389" t="s">
        <v>688</v>
      </c>
      <c r="D389" t="s">
        <v>323</v>
      </c>
      <c r="E389" t="s">
        <v>312</v>
      </c>
      <c r="F389" t="s">
        <v>716</v>
      </c>
      <c r="G389">
        <v>6198</v>
      </c>
      <c r="H389">
        <v>630926.14999999991</v>
      </c>
      <c r="I389">
        <v>101.8</v>
      </c>
      <c r="J389">
        <v>21582</v>
      </c>
      <c r="K389">
        <v>1948561.3899999997</v>
      </c>
      <c r="L389">
        <v>90.29</v>
      </c>
      <c r="M389">
        <v>27780</v>
      </c>
      <c r="N389">
        <v>2579487.5399999996</v>
      </c>
      <c r="O389">
        <v>92.85</v>
      </c>
    </row>
    <row r="390" spans="1:15" x14ac:dyDescent="0.35">
      <c r="A390" t="s">
        <v>686</v>
      </c>
      <c r="B390" t="s">
        <v>687</v>
      </c>
      <c r="C390" t="s">
        <v>688</v>
      </c>
      <c r="D390" t="s">
        <v>334</v>
      </c>
      <c r="E390" t="s">
        <v>312</v>
      </c>
      <c r="F390" t="s">
        <v>717</v>
      </c>
      <c r="G390">
        <v>7493</v>
      </c>
      <c r="H390">
        <v>761610.05999999982</v>
      </c>
      <c r="I390">
        <v>104.37</v>
      </c>
      <c r="J390">
        <v>22172</v>
      </c>
      <c r="K390">
        <v>2017362.23</v>
      </c>
      <c r="L390">
        <v>90.99</v>
      </c>
      <c r="M390">
        <v>29665</v>
      </c>
      <c r="N390">
        <v>2778972.29</v>
      </c>
      <c r="O390">
        <v>94.3</v>
      </c>
    </row>
    <row r="391" spans="1:15" x14ac:dyDescent="0.35">
      <c r="A391" t="s">
        <v>686</v>
      </c>
      <c r="B391" t="s">
        <v>687</v>
      </c>
      <c r="C391" t="s">
        <v>688</v>
      </c>
      <c r="D391" t="s">
        <v>334</v>
      </c>
      <c r="E391" t="s">
        <v>308</v>
      </c>
      <c r="F391" t="s">
        <v>718</v>
      </c>
      <c r="G391">
        <v>0</v>
      </c>
      <c r="H391">
        <v>0</v>
      </c>
      <c r="I391">
        <v>0</v>
      </c>
      <c r="J391">
        <v>97</v>
      </c>
      <c r="K391">
        <v>7213.89</v>
      </c>
      <c r="L391">
        <v>74.37</v>
      </c>
      <c r="M391">
        <v>97</v>
      </c>
      <c r="N391">
        <v>7213.89</v>
      </c>
      <c r="O391">
        <v>74.37</v>
      </c>
    </row>
    <row r="392" spans="1:15" x14ac:dyDescent="0.35">
      <c r="A392" t="s">
        <v>686</v>
      </c>
      <c r="B392" t="s">
        <v>687</v>
      </c>
      <c r="C392" t="s">
        <v>688</v>
      </c>
      <c r="D392" t="s">
        <v>337</v>
      </c>
      <c r="E392" t="s">
        <v>337</v>
      </c>
      <c r="F392" t="s">
        <v>719</v>
      </c>
      <c r="G392">
        <v>495</v>
      </c>
      <c r="J392">
        <v>0</v>
      </c>
      <c r="M392">
        <v>495</v>
      </c>
    </row>
    <row r="393" spans="1:15" x14ac:dyDescent="0.35">
      <c r="A393" t="s">
        <v>686</v>
      </c>
      <c r="B393" t="s">
        <v>687</v>
      </c>
      <c r="C393" t="s">
        <v>688</v>
      </c>
      <c r="D393" t="s">
        <v>339</v>
      </c>
      <c r="E393" t="s">
        <v>294</v>
      </c>
      <c r="F393" t="s">
        <v>720</v>
      </c>
      <c r="G393">
        <v>1195</v>
      </c>
      <c r="H393">
        <v>126128.29000000001</v>
      </c>
      <c r="I393">
        <v>105.55</v>
      </c>
      <c r="J393">
        <v>594</v>
      </c>
      <c r="K393">
        <v>47092.32</v>
      </c>
      <c r="L393">
        <v>79.28</v>
      </c>
      <c r="M393">
        <v>1789</v>
      </c>
      <c r="N393">
        <v>173220.61000000002</v>
      </c>
      <c r="O393">
        <v>96.83</v>
      </c>
    </row>
    <row r="394" spans="1:15" x14ac:dyDescent="0.35">
      <c r="A394" t="s">
        <v>686</v>
      </c>
      <c r="B394" t="s">
        <v>687</v>
      </c>
      <c r="C394" t="s">
        <v>688</v>
      </c>
      <c r="D394" t="s">
        <v>339</v>
      </c>
      <c r="E394" t="s">
        <v>296</v>
      </c>
      <c r="F394" t="s">
        <v>721</v>
      </c>
      <c r="G394">
        <v>116</v>
      </c>
      <c r="H394">
        <v>13123.009999999998</v>
      </c>
      <c r="I394">
        <v>113.13</v>
      </c>
      <c r="J394">
        <v>61</v>
      </c>
      <c r="K394">
        <v>5285.04</v>
      </c>
      <c r="L394">
        <v>86.64</v>
      </c>
      <c r="M394">
        <v>177</v>
      </c>
      <c r="N394">
        <v>18408.05</v>
      </c>
      <c r="O394">
        <v>104</v>
      </c>
    </row>
    <row r="395" spans="1:15" x14ac:dyDescent="0.35">
      <c r="A395" t="s">
        <v>686</v>
      </c>
      <c r="B395" t="s">
        <v>687</v>
      </c>
      <c r="C395" t="s">
        <v>688</v>
      </c>
      <c r="D395" t="s">
        <v>339</v>
      </c>
      <c r="E395" t="s">
        <v>298</v>
      </c>
      <c r="F395" t="s">
        <v>722</v>
      </c>
      <c r="G395">
        <v>19</v>
      </c>
      <c r="H395">
        <v>3242.3700000000003</v>
      </c>
      <c r="I395">
        <v>170.65</v>
      </c>
      <c r="J395">
        <v>0</v>
      </c>
      <c r="K395">
        <v>0</v>
      </c>
      <c r="L395">
        <v>0</v>
      </c>
      <c r="M395">
        <v>19</v>
      </c>
      <c r="N395">
        <v>3242.3700000000003</v>
      </c>
      <c r="O395">
        <v>170.65</v>
      </c>
    </row>
    <row r="396" spans="1:15" x14ac:dyDescent="0.35">
      <c r="A396" t="s">
        <v>686</v>
      </c>
      <c r="B396" t="s">
        <v>687</v>
      </c>
      <c r="C396" t="s">
        <v>688</v>
      </c>
      <c r="D396" t="s">
        <v>339</v>
      </c>
      <c r="E396" t="s">
        <v>300</v>
      </c>
      <c r="F396" t="s">
        <v>723</v>
      </c>
      <c r="G396">
        <v>1</v>
      </c>
      <c r="H396">
        <v>179.66</v>
      </c>
      <c r="I396">
        <v>179.66</v>
      </c>
      <c r="J396">
        <v>0</v>
      </c>
      <c r="K396">
        <v>0</v>
      </c>
      <c r="L396">
        <v>0</v>
      </c>
      <c r="M396">
        <v>1</v>
      </c>
      <c r="N396">
        <v>179.66</v>
      </c>
      <c r="O396">
        <v>179.66</v>
      </c>
    </row>
    <row r="397" spans="1:15" x14ac:dyDescent="0.35">
      <c r="A397" t="s">
        <v>686</v>
      </c>
      <c r="B397" t="s">
        <v>687</v>
      </c>
      <c r="C397" t="s">
        <v>688</v>
      </c>
      <c r="D397" t="s">
        <v>339</v>
      </c>
      <c r="E397" t="s">
        <v>306</v>
      </c>
      <c r="F397" t="s">
        <v>724</v>
      </c>
      <c r="G397">
        <v>85</v>
      </c>
      <c r="H397">
        <v>7439.93</v>
      </c>
      <c r="I397">
        <v>87.53</v>
      </c>
      <c r="J397">
        <v>7</v>
      </c>
      <c r="K397">
        <v>485.80000000000007</v>
      </c>
      <c r="L397">
        <v>69.400000000000006</v>
      </c>
      <c r="M397">
        <v>92</v>
      </c>
      <c r="N397">
        <v>7925.7300000000005</v>
      </c>
      <c r="O397">
        <v>86.15</v>
      </c>
    </row>
    <row r="398" spans="1:15" x14ac:dyDescent="0.35">
      <c r="A398" t="s">
        <v>686</v>
      </c>
      <c r="B398" t="s">
        <v>687</v>
      </c>
      <c r="C398" t="s">
        <v>688</v>
      </c>
      <c r="D398" t="s">
        <v>339</v>
      </c>
      <c r="E398" t="s">
        <v>308</v>
      </c>
      <c r="F398" t="s">
        <v>725</v>
      </c>
      <c r="G398">
        <v>149</v>
      </c>
      <c r="H398">
        <v>16078.37</v>
      </c>
      <c r="I398">
        <v>107.91</v>
      </c>
      <c r="J398">
        <v>13</v>
      </c>
      <c r="K398">
        <v>564.72</v>
      </c>
      <c r="L398">
        <v>43.44</v>
      </c>
      <c r="M398">
        <v>162</v>
      </c>
      <c r="N398">
        <v>16643.09</v>
      </c>
      <c r="O398">
        <v>102.74</v>
      </c>
    </row>
    <row r="399" spans="1:15" x14ac:dyDescent="0.35">
      <c r="A399" t="s">
        <v>686</v>
      </c>
      <c r="B399" t="s">
        <v>687</v>
      </c>
      <c r="C399" t="s">
        <v>688</v>
      </c>
      <c r="D399" t="s">
        <v>339</v>
      </c>
      <c r="E399" t="s">
        <v>310</v>
      </c>
      <c r="F399" t="s">
        <v>726</v>
      </c>
      <c r="G399">
        <v>1565</v>
      </c>
      <c r="H399">
        <v>166191.63</v>
      </c>
      <c r="I399">
        <v>106.19</v>
      </c>
      <c r="J399">
        <v>675</v>
      </c>
      <c r="K399">
        <v>53427.880000000005</v>
      </c>
      <c r="L399">
        <v>79.150000000000006</v>
      </c>
      <c r="M399">
        <v>2240</v>
      </c>
      <c r="N399">
        <v>219619.51</v>
      </c>
      <c r="O399">
        <v>98.04</v>
      </c>
    </row>
    <row r="400" spans="1:15" x14ac:dyDescent="0.35">
      <c r="A400" t="s">
        <v>686</v>
      </c>
      <c r="B400" t="s">
        <v>687</v>
      </c>
      <c r="C400" t="s">
        <v>688</v>
      </c>
      <c r="D400" t="s">
        <v>339</v>
      </c>
      <c r="E400" t="s">
        <v>312</v>
      </c>
      <c r="F400" t="s">
        <v>727</v>
      </c>
      <c r="G400">
        <v>1416</v>
      </c>
      <c r="H400">
        <v>150113.26</v>
      </c>
      <c r="I400">
        <v>106.01</v>
      </c>
      <c r="J400">
        <v>662</v>
      </c>
      <c r="K400">
        <v>52863.16</v>
      </c>
      <c r="L400">
        <v>79.849999999999994</v>
      </c>
      <c r="M400">
        <v>2078</v>
      </c>
      <c r="N400">
        <v>202976.42</v>
      </c>
      <c r="O400">
        <v>97.68</v>
      </c>
    </row>
    <row r="401" spans="1:15" x14ac:dyDescent="0.35">
      <c r="A401" t="s">
        <v>686</v>
      </c>
      <c r="B401" t="s">
        <v>687</v>
      </c>
      <c r="C401" t="s">
        <v>688</v>
      </c>
      <c r="D401" t="s">
        <v>348</v>
      </c>
      <c r="E401" t="s">
        <v>349</v>
      </c>
      <c r="F401" t="s">
        <v>728</v>
      </c>
      <c r="G401">
        <v>2173</v>
      </c>
      <c r="H401">
        <v>174611.73</v>
      </c>
      <c r="I401">
        <v>109.47</v>
      </c>
      <c r="J401">
        <v>675</v>
      </c>
      <c r="K401">
        <v>53427.880000000005</v>
      </c>
      <c r="L401">
        <v>79.150000000000006</v>
      </c>
      <c r="M401">
        <v>2848</v>
      </c>
      <c r="N401">
        <v>228039.61000000002</v>
      </c>
      <c r="O401">
        <v>100.46</v>
      </c>
    </row>
    <row r="402" spans="1:15" x14ac:dyDescent="0.35">
      <c r="A402" t="s">
        <v>729</v>
      </c>
      <c r="B402" t="s">
        <v>730</v>
      </c>
      <c r="C402" t="s">
        <v>688</v>
      </c>
      <c r="D402" t="s">
        <v>293</v>
      </c>
      <c r="E402" t="s">
        <v>294</v>
      </c>
      <c r="F402" t="s">
        <v>731</v>
      </c>
      <c r="G402">
        <v>359</v>
      </c>
      <c r="H402">
        <v>38444.089999999989</v>
      </c>
      <c r="I402">
        <v>107.09</v>
      </c>
      <c r="J402">
        <v>85</v>
      </c>
      <c r="K402">
        <v>7570.95</v>
      </c>
      <c r="L402">
        <v>89.07</v>
      </c>
      <c r="M402">
        <v>444</v>
      </c>
      <c r="N402">
        <v>46015.039999999986</v>
      </c>
      <c r="O402">
        <v>103.64</v>
      </c>
    </row>
    <row r="403" spans="1:15" x14ac:dyDescent="0.35">
      <c r="A403" t="s">
        <v>729</v>
      </c>
      <c r="B403" t="s">
        <v>730</v>
      </c>
      <c r="C403" t="s">
        <v>688</v>
      </c>
      <c r="D403" t="s">
        <v>293</v>
      </c>
      <c r="E403" t="s">
        <v>296</v>
      </c>
      <c r="F403" t="s">
        <v>732</v>
      </c>
      <c r="G403">
        <v>857</v>
      </c>
      <c r="H403">
        <v>112518.47000000002</v>
      </c>
      <c r="I403">
        <v>131.29</v>
      </c>
      <c r="J403">
        <v>795</v>
      </c>
      <c r="K403">
        <v>88133.7</v>
      </c>
      <c r="L403">
        <v>110.86</v>
      </c>
      <c r="M403">
        <v>1652</v>
      </c>
      <c r="N403">
        <v>200652.17</v>
      </c>
      <c r="O403">
        <v>121.46</v>
      </c>
    </row>
    <row r="404" spans="1:15" x14ac:dyDescent="0.35">
      <c r="A404" t="s">
        <v>729</v>
      </c>
      <c r="B404" t="s">
        <v>730</v>
      </c>
      <c r="C404" t="s">
        <v>688</v>
      </c>
      <c r="D404" t="s">
        <v>293</v>
      </c>
      <c r="E404" t="s">
        <v>298</v>
      </c>
      <c r="F404" t="s">
        <v>733</v>
      </c>
      <c r="G404">
        <v>378</v>
      </c>
      <c r="H404">
        <v>56252.69</v>
      </c>
      <c r="I404">
        <v>148.82</v>
      </c>
      <c r="J404">
        <v>410</v>
      </c>
      <c r="K404">
        <v>51053.2</v>
      </c>
      <c r="L404">
        <v>124.52</v>
      </c>
      <c r="M404">
        <v>788</v>
      </c>
      <c r="N404">
        <v>107305.89</v>
      </c>
      <c r="O404">
        <v>136.16999999999999</v>
      </c>
    </row>
    <row r="405" spans="1:15" x14ac:dyDescent="0.35">
      <c r="A405" t="s">
        <v>729</v>
      </c>
      <c r="B405" t="s">
        <v>730</v>
      </c>
      <c r="C405" t="s">
        <v>688</v>
      </c>
      <c r="D405" t="s">
        <v>293</v>
      </c>
      <c r="E405" t="s">
        <v>300</v>
      </c>
      <c r="F405" t="s">
        <v>734</v>
      </c>
      <c r="G405">
        <v>23</v>
      </c>
      <c r="H405">
        <v>3908.71</v>
      </c>
      <c r="I405">
        <v>169.94</v>
      </c>
      <c r="J405">
        <v>14</v>
      </c>
      <c r="K405">
        <v>1912.5400000000002</v>
      </c>
      <c r="L405">
        <v>136.61000000000001</v>
      </c>
      <c r="M405">
        <v>37</v>
      </c>
      <c r="N405">
        <v>5821.25</v>
      </c>
      <c r="O405">
        <v>157.33000000000001</v>
      </c>
    </row>
    <row r="406" spans="1:15" x14ac:dyDescent="0.35">
      <c r="A406" t="s">
        <v>729</v>
      </c>
      <c r="B406" t="s">
        <v>730</v>
      </c>
      <c r="C406" t="s">
        <v>688</v>
      </c>
      <c r="D406" t="s">
        <v>293</v>
      </c>
      <c r="E406" t="s">
        <v>302</v>
      </c>
      <c r="F406" t="s">
        <v>735</v>
      </c>
      <c r="G406">
        <v>0</v>
      </c>
      <c r="H406">
        <v>0</v>
      </c>
      <c r="I406">
        <v>0</v>
      </c>
      <c r="J406">
        <v>1</v>
      </c>
      <c r="K406">
        <v>151.91</v>
      </c>
      <c r="L406">
        <v>151.91</v>
      </c>
      <c r="M406">
        <v>1</v>
      </c>
      <c r="N406">
        <v>151.91</v>
      </c>
      <c r="O406">
        <v>151.91</v>
      </c>
    </row>
    <row r="407" spans="1:15" x14ac:dyDescent="0.35">
      <c r="A407" t="s">
        <v>729</v>
      </c>
      <c r="B407" t="s">
        <v>730</v>
      </c>
      <c r="C407" t="s">
        <v>688</v>
      </c>
      <c r="D407" t="s">
        <v>293</v>
      </c>
      <c r="E407" t="s">
        <v>304</v>
      </c>
      <c r="F407" t="s">
        <v>736</v>
      </c>
      <c r="G407">
        <v>0</v>
      </c>
      <c r="H407">
        <v>0</v>
      </c>
      <c r="I407">
        <v>0</v>
      </c>
      <c r="J407">
        <v>0</v>
      </c>
      <c r="K407">
        <v>0</v>
      </c>
      <c r="L407">
        <v>0</v>
      </c>
      <c r="M407">
        <v>0</v>
      </c>
      <c r="N407">
        <v>0</v>
      </c>
      <c r="O407">
        <v>0</v>
      </c>
    </row>
    <row r="408" spans="1:15" x14ac:dyDescent="0.35">
      <c r="A408" t="s">
        <v>729</v>
      </c>
      <c r="B408" t="s">
        <v>730</v>
      </c>
      <c r="C408" t="s">
        <v>688</v>
      </c>
      <c r="D408" t="s">
        <v>293</v>
      </c>
      <c r="E408" t="s">
        <v>306</v>
      </c>
      <c r="F408" t="s">
        <v>737</v>
      </c>
      <c r="G408">
        <v>0</v>
      </c>
      <c r="H408">
        <v>0</v>
      </c>
      <c r="I408">
        <v>0</v>
      </c>
      <c r="J408">
        <v>0</v>
      </c>
      <c r="K408">
        <v>0</v>
      </c>
      <c r="L408">
        <v>0</v>
      </c>
      <c r="M408">
        <v>0</v>
      </c>
      <c r="N408">
        <v>0</v>
      </c>
      <c r="O408">
        <v>0</v>
      </c>
    </row>
    <row r="409" spans="1:15" x14ac:dyDescent="0.35">
      <c r="A409" t="s">
        <v>729</v>
      </c>
      <c r="B409" t="s">
        <v>730</v>
      </c>
      <c r="C409" t="s">
        <v>688</v>
      </c>
      <c r="D409" t="s">
        <v>293</v>
      </c>
      <c r="E409" t="s">
        <v>308</v>
      </c>
      <c r="F409" t="s">
        <v>738</v>
      </c>
      <c r="G409">
        <v>0</v>
      </c>
      <c r="H409">
        <v>0</v>
      </c>
      <c r="I409">
        <v>0</v>
      </c>
      <c r="J409">
        <v>0</v>
      </c>
      <c r="K409">
        <v>0</v>
      </c>
      <c r="L409">
        <v>0</v>
      </c>
      <c r="M409">
        <v>0</v>
      </c>
      <c r="N409">
        <v>0</v>
      </c>
      <c r="O409">
        <v>0</v>
      </c>
    </row>
    <row r="410" spans="1:15" x14ac:dyDescent="0.35">
      <c r="A410" t="s">
        <v>729</v>
      </c>
      <c r="B410" t="s">
        <v>730</v>
      </c>
      <c r="C410" t="s">
        <v>688</v>
      </c>
      <c r="D410" t="s">
        <v>293</v>
      </c>
      <c r="E410" t="s">
        <v>310</v>
      </c>
      <c r="F410" t="s">
        <v>739</v>
      </c>
      <c r="G410">
        <v>1617</v>
      </c>
      <c r="H410">
        <v>211123.96</v>
      </c>
      <c r="I410">
        <v>130.57</v>
      </c>
      <c r="J410">
        <v>1305</v>
      </c>
      <c r="K410">
        <v>148822.29999999999</v>
      </c>
      <c r="L410">
        <v>114.04</v>
      </c>
      <c r="M410">
        <v>2922</v>
      </c>
      <c r="N410">
        <v>359946.26</v>
      </c>
      <c r="O410">
        <v>123.18</v>
      </c>
    </row>
    <row r="411" spans="1:15" x14ac:dyDescent="0.35">
      <c r="A411" t="s">
        <v>729</v>
      </c>
      <c r="B411" t="s">
        <v>730</v>
      </c>
      <c r="C411" t="s">
        <v>688</v>
      </c>
      <c r="D411" t="s">
        <v>293</v>
      </c>
      <c r="E411" t="s">
        <v>312</v>
      </c>
      <c r="F411" t="s">
        <v>740</v>
      </c>
      <c r="G411">
        <v>1617</v>
      </c>
      <c r="H411">
        <v>211123.96</v>
      </c>
      <c r="I411">
        <v>130.57</v>
      </c>
      <c r="J411">
        <v>1305</v>
      </c>
      <c r="K411">
        <v>148822.29999999999</v>
      </c>
      <c r="L411">
        <v>114.04</v>
      </c>
      <c r="M411">
        <v>2922</v>
      </c>
      <c r="N411">
        <v>359946.26</v>
      </c>
      <c r="O411">
        <v>123.18</v>
      </c>
    </row>
    <row r="412" spans="1:15" x14ac:dyDescent="0.35">
      <c r="A412" t="s">
        <v>729</v>
      </c>
      <c r="B412" t="s">
        <v>730</v>
      </c>
      <c r="C412" t="s">
        <v>688</v>
      </c>
      <c r="D412" t="s">
        <v>314</v>
      </c>
      <c r="E412" t="s">
        <v>294</v>
      </c>
      <c r="F412" t="s">
        <v>741</v>
      </c>
      <c r="G412">
        <v>10</v>
      </c>
      <c r="H412">
        <v>1316.3999999999999</v>
      </c>
      <c r="I412">
        <v>131.63999999999999</v>
      </c>
      <c r="J412">
        <v>20</v>
      </c>
      <c r="K412">
        <v>1961.3999999999999</v>
      </c>
      <c r="L412">
        <v>98.07</v>
      </c>
      <c r="M412">
        <v>30</v>
      </c>
      <c r="N412">
        <v>3277.7999999999997</v>
      </c>
      <c r="O412">
        <v>109.26</v>
      </c>
    </row>
    <row r="413" spans="1:15" x14ac:dyDescent="0.35">
      <c r="A413" t="s">
        <v>729</v>
      </c>
      <c r="B413" t="s">
        <v>730</v>
      </c>
      <c r="C413" t="s">
        <v>688</v>
      </c>
      <c r="D413" t="s">
        <v>314</v>
      </c>
      <c r="E413" t="s">
        <v>296</v>
      </c>
      <c r="F413" t="s">
        <v>742</v>
      </c>
      <c r="G413">
        <v>1</v>
      </c>
      <c r="H413">
        <v>169.86</v>
      </c>
      <c r="I413">
        <v>169.86</v>
      </c>
      <c r="J413">
        <v>59</v>
      </c>
      <c r="K413">
        <v>7821.04</v>
      </c>
      <c r="L413">
        <v>132.56</v>
      </c>
      <c r="M413">
        <v>60</v>
      </c>
      <c r="N413">
        <v>7990.9</v>
      </c>
      <c r="O413">
        <v>133.18</v>
      </c>
    </row>
    <row r="414" spans="1:15" x14ac:dyDescent="0.35">
      <c r="A414" t="s">
        <v>729</v>
      </c>
      <c r="B414" t="s">
        <v>730</v>
      </c>
      <c r="C414" t="s">
        <v>688</v>
      </c>
      <c r="D414" t="s">
        <v>314</v>
      </c>
      <c r="E414" t="s">
        <v>298</v>
      </c>
      <c r="F414" t="s">
        <v>743</v>
      </c>
      <c r="G414">
        <v>0</v>
      </c>
      <c r="H414">
        <v>0</v>
      </c>
      <c r="I414">
        <v>0</v>
      </c>
      <c r="J414">
        <v>0</v>
      </c>
      <c r="K414">
        <v>0</v>
      </c>
      <c r="L414">
        <v>0</v>
      </c>
      <c r="M414">
        <v>0</v>
      </c>
      <c r="N414">
        <v>0</v>
      </c>
      <c r="O414">
        <v>0</v>
      </c>
    </row>
    <row r="415" spans="1:15" x14ac:dyDescent="0.35">
      <c r="A415" t="s">
        <v>729</v>
      </c>
      <c r="B415" t="s">
        <v>730</v>
      </c>
      <c r="C415" t="s">
        <v>688</v>
      </c>
      <c r="D415" t="s">
        <v>314</v>
      </c>
      <c r="E415" t="s">
        <v>300</v>
      </c>
      <c r="F415" t="s">
        <v>744</v>
      </c>
      <c r="G415">
        <v>0</v>
      </c>
      <c r="H415">
        <v>0</v>
      </c>
      <c r="I415">
        <v>0</v>
      </c>
      <c r="J415">
        <v>0</v>
      </c>
      <c r="K415">
        <v>0</v>
      </c>
      <c r="L415">
        <v>0</v>
      </c>
      <c r="M415">
        <v>0</v>
      </c>
      <c r="N415">
        <v>0</v>
      </c>
      <c r="O415">
        <v>0</v>
      </c>
    </row>
    <row r="416" spans="1:15" x14ac:dyDescent="0.35">
      <c r="A416" t="s">
        <v>729</v>
      </c>
      <c r="B416" t="s">
        <v>730</v>
      </c>
      <c r="C416" t="s">
        <v>688</v>
      </c>
      <c r="D416" t="s">
        <v>314</v>
      </c>
      <c r="E416" t="s">
        <v>306</v>
      </c>
      <c r="F416" t="s">
        <v>745</v>
      </c>
      <c r="G416">
        <v>0</v>
      </c>
      <c r="H416">
        <v>0</v>
      </c>
      <c r="I416">
        <v>0</v>
      </c>
      <c r="J416">
        <v>0</v>
      </c>
      <c r="K416">
        <v>0</v>
      </c>
      <c r="L416">
        <v>0</v>
      </c>
      <c r="M416">
        <v>0</v>
      </c>
      <c r="N416">
        <v>0</v>
      </c>
      <c r="O416">
        <v>0</v>
      </c>
    </row>
    <row r="417" spans="1:15" x14ac:dyDescent="0.35">
      <c r="A417" t="s">
        <v>729</v>
      </c>
      <c r="B417" t="s">
        <v>730</v>
      </c>
      <c r="C417" t="s">
        <v>688</v>
      </c>
      <c r="D417" t="s">
        <v>314</v>
      </c>
      <c r="E417" t="s">
        <v>308</v>
      </c>
      <c r="F417" t="s">
        <v>746</v>
      </c>
      <c r="G417">
        <v>0</v>
      </c>
      <c r="H417">
        <v>0</v>
      </c>
      <c r="I417">
        <v>0</v>
      </c>
      <c r="J417">
        <v>0</v>
      </c>
      <c r="K417">
        <v>0</v>
      </c>
      <c r="L417">
        <v>0</v>
      </c>
      <c r="M417">
        <v>0</v>
      </c>
      <c r="N417">
        <v>0</v>
      </c>
      <c r="O417">
        <v>0</v>
      </c>
    </row>
    <row r="418" spans="1:15" x14ac:dyDescent="0.35">
      <c r="A418" t="s">
        <v>729</v>
      </c>
      <c r="B418" t="s">
        <v>730</v>
      </c>
      <c r="C418" t="s">
        <v>688</v>
      </c>
      <c r="D418" t="s">
        <v>314</v>
      </c>
      <c r="E418" t="s">
        <v>312</v>
      </c>
      <c r="F418" t="s">
        <v>747</v>
      </c>
      <c r="G418">
        <v>11</v>
      </c>
      <c r="H418">
        <v>1486.2599999999998</v>
      </c>
      <c r="I418">
        <v>135.11000000000001</v>
      </c>
      <c r="J418">
        <v>79</v>
      </c>
      <c r="K418">
        <v>9782.44</v>
      </c>
      <c r="L418">
        <v>123.83</v>
      </c>
      <c r="M418">
        <v>90</v>
      </c>
      <c r="N418">
        <v>11268.7</v>
      </c>
      <c r="O418">
        <v>125.21</v>
      </c>
    </row>
    <row r="419" spans="1:15" x14ac:dyDescent="0.35">
      <c r="A419" t="s">
        <v>729</v>
      </c>
      <c r="B419" t="s">
        <v>730</v>
      </c>
      <c r="C419" t="s">
        <v>688</v>
      </c>
      <c r="D419" t="s">
        <v>314</v>
      </c>
      <c r="E419" t="s">
        <v>310</v>
      </c>
      <c r="F419" t="s">
        <v>748</v>
      </c>
      <c r="G419">
        <v>11</v>
      </c>
      <c r="H419">
        <v>1486.2599999999998</v>
      </c>
      <c r="I419">
        <v>135.11000000000001</v>
      </c>
      <c r="J419">
        <v>79</v>
      </c>
      <c r="K419">
        <v>9782.44</v>
      </c>
      <c r="L419">
        <v>123.83</v>
      </c>
      <c r="M419">
        <v>90</v>
      </c>
      <c r="N419">
        <v>11268.7</v>
      </c>
      <c r="O419">
        <v>125.21</v>
      </c>
    </row>
    <row r="420" spans="1:15" x14ac:dyDescent="0.35">
      <c r="A420" t="s">
        <v>729</v>
      </c>
      <c r="B420" t="s">
        <v>730</v>
      </c>
      <c r="C420" t="s">
        <v>688</v>
      </c>
      <c r="D420" t="s">
        <v>323</v>
      </c>
      <c r="E420" t="s">
        <v>294</v>
      </c>
      <c r="F420" t="s">
        <v>749</v>
      </c>
      <c r="G420">
        <v>192</v>
      </c>
      <c r="H420">
        <v>17255.82</v>
      </c>
      <c r="I420">
        <v>89.87</v>
      </c>
      <c r="J420">
        <v>2527</v>
      </c>
      <c r="K420">
        <v>218989.81999999998</v>
      </c>
      <c r="L420">
        <v>86.66</v>
      </c>
      <c r="M420">
        <v>2719</v>
      </c>
      <c r="N420">
        <v>236245.63999999998</v>
      </c>
      <c r="O420">
        <v>86.89</v>
      </c>
    </row>
    <row r="421" spans="1:15" x14ac:dyDescent="0.35">
      <c r="A421" t="s">
        <v>729</v>
      </c>
      <c r="B421" t="s">
        <v>730</v>
      </c>
      <c r="C421" t="s">
        <v>688</v>
      </c>
      <c r="D421" t="s">
        <v>323</v>
      </c>
      <c r="E421" t="s">
        <v>296</v>
      </c>
      <c r="F421" t="s">
        <v>750</v>
      </c>
      <c r="G421">
        <v>690</v>
      </c>
      <c r="H421">
        <v>74590.87000000001</v>
      </c>
      <c r="I421">
        <v>108.1</v>
      </c>
      <c r="J421">
        <v>4053</v>
      </c>
      <c r="K421">
        <v>398409.89999999997</v>
      </c>
      <c r="L421">
        <v>98.3</v>
      </c>
      <c r="M421">
        <v>4743</v>
      </c>
      <c r="N421">
        <v>473000.76999999996</v>
      </c>
      <c r="O421">
        <v>99.73</v>
      </c>
    </row>
    <row r="422" spans="1:15" x14ac:dyDescent="0.35">
      <c r="A422" t="s">
        <v>729</v>
      </c>
      <c r="B422" t="s">
        <v>730</v>
      </c>
      <c r="C422" t="s">
        <v>688</v>
      </c>
      <c r="D422" t="s">
        <v>323</v>
      </c>
      <c r="E422" t="s">
        <v>298</v>
      </c>
      <c r="F422" t="s">
        <v>751</v>
      </c>
      <c r="G422">
        <v>416</v>
      </c>
      <c r="H422">
        <v>50733.760000000002</v>
      </c>
      <c r="I422">
        <v>121.96</v>
      </c>
      <c r="J422">
        <v>2555</v>
      </c>
      <c r="K422">
        <v>272235.25</v>
      </c>
      <c r="L422">
        <v>106.55</v>
      </c>
      <c r="M422">
        <v>2971</v>
      </c>
      <c r="N422">
        <v>322969.01</v>
      </c>
      <c r="O422">
        <v>108.71</v>
      </c>
    </row>
    <row r="423" spans="1:15" x14ac:dyDescent="0.35">
      <c r="A423" t="s">
        <v>729</v>
      </c>
      <c r="B423" t="s">
        <v>730</v>
      </c>
      <c r="C423" t="s">
        <v>688</v>
      </c>
      <c r="D423" t="s">
        <v>323</v>
      </c>
      <c r="E423" t="s">
        <v>300</v>
      </c>
      <c r="F423" t="s">
        <v>752</v>
      </c>
      <c r="G423">
        <v>26</v>
      </c>
      <c r="H423">
        <v>3306.8300000000004</v>
      </c>
      <c r="I423">
        <v>127.19</v>
      </c>
      <c r="J423">
        <v>143</v>
      </c>
      <c r="K423">
        <v>16678.09</v>
      </c>
      <c r="L423">
        <v>116.63</v>
      </c>
      <c r="M423">
        <v>169</v>
      </c>
      <c r="N423">
        <v>19984.920000000002</v>
      </c>
      <c r="O423">
        <v>118.25</v>
      </c>
    </row>
    <row r="424" spans="1:15" x14ac:dyDescent="0.35">
      <c r="A424" t="s">
        <v>729</v>
      </c>
      <c r="B424" t="s">
        <v>730</v>
      </c>
      <c r="C424" t="s">
        <v>688</v>
      </c>
      <c r="D424" t="s">
        <v>323</v>
      </c>
      <c r="E424" t="s">
        <v>302</v>
      </c>
      <c r="F424" t="s">
        <v>753</v>
      </c>
      <c r="G424">
        <v>2</v>
      </c>
      <c r="H424">
        <v>262.68</v>
      </c>
      <c r="I424">
        <v>131.34</v>
      </c>
      <c r="J424">
        <v>5</v>
      </c>
      <c r="K424">
        <v>668.7</v>
      </c>
      <c r="L424">
        <v>133.74</v>
      </c>
      <c r="M424">
        <v>7</v>
      </c>
      <c r="N424">
        <v>931.38000000000011</v>
      </c>
      <c r="O424">
        <v>133.05000000000001</v>
      </c>
    </row>
    <row r="425" spans="1:15" x14ac:dyDescent="0.35">
      <c r="A425" t="s">
        <v>729</v>
      </c>
      <c r="B425" t="s">
        <v>730</v>
      </c>
      <c r="C425" t="s">
        <v>688</v>
      </c>
      <c r="D425" t="s">
        <v>323</v>
      </c>
      <c r="E425" t="s">
        <v>304</v>
      </c>
      <c r="F425" t="s">
        <v>754</v>
      </c>
      <c r="G425">
        <v>1</v>
      </c>
      <c r="H425">
        <v>142.61000000000001</v>
      </c>
      <c r="I425">
        <v>142.61000000000001</v>
      </c>
      <c r="J425">
        <v>1</v>
      </c>
      <c r="K425">
        <v>147.83000000000001</v>
      </c>
      <c r="L425">
        <v>147.83000000000001</v>
      </c>
      <c r="M425">
        <v>2</v>
      </c>
      <c r="N425">
        <v>290.44000000000005</v>
      </c>
      <c r="O425">
        <v>145.22</v>
      </c>
    </row>
    <row r="426" spans="1:15" x14ac:dyDescent="0.35">
      <c r="A426" t="s">
        <v>729</v>
      </c>
      <c r="B426" t="s">
        <v>730</v>
      </c>
      <c r="C426" t="s">
        <v>688</v>
      </c>
      <c r="D426" t="s">
        <v>323</v>
      </c>
      <c r="E426" t="s">
        <v>306</v>
      </c>
      <c r="F426" t="s">
        <v>755</v>
      </c>
      <c r="G426">
        <v>0</v>
      </c>
      <c r="H426">
        <v>0</v>
      </c>
      <c r="I426">
        <v>0</v>
      </c>
      <c r="J426">
        <v>79</v>
      </c>
      <c r="K426">
        <v>5779.6399999999994</v>
      </c>
      <c r="L426">
        <v>73.16</v>
      </c>
      <c r="M426">
        <v>79</v>
      </c>
      <c r="N426">
        <v>5779.6399999999994</v>
      </c>
      <c r="O426">
        <v>73.16</v>
      </c>
    </row>
    <row r="427" spans="1:15" x14ac:dyDescent="0.35">
      <c r="A427" t="s">
        <v>729</v>
      </c>
      <c r="B427" t="s">
        <v>730</v>
      </c>
      <c r="C427" t="s">
        <v>688</v>
      </c>
      <c r="D427" t="s">
        <v>323</v>
      </c>
      <c r="E427" t="s">
        <v>308</v>
      </c>
      <c r="F427" t="s">
        <v>756</v>
      </c>
      <c r="G427">
        <v>0</v>
      </c>
      <c r="H427">
        <v>0</v>
      </c>
      <c r="I427">
        <v>0</v>
      </c>
      <c r="J427">
        <v>0</v>
      </c>
      <c r="K427">
        <v>0</v>
      </c>
      <c r="L427">
        <v>0</v>
      </c>
      <c r="M427">
        <v>0</v>
      </c>
      <c r="N427">
        <v>0</v>
      </c>
      <c r="O427">
        <v>0</v>
      </c>
    </row>
    <row r="428" spans="1:15" x14ac:dyDescent="0.35">
      <c r="A428" t="s">
        <v>729</v>
      </c>
      <c r="B428" t="s">
        <v>730</v>
      </c>
      <c r="C428" t="s">
        <v>688</v>
      </c>
      <c r="D428" t="s">
        <v>323</v>
      </c>
      <c r="E428" t="s">
        <v>310</v>
      </c>
      <c r="F428" t="s">
        <v>757</v>
      </c>
      <c r="G428">
        <v>1327</v>
      </c>
      <c r="H428">
        <v>146292.56999999998</v>
      </c>
      <c r="I428">
        <v>110.24</v>
      </c>
      <c r="J428">
        <v>9363</v>
      </c>
      <c r="K428">
        <v>912909.22999999986</v>
      </c>
      <c r="L428">
        <v>97.5</v>
      </c>
      <c r="M428">
        <v>10690</v>
      </c>
      <c r="N428">
        <v>1059201.7999999998</v>
      </c>
      <c r="O428">
        <v>99.08</v>
      </c>
    </row>
    <row r="429" spans="1:15" x14ac:dyDescent="0.35">
      <c r="A429" t="s">
        <v>729</v>
      </c>
      <c r="B429" t="s">
        <v>730</v>
      </c>
      <c r="C429" t="s">
        <v>688</v>
      </c>
      <c r="D429" t="s">
        <v>323</v>
      </c>
      <c r="E429" t="s">
        <v>312</v>
      </c>
      <c r="F429" t="s">
        <v>758</v>
      </c>
      <c r="G429">
        <v>1327</v>
      </c>
      <c r="H429">
        <v>146292.56999999998</v>
      </c>
      <c r="I429">
        <v>110.24</v>
      </c>
      <c r="J429">
        <v>9363</v>
      </c>
      <c r="K429">
        <v>912909.22999999986</v>
      </c>
      <c r="L429">
        <v>97.5</v>
      </c>
      <c r="M429">
        <v>10690</v>
      </c>
      <c r="N429">
        <v>1059201.7999999998</v>
      </c>
      <c r="O429">
        <v>99.08</v>
      </c>
    </row>
    <row r="430" spans="1:15" x14ac:dyDescent="0.35">
      <c r="A430" t="s">
        <v>729</v>
      </c>
      <c r="B430" t="s">
        <v>730</v>
      </c>
      <c r="C430" t="s">
        <v>688</v>
      </c>
      <c r="D430" t="s">
        <v>334</v>
      </c>
      <c r="E430" t="s">
        <v>312</v>
      </c>
      <c r="F430" t="s">
        <v>759</v>
      </c>
      <c r="G430">
        <v>3276</v>
      </c>
      <c r="H430">
        <v>357416.53</v>
      </c>
      <c r="I430">
        <v>121.41</v>
      </c>
      <c r="J430">
        <v>10668</v>
      </c>
      <c r="K430">
        <v>1061731.53</v>
      </c>
      <c r="L430">
        <v>99.52</v>
      </c>
      <c r="M430">
        <v>13944</v>
      </c>
      <c r="N430">
        <v>1419148.06</v>
      </c>
      <c r="O430">
        <v>104.26</v>
      </c>
    </row>
    <row r="431" spans="1:15" x14ac:dyDescent="0.35">
      <c r="A431" t="s">
        <v>729</v>
      </c>
      <c r="B431" t="s">
        <v>730</v>
      </c>
      <c r="C431" t="s">
        <v>688</v>
      </c>
      <c r="D431" t="s">
        <v>334</v>
      </c>
      <c r="E431" t="s">
        <v>308</v>
      </c>
      <c r="F431" t="s">
        <v>760</v>
      </c>
      <c r="G431">
        <v>0</v>
      </c>
      <c r="H431">
        <v>0</v>
      </c>
      <c r="I431">
        <v>0</v>
      </c>
      <c r="J431">
        <v>0</v>
      </c>
      <c r="K431">
        <v>0</v>
      </c>
      <c r="L431">
        <v>0</v>
      </c>
      <c r="M431">
        <v>0</v>
      </c>
      <c r="N431">
        <v>0</v>
      </c>
      <c r="O431">
        <v>0</v>
      </c>
    </row>
    <row r="432" spans="1:15" x14ac:dyDescent="0.35">
      <c r="A432" t="s">
        <v>729</v>
      </c>
      <c r="B432" t="s">
        <v>730</v>
      </c>
      <c r="C432" t="s">
        <v>688</v>
      </c>
      <c r="D432" t="s">
        <v>337</v>
      </c>
      <c r="E432" t="s">
        <v>337</v>
      </c>
      <c r="F432" t="s">
        <v>761</v>
      </c>
      <c r="G432">
        <v>917</v>
      </c>
      <c r="J432">
        <v>137</v>
      </c>
      <c r="M432">
        <v>1054</v>
      </c>
    </row>
    <row r="433" spans="1:15" x14ac:dyDescent="0.35">
      <c r="A433" t="s">
        <v>729</v>
      </c>
      <c r="B433" t="s">
        <v>730</v>
      </c>
      <c r="C433" t="s">
        <v>688</v>
      </c>
      <c r="D433" t="s">
        <v>339</v>
      </c>
      <c r="E433" t="s">
        <v>294</v>
      </c>
      <c r="F433" t="s">
        <v>762</v>
      </c>
      <c r="G433">
        <v>485</v>
      </c>
      <c r="H433">
        <v>59761.89</v>
      </c>
      <c r="I433">
        <v>123.22</v>
      </c>
      <c r="J433">
        <v>309</v>
      </c>
      <c r="K433">
        <v>28449.629999999997</v>
      </c>
      <c r="L433">
        <v>92.07</v>
      </c>
      <c r="M433">
        <v>794</v>
      </c>
      <c r="N433">
        <v>88211.51999999999</v>
      </c>
      <c r="O433">
        <v>111.1</v>
      </c>
    </row>
    <row r="434" spans="1:15" x14ac:dyDescent="0.35">
      <c r="A434" t="s">
        <v>729</v>
      </c>
      <c r="B434" t="s">
        <v>730</v>
      </c>
      <c r="C434" t="s">
        <v>688</v>
      </c>
      <c r="D434" t="s">
        <v>339</v>
      </c>
      <c r="E434" t="s">
        <v>296</v>
      </c>
      <c r="F434" t="s">
        <v>763</v>
      </c>
      <c r="G434">
        <v>117</v>
      </c>
      <c r="H434">
        <v>14290.06</v>
      </c>
      <c r="I434">
        <v>122.14</v>
      </c>
      <c r="J434">
        <v>197</v>
      </c>
      <c r="K434">
        <v>19552.25</v>
      </c>
      <c r="L434">
        <v>99.25</v>
      </c>
      <c r="M434">
        <v>314</v>
      </c>
      <c r="N434">
        <v>33842.31</v>
      </c>
      <c r="O434">
        <v>107.78</v>
      </c>
    </row>
    <row r="435" spans="1:15" x14ac:dyDescent="0.35">
      <c r="A435" t="s">
        <v>729</v>
      </c>
      <c r="B435" t="s">
        <v>730</v>
      </c>
      <c r="C435" t="s">
        <v>688</v>
      </c>
      <c r="D435" t="s">
        <v>339</v>
      </c>
      <c r="E435" t="s">
        <v>298</v>
      </c>
      <c r="F435" t="s">
        <v>764</v>
      </c>
      <c r="G435">
        <v>5</v>
      </c>
      <c r="H435">
        <v>998.35</v>
      </c>
      <c r="I435">
        <v>199.67</v>
      </c>
      <c r="J435">
        <v>4</v>
      </c>
      <c r="K435">
        <v>436.64</v>
      </c>
      <c r="L435">
        <v>109.16</v>
      </c>
      <c r="M435">
        <v>9</v>
      </c>
      <c r="N435">
        <v>1434.99</v>
      </c>
      <c r="O435">
        <v>159.44</v>
      </c>
    </row>
    <row r="436" spans="1:15" x14ac:dyDescent="0.35">
      <c r="A436" t="s">
        <v>729</v>
      </c>
      <c r="B436" t="s">
        <v>730</v>
      </c>
      <c r="C436" t="s">
        <v>688</v>
      </c>
      <c r="D436" t="s">
        <v>339</v>
      </c>
      <c r="E436" t="s">
        <v>300</v>
      </c>
      <c r="F436" t="s">
        <v>765</v>
      </c>
      <c r="G436">
        <v>0</v>
      </c>
      <c r="H436">
        <v>0</v>
      </c>
      <c r="I436">
        <v>0</v>
      </c>
      <c r="J436">
        <v>0</v>
      </c>
      <c r="K436">
        <v>0</v>
      </c>
      <c r="L436">
        <v>0</v>
      </c>
      <c r="M436">
        <v>0</v>
      </c>
      <c r="N436">
        <v>0</v>
      </c>
      <c r="O436">
        <v>0</v>
      </c>
    </row>
    <row r="437" spans="1:15" x14ac:dyDescent="0.35">
      <c r="A437" t="s">
        <v>729</v>
      </c>
      <c r="B437" t="s">
        <v>730</v>
      </c>
      <c r="C437" t="s">
        <v>688</v>
      </c>
      <c r="D437" t="s">
        <v>339</v>
      </c>
      <c r="E437" t="s">
        <v>306</v>
      </c>
      <c r="F437" t="s">
        <v>766</v>
      </c>
      <c r="G437">
        <v>59</v>
      </c>
      <c r="H437">
        <v>5611.6900000000005</v>
      </c>
      <c r="I437">
        <v>95.11</v>
      </c>
      <c r="J437">
        <v>18</v>
      </c>
      <c r="K437">
        <v>1371.6000000000001</v>
      </c>
      <c r="L437">
        <v>76.2</v>
      </c>
      <c r="M437">
        <v>77</v>
      </c>
      <c r="N437">
        <v>6983.2900000000009</v>
      </c>
      <c r="O437">
        <v>90.69</v>
      </c>
    </row>
    <row r="438" spans="1:15" x14ac:dyDescent="0.35">
      <c r="A438" t="s">
        <v>729</v>
      </c>
      <c r="B438" t="s">
        <v>730</v>
      </c>
      <c r="C438" t="s">
        <v>688</v>
      </c>
      <c r="D438" t="s">
        <v>339</v>
      </c>
      <c r="E438" t="s">
        <v>308</v>
      </c>
      <c r="F438" t="s">
        <v>767</v>
      </c>
      <c r="G438">
        <v>114</v>
      </c>
      <c r="H438">
        <v>16855.490000000002</v>
      </c>
      <c r="I438">
        <v>147.86000000000001</v>
      </c>
      <c r="J438">
        <v>0</v>
      </c>
      <c r="K438">
        <v>0</v>
      </c>
      <c r="L438">
        <v>0</v>
      </c>
      <c r="M438">
        <v>114</v>
      </c>
      <c r="N438">
        <v>16855.490000000002</v>
      </c>
      <c r="O438">
        <v>147.86000000000001</v>
      </c>
    </row>
    <row r="439" spans="1:15" x14ac:dyDescent="0.35">
      <c r="A439" t="s">
        <v>729</v>
      </c>
      <c r="B439" t="s">
        <v>730</v>
      </c>
      <c r="C439" t="s">
        <v>688</v>
      </c>
      <c r="D439" t="s">
        <v>339</v>
      </c>
      <c r="E439" t="s">
        <v>310</v>
      </c>
      <c r="F439" t="s">
        <v>768</v>
      </c>
      <c r="G439">
        <v>780</v>
      </c>
      <c r="H439">
        <v>97517.48000000001</v>
      </c>
      <c r="I439">
        <v>125.02</v>
      </c>
      <c r="J439">
        <v>528</v>
      </c>
      <c r="K439">
        <v>49810.119999999995</v>
      </c>
      <c r="L439">
        <v>94.34</v>
      </c>
      <c r="M439">
        <v>1308</v>
      </c>
      <c r="N439">
        <v>147327.6</v>
      </c>
      <c r="O439">
        <v>112.64</v>
      </c>
    </row>
    <row r="440" spans="1:15" x14ac:dyDescent="0.35">
      <c r="A440" t="s">
        <v>729</v>
      </c>
      <c r="B440" t="s">
        <v>730</v>
      </c>
      <c r="C440" t="s">
        <v>688</v>
      </c>
      <c r="D440" t="s">
        <v>339</v>
      </c>
      <c r="E440" t="s">
        <v>312</v>
      </c>
      <c r="F440" t="s">
        <v>769</v>
      </c>
      <c r="G440">
        <v>666</v>
      </c>
      <c r="H440">
        <v>80661.990000000005</v>
      </c>
      <c r="I440">
        <v>121.11</v>
      </c>
      <c r="J440">
        <v>528</v>
      </c>
      <c r="K440">
        <v>49810.119999999995</v>
      </c>
      <c r="L440">
        <v>94.34</v>
      </c>
      <c r="M440">
        <v>1194</v>
      </c>
      <c r="N440">
        <v>130472.11</v>
      </c>
      <c r="O440">
        <v>109.27</v>
      </c>
    </row>
    <row r="441" spans="1:15" x14ac:dyDescent="0.35">
      <c r="A441" t="s">
        <v>729</v>
      </c>
      <c r="B441" t="s">
        <v>730</v>
      </c>
      <c r="C441" t="s">
        <v>688</v>
      </c>
      <c r="D441" t="s">
        <v>348</v>
      </c>
      <c r="E441" t="s">
        <v>349</v>
      </c>
      <c r="F441" t="s">
        <v>770</v>
      </c>
      <c r="G441">
        <v>882</v>
      </c>
      <c r="H441">
        <v>99003.74000000002</v>
      </c>
      <c r="I441">
        <v>125.16</v>
      </c>
      <c r="J441">
        <v>607</v>
      </c>
      <c r="K441">
        <v>59592.56</v>
      </c>
      <c r="L441">
        <v>98.18</v>
      </c>
      <c r="M441">
        <v>1489</v>
      </c>
      <c r="N441">
        <v>158596.30000000002</v>
      </c>
      <c r="O441">
        <v>113.45</v>
      </c>
    </row>
    <row r="442" spans="1:15" x14ac:dyDescent="0.35">
      <c r="A442" t="s">
        <v>771</v>
      </c>
      <c r="B442" t="s">
        <v>772</v>
      </c>
      <c r="C442" t="s">
        <v>688</v>
      </c>
      <c r="D442" t="s">
        <v>293</v>
      </c>
      <c r="E442" t="s">
        <v>294</v>
      </c>
      <c r="F442" t="s">
        <v>773</v>
      </c>
      <c r="G442">
        <v>18</v>
      </c>
      <c r="H442">
        <v>1631.3200000000002</v>
      </c>
      <c r="I442">
        <v>90.63</v>
      </c>
      <c r="J442">
        <v>0</v>
      </c>
      <c r="K442">
        <v>0</v>
      </c>
      <c r="L442">
        <v>0</v>
      </c>
      <c r="M442">
        <v>18</v>
      </c>
      <c r="N442">
        <v>1631.3200000000002</v>
      </c>
      <c r="O442">
        <v>90.63</v>
      </c>
    </row>
    <row r="443" spans="1:15" x14ac:dyDescent="0.35">
      <c r="A443" t="s">
        <v>771</v>
      </c>
      <c r="B443" t="s">
        <v>772</v>
      </c>
      <c r="C443" t="s">
        <v>688</v>
      </c>
      <c r="D443" t="s">
        <v>293</v>
      </c>
      <c r="E443" t="s">
        <v>296</v>
      </c>
      <c r="F443" t="s">
        <v>774</v>
      </c>
      <c r="G443">
        <v>82</v>
      </c>
      <c r="H443">
        <v>9403.34</v>
      </c>
      <c r="I443">
        <v>114.67</v>
      </c>
      <c r="J443">
        <v>0</v>
      </c>
      <c r="K443">
        <v>0</v>
      </c>
      <c r="L443">
        <v>0</v>
      </c>
      <c r="M443">
        <v>82</v>
      </c>
      <c r="N443">
        <v>9403.34</v>
      </c>
      <c r="O443">
        <v>114.67</v>
      </c>
    </row>
    <row r="444" spans="1:15" x14ac:dyDescent="0.35">
      <c r="A444" t="s">
        <v>771</v>
      </c>
      <c r="B444" t="s">
        <v>772</v>
      </c>
      <c r="C444" t="s">
        <v>688</v>
      </c>
      <c r="D444" t="s">
        <v>293</v>
      </c>
      <c r="E444" t="s">
        <v>298</v>
      </c>
      <c r="F444" t="s">
        <v>775</v>
      </c>
      <c r="G444">
        <v>53</v>
      </c>
      <c r="H444">
        <v>6722.7000000000007</v>
      </c>
      <c r="I444">
        <v>126.84</v>
      </c>
      <c r="J444">
        <v>0</v>
      </c>
      <c r="K444">
        <v>0</v>
      </c>
      <c r="L444">
        <v>0</v>
      </c>
      <c r="M444">
        <v>53</v>
      </c>
      <c r="N444">
        <v>6722.7000000000007</v>
      </c>
      <c r="O444">
        <v>126.84</v>
      </c>
    </row>
    <row r="445" spans="1:15" x14ac:dyDescent="0.35">
      <c r="A445" t="s">
        <v>771</v>
      </c>
      <c r="B445" t="s">
        <v>772</v>
      </c>
      <c r="C445" t="s">
        <v>688</v>
      </c>
      <c r="D445" t="s">
        <v>293</v>
      </c>
      <c r="E445" t="s">
        <v>300</v>
      </c>
      <c r="F445" t="s">
        <v>776</v>
      </c>
      <c r="G445">
        <v>8</v>
      </c>
      <c r="H445">
        <v>1233.04</v>
      </c>
      <c r="I445">
        <v>154.13</v>
      </c>
      <c r="J445">
        <v>0</v>
      </c>
      <c r="K445">
        <v>0</v>
      </c>
      <c r="L445">
        <v>0</v>
      </c>
      <c r="M445">
        <v>8</v>
      </c>
      <c r="N445">
        <v>1233.04</v>
      </c>
      <c r="O445">
        <v>154.13</v>
      </c>
    </row>
    <row r="446" spans="1:15" x14ac:dyDescent="0.35">
      <c r="A446" t="s">
        <v>771</v>
      </c>
      <c r="B446" t="s">
        <v>772</v>
      </c>
      <c r="C446" t="s">
        <v>688</v>
      </c>
      <c r="D446" t="s">
        <v>293</v>
      </c>
      <c r="E446" t="s">
        <v>302</v>
      </c>
      <c r="F446" t="s">
        <v>777</v>
      </c>
      <c r="G446">
        <v>1</v>
      </c>
      <c r="H446">
        <v>153.66</v>
      </c>
      <c r="I446">
        <v>153.66</v>
      </c>
      <c r="J446">
        <v>0</v>
      </c>
      <c r="K446">
        <v>0</v>
      </c>
      <c r="L446">
        <v>0</v>
      </c>
      <c r="M446">
        <v>1</v>
      </c>
      <c r="N446">
        <v>153.66</v>
      </c>
      <c r="O446">
        <v>153.66</v>
      </c>
    </row>
    <row r="447" spans="1:15" x14ac:dyDescent="0.35">
      <c r="A447" t="s">
        <v>771</v>
      </c>
      <c r="B447" t="s">
        <v>772</v>
      </c>
      <c r="C447" t="s">
        <v>688</v>
      </c>
      <c r="D447" t="s">
        <v>293</v>
      </c>
      <c r="E447" t="s">
        <v>304</v>
      </c>
      <c r="F447" t="s">
        <v>778</v>
      </c>
      <c r="G447">
        <v>0</v>
      </c>
      <c r="H447">
        <v>0</v>
      </c>
      <c r="I447">
        <v>0</v>
      </c>
      <c r="J447">
        <v>0</v>
      </c>
      <c r="K447">
        <v>0</v>
      </c>
      <c r="L447">
        <v>0</v>
      </c>
      <c r="M447">
        <v>0</v>
      </c>
      <c r="N447">
        <v>0</v>
      </c>
      <c r="O447">
        <v>0</v>
      </c>
    </row>
    <row r="448" spans="1:15" x14ac:dyDescent="0.35">
      <c r="A448" t="s">
        <v>771</v>
      </c>
      <c r="B448" t="s">
        <v>772</v>
      </c>
      <c r="C448" t="s">
        <v>688</v>
      </c>
      <c r="D448" t="s">
        <v>293</v>
      </c>
      <c r="E448" t="s">
        <v>306</v>
      </c>
      <c r="F448" t="s">
        <v>779</v>
      </c>
      <c r="G448">
        <v>0</v>
      </c>
      <c r="H448">
        <v>0</v>
      </c>
      <c r="I448">
        <v>0</v>
      </c>
      <c r="J448">
        <v>0</v>
      </c>
      <c r="K448">
        <v>0</v>
      </c>
      <c r="L448">
        <v>0</v>
      </c>
      <c r="M448">
        <v>0</v>
      </c>
      <c r="N448">
        <v>0</v>
      </c>
      <c r="O448">
        <v>0</v>
      </c>
    </row>
    <row r="449" spans="1:15" x14ac:dyDescent="0.35">
      <c r="A449" t="s">
        <v>771</v>
      </c>
      <c r="B449" t="s">
        <v>772</v>
      </c>
      <c r="C449" t="s">
        <v>688</v>
      </c>
      <c r="D449" t="s">
        <v>293</v>
      </c>
      <c r="E449" t="s">
        <v>308</v>
      </c>
      <c r="F449" t="s">
        <v>780</v>
      </c>
      <c r="G449">
        <v>0</v>
      </c>
      <c r="H449">
        <v>0</v>
      </c>
      <c r="I449">
        <v>0</v>
      </c>
      <c r="J449">
        <v>0</v>
      </c>
      <c r="K449">
        <v>0</v>
      </c>
      <c r="L449">
        <v>0</v>
      </c>
      <c r="M449">
        <v>0</v>
      </c>
      <c r="N449">
        <v>0</v>
      </c>
      <c r="O449">
        <v>0</v>
      </c>
    </row>
    <row r="450" spans="1:15" x14ac:dyDescent="0.35">
      <c r="A450" t="s">
        <v>771</v>
      </c>
      <c r="B450" t="s">
        <v>772</v>
      </c>
      <c r="C450" t="s">
        <v>688</v>
      </c>
      <c r="D450" t="s">
        <v>293</v>
      </c>
      <c r="E450" t="s">
        <v>310</v>
      </c>
      <c r="F450" t="s">
        <v>781</v>
      </c>
      <c r="G450">
        <v>162</v>
      </c>
      <c r="H450">
        <v>19144.060000000001</v>
      </c>
      <c r="I450">
        <v>118.17</v>
      </c>
      <c r="J450">
        <v>0</v>
      </c>
      <c r="K450">
        <v>0</v>
      </c>
      <c r="L450">
        <v>0</v>
      </c>
      <c r="M450">
        <v>162</v>
      </c>
      <c r="N450">
        <v>19144.060000000001</v>
      </c>
      <c r="O450">
        <v>118.17</v>
      </c>
    </row>
    <row r="451" spans="1:15" x14ac:dyDescent="0.35">
      <c r="A451" t="s">
        <v>771</v>
      </c>
      <c r="B451" t="s">
        <v>772</v>
      </c>
      <c r="C451" t="s">
        <v>688</v>
      </c>
      <c r="D451" t="s">
        <v>293</v>
      </c>
      <c r="E451" t="s">
        <v>312</v>
      </c>
      <c r="F451" t="s">
        <v>782</v>
      </c>
      <c r="G451">
        <v>162</v>
      </c>
      <c r="H451">
        <v>19144.060000000001</v>
      </c>
      <c r="I451">
        <v>118.17</v>
      </c>
      <c r="J451">
        <v>0</v>
      </c>
      <c r="K451">
        <v>0</v>
      </c>
      <c r="L451">
        <v>0</v>
      </c>
      <c r="M451">
        <v>162</v>
      </c>
      <c r="N451">
        <v>19144.060000000001</v>
      </c>
      <c r="O451">
        <v>118.17</v>
      </c>
    </row>
    <row r="452" spans="1:15" x14ac:dyDescent="0.35">
      <c r="A452" t="s">
        <v>771</v>
      </c>
      <c r="B452" t="s">
        <v>772</v>
      </c>
      <c r="C452" t="s">
        <v>688</v>
      </c>
      <c r="D452" t="s">
        <v>314</v>
      </c>
      <c r="E452" t="s">
        <v>294</v>
      </c>
      <c r="F452" t="s">
        <v>783</v>
      </c>
      <c r="G452">
        <v>54</v>
      </c>
      <c r="H452">
        <v>18065.7</v>
      </c>
      <c r="I452">
        <v>334.55</v>
      </c>
      <c r="J452">
        <v>0</v>
      </c>
      <c r="K452">
        <v>0</v>
      </c>
      <c r="L452">
        <v>0</v>
      </c>
      <c r="M452">
        <v>54</v>
      </c>
      <c r="N452">
        <v>18065.7</v>
      </c>
      <c r="O452">
        <v>334.55</v>
      </c>
    </row>
    <row r="453" spans="1:15" x14ac:dyDescent="0.35">
      <c r="A453" t="s">
        <v>771</v>
      </c>
      <c r="B453" t="s">
        <v>772</v>
      </c>
      <c r="C453" t="s">
        <v>688</v>
      </c>
      <c r="D453" t="s">
        <v>314</v>
      </c>
      <c r="E453" t="s">
        <v>296</v>
      </c>
      <c r="F453" t="s">
        <v>784</v>
      </c>
      <c r="G453">
        <v>6</v>
      </c>
      <c r="H453">
        <v>2257.02</v>
      </c>
      <c r="I453">
        <v>376.17</v>
      </c>
      <c r="J453">
        <v>0</v>
      </c>
      <c r="K453">
        <v>0</v>
      </c>
      <c r="L453">
        <v>0</v>
      </c>
      <c r="M453">
        <v>6</v>
      </c>
      <c r="N453">
        <v>2257.02</v>
      </c>
      <c r="O453">
        <v>376.17</v>
      </c>
    </row>
    <row r="454" spans="1:15" x14ac:dyDescent="0.35">
      <c r="A454" t="s">
        <v>771</v>
      </c>
      <c r="B454" t="s">
        <v>772</v>
      </c>
      <c r="C454" t="s">
        <v>688</v>
      </c>
      <c r="D454" t="s">
        <v>314</v>
      </c>
      <c r="E454" t="s">
        <v>298</v>
      </c>
      <c r="F454" t="s">
        <v>785</v>
      </c>
      <c r="G454">
        <v>0</v>
      </c>
      <c r="H454">
        <v>0</v>
      </c>
      <c r="I454">
        <v>0</v>
      </c>
      <c r="J454">
        <v>0</v>
      </c>
      <c r="K454">
        <v>0</v>
      </c>
      <c r="L454">
        <v>0</v>
      </c>
      <c r="M454">
        <v>0</v>
      </c>
      <c r="N454">
        <v>0</v>
      </c>
      <c r="O454">
        <v>0</v>
      </c>
    </row>
    <row r="455" spans="1:15" x14ac:dyDescent="0.35">
      <c r="A455" t="s">
        <v>771</v>
      </c>
      <c r="B455" t="s">
        <v>772</v>
      </c>
      <c r="C455" t="s">
        <v>688</v>
      </c>
      <c r="D455" t="s">
        <v>314</v>
      </c>
      <c r="E455" t="s">
        <v>300</v>
      </c>
      <c r="F455" t="s">
        <v>786</v>
      </c>
      <c r="G455">
        <v>0</v>
      </c>
      <c r="H455">
        <v>0</v>
      </c>
      <c r="I455">
        <v>0</v>
      </c>
      <c r="J455">
        <v>0</v>
      </c>
      <c r="K455">
        <v>0</v>
      </c>
      <c r="L455">
        <v>0</v>
      </c>
      <c r="M455">
        <v>0</v>
      </c>
      <c r="N455">
        <v>0</v>
      </c>
      <c r="O455">
        <v>0</v>
      </c>
    </row>
    <row r="456" spans="1:15" x14ac:dyDescent="0.35">
      <c r="A456" t="s">
        <v>771</v>
      </c>
      <c r="B456" t="s">
        <v>772</v>
      </c>
      <c r="C456" t="s">
        <v>688</v>
      </c>
      <c r="D456" t="s">
        <v>314</v>
      </c>
      <c r="E456" t="s">
        <v>306</v>
      </c>
      <c r="F456" t="s">
        <v>787</v>
      </c>
      <c r="G456">
        <v>0</v>
      </c>
      <c r="H456">
        <v>0</v>
      </c>
      <c r="I456">
        <v>0</v>
      </c>
      <c r="J456">
        <v>0</v>
      </c>
      <c r="K456">
        <v>0</v>
      </c>
      <c r="L456">
        <v>0</v>
      </c>
      <c r="M456">
        <v>0</v>
      </c>
      <c r="N456">
        <v>0</v>
      </c>
      <c r="O456">
        <v>0</v>
      </c>
    </row>
    <row r="457" spans="1:15" x14ac:dyDescent="0.35">
      <c r="A457" t="s">
        <v>771</v>
      </c>
      <c r="B457" t="s">
        <v>772</v>
      </c>
      <c r="C457" t="s">
        <v>688</v>
      </c>
      <c r="D457" t="s">
        <v>314</v>
      </c>
      <c r="E457" t="s">
        <v>308</v>
      </c>
      <c r="F457" t="s">
        <v>788</v>
      </c>
      <c r="G457">
        <v>0</v>
      </c>
      <c r="H457">
        <v>0</v>
      </c>
      <c r="I457">
        <v>0</v>
      </c>
      <c r="J457">
        <v>0</v>
      </c>
      <c r="K457">
        <v>0</v>
      </c>
      <c r="L457">
        <v>0</v>
      </c>
      <c r="M457">
        <v>0</v>
      </c>
      <c r="N457">
        <v>0</v>
      </c>
      <c r="O457">
        <v>0</v>
      </c>
    </row>
    <row r="458" spans="1:15" x14ac:dyDescent="0.35">
      <c r="A458" t="s">
        <v>771</v>
      </c>
      <c r="B458" t="s">
        <v>772</v>
      </c>
      <c r="C458" t="s">
        <v>688</v>
      </c>
      <c r="D458" t="s">
        <v>314</v>
      </c>
      <c r="E458" t="s">
        <v>312</v>
      </c>
      <c r="F458" t="s">
        <v>789</v>
      </c>
      <c r="G458">
        <v>60</v>
      </c>
      <c r="H458">
        <v>20322.72</v>
      </c>
      <c r="I458">
        <v>338.71</v>
      </c>
      <c r="J458">
        <v>0</v>
      </c>
      <c r="K458">
        <v>0</v>
      </c>
      <c r="L458">
        <v>0</v>
      </c>
      <c r="M458">
        <v>60</v>
      </c>
      <c r="N458">
        <v>20322.72</v>
      </c>
      <c r="O458">
        <v>338.71</v>
      </c>
    </row>
    <row r="459" spans="1:15" x14ac:dyDescent="0.35">
      <c r="A459" t="s">
        <v>771</v>
      </c>
      <c r="B459" t="s">
        <v>772</v>
      </c>
      <c r="C459" t="s">
        <v>688</v>
      </c>
      <c r="D459" t="s">
        <v>314</v>
      </c>
      <c r="E459" t="s">
        <v>310</v>
      </c>
      <c r="F459" t="s">
        <v>790</v>
      </c>
      <c r="G459">
        <v>60</v>
      </c>
      <c r="H459">
        <v>20322.72</v>
      </c>
      <c r="I459">
        <v>338.71</v>
      </c>
      <c r="J459">
        <v>0</v>
      </c>
      <c r="K459">
        <v>0</v>
      </c>
      <c r="L459">
        <v>0</v>
      </c>
      <c r="M459">
        <v>60</v>
      </c>
      <c r="N459">
        <v>20322.72</v>
      </c>
      <c r="O459">
        <v>338.71</v>
      </c>
    </row>
    <row r="460" spans="1:15" x14ac:dyDescent="0.35">
      <c r="A460" t="s">
        <v>771</v>
      </c>
      <c r="B460" t="s">
        <v>772</v>
      </c>
      <c r="C460" t="s">
        <v>688</v>
      </c>
      <c r="D460" t="s">
        <v>323</v>
      </c>
      <c r="E460" t="s">
        <v>294</v>
      </c>
      <c r="F460" t="s">
        <v>791</v>
      </c>
      <c r="G460">
        <v>2270</v>
      </c>
      <c r="H460">
        <v>195845.71999999997</v>
      </c>
      <c r="I460">
        <v>86.28</v>
      </c>
      <c r="J460">
        <v>0</v>
      </c>
      <c r="K460">
        <v>0</v>
      </c>
      <c r="L460">
        <v>0</v>
      </c>
      <c r="M460">
        <v>2270</v>
      </c>
      <c r="N460">
        <v>195845.71999999997</v>
      </c>
      <c r="O460">
        <v>86.28</v>
      </c>
    </row>
    <row r="461" spans="1:15" x14ac:dyDescent="0.35">
      <c r="A461" t="s">
        <v>771</v>
      </c>
      <c r="B461" t="s">
        <v>772</v>
      </c>
      <c r="C461" t="s">
        <v>688</v>
      </c>
      <c r="D461" t="s">
        <v>323</v>
      </c>
      <c r="E461" t="s">
        <v>296</v>
      </c>
      <c r="F461" t="s">
        <v>792</v>
      </c>
      <c r="G461">
        <v>2241</v>
      </c>
      <c r="H461">
        <v>220090.4</v>
      </c>
      <c r="I461">
        <v>98.21</v>
      </c>
      <c r="J461">
        <v>0</v>
      </c>
      <c r="K461">
        <v>0</v>
      </c>
      <c r="L461">
        <v>0</v>
      </c>
      <c r="M461">
        <v>2241</v>
      </c>
      <c r="N461">
        <v>220090.4</v>
      </c>
      <c r="O461">
        <v>98.21</v>
      </c>
    </row>
    <row r="462" spans="1:15" x14ac:dyDescent="0.35">
      <c r="A462" t="s">
        <v>771</v>
      </c>
      <c r="B462" t="s">
        <v>772</v>
      </c>
      <c r="C462" t="s">
        <v>688</v>
      </c>
      <c r="D462" t="s">
        <v>323</v>
      </c>
      <c r="E462" t="s">
        <v>298</v>
      </c>
      <c r="F462" t="s">
        <v>793</v>
      </c>
      <c r="G462">
        <v>3134</v>
      </c>
      <c r="H462">
        <v>328799.38999999996</v>
      </c>
      <c r="I462">
        <v>104.91</v>
      </c>
      <c r="J462">
        <v>0</v>
      </c>
      <c r="K462">
        <v>0</v>
      </c>
      <c r="L462">
        <v>0</v>
      </c>
      <c r="M462">
        <v>3134</v>
      </c>
      <c r="N462">
        <v>328799.38999999996</v>
      </c>
      <c r="O462">
        <v>104.91</v>
      </c>
    </row>
    <row r="463" spans="1:15" x14ac:dyDescent="0.35">
      <c r="A463" t="s">
        <v>771</v>
      </c>
      <c r="B463" t="s">
        <v>772</v>
      </c>
      <c r="C463" t="s">
        <v>688</v>
      </c>
      <c r="D463" t="s">
        <v>323</v>
      </c>
      <c r="E463" t="s">
        <v>300</v>
      </c>
      <c r="F463" t="s">
        <v>794</v>
      </c>
      <c r="G463">
        <v>169</v>
      </c>
      <c r="H463">
        <v>19577.43</v>
      </c>
      <c r="I463">
        <v>115.84</v>
      </c>
      <c r="J463">
        <v>0</v>
      </c>
      <c r="K463">
        <v>0</v>
      </c>
      <c r="L463">
        <v>0</v>
      </c>
      <c r="M463">
        <v>169</v>
      </c>
      <c r="N463">
        <v>19577.43</v>
      </c>
      <c r="O463">
        <v>115.84</v>
      </c>
    </row>
    <row r="464" spans="1:15" x14ac:dyDescent="0.35">
      <c r="A464" t="s">
        <v>771</v>
      </c>
      <c r="B464" t="s">
        <v>772</v>
      </c>
      <c r="C464" t="s">
        <v>688</v>
      </c>
      <c r="D464" t="s">
        <v>323</v>
      </c>
      <c r="E464" t="s">
        <v>302</v>
      </c>
      <c r="F464" t="s">
        <v>795</v>
      </c>
      <c r="G464">
        <v>8</v>
      </c>
      <c r="H464">
        <v>1057.92</v>
      </c>
      <c r="I464">
        <v>132.24</v>
      </c>
      <c r="J464">
        <v>0</v>
      </c>
      <c r="K464">
        <v>0</v>
      </c>
      <c r="L464">
        <v>0</v>
      </c>
      <c r="M464">
        <v>8</v>
      </c>
      <c r="N464">
        <v>1057.92</v>
      </c>
      <c r="O464">
        <v>132.24</v>
      </c>
    </row>
    <row r="465" spans="1:15" x14ac:dyDescent="0.35">
      <c r="A465" t="s">
        <v>771</v>
      </c>
      <c r="B465" t="s">
        <v>772</v>
      </c>
      <c r="C465" t="s">
        <v>688</v>
      </c>
      <c r="D465" t="s">
        <v>323</v>
      </c>
      <c r="E465" t="s">
        <v>304</v>
      </c>
      <c r="F465" t="s">
        <v>796</v>
      </c>
      <c r="G465">
        <v>5</v>
      </c>
      <c r="H465">
        <v>638.04999999999995</v>
      </c>
      <c r="I465">
        <v>127.61</v>
      </c>
      <c r="J465">
        <v>0</v>
      </c>
      <c r="K465">
        <v>0</v>
      </c>
      <c r="L465">
        <v>0</v>
      </c>
      <c r="M465">
        <v>5</v>
      </c>
      <c r="N465">
        <v>638.04999999999995</v>
      </c>
      <c r="O465">
        <v>127.61</v>
      </c>
    </row>
    <row r="466" spans="1:15" x14ac:dyDescent="0.35">
      <c r="A466" t="s">
        <v>771</v>
      </c>
      <c r="B466" t="s">
        <v>772</v>
      </c>
      <c r="C466" t="s">
        <v>688</v>
      </c>
      <c r="D466" t="s">
        <v>323</v>
      </c>
      <c r="E466" t="s">
        <v>306</v>
      </c>
      <c r="F466" t="s">
        <v>797</v>
      </c>
      <c r="G466">
        <v>6</v>
      </c>
      <c r="H466">
        <v>435.84000000000003</v>
      </c>
      <c r="I466">
        <v>72.64</v>
      </c>
      <c r="J466">
        <v>0</v>
      </c>
      <c r="K466">
        <v>0</v>
      </c>
      <c r="L466">
        <v>0</v>
      </c>
      <c r="M466">
        <v>6</v>
      </c>
      <c r="N466">
        <v>435.84000000000003</v>
      </c>
      <c r="O466">
        <v>72.64</v>
      </c>
    </row>
    <row r="467" spans="1:15" x14ac:dyDescent="0.35">
      <c r="A467" t="s">
        <v>771</v>
      </c>
      <c r="B467" t="s">
        <v>772</v>
      </c>
      <c r="C467" t="s">
        <v>688</v>
      </c>
      <c r="D467" t="s">
        <v>323</v>
      </c>
      <c r="E467" t="s">
        <v>308</v>
      </c>
      <c r="F467" t="s">
        <v>798</v>
      </c>
      <c r="G467">
        <v>0</v>
      </c>
      <c r="H467">
        <v>0</v>
      </c>
      <c r="I467">
        <v>0</v>
      </c>
      <c r="J467">
        <v>0</v>
      </c>
      <c r="K467">
        <v>0</v>
      </c>
      <c r="L467">
        <v>0</v>
      </c>
      <c r="M467">
        <v>0</v>
      </c>
      <c r="N467">
        <v>0</v>
      </c>
      <c r="O467">
        <v>0</v>
      </c>
    </row>
    <row r="468" spans="1:15" x14ac:dyDescent="0.35">
      <c r="A468" t="s">
        <v>771</v>
      </c>
      <c r="B468" t="s">
        <v>772</v>
      </c>
      <c r="C468" t="s">
        <v>688</v>
      </c>
      <c r="D468" t="s">
        <v>323</v>
      </c>
      <c r="E468" t="s">
        <v>310</v>
      </c>
      <c r="F468" t="s">
        <v>799</v>
      </c>
      <c r="G468">
        <v>7833</v>
      </c>
      <c r="H468">
        <v>766444.75000000012</v>
      </c>
      <c r="I468">
        <v>97.85</v>
      </c>
      <c r="J468">
        <v>0</v>
      </c>
      <c r="K468">
        <v>0</v>
      </c>
      <c r="L468">
        <v>0</v>
      </c>
      <c r="M468">
        <v>7833</v>
      </c>
      <c r="N468">
        <v>766444.75000000012</v>
      </c>
      <c r="O468">
        <v>97.85</v>
      </c>
    </row>
    <row r="469" spans="1:15" x14ac:dyDescent="0.35">
      <c r="A469" t="s">
        <v>771</v>
      </c>
      <c r="B469" t="s">
        <v>772</v>
      </c>
      <c r="C469" t="s">
        <v>688</v>
      </c>
      <c r="D469" t="s">
        <v>323</v>
      </c>
      <c r="E469" t="s">
        <v>312</v>
      </c>
      <c r="F469" t="s">
        <v>800</v>
      </c>
      <c r="G469">
        <v>7833</v>
      </c>
      <c r="H469">
        <v>766444.75000000012</v>
      </c>
      <c r="I469">
        <v>97.85</v>
      </c>
      <c r="J469">
        <v>0</v>
      </c>
      <c r="K469">
        <v>0</v>
      </c>
      <c r="L469">
        <v>0</v>
      </c>
      <c r="M469">
        <v>7833</v>
      </c>
      <c r="N469">
        <v>766444.75000000012</v>
      </c>
      <c r="O469">
        <v>97.85</v>
      </c>
    </row>
    <row r="470" spans="1:15" x14ac:dyDescent="0.35">
      <c r="A470" t="s">
        <v>771</v>
      </c>
      <c r="B470" t="s">
        <v>772</v>
      </c>
      <c r="C470" t="s">
        <v>688</v>
      </c>
      <c r="D470" t="s">
        <v>334</v>
      </c>
      <c r="E470" t="s">
        <v>312</v>
      </c>
      <c r="F470" t="s">
        <v>801</v>
      </c>
      <c r="G470">
        <v>8047</v>
      </c>
      <c r="H470">
        <v>785588.80999999994</v>
      </c>
      <c r="I470">
        <v>98.26</v>
      </c>
      <c r="J470">
        <v>0</v>
      </c>
      <c r="K470">
        <v>0</v>
      </c>
      <c r="L470">
        <v>0</v>
      </c>
      <c r="M470">
        <v>8047</v>
      </c>
      <c r="N470">
        <v>785588.80999999994</v>
      </c>
      <c r="O470">
        <v>98.26</v>
      </c>
    </row>
    <row r="471" spans="1:15" x14ac:dyDescent="0.35">
      <c r="A471" t="s">
        <v>771</v>
      </c>
      <c r="B471" t="s">
        <v>772</v>
      </c>
      <c r="C471" t="s">
        <v>688</v>
      </c>
      <c r="D471" t="s">
        <v>334</v>
      </c>
      <c r="E471" t="s">
        <v>308</v>
      </c>
      <c r="F471" t="s">
        <v>802</v>
      </c>
      <c r="G471">
        <v>0</v>
      </c>
      <c r="H471">
        <v>0</v>
      </c>
      <c r="I471">
        <v>0</v>
      </c>
      <c r="J471">
        <v>0</v>
      </c>
      <c r="K471">
        <v>0</v>
      </c>
      <c r="L471">
        <v>0</v>
      </c>
      <c r="M471">
        <v>0</v>
      </c>
      <c r="N471">
        <v>0</v>
      </c>
      <c r="O471">
        <v>0</v>
      </c>
    </row>
    <row r="472" spans="1:15" x14ac:dyDescent="0.35">
      <c r="A472" t="s">
        <v>771</v>
      </c>
      <c r="B472" t="s">
        <v>772</v>
      </c>
      <c r="C472" t="s">
        <v>688</v>
      </c>
      <c r="D472" t="s">
        <v>337</v>
      </c>
      <c r="E472" t="s">
        <v>337</v>
      </c>
      <c r="F472" t="s">
        <v>803</v>
      </c>
      <c r="G472">
        <v>333</v>
      </c>
      <c r="J472">
        <v>0</v>
      </c>
      <c r="M472">
        <v>333</v>
      </c>
    </row>
    <row r="473" spans="1:15" x14ac:dyDescent="0.35">
      <c r="A473" t="s">
        <v>771</v>
      </c>
      <c r="B473" t="s">
        <v>772</v>
      </c>
      <c r="C473" t="s">
        <v>688</v>
      </c>
      <c r="D473" t="s">
        <v>339</v>
      </c>
      <c r="E473" t="s">
        <v>294</v>
      </c>
      <c r="F473" t="s">
        <v>804</v>
      </c>
      <c r="G473">
        <v>970</v>
      </c>
      <c r="H473">
        <v>111914.06999999999</v>
      </c>
      <c r="I473">
        <v>115.38</v>
      </c>
      <c r="J473">
        <v>0</v>
      </c>
      <c r="K473">
        <v>0</v>
      </c>
      <c r="L473">
        <v>0</v>
      </c>
      <c r="M473">
        <v>970</v>
      </c>
      <c r="N473">
        <v>111914.06999999999</v>
      </c>
      <c r="O473">
        <v>115.38</v>
      </c>
    </row>
    <row r="474" spans="1:15" x14ac:dyDescent="0.35">
      <c r="A474" t="s">
        <v>771</v>
      </c>
      <c r="B474" t="s">
        <v>772</v>
      </c>
      <c r="C474" t="s">
        <v>688</v>
      </c>
      <c r="D474" t="s">
        <v>339</v>
      </c>
      <c r="E474" t="s">
        <v>296</v>
      </c>
      <c r="F474" t="s">
        <v>805</v>
      </c>
      <c r="G474">
        <v>92</v>
      </c>
      <c r="H474">
        <v>11371.569999999998</v>
      </c>
      <c r="I474">
        <v>123.6</v>
      </c>
      <c r="J474">
        <v>0</v>
      </c>
      <c r="K474">
        <v>0</v>
      </c>
      <c r="L474">
        <v>0</v>
      </c>
      <c r="M474">
        <v>92</v>
      </c>
      <c r="N474">
        <v>11371.569999999998</v>
      </c>
      <c r="O474">
        <v>123.6</v>
      </c>
    </row>
    <row r="475" spans="1:15" x14ac:dyDescent="0.35">
      <c r="A475" t="s">
        <v>771</v>
      </c>
      <c r="B475" t="s">
        <v>772</v>
      </c>
      <c r="C475" t="s">
        <v>688</v>
      </c>
      <c r="D475" t="s">
        <v>339</v>
      </c>
      <c r="E475" t="s">
        <v>298</v>
      </c>
      <c r="F475" t="s">
        <v>806</v>
      </c>
      <c r="G475">
        <v>9</v>
      </c>
      <c r="H475">
        <v>1052.21</v>
      </c>
      <c r="I475">
        <v>116.91</v>
      </c>
      <c r="J475">
        <v>0</v>
      </c>
      <c r="K475">
        <v>0</v>
      </c>
      <c r="L475">
        <v>0</v>
      </c>
      <c r="M475">
        <v>9</v>
      </c>
      <c r="N475">
        <v>1052.21</v>
      </c>
      <c r="O475">
        <v>116.91</v>
      </c>
    </row>
    <row r="476" spans="1:15" x14ac:dyDescent="0.35">
      <c r="A476" t="s">
        <v>771</v>
      </c>
      <c r="B476" t="s">
        <v>772</v>
      </c>
      <c r="C476" t="s">
        <v>688</v>
      </c>
      <c r="D476" t="s">
        <v>339</v>
      </c>
      <c r="E476" t="s">
        <v>300</v>
      </c>
      <c r="F476" t="s">
        <v>807</v>
      </c>
      <c r="G476">
        <v>0</v>
      </c>
      <c r="H476">
        <v>0</v>
      </c>
      <c r="I476">
        <v>0</v>
      </c>
      <c r="J476">
        <v>0</v>
      </c>
      <c r="K476">
        <v>0</v>
      </c>
      <c r="L476">
        <v>0</v>
      </c>
      <c r="M476">
        <v>0</v>
      </c>
      <c r="N476">
        <v>0</v>
      </c>
      <c r="O476">
        <v>0</v>
      </c>
    </row>
    <row r="477" spans="1:15" x14ac:dyDescent="0.35">
      <c r="A477" t="s">
        <v>771</v>
      </c>
      <c r="B477" t="s">
        <v>772</v>
      </c>
      <c r="C477" t="s">
        <v>688</v>
      </c>
      <c r="D477" t="s">
        <v>339</v>
      </c>
      <c r="E477" t="s">
        <v>306</v>
      </c>
      <c r="F477" t="s">
        <v>808</v>
      </c>
      <c r="G477">
        <v>116</v>
      </c>
      <c r="H477">
        <v>9043.9</v>
      </c>
      <c r="I477">
        <v>77.959999999999994</v>
      </c>
      <c r="J477">
        <v>0</v>
      </c>
      <c r="K477">
        <v>0</v>
      </c>
      <c r="L477">
        <v>0</v>
      </c>
      <c r="M477">
        <v>116</v>
      </c>
      <c r="N477">
        <v>9043.9</v>
      </c>
      <c r="O477">
        <v>77.959999999999994</v>
      </c>
    </row>
    <row r="478" spans="1:15" x14ac:dyDescent="0.35">
      <c r="A478" t="s">
        <v>771</v>
      </c>
      <c r="B478" t="s">
        <v>772</v>
      </c>
      <c r="C478" t="s">
        <v>688</v>
      </c>
      <c r="D478" t="s">
        <v>339</v>
      </c>
      <c r="E478" t="s">
        <v>308</v>
      </c>
      <c r="F478" t="s">
        <v>809</v>
      </c>
      <c r="G478">
        <v>215</v>
      </c>
      <c r="H478">
        <v>44187.25</v>
      </c>
      <c r="I478">
        <v>205.52</v>
      </c>
      <c r="J478">
        <v>0</v>
      </c>
      <c r="K478">
        <v>0</v>
      </c>
      <c r="L478">
        <v>0</v>
      </c>
      <c r="M478">
        <v>215</v>
      </c>
      <c r="N478">
        <v>44187.25</v>
      </c>
      <c r="O478">
        <v>205.52</v>
      </c>
    </row>
    <row r="479" spans="1:15" x14ac:dyDescent="0.35">
      <c r="A479" t="s">
        <v>771</v>
      </c>
      <c r="B479" t="s">
        <v>772</v>
      </c>
      <c r="C479" t="s">
        <v>688</v>
      </c>
      <c r="D479" t="s">
        <v>339</v>
      </c>
      <c r="E479" t="s">
        <v>310</v>
      </c>
      <c r="F479" t="s">
        <v>810</v>
      </c>
      <c r="G479">
        <v>1402</v>
      </c>
      <c r="H479">
        <v>177569</v>
      </c>
      <c r="I479">
        <v>126.65</v>
      </c>
      <c r="J479">
        <v>0</v>
      </c>
      <c r="K479">
        <v>0</v>
      </c>
      <c r="L479">
        <v>0</v>
      </c>
      <c r="M479">
        <v>1402</v>
      </c>
      <c r="N479">
        <v>177569</v>
      </c>
      <c r="O479">
        <v>126.65</v>
      </c>
    </row>
    <row r="480" spans="1:15" x14ac:dyDescent="0.35">
      <c r="A480" t="s">
        <v>771</v>
      </c>
      <c r="B480" t="s">
        <v>772</v>
      </c>
      <c r="C480" t="s">
        <v>688</v>
      </c>
      <c r="D480" t="s">
        <v>339</v>
      </c>
      <c r="E480" t="s">
        <v>312</v>
      </c>
      <c r="F480" t="s">
        <v>811</v>
      </c>
      <c r="G480">
        <v>1187</v>
      </c>
      <c r="H480">
        <v>133381.75</v>
      </c>
      <c r="I480">
        <v>112.37</v>
      </c>
      <c r="J480">
        <v>0</v>
      </c>
      <c r="K480">
        <v>0</v>
      </c>
      <c r="L480">
        <v>0</v>
      </c>
      <c r="M480">
        <v>1187</v>
      </c>
      <c r="N480">
        <v>133381.75</v>
      </c>
      <c r="O480">
        <v>112.37</v>
      </c>
    </row>
    <row r="481" spans="1:15" x14ac:dyDescent="0.35">
      <c r="A481" t="s">
        <v>771</v>
      </c>
      <c r="B481" t="s">
        <v>772</v>
      </c>
      <c r="C481" t="s">
        <v>688</v>
      </c>
      <c r="D481" t="s">
        <v>348</v>
      </c>
      <c r="E481" t="s">
        <v>349</v>
      </c>
      <c r="F481" t="s">
        <v>812</v>
      </c>
      <c r="G481">
        <v>1583</v>
      </c>
      <c r="H481">
        <v>197891.71999999997</v>
      </c>
      <c r="I481">
        <v>135.36000000000001</v>
      </c>
      <c r="J481">
        <v>0</v>
      </c>
      <c r="K481">
        <v>0</v>
      </c>
      <c r="L481">
        <v>0</v>
      </c>
      <c r="M481">
        <v>1583</v>
      </c>
      <c r="N481">
        <v>197891.71999999997</v>
      </c>
      <c r="O481">
        <v>135.36000000000001</v>
      </c>
    </row>
    <row r="482" spans="1:15" x14ac:dyDescent="0.35">
      <c r="A482" t="s">
        <v>813</v>
      </c>
      <c r="B482" t="s">
        <v>814</v>
      </c>
      <c r="C482" t="s">
        <v>688</v>
      </c>
      <c r="D482" t="s">
        <v>293</v>
      </c>
      <c r="E482" t="s">
        <v>294</v>
      </c>
      <c r="F482" t="s">
        <v>815</v>
      </c>
      <c r="G482">
        <v>117</v>
      </c>
      <c r="H482">
        <v>12288.37</v>
      </c>
      <c r="I482">
        <v>105.03</v>
      </c>
      <c r="J482">
        <v>0</v>
      </c>
      <c r="K482">
        <v>0</v>
      </c>
      <c r="L482">
        <v>0</v>
      </c>
      <c r="M482">
        <v>117</v>
      </c>
      <c r="N482">
        <v>12288.37</v>
      </c>
      <c r="O482">
        <v>105.03</v>
      </c>
    </row>
    <row r="483" spans="1:15" x14ac:dyDescent="0.35">
      <c r="A483" t="s">
        <v>813</v>
      </c>
      <c r="B483" t="s">
        <v>814</v>
      </c>
      <c r="C483" t="s">
        <v>688</v>
      </c>
      <c r="D483" t="s">
        <v>293</v>
      </c>
      <c r="E483" t="s">
        <v>296</v>
      </c>
      <c r="F483" t="s">
        <v>816</v>
      </c>
      <c r="G483">
        <v>499</v>
      </c>
      <c r="H483">
        <v>60122.229999999996</v>
      </c>
      <c r="I483">
        <v>120.49</v>
      </c>
      <c r="J483">
        <v>0</v>
      </c>
      <c r="K483">
        <v>0</v>
      </c>
      <c r="L483">
        <v>0</v>
      </c>
      <c r="M483">
        <v>499</v>
      </c>
      <c r="N483">
        <v>60122.229999999996</v>
      </c>
      <c r="O483">
        <v>120.49</v>
      </c>
    </row>
    <row r="484" spans="1:15" x14ac:dyDescent="0.35">
      <c r="A484" t="s">
        <v>813</v>
      </c>
      <c r="B484" t="s">
        <v>814</v>
      </c>
      <c r="C484" t="s">
        <v>688</v>
      </c>
      <c r="D484" t="s">
        <v>293</v>
      </c>
      <c r="E484" t="s">
        <v>298</v>
      </c>
      <c r="F484" t="s">
        <v>817</v>
      </c>
      <c r="G484">
        <v>237</v>
      </c>
      <c r="H484">
        <v>32134.829999999998</v>
      </c>
      <c r="I484">
        <v>135.59</v>
      </c>
      <c r="J484">
        <v>0</v>
      </c>
      <c r="K484">
        <v>0</v>
      </c>
      <c r="L484">
        <v>0</v>
      </c>
      <c r="M484">
        <v>237</v>
      </c>
      <c r="N484">
        <v>32134.829999999998</v>
      </c>
      <c r="O484">
        <v>135.59</v>
      </c>
    </row>
    <row r="485" spans="1:15" x14ac:dyDescent="0.35">
      <c r="A485" t="s">
        <v>813</v>
      </c>
      <c r="B485" t="s">
        <v>814</v>
      </c>
      <c r="C485" t="s">
        <v>688</v>
      </c>
      <c r="D485" t="s">
        <v>293</v>
      </c>
      <c r="E485" t="s">
        <v>300</v>
      </c>
      <c r="F485" t="s">
        <v>818</v>
      </c>
      <c r="G485">
        <v>39</v>
      </c>
      <c r="H485">
        <v>5791.5</v>
      </c>
      <c r="I485">
        <v>148.5</v>
      </c>
      <c r="J485">
        <v>0</v>
      </c>
      <c r="K485">
        <v>0</v>
      </c>
      <c r="L485">
        <v>0</v>
      </c>
      <c r="M485">
        <v>39</v>
      </c>
      <c r="N485">
        <v>5791.5</v>
      </c>
      <c r="O485">
        <v>148.5</v>
      </c>
    </row>
    <row r="486" spans="1:15" x14ac:dyDescent="0.35">
      <c r="A486" t="s">
        <v>813</v>
      </c>
      <c r="B486" t="s">
        <v>814</v>
      </c>
      <c r="C486" t="s">
        <v>688</v>
      </c>
      <c r="D486" t="s">
        <v>293</v>
      </c>
      <c r="E486" t="s">
        <v>302</v>
      </c>
      <c r="F486" t="s">
        <v>819</v>
      </c>
      <c r="G486">
        <v>0</v>
      </c>
      <c r="H486">
        <v>0</v>
      </c>
      <c r="I486">
        <v>0</v>
      </c>
      <c r="J486">
        <v>0</v>
      </c>
      <c r="K486">
        <v>0</v>
      </c>
      <c r="L486">
        <v>0</v>
      </c>
      <c r="M486">
        <v>0</v>
      </c>
      <c r="N486">
        <v>0</v>
      </c>
      <c r="O486">
        <v>0</v>
      </c>
    </row>
    <row r="487" spans="1:15" x14ac:dyDescent="0.35">
      <c r="A487" t="s">
        <v>813</v>
      </c>
      <c r="B487" t="s">
        <v>814</v>
      </c>
      <c r="C487" t="s">
        <v>688</v>
      </c>
      <c r="D487" t="s">
        <v>293</v>
      </c>
      <c r="E487" t="s">
        <v>304</v>
      </c>
      <c r="F487" t="s">
        <v>820</v>
      </c>
      <c r="G487">
        <v>0</v>
      </c>
      <c r="H487">
        <v>0</v>
      </c>
      <c r="I487">
        <v>0</v>
      </c>
      <c r="J487">
        <v>0</v>
      </c>
      <c r="K487">
        <v>0</v>
      </c>
      <c r="L487">
        <v>0</v>
      </c>
      <c r="M487">
        <v>0</v>
      </c>
      <c r="N487">
        <v>0</v>
      </c>
      <c r="O487">
        <v>0</v>
      </c>
    </row>
    <row r="488" spans="1:15" x14ac:dyDescent="0.35">
      <c r="A488" t="s">
        <v>813</v>
      </c>
      <c r="B488" t="s">
        <v>814</v>
      </c>
      <c r="C488" t="s">
        <v>688</v>
      </c>
      <c r="D488" t="s">
        <v>293</v>
      </c>
      <c r="E488" t="s">
        <v>306</v>
      </c>
      <c r="F488" t="s">
        <v>821</v>
      </c>
      <c r="G488">
        <v>0</v>
      </c>
      <c r="H488">
        <v>0</v>
      </c>
      <c r="I488">
        <v>0</v>
      </c>
      <c r="J488">
        <v>0</v>
      </c>
      <c r="K488">
        <v>0</v>
      </c>
      <c r="L488">
        <v>0</v>
      </c>
      <c r="M488">
        <v>0</v>
      </c>
      <c r="N488">
        <v>0</v>
      </c>
      <c r="O488">
        <v>0</v>
      </c>
    </row>
    <row r="489" spans="1:15" x14ac:dyDescent="0.35">
      <c r="A489" t="s">
        <v>813</v>
      </c>
      <c r="B489" t="s">
        <v>814</v>
      </c>
      <c r="C489" t="s">
        <v>688</v>
      </c>
      <c r="D489" t="s">
        <v>293</v>
      </c>
      <c r="E489" t="s">
        <v>308</v>
      </c>
      <c r="F489" t="s">
        <v>822</v>
      </c>
      <c r="G489">
        <v>0</v>
      </c>
      <c r="H489">
        <v>0</v>
      </c>
      <c r="I489">
        <v>0</v>
      </c>
      <c r="J489">
        <v>0</v>
      </c>
      <c r="K489">
        <v>0</v>
      </c>
      <c r="L489">
        <v>0</v>
      </c>
      <c r="M489">
        <v>0</v>
      </c>
      <c r="N489">
        <v>0</v>
      </c>
      <c r="O489">
        <v>0</v>
      </c>
    </row>
    <row r="490" spans="1:15" x14ac:dyDescent="0.35">
      <c r="A490" t="s">
        <v>813</v>
      </c>
      <c r="B490" t="s">
        <v>814</v>
      </c>
      <c r="C490" t="s">
        <v>688</v>
      </c>
      <c r="D490" t="s">
        <v>293</v>
      </c>
      <c r="E490" t="s">
        <v>310</v>
      </c>
      <c r="F490" t="s">
        <v>823</v>
      </c>
      <c r="G490">
        <v>892</v>
      </c>
      <c r="H490">
        <v>110336.93</v>
      </c>
      <c r="I490">
        <v>123.7</v>
      </c>
      <c r="J490">
        <v>0</v>
      </c>
      <c r="K490">
        <v>0</v>
      </c>
      <c r="L490">
        <v>0</v>
      </c>
      <c r="M490">
        <v>892</v>
      </c>
      <c r="N490">
        <v>110336.93</v>
      </c>
      <c r="O490">
        <v>123.7</v>
      </c>
    </row>
    <row r="491" spans="1:15" x14ac:dyDescent="0.35">
      <c r="A491" t="s">
        <v>813</v>
      </c>
      <c r="B491" t="s">
        <v>814</v>
      </c>
      <c r="C491" t="s">
        <v>688</v>
      </c>
      <c r="D491" t="s">
        <v>293</v>
      </c>
      <c r="E491" t="s">
        <v>312</v>
      </c>
      <c r="F491" t="s">
        <v>824</v>
      </c>
      <c r="G491">
        <v>892</v>
      </c>
      <c r="H491">
        <v>110336.93</v>
      </c>
      <c r="I491">
        <v>123.7</v>
      </c>
      <c r="J491">
        <v>0</v>
      </c>
      <c r="K491">
        <v>0</v>
      </c>
      <c r="L491">
        <v>0</v>
      </c>
      <c r="M491">
        <v>892</v>
      </c>
      <c r="N491">
        <v>110336.93</v>
      </c>
      <c r="O491">
        <v>123.7</v>
      </c>
    </row>
    <row r="492" spans="1:15" x14ac:dyDescent="0.35">
      <c r="A492" t="s">
        <v>813</v>
      </c>
      <c r="B492" t="s">
        <v>814</v>
      </c>
      <c r="C492" t="s">
        <v>688</v>
      </c>
      <c r="D492" t="s">
        <v>314</v>
      </c>
      <c r="E492" t="s">
        <v>294</v>
      </c>
      <c r="F492" t="s">
        <v>825</v>
      </c>
      <c r="G492">
        <v>21</v>
      </c>
      <c r="H492">
        <v>2548.98</v>
      </c>
      <c r="I492">
        <v>121.38</v>
      </c>
      <c r="J492">
        <v>0</v>
      </c>
      <c r="K492">
        <v>0</v>
      </c>
      <c r="L492">
        <v>0</v>
      </c>
      <c r="M492">
        <v>21</v>
      </c>
      <c r="N492">
        <v>2548.98</v>
      </c>
      <c r="O492">
        <v>121.38</v>
      </c>
    </row>
    <row r="493" spans="1:15" x14ac:dyDescent="0.35">
      <c r="A493" t="s">
        <v>813</v>
      </c>
      <c r="B493" t="s">
        <v>814</v>
      </c>
      <c r="C493" t="s">
        <v>688</v>
      </c>
      <c r="D493" t="s">
        <v>314</v>
      </c>
      <c r="E493" t="s">
        <v>296</v>
      </c>
      <c r="F493" t="s">
        <v>826</v>
      </c>
      <c r="G493">
        <v>29</v>
      </c>
      <c r="H493">
        <v>5391.39</v>
      </c>
      <c r="I493">
        <v>185.91</v>
      </c>
      <c r="J493">
        <v>0</v>
      </c>
      <c r="K493">
        <v>0</v>
      </c>
      <c r="L493">
        <v>0</v>
      </c>
      <c r="M493">
        <v>29</v>
      </c>
      <c r="N493">
        <v>5391.39</v>
      </c>
      <c r="O493">
        <v>185.91</v>
      </c>
    </row>
    <row r="494" spans="1:15" x14ac:dyDescent="0.35">
      <c r="A494" t="s">
        <v>813</v>
      </c>
      <c r="B494" t="s">
        <v>814</v>
      </c>
      <c r="C494" t="s">
        <v>688</v>
      </c>
      <c r="D494" t="s">
        <v>314</v>
      </c>
      <c r="E494" t="s">
        <v>298</v>
      </c>
      <c r="F494" t="s">
        <v>827</v>
      </c>
      <c r="G494">
        <v>3</v>
      </c>
      <c r="H494">
        <v>454.08000000000004</v>
      </c>
      <c r="I494">
        <v>151.36000000000001</v>
      </c>
      <c r="J494">
        <v>0</v>
      </c>
      <c r="K494">
        <v>0</v>
      </c>
      <c r="L494">
        <v>0</v>
      </c>
      <c r="M494">
        <v>3</v>
      </c>
      <c r="N494">
        <v>454.08000000000004</v>
      </c>
      <c r="O494">
        <v>151.36000000000001</v>
      </c>
    </row>
    <row r="495" spans="1:15" x14ac:dyDescent="0.35">
      <c r="A495" t="s">
        <v>813</v>
      </c>
      <c r="B495" t="s">
        <v>814</v>
      </c>
      <c r="C495" t="s">
        <v>688</v>
      </c>
      <c r="D495" t="s">
        <v>314</v>
      </c>
      <c r="E495" t="s">
        <v>300</v>
      </c>
      <c r="F495" t="s">
        <v>828</v>
      </c>
      <c r="G495">
        <v>1</v>
      </c>
      <c r="H495">
        <v>172.11</v>
      </c>
      <c r="I495">
        <v>172.11</v>
      </c>
      <c r="J495">
        <v>0</v>
      </c>
      <c r="K495">
        <v>0</v>
      </c>
      <c r="L495">
        <v>0</v>
      </c>
      <c r="M495">
        <v>1</v>
      </c>
      <c r="N495">
        <v>172.11</v>
      </c>
      <c r="O495">
        <v>172.11</v>
      </c>
    </row>
    <row r="496" spans="1:15" x14ac:dyDescent="0.35">
      <c r="A496" t="s">
        <v>813</v>
      </c>
      <c r="B496" t="s">
        <v>814</v>
      </c>
      <c r="C496" t="s">
        <v>688</v>
      </c>
      <c r="D496" t="s">
        <v>314</v>
      </c>
      <c r="E496" t="s">
        <v>306</v>
      </c>
      <c r="F496" t="s">
        <v>829</v>
      </c>
      <c r="G496">
        <v>0</v>
      </c>
      <c r="H496">
        <v>0</v>
      </c>
      <c r="I496">
        <v>0</v>
      </c>
      <c r="J496">
        <v>0</v>
      </c>
      <c r="K496">
        <v>0</v>
      </c>
      <c r="L496">
        <v>0</v>
      </c>
      <c r="M496">
        <v>0</v>
      </c>
      <c r="N496">
        <v>0</v>
      </c>
      <c r="O496">
        <v>0</v>
      </c>
    </row>
    <row r="497" spans="1:15" x14ac:dyDescent="0.35">
      <c r="A497" t="s">
        <v>813</v>
      </c>
      <c r="B497" t="s">
        <v>814</v>
      </c>
      <c r="C497" t="s">
        <v>688</v>
      </c>
      <c r="D497" t="s">
        <v>314</v>
      </c>
      <c r="E497" t="s">
        <v>308</v>
      </c>
      <c r="F497" t="s">
        <v>830</v>
      </c>
      <c r="G497">
        <v>0</v>
      </c>
      <c r="H497">
        <v>0</v>
      </c>
      <c r="I497">
        <v>0</v>
      </c>
      <c r="J497">
        <v>0</v>
      </c>
      <c r="K497">
        <v>0</v>
      </c>
      <c r="L497">
        <v>0</v>
      </c>
      <c r="M497">
        <v>0</v>
      </c>
      <c r="N497">
        <v>0</v>
      </c>
      <c r="O497">
        <v>0</v>
      </c>
    </row>
    <row r="498" spans="1:15" x14ac:dyDescent="0.35">
      <c r="A498" t="s">
        <v>813</v>
      </c>
      <c r="B498" t="s">
        <v>814</v>
      </c>
      <c r="C498" t="s">
        <v>688</v>
      </c>
      <c r="D498" t="s">
        <v>314</v>
      </c>
      <c r="E498" t="s">
        <v>312</v>
      </c>
      <c r="F498" t="s">
        <v>831</v>
      </c>
      <c r="G498">
        <v>54</v>
      </c>
      <c r="H498">
        <v>8566.5600000000013</v>
      </c>
      <c r="I498">
        <v>158.63999999999999</v>
      </c>
      <c r="J498">
        <v>0</v>
      </c>
      <c r="K498">
        <v>0</v>
      </c>
      <c r="L498">
        <v>0</v>
      </c>
      <c r="M498">
        <v>54</v>
      </c>
      <c r="N498">
        <v>8566.5600000000013</v>
      </c>
      <c r="O498">
        <v>158.63999999999999</v>
      </c>
    </row>
    <row r="499" spans="1:15" x14ac:dyDescent="0.35">
      <c r="A499" t="s">
        <v>813</v>
      </c>
      <c r="B499" t="s">
        <v>814</v>
      </c>
      <c r="C499" t="s">
        <v>688</v>
      </c>
      <c r="D499" t="s">
        <v>314</v>
      </c>
      <c r="E499" t="s">
        <v>310</v>
      </c>
      <c r="F499" t="s">
        <v>832</v>
      </c>
      <c r="G499">
        <v>54</v>
      </c>
      <c r="H499">
        <v>8566.5600000000013</v>
      </c>
      <c r="I499">
        <v>158.63999999999999</v>
      </c>
      <c r="J499">
        <v>0</v>
      </c>
      <c r="K499">
        <v>0</v>
      </c>
      <c r="L499">
        <v>0</v>
      </c>
      <c r="M499">
        <v>54</v>
      </c>
      <c r="N499">
        <v>8566.5600000000013</v>
      </c>
      <c r="O499">
        <v>158.63999999999999</v>
      </c>
    </row>
    <row r="500" spans="1:15" x14ac:dyDescent="0.35">
      <c r="A500" t="s">
        <v>813</v>
      </c>
      <c r="B500" t="s">
        <v>814</v>
      </c>
      <c r="C500" t="s">
        <v>688</v>
      </c>
      <c r="D500" t="s">
        <v>323</v>
      </c>
      <c r="E500" t="s">
        <v>294</v>
      </c>
      <c r="F500" t="s">
        <v>833</v>
      </c>
      <c r="G500">
        <v>2363</v>
      </c>
      <c r="H500">
        <v>202876.19</v>
      </c>
      <c r="I500">
        <v>85.86</v>
      </c>
      <c r="J500">
        <v>0</v>
      </c>
      <c r="K500">
        <v>0</v>
      </c>
      <c r="L500">
        <v>0</v>
      </c>
      <c r="M500">
        <v>2363</v>
      </c>
      <c r="N500">
        <v>202876.19</v>
      </c>
      <c r="O500">
        <v>85.86</v>
      </c>
    </row>
    <row r="501" spans="1:15" x14ac:dyDescent="0.35">
      <c r="A501" t="s">
        <v>813</v>
      </c>
      <c r="B501" t="s">
        <v>814</v>
      </c>
      <c r="C501" t="s">
        <v>688</v>
      </c>
      <c r="D501" t="s">
        <v>323</v>
      </c>
      <c r="E501" t="s">
        <v>296</v>
      </c>
      <c r="F501" t="s">
        <v>834</v>
      </c>
      <c r="G501">
        <v>3665</v>
      </c>
      <c r="H501">
        <v>355890.41000000003</v>
      </c>
      <c r="I501">
        <v>97.11</v>
      </c>
      <c r="J501">
        <v>0</v>
      </c>
      <c r="K501">
        <v>0</v>
      </c>
      <c r="L501">
        <v>0</v>
      </c>
      <c r="M501">
        <v>3665</v>
      </c>
      <c r="N501">
        <v>355890.41000000003</v>
      </c>
      <c r="O501">
        <v>97.11</v>
      </c>
    </row>
    <row r="502" spans="1:15" x14ac:dyDescent="0.35">
      <c r="A502" t="s">
        <v>813</v>
      </c>
      <c r="B502" t="s">
        <v>814</v>
      </c>
      <c r="C502" t="s">
        <v>688</v>
      </c>
      <c r="D502" t="s">
        <v>323</v>
      </c>
      <c r="E502" t="s">
        <v>298</v>
      </c>
      <c r="F502" t="s">
        <v>835</v>
      </c>
      <c r="G502">
        <v>3848</v>
      </c>
      <c r="H502">
        <v>412203.74999999994</v>
      </c>
      <c r="I502">
        <v>107.12</v>
      </c>
      <c r="J502">
        <v>0</v>
      </c>
      <c r="K502">
        <v>0</v>
      </c>
      <c r="L502">
        <v>0</v>
      </c>
      <c r="M502">
        <v>3848</v>
      </c>
      <c r="N502">
        <v>412203.74999999994</v>
      </c>
      <c r="O502">
        <v>107.12</v>
      </c>
    </row>
    <row r="503" spans="1:15" x14ac:dyDescent="0.35">
      <c r="A503" t="s">
        <v>813</v>
      </c>
      <c r="B503" t="s">
        <v>814</v>
      </c>
      <c r="C503" t="s">
        <v>688</v>
      </c>
      <c r="D503" t="s">
        <v>323</v>
      </c>
      <c r="E503" t="s">
        <v>300</v>
      </c>
      <c r="F503" t="s">
        <v>836</v>
      </c>
      <c r="G503">
        <v>188</v>
      </c>
      <c r="H503">
        <v>21718.22</v>
      </c>
      <c r="I503">
        <v>115.52</v>
      </c>
      <c r="J503">
        <v>0</v>
      </c>
      <c r="K503">
        <v>0</v>
      </c>
      <c r="L503">
        <v>0</v>
      </c>
      <c r="M503">
        <v>188</v>
      </c>
      <c r="N503">
        <v>21718.22</v>
      </c>
      <c r="O503">
        <v>115.52</v>
      </c>
    </row>
    <row r="504" spans="1:15" x14ac:dyDescent="0.35">
      <c r="A504" t="s">
        <v>813</v>
      </c>
      <c r="B504" t="s">
        <v>814</v>
      </c>
      <c r="C504" t="s">
        <v>688</v>
      </c>
      <c r="D504" t="s">
        <v>323</v>
      </c>
      <c r="E504" t="s">
        <v>302</v>
      </c>
      <c r="F504" t="s">
        <v>837</v>
      </c>
      <c r="G504">
        <v>3</v>
      </c>
      <c r="H504">
        <v>352.71</v>
      </c>
      <c r="I504">
        <v>117.57</v>
      </c>
      <c r="J504">
        <v>0</v>
      </c>
      <c r="K504">
        <v>0</v>
      </c>
      <c r="L504">
        <v>0</v>
      </c>
      <c r="M504">
        <v>3</v>
      </c>
      <c r="N504">
        <v>352.71</v>
      </c>
      <c r="O504">
        <v>117.57</v>
      </c>
    </row>
    <row r="505" spans="1:15" x14ac:dyDescent="0.35">
      <c r="A505" t="s">
        <v>813</v>
      </c>
      <c r="B505" t="s">
        <v>814</v>
      </c>
      <c r="C505" t="s">
        <v>688</v>
      </c>
      <c r="D505" t="s">
        <v>323</v>
      </c>
      <c r="E505" t="s">
        <v>304</v>
      </c>
      <c r="F505" t="s">
        <v>838</v>
      </c>
      <c r="G505">
        <v>0</v>
      </c>
      <c r="H505">
        <v>0</v>
      </c>
      <c r="I505">
        <v>0</v>
      </c>
      <c r="J505">
        <v>0</v>
      </c>
      <c r="K505">
        <v>0</v>
      </c>
      <c r="L505">
        <v>0</v>
      </c>
      <c r="M505">
        <v>0</v>
      </c>
      <c r="N505">
        <v>0</v>
      </c>
      <c r="O505">
        <v>0</v>
      </c>
    </row>
    <row r="506" spans="1:15" x14ac:dyDescent="0.35">
      <c r="A506" t="s">
        <v>813</v>
      </c>
      <c r="B506" t="s">
        <v>814</v>
      </c>
      <c r="C506" t="s">
        <v>688</v>
      </c>
      <c r="D506" t="s">
        <v>323</v>
      </c>
      <c r="E506" t="s">
        <v>306</v>
      </c>
      <c r="F506" t="s">
        <v>839</v>
      </c>
      <c r="G506">
        <v>56</v>
      </c>
      <c r="H506">
        <v>4248.72</v>
      </c>
      <c r="I506">
        <v>75.87</v>
      </c>
      <c r="J506">
        <v>0</v>
      </c>
      <c r="K506">
        <v>0</v>
      </c>
      <c r="L506">
        <v>0</v>
      </c>
      <c r="M506">
        <v>56</v>
      </c>
      <c r="N506">
        <v>4248.72</v>
      </c>
      <c r="O506">
        <v>75.87</v>
      </c>
    </row>
    <row r="507" spans="1:15" x14ac:dyDescent="0.35">
      <c r="A507" t="s">
        <v>813</v>
      </c>
      <c r="B507" t="s">
        <v>814</v>
      </c>
      <c r="C507" t="s">
        <v>688</v>
      </c>
      <c r="D507" t="s">
        <v>323</v>
      </c>
      <c r="E507" t="s">
        <v>308</v>
      </c>
      <c r="F507" t="s">
        <v>840</v>
      </c>
      <c r="G507">
        <v>2</v>
      </c>
      <c r="H507">
        <v>183.88</v>
      </c>
      <c r="I507">
        <v>91.94</v>
      </c>
      <c r="J507">
        <v>0</v>
      </c>
      <c r="K507">
        <v>0</v>
      </c>
      <c r="L507">
        <v>0</v>
      </c>
      <c r="M507">
        <v>2</v>
      </c>
      <c r="N507">
        <v>183.88</v>
      </c>
      <c r="O507">
        <v>91.94</v>
      </c>
    </row>
    <row r="508" spans="1:15" x14ac:dyDescent="0.35">
      <c r="A508" t="s">
        <v>813</v>
      </c>
      <c r="B508" t="s">
        <v>814</v>
      </c>
      <c r="C508" t="s">
        <v>688</v>
      </c>
      <c r="D508" t="s">
        <v>323</v>
      </c>
      <c r="E508" t="s">
        <v>310</v>
      </c>
      <c r="F508" t="s">
        <v>841</v>
      </c>
      <c r="G508">
        <v>10125</v>
      </c>
      <c r="H508">
        <v>997473.88</v>
      </c>
      <c r="I508">
        <v>98.52</v>
      </c>
      <c r="J508">
        <v>0</v>
      </c>
      <c r="K508">
        <v>0</v>
      </c>
      <c r="L508">
        <v>0</v>
      </c>
      <c r="M508">
        <v>10125</v>
      </c>
      <c r="N508">
        <v>997473.88</v>
      </c>
      <c r="O508">
        <v>98.52</v>
      </c>
    </row>
    <row r="509" spans="1:15" x14ac:dyDescent="0.35">
      <c r="A509" t="s">
        <v>813</v>
      </c>
      <c r="B509" t="s">
        <v>814</v>
      </c>
      <c r="C509" t="s">
        <v>688</v>
      </c>
      <c r="D509" t="s">
        <v>323</v>
      </c>
      <c r="E509" t="s">
        <v>312</v>
      </c>
      <c r="F509" t="s">
        <v>842</v>
      </c>
      <c r="G509">
        <v>10123</v>
      </c>
      <c r="H509">
        <v>997290</v>
      </c>
      <c r="I509">
        <v>98.52</v>
      </c>
      <c r="J509">
        <v>0</v>
      </c>
      <c r="K509">
        <v>0</v>
      </c>
      <c r="L509">
        <v>0</v>
      </c>
      <c r="M509">
        <v>10123</v>
      </c>
      <c r="N509">
        <v>997290</v>
      </c>
      <c r="O509">
        <v>98.52</v>
      </c>
    </row>
    <row r="510" spans="1:15" x14ac:dyDescent="0.35">
      <c r="A510" t="s">
        <v>813</v>
      </c>
      <c r="B510" t="s">
        <v>814</v>
      </c>
      <c r="C510" t="s">
        <v>688</v>
      </c>
      <c r="D510" t="s">
        <v>334</v>
      </c>
      <c r="E510" t="s">
        <v>312</v>
      </c>
      <c r="F510" t="s">
        <v>843</v>
      </c>
      <c r="G510">
        <v>11126</v>
      </c>
      <c r="H510">
        <v>1107626.93</v>
      </c>
      <c r="I510">
        <v>100.56</v>
      </c>
      <c r="J510">
        <v>0</v>
      </c>
      <c r="K510">
        <v>0</v>
      </c>
      <c r="L510">
        <v>0</v>
      </c>
      <c r="M510">
        <v>11126</v>
      </c>
      <c r="N510">
        <v>1107626.93</v>
      </c>
      <c r="O510">
        <v>100.56</v>
      </c>
    </row>
    <row r="511" spans="1:15" x14ac:dyDescent="0.35">
      <c r="A511" t="s">
        <v>813</v>
      </c>
      <c r="B511" t="s">
        <v>814</v>
      </c>
      <c r="C511" t="s">
        <v>688</v>
      </c>
      <c r="D511" t="s">
        <v>334</v>
      </c>
      <c r="E511" t="s">
        <v>308</v>
      </c>
      <c r="F511" t="s">
        <v>844</v>
      </c>
      <c r="G511">
        <v>2</v>
      </c>
      <c r="H511">
        <v>183.88</v>
      </c>
      <c r="I511">
        <v>91.94</v>
      </c>
      <c r="J511">
        <v>0</v>
      </c>
      <c r="K511">
        <v>0</v>
      </c>
      <c r="L511">
        <v>0</v>
      </c>
      <c r="M511">
        <v>2</v>
      </c>
      <c r="N511">
        <v>183.88</v>
      </c>
      <c r="O511">
        <v>91.94</v>
      </c>
    </row>
    <row r="512" spans="1:15" x14ac:dyDescent="0.35">
      <c r="A512" t="s">
        <v>813</v>
      </c>
      <c r="B512" t="s">
        <v>814</v>
      </c>
      <c r="C512" t="s">
        <v>688</v>
      </c>
      <c r="D512" t="s">
        <v>337</v>
      </c>
      <c r="E512" t="s">
        <v>337</v>
      </c>
      <c r="F512" t="s">
        <v>845</v>
      </c>
      <c r="G512">
        <v>166</v>
      </c>
      <c r="J512">
        <v>0</v>
      </c>
      <c r="M512">
        <v>166</v>
      </c>
    </row>
    <row r="513" spans="1:15" x14ac:dyDescent="0.35">
      <c r="A513" t="s">
        <v>813</v>
      </c>
      <c r="B513" t="s">
        <v>814</v>
      </c>
      <c r="C513" t="s">
        <v>688</v>
      </c>
      <c r="D513" t="s">
        <v>339</v>
      </c>
      <c r="E513" t="s">
        <v>294</v>
      </c>
      <c r="F513" t="s">
        <v>846</v>
      </c>
      <c r="G513">
        <v>295</v>
      </c>
      <c r="H513">
        <v>33520.509999999995</v>
      </c>
      <c r="I513">
        <v>113.63</v>
      </c>
      <c r="J513">
        <v>0</v>
      </c>
      <c r="K513">
        <v>0</v>
      </c>
      <c r="L513">
        <v>0</v>
      </c>
      <c r="M513">
        <v>295</v>
      </c>
      <c r="N513">
        <v>33520.509999999995</v>
      </c>
      <c r="O513">
        <v>113.63</v>
      </c>
    </row>
    <row r="514" spans="1:15" x14ac:dyDescent="0.35">
      <c r="A514" t="s">
        <v>813</v>
      </c>
      <c r="B514" t="s">
        <v>814</v>
      </c>
      <c r="C514" t="s">
        <v>688</v>
      </c>
      <c r="D514" t="s">
        <v>339</v>
      </c>
      <c r="E514" t="s">
        <v>296</v>
      </c>
      <c r="F514" t="s">
        <v>847</v>
      </c>
      <c r="G514">
        <v>101</v>
      </c>
      <c r="H514">
        <v>12769.54</v>
      </c>
      <c r="I514">
        <v>126.43</v>
      </c>
      <c r="J514">
        <v>0</v>
      </c>
      <c r="K514">
        <v>0</v>
      </c>
      <c r="L514">
        <v>0</v>
      </c>
      <c r="M514">
        <v>101</v>
      </c>
      <c r="N514">
        <v>12769.54</v>
      </c>
      <c r="O514">
        <v>126.43</v>
      </c>
    </row>
    <row r="515" spans="1:15" x14ac:dyDescent="0.35">
      <c r="A515" t="s">
        <v>813</v>
      </c>
      <c r="B515" t="s">
        <v>814</v>
      </c>
      <c r="C515" t="s">
        <v>688</v>
      </c>
      <c r="D515" t="s">
        <v>339</v>
      </c>
      <c r="E515" t="s">
        <v>298</v>
      </c>
      <c r="F515" t="s">
        <v>848</v>
      </c>
      <c r="G515">
        <v>3</v>
      </c>
      <c r="H515">
        <v>351.59000000000003</v>
      </c>
      <c r="I515">
        <v>117.2</v>
      </c>
      <c r="J515">
        <v>0</v>
      </c>
      <c r="K515">
        <v>0</v>
      </c>
      <c r="L515">
        <v>0</v>
      </c>
      <c r="M515">
        <v>3</v>
      </c>
      <c r="N515">
        <v>351.59000000000003</v>
      </c>
      <c r="O515">
        <v>117.2</v>
      </c>
    </row>
    <row r="516" spans="1:15" x14ac:dyDescent="0.35">
      <c r="A516" t="s">
        <v>813</v>
      </c>
      <c r="B516" t="s">
        <v>814</v>
      </c>
      <c r="C516" t="s">
        <v>688</v>
      </c>
      <c r="D516" t="s">
        <v>339</v>
      </c>
      <c r="E516" t="s">
        <v>300</v>
      </c>
      <c r="F516" t="s">
        <v>849</v>
      </c>
      <c r="G516">
        <v>1</v>
      </c>
      <c r="H516">
        <v>136.53</v>
      </c>
      <c r="I516">
        <v>136.53</v>
      </c>
      <c r="J516">
        <v>0</v>
      </c>
      <c r="K516">
        <v>0</v>
      </c>
      <c r="L516">
        <v>0</v>
      </c>
      <c r="M516">
        <v>1</v>
      </c>
      <c r="N516">
        <v>136.53</v>
      </c>
      <c r="O516">
        <v>136.53</v>
      </c>
    </row>
    <row r="517" spans="1:15" x14ac:dyDescent="0.35">
      <c r="A517" t="s">
        <v>813</v>
      </c>
      <c r="B517" t="s">
        <v>814</v>
      </c>
      <c r="C517" t="s">
        <v>688</v>
      </c>
      <c r="D517" t="s">
        <v>339</v>
      </c>
      <c r="E517" t="s">
        <v>306</v>
      </c>
      <c r="F517" t="s">
        <v>850</v>
      </c>
      <c r="G517">
        <v>1</v>
      </c>
      <c r="H517">
        <v>89.57</v>
      </c>
      <c r="I517">
        <v>89.57</v>
      </c>
      <c r="J517">
        <v>0</v>
      </c>
      <c r="K517">
        <v>0</v>
      </c>
      <c r="L517">
        <v>0</v>
      </c>
      <c r="M517">
        <v>1</v>
      </c>
      <c r="N517">
        <v>89.57</v>
      </c>
      <c r="O517">
        <v>89.57</v>
      </c>
    </row>
    <row r="518" spans="1:15" x14ac:dyDescent="0.35">
      <c r="A518" t="s">
        <v>813</v>
      </c>
      <c r="B518" t="s">
        <v>814</v>
      </c>
      <c r="C518" t="s">
        <v>688</v>
      </c>
      <c r="D518" t="s">
        <v>339</v>
      </c>
      <c r="E518" t="s">
        <v>308</v>
      </c>
      <c r="F518" t="s">
        <v>851</v>
      </c>
      <c r="G518">
        <v>50</v>
      </c>
      <c r="H518">
        <v>11953.56</v>
      </c>
      <c r="I518">
        <v>239.07</v>
      </c>
      <c r="J518">
        <v>0</v>
      </c>
      <c r="K518">
        <v>0</v>
      </c>
      <c r="L518">
        <v>0</v>
      </c>
      <c r="M518">
        <v>50</v>
      </c>
      <c r="N518">
        <v>11953.56</v>
      </c>
      <c r="O518">
        <v>239.07</v>
      </c>
    </row>
    <row r="519" spans="1:15" x14ac:dyDescent="0.35">
      <c r="A519" t="s">
        <v>813</v>
      </c>
      <c r="B519" t="s">
        <v>814</v>
      </c>
      <c r="C519" t="s">
        <v>688</v>
      </c>
      <c r="D519" t="s">
        <v>339</v>
      </c>
      <c r="E519" t="s">
        <v>310</v>
      </c>
      <c r="F519" t="s">
        <v>852</v>
      </c>
      <c r="G519">
        <v>451</v>
      </c>
      <c r="H519">
        <v>58821.299999999988</v>
      </c>
      <c r="I519">
        <v>130.41999999999999</v>
      </c>
      <c r="J519">
        <v>0</v>
      </c>
      <c r="K519">
        <v>0</v>
      </c>
      <c r="L519">
        <v>0</v>
      </c>
      <c r="M519">
        <v>451</v>
      </c>
      <c r="N519">
        <v>58821.299999999988</v>
      </c>
      <c r="O519">
        <v>130.41999999999999</v>
      </c>
    </row>
    <row r="520" spans="1:15" x14ac:dyDescent="0.35">
      <c r="A520" t="s">
        <v>813</v>
      </c>
      <c r="B520" t="s">
        <v>814</v>
      </c>
      <c r="C520" t="s">
        <v>688</v>
      </c>
      <c r="D520" t="s">
        <v>339</v>
      </c>
      <c r="E520" t="s">
        <v>312</v>
      </c>
      <c r="F520" t="s">
        <v>853</v>
      </c>
      <c r="G520">
        <v>401</v>
      </c>
      <c r="H520">
        <v>46867.739999999991</v>
      </c>
      <c r="I520">
        <v>116.88</v>
      </c>
      <c r="J520">
        <v>0</v>
      </c>
      <c r="K520">
        <v>0</v>
      </c>
      <c r="L520">
        <v>0</v>
      </c>
      <c r="M520">
        <v>401</v>
      </c>
      <c r="N520">
        <v>46867.739999999991</v>
      </c>
      <c r="O520">
        <v>116.88</v>
      </c>
    </row>
    <row r="521" spans="1:15" x14ac:dyDescent="0.35">
      <c r="A521" t="s">
        <v>813</v>
      </c>
      <c r="B521" t="s">
        <v>814</v>
      </c>
      <c r="C521" t="s">
        <v>688</v>
      </c>
      <c r="D521" t="s">
        <v>348</v>
      </c>
      <c r="E521" t="s">
        <v>349</v>
      </c>
      <c r="F521" t="s">
        <v>854</v>
      </c>
      <c r="G521">
        <v>533</v>
      </c>
      <c r="H521">
        <v>67387.859999999986</v>
      </c>
      <c r="I521">
        <v>133.44</v>
      </c>
      <c r="J521">
        <v>0</v>
      </c>
      <c r="K521">
        <v>0</v>
      </c>
      <c r="L521">
        <v>0</v>
      </c>
      <c r="M521">
        <v>533</v>
      </c>
      <c r="N521">
        <v>67387.859999999986</v>
      </c>
      <c r="O521">
        <v>133.44</v>
      </c>
    </row>
    <row r="522" spans="1:15" x14ac:dyDescent="0.35">
      <c r="A522" t="s">
        <v>855</v>
      </c>
      <c r="B522" t="s">
        <v>225</v>
      </c>
      <c r="C522" t="s">
        <v>688</v>
      </c>
      <c r="D522" t="s">
        <v>293</v>
      </c>
      <c r="E522" t="s">
        <v>294</v>
      </c>
      <c r="F522" t="s">
        <v>856</v>
      </c>
      <c r="G522">
        <v>134</v>
      </c>
      <c r="H522">
        <v>16714.28</v>
      </c>
      <c r="I522">
        <v>124.73</v>
      </c>
      <c r="J522">
        <v>0</v>
      </c>
      <c r="K522">
        <v>0</v>
      </c>
      <c r="L522">
        <v>0</v>
      </c>
      <c r="M522">
        <v>134</v>
      </c>
      <c r="N522">
        <v>16714.28</v>
      </c>
      <c r="O522">
        <v>124.73</v>
      </c>
    </row>
    <row r="523" spans="1:15" x14ac:dyDescent="0.35">
      <c r="A523" t="s">
        <v>855</v>
      </c>
      <c r="B523" t="s">
        <v>225</v>
      </c>
      <c r="C523" t="s">
        <v>688</v>
      </c>
      <c r="D523" t="s">
        <v>293</v>
      </c>
      <c r="E523" t="s">
        <v>296</v>
      </c>
      <c r="F523" t="s">
        <v>857</v>
      </c>
      <c r="G523">
        <v>311</v>
      </c>
      <c r="H523">
        <v>42439.340000000004</v>
      </c>
      <c r="I523">
        <v>136.46</v>
      </c>
      <c r="J523">
        <v>0</v>
      </c>
      <c r="K523">
        <v>0</v>
      </c>
      <c r="L523">
        <v>0</v>
      </c>
      <c r="M523">
        <v>311</v>
      </c>
      <c r="N523">
        <v>42439.340000000004</v>
      </c>
      <c r="O523">
        <v>136.46</v>
      </c>
    </row>
    <row r="524" spans="1:15" x14ac:dyDescent="0.35">
      <c r="A524" t="s">
        <v>855</v>
      </c>
      <c r="B524" t="s">
        <v>225</v>
      </c>
      <c r="C524" t="s">
        <v>688</v>
      </c>
      <c r="D524" t="s">
        <v>293</v>
      </c>
      <c r="E524" t="s">
        <v>298</v>
      </c>
      <c r="F524" t="s">
        <v>858</v>
      </c>
      <c r="G524">
        <v>101</v>
      </c>
      <c r="H524">
        <v>15797.55</v>
      </c>
      <c r="I524">
        <v>156.41</v>
      </c>
      <c r="J524">
        <v>0</v>
      </c>
      <c r="K524">
        <v>0</v>
      </c>
      <c r="L524">
        <v>0</v>
      </c>
      <c r="M524">
        <v>101</v>
      </c>
      <c r="N524">
        <v>15797.55</v>
      </c>
      <c r="O524">
        <v>156.41</v>
      </c>
    </row>
    <row r="525" spans="1:15" x14ac:dyDescent="0.35">
      <c r="A525" t="s">
        <v>855</v>
      </c>
      <c r="B525" t="s">
        <v>225</v>
      </c>
      <c r="C525" t="s">
        <v>688</v>
      </c>
      <c r="D525" t="s">
        <v>293</v>
      </c>
      <c r="E525" t="s">
        <v>300</v>
      </c>
      <c r="F525" t="s">
        <v>859</v>
      </c>
      <c r="G525">
        <v>19</v>
      </c>
      <c r="H525">
        <v>3078.36</v>
      </c>
      <c r="I525">
        <v>162.02000000000001</v>
      </c>
      <c r="J525">
        <v>0</v>
      </c>
      <c r="K525">
        <v>0</v>
      </c>
      <c r="L525">
        <v>0</v>
      </c>
      <c r="M525">
        <v>19</v>
      </c>
      <c r="N525">
        <v>3078.36</v>
      </c>
      <c r="O525">
        <v>162.02000000000001</v>
      </c>
    </row>
    <row r="526" spans="1:15" x14ac:dyDescent="0.35">
      <c r="A526" t="s">
        <v>855</v>
      </c>
      <c r="B526" t="s">
        <v>225</v>
      </c>
      <c r="C526" t="s">
        <v>688</v>
      </c>
      <c r="D526" t="s">
        <v>293</v>
      </c>
      <c r="E526" t="s">
        <v>302</v>
      </c>
      <c r="F526" t="s">
        <v>860</v>
      </c>
      <c r="G526">
        <v>4</v>
      </c>
      <c r="H526">
        <v>751.33999999999992</v>
      </c>
      <c r="I526">
        <v>187.84</v>
      </c>
      <c r="J526">
        <v>0</v>
      </c>
      <c r="K526">
        <v>0</v>
      </c>
      <c r="L526">
        <v>0</v>
      </c>
      <c r="M526">
        <v>4</v>
      </c>
      <c r="N526">
        <v>751.33999999999992</v>
      </c>
      <c r="O526">
        <v>187.84</v>
      </c>
    </row>
    <row r="527" spans="1:15" x14ac:dyDescent="0.35">
      <c r="A527" t="s">
        <v>855</v>
      </c>
      <c r="B527" t="s">
        <v>225</v>
      </c>
      <c r="C527" t="s">
        <v>688</v>
      </c>
      <c r="D527" t="s">
        <v>293</v>
      </c>
      <c r="E527" t="s">
        <v>304</v>
      </c>
      <c r="F527" t="s">
        <v>861</v>
      </c>
      <c r="G527">
        <v>0</v>
      </c>
      <c r="H527">
        <v>0</v>
      </c>
      <c r="I527">
        <v>0</v>
      </c>
      <c r="J527">
        <v>0</v>
      </c>
      <c r="K527">
        <v>0</v>
      </c>
      <c r="L527">
        <v>0</v>
      </c>
      <c r="M527">
        <v>0</v>
      </c>
      <c r="N527">
        <v>0</v>
      </c>
      <c r="O527">
        <v>0</v>
      </c>
    </row>
    <row r="528" spans="1:15" x14ac:dyDescent="0.35">
      <c r="A528" t="s">
        <v>855</v>
      </c>
      <c r="B528" t="s">
        <v>225</v>
      </c>
      <c r="C528" t="s">
        <v>688</v>
      </c>
      <c r="D528" t="s">
        <v>293</v>
      </c>
      <c r="E528" t="s">
        <v>306</v>
      </c>
      <c r="F528" t="s">
        <v>862</v>
      </c>
      <c r="G528">
        <v>1</v>
      </c>
      <c r="H528">
        <v>139.18</v>
      </c>
      <c r="I528">
        <v>139.18</v>
      </c>
      <c r="J528">
        <v>0</v>
      </c>
      <c r="K528">
        <v>0</v>
      </c>
      <c r="L528">
        <v>0</v>
      </c>
      <c r="M528">
        <v>1</v>
      </c>
      <c r="N528">
        <v>139.18</v>
      </c>
      <c r="O528">
        <v>139.18</v>
      </c>
    </row>
    <row r="529" spans="1:15" x14ac:dyDescent="0.35">
      <c r="A529" t="s">
        <v>855</v>
      </c>
      <c r="B529" t="s">
        <v>225</v>
      </c>
      <c r="C529" t="s">
        <v>688</v>
      </c>
      <c r="D529" t="s">
        <v>293</v>
      </c>
      <c r="E529" t="s">
        <v>308</v>
      </c>
      <c r="F529" t="s">
        <v>863</v>
      </c>
      <c r="G529">
        <v>0</v>
      </c>
      <c r="H529">
        <v>0</v>
      </c>
      <c r="I529">
        <v>0</v>
      </c>
      <c r="J529">
        <v>0</v>
      </c>
      <c r="K529">
        <v>0</v>
      </c>
      <c r="L529">
        <v>0</v>
      </c>
      <c r="M529">
        <v>0</v>
      </c>
      <c r="N529">
        <v>0</v>
      </c>
      <c r="O529">
        <v>0</v>
      </c>
    </row>
    <row r="530" spans="1:15" x14ac:dyDescent="0.35">
      <c r="A530" t="s">
        <v>855</v>
      </c>
      <c r="B530" t="s">
        <v>225</v>
      </c>
      <c r="C530" t="s">
        <v>688</v>
      </c>
      <c r="D530" t="s">
        <v>293</v>
      </c>
      <c r="E530" t="s">
        <v>310</v>
      </c>
      <c r="F530" t="s">
        <v>864</v>
      </c>
      <c r="G530">
        <v>570</v>
      </c>
      <c r="H530">
        <v>78920.049999999988</v>
      </c>
      <c r="I530">
        <v>138.46</v>
      </c>
      <c r="J530">
        <v>0</v>
      </c>
      <c r="K530">
        <v>0</v>
      </c>
      <c r="L530">
        <v>0</v>
      </c>
      <c r="M530">
        <v>570</v>
      </c>
      <c r="N530">
        <v>78920.049999999988</v>
      </c>
      <c r="O530">
        <v>138.46</v>
      </c>
    </row>
    <row r="531" spans="1:15" x14ac:dyDescent="0.35">
      <c r="A531" t="s">
        <v>855</v>
      </c>
      <c r="B531" t="s">
        <v>225</v>
      </c>
      <c r="C531" t="s">
        <v>688</v>
      </c>
      <c r="D531" t="s">
        <v>293</v>
      </c>
      <c r="E531" t="s">
        <v>312</v>
      </c>
      <c r="F531" t="s">
        <v>865</v>
      </c>
      <c r="G531">
        <v>570</v>
      </c>
      <c r="H531">
        <v>78920.049999999988</v>
      </c>
      <c r="I531">
        <v>138.46</v>
      </c>
      <c r="J531">
        <v>0</v>
      </c>
      <c r="K531">
        <v>0</v>
      </c>
      <c r="L531">
        <v>0</v>
      </c>
      <c r="M531">
        <v>570</v>
      </c>
      <c r="N531">
        <v>78920.049999999988</v>
      </c>
      <c r="O531">
        <v>138.46</v>
      </c>
    </row>
    <row r="532" spans="1:15" x14ac:dyDescent="0.35">
      <c r="A532" t="s">
        <v>855</v>
      </c>
      <c r="B532" t="s">
        <v>225</v>
      </c>
      <c r="C532" t="s">
        <v>688</v>
      </c>
      <c r="D532" t="s">
        <v>314</v>
      </c>
      <c r="E532" t="s">
        <v>294</v>
      </c>
      <c r="F532" t="s">
        <v>866</v>
      </c>
      <c r="G532">
        <v>0</v>
      </c>
      <c r="H532">
        <v>0</v>
      </c>
      <c r="I532">
        <v>0</v>
      </c>
      <c r="J532">
        <v>0</v>
      </c>
      <c r="K532">
        <v>0</v>
      </c>
      <c r="L532">
        <v>0</v>
      </c>
      <c r="M532">
        <v>0</v>
      </c>
      <c r="N532">
        <v>0</v>
      </c>
      <c r="O532">
        <v>0</v>
      </c>
    </row>
    <row r="533" spans="1:15" x14ac:dyDescent="0.35">
      <c r="A533" t="s">
        <v>855</v>
      </c>
      <c r="B533" t="s">
        <v>225</v>
      </c>
      <c r="C533" t="s">
        <v>688</v>
      </c>
      <c r="D533" t="s">
        <v>314</v>
      </c>
      <c r="E533" t="s">
        <v>296</v>
      </c>
      <c r="F533" t="s">
        <v>867</v>
      </c>
      <c r="G533">
        <v>0</v>
      </c>
      <c r="H533">
        <v>0</v>
      </c>
      <c r="I533">
        <v>0</v>
      </c>
      <c r="J533">
        <v>0</v>
      </c>
      <c r="K533">
        <v>0</v>
      </c>
      <c r="L533">
        <v>0</v>
      </c>
      <c r="M533">
        <v>0</v>
      </c>
      <c r="N533">
        <v>0</v>
      </c>
      <c r="O533">
        <v>0</v>
      </c>
    </row>
    <row r="534" spans="1:15" x14ac:dyDescent="0.35">
      <c r="A534" t="s">
        <v>855</v>
      </c>
      <c r="B534" t="s">
        <v>225</v>
      </c>
      <c r="C534" t="s">
        <v>688</v>
      </c>
      <c r="D534" t="s">
        <v>314</v>
      </c>
      <c r="E534" t="s">
        <v>298</v>
      </c>
      <c r="F534" t="s">
        <v>868</v>
      </c>
      <c r="G534">
        <v>0</v>
      </c>
      <c r="H534">
        <v>0</v>
      </c>
      <c r="I534">
        <v>0</v>
      </c>
      <c r="J534">
        <v>0</v>
      </c>
      <c r="K534">
        <v>0</v>
      </c>
      <c r="L534">
        <v>0</v>
      </c>
      <c r="M534">
        <v>0</v>
      </c>
      <c r="N534">
        <v>0</v>
      </c>
      <c r="O534">
        <v>0</v>
      </c>
    </row>
    <row r="535" spans="1:15" x14ac:dyDescent="0.35">
      <c r="A535" t="s">
        <v>855</v>
      </c>
      <c r="B535" t="s">
        <v>225</v>
      </c>
      <c r="C535" t="s">
        <v>688</v>
      </c>
      <c r="D535" t="s">
        <v>314</v>
      </c>
      <c r="E535" t="s">
        <v>300</v>
      </c>
      <c r="F535" t="s">
        <v>869</v>
      </c>
      <c r="G535">
        <v>0</v>
      </c>
      <c r="H535">
        <v>0</v>
      </c>
      <c r="I535">
        <v>0</v>
      </c>
      <c r="J535">
        <v>0</v>
      </c>
      <c r="K535">
        <v>0</v>
      </c>
      <c r="L535">
        <v>0</v>
      </c>
      <c r="M535">
        <v>0</v>
      </c>
      <c r="N535">
        <v>0</v>
      </c>
      <c r="O535">
        <v>0</v>
      </c>
    </row>
    <row r="536" spans="1:15" x14ac:dyDescent="0.35">
      <c r="A536" t="s">
        <v>855</v>
      </c>
      <c r="B536" t="s">
        <v>225</v>
      </c>
      <c r="C536" t="s">
        <v>688</v>
      </c>
      <c r="D536" t="s">
        <v>314</v>
      </c>
      <c r="E536" t="s">
        <v>306</v>
      </c>
      <c r="F536" t="s">
        <v>870</v>
      </c>
      <c r="G536">
        <v>0</v>
      </c>
      <c r="H536">
        <v>0</v>
      </c>
      <c r="I536">
        <v>0</v>
      </c>
      <c r="J536">
        <v>0</v>
      </c>
      <c r="K536">
        <v>0</v>
      </c>
      <c r="L536">
        <v>0</v>
      </c>
      <c r="M536">
        <v>0</v>
      </c>
      <c r="N536">
        <v>0</v>
      </c>
      <c r="O536">
        <v>0</v>
      </c>
    </row>
    <row r="537" spans="1:15" x14ac:dyDescent="0.35">
      <c r="A537" t="s">
        <v>855</v>
      </c>
      <c r="B537" t="s">
        <v>225</v>
      </c>
      <c r="C537" t="s">
        <v>688</v>
      </c>
      <c r="D537" t="s">
        <v>314</v>
      </c>
      <c r="E537" t="s">
        <v>308</v>
      </c>
      <c r="F537" t="s">
        <v>871</v>
      </c>
      <c r="G537">
        <v>0</v>
      </c>
      <c r="H537">
        <v>0</v>
      </c>
      <c r="I537">
        <v>0</v>
      </c>
      <c r="J537">
        <v>0</v>
      </c>
      <c r="K537">
        <v>0</v>
      </c>
      <c r="L537">
        <v>0</v>
      </c>
      <c r="M537">
        <v>0</v>
      </c>
      <c r="N537">
        <v>0</v>
      </c>
      <c r="O537">
        <v>0</v>
      </c>
    </row>
    <row r="538" spans="1:15" x14ac:dyDescent="0.35">
      <c r="A538" t="s">
        <v>855</v>
      </c>
      <c r="B538" t="s">
        <v>225</v>
      </c>
      <c r="C538" t="s">
        <v>688</v>
      </c>
      <c r="D538" t="s">
        <v>314</v>
      </c>
      <c r="E538" t="s">
        <v>312</v>
      </c>
      <c r="F538" t="s">
        <v>872</v>
      </c>
      <c r="G538">
        <v>0</v>
      </c>
      <c r="H538">
        <v>0</v>
      </c>
      <c r="I538">
        <v>0</v>
      </c>
      <c r="J538">
        <v>0</v>
      </c>
      <c r="K538">
        <v>0</v>
      </c>
      <c r="L538">
        <v>0</v>
      </c>
      <c r="M538">
        <v>0</v>
      </c>
      <c r="N538">
        <v>0</v>
      </c>
      <c r="O538">
        <v>0</v>
      </c>
    </row>
    <row r="539" spans="1:15" x14ac:dyDescent="0.35">
      <c r="A539" t="s">
        <v>855</v>
      </c>
      <c r="B539" t="s">
        <v>225</v>
      </c>
      <c r="C539" t="s">
        <v>688</v>
      </c>
      <c r="D539" t="s">
        <v>314</v>
      </c>
      <c r="E539" t="s">
        <v>310</v>
      </c>
      <c r="F539" t="s">
        <v>873</v>
      </c>
      <c r="G539">
        <v>0</v>
      </c>
      <c r="H539">
        <v>0</v>
      </c>
      <c r="I539">
        <v>0</v>
      </c>
      <c r="J539">
        <v>0</v>
      </c>
      <c r="K539">
        <v>0</v>
      </c>
      <c r="L539">
        <v>0</v>
      </c>
      <c r="M539">
        <v>0</v>
      </c>
      <c r="N539">
        <v>0</v>
      </c>
      <c r="O539">
        <v>0</v>
      </c>
    </row>
    <row r="540" spans="1:15" x14ac:dyDescent="0.35">
      <c r="A540" t="s">
        <v>855</v>
      </c>
      <c r="B540" t="s">
        <v>225</v>
      </c>
      <c r="C540" t="s">
        <v>688</v>
      </c>
      <c r="D540" t="s">
        <v>323</v>
      </c>
      <c r="E540" t="s">
        <v>294</v>
      </c>
      <c r="F540" t="s">
        <v>874</v>
      </c>
      <c r="G540">
        <v>504</v>
      </c>
      <c r="H540">
        <v>48621.479999999996</v>
      </c>
      <c r="I540">
        <v>96.47</v>
      </c>
      <c r="J540">
        <v>2429</v>
      </c>
      <c r="K540">
        <v>210521.43</v>
      </c>
      <c r="L540">
        <v>86.67</v>
      </c>
      <c r="M540">
        <v>2933</v>
      </c>
      <c r="N540">
        <v>259142.90999999997</v>
      </c>
      <c r="O540">
        <v>88.35</v>
      </c>
    </row>
    <row r="541" spans="1:15" x14ac:dyDescent="0.35">
      <c r="A541" t="s">
        <v>855</v>
      </c>
      <c r="B541" t="s">
        <v>225</v>
      </c>
      <c r="C541" t="s">
        <v>688</v>
      </c>
      <c r="D541" t="s">
        <v>323</v>
      </c>
      <c r="E541" t="s">
        <v>296</v>
      </c>
      <c r="F541" t="s">
        <v>875</v>
      </c>
      <c r="G541">
        <v>1578</v>
      </c>
      <c r="H541">
        <v>177771.12999999998</v>
      </c>
      <c r="I541">
        <v>112.66</v>
      </c>
      <c r="J541">
        <v>2125</v>
      </c>
      <c r="K541">
        <v>211713.75</v>
      </c>
      <c r="L541">
        <v>99.63</v>
      </c>
      <c r="M541">
        <v>3703</v>
      </c>
      <c r="N541">
        <v>389484.88</v>
      </c>
      <c r="O541">
        <v>105.18</v>
      </c>
    </row>
    <row r="542" spans="1:15" x14ac:dyDescent="0.35">
      <c r="A542" t="s">
        <v>855</v>
      </c>
      <c r="B542" t="s">
        <v>225</v>
      </c>
      <c r="C542" t="s">
        <v>688</v>
      </c>
      <c r="D542" t="s">
        <v>323</v>
      </c>
      <c r="E542" t="s">
        <v>298</v>
      </c>
      <c r="F542" t="s">
        <v>876</v>
      </c>
      <c r="G542">
        <v>1224</v>
      </c>
      <c r="H542">
        <v>151734.69999999998</v>
      </c>
      <c r="I542">
        <v>123.97</v>
      </c>
      <c r="J542">
        <v>2081</v>
      </c>
      <c r="K542">
        <v>226142.27</v>
      </c>
      <c r="L542">
        <v>108.67</v>
      </c>
      <c r="M542">
        <v>3305</v>
      </c>
      <c r="N542">
        <v>377876.97</v>
      </c>
      <c r="O542">
        <v>114.33</v>
      </c>
    </row>
    <row r="543" spans="1:15" x14ac:dyDescent="0.35">
      <c r="A543" t="s">
        <v>855</v>
      </c>
      <c r="B543" t="s">
        <v>225</v>
      </c>
      <c r="C543" t="s">
        <v>688</v>
      </c>
      <c r="D543" t="s">
        <v>323</v>
      </c>
      <c r="E543" t="s">
        <v>300</v>
      </c>
      <c r="F543" t="s">
        <v>877</v>
      </c>
      <c r="G543">
        <v>137</v>
      </c>
      <c r="H543">
        <v>20117.36</v>
      </c>
      <c r="I543">
        <v>146.84</v>
      </c>
      <c r="J543">
        <v>177</v>
      </c>
      <c r="K543">
        <v>20146.14</v>
      </c>
      <c r="L543">
        <v>113.82</v>
      </c>
      <c r="M543">
        <v>314</v>
      </c>
      <c r="N543">
        <v>40263.5</v>
      </c>
      <c r="O543">
        <v>128.22999999999999</v>
      </c>
    </row>
    <row r="544" spans="1:15" x14ac:dyDescent="0.35">
      <c r="A544" t="s">
        <v>855</v>
      </c>
      <c r="B544" t="s">
        <v>225</v>
      </c>
      <c r="C544" t="s">
        <v>688</v>
      </c>
      <c r="D544" t="s">
        <v>323</v>
      </c>
      <c r="E544" t="s">
        <v>302</v>
      </c>
      <c r="F544" t="s">
        <v>878</v>
      </c>
      <c r="G544">
        <v>9</v>
      </c>
      <c r="H544">
        <v>1460.5700000000002</v>
      </c>
      <c r="I544">
        <v>162.29</v>
      </c>
      <c r="J544">
        <v>14</v>
      </c>
      <c r="K544">
        <v>1750.98</v>
      </c>
      <c r="L544">
        <v>125.07</v>
      </c>
      <c r="M544">
        <v>23</v>
      </c>
      <c r="N544">
        <v>3211.55</v>
      </c>
      <c r="O544">
        <v>139.63</v>
      </c>
    </row>
    <row r="545" spans="1:15" x14ac:dyDescent="0.35">
      <c r="A545" t="s">
        <v>855</v>
      </c>
      <c r="B545" t="s">
        <v>225</v>
      </c>
      <c r="C545" t="s">
        <v>688</v>
      </c>
      <c r="D545" t="s">
        <v>323</v>
      </c>
      <c r="E545" t="s">
        <v>304</v>
      </c>
      <c r="F545" t="s">
        <v>879</v>
      </c>
      <c r="G545">
        <v>2</v>
      </c>
      <c r="H545">
        <v>319.18</v>
      </c>
      <c r="I545">
        <v>159.59</v>
      </c>
      <c r="J545">
        <v>0</v>
      </c>
      <c r="K545">
        <v>0</v>
      </c>
      <c r="L545">
        <v>0</v>
      </c>
      <c r="M545">
        <v>2</v>
      </c>
      <c r="N545">
        <v>319.18</v>
      </c>
      <c r="O545">
        <v>159.59</v>
      </c>
    </row>
    <row r="546" spans="1:15" x14ac:dyDescent="0.35">
      <c r="A546" t="s">
        <v>855</v>
      </c>
      <c r="B546" t="s">
        <v>225</v>
      </c>
      <c r="C546" t="s">
        <v>688</v>
      </c>
      <c r="D546" t="s">
        <v>323</v>
      </c>
      <c r="E546" t="s">
        <v>306</v>
      </c>
      <c r="F546" t="s">
        <v>880</v>
      </c>
      <c r="G546">
        <v>31</v>
      </c>
      <c r="H546">
        <v>2403.1400000000003</v>
      </c>
      <c r="I546">
        <v>77.52</v>
      </c>
      <c r="J546">
        <v>74</v>
      </c>
      <c r="K546">
        <v>5654.34</v>
      </c>
      <c r="L546">
        <v>76.41</v>
      </c>
      <c r="M546">
        <v>105</v>
      </c>
      <c r="N546">
        <v>8057.4800000000005</v>
      </c>
      <c r="O546">
        <v>76.739999999999995</v>
      </c>
    </row>
    <row r="547" spans="1:15" x14ac:dyDescent="0.35">
      <c r="A547" t="s">
        <v>855</v>
      </c>
      <c r="B547" t="s">
        <v>225</v>
      </c>
      <c r="C547" t="s">
        <v>688</v>
      </c>
      <c r="D547" t="s">
        <v>323</v>
      </c>
      <c r="E547" t="s">
        <v>308</v>
      </c>
      <c r="F547" t="s">
        <v>881</v>
      </c>
      <c r="G547">
        <v>2</v>
      </c>
      <c r="H547">
        <v>190.28</v>
      </c>
      <c r="I547">
        <v>95.14</v>
      </c>
      <c r="J547">
        <v>0</v>
      </c>
      <c r="K547">
        <v>0</v>
      </c>
      <c r="L547">
        <v>0</v>
      </c>
      <c r="M547">
        <v>2</v>
      </c>
      <c r="N547">
        <v>190.28</v>
      </c>
      <c r="O547">
        <v>95.14</v>
      </c>
    </row>
    <row r="548" spans="1:15" x14ac:dyDescent="0.35">
      <c r="A548" t="s">
        <v>855</v>
      </c>
      <c r="B548" t="s">
        <v>225</v>
      </c>
      <c r="C548" t="s">
        <v>688</v>
      </c>
      <c r="D548" t="s">
        <v>323</v>
      </c>
      <c r="E548" t="s">
        <v>310</v>
      </c>
      <c r="F548" t="s">
        <v>882</v>
      </c>
      <c r="G548">
        <v>3487</v>
      </c>
      <c r="H548">
        <v>402617.83999999997</v>
      </c>
      <c r="I548">
        <v>115.46</v>
      </c>
      <c r="J548">
        <v>6900</v>
      </c>
      <c r="K548">
        <v>675928.90999999992</v>
      </c>
      <c r="L548">
        <v>97.96</v>
      </c>
      <c r="M548">
        <v>10387</v>
      </c>
      <c r="N548">
        <v>1078546.75</v>
      </c>
      <c r="O548">
        <v>103.84</v>
      </c>
    </row>
    <row r="549" spans="1:15" x14ac:dyDescent="0.35">
      <c r="A549" t="s">
        <v>855</v>
      </c>
      <c r="B549" t="s">
        <v>225</v>
      </c>
      <c r="C549" t="s">
        <v>688</v>
      </c>
      <c r="D549" t="s">
        <v>323</v>
      </c>
      <c r="E549" t="s">
        <v>312</v>
      </c>
      <c r="F549" t="s">
        <v>883</v>
      </c>
      <c r="G549">
        <v>3485</v>
      </c>
      <c r="H549">
        <v>402427.55999999994</v>
      </c>
      <c r="I549">
        <v>115.47</v>
      </c>
      <c r="J549">
        <v>6900</v>
      </c>
      <c r="K549">
        <v>675928.90999999992</v>
      </c>
      <c r="L549">
        <v>97.96</v>
      </c>
      <c r="M549">
        <v>10385</v>
      </c>
      <c r="N549">
        <v>1078356.4699999997</v>
      </c>
      <c r="O549">
        <v>103.84</v>
      </c>
    </row>
    <row r="550" spans="1:15" x14ac:dyDescent="0.35">
      <c r="A550" t="s">
        <v>855</v>
      </c>
      <c r="B550" t="s">
        <v>225</v>
      </c>
      <c r="C550" t="s">
        <v>688</v>
      </c>
      <c r="D550" t="s">
        <v>334</v>
      </c>
      <c r="E550" t="s">
        <v>312</v>
      </c>
      <c r="F550" t="s">
        <v>884</v>
      </c>
      <c r="G550">
        <v>4221</v>
      </c>
      <c r="H550">
        <v>481347.61</v>
      </c>
      <c r="I550">
        <v>118.7</v>
      </c>
      <c r="J550">
        <v>6900</v>
      </c>
      <c r="K550">
        <v>675928.90999999992</v>
      </c>
      <c r="L550">
        <v>97.96</v>
      </c>
      <c r="M550">
        <v>11121</v>
      </c>
      <c r="N550">
        <v>1157276.52</v>
      </c>
      <c r="O550">
        <v>105.64</v>
      </c>
    </row>
    <row r="551" spans="1:15" x14ac:dyDescent="0.35">
      <c r="A551" t="s">
        <v>855</v>
      </c>
      <c r="B551" t="s">
        <v>225</v>
      </c>
      <c r="C551" t="s">
        <v>688</v>
      </c>
      <c r="D551" t="s">
        <v>334</v>
      </c>
      <c r="E551" t="s">
        <v>308</v>
      </c>
      <c r="F551" t="s">
        <v>885</v>
      </c>
      <c r="G551">
        <v>2</v>
      </c>
      <c r="H551">
        <v>190.28</v>
      </c>
      <c r="I551">
        <v>95.14</v>
      </c>
      <c r="J551">
        <v>0</v>
      </c>
      <c r="K551">
        <v>0</v>
      </c>
      <c r="L551">
        <v>0</v>
      </c>
      <c r="M551">
        <v>2</v>
      </c>
      <c r="N551">
        <v>190.28</v>
      </c>
      <c r="O551">
        <v>95.14</v>
      </c>
    </row>
    <row r="552" spans="1:15" x14ac:dyDescent="0.35">
      <c r="A552" t="s">
        <v>855</v>
      </c>
      <c r="B552" t="s">
        <v>225</v>
      </c>
      <c r="C552" t="s">
        <v>688</v>
      </c>
      <c r="D552" t="s">
        <v>337</v>
      </c>
      <c r="E552" t="s">
        <v>337</v>
      </c>
      <c r="F552" t="s">
        <v>886</v>
      </c>
      <c r="G552">
        <v>685</v>
      </c>
      <c r="J552">
        <v>126</v>
      </c>
      <c r="M552">
        <v>811</v>
      </c>
    </row>
    <row r="553" spans="1:15" x14ac:dyDescent="0.35">
      <c r="A553" t="s">
        <v>855</v>
      </c>
      <c r="B553" t="s">
        <v>225</v>
      </c>
      <c r="C553" t="s">
        <v>688</v>
      </c>
      <c r="D553" t="s">
        <v>339</v>
      </c>
      <c r="E553" t="s">
        <v>294</v>
      </c>
      <c r="F553" t="s">
        <v>887</v>
      </c>
      <c r="G553">
        <v>477</v>
      </c>
      <c r="H553">
        <v>47855.140000000007</v>
      </c>
      <c r="I553">
        <v>100.33</v>
      </c>
      <c r="J553">
        <v>377</v>
      </c>
      <c r="K553">
        <v>34069.490000000005</v>
      </c>
      <c r="L553">
        <v>90.37</v>
      </c>
      <c r="M553">
        <v>854</v>
      </c>
      <c r="N553">
        <v>81924.63</v>
      </c>
      <c r="O553">
        <v>95.93</v>
      </c>
    </row>
    <row r="554" spans="1:15" x14ac:dyDescent="0.35">
      <c r="A554" t="s">
        <v>855</v>
      </c>
      <c r="B554" t="s">
        <v>225</v>
      </c>
      <c r="C554" t="s">
        <v>688</v>
      </c>
      <c r="D554" t="s">
        <v>339</v>
      </c>
      <c r="E554" t="s">
        <v>296</v>
      </c>
      <c r="F554" t="s">
        <v>888</v>
      </c>
      <c r="G554">
        <v>254</v>
      </c>
      <c r="H554">
        <v>31274.369999999995</v>
      </c>
      <c r="I554">
        <v>123.13</v>
      </c>
      <c r="J554">
        <v>46</v>
      </c>
      <c r="K554">
        <v>4663.9399999999996</v>
      </c>
      <c r="L554">
        <v>101.39</v>
      </c>
      <c r="M554">
        <v>300</v>
      </c>
      <c r="N554">
        <v>35938.31</v>
      </c>
      <c r="O554">
        <v>119.79</v>
      </c>
    </row>
    <row r="555" spans="1:15" x14ac:dyDescent="0.35">
      <c r="A555" t="s">
        <v>855</v>
      </c>
      <c r="B555" t="s">
        <v>225</v>
      </c>
      <c r="C555" t="s">
        <v>688</v>
      </c>
      <c r="D555" t="s">
        <v>339</v>
      </c>
      <c r="E555" t="s">
        <v>298</v>
      </c>
      <c r="F555" t="s">
        <v>889</v>
      </c>
      <c r="G555">
        <v>3</v>
      </c>
      <c r="H555">
        <v>240.48000000000002</v>
      </c>
      <c r="I555">
        <v>80.16</v>
      </c>
      <c r="J555">
        <v>4</v>
      </c>
      <c r="K555">
        <v>466.16</v>
      </c>
      <c r="L555">
        <v>116.54</v>
      </c>
      <c r="M555">
        <v>7</v>
      </c>
      <c r="N555">
        <v>706.6400000000001</v>
      </c>
      <c r="O555">
        <v>100.95</v>
      </c>
    </row>
    <row r="556" spans="1:15" x14ac:dyDescent="0.35">
      <c r="A556" t="s">
        <v>855</v>
      </c>
      <c r="B556" t="s">
        <v>225</v>
      </c>
      <c r="C556" t="s">
        <v>688</v>
      </c>
      <c r="D556" t="s">
        <v>339</v>
      </c>
      <c r="E556" t="s">
        <v>300</v>
      </c>
      <c r="F556" t="s">
        <v>890</v>
      </c>
      <c r="G556">
        <v>2</v>
      </c>
      <c r="H556">
        <v>394.8</v>
      </c>
      <c r="I556">
        <v>197.4</v>
      </c>
      <c r="J556">
        <v>0</v>
      </c>
      <c r="K556">
        <v>0</v>
      </c>
      <c r="L556">
        <v>0</v>
      </c>
      <c r="M556">
        <v>2</v>
      </c>
      <c r="N556">
        <v>394.8</v>
      </c>
      <c r="O556">
        <v>197.4</v>
      </c>
    </row>
    <row r="557" spans="1:15" x14ac:dyDescent="0.35">
      <c r="A557" t="s">
        <v>855</v>
      </c>
      <c r="B557" t="s">
        <v>225</v>
      </c>
      <c r="C557" t="s">
        <v>688</v>
      </c>
      <c r="D557" t="s">
        <v>339</v>
      </c>
      <c r="E557" t="s">
        <v>306</v>
      </c>
      <c r="F557" t="s">
        <v>891</v>
      </c>
      <c r="G557">
        <v>37</v>
      </c>
      <c r="H557">
        <v>3127.81</v>
      </c>
      <c r="I557">
        <v>84.54</v>
      </c>
      <c r="J557">
        <v>11</v>
      </c>
      <c r="K557">
        <v>840.07</v>
      </c>
      <c r="L557">
        <v>76.37</v>
      </c>
      <c r="M557">
        <v>48</v>
      </c>
      <c r="N557">
        <v>3967.88</v>
      </c>
      <c r="O557">
        <v>82.66</v>
      </c>
    </row>
    <row r="558" spans="1:15" x14ac:dyDescent="0.35">
      <c r="A558" t="s">
        <v>855</v>
      </c>
      <c r="B558" t="s">
        <v>225</v>
      </c>
      <c r="C558" t="s">
        <v>688</v>
      </c>
      <c r="D558" t="s">
        <v>339</v>
      </c>
      <c r="E558" t="s">
        <v>308</v>
      </c>
      <c r="F558" t="s">
        <v>892</v>
      </c>
      <c r="G558">
        <v>143</v>
      </c>
      <c r="H558">
        <v>17743.439999999999</v>
      </c>
      <c r="I558">
        <v>124.08</v>
      </c>
      <c r="J558">
        <v>17</v>
      </c>
      <c r="K558">
        <v>1163.3100000000002</v>
      </c>
      <c r="L558">
        <v>68.430000000000007</v>
      </c>
      <c r="M558">
        <v>160</v>
      </c>
      <c r="N558">
        <v>18906.75</v>
      </c>
      <c r="O558">
        <v>118.17</v>
      </c>
    </row>
    <row r="559" spans="1:15" x14ac:dyDescent="0.35">
      <c r="A559" t="s">
        <v>855</v>
      </c>
      <c r="B559" t="s">
        <v>225</v>
      </c>
      <c r="C559" t="s">
        <v>688</v>
      </c>
      <c r="D559" t="s">
        <v>339</v>
      </c>
      <c r="E559" t="s">
        <v>310</v>
      </c>
      <c r="F559" t="s">
        <v>893</v>
      </c>
      <c r="G559">
        <v>916</v>
      </c>
      <c r="H559">
        <v>100636.04000000001</v>
      </c>
      <c r="I559">
        <v>109.86</v>
      </c>
      <c r="J559">
        <v>455</v>
      </c>
      <c r="K559">
        <v>41202.970000000008</v>
      </c>
      <c r="L559">
        <v>90.56</v>
      </c>
      <c r="M559">
        <v>1371</v>
      </c>
      <c r="N559">
        <v>141839.01</v>
      </c>
      <c r="O559">
        <v>103.46</v>
      </c>
    </row>
    <row r="560" spans="1:15" x14ac:dyDescent="0.35">
      <c r="A560" t="s">
        <v>855</v>
      </c>
      <c r="B560" t="s">
        <v>225</v>
      </c>
      <c r="C560" t="s">
        <v>688</v>
      </c>
      <c r="D560" t="s">
        <v>339</v>
      </c>
      <c r="E560" t="s">
        <v>312</v>
      </c>
      <c r="F560" t="s">
        <v>894</v>
      </c>
      <c r="G560">
        <v>773</v>
      </c>
      <c r="H560">
        <v>82892.600000000006</v>
      </c>
      <c r="I560">
        <v>107.23</v>
      </c>
      <c r="J560">
        <v>438</v>
      </c>
      <c r="K560">
        <v>40039.660000000011</v>
      </c>
      <c r="L560">
        <v>91.41</v>
      </c>
      <c r="M560">
        <v>1211</v>
      </c>
      <c r="N560">
        <v>122932.26000000001</v>
      </c>
      <c r="O560">
        <v>101.51</v>
      </c>
    </row>
    <row r="561" spans="1:15" x14ac:dyDescent="0.35">
      <c r="A561" t="s">
        <v>855</v>
      </c>
      <c r="B561" t="s">
        <v>225</v>
      </c>
      <c r="C561" t="s">
        <v>688</v>
      </c>
      <c r="D561" t="s">
        <v>348</v>
      </c>
      <c r="E561" t="s">
        <v>349</v>
      </c>
      <c r="F561" t="s">
        <v>895</v>
      </c>
      <c r="G561">
        <v>1021</v>
      </c>
      <c r="H561">
        <v>100636.04000000001</v>
      </c>
      <c r="I561">
        <v>109.86</v>
      </c>
      <c r="J561">
        <v>455</v>
      </c>
      <c r="K561">
        <v>41202.970000000008</v>
      </c>
      <c r="L561">
        <v>90.56</v>
      </c>
      <c r="M561">
        <v>1476</v>
      </c>
      <c r="N561">
        <v>141839.01</v>
      </c>
      <c r="O561">
        <v>103.46</v>
      </c>
    </row>
    <row r="562" spans="1:15" x14ac:dyDescent="0.35">
      <c r="A562" t="s">
        <v>896</v>
      </c>
      <c r="B562" t="s">
        <v>897</v>
      </c>
      <c r="C562" t="s">
        <v>898</v>
      </c>
      <c r="D562" t="s">
        <v>293</v>
      </c>
      <c r="E562" t="s">
        <v>294</v>
      </c>
      <c r="F562" t="s">
        <v>899</v>
      </c>
      <c r="G562">
        <v>157</v>
      </c>
      <c r="H562">
        <v>16591.390000000003</v>
      </c>
      <c r="I562">
        <v>105.68</v>
      </c>
      <c r="J562">
        <v>28</v>
      </c>
      <c r="K562">
        <v>3165.4</v>
      </c>
      <c r="L562">
        <v>113.05</v>
      </c>
      <c r="M562">
        <v>185</v>
      </c>
      <c r="N562">
        <v>19756.790000000005</v>
      </c>
      <c r="O562">
        <v>106.79</v>
      </c>
    </row>
    <row r="563" spans="1:15" x14ac:dyDescent="0.35">
      <c r="A563" t="s">
        <v>896</v>
      </c>
      <c r="B563" t="s">
        <v>897</v>
      </c>
      <c r="C563" t="s">
        <v>898</v>
      </c>
      <c r="D563" t="s">
        <v>293</v>
      </c>
      <c r="E563" t="s">
        <v>296</v>
      </c>
      <c r="F563" t="s">
        <v>900</v>
      </c>
      <c r="G563">
        <v>478</v>
      </c>
      <c r="H563">
        <v>65345.909999999996</v>
      </c>
      <c r="I563">
        <v>136.71</v>
      </c>
      <c r="J563">
        <v>151</v>
      </c>
      <c r="K563">
        <v>20513.349999999999</v>
      </c>
      <c r="L563">
        <v>135.85</v>
      </c>
      <c r="M563">
        <v>629</v>
      </c>
      <c r="N563">
        <v>85859.26</v>
      </c>
      <c r="O563">
        <v>136.5</v>
      </c>
    </row>
    <row r="564" spans="1:15" x14ac:dyDescent="0.35">
      <c r="A564" t="s">
        <v>896</v>
      </c>
      <c r="B564" t="s">
        <v>897</v>
      </c>
      <c r="C564" t="s">
        <v>898</v>
      </c>
      <c r="D564" t="s">
        <v>293</v>
      </c>
      <c r="E564" t="s">
        <v>298</v>
      </c>
      <c r="F564" t="s">
        <v>901</v>
      </c>
      <c r="G564">
        <v>184</v>
      </c>
      <c r="H564">
        <v>27804.939999999995</v>
      </c>
      <c r="I564">
        <v>151.11000000000001</v>
      </c>
      <c r="J564">
        <v>120</v>
      </c>
      <c r="K564">
        <v>19234.8</v>
      </c>
      <c r="L564">
        <v>160.29</v>
      </c>
      <c r="M564">
        <v>304</v>
      </c>
      <c r="N564">
        <v>47039.739999999991</v>
      </c>
      <c r="O564">
        <v>154.74</v>
      </c>
    </row>
    <row r="565" spans="1:15" x14ac:dyDescent="0.35">
      <c r="A565" t="s">
        <v>896</v>
      </c>
      <c r="B565" t="s">
        <v>897</v>
      </c>
      <c r="C565" t="s">
        <v>898</v>
      </c>
      <c r="D565" t="s">
        <v>293</v>
      </c>
      <c r="E565" t="s">
        <v>300</v>
      </c>
      <c r="F565" t="s">
        <v>902</v>
      </c>
      <c r="G565">
        <v>36</v>
      </c>
      <c r="H565">
        <v>6675.0899999999992</v>
      </c>
      <c r="I565">
        <v>185.42</v>
      </c>
      <c r="J565">
        <v>47</v>
      </c>
      <c r="K565">
        <v>8356.1299999999992</v>
      </c>
      <c r="L565">
        <v>177.79</v>
      </c>
      <c r="M565">
        <v>83</v>
      </c>
      <c r="N565">
        <v>15031.219999999998</v>
      </c>
      <c r="O565">
        <v>181.1</v>
      </c>
    </row>
    <row r="566" spans="1:15" x14ac:dyDescent="0.35">
      <c r="A566" t="s">
        <v>896</v>
      </c>
      <c r="B566" t="s">
        <v>897</v>
      </c>
      <c r="C566" t="s">
        <v>898</v>
      </c>
      <c r="D566" t="s">
        <v>293</v>
      </c>
      <c r="E566" t="s">
        <v>302</v>
      </c>
      <c r="F566" t="s">
        <v>903</v>
      </c>
      <c r="G566">
        <v>2</v>
      </c>
      <c r="H566">
        <v>376.86</v>
      </c>
      <c r="I566">
        <v>188.43</v>
      </c>
      <c r="J566">
        <v>30</v>
      </c>
      <c r="K566">
        <v>5589.3</v>
      </c>
      <c r="L566">
        <v>186.31</v>
      </c>
      <c r="M566">
        <v>32</v>
      </c>
      <c r="N566">
        <v>5966.16</v>
      </c>
      <c r="O566">
        <v>186.44</v>
      </c>
    </row>
    <row r="567" spans="1:15" x14ac:dyDescent="0.35">
      <c r="A567" t="s">
        <v>896</v>
      </c>
      <c r="B567" t="s">
        <v>897</v>
      </c>
      <c r="C567" t="s">
        <v>898</v>
      </c>
      <c r="D567" t="s">
        <v>293</v>
      </c>
      <c r="E567" t="s">
        <v>304</v>
      </c>
      <c r="F567" t="s">
        <v>904</v>
      </c>
      <c r="G567">
        <v>0</v>
      </c>
      <c r="H567">
        <v>0</v>
      </c>
      <c r="I567">
        <v>0</v>
      </c>
      <c r="J567">
        <v>7</v>
      </c>
      <c r="K567">
        <v>1188.74</v>
      </c>
      <c r="L567">
        <v>169.82</v>
      </c>
      <c r="M567">
        <v>7</v>
      </c>
      <c r="N567">
        <v>1188.74</v>
      </c>
      <c r="O567">
        <v>169.82</v>
      </c>
    </row>
    <row r="568" spans="1:15" x14ac:dyDescent="0.35">
      <c r="A568" t="s">
        <v>896</v>
      </c>
      <c r="B568" t="s">
        <v>897</v>
      </c>
      <c r="C568" t="s">
        <v>898</v>
      </c>
      <c r="D568" t="s">
        <v>293</v>
      </c>
      <c r="E568" t="s">
        <v>306</v>
      </c>
      <c r="F568" t="s">
        <v>905</v>
      </c>
      <c r="G568">
        <v>0</v>
      </c>
      <c r="H568">
        <v>0</v>
      </c>
      <c r="I568">
        <v>0</v>
      </c>
      <c r="J568">
        <v>0</v>
      </c>
      <c r="K568">
        <v>0</v>
      </c>
      <c r="L568">
        <v>0</v>
      </c>
      <c r="M568">
        <v>0</v>
      </c>
      <c r="N568">
        <v>0</v>
      </c>
      <c r="O568">
        <v>0</v>
      </c>
    </row>
    <row r="569" spans="1:15" x14ac:dyDescent="0.35">
      <c r="A569" t="s">
        <v>896</v>
      </c>
      <c r="B569" t="s">
        <v>897</v>
      </c>
      <c r="C569" t="s">
        <v>898</v>
      </c>
      <c r="D569" t="s">
        <v>293</v>
      </c>
      <c r="E569" t="s">
        <v>308</v>
      </c>
      <c r="F569" t="s">
        <v>906</v>
      </c>
      <c r="G569">
        <v>0</v>
      </c>
      <c r="H569">
        <v>0</v>
      </c>
      <c r="I569">
        <v>0</v>
      </c>
      <c r="J569">
        <v>0</v>
      </c>
      <c r="K569">
        <v>0</v>
      </c>
      <c r="L569">
        <v>0</v>
      </c>
      <c r="M569">
        <v>0</v>
      </c>
      <c r="N569">
        <v>0</v>
      </c>
      <c r="O569">
        <v>0</v>
      </c>
    </row>
    <row r="570" spans="1:15" x14ac:dyDescent="0.35">
      <c r="A570" t="s">
        <v>896</v>
      </c>
      <c r="B570" t="s">
        <v>897</v>
      </c>
      <c r="C570" t="s">
        <v>898</v>
      </c>
      <c r="D570" t="s">
        <v>293</v>
      </c>
      <c r="E570" t="s">
        <v>310</v>
      </c>
      <c r="F570" t="s">
        <v>907</v>
      </c>
      <c r="G570">
        <v>857</v>
      </c>
      <c r="H570">
        <v>116794.18999999999</v>
      </c>
      <c r="I570">
        <v>136.28</v>
      </c>
      <c r="J570">
        <v>383</v>
      </c>
      <c r="K570">
        <v>58047.72</v>
      </c>
      <c r="L570">
        <v>151.56</v>
      </c>
      <c r="M570">
        <v>1240</v>
      </c>
      <c r="N570">
        <v>174841.90999999997</v>
      </c>
      <c r="O570">
        <v>141</v>
      </c>
    </row>
    <row r="571" spans="1:15" x14ac:dyDescent="0.35">
      <c r="A571" t="s">
        <v>896</v>
      </c>
      <c r="B571" t="s">
        <v>897</v>
      </c>
      <c r="C571" t="s">
        <v>898</v>
      </c>
      <c r="D571" t="s">
        <v>293</v>
      </c>
      <c r="E571" t="s">
        <v>312</v>
      </c>
      <c r="F571" t="s">
        <v>908</v>
      </c>
      <c r="G571">
        <v>857</v>
      </c>
      <c r="H571">
        <v>116794.18999999999</v>
      </c>
      <c r="I571">
        <v>136.28</v>
      </c>
      <c r="J571">
        <v>383</v>
      </c>
      <c r="K571">
        <v>58047.72</v>
      </c>
      <c r="L571">
        <v>151.56</v>
      </c>
      <c r="M571">
        <v>1240</v>
      </c>
      <c r="N571">
        <v>174841.90999999997</v>
      </c>
      <c r="O571">
        <v>141</v>
      </c>
    </row>
    <row r="572" spans="1:15" x14ac:dyDescent="0.35">
      <c r="A572" t="s">
        <v>896</v>
      </c>
      <c r="B572" t="s">
        <v>897</v>
      </c>
      <c r="C572" t="s">
        <v>898</v>
      </c>
      <c r="D572" t="s">
        <v>314</v>
      </c>
      <c r="E572" t="s">
        <v>294</v>
      </c>
      <c r="F572" t="s">
        <v>909</v>
      </c>
      <c r="G572">
        <v>3</v>
      </c>
      <c r="H572">
        <v>1193.82</v>
      </c>
      <c r="I572">
        <v>397.94</v>
      </c>
      <c r="J572">
        <v>28</v>
      </c>
      <c r="K572">
        <v>2854.6</v>
      </c>
      <c r="L572">
        <v>101.95</v>
      </c>
      <c r="M572">
        <v>31</v>
      </c>
      <c r="N572">
        <v>4048.42</v>
      </c>
      <c r="O572">
        <v>130.59</v>
      </c>
    </row>
    <row r="573" spans="1:15" x14ac:dyDescent="0.35">
      <c r="A573" t="s">
        <v>896</v>
      </c>
      <c r="B573" t="s">
        <v>897</v>
      </c>
      <c r="C573" t="s">
        <v>898</v>
      </c>
      <c r="D573" t="s">
        <v>314</v>
      </c>
      <c r="E573" t="s">
        <v>296</v>
      </c>
      <c r="F573" t="s">
        <v>910</v>
      </c>
      <c r="G573">
        <v>0</v>
      </c>
      <c r="H573">
        <v>0</v>
      </c>
      <c r="I573">
        <v>0</v>
      </c>
      <c r="J573">
        <v>101</v>
      </c>
      <c r="K573">
        <v>12382.599999999999</v>
      </c>
      <c r="L573">
        <v>122.6</v>
      </c>
      <c r="M573">
        <v>101</v>
      </c>
      <c r="N573">
        <v>12382.599999999999</v>
      </c>
      <c r="O573">
        <v>122.6</v>
      </c>
    </row>
    <row r="574" spans="1:15" x14ac:dyDescent="0.35">
      <c r="A574" t="s">
        <v>896</v>
      </c>
      <c r="B574" t="s">
        <v>897</v>
      </c>
      <c r="C574" t="s">
        <v>898</v>
      </c>
      <c r="D574" t="s">
        <v>314</v>
      </c>
      <c r="E574" t="s">
        <v>298</v>
      </c>
      <c r="F574" t="s">
        <v>911</v>
      </c>
      <c r="G574">
        <v>0</v>
      </c>
      <c r="H574">
        <v>0</v>
      </c>
      <c r="I574">
        <v>0</v>
      </c>
      <c r="J574">
        <v>5</v>
      </c>
      <c r="K574">
        <v>832.30000000000007</v>
      </c>
      <c r="L574">
        <v>166.46</v>
      </c>
      <c r="M574">
        <v>5</v>
      </c>
      <c r="N574">
        <v>832.30000000000007</v>
      </c>
      <c r="O574">
        <v>166.46</v>
      </c>
    </row>
    <row r="575" spans="1:15" x14ac:dyDescent="0.35">
      <c r="A575" t="s">
        <v>896</v>
      </c>
      <c r="B575" t="s">
        <v>897</v>
      </c>
      <c r="C575" t="s">
        <v>898</v>
      </c>
      <c r="D575" t="s">
        <v>314</v>
      </c>
      <c r="E575" t="s">
        <v>300</v>
      </c>
      <c r="F575" t="s">
        <v>912</v>
      </c>
      <c r="G575">
        <v>0</v>
      </c>
      <c r="H575">
        <v>0</v>
      </c>
      <c r="I575">
        <v>0</v>
      </c>
      <c r="J575">
        <v>2</v>
      </c>
      <c r="K575">
        <v>357.46</v>
      </c>
      <c r="L575">
        <v>178.73</v>
      </c>
      <c r="M575">
        <v>2</v>
      </c>
      <c r="N575">
        <v>357.46</v>
      </c>
      <c r="O575">
        <v>178.73</v>
      </c>
    </row>
    <row r="576" spans="1:15" x14ac:dyDescent="0.35">
      <c r="A576" t="s">
        <v>896</v>
      </c>
      <c r="B576" t="s">
        <v>897</v>
      </c>
      <c r="C576" t="s">
        <v>898</v>
      </c>
      <c r="D576" t="s">
        <v>314</v>
      </c>
      <c r="E576" t="s">
        <v>306</v>
      </c>
      <c r="F576" t="s">
        <v>913</v>
      </c>
      <c r="G576">
        <v>7</v>
      </c>
      <c r="H576">
        <v>2744.7000000000003</v>
      </c>
      <c r="I576">
        <v>392.1</v>
      </c>
      <c r="J576">
        <v>0</v>
      </c>
      <c r="K576">
        <v>0</v>
      </c>
      <c r="L576">
        <v>0</v>
      </c>
      <c r="M576">
        <v>7</v>
      </c>
      <c r="N576">
        <v>2744.7000000000003</v>
      </c>
      <c r="O576">
        <v>392.1</v>
      </c>
    </row>
    <row r="577" spans="1:15" x14ac:dyDescent="0.35">
      <c r="A577" t="s">
        <v>896</v>
      </c>
      <c r="B577" t="s">
        <v>897</v>
      </c>
      <c r="C577" t="s">
        <v>898</v>
      </c>
      <c r="D577" t="s">
        <v>314</v>
      </c>
      <c r="E577" t="s">
        <v>308</v>
      </c>
      <c r="F577" t="s">
        <v>914</v>
      </c>
      <c r="G577">
        <v>27</v>
      </c>
      <c r="H577">
        <v>9963.06</v>
      </c>
      <c r="I577">
        <v>369</v>
      </c>
      <c r="J577">
        <v>9</v>
      </c>
      <c r="K577">
        <v>642.6</v>
      </c>
      <c r="L577">
        <v>71.400000000000006</v>
      </c>
      <c r="M577">
        <v>36</v>
      </c>
      <c r="N577">
        <v>10605.66</v>
      </c>
      <c r="O577">
        <v>294.60000000000002</v>
      </c>
    </row>
    <row r="578" spans="1:15" x14ac:dyDescent="0.35">
      <c r="A578" t="s">
        <v>896</v>
      </c>
      <c r="B578" t="s">
        <v>897</v>
      </c>
      <c r="C578" t="s">
        <v>898</v>
      </c>
      <c r="D578" t="s">
        <v>314</v>
      </c>
      <c r="E578" t="s">
        <v>312</v>
      </c>
      <c r="F578" t="s">
        <v>915</v>
      </c>
      <c r="G578">
        <v>10</v>
      </c>
      <c r="H578">
        <v>3938.5200000000004</v>
      </c>
      <c r="I578">
        <v>393.85</v>
      </c>
      <c r="J578">
        <v>136</v>
      </c>
      <c r="K578">
        <v>16426.96</v>
      </c>
      <c r="L578">
        <v>120.79</v>
      </c>
      <c r="M578">
        <v>146</v>
      </c>
      <c r="N578">
        <v>20365.48</v>
      </c>
      <c r="O578">
        <v>139.49</v>
      </c>
    </row>
    <row r="579" spans="1:15" x14ac:dyDescent="0.35">
      <c r="A579" t="s">
        <v>896</v>
      </c>
      <c r="B579" t="s">
        <v>897</v>
      </c>
      <c r="C579" t="s">
        <v>898</v>
      </c>
      <c r="D579" t="s">
        <v>314</v>
      </c>
      <c r="E579" t="s">
        <v>310</v>
      </c>
      <c r="F579" t="s">
        <v>916</v>
      </c>
      <c r="G579">
        <v>37</v>
      </c>
      <c r="H579">
        <v>13901.58</v>
      </c>
      <c r="I579">
        <v>375.72</v>
      </c>
      <c r="J579">
        <v>145</v>
      </c>
      <c r="K579">
        <v>17069.559999999998</v>
      </c>
      <c r="L579">
        <v>117.72</v>
      </c>
      <c r="M579">
        <v>182</v>
      </c>
      <c r="N579">
        <v>30971.14</v>
      </c>
      <c r="O579">
        <v>170.17</v>
      </c>
    </row>
    <row r="580" spans="1:15" x14ac:dyDescent="0.35">
      <c r="A580" t="s">
        <v>896</v>
      </c>
      <c r="B580" t="s">
        <v>897</v>
      </c>
      <c r="C580" t="s">
        <v>898</v>
      </c>
      <c r="D580" t="s">
        <v>323</v>
      </c>
      <c r="E580" t="s">
        <v>294</v>
      </c>
      <c r="F580" t="s">
        <v>917</v>
      </c>
      <c r="G580">
        <v>1432</v>
      </c>
      <c r="H580">
        <v>135047.16999999998</v>
      </c>
      <c r="I580">
        <v>94.31</v>
      </c>
      <c r="J580">
        <v>1814</v>
      </c>
      <c r="K580">
        <v>154026.74</v>
      </c>
      <c r="L580">
        <v>84.91</v>
      </c>
      <c r="M580">
        <v>3246</v>
      </c>
      <c r="N580">
        <v>289073.90999999997</v>
      </c>
      <c r="O580">
        <v>89.06</v>
      </c>
    </row>
    <row r="581" spans="1:15" x14ac:dyDescent="0.35">
      <c r="A581" t="s">
        <v>896</v>
      </c>
      <c r="B581" t="s">
        <v>897</v>
      </c>
      <c r="C581" t="s">
        <v>898</v>
      </c>
      <c r="D581" t="s">
        <v>323</v>
      </c>
      <c r="E581" t="s">
        <v>296</v>
      </c>
      <c r="F581" t="s">
        <v>918</v>
      </c>
      <c r="G581">
        <v>2308</v>
      </c>
      <c r="H581">
        <v>254346.84</v>
      </c>
      <c r="I581">
        <v>110.2</v>
      </c>
      <c r="J581">
        <v>2811</v>
      </c>
      <c r="K581">
        <v>264430.76999999996</v>
      </c>
      <c r="L581">
        <v>94.07</v>
      </c>
      <c r="M581">
        <v>5119</v>
      </c>
      <c r="N581">
        <v>518777.61</v>
      </c>
      <c r="O581">
        <v>101.34</v>
      </c>
    </row>
    <row r="582" spans="1:15" x14ac:dyDescent="0.35">
      <c r="A582" t="s">
        <v>896</v>
      </c>
      <c r="B582" t="s">
        <v>897</v>
      </c>
      <c r="C582" t="s">
        <v>898</v>
      </c>
      <c r="D582" t="s">
        <v>323</v>
      </c>
      <c r="E582" t="s">
        <v>298</v>
      </c>
      <c r="F582" t="s">
        <v>919</v>
      </c>
      <c r="G582">
        <v>1236</v>
      </c>
      <c r="H582">
        <v>152331.60000000003</v>
      </c>
      <c r="I582">
        <v>123.25</v>
      </c>
      <c r="J582">
        <v>4733</v>
      </c>
      <c r="K582">
        <v>489865.5</v>
      </c>
      <c r="L582">
        <v>103.5</v>
      </c>
      <c r="M582">
        <v>5969</v>
      </c>
      <c r="N582">
        <v>642197.10000000009</v>
      </c>
      <c r="O582">
        <v>107.59</v>
      </c>
    </row>
    <row r="583" spans="1:15" x14ac:dyDescent="0.35">
      <c r="A583" t="s">
        <v>896</v>
      </c>
      <c r="B583" t="s">
        <v>897</v>
      </c>
      <c r="C583" t="s">
        <v>898</v>
      </c>
      <c r="D583" t="s">
        <v>323</v>
      </c>
      <c r="E583" t="s">
        <v>300</v>
      </c>
      <c r="F583" t="s">
        <v>920</v>
      </c>
      <c r="G583">
        <v>220</v>
      </c>
      <c r="H583">
        <v>30246.49</v>
      </c>
      <c r="I583">
        <v>137.47999999999999</v>
      </c>
      <c r="J583">
        <v>110</v>
      </c>
      <c r="K583">
        <v>12609.3</v>
      </c>
      <c r="L583">
        <v>114.63</v>
      </c>
      <c r="M583">
        <v>330</v>
      </c>
      <c r="N583">
        <v>42855.79</v>
      </c>
      <c r="O583">
        <v>129.87</v>
      </c>
    </row>
    <row r="584" spans="1:15" x14ac:dyDescent="0.35">
      <c r="A584" t="s">
        <v>896</v>
      </c>
      <c r="B584" t="s">
        <v>897</v>
      </c>
      <c r="C584" t="s">
        <v>898</v>
      </c>
      <c r="D584" t="s">
        <v>323</v>
      </c>
      <c r="E584" t="s">
        <v>302</v>
      </c>
      <c r="F584" t="s">
        <v>921</v>
      </c>
      <c r="G584">
        <v>8</v>
      </c>
      <c r="H584">
        <v>1276.5</v>
      </c>
      <c r="I584">
        <v>159.56</v>
      </c>
      <c r="J584">
        <v>12</v>
      </c>
      <c r="K584">
        <v>1492.68</v>
      </c>
      <c r="L584">
        <v>124.39</v>
      </c>
      <c r="M584">
        <v>20</v>
      </c>
      <c r="N584">
        <v>2769.1800000000003</v>
      </c>
      <c r="O584">
        <v>138.46</v>
      </c>
    </row>
    <row r="585" spans="1:15" x14ac:dyDescent="0.35">
      <c r="A585" t="s">
        <v>896</v>
      </c>
      <c r="B585" t="s">
        <v>897</v>
      </c>
      <c r="C585" t="s">
        <v>898</v>
      </c>
      <c r="D585" t="s">
        <v>323</v>
      </c>
      <c r="E585" t="s">
        <v>304</v>
      </c>
      <c r="F585" t="s">
        <v>922</v>
      </c>
      <c r="G585">
        <v>2</v>
      </c>
      <c r="H585">
        <v>359.06</v>
      </c>
      <c r="I585">
        <v>179.53</v>
      </c>
      <c r="J585">
        <v>9</v>
      </c>
      <c r="K585">
        <v>1166.8500000000001</v>
      </c>
      <c r="L585">
        <v>129.65</v>
      </c>
      <c r="M585">
        <v>11</v>
      </c>
      <c r="N585">
        <v>1525.91</v>
      </c>
      <c r="O585">
        <v>138.72</v>
      </c>
    </row>
    <row r="586" spans="1:15" x14ac:dyDescent="0.35">
      <c r="A586" t="s">
        <v>896</v>
      </c>
      <c r="B586" t="s">
        <v>897</v>
      </c>
      <c r="C586" t="s">
        <v>898</v>
      </c>
      <c r="D586" t="s">
        <v>323</v>
      </c>
      <c r="E586" t="s">
        <v>306</v>
      </c>
      <c r="F586" t="s">
        <v>923</v>
      </c>
      <c r="G586">
        <v>28</v>
      </c>
      <c r="H586">
        <v>2322.54</v>
      </c>
      <c r="I586">
        <v>82.95</v>
      </c>
      <c r="J586">
        <v>6</v>
      </c>
      <c r="K586">
        <v>458.52</v>
      </c>
      <c r="L586">
        <v>76.42</v>
      </c>
      <c r="M586">
        <v>34</v>
      </c>
      <c r="N586">
        <v>2781.06</v>
      </c>
      <c r="O586">
        <v>81.8</v>
      </c>
    </row>
    <row r="587" spans="1:15" x14ac:dyDescent="0.35">
      <c r="A587" t="s">
        <v>896</v>
      </c>
      <c r="B587" t="s">
        <v>897</v>
      </c>
      <c r="C587" t="s">
        <v>898</v>
      </c>
      <c r="D587" t="s">
        <v>323</v>
      </c>
      <c r="E587" t="s">
        <v>308</v>
      </c>
      <c r="F587" t="s">
        <v>924</v>
      </c>
      <c r="G587">
        <v>0</v>
      </c>
      <c r="H587">
        <v>0</v>
      </c>
      <c r="I587">
        <v>0</v>
      </c>
      <c r="J587">
        <v>0</v>
      </c>
      <c r="K587">
        <v>0</v>
      </c>
      <c r="L587">
        <v>0</v>
      </c>
      <c r="M587">
        <v>0</v>
      </c>
      <c r="N587">
        <v>0</v>
      </c>
      <c r="O587">
        <v>0</v>
      </c>
    </row>
    <row r="588" spans="1:15" x14ac:dyDescent="0.35">
      <c r="A588" t="s">
        <v>896</v>
      </c>
      <c r="B588" t="s">
        <v>897</v>
      </c>
      <c r="C588" t="s">
        <v>898</v>
      </c>
      <c r="D588" t="s">
        <v>323</v>
      </c>
      <c r="E588" t="s">
        <v>310</v>
      </c>
      <c r="F588" t="s">
        <v>925</v>
      </c>
      <c r="G588">
        <v>5234</v>
      </c>
      <c r="H588">
        <v>575930.20000000019</v>
      </c>
      <c r="I588">
        <v>110.04</v>
      </c>
      <c r="J588">
        <v>9495</v>
      </c>
      <c r="K588">
        <v>924050.3600000001</v>
      </c>
      <c r="L588">
        <v>97.32</v>
      </c>
      <c r="M588">
        <v>14729</v>
      </c>
      <c r="N588">
        <v>1499980.5600000003</v>
      </c>
      <c r="O588">
        <v>101.84</v>
      </c>
    </row>
    <row r="589" spans="1:15" x14ac:dyDescent="0.35">
      <c r="A589" t="s">
        <v>896</v>
      </c>
      <c r="B589" t="s">
        <v>897</v>
      </c>
      <c r="C589" t="s">
        <v>898</v>
      </c>
      <c r="D589" t="s">
        <v>323</v>
      </c>
      <c r="E589" t="s">
        <v>312</v>
      </c>
      <c r="F589" t="s">
        <v>926</v>
      </c>
      <c r="G589">
        <v>5234</v>
      </c>
      <c r="H589">
        <v>575930.20000000019</v>
      </c>
      <c r="I589">
        <v>110.04</v>
      </c>
      <c r="J589">
        <v>9495</v>
      </c>
      <c r="K589">
        <v>924050.3600000001</v>
      </c>
      <c r="L589">
        <v>97.32</v>
      </c>
      <c r="M589">
        <v>14729</v>
      </c>
      <c r="N589">
        <v>1499980.5600000003</v>
      </c>
      <c r="O589">
        <v>101.84</v>
      </c>
    </row>
    <row r="590" spans="1:15" x14ac:dyDescent="0.35">
      <c r="A590" t="s">
        <v>896</v>
      </c>
      <c r="B590" t="s">
        <v>897</v>
      </c>
      <c r="C590" t="s">
        <v>898</v>
      </c>
      <c r="D590" t="s">
        <v>334</v>
      </c>
      <c r="E590" t="s">
        <v>312</v>
      </c>
      <c r="F590" t="s">
        <v>927</v>
      </c>
      <c r="G590">
        <v>6214</v>
      </c>
      <c r="H590">
        <v>692724.39000000013</v>
      </c>
      <c r="I590">
        <v>113.73</v>
      </c>
      <c r="J590">
        <v>9878</v>
      </c>
      <c r="K590">
        <v>982098.08000000007</v>
      </c>
      <c r="L590">
        <v>99.42</v>
      </c>
      <c r="M590">
        <v>16092</v>
      </c>
      <c r="N590">
        <v>1674822.4700000002</v>
      </c>
      <c r="O590">
        <v>104.88</v>
      </c>
    </row>
    <row r="591" spans="1:15" x14ac:dyDescent="0.35">
      <c r="A591" t="s">
        <v>896</v>
      </c>
      <c r="B591" t="s">
        <v>897</v>
      </c>
      <c r="C591" t="s">
        <v>898</v>
      </c>
      <c r="D591" t="s">
        <v>334</v>
      </c>
      <c r="E591" t="s">
        <v>308</v>
      </c>
      <c r="F591" t="s">
        <v>928</v>
      </c>
      <c r="G591">
        <v>102</v>
      </c>
      <c r="H591">
        <v>0</v>
      </c>
      <c r="I591">
        <v>0</v>
      </c>
      <c r="J591">
        <v>0</v>
      </c>
      <c r="K591">
        <v>0</v>
      </c>
      <c r="L591">
        <v>0</v>
      </c>
      <c r="M591">
        <v>102</v>
      </c>
      <c r="N591">
        <v>0</v>
      </c>
      <c r="O591">
        <v>0</v>
      </c>
    </row>
    <row r="592" spans="1:15" x14ac:dyDescent="0.35">
      <c r="A592" t="s">
        <v>896</v>
      </c>
      <c r="B592" t="s">
        <v>897</v>
      </c>
      <c r="C592" t="s">
        <v>898</v>
      </c>
      <c r="D592" t="s">
        <v>337</v>
      </c>
      <c r="E592" t="s">
        <v>337</v>
      </c>
      <c r="F592" t="s">
        <v>929</v>
      </c>
      <c r="G592">
        <v>608</v>
      </c>
      <c r="J592">
        <v>60</v>
      </c>
      <c r="M592">
        <v>668</v>
      </c>
    </row>
    <row r="593" spans="1:15" x14ac:dyDescent="0.35">
      <c r="A593" t="s">
        <v>896</v>
      </c>
      <c r="B593" t="s">
        <v>897</v>
      </c>
      <c r="C593" t="s">
        <v>898</v>
      </c>
      <c r="D593" t="s">
        <v>339</v>
      </c>
      <c r="E593" t="s">
        <v>294</v>
      </c>
      <c r="F593" t="s">
        <v>930</v>
      </c>
      <c r="G593">
        <v>931</v>
      </c>
      <c r="H593">
        <v>101327.44</v>
      </c>
      <c r="I593">
        <v>108.84</v>
      </c>
      <c r="J593">
        <v>1954</v>
      </c>
      <c r="K593">
        <v>175918.62</v>
      </c>
      <c r="L593">
        <v>90.03</v>
      </c>
      <c r="M593">
        <v>2885</v>
      </c>
      <c r="N593">
        <v>277246.06</v>
      </c>
      <c r="O593">
        <v>96.1</v>
      </c>
    </row>
    <row r="594" spans="1:15" x14ac:dyDescent="0.35">
      <c r="A594" t="s">
        <v>896</v>
      </c>
      <c r="B594" t="s">
        <v>897</v>
      </c>
      <c r="C594" t="s">
        <v>898</v>
      </c>
      <c r="D594" t="s">
        <v>339</v>
      </c>
      <c r="E594" t="s">
        <v>296</v>
      </c>
      <c r="F594" t="s">
        <v>931</v>
      </c>
      <c r="G594">
        <v>263</v>
      </c>
      <c r="H594">
        <v>35242.160000000003</v>
      </c>
      <c r="I594">
        <v>134</v>
      </c>
      <c r="J594">
        <v>267</v>
      </c>
      <c r="K594">
        <v>27853.439999999999</v>
      </c>
      <c r="L594">
        <v>104.32</v>
      </c>
      <c r="M594">
        <v>530</v>
      </c>
      <c r="N594">
        <v>63095.600000000006</v>
      </c>
      <c r="O594">
        <v>119.05</v>
      </c>
    </row>
    <row r="595" spans="1:15" x14ac:dyDescent="0.35">
      <c r="A595" t="s">
        <v>896</v>
      </c>
      <c r="B595" t="s">
        <v>897</v>
      </c>
      <c r="C595" t="s">
        <v>898</v>
      </c>
      <c r="D595" t="s">
        <v>339</v>
      </c>
      <c r="E595" t="s">
        <v>298</v>
      </c>
      <c r="F595" t="s">
        <v>932</v>
      </c>
      <c r="G595">
        <v>18</v>
      </c>
      <c r="H595">
        <v>2671.6099999999997</v>
      </c>
      <c r="I595">
        <v>148.41999999999999</v>
      </c>
      <c r="J595">
        <v>9</v>
      </c>
      <c r="K595">
        <v>1034.55</v>
      </c>
      <c r="L595">
        <v>114.95</v>
      </c>
      <c r="M595">
        <v>27</v>
      </c>
      <c r="N595">
        <v>3706.16</v>
      </c>
      <c r="O595">
        <v>137.27000000000001</v>
      </c>
    </row>
    <row r="596" spans="1:15" x14ac:dyDescent="0.35">
      <c r="A596" t="s">
        <v>896</v>
      </c>
      <c r="B596" t="s">
        <v>897</v>
      </c>
      <c r="C596" t="s">
        <v>898</v>
      </c>
      <c r="D596" t="s">
        <v>339</v>
      </c>
      <c r="E596" t="s">
        <v>300</v>
      </c>
      <c r="F596" t="s">
        <v>933</v>
      </c>
      <c r="G596">
        <v>0</v>
      </c>
      <c r="H596">
        <v>0</v>
      </c>
      <c r="I596">
        <v>0</v>
      </c>
      <c r="J596">
        <v>2</v>
      </c>
      <c r="K596">
        <v>297.5</v>
      </c>
      <c r="L596">
        <v>148.75</v>
      </c>
      <c r="M596">
        <v>2</v>
      </c>
      <c r="N596">
        <v>297.5</v>
      </c>
      <c r="O596">
        <v>148.75</v>
      </c>
    </row>
    <row r="597" spans="1:15" x14ac:dyDescent="0.35">
      <c r="A597" t="s">
        <v>896</v>
      </c>
      <c r="B597" t="s">
        <v>897</v>
      </c>
      <c r="C597" t="s">
        <v>898</v>
      </c>
      <c r="D597" t="s">
        <v>339</v>
      </c>
      <c r="E597" t="s">
        <v>306</v>
      </c>
      <c r="F597" t="s">
        <v>934</v>
      </c>
      <c r="G597">
        <v>139</v>
      </c>
      <c r="H597">
        <v>12040.130000000001</v>
      </c>
      <c r="I597">
        <v>86.62</v>
      </c>
      <c r="J597">
        <v>27</v>
      </c>
      <c r="K597">
        <v>2216.9699999999998</v>
      </c>
      <c r="L597">
        <v>82.11</v>
      </c>
      <c r="M597">
        <v>166</v>
      </c>
      <c r="N597">
        <v>14257.1</v>
      </c>
      <c r="O597">
        <v>85.89</v>
      </c>
    </row>
    <row r="598" spans="1:15" x14ac:dyDescent="0.35">
      <c r="A598" t="s">
        <v>896</v>
      </c>
      <c r="B598" t="s">
        <v>897</v>
      </c>
      <c r="C598" t="s">
        <v>898</v>
      </c>
      <c r="D598" t="s">
        <v>339</v>
      </c>
      <c r="E598" t="s">
        <v>308</v>
      </c>
      <c r="F598" t="s">
        <v>935</v>
      </c>
      <c r="G598">
        <v>188</v>
      </c>
      <c r="H598">
        <v>20117.53</v>
      </c>
      <c r="I598">
        <v>107.01</v>
      </c>
      <c r="J598">
        <v>12</v>
      </c>
      <c r="K598">
        <v>768.48</v>
      </c>
      <c r="L598">
        <v>64.040000000000006</v>
      </c>
      <c r="M598">
        <v>200</v>
      </c>
      <c r="N598">
        <v>20886.009999999998</v>
      </c>
      <c r="O598">
        <v>104.43</v>
      </c>
    </row>
    <row r="599" spans="1:15" x14ac:dyDescent="0.35">
      <c r="A599" t="s">
        <v>896</v>
      </c>
      <c r="B599" t="s">
        <v>897</v>
      </c>
      <c r="C599" t="s">
        <v>898</v>
      </c>
      <c r="D599" t="s">
        <v>339</v>
      </c>
      <c r="E599" t="s">
        <v>310</v>
      </c>
      <c r="F599" t="s">
        <v>936</v>
      </c>
      <c r="G599">
        <v>1539</v>
      </c>
      <c r="H599">
        <v>171398.87</v>
      </c>
      <c r="I599">
        <v>111.37</v>
      </c>
      <c r="J599">
        <v>2271</v>
      </c>
      <c r="K599">
        <v>208089.56</v>
      </c>
      <c r="L599">
        <v>91.63</v>
      </c>
      <c r="M599">
        <v>3810</v>
      </c>
      <c r="N599">
        <v>379488.43</v>
      </c>
      <c r="O599">
        <v>99.6</v>
      </c>
    </row>
    <row r="600" spans="1:15" x14ac:dyDescent="0.35">
      <c r="A600" t="s">
        <v>896</v>
      </c>
      <c r="B600" t="s">
        <v>897</v>
      </c>
      <c r="C600" t="s">
        <v>898</v>
      </c>
      <c r="D600" t="s">
        <v>339</v>
      </c>
      <c r="E600" t="s">
        <v>312</v>
      </c>
      <c r="F600" t="s">
        <v>937</v>
      </c>
      <c r="G600">
        <v>1351</v>
      </c>
      <c r="H600">
        <v>151281.34</v>
      </c>
      <c r="I600">
        <v>111.98</v>
      </c>
      <c r="J600">
        <v>2259</v>
      </c>
      <c r="K600">
        <v>207321.08</v>
      </c>
      <c r="L600">
        <v>91.78</v>
      </c>
      <c r="M600">
        <v>3610</v>
      </c>
      <c r="N600">
        <v>358602.42</v>
      </c>
      <c r="O600">
        <v>99.34</v>
      </c>
    </row>
    <row r="601" spans="1:15" x14ac:dyDescent="0.35">
      <c r="A601" t="s">
        <v>896</v>
      </c>
      <c r="B601" t="s">
        <v>897</v>
      </c>
      <c r="C601" t="s">
        <v>898</v>
      </c>
      <c r="D601" t="s">
        <v>348</v>
      </c>
      <c r="E601" t="s">
        <v>349</v>
      </c>
      <c r="F601" t="s">
        <v>938</v>
      </c>
      <c r="G601">
        <v>1941</v>
      </c>
      <c r="H601">
        <v>185300.44999999998</v>
      </c>
      <c r="I601">
        <v>117.58</v>
      </c>
      <c r="J601">
        <v>2416</v>
      </c>
      <c r="K601">
        <v>225159.12</v>
      </c>
      <c r="L601">
        <v>93.2</v>
      </c>
      <c r="M601">
        <v>4357</v>
      </c>
      <c r="N601">
        <v>410459.56999999995</v>
      </c>
      <c r="O601">
        <v>102.82</v>
      </c>
    </row>
    <row r="602" spans="1:15" x14ac:dyDescent="0.35">
      <c r="A602" t="s">
        <v>939</v>
      </c>
      <c r="B602" t="s">
        <v>940</v>
      </c>
      <c r="C602" t="s">
        <v>898</v>
      </c>
      <c r="D602" t="s">
        <v>293</v>
      </c>
      <c r="E602" t="s">
        <v>294</v>
      </c>
      <c r="F602" t="s">
        <v>941</v>
      </c>
      <c r="G602">
        <v>120</v>
      </c>
      <c r="H602">
        <v>14194.1</v>
      </c>
      <c r="I602">
        <v>118.28</v>
      </c>
      <c r="J602">
        <v>71</v>
      </c>
      <c r="K602">
        <v>7558.66</v>
      </c>
      <c r="L602">
        <v>106.46</v>
      </c>
      <c r="M602">
        <v>191</v>
      </c>
      <c r="N602">
        <v>21752.760000000002</v>
      </c>
      <c r="O602">
        <v>113.89</v>
      </c>
    </row>
    <row r="603" spans="1:15" x14ac:dyDescent="0.35">
      <c r="A603" t="s">
        <v>939</v>
      </c>
      <c r="B603" t="s">
        <v>940</v>
      </c>
      <c r="C603" t="s">
        <v>898</v>
      </c>
      <c r="D603" t="s">
        <v>293</v>
      </c>
      <c r="E603" t="s">
        <v>296</v>
      </c>
      <c r="F603" t="s">
        <v>942</v>
      </c>
      <c r="G603">
        <v>644</v>
      </c>
      <c r="H603">
        <v>85695.3</v>
      </c>
      <c r="I603">
        <v>133.07</v>
      </c>
      <c r="J603">
        <v>253</v>
      </c>
      <c r="K603">
        <v>32697.72</v>
      </c>
      <c r="L603">
        <v>129.24</v>
      </c>
      <c r="M603">
        <v>897</v>
      </c>
      <c r="N603">
        <v>118393.02</v>
      </c>
      <c r="O603">
        <v>131.99</v>
      </c>
    </row>
    <row r="604" spans="1:15" x14ac:dyDescent="0.35">
      <c r="A604" t="s">
        <v>939</v>
      </c>
      <c r="B604" t="s">
        <v>940</v>
      </c>
      <c r="C604" t="s">
        <v>898</v>
      </c>
      <c r="D604" t="s">
        <v>293</v>
      </c>
      <c r="E604" t="s">
        <v>298</v>
      </c>
      <c r="F604" t="s">
        <v>943</v>
      </c>
      <c r="G604">
        <v>427</v>
      </c>
      <c r="H604">
        <v>68011.01999999999</v>
      </c>
      <c r="I604">
        <v>159.28</v>
      </c>
      <c r="J604">
        <v>444</v>
      </c>
      <c r="K604">
        <v>70267.44</v>
      </c>
      <c r="L604">
        <v>158.26</v>
      </c>
      <c r="M604">
        <v>871</v>
      </c>
      <c r="N604">
        <v>138278.46</v>
      </c>
      <c r="O604">
        <v>158.76</v>
      </c>
    </row>
    <row r="605" spans="1:15" x14ac:dyDescent="0.35">
      <c r="A605" t="s">
        <v>939</v>
      </c>
      <c r="B605" t="s">
        <v>940</v>
      </c>
      <c r="C605" t="s">
        <v>898</v>
      </c>
      <c r="D605" t="s">
        <v>293</v>
      </c>
      <c r="E605" t="s">
        <v>300</v>
      </c>
      <c r="F605" t="s">
        <v>944</v>
      </c>
      <c r="G605">
        <v>95</v>
      </c>
      <c r="H605">
        <v>17901.68</v>
      </c>
      <c r="I605">
        <v>188.44</v>
      </c>
      <c r="J605">
        <v>56</v>
      </c>
      <c r="K605">
        <v>9610.7200000000012</v>
      </c>
      <c r="L605">
        <v>171.62</v>
      </c>
      <c r="M605">
        <v>151</v>
      </c>
      <c r="N605">
        <v>27512.400000000001</v>
      </c>
      <c r="O605">
        <v>182.2</v>
      </c>
    </row>
    <row r="606" spans="1:15" x14ac:dyDescent="0.35">
      <c r="A606" t="s">
        <v>939</v>
      </c>
      <c r="B606" t="s">
        <v>940</v>
      </c>
      <c r="C606" t="s">
        <v>898</v>
      </c>
      <c r="D606" t="s">
        <v>293</v>
      </c>
      <c r="E606" t="s">
        <v>302</v>
      </c>
      <c r="F606" t="s">
        <v>945</v>
      </c>
      <c r="G606">
        <v>5</v>
      </c>
      <c r="H606">
        <v>810.76</v>
      </c>
      <c r="I606">
        <v>162.15</v>
      </c>
      <c r="J606">
        <v>8</v>
      </c>
      <c r="K606">
        <v>1485.6</v>
      </c>
      <c r="L606">
        <v>185.7</v>
      </c>
      <c r="M606">
        <v>13</v>
      </c>
      <c r="N606">
        <v>2296.3599999999997</v>
      </c>
      <c r="O606">
        <v>176.64</v>
      </c>
    </row>
    <row r="607" spans="1:15" x14ac:dyDescent="0.35">
      <c r="A607" t="s">
        <v>939</v>
      </c>
      <c r="B607" t="s">
        <v>940</v>
      </c>
      <c r="C607" t="s">
        <v>898</v>
      </c>
      <c r="D607" t="s">
        <v>293</v>
      </c>
      <c r="E607" t="s">
        <v>304</v>
      </c>
      <c r="F607" t="s">
        <v>946</v>
      </c>
      <c r="G607">
        <v>1</v>
      </c>
      <c r="H607">
        <v>164</v>
      </c>
      <c r="I607">
        <v>164</v>
      </c>
      <c r="J607">
        <v>0</v>
      </c>
      <c r="K607">
        <v>0</v>
      </c>
      <c r="L607">
        <v>0</v>
      </c>
      <c r="M607">
        <v>1</v>
      </c>
      <c r="N607">
        <v>164</v>
      </c>
      <c r="O607">
        <v>164</v>
      </c>
    </row>
    <row r="608" spans="1:15" x14ac:dyDescent="0.35">
      <c r="A608" t="s">
        <v>939</v>
      </c>
      <c r="B608" t="s">
        <v>940</v>
      </c>
      <c r="C608" t="s">
        <v>898</v>
      </c>
      <c r="D608" t="s">
        <v>293</v>
      </c>
      <c r="E608" t="s">
        <v>306</v>
      </c>
      <c r="F608" t="s">
        <v>947</v>
      </c>
      <c r="G608">
        <v>1</v>
      </c>
      <c r="H608">
        <v>97.18</v>
      </c>
      <c r="I608">
        <v>97.18</v>
      </c>
      <c r="J608">
        <v>64</v>
      </c>
      <c r="K608">
        <v>6468.48</v>
      </c>
      <c r="L608">
        <v>101.07</v>
      </c>
      <c r="M608">
        <v>65</v>
      </c>
      <c r="N608">
        <v>6565.66</v>
      </c>
      <c r="O608">
        <v>101.01</v>
      </c>
    </row>
    <row r="609" spans="1:15" x14ac:dyDescent="0.35">
      <c r="A609" t="s">
        <v>939</v>
      </c>
      <c r="B609" t="s">
        <v>940</v>
      </c>
      <c r="C609" t="s">
        <v>898</v>
      </c>
      <c r="D609" t="s">
        <v>293</v>
      </c>
      <c r="E609" t="s">
        <v>308</v>
      </c>
      <c r="F609" t="s">
        <v>948</v>
      </c>
      <c r="G609">
        <v>0</v>
      </c>
      <c r="H609">
        <v>0</v>
      </c>
      <c r="I609">
        <v>0</v>
      </c>
      <c r="J609">
        <v>0</v>
      </c>
      <c r="K609">
        <v>0</v>
      </c>
      <c r="L609">
        <v>0</v>
      </c>
      <c r="M609">
        <v>0</v>
      </c>
      <c r="N609">
        <v>0</v>
      </c>
      <c r="O609">
        <v>0</v>
      </c>
    </row>
    <row r="610" spans="1:15" x14ac:dyDescent="0.35">
      <c r="A610" t="s">
        <v>939</v>
      </c>
      <c r="B610" t="s">
        <v>940</v>
      </c>
      <c r="C610" t="s">
        <v>898</v>
      </c>
      <c r="D610" t="s">
        <v>293</v>
      </c>
      <c r="E610" t="s">
        <v>310</v>
      </c>
      <c r="F610" t="s">
        <v>949</v>
      </c>
      <c r="G610">
        <v>1293</v>
      </c>
      <c r="H610">
        <v>186874.03999999998</v>
      </c>
      <c r="I610">
        <v>144.53</v>
      </c>
      <c r="J610">
        <v>896</v>
      </c>
      <c r="K610">
        <v>128088.62000000001</v>
      </c>
      <c r="L610">
        <v>142.96</v>
      </c>
      <c r="M610">
        <v>2189</v>
      </c>
      <c r="N610">
        <v>314962.65999999997</v>
      </c>
      <c r="O610">
        <v>143.88</v>
      </c>
    </row>
    <row r="611" spans="1:15" x14ac:dyDescent="0.35">
      <c r="A611" t="s">
        <v>939</v>
      </c>
      <c r="B611" t="s">
        <v>940</v>
      </c>
      <c r="C611" t="s">
        <v>898</v>
      </c>
      <c r="D611" t="s">
        <v>293</v>
      </c>
      <c r="E611" t="s">
        <v>312</v>
      </c>
      <c r="F611" t="s">
        <v>950</v>
      </c>
      <c r="G611">
        <v>1293</v>
      </c>
      <c r="H611">
        <v>186874.03999999998</v>
      </c>
      <c r="I611">
        <v>144.53</v>
      </c>
      <c r="J611">
        <v>896</v>
      </c>
      <c r="K611">
        <v>128088.62000000001</v>
      </c>
      <c r="L611">
        <v>142.96</v>
      </c>
      <c r="M611">
        <v>2189</v>
      </c>
      <c r="N611">
        <v>314962.65999999997</v>
      </c>
      <c r="O611">
        <v>143.88</v>
      </c>
    </row>
    <row r="612" spans="1:15" x14ac:dyDescent="0.35">
      <c r="A612" t="s">
        <v>939</v>
      </c>
      <c r="B612" t="s">
        <v>940</v>
      </c>
      <c r="C612" t="s">
        <v>898</v>
      </c>
      <c r="D612" t="s">
        <v>314</v>
      </c>
      <c r="E612" t="s">
        <v>294</v>
      </c>
      <c r="F612" t="s">
        <v>951</v>
      </c>
      <c r="G612">
        <v>23</v>
      </c>
      <c r="H612">
        <v>4749.2700000000004</v>
      </c>
      <c r="I612">
        <v>206.49</v>
      </c>
      <c r="J612">
        <v>0</v>
      </c>
      <c r="K612">
        <v>0</v>
      </c>
      <c r="L612">
        <v>0</v>
      </c>
      <c r="M612">
        <v>23</v>
      </c>
      <c r="N612">
        <v>4749.2700000000004</v>
      </c>
      <c r="O612">
        <v>206.49</v>
      </c>
    </row>
    <row r="613" spans="1:15" x14ac:dyDescent="0.35">
      <c r="A613" t="s">
        <v>939</v>
      </c>
      <c r="B613" t="s">
        <v>940</v>
      </c>
      <c r="C613" t="s">
        <v>898</v>
      </c>
      <c r="D613" t="s">
        <v>314</v>
      </c>
      <c r="E613" t="s">
        <v>296</v>
      </c>
      <c r="F613" t="s">
        <v>952</v>
      </c>
      <c r="G613">
        <v>2</v>
      </c>
      <c r="H613">
        <v>507.54</v>
      </c>
      <c r="I613">
        <v>253.77</v>
      </c>
      <c r="J613">
        <v>0</v>
      </c>
      <c r="K613">
        <v>0</v>
      </c>
      <c r="L613">
        <v>0</v>
      </c>
      <c r="M613">
        <v>2</v>
      </c>
      <c r="N613">
        <v>507.54</v>
      </c>
      <c r="O613">
        <v>253.77</v>
      </c>
    </row>
    <row r="614" spans="1:15" x14ac:dyDescent="0.35">
      <c r="A614" t="s">
        <v>939</v>
      </c>
      <c r="B614" t="s">
        <v>940</v>
      </c>
      <c r="C614" t="s">
        <v>898</v>
      </c>
      <c r="D614" t="s">
        <v>314</v>
      </c>
      <c r="E614" t="s">
        <v>298</v>
      </c>
      <c r="F614" t="s">
        <v>953</v>
      </c>
      <c r="G614">
        <v>0</v>
      </c>
      <c r="H614">
        <v>0</v>
      </c>
      <c r="I614">
        <v>0</v>
      </c>
      <c r="J614">
        <v>0</v>
      </c>
      <c r="K614">
        <v>0</v>
      </c>
      <c r="L614">
        <v>0</v>
      </c>
      <c r="M614">
        <v>0</v>
      </c>
      <c r="N614">
        <v>0</v>
      </c>
      <c r="O614">
        <v>0</v>
      </c>
    </row>
    <row r="615" spans="1:15" x14ac:dyDescent="0.35">
      <c r="A615" t="s">
        <v>939</v>
      </c>
      <c r="B615" t="s">
        <v>940</v>
      </c>
      <c r="C615" t="s">
        <v>898</v>
      </c>
      <c r="D615" t="s">
        <v>314</v>
      </c>
      <c r="E615" t="s">
        <v>300</v>
      </c>
      <c r="F615" t="s">
        <v>954</v>
      </c>
      <c r="G615">
        <v>0</v>
      </c>
      <c r="H615">
        <v>0</v>
      </c>
      <c r="I615">
        <v>0</v>
      </c>
      <c r="J615">
        <v>0</v>
      </c>
      <c r="K615">
        <v>0</v>
      </c>
      <c r="L615">
        <v>0</v>
      </c>
      <c r="M615">
        <v>0</v>
      </c>
      <c r="N615">
        <v>0</v>
      </c>
      <c r="O615">
        <v>0</v>
      </c>
    </row>
    <row r="616" spans="1:15" x14ac:dyDescent="0.35">
      <c r="A616" t="s">
        <v>939</v>
      </c>
      <c r="B616" t="s">
        <v>940</v>
      </c>
      <c r="C616" t="s">
        <v>898</v>
      </c>
      <c r="D616" t="s">
        <v>314</v>
      </c>
      <c r="E616" t="s">
        <v>306</v>
      </c>
      <c r="F616" t="s">
        <v>955</v>
      </c>
      <c r="G616">
        <v>1</v>
      </c>
      <c r="H616">
        <v>161.44999999999999</v>
      </c>
      <c r="I616">
        <v>161.44999999999999</v>
      </c>
      <c r="J616">
        <v>0</v>
      </c>
      <c r="K616">
        <v>0</v>
      </c>
      <c r="L616">
        <v>0</v>
      </c>
      <c r="M616">
        <v>1</v>
      </c>
      <c r="N616">
        <v>161.44999999999999</v>
      </c>
      <c r="O616">
        <v>161.44999999999999</v>
      </c>
    </row>
    <row r="617" spans="1:15" x14ac:dyDescent="0.35">
      <c r="A617" t="s">
        <v>939</v>
      </c>
      <c r="B617" t="s">
        <v>940</v>
      </c>
      <c r="C617" t="s">
        <v>898</v>
      </c>
      <c r="D617" t="s">
        <v>314</v>
      </c>
      <c r="E617" t="s">
        <v>308</v>
      </c>
      <c r="F617" t="s">
        <v>956</v>
      </c>
      <c r="G617">
        <v>0</v>
      </c>
      <c r="H617">
        <v>0</v>
      </c>
      <c r="I617">
        <v>0</v>
      </c>
      <c r="J617">
        <v>0</v>
      </c>
      <c r="K617">
        <v>0</v>
      </c>
      <c r="L617">
        <v>0</v>
      </c>
      <c r="M617">
        <v>0</v>
      </c>
      <c r="N617">
        <v>0</v>
      </c>
      <c r="O617">
        <v>0</v>
      </c>
    </row>
    <row r="618" spans="1:15" x14ac:dyDescent="0.35">
      <c r="A618" t="s">
        <v>939</v>
      </c>
      <c r="B618" t="s">
        <v>940</v>
      </c>
      <c r="C618" t="s">
        <v>898</v>
      </c>
      <c r="D618" t="s">
        <v>314</v>
      </c>
      <c r="E618" t="s">
        <v>312</v>
      </c>
      <c r="F618" t="s">
        <v>957</v>
      </c>
      <c r="G618">
        <v>26</v>
      </c>
      <c r="H618">
        <v>5418.26</v>
      </c>
      <c r="I618">
        <v>208.39</v>
      </c>
      <c r="J618">
        <v>0</v>
      </c>
      <c r="K618">
        <v>0</v>
      </c>
      <c r="L618">
        <v>0</v>
      </c>
      <c r="M618">
        <v>26</v>
      </c>
      <c r="N618">
        <v>5418.26</v>
      </c>
      <c r="O618">
        <v>208.39</v>
      </c>
    </row>
    <row r="619" spans="1:15" x14ac:dyDescent="0.35">
      <c r="A619" t="s">
        <v>939</v>
      </c>
      <c r="B619" t="s">
        <v>940</v>
      </c>
      <c r="C619" t="s">
        <v>898</v>
      </c>
      <c r="D619" t="s">
        <v>314</v>
      </c>
      <c r="E619" t="s">
        <v>310</v>
      </c>
      <c r="F619" t="s">
        <v>958</v>
      </c>
      <c r="G619">
        <v>26</v>
      </c>
      <c r="H619">
        <v>5418.26</v>
      </c>
      <c r="I619">
        <v>208.39</v>
      </c>
      <c r="J619">
        <v>0</v>
      </c>
      <c r="K619">
        <v>0</v>
      </c>
      <c r="L619">
        <v>0</v>
      </c>
      <c r="M619">
        <v>26</v>
      </c>
      <c r="N619">
        <v>5418.26</v>
      </c>
      <c r="O619">
        <v>208.39</v>
      </c>
    </row>
    <row r="620" spans="1:15" x14ac:dyDescent="0.35">
      <c r="A620" t="s">
        <v>939</v>
      </c>
      <c r="B620" t="s">
        <v>940</v>
      </c>
      <c r="C620" t="s">
        <v>898</v>
      </c>
      <c r="D620" t="s">
        <v>323</v>
      </c>
      <c r="E620" t="s">
        <v>294</v>
      </c>
      <c r="F620" t="s">
        <v>959</v>
      </c>
      <c r="G620">
        <v>1703</v>
      </c>
      <c r="H620">
        <v>148421.31999999998</v>
      </c>
      <c r="I620">
        <v>87.15</v>
      </c>
      <c r="J620">
        <v>6799</v>
      </c>
      <c r="K620">
        <v>514684.30000000005</v>
      </c>
      <c r="L620">
        <v>75.7</v>
      </c>
      <c r="M620">
        <v>8502</v>
      </c>
      <c r="N620">
        <v>663105.62</v>
      </c>
      <c r="O620">
        <v>77.989999999999995</v>
      </c>
    </row>
    <row r="621" spans="1:15" x14ac:dyDescent="0.35">
      <c r="A621" t="s">
        <v>939</v>
      </c>
      <c r="B621" t="s">
        <v>940</v>
      </c>
      <c r="C621" t="s">
        <v>898</v>
      </c>
      <c r="D621" t="s">
        <v>323</v>
      </c>
      <c r="E621" t="s">
        <v>296</v>
      </c>
      <c r="F621" t="s">
        <v>960</v>
      </c>
      <c r="G621">
        <v>2682</v>
      </c>
      <c r="H621">
        <v>276317.98</v>
      </c>
      <c r="I621">
        <v>103.03</v>
      </c>
      <c r="J621">
        <v>4214</v>
      </c>
      <c r="K621">
        <v>367587.22000000003</v>
      </c>
      <c r="L621">
        <v>87.23</v>
      </c>
      <c r="M621">
        <v>6896</v>
      </c>
      <c r="N621">
        <v>643905.19999999995</v>
      </c>
      <c r="O621">
        <v>93.37</v>
      </c>
    </row>
    <row r="622" spans="1:15" x14ac:dyDescent="0.35">
      <c r="A622" t="s">
        <v>939</v>
      </c>
      <c r="B622" t="s">
        <v>940</v>
      </c>
      <c r="C622" t="s">
        <v>898</v>
      </c>
      <c r="D622" t="s">
        <v>323</v>
      </c>
      <c r="E622" t="s">
        <v>298</v>
      </c>
      <c r="F622" t="s">
        <v>961</v>
      </c>
      <c r="G622">
        <v>1785</v>
      </c>
      <c r="H622">
        <v>201050.96</v>
      </c>
      <c r="I622">
        <v>112.63</v>
      </c>
      <c r="J622">
        <v>6504</v>
      </c>
      <c r="K622">
        <v>627310.80000000005</v>
      </c>
      <c r="L622">
        <v>96.45</v>
      </c>
      <c r="M622">
        <v>8289</v>
      </c>
      <c r="N622">
        <v>828361.76</v>
      </c>
      <c r="O622">
        <v>99.94</v>
      </c>
    </row>
    <row r="623" spans="1:15" x14ac:dyDescent="0.35">
      <c r="A623" t="s">
        <v>939</v>
      </c>
      <c r="B623" t="s">
        <v>940</v>
      </c>
      <c r="C623" t="s">
        <v>898</v>
      </c>
      <c r="D623" t="s">
        <v>323</v>
      </c>
      <c r="E623" t="s">
        <v>300</v>
      </c>
      <c r="F623" t="s">
        <v>962</v>
      </c>
      <c r="G623">
        <v>410</v>
      </c>
      <c r="H623">
        <v>54876.929999999993</v>
      </c>
      <c r="I623">
        <v>133.85</v>
      </c>
      <c r="J623">
        <v>401</v>
      </c>
      <c r="K623">
        <v>43007.25</v>
      </c>
      <c r="L623">
        <v>107.25</v>
      </c>
      <c r="M623">
        <v>811</v>
      </c>
      <c r="N623">
        <v>97884.18</v>
      </c>
      <c r="O623">
        <v>120.7</v>
      </c>
    </row>
    <row r="624" spans="1:15" x14ac:dyDescent="0.35">
      <c r="A624" t="s">
        <v>939</v>
      </c>
      <c r="B624" t="s">
        <v>940</v>
      </c>
      <c r="C624" t="s">
        <v>898</v>
      </c>
      <c r="D624" t="s">
        <v>323</v>
      </c>
      <c r="E624" t="s">
        <v>302</v>
      </c>
      <c r="F624" t="s">
        <v>963</v>
      </c>
      <c r="G624">
        <v>107</v>
      </c>
      <c r="H624">
        <v>14904.529999999999</v>
      </c>
      <c r="I624">
        <v>139.29</v>
      </c>
      <c r="J624">
        <v>87</v>
      </c>
      <c r="K624">
        <v>10136.370000000001</v>
      </c>
      <c r="L624">
        <v>116.51</v>
      </c>
      <c r="M624">
        <v>194</v>
      </c>
      <c r="N624">
        <v>25040.9</v>
      </c>
      <c r="O624">
        <v>129.08000000000001</v>
      </c>
    </row>
    <row r="625" spans="1:15" x14ac:dyDescent="0.35">
      <c r="A625" t="s">
        <v>939</v>
      </c>
      <c r="B625" t="s">
        <v>940</v>
      </c>
      <c r="C625" t="s">
        <v>898</v>
      </c>
      <c r="D625" t="s">
        <v>323</v>
      </c>
      <c r="E625" t="s">
        <v>304</v>
      </c>
      <c r="F625" t="s">
        <v>964</v>
      </c>
      <c r="G625">
        <v>28</v>
      </c>
      <c r="H625">
        <v>4405.83</v>
      </c>
      <c r="I625">
        <v>157.35</v>
      </c>
      <c r="J625">
        <v>13</v>
      </c>
      <c r="K625">
        <v>1737.19</v>
      </c>
      <c r="L625">
        <v>133.63</v>
      </c>
      <c r="M625">
        <v>41</v>
      </c>
      <c r="N625">
        <v>6143.02</v>
      </c>
      <c r="O625">
        <v>149.83000000000001</v>
      </c>
    </row>
    <row r="626" spans="1:15" x14ac:dyDescent="0.35">
      <c r="A626" t="s">
        <v>939</v>
      </c>
      <c r="B626" t="s">
        <v>940</v>
      </c>
      <c r="C626" t="s">
        <v>898</v>
      </c>
      <c r="D626" t="s">
        <v>323</v>
      </c>
      <c r="E626" t="s">
        <v>306</v>
      </c>
      <c r="F626" t="s">
        <v>965</v>
      </c>
      <c r="G626">
        <v>215</v>
      </c>
      <c r="H626">
        <v>15582.740000000002</v>
      </c>
      <c r="I626">
        <v>72.48</v>
      </c>
      <c r="J626">
        <v>374</v>
      </c>
      <c r="K626">
        <v>26247.320000000003</v>
      </c>
      <c r="L626">
        <v>70.180000000000007</v>
      </c>
      <c r="M626">
        <v>589</v>
      </c>
      <c r="N626">
        <v>41830.060000000005</v>
      </c>
      <c r="O626">
        <v>71.02</v>
      </c>
    </row>
    <row r="627" spans="1:15" x14ac:dyDescent="0.35">
      <c r="A627" t="s">
        <v>939</v>
      </c>
      <c r="B627" t="s">
        <v>940</v>
      </c>
      <c r="C627" t="s">
        <v>898</v>
      </c>
      <c r="D627" t="s">
        <v>323</v>
      </c>
      <c r="E627" t="s">
        <v>308</v>
      </c>
      <c r="F627" t="s">
        <v>966</v>
      </c>
      <c r="G627">
        <v>0</v>
      </c>
      <c r="H627">
        <v>0</v>
      </c>
      <c r="I627">
        <v>0</v>
      </c>
      <c r="J627">
        <v>3</v>
      </c>
      <c r="K627">
        <v>130.44</v>
      </c>
      <c r="L627">
        <v>43.48</v>
      </c>
      <c r="M627">
        <v>3</v>
      </c>
      <c r="N627">
        <v>130.44</v>
      </c>
      <c r="O627">
        <v>43.48</v>
      </c>
    </row>
    <row r="628" spans="1:15" x14ac:dyDescent="0.35">
      <c r="A628" t="s">
        <v>939</v>
      </c>
      <c r="B628" t="s">
        <v>940</v>
      </c>
      <c r="C628" t="s">
        <v>898</v>
      </c>
      <c r="D628" t="s">
        <v>323</v>
      </c>
      <c r="E628" t="s">
        <v>310</v>
      </c>
      <c r="F628" t="s">
        <v>967</v>
      </c>
      <c r="G628">
        <v>6930</v>
      </c>
      <c r="H628">
        <v>715560.28999999992</v>
      </c>
      <c r="I628">
        <v>103.26</v>
      </c>
      <c r="J628">
        <v>18395</v>
      </c>
      <c r="K628">
        <v>1590840.8900000001</v>
      </c>
      <c r="L628">
        <v>86.48</v>
      </c>
      <c r="M628">
        <v>25325</v>
      </c>
      <c r="N628">
        <v>2306401.1800000002</v>
      </c>
      <c r="O628">
        <v>91.07</v>
      </c>
    </row>
    <row r="629" spans="1:15" x14ac:dyDescent="0.35">
      <c r="A629" t="s">
        <v>939</v>
      </c>
      <c r="B629" t="s">
        <v>940</v>
      </c>
      <c r="C629" t="s">
        <v>898</v>
      </c>
      <c r="D629" t="s">
        <v>323</v>
      </c>
      <c r="E629" t="s">
        <v>312</v>
      </c>
      <c r="F629" t="s">
        <v>968</v>
      </c>
      <c r="G629">
        <v>6930</v>
      </c>
      <c r="H629">
        <v>715560.28999999992</v>
      </c>
      <c r="I629">
        <v>103.26</v>
      </c>
      <c r="J629">
        <v>18392</v>
      </c>
      <c r="K629">
        <v>1590710.4500000002</v>
      </c>
      <c r="L629">
        <v>86.49</v>
      </c>
      <c r="M629">
        <v>25322</v>
      </c>
      <c r="N629">
        <v>2306270.7400000002</v>
      </c>
      <c r="O629">
        <v>91.08</v>
      </c>
    </row>
    <row r="630" spans="1:15" x14ac:dyDescent="0.35">
      <c r="A630" t="s">
        <v>939</v>
      </c>
      <c r="B630" t="s">
        <v>940</v>
      </c>
      <c r="C630" t="s">
        <v>898</v>
      </c>
      <c r="D630" t="s">
        <v>334</v>
      </c>
      <c r="E630" t="s">
        <v>312</v>
      </c>
      <c r="F630" t="s">
        <v>969</v>
      </c>
      <c r="G630">
        <v>9128</v>
      </c>
      <c r="H630">
        <v>902434.33</v>
      </c>
      <c r="I630">
        <v>109.75</v>
      </c>
      <c r="J630">
        <v>19288</v>
      </c>
      <c r="K630">
        <v>1718799.0700000003</v>
      </c>
      <c r="L630">
        <v>89.11</v>
      </c>
      <c r="M630">
        <v>28416</v>
      </c>
      <c r="N630">
        <v>2621233.4000000004</v>
      </c>
      <c r="O630">
        <v>95.28</v>
      </c>
    </row>
    <row r="631" spans="1:15" x14ac:dyDescent="0.35">
      <c r="A631" t="s">
        <v>939</v>
      </c>
      <c r="B631" t="s">
        <v>940</v>
      </c>
      <c r="C631" t="s">
        <v>898</v>
      </c>
      <c r="D631" t="s">
        <v>334</v>
      </c>
      <c r="E631" t="s">
        <v>308</v>
      </c>
      <c r="F631" t="s">
        <v>970</v>
      </c>
      <c r="G631">
        <v>0</v>
      </c>
      <c r="H631">
        <v>0</v>
      </c>
      <c r="I631">
        <v>0</v>
      </c>
      <c r="J631">
        <v>3</v>
      </c>
      <c r="K631">
        <v>130.44</v>
      </c>
      <c r="L631">
        <v>43.48</v>
      </c>
      <c r="M631">
        <v>3</v>
      </c>
      <c r="N631">
        <v>130.44</v>
      </c>
      <c r="O631">
        <v>43.48</v>
      </c>
    </row>
    <row r="632" spans="1:15" x14ac:dyDescent="0.35">
      <c r="A632" t="s">
        <v>939</v>
      </c>
      <c r="B632" t="s">
        <v>940</v>
      </c>
      <c r="C632" t="s">
        <v>898</v>
      </c>
      <c r="D632" t="s">
        <v>337</v>
      </c>
      <c r="E632" t="s">
        <v>337</v>
      </c>
      <c r="F632" t="s">
        <v>971</v>
      </c>
      <c r="G632">
        <v>603</v>
      </c>
      <c r="J632">
        <v>0</v>
      </c>
      <c r="M632">
        <v>603</v>
      </c>
    </row>
    <row r="633" spans="1:15" x14ac:dyDescent="0.35">
      <c r="A633" t="s">
        <v>939</v>
      </c>
      <c r="B633" t="s">
        <v>940</v>
      </c>
      <c r="C633" t="s">
        <v>898</v>
      </c>
      <c r="D633" t="s">
        <v>339</v>
      </c>
      <c r="E633" t="s">
        <v>294</v>
      </c>
      <c r="F633" t="s">
        <v>972</v>
      </c>
      <c r="G633">
        <v>1049</v>
      </c>
      <c r="H633">
        <v>119929.05</v>
      </c>
      <c r="I633">
        <v>114.33</v>
      </c>
      <c r="J633">
        <v>6</v>
      </c>
      <c r="K633">
        <v>581.58000000000004</v>
      </c>
      <c r="L633">
        <v>96.93</v>
      </c>
      <c r="M633">
        <v>1055</v>
      </c>
      <c r="N633">
        <v>120510.63</v>
      </c>
      <c r="O633">
        <v>114.23</v>
      </c>
    </row>
    <row r="634" spans="1:15" x14ac:dyDescent="0.35">
      <c r="A634" t="s">
        <v>939</v>
      </c>
      <c r="B634" t="s">
        <v>940</v>
      </c>
      <c r="C634" t="s">
        <v>898</v>
      </c>
      <c r="D634" t="s">
        <v>339</v>
      </c>
      <c r="E634" t="s">
        <v>296</v>
      </c>
      <c r="F634" t="s">
        <v>973</v>
      </c>
      <c r="G634">
        <v>183</v>
      </c>
      <c r="H634">
        <v>22255.680000000004</v>
      </c>
      <c r="I634">
        <v>121.62</v>
      </c>
      <c r="J634">
        <v>18</v>
      </c>
      <c r="K634">
        <v>1644.1200000000001</v>
      </c>
      <c r="L634">
        <v>91.34</v>
      </c>
      <c r="M634">
        <v>201</v>
      </c>
      <c r="N634">
        <v>23899.800000000003</v>
      </c>
      <c r="O634">
        <v>118.9</v>
      </c>
    </row>
    <row r="635" spans="1:15" x14ac:dyDescent="0.35">
      <c r="A635" t="s">
        <v>939</v>
      </c>
      <c r="B635" t="s">
        <v>940</v>
      </c>
      <c r="C635" t="s">
        <v>898</v>
      </c>
      <c r="D635" t="s">
        <v>339</v>
      </c>
      <c r="E635" t="s">
        <v>298</v>
      </c>
      <c r="F635" t="s">
        <v>974</v>
      </c>
      <c r="G635">
        <v>7</v>
      </c>
      <c r="H635">
        <v>804.79000000000008</v>
      </c>
      <c r="I635">
        <v>114.97</v>
      </c>
      <c r="J635">
        <v>0</v>
      </c>
      <c r="K635">
        <v>0</v>
      </c>
      <c r="L635">
        <v>0</v>
      </c>
      <c r="M635">
        <v>7</v>
      </c>
      <c r="N635">
        <v>804.79000000000008</v>
      </c>
      <c r="O635">
        <v>114.97</v>
      </c>
    </row>
    <row r="636" spans="1:15" x14ac:dyDescent="0.35">
      <c r="A636" t="s">
        <v>939</v>
      </c>
      <c r="B636" t="s">
        <v>940</v>
      </c>
      <c r="C636" t="s">
        <v>898</v>
      </c>
      <c r="D636" t="s">
        <v>339</v>
      </c>
      <c r="E636" t="s">
        <v>300</v>
      </c>
      <c r="F636" t="s">
        <v>975</v>
      </c>
      <c r="G636">
        <v>1</v>
      </c>
      <c r="H636">
        <v>142.09</v>
      </c>
      <c r="I636">
        <v>142.09</v>
      </c>
      <c r="J636">
        <v>0</v>
      </c>
      <c r="K636">
        <v>0</v>
      </c>
      <c r="L636">
        <v>0</v>
      </c>
      <c r="M636">
        <v>1</v>
      </c>
      <c r="N636">
        <v>142.09</v>
      </c>
      <c r="O636">
        <v>142.09</v>
      </c>
    </row>
    <row r="637" spans="1:15" x14ac:dyDescent="0.35">
      <c r="A637" t="s">
        <v>939</v>
      </c>
      <c r="B637" t="s">
        <v>940</v>
      </c>
      <c r="C637" t="s">
        <v>898</v>
      </c>
      <c r="D637" t="s">
        <v>339</v>
      </c>
      <c r="E637" t="s">
        <v>306</v>
      </c>
      <c r="F637" t="s">
        <v>976</v>
      </c>
      <c r="G637">
        <v>170</v>
      </c>
      <c r="H637">
        <v>14421.779999999999</v>
      </c>
      <c r="I637">
        <v>84.83</v>
      </c>
      <c r="J637">
        <v>20</v>
      </c>
      <c r="K637">
        <v>1934.8</v>
      </c>
      <c r="L637">
        <v>96.74</v>
      </c>
      <c r="M637">
        <v>190</v>
      </c>
      <c r="N637">
        <v>16356.579999999998</v>
      </c>
      <c r="O637">
        <v>86.09</v>
      </c>
    </row>
    <row r="638" spans="1:15" x14ac:dyDescent="0.35">
      <c r="A638" t="s">
        <v>939</v>
      </c>
      <c r="B638" t="s">
        <v>940</v>
      </c>
      <c r="C638" t="s">
        <v>898</v>
      </c>
      <c r="D638" t="s">
        <v>339</v>
      </c>
      <c r="E638" t="s">
        <v>308</v>
      </c>
      <c r="F638" t="s">
        <v>977</v>
      </c>
      <c r="G638">
        <v>130</v>
      </c>
      <c r="H638">
        <v>19905.270000000004</v>
      </c>
      <c r="I638">
        <v>153.12</v>
      </c>
      <c r="J638">
        <v>72</v>
      </c>
      <c r="K638">
        <v>5196.9600000000009</v>
      </c>
      <c r="L638">
        <v>72.180000000000007</v>
      </c>
      <c r="M638">
        <v>202</v>
      </c>
      <c r="N638">
        <v>25102.230000000003</v>
      </c>
      <c r="O638">
        <v>124.27</v>
      </c>
    </row>
    <row r="639" spans="1:15" x14ac:dyDescent="0.35">
      <c r="A639" t="s">
        <v>939</v>
      </c>
      <c r="B639" t="s">
        <v>940</v>
      </c>
      <c r="C639" t="s">
        <v>898</v>
      </c>
      <c r="D639" t="s">
        <v>339</v>
      </c>
      <c r="E639" t="s">
        <v>310</v>
      </c>
      <c r="F639" t="s">
        <v>978</v>
      </c>
      <c r="G639">
        <v>1540</v>
      </c>
      <c r="H639">
        <v>177458.66000000003</v>
      </c>
      <c r="I639">
        <v>115.23</v>
      </c>
      <c r="J639">
        <v>116</v>
      </c>
      <c r="K639">
        <v>9357.4600000000009</v>
      </c>
      <c r="L639">
        <v>80.67</v>
      </c>
      <c r="M639">
        <v>1656</v>
      </c>
      <c r="N639">
        <v>186816.12000000002</v>
      </c>
      <c r="O639">
        <v>112.81</v>
      </c>
    </row>
    <row r="640" spans="1:15" x14ac:dyDescent="0.35">
      <c r="A640" t="s">
        <v>939</v>
      </c>
      <c r="B640" t="s">
        <v>940</v>
      </c>
      <c r="C640" t="s">
        <v>898</v>
      </c>
      <c r="D640" t="s">
        <v>339</v>
      </c>
      <c r="E640" t="s">
        <v>312</v>
      </c>
      <c r="F640" t="s">
        <v>979</v>
      </c>
      <c r="G640">
        <v>1410</v>
      </c>
      <c r="H640">
        <v>157553.39000000001</v>
      </c>
      <c r="I640">
        <v>111.74</v>
      </c>
      <c r="J640">
        <v>44</v>
      </c>
      <c r="K640">
        <v>4160.5</v>
      </c>
      <c r="L640">
        <v>94.56</v>
      </c>
      <c r="M640">
        <v>1454</v>
      </c>
      <c r="N640">
        <v>161713.89000000001</v>
      </c>
      <c r="O640">
        <v>111.22</v>
      </c>
    </row>
    <row r="641" spans="1:15" x14ac:dyDescent="0.35">
      <c r="A641" t="s">
        <v>939</v>
      </c>
      <c r="B641" t="s">
        <v>940</v>
      </c>
      <c r="C641" t="s">
        <v>898</v>
      </c>
      <c r="D641" t="s">
        <v>348</v>
      </c>
      <c r="E641" t="s">
        <v>349</v>
      </c>
      <c r="F641" t="s">
        <v>980</v>
      </c>
      <c r="G641">
        <v>1866</v>
      </c>
      <c r="H641">
        <v>182876.91999999998</v>
      </c>
      <c r="I641">
        <v>116.78</v>
      </c>
      <c r="J641">
        <v>116</v>
      </c>
      <c r="K641">
        <v>9357.4600000000009</v>
      </c>
      <c r="L641">
        <v>80.67</v>
      </c>
      <c r="M641">
        <v>1982</v>
      </c>
      <c r="N641">
        <v>192234.37999999998</v>
      </c>
      <c r="O641">
        <v>114.29</v>
      </c>
    </row>
    <row r="642" spans="1:15" x14ac:dyDescent="0.35">
      <c r="A642" t="s">
        <v>981</v>
      </c>
      <c r="B642" t="s">
        <v>982</v>
      </c>
      <c r="C642" t="s">
        <v>898</v>
      </c>
      <c r="D642" t="s">
        <v>293</v>
      </c>
      <c r="E642" t="s">
        <v>294</v>
      </c>
      <c r="F642" t="s">
        <v>983</v>
      </c>
      <c r="G642">
        <v>34</v>
      </c>
      <c r="H642">
        <v>3656.7599999999998</v>
      </c>
      <c r="I642">
        <v>107.55</v>
      </c>
      <c r="J642">
        <v>0</v>
      </c>
      <c r="K642">
        <v>0</v>
      </c>
      <c r="L642">
        <v>0</v>
      </c>
      <c r="M642">
        <v>34</v>
      </c>
      <c r="N642">
        <v>3656.7599999999998</v>
      </c>
      <c r="O642">
        <v>107.55</v>
      </c>
    </row>
    <row r="643" spans="1:15" x14ac:dyDescent="0.35">
      <c r="A643" t="s">
        <v>981</v>
      </c>
      <c r="B643" t="s">
        <v>982</v>
      </c>
      <c r="C643" t="s">
        <v>898</v>
      </c>
      <c r="D643" t="s">
        <v>293</v>
      </c>
      <c r="E643" t="s">
        <v>296</v>
      </c>
      <c r="F643" t="s">
        <v>984</v>
      </c>
      <c r="G643">
        <v>98</v>
      </c>
      <c r="H643">
        <v>13283.869999999999</v>
      </c>
      <c r="I643">
        <v>135.55000000000001</v>
      </c>
      <c r="J643">
        <v>0</v>
      </c>
      <c r="K643">
        <v>0</v>
      </c>
      <c r="L643">
        <v>0</v>
      </c>
      <c r="M643">
        <v>98</v>
      </c>
      <c r="N643">
        <v>13283.869999999999</v>
      </c>
      <c r="O643">
        <v>135.55000000000001</v>
      </c>
    </row>
    <row r="644" spans="1:15" x14ac:dyDescent="0.35">
      <c r="A644" t="s">
        <v>981</v>
      </c>
      <c r="B644" t="s">
        <v>982</v>
      </c>
      <c r="C644" t="s">
        <v>898</v>
      </c>
      <c r="D644" t="s">
        <v>293</v>
      </c>
      <c r="E644" t="s">
        <v>298</v>
      </c>
      <c r="F644" t="s">
        <v>985</v>
      </c>
      <c r="G644">
        <v>101</v>
      </c>
      <c r="H644">
        <v>15723.42</v>
      </c>
      <c r="I644">
        <v>155.68</v>
      </c>
      <c r="J644">
        <v>0</v>
      </c>
      <c r="K644">
        <v>0</v>
      </c>
      <c r="L644">
        <v>0</v>
      </c>
      <c r="M644">
        <v>101</v>
      </c>
      <c r="N644">
        <v>15723.42</v>
      </c>
      <c r="O644">
        <v>155.68</v>
      </c>
    </row>
    <row r="645" spans="1:15" x14ac:dyDescent="0.35">
      <c r="A645" t="s">
        <v>981</v>
      </c>
      <c r="B645" t="s">
        <v>982</v>
      </c>
      <c r="C645" t="s">
        <v>898</v>
      </c>
      <c r="D645" t="s">
        <v>293</v>
      </c>
      <c r="E645" t="s">
        <v>300</v>
      </c>
      <c r="F645" t="s">
        <v>986</v>
      </c>
      <c r="G645">
        <v>9</v>
      </c>
      <c r="H645">
        <v>1638.1599999999999</v>
      </c>
      <c r="I645">
        <v>182.02</v>
      </c>
      <c r="J645">
        <v>0</v>
      </c>
      <c r="K645">
        <v>0</v>
      </c>
      <c r="L645">
        <v>0</v>
      </c>
      <c r="M645">
        <v>9</v>
      </c>
      <c r="N645">
        <v>1638.1599999999999</v>
      </c>
      <c r="O645">
        <v>182.02</v>
      </c>
    </row>
    <row r="646" spans="1:15" x14ac:dyDescent="0.35">
      <c r="A646" t="s">
        <v>981</v>
      </c>
      <c r="B646" t="s">
        <v>982</v>
      </c>
      <c r="C646" t="s">
        <v>898</v>
      </c>
      <c r="D646" t="s">
        <v>293</v>
      </c>
      <c r="E646" t="s">
        <v>302</v>
      </c>
      <c r="F646" t="s">
        <v>987</v>
      </c>
      <c r="G646">
        <v>0</v>
      </c>
      <c r="H646">
        <v>0</v>
      </c>
      <c r="I646">
        <v>0</v>
      </c>
      <c r="J646">
        <v>0</v>
      </c>
      <c r="K646">
        <v>0</v>
      </c>
      <c r="L646">
        <v>0</v>
      </c>
      <c r="M646">
        <v>0</v>
      </c>
      <c r="N646">
        <v>0</v>
      </c>
      <c r="O646">
        <v>0</v>
      </c>
    </row>
    <row r="647" spans="1:15" x14ac:dyDescent="0.35">
      <c r="A647" t="s">
        <v>981</v>
      </c>
      <c r="B647" t="s">
        <v>982</v>
      </c>
      <c r="C647" t="s">
        <v>898</v>
      </c>
      <c r="D647" t="s">
        <v>293</v>
      </c>
      <c r="E647" t="s">
        <v>304</v>
      </c>
      <c r="F647" t="s">
        <v>988</v>
      </c>
      <c r="G647">
        <v>0</v>
      </c>
      <c r="H647">
        <v>0</v>
      </c>
      <c r="I647">
        <v>0</v>
      </c>
      <c r="J647">
        <v>0</v>
      </c>
      <c r="K647">
        <v>0</v>
      </c>
      <c r="L647">
        <v>0</v>
      </c>
      <c r="M647">
        <v>0</v>
      </c>
      <c r="N647">
        <v>0</v>
      </c>
      <c r="O647">
        <v>0</v>
      </c>
    </row>
    <row r="648" spans="1:15" x14ac:dyDescent="0.35">
      <c r="A648" t="s">
        <v>981</v>
      </c>
      <c r="B648" t="s">
        <v>982</v>
      </c>
      <c r="C648" t="s">
        <v>898</v>
      </c>
      <c r="D648" t="s">
        <v>293</v>
      </c>
      <c r="E648" t="s">
        <v>306</v>
      </c>
      <c r="F648" t="s">
        <v>989</v>
      </c>
      <c r="G648">
        <v>0</v>
      </c>
      <c r="H648">
        <v>0</v>
      </c>
      <c r="I648">
        <v>0</v>
      </c>
      <c r="J648">
        <v>0</v>
      </c>
      <c r="K648">
        <v>0</v>
      </c>
      <c r="L648">
        <v>0</v>
      </c>
      <c r="M648">
        <v>0</v>
      </c>
      <c r="N648">
        <v>0</v>
      </c>
      <c r="O648">
        <v>0</v>
      </c>
    </row>
    <row r="649" spans="1:15" x14ac:dyDescent="0.35">
      <c r="A649" t="s">
        <v>981</v>
      </c>
      <c r="B649" t="s">
        <v>982</v>
      </c>
      <c r="C649" t="s">
        <v>898</v>
      </c>
      <c r="D649" t="s">
        <v>293</v>
      </c>
      <c r="E649" t="s">
        <v>308</v>
      </c>
      <c r="F649" t="s">
        <v>990</v>
      </c>
      <c r="G649">
        <v>0</v>
      </c>
      <c r="H649">
        <v>0</v>
      </c>
      <c r="I649">
        <v>0</v>
      </c>
      <c r="J649">
        <v>0</v>
      </c>
      <c r="K649">
        <v>0</v>
      </c>
      <c r="L649">
        <v>0</v>
      </c>
      <c r="M649">
        <v>0</v>
      </c>
      <c r="N649">
        <v>0</v>
      </c>
      <c r="O649">
        <v>0</v>
      </c>
    </row>
    <row r="650" spans="1:15" x14ac:dyDescent="0.35">
      <c r="A650" t="s">
        <v>981</v>
      </c>
      <c r="B650" t="s">
        <v>982</v>
      </c>
      <c r="C650" t="s">
        <v>898</v>
      </c>
      <c r="D650" t="s">
        <v>293</v>
      </c>
      <c r="E650" t="s">
        <v>310</v>
      </c>
      <c r="F650" t="s">
        <v>991</v>
      </c>
      <c r="G650">
        <v>242</v>
      </c>
      <c r="H650">
        <v>34302.209999999992</v>
      </c>
      <c r="I650">
        <v>141.74</v>
      </c>
      <c r="J650">
        <v>0</v>
      </c>
      <c r="K650">
        <v>0</v>
      </c>
      <c r="L650">
        <v>0</v>
      </c>
      <c r="M650">
        <v>242</v>
      </c>
      <c r="N650">
        <v>34302.209999999992</v>
      </c>
      <c r="O650">
        <v>141.74</v>
      </c>
    </row>
    <row r="651" spans="1:15" x14ac:dyDescent="0.35">
      <c r="A651" t="s">
        <v>981</v>
      </c>
      <c r="B651" t="s">
        <v>982</v>
      </c>
      <c r="C651" t="s">
        <v>898</v>
      </c>
      <c r="D651" t="s">
        <v>293</v>
      </c>
      <c r="E651" t="s">
        <v>312</v>
      </c>
      <c r="F651" t="s">
        <v>992</v>
      </c>
      <c r="G651">
        <v>242</v>
      </c>
      <c r="H651">
        <v>34302.209999999992</v>
      </c>
      <c r="I651">
        <v>141.74</v>
      </c>
      <c r="J651">
        <v>0</v>
      </c>
      <c r="K651">
        <v>0</v>
      </c>
      <c r="L651">
        <v>0</v>
      </c>
      <c r="M651">
        <v>242</v>
      </c>
      <c r="N651">
        <v>34302.209999999992</v>
      </c>
      <c r="O651">
        <v>141.74</v>
      </c>
    </row>
    <row r="652" spans="1:15" x14ac:dyDescent="0.35">
      <c r="A652" t="s">
        <v>981</v>
      </c>
      <c r="B652" t="s">
        <v>982</v>
      </c>
      <c r="C652" t="s">
        <v>898</v>
      </c>
      <c r="D652" t="s">
        <v>323</v>
      </c>
      <c r="E652" t="s">
        <v>294</v>
      </c>
      <c r="F652" t="s">
        <v>993</v>
      </c>
      <c r="G652">
        <v>276</v>
      </c>
      <c r="H652">
        <v>27684.159999999996</v>
      </c>
      <c r="I652">
        <v>100.3</v>
      </c>
      <c r="J652">
        <v>0</v>
      </c>
      <c r="K652">
        <v>0</v>
      </c>
      <c r="L652">
        <v>0</v>
      </c>
      <c r="M652">
        <v>276</v>
      </c>
      <c r="N652">
        <v>27684.159999999996</v>
      </c>
      <c r="O652">
        <v>100.3</v>
      </c>
    </row>
    <row r="653" spans="1:15" x14ac:dyDescent="0.35">
      <c r="A653" t="s">
        <v>981</v>
      </c>
      <c r="B653" t="s">
        <v>982</v>
      </c>
      <c r="C653" t="s">
        <v>898</v>
      </c>
      <c r="D653" t="s">
        <v>323</v>
      </c>
      <c r="E653" t="s">
        <v>296</v>
      </c>
      <c r="F653" t="s">
        <v>994</v>
      </c>
      <c r="G653">
        <v>463</v>
      </c>
      <c r="H653">
        <v>52113.579999999994</v>
      </c>
      <c r="I653">
        <v>112.56</v>
      </c>
      <c r="J653">
        <v>0</v>
      </c>
      <c r="K653">
        <v>0</v>
      </c>
      <c r="L653">
        <v>0</v>
      </c>
      <c r="M653">
        <v>463</v>
      </c>
      <c r="N653">
        <v>52113.579999999994</v>
      </c>
      <c r="O653">
        <v>112.56</v>
      </c>
    </row>
    <row r="654" spans="1:15" x14ac:dyDescent="0.35">
      <c r="A654" t="s">
        <v>981</v>
      </c>
      <c r="B654" t="s">
        <v>982</v>
      </c>
      <c r="C654" t="s">
        <v>898</v>
      </c>
      <c r="D654" t="s">
        <v>323</v>
      </c>
      <c r="E654" t="s">
        <v>298</v>
      </c>
      <c r="F654" t="s">
        <v>995</v>
      </c>
      <c r="G654">
        <v>475</v>
      </c>
      <c r="H654">
        <v>56535.31</v>
      </c>
      <c r="I654">
        <v>119.02</v>
      </c>
      <c r="J654">
        <v>0</v>
      </c>
      <c r="K654">
        <v>0</v>
      </c>
      <c r="L654">
        <v>0</v>
      </c>
      <c r="M654">
        <v>475</v>
      </c>
      <c r="N654">
        <v>56535.31</v>
      </c>
      <c r="O654">
        <v>119.02</v>
      </c>
    </row>
    <row r="655" spans="1:15" x14ac:dyDescent="0.35">
      <c r="A655" t="s">
        <v>981</v>
      </c>
      <c r="B655" t="s">
        <v>982</v>
      </c>
      <c r="C655" t="s">
        <v>898</v>
      </c>
      <c r="D655" t="s">
        <v>323</v>
      </c>
      <c r="E655" t="s">
        <v>300</v>
      </c>
      <c r="F655" t="s">
        <v>996</v>
      </c>
      <c r="G655">
        <v>23</v>
      </c>
      <c r="H655">
        <v>3244.8399999999997</v>
      </c>
      <c r="I655">
        <v>141.08000000000001</v>
      </c>
      <c r="J655">
        <v>0</v>
      </c>
      <c r="K655">
        <v>0</v>
      </c>
      <c r="L655">
        <v>0</v>
      </c>
      <c r="M655">
        <v>23</v>
      </c>
      <c r="N655">
        <v>3244.8399999999997</v>
      </c>
      <c r="O655">
        <v>141.08000000000001</v>
      </c>
    </row>
    <row r="656" spans="1:15" x14ac:dyDescent="0.35">
      <c r="A656" t="s">
        <v>981</v>
      </c>
      <c r="B656" t="s">
        <v>982</v>
      </c>
      <c r="C656" t="s">
        <v>898</v>
      </c>
      <c r="D656" t="s">
        <v>323</v>
      </c>
      <c r="E656" t="s">
        <v>302</v>
      </c>
      <c r="F656" t="s">
        <v>997</v>
      </c>
      <c r="G656">
        <v>0</v>
      </c>
      <c r="H656">
        <v>0</v>
      </c>
      <c r="I656">
        <v>0</v>
      </c>
      <c r="J656">
        <v>0</v>
      </c>
      <c r="K656">
        <v>0</v>
      </c>
      <c r="L656">
        <v>0</v>
      </c>
      <c r="M656">
        <v>0</v>
      </c>
      <c r="N656">
        <v>0</v>
      </c>
      <c r="O656">
        <v>0</v>
      </c>
    </row>
    <row r="657" spans="1:15" x14ac:dyDescent="0.35">
      <c r="A657" t="s">
        <v>981</v>
      </c>
      <c r="B657" t="s">
        <v>982</v>
      </c>
      <c r="C657" t="s">
        <v>898</v>
      </c>
      <c r="D657" t="s">
        <v>323</v>
      </c>
      <c r="E657" t="s">
        <v>304</v>
      </c>
      <c r="F657" t="s">
        <v>998</v>
      </c>
      <c r="G657">
        <v>2</v>
      </c>
      <c r="H657">
        <v>337.4</v>
      </c>
      <c r="I657">
        <v>168.7</v>
      </c>
      <c r="J657">
        <v>0</v>
      </c>
      <c r="K657">
        <v>0</v>
      </c>
      <c r="L657">
        <v>0</v>
      </c>
      <c r="M657">
        <v>2</v>
      </c>
      <c r="N657">
        <v>337.4</v>
      </c>
      <c r="O657">
        <v>168.7</v>
      </c>
    </row>
    <row r="658" spans="1:15" x14ac:dyDescent="0.35">
      <c r="A658" t="s">
        <v>981</v>
      </c>
      <c r="B658" t="s">
        <v>982</v>
      </c>
      <c r="C658" t="s">
        <v>898</v>
      </c>
      <c r="D658" t="s">
        <v>323</v>
      </c>
      <c r="E658" t="s">
        <v>306</v>
      </c>
      <c r="F658" t="s">
        <v>999</v>
      </c>
      <c r="G658">
        <v>13</v>
      </c>
      <c r="H658">
        <v>1103.7</v>
      </c>
      <c r="I658">
        <v>84.9</v>
      </c>
      <c r="J658">
        <v>0</v>
      </c>
      <c r="K658">
        <v>0</v>
      </c>
      <c r="L658">
        <v>0</v>
      </c>
      <c r="M658">
        <v>13</v>
      </c>
      <c r="N658">
        <v>1103.7</v>
      </c>
      <c r="O658">
        <v>84.9</v>
      </c>
    </row>
    <row r="659" spans="1:15" x14ac:dyDescent="0.35">
      <c r="A659" t="s">
        <v>981</v>
      </c>
      <c r="B659" t="s">
        <v>982</v>
      </c>
      <c r="C659" t="s">
        <v>898</v>
      </c>
      <c r="D659" t="s">
        <v>323</v>
      </c>
      <c r="E659" t="s">
        <v>308</v>
      </c>
      <c r="F659" t="s">
        <v>1000</v>
      </c>
      <c r="G659">
        <v>0</v>
      </c>
      <c r="H659">
        <v>0</v>
      </c>
      <c r="I659">
        <v>0</v>
      </c>
      <c r="J659">
        <v>0</v>
      </c>
      <c r="K659">
        <v>0</v>
      </c>
      <c r="L659">
        <v>0</v>
      </c>
      <c r="M659">
        <v>0</v>
      </c>
      <c r="N659">
        <v>0</v>
      </c>
      <c r="O659">
        <v>0</v>
      </c>
    </row>
    <row r="660" spans="1:15" x14ac:dyDescent="0.35">
      <c r="A660" t="s">
        <v>981</v>
      </c>
      <c r="B660" t="s">
        <v>982</v>
      </c>
      <c r="C660" t="s">
        <v>898</v>
      </c>
      <c r="D660" t="s">
        <v>323</v>
      </c>
      <c r="E660" t="s">
        <v>310</v>
      </c>
      <c r="F660" t="s">
        <v>1001</v>
      </c>
      <c r="G660">
        <v>1252</v>
      </c>
      <c r="H660">
        <v>141018.99</v>
      </c>
      <c r="I660">
        <v>112.63</v>
      </c>
      <c r="J660">
        <v>0</v>
      </c>
      <c r="K660">
        <v>0</v>
      </c>
      <c r="L660">
        <v>0</v>
      </c>
      <c r="M660">
        <v>1252</v>
      </c>
      <c r="N660">
        <v>141018.99</v>
      </c>
      <c r="O660">
        <v>112.63</v>
      </c>
    </row>
    <row r="661" spans="1:15" x14ac:dyDescent="0.35">
      <c r="A661" t="s">
        <v>981</v>
      </c>
      <c r="B661" t="s">
        <v>982</v>
      </c>
      <c r="C661" t="s">
        <v>898</v>
      </c>
      <c r="D661" t="s">
        <v>323</v>
      </c>
      <c r="E661" t="s">
        <v>312</v>
      </c>
      <c r="F661" t="s">
        <v>1002</v>
      </c>
      <c r="G661">
        <v>1252</v>
      </c>
      <c r="H661">
        <v>141018.99</v>
      </c>
      <c r="I661">
        <v>112.63</v>
      </c>
      <c r="J661">
        <v>0</v>
      </c>
      <c r="K661">
        <v>0</v>
      </c>
      <c r="L661">
        <v>0</v>
      </c>
      <c r="M661">
        <v>1252</v>
      </c>
      <c r="N661">
        <v>141018.99</v>
      </c>
      <c r="O661">
        <v>112.63</v>
      </c>
    </row>
    <row r="662" spans="1:15" x14ac:dyDescent="0.35">
      <c r="A662" t="s">
        <v>981</v>
      </c>
      <c r="B662" t="s">
        <v>982</v>
      </c>
      <c r="C662" t="s">
        <v>898</v>
      </c>
      <c r="D662" t="s">
        <v>334</v>
      </c>
      <c r="E662" t="s">
        <v>312</v>
      </c>
      <c r="F662" t="s">
        <v>1003</v>
      </c>
      <c r="G662">
        <v>1523</v>
      </c>
      <c r="H662">
        <v>175321.19999999998</v>
      </c>
      <c r="I662">
        <v>117.35</v>
      </c>
      <c r="J662">
        <v>0</v>
      </c>
      <c r="K662">
        <v>0</v>
      </c>
      <c r="L662">
        <v>0</v>
      </c>
      <c r="M662">
        <v>1523</v>
      </c>
      <c r="N662">
        <v>175321.19999999998</v>
      </c>
      <c r="O662">
        <v>117.35</v>
      </c>
    </row>
    <row r="663" spans="1:15" x14ac:dyDescent="0.35">
      <c r="A663" t="s">
        <v>981</v>
      </c>
      <c r="B663" t="s">
        <v>982</v>
      </c>
      <c r="C663" t="s">
        <v>898</v>
      </c>
      <c r="D663" t="s">
        <v>334</v>
      </c>
      <c r="E663" t="s">
        <v>308</v>
      </c>
      <c r="F663" t="s">
        <v>1004</v>
      </c>
      <c r="G663">
        <v>0</v>
      </c>
      <c r="H663">
        <v>0</v>
      </c>
      <c r="I663">
        <v>0</v>
      </c>
      <c r="J663">
        <v>0</v>
      </c>
      <c r="K663">
        <v>0</v>
      </c>
      <c r="L663">
        <v>0</v>
      </c>
      <c r="M663">
        <v>0</v>
      </c>
      <c r="N663">
        <v>0</v>
      </c>
      <c r="O663">
        <v>0</v>
      </c>
    </row>
    <row r="664" spans="1:15" x14ac:dyDescent="0.35">
      <c r="A664" t="s">
        <v>981</v>
      </c>
      <c r="B664" t="s">
        <v>982</v>
      </c>
      <c r="C664" t="s">
        <v>898</v>
      </c>
      <c r="D664" t="s">
        <v>337</v>
      </c>
      <c r="E664" t="s">
        <v>337</v>
      </c>
      <c r="F664" t="s">
        <v>1005</v>
      </c>
      <c r="G664">
        <v>216</v>
      </c>
      <c r="J664">
        <v>0</v>
      </c>
      <c r="M664">
        <v>216</v>
      </c>
    </row>
    <row r="665" spans="1:15" x14ac:dyDescent="0.35">
      <c r="A665" t="s">
        <v>981</v>
      </c>
      <c r="B665" t="s">
        <v>982</v>
      </c>
      <c r="C665" t="s">
        <v>898</v>
      </c>
      <c r="D665" t="s">
        <v>339</v>
      </c>
      <c r="E665" t="s">
        <v>294</v>
      </c>
      <c r="F665" t="s">
        <v>1006</v>
      </c>
      <c r="G665">
        <v>145</v>
      </c>
      <c r="H665">
        <v>15001.25</v>
      </c>
      <c r="I665">
        <v>103.46</v>
      </c>
      <c r="J665">
        <v>0</v>
      </c>
      <c r="K665">
        <v>0</v>
      </c>
      <c r="L665">
        <v>0</v>
      </c>
      <c r="M665">
        <v>145</v>
      </c>
      <c r="N665">
        <v>15001.25</v>
      </c>
      <c r="O665">
        <v>103.46</v>
      </c>
    </row>
    <row r="666" spans="1:15" x14ac:dyDescent="0.35">
      <c r="A666" t="s">
        <v>981</v>
      </c>
      <c r="B666" t="s">
        <v>982</v>
      </c>
      <c r="C666" t="s">
        <v>898</v>
      </c>
      <c r="D666" t="s">
        <v>339</v>
      </c>
      <c r="E666" t="s">
        <v>296</v>
      </c>
      <c r="F666" t="s">
        <v>1007</v>
      </c>
      <c r="G666">
        <v>34</v>
      </c>
      <c r="H666">
        <v>3852.02</v>
      </c>
      <c r="I666">
        <v>113.29</v>
      </c>
      <c r="J666">
        <v>0</v>
      </c>
      <c r="K666">
        <v>0</v>
      </c>
      <c r="L666">
        <v>0</v>
      </c>
      <c r="M666">
        <v>34</v>
      </c>
      <c r="N666">
        <v>3852.02</v>
      </c>
      <c r="O666">
        <v>113.29</v>
      </c>
    </row>
    <row r="667" spans="1:15" x14ac:dyDescent="0.35">
      <c r="A667" t="s">
        <v>981</v>
      </c>
      <c r="B667" t="s">
        <v>982</v>
      </c>
      <c r="C667" t="s">
        <v>898</v>
      </c>
      <c r="D667" t="s">
        <v>339</v>
      </c>
      <c r="E667" t="s">
        <v>298</v>
      </c>
      <c r="F667" t="s">
        <v>1008</v>
      </c>
      <c r="G667">
        <v>2</v>
      </c>
      <c r="H667">
        <v>236.84</v>
      </c>
      <c r="I667">
        <v>118.42</v>
      </c>
      <c r="J667">
        <v>0</v>
      </c>
      <c r="K667">
        <v>0</v>
      </c>
      <c r="L667">
        <v>0</v>
      </c>
      <c r="M667">
        <v>2</v>
      </c>
      <c r="N667">
        <v>236.84</v>
      </c>
      <c r="O667">
        <v>118.42</v>
      </c>
    </row>
    <row r="668" spans="1:15" x14ac:dyDescent="0.35">
      <c r="A668" t="s">
        <v>981</v>
      </c>
      <c r="B668" t="s">
        <v>982</v>
      </c>
      <c r="C668" t="s">
        <v>898</v>
      </c>
      <c r="D668" t="s">
        <v>339</v>
      </c>
      <c r="E668" t="s">
        <v>300</v>
      </c>
      <c r="F668" t="s">
        <v>1009</v>
      </c>
      <c r="G668">
        <v>0</v>
      </c>
      <c r="H668">
        <v>0</v>
      </c>
      <c r="I668">
        <v>0</v>
      </c>
      <c r="J668">
        <v>0</v>
      </c>
      <c r="K668">
        <v>0</v>
      </c>
      <c r="L668">
        <v>0</v>
      </c>
      <c r="M668">
        <v>0</v>
      </c>
      <c r="N668">
        <v>0</v>
      </c>
      <c r="O668">
        <v>0</v>
      </c>
    </row>
    <row r="669" spans="1:15" x14ac:dyDescent="0.35">
      <c r="A669" t="s">
        <v>981</v>
      </c>
      <c r="B669" t="s">
        <v>982</v>
      </c>
      <c r="C669" t="s">
        <v>898</v>
      </c>
      <c r="D669" t="s">
        <v>339</v>
      </c>
      <c r="E669" t="s">
        <v>306</v>
      </c>
      <c r="F669" t="s">
        <v>1010</v>
      </c>
      <c r="G669">
        <v>0</v>
      </c>
      <c r="H669">
        <v>0</v>
      </c>
      <c r="I669">
        <v>0</v>
      </c>
      <c r="J669">
        <v>0</v>
      </c>
      <c r="K669">
        <v>0</v>
      </c>
      <c r="L669">
        <v>0</v>
      </c>
      <c r="M669">
        <v>0</v>
      </c>
      <c r="N669">
        <v>0</v>
      </c>
      <c r="O669">
        <v>0</v>
      </c>
    </row>
    <row r="670" spans="1:15" x14ac:dyDescent="0.35">
      <c r="A670" t="s">
        <v>981</v>
      </c>
      <c r="B670" t="s">
        <v>982</v>
      </c>
      <c r="C670" t="s">
        <v>898</v>
      </c>
      <c r="D670" t="s">
        <v>339</v>
      </c>
      <c r="E670" t="s">
        <v>308</v>
      </c>
      <c r="F670" t="s">
        <v>1011</v>
      </c>
      <c r="G670">
        <v>19</v>
      </c>
      <c r="H670">
        <v>2989.49</v>
      </c>
      <c r="I670">
        <v>157.34</v>
      </c>
      <c r="J670">
        <v>0</v>
      </c>
      <c r="K670">
        <v>0</v>
      </c>
      <c r="L670">
        <v>0</v>
      </c>
      <c r="M670">
        <v>19</v>
      </c>
      <c r="N670">
        <v>2989.49</v>
      </c>
      <c r="O670">
        <v>157.34</v>
      </c>
    </row>
    <row r="671" spans="1:15" x14ac:dyDescent="0.35">
      <c r="A671" t="s">
        <v>981</v>
      </c>
      <c r="B671" t="s">
        <v>982</v>
      </c>
      <c r="C671" t="s">
        <v>898</v>
      </c>
      <c r="D671" t="s">
        <v>339</v>
      </c>
      <c r="E671" t="s">
        <v>310</v>
      </c>
      <c r="F671" t="s">
        <v>1012</v>
      </c>
      <c r="G671">
        <v>200</v>
      </c>
      <c r="H671">
        <v>22079.599999999999</v>
      </c>
      <c r="I671">
        <v>110.4</v>
      </c>
      <c r="J671">
        <v>0</v>
      </c>
      <c r="K671">
        <v>0</v>
      </c>
      <c r="L671">
        <v>0</v>
      </c>
      <c r="M671">
        <v>200</v>
      </c>
      <c r="N671">
        <v>22079.599999999999</v>
      </c>
      <c r="O671">
        <v>110.4</v>
      </c>
    </row>
    <row r="672" spans="1:15" x14ac:dyDescent="0.35">
      <c r="A672" t="s">
        <v>981</v>
      </c>
      <c r="B672" t="s">
        <v>982</v>
      </c>
      <c r="C672" t="s">
        <v>898</v>
      </c>
      <c r="D672" t="s">
        <v>339</v>
      </c>
      <c r="E672" t="s">
        <v>312</v>
      </c>
      <c r="F672" t="s">
        <v>1013</v>
      </c>
      <c r="G672">
        <v>181</v>
      </c>
      <c r="H672">
        <v>19090.11</v>
      </c>
      <c r="I672">
        <v>105.47</v>
      </c>
      <c r="J672">
        <v>0</v>
      </c>
      <c r="K672">
        <v>0</v>
      </c>
      <c r="L672">
        <v>0</v>
      </c>
      <c r="M672">
        <v>181</v>
      </c>
      <c r="N672">
        <v>19090.11</v>
      </c>
      <c r="O672">
        <v>105.47</v>
      </c>
    </row>
    <row r="673" spans="1:15" x14ac:dyDescent="0.35">
      <c r="A673" t="s">
        <v>981</v>
      </c>
      <c r="B673" t="s">
        <v>982</v>
      </c>
      <c r="C673" t="s">
        <v>898</v>
      </c>
      <c r="D673" t="s">
        <v>348</v>
      </c>
      <c r="E673" t="s">
        <v>349</v>
      </c>
      <c r="F673" t="s">
        <v>1014</v>
      </c>
      <c r="G673">
        <v>303</v>
      </c>
      <c r="H673">
        <v>22079.599999999999</v>
      </c>
      <c r="I673">
        <v>110.4</v>
      </c>
      <c r="J673">
        <v>0</v>
      </c>
      <c r="K673">
        <v>0</v>
      </c>
      <c r="L673">
        <v>0</v>
      </c>
      <c r="M673">
        <v>303</v>
      </c>
      <c r="N673">
        <v>22079.599999999999</v>
      </c>
      <c r="O673">
        <v>110.4</v>
      </c>
    </row>
    <row r="674" spans="1:15" x14ac:dyDescent="0.35">
      <c r="A674" t="s">
        <v>1015</v>
      </c>
      <c r="B674" t="s">
        <v>1016</v>
      </c>
      <c r="C674" t="s">
        <v>898</v>
      </c>
      <c r="D674" t="s">
        <v>293</v>
      </c>
      <c r="E674" t="s">
        <v>294</v>
      </c>
      <c r="F674" t="s">
        <v>1017</v>
      </c>
      <c r="G674">
        <v>159</v>
      </c>
      <c r="H674">
        <v>18284.559999999998</v>
      </c>
      <c r="I674">
        <v>115</v>
      </c>
      <c r="J674">
        <v>149</v>
      </c>
      <c r="K674">
        <v>18975.149999999998</v>
      </c>
      <c r="L674">
        <v>127.35</v>
      </c>
      <c r="M674">
        <v>308</v>
      </c>
      <c r="N674">
        <v>37259.709999999992</v>
      </c>
      <c r="O674">
        <v>120.97</v>
      </c>
    </row>
    <row r="675" spans="1:15" x14ac:dyDescent="0.35">
      <c r="A675" t="s">
        <v>1015</v>
      </c>
      <c r="B675" t="s">
        <v>1016</v>
      </c>
      <c r="C675" t="s">
        <v>898</v>
      </c>
      <c r="D675" t="s">
        <v>293</v>
      </c>
      <c r="E675" t="s">
        <v>296</v>
      </c>
      <c r="F675" t="s">
        <v>1018</v>
      </c>
      <c r="G675">
        <v>288</v>
      </c>
      <c r="H675">
        <v>38581.129999999997</v>
      </c>
      <c r="I675">
        <v>133.96</v>
      </c>
      <c r="J675">
        <v>436</v>
      </c>
      <c r="K675">
        <v>62012.28</v>
      </c>
      <c r="L675">
        <v>142.22999999999999</v>
      </c>
      <c r="M675">
        <v>724</v>
      </c>
      <c r="N675">
        <v>100593.41</v>
      </c>
      <c r="O675">
        <v>138.94</v>
      </c>
    </row>
    <row r="676" spans="1:15" x14ac:dyDescent="0.35">
      <c r="A676" t="s">
        <v>1015</v>
      </c>
      <c r="B676" t="s">
        <v>1016</v>
      </c>
      <c r="C676" t="s">
        <v>898</v>
      </c>
      <c r="D676" t="s">
        <v>293</v>
      </c>
      <c r="E676" t="s">
        <v>298</v>
      </c>
      <c r="F676" t="s">
        <v>1019</v>
      </c>
      <c r="G676">
        <v>198</v>
      </c>
      <c r="H676">
        <v>27536.859999999993</v>
      </c>
      <c r="I676">
        <v>139.08000000000001</v>
      </c>
      <c r="J676">
        <v>165</v>
      </c>
      <c r="K676">
        <v>24626.25</v>
      </c>
      <c r="L676">
        <v>149.25</v>
      </c>
      <c r="M676">
        <v>363</v>
      </c>
      <c r="N676">
        <v>52163.109999999993</v>
      </c>
      <c r="O676">
        <v>143.69999999999999</v>
      </c>
    </row>
    <row r="677" spans="1:15" x14ac:dyDescent="0.35">
      <c r="A677" t="s">
        <v>1015</v>
      </c>
      <c r="B677" t="s">
        <v>1016</v>
      </c>
      <c r="C677" t="s">
        <v>898</v>
      </c>
      <c r="D677" t="s">
        <v>293</v>
      </c>
      <c r="E677" t="s">
        <v>300</v>
      </c>
      <c r="F677" t="s">
        <v>1020</v>
      </c>
      <c r="G677">
        <v>24</v>
      </c>
      <c r="H677">
        <v>3707.89</v>
      </c>
      <c r="I677">
        <v>154.5</v>
      </c>
      <c r="J677">
        <v>11</v>
      </c>
      <c r="K677">
        <v>1954.04</v>
      </c>
      <c r="L677">
        <v>177.64</v>
      </c>
      <c r="M677">
        <v>35</v>
      </c>
      <c r="N677">
        <v>5661.93</v>
      </c>
      <c r="O677">
        <v>161.77000000000001</v>
      </c>
    </row>
    <row r="678" spans="1:15" x14ac:dyDescent="0.35">
      <c r="A678" t="s">
        <v>1015</v>
      </c>
      <c r="B678" t="s">
        <v>1016</v>
      </c>
      <c r="C678" t="s">
        <v>898</v>
      </c>
      <c r="D678" t="s">
        <v>293</v>
      </c>
      <c r="E678" t="s">
        <v>302</v>
      </c>
      <c r="F678" t="s">
        <v>1021</v>
      </c>
      <c r="G678">
        <v>1</v>
      </c>
      <c r="H678">
        <v>191.56</v>
      </c>
      <c r="I678">
        <v>191.56</v>
      </c>
      <c r="J678">
        <v>0</v>
      </c>
      <c r="K678">
        <v>0</v>
      </c>
      <c r="L678">
        <v>0</v>
      </c>
      <c r="M678">
        <v>1</v>
      </c>
      <c r="N678">
        <v>191.56</v>
      </c>
      <c r="O678">
        <v>191.56</v>
      </c>
    </row>
    <row r="679" spans="1:15" x14ac:dyDescent="0.35">
      <c r="A679" t="s">
        <v>1015</v>
      </c>
      <c r="B679" t="s">
        <v>1016</v>
      </c>
      <c r="C679" t="s">
        <v>898</v>
      </c>
      <c r="D679" t="s">
        <v>293</v>
      </c>
      <c r="E679" t="s">
        <v>304</v>
      </c>
      <c r="F679" t="s">
        <v>1022</v>
      </c>
      <c r="G679">
        <v>0</v>
      </c>
      <c r="H679">
        <v>0</v>
      </c>
      <c r="I679">
        <v>0</v>
      </c>
      <c r="J679">
        <v>1</v>
      </c>
      <c r="K679">
        <v>926.73</v>
      </c>
      <c r="L679">
        <v>926.73</v>
      </c>
      <c r="M679">
        <v>1</v>
      </c>
      <c r="N679">
        <v>926.73</v>
      </c>
      <c r="O679">
        <v>926.73</v>
      </c>
    </row>
    <row r="680" spans="1:15" x14ac:dyDescent="0.35">
      <c r="A680" t="s">
        <v>1015</v>
      </c>
      <c r="B680" t="s">
        <v>1016</v>
      </c>
      <c r="C680" t="s">
        <v>898</v>
      </c>
      <c r="D680" t="s">
        <v>293</v>
      </c>
      <c r="E680" t="s">
        <v>306</v>
      </c>
      <c r="F680" t="s">
        <v>1023</v>
      </c>
      <c r="G680">
        <v>0</v>
      </c>
      <c r="H680">
        <v>0</v>
      </c>
      <c r="I680">
        <v>0</v>
      </c>
      <c r="J680">
        <v>0</v>
      </c>
      <c r="K680">
        <v>0</v>
      </c>
      <c r="L680">
        <v>0</v>
      </c>
      <c r="M680">
        <v>0</v>
      </c>
      <c r="N680">
        <v>0</v>
      </c>
      <c r="O680">
        <v>0</v>
      </c>
    </row>
    <row r="681" spans="1:15" x14ac:dyDescent="0.35">
      <c r="A681" t="s">
        <v>1015</v>
      </c>
      <c r="B681" t="s">
        <v>1016</v>
      </c>
      <c r="C681" t="s">
        <v>898</v>
      </c>
      <c r="D681" t="s">
        <v>293</v>
      </c>
      <c r="E681" t="s">
        <v>308</v>
      </c>
      <c r="F681" t="s">
        <v>1024</v>
      </c>
      <c r="G681">
        <v>0</v>
      </c>
      <c r="H681">
        <v>0</v>
      </c>
      <c r="I681">
        <v>0</v>
      </c>
      <c r="J681">
        <v>0</v>
      </c>
      <c r="K681">
        <v>0</v>
      </c>
      <c r="L681">
        <v>0</v>
      </c>
      <c r="M681">
        <v>0</v>
      </c>
      <c r="N681">
        <v>0</v>
      </c>
      <c r="O681">
        <v>0</v>
      </c>
    </row>
    <row r="682" spans="1:15" x14ac:dyDescent="0.35">
      <c r="A682" t="s">
        <v>1015</v>
      </c>
      <c r="B682" t="s">
        <v>1016</v>
      </c>
      <c r="C682" t="s">
        <v>898</v>
      </c>
      <c r="D682" t="s">
        <v>293</v>
      </c>
      <c r="E682" t="s">
        <v>310</v>
      </c>
      <c r="F682" t="s">
        <v>1025</v>
      </c>
      <c r="G682">
        <v>670</v>
      </c>
      <c r="H682">
        <v>88301.999999999985</v>
      </c>
      <c r="I682">
        <v>131.79</v>
      </c>
      <c r="J682">
        <v>762</v>
      </c>
      <c r="K682">
        <v>108494.44999999998</v>
      </c>
      <c r="L682">
        <v>142.38</v>
      </c>
      <c r="M682">
        <v>1432</v>
      </c>
      <c r="N682">
        <v>196796.44999999995</v>
      </c>
      <c r="O682">
        <v>137.43</v>
      </c>
    </row>
    <row r="683" spans="1:15" x14ac:dyDescent="0.35">
      <c r="A683" t="s">
        <v>1015</v>
      </c>
      <c r="B683" t="s">
        <v>1016</v>
      </c>
      <c r="C683" t="s">
        <v>898</v>
      </c>
      <c r="D683" t="s">
        <v>293</v>
      </c>
      <c r="E683" t="s">
        <v>312</v>
      </c>
      <c r="F683" t="s">
        <v>1026</v>
      </c>
      <c r="G683">
        <v>670</v>
      </c>
      <c r="H683">
        <v>88301.999999999985</v>
      </c>
      <c r="I683">
        <v>131.79</v>
      </c>
      <c r="J683">
        <v>762</v>
      </c>
      <c r="K683">
        <v>108494.44999999998</v>
      </c>
      <c r="L683">
        <v>142.38</v>
      </c>
      <c r="M683">
        <v>1432</v>
      </c>
      <c r="N683">
        <v>196796.44999999995</v>
      </c>
      <c r="O683">
        <v>137.43</v>
      </c>
    </row>
    <row r="684" spans="1:15" x14ac:dyDescent="0.35">
      <c r="A684" t="s">
        <v>1015</v>
      </c>
      <c r="B684" t="s">
        <v>1016</v>
      </c>
      <c r="C684" t="s">
        <v>898</v>
      </c>
      <c r="D684" t="s">
        <v>314</v>
      </c>
      <c r="E684" t="s">
        <v>294</v>
      </c>
      <c r="F684" t="s">
        <v>1027</v>
      </c>
      <c r="G684">
        <v>153</v>
      </c>
      <c r="H684">
        <v>42428.770000000004</v>
      </c>
      <c r="I684">
        <v>277.31</v>
      </c>
      <c r="J684">
        <v>186</v>
      </c>
      <c r="K684">
        <v>28859.759999999998</v>
      </c>
      <c r="L684">
        <v>155.16</v>
      </c>
      <c r="M684">
        <v>339</v>
      </c>
      <c r="N684">
        <v>71288.53</v>
      </c>
      <c r="O684">
        <v>210.29</v>
      </c>
    </row>
    <row r="685" spans="1:15" x14ac:dyDescent="0.35">
      <c r="A685" t="s">
        <v>1015</v>
      </c>
      <c r="B685" t="s">
        <v>1016</v>
      </c>
      <c r="C685" t="s">
        <v>898</v>
      </c>
      <c r="D685" t="s">
        <v>314</v>
      </c>
      <c r="E685" t="s">
        <v>296</v>
      </c>
      <c r="F685" t="s">
        <v>1028</v>
      </c>
      <c r="G685">
        <v>50</v>
      </c>
      <c r="H685">
        <v>7398</v>
      </c>
      <c r="I685">
        <v>147.96</v>
      </c>
      <c r="J685">
        <v>27</v>
      </c>
      <c r="K685">
        <v>3924.9900000000002</v>
      </c>
      <c r="L685">
        <v>145.37</v>
      </c>
      <c r="M685">
        <v>77</v>
      </c>
      <c r="N685">
        <v>11322.99</v>
      </c>
      <c r="O685">
        <v>147.05000000000001</v>
      </c>
    </row>
    <row r="686" spans="1:15" x14ac:dyDescent="0.35">
      <c r="A686" t="s">
        <v>1015</v>
      </c>
      <c r="B686" t="s">
        <v>1016</v>
      </c>
      <c r="C686" t="s">
        <v>898</v>
      </c>
      <c r="D686" t="s">
        <v>314</v>
      </c>
      <c r="E686" t="s">
        <v>298</v>
      </c>
      <c r="F686" t="s">
        <v>1029</v>
      </c>
      <c r="G686">
        <v>12</v>
      </c>
      <c r="H686">
        <v>3578.7200000000003</v>
      </c>
      <c r="I686">
        <v>298.23</v>
      </c>
      <c r="J686">
        <v>0</v>
      </c>
      <c r="K686">
        <v>0</v>
      </c>
      <c r="L686">
        <v>0</v>
      </c>
      <c r="M686">
        <v>12</v>
      </c>
      <c r="N686">
        <v>3578.7200000000003</v>
      </c>
      <c r="O686">
        <v>298.23</v>
      </c>
    </row>
    <row r="687" spans="1:15" x14ac:dyDescent="0.35">
      <c r="A687" t="s">
        <v>1015</v>
      </c>
      <c r="B687" t="s">
        <v>1016</v>
      </c>
      <c r="C687" t="s">
        <v>898</v>
      </c>
      <c r="D687" t="s">
        <v>314</v>
      </c>
      <c r="E687" t="s">
        <v>300</v>
      </c>
      <c r="F687" t="s">
        <v>1030</v>
      </c>
      <c r="G687">
        <v>0</v>
      </c>
      <c r="H687">
        <v>0</v>
      </c>
      <c r="I687">
        <v>0</v>
      </c>
      <c r="J687">
        <v>0</v>
      </c>
      <c r="K687">
        <v>0</v>
      </c>
      <c r="L687">
        <v>0</v>
      </c>
      <c r="M687">
        <v>0</v>
      </c>
      <c r="N687">
        <v>0</v>
      </c>
      <c r="O687">
        <v>0</v>
      </c>
    </row>
    <row r="688" spans="1:15" x14ac:dyDescent="0.35">
      <c r="A688" t="s">
        <v>1015</v>
      </c>
      <c r="B688" t="s">
        <v>1016</v>
      </c>
      <c r="C688" t="s">
        <v>898</v>
      </c>
      <c r="D688" t="s">
        <v>314</v>
      </c>
      <c r="E688" t="s">
        <v>306</v>
      </c>
      <c r="F688" t="s">
        <v>1031</v>
      </c>
      <c r="G688">
        <v>0</v>
      </c>
      <c r="H688">
        <v>0</v>
      </c>
      <c r="I688">
        <v>0</v>
      </c>
      <c r="J688">
        <v>0</v>
      </c>
      <c r="K688">
        <v>0</v>
      </c>
      <c r="L688">
        <v>0</v>
      </c>
      <c r="M688">
        <v>0</v>
      </c>
      <c r="N688">
        <v>0</v>
      </c>
      <c r="O688">
        <v>0</v>
      </c>
    </row>
    <row r="689" spans="1:15" x14ac:dyDescent="0.35">
      <c r="A689" t="s">
        <v>1015</v>
      </c>
      <c r="B689" t="s">
        <v>1016</v>
      </c>
      <c r="C689" t="s">
        <v>898</v>
      </c>
      <c r="D689" t="s">
        <v>314</v>
      </c>
      <c r="E689" t="s">
        <v>308</v>
      </c>
      <c r="F689" t="s">
        <v>1032</v>
      </c>
      <c r="G689">
        <v>0</v>
      </c>
      <c r="H689">
        <v>0</v>
      </c>
      <c r="I689">
        <v>0</v>
      </c>
      <c r="J689">
        <v>0</v>
      </c>
      <c r="K689">
        <v>0</v>
      </c>
      <c r="L689">
        <v>0</v>
      </c>
      <c r="M689">
        <v>0</v>
      </c>
      <c r="N689">
        <v>0</v>
      </c>
      <c r="O689">
        <v>0</v>
      </c>
    </row>
    <row r="690" spans="1:15" x14ac:dyDescent="0.35">
      <c r="A690" t="s">
        <v>1015</v>
      </c>
      <c r="B690" t="s">
        <v>1016</v>
      </c>
      <c r="C690" t="s">
        <v>898</v>
      </c>
      <c r="D690" t="s">
        <v>314</v>
      </c>
      <c r="E690" t="s">
        <v>312</v>
      </c>
      <c r="F690" t="s">
        <v>1033</v>
      </c>
      <c r="G690">
        <v>215</v>
      </c>
      <c r="H690">
        <v>53405.490000000005</v>
      </c>
      <c r="I690">
        <v>248.4</v>
      </c>
      <c r="J690">
        <v>213</v>
      </c>
      <c r="K690">
        <v>32784.75</v>
      </c>
      <c r="L690">
        <v>153.91999999999999</v>
      </c>
      <c r="M690">
        <v>428</v>
      </c>
      <c r="N690">
        <v>86190.24</v>
      </c>
      <c r="O690">
        <v>201.38</v>
      </c>
    </row>
    <row r="691" spans="1:15" x14ac:dyDescent="0.35">
      <c r="A691" t="s">
        <v>1015</v>
      </c>
      <c r="B691" t="s">
        <v>1016</v>
      </c>
      <c r="C691" t="s">
        <v>898</v>
      </c>
      <c r="D691" t="s">
        <v>314</v>
      </c>
      <c r="E691" t="s">
        <v>310</v>
      </c>
      <c r="F691" t="s">
        <v>1034</v>
      </c>
      <c r="G691">
        <v>215</v>
      </c>
      <c r="H691">
        <v>53405.490000000005</v>
      </c>
      <c r="I691">
        <v>248.4</v>
      </c>
      <c r="J691">
        <v>213</v>
      </c>
      <c r="K691">
        <v>32784.75</v>
      </c>
      <c r="L691">
        <v>153.91999999999999</v>
      </c>
      <c r="M691">
        <v>428</v>
      </c>
      <c r="N691">
        <v>86190.24</v>
      </c>
      <c r="O691">
        <v>201.38</v>
      </c>
    </row>
    <row r="692" spans="1:15" x14ac:dyDescent="0.35">
      <c r="A692" t="s">
        <v>1015</v>
      </c>
      <c r="B692" t="s">
        <v>1016</v>
      </c>
      <c r="C692" t="s">
        <v>898</v>
      </c>
      <c r="D692" t="s">
        <v>323</v>
      </c>
      <c r="E692" t="s">
        <v>294</v>
      </c>
      <c r="F692" t="s">
        <v>1035</v>
      </c>
      <c r="G692">
        <v>1446</v>
      </c>
      <c r="H692">
        <v>132848.34</v>
      </c>
      <c r="I692">
        <v>91.87</v>
      </c>
      <c r="J692">
        <v>6188</v>
      </c>
      <c r="K692">
        <v>485262.96</v>
      </c>
      <c r="L692">
        <v>78.42</v>
      </c>
      <c r="M692">
        <v>7634</v>
      </c>
      <c r="N692">
        <v>618111.30000000005</v>
      </c>
      <c r="O692">
        <v>80.97</v>
      </c>
    </row>
    <row r="693" spans="1:15" x14ac:dyDescent="0.35">
      <c r="A693" t="s">
        <v>1015</v>
      </c>
      <c r="B693" t="s">
        <v>1016</v>
      </c>
      <c r="C693" t="s">
        <v>898</v>
      </c>
      <c r="D693" t="s">
        <v>323</v>
      </c>
      <c r="E693" t="s">
        <v>296</v>
      </c>
      <c r="F693" t="s">
        <v>1036</v>
      </c>
      <c r="G693">
        <v>2250</v>
      </c>
      <c r="H693">
        <v>234813.56</v>
      </c>
      <c r="I693">
        <v>104.36</v>
      </c>
      <c r="J693">
        <v>6244</v>
      </c>
      <c r="K693">
        <v>580067.60000000009</v>
      </c>
      <c r="L693">
        <v>92.9</v>
      </c>
      <c r="M693">
        <v>8494</v>
      </c>
      <c r="N693">
        <v>814881.16000000015</v>
      </c>
      <c r="O693">
        <v>95.94</v>
      </c>
    </row>
    <row r="694" spans="1:15" x14ac:dyDescent="0.35">
      <c r="A694" t="s">
        <v>1015</v>
      </c>
      <c r="B694" t="s">
        <v>1016</v>
      </c>
      <c r="C694" t="s">
        <v>898</v>
      </c>
      <c r="D694" t="s">
        <v>323</v>
      </c>
      <c r="E694" t="s">
        <v>298</v>
      </c>
      <c r="F694" t="s">
        <v>1037</v>
      </c>
      <c r="G694">
        <v>1622</v>
      </c>
      <c r="H694">
        <v>184953.63999999998</v>
      </c>
      <c r="I694">
        <v>114.03</v>
      </c>
      <c r="J694">
        <v>8533</v>
      </c>
      <c r="K694">
        <v>840159.17999999993</v>
      </c>
      <c r="L694">
        <v>98.46</v>
      </c>
      <c r="M694">
        <v>10155</v>
      </c>
      <c r="N694">
        <v>1025112.82</v>
      </c>
      <c r="O694">
        <v>100.95</v>
      </c>
    </row>
    <row r="695" spans="1:15" x14ac:dyDescent="0.35">
      <c r="A695" t="s">
        <v>1015</v>
      </c>
      <c r="B695" t="s">
        <v>1016</v>
      </c>
      <c r="C695" t="s">
        <v>898</v>
      </c>
      <c r="D695" t="s">
        <v>323</v>
      </c>
      <c r="E695" t="s">
        <v>300</v>
      </c>
      <c r="F695" t="s">
        <v>1038</v>
      </c>
      <c r="G695">
        <v>233</v>
      </c>
      <c r="H695">
        <v>29274.969999999998</v>
      </c>
      <c r="I695">
        <v>125.64</v>
      </c>
      <c r="J695">
        <v>432</v>
      </c>
      <c r="K695">
        <v>45277.919999999998</v>
      </c>
      <c r="L695">
        <v>104.81</v>
      </c>
      <c r="M695">
        <v>665</v>
      </c>
      <c r="N695">
        <v>74552.89</v>
      </c>
      <c r="O695">
        <v>112.11</v>
      </c>
    </row>
    <row r="696" spans="1:15" x14ac:dyDescent="0.35">
      <c r="A696" t="s">
        <v>1015</v>
      </c>
      <c r="B696" t="s">
        <v>1016</v>
      </c>
      <c r="C696" t="s">
        <v>898</v>
      </c>
      <c r="D696" t="s">
        <v>323</v>
      </c>
      <c r="E696" t="s">
        <v>302</v>
      </c>
      <c r="F696" t="s">
        <v>1039</v>
      </c>
      <c r="G696">
        <v>7</v>
      </c>
      <c r="H696">
        <v>977.23</v>
      </c>
      <c r="I696">
        <v>139.6</v>
      </c>
      <c r="J696">
        <v>14</v>
      </c>
      <c r="K696">
        <v>1591.6599999999999</v>
      </c>
      <c r="L696">
        <v>113.69</v>
      </c>
      <c r="M696">
        <v>21</v>
      </c>
      <c r="N696">
        <v>2568.89</v>
      </c>
      <c r="O696">
        <v>122.33</v>
      </c>
    </row>
    <row r="697" spans="1:15" x14ac:dyDescent="0.35">
      <c r="A697" t="s">
        <v>1015</v>
      </c>
      <c r="B697" t="s">
        <v>1016</v>
      </c>
      <c r="C697" t="s">
        <v>898</v>
      </c>
      <c r="D697" t="s">
        <v>323</v>
      </c>
      <c r="E697" t="s">
        <v>304</v>
      </c>
      <c r="F697" t="s">
        <v>1040</v>
      </c>
      <c r="G697">
        <v>1</v>
      </c>
      <c r="H697">
        <v>131.41999999999999</v>
      </c>
      <c r="I697">
        <v>131.41999999999999</v>
      </c>
      <c r="J697">
        <v>2</v>
      </c>
      <c r="K697">
        <v>225.6</v>
      </c>
      <c r="L697">
        <v>112.8</v>
      </c>
      <c r="M697">
        <v>3</v>
      </c>
      <c r="N697">
        <v>357.02</v>
      </c>
      <c r="O697">
        <v>119.01</v>
      </c>
    </row>
    <row r="698" spans="1:15" x14ac:dyDescent="0.35">
      <c r="A698" t="s">
        <v>1015</v>
      </c>
      <c r="B698" t="s">
        <v>1016</v>
      </c>
      <c r="C698" t="s">
        <v>898</v>
      </c>
      <c r="D698" t="s">
        <v>323</v>
      </c>
      <c r="E698" t="s">
        <v>306</v>
      </c>
      <c r="F698" t="s">
        <v>1041</v>
      </c>
      <c r="G698">
        <v>53</v>
      </c>
      <c r="H698">
        <v>4483.2700000000004</v>
      </c>
      <c r="I698">
        <v>84.59</v>
      </c>
      <c r="J698">
        <v>56</v>
      </c>
      <c r="K698">
        <v>3951.9199999999996</v>
      </c>
      <c r="L698">
        <v>70.569999999999993</v>
      </c>
      <c r="M698">
        <v>109</v>
      </c>
      <c r="N698">
        <v>8435.19</v>
      </c>
      <c r="O698">
        <v>77.39</v>
      </c>
    </row>
    <row r="699" spans="1:15" x14ac:dyDescent="0.35">
      <c r="A699" t="s">
        <v>1015</v>
      </c>
      <c r="B699" t="s">
        <v>1016</v>
      </c>
      <c r="C699" t="s">
        <v>898</v>
      </c>
      <c r="D699" t="s">
        <v>323</v>
      </c>
      <c r="E699" t="s">
        <v>308</v>
      </c>
      <c r="F699" t="s">
        <v>1042</v>
      </c>
      <c r="G699">
        <v>0</v>
      </c>
      <c r="H699">
        <v>0</v>
      </c>
      <c r="I699">
        <v>0</v>
      </c>
      <c r="J699">
        <v>0</v>
      </c>
      <c r="K699">
        <v>0</v>
      </c>
      <c r="L699">
        <v>0</v>
      </c>
      <c r="M699">
        <v>0</v>
      </c>
      <c r="N699">
        <v>0</v>
      </c>
      <c r="O699">
        <v>0</v>
      </c>
    </row>
    <row r="700" spans="1:15" x14ac:dyDescent="0.35">
      <c r="A700" t="s">
        <v>1015</v>
      </c>
      <c r="B700" t="s">
        <v>1016</v>
      </c>
      <c r="C700" t="s">
        <v>898</v>
      </c>
      <c r="D700" t="s">
        <v>323</v>
      </c>
      <c r="E700" t="s">
        <v>310</v>
      </c>
      <c r="F700" t="s">
        <v>1043</v>
      </c>
      <c r="G700">
        <v>5612</v>
      </c>
      <c r="H700">
        <v>587482.43000000005</v>
      </c>
      <c r="I700">
        <v>104.68</v>
      </c>
      <c r="J700">
        <v>21469</v>
      </c>
      <c r="K700">
        <v>1956536.8399999999</v>
      </c>
      <c r="L700">
        <v>91.13</v>
      </c>
      <c r="M700">
        <v>27081</v>
      </c>
      <c r="N700">
        <v>2544019.27</v>
      </c>
      <c r="O700">
        <v>93.94</v>
      </c>
    </row>
    <row r="701" spans="1:15" x14ac:dyDescent="0.35">
      <c r="A701" t="s">
        <v>1015</v>
      </c>
      <c r="B701" t="s">
        <v>1016</v>
      </c>
      <c r="C701" t="s">
        <v>898</v>
      </c>
      <c r="D701" t="s">
        <v>323</v>
      </c>
      <c r="E701" t="s">
        <v>312</v>
      </c>
      <c r="F701" t="s">
        <v>1044</v>
      </c>
      <c r="G701">
        <v>5612</v>
      </c>
      <c r="H701">
        <v>587482.43000000005</v>
      </c>
      <c r="I701">
        <v>104.68</v>
      </c>
      <c r="J701">
        <v>21469</v>
      </c>
      <c r="K701">
        <v>1956536.8399999999</v>
      </c>
      <c r="L701">
        <v>91.13</v>
      </c>
      <c r="M701">
        <v>27081</v>
      </c>
      <c r="N701">
        <v>2544019.27</v>
      </c>
      <c r="O701">
        <v>93.94</v>
      </c>
    </row>
    <row r="702" spans="1:15" x14ac:dyDescent="0.35">
      <c r="A702" t="s">
        <v>1015</v>
      </c>
      <c r="B702" t="s">
        <v>1016</v>
      </c>
      <c r="C702" t="s">
        <v>898</v>
      </c>
      <c r="D702" t="s">
        <v>334</v>
      </c>
      <c r="E702" t="s">
        <v>312</v>
      </c>
      <c r="F702" t="s">
        <v>1045</v>
      </c>
      <c r="G702">
        <v>6738</v>
      </c>
      <c r="H702">
        <v>675784.42999999993</v>
      </c>
      <c r="I702">
        <v>107.57</v>
      </c>
      <c r="J702">
        <v>22231</v>
      </c>
      <c r="K702">
        <v>2065031.29</v>
      </c>
      <c r="L702">
        <v>92.89</v>
      </c>
      <c r="M702">
        <v>28969</v>
      </c>
      <c r="N702">
        <v>2740815.7199999997</v>
      </c>
      <c r="O702">
        <v>96.13</v>
      </c>
    </row>
    <row r="703" spans="1:15" x14ac:dyDescent="0.35">
      <c r="A703" t="s">
        <v>1015</v>
      </c>
      <c r="B703" t="s">
        <v>1016</v>
      </c>
      <c r="C703" t="s">
        <v>898</v>
      </c>
      <c r="D703" t="s">
        <v>334</v>
      </c>
      <c r="E703" t="s">
        <v>308</v>
      </c>
      <c r="F703" t="s">
        <v>1046</v>
      </c>
      <c r="G703">
        <v>150</v>
      </c>
      <c r="H703">
        <v>0</v>
      </c>
      <c r="I703">
        <v>0</v>
      </c>
      <c r="J703">
        <v>0</v>
      </c>
      <c r="K703">
        <v>0</v>
      </c>
      <c r="L703">
        <v>0</v>
      </c>
      <c r="M703">
        <v>150</v>
      </c>
      <c r="N703">
        <v>0</v>
      </c>
      <c r="O703">
        <v>0</v>
      </c>
    </row>
    <row r="704" spans="1:15" x14ac:dyDescent="0.35">
      <c r="A704" t="s">
        <v>1015</v>
      </c>
      <c r="B704" t="s">
        <v>1016</v>
      </c>
      <c r="C704" t="s">
        <v>898</v>
      </c>
      <c r="D704" t="s">
        <v>337</v>
      </c>
      <c r="E704" t="s">
        <v>337</v>
      </c>
      <c r="F704" t="s">
        <v>1047</v>
      </c>
      <c r="G704">
        <v>354</v>
      </c>
      <c r="J704">
        <v>0</v>
      </c>
      <c r="M704">
        <v>354</v>
      </c>
    </row>
    <row r="705" spans="1:15" x14ac:dyDescent="0.35">
      <c r="A705" t="s">
        <v>1015</v>
      </c>
      <c r="B705" t="s">
        <v>1016</v>
      </c>
      <c r="C705" t="s">
        <v>898</v>
      </c>
      <c r="D705" t="s">
        <v>339</v>
      </c>
      <c r="E705" t="s">
        <v>294</v>
      </c>
      <c r="F705" t="s">
        <v>1048</v>
      </c>
      <c r="G705">
        <v>2146</v>
      </c>
      <c r="H705">
        <v>251327.58000000002</v>
      </c>
      <c r="I705">
        <v>117.11</v>
      </c>
      <c r="J705">
        <v>1847</v>
      </c>
      <c r="K705">
        <v>150234.98000000001</v>
      </c>
      <c r="L705">
        <v>81.34</v>
      </c>
      <c r="M705">
        <v>3993</v>
      </c>
      <c r="N705">
        <v>401562.56000000006</v>
      </c>
      <c r="O705">
        <v>100.57</v>
      </c>
    </row>
    <row r="706" spans="1:15" x14ac:dyDescent="0.35">
      <c r="A706" t="s">
        <v>1015</v>
      </c>
      <c r="B706" t="s">
        <v>1016</v>
      </c>
      <c r="C706" t="s">
        <v>898</v>
      </c>
      <c r="D706" t="s">
        <v>339</v>
      </c>
      <c r="E706" t="s">
        <v>296</v>
      </c>
      <c r="F706" t="s">
        <v>1049</v>
      </c>
      <c r="G706">
        <v>385</v>
      </c>
      <c r="H706">
        <v>45343.95</v>
      </c>
      <c r="I706">
        <v>117.78</v>
      </c>
      <c r="J706">
        <v>15</v>
      </c>
      <c r="K706">
        <v>1400.85</v>
      </c>
      <c r="L706">
        <v>93.39</v>
      </c>
      <c r="M706">
        <v>400</v>
      </c>
      <c r="N706">
        <v>46744.799999999996</v>
      </c>
      <c r="O706">
        <v>116.86</v>
      </c>
    </row>
    <row r="707" spans="1:15" x14ac:dyDescent="0.35">
      <c r="A707" t="s">
        <v>1015</v>
      </c>
      <c r="B707" t="s">
        <v>1016</v>
      </c>
      <c r="C707" t="s">
        <v>898</v>
      </c>
      <c r="D707" t="s">
        <v>339</v>
      </c>
      <c r="E707" t="s">
        <v>298</v>
      </c>
      <c r="F707" t="s">
        <v>1050</v>
      </c>
      <c r="G707">
        <v>24</v>
      </c>
      <c r="H707">
        <v>3549.25</v>
      </c>
      <c r="I707">
        <v>147.88999999999999</v>
      </c>
      <c r="J707">
        <v>14</v>
      </c>
      <c r="K707">
        <v>1273.58</v>
      </c>
      <c r="L707">
        <v>90.97</v>
      </c>
      <c r="M707">
        <v>38</v>
      </c>
      <c r="N707">
        <v>4822.83</v>
      </c>
      <c r="O707">
        <v>126.92</v>
      </c>
    </row>
    <row r="708" spans="1:15" x14ac:dyDescent="0.35">
      <c r="A708" t="s">
        <v>1015</v>
      </c>
      <c r="B708" t="s">
        <v>1016</v>
      </c>
      <c r="C708" t="s">
        <v>898</v>
      </c>
      <c r="D708" t="s">
        <v>339</v>
      </c>
      <c r="E708" t="s">
        <v>300</v>
      </c>
      <c r="F708" t="s">
        <v>1051</v>
      </c>
      <c r="G708">
        <v>1</v>
      </c>
      <c r="H708">
        <v>194.67</v>
      </c>
      <c r="I708">
        <v>194.67</v>
      </c>
      <c r="J708">
        <v>3</v>
      </c>
      <c r="K708">
        <v>277.46999999999997</v>
      </c>
      <c r="L708">
        <v>92.49</v>
      </c>
      <c r="M708">
        <v>4</v>
      </c>
      <c r="N708">
        <v>472.14</v>
      </c>
      <c r="O708">
        <v>118.04</v>
      </c>
    </row>
    <row r="709" spans="1:15" x14ac:dyDescent="0.35">
      <c r="A709" t="s">
        <v>1015</v>
      </c>
      <c r="B709" t="s">
        <v>1016</v>
      </c>
      <c r="C709" t="s">
        <v>898</v>
      </c>
      <c r="D709" t="s">
        <v>339</v>
      </c>
      <c r="E709" t="s">
        <v>306</v>
      </c>
      <c r="F709" t="s">
        <v>1052</v>
      </c>
      <c r="G709">
        <v>127</v>
      </c>
      <c r="H709">
        <v>12536.6</v>
      </c>
      <c r="I709">
        <v>98.71</v>
      </c>
      <c r="J709">
        <v>0</v>
      </c>
      <c r="K709">
        <v>0</v>
      </c>
      <c r="L709">
        <v>0</v>
      </c>
      <c r="M709">
        <v>127</v>
      </c>
      <c r="N709">
        <v>12536.6</v>
      </c>
      <c r="O709">
        <v>98.71</v>
      </c>
    </row>
    <row r="710" spans="1:15" x14ac:dyDescent="0.35">
      <c r="A710" t="s">
        <v>1015</v>
      </c>
      <c r="B710" t="s">
        <v>1016</v>
      </c>
      <c r="C710" t="s">
        <v>898</v>
      </c>
      <c r="D710" t="s">
        <v>339</v>
      </c>
      <c r="E710" t="s">
        <v>308</v>
      </c>
      <c r="F710" t="s">
        <v>1053</v>
      </c>
      <c r="G710">
        <v>430</v>
      </c>
      <c r="H710">
        <v>53568.130000000005</v>
      </c>
      <c r="I710">
        <v>124.58</v>
      </c>
      <c r="J710">
        <v>0</v>
      </c>
      <c r="K710">
        <v>0</v>
      </c>
      <c r="L710">
        <v>0</v>
      </c>
      <c r="M710">
        <v>430</v>
      </c>
      <c r="N710">
        <v>53568.130000000005</v>
      </c>
      <c r="O710">
        <v>124.58</v>
      </c>
    </row>
    <row r="711" spans="1:15" x14ac:dyDescent="0.35">
      <c r="A711" t="s">
        <v>1015</v>
      </c>
      <c r="B711" t="s">
        <v>1016</v>
      </c>
      <c r="C711" t="s">
        <v>898</v>
      </c>
      <c r="D711" t="s">
        <v>339</v>
      </c>
      <c r="E711" t="s">
        <v>310</v>
      </c>
      <c r="F711" t="s">
        <v>1054</v>
      </c>
      <c r="G711">
        <v>3113</v>
      </c>
      <c r="H711">
        <v>366520.18</v>
      </c>
      <c r="I711">
        <v>117.74</v>
      </c>
      <c r="J711">
        <v>1879</v>
      </c>
      <c r="K711">
        <v>153186.88</v>
      </c>
      <c r="L711">
        <v>81.53</v>
      </c>
      <c r="M711">
        <v>4992</v>
      </c>
      <c r="N711">
        <v>519707.06</v>
      </c>
      <c r="O711">
        <v>104.11</v>
      </c>
    </row>
    <row r="712" spans="1:15" x14ac:dyDescent="0.35">
      <c r="A712" t="s">
        <v>1015</v>
      </c>
      <c r="B712" t="s">
        <v>1016</v>
      </c>
      <c r="C712" t="s">
        <v>898</v>
      </c>
      <c r="D712" t="s">
        <v>339</v>
      </c>
      <c r="E712" t="s">
        <v>312</v>
      </c>
      <c r="F712" t="s">
        <v>1055</v>
      </c>
      <c r="G712">
        <v>2683</v>
      </c>
      <c r="H712">
        <v>312952.05</v>
      </c>
      <c r="I712">
        <v>116.64</v>
      </c>
      <c r="J712">
        <v>1879</v>
      </c>
      <c r="K712">
        <v>153186.88</v>
      </c>
      <c r="L712">
        <v>81.53</v>
      </c>
      <c r="M712">
        <v>4562</v>
      </c>
      <c r="N712">
        <v>466138.93</v>
      </c>
      <c r="O712">
        <v>102.18</v>
      </c>
    </row>
    <row r="713" spans="1:15" x14ac:dyDescent="0.35">
      <c r="A713" t="s">
        <v>1015</v>
      </c>
      <c r="B713" t="s">
        <v>1016</v>
      </c>
      <c r="C713" t="s">
        <v>898</v>
      </c>
      <c r="D713" t="s">
        <v>348</v>
      </c>
      <c r="E713" t="s">
        <v>349</v>
      </c>
      <c r="F713" t="s">
        <v>1056</v>
      </c>
      <c r="G713">
        <v>3767</v>
      </c>
      <c r="H713">
        <v>419925.67</v>
      </c>
      <c r="I713">
        <v>126.18</v>
      </c>
      <c r="J713">
        <v>2092</v>
      </c>
      <c r="K713">
        <v>185971.63</v>
      </c>
      <c r="L713">
        <v>88.9</v>
      </c>
      <c r="M713">
        <v>5859</v>
      </c>
      <c r="N713">
        <v>605897.30000000005</v>
      </c>
      <c r="O713">
        <v>111.79</v>
      </c>
    </row>
    <row r="714" spans="1:15" x14ac:dyDescent="0.35">
      <c r="A714" t="s">
        <v>1057</v>
      </c>
      <c r="B714" t="s">
        <v>1058</v>
      </c>
      <c r="C714" t="s">
        <v>1059</v>
      </c>
      <c r="D714" t="s">
        <v>293</v>
      </c>
      <c r="E714" t="s">
        <v>294</v>
      </c>
      <c r="F714" t="s">
        <v>1060</v>
      </c>
      <c r="G714">
        <v>308</v>
      </c>
      <c r="H714">
        <v>42471.75</v>
      </c>
      <c r="I714">
        <v>137.9</v>
      </c>
      <c r="J714">
        <v>0</v>
      </c>
      <c r="K714">
        <v>0</v>
      </c>
      <c r="L714">
        <v>0</v>
      </c>
      <c r="M714">
        <v>308</v>
      </c>
      <c r="N714">
        <v>42471.75</v>
      </c>
      <c r="O714">
        <v>137.9</v>
      </c>
    </row>
    <row r="715" spans="1:15" x14ac:dyDescent="0.35">
      <c r="A715" t="s">
        <v>1057</v>
      </c>
      <c r="B715" t="s">
        <v>1058</v>
      </c>
      <c r="C715" t="s">
        <v>1059</v>
      </c>
      <c r="D715" t="s">
        <v>293</v>
      </c>
      <c r="E715" t="s">
        <v>296</v>
      </c>
      <c r="F715" t="s">
        <v>1061</v>
      </c>
      <c r="G715">
        <v>602</v>
      </c>
      <c r="H715">
        <v>91005.96</v>
      </c>
      <c r="I715">
        <v>151.16999999999999</v>
      </c>
      <c r="J715">
        <v>0</v>
      </c>
      <c r="K715">
        <v>0</v>
      </c>
      <c r="L715">
        <v>0</v>
      </c>
      <c r="M715">
        <v>602</v>
      </c>
      <c r="N715">
        <v>91005.96</v>
      </c>
      <c r="O715">
        <v>151.16999999999999</v>
      </c>
    </row>
    <row r="716" spans="1:15" x14ac:dyDescent="0.35">
      <c r="A716" t="s">
        <v>1057</v>
      </c>
      <c r="B716" t="s">
        <v>1058</v>
      </c>
      <c r="C716" t="s">
        <v>1059</v>
      </c>
      <c r="D716" t="s">
        <v>293</v>
      </c>
      <c r="E716" t="s">
        <v>298</v>
      </c>
      <c r="F716" t="s">
        <v>1062</v>
      </c>
      <c r="G716">
        <v>308</v>
      </c>
      <c r="H716">
        <v>48993.75</v>
      </c>
      <c r="I716">
        <v>159.07</v>
      </c>
      <c r="J716">
        <v>0</v>
      </c>
      <c r="K716">
        <v>0</v>
      </c>
      <c r="L716">
        <v>0</v>
      </c>
      <c r="M716">
        <v>308</v>
      </c>
      <c r="N716">
        <v>48993.75</v>
      </c>
      <c r="O716">
        <v>159.07</v>
      </c>
    </row>
    <row r="717" spans="1:15" x14ac:dyDescent="0.35">
      <c r="A717" t="s">
        <v>1057</v>
      </c>
      <c r="B717" t="s">
        <v>1058</v>
      </c>
      <c r="C717" t="s">
        <v>1059</v>
      </c>
      <c r="D717" t="s">
        <v>293</v>
      </c>
      <c r="E717" t="s">
        <v>300</v>
      </c>
      <c r="F717" t="s">
        <v>1063</v>
      </c>
      <c r="G717">
        <v>40</v>
      </c>
      <c r="H717">
        <v>7867.7800000000007</v>
      </c>
      <c r="I717">
        <v>196.69</v>
      </c>
      <c r="J717">
        <v>0</v>
      </c>
      <c r="K717">
        <v>0</v>
      </c>
      <c r="L717">
        <v>0</v>
      </c>
      <c r="M717">
        <v>40</v>
      </c>
      <c r="N717">
        <v>7867.7800000000007</v>
      </c>
      <c r="O717">
        <v>196.69</v>
      </c>
    </row>
    <row r="718" spans="1:15" x14ac:dyDescent="0.35">
      <c r="A718" t="s">
        <v>1057</v>
      </c>
      <c r="B718" t="s">
        <v>1058</v>
      </c>
      <c r="C718" t="s">
        <v>1059</v>
      </c>
      <c r="D718" t="s">
        <v>293</v>
      </c>
      <c r="E718" t="s">
        <v>302</v>
      </c>
      <c r="F718" t="s">
        <v>1064</v>
      </c>
      <c r="G718">
        <v>1</v>
      </c>
      <c r="H718">
        <v>224.38</v>
      </c>
      <c r="I718">
        <v>224.38</v>
      </c>
      <c r="J718">
        <v>0</v>
      </c>
      <c r="K718">
        <v>0</v>
      </c>
      <c r="L718">
        <v>0</v>
      </c>
      <c r="M718">
        <v>1</v>
      </c>
      <c r="N718">
        <v>224.38</v>
      </c>
      <c r="O718">
        <v>224.38</v>
      </c>
    </row>
    <row r="719" spans="1:15" x14ac:dyDescent="0.35">
      <c r="A719" t="s">
        <v>1057</v>
      </c>
      <c r="B719" t="s">
        <v>1058</v>
      </c>
      <c r="C719" t="s">
        <v>1059</v>
      </c>
      <c r="D719" t="s">
        <v>293</v>
      </c>
      <c r="E719" t="s">
        <v>304</v>
      </c>
      <c r="F719" t="s">
        <v>1065</v>
      </c>
      <c r="G719">
        <v>0</v>
      </c>
      <c r="H719">
        <v>0</v>
      </c>
      <c r="I719">
        <v>0</v>
      </c>
      <c r="J719">
        <v>0</v>
      </c>
      <c r="K719">
        <v>0</v>
      </c>
      <c r="L719">
        <v>0</v>
      </c>
      <c r="M719">
        <v>0</v>
      </c>
      <c r="N719">
        <v>0</v>
      </c>
      <c r="O719">
        <v>0</v>
      </c>
    </row>
    <row r="720" spans="1:15" x14ac:dyDescent="0.35">
      <c r="A720" t="s">
        <v>1057</v>
      </c>
      <c r="B720" t="s">
        <v>1058</v>
      </c>
      <c r="C720" t="s">
        <v>1059</v>
      </c>
      <c r="D720" t="s">
        <v>293</v>
      </c>
      <c r="E720" t="s">
        <v>306</v>
      </c>
      <c r="F720" t="s">
        <v>1066</v>
      </c>
      <c r="G720">
        <v>0</v>
      </c>
      <c r="H720">
        <v>0</v>
      </c>
      <c r="I720">
        <v>0</v>
      </c>
      <c r="J720">
        <v>0</v>
      </c>
      <c r="K720">
        <v>0</v>
      </c>
      <c r="L720">
        <v>0</v>
      </c>
      <c r="M720">
        <v>0</v>
      </c>
      <c r="N720">
        <v>0</v>
      </c>
      <c r="O720">
        <v>0</v>
      </c>
    </row>
    <row r="721" spans="1:15" x14ac:dyDescent="0.35">
      <c r="A721" t="s">
        <v>1057</v>
      </c>
      <c r="B721" t="s">
        <v>1058</v>
      </c>
      <c r="C721" t="s">
        <v>1059</v>
      </c>
      <c r="D721" t="s">
        <v>293</v>
      </c>
      <c r="E721" t="s">
        <v>308</v>
      </c>
      <c r="F721" t="s">
        <v>1067</v>
      </c>
      <c r="G721">
        <v>0</v>
      </c>
      <c r="H721">
        <v>0</v>
      </c>
      <c r="I721">
        <v>0</v>
      </c>
      <c r="J721">
        <v>0</v>
      </c>
      <c r="K721">
        <v>0</v>
      </c>
      <c r="L721">
        <v>0</v>
      </c>
      <c r="M721">
        <v>0</v>
      </c>
      <c r="N721">
        <v>0</v>
      </c>
      <c r="O721">
        <v>0</v>
      </c>
    </row>
    <row r="722" spans="1:15" x14ac:dyDescent="0.35">
      <c r="A722" t="s">
        <v>1057</v>
      </c>
      <c r="B722" t="s">
        <v>1058</v>
      </c>
      <c r="C722" t="s">
        <v>1059</v>
      </c>
      <c r="D722" t="s">
        <v>293</v>
      </c>
      <c r="E722" t="s">
        <v>310</v>
      </c>
      <c r="F722" t="s">
        <v>1068</v>
      </c>
      <c r="G722">
        <v>1259</v>
      </c>
      <c r="H722">
        <v>190563.62000000002</v>
      </c>
      <c r="I722">
        <v>151.36000000000001</v>
      </c>
      <c r="J722">
        <v>0</v>
      </c>
      <c r="K722">
        <v>0</v>
      </c>
      <c r="L722">
        <v>0</v>
      </c>
      <c r="M722">
        <v>1259</v>
      </c>
      <c r="N722">
        <v>190563.62000000002</v>
      </c>
      <c r="O722">
        <v>151.36000000000001</v>
      </c>
    </row>
    <row r="723" spans="1:15" x14ac:dyDescent="0.35">
      <c r="A723" t="s">
        <v>1057</v>
      </c>
      <c r="B723" t="s">
        <v>1058</v>
      </c>
      <c r="C723" t="s">
        <v>1059</v>
      </c>
      <c r="D723" t="s">
        <v>293</v>
      </c>
      <c r="E723" t="s">
        <v>312</v>
      </c>
      <c r="F723" t="s">
        <v>1069</v>
      </c>
      <c r="G723">
        <v>1259</v>
      </c>
      <c r="H723">
        <v>190563.62000000002</v>
      </c>
      <c r="I723">
        <v>151.36000000000001</v>
      </c>
      <c r="J723">
        <v>0</v>
      </c>
      <c r="K723">
        <v>0</v>
      </c>
      <c r="L723">
        <v>0</v>
      </c>
      <c r="M723">
        <v>1259</v>
      </c>
      <c r="N723">
        <v>190563.62000000002</v>
      </c>
      <c r="O723">
        <v>151.36000000000001</v>
      </c>
    </row>
    <row r="724" spans="1:15" x14ac:dyDescent="0.35">
      <c r="A724" t="s">
        <v>1057</v>
      </c>
      <c r="B724" t="s">
        <v>1058</v>
      </c>
      <c r="C724" t="s">
        <v>1059</v>
      </c>
      <c r="D724" t="s">
        <v>314</v>
      </c>
      <c r="E724" t="s">
        <v>294</v>
      </c>
      <c r="F724" t="s">
        <v>1070</v>
      </c>
      <c r="G724">
        <v>12</v>
      </c>
      <c r="H724">
        <v>2146.08</v>
      </c>
      <c r="I724">
        <v>178.84</v>
      </c>
      <c r="J724">
        <v>0</v>
      </c>
      <c r="K724">
        <v>0</v>
      </c>
      <c r="L724">
        <v>0</v>
      </c>
      <c r="M724">
        <v>12</v>
      </c>
      <c r="N724">
        <v>2146.08</v>
      </c>
      <c r="O724">
        <v>178.84</v>
      </c>
    </row>
    <row r="725" spans="1:15" x14ac:dyDescent="0.35">
      <c r="A725" t="s">
        <v>1057</v>
      </c>
      <c r="B725" t="s">
        <v>1058</v>
      </c>
      <c r="C725" t="s">
        <v>1059</v>
      </c>
      <c r="D725" t="s">
        <v>314</v>
      </c>
      <c r="E725" t="s">
        <v>296</v>
      </c>
      <c r="F725" t="s">
        <v>1071</v>
      </c>
      <c r="G725">
        <v>9</v>
      </c>
      <c r="H725">
        <v>1181.7</v>
      </c>
      <c r="I725">
        <v>131.30000000000001</v>
      </c>
      <c r="J725">
        <v>0</v>
      </c>
      <c r="K725">
        <v>0</v>
      </c>
      <c r="L725">
        <v>0</v>
      </c>
      <c r="M725">
        <v>9</v>
      </c>
      <c r="N725">
        <v>1181.7</v>
      </c>
      <c r="O725">
        <v>131.30000000000001</v>
      </c>
    </row>
    <row r="726" spans="1:15" x14ac:dyDescent="0.35">
      <c r="A726" t="s">
        <v>1057</v>
      </c>
      <c r="B726" t="s">
        <v>1058</v>
      </c>
      <c r="C726" t="s">
        <v>1059</v>
      </c>
      <c r="D726" t="s">
        <v>314</v>
      </c>
      <c r="E726" t="s">
        <v>298</v>
      </c>
      <c r="F726" t="s">
        <v>1072</v>
      </c>
      <c r="G726">
        <v>12</v>
      </c>
      <c r="H726">
        <v>1938.2400000000002</v>
      </c>
      <c r="I726">
        <v>161.52000000000001</v>
      </c>
      <c r="J726">
        <v>0</v>
      </c>
      <c r="K726">
        <v>0</v>
      </c>
      <c r="L726">
        <v>0</v>
      </c>
      <c r="M726">
        <v>12</v>
      </c>
      <c r="N726">
        <v>1938.2400000000002</v>
      </c>
      <c r="O726">
        <v>161.52000000000001</v>
      </c>
    </row>
    <row r="727" spans="1:15" x14ac:dyDescent="0.35">
      <c r="A727" t="s">
        <v>1057</v>
      </c>
      <c r="B727" t="s">
        <v>1058</v>
      </c>
      <c r="C727" t="s">
        <v>1059</v>
      </c>
      <c r="D727" t="s">
        <v>314</v>
      </c>
      <c r="E727" t="s">
        <v>300</v>
      </c>
      <c r="F727" t="s">
        <v>1073</v>
      </c>
      <c r="G727">
        <v>2</v>
      </c>
      <c r="H727">
        <v>430.38</v>
      </c>
      <c r="I727">
        <v>215.19</v>
      </c>
      <c r="J727">
        <v>0</v>
      </c>
      <c r="K727">
        <v>0</v>
      </c>
      <c r="L727">
        <v>0</v>
      </c>
      <c r="M727">
        <v>2</v>
      </c>
      <c r="N727">
        <v>430.38</v>
      </c>
      <c r="O727">
        <v>215.19</v>
      </c>
    </row>
    <row r="728" spans="1:15" x14ac:dyDescent="0.35">
      <c r="A728" t="s">
        <v>1057</v>
      </c>
      <c r="B728" t="s">
        <v>1058</v>
      </c>
      <c r="C728" t="s">
        <v>1059</v>
      </c>
      <c r="D728" t="s">
        <v>314</v>
      </c>
      <c r="E728" t="s">
        <v>306</v>
      </c>
      <c r="F728" t="s">
        <v>1074</v>
      </c>
      <c r="G728">
        <v>0</v>
      </c>
      <c r="H728">
        <v>0</v>
      </c>
      <c r="I728">
        <v>0</v>
      </c>
      <c r="J728">
        <v>0</v>
      </c>
      <c r="K728">
        <v>0</v>
      </c>
      <c r="L728">
        <v>0</v>
      </c>
      <c r="M728">
        <v>0</v>
      </c>
      <c r="N728">
        <v>0</v>
      </c>
      <c r="O728">
        <v>0</v>
      </c>
    </row>
    <row r="729" spans="1:15" x14ac:dyDescent="0.35">
      <c r="A729" t="s">
        <v>1057</v>
      </c>
      <c r="B729" t="s">
        <v>1058</v>
      </c>
      <c r="C729" t="s">
        <v>1059</v>
      </c>
      <c r="D729" t="s">
        <v>314</v>
      </c>
      <c r="E729" t="s">
        <v>308</v>
      </c>
      <c r="F729" t="s">
        <v>1075</v>
      </c>
      <c r="G729">
        <v>0</v>
      </c>
      <c r="H729">
        <v>0</v>
      </c>
      <c r="I729">
        <v>0</v>
      </c>
      <c r="J729">
        <v>0</v>
      </c>
      <c r="K729">
        <v>0</v>
      </c>
      <c r="L729">
        <v>0</v>
      </c>
      <c r="M729">
        <v>0</v>
      </c>
      <c r="N729">
        <v>0</v>
      </c>
      <c r="O729">
        <v>0</v>
      </c>
    </row>
    <row r="730" spans="1:15" x14ac:dyDescent="0.35">
      <c r="A730" t="s">
        <v>1057</v>
      </c>
      <c r="B730" t="s">
        <v>1058</v>
      </c>
      <c r="C730" t="s">
        <v>1059</v>
      </c>
      <c r="D730" t="s">
        <v>314</v>
      </c>
      <c r="E730" t="s">
        <v>312</v>
      </c>
      <c r="F730" t="s">
        <v>1076</v>
      </c>
      <c r="G730">
        <v>35</v>
      </c>
      <c r="H730">
        <v>5696.4000000000005</v>
      </c>
      <c r="I730">
        <v>162.75</v>
      </c>
      <c r="J730">
        <v>0</v>
      </c>
      <c r="K730">
        <v>0</v>
      </c>
      <c r="L730">
        <v>0</v>
      </c>
      <c r="M730">
        <v>35</v>
      </c>
      <c r="N730">
        <v>5696.4000000000005</v>
      </c>
      <c r="O730">
        <v>162.75</v>
      </c>
    </row>
    <row r="731" spans="1:15" x14ac:dyDescent="0.35">
      <c r="A731" t="s">
        <v>1057</v>
      </c>
      <c r="B731" t="s">
        <v>1058</v>
      </c>
      <c r="C731" t="s">
        <v>1059</v>
      </c>
      <c r="D731" t="s">
        <v>314</v>
      </c>
      <c r="E731" t="s">
        <v>310</v>
      </c>
      <c r="F731" t="s">
        <v>1077</v>
      </c>
      <c r="G731">
        <v>35</v>
      </c>
      <c r="H731">
        <v>5696.4000000000005</v>
      </c>
      <c r="I731">
        <v>162.75</v>
      </c>
      <c r="J731">
        <v>0</v>
      </c>
      <c r="K731">
        <v>0</v>
      </c>
      <c r="L731">
        <v>0</v>
      </c>
      <c r="M731">
        <v>35</v>
      </c>
      <c r="N731">
        <v>5696.4000000000005</v>
      </c>
      <c r="O731">
        <v>162.75</v>
      </c>
    </row>
    <row r="732" spans="1:15" x14ac:dyDescent="0.35">
      <c r="A732" t="s">
        <v>1057</v>
      </c>
      <c r="B732" t="s">
        <v>1058</v>
      </c>
      <c r="C732" t="s">
        <v>1059</v>
      </c>
      <c r="D732" t="s">
        <v>323</v>
      </c>
      <c r="E732" t="s">
        <v>294</v>
      </c>
      <c r="F732" t="s">
        <v>1078</v>
      </c>
      <c r="G732">
        <v>1628</v>
      </c>
      <c r="H732">
        <v>149999.94</v>
      </c>
      <c r="I732">
        <v>92.14</v>
      </c>
      <c r="J732">
        <v>0</v>
      </c>
      <c r="K732">
        <v>0</v>
      </c>
      <c r="L732">
        <v>0</v>
      </c>
      <c r="M732">
        <v>1628</v>
      </c>
      <c r="N732">
        <v>149999.94</v>
      </c>
      <c r="O732">
        <v>92.14</v>
      </c>
    </row>
    <row r="733" spans="1:15" x14ac:dyDescent="0.35">
      <c r="A733" t="s">
        <v>1057</v>
      </c>
      <c r="B733" t="s">
        <v>1058</v>
      </c>
      <c r="C733" t="s">
        <v>1059</v>
      </c>
      <c r="D733" t="s">
        <v>323</v>
      </c>
      <c r="E733" t="s">
        <v>296</v>
      </c>
      <c r="F733" t="s">
        <v>1079</v>
      </c>
      <c r="G733">
        <v>3030</v>
      </c>
      <c r="H733">
        <v>327086.16000000003</v>
      </c>
      <c r="I733">
        <v>107.95</v>
      </c>
      <c r="J733">
        <v>0</v>
      </c>
      <c r="K733">
        <v>0</v>
      </c>
      <c r="L733">
        <v>0</v>
      </c>
      <c r="M733">
        <v>3030</v>
      </c>
      <c r="N733">
        <v>327086.16000000003</v>
      </c>
      <c r="O733">
        <v>107.95</v>
      </c>
    </row>
    <row r="734" spans="1:15" x14ac:dyDescent="0.35">
      <c r="A734" t="s">
        <v>1057</v>
      </c>
      <c r="B734" t="s">
        <v>1058</v>
      </c>
      <c r="C734" t="s">
        <v>1059</v>
      </c>
      <c r="D734" t="s">
        <v>323</v>
      </c>
      <c r="E734" t="s">
        <v>298</v>
      </c>
      <c r="F734" t="s">
        <v>1080</v>
      </c>
      <c r="G734">
        <v>3568</v>
      </c>
      <c r="H734">
        <v>428566.75</v>
      </c>
      <c r="I734">
        <v>120.11</v>
      </c>
      <c r="J734">
        <v>0</v>
      </c>
      <c r="K734">
        <v>0</v>
      </c>
      <c r="L734">
        <v>0</v>
      </c>
      <c r="M734">
        <v>3568</v>
      </c>
      <c r="N734">
        <v>428566.75</v>
      </c>
      <c r="O734">
        <v>120.11</v>
      </c>
    </row>
    <row r="735" spans="1:15" x14ac:dyDescent="0.35">
      <c r="A735" t="s">
        <v>1057</v>
      </c>
      <c r="B735" t="s">
        <v>1058</v>
      </c>
      <c r="C735" t="s">
        <v>1059</v>
      </c>
      <c r="D735" t="s">
        <v>323</v>
      </c>
      <c r="E735" t="s">
        <v>300</v>
      </c>
      <c r="F735" t="s">
        <v>1081</v>
      </c>
      <c r="G735">
        <v>237</v>
      </c>
      <c r="H735">
        <v>32063.590000000004</v>
      </c>
      <c r="I735">
        <v>135.29</v>
      </c>
      <c r="J735">
        <v>0</v>
      </c>
      <c r="K735">
        <v>0</v>
      </c>
      <c r="L735">
        <v>0</v>
      </c>
      <c r="M735">
        <v>237</v>
      </c>
      <c r="N735">
        <v>32063.590000000004</v>
      </c>
      <c r="O735">
        <v>135.29</v>
      </c>
    </row>
    <row r="736" spans="1:15" x14ac:dyDescent="0.35">
      <c r="A736" t="s">
        <v>1057</v>
      </c>
      <c r="B736" t="s">
        <v>1058</v>
      </c>
      <c r="C736" t="s">
        <v>1059</v>
      </c>
      <c r="D736" t="s">
        <v>323</v>
      </c>
      <c r="E736" t="s">
        <v>302</v>
      </c>
      <c r="F736" t="s">
        <v>1082</v>
      </c>
      <c r="G736">
        <v>14</v>
      </c>
      <c r="H736">
        <v>2082.9299999999998</v>
      </c>
      <c r="I736">
        <v>148.78</v>
      </c>
      <c r="J736">
        <v>0</v>
      </c>
      <c r="K736">
        <v>0</v>
      </c>
      <c r="L736">
        <v>0</v>
      </c>
      <c r="M736">
        <v>14</v>
      </c>
      <c r="N736">
        <v>2082.9299999999998</v>
      </c>
      <c r="O736">
        <v>148.78</v>
      </c>
    </row>
    <row r="737" spans="1:15" x14ac:dyDescent="0.35">
      <c r="A737" t="s">
        <v>1057</v>
      </c>
      <c r="B737" t="s">
        <v>1058</v>
      </c>
      <c r="C737" t="s">
        <v>1059</v>
      </c>
      <c r="D737" t="s">
        <v>323</v>
      </c>
      <c r="E737" t="s">
        <v>304</v>
      </c>
      <c r="F737" t="s">
        <v>1083</v>
      </c>
      <c r="G737">
        <v>2</v>
      </c>
      <c r="H737">
        <v>319.02</v>
      </c>
      <c r="I737">
        <v>159.51</v>
      </c>
      <c r="J737">
        <v>0</v>
      </c>
      <c r="K737">
        <v>0</v>
      </c>
      <c r="L737">
        <v>0</v>
      </c>
      <c r="M737">
        <v>2</v>
      </c>
      <c r="N737">
        <v>319.02</v>
      </c>
      <c r="O737">
        <v>159.51</v>
      </c>
    </row>
    <row r="738" spans="1:15" x14ac:dyDescent="0.35">
      <c r="A738" t="s">
        <v>1057</v>
      </c>
      <c r="B738" t="s">
        <v>1058</v>
      </c>
      <c r="C738" t="s">
        <v>1059</v>
      </c>
      <c r="D738" t="s">
        <v>323</v>
      </c>
      <c r="E738" t="s">
        <v>306</v>
      </c>
      <c r="F738" t="s">
        <v>1084</v>
      </c>
      <c r="G738">
        <v>15</v>
      </c>
      <c r="H738">
        <v>1277.2199999999998</v>
      </c>
      <c r="I738">
        <v>85.15</v>
      </c>
      <c r="J738">
        <v>0</v>
      </c>
      <c r="K738">
        <v>0</v>
      </c>
      <c r="L738">
        <v>0</v>
      </c>
      <c r="M738">
        <v>15</v>
      </c>
      <c r="N738">
        <v>1277.2199999999998</v>
      </c>
      <c r="O738">
        <v>85.15</v>
      </c>
    </row>
    <row r="739" spans="1:15" x14ac:dyDescent="0.35">
      <c r="A739" t="s">
        <v>1057</v>
      </c>
      <c r="B739" t="s">
        <v>1058</v>
      </c>
      <c r="C739" t="s">
        <v>1059</v>
      </c>
      <c r="D739" t="s">
        <v>323</v>
      </c>
      <c r="E739" t="s">
        <v>308</v>
      </c>
      <c r="F739" t="s">
        <v>1085</v>
      </c>
      <c r="G739">
        <v>0</v>
      </c>
      <c r="H739">
        <v>0</v>
      </c>
      <c r="I739">
        <v>0</v>
      </c>
      <c r="J739">
        <v>0</v>
      </c>
      <c r="K739">
        <v>0</v>
      </c>
      <c r="L739">
        <v>0</v>
      </c>
      <c r="M739">
        <v>0</v>
      </c>
      <c r="N739">
        <v>0</v>
      </c>
      <c r="O739">
        <v>0</v>
      </c>
    </row>
    <row r="740" spans="1:15" x14ac:dyDescent="0.35">
      <c r="A740" t="s">
        <v>1057</v>
      </c>
      <c r="B740" t="s">
        <v>1058</v>
      </c>
      <c r="C740" t="s">
        <v>1059</v>
      </c>
      <c r="D740" t="s">
        <v>323</v>
      </c>
      <c r="E740" t="s">
        <v>310</v>
      </c>
      <c r="F740" t="s">
        <v>1086</v>
      </c>
      <c r="G740">
        <v>8494</v>
      </c>
      <c r="H740">
        <v>941395.6100000001</v>
      </c>
      <c r="I740">
        <v>110.83</v>
      </c>
      <c r="J740">
        <v>0</v>
      </c>
      <c r="K740">
        <v>0</v>
      </c>
      <c r="L740">
        <v>0</v>
      </c>
      <c r="M740">
        <v>8494</v>
      </c>
      <c r="N740">
        <v>941395.6100000001</v>
      </c>
      <c r="O740">
        <v>110.83</v>
      </c>
    </row>
    <row r="741" spans="1:15" x14ac:dyDescent="0.35">
      <c r="A741" t="s">
        <v>1057</v>
      </c>
      <c r="B741" t="s">
        <v>1058</v>
      </c>
      <c r="C741" t="s">
        <v>1059</v>
      </c>
      <c r="D741" t="s">
        <v>323</v>
      </c>
      <c r="E741" t="s">
        <v>312</v>
      </c>
      <c r="F741" t="s">
        <v>1087</v>
      </c>
      <c r="G741">
        <v>8494</v>
      </c>
      <c r="H741">
        <v>941395.6100000001</v>
      </c>
      <c r="I741">
        <v>110.83</v>
      </c>
      <c r="J741">
        <v>0</v>
      </c>
      <c r="K741">
        <v>0</v>
      </c>
      <c r="L741">
        <v>0</v>
      </c>
      <c r="M741">
        <v>8494</v>
      </c>
      <c r="N741">
        <v>941395.6100000001</v>
      </c>
      <c r="O741">
        <v>110.83</v>
      </c>
    </row>
    <row r="742" spans="1:15" x14ac:dyDescent="0.35">
      <c r="A742" t="s">
        <v>1057</v>
      </c>
      <c r="B742" t="s">
        <v>1058</v>
      </c>
      <c r="C742" t="s">
        <v>1059</v>
      </c>
      <c r="D742" t="s">
        <v>334</v>
      </c>
      <c r="E742" t="s">
        <v>312</v>
      </c>
      <c r="F742" t="s">
        <v>1088</v>
      </c>
      <c r="G742">
        <v>9890</v>
      </c>
      <c r="H742">
        <v>1131959.2300000002</v>
      </c>
      <c r="I742">
        <v>116.06</v>
      </c>
      <c r="J742">
        <v>0</v>
      </c>
      <c r="K742">
        <v>0</v>
      </c>
      <c r="L742">
        <v>0</v>
      </c>
      <c r="M742">
        <v>9890</v>
      </c>
      <c r="N742">
        <v>1131959.2300000002</v>
      </c>
      <c r="O742">
        <v>116.06</v>
      </c>
    </row>
    <row r="743" spans="1:15" x14ac:dyDescent="0.35">
      <c r="A743" t="s">
        <v>1057</v>
      </c>
      <c r="B743" t="s">
        <v>1058</v>
      </c>
      <c r="C743" t="s">
        <v>1059</v>
      </c>
      <c r="D743" t="s">
        <v>334</v>
      </c>
      <c r="E743" t="s">
        <v>308</v>
      </c>
      <c r="F743" t="s">
        <v>1089</v>
      </c>
      <c r="G743">
        <v>0</v>
      </c>
      <c r="H743">
        <v>0</v>
      </c>
      <c r="I743">
        <v>0</v>
      </c>
      <c r="J743">
        <v>0</v>
      </c>
      <c r="K743">
        <v>0</v>
      </c>
      <c r="L743">
        <v>0</v>
      </c>
      <c r="M743">
        <v>0</v>
      </c>
      <c r="N743">
        <v>0</v>
      </c>
      <c r="O743">
        <v>0</v>
      </c>
    </row>
    <row r="744" spans="1:15" x14ac:dyDescent="0.35">
      <c r="A744" t="s">
        <v>1057</v>
      </c>
      <c r="B744" t="s">
        <v>1058</v>
      </c>
      <c r="C744" t="s">
        <v>1059</v>
      </c>
      <c r="D744" t="s">
        <v>337</v>
      </c>
      <c r="E744" t="s">
        <v>337</v>
      </c>
      <c r="F744" t="s">
        <v>1090</v>
      </c>
      <c r="G744">
        <v>1167</v>
      </c>
      <c r="J744">
        <v>0</v>
      </c>
      <c r="M744">
        <v>1167</v>
      </c>
    </row>
    <row r="745" spans="1:15" x14ac:dyDescent="0.35">
      <c r="A745" t="s">
        <v>1057</v>
      </c>
      <c r="B745" t="s">
        <v>1058</v>
      </c>
      <c r="C745" t="s">
        <v>1059</v>
      </c>
      <c r="D745" t="s">
        <v>339</v>
      </c>
      <c r="E745" t="s">
        <v>294</v>
      </c>
      <c r="F745" t="s">
        <v>1091</v>
      </c>
      <c r="G745">
        <v>1419</v>
      </c>
      <c r="H745">
        <v>148396.08000000002</v>
      </c>
      <c r="I745">
        <v>104.58</v>
      </c>
      <c r="J745">
        <v>0</v>
      </c>
      <c r="K745">
        <v>0</v>
      </c>
      <c r="L745">
        <v>0</v>
      </c>
      <c r="M745">
        <v>1419</v>
      </c>
      <c r="N745">
        <v>148396.08000000002</v>
      </c>
      <c r="O745">
        <v>104.58</v>
      </c>
    </row>
    <row r="746" spans="1:15" x14ac:dyDescent="0.35">
      <c r="A746" t="s">
        <v>1057</v>
      </c>
      <c r="B746" t="s">
        <v>1058</v>
      </c>
      <c r="C746" t="s">
        <v>1059</v>
      </c>
      <c r="D746" t="s">
        <v>339</v>
      </c>
      <c r="E746" t="s">
        <v>296</v>
      </c>
      <c r="F746" t="s">
        <v>1092</v>
      </c>
      <c r="G746">
        <v>297</v>
      </c>
      <c r="H746">
        <v>35301.15</v>
      </c>
      <c r="I746">
        <v>118.86</v>
      </c>
      <c r="J746">
        <v>0</v>
      </c>
      <c r="K746">
        <v>0</v>
      </c>
      <c r="L746">
        <v>0</v>
      </c>
      <c r="M746">
        <v>297</v>
      </c>
      <c r="N746">
        <v>35301.15</v>
      </c>
      <c r="O746">
        <v>118.86</v>
      </c>
    </row>
    <row r="747" spans="1:15" x14ac:dyDescent="0.35">
      <c r="A747" t="s">
        <v>1057</v>
      </c>
      <c r="B747" t="s">
        <v>1058</v>
      </c>
      <c r="C747" t="s">
        <v>1059</v>
      </c>
      <c r="D747" t="s">
        <v>339</v>
      </c>
      <c r="E747" t="s">
        <v>298</v>
      </c>
      <c r="F747" t="s">
        <v>1093</v>
      </c>
      <c r="G747">
        <v>14</v>
      </c>
      <c r="H747">
        <v>1856.8799999999999</v>
      </c>
      <c r="I747">
        <v>132.63</v>
      </c>
      <c r="J747">
        <v>0</v>
      </c>
      <c r="K747">
        <v>0</v>
      </c>
      <c r="L747">
        <v>0</v>
      </c>
      <c r="M747">
        <v>14</v>
      </c>
      <c r="N747">
        <v>1856.8799999999999</v>
      </c>
      <c r="O747">
        <v>132.63</v>
      </c>
    </row>
    <row r="748" spans="1:15" x14ac:dyDescent="0.35">
      <c r="A748" t="s">
        <v>1057</v>
      </c>
      <c r="B748" t="s">
        <v>1058</v>
      </c>
      <c r="C748" t="s">
        <v>1059</v>
      </c>
      <c r="D748" t="s">
        <v>339</v>
      </c>
      <c r="E748" t="s">
        <v>300</v>
      </c>
      <c r="F748" t="s">
        <v>1094</v>
      </c>
      <c r="G748">
        <v>0</v>
      </c>
      <c r="H748">
        <v>0</v>
      </c>
      <c r="I748">
        <v>0</v>
      </c>
      <c r="J748">
        <v>0</v>
      </c>
      <c r="K748">
        <v>0</v>
      </c>
      <c r="L748">
        <v>0</v>
      </c>
      <c r="M748">
        <v>0</v>
      </c>
      <c r="N748">
        <v>0</v>
      </c>
      <c r="O748">
        <v>0</v>
      </c>
    </row>
    <row r="749" spans="1:15" x14ac:dyDescent="0.35">
      <c r="A749" t="s">
        <v>1057</v>
      </c>
      <c r="B749" t="s">
        <v>1058</v>
      </c>
      <c r="C749" t="s">
        <v>1059</v>
      </c>
      <c r="D749" t="s">
        <v>339</v>
      </c>
      <c r="E749" t="s">
        <v>306</v>
      </c>
      <c r="F749" t="s">
        <v>1095</v>
      </c>
      <c r="G749">
        <v>105</v>
      </c>
      <c r="H749">
        <v>9179.4500000000007</v>
      </c>
      <c r="I749">
        <v>87.42</v>
      </c>
      <c r="J749">
        <v>0</v>
      </c>
      <c r="K749">
        <v>0</v>
      </c>
      <c r="L749">
        <v>0</v>
      </c>
      <c r="M749">
        <v>105</v>
      </c>
      <c r="N749">
        <v>9179.4500000000007</v>
      </c>
      <c r="O749">
        <v>87.42</v>
      </c>
    </row>
    <row r="750" spans="1:15" x14ac:dyDescent="0.35">
      <c r="A750" t="s">
        <v>1057</v>
      </c>
      <c r="B750" t="s">
        <v>1058</v>
      </c>
      <c r="C750" t="s">
        <v>1059</v>
      </c>
      <c r="D750" t="s">
        <v>339</v>
      </c>
      <c r="E750" t="s">
        <v>308</v>
      </c>
      <c r="F750" t="s">
        <v>1096</v>
      </c>
      <c r="G750">
        <v>90</v>
      </c>
      <c r="H750">
        <v>9886.0399999999991</v>
      </c>
      <c r="I750">
        <v>109.84</v>
      </c>
      <c r="J750">
        <v>0</v>
      </c>
      <c r="K750">
        <v>0</v>
      </c>
      <c r="L750">
        <v>0</v>
      </c>
      <c r="M750">
        <v>90</v>
      </c>
      <c r="N750">
        <v>9886.0399999999991</v>
      </c>
      <c r="O750">
        <v>109.84</v>
      </c>
    </row>
    <row r="751" spans="1:15" x14ac:dyDescent="0.35">
      <c r="A751" t="s">
        <v>1057</v>
      </c>
      <c r="B751" t="s">
        <v>1058</v>
      </c>
      <c r="C751" t="s">
        <v>1059</v>
      </c>
      <c r="D751" t="s">
        <v>339</v>
      </c>
      <c r="E751" t="s">
        <v>310</v>
      </c>
      <c r="F751" t="s">
        <v>1097</v>
      </c>
      <c r="G751">
        <v>1925</v>
      </c>
      <c r="H751">
        <v>204619.60000000003</v>
      </c>
      <c r="I751">
        <v>106.3</v>
      </c>
      <c r="J751">
        <v>0</v>
      </c>
      <c r="K751">
        <v>0</v>
      </c>
      <c r="L751">
        <v>0</v>
      </c>
      <c r="M751">
        <v>1925</v>
      </c>
      <c r="N751">
        <v>204619.60000000003</v>
      </c>
      <c r="O751">
        <v>106.3</v>
      </c>
    </row>
    <row r="752" spans="1:15" x14ac:dyDescent="0.35">
      <c r="A752" t="s">
        <v>1057</v>
      </c>
      <c r="B752" t="s">
        <v>1058</v>
      </c>
      <c r="C752" t="s">
        <v>1059</v>
      </c>
      <c r="D752" t="s">
        <v>339</v>
      </c>
      <c r="E752" t="s">
        <v>312</v>
      </c>
      <c r="F752" t="s">
        <v>1098</v>
      </c>
      <c r="G752">
        <v>1835</v>
      </c>
      <c r="H752">
        <v>194733.56000000003</v>
      </c>
      <c r="I752">
        <v>106.12</v>
      </c>
      <c r="J752">
        <v>0</v>
      </c>
      <c r="K752">
        <v>0</v>
      </c>
      <c r="L752">
        <v>0</v>
      </c>
      <c r="M752">
        <v>1835</v>
      </c>
      <c r="N752">
        <v>194733.56000000003</v>
      </c>
      <c r="O752">
        <v>106.12</v>
      </c>
    </row>
    <row r="753" spans="1:15" x14ac:dyDescent="0.35">
      <c r="A753" t="s">
        <v>1057</v>
      </c>
      <c r="B753" t="s">
        <v>1058</v>
      </c>
      <c r="C753" t="s">
        <v>1059</v>
      </c>
      <c r="D753" t="s">
        <v>348</v>
      </c>
      <c r="E753" t="s">
        <v>349</v>
      </c>
      <c r="F753" t="s">
        <v>1099</v>
      </c>
      <c r="G753">
        <v>1997</v>
      </c>
      <c r="H753">
        <v>210316.00000000003</v>
      </c>
      <c r="I753">
        <v>107.3</v>
      </c>
      <c r="J753">
        <v>0</v>
      </c>
      <c r="K753">
        <v>0</v>
      </c>
      <c r="L753">
        <v>0</v>
      </c>
      <c r="M753">
        <v>1997</v>
      </c>
      <c r="N753">
        <v>210316.00000000003</v>
      </c>
      <c r="O753">
        <v>107.3</v>
      </c>
    </row>
    <row r="754" spans="1:15" x14ac:dyDescent="0.35">
      <c r="A754" t="s">
        <v>1100</v>
      </c>
      <c r="B754" t="s">
        <v>178</v>
      </c>
      <c r="C754" t="s">
        <v>1059</v>
      </c>
      <c r="D754" t="s">
        <v>293</v>
      </c>
      <c r="E754" t="s">
        <v>294</v>
      </c>
      <c r="F754" t="s">
        <v>1101</v>
      </c>
      <c r="G754">
        <v>254</v>
      </c>
      <c r="H754">
        <v>28663.599999999999</v>
      </c>
      <c r="I754">
        <v>112.85</v>
      </c>
      <c r="J754">
        <v>0</v>
      </c>
      <c r="K754">
        <v>0</v>
      </c>
      <c r="L754">
        <v>0</v>
      </c>
      <c r="M754">
        <v>254</v>
      </c>
      <c r="N754">
        <v>28663.599999999999</v>
      </c>
      <c r="O754">
        <v>112.85</v>
      </c>
    </row>
    <row r="755" spans="1:15" x14ac:dyDescent="0.35">
      <c r="A755" t="s">
        <v>1100</v>
      </c>
      <c r="B755" t="s">
        <v>178</v>
      </c>
      <c r="C755" t="s">
        <v>1059</v>
      </c>
      <c r="D755" t="s">
        <v>293</v>
      </c>
      <c r="E755" t="s">
        <v>296</v>
      </c>
      <c r="F755" t="s">
        <v>1102</v>
      </c>
      <c r="G755">
        <v>1119</v>
      </c>
      <c r="H755">
        <v>154694.29999999999</v>
      </c>
      <c r="I755">
        <v>138.24</v>
      </c>
      <c r="J755">
        <v>1</v>
      </c>
      <c r="K755">
        <v>126.52</v>
      </c>
      <c r="L755">
        <v>126.52</v>
      </c>
      <c r="M755">
        <v>1120</v>
      </c>
      <c r="N755">
        <v>154820.81999999998</v>
      </c>
      <c r="O755">
        <v>138.22999999999999</v>
      </c>
    </row>
    <row r="756" spans="1:15" x14ac:dyDescent="0.35">
      <c r="A756" t="s">
        <v>1100</v>
      </c>
      <c r="B756" t="s">
        <v>178</v>
      </c>
      <c r="C756" t="s">
        <v>1059</v>
      </c>
      <c r="D756" t="s">
        <v>293</v>
      </c>
      <c r="E756" t="s">
        <v>298</v>
      </c>
      <c r="F756" t="s">
        <v>1103</v>
      </c>
      <c r="G756">
        <v>815</v>
      </c>
      <c r="H756">
        <v>129334.88</v>
      </c>
      <c r="I756">
        <v>158.69</v>
      </c>
      <c r="J756">
        <v>0</v>
      </c>
      <c r="K756">
        <v>0</v>
      </c>
      <c r="L756">
        <v>0</v>
      </c>
      <c r="M756">
        <v>815</v>
      </c>
      <c r="N756">
        <v>129334.88</v>
      </c>
      <c r="O756">
        <v>158.69</v>
      </c>
    </row>
    <row r="757" spans="1:15" x14ac:dyDescent="0.35">
      <c r="A757" t="s">
        <v>1100</v>
      </c>
      <c r="B757" t="s">
        <v>178</v>
      </c>
      <c r="C757" t="s">
        <v>1059</v>
      </c>
      <c r="D757" t="s">
        <v>293</v>
      </c>
      <c r="E757" t="s">
        <v>300</v>
      </c>
      <c r="F757" t="s">
        <v>1104</v>
      </c>
      <c r="G757">
        <v>88</v>
      </c>
      <c r="H757">
        <v>16130.44</v>
      </c>
      <c r="I757">
        <v>183.3</v>
      </c>
      <c r="J757">
        <v>1</v>
      </c>
      <c r="K757">
        <v>141.08000000000001</v>
      </c>
      <c r="L757">
        <v>141.08000000000001</v>
      </c>
      <c r="M757">
        <v>89</v>
      </c>
      <c r="N757">
        <v>16271.52</v>
      </c>
      <c r="O757">
        <v>182.83</v>
      </c>
    </row>
    <row r="758" spans="1:15" x14ac:dyDescent="0.35">
      <c r="A758" t="s">
        <v>1100</v>
      </c>
      <c r="B758" t="s">
        <v>178</v>
      </c>
      <c r="C758" t="s">
        <v>1059</v>
      </c>
      <c r="D758" t="s">
        <v>293</v>
      </c>
      <c r="E758" t="s">
        <v>302</v>
      </c>
      <c r="F758" t="s">
        <v>1105</v>
      </c>
      <c r="G758">
        <v>0</v>
      </c>
      <c r="H758">
        <v>0</v>
      </c>
      <c r="I758">
        <v>0</v>
      </c>
      <c r="J758">
        <v>0</v>
      </c>
      <c r="K758">
        <v>0</v>
      </c>
      <c r="L758">
        <v>0</v>
      </c>
      <c r="M758">
        <v>0</v>
      </c>
      <c r="N758">
        <v>0</v>
      </c>
      <c r="O758">
        <v>0</v>
      </c>
    </row>
    <row r="759" spans="1:15" x14ac:dyDescent="0.35">
      <c r="A759" t="s">
        <v>1100</v>
      </c>
      <c r="B759" t="s">
        <v>178</v>
      </c>
      <c r="C759" t="s">
        <v>1059</v>
      </c>
      <c r="D759" t="s">
        <v>293</v>
      </c>
      <c r="E759" t="s">
        <v>304</v>
      </c>
      <c r="F759" t="s">
        <v>1106</v>
      </c>
      <c r="G759">
        <v>0</v>
      </c>
      <c r="H759">
        <v>0</v>
      </c>
      <c r="I759">
        <v>0</v>
      </c>
      <c r="J759">
        <v>0</v>
      </c>
      <c r="K759">
        <v>0</v>
      </c>
      <c r="L759">
        <v>0</v>
      </c>
      <c r="M759">
        <v>0</v>
      </c>
      <c r="N759">
        <v>0</v>
      </c>
      <c r="O759">
        <v>0</v>
      </c>
    </row>
    <row r="760" spans="1:15" x14ac:dyDescent="0.35">
      <c r="A760" t="s">
        <v>1100</v>
      </c>
      <c r="B760" t="s">
        <v>178</v>
      </c>
      <c r="C760" t="s">
        <v>1059</v>
      </c>
      <c r="D760" t="s">
        <v>293</v>
      </c>
      <c r="E760" t="s">
        <v>306</v>
      </c>
      <c r="F760" t="s">
        <v>1107</v>
      </c>
      <c r="G760">
        <v>0</v>
      </c>
      <c r="H760">
        <v>0</v>
      </c>
      <c r="I760">
        <v>0</v>
      </c>
      <c r="J760">
        <v>0</v>
      </c>
      <c r="K760">
        <v>0</v>
      </c>
      <c r="L760">
        <v>0</v>
      </c>
      <c r="M760">
        <v>0</v>
      </c>
      <c r="N760">
        <v>0</v>
      </c>
      <c r="O760">
        <v>0</v>
      </c>
    </row>
    <row r="761" spans="1:15" x14ac:dyDescent="0.35">
      <c r="A761" t="s">
        <v>1100</v>
      </c>
      <c r="B761" t="s">
        <v>178</v>
      </c>
      <c r="C761" t="s">
        <v>1059</v>
      </c>
      <c r="D761" t="s">
        <v>293</v>
      </c>
      <c r="E761" t="s">
        <v>308</v>
      </c>
      <c r="F761" t="s">
        <v>1108</v>
      </c>
      <c r="G761">
        <v>0</v>
      </c>
      <c r="H761">
        <v>0</v>
      </c>
      <c r="I761">
        <v>0</v>
      </c>
      <c r="J761">
        <v>0</v>
      </c>
      <c r="K761">
        <v>0</v>
      </c>
      <c r="L761">
        <v>0</v>
      </c>
      <c r="M761">
        <v>0</v>
      </c>
      <c r="N761">
        <v>0</v>
      </c>
      <c r="O761">
        <v>0</v>
      </c>
    </row>
    <row r="762" spans="1:15" x14ac:dyDescent="0.35">
      <c r="A762" t="s">
        <v>1100</v>
      </c>
      <c r="B762" t="s">
        <v>178</v>
      </c>
      <c r="C762" t="s">
        <v>1059</v>
      </c>
      <c r="D762" t="s">
        <v>293</v>
      </c>
      <c r="E762" t="s">
        <v>310</v>
      </c>
      <c r="F762" t="s">
        <v>1109</v>
      </c>
      <c r="G762">
        <v>2276</v>
      </c>
      <c r="H762">
        <v>328823.22000000003</v>
      </c>
      <c r="I762">
        <v>144.47</v>
      </c>
      <c r="J762">
        <v>2</v>
      </c>
      <c r="K762">
        <v>267.60000000000002</v>
      </c>
      <c r="L762">
        <v>133.80000000000001</v>
      </c>
      <c r="M762">
        <v>2278</v>
      </c>
      <c r="N762">
        <v>329090.82</v>
      </c>
      <c r="O762">
        <v>144.46</v>
      </c>
    </row>
    <row r="763" spans="1:15" x14ac:dyDescent="0.35">
      <c r="A763" t="s">
        <v>1100</v>
      </c>
      <c r="B763" t="s">
        <v>178</v>
      </c>
      <c r="C763" t="s">
        <v>1059</v>
      </c>
      <c r="D763" t="s">
        <v>293</v>
      </c>
      <c r="E763" t="s">
        <v>312</v>
      </c>
      <c r="F763" t="s">
        <v>1110</v>
      </c>
      <c r="G763">
        <v>2276</v>
      </c>
      <c r="H763">
        <v>328823.22000000003</v>
      </c>
      <c r="I763">
        <v>144.47</v>
      </c>
      <c r="J763">
        <v>2</v>
      </c>
      <c r="K763">
        <v>267.60000000000002</v>
      </c>
      <c r="L763">
        <v>133.80000000000001</v>
      </c>
      <c r="M763">
        <v>2278</v>
      </c>
      <c r="N763">
        <v>329090.82</v>
      </c>
      <c r="O763">
        <v>144.46</v>
      </c>
    </row>
    <row r="764" spans="1:15" x14ac:dyDescent="0.35">
      <c r="A764" t="s">
        <v>1100</v>
      </c>
      <c r="B764" t="s">
        <v>178</v>
      </c>
      <c r="C764" t="s">
        <v>1059</v>
      </c>
      <c r="D764" t="s">
        <v>314</v>
      </c>
      <c r="E764" t="s">
        <v>294</v>
      </c>
      <c r="F764" t="s">
        <v>1111</v>
      </c>
      <c r="G764">
        <v>210</v>
      </c>
      <c r="H764">
        <v>57335.490000000005</v>
      </c>
      <c r="I764">
        <v>273.02999999999997</v>
      </c>
      <c r="J764">
        <v>0</v>
      </c>
      <c r="K764">
        <v>0</v>
      </c>
      <c r="L764">
        <v>0</v>
      </c>
      <c r="M764">
        <v>210</v>
      </c>
      <c r="N764">
        <v>57335.490000000005</v>
      </c>
      <c r="O764">
        <v>273.02999999999997</v>
      </c>
    </row>
    <row r="765" spans="1:15" x14ac:dyDescent="0.35">
      <c r="A765" t="s">
        <v>1100</v>
      </c>
      <c r="B765" t="s">
        <v>178</v>
      </c>
      <c r="C765" t="s">
        <v>1059</v>
      </c>
      <c r="D765" t="s">
        <v>314</v>
      </c>
      <c r="E765" t="s">
        <v>296</v>
      </c>
      <c r="F765" t="s">
        <v>1112</v>
      </c>
      <c r="G765">
        <v>196</v>
      </c>
      <c r="H765">
        <v>53312.06</v>
      </c>
      <c r="I765">
        <v>272</v>
      </c>
      <c r="J765">
        <v>0</v>
      </c>
      <c r="K765">
        <v>0</v>
      </c>
      <c r="L765">
        <v>0</v>
      </c>
      <c r="M765">
        <v>196</v>
      </c>
      <c r="N765">
        <v>53312.06</v>
      </c>
      <c r="O765">
        <v>272</v>
      </c>
    </row>
    <row r="766" spans="1:15" x14ac:dyDescent="0.35">
      <c r="A766" t="s">
        <v>1100</v>
      </c>
      <c r="B766" t="s">
        <v>178</v>
      </c>
      <c r="C766" t="s">
        <v>1059</v>
      </c>
      <c r="D766" t="s">
        <v>314</v>
      </c>
      <c r="E766" t="s">
        <v>298</v>
      </c>
      <c r="F766" t="s">
        <v>1113</v>
      </c>
      <c r="G766">
        <v>0</v>
      </c>
      <c r="H766">
        <v>0</v>
      </c>
      <c r="I766">
        <v>0</v>
      </c>
      <c r="J766">
        <v>0</v>
      </c>
      <c r="K766">
        <v>0</v>
      </c>
      <c r="L766">
        <v>0</v>
      </c>
      <c r="M766">
        <v>0</v>
      </c>
      <c r="N766">
        <v>0</v>
      </c>
      <c r="O766">
        <v>0</v>
      </c>
    </row>
    <row r="767" spans="1:15" x14ac:dyDescent="0.35">
      <c r="A767" t="s">
        <v>1100</v>
      </c>
      <c r="B767" t="s">
        <v>178</v>
      </c>
      <c r="C767" t="s">
        <v>1059</v>
      </c>
      <c r="D767" t="s">
        <v>314</v>
      </c>
      <c r="E767" t="s">
        <v>300</v>
      </c>
      <c r="F767" t="s">
        <v>1114</v>
      </c>
      <c r="G767">
        <v>0</v>
      </c>
      <c r="H767">
        <v>0</v>
      </c>
      <c r="I767">
        <v>0</v>
      </c>
      <c r="J767">
        <v>0</v>
      </c>
      <c r="K767">
        <v>0</v>
      </c>
      <c r="L767">
        <v>0</v>
      </c>
      <c r="M767">
        <v>0</v>
      </c>
      <c r="N767">
        <v>0</v>
      </c>
      <c r="O767">
        <v>0</v>
      </c>
    </row>
    <row r="768" spans="1:15" x14ac:dyDescent="0.35">
      <c r="A768" t="s">
        <v>1100</v>
      </c>
      <c r="B768" t="s">
        <v>178</v>
      </c>
      <c r="C768" t="s">
        <v>1059</v>
      </c>
      <c r="D768" t="s">
        <v>314</v>
      </c>
      <c r="E768" t="s">
        <v>306</v>
      </c>
      <c r="F768" t="s">
        <v>1115</v>
      </c>
      <c r="G768">
        <v>2</v>
      </c>
      <c r="H768">
        <v>559.74</v>
      </c>
      <c r="I768">
        <v>279.87</v>
      </c>
      <c r="J768">
        <v>0</v>
      </c>
      <c r="K768">
        <v>0</v>
      </c>
      <c r="L768">
        <v>0</v>
      </c>
      <c r="M768">
        <v>2</v>
      </c>
      <c r="N768">
        <v>559.74</v>
      </c>
      <c r="O768">
        <v>279.87</v>
      </c>
    </row>
    <row r="769" spans="1:15" x14ac:dyDescent="0.35">
      <c r="A769" t="s">
        <v>1100</v>
      </c>
      <c r="B769" t="s">
        <v>178</v>
      </c>
      <c r="C769" t="s">
        <v>1059</v>
      </c>
      <c r="D769" t="s">
        <v>314</v>
      </c>
      <c r="E769" t="s">
        <v>308</v>
      </c>
      <c r="F769" t="s">
        <v>1116</v>
      </c>
      <c r="G769">
        <v>0</v>
      </c>
      <c r="H769">
        <v>0</v>
      </c>
      <c r="I769">
        <v>0</v>
      </c>
      <c r="J769">
        <v>0</v>
      </c>
      <c r="K769">
        <v>0</v>
      </c>
      <c r="L769">
        <v>0</v>
      </c>
      <c r="M769">
        <v>0</v>
      </c>
      <c r="N769">
        <v>0</v>
      </c>
      <c r="O769">
        <v>0</v>
      </c>
    </row>
    <row r="770" spans="1:15" x14ac:dyDescent="0.35">
      <c r="A770" t="s">
        <v>1100</v>
      </c>
      <c r="B770" t="s">
        <v>178</v>
      </c>
      <c r="C770" t="s">
        <v>1059</v>
      </c>
      <c r="D770" t="s">
        <v>314</v>
      </c>
      <c r="E770" t="s">
        <v>312</v>
      </c>
      <c r="F770" t="s">
        <v>1117</v>
      </c>
      <c r="G770">
        <v>408</v>
      </c>
      <c r="H770">
        <v>111207.29000000001</v>
      </c>
      <c r="I770">
        <v>272.57</v>
      </c>
      <c r="J770">
        <v>0</v>
      </c>
      <c r="K770">
        <v>0</v>
      </c>
      <c r="L770">
        <v>0</v>
      </c>
      <c r="M770">
        <v>408</v>
      </c>
      <c r="N770">
        <v>111207.29000000001</v>
      </c>
      <c r="O770">
        <v>272.57</v>
      </c>
    </row>
    <row r="771" spans="1:15" x14ac:dyDescent="0.35">
      <c r="A771" t="s">
        <v>1100</v>
      </c>
      <c r="B771" t="s">
        <v>178</v>
      </c>
      <c r="C771" t="s">
        <v>1059</v>
      </c>
      <c r="D771" t="s">
        <v>314</v>
      </c>
      <c r="E771" t="s">
        <v>310</v>
      </c>
      <c r="F771" t="s">
        <v>1118</v>
      </c>
      <c r="G771">
        <v>408</v>
      </c>
      <c r="H771">
        <v>111207.29000000001</v>
      </c>
      <c r="I771">
        <v>272.57</v>
      </c>
      <c r="J771">
        <v>0</v>
      </c>
      <c r="K771">
        <v>0</v>
      </c>
      <c r="L771">
        <v>0</v>
      </c>
      <c r="M771">
        <v>408</v>
      </c>
      <c r="N771">
        <v>111207.29000000001</v>
      </c>
      <c r="O771">
        <v>272.57</v>
      </c>
    </row>
    <row r="772" spans="1:15" x14ac:dyDescent="0.35">
      <c r="A772" t="s">
        <v>1100</v>
      </c>
      <c r="B772" t="s">
        <v>178</v>
      </c>
      <c r="C772" t="s">
        <v>1059</v>
      </c>
      <c r="D772" t="s">
        <v>323</v>
      </c>
      <c r="E772" t="s">
        <v>294</v>
      </c>
      <c r="F772" t="s">
        <v>1119</v>
      </c>
      <c r="G772">
        <v>1289</v>
      </c>
      <c r="H772">
        <v>117771.65</v>
      </c>
      <c r="I772">
        <v>91.37</v>
      </c>
      <c r="J772">
        <v>0</v>
      </c>
      <c r="K772">
        <v>0</v>
      </c>
      <c r="L772">
        <v>0</v>
      </c>
      <c r="M772">
        <v>1289</v>
      </c>
      <c r="N772">
        <v>117771.65</v>
      </c>
      <c r="O772">
        <v>91.37</v>
      </c>
    </row>
    <row r="773" spans="1:15" x14ac:dyDescent="0.35">
      <c r="A773" t="s">
        <v>1100</v>
      </c>
      <c r="B773" t="s">
        <v>178</v>
      </c>
      <c r="C773" t="s">
        <v>1059</v>
      </c>
      <c r="D773" t="s">
        <v>323</v>
      </c>
      <c r="E773" t="s">
        <v>296</v>
      </c>
      <c r="F773" t="s">
        <v>1120</v>
      </c>
      <c r="G773">
        <v>3620</v>
      </c>
      <c r="H773">
        <v>388170.04</v>
      </c>
      <c r="I773">
        <v>107.23</v>
      </c>
      <c r="J773">
        <v>0</v>
      </c>
      <c r="K773">
        <v>0</v>
      </c>
      <c r="L773">
        <v>0</v>
      </c>
      <c r="M773">
        <v>3620</v>
      </c>
      <c r="N773">
        <v>388170.04</v>
      </c>
      <c r="O773">
        <v>107.23</v>
      </c>
    </row>
    <row r="774" spans="1:15" x14ac:dyDescent="0.35">
      <c r="A774" t="s">
        <v>1100</v>
      </c>
      <c r="B774" t="s">
        <v>178</v>
      </c>
      <c r="C774" t="s">
        <v>1059</v>
      </c>
      <c r="D774" t="s">
        <v>323</v>
      </c>
      <c r="E774" t="s">
        <v>298</v>
      </c>
      <c r="F774" t="s">
        <v>1121</v>
      </c>
      <c r="G774">
        <v>3905</v>
      </c>
      <c r="H774">
        <v>464713.69</v>
      </c>
      <c r="I774">
        <v>119</v>
      </c>
      <c r="J774">
        <v>0</v>
      </c>
      <c r="K774">
        <v>0</v>
      </c>
      <c r="L774">
        <v>0</v>
      </c>
      <c r="M774">
        <v>3905</v>
      </c>
      <c r="N774">
        <v>464713.69</v>
      </c>
      <c r="O774">
        <v>119</v>
      </c>
    </row>
    <row r="775" spans="1:15" x14ac:dyDescent="0.35">
      <c r="A775" t="s">
        <v>1100</v>
      </c>
      <c r="B775" t="s">
        <v>178</v>
      </c>
      <c r="C775" t="s">
        <v>1059</v>
      </c>
      <c r="D775" t="s">
        <v>323</v>
      </c>
      <c r="E775" t="s">
        <v>300</v>
      </c>
      <c r="F775" t="s">
        <v>1122</v>
      </c>
      <c r="G775">
        <v>453</v>
      </c>
      <c r="H775">
        <v>61478.200000000004</v>
      </c>
      <c r="I775">
        <v>135.71</v>
      </c>
      <c r="J775">
        <v>0</v>
      </c>
      <c r="K775">
        <v>0</v>
      </c>
      <c r="L775">
        <v>0</v>
      </c>
      <c r="M775">
        <v>453</v>
      </c>
      <c r="N775">
        <v>61478.200000000004</v>
      </c>
      <c r="O775">
        <v>135.71</v>
      </c>
    </row>
    <row r="776" spans="1:15" x14ac:dyDescent="0.35">
      <c r="A776" t="s">
        <v>1100</v>
      </c>
      <c r="B776" t="s">
        <v>178</v>
      </c>
      <c r="C776" t="s">
        <v>1059</v>
      </c>
      <c r="D776" t="s">
        <v>323</v>
      </c>
      <c r="E776" t="s">
        <v>302</v>
      </c>
      <c r="F776" t="s">
        <v>1123</v>
      </c>
      <c r="G776">
        <v>38</v>
      </c>
      <c r="H776">
        <v>5526.5400000000009</v>
      </c>
      <c r="I776">
        <v>145.44</v>
      </c>
      <c r="J776">
        <v>0</v>
      </c>
      <c r="K776">
        <v>0</v>
      </c>
      <c r="L776">
        <v>0</v>
      </c>
      <c r="M776">
        <v>38</v>
      </c>
      <c r="N776">
        <v>5526.5400000000009</v>
      </c>
      <c r="O776">
        <v>145.44</v>
      </c>
    </row>
    <row r="777" spans="1:15" x14ac:dyDescent="0.35">
      <c r="A777" t="s">
        <v>1100</v>
      </c>
      <c r="B777" t="s">
        <v>178</v>
      </c>
      <c r="C777" t="s">
        <v>1059</v>
      </c>
      <c r="D777" t="s">
        <v>323</v>
      </c>
      <c r="E777" t="s">
        <v>304</v>
      </c>
      <c r="F777" t="s">
        <v>1124</v>
      </c>
      <c r="G777">
        <v>1</v>
      </c>
      <c r="H777">
        <v>162.68</v>
      </c>
      <c r="I777">
        <v>162.68</v>
      </c>
      <c r="J777">
        <v>0</v>
      </c>
      <c r="K777">
        <v>0</v>
      </c>
      <c r="L777">
        <v>0</v>
      </c>
      <c r="M777">
        <v>1</v>
      </c>
      <c r="N777">
        <v>162.68</v>
      </c>
      <c r="O777">
        <v>162.68</v>
      </c>
    </row>
    <row r="778" spans="1:15" x14ac:dyDescent="0.35">
      <c r="A778" t="s">
        <v>1100</v>
      </c>
      <c r="B778" t="s">
        <v>178</v>
      </c>
      <c r="C778" t="s">
        <v>1059</v>
      </c>
      <c r="D778" t="s">
        <v>323</v>
      </c>
      <c r="E778" t="s">
        <v>306</v>
      </c>
      <c r="F778" t="s">
        <v>1125</v>
      </c>
      <c r="G778">
        <v>19</v>
      </c>
      <c r="H778">
        <v>1390.9899999999998</v>
      </c>
      <c r="I778">
        <v>73.209999999999994</v>
      </c>
      <c r="J778">
        <v>0</v>
      </c>
      <c r="K778">
        <v>0</v>
      </c>
      <c r="L778">
        <v>0</v>
      </c>
      <c r="M778">
        <v>19</v>
      </c>
      <c r="N778">
        <v>1390.9899999999998</v>
      </c>
      <c r="O778">
        <v>73.209999999999994</v>
      </c>
    </row>
    <row r="779" spans="1:15" x14ac:dyDescent="0.35">
      <c r="A779" t="s">
        <v>1100</v>
      </c>
      <c r="B779" t="s">
        <v>178</v>
      </c>
      <c r="C779" t="s">
        <v>1059</v>
      </c>
      <c r="D779" t="s">
        <v>323</v>
      </c>
      <c r="E779" t="s">
        <v>308</v>
      </c>
      <c r="F779" t="s">
        <v>1126</v>
      </c>
      <c r="G779">
        <v>0</v>
      </c>
      <c r="H779">
        <v>0</v>
      </c>
      <c r="I779">
        <v>0</v>
      </c>
      <c r="J779">
        <v>0</v>
      </c>
      <c r="K779">
        <v>0</v>
      </c>
      <c r="L779">
        <v>0</v>
      </c>
      <c r="M779">
        <v>0</v>
      </c>
      <c r="N779">
        <v>0</v>
      </c>
      <c r="O779">
        <v>0</v>
      </c>
    </row>
    <row r="780" spans="1:15" x14ac:dyDescent="0.35">
      <c r="A780" t="s">
        <v>1100</v>
      </c>
      <c r="B780" t="s">
        <v>178</v>
      </c>
      <c r="C780" t="s">
        <v>1059</v>
      </c>
      <c r="D780" t="s">
        <v>323</v>
      </c>
      <c r="E780" t="s">
        <v>310</v>
      </c>
      <c r="F780" t="s">
        <v>1127</v>
      </c>
      <c r="G780">
        <v>9325</v>
      </c>
      <c r="H780">
        <v>1039213.7899999999</v>
      </c>
      <c r="I780">
        <v>111.44</v>
      </c>
      <c r="J780">
        <v>0</v>
      </c>
      <c r="K780">
        <v>0</v>
      </c>
      <c r="L780">
        <v>0</v>
      </c>
      <c r="M780">
        <v>9325</v>
      </c>
      <c r="N780">
        <v>1039213.7899999999</v>
      </c>
      <c r="O780">
        <v>111.44</v>
      </c>
    </row>
    <row r="781" spans="1:15" x14ac:dyDescent="0.35">
      <c r="A781" t="s">
        <v>1100</v>
      </c>
      <c r="B781" t="s">
        <v>178</v>
      </c>
      <c r="C781" t="s">
        <v>1059</v>
      </c>
      <c r="D781" t="s">
        <v>323</v>
      </c>
      <c r="E781" t="s">
        <v>312</v>
      </c>
      <c r="F781" t="s">
        <v>1128</v>
      </c>
      <c r="G781">
        <v>9325</v>
      </c>
      <c r="H781">
        <v>1039213.7899999999</v>
      </c>
      <c r="I781">
        <v>111.44</v>
      </c>
      <c r="J781">
        <v>0</v>
      </c>
      <c r="K781">
        <v>0</v>
      </c>
      <c r="L781">
        <v>0</v>
      </c>
      <c r="M781">
        <v>9325</v>
      </c>
      <c r="N781">
        <v>1039213.7899999999</v>
      </c>
      <c r="O781">
        <v>111.44</v>
      </c>
    </row>
    <row r="782" spans="1:15" x14ac:dyDescent="0.35">
      <c r="A782" t="s">
        <v>1100</v>
      </c>
      <c r="B782" t="s">
        <v>178</v>
      </c>
      <c r="C782" t="s">
        <v>1059</v>
      </c>
      <c r="D782" t="s">
        <v>334</v>
      </c>
      <c r="E782" t="s">
        <v>312</v>
      </c>
      <c r="F782" t="s">
        <v>1129</v>
      </c>
      <c r="G782">
        <v>12203</v>
      </c>
      <c r="H782">
        <v>1368037.0099999998</v>
      </c>
      <c r="I782">
        <v>117.92</v>
      </c>
      <c r="J782">
        <v>2</v>
      </c>
      <c r="K782">
        <v>267.60000000000002</v>
      </c>
      <c r="L782">
        <v>133.80000000000001</v>
      </c>
      <c r="M782">
        <v>12205</v>
      </c>
      <c r="N782">
        <v>1368304.6099999999</v>
      </c>
      <c r="O782">
        <v>117.93</v>
      </c>
    </row>
    <row r="783" spans="1:15" x14ac:dyDescent="0.35">
      <c r="A783" t="s">
        <v>1100</v>
      </c>
      <c r="B783" t="s">
        <v>178</v>
      </c>
      <c r="C783" t="s">
        <v>1059</v>
      </c>
      <c r="D783" t="s">
        <v>334</v>
      </c>
      <c r="E783" t="s">
        <v>308</v>
      </c>
      <c r="F783" t="s">
        <v>1130</v>
      </c>
      <c r="G783">
        <v>0</v>
      </c>
      <c r="H783">
        <v>0</v>
      </c>
      <c r="I783">
        <v>0</v>
      </c>
      <c r="J783">
        <v>0</v>
      </c>
      <c r="K783">
        <v>0</v>
      </c>
      <c r="L783">
        <v>0</v>
      </c>
      <c r="M783">
        <v>0</v>
      </c>
      <c r="N783">
        <v>0</v>
      </c>
      <c r="O783">
        <v>0</v>
      </c>
    </row>
    <row r="784" spans="1:15" x14ac:dyDescent="0.35">
      <c r="A784" t="s">
        <v>1100</v>
      </c>
      <c r="B784" t="s">
        <v>178</v>
      </c>
      <c r="C784" t="s">
        <v>1059</v>
      </c>
      <c r="D784" t="s">
        <v>337</v>
      </c>
      <c r="E784" t="s">
        <v>337</v>
      </c>
      <c r="F784" t="s">
        <v>1131</v>
      </c>
      <c r="G784">
        <v>894</v>
      </c>
      <c r="J784">
        <v>0</v>
      </c>
      <c r="M784">
        <v>894</v>
      </c>
    </row>
    <row r="785" spans="1:15" x14ac:dyDescent="0.35">
      <c r="A785" t="s">
        <v>1100</v>
      </c>
      <c r="B785" t="s">
        <v>178</v>
      </c>
      <c r="C785" t="s">
        <v>1059</v>
      </c>
      <c r="D785" t="s">
        <v>339</v>
      </c>
      <c r="E785" t="s">
        <v>294</v>
      </c>
      <c r="F785" t="s">
        <v>1132</v>
      </c>
      <c r="G785">
        <v>1306</v>
      </c>
      <c r="H785">
        <v>143274.85999999999</v>
      </c>
      <c r="I785">
        <v>109.71</v>
      </c>
      <c r="J785">
        <v>10</v>
      </c>
      <c r="K785">
        <v>961.9</v>
      </c>
      <c r="L785">
        <v>96.19</v>
      </c>
      <c r="M785">
        <v>1316</v>
      </c>
      <c r="N785">
        <v>144236.75999999998</v>
      </c>
      <c r="O785">
        <v>109.6</v>
      </c>
    </row>
    <row r="786" spans="1:15" x14ac:dyDescent="0.35">
      <c r="A786" t="s">
        <v>1100</v>
      </c>
      <c r="B786" t="s">
        <v>178</v>
      </c>
      <c r="C786" t="s">
        <v>1059</v>
      </c>
      <c r="D786" t="s">
        <v>339</v>
      </c>
      <c r="E786" t="s">
        <v>296</v>
      </c>
      <c r="F786" t="s">
        <v>1133</v>
      </c>
      <c r="G786">
        <v>635</v>
      </c>
      <c r="H786">
        <v>81724.619999999981</v>
      </c>
      <c r="I786">
        <v>128.69999999999999</v>
      </c>
      <c r="J786">
        <v>13</v>
      </c>
      <c r="K786">
        <v>1436.5</v>
      </c>
      <c r="L786">
        <v>110.5</v>
      </c>
      <c r="M786">
        <v>648</v>
      </c>
      <c r="N786">
        <v>83161.119999999981</v>
      </c>
      <c r="O786">
        <v>128.34</v>
      </c>
    </row>
    <row r="787" spans="1:15" x14ac:dyDescent="0.35">
      <c r="A787" t="s">
        <v>1100</v>
      </c>
      <c r="B787" t="s">
        <v>178</v>
      </c>
      <c r="C787" t="s">
        <v>1059</v>
      </c>
      <c r="D787" t="s">
        <v>339</v>
      </c>
      <c r="E787" t="s">
        <v>298</v>
      </c>
      <c r="F787" t="s">
        <v>1134</v>
      </c>
      <c r="G787">
        <v>32</v>
      </c>
      <c r="H787">
        <v>4384.22</v>
      </c>
      <c r="I787">
        <v>137.01</v>
      </c>
      <c r="J787">
        <v>0</v>
      </c>
      <c r="K787">
        <v>0</v>
      </c>
      <c r="L787">
        <v>0</v>
      </c>
      <c r="M787">
        <v>32</v>
      </c>
      <c r="N787">
        <v>4384.22</v>
      </c>
      <c r="O787">
        <v>137.01</v>
      </c>
    </row>
    <row r="788" spans="1:15" x14ac:dyDescent="0.35">
      <c r="A788" t="s">
        <v>1100</v>
      </c>
      <c r="B788" t="s">
        <v>178</v>
      </c>
      <c r="C788" t="s">
        <v>1059</v>
      </c>
      <c r="D788" t="s">
        <v>339</v>
      </c>
      <c r="E788" t="s">
        <v>300</v>
      </c>
      <c r="F788" t="s">
        <v>1135</v>
      </c>
      <c r="G788">
        <v>0</v>
      </c>
      <c r="H788">
        <v>0</v>
      </c>
      <c r="I788">
        <v>0</v>
      </c>
      <c r="J788">
        <v>0</v>
      </c>
      <c r="K788">
        <v>0</v>
      </c>
      <c r="L788">
        <v>0</v>
      </c>
      <c r="M788">
        <v>0</v>
      </c>
      <c r="N788">
        <v>0</v>
      </c>
      <c r="O788">
        <v>0</v>
      </c>
    </row>
    <row r="789" spans="1:15" x14ac:dyDescent="0.35">
      <c r="A789" t="s">
        <v>1100</v>
      </c>
      <c r="B789" t="s">
        <v>178</v>
      </c>
      <c r="C789" t="s">
        <v>1059</v>
      </c>
      <c r="D789" t="s">
        <v>339</v>
      </c>
      <c r="E789" t="s">
        <v>306</v>
      </c>
      <c r="F789" t="s">
        <v>1136</v>
      </c>
      <c r="G789">
        <v>1</v>
      </c>
      <c r="H789">
        <v>96.56</v>
      </c>
      <c r="I789">
        <v>96.56</v>
      </c>
      <c r="J789">
        <v>0</v>
      </c>
      <c r="K789">
        <v>0</v>
      </c>
      <c r="L789">
        <v>0</v>
      </c>
      <c r="M789">
        <v>1</v>
      </c>
      <c r="N789">
        <v>96.56</v>
      </c>
      <c r="O789">
        <v>96.56</v>
      </c>
    </row>
    <row r="790" spans="1:15" x14ac:dyDescent="0.35">
      <c r="A790" t="s">
        <v>1100</v>
      </c>
      <c r="B790" t="s">
        <v>178</v>
      </c>
      <c r="C790" t="s">
        <v>1059</v>
      </c>
      <c r="D790" t="s">
        <v>339</v>
      </c>
      <c r="E790" t="s">
        <v>308</v>
      </c>
      <c r="F790" t="s">
        <v>1137</v>
      </c>
      <c r="G790">
        <v>45</v>
      </c>
      <c r="H790">
        <v>7285.1799999999994</v>
      </c>
      <c r="I790">
        <v>161.88999999999999</v>
      </c>
      <c r="J790">
        <v>0</v>
      </c>
      <c r="K790">
        <v>0</v>
      </c>
      <c r="L790">
        <v>0</v>
      </c>
      <c r="M790">
        <v>45</v>
      </c>
      <c r="N790">
        <v>7285.1799999999994</v>
      </c>
      <c r="O790">
        <v>161.88999999999999</v>
      </c>
    </row>
    <row r="791" spans="1:15" x14ac:dyDescent="0.35">
      <c r="A791" t="s">
        <v>1100</v>
      </c>
      <c r="B791" t="s">
        <v>178</v>
      </c>
      <c r="C791" t="s">
        <v>1059</v>
      </c>
      <c r="D791" t="s">
        <v>339</v>
      </c>
      <c r="E791" t="s">
        <v>310</v>
      </c>
      <c r="F791" t="s">
        <v>1138</v>
      </c>
      <c r="G791">
        <v>2019</v>
      </c>
      <c r="H791">
        <v>236765.43999999997</v>
      </c>
      <c r="I791">
        <v>117.27</v>
      </c>
      <c r="J791">
        <v>23</v>
      </c>
      <c r="K791">
        <v>2398.4</v>
      </c>
      <c r="L791">
        <v>104.28</v>
      </c>
      <c r="M791">
        <v>2042</v>
      </c>
      <c r="N791">
        <v>239163.83999999997</v>
      </c>
      <c r="O791">
        <v>117.12</v>
      </c>
    </row>
    <row r="792" spans="1:15" x14ac:dyDescent="0.35">
      <c r="A792" t="s">
        <v>1100</v>
      </c>
      <c r="B792" t="s">
        <v>178</v>
      </c>
      <c r="C792" t="s">
        <v>1059</v>
      </c>
      <c r="D792" t="s">
        <v>339</v>
      </c>
      <c r="E792" t="s">
        <v>312</v>
      </c>
      <c r="F792" t="s">
        <v>1139</v>
      </c>
      <c r="G792">
        <v>1974</v>
      </c>
      <c r="H792">
        <v>229480.25999999998</v>
      </c>
      <c r="I792">
        <v>116.25</v>
      </c>
      <c r="J792">
        <v>23</v>
      </c>
      <c r="K792">
        <v>2398.4</v>
      </c>
      <c r="L792">
        <v>104.28</v>
      </c>
      <c r="M792">
        <v>1997</v>
      </c>
      <c r="N792">
        <v>231878.65999999997</v>
      </c>
      <c r="O792">
        <v>116.11</v>
      </c>
    </row>
    <row r="793" spans="1:15" x14ac:dyDescent="0.35">
      <c r="A793" t="s">
        <v>1100</v>
      </c>
      <c r="B793" t="s">
        <v>178</v>
      </c>
      <c r="C793" t="s">
        <v>1059</v>
      </c>
      <c r="D793" t="s">
        <v>348</v>
      </c>
      <c r="E793" t="s">
        <v>349</v>
      </c>
      <c r="F793" t="s">
        <v>1140</v>
      </c>
      <c r="G793">
        <v>2919</v>
      </c>
      <c r="H793">
        <v>347972.72999999992</v>
      </c>
      <c r="I793">
        <v>143.38</v>
      </c>
      <c r="J793">
        <v>23</v>
      </c>
      <c r="K793">
        <v>2398.4</v>
      </c>
      <c r="L793">
        <v>104.28</v>
      </c>
      <c r="M793">
        <v>2942</v>
      </c>
      <c r="N793">
        <v>350371.12999999995</v>
      </c>
      <c r="O793">
        <v>143.01</v>
      </c>
    </row>
    <row r="794" spans="1:15" x14ac:dyDescent="0.35">
      <c r="A794" t="s">
        <v>1141</v>
      </c>
      <c r="B794" t="s">
        <v>166</v>
      </c>
      <c r="C794" t="s">
        <v>1059</v>
      </c>
      <c r="D794" t="s">
        <v>293</v>
      </c>
      <c r="E794" t="s">
        <v>294</v>
      </c>
      <c r="F794" t="s">
        <v>1142</v>
      </c>
      <c r="G794">
        <v>86</v>
      </c>
      <c r="H794">
        <v>8703.16</v>
      </c>
      <c r="I794">
        <v>101.2</v>
      </c>
      <c r="J794">
        <v>30</v>
      </c>
      <c r="K794">
        <v>3135.3</v>
      </c>
      <c r="L794">
        <v>104.51</v>
      </c>
      <c r="M794">
        <v>116</v>
      </c>
      <c r="N794">
        <v>11838.46</v>
      </c>
      <c r="O794">
        <v>102.06</v>
      </c>
    </row>
    <row r="795" spans="1:15" x14ac:dyDescent="0.35">
      <c r="A795" t="s">
        <v>1141</v>
      </c>
      <c r="B795" t="s">
        <v>166</v>
      </c>
      <c r="C795" t="s">
        <v>1059</v>
      </c>
      <c r="D795" t="s">
        <v>293</v>
      </c>
      <c r="E795" t="s">
        <v>296</v>
      </c>
      <c r="F795" t="s">
        <v>1143</v>
      </c>
      <c r="G795">
        <v>370</v>
      </c>
      <c r="H795">
        <v>42261.78</v>
      </c>
      <c r="I795">
        <v>114.22</v>
      </c>
      <c r="J795">
        <v>20</v>
      </c>
      <c r="K795">
        <v>2557.4</v>
      </c>
      <c r="L795">
        <v>127.87</v>
      </c>
      <c r="M795">
        <v>390</v>
      </c>
      <c r="N795">
        <v>44819.18</v>
      </c>
      <c r="O795">
        <v>114.92</v>
      </c>
    </row>
    <row r="796" spans="1:15" x14ac:dyDescent="0.35">
      <c r="A796" t="s">
        <v>1141</v>
      </c>
      <c r="B796" t="s">
        <v>166</v>
      </c>
      <c r="C796" t="s">
        <v>1059</v>
      </c>
      <c r="D796" t="s">
        <v>293</v>
      </c>
      <c r="E796" t="s">
        <v>298</v>
      </c>
      <c r="F796" t="s">
        <v>1144</v>
      </c>
      <c r="G796">
        <v>299</v>
      </c>
      <c r="H796">
        <v>39143.990000000005</v>
      </c>
      <c r="I796">
        <v>130.91999999999999</v>
      </c>
      <c r="J796">
        <v>81</v>
      </c>
      <c r="K796">
        <v>12138.660000000002</v>
      </c>
      <c r="L796">
        <v>149.86000000000001</v>
      </c>
      <c r="M796">
        <v>380</v>
      </c>
      <c r="N796">
        <v>51282.650000000009</v>
      </c>
      <c r="O796">
        <v>134.94999999999999</v>
      </c>
    </row>
    <row r="797" spans="1:15" x14ac:dyDescent="0.35">
      <c r="A797" t="s">
        <v>1141</v>
      </c>
      <c r="B797" t="s">
        <v>166</v>
      </c>
      <c r="C797" t="s">
        <v>1059</v>
      </c>
      <c r="D797" t="s">
        <v>293</v>
      </c>
      <c r="E797" t="s">
        <v>300</v>
      </c>
      <c r="F797" t="s">
        <v>1145</v>
      </c>
      <c r="G797">
        <v>25</v>
      </c>
      <c r="H797">
        <v>3850.5099999999998</v>
      </c>
      <c r="I797">
        <v>154.02000000000001</v>
      </c>
      <c r="J797">
        <v>12</v>
      </c>
      <c r="K797">
        <v>2137.44</v>
      </c>
      <c r="L797">
        <v>178.12</v>
      </c>
      <c r="M797">
        <v>37</v>
      </c>
      <c r="N797">
        <v>5987.95</v>
      </c>
      <c r="O797">
        <v>161.84</v>
      </c>
    </row>
    <row r="798" spans="1:15" x14ac:dyDescent="0.35">
      <c r="A798" t="s">
        <v>1141</v>
      </c>
      <c r="B798" t="s">
        <v>166</v>
      </c>
      <c r="C798" t="s">
        <v>1059</v>
      </c>
      <c r="D798" t="s">
        <v>293</v>
      </c>
      <c r="E798" t="s">
        <v>302</v>
      </c>
      <c r="F798" t="s">
        <v>1146</v>
      </c>
      <c r="G798">
        <v>2</v>
      </c>
      <c r="H798">
        <v>324.42</v>
      </c>
      <c r="I798">
        <v>162.21</v>
      </c>
      <c r="J798">
        <v>0</v>
      </c>
      <c r="K798">
        <v>0</v>
      </c>
      <c r="L798">
        <v>0</v>
      </c>
      <c r="M798">
        <v>2</v>
      </c>
      <c r="N798">
        <v>324.42</v>
      </c>
      <c r="O798">
        <v>162.21</v>
      </c>
    </row>
    <row r="799" spans="1:15" x14ac:dyDescent="0.35">
      <c r="A799" t="s">
        <v>1141</v>
      </c>
      <c r="B799" t="s">
        <v>166</v>
      </c>
      <c r="C799" t="s">
        <v>1059</v>
      </c>
      <c r="D799" t="s">
        <v>293</v>
      </c>
      <c r="E799" t="s">
        <v>304</v>
      </c>
      <c r="F799" t="s">
        <v>1147</v>
      </c>
      <c r="G799">
        <v>0</v>
      </c>
      <c r="H799">
        <v>0</v>
      </c>
      <c r="I799">
        <v>0</v>
      </c>
      <c r="J799">
        <v>0</v>
      </c>
      <c r="K799">
        <v>0</v>
      </c>
      <c r="L799">
        <v>0</v>
      </c>
      <c r="M799">
        <v>0</v>
      </c>
      <c r="N799">
        <v>0</v>
      </c>
      <c r="O799">
        <v>0</v>
      </c>
    </row>
    <row r="800" spans="1:15" x14ac:dyDescent="0.35">
      <c r="A800" t="s">
        <v>1141</v>
      </c>
      <c r="B800" t="s">
        <v>166</v>
      </c>
      <c r="C800" t="s">
        <v>1059</v>
      </c>
      <c r="D800" t="s">
        <v>293</v>
      </c>
      <c r="E800" t="s">
        <v>306</v>
      </c>
      <c r="F800" t="s">
        <v>1148</v>
      </c>
      <c r="G800">
        <v>0</v>
      </c>
      <c r="H800">
        <v>0</v>
      </c>
      <c r="I800">
        <v>0</v>
      </c>
      <c r="J800">
        <v>0</v>
      </c>
      <c r="K800">
        <v>0</v>
      </c>
      <c r="L800">
        <v>0</v>
      </c>
      <c r="M800">
        <v>0</v>
      </c>
      <c r="N800">
        <v>0</v>
      </c>
      <c r="O800">
        <v>0</v>
      </c>
    </row>
    <row r="801" spans="1:15" x14ac:dyDescent="0.35">
      <c r="A801" t="s">
        <v>1141</v>
      </c>
      <c r="B801" t="s">
        <v>166</v>
      </c>
      <c r="C801" t="s">
        <v>1059</v>
      </c>
      <c r="D801" t="s">
        <v>293</v>
      </c>
      <c r="E801" t="s">
        <v>308</v>
      </c>
      <c r="F801" t="s">
        <v>1149</v>
      </c>
      <c r="G801">
        <v>0</v>
      </c>
      <c r="H801">
        <v>0</v>
      </c>
      <c r="I801">
        <v>0</v>
      </c>
      <c r="J801">
        <v>0</v>
      </c>
      <c r="K801">
        <v>0</v>
      </c>
      <c r="L801">
        <v>0</v>
      </c>
      <c r="M801">
        <v>0</v>
      </c>
      <c r="N801">
        <v>0</v>
      </c>
      <c r="O801">
        <v>0</v>
      </c>
    </row>
    <row r="802" spans="1:15" x14ac:dyDescent="0.35">
      <c r="A802" t="s">
        <v>1141</v>
      </c>
      <c r="B802" t="s">
        <v>166</v>
      </c>
      <c r="C802" t="s">
        <v>1059</v>
      </c>
      <c r="D802" t="s">
        <v>293</v>
      </c>
      <c r="E802" t="s">
        <v>310</v>
      </c>
      <c r="F802" t="s">
        <v>1150</v>
      </c>
      <c r="G802">
        <v>782</v>
      </c>
      <c r="H802">
        <v>94283.86</v>
      </c>
      <c r="I802">
        <v>120.57</v>
      </c>
      <c r="J802">
        <v>143</v>
      </c>
      <c r="K802">
        <v>19968.8</v>
      </c>
      <c r="L802">
        <v>139.63999999999999</v>
      </c>
      <c r="M802">
        <v>925</v>
      </c>
      <c r="N802">
        <v>114252.66</v>
      </c>
      <c r="O802">
        <v>123.52</v>
      </c>
    </row>
    <row r="803" spans="1:15" x14ac:dyDescent="0.35">
      <c r="A803" t="s">
        <v>1141</v>
      </c>
      <c r="B803" t="s">
        <v>166</v>
      </c>
      <c r="C803" t="s">
        <v>1059</v>
      </c>
      <c r="D803" t="s">
        <v>293</v>
      </c>
      <c r="E803" t="s">
        <v>312</v>
      </c>
      <c r="F803" t="s">
        <v>1151</v>
      </c>
      <c r="G803">
        <v>782</v>
      </c>
      <c r="H803">
        <v>94283.86</v>
      </c>
      <c r="I803">
        <v>120.57</v>
      </c>
      <c r="J803">
        <v>143</v>
      </c>
      <c r="K803">
        <v>19968.8</v>
      </c>
      <c r="L803">
        <v>139.63999999999999</v>
      </c>
      <c r="M803">
        <v>925</v>
      </c>
      <c r="N803">
        <v>114252.66</v>
      </c>
      <c r="O803">
        <v>123.52</v>
      </c>
    </row>
    <row r="804" spans="1:15" x14ac:dyDescent="0.35">
      <c r="A804" t="s">
        <v>1141</v>
      </c>
      <c r="B804" t="s">
        <v>166</v>
      </c>
      <c r="C804" t="s">
        <v>1059</v>
      </c>
      <c r="D804" t="s">
        <v>314</v>
      </c>
      <c r="E804" t="s">
        <v>294</v>
      </c>
      <c r="F804" t="s">
        <v>1152</v>
      </c>
      <c r="G804">
        <v>77</v>
      </c>
      <c r="H804">
        <v>23929.29</v>
      </c>
      <c r="I804">
        <v>310.77</v>
      </c>
      <c r="J804">
        <v>0</v>
      </c>
      <c r="K804">
        <v>0</v>
      </c>
      <c r="L804">
        <v>0</v>
      </c>
      <c r="M804">
        <v>77</v>
      </c>
      <c r="N804">
        <v>23929.29</v>
      </c>
      <c r="O804">
        <v>310.77</v>
      </c>
    </row>
    <row r="805" spans="1:15" x14ac:dyDescent="0.35">
      <c r="A805" t="s">
        <v>1141</v>
      </c>
      <c r="B805" t="s">
        <v>166</v>
      </c>
      <c r="C805" t="s">
        <v>1059</v>
      </c>
      <c r="D805" t="s">
        <v>314</v>
      </c>
      <c r="E805" t="s">
        <v>296</v>
      </c>
      <c r="F805" t="s">
        <v>1153</v>
      </c>
      <c r="G805">
        <v>71</v>
      </c>
      <c r="H805">
        <v>18939.27</v>
      </c>
      <c r="I805">
        <v>266.75</v>
      </c>
      <c r="J805">
        <v>0</v>
      </c>
      <c r="K805">
        <v>0</v>
      </c>
      <c r="L805">
        <v>0</v>
      </c>
      <c r="M805">
        <v>71</v>
      </c>
      <c r="N805">
        <v>18939.27</v>
      </c>
      <c r="O805">
        <v>266.75</v>
      </c>
    </row>
    <row r="806" spans="1:15" x14ac:dyDescent="0.35">
      <c r="A806" t="s">
        <v>1141</v>
      </c>
      <c r="B806" t="s">
        <v>166</v>
      </c>
      <c r="C806" t="s">
        <v>1059</v>
      </c>
      <c r="D806" t="s">
        <v>314</v>
      </c>
      <c r="E806" t="s">
        <v>298</v>
      </c>
      <c r="F806" t="s">
        <v>1154</v>
      </c>
      <c r="G806">
        <v>0</v>
      </c>
      <c r="H806">
        <v>0</v>
      </c>
      <c r="I806">
        <v>0</v>
      </c>
      <c r="J806">
        <v>0</v>
      </c>
      <c r="K806">
        <v>0</v>
      </c>
      <c r="L806">
        <v>0</v>
      </c>
      <c r="M806">
        <v>0</v>
      </c>
      <c r="N806">
        <v>0</v>
      </c>
      <c r="O806">
        <v>0</v>
      </c>
    </row>
    <row r="807" spans="1:15" x14ac:dyDescent="0.35">
      <c r="A807" t="s">
        <v>1141</v>
      </c>
      <c r="B807" t="s">
        <v>166</v>
      </c>
      <c r="C807" t="s">
        <v>1059</v>
      </c>
      <c r="D807" t="s">
        <v>314</v>
      </c>
      <c r="E807" t="s">
        <v>300</v>
      </c>
      <c r="F807" t="s">
        <v>1155</v>
      </c>
      <c r="G807">
        <v>0</v>
      </c>
      <c r="H807">
        <v>0</v>
      </c>
      <c r="I807">
        <v>0</v>
      </c>
      <c r="J807">
        <v>0</v>
      </c>
      <c r="K807">
        <v>0</v>
      </c>
      <c r="L807">
        <v>0</v>
      </c>
      <c r="M807">
        <v>0</v>
      </c>
      <c r="N807">
        <v>0</v>
      </c>
      <c r="O807">
        <v>0</v>
      </c>
    </row>
    <row r="808" spans="1:15" x14ac:dyDescent="0.35">
      <c r="A808" t="s">
        <v>1141</v>
      </c>
      <c r="B808" t="s">
        <v>166</v>
      </c>
      <c r="C808" t="s">
        <v>1059</v>
      </c>
      <c r="D808" t="s">
        <v>314</v>
      </c>
      <c r="E808" t="s">
        <v>306</v>
      </c>
      <c r="F808" t="s">
        <v>1156</v>
      </c>
      <c r="G808">
        <v>0</v>
      </c>
      <c r="H808">
        <v>0</v>
      </c>
      <c r="I808">
        <v>0</v>
      </c>
      <c r="J808">
        <v>0</v>
      </c>
      <c r="K808">
        <v>0</v>
      </c>
      <c r="L808">
        <v>0</v>
      </c>
      <c r="M808">
        <v>0</v>
      </c>
      <c r="N808">
        <v>0</v>
      </c>
      <c r="O808">
        <v>0</v>
      </c>
    </row>
    <row r="809" spans="1:15" x14ac:dyDescent="0.35">
      <c r="A809" t="s">
        <v>1141</v>
      </c>
      <c r="B809" t="s">
        <v>166</v>
      </c>
      <c r="C809" t="s">
        <v>1059</v>
      </c>
      <c r="D809" t="s">
        <v>314</v>
      </c>
      <c r="E809" t="s">
        <v>308</v>
      </c>
      <c r="F809" t="s">
        <v>1157</v>
      </c>
      <c r="G809">
        <v>0</v>
      </c>
      <c r="H809">
        <v>0</v>
      </c>
      <c r="I809">
        <v>0</v>
      </c>
      <c r="J809">
        <v>0</v>
      </c>
      <c r="K809">
        <v>0</v>
      </c>
      <c r="L809">
        <v>0</v>
      </c>
      <c r="M809">
        <v>0</v>
      </c>
      <c r="N809">
        <v>0</v>
      </c>
      <c r="O809">
        <v>0</v>
      </c>
    </row>
    <row r="810" spans="1:15" x14ac:dyDescent="0.35">
      <c r="A810" t="s">
        <v>1141</v>
      </c>
      <c r="B810" t="s">
        <v>166</v>
      </c>
      <c r="C810" t="s">
        <v>1059</v>
      </c>
      <c r="D810" t="s">
        <v>314</v>
      </c>
      <c r="E810" t="s">
        <v>312</v>
      </c>
      <c r="F810" t="s">
        <v>1158</v>
      </c>
      <c r="G810">
        <v>148</v>
      </c>
      <c r="H810">
        <v>42868.56</v>
      </c>
      <c r="I810">
        <v>289.64999999999998</v>
      </c>
      <c r="J810">
        <v>0</v>
      </c>
      <c r="K810">
        <v>0</v>
      </c>
      <c r="L810">
        <v>0</v>
      </c>
      <c r="M810">
        <v>148</v>
      </c>
      <c r="N810">
        <v>42868.56</v>
      </c>
      <c r="O810">
        <v>289.64999999999998</v>
      </c>
    </row>
    <row r="811" spans="1:15" x14ac:dyDescent="0.35">
      <c r="A811" t="s">
        <v>1141</v>
      </c>
      <c r="B811" t="s">
        <v>166</v>
      </c>
      <c r="C811" t="s">
        <v>1059</v>
      </c>
      <c r="D811" t="s">
        <v>314</v>
      </c>
      <c r="E811" t="s">
        <v>310</v>
      </c>
      <c r="F811" t="s">
        <v>1159</v>
      </c>
      <c r="G811">
        <v>148</v>
      </c>
      <c r="H811">
        <v>42868.56</v>
      </c>
      <c r="I811">
        <v>289.64999999999998</v>
      </c>
      <c r="J811">
        <v>0</v>
      </c>
      <c r="K811">
        <v>0</v>
      </c>
      <c r="L811">
        <v>0</v>
      </c>
      <c r="M811">
        <v>148</v>
      </c>
      <c r="N811">
        <v>42868.56</v>
      </c>
      <c r="O811">
        <v>289.64999999999998</v>
      </c>
    </row>
    <row r="812" spans="1:15" x14ac:dyDescent="0.35">
      <c r="A812" t="s">
        <v>1141</v>
      </c>
      <c r="B812" t="s">
        <v>166</v>
      </c>
      <c r="C812" t="s">
        <v>1059</v>
      </c>
      <c r="D812" t="s">
        <v>323</v>
      </c>
      <c r="E812" t="s">
        <v>294</v>
      </c>
      <c r="F812" t="s">
        <v>1160</v>
      </c>
      <c r="G812">
        <v>1291</v>
      </c>
      <c r="H812">
        <v>109101.06</v>
      </c>
      <c r="I812">
        <v>84.51</v>
      </c>
      <c r="J812">
        <v>3993</v>
      </c>
      <c r="K812">
        <v>305304.77999999997</v>
      </c>
      <c r="L812">
        <v>76.459999999999994</v>
      </c>
      <c r="M812">
        <v>5284</v>
      </c>
      <c r="N812">
        <v>414405.83999999997</v>
      </c>
      <c r="O812">
        <v>78.430000000000007</v>
      </c>
    </row>
    <row r="813" spans="1:15" x14ac:dyDescent="0.35">
      <c r="A813" t="s">
        <v>1141</v>
      </c>
      <c r="B813" t="s">
        <v>166</v>
      </c>
      <c r="C813" t="s">
        <v>1059</v>
      </c>
      <c r="D813" t="s">
        <v>323</v>
      </c>
      <c r="E813" t="s">
        <v>296</v>
      </c>
      <c r="F813" t="s">
        <v>1161</v>
      </c>
      <c r="G813">
        <v>2373</v>
      </c>
      <c r="H813">
        <v>218552.03</v>
      </c>
      <c r="I813">
        <v>92.1</v>
      </c>
      <c r="J813">
        <v>6797</v>
      </c>
      <c r="K813">
        <v>585697.49</v>
      </c>
      <c r="L813">
        <v>86.17</v>
      </c>
      <c r="M813">
        <v>9170</v>
      </c>
      <c r="N813">
        <v>804249.52</v>
      </c>
      <c r="O813">
        <v>87.7</v>
      </c>
    </row>
    <row r="814" spans="1:15" x14ac:dyDescent="0.35">
      <c r="A814" t="s">
        <v>1141</v>
      </c>
      <c r="B814" t="s">
        <v>166</v>
      </c>
      <c r="C814" t="s">
        <v>1059</v>
      </c>
      <c r="D814" t="s">
        <v>323</v>
      </c>
      <c r="E814" t="s">
        <v>298</v>
      </c>
      <c r="F814" t="s">
        <v>1162</v>
      </c>
      <c r="G814">
        <v>1054</v>
      </c>
      <c r="H814">
        <v>112532.34999999999</v>
      </c>
      <c r="I814">
        <v>106.77</v>
      </c>
      <c r="J814">
        <v>5873</v>
      </c>
      <c r="K814">
        <v>555996.91</v>
      </c>
      <c r="L814">
        <v>94.67</v>
      </c>
      <c r="M814">
        <v>6927</v>
      </c>
      <c r="N814">
        <v>668529.26</v>
      </c>
      <c r="O814">
        <v>96.51</v>
      </c>
    </row>
    <row r="815" spans="1:15" x14ac:dyDescent="0.35">
      <c r="A815" t="s">
        <v>1141</v>
      </c>
      <c r="B815" t="s">
        <v>166</v>
      </c>
      <c r="C815" t="s">
        <v>1059</v>
      </c>
      <c r="D815" t="s">
        <v>323</v>
      </c>
      <c r="E815" t="s">
        <v>300</v>
      </c>
      <c r="F815" t="s">
        <v>1163</v>
      </c>
      <c r="G815">
        <v>83</v>
      </c>
      <c r="H815">
        <v>10329.900000000001</v>
      </c>
      <c r="I815">
        <v>124.46</v>
      </c>
      <c r="J815">
        <v>141</v>
      </c>
      <c r="K815">
        <v>14648.49</v>
      </c>
      <c r="L815">
        <v>103.89</v>
      </c>
      <c r="M815">
        <v>224</v>
      </c>
      <c r="N815">
        <v>24978.39</v>
      </c>
      <c r="O815">
        <v>111.51</v>
      </c>
    </row>
    <row r="816" spans="1:15" x14ac:dyDescent="0.35">
      <c r="A816" t="s">
        <v>1141</v>
      </c>
      <c r="B816" t="s">
        <v>166</v>
      </c>
      <c r="C816" t="s">
        <v>1059</v>
      </c>
      <c r="D816" t="s">
        <v>323</v>
      </c>
      <c r="E816" t="s">
        <v>302</v>
      </c>
      <c r="F816" t="s">
        <v>1164</v>
      </c>
      <c r="G816">
        <v>0</v>
      </c>
      <c r="H816">
        <v>0</v>
      </c>
      <c r="I816">
        <v>0</v>
      </c>
      <c r="J816">
        <v>2</v>
      </c>
      <c r="K816">
        <v>217.2</v>
      </c>
      <c r="L816">
        <v>108.6</v>
      </c>
      <c r="M816">
        <v>2</v>
      </c>
      <c r="N816">
        <v>217.2</v>
      </c>
      <c r="O816">
        <v>108.6</v>
      </c>
    </row>
    <row r="817" spans="1:15" x14ac:dyDescent="0.35">
      <c r="A817" t="s">
        <v>1141</v>
      </c>
      <c r="B817" t="s">
        <v>166</v>
      </c>
      <c r="C817" t="s">
        <v>1059</v>
      </c>
      <c r="D817" t="s">
        <v>323</v>
      </c>
      <c r="E817" t="s">
        <v>304</v>
      </c>
      <c r="F817" t="s">
        <v>1165</v>
      </c>
      <c r="G817">
        <v>3</v>
      </c>
      <c r="H817">
        <v>455.89</v>
      </c>
      <c r="I817">
        <v>151.96</v>
      </c>
      <c r="J817">
        <v>10</v>
      </c>
      <c r="K817">
        <v>1275.5</v>
      </c>
      <c r="L817">
        <v>127.55</v>
      </c>
      <c r="M817">
        <v>13</v>
      </c>
      <c r="N817">
        <v>1731.3899999999999</v>
      </c>
      <c r="O817">
        <v>133.18</v>
      </c>
    </row>
    <row r="818" spans="1:15" x14ac:dyDescent="0.35">
      <c r="A818" t="s">
        <v>1141</v>
      </c>
      <c r="B818" t="s">
        <v>166</v>
      </c>
      <c r="C818" t="s">
        <v>1059</v>
      </c>
      <c r="D818" t="s">
        <v>323</v>
      </c>
      <c r="E818" t="s">
        <v>306</v>
      </c>
      <c r="F818" t="s">
        <v>1166</v>
      </c>
      <c r="G818">
        <v>13</v>
      </c>
      <c r="H818">
        <v>961.58999999999992</v>
      </c>
      <c r="I818">
        <v>73.97</v>
      </c>
      <c r="J818">
        <v>50</v>
      </c>
      <c r="K818">
        <v>3338.0000000000005</v>
      </c>
      <c r="L818">
        <v>66.760000000000005</v>
      </c>
      <c r="M818">
        <v>63</v>
      </c>
      <c r="N818">
        <v>4299.59</v>
      </c>
      <c r="O818">
        <v>68.25</v>
      </c>
    </row>
    <row r="819" spans="1:15" x14ac:dyDescent="0.35">
      <c r="A819" t="s">
        <v>1141</v>
      </c>
      <c r="B819" t="s">
        <v>166</v>
      </c>
      <c r="C819" t="s">
        <v>1059</v>
      </c>
      <c r="D819" t="s">
        <v>323</v>
      </c>
      <c r="E819" t="s">
        <v>308</v>
      </c>
      <c r="F819" t="s">
        <v>1167</v>
      </c>
      <c r="G819">
        <v>0</v>
      </c>
      <c r="H819">
        <v>0</v>
      </c>
      <c r="I819">
        <v>0</v>
      </c>
      <c r="J819">
        <v>0</v>
      </c>
      <c r="K819">
        <v>0</v>
      </c>
      <c r="L819">
        <v>0</v>
      </c>
      <c r="M819">
        <v>0</v>
      </c>
      <c r="N819">
        <v>0</v>
      </c>
      <c r="O819">
        <v>0</v>
      </c>
    </row>
    <row r="820" spans="1:15" x14ac:dyDescent="0.35">
      <c r="A820" t="s">
        <v>1141</v>
      </c>
      <c r="B820" t="s">
        <v>166</v>
      </c>
      <c r="C820" t="s">
        <v>1059</v>
      </c>
      <c r="D820" t="s">
        <v>323</v>
      </c>
      <c r="E820" t="s">
        <v>310</v>
      </c>
      <c r="F820" t="s">
        <v>1168</v>
      </c>
      <c r="G820">
        <v>4817</v>
      </c>
      <c r="H820">
        <v>451932.82</v>
      </c>
      <c r="I820">
        <v>93.82</v>
      </c>
      <c r="J820">
        <v>16866</v>
      </c>
      <c r="K820">
        <v>1466478.37</v>
      </c>
      <c r="L820">
        <v>86.95</v>
      </c>
      <c r="M820">
        <v>21683</v>
      </c>
      <c r="N820">
        <v>1918411.1900000002</v>
      </c>
      <c r="O820">
        <v>88.48</v>
      </c>
    </row>
    <row r="821" spans="1:15" x14ac:dyDescent="0.35">
      <c r="A821" t="s">
        <v>1141</v>
      </c>
      <c r="B821" t="s">
        <v>166</v>
      </c>
      <c r="C821" t="s">
        <v>1059</v>
      </c>
      <c r="D821" t="s">
        <v>323</v>
      </c>
      <c r="E821" t="s">
        <v>312</v>
      </c>
      <c r="F821" t="s">
        <v>1169</v>
      </c>
      <c r="G821">
        <v>4817</v>
      </c>
      <c r="H821">
        <v>451932.82</v>
      </c>
      <c r="I821">
        <v>93.82</v>
      </c>
      <c r="J821">
        <v>16866</v>
      </c>
      <c r="K821">
        <v>1466478.37</v>
      </c>
      <c r="L821">
        <v>86.95</v>
      </c>
      <c r="M821">
        <v>21683</v>
      </c>
      <c r="N821">
        <v>1918411.1900000002</v>
      </c>
      <c r="O821">
        <v>88.48</v>
      </c>
    </row>
    <row r="822" spans="1:15" x14ac:dyDescent="0.35">
      <c r="A822" t="s">
        <v>1141</v>
      </c>
      <c r="B822" t="s">
        <v>166</v>
      </c>
      <c r="C822" t="s">
        <v>1059</v>
      </c>
      <c r="D822" t="s">
        <v>334</v>
      </c>
      <c r="E822" t="s">
        <v>312</v>
      </c>
      <c r="F822" t="s">
        <v>1170</v>
      </c>
      <c r="G822">
        <v>6252</v>
      </c>
      <c r="H822">
        <v>546216.67999999993</v>
      </c>
      <c r="I822">
        <v>97.56</v>
      </c>
      <c r="J822">
        <v>17009</v>
      </c>
      <c r="K822">
        <v>1486447.17</v>
      </c>
      <c r="L822">
        <v>87.39</v>
      </c>
      <c r="M822">
        <v>23261</v>
      </c>
      <c r="N822">
        <v>2032663.8499999999</v>
      </c>
      <c r="O822">
        <v>89.91</v>
      </c>
    </row>
    <row r="823" spans="1:15" x14ac:dyDescent="0.35">
      <c r="A823" t="s">
        <v>1141</v>
      </c>
      <c r="B823" t="s">
        <v>166</v>
      </c>
      <c r="C823" t="s">
        <v>1059</v>
      </c>
      <c r="D823" t="s">
        <v>334</v>
      </c>
      <c r="E823" t="s">
        <v>308</v>
      </c>
      <c r="F823" t="s">
        <v>1171</v>
      </c>
      <c r="G823">
        <v>8</v>
      </c>
      <c r="H823">
        <v>0</v>
      </c>
      <c r="I823">
        <v>0</v>
      </c>
      <c r="J823">
        <v>0</v>
      </c>
      <c r="K823">
        <v>0</v>
      </c>
      <c r="L823">
        <v>0</v>
      </c>
      <c r="M823">
        <v>8</v>
      </c>
      <c r="N823">
        <v>0</v>
      </c>
      <c r="O823">
        <v>0</v>
      </c>
    </row>
    <row r="824" spans="1:15" x14ac:dyDescent="0.35">
      <c r="A824" t="s">
        <v>1141</v>
      </c>
      <c r="B824" t="s">
        <v>166</v>
      </c>
      <c r="C824" t="s">
        <v>1059</v>
      </c>
      <c r="D824" t="s">
        <v>337</v>
      </c>
      <c r="E824" t="s">
        <v>337</v>
      </c>
      <c r="F824" t="s">
        <v>1172</v>
      </c>
      <c r="G824">
        <v>255</v>
      </c>
      <c r="J824">
        <v>0</v>
      </c>
      <c r="M824">
        <v>255</v>
      </c>
    </row>
    <row r="825" spans="1:15" x14ac:dyDescent="0.35">
      <c r="A825" t="s">
        <v>1141</v>
      </c>
      <c r="B825" t="s">
        <v>166</v>
      </c>
      <c r="C825" t="s">
        <v>1059</v>
      </c>
      <c r="D825" t="s">
        <v>339</v>
      </c>
      <c r="E825" t="s">
        <v>294</v>
      </c>
      <c r="F825" t="s">
        <v>1173</v>
      </c>
      <c r="G825">
        <v>987</v>
      </c>
      <c r="H825">
        <v>126706.59</v>
      </c>
      <c r="I825">
        <v>128.38</v>
      </c>
      <c r="J825">
        <v>169</v>
      </c>
      <c r="K825">
        <v>20154.940000000002</v>
      </c>
      <c r="L825">
        <v>119.26</v>
      </c>
      <c r="M825">
        <v>1156</v>
      </c>
      <c r="N825">
        <v>146861.53</v>
      </c>
      <c r="O825">
        <v>127.04</v>
      </c>
    </row>
    <row r="826" spans="1:15" x14ac:dyDescent="0.35">
      <c r="A826" t="s">
        <v>1141</v>
      </c>
      <c r="B826" t="s">
        <v>166</v>
      </c>
      <c r="C826" t="s">
        <v>1059</v>
      </c>
      <c r="D826" t="s">
        <v>339</v>
      </c>
      <c r="E826" t="s">
        <v>296</v>
      </c>
      <c r="F826" t="s">
        <v>1174</v>
      </c>
      <c r="G826">
        <v>595</v>
      </c>
      <c r="H826">
        <v>72991.08</v>
      </c>
      <c r="I826">
        <v>122.67</v>
      </c>
      <c r="J826">
        <v>96</v>
      </c>
      <c r="K826">
        <v>12233.28</v>
      </c>
      <c r="L826">
        <v>127.43</v>
      </c>
      <c r="M826">
        <v>691</v>
      </c>
      <c r="N826">
        <v>85224.36</v>
      </c>
      <c r="O826">
        <v>123.33</v>
      </c>
    </row>
    <row r="827" spans="1:15" x14ac:dyDescent="0.35">
      <c r="A827" t="s">
        <v>1141</v>
      </c>
      <c r="B827" t="s">
        <v>166</v>
      </c>
      <c r="C827" t="s">
        <v>1059</v>
      </c>
      <c r="D827" t="s">
        <v>339</v>
      </c>
      <c r="E827" t="s">
        <v>298</v>
      </c>
      <c r="F827" t="s">
        <v>1175</v>
      </c>
      <c r="G827">
        <v>8</v>
      </c>
      <c r="H827">
        <v>1128.52</v>
      </c>
      <c r="I827">
        <v>141.07</v>
      </c>
      <c r="J827">
        <v>0</v>
      </c>
      <c r="K827">
        <v>0</v>
      </c>
      <c r="L827">
        <v>0</v>
      </c>
      <c r="M827">
        <v>8</v>
      </c>
      <c r="N827">
        <v>1128.52</v>
      </c>
      <c r="O827">
        <v>141.07</v>
      </c>
    </row>
    <row r="828" spans="1:15" x14ac:dyDescent="0.35">
      <c r="A828" t="s">
        <v>1141</v>
      </c>
      <c r="B828" t="s">
        <v>166</v>
      </c>
      <c r="C828" t="s">
        <v>1059</v>
      </c>
      <c r="D828" t="s">
        <v>339</v>
      </c>
      <c r="E828" t="s">
        <v>300</v>
      </c>
      <c r="F828" t="s">
        <v>1176</v>
      </c>
      <c r="G828">
        <v>0</v>
      </c>
      <c r="H828">
        <v>0</v>
      </c>
      <c r="I828">
        <v>0</v>
      </c>
      <c r="J828">
        <v>0</v>
      </c>
      <c r="K828">
        <v>0</v>
      </c>
      <c r="L828">
        <v>0</v>
      </c>
      <c r="M828">
        <v>0</v>
      </c>
      <c r="N828">
        <v>0</v>
      </c>
      <c r="O828">
        <v>0</v>
      </c>
    </row>
    <row r="829" spans="1:15" x14ac:dyDescent="0.35">
      <c r="A829" t="s">
        <v>1141</v>
      </c>
      <c r="B829" t="s">
        <v>166</v>
      </c>
      <c r="C829" t="s">
        <v>1059</v>
      </c>
      <c r="D829" t="s">
        <v>339</v>
      </c>
      <c r="E829" t="s">
        <v>306</v>
      </c>
      <c r="F829" t="s">
        <v>1177</v>
      </c>
      <c r="G829">
        <v>38</v>
      </c>
      <c r="H829">
        <v>3354.4</v>
      </c>
      <c r="I829">
        <v>88.27</v>
      </c>
      <c r="J829">
        <v>0</v>
      </c>
      <c r="K829">
        <v>0</v>
      </c>
      <c r="L829">
        <v>0</v>
      </c>
      <c r="M829">
        <v>38</v>
      </c>
      <c r="N829">
        <v>3354.4</v>
      </c>
      <c r="O829">
        <v>88.27</v>
      </c>
    </row>
    <row r="830" spans="1:15" x14ac:dyDescent="0.35">
      <c r="A830" t="s">
        <v>1141</v>
      </c>
      <c r="B830" t="s">
        <v>166</v>
      </c>
      <c r="C830" t="s">
        <v>1059</v>
      </c>
      <c r="D830" t="s">
        <v>339</v>
      </c>
      <c r="E830" t="s">
        <v>308</v>
      </c>
      <c r="F830" t="s">
        <v>1178</v>
      </c>
      <c r="G830">
        <v>145</v>
      </c>
      <c r="H830">
        <v>14411.62</v>
      </c>
      <c r="I830">
        <v>99.39</v>
      </c>
      <c r="J830">
        <v>0</v>
      </c>
      <c r="K830">
        <v>0</v>
      </c>
      <c r="L830">
        <v>0</v>
      </c>
      <c r="M830">
        <v>145</v>
      </c>
      <c r="N830">
        <v>14411.62</v>
      </c>
      <c r="O830">
        <v>99.39</v>
      </c>
    </row>
    <row r="831" spans="1:15" x14ac:dyDescent="0.35">
      <c r="A831" t="s">
        <v>1141</v>
      </c>
      <c r="B831" t="s">
        <v>166</v>
      </c>
      <c r="C831" t="s">
        <v>1059</v>
      </c>
      <c r="D831" t="s">
        <v>339</v>
      </c>
      <c r="E831" t="s">
        <v>310</v>
      </c>
      <c r="F831" t="s">
        <v>1179</v>
      </c>
      <c r="G831">
        <v>1773</v>
      </c>
      <c r="H831">
        <v>218592.20999999996</v>
      </c>
      <c r="I831">
        <v>123.29</v>
      </c>
      <c r="J831">
        <v>265</v>
      </c>
      <c r="K831">
        <v>32388.22</v>
      </c>
      <c r="L831">
        <v>122.22</v>
      </c>
      <c r="M831">
        <v>2038</v>
      </c>
      <c r="N831">
        <v>250980.42999999996</v>
      </c>
      <c r="O831">
        <v>123.15</v>
      </c>
    </row>
    <row r="832" spans="1:15" x14ac:dyDescent="0.35">
      <c r="A832" t="s">
        <v>1141</v>
      </c>
      <c r="B832" t="s">
        <v>166</v>
      </c>
      <c r="C832" t="s">
        <v>1059</v>
      </c>
      <c r="D832" t="s">
        <v>339</v>
      </c>
      <c r="E832" t="s">
        <v>312</v>
      </c>
      <c r="F832" t="s">
        <v>1180</v>
      </c>
      <c r="G832">
        <v>1628</v>
      </c>
      <c r="H832">
        <v>204180.58999999997</v>
      </c>
      <c r="I832">
        <v>125.42</v>
      </c>
      <c r="J832">
        <v>265</v>
      </c>
      <c r="K832">
        <v>32388.22</v>
      </c>
      <c r="L832">
        <v>122.22</v>
      </c>
      <c r="M832">
        <v>1893</v>
      </c>
      <c r="N832">
        <v>236568.80999999997</v>
      </c>
      <c r="O832">
        <v>124.97</v>
      </c>
    </row>
    <row r="833" spans="1:15" x14ac:dyDescent="0.35">
      <c r="A833" t="s">
        <v>1141</v>
      </c>
      <c r="B833" t="s">
        <v>166</v>
      </c>
      <c r="C833" t="s">
        <v>1059</v>
      </c>
      <c r="D833" t="s">
        <v>348</v>
      </c>
      <c r="E833" t="s">
        <v>349</v>
      </c>
      <c r="F833" t="s">
        <v>1181</v>
      </c>
      <c r="G833">
        <v>2251</v>
      </c>
      <c r="H833">
        <v>261460.76999999996</v>
      </c>
      <c r="I833">
        <v>136.11000000000001</v>
      </c>
      <c r="J833">
        <v>265</v>
      </c>
      <c r="K833">
        <v>32388.22</v>
      </c>
      <c r="L833">
        <v>122.22</v>
      </c>
      <c r="M833">
        <v>2516</v>
      </c>
      <c r="N833">
        <v>293848.99</v>
      </c>
      <c r="O833">
        <v>134.41999999999999</v>
      </c>
    </row>
    <row r="834" spans="1:15" x14ac:dyDescent="0.35">
      <c r="A834" t="s">
        <v>1182</v>
      </c>
      <c r="B834" t="s">
        <v>1183</v>
      </c>
      <c r="C834" t="s">
        <v>1184</v>
      </c>
      <c r="D834" t="s">
        <v>293</v>
      </c>
      <c r="E834" t="s">
        <v>294</v>
      </c>
      <c r="F834" t="s">
        <v>1185</v>
      </c>
      <c r="G834">
        <v>197</v>
      </c>
      <c r="H834">
        <v>30251.17</v>
      </c>
      <c r="I834">
        <v>153.56</v>
      </c>
      <c r="J834">
        <v>0</v>
      </c>
      <c r="K834">
        <v>0</v>
      </c>
      <c r="L834">
        <v>0</v>
      </c>
      <c r="M834">
        <v>197</v>
      </c>
      <c r="N834">
        <v>30251.17</v>
      </c>
      <c r="O834">
        <v>153.56</v>
      </c>
    </row>
    <row r="835" spans="1:15" x14ac:dyDescent="0.35">
      <c r="A835" t="s">
        <v>1182</v>
      </c>
      <c r="B835" t="s">
        <v>1183</v>
      </c>
      <c r="C835" t="s">
        <v>1184</v>
      </c>
      <c r="D835" t="s">
        <v>293</v>
      </c>
      <c r="E835" t="s">
        <v>296</v>
      </c>
      <c r="F835" t="s">
        <v>1186</v>
      </c>
      <c r="G835">
        <v>321</v>
      </c>
      <c r="H835">
        <v>57508.460000000006</v>
      </c>
      <c r="I835">
        <v>179.15</v>
      </c>
      <c r="J835">
        <v>0</v>
      </c>
      <c r="K835">
        <v>0</v>
      </c>
      <c r="L835">
        <v>0</v>
      </c>
      <c r="M835">
        <v>321</v>
      </c>
      <c r="N835">
        <v>57508.460000000006</v>
      </c>
      <c r="O835">
        <v>179.15</v>
      </c>
    </row>
    <row r="836" spans="1:15" x14ac:dyDescent="0.35">
      <c r="A836" t="s">
        <v>1182</v>
      </c>
      <c r="B836" t="s">
        <v>1183</v>
      </c>
      <c r="C836" t="s">
        <v>1184</v>
      </c>
      <c r="D836" t="s">
        <v>293</v>
      </c>
      <c r="E836" t="s">
        <v>298</v>
      </c>
      <c r="F836" t="s">
        <v>1187</v>
      </c>
      <c r="G836">
        <v>157</v>
      </c>
      <c r="H836">
        <v>29764.829999999998</v>
      </c>
      <c r="I836">
        <v>189.58</v>
      </c>
      <c r="J836">
        <v>0</v>
      </c>
      <c r="K836">
        <v>0</v>
      </c>
      <c r="L836">
        <v>0</v>
      </c>
      <c r="M836">
        <v>157</v>
      </c>
      <c r="N836">
        <v>29764.829999999998</v>
      </c>
      <c r="O836">
        <v>189.58</v>
      </c>
    </row>
    <row r="837" spans="1:15" x14ac:dyDescent="0.35">
      <c r="A837" t="s">
        <v>1182</v>
      </c>
      <c r="B837" t="s">
        <v>1183</v>
      </c>
      <c r="C837" t="s">
        <v>1184</v>
      </c>
      <c r="D837" t="s">
        <v>293</v>
      </c>
      <c r="E837" t="s">
        <v>300</v>
      </c>
      <c r="F837" t="s">
        <v>1188</v>
      </c>
      <c r="G837">
        <v>9</v>
      </c>
      <c r="H837">
        <v>2060.5499999999997</v>
      </c>
      <c r="I837">
        <v>228.95</v>
      </c>
      <c r="J837">
        <v>0</v>
      </c>
      <c r="K837">
        <v>0</v>
      </c>
      <c r="L837">
        <v>0</v>
      </c>
      <c r="M837">
        <v>9</v>
      </c>
      <c r="N837">
        <v>2060.5499999999997</v>
      </c>
      <c r="O837">
        <v>228.95</v>
      </c>
    </row>
    <row r="838" spans="1:15" x14ac:dyDescent="0.35">
      <c r="A838" t="s">
        <v>1182</v>
      </c>
      <c r="B838" t="s">
        <v>1183</v>
      </c>
      <c r="C838" t="s">
        <v>1184</v>
      </c>
      <c r="D838" t="s">
        <v>293</v>
      </c>
      <c r="E838" t="s">
        <v>302</v>
      </c>
      <c r="F838" t="s">
        <v>1189</v>
      </c>
      <c r="G838">
        <v>1</v>
      </c>
      <c r="H838">
        <v>297.95</v>
      </c>
      <c r="I838">
        <v>297.95</v>
      </c>
      <c r="J838">
        <v>0</v>
      </c>
      <c r="K838">
        <v>0</v>
      </c>
      <c r="L838">
        <v>0</v>
      </c>
      <c r="M838">
        <v>1</v>
      </c>
      <c r="N838">
        <v>297.95</v>
      </c>
      <c r="O838">
        <v>297.95</v>
      </c>
    </row>
    <row r="839" spans="1:15" x14ac:dyDescent="0.35">
      <c r="A839" t="s">
        <v>1182</v>
      </c>
      <c r="B839" t="s">
        <v>1183</v>
      </c>
      <c r="C839" t="s">
        <v>1184</v>
      </c>
      <c r="D839" t="s">
        <v>293</v>
      </c>
      <c r="E839" t="s">
        <v>304</v>
      </c>
      <c r="F839" t="s">
        <v>1190</v>
      </c>
      <c r="G839">
        <v>0</v>
      </c>
      <c r="H839">
        <v>0</v>
      </c>
      <c r="I839">
        <v>0</v>
      </c>
      <c r="J839">
        <v>0</v>
      </c>
      <c r="K839">
        <v>0</v>
      </c>
      <c r="L839">
        <v>0</v>
      </c>
      <c r="M839">
        <v>0</v>
      </c>
      <c r="N839">
        <v>0</v>
      </c>
      <c r="O839">
        <v>0</v>
      </c>
    </row>
    <row r="840" spans="1:15" x14ac:dyDescent="0.35">
      <c r="A840" t="s">
        <v>1182</v>
      </c>
      <c r="B840" t="s">
        <v>1183</v>
      </c>
      <c r="C840" t="s">
        <v>1184</v>
      </c>
      <c r="D840" t="s">
        <v>293</v>
      </c>
      <c r="E840" t="s">
        <v>306</v>
      </c>
      <c r="F840" t="s">
        <v>1191</v>
      </c>
      <c r="G840">
        <v>10</v>
      </c>
      <c r="H840">
        <v>1282.8999999999999</v>
      </c>
      <c r="I840">
        <v>128.29</v>
      </c>
      <c r="J840">
        <v>0</v>
      </c>
      <c r="K840">
        <v>0</v>
      </c>
      <c r="L840">
        <v>0</v>
      </c>
      <c r="M840">
        <v>10</v>
      </c>
      <c r="N840">
        <v>1282.8999999999999</v>
      </c>
      <c r="O840">
        <v>128.29</v>
      </c>
    </row>
    <row r="841" spans="1:15" x14ac:dyDescent="0.35">
      <c r="A841" t="s">
        <v>1182</v>
      </c>
      <c r="B841" t="s">
        <v>1183</v>
      </c>
      <c r="C841" t="s">
        <v>1184</v>
      </c>
      <c r="D841" t="s">
        <v>293</v>
      </c>
      <c r="E841" t="s">
        <v>308</v>
      </c>
      <c r="F841" t="s">
        <v>1192</v>
      </c>
      <c r="G841">
        <v>0</v>
      </c>
      <c r="H841">
        <v>0</v>
      </c>
      <c r="I841">
        <v>0</v>
      </c>
      <c r="J841">
        <v>0</v>
      </c>
      <c r="K841">
        <v>0</v>
      </c>
      <c r="L841">
        <v>0</v>
      </c>
      <c r="M841">
        <v>0</v>
      </c>
      <c r="N841">
        <v>0</v>
      </c>
      <c r="O841">
        <v>0</v>
      </c>
    </row>
    <row r="842" spans="1:15" x14ac:dyDescent="0.35">
      <c r="A842" t="s">
        <v>1182</v>
      </c>
      <c r="B842" t="s">
        <v>1183</v>
      </c>
      <c r="C842" t="s">
        <v>1184</v>
      </c>
      <c r="D842" t="s">
        <v>293</v>
      </c>
      <c r="E842" t="s">
        <v>310</v>
      </c>
      <c r="F842" t="s">
        <v>1193</v>
      </c>
      <c r="G842">
        <v>695</v>
      </c>
      <c r="H842">
        <v>121165.86</v>
      </c>
      <c r="I842">
        <v>174.34</v>
      </c>
      <c r="J842">
        <v>0</v>
      </c>
      <c r="K842">
        <v>0</v>
      </c>
      <c r="L842">
        <v>0</v>
      </c>
      <c r="M842">
        <v>695</v>
      </c>
      <c r="N842">
        <v>121165.86</v>
      </c>
      <c r="O842">
        <v>174.34</v>
      </c>
    </row>
    <row r="843" spans="1:15" x14ac:dyDescent="0.35">
      <c r="A843" t="s">
        <v>1182</v>
      </c>
      <c r="B843" t="s">
        <v>1183</v>
      </c>
      <c r="C843" t="s">
        <v>1184</v>
      </c>
      <c r="D843" t="s">
        <v>293</v>
      </c>
      <c r="E843" t="s">
        <v>312</v>
      </c>
      <c r="F843" t="s">
        <v>1194</v>
      </c>
      <c r="G843">
        <v>695</v>
      </c>
      <c r="H843">
        <v>121165.86</v>
      </c>
      <c r="I843">
        <v>174.34</v>
      </c>
      <c r="J843">
        <v>0</v>
      </c>
      <c r="K843">
        <v>0</v>
      </c>
      <c r="L843">
        <v>0</v>
      </c>
      <c r="M843">
        <v>695</v>
      </c>
      <c r="N843">
        <v>121165.86</v>
      </c>
      <c r="O843">
        <v>174.34</v>
      </c>
    </row>
    <row r="844" spans="1:15" x14ac:dyDescent="0.35">
      <c r="A844" t="s">
        <v>1182</v>
      </c>
      <c r="B844" t="s">
        <v>1183</v>
      </c>
      <c r="C844" t="s">
        <v>1184</v>
      </c>
      <c r="D844" t="s">
        <v>314</v>
      </c>
      <c r="E844" t="s">
        <v>294</v>
      </c>
      <c r="F844" t="s">
        <v>1195</v>
      </c>
      <c r="G844">
        <v>95</v>
      </c>
      <c r="H844">
        <v>15645.12</v>
      </c>
      <c r="I844">
        <v>164.69</v>
      </c>
      <c r="J844">
        <v>20</v>
      </c>
      <c r="K844">
        <v>7226</v>
      </c>
      <c r="L844">
        <v>361.3</v>
      </c>
      <c r="M844">
        <v>115</v>
      </c>
      <c r="N844">
        <v>22871.120000000003</v>
      </c>
      <c r="O844">
        <v>198.88</v>
      </c>
    </row>
    <row r="845" spans="1:15" x14ac:dyDescent="0.35">
      <c r="A845" t="s">
        <v>1182</v>
      </c>
      <c r="B845" t="s">
        <v>1183</v>
      </c>
      <c r="C845" t="s">
        <v>1184</v>
      </c>
      <c r="D845" t="s">
        <v>314</v>
      </c>
      <c r="E845" t="s">
        <v>296</v>
      </c>
      <c r="F845" t="s">
        <v>1196</v>
      </c>
      <c r="G845">
        <v>13</v>
      </c>
      <c r="H845">
        <v>2742.17</v>
      </c>
      <c r="I845">
        <v>210.94</v>
      </c>
      <c r="J845">
        <v>0</v>
      </c>
      <c r="K845">
        <v>0</v>
      </c>
      <c r="L845">
        <v>0</v>
      </c>
      <c r="M845">
        <v>13</v>
      </c>
      <c r="N845">
        <v>2742.17</v>
      </c>
      <c r="O845">
        <v>210.94</v>
      </c>
    </row>
    <row r="846" spans="1:15" x14ac:dyDescent="0.35">
      <c r="A846" t="s">
        <v>1182</v>
      </c>
      <c r="B846" t="s">
        <v>1183</v>
      </c>
      <c r="C846" t="s">
        <v>1184</v>
      </c>
      <c r="D846" t="s">
        <v>314</v>
      </c>
      <c r="E846" t="s">
        <v>298</v>
      </c>
      <c r="F846" t="s">
        <v>1197</v>
      </c>
      <c r="G846">
        <v>0</v>
      </c>
      <c r="H846">
        <v>0</v>
      </c>
      <c r="I846">
        <v>0</v>
      </c>
      <c r="J846">
        <v>0</v>
      </c>
      <c r="K846">
        <v>0</v>
      </c>
      <c r="L846">
        <v>0</v>
      </c>
      <c r="M846">
        <v>0</v>
      </c>
      <c r="N846">
        <v>0</v>
      </c>
      <c r="O846">
        <v>0</v>
      </c>
    </row>
    <row r="847" spans="1:15" x14ac:dyDescent="0.35">
      <c r="A847" t="s">
        <v>1182</v>
      </c>
      <c r="B847" t="s">
        <v>1183</v>
      </c>
      <c r="C847" t="s">
        <v>1184</v>
      </c>
      <c r="D847" t="s">
        <v>314</v>
      </c>
      <c r="E847" t="s">
        <v>300</v>
      </c>
      <c r="F847" t="s">
        <v>1198</v>
      </c>
      <c r="G847">
        <v>0</v>
      </c>
      <c r="H847">
        <v>0</v>
      </c>
      <c r="I847">
        <v>0</v>
      </c>
      <c r="J847">
        <v>0</v>
      </c>
      <c r="K847">
        <v>0</v>
      </c>
      <c r="L847">
        <v>0</v>
      </c>
      <c r="M847">
        <v>0</v>
      </c>
      <c r="N847">
        <v>0</v>
      </c>
      <c r="O847">
        <v>0</v>
      </c>
    </row>
    <row r="848" spans="1:15" x14ac:dyDescent="0.35">
      <c r="A848" t="s">
        <v>1182</v>
      </c>
      <c r="B848" t="s">
        <v>1183</v>
      </c>
      <c r="C848" t="s">
        <v>1184</v>
      </c>
      <c r="D848" t="s">
        <v>314</v>
      </c>
      <c r="E848" t="s">
        <v>306</v>
      </c>
      <c r="F848" t="s">
        <v>1199</v>
      </c>
      <c r="G848">
        <v>0</v>
      </c>
      <c r="H848">
        <v>0</v>
      </c>
      <c r="I848">
        <v>0</v>
      </c>
      <c r="J848">
        <v>0</v>
      </c>
      <c r="K848">
        <v>0</v>
      </c>
      <c r="L848">
        <v>0</v>
      </c>
      <c r="M848">
        <v>0</v>
      </c>
      <c r="N848">
        <v>0</v>
      </c>
      <c r="O848">
        <v>0</v>
      </c>
    </row>
    <row r="849" spans="1:15" x14ac:dyDescent="0.35">
      <c r="A849" t="s">
        <v>1182</v>
      </c>
      <c r="B849" t="s">
        <v>1183</v>
      </c>
      <c r="C849" t="s">
        <v>1184</v>
      </c>
      <c r="D849" t="s">
        <v>314</v>
      </c>
      <c r="E849" t="s">
        <v>308</v>
      </c>
      <c r="F849" t="s">
        <v>1200</v>
      </c>
      <c r="G849">
        <v>0</v>
      </c>
      <c r="H849">
        <v>0</v>
      </c>
      <c r="I849">
        <v>0</v>
      </c>
      <c r="J849">
        <v>5</v>
      </c>
      <c r="K849">
        <v>892.45</v>
      </c>
      <c r="L849">
        <v>178.49</v>
      </c>
      <c r="M849">
        <v>5</v>
      </c>
      <c r="N849">
        <v>892.45</v>
      </c>
      <c r="O849">
        <v>178.49</v>
      </c>
    </row>
    <row r="850" spans="1:15" x14ac:dyDescent="0.35">
      <c r="A850" t="s">
        <v>1182</v>
      </c>
      <c r="B850" t="s">
        <v>1183</v>
      </c>
      <c r="C850" t="s">
        <v>1184</v>
      </c>
      <c r="D850" t="s">
        <v>314</v>
      </c>
      <c r="E850" t="s">
        <v>312</v>
      </c>
      <c r="F850" t="s">
        <v>1201</v>
      </c>
      <c r="G850">
        <v>108</v>
      </c>
      <c r="H850">
        <v>18387.29</v>
      </c>
      <c r="I850">
        <v>170.25</v>
      </c>
      <c r="J850">
        <v>20</v>
      </c>
      <c r="K850">
        <v>7226</v>
      </c>
      <c r="L850">
        <v>361.3</v>
      </c>
      <c r="M850">
        <v>128</v>
      </c>
      <c r="N850">
        <v>25613.29</v>
      </c>
      <c r="O850">
        <v>200.1</v>
      </c>
    </row>
    <row r="851" spans="1:15" x14ac:dyDescent="0.35">
      <c r="A851" t="s">
        <v>1182</v>
      </c>
      <c r="B851" t="s">
        <v>1183</v>
      </c>
      <c r="C851" t="s">
        <v>1184</v>
      </c>
      <c r="D851" t="s">
        <v>314</v>
      </c>
      <c r="E851" t="s">
        <v>310</v>
      </c>
      <c r="F851" t="s">
        <v>1202</v>
      </c>
      <c r="G851">
        <v>108</v>
      </c>
      <c r="H851">
        <v>18387.29</v>
      </c>
      <c r="I851">
        <v>170.25</v>
      </c>
      <c r="J851">
        <v>25</v>
      </c>
      <c r="K851">
        <v>8118.45</v>
      </c>
      <c r="L851">
        <v>324.74</v>
      </c>
      <c r="M851">
        <v>133</v>
      </c>
      <c r="N851">
        <v>26505.74</v>
      </c>
      <c r="O851">
        <v>199.29</v>
      </c>
    </row>
    <row r="852" spans="1:15" x14ac:dyDescent="0.35">
      <c r="A852" t="s">
        <v>1182</v>
      </c>
      <c r="B852" t="s">
        <v>1183</v>
      </c>
      <c r="C852" t="s">
        <v>1184</v>
      </c>
      <c r="D852" t="s">
        <v>323</v>
      </c>
      <c r="E852" t="s">
        <v>294</v>
      </c>
      <c r="F852" t="s">
        <v>1203</v>
      </c>
      <c r="G852">
        <v>1881</v>
      </c>
      <c r="H852">
        <v>203453.16000000003</v>
      </c>
      <c r="I852">
        <v>108.16</v>
      </c>
      <c r="J852">
        <v>8</v>
      </c>
      <c r="K852">
        <v>857.76</v>
      </c>
      <c r="L852">
        <v>107.22</v>
      </c>
      <c r="M852">
        <v>1889</v>
      </c>
      <c r="N852">
        <v>204310.92000000004</v>
      </c>
      <c r="O852">
        <v>108.16</v>
      </c>
    </row>
    <row r="853" spans="1:15" x14ac:dyDescent="0.35">
      <c r="A853" t="s">
        <v>1182</v>
      </c>
      <c r="B853" t="s">
        <v>1183</v>
      </c>
      <c r="C853" t="s">
        <v>1184</v>
      </c>
      <c r="D853" t="s">
        <v>323</v>
      </c>
      <c r="E853" t="s">
        <v>296</v>
      </c>
      <c r="F853" t="s">
        <v>1204</v>
      </c>
      <c r="G853">
        <v>3411</v>
      </c>
      <c r="H853">
        <v>424460.82000000007</v>
      </c>
      <c r="I853">
        <v>124.44</v>
      </c>
      <c r="J853">
        <v>2</v>
      </c>
      <c r="K853">
        <v>287.14</v>
      </c>
      <c r="L853">
        <v>143.57</v>
      </c>
      <c r="M853">
        <v>3413</v>
      </c>
      <c r="N853">
        <v>424747.96000000008</v>
      </c>
      <c r="O853">
        <v>124.45</v>
      </c>
    </row>
    <row r="854" spans="1:15" x14ac:dyDescent="0.35">
      <c r="A854" t="s">
        <v>1182</v>
      </c>
      <c r="B854" t="s">
        <v>1183</v>
      </c>
      <c r="C854" t="s">
        <v>1184</v>
      </c>
      <c r="D854" t="s">
        <v>323</v>
      </c>
      <c r="E854" t="s">
        <v>298</v>
      </c>
      <c r="F854" t="s">
        <v>1205</v>
      </c>
      <c r="G854">
        <v>2863</v>
      </c>
      <c r="H854">
        <v>386321.88999999996</v>
      </c>
      <c r="I854">
        <v>134.94</v>
      </c>
      <c r="J854">
        <v>0</v>
      </c>
      <c r="K854">
        <v>0</v>
      </c>
      <c r="L854">
        <v>0</v>
      </c>
      <c r="M854">
        <v>2863</v>
      </c>
      <c r="N854">
        <v>386321.88999999996</v>
      </c>
      <c r="O854">
        <v>134.94</v>
      </c>
    </row>
    <row r="855" spans="1:15" x14ac:dyDescent="0.35">
      <c r="A855" t="s">
        <v>1182</v>
      </c>
      <c r="B855" t="s">
        <v>1183</v>
      </c>
      <c r="C855" t="s">
        <v>1184</v>
      </c>
      <c r="D855" t="s">
        <v>323</v>
      </c>
      <c r="E855" t="s">
        <v>300</v>
      </c>
      <c r="F855" t="s">
        <v>1206</v>
      </c>
      <c r="G855">
        <v>234</v>
      </c>
      <c r="H855">
        <v>34963.449999999997</v>
      </c>
      <c r="I855">
        <v>149.41999999999999</v>
      </c>
      <c r="J855">
        <v>0</v>
      </c>
      <c r="K855">
        <v>0</v>
      </c>
      <c r="L855">
        <v>0</v>
      </c>
      <c r="M855">
        <v>234</v>
      </c>
      <c r="N855">
        <v>34963.449999999997</v>
      </c>
      <c r="O855">
        <v>149.41999999999999</v>
      </c>
    </row>
    <row r="856" spans="1:15" x14ac:dyDescent="0.35">
      <c r="A856" t="s">
        <v>1182</v>
      </c>
      <c r="B856" t="s">
        <v>1183</v>
      </c>
      <c r="C856" t="s">
        <v>1184</v>
      </c>
      <c r="D856" t="s">
        <v>323</v>
      </c>
      <c r="E856" t="s">
        <v>302</v>
      </c>
      <c r="F856" t="s">
        <v>1207</v>
      </c>
      <c r="G856">
        <v>9</v>
      </c>
      <c r="H856">
        <v>1431.0400000000002</v>
      </c>
      <c r="I856">
        <v>159</v>
      </c>
      <c r="J856">
        <v>0</v>
      </c>
      <c r="K856">
        <v>0</v>
      </c>
      <c r="L856">
        <v>0</v>
      </c>
      <c r="M856">
        <v>9</v>
      </c>
      <c r="N856">
        <v>1431.0400000000002</v>
      </c>
      <c r="O856">
        <v>159</v>
      </c>
    </row>
    <row r="857" spans="1:15" x14ac:dyDescent="0.35">
      <c r="A857" t="s">
        <v>1182</v>
      </c>
      <c r="B857" t="s">
        <v>1183</v>
      </c>
      <c r="C857" t="s">
        <v>1184</v>
      </c>
      <c r="D857" t="s">
        <v>323</v>
      </c>
      <c r="E857" t="s">
        <v>304</v>
      </c>
      <c r="F857" t="s">
        <v>1208</v>
      </c>
      <c r="G857">
        <v>1</v>
      </c>
      <c r="H857">
        <v>171.25</v>
      </c>
      <c r="I857">
        <v>171.25</v>
      </c>
      <c r="J857">
        <v>0</v>
      </c>
      <c r="K857">
        <v>0</v>
      </c>
      <c r="L857">
        <v>0</v>
      </c>
      <c r="M857">
        <v>1</v>
      </c>
      <c r="N857">
        <v>171.25</v>
      </c>
      <c r="O857">
        <v>171.25</v>
      </c>
    </row>
    <row r="858" spans="1:15" x14ac:dyDescent="0.35">
      <c r="A858" t="s">
        <v>1182</v>
      </c>
      <c r="B858" t="s">
        <v>1183</v>
      </c>
      <c r="C858" t="s">
        <v>1184</v>
      </c>
      <c r="D858" t="s">
        <v>323</v>
      </c>
      <c r="E858" t="s">
        <v>306</v>
      </c>
      <c r="F858" t="s">
        <v>1209</v>
      </c>
      <c r="G858">
        <v>139</v>
      </c>
      <c r="H858">
        <v>12929.11</v>
      </c>
      <c r="I858">
        <v>93.02</v>
      </c>
      <c r="J858">
        <v>0</v>
      </c>
      <c r="K858">
        <v>0</v>
      </c>
      <c r="L858">
        <v>0</v>
      </c>
      <c r="M858">
        <v>139</v>
      </c>
      <c r="N858">
        <v>12929.11</v>
      </c>
      <c r="O858">
        <v>93.02</v>
      </c>
    </row>
    <row r="859" spans="1:15" x14ac:dyDescent="0.35">
      <c r="A859" t="s">
        <v>1182</v>
      </c>
      <c r="B859" t="s">
        <v>1183</v>
      </c>
      <c r="C859" t="s">
        <v>1184</v>
      </c>
      <c r="D859" t="s">
        <v>323</v>
      </c>
      <c r="E859" t="s">
        <v>308</v>
      </c>
      <c r="F859" t="s">
        <v>1210</v>
      </c>
      <c r="G859">
        <v>0</v>
      </c>
      <c r="H859">
        <v>0</v>
      </c>
      <c r="I859">
        <v>0</v>
      </c>
      <c r="J859">
        <v>0</v>
      </c>
      <c r="K859">
        <v>0</v>
      </c>
      <c r="L859">
        <v>0</v>
      </c>
      <c r="M859">
        <v>0</v>
      </c>
      <c r="N859">
        <v>0</v>
      </c>
      <c r="O859">
        <v>0</v>
      </c>
    </row>
    <row r="860" spans="1:15" x14ac:dyDescent="0.35">
      <c r="A860" t="s">
        <v>1182</v>
      </c>
      <c r="B860" t="s">
        <v>1183</v>
      </c>
      <c r="C860" t="s">
        <v>1184</v>
      </c>
      <c r="D860" t="s">
        <v>323</v>
      </c>
      <c r="E860" t="s">
        <v>310</v>
      </c>
      <c r="F860" t="s">
        <v>1211</v>
      </c>
      <c r="G860">
        <v>8538</v>
      </c>
      <c r="H860">
        <v>1063730.7200000002</v>
      </c>
      <c r="I860">
        <v>124.59</v>
      </c>
      <c r="J860">
        <v>10</v>
      </c>
      <c r="K860">
        <v>1144.9000000000001</v>
      </c>
      <c r="L860">
        <v>114.49</v>
      </c>
      <c r="M860">
        <v>8548</v>
      </c>
      <c r="N860">
        <v>1064875.6200000001</v>
      </c>
      <c r="O860">
        <v>124.58</v>
      </c>
    </row>
    <row r="861" spans="1:15" x14ac:dyDescent="0.35">
      <c r="A861" t="s">
        <v>1182</v>
      </c>
      <c r="B861" t="s">
        <v>1183</v>
      </c>
      <c r="C861" t="s">
        <v>1184</v>
      </c>
      <c r="D861" t="s">
        <v>323</v>
      </c>
      <c r="E861" t="s">
        <v>312</v>
      </c>
      <c r="F861" t="s">
        <v>1212</v>
      </c>
      <c r="G861">
        <v>8538</v>
      </c>
      <c r="H861">
        <v>1063730.7200000002</v>
      </c>
      <c r="I861">
        <v>124.59</v>
      </c>
      <c r="J861">
        <v>10</v>
      </c>
      <c r="K861">
        <v>1144.9000000000001</v>
      </c>
      <c r="L861">
        <v>114.49</v>
      </c>
      <c r="M861">
        <v>8548</v>
      </c>
      <c r="N861">
        <v>1064875.6200000001</v>
      </c>
      <c r="O861">
        <v>124.58</v>
      </c>
    </row>
    <row r="862" spans="1:15" x14ac:dyDescent="0.35">
      <c r="A862" t="s">
        <v>1182</v>
      </c>
      <c r="B862" t="s">
        <v>1183</v>
      </c>
      <c r="C862" t="s">
        <v>1184</v>
      </c>
      <c r="D862" t="s">
        <v>334</v>
      </c>
      <c r="E862" t="s">
        <v>312</v>
      </c>
      <c r="F862" t="s">
        <v>1213</v>
      </c>
      <c r="G862">
        <v>9324</v>
      </c>
      <c r="H862">
        <v>1184896.58</v>
      </c>
      <c r="I862">
        <v>128.33000000000001</v>
      </c>
      <c r="J862">
        <v>10</v>
      </c>
      <c r="K862">
        <v>1144.9000000000001</v>
      </c>
      <c r="L862">
        <v>114.49</v>
      </c>
      <c r="M862">
        <v>9334</v>
      </c>
      <c r="N862">
        <v>1186041.48</v>
      </c>
      <c r="O862">
        <v>128.32</v>
      </c>
    </row>
    <row r="863" spans="1:15" x14ac:dyDescent="0.35">
      <c r="A863" t="s">
        <v>1182</v>
      </c>
      <c r="B863" t="s">
        <v>1183</v>
      </c>
      <c r="C863" t="s">
        <v>1184</v>
      </c>
      <c r="D863" t="s">
        <v>334</v>
      </c>
      <c r="E863" t="s">
        <v>308</v>
      </c>
      <c r="F863" t="s">
        <v>1214</v>
      </c>
      <c r="G863">
        <v>0</v>
      </c>
      <c r="H863">
        <v>0</v>
      </c>
      <c r="I863">
        <v>0</v>
      </c>
      <c r="J863">
        <v>0</v>
      </c>
      <c r="K863">
        <v>0</v>
      </c>
      <c r="L863">
        <v>0</v>
      </c>
      <c r="M863">
        <v>0</v>
      </c>
      <c r="N863">
        <v>0</v>
      </c>
      <c r="O863">
        <v>0</v>
      </c>
    </row>
    <row r="864" spans="1:15" x14ac:dyDescent="0.35">
      <c r="A864" t="s">
        <v>1182</v>
      </c>
      <c r="B864" t="s">
        <v>1183</v>
      </c>
      <c r="C864" t="s">
        <v>1184</v>
      </c>
      <c r="D864" t="s">
        <v>337</v>
      </c>
      <c r="E864" t="s">
        <v>337</v>
      </c>
      <c r="F864" t="s">
        <v>1215</v>
      </c>
      <c r="G864">
        <v>828</v>
      </c>
      <c r="J864">
        <v>2</v>
      </c>
      <c r="M864">
        <v>830</v>
      </c>
    </row>
    <row r="865" spans="1:15" x14ac:dyDescent="0.35">
      <c r="A865" t="s">
        <v>1182</v>
      </c>
      <c r="B865" t="s">
        <v>1183</v>
      </c>
      <c r="C865" t="s">
        <v>1184</v>
      </c>
      <c r="D865" t="s">
        <v>339</v>
      </c>
      <c r="E865" t="s">
        <v>294</v>
      </c>
      <c r="F865" t="s">
        <v>1216</v>
      </c>
      <c r="G865">
        <v>1793</v>
      </c>
      <c r="H865">
        <v>210470.40999999997</v>
      </c>
      <c r="I865">
        <v>117.38</v>
      </c>
      <c r="J865">
        <v>0</v>
      </c>
      <c r="K865">
        <v>0</v>
      </c>
      <c r="L865">
        <v>0</v>
      </c>
      <c r="M865">
        <v>1793</v>
      </c>
      <c r="N865">
        <v>210470.40999999997</v>
      </c>
      <c r="O865">
        <v>117.38</v>
      </c>
    </row>
    <row r="866" spans="1:15" x14ac:dyDescent="0.35">
      <c r="A866" t="s">
        <v>1182</v>
      </c>
      <c r="B866" t="s">
        <v>1183</v>
      </c>
      <c r="C866" t="s">
        <v>1184</v>
      </c>
      <c r="D866" t="s">
        <v>339</v>
      </c>
      <c r="E866" t="s">
        <v>296</v>
      </c>
      <c r="F866" t="s">
        <v>1217</v>
      </c>
      <c r="G866">
        <v>271</v>
      </c>
      <c r="H866">
        <v>35889.74</v>
      </c>
      <c r="I866">
        <v>132.43</v>
      </c>
      <c r="J866">
        <v>0</v>
      </c>
      <c r="K866">
        <v>0</v>
      </c>
      <c r="L866">
        <v>0</v>
      </c>
      <c r="M866">
        <v>271</v>
      </c>
      <c r="N866">
        <v>35889.74</v>
      </c>
      <c r="O866">
        <v>132.43</v>
      </c>
    </row>
    <row r="867" spans="1:15" x14ac:dyDescent="0.35">
      <c r="A867" t="s">
        <v>1182</v>
      </c>
      <c r="B867" t="s">
        <v>1183</v>
      </c>
      <c r="C867" t="s">
        <v>1184</v>
      </c>
      <c r="D867" t="s">
        <v>339</v>
      </c>
      <c r="E867" t="s">
        <v>298</v>
      </c>
      <c r="F867" t="s">
        <v>1218</v>
      </c>
      <c r="G867">
        <v>3</v>
      </c>
      <c r="H867">
        <v>409.89</v>
      </c>
      <c r="I867">
        <v>136.63</v>
      </c>
      <c r="J867">
        <v>0</v>
      </c>
      <c r="K867">
        <v>0</v>
      </c>
      <c r="L867">
        <v>0</v>
      </c>
      <c r="M867">
        <v>3</v>
      </c>
      <c r="N867">
        <v>409.89</v>
      </c>
      <c r="O867">
        <v>136.63</v>
      </c>
    </row>
    <row r="868" spans="1:15" x14ac:dyDescent="0.35">
      <c r="A868" t="s">
        <v>1182</v>
      </c>
      <c r="B868" t="s">
        <v>1183</v>
      </c>
      <c r="C868" t="s">
        <v>1184</v>
      </c>
      <c r="D868" t="s">
        <v>339</v>
      </c>
      <c r="E868" t="s">
        <v>300</v>
      </c>
      <c r="F868" t="s">
        <v>1219</v>
      </c>
      <c r="G868">
        <v>4</v>
      </c>
      <c r="H868">
        <v>1176.1600000000001</v>
      </c>
      <c r="I868">
        <v>294.04000000000002</v>
      </c>
      <c r="J868">
        <v>0</v>
      </c>
      <c r="K868">
        <v>0</v>
      </c>
      <c r="L868">
        <v>0</v>
      </c>
      <c r="M868">
        <v>4</v>
      </c>
      <c r="N868">
        <v>1176.1600000000001</v>
      </c>
      <c r="O868">
        <v>294.04000000000002</v>
      </c>
    </row>
    <row r="869" spans="1:15" x14ac:dyDescent="0.35">
      <c r="A869" t="s">
        <v>1182</v>
      </c>
      <c r="B869" t="s">
        <v>1183</v>
      </c>
      <c r="C869" t="s">
        <v>1184</v>
      </c>
      <c r="D869" t="s">
        <v>339</v>
      </c>
      <c r="E869" t="s">
        <v>306</v>
      </c>
      <c r="F869" t="s">
        <v>1220</v>
      </c>
      <c r="G869">
        <v>4</v>
      </c>
      <c r="H869">
        <v>408.64</v>
      </c>
      <c r="I869">
        <v>102.16</v>
      </c>
      <c r="J869">
        <v>0</v>
      </c>
      <c r="K869">
        <v>0</v>
      </c>
      <c r="L869">
        <v>0</v>
      </c>
      <c r="M869">
        <v>4</v>
      </c>
      <c r="N869">
        <v>408.64</v>
      </c>
      <c r="O869">
        <v>102.16</v>
      </c>
    </row>
    <row r="870" spans="1:15" x14ac:dyDescent="0.35">
      <c r="A870" t="s">
        <v>1182</v>
      </c>
      <c r="B870" t="s">
        <v>1183</v>
      </c>
      <c r="C870" t="s">
        <v>1184</v>
      </c>
      <c r="D870" t="s">
        <v>339</v>
      </c>
      <c r="E870" t="s">
        <v>308</v>
      </c>
      <c r="F870" t="s">
        <v>1221</v>
      </c>
      <c r="G870">
        <v>149</v>
      </c>
      <c r="H870">
        <v>18152.88</v>
      </c>
      <c r="I870">
        <v>121.83</v>
      </c>
      <c r="J870">
        <v>0</v>
      </c>
      <c r="K870">
        <v>0</v>
      </c>
      <c r="L870">
        <v>0</v>
      </c>
      <c r="M870">
        <v>149</v>
      </c>
      <c r="N870">
        <v>18152.88</v>
      </c>
      <c r="O870">
        <v>121.83</v>
      </c>
    </row>
    <row r="871" spans="1:15" x14ac:dyDescent="0.35">
      <c r="A871" t="s">
        <v>1182</v>
      </c>
      <c r="B871" t="s">
        <v>1183</v>
      </c>
      <c r="C871" t="s">
        <v>1184</v>
      </c>
      <c r="D871" t="s">
        <v>339</v>
      </c>
      <c r="E871" t="s">
        <v>310</v>
      </c>
      <c r="F871" t="s">
        <v>1222</v>
      </c>
      <c r="G871">
        <v>2224</v>
      </c>
      <c r="H871">
        <v>266507.71999999997</v>
      </c>
      <c r="I871">
        <v>119.83</v>
      </c>
      <c r="J871">
        <v>0</v>
      </c>
      <c r="K871">
        <v>0</v>
      </c>
      <c r="L871">
        <v>0</v>
      </c>
      <c r="M871">
        <v>2224</v>
      </c>
      <c r="N871">
        <v>266507.71999999997</v>
      </c>
      <c r="O871">
        <v>119.83</v>
      </c>
    </row>
    <row r="872" spans="1:15" x14ac:dyDescent="0.35">
      <c r="A872" t="s">
        <v>1182</v>
      </c>
      <c r="B872" t="s">
        <v>1183</v>
      </c>
      <c r="C872" t="s">
        <v>1184</v>
      </c>
      <c r="D872" t="s">
        <v>339</v>
      </c>
      <c r="E872" t="s">
        <v>312</v>
      </c>
      <c r="F872" t="s">
        <v>1223</v>
      </c>
      <c r="G872">
        <v>2075</v>
      </c>
      <c r="H872">
        <v>248354.84</v>
      </c>
      <c r="I872">
        <v>119.69</v>
      </c>
      <c r="J872">
        <v>0</v>
      </c>
      <c r="K872">
        <v>0</v>
      </c>
      <c r="L872">
        <v>0</v>
      </c>
      <c r="M872">
        <v>2075</v>
      </c>
      <c r="N872">
        <v>248354.84</v>
      </c>
      <c r="O872">
        <v>119.69</v>
      </c>
    </row>
    <row r="873" spans="1:15" x14ac:dyDescent="0.35">
      <c r="A873" t="s">
        <v>1182</v>
      </c>
      <c r="B873" t="s">
        <v>1183</v>
      </c>
      <c r="C873" t="s">
        <v>1184</v>
      </c>
      <c r="D873" t="s">
        <v>348</v>
      </c>
      <c r="E873" t="s">
        <v>349</v>
      </c>
      <c r="F873" t="s">
        <v>1224</v>
      </c>
      <c r="G873">
        <v>2629</v>
      </c>
      <c r="H873">
        <v>284895.01</v>
      </c>
      <c r="I873">
        <v>122.17</v>
      </c>
      <c r="J873">
        <v>25</v>
      </c>
      <c r="K873">
        <v>8118.45</v>
      </c>
      <c r="L873">
        <v>324.74</v>
      </c>
      <c r="M873">
        <v>2654</v>
      </c>
      <c r="N873">
        <v>293013.46000000002</v>
      </c>
      <c r="O873">
        <v>124.32</v>
      </c>
    </row>
    <row r="874" spans="1:15" x14ac:dyDescent="0.35">
      <c r="A874" t="s">
        <v>1225</v>
      </c>
      <c r="B874" t="s">
        <v>1226</v>
      </c>
      <c r="C874" t="s">
        <v>1184</v>
      </c>
      <c r="D874" t="s">
        <v>293</v>
      </c>
      <c r="E874" t="s">
        <v>294</v>
      </c>
      <c r="F874" t="s">
        <v>1227</v>
      </c>
      <c r="G874">
        <v>416</v>
      </c>
      <c r="H874">
        <v>64730.630000000012</v>
      </c>
      <c r="I874">
        <v>155.6</v>
      </c>
      <c r="J874">
        <v>0</v>
      </c>
      <c r="K874">
        <v>0</v>
      </c>
      <c r="L874">
        <v>0</v>
      </c>
      <c r="M874">
        <v>416</v>
      </c>
      <c r="N874">
        <v>64730.630000000012</v>
      </c>
      <c r="O874">
        <v>155.6</v>
      </c>
    </row>
    <row r="875" spans="1:15" x14ac:dyDescent="0.35">
      <c r="A875" t="s">
        <v>1225</v>
      </c>
      <c r="B875" t="s">
        <v>1226</v>
      </c>
      <c r="C875" t="s">
        <v>1184</v>
      </c>
      <c r="D875" t="s">
        <v>293</v>
      </c>
      <c r="E875" t="s">
        <v>296</v>
      </c>
      <c r="F875" t="s">
        <v>1228</v>
      </c>
      <c r="G875">
        <v>667</v>
      </c>
      <c r="H875">
        <v>119585.08</v>
      </c>
      <c r="I875">
        <v>179.29</v>
      </c>
      <c r="J875">
        <v>0</v>
      </c>
      <c r="K875">
        <v>0</v>
      </c>
      <c r="L875">
        <v>0</v>
      </c>
      <c r="M875">
        <v>667</v>
      </c>
      <c r="N875">
        <v>119585.08</v>
      </c>
      <c r="O875">
        <v>179.29</v>
      </c>
    </row>
    <row r="876" spans="1:15" x14ac:dyDescent="0.35">
      <c r="A876" t="s">
        <v>1225</v>
      </c>
      <c r="B876" t="s">
        <v>1226</v>
      </c>
      <c r="C876" t="s">
        <v>1184</v>
      </c>
      <c r="D876" t="s">
        <v>293</v>
      </c>
      <c r="E876" t="s">
        <v>298</v>
      </c>
      <c r="F876" t="s">
        <v>1229</v>
      </c>
      <c r="G876">
        <v>292</v>
      </c>
      <c r="H876">
        <v>59897.170000000006</v>
      </c>
      <c r="I876">
        <v>205.13</v>
      </c>
      <c r="J876">
        <v>0</v>
      </c>
      <c r="K876">
        <v>0</v>
      </c>
      <c r="L876">
        <v>0</v>
      </c>
      <c r="M876">
        <v>292</v>
      </c>
      <c r="N876">
        <v>59897.170000000006</v>
      </c>
      <c r="O876">
        <v>205.13</v>
      </c>
    </row>
    <row r="877" spans="1:15" x14ac:dyDescent="0.35">
      <c r="A877" t="s">
        <v>1225</v>
      </c>
      <c r="B877" t="s">
        <v>1226</v>
      </c>
      <c r="C877" t="s">
        <v>1184</v>
      </c>
      <c r="D877" t="s">
        <v>293</v>
      </c>
      <c r="E877" t="s">
        <v>300</v>
      </c>
      <c r="F877" t="s">
        <v>1230</v>
      </c>
      <c r="G877">
        <v>21</v>
      </c>
      <c r="H877">
        <v>5246.43</v>
      </c>
      <c r="I877">
        <v>249.83</v>
      </c>
      <c r="J877">
        <v>0</v>
      </c>
      <c r="K877">
        <v>0</v>
      </c>
      <c r="L877">
        <v>0</v>
      </c>
      <c r="M877">
        <v>21</v>
      </c>
      <c r="N877">
        <v>5246.43</v>
      </c>
      <c r="O877">
        <v>249.83</v>
      </c>
    </row>
    <row r="878" spans="1:15" x14ac:dyDescent="0.35">
      <c r="A878" t="s">
        <v>1225</v>
      </c>
      <c r="B878" t="s">
        <v>1226</v>
      </c>
      <c r="C878" t="s">
        <v>1184</v>
      </c>
      <c r="D878" t="s">
        <v>293</v>
      </c>
      <c r="E878" t="s">
        <v>302</v>
      </c>
      <c r="F878" t="s">
        <v>1231</v>
      </c>
      <c r="G878">
        <v>0</v>
      </c>
      <c r="H878">
        <v>0</v>
      </c>
      <c r="I878">
        <v>0</v>
      </c>
      <c r="J878">
        <v>0</v>
      </c>
      <c r="K878">
        <v>0</v>
      </c>
      <c r="L878">
        <v>0</v>
      </c>
      <c r="M878">
        <v>0</v>
      </c>
      <c r="N878">
        <v>0</v>
      </c>
      <c r="O878">
        <v>0</v>
      </c>
    </row>
    <row r="879" spans="1:15" x14ac:dyDescent="0.35">
      <c r="A879" t="s">
        <v>1225</v>
      </c>
      <c r="B879" t="s">
        <v>1226</v>
      </c>
      <c r="C879" t="s">
        <v>1184</v>
      </c>
      <c r="D879" t="s">
        <v>293</v>
      </c>
      <c r="E879" t="s">
        <v>304</v>
      </c>
      <c r="F879" t="s">
        <v>1232</v>
      </c>
      <c r="G879">
        <v>0</v>
      </c>
      <c r="H879">
        <v>0</v>
      </c>
      <c r="I879">
        <v>0</v>
      </c>
      <c r="J879">
        <v>0</v>
      </c>
      <c r="K879">
        <v>0</v>
      </c>
      <c r="L879">
        <v>0</v>
      </c>
      <c r="M879">
        <v>0</v>
      </c>
      <c r="N879">
        <v>0</v>
      </c>
      <c r="O879">
        <v>0</v>
      </c>
    </row>
    <row r="880" spans="1:15" x14ac:dyDescent="0.35">
      <c r="A880" t="s">
        <v>1225</v>
      </c>
      <c r="B880" t="s">
        <v>1226</v>
      </c>
      <c r="C880" t="s">
        <v>1184</v>
      </c>
      <c r="D880" t="s">
        <v>293</v>
      </c>
      <c r="E880" t="s">
        <v>306</v>
      </c>
      <c r="F880" t="s">
        <v>1233</v>
      </c>
      <c r="G880">
        <v>7</v>
      </c>
      <c r="H880">
        <v>950.03</v>
      </c>
      <c r="I880">
        <v>135.72</v>
      </c>
      <c r="J880">
        <v>0</v>
      </c>
      <c r="K880">
        <v>0</v>
      </c>
      <c r="L880">
        <v>0</v>
      </c>
      <c r="M880">
        <v>7</v>
      </c>
      <c r="N880">
        <v>950.03</v>
      </c>
      <c r="O880">
        <v>135.72</v>
      </c>
    </row>
    <row r="881" spans="1:15" x14ac:dyDescent="0.35">
      <c r="A881" t="s">
        <v>1225</v>
      </c>
      <c r="B881" t="s">
        <v>1226</v>
      </c>
      <c r="C881" t="s">
        <v>1184</v>
      </c>
      <c r="D881" t="s">
        <v>293</v>
      </c>
      <c r="E881" t="s">
        <v>308</v>
      </c>
      <c r="F881" t="s">
        <v>1234</v>
      </c>
      <c r="G881">
        <v>0</v>
      </c>
      <c r="H881">
        <v>0</v>
      </c>
      <c r="I881">
        <v>0</v>
      </c>
      <c r="J881">
        <v>0</v>
      </c>
      <c r="K881">
        <v>0</v>
      </c>
      <c r="L881">
        <v>0</v>
      </c>
      <c r="M881">
        <v>0</v>
      </c>
      <c r="N881">
        <v>0</v>
      </c>
      <c r="O881">
        <v>0</v>
      </c>
    </row>
    <row r="882" spans="1:15" x14ac:dyDescent="0.35">
      <c r="A882" t="s">
        <v>1225</v>
      </c>
      <c r="B882" t="s">
        <v>1226</v>
      </c>
      <c r="C882" t="s">
        <v>1184</v>
      </c>
      <c r="D882" t="s">
        <v>293</v>
      </c>
      <c r="E882" t="s">
        <v>310</v>
      </c>
      <c r="F882" t="s">
        <v>1235</v>
      </c>
      <c r="G882">
        <v>1403</v>
      </c>
      <c r="H882">
        <v>250409.34000000003</v>
      </c>
      <c r="I882">
        <v>178.48</v>
      </c>
      <c r="J882">
        <v>0</v>
      </c>
      <c r="K882">
        <v>0</v>
      </c>
      <c r="L882">
        <v>0</v>
      </c>
      <c r="M882">
        <v>1403</v>
      </c>
      <c r="N882">
        <v>250409.34000000003</v>
      </c>
      <c r="O882">
        <v>178.48</v>
      </c>
    </row>
    <row r="883" spans="1:15" x14ac:dyDescent="0.35">
      <c r="A883" t="s">
        <v>1225</v>
      </c>
      <c r="B883" t="s">
        <v>1226</v>
      </c>
      <c r="C883" t="s">
        <v>1184</v>
      </c>
      <c r="D883" t="s">
        <v>293</v>
      </c>
      <c r="E883" t="s">
        <v>312</v>
      </c>
      <c r="F883" t="s">
        <v>1236</v>
      </c>
      <c r="G883">
        <v>1403</v>
      </c>
      <c r="H883">
        <v>250409.34000000003</v>
      </c>
      <c r="I883">
        <v>178.48</v>
      </c>
      <c r="J883">
        <v>0</v>
      </c>
      <c r="K883">
        <v>0</v>
      </c>
      <c r="L883">
        <v>0</v>
      </c>
      <c r="M883">
        <v>1403</v>
      </c>
      <c r="N883">
        <v>250409.34000000003</v>
      </c>
      <c r="O883">
        <v>178.48</v>
      </c>
    </row>
    <row r="884" spans="1:15" x14ac:dyDescent="0.35">
      <c r="A884" t="s">
        <v>1225</v>
      </c>
      <c r="B884" t="s">
        <v>1226</v>
      </c>
      <c r="C884" t="s">
        <v>1184</v>
      </c>
      <c r="D884" t="s">
        <v>314</v>
      </c>
      <c r="E884" t="s">
        <v>294</v>
      </c>
      <c r="F884" t="s">
        <v>1237</v>
      </c>
      <c r="G884">
        <v>65</v>
      </c>
      <c r="H884">
        <v>10496.56</v>
      </c>
      <c r="I884">
        <v>161.49</v>
      </c>
      <c r="J884">
        <v>0</v>
      </c>
      <c r="K884">
        <v>0</v>
      </c>
      <c r="L884">
        <v>0</v>
      </c>
      <c r="M884">
        <v>65</v>
      </c>
      <c r="N884">
        <v>10496.56</v>
      </c>
      <c r="O884">
        <v>161.49</v>
      </c>
    </row>
    <row r="885" spans="1:15" x14ac:dyDescent="0.35">
      <c r="A885" t="s">
        <v>1225</v>
      </c>
      <c r="B885" t="s">
        <v>1226</v>
      </c>
      <c r="C885" t="s">
        <v>1184</v>
      </c>
      <c r="D885" t="s">
        <v>314</v>
      </c>
      <c r="E885" t="s">
        <v>296</v>
      </c>
      <c r="F885" t="s">
        <v>1238</v>
      </c>
      <c r="G885">
        <v>31</v>
      </c>
      <c r="H885">
        <v>6253.38</v>
      </c>
      <c r="I885">
        <v>201.72</v>
      </c>
      <c r="J885">
        <v>0</v>
      </c>
      <c r="K885">
        <v>0</v>
      </c>
      <c r="L885">
        <v>0</v>
      </c>
      <c r="M885">
        <v>31</v>
      </c>
      <c r="N885">
        <v>6253.38</v>
      </c>
      <c r="O885">
        <v>201.72</v>
      </c>
    </row>
    <row r="886" spans="1:15" x14ac:dyDescent="0.35">
      <c r="A886" t="s">
        <v>1225</v>
      </c>
      <c r="B886" t="s">
        <v>1226</v>
      </c>
      <c r="C886" t="s">
        <v>1184</v>
      </c>
      <c r="D886" t="s">
        <v>314</v>
      </c>
      <c r="E886" t="s">
        <v>298</v>
      </c>
      <c r="F886" t="s">
        <v>1239</v>
      </c>
      <c r="G886">
        <v>15</v>
      </c>
      <c r="H886">
        <v>4351.3499999999995</v>
      </c>
      <c r="I886">
        <v>290.08999999999997</v>
      </c>
      <c r="J886">
        <v>0</v>
      </c>
      <c r="K886">
        <v>0</v>
      </c>
      <c r="L886">
        <v>0</v>
      </c>
      <c r="M886">
        <v>15</v>
      </c>
      <c r="N886">
        <v>4351.3499999999995</v>
      </c>
      <c r="O886">
        <v>290.08999999999997</v>
      </c>
    </row>
    <row r="887" spans="1:15" x14ac:dyDescent="0.35">
      <c r="A887" t="s">
        <v>1225</v>
      </c>
      <c r="B887" t="s">
        <v>1226</v>
      </c>
      <c r="C887" t="s">
        <v>1184</v>
      </c>
      <c r="D887" t="s">
        <v>314</v>
      </c>
      <c r="E887" t="s">
        <v>300</v>
      </c>
      <c r="F887" t="s">
        <v>1240</v>
      </c>
      <c r="G887">
        <v>3</v>
      </c>
      <c r="H887">
        <v>1039.47</v>
      </c>
      <c r="I887">
        <v>346.49</v>
      </c>
      <c r="J887">
        <v>0</v>
      </c>
      <c r="K887">
        <v>0</v>
      </c>
      <c r="L887">
        <v>0</v>
      </c>
      <c r="M887">
        <v>3</v>
      </c>
      <c r="N887">
        <v>1039.47</v>
      </c>
      <c r="O887">
        <v>346.49</v>
      </c>
    </row>
    <row r="888" spans="1:15" x14ac:dyDescent="0.35">
      <c r="A888" t="s">
        <v>1225</v>
      </c>
      <c r="B888" t="s">
        <v>1226</v>
      </c>
      <c r="C888" t="s">
        <v>1184</v>
      </c>
      <c r="D888" t="s">
        <v>314</v>
      </c>
      <c r="E888" t="s">
        <v>306</v>
      </c>
      <c r="F888" t="s">
        <v>1241</v>
      </c>
      <c r="G888">
        <v>2</v>
      </c>
      <c r="H888">
        <v>291.22000000000003</v>
      </c>
      <c r="I888">
        <v>145.61000000000001</v>
      </c>
      <c r="J888">
        <v>0</v>
      </c>
      <c r="K888">
        <v>0</v>
      </c>
      <c r="L888">
        <v>0</v>
      </c>
      <c r="M888">
        <v>2</v>
      </c>
      <c r="N888">
        <v>291.22000000000003</v>
      </c>
      <c r="O888">
        <v>145.61000000000001</v>
      </c>
    </row>
    <row r="889" spans="1:15" x14ac:dyDescent="0.35">
      <c r="A889" t="s">
        <v>1225</v>
      </c>
      <c r="B889" t="s">
        <v>1226</v>
      </c>
      <c r="C889" t="s">
        <v>1184</v>
      </c>
      <c r="D889" t="s">
        <v>314</v>
      </c>
      <c r="E889" t="s">
        <v>308</v>
      </c>
      <c r="F889" t="s">
        <v>1242</v>
      </c>
      <c r="G889">
        <v>9</v>
      </c>
      <c r="H889">
        <v>1028.07</v>
      </c>
      <c r="I889">
        <v>114.23</v>
      </c>
      <c r="J889">
        <v>0</v>
      </c>
      <c r="K889">
        <v>0</v>
      </c>
      <c r="L889">
        <v>0</v>
      </c>
      <c r="M889">
        <v>9</v>
      </c>
      <c r="N889">
        <v>1028.07</v>
      </c>
      <c r="O889">
        <v>114.23</v>
      </c>
    </row>
    <row r="890" spans="1:15" x14ac:dyDescent="0.35">
      <c r="A890" t="s">
        <v>1225</v>
      </c>
      <c r="B890" t="s">
        <v>1226</v>
      </c>
      <c r="C890" t="s">
        <v>1184</v>
      </c>
      <c r="D890" t="s">
        <v>314</v>
      </c>
      <c r="E890" t="s">
        <v>312</v>
      </c>
      <c r="F890" t="s">
        <v>1243</v>
      </c>
      <c r="G890">
        <v>116</v>
      </c>
      <c r="H890">
        <v>22431.98</v>
      </c>
      <c r="I890">
        <v>193.38</v>
      </c>
      <c r="J890">
        <v>0</v>
      </c>
      <c r="K890">
        <v>0</v>
      </c>
      <c r="L890">
        <v>0</v>
      </c>
      <c r="M890">
        <v>116</v>
      </c>
      <c r="N890">
        <v>22431.98</v>
      </c>
      <c r="O890">
        <v>193.38</v>
      </c>
    </row>
    <row r="891" spans="1:15" x14ac:dyDescent="0.35">
      <c r="A891" t="s">
        <v>1225</v>
      </c>
      <c r="B891" t="s">
        <v>1226</v>
      </c>
      <c r="C891" t="s">
        <v>1184</v>
      </c>
      <c r="D891" t="s">
        <v>314</v>
      </c>
      <c r="E891" t="s">
        <v>310</v>
      </c>
      <c r="F891" t="s">
        <v>1244</v>
      </c>
      <c r="G891">
        <v>125</v>
      </c>
      <c r="H891">
        <v>23460.05</v>
      </c>
      <c r="I891">
        <v>187.68</v>
      </c>
      <c r="J891">
        <v>0</v>
      </c>
      <c r="K891">
        <v>0</v>
      </c>
      <c r="L891">
        <v>0</v>
      </c>
      <c r="M891">
        <v>125</v>
      </c>
      <c r="N891">
        <v>23460.05</v>
      </c>
      <c r="O891">
        <v>187.68</v>
      </c>
    </row>
    <row r="892" spans="1:15" x14ac:dyDescent="0.35">
      <c r="A892" t="s">
        <v>1225</v>
      </c>
      <c r="B892" t="s">
        <v>1226</v>
      </c>
      <c r="C892" t="s">
        <v>1184</v>
      </c>
      <c r="D892" t="s">
        <v>323</v>
      </c>
      <c r="E892" t="s">
        <v>294</v>
      </c>
      <c r="F892" t="s">
        <v>1245</v>
      </c>
      <c r="G892">
        <v>2309</v>
      </c>
      <c r="H892">
        <v>240847.38</v>
      </c>
      <c r="I892">
        <v>104.31</v>
      </c>
      <c r="J892">
        <v>5890</v>
      </c>
      <c r="K892">
        <v>507482.39999999997</v>
      </c>
      <c r="L892">
        <v>86.16</v>
      </c>
      <c r="M892">
        <v>8199</v>
      </c>
      <c r="N892">
        <v>748329.78</v>
      </c>
      <c r="O892">
        <v>91.27</v>
      </c>
    </row>
    <row r="893" spans="1:15" x14ac:dyDescent="0.35">
      <c r="A893" t="s">
        <v>1225</v>
      </c>
      <c r="B893" t="s">
        <v>1226</v>
      </c>
      <c r="C893" t="s">
        <v>1184</v>
      </c>
      <c r="D893" t="s">
        <v>323</v>
      </c>
      <c r="E893" t="s">
        <v>296</v>
      </c>
      <c r="F893" t="s">
        <v>1246</v>
      </c>
      <c r="G893">
        <v>3021</v>
      </c>
      <c r="H893">
        <v>370323.72</v>
      </c>
      <c r="I893">
        <v>122.58</v>
      </c>
      <c r="J893">
        <v>10121</v>
      </c>
      <c r="K893">
        <v>971008.74</v>
      </c>
      <c r="L893">
        <v>95.94</v>
      </c>
      <c r="M893">
        <v>13142</v>
      </c>
      <c r="N893">
        <v>1341332.46</v>
      </c>
      <c r="O893">
        <v>102.06</v>
      </c>
    </row>
    <row r="894" spans="1:15" x14ac:dyDescent="0.35">
      <c r="A894" t="s">
        <v>1225</v>
      </c>
      <c r="B894" t="s">
        <v>1226</v>
      </c>
      <c r="C894" t="s">
        <v>1184</v>
      </c>
      <c r="D894" t="s">
        <v>323</v>
      </c>
      <c r="E894" t="s">
        <v>298</v>
      </c>
      <c r="F894" t="s">
        <v>1247</v>
      </c>
      <c r="G894">
        <v>1864</v>
      </c>
      <c r="H894">
        <v>252563.24000000002</v>
      </c>
      <c r="I894">
        <v>135.5</v>
      </c>
      <c r="J894">
        <v>9027</v>
      </c>
      <c r="K894">
        <v>1000642.95</v>
      </c>
      <c r="L894">
        <v>110.85</v>
      </c>
      <c r="M894">
        <v>10891</v>
      </c>
      <c r="N894">
        <v>1253206.19</v>
      </c>
      <c r="O894">
        <v>115.07</v>
      </c>
    </row>
    <row r="895" spans="1:15" x14ac:dyDescent="0.35">
      <c r="A895" t="s">
        <v>1225</v>
      </c>
      <c r="B895" t="s">
        <v>1226</v>
      </c>
      <c r="C895" t="s">
        <v>1184</v>
      </c>
      <c r="D895" t="s">
        <v>323</v>
      </c>
      <c r="E895" t="s">
        <v>300</v>
      </c>
      <c r="F895" t="s">
        <v>1248</v>
      </c>
      <c r="G895">
        <v>394</v>
      </c>
      <c r="H895">
        <v>60294.609999999993</v>
      </c>
      <c r="I895">
        <v>153.03</v>
      </c>
      <c r="J895">
        <v>401</v>
      </c>
      <c r="K895">
        <v>48280.4</v>
      </c>
      <c r="L895">
        <v>120.4</v>
      </c>
      <c r="M895">
        <v>795</v>
      </c>
      <c r="N895">
        <v>108575.01</v>
      </c>
      <c r="O895">
        <v>136.57</v>
      </c>
    </row>
    <row r="896" spans="1:15" x14ac:dyDescent="0.35">
      <c r="A896" t="s">
        <v>1225</v>
      </c>
      <c r="B896" t="s">
        <v>1226</v>
      </c>
      <c r="C896" t="s">
        <v>1184</v>
      </c>
      <c r="D896" t="s">
        <v>323</v>
      </c>
      <c r="E896" t="s">
        <v>302</v>
      </c>
      <c r="F896" t="s">
        <v>1249</v>
      </c>
      <c r="G896">
        <v>22</v>
      </c>
      <c r="H896">
        <v>3551.7799999999997</v>
      </c>
      <c r="I896">
        <v>161.44</v>
      </c>
      <c r="J896">
        <v>22</v>
      </c>
      <c r="K896">
        <v>2893.8799999999997</v>
      </c>
      <c r="L896">
        <v>131.54</v>
      </c>
      <c r="M896">
        <v>44</v>
      </c>
      <c r="N896">
        <v>6445.66</v>
      </c>
      <c r="O896">
        <v>146.49</v>
      </c>
    </row>
    <row r="897" spans="1:15" x14ac:dyDescent="0.35">
      <c r="A897" t="s">
        <v>1225</v>
      </c>
      <c r="B897" t="s">
        <v>1226</v>
      </c>
      <c r="C897" t="s">
        <v>1184</v>
      </c>
      <c r="D897" t="s">
        <v>323</v>
      </c>
      <c r="E897" t="s">
        <v>304</v>
      </c>
      <c r="F897" t="s">
        <v>1250</v>
      </c>
      <c r="G897">
        <v>5</v>
      </c>
      <c r="H897">
        <v>819.44</v>
      </c>
      <c r="I897">
        <v>163.89</v>
      </c>
      <c r="J897">
        <v>8</v>
      </c>
      <c r="K897">
        <v>1109.5999999999999</v>
      </c>
      <c r="L897">
        <v>138.69999999999999</v>
      </c>
      <c r="M897">
        <v>13</v>
      </c>
      <c r="N897">
        <v>1929.04</v>
      </c>
      <c r="O897">
        <v>148.38999999999999</v>
      </c>
    </row>
    <row r="898" spans="1:15" x14ac:dyDescent="0.35">
      <c r="A898" t="s">
        <v>1225</v>
      </c>
      <c r="B898" t="s">
        <v>1226</v>
      </c>
      <c r="C898" t="s">
        <v>1184</v>
      </c>
      <c r="D898" t="s">
        <v>323</v>
      </c>
      <c r="E898" t="s">
        <v>306</v>
      </c>
      <c r="F898" t="s">
        <v>1251</v>
      </c>
      <c r="G898">
        <v>96</v>
      </c>
      <c r="H898">
        <v>8696.7000000000007</v>
      </c>
      <c r="I898">
        <v>90.59</v>
      </c>
      <c r="J898">
        <v>318</v>
      </c>
      <c r="K898">
        <v>24520.98</v>
      </c>
      <c r="L898">
        <v>77.11</v>
      </c>
      <c r="M898">
        <v>414</v>
      </c>
      <c r="N898">
        <v>33217.68</v>
      </c>
      <c r="O898">
        <v>80.239999999999995</v>
      </c>
    </row>
    <row r="899" spans="1:15" x14ac:dyDescent="0.35">
      <c r="A899" t="s">
        <v>1225</v>
      </c>
      <c r="B899" t="s">
        <v>1226</v>
      </c>
      <c r="C899" t="s">
        <v>1184</v>
      </c>
      <c r="D899" t="s">
        <v>323</v>
      </c>
      <c r="E899" t="s">
        <v>308</v>
      </c>
      <c r="F899" t="s">
        <v>1252</v>
      </c>
      <c r="G899">
        <v>0</v>
      </c>
      <c r="H899">
        <v>0</v>
      </c>
      <c r="I899">
        <v>0</v>
      </c>
      <c r="J899">
        <v>0</v>
      </c>
      <c r="K899">
        <v>0</v>
      </c>
      <c r="L899">
        <v>0</v>
      </c>
      <c r="M899">
        <v>0</v>
      </c>
      <c r="N899">
        <v>0</v>
      </c>
      <c r="O899">
        <v>0</v>
      </c>
    </row>
    <row r="900" spans="1:15" x14ac:dyDescent="0.35">
      <c r="A900" t="s">
        <v>1225</v>
      </c>
      <c r="B900" t="s">
        <v>1226</v>
      </c>
      <c r="C900" t="s">
        <v>1184</v>
      </c>
      <c r="D900" t="s">
        <v>323</v>
      </c>
      <c r="E900" t="s">
        <v>310</v>
      </c>
      <c r="F900" t="s">
        <v>1253</v>
      </c>
      <c r="G900">
        <v>7711</v>
      </c>
      <c r="H900">
        <v>937096.86999999988</v>
      </c>
      <c r="I900">
        <v>121.53</v>
      </c>
      <c r="J900">
        <v>25787</v>
      </c>
      <c r="K900">
        <v>2555938.9499999997</v>
      </c>
      <c r="L900">
        <v>99.12</v>
      </c>
      <c r="M900">
        <v>33498</v>
      </c>
      <c r="N900">
        <v>3493035.8199999994</v>
      </c>
      <c r="O900">
        <v>104.28</v>
      </c>
    </row>
    <row r="901" spans="1:15" x14ac:dyDescent="0.35">
      <c r="A901" t="s">
        <v>1225</v>
      </c>
      <c r="B901" t="s">
        <v>1226</v>
      </c>
      <c r="C901" t="s">
        <v>1184</v>
      </c>
      <c r="D901" t="s">
        <v>323</v>
      </c>
      <c r="E901" t="s">
        <v>312</v>
      </c>
      <c r="F901" t="s">
        <v>1254</v>
      </c>
      <c r="G901">
        <v>7711</v>
      </c>
      <c r="H901">
        <v>937096.86999999988</v>
      </c>
      <c r="I901">
        <v>121.53</v>
      </c>
      <c r="J901">
        <v>25787</v>
      </c>
      <c r="K901">
        <v>2555938.9499999997</v>
      </c>
      <c r="L901">
        <v>99.12</v>
      </c>
      <c r="M901">
        <v>33498</v>
      </c>
      <c r="N901">
        <v>3493035.8199999994</v>
      </c>
      <c r="O901">
        <v>104.28</v>
      </c>
    </row>
    <row r="902" spans="1:15" x14ac:dyDescent="0.35">
      <c r="A902" t="s">
        <v>1225</v>
      </c>
      <c r="B902" t="s">
        <v>1226</v>
      </c>
      <c r="C902" t="s">
        <v>1184</v>
      </c>
      <c r="D902" t="s">
        <v>334</v>
      </c>
      <c r="E902" t="s">
        <v>312</v>
      </c>
      <c r="F902" t="s">
        <v>1255</v>
      </c>
      <c r="G902">
        <v>9660</v>
      </c>
      <c r="H902">
        <v>1187506.21</v>
      </c>
      <c r="I902">
        <v>130.29</v>
      </c>
      <c r="J902">
        <v>25787</v>
      </c>
      <c r="K902">
        <v>2555938.9499999997</v>
      </c>
      <c r="L902">
        <v>99.12</v>
      </c>
      <c r="M902">
        <v>35447</v>
      </c>
      <c r="N902">
        <v>3743445.1599999997</v>
      </c>
      <c r="O902">
        <v>107.26</v>
      </c>
    </row>
    <row r="903" spans="1:15" x14ac:dyDescent="0.35">
      <c r="A903" t="s">
        <v>1225</v>
      </c>
      <c r="B903" t="s">
        <v>1226</v>
      </c>
      <c r="C903" t="s">
        <v>1184</v>
      </c>
      <c r="D903" t="s">
        <v>334</v>
      </c>
      <c r="E903" t="s">
        <v>308</v>
      </c>
      <c r="F903" t="s">
        <v>1256</v>
      </c>
      <c r="G903">
        <v>215</v>
      </c>
      <c r="H903">
        <v>0</v>
      </c>
      <c r="I903">
        <v>0</v>
      </c>
      <c r="J903">
        <v>0</v>
      </c>
      <c r="K903">
        <v>0</v>
      </c>
      <c r="L903">
        <v>0</v>
      </c>
      <c r="M903">
        <v>215</v>
      </c>
      <c r="N903">
        <v>0</v>
      </c>
      <c r="O903">
        <v>0</v>
      </c>
    </row>
    <row r="904" spans="1:15" x14ac:dyDescent="0.35">
      <c r="A904" t="s">
        <v>1225</v>
      </c>
      <c r="B904" t="s">
        <v>1226</v>
      </c>
      <c r="C904" t="s">
        <v>1184</v>
      </c>
      <c r="D904" t="s">
        <v>337</v>
      </c>
      <c r="E904" t="s">
        <v>337</v>
      </c>
      <c r="F904" t="s">
        <v>1257</v>
      </c>
      <c r="G904">
        <v>1805</v>
      </c>
      <c r="J904">
        <v>31</v>
      </c>
      <c r="M904">
        <v>1836</v>
      </c>
    </row>
    <row r="905" spans="1:15" x14ac:dyDescent="0.35">
      <c r="A905" t="s">
        <v>1225</v>
      </c>
      <c r="B905" t="s">
        <v>1226</v>
      </c>
      <c r="C905" t="s">
        <v>1184</v>
      </c>
      <c r="D905" t="s">
        <v>339</v>
      </c>
      <c r="E905" t="s">
        <v>294</v>
      </c>
      <c r="F905" t="s">
        <v>1258</v>
      </c>
      <c r="G905">
        <v>1894</v>
      </c>
      <c r="H905">
        <v>216592.62999999998</v>
      </c>
      <c r="I905">
        <v>114.36</v>
      </c>
      <c r="J905">
        <v>747</v>
      </c>
      <c r="K905">
        <v>67342.05</v>
      </c>
      <c r="L905">
        <v>90.15</v>
      </c>
      <c r="M905">
        <v>2641</v>
      </c>
      <c r="N905">
        <v>283934.68</v>
      </c>
      <c r="O905">
        <v>107.51</v>
      </c>
    </row>
    <row r="906" spans="1:15" x14ac:dyDescent="0.35">
      <c r="A906" t="s">
        <v>1225</v>
      </c>
      <c r="B906" t="s">
        <v>1226</v>
      </c>
      <c r="C906" t="s">
        <v>1184</v>
      </c>
      <c r="D906" t="s">
        <v>339</v>
      </c>
      <c r="E906" t="s">
        <v>296</v>
      </c>
      <c r="F906" t="s">
        <v>1259</v>
      </c>
      <c r="G906">
        <v>360</v>
      </c>
      <c r="H906">
        <v>47551.79</v>
      </c>
      <c r="I906">
        <v>132.09</v>
      </c>
      <c r="J906">
        <v>182</v>
      </c>
      <c r="K906">
        <v>17446.52</v>
      </c>
      <c r="L906">
        <v>95.86</v>
      </c>
      <c r="M906">
        <v>542</v>
      </c>
      <c r="N906">
        <v>64998.31</v>
      </c>
      <c r="O906">
        <v>119.92</v>
      </c>
    </row>
    <row r="907" spans="1:15" x14ac:dyDescent="0.35">
      <c r="A907" t="s">
        <v>1225</v>
      </c>
      <c r="B907" t="s">
        <v>1226</v>
      </c>
      <c r="C907" t="s">
        <v>1184</v>
      </c>
      <c r="D907" t="s">
        <v>339</v>
      </c>
      <c r="E907" t="s">
        <v>298</v>
      </c>
      <c r="F907" t="s">
        <v>1260</v>
      </c>
      <c r="G907">
        <v>9</v>
      </c>
      <c r="H907">
        <v>1375.3899999999999</v>
      </c>
      <c r="I907">
        <v>152.82</v>
      </c>
      <c r="J907">
        <v>7</v>
      </c>
      <c r="K907">
        <v>792.19</v>
      </c>
      <c r="L907">
        <v>113.17</v>
      </c>
      <c r="M907">
        <v>16</v>
      </c>
      <c r="N907">
        <v>2167.58</v>
      </c>
      <c r="O907">
        <v>135.47</v>
      </c>
    </row>
    <row r="908" spans="1:15" x14ac:dyDescent="0.35">
      <c r="A908" t="s">
        <v>1225</v>
      </c>
      <c r="B908" t="s">
        <v>1226</v>
      </c>
      <c r="C908" t="s">
        <v>1184</v>
      </c>
      <c r="D908" t="s">
        <v>339</v>
      </c>
      <c r="E908" t="s">
        <v>300</v>
      </c>
      <c r="F908" t="s">
        <v>1261</v>
      </c>
      <c r="G908">
        <v>1</v>
      </c>
      <c r="H908">
        <v>137.5</v>
      </c>
      <c r="I908">
        <v>137.5</v>
      </c>
      <c r="J908">
        <v>0</v>
      </c>
      <c r="K908">
        <v>0</v>
      </c>
      <c r="L908">
        <v>0</v>
      </c>
      <c r="M908">
        <v>1</v>
      </c>
      <c r="N908">
        <v>137.5</v>
      </c>
      <c r="O908">
        <v>137.5</v>
      </c>
    </row>
    <row r="909" spans="1:15" x14ac:dyDescent="0.35">
      <c r="A909" t="s">
        <v>1225</v>
      </c>
      <c r="B909" t="s">
        <v>1226</v>
      </c>
      <c r="C909" t="s">
        <v>1184</v>
      </c>
      <c r="D909" t="s">
        <v>339</v>
      </c>
      <c r="E909" t="s">
        <v>306</v>
      </c>
      <c r="F909" t="s">
        <v>1262</v>
      </c>
      <c r="G909">
        <v>224</v>
      </c>
      <c r="H909">
        <v>23635.460000000006</v>
      </c>
      <c r="I909">
        <v>105.52</v>
      </c>
      <c r="J909">
        <v>12</v>
      </c>
      <c r="K909">
        <v>1482.3600000000001</v>
      </c>
      <c r="L909">
        <v>123.53</v>
      </c>
      <c r="M909">
        <v>236</v>
      </c>
      <c r="N909">
        <v>25117.820000000007</v>
      </c>
      <c r="O909">
        <v>106.43</v>
      </c>
    </row>
    <row r="910" spans="1:15" x14ac:dyDescent="0.35">
      <c r="A910" t="s">
        <v>1225</v>
      </c>
      <c r="B910" t="s">
        <v>1226</v>
      </c>
      <c r="C910" t="s">
        <v>1184</v>
      </c>
      <c r="D910" t="s">
        <v>339</v>
      </c>
      <c r="E910" t="s">
        <v>308</v>
      </c>
      <c r="F910" t="s">
        <v>1263</v>
      </c>
      <c r="G910">
        <v>568</v>
      </c>
      <c r="H910">
        <v>57546.54</v>
      </c>
      <c r="I910">
        <v>101.31</v>
      </c>
      <c r="J910">
        <v>33</v>
      </c>
      <c r="K910">
        <v>4282.4100000000008</v>
      </c>
      <c r="L910">
        <v>129.77000000000001</v>
      </c>
      <c r="M910">
        <v>601</v>
      </c>
      <c r="N910">
        <v>61828.950000000004</v>
      </c>
      <c r="O910">
        <v>102.88</v>
      </c>
    </row>
    <row r="911" spans="1:15" x14ac:dyDescent="0.35">
      <c r="A911" t="s">
        <v>1225</v>
      </c>
      <c r="B911" t="s">
        <v>1226</v>
      </c>
      <c r="C911" t="s">
        <v>1184</v>
      </c>
      <c r="D911" t="s">
        <v>339</v>
      </c>
      <c r="E911" t="s">
        <v>310</v>
      </c>
      <c r="F911" t="s">
        <v>1264</v>
      </c>
      <c r="G911">
        <v>3056</v>
      </c>
      <c r="H911">
        <v>346839.31</v>
      </c>
      <c r="I911">
        <v>113.49</v>
      </c>
      <c r="J911">
        <v>981</v>
      </c>
      <c r="K911">
        <v>91345.530000000013</v>
      </c>
      <c r="L911">
        <v>93.11</v>
      </c>
      <c r="M911">
        <v>4037</v>
      </c>
      <c r="N911">
        <v>438184.84</v>
      </c>
      <c r="O911">
        <v>108.54</v>
      </c>
    </row>
    <row r="912" spans="1:15" x14ac:dyDescent="0.35">
      <c r="A912" t="s">
        <v>1225</v>
      </c>
      <c r="B912" t="s">
        <v>1226</v>
      </c>
      <c r="C912" t="s">
        <v>1184</v>
      </c>
      <c r="D912" t="s">
        <v>339</v>
      </c>
      <c r="E912" t="s">
        <v>312</v>
      </c>
      <c r="F912" t="s">
        <v>1265</v>
      </c>
      <c r="G912">
        <v>2488</v>
      </c>
      <c r="H912">
        <v>289292.77</v>
      </c>
      <c r="I912">
        <v>116.28</v>
      </c>
      <c r="J912">
        <v>948</v>
      </c>
      <c r="K912">
        <v>87063.12000000001</v>
      </c>
      <c r="L912">
        <v>91.84</v>
      </c>
      <c r="M912">
        <v>3436</v>
      </c>
      <c r="N912">
        <v>376355.89</v>
      </c>
      <c r="O912">
        <v>109.53</v>
      </c>
    </row>
    <row r="913" spans="1:15" x14ac:dyDescent="0.35">
      <c r="A913" t="s">
        <v>1225</v>
      </c>
      <c r="B913" t="s">
        <v>1226</v>
      </c>
      <c r="C913" t="s">
        <v>1184</v>
      </c>
      <c r="D913" t="s">
        <v>348</v>
      </c>
      <c r="E913" t="s">
        <v>349</v>
      </c>
      <c r="F913" t="s">
        <v>1266</v>
      </c>
      <c r="G913">
        <v>3663</v>
      </c>
      <c r="H913">
        <v>370299.36</v>
      </c>
      <c r="I913">
        <v>116.41</v>
      </c>
      <c r="J913">
        <v>981</v>
      </c>
      <c r="K913">
        <v>91345.530000000013</v>
      </c>
      <c r="L913">
        <v>93.11</v>
      </c>
      <c r="M913">
        <v>4644</v>
      </c>
      <c r="N913">
        <v>461644.89</v>
      </c>
      <c r="O913">
        <v>110.92</v>
      </c>
    </row>
    <row r="914" spans="1:15" x14ac:dyDescent="0.35">
      <c r="A914" t="s">
        <v>1267</v>
      </c>
      <c r="B914" t="s">
        <v>1268</v>
      </c>
      <c r="C914" t="s">
        <v>1184</v>
      </c>
      <c r="D914" t="s">
        <v>293</v>
      </c>
      <c r="E914" t="s">
        <v>294</v>
      </c>
      <c r="F914" t="s">
        <v>1269</v>
      </c>
      <c r="G914">
        <v>89</v>
      </c>
      <c r="H914">
        <v>11228.369999999999</v>
      </c>
      <c r="I914">
        <v>126.16</v>
      </c>
      <c r="J914">
        <v>0</v>
      </c>
      <c r="K914">
        <v>0</v>
      </c>
      <c r="L914">
        <v>0</v>
      </c>
      <c r="M914">
        <v>89</v>
      </c>
      <c r="N914">
        <v>11228.369999999999</v>
      </c>
      <c r="O914">
        <v>126.16</v>
      </c>
    </row>
    <row r="915" spans="1:15" x14ac:dyDescent="0.35">
      <c r="A915" t="s">
        <v>1267</v>
      </c>
      <c r="B915" t="s">
        <v>1268</v>
      </c>
      <c r="C915" t="s">
        <v>1184</v>
      </c>
      <c r="D915" t="s">
        <v>293</v>
      </c>
      <c r="E915" t="s">
        <v>296</v>
      </c>
      <c r="F915" t="s">
        <v>1270</v>
      </c>
      <c r="G915">
        <v>510</v>
      </c>
      <c r="H915">
        <v>77984.350000000006</v>
      </c>
      <c r="I915">
        <v>152.91</v>
      </c>
      <c r="J915">
        <v>0</v>
      </c>
      <c r="K915">
        <v>0</v>
      </c>
      <c r="L915">
        <v>0</v>
      </c>
      <c r="M915">
        <v>510</v>
      </c>
      <c r="N915">
        <v>77984.350000000006</v>
      </c>
      <c r="O915">
        <v>152.91</v>
      </c>
    </row>
    <row r="916" spans="1:15" x14ac:dyDescent="0.35">
      <c r="A916" t="s">
        <v>1267</v>
      </c>
      <c r="B916" t="s">
        <v>1268</v>
      </c>
      <c r="C916" t="s">
        <v>1184</v>
      </c>
      <c r="D916" t="s">
        <v>293</v>
      </c>
      <c r="E916" t="s">
        <v>298</v>
      </c>
      <c r="F916" t="s">
        <v>1271</v>
      </c>
      <c r="G916">
        <v>359</v>
      </c>
      <c r="H916">
        <v>65135.860000000008</v>
      </c>
      <c r="I916">
        <v>181.44</v>
      </c>
      <c r="J916">
        <v>0</v>
      </c>
      <c r="K916">
        <v>0</v>
      </c>
      <c r="L916">
        <v>0</v>
      </c>
      <c r="M916">
        <v>359</v>
      </c>
      <c r="N916">
        <v>65135.860000000008</v>
      </c>
      <c r="O916">
        <v>181.44</v>
      </c>
    </row>
    <row r="917" spans="1:15" x14ac:dyDescent="0.35">
      <c r="A917" t="s">
        <v>1267</v>
      </c>
      <c r="B917" t="s">
        <v>1268</v>
      </c>
      <c r="C917" t="s">
        <v>1184</v>
      </c>
      <c r="D917" t="s">
        <v>293</v>
      </c>
      <c r="E917" t="s">
        <v>300</v>
      </c>
      <c r="F917" t="s">
        <v>1272</v>
      </c>
      <c r="G917">
        <v>69</v>
      </c>
      <c r="H917">
        <v>14668.56</v>
      </c>
      <c r="I917">
        <v>212.59</v>
      </c>
      <c r="J917">
        <v>0</v>
      </c>
      <c r="K917">
        <v>0</v>
      </c>
      <c r="L917">
        <v>0</v>
      </c>
      <c r="M917">
        <v>69</v>
      </c>
      <c r="N917">
        <v>14668.56</v>
      </c>
      <c r="O917">
        <v>212.59</v>
      </c>
    </row>
    <row r="918" spans="1:15" x14ac:dyDescent="0.35">
      <c r="A918" t="s">
        <v>1267</v>
      </c>
      <c r="B918" t="s">
        <v>1268</v>
      </c>
      <c r="C918" t="s">
        <v>1184</v>
      </c>
      <c r="D918" t="s">
        <v>293</v>
      </c>
      <c r="E918" t="s">
        <v>302</v>
      </c>
      <c r="F918" t="s">
        <v>1273</v>
      </c>
      <c r="G918">
        <v>4</v>
      </c>
      <c r="H918">
        <v>812.88</v>
      </c>
      <c r="I918">
        <v>203.22</v>
      </c>
      <c r="J918">
        <v>0</v>
      </c>
      <c r="K918">
        <v>0</v>
      </c>
      <c r="L918">
        <v>0</v>
      </c>
      <c r="M918">
        <v>4</v>
      </c>
      <c r="N918">
        <v>812.88</v>
      </c>
      <c r="O918">
        <v>203.22</v>
      </c>
    </row>
    <row r="919" spans="1:15" x14ac:dyDescent="0.35">
      <c r="A919" t="s">
        <v>1267</v>
      </c>
      <c r="B919" t="s">
        <v>1268</v>
      </c>
      <c r="C919" t="s">
        <v>1184</v>
      </c>
      <c r="D919" t="s">
        <v>293</v>
      </c>
      <c r="E919" t="s">
        <v>304</v>
      </c>
      <c r="F919" t="s">
        <v>1274</v>
      </c>
      <c r="G919">
        <v>0</v>
      </c>
      <c r="H919">
        <v>0</v>
      </c>
      <c r="I919">
        <v>0</v>
      </c>
      <c r="J919">
        <v>0</v>
      </c>
      <c r="K919">
        <v>0</v>
      </c>
      <c r="L919">
        <v>0</v>
      </c>
      <c r="M919">
        <v>0</v>
      </c>
      <c r="N919">
        <v>0</v>
      </c>
      <c r="O919">
        <v>0</v>
      </c>
    </row>
    <row r="920" spans="1:15" x14ac:dyDescent="0.35">
      <c r="A920" t="s">
        <v>1267</v>
      </c>
      <c r="B920" t="s">
        <v>1268</v>
      </c>
      <c r="C920" t="s">
        <v>1184</v>
      </c>
      <c r="D920" t="s">
        <v>293</v>
      </c>
      <c r="E920" t="s">
        <v>306</v>
      </c>
      <c r="F920" t="s">
        <v>1275</v>
      </c>
      <c r="G920">
        <v>0</v>
      </c>
      <c r="H920">
        <v>0</v>
      </c>
      <c r="I920">
        <v>0</v>
      </c>
      <c r="J920">
        <v>0</v>
      </c>
      <c r="K920">
        <v>0</v>
      </c>
      <c r="L920">
        <v>0</v>
      </c>
      <c r="M920">
        <v>0</v>
      </c>
      <c r="N920">
        <v>0</v>
      </c>
      <c r="O920">
        <v>0</v>
      </c>
    </row>
    <row r="921" spans="1:15" x14ac:dyDescent="0.35">
      <c r="A921" t="s">
        <v>1267</v>
      </c>
      <c r="B921" t="s">
        <v>1268</v>
      </c>
      <c r="C921" t="s">
        <v>1184</v>
      </c>
      <c r="D921" t="s">
        <v>293</v>
      </c>
      <c r="E921" t="s">
        <v>308</v>
      </c>
      <c r="F921" t="s">
        <v>1276</v>
      </c>
      <c r="G921">
        <v>0</v>
      </c>
      <c r="H921">
        <v>0</v>
      </c>
      <c r="I921">
        <v>0</v>
      </c>
      <c r="J921">
        <v>0</v>
      </c>
      <c r="K921">
        <v>0</v>
      </c>
      <c r="L921">
        <v>0</v>
      </c>
      <c r="M921">
        <v>0</v>
      </c>
      <c r="N921">
        <v>0</v>
      </c>
      <c r="O921">
        <v>0</v>
      </c>
    </row>
    <row r="922" spans="1:15" x14ac:dyDescent="0.35">
      <c r="A922" t="s">
        <v>1267</v>
      </c>
      <c r="B922" t="s">
        <v>1268</v>
      </c>
      <c r="C922" t="s">
        <v>1184</v>
      </c>
      <c r="D922" t="s">
        <v>293</v>
      </c>
      <c r="E922" t="s">
        <v>310</v>
      </c>
      <c r="F922" t="s">
        <v>1277</v>
      </c>
      <c r="G922">
        <v>1031</v>
      </c>
      <c r="H922">
        <v>169830.02000000002</v>
      </c>
      <c r="I922">
        <v>164.72</v>
      </c>
      <c r="J922">
        <v>0</v>
      </c>
      <c r="K922">
        <v>0</v>
      </c>
      <c r="L922">
        <v>0</v>
      </c>
      <c r="M922">
        <v>1031</v>
      </c>
      <c r="N922">
        <v>169830.02000000002</v>
      </c>
      <c r="O922">
        <v>164.72</v>
      </c>
    </row>
    <row r="923" spans="1:15" x14ac:dyDescent="0.35">
      <c r="A923" t="s">
        <v>1267</v>
      </c>
      <c r="B923" t="s">
        <v>1268</v>
      </c>
      <c r="C923" t="s">
        <v>1184</v>
      </c>
      <c r="D923" t="s">
        <v>293</v>
      </c>
      <c r="E923" t="s">
        <v>312</v>
      </c>
      <c r="F923" t="s">
        <v>1278</v>
      </c>
      <c r="G923">
        <v>1031</v>
      </c>
      <c r="H923">
        <v>169830.02000000002</v>
      </c>
      <c r="I923">
        <v>164.72</v>
      </c>
      <c r="J923">
        <v>0</v>
      </c>
      <c r="K923">
        <v>0</v>
      </c>
      <c r="L923">
        <v>0</v>
      </c>
      <c r="M923">
        <v>1031</v>
      </c>
      <c r="N923">
        <v>169830.02000000002</v>
      </c>
      <c r="O923">
        <v>164.72</v>
      </c>
    </row>
    <row r="924" spans="1:15" x14ac:dyDescent="0.35">
      <c r="A924" t="s">
        <v>1267</v>
      </c>
      <c r="B924" t="s">
        <v>1268</v>
      </c>
      <c r="C924" t="s">
        <v>1184</v>
      </c>
      <c r="D924" t="s">
        <v>314</v>
      </c>
      <c r="E924" t="s">
        <v>294</v>
      </c>
      <c r="F924" t="s">
        <v>1279</v>
      </c>
      <c r="G924">
        <v>32</v>
      </c>
      <c r="H924">
        <v>5713.6</v>
      </c>
      <c r="I924">
        <v>178.55</v>
      </c>
      <c r="J924">
        <v>0</v>
      </c>
      <c r="K924">
        <v>0</v>
      </c>
      <c r="L924">
        <v>0</v>
      </c>
      <c r="M924">
        <v>32</v>
      </c>
      <c r="N924">
        <v>5713.6</v>
      </c>
      <c r="O924">
        <v>178.55</v>
      </c>
    </row>
    <row r="925" spans="1:15" x14ac:dyDescent="0.35">
      <c r="A925" t="s">
        <v>1267</v>
      </c>
      <c r="B925" t="s">
        <v>1268</v>
      </c>
      <c r="C925" t="s">
        <v>1184</v>
      </c>
      <c r="D925" t="s">
        <v>314</v>
      </c>
      <c r="E925" t="s">
        <v>296</v>
      </c>
      <c r="F925" t="s">
        <v>1280</v>
      </c>
      <c r="G925">
        <v>9</v>
      </c>
      <c r="H925">
        <v>1751.53</v>
      </c>
      <c r="I925">
        <v>194.61</v>
      </c>
      <c r="J925">
        <v>0</v>
      </c>
      <c r="K925">
        <v>0</v>
      </c>
      <c r="L925">
        <v>0</v>
      </c>
      <c r="M925">
        <v>9</v>
      </c>
      <c r="N925">
        <v>1751.53</v>
      </c>
      <c r="O925">
        <v>194.61</v>
      </c>
    </row>
    <row r="926" spans="1:15" x14ac:dyDescent="0.35">
      <c r="A926" t="s">
        <v>1267</v>
      </c>
      <c r="B926" t="s">
        <v>1268</v>
      </c>
      <c r="C926" t="s">
        <v>1184</v>
      </c>
      <c r="D926" t="s">
        <v>314</v>
      </c>
      <c r="E926" t="s">
        <v>298</v>
      </c>
      <c r="F926" t="s">
        <v>1281</v>
      </c>
      <c r="G926">
        <v>0</v>
      </c>
      <c r="H926">
        <v>0</v>
      </c>
      <c r="I926">
        <v>0</v>
      </c>
      <c r="J926">
        <v>0</v>
      </c>
      <c r="K926">
        <v>0</v>
      </c>
      <c r="L926">
        <v>0</v>
      </c>
      <c r="M926">
        <v>0</v>
      </c>
      <c r="N926">
        <v>0</v>
      </c>
      <c r="O926">
        <v>0</v>
      </c>
    </row>
    <row r="927" spans="1:15" x14ac:dyDescent="0.35">
      <c r="A927" t="s">
        <v>1267</v>
      </c>
      <c r="B927" t="s">
        <v>1268</v>
      </c>
      <c r="C927" t="s">
        <v>1184</v>
      </c>
      <c r="D927" t="s">
        <v>314</v>
      </c>
      <c r="E927" t="s">
        <v>300</v>
      </c>
      <c r="F927" t="s">
        <v>1282</v>
      </c>
      <c r="G927">
        <v>0</v>
      </c>
      <c r="H927">
        <v>0</v>
      </c>
      <c r="I927">
        <v>0</v>
      </c>
      <c r="J927">
        <v>0</v>
      </c>
      <c r="K927">
        <v>0</v>
      </c>
      <c r="L927">
        <v>0</v>
      </c>
      <c r="M927">
        <v>0</v>
      </c>
      <c r="N927">
        <v>0</v>
      </c>
      <c r="O927">
        <v>0</v>
      </c>
    </row>
    <row r="928" spans="1:15" x14ac:dyDescent="0.35">
      <c r="A928" t="s">
        <v>1267</v>
      </c>
      <c r="B928" t="s">
        <v>1268</v>
      </c>
      <c r="C928" t="s">
        <v>1184</v>
      </c>
      <c r="D928" t="s">
        <v>314</v>
      </c>
      <c r="E928" t="s">
        <v>306</v>
      </c>
      <c r="F928" t="s">
        <v>1283</v>
      </c>
      <c r="G928">
        <v>0</v>
      </c>
      <c r="H928">
        <v>0</v>
      </c>
      <c r="I928">
        <v>0</v>
      </c>
      <c r="J928">
        <v>0</v>
      </c>
      <c r="K928">
        <v>0</v>
      </c>
      <c r="L928">
        <v>0</v>
      </c>
      <c r="M928">
        <v>0</v>
      </c>
      <c r="N928">
        <v>0</v>
      </c>
      <c r="O928">
        <v>0</v>
      </c>
    </row>
    <row r="929" spans="1:15" x14ac:dyDescent="0.35">
      <c r="A929" t="s">
        <v>1267</v>
      </c>
      <c r="B929" t="s">
        <v>1268</v>
      </c>
      <c r="C929" t="s">
        <v>1184</v>
      </c>
      <c r="D929" t="s">
        <v>314</v>
      </c>
      <c r="E929" t="s">
        <v>308</v>
      </c>
      <c r="F929" t="s">
        <v>1284</v>
      </c>
      <c r="G929">
        <v>0</v>
      </c>
      <c r="H929">
        <v>0</v>
      </c>
      <c r="I929">
        <v>0</v>
      </c>
      <c r="J929">
        <v>0</v>
      </c>
      <c r="K929">
        <v>0</v>
      </c>
      <c r="L929">
        <v>0</v>
      </c>
      <c r="M929">
        <v>0</v>
      </c>
      <c r="N929">
        <v>0</v>
      </c>
      <c r="O929">
        <v>0</v>
      </c>
    </row>
    <row r="930" spans="1:15" x14ac:dyDescent="0.35">
      <c r="A930" t="s">
        <v>1267</v>
      </c>
      <c r="B930" t="s">
        <v>1268</v>
      </c>
      <c r="C930" t="s">
        <v>1184</v>
      </c>
      <c r="D930" t="s">
        <v>314</v>
      </c>
      <c r="E930" t="s">
        <v>312</v>
      </c>
      <c r="F930" t="s">
        <v>1285</v>
      </c>
      <c r="G930">
        <v>41</v>
      </c>
      <c r="H930">
        <v>7465.13</v>
      </c>
      <c r="I930">
        <v>182.08</v>
      </c>
      <c r="J930">
        <v>0</v>
      </c>
      <c r="K930">
        <v>0</v>
      </c>
      <c r="L930">
        <v>0</v>
      </c>
      <c r="M930">
        <v>41</v>
      </c>
      <c r="N930">
        <v>7465.13</v>
      </c>
      <c r="O930">
        <v>182.08</v>
      </c>
    </row>
    <row r="931" spans="1:15" x14ac:dyDescent="0.35">
      <c r="A931" t="s">
        <v>1267</v>
      </c>
      <c r="B931" t="s">
        <v>1268</v>
      </c>
      <c r="C931" t="s">
        <v>1184</v>
      </c>
      <c r="D931" t="s">
        <v>314</v>
      </c>
      <c r="E931" t="s">
        <v>310</v>
      </c>
      <c r="F931" t="s">
        <v>1286</v>
      </c>
      <c r="G931">
        <v>41</v>
      </c>
      <c r="H931">
        <v>7465.13</v>
      </c>
      <c r="I931">
        <v>182.08</v>
      </c>
      <c r="J931">
        <v>0</v>
      </c>
      <c r="K931">
        <v>0</v>
      </c>
      <c r="L931">
        <v>0</v>
      </c>
      <c r="M931">
        <v>41</v>
      </c>
      <c r="N931">
        <v>7465.13</v>
      </c>
      <c r="O931">
        <v>182.08</v>
      </c>
    </row>
    <row r="932" spans="1:15" x14ac:dyDescent="0.35">
      <c r="A932" t="s">
        <v>1267</v>
      </c>
      <c r="B932" t="s">
        <v>1268</v>
      </c>
      <c r="C932" t="s">
        <v>1184</v>
      </c>
      <c r="D932" t="s">
        <v>323</v>
      </c>
      <c r="E932" t="s">
        <v>294</v>
      </c>
      <c r="F932" t="s">
        <v>1287</v>
      </c>
      <c r="G932">
        <v>1976</v>
      </c>
      <c r="H932">
        <v>201167.05</v>
      </c>
      <c r="I932">
        <v>101.81</v>
      </c>
      <c r="J932">
        <v>0</v>
      </c>
      <c r="K932">
        <v>0</v>
      </c>
      <c r="L932">
        <v>0</v>
      </c>
      <c r="M932">
        <v>1976</v>
      </c>
      <c r="N932">
        <v>201167.05</v>
      </c>
      <c r="O932">
        <v>101.81</v>
      </c>
    </row>
    <row r="933" spans="1:15" x14ac:dyDescent="0.35">
      <c r="A933" t="s">
        <v>1267</v>
      </c>
      <c r="B933" t="s">
        <v>1268</v>
      </c>
      <c r="C933" t="s">
        <v>1184</v>
      </c>
      <c r="D933" t="s">
        <v>323</v>
      </c>
      <c r="E933" t="s">
        <v>296</v>
      </c>
      <c r="F933" t="s">
        <v>1288</v>
      </c>
      <c r="G933">
        <v>3407</v>
      </c>
      <c r="H933">
        <v>400329.73000000004</v>
      </c>
      <c r="I933">
        <v>117.5</v>
      </c>
      <c r="J933">
        <v>0</v>
      </c>
      <c r="K933">
        <v>0</v>
      </c>
      <c r="L933">
        <v>0</v>
      </c>
      <c r="M933">
        <v>3407</v>
      </c>
      <c r="N933">
        <v>400329.73000000004</v>
      </c>
      <c r="O933">
        <v>117.5</v>
      </c>
    </row>
    <row r="934" spans="1:15" x14ac:dyDescent="0.35">
      <c r="A934" t="s">
        <v>1267</v>
      </c>
      <c r="B934" t="s">
        <v>1268</v>
      </c>
      <c r="C934" t="s">
        <v>1184</v>
      </c>
      <c r="D934" t="s">
        <v>323</v>
      </c>
      <c r="E934" t="s">
        <v>298</v>
      </c>
      <c r="F934" t="s">
        <v>1289</v>
      </c>
      <c r="G934">
        <v>2199</v>
      </c>
      <c r="H934">
        <v>294716.56999999995</v>
      </c>
      <c r="I934">
        <v>134.02000000000001</v>
      </c>
      <c r="J934">
        <v>0</v>
      </c>
      <c r="K934">
        <v>0</v>
      </c>
      <c r="L934">
        <v>0</v>
      </c>
      <c r="M934">
        <v>2199</v>
      </c>
      <c r="N934">
        <v>294716.56999999995</v>
      </c>
      <c r="O934">
        <v>134.02000000000001</v>
      </c>
    </row>
    <row r="935" spans="1:15" x14ac:dyDescent="0.35">
      <c r="A935" t="s">
        <v>1267</v>
      </c>
      <c r="B935" t="s">
        <v>1268</v>
      </c>
      <c r="C935" t="s">
        <v>1184</v>
      </c>
      <c r="D935" t="s">
        <v>323</v>
      </c>
      <c r="E935" t="s">
        <v>300</v>
      </c>
      <c r="F935" t="s">
        <v>1290</v>
      </c>
      <c r="G935">
        <v>240</v>
      </c>
      <c r="H935">
        <v>38590.300000000003</v>
      </c>
      <c r="I935">
        <v>160.79</v>
      </c>
      <c r="J935">
        <v>0</v>
      </c>
      <c r="K935">
        <v>0</v>
      </c>
      <c r="L935">
        <v>0</v>
      </c>
      <c r="M935">
        <v>240</v>
      </c>
      <c r="N935">
        <v>38590.300000000003</v>
      </c>
      <c r="O935">
        <v>160.79</v>
      </c>
    </row>
    <row r="936" spans="1:15" x14ac:dyDescent="0.35">
      <c r="A936" t="s">
        <v>1267</v>
      </c>
      <c r="B936" t="s">
        <v>1268</v>
      </c>
      <c r="C936" t="s">
        <v>1184</v>
      </c>
      <c r="D936" t="s">
        <v>323</v>
      </c>
      <c r="E936" t="s">
        <v>302</v>
      </c>
      <c r="F936" t="s">
        <v>1291</v>
      </c>
      <c r="G936">
        <v>16</v>
      </c>
      <c r="H936">
        <v>2388.7600000000002</v>
      </c>
      <c r="I936">
        <v>149.30000000000001</v>
      </c>
      <c r="J936">
        <v>0</v>
      </c>
      <c r="K936">
        <v>0</v>
      </c>
      <c r="L936">
        <v>0</v>
      </c>
      <c r="M936">
        <v>16</v>
      </c>
      <c r="N936">
        <v>2388.7600000000002</v>
      </c>
      <c r="O936">
        <v>149.30000000000001</v>
      </c>
    </row>
    <row r="937" spans="1:15" x14ac:dyDescent="0.35">
      <c r="A937" t="s">
        <v>1267</v>
      </c>
      <c r="B937" t="s">
        <v>1268</v>
      </c>
      <c r="C937" t="s">
        <v>1184</v>
      </c>
      <c r="D937" t="s">
        <v>323</v>
      </c>
      <c r="E937" t="s">
        <v>304</v>
      </c>
      <c r="F937" t="s">
        <v>1292</v>
      </c>
      <c r="G937">
        <v>1</v>
      </c>
      <c r="H937">
        <v>120.91</v>
      </c>
      <c r="I937">
        <v>120.91</v>
      </c>
      <c r="J937">
        <v>0</v>
      </c>
      <c r="K937">
        <v>0</v>
      </c>
      <c r="L937">
        <v>0</v>
      </c>
      <c r="M937">
        <v>1</v>
      </c>
      <c r="N937">
        <v>120.91</v>
      </c>
      <c r="O937">
        <v>120.91</v>
      </c>
    </row>
    <row r="938" spans="1:15" x14ac:dyDescent="0.35">
      <c r="A938" t="s">
        <v>1267</v>
      </c>
      <c r="B938" t="s">
        <v>1268</v>
      </c>
      <c r="C938" t="s">
        <v>1184</v>
      </c>
      <c r="D938" t="s">
        <v>323</v>
      </c>
      <c r="E938" t="s">
        <v>306</v>
      </c>
      <c r="F938" t="s">
        <v>1293</v>
      </c>
      <c r="G938">
        <v>146</v>
      </c>
      <c r="H938">
        <v>12169.23</v>
      </c>
      <c r="I938">
        <v>83.35</v>
      </c>
      <c r="J938">
        <v>0</v>
      </c>
      <c r="K938">
        <v>0</v>
      </c>
      <c r="L938">
        <v>0</v>
      </c>
      <c r="M938">
        <v>146</v>
      </c>
      <c r="N938">
        <v>12169.23</v>
      </c>
      <c r="O938">
        <v>83.35</v>
      </c>
    </row>
    <row r="939" spans="1:15" x14ac:dyDescent="0.35">
      <c r="A939" t="s">
        <v>1267</v>
      </c>
      <c r="B939" t="s">
        <v>1268</v>
      </c>
      <c r="C939" t="s">
        <v>1184</v>
      </c>
      <c r="D939" t="s">
        <v>323</v>
      </c>
      <c r="E939" t="s">
        <v>308</v>
      </c>
      <c r="F939" t="s">
        <v>1294</v>
      </c>
      <c r="G939">
        <v>0</v>
      </c>
      <c r="H939">
        <v>0</v>
      </c>
      <c r="I939">
        <v>0</v>
      </c>
      <c r="J939">
        <v>0</v>
      </c>
      <c r="K939">
        <v>0</v>
      </c>
      <c r="L939">
        <v>0</v>
      </c>
      <c r="M939">
        <v>0</v>
      </c>
      <c r="N939">
        <v>0</v>
      </c>
      <c r="O939">
        <v>0</v>
      </c>
    </row>
    <row r="940" spans="1:15" x14ac:dyDescent="0.35">
      <c r="A940" t="s">
        <v>1267</v>
      </c>
      <c r="B940" t="s">
        <v>1268</v>
      </c>
      <c r="C940" t="s">
        <v>1184</v>
      </c>
      <c r="D940" t="s">
        <v>323</v>
      </c>
      <c r="E940" t="s">
        <v>310</v>
      </c>
      <c r="F940" t="s">
        <v>1295</v>
      </c>
      <c r="G940">
        <v>7985</v>
      </c>
      <c r="H940">
        <v>949482.55</v>
      </c>
      <c r="I940">
        <v>118.91</v>
      </c>
      <c r="J940">
        <v>0</v>
      </c>
      <c r="K940">
        <v>0</v>
      </c>
      <c r="L940">
        <v>0</v>
      </c>
      <c r="M940">
        <v>7985</v>
      </c>
      <c r="N940">
        <v>949482.55</v>
      </c>
      <c r="O940">
        <v>118.91</v>
      </c>
    </row>
    <row r="941" spans="1:15" x14ac:dyDescent="0.35">
      <c r="A941" t="s">
        <v>1267</v>
      </c>
      <c r="B941" t="s">
        <v>1268</v>
      </c>
      <c r="C941" t="s">
        <v>1184</v>
      </c>
      <c r="D941" t="s">
        <v>323</v>
      </c>
      <c r="E941" t="s">
        <v>312</v>
      </c>
      <c r="F941" t="s">
        <v>1296</v>
      </c>
      <c r="G941">
        <v>7985</v>
      </c>
      <c r="H941">
        <v>949482.55</v>
      </c>
      <c r="I941">
        <v>118.91</v>
      </c>
      <c r="J941">
        <v>0</v>
      </c>
      <c r="K941">
        <v>0</v>
      </c>
      <c r="L941">
        <v>0</v>
      </c>
      <c r="M941">
        <v>7985</v>
      </c>
      <c r="N941">
        <v>949482.55</v>
      </c>
      <c r="O941">
        <v>118.91</v>
      </c>
    </row>
    <row r="942" spans="1:15" x14ac:dyDescent="0.35">
      <c r="A942" t="s">
        <v>1267</v>
      </c>
      <c r="B942" t="s">
        <v>1268</v>
      </c>
      <c r="C942" t="s">
        <v>1184</v>
      </c>
      <c r="D942" t="s">
        <v>334</v>
      </c>
      <c r="E942" t="s">
        <v>312</v>
      </c>
      <c r="F942" t="s">
        <v>1297</v>
      </c>
      <c r="G942">
        <v>9143</v>
      </c>
      <c r="H942">
        <v>1119312.57</v>
      </c>
      <c r="I942">
        <v>124.15</v>
      </c>
      <c r="J942">
        <v>0</v>
      </c>
      <c r="K942">
        <v>0</v>
      </c>
      <c r="L942">
        <v>0</v>
      </c>
      <c r="M942">
        <v>9143</v>
      </c>
      <c r="N942">
        <v>1119312.57</v>
      </c>
      <c r="O942">
        <v>124.15</v>
      </c>
    </row>
    <row r="943" spans="1:15" x14ac:dyDescent="0.35">
      <c r="A943" t="s">
        <v>1267</v>
      </c>
      <c r="B943" t="s">
        <v>1268</v>
      </c>
      <c r="C943" t="s">
        <v>1184</v>
      </c>
      <c r="D943" t="s">
        <v>334</v>
      </c>
      <c r="E943" t="s">
        <v>308</v>
      </c>
      <c r="F943" t="s">
        <v>1298</v>
      </c>
      <c r="G943">
        <v>61</v>
      </c>
      <c r="H943">
        <v>0</v>
      </c>
      <c r="I943">
        <v>0</v>
      </c>
      <c r="J943">
        <v>0</v>
      </c>
      <c r="K943">
        <v>0</v>
      </c>
      <c r="L943">
        <v>0</v>
      </c>
      <c r="M943">
        <v>61</v>
      </c>
      <c r="N943">
        <v>0</v>
      </c>
      <c r="O943">
        <v>0</v>
      </c>
    </row>
    <row r="944" spans="1:15" x14ac:dyDescent="0.35">
      <c r="A944" t="s">
        <v>1267</v>
      </c>
      <c r="B944" t="s">
        <v>1268</v>
      </c>
      <c r="C944" t="s">
        <v>1184</v>
      </c>
      <c r="D944" t="s">
        <v>337</v>
      </c>
      <c r="E944" t="s">
        <v>337</v>
      </c>
      <c r="F944" t="s">
        <v>1299</v>
      </c>
      <c r="G944">
        <v>866</v>
      </c>
      <c r="J944">
        <v>0</v>
      </c>
      <c r="M944">
        <v>866</v>
      </c>
    </row>
    <row r="945" spans="1:15" x14ac:dyDescent="0.35">
      <c r="A945" t="s">
        <v>1267</v>
      </c>
      <c r="B945" t="s">
        <v>1268</v>
      </c>
      <c r="C945" t="s">
        <v>1184</v>
      </c>
      <c r="D945" t="s">
        <v>339</v>
      </c>
      <c r="E945" t="s">
        <v>294</v>
      </c>
      <c r="F945" t="s">
        <v>1300</v>
      </c>
      <c r="G945">
        <v>510</v>
      </c>
      <c r="H945">
        <v>70428.430000000008</v>
      </c>
      <c r="I945">
        <v>138.09</v>
      </c>
      <c r="J945">
        <v>0</v>
      </c>
      <c r="K945">
        <v>0</v>
      </c>
      <c r="L945">
        <v>0</v>
      </c>
      <c r="M945">
        <v>510</v>
      </c>
      <c r="N945">
        <v>70428.430000000008</v>
      </c>
      <c r="O945">
        <v>138.09</v>
      </c>
    </row>
    <row r="946" spans="1:15" x14ac:dyDescent="0.35">
      <c r="A946" t="s">
        <v>1267</v>
      </c>
      <c r="B946" t="s">
        <v>1268</v>
      </c>
      <c r="C946" t="s">
        <v>1184</v>
      </c>
      <c r="D946" t="s">
        <v>339</v>
      </c>
      <c r="E946" t="s">
        <v>296</v>
      </c>
      <c r="F946" t="s">
        <v>1301</v>
      </c>
      <c r="G946">
        <v>158</v>
      </c>
      <c r="H946">
        <v>24708.579999999998</v>
      </c>
      <c r="I946">
        <v>156.38</v>
      </c>
      <c r="J946">
        <v>0</v>
      </c>
      <c r="K946">
        <v>0</v>
      </c>
      <c r="L946">
        <v>0</v>
      </c>
      <c r="M946">
        <v>158</v>
      </c>
      <c r="N946">
        <v>24708.579999999998</v>
      </c>
      <c r="O946">
        <v>156.38</v>
      </c>
    </row>
    <row r="947" spans="1:15" x14ac:dyDescent="0.35">
      <c r="A947" t="s">
        <v>1267</v>
      </c>
      <c r="B947" t="s">
        <v>1268</v>
      </c>
      <c r="C947" t="s">
        <v>1184</v>
      </c>
      <c r="D947" t="s">
        <v>339</v>
      </c>
      <c r="E947" t="s">
        <v>298</v>
      </c>
      <c r="F947" t="s">
        <v>1302</v>
      </c>
      <c r="G947">
        <v>3</v>
      </c>
      <c r="H947">
        <v>499.29999999999995</v>
      </c>
      <c r="I947">
        <v>166.43</v>
      </c>
      <c r="J947">
        <v>0</v>
      </c>
      <c r="K947">
        <v>0</v>
      </c>
      <c r="L947">
        <v>0</v>
      </c>
      <c r="M947">
        <v>3</v>
      </c>
      <c r="N947">
        <v>499.29999999999995</v>
      </c>
      <c r="O947">
        <v>166.43</v>
      </c>
    </row>
    <row r="948" spans="1:15" x14ac:dyDescent="0.35">
      <c r="A948" t="s">
        <v>1267</v>
      </c>
      <c r="B948" t="s">
        <v>1268</v>
      </c>
      <c r="C948" t="s">
        <v>1184</v>
      </c>
      <c r="D948" t="s">
        <v>339</v>
      </c>
      <c r="E948" t="s">
        <v>300</v>
      </c>
      <c r="F948" t="s">
        <v>1303</v>
      </c>
      <c r="G948">
        <v>0</v>
      </c>
      <c r="H948">
        <v>0</v>
      </c>
      <c r="I948">
        <v>0</v>
      </c>
      <c r="J948">
        <v>0</v>
      </c>
      <c r="K948">
        <v>0</v>
      </c>
      <c r="L948">
        <v>0</v>
      </c>
      <c r="M948">
        <v>0</v>
      </c>
      <c r="N948">
        <v>0</v>
      </c>
      <c r="O948">
        <v>0</v>
      </c>
    </row>
    <row r="949" spans="1:15" x14ac:dyDescent="0.35">
      <c r="A949" t="s">
        <v>1267</v>
      </c>
      <c r="B949" t="s">
        <v>1268</v>
      </c>
      <c r="C949" t="s">
        <v>1184</v>
      </c>
      <c r="D949" t="s">
        <v>339</v>
      </c>
      <c r="E949" t="s">
        <v>306</v>
      </c>
      <c r="F949" t="s">
        <v>1304</v>
      </c>
      <c r="G949">
        <v>99</v>
      </c>
      <c r="H949">
        <v>9101.1400000000012</v>
      </c>
      <c r="I949">
        <v>91.93</v>
      </c>
      <c r="J949">
        <v>0</v>
      </c>
      <c r="K949">
        <v>0</v>
      </c>
      <c r="L949">
        <v>0</v>
      </c>
      <c r="M949">
        <v>99</v>
      </c>
      <c r="N949">
        <v>9101.1400000000012</v>
      </c>
      <c r="O949">
        <v>91.93</v>
      </c>
    </row>
    <row r="950" spans="1:15" x14ac:dyDescent="0.35">
      <c r="A950" t="s">
        <v>1267</v>
      </c>
      <c r="B950" t="s">
        <v>1268</v>
      </c>
      <c r="C950" t="s">
        <v>1184</v>
      </c>
      <c r="D950" t="s">
        <v>339</v>
      </c>
      <c r="E950" t="s">
        <v>308</v>
      </c>
      <c r="F950" t="s">
        <v>1305</v>
      </c>
      <c r="G950">
        <v>129</v>
      </c>
      <c r="H950">
        <v>19436.060000000001</v>
      </c>
      <c r="I950">
        <v>150.66999999999999</v>
      </c>
      <c r="J950">
        <v>0</v>
      </c>
      <c r="K950">
        <v>0</v>
      </c>
      <c r="L950">
        <v>0</v>
      </c>
      <c r="M950">
        <v>129</v>
      </c>
      <c r="N950">
        <v>19436.060000000001</v>
      </c>
      <c r="O950">
        <v>150.66999999999999</v>
      </c>
    </row>
    <row r="951" spans="1:15" x14ac:dyDescent="0.35">
      <c r="A951" t="s">
        <v>1267</v>
      </c>
      <c r="B951" t="s">
        <v>1268</v>
      </c>
      <c r="C951" t="s">
        <v>1184</v>
      </c>
      <c r="D951" t="s">
        <v>339</v>
      </c>
      <c r="E951" t="s">
        <v>310</v>
      </c>
      <c r="F951" t="s">
        <v>1306</v>
      </c>
      <c r="G951">
        <v>899</v>
      </c>
      <c r="H951">
        <v>124173.51000000001</v>
      </c>
      <c r="I951">
        <v>138.12</v>
      </c>
      <c r="J951">
        <v>0</v>
      </c>
      <c r="K951">
        <v>0</v>
      </c>
      <c r="L951">
        <v>0</v>
      </c>
      <c r="M951">
        <v>899</v>
      </c>
      <c r="N951">
        <v>124173.51000000001</v>
      </c>
      <c r="O951">
        <v>138.12</v>
      </c>
    </row>
    <row r="952" spans="1:15" x14ac:dyDescent="0.35">
      <c r="A952" t="s">
        <v>1267</v>
      </c>
      <c r="B952" t="s">
        <v>1268</v>
      </c>
      <c r="C952" t="s">
        <v>1184</v>
      </c>
      <c r="D952" t="s">
        <v>339</v>
      </c>
      <c r="E952" t="s">
        <v>312</v>
      </c>
      <c r="F952" t="s">
        <v>1307</v>
      </c>
      <c r="G952">
        <v>770</v>
      </c>
      <c r="H952">
        <v>104737.45000000001</v>
      </c>
      <c r="I952">
        <v>136.02000000000001</v>
      </c>
      <c r="J952">
        <v>0</v>
      </c>
      <c r="K952">
        <v>0</v>
      </c>
      <c r="L952">
        <v>0</v>
      </c>
      <c r="M952">
        <v>770</v>
      </c>
      <c r="N952">
        <v>104737.45000000001</v>
      </c>
      <c r="O952">
        <v>136.02000000000001</v>
      </c>
    </row>
    <row r="953" spans="1:15" x14ac:dyDescent="0.35">
      <c r="A953" t="s">
        <v>1267</v>
      </c>
      <c r="B953" t="s">
        <v>1268</v>
      </c>
      <c r="C953" t="s">
        <v>1184</v>
      </c>
      <c r="D953" t="s">
        <v>348</v>
      </c>
      <c r="E953" t="s">
        <v>349</v>
      </c>
      <c r="F953" t="s">
        <v>1308</v>
      </c>
      <c r="G953">
        <v>1113</v>
      </c>
      <c r="H953">
        <v>131638.64000000001</v>
      </c>
      <c r="I953">
        <v>140.04</v>
      </c>
      <c r="J953">
        <v>0</v>
      </c>
      <c r="K953">
        <v>0</v>
      </c>
      <c r="L953">
        <v>0</v>
      </c>
      <c r="M953">
        <v>1113</v>
      </c>
      <c r="N953">
        <v>131638.64000000001</v>
      </c>
      <c r="O953">
        <v>140.04</v>
      </c>
    </row>
    <row r="954" spans="1:15" x14ac:dyDescent="0.35">
      <c r="A954" t="s">
        <v>1309</v>
      </c>
      <c r="B954" t="s">
        <v>1310</v>
      </c>
      <c r="C954" t="s">
        <v>1184</v>
      </c>
      <c r="D954" t="s">
        <v>293</v>
      </c>
      <c r="E954" t="s">
        <v>294</v>
      </c>
      <c r="F954" t="s">
        <v>1311</v>
      </c>
      <c r="G954">
        <v>124</v>
      </c>
      <c r="H954">
        <v>18567.579999999994</v>
      </c>
      <c r="I954">
        <v>149.74</v>
      </c>
      <c r="J954">
        <v>0</v>
      </c>
      <c r="K954">
        <v>0</v>
      </c>
      <c r="L954">
        <v>0</v>
      </c>
      <c r="M954">
        <v>124</v>
      </c>
      <c r="N954">
        <v>18567.579999999994</v>
      </c>
      <c r="O954">
        <v>149.74</v>
      </c>
    </row>
    <row r="955" spans="1:15" x14ac:dyDescent="0.35">
      <c r="A955" t="s">
        <v>1309</v>
      </c>
      <c r="B955" t="s">
        <v>1310</v>
      </c>
      <c r="C955" t="s">
        <v>1184</v>
      </c>
      <c r="D955" t="s">
        <v>293</v>
      </c>
      <c r="E955" t="s">
        <v>296</v>
      </c>
      <c r="F955" t="s">
        <v>1312</v>
      </c>
      <c r="G955">
        <v>359</v>
      </c>
      <c r="H955">
        <v>64178.319999999992</v>
      </c>
      <c r="I955">
        <v>178.77</v>
      </c>
      <c r="J955">
        <v>0</v>
      </c>
      <c r="K955">
        <v>0</v>
      </c>
      <c r="L955">
        <v>0</v>
      </c>
      <c r="M955">
        <v>359</v>
      </c>
      <c r="N955">
        <v>64178.319999999992</v>
      </c>
      <c r="O955">
        <v>178.77</v>
      </c>
    </row>
    <row r="956" spans="1:15" x14ac:dyDescent="0.35">
      <c r="A956" t="s">
        <v>1309</v>
      </c>
      <c r="B956" t="s">
        <v>1310</v>
      </c>
      <c r="C956" t="s">
        <v>1184</v>
      </c>
      <c r="D956" t="s">
        <v>293</v>
      </c>
      <c r="E956" t="s">
        <v>298</v>
      </c>
      <c r="F956" t="s">
        <v>1313</v>
      </c>
      <c r="G956">
        <v>184</v>
      </c>
      <c r="H956">
        <v>37784.75</v>
      </c>
      <c r="I956">
        <v>205.35</v>
      </c>
      <c r="J956">
        <v>0</v>
      </c>
      <c r="K956">
        <v>0</v>
      </c>
      <c r="L956">
        <v>0</v>
      </c>
      <c r="M956">
        <v>184</v>
      </c>
      <c r="N956">
        <v>37784.75</v>
      </c>
      <c r="O956">
        <v>205.35</v>
      </c>
    </row>
    <row r="957" spans="1:15" x14ac:dyDescent="0.35">
      <c r="A957" t="s">
        <v>1309</v>
      </c>
      <c r="B957" t="s">
        <v>1310</v>
      </c>
      <c r="C957" t="s">
        <v>1184</v>
      </c>
      <c r="D957" t="s">
        <v>293</v>
      </c>
      <c r="E957" t="s">
        <v>300</v>
      </c>
      <c r="F957" t="s">
        <v>1314</v>
      </c>
      <c r="G957">
        <v>5</v>
      </c>
      <c r="H957">
        <v>1243.27</v>
      </c>
      <c r="I957">
        <v>248.65</v>
      </c>
      <c r="J957">
        <v>0</v>
      </c>
      <c r="K957">
        <v>0</v>
      </c>
      <c r="L957">
        <v>0</v>
      </c>
      <c r="M957">
        <v>5</v>
      </c>
      <c r="N957">
        <v>1243.27</v>
      </c>
      <c r="O957">
        <v>248.65</v>
      </c>
    </row>
    <row r="958" spans="1:15" x14ac:dyDescent="0.35">
      <c r="A958" t="s">
        <v>1309</v>
      </c>
      <c r="B958" t="s">
        <v>1310</v>
      </c>
      <c r="C958" t="s">
        <v>1184</v>
      </c>
      <c r="D958" t="s">
        <v>293</v>
      </c>
      <c r="E958" t="s">
        <v>302</v>
      </c>
      <c r="F958" t="s">
        <v>1315</v>
      </c>
      <c r="G958">
        <v>0</v>
      </c>
      <c r="H958">
        <v>0</v>
      </c>
      <c r="I958">
        <v>0</v>
      </c>
      <c r="J958">
        <v>0</v>
      </c>
      <c r="K958">
        <v>0</v>
      </c>
      <c r="L958">
        <v>0</v>
      </c>
      <c r="M958">
        <v>0</v>
      </c>
      <c r="N958">
        <v>0</v>
      </c>
      <c r="O958">
        <v>0</v>
      </c>
    </row>
    <row r="959" spans="1:15" x14ac:dyDescent="0.35">
      <c r="A959" t="s">
        <v>1309</v>
      </c>
      <c r="B959" t="s">
        <v>1310</v>
      </c>
      <c r="C959" t="s">
        <v>1184</v>
      </c>
      <c r="D959" t="s">
        <v>293</v>
      </c>
      <c r="E959" t="s">
        <v>304</v>
      </c>
      <c r="F959" t="s">
        <v>1316</v>
      </c>
      <c r="G959">
        <v>0</v>
      </c>
      <c r="H959">
        <v>0</v>
      </c>
      <c r="I959">
        <v>0</v>
      </c>
      <c r="J959">
        <v>0</v>
      </c>
      <c r="K959">
        <v>0</v>
      </c>
      <c r="L959">
        <v>0</v>
      </c>
      <c r="M959">
        <v>0</v>
      </c>
      <c r="N959">
        <v>0</v>
      </c>
      <c r="O959">
        <v>0</v>
      </c>
    </row>
    <row r="960" spans="1:15" x14ac:dyDescent="0.35">
      <c r="A960" t="s">
        <v>1309</v>
      </c>
      <c r="B960" t="s">
        <v>1310</v>
      </c>
      <c r="C960" t="s">
        <v>1184</v>
      </c>
      <c r="D960" t="s">
        <v>293</v>
      </c>
      <c r="E960" t="s">
        <v>306</v>
      </c>
      <c r="F960" t="s">
        <v>1317</v>
      </c>
      <c r="G960">
        <v>0</v>
      </c>
      <c r="H960">
        <v>0</v>
      </c>
      <c r="I960">
        <v>0</v>
      </c>
      <c r="J960">
        <v>0</v>
      </c>
      <c r="K960">
        <v>0</v>
      </c>
      <c r="L960">
        <v>0</v>
      </c>
      <c r="M960">
        <v>0</v>
      </c>
      <c r="N960">
        <v>0</v>
      </c>
      <c r="O960">
        <v>0</v>
      </c>
    </row>
    <row r="961" spans="1:15" x14ac:dyDescent="0.35">
      <c r="A961" t="s">
        <v>1309</v>
      </c>
      <c r="B961" t="s">
        <v>1310</v>
      </c>
      <c r="C961" t="s">
        <v>1184</v>
      </c>
      <c r="D961" t="s">
        <v>293</v>
      </c>
      <c r="E961" t="s">
        <v>308</v>
      </c>
      <c r="F961" t="s">
        <v>1318</v>
      </c>
      <c r="G961">
        <v>0</v>
      </c>
      <c r="H961">
        <v>0</v>
      </c>
      <c r="I961">
        <v>0</v>
      </c>
      <c r="J961">
        <v>0</v>
      </c>
      <c r="K961">
        <v>0</v>
      </c>
      <c r="L961">
        <v>0</v>
      </c>
      <c r="M961">
        <v>0</v>
      </c>
      <c r="N961">
        <v>0</v>
      </c>
      <c r="O961">
        <v>0</v>
      </c>
    </row>
    <row r="962" spans="1:15" x14ac:dyDescent="0.35">
      <c r="A962" t="s">
        <v>1309</v>
      </c>
      <c r="B962" t="s">
        <v>1310</v>
      </c>
      <c r="C962" t="s">
        <v>1184</v>
      </c>
      <c r="D962" t="s">
        <v>293</v>
      </c>
      <c r="E962" t="s">
        <v>310</v>
      </c>
      <c r="F962" t="s">
        <v>1319</v>
      </c>
      <c r="G962">
        <v>672</v>
      </c>
      <c r="H962">
        <v>121773.92</v>
      </c>
      <c r="I962">
        <v>181.21</v>
      </c>
      <c r="J962">
        <v>0</v>
      </c>
      <c r="K962">
        <v>0</v>
      </c>
      <c r="L962">
        <v>0</v>
      </c>
      <c r="M962">
        <v>672</v>
      </c>
      <c r="N962">
        <v>121773.92</v>
      </c>
      <c r="O962">
        <v>181.21</v>
      </c>
    </row>
    <row r="963" spans="1:15" x14ac:dyDescent="0.35">
      <c r="A963" t="s">
        <v>1309</v>
      </c>
      <c r="B963" t="s">
        <v>1310</v>
      </c>
      <c r="C963" t="s">
        <v>1184</v>
      </c>
      <c r="D963" t="s">
        <v>293</v>
      </c>
      <c r="E963" t="s">
        <v>312</v>
      </c>
      <c r="F963" t="s">
        <v>1320</v>
      </c>
      <c r="G963">
        <v>672</v>
      </c>
      <c r="H963">
        <v>121773.92</v>
      </c>
      <c r="I963">
        <v>181.21</v>
      </c>
      <c r="J963">
        <v>0</v>
      </c>
      <c r="K963">
        <v>0</v>
      </c>
      <c r="L963">
        <v>0</v>
      </c>
      <c r="M963">
        <v>672</v>
      </c>
      <c r="N963">
        <v>121773.92</v>
      </c>
      <c r="O963">
        <v>181.21</v>
      </c>
    </row>
    <row r="964" spans="1:15" x14ac:dyDescent="0.35">
      <c r="A964" t="s">
        <v>1309</v>
      </c>
      <c r="B964" t="s">
        <v>1310</v>
      </c>
      <c r="C964" t="s">
        <v>1184</v>
      </c>
      <c r="D964" t="s">
        <v>314</v>
      </c>
      <c r="E964" t="s">
        <v>294</v>
      </c>
      <c r="F964" t="s">
        <v>1321</v>
      </c>
      <c r="G964">
        <v>1</v>
      </c>
      <c r="H964">
        <v>136.80000000000001</v>
      </c>
      <c r="I964">
        <v>136.80000000000001</v>
      </c>
      <c r="J964">
        <v>0</v>
      </c>
      <c r="K964">
        <v>0</v>
      </c>
      <c r="L964">
        <v>0</v>
      </c>
      <c r="M964">
        <v>1</v>
      </c>
      <c r="N964">
        <v>136.80000000000001</v>
      </c>
      <c r="O964">
        <v>136.80000000000001</v>
      </c>
    </row>
    <row r="965" spans="1:15" x14ac:dyDescent="0.35">
      <c r="A965" t="s">
        <v>1309</v>
      </c>
      <c r="B965" t="s">
        <v>1310</v>
      </c>
      <c r="C965" t="s">
        <v>1184</v>
      </c>
      <c r="D965" t="s">
        <v>314</v>
      </c>
      <c r="E965" t="s">
        <v>296</v>
      </c>
      <c r="F965" t="s">
        <v>1322</v>
      </c>
      <c r="G965">
        <v>10</v>
      </c>
      <c r="H965">
        <v>1975.5</v>
      </c>
      <c r="I965">
        <v>197.55</v>
      </c>
      <c r="J965">
        <v>0</v>
      </c>
      <c r="K965">
        <v>0</v>
      </c>
      <c r="L965">
        <v>0</v>
      </c>
      <c r="M965">
        <v>10</v>
      </c>
      <c r="N965">
        <v>1975.5</v>
      </c>
      <c r="O965">
        <v>197.55</v>
      </c>
    </row>
    <row r="966" spans="1:15" x14ac:dyDescent="0.35">
      <c r="A966" t="s">
        <v>1309</v>
      </c>
      <c r="B966" t="s">
        <v>1310</v>
      </c>
      <c r="C966" t="s">
        <v>1184</v>
      </c>
      <c r="D966" t="s">
        <v>314</v>
      </c>
      <c r="E966" t="s">
        <v>298</v>
      </c>
      <c r="F966" t="s">
        <v>1323</v>
      </c>
      <c r="G966">
        <v>1</v>
      </c>
      <c r="H966">
        <v>218.64</v>
      </c>
      <c r="I966">
        <v>218.64</v>
      </c>
      <c r="J966">
        <v>0</v>
      </c>
      <c r="K966">
        <v>0</v>
      </c>
      <c r="L966">
        <v>0</v>
      </c>
      <c r="M966">
        <v>1</v>
      </c>
      <c r="N966">
        <v>218.64</v>
      </c>
      <c r="O966">
        <v>218.64</v>
      </c>
    </row>
    <row r="967" spans="1:15" x14ac:dyDescent="0.35">
      <c r="A967" t="s">
        <v>1309</v>
      </c>
      <c r="B967" t="s">
        <v>1310</v>
      </c>
      <c r="C967" t="s">
        <v>1184</v>
      </c>
      <c r="D967" t="s">
        <v>314</v>
      </c>
      <c r="E967" t="s">
        <v>300</v>
      </c>
      <c r="F967" t="s">
        <v>1324</v>
      </c>
      <c r="G967">
        <v>0</v>
      </c>
      <c r="H967">
        <v>0</v>
      </c>
      <c r="I967">
        <v>0</v>
      </c>
      <c r="J967">
        <v>0</v>
      </c>
      <c r="K967">
        <v>0</v>
      </c>
      <c r="L967">
        <v>0</v>
      </c>
      <c r="M967">
        <v>0</v>
      </c>
      <c r="N967">
        <v>0</v>
      </c>
      <c r="O967">
        <v>0</v>
      </c>
    </row>
    <row r="968" spans="1:15" x14ac:dyDescent="0.35">
      <c r="A968" t="s">
        <v>1309</v>
      </c>
      <c r="B968" t="s">
        <v>1310</v>
      </c>
      <c r="C968" t="s">
        <v>1184</v>
      </c>
      <c r="D968" t="s">
        <v>314</v>
      </c>
      <c r="E968" t="s">
        <v>306</v>
      </c>
      <c r="F968" t="s">
        <v>1325</v>
      </c>
      <c r="G968">
        <v>0</v>
      </c>
      <c r="H968">
        <v>0</v>
      </c>
      <c r="I968">
        <v>0</v>
      </c>
      <c r="J968">
        <v>0</v>
      </c>
      <c r="K968">
        <v>0</v>
      </c>
      <c r="L968">
        <v>0</v>
      </c>
      <c r="M968">
        <v>0</v>
      </c>
      <c r="N968">
        <v>0</v>
      </c>
      <c r="O968">
        <v>0</v>
      </c>
    </row>
    <row r="969" spans="1:15" x14ac:dyDescent="0.35">
      <c r="A969" t="s">
        <v>1309</v>
      </c>
      <c r="B969" t="s">
        <v>1310</v>
      </c>
      <c r="C969" t="s">
        <v>1184</v>
      </c>
      <c r="D969" t="s">
        <v>314</v>
      </c>
      <c r="E969" t="s">
        <v>308</v>
      </c>
      <c r="F969" t="s">
        <v>1326</v>
      </c>
      <c r="G969">
        <v>0</v>
      </c>
      <c r="H969">
        <v>0</v>
      </c>
      <c r="I969">
        <v>0</v>
      </c>
      <c r="J969">
        <v>0</v>
      </c>
      <c r="K969">
        <v>0</v>
      </c>
      <c r="L969">
        <v>0</v>
      </c>
      <c r="M969">
        <v>0</v>
      </c>
      <c r="N969">
        <v>0</v>
      </c>
      <c r="O969">
        <v>0</v>
      </c>
    </row>
    <row r="970" spans="1:15" x14ac:dyDescent="0.35">
      <c r="A970" t="s">
        <v>1309</v>
      </c>
      <c r="B970" t="s">
        <v>1310</v>
      </c>
      <c r="C970" t="s">
        <v>1184</v>
      </c>
      <c r="D970" t="s">
        <v>314</v>
      </c>
      <c r="E970" t="s">
        <v>312</v>
      </c>
      <c r="F970" t="s">
        <v>1327</v>
      </c>
      <c r="G970">
        <v>12</v>
      </c>
      <c r="H970">
        <v>2330.94</v>
      </c>
      <c r="I970">
        <v>194.25</v>
      </c>
      <c r="J970">
        <v>0</v>
      </c>
      <c r="K970">
        <v>0</v>
      </c>
      <c r="L970">
        <v>0</v>
      </c>
      <c r="M970">
        <v>12</v>
      </c>
      <c r="N970">
        <v>2330.94</v>
      </c>
      <c r="O970">
        <v>194.25</v>
      </c>
    </row>
    <row r="971" spans="1:15" x14ac:dyDescent="0.35">
      <c r="A971" t="s">
        <v>1309</v>
      </c>
      <c r="B971" t="s">
        <v>1310</v>
      </c>
      <c r="C971" t="s">
        <v>1184</v>
      </c>
      <c r="D971" t="s">
        <v>314</v>
      </c>
      <c r="E971" t="s">
        <v>310</v>
      </c>
      <c r="F971" t="s">
        <v>1328</v>
      </c>
      <c r="G971">
        <v>12</v>
      </c>
      <c r="H971">
        <v>2330.94</v>
      </c>
      <c r="I971">
        <v>194.25</v>
      </c>
      <c r="J971">
        <v>0</v>
      </c>
      <c r="K971">
        <v>0</v>
      </c>
      <c r="L971">
        <v>0</v>
      </c>
      <c r="M971">
        <v>12</v>
      </c>
      <c r="N971">
        <v>2330.94</v>
      </c>
      <c r="O971">
        <v>194.25</v>
      </c>
    </row>
    <row r="972" spans="1:15" x14ac:dyDescent="0.35">
      <c r="A972" t="s">
        <v>1309</v>
      </c>
      <c r="B972" t="s">
        <v>1310</v>
      </c>
      <c r="C972" t="s">
        <v>1184</v>
      </c>
      <c r="D972" t="s">
        <v>323</v>
      </c>
      <c r="E972" t="s">
        <v>294</v>
      </c>
      <c r="F972" t="s">
        <v>1329</v>
      </c>
      <c r="G972">
        <v>2445</v>
      </c>
      <c r="H972">
        <v>260230.82000000004</v>
      </c>
      <c r="I972">
        <v>106.43</v>
      </c>
      <c r="J972">
        <v>0</v>
      </c>
      <c r="K972">
        <v>0</v>
      </c>
      <c r="L972">
        <v>0</v>
      </c>
      <c r="M972">
        <v>2445</v>
      </c>
      <c r="N972">
        <v>260230.82000000004</v>
      </c>
      <c r="O972">
        <v>106.43</v>
      </c>
    </row>
    <row r="973" spans="1:15" x14ac:dyDescent="0.35">
      <c r="A973" t="s">
        <v>1309</v>
      </c>
      <c r="B973" t="s">
        <v>1310</v>
      </c>
      <c r="C973" t="s">
        <v>1184</v>
      </c>
      <c r="D973" t="s">
        <v>323</v>
      </c>
      <c r="E973" t="s">
        <v>296</v>
      </c>
      <c r="F973" t="s">
        <v>1330</v>
      </c>
      <c r="G973">
        <v>4813</v>
      </c>
      <c r="H973">
        <v>611540.12</v>
      </c>
      <c r="I973">
        <v>127.06</v>
      </c>
      <c r="J973">
        <v>0</v>
      </c>
      <c r="K973">
        <v>0</v>
      </c>
      <c r="L973">
        <v>0</v>
      </c>
      <c r="M973">
        <v>4813</v>
      </c>
      <c r="N973">
        <v>611540.12</v>
      </c>
      <c r="O973">
        <v>127.06</v>
      </c>
    </row>
    <row r="974" spans="1:15" x14ac:dyDescent="0.35">
      <c r="A974" t="s">
        <v>1309</v>
      </c>
      <c r="B974" t="s">
        <v>1310</v>
      </c>
      <c r="C974" t="s">
        <v>1184</v>
      </c>
      <c r="D974" t="s">
        <v>323</v>
      </c>
      <c r="E974" t="s">
        <v>298</v>
      </c>
      <c r="F974" t="s">
        <v>1331</v>
      </c>
      <c r="G974">
        <v>4005</v>
      </c>
      <c r="H974">
        <v>555235.86</v>
      </c>
      <c r="I974">
        <v>138.63999999999999</v>
      </c>
      <c r="J974">
        <v>0</v>
      </c>
      <c r="K974">
        <v>0</v>
      </c>
      <c r="L974">
        <v>0</v>
      </c>
      <c r="M974">
        <v>4005</v>
      </c>
      <c r="N974">
        <v>555235.86</v>
      </c>
      <c r="O974">
        <v>138.63999999999999</v>
      </c>
    </row>
    <row r="975" spans="1:15" x14ac:dyDescent="0.35">
      <c r="A975" t="s">
        <v>1309</v>
      </c>
      <c r="B975" t="s">
        <v>1310</v>
      </c>
      <c r="C975" t="s">
        <v>1184</v>
      </c>
      <c r="D975" t="s">
        <v>323</v>
      </c>
      <c r="E975" t="s">
        <v>300</v>
      </c>
      <c r="F975" t="s">
        <v>1332</v>
      </c>
      <c r="G975">
        <v>535</v>
      </c>
      <c r="H975">
        <v>94002.72</v>
      </c>
      <c r="I975">
        <v>175.71</v>
      </c>
      <c r="J975">
        <v>0</v>
      </c>
      <c r="K975">
        <v>0</v>
      </c>
      <c r="L975">
        <v>0</v>
      </c>
      <c r="M975">
        <v>535</v>
      </c>
      <c r="N975">
        <v>94002.72</v>
      </c>
      <c r="O975">
        <v>175.71</v>
      </c>
    </row>
    <row r="976" spans="1:15" x14ac:dyDescent="0.35">
      <c r="A976" t="s">
        <v>1309</v>
      </c>
      <c r="B976" t="s">
        <v>1310</v>
      </c>
      <c r="C976" t="s">
        <v>1184</v>
      </c>
      <c r="D976" t="s">
        <v>323</v>
      </c>
      <c r="E976" t="s">
        <v>302</v>
      </c>
      <c r="F976" t="s">
        <v>1333</v>
      </c>
      <c r="G976">
        <v>22</v>
      </c>
      <c r="H976">
        <v>4230.7</v>
      </c>
      <c r="I976">
        <v>192.3</v>
      </c>
      <c r="J976">
        <v>0</v>
      </c>
      <c r="K976">
        <v>0</v>
      </c>
      <c r="L976">
        <v>0</v>
      </c>
      <c r="M976">
        <v>22</v>
      </c>
      <c r="N976">
        <v>4230.7</v>
      </c>
      <c r="O976">
        <v>192.3</v>
      </c>
    </row>
    <row r="977" spans="1:15" x14ac:dyDescent="0.35">
      <c r="A977" t="s">
        <v>1309</v>
      </c>
      <c r="B977" t="s">
        <v>1310</v>
      </c>
      <c r="C977" t="s">
        <v>1184</v>
      </c>
      <c r="D977" t="s">
        <v>323</v>
      </c>
      <c r="E977" t="s">
        <v>304</v>
      </c>
      <c r="F977" t="s">
        <v>1334</v>
      </c>
      <c r="G977">
        <v>1</v>
      </c>
      <c r="H977">
        <v>161.47</v>
      </c>
      <c r="I977">
        <v>161.47</v>
      </c>
      <c r="J977">
        <v>0</v>
      </c>
      <c r="K977">
        <v>0</v>
      </c>
      <c r="L977">
        <v>0</v>
      </c>
      <c r="M977">
        <v>1</v>
      </c>
      <c r="N977">
        <v>161.47</v>
      </c>
      <c r="O977">
        <v>161.47</v>
      </c>
    </row>
    <row r="978" spans="1:15" x14ac:dyDescent="0.35">
      <c r="A978" t="s">
        <v>1309</v>
      </c>
      <c r="B978" t="s">
        <v>1310</v>
      </c>
      <c r="C978" t="s">
        <v>1184</v>
      </c>
      <c r="D978" t="s">
        <v>323</v>
      </c>
      <c r="E978" t="s">
        <v>306</v>
      </c>
      <c r="F978" t="s">
        <v>1335</v>
      </c>
      <c r="G978">
        <v>51</v>
      </c>
      <c r="H978">
        <v>4544.8599999999997</v>
      </c>
      <c r="I978">
        <v>89.11</v>
      </c>
      <c r="J978">
        <v>0</v>
      </c>
      <c r="K978">
        <v>0</v>
      </c>
      <c r="L978">
        <v>0</v>
      </c>
      <c r="M978">
        <v>51</v>
      </c>
      <c r="N978">
        <v>4544.8599999999997</v>
      </c>
      <c r="O978">
        <v>89.11</v>
      </c>
    </row>
    <row r="979" spans="1:15" x14ac:dyDescent="0.35">
      <c r="A979" t="s">
        <v>1309</v>
      </c>
      <c r="B979" t="s">
        <v>1310</v>
      </c>
      <c r="C979" t="s">
        <v>1184</v>
      </c>
      <c r="D979" t="s">
        <v>323</v>
      </c>
      <c r="E979" t="s">
        <v>308</v>
      </c>
      <c r="F979" t="s">
        <v>1336</v>
      </c>
      <c r="G979">
        <v>0</v>
      </c>
      <c r="H979">
        <v>0</v>
      </c>
      <c r="I979">
        <v>0</v>
      </c>
      <c r="J979">
        <v>0</v>
      </c>
      <c r="K979">
        <v>0</v>
      </c>
      <c r="L979">
        <v>0</v>
      </c>
      <c r="M979">
        <v>0</v>
      </c>
      <c r="N979">
        <v>0</v>
      </c>
      <c r="O979">
        <v>0</v>
      </c>
    </row>
    <row r="980" spans="1:15" x14ac:dyDescent="0.35">
      <c r="A980" t="s">
        <v>1309</v>
      </c>
      <c r="B980" t="s">
        <v>1310</v>
      </c>
      <c r="C980" t="s">
        <v>1184</v>
      </c>
      <c r="D980" t="s">
        <v>323</v>
      </c>
      <c r="E980" t="s">
        <v>310</v>
      </c>
      <c r="F980" t="s">
        <v>1337</v>
      </c>
      <c r="G980">
        <v>11872</v>
      </c>
      <c r="H980">
        <v>1529946.55</v>
      </c>
      <c r="I980">
        <v>128.87</v>
      </c>
      <c r="J980">
        <v>0</v>
      </c>
      <c r="K980">
        <v>0</v>
      </c>
      <c r="L980">
        <v>0</v>
      </c>
      <c r="M980">
        <v>11872</v>
      </c>
      <c r="N980">
        <v>1529946.55</v>
      </c>
      <c r="O980">
        <v>128.87</v>
      </c>
    </row>
    <row r="981" spans="1:15" x14ac:dyDescent="0.35">
      <c r="A981" t="s">
        <v>1309</v>
      </c>
      <c r="B981" t="s">
        <v>1310</v>
      </c>
      <c r="C981" t="s">
        <v>1184</v>
      </c>
      <c r="D981" t="s">
        <v>323</v>
      </c>
      <c r="E981" t="s">
        <v>312</v>
      </c>
      <c r="F981" t="s">
        <v>1338</v>
      </c>
      <c r="G981">
        <v>11872</v>
      </c>
      <c r="H981">
        <v>1529946.55</v>
      </c>
      <c r="I981">
        <v>128.87</v>
      </c>
      <c r="J981">
        <v>0</v>
      </c>
      <c r="K981">
        <v>0</v>
      </c>
      <c r="L981">
        <v>0</v>
      </c>
      <c r="M981">
        <v>11872</v>
      </c>
      <c r="N981">
        <v>1529946.55</v>
      </c>
      <c r="O981">
        <v>128.87</v>
      </c>
    </row>
    <row r="982" spans="1:15" x14ac:dyDescent="0.35">
      <c r="A982" t="s">
        <v>1309</v>
      </c>
      <c r="B982" t="s">
        <v>1310</v>
      </c>
      <c r="C982" t="s">
        <v>1184</v>
      </c>
      <c r="D982" t="s">
        <v>334</v>
      </c>
      <c r="E982" t="s">
        <v>312</v>
      </c>
      <c r="F982" t="s">
        <v>1339</v>
      </c>
      <c r="G982">
        <v>12831</v>
      </c>
      <c r="H982">
        <v>1651720.4700000002</v>
      </c>
      <c r="I982">
        <v>131.66999999999999</v>
      </c>
      <c r="J982">
        <v>0</v>
      </c>
      <c r="K982">
        <v>0</v>
      </c>
      <c r="L982">
        <v>0</v>
      </c>
      <c r="M982">
        <v>12831</v>
      </c>
      <c r="N982">
        <v>1651720.4700000002</v>
      </c>
      <c r="O982">
        <v>131.66999999999999</v>
      </c>
    </row>
    <row r="983" spans="1:15" x14ac:dyDescent="0.35">
      <c r="A983" t="s">
        <v>1309</v>
      </c>
      <c r="B983" t="s">
        <v>1310</v>
      </c>
      <c r="C983" t="s">
        <v>1184</v>
      </c>
      <c r="D983" t="s">
        <v>334</v>
      </c>
      <c r="E983" t="s">
        <v>308</v>
      </c>
      <c r="F983" t="s">
        <v>1340</v>
      </c>
      <c r="G983">
        <v>0</v>
      </c>
      <c r="H983">
        <v>0</v>
      </c>
      <c r="I983">
        <v>0</v>
      </c>
      <c r="J983">
        <v>0</v>
      </c>
      <c r="K983">
        <v>0</v>
      </c>
      <c r="L983">
        <v>0</v>
      </c>
      <c r="M983">
        <v>0</v>
      </c>
      <c r="N983">
        <v>0</v>
      </c>
      <c r="O983">
        <v>0</v>
      </c>
    </row>
    <row r="984" spans="1:15" x14ac:dyDescent="0.35">
      <c r="A984" t="s">
        <v>1309</v>
      </c>
      <c r="B984" t="s">
        <v>1310</v>
      </c>
      <c r="C984" t="s">
        <v>1184</v>
      </c>
      <c r="D984" t="s">
        <v>337</v>
      </c>
      <c r="E984" t="s">
        <v>337</v>
      </c>
      <c r="F984" t="s">
        <v>1341</v>
      </c>
      <c r="G984">
        <v>1697</v>
      </c>
      <c r="J984">
        <v>0</v>
      </c>
      <c r="M984">
        <v>1697</v>
      </c>
    </row>
    <row r="985" spans="1:15" x14ac:dyDescent="0.35">
      <c r="A985" t="s">
        <v>1309</v>
      </c>
      <c r="B985" t="s">
        <v>1310</v>
      </c>
      <c r="C985" t="s">
        <v>1184</v>
      </c>
      <c r="D985" t="s">
        <v>339</v>
      </c>
      <c r="E985" t="s">
        <v>294</v>
      </c>
      <c r="F985" t="s">
        <v>1342</v>
      </c>
      <c r="G985">
        <v>1437</v>
      </c>
      <c r="H985">
        <v>164111.15000000002</v>
      </c>
      <c r="I985">
        <v>114.2</v>
      </c>
      <c r="J985">
        <v>0</v>
      </c>
      <c r="K985">
        <v>0</v>
      </c>
      <c r="L985">
        <v>0</v>
      </c>
      <c r="M985">
        <v>1437</v>
      </c>
      <c r="N985">
        <v>164111.15000000002</v>
      </c>
      <c r="O985">
        <v>114.2</v>
      </c>
    </row>
    <row r="986" spans="1:15" x14ac:dyDescent="0.35">
      <c r="A986" t="s">
        <v>1309</v>
      </c>
      <c r="B986" t="s">
        <v>1310</v>
      </c>
      <c r="C986" t="s">
        <v>1184</v>
      </c>
      <c r="D986" t="s">
        <v>339</v>
      </c>
      <c r="E986" t="s">
        <v>296</v>
      </c>
      <c r="F986" t="s">
        <v>1343</v>
      </c>
      <c r="G986">
        <v>317</v>
      </c>
      <c r="H986">
        <v>45227.73</v>
      </c>
      <c r="I986">
        <v>142.66999999999999</v>
      </c>
      <c r="J986">
        <v>0</v>
      </c>
      <c r="K986">
        <v>0</v>
      </c>
      <c r="L986">
        <v>0</v>
      </c>
      <c r="M986">
        <v>317</v>
      </c>
      <c r="N986">
        <v>45227.73</v>
      </c>
      <c r="O986">
        <v>142.66999999999999</v>
      </c>
    </row>
    <row r="987" spans="1:15" x14ac:dyDescent="0.35">
      <c r="A987" t="s">
        <v>1309</v>
      </c>
      <c r="B987" t="s">
        <v>1310</v>
      </c>
      <c r="C987" t="s">
        <v>1184</v>
      </c>
      <c r="D987" t="s">
        <v>339</v>
      </c>
      <c r="E987" t="s">
        <v>298</v>
      </c>
      <c r="F987" t="s">
        <v>1344</v>
      </c>
      <c r="G987">
        <v>8</v>
      </c>
      <c r="H987">
        <v>1028.5999999999999</v>
      </c>
      <c r="I987">
        <v>128.58000000000001</v>
      </c>
      <c r="J987">
        <v>0</v>
      </c>
      <c r="K987">
        <v>0</v>
      </c>
      <c r="L987">
        <v>0</v>
      </c>
      <c r="M987">
        <v>8</v>
      </c>
      <c r="N987">
        <v>1028.5999999999999</v>
      </c>
      <c r="O987">
        <v>128.58000000000001</v>
      </c>
    </row>
    <row r="988" spans="1:15" x14ac:dyDescent="0.35">
      <c r="A988" t="s">
        <v>1309</v>
      </c>
      <c r="B988" t="s">
        <v>1310</v>
      </c>
      <c r="C988" t="s">
        <v>1184</v>
      </c>
      <c r="D988" t="s">
        <v>339</v>
      </c>
      <c r="E988" t="s">
        <v>300</v>
      </c>
      <c r="F988" t="s">
        <v>1345</v>
      </c>
      <c r="G988">
        <v>6</v>
      </c>
      <c r="H988">
        <v>955.5</v>
      </c>
      <c r="I988">
        <v>159.25</v>
      </c>
      <c r="J988">
        <v>0</v>
      </c>
      <c r="K988">
        <v>0</v>
      </c>
      <c r="L988">
        <v>0</v>
      </c>
      <c r="M988">
        <v>6</v>
      </c>
      <c r="N988">
        <v>955.5</v>
      </c>
      <c r="O988">
        <v>159.25</v>
      </c>
    </row>
    <row r="989" spans="1:15" x14ac:dyDescent="0.35">
      <c r="A989" t="s">
        <v>1309</v>
      </c>
      <c r="B989" t="s">
        <v>1310</v>
      </c>
      <c r="C989" t="s">
        <v>1184</v>
      </c>
      <c r="D989" t="s">
        <v>339</v>
      </c>
      <c r="E989" t="s">
        <v>306</v>
      </c>
      <c r="F989" t="s">
        <v>1346</v>
      </c>
      <c r="G989">
        <v>156</v>
      </c>
      <c r="H989">
        <v>15711.48</v>
      </c>
      <c r="I989">
        <v>100.71</v>
      </c>
      <c r="J989">
        <v>0</v>
      </c>
      <c r="K989">
        <v>0</v>
      </c>
      <c r="L989">
        <v>0</v>
      </c>
      <c r="M989">
        <v>156</v>
      </c>
      <c r="N989">
        <v>15711.48</v>
      </c>
      <c r="O989">
        <v>100.71</v>
      </c>
    </row>
    <row r="990" spans="1:15" x14ac:dyDescent="0.35">
      <c r="A990" t="s">
        <v>1309</v>
      </c>
      <c r="B990" t="s">
        <v>1310</v>
      </c>
      <c r="C990" t="s">
        <v>1184</v>
      </c>
      <c r="D990" t="s">
        <v>339</v>
      </c>
      <c r="E990" t="s">
        <v>308</v>
      </c>
      <c r="F990" t="s">
        <v>1347</v>
      </c>
      <c r="G990">
        <v>86</v>
      </c>
      <c r="H990">
        <v>9782.36</v>
      </c>
      <c r="I990">
        <v>113.75</v>
      </c>
      <c r="J990">
        <v>0</v>
      </c>
      <c r="K990">
        <v>0</v>
      </c>
      <c r="L990">
        <v>0</v>
      </c>
      <c r="M990">
        <v>86</v>
      </c>
      <c r="N990">
        <v>9782.36</v>
      </c>
      <c r="O990">
        <v>113.75</v>
      </c>
    </row>
    <row r="991" spans="1:15" x14ac:dyDescent="0.35">
      <c r="A991" t="s">
        <v>1309</v>
      </c>
      <c r="B991" t="s">
        <v>1310</v>
      </c>
      <c r="C991" t="s">
        <v>1184</v>
      </c>
      <c r="D991" t="s">
        <v>339</v>
      </c>
      <c r="E991" t="s">
        <v>310</v>
      </c>
      <c r="F991" t="s">
        <v>1348</v>
      </c>
      <c r="G991">
        <v>2010</v>
      </c>
      <c r="H991">
        <v>236816.82000000007</v>
      </c>
      <c r="I991">
        <v>117.82</v>
      </c>
      <c r="J991">
        <v>0</v>
      </c>
      <c r="K991">
        <v>0</v>
      </c>
      <c r="L991">
        <v>0</v>
      </c>
      <c r="M991">
        <v>2010</v>
      </c>
      <c r="N991">
        <v>236816.82000000007</v>
      </c>
      <c r="O991">
        <v>117.82</v>
      </c>
    </row>
    <row r="992" spans="1:15" x14ac:dyDescent="0.35">
      <c r="A992" t="s">
        <v>1309</v>
      </c>
      <c r="B992" t="s">
        <v>1310</v>
      </c>
      <c r="C992" t="s">
        <v>1184</v>
      </c>
      <c r="D992" t="s">
        <v>339</v>
      </c>
      <c r="E992" t="s">
        <v>312</v>
      </c>
      <c r="F992" t="s">
        <v>1349</v>
      </c>
      <c r="G992">
        <v>1924</v>
      </c>
      <c r="H992">
        <v>227034.46000000005</v>
      </c>
      <c r="I992">
        <v>118</v>
      </c>
      <c r="J992">
        <v>0</v>
      </c>
      <c r="K992">
        <v>0</v>
      </c>
      <c r="L992">
        <v>0</v>
      </c>
      <c r="M992">
        <v>1924</v>
      </c>
      <c r="N992">
        <v>227034.46000000005</v>
      </c>
      <c r="O992">
        <v>118</v>
      </c>
    </row>
    <row r="993" spans="1:15" x14ac:dyDescent="0.35">
      <c r="A993" t="s">
        <v>1309</v>
      </c>
      <c r="B993" t="s">
        <v>1310</v>
      </c>
      <c r="C993" t="s">
        <v>1184</v>
      </c>
      <c r="D993" t="s">
        <v>348</v>
      </c>
      <c r="E993" t="s">
        <v>349</v>
      </c>
      <c r="F993" t="s">
        <v>1350</v>
      </c>
      <c r="G993">
        <v>2161</v>
      </c>
      <c r="H993">
        <v>239147.76000000007</v>
      </c>
      <c r="I993">
        <v>118.27</v>
      </c>
      <c r="J993">
        <v>0</v>
      </c>
      <c r="K993">
        <v>0</v>
      </c>
      <c r="L993">
        <v>0</v>
      </c>
      <c r="M993">
        <v>2161</v>
      </c>
      <c r="N993">
        <v>239147.76000000007</v>
      </c>
      <c r="O993">
        <v>118.27</v>
      </c>
    </row>
    <row r="994" spans="1:15" x14ac:dyDescent="0.35">
      <c r="A994" t="s">
        <v>1351</v>
      </c>
      <c r="B994" t="s">
        <v>1352</v>
      </c>
      <c r="C994" t="s">
        <v>1184</v>
      </c>
      <c r="D994" t="s">
        <v>293</v>
      </c>
      <c r="E994" t="s">
        <v>294</v>
      </c>
      <c r="F994" t="s">
        <v>1353</v>
      </c>
      <c r="G994">
        <v>327</v>
      </c>
      <c r="H994">
        <v>36241.750000000007</v>
      </c>
      <c r="I994">
        <v>110.83</v>
      </c>
      <c r="J994">
        <v>0</v>
      </c>
      <c r="K994">
        <v>0</v>
      </c>
      <c r="L994">
        <v>0</v>
      </c>
      <c r="M994">
        <v>327</v>
      </c>
      <c r="N994">
        <v>36241.750000000007</v>
      </c>
      <c r="O994">
        <v>110.83</v>
      </c>
    </row>
    <row r="995" spans="1:15" x14ac:dyDescent="0.35">
      <c r="A995" t="s">
        <v>1351</v>
      </c>
      <c r="B995" t="s">
        <v>1352</v>
      </c>
      <c r="C995" t="s">
        <v>1184</v>
      </c>
      <c r="D995" t="s">
        <v>293</v>
      </c>
      <c r="E995" t="s">
        <v>296</v>
      </c>
      <c r="F995" t="s">
        <v>1354</v>
      </c>
      <c r="G995">
        <v>724</v>
      </c>
      <c r="H995">
        <v>102558.74</v>
      </c>
      <c r="I995">
        <v>141.66</v>
      </c>
      <c r="J995">
        <v>0</v>
      </c>
      <c r="K995">
        <v>0</v>
      </c>
      <c r="L995">
        <v>0</v>
      </c>
      <c r="M995">
        <v>724</v>
      </c>
      <c r="N995">
        <v>102558.74</v>
      </c>
      <c r="O995">
        <v>141.66</v>
      </c>
    </row>
    <row r="996" spans="1:15" x14ac:dyDescent="0.35">
      <c r="A996" t="s">
        <v>1351</v>
      </c>
      <c r="B996" t="s">
        <v>1352</v>
      </c>
      <c r="C996" t="s">
        <v>1184</v>
      </c>
      <c r="D996" t="s">
        <v>293</v>
      </c>
      <c r="E996" t="s">
        <v>298</v>
      </c>
      <c r="F996" t="s">
        <v>1355</v>
      </c>
      <c r="G996">
        <v>427</v>
      </c>
      <c r="H996">
        <v>71800.679999999993</v>
      </c>
      <c r="I996">
        <v>168.15</v>
      </c>
      <c r="J996">
        <v>0</v>
      </c>
      <c r="K996">
        <v>0</v>
      </c>
      <c r="L996">
        <v>0</v>
      </c>
      <c r="M996">
        <v>427</v>
      </c>
      <c r="N996">
        <v>71800.679999999993</v>
      </c>
      <c r="O996">
        <v>168.15</v>
      </c>
    </row>
    <row r="997" spans="1:15" x14ac:dyDescent="0.35">
      <c r="A997" t="s">
        <v>1351</v>
      </c>
      <c r="B997" t="s">
        <v>1352</v>
      </c>
      <c r="C997" t="s">
        <v>1184</v>
      </c>
      <c r="D997" t="s">
        <v>293</v>
      </c>
      <c r="E997" t="s">
        <v>300</v>
      </c>
      <c r="F997" t="s">
        <v>1356</v>
      </c>
      <c r="G997">
        <v>69</v>
      </c>
      <c r="H997">
        <v>13343.58</v>
      </c>
      <c r="I997">
        <v>193.39</v>
      </c>
      <c r="J997">
        <v>0</v>
      </c>
      <c r="K997">
        <v>0</v>
      </c>
      <c r="L997">
        <v>0</v>
      </c>
      <c r="M997">
        <v>69</v>
      </c>
      <c r="N997">
        <v>13343.58</v>
      </c>
      <c r="O997">
        <v>193.39</v>
      </c>
    </row>
    <row r="998" spans="1:15" x14ac:dyDescent="0.35">
      <c r="A998" t="s">
        <v>1351</v>
      </c>
      <c r="B998" t="s">
        <v>1352</v>
      </c>
      <c r="C998" t="s">
        <v>1184</v>
      </c>
      <c r="D998" t="s">
        <v>293</v>
      </c>
      <c r="E998" t="s">
        <v>302</v>
      </c>
      <c r="F998" t="s">
        <v>1357</v>
      </c>
      <c r="G998">
        <v>0</v>
      </c>
      <c r="H998">
        <v>0</v>
      </c>
      <c r="I998">
        <v>0</v>
      </c>
      <c r="J998">
        <v>0</v>
      </c>
      <c r="K998">
        <v>0</v>
      </c>
      <c r="L998">
        <v>0</v>
      </c>
      <c r="M998">
        <v>0</v>
      </c>
      <c r="N998">
        <v>0</v>
      </c>
      <c r="O998">
        <v>0</v>
      </c>
    </row>
    <row r="999" spans="1:15" x14ac:dyDescent="0.35">
      <c r="A999" t="s">
        <v>1351</v>
      </c>
      <c r="B999" t="s">
        <v>1352</v>
      </c>
      <c r="C999" t="s">
        <v>1184</v>
      </c>
      <c r="D999" t="s">
        <v>293</v>
      </c>
      <c r="E999" t="s">
        <v>304</v>
      </c>
      <c r="F999" t="s">
        <v>1358</v>
      </c>
      <c r="G999">
        <v>0</v>
      </c>
      <c r="H999">
        <v>0</v>
      </c>
      <c r="I999">
        <v>0</v>
      </c>
      <c r="J999">
        <v>0</v>
      </c>
      <c r="K999">
        <v>0</v>
      </c>
      <c r="L999">
        <v>0</v>
      </c>
      <c r="M999">
        <v>0</v>
      </c>
      <c r="N999">
        <v>0</v>
      </c>
      <c r="O999">
        <v>0</v>
      </c>
    </row>
    <row r="1000" spans="1:15" x14ac:dyDescent="0.35">
      <c r="A1000" t="s">
        <v>1351</v>
      </c>
      <c r="B1000" t="s">
        <v>1352</v>
      </c>
      <c r="C1000" t="s">
        <v>1184</v>
      </c>
      <c r="D1000" t="s">
        <v>293</v>
      </c>
      <c r="E1000" t="s">
        <v>306</v>
      </c>
      <c r="F1000" t="s">
        <v>1359</v>
      </c>
      <c r="G1000">
        <v>4</v>
      </c>
      <c r="H1000">
        <v>333.08</v>
      </c>
      <c r="I1000">
        <v>83.27</v>
      </c>
      <c r="J1000">
        <v>0</v>
      </c>
      <c r="K1000">
        <v>0</v>
      </c>
      <c r="L1000">
        <v>0</v>
      </c>
      <c r="M1000">
        <v>4</v>
      </c>
      <c r="N1000">
        <v>333.08</v>
      </c>
      <c r="O1000">
        <v>83.27</v>
      </c>
    </row>
    <row r="1001" spans="1:15" x14ac:dyDescent="0.35">
      <c r="A1001" t="s">
        <v>1351</v>
      </c>
      <c r="B1001" t="s">
        <v>1352</v>
      </c>
      <c r="C1001" t="s">
        <v>1184</v>
      </c>
      <c r="D1001" t="s">
        <v>293</v>
      </c>
      <c r="E1001" t="s">
        <v>308</v>
      </c>
      <c r="F1001" t="s">
        <v>1360</v>
      </c>
      <c r="G1001">
        <v>0</v>
      </c>
      <c r="H1001">
        <v>0</v>
      </c>
      <c r="I1001">
        <v>0</v>
      </c>
      <c r="J1001">
        <v>0</v>
      </c>
      <c r="K1001">
        <v>0</v>
      </c>
      <c r="L1001">
        <v>0</v>
      </c>
      <c r="M1001">
        <v>0</v>
      </c>
      <c r="N1001">
        <v>0</v>
      </c>
      <c r="O1001">
        <v>0</v>
      </c>
    </row>
    <row r="1002" spans="1:15" x14ac:dyDescent="0.35">
      <c r="A1002" t="s">
        <v>1351</v>
      </c>
      <c r="B1002" t="s">
        <v>1352</v>
      </c>
      <c r="C1002" t="s">
        <v>1184</v>
      </c>
      <c r="D1002" t="s">
        <v>293</v>
      </c>
      <c r="E1002" t="s">
        <v>310</v>
      </c>
      <c r="F1002" t="s">
        <v>1361</v>
      </c>
      <c r="G1002">
        <v>1551</v>
      </c>
      <c r="H1002">
        <v>224277.83</v>
      </c>
      <c r="I1002">
        <v>144.6</v>
      </c>
      <c r="J1002">
        <v>0</v>
      </c>
      <c r="K1002">
        <v>0</v>
      </c>
      <c r="L1002">
        <v>0</v>
      </c>
      <c r="M1002">
        <v>1551</v>
      </c>
      <c r="N1002">
        <v>224277.83</v>
      </c>
      <c r="O1002">
        <v>144.6</v>
      </c>
    </row>
    <row r="1003" spans="1:15" x14ac:dyDescent="0.35">
      <c r="A1003" t="s">
        <v>1351</v>
      </c>
      <c r="B1003" t="s">
        <v>1352</v>
      </c>
      <c r="C1003" t="s">
        <v>1184</v>
      </c>
      <c r="D1003" t="s">
        <v>293</v>
      </c>
      <c r="E1003" t="s">
        <v>312</v>
      </c>
      <c r="F1003" t="s">
        <v>1362</v>
      </c>
      <c r="G1003">
        <v>1551</v>
      </c>
      <c r="H1003">
        <v>224277.83</v>
      </c>
      <c r="I1003">
        <v>144.6</v>
      </c>
      <c r="J1003">
        <v>0</v>
      </c>
      <c r="K1003">
        <v>0</v>
      </c>
      <c r="L1003">
        <v>0</v>
      </c>
      <c r="M1003">
        <v>1551</v>
      </c>
      <c r="N1003">
        <v>224277.83</v>
      </c>
      <c r="O1003">
        <v>144.6</v>
      </c>
    </row>
    <row r="1004" spans="1:15" x14ac:dyDescent="0.35">
      <c r="A1004" t="s">
        <v>1351</v>
      </c>
      <c r="B1004" t="s">
        <v>1352</v>
      </c>
      <c r="C1004" t="s">
        <v>1184</v>
      </c>
      <c r="D1004" t="s">
        <v>314</v>
      </c>
      <c r="E1004" t="s">
        <v>294</v>
      </c>
      <c r="F1004" t="s">
        <v>1363</v>
      </c>
      <c r="G1004">
        <v>12</v>
      </c>
      <c r="H1004">
        <v>1908.12</v>
      </c>
      <c r="I1004">
        <v>159.01</v>
      </c>
      <c r="J1004">
        <v>0</v>
      </c>
      <c r="K1004">
        <v>0</v>
      </c>
      <c r="L1004">
        <v>0</v>
      </c>
      <c r="M1004">
        <v>12</v>
      </c>
      <c r="N1004">
        <v>1908.12</v>
      </c>
      <c r="O1004">
        <v>159.01</v>
      </c>
    </row>
    <row r="1005" spans="1:15" x14ac:dyDescent="0.35">
      <c r="A1005" t="s">
        <v>1351</v>
      </c>
      <c r="B1005" t="s">
        <v>1352</v>
      </c>
      <c r="C1005" t="s">
        <v>1184</v>
      </c>
      <c r="D1005" t="s">
        <v>314</v>
      </c>
      <c r="E1005" t="s">
        <v>296</v>
      </c>
      <c r="F1005" t="s">
        <v>1364</v>
      </c>
      <c r="G1005">
        <v>2</v>
      </c>
      <c r="H1005">
        <v>357.51</v>
      </c>
      <c r="I1005">
        <v>178.76</v>
      </c>
      <c r="J1005">
        <v>0</v>
      </c>
      <c r="K1005">
        <v>0</v>
      </c>
      <c r="L1005">
        <v>0</v>
      </c>
      <c r="M1005">
        <v>2</v>
      </c>
      <c r="N1005">
        <v>357.51</v>
      </c>
      <c r="O1005">
        <v>178.76</v>
      </c>
    </row>
    <row r="1006" spans="1:15" x14ac:dyDescent="0.35">
      <c r="A1006" t="s">
        <v>1351</v>
      </c>
      <c r="B1006" t="s">
        <v>1352</v>
      </c>
      <c r="C1006" t="s">
        <v>1184</v>
      </c>
      <c r="D1006" t="s">
        <v>314</v>
      </c>
      <c r="E1006" t="s">
        <v>298</v>
      </c>
      <c r="F1006" t="s">
        <v>1365</v>
      </c>
      <c r="G1006">
        <v>0</v>
      </c>
      <c r="H1006">
        <v>0</v>
      </c>
      <c r="I1006">
        <v>0</v>
      </c>
      <c r="J1006">
        <v>0</v>
      </c>
      <c r="K1006">
        <v>0</v>
      </c>
      <c r="L1006">
        <v>0</v>
      </c>
      <c r="M1006">
        <v>0</v>
      </c>
      <c r="N1006">
        <v>0</v>
      </c>
      <c r="O1006">
        <v>0</v>
      </c>
    </row>
    <row r="1007" spans="1:15" x14ac:dyDescent="0.35">
      <c r="A1007" t="s">
        <v>1351</v>
      </c>
      <c r="B1007" t="s">
        <v>1352</v>
      </c>
      <c r="C1007" t="s">
        <v>1184</v>
      </c>
      <c r="D1007" t="s">
        <v>314</v>
      </c>
      <c r="E1007" t="s">
        <v>300</v>
      </c>
      <c r="F1007" t="s">
        <v>1366</v>
      </c>
      <c r="G1007">
        <v>0</v>
      </c>
      <c r="H1007">
        <v>0</v>
      </c>
      <c r="I1007">
        <v>0</v>
      </c>
      <c r="J1007">
        <v>0</v>
      </c>
      <c r="K1007">
        <v>0</v>
      </c>
      <c r="L1007">
        <v>0</v>
      </c>
      <c r="M1007">
        <v>0</v>
      </c>
      <c r="N1007">
        <v>0</v>
      </c>
      <c r="O1007">
        <v>0</v>
      </c>
    </row>
    <row r="1008" spans="1:15" x14ac:dyDescent="0.35">
      <c r="A1008" t="s">
        <v>1351</v>
      </c>
      <c r="B1008" t="s">
        <v>1352</v>
      </c>
      <c r="C1008" t="s">
        <v>1184</v>
      </c>
      <c r="D1008" t="s">
        <v>314</v>
      </c>
      <c r="E1008" t="s">
        <v>306</v>
      </c>
      <c r="F1008" t="s">
        <v>1367</v>
      </c>
      <c r="G1008">
        <v>0</v>
      </c>
      <c r="H1008">
        <v>0</v>
      </c>
      <c r="I1008">
        <v>0</v>
      </c>
      <c r="J1008">
        <v>0</v>
      </c>
      <c r="K1008">
        <v>0</v>
      </c>
      <c r="L1008">
        <v>0</v>
      </c>
      <c r="M1008">
        <v>0</v>
      </c>
      <c r="N1008">
        <v>0</v>
      </c>
      <c r="O1008">
        <v>0</v>
      </c>
    </row>
    <row r="1009" spans="1:15" x14ac:dyDescent="0.35">
      <c r="A1009" t="s">
        <v>1351</v>
      </c>
      <c r="B1009" t="s">
        <v>1352</v>
      </c>
      <c r="C1009" t="s">
        <v>1184</v>
      </c>
      <c r="D1009" t="s">
        <v>314</v>
      </c>
      <c r="E1009" t="s">
        <v>308</v>
      </c>
      <c r="F1009" t="s">
        <v>1368</v>
      </c>
      <c r="G1009">
        <v>20</v>
      </c>
      <c r="H1009">
        <v>3633.8</v>
      </c>
      <c r="I1009">
        <v>181.69</v>
      </c>
      <c r="J1009">
        <v>0</v>
      </c>
      <c r="K1009">
        <v>0</v>
      </c>
      <c r="L1009">
        <v>0</v>
      </c>
      <c r="M1009">
        <v>20</v>
      </c>
      <c r="N1009">
        <v>3633.8</v>
      </c>
      <c r="O1009">
        <v>181.69</v>
      </c>
    </row>
    <row r="1010" spans="1:15" x14ac:dyDescent="0.35">
      <c r="A1010" t="s">
        <v>1351</v>
      </c>
      <c r="B1010" t="s">
        <v>1352</v>
      </c>
      <c r="C1010" t="s">
        <v>1184</v>
      </c>
      <c r="D1010" t="s">
        <v>314</v>
      </c>
      <c r="E1010" t="s">
        <v>312</v>
      </c>
      <c r="F1010" t="s">
        <v>1369</v>
      </c>
      <c r="G1010">
        <v>14</v>
      </c>
      <c r="H1010">
        <v>2265.63</v>
      </c>
      <c r="I1010">
        <v>161.83000000000001</v>
      </c>
      <c r="J1010">
        <v>0</v>
      </c>
      <c r="K1010">
        <v>0</v>
      </c>
      <c r="L1010">
        <v>0</v>
      </c>
      <c r="M1010">
        <v>14</v>
      </c>
      <c r="N1010">
        <v>2265.63</v>
      </c>
      <c r="O1010">
        <v>161.83000000000001</v>
      </c>
    </row>
    <row r="1011" spans="1:15" x14ac:dyDescent="0.35">
      <c r="A1011" t="s">
        <v>1351</v>
      </c>
      <c r="B1011" t="s">
        <v>1352</v>
      </c>
      <c r="C1011" t="s">
        <v>1184</v>
      </c>
      <c r="D1011" t="s">
        <v>314</v>
      </c>
      <c r="E1011" t="s">
        <v>310</v>
      </c>
      <c r="F1011" t="s">
        <v>1370</v>
      </c>
      <c r="G1011">
        <v>34</v>
      </c>
      <c r="H1011">
        <v>5899.43</v>
      </c>
      <c r="I1011">
        <v>173.51</v>
      </c>
      <c r="J1011">
        <v>0</v>
      </c>
      <c r="K1011">
        <v>0</v>
      </c>
      <c r="L1011">
        <v>0</v>
      </c>
      <c r="M1011">
        <v>34</v>
      </c>
      <c r="N1011">
        <v>5899.43</v>
      </c>
      <c r="O1011">
        <v>173.51</v>
      </c>
    </row>
    <row r="1012" spans="1:15" x14ac:dyDescent="0.35">
      <c r="A1012" t="s">
        <v>1351</v>
      </c>
      <c r="B1012" t="s">
        <v>1352</v>
      </c>
      <c r="C1012" t="s">
        <v>1184</v>
      </c>
      <c r="D1012" t="s">
        <v>323</v>
      </c>
      <c r="E1012" t="s">
        <v>294</v>
      </c>
      <c r="F1012" t="s">
        <v>1371</v>
      </c>
      <c r="G1012">
        <v>4011</v>
      </c>
      <c r="H1012">
        <v>322500.07000000007</v>
      </c>
      <c r="I1012">
        <v>80.400000000000006</v>
      </c>
      <c r="J1012">
        <v>0</v>
      </c>
      <c r="K1012">
        <v>0</v>
      </c>
      <c r="L1012">
        <v>0</v>
      </c>
      <c r="M1012">
        <v>4011</v>
      </c>
      <c r="N1012">
        <v>322500.07000000007</v>
      </c>
      <c r="O1012">
        <v>80.400000000000006</v>
      </c>
    </row>
    <row r="1013" spans="1:15" x14ac:dyDescent="0.35">
      <c r="A1013" t="s">
        <v>1351</v>
      </c>
      <c r="B1013" t="s">
        <v>1352</v>
      </c>
      <c r="C1013" t="s">
        <v>1184</v>
      </c>
      <c r="D1013" t="s">
        <v>323</v>
      </c>
      <c r="E1013" t="s">
        <v>296</v>
      </c>
      <c r="F1013" t="s">
        <v>1372</v>
      </c>
      <c r="G1013">
        <v>6872</v>
      </c>
      <c r="H1013">
        <v>642241.30999999994</v>
      </c>
      <c r="I1013">
        <v>93.46</v>
      </c>
      <c r="J1013">
        <v>0</v>
      </c>
      <c r="K1013">
        <v>0</v>
      </c>
      <c r="L1013">
        <v>0</v>
      </c>
      <c r="M1013">
        <v>6872</v>
      </c>
      <c r="N1013">
        <v>642241.30999999994</v>
      </c>
      <c r="O1013">
        <v>93.46</v>
      </c>
    </row>
    <row r="1014" spans="1:15" x14ac:dyDescent="0.35">
      <c r="A1014" t="s">
        <v>1351</v>
      </c>
      <c r="B1014" t="s">
        <v>1352</v>
      </c>
      <c r="C1014" t="s">
        <v>1184</v>
      </c>
      <c r="D1014" t="s">
        <v>323</v>
      </c>
      <c r="E1014" t="s">
        <v>298</v>
      </c>
      <c r="F1014" t="s">
        <v>1373</v>
      </c>
      <c r="G1014">
        <v>5573</v>
      </c>
      <c r="H1014">
        <v>577404.36</v>
      </c>
      <c r="I1014">
        <v>103.61</v>
      </c>
      <c r="J1014">
        <v>0</v>
      </c>
      <c r="K1014">
        <v>0</v>
      </c>
      <c r="L1014">
        <v>0</v>
      </c>
      <c r="M1014">
        <v>5573</v>
      </c>
      <c r="N1014">
        <v>577404.36</v>
      </c>
      <c r="O1014">
        <v>103.61</v>
      </c>
    </row>
    <row r="1015" spans="1:15" x14ac:dyDescent="0.35">
      <c r="A1015" t="s">
        <v>1351</v>
      </c>
      <c r="B1015" t="s">
        <v>1352</v>
      </c>
      <c r="C1015" t="s">
        <v>1184</v>
      </c>
      <c r="D1015" t="s">
        <v>323</v>
      </c>
      <c r="E1015" t="s">
        <v>300</v>
      </c>
      <c r="F1015" t="s">
        <v>1374</v>
      </c>
      <c r="G1015">
        <v>473</v>
      </c>
      <c r="H1015">
        <v>56637.310000000005</v>
      </c>
      <c r="I1015">
        <v>119.74</v>
      </c>
      <c r="J1015">
        <v>1</v>
      </c>
      <c r="K1015">
        <v>146.15</v>
      </c>
      <c r="L1015">
        <v>146.15</v>
      </c>
      <c r="M1015">
        <v>474</v>
      </c>
      <c r="N1015">
        <v>56783.460000000006</v>
      </c>
      <c r="O1015">
        <v>119.8</v>
      </c>
    </row>
    <row r="1016" spans="1:15" x14ac:dyDescent="0.35">
      <c r="A1016" t="s">
        <v>1351</v>
      </c>
      <c r="B1016" t="s">
        <v>1352</v>
      </c>
      <c r="C1016" t="s">
        <v>1184</v>
      </c>
      <c r="D1016" t="s">
        <v>323</v>
      </c>
      <c r="E1016" t="s">
        <v>302</v>
      </c>
      <c r="F1016" t="s">
        <v>1375</v>
      </c>
      <c r="G1016">
        <v>22</v>
      </c>
      <c r="H1016">
        <v>2922.22</v>
      </c>
      <c r="I1016">
        <v>132.83000000000001</v>
      </c>
      <c r="J1016">
        <v>0</v>
      </c>
      <c r="K1016">
        <v>0</v>
      </c>
      <c r="L1016">
        <v>0</v>
      </c>
      <c r="M1016">
        <v>22</v>
      </c>
      <c r="N1016">
        <v>2922.22</v>
      </c>
      <c r="O1016">
        <v>132.83000000000001</v>
      </c>
    </row>
    <row r="1017" spans="1:15" x14ac:dyDescent="0.35">
      <c r="A1017" t="s">
        <v>1351</v>
      </c>
      <c r="B1017" t="s">
        <v>1352</v>
      </c>
      <c r="C1017" t="s">
        <v>1184</v>
      </c>
      <c r="D1017" t="s">
        <v>323</v>
      </c>
      <c r="E1017" t="s">
        <v>304</v>
      </c>
      <c r="F1017" t="s">
        <v>1376</v>
      </c>
      <c r="G1017">
        <v>6</v>
      </c>
      <c r="H1017">
        <v>837.63</v>
      </c>
      <c r="I1017">
        <v>139.61000000000001</v>
      </c>
      <c r="J1017">
        <v>0</v>
      </c>
      <c r="K1017">
        <v>0</v>
      </c>
      <c r="L1017">
        <v>0</v>
      </c>
      <c r="M1017">
        <v>6</v>
      </c>
      <c r="N1017">
        <v>837.63</v>
      </c>
      <c r="O1017">
        <v>139.61000000000001</v>
      </c>
    </row>
    <row r="1018" spans="1:15" x14ac:dyDescent="0.35">
      <c r="A1018" t="s">
        <v>1351</v>
      </c>
      <c r="B1018" t="s">
        <v>1352</v>
      </c>
      <c r="C1018" t="s">
        <v>1184</v>
      </c>
      <c r="D1018" t="s">
        <v>323</v>
      </c>
      <c r="E1018" t="s">
        <v>306</v>
      </c>
      <c r="F1018" t="s">
        <v>1377</v>
      </c>
      <c r="G1018">
        <v>242</v>
      </c>
      <c r="H1018">
        <v>17328.449999999997</v>
      </c>
      <c r="I1018">
        <v>71.61</v>
      </c>
      <c r="J1018">
        <v>0</v>
      </c>
      <c r="K1018">
        <v>0</v>
      </c>
      <c r="L1018">
        <v>0</v>
      </c>
      <c r="M1018">
        <v>242</v>
      </c>
      <c r="N1018">
        <v>17328.449999999997</v>
      </c>
      <c r="O1018">
        <v>71.61</v>
      </c>
    </row>
    <row r="1019" spans="1:15" x14ac:dyDescent="0.35">
      <c r="A1019" t="s">
        <v>1351</v>
      </c>
      <c r="B1019" t="s">
        <v>1352</v>
      </c>
      <c r="C1019" t="s">
        <v>1184</v>
      </c>
      <c r="D1019" t="s">
        <v>323</v>
      </c>
      <c r="E1019" t="s">
        <v>308</v>
      </c>
      <c r="F1019" t="s">
        <v>1378</v>
      </c>
      <c r="G1019">
        <v>6</v>
      </c>
      <c r="H1019">
        <v>457.98</v>
      </c>
      <c r="I1019">
        <v>76.33</v>
      </c>
      <c r="J1019">
        <v>0</v>
      </c>
      <c r="K1019">
        <v>0</v>
      </c>
      <c r="L1019">
        <v>0</v>
      </c>
      <c r="M1019">
        <v>6</v>
      </c>
      <c r="N1019">
        <v>457.98</v>
      </c>
      <c r="O1019">
        <v>76.33</v>
      </c>
    </row>
    <row r="1020" spans="1:15" x14ac:dyDescent="0.35">
      <c r="A1020" t="s">
        <v>1351</v>
      </c>
      <c r="B1020" t="s">
        <v>1352</v>
      </c>
      <c r="C1020" t="s">
        <v>1184</v>
      </c>
      <c r="D1020" t="s">
        <v>323</v>
      </c>
      <c r="E1020" t="s">
        <v>310</v>
      </c>
      <c r="F1020" t="s">
        <v>1379</v>
      </c>
      <c r="G1020">
        <v>17205</v>
      </c>
      <c r="H1020">
        <v>1620329.3299999998</v>
      </c>
      <c r="I1020">
        <v>94.18</v>
      </c>
      <c r="J1020">
        <v>1</v>
      </c>
      <c r="K1020">
        <v>146.15</v>
      </c>
      <c r="L1020">
        <v>146.15</v>
      </c>
      <c r="M1020">
        <v>17206</v>
      </c>
      <c r="N1020">
        <v>1620475.4799999997</v>
      </c>
      <c r="O1020">
        <v>94.18</v>
      </c>
    </row>
    <row r="1021" spans="1:15" x14ac:dyDescent="0.35">
      <c r="A1021" t="s">
        <v>1351</v>
      </c>
      <c r="B1021" t="s">
        <v>1352</v>
      </c>
      <c r="C1021" t="s">
        <v>1184</v>
      </c>
      <c r="D1021" t="s">
        <v>323</v>
      </c>
      <c r="E1021" t="s">
        <v>312</v>
      </c>
      <c r="F1021" t="s">
        <v>1380</v>
      </c>
      <c r="G1021">
        <v>17199</v>
      </c>
      <c r="H1021">
        <v>1619871.3499999999</v>
      </c>
      <c r="I1021">
        <v>94.18</v>
      </c>
      <c r="J1021">
        <v>1</v>
      </c>
      <c r="K1021">
        <v>146.15</v>
      </c>
      <c r="L1021">
        <v>146.15</v>
      </c>
      <c r="M1021">
        <v>17200</v>
      </c>
      <c r="N1021">
        <v>1620017.4999999998</v>
      </c>
      <c r="O1021">
        <v>94.19</v>
      </c>
    </row>
    <row r="1022" spans="1:15" x14ac:dyDescent="0.35">
      <c r="A1022" t="s">
        <v>1351</v>
      </c>
      <c r="B1022" t="s">
        <v>1352</v>
      </c>
      <c r="C1022" t="s">
        <v>1184</v>
      </c>
      <c r="D1022" t="s">
        <v>334</v>
      </c>
      <c r="E1022" t="s">
        <v>312</v>
      </c>
      <c r="F1022" t="s">
        <v>1381</v>
      </c>
      <c r="G1022">
        <v>18926</v>
      </c>
      <c r="H1022">
        <v>1844149.1799999997</v>
      </c>
      <c r="I1022">
        <v>98.35</v>
      </c>
      <c r="J1022">
        <v>1</v>
      </c>
      <c r="K1022">
        <v>146.15</v>
      </c>
      <c r="L1022">
        <v>146.15</v>
      </c>
      <c r="M1022">
        <v>18927</v>
      </c>
      <c r="N1022">
        <v>1844295.3299999996</v>
      </c>
      <c r="O1022">
        <v>98.36</v>
      </c>
    </row>
    <row r="1023" spans="1:15" x14ac:dyDescent="0.35">
      <c r="A1023" t="s">
        <v>1351</v>
      </c>
      <c r="B1023" t="s">
        <v>1352</v>
      </c>
      <c r="C1023" t="s">
        <v>1184</v>
      </c>
      <c r="D1023" t="s">
        <v>334</v>
      </c>
      <c r="E1023" t="s">
        <v>308</v>
      </c>
      <c r="F1023" t="s">
        <v>1382</v>
      </c>
      <c r="G1023">
        <v>6</v>
      </c>
      <c r="H1023">
        <v>457.98</v>
      </c>
      <c r="I1023">
        <v>76.33</v>
      </c>
      <c r="J1023">
        <v>0</v>
      </c>
      <c r="K1023">
        <v>0</v>
      </c>
      <c r="L1023">
        <v>0</v>
      </c>
      <c r="M1023">
        <v>6</v>
      </c>
      <c r="N1023">
        <v>457.98</v>
      </c>
      <c r="O1023">
        <v>76.33</v>
      </c>
    </row>
    <row r="1024" spans="1:15" x14ac:dyDescent="0.35">
      <c r="A1024" t="s">
        <v>1351</v>
      </c>
      <c r="B1024" t="s">
        <v>1352</v>
      </c>
      <c r="C1024" t="s">
        <v>1184</v>
      </c>
      <c r="D1024" t="s">
        <v>337</v>
      </c>
      <c r="E1024" t="s">
        <v>337</v>
      </c>
      <c r="F1024" t="s">
        <v>1383</v>
      </c>
      <c r="G1024">
        <v>1232</v>
      </c>
      <c r="J1024">
        <v>0</v>
      </c>
      <c r="M1024">
        <v>1232</v>
      </c>
    </row>
    <row r="1025" spans="1:15" x14ac:dyDescent="0.35">
      <c r="A1025" t="s">
        <v>1351</v>
      </c>
      <c r="B1025" t="s">
        <v>1352</v>
      </c>
      <c r="C1025" t="s">
        <v>1184</v>
      </c>
      <c r="D1025" t="s">
        <v>339</v>
      </c>
      <c r="E1025" t="s">
        <v>294</v>
      </c>
      <c r="F1025" t="s">
        <v>1384</v>
      </c>
      <c r="G1025">
        <v>2432</v>
      </c>
      <c r="H1025">
        <v>214889.27000000002</v>
      </c>
      <c r="I1025">
        <v>88.36</v>
      </c>
      <c r="J1025">
        <v>0</v>
      </c>
      <c r="K1025">
        <v>0</v>
      </c>
      <c r="L1025">
        <v>0</v>
      </c>
      <c r="M1025">
        <v>2432</v>
      </c>
      <c r="N1025">
        <v>214889.27000000002</v>
      </c>
      <c r="O1025">
        <v>88.36</v>
      </c>
    </row>
    <row r="1026" spans="1:15" x14ac:dyDescent="0.35">
      <c r="A1026" t="s">
        <v>1351</v>
      </c>
      <c r="B1026" t="s">
        <v>1352</v>
      </c>
      <c r="C1026" t="s">
        <v>1184</v>
      </c>
      <c r="D1026" t="s">
        <v>339</v>
      </c>
      <c r="E1026" t="s">
        <v>296</v>
      </c>
      <c r="F1026" t="s">
        <v>1385</v>
      </c>
      <c r="G1026">
        <v>421</v>
      </c>
      <c r="H1026">
        <v>44368.44999999999</v>
      </c>
      <c r="I1026">
        <v>105.39</v>
      </c>
      <c r="J1026">
        <v>0</v>
      </c>
      <c r="K1026">
        <v>0</v>
      </c>
      <c r="L1026">
        <v>0</v>
      </c>
      <c r="M1026">
        <v>421</v>
      </c>
      <c r="N1026">
        <v>44368.44999999999</v>
      </c>
      <c r="O1026">
        <v>105.39</v>
      </c>
    </row>
    <row r="1027" spans="1:15" x14ac:dyDescent="0.35">
      <c r="A1027" t="s">
        <v>1351</v>
      </c>
      <c r="B1027" t="s">
        <v>1352</v>
      </c>
      <c r="C1027" t="s">
        <v>1184</v>
      </c>
      <c r="D1027" t="s">
        <v>339</v>
      </c>
      <c r="E1027" t="s">
        <v>298</v>
      </c>
      <c r="F1027" t="s">
        <v>1386</v>
      </c>
      <c r="G1027">
        <v>12</v>
      </c>
      <c r="H1027">
        <v>1316.08</v>
      </c>
      <c r="I1027">
        <v>109.67</v>
      </c>
      <c r="J1027">
        <v>0</v>
      </c>
      <c r="K1027">
        <v>0</v>
      </c>
      <c r="L1027">
        <v>0</v>
      </c>
      <c r="M1027">
        <v>12</v>
      </c>
      <c r="N1027">
        <v>1316.08</v>
      </c>
      <c r="O1027">
        <v>109.67</v>
      </c>
    </row>
    <row r="1028" spans="1:15" x14ac:dyDescent="0.35">
      <c r="A1028" t="s">
        <v>1351</v>
      </c>
      <c r="B1028" t="s">
        <v>1352</v>
      </c>
      <c r="C1028" t="s">
        <v>1184</v>
      </c>
      <c r="D1028" t="s">
        <v>339</v>
      </c>
      <c r="E1028" t="s">
        <v>300</v>
      </c>
      <c r="F1028" t="s">
        <v>1387</v>
      </c>
      <c r="G1028">
        <v>0</v>
      </c>
      <c r="H1028">
        <v>0</v>
      </c>
      <c r="I1028">
        <v>0</v>
      </c>
      <c r="J1028">
        <v>0</v>
      </c>
      <c r="K1028">
        <v>0</v>
      </c>
      <c r="L1028">
        <v>0</v>
      </c>
      <c r="M1028">
        <v>0</v>
      </c>
      <c r="N1028">
        <v>0</v>
      </c>
      <c r="O1028">
        <v>0</v>
      </c>
    </row>
    <row r="1029" spans="1:15" x14ac:dyDescent="0.35">
      <c r="A1029" t="s">
        <v>1351</v>
      </c>
      <c r="B1029" t="s">
        <v>1352</v>
      </c>
      <c r="C1029" t="s">
        <v>1184</v>
      </c>
      <c r="D1029" t="s">
        <v>339</v>
      </c>
      <c r="E1029" t="s">
        <v>306</v>
      </c>
      <c r="F1029" t="s">
        <v>1388</v>
      </c>
      <c r="G1029">
        <v>92</v>
      </c>
      <c r="H1029">
        <v>7398.1600000000008</v>
      </c>
      <c r="I1029">
        <v>80.41</v>
      </c>
      <c r="J1029">
        <v>0</v>
      </c>
      <c r="K1029">
        <v>0</v>
      </c>
      <c r="L1029">
        <v>0</v>
      </c>
      <c r="M1029">
        <v>92</v>
      </c>
      <c r="N1029">
        <v>7398.1600000000008</v>
      </c>
      <c r="O1029">
        <v>80.41</v>
      </c>
    </row>
    <row r="1030" spans="1:15" x14ac:dyDescent="0.35">
      <c r="A1030" t="s">
        <v>1351</v>
      </c>
      <c r="B1030" t="s">
        <v>1352</v>
      </c>
      <c r="C1030" t="s">
        <v>1184</v>
      </c>
      <c r="D1030" t="s">
        <v>339</v>
      </c>
      <c r="E1030" t="s">
        <v>308</v>
      </c>
      <c r="F1030" t="s">
        <v>1389</v>
      </c>
      <c r="G1030">
        <v>242</v>
      </c>
      <c r="H1030">
        <v>23945.73</v>
      </c>
      <c r="I1030">
        <v>98.95</v>
      </c>
      <c r="J1030">
        <v>0</v>
      </c>
      <c r="K1030">
        <v>0</v>
      </c>
      <c r="L1030">
        <v>0</v>
      </c>
      <c r="M1030">
        <v>242</v>
      </c>
      <c r="N1030">
        <v>23945.73</v>
      </c>
      <c r="O1030">
        <v>98.95</v>
      </c>
    </row>
    <row r="1031" spans="1:15" x14ac:dyDescent="0.35">
      <c r="A1031" t="s">
        <v>1351</v>
      </c>
      <c r="B1031" t="s">
        <v>1352</v>
      </c>
      <c r="C1031" t="s">
        <v>1184</v>
      </c>
      <c r="D1031" t="s">
        <v>339</v>
      </c>
      <c r="E1031" t="s">
        <v>310</v>
      </c>
      <c r="F1031" t="s">
        <v>1390</v>
      </c>
      <c r="G1031">
        <v>3199</v>
      </c>
      <c r="H1031">
        <v>291917.68999999994</v>
      </c>
      <c r="I1031">
        <v>91.25</v>
      </c>
      <c r="J1031">
        <v>0</v>
      </c>
      <c r="K1031">
        <v>0</v>
      </c>
      <c r="L1031">
        <v>0</v>
      </c>
      <c r="M1031">
        <v>3199</v>
      </c>
      <c r="N1031">
        <v>291917.68999999994</v>
      </c>
      <c r="O1031">
        <v>91.25</v>
      </c>
    </row>
    <row r="1032" spans="1:15" x14ac:dyDescent="0.35">
      <c r="A1032" t="s">
        <v>1351</v>
      </c>
      <c r="B1032" t="s">
        <v>1352</v>
      </c>
      <c r="C1032" t="s">
        <v>1184</v>
      </c>
      <c r="D1032" t="s">
        <v>339</v>
      </c>
      <c r="E1032" t="s">
        <v>312</v>
      </c>
      <c r="F1032" t="s">
        <v>1391</v>
      </c>
      <c r="G1032">
        <v>2957</v>
      </c>
      <c r="H1032">
        <v>267971.95999999996</v>
      </c>
      <c r="I1032">
        <v>90.62</v>
      </c>
      <c r="J1032">
        <v>0</v>
      </c>
      <c r="K1032">
        <v>0</v>
      </c>
      <c r="L1032">
        <v>0</v>
      </c>
      <c r="M1032">
        <v>2957</v>
      </c>
      <c r="N1032">
        <v>267971.95999999996</v>
      </c>
      <c r="O1032">
        <v>90.62</v>
      </c>
    </row>
    <row r="1033" spans="1:15" x14ac:dyDescent="0.35">
      <c r="A1033" t="s">
        <v>1351</v>
      </c>
      <c r="B1033" t="s">
        <v>1352</v>
      </c>
      <c r="C1033" t="s">
        <v>1184</v>
      </c>
      <c r="D1033" t="s">
        <v>348</v>
      </c>
      <c r="E1033" t="s">
        <v>349</v>
      </c>
      <c r="F1033" t="s">
        <v>1392</v>
      </c>
      <c r="G1033">
        <v>3365</v>
      </c>
      <c r="H1033">
        <v>297817.12</v>
      </c>
      <c r="I1033">
        <v>92.12</v>
      </c>
      <c r="J1033">
        <v>0</v>
      </c>
      <c r="K1033">
        <v>0</v>
      </c>
      <c r="L1033">
        <v>0</v>
      </c>
      <c r="M1033">
        <v>3365</v>
      </c>
      <c r="N1033">
        <v>297817.12</v>
      </c>
      <c r="O1033">
        <v>92.12</v>
      </c>
    </row>
    <row r="1034" spans="1:15" x14ac:dyDescent="0.35">
      <c r="A1034" t="s">
        <v>1393</v>
      </c>
      <c r="B1034" t="s">
        <v>186</v>
      </c>
      <c r="C1034" t="s">
        <v>1184</v>
      </c>
      <c r="D1034" t="s">
        <v>293</v>
      </c>
      <c r="E1034" t="s">
        <v>294</v>
      </c>
      <c r="F1034" t="s">
        <v>1394</v>
      </c>
      <c r="G1034">
        <v>40</v>
      </c>
      <c r="H1034">
        <v>4437.6099999999997</v>
      </c>
      <c r="I1034">
        <v>110.94</v>
      </c>
      <c r="J1034">
        <v>1</v>
      </c>
      <c r="K1034">
        <v>111.53</v>
      </c>
      <c r="L1034">
        <v>111.53</v>
      </c>
      <c r="M1034">
        <v>41</v>
      </c>
      <c r="N1034">
        <v>4549.1399999999994</v>
      </c>
      <c r="O1034">
        <v>110.95</v>
      </c>
    </row>
    <row r="1035" spans="1:15" x14ac:dyDescent="0.35">
      <c r="A1035" t="s">
        <v>1393</v>
      </c>
      <c r="B1035" t="s">
        <v>186</v>
      </c>
      <c r="C1035" t="s">
        <v>1184</v>
      </c>
      <c r="D1035" t="s">
        <v>293</v>
      </c>
      <c r="E1035" t="s">
        <v>296</v>
      </c>
      <c r="F1035" t="s">
        <v>1395</v>
      </c>
      <c r="G1035">
        <v>375</v>
      </c>
      <c r="H1035">
        <v>52642.260000000009</v>
      </c>
      <c r="I1035">
        <v>140.38</v>
      </c>
      <c r="J1035">
        <v>8</v>
      </c>
      <c r="K1035">
        <v>1149.2</v>
      </c>
      <c r="L1035">
        <v>143.65</v>
      </c>
      <c r="M1035">
        <v>383</v>
      </c>
      <c r="N1035">
        <v>53791.460000000006</v>
      </c>
      <c r="O1035">
        <v>140.44999999999999</v>
      </c>
    </row>
    <row r="1036" spans="1:15" x14ac:dyDescent="0.35">
      <c r="A1036" t="s">
        <v>1393</v>
      </c>
      <c r="B1036" t="s">
        <v>186</v>
      </c>
      <c r="C1036" t="s">
        <v>1184</v>
      </c>
      <c r="D1036" t="s">
        <v>293</v>
      </c>
      <c r="E1036" t="s">
        <v>298</v>
      </c>
      <c r="F1036" t="s">
        <v>1396</v>
      </c>
      <c r="G1036">
        <v>112</v>
      </c>
      <c r="H1036">
        <v>19618.149999999998</v>
      </c>
      <c r="I1036">
        <v>175.16</v>
      </c>
      <c r="J1036">
        <v>0</v>
      </c>
      <c r="K1036">
        <v>0</v>
      </c>
      <c r="L1036">
        <v>0</v>
      </c>
      <c r="M1036">
        <v>112</v>
      </c>
      <c r="N1036">
        <v>19618.149999999998</v>
      </c>
      <c r="O1036">
        <v>175.16</v>
      </c>
    </row>
    <row r="1037" spans="1:15" x14ac:dyDescent="0.35">
      <c r="A1037" t="s">
        <v>1393</v>
      </c>
      <c r="B1037" t="s">
        <v>186</v>
      </c>
      <c r="C1037" t="s">
        <v>1184</v>
      </c>
      <c r="D1037" t="s">
        <v>293</v>
      </c>
      <c r="E1037" t="s">
        <v>300</v>
      </c>
      <c r="F1037" t="s">
        <v>1397</v>
      </c>
      <c r="G1037">
        <v>15</v>
      </c>
      <c r="H1037">
        <v>3197.41</v>
      </c>
      <c r="I1037">
        <v>213.16</v>
      </c>
      <c r="J1037">
        <v>0</v>
      </c>
      <c r="K1037">
        <v>0</v>
      </c>
      <c r="L1037">
        <v>0</v>
      </c>
      <c r="M1037">
        <v>15</v>
      </c>
      <c r="N1037">
        <v>3197.41</v>
      </c>
      <c r="O1037">
        <v>213.16</v>
      </c>
    </row>
    <row r="1038" spans="1:15" x14ac:dyDescent="0.35">
      <c r="A1038" t="s">
        <v>1393</v>
      </c>
      <c r="B1038" t="s">
        <v>186</v>
      </c>
      <c r="C1038" t="s">
        <v>1184</v>
      </c>
      <c r="D1038" t="s">
        <v>293</v>
      </c>
      <c r="E1038" t="s">
        <v>302</v>
      </c>
      <c r="F1038" t="s">
        <v>1398</v>
      </c>
      <c r="G1038">
        <v>8</v>
      </c>
      <c r="H1038">
        <v>1656.96</v>
      </c>
      <c r="I1038">
        <v>207.12</v>
      </c>
      <c r="J1038">
        <v>0</v>
      </c>
      <c r="K1038">
        <v>0</v>
      </c>
      <c r="L1038">
        <v>0</v>
      </c>
      <c r="M1038">
        <v>8</v>
      </c>
      <c r="N1038">
        <v>1656.96</v>
      </c>
      <c r="O1038">
        <v>207.12</v>
      </c>
    </row>
    <row r="1039" spans="1:15" x14ac:dyDescent="0.35">
      <c r="A1039" t="s">
        <v>1393</v>
      </c>
      <c r="B1039" t="s">
        <v>186</v>
      </c>
      <c r="C1039" t="s">
        <v>1184</v>
      </c>
      <c r="D1039" t="s">
        <v>293</v>
      </c>
      <c r="E1039" t="s">
        <v>304</v>
      </c>
      <c r="F1039" t="s">
        <v>1399</v>
      </c>
      <c r="G1039">
        <v>0</v>
      </c>
      <c r="H1039">
        <v>0</v>
      </c>
      <c r="I1039">
        <v>0</v>
      </c>
      <c r="J1039">
        <v>0</v>
      </c>
      <c r="K1039">
        <v>0</v>
      </c>
      <c r="L1039">
        <v>0</v>
      </c>
      <c r="M1039">
        <v>0</v>
      </c>
      <c r="N1039">
        <v>0</v>
      </c>
      <c r="O1039">
        <v>0</v>
      </c>
    </row>
    <row r="1040" spans="1:15" x14ac:dyDescent="0.35">
      <c r="A1040" t="s">
        <v>1393</v>
      </c>
      <c r="B1040" t="s">
        <v>186</v>
      </c>
      <c r="C1040" t="s">
        <v>1184</v>
      </c>
      <c r="D1040" t="s">
        <v>293</v>
      </c>
      <c r="E1040" t="s">
        <v>306</v>
      </c>
      <c r="F1040" t="s">
        <v>1400</v>
      </c>
      <c r="G1040">
        <v>0</v>
      </c>
      <c r="H1040">
        <v>0</v>
      </c>
      <c r="I1040">
        <v>0</v>
      </c>
      <c r="J1040">
        <v>0</v>
      </c>
      <c r="K1040">
        <v>0</v>
      </c>
      <c r="L1040">
        <v>0</v>
      </c>
      <c r="M1040">
        <v>0</v>
      </c>
      <c r="N1040">
        <v>0</v>
      </c>
      <c r="O1040">
        <v>0</v>
      </c>
    </row>
    <row r="1041" spans="1:15" x14ac:dyDescent="0.35">
      <c r="A1041" t="s">
        <v>1393</v>
      </c>
      <c r="B1041" t="s">
        <v>186</v>
      </c>
      <c r="C1041" t="s">
        <v>1184</v>
      </c>
      <c r="D1041" t="s">
        <v>293</v>
      </c>
      <c r="E1041" t="s">
        <v>308</v>
      </c>
      <c r="F1041" t="s">
        <v>1401</v>
      </c>
      <c r="G1041">
        <v>0</v>
      </c>
      <c r="H1041">
        <v>0</v>
      </c>
      <c r="I1041">
        <v>0</v>
      </c>
      <c r="J1041">
        <v>0</v>
      </c>
      <c r="K1041">
        <v>0</v>
      </c>
      <c r="L1041">
        <v>0</v>
      </c>
      <c r="M1041">
        <v>0</v>
      </c>
      <c r="N1041">
        <v>0</v>
      </c>
      <c r="O1041">
        <v>0</v>
      </c>
    </row>
    <row r="1042" spans="1:15" x14ac:dyDescent="0.35">
      <c r="A1042" t="s">
        <v>1393</v>
      </c>
      <c r="B1042" t="s">
        <v>186</v>
      </c>
      <c r="C1042" t="s">
        <v>1184</v>
      </c>
      <c r="D1042" t="s">
        <v>293</v>
      </c>
      <c r="E1042" t="s">
        <v>310</v>
      </c>
      <c r="F1042" t="s">
        <v>1402</v>
      </c>
      <c r="G1042">
        <v>550</v>
      </c>
      <c r="H1042">
        <v>81552.390000000014</v>
      </c>
      <c r="I1042">
        <v>148.28</v>
      </c>
      <c r="J1042">
        <v>9</v>
      </c>
      <c r="K1042">
        <v>1260.73</v>
      </c>
      <c r="L1042">
        <v>140.08000000000001</v>
      </c>
      <c r="M1042">
        <v>559</v>
      </c>
      <c r="N1042">
        <v>82813.12000000001</v>
      </c>
      <c r="O1042">
        <v>148.15</v>
      </c>
    </row>
    <row r="1043" spans="1:15" x14ac:dyDescent="0.35">
      <c r="A1043" t="s">
        <v>1393</v>
      </c>
      <c r="B1043" t="s">
        <v>186</v>
      </c>
      <c r="C1043" t="s">
        <v>1184</v>
      </c>
      <c r="D1043" t="s">
        <v>293</v>
      </c>
      <c r="E1043" t="s">
        <v>312</v>
      </c>
      <c r="F1043" t="s">
        <v>1403</v>
      </c>
      <c r="G1043">
        <v>550</v>
      </c>
      <c r="H1043">
        <v>81552.390000000014</v>
      </c>
      <c r="I1043">
        <v>148.28</v>
      </c>
      <c r="J1043">
        <v>9</v>
      </c>
      <c r="K1043">
        <v>1260.73</v>
      </c>
      <c r="L1043">
        <v>140.08000000000001</v>
      </c>
      <c r="M1043">
        <v>559</v>
      </c>
      <c r="N1043">
        <v>82813.12000000001</v>
      </c>
      <c r="O1043">
        <v>148.15</v>
      </c>
    </row>
    <row r="1044" spans="1:15" x14ac:dyDescent="0.35">
      <c r="A1044" t="s">
        <v>1393</v>
      </c>
      <c r="B1044" t="s">
        <v>186</v>
      </c>
      <c r="C1044" t="s">
        <v>1184</v>
      </c>
      <c r="D1044" t="s">
        <v>314</v>
      </c>
      <c r="E1044" t="s">
        <v>294</v>
      </c>
      <c r="F1044" t="s">
        <v>1404</v>
      </c>
      <c r="G1044">
        <v>8</v>
      </c>
      <c r="H1044">
        <v>916.32</v>
      </c>
      <c r="I1044">
        <v>114.54</v>
      </c>
      <c r="J1044">
        <v>2</v>
      </c>
      <c r="K1044">
        <v>223.06</v>
      </c>
      <c r="L1044">
        <v>111.53</v>
      </c>
      <c r="M1044">
        <v>10</v>
      </c>
      <c r="N1044">
        <v>1139.3800000000001</v>
      </c>
      <c r="O1044">
        <v>113.94</v>
      </c>
    </row>
    <row r="1045" spans="1:15" x14ac:dyDescent="0.35">
      <c r="A1045" t="s">
        <v>1393</v>
      </c>
      <c r="B1045" t="s">
        <v>186</v>
      </c>
      <c r="C1045" t="s">
        <v>1184</v>
      </c>
      <c r="D1045" t="s">
        <v>314</v>
      </c>
      <c r="E1045" t="s">
        <v>296</v>
      </c>
      <c r="F1045" t="s">
        <v>1405</v>
      </c>
      <c r="G1045">
        <v>2</v>
      </c>
      <c r="H1045">
        <v>443.07</v>
      </c>
      <c r="I1045">
        <v>221.54</v>
      </c>
      <c r="J1045">
        <v>0</v>
      </c>
      <c r="K1045">
        <v>0</v>
      </c>
      <c r="L1045">
        <v>0</v>
      </c>
      <c r="M1045">
        <v>2</v>
      </c>
      <c r="N1045">
        <v>443.07</v>
      </c>
      <c r="O1045">
        <v>221.54</v>
      </c>
    </row>
    <row r="1046" spans="1:15" x14ac:dyDescent="0.35">
      <c r="A1046" t="s">
        <v>1393</v>
      </c>
      <c r="B1046" t="s">
        <v>186</v>
      </c>
      <c r="C1046" t="s">
        <v>1184</v>
      </c>
      <c r="D1046" t="s">
        <v>314</v>
      </c>
      <c r="E1046" t="s">
        <v>298</v>
      </c>
      <c r="F1046" t="s">
        <v>1406</v>
      </c>
      <c r="G1046">
        <v>0</v>
      </c>
      <c r="H1046">
        <v>0</v>
      </c>
      <c r="I1046">
        <v>0</v>
      </c>
      <c r="J1046">
        <v>0</v>
      </c>
      <c r="K1046">
        <v>0</v>
      </c>
      <c r="L1046">
        <v>0</v>
      </c>
      <c r="M1046">
        <v>0</v>
      </c>
      <c r="N1046">
        <v>0</v>
      </c>
      <c r="O1046">
        <v>0</v>
      </c>
    </row>
    <row r="1047" spans="1:15" x14ac:dyDescent="0.35">
      <c r="A1047" t="s">
        <v>1393</v>
      </c>
      <c r="B1047" t="s">
        <v>186</v>
      </c>
      <c r="C1047" t="s">
        <v>1184</v>
      </c>
      <c r="D1047" t="s">
        <v>314</v>
      </c>
      <c r="E1047" t="s">
        <v>300</v>
      </c>
      <c r="F1047" t="s">
        <v>1407</v>
      </c>
      <c r="G1047">
        <v>0</v>
      </c>
      <c r="H1047">
        <v>0</v>
      </c>
      <c r="I1047">
        <v>0</v>
      </c>
      <c r="J1047">
        <v>0</v>
      </c>
      <c r="K1047">
        <v>0</v>
      </c>
      <c r="L1047">
        <v>0</v>
      </c>
      <c r="M1047">
        <v>0</v>
      </c>
      <c r="N1047">
        <v>0</v>
      </c>
      <c r="O1047">
        <v>0</v>
      </c>
    </row>
    <row r="1048" spans="1:15" x14ac:dyDescent="0.35">
      <c r="A1048" t="s">
        <v>1393</v>
      </c>
      <c r="B1048" t="s">
        <v>186</v>
      </c>
      <c r="C1048" t="s">
        <v>1184</v>
      </c>
      <c r="D1048" t="s">
        <v>314</v>
      </c>
      <c r="E1048" t="s">
        <v>306</v>
      </c>
      <c r="F1048" t="s">
        <v>1408</v>
      </c>
      <c r="G1048">
        <v>0</v>
      </c>
      <c r="H1048">
        <v>0</v>
      </c>
      <c r="I1048">
        <v>0</v>
      </c>
      <c r="J1048">
        <v>0</v>
      </c>
      <c r="K1048">
        <v>0</v>
      </c>
      <c r="L1048">
        <v>0</v>
      </c>
      <c r="M1048">
        <v>0</v>
      </c>
      <c r="N1048">
        <v>0</v>
      </c>
      <c r="O1048">
        <v>0</v>
      </c>
    </row>
    <row r="1049" spans="1:15" x14ac:dyDescent="0.35">
      <c r="A1049" t="s">
        <v>1393</v>
      </c>
      <c r="B1049" t="s">
        <v>186</v>
      </c>
      <c r="C1049" t="s">
        <v>1184</v>
      </c>
      <c r="D1049" t="s">
        <v>314</v>
      </c>
      <c r="E1049" t="s">
        <v>308</v>
      </c>
      <c r="F1049" t="s">
        <v>1409</v>
      </c>
      <c r="G1049">
        <v>0</v>
      </c>
      <c r="H1049">
        <v>0</v>
      </c>
      <c r="I1049">
        <v>0</v>
      </c>
      <c r="J1049">
        <v>4</v>
      </c>
      <c r="K1049">
        <v>287.56</v>
      </c>
      <c r="L1049">
        <v>71.89</v>
      </c>
      <c r="M1049">
        <v>4</v>
      </c>
      <c r="N1049">
        <v>287.56</v>
      </c>
      <c r="O1049">
        <v>71.89</v>
      </c>
    </row>
    <row r="1050" spans="1:15" x14ac:dyDescent="0.35">
      <c r="A1050" t="s">
        <v>1393</v>
      </c>
      <c r="B1050" t="s">
        <v>186</v>
      </c>
      <c r="C1050" t="s">
        <v>1184</v>
      </c>
      <c r="D1050" t="s">
        <v>314</v>
      </c>
      <c r="E1050" t="s">
        <v>312</v>
      </c>
      <c r="F1050" t="s">
        <v>1410</v>
      </c>
      <c r="G1050">
        <v>10</v>
      </c>
      <c r="H1050">
        <v>1359.39</v>
      </c>
      <c r="I1050">
        <v>135.94</v>
      </c>
      <c r="J1050">
        <v>2</v>
      </c>
      <c r="K1050">
        <v>223.06</v>
      </c>
      <c r="L1050">
        <v>111.53</v>
      </c>
      <c r="M1050">
        <v>12</v>
      </c>
      <c r="N1050">
        <v>1582.45</v>
      </c>
      <c r="O1050">
        <v>131.87</v>
      </c>
    </row>
    <row r="1051" spans="1:15" x14ac:dyDescent="0.35">
      <c r="A1051" t="s">
        <v>1393</v>
      </c>
      <c r="B1051" t="s">
        <v>186</v>
      </c>
      <c r="C1051" t="s">
        <v>1184</v>
      </c>
      <c r="D1051" t="s">
        <v>314</v>
      </c>
      <c r="E1051" t="s">
        <v>310</v>
      </c>
      <c r="F1051" t="s">
        <v>1411</v>
      </c>
      <c r="G1051">
        <v>10</v>
      </c>
      <c r="H1051">
        <v>1359.39</v>
      </c>
      <c r="I1051">
        <v>135.94</v>
      </c>
      <c r="J1051">
        <v>6</v>
      </c>
      <c r="K1051">
        <v>510.62</v>
      </c>
      <c r="L1051">
        <v>85.1</v>
      </c>
      <c r="M1051">
        <v>16</v>
      </c>
      <c r="N1051">
        <v>1870.0100000000002</v>
      </c>
      <c r="O1051">
        <v>116.88</v>
      </c>
    </row>
    <row r="1052" spans="1:15" x14ac:dyDescent="0.35">
      <c r="A1052" t="s">
        <v>1393</v>
      </c>
      <c r="B1052" t="s">
        <v>186</v>
      </c>
      <c r="C1052" t="s">
        <v>1184</v>
      </c>
      <c r="D1052" t="s">
        <v>323</v>
      </c>
      <c r="E1052" t="s">
        <v>294</v>
      </c>
      <c r="F1052" t="s">
        <v>1412</v>
      </c>
      <c r="G1052">
        <v>905</v>
      </c>
      <c r="H1052">
        <v>82793.389999999985</v>
      </c>
      <c r="I1052">
        <v>91.48</v>
      </c>
      <c r="J1052">
        <v>0</v>
      </c>
      <c r="K1052">
        <v>0</v>
      </c>
      <c r="L1052">
        <v>0</v>
      </c>
      <c r="M1052">
        <v>905</v>
      </c>
      <c r="N1052">
        <v>82793.389999999985</v>
      </c>
      <c r="O1052">
        <v>91.48</v>
      </c>
    </row>
    <row r="1053" spans="1:15" x14ac:dyDescent="0.35">
      <c r="A1053" t="s">
        <v>1393</v>
      </c>
      <c r="B1053" t="s">
        <v>186</v>
      </c>
      <c r="C1053" t="s">
        <v>1184</v>
      </c>
      <c r="D1053" t="s">
        <v>323</v>
      </c>
      <c r="E1053" t="s">
        <v>296</v>
      </c>
      <c r="F1053" t="s">
        <v>1413</v>
      </c>
      <c r="G1053">
        <v>1220</v>
      </c>
      <c r="H1053">
        <v>128992.71</v>
      </c>
      <c r="I1053">
        <v>105.73</v>
      </c>
      <c r="J1053">
        <v>0</v>
      </c>
      <c r="K1053">
        <v>0</v>
      </c>
      <c r="L1053">
        <v>0</v>
      </c>
      <c r="M1053">
        <v>1220</v>
      </c>
      <c r="N1053">
        <v>128992.71</v>
      </c>
      <c r="O1053">
        <v>105.73</v>
      </c>
    </row>
    <row r="1054" spans="1:15" x14ac:dyDescent="0.35">
      <c r="A1054" t="s">
        <v>1393</v>
      </c>
      <c r="B1054" t="s">
        <v>186</v>
      </c>
      <c r="C1054" t="s">
        <v>1184</v>
      </c>
      <c r="D1054" t="s">
        <v>323</v>
      </c>
      <c r="E1054" t="s">
        <v>298</v>
      </c>
      <c r="F1054" t="s">
        <v>1414</v>
      </c>
      <c r="G1054">
        <v>1364</v>
      </c>
      <c r="H1054">
        <v>162732.35</v>
      </c>
      <c r="I1054">
        <v>119.31</v>
      </c>
      <c r="J1054">
        <v>0</v>
      </c>
      <c r="K1054">
        <v>0</v>
      </c>
      <c r="L1054">
        <v>0</v>
      </c>
      <c r="M1054">
        <v>1364</v>
      </c>
      <c r="N1054">
        <v>162732.35</v>
      </c>
      <c r="O1054">
        <v>119.31</v>
      </c>
    </row>
    <row r="1055" spans="1:15" x14ac:dyDescent="0.35">
      <c r="A1055" t="s">
        <v>1393</v>
      </c>
      <c r="B1055" t="s">
        <v>186</v>
      </c>
      <c r="C1055" t="s">
        <v>1184</v>
      </c>
      <c r="D1055" t="s">
        <v>323</v>
      </c>
      <c r="E1055" t="s">
        <v>300</v>
      </c>
      <c r="F1055" t="s">
        <v>1415</v>
      </c>
      <c r="G1055">
        <v>150</v>
      </c>
      <c r="H1055">
        <v>20093.169999999998</v>
      </c>
      <c r="I1055">
        <v>133.94999999999999</v>
      </c>
      <c r="J1055">
        <v>0</v>
      </c>
      <c r="K1055">
        <v>0</v>
      </c>
      <c r="L1055">
        <v>0</v>
      </c>
      <c r="M1055">
        <v>150</v>
      </c>
      <c r="N1055">
        <v>20093.169999999998</v>
      </c>
      <c r="O1055">
        <v>133.94999999999999</v>
      </c>
    </row>
    <row r="1056" spans="1:15" x14ac:dyDescent="0.35">
      <c r="A1056" t="s">
        <v>1393</v>
      </c>
      <c r="B1056" t="s">
        <v>186</v>
      </c>
      <c r="C1056" t="s">
        <v>1184</v>
      </c>
      <c r="D1056" t="s">
        <v>323</v>
      </c>
      <c r="E1056" t="s">
        <v>302</v>
      </c>
      <c r="F1056" t="s">
        <v>1416</v>
      </c>
      <c r="G1056">
        <v>10</v>
      </c>
      <c r="H1056">
        <v>1436.15</v>
      </c>
      <c r="I1056">
        <v>143.62</v>
      </c>
      <c r="J1056">
        <v>0</v>
      </c>
      <c r="K1056">
        <v>0</v>
      </c>
      <c r="L1056">
        <v>0</v>
      </c>
      <c r="M1056">
        <v>10</v>
      </c>
      <c r="N1056">
        <v>1436.15</v>
      </c>
      <c r="O1056">
        <v>143.62</v>
      </c>
    </row>
    <row r="1057" spans="1:15" x14ac:dyDescent="0.35">
      <c r="A1057" t="s">
        <v>1393</v>
      </c>
      <c r="B1057" t="s">
        <v>186</v>
      </c>
      <c r="C1057" t="s">
        <v>1184</v>
      </c>
      <c r="D1057" t="s">
        <v>323</v>
      </c>
      <c r="E1057" t="s">
        <v>304</v>
      </c>
      <c r="F1057" t="s">
        <v>1417</v>
      </c>
      <c r="G1057">
        <v>6</v>
      </c>
      <c r="H1057">
        <v>945.66000000000008</v>
      </c>
      <c r="I1057">
        <v>157.61000000000001</v>
      </c>
      <c r="J1057">
        <v>0</v>
      </c>
      <c r="K1057">
        <v>0</v>
      </c>
      <c r="L1057">
        <v>0</v>
      </c>
      <c r="M1057">
        <v>6</v>
      </c>
      <c r="N1057">
        <v>945.66000000000008</v>
      </c>
      <c r="O1057">
        <v>157.61000000000001</v>
      </c>
    </row>
    <row r="1058" spans="1:15" x14ac:dyDescent="0.35">
      <c r="A1058" t="s">
        <v>1393</v>
      </c>
      <c r="B1058" t="s">
        <v>186</v>
      </c>
      <c r="C1058" t="s">
        <v>1184</v>
      </c>
      <c r="D1058" t="s">
        <v>323</v>
      </c>
      <c r="E1058" t="s">
        <v>306</v>
      </c>
      <c r="F1058" t="s">
        <v>1418</v>
      </c>
      <c r="G1058">
        <v>38</v>
      </c>
      <c r="H1058">
        <v>3078</v>
      </c>
      <c r="I1058">
        <v>81</v>
      </c>
      <c r="J1058">
        <v>0</v>
      </c>
      <c r="K1058">
        <v>0</v>
      </c>
      <c r="L1058">
        <v>0</v>
      </c>
      <c r="M1058">
        <v>38</v>
      </c>
      <c r="N1058">
        <v>3078</v>
      </c>
      <c r="O1058">
        <v>81</v>
      </c>
    </row>
    <row r="1059" spans="1:15" x14ac:dyDescent="0.35">
      <c r="A1059" t="s">
        <v>1393</v>
      </c>
      <c r="B1059" t="s">
        <v>186</v>
      </c>
      <c r="C1059" t="s">
        <v>1184</v>
      </c>
      <c r="D1059" t="s">
        <v>323</v>
      </c>
      <c r="E1059" t="s">
        <v>308</v>
      </c>
      <c r="F1059" t="s">
        <v>1419</v>
      </c>
      <c r="G1059">
        <v>0</v>
      </c>
      <c r="H1059">
        <v>0</v>
      </c>
      <c r="I1059">
        <v>0</v>
      </c>
      <c r="J1059">
        <v>0</v>
      </c>
      <c r="K1059">
        <v>0</v>
      </c>
      <c r="L1059">
        <v>0</v>
      </c>
      <c r="M1059">
        <v>0</v>
      </c>
      <c r="N1059">
        <v>0</v>
      </c>
      <c r="O1059">
        <v>0</v>
      </c>
    </row>
    <row r="1060" spans="1:15" x14ac:dyDescent="0.35">
      <c r="A1060" t="s">
        <v>1393</v>
      </c>
      <c r="B1060" t="s">
        <v>186</v>
      </c>
      <c r="C1060" t="s">
        <v>1184</v>
      </c>
      <c r="D1060" t="s">
        <v>323</v>
      </c>
      <c r="E1060" t="s">
        <v>310</v>
      </c>
      <c r="F1060" t="s">
        <v>1420</v>
      </c>
      <c r="G1060">
        <v>3693</v>
      </c>
      <c r="H1060">
        <v>400071.42999999993</v>
      </c>
      <c r="I1060">
        <v>108.33</v>
      </c>
      <c r="J1060">
        <v>0</v>
      </c>
      <c r="K1060">
        <v>0</v>
      </c>
      <c r="L1060">
        <v>0</v>
      </c>
      <c r="M1060">
        <v>3693</v>
      </c>
      <c r="N1060">
        <v>400071.42999999993</v>
      </c>
      <c r="O1060">
        <v>108.33</v>
      </c>
    </row>
    <row r="1061" spans="1:15" x14ac:dyDescent="0.35">
      <c r="A1061" t="s">
        <v>1393</v>
      </c>
      <c r="B1061" t="s">
        <v>186</v>
      </c>
      <c r="C1061" t="s">
        <v>1184</v>
      </c>
      <c r="D1061" t="s">
        <v>323</v>
      </c>
      <c r="E1061" t="s">
        <v>312</v>
      </c>
      <c r="F1061" t="s">
        <v>1421</v>
      </c>
      <c r="G1061">
        <v>3693</v>
      </c>
      <c r="H1061">
        <v>400071.42999999993</v>
      </c>
      <c r="I1061">
        <v>108.33</v>
      </c>
      <c r="J1061">
        <v>0</v>
      </c>
      <c r="K1061">
        <v>0</v>
      </c>
      <c r="L1061">
        <v>0</v>
      </c>
      <c r="M1061">
        <v>3693</v>
      </c>
      <c r="N1061">
        <v>400071.42999999993</v>
      </c>
      <c r="O1061">
        <v>108.33</v>
      </c>
    </row>
    <row r="1062" spans="1:15" x14ac:dyDescent="0.35">
      <c r="A1062" t="s">
        <v>1393</v>
      </c>
      <c r="B1062" t="s">
        <v>186</v>
      </c>
      <c r="C1062" t="s">
        <v>1184</v>
      </c>
      <c r="D1062" t="s">
        <v>334</v>
      </c>
      <c r="E1062" t="s">
        <v>312</v>
      </c>
      <c r="F1062" t="s">
        <v>1422</v>
      </c>
      <c r="G1062">
        <v>4347</v>
      </c>
      <c r="H1062">
        <v>481623.81999999995</v>
      </c>
      <c r="I1062">
        <v>113.51</v>
      </c>
      <c r="J1062">
        <v>9</v>
      </c>
      <c r="K1062">
        <v>1260.73</v>
      </c>
      <c r="L1062">
        <v>140.08000000000001</v>
      </c>
      <c r="M1062">
        <v>4356</v>
      </c>
      <c r="N1062">
        <v>482884.54999999993</v>
      </c>
      <c r="O1062">
        <v>113.57</v>
      </c>
    </row>
    <row r="1063" spans="1:15" x14ac:dyDescent="0.35">
      <c r="A1063" t="s">
        <v>1393</v>
      </c>
      <c r="B1063" t="s">
        <v>186</v>
      </c>
      <c r="C1063" t="s">
        <v>1184</v>
      </c>
      <c r="D1063" t="s">
        <v>334</v>
      </c>
      <c r="E1063" t="s">
        <v>308</v>
      </c>
      <c r="F1063" t="s">
        <v>1423</v>
      </c>
      <c r="G1063">
        <v>0</v>
      </c>
      <c r="H1063">
        <v>0</v>
      </c>
      <c r="I1063">
        <v>0</v>
      </c>
      <c r="J1063">
        <v>0</v>
      </c>
      <c r="K1063">
        <v>0</v>
      </c>
      <c r="L1063">
        <v>0</v>
      </c>
      <c r="M1063">
        <v>0</v>
      </c>
      <c r="N1063">
        <v>0</v>
      </c>
      <c r="O1063">
        <v>0</v>
      </c>
    </row>
    <row r="1064" spans="1:15" x14ac:dyDescent="0.35">
      <c r="A1064" t="s">
        <v>1393</v>
      </c>
      <c r="B1064" t="s">
        <v>186</v>
      </c>
      <c r="C1064" t="s">
        <v>1184</v>
      </c>
      <c r="D1064" t="s">
        <v>337</v>
      </c>
      <c r="E1064" t="s">
        <v>337</v>
      </c>
      <c r="F1064" t="s">
        <v>1424</v>
      </c>
      <c r="G1064">
        <v>566</v>
      </c>
      <c r="J1064">
        <v>0</v>
      </c>
      <c r="M1064">
        <v>566</v>
      </c>
    </row>
    <row r="1065" spans="1:15" x14ac:dyDescent="0.35">
      <c r="A1065" t="s">
        <v>1393</v>
      </c>
      <c r="B1065" t="s">
        <v>186</v>
      </c>
      <c r="C1065" t="s">
        <v>1184</v>
      </c>
      <c r="D1065" t="s">
        <v>339</v>
      </c>
      <c r="E1065" t="s">
        <v>294</v>
      </c>
      <c r="F1065" t="s">
        <v>1425</v>
      </c>
      <c r="G1065">
        <v>759</v>
      </c>
      <c r="H1065">
        <v>83743.409999999989</v>
      </c>
      <c r="I1065">
        <v>110.33</v>
      </c>
      <c r="J1065">
        <v>0</v>
      </c>
      <c r="K1065">
        <v>0</v>
      </c>
      <c r="L1065">
        <v>0</v>
      </c>
      <c r="M1065">
        <v>759</v>
      </c>
      <c r="N1065">
        <v>83743.409999999989</v>
      </c>
      <c r="O1065">
        <v>110.33</v>
      </c>
    </row>
    <row r="1066" spans="1:15" x14ac:dyDescent="0.35">
      <c r="A1066" t="s">
        <v>1393</v>
      </c>
      <c r="B1066" t="s">
        <v>186</v>
      </c>
      <c r="C1066" t="s">
        <v>1184</v>
      </c>
      <c r="D1066" t="s">
        <v>339</v>
      </c>
      <c r="E1066" t="s">
        <v>296</v>
      </c>
      <c r="F1066" t="s">
        <v>1426</v>
      </c>
      <c r="G1066">
        <v>169</v>
      </c>
      <c r="H1066">
        <v>20137.57</v>
      </c>
      <c r="I1066">
        <v>119.16</v>
      </c>
      <c r="J1066">
        <v>0</v>
      </c>
      <c r="K1066">
        <v>0</v>
      </c>
      <c r="L1066">
        <v>0</v>
      </c>
      <c r="M1066">
        <v>169</v>
      </c>
      <c r="N1066">
        <v>20137.57</v>
      </c>
      <c r="O1066">
        <v>119.16</v>
      </c>
    </row>
    <row r="1067" spans="1:15" x14ac:dyDescent="0.35">
      <c r="A1067" t="s">
        <v>1393</v>
      </c>
      <c r="B1067" t="s">
        <v>186</v>
      </c>
      <c r="C1067" t="s">
        <v>1184</v>
      </c>
      <c r="D1067" t="s">
        <v>339</v>
      </c>
      <c r="E1067" t="s">
        <v>298</v>
      </c>
      <c r="F1067" t="s">
        <v>1427</v>
      </c>
      <c r="G1067">
        <v>5</v>
      </c>
      <c r="H1067">
        <v>676.44999999999993</v>
      </c>
      <c r="I1067">
        <v>135.29</v>
      </c>
      <c r="J1067">
        <v>0</v>
      </c>
      <c r="K1067">
        <v>0</v>
      </c>
      <c r="L1067">
        <v>0</v>
      </c>
      <c r="M1067">
        <v>5</v>
      </c>
      <c r="N1067">
        <v>676.44999999999993</v>
      </c>
      <c r="O1067">
        <v>135.29</v>
      </c>
    </row>
    <row r="1068" spans="1:15" x14ac:dyDescent="0.35">
      <c r="A1068" t="s">
        <v>1393</v>
      </c>
      <c r="B1068" t="s">
        <v>186</v>
      </c>
      <c r="C1068" t="s">
        <v>1184</v>
      </c>
      <c r="D1068" t="s">
        <v>339</v>
      </c>
      <c r="E1068" t="s">
        <v>300</v>
      </c>
      <c r="F1068" t="s">
        <v>1428</v>
      </c>
      <c r="G1068">
        <v>0</v>
      </c>
      <c r="H1068">
        <v>0</v>
      </c>
      <c r="I1068">
        <v>0</v>
      </c>
      <c r="J1068">
        <v>0</v>
      </c>
      <c r="K1068">
        <v>0</v>
      </c>
      <c r="L1068">
        <v>0</v>
      </c>
      <c r="M1068">
        <v>0</v>
      </c>
      <c r="N1068">
        <v>0</v>
      </c>
      <c r="O1068">
        <v>0</v>
      </c>
    </row>
    <row r="1069" spans="1:15" x14ac:dyDescent="0.35">
      <c r="A1069" t="s">
        <v>1393</v>
      </c>
      <c r="B1069" t="s">
        <v>186</v>
      </c>
      <c r="C1069" t="s">
        <v>1184</v>
      </c>
      <c r="D1069" t="s">
        <v>339</v>
      </c>
      <c r="E1069" t="s">
        <v>306</v>
      </c>
      <c r="F1069" t="s">
        <v>1429</v>
      </c>
      <c r="G1069">
        <v>16</v>
      </c>
      <c r="H1069">
        <v>1488.73</v>
      </c>
      <c r="I1069">
        <v>93.05</v>
      </c>
      <c r="J1069">
        <v>0</v>
      </c>
      <c r="K1069">
        <v>0</v>
      </c>
      <c r="L1069">
        <v>0</v>
      </c>
      <c r="M1069">
        <v>16</v>
      </c>
      <c r="N1069">
        <v>1488.73</v>
      </c>
      <c r="O1069">
        <v>93.05</v>
      </c>
    </row>
    <row r="1070" spans="1:15" x14ac:dyDescent="0.35">
      <c r="A1070" t="s">
        <v>1393</v>
      </c>
      <c r="B1070" t="s">
        <v>186</v>
      </c>
      <c r="C1070" t="s">
        <v>1184</v>
      </c>
      <c r="D1070" t="s">
        <v>339</v>
      </c>
      <c r="E1070" t="s">
        <v>308</v>
      </c>
      <c r="F1070" t="s">
        <v>1430</v>
      </c>
      <c r="G1070">
        <v>121</v>
      </c>
      <c r="H1070">
        <v>19833.63</v>
      </c>
      <c r="I1070">
        <v>163.91</v>
      </c>
      <c r="J1070">
        <v>0</v>
      </c>
      <c r="K1070">
        <v>0</v>
      </c>
      <c r="L1070">
        <v>0</v>
      </c>
      <c r="M1070">
        <v>121</v>
      </c>
      <c r="N1070">
        <v>19833.63</v>
      </c>
      <c r="O1070">
        <v>163.91</v>
      </c>
    </row>
    <row r="1071" spans="1:15" x14ac:dyDescent="0.35">
      <c r="A1071" t="s">
        <v>1393</v>
      </c>
      <c r="B1071" t="s">
        <v>186</v>
      </c>
      <c r="C1071" t="s">
        <v>1184</v>
      </c>
      <c r="D1071" t="s">
        <v>339</v>
      </c>
      <c r="E1071" t="s">
        <v>310</v>
      </c>
      <c r="F1071" t="s">
        <v>1431</v>
      </c>
      <c r="G1071">
        <v>1070</v>
      </c>
      <c r="H1071">
        <v>125879.78999999998</v>
      </c>
      <c r="I1071">
        <v>117.64</v>
      </c>
      <c r="J1071">
        <v>0</v>
      </c>
      <c r="K1071">
        <v>0</v>
      </c>
      <c r="L1071">
        <v>0</v>
      </c>
      <c r="M1071">
        <v>1070</v>
      </c>
      <c r="N1071">
        <v>125879.78999999998</v>
      </c>
      <c r="O1071">
        <v>117.64</v>
      </c>
    </row>
    <row r="1072" spans="1:15" x14ac:dyDescent="0.35">
      <c r="A1072" t="s">
        <v>1393</v>
      </c>
      <c r="B1072" t="s">
        <v>186</v>
      </c>
      <c r="C1072" t="s">
        <v>1184</v>
      </c>
      <c r="D1072" t="s">
        <v>339</v>
      </c>
      <c r="E1072" t="s">
        <v>312</v>
      </c>
      <c r="F1072" t="s">
        <v>1432</v>
      </c>
      <c r="G1072">
        <v>949</v>
      </c>
      <c r="H1072">
        <v>106046.15999999997</v>
      </c>
      <c r="I1072">
        <v>111.75</v>
      </c>
      <c r="J1072">
        <v>0</v>
      </c>
      <c r="K1072">
        <v>0</v>
      </c>
      <c r="L1072">
        <v>0</v>
      </c>
      <c r="M1072">
        <v>949</v>
      </c>
      <c r="N1072">
        <v>106046.15999999997</v>
      </c>
      <c r="O1072">
        <v>111.75</v>
      </c>
    </row>
    <row r="1073" spans="1:15" x14ac:dyDescent="0.35">
      <c r="A1073" t="s">
        <v>1393</v>
      </c>
      <c r="B1073" t="s">
        <v>186</v>
      </c>
      <c r="C1073" t="s">
        <v>1184</v>
      </c>
      <c r="D1073" t="s">
        <v>348</v>
      </c>
      <c r="E1073" t="s">
        <v>349</v>
      </c>
      <c r="F1073" t="s">
        <v>1433</v>
      </c>
      <c r="G1073">
        <v>1194</v>
      </c>
      <c r="H1073">
        <v>127239.18</v>
      </c>
      <c r="I1073">
        <v>117.81</v>
      </c>
      <c r="J1073">
        <v>6</v>
      </c>
      <c r="K1073">
        <v>510.62</v>
      </c>
      <c r="L1073">
        <v>85.1</v>
      </c>
      <c r="M1073">
        <v>1200</v>
      </c>
      <c r="N1073">
        <v>127749.79999999999</v>
      </c>
      <c r="O1073">
        <v>117.63</v>
      </c>
    </row>
    <row r="1074" spans="1:15" x14ac:dyDescent="0.35">
      <c r="A1074" t="s">
        <v>1434</v>
      </c>
      <c r="B1074" t="s">
        <v>173</v>
      </c>
      <c r="C1074" t="s">
        <v>1184</v>
      </c>
      <c r="D1074" t="s">
        <v>293</v>
      </c>
      <c r="E1074" t="s">
        <v>294</v>
      </c>
      <c r="F1074" t="s">
        <v>1435</v>
      </c>
      <c r="G1074">
        <v>323</v>
      </c>
      <c r="H1074">
        <v>43280.649999999994</v>
      </c>
      <c r="I1074">
        <v>134</v>
      </c>
      <c r="J1074">
        <v>75</v>
      </c>
      <c r="K1074">
        <v>9402.75</v>
      </c>
      <c r="L1074">
        <v>125.37</v>
      </c>
      <c r="M1074">
        <v>398</v>
      </c>
      <c r="N1074">
        <v>52683.399999999994</v>
      </c>
      <c r="O1074">
        <v>132.37</v>
      </c>
    </row>
    <row r="1075" spans="1:15" x14ac:dyDescent="0.35">
      <c r="A1075" t="s">
        <v>1434</v>
      </c>
      <c r="B1075" t="s">
        <v>173</v>
      </c>
      <c r="C1075" t="s">
        <v>1184</v>
      </c>
      <c r="D1075" t="s">
        <v>293</v>
      </c>
      <c r="E1075" t="s">
        <v>296</v>
      </c>
      <c r="F1075" t="s">
        <v>1436</v>
      </c>
      <c r="G1075">
        <v>467</v>
      </c>
      <c r="H1075">
        <v>76473.98</v>
      </c>
      <c r="I1075">
        <v>163.76</v>
      </c>
      <c r="J1075">
        <v>190</v>
      </c>
      <c r="K1075">
        <v>25340.3</v>
      </c>
      <c r="L1075">
        <v>133.37</v>
      </c>
      <c r="M1075">
        <v>657</v>
      </c>
      <c r="N1075">
        <v>101814.28</v>
      </c>
      <c r="O1075">
        <v>154.97</v>
      </c>
    </row>
    <row r="1076" spans="1:15" x14ac:dyDescent="0.35">
      <c r="A1076" t="s">
        <v>1434</v>
      </c>
      <c r="B1076" t="s">
        <v>173</v>
      </c>
      <c r="C1076" t="s">
        <v>1184</v>
      </c>
      <c r="D1076" t="s">
        <v>293</v>
      </c>
      <c r="E1076" t="s">
        <v>298</v>
      </c>
      <c r="F1076" t="s">
        <v>1437</v>
      </c>
      <c r="G1076">
        <v>282</v>
      </c>
      <c r="H1076">
        <v>56161.619999999995</v>
      </c>
      <c r="I1076">
        <v>199.15</v>
      </c>
      <c r="J1076">
        <v>191</v>
      </c>
      <c r="K1076">
        <v>31014.579999999998</v>
      </c>
      <c r="L1076">
        <v>162.38</v>
      </c>
      <c r="M1076">
        <v>473</v>
      </c>
      <c r="N1076">
        <v>87176.2</v>
      </c>
      <c r="O1076">
        <v>184.3</v>
      </c>
    </row>
    <row r="1077" spans="1:15" x14ac:dyDescent="0.35">
      <c r="A1077" t="s">
        <v>1434</v>
      </c>
      <c r="B1077" t="s">
        <v>173</v>
      </c>
      <c r="C1077" t="s">
        <v>1184</v>
      </c>
      <c r="D1077" t="s">
        <v>293</v>
      </c>
      <c r="E1077" t="s">
        <v>300</v>
      </c>
      <c r="F1077" t="s">
        <v>1438</v>
      </c>
      <c r="G1077">
        <v>85</v>
      </c>
      <c r="H1077">
        <v>21054.79</v>
      </c>
      <c r="I1077">
        <v>247.7</v>
      </c>
      <c r="J1077">
        <v>29</v>
      </c>
      <c r="K1077">
        <v>5635.5700000000006</v>
      </c>
      <c r="L1077">
        <v>194.33</v>
      </c>
      <c r="M1077">
        <v>114</v>
      </c>
      <c r="N1077">
        <v>26690.36</v>
      </c>
      <c r="O1077">
        <v>234.13</v>
      </c>
    </row>
    <row r="1078" spans="1:15" x14ac:dyDescent="0.35">
      <c r="A1078" t="s">
        <v>1434</v>
      </c>
      <c r="B1078" t="s">
        <v>173</v>
      </c>
      <c r="C1078" t="s">
        <v>1184</v>
      </c>
      <c r="D1078" t="s">
        <v>293</v>
      </c>
      <c r="E1078" t="s">
        <v>302</v>
      </c>
      <c r="F1078" t="s">
        <v>1439</v>
      </c>
      <c r="G1078">
        <v>0</v>
      </c>
      <c r="H1078">
        <v>0</v>
      </c>
      <c r="I1078">
        <v>0</v>
      </c>
      <c r="J1078">
        <v>0</v>
      </c>
      <c r="K1078">
        <v>0</v>
      </c>
      <c r="L1078">
        <v>0</v>
      </c>
      <c r="M1078">
        <v>0</v>
      </c>
      <c r="N1078">
        <v>0</v>
      </c>
      <c r="O1078">
        <v>0</v>
      </c>
    </row>
    <row r="1079" spans="1:15" x14ac:dyDescent="0.35">
      <c r="A1079" t="s">
        <v>1434</v>
      </c>
      <c r="B1079" t="s">
        <v>173</v>
      </c>
      <c r="C1079" t="s">
        <v>1184</v>
      </c>
      <c r="D1079" t="s">
        <v>293</v>
      </c>
      <c r="E1079" t="s">
        <v>304</v>
      </c>
      <c r="F1079" t="s">
        <v>1440</v>
      </c>
      <c r="G1079">
        <v>0</v>
      </c>
      <c r="H1079">
        <v>0</v>
      </c>
      <c r="I1079">
        <v>0</v>
      </c>
      <c r="J1079">
        <v>3</v>
      </c>
      <c r="K1079">
        <v>922.98</v>
      </c>
      <c r="L1079">
        <v>307.66000000000003</v>
      </c>
      <c r="M1079">
        <v>3</v>
      </c>
      <c r="N1079">
        <v>922.98</v>
      </c>
      <c r="O1079">
        <v>307.66000000000003</v>
      </c>
    </row>
    <row r="1080" spans="1:15" x14ac:dyDescent="0.35">
      <c r="A1080" t="s">
        <v>1434</v>
      </c>
      <c r="B1080" t="s">
        <v>173</v>
      </c>
      <c r="C1080" t="s">
        <v>1184</v>
      </c>
      <c r="D1080" t="s">
        <v>293</v>
      </c>
      <c r="E1080" t="s">
        <v>306</v>
      </c>
      <c r="F1080" t="s">
        <v>1441</v>
      </c>
      <c r="G1080">
        <v>0</v>
      </c>
      <c r="H1080">
        <v>0</v>
      </c>
      <c r="I1080">
        <v>0</v>
      </c>
      <c r="J1080">
        <v>0</v>
      </c>
      <c r="K1080">
        <v>0</v>
      </c>
      <c r="L1080">
        <v>0</v>
      </c>
      <c r="M1080">
        <v>0</v>
      </c>
      <c r="N1080">
        <v>0</v>
      </c>
      <c r="O1080">
        <v>0</v>
      </c>
    </row>
    <row r="1081" spans="1:15" x14ac:dyDescent="0.35">
      <c r="A1081" t="s">
        <v>1434</v>
      </c>
      <c r="B1081" t="s">
        <v>173</v>
      </c>
      <c r="C1081" t="s">
        <v>1184</v>
      </c>
      <c r="D1081" t="s">
        <v>293</v>
      </c>
      <c r="E1081" t="s">
        <v>308</v>
      </c>
      <c r="F1081" t="s">
        <v>1442</v>
      </c>
      <c r="G1081">
        <v>0</v>
      </c>
      <c r="H1081">
        <v>0</v>
      </c>
      <c r="I1081">
        <v>0</v>
      </c>
      <c r="J1081">
        <v>0</v>
      </c>
      <c r="K1081">
        <v>0</v>
      </c>
      <c r="L1081">
        <v>0</v>
      </c>
      <c r="M1081">
        <v>0</v>
      </c>
      <c r="N1081">
        <v>0</v>
      </c>
      <c r="O1081">
        <v>0</v>
      </c>
    </row>
    <row r="1082" spans="1:15" x14ac:dyDescent="0.35">
      <c r="A1082" t="s">
        <v>1434</v>
      </c>
      <c r="B1082" t="s">
        <v>173</v>
      </c>
      <c r="C1082" t="s">
        <v>1184</v>
      </c>
      <c r="D1082" t="s">
        <v>293</v>
      </c>
      <c r="E1082" t="s">
        <v>310</v>
      </c>
      <c r="F1082" t="s">
        <v>1443</v>
      </c>
      <c r="G1082">
        <v>1157</v>
      </c>
      <c r="H1082">
        <v>196971.04</v>
      </c>
      <c r="I1082">
        <v>170.24</v>
      </c>
      <c r="J1082">
        <v>488</v>
      </c>
      <c r="K1082">
        <v>72316.180000000008</v>
      </c>
      <c r="L1082">
        <v>148.19</v>
      </c>
      <c r="M1082">
        <v>1645</v>
      </c>
      <c r="N1082">
        <v>269287.22000000003</v>
      </c>
      <c r="O1082">
        <v>163.69999999999999</v>
      </c>
    </row>
    <row r="1083" spans="1:15" x14ac:dyDescent="0.35">
      <c r="A1083" t="s">
        <v>1434</v>
      </c>
      <c r="B1083" t="s">
        <v>173</v>
      </c>
      <c r="C1083" t="s">
        <v>1184</v>
      </c>
      <c r="D1083" t="s">
        <v>293</v>
      </c>
      <c r="E1083" t="s">
        <v>312</v>
      </c>
      <c r="F1083" t="s">
        <v>1444</v>
      </c>
      <c r="G1083">
        <v>1157</v>
      </c>
      <c r="H1083">
        <v>196971.04</v>
      </c>
      <c r="I1083">
        <v>170.24</v>
      </c>
      <c r="J1083">
        <v>488</v>
      </c>
      <c r="K1083">
        <v>72316.180000000008</v>
      </c>
      <c r="L1083">
        <v>148.19</v>
      </c>
      <c r="M1083">
        <v>1645</v>
      </c>
      <c r="N1083">
        <v>269287.22000000003</v>
      </c>
      <c r="O1083">
        <v>163.69999999999999</v>
      </c>
    </row>
    <row r="1084" spans="1:15" x14ac:dyDescent="0.35">
      <c r="A1084" t="s">
        <v>1434</v>
      </c>
      <c r="B1084" t="s">
        <v>173</v>
      </c>
      <c r="C1084" t="s">
        <v>1184</v>
      </c>
      <c r="D1084" t="s">
        <v>314</v>
      </c>
      <c r="E1084" t="s">
        <v>294</v>
      </c>
      <c r="F1084" t="s">
        <v>1445</v>
      </c>
      <c r="G1084">
        <v>0</v>
      </c>
      <c r="H1084">
        <v>0</v>
      </c>
      <c r="I1084">
        <v>0</v>
      </c>
      <c r="J1084">
        <v>37</v>
      </c>
      <c r="K1084">
        <v>3628.2200000000003</v>
      </c>
      <c r="L1084">
        <v>98.06</v>
      </c>
      <c r="M1084">
        <v>37</v>
      </c>
      <c r="N1084">
        <v>3628.2200000000003</v>
      </c>
      <c r="O1084">
        <v>98.06</v>
      </c>
    </row>
    <row r="1085" spans="1:15" x14ac:dyDescent="0.35">
      <c r="A1085" t="s">
        <v>1434</v>
      </c>
      <c r="B1085" t="s">
        <v>173</v>
      </c>
      <c r="C1085" t="s">
        <v>1184</v>
      </c>
      <c r="D1085" t="s">
        <v>314</v>
      </c>
      <c r="E1085" t="s">
        <v>296</v>
      </c>
      <c r="F1085" t="s">
        <v>1446</v>
      </c>
      <c r="G1085">
        <v>1</v>
      </c>
      <c r="H1085">
        <v>148.6</v>
      </c>
      <c r="I1085">
        <v>148.6</v>
      </c>
      <c r="J1085">
        <v>0</v>
      </c>
      <c r="K1085">
        <v>0</v>
      </c>
      <c r="L1085">
        <v>0</v>
      </c>
      <c r="M1085">
        <v>1</v>
      </c>
      <c r="N1085">
        <v>148.6</v>
      </c>
      <c r="O1085">
        <v>148.6</v>
      </c>
    </row>
    <row r="1086" spans="1:15" x14ac:dyDescent="0.35">
      <c r="A1086" t="s">
        <v>1434</v>
      </c>
      <c r="B1086" t="s">
        <v>173</v>
      </c>
      <c r="C1086" t="s">
        <v>1184</v>
      </c>
      <c r="D1086" t="s">
        <v>314</v>
      </c>
      <c r="E1086" t="s">
        <v>298</v>
      </c>
      <c r="F1086" t="s">
        <v>1447</v>
      </c>
      <c r="G1086">
        <v>0</v>
      </c>
      <c r="H1086">
        <v>0</v>
      </c>
      <c r="I1086">
        <v>0</v>
      </c>
      <c r="J1086">
        <v>0</v>
      </c>
      <c r="K1086">
        <v>0</v>
      </c>
      <c r="L1086">
        <v>0</v>
      </c>
      <c r="M1086">
        <v>0</v>
      </c>
      <c r="N1086">
        <v>0</v>
      </c>
      <c r="O1086">
        <v>0</v>
      </c>
    </row>
    <row r="1087" spans="1:15" x14ac:dyDescent="0.35">
      <c r="A1087" t="s">
        <v>1434</v>
      </c>
      <c r="B1087" t="s">
        <v>173</v>
      </c>
      <c r="C1087" t="s">
        <v>1184</v>
      </c>
      <c r="D1087" t="s">
        <v>314</v>
      </c>
      <c r="E1087" t="s">
        <v>300</v>
      </c>
      <c r="F1087" t="s">
        <v>1448</v>
      </c>
      <c r="G1087">
        <v>0</v>
      </c>
      <c r="H1087">
        <v>0</v>
      </c>
      <c r="I1087">
        <v>0</v>
      </c>
      <c r="J1087">
        <v>0</v>
      </c>
      <c r="K1087">
        <v>0</v>
      </c>
      <c r="L1087">
        <v>0</v>
      </c>
      <c r="M1087">
        <v>0</v>
      </c>
      <c r="N1087">
        <v>0</v>
      </c>
      <c r="O1087">
        <v>0</v>
      </c>
    </row>
    <row r="1088" spans="1:15" x14ac:dyDescent="0.35">
      <c r="A1088" t="s">
        <v>1434</v>
      </c>
      <c r="B1088" t="s">
        <v>173</v>
      </c>
      <c r="C1088" t="s">
        <v>1184</v>
      </c>
      <c r="D1088" t="s">
        <v>314</v>
      </c>
      <c r="E1088" t="s">
        <v>306</v>
      </c>
      <c r="F1088" t="s">
        <v>1449</v>
      </c>
      <c r="G1088">
        <v>0</v>
      </c>
      <c r="H1088">
        <v>0</v>
      </c>
      <c r="I1088">
        <v>0</v>
      </c>
      <c r="J1088">
        <v>10</v>
      </c>
      <c r="K1088">
        <v>824.9</v>
      </c>
      <c r="L1088">
        <v>82.49</v>
      </c>
      <c r="M1088">
        <v>10</v>
      </c>
      <c r="N1088">
        <v>824.9</v>
      </c>
      <c r="O1088">
        <v>82.49</v>
      </c>
    </row>
    <row r="1089" spans="1:15" x14ac:dyDescent="0.35">
      <c r="A1089" t="s">
        <v>1434</v>
      </c>
      <c r="B1089" t="s">
        <v>173</v>
      </c>
      <c r="C1089" t="s">
        <v>1184</v>
      </c>
      <c r="D1089" t="s">
        <v>314</v>
      </c>
      <c r="E1089" t="s">
        <v>308</v>
      </c>
      <c r="F1089" t="s">
        <v>1450</v>
      </c>
      <c r="G1089">
        <v>0</v>
      </c>
      <c r="H1089">
        <v>0</v>
      </c>
      <c r="I1089">
        <v>0</v>
      </c>
      <c r="J1089">
        <v>0</v>
      </c>
      <c r="K1089">
        <v>0</v>
      </c>
      <c r="L1089">
        <v>0</v>
      </c>
      <c r="M1089">
        <v>0</v>
      </c>
      <c r="N1089">
        <v>0</v>
      </c>
      <c r="O1089">
        <v>0</v>
      </c>
    </row>
    <row r="1090" spans="1:15" x14ac:dyDescent="0.35">
      <c r="A1090" t="s">
        <v>1434</v>
      </c>
      <c r="B1090" t="s">
        <v>173</v>
      </c>
      <c r="C1090" t="s">
        <v>1184</v>
      </c>
      <c r="D1090" t="s">
        <v>314</v>
      </c>
      <c r="E1090" t="s">
        <v>312</v>
      </c>
      <c r="F1090" t="s">
        <v>1451</v>
      </c>
      <c r="G1090">
        <v>1</v>
      </c>
      <c r="H1090">
        <v>148.6</v>
      </c>
      <c r="I1090">
        <v>148.6</v>
      </c>
      <c r="J1090">
        <v>47</v>
      </c>
      <c r="K1090">
        <v>4453.12</v>
      </c>
      <c r="L1090">
        <v>94.75</v>
      </c>
      <c r="M1090">
        <v>48</v>
      </c>
      <c r="N1090">
        <v>4601.72</v>
      </c>
      <c r="O1090">
        <v>95.87</v>
      </c>
    </row>
    <row r="1091" spans="1:15" x14ac:dyDescent="0.35">
      <c r="A1091" t="s">
        <v>1434</v>
      </c>
      <c r="B1091" t="s">
        <v>173</v>
      </c>
      <c r="C1091" t="s">
        <v>1184</v>
      </c>
      <c r="D1091" t="s">
        <v>314</v>
      </c>
      <c r="E1091" t="s">
        <v>310</v>
      </c>
      <c r="F1091" t="s">
        <v>1452</v>
      </c>
      <c r="G1091">
        <v>1</v>
      </c>
      <c r="H1091">
        <v>148.6</v>
      </c>
      <c r="I1091">
        <v>148.6</v>
      </c>
      <c r="J1091">
        <v>47</v>
      </c>
      <c r="K1091">
        <v>4453.12</v>
      </c>
      <c r="L1091">
        <v>94.75</v>
      </c>
      <c r="M1091">
        <v>48</v>
      </c>
      <c r="N1091">
        <v>4601.72</v>
      </c>
      <c r="O1091">
        <v>95.87</v>
      </c>
    </row>
    <row r="1092" spans="1:15" x14ac:dyDescent="0.35">
      <c r="A1092" t="s">
        <v>1434</v>
      </c>
      <c r="B1092" t="s">
        <v>173</v>
      </c>
      <c r="C1092" t="s">
        <v>1184</v>
      </c>
      <c r="D1092" t="s">
        <v>323</v>
      </c>
      <c r="E1092" t="s">
        <v>294</v>
      </c>
      <c r="F1092" t="s">
        <v>1453</v>
      </c>
      <c r="G1092">
        <v>857</v>
      </c>
      <c r="H1092">
        <v>86569.33</v>
      </c>
      <c r="I1092">
        <v>101.01</v>
      </c>
      <c r="J1092">
        <v>3284</v>
      </c>
      <c r="K1092">
        <v>289714.48</v>
      </c>
      <c r="L1092">
        <v>88.22</v>
      </c>
      <c r="M1092">
        <v>4141</v>
      </c>
      <c r="N1092">
        <v>376283.81</v>
      </c>
      <c r="O1092">
        <v>90.87</v>
      </c>
    </row>
    <row r="1093" spans="1:15" x14ac:dyDescent="0.35">
      <c r="A1093" t="s">
        <v>1434</v>
      </c>
      <c r="B1093" t="s">
        <v>173</v>
      </c>
      <c r="C1093" t="s">
        <v>1184</v>
      </c>
      <c r="D1093" t="s">
        <v>323</v>
      </c>
      <c r="E1093" t="s">
        <v>296</v>
      </c>
      <c r="F1093" t="s">
        <v>1454</v>
      </c>
      <c r="G1093">
        <v>1314</v>
      </c>
      <c r="H1093">
        <v>158026.85999999996</v>
      </c>
      <c r="I1093">
        <v>120.26</v>
      </c>
      <c r="J1093">
        <v>2664</v>
      </c>
      <c r="K1093">
        <v>256196.88</v>
      </c>
      <c r="L1093">
        <v>96.17</v>
      </c>
      <c r="M1093">
        <v>3978</v>
      </c>
      <c r="N1093">
        <v>414223.74</v>
      </c>
      <c r="O1093">
        <v>104.13</v>
      </c>
    </row>
    <row r="1094" spans="1:15" x14ac:dyDescent="0.35">
      <c r="A1094" t="s">
        <v>1434</v>
      </c>
      <c r="B1094" t="s">
        <v>173</v>
      </c>
      <c r="C1094" t="s">
        <v>1184</v>
      </c>
      <c r="D1094" t="s">
        <v>323</v>
      </c>
      <c r="E1094" t="s">
        <v>298</v>
      </c>
      <c r="F1094" t="s">
        <v>1455</v>
      </c>
      <c r="G1094">
        <v>790</v>
      </c>
      <c r="H1094">
        <v>108456.3</v>
      </c>
      <c r="I1094">
        <v>137.29</v>
      </c>
      <c r="J1094">
        <v>3414</v>
      </c>
      <c r="K1094">
        <v>352734.48</v>
      </c>
      <c r="L1094">
        <v>103.32</v>
      </c>
      <c r="M1094">
        <v>4204</v>
      </c>
      <c r="N1094">
        <v>461190.77999999997</v>
      </c>
      <c r="O1094">
        <v>109.7</v>
      </c>
    </row>
    <row r="1095" spans="1:15" x14ac:dyDescent="0.35">
      <c r="A1095" t="s">
        <v>1434</v>
      </c>
      <c r="B1095" t="s">
        <v>173</v>
      </c>
      <c r="C1095" t="s">
        <v>1184</v>
      </c>
      <c r="D1095" t="s">
        <v>323</v>
      </c>
      <c r="E1095" t="s">
        <v>300</v>
      </c>
      <c r="F1095" t="s">
        <v>1456</v>
      </c>
      <c r="G1095">
        <v>120</v>
      </c>
      <c r="H1095">
        <v>19097.989999999998</v>
      </c>
      <c r="I1095">
        <v>159.15</v>
      </c>
      <c r="J1095">
        <v>178</v>
      </c>
      <c r="K1095">
        <v>21288.799999999999</v>
      </c>
      <c r="L1095">
        <v>119.6</v>
      </c>
      <c r="M1095">
        <v>298</v>
      </c>
      <c r="N1095">
        <v>40386.789999999994</v>
      </c>
      <c r="O1095">
        <v>135.53</v>
      </c>
    </row>
    <row r="1096" spans="1:15" x14ac:dyDescent="0.35">
      <c r="A1096" t="s">
        <v>1434</v>
      </c>
      <c r="B1096" t="s">
        <v>173</v>
      </c>
      <c r="C1096" t="s">
        <v>1184</v>
      </c>
      <c r="D1096" t="s">
        <v>323</v>
      </c>
      <c r="E1096" t="s">
        <v>302</v>
      </c>
      <c r="F1096" t="s">
        <v>1457</v>
      </c>
      <c r="G1096">
        <v>5</v>
      </c>
      <c r="H1096">
        <v>846.73</v>
      </c>
      <c r="I1096">
        <v>169.35</v>
      </c>
      <c r="J1096">
        <v>4</v>
      </c>
      <c r="K1096">
        <v>497.36</v>
      </c>
      <c r="L1096">
        <v>124.34</v>
      </c>
      <c r="M1096">
        <v>9</v>
      </c>
      <c r="N1096">
        <v>1344.0900000000001</v>
      </c>
      <c r="O1096">
        <v>149.34</v>
      </c>
    </row>
    <row r="1097" spans="1:15" x14ac:dyDescent="0.35">
      <c r="A1097" t="s">
        <v>1434</v>
      </c>
      <c r="B1097" t="s">
        <v>173</v>
      </c>
      <c r="C1097" t="s">
        <v>1184</v>
      </c>
      <c r="D1097" t="s">
        <v>323</v>
      </c>
      <c r="E1097" t="s">
        <v>304</v>
      </c>
      <c r="F1097" t="s">
        <v>1458</v>
      </c>
      <c r="G1097">
        <v>1</v>
      </c>
      <c r="H1097">
        <v>150.68</v>
      </c>
      <c r="I1097">
        <v>150.68</v>
      </c>
      <c r="J1097">
        <v>0</v>
      </c>
      <c r="K1097">
        <v>0</v>
      </c>
      <c r="L1097">
        <v>0</v>
      </c>
      <c r="M1097">
        <v>1</v>
      </c>
      <c r="N1097">
        <v>150.68</v>
      </c>
      <c r="O1097">
        <v>150.68</v>
      </c>
    </row>
    <row r="1098" spans="1:15" x14ac:dyDescent="0.35">
      <c r="A1098" t="s">
        <v>1434</v>
      </c>
      <c r="B1098" t="s">
        <v>173</v>
      </c>
      <c r="C1098" t="s">
        <v>1184</v>
      </c>
      <c r="D1098" t="s">
        <v>323</v>
      </c>
      <c r="E1098" t="s">
        <v>306</v>
      </c>
      <c r="F1098" t="s">
        <v>1459</v>
      </c>
      <c r="G1098">
        <v>15</v>
      </c>
      <c r="H1098">
        <v>1259.55</v>
      </c>
      <c r="I1098">
        <v>83.97</v>
      </c>
      <c r="J1098">
        <v>212</v>
      </c>
      <c r="K1098">
        <v>16976.96</v>
      </c>
      <c r="L1098">
        <v>80.08</v>
      </c>
      <c r="M1098">
        <v>227</v>
      </c>
      <c r="N1098">
        <v>18236.509999999998</v>
      </c>
      <c r="O1098">
        <v>80.34</v>
      </c>
    </row>
    <row r="1099" spans="1:15" x14ac:dyDescent="0.35">
      <c r="A1099" t="s">
        <v>1434</v>
      </c>
      <c r="B1099" t="s">
        <v>173</v>
      </c>
      <c r="C1099" t="s">
        <v>1184</v>
      </c>
      <c r="D1099" t="s">
        <v>323</v>
      </c>
      <c r="E1099" t="s">
        <v>308</v>
      </c>
      <c r="F1099" t="s">
        <v>1460</v>
      </c>
      <c r="G1099">
        <v>0</v>
      </c>
      <c r="H1099">
        <v>0</v>
      </c>
      <c r="I1099">
        <v>0</v>
      </c>
      <c r="J1099">
        <v>0</v>
      </c>
      <c r="K1099">
        <v>0</v>
      </c>
      <c r="L1099">
        <v>0</v>
      </c>
      <c r="M1099">
        <v>0</v>
      </c>
      <c r="N1099">
        <v>0</v>
      </c>
      <c r="O1099">
        <v>0</v>
      </c>
    </row>
    <row r="1100" spans="1:15" x14ac:dyDescent="0.35">
      <c r="A1100" t="s">
        <v>1434</v>
      </c>
      <c r="B1100" t="s">
        <v>173</v>
      </c>
      <c r="C1100" t="s">
        <v>1184</v>
      </c>
      <c r="D1100" t="s">
        <v>323</v>
      </c>
      <c r="E1100" t="s">
        <v>310</v>
      </c>
      <c r="F1100" t="s">
        <v>1461</v>
      </c>
      <c r="G1100">
        <v>3102</v>
      </c>
      <c r="H1100">
        <v>374407.43999999989</v>
      </c>
      <c r="I1100">
        <v>120.7</v>
      </c>
      <c r="J1100">
        <v>9756</v>
      </c>
      <c r="K1100">
        <v>937408.96</v>
      </c>
      <c r="L1100">
        <v>96.09</v>
      </c>
      <c r="M1100">
        <v>12858</v>
      </c>
      <c r="N1100">
        <v>1311816.3999999999</v>
      </c>
      <c r="O1100">
        <v>102.02</v>
      </c>
    </row>
    <row r="1101" spans="1:15" x14ac:dyDescent="0.35">
      <c r="A1101" t="s">
        <v>1434</v>
      </c>
      <c r="B1101" t="s">
        <v>173</v>
      </c>
      <c r="C1101" t="s">
        <v>1184</v>
      </c>
      <c r="D1101" t="s">
        <v>323</v>
      </c>
      <c r="E1101" t="s">
        <v>312</v>
      </c>
      <c r="F1101" t="s">
        <v>1462</v>
      </c>
      <c r="G1101">
        <v>3102</v>
      </c>
      <c r="H1101">
        <v>374407.43999999989</v>
      </c>
      <c r="I1101">
        <v>120.7</v>
      </c>
      <c r="J1101">
        <v>9756</v>
      </c>
      <c r="K1101">
        <v>937408.96</v>
      </c>
      <c r="L1101">
        <v>96.09</v>
      </c>
      <c r="M1101">
        <v>12858</v>
      </c>
      <c r="N1101">
        <v>1311816.3999999999</v>
      </c>
      <c r="O1101">
        <v>102.02</v>
      </c>
    </row>
    <row r="1102" spans="1:15" x14ac:dyDescent="0.35">
      <c r="A1102" t="s">
        <v>1434</v>
      </c>
      <c r="B1102" t="s">
        <v>173</v>
      </c>
      <c r="C1102" t="s">
        <v>1184</v>
      </c>
      <c r="D1102" t="s">
        <v>334</v>
      </c>
      <c r="E1102" t="s">
        <v>312</v>
      </c>
      <c r="F1102" t="s">
        <v>1463</v>
      </c>
      <c r="G1102">
        <v>4442</v>
      </c>
      <c r="H1102">
        <v>571378.4800000001</v>
      </c>
      <c r="I1102">
        <v>134.16</v>
      </c>
      <c r="J1102">
        <v>10244</v>
      </c>
      <c r="K1102">
        <v>1009725.14</v>
      </c>
      <c r="L1102">
        <v>98.57</v>
      </c>
      <c r="M1102">
        <v>14686</v>
      </c>
      <c r="N1102">
        <v>1581103.62</v>
      </c>
      <c r="O1102">
        <v>109.02</v>
      </c>
    </row>
    <row r="1103" spans="1:15" x14ac:dyDescent="0.35">
      <c r="A1103" t="s">
        <v>1434</v>
      </c>
      <c r="B1103" t="s">
        <v>173</v>
      </c>
      <c r="C1103" t="s">
        <v>1184</v>
      </c>
      <c r="D1103" t="s">
        <v>334</v>
      </c>
      <c r="E1103" t="s">
        <v>308</v>
      </c>
      <c r="F1103" t="s">
        <v>1464</v>
      </c>
      <c r="G1103">
        <v>0</v>
      </c>
      <c r="H1103">
        <v>0</v>
      </c>
      <c r="I1103">
        <v>0</v>
      </c>
      <c r="J1103">
        <v>0</v>
      </c>
      <c r="K1103">
        <v>0</v>
      </c>
      <c r="L1103">
        <v>0</v>
      </c>
      <c r="M1103">
        <v>0</v>
      </c>
      <c r="N1103">
        <v>0</v>
      </c>
      <c r="O1103">
        <v>0</v>
      </c>
    </row>
    <row r="1104" spans="1:15" x14ac:dyDescent="0.35">
      <c r="A1104" t="s">
        <v>1434</v>
      </c>
      <c r="B1104" t="s">
        <v>173</v>
      </c>
      <c r="C1104" t="s">
        <v>1184</v>
      </c>
      <c r="D1104" t="s">
        <v>337</v>
      </c>
      <c r="E1104" t="s">
        <v>337</v>
      </c>
      <c r="F1104" t="s">
        <v>1465</v>
      </c>
      <c r="G1104">
        <v>1249</v>
      </c>
      <c r="J1104">
        <v>0</v>
      </c>
      <c r="M1104">
        <v>1249</v>
      </c>
    </row>
    <row r="1105" spans="1:15" x14ac:dyDescent="0.35">
      <c r="A1105" t="s">
        <v>1434</v>
      </c>
      <c r="B1105" t="s">
        <v>173</v>
      </c>
      <c r="C1105" t="s">
        <v>1184</v>
      </c>
      <c r="D1105" t="s">
        <v>339</v>
      </c>
      <c r="E1105" t="s">
        <v>294</v>
      </c>
      <c r="F1105" t="s">
        <v>1466</v>
      </c>
      <c r="G1105">
        <v>948</v>
      </c>
      <c r="H1105">
        <v>106799.23</v>
      </c>
      <c r="I1105">
        <v>112.66</v>
      </c>
      <c r="J1105">
        <v>27</v>
      </c>
      <c r="K1105">
        <v>3355.29</v>
      </c>
      <c r="L1105">
        <v>124.27</v>
      </c>
      <c r="M1105">
        <v>975</v>
      </c>
      <c r="N1105">
        <v>110154.51999999999</v>
      </c>
      <c r="O1105">
        <v>112.98</v>
      </c>
    </row>
    <row r="1106" spans="1:15" x14ac:dyDescent="0.35">
      <c r="A1106" t="s">
        <v>1434</v>
      </c>
      <c r="B1106" t="s">
        <v>173</v>
      </c>
      <c r="C1106" t="s">
        <v>1184</v>
      </c>
      <c r="D1106" t="s">
        <v>339</v>
      </c>
      <c r="E1106" t="s">
        <v>296</v>
      </c>
      <c r="F1106" t="s">
        <v>1467</v>
      </c>
      <c r="G1106">
        <v>187</v>
      </c>
      <c r="H1106">
        <v>25057.350000000002</v>
      </c>
      <c r="I1106">
        <v>134</v>
      </c>
      <c r="J1106">
        <v>16</v>
      </c>
      <c r="K1106">
        <v>1717.28</v>
      </c>
      <c r="L1106">
        <v>107.33</v>
      </c>
      <c r="M1106">
        <v>203</v>
      </c>
      <c r="N1106">
        <v>26774.63</v>
      </c>
      <c r="O1106">
        <v>131.88999999999999</v>
      </c>
    </row>
    <row r="1107" spans="1:15" x14ac:dyDescent="0.35">
      <c r="A1107" t="s">
        <v>1434</v>
      </c>
      <c r="B1107" t="s">
        <v>173</v>
      </c>
      <c r="C1107" t="s">
        <v>1184</v>
      </c>
      <c r="D1107" t="s">
        <v>339</v>
      </c>
      <c r="E1107" t="s">
        <v>298</v>
      </c>
      <c r="F1107" t="s">
        <v>1468</v>
      </c>
      <c r="G1107">
        <v>17</v>
      </c>
      <c r="H1107">
        <v>3544.35</v>
      </c>
      <c r="I1107">
        <v>208.49</v>
      </c>
      <c r="J1107">
        <v>5</v>
      </c>
      <c r="K1107">
        <v>589.79999999999995</v>
      </c>
      <c r="L1107">
        <v>117.96</v>
      </c>
      <c r="M1107">
        <v>22</v>
      </c>
      <c r="N1107">
        <v>4134.1499999999996</v>
      </c>
      <c r="O1107">
        <v>187.92</v>
      </c>
    </row>
    <row r="1108" spans="1:15" x14ac:dyDescent="0.35">
      <c r="A1108" t="s">
        <v>1434</v>
      </c>
      <c r="B1108" t="s">
        <v>173</v>
      </c>
      <c r="C1108" t="s">
        <v>1184</v>
      </c>
      <c r="D1108" t="s">
        <v>339</v>
      </c>
      <c r="E1108" t="s">
        <v>300</v>
      </c>
      <c r="F1108" t="s">
        <v>1469</v>
      </c>
      <c r="G1108">
        <v>0</v>
      </c>
      <c r="H1108">
        <v>0</v>
      </c>
      <c r="I1108">
        <v>0</v>
      </c>
      <c r="J1108">
        <v>2</v>
      </c>
      <c r="K1108">
        <v>284.68</v>
      </c>
      <c r="L1108">
        <v>142.34</v>
      </c>
      <c r="M1108">
        <v>2</v>
      </c>
      <c r="N1108">
        <v>284.68</v>
      </c>
      <c r="O1108">
        <v>142.34</v>
      </c>
    </row>
    <row r="1109" spans="1:15" x14ac:dyDescent="0.35">
      <c r="A1109" t="s">
        <v>1434</v>
      </c>
      <c r="B1109" t="s">
        <v>173</v>
      </c>
      <c r="C1109" t="s">
        <v>1184</v>
      </c>
      <c r="D1109" t="s">
        <v>339</v>
      </c>
      <c r="E1109" t="s">
        <v>306</v>
      </c>
      <c r="F1109" t="s">
        <v>1470</v>
      </c>
      <c r="G1109">
        <v>71</v>
      </c>
      <c r="H1109">
        <v>6617.8199999999988</v>
      </c>
      <c r="I1109">
        <v>93.21</v>
      </c>
      <c r="J1109">
        <v>40</v>
      </c>
      <c r="K1109">
        <v>3311.6000000000004</v>
      </c>
      <c r="L1109">
        <v>82.79</v>
      </c>
      <c r="M1109">
        <v>111</v>
      </c>
      <c r="N1109">
        <v>9929.4199999999983</v>
      </c>
      <c r="O1109">
        <v>89.45</v>
      </c>
    </row>
    <row r="1110" spans="1:15" x14ac:dyDescent="0.35">
      <c r="A1110" t="s">
        <v>1434</v>
      </c>
      <c r="B1110" t="s">
        <v>173</v>
      </c>
      <c r="C1110" t="s">
        <v>1184</v>
      </c>
      <c r="D1110" t="s">
        <v>339</v>
      </c>
      <c r="E1110" t="s">
        <v>308</v>
      </c>
      <c r="F1110" t="s">
        <v>1471</v>
      </c>
      <c r="G1110">
        <v>221</v>
      </c>
      <c r="H1110">
        <v>21020.239999999998</v>
      </c>
      <c r="I1110">
        <v>95.11</v>
      </c>
      <c r="J1110">
        <v>0</v>
      </c>
      <c r="K1110">
        <v>0</v>
      </c>
      <c r="L1110">
        <v>0</v>
      </c>
      <c r="M1110">
        <v>221</v>
      </c>
      <c r="N1110">
        <v>21020.239999999998</v>
      </c>
      <c r="O1110">
        <v>95.11</v>
      </c>
    </row>
    <row r="1111" spans="1:15" x14ac:dyDescent="0.35">
      <c r="A1111" t="s">
        <v>1434</v>
      </c>
      <c r="B1111" t="s">
        <v>173</v>
      </c>
      <c r="C1111" t="s">
        <v>1184</v>
      </c>
      <c r="D1111" t="s">
        <v>339</v>
      </c>
      <c r="E1111" t="s">
        <v>310</v>
      </c>
      <c r="F1111" t="s">
        <v>1472</v>
      </c>
      <c r="G1111">
        <v>1444</v>
      </c>
      <c r="H1111">
        <v>163038.99</v>
      </c>
      <c r="I1111">
        <v>112.91</v>
      </c>
      <c r="J1111">
        <v>90</v>
      </c>
      <c r="K1111">
        <v>9258.6500000000015</v>
      </c>
      <c r="L1111">
        <v>102.87</v>
      </c>
      <c r="M1111">
        <v>1534</v>
      </c>
      <c r="N1111">
        <v>172297.63999999998</v>
      </c>
      <c r="O1111">
        <v>112.32</v>
      </c>
    </row>
    <row r="1112" spans="1:15" x14ac:dyDescent="0.35">
      <c r="A1112" t="s">
        <v>1434</v>
      </c>
      <c r="B1112" t="s">
        <v>173</v>
      </c>
      <c r="C1112" t="s">
        <v>1184</v>
      </c>
      <c r="D1112" t="s">
        <v>339</v>
      </c>
      <c r="E1112" t="s">
        <v>312</v>
      </c>
      <c r="F1112" t="s">
        <v>1473</v>
      </c>
      <c r="G1112">
        <v>1223</v>
      </c>
      <c r="H1112">
        <v>142018.75</v>
      </c>
      <c r="I1112">
        <v>116.12</v>
      </c>
      <c r="J1112">
        <v>90</v>
      </c>
      <c r="K1112">
        <v>9258.6500000000015</v>
      </c>
      <c r="L1112">
        <v>102.87</v>
      </c>
      <c r="M1112">
        <v>1313</v>
      </c>
      <c r="N1112">
        <v>151277.4</v>
      </c>
      <c r="O1112">
        <v>115.22</v>
      </c>
    </row>
    <row r="1113" spans="1:15" x14ac:dyDescent="0.35">
      <c r="A1113" t="s">
        <v>1434</v>
      </c>
      <c r="B1113" t="s">
        <v>173</v>
      </c>
      <c r="C1113" t="s">
        <v>1184</v>
      </c>
      <c r="D1113" t="s">
        <v>348</v>
      </c>
      <c r="E1113" t="s">
        <v>349</v>
      </c>
      <c r="F1113" t="s">
        <v>1474</v>
      </c>
      <c r="G1113">
        <v>1497</v>
      </c>
      <c r="H1113">
        <v>163187.59</v>
      </c>
      <c r="I1113">
        <v>112.93</v>
      </c>
      <c r="J1113">
        <v>137</v>
      </c>
      <c r="K1113">
        <v>13711.77</v>
      </c>
      <c r="L1113">
        <v>100.09</v>
      </c>
      <c r="M1113">
        <v>1634</v>
      </c>
      <c r="N1113">
        <v>176899.36</v>
      </c>
      <c r="O1113">
        <v>111.82</v>
      </c>
    </row>
    <row r="1114" spans="1:15" x14ac:dyDescent="0.35">
      <c r="A1114" t="s">
        <v>1475</v>
      </c>
      <c r="B1114" t="s">
        <v>1476</v>
      </c>
      <c r="C1114" t="s">
        <v>1477</v>
      </c>
      <c r="D1114" t="s">
        <v>293</v>
      </c>
      <c r="E1114" t="s">
        <v>294</v>
      </c>
      <c r="F1114" t="s">
        <v>1478</v>
      </c>
      <c r="G1114">
        <v>613</v>
      </c>
      <c r="H1114">
        <v>75546.510000000009</v>
      </c>
      <c r="I1114">
        <v>123.24</v>
      </c>
      <c r="J1114">
        <v>0</v>
      </c>
      <c r="K1114">
        <v>0</v>
      </c>
      <c r="L1114">
        <v>0</v>
      </c>
      <c r="M1114">
        <v>613</v>
      </c>
      <c r="N1114">
        <v>75546.510000000009</v>
      </c>
      <c r="O1114">
        <v>123.24</v>
      </c>
    </row>
    <row r="1115" spans="1:15" x14ac:dyDescent="0.35">
      <c r="A1115" t="s">
        <v>1475</v>
      </c>
      <c r="B1115" t="s">
        <v>1476</v>
      </c>
      <c r="C1115" t="s">
        <v>1477</v>
      </c>
      <c r="D1115" t="s">
        <v>293</v>
      </c>
      <c r="E1115" t="s">
        <v>296</v>
      </c>
      <c r="F1115" t="s">
        <v>1479</v>
      </c>
      <c r="G1115">
        <v>1193</v>
      </c>
      <c r="H1115">
        <v>182533.15000000002</v>
      </c>
      <c r="I1115">
        <v>153</v>
      </c>
      <c r="J1115">
        <v>0</v>
      </c>
      <c r="K1115">
        <v>0</v>
      </c>
      <c r="L1115">
        <v>0</v>
      </c>
      <c r="M1115">
        <v>1193</v>
      </c>
      <c r="N1115">
        <v>182533.15000000002</v>
      </c>
      <c r="O1115">
        <v>153</v>
      </c>
    </row>
    <row r="1116" spans="1:15" x14ac:dyDescent="0.35">
      <c r="A1116" t="s">
        <v>1475</v>
      </c>
      <c r="B1116" t="s">
        <v>1476</v>
      </c>
      <c r="C1116" t="s">
        <v>1477</v>
      </c>
      <c r="D1116" t="s">
        <v>293</v>
      </c>
      <c r="E1116" t="s">
        <v>298</v>
      </c>
      <c r="F1116" t="s">
        <v>1480</v>
      </c>
      <c r="G1116">
        <v>611</v>
      </c>
      <c r="H1116">
        <v>100738.95</v>
      </c>
      <c r="I1116">
        <v>164.88</v>
      </c>
      <c r="J1116">
        <v>0</v>
      </c>
      <c r="K1116">
        <v>0</v>
      </c>
      <c r="L1116">
        <v>0</v>
      </c>
      <c r="M1116">
        <v>611</v>
      </c>
      <c r="N1116">
        <v>100738.95</v>
      </c>
      <c r="O1116">
        <v>164.88</v>
      </c>
    </row>
    <row r="1117" spans="1:15" x14ac:dyDescent="0.35">
      <c r="A1117" t="s">
        <v>1475</v>
      </c>
      <c r="B1117" t="s">
        <v>1476</v>
      </c>
      <c r="C1117" t="s">
        <v>1477</v>
      </c>
      <c r="D1117" t="s">
        <v>293</v>
      </c>
      <c r="E1117" t="s">
        <v>300</v>
      </c>
      <c r="F1117" t="s">
        <v>1481</v>
      </c>
      <c r="G1117">
        <v>99</v>
      </c>
      <c r="H1117">
        <v>19608.559999999998</v>
      </c>
      <c r="I1117">
        <v>198.07</v>
      </c>
      <c r="J1117">
        <v>0</v>
      </c>
      <c r="K1117">
        <v>0</v>
      </c>
      <c r="L1117">
        <v>0</v>
      </c>
      <c r="M1117">
        <v>99</v>
      </c>
      <c r="N1117">
        <v>19608.559999999998</v>
      </c>
      <c r="O1117">
        <v>198.07</v>
      </c>
    </row>
    <row r="1118" spans="1:15" x14ac:dyDescent="0.35">
      <c r="A1118" t="s">
        <v>1475</v>
      </c>
      <c r="B1118" t="s">
        <v>1476</v>
      </c>
      <c r="C1118" t="s">
        <v>1477</v>
      </c>
      <c r="D1118" t="s">
        <v>293</v>
      </c>
      <c r="E1118" t="s">
        <v>302</v>
      </c>
      <c r="F1118" t="s">
        <v>1482</v>
      </c>
      <c r="G1118">
        <v>4</v>
      </c>
      <c r="H1118">
        <v>600.32000000000005</v>
      </c>
      <c r="I1118">
        <v>150.08000000000001</v>
      </c>
      <c r="J1118">
        <v>0</v>
      </c>
      <c r="K1118">
        <v>0</v>
      </c>
      <c r="L1118">
        <v>0</v>
      </c>
      <c r="M1118">
        <v>4</v>
      </c>
      <c r="N1118">
        <v>600.32000000000005</v>
      </c>
      <c r="O1118">
        <v>150.08000000000001</v>
      </c>
    </row>
    <row r="1119" spans="1:15" x14ac:dyDescent="0.35">
      <c r="A1119" t="s">
        <v>1475</v>
      </c>
      <c r="B1119" t="s">
        <v>1476</v>
      </c>
      <c r="C1119" t="s">
        <v>1477</v>
      </c>
      <c r="D1119" t="s">
        <v>293</v>
      </c>
      <c r="E1119" t="s">
        <v>304</v>
      </c>
      <c r="F1119" t="s">
        <v>1483</v>
      </c>
      <c r="G1119">
        <v>0</v>
      </c>
      <c r="H1119">
        <v>0</v>
      </c>
      <c r="I1119">
        <v>0</v>
      </c>
      <c r="J1119">
        <v>0</v>
      </c>
      <c r="K1119">
        <v>0</v>
      </c>
      <c r="L1119">
        <v>0</v>
      </c>
      <c r="M1119">
        <v>0</v>
      </c>
      <c r="N1119">
        <v>0</v>
      </c>
      <c r="O1119">
        <v>0</v>
      </c>
    </row>
    <row r="1120" spans="1:15" x14ac:dyDescent="0.35">
      <c r="A1120" t="s">
        <v>1475</v>
      </c>
      <c r="B1120" t="s">
        <v>1476</v>
      </c>
      <c r="C1120" t="s">
        <v>1477</v>
      </c>
      <c r="D1120" t="s">
        <v>293</v>
      </c>
      <c r="E1120" t="s">
        <v>306</v>
      </c>
      <c r="F1120" t="s">
        <v>1484</v>
      </c>
      <c r="G1120">
        <v>1</v>
      </c>
      <c r="H1120">
        <v>103.45</v>
      </c>
      <c r="I1120">
        <v>103.45</v>
      </c>
      <c r="J1120">
        <v>0</v>
      </c>
      <c r="K1120">
        <v>0</v>
      </c>
      <c r="L1120">
        <v>0</v>
      </c>
      <c r="M1120">
        <v>1</v>
      </c>
      <c r="N1120">
        <v>103.45</v>
      </c>
      <c r="O1120">
        <v>103.45</v>
      </c>
    </row>
    <row r="1121" spans="1:15" x14ac:dyDescent="0.35">
      <c r="A1121" t="s">
        <v>1475</v>
      </c>
      <c r="B1121" t="s">
        <v>1476</v>
      </c>
      <c r="C1121" t="s">
        <v>1477</v>
      </c>
      <c r="D1121" t="s">
        <v>293</v>
      </c>
      <c r="E1121" t="s">
        <v>308</v>
      </c>
      <c r="F1121" t="s">
        <v>1485</v>
      </c>
      <c r="G1121">
        <v>6</v>
      </c>
      <c r="H1121">
        <v>738.66</v>
      </c>
      <c r="I1121">
        <v>123.11</v>
      </c>
      <c r="J1121">
        <v>0</v>
      </c>
      <c r="K1121">
        <v>0</v>
      </c>
      <c r="L1121">
        <v>0</v>
      </c>
      <c r="M1121">
        <v>6</v>
      </c>
      <c r="N1121">
        <v>738.66</v>
      </c>
      <c r="O1121">
        <v>123.11</v>
      </c>
    </row>
    <row r="1122" spans="1:15" x14ac:dyDescent="0.35">
      <c r="A1122" t="s">
        <v>1475</v>
      </c>
      <c r="B1122" t="s">
        <v>1476</v>
      </c>
      <c r="C1122" t="s">
        <v>1477</v>
      </c>
      <c r="D1122" t="s">
        <v>293</v>
      </c>
      <c r="E1122" t="s">
        <v>310</v>
      </c>
      <c r="F1122" t="s">
        <v>1486</v>
      </c>
      <c r="G1122">
        <v>2527</v>
      </c>
      <c r="H1122">
        <v>379869.60000000003</v>
      </c>
      <c r="I1122">
        <v>150.32</v>
      </c>
      <c r="J1122">
        <v>0</v>
      </c>
      <c r="K1122">
        <v>0</v>
      </c>
      <c r="L1122">
        <v>0</v>
      </c>
      <c r="M1122">
        <v>2527</v>
      </c>
      <c r="N1122">
        <v>379869.60000000003</v>
      </c>
      <c r="O1122">
        <v>150.32</v>
      </c>
    </row>
    <row r="1123" spans="1:15" x14ac:dyDescent="0.35">
      <c r="A1123" t="s">
        <v>1475</v>
      </c>
      <c r="B1123" t="s">
        <v>1476</v>
      </c>
      <c r="C1123" t="s">
        <v>1477</v>
      </c>
      <c r="D1123" t="s">
        <v>293</v>
      </c>
      <c r="E1123" t="s">
        <v>312</v>
      </c>
      <c r="F1123" t="s">
        <v>1487</v>
      </c>
      <c r="G1123">
        <v>2521</v>
      </c>
      <c r="H1123">
        <v>379130.94000000006</v>
      </c>
      <c r="I1123">
        <v>150.38999999999999</v>
      </c>
      <c r="J1123">
        <v>0</v>
      </c>
      <c r="K1123">
        <v>0</v>
      </c>
      <c r="L1123">
        <v>0</v>
      </c>
      <c r="M1123">
        <v>2521</v>
      </c>
      <c r="N1123">
        <v>379130.94000000006</v>
      </c>
      <c r="O1123">
        <v>150.38999999999999</v>
      </c>
    </row>
    <row r="1124" spans="1:15" x14ac:dyDescent="0.35">
      <c r="A1124" t="s">
        <v>1475</v>
      </c>
      <c r="B1124" t="s">
        <v>1476</v>
      </c>
      <c r="C1124" t="s">
        <v>1477</v>
      </c>
      <c r="D1124" t="s">
        <v>314</v>
      </c>
      <c r="E1124" t="s">
        <v>294</v>
      </c>
      <c r="F1124" t="s">
        <v>1488</v>
      </c>
      <c r="G1124">
        <v>37</v>
      </c>
      <c r="H1124">
        <v>8030.15</v>
      </c>
      <c r="I1124">
        <v>217.03</v>
      </c>
      <c r="J1124">
        <v>0</v>
      </c>
      <c r="K1124">
        <v>0</v>
      </c>
      <c r="L1124">
        <v>0</v>
      </c>
      <c r="M1124">
        <v>37</v>
      </c>
      <c r="N1124">
        <v>8030.15</v>
      </c>
      <c r="O1124">
        <v>217.03</v>
      </c>
    </row>
    <row r="1125" spans="1:15" x14ac:dyDescent="0.35">
      <c r="A1125" t="s">
        <v>1475</v>
      </c>
      <c r="B1125" t="s">
        <v>1476</v>
      </c>
      <c r="C1125" t="s">
        <v>1477</v>
      </c>
      <c r="D1125" t="s">
        <v>314</v>
      </c>
      <c r="E1125" t="s">
        <v>296</v>
      </c>
      <c r="F1125" t="s">
        <v>1489</v>
      </c>
      <c r="G1125">
        <v>51</v>
      </c>
      <c r="H1125">
        <v>14005.93</v>
      </c>
      <c r="I1125">
        <v>274.63</v>
      </c>
      <c r="J1125">
        <v>0</v>
      </c>
      <c r="K1125">
        <v>0</v>
      </c>
      <c r="L1125">
        <v>0</v>
      </c>
      <c r="M1125">
        <v>51</v>
      </c>
      <c r="N1125">
        <v>14005.93</v>
      </c>
      <c r="O1125">
        <v>274.63</v>
      </c>
    </row>
    <row r="1126" spans="1:15" x14ac:dyDescent="0.35">
      <c r="A1126" t="s">
        <v>1475</v>
      </c>
      <c r="B1126" t="s">
        <v>1476</v>
      </c>
      <c r="C1126" t="s">
        <v>1477</v>
      </c>
      <c r="D1126" t="s">
        <v>314</v>
      </c>
      <c r="E1126" t="s">
        <v>298</v>
      </c>
      <c r="F1126" t="s">
        <v>1490</v>
      </c>
      <c r="G1126">
        <v>0</v>
      </c>
      <c r="H1126">
        <v>0</v>
      </c>
      <c r="I1126">
        <v>0</v>
      </c>
      <c r="J1126">
        <v>0</v>
      </c>
      <c r="K1126">
        <v>0</v>
      </c>
      <c r="L1126">
        <v>0</v>
      </c>
      <c r="M1126">
        <v>0</v>
      </c>
      <c r="N1126">
        <v>0</v>
      </c>
      <c r="O1126">
        <v>0</v>
      </c>
    </row>
    <row r="1127" spans="1:15" x14ac:dyDescent="0.35">
      <c r="A1127" t="s">
        <v>1475</v>
      </c>
      <c r="B1127" t="s">
        <v>1476</v>
      </c>
      <c r="C1127" t="s">
        <v>1477</v>
      </c>
      <c r="D1127" t="s">
        <v>314</v>
      </c>
      <c r="E1127" t="s">
        <v>300</v>
      </c>
      <c r="F1127" t="s">
        <v>1491</v>
      </c>
      <c r="G1127">
        <v>4</v>
      </c>
      <c r="H1127">
        <v>879</v>
      </c>
      <c r="I1127">
        <v>219.75</v>
      </c>
      <c r="J1127">
        <v>0</v>
      </c>
      <c r="K1127">
        <v>0</v>
      </c>
      <c r="L1127">
        <v>0</v>
      </c>
      <c r="M1127">
        <v>4</v>
      </c>
      <c r="N1127">
        <v>879</v>
      </c>
      <c r="O1127">
        <v>219.75</v>
      </c>
    </row>
    <row r="1128" spans="1:15" x14ac:dyDescent="0.35">
      <c r="A1128" t="s">
        <v>1475</v>
      </c>
      <c r="B1128" t="s">
        <v>1476</v>
      </c>
      <c r="C1128" t="s">
        <v>1477</v>
      </c>
      <c r="D1128" t="s">
        <v>314</v>
      </c>
      <c r="E1128" t="s">
        <v>306</v>
      </c>
      <c r="F1128" t="s">
        <v>1492</v>
      </c>
      <c r="G1128">
        <v>0</v>
      </c>
      <c r="H1128">
        <v>0</v>
      </c>
      <c r="I1128">
        <v>0</v>
      </c>
      <c r="J1128">
        <v>0</v>
      </c>
      <c r="K1128">
        <v>0</v>
      </c>
      <c r="L1128">
        <v>0</v>
      </c>
      <c r="M1128">
        <v>0</v>
      </c>
      <c r="N1128">
        <v>0</v>
      </c>
      <c r="O1128">
        <v>0</v>
      </c>
    </row>
    <row r="1129" spans="1:15" x14ac:dyDescent="0.35">
      <c r="A1129" t="s">
        <v>1475</v>
      </c>
      <c r="B1129" t="s">
        <v>1476</v>
      </c>
      <c r="C1129" t="s">
        <v>1477</v>
      </c>
      <c r="D1129" t="s">
        <v>314</v>
      </c>
      <c r="E1129" t="s">
        <v>308</v>
      </c>
      <c r="F1129" t="s">
        <v>1493</v>
      </c>
      <c r="G1129">
        <v>0</v>
      </c>
      <c r="H1129">
        <v>0</v>
      </c>
      <c r="I1129">
        <v>0</v>
      </c>
      <c r="J1129">
        <v>0</v>
      </c>
      <c r="K1129">
        <v>0</v>
      </c>
      <c r="L1129">
        <v>0</v>
      </c>
      <c r="M1129">
        <v>0</v>
      </c>
      <c r="N1129">
        <v>0</v>
      </c>
      <c r="O1129">
        <v>0</v>
      </c>
    </row>
    <row r="1130" spans="1:15" x14ac:dyDescent="0.35">
      <c r="A1130" t="s">
        <v>1475</v>
      </c>
      <c r="B1130" t="s">
        <v>1476</v>
      </c>
      <c r="C1130" t="s">
        <v>1477</v>
      </c>
      <c r="D1130" t="s">
        <v>314</v>
      </c>
      <c r="E1130" t="s">
        <v>312</v>
      </c>
      <c r="F1130" t="s">
        <v>1494</v>
      </c>
      <c r="G1130">
        <v>92</v>
      </c>
      <c r="H1130">
        <v>22915.08</v>
      </c>
      <c r="I1130">
        <v>249.08</v>
      </c>
      <c r="J1130">
        <v>0</v>
      </c>
      <c r="K1130">
        <v>0</v>
      </c>
      <c r="L1130">
        <v>0</v>
      </c>
      <c r="M1130">
        <v>92</v>
      </c>
      <c r="N1130">
        <v>22915.08</v>
      </c>
      <c r="O1130">
        <v>249.08</v>
      </c>
    </row>
    <row r="1131" spans="1:15" x14ac:dyDescent="0.35">
      <c r="A1131" t="s">
        <v>1475</v>
      </c>
      <c r="B1131" t="s">
        <v>1476</v>
      </c>
      <c r="C1131" t="s">
        <v>1477</v>
      </c>
      <c r="D1131" t="s">
        <v>314</v>
      </c>
      <c r="E1131" t="s">
        <v>310</v>
      </c>
      <c r="F1131" t="s">
        <v>1495</v>
      </c>
      <c r="G1131">
        <v>92</v>
      </c>
      <c r="H1131">
        <v>22915.08</v>
      </c>
      <c r="I1131">
        <v>249.08</v>
      </c>
      <c r="J1131">
        <v>0</v>
      </c>
      <c r="K1131">
        <v>0</v>
      </c>
      <c r="L1131">
        <v>0</v>
      </c>
      <c r="M1131">
        <v>92</v>
      </c>
      <c r="N1131">
        <v>22915.08</v>
      </c>
      <c r="O1131">
        <v>249.08</v>
      </c>
    </row>
    <row r="1132" spans="1:15" x14ac:dyDescent="0.35">
      <c r="A1132" t="s">
        <v>1475</v>
      </c>
      <c r="B1132" t="s">
        <v>1476</v>
      </c>
      <c r="C1132" t="s">
        <v>1477</v>
      </c>
      <c r="D1132" t="s">
        <v>323</v>
      </c>
      <c r="E1132" t="s">
        <v>294</v>
      </c>
      <c r="F1132" t="s">
        <v>1496</v>
      </c>
      <c r="G1132">
        <v>2737</v>
      </c>
      <c r="H1132">
        <v>249993.73</v>
      </c>
      <c r="I1132">
        <v>91.34</v>
      </c>
      <c r="J1132">
        <v>0</v>
      </c>
      <c r="K1132">
        <v>0</v>
      </c>
      <c r="L1132">
        <v>0</v>
      </c>
      <c r="M1132">
        <v>2737</v>
      </c>
      <c r="N1132">
        <v>249993.73</v>
      </c>
      <c r="O1132">
        <v>91.34</v>
      </c>
    </row>
    <row r="1133" spans="1:15" x14ac:dyDescent="0.35">
      <c r="A1133" t="s">
        <v>1475</v>
      </c>
      <c r="B1133" t="s">
        <v>1476</v>
      </c>
      <c r="C1133" t="s">
        <v>1477</v>
      </c>
      <c r="D1133" t="s">
        <v>323</v>
      </c>
      <c r="E1133" t="s">
        <v>296</v>
      </c>
      <c r="F1133" t="s">
        <v>1497</v>
      </c>
      <c r="G1133">
        <v>3825</v>
      </c>
      <c r="H1133">
        <v>410382.99</v>
      </c>
      <c r="I1133">
        <v>107.29</v>
      </c>
      <c r="J1133">
        <v>9</v>
      </c>
      <c r="K1133">
        <v>1449.8999999999999</v>
      </c>
      <c r="L1133">
        <v>161.1</v>
      </c>
      <c r="M1133">
        <v>3834</v>
      </c>
      <c r="N1133">
        <v>411832.89</v>
      </c>
      <c r="O1133">
        <v>107.42</v>
      </c>
    </row>
    <row r="1134" spans="1:15" x14ac:dyDescent="0.35">
      <c r="A1134" t="s">
        <v>1475</v>
      </c>
      <c r="B1134" t="s">
        <v>1476</v>
      </c>
      <c r="C1134" t="s">
        <v>1477</v>
      </c>
      <c r="D1134" t="s">
        <v>323</v>
      </c>
      <c r="E1134" t="s">
        <v>298</v>
      </c>
      <c r="F1134" t="s">
        <v>1498</v>
      </c>
      <c r="G1134">
        <v>3528</v>
      </c>
      <c r="H1134">
        <v>404590.82999999996</v>
      </c>
      <c r="I1134">
        <v>114.68</v>
      </c>
      <c r="J1134">
        <v>19</v>
      </c>
      <c r="K1134">
        <v>3541.79</v>
      </c>
      <c r="L1134">
        <v>186.41</v>
      </c>
      <c r="M1134">
        <v>3547</v>
      </c>
      <c r="N1134">
        <v>408132.61999999994</v>
      </c>
      <c r="O1134">
        <v>115.06</v>
      </c>
    </row>
    <row r="1135" spans="1:15" x14ac:dyDescent="0.35">
      <c r="A1135" t="s">
        <v>1475</v>
      </c>
      <c r="B1135" t="s">
        <v>1476</v>
      </c>
      <c r="C1135" t="s">
        <v>1477</v>
      </c>
      <c r="D1135" t="s">
        <v>323</v>
      </c>
      <c r="E1135" t="s">
        <v>300</v>
      </c>
      <c r="F1135" t="s">
        <v>1499</v>
      </c>
      <c r="G1135">
        <v>568</v>
      </c>
      <c r="H1135">
        <v>71322.599999999991</v>
      </c>
      <c r="I1135">
        <v>125.57</v>
      </c>
      <c r="J1135">
        <v>8</v>
      </c>
      <c r="K1135">
        <v>1933.12</v>
      </c>
      <c r="L1135">
        <v>241.64</v>
      </c>
      <c r="M1135">
        <v>576</v>
      </c>
      <c r="N1135">
        <v>73255.719999999987</v>
      </c>
      <c r="O1135">
        <v>127.18</v>
      </c>
    </row>
    <row r="1136" spans="1:15" x14ac:dyDescent="0.35">
      <c r="A1136" t="s">
        <v>1475</v>
      </c>
      <c r="B1136" t="s">
        <v>1476</v>
      </c>
      <c r="C1136" t="s">
        <v>1477</v>
      </c>
      <c r="D1136" t="s">
        <v>323</v>
      </c>
      <c r="E1136" t="s">
        <v>302</v>
      </c>
      <c r="F1136" t="s">
        <v>1500</v>
      </c>
      <c r="G1136">
        <v>67</v>
      </c>
      <c r="H1136">
        <v>8821.61</v>
      </c>
      <c r="I1136">
        <v>131.66999999999999</v>
      </c>
      <c r="J1136">
        <v>1</v>
      </c>
      <c r="K1136">
        <v>241.64</v>
      </c>
      <c r="L1136">
        <v>241.64</v>
      </c>
      <c r="M1136">
        <v>68</v>
      </c>
      <c r="N1136">
        <v>9063.25</v>
      </c>
      <c r="O1136">
        <v>133.28</v>
      </c>
    </row>
    <row r="1137" spans="1:15" x14ac:dyDescent="0.35">
      <c r="A1137" t="s">
        <v>1475</v>
      </c>
      <c r="B1137" t="s">
        <v>1476</v>
      </c>
      <c r="C1137" t="s">
        <v>1477</v>
      </c>
      <c r="D1137" t="s">
        <v>323</v>
      </c>
      <c r="E1137" t="s">
        <v>304</v>
      </c>
      <c r="F1137" t="s">
        <v>1501</v>
      </c>
      <c r="G1137">
        <v>5</v>
      </c>
      <c r="H1137">
        <v>700.48</v>
      </c>
      <c r="I1137">
        <v>140.1</v>
      </c>
      <c r="J1137">
        <v>0</v>
      </c>
      <c r="K1137">
        <v>0</v>
      </c>
      <c r="L1137">
        <v>0</v>
      </c>
      <c r="M1137">
        <v>5</v>
      </c>
      <c r="N1137">
        <v>700.48</v>
      </c>
      <c r="O1137">
        <v>140.1</v>
      </c>
    </row>
    <row r="1138" spans="1:15" x14ac:dyDescent="0.35">
      <c r="A1138" t="s">
        <v>1475</v>
      </c>
      <c r="B1138" t="s">
        <v>1476</v>
      </c>
      <c r="C1138" t="s">
        <v>1477</v>
      </c>
      <c r="D1138" t="s">
        <v>323</v>
      </c>
      <c r="E1138" t="s">
        <v>306</v>
      </c>
      <c r="F1138" t="s">
        <v>1502</v>
      </c>
      <c r="G1138">
        <v>232</v>
      </c>
      <c r="H1138">
        <v>18117.260000000002</v>
      </c>
      <c r="I1138">
        <v>78.09</v>
      </c>
      <c r="J1138">
        <v>0</v>
      </c>
      <c r="K1138">
        <v>0</v>
      </c>
      <c r="L1138">
        <v>0</v>
      </c>
      <c r="M1138">
        <v>232</v>
      </c>
      <c r="N1138">
        <v>18117.260000000002</v>
      </c>
      <c r="O1138">
        <v>78.09</v>
      </c>
    </row>
    <row r="1139" spans="1:15" x14ac:dyDescent="0.35">
      <c r="A1139" t="s">
        <v>1475</v>
      </c>
      <c r="B1139" t="s">
        <v>1476</v>
      </c>
      <c r="C1139" t="s">
        <v>1477</v>
      </c>
      <c r="D1139" t="s">
        <v>323</v>
      </c>
      <c r="E1139" t="s">
        <v>308</v>
      </c>
      <c r="F1139" t="s">
        <v>1503</v>
      </c>
      <c r="G1139">
        <v>16</v>
      </c>
      <c r="H1139">
        <v>1631.52</v>
      </c>
      <c r="I1139">
        <v>101.97</v>
      </c>
      <c r="J1139">
        <v>0</v>
      </c>
      <c r="K1139">
        <v>0</v>
      </c>
      <c r="L1139">
        <v>0</v>
      </c>
      <c r="M1139">
        <v>16</v>
      </c>
      <c r="N1139">
        <v>1631.52</v>
      </c>
      <c r="O1139">
        <v>101.97</v>
      </c>
    </row>
    <row r="1140" spans="1:15" x14ac:dyDescent="0.35">
      <c r="A1140" t="s">
        <v>1475</v>
      </c>
      <c r="B1140" t="s">
        <v>1476</v>
      </c>
      <c r="C1140" t="s">
        <v>1477</v>
      </c>
      <c r="D1140" t="s">
        <v>323</v>
      </c>
      <c r="E1140" t="s">
        <v>310</v>
      </c>
      <c r="F1140" t="s">
        <v>1504</v>
      </c>
      <c r="G1140">
        <v>10978</v>
      </c>
      <c r="H1140">
        <v>1165561.02</v>
      </c>
      <c r="I1140">
        <v>106.17</v>
      </c>
      <c r="J1140">
        <v>37</v>
      </c>
      <c r="K1140">
        <v>7166.45</v>
      </c>
      <c r="L1140">
        <v>193.69</v>
      </c>
      <c r="M1140">
        <v>11015</v>
      </c>
      <c r="N1140">
        <v>1172727.47</v>
      </c>
      <c r="O1140">
        <v>106.47</v>
      </c>
    </row>
    <row r="1141" spans="1:15" x14ac:dyDescent="0.35">
      <c r="A1141" t="s">
        <v>1475</v>
      </c>
      <c r="B1141" t="s">
        <v>1476</v>
      </c>
      <c r="C1141" t="s">
        <v>1477</v>
      </c>
      <c r="D1141" t="s">
        <v>323</v>
      </c>
      <c r="E1141" t="s">
        <v>312</v>
      </c>
      <c r="F1141" t="s">
        <v>1505</v>
      </c>
      <c r="G1141">
        <v>10962</v>
      </c>
      <c r="H1141">
        <v>1163929.5</v>
      </c>
      <c r="I1141">
        <v>106.18</v>
      </c>
      <c r="J1141">
        <v>37</v>
      </c>
      <c r="K1141">
        <v>7166.45</v>
      </c>
      <c r="L1141">
        <v>193.69</v>
      </c>
      <c r="M1141">
        <v>10999</v>
      </c>
      <c r="N1141">
        <v>1171095.95</v>
      </c>
      <c r="O1141">
        <v>106.47</v>
      </c>
    </row>
    <row r="1142" spans="1:15" x14ac:dyDescent="0.35">
      <c r="A1142" t="s">
        <v>1475</v>
      </c>
      <c r="B1142" t="s">
        <v>1476</v>
      </c>
      <c r="C1142" t="s">
        <v>1477</v>
      </c>
      <c r="D1142" t="s">
        <v>334</v>
      </c>
      <c r="E1142" t="s">
        <v>312</v>
      </c>
      <c r="F1142" t="s">
        <v>1506</v>
      </c>
      <c r="G1142">
        <v>13821</v>
      </c>
      <c r="H1142">
        <v>1543060.4400000002</v>
      </c>
      <c r="I1142">
        <v>114.44</v>
      </c>
      <c r="J1142">
        <v>37</v>
      </c>
      <c r="K1142">
        <v>7166.45</v>
      </c>
      <c r="L1142">
        <v>193.69</v>
      </c>
      <c r="M1142">
        <v>13858</v>
      </c>
      <c r="N1142">
        <v>1550226.8900000001</v>
      </c>
      <c r="O1142">
        <v>114.66</v>
      </c>
    </row>
    <row r="1143" spans="1:15" x14ac:dyDescent="0.35">
      <c r="A1143" t="s">
        <v>1475</v>
      </c>
      <c r="B1143" t="s">
        <v>1476</v>
      </c>
      <c r="C1143" t="s">
        <v>1477</v>
      </c>
      <c r="D1143" t="s">
        <v>334</v>
      </c>
      <c r="E1143" t="s">
        <v>308</v>
      </c>
      <c r="F1143" t="s">
        <v>1507</v>
      </c>
      <c r="G1143">
        <v>25</v>
      </c>
      <c r="H1143">
        <v>2370.1799999999998</v>
      </c>
      <c r="I1143">
        <v>107.74</v>
      </c>
      <c r="J1143">
        <v>0</v>
      </c>
      <c r="K1143">
        <v>0</v>
      </c>
      <c r="L1143">
        <v>0</v>
      </c>
      <c r="M1143">
        <v>25</v>
      </c>
      <c r="N1143">
        <v>2370.1799999999998</v>
      </c>
      <c r="O1143">
        <v>107.74</v>
      </c>
    </row>
    <row r="1144" spans="1:15" x14ac:dyDescent="0.35">
      <c r="A1144" t="s">
        <v>1475</v>
      </c>
      <c r="B1144" t="s">
        <v>1476</v>
      </c>
      <c r="C1144" t="s">
        <v>1477</v>
      </c>
      <c r="D1144" t="s">
        <v>337</v>
      </c>
      <c r="E1144" t="s">
        <v>337</v>
      </c>
      <c r="F1144" t="s">
        <v>1508</v>
      </c>
      <c r="G1144">
        <v>1403</v>
      </c>
      <c r="J1144">
        <v>0</v>
      </c>
      <c r="M1144">
        <v>1403</v>
      </c>
    </row>
    <row r="1145" spans="1:15" x14ac:dyDescent="0.35">
      <c r="A1145" t="s">
        <v>1475</v>
      </c>
      <c r="B1145" t="s">
        <v>1476</v>
      </c>
      <c r="C1145" t="s">
        <v>1477</v>
      </c>
      <c r="D1145" t="s">
        <v>339</v>
      </c>
      <c r="E1145" t="s">
        <v>294</v>
      </c>
      <c r="F1145" t="s">
        <v>1509</v>
      </c>
      <c r="G1145">
        <v>1906</v>
      </c>
      <c r="H1145">
        <v>210975.02</v>
      </c>
      <c r="I1145">
        <v>110.69</v>
      </c>
      <c r="J1145">
        <v>23</v>
      </c>
      <c r="K1145">
        <v>3043.59</v>
      </c>
      <c r="L1145">
        <v>132.33000000000001</v>
      </c>
      <c r="M1145">
        <v>1929</v>
      </c>
      <c r="N1145">
        <v>214018.61</v>
      </c>
      <c r="O1145">
        <v>110.95</v>
      </c>
    </row>
    <row r="1146" spans="1:15" x14ac:dyDescent="0.35">
      <c r="A1146" t="s">
        <v>1475</v>
      </c>
      <c r="B1146" t="s">
        <v>1476</v>
      </c>
      <c r="C1146" t="s">
        <v>1477</v>
      </c>
      <c r="D1146" t="s">
        <v>339</v>
      </c>
      <c r="E1146" t="s">
        <v>296</v>
      </c>
      <c r="F1146" t="s">
        <v>1510</v>
      </c>
      <c r="G1146">
        <v>343</v>
      </c>
      <c r="H1146">
        <v>45004.170000000006</v>
      </c>
      <c r="I1146">
        <v>131.21</v>
      </c>
      <c r="J1146">
        <v>2</v>
      </c>
      <c r="K1146">
        <v>322.2</v>
      </c>
      <c r="L1146">
        <v>161.1</v>
      </c>
      <c r="M1146">
        <v>345</v>
      </c>
      <c r="N1146">
        <v>45326.37</v>
      </c>
      <c r="O1146">
        <v>131.38</v>
      </c>
    </row>
    <row r="1147" spans="1:15" x14ac:dyDescent="0.35">
      <c r="A1147" t="s">
        <v>1475</v>
      </c>
      <c r="B1147" t="s">
        <v>1476</v>
      </c>
      <c r="C1147" t="s">
        <v>1477</v>
      </c>
      <c r="D1147" t="s">
        <v>339</v>
      </c>
      <c r="E1147" t="s">
        <v>298</v>
      </c>
      <c r="F1147" t="s">
        <v>1511</v>
      </c>
      <c r="G1147">
        <v>15</v>
      </c>
      <c r="H1147">
        <v>2775.79</v>
      </c>
      <c r="I1147">
        <v>185.05</v>
      </c>
      <c r="J1147">
        <v>0</v>
      </c>
      <c r="K1147">
        <v>0</v>
      </c>
      <c r="L1147">
        <v>0</v>
      </c>
      <c r="M1147">
        <v>15</v>
      </c>
      <c r="N1147">
        <v>2775.79</v>
      </c>
      <c r="O1147">
        <v>185.05</v>
      </c>
    </row>
    <row r="1148" spans="1:15" x14ac:dyDescent="0.35">
      <c r="A1148" t="s">
        <v>1475</v>
      </c>
      <c r="B1148" t="s">
        <v>1476</v>
      </c>
      <c r="C1148" t="s">
        <v>1477</v>
      </c>
      <c r="D1148" t="s">
        <v>339</v>
      </c>
      <c r="E1148" t="s">
        <v>300</v>
      </c>
      <c r="F1148" t="s">
        <v>1512</v>
      </c>
      <c r="G1148">
        <v>2</v>
      </c>
      <c r="H1148">
        <v>278.89999999999998</v>
      </c>
      <c r="I1148">
        <v>139.44999999999999</v>
      </c>
      <c r="J1148">
        <v>0</v>
      </c>
      <c r="K1148">
        <v>0</v>
      </c>
      <c r="L1148">
        <v>0</v>
      </c>
      <c r="M1148">
        <v>2</v>
      </c>
      <c r="N1148">
        <v>278.89999999999998</v>
      </c>
      <c r="O1148">
        <v>139.44999999999999</v>
      </c>
    </row>
    <row r="1149" spans="1:15" x14ac:dyDescent="0.35">
      <c r="A1149" t="s">
        <v>1475</v>
      </c>
      <c r="B1149" t="s">
        <v>1476</v>
      </c>
      <c r="C1149" t="s">
        <v>1477</v>
      </c>
      <c r="D1149" t="s">
        <v>339</v>
      </c>
      <c r="E1149" t="s">
        <v>306</v>
      </c>
      <c r="F1149" t="s">
        <v>1513</v>
      </c>
      <c r="G1149">
        <v>146</v>
      </c>
      <c r="H1149">
        <v>21333.279999999999</v>
      </c>
      <c r="I1149">
        <v>146.12</v>
      </c>
      <c r="J1149">
        <v>9</v>
      </c>
      <c r="K1149">
        <v>1190.97</v>
      </c>
      <c r="L1149">
        <v>132.33000000000001</v>
      </c>
      <c r="M1149">
        <v>155</v>
      </c>
      <c r="N1149">
        <v>22524.25</v>
      </c>
      <c r="O1149">
        <v>145.32</v>
      </c>
    </row>
    <row r="1150" spans="1:15" x14ac:dyDescent="0.35">
      <c r="A1150" t="s">
        <v>1475</v>
      </c>
      <c r="B1150" t="s">
        <v>1476</v>
      </c>
      <c r="C1150" t="s">
        <v>1477</v>
      </c>
      <c r="D1150" t="s">
        <v>339</v>
      </c>
      <c r="E1150" t="s">
        <v>308</v>
      </c>
      <c r="F1150" t="s">
        <v>1514</v>
      </c>
      <c r="G1150">
        <v>212</v>
      </c>
      <c r="H1150">
        <v>34024.370000000003</v>
      </c>
      <c r="I1150">
        <v>160.49</v>
      </c>
      <c r="J1150">
        <v>0</v>
      </c>
      <c r="K1150">
        <v>0</v>
      </c>
      <c r="L1150">
        <v>0</v>
      </c>
      <c r="M1150">
        <v>212</v>
      </c>
      <c r="N1150">
        <v>34024.370000000003</v>
      </c>
      <c r="O1150">
        <v>160.49</v>
      </c>
    </row>
    <row r="1151" spans="1:15" x14ac:dyDescent="0.35">
      <c r="A1151" t="s">
        <v>1475</v>
      </c>
      <c r="B1151" t="s">
        <v>1476</v>
      </c>
      <c r="C1151" t="s">
        <v>1477</v>
      </c>
      <c r="D1151" t="s">
        <v>339</v>
      </c>
      <c r="E1151" t="s">
        <v>310</v>
      </c>
      <c r="F1151" t="s">
        <v>1515</v>
      </c>
      <c r="G1151">
        <v>2624</v>
      </c>
      <c r="H1151">
        <v>314391.53000000003</v>
      </c>
      <c r="I1151">
        <v>119.81</v>
      </c>
      <c r="J1151">
        <v>34</v>
      </c>
      <c r="K1151">
        <v>4556.76</v>
      </c>
      <c r="L1151">
        <v>134.02000000000001</v>
      </c>
      <c r="M1151">
        <v>2658</v>
      </c>
      <c r="N1151">
        <v>318948.29000000004</v>
      </c>
      <c r="O1151">
        <v>120</v>
      </c>
    </row>
    <row r="1152" spans="1:15" x14ac:dyDescent="0.35">
      <c r="A1152" t="s">
        <v>1475</v>
      </c>
      <c r="B1152" t="s">
        <v>1476</v>
      </c>
      <c r="C1152" t="s">
        <v>1477</v>
      </c>
      <c r="D1152" t="s">
        <v>339</v>
      </c>
      <c r="E1152" t="s">
        <v>312</v>
      </c>
      <c r="F1152" t="s">
        <v>1516</v>
      </c>
      <c r="G1152">
        <v>2412</v>
      </c>
      <c r="H1152">
        <v>280367.16000000003</v>
      </c>
      <c r="I1152">
        <v>116.24</v>
      </c>
      <c r="J1152">
        <v>34</v>
      </c>
      <c r="K1152">
        <v>4556.76</v>
      </c>
      <c r="L1152">
        <v>134.02000000000001</v>
      </c>
      <c r="M1152">
        <v>2446</v>
      </c>
      <c r="N1152">
        <v>284923.92000000004</v>
      </c>
      <c r="O1152">
        <v>116.49</v>
      </c>
    </row>
    <row r="1153" spans="1:15" x14ac:dyDescent="0.35">
      <c r="A1153" t="s">
        <v>1475</v>
      </c>
      <c r="B1153" t="s">
        <v>1476</v>
      </c>
      <c r="C1153" t="s">
        <v>1477</v>
      </c>
      <c r="D1153" t="s">
        <v>348</v>
      </c>
      <c r="E1153" t="s">
        <v>349</v>
      </c>
      <c r="F1153" t="s">
        <v>1517</v>
      </c>
      <c r="G1153">
        <v>2972</v>
      </c>
      <c r="H1153">
        <v>337306.61</v>
      </c>
      <c r="I1153">
        <v>124.19</v>
      </c>
      <c r="J1153">
        <v>34</v>
      </c>
      <c r="K1153">
        <v>4556.76</v>
      </c>
      <c r="L1153">
        <v>134.02000000000001</v>
      </c>
      <c r="M1153">
        <v>3006</v>
      </c>
      <c r="N1153">
        <v>341863.37</v>
      </c>
      <c r="O1153">
        <v>124.31</v>
      </c>
    </row>
    <row r="1154" spans="1:15" x14ac:dyDescent="0.35">
      <c r="A1154" t="s">
        <v>1518</v>
      </c>
      <c r="B1154" t="s">
        <v>1519</v>
      </c>
      <c r="C1154" t="s">
        <v>1477</v>
      </c>
      <c r="D1154" t="s">
        <v>293</v>
      </c>
      <c r="E1154" t="s">
        <v>294</v>
      </c>
      <c r="F1154" t="s">
        <v>1520</v>
      </c>
      <c r="G1154">
        <v>219</v>
      </c>
      <c r="H1154">
        <v>34208.839999999997</v>
      </c>
      <c r="I1154">
        <v>156.19999999999999</v>
      </c>
      <c r="J1154">
        <v>35</v>
      </c>
      <c r="K1154">
        <v>4286.8</v>
      </c>
      <c r="L1154">
        <v>122.48</v>
      </c>
      <c r="M1154">
        <v>254</v>
      </c>
      <c r="N1154">
        <v>38495.64</v>
      </c>
      <c r="O1154">
        <v>151.56</v>
      </c>
    </row>
    <row r="1155" spans="1:15" x14ac:dyDescent="0.35">
      <c r="A1155" t="s">
        <v>1518</v>
      </c>
      <c r="B1155" t="s">
        <v>1519</v>
      </c>
      <c r="C1155" t="s">
        <v>1477</v>
      </c>
      <c r="D1155" t="s">
        <v>293</v>
      </c>
      <c r="E1155" t="s">
        <v>296</v>
      </c>
      <c r="F1155" t="s">
        <v>1521</v>
      </c>
      <c r="G1155">
        <v>391</v>
      </c>
      <c r="H1155">
        <v>74718.930000000008</v>
      </c>
      <c r="I1155">
        <v>191.1</v>
      </c>
      <c r="J1155">
        <v>123</v>
      </c>
      <c r="K1155">
        <v>19156.02</v>
      </c>
      <c r="L1155">
        <v>155.74</v>
      </c>
      <c r="M1155">
        <v>514</v>
      </c>
      <c r="N1155">
        <v>93874.950000000012</v>
      </c>
      <c r="O1155">
        <v>182.64</v>
      </c>
    </row>
    <row r="1156" spans="1:15" x14ac:dyDescent="0.35">
      <c r="A1156" t="s">
        <v>1518</v>
      </c>
      <c r="B1156" t="s">
        <v>1519</v>
      </c>
      <c r="C1156" t="s">
        <v>1477</v>
      </c>
      <c r="D1156" t="s">
        <v>293</v>
      </c>
      <c r="E1156" t="s">
        <v>298</v>
      </c>
      <c r="F1156" t="s">
        <v>1522</v>
      </c>
      <c r="G1156">
        <v>123</v>
      </c>
      <c r="H1156">
        <v>28162.74</v>
      </c>
      <c r="I1156">
        <v>228.97</v>
      </c>
      <c r="J1156">
        <v>31</v>
      </c>
      <c r="K1156">
        <v>6876.7300000000005</v>
      </c>
      <c r="L1156">
        <v>221.83</v>
      </c>
      <c r="M1156">
        <v>154</v>
      </c>
      <c r="N1156">
        <v>35039.47</v>
      </c>
      <c r="O1156">
        <v>227.53</v>
      </c>
    </row>
    <row r="1157" spans="1:15" x14ac:dyDescent="0.35">
      <c r="A1157" t="s">
        <v>1518</v>
      </c>
      <c r="B1157" t="s">
        <v>1519</v>
      </c>
      <c r="C1157" t="s">
        <v>1477</v>
      </c>
      <c r="D1157" t="s">
        <v>293</v>
      </c>
      <c r="E1157" t="s">
        <v>300</v>
      </c>
      <c r="F1157" t="s">
        <v>1523</v>
      </c>
      <c r="G1157">
        <v>14</v>
      </c>
      <c r="H1157">
        <v>3632.2899999999995</v>
      </c>
      <c r="I1157">
        <v>259.45</v>
      </c>
      <c r="J1157">
        <v>15</v>
      </c>
      <c r="K1157">
        <v>3901.95</v>
      </c>
      <c r="L1157">
        <v>260.13</v>
      </c>
      <c r="M1157">
        <v>29</v>
      </c>
      <c r="N1157">
        <v>7534.24</v>
      </c>
      <c r="O1157">
        <v>259.8</v>
      </c>
    </row>
    <row r="1158" spans="1:15" x14ac:dyDescent="0.35">
      <c r="A1158" t="s">
        <v>1518</v>
      </c>
      <c r="B1158" t="s">
        <v>1519</v>
      </c>
      <c r="C1158" t="s">
        <v>1477</v>
      </c>
      <c r="D1158" t="s">
        <v>293</v>
      </c>
      <c r="E1158" t="s">
        <v>302</v>
      </c>
      <c r="F1158" t="s">
        <v>1524</v>
      </c>
      <c r="G1158">
        <v>0</v>
      </c>
      <c r="H1158">
        <v>0</v>
      </c>
      <c r="I1158">
        <v>0</v>
      </c>
      <c r="J1158">
        <v>2</v>
      </c>
      <c r="K1158">
        <v>532.84</v>
      </c>
      <c r="L1158">
        <v>266.42</v>
      </c>
      <c r="M1158">
        <v>2</v>
      </c>
      <c r="N1158">
        <v>532.84</v>
      </c>
      <c r="O1158">
        <v>266.42</v>
      </c>
    </row>
    <row r="1159" spans="1:15" x14ac:dyDescent="0.35">
      <c r="A1159" t="s">
        <v>1518</v>
      </c>
      <c r="B1159" t="s">
        <v>1519</v>
      </c>
      <c r="C1159" t="s">
        <v>1477</v>
      </c>
      <c r="D1159" t="s">
        <v>293</v>
      </c>
      <c r="E1159" t="s">
        <v>304</v>
      </c>
      <c r="F1159" t="s">
        <v>1525</v>
      </c>
      <c r="G1159">
        <v>0</v>
      </c>
      <c r="H1159">
        <v>0</v>
      </c>
      <c r="I1159">
        <v>0</v>
      </c>
      <c r="J1159">
        <v>0</v>
      </c>
      <c r="K1159">
        <v>0</v>
      </c>
      <c r="L1159">
        <v>0</v>
      </c>
      <c r="M1159">
        <v>0</v>
      </c>
      <c r="N1159">
        <v>0</v>
      </c>
      <c r="O1159">
        <v>0</v>
      </c>
    </row>
    <row r="1160" spans="1:15" x14ac:dyDescent="0.35">
      <c r="A1160" t="s">
        <v>1518</v>
      </c>
      <c r="B1160" t="s">
        <v>1519</v>
      </c>
      <c r="C1160" t="s">
        <v>1477</v>
      </c>
      <c r="D1160" t="s">
        <v>293</v>
      </c>
      <c r="E1160" t="s">
        <v>306</v>
      </c>
      <c r="F1160" t="s">
        <v>1526</v>
      </c>
      <c r="G1160">
        <v>0</v>
      </c>
      <c r="H1160">
        <v>0</v>
      </c>
      <c r="I1160">
        <v>0</v>
      </c>
      <c r="J1160">
        <v>0</v>
      </c>
      <c r="K1160">
        <v>0</v>
      </c>
      <c r="L1160">
        <v>0</v>
      </c>
      <c r="M1160">
        <v>0</v>
      </c>
      <c r="N1160">
        <v>0</v>
      </c>
      <c r="O1160">
        <v>0</v>
      </c>
    </row>
    <row r="1161" spans="1:15" x14ac:dyDescent="0.35">
      <c r="A1161" t="s">
        <v>1518</v>
      </c>
      <c r="B1161" t="s">
        <v>1519</v>
      </c>
      <c r="C1161" t="s">
        <v>1477</v>
      </c>
      <c r="D1161" t="s">
        <v>293</v>
      </c>
      <c r="E1161" t="s">
        <v>308</v>
      </c>
      <c r="F1161" t="s">
        <v>1527</v>
      </c>
      <c r="G1161">
        <v>0</v>
      </c>
      <c r="H1161">
        <v>0</v>
      </c>
      <c r="I1161">
        <v>0</v>
      </c>
      <c r="J1161">
        <v>0</v>
      </c>
      <c r="K1161">
        <v>0</v>
      </c>
      <c r="L1161">
        <v>0</v>
      </c>
      <c r="M1161">
        <v>0</v>
      </c>
      <c r="N1161">
        <v>0</v>
      </c>
      <c r="O1161">
        <v>0</v>
      </c>
    </row>
    <row r="1162" spans="1:15" x14ac:dyDescent="0.35">
      <c r="A1162" t="s">
        <v>1518</v>
      </c>
      <c r="B1162" t="s">
        <v>1519</v>
      </c>
      <c r="C1162" t="s">
        <v>1477</v>
      </c>
      <c r="D1162" t="s">
        <v>293</v>
      </c>
      <c r="E1162" t="s">
        <v>310</v>
      </c>
      <c r="F1162" t="s">
        <v>1528</v>
      </c>
      <c r="G1162">
        <v>747</v>
      </c>
      <c r="H1162">
        <v>140722.80000000002</v>
      </c>
      <c r="I1162">
        <v>188.38</v>
      </c>
      <c r="J1162">
        <v>206</v>
      </c>
      <c r="K1162">
        <v>34754.339999999997</v>
      </c>
      <c r="L1162">
        <v>168.71</v>
      </c>
      <c r="M1162">
        <v>953</v>
      </c>
      <c r="N1162">
        <v>175477.14</v>
      </c>
      <c r="O1162">
        <v>184.13</v>
      </c>
    </row>
    <row r="1163" spans="1:15" x14ac:dyDescent="0.35">
      <c r="A1163" t="s">
        <v>1518</v>
      </c>
      <c r="B1163" t="s">
        <v>1519</v>
      </c>
      <c r="C1163" t="s">
        <v>1477</v>
      </c>
      <c r="D1163" t="s">
        <v>293</v>
      </c>
      <c r="E1163" t="s">
        <v>312</v>
      </c>
      <c r="F1163" t="s">
        <v>1529</v>
      </c>
      <c r="G1163">
        <v>747</v>
      </c>
      <c r="H1163">
        <v>140722.80000000002</v>
      </c>
      <c r="I1163">
        <v>188.38</v>
      </c>
      <c r="J1163">
        <v>206</v>
      </c>
      <c r="K1163">
        <v>34754.339999999997</v>
      </c>
      <c r="L1163">
        <v>168.71</v>
      </c>
      <c r="M1163">
        <v>953</v>
      </c>
      <c r="N1163">
        <v>175477.14</v>
      </c>
      <c r="O1163">
        <v>184.13</v>
      </c>
    </row>
    <row r="1164" spans="1:15" x14ac:dyDescent="0.35">
      <c r="A1164" t="s">
        <v>1518</v>
      </c>
      <c r="B1164" t="s">
        <v>1519</v>
      </c>
      <c r="C1164" t="s">
        <v>1477</v>
      </c>
      <c r="D1164" t="s">
        <v>314</v>
      </c>
      <c r="E1164" t="s">
        <v>294</v>
      </c>
      <c r="F1164" t="s">
        <v>1530</v>
      </c>
      <c r="G1164">
        <v>2</v>
      </c>
      <c r="H1164">
        <v>393.82</v>
      </c>
      <c r="I1164">
        <v>196.91</v>
      </c>
      <c r="J1164">
        <v>0</v>
      </c>
      <c r="K1164">
        <v>0</v>
      </c>
      <c r="L1164">
        <v>0</v>
      </c>
      <c r="M1164">
        <v>2</v>
      </c>
      <c r="N1164">
        <v>393.82</v>
      </c>
      <c r="O1164">
        <v>196.91</v>
      </c>
    </row>
    <row r="1165" spans="1:15" x14ac:dyDescent="0.35">
      <c r="A1165" t="s">
        <v>1518</v>
      </c>
      <c r="B1165" t="s">
        <v>1519</v>
      </c>
      <c r="C1165" t="s">
        <v>1477</v>
      </c>
      <c r="D1165" t="s">
        <v>314</v>
      </c>
      <c r="E1165" t="s">
        <v>296</v>
      </c>
      <c r="F1165" t="s">
        <v>1531</v>
      </c>
      <c r="G1165">
        <v>0</v>
      </c>
      <c r="H1165">
        <v>0</v>
      </c>
      <c r="I1165">
        <v>0</v>
      </c>
      <c r="J1165">
        <v>0</v>
      </c>
      <c r="K1165">
        <v>0</v>
      </c>
      <c r="L1165">
        <v>0</v>
      </c>
      <c r="M1165">
        <v>0</v>
      </c>
      <c r="N1165">
        <v>0</v>
      </c>
      <c r="O1165">
        <v>0</v>
      </c>
    </row>
    <row r="1166" spans="1:15" x14ac:dyDescent="0.35">
      <c r="A1166" t="s">
        <v>1518</v>
      </c>
      <c r="B1166" t="s">
        <v>1519</v>
      </c>
      <c r="C1166" t="s">
        <v>1477</v>
      </c>
      <c r="D1166" t="s">
        <v>314</v>
      </c>
      <c r="E1166" t="s">
        <v>298</v>
      </c>
      <c r="F1166" t="s">
        <v>1532</v>
      </c>
      <c r="G1166">
        <v>0</v>
      </c>
      <c r="H1166">
        <v>0</v>
      </c>
      <c r="I1166">
        <v>0</v>
      </c>
      <c r="J1166">
        <v>0</v>
      </c>
      <c r="K1166">
        <v>0</v>
      </c>
      <c r="L1166">
        <v>0</v>
      </c>
      <c r="M1166">
        <v>0</v>
      </c>
      <c r="N1166">
        <v>0</v>
      </c>
      <c r="O1166">
        <v>0</v>
      </c>
    </row>
    <row r="1167" spans="1:15" x14ac:dyDescent="0.35">
      <c r="A1167" t="s">
        <v>1518</v>
      </c>
      <c r="B1167" t="s">
        <v>1519</v>
      </c>
      <c r="C1167" t="s">
        <v>1477</v>
      </c>
      <c r="D1167" t="s">
        <v>314</v>
      </c>
      <c r="E1167" t="s">
        <v>300</v>
      </c>
      <c r="F1167" t="s">
        <v>1533</v>
      </c>
      <c r="G1167">
        <v>0</v>
      </c>
      <c r="H1167">
        <v>0</v>
      </c>
      <c r="I1167">
        <v>0</v>
      </c>
      <c r="J1167">
        <v>0</v>
      </c>
      <c r="K1167">
        <v>0</v>
      </c>
      <c r="L1167">
        <v>0</v>
      </c>
      <c r="M1167">
        <v>0</v>
      </c>
      <c r="N1167">
        <v>0</v>
      </c>
      <c r="O1167">
        <v>0</v>
      </c>
    </row>
    <row r="1168" spans="1:15" x14ac:dyDescent="0.35">
      <c r="A1168" t="s">
        <v>1518</v>
      </c>
      <c r="B1168" t="s">
        <v>1519</v>
      </c>
      <c r="C1168" t="s">
        <v>1477</v>
      </c>
      <c r="D1168" t="s">
        <v>314</v>
      </c>
      <c r="E1168" t="s">
        <v>306</v>
      </c>
      <c r="F1168" t="s">
        <v>1534</v>
      </c>
      <c r="G1168">
        <v>6</v>
      </c>
      <c r="H1168">
        <v>1203.18</v>
      </c>
      <c r="I1168">
        <v>200.53</v>
      </c>
      <c r="J1168">
        <v>0</v>
      </c>
      <c r="K1168">
        <v>0</v>
      </c>
      <c r="L1168">
        <v>0</v>
      </c>
      <c r="M1168">
        <v>6</v>
      </c>
      <c r="N1168">
        <v>1203.18</v>
      </c>
      <c r="O1168">
        <v>200.53</v>
      </c>
    </row>
    <row r="1169" spans="1:15" x14ac:dyDescent="0.35">
      <c r="A1169" t="s">
        <v>1518</v>
      </c>
      <c r="B1169" t="s">
        <v>1519</v>
      </c>
      <c r="C1169" t="s">
        <v>1477</v>
      </c>
      <c r="D1169" t="s">
        <v>314</v>
      </c>
      <c r="E1169" t="s">
        <v>308</v>
      </c>
      <c r="F1169" t="s">
        <v>1535</v>
      </c>
      <c r="G1169">
        <v>0</v>
      </c>
      <c r="H1169">
        <v>0</v>
      </c>
      <c r="I1169">
        <v>0</v>
      </c>
      <c r="J1169">
        <v>0</v>
      </c>
      <c r="K1169">
        <v>0</v>
      </c>
      <c r="L1169">
        <v>0</v>
      </c>
      <c r="M1169">
        <v>0</v>
      </c>
      <c r="N1169">
        <v>0</v>
      </c>
      <c r="O1169">
        <v>0</v>
      </c>
    </row>
    <row r="1170" spans="1:15" x14ac:dyDescent="0.35">
      <c r="A1170" t="s">
        <v>1518</v>
      </c>
      <c r="B1170" t="s">
        <v>1519</v>
      </c>
      <c r="C1170" t="s">
        <v>1477</v>
      </c>
      <c r="D1170" t="s">
        <v>314</v>
      </c>
      <c r="E1170" t="s">
        <v>312</v>
      </c>
      <c r="F1170" t="s">
        <v>1536</v>
      </c>
      <c r="G1170">
        <v>8</v>
      </c>
      <c r="H1170">
        <v>1597</v>
      </c>
      <c r="I1170">
        <v>199.63</v>
      </c>
      <c r="J1170">
        <v>0</v>
      </c>
      <c r="K1170">
        <v>0</v>
      </c>
      <c r="L1170">
        <v>0</v>
      </c>
      <c r="M1170">
        <v>8</v>
      </c>
      <c r="N1170">
        <v>1597</v>
      </c>
      <c r="O1170">
        <v>199.63</v>
      </c>
    </row>
    <row r="1171" spans="1:15" x14ac:dyDescent="0.35">
      <c r="A1171" t="s">
        <v>1518</v>
      </c>
      <c r="B1171" t="s">
        <v>1519</v>
      </c>
      <c r="C1171" t="s">
        <v>1477</v>
      </c>
      <c r="D1171" t="s">
        <v>314</v>
      </c>
      <c r="E1171" t="s">
        <v>310</v>
      </c>
      <c r="F1171" t="s">
        <v>1537</v>
      </c>
      <c r="G1171">
        <v>8</v>
      </c>
      <c r="H1171">
        <v>1597</v>
      </c>
      <c r="I1171">
        <v>199.63</v>
      </c>
      <c r="J1171">
        <v>0</v>
      </c>
      <c r="K1171">
        <v>0</v>
      </c>
      <c r="L1171">
        <v>0</v>
      </c>
      <c r="M1171">
        <v>8</v>
      </c>
      <c r="N1171">
        <v>1597</v>
      </c>
      <c r="O1171">
        <v>199.63</v>
      </c>
    </row>
    <row r="1172" spans="1:15" x14ac:dyDescent="0.35">
      <c r="A1172" t="s">
        <v>1518</v>
      </c>
      <c r="B1172" t="s">
        <v>1519</v>
      </c>
      <c r="C1172" t="s">
        <v>1477</v>
      </c>
      <c r="D1172" t="s">
        <v>323</v>
      </c>
      <c r="E1172" t="s">
        <v>294</v>
      </c>
      <c r="F1172" t="s">
        <v>1538</v>
      </c>
      <c r="G1172">
        <v>466</v>
      </c>
      <c r="H1172">
        <v>46468.11</v>
      </c>
      <c r="I1172">
        <v>99.72</v>
      </c>
      <c r="J1172">
        <v>2309</v>
      </c>
      <c r="K1172">
        <v>201021.54</v>
      </c>
      <c r="L1172">
        <v>87.06</v>
      </c>
      <c r="M1172">
        <v>2775</v>
      </c>
      <c r="N1172">
        <v>247489.65000000002</v>
      </c>
      <c r="O1172">
        <v>89.19</v>
      </c>
    </row>
    <row r="1173" spans="1:15" x14ac:dyDescent="0.35">
      <c r="A1173" t="s">
        <v>1518</v>
      </c>
      <c r="B1173" t="s">
        <v>1519</v>
      </c>
      <c r="C1173" t="s">
        <v>1477</v>
      </c>
      <c r="D1173" t="s">
        <v>323</v>
      </c>
      <c r="E1173" t="s">
        <v>296</v>
      </c>
      <c r="F1173" t="s">
        <v>1539</v>
      </c>
      <c r="G1173">
        <v>1080</v>
      </c>
      <c r="H1173">
        <v>128481.65</v>
      </c>
      <c r="I1173">
        <v>118.96</v>
      </c>
      <c r="J1173">
        <v>2205</v>
      </c>
      <c r="K1173">
        <v>211393.35</v>
      </c>
      <c r="L1173">
        <v>95.87</v>
      </c>
      <c r="M1173">
        <v>3285</v>
      </c>
      <c r="N1173">
        <v>339875</v>
      </c>
      <c r="O1173">
        <v>103.46</v>
      </c>
    </row>
    <row r="1174" spans="1:15" x14ac:dyDescent="0.35">
      <c r="A1174" t="s">
        <v>1518</v>
      </c>
      <c r="B1174" t="s">
        <v>1519</v>
      </c>
      <c r="C1174" t="s">
        <v>1477</v>
      </c>
      <c r="D1174" t="s">
        <v>323</v>
      </c>
      <c r="E1174" t="s">
        <v>298</v>
      </c>
      <c r="F1174" t="s">
        <v>1540</v>
      </c>
      <c r="G1174">
        <v>966</v>
      </c>
      <c r="H1174">
        <v>129635.04000000001</v>
      </c>
      <c r="I1174">
        <v>134.19999999999999</v>
      </c>
      <c r="J1174">
        <v>2584</v>
      </c>
      <c r="K1174">
        <v>281914.39999999997</v>
      </c>
      <c r="L1174">
        <v>109.1</v>
      </c>
      <c r="M1174">
        <v>3550</v>
      </c>
      <c r="N1174">
        <v>411549.43999999994</v>
      </c>
      <c r="O1174">
        <v>115.93</v>
      </c>
    </row>
    <row r="1175" spans="1:15" x14ac:dyDescent="0.35">
      <c r="A1175" t="s">
        <v>1518</v>
      </c>
      <c r="B1175" t="s">
        <v>1519</v>
      </c>
      <c r="C1175" t="s">
        <v>1477</v>
      </c>
      <c r="D1175" t="s">
        <v>323</v>
      </c>
      <c r="E1175" t="s">
        <v>300</v>
      </c>
      <c r="F1175" t="s">
        <v>1541</v>
      </c>
      <c r="G1175">
        <v>194</v>
      </c>
      <c r="H1175">
        <v>28989.13</v>
      </c>
      <c r="I1175">
        <v>149.43</v>
      </c>
      <c r="J1175">
        <v>109</v>
      </c>
      <c r="K1175">
        <v>13135.59</v>
      </c>
      <c r="L1175">
        <v>120.51</v>
      </c>
      <c r="M1175">
        <v>303</v>
      </c>
      <c r="N1175">
        <v>42124.72</v>
      </c>
      <c r="O1175">
        <v>139.03</v>
      </c>
    </row>
    <row r="1176" spans="1:15" x14ac:dyDescent="0.35">
      <c r="A1176" t="s">
        <v>1518</v>
      </c>
      <c r="B1176" t="s">
        <v>1519</v>
      </c>
      <c r="C1176" t="s">
        <v>1477</v>
      </c>
      <c r="D1176" t="s">
        <v>323</v>
      </c>
      <c r="E1176" t="s">
        <v>302</v>
      </c>
      <c r="F1176" t="s">
        <v>1542</v>
      </c>
      <c r="G1176">
        <v>46</v>
      </c>
      <c r="H1176">
        <v>7235.84</v>
      </c>
      <c r="I1176">
        <v>157.30000000000001</v>
      </c>
      <c r="J1176">
        <v>19</v>
      </c>
      <c r="K1176">
        <v>2816.5600000000004</v>
      </c>
      <c r="L1176">
        <v>148.24</v>
      </c>
      <c r="M1176">
        <v>65</v>
      </c>
      <c r="N1176">
        <v>10052.400000000001</v>
      </c>
      <c r="O1176">
        <v>154.65</v>
      </c>
    </row>
    <row r="1177" spans="1:15" x14ac:dyDescent="0.35">
      <c r="A1177" t="s">
        <v>1518</v>
      </c>
      <c r="B1177" t="s">
        <v>1519</v>
      </c>
      <c r="C1177" t="s">
        <v>1477</v>
      </c>
      <c r="D1177" t="s">
        <v>323</v>
      </c>
      <c r="E1177" t="s">
        <v>304</v>
      </c>
      <c r="F1177" t="s">
        <v>1543</v>
      </c>
      <c r="G1177">
        <v>9</v>
      </c>
      <c r="H1177">
        <v>1611.43</v>
      </c>
      <c r="I1177">
        <v>179.05</v>
      </c>
      <c r="J1177">
        <v>1</v>
      </c>
      <c r="K1177">
        <v>203.55</v>
      </c>
      <c r="L1177">
        <v>203.55</v>
      </c>
      <c r="M1177">
        <v>10</v>
      </c>
      <c r="N1177">
        <v>1814.98</v>
      </c>
      <c r="O1177">
        <v>181.5</v>
      </c>
    </row>
    <row r="1178" spans="1:15" x14ac:dyDescent="0.35">
      <c r="A1178" t="s">
        <v>1518</v>
      </c>
      <c r="B1178" t="s">
        <v>1519</v>
      </c>
      <c r="C1178" t="s">
        <v>1477</v>
      </c>
      <c r="D1178" t="s">
        <v>323</v>
      </c>
      <c r="E1178" t="s">
        <v>306</v>
      </c>
      <c r="F1178" t="s">
        <v>1544</v>
      </c>
      <c r="G1178">
        <v>13</v>
      </c>
      <c r="H1178">
        <v>1178.06</v>
      </c>
      <c r="I1178">
        <v>90.62</v>
      </c>
      <c r="J1178">
        <v>140</v>
      </c>
      <c r="K1178">
        <v>10425.799999999999</v>
      </c>
      <c r="L1178">
        <v>74.47</v>
      </c>
      <c r="M1178">
        <v>153</v>
      </c>
      <c r="N1178">
        <v>11603.859999999999</v>
      </c>
      <c r="O1178">
        <v>75.84</v>
      </c>
    </row>
    <row r="1179" spans="1:15" x14ac:dyDescent="0.35">
      <c r="A1179" t="s">
        <v>1518</v>
      </c>
      <c r="B1179" t="s">
        <v>1519</v>
      </c>
      <c r="C1179" t="s">
        <v>1477</v>
      </c>
      <c r="D1179" t="s">
        <v>323</v>
      </c>
      <c r="E1179" t="s">
        <v>308</v>
      </c>
      <c r="F1179" t="s">
        <v>1545</v>
      </c>
      <c r="G1179">
        <v>0</v>
      </c>
      <c r="H1179">
        <v>0</v>
      </c>
      <c r="I1179">
        <v>0</v>
      </c>
      <c r="J1179">
        <v>0</v>
      </c>
      <c r="K1179">
        <v>0</v>
      </c>
      <c r="L1179">
        <v>0</v>
      </c>
      <c r="M1179">
        <v>0</v>
      </c>
      <c r="N1179">
        <v>0</v>
      </c>
      <c r="O1179">
        <v>0</v>
      </c>
    </row>
    <row r="1180" spans="1:15" x14ac:dyDescent="0.35">
      <c r="A1180" t="s">
        <v>1518</v>
      </c>
      <c r="B1180" t="s">
        <v>1519</v>
      </c>
      <c r="C1180" t="s">
        <v>1477</v>
      </c>
      <c r="D1180" t="s">
        <v>323</v>
      </c>
      <c r="E1180" t="s">
        <v>310</v>
      </c>
      <c r="F1180" t="s">
        <v>1546</v>
      </c>
      <c r="G1180">
        <v>2774</v>
      </c>
      <c r="H1180">
        <v>343599.26000000007</v>
      </c>
      <c r="I1180">
        <v>123.86</v>
      </c>
      <c r="J1180">
        <v>7367</v>
      </c>
      <c r="K1180">
        <v>720910.79000000015</v>
      </c>
      <c r="L1180">
        <v>97.86</v>
      </c>
      <c r="M1180">
        <v>10141</v>
      </c>
      <c r="N1180">
        <v>1064510.0500000003</v>
      </c>
      <c r="O1180">
        <v>104.97</v>
      </c>
    </row>
    <row r="1181" spans="1:15" x14ac:dyDescent="0.35">
      <c r="A1181" t="s">
        <v>1518</v>
      </c>
      <c r="B1181" t="s">
        <v>1519</v>
      </c>
      <c r="C1181" t="s">
        <v>1477</v>
      </c>
      <c r="D1181" t="s">
        <v>323</v>
      </c>
      <c r="E1181" t="s">
        <v>312</v>
      </c>
      <c r="F1181" t="s">
        <v>1547</v>
      </c>
      <c r="G1181">
        <v>2774</v>
      </c>
      <c r="H1181">
        <v>343599.26000000007</v>
      </c>
      <c r="I1181">
        <v>123.86</v>
      </c>
      <c r="J1181">
        <v>7367</v>
      </c>
      <c r="K1181">
        <v>720910.79000000015</v>
      </c>
      <c r="L1181">
        <v>97.86</v>
      </c>
      <c r="M1181">
        <v>10141</v>
      </c>
      <c r="N1181">
        <v>1064510.0500000003</v>
      </c>
      <c r="O1181">
        <v>104.97</v>
      </c>
    </row>
    <row r="1182" spans="1:15" x14ac:dyDescent="0.35">
      <c r="A1182" t="s">
        <v>1518</v>
      </c>
      <c r="B1182" t="s">
        <v>1519</v>
      </c>
      <c r="C1182" t="s">
        <v>1477</v>
      </c>
      <c r="D1182" t="s">
        <v>334</v>
      </c>
      <c r="E1182" t="s">
        <v>312</v>
      </c>
      <c r="F1182" t="s">
        <v>1548</v>
      </c>
      <c r="G1182">
        <v>3965</v>
      </c>
      <c r="H1182">
        <v>484322.06000000011</v>
      </c>
      <c r="I1182">
        <v>137.55000000000001</v>
      </c>
      <c r="J1182">
        <v>7573</v>
      </c>
      <c r="K1182">
        <v>755665.13</v>
      </c>
      <c r="L1182">
        <v>99.78</v>
      </c>
      <c r="M1182">
        <v>11538</v>
      </c>
      <c r="N1182">
        <v>1239987.1900000002</v>
      </c>
      <c r="O1182">
        <v>111.77</v>
      </c>
    </row>
    <row r="1183" spans="1:15" x14ac:dyDescent="0.35">
      <c r="A1183" t="s">
        <v>1518</v>
      </c>
      <c r="B1183" t="s">
        <v>1519</v>
      </c>
      <c r="C1183" t="s">
        <v>1477</v>
      </c>
      <c r="D1183" t="s">
        <v>334</v>
      </c>
      <c r="E1183" t="s">
        <v>308</v>
      </c>
      <c r="F1183" t="s">
        <v>1549</v>
      </c>
      <c r="G1183">
        <v>171</v>
      </c>
      <c r="H1183">
        <v>0</v>
      </c>
      <c r="I1183">
        <v>0</v>
      </c>
      <c r="J1183">
        <v>0</v>
      </c>
      <c r="K1183">
        <v>0</v>
      </c>
      <c r="L1183">
        <v>0</v>
      </c>
      <c r="M1183">
        <v>171</v>
      </c>
      <c r="N1183">
        <v>0</v>
      </c>
      <c r="O1183">
        <v>0</v>
      </c>
    </row>
    <row r="1184" spans="1:15" x14ac:dyDescent="0.35">
      <c r="A1184" t="s">
        <v>1518</v>
      </c>
      <c r="B1184" t="s">
        <v>1519</v>
      </c>
      <c r="C1184" t="s">
        <v>1477</v>
      </c>
      <c r="D1184" t="s">
        <v>337</v>
      </c>
      <c r="E1184" t="s">
        <v>337</v>
      </c>
      <c r="F1184" t="s">
        <v>1550</v>
      </c>
      <c r="G1184">
        <v>335</v>
      </c>
      <c r="J1184">
        <v>19</v>
      </c>
      <c r="M1184">
        <v>354</v>
      </c>
    </row>
    <row r="1185" spans="1:15" x14ac:dyDescent="0.35">
      <c r="A1185" t="s">
        <v>1518</v>
      </c>
      <c r="B1185" t="s">
        <v>1519</v>
      </c>
      <c r="C1185" t="s">
        <v>1477</v>
      </c>
      <c r="D1185" t="s">
        <v>339</v>
      </c>
      <c r="E1185" t="s">
        <v>294</v>
      </c>
      <c r="F1185" t="s">
        <v>1551</v>
      </c>
      <c r="G1185">
        <v>316</v>
      </c>
      <c r="H1185">
        <v>39468.83</v>
      </c>
      <c r="I1185">
        <v>124.9</v>
      </c>
      <c r="J1185">
        <v>0</v>
      </c>
      <c r="K1185">
        <v>0</v>
      </c>
      <c r="L1185">
        <v>0</v>
      </c>
      <c r="M1185">
        <v>316</v>
      </c>
      <c r="N1185">
        <v>39468.83</v>
      </c>
      <c r="O1185">
        <v>124.9</v>
      </c>
    </row>
    <row r="1186" spans="1:15" x14ac:dyDescent="0.35">
      <c r="A1186" t="s">
        <v>1518</v>
      </c>
      <c r="B1186" t="s">
        <v>1519</v>
      </c>
      <c r="C1186" t="s">
        <v>1477</v>
      </c>
      <c r="D1186" t="s">
        <v>339</v>
      </c>
      <c r="E1186" t="s">
        <v>296</v>
      </c>
      <c r="F1186" t="s">
        <v>1552</v>
      </c>
      <c r="G1186">
        <v>48</v>
      </c>
      <c r="H1186">
        <v>7339.0700000000006</v>
      </c>
      <c r="I1186">
        <v>152.9</v>
      </c>
      <c r="J1186">
        <v>0</v>
      </c>
      <c r="K1186">
        <v>0</v>
      </c>
      <c r="L1186">
        <v>0</v>
      </c>
      <c r="M1186">
        <v>48</v>
      </c>
      <c r="N1186">
        <v>7339.0700000000006</v>
      </c>
      <c r="O1186">
        <v>152.9</v>
      </c>
    </row>
    <row r="1187" spans="1:15" x14ac:dyDescent="0.35">
      <c r="A1187" t="s">
        <v>1518</v>
      </c>
      <c r="B1187" t="s">
        <v>1519</v>
      </c>
      <c r="C1187" t="s">
        <v>1477</v>
      </c>
      <c r="D1187" t="s">
        <v>339</v>
      </c>
      <c r="E1187" t="s">
        <v>298</v>
      </c>
      <c r="F1187" t="s">
        <v>1553</v>
      </c>
      <c r="G1187">
        <v>2</v>
      </c>
      <c r="H1187">
        <v>316.77999999999997</v>
      </c>
      <c r="I1187">
        <v>158.38999999999999</v>
      </c>
      <c r="J1187">
        <v>0</v>
      </c>
      <c r="K1187">
        <v>0</v>
      </c>
      <c r="L1187">
        <v>0</v>
      </c>
      <c r="M1187">
        <v>2</v>
      </c>
      <c r="N1187">
        <v>316.77999999999997</v>
      </c>
      <c r="O1187">
        <v>158.38999999999999</v>
      </c>
    </row>
    <row r="1188" spans="1:15" x14ac:dyDescent="0.35">
      <c r="A1188" t="s">
        <v>1518</v>
      </c>
      <c r="B1188" t="s">
        <v>1519</v>
      </c>
      <c r="C1188" t="s">
        <v>1477</v>
      </c>
      <c r="D1188" t="s">
        <v>339</v>
      </c>
      <c r="E1188" t="s">
        <v>300</v>
      </c>
      <c r="F1188" t="s">
        <v>1554</v>
      </c>
      <c r="G1188">
        <v>0</v>
      </c>
      <c r="H1188">
        <v>0</v>
      </c>
      <c r="I1188">
        <v>0</v>
      </c>
      <c r="J1188">
        <v>0</v>
      </c>
      <c r="K1188">
        <v>0</v>
      </c>
      <c r="L1188">
        <v>0</v>
      </c>
      <c r="M1188">
        <v>0</v>
      </c>
      <c r="N1188">
        <v>0</v>
      </c>
      <c r="O1188">
        <v>0</v>
      </c>
    </row>
    <row r="1189" spans="1:15" x14ac:dyDescent="0.35">
      <c r="A1189" t="s">
        <v>1518</v>
      </c>
      <c r="B1189" t="s">
        <v>1519</v>
      </c>
      <c r="C1189" t="s">
        <v>1477</v>
      </c>
      <c r="D1189" t="s">
        <v>339</v>
      </c>
      <c r="E1189" t="s">
        <v>306</v>
      </c>
      <c r="F1189" t="s">
        <v>1555</v>
      </c>
      <c r="G1189">
        <v>4</v>
      </c>
      <c r="H1189">
        <v>377.48</v>
      </c>
      <c r="I1189">
        <v>94.37</v>
      </c>
      <c r="J1189">
        <v>0</v>
      </c>
      <c r="K1189">
        <v>0</v>
      </c>
      <c r="L1189">
        <v>0</v>
      </c>
      <c r="M1189">
        <v>4</v>
      </c>
      <c r="N1189">
        <v>377.48</v>
      </c>
      <c r="O1189">
        <v>94.37</v>
      </c>
    </row>
    <row r="1190" spans="1:15" x14ac:dyDescent="0.35">
      <c r="A1190" t="s">
        <v>1518</v>
      </c>
      <c r="B1190" t="s">
        <v>1519</v>
      </c>
      <c r="C1190" t="s">
        <v>1477</v>
      </c>
      <c r="D1190" t="s">
        <v>339</v>
      </c>
      <c r="E1190" t="s">
        <v>308</v>
      </c>
      <c r="F1190" t="s">
        <v>1556</v>
      </c>
      <c r="G1190">
        <v>64</v>
      </c>
      <c r="H1190">
        <v>7808.4</v>
      </c>
      <c r="I1190">
        <v>122.01</v>
      </c>
      <c r="J1190">
        <v>0</v>
      </c>
      <c r="K1190">
        <v>0</v>
      </c>
      <c r="L1190">
        <v>0</v>
      </c>
      <c r="M1190">
        <v>64</v>
      </c>
      <c r="N1190">
        <v>7808.4</v>
      </c>
      <c r="O1190">
        <v>122.01</v>
      </c>
    </row>
    <row r="1191" spans="1:15" x14ac:dyDescent="0.35">
      <c r="A1191" t="s">
        <v>1518</v>
      </c>
      <c r="B1191" t="s">
        <v>1519</v>
      </c>
      <c r="C1191" t="s">
        <v>1477</v>
      </c>
      <c r="D1191" t="s">
        <v>339</v>
      </c>
      <c r="E1191" t="s">
        <v>310</v>
      </c>
      <c r="F1191" t="s">
        <v>1557</v>
      </c>
      <c r="G1191">
        <v>434</v>
      </c>
      <c r="H1191">
        <v>55310.560000000005</v>
      </c>
      <c r="I1191">
        <v>127.44</v>
      </c>
      <c r="J1191">
        <v>0</v>
      </c>
      <c r="K1191">
        <v>0</v>
      </c>
      <c r="L1191">
        <v>0</v>
      </c>
      <c r="M1191">
        <v>434</v>
      </c>
      <c r="N1191">
        <v>55310.560000000005</v>
      </c>
      <c r="O1191">
        <v>127.44</v>
      </c>
    </row>
    <row r="1192" spans="1:15" x14ac:dyDescent="0.35">
      <c r="A1192" t="s">
        <v>1518</v>
      </c>
      <c r="B1192" t="s">
        <v>1519</v>
      </c>
      <c r="C1192" t="s">
        <v>1477</v>
      </c>
      <c r="D1192" t="s">
        <v>339</v>
      </c>
      <c r="E1192" t="s">
        <v>312</v>
      </c>
      <c r="F1192" t="s">
        <v>1558</v>
      </c>
      <c r="G1192">
        <v>370</v>
      </c>
      <c r="H1192">
        <v>47502.16</v>
      </c>
      <c r="I1192">
        <v>128.38</v>
      </c>
      <c r="J1192">
        <v>0</v>
      </c>
      <c r="K1192">
        <v>0</v>
      </c>
      <c r="L1192">
        <v>0</v>
      </c>
      <c r="M1192">
        <v>370</v>
      </c>
      <c r="N1192">
        <v>47502.16</v>
      </c>
      <c r="O1192">
        <v>128.38</v>
      </c>
    </row>
    <row r="1193" spans="1:15" x14ac:dyDescent="0.35">
      <c r="A1193" t="s">
        <v>1518</v>
      </c>
      <c r="B1193" t="s">
        <v>1519</v>
      </c>
      <c r="C1193" t="s">
        <v>1477</v>
      </c>
      <c r="D1193" t="s">
        <v>348</v>
      </c>
      <c r="E1193" t="s">
        <v>349</v>
      </c>
      <c r="F1193" t="s">
        <v>1559</v>
      </c>
      <c r="G1193">
        <v>638</v>
      </c>
      <c r="H1193">
        <v>56907.560000000005</v>
      </c>
      <c r="I1193">
        <v>128.75</v>
      </c>
      <c r="J1193">
        <v>0</v>
      </c>
      <c r="K1193">
        <v>0</v>
      </c>
      <c r="L1193">
        <v>0</v>
      </c>
      <c r="M1193">
        <v>638</v>
      </c>
      <c r="N1193">
        <v>56907.560000000005</v>
      </c>
      <c r="O1193">
        <v>128.75</v>
      </c>
    </row>
    <row r="1194" spans="1:15" x14ac:dyDescent="0.35">
      <c r="A1194" t="s">
        <v>1560</v>
      </c>
      <c r="B1194" t="s">
        <v>156</v>
      </c>
      <c r="C1194" t="s">
        <v>1477</v>
      </c>
      <c r="D1194" t="s">
        <v>293</v>
      </c>
      <c r="E1194" t="s">
        <v>294</v>
      </c>
      <c r="F1194" t="s">
        <v>1561</v>
      </c>
      <c r="G1194">
        <v>51</v>
      </c>
      <c r="H1194">
        <v>7118.78</v>
      </c>
      <c r="I1194">
        <v>139.58000000000001</v>
      </c>
      <c r="J1194">
        <v>25</v>
      </c>
      <c r="K1194">
        <v>3517.4999999999995</v>
      </c>
      <c r="L1194">
        <v>140.69999999999999</v>
      </c>
      <c r="M1194">
        <v>76</v>
      </c>
      <c r="N1194">
        <v>10636.279999999999</v>
      </c>
      <c r="O1194">
        <v>139.94999999999999</v>
      </c>
    </row>
    <row r="1195" spans="1:15" x14ac:dyDescent="0.35">
      <c r="A1195" t="s">
        <v>1560</v>
      </c>
      <c r="B1195" t="s">
        <v>156</v>
      </c>
      <c r="C1195" t="s">
        <v>1477</v>
      </c>
      <c r="D1195" t="s">
        <v>293</v>
      </c>
      <c r="E1195" t="s">
        <v>296</v>
      </c>
      <c r="F1195" t="s">
        <v>1562</v>
      </c>
      <c r="G1195">
        <v>198</v>
      </c>
      <c r="H1195">
        <v>35290.820000000007</v>
      </c>
      <c r="I1195">
        <v>178.24</v>
      </c>
      <c r="J1195">
        <v>76</v>
      </c>
      <c r="K1195">
        <v>14326</v>
      </c>
      <c r="L1195">
        <v>188.5</v>
      </c>
      <c r="M1195">
        <v>274</v>
      </c>
      <c r="N1195">
        <v>49616.820000000007</v>
      </c>
      <c r="O1195">
        <v>181.08</v>
      </c>
    </row>
    <row r="1196" spans="1:15" x14ac:dyDescent="0.35">
      <c r="A1196" t="s">
        <v>1560</v>
      </c>
      <c r="B1196" t="s">
        <v>156</v>
      </c>
      <c r="C1196" t="s">
        <v>1477</v>
      </c>
      <c r="D1196" t="s">
        <v>293</v>
      </c>
      <c r="E1196" t="s">
        <v>298</v>
      </c>
      <c r="F1196" t="s">
        <v>1563</v>
      </c>
      <c r="G1196">
        <v>117</v>
      </c>
      <c r="H1196">
        <v>24513.679999999997</v>
      </c>
      <c r="I1196">
        <v>209.52</v>
      </c>
      <c r="J1196">
        <v>69</v>
      </c>
      <c r="K1196">
        <v>16305.39</v>
      </c>
      <c r="L1196">
        <v>236.31</v>
      </c>
      <c r="M1196">
        <v>186</v>
      </c>
      <c r="N1196">
        <v>40819.069999999992</v>
      </c>
      <c r="O1196">
        <v>219.46</v>
      </c>
    </row>
    <row r="1197" spans="1:15" x14ac:dyDescent="0.35">
      <c r="A1197" t="s">
        <v>1560</v>
      </c>
      <c r="B1197" t="s">
        <v>156</v>
      </c>
      <c r="C1197" t="s">
        <v>1477</v>
      </c>
      <c r="D1197" t="s">
        <v>293</v>
      </c>
      <c r="E1197" t="s">
        <v>300</v>
      </c>
      <c r="F1197" t="s">
        <v>1564</v>
      </c>
      <c r="G1197">
        <v>7</v>
      </c>
      <c r="H1197">
        <v>1427.1100000000001</v>
      </c>
      <c r="I1197">
        <v>203.87</v>
      </c>
      <c r="J1197">
        <v>8</v>
      </c>
      <c r="K1197">
        <v>2448.8000000000002</v>
      </c>
      <c r="L1197">
        <v>306.10000000000002</v>
      </c>
      <c r="M1197">
        <v>15</v>
      </c>
      <c r="N1197">
        <v>3875.9100000000003</v>
      </c>
      <c r="O1197">
        <v>258.39</v>
      </c>
    </row>
    <row r="1198" spans="1:15" x14ac:dyDescent="0.35">
      <c r="A1198" t="s">
        <v>1560</v>
      </c>
      <c r="B1198" t="s">
        <v>156</v>
      </c>
      <c r="C1198" t="s">
        <v>1477</v>
      </c>
      <c r="D1198" t="s">
        <v>293</v>
      </c>
      <c r="E1198" t="s">
        <v>302</v>
      </c>
      <c r="F1198" t="s">
        <v>1565</v>
      </c>
      <c r="G1198">
        <v>0</v>
      </c>
      <c r="H1198">
        <v>0</v>
      </c>
      <c r="I1198">
        <v>0</v>
      </c>
      <c r="J1198">
        <v>0</v>
      </c>
      <c r="K1198">
        <v>0</v>
      </c>
      <c r="L1198">
        <v>0</v>
      </c>
      <c r="M1198">
        <v>0</v>
      </c>
      <c r="N1198">
        <v>0</v>
      </c>
      <c r="O1198">
        <v>0</v>
      </c>
    </row>
    <row r="1199" spans="1:15" x14ac:dyDescent="0.35">
      <c r="A1199" t="s">
        <v>1560</v>
      </c>
      <c r="B1199" t="s">
        <v>156</v>
      </c>
      <c r="C1199" t="s">
        <v>1477</v>
      </c>
      <c r="D1199" t="s">
        <v>293</v>
      </c>
      <c r="E1199" t="s">
        <v>304</v>
      </c>
      <c r="F1199" t="s">
        <v>1566</v>
      </c>
      <c r="G1199">
        <v>0</v>
      </c>
      <c r="H1199">
        <v>0</v>
      </c>
      <c r="I1199">
        <v>0</v>
      </c>
      <c r="J1199">
        <v>0</v>
      </c>
      <c r="K1199">
        <v>0</v>
      </c>
      <c r="L1199">
        <v>0</v>
      </c>
      <c r="M1199">
        <v>0</v>
      </c>
      <c r="N1199">
        <v>0</v>
      </c>
      <c r="O1199">
        <v>0</v>
      </c>
    </row>
    <row r="1200" spans="1:15" x14ac:dyDescent="0.35">
      <c r="A1200" t="s">
        <v>1560</v>
      </c>
      <c r="B1200" t="s">
        <v>156</v>
      </c>
      <c r="C1200" t="s">
        <v>1477</v>
      </c>
      <c r="D1200" t="s">
        <v>293</v>
      </c>
      <c r="E1200" t="s">
        <v>306</v>
      </c>
      <c r="F1200" t="s">
        <v>1567</v>
      </c>
      <c r="G1200">
        <v>0</v>
      </c>
      <c r="H1200">
        <v>0</v>
      </c>
      <c r="I1200">
        <v>0</v>
      </c>
      <c r="J1200">
        <v>0</v>
      </c>
      <c r="K1200">
        <v>0</v>
      </c>
      <c r="L1200">
        <v>0</v>
      </c>
      <c r="M1200">
        <v>0</v>
      </c>
      <c r="N1200">
        <v>0</v>
      </c>
      <c r="O1200">
        <v>0</v>
      </c>
    </row>
    <row r="1201" spans="1:15" x14ac:dyDescent="0.35">
      <c r="A1201" t="s">
        <v>1560</v>
      </c>
      <c r="B1201" t="s">
        <v>156</v>
      </c>
      <c r="C1201" t="s">
        <v>1477</v>
      </c>
      <c r="D1201" t="s">
        <v>293</v>
      </c>
      <c r="E1201" t="s">
        <v>308</v>
      </c>
      <c r="F1201" t="s">
        <v>1568</v>
      </c>
      <c r="G1201">
        <v>0</v>
      </c>
      <c r="H1201">
        <v>0</v>
      </c>
      <c r="I1201">
        <v>0</v>
      </c>
      <c r="J1201">
        <v>0</v>
      </c>
      <c r="K1201">
        <v>0</v>
      </c>
      <c r="L1201">
        <v>0</v>
      </c>
      <c r="M1201">
        <v>0</v>
      </c>
      <c r="N1201">
        <v>0</v>
      </c>
      <c r="O1201">
        <v>0</v>
      </c>
    </row>
    <row r="1202" spans="1:15" x14ac:dyDescent="0.35">
      <c r="A1202" t="s">
        <v>1560</v>
      </c>
      <c r="B1202" t="s">
        <v>156</v>
      </c>
      <c r="C1202" t="s">
        <v>1477</v>
      </c>
      <c r="D1202" t="s">
        <v>293</v>
      </c>
      <c r="E1202" t="s">
        <v>310</v>
      </c>
      <c r="F1202" t="s">
        <v>1569</v>
      </c>
      <c r="G1202">
        <v>373</v>
      </c>
      <c r="H1202">
        <v>68350.39</v>
      </c>
      <c r="I1202">
        <v>183.25</v>
      </c>
      <c r="J1202">
        <v>178</v>
      </c>
      <c r="K1202">
        <v>36597.69</v>
      </c>
      <c r="L1202">
        <v>205.61</v>
      </c>
      <c r="M1202">
        <v>551</v>
      </c>
      <c r="N1202">
        <v>104948.08</v>
      </c>
      <c r="O1202">
        <v>190.47</v>
      </c>
    </row>
    <row r="1203" spans="1:15" x14ac:dyDescent="0.35">
      <c r="A1203" t="s">
        <v>1560</v>
      </c>
      <c r="B1203" t="s">
        <v>156</v>
      </c>
      <c r="C1203" t="s">
        <v>1477</v>
      </c>
      <c r="D1203" t="s">
        <v>293</v>
      </c>
      <c r="E1203" t="s">
        <v>312</v>
      </c>
      <c r="F1203" t="s">
        <v>1570</v>
      </c>
      <c r="G1203">
        <v>373</v>
      </c>
      <c r="H1203">
        <v>68350.39</v>
      </c>
      <c r="I1203">
        <v>183.25</v>
      </c>
      <c r="J1203">
        <v>178</v>
      </c>
      <c r="K1203">
        <v>36597.69</v>
      </c>
      <c r="L1203">
        <v>205.61</v>
      </c>
      <c r="M1203">
        <v>551</v>
      </c>
      <c r="N1203">
        <v>104948.08</v>
      </c>
      <c r="O1203">
        <v>190.47</v>
      </c>
    </row>
    <row r="1204" spans="1:15" x14ac:dyDescent="0.35">
      <c r="A1204" t="s">
        <v>1560</v>
      </c>
      <c r="B1204" t="s">
        <v>156</v>
      </c>
      <c r="C1204" t="s">
        <v>1477</v>
      </c>
      <c r="D1204" t="s">
        <v>314</v>
      </c>
      <c r="E1204" t="s">
        <v>294</v>
      </c>
      <c r="F1204" t="s">
        <v>1571</v>
      </c>
      <c r="G1204">
        <v>39</v>
      </c>
      <c r="H1204">
        <v>13823.640000000001</v>
      </c>
      <c r="I1204">
        <v>354.45</v>
      </c>
      <c r="J1204">
        <v>0</v>
      </c>
      <c r="K1204">
        <v>0</v>
      </c>
      <c r="L1204">
        <v>0</v>
      </c>
      <c r="M1204">
        <v>39</v>
      </c>
      <c r="N1204">
        <v>13823.640000000001</v>
      </c>
      <c r="O1204">
        <v>354.45</v>
      </c>
    </row>
    <row r="1205" spans="1:15" x14ac:dyDescent="0.35">
      <c r="A1205" t="s">
        <v>1560</v>
      </c>
      <c r="B1205" t="s">
        <v>156</v>
      </c>
      <c r="C1205" t="s">
        <v>1477</v>
      </c>
      <c r="D1205" t="s">
        <v>314</v>
      </c>
      <c r="E1205" t="s">
        <v>296</v>
      </c>
      <c r="F1205" t="s">
        <v>1572</v>
      </c>
      <c r="G1205">
        <v>0</v>
      </c>
      <c r="H1205">
        <v>0</v>
      </c>
      <c r="I1205">
        <v>0</v>
      </c>
      <c r="J1205">
        <v>0</v>
      </c>
      <c r="K1205">
        <v>0</v>
      </c>
      <c r="L1205">
        <v>0</v>
      </c>
      <c r="M1205">
        <v>0</v>
      </c>
      <c r="N1205">
        <v>0</v>
      </c>
      <c r="O1205">
        <v>0</v>
      </c>
    </row>
    <row r="1206" spans="1:15" x14ac:dyDescent="0.35">
      <c r="A1206" t="s">
        <v>1560</v>
      </c>
      <c r="B1206" t="s">
        <v>156</v>
      </c>
      <c r="C1206" t="s">
        <v>1477</v>
      </c>
      <c r="D1206" t="s">
        <v>314</v>
      </c>
      <c r="E1206" t="s">
        <v>298</v>
      </c>
      <c r="F1206" t="s">
        <v>1573</v>
      </c>
      <c r="G1206">
        <v>0</v>
      </c>
      <c r="H1206">
        <v>0</v>
      </c>
      <c r="I1206">
        <v>0</v>
      </c>
      <c r="J1206">
        <v>0</v>
      </c>
      <c r="K1206">
        <v>0</v>
      </c>
      <c r="L1206">
        <v>0</v>
      </c>
      <c r="M1206">
        <v>0</v>
      </c>
      <c r="N1206">
        <v>0</v>
      </c>
      <c r="O1206">
        <v>0</v>
      </c>
    </row>
    <row r="1207" spans="1:15" x14ac:dyDescent="0.35">
      <c r="A1207" t="s">
        <v>1560</v>
      </c>
      <c r="B1207" t="s">
        <v>156</v>
      </c>
      <c r="C1207" t="s">
        <v>1477</v>
      </c>
      <c r="D1207" t="s">
        <v>314</v>
      </c>
      <c r="E1207" t="s">
        <v>300</v>
      </c>
      <c r="F1207" t="s">
        <v>1574</v>
      </c>
      <c r="G1207">
        <v>0</v>
      </c>
      <c r="H1207">
        <v>0</v>
      </c>
      <c r="I1207">
        <v>0</v>
      </c>
      <c r="J1207">
        <v>0</v>
      </c>
      <c r="K1207">
        <v>0</v>
      </c>
      <c r="L1207">
        <v>0</v>
      </c>
      <c r="M1207">
        <v>0</v>
      </c>
      <c r="N1207">
        <v>0</v>
      </c>
      <c r="O1207">
        <v>0</v>
      </c>
    </row>
    <row r="1208" spans="1:15" x14ac:dyDescent="0.35">
      <c r="A1208" t="s">
        <v>1560</v>
      </c>
      <c r="B1208" t="s">
        <v>156</v>
      </c>
      <c r="C1208" t="s">
        <v>1477</v>
      </c>
      <c r="D1208" t="s">
        <v>314</v>
      </c>
      <c r="E1208" t="s">
        <v>306</v>
      </c>
      <c r="F1208" t="s">
        <v>1575</v>
      </c>
      <c r="G1208">
        <v>165</v>
      </c>
      <c r="H1208">
        <v>18242.400000000001</v>
      </c>
      <c r="I1208">
        <v>110.56</v>
      </c>
      <c r="J1208">
        <v>0</v>
      </c>
      <c r="K1208">
        <v>0</v>
      </c>
      <c r="L1208">
        <v>0</v>
      </c>
      <c r="M1208">
        <v>165</v>
      </c>
      <c r="N1208">
        <v>18242.400000000001</v>
      </c>
      <c r="O1208">
        <v>110.56</v>
      </c>
    </row>
    <row r="1209" spans="1:15" x14ac:dyDescent="0.35">
      <c r="A1209" t="s">
        <v>1560</v>
      </c>
      <c r="B1209" t="s">
        <v>156</v>
      </c>
      <c r="C1209" t="s">
        <v>1477</v>
      </c>
      <c r="D1209" t="s">
        <v>314</v>
      </c>
      <c r="E1209" t="s">
        <v>308</v>
      </c>
      <c r="F1209" t="s">
        <v>1576</v>
      </c>
      <c r="G1209">
        <v>0</v>
      </c>
      <c r="H1209">
        <v>0</v>
      </c>
      <c r="I1209">
        <v>0</v>
      </c>
      <c r="J1209">
        <v>0</v>
      </c>
      <c r="K1209">
        <v>0</v>
      </c>
      <c r="L1209">
        <v>0</v>
      </c>
      <c r="M1209">
        <v>0</v>
      </c>
      <c r="N1209">
        <v>0</v>
      </c>
      <c r="O1209">
        <v>0</v>
      </c>
    </row>
    <row r="1210" spans="1:15" x14ac:dyDescent="0.35">
      <c r="A1210" t="s">
        <v>1560</v>
      </c>
      <c r="B1210" t="s">
        <v>156</v>
      </c>
      <c r="C1210" t="s">
        <v>1477</v>
      </c>
      <c r="D1210" t="s">
        <v>314</v>
      </c>
      <c r="E1210" t="s">
        <v>312</v>
      </c>
      <c r="F1210" t="s">
        <v>1577</v>
      </c>
      <c r="G1210">
        <v>204</v>
      </c>
      <c r="H1210">
        <v>32066.04</v>
      </c>
      <c r="I1210">
        <v>157.19</v>
      </c>
      <c r="J1210">
        <v>0</v>
      </c>
      <c r="K1210">
        <v>0</v>
      </c>
      <c r="L1210">
        <v>0</v>
      </c>
      <c r="M1210">
        <v>204</v>
      </c>
      <c r="N1210">
        <v>32066.04</v>
      </c>
      <c r="O1210">
        <v>157.19</v>
      </c>
    </row>
    <row r="1211" spans="1:15" x14ac:dyDescent="0.35">
      <c r="A1211" t="s">
        <v>1560</v>
      </c>
      <c r="B1211" t="s">
        <v>156</v>
      </c>
      <c r="C1211" t="s">
        <v>1477</v>
      </c>
      <c r="D1211" t="s">
        <v>314</v>
      </c>
      <c r="E1211" t="s">
        <v>310</v>
      </c>
      <c r="F1211" t="s">
        <v>1578</v>
      </c>
      <c r="G1211">
        <v>204</v>
      </c>
      <c r="H1211">
        <v>32066.04</v>
      </c>
      <c r="I1211">
        <v>157.19</v>
      </c>
      <c r="J1211">
        <v>0</v>
      </c>
      <c r="K1211">
        <v>0</v>
      </c>
      <c r="L1211">
        <v>0</v>
      </c>
      <c r="M1211">
        <v>204</v>
      </c>
      <c r="N1211">
        <v>32066.04</v>
      </c>
      <c r="O1211">
        <v>157.19</v>
      </c>
    </row>
    <row r="1212" spans="1:15" x14ac:dyDescent="0.35">
      <c r="A1212" t="s">
        <v>1560</v>
      </c>
      <c r="B1212" t="s">
        <v>156</v>
      </c>
      <c r="C1212" t="s">
        <v>1477</v>
      </c>
      <c r="D1212" t="s">
        <v>323</v>
      </c>
      <c r="E1212" t="s">
        <v>294</v>
      </c>
      <c r="F1212" t="s">
        <v>1579</v>
      </c>
      <c r="G1212">
        <v>623</v>
      </c>
      <c r="H1212">
        <v>62671.47</v>
      </c>
      <c r="I1212">
        <v>100.6</v>
      </c>
      <c r="J1212">
        <v>1787</v>
      </c>
      <c r="K1212">
        <v>169157.41999999998</v>
      </c>
      <c r="L1212">
        <v>94.66</v>
      </c>
      <c r="M1212">
        <v>2410</v>
      </c>
      <c r="N1212">
        <v>231828.88999999998</v>
      </c>
      <c r="O1212">
        <v>96.19</v>
      </c>
    </row>
    <row r="1213" spans="1:15" x14ac:dyDescent="0.35">
      <c r="A1213" t="s">
        <v>1560</v>
      </c>
      <c r="B1213" t="s">
        <v>156</v>
      </c>
      <c r="C1213" t="s">
        <v>1477</v>
      </c>
      <c r="D1213" t="s">
        <v>323</v>
      </c>
      <c r="E1213" t="s">
        <v>296</v>
      </c>
      <c r="F1213" t="s">
        <v>1580</v>
      </c>
      <c r="G1213">
        <v>805</v>
      </c>
      <c r="H1213">
        <v>92288.680000000008</v>
      </c>
      <c r="I1213">
        <v>114.64</v>
      </c>
      <c r="J1213">
        <v>1211</v>
      </c>
      <c r="K1213">
        <v>128378.11</v>
      </c>
      <c r="L1213">
        <v>106.01</v>
      </c>
      <c r="M1213">
        <v>2016</v>
      </c>
      <c r="N1213">
        <v>220666.79</v>
      </c>
      <c r="O1213">
        <v>109.46</v>
      </c>
    </row>
    <row r="1214" spans="1:15" x14ac:dyDescent="0.35">
      <c r="A1214" t="s">
        <v>1560</v>
      </c>
      <c r="B1214" t="s">
        <v>156</v>
      </c>
      <c r="C1214" t="s">
        <v>1477</v>
      </c>
      <c r="D1214" t="s">
        <v>323</v>
      </c>
      <c r="E1214" t="s">
        <v>298</v>
      </c>
      <c r="F1214" t="s">
        <v>1581</v>
      </c>
      <c r="G1214">
        <v>753</v>
      </c>
      <c r="H1214">
        <v>102506.34</v>
      </c>
      <c r="I1214">
        <v>136.13</v>
      </c>
      <c r="J1214">
        <v>1488</v>
      </c>
      <c r="K1214">
        <v>188053.44</v>
      </c>
      <c r="L1214">
        <v>126.38</v>
      </c>
      <c r="M1214">
        <v>2241</v>
      </c>
      <c r="N1214">
        <v>290559.78000000003</v>
      </c>
      <c r="O1214">
        <v>129.66</v>
      </c>
    </row>
    <row r="1215" spans="1:15" x14ac:dyDescent="0.35">
      <c r="A1215" t="s">
        <v>1560</v>
      </c>
      <c r="B1215" t="s">
        <v>156</v>
      </c>
      <c r="C1215" t="s">
        <v>1477</v>
      </c>
      <c r="D1215" t="s">
        <v>323</v>
      </c>
      <c r="E1215" t="s">
        <v>300</v>
      </c>
      <c r="F1215" t="s">
        <v>1582</v>
      </c>
      <c r="G1215">
        <v>172</v>
      </c>
      <c r="H1215">
        <v>25686.699999999997</v>
      </c>
      <c r="I1215">
        <v>149.34</v>
      </c>
      <c r="J1215">
        <v>92</v>
      </c>
      <c r="K1215">
        <v>12621.48</v>
      </c>
      <c r="L1215">
        <v>137.19</v>
      </c>
      <c r="M1215">
        <v>264</v>
      </c>
      <c r="N1215">
        <v>38308.179999999993</v>
      </c>
      <c r="O1215">
        <v>145.11000000000001</v>
      </c>
    </row>
    <row r="1216" spans="1:15" x14ac:dyDescent="0.35">
      <c r="A1216" t="s">
        <v>1560</v>
      </c>
      <c r="B1216" t="s">
        <v>156</v>
      </c>
      <c r="C1216" t="s">
        <v>1477</v>
      </c>
      <c r="D1216" t="s">
        <v>323</v>
      </c>
      <c r="E1216" t="s">
        <v>302</v>
      </c>
      <c r="F1216" t="s">
        <v>1583</v>
      </c>
      <c r="G1216">
        <v>7</v>
      </c>
      <c r="H1216">
        <v>1220.5999999999999</v>
      </c>
      <c r="I1216">
        <v>174.37</v>
      </c>
      <c r="J1216">
        <v>2</v>
      </c>
      <c r="K1216">
        <v>267.02</v>
      </c>
      <c r="L1216">
        <v>133.51</v>
      </c>
      <c r="M1216">
        <v>9</v>
      </c>
      <c r="N1216">
        <v>1487.62</v>
      </c>
      <c r="O1216">
        <v>165.29</v>
      </c>
    </row>
    <row r="1217" spans="1:15" x14ac:dyDescent="0.35">
      <c r="A1217" t="s">
        <v>1560</v>
      </c>
      <c r="B1217" t="s">
        <v>156</v>
      </c>
      <c r="C1217" t="s">
        <v>1477</v>
      </c>
      <c r="D1217" t="s">
        <v>323</v>
      </c>
      <c r="E1217" t="s">
        <v>304</v>
      </c>
      <c r="F1217" t="s">
        <v>1584</v>
      </c>
      <c r="G1217">
        <v>0</v>
      </c>
      <c r="H1217">
        <v>0</v>
      </c>
      <c r="I1217">
        <v>0</v>
      </c>
      <c r="J1217">
        <v>0</v>
      </c>
      <c r="K1217">
        <v>0</v>
      </c>
      <c r="L1217">
        <v>0</v>
      </c>
      <c r="M1217">
        <v>0</v>
      </c>
      <c r="N1217">
        <v>0</v>
      </c>
      <c r="O1217">
        <v>0</v>
      </c>
    </row>
    <row r="1218" spans="1:15" x14ac:dyDescent="0.35">
      <c r="A1218" t="s">
        <v>1560</v>
      </c>
      <c r="B1218" t="s">
        <v>156</v>
      </c>
      <c r="C1218" t="s">
        <v>1477</v>
      </c>
      <c r="D1218" t="s">
        <v>323</v>
      </c>
      <c r="E1218" t="s">
        <v>306</v>
      </c>
      <c r="F1218" t="s">
        <v>1585</v>
      </c>
      <c r="G1218">
        <v>86</v>
      </c>
      <c r="H1218">
        <v>6996.88</v>
      </c>
      <c r="I1218">
        <v>81.36</v>
      </c>
      <c r="J1218">
        <v>189</v>
      </c>
      <c r="K1218">
        <v>15654.869999999999</v>
      </c>
      <c r="L1218">
        <v>82.83</v>
      </c>
      <c r="M1218">
        <v>275</v>
      </c>
      <c r="N1218">
        <v>22651.75</v>
      </c>
      <c r="O1218">
        <v>82.37</v>
      </c>
    </row>
    <row r="1219" spans="1:15" x14ac:dyDescent="0.35">
      <c r="A1219" t="s">
        <v>1560</v>
      </c>
      <c r="B1219" t="s">
        <v>156</v>
      </c>
      <c r="C1219" t="s">
        <v>1477</v>
      </c>
      <c r="D1219" t="s">
        <v>323</v>
      </c>
      <c r="E1219" t="s">
        <v>308</v>
      </c>
      <c r="F1219" t="s">
        <v>1586</v>
      </c>
      <c r="G1219">
        <v>0</v>
      </c>
      <c r="H1219">
        <v>0</v>
      </c>
      <c r="I1219">
        <v>0</v>
      </c>
      <c r="J1219">
        <v>0</v>
      </c>
      <c r="K1219">
        <v>0</v>
      </c>
      <c r="L1219">
        <v>0</v>
      </c>
      <c r="M1219">
        <v>0</v>
      </c>
      <c r="N1219">
        <v>0</v>
      </c>
      <c r="O1219">
        <v>0</v>
      </c>
    </row>
    <row r="1220" spans="1:15" x14ac:dyDescent="0.35">
      <c r="A1220" t="s">
        <v>1560</v>
      </c>
      <c r="B1220" t="s">
        <v>156</v>
      </c>
      <c r="C1220" t="s">
        <v>1477</v>
      </c>
      <c r="D1220" t="s">
        <v>323</v>
      </c>
      <c r="E1220" t="s">
        <v>310</v>
      </c>
      <c r="F1220" t="s">
        <v>1587</v>
      </c>
      <c r="G1220">
        <v>2446</v>
      </c>
      <c r="H1220">
        <v>291370.67</v>
      </c>
      <c r="I1220">
        <v>119.12</v>
      </c>
      <c r="J1220">
        <v>4769</v>
      </c>
      <c r="K1220">
        <v>514132.33999999997</v>
      </c>
      <c r="L1220">
        <v>107.81</v>
      </c>
      <c r="M1220">
        <v>7215</v>
      </c>
      <c r="N1220">
        <v>805503.01</v>
      </c>
      <c r="O1220">
        <v>111.64</v>
      </c>
    </row>
    <row r="1221" spans="1:15" x14ac:dyDescent="0.35">
      <c r="A1221" t="s">
        <v>1560</v>
      </c>
      <c r="B1221" t="s">
        <v>156</v>
      </c>
      <c r="C1221" t="s">
        <v>1477</v>
      </c>
      <c r="D1221" t="s">
        <v>323</v>
      </c>
      <c r="E1221" t="s">
        <v>312</v>
      </c>
      <c r="F1221" t="s">
        <v>1588</v>
      </c>
      <c r="G1221">
        <v>2446</v>
      </c>
      <c r="H1221">
        <v>291370.67</v>
      </c>
      <c r="I1221">
        <v>119.12</v>
      </c>
      <c r="J1221">
        <v>4769</v>
      </c>
      <c r="K1221">
        <v>514132.33999999997</v>
      </c>
      <c r="L1221">
        <v>107.81</v>
      </c>
      <c r="M1221">
        <v>7215</v>
      </c>
      <c r="N1221">
        <v>805503.01</v>
      </c>
      <c r="O1221">
        <v>111.64</v>
      </c>
    </row>
    <row r="1222" spans="1:15" x14ac:dyDescent="0.35">
      <c r="A1222" t="s">
        <v>1560</v>
      </c>
      <c r="B1222" t="s">
        <v>156</v>
      </c>
      <c r="C1222" t="s">
        <v>1477</v>
      </c>
      <c r="D1222" t="s">
        <v>334</v>
      </c>
      <c r="E1222" t="s">
        <v>312</v>
      </c>
      <c r="F1222" t="s">
        <v>1589</v>
      </c>
      <c r="G1222">
        <v>2860</v>
      </c>
      <c r="H1222">
        <v>359721.06</v>
      </c>
      <c r="I1222">
        <v>127.61</v>
      </c>
      <c r="J1222">
        <v>4947</v>
      </c>
      <c r="K1222">
        <v>550730.03</v>
      </c>
      <c r="L1222">
        <v>111.33</v>
      </c>
      <c r="M1222">
        <v>7807</v>
      </c>
      <c r="N1222">
        <v>910451.09000000008</v>
      </c>
      <c r="O1222">
        <v>117.24</v>
      </c>
    </row>
    <row r="1223" spans="1:15" x14ac:dyDescent="0.35">
      <c r="A1223" t="s">
        <v>1560</v>
      </c>
      <c r="B1223" t="s">
        <v>156</v>
      </c>
      <c r="C1223" t="s">
        <v>1477</v>
      </c>
      <c r="D1223" t="s">
        <v>334</v>
      </c>
      <c r="E1223" t="s">
        <v>308</v>
      </c>
      <c r="F1223" t="s">
        <v>1590</v>
      </c>
      <c r="G1223">
        <v>0</v>
      </c>
      <c r="H1223">
        <v>0</v>
      </c>
      <c r="I1223">
        <v>0</v>
      </c>
      <c r="J1223">
        <v>0</v>
      </c>
      <c r="K1223">
        <v>0</v>
      </c>
      <c r="L1223">
        <v>0</v>
      </c>
      <c r="M1223">
        <v>0</v>
      </c>
      <c r="N1223">
        <v>0</v>
      </c>
      <c r="O1223">
        <v>0</v>
      </c>
    </row>
    <row r="1224" spans="1:15" x14ac:dyDescent="0.35">
      <c r="A1224" t="s">
        <v>1560</v>
      </c>
      <c r="B1224" t="s">
        <v>156</v>
      </c>
      <c r="C1224" t="s">
        <v>1477</v>
      </c>
      <c r="D1224" t="s">
        <v>337</v>
      </c>
      <c r="E1224" t="s">
        <v>337</v>
      </c>
      <c r="F1224" t="s">
        <v>1591</v>
      </c>
      <c r="G1224">
        <v>459</v>
      </c>
      <c r="J1224">
        <v>11</v>
      </c>
      <c r="M1224">
        <v>470</v>
      </c>
    </row>
    <row r="1225" spans="1:15" x14ac:dyDescent="0.35">
      <c r="A1225" t="s">
        <v>1560</v>
      </c>
      <c r="B1225" t="s">
        <v>156</v>
      </c>
      <c r="C1225" t="s">
        <v>1477</v>
      </c>
      <c r="D1225" t="s">
        <v>339</v>
      </c>
      <c r="E1225" t="s">
        <v>294</v>
      </c>
      <c r="F1225" t="s">
        <v>1592</v>
      </c>
      <c r="G1225">
        <v>268</v>
      </c>
      <c r="H1225">
        <v>30718.609999999997</v>
      </c>
      <c r="I1225">
        <v>114.62</v>
      </c>
      <c r="J1225">
        <v>673</v>
      </c>
      <c r="K1225">
        <v>64910.85</v>
      </c>
      <c r="L1225">
        <v>96.45</v>
      </c>
      <c r="M1225">
        <v>941</v>
      </c>
      <c r="N1225">
        <v>95629.459999999992</v>
      </c>
      <c r="O1225">
        <v>101.63</v>
      </c>
    </row>
    <row r="1226" spans="1:15" x14ac:dyDescent="0.35">
      <c r="A1226" t="s">
        <v>1560</v>
      </c>
      <c r="B1226" t="s">
        <v>156</v>
      </c>
      <c r="C1226" t="s">
        <v>1477</v>
      </c>
      <c r="D1226" t="s">
        <v>339</v>
      </c>
      <c r="E1226" t="s">
        <v>296</v>
      </c>
      <c r="F1226" t="s">
        <v>1593</v>
      </c>
      <c r="G1226">
        <v>16</v>
      </c>
      <c r="H1226">
        <v>2052.84</v>
      </c>
      <c r="I1226">
        <v>128.30000000000001</v>
      </c>
      <c r="J1226">
        <v>1</v>
      </c>
      <c r="K1226">
        <v>123.23</v>
      </c>
      <c r="L1226">
        <v>123.23</v>
      </c>
      <c r="M1226">
        <v>17</v>
      </c>
      <c r="N1226">
        <v>2176.0700000000002</v>
      </c>
      <c r="O1226">
        <v>128</v>
      </c>
    </row>
    <row r="1227" spans="1:15" x14ac:dyDescent="0.35">
      <c r="A1227" t="s">
        <v>1560</v>
      </c>
      <c r="B1227" t="s">
        <v>156</v>
      </c>
      <c r="C1227" t="s">
        <v>1477</v>
      </c>
      <c r="D1227" t="s">
        <v>339</v>
      </c>
      <c r="E1227" t="s">
        <v>298</v>
      </c>
      <c r="F1227" t="s">
        <v>1594</v>
      </c>
      <c r="G1227">
        <v>3</v>
      </c>
      <c r="H1227">
        <v>441.24</v>
      </c>
      <c r="I1227">
        <v>147.08000000000001</v>
      </c>
      <c r="J1227">
        <v>1</v>
      </c>
      <c r="K1227">
        <v>113.49</v>
      </c>
      <c r="L1227">
        <v>113.49</v>
      </c>
      <c r="M1227">
        <v>4</v>
      </c>
      <c r="N1227">
        <v>554.73</v>
      </c>
      <c r="O1227">
        <v>138.68</v>
      </c>
    </row>
    <row r="1228" spans="1:15" x14ac:dyDescent="0.35">
      <c r="A1228" t="s">
        <v>1560</v>
      </c>
      <c r="B1228" t="s">
        <v>156</v>
      </c>
      <c r="C1228" t="s">
        <v>1477</v>
      </c>
      <c r="D1228" t="s">
        <v>339</v>
      </c>
      <c r="E1228" t="s">
        <v>300</v>
      </c>
      <c r="F1228" t="s">
        <v>1595</v>
      </c>
      <c r="G1228">
        <v>0</v>
      </c>
      <c r="H1228">
        <v>0</v>
      </c>
      <c r="I1228">
        <v>0</v>
      </c>
      <c r="J1228">
        <v>0</v>
      </c>
      <c r="K1228">
        <v>0</v>
      </c>
      <c r="L1228">
        <v>0</v>
      </c>
      <c r="M1228">
        <v>0</v>
      </c>
      <c r="N1228">
        <v>0</v>
      </c>
      <c r="O1228">
        <v>0</v>
      </c>
    </row>
    <row r="1229" spans="1:15" x14ac:dyDescent="0.35">
      <c r="A1229" t="s">
        <v>1560</v>
      </c>
      <c r="B1229" t="s">
        <v>156</v>
      </c>
      <c r="C1229" t="s">
        <v>1477</v>
      </c>
      <c r="D1229" t="s">
        <v>339</v>
      </c>
      <c r="E1229" t="s">
        <v>306</v>
      </c>
      <c r="F1229" t="s">
        <v>1596</v>
      </c>
      <c r="G1229">
        <v>81</v>
      </c>
      <c r="H1229">
        <v>8192.5400000000009</v>
      </c>
      <c r="I1229">
        <v>101.14</v>
      </c>
      <c r="J1229">
        <v>342</v>
      </c>
      <c r="K1229">
        <v>31320.36</v>
      </c>
      <c r="L1229">
        <v>91.58</v>
      </c>
      <c r="M1229">
        <v>423</v>
      </c>
      <c r="N1229">
        <v>39512.9</v>
      </c>
      <c r="O1229">
        <v>93.41</v>
      </c>
    </row>
    <row r="1230" spans="1:15" x14ac:dyDescent="0.35">
      <c r="A1230" t="s">
        <v>1560</v>
      </c>
      <c r="B1230" t="s">
        <v>156</v>
      </c>
      <c r="C1230" t="s">
        <v>1477</v>
      </c>
      <c r="D1230" t="s">
        <v>339</v>
      </c>
      <c r="E1230" t="s">
        <v>308</v>
      </c>
      <c r="F1230" t="s">
        <v>1597</v>
      </c>
      <c r="G1230">
        <v>118</v>
      </c>
      <c r="H1230">
        <v>13416.059999999998</v>
      </c>
      <c r="I1230">
        <v>113.7</v>
      </c>
      <c r="J1230">
        <v>123</v>
      </c>
      <c r="K1230">
        <v>15392.22</v>
      </c>
      <c r="L1230">
        <v>125.14</v>
      </c>
      <c r="M1230">
        <v>241</v>
      </c>
      <c r="N1230">
        <v>28808.28</v>
      </c>
      <c r="O1230">
        <v>119.54</v>
      </c>
    </row>
    <row r="1231" spans="1:15" x14ac:dyDescent="0.35">
      <c r="A1231" t="s">
        <v>1560</v>
      </c>
      <c r="B1231" t="s">
        <v>156</v>
      </c>
      <c r="C1231" t="s">
        <v>1477</v>
      </c>
      <c r="D1231" t="s">
        <v>339</v>
      </c>
      <c r="E1231" t="s">
        <v>310</v>
      </c>
      <c r="F1231" t="s">
        <v>1598</v>
      </c>
      <c r="G1231">
        <v>486</v>
      </c>
      <c r="H1231">
        <v>54821.289999999994</v>
      </c>
      <c r="I1231">
        <v>112.8</v>
      </c>
      <c r="J1231">
        <v>1140</v>
      </c>
      <c r="K1231">
        <v>111860.15</v>
      </c>
      <c r="L1231">
        <v>98.12</v>
      </c>
      <c r="M1231">
        <v>1626</v>
      </c>
      <c r="N1231">
        <v>166681.44</v>
      </c>
      <c r="O1231">
        <v>102.51</v>
      </c>
    </row>
    <row r="1232" spans="1:15" x14ac:dyDescent="0.35">
      <c r="A1232" t="s">
        <v>1560</v>
      </c>
      <c r="B1232" t="s">
        <v>156</v>
      </c>
      <c r="C1232" t="s">
        <v>1477</v>
      </c>
      <c r="D1232" t="s">
        <v>339</v>
      </c>
      <c r="E1232" t="s">
        <v>312</v>
      </c>
      <c r="F1232" t="s">
        <v>1599</v>
      </c>
      <c r="G1232">
        <v>368</v>
      </c>
      <c r="H1232">
        <v>41405.229999999996</v>
      </c>
      <c r="I1232">
        <v>112.51</v>
      </c>
      <c r="J1232">
        <v>1017</v>
      </c>
      <c r="K1232">
        <v>96467.93</v>
      </c>
      <c r="L1232">
        <v>94.86</v>
      </c>
      <c r="M1232">
        <v>1385</v>
      </c>
      <c r="N1232">
        <v>137873.15999999997</v>
      </c>
      <c r="O1232">
        <v>99.55</v>
      </c>
    </row>
    <row r="1233" spans="1:15" x14ac:dyDescent="0.35">
      <c r="A1233" t="s">
        <v>1560</v>
      </c>
      <c r="B1233" t="s">
        <v>156</v>
      </c>
      <c r="C1233" t="s">
        <v>1477</v>
      </c>
      <c r="D1233" t="s">
        <v>348</v>
      </c>
      <c r="E1233" t="s">
        <v>349</v>
      </c>
      <c r="F1233" t="s">
        <v>1600</v>
      </c>
      <c r="G1233">
        <v>962</v>
      </c>
      <c r="H1233">
        <v>86887.329999999987</v>
      </c>
      <c r="I1233">
        <v>125.92</v>
      </c>
      <c r="J1233">
        <v>1140</v>
      </c>
      <c r="K1233">
        <v>111860.15</v>
      </c>
      <c r="L1233">
        <v>98.12</v>
      </c>
      <c r="M1233">
        <v>2102</v>
      </c>
      <c r="N1233">
        <v>198747.47999999998</v>
      </c>
      <c r="O1233">
        <v>108.61</v>
      </c>
    </row>
    <row r="1234" spans="1:15" x14ac:dyDescent="0.35">
      <c r="A1234" t="s">
        <v>1601</v>
      </c>
      <c r="B1234" t="s">
        <v>184</v>
      </c>
      <c r="C1234" t="s">
        <v>1477</v>
      </c>
      <c r="D1234" t="s">
        <v>293</v>
      </c>
      <c r="E1234" t="s">
        <v>294</v>
      </c>
      <c r="F1234" t="s">
        <v>1602</v>
      </c>
      <c r="G1234">
        <v>104</v>
      </c>
      <c r="H1234">
        <v>17172.690000000002</v>
      </c>
      <c r="I1234">
        <v>165.12</v>
      </c>
      <c r="J1234">
        <v>54</v>
      </c>
      <c r="K1234">
        <v>8075.16</v>
      </c>
      <c r="L1234">
        <v>149.54</v>
      </c>
      <c r="M1234">
        <v>158</v>
      </c>
      <c r="N1234">
        <v>25247.850000000002</v>
      </c>
      <c r="O1234">
        <v>159.80000000000001</v>
      </c>
    </row>
    <row r="1235" spans="1:15" x14ac:dyDescent="0.35">
      <c r="A1235" t="s">
        <v>1601</v>
      </c>
      <c r="B1235" t="s">
        <v>184</v>
      </c>
      <c r="C1235" t="s">
        <v>1477</v>
      </c>
      <c r="D1235" t="s">
        <v>293</v>
      </c>
      <c r="E1235" t="s">
        <v>296</v>
      </c>
      <c r="F1235" t="s">
        <v>1603</v>
      </c>
      <c r="G1235">
        <v>365</v>
      </c>
      <c r="H1235">
        <v>71256.95</v>
      </c>
      <c r="I1235">
        <v>195.22</v>
      </c>
      <c r="J1235">
        <v>97</v>
      </c>
      <c r="K1235">
        <v>17230.11</v>
      </c>
      <c r="L1235">
        <v>177.63</v>
      </c>
      <c r="M1235">
        <v>462</v>
      </c>
      <c r="N1235">
        <v>88487.06</v>
      </c>
      <c r="O1235">
        <v>191.53</v>
      </c>
    </row>
    <row r="1236" spans="1:15" x14ac:dyDescent="0.35">
      <c r="A1236" t="s">
        <v>1601</v>
      </c>
      <c r="B1236" t="s">
        <v>184</v>
      </c>
      <c r="C1236" t="s">
        <v>1477</v>
      </c>
      <c r="D1236" t="s">
        <v>293</v>
      </c>
      <c r="E1236" t="s">
        <v>298</v>
      </c>
      <c r="F1236" t="s">
        <v>1604</v>
      </c>
      <c r="G1236">
        <v>143</v>
      </c>
      <c r="H1236">
        <v>32176.079999999994</v>
      </c>
      <c r="I1236">
        <v>225.01</v>
      </c>
      <c r="J1236">
        <v>40</v>
      </c>
      <c r="K1236">
        <v>8983.6</v>
      </c>
      <c r="L1236">
        <v>224.59</v>
      </c>
      <c r="M1236">
        <v>183</v>
      </c>
      <c r="N1236">
        <v>41159.679999999993</v>
      </c>
      <c r="O1236">
        <v>224.92</v>
      </c>
    </row>
    <row r="1237" spans="1:15" x14ac:dyDescent="0.35">
      <c r="A1237" t="s">
        <v>1601</v>
      </c>
      <c r="B1237" t="s">
        <v>184</v>
      </c>
      <c r="C1237" t="s">
        <v>1477</v>
      </c>
      <c r="D1237" t="s">
        <v>293</v>
      </c>
      <c r="E1237" t="s">
        <v>300</v>
      </c>
      <c r="F1237" t="s">
        <v>1605</v>
      </c>
      <c r="G1237">
        <v>31</v>
      </c>
      <c r="H1237">
        <v>7857.1399999999994</v>
      </c>
      <c r="I1237">
        <v>253.46</v>
      </c>
      <c r="J1237">
        <v>2</v>
      </c>
      <c r="K1237">
        <v>550.12</v>
      </c>
      <c r="L1237">
        <v>275.06</v>
      </c>
      <c r="M1237">
        <v>33</v>
      </c>
      <c r="N1237">
        <v>8407.26</v>
      </c>
      <c r="O1237">
        <v>254.77</v>
      </c>
    </row>
    <row r="1238" spans="1:15" x14ac:dyDescent="0.35">
      <c r="A1238" t="s">
        <v>1601</v>
      </c>
      <c r="B1238" t="s">
        <v>184</v>
      </c>
      <c r="C1238" t="s">
        <v>1477</v>
      </c>
      <c r="D1238" t="s">
        <v>293</v>
      </c>
      <c r="E1238" t="s">
        <v>302</v>
      </c>
      <c r="F1238" t="s">
        <v>1606</v>
      </c>
      <c r="G1238">
        <v>0</v>
      </c>
      <c r="H1238">
        <v>0</v>
      </c>
      <c r="I1238">
        <v>0</v>
      </c>
      <c r="J1238">
        <v>1</v>
      </c>
      <c r="K1238">
        <v>280.58999999999997</v>
      </c>
      <c r="L1238">
        <v>280.58999999999997</v>
      </c>
      <c r="M1238">
        <v>1</v>
      </c>
      <c r="N1238">
        <v>280.58999999999997</v>
      </c>
      <c r="O1238">
        <v>280.58999999999997</v>
      </c>
    </row>
    <row r="1239" spans="1:15" x14ac:dyDescent="0.35">
      <c r="A1239" t="s">
        <v>1601</v>
      </c>
      <c r="B1239" t="s">
        <v>184</v>
      </c>
      <c r="C1239" t="s">
        <v>1477</v>
      </c>
      <c r="D1239" t="s">
        <v>293</v>
      </c>
      <c r="E1239" t="s">
        <v>304</v>
      </c>
      <c r="F1239" t="s">
        <v>1607</v>
      </c>
      <c r="G1239">
        <v>0</v>
      </c>
      <c r="H1239">
        <v>0</v>
      </c>
      <c r="I1239">
        <v>0</v>
      </c>
      <c r="J1239">
        <v>0</v>
      </c>
      <c r="K1239">
        <v>0</v>
      </c>
      <c r="L1239">
        <v>0</v>
      </c>
      <c r="M1239">
        <v>0</v>
      </c>
      <c r="N1239">
        <v>0</v>
      </c>
      <c r="O1239">
        <v>0</v>
      </c>
    </row>
    <row r="1240" spans="1:15" x14ac:dyDescent="0.35">
      <c r="A1240" t="s">
        <v>1601</v>
      </c>
      <c r="B1240" t="s">
        <v>184</v>
      </c>
      <c r="C1240" t="s">
        <v>1477</v>
      </c>
      <c r="D1240" t="s">
        <v>293</v>
      </c>
      <c r="E1240" t="s">
        <v>306</v>
      </c>
      <c r="F1240" t="s">
        <v>1608</v>
      </c>
      <c r="G1240">
        <v>1</v>
      </c>
      <c r="H1240">
        <v>163.72</v>
      </c>
      <c r="I1240">
        <v>163.72</v>
      </c>
      <c r="J1240">
        <v>1</v>
      </c>
      <c r="K1240">
        <v>149.37</v>
      </c>
      <c r="L1240">
        <v>149.37</v>
      </c>
      <c r="M1240">
        <v>2</v>
      </c>
      <c r="N1240">
        <v>313.09000000000003</v>
      </c>
      <c r="O1240">
        <v>156.55000000000001</v>
      </c>
    </row>
    <row r="1241" spans="1:15" x14ac:dyDescent="0.35">
      <c r="A1241" t="s">
        <v>1601</v>
      </c>
      <c r="B1241" t="s">
        <v>184</v>
      </c>
      <c r="C1241" t="s">
        <v>1477</v>
      </c>
      <c r="D1241" t="s">
        <v>293</v>
      </c>
      <c r="E1241" t="s">
        <v>308</v>
      </c>
      <c r="F1241" t="s">
        <v>1609</v>
      </c>
      <c r="G1241">
        <v>0</v>
      </c>
      <c r="H1241">
        <v>0</v>
      </c>
      <c r="I1241">
        <v>0</v>
      </c>
      <c r="J1241">
        <v>0</v>
      </c>
      <c r="K1241">
        <v>0</v>
      </c>
      <c r="L1241">
        <v>0</v>
      </c>
      <c r="M1241">
        <v>0</v>
      </c>
      <c r="N1241">
        <v>0</v>
      </c>
      <c r="O1241">
        <v>0</v>
      </c>
    </row>
    <row r="1242" spans="1:15" x14ac:dyDescent="0.35">
      <c r="A1242" t="s">
        <v>1601</v>
      </c>
      <c r="B1242" t="s">
        <v>184</v>
      </c>
      <c r="C1242" t="s">
        <v>1477</v>
      </c>
      <c r="D1242" t="s">
        <v>293</v>
      </c>
      <c r="E1242" t="s">
        <v>310</v>
      </c>
      <c r="F1242" t="s">
        <v>1610</v>
      </c>
      <c r="G1242">
        <v>644</v>
      </c>
      <c r="H1242">
        <v>128626.58</v>
      </c>
      <c r="I1242">
        <v>199.73</v>
      </c>
      <c r="J1242">
        <v>195</v>
      </c>
      <c r="K1242">
        <v>35268.950000000004</v>
      </c>
      <c r="L1242">
        <v>180.87</v>
      </c>
      <c r="M1242">
        <v>839</v>
      </c>
      <c r="N1242">
        <v>163895.53</v>
      </c>
      <c r="O1242">
        <v>195.35</v>
      </c>
    </row>
    <row r="1243" spans="1:15" x14ac:dyDescent="0.35">
      <c r="A1243" t="s">
        <v>1601</v>
      </c>
      <c r="B1243" t="s">
        <v>184</v>
      </c>
      <c r="C1243" t="s">
        <v>1477</v>
      </c>
      <c r="D1243" t="s">
        <v>293</v>
      </c>
      <c r="E1243" t="s">
        <v>312</v>
      </c>
      <c r="F1243" t="s">
        <v>1611</v>
      </c>
      <c r="G1243">
        <v>644</v>
      </c>
      <c r="H1243">
        <v>128626.58</v>
      </c>
      <c r="I1243">
        <v>199.73</v>
      </c>
      <c r="J1243">
        <v>195</v>
      </c>
      <c r="K1243">
        <v>35268.950000000004</v>
      </c>
      <c r="L1243">
        <v>180.87</v>
      </c>
      <c r="M1243">
        <v>839</v>
      </c>
      <c r="N1243">
        <v>163895.53</v>
      </c>
      <c r="O1243">
        <v>195.35</v>
      </c>
    </row>
    <row r="1244" spans="1:15" x14ac:dyDescent="0.35">
      <c r="A1244" t="s">
        <v>1601</v>
      </c>
      <c r="B1244" t="s">
        <v>184</v>
      </c>
      <c r="C1244" t="s">
        <v>1477</v>
      </c>
      <c r="D1244" t="s">
        <v>314</v>
      </c>
      <c r="E1244" t="s">
        <v>294</v>
      </c>
      <c r="F1244" t="s">
        <v>1612</v>
      </c>
      <c r="G1244">
        <v>2</v>
      </c>
      <c r="H1244">
        <v>361.74</v>
      </c>
      <c r="I1244">
        <v>180.87</v>
      </c>
      <c r="J1244">
        <v>32</v>
      </c>
      <c r="K1244">
        <v>4554.88</v>
      </c>
      <c r="L1244">
        <v>142.34</v>
      </c>
      <c r="M1244">
        <v>34</v>
      </c>
      <c r="N1244">
        <v>4916.62</v>
      </c>
      <c r="O1244">
        <v>144.61000000000001</v>
      </c>
    </row>
    <row r="1245" spans="1:15" x14ac:dyDescent="0.35">
      <c r="A1245" t="s">
        <v>1601</v>
      </c>
      <c r="B1245" t="s">
        <v>184</v>
      </c>
      <c r="C1245" t="s">
        <v>1477</v>
      </c>
      <c r="D1245" t="s">
        <v>314</v>
      </c>
      <c r="E1245" t="s">
        <v>296</v>
      </c>
      <c r="F1245" t="s">
        <v>1613</v>
      </c>
      <c r="G1245">
        <v>2</v>
      </c>
      <c r="H1245">
        <v>415.5</v>
      </c>
      <c r="I1245">
        <v>207.75</v>
      </c>
      <c r="J1245">
        <v>4</v>
      </c>
      <c r="K1245">
        <v>762.68</v>
      </c>
      <c r="L1245">
        <v>190.67</v>
      </c>
      <c r="M1245">
        <v>6</v>
      </c>
      <c r="N1245">
        <v>1178.1799999999998</v>
      </c>
      <c r="O1245">
        <v>196.36</v>
      </c>
    </row>
    <row r="1246" spans="1:15" x14ac:dyDescent="0.35">
      <c r="A1246" t="s">
        <v>1601</v>
      </c>
      <c r="B1246" t="s">
        <v>184</v>
      </c>
      <c r="C1246" t="s">
        <v>1477</v>
      </c>
      <c r="D1246" t="s">
        <v>314</v>
      </c>
      <c r="E1246" t="s">
        <v>298</v>
      </c>
      <c r="F1246" t="s">
        <v>1614</v>
      </c>
      <c r="G1246">
        <v>0</v>
      </c>
      <c r="H1246">
        <v>0</v>
      </c>
      <c r="I1246">
        <v>0</v>
      </c>
      <c r="J1246">
        <v>0</v>
      </c>
      <c r="K1246">
        <v>0</v>
      </c>
      <c r="L1246">
        <v>0</v>
      </c>
      <c r="M1246">
        <v>0</v>
      </c>
      <c r="N1246">
        <v>0</v>
      </c>
      <c r="O1246">
        <v>0</v>
      </c>
    </row>
    <row r="1247" spans="1:15" x14ac:dyDescent="0.35">
      <c r="A1247" t="s">
        <v>1601</v>
      </c>
      <c r="B1247" t="s">
        <v>184</v>
      </c>
      <c r="C1247" t="s">
        <v>1477</v>
      </c>
      <c r="D1247" t="s">
        <v>314</v>
      </c>
      <c r="E1247" t="s">
        <v>300</v>
      </c>
      <c r="F1247" t="s">
        <v>1615</v>
      </c>
      <c r="G1247">
        <v>0</v>
      </c>
      <c r="H1247">
        <v>0</v>
      </c>
      <c r="I1247">
        <v>0</v>
      </c>
      <c r="J1247">
        <v>0</v>
      </c>
      <c r="K1247">
        <v>0</v>
      </c>
      <c r="L1247">
        <v>0</v>
      </c>
      <c r="M1247">
        <v>0</v>
      </c>
      <c r="N1247">
        <v>0</v>
      </c>
      <c r="O1247">
        <v>0</v>
      </c>
    </row>
    <row r="1248" spans="1:15" x14ac:dyDescent="0.35">
      <c r="A1248" t="s">
        <v>1601</v>
      </c>
      <c r="B1248" t="s">
        <v>184</v>
      </c>
      <c r="C1248" t="s">
        <v>1477</v>
      </c>
      <c r="D1248" t="s">
        <v>314</v>
      </c>
      <c r="E1248" t="s">
        <v>306</v>
      </c>
      <c r="F1248" t="s">
        <v>1616</v>
      </c>
      <c r="G1248">
        <v>0</v>
      </c>
      <c r="H1248">
        <v>0</v>
      </c>
      <c r="I1248">
        <v>0</v>
      </c>
      <c r="J1248">
        <v>0</v>
      </c>
      <c r="K1248">
        <v>0</v>
      </c>
      <c r="L1248">
        <v>0</v>
      </c>
      <c r="M1248">
        <v>0</v>
      </c>
      <c r="N1248">
        <v>0</v>
      </c>
      <c r="O1248">
        <v>0</v>
      </c>
    </row>
    <row r="1249" spans="1:15" x14ac:dyDescent="0.35">
      <c r="A1249" t="s">
        <v>1601</v>
      </c>
      <c r="B1249" t="s">
        <v>184</v>
      </c>
      <c r="C1249" t="s">
        <v>1477</v>
      </c>
      <c r="D1249" t="s">
        <v>314</v>
      </c>
      <c r="E1249" t="s">
        <v>308</v>
      </c>
      <c r="F1249" t="s">
        <v>1617</v>
      </c>
      <c r="G1249">
        <v>0</v>
      </c>
      <c r="H1249">
        <v>0</v>
      </c>
      <c r="I1249">
        <v>0</v>
      </c>
      <c r="J1249">
        <v>0</v>
      </c>
      <c r="K1249">
        <v>0</v>
      </c>
      <c r="L1249">
        <v>0</v>
      </c>
      <c r="M1249">
        <v>0</v>
      </c>
      <c r="N1249">
        <v>0</v>
      </c>
      <c r="O1249">
        <v>0</v>
      </c>
    </row>
    <row r="1250" spans="1:15" x14ac:dyDescent="0.35">
      <c r="A1250" t="s">
        <v>1601</v>
      </c>
      <c r="B1250" t="s">
        <v>184</v>
      </c>
      <c r="C1250" t="s">
        <v>1477</v>
      </c>
      <c r="D1250" t="s">
        <v>314</v>
      </c>
      <c r="E1250" t="s">
        <v>312</v>
      </c>
      <c r="F1250" t="s">
        <v>1618</v>
      </c>
      <c r="G1250">
        <v>4</v>
      </c>
      <c r="H1250">
        <v>777.24</v>
      </c>
      <c r="I1250">
        <v>194.31</v>
      </c>
      <c r="J1250">
        <v>36</v>
      </c>
      <c r="K1250">
        <v>5317.56</v>
      </c>
      <c r="L1250">
        <v>147.71</v>
      </c>
      <c r="M1250">
        <v>40</v>
      </c>
      <c r="N1250">
        <v>6094.8</v>
      </c>
      <c r="O1250">
        <v>152.37</v>
      </c>
    </row>
    <row r="1251" spans="1:15" x14ac:dyDescent="0.35">
      <c r="A1251" t="s">
        <v>1601</v>
      </c>
      <c r="B1251" t="s">
        <v>184</v>
      </c>
      <c r="C1251" t="s">
        <v>1477</v>
      </c>
      <c r="D1251" t="s">
        <v>314</v>
      </c>
      <c r="E1251" t="s">
        <v>310</v>
      </c>
      <c r="F1251" t="s">
        <v>1619</v>
      </c>
      <c r="G1251">
        <v>4</v>
      </c>
      <c r="H1251">
        <v>777.24</v>
      </c>
      <c r="I1251">
        <v>194.31</v>
      </c>
      <c r="J1251">
        <v>36</v>
      </c>
      <c r="K1251">
        <v>5317.56</v>
      </c>
      <c r="L1251">
        <v>147.71</v>
      </c>
      <c r="M1251">
        <v>40</v>
      </c>
      <c r="N1251">
        <v>6094.8</v>
      </c>
      <c r="O1251">
        <v>152.37</v>
      </c>
    </row>
    <row r="1252" spans="1:15" x14ac:dyDescent="0.35">
      <c r="A1252" t="s">
        <v>1601</v>
      </c>
      <c r="B1252" t="s">
        <v>184</v>
      </c>
      <c r="C1252" t="s">
        <v>1477</v>
      </c>
      <c r="D1252" t="s">
        <v>323</v>
      </c>
      <c r="E1252" t="s">
        <v>294</v>
      </c>
      <c r="F1252" t="s">
        <v>1620</v>
      </c>
      <c r="G1252">
        <v>278</v>
      </c>
      <c r="H1252">
        <v>30881.99</v>
      </c>
      <c r="I1252">
        <v>111.09</v>
      </c>
      <c r="J1252">
        <v>1647</v>
      </c>
      <c r="K1252">
        <v>141889.05000000002</v>
      </c>
      <c r="L1252">
        <v>86.15</v>
      </c>
      <c r="M1252">
        <v>1925</v>
      </c>
      <c r="N1252">
        <v>172771.04</v>
      </c>
      <c r="O1252">
        <v>89.75</v>
      </c>
    </row>
    <row r="1253" spans="1:15" x14ac:dyDescent="0.35">
      <c r="A1253" t="s">
        <v>1601</v>
      </c>
      <c r="B1253" t="s">
        <v>184</v>
      </c>
      <c r="C1253" t="s">
        <v>1477</v>
      </c>
      <c r="D1253" t="s">
        <v>323</v>
      </c>
      <c r="E1253" t="s">
        <v>296</v>
      </c>
      <c r="F1253" t="s">
        <v>1621</v>
      </c>
      <c r="G1253">
        <v>500</v>
      </c>
      <c r="H1253">
        <v>62031.979999999996</v>
      </c>
      <c r="I1253">
        <v>124.06</v>
      </c>
      <c r="J1253">
        <v>2192</v>
      </c>
      <c r="K1253">
        <v>207889.28</v>
      </c>
      <c r="L1253">
        <v>94.84</v>
      </c>
      <c r="M1253">
        <v>2692</v>
      </c>
      <c r="N1253">
        <v>269921.26</v>
      </c>
      <c r="O1253">
        <v>100.27</v>
      </c>
    </row>
    <row r="1254" spans="1:15" x14ac:dyDescent="0.35">
      <c r="A1254" t="s">
        <v>1601</v>
      </c>
      <c r="B1254" t="s">
        <v>184</v>
      </c>
      <c r="C1254" t="s">
        <v>1477</v>
      </c>
      <c r="D1254" t="s">
        <v>323</v>
      </c>
      <c r="E1254" t="s">
        <v>298</v>
      </c>
      <c r="F1254" t="s">
        <v>1622</v>
      </c>
      <c r="G1254">
        <v>363</v>
      </c>
      <c r="H1254">
        <v>50399.880000000005</v>
      </c>
      <c r="I1254">
        <v>138.84</v>
      </c>
      <c r="J1254">
        <v>3997</v>
      </c>
      <c r="K1254">
        <v>476842.1</v>
      </c>
      <c r="L1254">
        <v>119.3</v>
      </c>
      <c r="M1254">
        <v>4360</v>
      </c>
      <c r="N1254">
        <v>527241.98</v>
      </c>
      <c r="O1254">
        <v>120.93</v>
      </c>
    </row>
    <row r="1255" spans="1:15" x14ac:dyDescent="0.35">
      <c r="A1255" t="s">
        <v>1601</v>
      </c>
      <c r="B1255" t="s">
        <v>184</v>
      </c>
      <c r="C1255" t="s">
        <v>1477</v>
      </c>
      <c r="D1255" t="s">
        <v>323</v>
      </c>
      <c r="E1255" t="s">
        <v>300</v>
      </c>
      <c r="F1255" t="s">
        <v>1623</v>
      </c>
      <c r="G1255">
        <v>46</v>
      </c>
      <c r="H1255">
        <v>7465.4100000000008</v>
      </c>
      <c r="I1255">
        <v>162.29</v>
      </c>
      <c r="J1255">
        <v>278</v>
      </c>
      <c r="K1255">
        <v>37354.86</v>
      </c>
      <c r="L1255">
        <v>134.37</v>
      </c>
      <c r="M1255">
        <v>324</v>
      </c>
      <c r="N1255">
        <v>44820.270000000004</v>
      </c>
      <c r="O1255">
        <v>138.33000000000001</v>
      </c>
    </row>
    <row r="1256" spans="1:15" x14ac:dyDescent="0.35">
      <c r="A1256" t="s">
        <v>1601</v>
      </c>
      <c r="B1256" t="s">
        <v>184</v>
      </c>
      <c r="C1256" t="s">
        <v>1477</v>
      </c>
      <c r="D1256" t="s">
        <v>323</v>
      </c>
      <c r="E1256" t="s">
        <v>302</v>
      </c>
      <c r="F1256" t="s">
        <v>1624</v>
      </c>
      <c r="G1256">
        <v>2</v>
      </c>
      <c r="H1256">
        <v>347.44</v>
      </c>
      <c r="I1256">
        <v>173.72</v>
      </c>
      <c r="J1256">
        <v>16</v>
      </c>
      <c r="K1256">
        <v>2309.44</v>
      </c>
      <c r="L1256">
        <v>144.34</v>
      </c>
      <c r="M1256">
        <v>18</v>
      </c>
      <c r="N1256">
        <v>2656.88</v>
      </c>
      <c r="O1256">
        <v>147.6</v>
      </c>
    </row>
    <row r="1257" spans="1:15" x14ac:dyDescent="0.35">
      <c r="A1257" t="s">
        <v>1601</v>
      </c>
      <c r="B1257" t="s">
        <v>184</v>
      </c>
      <c r="C1257" t="s">
        <v>1477</v>
      </c>
      <c r="D1257" t="s">
        <v>323</v>
      </c>
      <c r="E1257" t="s">
        <v>304</v>
      </c>
      <c r="F1257" t="s">
        <v>1625</v>
      </c>
      <c r="G1257">
        <v>0</v>
      </c>
      <c r="H1257">
        <v>0</v>
      </c>
      <c r="I1257">
        <v>0</v>
      </c>
      <c r="J1257">
        <v>3</v>
      </c>
      <c r="K1257">
        <v>446.43</v>
      </c>
      <c r="L1257">
        <v>148.81</v>
      </c>
      <c r="M1257">
        <v>3</v>
      </c>
      <c r="N1257">
        <v>446.43</v>
      </c>
      <c r="O1257">
        <v>148.81</v>
      </c>
    </row>
    <row r="1258" spans="1:15" x14ac:dyDescent="0.35">
      <c r="A1258" t="s">
        <v>1601</v>
      </c>
      <c r="B1258" t="s">
        <v>184</v>
      </c>
      <c r="C1258" t="s">
        <v>1477</v>
      </c>
      <c r="D1258" t="s">
        <v>323</v>
      </c>
      <c r="E1258" t="s">
        <v>306</v>
      </c>
      <c r="F1258" t="s">
        <v>1626</v>
      </c>
      <c r="G1258">
        <v>2</v>
      </c>
      <c r="H1258">
        <v>203.56</v>
      </c>
      <c r="I1258">
        <v>101.78</v>
      </c>
      <c r="J1258">
        <v>247</v>
      </c>
      <c r="K1258">
        <v>17996.419999999998</v>
      </c>
      <c r="L1258">
        <v>72.86</v>
      </c>
      <c r="M1258">
        <v>249</v>
      </c>
      <c r="N1258">
        <v>18199.98</v>
      </c>
      <c r="O1258">
        <v>73.09</v>
      </c>
    </row>
    <row r="1259" spans="1:15" x14ac:dyDescent="0.35">
      <c r="A1259" t="s">
        <v>1601</v>
      </c>
      <c r="B1259" t="s">
        <v>184</v>
      </c>
      <c r="C1259" t="s">
        <v>1477</v>
      </c>
      <c r="D1259" t="s">
        <v>323</v>
      </c>
      <c r="E1259" t="s">
        <v>308</v>
      </c>
      <c r="F1259" t="s">
        <v>1627</v>
      </c>
      <c r="G1259">
        <v>0</v>
      </c>
      <c r="H1259">
        <v>0</v>
      </c>
      <c r="I1259">
        <v>0</v>
      </c>
      <c r="J1259">
        <v>0</v>
      </c>
      <c r="K1259">
        <v>0</v>
      </c>
      <c r="L1259">
        <v>0</v>
      </c>
      <c r="M1259">
        <v>0</v>
      </c>
      <c r="N1259">
        <v>0</v>
      </c>
      <c r="O1259">
        <v>0</v>
      </c>
    </row>
    <row r="1260" spans="1:15" x14ac:dyDescent="0.35">
      <c r="A1260" t="s">
        <v>1601</v>
      </c>
      <c r="B1260" t="s">
        <v>184</v>
      </c>
      <c r="C1260" t="s">
        <v>1477</v>
      </c>
      <c r="D1260" t="s">
        <v>323</v>
      </c>
      <c r="E1260" t="s">
        <v>310</v>
      </c>
      <c r="F1260" t="s">
        <v>1628</v>
      </c>
      <c r="G1260">
        <v>1191</v>
      </c>
      <c r="H1260">
        <v>151330.26</v>
      </c>
      <c r="I1260">
        <v>127.06</v>
      </c>
      <c r="J1260">
        <v>8380</v>
      </c>
      <c r="K1260">
        <v>884727.58</v>
      </c>
      <c r="L1260">
        <v>105.58</v>
      </c>
      <c r="M1260">
        <v>9571</v>
      </c>
      <c r="N1260">
        <v>1036057.84</v>
      </c>
      <c r="O1260">
        <v>108.25</v>
      </c>
    </row>
    <row r="1261" spans="1:15" x14ac:dyDescent="0.35">
      <c r="A1261" t="s">
        <v>1601</v>
      </c>
      <c r="B1261" t="s">
        <v>184</v>
      </c>
      <c r="C1261" t="s">
        <v>1477</v>
      </c>
      <c r="D1261" t="s">
        <v>323</v>
      </c>
      <c r="E1261" t="s">
        <v>312</v>
      </c>
      <c r="F1261" t="s">
        <v>1629</v>
      </c>
      <c r="G1261">
        <v>1191</v>
      </c>
      <c r="H1261">
        <v>151330.26</v>
      </c>
      <c r="I1261">
        <v>127.06</v>
      </c>
      <c r="J1261">
        <v>8380</v>
      </c>
      <c r="K1261">
        <v>884727.58</v>
      </c>
      <c r="L1261">
        <v>105.58</v>
      </c>
      <c r="M1261">
        <v>9571</v>
      </c>
      <c r="N1261">
        <v>1036057.84</v>
      </c>
      <c r="O1261">
        <v>108.25</v>
      </c>
    </row>
    <row r="1262" spans="1:15" x14ac:dyDescent="0.35">
      <c r="A1262" t="s">
        <v>1601</v>
      </c>
      <c r="B1262" t="s">
        <v>184</v>
      </c>
      <c r="C1262" t="s">
        <v>1477</v>
      </c>
      <c r="D1262" t="s">
        <v>334</v>
      </c>
      <c r="E1262" t="s">
        <v>312</v>
      </c>
      <c r="F1262" t="s">
        <v>1630</v>
      </c>
      <c r="G1262">
        <v>1983</v>
      </c>
      <c r="H1262">
        <v>279956.83999999997</v>
      </c>
      <c r="I1262">
        <v>152.57</v>
      </c>
      <c r="J1262">
        <v>8575</v>
      </c>
      <c r="K1262">
        <v>919996.53</v>
      </c>
      <c r="L1262">
        <v>107.29</v>
      </c>
      <c r="M1262">
        <v>10558</v>
      </c>
      <c r="N1262">
        <v>1199953.3700000001</v>
      </c>
      <c r="O1262">
        <v>115.27</v>
      </c>
    </row>
    <row r="1263" spans="1:15" x14ac:dyDescent="0.35">
      <c r="A1263" t="s">
        <v>1601</v>
      </c>
      <c r="B1263" t="s">
        <v>184</v>
      </c>
      <c r="C1263" t="s">
        <v>1477</v>
      </c>
      <c r="D1263" t="s">
        <v>334</v>
      </c>
      <c r="E1263" t="s">
        <v>308</v>
      </c>
      <c r="F1263" t="s">
        <v>1631</v>
      </c>
      <c r="G1263">
        <v>0</v>
      </c>
      <c r="H1263">
        <v>0</v>
      </c>
      <c r="I1263">
        <v>0</v>
      </c>
      <c r="J1263">
        <v>0</v>
      </c>
      <c r="K1263">
        <v>0</v>
      </c>
      <c r="L1263">
        <v>0</v>
      </c>
      <c r="M1263">
        <v>0</v>
      </c>
      <c r="N1263">
        <v>0</v>
      </c>
      <c r="O1263">
        <v>0</v>
      </c>
    </row>
    <row r="1264" spans="1:15" x14ac:dyDescent="0.35">
      <c r="A1264" t="s">
        <v>1601</v>
      </c>
      <c r="B1264" t="s">
        <v>184</v>
      </c>
      <c r="C1264" t="s">
        <v>1477</v>
      </c>
      <c r="D1264" t="s">
        <v>337</v>
      </c>
      <c r="E1264" t="s">
        <v>337</v>
      </c>
      <c r="F1264" t="s">
        <v>1632</v>
      </c>
      <c r="G1264">
        <v>561</v>
      </c>
      <c r="J1264">
        <v>0</v>
      </c>
      <c r="M1264">
        <v>561</v>
      </c>
    </row>
    <row r="1265" spans="1:15" x14ac:dyDescent="0.35">
      <c r="A1265" t="s">
        <v>1601</v>
      </c>
      <c r="B1265" t="s">
        <v>184</v>
      </c>
      <c r="C1265" t="s">
        <v>1477</v>
      </c>
      <c r="D1265" t="s">
        <v>339</v>
      </c>
      <c r="E1265" t="s">
        <v>294</v>
      </c>
      <c r="F1265" t="s">
        <v>1633</v>
      </c>
      <c r="G1265">
        <v>77</v>
      </c>
      <c r="H1265">
        <v>10532.529999999999</v>
      </c>
      <c r="I1265">
        <v>136.79</v>
      </c>
      <c r="J1265">
        <v>1164</v>
      </c>
      <c r="K1265">
        <v>101745.23999999999</v>
      </c>
      <c r="L1265">
        <v>87.41</v>
      </c>
      <c r="M1265">
        <v>1241</v>
      </c>
      <c r="N1265">
        <v>112277.76999999999</v>
      </c>
      <c r="O1265">
        <v>90.47</v>
      </c>
    </row>
    <row r="1266" spans="1:15" x14ac:dyDescent="0.35">
      <c r="A1266" t="s">
        <v>1601</v>
      </c>
      <c r="B1266" t="s">
        <v>184</v>
      </c>
      <c r="C1266" t="s">
        <v>1477</v>
      </c>
      <c r="D1266" t="s">
        <v>339</v>
      </c>
      <c r="E1266" t="s">
        <v>296</v>
      </c>
      <c r="F1266" t="s">
        <v>1634</v>
      </c>
      <c r="G1266">
        <v>33</v>
      </c>
      <c r="H1266">
        <v>5239.3200000000006</v>
      </c>
      <c r="I1266">
        <v>158.77000000000001</v>
      </c>
      <c r="J1266">
        <v>11</v>
      </c>
      <c r="K1266">
        <v>1212.97</v>
      </c>
      <c r="L1266">
        <v>110.27</v>
      </c>
      <c r="M1266">
        <v>44</v>
      </c>
      <c r="N1266">
        <v>6452.2900000000009</v>
      </c>
      <c r="O1266">
        <v>146.63999999999999</v>
      </c>
    </row>
    <row r="1267" spans="1:15" x14ac:dyDescent="0.35">
      <c r="A1267" t="s">
        <v>1601</v>
      </c>
      <c r="B1267" t="s">
        <v>184</v>
      </c>
      <c r="C1267" t="s">
        <v>1477</v>
      </c>
      <c r="D1267" t="s">
        <v>339</v>
      </c>
      <c r="E1267" t="s">
        <v>298</v>
      </c>
      <c r="F1267" t="s">
        <v>1635</v>
      </c>
      <c r="G1267">
        <v>0</v>
      </c>
      <c r="H1267">
        <v>0</v>
      </c>
      <c r="I1267">
        <v>0</v>
      </c>
      <c r="J1267">
        <v>3</v>
      </c>
      <c r="K1267">
        <v>331.89</v>
      </c>
      <c r="L1267">
        <v>110.63</v>
      </c>
      <c r="M1267">
        <v>3</v>
      </c>
      <c r="N1267">
        <v>331.89</v>
      </c>
      <c r="O1267">
        <v>110.63</v>
      </c>
    </row>
    <row r="1268" spans="1:15" x14ac:dyDescent="0.35">
      <c r="A1268" t="s">
        <v>1601</v>
      </c>
      <c r="B1268" t="s">
        <v>184</v>
      </c>
      <c r="C1268" t="s">
        <v>1477</v>
      </c>
      <c r="D1268" t="s">
        <v>339</v>
      </c>
      <c r="E1268" t="s">
        <v>300</v>
      </c>
      <c r="F1268" t="s">
        <v>1636</v>
      </c>
      <c r="G1268">
        <v>0</v>
      </c>
      <c r="H1268">
        <v>0</v>
      </c>
      <c r="I1268">
        <v>0</v>
      </c>
      <c r="J1268">
        <v>1</v>
      </c>
      <c r="K1268">
        <v>122.38</v>
      </c>
      <c r="L1268">
        <v>122.38</v>
      </c>
      <c r="M1268">
        <v>1</v>
      </c>
      <c r="N1268">
        <v>122.38</v>
      </c>
      <c r="O1268">
        <v>122.38</v>
      </c>
    </row>
    <row r="1269" spans="1:15" x14ac:dyDescent="0.35">
      <c r="A1269" t="s">
        <v>1601</v>
      </c>
      <c r="B1269" t="s">
        <v>184</v>
      </c>
      <c r="C1269" t="s">
        <v>1477</v>
      </c>
      <c r="D1269" t="s">
        <v>339</v>
      </c>
      <c r="E1269" t="s">
        <v>306</v>
      </c>
      <c r="F1269" t="s">
        <v>1637</v>
      </c>
      <c r="G1269">
        <v>0</v>
      </c>
      <c r="H1269">
        <v>0</v>
      </c>
      <c r="I1269">
        <v>0</v>
      </c>
      <c r="J1269">
        <v>0</v>
      </c>
      <c r="K1269">
        <v>0</v>
      </c>
      <c r="L1269">
        <v>0</v>
      </c>
      <c r="M1269">
        <v>0</v>
      </c>
      <c r="N1269">
        <v>0</v>
      </c>
      <c r="O1269">
        <v>0</v>
      </c>
    </row>
    <row r="1270" spans="1:15" x14ac:dyDescent="0.35">
      <c r="A1270" t="s">
        <v>1601</v>
      </c>
      <c r="B1270" t="s">
        <v>184</v>
      </c>
      <c r="C1270" t="s">
        <v>1477</v>
      </c>
      <c r="D1270" t="s">
        <v>339</v>
      </c>
      <c r="E1270" t="s">
        <v>308</v>
      </c>
      <c r="F1270" t="s">
        <v>1638</v>
      </c>
      <c r="G1270">
        <v>52</v>
      </c>
      <c r="H1270">
        <v>7172.8799999999992</v>
      </c>
      <c r="I1270">
        <v>137.94</v>
      </c>
      <c r="J1270">
        <v>0</v>
      </c>
      <c r="K1270">
        <v>0</v>
      </c>
      <c r="L1270">
        <v>0</v>
      </c>
      <c r="M1270">
        <v>52</v>
      </c>
      <c r="N1270">
        <v>7172.8799999999992</v>
      </c>
      <c r="O1270">
        <v>137.94</v>
      </c>
    </row>
    <row r="1271" spans="1:15" x14ac:dyDescent="0.35">
      <c r="A1271" t="s">
        <v>1601</v>
      </c>
      <c r="B1271" t="s">
        <v>184</v>
      </c>
      <c r="C1271" t="s">
        <v>1477</v>
      </c>
      <c r="D1271" t="s">
        <v>339</v>
      </c>
      <c r="E1271" t="s">
        <v>310</v>
      </c>
      <c r="F1271" t="s">
        <v>1639</v>
      </c>
      <c r="G1271">
        <v>162</v>
      </c>
      <c r="H1271">
        <v>22944.729999999996</v>
      </c>
      <c r="I1271">
        <v>141.63</v>
      </c>
      <c r="J1271">
        <v>1179</v>
      </c>
      <c r="K1271">
        <v>103412.48</v>
      </c>
      <c r="L1271">
        <v>87.71</v>
      </c>
      <c r="M1271">
        <v>1341</v>
      </c>
      <c r="N1271">
        <v>126357.20999999999</v>
      </c>
      <c r="O1271">
        <v>94.23</v>
      </c>
    </row>
    <row r="1272" spans="1:15" x14ac:dyDescent="0.35">
      <c r="A1272" t="s">
        <v>1601</v>
      </c>
      <c r="B1272" t="s">
        <v>184</v>
      </c>
      <c r="C1272" t="s">
        <v>1477</v>
      </c>
      <c r="D1272" t="s">
        <v>339</v>
      </c>
      <c r="E1272" t="s">
        <v>312</v>
      </c>
      <c r="F1272" t="s">
        <v>1640</v>
      </c>
      <c r="G1272">
        <v>110</v>
      </c>
      <c r="H1272">
        <v>15771.849999999999</v>
      </c>
      <c r="I1272">
        <v>143.38</v>
      </c>
      <c r="J1272">
        <v>1179</v>
      </c>
      <c r="K1272">
        <v>103412.48</v>
      </c>
      <c r="L1272">
        <v>87.71</v>
      </c>
      <c r="M1272">
        <v>1289</v>
      </c>
      <c r="N1272">
        <v>119184.32999999999</v>
      </c>
      <c r="O1272">
        <v>92.46</v>
      </c>
    </row>
    <row r="1273" spans="1:15" x14ac:dyDescent="0.35">
      <c r="A1273" t="s">
        <v>1601</v>
      </c>
      <c r="B1273" t="s">
        <v>184</v>
      </c>
      <c r="C1273" t="s">
        <v>1477</v>
      </c>
      <c r="D1273" t="s">
        <v>348</v>
      </c>
      <c r="E1273" t="s">
        <v>349</v>
      </c>
      <c r="F1273" t="s">
        <v>1641</v>
      </c>
      <c r="G1273">
        <v>198</v>
      </c>
      <c r="H1273">
        <v>23721.97</v>
      </c>
      <c r="I1273">
        <v>142.9</v>
      </c>
      <c r="J1273">
        <v>1215</v>
      </c>
      <c r="K1273">
        <v>108730.04</v>
      </c>
      <c r="L1273">
        <v>89.49</v>
      </c>
      <c r="M1273">
        <v>1413</v>
      </c>
      <c r="N1273">
        <v>132452.01</v>
      </c>
      <c r="O1273">
        <v>95.91</v>
      </c>
    </row>
    <row r="1274" spans="1:15" x14ac:dyDescent="0.35">
      <c r="A1274" t="s">
        <v>1642</v>
      </c>
      <c r="B1274" t="s">
        <v>1643</v>
      </c>
      <c r="C1274" t="s">
        <v>1644</v>
      </c>
      <c r="D1274" t="s">
        <v>293</v>
      </c>
      <c r="E1274" t="s">
        <v>294</v>
      </c>
      <c r="F1274" t="s">
        <v>1645</v>
      </c>
      <c r="G1274">
        <v>273</v>
      </c>
      <c r="H1274">
        <v>38676.89</v>
      </c>
      <c r="I1274">
        <v>141.66999999999999</v>
      </c>
      <c r="J1274">
        <v>13</v>
      </c>
      <c r="K1274">
        <v>1788.4099999999999</v>
      </c>
      <c r="L1274">
        <v>137.57</v>
      </c>
      <c r="M1274">
        <v>286</v>
      </c>
      <c r="N1274">
        <v>40465.300000000003</v>
      </c>
      <c r="O1274">
        <v>141.49</v>
      </c>
    </row>
    <row r="1275" spans="1:15" x14ac:dyDescent="0.35">
      <c r="A1275" t="s">
        <v>1642</v>
      </c>
      <c r="B1275" t="s">
        <v>1643</v>
      </c>
      <c r="C1275" t="s">
        <v>1644</v>
      </c>
      <c r="D1275" t="s">
        <v>293</v>
      </c>
      <c r="E1275" t="s">
        <v>296</v>
      </c>
      <c r="F1275" t="s">
        <v>1646</v>
      </c>
      <c r="G1275">
        <v>566</v>
      </c>
      <c r="H1275">
        <v>95267.000000000015</v>
      </c>
      <c r="I1275">
        <v>168.32</v>
      </c>
      <c r="J1275">
        <v>46</v>
      </c>
      <c r="K1275">
        <v>8502.64</v>
      </c>
      <c r="L1275">
        <v>184.84</v>
      </c>
      <c r="M1275">
        <v>612</v>
      </c>
      <c r="N1275">
        <v>103769.64000000001</v>
      </c>
      <c r="O1275">
        <v>169.56</v>
      </c>
    </row>
    <row r="1276" spans="1:15" x14ac:dyDescent="0.35">
      <c r="A1276" t="s">
        <v>1642</v>
      </c>
      <c r="B1276" t="s">
        <v>1643</v>
      </c>
      <c r="C1276" t="s">
        <v>1644</v>
      </c>
      <c r="D1276" t="s">
        <v>293</v>
      </c>
      <c r="E1276" t="s">
        <v>298</v>
      </c>
      <c r="F1276" t="s">
        <v>1647</v>
      </c>
      <c r="G1276">
        <v>193</v>
      </c>
      <c r="H1276">
        <v>35917.919999999998</v>
      </c>
      <c r="I1276">
        <v>186.1</v>
      </c>
      <c r="J1276">
        <v>1</v>
      </c>
      <c r="K1276">
        <v>210.62</v>
      </c>
      <c r="L1276">
        <v>210.62</v>
      </c>
      <c r="M1276">
        <v>194</v>
      </c>
      <c r="N1276">
        <v>36128.54</v>
      </c>
      <c r="O1276">
        <v>186.23</v>
      </c>
    </row>
    <row r="1277" spans="1:15" x14ac:dyDescent="0.35">
      <c r="A1277" t="s">
        <v>1642</v>
      </c>
      <c r="B1277" t="s">
        <v>1643</v>
      </c>
      <c r="C1277" t="s">
        <v>1644</v>
      </c>
      <c r="D1277" t="s">
        <v>293</v>
      </c>
      <c r="E1277" t="s">
        <v>300</v>
      </c>
      <c r="F1277" t="s">
        <v>1648</v>
      </c>
      <c r="G1277">
        <v>50</v>
      </c>
      <c r="H1277">
        <v>12198.36</v>
      </c>
      <c r="I1277">
        <v>243.97</v>
      </c>
      <c r="J1277">
        <v>0</v>
      </c>
      <c r="K1277">
        <v>0</v>
      </c>
      <c r="L1277">
        <v>0</v>
      </c>
      <c r="M1277">
        <v>50</v>
      </c>
      <c r="N1277">
        <v>12198.36</v>
      </c>
      <c r="O1277">
        <v>243.97</v>
      </c>
    </row>
    <row r="1278" spans="1:15" x14ac:dyDescent="0.35">
      <c r="A1278" t="s">
        <v>1642</v>
      </c>
      <c r="B1278" t="s">
        <v>1643</v>
      </c>
      <c r="C1278" t="s">
        <v>1644</v>
      </c>
      <c r="D1278" t="s">
        <v>293</v>
      </c>
      <c r="E1278" t="s">
        <v>302</v>
      </c>
      <c r="F1278" t="s">
        <v>1649</v>
      </c>
      <c r="G1278">
        <v>0</v>
      </c>
      <c r="H1278">
        <v>0</v>
      </c>
      <c r="I1278">
        <v>0</v>
      </c>
      <c r="J1278">
        <v>0</v>
      </c>
      <c r="K1278">
        <v>0</v>
      </c>
      <c r="L1278">
        <v>0</v>
      </c>
      <c r="M1278">
        <v>0</v>
      </c>
      <c r="N1278">
        <v>0</v>
      </c>
      <c r="O1278">
        <v>0</v>
      </c>
    </row>
    <row r="1279" spans="1:15" x14ac:dyDescent="0.35">
      <c r="A1279" t="s">
        <v>1642</v>
      </c>
      <c r="B1279" t="s">
        <v>1643</v>
      </c>
      <c r="C1279" t="s">
        <v>1644</v>
      </c>
      <c r="D1279" t="s">
        <v>293</v>
      </c>
      <c r="E1279" t="s">
        <v>304</v>
      </c>
      <c r="F1279" t="s">
        <v>1650</v>
      </c>
      <c r="G1279">
        <v>0</v>
      </c>
      <c r="H1279">
        <v>0</v>
      </c>
      <c r="I1279">
        <v>0</v>
      </c>
      <c r="J1279">
        <v>0</v>
      </c>
      <c r="K1279">
        <v>0</v>
      </c>
      <c r="L1279">
        <v>0</v>
      </c>
      <c r="M1279">
        <v>0</v>
      </c>
      <c r="N1279">
        <v>0</v>
      </c>
      <c r="O1279">
        <v>0</v>
      </c>
    </row>
    <row r="1280" spans="1:15" x14ac:dyDescent="0.35">
      <c r="A1280" t="s">
        <v>1642</v>
      </c>
      <c r="B1280" t="s">
        <v>1643</v>
      </c>
      <c r="C1280" t="s">
        <v>1644</v>
      </c>
      <c r="D1280" t="s">
        <v>293</v>
      </c>
      <c r="E1280" t="s">
        <v>306</v>
      </c>
      <c r="F1280" t="s">
        <v>1651</v>
      </c>
      <c r="G1280">
        <v>1</v>
      </c>
      <c r="H1280">
        <v>82.86</v>
      </c>
      <c r="I1280">
        <v>82.86</v>
      </c>
      <c r="J1280">
        <v>0</v>
      </c>
      <c r="K1280">
        <v>0</v>
      </c>
      <c r="L1280">
        <v>0</v>
      </c>
      <c r="M1280">
        <v>1</v>
      </c>
      <c r="N1280">
        <v>82.86</v>
      </c>
      <c r="O1280">
        <v>82.86</v>
      </c>
    </row>
    <row r="1281" spans="1:15" x14ac:dyDescent="0.35">
      <c r="A1281" t="s">
        <v>1642</v>
      </c>
      <c r="B1281" t="s">
        <v>1643</v>
      </c>
      <c r="C1281" t="s">
        <v>1644</v>
      </c>
      <c r="D1281" t="s">
        <v>293</v>
      </c>
      <c r="E1281" t="s">
        <v>308</v>
      </c>
      <c r="F1281" t="s">
        <v>1652</v>
      </c>
      <c r="G1281">
        <v>0</v>
      </c>
      <c r="H1281">
        <v>0</v>
      </c>
      <c r="I1281">
        <v>0</v>
      </c>
      <c r="J1281">
        <v>7</v>
      </c>
      <c r="K1281">
        <v>545.79</v>
      </c>
      <c r="L1281">
        <v>77.97</v>
      </c>
      <c r="M1281">
        <v>7</v>
      </c>
      <c r="N1281">
        <v>545.79</v>
      </c>
      <c r="O1281">
        <v>77.97</v>
      </c>
    </row>
    <row r="1282" spans="1:15" x14ac:dyDescent="0.35">
      <c r="A1282" t="s">
        <v>1642</v>
      </c>
      <c r="B1282" t="s">
        <v>1643</v>
      </c>
      <c r="C1282" t="s">
        <v>1644</v>
      </c>
      <c r="D1282" t="s">
        <v>293</v>
      </c>
      <c r="E1282" t="s">
        <v>310</v>
      </c>
      <c r="F1282" t="s">
        <v>1653</v>
      </c>
      <c r="G1282">
        <v>1083</v>
      </c>
      <c r="H1282">
        <v>182143.02999999997</v>
      </c>
      <c r="I1282">
        <v>168.18</v>
      </c>
      <c r="J1282">
        <v>67</v>
      </c>
      <c r="K1282">
        <v>11047.46</v>
      </c>
      <c r="L1282">
        <v>164.89</v>
      </c>
      <c r="M1282">
        <v>1150</v>
      </c>
      <c r="N1282">
        <v>193190.48999999996</v>
      </c>
      <c r="O1282">
        <v>167.99</v>
      </c>
    </row>
    <row r="1283" spans="1:15" x14ac:dyDescent="0.35">
      <c r="A1283" t="s">
        <v>1642</v>
      </c>
      <c r="B1283" t="s">
        <v>1643</v>
      </c>
      <c r="C1283" t="s">
        <v>1644</v>
      </c>
      <c r="D1283" t="s">
        <v>293</v>
      </c>
      <c r="E1283" t="s">
        <v>312</v>
      </c>
      <c r="F1283" t="s">
        <v>1654</v>
      </c>
      <c r="G1283">
        <v>1083</v>
      </c>
      <c r="H1283">
        <v>182143.02999999997</v>
      </c>
      <c r="I1283">
        <v>168.18</v>
      </c>
      <c r="J1283">
        <v>60</v>
      </c>
      <c r="K1283">
        <v>10501.67</v>
      </c>
      <c r="L1283">
        <v>175.03</v>
      </c>
      <c r="M1283">
        <v>1143</v>
      </c>
      <c r="N1283">
        <v>192644.69999999998</v>
      </c>
      <c r="O1283">
        <v>168.54</v>
      </c>
    </row>
    <row r="1284" spans="1:15" x14ac:dyDescent="0.35">
      <c r="A1284" t="s">
        <v>1642</v>
      </c>
      <c r="B1284" t="s">
        <v>1643</v>
      </c>
      <c r="C1284" t="s">
        <v>1644</v>
      </c>
      <c r="D1284" t="s">
        <v>314</v>
      </c>
      <c r="E1284" t="s">
        <v>294</v>
      </c>
      <c r="F1284" t="s">
        <v>1655</v>
      </c>
      <c r="G1284">
        <v>81</v>
      </c>
      <c r="H1284">
        <v>15643.59</v>
      </c>
      <c r="I1284">
        <v>193.13</v>
      </c>
      <c r="J1284">
        <v>0</v>
      </c>
      <c r="K1284">
        <v>0</v>
      </c>
      <c r="L1284">
        <v>0</v>
      </c>
      <c r="M1284">
        <v>81</v>
      </c>
      <c r="N1284">
        <v>15643.59</v>
      </c>
      <c r="O1284">
        <v>193.13</v>
      </c>
    </row>
    <row r="1285" spans="1:15" x14ac:dyDescent="0.35">
      <c r="A1285" t="s">
        <v>1642</v>
      </c>
      <c r="B1285" t="s">
        <v>1643</v>
      </c>
      <c r="C1285" t="s">
        <v>1644</v>
      </c>
      <c r="D1285" t="s">
        <v>314</v>
      </c>
      <c r="E1285" t="s">
        <v>296</v>
      </c>
      <c r="F1285" t="s">
        <v>1656</v>
      </c>
      <c r="G1285">
        <v>14</v>
      </c>
      <c r="H1285">
        <v>2577.4</v>
      </c>
      <c r="I1285">
        <v>184.1</v>
      </c>
      <c r="J1285">
        <v>0</v>
      </c>
      <c r="K1285">
        <v>0</v>
      </c>
      <c r="L1285">
        <v>0</v>
      </c>
      <c r="M1285">
        <v>14</v>
      </c>
      <c r="N1285">
        <v>2577.4</v>
      </c>
      <c r="O1285">
        <v>184.1</v>
      </c>
    </row>
    <row r="1286" spans="1:15" x14ac:dyDescent="0.35">
      <c r="A1286" t="s">
        <v>1642</v>
      </c>
      <c r="B1286" t="s">
        <v>1643</v>
      </c>
      <c r="C1286" t="s">
        <v>1644</v>
      </c>
      <c r="D1286" t="s">
        <v>314</v>
      </c>
      <c r="E1286" t="s">
        <v>298</v>
      </c>
      <c r="F1286" t="s">
        <v>1657</v>
      </c>
      <c r="G1286">
        <v>0</v>
      </c>
      <c r="H1286">
        <v>0</v>
      </c>
      <c r="I1286">
        <v>0</v>
      </c>
      <c r="J1286">
        <v>0</v>
      </c>
      <c r="K1286">
        <v>0</v>
      </c>
      <c r="L1286">
        <v>0</v>
      </c>
      <c r="M1286">
        <v>0</v>
      </c>
      <c r="N1286">
        <v>0</v>
      </c>
      <c r="O1286">
        <v>0</v>
      </c>
    </row>
    <row r="1287" spans="1:15" x14ac:dyDescent="0.35">
      <c r="A1287" t="s">
        <v>1642</v>
      </c>
      <c r="B1287" t="s">
        <v>1643</v>
      </c>
      <c r="C1287" t="s">
        <v>1644</v>
      </c>
      <c r="D1287" t="s">
        <v>314</v>
      </c>
      <c r="E1287" t="s">
        <v>300</v>
      </c>
      <c r="F1287" t="s">
        <v>1658</v>
      </c>
      <c r="G1287">
        <v>0</v>
      </c>
      <c r="H1287">
        <v>0</v>
      </c>
      <c r="I1287">
        <v>0</v>
      </c>
      <c r="J1287">
        <v>0</v>
      </c>
      <c r="K1287">
        <v>0</v>
      </c>
      <c r="L1287">
        <v>0</v>
      </c>
      <c r="M1287">
        <v>0</v>
      </c>
      <c r="N1287">
        <v>0</v>
      </c>
      <c r="O1287">
        <v>0</v>
      </c>
    </row>
    <row r="1288" spans="1:15" x14ac:dyDescent="0.35">
      <c r="A1288" t="s">
        <v>1642</v>
      </c>
      <c r="B1288" t="s">
        <v>1643</v>
      </c>
      <c r="C1288" t="s">
        <v>1644</v>
      </c>
      <c r="D1288" t="s">
        <v>314</v>
      </c>
      <c r="E1288" t="s">
        <v>306</v>
      </c>
      <c r="F1288" t="s">
        <v>1659</v>
      </c>
      <c r="G1288">
        <v>0</v>
      </c>
      <c r="H1288">
        <v>0</v>
      </c>
      <c r="I1288">
        <v>0</v>
      </c>
      <c r="J1288">
        <v>0</v>
      </c>
      <c r="K1288">
        <v>0</v>
      </c>
      <c r="L1288">
        <v>0</v>
      </c>
      <c r="M1288">
        <v>0</v>
      </c>
      <c r="N1288">
        <v>0</v>
      </c>
      <c r="O1288">
        <v>0</v>
      </c>
    </row>
    <row r="1289" spans="1:15" x14ac:dyDescent="0.35">
      <c r="A1289" t="s">
        <v>1642</v>
      </c>
      <c r="B1289" t="s">
        <v>1643</v>
      </c>
      <c r="C1289" t="s">
        <v>1644</v>
      </c>
      <c r="D1289" t="s">
        <v>314</v>
      </c>
      <c r="E1289" t="s">
        <v>308</v>
      </c>
      <c r="F1289" t="s">
        <v>1660</v>
      </c>
      <c r="G1289">
        <v>0</v>
      </c>
      <c r="H1289">
        <v>0</v>
      </c>
      <c r="I1289">
        <v>0</v>
      </c>
      <c r="J1289">
        <v>0</v>
      </c>
      <c r="K1289">
        <v>0</v>
      </c>
      <c r="L1289">
        <v>0</v>
      </c>
      <c r="M1289">
        <v>0</v>
      </c>
      <c r="N1289">
        <v>0</v>
      </c>
      <c r="O1289">
        <v>0</v>
      </c>
    </row>
    <row r="1290" spans="1:15" x14ac:dyDescent="0.35">
      <c r="A1290" t="s">
        <v>1642</v>
      </c>
      <c r="B1290" t="s">
        <v>1643</v>
      </c>
      <c r="C1290" t="s">
        <v>1644</v>
      </c>
      <c r="D1290" t="s">
        <v>314</v>
      </c>
      <c r="E1290" t="s">
        <v>312</v>
      </c>
      <c r="F1290" t="s">
        <v>1661</v>
      </c>
      <c r="G1290">
        <v>95</v>
      </c>
      <c r="H1290">
        <v>18220.990000000002</v>
      </c>
      <c r="I1290">
        <v>191.8</v>
      </c>
      <c r="J1290">
        <v>0</v>
      </c>
      <c r="K1290">
        <v>0</v>
      </c>
      <c r="L1290">
        <v>0</v>
      </c>
      <c r="M1290">
        <v>95</v>
      </c>
      <c r="N1290">
        <v>18220.990000000002</v>
      </c>
      <c r="O1290">
        <v>191.8</v>
      </c>
    </row>
    <row r="1291" spans="1:15" x14ac:dyDescent="0.35">
      <c r="A1291" t="s">
        <v>1642</v>
      </c>
      <c r="B1291" t="s">
        <v>1643</v>
      </c>
      <c r="C1291" t="s">
        <v>1644</v>
      </c>
      <c r="D1291" t="s">
        <v>314</v>
      </c>
      <c r="E1291" t="s">
        <v>310</v>
      </c>
      <c r="F1291" t="s">
        <v>1662</v>
      </c>
      <c r="G1291">
        <v>95</v>
      </c>
      <c r="H1291">
        <v>18220.990000000002</v>
      </c>
      <c r="I1291">
        <v>191.8</v>
      </c>
      <c r="J1291">
        <v>0</v>
      </c>
      <c r="K1291">
        <v>0</v>
      </c>
      <c r="L1291">
        <v>0</v>
      </c>
      <c r="M1291">
        <v>95</v>
      </c>
      <c r="N1291">
        <v>18220.990000000002</v>
      </c>
      <c r="O1291">
        <v>191.8</v>
      </c>
    </row>
    <row r="1292" spans="1:15" x14ac:dyDescent="0.35">
      <c r="A1292" t="s">
        <v>1642</v>
      </c>
      <c r="B1292" t="s">
        <v>1643</v>
      </c>
      <c r="C1292" t="s">
        <v>1644</v>
      </c>
      <c r="D1292" t="s">
        <v>323</v>
      </c>
      <c r="E1292" t="s">
        <v>294</v>
      </c>
      <c r="F1292" t="s">
        <v>1663</v>
      </c>
      <c r="G1292">
        <v>540</v>
      </c>
      <c r="H1292">
        <v>55099.060000000005</v>
      </c>
      <c r="I1292">
        <v>102.04</v>
      </c>
      <c r="J1292">
        <v>674</v>
      </c>
      <c r="K1292">
        <v>60525.2</v>
      </c>
      <c r="L1292">
        <v>89.8</v>
      </c>
      <c r="M1292">
        <v>1214</v>
      </c>
      <c r="N1292">
        <v>115624.26000000001</v>
      </c>
      <c r="O1292">
        <v>95.24</v>
      </c>
    </row>
    <row r="1293" spans="1:15" x14ac:dyDescent="0.35">
      <c r="A1293" t="s">
        <v>1642</v>
      </c>
      <c r="B1293" t="s">
        <v>1643</v>
      </c>
      <c r="C1293" t="s">
        <v>1644</v>
      </c>
      <c r="D1293" t="s">
        <v>323</v>
      </c>
      <c r="E1293" t="s">
        <v>296</v>
      </c>
      <c r="F1293" t="s">
        <v>1664</v>
      </c>
      <c r="G1293">
        <v>1250</v>
      </c>
      <c r="H1293">
        <v>146453.31000000003</v>
      </c>
      <c r="I1293">
        <v>117.16</v>
      </c>
      <c r="J1293">
        <v>1068</v>
      </c>
      <c r="K1293">
        <v>109790.39999999999</v>
      </c>
      <c r="L1293">
        <v>102.8</v>
      </c>
      <c r="M1293">
        <v>2318</v>
      </c>
      <c r="N1293">
        <v>256243.71000000002</v>
      </c>
      <c r="O1293">
        <v>110.55</v>
      </c>
    </row>
    <row r="1294" spans="1:15" x14ac:dyDescent="0.35">
      <c r="A1294" t="s">
        <v>1642</v>
      </c>
      <c r="B1294" t="s">
        <v>1643</v>
      </c>
      <c r="C1294" t="s">
        <v>1644</v>
      </c>
      <c r="D1294" t="s">
        <v>323</v>
      </c>
      <c r="E1294" t="s">
        <v>298</v>
      </c>
      <c r="F1294" t="s">
        <v>1665</v>
      </c>
      <c r="G1294">
        <v>1135</v>
      </c>
      <c r="H1294">
        <v>154215</v>
      </c>
      <c r="I1294">
        <v>135.87</v>
      </c>
      <c r="J1294">
        <v>785</v>
      </c>
      <c r="K1294">
        <v>93085.3</v>
      </c>
      <c r="L1294">
        <v>118.58</v>
      </c>
      <c r="M1294">
        <v>1920</v>
      </c>
      <c r="N1294">
        <v>247300.3</v>
      </c>
      <c r="O1294">
        <v>128.80000000000001</v>
      </c>
    </row>
    <row r="1295" spans="1:15" x14ac:dyDescent="0.35">
      <c r="A1295" t="s">
        <v>1642</v>
      </c>
      <c r="B1295" t="s">
        <v>1643</v>
      </c>
      <c r="C1295" t="s">
        <v>1644</v>
      </c>
      <c r="D1295" t="s">
        <v>323</v>
      </c>
      <c r="E1295" t="s">
        <v>300</v>
      </c>
      <c r="F1295" t="s">
        <v>1666</v>
      </c>
      <c r="G1295">
        <v>116</v>
      </c>
      <c r="H1295">
        <v>17839.599999999999</v>
      </c>
      <c r="I1295">
        <v>153.79</v>
      </c>
      <c r="J1295">
        <v>28</v>
      </c>
      <c r="K1295">
        <v>3615.0800000000004</v>
      </c>
      <c r="L1295">
        <v>129.11000000000001</v>
      </c>
      <c r="M1295">
        <v>144</v>
      </c>
      <c r="N1295">
        <v>21454.68</v>
      </c>
      <c r="O1295">
        <v>148.99</v>
      </c>
    </row>
    <row r="1296" spans="1:15" x14ac:dyDescent="0.35">
      <c r="A1296" t="s">
        <v>1642</v>
      </c>
      <c r="B1296" t="s">
        <v>1643</v>
      </c>
      <c r="C1296" t="s">
        <v>1644</v>
      </c>
      <c r="D1296" t="s">
        <v>323</v>
      </c>
      <c r="E1296" t="s">
        <v>302</v>
      </c>
      <c r="F1296" t="s">
        <v>1667</v>
      </c>
      <c r="G1296">
        <v>6</v>
      </c>
      <c r="H1296">
        <v>972.78</v>
      </c>
      <c r="I1296">
        <v>162.13</v>
      </c>
      <c r="J1296">
        <v>2</v>
      </c>
      <c r="K1296">
        <v>288.58</v>
      </c>
      <c r="L1296">
        <v>144.29</v>
      </c>
      <c r="M1296">
        <v>8</v>
      </c>
      <c r="N1296">
        <v>1261.3599999999999</v>
      </c>
      <c r="O1296">
        <v>157.66999999999999</v>
      </c>
    </row>
    <row r="1297" spans="1:15" x14ac:dyDescent="0.35">
      <c r="A1297" t="s">
        <v>1642</v>
      </c>
      <c r="B1297" t="s">
        <v>1643</v>
      </c>
      <c r="C1297" t="s">
        <v>1644</v>
      </c>
      <c r="D1297" t="s">
        <v>323</v>
      </c>
      <c r="E1297" t="s">
        <v>304</v>
      </c>
      <c r="F1297" t="s">
        <v>1668</v>
      </c>
      <c r="G1297">
        <v>0</v>
      </c>
      <c r="H1297">
        <v>0</v>
      </c>
      <c r="I1297">
        <v>0</v>
      </c>
      <c r="J1297">
        <v>0</v>
      </c>
      <c r="K1297">
        <v>0</v>
      </c>
      <c r="L1297">
        <v>0</v>
      </c>
      <c r="M1297">
        <v>0</v>
      </c>
      <c r="N1297">
        <v>0</v>
      </c>
      <c r="O1297">
        <v>0</v>
      </c>
    </row>
    <row r="1298" spans="1:15" x14ac:dyDescent="0.35">
      <c r="A1298" t="s">
        <v>1642</v>
      </c>
      <c r="B1298" t="s">
        <v>1643</v>
      </c>
      <c r="C1298" t="s">
        <v>1644</v>
      </c>
      <c r="D1298" t="s">
        <v>323</v>
      </c>
      <c r="E1298" t="s">
        <v>306</v>
      </c>
      <c r="F1298" t="s">
        <v>1669</v>
      </c>
      <c r="G1298">
        <v>9</v>
      </c>
      <c r="H1298">
        <v>772.17000000000007</v>
      </c>
      <c r="I1298">
        <v>85.8</v>
      </c>
      <c r="J1298">
        <v>115</v>
      </c>
      <c r="K1298">
        <v>8976.9</v>
      </c>
      <c r="L1298">
        <v>78.06</v>
      </c>
      <c r="M1298">
        <v>124</v>
      </c>
      <c r="N1298">
        <v>9749.07</v>
      </c>
      <c r="O1298">
        <v>78.62</v>
      </c>
    </row>
    <row r="1299" spans="1:15" x14ac:dyDescent="0.35">
      <c r="A1299" t="s">
        <v>1642</v>
      </c>
      <c r="B1299" t="s">
        <v>1643</v>
      </c>
      <c r="C1299" t="s">
        <v>1644</v>
      </c>
      <c r="D1299" t="s">
        <v>323</v>
      </c>
      <c r="E1299" t="s">
        <v>308</v>
      </c>
      <c r="F1299" t="s">
        <v>1670</v>
      </c>
      <c r="G1299">
        <v>0</v>
      </c>
      <c r="H1299">
        <v>0</v>
      </c>
      <c r="I1299">
        <v>0</v>
      </c>
      <c r="J1299">
        <v>0</v>
      </c>
      <c r="K1299">
        <v>0</v>
      </c>
      <c r="L1299">
        <v>0</v>
      </c>
      <c r="M1299">
        <v>0</v>
      </c>
      <c r="N1299">
        <v>0</v>
      </c>
      <c r="O1299">
        <v>0</v>
      </c>
    </row>
    <row r="1300" spans="1:15" x14ac:dyDescent="0.35">
      <c r="A1300" t="s">
        <v>1642</v>
      </c>
      <c r="B1300" t="s">
        <v>1643</v>
      </c>
      <c r="C1300" t="s">
        <v>1644</v>
      </c>
      <c r="D1300" t="s">
        <v>323</v>
      </c>
      <c r="E1300" t="s">
        <v>310</v>
      </c>
      <c r="F1300" t="s">
        <v>1671</v>
      </c>
      <c r="G1300">
        <v>3056</v>
      </c>
      <c r="H1300">
        <v>375351.92</v>
      </c>
      <c r="I1300">
        <v>122.82</v>
      </c>
      <c r="J1300">
        <v>2672</v>
      </c>
      <c r="K1300">
        <v>276281.46000000002</v>
      </c>
      <c r="L1300">
        <v>103.4</v>
      </c>
      <c r="M1300">
        <v>5728</v>
      </c>
      <c r="N1300">
        <v>651633.38</v>
      </c>
      <c r="O1300">
        <v>113.76</v>
      </c>
    </row>
    <row r="1301" spans="1:15" x14ac:dyDescent="0.35">
      <c r="A1301" t="s">
        <v>1642</v>
      </c>
      <c r="B1301" t="s">
        <v>1643</v>
      </c>
      <c r="C1301" t="s">
        <v>1644</v>
      </c>
      <c r="D1301" t="s">
        <v>323</v>
      </c>
      <c r="E1301" t="s">
        <v>312</v>
      </c>
      <c r="F1301" t="s">
        <v>1672</v>
      </c>
      <c r="G1301">
        <v>3056</v>
      </c>
      <c r="H1301">
        <v>375351.92</v>
      </c>
      <c r="I1301">
        <v>122.82</v>
      </c>
      <c r="J1301">
        <v>2672</v>
      </c>
      <c r="K1301">
        <v>276281.46000000002</v>
      </c>
      <c r="L1301">
        <v>103.4</v>
      </c>
      <c r="M1301">
        <v>5728</v>
      </c>
      <c r="N1301">
        <v>651633.38</v>
      </c>
      <c r="O1301">
        <v>113.76</v>
      </c>
    </row>
    <row r="1302" spans="1:15" x14ac:dyDescent="0.35">
      <c r="A1302" t="s">
        <v>1642</v>
      </c>
      <c r="B1302" t="s">
        <v>1643</v>
      </c>
      <c r="C1302" t="s">
        <v>1644</v>
      </c>
      <c r="D1302" t="s">
        <v>334</v>
      </c>
      <c r="E1302" t="s">
        <v>312</v>
      </c>
      <c r="F1302" t="s">
        <v>1673</v>
      </c>
      <c r="G1302">
        <v>4392</v>
      </c>
      <c r="H1302">
        <v>557494.95000000007</v>
      </c>
      <c r="I1302">
        <v>134.69</v>
      </c>
      <c r="J1302">
        <v>2732</v>
      </c>
      <c r="K1302">
        <v>286783.13000000006</v>
      </c>
      <c r="L1302">
        <v>104.97</v>
      </c>
      <c r="M1302">
        <v>7124</v>
      </c>
      <c r="N1302">
        <v>844278.08000000007</v>
      </c>
      <c r="O1302">
        <v>122.88</v>
      </c>
    </row>
    <row r="1303" spans="1:15" x14ac:dyDescent="0.35">
      <c r="A1303" t="s">
        <v>1642</v>
      </c>
      <c r="B1303" t="s">
        <v>1643</v>
      </c>
      <c r="C1303" t="s">
        <v>1644</v>
      </c>
      <c r="D1303" t="s">
        <v>334</v>
      </c>
      <c r="E1303" t="s">
        <v>308</v>
      </c>
      <c r="F1303" t="s">
        <v>1674</v>
      </c>
      <c r="G1303">
        <v>8</v>
      </c>
      <c r="H1303">
        <v>0</v>
      </c>
      <c r="I1303">
        <v>0</v>
      </c>
      <c r="J1303">
        <v>7</v>
      </c>
      <c r="K1303">
        <v>545.79</v>
      </c>
      <c r="L1303">
        <v>77.97</v>
      </c>
      <c r="M1303">
        <v>15</v>
      </c>
      <c r="N1303">
        <v>545.79</v>
      </c>
      <c r="O1303">
        <v>77.97</v>
      </c>
    </row>
    <row r="1304" spans="1:15" x14ac:dyDescent="0.35">
      <c r="A1304" t="s">
        <v>1642</v>
      </c>
      <c r="B1304" t="s">
        <v>1643</v>
      </c>
      <c r="C1304" t="s">
        <v>1644</v>
      </c>
      <c r="D1304" t="s">
        <v>337</v>
      </c>
      <c r="E1304" t="s">
        <v>337</v>
      </c>
      <c r="F1304" t="s">
        <v>1675</v>
      </c>
      <c r="G1304">
        <v>1842</v>
      </c>
      <c r="J1304">
        <v>0</v>
      </c>
      <c r="M1304">
        <v>1842</v>
      </c>
    </row>
    <row r="1305" spans="1:15" x14ac:dyDescent="0.35">
      <c r="A1305" t="s">
        <v>1642</v>
      </c>
      <c r="B1305" t="s">
        <v>1643</v>
      </c>
      <c r="C1305" t="s">
        <v>1644</v>
      </c>
      <c r="D1305" t="s">
        <v>339</v>
      </c>
      <c r="E1305" t="s">
        <v>294</v>
      </c>
      <c r="F1305" t="s">
        <v>1676</v>
      </c>
      <c r="G1305">
        <v>645</v>
      </c>
      <c r="H1305">
        <v>72993.210000000006</v>
      </c>
      <c r="I1305">
        <v>113.17</v>
      </c>
      <c r="J1305">
        <v>93</v>
      </c>
      <c r="K1305">
        <v>8109.6</v>
      </c>
      <c r="L1305">
        <v>87.2</v>
      </c>
      <c r="M1305">
        <v>738</v>
      </c>
      <c r="N1305">
        <v>81102.810000000012</v>
      </c>
      <c r="O1305">
        <v>109.9</v>
      </c>
    </row>
    <row r="1306" spans="1:15" x14ac:dyDescent="0.35">
      <c r="A1306" t="s">
        <v>1642</v>
      </c>
      <c r="B1306" t="s">
        <v>1643</v>
      </c>
      <c r="C1306" t="s">
        <v>1644</v>
      </c>
      <c r="D1306" t="s">
        <v>339</v>
      </c>
      <c r="E1306" t="s">
        <v>296</v>
      </c>
      <c r="F1306" t="s">
        <v>1677</v>
      </c>
      <c r="G1306">
        <v>184</v>
      </c>
      <c r="H1306">
        <v>25594.139999999996</v>
      </c>
      <c r="I1306">
        <v>139.1</v>
      </c>
      <c r="J1306">
        <v>6</v>
      </c>
      <c r="K1306">
        <v>583.62</v>
      </c>
      <c r="L1306">
        <v>97.27</v>
      </c>
      <c r="M1306">
        <v>190</v>
      </c>
      <c r="N1306">
        <v>26177.759999999995</v>
      </c>
      <c r="O1306">
        <v>137.78</v>
      </c>
    </row>
    <row r="1307" spans="1:15" x14ac:dyDescent="0.35">
      <c r="A1307" t="s">
        <v>1642</v>
      </c>
      <c r="B1307" t="s">
        <v>1643</v>
      </c>
      <c r="C1307" t="s">
        <v>1644</v>
      </c>
      <c r="D1307" t="s">
        <v>339</v>
      </c>
      <c r="E1307" t="s">
        <v>298</v>
      </c>
      <c r="F1307" t="s">
        <v>1678</v>
      </c>
      <c r="G1307">
        <v>9</v>
      </c>
      <c r="H1307">
        <v>1117.98</v>
      </c>
      <c r="I1307">
        <v>124.22</v>
      </c>
      <c r="J1307">
        <v>0</v>
      </c>
      <c r="K1307">
        <v>0</v>
      </c>
      <c r="L1307">
        <v>0</v>
      </c>
      <c r="M1307">
        <v>9</v>
      </c>
      <c r="N1307">
        <v>1117.98</v>
      </c>
      <c r="O1307">
        <v>124.22</v>
      </c>
    </row>
    <row r="1308" spans="1:15" x14ac:dyDescent="0.35">
      <c r="A1308" t="s">
        <v>1642</v>
      </c>
      <c r="B1308" t="s">
        <v>1643</v>
      </c>
      <c r="C1308" t="s">
        <v>1644</v>
      </c>
      <c r="D1308" t="s">
        <v>339</v>
      </c>
      <c r="E1308" t="s">
        <v>300</v>
      </c>
      <c r="F1308" t="s">
        <v>1679</v>
      </c>
      <c r="G1308">
        <v>0</v>
      </c>
      <c r="H1308">
        <v>0</v>
      </c>
      <c r="I1308">
        <v>0</v>
      </c>
      <c r="J1308">
        <v>0</v>
      </c>
      <c r="K1308">
        <v>0</v>
      </c>
      <c r="L1308">
        <v>0</v>
      </c>
      <c r="M1308">
        <v>0</v>
      </c>
      <c r="N1308">
        <v>0</v>
      </c>
      <c r="O1308">
        <v>0</v>
      </c>
    </row>
    <row r="1309" spans="1:15" x14ac:dyDescent="0.35">
      <c r="A1309" t="s">
        <v>1642</v>
      </c>
      <c r="B1309" t="s">
        <v>1643</v>
      </c>
      <c r="C1309" t="s">
        <v>1644</v>
      </c>
      <c r="D1309" t="s">
        <v>339</v>
      </c>
      <c r="E1309" t="s">
        <v>306</v>
      </c>
      <c r="F1309" t="s">
        <v>1680</v>
      </c>
      <c r="G1309">
        <v>133</v>
      </c>
      <c r="H1309">
        <v>11629.55</v>
      </c>
      <c r="I1309">
        <v>87.44</v>
      </c>
      <c r="J1309">
        <v>196</v>
      </c>
      <c r="K1309">
        <v>14531.44</v>
      </c>
      <c r="L1309">
        <v>74.14</v>
      </c>
      <c r="M1309">
        <v>329</v>
      </c>
      <c r="N1309">
        <v>26160.989999999998</v>
      </c>
      <c r="O1309">
        <v>79.52</v>
      </c>
    </row>
    <row r="1310" spans="1:15" x14ac:dyDescent="0.35">
      <c r="A1310" t="s">
        <v>1642</v>
      </c>
      <c r="B1310" t="s">
        <v>1643</v>
      </c>
      <c r="C1310" t="s">
        <v>1644</v>
      </c>
      <c r="D1310" t="s">
        <v>339</v>
      </c>
      <c r="E1310" t="s">
        <v>308</v>
      </c>
      <c r="F1310" t="s">
        <v>1681</v>
      </c>
      <c r="G1310">
        <v>129</v>
      </c>
      <c r="H1310">
        <v>19071.940000000002</v>
      </c>
      <c r="I1310">
        <v>147.84</v>
      </c>
      <c r="J1310">
        <v>0</v>
      </c>
      <c r="K1310">
        <v>0</v>
      </c>
      <c r="L1310">
        <v>0</v>
      </c>
      <c r="M1310">
        <v>129</v>
      </c>
      <c r="N1310">
        <v>19071.940000000002</v>
      </c>
      <c r="O1310">
        <v>147.84</v>
      </c>
    </row>
    <row r="1311" spans="1:15" x14ac:dyDescent="0.35">
      <c r="A1311" t="s">
        <v>1642</v>
      </c>
      <c r="B1311" t="s">
        <v>1643</v>
      </c>
      <c r="C1311" t="s">
        <v>1644</v>
      </c>
      <c r="D1311" t="s">
        <v>339</v>
      </c>
      <c r="E1311" t="s">
        <v>310</v>
      </c>
      <c r="F1311" t="s">
        <v>1682</v>
      </c>
      <c r="G1311">
        <v>1100</v>
      </c>
      <c r="H1311">
        <v>130406.82</v>
      </c>
      <c r="I1311">
        <v>118.55</v>
      </c>
      <c r="J1311">
        <v>295</v>
      </c>
      <c r="K1311">
        <v>23224.660000000003</v>
      </c>
      <c r="L1311">
        <v>78.73</v>
      </c>
      <c r="M1311">
        <v>1395</v>
      </c>
      <c r="N1311">
        <v>153631.48000000001</v>
      </c>
      <c r="O1311">
        <v>110.13</v>
      </c>
    </row>
    <row r="1312" spans="1:15" x14ac:dyDescent="0.35">
      <c r="A1312" t="s">
        <v>1642</v>
      </c>
      <c r="B1312" t="s">
        <v>1643</v>
      </c>
      <c r="C1312" t="s">
        <v>1644</v>
      </c>
      <c r="D1312" t="s">
        <v>339</v>
      </c>
      <c r="E1312" t="s">
        <v>312</v>
      </c>
      <c r="F1312" t="s">
        <v>1683</v>
      </c>
      <c r="G1312">
        <v>971</v>
      </c>
      <c r="H1312">
        <v>111334.88</v>
      </c>
      <c r="I1312">
        <v>114.66</v>
      </c>
      <c r="J1312">
        <v>295</v>
      </c>
      <c r="K1312">
        <v>23224.660000000003</v>
      </c>
      <c r="L1312">
        <v>78.73</v>
      </c>
      <c r="M1312">
        <v>1266</v>
      </c>
      <c r="N1312">
        <v>134559.54</v>
      </c>
      <c r="O1312">
        <v>106.29</v>
      </c>
    </row>
    <row r="1313" spans="1:15" x14ac:dyDescent="0.35">
      <c r="A1313" t="s">
        <v>1642</v>
      </c>
      <c r="B1313" t="s">
        <v>1643</v>
      </c>
      <c r="C1313" t="s">
        <v>1644</v>
      </c>
      <c r="D1313" t="s">
        <v>348</v>
      </c>
      <c r="E1313" t="s">
        <v>349</v>
      </c>
      <c r="F1313" t="s">
        <v>1684</v>
      </c>
      <c r="G1313">
        <v>1355</v>
      </c>
      <c r="H1313">
        <v>148627.81</v>
      </c>
      <c r="I1313">
        <v>124.37</v>
      </c>
      <c r="J1313">
        <v>295</v>
      </c>
      <c r="K1313">
        <v>23224.660000000003</v>
      </c>
      <c r="L1313">
        <v>78.73</v>
      </c>
      <c r="M1313">
        <v>1650</v>
      </c>
      <c r="N1313">
        <v>171852.47</v>
      </c>
      <c r="O1313">
        <v>115.34</v>
      </c>
    </row>
    <row r="1314" spans="1:15" x14ac:dyDescent="0.35">
      <c r="A1314" t="s">
        <v>1685</v>
      </c>
      <c r="B1314" t="s">
        <v>1686</v>
      </c>
      <c r="C1314" t="s">
        <v>1644</v>
      </c>
      <c r="D1314" t="s">
        <v>293</v>
      </c>
      <c r="E1314" t="s">
        <v>294</v>
      </c>
      <c r="F1314" t="s">
        <v>1687</v>
      </c>
      <c r="G1314">
        <v>282</v>
      </c>
      <c r="H1314">
        <v>49889.93</v>
      </c>
      <c r="I1314">
        <v>176.91</v>
      </c>
      <c r="J1314">
        <v>0</v>
      </c>
      <c r="K1314">
        <v>0</v>
      </c>
      <c r="L1314">
        <v>0</v>
      </c>
      <c r="M1314">
        <v>282</v>
      </c>
      <c r="N1314">
        <v>49889.93</v>
      </c>
      <c r="O1314">
        <v>176.91</v>
      </c>
    </row>
    <row r="1315" spans="1:15" x14ac:dyDescent="0.35">
      <c r="A1315" t="s">
        <v>1685</v>
      </c>
      <c r="B1315" t="s">
        <v>1686</v>
      </c>
      <c r="C1315" t="s">
        <v>1644</v>
      </c>
      <c r="D1315" t="s">
        <v>293</v>
      </c>
      <c r="E1315" t="s">
        <v>296</v>
      </c>
      <c r="F1315" t="s">
        <v>1688</v>
      </c>
      <c r="G1315">
        <v>347</v>
      </c>
      <c r="H1315">
        <v>76401.280000000013</v>
      </c>
      <c r="I1315">
        <v>220.18</v>
      </c>
      <c r="J1315">
        <v>0</v>
      </c>
      <c r="K1315">
        <v>0</v>
      </c>
      <c r="L1315">
        <v>0</v>
      </c>
      <c r="M1315">
        <v>347</v>
      </c>
      <c r="N1315">
        <v>76401.280000000013</v>
      </c>
      <c r="O1315">
        <v>220.18</v>
      </c>
    </row>
    <row r="1316" spans="1:15" x14ac:dyDescent="0.35">
      <c r="A1316" t="s">
        <v>1685</v>
      </c>
      <c r="B1316" t="s">
        <v>1686</v>
      </c>
      <c r="C1316" t="s">
        <v>1644</v>
      </c>
      <c r="D1316" t="s">
        <v>293</v>
      </c>
      <c r="E1316" t="s">
        <v>298</v>
      </c>
      <c r="F1316" t="s">
        <v>1689</v>
      </c>
      <c r="G1316">
        <v>132</v>
      </c>
      <c r="H1316">
        <v>33747.910000000003</v>
      </c>
      <c r="I1316">
        <v>255.67</v>
      </c>
      <c r="J1316">
        <v>0</v>
      </c>
      <c r="K1316">
        <v>0</v>
      </c>
      <c r="L1316">
        <v>0</v>
      </c>
      <c r="M1316">
        <v>132</v>
      </c>
      <c r="N1316">
        <v>33747.910000000003</v>
      </c>
      <c r="O1316">
        <v>255.67</v>
      </c>
    </row>
    <row r="1317" spans="1:15" x14ac:dyDescent="0.35">
      <c r="A1317" t="s">
        <v>1685</v>
      </c>
      <c r="B1317" t="s">
        <v>1686</v>
      </c>
      <c r="C1317" t="s">
        <v>1644</v>
      </c>
      <c r="D1317" t="s">
        <v>293</v>
      </c>
      <c r="E1317" t="s">
        <v>300</v>
      </c>
      <c r="F1317" t="s">
        <v>1690</v>
      </c>
      <c r="G1317">
        <v>19</v>
      </c>
      <c r="H1317">
        <v>5309.1900000000005</v>
      </c>
      <c r="I1317">
        <v>279.43</v>
      </c>
      <c r="J1317">
        <v>0</v>
      </c>
      <c r="K1317">
        <v>0</v>
      </c>
      <c r="L1317">
        <v>0</v>
      </c>
      <c r="M1317">
        <v>19</v>
      </c>
      <c r="N1317">
        <v>5309.1900000000005</v>
      </c>
      <c r="O1317">
        <v>279.43</v>
      </c>
    </row>
    <row r="1318" spans="1:15" x14ac:dyDescent="0.35">
      <c r="A1318" t="s">
        <v>1685</v>
      </c>
      <c r="B1318" t="s">
        <v>1686</v>
      </c>
      <c r="C1318" t="s">
        <v>1644</v>
      </c>
      <c r="D1318" t="s">
        <v>293</v>
      </c>
      <c r="E1318" t="s">
        <v>302</v>
      </c>
      <c r="F1318" t="s">
        <v>1691</v>
      </c>
      <c r="G1318">
        <v>1</v>
      </c>
      <c r="H1318">
        <v>225.58</v>
      </c>
      <c r="I1318">
        <v>225.58</v>
      </c>
      <c r="J1318">
        <v>0</v>
      </c>
      <c r="K1318">
        <v>0</v>
      </c>
      <c r="L1318">
        <v>0</v>
      </c>
      <c r="M1318">
        <v>1</v>
      </c>
      <c r="N1318">
        <v>225.58</v>
      </c>
      <c r="O1318">
        <v>225.58</v>
      </c>
    </row>
    <row r="1319" spans="1:15" x14ac:dyDescent="0.35">
      <c r="A1319" t="s">
        <v>1685</v>
      </c>
      <c r="B1319" t="s">
        <v>1686</v>
      </c>
      <c r="C1319" t="s">
        <v>1644</v>
      </c>
      <c r="D1319" t="s">
        <v>293</v>
      </c>
      <c r="E1319" t="s">
        <v>304</v>
      </c>
      <c r="F1319" t="s">
        <v>1692</v>
      </c>
      <c r="G1319">
        <v>0</v>
      </c>
      <c r="H1319">
        <v>0</v>
      </c>
      <c r="I1319">
        <v>0</v>
      </c>
      <c r="J1319">
        <v>0</v>
      </c>
      <c r="K1319">
        <v>0</v>
      </c>
      <c r="L1319">
        <v>0</v>
      </c>
      <c r="M1319">
        <v>0</v>
      </c>
      <c r="N1319">
        <v>0</v>
      </c>
      <c r="O1319">
        <v>0</v>
      </c>
    </row>
    <row r="1320" spans="1:15" x14ac:dyDescent="0.35">
      <c r="A1320" t="s">
        <v>1685</v>
      </c>
      <c r="B1320" t="s">
        <v>1686</v>
      </c>
      <c r="C1320" t="s">
        <v>1644</v>
      </c>
      <c r="D1320" t="s">
        <v>293</v>
      </c>
      <c r="E1320" t="s">
        <v>306</v>
      </c>
      <c r="F1320" t="s">
        <v>1693</v>
      </c>
      <c r="G1320">
        <v>6</v>
      </c>
      <c r="H1320">
        <v>889.19999999999993</v>
      </c>
      <c r="I1320">
        <v>148.19999999999999</v>
      </c>
      <c r="J1320">
        <v>0</v>
      </c>
      <c r="K1320">
        <v>0</v>
      </c>
      <c r="L1320">
        <v>0</v>
      </c>
      <c r="M1320">
        <v>6</v>
      </c>
      <c r="N1320">
        <v>889.19999999999993</v>
      </c>
      <c r="O1320">
        <v>148.19999999999999</v>
      </c>
    </row>
    <row r="1321" spans="1:15" x14ac:dyDescent="0.35">
      <c r="A1321" t="s">
        <v>1685</v>
      </c>
      <c r="B1321" t="s">
        <v>1686</v>
      </c>
      <c r="C1321" t="s">
        <v>1644</v>
      </c>
      <c r="D1321" t="s">
        <v>293</v>
      </c>
      <c r="E1321" t="s">
        <v>308</v>
      </c>
      <c r="F1321" t="s">
        <v>1694</v>
      </c>
      <c r="G1321">
        <v>0</v>
      </c>
      <c r="H1321">
        <v>0</v>
      </c>
      <c r="I1321">
        <v>0</v>
      </c>
      <c r="J1321">
        <v>0</v>
      </c>
      <c r="K1321">
        <v>0</v>
      </c>
      <c r="L1321">
        <v>0</v>
      </c>
      <c r="M1321">
        <v>0</v>
      </c>
      <c r="N1321">
        <v>0</v>
      </c>
      <c r="O1321">
        <v>0</v>
      </c>
    </row>
    <row r="1322" spans="1:15" x14ac:dyDescent="0.35">
      <c r="A1322" t="s">
        <v>1685</v>
      </c>
      <c r="B1322" t="s">
        <v>1686</v>
      </c>
      <c r="C1322" t="s">
        <v>1644</v>
      </c>
      <c r="D1322" t="s">
        <v>293</v>
      </c>
      <c r="E1322" t="s">
        <v>310</v>
      </c>
      <c r="F1322" t="s">
        <v>1695</v>
      </c>
      <c r="G1322">
        <v>787</v>
      </c>
      <c r="H1322">
        <v>166463.09000000003</v>
      </c>
      <c r="I1322">
        <v>211.52</v>
      </c>
      <c r="J1322">
        <v>0</v>
      </c>
      <c r="K1322">
        <v>0</v>
      </c>
      <c r="L1322">
        <v>0</v>
      </c>
      <c r="M1322">
        <v>787</v>
      </c>
      <c r="N1322">
        <v>166463.09000000003</v>
      </c>
      <c r="O1322">
        <v>211.52</v>
      </c>
    </row>
    <row r="1323" spans="1:15" x14ac:dyDescent="0.35">
      <c r="A1323" t="s">
        <v>1685</v>
      </c>
      <c r="B1323" t="s">
        <v>1686</v>
      </c>
      <c r="C1323" t="s">
        <v>1644</v>
      </c>
      <c r="D1323" t="s">
        <v>293</v>
      </c>
      <c r="E1323" t="s">
        <v>312</v>
      </c>
      <c r="F1323" t="s">
        <v>1696</v>
      </c>
      <c r="G1323">
        <v>787</v>
      </c>
      <c r="H1323">
        <v>166463.09000000003</v>
      </c>
      <c r="I1323">
        <v>211.52</v>
      </c>
      <c r="J1323">
        <v>0</v>
      </c>
      <c r="K1323">
        <v>0</v>
      </c>
      <c r="L1323">
        <v>0</v>
      </c>
      <c r="M1323">
        <v>787</v>
      </c>
      <c r="N1323">
        <v>166463.09000000003</v>
      </c>
      <c r="O1323">
        <v>211.52</v>
      </c>
    </row>
    <row r="1324" spans="1:15" x14ac:dyDescent="0.35">
      <c r="A1324" t="s">
        <v>1685</v>
      </c>
      <c r="B1324" t="s">
        <v>1686</v>
      </c>
      <c r="C1324" t="s">
        <v>1644</v>
      </c>
      <c r="D1324" t="s">
        <v>323</v>
      </c>
      <c r="E1324" t="s">
        <v>294</v>
      </c>
      <c r="F1324" t="s">
        <v>1697</v>
      </c>
      <c r="G1324">
        <v>1495</v>
      </c>
      <c r="H1324">
        <v>170489.93</v>
      </c>
      <c r="I1324">
        <v>114.04</v>
      </c>
      <c r="J1324">
        <v>0</v>
      </c>
      <c r="K1324">
        <v>0</v>
      </c>
      <c r="L1324">
        <v>0</v>
      </c>
      <c r="M1324">
        <v>1495</v>
      </c>
      <c r="N1324">
        <v>170489.93</v>
      </c>
      <c r="O1324">
        <v>114.04</v>
      </c>
    </row>
    <row r="1325" spans="1:15" x14ac:dyDescent="0.35">
      <c r="A1325" t="s">
        <v>1685</v>
      </c>
      <c r="B1325" t="s">
        <v>1686</v>
      </c>
      <c r="C1325" t="s">
        <v>1644</v>
      </c>
      <c r="D1325" t="s">
        <v>323</v>
      </c>
      <c r="E1325" t="s">
        <v>296</v>
      </c>
      <c r="F1325" t="s">
        <v>1698</v>
      </c>
      <c r="G1325">
        <v>2369</v>
      </c>
      <c r="H1325">
        <v>317463.92000000004</v>
      </c>
      <c r="I1325">
        <v>134.01</v>
      </c>
      <c r="J1325">
        <v>0</v>
      </c>
      <c r="K1325">
        <v>0</v>
      </c>
      <c r="L1325">
        <v>0</v>
      </c>
      <c r="M1325">
        <v>2369</v>
      </c>
      <c r="N1325">
        <v>317463.92000000004</v>
      </c>
      <c r="O1325">
        <v>134.01</v>
      </c>
    </row>
    <row r="1326" spans="1:15" x14ac:dyDescent="0.35">
      <c r="A1326" t="s">
        <v>1685</v>
      </c>
      <c r="B1326" t="s">
        <v>1686</v>
      </c>
      <c r="C1326" t="s">
        <v>1644</v>
      </c>
      <c r="D1326" t="s">
        <v>323</v>
      </c>
      <c r="E1326" t="s">
        <v>298</v>
      </c>
      <c r="F1326" t="s">
        <v>1699</v>
      </c>
      <c r="G1326">
        <v>2297</v>
      </c>
      <c r="H1326">
        <v>345645.34</v>
      </c>
      <c r="I1326">
        <v>150.47999999999999</v>
      </c>
      <c r="J1326">
        <v>0</v>
      </c>
      <c r="K1326">
        <v>0</v>
      </c>
      <c r="L1326">
        <v>0</v>
      </c>
      <c r="M1326">
        <v>2297</v>
      </c>
      <c r="N1326">
        <v>345645.34</v>
      </c>
      <c r="O1326">
        <v>150.47999999999999</v>
      </c>
    </row>
    <row r="1327" spans="1:15" x14ac:dyDescent="0.35">
      <c r="A1327" t="s">
        <v>1685</v>
      </c>
      <c r="B1327" t="s">
        <v>1686</v>
      </c>
      <c r="C1327" t="s">
        <v>1644</v>
      </c>
      <c r="D1327" t="s">
        <v>323</v>
      </c>
      <c r="E1327" t="s">
        <v>300</v>
      </c>
      <c r="F1327" t="s">
        <v>1700</v>
      </c>
      <c r="G1327">
        <v>281</v>
      </c>
      <c r="H1327">
        <v>47496.299999999988</v>
      </c>
      <c r="I1327">
        <v>169.03</v>
      </c>
      <c r="J1327">
        <v>0</v>
      </c>
      <c r="K1327">
        <v>0</v>
      </c>
      <c r="L1327">
        <v>0</v>
      </c>
      <c r="M1327">
        <v>281</v>
      </c>
      <c r="N1327">
        <v>47496.299999999988</v>
      </c>
      <c r="O1327">
        <v>169.03</v>
      </c>
    </row>
    <row r="1328" spans="1:15" x14ac:dyDescent="0.35">
      <c r="A1328" t="s">
        <v>1685</v>
      </c>
      <c r="B1328" t="s">
        <v>1686</v>
      </c>
      <c r="C1328" t="s">
        <v>1644</v>
      </c>
      <c r="D1328" t="s">
        <v>323</v>
      </c>
      <c r="E1328" t="s">
        <v>302</v>
      </c>
      <c r="F1328" t="s">
        <v>1701</v>
      </c>
      <c r="G1328">
        <v>0</v>
      </c>
      <c r="H1328">
        <v>0</v>
      </c>
      <c r="I1328">
        <v>0</v>
      </c>
      <c r="J1328">
        <v>0</v>
      </c>
      <c r="K1328">
        <v>0</v>
      </c>
      <c r="L1328">
        <v>0</v>
      </c>
      <c r="M1328">
        <v>0</v>
      </c>
      <c r="N1328">
        <v>0</v>
      </c>
      <c r="O1328">
        <v>0</v>
      </c>
    </row>
    <row r="1329" spans="1:15" x14ac:dyDescent="0.35">
      <c r="A1329" t="s">
        <v>1685</v>
      </c>
      <c r="B1329" t="s">
        <v>1686</v>
      </c>
      <c r="C1329" t="s">
        <v>1644</v>
      </c>
      <c r="D1329" t="s">
        <v>323</v>
      </c>
      <c r="E1329" t="s">
        <v>304</v>
      </c>
      <c r="F1329" t="s">
        <v>1702</v>
      </c>
      <c r="G1329">
        <v>0</v>
      </c>
      <c r="H1329">
        <v>0</v>
      </c>
      <c r="I1329">
        <v>0</v>
      </c>
      <c r="J1329">
        <v>0</v>
      </c>
      <c r="K1329">
        <v>0</v>
      </c>
      <c r="L1329">
        <v>0</v>
      </c>
      <c r="M1329">
        <v>0</v>
      </c>
      <c r="N1329">
        <v>0</v>
      </c>
      <c r="O1329">
        <v>0</v>
      </c>
    </row>
    <row r="1330" spans="1:15" x14ac:dyDescent="0.35">
      <c r="A1330" t="s">
        <v>1685</v>
      </c>
      <c r="B1330" t="s">
        <v>1686</v>
      </c>
      <c r="C1330" t="s">
        <v>1644</v>
      </c>
      <c r="D1330" t="s">
        <v>323</v>
      </c>
      <c r="E1330" t="s">
        <v>306</v>
      </c>
      <c r="F1330" t="s">
        <v>1703</v>
      </c>
      <c r="G1330">
        <v>157</v>
      </c>
      <c r="H1330">
        <v>15019.75</v>
      </c>
      <c r="I1330">
        <v>95.67</v>
      </c>
      <c r="J1330">
        <v>0</v>
      </c>
      <c r="K1330">
        <v>0</v>
      </c>
      <c r="L1330">
        <v>0</v>
      </c>
      <c r="M1330">
        <v>157</v>
      </c>
      <c r="N1330">
        <v>15019.75</v>
      </c>
      <c r="O1330">
        <v>95.67</v>
      </c>
    </row>
    <row r="1331" spans="1:15" x14ac:dyDescent="0.35">
      <c r="A1331" t="s">
        <v>1685</v>
      </c>
      <c r="B1331" t="s">
        <v>1686</v>
      </c>
      <c r="C1331" t="s">
        <v>1644</v>
      </c>
      <c r="D1331" t="s">
        <v>323</v>
      </c>
      <c r="E1331" t="s">
        <v>308</v>
      </c>
      <c r="F1331" t="s">
        <v>1704</v>
      </c>
      <c r="G1331">
        <v>0</v>
      </c>
      <c r="H1331">
        <v>0</v>
      </c>
      <c r="I1331">
        <v>0</v>
      </c>
      <c r="J1331">
        <v>0</v>
      </c>
      <c r="K1331">
        <v>0</v>
      </c>
      <c r="L1331">
        <v>0</v>
      </c>
      <c r="M1331">
        <v>0</v>
      </c>
      <c r="N1331">
        <v>0</v>
      </c>
      <c r="O1331">
        <v>0</v>
      </c>
    </row>
    <row r="1332" spans="1:15" x14ac:dyDescent="0.35">
      <c r="A1332" t="s">
        <v>1685</v>
      </c>
      <c r="B1332" t="s">
        <v>1686</v>
      </c>
      <c r="C1332" t="s">
        <v>1644</v>
      </c>
      <c r="D1332" t="s">
        <v>323</v>
      </c>
      <c r="E1332" t="s">
        <v>310</v>
      </c>
      <c r="F1332" t="s">
        <v>1705</v>
      </c>
      <c r="G1332">
        <v>6599</v>
      </c>
      <c r="H1332">
        <v>896115.24</v>
      </c>
      <c r="I1332">
        <v>135.80000000000001</v>
      </c>
      <c r="J1332">
        <v>0</v>
      </c>
      <c r="K1332">
        <v>0</v>
      </c>
      <c r="L1332">
        <v>0</v>
      </c>
      <c r="M1332">
        <v>6599</v>
      </c>
      <c r="N1332">
        <v>896115.24</v>
      </c>
      <c r="O1332">
        <v>135.80000000000001</v>
      </c>
    </row>
    <row r="1333" spans="1:15" x14ac:dyDescent="0.35">
      <c r="A1333" t="s">
        <v>1685</v>
      </c>
      <c r="B1333" t="s">
        <v>1686</v>
      </c>
      <c r="C1333" t="s">
        <v>1644</v>
      </c>
      <c r="D1333" t="s">
        <v>323</v>
      </c>
      <c r="E1333" t="s">
        <v>312</v>
      </c>
      <c r="F1333" t="s">
        <v>1706</v>
      </c>
      <c r="G1333">
        <v>6599</v>
      </c>
      <c r="H1333">
        <v>896115.24</v>
      </c>
      <c r="I1333">
        <v>135.80000000000001</v>
      </c>
      <c r="J1333">
        <v>0</v>
      </c>
      <c r="K1333">
        <v>0</v>
      </c>
      <c r="L1333">
        <v>0</v>
      </c>
      <c r="M1333">
        <v>6599</v>
      </c>
      <c r="N1333">
        <v>896115.24</v>
      </c>
      <c r="O1333">
        <v>135.80000000000001</v>
      </c>
    </row>
    <row r="1334" spans="1:15" x14ac:dyDescent="0.35">
      <c r="A1334" t="s">
        <v>1685</v>
      </c>
      <c r="B1334" t="s">
        <v>1686</v>
      </c>
      <c r="C1334" t="s">
        <v>1644</v>
      </c>
      <c r="D1334" t="s">
        <v>334</v>
      </c>
      <c r="E1334" t="s">
        <v>312</v>
      </c>
      <c r="F1334" t="s">
        <v>1707</v>
      </c>
      <c r="G1334">
        <v>7439</v>
      </c>
      <c r="H1334">
        <v>1062578.33</v>
      </c>
      <c r="I1334">
        <v>143.86000000000001</v>
      </c>
      <c r="J1334">
        <v>0</v>
      </c>
      <c r="K1334">
        <v>0</v>
      </c>
      <c r="L1334">
        <v>0</v>
      </c>
      <c r="M1334">
        <v>7439</v>
      </c>
      <c r="N1334">
        <v>1062578.33</v>
      </c>
      <c r="O1334">
        <v>143.86000000000001</v>
      </c>
    </row>
    <row r="1335" spans="1:15" x14ac:dyDescent="0.35">
      <c r="A1335" t="s">
        <v>1685</v>
      </c>
      <c r="B1335" t="s">
        <v>1686</v>
      </c>
      <c r="C1335" t="s">
        <v>1644</v>
      </c>
      <c r="D1335" t="s">
        <v>334</v>
      </c>
      <c r="E1335" t="s">
        <v>308</v>
      </c>
      <c r="F1335" t="s">
        <v>1708</v>
      </c>
      <c r="G1335">
        <v>0</v>
      </c>
      <c r="H1335">
        <v>0</v>
      </c>
      <c r="I1335">
        <v>0</v>
      </c>
      <c r="J1335">
        <v>0</v>
      </c>
      <c r="K1335">
        <v>0</v>
      </c>
      <c r="L1335">
        <v>0</v>
      </c>
      <c r="M1335">
        <v>0</v>
      </c>
      <c r="N1335">
        <v>0</v>
      </c>
      <c r="O1335">
        <v>0</v>
      </c>
    </row>
    <row r="1336" spans="1:15" x14ac:dyDescent="0.35">
      <c r="A1336" t="s">
        <v>1685</v>
      </c>
      <c r="B1336" t="s">
        <v>1686</v>
      </c>
      <c r="C1336" t="s">
        <v>1644</v>
      </c>
      <c r="D1336" t="s">
        <v>337</v>
      </c>
      <c r="E1336" t="s">
        <v>337</v>
      </c>
      <c r="F1336" t="s">
        <v>1709</v>
      </c>
      <c r="G1336">
        <v>873</v>
      </c>
      <c r="J1336">
        <v>0</v>
      </c>
      <c r="M1336">
        <v>873</v>
      </c>
    </row>
    <row r="1337" spans="1:15" x14ac:dyDescent="0.35">
      <c r="A1337" t="s">
        <v>1685</v>
      </c>
      <c r="B1337" t="s">
        <v>1686</v>
      </c>
      <c r="C1337" t="s">
        <v>1644</v>
      </c>
      <c r="D1337" t="s">
        <v>339</v>
      </c>
      <c r="E1337" t="s">
        <v>294</v>
      </c>
      <c r="F1337" t="s">
        <v>1710</v>
      </c>
      <c r="G1337">
        <v>402</v>
      </c>
      <c r="H1337">
        <v>51253.17</v>
      </c>
      <c r="I1337">
        <v>127.5</v>
      </c>
      <c r="J1337">
        <v>0</v>
      </c>
      <c r="K1337">
        <v>0</v>
      </c>
      <c r="L1337">
        <v>0</v>
      </c>
      <c r="M1337">
        <v>402</v>
      </c>
      <c r="N1337">
        <v>51253.17</v>
      </c>
      <c r="O1337">
        <v>127.5</v>
      </c>
    </row>
    <row r="1338" spans="1:15" x14ac:dyDescent="0.35">
      <c r="A1338" t="s">
        <v>1685</v>
      </c>
      <c r="B1338" t="s">
        <v>1686</v>
      </c>
      <c r="C1338" t="s">
        <v>1644</v>
      </c>
      <c r="D1338" t="s">
        <v>339</v>
      </c>
      <c r="E1338" t="s">
        <v>296</v>
      </c>
      <c r="F1338" t="s">
        <v>1711</v>
      </c>
      <c r="G1338">
        <v>79</v>
      </c>
      <c r="H1338">
        <v>11426.29</v>
      </c>
      <c r="I1338">
        <v>144.63999999999999</v>
      </c>
      <c r="J1338">
        <v>0</v>
      </c>
      <c r="K1338">
        <v>0</v>
      </c>
      <c r="L1338">
        <v>0</v>
      </c>
      <c r="M1338">
        <v>79</v>
      </c>
      <c r="N1338">
        <v>11426.29</v>
      </c>
      <c r="O1338">
        <v>144.63999999999999</v>
      </c>
    </row>
    <row r="1339" spans="1:15" x14ac:dyDescent="0.35">
      <c r="A1339" t="s">
        <v>1685</v>
      </c>
      <c r="B1339" t="s">
        <v>1686</v>
      </c>
      <c r="C1339" t="s">
        <v>1644</v>
      </c>
      <c r="D1339" t="s">
        <v>339</v>
      </c>
      <c r="E1339" t="s">
        <v>298</v>
      </c>
      <c r="F1339" t="s">
        <v>1712</v>
      </c>
      <c r="G1339">
        <v>3</v>
      </c>
      <c r="H1339">
        <v>475.52</v>
      </c>
      <c r="I1339">
        <v>158.51</v>
      </c>
      <c r="J1339">
        <v>0</v>
      </c>
      <c r="K1339">
        <v>0</v>
      </c>
      <c r="L1339">
        <v>0</v>
      </c>
      <c r="M1339">
        <v>3</v>
      </c>
      <c r="N1339">
        <v>475.52</v>
      </c>
      <c r="O1339">
        <v>158.51</v>
      </c>
    </row>
    <row r="1340" spans="1:15" x14ac:dyDescent="0.35">
      <c r="A1340" t="s">
        <v>1685</v>
      </c>
      <c r="B1340" t="s">
        <v>1686</v>
      </c>
      <c r="C1340" t="s">
        <v>1644</v>
      </c>
      <c r="D1340" t="s">
        <v>339</v>
      </c>
      <c r="E1340" t="s">
        <v>300</v>
      </c>
      <c r="F1340" t="s">
        <v>1713</v>
      </c>
      <c r="G1340">
        <v>0</v>
      </c>
      <c r="H1340">
        <v>0</v>
      </c>
      <c r="I1340">
        <v>0</v>
      </c>
      <c r="J1340">
        <v>0</v>
      </c>
      <c r="K1340">
        <v>0</v>
      </c>
      <c r="L1340">
        <v>0</v>
      </c>
      <c r="M1340">
        <v>0</v>
      </c>
      <c r="N1340">
        <v>0</v>
      </c>
      <c r="O1340">
        <v>0</v>
      </c>
    </row>
    <row r="1341" spans="1:15" x14ac:dyDescent="0.35">
      <c r="A1341" t="s">
        <v>1685</v>
      </c>
      <c r="B1341" t="s">
        <v>1686</v>
      </c>
      <c r="C1341" t="s">
        <v>1644</v>
      </c>
      <c r="D1341" t="s">
        <v>339</v>
      </c>
      <c r="E1341" t="s">
        <v>306</v>
      </c>
      <c r="F1341" t="s">
        <v>1714</v>
      </c>
      <c r="G1341">
        <v>120</v>
      </c>
      <c r="H1341">
        <v>12707.29</v>
      </c>
      <c r="I1341">
        <v>105.89</v>
      </c>
      <c r="J1341">
        <v>0</v>
      </c>
      <c r="K1341">
        <v>0</v>
      </c>
      <c r="L1341">
        <v>0</v>
      </c>
      <c r="M1341">
        <v>120</v>
      </c>
      <c r="N1341">
        <v>12707.29</v>
      </c>
      <c r="O1341">
        <v>105.89</v>
      </c>
    </row>
    <row r="1342" spans="1:15" x14ac:dyDescent="0.35">
      <c r="A1342" t="s">
        <v>1685</v>
      </c>
      <c r="B1342" t="s">
        <v>1686</v>
      </c>
      <c r="C1342" t="s">
        <v>1644</v>
      </c>
      <c r="D1342" t="s">
        <v>339</v>
      </c>
      <c r="E1342" t="s">
        <v>308</v>
      </c>
      <c r="F1342" t="s">
        <v>1715</v>
      </c>
      <c r="G1342">
        <v>115</v>
      </c>
      <c r="H1342">
        <v>13449.55</v>
      </c>
      <c r="I1342">
        <v>116.95</v>
      </c>
      <c r="J1342">
        <v>0</v>
      </c>
      <c r="K1342">
        <v>0</v>
      </c>
      <c r="L1342">
        <v>0</v>
      </c>
      <c r="M1342">
        <v>115</v>
      </c>
      <c r="N1342">
        <v>13449.55</v>
      </c>
      <c r="O1342">
        <v>116.95</v>
      </c>
    </row>
    <row r="1343" spans="1:15" x14ac:dyDescent="0.35">
      <c r="A1343" t="s">
        <v>1685</v>
      </c>
      <c r="B1343" t="s">
        <v>1686</v>
      </c>
      <c r="C1343" t="s">
        <v>1644</v>
      </c>
      <c r="D1343" t="s">
        <v>339</v>
      </c>
      <c r="E1343" t="s">
        <v>310</v>
      </c>
      <c r="F1343" t="s">
        <v>1716</v>
      </c>
      <c r="G1343">
        <v>719</v>
      </c>
      <c r="H1343">
        <v>89311.819999999992</v>
      </c>
      <c r="I1343">
        <v>124.22</v>
      </c>
      <c r="J1343">
        <v>0</v>
      </c>
      <c r="K1343">
        <v>0</v>
      </c>
      <c r="L1343">
        <v>0</v>
      </c>
      <c r="M1343">
        <v>719</v>
      </c>
      <c r="N1343">
        <v>89311.819999999992</v>
      </c>
      <c r="O1343">
        <v>124.22</v>
      </c>
    </row>
    <row r="1344" spans="1:15" x14ac:dyDescent="0.35">
      <c r="A1344" t="s">
        <v>1685</v>
      </c>
      <c r="B1344" t="s">
        <v>1686</v>
      </c>
      <c r="C1344" t="s">
        <v>1644</v>
      </c>
      <c r="D1344" t="s">
        <v>339</v>
      </c>
      <c r="E1344" t="s">
        <v>312</v>
      </c>
      <c r="F1344" t="s">
        <v>1717</v>
      </c>
      <c r="G1344">
        <v>604</v>
      </c>
      <c r="H1344">
        <v>75862.26999999999</v>
      </c>
      <c r="I1344">
        <v>125.6</v>
      </c>
      <c r="J1344">
        <v>0</v>
      </c>
      <c r="K1344">
        <v>0</v>
      </c>
      <c r="L1344">
        <v>0</v>
      </c>
      <c r="M1344">
        <v>604</v>
      </c>
      <c r="N1344">
        <v>75862.26999999999</v>
      </c>
      <c r="O1344">
        <v>125.6</v>
      </c>
    </row>
    <row r="1345" spans="1:15" x14ac:dyDescent="0.35">
      <c r="A1345" t="s">
        <v>1685</v>
      </c>
      <c r="B1345" t="s">
        <v>1686</v>
      </c>
      <c r="C1345" t="s">
        <v>1644</v>
      </c>
      <c r="D1345" t="s">
        <v>348</v>
      </c>
      <c r="E1345" t="s">
        <v>349</v>
      </c>
      <c r="F1345" t="s">
        <v>1718</v>
      </c>
      <c r="G1345">
        <v>757</v>
      </c>
      <c r="H1345">
        <v>89311.819999999992</v>
      </c>
      <c r="I1345">
        <v>124.22</v>
      </c>
      <c r="J1345">
        <v>0</v>
      </c>
      <c r="K1345">
        <v>0</v>
      </c>
      <c r="L1345">
        <v>0</v>
      </c>
      <c r="M1345">
        <v>757</v>
      </c>
      <c r="N1345">
        <v>89311.819999999992</v>
      </c>
      <c r="O1345">
        <v>124.22</v>
      </c>
    </row>
    <row r="1346" spans="1:15" x14ac:dyDescent="0.35">
      <c r="A1346" t="s">
        <v>1719</v>
      </c>
      <c r="B1346" t="s">
        <v>203</v>
      </c>
      <c r="C1346" t="s">
        <v>1644</v>
      </c>
      <c r="D1346" t="s">
        <v>293</v>
      </c>
      <c r="E1346" t="s">
        <v>294</v>
      </c>
      <c r="F1346" t="s">
        <v>1720</v>
      </c>
      <c r="G1346">
        <v>133</v>
      </c>
      <c r="H1346">
        <v>21404.98</v>
      </c>
      <c r="I1346">
        <v>160.94</v>
      </c>
      <c r="J1346">
        <v>0</v>
      </c>
      <c r="K1346">
        <v>0</v>
      </c>
      <c r="L1346">
        <v>0</v>
      </c>
      <c r="M1346">
        <v>133</v>
      </c>
      <c r="N1346">
        <v>21404.98</v>
      </c>
      <c r="O1346">
        <v>160.94</v>
      </c>
    </row>
    <row r="1347" spans="1:15" x14ac:dyDescent="0.35">
      <c r="A1347" t="s">
        <v>1719</v>
      </c>
      <c r="B1347" t="s">
        <v>203</v>
      </c>
      <c r="C1347" t="s">
        <v>1644</v>
      </c>
      <c r="D1347" t="s">
        <v>293</v>
      </c>
      <c r="E1347" t="s">
        <v>296</v>
      </c>
      <c r="F1347" t="s">
        <v>1721</v>
      </c>
      <c r="G1347">
        <v>210</v>
      </c>
      <c r="H1347">
        <v>41111.279999999999</v>
      </c>
      <c r="I1347">
        <v>195.77</v>
      </c>
      <c r="J1347">
        <v>0</v>
      </c>
      <c r="K1347">
        <v>0</v>
      </c>
      <c r="L1347">
        <v>0</v>
      </c>
      <c r="M1347">
        <v>210</v>
      </c>
      <c r="N1347">
        <v>41111.279999999999</v>
      </c>
      <c r="O1347">
        <v>195.77</v>
      </c>
    </row>
    <row r="1348" spans="1:15" x14ac:dyDescent="0.35">
      <c r="A1348" t="s">
        <v>1719</v>
      </c>
      <c r="B1348" t="s">
        <v>203</v>
      </c>
      <c r="C1348" t="s">
        <v>1644</v>
      </c>
      <c r="D1348" t="s">
        <v>293</v>
      </c>
      <c r="E1348" t="s">
        <v>298</v>
      </c>
      <c r="F1348" t="s">
        <v>1722</v>
      </c>
      <c r="G1348">
        <v>110</v>
      </c>
      <c r="H1348">
        <v>24987.420000000002</v>
      </c>
      <c r="I1348">
        <v>227.16</v>
      </c>
      <c r="J1348">
        <v>0</v>
      </c>
      <c r="K1348">
        <v>0</v>
      </c>
      <c r="L1348">
        <v>0</v>
      </c>
      <c r="M1348">
        <v>110</v>
      </c>
      <c r="N1348">
        <v>24987.420000000002</v>
      </c>
      <c r="O1348">
        <v>227.16</v>
      </c>
    </row>
    <row r="1349" spans="1:15" x14ac:dyDescent="0.35">
      <c r="A1349" t="s">
        <v>1719</v>
      </c>
      <c r="B1349" t="s">
        <v>203</v>
      </c>
      <c r="C1349" t="s">
        <v>1644</v>
      </c>
      <c r="D1349" t="s">
        <v>293</v>
      </c>
      <c r="E1349" t="s">
        <v>300</v>
      </c>
      <c r="F1349" t="s">
        <v>1723</v>
      </c>
      <c r="G1349">
        <v>10</v>
      </c>
      <c r="H1349">
        <v>2373.7999999999997</v>
      </c>
      <c r="I1349">
        <v>237.38</v>
      </c>
      <c r="J1349">
        <v>0</v>
      </c>
      <c r="K1349">
        <v>0</v>
      </c>
      <c r="L1349">
        <v>0</v>
      </c>
      <c r="M1349">
        <v>10</v>
      </c>
      <c r="N1349">
        <v>2373.7999999999997</v>
      </c>
      <c r="O1349">
        <v>237.38</v>
      </c>
    </row>
    <row r="1350" spans="1:15" x14ac:dyDescent="0.35">
      <c r="A1350" t="s">
        <v>1719</v>
      </c>
      <c r="B1350" t="s">
        <v>203</v>
      </c>
      <c r="C1350" t="s">
        <v>1644</v>
      </c>
      <c r="D1350" t="s">
        <v>293</v>
      </c>
      <c r="E1350" t="s">
        <v>302</v>
      </c>
      <c r="F1350" t="s">
        <v>1724</v>
      </c>
      <c r="G1350">
        <v>0</v>
      </c>
      <c r="H1350">
        <v>0</v>
      </c>
      <c r="I1350">
        <v>0</v>
      </c>
      <c r="J1350">
        <v>0</v>
      </c>
      <c r="K1350">
        <v>0</v>
      </c>
      <c r="L1350">
        <v>0</v>
      </c>
      <c r="M1350">
        <v>0</v>
      </c>
      <c r="N1350">
        <v>0</v>
      </c>
      <c r="O1350">
        <v>0</v>
      </c>
    </row>
    <row r="1351" spans="1:15" x14ac:dyDescent="0.35">
      <c r="A1351" t="s">
        <v>1719</v>
      </c>
      <c r="B1351" t="s">
        <v>203</v>
      </c>
      <c r="C1351" t="s">
        <v>1644</v>
      </c>
      <c r="D1351" t="s">
        <v>293</v>
      </c>
      <c r="E1351" t="s">
        <v>304</v>
      </c>
      <c r="F1351" t="s">
        <v>1725</v>
      </c>
      <c r="G1351">
        <v>0</v>
      </c>
      <c r="H1351">
        <v>0</v>
      </c>
      <c r="I1351">
        <v>0</v>
      </c>
      <c r="J1351">
        <v>0</v>
      </c>
      <c r="K1351">
        <v>0</v>
      </c>
      <c r="L1351">
        <v>0</v>
      </c>
      <c r="M1351">
        <v>0</v>
      </c>
      <c r="N1351">
        <v>0</v>
      </c>
      <c r="O1351">
        <v>0</v>
      </c>
    </row>
    <row r="1352" spans="1:15" x14ac:dyDescent="0.35">
      <c r="A1352" t="s">
        <v>1719</v>
      </c>
      <c r="B1352" t="s">
        <v>203</v>
      </c>
      <c r="C1352" t="s">
        <v>1644</v>
      </c>
      <c r="D1352" t="s">
        <v>293</v>
      </c>
      <c r="E1352" t="s">
        <v>306</v>
      </c>
      <c r="F1352" t="s">
        <v>1726</v>
      </c>
      <c r="G1352">
        <v>0</v>
      </c>
      <c r="H1352">
        <v>0</v>
      </c>
      <c r="I1352">
        <v>0</v>
      </c>
      <c r="J1352">
        <v>0</v>
      </c>
      <c r="K1352">
        <v>0</v>
      </c>
      <c r="L1352">
        <v>0</v>
      </c>
      <c r="M1352">
        <v>0</v>
      </c>
      <c r="N1352">
        <v>0</v>
      </c>
      <c r="O1352">
        <v>0</v>
      </c>
    </row>
    <row r="1353" spans="1:15" x14ac:dyDescent="0.35">
      <c r="A1353" t="s">
        <v>1719</v>
      </c>
      <c r="B1353" t="s">
        <v>203</v>
      </c>
      <c r="C1353" t="s">
        <v>1644</v>
      </c>
      <c r="D1353" t="s">
        <v>293</v>
      </c>
      <c r="E1353" t="s">
        <v>308</v>
      </c>
      <c r="F1353" t="s">
        <v>1727</v>
      </c>
      <c r="G1353">
        <v>0</v>
      </c>
      <c r="H1353">
        <v>0</v>
      </c>
      <c r="I1353">
        <v>0</v>
      </c>
      <c r="J1353">
        <v>0</v>
      </c>
      <c r="K1353">
        <v>0</v>
      </c>
      <c r="L1353">
        <v>0</v>
      </c>
      <c r="M1353">
        <v>0</v>
      </c>
      <c r="N1353">
        <v>0</v>
      </c>
      <c r="O1353">
        <v>0</v>
      </c>
    </row>
    <row r="1354" spans="1:15" x14ac:dyDescent="0.35">
      <c r="A1354" t="s">
        <v>1719</v>
      </c>
      <c r="B1354" t="s">
        <v>203</v>
      </c>
      <c r="C1354" t="s">
        <v>1644</v>
      </c>
      <c r="D1354" t="s">
        <v>293</v>
      </c>
      <c r="E1354" t="s">
        <v>310</v>
      </c>
      <c r="F1354" t="s">
        <v>1728</v>
      </c>
      <c r="G1354">
        <v>463</v>
      </c>
      <c r="H1354">
        <v>89877.48</v>
      </c>
      <c r="I1354">
        <v>194.12</v>
      </c>
      <c r="J1354">
        <v>0</v>
      </c>
      <c r="K1354">
        <v>0</v>
      </c>
      <c r="L1354">
        <v>0</v>
      </c>
      <c r="M1354">
        <v>463</v>
      </c>
      <c r="N1354">
        <v>89877.48</v>
      </c>
      <c r="O1354">
        <v>194.12</v>
      </c>
    </row>
    <row r="1355" spans="1:15" x14ac:dyDescent="0.35">
      <c r="A1355" t="s">
        <v>1719</v>
      </c>
      <c r="B1355" t="s">
        <v>203</v>
      </c>
      <c r="C1355" t="s">
        <v>1644</v>
      </c>
      <c r="D1355" t="s">
        <v>293</v>
      </c>
      <c r="E1355" t="s">
        <v>312</v>
      </c>
      <c r="F1355" t="s">
        <v>1729</v>
      </c>
      <c r="G1355">
        <v>463</v>
      </c>
      <c r="H1355">
        <v>89877.48</v>
      </c>
      <c r="I1355">
        <v>194.12</v>
      </c>
      <c r="J1355">
        <v>0</v>
      </c>
      <c r="K1355">
        <v>0</v>
      </c>
      <c r="L1355">
        <v>0</v>
      </c>
      <c r="M1355">
        <v>463</v>
      </c>
      <c r="N1355">
        <v>89877.48</v>
      </c>
      <c r="O1355">
        <v>194.12</v>
      </c>
    </row>
    <row r="1356" spans="1:15" x14ac:dyDescent="0.35">
      <c r="A1356" t="s">
        <v>1719</v>
      </c>
      <c r="B1356" t="s">
        <v>203</v>
      </c>
      <c r="C1356" t="s">
        <v>1644</v>
      </c>
      <c r="D1356" t="s">
        <v>314</v>
      </c>
      <c r="E1356" t="s">
        <v>294</v>
      </c>
      <c r="F1356" t="s">
        <v>1730</v>
      </c>
      <c r="G1356">
        <v>21</v>
      </c>
      <c r="H1356">
        <v>3729.5699999999997</v>
      </c>
      <c r="I1356">
        <v>177.6</v>
      </c>
      <c r="J1356">
        <v>0</v>
      </c>
      <c r="K1356">
        <v>0</v>
      </c>
      <c r="L1356">
        <v>0</v>
      </c>
      <c r="M1356">
        <v>21</v>
      </c>
      <c r="N1356">
        <v>3729.5699999999997</v>
      </c>
      <c r="O1356">
        <v>177.6</v>
      </c>
    </row>
    <row r="1357" spans="1:15" x14ac:dyDescent="0.35">
      <c r="A1357" t="s">
        <v>1719</v>
      </c>
      <c r="B1357" t="s">
        <v>203</v>
      </c>
      <c r="C1357" t="s">
        <v>1644</v>
      </c>
      <c r="D1357" t="s">
        <v>314</v>
      </c>
      <c r="E1357" t="s">
        <v>296</v>
      </c>
      <c r="F1357" t="s">
        <v>1731</v>
      </c>
      <c r="G1357">
        <v>21</v>
      </c>
      <c r="H1357">
        <v>4335.66</v>
      </c>
      <c r="I1357">
        <v>206.46</v>
      </c>
      <c r="J1357">
        <v>0</v>
      </c>
      <c r="K1357">
        <v>0</v>
      </c>
      <c r="L1357">
        <v>0</v>
      </c>
      <c r="M1357">
        <v>21</v>
      </c>
      <c r="N1357">
        <v>4335.66</v>
      </c>
      <c r="O1357">
        <v>206.46</v>
      </c>
    </row>
    <row r="1358" spans="1:15" x14ac:dyDescent="0.35">
      <c r="A1358" t="s">
        <v>1719</v>
      </c>
      <c r="B1358" t="s">
        <v>203</v>
      </c>
      <c r="C1358" t="s">
        <v>1644</v>
      </c>
      <c r="D1358" t="s">
        <v>314</v>
      </c>
      <c r="E1358" t="s">
        <v>298</v>
      </c>
      <c r="F1358" t="s">
        <v>1732</v>
      </c>
      <c r="G1358">
        <v>0</v>
      </c>
      <c r="H1358">
        <v>0</v>
      </c>
      <c r="I1358">
        <v>0</v>
      </c>
      <c r="J1358">
        <v>0</v>
      </c>
      <c r="K1358">
        <v>0</v>
      </c>
      <c r="L1358">
        <v>0</v>
      </c>
      <c r="M1358">
        <v>0</v>
      </c>
      <c r="N1358">
        <v>0</v>
      </c>
      <c r="O1358">
        <v>0</v>
      </c>
    </row>
    <row r="1359" spans="1:15" x14ac:dyDescent="0.35">
      <c r="A1359" t="s">
        <v>1719</v>
      </c>
      <c r="B1359" t="s">
        <v>203</v>
      </c>
      <c r="C1359" t="s">
        <v>1644</v>
      </c>
      <c r="D1359" t="s">
        <v>314</v>
      </c>
      <c r="E1359" t="s">
        <v>300</v>
      </c>
      <c r="F1359" t="s">
        <v>1733</v>
      </c>
      <c r="G1359">
        <v>0</v>
      </c>
      <c r="H1359">
        <v>0</v>
      </c>
      <c r="I1359">
        <v>0</v>
      </c>
      <c r="J1359">
        <v>0</v>
      </c>
      <c r="K1359">
        <v>0</v>
      </c>
      <c r="L1359">
        <v>0</v>
      </c>
      <c r="M1359">
        <v>0</v>
      </c>
      <c r="N1359">
        <v>0</v>
      </c>
      <c r="O1359">
        <v>0</v>
      </c>
    </row>
    <row r="1360" spans="1:15" x14ac:dyDescent="0.35">
      <c r="A1360" t="s">
        <v>1719</v>
      </c>
      <c r="B1360" t="s">
        <v>203</v>
      </c>
      <c r="C1360" t="s">
        <v>1644</v>
      </c>
      <c r="D1360" t="s">
        <v>314</v>
      </c>
      <c r="E1360" t="s">
        <v>306</v>
      </c>
      <c r="F1360" t="s">
        <v>1734</v>
      </c>
      <c r="G1360">
        <v>0</v>
      </c>
      <c r="H1360">
        <v>0</v>
      </c>
      <c r="I1360">
        <v>0</v>
      </c>
      <c r="J1360">
        <v>0</v>
      </c>
      <c r="K1360">
        <v>0</v>
      </c>
      <c r="L1360">
        <v>0</v>
      </c>
      <c r="M1360">
        <v>0</v>
      </c>
      <c r="N1360">
        <v>0</v>
      </c>
      <c r="O1360">
        <v>0</v>
      </c>
    </row>
    <row r="1361" spans="1:15" x14ac:dyDescent="0.35">
      <c r="A1361" t="s">
        <v>1719</v>
      </c>
      <c r="B1361" t="s">
        <v>203</v>
      </c>
      <c r="C1361" t="s">
        <v>1644</v>
      </c>
      <c r="D1361" t="s">
        <v>314</v>
      </c>
      <c r="E1361" t="s">
        <v>308</v>
      </c>
      <c r="F1361" t="s">
        <v>1735</v>
      </c>
      <c r="G1361">
        <v>0</v>
      </c>
      <c r="H1361">
        <v>0</v>
      </c>
      <c r="I1361">
        <v>0</v>
      </c>
      <c r="J1361">
        <v>0</v>
      </c>
      <c r="K1361">
        <v>0</v>
      </c>
      <c r="L1361">
        <v>0</v>
      </c>
      <c r="M1361">
        <v>0</v>
      </c>
      <c r="N1361">
        <v>0</v>
      </c>
      <c r="O1361">
        <v>0</v>
      </c>
    </row>
    <row r="1362" spans="1:15" x14ac:dyDescent="0.35">
      <c r="A1362" t="s">
        <v>1719</v>
      </c>
      <c r="B1362" t="s">
        <v>203</v>
      </c>
      <c r="C1362" t="s">
        <v>1644</v>
      </c>
      <c r="D1362" t="s">
        <v>314</v>
      </c>
      <c r="E1362" t="s">
        <v>312</v>
      </c>
      <c r="F1362" t="s">
        <v>1736</v>
      </c>
      <c r="G1362">
        <v>42</v>
      </c>
      <c r="H1362">
        <v>8065.23</v>
      </c>
      <c r="I1362">
        <v>192.03</v>
      </c>
      <c r="J1362">
        <v>0</v>
      </c>
      <c r="K1362">
        <v>0</v>
      </c>
      <c r="L1362">
        <v>0</v>
      </c>
      <c r="M1362">
        <v>42</v>
      </c>
      <c r="N1362">
        <v>8065.23</v>
      </c>
      <c r="O1362">
        <v>192.03</v>
      </c>
    </row>
    <row r="1363" spans="1:15" x14ac:dyDescent="0.35">
      <c r="A1363" t="s">
        <v>1719</v>
      </c>
      <c r="B1363" t="s">
        <v>203</v>
      </c>
      <c r="C1363" t="s">
        <v>1644</v>
      </c>
      <c r="D1363" t="s">
        <v>314</v>
      </c>
      <c r="E1363" t="s">
        <v>310</v>
      </c>
      <c r="F1363" t="s">
        <v>1737</v>
      </c>
      <c r="G1363">
        <v>42</v>
      </c>
      <c r="H1363">
        <v>8065.23</v>
      </c>
      <c r="I1363">
        <v>192.03</v>
      </c>
      <c r="J1363">
        <v>0</v>
      </c>
      <c r="K1363">
        <v>0</v>
      </c>
      <c r="L1363">
        <v>0</v>
      </c>
      <c r="M1363">
        <v>42</v>
      </c>
      <c r="N1363">
        <v>8065.23</v>
      </c>
      <c r="O1363">
        <v>192.03</v>
      </c>
    </row>
    <row r="1364" spans="1:15" x14ac:dyDescent="0.35">
      <c r="A1364" t="s">
        <v>1719</v>
      </c>
      <c r="B1364" t="s">
        <v>203</v>
      </c>
      <c r="C1364" t="s">
        <v>1644</v>
      </c>
      <c r="D1364" t="s">
        <v>323</v>
      </c>
      <c r="E1364" t="s">
        <v>294</v>
      </c>
      <c r="F1364" t="s">
        <v>1738</v>
      </c>
      <c r="G1364">
        <v>1595</v>
      </c>
      <c r="H1364">
        <v>191256.83000000002</v>
      </c>
      <c r="I1364">
        <v>119.91</v>
      </c>
      <c r="J1364">
        <v>0</v>
      </c>
      <c r="K1364">
        <v>0</v>
      </c>
      <c r="L1364">
        <v>0</v>
      </c>
      <c r="M1364">
        <v>1595</v>
      </c>
      <c r="N1364">
        <v>191256.83000000002</v>
      </c>
      <c r="O1364">
        <v>119.91</v>
      </c>
    </row>
    <row r="1365" spans="1:15" x14ac:dyDescent="0.35">
      <c r="A1365" t="s">
        <v>1719</v>
      </c>
      <c r="B1365" t="s">
        <v>203</v>
      </c>
      <c r="C1365" t="s">
        <v>1644</v>
      </c>
      <c r="D1365" t="s">
        <v>323</v>
      </c>
      <c r="E1365" t="s">
        <v>296</v>
      </c>
      <c r="F1365" t="s">
        <v>1739</v>
      </c>
      <c r="G1365">
        <v>2687</v>
      </c>
      <c r="H1365">
        <v>391636.08999999997</v>
      </c>
      <c r="I1365">
        <v>145.75</v>
      </c>
      <c r="J1365">
        <v>0</v>
      </c>
      <c r="K1365">
        <v>0</v>
      </c>
      <c r="L1365">
        <v>0</v>
      </c>
      <c r="M1365">
        <v>2687</v>
      </c>
      <c r="N1365">
        <v>391636.08999999997</v>
      </c>
      <c r="O1365">
        <v>145.75</v>
      </c>
    </row>
    <row r="1366" spans="1:15" x14ac:dyDescent="0.35">
      <c r="A1366" t="s">
        <v>1719</v>
      </c>
      <c r="B1366" t="s">
        <v>203</v>
      </c>
      <c r="C1366" t="s">
        <v>1644</v>
      </c>
      <c r="D1366" t="s">
        <v>323</v>
      </c>
      <c r="E1366" t="s">
        <v>298</v>
      </c>
      <c r="F1366" t="s">
        <v>1740</v>
      </c>
      <c r="G1366">
        <v>3038</v>
      </c>
      <c r="H1366">
        <v>483045.87000000005</v>
      </c>
      <c r="I1366">
        <v>159</v>
      </c>
      <c r="J1366">
        <v>0</v>
      </c>
      <c r="K1366">
        <v>0</v>
      </c>
      <c r="L1366">
        <v>0</v>
      </c>
      <c r="M1366">
        <v>3038</v>
      </c>
      <c r="N1366">
        <v>483045.87000000005</v>
      </c>
      <c r="O1366">
        <v>159</v>
      </c>
    </row>
    <row r="1367" spans="1:15" x14ac:dyDescent="0.35">
      <c r="A1367" t="s">
        <v>1719</v>
      </c>
      <c r="B1367" t="s">
        <v>203</v>
      </c>
      <c r="C1367" t="s">
        <v>1644</v>
      </c>
      <c r="D1367" t="s">
        <v>323</v>
      </c>
      <c r="E1367" t="s">
        <v>300</v>
      </c>
      <c r="F1367" t="s">
        <v>1741</v>
      </c>
      <c r="G1367">
        <v>240</v>
      </c>
      <c r="H1367">
        <v>42805.21</v>
      </c>
      <c r="I1367">
        <v>178.36</v>
      </c>
      <c r="J1367">
        <v>0</v>
      </c>
      <c r="K1367">
        <v>0</v>
      </c>
      <c r="L1367">
        <v>0</v>
      </c>
      <c r="M1367">
        <v>240</v>
      </c>
      <c r="N1367">
        <v>42805.21</v>
      </c>
      <c r="O1367">
        <v>178.36</v>
      </c>
    </row>
    <row r="1368" spans="1:15" x14ac:dyDescent="0.35">
      <c r="A1368" t="s">
        <v>1719</v>
      </c>
      <c r="B1368" t="s">
        <v>203</v>
      </c>
      <c r="C1368" t="s">
        <v>1644</v>
      </c>
      <c r="D1368" t="s">
        <v>323</v>
      </c>
      <c r="E1368" t="s">
        <v>302</v>
      </c>
      <c r="F1368" t="s">
        <v>1742</v>
      </c>
      <c r="G1368">
        <v>12</v>
      </c>
      <c r="H1368">
        <v>2319.15</v>
      </c>
      <c r="I1368">
        <v>193.26</v>
      </c>
      <c r="J1368">
        <v>0</v>
      </c>
      <c r="K1368">
        <v>0</v>
      </c>
      <c r="L1368">
        <v>0</v>
      </c>
      <c r="M1368">
        <v>12</v>
      </c>
      <c r="N1368">
        <v>2319.15</v>
      </c>
      <c r="O1368">
        <v>193.26</v>
      </c>
    </row>
    <row r="1369" spans="1:15" x14ac:dyDescent="0.35">
      <c r="A1369" t="s">
        <v>1719</v>
      </c>
      <c r="B1369" t="s">
        <v>203</v>
      </c>
      <c r="C1369" t="s">
        <v>1644</v>
      </c>
      <c r="D1369" t="s">
        <v>323</v>
      </c>
      <c r="E1369" t="s">
        <v>304</v>
      </c>
      <c r="F1369" t="s">
        <v>1743</v>
      </c>
      <c r="G1369">
        <v>0</v>
      </c>
      <c r="H1369">
        <v>0</v>
      </c>
      <c r="I1369">
        <v>0</v>
      </c>
      <c r="J1369">
        <v>0</v>
      </c>
      <c r="K1369">
        <v>0</v>
      </c>
      <c r="L1369">
        <v>0</v>
      </c>
      <c r="M1369">
        <v>0</v>
      </c>
      <c r="N1369">
        <v>0</v>
      </c>
      <c r="O1369">
        <v>0</v>
      </c>
    </row>
    <row r="1370" spans="1:15" x14ac:dyDescent="0.35">
      <c r="A1370" t="s">
        <v>1719</v>
      </c>
      <c r="B1370" t="s">
        <v>203</v>
      </c>
      <c r="C1370" t="s">
        <v>1644</v>
      </c>
      <c r="D1370" t="s">
        <v>323</v>
      </c>
      <c r="E1370" t="s">
        <v>306</v>
      </c>
      <c r="F1370" t="s">
        <v>1744</v>
      </c>
      <c r="G1370">
        <v>109</v>
      </c>
      <c r="H1370">
        <v>10670.68</v>
      </c>
      <c r="I1370">
        <v>97.9</v>
      </c>
      <c r="J1370">
        <v>0</v>
      </c>
      <c r="K1370">
        <v>0</v>
      </c>
      <c r="L1370">
        <v>0</v>
      </c>
      <c r="M1370">
        <v>109</v>
      </c>
      <c r="N1370">
        <v>10670.68</v>
      </c>
      <c r="O1370">
        <v>97.9</v>
      </c>
    </row>
    <row r="1371" spans="1:15" x14ac:dyDescent="0.35">
      <c r="A1371" t="s">
        <v>1719</v>
      </c>
      <c r="B1371" t="s">
        <v>203</v>
      </c>
      <c r="C1371" t="s">
        <v>1644</v>
      </c>
      <c r="D1371" t="s">
        <v>323</v>
      </c>
      <c r="E1371" t="s">
        <v>308</v>
      </c>
      <c r="F1371" t="s">
        <v>1745</v>
      </c>
      <c r="G1371">
        <v>0</v>
      </c>
      <c r="H1371">
        <v>0</v>
      </c>
      <c r="I1371">
        <v>0</v>
      </c>
      <c r="J1371">
        <v>0</v>
      </c>
      <c r="K1371">
        <v>0</v>
      </c>
      <c r="L1371">
        <v>0</v>
      </c>
      <c r="M1371">
        <v>0</v>
      </c>
      <c r="N1371">
        <v>0</v>
      </c>
      <c r="O1371">
        <v>0</v>
      </c>
    </row>
    <row r="1372" spans="1:15" x14ac:dyDescent="0.35">
      <c r="A1372" t="s">
        <v>1719</v>
      </c>
      <c r="B1372" t="s">
        <v>203</v>
      </c>
      <c r="C1372" t="s">
        <v>1644</v>
      </c>
      <c r="D1372" t="s">
        <v>323</v>
      </c>
      <c r="E1372" t="s">
        <v>310</v>
      </c>
      <c r="F1372" t="s">
        <v>1746</v>
      </c>
      <c r="G1372">
        <v>7681</v>
      </c>
      <c r="H1372">
        <v>1121733.8299999998</v>
      </c>
      <c r="I1372">
        <v>146.04</v>
      </c>
      <c r="J1372">
        <v>0</v>
      </c>
      <c r="K1372">
        <v>0</v>
      </c>
      <c r="L1372">
        <v>0</v>
      </c>
      <c r="M1372">
        <v>7681</v>
      </c>
      <c r="N1372">
        <v>1121733.8299999998</v>
      </c>
      <c r="O1372">
        <v>146.04</v>
      </c>
    </row>
    <row r="1373" spans="1:15" x14ac:dyDescent="0.35">
      <c r="A1373" t="s">
        <v>1719</v>
      </c>
      <c r="B1373" t="s">
        <v>203</v>
      </c>
      <c r="C1373" t="s">
        <v>1644</v>
      </c>
      <c r="D1373" t="s">
        <v>323</v>
      </c>
      <c r="E1373" t="s">
        <v>312</v>
      </c>
      <c r="F1373" t="s">
        <v>1747</v>
      </c>
      <c r="G1373">
        <v>7681</v>
      </c>
      <c r="H1373">
        <v>1121733.8299999998</v>
      </c>
      <c r="I1373">
        <v>146.04</v>
      </c>
      <c r="J1373">
        <v>0</v>
      </c>
      <c r="K1373">
        <v>0</v>
      </c>
      <c r="L1373">
        <v>0</v>
      </c>
      <c r="M1373">
        <v>7681</v>
      </c>
      <c r="N1373">
        <v>1121733.8299999998</v>
      </c>
      <c r="O1373">
        <v>146.04</v>
      </c>
    </row>
    <row r="1374" spans="1:15" x14ac:dyDescent="0.35">
      <c r="A1374" t="s">
        <v>1719</v>
      </c>
      <c r="B1374" t="s">
        <v>203</v>
      </c>
      <c r="C1374" t="s">
        <v>1644</v>
      </c>
      <c r="D1374" t="s">
        <v>334</v>
      </c>
      <c r="E1374" t="s">
        <v>312</v>
      </c>
      <c r="F1374" t="s">
        <v>1748</v>
      </c>
      <c r="G1374">
        <v>8181</v>
      </c>
      <c r="H1374">
        <v>1211611.3099999998</v>
      </c>
      <c r="I1374">
        <v>148.77000000000001</v>
      </c>
      <c r="J1374">
        <v>0</v>
      </c>
      <c r="K1374">
        <v>0</v>
      </c>
      <c r="L1374">
        <v>0</v>
      </c>
      <c r="M1374">
        <v>8181</v>
      </c>
      <c r="N1374">
        <v>1211611.3099999998</v>
      </c>
      <c r="O1374">
        <v>148.77000000000001</v>
      </c>
    </row>
    <row r="1375" spans="1:15" x14ac:dyDescent="0.35">
      <c r="A1375" t="s">
        <v>1719</v>
      </c>
      <c r="B1375" t="s">
        <v>203</v>
      </c>
      <c r="C1375" t="s">
        <v>1644</v>
      </c>
      <c r="D1375" t="s">
        <v>334</v>
      </c>
      <c r="E1375" t="s">
        <v>308</v>
      </c>
      <c r="F1375" t="s">
        <v>1749</v>
      </c>
      <c r="G1375">
        <v>0</v>
      </c>
      <c r="H1375">
        <v>0</v>
      </c>
      <c r="I1375">
        <v>0</v>
      </c>
      <c r="J1375">
        <v>0</v>
      </c>
      <c r="K1375">
        <v>0</v>
      </c>
      <c r="L1375">
        <v>0</v>
      </c>
      <c r="M1375">
        <v>0</v>
      </c>
      <c r="N1375">
        <v>0</v>
      </c>
      <c r="O1375">
        <v>0</v>
      </c>
    </row>
    <row r="1376" spans="1:15" x14ac:dyDescent="0.35">
      <c r="A1376" t="s">
        <v>1719</v>
      </c>
      <c r="B1376" t="s">
        <v>203</v>
      </c>
      <c r="C1376" t="s">
        <v>1644</v>
      </c>
      <c r="D1376" t="s">
        <v>337</v>
      </c>
      <c r="E1376" t="s">
        <v>337</v>
      </c>
      <c r="F1376" t="s">
        <v>1750</v>
      </c>
      <c r="G1376">
        <v>921</v>
      </c>
      <c r="J1376">
        <v>0</v>
      </c>
      <c r="M1376">
        <v>921</v>
      </c>
    </row>
    <row r="1377" spans="1:15" x14ac:dyDescent="0.35">
      <c r="A1377" t="s">
        <v>1719</v>
      </c>
      <c r="B1377" t="s">
        <v>203</v>
      </c>
      <c r="C1377" t="s">
        <v>1644</v>
      </c>
      <c r="D1377" t="s">
        <v>339</v>
      </c>
      <c r="E1377" t="s">
        <v>294</v>
      </c>
      <c r="F1377" t="s">
        <v>1751</v>
      </c>
      <c r="G1377">
        <v>656</v>
      </c>
      <c r="H1377">
        <v>86866.189999999973</v>
      </c>
      <c r="I1377">
        <v>132.41999999999999</v>
      </c>
      <c r="J1377">
        <v>0</v>
      </c>
      <c r="K1377">
        <v>0</v>
      </c>
      <c r="L1377">
        <v>0</v>
      </c>
      <c r="M1377">
        <v>656</v>
      </c>
      <c r="N1377">
        <v>86866.189999999973</v>
      </c>
      <c r="O1377">
        <v>132.41999999999999</v>
      </c>
    </row>
    <row r="1378" spans="1:15" x14ac:dyDescent="0.35">
      <c r="A1378" t="s">
        <v>1719</v>
      </c>
      <c r="B1378" t="s">
        <v>203</v>
      </c>
      <c r="C1378" t="s">
        <v>1644</v>
      </c>
      <c r="D1378" t="s">
        <v>339</v>
      </c>
      <c r="E1378" t="s">
        <v>296</v>
      </c>
      <c r="F1378" t="s">
        <v>1752</v>
      </c>
      <c r="G1378">
        <v>223</v>
      </c>
      <c r="H1378">
        <v>36311.589999999989</v>
      </c>
      <c r="I1378">
        <v>162.83000000000001</v>
      </c>
      <c r="J1378">
        <v>0</v>
      </c>
      <c r="K1378">
        <v>0</v>
      </c>
      <c r="L1378">
        <v>0</v>
      </c>
      <c r="M1378">
        <v>223</v>
      </c>
      <c r="N1378">
        <v>36311.589999999989</v>
      </c>
      <c r="O1378">
        <v>162.83000000000001</v>
      </c>
    </row>
    <row r="1379" spans="1:15" x14ac:dyDescent="0.35">
      <c r="A1379" t="s">
        <v>1719</v>
      </c>
      <c r="B1379" t="s">
        <v>203</v>
      </c>
      <c r="C1379" t="s">
        <v>1644</v>
      </c>
      <c r="D1379" t="s">
        <v>339</v>
      </c>
      <c r="E1379" t="s">
        <v>298</v>
      </c>
      <c r="F1379" t="s">
        <v>1753</v>
      </c>
      <c r="G1379">
        <v>7</v>
      </c>
      <c r="H1379">
        <v>1188.04</v>
      </c>
      <c r="I1379">
        <v>169.72</v>
      </c>
      <c r="J1379">
        <v>0</v>
      </c>
      <c r="K1379">
        <v>0</v>
      </c>
      <c r="L1379">
        <v>0</v>
      </c>
      <c r="M1379">
        <v>7</v>
      </c>
      <c r="N1379">
        <v>1188.04</v>
      </c>
      <c r="O1379">
        <v>169.72</v>
      </c>
    </row>
    <row r="1380" spans="1:15" x14ac:dyDescent="0.35">
      <c r="A1380" t="s">
        <v>1719</v>
      </c>
      <c r="B1380" t="s">
        <v>203</v>
      </c>
      <c r="C1380" t="s">
        <v>1644</v>
      </c>
      <c r="D1380" t="s">
        <v>339</v>
      </c>
      <c r="E1380" t="s">
        <v>300</v>
      </c>
      <c r="F1380" t="s">
        <v>1754</v>
      </c>
      <c r="G1380">
        <v>0</v>
      </c>
      <c r="H1380">
        <v>0</v>
      </c>
      <c r="I1380">
        <v>0</v>
      </c>
      <c r="J1380">
        <v>0</v>
      </c>
      <c r="K1380">
        <v>0</v>
      </c>
      <c r="L1380">
        <v>0</v>
      </c>
      <c r="M1380">
        <v>0</v>
      </c>
      <c r="N1380">
        <v>0</v>
      </c>
      <c r="O1380">
        <v>0</v>
      </c>
    </row>
    <row r="1381" spans="1:15" x14ac:dyDescent="0.35">
      <c r="A1381" t="s">
        <v>1719</v>
      </c>
      <c r="B1381" t="s">
        <v>203</v>
      </c>
      <c r="C1381" t="s">
        <v>1644</v>
      </c>
      <c r="D1381" t="s">
        <v>339</v>
      </c>
      <c r="E1381" t="s">
        <v>306</v>
      </c>
      <c r="F1381" t="s">
        <v>1755</v>
      </c>
      <c r="G1381">
        <v>136</v>
      </c>
      <c r="H1381">
        <v>13481.32</v>
      </c>
      <c r="I1381">
        <v>99.13</v>
      </c>
      <c r="J1381">
        <v>0</v>
      </c>
      <c r="K1381">
        <v>0</v>
      </c>
      <c r="L1381">
        <v>0</v>
      </c>
      <c r="M1381">
        <v>136</v>
      </c>
      <c r="N1381">
        <v>13481.32</v>
      </c>
      <c r="O1381">
        <v>99.13</v>
      </c>
    </row>
    <row r="1382" spans="1:15" x14ac:dyDescent="0.35">
      <c r="A1382" t="s">
        <v>1719</v>
      </c>
      <c r="B1382" t="s">
        <v>203</v>
      </c>
      <c r="C1382" t="s">
        <v>1644</v>
      </c>
      <c r="D1382" t="s">
        <v>339</v>
      </c>
      <c r="E1382" t="s">
        <v>308</v>
      </c>
      <c r="F1382" t="s">
        <v>1756</v>
      </c>
      <c r="G1382">
        <v>65</v>
      </c>
      <c r="H1382">
        <v>7863.84</v>
      </c>
      <c r="I1382">
        <v>120.98</v>
      </c>
      <c r="J1382">
        <v>0</v>
      </c>
      <c r="K1382">
        <v>0</v>
      </c>
      <c r="L1382">
        <v>0</v>
      </c>
      <c r="M1382">
        <v>65</v>
      </c>
      <c r="N1382">
        <v>7863.84</v>
      </c>
      <c r="O1382">
        <v>120.98</v>
      </c>
    </row>
    <row r="1383" spans="1:15" x14ac:dyDescent="0.35">
      <c r="A1383" t="s">
        <v>1719</v>
      </c>
      <c r="B1383" t="s">
        <v>203</v>
      </c>
      <c r="C1383" t="s">
        <v>1644</v>
      </c>
      <c r="D1383" t="s">
        <v>339</v>
      </c>
      <c r="E1383" t="s">
        <v>310</v>
      </c>
      <c r="F1383" t="s">
        <v>1757</v>
      </c>
      <c r="G1383">
        <v>1087</v>
      </c>
      <c r="H1383">
        <v>145710.97999999995</v>
      </c>
      <c r="I1383">
        <v>134.05000000000001</v>
      </c>
      <c r="J1383">
        <v>0</v>
      </c>
      <c r="K1383">
        <v>0</v>
      </c>
      <c r="L1383">
        <v>0</v>
      </c>
      <c r="M1383">
        <v>1087</v>
      </c>
      <c r="N1383">
        <v>145710.97999999995</v>
      </c>
      <c r="O1383">
        <v>134.05000000000001</v>
      </c>
    </row>
    <row r="1384" spans="1:15" x14ac:dyDescent="0.35">
      <c r="A1384" t="s">
        <v>1719</v>
      </c>
      <c r="B1384" t="s">
        <v>203</v>
      </c>
      <c r="C1384" t="s">
        <v>1644</v>
      </c>
      <c r="D1384" t="s">
        <v>339</v>
      </c>
      <c r="E1384" t="s">
        <v>312</v>
      </c>
      <c r="F1384" t="s">
        <v>1758</v>
      </c>
      <c r="G1384">
        <v>1022</v>
      </c>
      <c r="H1384">
        <v>137847.13999999996</v>
      </c>
      <c r="I1384">
        <v>134.88</v>
      </c>
      <c r="J1384">
        <v>0</v>
      </c>
      <c r="K1384">
        <v>0</v>
      </c>
      <c r="L1384">
        <v>0</v>
      </c>
      <c r="M1384">
        <v>1022</v>
      </c>
      <c r="N1384">
        <v>137847.13999999996</v>
      </c>
      <c r="O1384">
        <v>134.88</v>
      </c>
    </row>
    <row r="1385" spans="1:15" x14ac:dyDescent="0.35">
      <c r="A1385" t="s">
        <v>1719</v>
      </c>
      <c r="B1385" t="s">
        <v>203</v>
      </c>
      <c r="C1385" t="s">
        <v>1644</v>
      </c>
      <c r="D1385" t="s">
        <v>348</v>
      </c>
      <c r="E1385" t="s">
        <v>349</v>
      </c>
      <c r="F1385" t="s">
        <v>1759</v>
      </c>
      <c r="G1385">
        <v>1232</v>
      </c>
      <c r="H1385">
        <v>153776.20999999996</v>
      </c>
      <c r="I1385">
        <v>136.21</v>
      </c>
      <c r="J1385">
        <v>0</v>
      </c>
      <c r="K1385">
        <v>0</v>
      </c>
      <c r="L1385">
        <v>0</v>
      </c>
      <c r="M1385">
        <v>1232</v>
      </c>
      <c r="N1385">
        <v>153776.20999999996</v>
      </c>
      <c r="O1385">
        <v>136.21</v>
      </c>
    </row>
    <row r="1386" spans="1:15" x14ac:dyDescent="0.35">
      <c r="A1386" t="s">
        <v>1760</v>
      </c>
      <c r="B1386" t="s">
        <v>1761</v>
      </c>
      <c r="C1386" t="s">
        <v>1644</v>
      </c>
      <c r="D1386" t="s">
        <v>293</v>
      </c>
      <c r="E1386" t="s">
        <v>294</v>
      </c>
      <c r="F1386" t="s">
        <v>1762</v>
      </c>
      <c r="G1386">
        <v>222</v>
      </c>
      <c r="H1386">
        <v>41704.020000000004</v>
      </c>
      <c r="I1386">
        <v>187.86</v>
      </c>
      <c r="J1386">
        <v>57</v>
      </c>
      <c r="K1386">
        <v>6818.34</v>
      </c>
      <c r="L1386">
        <v>119.62</v>
      </c>
      <c r="M1386">
        <v>279</v>
      </c>
      <c r="N1386">
        <v>48522.36</v>
      </c>
      <c r="O1386">
        <v>173.92</v>
      </c>
    </row>
    <row r="1387" spans="1:15" x14ac:dyDescent="0.35">
      <c r="A1387" t="s">
        <v>1760</v>
      </c>
      <c r="B1387" t="s">
        <v>1761</v>
      </c>
      <c r="C1387" t="s">
        <v>1644</v>
      </c>
      <c r="D1387" t="s">
        <v>293</v>
      </c>
      <c r="E1387" t="s">
        <v>296</v>
      </c>
      <c r="F1387" t="s">
        <v>1763</v>
      </c>
      <c r="G1387">
        <v>348</v>
      </c>
      <c r="H1387">
        <v>77143.679999999993</v>
      </c>
      <c r="I1387">
        <v>221.68</v>
      </c>
      <c r="J1387">
        <v>61</v>
      </c>
      <c r="K1387">
        <v>8697.380000000001</v>
      </c>
      <c r="L1387">
        <v>142.58000000000001</v>
      </c>
      <c r="M1387">
        <v>409</v>
      </c>
      <c r="N1387">
        <v>85841.06</v>
      </c>
      <c r="O1387">
        <v>209.88</v>
      </c>
    </row>
    <row r="1388" spans="1:15" x14ac:dyDescent="0.35">
      <c r="A1388" t="s">
        <v>1760</v>
      </c>
      <c r="B1388" t="s">
        <v>1761</v>
      </c>
      <c r="C1388" t="s">
        <v>1644</v>
      </c>
      <c r="D1388" t="s">
        <v>293</v>
      </c>
      <c r="E1388" t="s">
        <v>298</v>
      </c>
      <c r="F1388" t="s">
        <v>1764</v>
      </c>
      <c r="G1388">
        <v>73</v>
      </c>
      <c r="H1388">
        <v>18241.71</v>
      </c>
      <c r="I1388">
        <v>249.89</v>
      </c>
      <c r="J1388">
        <v>18</v>
      </c>
      <c r="K1388">
        <v>3033</v>
      </c>
      <c r="L1388">
        <v>168.5</v>
      </c>
      <c r="M1388">
        <v>91</v>
      </c>
      <c r="N1388">
        <v>21274.71</v>
      </c>
      <c r="O1388">
        <v>233.79</v>
      </c>
    </row>
    <row r="1389" spans="1:15" x14ac:dyDescent="0.35">
      <c r="A1389" t="s">
        <v>1760</v>
      </c>
      <c r="B1389" t="s">
        <v>1761</v>
      </c>
      <c r="C1389" t="s">
        <v>1644</v>
      </c>
      <c r="D1389" t="s">
        <v>293</v>
      </c>
      <c r="E1389" t="s">
        <v>300</v>
      </c>
      <c r="F1389" t="s">
        <v>1765</v>
      </c>
      <c r="G1389">
        <v>5</v>
      </c>
      <c r="H1389">
        <v>1553.24</v>
      </c>
      <c r="I1389">
        <v>310.64999999999998</v>
      </c>
      <c r="J1389">
        <v>11</v>
      </c>
      <c r="K1389">
        <v>2149.1799999999998</v>
      </c>
      <c r="L1389">
        <v>195.38</v>
      </c>
      <c r="M1389">
        <v>16</v>
      </c>
      <c r="N1389">
        <v>3702.42</v>
      </c>
      <c r="O1389">
        <v>231.4</v>
      </c>
    </row>
    <row r="1390" spans="1:15" x14ac:dyDescent="0.35">
      <c r="A1390" t="s">
        <v>1760</v>
      </c>
      <c r="B1390" t="s">
        <v>1761</v>
      </c>
      <c r="C1390" t="s">
        <v>1644</v>
      </c>
      <c r="D1390" t="s">
        <v>293</v>
      </c>
      <c r="E1390" t="s">
        <v>302</v>
      </c>
      <c r="F1390" t="s">
        <v>1766</v>
      </c>
      <c r="G1390">
        <v>0</v>
      </c>
      <c r="H1390">
        <v>0</v>
      </c>
      <c r="I1390">
        <v>0</v>
      </c>
      <c r="J1390">
        <v>1</v>
      </c>
      <c r="K1390">
        <v>214.18</v>
      </c>
      <c r="L1390">
        <v>214.18</v>
      </c>
      <c r="M1390">
        <v>1</v>
      </c>
      <c r="N1390">
        <v>214.18</v>
      </c>
      <c r="O1390">
        <v>214.18</v>
      </c>
    </row>
    <row r="1391" spans="1:15" x14ac:dyDescent="0.35">
      <c r="A1391" t="s">
        <v>1760</v>
      </c>
      <c r="B1391" t="s">
        <v>1761</v>
      </c>
      <c r="C1391" t="s">
        <v>1644</v>
      </c>
      <c r="D1391" t="s">
        <v>293</v>
      </c>
      <c r="E1391" t="s">
        <v>304</v>
      </c>
      <c r="F1391" t="s">
        <v>1767</v>
      </c>
      <c r="G1391">
        <v>0</v>
      </c>
      <c r="H1391">
        <v>0</v>
      </c>
      <c r="I1391">
        <v>0</v>
      </c>
      <c r="J1391">
        <v>0</v>
      </c>
      <c r="K1391">
        <v>0</v>
      </c>
      <c r="L1391">
        <v>0</v>
      </c>
      <c r="M1391">
        <v>0</v>
      </c>
      <c r="N1391">
        <v>0</v>
      </c>
      <c r="O1391">
        <v>0</v>
      </c>
    </row>
    <row r="1392" spans="1:15" x14ac:dyDescent="0.35">
      <c r="A1392" t="s">
        <v>1760</v>
      </c>
      <c r="B1392" t="s">
        <v>1761</v>
      </c>
      <c r="C1392" t="s">
        <v>1644</v>
      </c>
      <c r="D1392" t="s">
        <v>293</v>
      </c>
      <c r="E1392" t="s">
        <v>306</v>
      </c>
      <c r="F1392" t="s">
        <v>1768</v>
      </c>
      <c r="G1392">
        <v>3</v>
      </c>
      <c r="H1392">
        <v>438.26</v>
      </c>
      <c r="I1392">
        <v>146.09</v>
      </c>
      <c r="J1392">
        <v>0</v>
      </c>
      <c r="K1392">
        <v>0</v>
      </c>
      <c r="L1392">
        <v>0</v>
      </c>
      <c r="M1392">
        <v>3</v>
      </c>
      <c r="N1392">
        <v>438.26</v>
      </c>
      <c r="O1392">
        <v>146.09</v>
      </c>
    </row>
    <row r="1393" spans="1:15" x14ac:dyDescent="0.35">
      <c r="A1393" t="s">
        <v>1760</v>
      </c>
      <c r="B1393" t="s">
        <v>1761</v>
      </c>
      <c r="C1393" t="s">
        <v>1644</v>
      </c>
      <c r="D1393" t="s">
        <v>293</v>
      </c>
      <c r="E1393" t="s">
        <v>308</v>
      </c>
      <c r="F1393" t="s">
        <v>1769</v>
      </c>
      <c r="G1393">
        <v>0</v>
      </c>
      <c r="H1393">
        <v>0</v>
      </c>
      <c r="I1393">
        <v>0</v>
      </c>
      <c r="J1393">
        <v>0</v>
      </c>
      <c r="K1393">
        <v>0</v>
      </c>
      <c r="L1393">
        <v>0</v>
      </c>
      <c r="M1393">
        <v>0</v>
      </c>
      <c r="N1393">
        <v>0</v>
      </c>
      <c r="O1393">
        <v>0</v>
      </c>
    </row>
    <row r="1394" spans="1:15" x14ac:dyDescent="0.35">
      <c r="A1394" t="s">
        <v>1760</v>
      </c>
      <c r="B1394" t="s">
        <v>1761</v>
      </c>
      <c r="C1394" t="s">
        <v>1644</v>
      </c>
      <c r="D1394" t="s">
        <v>293</v>
      </c>
      <c r="E1394" t="s">
        <v>310</v>
      </c>
      <c r="F1394" t="s">
        <v>1770</v>
      </c>
      <c r="G1394">
        <v>651</v>
      </c>
      <c r="H1394">
        <v>139080.91</v>
      </c>
      <c r="I1394">
        <v>213.64</v>
      </c>
      <c r="J1394">
        <v>148</v>
      </c>
      <c r="K1394">
        <v>20912.080000000002</v>
      </c>
      <c r="L1394">
        <v>141.30000000000001</v>
      </c>
      <c r="M1394">
        <v>799</v>
      </c>
      <c r="N1394">
        <v>159992.99</v>
      </c>
      <c r="O1394">
        <v>200.24</v>
      </c>
    </row>
    <row r="1395" spans="1:15" x14ac:dyDescent="0.35">
      <c r="A1395" t="s">
        <v>1760</v>
      </c>
      <c r="B1395" t="s">
        <v>1761</v>
      </c>
      <c r="C1395" t="s">
        <v>1644</v>
      </c>
      <c r="D1395" t="s">
        <v>293</v>
      </c>
      <c r="E1395" t="s">
        <v>312</v>
      </c>
      <c r="F1395" t="s">
        <v>1771</v>
      </c>
      <c r="G1395">
        <v>651</v>
      </c>
      <c r="H1395">
        <v>139080.91</v>
      </c>
      <c r="I1395">
        <v>213.64</v>
      </c>
      <c r="J1395">
        <v>148</v>
      </c>
      <c r="K1395">
        <v>20912.080000000002</v>
      </c>
      <c r="L1395">
        <v>141.30000000000001</v>
      </c>
      <c r="M1395">
        <v>799</v>
      </c>
      <c r="N1395">
        <v>159992.99</v>
      </c>
      <c r="O1395">
        <v>200.24</v>
      </c>
    </row>
    <row r="1396" spans="1:15" x14ac:dyDescent="0.35">
      <c r="A1396" t="s">
        <v>1760</v>
      </c>
      <c r="B1396" t="s">
        <v>1761</v>
      </c>
      <c r="C1396" t="s">
        <v>1644</v>
      </c>
      <c r="D1396" t="s">
        <v>314</v>
      </c>
      <c r="E1396" t="s">
        <v>294</v>
      </c>
      <c r="F1396" t="s">
        <v>1772</v>
      </c>
      <c r="G1396">
        <v>77</v>
      </c>
      <c r="H1396">
        <v>21510.52</v>
      </c>
      <c r="I1396">
        <v>279.36</v>
      </c>
      <c r="J1396">
        <v>0</v>
      </c>
      <c r="K1396">
        <v>0</v>
      </c>
      <c r="L1396">
        <v>0</v>
      </c>
      <c r="M1396">
        <v>77</v>
      </c>
      <c r="N1396">
        <v>21510.52</v>
      </c>
      <c r="O1396">
        <v>279.36</v>
      </c>
    </row>
    <row r="1397" spans="1:15" x14ac:dyDescent="0.35">
      <c r="A1397" t="s">
        <v>1760</v>
      </c>
      <c r="B1397" t="s">
        <v>1761</v>
      </c>
      <c r="C1397" t="s">
        <v>1644</v>
      </c>
      <c r="D1397" t="s">
        <v>314</v>
      </c>
      <c r="E1397" t="s">
        <v>296</v>
      </c>
      <c r="F1397" t="s">
        <v>1773</v>
      </c>
      <c r="G1397">
        <v>75</v>
      </c>
      <c r="H1397">
        <v>25942.600000000002</v>
      </c>
      <c r="I1397">
        <v>345.9</v>
      </c>
      <c r="J1397">
        <v>0</v>
      </c>
      <c r="K1397">
        <v>0</v>
      </c>
      <c r="L1397">
        <v>0</v>
      </c>
      <c r="M1397">
        <v>75</v>
      </c>
      <c r="N1397">
        <v>25942.600000000002</v>
      </c>
      <c r="O1397">
        <v>345.9</v>
      </c>
    </row>
    <row r="1398" spans="1:15" x14ac:dyDescent="0.35">
      <c r="A1398" t="s">
        <v>1760</v>
      </c>
      <c r="B1398" t="s">
        <v>1761</v>
      </c>
      <c r="C1398" t="s">
        <v>1644</v>
      </c>
      <c r="D1398" t="s">
        <v>314</v>
      </c>
      <c r="E1398" t="s">
        <v>298</v>
      </c>
      <c r="F1398" t="s">
        <v>1774</v>
      </c>
      <c r="G1398">
        <v>0</v>
      </c>
      <c r="H1398">
        <v>0</v>
      </c>
      <c r="I1398">
        <v>0</v>
      </c>
      <c r="J1398">
        <v>0</v>
      </c>
      <c r="K1398">
        <v>0</v>
      </c>
      <c r="L1398">
        <v>0</v>
      </c>
      <c r="M1398">
        <v>0</v>
      </c>
      <c r="N1398">
        <v>0</v>
      </c>
      <c r="O1398">
        <v>0</v>
      </c>
    </row>
    <row r="1399" spans="1:15" x14ac:dyDescent="0.35">
      <c r="A1399" t="s">
        <v>1760</v>
      </c>
      <c r="B1399" t="s">
        <v>1761</v>
      </c>
      <c r="C1399" t="s">
        <v>1644</v>
      </c>
      <c r="D1399" t="s">
        <v>314</v>
      </c>
      <c r="E1399" t="s">
        <v>300</v>
      </c>
      <c r="F1399" t="s">
        <v>1775</v>
      </c>
      <c r="G1399">
        <v>0</v>
      </c>
      <c r="H1399">
        <v>0</v>
      </c>
      <c r="I1399">
        <v>0</v>
      </c>
      <c r="J1399">
        <v>0</v>
      </c>
      <c r="K1399">
        <v>0</v>
      </c>
      <c r="L1399">
        <v>0</v>
      </c>
      <c r="M1399">
        <v>0</v>
      </c>
      <c r="N1399">
        <v>0</v>
      </c>
      <c r="O1399">
        <v>0</v>
      </c>
    </row>
    <row r="1400" spans="1:15" x14ac:dyDescent="0.35">
      <c r="A1400" t="s">
        <v>1760</v>
      </c>
      <c r="B1400" t="s">
        <v>1761</v>
      </c>
      <c r="C1400" t="s">
        <v>1644</v>
      </c>
      <c r="D1400" t="s">
        <v>314</v>
      </c>
      <c r="E1400" t="s">
        <v>306</v>
      </c>
      <c r="F1400" t="s">
        <v>1776</v>
      </c>
      <c r="G1400">
        <v>0</v>
      </c>
      <c r="H1400">
        <v>0</v>
      </c>
      <c r="I1400">
        <v>0</v>
      </c>
      <c r="J1400">
        <v>0</v>
      </c>
      <c r="K1400">
        <v>0</v>
      </c>
      <c r="L1400">
        <v>0</v>
      </c>
      <c r="M1400">
        <v>0</v>
      </c>
      <c r="N1400">
        <v>0</v>
      </c>
      <c r="O1400">
        <v>0</v>
      </c>
    </row>
    <row r="1401" spans="1:15" x14ac:dyDescent="0.35">
      <c r="A1401" t="s">
        <v>1760</v>
      </c>
      <c r="B1401" t="s">
        <v>1761</v>
      </c>
      <c r="C1401" t="s">
        <v>1644</v>
      </c>
      <c r="D1401" t="s">
        <v>314</v>
      </c>
      <c r="E1401" t="s">
        <v>308</v>
      </c>
      <c r="F1401" t="s">
        <v>1777</v>
      </c>
      <c r="G1401">
        <v>0</v>
      </c>
      <c r="H1401">
        <v>0</v>
      </c>
      <c r="I1401">
        <v>0</v>
      </c>
      <c r="J1401">
        <v>0</v>
      </c>
      <c r="K1401">
        <v>0</v>
      </c>
      <c r="L1401">
        <v>0</v>
      </c>
      <c r="M1401">
        <v>0</v>
      </c>
      <c r="N1401">
        <v>0</v>
      </c>
      <c r="O1401">
        <v>0</v>
      </c>
    </row>
    <row r="1402" spans="1:15" x14ac:dyDescent="0.35">
      <c r="A1402" t="s">
        <v>1760</v>
      </c>
      <c r="B1402" t="s">
        <v>1761</v>
      </c>
      <c r="C1402" t="s">
        <v>1644</v>
      </c>
      <c r="D1402" t="s">
        <v>314</v>
      </c>
      <c r="E1402" t="s">
        <v>312</v>
      </c>
      <c r="F1402" t="s">
        <v>1778</v>
      </c>
      <c r="G1402">
        <v>152</v>
      </c>
      <c r="H1402">
        <v>47453.120000000003</v>
      </c>
      <c r="I1402">
        <v>312.19</v>
      </c>
      <c r="J1402">
        <v>0</v>
      </c>
      <c r="K1402">
        <v>0</v>
      </c>
      <c r="L1402">
        <v>0</v>
      </c>
      <c r="M1402">
        <v>152</v>
      </c>
      <c r="N1402">
        <v>47453.120000000003</v>
      </c>
      <c r="O1402">
        <v>312.19</v>
      </c>
    </row>
    <row r="1403" spans="1:15" x14ac:dyDescent="0.35">
      <c r="A1403" t="s">
        <v>1760</v>
      </c>
      <c r="B1403" t="s">
        <v>1761</v>
      </c>
      <c r="C1403" t="s">
        <v>1644</v>
      </c>
      <c r="D1403" t="s">
        <v>314</v>
      </c>
      <c r="E1403" t="s">
        <v>310</v>
      </c>
      <c r="F1403" t="s">
        <v>1779</v>
      </c>
      <c r="G1403">
        <v>152</v>
      </c>
      <c r="H1403">
        <v>47453.120000000003</v>
      </c>
      <c r="I1403">
        <v>312.19</v>
      </c>
      <c r="J1403">
        <v>0</v>
      </c>
      <c r="K1403">
        <v>0</v>
      </c>
      <c r="L1403">
        <v>0</v>
      </c>
      <c r="M1403">
        <v>152</v>
      </c>
      <c r="N1403">
        <v>47453.120000000003</v>
      </c>
      <c r="O1403">
        <v>312.19</v>
      </c>
    </row>
    <row r="1404" spans="1:15" x14ac:dyDescent="0.35">
      <c r="A1404" t="s">
        <v>1760</v>
      </c>
      <c r="B1404" t="s">
        <v>1761</v>
      </c>
      <c r="C1404" t="s">
        <v>1644</v>
      </c>
      <c r="D1404" t="s">
        <v>323</v>
      </c>
      <c r="E1404" t="s">
        <v>294</v>
      </c>
      <c r="F1404" t="s">
        <v>1780</v>
      </c>
      <c r="G1404">
        <v>495</v>
      </c>
      <c r="H1404">
        <v>58982.950000000004</v>
      </c>
      <c r="I1404">
        <v>119.16</v>
      </c>
      <c r="J1404">
        <v>1523</v>
      </c>
      <c r="K1404">
        <v>165702.39999999999</v>
      </c>
      <c r="L1404">
        <v>108.8</v>
      </c>
      <c r="M1404">
        <v>2018</v>
      </c>
      <c r="N1404">
        <v>224685.35</v>
      </c>
      <c r="O1404">
        <v>111.34</v>
      </c>
    </row>
    <row r="1405" spans="1:15" x14ac:dyDescent="0.35">
      <c r="A1405" t="s">
        <v>1760</v>
      </c>
      <c r="B1405" t="s">
        <v>1761</v>
      </c>
      <c r="C1405" t="s">
        <v>1644</v>
      </c>
      <c r="D1405" t="s">
        <v>323</v>
      </c>
      <c r="E1405" t="s">
        <v>296</v>
      </c>
      <c r="F1405" t="s">
        <v>1781</v>
      </c>
      <c r="G1405">
        <v>1311</v>
      </c>
      <c r="H1405">
        <v>185210.08000000002</v>
      </c>
      <c r="I1405">
        <v>141.27000000000001</v>
      </c>
      <c r="J1405">
        <v>1979</v>
      </c>
      <c r="K1405">
        <v>245633.48</v>
      </c>
      <c r="L1405">
        <v>124.12</v>
      </c>
      <c r="M1405">
        <v>3290</v>
      </c>
      <c r="N1405">
        <v>430843.56000000006</v>
      </c>
      <c r="O1405">
        <v>130.96</v>
      </c>
    </row>
    <row r="1406" spans="1:15" x14ac:dyDescent="0.35">
      <c r="A1406" t="s">
        <v>1760</v>
      </c>
      <c r="B1406" t="s">
        <v>1761</v>
      </c>
      <c r="C1406" t="s">
        <v>1644</v>
      </c>
      <c r="D1406" t="s">
        <v>323</v>
      </c>
      <c r="E1406" t="s">
        <v>298</v>
      </c>
      <c r="F1406" t="s">
        <v>1782</v>
      </c>
      <c r="G1406">
        <v>915</v>
      </c>
      <c r="H1406">
        <v>148755.23000000001</v>
      </c>
      <c r="I1406">
        <v>162.57</v>
      </c>
      <c r="J1406">
        <v>2342</v>
      </c>
      <c r="K1406">
        <v>325374.06</v>
      </c>
      <c r="L1406">
        <v>138.93</v>
      </c>
      <c r="M1406">
        <v>3257</v>
      </c>
      <c r="N1406">
        <v>474129.29000000004</v>
      </c>
      <c r="O1406">
        <v>145.57</v>
      </c>
    </row>
    <row r="1407" spans="1:15" x14ac:dyDescent="0.35">
      <c r="A1407" t="s">
        <v>1760</v>
      </c>
      <c r="B1407" t="s">
        <v>1761</v>
      </c>
      <c r="C1407" t="s">
        <v>1644</v>
      </c>
      <c r="D1407" t="s">
        <v>323</v>
      </c>
      <c r="E1407" t="s">
        <v>300</v>
      </c>
      <c r="F1407" t="s">
        <v>1783</v>
      </c>
      <c r="G1407">
        <v>119</v>
      </c>
      <c r="H1407">
        <v>21863.599999999999</v>
      </c>
      <c r="I1407">
        <v>183.73</v>
      </c>
      <c r="J1407">
        <v>148</v>
      </c>
      <c r="K1407">
        <v>23329.239999999998</v>
      </c>
      <c r="L1407">
        <v>157.63</v>
      </c>
      <c r="M1407">
        <v>267</v>
      </c>
      <c r="N1407">
        <v>45192.84</v>
      </c>
      <c r="O1407">
        <v>169.26</v>
      </c>
    </row>
    <row r="1408" spans="1:15" x14ac:dyDescent="0.35">
      <c r="A1408" t="s">
        <v>1760</v>
      </c>
      <c r="B1408" t="s">
        <v>1761</v>
      </c>
      <c r="C1408" t="s">
        <v>1644</v>
      </c>
      <c r="D1408" t="s">
        <v>323</v>
      </c>
      <c r="E1408" t="s">
        <v>302</v>
      </c>
      <c r="F1408" t="s">
        <v>1784</v>
      </c>
      <c r="G1408">
        <v>9</v>
      </c>
      <c r="H1408">
        <v>1633.41</v>
      </c>
      <c r="I1408">
        <v>181.49</v>
      </c>
      <c r="J1408">
        <v>8</v>
      </c>
      <c r="K1408">
        <v>1356.88</v>
      </c>
      <c r="L1408">
        <v>169.61</v>
      </c>
      <c r="M1408">
        <v>17</v>
      </c>
      <c r="N1408">
        <v>2990.29</v>
      </c>
      <c r="O1408">
        <v>175.9</v>
      </c>
    </row>
    <row r="1409" spans="1:15" x14ac:dyDescent="0.35">
      <c r="A1409" t="s">
        <v>1760</v>
      </c>
      <c r="B1409" t="s">
        <v>1761</v>
      </c>
      <c r="C1409" t="s">
        <v>1644</v>
      </c>
      <c r="D1409" t="s">
        <v>323</v>
      </c>
      <c r="E1409" t="s">
        <v>304</v>
      </c>
      <c r="F1409" t="s">
        <v>1785</v>
      </c>
      <c r="G1409">
        <v>4</v>
      </c>
      <c r="H1409">
        <v>820.94</v>
      </c>
      <c r="I1409">
        <v>205.24</v>
      </c>
      <c r="J1409">
        <v>4</v>
      </c>
      <c r="K1409">
        <v>816.24</v>
      </c>
      <c r="L1409">
        <v>204.06</v>
      </c>
      <c r="M1409">
        <v>8</v>
      </c>
      <c r="N1409">
        <v>1637.18</v>
      </c>
      <c r="O1409">
        <v>204.65</v>
      </c>
    </row>
    <row r="1410" spans="1:15" x14ac:dyDescent="0.35">
      <c r="A1410" t="s">
        <v>1760</v>
      </c>
      <c r="B1410" t="s">
        <v>1761</v>
      </c>
      <c r="C1410" t="s">
        <v>1644</v>
      </c>
      <c r="D1410" t="s">
        <v>323</v>
      </c>
      <c r="E1410" t="s">
        <v>306</v>
      </c>
      <c r="F1410" t="s">
        <v>1786</v>
      </c>
      <c r="G1410">
        <v>27</v>
      </c>
      <c r="H1410">
        <v>2593.0100000000002</v>
      </c>
      <c r="I1410">
        <v>96.04</v>
      </c>
      <c r="J1410">
        <v>328</v>
      </c>
      <c r="K1410">
        <v>31304.32</v>
      </c>
      <c r="L1410">
        <v>95.44</v>
      </c>
      <c r="M1410">
        <v>355</v>
      </c>
      <c r="N1410">
        <v>33897.33</v>
      </c>
      <c r="O1410">
        <v>95.49</v>
      </c>
    </row>
    <row r="1411" spans="1:15" x14ac:dyDescent="0.35">
      <c r="A1411" t="s">
        <v>1760</v>
      </c>
      <c r="B1411" t="s">
        <v>1761</v>
      </c>
      <c r="C1411" t="s">
        <v>1644</v>
      </c>
      <c r="D1411" t="s">
        <v>323</v>
      </c>
      <c r="E1411" t="s">
        <v>308</v>
      </c>
      <c r="F1411" t="s">
        <v>1787</v>
      </c>
      <c r="G1411">
        <v>0</v>
      </c>
      <c r="H1411">
        <v>0</v>
      </c>
      <c r="I1411">
        <v>0</v>
      </c>
      <c r="J1411">
        <v>0</v>
      </c>
      <c r="K1411">
        <v>0</v>
      </c>
      <c r="L1411">
        <v>0</v>
      </c>
      <c r="M1411">
        <v>0</v>
      </c>
      <c r="N1411">
        <v>0</v>
      </c>
      <c r="O1411">
        <v>0</v>
      </c>
    </row>
    <row r="1412" spans="1:15" x14ac:dyDescent="0.35">
      <c r="A1412" t="s">
        <v>1760</v>
      </c>
      <c r="B1412" t="s">
        <v>1761</v>
      </c>
      <c r="C1412" t="s">
        <v>1644</v>
      </c>
      <c r="D1412" t="s">
        <v>323</v>
      </c>
      <c r="E1412" t="s">
        <v>310</v>
      </c>
      <c r="F1412" t="s">
        <v>1788</v>
      </c>
      <c r="G1412">
        <v>2880</v>
      </c>
      <c r="H1412">
        <v>419859.22</v>
      </c>
      <c r="I1412">
        <v>145.78</v>
      </c>
      <c r="J1412">
        <v>6332</v>
      </c>
      <c r="K1412">
        <v>793516.61999999988</v>
      </c>
      <c r="L1412">
        <v>125.32</v>
      </c>
      <c r="M1412">
        <v>9212</v>
      </c>
      <c r="N1412">
        <v>1213375.8399999999</v>
      </c>
      <c r="O1412">
        <v>131.72</v>
      </c>
    </row>
    <row r="1413" spans="1:15" x14ac:dyDescent="0.35">
      <c r="A1413" t="s">
        <v>1760</v>
      </c>
      <c r="B1413" t="s">
        <v>1761</v>
      </c>
      <c r="C1413" t="s">
        <v>1644</v>
      </c>
      <c r="D1413" t="s">
        <v>323</v>
      </c>
      <c r="E1413" t="s">
        <v>312</v>
      </c>
      <c r="F1413" t="s">
        <v>1789</v>
      </c>
      <c r="G1413">
        <v>2880</v>
      </c>
      <c r="H1413">
        <v>419859.22</v>
      </c>
      <c r="I1413">
        <v>145.78</v>
      </c>
      <c r="J1413">
        <v>6332</v>
      </c>
      <c r="K1413">
        <v>793516.61999999988</v>
      </c>
      <c r="L1413">
        <v>125.32</v>
      </c>
      <c r="M1413">
        <v>9212</v>
      </c>
      <c r="N1413">
        <v>1213375.8399999999</v>
      </c>
      <c r="O1413">
        <v>131.72</v>
      </c>
    </row>
    <row r="1414" spans="1:15" x14ac:dyDescent="0.35">
      <c r="A1414" t="s">
        <v>1760</v>
      </c>
      <c r="B1414" t="s">
        <v>1761</v>
      </c>
      <c r="C1414" t="s">
        <v>1644</v>
      </c>
      <c r="D1414" t="s">
        <v>334</v>
      </c>
      <c r="E1414" t="s">
        <v>312</v>
      </c>
      <c r="F1414" t="s">
        <v>1790</v>
      </c>
      <c r="G1414">
        <v>3916</v>
      </c>
      <c r="H1414">
        <v>558940.13</v>
      </c>
      <c r="I1414">
        <v>158.30000000000001</v>
      </c>
      <c r="J1414">
        <v>6480</v>
      </c>
      <c r="K1414">
        <v>814428.7</v>
      </c>
      <c r="L1414">
        <v>125.68</v>
      </c>
      <c r="M1414">
        <v>10396</v>
      </c>
      <c r="N1414">
        <v>1373368.83</v>
      </c>
      <c r="O1414">
        <v>137.19</v>
      </c>
    </row>
    <row r="1415" spans="1:15" x14ac:dyDescent="0.35">
      <c r="A1415" t="s">
        <v>1760</v>
      </c>
      <c r="B1415" t="s">
        <v>1761</v>
      </c>
      <c r="C1415" t="s">
        <v>1644</v>
      </c>
      <c r="D1415" t="s">
        <v>334</v>
      </c>
      <c r="E1415" t="s">
        <v>308</v>
      </c>
      <c r="F1415" t="s">
        <v>1791</v>
      </c>
      <c r="G1415">
        <v>0</v>
      </c>
      <c r="H1415">
        <v>0</v>
      </c>
      <c r="I1415">
        <v>0</v>
      </c>
      <c r="J1415">
        <v>0</v>
      </c>
      <c r="K1415">
        <v>0</v>
      </c>
      <c r="L1415">
        <v>0</v>
      </c>
      <c r="M1415">
        <v>0</v>
      </c>
      <c r="N1415">
        <v>0</v>
      </c>
      <c r="O1415">
        <v>0</v>
      </c>
    </row>
    <row r="1416" spans="1:15" x14ac:dyDescent="0.35">
      <c r="A1416" t="s">
        <v>1760</v>
      </c>
      <c r="B1416" t="s">
        <v>1761</v>
      </c>
      <c r="C1416" t="s">
        <v>1644</v>
      </c>
      <c r="D1416" t="s">
        <v>337</v>
      </c>
      <c r="E1416" t="s">
        <v>337</v>
      </c>
      <c r="F1416" t="s">
        <v>1792</v>
      </c>
      <c r="G1416">
        <v>1088</v>
      </c>
      <c r="J1416">
        <v>6</v>
      </c>
      <c r="M1416">
        <v>1094</v>
      </c>
    </row>
    <row r="1417" spans="1:15" x14ac:dyDescent="0.35">
      <c r="A1417" t="s">
        <v>1760</v>
      </c>
      <c r="B1417" t="s">
        <v>1761</v>
      </c>
      <c r="C1417" t="s">
        <v>1644</v>
      </c>
      <c r="D1417" t="s">
        <v>339</v>
      </c>
      <c r="E1417" t="s">
        <v>294</v>
      </c>
      <c r="F1417" t="s">
        <v>1793</v>
      </c>
      <c r="G1417">
        <v>374</v>
      </c>
      <c r="H1417">
        <v>52445.599999999999</v>
      </c>
      <c r="I1417">
        <v>140.22999999999999</v>
      </c>
      <c r="J1417">
        <v>245</v>
      </c>
      <c r="K1417">
        <v>29547</v>
      </c>
      <c r="L1417">
        <v>120.6</v>
      </c>
      <c r="M1417">
        <v>619</v>
      </c>
      <c r="N1417">
        <v>81992.600000000006</v>
      </c>
      <c r="O1417">
        <v>132.46</v>
      </c>
    </row>
    <row r="1418" spans="1:15" x14ac:dyDescent="0.35">
      <c r="A1418" t="s">
        <v>1760</v>
      </c>
      <c r="B1418" t="s">
        <v>1761</v>
      </c>
      <c r="C1418" t="s">
        <v>1644</v>
      </c>
      <c r="D1418" t="s">
        <v>339</v>
      </c>
      <c r="E1418" t="s">
        <v>296</v>
      </c>
      <c r="F1418" t="s">
        <v>1794</v>
      </c>
      <c r="G1418">
        <v>61</v>
      </c>
      <c r="H1418">
        <v>9728.59</v>
      </c>
      <c r="I1418">
        <v>159.49</v>
      </c>
      <c r="J1418">
        <v>16</v>
      </c>
      <c r="K1418">
        <v>2483.6799999999998</v>
      </c>
      <c r="L1418">
        <v>155.22999999999999</v>
      </c>
      <c r="M1418">
        <v>77</v>
      </c>
      <c r="N1418">
        <v>12212.27</v>
      </c>
      <c r="O1418">
        <v>158.6</v>
      </c>
    </row>
    <row r="1419" spans="1:15" x14ac:dyDescent="0.35">
      <c r="A1419" t="s">
        <v>1760</v>
      </c>
      <c r="B1419" t="s">
        <v>1761</v>
      </c>
      <c r="C1419" t="s">
        <v>1644</v>
      </c>
      <c r="D1419" t="s">
        <v>339</v>
      </c>
      <c r="E1419" t="s">
        <v>298</v>
      </c>
      <c r="F1419" t="s">
        <v>1795</v>
      </c>
      <c r="G1419">
        <v>1</v>
      </c>
      <c r="H1419">
        <v>179.83</v>
      </c>
      <c r="I1419">
        <v>179.83</v>
      </c>
      <c r="J1419">
        <v>0</v>
      </c>
      <c r="K1419">
        <v>0</v>
      </c>
      <c r="L1419">
        <v>0</v>
      </c>
      <c r="M1419">
        <v>1</v>
      </c>
      <c r="N1419">
        <v>179.83</v>
      </c>
      <c r="O1419">
        <v>179.83</v>
      </c>
    </row>
    <row r="1420" spans="1:15" x14ac:dyDescent="0.35">
      <c r="A1420" t="s">
        <v>1760</v>
      </c>
      <c r="B1420" t="s">
        <v>1761</v>
      </c>
      <c r="C1420" t="s">
        <v>1644</v>
      </c>
      <c r="D1420" t="s">
        <v>339</v>
      </c>
      <c r="E1420" t="s">
        <v>300</v>
      </c>
      <c r="F1420" t="s">
        <v>1796</v>
      </c>
      <c r="G1420">
        <v>0</v>
      </c>
      <c r="H1420">
        <v>0</v>
      </c>
      <c r="I1420">
        <v>0</v>
      </c>
      <c r="J1420">
        <v>0</v>
      </c>
      <c r="K1420">
        <v>0</v>
      </c>
      <c r="L1420">
        <v>0</v>
      </c>
      <c r="M1420">
        <v>0</v>
      </c>
      <c r="N1420">
        <v>0</v>
      </c>
      <c r="O1420">
        <v>0</v>
      </c>
    </row>
    <row r="1421" spans="1:15" x14ac:dyDescent="0.35">
      <c r="A1421" t="s">
        <v>1760</v>
      </c>
      <c r="B1421" t="s">
        <v>1761</v>
      </c>
      <c r="C1421" t="s">
        <v>1644</v>
      </c>
      <c r="D1421" t="s">
        <v>339</v>
      </c>
      <c r="E1421" t="s">
        <v>306</v>
      </c>
      <c r="F1421" t="s">
        <v>1797</v>
      </c>
      <c r="G1421">
        <v>44</v>
      </c>
      <c r="H1421">
        <v>4474</v>
      </c>
      <c r="I1421">
        <v>101.68</v>
      </c>
      <c r="J1421">
        <v>80</v>
      </c>
      <c r="K1421">
        <v>8108.8</v>
      </c>
      <c r="L1421">
        <v>101.36</v>
      </c>
      <c r="M1421">
        <v>124</v>
      </c>
      <c r="N1421">
        <v>12582.8</v>
      </c>
      <c r="O1421">
        <v>101.47</v>
      </c>
    </row>
    <row r="1422" spans="1:15" x14ac:dyDescent="0.35">
      <c r="A1422" t="s">
        <v>1760</v>
      </c>
      <c r="B1422" t="s">
        <v>1761</v>
      </c>
      <c r="C1422" t="s">
        <v>1644</v>
      </c>
      <c r="D1422" t="s">
        <v>339</v>
      </c>
      <c r="E1422" t="s">
        <v>308</v>
      </c>
      <c r="F1422" t="s">
        <v>1798</v>
      </c>
      <c r="G1422">
        <v>66</v>
      </c>
      <c r="H1422">
        <v>10673.970000000001</v>
      </c>
      <c r="I1422">
        <v>161.72999999999999</v>
      </c>
      <c r="J1422">
        <v>0</v>
      </c>
      <c r="K1422">
        <v>0</v>
      </c>
      <c r="L1422">
        <v>0</v>
      </c>
      <c r="M1422">
        <v>66</v>
      </c>
      <c r="N1422">
        <v>10673.970000000001</v>
      </c>
      <c r="O1422">
        <v>161.72999999999999</v>
      </c>
    </row>
    <row r="1423" spans="1:15" x14ac:dyDescent="0.35">
      <c r="A1423" t="s">
        <v>1760</v>
      </c>
      <c r="B1423" t="s">
        <v>1761</v>
      </c>
      <c r="C1423" t="s">
        <v>1644</v>
      </c>
      <c r="D1423" t="s">
        <v>339</v>
      </c>
      <c r="E1423" t="s">
        <v>310</v>
      </c>
      <c r="F1423" t="s">
        <v>1799</v>
      </c>
      <c r="G1423">
        <v>546</v>
      </c>
      <c r="H1423">
        <v>77501.990000000005</v>
      </c>
      <c r="I1423">
        <v>141.94999999999999</v>
      </c>
      <c r="J1423">
        <v>341</v>
      </c>
      <c r="K1423">
        <v>40139.480000000003</v>
      </c>
      <c r="L1423">
        <v>117.71</v>
      </c>
      <c r="M1423">
        <v>887</v>
      </c>
      <c r="N1423">
        <v>117641.47</v>
      </c>
      <c r="O1423">
        <v>132.63</v>
      </c>
    </row>
    <row r="1424" spans="1:15" x14ac:dyDescent="0.35">
      <c r="A1424" t="s">
        <v>1760</v>
      </c>
      <c r="B1424" t="s">
        <v>1761</v>
      </c>
      <c r="C1424" t="s">
        <v>1644</v>
      </c>
      <c r="D1424" t="s">
        <v>339</v>
      </c>
      <c r="E1424" t="s">
        <v>312</v>
      </c>
      <c r="F1424" t="s">
        <v>1800</v>
      </c>
      <c r="G1424">
        <v>480</v>
      </c>
      <c r="H1424">
        <v>66828.02</v>
      </c>
      <c r="I1424">
        <v>139.22999999999999</v>
      </c>
      <c r="J1424">
        <v>341</v>
      </c>
      <c r="K1424">
        <v>40139.480000000003</v>
      </c>
      <c r="L1424">
        <v>117.71</v>
      </c>
      <c r="M1424">
        <v>821</v>
      </c>
      <c r="N1424">
        <v>106967.5</v>
      </c>
      <c r="O1424">
        <v>130.29</v>
      </c>
    </row>
    <row r="1425" spans="1:15" x14ac:dyDescent="0.35">
      <c r="A1425" t="s">
        <v>1760</v>
      </c>
      <c r="B1425" t="s">
        <v>1761</v>
      </c>
      <c r="C1425" t="s">
        <v>1644</v>
      </c>
      <c r="D1425" t="s">
        <v>348</v>
      </c>
      <c r="E1425" t="s">
        <v>349</v>
      </c>
      <c r="F1425" t="s">
        <v>1801</v>
      </c>
      <c r="G1425">
        <v>829</v>
      </c>
      <c r="H1425">
        <v>124955.11</v>
      </c>
      <c r="I1425">
        <v>179.02</v>
      </c>
      <c r="J1425">
        <v>341</v>
      </c>
      <c r="K1425">
        <v>40139.480000000003</v>
      </c>
      <c r="L1425">
        <v>117.71</v>
      </c>
      <c r="M1425">
        <v>1170</v>
      </c>
      <c r="N1425">
        <v>165094.59</v>
      </c>
      <c r="O1425">
        <v>158.9</v>
      </c>
    </row>
    <row r="1426" spans="1:15" x14ac:dyDescent="0.35">
      <c r="A1426" t="s">
        <v>1802</v>
      </c>
      <c r="B1426" t="s">
        <v>1803</v>
      </c>
      <c r="C1426" t="s">
        <v>1644</v>
      </c>
      <c r="D1426" t="s">
        <v>293</v>
      </c>
      <c r="E1426" t="s">
        <v>294</v>
      </c>
      <c r="F1426" t="s">
        <v>1804</v>
      </c>
      <c r="G1426">
        <v>71</v>
      </c>
      <c r="H1426">
        <v>11404.650000000001</v>
      </c>
      <c r="I1426">
        <v>160.63</v>
      </c>
      <c r="J1426">
        <v>4</v>
      </c>
      <c r="K1426">
        <v>716.16</v>
      </c>
      <c r="L1426">
        <v>179.04</v>
      </c>
      <c r="M1426">
        <v>75</v>
      </c>
      <c r="N1426">
        <v>12120.810000000001</v>
      </c>
      <c r="O1426">
        <v>161.61000000000001</v>
      </c>
    </row>
    <row r="1427" spans="1:15" x14ac:dyDescent="0.35">
      <c r="A1427" t="s">
        <v>1802</v>
      </c>
      <c r="B1427" t="s">
        <v>1803</v>
      </c>
      <c r="C1427" t="s">
        <v>1644</v>
      </c>
      <c r="D1427" t="s">
        <v>293</v>
      </c>
      <c r="E1427" t="s">
        <v>296</v>
      </c>
      <c r="F1427" t="s">
        <v>1805</v>
      </c>
      <c r="G1427">
        <v>93</v>
      </c>
      <c r="H1427">
        <v>18472.199999999997</v>
      </c>
      <c r="I1427">
        <v>198.63</v>
      </c>
      <c r="J1427">
        <v>60</v>
      </c>
      <c r="K1427">
        <v>14163</v>
      </c>
      <c r="L1427">
        <v>236.05</v>
      </c>
      <c r="M1427">
        <v>153</v>
      </c>
      <c r="N1427">
        <v>32635.199999999997</v>
      </c>
      <c r="O1427">
        <v>213.3</v>
      </c>
    </row>
    <row r="1428" spans="1:15" x14ac:dyDescent="0.35">
      <c r="A1428" t="s">
        <v>1802</v>
      </c>
      <c r="B1428" t="s">
        <v>1803</v>
      </c>
      <c r="C1428" t="s">
        <v>1644</v>
      </c>
      <c r="D1428" t="s">
        <v>293</v>
      </c>
      <c r="E1428" t="s">
        <v>298</v>
      </c>
      <c r="F1428" t="s">
        <v>1806</v>
      </c>
      <c r="G1428">
        <v>13</v>
      </c>
      <c r="H1428">
        <v>2746.0600000000004</v>
      </c>
      <c r="I1428">
        <v>211.24</v>
      </c>
      <c r="J1428">
        <v>81</v>
      </c>
      <c r="K1428">
        <v>21490.11</v>
      </c>
      <c r="L1428">
        <v>265.31</v>
      </c>
      <c r="M1428">
        <v>94</v>
      </c>
      <c r="N1428">
        <v>24236.170000000002</v>
      </c>
      <c r="O1428">
        <v>257.83</v>
      </c>
    </row>
    <row r="1429" spans="1:15" x14ac:dyDescent="0.35">
      <c r="A1429" t="s">
        <v>1802</v>
      </c>
      <c r="B1429" t="s">
        <v>1803</v>
      </c>
      <c r="C1429" t="s">
        <v>1644</v>
      </c>
      <c r="D1429" t="s">
        <v>293</v>
      </c>
      <c r="E1429" t="s">
        <v>300</v>
      </c>
      <c r="F1429" t="s">
        <v>1807</v>
      </c>
      <c r="G1429">
        <v>6</v>
      </c>
      <c r="H1429">
        <v>1748.7399999999998</v>
      </c>
      <c r="I1429">
        <v>291.45999999999998</v>
      </c>
      <c r="J1429">
        <v>5</v>
      </c>
      <c r="K1429">
        <v>1319.3000000000002</v>
      </c>
      <c r="L1429">
        <v>263.86</v>
      </c>
      <c r="M1429">
        <v>11</v>
      </c>
      <c r="N1429">
        <v>3068.04</v>
      </c>
      <c r="O1429">
        <v>278.91000000000003</v>
      </c>
    </row>
    <row r="1430" spans="1:15" x14ac:dyDescent="0.35">
      <c r="A1430" t="s">
        <v>1802</v>
      </c>
      <c r="B1430" t="s">
        <v>1803</v>
      </c>
      <c r="C1430" t="s">
        <v>1644</v>
      </c>
      <c r="D1430" t="s">
        <v>293</v>
      </c>
      <c r="E1430" t="s">
        <v>302</v>
      </c>
      <c r="F1430" t="s">
        <v>1808</v>
      </c>
      <c r="G1430">
        <v>0</v>
      </c>
      <c r="H1430">
        <v>0</v>
      </c>
      <c r="I1430">
        <v>0</v>
      </c>
      <c r="J1430">
        <v>0</v>
      </c>
      <c r="K1430">
        <v>0</v>
      </c>
      <c r="L1430">
        <v>0</v>
      </c>
      <c r="M1430">
        <v>0</v>
      </c>
      <c r="N1430">
        <v>0</v>
      </c>
      <c r="O1430">
        <v>0</v>
      </c>
    </row>
    <row r="1431" spans="1:15" x14ac:dyDescent="0.35">
      <c r="A1431" t="s">
        <v>1802</v>
      </c>
      <c r="B1431" t="s">
        <v>1803</v>
      </c>
      <c r="C1431" t="s">
        <v>1644</v>
      </c>
      <c r="D1431" t="s">
        <v>293</v>
      </c>
      <c r="E1431" t="s">
        <v>304</v>
      </c>
      <c r="F1431" t="s">
        <v>1809</v>
      </c>
      <c r="G1431">
        <v>0</v>
      </c>
      <c r="H1431">
        <v>0</v>
      </c>
      <c r="I1431">
        <v>0</v>
      </c>
      <c r="J1431">
        <v>0</v>
      </c>
      <c r="K1431">
        <v>0</v>
      </c>
      <c r="L1431">
        <v>0</v>
      </c>
      <c r="M1431">
        <v>0</v>
      </c>
      <c r="N1431">
        <v>0</v>
      </c>
      <c r="O1431">
        <v>0</v>
      </c>
    </row>
    <row r="1432" spans="1:15" x14ac:dyDescent="0.35">
      <c r="A1432" t="s">
        <v>1802</v>
      </c>
      <c r="B1432" t="s">
        <v>1803</v>
      </c>
      <c r="C1432" t="s">
        <v>1644</v>
      </c>
      <c r="D1432" t="s">
        <v>293</v>
      </c>
      <c r="E1432" t="s">
        <v>306</v>
      </c>
      <c r="F1432" t="s">
        <v>1810</v>
      </c>
      <c r="G1432">
        <v>0</v>
      </c>
      <c r="H1432">
        <v>0</v>
      </c>
      <c r="I1432">
        <v>0</v>
      </c>
      <c r="J1432">
        <v>0</v>
      </c>
      <c r="K1432">
        <v>0</v>
      </c>
      <c r="L1432">
        <v>0</v>
      </c>
      <c r="M1432">
        <v>0</v>
      </c>
      <c r="N1432">
        <v>0</v>
      </c>
      <c r="O1432">
        <v>0</v>
      </c>
    </row>
    <row r="1433" spans="1:15" x14ac:dyDescent="0.35">
      <c r="A1433" t="s">
        <v>1802</v>
      </c>
      <c r="B1433" t="s">
        <v>1803</v>
      </c>
      <c r="C1433" t="s">
        <v>1644</v>
      </c>
      <c r="D1433" t="s">
        <v>293</v>
      </c>
      <c r="E1433" t="s">
        <v>308</v>
      </c>
      <c r="F1433" t="s">
        <v>1811</v>
      </c>
      <c r="G1433">
        <v>0</v>
      </c>
      <c r="H1433">
        <v>0</v>
      </c>
      <c r="I1433">
        <v>0</v>
      </c>
      <c r="J1433">
        <v>0</v>
      </c>
      <c r="K1433">
        <v>0</v>
      </c>
      <c r="L1433">
        <v>0</v>
      </c>
      <c r="M1433">
        <v>0</v>
      </c>
      <c r="N1433">
        <v>0</v>
      </c>
      <c r="O1433">
        <v>0</v>
      </c>
    </row>
    <row r="1434" spans="1:15" x14ac:dyDescent="0.35">
      <c r="A1434" t="s">
        <v>1802</v>
      </c>
      <c r="B1434" t="s">
        <v>1803</v>
      </c>
      <c r="C1434" t="s">
        <v>1644</v>
      </c>
      <c r="D1434" t="s">
        <v>293</v>
      </c>
      <c r="E1434" t="s">
        <v>310</v>
      </c>
      <c r="F1434" t="s">
        <v>1812</v>
      </c>
      <c r="G1434">
        <v>183</v>
      </c>
      <c r="H1434">
        <v>34371.65</v>
      </c>
      <c r="I1434">
        <v>187.82</v>
      </c>
      <c r="J1434">
        <v>150</v>
      </c>
      <c r="K1434">
        <v>37688.570000000007</v>
      </c>
      <c r="L1434">
        <v>251.26</v>
      </c>
      <c r="M1434">
        <v>333</v>
      </c>
      <c r="N1434">
        <v>72060.22</v>
      </c>
      <c r="O1434">
        <v>216.4</v>
      </c>
    </row>
    <row r="1435" spans="1:15" x14ac:dyDescent="0.35">
      <c r="A1435" t="s">
        <v>1802</v>
      </c>
      <c r="B1435" t="s">
        <v>1803</v>
      </c>
      <c r="C1435" t="s">
        <v>1644</v>
      </c>
      <c r="D1435" t="s">
        <v>293</v>
      </c>
      <c r="E1435" t="s">
        <v>312</v>
      </c>
      <c r="F1435" t="s">
        <v>1813</v>
      </c>
      <c r="G1435">
        <v>183</v>
      </c>
      <c r="H1435">
        <v>34371.65</v>
      </c>
      <c r="I1435">
        <v>187.82</v>
      </c>
      <c r="J1435">
        <v>150</v>
      </c>
      <c r="K1435">
        <v>37688.570000000007</v>
      </c>
      <c r="L1435">
        <v>251.26</v>
      </c>
      <c r="M1435">
        <v>333</v>
      </c>
      <c r="N1435">
        <v>72060.22</v>
      </c>
      <c r="O1435">
        <v>216.4</v>
      </c>
    </row>
    <row r="1436" spans="1:15" x14ac:dyDescent="0.35">
      <c r="A1436" t="s">
        <v>1802</v>
      </c>
      <c r="B1436" t="s">
        <v>1803</v>
      </c>
      <c r="C1436" t="s">
        <v>1644</v>
      </c>
      <c r="D1436" t="s">
        <v>314</v>
      </c>
      <c r="E1436" t="s">
        <v>294</v>
      </c>
      <c r="F1436" t="s">
        <v>1814</v>
      </c>
      <c r="G1436">
        <v>0</v>
      </c>
      <c r="H1436">
        <v>0</v>
      </c>
      <c r="I1436">
        <v>0</v>
      </c>
      <c r="J1436">
        <v>0</v>
      </c>
      <c r="K1436">
        <v>0</v>
      </c>
      <c r="L1436">
        <v>0</v>
      </c>
      <c r="M1436">
        <v>0</v>
      </c>
      <c r="N1436">
        <v>0</v>
      </c>
      <c r="O1436">
        <v>0</v>
      </c>
    </row>
    <row r="1437" spans="1:15" x14ac:dyDescent="0.35">
      <c r="A1437" t="s">
        <v>1802</v>
      </c>
      <c r="B1437" t="s">
        <v>1803</v>
      </c>
      <c r="C1437" t="s">
        <v>1644</v>
      </c>
      <c r="D1437" t="s">
        <v>314</v>
      </c>
      <c r="E1437" t="s">
        <v>296</v>
      </c>
      <c r="F1437" t="s">
        <v>1815</v>
      </c>
      <c r="G1437">
        <v>0</v>
      </c>
      <c r="H1437">
        <v>0</v>
      </c>
      <c r="I1437">
        <v>0</v>
      </c>
      <c r="J1437">
        <v>0</v>
      </c>
      <c r="K1437">
        <v>0</v>
      </c>
      <c r="L1437">
        <v>0</v>
      </c>
      <c r="M1437">
        <v>0</v>
      </c>
      <c r="N1437">
        <v>0</v>
      </c>
      <c r="O1437">
        <v>0</v>
      </c>
    </row>
    <row r="1438" spans="1:15" x14ac:dyDescent="0.35">
      <c r="A1438" t="s">
        <v>1802</v>
      </c>
      <c r="B1438" t="s">
        <v>1803</v>
      </c>
      <c r="C1438" t="s">
        <v>1644</v>
      </c>
      <c r="D1438" t="s">
        <v>314</v>
      </c>
      <c r="E1438" t="s">
        <v>298</v>
      </c>
      <c r="F1438" t="s">
        <v>1816</v>
      </c>
      <c r="G1438">
        <v>0</v>
      </c>
      <c r="H1438">
        <v>0</v>
      </c>
      <c r="I1438">
        <v>0</v>
      </c>
      <c r="J1438">
        <v>0</v>
      </c>
      <c r="K1438">
        <v>0</v>
      </c>
      <c r="L1438">
        <v>0</v>
      </c>
      <c r="M1438">
        <v>0</v>
      </c>
      <c r="N1438">
        <v>0</v>
      </c>
      <c r="O1438">
        <v>0</v>
      </c>
    </row>
    <row r="1439" spans="1:15" x14ac:dyDescent="0.35">
      <c r="A1439" t="s">
        <v>1802</v>
      </c>
      <c r="B1439" t="s">
        <v>1803</v>
      </c>
      <c r="C1439" t="s">
        <v>1644</v>
      </c>
      <c r="D1439" t="s">
        <v>314</v>
      </c>
      <c r="E1439" t="s">
        <v>300</v>
      </c>
      <c r="F1439" t="s">
        <v>1817</v>
      </c>
      <c r="G1439">
        <v>0</v>
      </c>
      <c r="H1439">
        <v>0</v>
      </c>
      <c r="I1439">
        <v>0</v>
      </c>
      <c r="J1439">
        <v>0</v>
      </c>
      <c r="K1439">
        <v>0</v>
      </c>
      <c r="L1439">
        <v>0</v>
      </c>
      <c r="M1439">
        <v>0</v>
      </c>
      <c r="N1439">
        <v>0</v>
      </c>
      <c r="O1439">
        <v>0</v>
      </c>
    </row>
    <row r="1440" spans="1:15" x14ac:dyDescent="0.35">
      <c r="A1440" t="s">
        <v>1802</v>
      </c>
      <c r="B1440" t="s">
        <v>1803</v>
      </c>
      <c r="C1440" t="s">
        <v>1644</v>
      </c>
      <c r="D1440" t="s">
        <v>314</v>
      </c>
      <c r="E1440" t="s">
        <v>306</v>
      </c>
      <c r="F1440" t="s">
        <v>1818</v>
      </c>
      <c r="G1440">
        <v>0</v>
      </c>
      <c r="H1440">
        <v>0</v>
      </c>
      <c r="I1440">
        <v>0</v>
      </c>
      <c r="J1440">
        <v>0</v>
      </c>
      <c r="K1440">
        <v>0</v>
      </c>
      <c r="L1440">
        <v>0</v>
      </c>
      <c r="M1440">
        <v>0</v>
      </c>
      <c r="N1440">
        <v>0</v>
      </c>
      <c r="O1440">
        <v>0</v>
      </c>
    </row>
    <row r="1441" spans="1:15" x14ac:dyDescent="0.35">
      <c r="A1441" t="s">
        <v>1802</v>
      </c>
      <c r="B1441" t="s">
        <v>1803</v>
      </c>
      <c r="C1441" t="s">
        <v>1644</v>
      </c>
      <c r="D1441" t="s">
        <v>314</v>
      </c>
      <c r="E1441" t="s">
        <v>308</v>
      </c>
      <c r="F1441" t="s">
        <v>1819</v>
      </c>
      <c r="G1441">
        <v>0</v>
      </c>
      <c r="H1441">
        <v>0</v>
      </c>
      <c r="I1441">
        <v>0</v>
      </c>
      <c r="J1441">
        <v>0</v>
      </c>
      <c r="K1441">
        <v>0</v>
      </c>
      <c r="L1441">
        <v>0</v>
      </c>
      <c r="M1441">
        <v>0</v>
      </c>
      <c r="N1441">
        <v>0</v>
      </c>
      <c r="O1441">
        <v>0</v>
      </c>
    </row>
    <row r="1442" spans="1:15" x14ac:dyDescent="0.35">
      <c r="A1442" t="s">
        <v>1802</v>
      </c>
      <c r="B1442" t="s">
        <v>1803</v>
      </c>
      <c r="C1442" t="s">
        <v>1644</v>
      </c>
      <c r="D1442" t="s">
        <v>314</v>
      </c>
      <c r="E1442" t="s">
        <v>312</v>
      </c>
      <c r="F1442" t="s">
        <v>1820</v>
      </c>
      <c r="G1442">
        <v>0</v>
      </c>
      <c r="H1442">
        <v>0</v>
      </c>
      <c r="I1442">
        <v>0</v>
      </c>
      <c r="J1442">
        <v>0</v>
      </c>
      <c r="K1442">
        <v>0</v>
      </c>
      <c r="L1442">
        <v>0</v>
      </c>
      <c r="M1442">
        <v>0</v>
      </c>
      <c r="N1442">
        <v>0</v>
      </c>
      <c r="O1442">
        <v>0</v>
      </c>
    </row>
    <row r="1443" spans="1:15" x14ac:dyDescent="0.35">
      <c r="A1443" t="s">
        <v>1802</v>
      </c>
      <c r="B1443" t="s">
        <v>1803</v>
      </c>
      <c r="C1443" t="s">
        <v>1644</v>
      </c>
      <c r="D1443" t="s">
        <v>314</v>
      </c>
      <c r="E1443" t="s">
        <v>310</v>
      </c>
      <c r="F1443" t="s">
        <v>1821</v>
      </c>
      <c r="G1443">
        <v>0</v>
      </c>
      <c r="H1443">
        <v>0</v>
      </c>
      <c r="I1443">
        <v>0</v>
      </c>
      <c r="J1443">
        <v>0</v>
      </c>
      <c r="K1443">
        <v>0</v>
      </c>
      <c r="L1443">
        <v>0</v>
      </c>
      <c r="M1443">
        <v>0</v>
      </c>
      <c r="N1443">
        <v>0</v>
      </c>
      <c r="O1443">
        <v>0</v>
      </c>
    </row>
    <row r="1444" spans="1:15" x14ac:dyDescent="0.35">
      <c r="A1444" t="s">
        <v>1802</v>
      </c>
      <c r="B1444" t="s">
        <v>1803</v>
      </c>
      <c r="C1444" t="s">
        <v>1644</v>
      </c>
      <c r="D1444" t="s">
        <v>323</v>
      </c>
      <c r="E1444" t="s">
        <v>294</v>
      </c>
      <c r="F1444" t="s">
        <v>1822</v>
      </c>
      <c r="G1444">
        <v>752</v>
      </c>
      <c r="H1444">
        <v>91370.400000000009</v>
      </c>
      <c r="I1444">
        <v>121.5</v>
      </c>
      <c r="J1444">
        <v>2081</v>
      </c>
      <c r="K1444">
        <v>227682.21</v>
      </c>
      <c r="L1444">
        <v>109.41</v>
      </c>
      <c r="M1444">
        <v>2833</v>
      </c>
      <c r="N1444">
        <v>319052.61</v>
      </c>
      <c r="O1444">
        <v>112.62</v>
      </c>
    </row>
    <row r="1445" spans="1:15" x14ac:dyDescent="0.35">
      <c r="A1445" t="s">
        <v>1802</v>
      </c>
      <c r="B1445" t="s">
        <v>1803</v>
      </c>
      <c r="C1445" t="s">
        <v>1644</v>
      </c>
      <c r="D1445" t="s">
        <v>323</v>
      </c>
      <c r="E1445" t="s">
        <v>296</v>
      </c>
      <c r="F1445" t="s">
        <v>1823</v>
      </c>
      <c r="G1445">
        <v>1402</v>
      </c>
      <c r="H1445">
        <v>202310.65000000002</v>
      </c>
      <c r="I1445">
        <v>144.30000000000001</v>
      </c>
      <c r="J1445">
        <v>1521</v>
      </c>
      <c r="K1445">
        <v>199950.66</v>
      </c>
      <c r="L1445">
        <v>131.46</v>
      </c>
      <c r="M1445">
        <v>2923</v>
      </c>
      <c r="N1445">
        <v>402261.31000000006</v>
      </c>
      <c r="O1445">
        <v>137.62</v>
      </c>
    </row>
    <row r="1446" spans="1:15" x14ac:dyDescent="0.35">
      <c r="A1446" t="s">
        <v>1802</v>
      </c>
      <c r="B1446" t="s">
        <v>1803</v>
      </c>
      <c r="C1446" t="s">
        <v>1644</v>
      </c>
      <c r="D1446" t="s">
        <v>323</v>
      </c>
      <c r="E1446" t="s">
        <v>298</v>
      </c>
      <c r="F1446" t="s">
        <v>1824</v>
      </c>
      <c r="G1446">
        <v>899</v>
      </c>
      <c r="H1446">
        <v>147417.50000000003</v>
      </c>
      <c r="I1446">
        <v>163.98</v>
      </c>
      <c r="J1446">
        <v>1772</v>
      </c>
      <c r="K1446">
        <v>257241.24</v>
      </c>
      <c r="L1446">
        <v>145.16999999999999</v>
      </c>
      <c r="M1446">
        <v>2671</v>
      </c>
      <c r="N1446">
        <v>404658.74</v>
      </c>
      <c r="O1446">
        <v>151.5</v>
      </c>
    </row>
    <row r="1447" spans="1:15" x14ac:dyDescent="0.35">
      <c r="A1447" t="s">
        <v>1802</v>
      </c>
      <c r="B1447" t="s">
        <v>1803</v>
      </c>
      <c r="C1447" t="s">
        <v>1644</v>
      </c>
      <c r="D1447" t="s">
        <v>323</v>
      </c>
      <c r="E1447" t="s">
        <v>300</v>
      </c>
      <c r="F1447" t="s">
        <v>1825</v>
      </c>
      <c r="G1447">
        <v>268</v>
      </c>
      <c r="H1447">
        <v>49331.92</v>
      </c>
      <c r="I1447">
        <v>184.07</v>
      </c>
      <c r="J1447">
        <v>151</v>
      </c>
      <c r="K1447">
        <v>24031.65</v>
      </c>
      <c r="L1447">
        <v>159.15</v>
      </c>
      <c r="M1447">
        <v>419</v>
      </c>
      <c r="N1447">
        <v>73363.570000000007</v>
      </c>
      <c r="O1447">
        <v>175.09</v>
      </c>
    </row>
    <row r="1448" spans="1:15" x14ac:dyDescent="0.35">
      <c r="A1448" t="s">
        <v>1802</v>
      </c>
      <c r="B1448" t="s">
        <v>1803</v>
      </c>
      <c r="C1448" t="s">
        <v>1644</v>
      </c>
      <c r="D1448" t="s">
        <v>323</v>
      </c>
      <c r="E1448" t="s">
        <v>302</v>
      </c>
      <c r="F1448" t="s">
        <v>1826</v>
      </c>
      <c r="G1448">
        <v>55</v>
      </c>
      <c r="H1448">
        <v>11109.900000000001</v>
      </c>
      <c r="I1448">
        <v>202</v>
      </c>
      <c r="J1448">
        <v>33</v>
      </c>
      <c r="K1448">
        <v>5934.72</v>
      </c>
      <c r="L1448">
        <v>179.84</v>
      </c>
      <c r="M1448">
        <v>88</v>
      </c>
      <c r="N1448">
        <v>17044.620000000003</v>
      </c>
      <c r="O1448">
        <v>193.69</v>
      </c>
    </row>
    <row r="1449" spans="1:15" x14ac:dyDescent="0.35">
      <c r="A1449" t="s">
        <v>1802</v>
      </c>
      <c r="B1449" t="s">
        <v>1803</v>
      </c>
      <c r="C1449" t="s">
        <v>1644</v>
      </c>
      <c r="D1449" t="s">
        <v>323</v>
      </c>
      <c r="E1449" t="s">
        <v>304</v>
      </c>
      <c r="F1449" t="s">
        <v>1827</v>
      </c>
      <c r="G1449">
        <v>2</v>
      </c>
      <c r="H1449">
        <v>399.48</v>
      </c>
      <c r="I1449">
        <v>199.74</v>
      </c>
      <c r="J1449">
        <v>3</v>
      </c>
      <c r="K1449">
        <v>527.91</v>
      </c>
      <c r="L1449">
        <v>175.97</v>
      </c>
      <c r="M1449">
        <v>5</v>
      </c>
      <c r="N1449">
        <v>927.39</v>
      </c>
      <c r="O1449">
        <v>185.48</v>
      </c>
    </row>
    <row r="1450" spans="1:15" x14ac:dyDescent="0.35">
      <c r="A1450" t="s">
        <v>1802</v>
      </c>
      <c r="B1450" t="s">
        <v>1803</v>
      </c>
      <c r="C1450" t="s">
        <v>1644</v>
      </c>
      <c r="D1450" t="s">
        <v>323</v>
      </c>
      <c r="E1450" t="s">
        <v>306</v>
      </c>
      <c r="F1450" t="s">
        <v>1828</v>
      </c>
      <c r="G1450">
        <v>31</v>
      </c>
      <c r="H1450">
        <v>3363.48</v>
      </c>
      <c r="I1450">
        <v>108.5</v>
      </c>
      <c r="J1450">
        <v>244</v>
      </c>
      <c r="K1450">
        <v>23448.399999999998</v>
      </c>
      <c r="L1450">
        <v>96.1</v>
      </c>
      <c r="M1450">
        <v>275</v>
      </c>
      <c r="N1450">
        <v>26811.879999999997</v>
      </c>
      <c r="O1450">
        <v>97.5</v>
      </c>
    </row>
    <row r="1451" spans="1:15" x14ac:dyDescent="0.35">
      <c r="A1451" t="s">
        <v>1802</v>
      </c>
      <c r="B1451" t="s">
        <v>1803</v>
      </c>
      <c r="C1451" t="s">
        <v>1644</v>
      </c>
      <c r="D1451" t="s">
        <v>323</v>
      </c>
      <c r="E1451" t="s">
        <v>308</v>
      </c>
      <c r="F1451" t="s">
        <v>1829</v>
      </c>
      <c r="G1451">
        <v>24</v>
      </c>
      <c r="H1451">
        <v>2198.3999999999996</v>
      </c>
      <c r="I1451">
        <v>91.6</v>
      </c>
      <c r="J1451">
        <v>0</v>
      </c>
      <c r="K1451">
        <v>0</v>
      </c>
      <c r="L1451">
        <v>0</v>
      </c>
      <c r="M1451">
        <v>24</v>
      </c>
      <c r="N1451">
        <v>2198.3999999999996</v>
      </c>
      <c r="O1451">
        <v>91.6</v>
      </c>
    </row>
    <row r="1452" spans="1:15" x14ac:dyDescent="0.35">
      <c r="A1452" t="s">
        <v>1802</v>
      </c>
      <c r="B1452" t="s">
        <v>1803</v>
      </c>
      <c r="C1452" t="s">
        <v>1644</v>
      </c>
      <c r="D1452" t="s">
        <v>323</v>
      </c>
      <c r="E1452" t="s">
        <v>310</v>
      </c>
      <c r="F1452" t="s">
        <v>1830</v>
      </c>
      <c r="G1452">
        <v>3433</v>
      </c>
      <c r="H1452">
        <v>507501.73000000004</v>
      </c>
      <c r="I1452">
        <v>147.83000000000001</v>
      </c>
      <c r="J1452">
        <v>5805</v>
      </c>
      <c r="K1452">
        <v>738816.79</v>
      </c>
      <c r="L1452">
        <v>127.27</v>
      </c>
      <c r="M1452">
        <v>9238</v>
      </c>
      <c r="N1452">
        <v>1246318.52</v>
      </c>
      <c r="O1452">
        <v>134.91</v>
      </c>
    </row>
    <row r="1453" spans="1:15" x14ac:dyDescent="0.35">
      <c r="A1453" t="s">
        <v>1802</v>
      </c>
      <c r="B1453" t="s">
        <v>1803</v>
      </c>
      <c r="C1453" t="s">
        <v>1644</v>
      </c>
      <c r="D1453" t="s">
        <v>323</v>
      </c>
      <c r="E1453" t="s">
        <v>312</v>
      </c>
      <c r="F1453" t="s">
        <v>1831</v>
      </c>
      <c r="G1453">
        <v>3409</v>
      </c>
      <c r="H1453">
        <v>505303.33</v>
      </c>
      <c r="I1453">
        <v>148.22999999999999</v>
      </c>
      <c r="J1453">
        <v>5805</v>
      </c>
      <c r="K1453">
        <v>738816.79</v>
      </c>
      <c r="L1453">
        <v>127.27</v>
      </c>
      <c r="M1453">
        <v>9214</v>
      </c>
      <c r="N1453">
        <v>1244120.1200000001</v>
      </c>
      <c r="O1453">
        <v>135.02000000000001</v>
      </c>
    </row>
    <row r="1454" spans="1:15" x14ac:dyDescent="0.35">
      <c r="A1454" t="s">
        <v>1802</v>
      </c>
      <c r="B1454" t="s">
        <v>1803</v>
      </c>
      <c r="C1454" t="s">
        <v>1644</v>
      </c>
      <c r="D1454" t="s">
        <v>334</v>
      </c>
      <c r="E1454" t="s">
        <v>312</v>
      </c>
      <c r="F1454" t="s">
        <v>1832</v>
      </c>
      <c r="G1454">
        <v>3885</v>
      </c>
      <c r="H1454">
        <v>539674.9800000001</v>
      </c>
      <c r="I1454">
        <v>150.24</v>
      </c>
      <c r="J1454">
        <v>5955</v>
      </c>
      <c r="K1454">
        <v>776505.3600000001</v>
      </c>
      <c r="L1454">
        <v>130.4</v>
      </c>
      <c r="M1454">
        <v>9840</v>
      </c>
      <c r="N1454">
        <v>1316180.3400000003</v>
      </c>
      <c r="O1454">
        <v>137.86000000000001</v>
      </c>
    </row>
    <row r="1455" spans="1:15" x14ac:dyDescent="0.35">
      <c r="A1455" t="s">
        <v>1802</v>
      </c>
      <c r="B1455" t="s">
        <v>1803</v>
      </c>
      <c r="C1455" t="s">
        <v>1644</v>
      </c>
      <c r="D1455" t="s">
        <v>334</v>
      </c>
      <c r="E1455" t="s">
        <v>308</v>
      </c>
      <c r="F1455" t="s">
        <v>1833</v>
      </c>
      <c r="G1455">
        <v>24</v>
      </c>
      <c r="H1455">
        <v>2198.3999999999996</v>
      </c>
      <c r="I1455">
        <v>91.6</v>
      </c>
      <c r="J1455">
        <v>0</v>
      </c>
      <c r="K1455">
        <v>0</v>
      </c>
      <c r="L1455">
        <v>0</v>
      </c>
      <c r="M1455">
        <v>24</v>
      </c>
      <c r="N1455">
        <v>2198.3999999999996</v>
      </c>
      <c r="O1455">
        <v>91.6</v>
      </c>
    </row>
    <row r="1456" spans="1:15" x14ac:dyDescent="0.35">
      <c r="A1456" t="s">
        <v>1802</v>
      </c>
      <c r="B1456" t="s">
        <v>1803</v>
      </c>
      <c r="C1456" t="s">
        <v>1644</v>
      </c>
      <c r="D1456" t="s">
        <v>337</v>
      </c>
      <c r="E1456" t="s">
        <v>337</v>
      </c>
      <c r="F1456" t="s">
        <v>1834</v>
      </c>
      <c r="G1456">
        <v>570</v>
      </c>
      <c r="J1456">
        <v>0</v>
      </c>
      <c r="M1456">
        <v>570</v>
      </c>
    </row>
    <row r="1457" spans="1:15" x14ac:dyDescent="0.35">
      <c r="A1457" t="s">
        <v>1802</v>
      </c>
      <c r="B1457" t="s">
        <v>1803</v>
      </c>
      <c r="C1457" t="s">
        <v>1644</v>
      </c>
      <c r="D1457" t="s">
        <v>339</v>
      </c>
      <c r="E1457" t="s">
        <v>294</v>
      </c>
      <c r="F1457" t="s">
        <v>1835</v>
      </c>
      <c r="G1457">
        <v>271</v>
      </c>
      <c r="H1457">
        <v>39163.14</v>
      </c>
      <c r="I1457">
        <v>144.51</v>
      </c>
      <c r="J1457">
        <v>0</v>
      </c>
      <c r="K1457">
        <v>0</v>
      </c>
      <c r="L1457">
        <v>0</v>
      </c>
      <c r="M1457">
        <v>271</v>
      </c>
      <c r="N1457">
        <v>39163.14</v>
      </c>
      <c r="O1457">
        <v>144.51</v>
      </c>
    </row>
    <row r="1458" spans="1:15" x14ac:dyDescent="0.35">
      <c r="A1458" t="s">
        <v>1802</v>
      </c>
      <c r="B1458" t="s">
        <v>1803</v>
      </c>
      <c r="C1458" t="s">
        <v>1644</v>
      </c>
      <c r="D1458" t="s">
        <v>339</v>
      </c>
      <c r="E1458" t="s">
        <v>296</v>
      </c>
      <c r="F1458" t="s">
        <v>1836</v>
      </c>
      <c r="G1458">
        <v>20</v>
      </c>
      <c r="H1458">
        <v>3184</v>
      </c>
      <c r="I1458">
        <v>159.19999999999999</v>
      </c>
      <c r="J1458">
        <v>0</v>
      </c>
      <c r="K1458">
        <v>0</v>
      </c>
      <c r="L1458">
        <v>0</v>
      </c>
      <c r="M1458">
        <v>20</v>
      </c>
      <c r="N1458">
        <v>3184</v>
      </c>
      <c r="O1458">
        <v>159.19999999999999</v>
      </c>
    </row>
    <row r="1459" spans="1:15" x14ac:dyDescent="0.35">
      <c r="A1459" t="s">
        <v>1802</v>
      </c>
      <c r="B1459" t="s">
        <v>1803</v>
      </c>
      <c r="C1459" t="s">
        <v>1644</v>
      </c>
      <c r="D1459" t="s">
        <v>339</v>
      </c>
      <c r="E1459" t="s">
        <v>298</v>
      </c>
      <c r="F1459" t="s">
        <v>1837</v>
      </c>
      <c r="G1459">
        <v>1</v>
      </c>
      <c r="H1459">
        <v>139.16999999999999</v>
      </c>
      <c r="I1459">
        <v>139.16999999999999</v>
      </c>
      <c r="J1459">
        <v>0</v>
      </c>
      <c r="K1459">
        <v>0</v>
      </c>
      <c r="L1459">
        <v>0</v>
      </c>
      <c r="M1459">
        <v>1</v>
      </c>
      <c r="N1459">
        <v>139.16999999999999</v>
      </c>
      <c r="O1459">
        <v>139.16999999999999</v>
      </c>
    </row>
    <row r="1460" spans="1:15" x14ac:dyDescent="0.35">
      <c r="A1460" t="s">
        <v>1802</v>
      </c>
      <c r="B1460" t="s">
        <v>1803</v>
      </c>
      <c r="C1460" t="s">
        <v>1644</v>
      </c>
      <c r="D1460" t="s">
        <v>339</v>
      </c>
      <c r="E1460" t="s">
        <v>300</v>
      </c>
      <c r="F1460" t="s">
        <v>1838</v>
      </c>
      <c r="G1460">
        <v>2</v>
      </c>
      <c r="H1460">
        <v>348.5</v>
      </c>
      <c r="I1460">
        <v>174.25</v>
      </c>
      <c r="J1460">
        <v>0</v>
      </c>
      <c r="K1460">
        <v>0</v>
      </c>
      <c r="L1460">
        <v>0</v>
      </c>
      <c r="M1460">
        <v>2</v>
      </c>
      <c r="N1460">
        <v>348.5</v>
      </c>
      <c r="O1460">
        <v>174.25</v>
      </c>
    </row>
    <row r="1461" spans="1:15" x14ac:dyDescent="0.35">
      <c r="A1461" t="s">
        <v>1802</v>
      </c>
      <c r="B1461" t="s">
        <v>1803</v>
      </c>
      <c r="C1461" t="s">
        <v>1644</v>
      </c>
      <c r="D1461" t="s">
        <v>339</v>
      </c>
      <c r="E1461" t="s">
        <v>306</v>
      </c>
      <c r="F1461" t="s">
        <v>1839</v>
      </c>
      <c r="G1461">
        <v>10</v>
      </c>
      <c r="H1461">
        <v>1066.3</v>
      </c>
      <c r="I1461">
        <v>106.63</v>
      </c>
      <c r="J1461">
        <v>0</v>
      </c>
      <c r="K1461">
        <v>0</v>
      </c>
      <c r="L1461">
        <v>0</v>
      </c>
      <c r="M1461">
        <v>10</v>
      </c>
      <c r="N1461">
        <v>1066.3</v>
      </c>
      <c r="O1461">
        <v>106.63</v>
      </c>
    </row>
    <row r="1462" spans="1:15" x14ac:dyDescent="0.35">
      <c r="A1462" t="s">
        <v>1802</v>
      </c>
      <c r="B1462" t="s">
        <v>1803</v>
      </c>
      <c r="C1462" t="s">
        <v>1644</v>
      </c>
      <c r="D1462" t="s">
        <v>339</v>
      </c>
      <c r="E1462" t="s">
        <v>308</v>
      </c>
      <c r="F1462" t="s">
        <v>1840</v>
      </c>
      <c r="G1462">
        <v>160</v>
      </c>
      <c r="H1462">
        <v>20609.759999999998</v>
      </c>
      <c r="I1462">
        <v>128.81</v>
      </c>
      <c r="J1462">
        <v>0</v>
      </c>
      <c r="K1462">
        <v>0</v>
      </c>
      <c r="L1462">
        <v>0</v>
      </c>
      <c r="M1462">
        <v>160</v>
      </c>
      <c r="N1462">
        <v>20609.759999999998</v>
      </c>
      <c r="O1462">
        <v>128.81</v>
      </c>
    </row>
    <row r="1463" spans="1:15" x14ac:dyDescent="0.35">
      <c r="A1463" t="s">
        <v>1802</v>
      </c>
      <c r="B1463" t="s">
        <v>1803</v>
      </c>
      <c r="C1463" t="s">
        <v>1644</v>
      </c>
      <c r="D1463" t="s">
        <v>339</v>
      </c>
      <c r="E1463" t="s">
        <v>310</v>
      </c>
      <c r="F1463" t="s">
        <v>1841</v>
      </c>
      <c r="G1463">
        <v>464</v>
      </c>
      <c r="H1463">
        <v>64510.869999999995</v>
      </c>
      <c r="I1463">
        <v>139.03</v>
      </c>
      <c r="J1463">
        <v>0</v>
      </c>
      <c r="K1463">
        <v>0</v>
      </c>
      <c r="L1463">
        <v>0</v>
      </c>
      <c r="M1463">
        <v>464</v>
      </c>
      <c r="N1463">
        <v>64510.869999999995</v>
      </c>
      <c r="O1463">
        <v>139.03</v>
      </c>
    </row>
    <row r="1464" spans="1:15" x14ac:dyDescent="0.35">
      <c r="A1464" t="s">
        <v>1802</v>
      </c>
      <c r="B1464" t="s">
        <v>1803</v>
      </c>
      <c r="C1464" t="s">
        <v>1644</v>
      </c>
      <c r="D1464" t="s">
        <v>339</v>
      </c>
      <c r="E1464" t="s">
        <v>312</v>
      </c>
      <c r="F1464" t="s">
        <v>1842</v>
      </c>
      <c r="G1464">
        <v>304</v>
      </c>
      <c r="H1464">
        <v>43901.11</v>
      </c>
      <c r="I1464">
        <v>144.41</v>
      </c>
      <c r="J1464">
        <v>0</v>
      </c>
      <c r="K1464">
        <v>0</v>
      </c>
      <c r="L1464">
        <v>0</v>
      </c>
      <c r="M1464">
        <v>304</v>
      </c>
      <c r="N1464">
        <v>43901.11</v>
      </c>
      <c r="O1464">
        <v>144.41</v>
      </c>
    </row>
    <row r="1465" spans="1:15" x14ac:dyDescent="0.35">
      <c r="A1465" t="s">
        <v>1802</v>
      </c>
      <c r="B1465" t="s">
        <v>1803</v>
      </c>
      <c r="C1465" t="s">
        <v>1644</v>
      </c>
      <c r="D1465" t="s">
        <v>348</v>
      </c>
      <c r="E1465" t="s">
        <v>349</v>
      </c>
      <c r="F1465" t="s">
        <v>1843</v>
      </c>
      <c r="G1465">
        <v>532</v>
      </c>
      <c r="H1465">
        <v>64510.869999999995</v>
      </c>
      <c r="I1465">
        <v>139.03</v>
      </c>
      <c r="J1465">
        <v>0</v>
      </c>
      <c r="K1465">
        <v>0</v>
      </c>
      <c r="L1465">
        <v>0</v>
      </c>
      <c r="M1465">
        <v>532</v>
      </c>
      <c r="N1465">
        <v>64510.869999999995</v>
      </c>
      <c r="O1465">
        <v>139.03</v>
      </c>
    </row>
    <row r="1466" spans="1:15" x14ac:dyDescent="0.35">
      <c r="A1466" t="s">
        <v>1844</v>
      </c>
      <c r="B1466" t="s">
        <v>215</v>
      </c>
      <c r="C1466" t="s">
        <v>1644</v>
      </c>
      <c r="D1466" t="s">
        <v>293</v>
      </c>
      <c r="E1466" t="s">
        <v>294</v>
      </c>
      <c r="F1466" t="s">
        <v>1845</v>
      </c>
      <c r="G1466">
        <v>125</v>
      </c>
      <c r="H1466">
        <v>22889.71</v>
      </c>
      <c r="I1466">
        <v>183.12</v>
      </c>
      <c r="J1466">
        <v>0</v>
      </c>
      <c r="K1466">
        <v>0</v>
      </c>
      <c r="L1466">
        <v>0</v>
      </c>
      <c r="M1466">
        <v>125</v>
      </c>
      <c r="N1466">
        <v>22889.71</v>
      </c>
      <c r="O1466">
        <v>183.12</v>
      </c>
    </row>
    <row r="1467" spans="1:15" x14ac:dyDescent="0.35">
      <c r="A1467" t="s">
        <v>1844</v>
      </c>
      <c r="B1467" t="s">
        <v>215</v>
      </c>
      <c r="C1467" t="s">
        <v>1644</v>
      </c>
      <c r="D1467" t="s">
        <v>293</v>
      </c>
      <c r="E1467" t="s">
        <v>296</v>
      </c>
      <c r="F1467" t="s">
        <v>1846</v>
      </c>
      <c r="G1467">
        <v>163</v>
      </c>
      <c r="H1467">
        <v>38547.100000000006</v>
      </c>
      <c r="I1467">
        <v>236.49</v>
      </c>
      <c r="J1467">
        <v>0</v>
      </c>
      <c r="K1467">
        <v>0</v>
      </c>
      <c r="L1467">
        <v>0</v>
      </c>
      <c r="M1467">
        <v>163</v>
      </c>
      <c r="N1467">
        <v>38547.100000000006</v>
      </c>
      <c r="O1467">
        <v>236.49</v>
      </c>
    </row>
    <row r="1468" spans="1:15" x14ac:dyDescent="0.35">
      <c r="A1468" t="s">
        <v>1844</v>
      </c>
      <c r="B1468" t="s">
        <v>215</v>
      </c>
      <c r="C1468" t="s">
        <v>1644</v>
      </c>
      <c r="D1468" t="s">
        <v>293</v>
      </c>
      <c r="E1468" t="s">
        <v>298</v>
      </c>
      <c r="F1468" t="s">
        <v>1847</v>
      </c>
      <c r="G1468">
        <v>65</v>
      </c>
      <c r="H1468">
        <v>18228.47</v>
      </c>
      <c r="I1468">
        <v>280.44</v>
      </c>
      <c r="J1468">
        <v>0</v>
      </c>
      <c r="K1468">
        <v>0</v>
      </c>
      <c r="L1468">
        <v>0</v>
      </c>
      <c r="M1468">
        <v>65</v>
      </c>
      <c r="N1468">
        <v>18228.47</v>
      </c>
      <c r="O1468">
        <v>280.44</v>
      </c>
    </row>
    <row r="1469" spans="1:15" x14ac:dyDescent="0.35">
      <c r="A1469" t="s">
        <v>1844</v>
      </c>
      <c r="B1469" t="s">
        <v>215</v>
      </c>
      <c r="C1469" t="s">
        <v>1644</v>
      </c>
      <c r="D1469" t="s">
        <v>293</v>
      </c>
      <c r="E1469" t="s">
        <v>300</v>
      </c>
      <c r="F1469" t="s">
        <v>1848</v>
      </c>
      <c r="G1469">
        <v>12</v>
      </c>
      <c r="H1469">
        <v>4074.88</v>
      </c>
      <c r="I1469">
        <v>339.57</v>
      </c>
      <c r="J1469">
        <v>0</v>
      </c>
      <c r="K1469">
        <v>0</v>
      </c>
      <c r="L1469">
        <v>0</v>
      </c>
      <c r="M1469">
        <v>12</v>
      </c>
      <c r="N1469">
        <v>4074.88</v>
      </c>
      <c r="O1469">
        <v>339.57</v>
      </c>
    </row>
    <row r="1470" spans="1:15" x14ac:dyDescent="0.35">
      <c r="A1470" t="s">
        <v>1844</v>
      </c>
      <c r="B1470" t="s">
        <v>215</v>
      </c>
      <c r="C1470" t="s">
        <v>1644</v>
      </c>
      <c r="D1470" t="s">
        <v>293</v>
      </c>
      <c r="E1470" t="s">
        <v>302</v>
      </c>
      <c r="F1470" t="s">
        <v>1849</v>
      </c>
      <c r="G1470">
        <v>0</v>
      </c>
      <c r="H1470">
        <v>0</v>
      </c>
      <c r="I1470">
        <v>0</v>
      </c>
      <c r="J1470">
        <v>0</v>
      </c>
      <c r="K1470">
        <v>0</v>
      </c>
      <c r="L1470">
        <v>0</v>
      </c>
      <c r="M1470">
        <v>0</v>
      </c>
      <c r="N1470">
        <v>0</v>
      </c>
      <c r="O1470">
        <v>0</v>
      </c>
    </row>
    <row r="1471" spans="1:15" x14ac:dyDescent="0.35">
      <c r="A1471" t="s">
        <v>1844</v>
      </c>
      <c r="B1471" t="s">
        <v>215</v>
      </c>
      <c r="C1471" t="s">
        <v>1644</v>
      </c>
      <c r="D1471" t="s">
        <v>293</v>
      </c>
      <c r="E1471" t="s">
        <v>304</v>
      </c>
      <c r="F1471" t="s">
        <v>1850</v>
      </c>
      <c r="G1471">
        <v>0</v>
      </c>
      <c r="H1471">
        <v>0</v>
      </c>
      <c r="I1471">
        <v>0</v>
      </c>
      <c r="J1471">
        <v>0</v>
      </c>
      <c r="K1471">
        <v>0</v>
      </c>
      <c r="L1471">
        <v>0</v>
      </c>
      <c r="M1471">
        <v>0</v>
      </c>
      <c r="N1471">
        <v>0</v>
      </c>
      <c r="O1471">
        <v>0</v>
      </c>
    </row>
    <row r="1472" spans="1:15" x14ac:dyDescent="0.35">
      <c r="A1472" t="s">
        <v>1844</v>
      </c>
      <c r="B1472" t="s">
        <v>215</v>
      </c>
      <c r="C1472" t="s">
        <v>1644</v>
      </c>
      <c r="D1472" t="s">
        <v>293</v>
      </c>
      <c r="E1472" t="s">
        <v>306</v>
      </c>
      <c r="F1472" t="s">
        <v>1851</v>
      </c>
      <c r="G1472">
        <v>1</v>
      </c>
      <c r="H1472">
        <v>171.59</v>
      </c>
      <c r="I1472">
        <v>171.59</v>
      </c>
      <c r="J1472">
        <v>0</v>
      </c>
      <c r="K1472">
        <v>0</v>
      </c>
      <c r="L1472">
        <v>0</v>
      </c>
      <c r="M1472">
        <v>1</v>
      </c>
      <c r="N1472">
        <v>171.59</v>
      </c>
      <c r="O1472">
        <v>171.59</v>
      </c>
    </row>
    <row r="1473" spans="1:15" x14ac:dyDescent="0.35">
      <c r="A1473" t="s">
        <v>1844</v>
      </c>
      <c r="B1473" t="s">
        <v>215</v>
      </c>
      <c r="C1473" t="s">
        <v>1644</v>
      </c>
      <c r="D1473" t="s">
        <v>293</v>
      </c>
      <c r="E1473" t="s">
        <v>308</v>
      </c>
      <c r="F1473" t="s">
        <v>1852</v>
      </c>
      <c r="G1473">
        <v>0</v>
      </c>
      <c r="H1473">
        <v>0</v>
      </c>
      <c r="I1473">
        <v>0</v>
      </c>
      <c r="J1473">
        <v>0</v>
      </c>
      <c r="K1473">
        <v>0</v>
      </c>
      <c r="L1473">
        <v>0</v>
      </c>
      <c r="M1473">
        <v>0</v>
      </c>
      <c r="N1473">
        <v>0</v>
      </c>
      <c r="O1473">
        <v>0</v>
      </c>
    </row>
    <row r="1474" spans="1:15" x14ac:dyDescent="0.35">
      <c r="A1474" t="s">
        <v>1844</v>
      </c>
      <c r="B1474" t="s">
        <v>215</v>
      </c>
      <c r="C1474" t="s">
        <v>1644</v>
      </c>
      <c r="D1474" t="s">
        <v>293</v>
      </c>
      <c r="E1474" t="s">
        <v>310</v>
      </c>
      <c r="F1474" t="s">
        <v>1853</v>
      </c>
      <c r="G1474">
        <v>366</v>
      </c>
      <c r="H1474">
        <v>83911.75</v>
      </c>
      <c r="I1474">
        <v>229.27</v>
      </c>
      <c r="J1474">
        <v>0</v>
      </c>
      <c r="K1474">
        <v>0</v>
      </c>
      <c r="L1474">
        <v>0</v>
      </c>
      <c r="M1474">
        <v>366</v>
      </c>
      <c r="N1474">
        <v>83911.75</v>
      </c>
      <c r="O1474">
        <v>229.27</v>
      </c>
    </row>
    <row r="1475" spans="1:15" x14ac:dyDescent="0.35">
      <c r="A1475" t="s">
        <v>1844</v>
      </c>
      <c r="B1475" t="s">
        <v>215</v>
      </c>
      <c r="C1475" t="s">
        <v>1644</v>
      </c>
      <c r="D1475" t="s">
        <v>293</v>
      </c>
      <c r="E1475" t="s">
        <v>312</v>
      </c>
      <c r="F1475" t="s">
        <v>1854</v>
      </c>
      <c r="G1475">
        <v>366</v>
      </c>
      <c r="H1475">
        <v>83911.75</v>
      </c>
      <c r="I1475">
        <v>229.27</v>
      </c>
      <c r="J1475">
        <v>0</v>
      </c>
      <c r="K1475">
        <v>0</v>
      </c>
      <c r="L1475">
        <v>0</v>
      </c>
      <c r="M1475">
        <v>366</v>
      </c>
      <c r="N1475">
        <v>83911.75</v>
      </c>
      <c r="O1475">
        <v>229.27</v>
      </c>
    </row>
    <row r="1476" spans="1:15" x14ac:dyDescent="0.35">
      <c r="A1476" t="s">
        <v>1844</v>
      </c>
      <c r="B1476" t="s">
        <v>215</v>
      </c>
      <c r="C1476" t="s">
        <v>1644</v>
      </c>
      <c r="D1476" t="s">
        <v>314</v>
      </c>
      <c r="E1476" t="s">
        <v>294</v>
      </c>
      <c r="F1476" t="s">
        <v>1855</v>
      </c>
      <c r="G1476">
        <v>10</v>
      </c>
      <c r="H1476">
        <v>1968.9299999999998</v>
      </c>
      <c r="I1476">
        <v>196.89</v>
      </c>
      <c r="J1476">
        <v>0</v>
      </c>
      <c r="K1476">
        <v>0</v>
      </c>
      <c r="L1476">
        <v>0</v>
      </c>
      <c r="M1476">
        <v>10</v>
      </c>
      <c r="N1476">
        <v>1968.9299999999998</v>
      </c>
      <c r="O1476">
        <v>196.89</v>
      </c>
    </row>
    <row r="1477" spans="1:15" x14ac:dyDescent="0.35">
      <c r="A1477" t="s">
        <v>1844</v>
      </c>
      <c r="B1477" t="s">
        <v>215</v>
      </c>
      <c r="C1477" t="s">
        <v>1644</v>
      </c>
      <c r="D1477" t="s">
        <v>314</v>
      </c>
      <c r="E1477" t="s">
        <v>296</v>
      </c>
      <c r="F1477" t="s">
        <v>1856</v>
      </c>
      <c r="G1477">
        <v>0</v>
      </c>
      <c r="H1477">
        <v>0</v>
      </c>
      <c r="I1477">
        <v>0</v>
      </c>
      <c r="J1477">
        <v>0</v>
      </c>
      <c r="K1477">
        <v>0</v>
      </c>
      <c r="L1477">
        <v>0</v>
      </c>
      <c r="M1477">
        <v>0</v>
      </c>
      <c r="N1477">
        <v>0</v>
      </c>
      <c r="O1477">
        <v>0</v>
      </c>
    </row>
    <row r="1478" spans="1:15" x14ac:dyDescent="0.35">
      <c r="A1478" t="s">
        <v>1844</v>
      </c>
      <c r="B1478" t="s">
        <v>215</v>
      </c>
      <c r="C1478" t="s">
        <v>1644</v>
      </c>
      <c r="D1478" t="s">
        <v>314</v>
      </c>
      <c r="E1478" t="s">
        <v>298</v>
      </c>
      <c r="F1478" t="s">
        <v>1857</v>
      </c>
      <c r="G1478">
        <v>0</v>
      </c>
      <c r="H1478">
        <v>0</v>
      </c>
      <c r="I1478">
        <v>0</v>
      </c>
      <c r="J1478">
        <v>0</v>
      </c>
      <c r="K1478">
        <v>0</v>
      </c>
      <c r="L1478">
        <v>0</v>
      </c>
      <c r="M1478">
        <v>0</v>
      </c>
      <c r="N1478">
        <v>0</v>
      </c>
      <c r="O1478">
        <v>0</v>
      </c>
    </row>
    <row r="1479" spans="1:15" x14ac:dyDescent="0.35">
      <c r="A1479" t="s">
        <v>1844</v>
      </c>
      <c r="B1479" t="s">
        <v>215</v>
      </c>
      <c r="C1479" t="s">
        <v>1644</v>
      </c>
      <c r="D1479" t="s">
        <v>314</v>
      </c>
      <c r="E1479" t="s">
        <v>300</v>
      </c>
      <c r="F1479" t="s">
        <v>1858</v>
      </c>
      <c r="G1479">
        <v>0</v>
      </c>
      <c r="H1479">
        <v>0</v>
      </c>
      <c r="I1479">
        <v>0</v>
      </c>
      <c r="J1479">
        <v>0</v>
      </c>
      <c r="K1479">
        <v>0</v>
      </c>
      <c r="L1479">
        <v>0</v>
      </c>
      <c r="M1479">
        <v>0</v>
      </c>
      <c r="N1479">
        <v>0</v>
      </c>
      <c r="O1479">
        <v>0</v>
      </c>
    </row>
    <row r="1480" spans="1:15" x14ac:dyDescent="0.35">
      <c r="A1480" t="s">
        <v>1844</v>
      </c>
      <c r="B1480" t="s">
        <v>215</v>
      </c>
      <c r="C1480" t="s">
        <v>1644</v>
      </c>
      <c r="D1480" t="s">
        <v>314</v>
      </c>
      <c r="E1480" t="s">
        <v>306</v>
      </c>
      <c r="F1480" t="s">
        <v>1859</v>
      </c>
      <c r="G1480">
        <v>0</v>
      </c>
      <c r="H1480">
        <v>0</v>
      </c>
      <c r="I1480">
        <v>0</v>
      </c>
      <c r="J1480">
        <v>0</v>
      </c>
      <c r="K1480">
        <v>0</v>
      </c>
      <c r="L1480">
        <v>0</v>
      </c>
      <c r="M1480">
        <v>0</v>
      </c>
      <c r="N1480">
        <v>0</v>
      </c>
      <c r="O1480">
        <v>0</v>
      </c>
    </row>
    <row r="1481" spans="1:15" x14ac:dyDescent="0.35">
      <c r="A1481" t="s">
        <v>1844</v>
      </c>
      <c r="B1481" t="s">
        <v>215</v>
      </c>
      <c r="C1481" t="s">
        <v>1644</v>
      </c>
      <c r="D1481" t="s">
        <v>314</v>
      </c>
      <c r="E1481" t="s">
        <v>308</v>
      </c>
      <c r="F1481" t="s">
        <v>1860</v>
      </c>
      <c r="G1481">
        <v>0</v>
      </c>
      <c r="H1481">
        <v>0</v>
      </c>
      <c r="I1481">
        <v>0</v>
      </c>
      <c r="J1481">
        <v>0</v>
      </c>
      <c r="K1481">
        <v>0</v>
      </c>
      <c r="L1481">
        <v>0</v>
      </c>
      <c r="M1481">
        <v>0</v>
      </c>
      <c r="N1481">
        <v>0</v>
      </c>
      <c r="O1481">
        <v>0</v>
      </c>
    </row>
    <row r="1482" spans="1:15" x14ac:dyDescent="0.35">
      <c r="A1482" t="s">
        <v>1844</v>
      </c>
      <c r="B1482" t="s">
        <v>215</v>
      </c>
      <c r="C1482" t="s">
        <v>1644</v>
      </c>
      <c r="D1482" t="s">
        <v>314</v>
      </c>
      <c r="E1482" t="s">
        <v>312</v>
      </c>
      <c r="F1482" t="s">
        <v>1861</v>
      </c>
      <c r="G1482">
        <v>10</v>
      </c>
      <c r="H1482">
        <v>1968.9299999999998</v>
      </c>
      <c r="I1482">
        <v>196.89</v>
      </c>
      <c r="J1482">
        <v>0</v>
      </c>
      <c r="K1482">
        <v>0</v>
      </c>
      <c r="L1482">
        <v>0</v>
      </c>
      <c r="M1482">
        <v>10</v>
      </c>
      <c r="N1482">
        <v>1968.9299999999998</v>
      </c>
      <c r="O1482">
        <v>196.89</v>
      </c>
    </row>
    <row r="1483" spans="1:15" x14ac:dyDescent="0.35">
      <c r="A1483" t="s">
        <v>1844</v>
      </c>
      <c r="B1483" t="s">
        <v>215</v>
      </c>
      <c r="C1483" t="s">
        <v>1644</v>
      </c>
      <c r="D1483" t="s">
        <v>314</v>
      </c>
      <c r="E1483" t="s">
        <v>310</v>
      </c>
      <c r="F1483" t="s">
        <v>1862</v>
      </c>
      <c r="G1483">
        <v>10</v>
      </c>
      <c r="H1483">
        <v>1968.9299999999998</v>
      </c>
      <c r="I1483">
        <v>196.89</v>
      </c>
      <c r="J1483">
        <v>0</v>
      </c>
      <c r="K1483">
        <v>0</v>
      </c>
      <c r="L1483">
        <v>0</v>
      </c>
      <c r="M1483">
        <v>10</v>
      </c>
      <c r="N1483">
        <v>1968.9299999999998</v>
      </c>
      <c r="O1483">
        <v>196.89</v>
      </c>
    </row>
    <row r="1484" spans="1:15" x14ac:dyDescent="0.35">
      <c r="A1484" t="s">
        <v>1844</v>
      </c>
      <c r="B1484" t="s">
        <v>215</v>
      </c>
      <c r="C1484" t="s">
        <v>1644</v>
      </c>
      <c r="D1484" t="s">
        <v>323</v>
      </c>
      <c r="E1484" t="s">
        <v>294</v>
      </c>
      <c r="F1484" t="s">
        <v>1863</v>
      </c>
      <c r="G1484">
        <v>1803</v>
      </c>
      <c r="H1484">
        <v>230089.75000000003</v>
      </c>
      <c r="I1484">
        <v>127.61</v>
      </c>
      <c r="J1484">
        <v>0</v>
      </c>
      <c r="K1484">
        <v>0</v>
      </c>
      <c r="L1484">
        <v>0</v>
      </c>
      <c r="M1484">
        <v>1803</v>
      </c>
      <c r="N1484">
        <v>230089.75000000003</v>
      </c>
      <c r="O1484">
        <v>127.61</v>
      </c>
    </row>
    <row r="1485" spans="1:15" x14ac:dyDescent="0.35">
      <c r="A1485" t="s">
        <v>1844</v>
      </c>
      <c r="B1485" t="s">
        <v>215</v>
      </c>
      <c r="C1485" t="s">
        <v>1644</v>
      </c>
      <c r="D1485" t="s">
        <v>323</v>
      </c>
      <c r="E1485" t="s">
        <v>296</v>
      </c>
      <c r="F1485" t="s">
        <v>1864</v>
      </c>
      <c r="G1485">
        <v>1920</v>
      </c>
      <c r="H1485">
        <v>283188.48999999993</v>
      </c>
      <c r="I1485">
        <v>147.49</v>
      </c>
      <c r="J1485">
        <v>0</v>
      </c>
      <c r="K1485">
        <v>0</v>
      </c>
      <c r="L1485">
        <v>0</v>
      </c>
      <c r="M1485">
        <v>1920</v>
      </c>
      <c r="N1485">
        <v>283188.48999999993</v>
      </c>
      <c r="O1485">
        <v>147.49</v>
      </c>
    </row>
    <row r="1486" spans="1:15" x14ac:dyDescent="0.35">
      <c r="A1486" t="s">
        <v>1844</v>
      </c>
      <c r="B1486" t="s">
        <v>215</v>
      </c>
      <c r="C1486" t="s">
        <v>1644</v>
      </c>
      <c r="D1486" t="s">
        <v>323</v>
      </c>
      <c r="E1486" t="s">
        <v>298</v>
      </c>
      <c r="F1486" t="s">
        <v>1865</v>
      </c>
      <c r="G1486">
        <v>2354</v>
      </c>
      <c r="H1486">
        <v>395768.12000000005</v>
      </c>
      <c r="I1486">
        <v>168.13</v>
      </c>
      <c r="J1486">
        <v>0</v>
      </c>
      <c r="K1486">
        <v>0</v>
      </c>
      <c r="L1486">
        <v>0</v>
      </c>
      <c r="M1486">
        <v>2354</v>
      </c>
      <c r="N1486">
        <v>395768.12000000005</v>
      </c>
      <c r="O1486">
        <v>168.13</v>
      </c>
    </row>
    <row r="1487" spans="1:15" x14ac:dyDescent="0.35">
      <c r="A1487" t="s">
        <v>1844</v>
      </c>
      <c r="B1487" t="s">
        <v>215</v>
      </c>
      <c r="C1487" t="s">
        <v>1644</v>
      </c>
      <c r="D1487" t="s">
        <v>323</v>
      </c>
      <c r="E1487" t="s">
        <v>300</v>
      </c>
      <c r="F1487" t="s">
        <v>1866</v>
      </c>
      <c r="G1487">
        <v>128</v>
      </c>
      <c r="H1487">
        <v>24211.5</v>
      </c>
      <c r="I1487">
        <v>189.15</v>
      </c>
      <c r="J1487">
        <v>0</v>
      </c>
      <c r="K1487">
        <v>0</v>
      </c>
      <c r="L1487">
        <v>0</v>
      </c>
      <c r="M1487">
        <v>128</v>
      </c>
      <c r="N1487">
        <v>24211.5</v>
      </c>
      <c r="O1487">
        <v>189.15</v>
      </c>
    </row>
    <row r="1488" spans="1:15" x14ac:dyDescent="0.35">
      <c r="A1488" t="s">
        <v>1844</v>
      </c>
      <c r="B1488" t="s">
        <v>215</v>
      </c>
      <c r="C1488" t="s">
        <v>1644</v>
      </c>
      <c r="D1488" t="s">
        <v>323</v>
      </c>
      <c r="E1488" t="s">
        <v>302</v>
      </c>
      <c r="F1488" t="s">
        <v>1867</v>
      </c>
      <c r="G1488">
        <v>6</v>
      </c>
      <c r="H1488">
        <v>1181.8599999999999</v>
      </c>
      <c r="I1488">
        <v>196.98</v>
      </c>
      <c r="J1488">
        <v>0</v>
      </c>
      <c r="K1488">
        <v>0</v>
      </c>
      <c r="L1488">
        <v>0</v>
      </c>
      <c r="M1488">
        <v>6</v>
      </c>
      <c r="N1488">
        <v>1181.8599999999999</v>
      </c>
      <c r="O1488">
        <v>196.98</v>
      </c>
    </row>
    <row r="1489" spans="1:15" x14ac:dyDescent="0.35">
      <c r="A1489" t="s">
        <v>1844</v>
      </c>
      <c r="B1489" t="s">
        <v>215</v>
      </c>
      <c r="C1489" t="s">
        <v>1644</v>
      </c>
      <c r="D1489" t="s">
        <v>323</v>
      </c>
      <c r="E1489" t="s">
        <v>304</v>
      </c>
      <c r="F1489" t="s">
        <v>1868</v>
      </c>
      <c r="G1489">
        <v>2</v>
      </c>
      <c r="H1489">
        <v>413.96</v>
      </c>
      <c r="I1489">
        <v>206.98</v>
      </c>
      <c r="J1489">
        <v>0</v>
      </c>
      <c r="K1489">
        <v>0</v>
      </c>
      <c r="L1489">
        <v>0</v>
      </c>
      <c r="M1489">
        <v>2</v>
      </c>
      <c r="N1489">
        <v>413.96</v>
      </c>
      <c r="O1489">
        <v>206.98</v>
      </c>
    </row>
    <row r="1490" spans="1:15" x14ac:dyDescent="0.35">
      <c r="A1490" t="s">
        <v>1844</v>
      </c>
      <c r="B1490" t="s">
        <v>215</v>
      </c>
      <c r="C1490" t="s">
        <v>1644</v>
      </c>
      <c r="D1490" t="s">
        <v>323</v>
      </c>
      <c r="E1490" t="s">
        <v>306</v>
      </c>
      <c r="F1490" t="s">
        <v>1869</v>
      </c>
      <c r="G1490">
        <v>10</v>
      </c>
      <c r="H1490">
        <v>1200.9000000000001</v>
      </c>
      <c r="I1490">
        <v>120.09</v>
      </c>
      <c r="J1490">
        <v>0</v>
      </c>
      <c r="K1490">
        <v>0</v>
      </c>
      <c r="L1490">
        <v>0</v>
      </c>
      <c r="M1490">
        <v>10</v>
      </c>
      <c r="N1490">
        <v>1200.9000000000001</v>
      </c>
      <c r="O1490">
        <v>120.09</v>
      </c>
    </row>
    <row r="1491" spans="1:15" x14ac:dyDescent="0.35">
      <c r="A1491" t="s">
        <v>1844</v>
      </c>
      <c r="B1491" t="s">
        <v>215</v>
      </c>
      <c r="C1491" t="s">
        <v>1644</v>
      </c>
      <c r="D1491" t="s">
        <v>323</v>
      </c>
      <c r="E1491" t="s">
        <v>308</v>
      </c>
      <c r="F1491" t="s">
        <v>1870</v>
      </c>
      <c r="G1491">
        <v>0</v>
      </c>
      <c r="H1491">
        <v>0</v>
      </c>
      <c r="I1491">
        <v>0</v>
      </c>
      <c r="J1491">
        <v>0</v>
      </c>
      <c r="K1491">
        <v>0</v>
      </c>
      <c r="L1491">
        <v>0</v>
      </c>
      <c r="M1491">
        <v>0</v>
      </c>
      <c r="N1491">
        <v>0</v>
      </c>
      <c r="O1491">
        <v>0</v>
      </c>
    </row>
    <row r="1492" spans="1:15" x14ac:dyDescent="0.35">
      <c r="A1492" t="s">
        <v>1844</v>
      </c>
      <c r="B1492" t="s">
        <v>215</v>
      </c>
      <c r="C1492" t="s">
        <v>1644</v>
      </c>
      <c r="D1492" t="s">
        <v>323</v>
      </c>
      <c r="E1492" t="s">
        <v>310</v>
      </c>
      <c r="F1492" t="s">
        <v>1871</v>
      </c>
      <c r="G1492">
        <v>6223</v>
      </c>
      <c r="H1492">
        <v>936054.58000000007</v>
      </c>
      <c r="I1492">
        <v>150.41999999999999</v>
      </c>
      <c r="J1492">
        <v>0</v>
      </c>
      <c r="K1492">
        <v>0</v>
      </c>
      <c r="L1492">
        <v>0</v>
      </c>
      <c r="M1492">
        <v>6223</v>
      </c>
      <c r="N1492">
        <v>936054.58000000007</v>
      </c>
      <c r="O1492">
        <v>150.41999999999999</v>
      </c>
    </row>
    <row r="1493" spans="1:15" x14ac:dyDescent="0.35">
      <c r="A1493" t="s">
        <v>1844</v>
      </c>
      <c r="B1493" t="s">
        <v>215</v>
      </c>
      <c r="C1493" t="s">
        <v>1644</v>
      </c>
      <c r="D1493" t="s">
        <v>323</v>
      </c>
      <c r="E1493" t="s">
        <v>312</v>
      </c>
      <c r="F1493" t="s">
        <v>1872</v>
      </c>
      <c r="G1493">
        <v>6223</v>
      </c>
      <c r="H1493">
        <v>936054.58000000007</v>
      </c>
      <c r="I1493">
        <v>150.41999999999999</v>
      </c>
      <c r="J1493">
        <v>0</v>
      </c>
      <c r="K1493">
        <v>0</v>
      </c>
      <c r="L1493">
        <v>0</v>
      </c>
      <c r="M1493">
        <v>6223</v>
      </c>
      <c r="N1493">
        <v>936054.58000000007</v>
      </c>
      <c r="O1493">
        <v>150.41999999999999</v>
      </c>
    </row>
    <row r="1494" spans="1:15" x14ac:dyDescent="0.35">
      <c r="A1494" t="s">
        <v>1844</v>
      </c>
      <c r="B1494" t="s">
        <v>215</v>
      </c>
      <c r="C1494" t="s">
        <v>1644</v>
      </c>
      <c r="D1494" t="s">
        <v>334</v>
      </c>
      <c r="E1494" t="s">
        <v>312</v>
      </c>
      <c r="F1494" t="s">
        <v>1873</v>
      </c>
      <c r="G1494">
        <v>6785</v>
      </c>
      <c r="H1494">
        <v>1019966.3300000001</v>
      </c>
      <c r="I1494">
        <v>154.80000000000001</v>
      </c>
      <c r="J1494">
        <v>0</v>
      </c>
      <c r="K1494">
        <v>0</v>
      </c>
      <c r="L1494">
        <v>0</v>
      </c>
      <c r="M1494">
        <v>6785</v>
      </c>
      <c r="N1494">
        <v>1019966.3300000001</v>
      </c>
      <c r="O1494">
        <v>154.80000000000001</v>
      </c>
    </row>
    <row r="1495" spans="1:15" x14ac:dyDescent="0.35">
      <c r="A1495" t="s">
        <v>1844</v>
      </c>
      <c r="B1495" t="s">
        <v>215</v>
      </c>
      <c r="C1495" t="s">
        <v>1644</v>
      </c>
      <c r="D1495" t="s">
        <v>334</v>
      </c>
      <c r="E1495" t="s">
        <v>308</v>
      </c>
      <c r="F1495" t="s">
        <v>1874</v>
      </c>
      <c r="G1495">
        <v>41</v>
      </c>
      <c r="H1495">
        <v>0</v>
      </c>
      <c r="I1495">
        <v>0</v>
      </c>
      <c r="J1495">
        <v>0</v>
      </c>
      <c r="K1495">
        <v>0</v>
      </c>
      <c r="L1495">
        <v>0</v>
      </c>
      <c r="M1495">
        <v>41</v>
      </c>
      <c r="N1495">
        <v>0</v>
      </c>
      <c r="O1495">
        <v>0</v>
      </c>
    </row>
    <row r="1496" spans="1:15" x14ac:dyDescent="0.35">
      <c r="A1496" t="s">
        <v>1844</v>
      </c>
      <c r="B1496" t="s">
        <v>215</v>
      </c>
      <c r="C1496" t="s">
        <v>1644</v>
      </c>
      <c r="D1496" t="s">
        <v>337</v>
      </c>
      <c r="E1496" t="s">
        <v>337</v>
      </c>
      <c r="F1496" t="s">
        <v>1875</v>
      </c>
      <c r="G1496">
        <v>484</v>
      </c>
      <c r="J1496">
        <v>0</v>
      </c>
      <c r="M1496">
        <v>484</v>
      </c>
    </row>
    <row r="1497" spans="1:15" x14ac:dyDescent="0.35">
      <c r="A1497" t="s">
        <v>1844</v>
      </c>
      <c r="B1497" t="s">
        <v>215</v>
      </c>
      <c r="C1497" t="s">
        <v>1644</v>
      </c>
      <c r="D1497" t="s">
        <v>339</v>
      </c>
      <c r="E1497" t="s">
        <v>294</v>
      </c>
      <c r="F1497" t="s">
        <v>1876</v>
      </c>
      <c r="G1497">
        <v>861</v>
      </c>
      <c r="H1497">
        <v>119632.37</v>
      </c>
      <c r="I1497">
        <v>138.94999999999999</v>
      </c>
      <c r="J1497">
        <v>0</v>
      </c>
      <c r="K1497">
        <v>0</v>
      </c>
      <c r="L1497">
        <v>0</v>
      </c>
      <c r="M1497">
        <v>861</v>
      </c>
      <c r="N1497">
        <v>119632.37</v>
      </c>
      <c r="O1497">
        <v>138.94999999999999</v>
      </c>
    </row>
    <row r="1498" spans="1:15" x14ac:dyDescent="0.35">
      <c r="A1498" t="s">
        <v>1844</v>
      </c>
      <c r="B1498" t="s">
        <v>215</v>
      </c>
      <c r="C1498" t="s">
        <v>1644</v>
      </c>
      <c r="D1498" t="s">
        <v>339</v>
      </c>
      <c r="E1498" t="s">
        <v>296</v>
      </c>
      <c r="F1498" t="s">
        <v>1877</v>
      </c>
      <c r="G1498">
        <v>54</v>
      </c>
      <c r="H1498">
        <v>8940.26</v>
      </c>
      <c r="I1498">
        <v>165.56</v>
      </c>
      <c r="J1498">
        <v>0</v>
      </c>
      <c r="K1498">
        <v>0</v>
      </c>
      <c r="L1498">
        <v>0</v>
      </c>
      <c r="M1498">
        <v>54</v>
      </c>
      <c r="N1498">
        <v>8940.26</v>
      </c>
      <c r="O1498">
        <v>165.56</v>
      </c>
    </row>
    <row r="1499" spans="1:15" x14ac:dyDescent="0.35">
      <c r="A1499" t="s">
        <v>1844</v>
      </c>
      <c r="B1499" t="s">
        <v>215</v>
      </c>
      <c r="C1499" t="s">
        <v>1644</v>
      </c>
      <c r="D1499" t="s">
        <v>339</v>
      </c>
      <c r="E1499" t="s">
        <v>298</v>
      </c>
      <c r="F1499" t="s">
        <v>1878</v>
      </c>
      <c r="G1499">
        <v>4</v>
      </c>
      <c r="H1499">
        <v>569.63</v>
      </c>
      <c r="I1499">
        <v>142.41</v>
      </c>
      <c r="J1499">
        <v>0</v>
      </c>
      <c r="K1499">
        <v>0</v>
      </c>
      <c r="L1499">
        <v>0</v>
      </c>
      <c r="M1499">
        <v>4</v>
      </c>
      <c r="N1499">
        <v>569.63</v>
      </c>
      <c r="O1499">
        <v>142.41</v>
      </c>
    </row>
    <row r="1500" spans="1:15" x14ac:dyDescent="0.35">
      <c r="A1500" t="s">
        <v>1844</v>
      </c>
      <c r="B1500" t="s">
        <v>215</v>
      </c>
      <c r="C1500" t="s">
        <v>1644</v>
      </c>
      <c r="D1500" t="s">
        <v>339</v>
      </c>
      <c r="E1500" t="s">
        <v>300</v>
      </c>
      <c r="F1500" t="s">
        <v>1879</v>
      </c>
      <c r="G1500">
        <v>0</v>
      </c>
      <c r="H1500">
        <v>0</v>
      </c>
      <c r="I1500">
        <v>0</v>
      </c>
      <c r="J1500">
        <v>0</v>
      </c>
      <c r="K1500">
        <v>0</v>
      </c>
      <c r="L1500">
        <v>0</v>
      </c>
      <c r="M1500">
        <v>0</v>
      </c>
      <c r="N1500">
        <v>0</v>
      </c>
      <c r="O1500">
        <v>0</v>
      </c>
    </row>
    <row r="1501" spans="1:15" x14ac:dyDescent="0.35">
      <c r="A1501" t="s">
        <v>1844</v>
      </c>
      <c r="B1501" t="s">
        <v>215</v>
      </c>
      <c r="C1501" t="s">
        <v>1644</v>
      </c>
      <c r="D1501" t="s">
        <v>339</v>
      </c>
      <c r="E1501" t="s">
        <v>306</v>
      </c>
      <c r="F1501" t="s">
        <v>1880</v>
      </c>
      <c r="G1501">
        <v>74</v>
      </c>
      <c r="H1501">
        <v>8690.67</v>
      </c>
      <c r="I1501">
        <v>117.44</v>
      </c>
      <c r="J1501">
        <v>0</v>
      </c>
      <c r="K1501">
        <v>0</v>
      </c>
      <c r="L1501">
        <v>0</v>
      </c>
      <c r="M1501">
        <v>74</v>
      </c>
      <c r="N1501">
        <v>8690.67</v>
      </c>
      <c r="O1501">
        <v>117.44</v>
      </c>
    </row>
    <row r="1502" spans="1:15" x14ac:dyDescent="0.35">
      <c r="A1502" t="s">
        <v>1844</v>
      </c>
      <c r="B1502" t="s">
        <v>215</v>
      </c>
      <c r="C1502" t="s">
        <v>1644</v>
      </c>
      <c r="D1502" t="s">
        <v>339</v>
      </c>
      <c r="E1502" t="s">
        <v>308</v>
      </c>
      <c r="F1502" t="s">
        <v>1881</v>
      </c>
      <c r="G1502">
        <v>40</v>
      </c>
      <c r="H1502">
        <v>5469.9400000000005</v>
      </c>
      <c r="I1502">
        <v>136.75</v>
      </c>
      <c r="J1502">
        <v>0</v>
      </c>
      <c r="K1502">
        <v>0</v>
      </c>
      <c r="L1502">
        <v>0</v>
      </c>
      <c r="M1502">
        <v>40</v>
      </c>
      <c r="N1502">
        <v>5469.9400000000005</v>
      </c>
      <c r="O1502">
        <v>136.75</v>
      </c>
    </row>
    <row r="1503" spans="1:15" x14ac:dyDescent="0.35">
      <c r="A1503" t="s">
        <v>1844</v>
      </c>
      <c r="B1503" t="s">
        <v>215</v>
      </c>
      <c r="C1503" t="s">
        <v>1644</v>
      </c>
      <c r="D1503" t="s">
        <v>339</v>
      </c>
      <c r="E1503" t="s">
        <v>310</v>
      </c>
      <c r="F1503" t="s">
        <v>1882</v>
      </c>
      <c r="G1503">
        <v>1033</v>
      </c>
      <c r="H1503">
        <v>143302.87</v>
      </c>
      <c r="I1503">
        <v>138.72</v>
      </c>
      <c r="J1503">
        <v>0</v>
      </c>
      <c r="K1503">
        <v>0</v>
      </c>
      <c r="L1503">
        <v>0</v>
      </c>
      <c r="M1503">
        <v>1033</v>
      </c>
      <c r="N1503">
        <v>143302.87</v>
      </c>
      <c r="O1503">
        <v>138.72</v>
      </c>
    </row>
    <row r="1504" spans="1:15" x14ac:dyDescent="0.35">
      <c r="A1504" t="s">
        <v>1844</v>
      </c>
      <c r="B1504" t="s">
        <v>215</v>
      </c>
      <c r="C1504" t="s">
        <v>1644</v>
      </c>
      <c r="D1504" t="s">
        <v>339</v>
      </c>
      <c r="E1504" t="s">
        <v>312</v>
      </c>
      <c r="F1504" t="s">
        <v>1883</v>
      </c>
      <c r="G1504">
        <v>993</v>
      </c>
      <c r="H1504">
        <v>137832.93</v>
      </c>
      <c r="I1504">
        <v>138.80000000000001</v>
      </c>
      <c r="J1504">
        <v>0</v>
      </c>
      <c r="K1504">
        <v>0</v>
      </c>
      <c r="L1504">
        <v>0</v>
      </c>
      <c r="M1504">
        <v>993</v>
      </c>
      <c r="N1504">
        <v>137832.93</v>
      </c>
      <c r="O1504">
        <v>138.80000000000001</v>
      </c>
    </row>
    <row r="1505" spans="1:15" x14ac:dyDescent="0.35">
      <c r="A1505" t="s">
        <v>1844</v>
      </c>
      <c r="B1505" t="s">
        <v>215</v>
      </c>
      <c r="C1505" t="s">
        <v>1644</v>
      </c>
      <c r="D1505" t="s">
        <v>348</v>
      </c>
      <c r="E1505" t="s">
        <v>349</v>
      </c>
      <c r="F1505" t="s">
        <v>1884</v>
      </c>
      <c r="G1505">
        <v>1064</v>
      </c>
      <c r="H1505">
        <v>145271.79999999999</v>
      </c>
      <c r="I1505">
        <v>139.28</v>
      </c>
      <c r="J1505">
        <v>0</v>
      </c>
      <c r="K1505">
        <v>0</v>
      </c>
      <c r="L1505">
        <v>0</v>
      </c>
      <c r="M1505">
        <v>1064</v>
      </c>
      <c r="N1505">
        <v>145271.79999999999</v>
      </c>
      <c r="O1505">
        <v>139.28</v>
      </c>
    </row>
    <row r="1506" spans="1:15" x14ac:dyDescent="0.35">
      <c r="A1506" t="s">
        <v>1885</v>
      </c>
      <c r="B1506" t="s">
        <v>218</v>
      </c>
      <c r="C1506" t="s">
        <v>1644</v>
      </c>
      <c r="D1506" t="s">
        <v>293</v>
      </c>
      <c r="E1506" t="s">
        <v>294</v>
      </c>
      <c r="F1506" t="s">
        <v>1886</v>
      </c>
      <c r="G1506">
        <v>84</v>
      </c>
      <c r="H1506">
        <v>14987.32</v>
      </c>
      <c r="I1506">
        <v>178.42</v>
      </c>
      <c r="J1506">
        <v>0</v>
      </c>
      <c r="K1506">
        <v>0</v>
      </c>
      <c r="L1506">
        <v>0</v>
      </c>
      <c r="M1506">
        <v>84</v>
      </c>
      <c r="N1506">
        <v>14987.32</v>
      </c>
      <c r="O1506">
        <v>178.42</v>
      </c>
    </row>
    <row r="1507" spans="1:15" x14ac:dyDescent="0.35">
      <c r="A1507" t="s">
        <v>1885</v>
      </c>
      <c r="B1507" t="s">
        <v>218</v>
      </c>
      <c r="C1507" t="s">
        <v>1644</v>
      </c>
      <c r="D1507" t="s">
        <v>293</v>
      </c>
      <c r="E1507" t="s">
        <v>296</v>
      </c>
      <c r="F1507" t="s">
        <v>1887</v>
      </c>
      <c r="G1507">
        <v>155</v>
      </c>
      <c r="H1507">
        <v>35068.720000000001</v>
      </c>
      <c r="I1507">
        <v>226.25</v>
      </c>
      <c r="J1507">
        <v>6</v>
      </c>
      <c r="K1507">
        <v>1412.76</v>
      </c>
      <c r="L1507">
        <v>235.46</v>
      </c>
      <c r="M1507">
        <v>161</v>
      </c>
      <c r="N1507">
        <v>36481.480000000003</v>
      </c>
      <c r="O1507">
        <v>226.59</v>
      </c>
    </row>
    <row r="1508" spans="1:15" x14ac:dyDescent="0.35">
      <c r="A1508" t="s">
        <v>1885</v>
      </c>
      <c r="B1508" t="s">
        <v>218</v>
      </c>
      <c r="C1508" t="s">
        <v>1644</v>
      </c>
      <c r="D1508" t="s">
        <v>293</v>
      </c>
      <c r="E1508" t="s">
        <v>298</v>
      </c>
      <c r="F1508" t="s">
        <v>1888</v>
      </c>
      <c r="G1508">
        <v>25</v>
      </c>
      <c r="H1508">
        <v>6514.6500000000005</v>
      </c>
      <c r="I1508">
        <v>260.58999999999997</v>
      </c>
      <c r="J1508">
        <v>7</v>
      </c>
      <c r="K1508">
        <v>1995.2800000000002</v>
      </c>
      <c r="L1508">
        <v>285.04000000000002</v>
      </c>
      <c r="M1508">
        <v>32</v>
      </c>
      <c r="N1508">
        <v>8509.93</v>
      </c>
      <c r="O1508">
        <v>265.94</v>
      </c>
    </row>
    <row r="1509" spans="1:15" x14ac:dyDescent="0.35">
      <c r="A1509" t="s">
        <v>1885</v>
      </c>
      <c r="B1509" t="s">
        <v>218</v>
      </c>
      <c r="C1509" t="s">
        <v>1644</v>
      </c>
      <c r="D1509" t="s">
        <v>293</v>
      </c>
      <c r="E1509" t="s">
        <v>300</v>
      </c>
      <c r="F1509" t="s">
        <v>1889</v>
      </c>
      <c r="G1509">
        <v>1</v>
      </c>
      <c r="H1509">
        <v>292.64999999999998</v>
      </c>
      <c r="I1509">
        <v>292.64999999999998</v>
      </c>
      <c r="J1509">
        <v>3</v>
      </c>
      <c r="K1509">
        <v>1152.54</v>
      </c>
      <c r="L1509">
        <v>384.18</v>
      </c>
      <c r="M1509">
        <v>4</v>
      </c>
      <c r="N1509">
        <v>1445.19</v>
      </c>
      <c r="O1509">
        <v>361.3</v>
      </c>
    </row>
    <row r="1510" spans="1:15" x14ac:dyDescent="0.35">
      <c r="A1510" t="s">
        <v>1885</v>
      </c>
      <c r="B1510" t="s">
        <v>218</v>
      </c>
      <c r="C1510" t="s">
        <v>1644</v>
      </c>
      <c r="D1510" t="s">
        <v>293</v>
      </c>
      <c r="E1510" t="s">
        <v>302</v>
      </c>
      <c r="F1510" t="s">
        <v>1890</v>
      </c>
      <c r="G1510">
        <v>0</v>
      </c>
      <c r="H1510">
        <v>0</v>
      </c>
      <c r="I1510">
        <v>0</v>
      </c>
      <c r="J1510">
        <v>0</v>
      </c>
      <c r="K1510">
        <v>0</v>
      </c>
      <c r="L1510">
        <v>0</v>
      </c>
      <c r="M1510">
        <v>0</v>
      </c>
      <c r="N1510">
        <v>0</v>
      </c>
      <c r="O1510">
        <v>0</v>
      </c>
    </row>
    <row r="1511" spans="1:15" x14ac:dyDescent="0.35">
      <c r="A1511" t="s">
        <v>1885</v>
      </c>
      <c r="B1511" t="s">
        <v>218</v>
      </c>
      <c r="C1511" t="s">
        <v>1644</v>
      </c>
      <c r="D1511" t="s">
        <v>293</v>
      </c>
      <c r="E1511" t="s">
        <v>304</v>
      </c>
      <c r="F1511" t="s">
        <v>1891</v>
      </c>
      <c r="G1511">
        <v>0</v>
      </c>
      <c r="H1511">
        <v>0</v>
      </c>
      <c r="I1511">
        <v>0</v>
      </c>
      <c r="J1511">
        <v>0</v>
      </c>
      <c r="K1511">
        <v>0</v>
      </c>
      <c r="L1511">
        <v>0</v>
      </c>
      <c r="M1511">
        <v>0</v>
      </c>
      <c r="N1511">
        <v>0</v>
      </c>
      <c r="O1511">
        <v>0</v>
      </c>
    </row>
    <row r="1512" spans="1:15" x14ac:dyDescent="0.35">
      <c r="A1512" t="s">
        <v>1885</v>
      </c>
      <c r="B1512" t="s">
        <v>218</v>
      </c>
      <c r="C1512" t="s">
        <v>1644</v>
      </c>
      <c r="D1512" t="s">
        <v>293</v>
      </c>
      <c r="E1512" t="s">
        <v>306</v>
      </c>
      <c r="F1512" t="s">
        <v>1892</v>
      </c>
      <c r="G1512">
        <v>0</v>
      </c>
      <c r="H1512">
        <v>0</v>
      </c>
      <c r="I1512">
        <v>0</v>
      </c>
      <c r="J1512">
        <v>0</v>
      </c>
      <c r="K1512">
        <v>0</v>
      </c>
      <c r="L1512">
        <v>0</v>
      </c>
      <c r="M1512">
        <v>0</v>
      </c>
      <c r="N1512">
        <v>0</v>
      </c>
      <c r="O1512">
        <v>0</v>
      </c>
    </row>
    <row r="1513" spans="1:15" x14ac:dyDescent="0.35">
      <c r="A1513" t="s">
        <v>1885</v>
      </c>
      <c r="B1513" t="s">
        <v>218</v>
      </c>
      <c r="C1513" t="s">
        <v>1644</v>
      </c>
      <c r="D1513" t="s">
        <v>293</v>
      </c>
      <c r="E1513" t="s">
        <v>308</v>
      </c>
      <c r="F1513" t="s">
        <v>1893</v>
      </c>
      <c r="G1513">
        <v>0</v>
      </c>
      <c r="H1513">
        <v>0</v>
      </c>
      <c r="I1513">
        <v>0</v>
      </c>
      <c r="J1513">
        <v>0</v>
      </c>
      <c r="K1513">
        <v>0</v>
      </c>
      <c r="L1513">
        <v>0</v>
      </c>
      <c r="M1513">
        <v>0</v>
      </c>
      <c r="N1513">
        <v>0</v>
      </c>
      <c r="O1513">
        <v>0</v>
      </c>
    </row>
    <row r="1514" spans="1:15" x14ac:dyDescent="0.35">
      <c r="A1514" t="s">
        <v>1885</v>
      </c>
      <c r="B1514" t="s">
        <v>218</v>
      </c>
      <c r="C1514" t="s">
        <v>1644</v>
      </c>
      <c r="D1514" t="s">
        <v>293</v>
      </c>
      <c r="E1514" t="s">
        <v>310</v>
      </c>
      <c r="F1514" t="s">
        <v>1894</v>
      </c>
      <c r="G1514">
        <v>265</v>
      </c>
      <c r="H1514">
        <v>56863.340000000004</v>
      </c>
      <c r="I1514">
        <v>214.58</v>
      </c>
      <c r="J1514">
        <v>16</v>
      </c>
      <c r="K1514">
        <v>4560.58</v>
      </c>
      <c r="L1514">
        <v>285.04000000000002</v>
      </c>
      <c r="M1514">
        <v>281</v>
      </c>
      <c r="N1514">
        <v>61423.920000000006</v>
      </c>
      <c r="O1514">
        <v>218.59</v>
      </c>
    </row>
    <row r="1515" spans="1:15" x14ac:dyDescent="0.35">
      <c r="A1515" t="s">
        <v>1885</v>
      </c>
      <c r="B1515" t="s">
        <v>218</v>
      </c>
      <c r="C1515" t="s">
        <v>1644</v>
      </c>
      <c r="D1515" t="s">
        <v>293</v>
      </c>
      <c r="E1515" t="s">
        <v>312</v>
      </c>
      <c r="F1515" t="s">
        <v>1895</v>
      </c>
      <c r="G1515">
        <v>265</v>
      </c>
      <c r="H1515">
        <v>56863.340000000004</v>
      </c>
      <c r="I1515">
        <v>214.58</v>
      </c>
      <c r="J1515">
        <v>16</v>
      </c>
      <c r="K1515">
        <v>4560.58</v>
      </c>
      <c r="L1515">
        <v>285.04000000000002</v>
      </c>
      <c r="M1515">
        <v>281</v>
      </c>
      <c r="N1515">
        <v>61423.920000000006</v>
      </c>
      <c r="O1515">
        <v>218.59</v>
      </c>
    </row>
    <row r="1516" spans="1:15" x14ac:dyDescent="0.35">
      <c r="A1516" t="s">
        <v>1885</v>
      </c>
      <c r="B1516" t="s">
        <v>218</v>
      </c>
      <c r="C1516" t="s">
        <v>1644</v>
      </c>
      <c r="D1516" t="s">
        <v>314</v>
      </c>
      <c r="E1516" t="s">
        <v>294</v>
      </c>
      <c r="F1516" t="s">
        <v>1896</v>
      </c>
      <c r="G1516">
        <v>53</v>
      </c>
      <c r="H1516">
        <v>10781.79</v>
      </c>
      <c r="I1516">
        <v>203.43</v>
      </c>
      <c r="J1516">
        <v>0</v>
      </c>
      <c r="K1516">
        <v>0</v>
      </c>
      <c r="L1516">
        <v>0</v>
      </c>
      <c r="M1516">
        <v>53</v>
      </c>
      <c r="N1516">
        <v>10781.79</v>
      </c>
      <c r="O1516">
        <v>203.43</v>
      </c>
    </row>
    <row r="1517" spans="1:15" x14ac:dyDescent="0.35">
      <c r="A1517" t="s">
        <v>1885</v>
      </c>
      <c r="B1517" t="s">
        <v>218</v>
      </c>
      <c r="C1517" t="s">
        <v>1644</v>
      </c>
      <c r="D1517" t="s">
        <v>314</v>
      </c>
      <c r="E1517" t="s">
        <v>296</v>
      </c>
      <c r="F1517" t="s">
        <v>1897</v>
      </c>
      <c r="G1517">
        <v>3</v>
      </c>
      <c r="H1517">
        <v>755.81999999999994</v>
      </c>
      <c r="I1517">
        <v>251.94</v>
      </c>
      <c r="J1517">
        <v>0</v>
      </c>
      <c r="K1517">
        <v>0</v>
      </c>
      <c r="L1517">
        <v>0</v>
      </c>
      <c r="M1517">
        <v>3</v>
      </c>
      <c r="N1517">
        <v>755.81999999999994</v>
      </c>
      <c r="O1517">
        <v>251.94</v>
      </c>
    </row>
    <row r="1518" spans="1:15" x14ac:dyDescent="0.35">
      <c r="A1518" t="s">
        <v>1885</v>
      </c>
      <c r="B1518" t="s">
        <v>218</v>
      </c>
      <c r="C1518" t="s">
        <v>1644</v>
      </c>
      <c r="D1518" t="s">
        <v>314</v>
      </c>
      <c r="E1518" t="s">
        <v>298</v>
      </c>
      <c r="F1518" t="s">
        <v>1898</v>
      </c>
      <c r="G1518">
        <v>0</v>
      </c>
      <c r="H1518">
        <v>0</v>
      </c>
      <c r="I1518">
        <v>0</v>
      </c>
      <c r="J1518">
        <v>0</v>
      </c>
      <c r="K1518">
        <v>0</v>
      </c>
      <c r="L1518">
        <v>0</v>
      </c>
      <c r="M1518">
        <v>0</v>
      </c>
      <c r="N1518">
        <v>0</v>
      </c>
      <c r="O1518">
        <v>0</v>
      </c>
    </row>
    <row r="1519" spans="1:15" x14ac:dyDescent="0.35">
      <c r="A1519" t="s">
        <v>1885</v>
      </c>
      <c r="B1519" t="s">
        <v>218</v>
      </c>
      <c r="C1519" t="s">
        <v>1644</v>
      </c>
      <c r="D1519" t="s">
        <v>314</v>
      </c>
      <c r="E1519" t="s">
        <v>300</v>
      </c>
      <c r="F1519" t="s">
        <v>1899</v>
      </c>
      <c r="G1519">
        <v>0</v>
      </c>
      <c r="H1519">
        <v>0</v>
      </c>
      <c r="I1519">
        <v>0</v>
      </c>
      <c r="J1519">
        <v>0</v>
      </c>
      <c r="K1519">
        <v>0</v>
      </c>
      <c r="L1519">
        <v>0</v>
      </c>
      <c r="M1519">
        <v>0</v>
      </c>
      <c r="N1519">
        <v>0</v>
      </c>
      <c r="O1519">
        <v>0</v>
      </c>
    </row>
    <row r="1520" spans="1:15" x14ac:dyDescent="0.35">
      <c r="A1520" t="s">
        <v>1885</v>
      </c>
      <c r="B1520" t="s">
        <v>218</v>
      </c>
      <c r="C1520" t="s">
        <v>1644</v>
      </c>
      <c r="D1520" t="s">
        <v>314</v>
      </c>
      <c r="E1520" t="s">
        <v>306</v>
      </c>
      <c r="F1520" t="s">
        <v>1900</v>
      </c>
      <c r="G1520">
        <v>4</v>
      </c>
      <c r="H1520">
        <v>400.84</v>
      </c>
      <c r="I1520">
        <v>100.21</v>
      </c>
      <c r="J1520">
        <v>0</v>
      </c>
      <c r="K1520">
        <v>0</v>
      </c>
      <c r="L1520">
        <v>0</v>
      </c>
      <c r="M1520">
        <v>4</v>
      </c>
      <c r="N1520">
        <v>400.84</v>
      </c>
      <c r="O1520">
        <v>100.21</v>
      </c>
    </row>
    <row r="1521" spans="1:15" x14ac:dyDescent="0.35">
      <c r="A1521" t="s">
        <v>1885</v>
      </c>
      <c r="B1521" t="s">
        <v>218</v>
      </c>
      <c r="C1521" t="s">
        <v>1644</v>
      </c>
      <c r="D1521" t="s">
        <v>314</v>
      </c>
      <c r="E1521" t="s">
        <v>308</v>
      </c>
      <c r="F1521" t="s">
        <v>1901</v>
      </c>
      <c r="G1521">
        <v>23</v>
      </c>
      <c r="H1521">
        <v>4518.8100000000004</v>
      </c>
      <c r="I1521">
        <v>196.47</v>
      </c>
      <c r="J1521">
        <v>0</v>
      </c>
      <c r="K1521">
        <v>0</v>
      </c>
      <c r="L1521">
        <v>0</v>
      </c>
      <c r="M1521">
        <v>23</v>
      </c>
      <c r="N1521">
        <v>4518.8100000000004</v>
      </c>
      <c r="O1521">
        <v>196.47</v>
      </c>
    </row>
    <row r="1522" spans="1:15" x14ac:dyDescent="0.35">
      <c r="A1522" t="s">
        <v>1885</v>
      </c>
      <c r="B1522" t="s">
        <v>218</v>
      </c>
      <c r="C1522" t="s">
        <v>1644</v>
      </c>
      <c r="D1522" t="s">
        <v>314</v>
      </c>
      <c r="E1522" t="s">
        <v>312</v>
      </c>
      <c r="F1522" t="s">
        <v>1902</v>
      </c>
      <c r="G1522">
        <v>60</v>
      </c>
      <c r="H1522">
        <v>11938.45</v>
      </c>
      <c r="I1522">
        <v>198.97</v>
      </c>
      <c r="J1522">
        <v>0</v>
      </c>
      <c r="K1522">
        <v>0</v>
      </c>
      <c r="L1522">
        <v>0</v>
      </c>
      <c r="M1522">
        <v>60</v>
      </c>
      <c r="N1522">
        <v>11938.45</v>
      </c>
      <c r="O1522">
        <v>198.97</v>
      </c>
    </row>
    <row r="1523" spans="1:15" x14ac:dyDescent="0.35">
      <c r="A1523" t="s">
        <v>1885</v>
      </c>
      <c r="B1523" t="s">
        <v>218</v>
      </c>
      <c r="C1523" t="s">
        <v>1644</v>
      </c>
      <c r="D1523" t="s">
        <v>314</v>
      </c>
      <c r="E1523" t="s">
        <v>310</v>
      </c>
      <c r="F1523" t="s">
        <v>1903</v>
      </c>
      <c r="G1523">
        <v>83</v>
      </c>
      <c r="H1523">
        <v>16457.260000000002</v>
      </c>
      <c r="I1523">
        <v>198.28</v>
      </c>
      <c r="J1523">
        <v>0</v>
      </c>
      <c r="K1523">
        <v>0</v>
      </c>
      <c r="L1523">
        <v>0</v>
      </c>
      <c r="M1523">
        <v>83</v>
      </c>
      <c r="N1523">
        <v>16457.260000000002</v>
      </c>
      <c r="O1523">
        <v>198.28</v>
      </c>
    </row>
    <row r="1524" spans="1:15" x14ac:dyDescent="0.35">
      <c r="A1524" t="s">
        <v>1885</v>
      </c>
      <c r="B1524" t="s">
        <v>218</v>
      </c>
      <c r="C1524" t="s">
        <v>1644</v>
      </c>
      <c r="D1524" t="s">
        <v>323</v>
      </c>
      <c r="E1524" t="s">
        <v>294</v>
      </c>
      <c r="F1524" t="s">
        <v>1904</v>
      </c>
      <c r="G1524">
        <v>358</v>
      </c>
      <c r="H1524">
        <v>46385.799999999996</v>
      </c>
      <c r="I1524">
        <v>129.57</v>
      </c>
      <c r="J1524">
        <v>389</v>
      </c>
      <c r="K1524">
        <v>45275.71</v>
      </c>
      <c r="L1524">
        <v>116.39</v>
      </c>
      <c r="M1524">
        <v>747</v>
      </c>
      <c r="N1524">
        <v>91661.51</v>
      </c>
      <c r="O1524">
        <v>122.71</v>
      </c>
    </row>
    <row r="1525" spans="1:15" x14ac:dyDescent="0.35">
      <c r="A1525" t="s">
        <v>1885</v>
      </c>
      <c r="B1525" t="s">
        <v>218</v>
      </c>
      <c r="C1525" t="s">
        <v>1644</v>
      </c>
      <c r="D1525" t="s">
        <v>323</v>
      </c>
      <c r="E1525" t="s">
        <v>296</v>
      </c>
      <c r="F1525" t="s">
        <v>1905</v>
      </c>
      <c r="G1525">
        <v>1050</v>
      </c>
      <c r="H1525">
        <v>164421.73000000001</v>
      </c>
      <c r="I1525">
        <v>156.59</v>
      </c>
      <c r="J1525">
        <v>972</v>
      </c>
      <c r="K1525">
        <v>127332</v>
      </c>
      <c r="L1525">
        <v>131</v>
      </c>
      <c r="M1525">
        <v>2022</v>
      </c>
      <c r="N1525">
        <v>291753.73</v>
      </c>
      <c r="O1525">
        <v>144.29</v>
      </c>
    </row>
    <row r="1526" spans="1:15" x14ac:dyDescent="0.35">
      <c r="A1526" t="s">
        <v>1885</v>
      </c>
      <c r="B1526" t="s">
        <v>218</v>
      </c>
      <c r="C1526" t="s">
        <v>1644</v>
      </c>
      <c r="D1526" t="s">
        <v>323</v>
      </c>
      <c r="E1526" t="s">
        <v>298</v>
      </c>
      <c r="F1526" t="s">
        <v>1906</v>
      </c>
      <c r="G1526">
        <v>657</v>
      </c>
      <c r="H1526">
        <v>116520.29</v>
      </c>
      <c r="I1526">
        <v>177.35</v>
      </c>
      <c r="J1526">
        <v>815</v>
      </c>
      <c r="K1526">
        <v>119307.84999999999</v>
      </c>
      <c r="L1526">
        <v>146.38999999999999</v>
      </c>
      <c r="M1526">
        <v>1472</v>
      </c>
      <c r="N1526">
        <v>235828.13999999998</v>
      </c>
      <c r="O1526">
        <v>160.21</v>
      </c>
    </row>
    <row r="1527" spans="1:15" x14ac:dyDescent="0.35">
      <c r="A1527" t="s">
        <v>1885</v>
      </c>
      <c r="B1527" t="s">
        <v>218</v>
      </c>
      <c r="C1527" t="s">
        <v>1644</v>
      </c>
      <c r="D1527" t="s">
        <v>323</v>
      </c>
      <c r="E1527" t="s">
        <v>300</v>
      </c>
      <c r="F1527" t="s">
        <v>1907</v>
      </c>
      <c r="G1527">
        <v>150</v>
      </c>
      <c r="H1527">
        <v>29605.749999999996</v>
      </c>
      <c r="I1527">
        <v>197.37</v>
      </c>
      <c r="J1527">
        <v>66</v>
      </c>
      <c r="K1527">
        <v>9933.66</v>
      </c>
      <c r="L1527">
        <v>150.51</v>
      </c>
      <c r="M1527">
        <v>216</v>
      </c>
      <c r="N1527">
        <v>39539.409999999996</v>
      </c>
      <c r="O1527">
        <v>183.05</v>
      </c>
    </row>
    <row r="1528" spans="1:15" x14ac:dyDescent="0.35">
      <c r="A1528" t="s">
        <v>1885</v>
      </c>
      <c r="B1528" t="s">
        <v>218</v>
      </c>
      <c r="C1528" t="s">
        <v>1644</v>
      </c>
      <c r="D1528" t="s">
        <v>323</v>
      </c>
      <c r="E1528" t="s">
        <v>302</v>
      </c>
      <c r="F1528" t="s">
        <v>1908</v>
      </c>
      <c r="G1528">
        <v>4</v>
      </c>
      <c r="H1528">
        <v>844.86</v>
      </c>
      <c r="I1528">
        <v>211.22</v>
      </c>
      <c r="J1528">
        <v>7</v>
      </c>
      <c r="K1528">
        <v>979.09</v>
      </c>
      <c r="L1528">
        <v>139.87</v>
      </c>
      <c r="M1528">
        <v>11</v>
      </c>
      <c r="N1528">
        <v>1823.95</v>
      </c>
      <c r="O1528">
        <v>165.81</v>
      </c>
    </row>
    <row r="1529" spans="1:15" x14ac:dyDescent="0.35">
      <c r="A1529" t="s">
        <v>1885</v>
      </c>
      <c r="B1529" t="s">
        <v>218</v>
      </c>
      <c r="C1529" t="s">
        <v>1644</v>
      </c>
      <c r="D1529" t="s">
        <v>323</v>
      </c>
      <c r="E1529" t="s">
        <v>304</v>
      </c>
      <c r="F1529" t="s">
        <v>1909</v>
      </c>
      <c r="G1529">
        <v>0</v>
      </c>
      <c r="H1529">
        <v>0</v>
      </c>
      <c r="I1529">
        <v>0</v>
      </c>
      <c r="J1529">
        <v>1</v>
      </c>
      <c r="K1529">
        <v>214.89</v>
      </c>
      <c r="L1529">
        <v>214.89</v>
      </c>
      <c r="M1529">
        <v>1</v>
      </c>
      <c r="N1529">
        <v>214.89</v>
      </c>
      <c r="O1529">
        <v>214.89</v>
      </c>
    </row>
    <row r="1530" spans="1:15" x14ac:dyDescent="0.35">
      <c r="A1530" t="s">
        <v>1885</v>
      </c>
      <c r="B1530" t="s">
        <v>218</v>
      </c>
      <c r="C1530" t="s">
        <v>1644</v>
      </c>
      <c r="D1530" t="s">
        <v>323</v>
      </c>
      <c r="E1530" t="s">
        <v>306</v>
      </c>
      <c r="F1530" t="s">
        <v>1910</v>
      </c>
      <c r="G1530">
        <v>0</v>
      </c>
      <c r="H1530">
        <v>0</v>
      </c>
      <c r="I1530">
        <v>0</v>
      </c>
      <c r="J1530">
        <v>73</v>
      </c>
      <c r="K1530">
        <v>7638.72</v>
      </c>
      <c r="L1530">
        <v>104.64</v>
      </c>
      <c r="M1530">
        <v>73</v>
      </c>
      <c r="N1530">
        <v>7638.72</v>
      </c>
      <c r="O1530">
        <v>104.64</v>
      </c>
    </row>
    <row r="1531" spans="1:15" x14ac:dyDescent="0.35">
      <c r="A1531" t="s">
        <v>1885</v>
      </c>
      <c r="B1531" t="s">
        <v>218</v>
      </c>
      <c r="C1531" t="s">
        <v>1644</v>
      </c>
      <c r="D1531" t="s">
        <v>323</v>
      </c>
      <c r="E1531" t="s">
        <v>308</v>
      </c>
      <c r="F1531" t="s">
        <v>1911</v>
      </c>
      <c r="G1531">
        <v>4</v>
      </c>
      <c r="H1531">
        <v>441.36</v>
      </c>
      <c r="I1531">
        <v>110.34</v>
      </c>
      <c r="J1531">
        <v>42</v>
      </c>
      <c r="K1531">
        <v>4055.1</v>
      </c>
      <c r="L1531">
        <v>96.55</v>
      </c>
      <c r="M1531">
        <v>46</v>
      </c>
      <c r="N1531">
        <v>4496.46</v>
      </c>
      <c r="O1531">
        <v>97.75</v>
      </c>
    </row>
    <row r="1532" spans="1:15" x14ac:dyDescent="0.35">
      <c r="A1532" t="s">
        <v>1885</v>
      </c>
      <c r="B1532" t="s">
        <v>218</v>
      </c>
      <c r="C1532" t="s">
        <v>1644</v>
      </c>
      <c r="D1532" t="s">
        <v>323</v>
      </c>
      <c r="E1532" t="s">
        <v>310</v>
      </c>
      <c r="F1532" t="s">
        <v>1912</v>
      </c>
      <c r="G1532">
        <v>2223</v>
      </c>
      <c r="H1532">
        <v>358219.79</v>
      </c>
      <c r="I1532">
        <v>161.13999999999999</v>
      </c>
      <c r="J1532">
        <v>2365</v>
      </c>
      <c r="K1532">
        <v>314737.01999999996</v>
      </c>
      <c r="L1532">
        <v>133.08000000000001</v>
      </c>
      <c r="M1532">
        <v>4588</v>
      </c>
      <c r="N1532">
        <v>672956.80999999994</v>
      </c>
      <c r="O1532">
        <v>146.68</v>
      </c>
    </row>
    <row r="1533" spans="1:15" x14ac:dyDescent="0.35">
      <c r="A1533" t="s">
        <v>1885</v>
      </c>
      <c r="B1533" t="s">
        <v>218</v>
      </c>
      <c r="C1533" t="s">
        <v>1644</v>
      </c>
      <c r="D1533" t="s">
        <v>323</v>
      </c>
      <c r="E1533" t="s">
        <v>312</v>
      </c>
      <c r="F1533" t="s">
        <v>1913</v>
      </c>
      <c r="G1533">
        <v>2219</v>
      </c>
      <c r="H1533">
        <v>357778.43</v>
      </c>
      <c r="I1533">
        <v>161.22999999999999</v>
      </c>
      <c r="J1533">
        <v>2323</v>
      </c>
      <c r="K1533">
        <v>310681.92</v>
      </c>
      <c r="L1533">
        <v>133.74</v>
      </c>
      <c r="M1533">
        <v>4542</v>
      </c>
      <c r="N1533">
        <v>668460.35</v>
      </c>
      <c r="O1533">
        <v>147.16999999999999</v>
      </c>
    </row>
    <row r="1534" spans="1:15" x14ac:dyDescent="0.35">
      <c r="A1534" t="s">
        <v>1885</v>
      </c>
      <c r="B1534" t="s">
        <v>218</v>
      </c>
      <c r="C1534" t="s">
        <v>1644</v>
      </c>
      <c r="D1534" t="s">
        <v>334</v>
      </c>
      <c r="E1534" t="s">
        <v>312</v>
      </c>
      <c r="F1534" t="s">
        <v>1914</v>
      </c>
      <c r="G1534">
        <v>2576</v>
      </c>
      <c r="H1534">
        <v>414641.76999999996</v>
      </c>
      <c r="I1534">
        <v>166.93</v>
      </c>
      <c r="J1534">
        <v>2339</v>
      </c>
      <c r="K1534">
        <v>315242.5</v>
      </c>
      <c r="L1534">
        <v>134.78</v>
      </c>
      <c r="M1534">
        <v>4915</v>
      </c>
      <c r="N1534">
        <v>729884.27</v>
      </c>
      <c r="O1534">
        <v>151.33000000000001</v>
      </c>
    </row>
    <row r="1535" spans="1:15" x14ac:dyDescent="0.35">
      <c r="A1535" t="s">
        <v>1885</v>
      </c>
      <c r="B1535" t="s">
        <v>218</v>
      </c>
      <c r="C1535" t="s">
        <v>1644</v>
      </c>
      <c r="D1535" t="s">
        <v>334</v>
      </c>
      <c r="E1535" t="s">
        <v>308</v>
      </c>
      <c r="F1535" t="s">
        <v>1915</v>
      </c>
      <c r="G1535">
        <v>4</v>
      </c>
      <c r="H1535">
        <v>441.36</v>
      </c>
      <c r="I1535">
        <v>110.34</v>
      </c>
      <c r="J1535">
        <v>42</v>
      </c>
      <c r="K1535">
        <v>4055.1</v>
      </c>
      <c r="L1535">
        <v>96.55</v>
      </c>
      <c r="M1535">
        <v>46</v>
      </c>
      <c r="N1535">
        <v>4496.46</v>
      </c>
      <c r="O1535">
        <v>97.75</v>
      </c>
    </row>
    <row r="1536" spans="1:15" x14ac:dyDescent="0.35">
      <c r="A1536" t="s">
        <v>1885</v>
      </c>
      <c r="B1536" t="s">
        <v>218</v>
      </c>
      <c r="C1536" t="s">
        <v>1644</v>
      </c>
      <c r="D1536" t="s">
        <v>337</v>
      </c>
      <c r="E1536" t="s">
        <v>337</v>
      </c>
      <c r="F1536" t="s">
        <v>1916</v>
      </c>
      <c r="G1536">
        <v>1516</v>
      </c>
      <c r="J1536">
        <v>78</v>
      </c>
      <c r="M1536">
        <v>1594</v>
      </c>
    </row>
    <row r="1537" spans="1:15" x14ac:dyDescent="0.35">
      <c r="A1537" t="s">
        <v>1885</v>
      </c>
      <c r="B1537" t="s">
        <v>218</v>
      </c>
      <c r="C1537" t="s">
        <v>1644</v>
      </c>
      <c r="D1537" t="s">
        <v>339</v>
      </c>
      <c r="E1537" t="s">
        <v>294</v>
      </c>
      <c r="F1537" t="s">
        <v>1917</v>
      </c>
      <c r="G1537">
        <v>173</v>
      </c>
      <c r="H1537">
        <v>24044.55</v>
      </c>
      <c r="I1537">
        <v>138.99</v>
      </c>
      <c r="J1537">
        <v>212</v>
      </c>
      <c r="K1537">
        <v>25391.239999999998</v>
      </c>
      <c r="L1537">
        <v>119.77</v>
      </c>
      <c r="M1537">
        <v>385</v>
      </c>
      <c r="N1537">
        <v>49435.789999999994</v>
      </c>
      <c r="O1537">
        <v>128.4</v>
      </c>
    </row>
    <row r="1538" spans="1:15" x14ac:dyDescent="0.35">
      <c r="A1538" t="s">
        <v>1885</v>
      </c>
      <c r="B1538" t="s">
        <v>218</v>
      </c>
      <c r="C1538" t="s">
        <v>1644</v>
      </c>
      <c r="D1538" t="s">
        <v>339</v>
      </c>
      <c r="E1538" t="s">
        <v>296</v>
      </c>
      <c r="F1538" t="s">
        <v>1918</v>
      </c>
      <c r="G1538">
        <v>56</v>
      </c>
      <c r="H1538">
        <v>8990.7100000000009</v>
      </c>
      <c r="I1538">
        <v>160.55000000000001</v>
      </c>
      <c r="J1538">
        <v>12</v>
      </c>
      <c r="K1538">
        <v>1676.16</v>
      </c>
      <c r="L1538">
        <v>139.68</v>
      </c>
      <c r="M1538">
        <v>68</v>
      </c>
      <c r="N1538">
        <v>10666.87</v>
      </c>
      <c r="O1538">
        <v>156.87</v>
      </c>
    </row>
    <row r="1539" spans="1:15" x14ac:dyDescent="0.35">
      <c r="A1539" t="s">
        <v>1885</v>
      </c>
      <c r="B1539" t="s">
        <v>218</v>
      </c>
      <c r="C1539" t="s">
        <v>1644</v>
      </c>
      <c r="D1539" t="s">
        <v>339</v>
      </c>
      <c r="E1539" t="s">
        <v>298</v>
      </c>
      <c r="F1539" t="s">
        <v>1919</v>
      </c>
      <c r="G1539">
        <v>1</v>
      </c>
      <c r="H1539">
        <v>126.66</v>
      </c>
      <c r="I1539">
        <v>126.66</v>
      </c>
      <c r="J1539">
        <v>1</v>
      </c>
      <c r="K1539">
        <v>156.29</v>
      </c>
      <c r="L1539">
        <v>156.29</v>
      </c>
      <c r="M1539">
        <v>2</v>
      </c>
      <c r="N1539">
        <v>282.95</v>
      </c>
      <c r="O1539">
        <v>141.47999999999999</v>
      </c>
    </row>
    <row r="1540" spans="1:15" x14ac:dyDescent="0.35">
      <c r="A1540" t="s">
        <v>1885</v>
      </c>
      <c r="B1540" t="s">
        <v>218</v>
      </c>
      <c r="C1540" t="s">
        <v>1644</v>
      </c>
      <c r="D1540" t="s">
        <v>339</v>
      </c>
      <c r="E1540" t="s">
        <v>300</v>
      </c>
      <c r="F1540" t="s">
        <v>1920</v>
      </c>
      <c r="G1540">
        <v>0</v>
      </c>
      <c r="H1540">
        <v>0</v>
      </c>
      <c r="I1540">
        <v>0</v>
      </c>
      <c r="J1540">
        <v>0</v>
      </c>
      <c r="K1540">
        <v>0</v>
      </c>
      <c r="L1540">
        <v>0</v>
      </c>
      <c r="M1540">
        <v>0</v>
      </c>
      <c r="N1540">
        <v>0</v>
      </c>
      <c r="O1540">
        <v>0</v>
      </c>
    </row>
    <row r="1541" spans="1:15" x14ac:dyDescent="0.35">
      <c r="A1541" t="s">
        <v>1885</v>
      </c>
      <c r="B1541" t="s">
        <v>218</v>
      </c>
      <c r="C1541" t="s">
        <v>1644</v>
      </c>
      <c r="D1541" t="s">
        <v>339</v>
      </c>
      <c r="E1541" t="s">
        <v>306</v>
      </c>
      <c r="F1541" t="s">
        <v>1921</v>
      </c>
      <c r="G1541">
        <v>1</v>
      </c>
      <c r="H1541">
        <v>119.59</v>
      </c>
      <c r="I1541">
        <v>119.59</v>
      </c>
      <c r="J1541">
        <v>20</v>
      </c>
      <c r="K1541">
        <v>2216.1999999999998</v>
      </c>
      <c r="L1541">
        <v>110.81</v>
      </c>
      <c r="M1541">
        <v>21</v>
      </c>
      <c r="N1541">
        <v>2335.79</v>
      </c>
      <c r="O1541">
        <v>111.23</v>
      </c>
    </row>
    <row r="1542" spans="1:15" x14ac:dyDescent="0.35">
      <c r="A1542" t="s">
        <v>1885</v>
      </c>
      <c r="B1542" t="s">
        <v>218</v>
      </c>
      <c r="C1542" t="s">
        <v>1644</v>
      </c>
      <c r="D1542" t="s">
        <v>339</v>
      </c>
      <c r="E1542" t="s">
        <v>308</v>
      </c>
      <c r="F1542" t="s">
        <v>1922</v>
      </c>
      <c r="G1542">
        <v>40</v>
      </c>
      <c r="H1542">
        <v>5105.88</v>
      </c>
      <c r="I1542">
        <v>127.65</v>
      </c>
      <c r="J1542">
        <v>17</v>
      </c>
      <c r="K1542">
        <v>1316.14</v>
      </c>
      <c r="L1542">
        <v>77.42</v>
      </c>
      <c r="M1542">
        <v>57</v>
      </c>
      <c r="N1542">
        <v>6422.02</v>
      </c>
      <c r="O1542">
        <v>112.67</v>
      </c>
    </row>
    <row r="1543" spans="1:15" x14ac:dyDescent="0.35">
      <c r="A1543" t="s">
        <v>1885</v>
      </c>
      <c r="B1543" t="s">
        <v>218</v>
      </c>
      <c r="C1543" t="s">
        <v>1644</v>
      </c>
      <c r="D1543" t="s">
        <v>339</v>
      </c>
      <c r="E1543" t="s">
        <v>310</v>
      </c>
      <c r="F1543" t="s">
        <v>1923</v>
      </c>
      <c r="G1543">
        <v>271</v>
      </c>
      <c r="H1543">
        <v>38387.39</v>
      </c>
      <c r="I1543">
        <v>141.65</v>
      </c>
      <c r="J1543">
        <v>262</v>
      </c>
      <c r="K1543">
        <v>30756.03</v>
      </c>
      <c r="L1543">
        <v>117.39</v>
      </c>
      <c r="M1543">
        <v>533</v>
      </c>
      <c r="N1543">
        <v>69143.42</v>
      </c>
      <c r="O1543">
        <v>129.72</v>
      </c>
    </row>
    <row r="1544" spans="1:15" x14ac:dyDescent="0.35">
      <c r="A1544" t="s">
        <v>1885</v>
      </c>
      <c r="B1544" t="s">
        <v>218</v>
      </c>
      <c r="C1544" t="s">
        <v>1644</v>
      </c>
      <c r="D1544" t="s">
        <v>339</v>
      </c>
      <c r="E1544" t="s">
        <v>312</v>
      </c>
      <c r="F1544" t="s">
        <v>1924</v>
      </c>
      <c r="G1544">
        <v>231</v>
      </c>
      <c r="H1544">
        <v>33281.51</v>
      </c>
      <c r="I1544">
        <v>144.08000000000001</v>
      </c>
      <c r="J1544">
        <v>245</v>
      </c>
      <c r="K1544">
        <v>29439.89</v>
      </c>
      <c r="L1544">
        <v>120.16</v>
      </c>
      <c r="M1544">
        <v>476</v>
      </c>
      <c r="N1544">
        <v>62721.4</v>
      </c>
      <c r="O1544">
        <v>131.77000000000001</v>
      </c>
    </row>
    <row r="1545" spans="1:15" x14ac:dyDescent="0.35">
      <c r="A1545" t="s">
        <v>1885</v>
      </c>
      <c r="B1545" t="s">
        <v>218</v>
      </c>
      <c r="C1545" t="s">
        <v>1644</v>
      </c>
      <c r="D1545" t="s">
        <v>348</v>
      </c>
      <c r="E1545" t="s">
        <v>349</v>
      </c>
      <c r="F1545" t="s">
        <v>1925</v>
      </c>
      <c r="G1545">
        <v>414</v>
      </c>
      <c r="H1545">
        <v>54844.649999999994</v>
      </c>
      <c r="I1545">
        <v>154.93</v>
      </c>
      <c r="J1545">
        <v>262</v>
      </c>
      <c r="K1545">
        <v>30756.03</v>
      </c>
      <c r="L1545">
        <v>117.39</v>
      </c>
      <c r="M1545">
        <v>676</v>
      </c>
      <c r="N1545">
        <v>85600.68</v>
      </c>
      <c r="O1545">
        <v>138.96</v>
      </c>
    </row>
    <row r="1546" spans="1:15" x14ac:dyDescent="0.35">
      <c r="A1546" t="s">
        <v>1926</v>
      </c>
      <c r="B1546" t="s">
        <v>1927</v>
      </c>
      <c r="C1546" t="s">
        <v>1644</v>
      </c>
      <c r="D1546" t="s">
        <v>293</v>
      </c>
      <c r="E1546" t="s">
        <v>294</v>
      </c>
      <c r="F1546" t="s">
        <v>1928</v>
      </c>
      <c r="G1546">
        <v>678</v>
      </c>
      <c r="H1546">
        <v>108408.48999999999</v>
      </c>
      <c r="I1546">
        <v>159.88999999999999</v>
      </c>
      <c r="J1546">
        <v>15</v>
      </c>
      <c r="K1546">
        <v>2593.0500000000002</v>
      </c>
      <c r="L1546">
        <v>172.87</v>
      </c>
      <c r="M1546">
        <v>693</v>
      </c>
      <c r="N1546">
        <v>111001.54</v>
      </c>
      <c r="O1546">
        <v>160.18</v>
      </c>
    </row>
    <row r="1547" spans="1:15" x14ac:dyDescent="0.35">
      <c r="A1547" t="s">
        <v>1926</v>
      </c>
      <c r="B1547" t="s">
        <v>1927</v>
      </c>
      <c r="C1547" t="s">
        <v>1644</v>
      </c>
      <c r="D1547" t="s">
        <v>293</v>
      </c>
      <c r="E1547" t="s">
        <v>296</v>
      </c>
      <c r="F1547" t="s">
        <v>1929</v>
      </c>
      <c r="G1547">
        <v>1524</v>
      </c>
      <c r="H1547">
        <v>301379.84999999992</v>
      </c>
      <c r="I1547">
        <v>197.76</v>
      </c>
      <c r="J1547">
        <v>98</v>
      </c>
      <c r="K1547">
        <v>19832.260000000002</v>
      </c>
      <c r="L1547">
        <v>202.37</v>
      </c>
      <c r="M1547">
        <v>1622</v>
      </c>
      <c r="N1547">
        <v>321212.10999999993</v>
      </c>
      <c r="O1547">
        <v>198.03</v>
      </c>
    </row>
    <row r="1548" spans="1:15" x14ac:dyDescent="0.35">
      <c r="A1548" t="s">
        <v>1926</v>
      </c>
      <c r="B1548" t="s">
        <v>1927</v>
      </c>
      <c r="C1548" t="s">
        <v>1644</v>
      </c>
      <c r="D1548" t="s">
        <v>293</v>
      </c>
      <c r="E1548" t="s">
        <v>298</v>
      </c>
      <c r="F1548" t="s">
        <v>1930</v>
      </c>
      <c r="G1548">
        <v>387</v>
      </c>
      <c r="H1548">
        <v>92408.590000000011</v>
      </c>
      <c r="I1548">
        <v>238.78</v>
      </c>
      <c r="J1548">
        <v>85</v>
      </c>
      <c r="K1548">
        <v>19183.650000000001</v>
      </c>
      <c r="L1548">
        <v>225.69</v>
      </c>
      <c r="M1548">
        <v>472</v>
      </c>
      <c r="N1548">
        <v>111592.24000000002</v>
      </c>
      <c r="O1548">
        <v>236.42</v>
      </c>
    </row>
    <row r="1549" spans="1:15" x14ac:dyDescent="0.35">
      <c r="A1549" t="s">
        <v>1926</v>
      </c>
      <c r="B1549" t="s">
        <v>1927</v>
      </c>
      <c r="C1549" t="s">
        <v>1644</v>
      </c>
      <c r="D1549" t="s">
        <v>293</v>
      </c>
      <c r="E1549" t="s">
        <v>300</v>
      </c>
      <c r="F1549" t="s">
        <v>1931</v>
      </c>
      <c r="G1549">
        <v>152</v>
      </c>
      <c r="H1549">
        <v>44951.100000000006</v>
      </c>
      <c r="I1549">
        <v>295.73</v>
      </c>
      <c r="J1549">
        <v>21</v>
      </c>
      <c r="K1549">
        <v>5914.65</v>
      </c>
      <c r="L1549">
        <v>281.64999999999998</v>
      </c>
      <c r="M1549">
        <v>173</v>
      </c>
      <c r="N1549">
        <v>50865.750000000007</v>
      </c>
      <c r="O1549">
        <v>294.02</v>
      </c>
    </row>
    <row r="1550" spans="1:15" x14ac:dyDescent="0.35">
      <c r="A1550" t="s">
        <v>1926</v>
      </c>
      <c r="B1550" t="s">
        <v>1927</v>
      </c>
      <c r="C1550" t="s">
        <v>1644</v>
      </c>
      <c r="D1550" t="s">
        <v>293</v>
      </c>
      <c r="E1550" t="s">
        <v>302</v>
      </c>
      <c r="F1550" t="s">
        <v>1932</v>
      </c>
      <c r="G1550">
        <v>9</v>
      </c>
      <c r="H1550">
        <v>2389.21</v>
      </c>
      <c r="I1550">
        <v>265.47000000000003</v>
      </c>
      <c r="J1550">
        <v>9</v>
      </c>
      <c r="K1550">
        <v>3314.97</v>
      </c>
      <c r="L1550">
        <v>368.33</v>
      </c>
      <c r="M1550">
        <v>18</v>
      </c>
      <c r="N1550">
        <v>5704.18</v>
      </c>
      <c r="O1550">
        <v>316.89999999999998</v>
      </c>
    </row>
    <row r="1551" spans="1:15" x14ac:dyDescent="0.35">
      <c r="A1551" t="s">
        <v>1926</v>
      </c>
      <c r="B1551" t="s">
        <v>1927</v>
      </c>
      <c r="C1551" t="s">
        <v>1644</v>
      </c>
      <c r="D1551" t="s">
        <v>293</v>
      </c>
      <c r="E1551" t="s">
        <v>304</v>
      </c>
      <c r="F1551" t="s">
        <v>1933</v>
      </c>
      <c r="G1551">
        <v>0</v>
      </c>
      <c r="H1551">
        <v>0</v>
      </c>
      <c r="I1551">
        <v>0</v>
      </c>
      <c r="J1551">
        <v>1</v>
      </c>
      <c r="K1551">
        <v>302.62</v>
      </c>
      <c r="L1551">
        <v>302.62</v>
      </c>
      <c r="M1551">
        <v>1</v>
      </c>
      <c r="N1551">
        <v>302.62</v>
      </c>
      <c r="O1551">
        <v>302.62</v>
      </c>
    </row>
    <row r="1552" spans="1:15" x14ac:dyDescent="0.35">
      <c r="A1552" t="s">
        <v>1926</v>
      </c>
      <c r="B1552" t="s">
        <v>1927</v>
      </c>
      <c r="C1552" t="s">
        <v>1644</v>
      </c>
      <c r="D1552" t="s">
        <v>293</v>
      </c>
      <c r="E1552" t="s">
        <v>306</v>
      </c>
      <c r="F1552" t="s">
        <v>1934</v>
      </c>
      <c r="G1552">
        <v>6</v>
      </c>
      <c r="H1552">
        <v>740.58</v>
      </c>
      <c r="I1552">
        <v>123.43</v>
      </c>
      <c r="J1552">
        <v>4</v>
      </c>
      <c r="K1552">
        <v>589.88</v>
      </c>
      <c r="L1552">
        <v>147.47</v>
      </c>
      <c r="M1552">
        <v>10</v>
      </c>
      <c r="N1552">
        <v>1330.46</v>
      </c>
      <c r="O1552">
        <v>133.05000000000001</v>
      </c>
    </row>
    <row r="1553" spans="1:15" x14ac:dyDescent="0.35">
      <c r="A1553" t="s">
        <v>1926</v>
      </c>
      <c r="B1553" t="s">
        <v>1927</v>
      </c>
      <c r="C1553" t="s">
        <v>1644</v>
      </c>
      <c r="D1553" t="s">
        <v>293</v>
      </c>
      <c r="E1553" t="s">
        <v>308</v>
      </c>
      <c r="F1553" t="s">
        <v>1935</v>
      </c>
      <c r="G1553">
        <v>0</v>
      </c>
      <c r="H1553">
        <v>0</v>
      </c>
      <c r="I1553">
        <v>0</v>
      </c>
      <c r="J1553">
        <v>0</v>
      </c>
      <c r="K1553">
        <v>0</v>
      </c>
      <c r="L1553">
        <v>0</v>
      </c>
      <c r="M1553">
        <v>0</v>
      </c>
      <c r="N1553">
        <v>0</v>
      </c>
      <c r="O1553">
        <v>0</v>
      </c>
    </row>
    <row r="1554" spans="1:15" x14ac:dyDescent="0.35">
      <c r="A1554" t="s">
        <v>1926</v>
      </c>
      <c r="B1554" t="s">
        <v>1927</v>
      </c>
      <c r="C1554" t="s">
        <v>1644</v>
      </c>
      <c r="D1554" t="s">
        <v>293</v>
      </c>
      <c r="E1554" t="s">
        <v>310</v>
      </c>
      <c r="F1554" t="s">
        <v>1936</v>
      </c>
      <c r="G1554">
        <v>2756</v>
      </c>
      <c r="H1554">
        <v>550277.81999999983</v>
      </c>
      <c r="I1554">
        <v>199.67</v>
      </c>
      <c r="J1554">
        <v>233</v>
      </c>
      <c r="K1554">
        <v>51731.080000000009</v>
      </c>
      <c r="L1554">
        <v>222.02</v>
      </c>
      <c r="M1554">
        <v>2989</v>
      </c>
      <c r="N1554">
        <v>602008.89999999979</v>
      </c>
      <c r="O1554">
        <v>201.41</v>
      </c>
    </row>
    <row r="1555" spans="1:15" x14ac:dyDescent="0.35">
      <c r="A1555" t="s">
        <v>1926</v>
      </c>
      <c r="B1555" t="s">
        <v>1927</v>
      </c>
      <c r="C1555" t="s">
        <v>1644</v>
      </c>
      <c r="D1555" t="s">
        <v>293</v>
      </c>
      <c r="E1555" t="s">
        <v>312</v>
      </c>
      <c r="F1555" t="s">
        <v>1937</v>
      </c>
      <c r="G1555">
        <v>2756</v>
      </c>
      <c r="H1555">
        <v>550277.81999999983</v>
      </c>
      <c r="I1555">
        <v>199.67</v>
      </c>
      <c r="J1555">
        <v>233</v>
      </c>
      <c r="K1555">
        <v>51731.080000000009</v>
      </c>
      <c r="L1555">
        <v>222.02</v>
      </c>
      <c r="M1555">
        <v>2989</v>
      </c>
      <c r="N1555">
        <v>602008.89999999979</v>
      </c>
      <c r="O1555">
        <v>201.41</v>
      </c>
    </row>
    <row r="1556" spans="1:15" x14ac:dyDescent="0.35">
      <c r="A1556" t="s">
        <v>1926</v>
      </c>
      <c r="B1556" t="s">
        <v>1927</v>
      </c>
      <c r="C1556" t="s">
        <v>1644</v>
      </c>
      <c r="D1556" t="s">
        <v>314</v>
      </c>
      <c r="E1556" t="s">
        <v>294</v>
      </c>
      <c r="F1556" t="s">
        <v>1938</v>
      </c>
      <c r="G1556">
        <v>51</v>
      </c>
      <c r="H1556">
        <v>10256.49</v>
      </c>
      <c r="I1556">
        <v>201.11</v>
      </c>
      <c r="J1556">
        <v>8</v>
      </c>
      <c r="K1556">
        <v>1298.6400000000001</v>
      </c>
      <c r="L1556">
        <v>162.33000000000001</v>
      </c>
      <c r="M1556">
        <v>59</v>
      </c>
      <c r="N1556">
        <v>11555.13</v>
      </c>
      <c r="O1556">
        <v>195.85</v>
      </c>
    </row>
    <row r="1557" spans="1:15" x14ac:dyDescent="0.35">
      <c r="A1557" t="s">
        <v>1926</v>
      </c>
      <c r="B1557" t="s">
        <v>1927</v>
      </c>
      <c r="C1557" t="s">
        <v>1644</v>
      </c>
      <c r="D1557" t="s">
        <v>314</v>
      </c>
      <c r="E1557" t="s">
        <v>296</v>
      </c>
      <c r="F1557" t="s">
        <v>1939</v>
      </c>
      <c r="G1557">
        <v>13</v>
      </c>
      <c r="H1557">
        <v>3239.99</v>
      </c>
      <c r="I1557">
        <v>249.23</v>
      </c>
      <c r="J1557">
        <v>0</v>
      </c>
      <c r="K1557">
        <v>0</v>
      </c>
      <c r="L1557">
        <v>0</v>
      </c>
      <c r="M1557">
        <v>13</v>
      </c>
      <c r="N1557">
        <v>3239.99</v>
      </c>
      <c r="O1557">
        <v>249.23</v>
      </c>
    </row>
    <row r="1558" spans="1:15" x14ac:dyDescent="0.35">
      <c r="A1558" t="s">
        <v>1926</v>
      </c>
      <c r="B1558" t="s">
        <v>1927</v>
      </c>
      <c r="C1558" t="s">
        <v>1644</v>
      </c>
      <c r="D1558" t="s">
        <v>314</v>
      </c>
      <c r="E1558" t="s">
        <v>298</v>
      </c>
      <c r="F1558" t="s">
        <v>1940</v>
      </c>
      <c r="G1558">
        <v>0</v>
      </c>
      <c r="H1558">
        <v>0</v>
      </c>
      <c r="I1558">
        <v>0</v>
      </c>
      <c r="J1558">
        <v>0</v>
      </c>
      <c r="K1558">
        <v>0</v>
      </c>
      <c r="L1558">
        <v>0</v>
      </c>
      <c r="M1558">
        <v>0</v>
      </c>
      <c r="N1558">
        <v>0</v>
      </c>
      <c r="O1558">
        <v>0</v>
      </c>
    </row>
    <row r="1559" spans="1:15" x14ac:dyDescent="0.35">
      <c r="A1559" t="s">
        <v>1926</v>
      </c>
      <c r="B1559" t="s">
        <v>1927</v>
      </c>
      <c r="C1559" t="s">
        <v>1644</v>
      </c>
      <c r="D1559" t="s">
        <v>314</v>
      </c>
      <c r="E1559" t="s">
        <v>300</v>
      </c>
      <c r="F1559" t="s">
        <v>1941</v>
      </c>
      <c r="G1559">
        <v>0</v>
      </c>
      <c r="H1559">
        <v>0</v>
      </c>
      <c r="I1559">
        <v>0</v>
      </c>
      <c r="J1559">
        <v>0</v>
      </c>
      <c r="K1559">
        <v>0</v>
      </c>
      <c r="L1559">
        <v>0</v>
      </c>
      <c r="M1559">
        <v>0</v>
      </c>
      <c r="N1559">
        <v>0</v>
      </c>
      <c r="O1559">
        <v>0</v>
      </c>
    </row>
    <row r="1560" spans="1:15" x14ac:dyDescent="0.35">
      <c r="A1560" t="s">
        <v>1926</v>
      </c>
      <c r="B1560" t="s">
        <v>1927</v>
      </c>
      <c r="C1560" t="s">
        <v>1644</v>
      </c>
      <c r="D1560" t="s">
        <v>314</v>
      </c>
      <c r="E1560" t="s">
        <v>306</v>
      </c>
      <c r="F1560" t="s">
        <v>1942</v>
      </c>
      <c r="G1560">
        <v>79</v>
      </c>
      <c r="H1560">
        <v>13581.679999999998</v>
      </c>
      <c r="I1560">
        <v>171.92</v>
      </c>
      <c r="J1560">
        <v>1</v>
      </c>
      <c r="K1560">
        <v>131.77000000000001</v>
      </c>
      <c r="L1560">
        <v>131.77000000000001</v>
      </c>
      <c r="M1560">
        <v>80</v>
      </c>
      <c r="N1560">
        <v>13713.449999999999</v>
      </c>
      <c r="O1560">
        <v>171.42</v>
      </c>
    </row>
    <row r="1561" spans="1:15" x14ac:dyDescent="0.35">
      <c r="A1561" t="s">
        <v>1926</v>
      </c>
      <c r="B1561" t="s">
        <v>1927</v>
      </c>
      <c r="C1561" t="s">
        <v>1644</v>
      </c>
      <c r="D1561" t="s">
        <v>314</v>
      </c>
      <c r="E1561" t="s">
        <v>308</v>
      </c>
      <c r="F1561" t="s">
        <v>1943</v>
      </c>
      <c r="G1561">
        <v>0</v>
      </c>
      <c r="H1561">
        <v>0</v>
      </c>
      <c r="I1561">
        <v>0</v>
      </c>
      <c r="J1561">
        <v>0</v>
      </c>
      <c r="K1561">
        <v>0</v>
      </c>
      <c r="L1561">
        <v>0</v>
      </c>
      <c r="M1561">
        <v>0</v>
      </c>
      <c r="N1561">
        <v>0</v>
      </c>
      <c r="O1561">
        <v>0</v>
      </c>
    </row>
    <row r="1562" spans="1:15" x14ac:dyDescent="0.35">
      <c r="A1562" t="s">
        <v>1926</v>
      </c>
      <c r="B1562" t="s">
        <v>1927</v>
      </c>
      <c r="C1562" t="s">
        <v>1644</v>
      </c>
      <c r="D1562" t="s">
        <v>314</v>
      </c>
      <c r="E1562" t="s">
        <v>312</v>
      </c>
      <c r="F1562" t="s">
        <v>1944</v>
      </c>
      <c r="G1562">
        <v>143</v>
      </c>
      <c r="H1562">
        <v>27078.159999999996</v>
      </c>
      <c r="I1562">
        <v>189.36</v>
      </c>
      <c r="J1562">
        <v>9</v>
      </c>
      <c r="K1562">
        <v>1430.41</v>
      </c>
      <c r="L1562">
        <v>158.93</v>
      </c>
      <c r="M1562">
        <v>152</v>
      </c>
      <c r="N1562">
        <v>28508.569999999996</v>
      </c>
      <c r="O1562">
        <v>187.56</v>
      </c>
    </row>
    <row r="1563" spans="1:15" x14ac:dyDescent="0.35">
      <c r="A1563" t="s">
        <v>1926</v>
      </c>
      <c r="B1563" t="s">
        <v>1927</v>
      </c>
      <c r="C1563" t="s">
        <v>1644</v>
      </c>
      <c r="D1563" t="s">
        <v>314</v>
      </c>
      <c r="E1563" t="s">
        <v>310</v>
      </c>
      <c r="F1563" t="s">
        <v>1945</v>
      </c>
      <c r="G1563">
        <v>143</v>
      </c>
      <c r="H1563">
        <v>27078.159999999996</v>
      </c>
      <c r="I1563">
        <v>189.36</v>
      </c>
      <c r="J1563">
        <v>9</v>
      </c>
      <c r="K1563">
        <v>1430.41</v>
      </c>
      <c r="L1563">
        <v>158.93</v>
      </c>
      <c r="M1563">
        <v>152</v>
      </c>
      <c r="N1563">
        <v>28508.569999999996</v>
      </c>
      <c r="O1563">
        <v>187.56</v>
      </c>
    </row>
    <row r="1564" spans="1:15" x14ac:dyDescent="0.35">
      <c r="A1564" t="s">
        <v>1926</v>
      </c>
      <c r="B1564" t="s">
        <v>1927</v>
      </c>
      <c r="C1564" t="s">
        <v>1644</v>
      </c>
      <c r="D1564" t="s">
        <v>323</v>
      </c>
      <c r="E1564" t="s">
        <v>294</v>
      </c>
      <c r="F1564" t="s">
        <v>1946</v>
      </c>
      <c r="G1564">
        <v>1491</v>
      </c>
      <c r="H1564">
        <v>154167.15000000002</v>
      </c>
      <c r="I1564">
        <v>103.4</v>
      </c>
      <c r="J1564">
        <v>3281</v>
      </c>
      <c r="K1564">
        <v>306806.31</v>
      </c>
      <c r="L1564">
        <v>93.51</v>
      </c>
      <c r="M1564">
        <v>4772</v>
      </c>
      <c r="N1564">
        <v>460973.46</v>
      </c>
      <c r="O1564">
        <v>96.6</v>
      </c>
    </row>
    <row r="1565" spans="1:15" x14ac:dyDescent="0.35">
      <c r="A1565" t="s">
        <v>1926</v>
      </c>
      <c r="B1565" t="s">
        <v>1927</v>
      </c>
      <c r="C1565" t="s">
        <v>1644</v>
      </c>
      <c r="D1565" t="s">
        <v>323</v>
      </c>
      <c r="E1565" t="s">
        <v>296</v>
      </c>
      <c r="F1565" t="s">
        <v>1947</v>
      </c>
      <c r="G1565">
        <v>3389</v>
      </c>
      <c r="H1565">
        <v>417514.81</v>
      </c>
      <c r="I1565">
        <v>123.2</v>
      </c>
      <c r="J1565">
        <v>2651</v>
      </c>
      <c r="K1565">
        <v>279044.26</v>
      </c>
      <c r="L1565">
        <v>105.26</v>
      </c>
      <c r="M1565">
        <v>6040</v>
      </c>
      <c r="N1565">
        <v>696559.07000000007</v>
      </c>
      <c r="O1565">
        <v>115.32</v>
      </c>
    </row>
    <row r="1566" spans="1:15" x14ac:dyDescent="0.35">
      <c r="A1566" t="s">
        <v>1926</v>
      </c>
      <c r="B1566" t="s">
        <v>1927</v>
      </c>
      <c r="C1566" t="s">
        <v>1644</v>
      </c>
      <c r="D1566" t="s">
        <v>323</v>
      </c>
      <c r="E1566" t="s">
        <v>298</v>
      </c>
      <c r="F1566" t="s">
        <v>1948</v>
      </c>
      <c r="G1566">
        <v>1621</v>
      </c>
      <c r="H1566">
        <v>220722.61</v>
      </c>
      <c r="I1566">
        <v>136.16</v>
      </c>
      <c r="J1566">
        <v>3996</v>
      </c>
      <c r="K1566">
        <v>458900.64</v>
      </c>
      <c r="L1566">
        <v>114.84</v>
      </c>
      <c r="M1566">
        <v>5617</v>
      </c>
      <c r="N1566">
        <v>679623.25</v>
      </c>
      <c r="O1566">
        <v>120.99</v>
      </c>
    </row>
    <row r="1567" spans="1:15" x14ac:dyDescent="0.35">
      <c r="A1567" t="s">
        <v>1926</v>
      </c>
      <c r="B1567" t="s">
        <v>1927</v>
      </c>
      <c r="C1567" t="s">
        <v>1644</v>
      </c>
      <c r="D1567" t="s">
        <v>323</v>
      </c>
      <c r="E1567" t="s">
        <v>300</v>
      </c>
      <c r="F1567" t="s">
        <v>1949</v>
      </c>
      <c r="G1567">
        <v>231</v>
      </c>
      <c r="H1567">
        <v>36250.47</v>
      </c>
      <c r="I1567">
        <v>156.93</v>
      </c>
      <c r="J1567">
        <v>402</v>
      </c>
      <c r="K1567">
        <v>50627.88</v>
      </c>
      <c r="L1567">
        <v>125.94</v>
      </c>
      <c r="M1567">
        <v>633</v>
      </c>
      <c r="N1567">
        <v>86878.35</v>
      </c>
      <c r="O1567">
        <v>137.25</v>
      </c>
    </row>
    <row r="1568" spans="1:15" x14ac:dyDescent="0.35">
      <c r="A1568" t="s">
        <v>1926</v>
      </c>
      <c r="B1568" t="s">
        <v>1927</v>
      </c>
      <c r="C1568" t="s">
        <v>1644</v>
      </c>
      <c r="D1568" t="s">
        <v>323</v>
      </c>
      <c r="E1568" t="s">
        <v>302</v>
      </c>
      <c r="F1568" t="s">
        <v>1950</v>
      </c>
      <c r="G1568">
        <v>8</v>
      </c>
      <c r="H1568">
        <v>1279.04</v>
      </c>
      <c r="I1568">
        <v>159.88</v>
      </c>
      <c r="J1568">
        <v>31</v>
      </c>
      <c r="K1568">
        <v>4132.92</v>
      </c>
      <c r="L1568">
        <v>133.32</v>
      </c>
      <c r="M1568">
        <v>39</v>
      </c>
      <c r="N1568">
        <v>5411.96</v>
      </c>
      <c r="O1568">
        <v>138.77000000000001</v>
      </c>
    </row>
    <row r="1569" spans="1:15" x14ac:dyDescent="0.35">
      <c r="A1569" t="s">
        <v>1926</v>
      </c>
      <c r="B1569" t="s">
        <v>1927</v>
      </c>
      <c r="C1569" t="s">
        <v>1644</v>
      </c>
      <c r="D1569" t="s">
        <v>323</v>
      </c>
      <c r="E1569" t="s">
        <v>304</v>
      </c>
      <c r="F1569" t="s">
        <v>1951</v>
      </c>
      <c r="G1569">
        <v>0</v>
      </c>
      <c r="H1569">
        <v>0</v>
      </c>
      <c r="I1569">
        <v>0</v>
      </c>
      <c r="J1569">
        <v>0</v>
      </c>
      <c r="K1569">
        <v>0</v>
      </c>
      <c r="L1569">
        <v>0</v>
      </c>
      <c r="M1569">
        <v>0</v>
      </c>
      <c r="N1569">
        <v>0</v>
      </c>
      <c r="O1569">
        <v>0</v>
      </c>
    </row>
    <row r="1570" spans="1:15" x14ac:dyDescent="0.35">
      <c r="A1570" t="s">
        <v>1926</v>
      </c>
      <c r="B1570" t="s">
        <v>1927</v>
      </c>
      <c r="C1570" t="s">
        <v>1644</v>
      </c>
      <c r="D1570" t="s">
        <v>323</v>
      </c>
      <c r="E1570" t="s">
        <v>306</v>
      </c>
      <c r="F1570" t="s">
        <v>1952</v>
      </c>
      <c r="G1570">
        <v>61</v>
      </c>
      <c r="H1570">
        <v>5385.0499999999993</v>
      </c>
      <c r="I1570">
        <v>88.28</v>
      </c>
      <c r="J1570">
        <v>264</v>
      </c>
      <c r="K1570">
        <v>21423.600000000002</v>
      </c>
      <c r="L1570">
        <v>81.150000000000006</v>
      </c>
      <c r="M1570">
        <v>325</v>
      </c>
      <c r="N1570">
        <v>26808.65</v>
      </c>
      <c r="O1570">
        <v>82.49</v>
      </c>
    </row>
    <row r="1571" spans="1:15" x14ac:dyDescent="0.35">
      <c r="A1571" t="s">
        <v>1926</v>
      </c>
      <c r="B1571" t="s">
        <v>1927</v>
      </c>
      <c r="C1571" t="s">
        <v>1644</v>
      </c>
      <c r="D1571" t="s">
        <v>323</v>
      </c>
      <c r="E1571" t="s">
        <v>308</v>
      </c>
      <c r="F1571" t="s">
        <v>1953</v>
      </c>
      <c r="G1571">
        <v>0</v>
      </c>
      <c r="H1571">
        <v>0</v>
      </c>
      <c r="I1571">
        <v>0</v>
      </c>
      <c r="J1571">
        <v>0</v>
      </c>
      <c r="K1571">
        <v>0</v>
      </c>
      <c r="L1571">
        <v>0</v>
      </c>
      <c r="M1571">
        <v>0</v>
      </c>
      <c r="N1571">
        <v>0</v>
      </c>
      <c r="O1571">
        <v>0</v>
      </c>
    </row>
    <row r="1572" spans="1:15" x14ac:dyDescent="0.35">
      <c r="A1572" t="s">
        <v>1926</v>
      </c>
      <c r="B1572" t="s">
        <v>1927</v>
      </c>
      <c r="C1572" t="s">
        <v>1644</v>
      </c>
      <c r="D1572" t="s">
        <v>323</v>
      </c>
      <c r="E1572" t="s">
        <v>310</v>
      </c>
      <c r="F1572" t="s">
        <v>1954</v>
      </c>
      <c r="G1572">
        <v>6801</v>
      </c>
      <c r="H1572">
        <v>835319.13</v>
      </c>
      <c r="I1572">
        <v>122.82</v>
      </c>
      <c r="J1572">
        <v>10625</v>
      </c>
      <c r="K1572">
        <v>1120935.6100000001</v>
      </c>
      <c r="L1572">
        <v>105.5</v>
      </c>
      <c r="M1572">
        <v>17426</v>
      </c>
      <c r="N1572">
        <v>1956254.7400000002</v>
      </c>
      <c r="O1572">
        <v>112.26</v>
      </c>
    </row>
    <row r="1573" spans="1:15" x14ac:dyDescent="0.35">
      <c r="A1573" t="s">
        <v>1926</v>
      </c>
      <c r="B1573" t="s">
        <v>1927</v>
      </c>
      <c r="C1573" t="s">
        <v>1644</v>
      </c>
      <c r="D1573" t="s">
        <v>323</v>
      </c>
      <c r="E1573" t="s">
        <v>312</v>
      </c>
      <c r="F1573" t="s">
        <v>1955</v>
      </c>
      <c r="G1573">
        <v>6801</v>
      </c>
      <c r="H1573">
        <v>835319.13</v>
      </c>
      <c r="I1573">
        <v>122.82</v>
      </c>
      <c r="J1573">
        <v>10625</v>
      </c>
      <c r="K1573">
        <v>1120935.6100000001</v>
      </c>
      <c r="L1573">
        <v>105.5</v>
      </c>
      <c r="M1573">
        <v>17426</v>
      </c>
      <c r="N1573">
        <v>1956254.7400000002</v>
      </c>
      <c r="O1573">
        <v>112.26</v>
      </c>
    </row>
    <row r="1574" spans="1:15" x14ac:dyDescent="0.35">
      <c r="A1574" t="s">
        <v>1926</v>
      </c>
      <c r="B1574" t="s">
        <v>1927</v>
      </c>
      <c r="C1574" t="s">
        <v>1644</v>
      </c>
      <c r="D1574" t="s">
        <v>334</v>
      </c>
      <c r="E1574" t="s">
        <v>312</v>
      </c>
      <c r="F1574" t="s">
        <v>1956</v>
      </c>
      <c r="G1574">
        <v>10154</v>
      </c>
      <c r="H1574">
        <v>1385596.9499999997</v>
      </c>
      <c r="I1574">
        <v>144.97999999999999</v>
      </c>
      <c r="J1574">
        <v>10858</v>
      </c>
      <c r="K1574">
        <v>1172666.69</v>
      </c>
      <c r="L1574">
        <v>108</v>
      </c>
      <c r="M1574">
        <v>21012</v>
      </c>
      <c r="N1574">
        <v>2558263.6399999997</v>
      </c>
      <c r="O1574">
        <v>125.31</v>
      </c>
    </row>
    <row r="1575" spans="1:15" x14ac:dyDescent="0.35">
      <c r="A1575" t="s">
        <v>1926</v>
      </c>
      <c r="B1575" t="s">
        <v>1927</v>
      </c>
      <c r="C1575" t="s">
        <v>1644</v>
      </c>
      <c r="D1575" t="s">
        <v>334</v>
      </c>
      <c r="E1575" t="s">
        <v>308</v>
      </c>
      <c r="F1575" t="s">
        <v>1957</v>
      </c>
      <c r="G1575">
        <v>114</v>
      </c>
      <c r="H1575">
        <v>0</v>
      </c>
      <c r="I1575">
        <v>0</v>
      </c>
      <c r="J1575">
        <v>0</v>
      </c>
      <c r="K1575">
        <v>0</v>
      </c>
      <c r="L1575">
        <v>0</v>
      </c>
      <c r="M1575">
        <v>114</v>
      </c>
      <c r="N1575">
        <v>0</v>
      </c>
      <c r="O1575">
        <v>0</v>
      </c>
    </row>
    <row r="1576" spans="1:15" x14ac:dyDescent="0.35">
      <c r="A1576" t="s">
        <v>1926</v>
      </c>
      <c r="B1576" t="s">
        <v>1927</v>
      </c>
      <c r="C1576" t="s">
        <v>1644</v>
      </c>
      <c r="D1576" t="s">
        <v>337</v>
      </c>
      <c r="E1576" t="s">
        <v>337</v>
      </c>
      <c r="F1576" t="s">
        <v>1958</v>
      </c>
      <c r="G1576">
        <v>6528</v>
      </c>
      <c r="J1576">
        <v>1480</v>
      </c>
      <c r="M1576">
        <v>8008</v>
      </c>
    </row>
    <row r="1577" spans="1:15" x14ac:dyDescent="0.35">
      <c r="A1577" t="s">
        <v>1926</v>
      </c>
      <c r="B1577" t="s">
        <v>1927</v>
      </c>
      <c r="C1577" t="s">
        <v>1644</v>
      </c>
      <c r="D1577" t="s">
        <v>339</v>
      </c>
      <c r="E1577" t="s">
        <v>294</v>
      </c>
      <c r="F1577" t="s">
        <v>1959</v>
      </c>
      <c r="G1577">
        <v>529</v>
      </c>
      <c r="H1577">
        <v>68822.040000000008</v>
      </c>
      <c r="I1577">
        <v>130.1</v>
      </c>
      <c r="J1577">
        <v>59</v>
      </c>
      <c r="K1577">
        <v>6550.77</v>
      </c>
      <c r="L1577">
        <v>111.03</v>
      </c>
      <c r="M1577">
        <v>588</v>
      </c>
      <c r="N1577">
        <v>75372.810000000012</v>
      </c>
      <c r="O1577">
        <v>128.19</v>
      </c>
    </row>
    <row r="1578" spans="1:15" x14ac:dyDescent="0.35">
      <c r="A1578" t="s">
        <v>1926</v>
      </c>
      <c r="B1578" t="s">
        <v>1927</v>
      </c>
      <c r="C1578" t="s">
        <v>1644</v>
      </c>
      <c r="D1578" t="s">
        <v>339</v>
      </c>
      <c r="E1578" t="s">
        <v>296</v>
      </c>
      <c r="F1578" t="s">
        <v>1960</v>
      </c>
      <c r="G1578">
        <v>154</v>
      </c>
      <c r="H1578">
        <v>21804.730000000003</v>
      </c>
      <c r="I1578">
        <v>141.59</v>
      </c>
      <c r="J1578">
        <v>3</v>
      </c>
      <c r="K1578">
        <v>358.14</v>
      </c>
      <c r="L1578">
        <v>119.38</v>
      </c>
      <c r="M1578">
        <v>157</v>
      </c>
      <c r="N1578">
        <v>22162.870000000003</v>
      </c>
      <c r="O1578">
        <v>141.16</v>
      </c>
    </row>
    <row r="1579" spans="1:15" x14ac:dyDescent="0.35">
      <c r="A1579" t="s">
        <v>1926</v>
      </c>
      <c r="B1579" t="s">
        <v>1927</v>
      </c>
      <c r="C1579" t="s">
        <v>1644</v>
      </c>
      <c r="D1579" t="s">
        <v>339</v>
      </c>
      <c r="E1579" t="s">
        <v>298</v>
      </c>
      <c r="F1579" t="s">
        <v>1961</v>
      </c>
      <c r="G1579">
        <v>3</v>
      </c>
      <c r="H1579">
        <v>481.29000000000008</v>
      </c>
      <c r="I1579">
        <v>160.43</v>
      </c>
      <c r="J1579">
        <v>0</v>
      </c>
      <c r="K1579">
        <v>0</v>
      </c>
      <c r="L1579">
        <v>0</v>
      </c>
      <c r="M1579">
        <v>3</v>
      </c>
      <c r="N1579">
        <v>481.29000000000008</v>
      </c>
      <c r="O1579">
        <v>160.43</v>
      </c>
    </row>
    <row r="1580" spans="1:15" x14ac:dyDescent="0.35">
      <c r="A1580" t="s">
        <v>1926</v>
      </c>
      <c r="B1580" t="s">
        <v>1927</v>
      </c>
      <c r="C1580" t="s">
        <v>1644</v>
      </c>
      <c r="D1580" t="s">
        <v>339</v>
      </c>
      <c r="E1580" t="s">
        <v>300</v>
      </c>
      <c r="F1580" t="s">
        <v>1962</v>
      </c>
      <c r="G1580">
        <v>0</v>
      </c>
      <c r="H1580">
        <v>0</v>
      </c>
      <c r="I1580">
        <v>0</v>
      </c>
      <c r="J1580">
        <v>0</v>
      </c>
      <c r="K1580">
        <v>0</v>
      </c>
      <c r="L1580">
        <v>0</v>
      </c>
      <c r="M1580">
        <v>0</v>
      </c>
      <c r="N1580">
        <v>0</v>
      </c>
      <c r="O1580">
        <v>0</v>
      </c>
    </row>
    <row r="1581" spans="1:15" x14ac:dyDescent="0.35">
      <c r="A1581" t="s">
        <v>1926</v>
      </c>
      <c r="B1581" t="s">
        <v>1927</v>
      </c>
      <c r="C1581" t="s">
        <v>1644</v>
      </c>
      <c r="D1581" t="s">
        <v>339</v>
      </c>
      <c r="E1581" t="s">
        <v>306</v>
      </c>
      <c r="F1581" t="s">
        <v>1963</v>
      </c>
      <c r="G1581">
        <v>36</v>
      </c>
      <c r="H1581">
        <v>3813.4800000000005</v>
      </c>
      <c r="I1581">
        <v>105.93</v>
      </c>
      <c r="J1581">
        <v>0</v>
      </c>
      <c r="K1581">
        <v>0</v>
      </c>
      <c r="L1581">
        <v>0</v>
      </c>
      <c r="M1581">
        <v>36</v>
      </c>
      <c r="N1581">
        <v>3813.4800000000005</v>
      </c>
      <c r="O1581">
        <v>105.93</v>
      </c>
    </row>
    <row r="1582" spans="1:15" x14ac:dyDescent="0.35">
      <c r="A1582" t="s">
        <v>1926</v>
      </c>
      <c r="B1582" t="s">
        <v>1927</v>
      </c>
      <c r="C1582" t="s">
        <v>1644</v>
      </c>
      <c r="D1582" t="s">
        <v>339</v>
      </c>
      <c r="E1582" t="s">
        <v>308</v>
      </c>
      <c r="F1582" t="s">
        <v>1964</v>
      </c>
      <c r="G1582">
        <v>113</v>
      </c>
      <c r="H1582">
        <v>17906.63</v>
      </c>
      <c r="I1582">
        <v>158.47</v>
      </c>
      <c r="J1582">
        <v>0</v>
      </c>
      <c r="K1582">
        <v>0</v>
      </c>
      <c r="L1582">
        <v>0</v>
      </c>
      <c r="M1582">
        <v>113</v>
      </c>
      <c r="N1582">
        <v>17906.63</v>
      </c>
      <c r="O1582">
        <v>158.47</v>
      </c>
    </row>
    <row r="1583" spans="1:15" x14ac:dyDescent="0.35">
      <c r="A1583" t="s">
        <v>1926</v>
      </c>
      <c r="B1583" t="s">
        <v>1927</v>
      </c>
      <c r="C1583" t="s">
        <v>1644</v>
      </c>
      <c r="D1583" t="s">
        <v>339</v>
      </c>
      <c r="E1583" t="s">
        <v>310</v>
      </c>
      <c r="F1583" t="s">
        <v>1965</v>
      </c>
      <c r="G1583">
        <v>835</v>
      </c>
      <c r="H1583">
        <v>112828.17000000001</v>
      </c>
      <c r="I1583">
        <v>135.12</v>
      </c>
      <c r="J1583">
        <v>62</v>
      </c>
      <c r="K1583">
        <v>6908.9100000000008</v>
      </c>
      <c r="L1583">
        <v>111.43</v>
      </c>
      <c r="M1583">
        <v>897</v>
      </c>
      <c r="N1583">
        <v>119737.08000000002</v>
      </c>
      <c r="O1583">
        <v>133.49</v>
      </c>
    </row>
    <row r="1584" spans="1:15" x14ac:dyDescent="0.35">
      <c r="A1584" t="s">
        <v>1926</v>
      </c>
      <c r="B1584" t="s">
        <v>1927</v>
      </c>
      <c r="C1584" t="s">
        <v>1644</v>
      </c>
      <c r="D1584" t="s">
        <v>339</v>
      </c>
      <c r="E1584" t="s">
        <v>312</v>
      </c>
      <c r="F1584" t="s">
        <v>1966</v>
      </c>
      <c r="G1584">
        <v>722</v>
      </c>
      <c r="H1584">
        <v>94921.540000000008</v>
      </c>
      <c r="I1584">
        <v>131.47</v>
      </c>
      <c r="J1584">
        <v>62</v>
      </c>
      <c r="K1584">
        <v>6908.9100000000008</v>
      </c>
      <c r="L1584">
        <v>111.43</v>
      </c>
      <c r="M1584">
        <v>784</v>
      </c>
      <c r="N1584">
        <v>101830.45000000001</v>
      </c>
      <c r="O1584">
        <v>129.88999999999999</v>
      </c>
    </row>
    <row r="1585" spans="1:15" x14ac:dyDescent="0.35">
      <c r="A1585" t="s">
        <v>1926</v>
      </c>
      <c r="B1585" t="s">
        <v>1927</v>
      </c>
      <c r="C1585" t="s">
        <v>1644</v>
      </c>
      <c r="D1585" t="s">
        <v>348</v>
      </c>
      <c r="E1585" t="s">
        <v>349</v>
      </c>
      <c r="F1585" t="s">
        <v>1967</v>
      </c>
      <c r="G1585">
        <v>1186</v>
      </c>
      <c r="H1585">
        <v>139906.33000000002</v>
      </c>
      <c r="I1585">
        <v>143.05000000000001</v>
      </c>
      <c r="J1585">
        <v>71</v>
      </c>
      <c r="K1585">
        <v>8339.32</v>
      </c>
      <c r="L1585">
        <v>117.46</v>
      </c>
      <c r="M1585">
        <v>1257</v>
      </c>
      <c r="N1585">
        <v>148245.65000000002</v>
      </c>
      <c r="O1585">
        <v>141.32</v>
      </c>
    </row>
    <row r="1586" spans="1:15" x14ac:dyDescent="0.35">
      <c r="A1586" t="s">
        <v>1968</v>
      </c>
      <c r="B1586" t="s">
        <v>1969</v>
      </c>
      <c r="C1586" t="s">
        <v>1644</v>
      </c>
      <c r="D1586" t="s">
        <v>293</v>
      </c>
      <c r="E1586" t="s">
        <v>294</v>
      </c>
      <c r="F1586" t="s">
        <v>1970</v>
      </c>
      <c r="G1586">
        <v>224</v>
      </c>
      <c r="H1586">
        <v>40706.299999999996</v>
      </c>
      <c r="I1586">
        <v>181.72</v>
      </c>
      <c r="J1586">
        <v>420</v>
      </c>
      <c r="K1586">
        <v>77313.600000000006</v>
      </c>
      <c r="L1586">
        <v>184.08</v>
      </c>
      <c r="M1586">
        <v>644</v>
      </c>
      <c r="N1586">
        <v>118019.9</v>
      </c>
      <c r="O1586">
        <v>183.26</v>
      </c>
    </row>
    <row r="1587" spans="1:15" x14ac:dyDescent="0.35">
      <c r="A1587" t="s">
        <v>1968</v>
      </c>
      <c r="B1587" t="s">
        <v>1969</v>
      </c>
      <c r="C1587" t="s">
        <v>1644</v>
      </c>
      <c r="D1587" t="s">
        <v>293</v>
      </c>
      <c r="E1587" t="s">
        <v>296</v>
      </c>
      <c r="F1587" t="s">
        <v>1971</v>
      </c>
      <c r="G1587">
        <v>240</v>
      </c>
      <c r="H1587">
        <v>54418.58</v>
      </c>
      <c r="I1587">
        <v>226.74</v>
      </c>
      <c r="J1587">
        <v>541</v>
      </c>
      <c r="K1587">
        <v>130029.34999999999</v>
      </c>
      <c r="L1587">
        <v>240.35</v>
      </c>
      <c r="M1587">
        <v>781</v>
      </c>
      <c r="N1587">
        <v>184447.93</v>
      </c>
      <c r="O1587">
        <v>236.17</v>
      </c>
    </row>
    <row r="1588" spans="1:15" x14ac:dyDescent="0.35">
      <c r="A1588" t="s">
        <v>1968</v>
      </c>
      <c r="B1588" t="s">
        <v>1969</v>
      </c>
      <c r="C1588" t="s">
        <v>1644</v>
      </c>
      <c r="D1588" t="s">
        <v>293</v>
      </c>
      <c r="E1588" t="s">
        <v>298</v>
      </c>
      <c r="F1588" t="s">
        <v>1972</v>
      </c>
      <c r="G1588">
        <v>67</v>
      </c>
      <c r="H1588">
        <v>17221.59</v>
      </c>
      <c r="I1588">
        <v>257.04000000000002</v>
      </c>
      <c r="J1588">
        <v>164</v>
      </c>
      <c r="K1588">
        <v>46266.04</v>
      </c>
      <c r="L1588">
        <v>282.11</v>
      </c>
      <c r="M1588">
        <v>231</v>
      </c>
      <c r="N1588">
        <v>63487.630000000005</v>
      </c>
      <c r="O1588">
        <v>274.83999999999997</v>
      </c>
    </row>
    <row r="1589" spans="1:15" x14ac:dyDescent="0.35">
      <c r="A1589" t="s">
        <v>1968</v>
      </c>
      <c r="B1589" t="s">
        <v>1969</v>
      </c>
      <c r="C1589" t="s">
        <v>1644</v>
      </c>
      <c r="D1589" t="s">
        <v>293</v>
      </c>
      <c r="E1589" t="s">
        <v>300</v>
      </c>
      <c r="F1589" t="s">
        <v>1973</v>
      </c>
      <c r="G1589">
        <v>11</v>
      </c>
      <c r="H1589">
        <v>3069.52</v>
      </c>
      <c r="I1589">
        <v>279.05</v>
      </c>
      <c r="J1589">
        <v>20</v>
      </c>
      <c r="K1589">
        <v>6453.4000000000005</v>
      </c>
      <c r="L1589">
        <v>322.67</v>
      </c>
      <c r="M1589">
        <v>31</v>
      </c>
      <c r="N1589">
        <v>9522.92</v>
      </c>
      <c r="O1589">
        <v>307.19</v>
      </c>
    </row>
    <row r="1590" spans="1:15" x14ac:dyDescent="0.35">
      <c r="A1590" t="s">
        <v>1968</v>
      </c>
      <c r="B1590" t="s">
        <v>1969</v>
      </c>
      <c r="C1590" t="s">
        <v>1644</v>
      </c>
      <c r="D1590" t="s">
        <v>293</v>
      </c>
      <c r="E1590" t="s">
        <v>302</v>
      </c>
      <c r="F1590" t="s">
        <v>1974</v>
      </c>
      <c r="G1590">
        <v>1</v>
      </c>
      <c r="H1590">
        <v>305.68</v>
      </c>
      <c r="I1590">
        <v>305.68</v>
      </c>
      <c r="J1590">
        <v>2</v>
      </c>
      <c r="K1590">
        <v>578.32000000000005</v>
      </c>
      <c r="L1590">
        <v>289.16000000000003</v>
      </c>
      <c r="M1590">
        <v>3</v>
      </c>
      <c r="N1590">
        <v>884</v>
      </c>
      <c r="O1590">
        <v>294.67</v>
      </c>
    </row>
    <row r="1591" spans="1:15" x14ac:dyDescent="0.35">
      <c r="A1591" t="s">
        <v>1968</v>
      </c>
      <c r="B1591" t="s">
        <v>1969</v>
      </c>
      <c r="C1591" t="s">
        <v>1644</v>
      </c>
      <c r="D1591" t="s">
        <v>293</v>
      </c>
      <c r="E1591" t="s">
        <v>304</v>
      </c>
      <c r="F1591" t="s">
        <v>1975</v>
      </c>
      <c r="G1591">
        <v>0</v>
      </c>
      <c r="H1591">
        <v>0</v>
      </c>
      <c r="I1591">
        <v>0</v>
      </c>
      <c r="J1591">
        <v>3</v>
      </c>
      <c r="K1591">
        <v>669.42</v>
      </c>
      <c r="L1591">
        <v>223.14</v>
      </c>
      <c r="M1591">
        <v>3</v>
      </c>
      <c r="N1591">
        <v>669.42</v>
      </c>
      <c r="O1591">
        <v>223.14</v>
      </c>
    </row>
    <row r="1592" spans="1:15" x14ac:dyDescent="0.35">
      <c r="A1592" t="s">
        <v>1968</v>
      </c>
      <c r="B1592" t="s">
        <v>1969</v>
      </c>
      <c r="C1592" t="s">
        <v>1644</v>
      </c>
      <c r="D1592" t="s">
        <v>293</v>
      </c>
      <c r="E1592" t="s">
        <v>306</v>
      </c>
      <c r="F1592" t="s">
        <v>1976</v>
      </c>
      <c r="G1592">
        <v>13</v>
      </c>
      <c r="H1592">
        <v>1909.9900000000002</v>
      </c>
      <c r="I1592">
        <v>146.91999999999999</v>
      </c>
      <c r="J1592">
        <v>60</v>
      </c>
      <c r="K1592">
        <v>11891.4</v>
      </c>
      <c r="L1592">
        <v>198.19</v>
      </c>
      <c r="M1592">
        <v>73</v>
      </c>
      <c r="N1592">
        <v>13801.39</v>
      </c>
      <c r="O1592">
        <v>189.06</v>
      </c>
    </row>
    <row r="1593" spans="1:15" x14ac:dyDescent="0.35">
      <c r="A1593" t="s">
        <v>1968</v>
      </c>
      <c r="B1593" t="s">
        <v>1969</v>
      </c>
      <c r="C1593" t="s">
        <v>1644</v>
      </c>
      <c r="D1593" t="s">
        <v>293</v>
      </c>
      <c r="E1593" t="s">
        <v>308</v>
      </c>
      <c r="F1593" t="s">
        <v>1977</v>
      </c>
      <c r="G1593">
        <v>0</v>
      </c>
      <c r="H1593">
        <v>0</v>
      </c>
      <c r="I1593">
        <v>0</v>
      </c>
      <c r="J1593">
        <v>0</v>
      </c>
      <c r="K1593">
        <v>0</v>
      </c>
      <c r="L1593">
        <v>0</v>
      </c>
      <c r="M1593">
        <v>0</v>
      </c>
      <c r="N1593">
        <v>0</v>
      </c>
      <c r="O1593">
        <v>0</v>
      </c>
    </row>
    <row r="1594" spans="1:15" x14ac:dyDescent="0.35">
      <c r="A1594" t="s">
        <v>1968</v>
      </c>
      <c r="B1594" t="s">
        <v>1969</v>
      </c>
      <c r="C1594" t="s">
        <v>1644</v>
      </c>
      <c r="D1594" t="s">
        <v>293</v>
      </c>
      <c r="E1594" t="s">
        <v>310</v>
      </c>
      <c r="F1594" t="s">
        <v>1978</v>
      </c>
      <c r="G1594">
        <v>556</v>
      </c>
      <c r="H1594">
        <v>117631.66</v>
      </c>
      <c r="I1594">
        <v>211.57</v>
      </c>
      <c r="J1594">
        <v>1210</v>
      </c>
      <c r="K1594">
        <v>273201.53000000003</v>
      </c>
      <c r="L1594">
        <v>225.79</v>
      </c>
      <c r="M1594">
        <v>1766</v>
      </c>
      <c r="N1594">
        <v>390833.19000000006</v>
      </c>
      <c r="O1594">
        <v>221.31</v>
      </c>
    </row>
    <row r="1595" spans="1:15" x14ac:dyDescent="0.35">
      <c r="A1595" t="s">
        <v>1968</v>
      </c>
      <c r="B1595" t="s">
        <v>1969</v>
      </c>
      <c r="C1595" t="s">
        <v>1644</v>
      </c>
      <c r="D1595" t="s">
        <v>293</v>
      </c>
      <c r="E1595" t="s">
        <v>312</v>
      </c>
      <c r="F1595" t="s">
        <v>1979</v>
      </c>
      <c r="G1595">
        <v>556</v>
      </c>
      <c r="H1595">
        <v>117631.66</v>
      </c>
      <c r="I1595">
        <v>211.57</v>
      </c>
      <c r="J1595">
        <v>1210</v>
      </c>
      <c r="K1595">
        <v>273201.53000000003</v>
      </c>
      <c r="L1595">
        <v>225.79</v>
      </c>
      <c r="M1595">
        <v>1766</v>
      </c>
      <c r="N1595">
        <v>390833.19000000006</v>
      </c>
      <c r="O1595">
        <v>221.31</v>
      </c>
    </row>
    <row r="1596" spans="1:15" x14ac:dyDescent="0.35">
      <c r="A1596" t="s">
        <v>1968</v>
      </c>
      <c r="B1596" t="s">
        <v>1969</v>
      </c>
      <c r="C1596" t="s">
        <v>1644</v>
      </c>
      <c r="D1596" t="s">
        <v>314</v>
      </c>
      <c r="E1596" t="s">
        <v>294</v>
      </c>
      <c r="F1596" t="s">
        <v>1980</v>
      </c>
      <c r="G1596">
        <v>0</v>
      </c>
      <c r="H1596">
        <v>0</v>
      </c>
      <c r="I1596">
        <v>0</v>
      </c>
      <c r="J1596">
        <v>45</v>
      </c>
      <c r="K1596">
        <v>10102.949999999999</v>
      </c>
      <c r="L1596">
        <v>224.51</v>
      </c>
      <c r="M1596">
        <v>45</v>
      </c>
      <c r="N1596">
        <v>10102.949999999999</v>
      </c>
      <c r="O1596">
        <v>224.51</v>
      </c>
    </row>
    <row r="1597" spans="1:15" x14ac:dyDescent="0.35">
      <c r="A1597" t="s">
        <v>1968</v>
      </c>
      <c r="B1597" t="s">
        <v>1969</v>
      </c>
      <c r="C1597" t="s">
        <v>1644</v>
      </c>
      <c r="D1597" t="s">
        <v>314</v>
      </c>
      <c r="E1597" t="s">
        <v>296</v>
      </c>
      <c r="F1597" t="s">
        <v>1981</v>
      </c>
      <c r="G1597">
        <v>0</v>
      </c>
      <c r="H1597">
        <v>0</v>
      </c>
      <c r="I1597">
        <v>0</v>
      </c>
      <c r="J1597">
        <v>0</v>
      </c>
      <c r="K1597">
        <v>0</v>
      </c>
      <c r="L1597">
        <v>0</v>
      </c>
      <c r="M1597">
        <v>0</v>
      </c>
      <c r="N1597">
        <v>0</v>
      </c>
      <c r="O1597">
        <v>0</v>
      </c>
    </row>
    <row r="1598" spans="1:15" x14ac:dyDescent="0.35">
      <c r="A1598" t="s">
        <v>1968</v>
      </c>
      <c r="B1598" t="s">
        <v>1969</v>
      </c>
      <c r="C1598" t="s">
        <v>1644</v>
      </c>
      <c r="D1598" t="s">
        <v>314</v>
      </c>
      <c r="E1598" t="s">
        <v>298</v>
      </c>
      <c r="F1598" t="s">
        <v>1982</v>
      </c>
      <c r="G1598">
        <v>0</v>
      </c>
      <c r="H1598">
        <v>0</v>
      </c>
      <c r="I1598">
        <v>0</v>
      </c>
      <c r="J1598">
        <v>1</v>
      </c>
      <c r="K1598">
        <v>263.70999999999998</v>
      </c>
      <c r="L1598">
        <v>263.70999999999998</v>
      </c>
      <c r="M1598">
        <v>1</v>
      </c>
      <c r="N1598">
        <v>263.70999999999998</v>
      </c>
      <c r="O1598">
        <v>263.70999999999998</v>
      </c>
    </row>
    <row r="1599" spans="1:15" x14ac:dyDescent="0.35">
      <c r="A1599" t="s">
        <v>1968</v>
      </c>
      <c r="B1599" t="s">
        <v>1969</v>
      </c>
      <c r="C1599" t="s">
        <v>1644</v>
      </c>
      <c r="D1599" t="s">
        <v>314</v>
      </c>
      <c r="E1599" t="s">
        <v>300</v>
      </c>
      <c r="F1599" t="s">
        <v>1983</v>
      </c>
      <c r="G1599">
        <v>0</v>
      </c>
      <c r="H1599">
        <v>0</v>
      </c>
      <c r="I1599">
        <v>0</v>
      </c>
      <c r="J1599">
        <v>0</v>
      </c>
      <c r="K1599">
        <v>0</v>
      </c>
      <c r="L1599">
        <v>0</v>
      </c>
      <c r="M1599">
        <v>0</v>
      </c>
      <c r="N1599">
        <v>0</v>
      </c>
      <c r="O1599">
        <v>0</v>
      </c>
    </row>
    <row r="1600" spans="1:15" x14ac:dyDescent="0.35">
      <c r="A1600" t="s">
        <v>1968</v>
      </c>
      <c r="B1600" t="s">
        <v>1969</v>
      </c>
      <c r="C1600" t="s">
        <v>1644</v>
      </c>
      <c r="D1600" t="s">
        <v>314</v>
      </c>
      <c r="E1600" t="s">
        <v>306</v>
      </c>
      <c r="F1600" t="s">
        <v>1984</v>
      </c>
      <c r="G1600">
        <v>0</v>
      </c>
      <c r="H1600">
        <v>0</v>
      </c>
      <c r="I1600">
        <v>0</v>
      </c>
      <c r="J1600">
        <v>0</v>
      </c>
      <c r="K1600">
        <v>0</v>
      </c>
      <c r="L1600">
        <v>0</v>
      </c>
      <c r="M1600">
        <v>0</v>
      </c>
      <c r="N1600">
        <v>0</v>
      </c>
      <c r="O1600">
        <v>0</v>
      </c>
    </row>
    <row r="1601" spans="1:15" x14ac:dyDescent="0.35">
      <c r="A1601" t="s">
        <v>1968</v>
      </c>
      <c r="B1601" t="s">
        <v>1969</v>
      </c>
      <c r="C1601" t="s">
        <v>1644</v>
      </c>
      <c r="D1601" t="s">
        <v>314</v>
      </c>
      <c r="E1601" t="s">
        <v>308</v>
      </c>
      <c r="F1601" t="s">
        <v>1985</v>
      </c>
      <c r="G1601">
        <v>0</v>
      </c>
      <c r="H1601">
        <v>0</v>
      </c>
      <c r="I1601">
        <v>0</v>
      </c>
      <c r="J1601">
        <v>0</v>
      </c>
      <c r="K1601">
        <v>0</v>
      </c>
      <c r="L1601">
        <v>0</v>
      </c>
      <c r="M1601">
        <v>0</v>
      </c>
      <c r="N1601">
        <v>0</v>
      </c>
      <c r="O1601">
        <v>0</v>
      </c>
    </row>
    <row r="1602" spans="1:15" x14ac:dyDescent="0.35">
      <c r="A1602" t="s">
        <v>1968</v>
      </c>
      <c r="B1602" t="s">
        <v>1969</v>
      </c>
      <c r="C1602" t="s">
        <v>1644</v>
      </c>
      <c r="D1602" t="s">
        <v>314</v>
      </c>
      <c r="E1602" t="s">
        <v>312</v>
      </c>
      <c r="F1602" t="s">
        <v>1986</v>
      </c>
      <c r="G1602">
        <v>0</v>
      </c>
      <c r="H1602">
        <v>0</v>
      </c>
      <c r="I1602">
        <v>0</v>
      </c>
      <c r="J1602">
        <v>46</v>
      </c>
      <c r="K1602">
        <v>10366.659999999998</v>
      </c>
      <c r="L1602">
        <v>225.36</v>
      </c>
      <c r="M1602">
        <v>46</v>
      </c>
      <c r="N1602">
        <v>10366.659999999998</v>
      </c>
      <c r="O1602">
        <v>225.36</v>
      </c>
    </row>
    <row r="1603" spans="1:15" x14ac:dyDescent="0.35">
      <c r="A1603" t="s">
        <v>1968</v>
      </c>
      <c r="B1603" t="s">
        <v>1969</v>
      </c>
      <c r="C1603" t="s">
        <v>1644</v>
      </c>
      <c r="D1603" t="s">
        <v>314</v>
      </c>
      <c r="E1603" t="s">
        <v>310</v>
      </c>
      <c r="F1603" t="s">
        <v>1987</v>
      </c>
      <c r="G1603">
        <v>0</v>
      </c>
      <c r="H1603">
        <v>0</v>
      </c>
      <c r="I1603">
        <v>0</v>
      </c>
      <c r="J1603">
        <v>46</v>
      </c>
      <c r="K1603">
        <v>10366.659999999998</v>
      </c>
      <c r="L1603">
        <v>225.36</v>
      </c>
      <c r="M1603">
        <v>46</v>
      </c>
      <c r="N1603">
        <v>10366.659999999998</v>
      </c>
      <c r="O1603">
        <v>225.36</v>
      </c>
    </row>
    <row r="1604" spans="1:15" x14ac:dyDescent="0.35">
      <c r="A1604" t="s">
        <v>1968</v>
      </c>
      <c r="B1604" t="s">
        <v>1969</v>
      </c>
      <c r="C1604" t="s">
        <v>1644</v>
      </c>
      <c r="D1604" t="s">
        <v>323</v>
      </c>
      <c r="E1604" t="s">
        <v>294</v>
      </c>
      <c r="F1604" t="s">
        <v>1988</v>
      </c>
      <c r="G1604">
        <v>1017</v>
      </c>
      <c r="H1604">
        <v>102848.34000000001</v>
      </c>
      <c r="I1604">
        <v>101.13</v>
      </c>
      <c r="J1604">
        <v>3134</v>
      </c>
      <c r="K1604">
        <v>289174.18</v>
      </c>
      <c r="L1604">
        <v>92.27</v>
      </c>
      <c r="M1604">
        <v>4151</v>
      </c>
      <c r="N1604">
        <v>392022.52</v>
      </c>
      <c r="O1604">
        <v>94.44</v>
      </c>
    </row>
    <row r="1605" spans="1:15" x14ac:dyDescent="0.35">
      <c r="A1605" t="s">
        <v>1968</v>
      </c>
      <c r="B1605" t="s">
        <v>1969</v>
      </c>
      <c r="C1605" t="s">
        <v>1644</v>
      </c>
      <c r="D1605" t="s">
        <v>323</v>
      </c>
      <c r="E1605" t="s">
        <v>296</v>
      </c>
      <c r="F1605" t="s">
        <v>1989</v>
      </c>
      <c r="G1605">
        <v>1518</v>
      </c>
      <c r="H1605">
        <v>178102.46</v>
      </c>
      <c r="I1605">
        <v>117.33</v>
      </c>
      <c r="J1605">
        <v>4216</v>
      </c>
      <c r="K1605">
        <v>442216.24</v>
      </c>
      <c r="L1605">
        <v>104.89</v>
      </c>
      <c r="M1605">
        <v>5734</v>
      </c>
      <c r="N1605">
        <v>620318.69999999995</v>
      </c>
      <c r="O1605">
        <v>108.18</v>
      </c>
    </row>
    <row r="1606" spans="1:15" x14ac:dyDescent="0.35">
      <c r="A1606" t="s">
        <v>1968</v>
      </c>
      <c r="B1606" t="s">
        <v>1969</v>
      </c>
      <c r="C1606" t="s">
        <v>1644</v>
      </c>
      <c r="D1606" t="s">
        <v>323</v>
      </c>
      <c r="E1606" t="s">
        <v>298</v>
      </c>
      <c r="F1606" t="s">
        <v>1990</v>
      </c>
      <c r="G1606">
        <v>1052</v>
      </c>
      <c r="H1606">
        <v>140121.34</v>
      </c>
      <c r="I1606">
        <v>133.19999999999999</v>
      </c>
      <c r="J1606">
        <v>2579</v>
      </c>
      <c r="K1606">
        <v>313864.3</v>
      </c>
      <c r="L1606">
        <v>121.7</v>
      </c>
      <c r="M1606">
        <v>3631</v>
      </c>
      <c r="N1606">
        <v>453985.64</v>
      </c>
      <c r="O1606">
        <v>125.03</v>
      </c>
    </row>
    <row r="1607" spans="1:15" x14ac:dyDescent="0.35">
      <c r="A1607" t="s">
        <v>1968</v>
      </c>
      <c r="B1607" t="s">
        <v>1969</v>
      </c>
      <c r="C1607" t="s">
        <v>1644</v>
      </c>
      <c r="D1607" t="s">
        <v>323</v>
      </c>
      <c r="E1607" t="s">
        <v>300</v>
      </c>
      <c r="F1607" t="s">
        <v>1991</v>
      </c>
      <c r="G1607">
        <v>141</v>
      </c>
      <c r="H1607">
        <v>20889.100000000002</v>
      </c>
      <c r="I1607">
        <v>148.15</v>
      </c>
      <c r="J1607">
        <v>237</v>
      </c>
      <c r="K1607">
        <v>30916.649999999998</v>
      </c>
      <c r="L1607">
        <v>130.44999999999999</v>
      </c>
      <c r="M1607">
        <v>378</v>
      </c>
      <c r="N1607">
        <v>51805.75</v>
      </c>
      <c r="O1607">
        <v>137.05000000000001</v>
      </c>
    </row>
    <row r="1608" spans="1:15" x14ac:dyDescent="0.35">
      <c r="A1608" t="s">
        <v>1968</v>
      </c>
      <c r="B1608" t="s">
        <v>1969</v>
      </c>
      <c r="C1608" t="s">
        <v>1644</v>
      </c>
      <c r="D1608" t="s">
        <v>323</v>
      </c>
      <c r="E1608" t="s">
        <v>302</v>
      </c>
      <c r="F1608" t="s">
        <v>1992</v>
      </c>
      <c r="G1608">
        <v>6</v>
      </c>
      <c r="H1608">
        <v>985.29</v>
      </c>
      <c r="I1608">
        <v>164.22</v>
      </c>
      <c r="J1608">
        <v>46</v>
      </c>
      <c r="K1608">
        <v>6821.3399999999992</v>
      </c>
      <c r="L1608">
        <v>148.29</v>
      </c>
      <c r="M1608">
        <v>52</v>
      </c>
      <c r="N1608">
        <v>7806.6299999999992</v>
      </c>
      <c r="O1608">
        <v>150.13</v>
      </c>
    </row>
    <row r="1609" spans="1:15" x14ac:dyDescent="0.35">
      <c r="A1609" t="s">
        <v>1968</v>
      </c>
      <c r="B1609" t="s">
        <v>1969</v>
      </c>
      <c r="C1609" t="s">
        <v>1644</v>
      </c>
      <c r="D1609" t="s">
        <v>323</v>
      </c>
      <c r="E1609" t="s">
        <v>304</v>
      </c>
      <c r="F1609" t="s">
        <v>1993</v>
      </c>
      <c r="G1609">
        <v>2</v>
      </c>
      <c r="H1609">
        <v>347.09000000000003</v>
      </c>
      <c r="I1609">
        <v>173.55</v>
      </c>
      <c r="J1609">
        <v>4</v>
      </c>
      <c r="K1609">
        <v>647.91999999999996</v>
      </c>
      <c r="L1609">
        <v>161.97999999999999</v>
      </c>
      <c r="M1609">
        <v>6</v>
      </c>
      <c r="N1609">
        <v>995.01</v>
      </c>
      <c r="O1609">
        <v>165.84</v>
      </c>
    </row>
    <row r="1610" spans="1:15" x14ac:dyDescent="0.35">
      <c r="A1610" t="s">
        <v>1968</v>
      </c>
      <c r="B1610" t="s">
        <v>1969</v>
      </c>
      <c r="C1610" t="s">
        <v>1644</v>
      </c>
      <c r="D1610" t="s">
        <v>323</v>
      </c>
      <c r="E1610" t="s">
        <v>306</v>
      </c>
      <c r="F1610" t="s">
        <v>1994</v>
      </c>
      <c r="G1610">
        <v>107</v>
      </c>
      <c r="H1610">
        <v>8693.69</v>
      </c>
      <c r="I1610">
        <v>81.25</v>
      </c>
      <c r="J1610">
        <v>371</v>
      </c>
      <c r="K1610">
        <v>30080.68</v>
      </c>
      <c r="L1610">
        <v>81.08</v>
      </c>
      <c r="M1610">
        <v>478</v>
      </c>
      <c r="N1610">
        <v>38774.370000000003</v>
      </c>
      <c r="O1610">
        <v>81.12</v>
      </c>
    </row>
    <row r="1611" spans="1:15" x14ac:dyDescent="0.35">
      <c r="A1611" t="s">
        <v>1968</v>
      </c>
      <c r="B1611" t="s">
        <v>1969</v>
      </c>
      <c r="C1611" t="s">
        <v>1644</v>
      </c>
      <c r="D1611" t="s">
        <v>323</v>
      </c>
      <c r="E1611" t="s">
        <v>308</v>
      </c>
      <c r="F1611" t="s">
        <v>1995</v>
      </c>
      <c r="G1611">
        <v>0</v>
      </c>
      <c r="H1611">
        <v>0</v>
      </c>
      <c r="I1611">
        <v>0</v>
      </c>
      <c r="J1611">
        <v>0</v>
      </c>
      <c r="K1611">
        <v>0</v>
      </c>
      <c r="L1611">
        <v>0</v>
      </c>
      <c r="M1611">
        <v>0</v>
      </c>
      <c r="N1611">
        <v>0</v>
      </c>
      <c r="O1611">
        <v>0</v>
      </c>
    </row>
    <row r="1612" spans="1:15" x14ac:dyDescent="0.35">
      <c r="A1612" t="s">
        <v>1968</v>
      </c>
      <c r="B1612" t="s">
        <v>1969</v>
      </c>
      <c r="C1612" t="s">
        <v>1644</v>
      </c>
      <c r="D1612" t="s">
        <v>323</v>
      </c>
      <c r="E1612" t="s">
        <v>310</v>
      </c>
      <c r="F1612" t="s">
        <v>1996</v>
      </c>
      <c r="G1612">
        <v>3843</v>
      </c>
      <c r="H1612">
        <v>451987.31</v>
      </c>
      <c r="I1612">
        <v>117.61</v>
      </c>
      <c r="J1612">
        <v>10587</v>
      </c>
      <c r="K1612">
        <v>1113721.3099999998</v>
      </c>
      <c r="L1612">
        <v>105.2</v>
      </c>
      <c r="M1612">
        <v>14430</v>
      </c>
      <c r="N1612">
        <v>1565708.6199999999</v>
      </c>
      <c r="O1612">
        <v>108.5</v>
      </c>
    </row>
    <row r="1613" spans="1:15" x14ac:dyDescent="0.35">
      <c r="A1613" t="s">
        <v>1968</v>
      </c>
      <c r="B1613" t="s">
        <v>1969</v>
      </c>
      <c r="C1613" t="s">
        <v>1644</v>
      </c>
      <c r="D1613" t="s">
        <v>323</v>
      </c>
      <c r="E1613" t="s">
        <v>312</v>
      </c>
      <c r="F1613" t="s">
        <v>1997</v>
      </c>
      <c r="G1613">
        <v>3843</v>
      </c>
      <c r="H1613">
        <v>451987.31</v>
      </c>
      <c r="I1613">
        <v>117.61</v>
      </c>
      <c r="J1613">
        <v>10587</v>
      </c>
      <c r="K1613">
        <v>1113721.3099999998</v>
      </c>
      <c r="L1613">
        <v>105.2</v>
      </c>
      <c r="M1613">
        <v>14430</v>
      </c>
      <c r="N1613">
        <v>1565708.6199999999</v>
      </c>
      <c r="O1613">
        <v>108.5</v>
      </c>
    </row>
    <row r="1614" spans="1:15" x14ac:dyDescent="0.35">
      <c r="A1614" t="s">
        <v>1968</v>
      </c>
      <c r="B1614" t="s">
        <v>1969</v>
      </c>
      <c r="C1614" t="s">
        <v>1644</v>
      </c>
      <c r="D1614" t="s">
        <v>334</v>
      </c>
      <c r="E1614" t="s">
        <v>312</v>
      </c>
      <c r="F1614" t="s">
        <v>1998</v>
      </c>
      <c r="G1614">
        <v>4908</v>
      </c>
      <c r="H1614">
        <v>569618.96999999986</v>
      </c>
      <c r="I1614">
        <v>129.49</v>
      </c>
      <c r="J1614">
        <v>11797</v>
      </c>
      <c r="K1614">
        <v>1386922.8399999999</v>
      </c>
      <c r="L1614">
        <v>117.57</v>
      </c>
      <c r="M1614">
        <v>16705</v>
      </c>
      <c r="N1614">
        <v>1956541.8099999996</v>
      </c>
      <c r="O1614">
        <v>120.8</v>
      </c>
    </row>
    <row r="1615" spans="1:15" x14ac:dyDescent="0.35">
      <c r="A1615" t="s">
        <v>1968</v>
      </c>
      <c r="B1615" t="s">
        <v>1969</v>
      </c>
      <c r="C1615" t="s">
        <v>1644</v>
      </c>
      <c r="D1615" t="s">
        <v>334</v>
      </c>
      <c r="E1615" t="s">
        <v>308</v>
      </c>
      <c r="F1615" t="s">
        <v>1999</v>
      </c>
      <c r="G1615">
        <v>117</v>
      </c>
      <c r="H1615">
        <v>0</v>
      </c>
      <c r="I1615">
        <v>0</v>
      </c>
      <c r="J1615">
        <v>0</v>
      </c>
      <c r="K1615">
        <v>0</v>
      </c>
      <c r="L1615">
        <v>0</v>
      </c>
      <c r="M1615">
        <v>117</v>
      </c>
      <c r="N1615">
        <v>0</v>
      </c>
      <c r="O1615">
        <v>0</v>
      </c>
    </row>
    <row r="1616" spans="1:15" x14ac:dyDescent="0.35">
      <c r="A1616" t="s">
        <v>1968</v>
      </c>
      <c r="B1616" t="s">
        <v>1969</v>
      </c>
      <c r="C1616" t="s">
        <v>1644</v>
      </c>
      <c r="D1616" t="s">
        <v>337</v>
      </c>
      <c r="E1616" t="s">
        <v>337</v>
      </c>
      <c r="F1616" t="s">
        <v>2000</v>
      </c>
      <c r="G1616">
        <v>1350</v>
      </c>
      <c r="J1616">
        <v>0</v>
      </c>
      <c r="M1616">
        <v>1350</v>
      </c>
    </row>
    <row r="1617" spans="1:15" x14ac:dyDescent="0.35">
      <c r="A1617" t="s">
        <v>1968</v>
      </c>
      <c r="B1617" t="s">
        <v>1969</v>
      </c>
      <c r="C1617" t="s">
        <v>1644</v>
      </c>
      <c r="D1617" t="s">
        <v>339</v>
      </c>
      <c r="E1617" t="s">
        <v>294</v>
      </c>
      <c r="F1617" t="s">
        <v>2001</v>
      </c>
      <c r="G1617">
        <v>719</v>
      </c>
      <c r="H1617">
        <v>84422.26999999999</v>
      </c>
      <c r="I1617">
        <v>117.42</v>
      </c>
      <c r="J1617">
        <v>521</v>
      </c>
      <c r="K1617">
        <v>47869.479999999996</v>
      </c>
      <c r="L1617">
        <v>91.88</v>
      </c>
      <c r="M1617">
        <v>1240</v>
      </c>
      <c r="N1617">
        <v>132291.75</v>
      </c>
      <c r="O1617">
        <v>106.69</v>
      </c>
    </row>
    <row r="1618" spans="1:15" x14ac:dyDescent="0.35">
      <c r="A1618" t="s">
        <v>1968</v>
      </c>
      <c r="B1618" t="s">
        <v>1969</v>
      </c>
      <c r="C1618" t="s">
        <v>1644</v>
      </c>
      <c r="D1618" t="s">
        <v>339</v>
      </c>
      <c r="E1618" t="s">
        <v>296</v>
      </c>
      <c r="F1618" t="s">
        <v>2002</v>
      </c>
      <c r="G1618">
        <v>63</v>
      </c>
      <c r="H1618">
        <v>8347.91</v>
      </c>
      <c r="I1618">
        <v>132.51</v>
      </c>
      <c r="J1618">
        <v>91</v>
      </c>
      <c r="K1618">
        <v>9418.5</v>
      </c>
      <c r="L1618">
        <v>103.5</v>
      </c>
      <c r="M1618">
        <v>154</v>
      </c>
      <c r="N1618">
        <v>17766.41</v>
      </c>
      <c r="O1618">
        <v>115.37</v>
      </c>
    </row>
    <row r="1619" spans="1:15" x14ac:dyDescent="0.35">
      <c r="A1619" t="s">
        <v>1968</v>
      </c>
      <c r="B1619" t="s">
        <v>1969</v>
      </c>
      <c r="C1619" t="s">
        <v>1644</v>
      </c>
      <c r="D1619" t="s">
        <v>339</v>
      </c>
      <c r="E1619" t="s">
        <v>298</v>
      </c>
      <c r="F1619" t="s">
        <v>2003</v>
      </c>
      <c r="G1619">
        <v>6</v>
      </c>
      <c r="H1619">
        <v>769.12</v>
      </c>
      <c r="I1619">
        <v>128.19</v>
      </c>
      <c r="J1619">
        <v>1</v>
      </c>
      <c r="K1619">
        <v>116.08</v>
      </c>
      <c r="L1619">
        <v>116.08</v>
      </c>
      <c r="M1619">
        <v>7</v>
      </c>
      <c r="N1619">
        <v>885.2</v>
      </c>
      <c r="O1619">
        <v>126.46</v>
      </c>
    </row>
    <row r="1620" spans="1:15" x14ac:dyDescent="0.35">
      <c r="A1620" t="s">
        <v>1968</v>
      </c>
      <c r="B1620" t="s">
        <v>1969</v>
      </c>
      <c r="C1620" t="s">
        <v>1644</v>
      </c>
      <c r="D1620" t="s">
        <v>339</v>
      </c>
      <c r="E1620" t="s">
        <v>300</v>
      </c>
      <c r="F1620" t="s">
        <v>2004</v>
      </c>
      <c r="G1620">
        <v>0</v>
      </c>
      <c r="H1620">
        <v>0</v>
      </c>
      <c r="I1620">
        <v>0</v>
      </c>
      <c r="J1620">
        <v>0</v>
      </c>
      <c r="K1620">
        <v>0</v>
      </c>
      <c r="L1620">
        <v>0</v>
      </c>
      <c r="M1620">
        <v>0</v>
      </c>
      <c r="N1620">
        <v>0</v>
      </c>
      <c r="O1620">
        <v>0</v>
      </c>
    </row>
    <row r="1621" spans="1:15" x14ac:dyDescent="0.35">
      <c r="A1621" t="s">
        <v>1968</v>
      </c>
      <c r="B1621" t="s">
        <v>1969</v>
      </c>
      <c r="C1621" t="s">
        <v>1644</v>
      </c>
      <c r="D1621" t="s">
        <v>339</v>
      </c>
      <c r="E1621" t="s">
        <v>306</v>
      </c>
      <c r="F1621" t="s">
        <v>2005</v>
      </c>
      <c r="G1621">
        <v>114</v>
      </c>
      <c r="H1621">
        <v>9649.39</v>
      </c>
      <c r="I1621">
        <v>84.64</v>
      </c>
      <c r="J1621">
        <v>224</v>
      </c>
      <c r="K1621">
        <v>17819.2</v>
      </c>
      <c r="L1621">
        <v>79.55</v>
      </c>
      <c r="M1621">
        <v>338</v>
      </c>
      <c r="N1621">
        <v>27468.59</v>
      </c>
      <c r="O1621">
        <v>81.27</v>
      </c>
    </row>
    <row r="1622" spans="1:15" x14ac:dyDescent="0.35">
      <c r="A1622" t="s">
        <v>1968</v>
      </c>
      <c r="B1622" t="s">
        <v>1969</v>
      </c>
      <c r="C1622" t="s">
        <v>1644</v>
      </c>
      <c r="D1622" t="s">
        <v>339</v>
      </c>
      <c r="E1622" t="s">
        <v>308</v>
      </c>
      <c r="F1622" t="s">
        <v>2006</v>
      </c>
      <c r="G1622">
        <v>239</v>
      </c>
      <c r="H1622">
        <v>36076.500000000007</v>
      </c>
      <c r="I1622">
        <v>150.94999999999999</v>
      </c>
      <c r="J1622">
        <v>0</v>
      </c>
      <c r="K1622">
        <v>0</v>
      </c>
      <c r="L1622">
        <v>0</v>
      </c>
      <c r="M1622">
        <v>239</v>
      </c>
      <c r="N1622">
        <v>36076.500000000007</v>
      </c>
      <c r="O1622">
        <v>150.94999999999999</v>
      </c>
    </row>
    <row r="1623" spans="1:15" x14ac:dyDescent="0.35">
      <c r="A1623" t="s">
        <v>1968</v>
      </c>
      <c r="B1623" t="s">
        <v>1969</v>
      </c>
      <c r="C1623" t="s">
        <v>1644</v>
      </c>
      <c r="D1623" t="s">
        <v>339</v>
      </c>
      <c r="E1623" t="s">
        <v>310</v>
      </c>
      <c r="F1623" t="s">
        <v>2007</v>
      </c>
      <c r="G1623">
        <v>1141</v>
      </c>
      <c r="H1623">
        <v>139265.19</v>
      </c>
      <c r="I1623">
        <v>122.06</v>
      </c>
      <c r="J1623">
        <v>837</v>
      </c>
      <c r="K1623">
        <v>75223.259999999995</v>
      </c>
      <c r="L1623">
        <v>89.87</v>
      </c>
      <c r="M1623">
        <v>1978</v>
      </c>
      <c r="N1623">
        <v>214488.45</v>
      </c>
      <c r="O1623">
        <v>108.44</v>
      </c>
    </row>
    <row r="1624" spans="1:15" x14ac:dyDescent="0.35">
      <c r="A1624" t="s">
        <v>1968</v>
      </c>
      <c r="B1624" t="s">
        <v>1969</v>
      </c>
      <c r="C1624" t="s">
        <v>1644</v>
      </c>
      <c r="D1624" t="s">
        <v>339</v>
      </c>
      <c r="E1624" t="s">
        <v>312</v>
      </c>
      <c r="F1624" t="s">
        <v>2008</v>
      </c>
      <c r="G1624">
        <v>902</v>
      </c>
      <c r="H1624">
        <v>103188.68999999999</v>
      </c>
      <c r="I1624">
        <v>114.4</v>
      </c>
      <c r="J1624">
        <v>837</v>
      </c>
      <c r="K1624">
        <v>75223.259999999995</v>
      </c>
      <c r="L1624">
        <v>89.87</v>
      </c>
      <c r="M1624">
        <v>1739</v>
      </c>
      <c r="N1624">
        <v>178411.94999999998</v>
      </c>
      <c r="O1624">
        <v>102.59</v>
      </c>
    </row>
    <row r="1625" spans="1:15" x14ac:dyDescent="0.35">
      <c r="A1625" t="s">
        <v>1968</v>
      </c>
      <c r="B1625" t="s">
        <v>1969</v>
      </c>
      <c r="C1625" t="s">
        <v>1644</v>
      </c>
      <c r="D1625" t="s">
        <v>348</v>
      </c>
      <c r="E1625" t="s">
        <v>349</v>
      </c>
      <c r="F1625" t="s">
        <v>2009</v>
      </c>
      <c r="G1625">
        <v>1911</v>
      </c>
      <c r="H1625">
        <v>139265.19</v>
      </c>
      <c r="I1625">
        <v>122.06</v>
      </c>
      <c r="J1625">
        <v>883</v>
      </c>
      <c r="K1625">
        <v>85589.919999999984</v>
      </c>
      <c r="L1625">
        <v>96.93</v>
      </c>
      <c r="M1625">
        <v>2794</v>
      </c>
      <c r="N1625">
        <v>224855.11</v>
      </c>
      <c r="O1625">
        <v>111.09</v>
      </c>
    </row>
    <row r="1626" spans="1:15" x14ac:dyDescent="0.35">
      <c r="A1626" t="s">
        <v>2010</v>
      </c>
      <c r="B1626" t="s">
        <v>2011</v>
      </c>
      <c r="C1626" t="s">
        <v>1644</v>
      </c>
      <c r="D1626" t="s">
        <v>293</v>
      </c>
      <c r="E1626" t="s">
        <v>294</v>
      </c>
      <c r="F1626" t="s">
        <v>2012</v>
      </c>
      <c r="G1626">
        <v>266</v>
      </c>
      <c r="H1626">
        <v>36037.760000000002</v>
      </c>
      <c r="I1626">
        <v>135.47999999999999</v>
      </c>
      <c r="J1626">
        <v>219</v>
      </c>
      <c r="K1626">
        <v>30679.71</v>
      </c>
      <c r="L1626">
        <v>140.09</v>
      </c>
      <c r="M1626">
        <v>485</v>
      </c>
      <c r="N1626">
        <v>66717.47</v>
      </c>
      <c r="O1626">
        <v>137.56</v>
      </c>
    </row>
    <row r="1627" spans="1:15" x14ac:dyDescent="0.35">
      <c r="A1627" t="s">
        <v>2010</v>
      </c>
      <c r="B1627" t="s">
        <v>2011</v>
      </c>
      <c r="C1627" t="s">
        <v>1644</v>
      </c>
      <c r="D1627" t="s">
        <v>293</v>
      </c>
      <c r="E1627" t="s">
        <v>296</v>
      </c>
      <c r="F1627" t="s">
        <v>2013</v>
      </c>
      <c r="G1627">
        <v>344</v>
      </c>
      <c r="H1627">
        <v>57574.320000000007</v>
      </c>
      <c r="I1627">
        <v>167.37</v>
      </c>
      <c r="J1627">
        <v>363</v>
      </c>
      <c r="K1627">
        <v>62566.680000000008</v>
      </c>
      <c r="L1627">
        <v>172.36</v>
      </c>
      <c r="M1627">
        <v>707</v>
      </c>
      <c r="N1627">
        <v>120141.00000000001</v>
      </c>
      <c r="O1627">
        <v>169.93</v>
      </c>
    </row>
    <row r="1628" spans="1:15" x14ac:dyDescent="0.35">
      <c r="A1628" t="s">
        <v>2010</v>
      </c>
      <c r="B1628" t="s">
        <v>2011</v>
      </c>
      <c r="C1628" t="s">
        <v>1644</v>
      </c>
      <c r="D1628" t="s">
        <v>293</v>
      </c>
      <c r="E1628" t="s">
        <v>298</v>
      </c>
      <c r="F1628" t="s">
        <v>2014</v>
      </c>
      <c r="G1628">
        <v>125</v>
      </c>
      <c r="H1628">
        <v>23933.930000000004</v>
      </c>
      <c r="I1628">
        <v>191.47</v>
      </c>
      <c r="J1628">
        <v>293</v>
      </c>
      <c r="K1628">
        <v>62118.93</v>
      </c>
      <c r="L1628">
        <v>212.01</v>
      </c>
      <c r="M1628">
        <v>418</v>
      </c>
      <c r="N1628">
        <v>86052.86</v>
      </c>
      <c r="O1628">
        <v>205.87</v>
      </c>
    </row>
    <row r="1629" spans="1:15" x14ac:dyDescent="0.35">
      <c r="A1629" t="s">
        <v>2010</v>
      </c>
      <c r="B1629" t="s">
        <v>2011</v>
      </c>
      <c r="C1629" t="s">
        <v>1644</v>
      </c>
      <c r="D1629" t="s">
        <v>293</v>
      </c>
      <c r="E1629" t="s">
        <v>300</v>
      </c>
      <c r="F1629" t="s">
        <v>2015</v>
      </c>
      <c r="G1629">
        <v>18</v>
      </c>
      <c r="H1629">
        <v>4734.54</v>
      </c>
      <c r="I1629">
        <v>263.02999999999997</v>
      </c>
      <c r="J1629">
        <v>33</v>
      </c>
      <c r="K1629">
        <v>9534.36</v>
      </c>
      <c r="L1629">
        <v>288.92</v>
      </c>
      <c r="M1629">
        <v>51</v>
      </c>
      <c r="N1629">
        <v>14268.900000000001</v>
      </c>
      <c r="O1629">
        <v>279.77999999999997</v>
      </c>
    </row>
    <row r="1630" spans="1:15" x14ac:dyDescent="0.35">
      <c r="A1630" t="s">
        <v>2010</v>
      </c>
      <c r="B1630" t="s">
        <v>2011</v>
      </c>
      <c r="C1630" t="s">
        <v>1644</v>
      </c>
      <c r="D1630" t="s">
        <v>293</v>
      </c>
      <c r="E1630" t="s">
        <v>302</v>
      </c>
      <c r="F1630" t="s">
        <v>2016</v>
      </c>
      <c r="G1630">
        <v>0</v>
      </c>
      <c r="H1630">
        <v>0</v>
      </c>
      <c r="I1630">
        <v>0</v>
      </c>
      <c r="J1630">
        <v>3</v>
      </c>
      <c r="K1630">
        <v>891.03</v>
      </c>
      <c r="L1630">
        <v>297.01</v>
      </c>
      <c r="M1630">
        <v>3</v>
      </c>
      <c r="N1630">
        <v>891.03</v>
      </c>
      <c r="O1630">
        <v>297.01</v>
      </c>
    </row>
    <row r="1631" spans="1:15" x14ac:dyDescent="0.35">
      <c r="A1631" t="s">
        <v>2010</v>
      </c>
      <c r="B1631" t="s">
        <v>2011</v>
      </c>
      <c r="C1631" t="s">
        <v>1644</v>
      </c>
      <c r="D1631" t="s">
        <v>293</v>
      </c>
      <c r="E1631" t="s">
        <v>304</v>
      </c>
      <c r="F1631" t="s">
        <v>2017</v>
      </c>
      <c r="G1631">
        <v>0</v>
      </c>
      <c r="H1631">
        <v>0</v>
      </c>
      <c r="I1631">
        <v>0</v>
      </c>
      <c r="J1631">
        <v>3</v>
      </c>
      <c r="K1631">
        <v>891.18000000000006</v>
      </c>
      <c r="L1631">
        <v>297.06</v>
      </c>
      <c r="M1631">
        <v>3</v>
      </c>
      <c r="N1631">
        <v>891.18000000000006</v>
      </c>
      <c r="O1631">
        <v>297.06</v>
      </c>
    </row>
    <row r="1632" spans="1:15" x14ac:dyDescent="0.35">
      <c r="A1632" t="s">
        <v>2010</v>
      </c>
      <c r="B1632" t="s">
        <v>2011</v>
      </c>
      <c r="C1632" t="s">
        <v>1644</v>
      </c>
      <c r="D1632" t="s">
        <v>293</v>
      </c>
      <c r="E1632" t="s">
        <v>306</v>
      </c>
      <c r="F1632" t="s">
        <v>2018</v>
      </c>
      <c r="G1632">
        <v>1</v>
      </c>
      <c r="H1632">
        <v>132.88</v>
      </c>
      <c r="I1632">
        <v>132.88</v>
      </c>
      <c r="J1632">
        <v>6</v>
      </c>
      <c r="K1632">
        <v>870</v>
      </c>
      <c r="L1632">
        <v>145</v>
      </c>
      <c r="M1632">
        <v>7</v>
      </c>
      <c r="N1632">
        <v>1002.88</v>
      </c>
      <c r="O1632">
        <v>143.27000000000001</v>
      </c>
    </row>
    <row r="1633" spans="1:15" x14ac:dyDescent="0.35">
      <c r="A1633" t="s">
        <v>2010</v>
      </c>
      <c r="B1633" t="s">
        <v>2011</v>
      </c>
      <c r="C1633" t="s">
        <v>1644</v>
      </c>
      <c r="D1633" t="s">
        <v>293</v>
      </c>
      <c r="E1633" t="s">
        <v>308</v>
      </c>
      <c r="F1633" t="s">
        <v>2019</v>
      </c>
      <c r="G1633">
        <v>0</v>
      </c>
      <c r="H1633">
        <v>0</v>
      </c>
      <c r="I1633">
        <v>0</v>
      </c>
      <c r="J1633">
        <v>0</v>
      </c>
      <c r="K1633">
        <v>0</v>
      </c>
      <c r="L1633">
        <v>0</v>
      </c>
      <c r="M1633">
        <v>0</v>
      </c>
      <c r="N1633">
        <v>0</v>
      </c>
      <c r="O1633">
        <v>0</v>
      </c>
    </row>
    <row r="1634" spans="1:15" x14ac:dyDescent="0.35">
      <c r="A1634" t="s">
        <v>2010</v>
      </c>
      <c r="B1634" t="s">
        <v>2011</v>
      </c>
      <c r="C1634" t="s">
        <v>1644</v>
      </c>
      <c r="D1634" t="s">
        <v>293</v>
      </c>
      <c r="E1634" t="s">
        <v>310</v>
      </c>
      <c r="F1634" t="s">
        <v>2020</v>
      </c>
      <c r="G1634">
        <v>754</v>
      </c>
      <c r="H1634">
        <v>122413.43000000002</v>
      </c>
      <c r="I1634">
        <v>162.35</v>
      </c>
      <c r="J1634">
        <v>920</v>
      </c>
      <c r="K1634">
        <v>167551.88999999998</v>
      </c>
      <c r="L1634">
        <v>182.12</v>
      </c>
      <c r="M1634">
        <v>1674</v>
      </c>
      <c r="N1634">
        <v>289965.32</v>
      </c>
      <c r="O1634">
        <v>173.22</v>
      </c>
    </row>
    <row r="1635" spans="1:15" x14ac:dyDescent="0.35">
      <c r="A1635" t="s">
        <v>2010</v>
      </c>
      <c r="B1635" t="s">
        <v>2011</v>
      </c>
      <c r="C1635" t="s">
        <v>1644</v>
      </c>
      <c r="D1635" t="s">
        <v>293</v>
      </c>
      <c r="E1635" t="s">
        <v>312</v>
      </c>
      <c r="F1635" t="s">
        <v>2021</v>
      </c>
      <c r="G1635">
        <v>754</v>
      </c>
      <c r="H1635">
        <v>122413.43000000002</v>
      </c>
      <c r="I1635">
        <v>162.35</v>
      </c>
      <c r="J1635">
        <v>920</v>
      </c>
      <c r="K1635">
        <v>167551.88999999998</v>
      </c>
      <c r="L1635">
        <v>182.12</v>
      </c>
      <c r="M1635">
        <v>1674</v>
      </c>
      <c r="N1635">
        <v>289965.32</v>
      </c>
      <c r="O1635">
        <v>173.22</v>
      </c>
    </row>
    <row r="1636" spans="1:15" x14ac:dyDescent="0.35">
      <c r="A1636" t="s">
        <v>2010</v>
      </c>
      <c r="B1636" t="s">
        <v>2011</v>
      </c>
      <c r="C1636" t="s">
        <v>1644</v>
      </c>
      <c r="D1636" t="s">
        <v>314</v>
      </c>
      <c r="E1636" t="s">
        <v>294</v>
      </c>
      <c r="F1636" t="s">
        <v>2022</v>
      </c>
      <c r="G1636">
        <v>7</v>
      </c>
      <c r="H1636">
        <v>931.28</v>
      </c>
      <c r="I1636">
        <v>133.04</v>
      </c>
      <c r="J1636">
        <v>37</v>
      </c>
      <c r="K1636">
        <v>5912.23</v>
      </c>
      <c r="L1636">
        <v>159.79</v>
      </c>
      <c r="M1636">
        <v>44</v>
      </c>
      <c r="N1636">
        <v>6843.5099999999993</v>
      </c>
      <c r="O1636">
        <v>155.53</v>
      </c>
    </row>
    <row r="1637" spans="1:15" x14ac:dyDescent="0.35">
      <c r="A1637" t="s">
        <v>2010</v>
      </c>
      <c r="B1637" t="s">
        <v>2011</v>
      </c>
      <c r="C1637" t="s">
        <v>1644</v>
      </c>
      <c r="D1637" t="s">
        <v>314</v>
      </c>
      <c r="E1637" t="s">
        <v>296</v>
      </c>
      <c r="F1637" t="s">
        <v>2023</v>
      </c>
      <c r="G1637">
        <v>1</v>
      </c>
      <c r="H1637">
        <v>143.22</v>
      </c>
      <c r="I1637">
        <v>143.22</v>
      </c>
      <c r="J1637">
        <v>31</v>
      </c>
      <c r="K1637">
        <v>5762.28</v>
      </c>
      <c r="L1637">
        <v>185.88</v>
      </c>
      <c r="M1637">
        <v>32</v>
      </c>
      <c r="N1637">
        <v>5905.5</v>
      </c>
      <c r="O1637">
        <v>184.55</v>
      </c>
    </row>
    <row r="1638" spans="1:15" x14ac:dyDescent="0.35">
      <c r="A1638" t="s">
        <v>2010</v>
      </c>
      <c r="B1638" t="s">
        <v>2011</v>
      </c>
      <c r="C1638" t="s">
        <v>1644</v>
      </c>
      <c r="D1638" t="s">
        <v>314</v>
      </c>
      <c r="E1638" t="s">
        <v>298</v>
      </c>
      <c r="F1638" t="s">
        <v>2024</v>
      </c>
      <c r="G1638">
        <v>0</v>
      </c>
      <c r="H1638">
        <v>0</v>
      </c>
      <c r="I1638">
        <v>0</v>
      </c>
      <c r="J1638">
        <v>3</v>
      </c>
      <c r="K1638">
        <v>690.42</v>
      </c>
      <c r="L1638">
        <v>230.14</v>
      </c>
      <c r="M1638">
        <v>3</v>
      </c>
      <c r="N1638">
        <v>690.42</v>
      </c>
      <c r="O1638">
        <v>230.14</v>
      </c>
    </row>
    <row r="1639" spans="1:15" x14ac:dyDescent="0.35">
      <c r="A1639" t="s">
        <v>2010</v>
      </c>
      <c r="B1639" t="s">
        <v>2011</v>
      </c>
      <c r="C1639" t="s">
        <v>1644</v>
      </c>
      <c r="D1639" t="s">
        <v>314</v>
      </c>
      <c r="E1639" t="s">
        <v>300</v>
      </c>
      <c r="F1639" t="s">
        <v>2025</v>
      </c>
      <c r="G1639">
        <v>0</v>
      </c>
      <c r="H1639">
        <v>0</v>
      </c>
      <c r="I1639">
        <v>0</v>
      </c>
      <c r="J1639">
        <v>1</v>
      </c>
      <c r="K1639">
        <v>291.89999999999998</v>
      </c>
      <c r="L1639">
        <v>291.89999999999998</v>
      </c>
      <c r="M1639">
        <v>1</v>
      </c>
      <c r="N1639">
        <v>291.89999999999998</v>
      </c>
      <c r="O1639">
        <v>291.89999999999998</v>
      </c>
    </row>
    <row r="1640" spans="1:15" x14ac:dyDescent="0.35">
      <c r="A1640" t="s">
        <v>2010</v>
      </c>
      <c r="B1640" t="s">
        <v>2011</v>
      </c>
      <c r="C1640" t="s">
        <v>1644</v>
      </c>
      <c r="D1640" t="s">
        <v>314</v>
      </c>
      <c r="E1640" t="s">
        <v>306</v>
      </c>
      <c r="F1640" t="s">
        <v>2026</v>
      </c>
      <c r="G1640">
        <v>75</v>
      </c>
      <c r="H1640">
        <v>18477.75</v>
      </c>
      <c r="I1640">
        <v>246.37</v>
      </c>
      <c r="J1640">
        <v>1</v>
      </c>
      <c r="K1640">
        <v>138.49</v>
      </c>
      <c r="L1640">
        <v>138.49</v>
      </c>
      <c r="M1640">
        <v>76</v>
      </c>
      <c r="N1640">
        <v>18616.240000000002</v>
      </c>
      <c r="O1640">
        <v>244.95</v>
      </c>
    </row>
    <row r="1641" spans="1:15" x14ac:dyDescent="0.35">
      <c r="A1641" t="s">
        <v>2010</v>
      </c>
      <c r="B1641" t="s">
        <v>2011</v>
      </c>
      <c r="C1641" t="s">
        <v>1644</v>
      </c>
      <c r="D1641" t="s">
        <v>314</v>
      </c>
      <c r="E1641" t="s">
        <v>308</v>
      </c>
      <c r="F1641" t="s">
        <v>2027</v>
      </c>
      <c r="G1641">
        <v>0</v>
      </c>
      <c r="H1641">
        <v>0</v>
      </c>
      <c r="I1641">
        <v>0</v>
      </c>
      <c r="J1641">
        <v>190</v>
      </c>
      <c r="K1641">
        <v>24692.400000000001</v>
      </c>
      <c r="L1641">
        <v>129.96</v>
      </c>
      <c r="M1641">
        <v>190</v>
      </c>
      <c r="N1641">
        <v>24692.400000000001</v>
      </c>
      <c r="O1641">
        <v>129.96</v>
      </c>
    </row>
    <row r="1642" spans="1:15" x14ac:dyDescent="0.35">
      <c r="A1642" t="s">
        <v>2010</v>
      </c>
      <c r="B1642" t="s">
        <v>2011</v>
      </c>
      <c r="C1642" t="s">
        <v>1644</v>
      </c>
      <c r="D1642" t="s">
        <v>314</v>
      </c>
      <c r="E1642" t="s">
        <v>312</v>
      </c>
      <c r="F1642" t="s">
        <v>2028</v>
      </c>
      <c r="G1642">
        <v>83</v>
      </c>
      <c r="H1642">
        <v>19552.25</v>
      </c>
      <c r="I1642">
        <v>235.57</v>
      </c>
      <c r="J1642">
        <v>73</v>
      </c>
      <c r="K1642">
        <v>12795.32</v>
      </c>
      <c r="L1642">
        <v>175.28</v>
      </c>
      <c r="M1642">
        <v>156</v>
      </c>
      <c r="N1642">
        <v>32347.57</v>
      </c>
      <c r="O1642">
        <v>207.36</v>
      </c>
    </row>
    <row r="1643" spans="1:15" x14ac:dyDescent="0.35">
      <c r="A1643" t="s">
        <v>2010</v>
      </c>
      <c r="B1643" t="s">
        <v>2011</v>
      </c>
      <c r="C1643" t="s">
        <v>1644</v>
      </c>
      <c r="D1643" t="s">
        <v>314</v>
      </c>
      <c r="E1643" t="s">
        <v>310</v>
      </c>
      <c r="F1643" t="s">
        <v>2029</v>
      </c>
      <c r="G1643">
        <v>83</v>
      </c>
      <c r="H1643">
        <v>19552.25</v>
      </c>
      <c r="I1643">
        <v>235.57</v>
      </c>
      <c r="J1643">
        <v>263</v>
      </c>
      <c r="K1643">
        <v>37487.72</v>
      </c>
      <c r="L1643">
        <v>142.54</v>
      </c>
      <c r="M1643">
        <v>346</v>
      </c>
      <c r="N1643">
        <v>57039.97</v>
      </c>
      <c r="O1643">
        <v>164.86</v>
      </c>
    </row>
    <row r="1644" spans="1:15" x14ac:dyDescent="0.35">
      <c r="A1644" t="s">
        <v>2010</v>
      </c>
      <c r="B1644" t="s">
        <v>2011</v>
      </c>
      <c r="C1644" t="s">
        <v>1644</v>
      </c>
      <c r="D1644" t="s">
        <v>323</v>
      </c>
      <c r="E1644" t="s">
        <v>294</v>
      </c>
      <c r="F1644" t="s">
        <v>2030</v>
      </c>
      <c r="G1644">
        <v>954</v>
      </c>
      <c r="H1644">
        <v>99256.840000000011</v>
      </c>
      <c r="I1644">
        <v>104.04</v>
      </c>
      <c r="J1644">
        <v>3124</v>
      </c>
      <c r="K1644">
        <v>289688.52</v>
      </c>
      <c r="L1644">
        <v>92.73</v>
      </c>
      <c r="M1644">
        <v>4078</v>
      </c>
      <c r="N1644">
        <v>388945.36000000004</v>
      </c>
      <c r="O1644">
        <v>95.38</v>
      </c>
    </row>
    <row r="1645" spans="1:15" x14ac:dyDescent="0.35">
      <c r="A1645" t="s">
        <v>2010</v>
      </c>
      <c r="B1645" t="s">
        <v>2011</v>
      </c>
      <c r="C1645" t="s">
        <v>1644</v>
      </c>
      <c r="D1645" t="s">
        <v>323</v>
      </c>
      <c r="E1645" t="s">
        <v>296</v>
      </c>
      <c r="F1645" t="s">
        <v>2031</v>
      </c>
      <c r="G1645">
        <v>1537</v>
      </c>
      <c r="H1645">
        <v>187423.37000000002</v>
      </c>
      <c r="I1645">
        <v>121.94</v>
      </c>
      <c r="J1645">
        <v>4791</v>
      </c>
      <c r="K1645">
        <v>499413.83999999997</v>
      </c>
      <c r="L1645">
        <v>104.24</v>
      </c>
      <c r="M1645">
        <v>6328</v>
      </c>
      <c r="N1645">
        <v>686837.21</v>
      </c>
      <c r="O1645">
        <v>108.54</v>
      </c>
    </row>
    <row r="1646" spans="1:15" x14ac:dyDescent="0.35">
      <c r="A1646" t="s">
        <v>2010</v>
      </c>
      <c r="B1646" t="s">
        <v>2011</v>
      </c>
      <c r="C1646" t="s">
        <v>1644</v>
      </c>
      <c r="D1646" t="s">
        <v>323</v>
      </c>
      <c r="E1646" t="s">
        <v>298</v>
      </c>
      <c r="F1646" t="s">
        <v>2032</v>
      </c>
      <c r="G1646">
        <v>892</v>
      </c>
      <c r="H1646">
        <v>124412.08000000002</v>
      </c>
      <c r="I1646">
        <v>139.47999999999999</v>
      </c>
      <c r="J1646">
        <v>4320</v>
      </c>
      <c r="K1646">
        <v>503928</v>
      </c>
      <c r="L1646">
        <v>116.65</v>
      </c>
      <c r="M1646">
        <v>5212</v>
      </c>
      <c r="N1646">
        <v>628340.08000000007</v>
      </c>
      <c r="O1646">
        <v>120.56</v>
      </c>
    </row>
    <row r="1647" spans="1:15" x14ac:dyDescent="0.35">
      <c r="A1647" t="s">
        <v>2010</v>
      </c>
      <c r="B1647" t="s">
        <v>2011</v>
      </c>
      <c r="C1647" t="s">
        <v>1644</v>
      </c>
      <c r="D1647" t="s">
        <v>323</v>
      </c>
      <c r="E1647" t="s">
        <v>300</v>
      </c>
      <c r="F1647" t="s">
        <v>2033</v>
      </c>
      <c r="G1647">
        <v>161</v>
      </c>
      <c r="H1647">
        <v>25264.799999999996</v>
      </c>
      <c r="I1647">
        <v>156.91999999999999</v>
      </c>
      <c r="J1647">
        <v>358</v>
      </c>
      <c r="K1647">
        <v>46514.94</v>
      </c>
      <c r="L1647">
        <v>129.93</v>
      </c>
      <c r="M1647">
        <v>519</v>
      </c>
      <c r="N1647">
        <v>71779.739999999991</v>
      </c>
      <c r="O1647">
        <v>138.30000000000001</v>
      </c>
    </row>
    <row r="1648" spans="1:15" x14ac:dyDescent="0.35">
      <c r="A1648" t="s">
        <v>2010</v>
      </c>
      <c r="B1648" t="s">
        <v>2011</v>
      </c>
      <c r="C1648" t="s">
        <v>1644</v>
      </c>
      <c r="D1648" t="s">
        <v>323</v>
      </c>
      <c r="E1648" t="s">
        <v>302</v>
      </c>
      <c r="F1648" t="s">
        <v>2034</v>
      </c>
      <c r="G1648">
        <v>4</v>
      </c>
      <c r="H1648">
        <v>703.99000000000012</v>
      </c>
      <c r="I1648">
        <v>176</v>
      </c>
      <c r="J1648">
        <v>31</v>
      </c>
      <c r="K1648">
        <v>4256.6099999999997</v>
      </c>
      <c r="L1648">
        <v>137.31</v>
      </c>
      <c r="M1648">
        <v>35</v>
      </c>
      <c r="N1648">
        <v>4960.5999999999995</v>
      </c>
      <c r="O1648">
        <v>141.72999999999999</v>
      </c>
    </row>
    <row r="1649" spans="1:15" x14ac:dyDescent="0.35">
      <c r="A1649" t="s">
        <v>2010</v>
      </c>
      <c r="B1649" t="s">
        <v>2011</v>
      </c>
      <c r="C1649" t="s">
        <v>1644</v>
      </c>
      <c r="D1649" t="s">
        <v>323</v>
      </c>
      <c r="E1649" t="s">
        <v>304</v>
      </c>
      <c r="F1649" t="s">
        <v>2035</v>
      </c>
      <c r="G1649">
        <v>4</v>
      </c>
      <c r="H1649">
        <v>838.36</v>
      </c>
      <c r="I1649">
        <v>209.59</v>
      </c>
      <c r="J1649">
        <v>3</v>
      </c>
      <c r="K1649">
        <v>514.59</v>
      </c>
      <c r="L1649">
        <v>171.53</v>
      </c>
      <c r="M1649">
        <v>7</v>
      </c>
      <c r="N1649">
        <v>1352.95</v>
      </c>
      <c r="O1649">
        <v>193.28</v>
      </c>
    </row>
    <row r="1650" spans="1:15" x14ac:dyDescent="0.35">
      <c r="A1650" t="s">
        <v>2010</v>
      </c>
      <c r="B1650" t="s">
        <v>2011</v>
      </c>
      <c r="C1650" t="s">
        <v>1644</v>
      </c>
      <c r="D1650" t="s">
        <v>323</v>
      </c>
      <c r="E1650" t="s">
        <v>306</v>
      </c>
      <c r="F1650" t="s">
        <v>2036</v>
      </c>
      <c r="G1650">
        <v>101</v>
      </c>
      <c r="H1650">
        <v>8246.43</v>
      </c>
      <c r="I1650">
        <v>81.650000000000006</v>
      </c>
      <c r="J1650">
        <v>261</v>
      </c>
      <c r="K1650">
        <v>21190.59</v>
      </c>
      <c r="L1650">
        <v>81.19</v>
      </c>
      <c r="M1650">
        <v>362</v>
      </c>
      <c r="N1650">
        <v>29437.02</v>
      </c>
      <c r="O1650">
        <v>81.319999999999993</v>
      </c>
    </row>
    <row r="1651" spans="1:15" x14ac:dyDescent="0.35">
      <c r="A1651" t="s">
        <v>2010</v>
      </c>
      <c r="B1651" t="s">
        <v>2011</v>
      </c>
      <c r="C1651" t="s">
        <v>1644</v>
      </c>
      <c r="D1651" t="s">
        <v>323</v>
      </c>
      <c r="E1651" t="s">
        <v>308</v>
      </c>
      <c r="F1651" t="s">
        <v>2037</v>
      </c>
      <c r="G1651">
        <v>0</v>
      </c>
      <c r="H1651">
        <v>0</v>
      </c>
      <c r="I1651">
        <v>0</v>
      </c>
      <c r="J1651">
        <v>0</v>
      </c>
      <c r="K1651">
        <v>0</v>
      </c>
      <c r="L1651">
        <v>0</v>
      </c>
      <c r="M1651">
        <v>0</v>
      </c>
      <c r="N1651">
        <v>0</v>
      </c>
      <c r="O1651">
        <v>0</v>
      </c>
    </row>
    <row r="1652" spans="1:15" x14ac:dyDescent="0.35">
      <c r="A1652" t="s">
        <v>2010</v>
      </c>
      <c r="B1652" t="s">
        <v>2011</v>
      </c>
      <c r="C1652" t="s">
        <v>1644</v>
      </c>
      <c r="D1652" t="s">
        <v>323</v>
      </c>
      <c r="E1652" t="s">
        <v>310</v>
      </c>
      <c r="F1652" t="s">
        <v>2038</v>
      </c>
      <c r="G1652">
        <v>3653</v>
      </c>
      <c r="H1652">
        <v>446145.87</v>
      </c>
      <c r="I1652">
        <v>122.13</v>
      </c>
      <c r="J1652">
        <v>12888</v>
      </c>
      <c r="K1652">
        <v>1365507.09</v>
      </c>
      <c r="L1652">
        <v>105.95</v>
      </c>
      <c r="M1652">
        <v>16541</v>
      </c>
      <c r="N1652">
        <v>1811652.96</v>
      </c>
      <c r="O1652">
        <v>109.52</v>
      </c>
    </row>
    <row r="1653" spans="1:15" x14ac:dyDescent="0.35">
      <c r="A1653" t="s">
        <v>2010</v>
      </c>
      <c r="B1653" t="s">
        <v>2011</v>
      </c>
      <c r="C1653" t="s">
        <v>1644</v>
      </c>
      <c r="D1653" t="s">
        <v>323</v>
      </c>
      <c r="E1653" t="s">
        <v>312</v>
      </c>
      <c r="F1653" t="s">
        <v>2039</v>
      </c>
      <c r="G1653">
        <v>3653</v>
      </c>
      <c r="H1653">
        <v>446145.87</v>
      </c>
      <c r="I1653">
        <v>122.13</v>
      </c>
      <c r="J1653">
        <v>12888</v>
      </c>
      <c r="K1653">
        <v>1365507.09</v>
      </c>
      <c r="L1653">
        <v>105.95</v>
      </c>
      <c r="M1653">
        <v>16541</v>
      </c>
      <c r="N1653">
        <v>1811652.96</v>
      </c>
      <c r="O1653">
        <v>109.52</v>
      </c>
    </row>
    <row r="1654" spans="1:15" x14ac:dyDescent="0.35">
      <c r="A1654" t="s">
        <v>2010</v>
      </c>
      <c r="B1654" t="s">
        <v>2011</v>
      </c>
      <c r="C1654" t="s">
        <v>1644</v>
      </c>
      <c r="D1654" t="s">
        <v>334</v>
      </c>
      <c r="E1654" t="s">
        <v>312</v>
      </c>
      <c r="F1654" t="s">
        <v>2040</v>
      </c>
      <c r="G1654">
        <v>4673</v>
      </c>
      <c r="H1654">
        <v>568559.30000000005</v>
      </c>
      <c r="I1654">
        <v>129.01</v>
      </c>
      <c r="J1654">
        <v>13808</v>
      </c>
      <c r="K1654">
        <v>1533058.9800000002</v>
      </c>
      <c r="L1654">
        <v>111.03</v>
      </c>
      <c r="M1654">
        <v>18481</v>
      </c>
      <c r="N1654">
        <v>2101618.2800000003</v>
      </c>
      <c r="O1654">
        <v>115.38</v>
      </c>
    </row>
    <row r="1655" spans="1:15" x14ac:dyDescent="0.35">
      <c r="A1655" t="s">
        <v>2010</v>
      </c>
      <c r="B1655" t="s">
        <v>2011</v>
      </c>
      <c r="C1655" t="s">
        <v>1644</v>
      </c>
      <c r="D1655" t="s">
        <v>334</v>
      </c>
      <c r="E1655" t="s">
        <v>308</v>
      </c>
      <c r="F1655" t="s">
        <v>2041</v>
      </c>
      <c r="G1655">
        <v>7</v>
      </c>
      <c r="H1655">
        <v>0</v>
      </c>
      <c r="I1655">
        <v>0</v>
      </c>
      <c r="J1655">
        <v>0</v>
      </c>
      <c r="K1655">
        <v>0</v>
      </c>
      <c r="L1655">
        <v>0</v>
      </c>
      <c r="M1655">
        <v>7</v>
      </c>
      <c r="N1655">
        <v>0</v>
      </c>
      <c r="O1655">
        <v>0</v>
      </c>
    </row>
    <row r="1656" spans="1:15" x14ac:dyDescent="0.35">
      <c r="A1656" t="s">
        <v>2010</v>
      </c>
      <c r="B1656" t="s">
        <v>2011</v>
      </c>
      <c r="C1656" t="s">
        <v>1644</v>
      </c>
      <c r="D1656" t="s">
        <v>337</v>
      </c>
      <c r="E1656" t="s">
        <v>337</v>
      </c>
      <c r="F1656" t="s">
        <v>2042</v>
      </c>
      <c r="G1656">
        <v>665</v>
      </c>
      <c r="J1656">
        <v>87</v>
      </c>
      <c r="M1656">
        <v>752</v>
      </c>
    </row>
    <row r="1657" spans="1:15" x14ac:dyDescent="0.35">
      <c r="A1657" t="s">
        <v>2010</v>
      </c>
      <c r="B1657" t="s">
        <v>2011</v>
      </c>
      <c r="C1657" t="s">
        <v>1644</v>
      </c>
      <c r="D1657" t="s">
        <v>339</v>
      </c>
      <c r="E1657" t="s">
        <v>294</v>
      </c>
      <c r="F1657" t="s">
        <v>2043</v>
      </c>
      <c r="G1657">
        <v>417</v>
      </c>
      <c r="H1657">
        <v>55486.759999999987</v>
      </c>
      <c r="I1657">
        <v>133.06</v>
      </c>
      <c r="J1657">
        <v>1112</v>
      </c>
      <c r="K1657">
        <v>105284.16</v>
      </c>
      <c r="L1657">
        <v>94.68</v>
      </c>
      <c r="M1657">
        <v>1529</v>
      </c>
      <c r="N1657">
        <v>160770.91999999998</v>
      </c>
      <c r="O1657">
        <v>105.15</v>
      </c>
    </row>
    <row r="1658" spans="1:15" x14ac:dyDescent="0.35">
      <c r="A1658" t="s">
        <v>2010</v>
      </c>
      <c r="B1658" t="s">
        <v>2011</v>
      </c>
      <c r="C1658" t="s">
        <v>1644</v>
      </c>
      <c r="D1658" t="s">
        <v>339</v>
      </c>
      <c r="E1658" t="s">
        <v>296</v>
      </c>
      <c r="F1658" t="s">
        <v>2044</v>
      </c>
      <c r="G1658">
        <v>84</v>
      </c>
      <c r="H1658">
        <v>13100.850000000002</v>
      </c>
      <c r="I1658">
        <v>155.96</v>
      </c>
      <c r="J1658">
        <v>206</v>
      </c>
      <c r="K1658">
        <v>22165.599999999999</v>
      </c>
      <c r="L1658">
        <v>107.6</v>
      </c>
      <c r="M1658">
        <v>290</v>
      </c>
      <c r="N1658">
        <v>35266.449999999997</v>
      </c>
      <c r="O1658">
        <v>121.61</v>
      </c>
    </row>
    <row r="1659" spans="1:15" x14ac:dyDescent="0.35">
      <c r="A1659" t="s">
        <v>2010</v>
      </c>
      <c r="B1659" t="s">
        <v>2011</v>
      </c>
      <c r="C1659" t="s">
        <v>1644</v>
      </c>
      <c r="D1659" t="s">
        <v>339</v>
      </c>
      <c r="E1659" t="s">
        <v>298</v>
      </c>
      <c r="F1659" t="s">
        <v>2045</v>
      </c>
      <c r="G1659">
        <v>3</v>
      </c>
      <c r="H1659">
        <v>422.52</v>
      </c>
      <c r="I1659">
        <v>140.84</v>
      </c>
      <c r="J1659">
        <v>40</v>
      </c>
      <c r="K1659">
        <v>6443.2000000000007</v>
      </c>
      <c r="L1659">
        <v>161.08000000000001</v>
      </c>
      <c r="M1659">
        <v>43</v>
      </c>
      <c r="N1659">
        <v>6865.7200000000012</v>
      </c>
      <c r="O1659">
        <v>159.66999999999999</v>
      </c>
    </row>
    <row r="1660" spans="1:15" x14ac:dyDescent="0.35">
      <c r="A1660" t="s">
        <v>2010</v>
      </c>
      <c r="B1660" t="s">
        <v>2011</v>
      </c>
      <c r="C1660" t="s">
        <v>1644</v>
      </c>
      <c r="D1660" t="s">
        <v>339</v>
      </c>
      <c r="E1660" t="s">
        <v>300</v>
      </c>
      <c r="F1660" t="s">
        <v>2046</v>
      </c>
      <c r="G1660">
        <v>2</v>
      </c>
      <c r="H1660">
        <v>318.02</v>
      </c>
      <c r="I1660">
        <v>159.01</v>
      </c>
      <c r="J1660">
        <v>0</v>
      </c>
      <c r="K1660">
        <v>0</v>
      </c>
      <c r="L1660">
        <v>0</v>
      </c>
      <c r="M1660">
        <v>2</v>
      </c>
      <c r="N1660">
        <v>318.02</v>
      </c>
      <c r="O1660">
        <v>159.01</v>
      </c>
    </row>
    <row r="1661" spans="1:15" x14ac:dyDescent="0.35">
      <c r="A1661" t="s">
        <v>2010</v>
      </c>
      <c r="B1661" t="s">
        <v>2011</v>
      </c>
      <c r="C1661" t="s">
        <v>1644</v>
      </c>
      <c r="D1661" t="s">
        <v>339</v>
      </c>
      <c r="E1661" t="s">
        <v>306</v>
      </c>
      <c r="F1661" t="s">
        <v>2047</v>
      </c>
      <c r="G1661">
        <v>158</v>
      </c>
      <c r="H1661">
        <v>13518.830000000002</v>
      </c>
      <c r="I1661">
        <v>85.56</v>
      </c>
      <c r="J1661">
        <v>135</v>
      </c>
      <c r="K1661">
        <v>11340</v>
      </c>
      <c r="L1661">
        <v>84</v>
      </c>
      <c r="M1661">
        <v>293</v>
      </c>
      <c r="N1661">
        <v>24858.83</v>
      </c>
      <c r="O1661">
        <v>84.84</v>
      </c>
    </row>
    <row r="1662" spans="1:15" x14ac:dyDescent="0.35">
      <c r="A1662" t="s">
        <v>2010</v>
      </c>
      <c r="B1662" t="s">
        <v>2011</v>
      </c>
      <c r="C1662" t="s">
        <v>1644</v>
      </c>
      <c r="D1662" t="s">
        <v>339</v>
      </c>
      <c r="E1662" t="s">
        <v>308</v>
      </c>
      <c r="F1662" t="s">
        <v>2048</v>
      </c>
      <c r="G1662">
        <v>29</v>
      </c>
      <c r="H1662">
        <v>2251.5100000000002</v>
      </c>
      <c r="I1662">
        <v>77.64</v>
      </c>
      <c r="J1662">
        <v>65</v>
      </c>
      <c r="K1662">
        <v>6800.95</v>
      </c>
      <c r="L1662">
        <v>104.63</v>
      </c>
      <c r="M1662">
        <v>94</v>
      </c>
      <c r="N1662">
        <v>9052.4599999999991</v>
      </c>
      <c r="O1662">
        <v>96.3</v>
      </c>
    </row>
    <row r="1663" spans="1:15" x14ac:dyDescent="0.35">
      <c r="A1663" t="s">
        <v>2010</v>
      </c>
      <c r="B1663" t="s">
        <v>2011</v>
      </c>
      <c r="C1663" t="s">
        <v>1644</v>
      </c>
      <c r="D1663" t="s">
        <v>339</v>
      </c>
      <c r="E1663" t="s">
        <v>310</v>
      </c>
      <c r="F1663" t="s">
        <v>2049</v>
      </c>
      <c r="G1663">
        <v>693</v>
      </c>
      <c r="H1663">
        <v>85098.489999999991</v>
      </c>
      <c r="I1663">
        <v>122.8</v>
      </c>
      <c r="J1663">
        <v>1558</v>
      </c>
      <c r="K1663">
        <v>152033.91000000003</v>
      </c>
      <c r="L1663">
        <v>97.58</v>
      </c>
      <c r="M1663">
        <v>2251</v>
      </c>
      <c r="N1663">
        <v>237132.40000000002</v>
      </c>
      <c r="O1663">
        <v>105.35</v>
      </c>
    </row>
    <row r="1664" spans="1:15" x14ac:dyDescent="0.35">
      <c r="A1664" t="s">
        <v>2010</v>
      </c>
      <c r="B1664" t="s">
        <v>2011</v>
      </c>
      <c r="C1664" t="s">
        <v>1644</v>
      </c>
      <c r="D1664" t="s">
        <v>339</v>
      </c>
      <c r="E1664" t="s">
        <v>312</v>
      </c>
      <c r="F1664" t="s">
        <v>2050</v>
      </c>
      <c r="G1664">
        <v>664</v>
      </c>
      <c r="H1664">
        <v>82846.98</v>
      </c>
      <c r="I1664">
        <v>124.77</v>
      </c>
      <c r="J1664">
        <v>1493</v>
      </c>
      <c r="K1664">
        <v>145232.96000000002</v>
      </c>
      <c r="L1664">
        <v>97.28</v>
      </c>
      <c r="M1664">
        <v>2157</v>
      </c>
      <c r="N1664">
        <v>228079.94</v>
      </c>
      <c r="O1664">
        <v>105.74</v>
      </c>
    </row>
    <row r="1665" spans="1:15" x14ac:dyDescent="0.35">
      <c r="A1665" t="s">
        <v>2010</v>
      </c>
      <c r="B1665" t="s">
        <v>2011</v>
      </c>
      <c r="C1665" t="s">
        <v>1644</v>
      </c>
      <c r="D1665" t="s">
        <v>348</v>
      </c>
      <c r="E1665" t="s">
        <v>349</v>
      </c>
      <c r="F1665" t="s">
        <v>2051</v>
      </c>
      <c r="G1665">
        <v>1556</v>
      </c>
      <c r="H1665">
        <v>104650.73999999999</v>
      </c>
      <c r="I1665">
        <v>134.86000000000001</v>
      </c>
      <c r="J1665">
        <v>1821</v>
      </c>
      <c r="K1665">
        <v>189521.63000000003</v>
      </c>
      <c r="L1665">
        <v>104.08</v>
      </c>
      <c r="M1665">
        <v>3377</v>
      </c>
      <c r="N1665">
        <v>294172.37</v>
      </c>
      <c r="O1665">
        <v>113.27</v>
      </c>
    </row>
    <row r="1666" spans="1:15" x14ac:dyDescent="0.35">
      <c r="A1666" t="s">
        <v>2052</v>
      </c>
      <c r="B1666" t="s">
        <v>2053</v>
      </c>
      <c r="C1666" t="s">
        <v>1644</v>
      </c>
      <c r="D1666" t="s">
        <v>293</v>
      </c>
      <c r="E1666" t="s">
        <v>294</v>
      </c>
      <c r="F1666" t="s">
        <v>2054</v>
      </c>
      <c r="G1666">
        <v>148</v>
      </c>
      <c r="H1666">
        <v>21002.48</v>
      </c>
      <c r="I1666">
        <v>141.91</v>
      </c>
      <c r="J1666">
        <v>17</v>
      </c>
      <c r="K1666">
        <v>2579.2399999999998</v>
      </c>
      <c r="L1666">
        <v>151.72</v>
      </c>
      <c r="M1666">
        <v>165</v>
      </c>
      <c r="N1666">
        <v>23581.72</v>
      </c>
      <c r="O1666">
        <v>142.91999999999999</v>
      </c>
    </row>
    <row r="1667" spans="1:15" x14ac:dyDescent="0.35">
      <c r="A1667" t="s">
        <v>2052</v>
      </c>
      <c r="B1667" t="s">
        <v>2053</v>
      </c>
      <c r="C1667" t="s">
        <v>1644</v>
      </c>
      <c r="D1667" t="s">
        <v>293</v>
      </c>
      <c r="E1667" t="s">
        <v>296</v>
      </c>
      <c r="F1667" t="s">
        <v>2055</v>
      </c>
      <c r="G1667">
        <v>456</v>
      </c>
      <c r="H1667">
        <v>77756.13</v>
      </c>
      <c r="I1667">
        <v>170.52</v>
      </c>
      <c r="J1667">
        <v>44</v>
      </c>
      <c r="K1667">
        <v>7757.64</v>
      </c>
      <c r="L1667">
        <v>176.31</v>
      </c>
      <c r="M1667">
        <v>500</v>
      </c>
      <c r="N1667">
        <v>85513.77</v>
      </c>
      <c r="O1667">
        <v>171.03</v>
      </c>
    </row>
    <row r="1668" spans="1:15" x14ac:dyDescent="0.35">
      <c r="A1668" t="s">
        <v>2052</v>
      </c>
      <c r="B1668" t="s">
        <v>2053</v>
      </c>
      <c r="C1668" t="s">
        <v>1644</v>
      </c>
      <c r="D1668" t="s">
        <v>293</v>
      </c>
      <c r="E1668" t="s">
        <v>298</v>
      </c>
      <c r="F1668" t="s">
        <v>2056</v>
      </c>
      <c r="G1668">
        <v>229</v>
      </c>
      <c r="H1668">
        <v>45837.04</v>
      </c>
      <c r="I1668">
        <v>200.16</v>
      </c>
      <c r="J1668">
        <v>32</v>
      </c>
      <c r="K1668">
        <v>6456.96</v>
      </c>
      <c r="L1668">
        <v>201.78</v>
      </c>
      <c r="M1668">
        <v>261</v>
      </c>
      <c r="N1668">
        <v>52294</v>
      </c>
      <c r="O1668">
        <v>200.36</v>
      </c>
    </row>
    <row r="1669" spans="1:15" x14ac:dyDescent="0.35">
      <c r="A1669" t="s">
        <v>2052</v>
      </c>
      <c r="B1669" t="s">
        <v>2053</v>
      </c>
      <c r="C1669" t="s">
        <v>1644</v>
      </c>
      <c r="D1669" t="s">
        <v>293</v>
      </c>
      <c r="E1669" t="s">
        <v>300</v>
      </c>
      <c r="F1669" t="s">
        <v>2057</v>
      </c>
      <c r="G1669">
        <v>49</v>
      </c>
      <c r="H1669">
        <v>12253.130000000001</v>
      </c>
      <c r="I1669">
        <v>250.06</v>
      </c>
      <c r="J1669">
        <v>0</v>
      </c>
      <c r="K1669">
        <v>0</v>
      </c>
      <c r="L1669">
        <v>0</v>
      </c>
      <c r="M1669">
        <v>49</v>
      </c>
      <c r="N1669">
        <v>12253.130000000001</v>
      </c>
      <c r="O1669">
        <v>250.06</v>
      </c>
    </row>
    <row r="1670" spans="1:15" x14ac:dyDescent="0.35">
      <c r="A1670" t="s">
        <v>2052</v>
      </c>
      <c r="B1670" t="s">
        <v>2053</v>
      </c>
      <c r="C1670" t="s">
        <v>1644</v>
      </c>
      <c r="D1670" t="s">
        <v>293</v>
      </c>
      <c r="E1670" t="s">
        <v>302</v>
      </c>
      <c r="F1670" t="s">
        <v>2058</v>
      </c>
      <c r="G1670">
        <v>0</v>
      </c>
      <c r="H1670">
        <v>0</v>
      </c>
      <c r="I1670">
        <v>0</v>
      </c>
      <c r="J1670">
        <v>0</v>
      </c>
      <c r="K1670">
        <v>0</v>
      </c>
      <c r="L1670">
        <v>0</v>
      </c>
      <c r="M1670">
        <v>0</v>
      </c>
      <c r="N1670">
        <v>0</v>
      </c>
      <c r="O1670">
        <v>0</v>
      </c>
    </row>
    <row r="1671" spans="1:15" x14ac:dyDescent="0.35">
      <c r="A1671" t="s">
        <v>2052</v>
      </c>
      <c r="B1671" t="s">
        <v>2053</v>
      </c>
      <c r="C1671" t="s">
        <v>1644</v>
      </c>
      <c r="D1671" t="s">
        <v>293</v>
      </c>
      <c r="E1671" t="s">
        <v>304</v>
      </c>
      <c r="F1671" t="s">
        <v>2059</v>
      </c>
      <c r="G1671">
        <v>0</v>
      </c>
      <c r="H1671">
        <v>0</v>
      </c>
      <c r="I1671">
        <v>0</v>
      </c>
      <c r="J1671">
        <v>0</v>
      </c>
      <c r="K1671">
        <v>0</v>
      </c>
      <c r="L1671">
        <v>0</v>
      </c>
      <c r="M1671">
        <v>0</v>
      </c>
      <c r="N1671">
        <v>0</v>
      </c>
      <c r="O1671">
        <v>0</v>
      </c>
    </row>
    <row r="1672" spans="1:15" x14ac:dyDescent="0.35">
      <c r="A1672" t="s">
        <v>2052</v>
      </c>
      <c r="B1672" t="s">
        <v>2053</v>
      </c>
      <c r="C1672" t="s">
        <v>1644</v>
      </c>
      <c r="D1672" t="s">
        <v>293</v>
      </c>
      <c r="E1672" t="s">
        <v>306</v>
      </c>
      <c r="F1672" t="s">
        <v>2060</v>
      </c>
      <c r="G1672">
        <v>0</v>
      </c>
      <c r="H1672">
        <v>0</v>
      </c>
      <c r="I1672">
        <v>0</v>
      </c>
      <c r="J1672">
        <v>0</v>
      </c>
      <c r="K1672">
        <v>0</v>
      </c>
      <c r="L1672">
        <v>0</v>
      </c>
      <c r="M1672">
        <v>0</v>
      </c>
      <c r="N1672">
        <v>0</v>
      </c>
      <c r="O1672">
        <v>0</v>
      </c>
    </row>
    <row r="1673" spans="1:15" x14ac:dyDescent="0.35">
      <c r="A1673" t="s">
        <v>2052</v>
      </c>
      <c r="B1673" t="s">
        <v>2053</v>
      </c>
      <c r="C1673" t="s">
        <v>1644</v>
      </c>
      <c r="D1673" t="s">
        <v>293</v>
      </c>
      <c r="E1673" t="s">
        <v>308</v>
      </c>
      <c r="F1673" t="s">
        <v>2061</v>
      </c>
      <c r="G1673">
        <v>0</v>
      </c>
      <c r="H1673">
        <v>0</v>
      </c>
      <c r="I1673">
        <v>0</v>
      </c>
      <c r="J1673">
        <v>0</v>
      </c>
      <c r="K1673">
        <v>0</v>
      </c>
      <c r="L1673">
        <v>0</v>
      </c>
      <c r="M1673">
        <v>0</v>
      </c>
      <c r="N1673">
        <v>0</v>
      </c>
      <c r="O1673">
        <v>0</v>
      </c>
    </row>
    <row r="1674" spans="1:15" x14ac:dyDescent="0.35">
      <c r="A1674" t="s">
        <v>2052</v>
      </c>
      <c r="B1674" t="s">
        <v>2053</v>
      </c>
      <c r="C1674" t="s">
        <v>1644</v>
      </c>
      <c r="D1674" t="s">
        <v>293</v>
      </c>
      <c r="E1674" t="s">
        <v>310</v>
      </c>
      <c r="F1674" t="s">
        <v>2062</v>
      </c>
      <c r="G1674">
        <v>882</v>
      </c>
      <c r="H1674">
        <v>156848.78</v>
      </c>
      <c r="I1674">
        <v>177.83</v>
      </c>
      <c r="J1674">
        <v>93</v>
      </c>
      <c r="K1674">
        <v>16793.84</v>
      </c>
      <c r="L1674">
        <v>180.58</v>
      </c>
      <c r="M1674">
        <v>975</v>
      </c>
      <c r="N1674">
        <v>173642.62</v>
      </c>
      <c r="O1674">
        <v>178.09</v>
      </c>
    </row>
    <row r="1675" spans="1:15" x14ac:dyDescent="0.35">
      <c r="A1675" t="s">
        <v>2052</v>
      </c>
      <c r="B1675" t="s">
        <v>2053</v>
      </c>
      <c r="C1675" t="s">
        <v>1644</v>
      </c>
      <c r="D1675" t="s">
        <v>293</v>
      </c>
      <c r="E1675" t="s">
        <v>312</v>
      </c>
      <c r="F1675" t="s">
        <v>2063</v>
      </c>
      <c r="G1675">
        <v>882</v>
      </c>
      <c r="H1675">
        <v>156848.78</v>
      </c>
      <c r="I1675">
        <v>177.83</v>
      </c>
      <c r="J1675">
        <v>93</v>
      </c>
      <c r="K1675">
        <v>16793.84</v>
      </c>
      <c r="L1675">
        <v>180.58</v>
      </c>
      <c r="M1675">
        <v>975</v>
      </c>
      <c r="N1675">
        <v>173642.62</v>
      </c>
      <c r="O1675">
        <v>178.09</v>
      </c>
    </row>
    <row r="1676" spans="1:15" x14ac:dyDescent="0.35">
      <c r="A1676" t="s">
        <v>2052</v>
      </c>
      <c r="B1676" t="s">
        <v>2053</v>
      </c>
      <c r="C1676" t="s">
        <v>1644</v>
      </c>
      <c r="D1676" t="s">
        <v>314</v>
      </c>
      <c r="E1676" t="s">
        <v>294</v>
      </c>
      <c r="F1676" t="s">
        <v>2064</v>
      </c>
      <c r="G1676">
        <v>0</v>
      </c>
      <c r="H1676">
        <v>0</v>
      </c>
      <c r="I1676">
        <v>0</v>
      </c>
      <c r="J1676">
        <v>88</v>
      </c>
      <c r="K1676">
        <v>12223.2</v>
      </c>
      <c r="L1676">
        <v>138.9</v>
      </c>
      <c r="M1676">
        <v>88</v>
      </c>
      <c r="N1676">
        <v>12223.2</v>
      </c>
      <c r="O1676">
        <v>138.9</v>
      </c>
    </row>
    <row r="1677" spans="1:15" x14ac:dyDescent="0.35">
      <c r="A1677" t="s">
        <v>2052</v>
      </c>
      <c r="B1677" t="s">
        <v>2053</v>
      </c>
      <c r="C1677" t="s">
        <v>1644</v>
      </c>
      <c r="D1677" t="s">
        <v>314</v>
      </c>
      <c r="E1677" t="s">
        <v>296</v>
      </c>
      <c r="F1677" t="s">
        <v>2065</v>
      </c>
      <c r="G1677">
        <v>1</v>
      </c>
      <c r="H1677">
        <v>182.14</v>
      </c>
      <c r="I1677">
        <v>182.14</v>
      </c>
      <c r="J1677">
        <v>65</v>
      </c>
      <c r="K1677">
        <v>10940.8</v>
      </c>
      <c r="L1677">
        <v>168.32</v>
      </c>
      <c r="M1677">
        <v>66</v>
      </c>
      <c r="N1677">
        <v>11122.939999999999</v>
      </c>
      <c r="O1677">
        <v>168.53</v>
      </c>
    </row>
    <row r="1678" spans="1:15" x14ac:dyDescent="0.35">
      <c r="A1678" t="s">
        <v>2052</v>
      </c>
      <c r="B1678" t="s">
        <v>2053</v>
      </c>
      <c r="C1678" t="s">
        <v>1644</v>
      </c>
      <c r="D1678" t="s">
        <v>314</v>
      </c>
      <c r="E1678" t="s">
        <v>298</v>
      </c>
      <c r="F1678" t="s">
        <v>2066</v>
      </c>
      <c r="G1678">
        <v>0</v>
      </c>
      <c r="H1678">
        <v>0</v>
      </c>
      <c r="I1678">
        <v>0</v>
      </c>
      <c r="J1678">
        <v>0</v>
      </c>
      <c r="K1678">
        <v>0</v>
      </c>
      <c r="L1678">
        <v>0</v>
      </c>
      <c r="M1678">
        <v>0</v>
      </c>
      <c r="N1678">
        <v>0</v>
      </c>
      <c r="O1678">
        <v>0</v>
      </c>
    </row>
    <row r="1679" spans="1:15" x14ac:dyDescent="0.35">
      <c r="A1679" t="s">
        <v>2052</v>
      </c>
      <c r="B1679" t="s">
        <v>2053</v>
      </c>
      <c r="C1679" t="s">
        <v>1644</v>
      </c>
      <c r="D1679" t="s">
        <v>314</v>
      </c>
      <c r="E1679" t="s">
        <v>300</v>
      </c>
      <c r="F1679" t="s">
        <v>2067</v>
      </c>
      <c r="G1679">
        <v>0</v>
      </c>
      <c r="H1679">
        <v>0</v>
      </c>
      <c r="I1679">
        <v>0</v>
      </c>
      <c r="J1679">
        <v>0</v>
      </c>
      <c r="K1679">
        <v>0</v>
      </c>
      <c r="L1679">
        <v>0</v>
      </c>
      <c r="M1679">
        <v>0</v>
      </c>
      <c r="N1679">
        <v>0</v>
      </c>
      <c r="O1679">
        <v>0</v>
      </c>
    </row>
    <row r="1680" spans="1:15" x14ac:dyDescent="0.35">
      <c r="A1680" t="s">
        <v>2052</v>
      </c>
      <c r="B1680" t="s">
        <v>2053</v>
      </c>
      <c r="C1680" t="s">
        <v>1644</v>
      </c>
      <c r="D1680" t="s">
        <v>314</v>
      </c>
      <c r="E1680" t="s">
        <v>306</v>
      </c>
      <c r="F1680" t="s">
        <v>2068</v>
      </c>
      <c r="G1680">
        <v>0</v>
      </c>
      <c r="H1680">
        <v>0</v>
      </c>
      <c r="I1680">
        <v>0</v>
      </c>
      <c r="J1680">
        <v>0</v>
      </c>
      <c r="K1680">
        <v>0</v>
      </c>
      <c r="L1680">
        <v>0</v>
      </c>
      <c r="M1680">
        <v>0</v>
      </c>
      <c r="N1680">
        <v>0</v>
      </c>
      <c r="O1680">
        <v>0</v>
      </c>
    </row>
    <row r="1681" spans="1:15" x14ac:dyDescent="0.35">
      <c r="A1681" t="s">
        <v>2052</v>
      </c>
      <c r="B1681" t="s">
        <v>2053</v>
      </c>
      <c r="C1681" t="s">
        <v>1644</v>
      </c>
      <c r="D1681" t="s">
        <v>314</v>
      </c>
      <c r="E1681" t="s">
        <v>308</v>
      </c>
      <c r="F1681" t="s">
        <v>2069</v>
      </c>
      <c r="G1681">
        <v>4</v>
      </c>
      <c r="H1681">
        <v>536.64</v>
      </c>
      <c r="I1681">
        <v>134.16</v>
      </c>
      <c r="J1681">
        <v>0</v>
      </c>
      <c r="K1681">
        <v>0</v>
      </c>
      <c r="L1681">
        <v>0</v>
      </c>
      <c r="M1681">
        <v>4</v>
      </c>
      <c r="N1681">
        <v>536.64</v>
      </c>
      <c r="O1681">
        <v>134.16</v>
      </c>
    </row>
    <row r="1682" spans="1:15" x14ac:dyDescent="0.35">
      <c r="A1682" t="s">
        <v>2052</v>
      </c>
      <c r="B1682" t="s">
        <v>2053</v>
      </c>
      <c r="C1682" t="s">
        <v>1644</v>
      </c>
      <c r="D1682" t="s">
        <v>314</v>
      </c>
      <c r="E1682" t="s">
        <v>312</v>
      </c>
      <c r="F1682" t="s">
        <v>2070</v>
      </c>
      <c r="G1682">
        <v>1</v>
      </c>
      <c r="H1682">
        <v>182.14</v>
      </c>
      <c r="I1682">
        <v>182.14</v>
      </c>
      <c r="J1682">
        <v>153</v>
      </c>
      <c r="K1682">
        <v>23164</v>
      </c>
      <c r="L1682">
        <v>151.4</v>
      </c>
      <c r="M1682">
        <v>154</v>
      </c>
      <c r="N1682">
        <v>23346.14</v>
      </c>
      <c r="O1682">
        <v>151.6</v>
      </c>
    </row>
    <row r="1683" spans="1:15" x14ac:dyDescent="0.35">
      <c r="A1683" t="s">
        <v>2052</v>
      </c>
      <c r="B1683" t="s">
        <v>2053</v>
      </c>
      <c r="C1683" t="s">
        <v>1644</v>
      </c>
      <c r="D1683" t="s">
        <v>314</v>
      </c>
      <c r="E1683" t="s">
        <v>310</v>
      </c>
      <c r="F1683" t="s">
        <v>2071</v>
      </c>
      <c r="G1683">
        <v>5</v>
      </c>
      <c r="H1683">
        <v>718.78</v>
      </c>
      <c r="I1683">
        <v>143.76</v>
      </c>
      <c r="J1683">
        <v>153</v>
      </c>
      <c r="K1683">
        <v>23164</v>
      </c>
      <c r="L1683">
        <v>151.4</v>
      </c>
      <c r="M1683">
        <v>158</v>
      </c>
      <c r="N1683">
        <v>23882.78</v>
      </c>
      <c r="O1683">
        <v>151.16</v>
      </c>
    </row>
    <row r="1684" spans="1:15" x14ac:dyDescent="0.35">
      <c r="A1684" t="s">
        <v>2052</v>
      </c>
      <c r="B1684" t="s">
        <v>2053</v>
      </c>
      <c r="C1684" t="s">
        <v>1644</v>
      </c>
      <c r="D1684" t="s">
        <v>323</v>
      </c>
      <c r="E1684" t="s">
        <v>294</v>
      </c>
      <c r="F1684" t="s">
        <v>2072</v>
      </c>
      <c r="G1684">
        <v>1438</v>
      </c>
      <c r="H1684">
        <v>162587.35999999999</v>
      </c>
      <c r="I1684">
        <v>113.06</v>
      </c>
      <c r="J1684">
        <v>2231</v>
      </c>
      <c r="K1684">
        <v>190348.91999999998</v>
      </c>
      <c r="L1684">
        <v>85.32</v>
      </c>
      <c r="M1684">
        <v>3669</v>
      </c>
      <c r="N1684">
        <v>352936.27999999997</v>
      </c>
      <c r="O1684">
        <v>96.19</v>
      </c>
    </row>
    <row r="1685" spans="1:15" x14ac:dyDescent="0.35">
      <c r="A1685" t="s">
        <v>2052</v>
      </c>
      <c r="B1685" t="s">
        <v>2053</v>
      </c>
      <c r="C1685" t="s">
        <v>1644</v>
      </c>
      <c r="D1685" t="s">
        <v>323</v>
      </c>
      <c r="E1685" t="s">
        <v>296</v>
      </c>
      <c r="F1685" t="s">
        <v>2073</v>
      </c>
      <c r="G1685">
        <v>1707</v>
      </c>
      <c r="H1685">
        <v>218114.63000000006</v>
      </c>
      <c r="I1685">
        <v>127.78</v>
      </c>
      <c r="J1685">
        <v>5251</v>
      </c>
      <c r="K1685">
        <v>513442.78</v>
      </c>
      <c r="L1685">
        <v>97.78</v>
      </c>
      <c r="M1685">
        <v>6958</v>
      </c>
      <c r="N1685">
        <v>731557.41000000015</v>
      </c>
      <c r="O1685">
        <v>105.14</v>
      </c>
    </row>
    <row r="1686" spans="1:15" x14ac:dyDescent="0.35">
      <c r="A1686" t="s">
        <v>2052</v>
      </c>
      <c r="B1686" t="s">
        <v>2053</v>
      </c>
      <c r="C1686" t="s">
        <v>1644</v>
      </c>
      <c r="D1686" t="s">
        <v>323</v>
      </c>
      <c r="E1686" t="s">
        <v>298</v>
      </c>
      <c r="F1686" t="s">
        <v>2074</v>
      </c>
      <c r="G1686">
        <v>1245</v>
      </c>
      <c r="H1686">
        <v>179455.67</v>
      </c>
      <c r="I1686">
        <v>144.13999999999999</v>
      </c>
      <c r="J1686">
        <v>4072</v>
      </c>
      <c r="K1686">
        <v>486726.16000000003</v>
      </c>
      <c r="L1686">
        <v>119.53</v>
      </c>
      <c r="M1686">
        <v>5317</v>
      </c>
      <c r="N1686">
        <v>666181.83000000007</v>
      </c>
      <c r="O1686">
        <v>125.29</v>
      </c>
    </row>
    <row r="1687" spans="1:15" x14ac:dyDescent="0.35">
      <c r="A1687" t="s">
        <v>2052</v>
      </c>
      <c r="B1687" t="s">
        <v>2053</v>
      </c>
      <c r="C1687" t="s">
        <v>1644</v>
      </c>
      <c r="D1687" t="s">
        <v>323</v>
      </c>
      <c r="E1687" t="s">
        <v>300</v>
      </c>
      <c r="F1687" t="s">
        <v>2075</v>
      </c>
      <c r="G1687">
        <v>243</v>
      </c>
      <c r="H1687">
        <v>39603.770000000004</v>
      </c>
      <c r="I1687">
        <v>162.97999999999999</v>
      </c>
      <c r="J1687">
        <v>315</v>
      </c>
      <c r="K1687">
        <v>40559.399999999994</v>
      </c>
      <c r="L1687">
        <v>128.76</v>
      </c>
      <c r="M1687">
        <v>558</v>
      </c>
      <c r="N1687">
        <v>80163.17</v>
      </c>
      <c r="O1687">
        <v>143.66</v>
      </c>
    </row>
    <row r="1688" spans="1:15" x14ac:dyDescent="0.35">
      <c r="A1688" t="s">
        <v>2052</v>
      </c>
      <c r="B1688" t="s">
        <v>2053</v>
      </c>
      <c r="C1688" t="s">
        <v>1644</v>
      </c>
      <c r="D1688" t="s">
        <v>323</v>
      </c>
      <c r="E1688" t="s">
        <v>302</v>
      </c>
      <c r="F1688" t="s">
        <v>2076</v>
      </c>
      <c r="G1688">
        <v>7</v>
      </c>
      <c r="H1688">
        <v>1220.8</v>
      </c>
      <c r="I1688">
        <v>174.4</v>
      </c>
      <c r="J1688">
        <v>6</v>
      </c>
      <c r="K1688">
        <v>854.09999999999991</v>
      </c>
      <c r="L1688">
        <v>142.35</v>
      </c>
      <c r="M1688">
        <v>13</v>
      </c>
      <c r="N1688">
        <v>2074.8999999999996</v>
      </c>
      <c r="O1688">
        <v>159.61000000000001</v>
      </c>
    </row>
    <row r="1689" spans="1:15" x14ac:dyDescent="0.35">
      <c r="A1689" t="s">
        <v>2052</v>
      </c>
      <c r="B1689" t="s">
        <v>2053</v>
      </c>
      <c r="C1689" t="s">
        <v>1644</v>
      </c>
      <c r="D1689" t="s">
        <v>323</v>
      </c>
      <c r="E1689" t="s">
        <v>304</v>
      </c>
      <c r="F1689" t="s">
        <v>2077</v>
      </c>
      <c r="G1689">
        <v>1</v>
      </c>
      <c r="H1689">
        <v>218.24</v>
      </c>
      <c r="I1689">
        <v>218.24</v>
      </c>
      <c r="J1689">
        <v>1</v>
      </c>
      <c r="K1689">
        <v>190.77</v>
      </c>
      <c r="L1689">
        <v>190.77</v>
      </c>
      <c r="M1689">
        <v>2</v>
      </c>
      <c r="N1689">
        <v>409.01</v>
      </c>
      <c r="O1689">
        <v>204.51</v>
      </c>
    </row>
    <row r="1690" spans="1:15" x14ac:dyDescent="0.35">
      <c r="A1690" t="s">
        <v>2052</v>
      </c>
      <c r="B1690" t="s">
        <v>2053</v>
      </c>
      <c r="C1690" t="s">
        <v>1644</v>
      </c>
      <c r="D1690" t="s">
        <v>323</v>
      </c>
      <c r="E1690" t="s">
        <v>306</v>
      </c>
      <c r="F1690" t="s">
        <v>2078</v>
      </c>
      <c r="G1690">
        <v>50</v>
      </c>
      <c r="H1690">
        <v>5497.3599999999988</v>
      </c>
      <c r="I1690">
        <v>109.95</v>
      </c>
      <c r="J1690">
        <v>483</v>
      </c>
      <c r="K1690">
        <v>35394.239999999998</v>
      </c>
      <c r="L1690">
        <v>73.28</v>
      </c>
      <c r="M1690">
        <v>533</v>
      </c>
      <c r="N1690">
        <v>40891.599999999999</v>
      </c>
      <c r="O1690">
        <v>76.72</v>
      </c>
    </row>
    <row r="1691" spans="1:15" x14ac:dyDescent="0.35">
      <c r="A1691" t="s">
        <v>2052</v>
      </c>
      <c r="B1691" t="s">
        <v>2053</v>
      </c>
      <c r="C1691" t="s">
        <v>1644</v>
      </c>
      <c r="D1691" t="s">
        <v>323</v>
      </c>
      <c r="E1691" t="s">
        <v>308</v>
      </c>
      <c r="F1691" t="s">
        <v>2079</v>
      </c>
      <c r="G1691">
        <v>0</v>
      </c>
      <c r="H1691">
        <v>0</v>
      </c>
      <c r="I1691">
        <v>0</v>
      </c>
      <c r="J1691">
        <v>18</v>
      </c>
      <c r="K1691">
        <v>1302.3</v>
      </c>
      <c r="L1691">
        <v>72.349999999999994</v>
      </c>
      <c r="M1691">
        <v>18</v>
      </c>
      <c r="N1691">
        <v>1302.3</v>
      </c>
      <c r="O1691">
        <v>72.349999999999994</v>
      </c>
    </row>
    <row r="1692" spans="1:15" x14ac:dyDescent="0.35">
      <c r="A1692" t="s">
        <v>2052</v>
      </c>
      <c r="B1692" t="s">
        <v>2053</v>
      </c>
      <c r="C1692" t="s">
        <v>1644</v>
      </c>
      <c r="D1692" t="s">
        <v>323</v>
      </c>
      <c r="E1692" t="s">
        <v>310</v>
      </c>
      <c r="F1692" t="s">
        <v>2080</v>
      </c>
      <c r="G1692">
        <v>4691</v>
      </c>
      <c r="H1692">
        <v>606697.83000000007</v>
      </c>
      <c r="I1692">
        <v>129.33000000000001</v>
      </c>
      <c r="J1692">
        <v>12377</v>
      </c>
      <c r="K1692">
        <v>1268818.67</v>
      </c>
      <c r="L1692">
        <v>102.51</v>
      </c>
      <c r="M1692">
        <v>17068</v>
      </c>
      <c r="N1692">
        <v>1875516.5</v>
      </c>
      <c r="O1692">
        <v>109.88</v>
      </c>
    </row>
    <row r="1693" spans="1:15" x14ac:dyDescent="0.35">
      <c r="A1693" t="s">
        <v>2052</v>
      </c>
      <c r="B1693" t="s">
        <v>2053</v>
      </c>
      <c r="C1693" t="s">
        <v>1644</v>
      </c>
      <c r="D1693" t="s">
        <v>323</v>
      </c>
      <c r="E1693" t="s">
        <v>312</v>
      </c>
      <c r="F1693" t="s">
        <v>2081</v>
      </c>
      <c r="G1693">
        <v>4691</v>
      </c>
      <c r="H1693">
        <v>606697.83000000007</v>
      </c>
      <c r="I1693">
        <v>129.33000000000001</v>
      </c>
      <c r="J1693">
        <v>12359</v>
      </c>
      <c r="K1693">
        <v>1267516.3699999999</v>
      </c>
      <c r="L1693">
        <v>102.56</v>
      </c>
      <c r="M1693">
        <v>17050</v>
      </c>
      <c r="N1693">
        <v>1874214.2</v>
      </c>
      <c r="O1693">
        <v>109.92</v>
      </c>
    </row>
    <row r="1694" spans="1:15" x14ac:dyDescent="0.35">
      <c r="A1694" t="s">
        <v>2052</v>
      </c>
      <c r="B1694" t="s">
        <v>2053</v>
      </c>
      <c r="C1694" t="s">
        <v>1644</v>
      </c>
      <c r="D1694" t="s">
        <v>334</v>
      </c>
      <c r="E1694" t="s">
        <v>312</v>
      </c>
      <c r="F1694" t="s">
        <v>2082</v>
      </c>
      <c r="G1694">
        <v>5991</v>
      </c>
      <c r="H1694">
        <v>763546.6100000001</v>
      </c>
      <c r="I1694">
        <v>137.01</v>
      </c>
      <c r="J1694">
        <v>12452</v>
      </c>
      <c r="K1694">
        <v>1284310.2100000002</v>
      </c>
      <c r="L1694">
        <v>103.14</v>
      </c>
      <c r="M1694">
        <v>18443</v>
      </c>
      <c r="N1694">
        <v>2047856.8200000003</v>
      </c>
      <c r="O1694">
        <v>113.61</v>
      </c>
    </row>
    <row r="1695" spans="1:15" x14ac:dyDescent="0.35">
      <c r="A1695" t="s">
        <v>2052</v>
      </c>
      <c r="B1695" t="s">
        <v>2053</v>
      </c>
      <c r="C1695" t="s">
        <v>1644</v>
      </c>
      <c r="D1695" t="s">
        <v>334</v>
      </c>
      <c r="E1695" t="s">
        <v>308</v>
      </c>
      <c r="F1695" t="s">
        <v>2083</v>
      </c>
      <c r="G1695">
        <v>66</v>
      </c>
      <c r="H1695">
        <v>0</v>
      </c>
      <c r="I1695">
        <v>0</v>
      </c>
      <c r="J1695">
        <v>18</v>
      </c>
      <c r="K1695">
        <v>1302.3</v>
      </c>
      <c r="L1695">
        <v>72.349999999999994</v>
      </c>
      <c r="M1695">
        <v>84</v>
      </c>
      <c r="N1695">
        <v>1302.3</v>
      </c>
      <c r="O1695">
        <v>72.349999999999994</v>
      </c>
    </row>
    <row r="1696" spans="1:15" x14ac:dyDescent="0.35">
      <c r="A1696" t="s">
        <v>2052</v>
      </c>
      <c r="B1696" t="s">
        <v>2053</v>
      </c>
      <c r="C1696" t="s">
        <v>1644</v>
      </c>
      <c r="D1696" t="s">
        <v>337</v>
      </c>
      <c r="E1696" t="s">
        <v>337</v>
      </c>
      <c r="F1696" t="s">
        <v>2084</v>
      </c>
      <c r="G1696">
        <v>910</v>
      </c>
      <c r="J1696">
        <v>97</v>
      </c>
      <c r="M1696">
        <v>1007</v>
      </c>
    </row>
    <row r="1697" spans="1:15" x14ac:dyDescent="0.35">
      <c r="A1697" t="s">
        <v>2052</v>
      </c>
      <c r="B1697" t="s">
        <v>2053</v>
      </c>
      <c r="C1697" t="s">
        <v>1644</v>
      </c>
      <c r="D1697" t="s">
        <v>339</v>
      </c>
      <c r="E1697" t="s">
        <v>294</v>
      </c>
      <c r="F1697" t="s">
        <v>2085</v>
      </c>
      <c r="G1697">
        <v>980</v>
      </c>
      <c r="H1697">
        <v>123513.74000000002</v>
      </c>
      <c r="I1697">
        <v>126.03</v>
      </c>
      <c r="J1697">
        <v>2990</v>
      </c>
      <c r="K1697">
        <v>265870.8</v>
      </c>
      <c r="L1697">
        <v>88.92</v>
      </c>
      <c r="M1697">
        <v>3970</v>
      </c>
      <c r="N1697">
        <v>389384.54000000004</v>
      </c>
      <c r="O1697">
        <v>98.08</v>
      </c>
    </row>
    <row r="1698" spans="1:15" x14ac:dyDescent="0.35">
      <c r="A1698" t="s">
        <v>2052</v>
      </c>
      <c r="B1698" t="s">
        <v>2053</v>
      </c>
      <c r="C1698" t="s">
        <v>1644</v>
      </c>
      <c r="D1698" t="s">
        <v>339</v>
      </c>
      <c r="E1698" t="s">
        <v>296</v>
      </c>
      <c r="F1698" t="s">
        <v>2086</v>
      </c>
      <c r="G1698">
        <v>107</v>
      </c>
      <c r="H1698">
        <v>13990.67</v>
      </c>
      <c r="I1698">
        <v>130.75</v>
      </c>
      <c r="J1698">
        <v>44</v>
      </c>
      <c r="K1698">
        <v>4562.3599999999997</v>
      </c>
      <c r="L1698">
        <v>103.69</v>
      </c>
      <c r="M1698">
        <v>151</v>
      </c>
      <c r="N1698">
        <v>18553.03</v>
      </c>
      <c r="O1698">
        <v>122.87</v>
      </c>
    </row>
    <row r="1699" spans="1:15" x14ac:dyDescent="0.35">
      <c r="A1699" t="s">
        <v>2052</v>
      </c>
      <c r="B1699" t="s">
        <v>2053</v>
      </c>
      <c r="C1699" t="s">
        <v>1644</v>
      </c>
      <c r="D1699" t="s">
        <v>339</v>
      </c>
      <c r="E1699" t="s">
        <v>298</v>
      </c>
      <c r="F1699" t="s">
        <v>2087</v>
      </c>
      <c r="G1699">
        <v>14</v>
      </c>
      <c r="H1699">
        <v>2069.9499999999998</v>
      </c>
      <c r="I1699">
        <v>147.85</v>
      </c>
      <c r="J1699">
        <v>0</v>
      </c>
      <c r="K1699">
        <v>0</v>
      </c>
      <c r="L1699">
        <v>0</v>
      </c>
      <c r="M1699">
        <v>14</v>
      </c>
      <c r="N1699">
        <v>2069.9499999999998</v>
      </c>
      <c r="O1699">
        <v>147.85</v>
      </c>
    </row>
    <row r="1700" spans="1:15" x14ac:dyDescent="0.35">
      <c r="A1700" t="s">
        <v>2052</v>
      </c>
      <c r="B1700" t="s">
        <v>2053</v>
      </c>
      <c r="C1700" t="s">
        <v>1644</v>
      </c>
      <c r="D1700" t="s">
        <v>339</v>
      </c>
      <c r="E1700" t="s">
        <v>300</v>
      </c>
      <c r="F1700" t="s">
        <v>2088</v>
      </c>
      <c r="G1700">
        <v>0</v>
      </c>
      <c r="H1700">
        <v>0</v>
      </c>
      <c r="I1700">
        <v>0</v>
      </c>
      <c r="J1700">
        <v>0</v>
      </c>
      <c r="K1700">
        <v>0</v>
      </c>
      <c r="L1700">
        <v>0</v>
      </c>
      <c r="M1700">
        <v>0</v>
      </c>
      <c r="N1700">
        <v>0</v>
      </c>
      <c r="O1700">
        <v>0</v>
      </c>
    </row>
    <row r="1701" spans="1:15" x14ac:dyDescent="0.35">
      <c r="A1701" t="s">
        <v>2052</v>
      </c>
      <c r="B1701" t="s">
        <v>2053</v>
      </c>
      <c r="C1701" t="s">
        <v>1644</v>
      </c>
      <c r="D1701" t="s">
        <v>339</v>
      </c>
      <c r="E1701" t="s">
        <v>306</v>
      </c>
      <c r="F1701" t="s">
        <v>2089</v>
      </c>
      <c r="G1701">
        <v>181</v>
      </c>
      <c r="H1701">
        <v>18282.13</v>
      </c>
      <c r="I1701">
        <v>101.01</v>
      </c>
      <c r="J1701">
        <v>125</v>
      </c>
      <c r="K1701">
        <v>9413.75</v>
      </c>
      <c r="L1701">
        <v>75.31</v>
      </c>
      <c r="M1701">
        <v>306</v>
      </c>
      <c r="N1701">
        <v>27695.88</v>
      </c>
      <c r="O1701">
        <v>90.51</v>
      </c>
    </row>
    <row r="1702" spans="1:15" x14ac:dyDescent="0.35">
      <c r="A1702" t="s">
        <v>2052</v>
      </c>
      <c r="B1702" t="s">
        <v>2053</v>
      </c>
      <c r="C1702" t="s">
        <v>1644</v>
      </c>
      <c r="D1702" t="s">
        <v>339</v>
      </c>
      <c r="E1702" t="s">
        <v>308</v>
      </c>
      <c r="F1702" t="s">
        <v>2090</v>
      </c>
      <c r="G1702">
        <v>144</v>
      </c>
      <c r="H1702">
        <v>21264.179999999997</v>
      </c>
      <c r="I1702">
        <v>147.66999999999999</v>
      </c>
      <c r="J1702">
        <v>13</v>
      </c>
      <c r="K1702">
        <v>603.19999999999993</v>
      </c>
      <c r="L1702">
        <v>46.4</v>
      </c>
      <c r="M1702">
        <v>157</v>
      </c>
      <c r="N1702">
        <v>21867.379999999997</v>
      </c>
      <c r="O1702">
        <v>139.28</v>
      </c>
    </row>
    <row r="1703" spans="1:15" x14ac:dyDescent="0.35">
      <c r="A1703" t="s">
        <v>2052</v>
      </c>
      <c r="B1703" t="s">
        <v>2053</v>
      </c>
      <c r="C1703" t="s">
        <v>1644</v>
      </c>
      <c r="D1703" t="s">
        <v>339</v>
      </c>
      <c r="E1703" t="s">
        <v>310</v>
      </c>
      <c r="F1703" t="s">
        <v>2091</v>
      </c>
      <c r="G1703">
        <v>1426</v>
      </c>
      <c r="H1703">
        <v>179120.67000000004</v>
      </c>
      <c r="I1703">
        <v>125.61</v>
      </c>
      <c r="J1703">
        <v>3172</v>
      </c>
      <c r="K1703">
        <v>280450.11</v>
      </c>
      <c r="L1703">
        <v>88.41</v>
      </c>
      <c r="M1703">
        <v>4598</v>
      </c>
      <c r="N1703">
        <v>459570.78</v>
      </c>
      <c r="O1703">
        <v>99.95</v>
      </c>
    </row>
    <row r="1704" spans="1:15" x14ac:dyDescent="0.35">
      <c r="A1704" t="s">
        <v>2052</v>
      </c>
      <c r="B1704" t="s">
        <v>2053</v>
      </c>
      <c r="C1704" t="s">
        <v>1644</v>
      </c>
      <c r="D1704" t="s">
        <v>339</v>
      </c>
      <c r="E1704" t="s">
        <v>312</v>
      </c>
      <c r="F1704" t="s">
        <v>2092</v>
      </c>
      <c r="G1704">
        <v>1282</v>
      </c>
      <c r="H1704">
        <v>157856.49000000005</v>
      </c>
      <c r="I1704">
        <v>123.13</v>
      </c>
      <c r="J1704">
        <v>3159</v>
      </c>
      <c r="K1704">
        <v>279846.90999999997</v>
      </c>
      <c r="L1704">
        <v>88.59</v>
      </c>
      <c r="M1704">
        <v>4441</v>
      </c>
      <c r="N1704">
        <v>437703.4</v>
      </c>
      <c r="O1704">
        <v>98.56</v>
      </c>
    </row>
    <row r="1705" spans="1:15" x14ac:dyDescent="0.35">
      <c r="A1705" t="s">
        <v>2052</v>
      </c>
      <c r="B1705" t="s">
        <v>2053</v>
      </c>
      <c r="C1705" t="s">
        <v>1644</v>
      </c>
      <c r="D1705" t="s">
        <v>348</v>
      </c>
      <c r="E1705" t="s">
        <v>349</v>
      </c>
      <c r="F1705" t="s">
        <v>2093</v>
      </c>
      <c r="G1705">
        <v>1970</v>
      </c>
      <c r="H1705">
        <v>179839.45000000004</v>
      </c>
      <c r="I1705">
        <v>125.67</v>
      </c>
      <c r="J1705">
        <v>3325</v>
      </c>
      <c r="K1705">
        <v>303614.11</v>
      </c>
      <c r="L1705">
        <v>91.31</v>
      </c>
      <c r="M1705">
        <v>5295</v>
      </c>
      <c r="N1705">
        <v>483453.56000000006</v>
      </c>
      <c r="O1705">
        <v>101.65</v>
      </c>
    </row>
    <row r="1706" spans="1:15" x14ac:dyDescent="0.35">
      <c r="A1706" t="s">
        <v>2094</v>
      </c>
      <c r="B1706" t="s">
        <v>2095</v>
      </c>
      <c r="C1706" t="s">
        <v>1644</v>
      </c>
      <c r="D1706" t="s">
        <v>293</v>
      </c>
      <c r="E1706" t="s">
        <v>294</v>
      </c>
      <c r="F1706" t="s">
        <v>2096</v>
      </c>
      <c r="G1706">
        <v>30</v>
      </c>
      <c r="H1706">
        <v>3629.42</v>
      </c>
      <c r="I1706">
        <v>120.98</v>
      </c>
      <c r="J1706">
        <v>13</v>
      </c>
      <c r="K1706">
        <v>1273.3500000000001</v>
      </c>
      <c r="L1706">
        <v>97.95</v>
      </c>
      <c r="M1706">
        <v>43</v>
      </c>
      <c r="N1706">
        <v>4902.7700000000004</v>
      </c>
      <c r="O1706">
        <v>114.02</v>
      </c>
    </row>
    <row r="1707" spans="1:15" x14ac:dyDescent="0.35">
      <c r="A1707" t="s">
        <v>2094</v>
      </c>
      <c r="B1707" t="s">
        <v>2095</v>
      </c>
      <c r="C1707" t="s">
        <v>1644</v>
      </c>
      <c r="D1707" t="s">
        <v>293</v>
      </c>
      <c r="E1707" t="s">
        <v>296</v>
      </c>
      <c r="F1707" t="s">
        <v>2097</v>
      </c>
      <c r="G1707">
        <v>150</v>
      </c>
      <c r="H1707">
        <v>21114.09</v>
      </c>
      <c r="I1707">
        <v>140.76</v>
      </c>
      <c r="J1707">
        <v>14</v>
      </c>
      <c r="K1707">
        <v>1782.48</v>
      </c>
      <c r="L1707">
        <v>127.32</v>
      </c>
      <c r="M1707">
        <v>164</v>
      </c>
      <c r="N1707">
        <v>22896.57</v>
      </c>
      <c r="O1707">
        <v>139.61000000000001</v>
      </c>
    </row>
    <row r="1708" spans="1:15" x14ac:dyDescent="0.35">
      <c r="A1708" t="s">
        <v>2094</v>
      </c>
      <c r="B1708" t="s">
        <v>2095</v>
      </c>
      <c r="C1708" t="s">
        <v>1644</v>
      </c>
      <c r="D1708" t="s">
        <v>293</v>
      </c>
      <c r="E1708" t="s">
        <v>298</v>
      </c>
      <c r="F1708" t="s">
        <v>2098</v>
      </c>
      <c r="G1708">
        <v>140</v>
      </c>
      <c r="H1708">
        <v>23511.989999999998</v>
      </c>
      <c r="I1708">
        <v>167.94</v>
      </c>
      <c r="J1708">
        <v>2</v>
      </c>
      <c r="K1708">
        <v>208.26</v>
      </c>
      <c r="L1708">
        <v>104.13</v>
      </c>
      <c r="M1708">
        <v>142</v>
      </c>
      <c r="N1708">
        <v>23720.249999999996</v>
      </c>
      <c r="O1708">
        <v>167.04</v>
      </c>
    </row>
    <row r="1709" spans="1:15" x14ac:dyDescent="0.35">
      <c r="A1709" t="s">
        <v>2094</v>
      </c>
      <c r="B1709" t="s">
        <v>2095</v>
      </c>
      <c r="C1709" t="s">
        <v>1644</v>
      </c>
      <c r="D1709" t="s">
        <v>293</v>
      </c>
      <c r="E1709" t="s">
        <v>300</v>
      </c>
      <c r="F1709" t="s">
        <v>2099</v>
      </c>
      <c r="G1709">
        <v>9</v>
      </c>
      <c r="H1709">
        <v>1765.13</v>
      </c>
      <c r="I1709">
        <v>196.13</v>
      </c>
      <c r="J1709">
        <v>2</v>
      </c>
      <c r="K1709">
        <v>457.98</v>
      </c>
      <c r="L1709">
        <v>228.99</v>
      </c>
      <c r="M1709">
        <v>11</v>
      </c>
      <c r="N1709">
        <v>2223.11</v>
      </c>
      <c r="O1709">
        <v>202.1</v>
      </c>
    </row>
    <row r="1710" spans="1:15" x14ac:dyDescent="0.35">
      <c r="A1710" t="s">
        <v>2094</v>
      </c>
      <c r="B1710" t="s">
        <v>2095</v>
      </c>
      <c r="C1710" t="s">
        <v>1644</v>
      </c>
      <c r="D1710" t="s">
        <v>293</v>
      </c>
      <c r="E1710" t="s">
        <v>302</v>
      </c>
      <c r="F1710" t="s">
        <v>2100</v>
      </c>
      <c r="G1710">
        <v>1</v>
      </c>
      <c r="H1710">
        <v>191.74</v>
      </c>
      <c r="I1710">
        <v>191.74</v>
      </c>
      <c r="J1710">
        <v>0</v>
      </c>
      <c r="K1710">
        <v>0</v>
      </c>
      <c r="L1710">
        <v>0</v>
      </c>
      <c r="M1710">
        <v>1</v>
      </c>
      <c r="N1710">
        <v>191.74</v>
      </c>
      <c r="O1710">
        <v>191.74</v>
      </c>
    </row>
    <row r="1711" spans="1:15" x14ac:dyDescent="0.35">
      <c r="A1711" t="s">
        <v>2094</v>
      </c>
      <c r="B1711" t="s">
        <v>2095</v>
      </c>
      <c r="C1711" t="s">
        <v>1644</v>
      </c>
      <c r="D1711" t="s">
        <v>293</v>
      </c>
      <c r="E1711" t="s">
        <v>304</v>
      </c>
      <c r="F1711" t="s">
        <v>2101</v>
      </c>
      <c r="G1711">
        <v>0</v>
      </c>
      <c r="H1711">
        <v>0</v>
      </c>
      <c r="I1711">
        <v>0</v>
      </c>
      <c r="J1711">
        <v>0</v>
      </c>
      <c r="K1711">
        <v>0</v>
      </c>
      <c r="L1711">
        <v>0</v>
      </c>
      <c r="M1711">
        <v>0</v>
      </c>
      <c r="N1711">
        <v>0</v>
      </c>
      <c r="O1711">
        <v>0</v>
      </c>
    </row>
    <row r="1712" spans="1:15" x14ac:dyDescent="0.35">
      <c r="A1712" t="s">
        <v>2094</v>
      </c>
      <c r="B1712" t="s">
        <v>2095</v>
      </c>
      <c r="C1712" t="s">
        <v>1644</v>
      </c>
      <c r="D1712" t="s">
        <v>293</v>
      </c>
      <c r="E1712" t="s">
        <v>306</v>
      </c>
      <c r="F1712" t="s">
        <v>2102</v>
      </c>
      <c r="G1712">
        <v>0</v>
      </c>
      <c r="H1712">
        <v>0</v>
      </c>
      <c r="I1712">
        <v>0</v>
      </c>
      <c r="J1712">
        <v>5</v>
      </c>
      <c r="K1712">
        <v>490.4</v>
      </c>
      <c r="L1712">
        <v>98.08</v>
      </c>
      <c r="M1712">
        <v>5</v>
      </c>
      <c r="N1712">
        <v>490.4</v>
      </c>
      <c r="O1712">
        <v>98.08</v>
      </c>
    </row>
    <row r="1713" spans="1:15" x14ac:dyDescent="0.35">
      <c r="A1713" t="s">
        <v>2094</v>
      </c>
      <c r="B1713" t="s">
        <v>2095</v>
      </c>
      <c r="C1713" t="s">
        <v>1644</v>
      </c>
      <c r="D1713" t="s">
        <v>293</v>
      </c>
      <c r="E1713" t="s">
        <v>308</v>
      </c>
      <c r="F1713" t="s">
        <v>2103</v>
      </c>
      <c r="G1713">
        <v>0</v>
      </c>
      <c r="H1713">
        <v>0</v>
      </c>
      <c r="I1713">
        <v>0</v>
      </c>
      <c r="J1713">
        <v>0</v>
      </c>
      <c r="K1713">
        <v>0</v>
      </c>
      <c r="L1713">
        <v>0</v>
      </c>
      <c r="M1713">
        <v>0</v>
      </c>
      <c r="N1713">
        <v>0</v>
      </c>
      <c r="O1713">
        <v>0</v>
      </c>
    </row>
    <row r="1714" spans="1:15" x14ac:dyDescent="0.35">
      <c r="A1714" t="s">
        <v>2094</v>
      </c>
      <c r="B1714" t="s">
        <v>2095</v>
      </c>
      <c r="C1714" t="s">
        <v>1644</v>
      </c>
      <c r="D1714" t="s">
        <v>293</v>
      </c>
      <c r="E1714" t="s">
        <v>310</v>
      </c>
      <c r="F1714" t="s">
        <v>2104</v>
      </c>
      <c r="G1714">
        <v>330</v>
      </c>
      <c r="H1714">
        <v>50212.369999999995</v>
      </c>
      <c r="I1714">
        <v>152.16</v>
      </c>
      <c r="J1714">
        <v>36</v>
      </c>
      <c r="K1714">
        <v>4212.47</v>
      </c>
      <c r="L1714">
        <v>117.01</v>
      </c>
      <c r="M1714">
        <v>366</v>
      </c>
      <c r="N1714">
        <v>54424.84</v>
      </c>
      <c r="O1714">
        <v>148.69999999999999</v>
      </c>
    </row>
    <row r="1715" spans="1:15" x14ac:dyDescent="0.35">
      <c r="A1715" t="s">
        <v>2094</v>
      </c>
      <c r="B1715" t="s">
        <v>2095</v>
      </c>
      <c r="C1715" t="s">
        <v>1644</v>
      </c>
      <c r="D1715" t="s">
        <v>293</v>
      </c>
      <c r="E1715" t="s">
        <v>312</v>
      </c>
      <c r="F1715" t="s">
        <v>2105</v>
      </c>
      <c r="G1715">
        <v>330</v>
      </c>
      <c r="H1715">
        <v>50212.369999999995</v>
      </c>
      <c r="I1715">
        <v>152.16</v>
      </c>
      <c r="J1715">
        <v>36</v>
      </c>
      <c r="K1715">
        <v>4212.47</v>
      </c>
      <c r="L1715">
        <v>117.01</v>
      </c>
      <c r="M1715">
        <v>366</v>
      </c>
      <c r="N1715">
        <v>54424.84</v>
      </c>
      <c r="O1715">
        <v>148.69999999999999</v>
      </c>
    </row>
    <row r="1716" spans="1:15" x14ac:dyDescent="0.35">
      <c r="A1716" t="s">
        <v>2094</v>
      </c>
      <c r="B1716" t="s">
        <v>2095</v>
      </c>
      <c r="C1716" t="s">
        <v>1644</v>
      </c>
      <c r="D1716" t="s">
        <v>314</v>
      </c>
      <c r="E1716" t="s">
        <v>294</v>
      </c>
      <c r="F1716" t="s">
        <v>2106</v>
      </c>
      <c r="G1716">
        <v>12</v>
      </c>
      <c r="H1716">
        <v>1335.24</v>
      </c>
      <c r="I1716">
        <v>111.27</v>
      </c>
      <c r="J1716">
        <v>0</v>
      </c>
      <c r="K1716">
        <v>0</v>
      </c>
      <c r="L1716">
        <v>0</v>
      </c>
      <c r="M1716">
        <v>12</v>
      </c>
      <c r="N1716">
        <v>1335.24</v>
      </c>
      <c r="O1716">
        <v>111.27</v>
      </c>
    </row>
    <row r="1717" spans="1:15" x14ac:dyDescent="0.35">
      <c r="A1717" t="s">
        <v>2094</v>
      </c>
      <c r="B1717" t="s">
        <v>2095</v>
      </c>
      <c r="C1717" t="s">
        <v>1644</v>
      </c>
      <c r="D1717" t="s">
        <v>314</v>
      </c>
      <c r="E1717" t="s">
        <v>296</v>
      </c>
      <c r="F1717" t="s">
        <v>2107</v>
      </c>
      <c r="G1717">
        <v>0</v>
      </c>
      <c r="H1717">
        <v>0</v>
      </c>
      <c r="I1717">
        <v>0</v>
      </c>
      <c r="J1717">
        <v>0</v>
      </c>
      <c r="K1717">
        <v>0</v>
      </c>
      <c r="L1717">
        <v>0</v>
      </c>
      <c r="M1717">
        <v>0</v>
      </c>
      <c r="N1717">
        <v>0</v>
      </c>
      <c r="O1717">
        <v>0</v>
      </c>
    </row>
    <row r="1718" spans="1:15" x14ac:dyDescent="0.35">
      <c r="A1718" t="s">
        <v>2094</v>
      </c>
      <c r="B1718" t="s">
        <v>2095</v>
      </c>
      <c r="C1718" t="s">
        <v>1644</v>
      </c>
      <c r="D1718" t="s">
        <v>314</v>
      </c>
      <c r="E1718" t="s">
        <v>298</v>
      </c>
      <c r="F1718" t="s">
        <v>2108</v>
      </c>
      <c r="G1718">
        <v>0</v>
      </c>
      <c r="H1718">
        <v>0</v>
      </c>
      <c r="I1718">
        <v>0</v>
      </c>
      <c r="J1718">
        <v>0</v>
      </c>
      <c r="K1718">
        <v>0</v>
      </c>
      <c r="L1718">
        <v>0</v>
      </c>
      <c r="M1718">
        <v>0</v>
      </c>
      <c r="N1718">
        <v>0</v>
      </c>
      <c r="O1718">
        <v>0</v>
      </c>
    </row>
    <row r="1719" spans="1:15" x14ac:dyDescent="0.35">
      <c r="A1719" t="s">
        <v>2094</v>
      </c>
      <c r="B1719" t="s">
        <v>2095</v>
      </c>
      <c r="C1719" t="s">
        <v>1644</v>
      </c>
      <c r="D1719" t="s">
        <v>314</v>
      </c>
      <c r="E1719" t="s">
        <v>300</v>
      </c>
      <c r="F1719" t="s">
        <v>2109</v>
      </c>
      <c r="G1719">
        <v>0</v>
      </c>
      <c r="H1719">
        <v>0</v>
      </c>
      <c r="I1719">
        <v>0</v>
      </c>
      <c r="J1719">
        <v>0</v>
      </c>
      <c r="K1719">
        <v>0</v>
      </c>
      <c r="L1719">
        <v>0</v>
      </c>
      <c r="M1719">
        <v>0</v>
      </c>
      <c r="N1719">
        <v>0</v>
      </c>
      <c r="O1719">
        <v>0</v>
      </c>
    </row>
    <row r="1720" spans="1:15" x14ac:dyDescent="0.35">
      <c r="A1720" t="s">
        <v>2094</v>
      </c>
      <c r="B1720" t="s">
        <v>2095</v>
      </c>
      <c r="C1720" t="s">
        <v>1644</v>
      </c>
      <c r="D1720" t="s">
        <v>314</v>
      </c>
      <c r="E1720" t="s">
        <v>306</v>
      </c>
      <c r="F1720" t="s">
        <v>2110</v>
      </c>
      <c r="G1720">
        <v>0</v>
      </c>
      <c r="H1720">
        <v>0</v>
      </c>
      <c r="I1720">
        <v>0</v>
      </c>
      <c r="J1720">
        <v>0</v>
      </c>
      <c r="K1720">
        <v>0</v>
      </c>
      <c r="L1720">
        <v>0</v>
      </c>
      <c r="M1720">
        <v>0</v>
      </c>
      <c r="N1720">
        <v>0</v>
      </c>
      <c r="O1720">
        <v>0</v>
      </c>
    </row>
    <row r="1721" spans="1:15" x14ac:dyDescent="0.35">
      <c r="A1721" t="s">
        <v>2094</v>
      </c>
      <c r="B1721" t="s">
        <v>2095</v>
      </c>
      <c r="C1721" t="s">
        <v>1644</v>
      </c>
      <c r="D1721" t="s">
        <v>314</v>
      </c>
      <c r="E1721" t="s">
        <v>308</v>
      </c>
      <c r="F1721" t="s">
        <v>2111</v>
      </c>
      <c r="G1721">
        <v>0</v>
      </c>
      <c r="H1721">
        <v>0</v>
      </c>
      <c r="I1721">
        <v>0</v>
      </c>
      <c r="J1721">
        <v>0</v>
      </c>
      <c r="K1721">
        <v>0</v>
      </c>
      <c r="L1721">
        <v>0</v>
      </c>
      <c r="M1721">
        <v>0</v>
      </c>
      <c r="N1721">
        <v>0</v>
      </c>
      <c r="O1721">
        <v>0</v>
      </c>
    </row>
    <row r="1722" spans="1:15" x14ac:dyDescent="0.35">
      <c r="A1722" t="s">
        <v>2094</v>
      </c>
      <c r="B1722" t="s">
        <v>2095</v>
      </c>
      <c r="C1722" t="s">
        <v>1644</v>
      </c>
      <c r="D1722" t="s">
        <v>314</v>
      </c>
      <c r="E1722" t="s">
        <v>312</v>
      </c>
      <c r="F1722" t="s">
        <v>2112</v>
      </c>
      <c r="G1722">
        <v>12</v>
      </c>
      <c r="H1722">
        <v>1335.24</v>
      </c>
      <c r="I1722">
        <v>111.27</v>
      </c>
      <c r="J1722">
        <v>0</v>
      </c>
      <c r="K1722">
        <v>0</v>
      </c>
      <c r="L1722">
        <v>0</v>
      </c>
      <c r="M1722">
        <v>12</v>
      </c>
      <c r="N1722">
        <v>1335.24</v>
      </c>
      <c r="O1722">
        <v>111.27</v>
      </c>
    </row>
    <row r="1723" spans="1:15" x14ac:dyDescent="0.35">
      <c r="A1723" t="s">
        <v>2094</v>
      </c>
      <c r="B1723" t="s">
        <v>2095</v>
      </c>
      <c r="C1723" t="s">
        <v>1644</v>
      </c>
      <c r="D1723" t="s">
        <v>314</v>
      </c>
      <c r="E1723" t="s">
        <v>310</v>
      </c>
      <c r="F1723" t="s">
        <v>2113</v>
      </c>
      <c r="G1723">
        <v>12</v>
      </c>
      <c r="H1723">
        <v>1335.24</v>
      </c>
      <c r="I1723">
        <v>111.27</v>
      </c>
      <c r="J1723">
        <v>0</v>
      </c>
      <c r="K1723">
        <v>0</v>
      </c>
      <c r="L1723">
        <v>0</v>
      </c>
      <c r="M1723">
        <v>12</v>
      </c>
      <c r="N1723">
        <v>1335.24</v>
      </c>
      <c r="O1723">
        <v>111.27</v>
      </c>
    </row>
    <row r="1724" spans="1:15" x14ac:dyDescent="0.35">
      <c r="A1724" t="s">
        <v>2094</v>
      </c>
      <c r="B1724" t="s">
        <v>2095</v>
      </c>
      <c r="C1724" t="s">
        <v>1644</v>
      </c>
      <c r="D1724" t="s">
        <v>323</v>
      </c>
      <c r="E1724" t="s">
        <v>294</v>
      </c>
      <c r="F1724" t="s">
        <v>2114</v>
      </c>
      <c r="G1724">
        <v>1247</v>
      </c>
      <c r="H1724">
        <v>115621.93</v>
      </c>
      <c r="I1724">
        <v>92.72</v>
      </c>
      <c r="J1724">
        <v>0</v>
      </c>
      <c r="K1724">
        <v>0</v>
      </c>
      <c r="L1724">
        <v>0</v>
      </c>
      <c r="M1724">
        <v>1247</v>
      </c>
      <c r="N1724">
        <v>115621.93</v>
      </c>
      <c r="O1724">
        <v>92.72</v>
      </c>
    </row>
    <row r="1725" spans="1:15" x14ac:dyDescent="0.35">
      <c r="A1725" t="s">
        <v>2094</v>
      </c>
      <c r="B1725" t="s">
        <v>2095</v>
      </c>
      <c r="C1725" t="s">
        <v>1644</v>
      </c>
      <c r="D1725" t="s">
        <v>323</v>
      </c>
      <c r="E1725" t="s">
        <v>296</v>
      </c>
      <c r="F1725" t="s">
        <v>2115</v>
      </c>
      <c r="G1725">
        <v>2131</v>
      </c>
      <c r="H1725">
        <v>230865.6</v>
      </c>
      <c r="I1725">
        <v>108.34</v>
      </c>
      <c r="J1725">
        <v>0</v>
      </c>
      <c r="K1725">
        <v>0</v>
      </c>
      <c r="L1725">
        <v>0</v>
      </c>
      <c r="M1725">
        <v>2131</v>
      </c>
      <c r="N1725">
        <v>230865.6</v>
      </c>
      <c r="O1725">
        <v>108.34</v>
      </c>
    </row>
    <row r="1726" spans="1:15" x14ac:dyDescent="0.35">
      <c r="A1726" t="s">
        <v>2094</v>
      </c>
      <c r="B1726" t="s">
        <v>2095</v>
      </c>
      <c r="C1726" t="s">
        <v>1644</v>
      </c>
      <c r="D1726" t="s">
        <v>323</v>
      </c>
      <c r="E1726" t="s">
        <v>298</v>
      </c>
      <c r="F1726" t="s">
        <v>2116</v>
      </c>
      <c r="G1726">
        <v>1856</v>
      </c>
      <c r="H1726">
        <v>225750.7</v>
      </c>
      <c r="I1726">
        <v>121.63</v>
      </c>
      <c r="J1726">
        <v>0</v>
      </c>
      <c r="K1726">
        <v>0</v>
      </c>
      <c r="L1726">
        <v>0</v>
      </c>
      <c r="M1726">
        <v>1856</v>
      </c>
      <c r="N1726">
        <v>225750.7</v>
      </c>
      <c r="O1726">
        <v>121.63</v>
      </c>
    </row>
    <row r="1727" spans="1:15" x14ac:dyDescent="0.35">
      <c r="A1727" t="s">
        <v>2094</v>
      </c>
      <c r="B1727" t="s">
        <v>2095</v>
      </c>
      <c r="C1727" t="s">
        <v>1644</v>
      </c>
      <c r="D1727" t="s">
        <v>323</v>
      </c>
      <c r="E1727" t="s">
        <v>300</v>
      </c>
      <c r="F1727" t="s">
        <v>2117</v>
      </c>
      <c r="G1727">
        <v>119</v>
      </c>
      <c r="H1727">
        <v>15877.05</v>
      </c>
      <c r="I1727">
        <v>133.41999999999999</v>
      </c>
      <c r="J1727">
        <v>0</v>
      </c>
      <c r="K1727">
        <v>0</v>
      </c>
      <c r="L1727">
        <v>0</v>
      </c>
      <c r="M1727">
        <v>119</v>
      </c>
      <c r="N1727">
        <v>15877.05</v>
      </c>
      <c r="O1727">
        <v>133.41999999999999</v>
      </c>
    </row>
    <row r="1728" spans="1:15" x14ac:dyDescent="0.35">
      <c r="A1728" t="s">
        <v>2094</v>
      </c>
      <c r="B1728" t="s">
        <v>2095</v>
      </c>
      <c r="C1728" t="s">
        <v>1644</v>
      </c>
      <c r="D1728" t="s">
        <v>323</v>
      </c>
      <c r="E1728" t="s">
        <v>302</v>
      </c>
      <c r="F1728" t="s">
        <v>2118</v>
      </c>
      <c r="G1728">
        <v>5</v>
      </c>
      <c r="H1728">
        <v>712.93000000000006</v>
      </c>
      <c r="I1728">
        <v>142.59</v>
      </c>
      <c r="J1728">
        <v>0</v>
      </c>
      <c r="K1728">
        <v>0</v>
      </c>
      <c r="L1728">
        <v>0</v>
      </c>
      <c r="M1728">
        <v>5</v>
      </c>
      <c r="N1728">
        <v>712.93000000000006</v>
      </c>
      <c r="O1728">
        <v>142.59</v>
      </c>
    </row>
    <row r="1729" spans="1:15" x14ac:dyDescent="0.35">
      <c r="A1729" t="s">
        <v>2094</v>
      </c>
      <c r="B1729" t="s">
        <v>2095</v>
      </c>
      <c r="C1729" t="s">
        <v>1644</v>
      </c>
      <c r="D1729" t="s">
        <v>323</v>
      </c>
      <c r="E1729" t="s">
        <v>304</v>
      </c>
      <c r="F1729" t="s">
        <v>2119</v>
      </c>
      <c r="G1729">
        <v>3</v>
      </c>
      <c r="H1729">
        <v>435.26</v>
      </c>
      <c r="I1729">
        <v>145.09</v>
      </c>
      <c r="J1729">
        <v>0</v>
      </c>
      <c r="K1729">
        <v>0</v>
      </c>
      <c r="L1729">
        <v>0</v>
      </c>
      <c r="M1729">
        <v>3</v>
      </c>
      <c r="N1729">
        <v>435.26</v>
      </c>
      <c r="O1729">
        <v>145.09</v>
      </c>
    </row>
    <row r="1730" spans="1:15" x14ac:dyDescent="0.35">
      <c r="A1730" t="s">
        <v>2094</v>
      </c>
      <c r="B1730" t="s">
        <v>2095</v>
      </c>
      <c r="C1730" t="s">
        <v>1644</v>
      </c>
      <c r="D1730" t="s">
        <v>323</v>
      </c>
      <c r="E1730" t="s">
        <v>306</v>
      </c>
      <c r="F1730" t="s">
        <v>2120</v>
      </c>
      <c r="G1730">
        <v>55</v>
      </c>
      <c r="H1730">
        <v>4272.45</v>
      </c>
      <c r="I1730">
        <v>77.680000000000007</v>
      </c>
      <c r="J1730">
        <v>0</v>
      </c>
      <c r="K1730">
        <v>0</v>
      </c>
      <c r="L1730">
        <v>0</v>
      </c>
      <c r="M1730">
        <v>55</v>
      </c>
      <c r="N1730">
        <v>4272.45</v>
      </c>
      <c r="O1730">
        <v>77.680000000000007</v>
      </c>
    </row>
    <row r="1731" spans="1:15" x14ac:dyDescent="0.35">
      <c r="A1731" t="s">
        <v>2094</v>
      </c>
      <c r="B1731" t="s">
        <v>2095</v>
      </c>
      <c r="C1731" t="s">
        <v>1644</v>
      </c>
      <c r="D1731" t="s">
        <v>323</v>
      </c>
      <c r="E1731" t="s">
        <v>308</v>
      </c>
      <c r="F1731" t="s">
        <v>2121</v>
      </c>
      <c r="G1731">
        <v>0</v>
      </c>
      <c r="H1731">
        <v>0</v>
      </c>
      <c r="I1731">
        <v>0</v>
      </c>
      <c r="J1731">
        <v>0</v>
      </c>
      <c r="K1731">
        <v>0</v>
      </c>
      <c r="L1731">
        <v>0</v>
      </c>
      <c r="M1731">
        <v>0</v>
      </c>
      <c r="N1731">
        <v>0</v>
      </c>
      <c r="O1731">
        <v>0</v>
      </c>
    </row>
    <row r="1732" spans="1:15" x14ac:dyDescent="0.35">
      <c r="A1732" t="s">
        <v>2094</v>
      </c>
      <c r="B1732" t="s">
        <v>2095</v>
      </c>
      <c r="C1732" t="s">
        <v>1644</v>
      </c>
      <c r="D1732" t="s">
        <v>323</v>
      </c>
      <c r="E1732" t="s">
        <v>310</v>
      </c>
      <c r="F1732" t="s">
        <v>2122</v>
      </c>
      <c r="G1732">
        <v>5416</v>
      </c>
      <c r="H1732">
        <v>593535.92000000004</v>
      </c>
      <c r="I1732">
        <v>109.59</v>
      </c>
      <c r="J1732">
        <v>0</v>
      </c>
      <c r="K1732">
        <v>0</v>
      </c>
      <c r="L1732">
        <v>0</v>
      </c>
      <c r="M1732">
        <v>5416</v>
      </c>
      <c r="N1732">
        <v>593535.92000000004</v>
      </c>
      <c r="O1732">
        <v>109.59</v>
      </c>
    </row>
    <row r="1733" spans="1:15" x14ac:dyDescent="0.35">
      <c r="A1733" t="s">
        <v>2094</v>
      </c>
      <c r="B1733" t="s">
        <v>2095</v>
      </c>
      <c r="C1733" t="s">
        <v>1644</v>
      </c>
      <c r="D1733" t="s">
        <v>323</v>
      </c>
      <c r="E1733" t="s">
        <v>312</v>
      </c>
      <c r="F1733" t="s">
        <v>2123</v>
      </c>
      <c r="G1733">
        <v>5416</v>
      </c>
      <c r="H1733">
        <v>593535.92000000004</v>
      </c>
      <c r="I1733">
        <v>109.59</v>
      </c>
      <c r="J1733">
        <v>0</v>
      </c>
      <c r="K1733">
        <v>0</v>
      </c>
      <c r="L1733">
        <v>0</v>
      </c>
      <c r="M1733">
        <v>5416</v>
      </c>
      <c r="N1733">
        <v>593535.92000000004</v>
      </c>
      <c r="O1733">
        <v>109.59</v>
      </c>
    </row>
    <row r="1734" spans="1:15" x14ac:dyDescent="0.35">
      <c r="A1734" t="s">
        <v>2094</v>
      </c>
      <c r="B1734" t="s">
        <v>2095</v>
      </c>
      <c r="C1734" t="s">
        <v>1644</v>
      </c>
      <c r="D1734" t="s">
        <v>334</v>
      </c>
      <c r="E1734" t="s">
        <v>312</v>
      </c>
      <c r="F1734" t="s">
        <v>2124</v>
      </c>
      <c r="G1734">
        <v>6255</v>
      </c>
      <c r="H1734">
        <v>643748.29000000015</v>
      </c>
      <c r="I1734">
        <v>112.03</v>
      </c>
      <c r="J1734">
        <v>36</v>
      </c>
      <c r="K1734">
        <v>4212.47</v>
      </c>
      <c r="L1734">
        <v>117.01</v>
      </c>
      <c r="M1734">
        <v>6291</v>
      </c>
      <c r="N1734">
        <v>647960.76000000013</v>
      </c>
      <c r="O1734">
        <v>112.07</v>
      </c>
    </row>
    <row r="1735" spans="1:15" x14ac:dyDescent="0.35">
      <c r="A1735" t="s">
        <v>2094</v>
      </c>
      <c r="B1735" t="s">
        <v>2095</v>
      </c>
      <c r="C1735" t="s">
        <v>1644</v>
      </c>
      <c r="D1735" t="s">
        <v>334</v>
      </c>
      <c r="E1735" t="s">
        <v>308</v>
      </c>
      <c r="F1735" t="s">
        <v>2125</v>
      </c>
      <c r="G1735">
        <v>0</v>
      </c>
      <c r="H1735">
        <v>0</v>
      </c>
      <c r="I1735">
        <v>0</v>
      </c>
      <c r="J1735">
        <v>0</v>
      </c>
      <c r="K1735">
        <v>0</v>
      </c>
      <c r="L1735">
        <v>0</v>
      </c>
      <c r="M1735">
        <v>0</v>
      </c>
      <c r="N1735">
        <v>0</v>
      </c>
      <c r="O1735">
        <v>0</v>
      </c>
    </row>
    <row r="1736" spans="1:15" x14ac:dyDescent="0.35">
      <c r="A1736" t="s">
        <v>2094</v>
      </c>
      <c r="B1736" t="s">
        <v>2095</v>
      </c>
      <c r="C1736" t="s">
        <v>1644</v>
      </c>
      <c r="D1736" t="s">
        <v>337</v>
      </c>
      <c r="E1736" t="s">
        <v>337</v>
      </c>
      <c r="F1736" t="s">
        <v>2126</v>
      </c>
      <c r="G1736">
        <v>296</v>
      </c>
      <c r="J1736">
        <v>50</v>
      </c>
      <c r="M1736">
        <v>346</v>
      </c>
    </row>
    <row r="1737" spans="1:15" x14ac:dyDescent="0.35">
      <c r="A1737" t="s">
        <v>2094</v>
      </c>
      <c r="B1737" t="s">
        <v>2095</v>
      </c>
      <c r="C1737" t="s">
        <v>1644</v>
      </c>
      <c r="D1737" t="s">
        <v>339</v>
      </c>
      <c r="E1737" t="s">
        <v>294</v>
      </c>
      <c r="F1737" t="s">
        <v>2127</v>
      </c>
      <c r="G1737">
        <v>681</v>
      </c>
      <c r="H1737">
        <v>73632.14</v>
      </c>
      <c r="I1737">
        <v>108.12</v>
      </c>
      <c r="J1737">
        <v>0</v>
      </c>
      <c r="K1737">
        <v>0</v>
      </c>
      <c r="L1737">
        <v>0</v>
      </c>
      <c r="M1737">
        <v>681</v>
      </c>
      <c r="N1737">
        <v>73632.14</v>
      </c>
      <c r="O1737">
        <v>108.12</v>
      </c>
    </row>
    <row r="1738" spans="1:15" x14ac:dyDescent="0.35">
      <c r="A1738" t="s">
        <v>2094</v>
      </c>
      <c r="B1738" t="s">
        <v>2095</v>
      </c>
      <c r="C1738" t="s">
        <v>1644</v>
      </c>
      <c r="D1738" t="s">
        <v>339</v>
      </c>
      <c r="E1738" t="s">
        <v>296</v>
      </c>
      <c r="F1738" t="s">
        <v>2128</v>
      </c>
      <c r="G1738">
        <v>60</v>
      </c>
      <c r="H1738">
        <v>8252.49</v>
      </c>
      <c r="I1738">
        <v>137.54</v>
      </c>
      <c r="J1738">
        <v>0</v>
      </c>
      <c r="K1738">
        <v>0</v>
      </c>
      <c r="L1738">
        <v>0</v>
      </c>
      <c r="M1738">
        <v>60</v>
      </c>
      <c r="N1738">
        <v>8252.49</v>
      </c>
      <c r="O1738">
        <v>137.54</v>
      </c>
    </row>
    <row r="1739" spans="1:15" x14ac:dyDescent="0.35">
      <c r="A1739" t="s">
        <v>2094</v>
      </c>
      <c r="B1739" t="s">
        <v>2095</v>
      </c>
      <c r="C1739" t="s">
        <v>1644</v>
      </c>
      <c r="D1739" t="s">
        <v>339</v>
      </c>
      <c r="E1739" t="s">
        <v>298</v>
      </c>
      <c r="F1739" t="s">
        <v>2129</v>
      </c>
      <c r="G1739">
        <v>4</v>
      </c>
      <c r="H1739">
        <v>507.81</v>
      </c>
      <c r="I1739">
        <v>126.95</v>
      </c>
      <c r="J1739">
        <v>0</v>
      </c>
      <c r="K1739">
        <v>0</v>
      </c>
      <c r="L1739">
        <v>0</v>
      </c>
      <c r="M1739">
        <v>4</v>
      </c>
      <c r="N1739">
        <v>507.81</v>
      </c>
      <c r="O1739">
        <v>126.95</v>
      </c>
    </row>
    <row r="1740" spans="1:15" x14ac:dyDescent="0.35">
      <c r="A1740" t="s">
        <v>2094</v>
      </c>
      <c r="B1740" t="s">
        <v>2095</v>
      </c>
      <c r="C1740" t="s">
        <v>1644</v>
      </c>
      <c r="D1740" t="s">
        <v>339</v>
      </c>
      <c r="E1740" t="s">
        <v>300</v>
      </c>
      <c r="F1740" t="s">
        <v>2130</v>
      </c>
      <c r="G1740">
        <v>1</v>
      </c>
      <c r="H1740">
        <v>133.22</v>
      </c>
      <c r="I1740">
        <v>133.22</v>
      </c>
      <c r="J1740">
        <v>0</v>
      </c>
      <c r="K1740">
        <v>0</v>
      </c>
      <c r="L1740">
        <v>0</v>
      </c>
      <c r="M1740">
        <v>1</v>
      </c>
      <c r="N1740">
        <v>133.22</v>
      </c>
      <c r="O1740">
        <v>133.22</v>
      </c>
    </row>
    <row r="1741" spans="1:15" x14ac:dyDescent="0.35">
      <c r="A1741" t="s">
        <v>2094</v>
      </c>
      <c r="B1741" t="s">
        <v>2095</v>
      </c>
      <c r="C1741" t="s">
        <v>1644</v>
      </c>
      <c r="D1741" t="s">
        <v>339</v>
      </c>
      <c r="E1741" t="s">
        <v>306</v>
      </c>
      <c r="F1741" t="s">
        <v>2131</v>
      </c>
      <c r="G1741">
        <v>111</v>
      </c>
      <c r="H1741">
        <v>10319.960000000001</v>
      </c>
      <c r="I1741">
        <v>92.97</v>
      </c>
      <c r="J1741">
        <v>0</v>
      </c>
      <c r="K1741">
        <v>0</v>
      </c>
      <c r="L1741">
        <v>0</v>
      </c>
      <c r="M1741">
        <v>111</v>
      </c>
      <c r="N1741">
        <v>10319.960000000001</v>
      </c>
      <c r="O1741">
        <v>92.97</v>
      </c>
    </row>
    <row r="1742" spans="1:15" x14ac:dyDescent="0.35">
      <c r="A1742" t="s">
        <v>2094</v>
      </c>
      <c r="B1742" t="s">
        <v>2095</v>
      </c>
      <c r="C1742" t="s">
        <v>1644</v>
      </c>
      <c r="D1742" t="s">
        <v>339</v>
      </c>
      <c r="E1742" t="s">
        <v>308</v>
      </c>
      <c r="F1742" t="s">
        <v>2132</v>
      </c>
      <c r="G1742">
        <v>169</v>
      </c>
      <c r="H1742">
        <v>15793.560000000001</v>
      </c>
      <c r="I1742">
        <v>93.45</v>
      </c>
      <c r="J1742">
        <v>0</v>
      </c>
      <c r="K1742">
        <v>0</v>
      </c>
      <c r="L1742">
        <v>0</v>
      </c>
      <c r="M1742">
        <v>169</v>
      </c>
      <c r="N1742">
        <v>15793.560000000001</v>
      </c>
      <c r="O1742">
        <v>93.45</v>
      </c>
    </row>
    <row r="1743" spans="1:15" x14ac:dyDescent="0.35">
      <c r="A1743" t="s">
        <v>2094</v>
      </c>
      <c r="B1743" t="s">
        <v>2095</v>
      </c>
      <c r="C1743" t="s">
        <v>1644</v>
      </c>
      <c r="D1743" t="s">
        <v>339</v>
      </c>
      <c r="E1743" t="s">
        <v>310</v>
      </c>
      <c r="F1743" t="s">
        <v>2133</v>
      </c>
      <c r="G1743">
        <v>1026</v>
      </c>
      <c r="H1743">
        <v>108639.18000000001</v>
      </c>
      <c r="I1743">
        <v>105.89</v>
      </c>
      <c r="J1743">
        <v>0</v>
      </c>
      <c r="K1743">
        <v>0</v>
      </c>
      <c r="L1743">
        <v>0</v>
      </c>
      <c r="M1743">
        <v>1026</v>
      </c>
      <c r="N1743">
        <v>108639.18000000001</v>
      </c>
      <c r="O1743">
        <v>105.89</v>
      </c>
    </row>
    <row r="1744" spans="1:15" x14ac:dyDescent="0.35">
      <c r="A1744" t="s">
        <v>2094</v>
      </c>
      <c r="B1744" t="s">
        <v>2095</v>
      </c>
      <c r="C1744" t="s">
        <v>1644</v>
      </c>
      <c r="D1744" t="s">
        <v>339</v>
      </c>
      <c r="E1744" t="s">
        <v>312</v>
      </c>
      <c r="F1744" t="s">
        <v>2134</v>
      </c>
      <c r="G1744">
        <v>857</v>
      </c>
      <c r="H1744">
        <v>92845.62000000001</v>
      </c>
      <c r="I1744">
        <v>108.34</v>
      </c>
      <c r="J1744">
        <v>0</v>
      </c>
      <c r="K1744">
        <v>0</v>
      </c>
      <c r="L1744">
        <v>0</v>
      </c>
      <c r="M1744">
        <v>857</v>
      </c>
      <c r="N1744">
        <v>92845.62000000001</v>
      </c>
      <c r="O1744">
        <v>108.34</v>
      </c>
    </row>
    <row r="1745" spans="1:15" x14ac:dyDescent="0.35">
      <c r="A1745" t="s">
        <v>2094</v>
      </c>
      <c r="B1745" t="s">
        <v>2095</v>
      </c>
      <c r="C1745" t="s">
        <v>1644</v>
      </c>
      <c r="D1745" t="s">
        <v>348</v>
      </c>
      <c r="E1745" t="s">
        <v>349</v>
      </c>
      <c r="F1745" t="s">
        <v>2135</v>
      </c>
      <c r="G1745">
        <v>1138</v>
      </c>
      <c r="H1745">
        <v>109974.42000000001</v>
      </c>
      <c r="I1745">
        <v>105.95</v>
      </c>
      <c r="J1745">
        <v>0</v>
      </c>
      <c r="K1745">
        <v>0</v>
      </c>
      <c r="L1745">
        <v>0</v>
      </c>
      <c r="M1745">
        <v>1138</v>
      </c>
      <c r="N1745">
        <v>109974.42000000001</v>
      </c>
      <c r="O1745">
        <v>105.95</v>
      </c>
    </row>
    <row r="1746" spans="1:15" x14ac:dyDescent="0.35">
      <c r="A1746" t="s">
        <v>2136</v>
      </c>
      <c r="B1746" t="s">
        <v>2137</v>
      </c>
      <c r="C1746" t="s">
        <v>292</v>
      </c>
      <c r="D1746" t="s">
        <v>293</v>
      </c>
      <c r="E1746" t="s">
        <v>294</v>
      </c>
      <c r="F1746" t="s">
        <v>2138</v>
      </c>
      <c r="G1746">
        <v>132</v>
      </c>
      <c r="H1746">
        <v>12212.54</v>
      </c>
      <c r="I1746">
        <v>92.52</v>
      </c>
      <c r="J1746">
        <v>8</v>
      </c>
      <c r="K1746">
        <v>573.6</v>
      </c>
      <c r="L1746">
        <v>71.7</v>
      </c>
      <c r="M1746">
        <v>140</v>
      </c>
      <c r="N1746">
        <v>12786.140000000001</v>
      </c>
      <c r="O1746">
        <v>91.33</v>
      </c>
    </row>
    <row r="1747" spans="1:15" x14ac:dyDescent="0.35">
      <c r="A1747" t="s">
        <v>2136</v>
      </c>
      <c r="B1747" t="s">
        <v>2137</v>
      </c>
      <c r="C1747" t="s">
        <v>292</v>
      </c>
      <c r="D1747" t="s">
        <v>293</v>
      </c>
      <c r="E1747" t="s">
        <v>296</v>
      </c>
      <c r="F1747" t="s">
        <v>2139</v>
      </c>
      <c r="G1747">
        <v>3411</v>
      </c>
      <c r="H1747">
        <v>384128.68</v>
      </c>
      <c r="I1747">
        <v>112.61</v>
      </c>
      <c r="J1747">
        <v>7</v>
      </c>
      <c r="K1747">
        <v>902.8599999999999</v>
      </c>
      <c r="L1747">
        <v>128.97999999999999</v>
      </c>
      <c r="M1747">
        <v>3418</v>
      </c>
      <c r="N1747">
        <v>385031.54</v>
      </c>
      <c r="O1747">
        <v>112.65</v>
      </c>
    </row>
    <row r="1748" spans="1:15" x14ac:dyDescent="0.35">
      <c r="A1748" t="s">
        <v>2136</v>
      </c>
      <c r="B1748" t="s">
        <v>2137</v>
      </c>
      <c r="C1748" t="s">
        <v>292</v>
      </c>
      <c r="D1748" t="s">
        <v>293</v>
      </c>
      <c r="E1748" t="s">
        <v>298</v>
      </c>
      <c r="F1748" t="s">
        <v>2140</v>
      </c>
      <c r="G1748">
        <v>1195</v>
      </c>
      <c r="H1748">
        <v>151378.14999999997</v>
      </c>
      <c r="I1748">
        <v>126.68</v>
      </c>
      <c r="J1748">
        <v>7</v>
      </c>
      <c r="K1748">
        <v>1009.26</v>
      </c>
      <c r="L1748">
        <v>144.18</v>
      </c>
      <c r="M1748">
        <v>1202</v>
      </c>
      <c r="N1748">
        <v>152387.40999999997</v>
      </c>
      <c r="O1748">
        <v>126.78</v>
      </c>
    </row>
    <row r="1749" spans="1:15" x14ac:dyDescent="0.35">
      <c r="A1749" t="s">
        <v>2136</v>
      </c>
      <c r="B1749" t="s">
        <v>2137</v>
      </c>
      <c r="C1749" t="s">
        <v>292</v>
      </c>
      <c r="D1749" t="s">
        <v>293</v>
      </c>
      <c r="E1749" t="s">
        <v>300</v>
      </c>
      <c r="F1749" t="s">
        <v>2141</v>
      </c>
      <c r="G1749">
        <v>90</v>
      </c>
      <c r="H1749">
        <v>13058.04</v>
      </c>
      <c r="I1749">
        <v>145.09</v>
      </c>
      <c r="J1749">
        <v>4</v>
      </c>
      <c r="K1749">
        <v>627</v>
      </c>
      <c r="L1749">
        <v>156.75</v>
      </c>
      <c r="M1749">
        <v>94</v>
      </c>
      <c r="N1749">
        <v>13685.04</v>
      </c>
      <c r="O1749">
        <v>145.59</v>
      </c>
    </row>
    <row r="1750" spans="1:15" x14ac:dyDescent="0.35">
      <c r="A1750" t="s">
        <v>2136</v>
      </c>
      <c r="B1750" t="s">
        <v>2137</v>
      </c>
      <c r="C1750" t="s">
        <v>292</v>
      </c>
      <c r="D1750" t="s">
        <v>293</v>
      </c>
      <c r="E1750" t="s">
        <v>302</v>
      </c>
      <c r="F1750" t="s">
        <v>2142</v>
      </c>
      <c r="G1750">
        <v>1</v>
      </c>
      <c r="H1750">
        <v>123.86</v>
      </c>
      <c r="I1750">
        <v>123.86</v>
      </c>
      <c r="J1750">
        <v>0</v>
      </c>
      <c r="K1750">
        <v>0</v>
      </c>
      <c r="L1750">
        <v>0</v>
      </c>
      <c r="M1750">
        <v>1</v>
      </c>
      <c r="N1750">
        <v>123.86</v>
      </c>
      <c r="O1750">
        <v>123.86</v>
      </c>
    </row>
    <row r="1751" spans="1:15" x14ac:dyDescent="0.35">
      <c r="A1751" t="s">
        <v>2136</v>
      </c>
      <c r="B1751" t="s">
        <v>2137</v>
      </c>
      <c r="C1751" t="s">
        <v>292</v>
      </c>
      <c r="D1751" t="s">
        <v>293</v>
      </c>
      <c r="E1751" t="s">
        <v>304</v>
      </c>
      <c r="F1751" t="s">
        <v>2143</v>
      </c>
      <c r="G1751">
        <v>0</v>
      </c>
      <c r="H1751">
        <v>0</v>
      </c>
      <c r="I1751">
        <v>0</v>
      </c>
      <c r="J1751">
        <v>0</v>
      </c>
      <c r="K1751">
        <v>0</v>
      </c>
      <c r="L1751">
        <v>0</v>
      </c>
      <c r="M1751">
        <v>0</v>
      </c>
      <c r="N1751">
        <v>0</v>
      </c>
      <c r="O1751">
        <v>0</v>
      </c>
    </row>
    <row r="1752" spans="1:15" x14ac:dyDescent="0.35">
      <c r="A1752" t="s">
        <v>2136</v>
      </c>
      <c r="B1752" t="s">
        <v>2137</v>
      </c>
      <c r="C1752" t="s">
        <v>292</v>
      </c>
      <c r="D1752" t="s">
        <v>293</v>
      </c>
      <c r="E1752" t="s">
        <v>306</v>
      </c>
      <c r="F1752" t="s">
        <v>2144</v>
      </c>
      <c r="G1752">
        <v>1</v>
      </c>
      <c r="H1752">
        <v>87.46</v>
      </c>
      <c r="I1752">
        <v>87.46</v>
      </c>
      <c r="J1752">
        <v>0</v>
      </c>
      <c r="K1752">
        <v>0</v>
      </c>
      <c r="L1752">
        <v>0</v>
      </c>
      <c r="M1752">
        <v>1</v>
      </c>
      <c r="N1752">
        <v>87.46</v>
      </c>
      <c r="O1752">
        <v>87.46</v>
      </c>
    </row>
    <row r="1753" spans="1:15" x14ac:dyDescent="0.35">
      <c r="A1753" t="s">
        <v>2136</v>
      </c>
      <c r="B1753" t="s">
        <v>2137</v>
      </c>
      <c r="C1753" t="s">
        <v>292</v>
      </c>
      <c r="D1753" t="s">
        <v>293</v>
      </c>
      <c r="E1753" t="s">
        <v>308</v>
      </c>
      <c r="F1753" t="s">
        <v>2145</v>
      </c>
      <c r="G1753">
        <v>0</v>
      </c>
      <c r="H1753">
        <v>0</v>
      </c>
      <c r="I1753">
        <v>0</v>
      </c>
      <c r="J1753">
        <v>0</v>
      </c>
      <c r="K1753">
        <v>0</v>
      </c>
      <c r="L1753">
        <v>0</v>
      </c>
      <c r="M1753">
        <v>0</v>
      </c>
      <c r="N1753">
        <v>0</v>
      </c>
      <c r="O1753">
        <v>0</v>
      </c>
    </row>
    <row r="1754" spans="1:15" x14ac:dyDescent="0.35">
      <c r="A1754" t="s">
        <v>2136</v>
      </c>
      <c r="B1754" t="s">
        <v>2137</v>
      </c>
      <c r="C1754" t="s">
        <v>292</v>
      </c>
      <c r="D1754" t="s">
        <v>293</v>
      </c>
      <c r="E1754" t="s">
        <v>310</v>
      </c>
      <c r="F1754" t="s">
        <v>2146</v>
      </c>
      <c r="G1754">
        <v>4830</v>
      </c>
      <c r="H1754">
        <v>560988.72999999986</v>
      </c>
      <c r="I1754">
        <v>116.15</v>
      </c>
      <c r="J1754">
        <v>26</v>
      </c>
      <c r="K1754">
        <v>3112.7200000000003</v>
      </c>
      <c r="L1754">
        <v>119.72</v>
      </c>
      <c r="M1754">
        <v>4856</v>
      </c>
      <c r="N1754">
        <v>564101.44999999984</v>
      </c>
      <c r="O1754">
        <v>116.17</v>
      </c>
    </row>
    <row r="1755" spans="1:15" x14ac:dyDescent="0.35">
      <c r="A1755" t="s">
        <v>2136</v>
      </c>
      <c r="B1755" t="s">
        <v>2137</v>
      </c>
      <c r="C1755" t="s">
        <v>292</v>
      </c>
      <c r="D1755" t="s">
        <v>293</v>
      </c>
      <c r="E1755" t="s">
        <v>312</v>
      </c>
      <c r="F1755" t="s">
        <v>2147</v>
      </c>
      <c r="G1755">
        <v>4830</v>
      </c>
      <c r="H1755">
        <v>560988.72999999986</v>
      </c>
      <c r="I1755">
        <v>116.15</v>
      </c>
      <c r="J1755">
        <v>26</v>
      </c>
      <c r="K1755">
        <v>3112.7200000000003</v>
      </c>
      <c r="L1755">
        <v>119.72</v>
      </c>
      <c r="M1755">
        <v>4856</v>
      </c>
      <c r="N1755">
        <v>564101.44999999984</v>
      </c>
      <c r="O1755">
        <v>116.17</v>
      </c>
    </row>
    <row r="1756" spans="1:15" x14ac:dyDescent="0.35">
      <c r="A1756" t="s">
        <v>2136</v>
      </c>
      <c r="B1756" t="s">
        <v>2137</v>
      </c>
      <c r="C1756" t="s">
        <v>292</v>
      </c>
      <c r="D1756" t="s">
        <v>314</v>
      </c>
      <c r="E1756" t="s">
        <v>294</v>
      </c>
      <c r="F1756" t="s">
        <v>2148</v>
      </c>
      <c r="G1756">
        <v>23</v>
      </c>
      <c r="H1756">
        <v>3655.4500000000003</v>
      </c>
      <c r="I1756">
        <v>158.93</v>
      </c>
      <c r="J1756">
        <v>26</v>
      </c>
      <c r="K1756">
        <v>1986.14</v>
      </c>
      <c r="L1756">
        <v>76.39</v>
      </c>
      <c r="M1756">
        <v>49</v>
      </c>
      <c r="N1756">
        <v>5641.59</v>
      </c>
      <c r="O1756">
        <v>115.13</v>
      </c>
    </row>
    <row r="1757" spans="1:15" x14ac:dyDescent="0.35">
      <c r="A1757" t="s">
        <v>2136</v>
      </c>
      <c r="B1757" t="s">
        <v>2137</v>
      </c>
      <c r="C1757" t="s">
        <v>292</v>
      </c>
      <c r="D1757" t="s">
        <v>314</v>
      </c>
      <c r="E1757" t="s">
        <v>296</v>
      </c>
      <c r="F1757" t="s">
        <v>2149</v>
      </c>
      <c r="G1757">
        <v>212</v>
      </c>
      <c r="H1757">
        <v>36402.76</v>
      </c>
      <c r="I1757">
        <v>171.71</v>
      </c>
      <c r="J1757">
        <v>24</v>
      </c>
      <c r="K1757">
        <v>2333.2799999999997</v>
      </c>
      <c r="L1757">
        <v>97.22</v>
      </c>
      <c r="M1757">
        <v>236</v>
      </c>
      <c r="N1757">
        <v>38736.04</v>
      </c>
      <c r="O1757">
        <v>164.14</v>
      </c>
    </row>
    <row r="1758" spans="1:15" x14ac:dyDescent="0.35">
      <c r="A1758" t="s">
        <v>2136</v>
      </c>
      <c r="B1758" t="s">
        <v>2137</v>
      </c>
      <c r="C1758" t="s">
        <v>292</v>
      </c>
      <c r="D1758" t="s">
        <v>314</v>
      </c>
      <c r="E1758" t="s">
        <v>298</v>
      </c>
      <c r="F1758" t="s">
        <v>2150</v>
      </c>
      <c r="G1758">
        <v>2</v>
      </c>
      <c r="H1758">
        <v>343.64</v>
      </c>
      <c r="I1758">
        <v>171.82</v>
      </c>
      <c r="J1758">
        <v>17</v>
      </c>
      <c r="K1758">
        <v>1986.62</v>
      </c>
      <c r="L1758">
        <v>116.86</v>
      </c>
      <c r="M1758">
        <v>19</v>
      </c>
      <c r="N1758">
        <v>2330.2599999999998</v>
      </c>
      <c r="O1758">
        <v>122.65</v>
      </c>
    </row>
    <row r="1759" spans="1:15" x14ac:dyDescent="0.35">
      <c r="A1759" t="s">
        <v>2136</v>
      </c>
      <c r="B1759" t="s">
        <v>2137</v>
      </c>
      <c r="C1759" t="s">
        <v>292</v>
      </c>
      <c r="D1759" t="s">
        <v>314</v>
      </c>
      <c r="E1759" t="s">
        <v>300</v>
      </c>
      <c r="F1759" t="s">
        <v>2151</v>
      </c>
      <c r="G1759">
        <v>0</v>
      </c>
      <c r="H1759">
        <v>0</v>
      </c>
      <c r="I1759">
        <v>0</v>
      </c>
      <c r="J1759">
        <v>0</v>
      </c>
      <c r="K1759">
        <v>0</v>
      </c>
      <c r="L1759">
        <v>0</v>
      </c>
      <c r="M1759">
        <v>0</v>
      </c>
      <c r="N1759">
        <v>0</v>
      </c>
      <c r="O1759">
        <v>0</v>
      </c>
    </row>
    <row r="1760" spans="1:15" x14ac:dyDescent="0.35">
      <c r="A1760" t="s">
        <v>2136</v>
      </c>
      <c r="B1760" t="s">
        <v>2137</v>
      </c>
      <c r="C1760" t="s">
        <v>292</v>
      </c>
      <c r="D1760" t="s">
        <v>314</v>
      </c>
      <c r="E1760" t="s">
        <v>306</v>
      </c>
      <c r="F1760" t="s">
        <v>2152</v>
      </c>
      <c r="G1760">
        <v>0</v>
      </c>
      <c r="H1760">
        <v>0</v>
      </c>
      <c r="I1760">
        <v>0</v>
      </c>
      <c r="J1760">
        <v>0</v>
      </c>
      <c r="K1760">
        <v>0</v>
      </c>
      <c r="L1760">
        <v>0</v>
      </c>
      <c r="M1760">
        <v>0</v>
      </c>
      <c r="N1760">
        <v>0</v>
      </c>
      <c r="O1760">
        <v>0</v>
      </c>
    </row>
    <row r="1761" spans="1:15" x14ac:dyDescent="0.35">
      <c r="A1761" t="s">
        <v>2136</v>
      </c>
      <c r="B1761" t="s">
        <v>2137</v>
      </c>
      <c r="C1761" t="s">
        <v>292</v>
      </c>
      <c r="D1761" t="s">
        <v>314</v>
      </c>
      <c r="E1761" t="s">
        <v>308</v>
      </c>
      <c r="F1761" t="s">
        <v>2153</v>
      </c>
      <c r="G1761">
        <v>9</v>
      </c>
      <c r="H1761">
        <v>1715.31</v>
      </c>
      <c r="I1761">
        <v>190.59</v>
      </c>
      <c r="J1761">
        <v>0</v>
      </c>
      <c r="K1761">
        <v>0</v>
      </c>
      <c r="L1761">
        <v>0</v>
      </c>
      <c r="M1761">
        <v>9</v>
      </c>
      <c r="N1761">
        <v>1715.31</v>
      </c>
      <c r="O1761">
        <v>190.59</v>
      </c>
    </row>
    <row r="1762" spans="1:15" x14ac:dyDescent="0.35">
      <c r="A1762" t="s">
        <v>2136</v>
      </c>
      <c r="B1762" t="s">
        <v>2137</v>
      </c>
      <c r="C1762" t="s">
        <v>292</v>
      </c>
      <c r="D1762" t="s">
        <v>314</v>
      </c>
      <c r="E1762" t="s">
        <v>312</v>
      </c>
      <c r="F1762" t="s">
        <v>2154</v>
      </c>
      <c r="G1762">
        <v>237</v>
      </c>
      <c r="H1762">
        <v>40401.85</v>
      </c>
      <c r="I1762">
        <v>170.47</v>
      </c>
      <c r="J1762">
        <v>67</v>
      </c>
      <c r="K1762">
        <v>6306.04</v>
      </c>
      <c r="L1762">
        <v>94.12</v>
      </c>
      <c r="M1762">
        <v>304</v>
      </c>
      <c r="N1762">
        <v>46707.89</v>
      </c>
      <c r="O1762">
        <v>153.63999999999999</v>
      </c>
    </row>
    <row r="1763" spans="1:15" x14ac:dyDescent="0.35">
      <c r="A1763" t="s">
        <v>2136</v>
      </c>
      <c r="B1763" t="s">
        <v>2137</v>
      </c>
      <c r="C1763" t="s">
        <v>292</v>
      </c>
      <c r="D1763" t="s">
        <v>314</v>
      </c>
      <c r="E1763" t="s">
        <v>310</v>
      </c>
      <c r="F1763" t="s">
        <v>2155</v>
      </c>
      <c r="G1763">
        <v>246</v>
      </c>
      <c r="H1763">
        <v>42117.159999999996</v>
      </c>
      <c r="I1763">
        <v>171.21</v>
      </c>
      <c r="J1763">
        <v>67</v>
      </c>
      <c r="K1763">
        <v>6306.04</v>
      </c>
      <c r="L1763">
        <v>94.12</v>
      </c>
      <c r="M1763">
        <v>313</v>
      </c>
      <c r="N1763">
        <v>48423.199999999997</v>
      </c>
      <c r="O1763">
        <v>154.71</v>
      </c>
    </row>
    <row r="1764" spans="1:15" x14ac:dyDescent="0.35">
      <c r="A1764" t="s">
        <v>2136</v>
      </c>
      <c r="B1764" t="s">
        <v>2137</v>
      </c>
      <c r="C1764" t="s">
        <v>292</v>
      </c>
      <c r="D1764" t="s">
        <v>323</v>
      </c>
      <c r="E1764" t="s">
        <v>294</v>
      </c>
      <c r="F1764" t="s">
        <v>2156</v>
      </c>
      <c r="G1764">
        <v>8402</v>
      </c>
      <c r="H1764">
        <v>666833.91</v>
      </c>
      <c r="I1764">
        <v>79.37</v>
      </c>
      <c r="J1764">
        <v>1</v>
      </c>
      <c r="K1764">
        <v>82.85</v>
      </c>
      <c r="L1764">
        <v>82.85</v>
      </c>
      <c r="M1764">
        <v>8403</v>
      </c>
      <c r="N1764">
        <v>666916.76</v>
      </c>
      <c r="O1764">
        <v>79.37</v>
      </c>
    </row>
    <row r="1765" spans="1:15" x14ac:dyDescent="0.35">
      <c r="A1765" t="s">
        <v>2136</v>
      </c>
      <c r="B1765" t="s">
        <v>2137</v>
      </c>
      <c r="C1765" t="s">
        <v>292</v>
      </c>
      <c r="D1765" t="s">
        <v>323</v>
      </c>
      <c r="E1765" t="s">
        <v>296</v>
      </c>
      <c r="F1765" t="s">
        <v>2157</v>
      </c>
      <c r="G1765">
        <v>18750</v>
      </c>
      <c r="H1765">
        <v>1688691.3000000003</v>
      </c>
      <c r="I1765">
        <v>90.06</v>
      </c>
      <c r="J1765">
        <v>6</v>
      </c>
      <c r="K1765">
        <v>552.29999999999995</v>
      </c>
      <c r="L1765">
        <v>92.05</v>
      </c>
      <c r="M1765">
        <v>18756</v>
      </c>
      <c r="N1765">
        <v>1689243.6000000003</v>
      </c>
      <c r="O1765">
        <v>90.06</v>
      </c>
    </row>
    <row r="1766" spans="1:15" x14ac:dyDescent="0.35">
      <c r="A1766" t="s">
        <v>2136</v>
      </c>
      <c r="B1766" t="s">
        <v>2137</v>
      </c>
      <c r="C1766" t="s">
        <v>292</v>
      </c>
      <c r="D1766" t="s">
        <v>323</v>
      </c>
      <c r="E1766" t="s">
        <v>298</v>
      </c>
      <c r="F1766" t="s">
        <v>2158</v>
      </c>
      <c r="G1766">
        <v>12452</v>
      </c>
      <c r="H1766">
        <v>1212611.73</v>
      </c>
      <c r="I1766">
        <v>97.38</v>
      </c>
      <c r="J1766">
        <v>10</v>
      </c>
      <c r="K1766">
        <v>1076.0999999999999</v>
      </c>
      <c r="L1766">
        <v>107.61</v>
      </c>
      <c r="M1766">
        <v>12462</v>
      </c>
      <c r="N1766">
        <v>1213687.83</v>
      </c>
      <c r="O1766">
        <v>97.39</v>
      </c>
    </row>
    <row r="1767" spans="1:15" x14ac:dyDescent="0.35">
      <c r="A1767" t="s">
        <v>2136</v>
      </c>
      <c r="B1767" t="s">
        <v>2137</v>
      </c>
      <c r="C1767" t="s">
        <v>292</v>
      </c>
      <c r="D1767" t="s">
        <v>323</v>
      </c>
      <c r="E1767" t="s">
        <v>300</v>
      </c>
      <c r="F1767" t="s">
        <v>2159</v>
      </c>
      <c r="G1767">
        <v>610</v>
      </c>
      <c r="H1767">
        <v>64846.860000000008</v>
      </c>
      <c r="I1767">
        <v>106.31</v>
      </c>
      <c r="J1767">
        <v>0</v>
      </c>
      <c r="K1767">
        <v>0</v>
      </c>
      <c r="L1767">
        <v>0</v>
      </c>
      <c r="M1767">
        <v>610</v>
      </c>
      <c r="N1767">
        <v>64846.860000000008</v>
      </c>
      <c r="O1767">
        <v>106.31</v>
      </c>
    </row>
    <row r="1768" spans="1:15" x14ac:dyDescent="0.35">
      <c r="A1768" t="s">
        <v>2136</v>
      </c>
      <c r="B1768" t="s">
        <v>2137</v>
      </c>
      <c r="C1768" t="s">
        <v>292</v>
      </c>
      <c r="D1768" t="s">
        <v>323</v>
      </c>
      <c r="E1768" t="s">
        <v>302</v>
      </c>
      <c r="F1768" t="s">
        <v>2160</v>
      </c>
      <c r="G1768">
        <v>17</v>
      </c>
      <c r="H1768">
        <v>1986.44</v>
      </c>
      <c r="I1768">
        <v>116.85</v>
      </c>
      <c r="J1768">
        <v>0</v>
      </c>
      <c r="K1768">
        <v>0</v>
      </c>
      <c r="L1768">
        <v>0</v>
      </c>
      <c r="M1768">
        <v>17</v>
      </c>
      <c r="N1768">
        <v>1986.44</v>
      </c>
      <c r="O1768">
        <v>116.85</v>
      </c>
    </row>
    <row r="1769" spans="1:15" x14ac:dyDescent="0.35">
      <c r="A1769" t="s">
        <v>2136</v>
      </c>
      <c r="B1769" t="s">
        <v>2137</v>
      </c>
      <c r="C1769" t="s">
        <v>292</v>
      </c>
      <c r="D1769" t="s">
        <v>323</v>
      </c>
      <c r="E1769" t="s">
        <v>304</v>
      </c>
      <c r="F1769" t="s">
        <v>2161</v>
      </c>
      <c r="G1769">
        <v>3</v>
      </c>
      <c r="H1769">
        <v>398.6</v>
      </c>
      <c r="I1769">
        <v>132.87</v>
      </c>
      <c r="J1769">
        <v>0</v>
      </c>
      <c r="K1769">
        <v>0</v>
      </c>
      <c r="L1769">
        <v>0</v>
      </c>
      <c r="M1769">
        <v>3</v>
      </c>
      <c r="N1769">
        <v>398.6</v>
      </c>
      <c r="O1769">
        <v>132.87</v>
      </c>
    </row>
    <row r="1770" spans="1:15" x14ac:dyDescent="0.35">
      <c r="A1770" t="s">
        <v>2136</v>
      </c>
      <c r="B1770" t="s">
        <v>2137</v>
      </c>
      <c r="C1770" t="s">
        <v>292</v>
      </c>
      <c r="D1770" t="s">
        <v>323</v>
      </c>
      <c r="E1770" t="s">
        <v>306</v>
      </c>
      <c r="F1770" t="s">
        <v>2162</v>
      </c>
      <c r="G1770">
        <v>84</v>
      </c>
      <c r="H1770">
        <v>5971.9500000000007</v>
      </c>
      <c r="I1770">
        <v>71.09</v>
      </c>
      <c r="J1770">
        <v>0</v>
      </c>
      <c r="K1770">
        <v>0</v>
      </c>
      <c r="L1770">
        <v>0</v>
      </c>
      <c r="M1770">
        <v>84</v>
      </c>
      <c r="N1770">
        <v>5971.9500000000007</v>
      </c>
      <c r="O1770">
        <v>71.09</v>
      </c>
    </row>
    <row r="1771" spans="1:15" x14ac:dyDescent="0.35">
      <c r="A1771" t="s">
        <v>2136</v>
      </c>
      <c r="B1771" t="s">
        <v>2137</v>
      </c>
      <c r="C1771" t="s">
        <v>292</v>
      </c>
      <c r="D1771" t="s">
        <v>323</v>
      </c>
      <c r="E1771" t="s">
        <v>308</v>
      </c>
      <c r="F1771" t="s">
        <v>2163</v>
      </c>
      <c r="G1771">
        <v>0</v>
      </c>
      <c r="H1771">
        <v>0</v>
      </c>
      <c r="I1771">
        <v>0</v>
      </c>
      <c r="J1771">
        <v>0</v>
      </c>
      <c r="K1771">
        <v>0</v>
      </c>
      <c r="L1771">
        <v>0</v>
      </c>
      <c r="M1771">
        <v>0</v>
      </c>
      <c r="N1771">
        <v>0</v>
      </c>
      <c r="O1771">
        <v>0</v>
      </c>
    </row>
    <row r="1772" spans="1:15" x14ac:dyDescent="0.35">
      <c r="A1772" t="s">
        <v>2136</v>
      </c>
      <c r="B1772" t="s">
        <v>2137</v>
      </c>
      <c r="C1772" t="s">
        <v>292</v>
      </c>
      <c r="D1772" t="s">
        <v>323</v>
      </c>
      <c r="E1772" t="s">
        <v>310</v>
      </c>
      <c r="F1772" t="s">
        <v>2164</v>
      </c>
      <c r="G1772">
        <v>40318</v>
      </c>
      <c r="H1772">
        <v>3641340.7900000005</v>
      </c>
      <c r="I1772">
        <v>90.32</v>
      </c>
      <c r="J1772">
        <v>17</v>
      </c>
      <c r="K1772">
        <v>1711.25</v>
      </c>
      <c r="L1772">
        <v>100.66</v>
      </c>
      <c r="M1772">
        <v>40335</v>
      </c>
      <c r="N1772">
        <v>3643052.0400000005</v>
      </c>
      <c r="O1772">
        <v>90.32</v>
      </c>
    </row>
    <row r="1773" spans="1:15" x14ac:dyDescent="0.35">
      <c r="A1773" t="s">
        <v>2136</v>
      </c>
      <c r="B1773" t="s">
        <v>2137</v>
      </c>
      <c r="C1773" t="s">
        <v>292</v>
      </c>
      <c r="D1773" t="s">
        <v>323</v>
      </c>
      <c r="E1773" t="s">
        <v>312</v>
      </c>
      <c r="F1773" t="s">
        <v>2165</v>
      </c>
      <c r="G1773">
        <v>40318</v>
      </c>
      <c r="H1773">
        <v>3641340.7900000005</v>
      </c>
      <c r="I1773">
        <v>90.32</v>
      </c>
      <c r="J1773">
        <v>17</v>
      </c>
      <c r="K1773">
        <v>1711.25</v>
      </c>
      <c r="L1773">
        <v>100.66</v>
      </c>
      <c r="M1773">
        <v>40335</v>
      </c>
      <c r="N1773">
        <v>3643052.0400000005</v>
      </c>
      <c r="O1773">
        <v>90.32</v>
      </c>
    </row>
    <row r="1774" spans="1:15" x14ac:dyDescent="0.35">
      <c r="A1774" t="s">
        <v>2136</v>
      </c>
      <c r="B1774" t="s">
        <v>2137</v>
      </c>
      <c r="C1774" t="s">
        <v>292</v>
      </c>
      <c r="D1774" t="s">
        <v>334</v>
      </c>
      <c r="E1774" t="s">
        <v>312</v>
      </c>
      <c r="F1774" t="s">
        <v>2166</v>
      </c>
      <c r="G1774">
        <v>45952</v>
      </c>
      <c r="H1774">
        <v>4202329.5200000005</v>
      </c>
      <c r="I1774">
        <v>93.08</v>
      </c>
      <c r="J1774">
        <v>43</v>
      </c>
      <c r="K1774">
        <v>4823.9699999999993</v>
      </c>
      <c r="L1774">
        <v>112.19</v>
      </c>
      <c r="M1774">
        <v>45995</v>
      </c>
      <c r="N1774">
        <v>4207153.49</v>
      </c>
      <c r="O1774">
        <v>93.1</v>
      </c>
    </row>
    <row r="1775" spans="1:15" x14ac:dyDescent="0.35">
      <c r="A1775" t="s">
        <v>2136</v>
      </c>
      <c r="B1775" t="s">
        <v>2137</v>
      </c>
      <c r="C1775" t="s">
        <v>292</v>
      </c>
      <c r="D1775" t="s">
        <v>334</v>
      </c>
      <c r="E1775" t="s">
        <v>308</v>
      </c>
      <c r="F1775" t="s">
        <v>2167</v>
      </c>
      <c r="G1775">
        <v>0</v>
      </c>
      <c r="H1775">
        <v>0</v>
      </c>
      <c r="I1775">
        <v>0</v>
      </c>
      <c r="J1775">
        <v>0</v>
      </c>
      <c r="K1775">
        <v>0</v>
      </c>
      <c r="L1775">
        <v>0</v>
      </c>
      <c r="M1775">
        <v>0</v>
      </c>
      <c r="N1775">
        <v>0</v>
      </c>
      <c r="O1775">
        <v>0</v>
      </c>
    </row>
    <row r="1776" spans="1:15" x14ac:dyDescent="0.35">
      <c r="A1776" t="s">
        <v>2136</v>
      </c>
      <c r="B1776" t="s">
        <v>2137</v>
      </c>
      <c r="C1776" t="s">
        <v>292</v>
      </c>
      <c r="D1776" t="s">
        <v>337</v>
      </c>
      <c r="E1776" t="s">
        <v>337</v>
      </c>
      <c r="F1776" t="s">
        <v>2168</v>
      </c>
      <c r="G1776">
        <v>526</v>
      </c>
      <c r="J1776">
        <v>0</v>
      </c>
      <c r="M1776">
        <v>526</v>
      </c>
    </row>
    <row r="1777" spans="1:15" x14ac:dyDescent="0.35">
      <c r="A1777" t="s">
        <v>2136</v>
      </c>
      <c r="B1777" t="s">
        <v>2137</v>
      </c>
      <c r="C1777" t="s">
        <v>292</v>
      </c>
      <c r="D1777" t="s">
        <v>339</v>
      </c>
      <c r="E1777" t="s">
        <v>294</v>
      </c>
      <c r="F1777" t="s">
        <v>2169</v>
      </c>
      <c r="G1777">
        <v>1304</v>
      </c>
      <c r="H1777">
        <v>151067.76999999996</v>
      </c>
      <c r="I1777">
        <v>115.85</v>
      </c>
      <c r="J1777">
        <v>5</v>
      </c>
      <c r="K1777">
        <v>403.84999999999997</v>
      </c>
      <c r="L1777">
        <v>80.77</v>
      </c>
      <c r="M1777">
        <v>1309</v>
      </c>
      <c r="N1777">
        <v>151471.61999999997</v>
      </c>
      <c r="O1777">
        <v>115.72</v>
      </c>
    </row>
    <row r="1778" spans="1:15" x14ac:dyDescent="0.35">
      <c r="A1778" t="s">
        <v>2136</v>
      </c>
      <c r="B1778" t="s">
        <v>2137</v>
      </c>
      <c r="C1778" t="s">
        <v>292</v>
      </c>
      <c r="D1778" t="s">
        <v>339</v>
      </c>
      <c r="E1778" t="s">
        <v>296</v>
      </c>
      <c r="F1778" t="s">
        <v>2170</v>
      </c>
      <c r="G1778">
        <v>595</v>
      </c>
      <c r="H1778">
        <v>64305.669999999991</v>
      </c>
      <c r="I1778">
        <v>108.08</v>
      </c>
      <c r="J1778">
        <v>18</v>
      </c>
      <c r="K1778">
        <v>1813.32</v>
      </c>
      <c r="L1778">
        <v>100.74</v>
      </c>
      <c r="M1778">
        <v>613</v>
      </c>
      <c r="N1778">
        <v>66118.989999999991</v>
      </c>
      <c r="O1778">
        <v>107.86</v>
      </c>
    </row>
    <row r="1779" spans="1:15" x14ac:dyDescent="0.35">
      <c r="A1779" t="s">
        <v>2136</v>
      </c>
      <c r="B1779" t="s">
        <v>2137</v>
      </c>
      <c r="C1779" t="s">
        <v>292</v>
      </c>
      <c r="D1779" t="s">
        <v>339</v>
      </c>
      <c r="E1779" t="s">
        <v>298</v>
      </c>
      <c r="F1779" t="s">
        <v>2171</v>
      </c>
      <c r="G1779">
        <v>25</v>
      </c>
      <c r="H1779">
        <v>2904.02</v>
      </c>
      <c r="I1779">
        <v>116.16</v>
      </c>
      <c r="J1779">
        <v>8</v>
      </c>
      <c r="K1779">
        <v>855.84</v>
      </c>
      <c r="L1779">
        <v>106.98</v>
      </c>
      <c r="M1779">
        <v>33</v>
      </c>
      <c r="N1779">
        <v>3759.86</v>
      </c>
      <c r="O1779">
        <v>113.94</v>
      </c>
    </row>
    <row r="1780" spans="1:15" x14ac:dyDescent="0.35">
      <c r="A1780" t="s">
        <v>2136</v>
      </c>
      <c r="B1780" t="s">
        <v>2137</v>
      </c>
      <c r="C1780" t="s">
        <v>292</v>
      </c>
      <c r="D1780" t="s">
        <v>339</v>
      </c>
      <c r="E1780" t="s">
        <v>300</v>
      </c>
      <c r="F1780" t="s">
        <v>2172</v>
      </c>
      <c r="G1780">
        <v>5</v>
      </c>
      <c r="H1780">
        <v>769.05</v>
      </c>
      <c r="I1780">
        <v>153.81</v>
      </c>
      <c r="J1780">
        <v>0</v>
      </c>
      <c r="K1780">
        <v>0</v>
      </c>
      <c r="L1780">
        <v>0</v>
      </c>
      <c r="M1780">
        <v>5</v>
      </c>
      <c r="N1780">
        <v>769.05</v>
      </c>
      <c r="O1780">
        <v>153.81</v>
      </c>
    </row>
    <row r="1781" spans="1:15" x14ac:dyDescent="0.35">
      <c r="A1781" t="s">
        <v>2136</v>
      </c>
      <c r="B1781" t="s">
        <v>2137</v>
      </c>
      <c r="C1781" t="s">
        <v>292</v>
      </c>
      <c r="D1781" t="s">
        <v>339</v>
      </c>
      <c r="E1781" t="s">
        <v>306</v>
      </c>
      <c r="F1781" t="s">
        <v>2173</v>
      </c>
      <c r="G1781">
        <v>83</v>
      </c>
      <c r="H1781">
        <v>7220.35</v>
      </c>
      <c r="I1781">
        <v>86.99</v>
      </c>
      <c r="J1781">
        <v>0</v>
      </c>
      <c r="K1781">
        <v>0</v>
      </c>
      <c r="L1781">
        <v>0</v>
      </c>
      <c r="M1781">
        <v>83</v>
      </c>
      <c r="N1781">
        <v>7220.35</v>
      </c>
      <c r="O1781">
        <v>86.99</v>
      </c>
    </row>
    <row r="1782" spans="1:15" x14ac:dyDescent="0.35">
      <c r="A1782" t="s">
        <v>2136</v>
      </c>
      <c r="B1782" t="s">
        <v>2137</v>
      </c>
      <c r="C1782" t="s">
        <v>292</v>
      </c>
      <c r="D1782" t="s">
        <v>339</v>
      </c>
      <c r="E1782" t="s">
        <v>308</v>
      </c>
      <c r="F1782" t="s">
        <v>2174</v>
      </c>
      <c r="G1782">
        <v>353</v>
      </c>
      <c r="H1782">
        <v>61989.919999999998</v>
      </c>
      <c r="I1782">
        <v>175.61</v>
      </c>
      <c r="J1782">
        <v>0</v>
      </c>
      <c r="K1782">
        <v>0</v>
      </c>
      <c r="L1782">
        <v>0</v>
      </c>
      <c r="M1782">
        <v>353</v>
      </c>
      <c r="N1782">
        <v>61989.919999999998</v>
      </c>
      <c r="O1782">
        <v>175.61</v>
      </c>
    </row>
    <row r="1783" spans="1:15" x14ac:dyDescent="0.35">
      <c r="A1783" t="s">
        <v>2136</v>
      </c>
      <c r="B1783" t="s">
        <v>2137</v>
      </c>
      <c r="C1783" t="s">
        <v>292</v>
      </c>
      <c r="D1783" t="s">
        <v>339</v>
      </c>
      <c r="E1783" t="s">
        <v>310</v>
      </c>
      <c r="F1783" t="s">
        <v>2175</v>
      </c>
      <c r="G1783">
        <v>2365</v>
      </c>
      <c r="H1783">
        <v>288256.77999999991</v>
      </c>
      <c r="I1783">
        <v>121.88</v>
      </c>
      <c r="J1783">
        <v>31</v>
      </c>
      <c r="K1783">
        <v>3073.01</v>
      </c>
      <c r="L1783">
        <v>99.13</v>
      </c>
      <c r="M1783">
        <v>2396</v>
      </c>
      <c r="N1783">
        <v>291329.78999999992</v>
      </c>
      <c r="O1783">
        <v>121.59</v>
      </c>
    </row>
    <row r="1784" spans="1:15" x14ac:dyDescent="0.35">
      <c r="A1784" t="s">
        <v>2136</v>
      </c>
      <c r="B1784" t="s">
        <v>2137</v>
      </c>
      <c r="C1784" t="s">
        <v>292</v>
      </c>
      <c r="D1784" t="s">
        <v>339</v>
      </c>
      <c r="E1784" t="s">
        <v>312</v>
      </c>
      <c r="F1784" t="s">
        <v>2176</v>
      </c>
      <c r="G1784">
        <v>2012</v>
      </c>
      <c r="H1784">
        <v>226266.85999999993</v>
      </c>
      <c r="I1784">
        <v>112.46</v>
      </c>
      <c r="J1784">
        <v>31</v>
      </c>
      <c r="K1784">
        <v>3073.01</v>
      </c>
      <c r="L1784">
        <v>99.13</v>
      </c>
      <c r="M1784">
        <v>2043</v>
      </c>
      <c r="N1784">
        <v>229339.86999999994</v>
      </c>
      <c r="O1784">
        <v>112.26</v>
      </c>
    </row>
    <row r="1785" spans="1:15" x14ac:dyDescent="0.35">
      <c r="A1785" t="s">
        <v>2136</v>
      </c>
      <c r="B1785" t="s">
        <v>2137</v>
      </c>
      <c r="C1785" t="s">
        <v>292</v>
      </c>
      <c r="D1785" t="s">
        <v>348</v>
      </c>
      <c r="E1785" t="s">
        <v>349</v>
      </c>
      <c r="F1785" t="s">
        <v>2177</v>
      </c>
      <c r="G1785">
        <v>3185</v>
      </c>
      <c r="H1785">
        <v>330373.93999999989</v>
      </c>
      <c r="I1785">
        <v>126.53</v>
      </c>
      <c r="J1785">
        <v>98</v>
      </c>
      <c r="K1785">
        <v>9379.0500000000011</v>
      </c>
      <c r="L1785">
        <v>95.7</v>
      </c>
      <c r="M1785">
        <v>3283</v>
      </c>
      <c r="N1785">
        <v>339752.98999999987</v>
      </c>
      <c r="O1785">
        <v>125.42</v>
      </c>
    </row>
    <row r="1786" spans="1:15" x14ac:dyDescent="0.35">
      <c r="A1786" t="s">
        <v>2178</v>
      </c>
      <c r="B1786" t="s">
        <v>2179</v>
      </c>
      <c r="C1786" t="s">
        <v>520</v>
      </c>
      <c r="D1786" t="s">
        <v>293</v>
      </c>
      <c r="E1786" t="s">
        <v>294</v>
      </c>
      <c r="F1786" t="s">
        <v>2180</v>
      </c>
      <c r="G1786">
        <v>1000</v>
      </c>
      <c r="H1786">
        <v>112997.55999999998</v>
      </c>
      <c r="I1786">
        <v>113</v>
      </c>
      <c r="J1786">
        <v>0</v>
      </c>
      <c r="K1786">
        <v>0</v>
      </c>
      <c r="L1786">
        <v>0</v>
      </c>
      <c r="M1786">
        <v>1000</v>
      </c>
      <c r="N1786">
        <v>112997.55999999998</v>
      </c>
      <c r="O1786">
        <v>113</v>
      </c>
    </row>
    <row r="1787" spans="1:15" x14ac:dyDescent="0.35">
      <c r="A1787" t="s">
        <v>2178</v>
      </c>
      <c r="B1787" t="s">
        <v>2179</v>
      </c>
      <c r="C1787" t="s">
        <v>520</v>
      </c>
      <c r="D1787" t="s">
        <v>293</v>
      </c>
      <c r="E1787" t="s">
        <v>296</v>
      </c>
      <c r="F1787" t="s">
        <v>2181</v>
      </c>
      <c r="G1787">
        <v>2815</v>
      </c>
      <c r="H1787">
        <v>396930.98</v>
      </c>
      <c r="I1787">
        <v>141.01</v>
      </c>
      <c r="J1787">
        <v>0</v>
      </c>
      <c r="K1787">
        <v>0</v>
      </c>
      <c r="L1787">
        <v>0</v>
      </c>
      <c r="M1787">
        <v>2815</v>
      </c>
      <c r="N1787">
        <v>396930.98</v>
      </c>
      <c r="O1787">
        <v>141.01</v>
      </c>
    </row>
    <row r="1788" spans="1:15" x14ac:dyDescent="0.35">
      <c r="A1788" t="s">
        <v>2178</v>
      </c>
      <c r="B1788" t="s">
        <v>2179</v>
      </c>
      <c r="C1788" t="s">
        <v>520</v>
      </c>
      <c r="D1788" t="s">
        <v>293</v>
      </c>
      <c r="E1788" t="s">
        <v>298</v>
      </c>
      <c r="F1788" t="s">
        <v>2182</v>
      </c>
      <c r="G1788">
        <v>1518</v>
      </c>
      <c r="H1788">
        <v>239238.37</v>
      </c>
      <c r="I1788">
        <v>157.6</v>
      </c>
      <c r="J1788">
        <v>0</v>
      </c>
      <c r="K1788">
        <v>0</v>
      </c>
      <c r="L1788">
        <v>0</v>
      </c>
      <c r="M1788">
        <v>1518</v>
      </c>
      <c r="N1788">
        <v>239238.37</v>
      </c>
      <c r="O1788">
        <v>157.6</v>
      </c>
    </row>
    <row r="1789" spans="1:15" x14ac:dyDescent="0.35">
      <c r="A1789" t="s">
        <v>2178</v>
      </c>
      <c r="B1789" t="s">
        <v>2179</v>
      </c>
      <c r="C1789" t="s">
        <v>520</v>
      </c>
      <c r="D1789" t="s">
        <v>293</v>
      </c>
      <c r="E1789" t="s">
        <v>300</v>
      </c>
      <c r="F1789" t="s">
        <v>2183</v>
      </c>
      <c r="G1789">
        <v>87</v>
      </c>
      <c r="H1789">
        <v>15600.159999999998</v>
      </c>
      <c r="I1789">
        <v>179.31</v>
      </c>
      <c r="J1789">
        <v>0</v>
      </c>
      <c r="K1789">
        <v>0</v>
      </c>
      <c r="L1789">
        <v>0</v>
      </c>
      <c r="M1789">
        <v>87</v>
      </c>
      <c r="N1789">
        <v>15600.159999999998</v>
      </c>
      <c r="O1789">
        <v>179.31</v>
      </c>
    </row>
    <row r="1790" spans="1:15" x14ac:dyDescent="0.35">
      <c r="A1790" t="s">
        <v>2178</v>
      </c>
      <c r="B1790" t="s">
        <v>2179</v>
      </c>
      <c r="C1790" t="s">
        <v>520</v>
      </c>
      <c r="D1790" t="s">
        <v>293</v>
      </c>
      <c r="E1790" t="s">
        <v>302</v>
      </c>
      <c r="F1790" t="s">
        <v>2184</v>
      </c>
      <c r="G1790">
        <v>3</v>
      </c>
      <c r="H1790">
        <v>550.79</v>
      </c>
      <c r="I1790">
        <v>183.6</v>
      </c>
      <c r="J1790">
        <v>0</v>
      </c>
      <c r="K1790">
        <v>0</v>
      </c>
      <c r="L1790">
        <v>0</v>
      </c>
      <c r="M1790">
        <v>3</v>
      </c>
      <c r="N1790">
        <v>550.79</v>
      </c>
      <c r="O1790">
        <v>183.6</v>
      </c>
    </row>
    <row r="1791" spans="1:15" x14ac:dyDescent="0.35">
      <c r="A1791" t="s">
        <v>2178</v>
      </c>
      <c r="B1791" t="s">
        <v>2179</v>
      </c>
      <c r="C1791" t="s">
        <v>520</v>
      </c>
      <c r="D1791" t="s">
        <v>293</v>
      </c>
      <c r="E1791" t="s">
        <v>304</v>
      </c>
      <c r="F1791" t="s">
        <v>2185</v>
      </c>
      <c r="G1791">
        <v>0</v>
      </c>
      <c r="H1791">
        <v>0</v>
      </c>
      <c r="I1791">
        <v>0</v>
      </c>
      <c r="J1791">
        <v>0</v>
      </c>
      <c r="K1791">
        <v>0</v>
      </c>
      <c r="L1791">
        <v>0</v>
      </c>
      <c r="M1791">
        <v>0</v>
      </c>
      <c r="N1791">
        <v>0</v>
      </c>
      <c r="O1791">
        <v>0</v>
      </c>
    </row>
    <row r="1792" spans="1:15" x14ac:dyDescent="0.35">
      <c r="A1792" t="s">
        <v>2178</v>
      </c>
      <c r="B1792" t="s">
        <v>2179</v>
      </c>
      <c r="C1792" t="s">
        <v>520</v>
      </c>
      <c r="D1792" t="s">
        <v>293</v>
      </c>
      <c r="E1792" t="s">
        <v>306</v>
      </c>
      <c r="F1792" t="s">
        <v>2186</v>
      </c>
      <c r="G1792">
        <v>1</v>
      </c>
      <c r="H1792">
        <v>81.849999999999994</v>
      </c>
      <c r="I1792">
        <v>81.849999999999994</v>
      </c>
      <c r="J1792">
        <v>0</v>
      </c>
      <c r="K1792">
        <v>0</v>
      </c>
      <c r="L1792">
        <v>0</v>
      </c>
      <c r="M1792">
        <v>1</v>
      </c>
      <c r="N1792">
        <v>81.849999999999994</v>
      </c>
      <c r="O1792">
        <v>81.849999999999994</v>
      </c>
    </row>
    <row r="1793" spans="1:15" x14ac:dyDescent="0.35">
      <c r="A1793" t="s">
        <v>2178</v>
      </c>
      <c r="B1793" t="s">
        <v>2179</v>
      </c>
      <c r="C1793" t="s">
        <v>520</v>
      </c>
      <c r="D1793" t="s">
        <v>293</v>
      </c>
      <c r="E1793" t="s">
        <v>308</v>
      </c>
      <c r="F1793" t="s">
        <v>2187</v>
      </c>
      <c r="G1793">
        <v>0</v>
      </c>
      <c r="H1793">
        <v>0</v>
      </c>
      <c r="I1793">
        <v>0</v>
      </c>
      <c r="J1793">
        <v>0</v>
      </c>
      <c r="K1793">
        <v>0</v>
      </c>
      <c r="L1793">
        <v>0</v>
      </c>
      <c r="M1793">
        <v>0</v>
      </c>
      <c r="N1793">
        <v>0</v>
      </c>
      <c r="O1793">
        <v>0</v>
      </c>
    </row>
    <row r="1794" spans="1:15" x14ac:dyDescent="0.35">
      <c r="A1794" t="s">
        <v>2178</v>
      </c>
      <c r="B1794" t="s">
        <v>2179</v>
      </c>
      <c r="C1794" t="s">
        <v>520</v>
      </c>
      <c r="D1794" t="s">
        <v>293</v>
      </c>
      <c r="E1794" t="s">
        <v>310</v>
      </c>
      <c r="F1794" t="s">
        <v>2188</v>
      </c>
      <c r="G1794">
        <v>5424</v>
      </c>
      <c r="H1794">
        <v>765399.71</v>
      </c>
      <c r="I1794">
        <v>141.11000000000001</v>
      </c>
      <c r="J1794">
        <v>0</v>
      </c>
      <c r="K1794">
        <v>0</v>
      </c>
      <c r="L1794">
        <v>0</v>
      </c>
      <c r="M1794">
        <v>5424</v>
      </c>
      <c r="N1794">
        <v>765399.71</v>
      </c>
      <c r="O1794">
        <v>141.11000000000001</v>
      </c>
    </row>
    <row r="1795" spans="1:15" x14ac:dyDescent="0.35">
      <c r="A1795" t="s">
        <v>2178</v>
      </c>
      <c r="B1795" t="s">
        <v>2179</v>
      </c>
      <c r="C1795" t="s">
        <v>520</v>
      </c>
      <c r="D1795" t="s">
        <v>293</v>
      </c>
      <c r="E1795" t="s">
        <v>312</v>
      </c>
      <c r="F1795" t="s">
        <v>2189</v>
      </c>
      <c r="G1795">
        <v>5424</v>
      </c>
      <c r="H1795">
        <v>765399.71</v>
      </c>
      <c r="I1795">
        <v>141.11000000000001</v>
      </c>
      <c r="J1795">
        <v>0</v>
      </c>
      <c r="K1795">
        <v>0</v>
      </c>
      <c r="L1795">
        <v>0</v>
      </c>
      <c r="M1795">
        <v>5424</v>
      </c>
      <c r="N1795">
        <v>765399.71</v>
      </c>
      <c r="O1795">
        <v>141.11000000000001</v>
      </c>
    </row>
    <row r="1796" spans="1:15" x14ac:dyDescent="0.35">
      <c r="A1796" t="s">
        <v>2178</v>
      </c>
      <c r="B1796" t="s">
        <v>2179</v>
      </c>
      <c r="C1796" t="s">
        <v>520</v>
      </c>
      <c r="D1796" t="s">
        <v>314</v>
      </c>
      <c r="E1796" t="s">
        <v>294</v>
      </c>
      <c r="F1796" t="s">
        <v>2190</v>
      </c>
      <c r="G1796">
        <v>83</v>
      </c>
      <c r="H1796">
        <v>9979.7599999999984</v>
      </c>
      <c r="I1796">
        <v>120.24</v>
      </c>
      <c r="J1796">
        <v>0</v>
      </c>
      <c r="K1796">
        <v>0</v>
      </c>
      <c r="L1796">
        <v>0</v>
      </c>
      <c r="M1796">
        <v>83</v>
      </c>
      <c r="N1796">
        <v>9979.7599999999984</v>
      </c>
      <c r="O1796">
        <v>120.24</v>
      </c>
    </row>
    <row r="1797" spans="1:15" x14ac:dyDescent="0.35">
      <c r="A1797" t="s">
        <v>2178</v>
      </c>
      <c r="B1797" t="s">
        <v>2179</v>
      </c>
      <c r="C1797" t="s">
        <v>520</v>
      </c>
      <c r="D1797" t="s">
        <v>314</v>
      </c>
      <c r="E1797" t="s">
        <v>296</v>
      </c>
      <c r="F1797" t="s">
        <v>2191</v>
      </c>
      <c r="G1797">
        <v>84</v>
      </c>
      <c r="H1797">
        <v>12307.32</v>
      </c>
      <c r="I1797">
        <v>146.52000000000001</v>
      </c>
      <c r="J1797">
        <v>0</v>
      </c>
      <c r="K1797">
        <v>0</v>
      </c>
      <c r="L1797">
        <v>0</v>
      </c>
      <c r="M1797">
        <v>84</v>
      </c>
      <c r="N1797">
        <v>12307.32</v>
      </c>
      <c r="O1797">
        <v>146.52000000000001</v>
      </c>
    </row>
    <row r="1798" spans="1:15" x14ac:dyDescent="0.35">
      <c r="A1798" t="s">
        <v>2178</v>
      </c>
      <c r="B1798" t="s">
        <v>2179</v>
      </c>
      <c r="C1798" t="s">
        <v>520</v>
      </c>
      <c r="D1798" t="s">
        <v>314</v>
      </c>
      <c r="E1798" t="s">
        <v>298</v>
      </c>
      <c r="F1798" t="s">
        <v>2192</v>
      </c>
      <c r="G1798">
        <v>1</v>
      </c>
      <c r="H1798">
        <v>165.77</v>
      </c>
      <c r="I1798">
        <v>165.77</v>
      </c>
      <c r="J1798">
        <v>0</v>
      </c>
      <c r="K1798">
        <v>0</v>
      </c>
      <c r="L1798">
        <v>0</v>
      </c>
      <c r="M1798">
        <v>1</v>
      </c>
      <c r="N1798">
        <v>165.77</v>
      </c>
      <c r="O1798">
        <v>165.77</v>
      </c>
    </row>
    <row r="1799" spans="1:15" x14ac:dyDescent="0.35">
      <c r="A1799" t="s">
        <v>2178</v>
      </c>
      <c r="B1799" t="s">
        <v>2179</v>
      </c>
      <c r="C1799" t="s">
        <v>520</v>
      </c>
      <c r="D1799" t="s">
        <v>314</v>
      </c>
      <c r="E1799" t="s">
        <v>300</v>
      </c>
      <c r="F1799" t="s">
        <v>2193</v>
      </c>
      <c r="G1799">
        <v>0</v>
      </c>
      <c r="H1799">
        <v>0</v>
      </c>
      <c r="I1799">
        <v>0</v>
      </c>
      <c r="J1799">
        <v>0</v>
      </c>
      <c r="K1799">
        <v>0</v>
      </c>
      <c r="L1799">
        <v>0</v>
      </c>
      <c r="M1799">
        <v>0</v>
      </c>
      <c r="N1799">
        <v>0</v>
      </c>
      <c r="O1799">
        <v>0</v>
      </c>
    </row>
    <row r="1800" spans="1:15" x14ac:dyDescent="0.35">
      <c r="A1800" t="s">
        <v>2178</v>
      </c>
      <c r="B1800" t="s">
        <v>2179</v>
      </c>
      <c r="C1800" t="s">
        <v>520</v>
      </c>
      <c r="D1800" t="s">
        <v>314</v>
      </c>
      <c r="E1800" t="s">
        <v>306</v>
      </c>
      <c r="F1800" t="s">
        <v>2194</v>
      </c>
      <c r="G1800">
        <v>0</v>
      </c>
      <c r="H1800">
        <v>0</v>
      </c>
      <c r="I1800">
        <v>0</v>
      </c>
      <c r="J1800">
        <v>0</v>
      </c>
      <c r="K1800">
        <v>0</v>
      </c>
      <c r="L1800">
        <v>0</v>
      </c>
      <c r="M1800">
        <v>0</v>
      </c>
      <c r="N1800">
        <v>0</v>
      </c>
      <c r="O1800">
        <v>0</v>
      </c>
    </row>
    <row r="1801" spans="1:15" x14ac:dyDescent="0.35">
      <c r="A1801" t="s">
        <v>2178</v>
      </c>
      <c r="B1801" t="s">
        <v>2179</v>
      </c>
      <c r="C1801" t="s">
        <v>520</v>
      </c>
      <c r="D1801" t="s">
        <v>314</v>
      </c>
      <c r="E1801" t="s">
        <v>308</v>
      </c>
      <c r="F1801" t="s">
        <v>2195</v>
      </c>
      <c r="G1801">
        <v>0</v>
      </c>
      <c r="H1801">
        <v>0</v>
      </c>
      <c r="I1801">
        <v>0</v>
      </c>
      <c r="J1801">
        <v>0</v>
      </c>
      <c r="K1801">
        <v>0</v>
      </c>
      <c r="L1801">
        <v>0</v>
      </c>
      <c r="M1801">
        <v>0</v>
      </c>
      <c r="N1801">
        <v>0</v>
      </c>
      <c r="O1801">
        <v>0</v>
      </c>
    </row>
    <row r="1802" spans="1:15" x14ac:dyDescent="0.35">
      <c r="A1802" t="s">
        <v>2178</v>
      </c>
      <c r="B1802" t="s">
        <v>2179</v>
      </c>
      <c r="C1802" t="s">
        <v>520</v>
      </c>
      <c r="D1802" t="s">
        <v>314</v>
      </c>
      <c r="E1802" t="s">
        <v>312</v>
      </c>
      <c r="F1802" t="s">
        <v>2196</v>
      </c>
      <c r="G1802">
        <v>168</v>
      </c>
      <c r="H1802">
        <v>22452.85</v>
      </c>
      <c r="I1802">
        <v>133.65</v>
      </c>
      <c r="J1802">
        <v>0</v>
      </c>
      <c r="K1802">
        <v>0</v>
      </c>
      <c r="L1802">
        <v>0</v>
      </c>
      <c r="M1802">
        <v>168</v>
      </c>
      <c r="N1802">
        <v>22452.85</v>
      </c>
      <c r="O1802">
        <v>133.65</v>
      </c>
    </row>
    <row r="1803" spans="1:15" x14ac:dyDescent="0.35">
      <c r="A1803" t="s">
        <v>2178</v>
      </c>
      <c r="B1803" t="s">
        <v>2179</v>
      </c>
      <c r="C1803" t="s">
        <v>520</v>
      </c>
      <c r="D1803" t="s">
        <v>314</v>
      </c>
      <c r="E1803" t="s">
        <v>310</v>
      </c>
      <c r="F1803" t="s">
        <v>2197</v>
      </c>
      <c r="G1803">
        <v>168</v>
      </c>
      <c r="H1803">
        <v>22452.85</v>
      </c>
      <c r="I1803">
        <v>133.65</v>
      </c>
      <c r="J1803">
        <v>0</v>
      </c>
      <c r="K1803">
        <v>0</v>
      </c>
      <c r="L1803">
        <v>0</v>
      </c>
      <c r="M1803">
        <v>168</v>
      </c>
      <c r="N1803">
        <v>22452.85</v>
      </c>
      <c r="O1803">
        <v>133.65</v>
      </c>
    </row>
    <row r="1804" spans="1:15" x14ac:dyDescent="0.35">
      <c r="A1804" t="s">
        <v>2178</v>
      </c>
      <c r="B1804" t="s">
        <v>2179</v>
      </c>
      <c r="C1804" t="s">
        <v>520</v>
      </c>
      <c r="D1804" t="s">
        <v>323</v>
      </c>
      <c r="E1804" t="s">
        <v>294</v>
      </c>
      <c r="F1804" t="s">
        <v>2198</v>
      </c>
      <c r="G1804">
        <v>3414</v>
      </c>
      <c r="H1804">
        <v>327839.99</v>
      </c>
      <c r="I1804">
        <v>96.03</v>
      </c>
      <c r="J1804">
        <v>0</v>
      </c>
      <c r="K1804">
        <v>0</v>
      </c>
      <c r="L1804">
        <v>0</v>
      </c>
      <c r="M1804">
        <v>3414</v>
      </c>
      <c r="N1804">
        <v>327839.99</v>
      </c>
      <c r="O1804">
        <v>96.03</v>
      </c>
    </row>
    <row r="1805" spans="1:15" x14ac:dyDescent="0.35">
      <c r="A1805" t="s">
        <v>2178</v>
      </c>
      <c r="B1805" t="s">
        <v>2179</v>
      </c>
      <c r="C1805" t="s">
        <v>520</v>
      </c>
      <c r="D1805" t="s">
        <v>323</v>
      </c>
      <c r="E1805" t="s">
        <v>296</v>
      </c>
      <c r="F1805" t="s">
        <v>2199</v>
      </c>
      <c r="G1805">
        <v>5093</v>
      </c>
      <c r="H1805">
        <v>560513.30000000005</v>
      </c>
      <c r="I1805">
        <v>110.06</v>
      </c>
      <c r="J1805">
        <v>0</v>
      </c>
      <c r="K1805">
        <v>0</v>
      </c>
      <c r="L1805">
        <v>0</v>
      </c>
      <c r="M1805">
        <v>5093</v>
      </c>
      <c r="N1805">
        <v>560513.30000000005</v>
      </c>
      <c r="O1805">
        <v>110.06</v>
      </c>
    </row>
    <row r="1806" spans="1:15" x14ac:dyDescent="0.35">
      <c r="A1806" t="s">
        <v>2178</v>
      </c>
      <c r="B1806" t="s">
        <v>2179</v>
      </c>
      <c r="C1806" t="s">
        <v>520</v>
      </c>
      <c r="D1806" t="s">
        <v>323</v>
      </c>
      <c r="E1806" t="s">
        <v>298</v>
      </c>
      <c r="F1806" t="s">
        <v>2200</v>
      </c>
      <c r="G1806">
        <v>4426</v>
      </c>
      <c r="H1806">
        <v>529127.85</v>
      </c>
      <c r="I1806">
        <v>119.55</v>
      </c>
      <c r="J1806">
        <v>0</v>
      </c>
      <c r="K1806">
        <v>0</v>
      </c>
      <c r="L1806">
        <v>0</v>
      </c>
      <c r="M1806">
        <v>4426</v>
      </c>
      <c r="N1806">
        <v>529127.85</v>
      </c>
      <c r="O1806">
        <v>119.55</v>
      </c>
    </row>
    <row r="1807" spans="1:15" x14ac:dyDescent="0.35">
      <c r="A1807" t="s">
        <v>2178</v>
      </c>
      <c r="B1807" t="s">
        <v>2179</v>
      </c>
      <c r="C1807" t="s">
        <v>520</v>
      </c>
      <c r="D1807" t="s">
        <v>323</v>
      </c>
      <c r="E1807" t="s">
        <v>300</v>
      </c>
      <c r="F1807" t="s">
        <v>2201</v>
      </c>
      <c r="G1807">
        <v>226</v>
      </c>
      <c r="H1807">
        <v>29354</v>
      </c>
      <c r="I1807">
        <v>129.88</v>
      </c>
      <c r="J1807">
        <v>0</v>
      </c>
      <c r="K1807">
        <v>0</v>
      </c>
      <c r="L1807">
        <v>0</v>
      </c>
      <c r="M1807">
        <v>226</v>
      </c>
      <c r="N1807">
        <v>29354</v>
      </c>
      <c r="O1807">
        <v>129.88</v>
      </c>
    </row>
    <row r="1808" spans="1:15" x14ac:dyDescent="0.35">
      <c r="A1808" t="s">
        <v>2178</v>
      </c>
      <c r="B1808" t="s">
        <v>2179</v>
      </c>
      <c r="C1808" t="s">
        <v>520</v>
      </c>
      <c r="D1808" t="s">
        <v>323</v>
      </c>
      <c r="E1808" t="s">
        <v>302</v>
      </c>
      <c r="F1808" t="s">
        <v>2202</v>
      </c>
      <c r="G1808">
        <v>6</v>
      </c>
      <c r="H1808">
        <v>844.54</v>
      </c>
      <c r="I1808">
        <v>140.76</v>
      </c>
      <c r="J1808">
        <v>0</v>
      </c>
      <c r="K1808">
        <v>0</v>
      </c>
      <c r="L1808">
        <v>0</v>
      </c>
      <c r="M1808">
        <v>6</v>
      </c>
      <c r="N1808">
        <v>844.54</v>
      </c>
      <c r="O1808">
        <v>140.76</v>
      </c>
    </row>
    <row r="1809" spans="1:15" x14ac:dyDescent="0.35">
      <c r="A1809" t="s">
        <v>2178</v>
      </c>
      <c r="B1809" t="s">
        <v>2179</v>
      </c>
      <c r="C1809" t="s">
        <v>520</v>
      </c>
      <c r="D1809" t="s">
        <v>323</v>
      </c>
      <c r="E1809" t="s">
        <v>304</v>
      </c>
      <c r="F1809" t="s">
        <v>2203</v>
      </c>
      <c r="G1809">
        <v>4</v>
      </c>
      <c r="H1809">
        <v>603.95000000000005</v>
      </c>
      <c r="I1809">
        <v>150.99</v>
      </c>
      <c r="J1809">
        <v>0</v>
      </c>
      <c r="K1809">
        <v>0</v>
      </c>
      <c r="L1809">
        <v>0</v>
      </c>
      <c r="M1809">
        <v>4</v>
      </c>
      <c r="N1809">
        <v>603.95000000000005</v>
      </c>
      <c r="O1809">
        <v>150.99</v>
      </c>
    </row>
    <row r="1810" spans="1:15" x14ac:dyDescent="0.35">
      <c r="A1810" t="s">
        <v>2178</v>
      </c>
      <c r="B1810" t="s">
        <v>2179</v>
      </c>
      <c r="C1810" t="s">
        <v>520</v>
      </c>
      <c r="D1810" t="s">
        <v>323</v>
      </c>
      <c r="E1810" t="s">
        <v>306</v>
      </c>
      <c r="F1810" t="s">
        <v>2204</v>
      </c>
      <c r="G1810">
        <v>46</v>
      </c>
      <c r="H1810">
        <v>3740.2799999999997</v>
      </c>
      <c r="I1810">
        <v>81.31</v>
      </c>
      <c r="J1810">
        <v>0</v>
      </c>
      <c r="K1810">
        <v>0</v>
      </c>
      <c r="L1810">
        <v>0</v>
      </c>
      <c r="M1810">
        <v>46</v>
      </c>
      <c r="N1810">
        <v>3740.2799999999997</v>
      </c>
      <c r="O1810">
        <v>81.31</v>
      </c>
    </row>
    <row r="1811" spans="1:15" x14ac:dyDescent="0.35">
      <c r="A1811" t="s">
        <v>2178</v>
      </c>
      <c r="B1811" t="s">
        <v>2179</v>
      </c>
      <c r="C1811" t="s">
        <v>520</v>
      </c>
      <c r="D1811" t="s">
        <v>323</v>
      </c>
      <c r="E1811" t="s">
        <v>308</v>
      </c>
      <c r="F1811" t="s">
        <v>2205</v>
      </c>
      <c r="G1811">
        <v>0</v>
      </c>
      <c r="H1811">
        <v>0</v>
      </c>
      <c r="I1811">
        <v>0</v>
      </c>
      <c r="J1811">
        <v>0</v>
      </c>
      <c r="K1811">
        <v>0</v>
      </c>
      <c r="L1811">
        <v>0</v>
      </c>
      <c r="M1811">
        <v>0</v>
      </c>
      <c r="N1811">
        <v>0</v>
      </c>
      <c r="O1811">
        <v>0</v>
      </c>
    </row>
    <row r="1812" spans="1:15" x14ac:dyDescent="0.35">
      <c r="A1812" t="s">
        <v>2178</v>
      </c>
      <c r="B1812" t="s">
        <v>2179</v>
      </c>
      <c r="C1812" t="s">
        <v>520</v>
      </c>
      <c r="D1812" t="s">
        <v>323</v>
      </c>
      <c r="E1812" t="s">
        <v>310</v>
      </c>
      <c r="F1812" t="s">
        <v>2206</v>
      </c>
      <c r="G1812">
        <v>13215</v>
      </c>
      <c r="H1812">
        <v>1452023.9100000001</v>
      </c>
      <c r="I1812">
        <v>109.88</v>
      </c>
      <c r="J1812">
        <v>0</v>
      </c>
      <c r="K1812">
        <v>0</v>
      </c>
      <c r="L1812">
        <v>0</v>
      </c>
      <c r="M1812">
        <v>13215</v>
      </c>
      <c r="N1812">
        <v>1452023.9100000001</v>
      </c>
      <c r="O1812">
        <v>109.88</v>
      </c>
    </row>
    <row r="1813" spans="1:15" x14ac:dyDescent="0.35">
      <c r="A1813" t="s">
        <v>2178</v>
      </c>
      <c r="B1813" t="s">
        <v>2179</v>
      </c>
      <c r="C1813" t="s">
        <v>520</v>
      </c>
      <c r="D1813" t="s">
        <v>323</v>
      </c>
      <c r="E1813" t="s">
        <v>312</v>
      </c>
      <c r="F1813" t="s">
        <v>2207</v>
      </c>
      <c r="G1813">
        <v>13215</v>
      </c>
      <c r="H1813">
        <v>1452023.9100000001</v>
      </c>
      <c r="I1813">
        <v>109.88</v>
      </c>
      <c r="J1813">
        <v>0</v>
      </c>
      <c r="K1813">
        <v>0</v>
      </c>
      <c r="L1813">
        <v>0</v>
      </c>
      <c r="M1813">
        <v>13215</v>
      </c>
      <c r="N1813">
        <v>1452023.9100000001</v>
      </c>
      <c r="O1813">
        <v>109.88</v>
      </c>
    </row>
    <row r="1814" spans="1:15" x14ac:dyDescent="0.35">
      <c r="A1814" t="s">
        <v>2178</v>
      </c>
      <c r="B1814" t="s">
        <v>2179</v>
      </c>
      <c r="C1814" t="s">
        <v>520</v>
      </c>
      <c r="D1814" t="s">
        <v>334</v>
      </c>
      <c r="E1814" t="s">
        <v>312</v>
      </c>
      <c r="F1814" t="s">
        <v>2208</v>
      </c>
      <c r="G1814">
        <v>18742</v>
      </c>
      <c r="H1814">
        <v>2217423.62</v>
      </c>
      <c r="I1814">
        <v>118.97</v>
      </c>
      <c r="J1814">
        <v>0</v>
      </c>
      <c r="K1814">
        <v>0</v>
      </c>
      <c r="L1814">
        <v>0</v>
      </c>
      <c r="M1814">
        <v>18742</v>
      </c>
      <c r="N1814">
        <v>2217423.62</v>
      </c>
      <c r="O1814">
        <v>118.97</v>
      </c>
    </row>
    <row r="1815" spans="1:15" x14ac:dyDescent="0.35">
      <c r="A1815" t="s">
        <v>2178</v>
      </c>
      <c r="B1815" t="s">
        <v>2179</v>
      </c>
      <c r="C1815" t="s">
        <v>520</v>
      </c>
      <c r="D1815" t="s">
        <v>334</v>
      </c>
      <c r="E1815" t="s">
        <v>308</v>
      </c>
      <c r="F1815" t="s">
        <v>2209</v>
      </c>
      <c r="G1815">
        <v>0</v>
      </c>
      <c r="H1815">
        <v>0</v>
      </c>
      <c r="I1815">
        <v>0</v>
      </c>
      <c r="J1815">
        <v>0</v>
      </c>
      <c r="K1815">
        <v>0</v>
      </c>
      <c r="L1815">
        <v>0</v>
      </c>
      <c r="M1815">
        <v>0</v>
      </c>
      <c r="N1815">
        <v>0</v>
      </c>
      <c r="O1815">
        <v>0</v>
      </c>
    </row>
    <row r="1816" spans="1:15" x14ac:dyDescent="0.35">
      <c r="A1816" t="s">
        <v>2178</v>
      </c>
      <c r="B1816" t="s">
        <v>2179</v>
      </c>
      <c r="C1816" t="s">
        <v>520</v>
      </c>
      <c r="D1816" t="s">
        <v>337</v>
      </c>
      <c r="E1816" t="s">
        <v>337</v>
      </c>
      <c r="F1816" t="s">
        <v>2210</v>
      </c>
      <c r="G1816">
        <v>2576</v>
      </c>
      <c r="J1816">
        <v>0</v>
      </c>
      <c r="M1816">
        <v>2576</v>
      </c>
    </row>
    <row r="1817" spans="1:15" x14ac:dyDescent="0.35">
      <c r="A1817" t="s">
        <v>2178</v>
      </c>
      <c r="B1817" t="s">
        <v>2179</v>
      </c>
      <c r="C1817" t="s">
        <v>520</v>
      </c>
      <c r="D1817" t="s">
        <v>339</v>
      </c>
      <c r="E1817" t="s">
        <v>294</v>
      </c>
      <c r="F1817" t="s">
        <v>2211</v>
      </c>
      <c r="G1817">
        <v>2170</v>
      </c>
      <c r="H1817">
        <v>247423.22999999998</v>
      </c>
      <c r="I1817">
        <v>114.02</v>
      </c>
      <c r="J1817">
        <v>0</v>
      </c>
      <c r="K1817">
        <v>0</v>
      </c>
      <c r="L1817">
        <v>0</v>
      </c>
      <c r="M1817">
        <v>2170</v>
      </c>
      <c r="N1817">
        <v>247423.22999999998</v>
      </c>
      <c r="O1817">
        <v>114.02</v>
      </c>
    </row>
    <row r="1818" spans="1:15" x14ac:dyDescent="0.35">
      <c r="A1818" t="s">
        <v>2178</v>
      </c>
      <c r="B1818" t="s">
        <v>2179</v>
      </c>
      <c r="C1818" t="s">
        <v>520</v>
      </c>
      <c r="D1818" t="s">
        <v>339</v>
      </c>
      <c r="E1818" t="s">
        <v>296</v>
      </c>
      <c r="F1818" t="s">
        <v>2212</v>
      </c>
      <c r="G1818">
        <v>561</v>
      </c>
      <c r="H1818">
        <v>71085.23</v>
      </c>
      <c r="I1818">
        <v>126.71</v>
      </c>
      <c r="J1818">
        <v>0</v>
      </c>
      <c r="K1818">
        <v>0</v>
      </c>
      <c r="L1818">
        <v>0</v>
      </c>
      <c r="M1818">
        <v>561</v>
      </c>
      <c r="N1818">
        <v>71085.23</v>
      </c>
      <c r="O1818">
        <v>126.71</v>
      </c>
    </row>
    <row r="1819" spans="1:15" x14ac:dyDescent="0.35">
      <c r="A1819" t="s">
        <v>2178</v>
      </c>
      <c r="B1819" t="s">
        <v>2179</v>
      </c>
      <c r="C1819" t="s">
        <v>520</v>
      </c>
      <c r="D1819" t="s">
        <v>339</v>
      </c>
      <c r="E1819" t="s">
        <v>298</v>
      </c>
      <c r="F1819" t="s">
        <v>2213</v>
      </c>
      <c r="G1819">
        <v>29</v>
      </c>
      <c r="H1819">
        <v>4348.1000000000004</v>
      </c>
      <c r="I1819">
        <v>149.93</v>
      </c>
      <c r="J1819">
        <v>0</v>
      </c>
      <c r="K1819">
        <v>0</v>
      </c>
      <c r="L1819">
        <v>0</v>
      </c>
      <c r="M1819">
        <v>29</v>
      </c>
      <c r="N1819">
        <v>4348.1000000000004</v>
      </c>
      <c r="O1819">
        <v>149.93</v>
      </c>
    </row>
    <row r="1820" spans="1:15" x14ac:dyDescent="0.35">
      <c r="A1820" t="s">
        <v>2178</v>
      </c>
      <c r="B1820" t="s">
        <v>2179</v>
      </c>
      <c r="C1820" t="s">
        <v>520</v>
      </c>
      <c r="D1820" t="s">
        <v>339</v>
      </c>
      <c r="E1820" t="s">
        <v>300</v>
      </c>
      <c r="F1820" t="s">
        <v>2214</v>
      </c>
      <c r="G1820">
        <v>3</v>
      </c>
      <c r="H1820">
        <v>462.07000000000005</v>
      </c>
      <c r="I1820">
        <v>154.02000000000001</v>
      </c>
      <c r="J1820">
        <v>0</v>
      </c>
      <c r="K1820">
        <v>0</v>
      </c>
      <c r="L1820">
        <v>0</v>
      </c>
      <c r="M1820">
        <v>3</v>
      </c>
      <c r="N1820">
        <v>462.07000000000005</v>
      </c>
      <c r="O1820">
        <v>154.02000000000001</v>
      </c>
    </row>
    <row r="1821" spans="1:15" x14ac:dyDescent="0.35">
      <c r="A1821" t="s">
        <v>2178</v>
      </c>
      <c r="B1821" t="s">
        <v>2179</v>
      </c>
      <c r="C1821" t="s">
        <v>520</v>
      </c>
      <c r="D1821" t="s">
        <v>339</v>
      </c>
      <c r="E1821" t="s">
        <v>306</v>
      </c>
      <c r="F1821" t="s">
        <v>2215</v>
      </c>
      <c r="G1821">
        <v>145</v>
      </c>
      <c r="H1821">
        <v>12114.85</v>
      </c>
      <c r="I1821">
        <v>83.55</v>
      </c>
      <c r="J1821">
        <v>0</v>
      </c>
      <c r="K1821">
        <v>0</v>
      </c>
      <c r="L1821">
        <v>0</v>
      </c>
      <c r="M1821">
        <v>145</v>
      </c>
      <c r="N1821">
        <v>12114.85</v>
      </c>
      <c r="O1821">
        <v>83.55</v>
      </c>
    </row>
    <row r="1822" spans="1:15" x14ac:dyDescent="0.35">
      <c r="A1822" t="s">
        <v>2178</v>
      </c>
      <c r="B1822" t="s">
        <v>2179</v>
      </c>
      <c r="C1822" t="s">
        <v>520</v>
      </c>
      <c r="D1822" t="s">
        <v>339</v>
      </c>
      <c r="E1822" t="s">
        <v>308</v>
      </c>
      <c r="F1822" t="s">
        <v>2216</v>
      </c>
      <c r="G1822">
        <v>361</v>
      </c>
      <c r="H1822">
        <v>55564.75</v>
      </c>
      <c r="I1822">
        <v>153.91999999999999</v>
      </c>
      <c r="J1822">
        <v>0</v>
      </c>
      <c r="K1822">
        <v>0</v>
      </c>
      <c r="L1822">
        <v>0</v>
      </c>
      <c r="M1822">
        <v>361</v>
      </c>
      <c r="N1822">
        <v>55564.75</v>
      </c>
      <c r="O1822">
        <v>153.91999999999999</v>
      </c>
    </row>
    <row r="1823" spans="1:15" x14ac:dyDescent="0.35">
      <c r="A1823" t="s">
        <v>2178</v>
      </c>
      <c r="B1823" t="s">
        <v>2179</v>
      </c>
      <c r="C1823" t="s">
        <v>520</v>
      </c>
      <c r="D1823" t="s">
        <v>339</v>
      </c>
      <c r="E1823" t="s">
        <v>310</v>
      </c>
      <c r="F1823" t="s">
        <v>2217</v>
      </c>
      <c r="G1823">
        <v>3269</v>
      </c>
      <c r="H1823">
        <v>390998.22999999992</v>
      </c>
      <c r="I1823">
        <v>119.61</v>
      </c>
      <c r="J1823">
        <v>0</v>
      </c>
      <c r="K1823">
        <v>0</v>
      </c>
      <c r="L1823">
        <v>0</v>
      </c>
      <c r="M1823">
        <v>3269</v>
      </c>
      <c r="N1823">
        <v>390998.22999999992</v>
      </c>
      <c r="O1823">
        <v>119.61</v>
      </c>
    </row>
    <row r="1824" spans="1:15" x14ac:dyDescent="0.35">
      <c r="A1824" t="s">
        <v>2178</v>
      </c>
      <c r="B1824" t="s">
        <v>2179</v>
      </c>
      <c r="C1824" t="s">
        <v>520</v>
      </c>
      <c r="D1824" t="s">
        <v>339</v>
      </c>
      <c r="E1824" t="s">
        <v>312</v>
      </c>
      <c r="F1824" t="s">
        <v>2218</v>
      </c>
      <c r="G1824">
        <v>2908</v>
      </c>
      <c r="H1824">
        <v>335433.47999999992</v>
      </c>
      <c r="I1824">
        <v>115.35</v>
      </c>
      <c r="J1824">
        <v>0</v>
      </c>
      <c r="K1824">
        <v>0</v>
      </c>
      <c r="L1824">
        <v>0</v>
      </c>
      <c r="M1824">
        <v>2908</v>
      </c>
      <c r="N1824">
        <v>335433.47999999992</v>
      </c>
      <c r="O1824">
        <v>115.35</v>
      </c>
    </row>
    <row r="1825" spans="1:15" x14ac:dyDescent="0.35">
      <c r="A1825" t="s">
        <v>2178</v>
      </c>
      <c r="B1825" t="s">
        <v>2179</v>
      </c>
      <c r="C1825" t="s">
        <v>520</v>
      </c>
      <c r="D1825" t="s">
        <v>348</v>
      </c>
      <c r="E1825" t="s">
        <v>349</v>
      </c>
      <c r="F1825" t="s">
        <v>2219</v>
      </c>
      <c r="G1825">
        <v>3761</v>
      </c>
      <c r="H1825">
        <v>413451.0799999999</v>
      </c>
      <c r="I1825">
        <v>120.29</v>
      </c>
      <c r="J1825">
        <v>0</v>
      </c>
      <c r="K1825">
        <v>0</v>
      </c>
      <c r="L1825">
        <v>0</v>
      </c>
      <c r="M1825">
        <v>3761</v>
      </c>
      <c r="N1825">
        <v>413451.0799999999</v>
      </c>
      <c r="O1825">
        <v>120.29</v>
      </c>
    </row>
    <row r="1826" spans="1:15" x14ac:dyDescent="0.35">
      <c r="A1826" t="s">
        <v>2220</v>
      </c>
      <c r="B1826" t="s">
        <v>2221</v>
      </c>
      <c r="C1826" t="s">
        <v>520</v>
      </c>
      <c r="D1826" t="s">
        <v>293</v>
      </c>
      <c r="E1826" t="s">
        <v>294</v>
      </c>
      <c r="F1826" t="s">
        <v>2222</v>
      </c>
      <c r="G1826">
        <v>640</v>
      </c>
      <c r="H1826">
        <v>74244.910000000018</v>
      </c>
      <c r="I1826">
        <v>116.01</v>
      </c>
      <c r="J1826">
        <v>79</v>
      </c>
      <c r="K1826">
        <v>8249.9700000000012</v>
      </c>
      <c r="L1826">
        <v>104.43</v>
      </c>
      <c r="M1826">
        <v>719</v>
      </c>
      <c r="N1826">
        <v>82494.880000000019</v>
      </c>
      <c r="O1826">
        <v>114.74</v>
      </c>
    </row>
    <row r="1827" spans="1:15" x14ac:dyDescent="0.35">
      <c r="A1827" t="s">
        <v>2220</v>
      </c>
      <c r="B1827" t="s">
        <v>2221</v>
      </c>
      <c r="C1827" t="s">
        <v>520</v>
      </c>
      <c r="D1827" t="s">
        <v>293</v>
      </c>
      <c r="E1827" t="s">
        <v>296</v>
      </c>
      <c r="F1827" t="s">
        <v>2223</v>
      </c>
      <c r="G1827">
        <v>1859</v>
      </c>
      <c r="H1827">
        <v>258762.48</v>
      </c>
      <c r="I1827">
        <v>139.19</v>
      </c>
      <c r="J1827">
        <v>120</v>
      </c>
      <c r="K1827">
        <v>15372</v>
      </c>
      <c r="L1827">
        <v>128.1</v>
      </c>
      <c r="M1827">
        <v>1979</v>
      </c>
      <c r="N1827">
        <v>274134.48</v>
      </c>
      <c r="O1827">
        <v>138.52000000000001</v>
      </c>
    </row>
    <row r="1828" spans="1:15" x14ac:dyDescent="0.35">
      <c r="A1828" t="s">
        <v>2220</v>
      </c>
      <c r="B1828" t="s">
        <v>2221</v>
      </c>
      <c r="C1828" t="s">
        <v>520</v>
      </c>
      <c r="D1828" t="s">
        <v>293</v>
      </c>
      <c r="E1828" t="s">
        <v>298</v>
      </c>
      <c r="F1828" t="s">
        <v>2224</v>
      </c>
      <c r="G1828">
        <v>951</v>
      </c>
      <c r="H1828">
        <v>149908.27999999997</v>
      </c>
      <c r="I1828">
        <v>157.63</v>
      </c>
      <c r="J1828">
        <v>22</v>
      </c>
      <c r="K1828">
        <v>3174.3799999999997</v>
      </c>
      <c r="L1828">
        <v>144.29</v>
      </c>
      <c r="M1828">
        <v>973</v>
      </c>
      <c r="N1828">
        <v>153082.65999999997</v>
      </c>
      <c r="O1828">
        <v>157.33000000000001</v>
      </c>
    </row>
    <row r="1829" spans="1:15" x14ac:dyDescent="0.35">
      <c r="A1829" t="s">
        <v>2220</v>
      </c>
      <c r="B1829" t="s">
        <v>2221</v>
      </c>
      <c r="C1829" t="s">
        <v>520</v>
      </c>
      <c r="D1829" t="s">
        <v>293</v>
      </c>
      <c r="E1829" t="s">
        <v>300</v>
      </c>
      <c r="F1829" t="s">
        <v>2225</v>
      </c>
      <c r="G1829">
        <v>49</v>
      </c>
      <c r="H1829">
        <v>9798.15</v>
      </c>
      <c r="I1829">
        <v>199.96</v>
      </c>
      <c r="J1829">
        <v>0</v>
      </c>
      <c r="K1829">
        <v>0</v>
      </c>
      <c r="L1829">
        <v>0</v>
      </c>
      <c r="M1829">
        <v>49</v>
      </c>
      <c r="N1829">
        <v>9798.15</v>
      </c>
      <c r="O1829">
        <v>199.96</v>
      </c>
    </row>
    <row r="1830" spans="1:15" x14ac:dyDescent="0.35">
      <c r="A1830" t="s">
        <v>2220</v>
      </c>
      <c r="B1830" t="s">
        <v>2221</v>
      </c>
      <c r="C1830" t="s">
        <v>520</v>
      </c>
      <c r="D1830" t="s">
        <v>293</v>
      </c>
      <c r="E1830" t="s">
        <v>302</v>
      </c>
      <c r="F1830" t="s">
        <v>2226</v>
      </c>
      <c r="G1830">
        <v>0</v>
      </c>
      <c r="H1830">
        <v>0</v>
      </c>
      <c r="I1830">
        <v>0</v>
      </c>
      <c r="J1830">
        <v>0</v>
      </c>
      <c r="K1830">
        <v>0</v>
      </c>
      <c r="L1830">
        <v>0</v>
      </c>
      <c r="M1830">
        <v>0</v>
      </c>
      <c r="N1830">
        <v>0</v>
      </c>
      <c r="O1830">
        <v>0</v>
      </c>
    </row>
    <row r="1831" spans="1:15" x14ac:dyDescent="0.35">
      <c r="A1831" t="s">
        <v>2220</v>
      </c>
      <c r="B1831" t="s">
        <v>2221</v>
      </c>
      <c r="C1831" t="s">
        <v>520</v>
      </c>
      <c r="D1831" t="s">
        <v>293</v>
      </c>
      <c r="E1831" t="s">
        <v>304</v>
      </c>
      <c r="F1831" t="s">
        <v>2227</v>
      </c>
      <c r="G1831">
        <v>0</v>
      </c>
      <c r="H1831">
        <v>0</v>
      </c>
      <c r="I1831">
        <v>0</v>
      </c>
      <c r="J1831">
        <v>1</v>
      </c>
      <c r="K1831">
        <v>128.91999999999999</v>
      </c>
      <c r="L1831">
        <v>128.91999999999999</v>
      </c>
      <c r="M1831">
        <v>1</v>
      </c>
      <c r="N1831">
        <v>128.91999999999999</v>
      </c>
      <c r="O1831">
        <v>128.91999999999999</v>
      </c>
    </row>
    <row r="1832" spans="1:15" x14ac:dyDescent="0.35">
      <c r="A1832" t="s">
        <v>2220</v>
      </c>
      <c r="B1832" t="s">
        <v>2221</v>
      </c>
      <c r="C1832" t="s">
        <v>520</v>
      </c>
      <c r="D1832" t="s">
        <v>293</v>
      </c>
      <c r="E1832" t="s">
        <v>306</v>
      </c>
      <c r="F1832" t="s">
        <v>2228</v>
      </c>
      <c r="G1832">
        <v>0</v>
      </c>
      <c r="H1832">
        <v>0</v>
      </c>
      <c r="I1832">
        <v>0</v>
      </c>
      <c r="J1832">
        <v>0</v>
      </c>
      <c r="K1832">
        <v>0</v>
      </c>
      <c r="L1832">
        <v>0</v>
      </c>
      <c r="M1832">
        <v>0</v>
      </c>
      <c r="N1832">
        <v>0</v>
      </c>
      <c r="O1832">
        <v>0</v>
      </c>
    </row>
    <row r="1833" spans="1:15" x14ac:dyDescent="0.35">
      <c r="A1833" t="s">
        <v>2220</v>
      </c>
      <c r="B1833" t="s">
        <v>2221</v>
      </c>
      <c r="C1833" t="s">
        <v>520</v>
      </c>
      <c r="D1833" t="s">
        <v>293</v>
      </c>
      <c r="E1833" t="s">
        <v>308</v>
      </c>
      <c r="F1833" t="s">
        <v>2229</v>
      </c>
      <c r="G1833">
        <v>0</v>
      </c>
      <c r="H1833">
        <v>0</v>
      </c>
      <c r="I1833">
        <v>0</v>
      </c>
      <c r="J1833">
        <v>0</v>
      </c>
      <c r="K1833">
        <v>0</v>
      </c>
      <c r="L1833">
        <v>0</v>
      </c>
      <c r="M1833">
        <v>0</v>
      </c>
      <c r="N1833">
        <v>0</v>
      </c>
      <c r="O1833">
        <v>0</v>
      </c>
    </row>
    <row r="1834" spans="1:15" x14ac:dyDescent="0.35">
      <c r="A1834" t="s">
        <v>2220</v>
      </c>
      <c r="B1834" t="s">
        <v>2221</v>
      </c>
      <c r="C1834" t="s">
        <v>520</v>
      </c>
      <c r="D1834" t="s">
        <v>293</v>
      </c>
      <c r="E1834" t="s">
        <v>310</v>
      </c>
      <c r="F1834" t="s">
        <v>2230</v>
      </c>
      <c r="G1834">
        <v>3499</v>
      </c>
      <c r="H1834">
        <v>492713.82</v>
      </c>
      <c r="I1834">
        <v>140.82</v>
      </c>
      <c r="J1834">
        <v>222</v>
      </c>
      <c r="K1834">
        <v>26925.27</v>
      </c>
      <c r="L1834">
        <v>121.29</v>
      </c>
      <c r="M1834">
        <v>3721</v>
      </c>
      <c r="N1834">
        <v>519639.09</v>
      </c>
      <c r="O1834">
        <v>139.65</v>
      </c>
    </row>
    <row r="1835" spans="1:15" x14ac:dyDescent="0.35">
      <c r="A1835" t="s">
        <v>2220</v>
      </c>
      <c r="B1835" t="s">
        <v>2221</v>
      </c>
      <c r="C1835" t="s">
        <v>520</v>
      </c>
      <c r="D1835" t="s">
        <v>293</v>
      </c>
      <c r="E1835" t="s">
        <v>312</v>
      </c>
      <c r="F1835" t="s">
        <v>2231</v>
      </c>
      <c r="G1835">
        <v>3499</v>
      </c>
      <c r="H1835">
        <v>492713.82</v>
      </c>
      <c r="I1835">
        <v>140.82</v>
      </c>
      <c r="J1835">
        <v>222</v>
      </c>
      <c r="K1835">
        <v>26925.27</v>
      </c>
      <c r="L1835">
        <v>121.29</v>
      </c>
      <c r="M1835">
        <v>3721</v>
      </c>
      <c r="N1835">
        <v>519639.09</v>
      </c>
      <c r="O1835">
        <v>139.65</v>
      </c>
    </row>
    <row r="1836" spans="1:15" x14ac:dyDescent="0.35">
      <c r="A1836" t="s">
        <v>2220</v>
      </c>
      <c r="B1836" t="s">
        <v>2221</v>
      </c>
      <c r="C1836" t="s">
        <v>520</v>
      </c>
      <c r="D1836" t="s">
        <v>314</v>
      </c>
      <c r="E1836" t="s">
        <v>294</v>
      </c>
      <c r="F1836" t="s">
        <v>2232</v>
      </c>
      <c r="G1836">
        <v>195</v>
      </c>
      <c r="H1836">
        <v>36313.46</v>
      </c>
      <c r="I1836">
        <v>186.22</v>
      </c>
      <c r="J1836">
        <v>4</v>
      </c>
      <c r="K1836">
        <v>442.52</v>
      </c>
      <c r="L1836">
        <v>110.63</v>
      </c>
      <c r="M1836">
        <v>199</v>
      </c>
      <c r="N1836">
        <v>36755.979999999996</v>
      </c>
      <c r="O1836">
        <v>184.7</v>
      </c>
    </row>
    <row r="1837" spans="1:15" x14ac:dyDescent="0.35">
      <c r="A1837" t="s">
        <v>2220</v>
      </c>
      <c r="B1837" t="s">
        <v>2221</v>
      </c>
      <c r="C1837" t="s">
        <v>520</v>
      </c>
      <c r="D1837" t="s">
        <v>314</v>
      </c>
      <c r="E1837" t="s">
        <v>296</v>
      </c>
      <c r="F1837" t="s">
        <v>2233</v>
      </c>
      <c r="G1837">
        <v>258</v>
      </c>
      <c r="H1837">
        <v>52144.37</v>
      </c>
      <c r="I1837">
        <v>202.11</v>
      </c>
      <c r="J1837">
        <v>5</v>
      </c>
      <c r="K1837">
        <v>672.90000000000009</v>
      </c>
      <c r="L1837">
        <v>134.58000000000001</v>
      </c>
      <c r="M1837">
        <v>263</v>
      </c>
      <c r="N1837">
        <v>52817.270000000004</v>
      </c>
      <c r="O1837">
        <v>200.83</v>
      </c>
    </row>
    <row r="1838" spans="1:15" x14ac:dyDescent="0.35">
      <c r="A1838" t="s">
        <v>2220</v>
      </c>
      <c r="B1838" t="s">
        <v>2221</v>
      </c>
      <c r="C1838" t="s">
        <v>520</v>
      </c>
      <c r="D1838" t="s">
        <v>314</v>
      </c>
      <c r="E1838" t="s">
        <v>298</v>
      </c>
      <c r="F1838" t="s">
        <v>2234</v>
      </c>
      <c r="G1838">
        <v>0</v>
      </c>
      <c r="H1838">
        <v>0</v>
      </c>
      <c r="I1838">
        <v>0</v>
      </c>
      <c r="J1838">
        <v>0</v>
      </c>
      <c r="K1838">
        <v>0</v>
      </c>
      <c r="L1838">
        <v>0</v>
      </c>
      <c r="M1838">
        <v>0</v>
      </c>
      <c r="N1838">
        <v>0</v>
      </c>
      <c r="O1838">
        <v>0</v>
      </c>
    </row>
    <row r="1839" spans="1:15" x14ac:dyDescent="0.35">
      <c r="A1839" t="s">
        <v>2220</v>
      </c>
      <c r="B1839" t="s">
        <v>2221</v>
      </c>
      <c r="C1839" t="s">
        <v>520</v>
      </c>
      <c r="D1839" t="s">
        <v>314</v>
      </c>
      <c r="E1839" t="s">
        <v>300</v>
      </c>
      <c r="F1839" t="s">
        <v>2235</v>
      </c>
      <c r="G1839">
        <v>0</v>
      </c>
      <c r="H1839">
        <v>0</v>
      </c>
      <c r="I1839">
        <v>0</v>
      </c>
      <c r="J1839">
        <v>0</v>
      </c>
      <c r="K1839">
        <v>0</v>
      </c>
      <c r="L1839">
        <v>0</v>
      </c>
      <c r="M1839">
        <v>0</v>
      </c>
      <c r="N1839">
        <v>0</v>
      </c>
      <c r="O1839">
        <v>0</v>
      </c>
    </row>
    <row r="1840" spans="1:15" x14ac:dyDescent="0.35">
      <c r="A1840" t="s">
        <v>2220</v>
      </c>
      <c r="B1840" t="s">
        <v>2221</v>
      </c>
      <c r="C1840" t="s">
        <v>520</v>
      </c>
      <c r="D1840" t="s">
        <v>314</v>
      </c>
      <c r="E1840" t="s">
        <v>306</v>
      </c>
      <c r="F1840" t="s">
        <v>2236</v>
      </c>
      <c r="G1840">
        <v>0</v>
      </c>
      <c r="H1840">
        <v>0</v>
      </c>
      <c r="I1840">
        <v>0</v>
      </c>
      <c r="J1840">
        <v>0</v>
      </c>
      <c r="K1840">
        <v>0</v>
      </c>
      <c r="L1840">
        <v>0</v>
      </c>
      <c r="M1840">
        <v>0</v>
      </c>
      <c r="N1840">
        <v>0</v>
      </c>
      <c r="O1840">
        <v>0</v>
      </c>
    </row>
    <row r="1841" spans="1:15" x14ac:dyDescent="0.35">
      <c r="A1841" t="s">
        <v>2220</v>
      </c>
      <c r="B1841" t="s">
        <v>2221</v>
      </c>
      <c r="C1841" t="s">
        <v>520</v>
      </c>
      <c r="D1841" t="s">
        <v>314</v>
      </c>
      <c r="E1841" t="s">
        <v>308</v>
      </c>
      <c r="F1841" t="s">
        <v>2237</v>
      </c>
      <c r="G1841">
        <v>0</v>
      </c>
      <c r="H1841">
        <v>0</v>
      </c>
      <c r="I1841">
        <v>0</v>
      </c>
      <c r="J1841">
        <v>0</v>
      </c>
      <c r="K1841">
        <v>0</v>
      </c>
      <c r="L1841">
        <v>0</v>
      </c>
      <c r="M1841">
        <v>0</v>
      </c>
      <c r="N1841">
        <v>0</v>
      </c>
      <c r="O1841">
        <v>0</v>
      </c>
    </row>
    <row r="1842" spans="1:15" x14ac:dyDescent="0.35">
      <c r="A1842" t="s">
        <v>2220</v>
      </c>
      <c r="B1842" t="s">
        <v>2221</v>
      </c>
      <c r="C1842" t="s">
        <v>520</v>
      </c>
      <c r="D1842" t="s">
        <v>314</v>
      </c>
      <c r="E1842" t="s">
        <v>312</v>
      </c>
      <c r="F1842" t="s">
        <v>2238</v>
      </c>
      <c r="G1842">
        <v>453</v>
      </c>
      <c r="H1842">
        <v>88457.83</v>
      </c>
      <c r="I1842">
        <v>195.27</v>
      </c>
      <c r="J1842">
        <v>9</v>
      </c>
      <c r="K1842">
        <v>1115.42</v>
      </c>
      <c r="L1842">
        <v>123.94</v>
      </c>
      <c r="M1842">
        <v>462</v>
      </c>
      <c r="N1842">
        <v>89573.25</v>
      </c>
      <c r="O1842">
        <v>193.88</v>
      </c>
    </row>
    <row r="1843" spans="1:15" x14ac:dyDescent="0.35">
      <c r="A1843" t="s">
        <v>2220</v>
      </c>
      <c r="B1843" t="s">
        <v>2221</v>
      </c>
      <c r="C1843" t="s">
        <v>520</v>
      </c>
      <c r="D1843" t="s">
        <v>314</v>
      </c>
      <c r="E1843" t="s">
        <v>310</v>
      </c>
      <c r="F1843" t="s">
        <v>2239</v>
      </c>
      <c r="G1843">
        <v>453</v>
      </c>
      <c r="H1843">
        <v>88457.83</v>
      </c>
      <c r="I1843">
        <v>195.27</v>
      </c>
      <c r="J1843">
        <v>9</v>
      </c>
      <c r="K1843">
        <v>1115.42</v>
      </c>
      <c r="L1843">
        <v>123.94</v>
      </c>
      <c r="M1843">
        <v>462</v>
      </c>
      <c r="N1843">
        <v>89573.25</v>
      </c>
      <c r="O1843">
        <v>193.88</v>
      </c>
    </row>
    <row r="1844" spans="1:15" x14ac:dyDescent="0.35">
      <c r="A1844" t="s">
        <v>2220</v>
      </c>
      <c r="B1844" t="s">
        <v>2221</v>
      </c>
      <c r="C1844" t="s">
        <v>520</v>
      </c>
      <c r="D1844" t="s">
        <v>323</v>
      </c>
      <c r="E1844" t="s">
        <v>294</v>
      </c>
      <c r="F1844" t="s">
        <v>2240</v>
      </c>
      <c r="G1844">
        <v>2092</v>
      </c>
      <c r="H1844">
        <v>204072.33999999997</v>
      </c>
      <c r="I1844">
        <v>97.55</v>
      </c>
      <c r="J1844">
        <v>1320</v>
      </c>
      <c r="K1844">
        <v>114919.2</v>
      </c>
      <c r="L1844">
        <v>87.06</v>
      </c>
      <c r="M1844">
        <v>3412</v>
      </c>
      <c r="N1844">
        <v>318991.53999999998</v>
      </c>
      <c r="O1844">
        <v>93.49</v>
      </c>
    </row>
    <row r="1845" spans="1:15" x14ac:dyDescent="0.35">
      <c r="A1845" t="s">
        <v>2220</v>
      </c>
      <c r="B1845" t="s">
        <v>2221</v>
      </c>
      <c r="C1845" t="s">
        <v>520</v>
      </c>
      <c r="D1845" t="s">
        <v>323</v>
      </c>
      <c r="E1845" t="s">
        <v>296</v>
      </c>
      <c r="F1845" t="s">
        <v>2241</v>
      </c>
      <c r="G1845">
        <v>4661</v>
      </c>
      <c r="H1845">
        <v>509822.56999999995</v>
      </c>
      <c r="I1845">
        <v>109.38</v>
      </c>
      <c r="J1845">
        <v>1314</v>
      </c>
      <c r="K1845">
        <v>125526.42</v>
      </c>
      <c r="L1845">
        <v>95.53</v>
      </c>
      <c r="M1845">
        <v>5975</v>
      </c>
      <c r="N1845">
        <v>635348.99</v>
      </c>
      <c r="O1845">
        <v>106.33</v>
      </c>
    </row>
    <row r="1846" spans="1:15" x14ac:dyDescent="0.35">
      <c r="A1846" t="s">
        <v>2220</v>
      </c>
      <c r="B1846" t="s">
        <v>2221</v>
      </c>
      <c r="C1846" t="s">
        <v>520</v>
      </c>
      <c r="D1846" t="s">
        <v>323</v>
      </c>
      <c r="E1846" t="s">
        <v>298</v>
      </c>
      <c r="F1846" t="s">
        <v>2242</v>
      </c>
      <c r="G1846">
        <v>4776</v>
      </c>
      <c r="H1846">
        <v>591811</v>
      </c>
      <c r="I1846">
        <v>123.91</v>
      </c>
      <c r="J1846">
        <v>2291</v>
      </c>
      <c r="K1846">
        <v>231138.99</v>
      </c>
      <c r="L1846">
        <v>100.89</v>
      </c>
      <c r="M1846">
        <v>7067</v>
      </c>
      <c r="N1846">
        <v>822949.99</v>
      </c>
      <c r="O1846">
        <v>116.45</v>
      </c>
    </row>
    <row r="1847" spans="1:15" x14ac:dyDescent="0.35">
      <c r="A1847" t="s">
        <v>2220</v>
      </c>
      <c r="B1847" t="s">
        <v>2221</v>
      </c>
      <c r="C1847" t="s">
        <v>520</v>
      </c>
      <c r="D1847" t="s">
        <v>323</v>
      </c>
      <c r="E1847" t="s">
        <v>300</v>
      </c>
      <c r="F1847" t="s">
        <v>2243</v>
      </c>
      <c r="G1847">
        <v>301</v>
      </c>
      <c r="H1847">
        <v>41139.80999999999</v>
      </c>
      <c r="I1847">
        <v>136.68</v>
      </c>
      <c r="J1847">
        <v>109</v>
      </c>
      <c r="K1847">
        <v>11495.14</v>
      </c>
      <c r="L1847">
        <v>105.46</v>
      </c>
      <c r="M1847">
        <v>410</v>
      </c>
      <c r="N1847">
        <v>52634.94999999999</v>
      </c>
      <c r="O1847">
        <v>128.38</v>
      </c>
    </row>
    <row r="1848" spans="1:15" x14ac:dyDescent="0.35">
      <c r="A1848" t="s">
        <v>2220</v>
      </c>
      <c r="B1848" t="s">
        <v>2221</v>
      </c>
      <c r="C1848" t="s">
        <v>520</v>
      </c>
      <c r="D1848" t="s">
        <v>323</v>
      </c>
      <c r="E1848" t="s">
        <v>302</v>
      </c>
      <c r="F1848" t="s">
        <v>2244</v>
      </c>
      <c r="G1848">
        <v>7</v>
      </c>
      <c r="H1848">
        <v>1140.96</v>
      </c>
      <c r="I1848">
        <v>162.99</v>
      </c>
      <c r="J1848">
        <v>6</v>
      </c>
      <c r="K1848">
        <v>579.72</v>
      </c>
      <c r="L1848">
        <v>96.62</v>
      </c>
      <c r="M1848">
        <v>13</v>
      </c>
      <c r="N1848">
        <v>1720.68</v>
      </c>
      <c r="O1848">
        <v>132.36000000000001</v>
      </c>
    </row>
    <row r="1849" spans="1:15" x14ac:dyDescent="0.35">
      <c r="A1849" t="s">
        <v>2220</v>
      </c>
      <c r="B1849" t="s">
        <v>2221</v>
      </c>
      <c r="C1849" t="s">
        <v>520</v>
      </c>
      <c r="D1849" t="s">
        <v>323</v>
      </c>
      <c r="E1849" t="s">
        <v>304</v>
      </c>
      <c r="F1849" t="s">
        <v>2245</v>
      </c>
      <c r="G1849">
        <v>7</v>
      </c>
      <c r="H1849">
        <v>1092.22</v>
      </c>
      <c r="I1849">
        <v>156.03</v>
      </c>
      <c r="J1849">
        <v>5</v>
      </c>
      <c r="K1849">
        <v>624</v>
      </c>
      <c r="L1849">
        <v>124.8</v>
      </c>
      <c r="M1849">
        <v>12</v>
      </c>
      <c r="N1849">
        <v>1716.22</v>
      </c>
      <c r="O1849">
        <v>143.02000000000001</v>
      </c>
    </row>
    <row r="1850" spans="1:15" x14ac:dyDescent="0.35">
      <c r="A1850" t="s">
        <v>2220</v>
      </c>
      <c r="B1850" t="s">
        <v>2221</v>
      </c>
      <c r="C1850" t="s">
        <v>520</v>
      </c>
      <c r="D1850" t="s">
        <v>323</v>
      </c>
      <c r="E1850" t="s">
        <v>306</v>
      </c>
      <c r="F1850" t="s">
        <v>2246</v>
      </c>
      <c r="G1850">
        <v>43</v>
      </c>
      <c r="H1850">
        <v>3700.41</v>
      </c>
      <c r="I1850">
        <v>86.06</v>
      </c>
      <c r="J1850">
        <v>0</v>
      </c>
      <c r="K1850">
        <v>0</v>
      </c>
      <c r="L1850">
        <v>0</v>
      </c>
      <c r="M1850">
        <v>43</v>
      </c>
      <c r="N1850">
        <v>3700.41</v>
      </c>
      <c r="O1850">
        <v>86.06</v>
      </c>
    </row>
    <row r="1851" spans="1:15" x14ac:dyDescent="0.35">
      <c r="A1851" t="s">
        <v>2220</v>
      </c>
      <c r="B1851" t="s">
        <v>2221</v>
      </c>
      <c r="C1851" t="s">
        <v>520</v>
      </c>
      <c r="D1851" t="s">
        <v>323</v>
      </c>
      <c r="E1851" t="s">
        <v>308</v>
      </c>
      <c r="F1851" t="s">
        <v>2247</v>
      </c>
      <c r="G1851">
        <v>0</v>
      </c>
      <c r="H1851">
        <v>0</v>
      </c>
      <c r="I1851">
        <v>0</v>
      </c>
      <c r="J1851">
        <v>0</v>
      </c>
      <c r="K1851">
        <v>0</v>
      </c>
      <c r="L1851">
        <v>0</v>
      </c>
      <c r="M1851">
        <v>0</v>
      </c>
      <c r="N1851">
        <v>0</v>
      </c>
      <c r="O1851">
        <v>0</v>
      </c>
    </row>
    <row r="1852" spans="1:15" x14ac:dyDescent="0.35">
      <c r="A1852" t="s">
        <v>2220</v>
      </c>
      <c r="B1852" t="s">
        <v>2221</v>
      </c>
      <c r="C1852" t="s">
        <v>520</v>
      </c>
      <c r="D1852" t="s">
        <v>323</v>
      </c>
      <c r="E1852" t="s">
        <v>310</v>
      </c>
      <c r="F1852" t="s">
        <v>2248</v>
      </c>
      <c r="G1852">
        <v>11887</v>
      </c>
      <c r="H1852">
        <v>1352779.3099999998</v>
      </c>
      <c r="I1852">
        <v>113.8</v>
      </c>
      <c r="J1852">
        <v>5045</v>
      </c>
      <c r="K1852">
        <v>484283.47</v>
      </c>
      <c r="L1852">
        <v>95.99</v>
      </c>
      <c r="M1852">
        <v>16932</v>
      </c>
      <c r="N1852">
        <v>1837062.7799999998</v>
      </c>
      <c r="O1852">
        <v>108.5</v>
      </c>
    </row>
    <row r="1853" spans="1:15" x14ac:dyDescent="0.35">
      <c r="A1853" t="s">
        <v>2220</v>
      </c>
      <c r="B1853" t="s">
        <v>2221</v>
      </c>
      <c r="C1853" t="s">
        <v>520</v>
      </c>
      <c r="D1853" t="s">
        <v>323</v>
      </c>
      <c r="E1853" t="s">
        <v>312</v>
      </c>
      <c r="F1853" t="s">
        <v>2249</v>
      </c>
      <c r="G1853">
        <v>11887</v>
      </c>
      <c r="H1853">
        <v>1352779.3099999998</v>
      </c>
      <c r="I1853">
        <v>113.8</v>
      </c>
      <c r="J1853">
        <v>5045</v>
      </c>
      <c r="K1853">
        <v>484283.47</v>
      </c>
      <c r="L1853">
        <v>95.99</v>
      </c>
      <c r="M1853">
        <v>16932</v>
      </c>
      <c r="N1853">
        <v>1837062.7799999998</v>
      </c>
      <c r="O1853">
        <v>108.5</v>
      </c>
    </row>
    <row r="1854" spans="1:15" x14ac:dyDescent="0.35">
      <c r="A1854" t="s">
        <v>2220</v>
      </c>
      <c r="B1854" t="s">
        <v>2221</v>
      </c>
      <c r="C1854" t="s">
        <v>520</v>
      </c>
      <c r="D1854" t="s">
        <v>334</v>
      </c>
      <c r="E1854" t="s">
        <v>312</v>
      </c>
      <c r="F1854" t="s">
        <v>2250</v>
      </c>
      <c r="G1854">
        <v>15988</v>
      </c>
      <c r="H1854">
        <v>1845493.13</v>
      </c>
      <c r="I1854">
        <v>119.95</v>
      </c>
      <c r="J1854">
        <v>5267</v>
      </c>
      <c r="K1854">
        <v>511208.74</v>
      </c>
      <c r="L1854">
        <v>97.06</v>
      </c>
      <c r="M1854">
        <v>21255</v>
      </c>
      <c r="N1854">
        <v>2356701.87</v>
      </c>
      <c r="O1854">
        <v>114.11</v>
      </c>
    </row>
    <row r="1855" spans="1:15" x14ac:dyDescent="0.35">
      <c r="A1855" t="s">
        <v>2220</v>
      </c>
      <c r="B1855" t="s">
        <v>2221</v>
      </c>
      <c r="C1855" t="s">
        <v>520</v>
      </c>
      <c r="D1855" t="s">
        <v>334</v>
      </c>
      <c r="E1855" t="s">
        <v>308</v>
      </c>
      <c r="F1855" t="s">
        <v>2251</v>
      </c>
      <c r="G1855">
        <v>149</v>
      </c>
      <c r="H1855">
        <v>0</v>
      </c>
      <c r="I1855">
        <v>0</v>
      </c>
      <c r="J1855">
        <v>0</v>
      </c>
      <c r="K1855">
        <v>0</v>
      </c>
      <c r="L1855">
        <v>0</v>
      </c>
      <c r="M1855">
        <v>149</v>
      </c>
      <c r="N1855">
        <v>0</v>
      </c>
      <c r="O1855">
        <v>0</v>
      </c>
    </row>
    <row r="1856" spans="1:15" x14ac:dyDescent="0.35">
      <c r="A1856" t="s">
        <v>2220</v>
      </c>
      <c r="B1856" t="s">
        <v>2221</v>
      </c>
      <c r="C1856" t="s">
        <v>520</v>
      </c>
      <c r="D1856" t="s">
        <v>337</v>
      </c>
      <c r="E1856" t="s">
        <v>337</v>
      </c>
      <c r="F1856" t="s">
        <v>2252</v>
      </c>
      <c r="G1856">
        <v>2617</v>
      </c>
      <c r="J1856">
        <v>20</v>
      </c>
      <c r="M1856">
        <v>2637</v>
      </c>
    </row>
    <row r="1857" spans="1:15" x14ac:dyDescent="0.35">
      <c r="A1857" t="s">
        <v>2220</v>
      </c>
      <c r="B1857" t="s">
        <v>2221</v>
      </c>
      <c r="C1857" t="s">
        <v>520</v>
      </c>
      <c r="D1857" t="s">
        <v>339</v>
      </c>
      <c r="E1857" t="s">
        <v>294</v>
      </c>
      <c r="F1857" t="s">
        <v>2253</v>
      </c>
      <c r="G1857">
        <v>1620</v>
      </c>
      <c r="H1857">
        <v>194084.49999999997</v>
      </c>
      <c r="I1857">
        <v>119.81</v>
      </c>
      <c r="J1857">
        <v>3</v>
      </c>
      <c r="K1857">
        <v>258.84000000000003</v>
      </c>
      <c r="L1857">
        <v>86.28</v>
      </c>
      <c r="M1857">
        <v>1623</v>
      </c>
      <c r="N1857">
        <v>194343.33999999997</v>
      </c>
      <c r="O1857">
        <v>119.74</v>
      </c>
    </row>
    <row r="1858" spans="1:15" x14ac:dyDescent="0.35">
      <c r="A1858" t="s">
        <v>2220</v>
      </c>
      <c r="B1858" t="s">
        <v>2221</v>
      </c>
      <c r="C1858" t="s">
        <v>520</v>
      </c>
      <c r="D1858" t="s">
        <v>339</v>
      </c>
      <c r="E1858" t="s">
        <v>296</v>
      </c>
      <c r="F1858" t="s">
        <v>2254</v>
      </c>
      <c r="G1858">
        <v>938</v>
      </c>
      <c r="H1858">
        <v>111606.28</v>
      </c>
      <c r="I1858">
        <v>118.98</v>
      </c>
      <c r="J1858">
        <v>3</v>
      </c>
      <c r="K1858">
        <v>293.79000000000002</v>
      </c>
      <c r="L1858">
        <v>97.93</v>
      </c>
      <c r="M1858">
        <v>941</v>
      </c>
      <c r="N1858">
        <v>111900.06999999999</v>
      </c>
      <c r="O1858">
        <v>118.92</v>
      </c>
    </row>
    <row r="1859" spans="1:15" x14ac:dyDescent="0.35">
      <c r="A1859" t="s">
        <v>2220</v>
      </c>
      <c r="B1859" t="s">
        <v>2221</v>
      </c>
      <c r="C1859" t="s">
        <v>520</v>
      </c>
      <c r="D1859" t="s">
        <v>339</v>
      </c>
      <c r="E1859" t="s">
        <v>298</v>
      </c>
      <c r="F1859" t="s">
        <v>2255</v>
      </c>
      <c r="G1859">
        <v>15</v>
      </c>
      <c r="H1859">
        <v>2510.7399999999998</v>
      </c>
      <c r="I1859">
        <v>167.38</v>
      </c>
      <c r="J1859">
        <v>3</v>
      </c>
      <c r="K1859">
        <v>300.78000000000003</v>
      </c>
      <c r="L1859">
        <v>100.26</v>
      </c>
      <c r="M1859">
        <v>18</v>
      </c>
      <c r="N1859">
        <v>2811.52</v>
      </c>
      <c r="O1859">
        <v>156.19999999999999</v>
      </c>
    </row>
    <row r="1860" spans="1:15" x14ac:dyDescent="0.35">
      <c r="A1860" t="s">
        <v>2220</v>
      </c>
      <c r="B1860" t="s">
        <v>2221</v>
      </c>
      <c r="C1860" t="s">
        <v>520</v>
      </c>
      <c r="D1860" t="s">
        <v>339</v>
      </c>
      <c r="E1860" t="s">
        <v>300</v>
      </c>
      <c r="F1860" t="s">
        <v>2256</v>
      </c>
      <c r="G1860">
        <v>4</v>
      </c>
      <c r="H1860">
        <v>1033.4000000000001</v>
      </c>
      <c r="I1860">
        <v>258.35000000000002</v>
      </c>
      <c r="J1860">
        <v>0</v>
      </c>
      <c r="K1860">
        <v>0</v>
      </c>
      <c r="L1860">
        <v>0</v>
      </c>
      <c r="M1860">
        <v>4</v>
      </c>
      <c r="N1860">
        <v>1033.4000000000001</v>
      </c>
      <c r="O1860">
        <v>258.35000000000002</v>
      </c>
    </row>
    <row r="1861" spans="1:15" x14ac:dyDescent="0.35">
      <c r="A1861" t="s">
        <v>2220</v>
      </c>
      <c r="B1861" t="s">
        <v>2221</v>
      </c>
      <c r="C1861" t="s">
        <v>520</v>
      </c>
      <c r="D1861" t="s">
        <v>339</v>
      </c>
      <c r="E1861" t="s">
        <v>306</v>
      </c>
      <c r="F1861" t="s">
        <v>2257</v>
      </c>
      <c r="G1861">
        <v>117</v>
      </c>
      <c r="H1861">
        <v>10084.780000000001</v>
      </c>
      <c r="I1861">
        <v>86.19</v>
      </c>
      <c r="J1861">
        <v>0</v>
      </c>
      <c r="K1861">
        <v>0</v>
      </c>
      <c r="L1861">
        <v>0</v>
      </c>
      <c r="M1861">
        <v>117</v>
      </c>
      <c r="N1861">
        <v>10084.780000000001</v>
      </c>
      <c r="O1861">
        <v>86.19</v>
      </c>
    </row>
    <row r="1862" spans="1:15" x14ac:dyDescent="0.35">
      <c r="A1862" t="s">
        <v>2220</v>
      </c>
      <c r="B1862" t="s">
        <v>2221</v>
      </c>
      <c r="C1862" t="s">
        <v>520</v>
      </c>
      <c r="D1862" t="s">
        <v>339</v>
      </c>
      <c r="E1862" t="s">
        <v>308</v>
      </c>
      <c r="F1862" t="s">
        <v>2258</v>
      </c>
      <c r="G1862">
        <v>330</v>
      </c>
      <c r="H1862">
        <v>54666.919999999991</v>
      </c>
      <c r="I1862">
        <v>165.66</v>
      </c>
      <c r="J1862">
        <v>0</v>
      </c>
      <c r="K1862">
        <v>0</v>
      </c>
      <c r="L1862">
        <v>0</v>
      </c>
      <c r="M1862">
        <v>330</v>
      </c>
      <c r="N1862">
        <v>54666.919999999991</v>
      </c>
      <c r="O1862">
        <v>165.66</v>
      </c>
    </row>
    <row r="1863" spans="1:15" x14ac:dyDescent="0.35">
      <c r="A1863" t="s">
        <v>2220</v>
      </c>
      <c r="B1863" t="s">
        <v>2221</v>
      </c>
      <c r="C1863" t="s">
        <v>520</v>
      </c>
      <c r="D1863" t="s">
        <v>339</v>
      </c>
      <c r="E1863" t="s">
        <v>310</v>
      </c>
      <c r="F1863" t="s">
        <v>2259</v>
      </c>
      <c r="G1863">
        <v>3024</v>
      </c>
      <c r="H1863">
        <v>373986.62</v>
      </c>
      <c r="I1863">
        <v>123.67</v>
      </c>
      <c r="J1863">
        <v>9</v>
      </c>
      <c r="K1863">
        <v>853.41000000000008</v>
      </c>
      <c r="L1863">
        <v>94.82</v>
      </c>
      <c r="M1863">
        <v>3033</v>
      </c>
      <c r="N1863">
        <v>374840.02999999997</v>
      </c>
      <c r="O1863">
        <v>123.59</v>
      </c>
    </row>
    <row r="1864" spans="1:15" x14ac:dyDescent="0.35">
      <c r="A1864" t="s">
        <v>2220</v>
      </c>
      <c r="B1864" t="s">
        <v>2221</v>
      </c>
      <c r="C1864" t="s">
        <v>520</v>
      </c>
      <c r="D1864" t="s">
        <v>339</v>
      </c>
      <c r="E1864" t="s">
        <v>312</v>
      </c>
      <c r="F1864" t="s">
        <v>2260</v>
      </c>
      <c r="G1864">
        <v>2694</v>
      </c>
      <c r="H1864">
        <v>319319.7</v>
      </c>
      <c r="I1864">
        <v>118.53</v>
      </c>
      <c r="J1864">
        <v>9</v>
      </c>
      <c r="K1864">
        <v>853.41000000000008</v>
      </c>
      <c r="L1864">
        <v>94.82</v>
      </c>
      <c r="M1864">
        <v>2703</v>
      </c>
      <c r="N1864">
        <v>320173.11</v>
      </c>
      <c r="O1864">
        <v>118.45</v>
      </c>
    </row>
    <row r="1865" spans="1:15" x14ac:dyDescent="0.35">
      <c r="A1865" t="s">
        <v>2220</v>
      </c>
      <c r="B1865" t="s">
        <v>2221</v>
      </c>
      <c r="C1865" t="s">
        <v>520</v>
      </c>
      <c r="D1865" t="s">
        <v>348</v>
      </c>
      <c r="E1865" t="s">
        <v>349</v>
      </c>
      <c r="F1865" t="s">
        <v>2261</v>
      </c>
      <c r="G1865">
        <v>3674</v>
      </c>
      <c r="H1865">
        <v>462444.45</v>
      </c>
      <c r="I1865">
        <v>133</v>
      </c>
      <c r="J1865">
        <v>18</v>
      </c>
      <c r="K1865">
        <v>1968.8300000000002</v>
      </c>
      <c r="L1865">
        <v>109.38</v>
      </c>
      <c r="M1865">
        <v>3692</v>
      </c>
      <c r="N1865">
        <v>464413.28</v>
      </c>
      <c r="O1865">
        <v>132.88</v>
      </c>
    </row>
    <row r="1866" spans="1:15" x14ac:dyDescent="0.35">
      <c r="A1866" t="s">
        <v>2262</v>
      </c>
      <c r="B1866" t="s">
        <v>2263</v>
      </c>
      <c r="C1866" t="s">
        <v>1059</v>
      </c>
      <c r="D1866" t="s">
        <v>293</v>
      </c>
      <c r="E1866" t="s">
        <v>294</v>
      </c>
      <c r="F1866" t="s">
        <v>2264</v>
      </c>
      <c r="G1866">
        <v>242</v>
      </c>
      <c r="H1866">
        <v>25179.38</v>
      </c>
      <c r="I1866">
        <v>104.05</v>
      </c>
      <c r="J1866">
        <v>29</v>
      </c>
      <c r="K1866">
        <v>2616.0899999999997</v>
      </c>
      <c r="L1866">
        <v>90.21</v>
      </c>
      <c r="M1866">
        <v>271</v>
      </c>
      <c r="N1866">
        <v>27795.47</v>
      </c>
      <c r="O1866">
        <v>102.57</v>
      </c>
    </row>
    <row r="1867" spans="1:15" x14ac:dyDescent="0.35">
      <c r="A1867" t="s">
        <v>2262</v>
      </c>
      <c r="B1867" t="s">
        <v>2263</v>
      </c>
      <c r="C1867" t="s">
        <v>1059</v>
      </c>
      <c r="D1867" t="s">
        <v>293</v>
      </c>
      <c r="E1867" t="s">
        <v>296</v>
      </c>
      <c r="F1867" t="s">
        <v>2265</v>
      </c>
      <c r="G1867">
        <v>1153</v>
      </c>
      <c r="H1867">
        <v>147763.76</v>
      </c>
      <c r="I1867">
        <v>128.16</v>
      </c>
      <c r="J1867">
        <v>201</v>
      </c>
      <c r="K1867">
        <v>24503.91</v>
      </c>
      <c r="L1867">
        <v>121.91</v>
      </c>
      <c r="M1867">
        <v>1354</v>
      </c>
      <c r="N1867">
        <v>172267.67</v>
      </c>
      <c r="O1867">
        <v>127.23</v>
      </c>
    </row>
    <row r="1868" spans="1:15" x14ac:dyDescent="0.35">
      <c r="A1868" t="s">
        <v>2262</v>
      </c>
      <c r="B1868" t="s">
        <v>2263</v>
      </c>
      <c r="C1868" t="s">
        <v>1059</v>
      </c>
      <c r="D1868" t="s">
        <v>293</v>
      </c>
      <c r="E1868" t="s">
        <v>298</v>
      </c>
      <c r="F1868" t="s">
        <v>2266</v>
      </c>
      <c r="G1868">
        <v>795</v>
      </c>
      <c r="H1868">
        <v>116670.7</v>
      </c>
      <c r="I1868">
        <v>146.76</v>
      </c>
      <c r="J1868">
        <v>179</v>
      </c>
      <c r="K1868">
        <v>23513.440000000002</v>
      </c>
      <c r="L1868">
        <v>131.36000000000001</v>
      </c>
      <c r="M1868">
        <v>974</v>
      </c>
      <c r="N1868">
        <v>140184.14000000001</v>
      </c>
      <c r="O1868">
        <v>143.93</v>
      </c>
    </row>
    <row r="1869" spans="1:15" x14ac:dyDescent="0.35">
      <c r="A1869" t="s">
        <v>2262</v>
      </c>
      <c r="B1869" t="s">
        <v>2263</v>
      </c>
      <c r="C1869" t="s">
        <v>1059</v>
      </c>
      <c r="D1869" t="s">
        <v>293</v>
      </c>
      <c r="E1869" t="s">
        <v>300</v>
      </c>
      <c r="F1869" t="s">
        <v>2267</v>
      </c>
      <c r="G1869">
        <v>36</v>
      </c>
      <c r="H1869">
        <v>6140.92</v>
      </c>
      <c r="I1869">
        <v>170.58</v>
      </c>
      <c r="J1869">
        <v>7</v>
      </c>
      <c r="K1869">
        <v>1150.03</v>
      </c>
      <c r="L1869">
        <v>164.29</v>
      </c>
      <c r="M1869">
        <v>43</v>
      </c>
      <c r="N1869">
        <v>7290.95</v>
      </c>
      <c r="O1869">
        <v>169.56</v>
      </c>
    </row>
    <row r="1870" spans="1:15" x14ac:dyDescent="0.35">
      <c r="A1870" t="s">
        <v>2262</v>
      </c>
      <c r="B1870" t="s">
        <v>2263</v>
      </c>
      <c r="C1870" t="s">
        <v>1059</v>
      </c>
      <c r="D1870" t="s">
        <v>293</v>
      </c>
      <c r="E1870" t="s">
        <v>302</v>
      </c>
      <c r="F1870" t="s">
        <v>2268</v>
      </c>
      <c r="G1870">
        <v>2</v>
      </c>
      <c r="H1870">
        <v>359.27</v>
      </c>
      <c r="I1870">
        <v>179.64</v>
      </c>
      <c r="J1870">
        <v>1</v>
      </c>
      <c r="K1870">
        <v>253.59</v>
      </c>
      <c r="L1870">
        <v>253.59</v>
      </c>
      <c r="M1870">
        <v>3</v>
      </c>
      <c r="N1870">
        <v>612.86</v>
      </c>
      <c r="O1870">
        <v>204.29</v>
      </c>
    </row>
    <row r="1871" spans="1:15" x14ac:dyDescent="0.35">
      <c r="A1871" t="s">
        <v>2262</v>
      </c>
      <c r="B1871" t="s">
        <v>2263</v>
      </c>
      <c r="C1871" t="s">
        <v>1059</v>
      </c>
      <c r="D1871" t="s">
        <v>293</v>
      </c>
      <c r="E1871" t="s">
        <v>304</v>
      </c>
      <c r="F1871" t="s">
        <v>2269</v>
      </c>
      <c r="G1871">
        <v>0</v>
      </c>
      <c r="H1871">
        <v>0</v>
      </c>
      <c r="I1871">
        <v>0</v>
      </c>
      <c r="J1871">
        <v>0</v>
      </c>
      <c r="K1871">
        <v>0</v>
      </c>
      <c r="L1871">
        <v>0</v>
      </c>
      <c r="M1871">
        <v>0</v>
      </c>
      <c r="N1871">
        <v>0</v>
      </c>
      <c r="O1871">
        <v>0</v>
      </c>
    </row>
    <row r="1872" spans="1:15" x14ac:dyDescent="0.35">
      <c r="A1872" t="s">
        <v>2262</v>
      </c>
      <c r="B1872" t="s">
        <v>2263</v>
      </c>
      <c r="C1872" t="s">
        <v>1059</v>
      </c>
      <c r="D1872" t="s">
        <v>293</v>
      </c>
      <c r="E1872" t="s">
        <v>306</v>
      </c>
      <c r="F1872" t="s">
        <v>2270</v>
      </c>
      <c r="G1872">
        <v>0</v>
      </c>
      <c r="H1872">
        <v>0</v>
      </c>
      <c r="I1872">
        <v>0</v>
      </c>
      <c r="J1872">
        <v>0</v>
      </c>
      <c r="K1872">
        <v>0</v>
      </c>
      <c r="L1872">
        <v>0</v>
      </c>
      <c r="M1872">
        <v>0</v>
      </c>
      <c r="N1872">
        <v>0</v>
      </c>
      <c r="O1872">
        <v>0</v>
      </c>
    </row>
    <row r="1873" spans="1:15" x14ac:dyDescent="0.35">
      <c r="A1873" t="s">
        <v>2262</v>
      </c>
      <c r="B1873" t="s">
        <v>2263</v>
      </c>
      <c r="C1873" t="s">
        <v>1059</v>
      </c>
      <c r="D1873" t="s">
        <v>293</v>
      </c>
      <c r="E1873" t="s">
        <v>308</v>
      </c>
      <c r="F1873" t="s">
        <v>2271</v>
      </c>
      <c r="G1873">
        <v>0</v>
      </c>
      <c r="H1873">
        <v>0</v>
      </c>
      <c r="I1873">
        <v>0</v>
      </c>
      <c r="J1873">
        <v>0</v>
      </c>
      <c r="K1873">
        <v>0</v>
      </c>
      <c r="L1873">
        <v>0</v>
      </c>
      <c r="M1873">
        <v>0</v>
      </c>
      <c r="N1873">
        <v>0</v>
      </c>
      <c r="O1873">
        <v>0</v>
      </c>
    </row>
    <row r="1874" spans="1:15" x14ac:dyDescent="0.35">
      <c r="A1874" t="s">
        <v>2262</v>
      </c>
      <c r="B1874" t="s">
        <v>2263</v>
      </c>
      <c r="C1874" t="s">
        <v>1059</v>
      </c>
      <c r="D1874" t="s">
        <v>293</v>
      </c>
      <c r="E1874" t="s">
        <v>310</v>
      </c>
      <c r="F1874" t="s">
        <v>2272</v>
      </c>
      <c r="G1874">
        <v>2228</v>
      </c>
      <c r="H1874">
        <v>296114.03000000003</v>
      </c>
      <c r="I1874">
        <v>132.91</v>
      </c>
      <c r="J1874">
        <v>417</v>
      </c>
      <c r="K1874">
        <v>52037.06</v>
      </c>
      <c r="L1874">
        <v>124.79</v>
      </c>
      <c r="M1874">
        <v>2645</v>
      </c>
      <c r="N1874">
        <v>348151.09</v>
      </c>
      <c r="O1874">
        <v>131.63</v>
      </c>
    </row>
    <row r="1875" spans="1:15" x14ac:dyDescent="0.35">
      <c r="A1875" t="s">
        <v>2262</v>
      </c>
      <c r="B1875" t="s">
        <v>2263</v>
      </c>
      <c r="C1875" t="s">
        <v>1059</v>
      </c>
      <c r="D1875" t="s">
        <v>293</v>
      </c>
      <c r="E1875" t="s">
        <v>312</v>
      </c>
      <c r="F1875" t="s">
        <v>2273</v>
      </c>
      <c r="G1875">
        <v>2228</v>
      </c>
      <c r="H1875">
        <v>296114.03000000003</v>
      </c>
      <c r="I1875">
        <v>132.91</v>
      </c>
      <c r="J1875">
        <v>417</v>
      </c>
      <c r="K1875">
        <v>52037.06</v>
      </c>
      <c r="L1875">
        <v>124.79</v>
      </c>
      <c r="M1875">
        <v>2645</v>
      </c>
      <c r="N1875">
        <v>348151.09</v>
      </c>
      <c r="O1875">
        <v>131.63</v>
      </c>
    </row>
    <row r="1876" spans="1:15" x14ac:dyDescent="0.35">
      <c r="A1876" t="s">
        <v>2262</v>
      </c>
      <c r="B1876" t="s">
        <v>2263</v>
      </c>
      <c r="C1876" t="s">
        <v>1059</v>
      </c>
      <c r="D1876" t="s">
        <v>314</v>
      </c>
      <c r="E1876" t="s">
        <v>294</v>
      </c>
      <c r="F1876" t="s">
        <v>2274</v>
      </c>
      <c r="G1876">
        <v>223</v>
      </c>
      <c r="H1876">
        <v>55211.16</v>
      </c>
      <c r="I1876">
        <v>247.58</v>
      </c>
      <c r="J1876">
        <v>0</v>
      </c>
      <c r="K1876">
        <v>0</v>
      </c>
      <c r="L1876">
        <v>0</v>
      </c>
      <c r="M1876">
        <v>223</v>
      </c>
      <c r="N1876">
        <v>55211.16</v>
      </c>
      <c r="O1876">
        <v>247.58</v>
      </c>
    </row>
    <row r="1877" spans="1:15" x14ac:dyDescent="0.35">
      <c r="A1877" t="s">
        <v>2262</v>
      </c>
      <c r="B1877" t="s">
        <v>2263</v>
      </c>
      <c r="C1877" t="s">
        <v>1059</v>
      </c>
      <c r="D1877" t="s">
        <v>314</v>
      </c>
      <c r="E1877" t="s">
        <v>296</v>
      </c>
      <c r="F1877" t="s">
        <v>2275</v>
      </c>
      <c r="G1877">
        <v>349</v>
      </c>
      <c r="H1877">
        <v>99624.06</v>
      </c>
      <c r="I1877">
        <v>285.45999999999998</v>
      </c>
      <c r="J1877">
        <v>0</v>
      </c>
      <c r="K1877">
        <v>0</v>
      </c>
      <c r="L1877">
        <v>0</v>
      </c>
      <c r="M1877">
        <v>349</v>
      </c>
      <c r="N1877">
        <v>99624.06</v>
      </c>
      <c r="O1877">
        <v>285.45999999999998</v>
      </c>
    </row>
    <row r="1878" spans="1:15" x14ac:dyDescent="0.35">
      <c r="A1878" t="s">
        <v>2262</v>
      </c>
      <c r="B1878" t="s">
        <v>2263</v>
      </c>
      <c r="C1878" t="s">
        <v>1059</v>
      </c>
      <c r="D1878" t="s">
        <v>314</v>
      </c>
      <c r="E1878" t="s">
        <v>298</v>
      </c>
      <c r="F1878" t="s">
        <v>2276</v>
      </c>
      <c r="G1878">
        <v>0</v>
      </c>
      <c r="H1878">
        <v>0</v>
      </c>
      <c r="I1878">
        <v>0</v>
      </c>
      <c r="J1878">
        <v>0</v>
      </c>
      <c r="K1878">
        <v>0</v>
      </c>
      <c r="L1878">
        <v>0</v>
      </c>
      <c r="M1878">
        <v>0</v>
      </c>
      <c r="N1878">
        <v>0</v>
      </c>
      <c r="O1878">
        <v>0</v>
      </c>
    </row>
    <row r="1879" spans="1:15" x14ac:dyDescent="0.35">
      <c r="A1879" t="s">
        <v>2262</v>
      </c>
      <c r="B1879" t="s">
        <v>2263</v>
      </c>
      <c r="C1879" t="s">
        <v>1059</v>
      </c>
      <c r="D1879" t="s">
        <v>314</v>
      </c>
      <c r="E1879" t="s">
        <v>300</v>
      </c>
      <c r="F1879" t="s">
        <v>2277</v>
      </c>
      <c r="G1879">
        <v>0</v>
      </c>
      <c r="H1879">
        <v>0</v>
      </c>
      <c r="I1879">
        <v>0</v>
      </c>
      <c r="J1879">
        <v>0</v>
      </c>
      <c r="K1879">
        <v>0</v>
      </c>
      <c r="L1879">
        <v>0</v>
      </c>
      <c r="M1879">
        <v>0</v>
      </c>
      <c r="N1879">
        <v>0</v>
      </c>
      <c r="O1879">
        <v>0</v>
      </c>
    </row>
    <row r="1880" spans="1:15" x14ac:dyDescent="0.35">
      <c r="A1880" t="s">
        <v>2262</v>
      </c>
      <c r="B1880" t="s">
        <v>2263</v>
      </c>
      <c r="C1880" t="s">
        <v>1059</v>
      </c>
      <c r="D1880" t="s">
        <v>314</v>
      </c>
      <c r="E1880" t="s">
        <v>306</v>
      </c>
      <c r="F1880" t="s">
        <v>2278</v>
      </c>
      <c r="G1880">
        <v>16</v>
      </c>
      <c r="H1880">
        <v>1592</v>
      </c>
      <c r="I1880">
        <v>99.5</v>
      </c>
      <c r="J1880">
        <v>0</v>
      </c>
      <c r="K1880">
        <v>0</v>
      </c>
      <c r="L1880">
        <v>0</v>
      </c>
      <c r="M1880">
        <v>16</v>
      </c>
      <c r="N1880">
        <v>1592</v>
      </c>
      <c r="O1880">
        <v>99.5</v>
      </c>
    </row>
    <row r="1881" spans="1:15" x14ac:dyDescent="0.35">
      <c r="A1881" t="s">
        <v>2262</v>
      </c>
      <c r="B1881" t="s">
        <v>2263</v>
      </c>
      <c r="C1881" t="s">
        <v>1059</v>
      </c>
      <c r="D1881" t="s">
        <v>314</v>
      </c>
      <c r="E1881" t="s">
        <v>308</v>
      </c>
      <c r="F1881" t="s">
        <v>2279</v>
      </c>
      <c r="G1881">
        <v>16</v>
      </c>
      <c r="H1881">
        <v>3830.4</v>
      </c>
      <c r="I1881">
        <v>239.4</v>
      </c>
      <c r="J1881">
        <v>0</v>
      </c>
      <c r="K1881">
        <v>0</v>
      </c>
      <c r="L1881">
        <v>0</v>
      </c>
      <c r="M1881">
        <v>16</v>
      </c>
      <c r="N1881">
        <v>3830.4</v>
      </c>
      <c r="O1881">
        <v>239.4</v>
      </c>
    </row>
    <row r="1882" spans="1:15" x14ac:dyDescent="0.35">
      <c r="A1882" t="s">
        <v>2262</v>
      </c>
      <c r="B1882" t="s">
        <v>2263</v>
      </c>
      <c r="C1882" t="s">
        <v>1059</v>
      </c>
      <c r="D1882" t="s">
        <v>314</v>
      </c>
      <c r="E1882" t="s">
        <v>312</v>
      </c>
      <c r="F1882" t="s">
        <v>2280</v>
      </c>
      <c r="G1882">
        <v>588</v>
      </c>
      <c r="H1882">
        <v>156427.22</v>
      </c>
      <c r="I1882">
        <v>266.02999999999997</v>
      </c>
      <c r="J1882">
        <v>0</v>
      </c>
      <c r="K1882">
        <v>0</v>
      </c>
      <c r="L1882">
        <v>0</v>
      </c>
      <c r="M1882">
        <v>588</v>
      </c>
      <c r="N1882">
        <v>156427.22</v>
      </c>
      <c r="O1882">
        <v>266.02999999999997</v>
      </c>
    </row>
    <row r="1883" spans="1:15" x14ac:dyDescent="0.35">
      <c r="A1883" t="s">
        <v>2262</v>
      </c>
      <c r="B1883" t="s">
        <v>2263</v>
      </c>
      <c r="C1883" t="s">
        <v>1059</v>
      </c>
      <c r="D1883" t="s">
        <v>314</v>
      </c>
      <c r="E1883" t="s">
        <v>310</v>
      </c>
      <c r="F1883" t="s">
        <v>2281</v>
      </c>
      <c r="G1883">
        <v>604</v>
      </c>
      <c r="H1883">
        <v>160257.62</v>
      </c>
      <c r="I1883">
        <v>265.33</v>
      </c>
      <c r="J1883">
        <v>0</v>
      </c>
      <c r="K1883">
        <v>0</v>
      </c>
      <c r="L1883">
        <v>0</v>
      </c>
      <c r="M1883">
        <v>604</v>
      </c>
      <c r="N1883">
        <v>160257.62</v>
      </c>
      <c r="O1883">
        <v>265.33</v>
      </c>
    </row>
    <row r="1884" spans="1:15" x14ac:dyDescent="0.35">
      <c r="A1884" t="s">
        <v>2262</v>
      </c>
      <c r="B1884" t="s">
        <v>2263</v>
      </c>
      <c r="C1884" t="s">
        <v>1059</v>
      </c>
      <c r="D1884" t="s">
        <v>323</v>
      </c>
      <c r="E1884" t="s">
        <v>294</v>
      </c>
      <c r="F1884" t="s">
        <v>2282</v>
      </c>
      <c r="G1884">
        <v>2011</v>
      </c>
      <c r="H1884">
        <v>186387.41999999998</v>
      </c>
      <c r="I1884">
        <v>92.68</v>
      </c>
      <c r="J1884">
        <v>386</v>
      </c>
      <c r="K1884">
        <v>32964.400000000001</v>
      </c>
      <c r="L1884">
        <v>85.4</v>
      </c>
      <c r="M1884">
        <v>2397</v>
      </c>
      <c r="N1884">
        <v>219351.81999999998</v>
      </c>
      <c r="O1884">
        <v>91.51</v>
      </c>
    </row>
    <row r="1885" spans="1:15" x14ac:dyDescent="0.35">
      <c r="A1885" t="s">
        <v>2262</v>
      </c>
      <c r="B1885" t="s">
        <v>2263</v>
      </c>
      <c r="C1885" t="s">
        <v>1059</v>
      </c>
      <c r="D1885" t="s">
        <v>323</v>
      </c>
      <c r="E1885" t="s">
        <v>296</v>
      </c>
      <c r="F1885" t="s">
        <v>2283</v>
      </c>
      <c r="G1885">
        <v>3433</v>
      </c>
      <c r="H1885">
        <v>367911.69</v>
      </c>
      <c r="I1885">
        <v>107.17</v>
      </c>
      <c r="J1885">
        <v>1504</v>
      </c>
      <c r="K1885">
        <v>147948.48000000001</v>
      </c>
      <c r="L1885">
        <v>98.37</v>
      </c>
      <c r="M1885">
        <v>4937</v>
      </c>
      <c r="N1885">
        <v>515860.17000000004</v>
      </c>
      <c r="O1885">
        <v>104.49</v>
      </c>
    </row>
    <row r="1886" spans="1:15" x14ac:dyDescent="0.35">
      <c r="A1886" t="s">
        <v>2262</v>
      </c>
      <c r="B1886" t="s">
        <v>2263</v>
      </c>
      <c r="C1886" t="s">
        <v>1059</v>
      </c>
      <c r="D1886" t="s">
        <v>323</v>
      </c>
      <c r="E1886" t="s">
        <v>298</v>
      </c>
      <c r="F1886" t="s">
        <v>2284</v>
      </c>
      <c r="G1886">
        <v>4162</v>
      </c>
      <c r="H1886">
        <v>486331.88</v>
      </c>
      <c r="I1886">
        <v>116.85</v>
      </c>
      <c r="J1886">
        <v>1307</v>
      </c>
      <c r="K1886">
        <v>141417.4</v>
      </c>
      <c r="L1886">
        <v>108.2</v>
      </c>
      <c r="M1886">
        <v>5469</v>
      </c>
      <c r="N1886">
        <v>627749.28</v>
      </c>
      <c r="O1886">
        <v>114.78</v>
      </c>
    </row>
    <row r="1887" spans="1:15" x14ac:dyDescent="0.35">
      <c r="A1887" t="s">
        <v>2262</v>
      </c>
      <c r="B1887" t="s">
        <v>2263</v>
      </c>
      <c r="C1887" t="s">
        <v>1059</v>
      </c>
      <c r="D1887" t="s">
        <v>323</v>
      </c>
      <c r="E1887" t="s">
        <v>300</v>
      </c>
      <c r="F1887" t="s">
        <v>2285</v>
      </c>
      <c r="G1887">
        <v>220</v>
      </c>
      <c r="H1887">
        <v>27388.35</v>
      </c>
      <c r="I1887">
        <v>124.49</v>
      </c>
      <c r="J1887">
        <v>40</v>
      </c>
      <c r="K1887">
        <v>4660.4000000000005</v>
      </c>
      <c r="L1887">
        <v>116.51</v>
      </c>
      <c r="M1887">
        <v>260</v>
      </c>
      <c r="N1887">
        <v>32048.75</v>
      </c>
      <c r="O1887">
        <v>123.26</v>
      </c>
    </row>
    <row r="1888" spans="1:15" x14ac:dyDescent="0.35">
      <c r="A1888" t="s">
        <v>2262</v>
      </c>
      <c r="B1888" t="s">
        <v>2263</v>
      </c>
      <c r="C1888" t="s">
        <v>1059</v>
      </c>
      <c r="D1888" t="s">
        <v>323</v>
      </c>
      <c r="E1888" t="s">
        <v>302</v>
      </c>
      <c r="F1888" t="s">
        <v>2286</v>
      </c>
      <c r="G1888">
        <v>18</v>
      </c>
      <c r="H1888">
        <v>2491.2599999999998</v>
      </c>
      <c r="I1888">
        <v>138.4</v>
      </c>
      <c r="J1888">
        <v>0</v>
      </c>
      <c r="K1888">
        <v>0</v>
      </c>
      <c r="L1888">
        <v>0</v>
      </c>
      <c r="M1888">
        <v>18</v>
      </c>
      <c r="N1888">
        <v>2491.2599999999998</v>
      </c>
      <c r="O1888">
        <v>138.4</v>
      </c>
    </row>
    <row r="1889" spans="1:15" x14ac:dyDescent="0.35">
      <c r="A1889" t="s">
        <v>2262</v>
      </c>
      <c r="B1889" t="s">
        <v>2263</v>
      </c>
      <c r="C1889" t="s">
        <v>1059</v>
      </c>
      <c r="D1889" t="s">
        <v>323</v>
      </c>
      <c r="E1889" t="s">
        <v>304</v>
      </c>
      <c r="F1889" t="s">
        <v>2287</v>
      </c>
      <c r="G1889">
        <v>5</v>
      </c>
      <c r="H1889">
        <v>897.94</v>
      </c>
      <c r="I1889">
        <v>179.59</v>
      </c>
      <c r="J1889">
        <v>3</v>
      </c>
      <c r="K1889">
        <v>345.81</v>
      </c>
      <c r="L1889">
        <v>115.27</v>
      </c>
      <c r="M1889">
        <v>8</v>
      </c>
      <c r="N1889">
        <v>1243.75</v>
      </c>
      <c r="O1889">
        <v>155.47</v>
      </c>
    </row>
    <row r="1890" spans="1:15" x14ac:dyDescent="0.35">
      <c r="A1890" t="s">
        <v>2262</v>
      </c>
      <c r="B1890" t="s">
        <v>2263</v>
      </c>
      <c r="C1890" t="s">
        <v>1059</v>
      </c>
      <c r="D1890" t="s">
        <v>323</v>
      </c>
      <c r="E1890" t="s">
        <v>306</v>
      </c>
      <c r="F1890" t="s">
        <v>2288</v>
      </c>
      <c r="G1890">
        <v>26</v>
      </c>
      <c r="H1890">
        <v>2002.1800000000003</v>
      </c>
      <c r="I1890">
        <v>77.010000000000005</v>
      </c>
      <c r="J1890">
        <v>19</v>
      </c>
      <c r="K1890">
        <v>1231.58</v>
      </c>
      <c r="L1890">
        <v>64.819999999999993</v>
      </c>
      <c r="M1890">
        <v>45</v>
      </c>
      <c r="N1890">
        <v>3233.76</v>
      </c>
      <c r="O1890">
        <v>71.86</v>
      </c>
    </row>
    <row r="1891" spans="1:15" x14ac:dyDescent="0.35">
      <c r="A1891" t="s">
        <v>2262</v>
      </c>
      <c r="B1891" t="s">
        <v>2263</v>
      </c>
      <c r="C1891" t="s">
        <v>1059</v>
      </c>
      <c r="D1891" t="s">
        <v>323</v>
      </c>
      <c r="E1891" t="s">
        <v>308</v>
      </c>
      <c r="F1891" t="s">
        <v>2289</v>
      </c>
      <c r="G1891">
        <v>0</v>
      </c>
      <c r="H1891">
        <v>0</v>
      </c>
      <c r="I1891">
        <v>0</v>
      </c>
      <c r="J1891">
        <v>14</v>
      </c>
      <c r="K1891">
        <v>933.38</v>
      </c>
      <c r="L1891">
        <v>66.67</v>
      </c>
      <c r="M1891">
        <v>14</v>
      </c>
      <c r="N1891">
        <v>933.38</v>
      </c>
      <c r="O1891">
        <v>66.67</v>
      </c>
    </row>
    <row r="1892" spans="1:15" x14ac:dyDescent="0.35">
      <c r="A1892" t="s">
        <v>2262</v>
      </c>
      <c r="B1892" t="s">
        <v>2263</v>
      </c>
      <c r="C1892" t="s">
        <v>1059</v>
      </c>
      <c r="D1892" t="s">
        <v>323</v>
      </c>
      <c r="E1892" t="s">
        <v>310</v>
      </c>
      <c r="F1892" t="s">
        <v>2290</v>
      </c>
      <c r="G1892">
        <v>9875</v>
      </c>
      <c r="H1892">
        <v>1073410.72</v>
      </c>
      <c r="I1892">
        <v>108.7</v>
      </c>
      <c r="J1892">
        <v>3273</v>
      </c>
      <c r="K1892">
        <v>329501.45000000007</v>
      </c>
      <c r="L1892">
        <v>100.67</v>
      </c>
      <c r="M1892">
        <v>13148</v>
      </c>
      <c r="N1892">
        <v>1402912.17</v>
      </c>
      <c r="O1892">
        <v>106.7</v>
      </c>
    </row>
    <row r="1893" spans="1:15" x14ac:dyDescent="0.35">
      <c r="A1893" t="s">
        <v>2262</v>
      </c>
      <c r="B1893" t="s">
        <v>2263</v>
      </c>
      <c r="C1893" t="s">
        <v>1059</v>
      </c>
      <c r="D1893" t="s">
        <v>323</v>
      </c>
      <c r="E1893" t="s">
        <v>312</v>
      </c>
      <c r="F1893" t="s">
        <v>2291</v>
      </c>
      <c r="G1893">
        <v>9875</v>
      </c>
      <c r="H1893">
        <v>1073410.72</v>
      </c>
      <c r="I1893">
        <v>108.7</v>
      </c>
      <c r="J1893">
        <v>3259</v>
      </c>
      <c r="K1893">
        <v>328568.07000000007</v>
      </c>
      <c r="L1893">
        <v>100.82</v>
      </c>
      <c r="M1893">
        <v>13134</v>
      </c>
      <c r="N1893">
        <v>1401978.79</v>
      </c>
      <c r="O1893">
        <v>106.74</v>
      </c>
    </row>
    <row r="1894" spans="1:15" x14ac:dyDescent="0.35">
      <c r="A1894" t="s">
        <v>2262</v>
      </c>
      <c r="B1894" t="s">
        <v>2263</v>
      </c>
      <c r="C1894" t="s">
        <v>1059</v>
      </c>
      <c r="D1894" t="s">
        <v>334</v>
      </c>
      <c r="E1894" t="s">
        <v>312</v>
      </c>
      <c r="F1894" t="s">
        <v>2292</v>
      </c>
      <c r="G1894">
        <v>12834</v>
      </c>
      <c r="H1894">
        <v>1369524.75</v>
      </c>
      <c r="I1894">
        <v>113.16</v>
      </c>
      <c r="J1894">
        <v>3676</v>
      </c>
      <c r="K1894">
        <v>380605.13</v>
      </c>
      <c r="L1894">
        <v>103.54</v>
      </c>
      <c r="M1894">
        <v>16510</v>
      </c>
      <c r="N1894">
        <v>1750129.88</v>
      </c>
      <c r="O1894">
        <v>110.92</v>
      </c>
    </row>
    <row r="1895" spans="1:15" x14ac:dyDescent="0.35">
      <c r="A1895" t="s">
        <v>2262</v>
      </c>
      <c r="B1895" t="s">
        <v>2263</v>
      </c>
      <c r="C1895" t="s">
        <v>1059</v>
      </c>
      <c r="D1895" t="s">
        <v>334</v>
      </c>
      <c r="E1895" t="s">
        <v>308</v>
      </c>
      <c r="F1895" t="s">
        <v>2293</v>
      </c>
      <c r="G1895">
        <v>161</v>
      </c>
      <c r="H1895">
        <v>0</v>
      </c>
      <c r="I1895">
        <v>0</v>
      </c>
      <c r="J1895">
        <v>14</v>
      </c>
      <c r="K1895">
        <v>933.38</v>
      </c>
      <c r="L1895">
        <v>66.67</v>
      </c>
      <c r="M1895">
        <v>175</v>
      </c>
      <c r="N1895">
        <v>933.38</v>
      </c>
      <c r="O1895">
        <v>66.67</v>
      </c>
    </row>
    <row r="1896" spans="1:15" x14ac:dyDescent="0.35">
      <c r="A1896" t="s">
        <v>2262</v>
      </c>
      <c r="B1896" t="s">
        <v>2263</v>
      </c>
      <c r="C1896" t="s">
        <v>1059</v>
      </c>
      <c r="D1896" t="s">
        <v>337</v>
      </c>
      <c r="E1896" t="s">
        <v>337</v>
      </c>
      <c r="F1896" t="s">
        <v>2294</v>
      </c>
      <c r="G1896">
        <v>1155</v>
      </c>
      <c r="J1896">
        <v>54</v>
      </c>
      <c r="M1896">
        <v>1209</v>
      </c>
    </row>
    <row r="1897" spans="1:15" x14ac:dyDescent="0.35">
      <c r="A1897" t="s">
        <v>2262</v>
      </c>
      <c r="B1897" t="s">
        <v>2263</v>
      </c>
      <c r="C1897" t="s">
        <v>1059</v>
      </c>
      <c r="D1897" t="s">
        <v>339</v>
      </c>
      <c r="E1897" t="s">
        <v>294</v>
      </c>
      <c r="F1897" t="s">
        <v>2295</v>
      </c>
      <c r="G1897">
        <v>1105</v>
      </c>
      <c r="H1897">
        <v>112369.19</v>
      </c>
      <c r="I1897">
        <v>101.69</v>
      </c>
      <c r="J1897">
        <v>220</v>
      </c>
      <c r="K1897">
        <v>18829.8</v>
      </c>
      <c r="L1897">
        <v>85.59</v>
      </c>
      <c r="M1897">
        <v>1325</v>
      </c>
      <c r="N1897">
        <v>131198.99</v>
      </c>
      <c r="O1897">
        <v>99.02</v>
      </c>
    </row>
    <row r="1898" spans="1:15" x14ac:dyDescent="0.35">
      <c r="A1898" t="s">
        <v>2262</v>
      </c>
      <c r="B1898" t="s">
        <v>2263</v>
      </c>
      <c r="C1898" t="s">
        <v>1059</v>
      </c>
      <c r="D1898" t="s">
        <v>339</v>
      </c>
      <c r="E1898" t="s">
        <v>296</v>
      </c>
      <c r="F1898" t="s">
        <v>2296</v>
      </c>
      <c r="G1898">
        <v>326</v>
      </c>
      <c r="H1898">
        <v>36971.760000000002</v>
      </c>
      <c r="I1898">
        <v>113.41</v>
      </c>
      <c r="J1898">
        <v>101</v>
      </c>
      <c r="K1898">
        <v>9793.9699999999993</v>
      </c>
      <c r="L1898">
        <v>96.97</v>
      </c>
      <c r="M1898">
        <v>427</v>
      </c>
      <c r="N1898">
        <v>46765.73</v>
      </c>
      <c r="O1898">
        <v>109.52</v>
      </c>
    </row>
    <row r="1899" spans="1:15" x14ac:dyDescent="0.35">
      <c r="A1899" t="s">
        <v>2262</v>
      </c>
      <c r="B1899" t="s">
        <v>2263</v>
      </c>
      <c r="C1899" t="s">
        <v>1059</v>
      </c>
      <c r="D1899" t="s">
        <v>339</v>
      </c>
      <c r="E1899" t="s">
        <v>298</v>
      </c>
      <c r="F1899" t="s">
        <v>2297</v>
      </c>
      <c r="G1899">
        <v>5</v>
      </c>
      <c r="H1899">
        <v>1027.0300000000002</v>
      </c>
      <c r="I1899">
        <v>205.41</v>
      </c>
      <c r="J1899">
        <v>2</v>
      </c>
      <c r="K1899">
        <v>210.94</v>
      </c>
      <c r="L1899">
        <v>105.47</v>
      </c>
      <c r="M1899">
        <v>7</v>
      </c>
      <c r="N1899">
        <v>1237.9700000000003</v>
      </c>
      <c r="O1899">
        <v>176.85</v>
      </c>
    </row>
    <row r="1900" spans="1:15" x14ac:dyDescent="0.35">
      <c r="A1900" t="s">
        <v>2262</v>
      </c>
      <c r="B1900" t="s">
        <v>2263</v>
      </c>
      <c r="C1900" t="s">
        <v>1059</v>
      </c>
      <c r="D1900" t="s">
        <v>339</v>
      </c>
      <c r="E1900" t="s">
        <v>300</v>
      </c>
      <c r="F1900" t="s">
        <v>2298</v>
      </c>
      <c r="G1900">
        <v>0</v>
      </c>
      <c r="H1900">
        <v>0</v>
      </c>
      <c r="I1900">
        <v>0</v>
      </c>
      <c r="J1900">
        <v>0</v>
      </c>
      <c r="K1900">
        <v>0</v>
      </c>
      <c r="L1900">
        <v>0</v>
      </c>
      <c r="M1900">
        <v>0</v>
      </c>
      <c r="N1900">
        <v>0</v>
      </c>
      <c r="O1900">
        <v>0</v>
      </c>
    </row>
    <row r="1901" spans="1:15" x14ac:dyDescent="0.35">
      <c r="A1901" t="s">
        <v>2262</v>
      </c>
      <c r="B1901" t="s">
        <v>2263</v>
      </c>
      <c r="C1901" t="s">
        <v>1059</v>
      </c>
      <c r="D1901" t="s">
        <v>339</v>
      </c>
      <c r="E1901" t="s">
        <v>306</v>
      </c>
      <c r="F1901" t="s">
        <v>2299</v>
      </c>
      <c r="G1901">
        <v>105</v>
      </c>
      <c r="H1901">
        <v>8906.15</v>
      </c>
      <c r="I1901">
        <v>84.82</v>
      </c>
      <c r="J1901">
        <v>3</v>
      </c>
      <c r="K1901">
        <v>190.17000000000002</v>
      </c>
      <c r="L1901">
        <v>63.39</v>
      </c>
      <c r="M1901">
        <v>108</v>
      </c>
      <c r="N1901">
        <v>9096.32</v>
      </c>
      <c r="O1901">
        <v>84.23</v>
      </c>
    </row>
    <row r="1902" spans="1:15" x14ac:dyDescent="0.35">
      <c r="A1902" t="s">
        <v>2262</v>
      </c>
      <c r="B1902" t="s">
        <v>2263</v>
      </c>
      <c r="C1902" t="s">
        <v>1059</v>
      </c>
      <c r="D1902" t="s">
        <v>339</v>
      </c>
      <c r="E1902" t="s">
        <v>308</v>
      </c>
      <c r="F1902" t="s">
        <v>2300</v>
      </c>
      <c r="G1902">
        <v>82</v>
      </c>
      <c r="H1902">
        <v>12925.359999999999</v>
      </c>
      <c r="I1902">
        <v>157.63</v>
      </c>
      <c r="J1902">
        <v>0</v>
      </c>
      <c r="K1902">
        <v>0</v>
      </c>
      <c r="L1902">
        <v>0</v>
      </c>
      <c r="M1902">
        <v>82</v>
      </c>
      <c r="N1902">
        <v>12925.359999999999</v>
      </c>
      <c r="O1902">
        <v>157.63</v>
      </c>
    </row>
    <row r="1903" spans="1:15" x14ac:dyDescent="0.35">
      <c r="A1903" t="s">
        <v>2262</v>
      </c>
      <c r="B1903" t="s">
        <v>2263</v>
      </c>
      <c r="C1903" t="s">
        <v>1059</v>
      </c>
      <c r="D1903" t="s">
        <v>339</v>
      </c>
      <c r="E1903" t="s">
        <v>310</v>
      </c>
      <c r="F1903" t="s">
        <v>2301</v>
      </c>
      <c r="G1903">
        <v>1623</v>
      </c>
      <c r="H1903">
        <v>172199.49</v>
      </c>
      <c r="I1903">
        <v>106.1</v>
      </c>
      <c r="J1903">
        <v>326</v>
      </c>
      <c r="K1903">
        <v>29024.879999999994</v>
      </c>
      <c r="L1903">
        <v>89.03</v>
      </c>
      <c r="M1903">
        <v>1949</v>
      </c>
      <c r="N1903">
        <v>201224.37</v>
      </c>
      <c r="O1903">
        <v>103.24</v>
      </c>
    </row>
    <row r="1904" spans="1:15" x14ac:dyDescent="0.35">
      <c r="A1904" t="s">
        <v>2262</v>
      </c>
      <c r="B1904" t="s">
        <v>2263</v>
      </c>
      <c r="C1904" t="s">
        <v>1059</v>
      </c>
      <c r="D1904" t="s">
        <v>339</v>
      </c>
      <c r="E1904" t="s">
        <v>312</v>
      </c>
      <c r="F1904" t="s">
        <v>2302</v>
      </c>
      <c r="G1904">
        <v>1541</v>
      </c>
      <c r="H1904">
        <v>159274.13</v>
      </c>
      <c r="I1904">
        <v>103.36</v>
      </c>
      <c r="J1904">
        <v>326</v>
      </c>
      <c r="K1904">
        <v>29024.879999999994</v>
      </c>
      <c r="L1904">
        <v>89.03</v>
      </c>
      <c r="M1904">
        <v>1867</v>
      </c>
      <c r="N1904">
        <v>188299.01</v>
      </c>
      <c r="O1904">
        <v>100.86</v>
      </c>
    </row>
    <row r="1905" spans="1:15" x14ac:dyDescent="0.35">
      <c r="A1905" t="s">
        <v>2262</v>
      </c>
      <c r="B1905" t="s">
        <v>2263</v>
      </c>
      <c r="C1905" t="s">
        <v>1059</v>
      </c>
      <c r="D1905" t="s">
        <v>348</v>
      </c>
      <c r="E1905" t="s">
        <v>349</v>
      </c>
      <c r="F1905" t="s">
        <v>2303</v>
      </c>
      <c r="G1905">
        <v>2332</v>
      </c>
      <c r="H1905">
        <v>332457.11000000004</v>
      </c>
      <c r="I1905">
        <v>149.28</v>
      </c>
      <c r="J1905">
        <v>326</v>
      </c>
      <c r="K1905">
        <v>29024.879999999994</v>
      </c>
      <c r="L1905">
        <v>89.03</v>
      </c>
      <c r="M1905">
        <v>2658</v>
      </c>
      <c r="N1905">
        <v>361481.99000000005</v>
      </c>
      <c r="O1905">
        <v>141.59</v>
      </c>
    </row>
    <row r="1906" spans="1:15" x14ac:dyDescent="0.35">
      <c r="A1906" t="s">
        <v>2304</v>
      </c>
      <c r="B1906" t="s">
        <v>2305</v>
      </c>
      <c r="C1906" t="s">
        <v>1184</v>
      </c>
      <c r="D1906" t="s">
        <v>293</v>
      </c>
      <c r="E1906" t="s">
        <v>294</v>
      </c>
      <c r="F1906" t="s">
        <v>2306</v>
      </c>
      <c r="G1906">
        <v>805</v>
      </c>
      <c r="H1906">
        <v>95121.170000000013</v>
      </c>
      <c r="I1906">
        <v>118.16</v>
      </c>
      <c r="J1906">
        <v>30</v>
      </c>
      <c r="K1906">
        <v>3999.0000000000005</v>
      </c>
      <c r="L1906">
        <v>133.30000000000001</v>
      </c>
      <c r="M1906">
        <v>835</v>
      </c>
      <c r="N1906">
        <v>99120.170000000013</v>
      </c>
      <c r="O1906">
        <v>118.71</v>
      </c>
    </row>
    <row r="1907" spans="1:15" x14ac:dyDescent="0.35">
      <c r="A1907" t="s">
        <v>2304</v>
      </c>
      <c r="B1907" t="s">
        <v>2305</v>
      </c>
      <c r="C1907" t="s">
        <v>1184</v>
      </c>
      <c r="D1907" t="s">
        <v>293</v>
      </c>
      <c r="E1907" t="s">
        <v>296</v>
      </c>
      <c r="F1907" t="s">
        <v>2307</v>
      </c>
      <c r="G1907">
        <v>2045</v>
      </c>
      <c r="H1907">
        <v>299158.16000000003</v>
      </c>
      <c r="I1907">
        <v>146.29</v>
      </c>
      <c r="J1907">
        <v>28</v>
      </c>
      <c r="K1907">
        <v>4140.6399999999994</v>
      </c>
      <c r="L1907">
        <v>147.88</v>
      </c>
      <c r="M1907">
        <v>2073</v>
      </c>
      <c r="N1907">
        <v>303298.80000000005</v>
      </c>
      <c r="O1907">
        <v>146.31</v>
      </c>
    </row>
    <row r="1908" spans="1:15" x14ac:dyDescent="0.35">
      <c r="A1908" t="s">
        <v>2304</v>
      </c>
      <c r="B1908" t="s">
        <v>2305</v>
      </c>
      <c r="C1908" t="s">
        <v>1184</v>
      </c>
      <c r="D1908" t="s">
        <v>293</v>
      </c>
      <c r="E1908" t="s">
        <v>298</v>
      </c>
      <c r="F1908" t="s">
        <v>2308</v>
      </c>
      <c r="G1908">
        <v>1341</v>
      </c>
      <c r="H1908">
        <v>227497.80000000002</v>
      </c>
      <c r="I1908">
        <v>169.65</v>
      </c>
      <c r="J1908">
        <v>54</v>
      </c>
      <c r="K1908">
        <v>9627.66</v>
      </c>
      <c r="L1908">
        <v>178.29</v>
      </c>
      <c r="M1908">
        <v>1395</v>
      </c>
      <c r="N1908">
        <v>237125.46000000002</v>
      </c>
      <c r="O1908">
        <v>169.98</v>
      </c>
    </row>
    <row r="1909" spans="1:15" x14ac:dyDescent="0.35">
      <c r="A1909" t="s">
        <v>2304</v>
      </c>
      <c r="B1909" t="s">
        <v>2305</v>
      </c>
      <c r="C1909" t="s">
        <v>1184</v>
      </c>
      <c r="D1909" t="s">
        <v>293</v>
      </c>
      <c r="E1909" t="s">
        <v>300</v>
      </c>
      <c r="F1909" t="s">
        <v>2309</v>
      </c>
      <c r="G1909">
        <v>205</v>
      </c>
      <c r="H1909">
        <v>42177.969999999994</v>
      </c>
      <c r="I1909">
        <v>205.75</v>
      </c>
      <c r="J1909">
        <v>11</v>
      </c>
      <c r="K1909">
        <v>2386.8900000000003</v>
      </c>
      <c r="L1909">
        <v>216.99</v>
      </c>
      <c r="M1909">
        <v>216</v>
      </c>
      <c r="N1909">
        <v>44564.859999999993</v>
      </c>
      <c r="O1909">
        <v>206.32</v>
      </c>
    </row>
    <row r="1910" spans="1:15" x14ac:dyDescent="0.35">
      <c r="A1910" t="s">
        <v>2304</v>
      </c>
      <c r="B1910" t="s">
        <v>2305</v>
      </c>
      <c r="C1910" t="s">
        <v>1184</v>
      </c>
      <c r="D1910" t="s">
        <v>293</v>
      </c>
      <c r="E1910" t="s">
        <v>302</v>
      </c>
      <c r="F1910" t="s">
        <v>2310</v>
      </c>
      <c r="G1910">
        <v>4</v>
      </c>
      <c r="H1910">
        <v>899.6099999999999</v>
      </c>
      <c r="I1910">
        <v>224.9</v>
      </c>
      <c r="J1910">
        <v>4</v>
      </c>
      <c r="K1910">
        <v>912.2</v>
      </c>
      <c r="L1910">
        <v>228.05</v>
      </c>
      <c r="M1910">
        <v>8</v>
      </c>
      <c r="N1910">
        <v>1811.81</v>
      </c>
      <c r="O1910">
        <v>226.48</v>
      </c>
    </row>
    <row r="1911" spans="1:15" x14ac:dyDescent="0.35">
      <c r="A1911" t="s">
        <v>2304</v>
      </c>
      <c r="B1911" t="s">
        <v>2305</v>
      </c>
      <c r="C1911" t="s">
        <v>1184</v>
      </c>
      <c r="D1911" t="s">
        <v>293</v>
      </c>
      <c r="E1911" t="s">
        <v>304</v>
      </c>
      <c r="F1911" t="s">
        <v>2311</v>
      </c>
      <c r="G1911">
        <v>0</v>
      </c>
      <c r="H1911">
        <v>0</v>
      </c>
      <c r="I1911">
        <v>0</v>
      </c>
      <c r="J1911">
        <v>0</v>
      </c>
      <c r="K1911">
        <v>0</v>
      </c>
      <c r="L1911">
        <v>0</v>
      </c>
      <c r="M1911">
        <v>0</v>
      </c>
      <c r="N1911">
        <v>0</v>
      </c>
      <c r="O1911">
        <v>0</v>
      </c>
    </row>
    <row r="1912" spans="1:15" x14ac:dyDescent="0.35">
      <c r="A1912" t="s">
        <v>2304</v>
      </c>
      <c r="B1912" t="s">
        <v>2305</v>
      </c>
      <c r="C1912" t="s">
        <v>1184</v>
      </c>
      <c r="D1912" t="s">
        <v>293</v>
      </c>
      <c r="E1912" t="s">
        <v>306</v>
      </c>
      <c r="F1912" t="s">
        <v>2312</v>
      </c>
      <c r="G1912">
        <v>0</v>
      </c>
      <c r="H1912">
        <v>0</v>
      </c>
      <c r="I1912">
        <v>0</v>
      </c>
      <c r="J1912">
        <v>5</v>
      </c>
      <c r="K1912">
        <v>444.7</v>
      </c>
      <c r="L1912">
        <v>88.94</v>
      </c>
      <c r="M1912">
        <v>5</v>
      </c>
      <c r="N1912">
        <v>444.7</v>
      </c>
      <c r="O1912">
        <v>88.94</v>
      </c>
    </row>
    <row r="1913" spans="1:15" x14ac:dyDescent="0.35">
      <c r="A1913" t="s">
        <v>2304</v>
      </c>
      <c r="B1913" t="s">
        <v>2305</v>
      </c>
      <c r="C1913" t="s">
        <v>1184</v>
      </c>
      <c r="D1913" t="s">
        <v>293</v>
      </c>
      <c r="E1913" t="s">
        <v>308</v>
      </c>
      <c r="F1913" t="s">
        <v>2313</v>
      </c>
      <c r="G1913">
        <v>0</v>
      </c>
      <c r="H1913">
        <v>0</v>
      </c>
      <c r="I1913">
        <v>0</v>
      </c>
      <c r="J1913">
        <v>0</v>
      </c>
      <c r="K1913">
        <v>0</v>
      </c>
      <c r="L1913">
        <v>0</v>
      </c>
      <c r="M1913">
        <v>0</v>
      </c>
      <c r="N1913">
        <v>0</v>
      </c>
      <c r="O1913">
        <v>0</v>
      </c>
    </row>
    <row r="1914" spans="1:15" x14ac:dyDescent="0.35">
      <c r="A1914" t="s">
        <v>2304</v>
      </c>
      <c r="B1914" t="s">
        <v>2305</v>
      </c>
      <c r="C1914" t="s">
        <v>1184</v>
      </c>
      <c r="D1914" t="s">
        <v>293</v>
      </c>
      <c r="E1914" t="s">
        <v>310</v>
      </c>
      <c r="F1914" t="s">
        <v>2314</v>
      </c>
      <c r="G1914">
        <v>4400</v>
      </c>
      <c r="H1914">
        <v>664854.71000000008</v>
      </c>
      <c r="I1914">
        <v>151.1</v>
      </c>
      <c r="J1914">
        <v>132</v>
      </c>
      <c r="K1914">
        <v>21511.09</v>
      </c>
      <c r="L1914">
        <v>162.96</v>
      </c>
      <c r="M1914">
        <v>4532</v>
      </c>
      <c r="N1914">
        <v>686365.8</v>
      </c>
      <c r="O1914">
        <v>151.44999999999999</v>
      </c>
    </row>
    <row r="1915" spans="1:15" x14ac:dyDescent="0.35">
      <c r="A1915" t="s">
        <v>2304</v>
      </c>
      <c r="B1915" t="s">
        <v>2305</v>
      </c>
      <c r="C1915" t="s">
        <v>1184</v>
      </c>
      <c r="D1915" t="s">
        <v>293</v>
      </c>
      <c r="E1915" t="s">
        <v>312</v>
      </c>
      <c r="F1915" t="s">
        <v>2315</v>
      </c>
      <c r="G1915">
        <v>4400</v>
      </c>
      <c r="H1915">
        <v>664854.71000000008</v>
      </c>
      <c r="I1915">
        <v>151.1</v>
      </c>
      <c r="J1915">
        <v>132</v>
      </c>
      <c r="K1915">
        <v>21511.09</v>
      </c>
      <c r="L1915">
        <v>162.96</v>
      </c>
      <c r="M1915">
        <v>4532</v>
      </c>
      <c r="N1915">
        <v>686365.8</v>
      </c>
      <c r="O1915">
        <v>151.44999999999999</v>
      </c>
    </row>
    <row r="1916" spans="1:15" x14ac:dyDescent="0.35">
      <c r="A1916" t="s">
        <v>2304</v>
      </c>
      <c r="B1916" t="s">
        <v>2305</v>
      </c>
      <c r="C1916" t="s">
        <v>1184</v>
      </c>
      <c r="D1916" t="s">
        <v>314</v>
      </c>
      <c r="E1916" t="s">
        <v>294</v>
      </c>
      <c r="F1916" t="s">
        <v>2316</v>
      </c>
      <c r="G1916">
        <v>135</v>
      </c>
      <c r="H1916">
        <v>18521.54</v>
      </c>
      <c r="I1916">
        <v>137.19999999999999</v>
      </c>
      <c r="J1916">
        <v>0</v>
      </c>
      <c r="K1916">
        <v>0</v>
      </c>
      <c r="L1916">
        <v>0</v>
      </c>
      <c r="M1916">
        <v>135</v>
      </c>
      <c r="N1916">
        <v>18521.54</v>
      </c>
      <c r="O1916">
        <v>137.19999999999999</v>
      </c>
    </row>
    <row r="1917" spans="1:15" x14ac:dyDescent="0.35">
      <c r="A1917" t="s">
        <v>2304</v>
      </c>
      <c r="B1917" t="s">
        <v>2305</v>
      </c>
      <c r="C1917" t="s">
        <v>1184</v>
      </c>
      <c r="D1917" t="s">
        <v>314</v>
      </c>
      <c r="E1917" t="s">
        <v>296</v>
      </c>
      <c r="F1917" t="s">
        <v>2317</v>
      </c>
      <c r="G1917">
        <v>65</v>
      </c>
      <c r="H1917">
        <v>10068.709999999999</v>
      </c>
      <c r="I1917">
        <v>154.9</v>
      </c>
      <c r="J1917">
        <v>0</v>
      </c>
      <c r="K1917">
        <v>0</v>
      </c>
      <c r="L1917">
        <v>0</v>
      </c>
      <c r="M1917">
        <v>65</v>
      </c>
      <c r="N1917">
        <v>10068.709999999999</v>
      </c>
      <c r="O1917">
        <v>154.9</v>
      </c>
    </row>
    <row r="1918" spans="1:15" x14ac:dyDescent="0.35">
      <c r="A1918" t="s">
        <v>2304</v>
      </c>
      <c r="B1918" t="s">
        <v>2305</v>
      </c>
      <c r="C1918" t="s">
        <v>1184</v>
      </c>
      <c r="D1918" t="s">
        <v>314</v>
      </c>
      <c r="E1918" t="s">
        <v>298</v>
      </c>
      <c r="F1918" t="s">
        <v>2318</v>
      </c>
      <c r="G1918">
        <v>1</v>
      </c>
      <c r="H1918">
        <v>190.06</v>
      </c>
      <c r="I1918">
        <v>190.06</v>
      </c>
      <c r="J1918">
        <v>1</v>
      </c>
      <c r="K1918">
        <v>193.66</v>
      </c>
      <c r="L1918">
        <v>193.66</v>
      </c>
      <c r="M1918">
        <v>2</v>
      </c>
      <c r="N1918">
        <v>383.72</v>
      </c>
      <c r="O1918">
        <v>191.86</v>
      </c>
    </row>
    <row r="1919" spans="1:15" x14ac:dyDescent="0.35">
      <c r="A1919" t="s">
        <v>2304</v>
      </c>
      <c r="B1919" t="s">
        <v>2305</v>
      </c>
      <c r="C1919" t="s">
        <v>1184</v>
      </c>
      <c r="D1919" t="s">
        <v>314</v>
      </c>
      <c r="E1919" t="s">
        <v>300</v>
      </c>
      <c r="F1919" t="s">
        <v>2319</v>
      </c>
      <c r="G1919">
        <v>0</v>
      </c>
      <c r="H1919">
        <v>0</v>
      </c>
      <c r="I1919">
        <v>0</v>
      </c>
      <c r="J1919">
        <v>0</v>
      </c>
      <c r="K1919">
        <v>0</v>
      </c>
      <c r="L1919">
        <v>0</v>
      </c>
      <c r="M1919">
        <v>0</v>
      </c>
      <c r="N1919">
        <v>0</v>
      </c>
      <c r="O1919">
        <v>0</v>
      </c>
    </row>
    <row r="1920" spans="1:15" x14ac:dyDescent="0.35">
      <c r="A1920" t="s">
        <v>2304</v>
      </c>
      <c r="B1920" t="s">
        <v>2305</v>
      </c>
      <c r="C1920" t="s">
        <v>1184</v>
      </c>
      <c r="D1920" t="s">
        <v>314</v>
      </c>
      <c r="E1920" t="s">
        <v>306</v>
      </c>
      <c r="F1920" t="s">
        <v>2320</v>
      </c>
      <c r="G1920">
        <v>10</v>
      </c>
      <c r="H1920">
        <v>1721</v>
      </c>
      <c r="I1920">
        <v>172.1</v>
      </c>
      <c r="J1920">
        <v>0</v>
      </c>
      <c r="K1920">
        <v>0</v>
      </c>
      <c r="L1920">
        <v>0</v>
      </c>
      <c r="M1920">
        <v>10</v>
      </c>
      <c r="N1920">
        <v>1721</v>
      </c>
      <c r="O1920">
        <v>172.1</v>
      </c>
    </row>
    <row r="1921" spans="1:15" x14ac:dyDescent="0.35">
      <c r="A1921" t="s">
        <v>2304</v>
      </c>
      <c r="B1921" t="s">
        <v>2305</v>
      </c>
      <c r="C1921" t="s">
        <v>1184</v>
      </c>
      <c r="D1921" t="s">
        <v>314</v>
      </c>
      <c r="E1921" t="s">
        <v>308</v>
      </c>
      <c r="F1921" t="s">
        <v>2321</v>
      </c>
      <c r="G1921">
        <v>0</v>
      </c>
      <c r="H1921">
        <v>0</v>
      </c>
      <c r="I1921">
        <v>0</v>
      </c>
      <c r="J1921">
        <v>0</v>
      </c>
      <c r="K1921">
        <v>0</v>
      </c>
      <c r="L1921">
        <v>0</v>
      </c>
      <c r="M1921">
        <v>0</v>
      </c>
      <c r="N1921">
        <v>0</v>
      </c>
      <c r="O1921">
        <v>0</v>
      </c>
    </row>
    <row r="1922" spans="1:15" x14ac:dyDescent="0.35">
      <c r="A1922" t="s">
        <v>2304</v>
      </c>
      <c r="B1922" t="s">
        <v>2305</v>
      </c>
      <c r="C1922" t="s">
        <v>1184</v>
      </c>
      <c r="D1922" t="s">
        <v>314</v>
      </c>
      <c r="E1922" t="s">
        <v>312</v>
      </c>
      <c r="F1922" t="s">
        <v>2322</v>
      </c>
      <c r="G1922">
        <v>211</v>
      </c>
      <c r="H1922">
        <v>30501.31</v>
      </c>
      <c r="I1922">
        <v>144.56</v>
      </c>
      <c r="J1922">
        <v>1</v>
      </c>
      <c r="K1922">
        <v>193.66</v>
      </c>
      <c r="L1922">
        <v>193.66</v>
      </c>
      <c r="M1922">
        <v>212</v>
      </c>
      <c r="N1922">
        <v>30694.97</v>
      </c>
      <c r="O1922">
        <v>144.79</v>
      </c>
    </row>
    <row r="1923" spans="1:15" x14ac:dyDescent="0.35">
      <c r="A1923" t="s">
        <v>2304</v>
      </c>
      <c r="B1923" t="s">
        <v>2305</v>
      </c>
      <c r="C1923" t="s">
        <v>1184</v>
      </c>
      <c r="D1923" t="s">
        <v>314</v>
      </c>
      <c r="E1923" t="s">
        <v>310</v>
      </c>
      <c r="F1923" t="s">
        <v>2323</v>
      </c>
      <c r="G1923">
        <v>211</v>
      </c>
      <c r="H1923">
        <v>30501.31</v>
      </c>
      <c r="I1923">
        <v>144.56</v>
      </c>
      <c r="J1923">
        <v>1</v>
      </c>
      <c r="K1923">
        <v>193.66</v>
      </c>
      <c r="L1923">
        <v>193.66</v>
      </c>
      <c r="M1923">
        <v>212</v>
      </c>
      <c r="N1923">
        <v>30694.97</v>
      </c>
      <c r="O1923">
        <v>144.79</v>
      </c>
    </row>
    <row r="1924" spans="1:15" x14ac:dyDescent="0.35">
      <c r="A1924" t="s">
        <v>2304</v>
      </c>
      <c r="B1924" t="s">
        <v>2305</v>
      </c>
      <c r="C1924" t="s">
        <v>1184</v>
      </c>
      <c r="D1924" t="s">
        <v>323</v>
      </c>
      <c r="E1924" t="s">
        <v>294</v>
      </c>
      <c r="F1924" t="s">
        <v>2324</v>
      </c>
      <c r="G1924">
        <v>2562</v>
      </c>
      <c r="H1924">
        <v>220469.78999999998</v>
      </c>
      <c r="I1924">
        <v>86.05</v>
      </c>
      <c r="J1924">
        <v>2601</v>
      </c>
      <c r="K1924">
        <v>202695.93000000002</v>
      </c>
      <c r="L1924">
        <v>77.930000000000007</v>
      </c>
      <c r="M1924">
        <v>5163</v>
      </c>
      <c r="N1924">
        <v>423165.72</v>
      </c>
      <c r="O1924">
        <v>81.96</v>
      </c>
    </row>
    <row r="1925" spans="1:15" x14ac:dyDescent="0.35">
      <c r="A1925" t="s">
        <v>2304</v>
      </c>
      <c r="B1925" t="s">
        <v>2305</v>
      </c>
      <c r="C1925" t="s">
        <v>1184</v>
      </c>
      <c r="D1925" t="s">
        <v>323</v>
      </c>
      <c r="E1925" t="s">
        <v>296</v>
      </c>
      <c r="F1925" t="s">
        <v>2325</v>
      </c>
      <c r="G1925">
        <v>5862</v>
      </c>
      <c r="H1925">
        <v>580949.89</v>
      </c>
      <c r="I1925">
        <v>99.1</v>
      </c>
      <c r="J1925">
        <v>4168</v>
      </c>
      <c r="K1925">
        <v>361824.08</v>
      </c>
      <c r="L1925">
        <v>86.81</v>
      </c>
      <c r="M1925">
        <v>10030</v>
      </c>
      <c r="N1925">
        <v>942773.97</v>
      </c>
      <c r="O1925">
        <v>94</v>
      </c>
    </row>
    <row r="1926" spans="1:15" x14ac:dyDescent="0.35">
      <c r="A1926" t="s">
        <v>2304</v>
      </c>
      <c r="B1926" t="s">
        <v>2305</v>
      </c>
      <c r="C1926" t="s">
        <v>1184</v>
      </c>
      <c r="D1926" t="s">
        <v>323</v>
      </c>
      <c r="E1926" t="s">
        <v>298</v>
      </c>
      <c r="F1926" t="s">
        <v>2326</v>
      </c>
      <c r="G1926">
        <v>4926</v>
      </c>
      <c r="H1926">
        <v>547159.09000000008</v>
      </c>
      <c r="I1926">
        <v>111.08</v>
      </c>
      <c r="J1926">
        <v>3248</v>
      </c>
      <c r="K1926">
        <v>316874.88</v>
      </c>
      <c r="L1926">
        <v>97.56</v>
      </c>
      <c r="M1926">
        <v>8174</v>
      </c>
      <c r="N1926">
        <v>864033.97000000009</v>
      </c>
      <c r="O1926">
        <v>105.71</v>
      </c>
    </row>
    <row r="1927" spans="1:15" x14ac:dyDescent="0.35">
      <c r="A1927" t="s">
        <v>2304</v>
      </c>
      <c r="B1927" t="s">
        <v>2305</v>
      </c>
      <c r="C1927" t="s">
        <v>1184</v>
      </c>
      <c r="D1927" t="s">
        <v>323</v>
      </c>
      <c r="E1927" t="s">
        <v>300</v>
      </c>
      <c r="F1927" t="s">
        <v>2327</v>
      </c>
      <c r="G1927">
        <v>419</v>
      </c>
      <c r="H1927">
        <v>51404.489999999991</v>
      </c>
      <c r="I1927">
        <v>122.68</v>
      </c>
      <c r="J1927">
        <v>137</v>
      </c>
      <c r="K1927">
        <v>14694.62</v>
      </c>
      <c r="L1927">
        <v>107.26</v>
      </c>
      <c r="M1927">
        <v>556</v>
      </c>
      <c r="N1927">
        <v>66099.109999999986</v>
      </c>
      <c r="O1927">
        <v>118.88</v>
      </c>
    </row>
    <row r="1928" spans="1:15" x14ac:dyDescent="0.35">
      <c r="A1928" t="s">
        <v>2304</v>
      </c>
      <c r="B1928" t="s">
        <v>2305</v>
      </c>
      <c r="C1928" t="s">
        <v>1184</v>
      </c>
      <c r="D1928" t="s">
        <v>323</v>
      </c>
      <c r="E1928" t="s">
        <v>302</v>
      </c>
      <c r="F1928" t="s">
        <v>2328</v>
      </c>
      <c r="G1928">
        <v>13</v>
      </c>
      <c r="H1928">
        <v>1711.0100000000002</v>
      </c>
      <c r="I1928">
        <v>131.62</v>
      </c>
      <c r="J1928">
        <v>3</v>
      </c>
      <c r="K1928">
        <v>371.43</v>
      </c>
      <c r="L1928">
        <v>123.81</v>
      </c>
      <c r="M1928">
        <v>16</v>
      </c>
      <c r="N1928">
        <v>2082.44</v>
      </c>
      <c r="O1928">
        <v>130.15</v>
      </c>
    </row>
    <row r="1929" spans="1:15" x14ac:dyDescent="0.35">
      <c r="A1929" t="s">
        <v>2304</v>
      </c>
      <c r="B1929" t="s">
        <v>2305</v>
      </c>
      <c r="C1929" t="s">
        <v>1184</v>
      </c>
      <c r="D1929" t="s">
        <v>323</v>
      </c>
      <c r="E1929" t="s">
        <v>304</v>
      </c>
      <c r="F1929" t="s">
        <v>2329</v>
      </c>
      <c r="G1929">
        <v>2</v>
      </c>
      <c r="H1929">
        <v>300.88</v>
      </c>
      <c r="I1929">
        <v>150.44</v>
      </c>
      <c r="J1929">
        <v>4</v>
      </c>
      <c r="K1929">
        <v>498.64</v>
      </c>
      <c r="L1929">
        <v>124.66</v>
      </c>
      <c r="M1929">
        <v>6</v>
      </c>
      <c r="N1929">
        <v>799.52</v>
      </c>
      <c r="O1929">
        <v>133.25</v>
      </c>
    </row>
    <row r="1930" spans="1:15" x14ac:dyDescent="0.35">
      <c r="A1930" t="s">
        <v>2304</v>
      </c>
      <c r="B1930" t="s">
        <v>2305</v>
      </c>
      <c r="C1930" t="s">
        <v>1184</v>
      </c>
      <c r="D1930" t="s">
        <v>323</v>
      </c>
      <c r="E1930" t="s">
        <v>306</v>
      </c>
      <c r="F1930" t="s">
        <v>2330</v>
      </c>
      <c r="G1930">
        <v>110</v>
      </c>
      <c r="H1930">
        <v>7795.1299999999992</v>
      </c>
      <c r="I1930">
        <v>70.86</v>
      </c>
      <c r="J1930">
        <v>22</v>
      </c>
      <c r="K1930">
        <v>1584.88</v>
      </c>
      <c r="L1930">
        <v>72.040000000000006</v>
      </c>
      <c r="M1930">
        <v>132</v>
      </c>
      <c r="N1930">
        <v>9380.0099999999984</v>
      </c>
      <c r="O1930">
        <v>71.06</v>
      </c>
    </row>
    <row r="1931" spans="1:15" x14ac:dyDescent="0.35">
      <c r="A1931" t="s">
        <v>2304</v>
      </c>
      <c r="B1931" t="s">
        <v>2305</v>
      </c>
      <c r="C1931" t="s">
        <v>1184</v>
      </c>
      <c r="D1931" t="s">
        <v>323</v>
      </c>
      <c r="E1931" t="s">
        <v>308</v>
      </c>
      <c r="F1931" t="s">
        <v>2331</v>
      </c>
      <c r="G1931">
        <v>0</v>
      </c>
      <c r="H1931">
        <v>0</v>
      </c>
      <c r="I1931">
        <v>0</v>
      </c>
      <c r="J1931">
        <v>0</v>
      </c>
      <c r="K1931">
        <v>0</v>
      </c>
      <c r="L1931">
        <v>0</v>
      </c>
      <c r="M1931">
        <v>0</v>
      </c>
      <c r="N1931">
        <v>0</v>
      </c>
      <c r="O1931">
        <v>0</v>
      </c>
    </row>
    <row r="1932" spans="1:15" x14ac:dyDescent="0.35">
      <c r="A1932" t="s">
        <v>2304</v>
      </c>
      <c r="B1932" t="s">
        <v>2305</v>
      </c>
      <c r="C1932" t="s">
        <v>1184</v>
      </c>
      <c r="D1932" t="s">
        <v>323</v>
      </c>
      <c r="E1932" t="s">
        <v>310</v>
      </c>
      <c r="F1932" t="s">
        <v>2332</v>
      </c>
      <c r="G1932">
        <v>13894</v>
      </c>
      <c r="H1932">
        <v>1409790.2799999998</v>
      </c>
      <c r="I1932">
        <v>101.47</v>
      </c>
      <c r="J1932">
        <v>10183</v>
      </c>
      <c r="K1932">
        <v>898544.46000000008</v>
      </c>
      <c r="L1932">
        <v>88.24</v>
      </c>
      <c r="M1932">
        <v>24077</v>
      </c>
      <c r="N1932">
        <v>2308334.7399999998</v>
      </c>
      <c r="O1932">
        <v>95.87</v>
      </c>
    </row>
    <row r="1933" spans="1:15" x14ac:dyDescent="0.35">
      <c r="A1933" t="s">
        <v>2304</v>
      </c>
      <c r="B1933" t="s">
        <v>2305</v>
      </c>
      <c r="C1933" t="s">
        <v>1184</v>
      </c>
      <c r="D1933" t="s">
        <v>323</v>
      </c>
      <c r="E1933" t="s">
        <v>312</v>
      </c>
      <c r="F1933" t="s">
        <v>2333</v>
      </c>
      <c r="G1933">
        <v>13894</v>
      </c>
      <c r="H1933">
        <v>1409790.2799999998</v>
      </c>
      <c r="I1933">
        <v>101.47</v>
      </c>
      <c r="J1933">
        <v>10183</v>
      </c>
      <c r="K1933">
        <v>898544.46000000008</v>
      </c>
      <c r="L1933">
        <v>88.24</v>
      </c>
      <c r="M1933">
        <v>24077</v>
      </c>
      <c r="N1933">
        <v>2308334.7399999998</v>
      </c>
      <c r="O1933">
        <v>95.87</v>
      </c>
    </row>
    <row r="1934" spans="1:15" x14ac:dyDescent="0.35">
      <c r="A1934" t="s">
        <v>2304</v>
      </c>
      <c r="B1934" t="s">
        <v>2305</v>
      </c>
      <c r="C1934" t="s">
        <v>1184</v>
      </c>
      <c r="D1934" t="s">
        <v>334</v>
      </c>
      <c r="E1934" t="s">
        <v>312</v>
      </c>
      <c r="F1934" t="s">
        <v>2334</v>
      </c>
      <c r="G1934">
        <v>19985</v>
      </c>
      <c r="H1934">
        <v>2074644.99</v>
      </c>
      <c r="I1934">
        <v>113.41</v>
      </c>
      <c r="J1934">
        <v>10315</v>
      </c>
      <c r="K1934">
        <v>920055.55000000016</v>
      </c>
      <c r="L1934">
        <v>89.2</v>
      </c>
      <c r="M1934">
        <v>30300</v>
      </c>
      <c r="N1934">
        <v>2994700.54</v>
      </c>
      <c r="O1934">
        <v>104.68</v>
      </c>
    </row>
    <row r="1935" spans="1:15" x14ac:dyDescent="0.35">
      <c r="A1935" t="s">
        <v>2304</v>
      </c>
      <c r="B1935" t="s">
        <v>2305</v>
      </c>
      <c r="C1935" t="s">
        <v>1184</v>
      </c>
      <c r="D1935" t="s">
        <v>334</v>
      </c>
      <c r="E1935" t="s">
        <v>308</v>
      </c>
      <c r="F1935" t="s">
        <v>2335</v>
      </c>
      <c r="G1935">
        <v>0</v>
      </c>
      <c r="H1935">
        <v>0</v>
      </c>
      <c r="I1935">
        <v>0</v>
      </c>
      <c r="J1935">
        <v>0</v>
      </c>
      <c r="K1935">
        <v>0</v>
      </c>
      <c r="L1935">
        <v>0</v>
      </c>
      <c r="M1935">
        <v>0</v>
      </c>
      <c r="N1935">
        <v>0</v>
      </c>
      <c r="O1935">
        <v>0</v>
      </c>
    </row>
    <row r="1936" spans="1:15" x14ac:dyDescent="0.35">
      <c r="A1936" t="s">
        <v>2304</v>
      </c>
      <c r="B1936" t="s">
        <v>2305</v>
      </c>
      <c r="C1936" t="s">
        <v>1184</v>
      </c>
      <c r="D1936" t="s">
        <v>337</v>
      </c>
      <c r="E1936" t="s">
        <v>337</v>
      </c>
      <c r="F1936" t="s">
        <v>2336</v>
      </c>
      <c r="G1936">
        <v>3307</v>
      </c>
      <c r="J1936">
        <v>97</v>
      </c>
      <c r="M1936">
        <v>3404</v>
      </c>
    </row>
    <row r="1937" spans="1:15" x14ac:dyDescent="0.35">
      <c r="A1937" t="s">
        <v>2304</v>
      </c>
      <c r="B1937" t="s">
        <v>2305</v>
      </c>
      <c r="C1937" t="s">
        <v>1184</v>
      </c>
      <c r="D1937" t="s">
        <v>339</v>
      </c>
      <c r="E1937" t="s">
        <v>294</v>
      </c>
      <c r="F1937" t="s">
        <v>2337</v>
      </c>
      <c r="G1937">
        <v>2247</v>
      </c>
      <c r="H1937">
        <v>229608.11000000004</v>
      </c>
      <c r="I1937">
        <v>102.18</v>
      </c>
      <c r="J1937">
        <v>55</v>
      </c>
      <c r="K1937">
        <v>4390.6499999999996</v>
      </c>
      <c r="L1937">
        <v>79.83</v>
      </c>
      <c r="M1937">
        <v>2302</v>
      </c>
      <c r="N1937">
        <v>233998.76000000004</v>
      </c>
      <c r="O1937">
        <v>101.65</v>
      </c>
    </row>
    <row r="1938" spans="1:15" x14ac:dyDescent="0.35">
      <c r="A1938" t="s">
        <v>2304</v>
      </c>
      <c r="B1938" t="s">
        <v>2305</v>
      </c>
      <c r="C1938" t="s">
        <v>1184</v>
      </c>
      <c r="D1938" t="s">
        <v>339</v>
      </c>
      <c r="E1938" t="s">
        <v>296</v>
      </c>
      <c r="F1938" t="s">
        <v>2338</v>
      </c>
      <c r="G1938">
        <v>349</v>
      </c>
      <c r="H1938">
        <v>37850.689999999995</v>
      </c>
      <c r="I1938">
        <v>108.45</v>
      </c>
      <c r="J1938">
        <v>2</v>
      </c>
      <c r="K1938">
        <v>214.16</v>
      </c>
      <c r="L1938">
        <v>107.08</v>
      </c>
      <c r="M1938">
        <v>351</v>
      </c>
      <c r="N1938">
        <v>38064.85</v>
      </c>
      <c r="O1938">
        <v>108.45</v>
      </c>
    </row>
    <row r="1939" spans="1:15" x14ac:dyDescent="0.35">
      <c r="A1939" t="s">
        <v>2304</v>
      </c>
      <c r="B1939" t="s">
        <v>2305</v>
      </c>
      <c r="C1939" t="s">
        <v>1184</v>
      </c>
      <c r="D1939" t="s">
        <v>339</v>
      </c>
      <c r="E1939" t="s">
        <v>298</v>
      </c>
      <c r="F1939" t="s">
        <v>2339</v>
      </c>
      <c r="G1939">
        <v>13</v>
      </c>
      <c r="H1939">
        <v>1682.38</v>
      </c>
      <c r="I1939">
        <v>129.41</v>
      </c>
      <c r="J1939">
        <v>4</v>
      </c>
      <c r="K1939">
        <v>465.92</v>
      </c>
      <c r="L1939">
        <v>116.48</v>
      </c>
      <c r="M1939">
        <v>17</v>
      </c>
      <c r="N1939">
        <v>2148.3000000000002</v>
      </c>
      <c r="O1939">
        <v>126.37</v>
      </c>
    </row>
    <row r="1940" spans="1:15" x14ac:dyDescent="0.35">
      <c r="A1940" t="s">
        <v>2304</v>
      </c>
      <c r="B1940" t="s">
        <v>2305</v>
      </c>
      <c r="C1940" t="s">
        <v>1184</v>
      </c>
      <c r="D1940" t="s">
        <v>339</v>
      </c>
      <c r="E1940" t="s">
        <v>300</v>
      </c>
      <c r="F1940" t="s">
        <v>2340</v>
      </c>
      <c r="G1940">
        <v>0</v>
      </c>
      <c r="H1940">
        <v>0</v>
      </c>
      <c r="I1940">
        <v>0</v>
      </c>
      <c r="J1940">
        <v>0</v>
      </c>
      <c r="K1940">
        <v>0</v>
      </c>
      <c r="L1940">
        <v>0</v>
      </c>
      <c r="M1940">
        <v>0</v>
      </c>
      <c r="N1940">
        <v>0</v>
      </c>
      <c r="O1940">
        <v>0</v>
      </c>
    </row>
    <row r="1941" spans="1:15" x14ac:dyDescent="0.35">
      <c r="A1941" t="s">
        <v>2304</v>
      </c>
      <c r="B1941" t="s">
        <v>2305</v>
      </c>
      <c r="C1941" t="s">
        <v>1184</v>
      </c>
      <c r="D1941" t="s">
        <v>339</v>
      </c>
      <c r="E1941" t="s">
        <v>306</v>
      </c>
      <c r="F1941" t="s">
        <v>2341</v>
      </c>
      <c r="G1941">
        <v>81</v>
      </c>
      <c r="H1941">
        <v>12391.21</v>
      </c>
      <c r="I1941">
        <v>152.97999999999999</v>
      </c>
      <c r="J1941">
        <v>14</v>
      </c>
      <c r="K1941">
        <v>1071.7</v>
      </c>
      <c r="L1941">
        <v>76.55</v>
      </c>
      <c r="M1941">
        <v>95</v>
      </c>
      <c r="N1941">
        <v>13462.91</v>
      </c>
      <c r="O1941">
        <v>141.71</v>
      </c>
    </row>
    <row r="1942" spans="1:15" x14ac:dyDescent="0.35">
      <c r="A1942" t="s">
        <v>2304</v>
      </c>
      <c r="B1942" t="s">
        <v>2305</v>
      </c>
      <c r="C1942" t="s">
        <v>1184</v>
      </c>
      <c r="D1942" t="s">
        <v>339</v>
      </c>
      <c r="E1942" t="s">
        <v>308</v>
      </c>
      <c r="F1942" t="s">
        <v>2342</v>
      </c>
      <c r="G1942">
        <v>329</v>
      </c>
      <c r="H1942">
        <v>39571.520000000004</v>
      </c>
      <c r="I1942">
        <v>120.28</v>
      </c>
      <c r="J1942">
        <v>0</v>
      </c>
      <c r="K1942">
        <v>0</v>
      </c>
      <c r="L1942">
        <v>0</v>
      </c>
      <c r="M1942">
        <v>329</v>
      </c>
      <c r="N1942">
        <v>39571.520000000004</v>
      </c>
      <c r="O1942">
        <v>120.28</v>
      </c>
    </row>
    <row r="1943" spans="1:15" x14ac:dyDescent="0.35">
      <c r="A1943" t="s">
        <v>2304</v>
      </c>
      <c r="B1943" t="s">
        <v>2305</v>
      </c>
      <c r="C1943" t="s">
        <v>1184</v>
      </c>
      <c r="D1943" t="s">
        <v>339</v>
      </c>
      <c r="E1943" t="s">
        <v>310</v>
      </c>
      <c r="F1943" t="s">
        <v>2343</v>
      </c>
      <c r="G1943">
        <v>3019</v>
      </c>
      <c r="H1943">
        <v>321103.91000000009</v>
      </c>
      <c r="I1943">
        <v>106.36</v>
      </c>
      <c r="J1943">
        <v>75</v>
      </c>
      <c r="K1943">
        <v>6142.4299999999994</v>
      </c>
      <c r="L1943">
        <v>81.900000000000006</v>
      </c>
      <c r="M1943">
        <v>3094</v>
      </c>
      <c r="N1943">
        <v>327246.34000000008</v>
      </c>
      <c r="O1943">
        <v>105.77</v>
      </c>
    </row>
    <row r="1944" spans="1:15" x14ac:dyDescent="0.35">
      <c r="A1944" t="s">
        <v>2304</v>
      </c>
      <c r="B1944" t="s">
        <v>2305</v>
      </c>
      <c r="C1944" t="s">
        <v>1184</v>
      </c>
      <c r="D1944" t="s">
        <v>339</v>
      </c>
      <c r="E1944" t="s">
        <v>312</v>
      </c>
      <c r="F1944" t="s">
        <v>2344</v>
      </c>
      <c r="G1944">
        <v>2690</v>
      </c>
      <c r="H1944">
        <v>281532.39000000007</v>
      </c>
      <c r="I1944">
        <v>104.66</v>
      </c>
      <c r="J1944">
        <v>75</v>
      </c>
      <c r="K1944">
        <v>6142.4299999999994</v>
      </c>
      <c r="L1944">
        <v>81.900000000000006</v>
      </c>
      <c r="M1944">
        <v>2765</v>
      </c>
      <c r="N1944">
        <v>287674.82000000007</v>
      </c>
      <c r="O1944">
        <v>104.04</v>
      </c>
    </row>
    <row r="1945" spans="1:15" x14ac:dyDescent="0.35">
      <c r="A1945" t="s">
        <v>2304</v>
      </c>
      <c r="B1945" t="s">
        <v>2305</v>
      </c>
      <c r="C1945" t="s">
        <v>1184</v>
      </c>
      <c r="D1945" t="s">
        <v>348</v>
      </c>
      <c r="E1945" t="s">
        <v>349</v>
      </c>
      <c r="F1945" t="s">
        <v>2345</v>
      </c>
      <c r="G1945">
        <v>3356</v>
      </c>
      <c r="H1945">
        <v>351605.22000000009</v>
      </c>
      <c r="I1945">
        <v>108.86</v>
      </c>
      <c r="J1945">
        <v>76</v>
      </c>
      <c r="K1945">
        <v>6336.0899999999992</v>
      </c>
      <c r="L1945">
        <v>83.37</v>
      </c>
      <c r="M1945">
        <v>3432</v>
      </c>
      <c r="N1945">
        <v>357941.31000000011</v>
      </c>
      <c r="O1945">
        <v>108.27</v>
      </c>
    </row>
    <row r="1946" spans="1:15" x14ac:dyDescent="0.35">
      <c r="A1946" t="s">
        <v>2346</v>
      </c>
      <c r="B1946" t="s">
        <v>2347</v>
      </c>
      <c r="C1946" t="s">
        <v>1184</v>
      </c>
      <c r="D1946" t="s">
        <v>293</v>
      </c>
      <c r="E1946" t="s">
        <v>294</v>
      </c>
      <c r="F1946" t="s">
        <v>2348</v>
      </c>
      <c r="G1946">
        <v>1</v>
      </c>
      <c r="H1946">
        <v>125.99</v>
      </c>
      <c r="I1946">
        <v>125.99</v>
      </c>
      <c r="J1946">
        <v>1</v>
      </c>
      <c r="K1946">
        <v>167.1</v>
      </c>
      <c r="L1946">
        <v>167.1</v>
      </c>
      <c r="M1946">
        <v>2</v>
      </c>
      <c r="N1946">
        <v>293.08999999999997</v>
      </c>
      <c r="O1946">
        <v>146.55000000000001</v>
      </c>
    </row>
    <row r="1947" spans="1:15" x14ac:dyDescent="0.35">
      <c r="A1947" t="s">
        <v>2346</v>
      </c>
      <c r="B1947" t="s">
        <v>2347</v>
      </c>
      <c r="C1947" t="s">
        <v>1184</v>
      </c>
      <c r="D1947" t="s">
        <v>293</v>
      </c>
      <c r="E1947" t="s">
        <v>296</v>
      </c>
      <c r="F1947" t="s">
        <v>2349</v>
      </c>
      <c r="G1947">
        <v>1</v>
      </c>
      <c r="H1947">
        <v>158.94999999999999</v>
      </c>
      <c r="I1947">
        <v>158.94999999999999</v>
      </c>
      <c r="J1947">
        <v>2</v>
      </c>
      <c r="K1947">
        <v>382</v>
      </c>
      <c r="L1947">
        <v>191</v>
      </c>
      <c r="M1947">
        <v>3</v>
      </c>
      <c r="N1947">
        <v>540.95000000000005</v>
      </c>
      <c r="O1947">
        <v>180.32</v>
      </c>
    </row>
    <row r="1948" spans="1:15" x14ac:dyDescent="0.35">
      <c r="A1948" t="s">
        <v>2346</v>
      </c>
      <c r="B1948" t="s">
        <v>2347</v>
      </c>
      <c r="C1948" t="s">
        <v>1184</v>
      </c>
      <c r="D1948" t="s">
        <v>293</v>
      </c>
      <c r="E1948" t="s">
        <v>298</v>
      </c>
      <c r="F1948" t="s">
        <v>2350</v>
      </c>
      <c r="G1948">
        <v>0</v>
      </c>
      <c r="H1948">
        <v>0</v>
      </c>
      <c r="I1948">
        <v>0</v>
      </c>
      <c r="J1948">
        <v>0</v>
      </c>
      <c r="K1948">
        <v>0</v>
      </c>
      <c r="L1948">
        <v>0</v>
      </c>
      <c r="M1948">
        <v>0</v>
      </c>
      <c r="N1948">
        <v>0</v>
      </c>
      <c r="O1948">
        <v>0</v>
      </c>
    </row>
    <row r="1949" spans="1:15" x14ac:dyDescent="0.35">
      <c r="A1949" t="s">
        <v>2346</v>
      </c>
      <c r="B1949" t="s">
        <v>2347</v>
      </c>
      <c r="C1949" t="s">
        <v>1184</v>
      </c>
      <c r="D1949" t="s">
        <v>293</v>
      </c>
      <c r="E1949" t="s">
        <v>300</v>
      </c>
      <c r="F1949" t="s">
        <v>2351</v>
      </c>
      <c r="G1949">
        <v>0</v>
      </c>
      <c r="H1949">
        <v>0</v>
      </c>
      <c r="I1949">
        <v>0</v>
      </c>
      <c r="J1949">
        <v>0</v>
      </c>
      <c r="K1949">
        <v>0</v>
      </c>
      <c r="L1949">
        <v>0</v>
      </c>
      <c r="M1949">
        <v>0</v>
      </c>
      <c r="N1949">
        <v>0</v>
      </c>
      <c r="O1949">
        <v>0</v>
      </c>
    </row>
    <row r="1950" spans="1:15" x14ac:dyDescent="0.35">
      <c r="A1950" t="s">
        <v>2346</v>
      </c>
      <c r="B1950" t="s">
        <v>2347</v>
      </c>
      <c r="C1950" t="s">
        <v>1184</v>
      </c>
      <c r="D1950" t="s">
        <v>293</v>
      </c>
      <c r="E1950" t="s">
        <v>302</v>
      </c>
      <c r="F1950" t="s">
        <v>2352</v>
      </c>
      <c r="G1950">
        <v>0</v>
      </c>
      <c r="H1950">
        <v>0</v>
      </c>
      <c r="I1950">
        <v>0</v>
      </c>
      <c r="J1950">
        <v>0</v>
      </c>
      <c r="K1950">
        <v>0</v>
      </c>
      <c r="L1950">
        <v>0</v>
      </c>
      <c r="M1950">
        <v>0</v>
      </c>
      <c r="N1950">
        <v>0</v>
      </c>
      <c r="O1950">
        <v>0</v>
      </c>
    </row>
    <row r="1951" spans="1:15" x14ac:dyDescent="0.35">
      <c r="A1951" t="s">
        <v>2346</v>
      </c>
      <c r="B1951" t="s">
        <v>2347</v>
      </c>
      <c r="C1951" t="s">
        <v>1184</v>
      </c>
      <c r="D1951" t="s">
        <v>293</v>
      </c>
      <c r="E1951" t="s">
        <v>304</v>
      </c>
      <c r="F1951" t="s">
        <v>2353</v>
      </c>
      <c r="G1951">
        <v>0</v>
      </c>
      <c r="H1951">
        <v>0</v>
      </c>
      <c r="I1951">
        <v>0</v>
      </c>
      <c r="J1951">
        <v>0</v>
      </c>
      <c r="K1951">
        <v>0</v>
      </c>
      <c r="L1951">
        <v>0</v>
      </c>
      <c r="M1951">
        <v>0</v>
      </c>
      <c r="N1951">
        <v>0</v>
      </c>
      <c r="O1951">
        <v>0</v>
      </c>
    </row>
    <row r="1952" spans="1:15" x14ac:dyDescent="0.35">
      <c r="A1952" t="s">
        <v>2346</v>
      </c>
      <c r="B1952" t="s">
        <v>2347</v>
      </c>
      <c r="C1952" t="s">
        <v>1184</v>
      </c>
      <c r="D1952" t="s">
        <v>293</v>
      </c>
      <c r="E1952" t="s">
        <v>306</v>
      </c>
      <c r="F1952" t="s">
        <v>2354</v>
      </c>
      <c r="G1952">
        <v>0</v>
      </c>
      <c r="H1952">
        <v>0</v>
      </c>
      <c r="I1952">
        <v>0</v>
      </c>
      <c r="J1952">
        <v>0</v>
      </c>
      <c r="K1952">
        <v>0</v>
      </c>
      <c r="L1952">
        <v>0</v>
      </c>
      <c r="M1952">
        <v>0</v>
      </c>
      <c r="N1952">
        <v>0</v>
      </c>
      <c r="O1952">
        <v>0</v>
      </c>
    </row>
    <row r="1953" spans="1:15" x14ac:dyDescent="0.35">
      <c r="A1953" t="s">
        <v>2346</v>
      </c>
      <c r="B1953" t="s">
        <v>2347</v>
      </c>
      <c r="C1953" t="s">
        <v>1184</v>
      </c>
      <c r="D1953" t="s">
        <v>293</v>
      </c>
      <c r="E1953" t="s">
        <v>308</v>
      </c>
      <c r="F1953" t="s">
        <v>2355</v>
      </c>
      <c r="G1953">
        <v>0</v>
      </c>
      <c r="H1953">
        <v>0</v>
      </c>
      <c r="I1953">
        <v>0</v>
      </c>
      <c r="J1953">
        <v>0</v>
      </c>
      <c r="K1953">
        <v>0</v>
      </c>
      <c r="L1953">
        <v>0</v>
      </c>
      <c r="M1953">
        <v>0</v>
      </c>
      <c r="N1953">
        <v>0</v>
      </c>
      <c r="O1953">
        <v>0</v>
      </c>
    </row>
    <row r="1954" spans="1:15" x14ac:dyDescent="0.35">
      <c r="A1954" t="s">
        <v>2346</v>
      </c>
      <c r="B1954" t="s">
        <v>2347</v>
      </c>
      <c r="C1954" t="s">
        <v>1184</v>
      </c>
      <c r="D1954" t="s">
        <v>293</v>
      </c>
      <c r="E1954" t="s">
        <v>310</v>
      </c>
      <c r="F1954" t="s">
        <v>2356</v>
      </c>
      <c r="G1954">
        <v>2</v>
      </c>
      <c r="H1954">
        <v>284.94</v>
      </c>
      <c r="I1954">
        <v>142.47</v>
      </c>
      <c r="J1954">
        <v>3</v>
      </c>
      <c r="K1954">
        <v>549.1</v>
      </c>
      <c r="L1954">
        <v>183.03</v>
      </c>
      <c r="M1954">
        <v>5</v>
      </c>
      <c r="N1954">
        <v>834.04</v>
      </c>
      <c r="O1954">
        <v>166.81</v>
      </c>
    </row>
    <row r="1955" spans="1:15" x14ac:dyDescent="0.35">
      <c r="A1955" t="s">
        <v>2346</v>
      </c>
      <c r="B1955" t="s">
        <v>2347</v>
      </c>
      <c r="C1955" t="s">
        <v>1184</v>
      </c>
      <c r="D1955" t="s">
        <v>293</v>
      </c>
      <c r="E1955" t="s">
        <v>312</v>
      </c>
      <c r="F1955" t="s">
        <v>2357</v>
      </c>
      <c r="G1955">
        <v>2</v>
      </c>
      <c r="H1955">
        <v>284.94</v>
      </c>
      <c r="I1955">
        <v>142.47</v>
      </c>
      <c r="J1955">
        <v>3</v>
      </c>
      <c r="K1955">
        <v>549.1</v>
      </c>
      <c r="L1955">
        <v>183.03</v>
      </c>
      <c r="M1955">
        <v>5</v>
      </c>
      <c r="N1955">
        <v>834.04</v>
      </c>
      <c r="O1955">
        <v>166.81</v>
      </c>
    </row>
    <row r="1956" spans="1:15" x14ac:dyDescent="0.35">
      <c r="A1956" t="s">
        <v>2346</v>
      </c>
      <c r="B1956" t="s">
        <v>2347</v>
      </c>
      <c r="C1956" t="s">
        <v>1184</v>
      </c>
      <c r="D1956" t="s">
        <v>314</v>
      </c>
      <c r="E1956" t="s">
        <v>294</v>
      </c>
      <c r="F1956" t="s">
        <v>2358</v>
      </c>
      <c r="G1956">
        <v>0</v>
      </c>
      <c r="H1956">
        <v>0</v>
      </c>
      <c r="I1956">
        <v>0</v>
      </c>
      <c r="J1956">
        <v>0</v>
      </c>
      <c r="K1956">
        <v>0</v>
      </c>
      <c r="L1956">
        <v>0</v>
      </c>
      <c r="M1956">
        <v>0</v>
      </c>
      <c r="N1956">
        <v>0</v>
      </c>
      <c r="O1956">
        <v>0</v>
      </c>
    </row>
    <row r="1957" spans="1:15" x14ac:dyDescent="0.35">
      <c r="A1957" t="s">
        <v>2346</v>
      </c>
      <c r="B1957" t="s">
        <v>2347</v>
      </c>
      <c r="C1957" t="s">
        <v>1184</v>
      </c>
      <c r="D1957" t="s">
        <v>314</v>
      </c>
      <c r="E1957" t="s">
        <v>296</v>
      </c>
      <c r="F1957" t="s">
        <v>2359</v>
      </c>
      <c r="G1957">
        <v>0</v>
      </c>
      <c r="H1957">
        <v>0</v>
      </c>
      <c r="I1957">
        <v>0</v>
      </c>
      <c r="J1957">
        <v>0</v>
      </c>
      <c r="K1957">
        <v>0</v>
      </c>
      <c r="L1957">
        <v>0</v>
      </c>
      <c r="M1957">
        <v>0</v>
      </c>
      <c r="N1957">
        <v>0</v>
      </c>
      <c r="O1957">
        <v>0</v>
      </c>
    </row>
    <row r="1958" spans="1:15" x14ac:dyDescent="0.35">
      <c r="A1958" t="s">
        <v>2346</v>
      </c>
      <c r="B1958" t="s">
        <v>2347</v>
      </c>
      <c r="C1958" t="s">
        <v>1184</v>
      </c>
      <c r="D1958" t="s">
        <v>314</v>
      </c>
      <c r="E1958" t="s">
        <v>298</v>
      </c>
      <c r="F1958" t="s">
        <v>2360</v>
      </c>
      <c r="G1958">
        <v>0</v>
      </c>
      <c r="H1958">
        <v>0</v>
      </c>
      <c r="I1958">
        <v>0</v>
      </c>
      <c r="J1958">
        <v>0</v>
      </c>
      <c r="K1958">
        <v>0</v>
      </c>
      <c r="L1958">
        <v>0</v>
      </c>
      <c r="M1958">
        <v>0</v>
      </c>
      <c r="N1958">
        <v>0</v>
      </c>
      <c r="O1958">
        <v>0</v>
      </c>
    </row>
    <row r="1959" spans="1:15" x14ac:dyDescent="0.35">
      <c r="A1959" t="s">
        <v>2346</v>
      </c>
      <c r="B1959" t="s">
        <v>2347</v>
      </c>
      <c r="C1959" t="s">
        <v>1184</v>
      </c>
      <c r="D1959" t="s">
        <v>314</v>
      </c>
      <c r="E1959" t="s">
        <v>300</v>
      </c>
      <c r="F1959" t="s">
        <v>2361</v>
      </c>
      <c r="G1959">
        <v>0</v>
      </c>
      <c r="H1959">
        <v>0</v>
      </c>
      <c r="I1959">
        <v>0</v>
      </c>
      <c r="J1959">
        <v>0</v>
      </c>
      <c r="K1959">
        <v>0</v>
      </c>
      <c r="L1959">
        <v>0</v>
      </c>
      <c r="M1959">
        <v>0</v>
      </c>
      <c r="N1959">
        <v>0</v>
      </c>
      <c r="O1959">
        <v>0</v>
      </c>
    </row>
    <row r="1960" spans="1:15" x14ac:dyDescent="0.35">
      <c r="A1960" t="s">
        <v>2346</v>
      </c>
      <c r="B1960" t="s">
        <v>2347</v>
      </c>
      <c r="C1960" t="s">
        <v>1184</v>
      </c>
      <c r="D1960" t="s">
        <v>314</v>
      </c>
      <c r="E1960" t="s">
        <v>306</v>
      </c>
      <c r="F1960" t="s">
        <v>2362</v>
      </c>
      <c r="G1960">
        <v>0</v>
      </c>
      <c r="H1960">
        <v>0</v>
      </c>
      <c r="I1960">
        <v>0</v>
      </c>
      <c r="J1960">
        <v>0</v>
      </c>
      <c r="K1960">
        <v>0</v>
      </c>
      <c r="L1960">
        <v>0</v>
      </c>
      <c r="M1960">
        <v>0</v>
      </c>
      <c r="N1960">
        <v>0</v>
      </c>
      <c r="O1960">
        <v>0</v>
      </c>
    </row>
    <row r="1961" spans="1:15" x14ac:dyDescent="0.35">
      <c r="A1961" t="s">
        <v>2346</v>
      </c>
      <c r="B1961" t="s">
        <v>2347</v>
      </c>
      <c r="C1961" t="s">
        <v>1184</v>
      </c>
      <c r="D1961" t="s">
        <v>314</v>
      </c>
      <c r="E1961" t="s">
        <v>308</v>
      </c>
      <c r="F1961" t="s">
        <v>2363</v>
      </c>
      <c r="G1961">
        <v>0</v>
      </c>
      <c r="H1961">
        <v>0</v>
      </c>
      <c r="I1961">
        <v>0</v>
      </c>
      <c r="J1961">
        <v>0</v>
      </c>
      <c r="K1961">
        <v>0</v>
      </c>
      <c r="L1961">
        <v>0</v>
      </c>
      <c r="M1961">
        <v>0</v>
      </c>
      <c r="N1961">
        <v>0</v>
      </c>
      <c r="O1961">
        <v>0</v>
      </c>
    </row>
    <row r="1962" spans="1:15" x14ac:dyDescent="0.35">
      <c r="A1962" t="s">
        <v>2346</v>
      </c>
      <c r="B1962" t="s">
        <v>2347</v>
      </c>
      <c r="C1962" t="s">
        <v>1184</v>
      </c>
      <c r="D1962" t="s">
        <v>314</v>
      </c>
      <c r="E1962" t="s">
        <v>312</v>
      </c>
      <c r="F1962" t="s">
        <v>2364</v>
      </c>
      <c r="G1962">
        <v>0</v>
      </c>
      <c r="H1962">
        <v>0</v>
      </c>
      <c r="I1962">
        <v>0</v>
      </c>
      <c r="J1962">
        <v>0</v>
      </c>
      <c r="K1962">
        <v>0</v>
      </c>
      <c r="L1962">
        <v>0</v>
      </c>
      <c r="M1962">
        <v>0</v>
      </c>
      <c r="N1962">
        <v>0</v>
      </c>
      <c r="O1962">
        <v>0</v>
      </c>
    </row>
    <row r="1963" spans="1:15" x14ac:dyDescent="0.35">
      <c r="A1963" t="s">
        <v>2346</v>
      </c>
      <c r="B1963" t="s">
        <v>2347</v>
      </c>
      <c r="C1963" t="s">
        <v>1184</v>
      </c>
      <c r="D1963" t="s">
        <v>314</v>
      </c>
      <c r="E1963" t="s">
        <v>310</v>
      </c>
      <c r="F1963" t="s">
        <v>2365</v>
      </c>
      <c r="G1963">
        <v>0</v>
      </c>
      <c r="H1963">
        <v>0</v>
      </c>
      <c r="I1963">
        <v>0</v>
      </c>
      <c r="J1963">
        <v>0</v>
      </c>
      <c r="K1963">
        <v>0</v>
      </c>
      <c r="L1963">
        <v>0</v>
      </c>
      <c r="M1963">
        <v>0</v>
      </c>
      <c r="N1963">
        <v>0</v>
      </c>
      <c r="O1963">
        <v>0</v>
      </c>
    </row>
    <row r="1964" spans="1:15" x14ac:dyDescent="0.35">
      <c r="A1964" t="s">
        <v>2346</v>
      </c>
      <c r="B1964" t="s">
        <v>2347</v>
      </c>
      <c r="C1964" t="s">
        <v>1184</v>
      </c>
      <c r="D1964" t="s">
        <v>323</v>
      </c>
      <c r="E1964" t="s">
        <v>294</v>
      </c>
      <c r="F1964" t="s">
        <v>2366</v>
      </c>
      <c r="G1964">
        <v>5</v>
      </c>
      <c r="H1964">
        <v>558.54999999999995</v>
      </c>
      <c r="I1964">
        <v>111.71</v>
      </c>
      <c r="J1964">
        <v>18</v>
      </c>
      <c r="K1964">
        <v>1751.3999999999999</v>
      </c>
      <c r="L1964">
        <v>97.3</v>
      </c>
      <c r="M1964">
        <v>23</v>
      </c>
      <c r="N1964">
        <v>2309.9499999999998</v>
      </c>
      <c r="O1964">
        <v>100.43</v>
      </c>
    </row>
    <row r="1965" spans="1:15" x14ac:dyDescent="0.35">
      <c r="A1965" t="s">
        <v>2346</v>
      </c>
      <c r="B1965" t="s">
        <v>2347</v>
      </c>
      <c r="C1965" t="s">
        <v>1184</v>
      </c>
      <c r="D1965" t="s">
        <v>323</v>
      </c>
      <c r="E1965" t="s">
        <v>296</v>
      </c>
      <c r="F1965" t="s">
        <v>2367</v>
      </c>
      <c r="G1965">
        <v>17</v>
      </c>
      <c r="H1965">
        <v>2171.75</v>
      </c>
      <c r="I1965">
        <v>127.75</v>
      </c>
      <c r="J1965">
        <v>20</v>
      </c>
      <c r="K1965">
        <v>1978.8</v>
      </c>
      <c r="L1965">
        <v>98.94</v>
      </c>
      <c r="M1965">
        <v>37</v>
      </c>
      <c r="N1965">
        <v>4150.55</v>
      </c>
      <c r="O1965">
        <v>112.18</v>
      </c>
    </row>
    <row r="1966" spans="1:15" x14ac:dyDescent="0.35">
      <c r="A1966" t="s">
        <v>2346</v>
      </c>
      <c r="B1966" t="s">
        <v>2347</v>
      </c>
      <c r="C1966" t="s">
        <v>1184</v>
      </c>
      <c r="D1966" t="s">
        <v>323</v>
      </c>
      <c r="E1966" t="s">
        <v>298</v>
      </c>
      <c r="F1966" t="s">
        <v>2368</v>
      </c>
      <c r="G1966">
        <v>4</v>
      </c>
      <c r="H1966">
        <v>553.88</v>
      </c>
      <c r="I1966">
        <v>138.47</v>
      </c>
      <c r="J1966">
        <v>38</v>
      </c>
      <c r="K1966">
        <v>4051.9399999999996</v>
      </c>
      <c r="L1966">
        <v>106.63</v>
      </c>
      <c r="M1966">
        <v>42</v>
      </c>
      <c r="N1966">
        <v>4605.82</v>
      </c>
      <c r="O1966">
        <v>109.66</v>
      </c>
    </row>
    <row r="1967" spans="1:15" x14ac:dyDescent="0.35">
      <c r="A1967" t="s">
        <v>2346</v>
      </c>
      <c r="B1967" t="s">
        <v>2347</v>
      </c>
      <c r="C1967" t="s">
        <v>1184</v>
      </c>
      <c r="D1967" t="s">
        <v>323</v>
      </c>
      <c r="E1967" t="s">
        <v>300</v>
      </c>
      <c r="F1967" t="s">
        <v>2369</v>
      </c>
      <c r="G1967">
        <v>0</v>
      </c>
      <c r="H1967">
        <v>0</v>
      </c>
      <c r="I1967">
        <v>0</v>
      </c>
      <c r="J1967">
        <v>3</v>
      </c>
      <c r="K1967">
        <v>331.17</v>
      </c>
      <c r="L1967">
        <v>110.39</v>
      </c>
      <c r="M1967">
        <v>3</v>
      </c>
      <c r="N1967">
        <v>331.17</v>
      </c>
      <c r="O1967">
        <v>110.39</v>
      </c>
    </row>
    <row r="1968" spans="1:15" x14ac:dyDescent="0.35">
      <c r="A1968" t="s">
        <v>2346</v>
      </c>
      <c r="B1968" t="s">
        <v>2347</v>
      </c>
      <c r="C1968" t="s">
        <v>1184</v>
      </c>
      <c r="D1968" t="s">
        <v>323</v>
      </c>
      <c r="E1968" t="s">
        <v>302</v>
      </c>
      <c r="F1968" t="s">
        <v>2370</v>
      </c>
      <c r="G1968">
        <v>0</v>
      </c>
      <c r="H1968">
        <v>0</v>
      </c>
      <c r="I1968">
        <v>0</v>
      </c>
      <c r="J1968">
        <v>0</v>
      </c>
      <c r="K1968">
        <v>0</v>
      </c>
      <c r="L1968">
        <v>0</v>
      </c>
      <c r="M1968">
        <v>0</v>
      </c>
      <c r="N1968">
        <v>0</v>
      </c>
      <c r="O1968">
        <v>0</v>
      </c>
    </row>
    <row r="1969" spans="1:15" x14ac:dyDescent="0.35">
      <c r="A1969" t="s">
        <v>2346</v>
      </c>
      <c r="B1969" t="s">
        <v>2347</v>
      </c>
      <c r="C1969" t="s">
        <v>1184</v>
      </c>
      <c r="D1969" t="s">
        <v>323</v>
      </c>
      <c r="E1969" t="s">
        <v>304</v>
      </c>
      <c r="F1969" t="s">
        <v>2371</v>
      </c>
      <c r="G1969">
        <v>0</v>
      </c>
      <c r="H1969">
        <v>0</v>
      </c>
      <c r="I1969">
        <v>0</v>
      </c>
      <c r="J1969">
        <v>0</v>
      </c>
      <c r="K1969">
        <v>0</v>
      </c>
      <c r="L1969">
        <v>0</v>
      </c>
      <c r="M1969">
        <v>0</v>
      </c>
      <c r="N1969">
        <v>0</v>
      </c>
      <c r="O1969">
        <v>0</v>
      </c>
    </row>
    <row r="1970" spans="1:15" x14ac:dyDescent="0.35">
      <c r="A1970" t="s">
        <v>2346</v>
      </c>
      <c r="B1970" t="s">
        <v>2347</v>
      </c>
      <c r="C1970" t="s">
        <v>1184</v>
      </c>
      <c r="D1970" t="s">
        <v>323</v>
      </c>
      <c r="E1970" t="s">
        <v>306</v>
      </c>
      <c r="F1970" t="s">
        <v>2372</v>
      </c>
      <c r="G1970">
        <v>0</v>
      </c>
      <c r="H1970">
        <v>0</v>
      </c>
      <c r="I1970">
        <v>0</v>
      </c>
      <c r="J1970">
        <v>18</v>
      </c>
      <c r="K1970">
        <v>1467.54</v>
      </c>
      <c r="L1970">
        <v>81.53</v>
      </c>
      <c r="M1970">
        <v>18</v>
      </c>
      <c r="N1970">
        <v>1467.54</v>
      </c>
      <c r="O1970">
        <v>81.53</v>
      </c>
    </row>
    <row r="1971" spans="1:15" x14ac:dyDescent="0.35">
      <c r="A1971" t="s">
        <v>2346</v>
      </c>
      <c r="B1971" t="s">
        <v>2347</v>
      </c>
      <c r="C1971" t="s">
        <v>1184</v>
      </c>
      <c r="D1971" t="s">
        <v>323</v>
      </c>
      <c r="E1971" t="s">
        <v>308</v>
      </c>
      <c r="F1971" t="s">
        <v>2373</v>
      </c>
      <c r="G1971">
        <v>0</v>
      </c>
      <c r="H1971">
        <v>0</v>
      </c>
      <c r="I1971">
        <v>0</v>
      </c>
      <c r="J1971">
        <v>0</v>
      </c>
      <c r="K1971">
        <v>0</v>
      </c>
      <c r="L1971">
        <v>0</v>
      </c>
      <c r="M1971">
        <v>0</v>
      </c>
      <c r="N1971">
        <v>0</v>
      </c>
      <c r="O1971">
        <v>0</v>
      </c>
    </row>
    <row r="1972" spans="1:15" x14ac:dyDescent="0.35">
      <c r="A1972" t="s">
        <v>2346</v>
      </c>
      <c r="B1972" t="s">
        <v>2347</v>
      </c>
      <c r="C1972" t="s">
        <v>1184</v>
      </c>
      <c r="D1972" t="s">
        <v>323</v>
      </c>
      <c r="E1972" t="s">
        <v>310</v>
      </c>
      <c r="F1972" t="s">
        <v>2374</v>
      </c>
      <c r="G1972">
        <v>26</v>
      </c>
      <c r="H1972">
        <v>3284.1800000000003</v>
      </c>
      <c r="I1972">
        <v>126.31</v>
      </c>
      <c r="J1972">
        <v>97</v>
      </c>
      <c r="K1972">
        <v>9580.8499999999985</v>
      </c>
      <c r="L1972">
        <v>98.77</v>
      </c>
      <c r="M1972">
        <v>123</v>
      </c>
      <c r="N1972">
        <v>12865.029999999999</v>
      </c>
      <c r="O1972">
        <v>104.59</v>
      </c>
    </row>
    <row r="1973" spans="1:15" x14ac:dyDescent="0.35">
      <c r="A1973" t="s">
        <v>2346</v>
      </c>
      <c r="B1973" t="s">
        <v>2347</v>
      </c>
      <c r="C1973" t="s">
        <v>1184</v>
      </c>
      <c r="D1973" t="s">
        <v>323</v>
      </c>
      <c r="E1973" t="s">
        <v>312</v>
      </c>
      <c r="F1973" t="s">
        <v>2375</v>
      </c>
      <c r="G1973">
        <v>26</v>
      </c>
      <c r="H1973">
        <v>3284.1800000000003</v>
      </c>
      <c r="I1973">
        <v>126.31</v>
      </c>
      <c r="J1973">
        <v>97</v>
      </c>
      <c r="K1973">
        <v>9580.8499999999985</v>
      </c>
      <c r="L1973">
        <v>98.77</v>
      </c>
      <c r="M1973">
        <v>123</v>
      </c>
      <c r="N1973">
        <v>12865.029999999999</v>
      </c>
      <c r="O1973">
        <v>104.59</v>
      </c>
    </row>
    <row r="1974" spans="1:15" x14ac:dyDescent="0.35">
      <c r="A1974" t="s">
        <v>2346</v>
      </c>
      <c r="B1974" t="s">
        <v>2347</v>
      </c>
      <c r="C1974" t="s">
        <v>1184</v>
      </c>
      <c r="D1974" t="s">
        <v>334</v>
      </c>
      <c r="E1974" t="s">
        <v>312</v>
      </c>
      <c r="F1974" t="s">
        <v>2376</v>
      </c>
      <c r="G1974">
        <v>60</v>
      </c>
      <c r="H1974">
        <v>3569.12</v>
      </c>
      <c r="I1974">
        <v>127.47</v>
      </c>
      <c r="J1974">
        <v>100</v>
      </c>
      <c r="K1974">
        <v>10129.950000000001</v>
      </c>
      <c r="L1974">
        <v>101.3</v>
      </c>
      <c r="M1974">
        <v>160</v>
      </c>
      <c r="N1974">
        <v>13699.07</v>
      </c>
      <c r="O1974">
        <v>107.02</v>
      </c>
    </row>
    <row r="1975" spans="1:15" x14ac:dyDescent="0.35">
      <c r="A1975" t="s">
        <v>2346</v>
      </c>
      <c r="B1975" t="s">
        <v>2347</v>
      </c>
      <c r="C1975" t="s">
        <v>1184</v>
      </c>
      <c r="D1975" t="s">
        <v>334</v>
      </c>
      <c r="E1975" t="s">
        <v>308</v>
      </c>
      <c r="F1975" t="s">
        <v>2377</v>
      </c>
      <c r="G1975">
        <v>0</v>
      </c>
      <c r="H1975">
        <v>0</v>
      </c>
      <c r="I1975">
        <v>0</v>
      </c>
      <c r="J1975">
        <v>0</v>
      </c>
      <c r="K1975">
        <v>0</v>
      </c>
      <c r="L1975">
        <v>0</v>
      </c>
      <c r="M1975">
        <v>0</v>
      </c>
      <c r="N1975">
        <v>0</v>
      </c>
      <c r="O1975">
        <v>0</v>
      </c>
    </row>
    <row r="1976" spans="1:15" x14ac:dyDescent="0.35">
      <c r="A1976" t="s">
        <v>2346</v>
      </c>
      <c r="B1976" t="s">
        <v>2347</v>
      </c>
      <c r="C1976" t="s">
        <v>1184</v>
      </c>
      <c r="D1976" t="s">
        <v>337</v>
      </c>
      <c r="E1976" t="s">
        <v>337</v>
      </c>
      <c r="F1976" t="s">
        <v>2378</v>
      </c>
      <c r="G1976">
        <v>0</v>
      </c>
      <c r="J1976">
        <v>0</v>
      </c>
      <c r="M1976">
        <v>0</v>
      </c>
    </row>
    <row r="1977" spans="1:15" x14ac:dyDescent="0.35">
      <c r="A1977" t="s">
        <v>2346</v>
      </c>
      <c r="B1977" t="s">
        <v>2347</v>
      </c>
      <c r="C1977" t="s">
        <v>1184</v>
      </c>
      <c r="D1977" t="s">
        <v>348</v>
      </c>
      <c r="E1977" t="s">
        <v>349</v>
      </c>
      <c r="F1977" t="s">
        <v>2379</v>
      </c>
      <c r="G1977">
        <v>0</v>
      </c>
      <c r="H1977">
        <v>0</v>
      </c>
      <c r="I1977">
        <v>0</v>
      </c>
      <c r="J1977">
        <v>0</v>
      </c>
      <c r="K1977">
        <v>0</v>
      </c>
      <c r="L1977">
        <v>0</v>
      </c>
      <c r="M1977">
        <v>0</v>
      </c>
      <c r="N1977">
        <v>0</v>
      </c>
      <c r="O1977">
        <v>0</v>
      </c>
    </row>
    <row r="1978" spans="1:15" x14ac:dyDescent="0.35">
      <c r="A1978" t="s">
        <v>2380</v>
      </c>
      <c r="B1978" t="s">
        <v>213</v>
      </c>
      <c r="C1978" t="s">
        <v>1184</v>
      </c>
      <c r="D1978" t="s">
        <v>293</v>
      </c>
      <c r="E1978" t="s">
        <v>294</v>
      </c>
      <c r="F1978" t="s">
        <v>2381</v>
      </c>
      <c r="G1978">
        <v>984</v>
      </c>
      <c r="H1978">
        <v>132765.47000000003</v>
      </c>
      <c r="I1978">
        <v>134.91999999999999</v>
      </c>
      <c r="J1978">
        <v>37</v>
      </c>
      <c r="K1978">
        <v>4785.95</v>
      </c>
      <c r="L1978">
        <v>129.35</v>
      </c>
      <c r="M1978">
        <v>1021</v>
      </c>
      <c r="N1978">
        <v>137551.42000000004</v>
      </c>
      <c r="O1978">
        <v>134.72</v>
      </c>
    </row>
    <row r="1979" spans="1:15" x14ac:dyDescent="0.35">
      <c r="A1979" t="s">
        <v>2380</v>
      </c>
      <c r="B1979" t="s">
        <v>213</v>
      </c>
      <c r="C1979" t="s">
        <v>1184</v>
      </c>
      <c r="D1979" t="s">
        <v>293</v>
      </c>
      <c r="E1979" t="s">
        <v>296</v>
      </c>
      <c r="F1979" t="s">
        <v>2382</v>
      </c>
      <c r="G1979">
        <v>1806</v>
      </c>
      <c r="H1979">
        <v>293526.35000000003</v>
      </c>
      <c r="I1979">
        <v>162.53</v>
      </c>
      <c r="J1979">
        <v>111</v>
      </c>
      <c r="K1979">
        <v>16961.91</v>
      </c>
      <c r="L1979">
        <v>152.81</v>
      </c>
      <c r="M1979">
        <v>1917</v>
      </c>
      <c r="N1979">
        <v>310488.26</v>
      </c>
      <c r="O1979">
        <v>161.97</v>
      </c>
    </row>
    <row r="1980" spans="1:15" x14ac:dyDescent="0.35">
      <c r="A1980" t="s">
        <v>2380</v>
      </c>
      <c r="B1980" t="s">
        <v>213</v>
      </c>
      <c r="C1980" t="s">
        <v>1184</v>
      </c>
      <c r="D1980" t="s">
        <v>293</v>
      </c>
      <c r="E1980" t="s">
        <v>298</v>
      </c>
      <c r="F1980" t="s">
        <v>2383</v>
      </c>
      <c r="G1980">
        <v>1105</v>
      </c>
      <c r="H1980">
        <v>215215.34000000003</v>
      </c>
      <c r="I1980">
        <v>194.77</v>
      </c>
      <c r="J1980">
        <v>50</v>
      </c>
      <c r="K1980">
        <v>9345.5</v>
      </c>
      <c r="L1980">
        <v>186.91</v>
      </c>
      <c r="M1980">
        <v>1155</v>
      </c>
      <c r="N1980">
        <v>224560.84000000003</v>
      </c>
      <c r="O1980">
        <v>194.42</v>
      </c>
    </row>
    <row r="1981" spans="1:15" x14ac:dyDescent="0.35">
      <c r="A1981" t="s">
        <v>2380</v>
      </c>
      <c r="B1981" t="s">
        <v>213</v>
      </c>
      <c r="C1981" t="s">
        <v>1184</v>
      </c>
      <c r="D1981" t="s">
        <v>293</v>
      </c>
      <c r="E1981" t="s">
        <v>300</v>
      </c>
      <c r="F1981" t="s">
        <v>2384</v>
      </c>
      <c r="G1981">
        <v>187</v>
      </c>
      <c r="H1981">
        <v>43842.990000000005</v>
      </c>
      <c r="I1981">
        <v>234.45</v>
      </c>
      <c r="J1981">
        <v>11</v>
      </c>
      <c r="K1981">
        <v>2726.46</v>
      </c>
      <c r="L1981">
        <v>247.86</v>
      </c>
      <c r="M1981">
        <v>198</v>
      </c>
      <c r="N1981">
        <v>46569.450000000004</v>
      </c>
      <c r="O1981">
        <v>235.2</v>
      </c>
    </row>
    <row r="1982" spans="1:15" x14ac:dyDescent="0.35">
      <c r="A1982" t="s">
        <v>2380</v>
      </c>
      <c r="B1982" t="s">
        <v>213</v>
      </c>
      <c r="C1982" t="s">
        <v>1184</v>
      </c>
      <c r="D1982" t="s">
        <v>293</v>
      </c>
      <c r="E1982" t="s">
        <v>302</v>
      </c>
      <c r="F1982" t="s">
        <v>2385</v>
      </c>
      <c r="G1982">
        <v>3</v>
      </c>
      <c r="H1982">
        <v>799.17</v>
      </c>
      <c r="I1982">
        <v>266.39</v>
      </c>
      <c r="J1982">
        <v>2</v>
      </c>
      <c r="K1982">
        <v>510.8</v>
      </c>
      <c r="L1982">
        <v>255.4</v>
      </c>
      <c r="M1982">
        <v>5</v>
      </c>
      <c r="N1982">
        <v>1309.97</v>
      </c>
      <c r="O1982">
        <v>261.99</v>
      </c>
    </row>
    <row r="1983" spans="1:15" x14ac:dyDescent="0.35">
      <c r="A1983" t="s">
        <v>2380</v>
      </c>
      <c r="B1983" t="s">
        <v>213</v>
      </c>
      <c r="C1983" t="s">
        <v>1184</v>
      </c>
      <c r="D1983" t="s">
        <v>293</v>
      </c>
      <c r="E1983" t="s">
        <v>304</v>
      </c>
      <c r="F1983" t="s">
        <v>2386</v>
      </c>
      <c r="G1983">
        <v>1</v>
      </c>
      <c r="H1983">
        <v>230</v>
      </c>
      <c r="I1983">
        <v>230</v>
      </c>
      <c r="J1983">
        <v>0</v>
      </c>
      <c r="K1983">
        <v>0</v>
      </c>
      <c r="L1983">
        <v>0</v>
      </c>
      <c r="M1983">
        <v>1</v>
      </c>
      <c r="N1983">
        <v>230</v>
      </c>
      <c r="O1983">
        <v>230</v>
      </c>
    </row>
    <row r="1984" spans="1:15" x14ac:dyDescent="0.35">
      <c r="A1984" t="s">
        <v>2380</v>
      </c>
      <c r="B1984" t="s">
        <v>213</v>
      </c>
      <c r="C1984" t="s">
        <v>1184</v>
      </c>
      <c r="D1984" t="s">
        <v>293</v>
      </c>
      <c r="E1984" t="s">
        <v>306</v>
      </c>
      <c r="F1984" t="s">
        <v>2387</v>
      </c>
      <c r="G1984">
        <v>0</v>
      </c>
      <c r="H1984">
        <v>0</v>
      </c>
      <c r="I1984">
        <v>0</v>
      </c>
      <c r="J1984">
        <v>0</v>
      </c>
      <c r="K1984">
        <v>0</v>
      </c>
      <c r="L1984">
        <v>0</v>
      </c>
      <c r="M1984">
        <v>0</v>
      </c>
      <c r="N1984">
        <v>0</v>
      </c>
      <c r="O1984">
        <v>0</v>
      </c>
    </row>
    <row r="1985" spans="1:15" x14ac:dyDescent="0.35">
      <c r="A1985" t="s">
        <v>2380</v>
      </c>
      <c r="B1985" t="s">
        <v>213</v>
      </c>
      <c r="C1985" t="s">
        <v>1184</v>
      </c>
      <c r="D1985" t="s">
        <v>293</v>
      </c>
      <c r="E1985" t="s">
        <v>308</v>
      </c>
      <c r="F1985" t="s">
        <v>2388</v>
      </c>
      <c r="G1985">
        <v>0</v>
      </c>
      <c r="H1985">
        <v>0</v>
      </c>
      <c r="I1985">
        <v>0</v>
      </c>
      <c r="J1985">
        <v>0</v>
      </c>
      <c r="K1985">
        <v>0</v>
      </c>
      <c r="L1985">
        <v>0</v>
      </c>
      <c r="M1985">
        <v>0</v>
      </c>
      <c r="N1985">
        <v>0</v>
      </c>
      <c r="O1985">
        <v>0</v>
      </c>
    </row>
    <row r="1986" spans="1:15" x14ac:dyDescent="0.35">
      <c r="A1986" t="s">
        <v>2380</v>
      </c>
      <c r="B1986" t="s">
        <v>213</v>
      </c>
      <c r="C1986" t="s">
        <v>1184</v>
      </c>
      <c r="D1986" t="s">
        <v>293</v>
      </c>
      <c r="E1986" t="s">
        <v>310</v>
      </c>
      <c r="F1986" t="s">
        <v>2389</v>
      </c>
      <c r="G1986">
        <v>4086</v>
      </c>
      <c r="H1986">
        <v>686379.32000000018</v>
      </c>
      <c r="I1986">
        <v>167.98</v>
      </c>
      <c r="J1986">
        <v>211</v>
      </c>
      <c r="K1986">
        <v>34330.620000000003</v>
      </c>
      <c r="L1986">
        <v>162.69999999999999</v>
      </c>
      <c r="M1986">
        <v>4297</v>
      </c>
      <c r="N1986">
        <v>720709.94000000018</v>
      </c>
      <c r="O1986">
        <v>167.72</v>
      </c>
    </row>
    <row r="1987" spans="1:15" x14ac:dyDescent="0.35">
      <c r="A1987" t="s">
        <v>2380</v>
      </c>
      <c r="B1987" t="s">
        <v>213</v>
      </c>
      <c r="C1987" t="s">
        <v>1184</v>
      </c>
      <c r="D1987" t="s">
        <v>293</v>
      </c>
      <c r="E1987" t="s">
        <v>312</v>
      </c>
      <c r="F1987" t="s">
        <v>2390</v>
      </c>
      <c r="G1987">
        <v>4086</v>
      </c>
      <c r="H1987">
        <v>686379.32000000018</v>
      </c>
      <c r="I1987">
        <v>167.98</v>
      </c>
      <c r="J1987">
        <v>211</v>
      </c>
      <c r="K1987">
        <v>34330.620000000003</v>
      </c>
      <c r="L1987">
        <v>162.69999999999999</v>
      </c>
      <c r="M1987">
        <v>4297</v>
      </c>
      <c r="N1987">
        <v>720709.94000000018</v>
      </c>
      <c r="O1987">
        <v>167.72</v>
      </c>
    </row>
    <row r="1988" spans="1:15" x14ac:dyDescent="0.35">
      <c r="A1988" t="s">
        <v>2380</v>
      </c>
      <c r="B1988" t="s">
        <v>213</v>
      </c>
      <c r="C1988" t="s">
        <v>1184</v>
      </c>
      <c r="D1988" t="s">
        <v>314</v>
      </c>
      <c r="E1988" t="s">
        <v>294</v>
      </c>
      <c r="F1988" t="s">
        <v>2391</v>
      </c>
      <c r="G1988">
        <v>15</v>
      </c>
      <c r="H1988">
        <v>2521.41</v>
      </c>
      <c r="I1988">
        <v>168.09</v>
      </c>
      <c r="J1988">
        <v>27</v>
      </c>
      <c r="K1988">
        <v>4969.3500000000004</v>
      </c>
      <c r="L1988">
        <v>184.05</v>
      </c>
      <c r="M1988">
        <v>42</v>
      </c>
      <c r="N1988">
        <v>7490.76</v>
      </c>
      <c r="O1988">
        <v>178.35</v>
      </c>
    </row>
    <row r="1989" spans="1:15" x14ac:dyDescent="0.35">
      <c r="A1989" t="s">
        <v>2380</v>
      </c>
      <c r="B1989" t="s">
        <v>213</v>
      </c>
      <c r="C1989" t="s">
        <v>1184</v>
      </c>
      <c r="D1989" t="s">
        <v>314</v>
      </c>
      <c r="E1989" t="s">
        <v>296</v>
      </c>
      <c r="F1989" t="s">
        <v>2392</v>
      </c>
      <c r="G1989">
        <v>59</v>
      </c>
      <c r="H1989">
        <v>11892.05</v>
      </c>
      <c r="I1989">
        <v>201.56</v>
      </c>
      <c r="J1989">
        <v>61</v>
      </c>
      <c r="K1989">
        <v>12384.220000000001</v>
      </c>
      <c r="L1989">
        <v>203.02</v>
      </c>
      <c r="M1989">
        <v>120</v>
      </c>
      <c r="N1989">
        <v>24276.27</v>
      </c>
      <c r="O1989">
        <v>202.3</v>
      </c>
    </row>
    <row r="1990" spans="1:15" x14ac:dyDescent="0.35">
      <c r="A1990" t="s">
        <v>2380</v>
      </c>
      <c r="B1990" t="s">
        <v>213</v>
      </c>
      <c r="C1990" t="s">
        <v>1184</v>
      </c>
      <c r="D1990" t="s">
        <v>314</v>
      </c>
      <c r="E1990" t="s">
        <v>298</v>
      </c>
      <c r="F1990" t="s">
        <v>2393</v>
      </c>
      <c r="G1990">
        <v>0</v>
      </c>
      <c r="H1990">
        <v>0</v>
      </c>
      <c r="I1990">
        <v>0</v>
      </c>
      <c r="J1990">
        <v>0</v>
      </c>
      <c r="K1990">
        <v>0</v>
      </c>
      <c r="L1990">
        <v>0</v>
      </c>
      <c r="M1990">
        <v>0</v>
      </c>
      <c r="N1990">
        <v>0</v>
      </c>
      <c r="O1990">
        <v>0</v>
      </c>
    </row>
    <row r="1991" spans="1:15" x14ac:dyDescent="0.35">
      <c r="A1991" t="s">
        <v>2380</v>
      </c>
      <c r="B1991" t="s">
        <v>213</v>
      </c>
      <c r="C1991" t="s">
        <v>1184</v>
      </c>
      <c r="D1991" t="s">
        <v>314</v>
      </c>
      <c r="E1991" t="s">
        <v>300</v>
      </c>
      <c r="F1991" t="s">
        <v>2394</v>
      </c>
      <c r="G1991">
        <v>0</v>
      </c>
      <c r="H1991">
        <v>0</v>
      </c>
      <c r="I1991">
        <v>0</v>
      </c>
      <c r="J1991">
        <v>0</v>
      </c>
      <c r="K1991">
        <v>0</v>
      </c>
      <c r="L1991">
        <v>0</v>
      </c>
      <c r="M1991">
        <v>0</v>
      </c>
      <c r="N1991">
        <v>0</v>
      </c>
      <c r="O1991">
        <v>0</v>
      </c>
    </row>
    <row r="1992" spans="1:15" x14ac:dyDescent="0.35">
      <c r="A1992" t="s">
        <v>2380</v>
      </c>
      <c r="B1992" t="s">
        <v>213</v>
      </c>
      <c r="C1992" t="s">
        <v>1184</v>
      </c>
      <c r="D1992" t="s">
        <v>314</v>
      </c>
      <c r="E1992" t="s">
        <v>306</v>
      </c>
      <c r="F1992" t="s">
        <v>2395</v>
      </c>
      <c r="G1992">
        <v>0</v>
      </c>
      <c r="H1992">
        <v>0</v>
      </c>
      <c r="I1992">
        <v>0</v>
      </c>
      <c r="J1992">
        <v>0</v>
      </c>
      <c r="K1992">
        <v>0</v>
      </c>
      <c r="L1992">
        <v>0</v>
      </c>
      <c r="M1992">
        <v>0</v>
      </c>
      <c r="N1992">
        <v>0</v>
      </c>
      <c r="O1992">
        <v>0</v>
      </c>
    </row>
    <row r="1993" spans="1:15" x14ac:dyDescent="0.35">
      <c r="A1993" t="s">
        <v>2380</v>
      </c>
      <c r="B1993" t="s">
        <v>213</v>
      </c>
      <c r="C1993" t="s">
        <v>1184</v>
      </c>
      <c r="D1993" t="s">
        <v>314</v>
      </c>
      <c r="E1993" t="s">
        <v>308</v>
      </c>
      <c r="F1993" t="s">
        <v>2396</v>
      </c>
      <c r="G1993">
        <v>0</v>
      </c>
      <c r="H1993">
        <v>0</v>
      </c>
      <c r="I1993">
        <v>0</v>
      </c>
      <c r="J1993">
        <v>0</v>
      </c>
      <c r="K1993">
        <v>0</v>
      </c>
      <c r="L1993">
        <v>0</v>
      </c>
      <c r="M1993">
        <v>0</v>
      </c>
      <c r="N1993">
        <v>0</v>
      </c>
      <c r="O1993">
        <v>0</v>
      </c>
    </row>
    <row r="1994" spans="1:15" x14ac:dyDescent="0.35">
      <c r="A1994" t="s">
        <v>2380</v>
      </c>
      <c r="B1994" t="s">
        <v>213</v>
      </c>
      <c r="C1994" t="s">
        <v>1184</v>
      </c>
      <c r="D1994" t="s">
        <v>314</v>
      </c>
      <c r="E1994" t="s">
        <v>312</v>
      </c>
      <c r="F1994" t="s">
        <v>2397</v>
      </c>
      <c r="G1994">
        <v>74</v>
      </c>
      <c r="H1994">
        <v>14413.46</v>
      </c>
      <c r="I1994">
        <v>194.78</v>
      </c>
      <c r="J1994">
        <v>88</v>
      </c>
      <c r="K1994">
        <v>17353.57</v>
      </c>
      <c r="L1994">
        <v>197.2</v>
      </c>
      <c r="M1994">
        <v>162</v>
      </c>
      <c r="N1994">
        <v>31767.03</v>
      </c>
      <c r="O1994">
        <v>196.09</v>
      </c>
    </row>
    <row r="1995" spans="1:15" x14ac:dyDescent="0.35">
      <c r="A1995" t="s">
        <v>2380</v>
      </c>
      <c r="B1995" t="s">
        <v>213</v>
      </c>
      <c r="C1995" t="s">
        <v>1184</v>
      </c>
      <c r="D1995" t="s">
        <v>314</v>
      </c>
      <c r="E1995" t="s">
        <v>310</v>
      </c>
      <c r="F1995" t="s">
        <v>2398</v>
      </c>
      <c r="G1995">
        <v>74</v>
      </c>
      <c r="H1995">
        <v>14413.46</v>
      </c>
      <c r="I1995">
        <v>194.78</v>
      </c>
      <c r="J1995">
        <v>88</v>
      </c>
      <c r="K1995">
        <v>17353.57</v>
      </c>
      <c r="L1995">
        <v>197.2</v>
      </c>
      <c r="M1995">
        <v>162</v>
      </c>
      <c r="N1995">
        <v>31767.03</v>
      </c>
      <c r="O1995">
        <v>196.09</v>
      </c>
    </row>
    <row r="1996" spans="1:15" x14ac:dyDescent="0.35">
      <c r="A1996" t="s">
        <v>2380</v>
      </c>
      <c r="B1996" t="s">
        <v>213</v>
      </c>
      <c r="C1996" t="s">
        <v>1184</v>
      </c>
      <c r="D1996" t="s">
        <v>323</v>
      </c>
      <c r="E1996" t="s">
        <v>294</v>
      </c>
      <c r="F1996" t="s">
        <v>2399</v>
      </c>
      <c r="G1996">
        <v>2941</v>
      </c>
      <c r="H1996">
        <v>291631.17</v>
      </c>
      <c r="I1996">
        <v>99.16</v>
      </c>
      <c r="J1996">
        <v>656</v>
      </c>
      <c r="K1996">
        <v>62707.040000000001</v>
      </c>
      <c r="L1996">
        <v>95.59</v>
      </c>
      <c r="M1996">
        <v>3597</v>
      </c>
      <c r="N1996">
        <v>354338.20999999996</v>
      </c>
      <c r="O1996">
        <v>98.51</v>
      </c>
    </row>
    <row r="1997" spans="1:15" x14ac:dyDescent="0.35">
      <c r="A1997" t="s">
        <v>2380</v>
      </c>
      <c r="B1997" t="s">
        <v>213</v>
      </c>
      <c r="C1997" t="s">
        <v>1184</v>
      </c>
      <c r="D1997" t="s">
        <v>323</v>
      </c>
      <c r="E1997" t="s">
        <v>296</v>
      </c>
      <c r="F1997" t="s">
        <v>2400</v>
      </c>
      <c r="G1997">
        <v>8107</v>
      </c>
      <c r="H1997">
        <v>955252.93000000017</v>
      </c>
      <c r="I1997">
        <v>117.83</v>
      </c>
      <c r="J1997">
        <v>1961</v>
      </c>
      <c r="K1997">
        <v>212827.33000000002</v>
      </c>
      <c r="L1997">
        <v>108.53</v>
      </c>
      <c r="M1997">
        <v>10068</v>
      </c>
      <c r="N1997">
        <v>1168080.2600000002</v>
      </c>
      <c r="O1997">
        <v>116.02</v>
      </c>
    </row>
    <row r="1998" spans="1:15" x14ac:dyDescent="0.35">
      <c r="A1998" t="s">
        <v>2380</v>
      </c>
      <c r="B1998" t="s">
        <v>213</v>
      </c>
      <c r="C1998" t="s">
        <v>1184</v>
      </c>
      <c r="D1998" t="s">
        <v>323</v>
      </c>
      <c r="E1998" t="s">
        <v>298</v>
      </c>
      <c r="F1998" t="s">
        <v>2401</v>
      </c>
      <c r="G1998">
        <v>7018</v>
      </c>
      <c r="H1998">
        <v>918133.17</v>
      </c>
      <c r="I1998">
        <v>130.83000000000001</v>
      </c>
      <c r="J1998">
        <v>1695</v>
      </c>
      <c r="K1998">
        <v>200569.35</v>
      </c>
      <c r="L1998">
        <v>118.33</v>
      </c>
      <c r="M1998">
        <v>8713</v>
      </c>
      <c r="N1998">
        <v>1118702.52</v>
      </c>
      <c r="O1998">
        <v>128.38999999999999</v>
      </c>
    </row>
    <row r="1999" spans="1:15" x14ac:dyDescent="0.35">
      <c r="A1999" t="s">
        <v>2380</v>
      </c>
      <c r="B1999" t="s">
        <v>213</v>
      </c>
      <c r="C1999" t="s">
        <v>1184</v>
      </c>
      <c r="D1999" t="s">
        <v>323</v>
      </c>
      <c r="E1999" t="s">
        <v>300</v>
      </c>
      <c r="F1999" t="s">
        <v>2402</v>
      </c>
      <c r="G1999">
        <v>565</v>
      </c>
      <c r="H1999">
        <v>83434.010000000009</v>
      </c>
      <c r="I1999">
        <v>147.66999999999999</v>
      </c>
      <c r="J1999">
        <v>130</v>
      </c>
      <c r="K1999">
        <v>16173.3</v>
      </c>
      <c r="L1999">
        <v>124.41</v>
      </c>
      <c r="M1999">
        <v>695</v>
      </c>
      <c r="N1999">
        <v>99607.310000000012</v>
      </c>
      <c r="O1999">
        <v>143.32</v>
      </c>
    </row>
    <row r="2000" spans="1:15" x14ac:dyDescent="0.35">
      <c r="A2000" t="s">
        <v>2380</v>
      </c>
      <c r="B2000" t="s">
        <v>213</v>
      </c>
      <c r="C2000" t="s">
        <v>1184</v>
      </c>
      <c r="D2000" t="s">
        <v>323</v>
      </c>
      <c r="E2000" t="s">
        <v>302</v>
      </c>
      <c r="F2000" t="s">
        <v>2403</v>
      </c>
      <c r="G2000">
        <v>21</v>
      </c>
      <c r="H2000">
        <v>3227.57</v>
      </c>
      <c r="I2000">
        <v>153.69</v>
      </c>
      <c r="J2000">
        <v>0</v>
      </c>
      <c r="K2000">
        <v>0</v>
      </c>
      <c r="L2000">
        <v>0</v>
      </c>
      <c r="M2000">
        <v>21</v>
      </c>
      <c r="N2000">
        <v>3227.57</v>
      </c>
      <c r="O2000">
        <v>153.69</v>
      </c>
    </row>
    <row r="2001" spans="1:15" x14ac:dyDescent="0.35">
      <c r="A2001" t="s">
        <v>2380</v>
      </c>
      <c r="B2001" t="s">
        <v>213</v>
      </c>
      <c r="C2001" t="s">
        <v>1184</v>
      </c>
      <c r="D2001" t="s">
        <v>323</v>
      </c>
      <c r="E2001" t="s">
        <v>304</v>
      </c>
      <c r="F2001" t="s">
        <v>2404</v>
      </c>
      <c r="G2001">
        <v>9</v>
      </c>
      <c r="H2001">
        <v>1362.69</v>
      </c>
      <c r="I2001">
        <v>151.41</v>
      </c>
      <c r="J2001">
        <v>2</v>
      </c>
      <c r="K2001">
        <v>299.2</v>
      </c>
      <c r="L2001">
        <v>149.6</v>
      </c>
      <c r="M2001">
        <v>11</v>
      </c>
      <c r="N2001">
        <v>1661.89</v>
      </c>
      <c r="O2001">
        <v>151.08000000000001</v>
      </c>
    </row>
    <row r="2002" spans="1:15" x14ac:dyDescent="0.35">
      <c r="A2002" t="s">
        <v>2380</v>
      </c>
      <c r="B2002" t="s">
        <v>213</v>
      </c>
      <c r="C2002" t="s">
        <v>1184</v>
      </c>
      <c r="D2002" t="s">
        <v>323</v>
      </c>
      <c r="E2002" t="s">
        <v>306</v>
      </c>
      <c r="F2002" t="s">
        <v>2405</v>
      </c>
      <c r="G2002">
        <v>129</v>
      </c>
      <c r="H2002">
        <v>10626.4</v>
      </c>
      <c r="I2002">
        <v>82.38</v>
      </c>
      <c r="J2002">
        <v>70</v>
      </c>
      <c r="K2002">
        <v>5936</v>
      </c>
      <c r="L2002">
        <v>84.8</v>
      </c>
      <c r="M2002">
        <v>199</v>
      </c>
      <c r="N2002">
        <v>16562.400000000001</v>
      </c>
      <c r="O2002">
        <v>83.23</v>
      </c>
    </row>
    <row r="2003" spans="1:15" x14ac:dyDescent="0.35">
      <c r="A2003" t="s">
        <v>2380</v>
      </c>
      <c r="B2003" t="s">
        <v>213</v>
      </c>
      <c r="C2003" t="s">
        <v>1184</v>
      </c>
      <c r="D2003" t="s">
        <v>323</v>
      </c>
      <c r="E2003" t="s">
        <v>308</v>
      </c>
      <c r="F2003" t="s">
        <v>2406</v>
      </c>
      <c r="G2003">
        <v>0</v>
      </c>
      <c r="H2003">
        <v>0</v>
      </c>
      <c r="I2003">
        <v>0</v>
      </c>
      <c r="J2003">
        <v>0</v>
      </c>
      <c r="K2003">
        <v>0</v>
      </c>
      <c r="L2003">
        <v>0</v>
      </c>
      <c r="M2003">
        <v>0</v>
      </c>
      <c r="N2003">
        <v>0</v>
      </c>
      <c r="O2003">
        <v>0</v>
      </c>
    </row>
    <row r="2004" spans="1:15" x14ac:dyDescent="0.35">
      <c r="A2004" t="s">
        <v>2380</v>
      </c>
      <c r="B2004" t="s">
        <v>213</v>
      </c>
      <c r="C2004" t="s">
        <v>1184</v>
      </c>
      <c r="D2004" t="s">
        <v>323</v>
      </c>
      <c r="E2004" t="s">
        <v>310</v>
      </c>
      <c r="F2004" t="s">
        <v>2407</v>
      </c>
      <c r="G2004">
        <v>18790</v>
      </c>
      <c r="H2004">
        <v>2263667.94</v>
      </c>
      <c r="I2004">
        <v>120.47</v>
      </c>
      <c r="J2004">
        <v>4514</v>
      </c>
      <c r="K2004">
        <v>498512.22</v>
      </c>
      <c r="L2004">
        <v>110.44</v>
      </c>
      <c r="M2004">
        <v>23304</v>
      </c>
      <c r="N2004">
        <v>2762180.16</v>
      </c>
      <c r="O2004">
        <v>118.53</v>
      </c>
    </row>
    <row r="2005" spans="1:15" x14ac:dyDescent="0.35">
      <c r="A2005" t="s">
        <v>2380</v>
      </c>
      <c r="B2005" t="s">
        <v>213</v>
      </c>
      <c r="C2005" t="s">
        <v>1184</v>
      </c>
      <c r="D2005" t="s">
        <v>323</v>
      </c>
      <c r="E2005" t="s">
        <v>312</v>
      </c>
      <c r="F2005" t="s">
        <v>2408</v>
      </c>
      <c r="G2005">
        <v>18790</v>
      </c>
      <c r="H2005">
        <v>2263667.94</v>
      </c>
      <c r="I2005">
        <v>120.47</v>
      </c>
      <c r="J2005">
        <v>4514</v>
      </c>
      <c r="K2005">
        <v>498512.22</v>
      </c>
      <c r="L2005">
        <v>110.44</v>
      </c>
      <c r="M2005">
        <v>23304</v>
      </c>
      <c r="N2005">
        <v>2762180.16</v>
      </c>
      <c r="O2005">
        <v>118.53</v>
      </c>
    </row>
    <row r="2006" spans="1:15" x14ac:dyDescent="0.35">
      <c r="A2006" t="s">
        <v>2380</v>
      </c>
      <c r="B2006" t="s">
        <v>213</v>
      </c>
      <c r="C2006" t="s">
        <v>1184</v>
      </c>
      <c r="D2006" t="s">
        <v>334</v>
      </c>
      <c r="E2006" t="s">
        <v>312</v>
      </c>
      <c r="F2006" t="s">
        <v>2409</v>
      </c>
      <c r="G2006">
        <v>23374</v>
      </c>
      <c r="H2006">
        <v>2950047.2600000002</v>
      </c>
      <c r="I2006">
        <v>128.96</v>
      </c>
      <c r="J2006">
        <v>4725</v>
      </c>
      <c r="K2006">
        <v>532842.84</v>
      </c>
      <c r="L2006">
        <v>112.77</v>
      </c>
      <c r="M2006">
        <v>28099</v>
      </c>
      <c r="N2006">
        <v>3482890.1</v>
      </c>
      <c r="O2006">
        <v>126.19</v>
      </c>
    </row>
    <row r="2007" spans="1:15" x14ac:dyDescent="0.35">
      <c r="A2007" t="s">
        <v>2380</v>
      </c>
      <c r="B2007" t="s">
        <v>213</v>
      </c>
      <c r="C2007" t="s">
        <v>1184</v>
      </c>
      <c r="D2007" t="s">
        <v>334</v>
      </c>
      <c r="E2007" t="s">
        <v>308</v>
      </c>
      <c r="F2007" t="s">
        <v>2410</v>
      </c>
      <c r="G2007">
        <v>0</v>
      </c>
      <c r="H2007">
        <v>0</v>
      </c>
      <c r="I2007">
        <v>0</v>
      </c>
      <c r="J2007">
        <v>0</v>
      </c>
      <c r="K2007">
        <v>0</v>
      </c>
      <c r="L2007">
        <v>0</v>
      </c>
      <c r="M2007">
        <v>0</v>
      </c>
      <c r="N2007">
        <v>0</v>
      </c>
      <c r="O2007">
        <v>0</v>
      </c>
    </row>
    <row r="2008" spans="1:15" x14ac:dyDescent="0.35">
      <c r="A2008" t="s">
        <v>2380</v>
      </c>
      <c r="B2008" t="s">
        <v>213</v>
      </c>
      <c r="C2008" t="s">
        <v>1184</v>
      </c>
      <c r="D2008" t="s">
        <v>337</v>
      </c>
      <c r="E2008" t="s">
        <v>337</v>
      </c>
      <c r="F2008" t="s">
        <v>2411</v>
      </c>
      <c r="G2008">
        <v>2890</v>
      </c>
      <c r="J2008">
        <v>25</v>
      </c>
      <c r="M2008">
        <v>2915</v>
      </c>
    </row>
    <row r="2009" spans="1:15" x14ac:dyDescent="0.35">
      <c r="A2009" t="s">
        <v>2380</v>
      </c>
      <c r="B2009" t="s">
        <v>213</v>
      </c>
      <c r="C2009" t="s">
        <v>1184</v>
      </c>
      <c r="D2009" t="s">
        <v>339</v>
      </c>
      <c r="E2009" t="s">
        <v>294</v>
      </c>
      <c r="F2009" t="s">
        <v>2412</v>
      </c>
      <c r="G2009">
        <v>1402</v>
      </c>
      <c r="H2009">
        <v>159646.82</v>
      </c>
      <c r="I2009">
        <v>113.87</v>
      </c>
      <c r="J2009">
        <v>432</v>
      </c>
      <c r="K2009">
        <v>39234.239999999998</v>
      </c>
      <c r="L2009">
        <v>90.82</v>
      </c>
      <c r="M2009">
        <v>1834</v>
      </c>
      <c r="N2009">
        <v>198881.06</v>
      </c>
      <c r="O2009">
        <v>108.44</v>
      </c>
    </row>
    <row r="2010" spans="1:15" x14ac:dyDescent="0.35">
      <c r="A2010" t="s">
        <v>2380</v>
      </c>
      <c r="B2010" t="s">
        <v>213</v>
      </c>
      <c r="C2010" t="s">
        <v>1184</v>
      </c>
      <c r="D2010" t="s">
        <v>339</v>
      </c>
      <c r="E2010" t="s">
        <v>296</v>
      </c>
      <c r="F2010" t="s">
        <v>2413</v>
      </c>
      <c r="G2010">
        <v>1168</v>
      </c>
      <c r="H2010">
        <v>151578.87</v>
      </c>
      <c r="I2010">
        <v>129.78</v>
      </c>
      <c r="J2010">
        <v>58</v>
      </c>
      <c r="K2010">
        <v>5776.7999999999993</v>
      </c>
      <c r="L2010">
        <v>99.6</v>
      </c>
      <c r="M2010">
        <v>1226</v>
      </c>
      <c r="N2010">
        <v>157355.66999999998</v>
      </c>
      <c r="O2010">
        <v>128.35</v>
      </c>
    </row>
    <row r="2011" spans="1:15" x14ac:dyDescent="0.35">
      <c r="A2011" t="s">
        <v>2380</v>
      </c>
      <c r="B2011" t="s">
        <v>213</v>
      </c>
      <c r="C2011" t="s">
        <v>1184</v>
      </c>
      <c r="D2011" t="s">
        <v>339</v>
      </c>
      <c r="E2011" t="s">
        <v>298</v>
      </c>
      <c r="F2011" t="s">
        <v>2414</v>
      </c>
      <c r="G2011">
        <v>26</v>
      </c>
      <c r="H2011">
        <v>4294.75</v>
      </c>
      <c r="I2011">
        <v>165.18</v>
      </c>
      <c r="J2011">
        <v>0</v>
      </c>
      <c r="K2011">
        <v>0</v>
      </c>
      <c r="L2011">
        <v>0</v>
      </c>
      <c r="M2011">
        <v>26</v>
      </c>
      <c r="N2011">
        <v>4294.75</v>
      </c>
      <c r="O2011">
        <v>165.18</v>
      </c>
    </row>
    <row r="2012" spans="1:15" x14ac:dyDescent="0.35">
      <c r="A2012" t="s">
        <v>2380</v>
      </c>
      <c r="B2012" t="s">
        <v>213</v>
      </c>
      <c r="C2012" t="s">
        <v>1184</v>
      </c>
      <c r="D2012" t="s">
        <v>339</v>
      </c>
      <c r="E2012" t="s">
        <v>300</v>
      </c>
      <c r="F2012" t="s">
        <v>2415</v>
      </c>
      <c r="G2012">
        <v>2</v>
      </c>
      <c r="H2012">
        <v>298.8</v>
      </c>
      <c r="I2012">
        <v>149.4</v>
      </c>
      <c r="J2012">
        <v>0</v>
      </c>
      <c r="K2012">
        <v>0</v>
      </c>
      <c r="L2012">
        <v>0</v>
      </c>
      <c r="M2012">
        <v>2</v>
      </c>
      <c r="N2012">
        <v>298.8</v>
      </c>
      <c r="O2012">
        <v>149.4</v>
      </c>
    </row>
    <row r="2013" spans="1:15" x14ac:dyDescent="0.35">
      <c r="A2013" t="s">
        <v>2380</v>
      </c>
      <c r="B2013" t="s">
        <v>213</v>
      </c>
      <c r="C2013" t="s">
        <v>1184</v>
      </c>
      <c r="D2013" t="s">
        <v>339</v>
      </c>
      <c r="E2013" t="s">
        <v>306</v>
      </c>
      <c r="F2013" t="s">
        <v>2416</v>
      </c>
      <c r="G2013">
        <v>220</v>
      </c>
      <c r="H2013">
        <v>20618.410000000003</v>
      </c>
      <c r="I2013">
        <v>93.72</v>
      </c>
      <c r="J2013">
        <v>23</v>
      </c>
      <c r="K2013">
        <v>1799.98</v>
      </c>
      <c r="L2013">
        <v>78.260000000000005</v>
      </c>
      <c r="M2013">
        <v>243</v>
      </c>
      <c r="N2013">
        <v>22418.390000000003</v>
      </c>
      <c r="O2013">
        <v>92.26</v>
      </c>
    </row>
    <row r="2014" spans="1:15" x14ac:dyDescent="0.35">
      <c r="A2014" t="s">
        <v>2380</v>
      </c>
      <c r="B2014" t="s">
        <v>213</v>
      </c>
      <c r="C2014" t="s">
        <v>1184</v>
      </c>
      <c r="D2014" t="s">
        <v>339</v>
      </c>
      <c r="E2014" t="s">
        <v>308</v>
      </c>
      <c r="F2014" t="s">
        <v>2417</v>
      </c>
      <c r="G2014">
        <v>331</v>
      </c>
      <c r="H2014">
        <v>42119.06</v>
      </c>
      <c r="I2014">
        <v>127.25</v>
      </c>
      <c r="J2014">
        <v>0</v>
      </c>
      <c r="K2014">
        <v>0</v>
      </c>
      <c r="L2014">
        <v>0</v>
      </c>
      <c r="M2014">
        <v>331</v>
      </c>
      <c r="N2014">
        <v>42119.06</v>
      </c>
      <c r="O2014">
        <v>127.25</v>
      </c>
    </row>
    <row r="2015" spans="1:15" x14ac:dyDescent="0.35">
      <c r="A2015" t="s">
        <v>2380</v>
      </c>
      <c r="B2015" t="s">
        <v>213</v>
      </c>
      <c r="C2015" t="s">
        <v>1184</v>
      </c>
      <c r="D2015" t="s">
        <v>339</v>
      </c>
      <c r="E2015" t="s">
        <v>310</v>
      </c>
      <c r="F2015" t="s">
        <v>2418</v>
      </c>
      <c r="G2015">
        <v>3149</v>
      </c>
      <c r="H2015">
        <v>378556.71</v>
      </c>
      <c r="I2015">
        <v>120.21</v>
      </c>
      <c r="J2015">
        <v>513</v>
      </c>
      <c r="K2015">
        <v>46811.02</v>
      </c>
      <c r="L2015">
        <v>91.25</v>
      </c>
      <c r="M2015">
        <v>3662</v>
      </c>
      <c r="N2015">
        <v>425367.73000000004</v>
      </c>
      <c r="O2015">
        <v>116.16</v>
      </c>
    </row>
    <row r="2016" spans="1:15" x14ac:dyDescent="0.35">
      <c r="A2016" t="s">
        <v>2380</v>
      </c>
      <c r="B2016" t="s">
        <v>213</v>
      </c>
      <c r="C2016" t="s">
        <v>1184</v>
      </c>
      <c r="D2016" t="s">
        <v>339</v>
      </c>
      <c r="E2016" t="s">
        <v>312</v>
      </c>
      <c r="F2016" t="s">
        <v>2419</v>
      </c>
      <c r="G2016">
        <v>2818</v>
      </c>
      <c r="H2016">
        <v>336437.65</v>
      </c>
      <c r="I2016">
        <v>119.39</v>
      </c>
      <c r="J2016">
        <v>513</v>
      </c>
      <c r="K2016">
        <v>46811.02</v>
      </c>
      <c r="L2016">
        <v>91.25</v>
      </c>
      <c r="M2016">
        <v>3331</v>
      </c>
      <c r="N2016">
        <v>383248.67000000004</v>
      </c>
      <c r="O2016">
        <v>115.06</v>
      </c>
    </row>
    <row r="2017" spans="1:15" x14ac:dyDescent="0.35">
      <c r="A2017" t="s">
        <v>2380</v>
      </c>
      <c r="B2017" t="s">
        <v>213</v>
      </c>
      <c r="C2017" t="s">
        <v>1184</v>
      </c>
      <c r="D2017" t="s">
        <v>348</v>
      </c>
      <c r="E2017" t="s">
        <v>349</v>
      </c>
      <c r="F2017" t="s">
        <v>2420</v>
      </c>
      <c r="G2017">
        <v>3608</v>
      </c>
      <c r="H2017">
        <v>392970.17</v>
      </c>
      <c r="I2017">
        <v>121.93</v>
      </c>
      <c r="J2017">
        <v>601</v>
      </c>
      <c r="K2017">
        <v>64164.590000000004</v>
      </c>
      <c r="L2017">
        <v>106.76</v>
      </c>
      <c r="M2017">
        <v>4209</v>
      </c>
      <c r="N2017">
        <v>457134.76</v>
      </c>
      <c r="O2017">
        <v>119.54</v>
      </c>
    </row>
    <row r="2018" spans="1:15" x14ac:dyDescent="0.35">
      <c r="A2018" t="s">
        <v>2421</v>
      </c>
      <c r="B2018" t="s">
        <v>2422</v>
      </c>
      <c r="C2018" t="s">
        <v>1477</v>
      </c>
      <c r="D2018" t="s">
        <v>293</v>
      </c>
      <c r="E2018" t="s">
        <v>294</v>
      </c>
      <c r="F2018" t="s">
        <v>2423</v>
      </c>
      <c r="G2018">
        <v>321</v>
      </c>
      <c r="H2018">
        <v>42471.31</v>
      </c>
      <c r="I2018">
        <v>132.31</v>
      </c>
      <c r="J2018">
        <v>0</v>
      </c>
      <c r="K2018">
        <v>0</v>
      </c>
      <c r="L2018">
        <v>0</v>
      </c>
      <c r="M2018">
        <v>321</v>
      </c>
      <c r="N2018">
        <v>42471.31</v>
      </c>
      <c r="O2018">
        <v>132.31</v>
      </c>
    </row>
    <row r="2019" spans="1:15" x14ac:dyDescent="0.35">
      <c r="A2019" t="s">
        <v>2421</v>
      </c>
      <c r="B2019" t="s">
        <v>2422</v>
      </c>
      <c r="C2019" t="s">
        <v>1477</v>
      </c>
      <c r="D2019" t="s">
        <v>293</v>
      </c>
      <c r="E2019" t="s">
        <v>296</v>
      </c>
      <c r="F2019" t="s">
        <v>2424</v>
      </c>
      <c r="G2019">
        <v>905</v>
      </c>
      <c r="H2019">
        <v>153946.53</v>
      </c>
      <c r="I2019">
        <v>170.11</v>
      </c>
      <c r="J2019">
        <v>0</v>
      </c>
      <c r="K2019">
        <v>0</v>
      </c>
      <c r="L2019">
        <v>0</v>
      </c>
      <c r="M2019">
        <v>905</v>
      </c>
      <c r="N2019">
        <v>153946.53</v>
      </c>
      <c r="O2019">
        <v>170.11</v>
      </c>
    </row>
    <row r="2020" spans="1:15" x14ac:dyDescent="0.35">
      <c r="A2020" t="s">
        <v>2421</v>
      </c>
      <c r="B2020" t="s">
        <v>2422</v>
      </c>
      <c r="C2020" t="s">
        <v>1477</v>
      </c>
      <c r="D2020" t="s">
        <v>293</v>
      </c>
      <c r="E2020" t="s">
        <v>298</v>
      </c>
      <c r="F2020" t="s">
        <v>2425</v>
      </c>
      <c r="G2020">
        <v>618</v>
      </c>
      <c r="H2020">
        <v>121463.26000000001</v>
      </c>
      <c r="I2020">
        <v>196.54</v>
      </c>
      <c r="J2020">
        <v>0</v>
      </c>
      <c r="K2020">
        <v>0</v>
      </c>
      <c r="L2020">
        <v>0</v>
      </c>
      <c r="M2020">
        <v>618</v>
      </c>
      <c r="N2020">
        <v>121463.26000000001</v>
      </c>
      <c r="O2020">
        <v>196.54</v>
      </c>
    </row>
    <row r="2021" spans="1:15" x14ac:dyDescent="0.35">
      <c r="A2021" t="s">
        <v>2421</v>
      </c>
      <c r="B2021" t="s">
        <v>2422</v>
      </c>
      <c r="C2021" t="s">
        <v>1477</v>
      </c>
      <c r="D2021" t="s">
        <v>293</v>
      </c>
      <c r="E2021" t="s">
        <v>300</v>
      </c>
      <c r="F2021" t="s">
        <v>2426</v>
      </c>
      <c r="G2021">
        <v>75</v>
      </c>
      <c r="H2021">
        <v>18169.86</v>
      </c>
      <c r="I2021">
        <v>242.26</v>
      </c>
      <c r="J2021">
        <v>0</v>
      </c>
      <c r="K2021">
        <v>0</v>
      </c>
      <c r="L2021">
        <v>0</v>
      </c>
      <c r="M2021">
        <v>75</v>
      </c>
      <c r="N2021">
        <v>18169.86</v>
      </c>
      <c r="O2021">
        <v>242.26</v>
      </c>
    </row>
    <row r="2022" spans="1:15" x14ac:dyDescent="0.35">
      <c r="A2022" t="s">
        <v>2421</v>
      </c>
      <c r="B2022" t="s">
        <v>2422</v>
      </c>
      <c r="C2022" t="s">
        <v>1477</v>
      </c>
      <c r="D2022" t="s">
        <v>293</v>
      </c>
      <c r="E2022" t="s">
        <v>302</v>
      </c>
      <c r="F2022" t="s">
        <v>2427</v>
      </c>
      <c r="G2022">
        <v>9</v>
      </c>
      <c r="H2022">
        <v>2219.91</v>
      </c>
      <c r="I2022">
        <v>246.66</v>
      </c>
      <c r="J2022">
        <v>0</v>
      </c>
      <c r="K2022">
        <v>0</v>
      </c>
      <c r="L2022">
        <v>0</v>
      </c>
      <c r="M2022">
        <v>9</v>
      </c>
      <c r="N2022">
        <v>2219.91</v>
      </c>
      <c r="O2022">
        <v>246.66</v>
      </c>
    </row>
    <row r="2023" spans="1:15" x14ac:dyDescent="0.35">
      <c r="A2023" t="s">
        <v>2421</v>
      </c>
      <c r="B2023" t="s">
        <v>2422</v>
      </c>
      <c r="C2023" t="s">
        <v>1477</v>
      </c>
      <c r="D2023" t="s">
        <v>293</v>
      </c>
      <c r="E2023" t="s">
        <v>304</v>
      </c>
      <c r="F2023" t="s">
        <v>2428</v>
      </c>
      <c r="G2023">
        <v>0</v>
      </c>
      <c r="H2023">
        <v>0</v>
      </c>
      <c r="I2023">
        <v>0</v>
      </c>
      <c r="J2023">
        <v>0</v>
      </c>
      <c r="K2023">
        <v>0</v>
      </c>
      <c r="L2023">
        <v>0</v>
      </c>
      <c r="M2023">
        <v>0</v>
      </c>
      <c r="N2023">
        <v>0</v>
      </c>
      <c r="O2023">
        <v>0</v>
      </c>
    </row>
    <row r="2024" spans="1:15" x14ac:dyDescent="0.35">
      <c r="A2024" t="s">
        <v>2421</v>
      </c>
      <c r="B2024" t="s">
        <v>2422</v>
      </c>
      <c r="C2024" t="s">
        <v>1477</v>
      </c>
      <c r="D2024" t="s">
        <v>293</v>
      </c>
      <c r="E2024" t="s">
        <v>306</v>
      </c>
      <c r="F2024" t="s">
        <v>2429</v>
      </c>
      <c r="G2024">
        <v>6</v>
      </c>
      <c r="H2024">
        <v>689.6</v>
      </c>
      <c r="I2024">
        <v>114.93</v>
      </c>
      <c r="J2024">
        <v>0</v>
      </c>
      <c r="K2024">
        <v>0</v>
      </c>
      <c r="L2024">
        <v>0</v>
      </c>
      <c r="M2024">
        <v>6</v>
      </c>
      <c r="N2024">
        <v>689.6</v>
      </c>
      <c r="O2024">
        <v>114.93</v>
      </c>
    </row>
    <row r="2025" spans="1:15" x14ac:dyDescent="0.35">
      <c r="A2025" t="s">
        <v>2421</v>
      </c>
      <c r="B2025" t="s">
        <v>2422</v>
      </c>
      <c r="C2025" t="s">
        <v>1477</v>
      </c>
      <c r="D2025" t="s">
        <v>293</v>
      </c>
      <c r="E2025" t="s">
        <v>308</v>
      </c>
      <c r="F2025" t="s">
        <v>2430</v>
      </c>
      <c r="G2025">
        <v>0</v>
      </c>
      <c r="H2025">
        <v>0</v>
      </c>
      <c r="I2025">
        <v>0</v>
      </c>
      <c r="J2025">
        <v>0</v>
      </c>
      <c r="K2025">
        <v>0</v>
      </c>
      <c r="L2025">
        <v>0</v>
      </c>
      <c r="M2025">
        <v>0</v>
      </c>
      <c r="N2025">
        <v>0</v>
      </c>
      <c r="O2025">
        <v>0</v>
      </c>
    </row>
    <row r="2026" spans="1:15" x14ac:dyDescent="0.35">
      <c r="A2026" t="s">
        <v>2421</v>
      </c>
      <c r="B2026" t="s">
        <v>2422</v>
      </c>
      <c r="C2026" t="s">
        <v>1477</v>
      </c>
      <c r="D2026" t="s">
        <v>293</v>
      </c>
      <c r="E2026" t="s">
        <v>310</v>
      </c>
      <c r="F2026" t="s">
        <v>2431</v>
      </c>
      <c r="G2026">
        <v>1934</v>
      </c>
      <c r="H2026">
        <v>338960.46999999991</v>
      </c>
      <c r="I2026">
        <v>175.26</v>
      </c>
      <c r="J2026">
        <v>0</v>
      </c>
      <c r="K2026">
        <v>0</v>
      </c>
      <c r="L2026">
        <v>0</v>
      </c>
      <c r="M2026">
        <v>1934</v>
      </c>
      <c r="N2026">
        <v>338960.46999999991</v>
      </c>
      <c r="O2026">
        <v>175.26</v>
      </c>
    </row>
    <row r="2027" spans="1:15" x14ac:dyDescent="0.35">
      <c r="A2027" t="s">
        <v>2421</v>
      </c>
      <c r="B2027" t="s">
        <v>2422</v>
      </c>
      <c r="C2027" t="s">
        <v>1477</v>
      </c>
      <c r="D2027" t="s">
        <v>293</v>
      </c>
      <c r="E2027" t="s">
        <v>312</v>
      </c>
      <c r="F2027" t="s">
        <v>2432</v>
      </c>
      <c r="G2027">
        <v>1934</v>
      </c>
      <c r="H2027">
        <v>338960.46999999991</v>
      </c>
      <c r="I2027">
        <v>175.26</v>
      </c>
      <c r="J2027">
        <v>0</v>
      </c>
      <c r="K2027">
        <v>0</v>
      </c>
      <c r="L2027">
        <v>0</v>
      </c>
      <c r="M2027">
        <v>1934</v>
      </c>
      <c r="N2027">
        <v>338960.46999999991</v>
      </c>
      <c r="O2027">
        <v>175.26</v>
      </c>
    </row>
    <row r="2028" spans="1:15" x14ac:dyDescent="0.35">
      <c r="A2028" t="s">
        <v>2421</v>
      </c>
      <c r="B2028" t="s">
        <v>2422</v>
      </c>
      <c r="C2028" t="s">
        <v>1477</v>
      </c>
      <c r="D2028" t="s">
        <v>314</v>
      </c>
      <c r="E2028" t="s">
        <v>294</v>
      </c>
      <c r="F2028" t="s">
        <v>2433</v>
      </c>
      <c r="G2028">
        <v>24</v>
      </c>
      <c r="H2028">
        <v>4060.08</v>
      </c>
      <c r="I2028">
        <v>169.17</v>
      </c>
      <c r="J2028">
        <v>20</v>
      </c>
      <c r="K2028">
        <v>3768.6000000000004</v>
      </c>
      <c r="L2028">
        <v>188.43</v>
      </c>
      <c r="M2028">
        <v>44</v>
      </c>
      <c r="N2028">
        <v>7828.68</v>
      </c>
      <c r="O2028">
        <v>177.92</v>
      </c>
    </row>
    <row r="2029" spans="1:15" x14ac:dyDescent="0.35">
      <c r="A2029" t="s">
        <v>2421</v>
      </c>
      <c r="B2029" t="s">
        <v>2422</v>
      </c>
      <c r="C2029" t="s">
        <v>1477</v>
      </c>
      <c r="D2029" t="s">
        <v>314</v>
      </c>
      <c r="E2029" t="s">
        <v>296</v>
      </c>
      <c r="F2029" t="s">
        <v>2434</v>
      </c>
      <c r="G2029">
        <v>0</v>
      </c>
      <c r="H2029">
        <v>0</v>
      </c>
      <c r="I2029">
        <v>0</v>
      </c>
      <c r="J2029">
        <v>0</v>
      </c>
      <c r="K2029">
        <v>0</v>
      </c>
      <c r="L2029">
        <v>0</v>
      </c>
      <c r="M2029">
        <v>0</v>
      </c>
      <c r="N2029">
        <v>0</v>
      </c>
      <c r="O2029">
        <v>0</v>
      </c>
    </row>
    <row r="2030" spans="1:15" x14ac:dyDescent="0.35">
      <c r="A2030" t="s">
        <v>2421</v>
      </c>
      <c r="B2030" t="s">
        <v>2422</v>
      </c>
      <c r="C2030" t="s">
        <v>1477</v>
      </c>
      <c r="D2030" t="s">
        <v>314</v>
      </c>
      <c r="E2030" t="s">
        <v>298</v>
      </c>
      <c r="F2030" t="s">
        <v>2435</v>
      </c>
      <c r="G2030">
        <v>0</v>
      </c>
      <c r="H2030">
        <v>0</v>
      </c>
      <c r="I2030">
        <v>0</v>
      </c>
      <c r="J2030">
        <v>0</v>
      </c>
      <c r="K2030">
        <v>0</v>
      </c>
      <c r="L2030">
        <v>0</v>
      </c>
      <c r="M2030">
        <v>0</v>
      </c>
      <c r="N2030">
        <v>0</v>
      </c>
      <c r="O2030">
        <v>0</v>
      </c>
    </row>
    <row r="2031" spans="1:15" x14ac:dyDescent="0.35">
      <c r="A2031" t="s">
        <v>2421</v>
      </c>
      <c r="B2031" t="s">
        <v>2422</v>
      </c>
      <c r="C2031" t="s">
        <v>1477</v>
      </c>
      <c r="D2031" t="s">
        <v>314</v>
      </c>
      <c r="E2031" t="s">
        <v>300</v>
      </c>
      <c r="F2031" t="s">
        <v>2436</v>
      </c>
      <c r="G2031">
        <v>0</v>
      </c>
      <c r="H2031">
        <v>0</v>
      </c>
      <c r="I2031">
        <v>0</v>
      </c>
      <c r="J2031">
        <v>0</v>
      </c>
      <c r="K2031">
        <v>0</v>
      </c>
      <c r="L2031">
        <v>0</v>
      </c>
      <c r="M2031">
        <v>0</v>
      </c>
      <c r="N2031">
        <v>0</v>
      </c>
      <c r="O2031">
        <v>0</v>
      </c>
    </row>
    <row r="2032" spans="1:15" x14ac:dyDescent="0.35">
      <c r="A2032" t="s">
        <v>2421</v>
      </c>
      <c r="B2032" t="s">
        <v>2422</v>
      </c>
      <c r="C2032" t="s">
        <v>1477</v>
      </c>
      <c r="D2032" t="s">
        <v>314</v>
      </c>
      <c r="E2032" t="s">
        <v>306</v>
      </c>
      <c r="F2032" t="s">
        <v>2437</v>
      </c>
      <c r="G2032">
        <v>0</v>
      </c>
      <c r="H2032">
        <v>0</v>
      </c>
      <c r="I2032">
        <v>0</v>
      </c>
      <c r="J2032">
        <v>0</v>
      </c>
      <c r="K2032">
        <v>0</v>
      </c>
      <c r="L2032">
        <v>0</v>
      </c>
      <c r="M2032">
        <v>0</v>
      </c>
      <c r="N2032">
        <v>0</v>
      </c>
      <c r="O2032">
        <v>0</v>
      </c>
    </row>
    <row r="2033" spans="1:15" x14ac:dyDescent="0.35">
      <c r="A2033" t="s">
        <v>2421</v>
      </c>
      <c r="B2033" t="s">
        <v>2422</v>
      </c>
      <c r="C2033" t="s">
        <v>1477</v>
      </c>
      <c r="D2033" t="s">
        <v>314</v>
      </c>
      <c r="E2033" t="s">
        <v>308</v>
      </c>
      <c r="F2033" t="s">
        <v>2438</v>
      </c>
      <c r="G2033">
        <v>0</v>
      </c>
      <c r="H2033">
        <v>0</v>
      </c>
      <c r="I2033">
        <v>0</v>
      </c>
      <c r="J2033">
        <v>0</v>
      </c>
      <c r="K2033">
        <v>0</v>
      </c>
      <c r="L2033">
        <v>0</v>
      </c>
      <c r="M2033">
        <v>0</v>
      </c>
      <c r="N2033">
        <v>0</v>
      </c>
      <c r="O2033">
        <v>0</v>
      </c>
    </row>
    <row r="2034" spans="1:15" x14ac:dyDescent="0.35">
      <c r="A2034" t="s">
        <v>2421</v>
      </c>
      <c r="B2034" t="s">
        <v>2422</v>
      </c>
      <c r="C2034" t="s">
        <v>1477</v>
      </c>
      <c r="D2034" t="s">
        <v>314</v>
      </c>
      <c r="E2034" t="s">
        <v>312</v>
      </c>
      <c r="F2034" t="s">
        <v>2439</v>
      </c>
      <c r="G2034">
        <v>24</v>
      </c>
      <c r="H2034">
        <v>4060.08</v>
      </c>
      <c r="I2034">
        <v>169.17</v>
      </c>
      <c r="J2034">
        <v>20</v>
      </c>
      <c r="K2034">
        <v>3768.6000000000004</v>
      </c>
      <c r="L2034">
        <v>188.43</v>
      </c>
      <c r="M2034">
        <v>44</v>
      </c>
      <c r="N2034">
        <v>7828.68</v>
      </c>
      <c r="O2034">
        <v>177.92</v>
      </c>
    </row>
    <row r="2035" spans="1:15" x14ac:dyDescent="0.35">
      <c r="A2035" t="s">
        <v>2421</v>
      </c>
      <c r="B2035" t="s">
        <v>2422</v>
      </c>
      <c r="C2035" t="s">
        <v>1477</v>
      </c>
      <c r="D2035" t="s">
        <v>314</v>
      </c>
      <c r="E2035" t="s">
        <v>310</v>
      </c>
      <c r="F2035" t="s">
        <v>2440</v>
      </c>
      <c r="G2035">
        <v>24</v>
      </c>
      <c r="H2035">
        <v>4060.08</v>
      </c>
      <c r="I2035">
        <v>169.17</v>
      </c>
      <c r="J2035">
        <v>20</v>
      </c>
      <c r="K2035">
        <v>3768.6000000000004</v>
      </c>
      <c r="L2035">
        <v>188.43</v>
      </c>
      <c r="M2035">
        <v>44</v>
      </c>
      <c r="N2035">
        <v>7828.68</v>
      </c>
      <c r="O2035">
        <v>177.92</v>
      </c>
    </row>
    <row r="2036" spans="1:15" x14ac:dyDescent="0.35">
      <c r="A2036" t="s">
        <v>2421</v>
      </c>
      <c r="B2036" t="s">
        <v>2422</v>
      </c>
      <c r="C2036" t="s">
        <v>1477</v>
      </c>
      <c r="D2036" t="s">
        <v>323</v>
      </c>
      <c r="E2036" t="s">
        <v>294</v>
      </c>
      <c r="F2036" t="s">
        <v>2441</v>
      </c>
      <c r="G2036">
        <v>2458</v>
      </c>
      <c r="H2036">
        <v>255316.47999999995</v>
      </c>
      <c r="I2036">
        <v>103.87</v>
      </c>
      <c r="J2036">
        <v>0</v>
      </c>
      <c r="K2036">
        <v>0</v>
      </c>
      <c r="L2036">
        <v>0</v>
      </c>
      <c r="M2036">
        <v>2458</v>
      </c>
      <c r="N2036">
        <v>255316.47999999995</v>
      </c>
      <c r="O2036">
        <v>103.87</v>
      </c>
    </row>
    <row r="2037" spans="1:15" x14ac:dyDescent="0.35">
      <c r="A2037" t="s">
        <v>2421</v>
      </c>
      <c r="B2037" t="s">
        <v>2422</v>
      </c>
      <c r="C2037" t="s">
        <v>1477</v>
      </c>
      <c r="D2037" t="s">
        <v>323</v>
      </c>
      <c r="E2037" t="s">
        <v>296</v>
      </c>
      <c r="F2037" t="s">
        <v>2442</v>
      </c>
      <c r="G2037">
        <v>3051</v>
      </c>
      <c r="H2037">
        <v>362560.14</v>
      </c>
      <c r="I2037">
        <v>118.83</v>
      </c>
      <c r="J2037">
        <v>0</v>
      </c>
      <c r="K2037">
        <v>0</v>
      </c>
      <c r="L2037">
        <v>0</v>
      </c>
      <c r="M2037">
        <v>3051</v>
      </c>
      <c r="N2037">
        <v>362560.14</v>
      </c>
      <c r="O2037">
        <v>118.83</v>
      </c>
    </row>
    <row r="2038" spans="1:15" x14ac:dyDescent="0.35">
      <c r="A2038" t="s">
        <v>2421</v>
      </c>
      <c r="B2038" t="s">
        <v>2422</v>
      </c>
      <c r="C2038" t="s">
        <v>1477</v>
      </c>
      <c r="D2038" t="s">
        <v>323</v>
      </c>
      <c r="E2038" t="s">
        <v>298</v>
      </c>
      <c r="F2038" t="s">
        <v>2443</v>
      </c>
      <c r="G2038">
        <v>3074</v>
      </c>
      <c r="H2038">
        <v>417247.13</v>
      </c>
      <c r="I2038">
        <v>135.72999999999999</v>
      </c>
      <c r="J2038">
        <v>0</v>
      </c>
      <c r="K2038">
        <v>0</v>
      </c>
      <c r="L2038">
        <v>0</v>
      </c>
      <c r="M2038">
        <v>3074</v>
      </c>
      <c r="N2038">
        <v>417247.13</v>
      </c>
      <c r="O2038">
        <v>135.72999999999999</v>
      </c>
    </row>
    <row r="2039" spans="1:15" x14ac:dyDescent="0.35">
      <c r="A2039" t="s">
        <v>2421</v>
      </c>
      <c r="B2039" t="s">
        <v>2422</v>
      </c>
      <c r="C2039" t="s">
        <v>1477</v>
      </c>
      <c r="D2039" t="s">
        <v>323</v>
      </c>
      <c r="E2039" t="s">
        <v>300</v>
      </c>
      <c r="F2039" t="s">
        <v>2444</v>
      </c>
      <c r="G2039">
        <v>348</v>
      </c>
      <c r="H2039">
        <v>53297.07</v>
      </c>
      <c r="I2039">
        <v>153.15</v>
      </c>
      <c r="J2039">
        <v>0</v>
      </c>
      <c r="K2039">
        <v>0</v>
      </c>
      <c r="L2039">
        <v>0</v>
      </c>
      <c r="M2039">
        <v>348</v>
      </c>
      <c r="N2039">
        <v>53297.07</v>
      </c>
      <c r="O2039">
        <v>153.15</v>
      </c>
    </row>
    <row r="2040" spans="1:15" x14ac:dyDescent="0.35">
      <c r="A2040" t="s">
        <v>2421</v>
      </c>
      <c r="B2040" t="s">
        <v>2422</v>
      </c>
      <c r="C2040" t="s">
        <v>1477</v>
      </c>
      <c r="D2040" t="s">
        <v>323</v>
      </c>
      <c r="E2040" t="s">
        <v>302</v>
      </c>
      <c r="F2040" t="s">
        <v>2445</v>
      </c>
      <c r="G2040">
        <v>60</v>
      </c>
      <c r="H2040">
        <v>10332.130000000001</v>
      </c>
      <c r="I2040">
        <v>172.2</v>
      </c>
      <c r="J2040">
        <v>0</v>
      </c>
      <c r="K2040">
        <v>0</v>
      </c>
      <c r="L2040">
        <v>0</v>
      </c>
      <c r="M2040">
        <v>60</v>
      </c>
      <c r="N2040">
        <v>10332.130000000001</v>
      </c>
      <c r="O2040">
        <v>172.2</v>
      </c>
    </row>
    <row r="2041" spans="1:15" x14ac:dyDescent="0.35">
      <c r="A2041" t="s">
        <v>2421</v>
      </c>
      <c r="B2041" t="s">
        <v>2422</v>
      </c>
      <c r="C2041" t="s">
        <v>1477</v>
      </c>
      <c r="D2041" t="s">
        <v>323</v>
      </c>
      <c r="E2041" t="s">
        <v>304</v>
      </c>
      <c r="F2041" t="s">
        <v>2446</v>
      </c>
      <c r="G2041">
        <v>4</v>
      </c>
      <c r="H2041">
        <v>679.44</v>
      </c>
      <c r="I2041">
        <v>169.86</v>
      </c>
      <c r="J2041">
        <v>0</v>
      </c>
      <c r="K2041">
        <v>0</v>
      </c>
      <c r="L2041">
        <v>0</v>
      </c>
      <c r="M2041">
        <v>4</v>
      </c>
      <c r="N2041">
        <v>679.44</v>
      </c>
      <c r="O2041">
        <v>169.86</v>
      </c>
    </row>
    <row r="2042" spans="1:15" x14ac:dyDescent="0.35">
      <c r="A2042" t="s">
        <v>2421</v>
      </c>
      <c r="B2042" t="s">
        <v>2422</v>
      </c>
      <c r="C2042" t="s">
        <v>1477</v>
      </c>
      <c r="D2042" t="s">
        <v>323</v>
      </c>
      <c r="E2042" t="s">
        <v>306</v>
      </c>
      <c r="F2042" t="s">
        <v>2447</v>
      </c>
      <c r="G2042">
        <v>208</v>
      </c>
      <c r="H2042">
        <v>19043.249999999996</v>
      </c>
      <c r="I2042">
        <v>91.55</v>
      </c>
      <c r="J2042">
        <v>0</v>
      </c>
      <c r="K2042">
        <v>0</v>
      </c>
      <c r="L2042">
        <v>0</v>
      </c>
      <c r="M2042">
        <v>208</v>
      </c>
      <c r="N2042">
        <v>19043.249999999996</v>
      </c>
      <c r="O2042">
        <v>91.55</v>
      </c>
    </row>
    <row r="2043" spans="1:15" x14ac:dyDescent="0.35">
      <c r="A2043" t="s">
        <v>2421</v>
      </c>
      <c r="B2043" t="s">
        <v>2422</v>
      </c>
      <c r="C2043" t="s">
        <v>1477</v>
      </c>
      <c r="D2043" t="s">
        <v>323</v>
      </c>
      <c r="E2043" t="s">
        <v>308</v>
      </c>
      <c r="F2043" t="s">
        <v>2448</v>
      </c>
      <c r="G2043">
        <v>0</v>
      </c>
      <c r="H2043">
        <v>0</v>
      </c>
      <c r="I2043">
        <v>0</v>
      </c>
      <c r="J2043">
        <v>0</v>
      </c>
      <c r="K2043">
        <v>0</v>
      </c>
      <c r="L2043">
        <v>0</v>
      </c>
      <c r="M2043">
        <v>0</v>
      </c>
      <c r="N2043">
        <v>0</v>
      </c>
      <c r="O2043">
        <v>0</v>
      </c>
    </row>
    <row r="2044" spans="1:15" x14ac:dyDescent="0.35">
      <c r="A2044" t="s">
        <v>2421</v>
      </c>
      <c r="B2044" t="s">
        <v>2422</v>
      </c>
      <c r="C2044" t="s">
        <v>1477</v>
      </c>
      <c r="D2044" t="s">
        <v>323</v>
      </c>
      <c r="E2044" t="s">
        <v>310</v>
      </c>
      <c r="F2044" t="s">
        <v>2449</v>
      </c>
      <c r="G2044">
        <v>9203</v>
      </c>
      <c r="H2044">
        <v>1118475.6399999999</v>
      </c>
      <c r="I2044">
        <v>121.53</v>
      </c>
      <c r="J2044">
        <v>0</v>
      </c>
      <c r="K2044">
        <v>0</v>
      </c>
      <c r="L2044">
        <v>0</v>
      </c>
      <c r="M2044">
        <v>9203</v>
      </c>
      <c r="N2044">
        <v>1118475.6399999999</v>
      </c>
      <c r="O2044">
        <v>121.53</v>
      </c>
    </row>
    <row r="2045" spans="1:15" x14ac:dyDescent="0.35">
      <c r="A2045" t="s">
        <v>2421</v>
      </c>
      <c r="B2045" t="s">
        <v>2422</v>
      </c>
      <c r="C2045" t="s">
        <v>1477</v>
      </c>
      <c r="D2045" t="s">
        <v>323</v>
      </c>
      <c r="E2045" t="s">
        <v>312</v>
      </c>
      <c r="F2045" t="s">
        <v>2450</v>
      </c>
      <c r="G2045">
        <v>9203</v>
      </c>
      <c r="H2045">
        <v>1118475.6399999999</v>
      </c>
      <c r="I2045">
        <v>121.53</v>
      </c>
      <c r="J2045">
        <v>0</v>
      </c>
      <c r="K2045">
        <v>0</v>
      </c>
      <c r="L2045">
        <v>0</v>
      </c>
      <c r="M2045">
        <v>9203</v>
      </c>
      <c r="N2045">
        <v>1118475.6399999999</v>
      </c>
      <c r="O2045">
        <v>121.53</v>
      </c>
    </row>
    <row r="2046" spans="1:15" x14ac:dyDescent="0.35">
      <c r="A2046" t="s">
        <v>2421</v>
      </c>
      <c r="B2046" t="s">
        <v>2422</v>
      </c>
      <c r="C2046" t="s">
        <v>1477</v>
      </c>
      <c r="D2046" t="s">
        <v>334</v>
      </c>
      <c r="E2046" t="s">
        <v>312</v>
      </c>
      <c r="F2046" t="s">
        <v>2451</v>
      </c>
      <c r="G2046">
        <v>11392</v>
      </c>
      <c r="H2046">
        <v>1457436.1099999996</v>
      </c>
      <c r="I2046">
        <v>130.86000000000001</v>
      </c>
      <c r="J2046">
        <v>0</v>
      </c>
      <c r="K2046">
        <v>0</v>
      </c>
      <c r="L2046">
        <v>0</v>
      </c>
      <c r="M2046">
        <v>11392</v>
      </c>
      <c r="N2046">
        <v>1457436.1099999996</v>
      </c>
      <c r="O2046">
        <v>130.86000000000001</v>
      </c>
    </row>
    <row r="2047" spans="1:15" x14ac:dyDescent="0.35">
      <c r="A2047" t="s">
        <v>2421</v>
      </c>
      <c r="B2047" t="s">
        <v>2422</v>
      </c>
      <c r="C2047" t="s">
        <v>1477</v>
      </c>
      <c r="D2047" t="s">
        <v>334</v>
      </c>
      <c r="E2047" t="s">
        <v>308</v>
      </c>
      <c r="F2047" t="s">
        <v>2452</v>
      </c>
      <c r="G2047">
        <v>66</v>
      </c>
      <c r="H2047">
        <v>0</v>
      </c>
      <c r="I2047">
        <v>0</v>
      </c>
      <c r="J2047">
        <v>0</v>
      </c>
      <c r="K2047">
        <v>0</v>
      </c>
      <c r="L2047">
        <v>0</v>
      </c>
      <c r="M2047">
        <v>66</v>
      </c>
      <c r="N2047">
        <v>0</v>
      </c>
      <c r="O2047">
        <v>0</v>
      </c>
    </row>
    <row r="2048" spans="1:15" x14ac:dyDescent="0.35">
      <c r="A2048" t="s">
        <v>2421</v>
      </c>
      <c r="B2048" t="s">
        <v>2422</v>
      </c>
      <c r="C2048" t="s">
        <v>1477</v>
      </c>
      <c r="D2048" t="s">
        <v>337</v>
      </c>
      <c r="E2048" t="s">
        <v>337</v>
      </c>
      <c r="F2048" t="s">
        <v>2453</v>
      </c>
      <c r="G2048">
        <v>1615</v>
      </c>
      <c r="J2048">
        <v>0</v>
      </c>
      <c r="M2048">
        <v>1615</v>
      </c>
    </row>
    <row r="2049" spans="1:15" x14ac:dyDescent="0.35">
      <c r="A2049" t="s">
        <v>2421</v>
      </c>
      <c r="B2049" t="s">
        <v>2422</v>
      </c>
      <c r="C2049" t="s">
        <v>1477</v>
      </c>
      <c r="D2049" t="s">
        <v>339</v>
      </c>
      <c r="E2049" t="s">
        <v>294</v>
      </c>
      <c r="F2049" t="s">
        <v>2454</v>
      </c>
      <c r="G2049">
        <v>902</v>
      </c>
      <c r="H2049">
        <v>116821.28000000003</v>
      </c>
      <c r="I2049">
        <v>129.51</v>
      </c>
      <c r="J2049">
        <v>0</v>
      </c>
      <c r="K2049">
        <v>0</v>
      </c>
      <c r="L2049">
        <v>0</v>
      </c>
      <c r="M2049">
        <v>902</v>
      </c>
      <c r="N2049">
        <v>116821.28000000003</v>
      </c>
      <c r="O2049">
        <v>129.51</v>
      </c>
    </row>
    <row r="2050" spans="1:15" x14ac:dyDescent="0.35">
      <c r="A2050" t="s">
        <v>2421</v>
      </c>
      <c r="B2050" t="s">
        <v>2422</v>
      </c>
      <c r="C2050" t="s">
        <v>1477</v>
      </c>
      <c r="D2050" t="s">
        <v>339</v>
      </c>
      <c r="E2050" t="s">
        <v>296</v>
      </c>
      <c r="F2050" t="s">
        <v>2455</v>
      </c>
      <c r="G2050">
        <v>169</v>
      </c>
      <c r="H2050">
        <v>25204.910000000003</v>
      </c>
      <c r="I2050">
        <v>149.13999999999999</v>
      </c>
      <c r="J2050">
        <v>0</v>
      </c>
      <c r="K2050">
        <v>0</v>
      </c>
      <c r="L2050">
        <v>0</v>
      </c>
      <c r="M2050">
        <v>169</v>
      </c>
      <c r="N2050">
        <v>25204.910000000003</v>
      </c>
      <c r="O2050">
        <v>149.13999999999999</v>
      </c>
    </row>
    <row r="2051" spans="1:15" x14ac:dyDescent="0.35">
      <c r="A2051" t="s">
        <v>2421</v>
      </c>
      <c r="B2051" t="s">
        <v>2422</v>
      </c>
      <c r="C2051" t="s">
        <v>1477</v>
      </c>
      <c r="D2051" t="s">
        <v>339</v>
      </c>
      <c r="E2051" t="s">
        <v>298</v>
      </c>
      <c r="F2051" t="s">
        <v>2456</v>
      </c>
      <c r="G2051">
        <v>12</v>
      </c>
      <c r="H2051">
        <v>1965.72</v>
      </c>
      <c r="I2051">
        <v>163.81</v>
      </c>
      <c r="J2051">
        <v>0</v>
      </c>
      <c r="K2051">
        <v>0</v>
      </c>
      <c r="L2051">
        <v>0</v>
      </c>
      <c r="M2051">
        <v>12</v>
      </c>
      <c r="N2051">
        <v>1965.72</v>
      </c>
      <c r="O2051">
        <v>163.81</v>
      </c>
    </row>
    <row r="2052" spans="1:15" x14ac:dyDescent="0.35">
      <c r="A2052" t="s">
        <v>2421</v>
      </c>
      <c r="B2052" t="s">
        <v>2422</v>
      </c>
      <c r="C2052" t="s">
        <v>1477</v>
      </c>
      <c r="D2052" t="s">
        <v>339</v>
      </c>
      <c r="E2052" t="s">
        <v>300</v>
      </c>
      <c r="F2052" t="s">
        <v>2457</v>
      </c>
      <c r="G2052">
        <v>0</v>
      </c>
      <c r="H2052">
        <v>0</v>
      </c>
      <c r="I2052">
        <v>0</v>
      </c>
      <c r="J2052">
        <v>0</v>
      </c>
      <c r="K2052">
        <v>0</v>
      </c>
      <c r="L2052">
        <v>0</v>
      </c>
      <c r="M2052">
        <v>0</v>
      </c>
      <c r="N2052">
        <v>0</v>
      </c>
      <c r="O2052">
        <v>0</v>
      </c>
    </row>
    <row r="2053" spans="1:15" x14ac:dyDescent="0.35">
      <c r="A2053" t="s">
        <v>2421</v>
      </c>
      <c r="B2053" t="s">
        <v>2422</v>
      </c>
      <c r="C2053" t="s">
        <v>1477</v>
      </c>
      <c r="D2053" t="s">
        <v>339</v>
      </c>
      <c r="E2053" t="s">
        <v>306</v>
      </c>
      <c r="F2053" t="s">
        <v>2458</v>
      </c>
      <c r="G2053">
        <v>97</v>
      </c>
      <c r="H2053">
        <v>10049.099999999999</v>
      </c>
      <c r="I2053">
        <v>103.6</v>
      </c>
      <c r="J2053">
        <v>0</v>
      </c>
      <c r="K2053">
        <v>0</v>
      </c>
      <c r="L2053">
        <v>0</v>
      </c>
      <c r="M2053">
        <v>97</v>
      </c>
      <c r="N2053">
        <v>10049.099999999999</v>
      </c>
      <c r="O2053">
        <v>103.6</v>
      </c>
    </row>
    <row r="2054" spans="1:15" x14ac:dyDescent="0.35">
      <c r="A2054" t="s">
        <v>2421</v>
      </c>
      <c r="B2054" t="s">
        <v>2422</v>
      </c>
      <c r="C2054" t="s">
        <v>1477</v>
      </c>
      <c r="D2054" t="s">
        <v>339</v>
      </c>
      <c r="E2054" t="s">
        <v>308</v>
      </c>
      <c r="F2054" t="s">
        <v>2459</v>
      </c>
      <c r="G2054">
        <v>78</v>
      </c>
      <c r="H2054">
        <v>9704.1200000000008</v>
      </c>
      <c r="I2054">
        <v>124.41</v>
      </c>
      <c r="J2054">
        <v>0</v>
      </c>
      <c r="K2054">
        <v>0</v>
      </c>
      <c r="L2054">
        <v>0</v>
      </c>
      <c r="M2054">
        <v>78</v>
      </c>
      <c r="N2054">
        <v>9704.1200000000008</v>
      </c>
      <c r="O2054">
        <v>124.41</v>
      </c>
    </row>
    <row r="2055" spans="1:15" x14ac:dyDescent="0.35">
      <c r="A2055" t="s">
        <v>2421</v>
      </c>
      <c r="B2055" t="s">
        <v>2422</v>
      </c>
      <c r="C2055" t="s">
        <v>1477</v>
      </c>
      <c r="D2055" t="s">
        <v>339</v>
      </c>
      <c r="E2055" t="s">
        <v>310</v>
      </c>
      <c r="F2055" t="s">
        <v>2460</v>
      </c>
      <c r="G2055">
        <v>1258</v>
      </c>
      <c r="H2055">
        <v>163745.13000000003</v>
      </c>
      <c r="I2055">
        <v>130.16</v>
      </c>
      <c r="J2055">
        <v>0</v>
      </c>
      <c r="K2055">
        <v>0</v>
      </c>
      <c r="L2055">
        <v>0</v>
      </c>
      <c r="M2055">
        <v>1258</v>
      </c>
      <c r="N2055">
        <v>163745.13000000003</v>
      </c>
      <c r="O2055">
        <v>130.16</v>
      </c>
    </row>
    <row r="2056" spans="1:15" x14ac:dyDescent="0.35">
      <c r="A2056" t="s">
        <v>2421</v>
      </c>
      <c r="B2056" t="s">
        <v>2422</v>
      </c>
      <c r="C2056" t="s">
        <v>1477</v>
      </c>
      <c r="D2056" t="s">
        <v>339</v>
      </c>
      <c r="E2056" t="s">
        <v>312</v>
      </c>
      <c r="F2056" t="s">
        <v>2461</v>
      </c>
      <c r="G2056">
        <v>1180</v>
      </c>
      <c r="H2056">
        <v>154041.01000000004</v>
      </c>
      <c r="I2056">
        <v>130.54</v>
      </c>
      <c r="J2056">
        <v>0</v>
      </c>
      <c r="K2056">
        <v>0</v>
      </c>
      <c r="L2056">
        <v>0</v>
      </c>
      <c r="M2056">
        <v>1180</v>
      </c>
      <c r="N2056">
        <v>154041.01000000004</v>
      </c>
      <c r="O2056">
        <v>130.54</v>
      </c>
    </row>
    <row r="2057" spans="1:15" x14ac:dyDescent="0.35">
      <c r="A2057" t="s">
        <v>2421</v>
      </c>
      <c r="B2057" t="s">
        <v>2422</v>
      </c>
      <c r="C2057" t="s">
        <v>1477</v>
      </c>
      <c r="D2057" t="s">
        <v>348</v>
      </c>
      <c r="E2057" t="s">
        <v>349</v>
      </c>
      <c r="F2057" t="s">
        <v>2462</v>
      </c>
      <c r="G2057">
        <v>1566</v>
      </c>
      <c r="H2057">
        <v>167805.21000000002</v>
      </c>
      <c r="I2057">
        <v>130.88999999999999</v>
      </c>
      <c r="J2057">
        <v>20</v>
      </c>
      <c r="K2057">
        <v>3768.6000000000004</v>
      </c>
      <c r="L2057">
        <v>188.43</v>
      </c>
      <c r="M2057">
        <v>1586</v>
      </c>
      <c r="N2057">
        <v>171573.81000000003</v>
      </c>
      <c r="O2057">
        <v>131.78</v>
      </c>
    </row>
    <row r="2058" spans="1:15" x14ac:dyDescent="0.35">
      <c r="A2058" t="s">
        <v>2463</v>
      </c>
      <c r="B2058" t="s">
        <v>2464</v>
      </c>
      <c r="C2058" t="s">
        <v>1477</v>
      </c>
      <c r="D2058" t="s">
        <v>293</v>
      </c>
      <c r="E2058" t="s">
        <v>294</v>
      </c>
      <c r="F2058" t="s">
        <v>2465</v>
      </c>
      <c r="G2058">
        <v>518</v>
      </c>
      <c r="H2058">
        <v>76669.34</v>
      </c>
      <c r="I2058">
        <v>148.01</v>
      </c>
      <c r="J2058">
        <v>91</v>
      </c>
      <c r="K2058">
        <v>14466.27</v>
      </c>
      <c r="L2058">
        <v>158.97</v>
      </c>
      <c r="M2058">
        <v>609</v>
      </c>
      <c r="N2058">
        <v>91135.61</v>
      </c>
      <c r="O2058">
        <v>149.65</v>
      </c>
    </row>
    <row r="2059" spans="1:15" x14ac:dyDescent="0.35">
      <c r="A2059" t="s">
        <v>2463</v>
      </c>
      <c r="B2059" t="s">
        <v>2464</v>
      </c>
      <c r="C2059" t="s">
        <v>1477</v>
      </c>
      <c r="D2059" t="s">
        <v>293</v>
      </c>
      <c r="E2059" t="s">
        <v>296</v>
      </c>
      <c r="F2059" t="s">
        <v>2466</v>
      </c>
      <c r="G2059">
        <v>1631</v>
      </c>
      <c r="H2059">
        <v>307629.97000000003</v>
      </c>
      <c r="I2059">
        <v>188.61</v>
      </c>
      <c r="J2059">
        <v>59</v>
      </c>
      <c r="K2059">
        <v>11490.84</v>
      </c>
      <c r="L2059">
        <v>194.76</v>
      </c>
      <c r="M2059">
        <v>1690</v>
      </c>
      <c r="N2059">
        <v>319120.81000000006</v>
      </c>
      <c r="O2059">
        <v>188.83</v>
      </c>
    </row>
    <row r="2060" spans="1:15" x14ac:dyDescent="0.35">
      <c r="A2060" t="s">
        <v>2463</v>
      </c>
      <c r="B2060" t="s">
        <v>2464</v>
      </c>
      <c r="C2060" t="s">
        <v>1477</v>
      </c>
      <c r="D2060" t="s">
        <v>293</v>
      </c>
      <c r="E2060" t="s">
        <v>298</v>
      </c>
      <c r="F2060" t="s">
        <v>2467</v>
      </c>
      <c r="G2060">
        <v>800</v>
      </c>
      <c r="H2060">
        <v>185418.77000000002</v>
      </c>
      <c r="I2060">
        <v>231.77</v>
      </c>
      <c r="J2060">
        <v>50</v>
      </c>
      <c r="K2060">
        <v>11580.5</v>
      </c>
      <c r="L2060">
        <v>231.61</v>
      </c>
      <c r="M2060">
        <v>850</v>
      </c>
      <c r="N2060">
        <v>196999.27000000002</v>
      </c>
      <c r="O2060">
        <v>231.76</v>
      </c>
    </row>
    <row r="2061" spans="1:15" x14ac:dyDescent="0.35">
      <c r="A2061" t="s">
        <v>2463</v>
      </c>
      <c r="B2061" t="s">
        <v>2464</v>
      </c>
      <c r="C2061" t="s">
        <v>1477</v>
      </c>
      <c r="D2061" t="s">
        <v>293</v>
      </c>
      <c r="E2061" t="s">
        <v>300</v>
      </c>
      <c r="F2061" t="s">
        <v>2468</v>
      </c>
      <c r="G2061">
        <v>166</v>
      </c>
      <c r="H2061">
        <v>46054.44000000001</v>
      </c>
      <c r="I2061">
        <v>277.44</v>
      </c>
      <c r="J2061">
        <v>25</v>
      </c>
      <c r="K2061">
        <v>7531.75</v>
      </c>
      <c r="L2061">
        <v>301.27</v>
      </c>
      <c r="M2061">
        <v>191</v>
      </c>
      <c r="N2061">
        <v>53586.19000000001</v>
      </c>
      <c r="O2061">
        <v>280.56</v>
      </c>
    </row>
    <row r="2062" spans="1:15" x14ac:dyDescent="0.35">
      <c r="A2062" t="s">
        <v>2463</v>
      </c>
      <c r="B2062" t="s">
        <v>2464</v>
      </c>
      <c r="C2062" t="s">
        <v>1477</v>
      </c>
      <c r="D2062" t="s">
        <v>293</v>
      </c>
      <c r="E2062" t="s">
        <v>302</v>
      </c>
      <c r="F2062" t="s">
        <v>2469</v>
      </c>
      <c r="G2062">
        <v>1</v>
      </c>
      <c r="H2062">
        <v>277.56</v>
      </c>
      <c r="I2062">
        <v>277.56</v>
      </c>
      <c r="J2062">
        <v>1</v>
      </c>
      <c r="K2062">
        <v>282.81</v>
      </c>
      <c r="L2062">
        <v>282.81</v>
      </c>
      <c r="M2062">
        <v>2</v>
      </c>
      <c r="N2062">
        <v>560.37</v>
      </c>
      <c r="O2062">
        <v>280.19</v>
      </c>
    </row>
    <row r="2063" spans="1:15" x14ac:dyDescent="0.35">
      <c r="A2063" t="s">
        <v>2463</v>
      </c>
      <c r="B2063" t="s">
        <v>2464</v>
      </c>
      <c r="C2063" t="s">
        <v>1477</v>
      </c>
      <c r="D2063" t="s">
        <v>293</v>
      </c>
      <c r="E2063" t="s">
        <v>304</v>
      </c>
      <c r="F2063" t="s">
        <v>2470</v>
      </c>
      <c r="G2063">
        <v>0</v>
      </c>
      <c r="H2063">
        <v>0</v>
      </c>
      <c r="I2063">
        <v>0</v>
      </c>
      <c r="J2063">
        <v>0</v>
      </c>
      <c r="K2063">
        <v>0</v>
      </c>
      <c r="L2063">
        <v>0</v>
      </c>
      <c r="M2063">
        <v>0</v>
      </c>
      <c r="N2063">
        <v>0</v>
      </c>
      <c r="O2063">
        <v>0</v>
      </c>
    </row>
    <row r="2064" spans="1:15" x14ac:dyDescent="0.35">
      <c r="A2064" t="s">
        <v>2463</v>
      </c>
      <c r="B2064" t="s">
        <v>2464</v>
      </c>
      <c r="C2064" t="s">
        <v>1477</v>
      </c>
      <c r="D2064" t="s">
        <v>293</v>
      </c>
      <c r="E2064" t="s">
        <v>306</v>
      </c>
      <c r="F2064" t="s">
        <v>2471</v>
      </c>
      <c r="G2064">
        <v>0</v>
      </c>
      <c r="H2064">
        <v>0</v>
      </c>
      <c r="I2064">
        <v>0</v>
      </c>
      <c r="J2064">
        <v>0</v>
      </c>
      <c r="K2064">
        <v>0</v>
      </c>
      <c r="L2064">
        <v>0</v>
      </c>
      <c r="M2064">
        <v>0</v>
      </c>
      <c r="N2064">
        <v>0</v>
      </c>
      <c r="O2064">
        <v>0</v>
      </c>
    </row>
    <row r="2065" spans="1:15" x14ac:dyDescent="0.35">
      <c r="A2065" t="s">
        <v>2463</v>
      </c>
      <c r="B2065" t="s">
        <v>2464</v>
      </c>
      <c r="C2065" t="s">
        <v>1477</v>
      </c>
      <c r="D2065" t="s">
        <v>293</v>
      </c>
      <c r="E2065" t="s">
        <v>308</v>
      </c>
      <c r="F2065" t="s">
        <v>2472</v>
      </c>
      <c r="G2065">
        <v>0</v>
      </c>
      <c r="H2065">
        <v>0</v>
      </c>
      <c r="I2065">
        <v>0</v>
      </c>
      <c r="J2065">
        <v>6</v>
      </c>
      <c r="K2065">
        <v>669.84</v>
      </c>
      <c r="L2065">
        <v>111.64</v>
      </c>
      <c r="M2065">
        <v>6</v>
      </c>
      <c r="N2065">
        <v>669.84</v>
      </c>
      <c r="O2065">
        <v>111.64</v>
      </c>
    </row>
    <row r="2066" spans="1:15" x14ac:dyDescent="0.35">
      <c r="A2066" t="s">
        <v>2463</v>
      </c>
      <c r="B2066" t="s">
        <v>2464</v>
      </c>
      <c r="C2066" t="s">
        <v>1477</v>
      </c>
      <c r="D2066" t="s">
        <v>293</v>
      </c>
      <c r="E2066" t="s">
        <v>310</v>
      </c>
      <c r="F2066" t="s">
        <v>2473</v>
      </c>
      <c r="G2066">
        <v>3116</v>
      </c>
      <c r="H2066">
        <v>616050.08000000019</v>
      </c>
      <c r="I2066">
        <v>197.71</v>
      </c>
      <c r="J2066">
        <v>232</v>
      </c>
      <c r="K2066">
        <v>46022.009999999995</v>
      </c>
      <c r="L2066">
        <v>198.37</v>
      </c>
      <c r="M2066">
        <v>3348</v>
      </c>
      <c r="N2066">
        <v>662072.0900000002</v>
      </c>
      <c r="O2066">
        <v>197.75</v>
      </c>
    </row>
    <row r="2067" spans="1:15" x14ac:dyDescent="0.35">
      <c r="A2067" t="s">
        <v>2463</v>
      </c>
      <c r="B2067" t="s">
        <v>2464</v>
      </c>
      <c r="C2067" t="s">
        <v>1477</v>
      </c>
      <c r="D2067" t="s">
        <v>293</v>
      </c>
      <c r="E2067" t="s">
        <v>312</v>
      </c>
      <c r="F2067" t="s">
        <v>2474</v>
      </c>
      <c r="G2067">
        <v>3116</v>
      </c>
      <c r="H2067">
        <v>616050.08000000019</v>
      </c>
      <c r="I2067">
        <v>197.71</v>
      </c>
      <c r="J2067">
        <v>226</v>
      </c>
      <c r="K2067">
        <v>45352.17</v>
      </c>
      <c r="L2067">
        <v>200.67</v>
      </c>
      <c r="M2067">
        <v>3342</v>
      </c>
      <c r="N2067">
        <v>661402.25000000023</v>
      </c>
      <c r="O2067">
        <v>197.91</v>
      </c>
    </row>
    <row r="2068" spans="1:15" x14ac:dyDescent="0.35">
      <c r="A2068" t="s">
        <v>2463</v>
      </c>
      <c r="B2068" t="s">
        <v>2464</v>
      </c>
      <c r="C2068" t="s">
        <v>1477</v>
      </c>
      <c r="D2068" t="s">
        <v>314</v>
      </c>
      <c r="E2068" t="s">
        <v>294</v>
      </c>
      <c r="F2068" t="s">
        <v>2475</v>
      </c>
      <c r="G2068">
        <v>49</v>
      </c>
      <c r="H2068">
        <v>7961.03</v>
      </c>
      <c r="I2068">
        <v>162.47</v>
      </c>
      <c r="J2068">
        <v>221</v>
      </c>
      <c r="K2068">
        <v>47563.62</v>
      </c>
      <c r="L2068">
        <v>215.22</v>
      </c>
      <c r="M2068">
        <v>270</v>
      </c>
      <c r="N2068">
        <v>55524.65</v>
      </c>
      <c r="O2068">
        <v>205.65</v>
      </c>
    </row>
    <row r="2069" spans="1:15" x14ac:dyDescent="0.35">
      <c r="A2069" t="s">
        <v>2463</v>
      </c>
      <c r="B2069" t="s">
        <v>2464</v>
      </c>
      <c r="C2069" t="s">
        <v>1477</v>
      </c>
      <c r="D2069" t="s">
        <v>314</v>
      </c>
      <c r="E2069" t="s">
        <v>296</v>
      </c>
      <c r="F2069" t="s">
        <v>2476</v>
      </c>
      <c r="G2069">
        <v>1</v>
      </c>
      <c r="H2069">
        <v>195.46</v>
      </c>
      <c r="I2069">
        <v>195.46</v>
      </c>
      <c r="J2069">
        <v>84</v>
      </c>
      <c r="K2069">
        <v>22197.84</v>
      </c>
      <c r="L2069">
        <v>264.26</v>
      </c>
      <c r="M2069">
        <v>85</v>
      </c>
      <c r="N2069">
        <v>22393.3</v>
      </c>
      <c r="O2069">
        <v>263.45</v>
      </c>
    </row>
    <row r="2070" spans="1:15" x14ac:dyDescent="0.35">
      <c r="A2070" t="s">
        <v>2463</v>
      </c>
      <c r="B2070" t="s">
        <v>2464</v>
      </c>
      <c r="C2070" t="s">
        <v>1477</v>
      </c>
      <c r="D2070" t="s">
        <v>314</v>
      </c>
      <c r="E2070" t="s">
        <v>298</v>
      </c>
      <c r="F2070" t="s">
        <v>2477</v>
      </c>
      <c r="G2070">
        <v>1</v>
      </c>
      <c r="H2070">
        <v>257.57</v>
      </c>
      <c r="I2070">
        <v>257.57</v>
      </c>
      <c r="J2070">
        <v>0</v>
      </c>
      <c r="K2070">
        <v>0</v>
      </c>
      <c r="L2070">
        <v>0</v>
      </c>
      <c r="M2070">
        <v>1</v>
      </c>
      <c r="N2070">
        <v>257.57</v>
      </c>
      <c r="O2070">
        <v>257.57</v>
      </c>
    </row>
    <row r="2071" spans="1:15" x14ac:dyDescent="0.35">
      <c r="A2071" t="s">
        <v>2463</v>
      </c>
      <c r="B2071" t="s">
        <v>2464</v>
      </c>
      <c r="C2071" t="s">
        <v>1477</v>
      </c>
      <c r="D2071" t="s">
        <v>314</v>
      </c>
      <c r="E2071" t="s">
        <v>300</v>
      </c>
      <c r="F2071" t="s">
        <v>2478</v>
      </c>
      <c r="G2071">
        <v>0</v>
      </c>
      <c r="H2071">
        <v>0</v>
      </c>
      <c r="I2071">
        <v>0</v>
      </c>
      <c r="J2071">
        <v>0</v>
      </c>
      <c r="K2071">
        <v>0</v>
      </c>
      <c r="L2071">
        <v>0</v>
      </c>
      <c r="M2071">
        <v>0</v>
      </c>
      <c r="N2071">
        <v>0</v>
      </c>
      <c r="O2071">
        <v>0</v>
      </c>
    </row>
    <row r="2072" spans="1:15" x14ac:dyDescent="0.35">
      <c r="A2072" t="s">
        <v>2463</v>
      </c>
      <c r="B2072" t="s">
        <v>2464</v>
      </c>
      <c r="C2072" t="s">
        <v>1477</v>
      </c>
      <c r="D2072" t="s">
        <v>314</v>
      </c>
      <c r="E2072" t="s">
        <v>306</v>
      </c>
      <c r="F2072" t="s">
        <v>2479</v>
      </c>
      <c r="G2072">
        <v>0</v>
      </c>
      <c r="H2072">
        <v>0</v>
      </c>
      <c r="I2072">
        <v>0</v>
      </c>
      <c r="J2072">
        <v>5</v>
      </c>
      <c r="K2072">
        <v>889.35</v>
      </c>
      <c r="L2072">
        <v>177.87</v>
      </c>
      <c r="M2072">
        <v>5</v>
      </c>
      <c r="N2072">
        <v>889.35</v>
      </c>
      <c r="O2072">
        <v>177.87</v>
      </c>
    </row>
    <row r="2073" spans="1:15" x14ac:dyDescent="0.35">
      <c r="A2073" t="s">
        <v>2463</v>
      </c>
      <c r="B2073" t="s">
        <v>2464</v>
      </c>
      <c r="C2073" t="s">
        <v>1477</v>
      </c>
      <c r="D2073" t="s">
        <v>314</v>
      </c>
      <c r="E2073" t="s">
        <v>308</v>
      </c>
      <c r="F2073" t="s">
        <v>2480</v>
      </c>
      <c r="G2073">
        <v>0</v>
      </c>
      <c r="H2073">
        <v>0</v>
      </c>
      <c r="I2073">
        <v>0</v>
      </c>
      <c r="J2073">
        <v>0</v>
      </c>
      <c r="K2073">
        <v>0</v>
      </c>
      <c r="L2073">
        <v>0</v>
      </c>
      <c r="M2073">
        <v>0</v>
      </c>
      <c r="N2073">
        <v>0</v>
      </c>
      <c r="O2073">
        <v>0</v>
      </c>
    </row>
    <row r="2074" spans="1:15" x14ac:dyDescent="0.35">
      <c r="A2074" t="s">
        <v>2463</v>
      </c>
      <c r="B2074" t="s">
        <v>2464</v>
      </c>
      <c r="C2074" t="s">
        <v>1477</v>
      </c>
      <c r="D2074" t="s">
        <v>314</v>
      </c>
      <c r="E2074" t="s">
        <v>312</v>
      </c>
      <c r="F2074" t="s">
        <v>2481</v>
      </c>
      <c r="G2074">
        <v>51</v>
      </c>
      <c r="H2074">
        <v>8414.06</v>
      </c>
      <c r="I2074">
        <v>164.98</v>
      </c>
      <c r="J2074">
        <v>310</v>
      </c>
      <c r="K2074">
        <v>70650.810000000012</v>
      </c>
      <c r="L2074">
        <v>227.91</v>
      </c>
      <c r="M2074">
        <v>361</v>
      </c>
      <c r="N2074">
        <v>79064.87000000001</v>
      </c>
      <c r="O2074">
        <v>219.02</v>
      </c>
    </row>
    <row r="2075" spans="1:15" x14ac:dyDescent="0.35">
      <c r="A2075" t="s">
        <v>2463</v>
      </c>
      <c r="B2075" t="s">
        <v>2464</v>
      </c>
      <c r="C2075" t="s">
        <v>1477</v>
      </c>
      <c r="D2075" t="s">
        <v>314</v>
      </c>
      <c r="E2075" t="s">
        <v>310</v>
      </c>
      <c r="F2075" t="s">
        <v>2482</v>
      </c>
      <c r="G2075">
        <v>51</v>
      </c>
      <c r="H2075">
        <v>8414.06</v>
      </c>
      <c r="I2075">
        <v>164.98</v>
      </c>
      <c r="J2075">
        <v>310</v>
      </c>
      <c r="K2075">
        <v>70650.810000000012</v>
      </c>
      <c r="L2075">
        <v>227.91</v>
      </c>
      <c r="M2075">
        <v>361</v>
      </c>
      <c r="N2075">
        <v>79064.87000000001</v>
      </c>
      <c r="O2075">
        <v>219.02</v>
      </c>
    </row>
    <row r="2076" spans="1:15" x14ac:dyDescent="0.35">
      <c r="A2076" t="s">
        <v>2463</v>
      </c>
      <c r="B2076" t="s">
        <v>2464</v>
      </c>
      <c r="C2076" t="s">
        <v>1477</v>
      </c>
      <c r="D2076" t="s">
        <v>323</v>
      </c>
      <c r="E2076" t="s">
        <v>294</v>
      </c>
      <c r="F2076" t="s">
        <v>2483</v>
      </c>
      <c r="G2076">
        <v>1998</v>
      </c>
      <c r="H2076">
        <v>210165.02000000002</v>
      </c>
      <c r="I2076">
        <v>105.19</v>
      </c>
      <c r="J2076">
        <v>938</v>
      </c>
      <c r="K2076">
        <v>103677.14</v>
      </c>
      <c r="L2076">
        <v>110.53</v>
      </c>
      <c r="M2076">
        <v>2936</v>
      </c>
      <c r="N2076">
        <v>313842.16000000003</v>
      </c>
      <c r="O2076">
        <v>106.89</v>
      </c>
    </row>
    <row r="2077" spans="1:15" x14ac:dyDescent="0.35">
      <c r="A2077" t="s">
        <v>2463</v>
      </c>
      <c r="B2077" t="s">
        <v>2464</v>
      </c>
      <c r="C2077" t="s">
        <v>1477</v>
      </c>
      <c r="D2077" t="s">
        <v>323</v>
      </c>
      <c r="E2077" t="s">
        <v>296</v>
      </c>
      <c r="F2077" t="s">
        <v>2484</v>
      </c>
      <c r="G2077">
        <v>2872</v>
      </c>
      <c r="H2077">
        <v>358749.53</v>
      </c>
      <c r="I2077">
        <v>124.91</v>
      </c>
      <c r="J2077">
        <v>1417</v>
      </c>
      <c r="K2077">
        <v>176274.80000000002</v>
      </c>
      <c r="L2077">
        <v>124.4</v>
      </c>
      <c r="M2077">
        <v>4289</v>
      </c>
      <c r="N2077">
        <v>535024.33000000007</v>
      </c>
      <c r="O2077">
        <v>124.74</v>
      </c>
    </row>
    <row r="2078" spans="1:15" x14ac:dyDescent="0.35">
      <c r="A2078" t="s">
        <v>2463</v>
      </c>
      <c r="B2078" t="s">
        <v>2464</v>
      </c>
      <c r="C2078" t="s">
        <v>1477</v>
      </c>
      <c r="D2078" t="s">
        <v>323</v>
      </c>
      <c r="E2078" t="s">
        <v>298</v>
      </c>
      <c r="F2078" t="s">
        <v>2485</v>
      </c>
      <c r="G2078">
        <v>3436</v>
      </c>
      <c r="H2078">
        <v>479259.96</v>
      </c>
      <c r="I2078">
        <v>139.47999999999999</v>
      </c>
      <c r="J2078">
        <v>1828</v>
      </c>
      <c r="K2078">
        <v>245573.52000000002</v>
      </c>
      <c r="L2078">
        <v>134.34</v>
      </c>
      <c r="M2078">
        <v>5264</v>
      </c>
      <c r="N2078">
        <v>724833.48</v>
      </c>
      <c r="O2078">
        <v>137.69999999999999</v>
      </c>
    </row>
    <row r="2079" spans="1:15" x14ac:dyDescent="0.35">
      <c r="A2079" t="s">
        <v>2463</v>
      </c>
      <c r="B2079" t="s">
        <v>2464</v>
      </c>
      <c r="C2079" t="s">
        <v>1477</v>
      </c>
      <c r="D2079" t="s">
        <v>323</v>
      </c>
      <c r="E2079" t="s">
        <v>300</v>
      </c>
      <c r="F2079" t="s">
        <v>2486</v>
      </c>
      <c r="G2079">
        <v>209</v>
      </c>
      <c r="H2079">
        <v>33578.980000000003</v>
      </c>
      <c r="I2079">
        <v>160.66</v>
      </c>
      <c r="J2079">
        <v>145</v>
      </c>
      <c r="K2079">
        <v>21097.5</v>
      </c>
      <c r="L2079">
        <v>145.5</v>
      </c>
      <c r="M2079">
        <v>354</v>
      </c>
      <c r="N2079">
        <v>54676.480000000003</v>
      </c>
      <c r="O2079">
        <v>154.44999999999999</v>
      </c>
    </row>
    <row r="2080" spans="1:15" x14ac:dyDescent="0.35">
      <c r="A2080" t="s">
        <v>2463</v>
      </c>
      <c r="B2080" t="s">
        <v>2464</v>
      </c>
      <c r="C2080" t="s">
        <v>1477</v>
      </c>
      <c r="D2080" t="s">
        <v>323</v>
      </c>
      <c r="E2080" t="s">
        <v>302</v>
      </c>
      <c r="F2080" t="s">
        <v>2487</v>
      </c>
      <c r="G2080">
        <v>13</v>
      </c>
      <c r="H2080">
        <v>2283.4299999999998</v>
      </c>
      <c r="I2080">
        <v>175.65</v>
      </c>
      <c r="J2080">
        <v>2</v>
      </c>
      <c r="K2080">
        <v>312.95999999999998</v>
      </c>
      <c r="L2080">
        <v>156.47999999999999</v>
      </c>
      <c r="M2080">
        <v>15</v>
      </c>
      <c r="N2080">
        <v>2596.39</v>
      </c>
      <c r="O2080">
        <v>173.09</v>
      </c>
    </row>
    <row r="2081" spans="1:15" x14ac:dyDescent="0.35">
      <c r="A2081" t="s">
        <v>2463</v>
      </c>
      <c r="B2081" t="s">
        <v>2464</v>
      </c>
      <c r="C2081" t="s">
        <v>1477</v>
      </c>
      <c r="D2081" t="s">
        <v>323</v>
      </c>
      <c r="E2081" t="s">
        <v>304</v>
      </c>
      <c r="F2081" t="s">
        <v>2488</v>
      </c>
      <c r="G2081">
        <v>2</v>
      </c>
      <c r="H2081">
        <v>331.72</v>
      </c>
      <c r="I2081">
        <v>165.86</v>
      </c>
      <c r="J2081">
        <v>1</v>
      </c>
      <c r="K2081">
        <v>210.69</v>
      </c>
      <c r="L2081">
        <v>210.69</v>
      </c>
      <c r="M2081">
        <v>3</v>
      </c>
      <c r="N2081">
        <v>542.41000000000008</v>
      </c>
      <c r="O2081">
        <v>180.8</v>
      </c>
    </row>
    <row r="2082" spans="1:15" x14ac:dyDescent="0.35">
      <c r="A2082" t="s">
        <v>2463</v>
      </c>
      <c r="B2082" t="s">
        <v>2464</v>
      </c>
      <c r="C2082" t="s">
        <v>1477</v>
      </c>
      <c r="D2082" t="s">
        <v>323</v>
      </c>
      <c r="E2082" t="s">
        <v>306</v>
      </c>
      <c r="F2082" t="s">
        <v>2489</v>
      </c>
      <c r="G2082">
        <v>0</v>
      </c>
      <c r="H2082">
        <v>0</v>
      </c>
      <c r="I2082">
        <v>0</v>
      </c>
      <c r="J2082">
        <v>75</v>
      </c>
      <c r="K2082">
        <v>7116.75</v>
      </c>
      <c r="L2082">
        <v>94.89</v>
      </c>
      <c r="M2082">
        <v>75</v>
      </c>
      <c r="N2082">
        <v>7116.75</v>
      </c>
      <c r="O2082">
        <v>94.89</v>
      </c>
    </row>
    <row r="2083" spans="1:15" x14ac:dyDescent="0.35">
      <c r="A2083" t="s">
        <v>2463</v>
      </c>
      <c r="B2083" t="s">
        <v>2464</v>
      </c>
      <c r="C2083" t="s">
        <v>1477</v>
      </c>
      <c r="D2083" t="s">
        <v>323</v>
      </c>
      <c r="E2083" t="s">
        <v>308</v>
      </c>
      <c r="F2083" t="s">
        <v>2490</v>
      </c>
      <c r="G2083">
        <v>0</v>
      </c>
      <c r="H2083">
        <v>0</v>
      </c>
      <c r="I2083">
        <v>0</v>
      </c>
      <c r="J2083">
        <v>56</v>
      </c>
      <c r="K2083">
        <v>5843.04</v>
      </c>
      <c r="L2083">
        <v>104.34</v>
      </c>
      <c r="M2083">
        <v>56</v>
      </c>
      <c r="N2083">
        <v>5843.04</v>
      </c>
      <c r="O2083">
        <v>104.34</v>
      </c>
    </row>
    <row r="2084" spans="1:15" x14ac:dyDescent="0.35">
      <c r="A2084" t="s">
        <v>2463</v>
      </c>
      <c r="B2084" t="s">
        <v>2464</v>
      </c>
      <c r="C2084" t="s">
        <v>1477</v>
      </c>
      <c r="D2084" t="s">
        <v>323</v>
      </c>
      <c r="E2084" t="s">
        <v>310</v>
      </c>
      <c r="F2084" t="s">
        <v>2491</v>
      </c>
      <c r="G2084">
        <v>8530</v>
      </c>
      <c r="H2084">
        <v>1084368.6399999999</v>
      </c>
      <c r="I2084">
        <v>127.12</v>
      </c>
      <c r="J2084">
        <v>4462</v>
      </c>
      <c r="K2084">
        <v>560106.39999999991</v>
      </c>
      <c r="L2084">
        <v>125.53</v>
      </c>
      <c r="M2084">
        <v>12992</v>
      </c>
      <c r="N2084">
        <v>1644475.0399999998</v>
      </c>
      <c r="O2084">
        <v>126.58</v>
      </c>
    </row>
    <row r="2085" spans="1:15" x14ac:dyDescent="0.35">
      <c r="A2085" t="s">
        <v>2463</v>
      </c>
      <c r="B2085" t="s">
        <v>2464</v>
      </c>
      <c r="C2085" t="s">
        <v>1477</v>
      </c>
      <c r="D2085" t="s">
        <v>323</v>
      </c>
      <c r="E2085" t="s">
        <v>312</v>
      </c>
      <c r="F2085" t="s">
        <v>2492</v>
      </c>
      <c r="G2085">
        <v>8530</v>
      </c>
      <c r="H2085">
        <v>1084368.6399999999</v>
      </c>
      <c r="I2085">
        <v>127.12</v>
      </c>
      <c r="J2085">
        <v>4406</v>
      </c>
      <c r="K2085">
        <v>554263.35999999987</v>
      </c>
      <c r="L2085">
        <v>125.8</v>
      </c>
      <c r="M2085">
        <v>12936</v>
      </c>
      <c r="N2085">
        <v>1638631.9999999998</v>
      </c>
      <c r="O2085">
        <v>126.67</v>
      </c>
    </row>
    <row r="2086" spans="1:15" x14ac:dyDescent="0.35">
      <c r="A2086" t="s">
        <v>2463</v>
      </c>
      <c r="B2086" t="s">
        <v>2464</v>
      </c>
      <c r="C2086" t="s">
        <v>1477</v>
      </c>
      <c r="D2086" t="s">
        <v>334</v>
      </c>
      <c r="E2086" t="s">
        <v>312</v>
      </c>
      <c r="F2086" t="s">
        <v>2493</v>
      </c>
      <c r="G2086">
        <v>11794</v>
      </c>
      <c r="H2086">
        <v>1700418.7200000002</v>
      </c>
      <c r="I2086">
        <v>146.01</v>
      </c>
      <c r="J2086">
        <v>4632</v>
      </c>
      <c r="K2086">
        <v>599615.52999999991</v>
      </c>
      <c r="L2086">
        <v>129.44999999999999</v>
      </c>
      <c r="M2086">
        <v>16426</v>
      </c>
      <c r="N2086">
        <v>2300034.25</v>
      </c>
      <c r="O2086">
        <v>141.30000000000001</v>
      </c>
    </row>
    <row r="2087" spans="1:15" x14ac:dyDescent="0.35">
      <c r="A2087" t="s">
        <v>2463</v>
      </c>
      <c r="B2087" t="s">
        <v>2464</v>
      </c>
      <c r="C2087" t="s">
        <v>1477</v>
      </c>
      <c r="D2087" t="s">
        <v>334</v>
      </c>
      <c r="E2087" t="s">
        <v>308</v>
      </c>
      <c r="F2087" t="s">
        <v>2494</v>
      </c>
      <c r="G2087">
        <v>0</v>
      </c>
      <c r="H2087">
        <v>0</v>
      </c>
      <c r="I2087">
        <v>0</v>
      </c>
      <c r="J2087">
        <v>62</v>
      </c>
      <c r="K2087">
        <v>6512.88</v>
      </c>
      <c r="L2087">
        <v>105.05</v>
      </c>
      <c r="M2087">
        <v>62</v>
      </c>
      <c r="N2087">
        <v>6512.88</v>
      </c>
      <c r="O2087">
        <v>105.05</v>
      </c>
    </row>
    <row r="2088" spans="1:15" x14ac:dyDescent="0.35">
      <c r="A2088" t="s">
        <v>2463</v>
      </c>
      <c r="B2088" t="s">
        <v>2464</v>
      </c>
      <c r="C2088" t="s">
        <v>1477</v>
      </c>
      <c r="D2088" t="s">
        <v>337</v>
      </c>
      <c r="E2088" t="s">
        <v>337</v>
      </c>
      <c r="F2088" t="s">
        <v>2495</v>
      </c>
      <c r="G2088">
        <v>3241</v>
      </c>
      <c r="J2088">
        <v>42</v>
      </c>
      <c r="M2088">
        <v>3283</v>
      </c>
    </row>
    <row r="2089" spans="1:15" x14ac:dyDescent="0.35">
      <c r="A2089" t="s">
        <v>2463</v>
      </c>
      <c r="B2089" t="s">
        <v>2464</v>
      </c>
      <c r="C2089" t="s">
        <v>1477</v>
      </c>
      <c r="D2089" t="s">
        <v>339</v>
      </c>
      <c r="E2089" t="s">
        <v>294</v>
      </c>
      <c r="F2089" t="s">
        <v>2496</v>
      </c>
      <c r="G2089">
        <v>791</v>
      </c>
      <c r="H2089">
        <v>98024.02</v>
      </c>
      <c r="I2089">
        <v>123.92</v>
      </c>
      <c r="J2089">
        <v>390</v>
      </c>
      <c r="K2089">
        <v>44846.1</v>
      </c>
      <c r="L2089">
        <v>114.99</v>
      </c>
      <c r="M2089">
        <v>1181</v>
      </c>
      <c r="N2089">
        <v>142870.12</v>
      </c>
      <c r="O2089">
        <v>120.97</v>
      </c>
    </row>
    <row r="2090" spans="1:15" x14ac:dyDescent="0.35">
      <c r="A2090" t="s">
        <v>2463</v>
      </c>
      <c r="B2090" t="s">
        <v>2464</v>
      </c>
      <c r="C2090" t="s">
        <v>1477</v>
      </c>
      <c r="D2090" t="s">
        <v>339</v>
      </c>
      <c r="E2090" t="s">
        <v>296</v>
      </c>
      <c r="F2090" t="s">
        <v>2497</v>
      </c>
      <c r="G2090">
        <v>106</v>
      </c>
      <c r="H2090">
        <v>15039.06</v>
      </c>
      <c r="I2090">
        <v>141.88</v>
      </c>
      <c r="J2090">
        <v>76</v>
      </c>
      <c r="K2090">
        <v>9786.52</v>
      </c>
      <c r="L2090">
        <v>128.77000000000001</v>
      </c>
      <c r="M2090">
        <v>182</v>
      </c>
      <c r="N2090">
        <v>24825.58</v>
      </c>
      <c r="O2090">
        <v>136.4</v>
      </c>
    </row>
    <row r="2091" spans="1:15" x14ac:dyDescent="0.35">
      <c r="A2091" t="s">
        <v>2463</v>
      </c>
      <c r="B2091" t="s">
        <v>2464</v>
      </c>
      <c r="C2091" t="s">
        <v>1477</v>
      </c>
      <c r="D2091" t="s">
        <v>339</v>
      </c>
      <c r="E2091" t="s">
        <v>298</v>
      </c>
      <c r="F2091" t="s">
        <v>2498</v>
      </c>
      <c r="G2091">
        <v>14</v>
      </c>
      <c r="H2091">
        <v>2888.5600000000004</v>
      </c>
      <c r="I2091">
        <v>206.33</v>
      </c>
      <c r="J2091">
        <v>0</v>
      </c>
      <c r="K2091">
        <v>0</v>
      </c>
      <c r="L2091">
        <v>0</v>
      </c>
      <c r="M2091">
        <v>14</v>
      </c>
      <c r="N2091">
        <v>2888.5600000000004</v>
      </c>
      <c r="O2091">
        <v>206.33</v>
      </c>
    </row>
    <row r="2092" spans="1:15" x14ac:dyDescent="0.35">
      <c r="A2092" t="s">
        <v>2463</v>
      </c>
      <c r="B2092" t="s">
        <v>2464</v>
      </c>
      <c r="C2092" t="s">
        <v>1477</v>
      </c>
      <c r="D2092" t="s">
        <v>339</v>
      </c>
      <c r="E2092" t="s">
        <v>300</v>
      </c>
      <c r="F2092" t="s">
        <v>2499</v>
      </c>
      <c r="G2092">
        <v>0</v>
      </c>
      <c r="H2092">
        <v>0</v>
      </c>
      <c r="I2092">
        <v>0</v>
      </c>
      <c r="J2092">
        <v>0</v>
      </c>
      <c r="K2092">
        <v>0</v>
      </c>
      <c r="L2092">
        <v>0</v>
      </c>
      <c r="M2092">
        <v>0</v>
      </c>
      <c r="N2092">
        <v>0</v>
      </c>
      <c r="O2092">
        <v>0</v>
      </c>
    </row>
    <row r="2093" spans="1:15" x14ac:dyDescent="0.35">
      <c r="A2093" t="s">
        <v>2463</v>
      </c>
      <c r="B2093" t="s">
        <v>2464</v>
      </c>
      <c r="C2093" t="s">
        <v>1477</v>
      </c>
      <c r="D2093" t="s">
        <v>339</v>
      </c>
      <c r="E2093" t="s">
        <v>306</v>
      </c>
      <c r="F2093" t="s">
        <v>2500</v>
      </c>
      <c r="G2093">
        <v>55</v>
      </c>
      <c r="H2093">
        <v>5920.93</v>
      </c>
      <c r="I2093">
        <v>107.65</v>
      </c>
      <c r="J2093">
        <v>30</v>
      </c>
      <c r="K2093">
        <v>3323.1</v>
      </c>
      <c r="L2093">
        <v>110.77</v>
      </c>
      <c r="M2093">
        <v>85</v>
      </c>
      <c r="N2093">
        <v>9244.0300000000007</v>
      </c>
      <c r="O2093">
        <v>108.75</v>
      </c>
    </row>
    <row r="2094" spans="1:15" x14ac:dyDescent="0.35">
      <c r="A2094" t="s">
        <v>2463</v>
      </c>
      <c r="B2094" t="s">
        <v>2464</v>
      </c>
      <c r="C2094" t="s">
        <v>1477</v>
      </c>
      <c r="D2094" t="s">
        <v>339</v>
      </c>
      <c r="E2094" t="s">
        <v>308</v>
      </c>
      <c r="F2094" t="s">
        <v>2501</v>
      </c>
      <c r="G2094">
        <v>126</v>
      </c>
      <c r="H2094">
        <v>19483.900000000001</v>
      </c>
      <c r="I2094">
        <v>154.63</v>
      </c>
      <c r="J2094">
        <v>0</v>
      </c>
      <c r="K2094">
        <v>0</v>
      </c>
      <c r="L2094">
        <v>0</v>
      </c>
      <c r="M2094">
        <v>126</v>
      </c>
      <c r="N2094">
        <v>19483.900000000001</v>
      </c>
      <c r="O2094">
        <v>154.63</v>
      </c>
    </row>
    <row r="2095" spans="1:15" x14ac:dyDescent="0.35">
      <c r="A2095" t="s">
        <v>2463</v>
      </c>
      <c r="B2095" t="s">
        <v>2464</v>
      </c>
      <c r="C2095" t="s">
        <v>1477</v>
      </c>
      <c r="D2095" t="s">
        <v>339</v>
      </c>
      <c r="E2095" t="s">
        <v>310</v>
      </c>
      <c r="F2095" t="s">
        <v>2502</v>
      </c>
      <c r="G2095">
        <v>1092</v>
      </c>
      <c r="H2095">
        <v>141356.47</v>
      </c>
      <c r="I2095">
        <v>129.44999999999999</v>
      </c>
      <c r="J2095">
        <v>496</v>
      </c>
      <c r="K2095">
        <v>57955.719999999994</v>
      </c>
      <c r="L2095">
        <v>116.85</v>
      </c>
      <c r="M2095">
        <v>1588</v>
      </c>
      <c r="N2095">
        <v>199312.19</v>
      </c>
      <c r="O2095">
        <v>125.51</v>
      </c>
    </row>
    <row r="2096" spans="1:15" x14ac:dyDescent="0.35">
      <c r="A2096" t="s">
        <v>2463</v>
      </c>
      <c r="B2096" t="s">
        <v>2464</v>
      </c>
      <c r="C2096" t="s">
        <v>1477</v>
      </c>
      <c r="D2096" t="s">
        <v>339</v>
      </c>
      <c r="E2096" t="s">
        <v>312</v>
      </c>
      <c r="F2096" t="s">
        <v>2503</v>
      </c>
      <c r="G2096">
        <v>966</v>
      </c>
      <c r="H2096">
        <v>121872.57</v>
      </c>
      <c r="I2096">
        <v>126.16</v>
      </c>
      <c r="J2096">
        <v>496</v>
      </c>
      <c r="K2096">
        <v>57955.719999999994</v>
      </c>
      <c r="L2096">
        <v>116.85</v>
      </c>
      <c r="M2096">
        <v>1462</v>
      </c>
      <c r="N2096">
        <v>179828.29</v>
      </c>
      <c r="O2096">
        <v>123</v>
      </c>
    </row>
    <row r="2097" spans="1:15" x14ac:dyDescent="0.35">
      <c r="A2097" t="s">
        <v>2463</v>
      </c>
      <c r="B2097" t="s">
        <v>2464</v>
      </c>
      <c r="C2097" t="s">
        <v>1477</v>
      </c>
      <c r="D2097" t="s">
        <v>348</v>
      </c>
      <c r="E2097" t="s">
        <v>349</v>
      </c>
      <c r="F2097" t="s">
        <v>2504</v>
      </c>
      <c r="G2097">
        <v>1163</v>
      </c>
      <c r="H2097">
        <v>149770.53</v>
      </c>
      <c r="I2097">
        <v>131.03</v>
      </c>
      <c r="J2097">
        <v>806</v>
      </c>
      <c r="K2097">
        <v>128606.53000000001</v>
      </c>
      <c r="L2097">
        <v>159.56</v>
      </c>
      <c r="M2097">
        <v>1969</v>
      </c>
      <c r="N2097">
        <v>278377.06</v>
      </c>
      <c r="O2097">
        <v>142.83000000000001</v>
      </c>
    </row>
    <row r="2098" spans="1:15" x14ac:dyDescent="0.35">
      <c r="A2098" t="s">
        <v>2505</v>
      </c>
      <c r="B2098" t="s">
        <v>2506</v>
      </c>
      <c r="C2098" t="s">
        <v>292</v>
      </c>
      <c r="D2098" t="s">
        <v>293</v>
      </c>
      <c r="E2098" t="s">
        <v>294</v>
      </c>
      <c r="F2098" t="s">
        <v>2507</v>
      </c>
      <c r="G2098">
        <v>151</v>
      </c>
      <c r="H2098">
        <v>15818.310000000003</v>
      </c>
      <c r="I2098">
        <v>104.76</v>
      </c>
      <c r="J2098">
        <v>12</v>
      </c>
      <c r="K2098">
        <v>965.87999999999988</v>
      </c>
      <c r="L2098">
        <v>80.489999999999995</v>
      </c>
      <c r="M2098">
        <v>163</v>
      </c>
      <c r="N2098">
        <v>16784.190000000002</v>
      </c>
      <c r="O2098">
        <v>102.97</v>
      </c>
    </row>
    <row r="2099" spans="1:15" x14ac:dyDescent="0.35">
      <c r="A2099" t="s">
        <v>2505</v>
      </c>
      <c r="B2099" t="s">
        <v>2506</v>
      </c>
      <c r="C2099" t="s">
        <v>292</v>
      </c>
      <c r="D2099" t="s">
        <v>293</v>
      </c>
      <c r="E2099" t="s">
        <v>296</v>
      </c>
      <c r="F2099" t="s">
        <v>2508</v>
      </c>
      <c r="G2099">
        <v>1024</v>
      </c>
      <c r="H2099">
        <v>126544.02999999998</v>
      </c>
      <c r="I2099">
        <v>123.58</v>
      </c>
      <c r="J2099">
        <v>88</v>
      </c>
      <c r="K2099">
        <v>9280.48</v>
      </c>
      <c r="L2099">
        <v>105.46</v>
      </c>
      <c r="M2099">
        <v>1112</v>
      </c>
      <c r="N2099">
        <v>135824.50999999998</v>
      </c>
      <c r="O2099">
        <v>122.14</v>
      </c>
    </row>
    <row r="2100" spans="1:15" x14ac:dyDescent="0.35">
      <c r="A2100" t="s">
        <v>2505</v>
      </c>
      <c r="B2100" t="s">
        <v>2506</v>
      </c>
      <c r="C2100" t="s">
        <v>292</v>
      </c>
      <c r="D2100" t="s">
        <v>293</v>
      </c>
      <c r="E2100" t="s">
        <v>298</v>
      </c>
      <c r="F2100" t="s">
        <v>2509</v>
      </c>
      <c r="G2100">
        <v>528</v>
      </c>
      <c r="H2100">
        <v>72618.210000000006</v>
      </c>
      <c r="I2100">
        <v>137.53</v>
      </c>
      <c r="J2100">
        <v>24</v>
      </c>
      <c r="K2100">
        <v>2789.2799999999997</v>
      </c>
      <c r="L2100">
        <v>116.22</v>
      </c>
      <c r="M2100">
        <v>552</v>
      </c>
      <c r="N2100">
        <v>75407.490000000005</v>
      </c>
      <c r="O2100">
        <v>136.61000000000001</v>
      </c>
    </row>
    <row r="2101" spans="1:15" x14ac:dyDescent="0.35">
      <c r="A2101" t="s">
        <v>2505</v>
      </c>
      <c r="B2101" t="s">
        <v>2506</v>
      </c>
      <c r="C2101" t="s">
        <v>292</v>
      </c>
      <c r="D2101" t="s">
        <v>293</v>
      </c>
      <c r="E2101" t="s">
        <v>300</v>
      </c>
      <c r="F2101" t="s">
        <v>2510</v>
      </c>
      <c r="G2101">
        <v>21</v>
      </c>
      <c r="H2101">
        <v>3037.19</v>
      </c>
      <c r="I2101">
        <v>144.63</v>
      </c>
      <c r="J2101">
        <v>4</v>
      </c>
      <c r="K2101">
        <v>496.52</v>
      </c>
      <c r="L2101">
        <v>124.13</v>
      </c>
      <c r="M2101">
        <v>25</v>
      </c>
      <c r="N2101">
        <v>3533.71</v>
      </c>
      <c r="O2101">
        <v>141.35</v>
      </c>
    </row>
    <row r="2102" spans="1:15" x14ac:dyDescent="0.35">
      <c r="A2102" t="s">
        <v>2505</v>
      </c>
      <c r="B2102" t="s">
        <v>2506</v>
      </c>
      <c r="C2102" t="s">
        <v>292</v>
      </c>
      <c r="D2102" t="s">
        <v>293</v>
      </c>
      <c r="E2102" t="s">
        <v>302</v>
      </c>
      <c r="F2102" t="s">
        <v>2511</v>
      </c>
      <c r="G2102">
        <v>0</v>
      </c>
      <c r="H2102">
        <v>0</v>
      </c>
      <c r="I2102">
        <v>0</v>
      </c>
      <c r="J2102">
        <v>1</v>
      </c>
      <c r="K2102">
        <v>159.29</v>
      </c>
      <c r="L2102">
        <v>159.29</v>
      </c>
      <c r="M2102">
        <v>1</v>
      </c>
      <c r="N2102">
        <v>159.29</v>
      </c>
      <c r="O2102">
        <v>159.29</v>
      </c>
    </row>
    <row r="2103" spans="1:15" x14ac:dyDescent="0.35">
      <c r="A2103" t="s">
        <v>2505</v>
      </c>
      <c r="B2103" t="s">
        <v>2506</v>
      </c>
      <c r="C2103" t="s">
        <v>292</v>
      </c>
      <c r="D2103" t="s">
        <v>293</v>
      </c>
      <c r="E2103" t="s">
        <v>304</v>
      </c>
      <c r="F2103" t="s">
        <v>2512</v>
      </c>
      <c r="G2103">
        <v>0</v>
      </c>
      <c r="H2103">
        <v>0</v>
      </c>
      <c r="I2103">
        <v>0</v>
      </c>
      <c r="J2103">
        <v>0</v>
      </c>
      <c r="K2103">
        <v>0</v>
      </c>
      <c r="L2103">
        <v>0</v>
      </c>
      <c r="M2103">
        <v>0</v>
      </c>
      <c r="N2103">
        <v>0</v>
      </c>
      <c r="O2103">
        <v>0</v>
      </c>
    </row>
    <row r="2104" spans="1:15" x14ac:dyDescent="0.35">
      <c r="A2104" t="s">
        <v>2505</v>
      </c>
      <c r="B2104" t="s">
        <v>2506</v>
      </c>
      <c r="C2104" t="s">
        <v>292</v>
      </c>
      <c r="D2104" t="s">
        <v>293</v>
      </c>
      <c r="E2104" t="s">
        <v>306</v>
      </c>
      <c r="F2104" t="s">
        <v>2513</v>
      </c>
      <c r="G2104">
        <v>0</v>
      </c>
      <c r="H2104">
        <v>0</v>
      </c>
      <c r="I2104">
        <v>0</v>
      </c>
      <c r="J2104">
        <v>0</v>
      </c>
      <c r="K2104">
        <v>0</v>
      </c>
      <c r="L2104">
        <v>0</v>
      </c>
      <c r="M2104">
        <v>0</v>
      </c>
      <c r="N2104">
        <v>0</v>
      </c>
      <c r="O2104">
        <v>0</v>
      </c>
    </row>
    <row r="2105" spans="1:15" x14ac:dyDescent="0.35">
      <c r="A2105" t="s">
        <v>2505</v>
      </c>
      <c r="B2105" t="s">
        <v>2506</v>
      </c>
      <c r="C2105" t="s">
        <v>292</v>
      </c>
      <c r="D2105" t="s">
        <v>293</v>
      </c>
      <c r="E2105" t="s">
        <v>308</v>
      </c>
      <c r="F2105" t="s">
        <v>2514</v>
      </c>
      <c r="G2105">
        <v>0</v>
      </c>
      <c r="H2105">
        <v>0</v>
      </c>
      <c r="I2105">
        <v>0</v>
      </c>
      <c r="J2105">
        <v>0</v>
      </c>
      <c r="K2105">
        <v>0</v>
      </c>
      <c r="L2105">
        <v>0</v>
      </c>
      <c r="M2105">
        <v>0</v>
      </c>
      <c r="N2105">
        <v>0</v>
      </c>
      <c r="O2105">
        <v>0</v>
      </c>
    </row>
    <row r="2106" spans="1:15" x14ac:dyDescent="0.35">
      <c r="A2106" t="s">
        <v>2505</v>
      </c>
      <c r="B2106" t="s">
        <v>2506</v>
      </c>
      <c r="C2106" t="s">
        <v>292</v>
      </c>
      <c r="D2106" t="s">
        <v>293</v>
      </c>
      <c r="E2106" t="s">
        <v>310</v>
      </c>
      <c r="F2106" t="s">
        <v>2515</v>
      </c>
      <c r="G2106">
        <v>1724</v>
      </c>
      <c r="H2106">
        <v>218017.74</v>
      </c>
      <c r="I2106">
        <v>126.46</v>
      </c>
      <c r="J2106">
        <v>129</v>
      </c>
      <c r="K2106">
        <v>13691.45</v>
      </c>
      <c r="L2106">
        <v>106.14</v>
      </c>
      <c r="M2106">
        <v>1853</v>
      </c>
      <c r="N2106">
        <v>231709.19</v>
      </c>
      <c r="O2106">
        <v>125.05</v>
      </c>
    </row>
    <row r="2107" spans="1:15" x14ac:dyDescent="0.35">
      <c r="A2107" t="s">
        <v>2505</v>
      </c>
      <c r="B2107" t="s">
        <v>2506</v>
      </c>
      <c r="C2107" t="s">
        <v>292</v>
      </c>
      <c r="D2107" t="s">
        <v>293</v>
      </c>
      <c r="E2107" t="s">
        <v>312</v>
      </c>
      <c r="F2107" t="s">
        <v>2516</v>
      </c>
      <c r="G2107">
        <v>1724</v>
      </c>
      <c r="H2107">
        <v>218017.74</v>
      </c>
      <c r="I2107">
        <v>126.46</v>
      </c>
      <c r="J2107">
        <v>129</v>
      </c>
      <c r="K2107">
        <v>13691.45</v>
      </c>
      <c r="L2107">
        <v>106.14</v>
      </c>
      <c r="M2107">
        <v>1853</v>
      </c>
      <c r="N2107">
        <v>231709.19</v>
      </c>
      <c r="O2107">
        <v>125.05</v>
      </c>
    </row>
    <row r="2108" spans="1:15" x14ac:dyDescent="0.35">
      <c r="A2108" t="s">
        <v>2505</v>
      </c>
      <c r="B2108" t="s">
        <v>2506</v>
      </c>
      <c r="C2108" t="s">
        <v>292</v>
      </c>
      <c r="D2108" t="s">
        <v>314</v>
      </c>
      <c r="E2108" t="s">
        <v>294</v>
      </c>
      <c r="F2108" t="s">
        <v>2517</v>
      </c>
      <c r="G2108">
        <v>33</v>
      </c>
      <c r="H2108">
        <v>6820.6399999999994</v>
      </c>
      <c r="I2108">
        <v>206.69</v>
      </c>
      <c r="J2108">
        <v>0</v>
      </c>
      <c r="K2108">
        <v>0</v>
      </c>
      <c r="L2108">
        <v>0</v>
      </c>
      <c r="M2108">
        <v>33</v>
      </c>
      <c r="N2108">
        <v>6820.6399999999994</v>
      </c>
      <c r="O2108">
        <v>206.69</v>
      </c>
    </row>
    <row r="2109" spans="1:15" x14ac:dyDescent="0.35">
      <c r="A2109" t="s">
        <v>2505</v>
      </c>
      <c r="B2109" t="s">
        <v>2506</v>
      </c>
      <c r="C2109" t="s">
        <v>292</v>
      </c>
      <c r="D2109" t="s">
        <v>314</v>
      </c>
      <c r="E2109" t="s">
        <v>296</v>
      </c>
      <c r="F2109" t="s">
        <v>2518</v>
      </c>
      <c r="G2109">
        <v>175</v>
      </c>
      <c r="H2109">
        <v>27361.829999999998</v>
      </c>
      <c r="I2109">
        <v>156.35</v>
      </c>
      <c r="J2109">
        <v>0</v>
      </c>
      <c r="K2109">
        <v>0</v>
      </c>
      <c r="L2109">
        <v>0</v>
      </c>
      <c r="M2109">
        <v>175</v>
      </c>
      <c r="N2109">
        <v>27361.829999999998</v>
      </c>
      <c r="O2109">
        <v>156.35</v>
      </c>
    </row>
    <row r="2110" spans="1:15" x14ac:dyDescent="0.35">
      <c r="A2110" t="s">
        <v>2505</v>
      </c>
      <c r="B2110" t="s">
        <v>2506</v>
      </c>
      <c r="C2110" t="s">
        <v>292</v>
      </c>
      <c r="D2110" t="s">
        <v>314</v>
      </c>
      <c r="E2110" t="s">
        <v>298</v>
      </c>
      <c r="F2110" t="s">
        <v>2519</v>
      </c>
      <c r="G2110">
        <v>2</v>
      </c>
      <c r="H2110">
        <v>303.44</v>
      </c>
      <c r="I2110">
        <v>151.72</v>
      </c>
      <c r="J2110">
        <v>0</v>
      </c>
      <c r="K2110">
        <v>0</v>
      </c>
      <c r="L2110">
        <v>0</v>
      </c>
      <c r="M2110">
        <v>2</v>
      </c>
      <c r="N2110">
        <v>303.44</v>
      </c>
      <c r="O2110">
        <v>151.72</v>
      </c>
    </row>
    <row r="2111" spans="1:15" x14ac:dyDescent="0.35">
      <c r="A2111" t="s">
        <v>2505</v>
      </c>
      <c r="B2111" t="s">
        <v>2506</v>
      </c>
      <c r="C2111" t="s">
        <v>292</v>
      </c>
      <c r="D2111" t="s">
        <v>314</v>
      </c>
      <c r="E2111" t="s">
        <v>300</v>
      </c>
      <c r="F2111" t="s">
        <v>2520</v>
      </c>
      <c r="G2111">
        <v>0</v>
      </c>
      <c r="H2111">
        <v>0</v>
      </c>
      <c r="I2111">
        <v>0</v>
      </c>
      <c r="J2111">
        <v>0</v>
      </c>
      <c r="K2111">
        <v>0</v>
      </c>
      <c r="L2111">
        <v>0</v>
      </c>
      <c r="M2111">
        <v>0</v>
      </c>
      <c r="N2111">
        <v>0</v>
      </c>
      <c r="O2111">
        <v>0</v>
      </c>
    </row>
    <row r="2112" spans="1:15" x14ac:dyDescent="0.35">
      <c r="A2112" t="s">
        <v>2505</v>
      </c>
      <c r="B2112" t="s">
        <v>2506</v>
      </c>
      <c r="C2112" t="s">
        <v>292</v>
      </c>
      <c r="D2112" t="s">
        <v>314</v>
      </c>
      <c r="E2112" t="s">
        <v>306</v>
      </c>
      <c r="F2112" t="s">
        <v>2521</v>
      </c>
      <c r="G2112">
        <v>0</v>
      </c>
      <c r="H2112">
        <v>0</v>
      </c>
      <c r="I2112">
        <v>0</v>
      </c>
      <c r="J2112">
        <v>0</v>
      </c>
      <c r="K2112">
        <v>0</v>
      </c>
      <c r="L2112">
        <v>0</v>
      </c>
      <c r="M2112">
        <v>0</v>
      </c>
      <c r="N2112">
        <v>0</v>
      </c>
      <c r="O2112">
        <v>0</v>
      </c>
    </row>
    <row r="2113" spans="1:15" x14ac:dyDescent="0.35">
      <c r="A2113" t="s">
        <v>2505</v>
      </c>
      <c r="B2113" t="s">
        <v>2506</v>
      </c>
      <c r="C2113" t="s">
        <v>292</v>
      </c>
      <c r="D2113" t="s">
        <v>314</v>
      </c>
      <c r="E2113" t="s">
        <v>308</v>
      </c>
      <c r="F2113" t="s">
        <v>2522</v>
      </c>
      <c r="G2113">
        <v>6</v>
      </c>
      <c r="H2113">
        <v>684.06000000000006</v>
      </c>
      <c r="I2113">
        <v>114.01</v>
      </c>
      <c r="J2113">
        <v>0</v>
      </c>
      <c r="K2113">
        <v>0</v>
      </c>
      <c r="L2113">
        <v>0</v>
      </c>
      <c r="M2113">
        <v>6</v>
      </c>
      <c r="N2113">
        <v>684.06000000000006</v>
      </c>
      <c r="O2113">
        <v>114.01</v>
      </c>
    </row>
    <row r="2114" spans="1:15" x14ac:dyDescent="0.35">
      <c r="A2114" t="s">
        <v>2505</v>
      </c>
      <c r="B2114" t="s">
        <v>2506</v>
      </c>
      <c r="C2114" t="s">
        <v>292</v>
      </c>
      <c r="D2114" t="s">
        <v>314</v>
      </c>
      <c r="E2114" t="s">
        <v>312</v>
      </c>
      <c r="F2114" t="s">
        <v>2523</v>
      </c>
      <c r="G2114">
        <v>210</v>
      </c>
      <c r="H2114">
        <v>34485.910000000003</v>
      </c>
      <c r="I2114">
        <v>164.22</v>
      </c>
      <c r="J2114">
        <v>0</v>
      </c>
      <c r="K2114">
        <v>0</v>
      </c>
      <c r="L2114">
        <v>0</v>
      </c>
      <c r="M2114">
        <v>210</v>
      </c>
      <c r="N2114">
        <v>34485.910000000003</v>
      </c>
      <c r="O2114">
        <v>164.22</v>
      </c>
    </row>
    <row r="2115" spans="1:15" x14ac:dyDescent="0.35">
      <c r="A2115" t="s">
        <v>2505</v>
      </c>
      <c r="B2115" t="s">
        <v>2506</v>
      </c>
      <c r="C2115" t="s">
        <v>292</v>
      </c>
      <c r="D2115" t="s">
        <v>314</v>
      </c>
      <c r="E2115" t="s">
        <v>310</v>
      </c>
      <c r="F2115" t="s">
        <v>2524</v>
      </c>
      <c r="G2115">
        <v>216</v>
      </c>
      <c r="H2115">
        <v>35169.97</v>
      </c>
      <c r="I2115">
        <v>162.82</v>
      </c>
      <c r="J2115">
        <v>0</v>
      </c>
      <c r="K2115">
        <v>0</v>
      </c>
      <c r="L2115">
        <v>0</v>
      </c>
      <c r="M2115">
        <v>216</v>
      </c>
      <c r="N2115">
        <v>35169.97</v>
      </c>
      <c r="O2115">
        <v>162.82</v>
      </c>
    </row>
    <row r="2116" spans="1:15" x14ac:dyDescent="0.35">
      <c r="A2116" t="s">
        <v>2505</v>
      </c>
      <c r="B2116" t="s">
        <v>2506</v>
      </c>
      <c r="C2116" t="s">
        <v>292</v>
      </c>
      <c r="D2116" t="s">
        <v>323</v>
      </c>
      <c r="E2116" t="s">
        <v>294</v>
      </c>
      <c r="F2116" t="s">
        <v>2525</v>
      </c>
      <c r="G2116">
        <v>2891</v>
      </c>
      <c r="H2116">
        <v>236370.32999999996</v>
      </c>
      <c r="I2116">
        <v>81.760000000000005</v>
      </c>
      <c r="J2116">
        <v>1669</v>
      </c>
      <c r="K2116">
        <v>116295.92000000001</v>
      </c>
      <c r="L2116">
        <v>69.680000000000007</v>
      </c>
      <c r="M2116">
        <v>4560</v>
      </c>
      <c r="N2116">
        <v>352666.25</v>
      </c>
      <c r="O2116">
        <v>77.34</v>
      </c>
    </row>
    <row r="2117" spans="1:15" x14ac:dyDescent="0.35">
      <c r="A2117" t="s">
        <v>2505</v>
      </c>
      <c r="B2117" t="s">
        <v>2506</v>
      </c>
      <c r="C2117" t="s">
        <v>292</v>
      </c>
      <c r="D2117" t="s">
        <v>323</v>
      </c>
      <c r="E2117" t="s">
        <v>296</v>
      </c>
      <c r="F2117" t="s">
        <v>2526</v>
      </c>
      <c r="G2117">
        <v>5189</v>
      </c>
      <c r="H2117">
        <v>478211.02</v>
      </c>
      <c r="I2117">
        <v>92.16</v>
      </c>
      <c r="J2117">
        <v>3150</v>
      </c>
      <c r="K2117">
        <v>258614.99999999997</v>
      </c>
      <c r="L2117">
        <v>82.1</v>
      </c>
      <c r="M2117">
        <v>8339</v>
      </c>
      <c r="N2117">
        <v>736826.02</v>
      </c>
      <c r="O2117">
        <v>88.36</v>
      </c>
    </row>
    <row r="2118" spans="1:15" x14ac:dyDescent="0.35">
      <c r="A2118" t="s">
        <v>2505</v>
      </c>
      <c r="B2118" t="s">
        <v>2506</v>
      </c>
      <c r="C2118" t="s">
        <v>292</v>
      </c>
      <c r="D2118" t="s">
        <v>323</v>
      </c>
      <c r="E2118" t="s">
        <v>298</v>
      </c>
      <c r="F2118" t="s">
        <v>2527</v>
      </c>
      <c r="G2118">
        <v>4459</v>
      </c>
      <c r="H2118">
        <v>449999.28</v>
      </c>
      <c r="I2118">
        <v>100.92</v>
      </c>
      <c r="J2118">
        <v>2824</v>
      </c>
      <c r="K2118">
        <v>250771.19999999998</v>
      </c>
      <c r="L2118">
        <v>88.8</v>
      </c>
      <c r="M2118">
        <v>7283</v>
      </c>
      <c r="N2118">
        <v>700770.48</v>
      </c>
      <c r="O2118">
        <v>96.22</v>
      </c>
    </row>
    <row r="2119" spans="1:15" x14ac:dyDescent="0.35">
      <c r="A2119" t="s">
        <v>2505</v>
      </c>
      <c r="B2119" t="s">
        <v>2506</v>
      </c>
      <c r="C2119" t="s">
        <v>292</v>
      </c>
      <c r="D2119" t="s">
        <v>323</v>
      </c>
      <c r="E2119" t="s">
        <v>300</v>
      </c>
      <c r="F2119" t="s">
        <v>2528</v>
      </c>
      <c r="G2119">
        <v>224</v>
      </c>
      <c r="H2119">
        <v>25180.559999999998</v>
      </c>
      <c r="I2119">
        <v>112.41</v>
      </c>
      <c r="J2119">
        <v>148</v>
      </c>
      <c r="K2119">
        <v>14546.92</v>
      </c>
      <c r="L2119">
        <v>98.29</v>
      </c>
      <c r="M2119">
        <v>372</v>
      </c>
      <c r="N2119">
        <v>39727.479999999996</v>
      </c>
      <c r="O2119">
        <v>106.79</v>
      </c>
    </row>
    <row r="2120" spans="1:15" x14ac:dyDescent="0.35">
      <c r="A2120" t="s">
        <v>2505</v>
      </c>
      <c r="B2120" t="s">
        <v>2506</v>
      </c>
      <c r="C2120" t="s">
        <v>292</v>
      </c>
      <c r="D2120" t="s">
        <v>323</v>
      </c>
      <c r="E2120" t="s">
        <v>302</v>
      </c>
      <c r="F2120" t="s">
        <v>2529</v>
      </c>
      <c r="G2120">
        <v>7</v>
      </c>
      <c r="H2120">
        <v>837.09</v>
      </c>
      <c r="I2120">
        <v>119.58</v>
      </c>
      <c r="J2120">
        <v>4</v>
      </c>
      <c r="K2120">
        <v>400</v>
      </c>
      <c r="L2120">
        <v>100</v>
      </c>
      <c r="M2120">
        <v>11</v>
      </c>
      <c r="N2120">
        <v>1237.0900000000001</v>
      </c>
      <c r="O2120">
        <v>112.46</v>
      </c>
    </row>
    <row r="2121" spans="1:15" x14ac:dyDescent="0.35">
      <c r="A2121" t="s">
        <v>2505</v>
      </c>
      <c r="B2121" t="s">
        <v>2506</v>
      </c>
      <c r="C2121" t="s">
        <v>292</v>
      </c>
      <c r="D2121" t="s">
        <v>323</v>
      </c>
      <c r="E2121" t="s">
        <v>304</v>
      </c>
      <c r="F2121" t="s">
        <v>2530</v>
      </c>
      <c r="G2121">
        <v>0</v>
      </c>
      <c r="H2121">
        <v>0</v>
      </c>
      <c r="I2121">
        <v>0</v>
      </c>
      <c r="J2121">
        <v>1</v>
      </c>
      <c r="K2121">
        <v>120.79</v>
      </c>
      <c r="L2121">
        <v>120.79</v>
      </c>
      <c r="M2121">
        <v>1</v>
      </c>
      <c r="N2121">
        <v>120.79</v>
      </c>
      <c r="O2121">
        <v>120.79</v>
      </c>
    </row>
    <row r="2122" spans="1:15" x14ac:dyDescent="0.35">
      <c r="A2122" t="s">
        <v>2505</v>
      </c>
      <c r="B2122" t="s">
        <v>2506</v>
      </c>
      <c r="C2122" t="s">
        <v>292</v>
      </c>
      <c r="D2122" t="s">
        <v>323</v>
      </c>
      <c r="E2122" t="s">
        <v>306</v>
      </c>
      <c r="F2122" t="s">
        <v>2531</v>
      </c>
      <c r="G2122">
        <v>17</v>
      </c>
      <c r="H2122">
        <v>1266.27</v>
      </c>
      <c r="I2122">
        <v>74.489999999999995</v>
      </c>
      <c r="J2122">
        <v>16</v>
      </c>
      <c r="K2122">
        <v>1002.24</v>
      </c>
      <c r="L2122">
        <v>62.64</v>
      </c>
      <c r="M2122">
        <v>33</v>
      </c>
      <c r="N2122">
        <v>2268.5100000000002</v>
      </c>
      <c r="O2122">
        <v>68.739999999999995</v>
      </c>
    </row>
    <row r="2123" spans="1:15" x14ac:dyDescent="0.35">
      <c r="A2123" t="s">
        <v>2505</v>
      </c>
      <c r="B2123" t="s">
        <v>2506</v>
      </c>
      <c r="C2123" t="s">
        <v>292</v>
      </c>
      <c r="D2123" t="s">
        <v>323</v>
      </c>
      <c r="E2123" t="s">
        <v>308</v>
      </c>
      <c r="F2123" t="s">
        <v>2532</v>
      </c>
      <c r="G2123">
        <v>0</v>
      </c>
      <c r="H2123">
        <v>0</v>
      </c>
      <c r="I2123">
        <v>0</v>
      </c>
      <c r="J2123">
        <v>0</v>
      </c>
      <c r="K2123">
        <v>0</v>
      </c>
      <c r="L2123">
        <v>0</v>
      </c>
      <c r="M2123">
        <v>0</v>
      </c>
      <c r="N2123">
        <v>0</v>
      </c>
      <c r="O2123">
        <v>0</v>
      </c>
    </row>
    <row r="2124" spans="1:15" x14ac:dyDescent="0.35">
      <c r="A2124" t="s">
        <v>2505</v>
      </c>
      <c r="B2124" t="s">
        <v>2506</v>
      </c>
      <c r="C2124" t="s">
        <v>292</v>
      </c>
      <c r="D2124" t="s">
        <v>323</v>
      </c>
      <c r="E2124" t="s">
        <v>310</v>
      </c>
      <c r="F2124" t="s">
        <v>2533</v>
      </c>
      <c r="G2124">
        <v>12787</v>
      </c>
      <c r="H2124">
        <v>1191864.55</v>
      </c>
      <c r="I2124">
        <v>93.21</v>
      </c>
      <c r="J2124">
        <v>7812</v>
      </c>
      <c r="K2124">
        <v>641752.07000000007</v>
      </c>
      <c r="L2124">
        <v>82.15</v>
      </c>
      <c r="M2124">
        <v>20599</v>
      </c>
      <c r="N2124">
        <v>1833616.62</v>
      </c>
      <c r="O2124">
        <v>89.01</v>
      </c>
    </row>
    <row r="2125" spans="1:15" x14ac:dyDescent="0.35">
      <c r="A2125" t="s">
        <v>2505</v>
      </c>
      <c r="B2125" t="s">
        <v>2506</v>
      </c>
      <c r="C2125" t="s">
        <v>292</v>
      </c>
      <c r="D2125" t="s">
        <v>323</v>
      </c>
      <c r="E2125" t="s">
        <v>312</v>
      </c>
      <c r="F2125" t="s">
        <v>2534</v>
      </c>
      <c r="G2125">
        <v>12787</v>
      </c>
      <c r="H2125">
        <v>1191864.55</v>
      </c>
      <c r="I2125">
        <v>93.21</v>
      </c>
      <c r="J2125">
        <v>7812</v>
      </c>
      <c r="K2125">
        <v>641752.07000000007</v>
      </c>
      <c r="L2125">
        <v>82.15</v>
      </c>
      <c r="M2125">
        <v>20599</v>
      </c>
      <c r="N2125">
        <v>1833616.62</v>
      </c>
      <c r="O2125">
        <v>89.01</v>
      </c>
    </row>
    <row r="2126" spans="1:15" x14ac:dyDescent="0.35">
      <c r="A2126" t="s">
        <v>2505</v>
      </c>
      <c r="B2126" t="s">
        <v>2506</v>
      </c>
      <c r="C2126" t="s">
        <v>292</v>
      </c>
      <c r="D2126" t="s">
        <v>334</v>
      </c>
      <c r="E2126" t="s">
        <v>312</v>
      </c>
      <c r="F2126" t="s">
        <v>2535</v>
      </c>
      <c r="G2126">
        <v>14790</v>
      </c>
      <c r="H2126">
        <v>1409882.2900000003</v>
      </c>
      <c r="I2126">
        <v>97.16</v>
      </c>
      <c r="J2126">
        <v>7941</v>
      </c>
      <c r="K2126">
        <v>655443.52</v>
      </c>
      <c r="L2126">
        <v>82.54</v>
      </c>
      <c r="M2126">
        <v>22731</v>
      </c>
      <c r="N2126">
        <v>2065325.8100000003</v>
      </c>
      <c r="O2126">
        <v>91.99</v>
      </c>
    </row>
    <row r="2127" spans="1:15" x14ac:dyDescent="0.35">
      <c r="A2127" t="s">
        <v>2505</v>
      </c>
      <c r="B2127" t="s">
        <v>2506</v>
      </c>
      <c r="C2127" t="s">
        <v>292</v>
      </c>
      <c r="D2127" t="s">
        <v>334</v>
      </c>
      <c r="E2127" t="s">
        <v>308</v>
      </c>
      <c r="F2127" t="s">
        <v>2536</v>
      </c>
      <c r="G2127">
        <v>0</v>
      </c>
      <c r="H2127">
        <v>0</v>
      </c>
      <c r="I2127">
        <v>0</v>
      </c>
      <c r="J2127">
        <v>0</v>
      </c>
      <c r="K2127">
        <v>0</v>
      </c>
      <c r="L2127">
        <v>0</v>
      </c>
      <c r="M2127">
        <v>0</v>
      </c>
      <c r="N2127">
        <v>0</v>
      </c>
      <c r="O2127">
        <v>0</v>
      </c>
    </row>
    <row r="2128" spans="1:15" x14ac:dyDescent="0.35">
      <c r="A2128" t="s">
        <v>2505</v>
      </c>
      <c r="B2128" t="s">
        <v>2506</v>
      </c>
      <c r="C2128" t="s">
        <v>292</v>
      </c>
      <c r="D2128" t="s">
        <v>337</v>
      </c>
      <c r="E2128" t="s">
        <v>337</v>
      </c>
      <c r="F2128" t="s">
        <v>2537</v>
      </c>
      <c r="G2128">
        <v>876</v>
      </c>
      <c r="J2128">
        <v>3</v>
      </c>
      <c r="M2128">
        <v>879</v>
      </c>
    </row>
    <row r="2129" spans="1:15" x14ac:dyDescent="0.35">
      <c r="A2129" t="s">
        <v>2505</v>
      </c>
      <c r="B2129" t="s">
        <v>2506</v>
      </c>
      <c r="C2129" t="s">
        <v>292</v>
      </c>
      <c r="D2129" t="s">
        <v>339</v>
      </c>
      <c r="E2129" t="s">
        <v>294</v>
      </c>
      <c r="F2129" t="s">
        <v>2538</v>
      </c>
      <c r="G2129">
        <v>1644</v>
      </c>
      <c r="H2129">
        <v>161891.34</v>
      </c>
      <c r="I2129">
        <v>98.47</v>
      </c>
      <c r="J2129">
        <v>230</v>
      </c>
      <c r="K2129">
        <v>15777.999999999998</v>
      </c>
      <c r="L2129">
        <v>68.599999999999994</v>
      </c>
      <c r="M2129">
        <v>1874</v>
      </c>
      <c r="N2129">
        <v>177669.34</v>
      </c>
      <c r="O2129">
        <v>94.81</v>
      </c>
    </row>
    <row r="2130" spans="1:15" x14ac:dyDescent="0.35">
      <c r="A2130" t="s">
        <v>2505</v>
      </c>
      <c r="B2130" t="s">
        <v>2506</v>
      </c>
      <c r="C2130" t="s">
        <v>292</v>
      </c>
      <c r="D2130" t="s">
        <v>339</v>
      </c>
      <c r="E2130" t="s">
        <v>296</v>
      </c>
      <c r="F2130" t="s">
        <v>2539</v>
      </c>
      <c r="G2130">
        <v>948</v>
      </c>
      <c r="H2130">
        <v>92046.199999999983</v>
      </c>
      <c r="I2130">
        <v>97.1</v>
      </c>
      <c r="J2130">
        <v>21</v>
      </c>
      <c r="K2130">
        <v>1725.57</v>
      </c>
      <c r="L2130">
        <v>82.17</v>
      </c>
      <c r="M2130">
        <v>969</v>
      </c>
      <c r="N2130">
        <v>93771.76999999999</v>
      </c>
      <c r="O2130">
        <v>96.77</v>
      </c>
    </row>
    <row r="2131" spans="1:15" x14ac:dyDescent="0.35">
      <c r="A2131" t="s">
        <v>2505</v>
      </c>
      <c r="B2131" t="s">
        <v>2506</v>
      </c>
      <c r="C2131" t="s">
        <v>292</v>
      </c>
      <c r="D2131" t="s">
        <v>339</v>
      </c>
      <c r="E2131" t="s">
        <v>298</v>
      </c>
      <c r="F2131" t="s">
        <v>2540</v>
      </c>
      <c r="G2131">
        <v>50</v>
      </c>
      <c r="H2131">
        <v>5477.4299999999985</v>
      </c>
      <c r="I2131">
        <v>109.55</v>
      </c>
      <c r="J2131">
        <v>4</v>
      </c>
      <c r="K2131">
        <v>268.56</v>
      </c>
      <c r="L2131">
        <v>67.14</v>
      </c>
      <c r="M2131">
        <v>54</v>
      </c>
      <c r="N2131">
        <v>5745.9899999999989</v>
      </c>
      <c r="O2131">
        <v>106.41</v>
      </c>
    </row>
    <row r="2132" spans="1:15" x14ac:dyDescent="0.35">
      <c r="A2132" t="s">
        <v>2505</v>
      </c>
      <c r="B2132" t="s">
        <v>2506</v>
      </c>
      <c r="C2132" t="s">
        <v>292</v>
      </c>
      <c r="D2132" t="s">
        <v>339</v>
      </c>
      <c r="E2132" t="s">
        <v>300</v>
      </c>
      <c r="F2132" t="s">
        <v>2541</v>
      </c>
      <c r="G2132">
        <v>2</v>
      </c>
      <c r="H2132">
        <v>244.91</v>
      </c>
      <c r="I2132">
        <v>122.46</v>
      </c>
      <c r="J2132">
        <v>0</v>
      </c>
      <c r="K2132">
        <v>0</v>
      </c>
      <c r="L2132">
        <v>0</v>
      </c>
      <c r="M2132">
        <v>2</v>
      </c>
      <c r="N2132">
        <v>244.91</v>
      </c>
      <c r="O2132">
        <v>122.46</v>
      </c>
    </row>
    <row r="2133" spans="1:15" x14ac:dyDescent="0.35">
      <c r="A2133" t="s">
        <v>2505</v>
      </c>
      <c r="B2133" t="s">
        <v>2506</v>
      </c>
      <c r="C2133" t="s">
        <v>292</v>
      </c>
      <c r="D2133" t="s">
        <v>339</v>
      </c>
      <c r="E2133" t="s">
        <v>306</v>
      </c>
      <c r="F2133" t="s">
        <v>2542</v>
      </c>
      <c r="G2133">
        <v>307</v>
      </c>
      <c r="H2133">
        <v>23664.080000000002</v>
      </c>
      <c r="I2133">
        <v>77.08</v>
      </c>
      <c r="J2133">
        <v>14</v>
      </c>
      <c r="K2133">
        <v>989.66</v>
      </c>
      <c r="L2133">
        <v>70.69</v>
      </c>
      <c r="M2133">
        <v>321</v>
      </c>
      <c r="N2133">
        <v>24653.74</v>
      </c>
      <c r="O2133">
        <v>76.8</v>
      </c>
    </row>
    <row r="2134" spans="1:15" x14ac:dyDescent="0.35">
      <c r="A2134" t="s">
        <v>2505</v>
      </c>
      <c r="B2134" t="s">
        <v>2506</v>
      </c>
      <c r="C2134" t="s">
        <v>292</v>
      </c>
      <c r="D2134" t="s">
        <v>339</v>
      </c>
      <c r="E2134" t="s">
        <v>308</v>
      </c>
      <c r="F2134" t="s">
        <v>2543</v>
      </c>
      <c r="G2134">
        <v>196</v>
      </c>
      <c r="H2134">
        <v>30636.239999999994</v>
      </c>
      <c r="I2134">
        <v>156.31</v>
      </c>
      <c r="J2134">
        <v>0</v>
      </c>
      <c r="K2134">
        <v>0</v>
      </c>
      <c r="L2134">
        <v>0</v>
      </c>
      <c r="M2134">
        <v>196</v>
      </c>
      <c r="N2134">
        <v>30636.239999999994</v>
      </c>
      <c r="O2134">
        <v>156.31</v>
      </c>
    </row>
    <row r="2135" spans="1:15" x14ac:dyDescent="0.35">
      <c r="A2135" t="s">
        <v>2505</v>
      </c>
      <c r="B2135" t="s">
        <v>2506</v>
      </c>
      <c r="C2135" t="s">
        <v>292</v>
      </c>
      <c r="D2135" t="s">
        <v>339</v>
      </c>
      <c r="E2135" t="s">
        <v>310</v>
      </c>
      <c r="F2135" t="s">
        <v>2544</v>
      </c>
      <c r="G2135">
        <v>3147</v>
      </c>
      <c r="H2135">
        <v>313960.19999999995</v>
      </c>
      <c r="I2135">
        <v>99.76</v>
      </c>
      <c r="J2135">
        <v>269</v>
      </c>
      <c r="K2135">
        <v>18761.79</v>
      </c>
      <c r="L2135">
        <v>69.75</v>
      </c>
      <c r="M2135">
        <v>3416</v>
      </c>
      <c r="N2135">
        <v>332721.98999999993</v>
      </c>
      <c r="O2135">
        <v>97.4</v>
      </c>
    </row>
    <row r="2136" spans="1:15" x14ac:dyDescent="0.35">
      <c r="A2136" t="s">
        <v>2505</v>
      </c>
      <c r="B2136" t="s">
        <v>2506</v>
      </c>
      <c r="C2136" t="s">
        <v>292</v>
      </c>
      <c r="D2136" t="s">
        <v>339</v>
      </c>
      <c r="E2136" t="s">
        <v>312</v>
      </c>
      <c r="F2136" t="s">
        <v>2545</v>
      </c>
      <c r="G2136">
        <v>2951</v>
      </c>
      <c r="H2136">
        <v>283323.95999999996</v>
      </c>
      <c r="I2136">
        <v>96.01</v>
      </c>
      <c r="J2136">
        <v>269</v>
      </c>
      <c r="K2136">
        <v>18761.79</v>
      </c>
      <c r="L2136">
        <v>69.75</v>
      </c>
      <c r="M2136">
        <v>3220</v>
      </c>
      <c r="N2136">
        <v>302085.74999999994</v>
      </c>
      <c r="O2136">
        <v>93.82</v>
      </c>
    </row>
    <row r="2137" spans="1:15" x14ac:dyDescent="0.35">
      <c r="A2137" t="s">
        <v>2505</v>
      </c>
      <c r="B2137" t="s">
        <v>2506</v>
      </c>
      <c r="C2137" t="s">
        <v>292</v>
      </c>
      <c r="D2137" t="s">
        <v>348</v>
      </c>
      <c r="E2137" t="s">
        <v>349</v>
      </c>
      <c r="F2137" t="s">
        <v>2546</v>
      </c>
      <c r="G2137">
        <v>3528</v>
      </c>
      <c r="H2137">
        <v>349130.17</v>
      </c>
      <c r="I2137">
        <v>103.82</v>
      </c>
      <c r="J2137">
        <v>269</v>
      </c>
      <c r="K2137">
        <v>18761.79</v>
      </c>
      <c r="L2137">
        <v>69.75</v>
      </c>
      <c r="M2137">
        <v>3797</v>
      </c>
      <c r="N2137">
        <v>367891.95999999996</v>
      </c>
      <c r="O2137">
        <v>101.29</v>
      </c>
    </row>
    <row r="2138" spans="1:15" x14ac:dyDescent="0.35">
      <c r="A2138" t="s">
        <v>2547</v>
      </c>
      <c r="B2138" t="s">
        <v>2548</v>
      </c>
      <c r="C2138" t="s">
        <v>1184</v>
      </c>
      <c r="D2138" t="s">
        <v>293</v>
      </c>
      <c r="E2138" t="s">
        <v>294</v>
      </c>
      <c r="F2138" t="s">
        <v>2549</v>
      </c>
      <c r="G2138">
        <v>139</v>
      </c>
      <c r="H2138">
        <v>20690.620000000003</v>
      </c>
      <c r="I2138">
        <v>148.85</v>
      </c>
      <c r="J2138">
        <v>87</v>
      </c>
      <c r="K2138">
        <v>12898.619999999999</v>
      </c>
      <c r="L2138">
        <v>148.26</v>
      </c>
      <c r="M2138">
        <v>226</v>
      </c>
      <c r="N2138">
        <v>33589.240000000005</v>
      </c>
      <c r="O2138">
        <v>148.62</v>
      </c>
    </row>
    <row r="2139" spans="1:15" x14ac:dyDescent="0.35">
      <c r="A2139" t="s">
        <v>2547</v>
      </c>
      <c r="B2139" t="s">
        <v>2548</v>
      </c>
      <c r="C2139" t="s">
        <v>1184</v>
      </c>
      <c r="D2139" t="s">
        <v>293</v>
      </c>
      <c r="E2139" t="s">
        <v>296</v>
      </c>
      <c r="F2139" t="s">
        <v>2550</v>
      </c>
      <c r="G2139">
        <v>423</v>
      </c>
      <c r="H2139">
        <v>78690.31</v>
      </c>
      <c r="I2139">
        <v>186.03</v>
      </c>
      <c r="J2139">
        <v>112</v>
      </c>
      <c r="K2139">
        <v>20773.759999999998</v>
      </c>
      <c r="L2139">
        <v>185.48</v>
      </c>
      <c r="M2139">
        <v>535</v>
      </c>
      <c r="N2139">
        <v>99464.069999999992</v>
      </c>
      <c r="O2139">
        <v>185.91</v>
      </c>
    </row>
    <row r="2140" spans="1:15" x14ac:dyDescent="0.35">
      <c r="A2140" t="s">
        <v>2547</v>
      </c>
      <c r="B2140" t="s">
        <v>2548</v>
      </c>
      <c r="C2140" t="s">
        <v>1184</v>
      </c>
      <c r="D2140" t="s">
        <v>293</v>
      </c>
      <c r="E2140" t="s">
        <v>298</v>
      </c>
      <c r="F2140" t="s">
        <v>2551</v>
      </c>
      <c r="G2140">
        <v>101</v>
      </c>
      <c r="H2140">
        <v>21808.329999999998</v>
      </c>
      <c r="I2140">
        <v>215.92</v>
      </c>
      <c r="J2140">
        <v>103</v>
      </c>
      <c r="K2140">
        <v>21464.17</v>
      </c>
      <c r="L2140">
        <v>208.39</v>
      </c>
      <c r="M2140">
        <v>204</v>
      </c>
      <c r="N2140">
        <v>43272.5</v>
      </c>
      <c r="O2140">
        <v>212.12</v>
      </c>
    </row>
    <row r="2141" spans="1:15" x14ac:dyDescent="0.35">
      <c r="A2141" t="s">
        <v>2547</v>
      </c>
      <c r="B2141" t="s">
        <v>2548</v>
      </c>
      <c r="C2141" t="s">
        <v>1184</v>
      </c>
      <c r="D2141" t="s">
        <v>293</v>
      </c>
      <c r="E2141" t="s">
        <v>300</v>
      </c>
      <c r="F2141" t="s">
        <v>2552</v>
      </c>
      <c r="G2141">
        <v>7</v>
      </c>
      <c r="H2141">
        <v>1979.09</v>
      </c>
      <c r="I2141">
        <v>282.73</v>
      </c>
      <c r="J2141">
        <v>20</v>
      </c>
      <c r="K2141">
        <v>5769.6</v>
      </c>
      <c r="L2141">
        <v>288.48</v>
      </c>
      <c r="M2141">
        <v>27</v>
      </c>
      <c r="N2141">
        <v>7748.6900000000005</v>
      </c>
      <c r="O2141">
        <v>286.99</v>
      </c>
    </row>
    <row r="2142" spans="1:15" x14ac:dyDescent="0.35">
      <c r="A2142" t="s">
        <v>2547</v>
      </c>
      <c r="B2142" t="s">
        <v>2548</v>
      </c>
      <c r="C2142" t="s">
        <v>1184</v>
      </c>
      <c r="D2142" t="s">
        <v>293</v>
      </c>
      <c r="E2142" t="s">
        <v>302</v>
      </c>
      <c r="F2142" t="s">
        <v>2553</v>
      </c>
      <c r="G2142">
        <v>1</v>
      </c>
      <c r="H2142">
        <v>245.25</v>
      </c>
      <c r="I2142">
        <v>245.25</v>
      </c>
      <c r="J2142">
        <v>0</v>
      </c>
      <c r="K2142">
        <v>0</v>
      </c>
      <c r="L2142">
        <v>0</v>
      </c>
      <c r="M2142">
        <v>1</v>
      </c>
      <c r="N2142">
        <v>245.25</v>
      </c>
      <c r="O2142">
        <v>245.25</v>
      </c>
    </row>
    <row r="2143" spans="1:15" x14ac:dyDescent="0.35">
      <c r="A2143" t="s">
        <v>2547</v>
      </c>
      <c r="B2143" t="s">
        <v>2548</v>
      </c>
      <c r="C2143" t="s">
        <v>1184</v>
      </c>
      <c r="D2143" t="s">
        <v>293</v>
      </c>
      <c r="E2143" t="s">
        <v>304</v>
      </c>
      <c r="F2143" t="s">
        <v>2554</v>
      </c>
      <c r="G2143">
        <v>0</v>
      </c>
      <c r="H2143">
        <v>0</v>
      </c>
      <c r="I2143">
        <v>0</v>
      </c>
      <c r="J2143">
        <v>0</v>
      </c>
      <c r="K2143">
        <v>0</v>
      </c>
      <c r="L2143">
        <v>0</v>
      </c>
      <c r="M2143">
        <v>0</v>
      </c>
      <c r="N2143">
        <v>0</v>
      </c>
      <c r="O2143">
        <v>0</v>
      </c>
    </row>
    <row r="2144" spans="1:15" x14ac:dyDescent="0.35">
      <c r="A2144" t="s">
        <v>2547</v>
      </c>
      <c r="B2144" t="s">
        <v>2548</v>
      </c>
      <c r="C2144" t="s">
        <v>1184</v>
      </c>
      <c r="D2144" t="s">
        <v>293</v>
      </c>
      <c r="E2144" t="s">
        <v>306</v>
      </c>
      <c r="F2144" t="s">
        <v>2555</v>
      </c>
      <c r="G2144">
        <v>0</v>
      </c>
      <c r="H2144">
        <v>0</v>
      </c>
      <c r="I2144">
        <v>0</v>
      </c>
      <c r="J2144">
        <v>0</v>
      </c>
      <c r="K2144">
        <v>0</v>
      </c>
      <c r="L2144">
        <v>0</v>
      </c>
      <c r="M2144">
        <v>0</v>
      </c>
      <c r="N2144">
        <v>0</v>
      </c>
      <c r="O2144">
        <v>0</v>
      </c>
    </row>
    <row r="2145" spans="1:15" x14ac:dyDescent="0.35">
      <c r="A2145" t="s">
        <v>2547</v>
      </c>
      <c r="B2145" t="s">
        <v>2548</v>
      </c>
      <c r="C2145" t="s">
        <v>1184</v>
      </c>
      <c r="D2145" t="s">
        <v>293</v>
      </c>
      <c r="E2145" t="s">
        <v>308</v>
      </c>
      <c r="F2145" t="s">
        <v>2556</v>
      </c>
      <c r="G2145">
        <v>12</v>
      </c>
      <c r="H2145">
        <v>2002.8000000000002</v>
      </c>
      <c r="I2145">
        <v>166.9</v>
      </c>
      <c r="J2145">
        <v>0</v>
      </c>
      <c r="K2145">
        <v>0</v>
      </c>
      <c r="L2145">
        <v>0</v>
      </c>
      <c r="M2145">
        <v>12</v>
      </c>
      <c r="N2145">
        <v>2002.8000000000002</v>
      </c>
      <c r="O2145">
        <v>166.9</v>
      </c>
    </row>
    <row r="2146" spans="1:15" x14ac:dyDescent="0.35">
      <c r="A2146" t="s">
        <v>2547</v>
      </c>
      <c r="B2146" t="s">
        <v>2548</v>
      </c>
      <c r="C2146" t="s">
        <v>1184</v>
      </c>
      <c r="D2146" t="s">
        <v>293</v>
      </c>
      <c r="E2146" t="s">
        <v>310</v>
      </c>
      <c r="F2146" t="s">
        <v>2557</v>
      </c>
      <c r="G2146">
        <v>683</v>
      </c>
      <c r="H2146">
        <v>125416.4</v>
      </c>
      <c r="I2146">
        <v>183.63</v>
      </c>
      <c r="J2146">
        <v>322</v>
      </c>
      <c r="K2146">
        <v>60906.149999999994</v>
      </c>
      <c r="L2146">
        <v>189.15</v>
      </c>
      <c r="M2146">
        <v>1005</v>
      </c>
      <c r="N2146">
        <v>186322.55</v>
      </c>
      <c r="O2146">
        <v>185.4</v>
      </c>
    </row>
    <row r="2147" spans="1:15" x14ac:dyDescent="0.35">
      <c r="A2147" t="s">
        <v>2547</v>
      </c>
      <c r="B2147" t="s">
        <v>2548</v>
      </c>
      <c r="C2147" t="s">
        <v>1184</v>
      </c>
      <c r="D2147" t="s">
        <v>293</v>
      </c>
      <c r="E2147" t="s">
        <v>312</v>
      </c>
      <c r="F2147" t="s">
        <v>2558</v>
      </c>
      <c r="G2147">
        <v>671</v>
      </c>
      <c r="H2147">
        <v>123413.59999999999</v>
      </c>
      <c r="I2147">
        <v>183.92</v>
      </c>
      <c r="J2147">
        <v>322</v>
      </c>
      <c r="K2147">
        <v>60906.149999999994</v>
      </c>
      <c r="L2147">
        <v>189.15</v>
      </c>
      <c r="M2147">
        <v>993</v>
      </c>
      <c r="N2147">
        <v>184319.75</v>
      </c>
      <c r="O2147">
        <v>185.62</v>
      </c>
    </row>
    <row r="2148" spans="1:15" x14ac:dyDescent="0.35">
      <c r="A2148" t="s">
        <v>2547</v>
      </c>
      <c r="B2148" t="s">
        <v>2548</v>
      </c>
      <c r="C2148" t="s">
        <v>1184</v>
      </c>
      <c r="D2148" t="s">
        <v>314</v>
      </c>
      <c r="E2148" t="s">
        <v>294</v>
      </c>
      <c r="F2148" t="s">
        <v>2559</v>
      </c>
      <c r="G2148">
        <v>0</v>
      </c>
      <c r="H2148">
        <v>0</v>
      </c>
      <c r="I2148">
        <v>0</v>
      </c>
      <c r="J2148">
        <v>30</v>
      </c>
      <c r="K2148">
        <v>3237.2999999999997</v>
      </c>
      <c r="L2148">
        <v>107.91</v>
      </c>
      <c r="M2148">
        <v>30</v>
      </c>
      <c r="N2148">
        <v>3237.2999999999997</v>
      </c>
      <c r="O2148">
        <v>107.91</v>
      </c>
    </row>
    <row r="2149" spans="1:15" x14ac:dyDescent="0.35">
      <c r="A2149" t="s">
        <v>2547</v>
      </c>
      <c r="B2149" t="s">
        <v>2548</v>
      </c>
      <c r="C2149" t="s">
        <v>1184</v>
      </c>
      <c r="D2149" t="s">
        <v>314</v>
      </c>
      <c r="E2149" t="s">
        <v>296</v>
      </c>
      <c r="F2149" t="s">
        <v>2560</v>
      </c>
      <c r="G2149">
        <v>0</v>
      </c>
      <c r="H2149">
        <v>0</v>
      </c>
      <c r="I2149">
        <v>0</v>
      </c>
      <c r="J2149">
        <v>23</v>
      </c>
      <c r="K2149">
        <v>3281.87</v>
      </c>
      <c r="L2149">
        <v>142.69</v>
      </c>
      <c r="M2149">
        <v>23</v>
      </c>
      <c r="N2149">
        <v>3281.87</v>
      </c>
      <c r="O2149">
        <v>142.69</v>
      </c>
    </row>
    <row r="2150" spans="1:15" x14ac:dyDescent="0.35">
      <c r="A2150" t="s">
        <v>2547</v>
      </c>
      <c r="B2150" t="s">
        <v>2548</v>
      </c>
      <c r="C2150" t="s">
        <v>1184</v>
      </c>
      <c r="D2150" t="s">
        <v>314</v>
      </c>
      <c r="E2150" t="s">
        <v>298</v>
      </c>
      <c r="F2150" t="s">
        <v>2561</v>
      </c>
      <c r="G2150">
        <v>0</v>
      </c>
      <c r="H2150">
        <v>0</v>
      </c>
      <c r="I2150">
        <v>0</v>
      </c>
      <c r="J2150">
        <v>0</v>
      </c>
      <c r="K2150">
        <v>0</v>
      </c>
      <c r="L2150">
        <v>0</v>
      </c>
      <c r="M2150">
        <v>0</v>
      </c>
      <c r="N2150">
        <v>0</v>
      </c>
      <c r="O2150">
        <v>0</v>
      </c>
    </row>
    <row r="2151" spans="1:15" x14ac:dyDescent="0.35">
      <c r="A2151" t="s">
        <v>2547</v>
      </c>
      <c r="B2151" t="s">
        <v>2548</v>
      </c>
      <c r="C2151" t="s">
        <v>1184</v>
      </c>
      <c r="D2151" t="s">
        <v>314</v>
      </c>
      <c r="E2151" t="s">
        <v>300</v>
      </c>
      <c r="F2151" t="s">
        <v>2562</v>
      </c>
      <c r="G2151">
        <v>0</v>
      </c>
      <c r="H2151">
        <v>0</v>
      </c>
      <c r="I2151">
        <v>0</v>
      </c>
      <c r="J2151">
        <v>0</v>
      </c>
      <c r="K2151">
        <v>0</v>
      </c>
      <c r="L2151">
        <v>0</v>
      </c>
      <c r="M2151">
        <v>0</v>
      </c>
      <c r="N2151">
        <v>0</v>
      </c>
      <c r="O2151">
        <v>0</v>
      </c>
    </row>
    <row r="2152" spans="1:15" x14ac:dyDescent="0.35">
      <c r="A2152" t="s">
        <v>2547</v>
      </c>
      <c r="B2152" t="s">
        <v>2548</v>
      </c>
      <c r="C2152" t="s">
        <v>1184</v>
      </c>
      <c r="D2152" t="s">
        <v>314</v>
      </c>
      <c r="E2152" t="s">
        <v>306</v>
      </c>
      <c r="F2152" t="s">
        <v>2563</v>
      </c>
      <c r="G2152">
        <v>0</v>
      </c>
      <c r="H2152">
        <v>0</v>
      </c>
      <c r="I2152">
        <v>0</v>
      </c>
      <c r="J2152">
        <v>0</v>
      </c>
      <c r="K2152">
        <v>0</v>
      </c>
      <c r="L2152">
        <v>0</v>
      </c>
      <c r="M2152">
        <v>0</v>
      </c>
      <c r="N2152">
        <v>0</v>
      </c>
      <c r="O2152">
        <v>0</v>
      </c>
    </row>
    <row r="2153" spans="1:15" x14ac:dyDescent="0.35">
      <c r="A2153" t="s">
        <v>2547</v>
      </c>
      <c r="B2153" t="s">
        <v>2548</v>
      </c>
      <c r="C2153" t="s">
        <v>1184</v>
      </c>
      <c r="D2153" t="s">
        <v>314</v>
      </c>
      <c r="E2153" t="s">
        <v>308</v>
      </c>
      <c r="F2153" t="s">
        <v>2564</v>
      </c>
      <c r="G2153">
        <v>52</v>
      </c>
      <c r="H2153">
        <v>21367.32</v>
      </c>
      <c r="I2153">
        <v>410.91</v>
      </c>
      <c r="J2153">
        <v>0</v>
      </c>
      <c r="K2153">
        <v>0</v>
      </c>
      <c r="L2153">
        <v>0</v>
      </c>
      <c r="M2153">
        <v>52</v>
      </c>
      <c r="N2153">
        <v>21367.32</v>
      </c>
      <c r="O2153">
        <v>410.91</v>
      </c>
    </row>
    <row r="2154" spans="1:15" x14ac:dyDescent="0.35">
      <c r="A2154" t="s">
        <v>2547</v>
      </c>
      <c r="B2154" t="s">
        <v>2548</v>
      </c>
      <c r="C2154" t="s">
        <v>1184</v>
      </c>
      <c r="D2154" t="s">
        <v>314</v>
      </c>
      <c r="E2154" t="s">
        <v>312</v>
      </c>
      <c r="F2154" t="s">
        <v>2565</v>
      </c>
      <c r="G2154">
        <v>0</v>
      </c>
      <c r="H2154">
        <v>0</v>
      </c>
      <c r="I2154">
        <v>0</v>
      </c>
      <c r="J2154">
        <v>53</v>
      </c>
      <c r="K2154">
        <v>6519.17</v>
      </c>
      <c r="L2154">
        <v>123</v>
      </c>
      <c r="M2154">
        <v>53</v>
      </c>
      <c r="N2154">
        <v>6519.17</v>
      </c>
      <c r="O2154">
        <v>123</v>
      </c>
    </row>
    <row r="2155" spans="1:15" x14ac:dyDescent="0.35">
      <c r="A2155" t="s">
        <v>2547</v>
      </c>
      <c r="B2155" t="s">
        <v>2548</v>
      </c>
      <c r="C2155" t="s">
        <v>1184</v>
      </c>
      <c r="D2155" t="s">
        <v>314</v>
      </c>
      <c r="E2155" t="s">
        <v>310</v>
      </c>
      <c r="F2155" t="s">
        <v>2566</v>
      </c>
      <c r="G2155">
        <v>52</v>
      </c>
      <c r="H2155">
        <v>21367.32</v>
      </c>
      <c r="I2155">
        <v>410.91</v>
      </c>
      <c r="J2155">
        <v>53</v>
      </c>
      <c r="K2155">
        <v>6519.17</v>
      </c>
      <c r="L2155">
        <v>123</v>
      </c>
      <c r="M2155">
        <v>105</v>
      </c>
      <c r="N2155">
        <v>27886.489999999998</v>
      </c>
      <c r="O2155">
        <v>265.58999999999997</v>
      </c>
    </row>
    <row r="2156" spans="1:15" x14ac:dyDescent="0.35">
      <c r="A2156" t="s">
        <v>2547</v>
      </c>
      <c r="B2156" t="s">
        <v>2548</v>
      </c>
      <c r="C2156" t="s">
        <v>1184</v>
      </c>
      <c r="D2156" t="s">
        <v>323</v>
      </c>
      <c r="E2156" t="s">
        <v>294</v>
      </c>
      <c r="F2156" t="s">
        <v>2567</v>
      </c>
      <c r="G2156">
        <v>1372</v>
      </c>
      <c r="H2156">
        <v>147555.41</v>
      </c>
      <c r="I2156">
        <v>107.55</v>
      </c>
      <c r="J2156">
        <v>1733</v>
      </c>
      <c r="K2156">
        <v>159626.63</v>
      </c>
      <c r="L2156">
        <v>92.11</v>
      </c>
      <c r="M2156">
        <v>3105</v>
      </c>
      <c r="N2156">
        <v>307182.04000000004</v>
      </c>
      <c r="O2156">
        <v>98.93</v>
      </c>
    </row>
    <row r="2157" spans="1:15" x14ac:dyDescent="0.35">
      <c r="A2157" t="s">
        <v>2547</v>
      </c>
      <c r="B2157" t="s">
        <v>2548</v>
      </c>
      <c r="C2157" t="s">
        <v>1184</v>
      </c>
      <c r="D2157" t="s">
        <v>323</v>
      </c>
      <c r="E2157" t="s">
        <v>296</v>
      </c>
      <c r="F2157" t="s">
        <v>2568</v>
      </c>
      <c r="G2157">
        <v>2368</v>
      </c>
      <c r="H2157">
        <v>296146.55999999994</v>
      </c>
      <c r="I2157">
        <v>125.06</v>
      </c>
      <c r="J2157">
        <v>2673</v>
      </c>
      <c r="K2157">
        <v>282937.05</v>
      </c>
      <c r="L2157">
        <v>105.85</v>
      </c>
      <c r="M2157">
        <v>5041</v>
      </c>
      <c r="N2157">
        <v>579083.60999999987</v>
      </c>
      <c r="O2157">
        <v>114.87</v>
      </c>
    </row>
    <row r="2158" spans="1:15" x14ac:dyDescent="0.35">
      <c r="A2158" t="s">
        <v>2547</v>
      </c>
      <c r="B2158" t="s">
        <v>2548</v>
      </c>
      <c r="C2158" t="s">
        <v>1184</v>
      </c>
      <c r="D2158" t="s">
        <v>323</v>
      </c>
      <c r="E2158" t="s">
        <v>298</v>
      </c>
      <c r="F2158" t="s">
        <v>2569</v>
      </c>
      <c r="G2158">
        <v>1814</v>
      </c>
      <c r="H2158">
        <v>261518.22999999998</v>
      </c>
      <c r="I2158">
        <v>144.16999999999999</v>
      </c>
      <c r="J2158">
        <v>2223</v>
      </c>
      <c r="K2158">
        <v>263403.26999999996</v>
      </c>
      <c r="L2158">
        <v>118.49</v>
      </c>
      <c r="M2158">
        <v>4037</v>
      </c>
      <c r="N2158">
        <v>524921.5</v>
      </c>
      <c r="O2158">
        <v>130.03</v>
      </c>
    </row>
    <row r="2159" spans="1:15" x14ac:dyDescent="0.35">
      <c r="A2159" t="s">
        <v>2547</v>
      </c>
      <c r="B2159" t="s">
        <v>2548</v>
      </c>
      <c r="C2159" t="s">
        <v>1184</v>
      </c>
      <c r="D2159" t="s">
        <v>323</v>
      </c>
      <c r="E2159" t="s">
        <v>300</v>
      </c>
      <c r="F2159" t="s">
        <v>2570</v>
      </c>
      <c r="G2159">
        <v>151</v>
      </c>
      <c r="H2159">
        <v>23990.949999999997</v>
      </c>
      <c r="I2159">
        <v>158.88</v>
      </c>
      <c r="J2159">
        <v>259</v>
      </c>
      <c r="K2159">
        <v>33281.5</v>
      </c>
      <c r="L2159">
        <v>128.5</v>
      </c>
      <c r="M2159">
        <v>410</v>
      </c>
      <c r="N2159">
        <v>57272.45</v>
      </c>
      <c r="O2159">
        <v>139.69</v>
      </c>
    </row>
    <row r="2160" spans="1:15" x14ac:dyDescent="0.35">
      <c r="A2160" t="s">
        <v>2547</v>
      </c>
      <c r="B2160" t="s">
        <v>2548</v>
      </c>
      <c r="C2160" t="s">
        <v>1184</v>
      </c>
      <c r="D2160" t="s">
        <v>323</v>
      </c>
      <c r="E2160" t="s">
        <v>302</v>
      </c>
      <c r="F2160" t="s">
        <v>2571</v>
      </c>
      <c r="G2160">
        <v>1</v>
      </c>
      <c r="H2160">
        <v>174.51</v>
      </c>
      <c r="I2160">
        <v>174.51</v>
      </c>
      <c r="J2160">
        <v>10</v>
      </c>
      <c r="K2160">
        <v>1347.2</v>
      </c>
      <c r="L2160">
        <v>134.72</v>
      </c>
      <c r="M2160">
        <v>11</v>
      </c>
      <c r="N2160">
        <v>1521.71</v>
      </c>
      <c r="O2160">
        <v>138.34</v>
      </c>
    </row>
    <row r="2161" spans="1:15" x14ac:dyDescent="0.35">
      <c r="A2161" t="s">
        <v>2547</v>
      </c>
      <c r="B2161" t="s">
        <v>2548</v>
      </c>
      <c r="C2161" t="s">
        <v>1184</v>
      </c>
      <c r="D2161" t="s">
        <v>323</v>
      </c>
      <c r="E2161" t="s">
        <v>304</v>
      </c>
      <c r="F2161" t="s">
        <v>2572</v>
      </c>
      <c r="G2161">
        <v>2</v>
      </c>
      <c r="H2161">
        <v>330.04</v>
      </c>
      <c r="I2161">
        <v>165.02</v>
      </c>
      <c r="J2161">
        <v>3</v>
      </c>
      <c r="K2161">
        <v>404.28</v>
      </c>
      <c r="L2161">
        <v>134.76</v>
      </c>
      <c r="M2161">
        <v>5</v>
      </c>
      <c r="N2161">
        <v>734.31999999999994</v>
      </c>
      <c r="O2161">
        <v>146.86000000000001</v>
      </c>
    </row>
    <row r="2162" spans="1:15" x14ac:dyDescent="0.35">
      <c r="A2162" t="s">
        <v>2547</v>
      </c>
      <c r="B2162" t="s">
        <v>2548</v>
      </c>
      <c r="C2162" t="s">
        <v>1184</v>
      </c>
      <c r="D2162" t="s">
        <v>323</v>
      </c>
      <c r="E2162" t="s">
        <v>306</v>
      </c>
      <c r="F2162" t="s">
        <v>2573</v>
      </c>
      <c r="G2162">
        <v>83</v>
      </c>
      <c r="H2162">
        <v>8088.0499999999993</v>
      </c>
      <c r="I2162">
        <v>97.45</v>
      </c>
      <c r="J2162">
        <v>217</v>
      </c>
      <c r="K2162">
        <v>17073.560000000001</v>
      </c>
      <c r="L2162">
        <v>78.680000000000007</v>
      </c>
      <c r="M2162">
        <v>300</v>
      </c>
      <c r="N2162">
        <v>25161.61</v>
      </c>
      <c r="O2162">
        <v>83.87</v>
      </c>
    </row>
    <row r="2163" spans="1:15" x14ac:dyDescent="0.35">
      <c r="A2163" t="s">
        <v>2547</v>
      </c>
      <c r="B2163" t="s">
        <v>2548</v>
      </c>
      <c r="C2163" t="s">
        <v>1184</v>
      </c>
      <c r="D2163" t="s">
        <v>323</v>
      </c>
      <c r="E2163" t="s">
        <v>308</v>
      </c>
      <c r="F2163" t="s">
        <v>2574</v>
      </c>
      <c r="G2163">
        <v>0</v>
      </c>
      <c r="H2163">
        <v>0</v>
      </c>
      <c r="I2163">
        <v>0</v>
      </c>
      <c r="J2163">
        <v>0</v>
      </c>
      <c r="K2163">
        <v>0</v>
      </c>
      <c r="L2163">
        <v>0</v>
      </c>
      <c r="M2163">
        <v>0</v>
      </c>
      <c r="N2163">
        <v>0</v>
      </c>
      <c r="O2163">
        <v>0</v>
      </c>
    </row>
    <row r="2164" spans="1:15" x14ac:dyDescent="0.35">
      <c r="A2164" t="s">
        <v>2547</v>
      </c>
      <c r="B2164" t="s">
        <v>2548</v>
      </c>
      <c r="C2164" t="s">
        <v>1184</v>
      </c>
      <c r="D2164" t="s">
        <v>323</v>
      </c>
      <c r="E2164" t="s">
        <v>310</v>
      </c>
      <c r="F2164" t="s">
        <v>2575</v>
      </c>
      <c r="G2164">
        <v>5791</v>
      </c>
      <c r="H2164">
        <v>737803.75</v>
      </c>
      <c r="I2164">
        <v>127.41</v>
      </c>
      <c r="J2164">
        <v>7118</v>
      </c>
      <c r="K2164">
        <v>758073.49</v>
      </c>
      <c r="L2164">
        <v>106.5</v>
      </c>
      <c r="M2164">
        <v>12909</v>
      </c>
      <c r="N2164">
        <v>1495877.24</v>
      </c>
      <c r="O2164">
        <v>115.88</v>
      </c>
    </row>
    <row r="2165" spans="1:15" x14ac:dyDescent="0.35">
      <c r="A2165" t="s">
        <v>2547</v>
      </c>
      <c r="B2165" t="s">
        <v>2548</v>
      </c>
      <c r="C2165" t="s">
        <v>1184</v>
      </c>
      <c r="D2165" t="s">
        <v>323</v>
      </c>
      <c r="E2165" t="s">
        <v>312</v>
      </c>
      <c r="F2165" t="s">
        <v>2576</v>
      </c>
      <c r="G2165">
        <v>5791</v>
      </c>
      <c r="H2165">
        <v>737803.75</v>
      </c>
      <c r="I2165">
        <v>127.41</v>
      </c>
      <c r="J2165">
        <v>7118</v>
      </c>
      <c r="K2165">
        <v>758073.49</v>
      </c>
      <c r="L2165">
        <v>106.5</v>
      </c>
      <c r="M2165">
        <v>12909</v>
      </c>
      <c r="N2165">
        <v>1495877.24</v>
      </c>
      <c r="O2165">
        <v>115.88</v>
      </c>
    </row>
    <row r="2166" spans="1:15" x14ac:dyDescent="0.35">
      <c r="A2166" t="s">
        <v>2547</v>
      </c>
      <c r="B2166" t="s">
        <v>2548</v>
      </c>
      <c r="C2166" t="s">
        <v>1184</v>
      </c>
      <c r="D2166" t="s">
        <v>334</v>
      </c>
      <c r="E2166" t="s">
        <v>312</v>
      </c>
      <c r="F2166" t="s">
        <v>2577</v>
      </c>
      <c r="G2166">
        <v>6933</v>
      </c>
      <c r="H2166">
        <v>861217.35</v>
      </c>
      <c r="I2166">
        <v>133.27000000000001</v>
      </c>
      <c r="J2166">
        <v>7440</v>
      </c>
      <c r="K2166">
        <v>818979.6399999999</v>
      </c>
      <c r="L2166">
        <v>110.08</v>
      </c>
      <c r="M2166">
        <v>14373</v>
      </c>
      <c r="N2166">
        <v>1680196.9899999998</v>
      </c>
      <c r="O2166">
        <v>120.86</v>
      </c>
    </row>
    <row r="2167" spans="1:15" x14ac:dyDescent="0.35">
      <c r="A2167" t="s">
        <v>2547</v>
      </c>
      <c r="B2167" t="s">
        <v>2548</v>
      </c>
      <c r="C2167" t="s">
        <v>1184</v>
      </c>
      <c r="D2167" t="s">
        <v>334</v>
      </c>
      <c r="E2167" t="s">
        <v>308</v>
      </c>
      <c r="F2167" t="s">
        <v>2578</v>
      </c>
      <c r="G2167">
        <v>13</v>
      </c>
      <c r="H2167">
        <v>2002.8000000000002</v>
      </c>
      <c r="I2167">
        <v>166.9</v>
      </c>
      <c r="J2167">
        <v>0</v>
      </c>
      <c r="K2167">
        <v>0</v>
      </c>
      <c r="L2167">
        <v>0</v>
      </c>
      <c r="M2167">
        <v>13</v>
      </c>
      <c r="N2167">
        <v>2002.8000000000002</v>
      </c>
      <c r="O2167">
        <v>166.9</v>
      </c>
    </row>
    <row r="2168" spans="1:15" x14ac:dyDescent="0.35">
      <c r="A2168" t="s">
        <v>2547</v>
      </c>
      <c r="B2168" t="s">
        <v>2548</v>
      </c>
      <c r="C2168" t="s">
        <v>1184</v>
      </c>
      <c r="D2168" t="s">
        <v>337</v>
      </c>
      <c r="E2168" t="s">
        <v>337</v>
      </c>
      <c r="F2168" t="s">
        <v>2579</v>
      </c>
      <c r="G2168">
        <v>1014</v>
      </c>
      <c r="J2168">
        <v>39</v>
      </c>
      <c r="M2168">
        <v>1053</v>
      </c>
    </row>
    <row r="2169" spans="1:15" x14ac:dyDescent="0.35">
      <c r="A2169" t="s">
        <v>2547</v>
      </c>
      <c r="B2169" t="s">
        <v>2548</v>
      </c>
      <c r="C2169" t="s">
        <v>1184</v>
      </c>
      <c r="D2169" t="s">
        <v>339</v>
      </c>
      <c r="E2169" t="s">
        <v>294</v>
      </c>
      <c r="F2169" t="s">
        <v>2580</v>
      </c>
      <c r="G2169">
        <v>1008</v>
      </c>
      <c r="H2169">
        <v>121458.12999999999</v>
      </c>
      <c r="I2169">
        <v>120.49</v>
      </c>
      <c r="J2169">
        <v>1840</v>
      </c>
      <c r="K2169">
        <v>176014.4</v>
      </c>
      <c r="L2169">
        <v>95.66</v>
      </c>
      <c r="M2169">
        <v>2848</v>
      </c>
      <c r="N2169">
        <v>297472.52999999997</v>
      </c>
      <c r="O2169">
        <v>104.45</v>
      </c>
    </row>
    <row r="2170" spans="1:15" x14ac:dyDescent="0.35">
      <c r="A2170" t="s">
        <v>2547</v>
      </c>
      <c r="B2170" t="s">
        <v>2548</v>
      </c>
      <c r="C2170" t="s">
        <v>1184</v>
      </c>
      <c r="D2170" t="s">
        <v>339</v>
      </c>
      <c r="E2170" t="s">
        <v>296</v>
      </c>
      <c r="F2170" t="s">
        <v>2581</v>
      </c>
      <c r="G2170">
        <v>154</v>
      </c>
      <c r="H2170">
        <v>22311.52</v>
      </c>
      <c r="I2170">
        <v>144.88</v>
      </c>
      <c r="J2170">
        <v>61</v>
      </c>
      <c r="K2170">
        <v>6405.6100000000006</v>
      </c>
      <c r="L2170">
        <v>105.01</v>
      </c>
      <c r="M2170">
        <v>215</v>
      </c>
      <c r="N2170">
        <v>28717.13</v>
      </c>
      <c r="O2170">
        <v>133.57</v>
      </c>
    </row>
    <row r="2171" spans="1:15" x14ac:dyDescent="0.35">
      <c r="A2171" t="s">
        <v>2547</v>
      </c>
      <c r="B2171" t="s">
        <v>2548</v>
      </c>
      <c r="C2171" t="s">
        <v>1184</v>
      </c>
      <c r="D2171" t="s">
        <v>339</v>
      </c>
      <c r="E2171" t="s">
        <v>298</v>
      </c>
      <c r="F2171" t="s">
        <v>2582</v>
      </c>
      <c r="G2171">
        <v>16</v>
      </c>
      <c r="H2171">
        <v>2544.1800000000003</v>
      </c>
      <c r="I2171">
        <v>159.01</v>
      </c>
      <c r="J2171">
        <v>7</v>
      </c>
      <c r="K2171">
        <v>764.4</v>
      </c>
      <c r="L2171">
        <v>109.2</v>
      </c>
      <c r="M2171">
        <v>23</v>
      </c>
      <c r="N2171">
        <v>3308.5800000000004</v>
      </c>
      <c r="O2171">
        <v>143.85</v>
      </c>
    </row>
    <row r="2172" spans="1:15" x14ac:dyDescent="0.35">
      <c r="A2172" t="s">
        <v>2547</v>
      </c>
      <c r="B2172" t="s">
        <v>2548</v>
      </c>
      <c r="C2172" t="s">
        <v>1184</v>
      </c>
      <c r="D2172" t="s">
        <v>339</v>
      </c>
      <c r="E2172" t="s">
        <v>300</v>
      </c>
      <c r="F2172" t="s">
        <v>2583</v>
      </c>
      <c r="G2172">
        <v>0</v>
      </c>
      <c r="H2172">
        <v>0</v>
      </c>
      <c r="I2172">
        <v>0</v>
      </c>
      <c r="J2172">
        <v>0</v>
      </c>
      <c r="K2172">
        <v>0</v>
      </c>
      <c r="L2172">
        <v>0</v>
      </c>
      <c r="M2172">
        <v>0</v>
      </c>
      <c r="N2172">
        <v>0</v>
      </c>
      <c r="O2172">
        <v>0</v>
      </c>
    </row>
    <row r="2173" spans="1:15" x14ac:dyDescent="0.35">
      <c r="A2173" t="s">
        <v>2547</v>
      </c>
      <c r="B2173" t="s">
        <v>2548</v>
      </c>
      <c r="C2173" t="s">
        <v>1184</v>
      </c>
      <c r="D2173" t="s">
        <v>339</v>
      </c>
      <c r="E2173" t="s">
        <v>306</v>
      </c>
      <c r="F2173" t="s">
        <v>2584</v>
      </c>
      <c r="G2173">
        <v>166</v>
      </c>
      <c r="H2173">
        <v>16167.86</v>
      </c>
      <c r="I2173">
        <v>97.4</v>
      </c>
      <c r="J2173">
        <v>166</v>
      </c>
      <c r="K2173">
        <v>13768.039999999999</v>
      </c>
      <c r="L2173">
        <v>82.94</v>
      </c>
      <c r="M2173">
        <v>332</v>
      </c>
      <c r="N2173">
        <v>29935.9</v>
      </c>
      <c r="O2173">
        <v>90.17</v>
      </c>
    </row>
    <row r="2174" spans="1:15" x14ac:dyDescent="0.35">
      <c r="A2174" t="s">
        <v>2547</v>
      </c>
      <c r="B2174" t="s">
        <v>2548</v>
      </c>
      <c r="C2174" t="s">
        <v>1184</v>
      </c>
      <c r="D2174" t="s">
        <v>339</v>
      </c>
      <c r="E2174" t="s">
        <v>308</v>
      </c>
      <c r="F2174" t="s">
        <v>2585</v>
      </c>
      <c r="G2174">
        <v>324</v>
      </c>
      <c r="H2174">
        <v>49235.740000000005</v>
      </c>
      <c r="I2174">
        <v>151.96</v>
      </c>
      <c r="J2174">
        <v>0</v>
      </c>
      <c r="K2174">
        <v>0</v>
      </c>
      <c r="L2174">
        <v>0</v>
      </c>
      <c r="M2174">
        <v>324</v>
      </c>
      <c r="N2174">
        <v>49235.740000000005</v>
      </c>
      <c r="O2174">
        <v>151.96</v>
      </c>
    </row>
    <row r="2175" spans="1:15" x14ac:dyDescent="0.35">
      <c r="A2175" t="s">
        <v>2547</v>
      </c>
      <c r="B2175" t="s">
        <v>2548</v>
      </c>
      <c r="C2175" t="s">
        <v>1184</v>
      </c>
      <c r="D2175" t="s">
        <v>339</v>
      </c>
      <c r="E2175" t="s">
        <v>310</v>
      </c>
      <c r="F2175" t="s">
        <v>2586</v>
      </c>
      <c r="G2175">
        <v>1668</v>
      </c>
      <c r="H2175">
        <v>211717.43</v>
      </c>
      <c r="I2175">
        <v>126.93</v>
      </c>
      <c r="J2175">
        <v>2074</v>
      </c>
      <c r="K2175">
        <v>196952.45</v>
      </c>
      <c r="L2175">
        <v>94.96</v>
      </c>
      <c r="M2175">
        <v>3742</v>
      </c>
      <c r="N2175">
        <v>408669.88</v>
      </c>
      <c r="O2175">
        <v>109.21</v>
      </c>
    </row>
    <row r="2176" spans="1:15" x14ac:dyDescent="0.35">
      <c r="A2176" t="s">
        <v>2547</v>
      </c>
      <c r="B2176" t="s">
        <v>2548</v>
      </c>
      <c r="C2176" t="s">
        <v>1184</v>
      </c>
      <c r="D2176" t="s">
        <v>339</v>
      </c>
      <c r="E2176" t="s">
        <v>312</v>
      </c>
      <c r="F2176" t="s">
        <v>2587</v>
      </c>
      <c r="G2176">
        <v>1344</v>
      </c>
      <c r="H2176">
        <v>162481.69</v>
      </c>
      <c r="I2176">
        <v>120.89</v>
      </c>
      <c r="J2176">
        <v>2074</v>
      </c>
      <c r="K2176">
        <v>196952.45</v>
      </c>
      <c r="L2176">
        <v>94.96</v>
      </c>
      <c r="M2176">
        <v>3418</v>
      </c>
      <c r="N2176">
        <v>359434.14</v>
      </c>
      <c r="O2176">
        <v>105.16</v>
      </c>
    </row>
    <row r="2177" spans="1:15" x14ac:dyDescent="0.35">
      <c r="A2177" t="s">
        <v>2547</v>
      </c>
      <c r="B2177" t="s">
        <v>2548</v>
      </c>
      <c r="C2177" t="s">
        <v>1184</v>
      </c>
      <c r="D2177" t="s">
        <v>348</v>
      </c>
      <c r="E2177" t="s">
        <v>349</v>
      </c>
      <c r="F2177" t="s">
        <v>2588</v>
      </c>
      <c r="G2177">
        <v>2178</v>
      </c>
      <c r="H2177">
        <v>233084.74999999994</v>
      </c>
      <c r="I2177">
        <v>135.51</v>
      </c>
      <c r="J2177">
        <v>2127</v>
      </c>
      <c r="K2177">
        <v>203471.62</v>
      </c>
      <c r="L2177">
        <v>95.66</v>
      </c>
      <c r="M2177">
        <v>4305</v>
      </c>
      <c r="N2177">
        <v>436556.36999999994</v>
      </c>
      <c r="O2177">
        <v>113.48</v>
      </c>
    </row>
    <row r="2178" spans="1:15" x14ac:dyDescent="0.35">
      <c r="A2178" t="s">
        <v>2589</v>
      </c>
      <c r="B2178" t="s">
        <v>2590</v>
      </c>
      <c r="C2178" t="s">
        <v>1184</v>
      </c>
      <c r="D2178" t="s">
        <v>293</v>
      </c>
      <c r="E2178" t="s">
        <v>294</v>
      </c>
      <c r="F2178" t="s">
        <v>2591</v>
      </c>
      <c r="G2178">
        <v>677</v>
      </c>
      <c r="H2178">
        <v>94596.75</v>
      </c>
      <c r="I2178">
        <v>139.72999999999999</v>
      </c>
      <c r="J2178">
        <v>4</v>
      </c>
      <c r="K2178">
        <v>604.24</v>
      </c>
      <c r="L2178">
        <v>151.06</v>
      </c>
      <c r="M2178">
        <v>681</v>
      </c>
      <c r="N2178">
        <v>95200.99</v>
      </c>
      <c r="O2178">
        <v>139.80000000000001</v>
      </c>
    </row>
    <row r="2179" spans="1:15" x14ac:dyDescent="0.35">
      <c r="A2179" t="s">
        <v>2589</v>
      </c>
      <c r="B2179" t="s">
        <v>2590</v>
      </c>
      <c r="C2179" t="s">
        <v>1184</v>
      </c>
      <c r="D2179" t="s">
        <v>293</v>
      </c>
      <c r="E2179" t="s">
        <v>296</v>
      </c>
      <c r="F2179" t="s">
        <v>2592</v>
      </c>
      <c r="G2179">
        <v>1325</v>
      </c>
      <c r="H2179">
        <v>223775.83999999997</v>
      </c>
      <c r="I2179">
        <v>168.89</v>
      </c>
      <c r="J2179">
        <v>32</v>
      </c>
      <c r="K2179">
        <v>5580.16</v>
      </c>
      <c r="L2179">
        <v>174.38</v>
      </c>
      <c r="M2179">
        <v>1357</v>
      </c>
      <c r="N2179">
        <v>229355.99999999997</v>
      </c>
      <c r="O2179">
        <v>169.02</v>
      </c>
    </row>
    <row r="2180" spans="1:15" x14ac:dyDescent="0.35">
      <c r="A2180" t="s">
        <v>2589</v>
      </c>
      <c r="B2180" t="s">
        <v>2590</v>
      </c>
      <c r="C2180" t="s">
        <v>1184</v>
      </c>
      <c r="D2180" t="s">
        <v>293</v>
      </c>
      <c r="E2180" t="s">
        <v>298</v>
      </c>
      <c r="F2180" t="s">
        <v>2593</v>
      </c>
      <c r="G2180">
        <v>604</v>
      </c>
      <c r="H2180">
        <v>121518.55</v>
      </c>
      <c r="I2180">
        <v>201.19</v>
      </c>
      <c r="J2180">
        <v>11</v>
      </c>
      <c r="K2180">
        <v>2243.0099999999998</v>
      </c>
      <c r="L2180">
        <v>203.91</v>
      </c>
      <c r="M2180">
        <v>615</v>
      </c>
      <c r="N2180">
        <v>123761.56</v>
      </c>
      <c r="O2180">
        <v>201.24</v>
      </c>
    </row>
    <row r="2181" spans="1:15" x14ac:dyDescent="0.35">
      <c r="A2181" t="s">
        <v>2589</v>
      </c>
      <c r="B2181" t="s">
        <v>2590</v>
      </c>
      <c r="C2181" t="s">
        <v>1184</v>
      </c>
      <c r="D2181" t="s">
        <v>293</v>
      </c>
      <c r="E2181" t="s">
        <v>300</v>
      </c>
      <c r="F2181" t="s">
        <v>2594</v>
      </c>
      <c r="G2181">
        <v>67</v>
      </c>
      <c r="H2181">
        <v>16863.600000000002</v>
      </c>
      <c r="I2181">
        <v>251.7</v>
      </c>
      <c r="J2181">
        <v>2</v>
      </c>
      <c r="K2181">
        <v>575.34</v>
      </c>
      <c r="L2181">
        <v>287.67</v>
      </c>
      <c r="M2181">
        <v>69</v>
      </c>
      <c r="N2181">
        <v>17438.940000000002</v>
      </c>
      <c r="O2181">
        <v>252.74</v>
      </c>
    </row>
    <row r="2182" spans="1:15" x14ac:dyDescent="0.35">
      <c r="A2182" t="s">
        <v>2589</v>
      </c>
      <c r="B2182" t="s">
        <v>2590</v>
      </c>
      <c r="C2182" t="s">
        <v>1184</v>
      </c>
      <c r="D2182" t="s">
        <v>293</v>
      </c>
      <c r="E2182" t="s">
        <v>302</v>
      </c>
      <c r="F2182" t="s">
        <v>2595</v>
      </c>
      <c r="G2182">
        <v>0</v>
      </c>
      <c r="H2182">
        <v>0</v>
      </c>
      <c r="I2182">
        <v>0</v>
      </c>
      <c r="J2182">
        <v>2</v>
      </c>
      <c r="K2182">
        <v>575.34</v>
      </c>
      <c r="L2182">
        <v>287.67</v>
      </c>
      <c r="M2182">
        <v>2</v>
      </c>
      <c r="N2182">
        <v>575.34</v>
      </c>
      <c r="O2182">
        <v>287.67</v>
      </c>
    </row>
    <row r="2183" spans="1:15" x14ac:dyDescent="0.35">
      <c r="A2183" t="s">
        <v>2589</v>
      </c>
      <c r="B2183" t="s">
        <v>2590</v>
      </c>
      <c r="C2183" t="s">
        <v>1184</v>
      </c>
      <c r="D2183" t="s">
        <v>293</v>
      </c>
      <c r="E2183" t="s">
        <v>304</v>
      </c>
      <c r="F2183" t="s">
        <v>2596</v>
      </c>
      <c r="G2183">
        <v>0</v>
      </c>
      <c r="H2183">
        <v>0</v>
      </c>
      <c r="I2183">
        <v>0</v>
      </c>
      <c r="J2183">
        <v>0</v>
      </c>
      <c r="K2183">
        <v>0</v>
      </c>
      <c r="L2183">
        <v>0</v>
      </c>
      <c r="M2183">
        <v>0</v>
      </c>
      <c r="N2183">
        <v>0</v>
      </c>
      <c r="O2183">
        <v>0</v>
      </c>
    </row>
    <row r="2184" spans="1:15" x14ac:dyDescent="0.35">
      <c r="A2184" t="s">
        <v>2589</v>
      </c>
      <c r="B2184" t="s">
        <v>2590</v>
      </c>
      <c r="C2184" t="s">
        <v>1184</v>
      </c>
      <c r="D2184" t="s">
        <v>293</v>
      </c>
      <c r="E2184" t="s">
        <v>306</v>
      </c>
      <c r="F2184" t="s">
        <v>2597</v>
      </c>
      <c r="G2184">
        <v>1</v>
      </c>
      <c r="H2184">
        <v>81.97</v>
      </c>
      <c r="I2184">
        <v>81.97</v>
      </c>
      <c r="J2184">
        <v>0</v>
      </c>
      <c r="K2184">
        <v>0</v>
      </c>
      <c r="L2184">
        <v>0</v>
      </c>
      <c r="M2184">
        <v>1</v>
      </c>
      <c r="N2184">
        <v>81.97</v>
      </c>
      <c r="O2184">
        <v>81.97</v>
      </c>
    </row>
    <row r="2185" spans="1:15" x14ac:dyDescent="0.35">
      <c r="A2185" t="s">
        <v>2589</v>
      </c>
      <c r="B2185" t="s">
        <v>2590</v>
      </c>
      <c r="C2185" t="s">
        <v>1184</v>
      </c>
      <c r="D2185" t="s">
        <v>293</v>
      </c>
      <c r="E2185" t="s">
        <v>308</v>
      </c>
      <c r="F2185" t="s">
        <v>2598</v>
      </c>
      <c r="G2185">
        <v>0</v>
      </c>
      <c r="H2185">
        <v>0</v>
      </c>
      <c r="I2185">
        <v>0</v>
      </c>
      <c r="J2185">
        <v>0</v>
      </c>
      <c r="K2185">
        <v>0</v>
      </c>
      <c r="L2185">
        <v>0</v>
      </c>
      <c r="M2185">
        <v>0</v>
      </c>
      <c r="N2185">
        <v>0</v>
      </c>
      <c r="O2185">
        <v>0</v>
      </c>
    </row>
    <row r="2186" spans="1:15" x14ac:dyDescent="0.35">
      <c r="A2186" t="s">
        <v>2589</v>
      </c>
      <c r="B2186" t="s">
        <v>2590</v>
      </c>
      <c r="C2186" t="s">
        <v>1184</v>
      </c>
      <c r="D2186" t="s">
        <v>293</v>
      </c>
      <c r="E2186" t="s">
        <v>310</v>
      </c>
      <c r="F2186" t="s">
        <v>2599</v>
      </c>
      <c r="G2186">
        <v>2674</v>
      </c>
      <c r="H2186">
        <v>456836.7099999999</v>
      </c>
      <c r="I2186">
        <v>170.84</v>
      </c>
      <c r="J2186">
        <v>51</v>
      </c>
      <c r="K2186">
        <v>9578.09</v>
      </c>
      <c r="L2186">
        <v>187.81</v>
      </c>
      <c r="M2186">
        <v>2725</v>
      </c>
      <c r="N2186">
        <v>466414.79999999993</v>
      </c>
      <c r="O2186">
        <v>171.16</v>
      </c>
    </row>
    <row r="2187" spans="1:15" x14ac:dyDescent="0.35">
      <c r="A2187" t="s">
        <v>2589</v>
      </c>
      <c r="B2187" t="s">
        <v>2590</v>
      </c>
      <c r="C2187" t="s">
        <v>1184</v>
      </c>
      <c r="D2187" t="s">
        <v>293</v>
      </c>
      <c r="E2187" t="s">
        <v>312</v>
      </c>
      <c r="F2187" t="s">
        <v>2600</v>
      </c>
      <c r="G2187">
        <v>2674</v>
      </c>
      <c r="H2187">
        <v>456836.7099999999</v>
      </c>
      <c r="I2187">
        <v>170.84</v>
      </c>
      <c r="J2187">
        <v>51</v>
      </c>
      <c r="K2187">
        <v>9578.09</v>
      </c>
      <c r="L2187">
        <v>187.81</v>
      </c>
      <c r="M2187">
        <v>2725</v>
      </c>
      <c r="N2187">
        <v>466414.79999999993</v>
      </c>
      <c r="O2187">
        <v>171.16</v>
      </c>
    </row>
    <row r="2188" spans="1:15" x14ac:dyDescent="0.35">
      <c r="A2188" t="s">
        <v>2589</v>
      </c>
      <c r="B2188" t="s">
        <v>2590</v>
      </c>
      <c r="C2188" t="s">
        <v>1184</v>
      </c>
      <c r="D2188" t="s">
        <v>314</v>
      </c>
      <c r="E2188" t="s">
        <v>294</v>
      </c>
      <c r="F2188" t="s">
        <v>2601</v>
      </c>
      <c r="G2188">
        <v>39</v>
      </c>
      <c r="H2188">
        <v>7454.53</v>
      </c>
      <c r="I2188">
        <v>191.14</v>
      </c>
      <c r="J2188">
        <v>9</v>
      </c>
      <c r="K2188">
        <v>1077.03</v>
      </c>
      <c r="L2188">
        <v>119.67</v>
      </c>
      <c r="M2188">
        <v>48</v>
      </c>
      <c r="N2188">
        <v>8531.56</v>
      </c>
      <c r="O2188">
        <v>177.74</v>
      </c>
    </row>
    <row r="2189" spans="1:15" x14ac:dyDescent="0.35">
      <c r="A2189" t="s">
        <v>2589</v>
      </c>
      <c r="B2189" t="s">
        <v>2590</v>
      </c>
      <c r="C2189" t="s">
        <v>1184</v>
      </c>
      <c r="D2189" t="s">
        <v>314</v>
      </c>
      <c r="E2189" t="s">
        <v>296</v>
      </c>
      <c r="F2189" t="s">
        <v>2602</v>
      </c>
      <c r="G2189">
        <v>15</v>
      </c>
      <c r="H2189">
        <v>3402.9</v>
      </c>
      <c r="I2189">
        <v>226.86</v>
      </c>
      <c r="J2189">
        <v>0</v>
      </c>
      <c r="K2189">
        <v>0</v>
      </c>
      <c r="L2189">
        <v>0</v>
      </c>
      <c r="M2189">
        <v>15</v>
      </c>
      <c r="N2189">
        <v>3402.9</v>
      </c>
      <c r="O2189">
        <v>226.86</v>
      </c>
    </row>
    <row r="2190" spans="1:15" x14ac:dyDescent="0.35">
      <c r="A2190" t="s">
        <v>2589</v>
      </c>
      <c r="B2190" t="s">
        <v>2590</v>
      </c>
      <c r="C2190" t="s">
        <v>1184</v>
      </c>
      <c r="D2190" t="s">
        <v>314</v>
      </c>
      <c r="E2190" t="s">
        <v>298</v>
      </c>
      <c r="F2190" t="s">
        <v>2603</v>
      </c>
      <c r="G2190">
        <v>0</v>
      </c>
      <c r="H2190">
        <v>0</v>
      </c>
      <c r="I2190">
        <v>0</v>
      </c>
      <c r="J2190">
        <v>0</v>
      </c>
      <c r="K2190">
        <v>0</v>
      </c>
      <c r="L2190">
        <v>0</v>
      </c>
      <c r="M2190">
        <v>0</v>
      </c>
      <c r="N2190">
        <v>0</v>
      </c>
      <c r="O2190">
        <v>0</v>
      </c>
    </row>
    <row r="2191" spans="1:15" x14ac:dyDescent="0.35">
      <c r="A2191" t="s">
        <v>2589</v>
      </c>
      <c r="B2191" t="s">
        <v>2590</v>
      </c>
      <c r="C2191" t="s">
        <v>1184</v>
      </c>
      <c r="D2191" t="s">
        <v>314</v>
      </c>
      <c r="E2191" t="s">
        <v>300</v>
      </c>
      <c r="F2191" t="s">
        <v>2604</v>
      </c>
      <c r="G2191">
        <v>0</v>
      </c>
      <c r="H2191">
        <v>0</v>
      </c>
      <c r="I2191">
        <v>0</v>
      </c>
      <c r="J2191">
        <v>0</v>
      </c>
      <c r="K2191">
        <v>0</v>
      </c>
      <c r="L2191">
        <v>0</v>
      </c>
      <c r="M2191">
        <v>0</v>
      </c>
      <c r="N2191">
        <v>0</v>
      </c>
      <c r="O2191">
        <v>0</v>
      </c>
    </row>
    <row r="2192" spans="1:15" x14ac:dyDescent="0.35">
      <c r="A2192" t="s">
        <v>2589</v>
      </c>
      <c r="B2192" t="s">
        <v>2590</v>
      </c>
      <c r="C2192" t="s">
        <v>1184</v>
      </c>
      <c r="D2192" t="s">
        <v>314</v>
      </c>
      <c r="E2192" t="s">
        <v>306</v>
      </c>
      <c r="F2192" t="s">
        <v>2605</v>
      </c>
      <c r="G2192">
        <v>0</v>
      </c>
      <c r="H2192">
        <v>0</v>
      </c>
      <c r="I2192">
        <v>0</v>
      </c>
      <c r="J2192">
        <v>49</v>
      </c>
      <c r="K2192">
        <v>5271.91</v>
      </c>
      <c r="L2192">
        <v>107.59</v>
      </c>
      <c r="M2192">
        <v>49</v>
      </c>
      <c r="N2192">
        <v>5271.91</v>
      </c>
      <c r="O2192">
        <v>107.59</v>
      </c>
    </row>
    <row r="2193" spans="1:15" x14ac:dyDescent="0.35">
      <c r="A2193" t="s">
        <v>2589</v>
      </c>
      <c r="B2193" t="s">
        <v>2590</v>
      </c>
      <c r="C2193" t="s">
        <v>1184</v>
      </c>
      <c r="D2193" t="s">
        <v>314</v>
      </c>
      <c r="E2193" t="s">
        <v>308</v>
      </c>
      <c r="F2193" t="s">
        <v>2606</v>
      </c>
      <c r="G2193">
        <v>0</v>
      </c>
      <c r="H2193">
        <v>0</v>
      </c>
      <c r="I2193">
        <v>0</v>
      </c>
      <c r="J2193">
        <v>0</v>
      </c>
      <c r="K2193">
        <v>0</v>
      </c>
      <c r="L2193">
        <v>0</v>
      </c>
      <c r="M2193">
        <v>0</v>
      </c>
      <c r="N2193">
        <v>0</v>
      </c>
      <c r="O2193">
        <v>0</v>
      </c>
    </row>
    <row r="2194" spans="1:15" x14ac:dyDescent="0.35">
      <c r="A2194" t="s">
        <v>2589</v>
      </c>
      <c r="B2194" t="s">
        <v>2590</v>
      </c>
      <c r="C2194" t="s">
        <v>1184</v>
      </c>
      <c r="D2194" t="s">
        <v>314</v>
      </c>
      <c r="E2194" t="s">
        <v>312</v>
      </c>
      <c r="F2194" t="s">
        <v>2607</v>
      </c>
      <c r="G2194">
        <v>54</v>
      </c>
      <c r="H2194">
        <v>10857.43</v>
      </c>
      <c r="I2194">
        <v>201.06</v>
      </c>
      <c r="J2194">
        <v>58</v>
      </c>
      <c r="K2194">
        <v>6348.94</v>
      </c>
      <c r="L2194">
        <v>109.46</v>
      </c>
      <c r="M2194">
        <v>112</v>
      </c>
      <c r="N2194">
        <v>17206.37</v>
      </c>
      <c r="O2194">
        <v>153.63</v>
      </c>
    </row>
    <row r="2195" spans="1:15" x14ac:dyDescent="0.35">
      <c r="A2195" t="s">
        <v>2589</v>
      </c>
      <c r="B2195" t="s">
        <v>2590</v>
      </c>
      <c r="C2195" t="s">
        <v>1184</v>
      </c>
      <c r="D2195" t="s">
        <v>314</v>
      </c>
      <c r="E2195" t="s">
        <v>310</v>
      </c>
      <c r="F2195" t="s">
        <v>2608</v>
      </c>
      <c r="G2195">
        <v>54</v>
      </c>
      <c r="H2195">
        <v>10857.43</v>
      </c>
      <c r="I2195">
        <v>201.06</v>
      </c>
      <c r="J2195">
        <v>58</v>
      </c>
      <c r="K2195">
        <v>6348.94</v>
      </c>
      <c r="L2195">
        <v>109.46</v>
      </c>
      <c r="M2195">
        <v>112</v>
      </c>
      <c r="N2195">
        <v>17206.37</v>
      </c>
      <c r="O2195">
        <v>153.63</v>
      </c>
    </row>
    <row r="2196" spans="1:15" x14ac:dyDescent="0.35">
      <c r="A2196" t="s">
        <v>2589</v>
      </c>
      <c r="B2196" t="s">
        <v>2590</v>
      </c>
      <c r="C2196" t="s">
        <v>1184</v>
      </c>
      <c r="D2196" t="s">
        <v>323</v>
      </c>
      <c r="E2196" t="s">
        <v>294</v>
      </c>
      <c r="F2196" t="s">
        <v>2609</v>
      </c>
      <c r="G2196">
        <v>2340</v>
      </c>
      <c r="H2196">
        <v>234505</v>
      </c>
      <c r="I2196">
        <v>100.22</v>
      </c>
      <c r="J2196">
        <v>0</v>
      </c>
      <c r="K2196">
        <v>0</v>
      </c>
      <c r="L2196">
        <v>0</v>
      </c>
      <c r="M2196">
        <v>2340</v>
      </c>
      <c r="N2196">
        <v>234505</v>
      </c>
      <c r="O2196">
        <v>100.22</v>
      </c>
    </row>
    <row r="2197" spans="1:15" x14ac:dyDescent="0.35">
      <c r="A2197" t="s">
        <v>2589</v>
      </c>
      <c r="B2197" t="s">
        <v>2590</v>
      </c>
      <c r="C2197" t="s">
        <v>1184</v>
      </c>
      <c r="D2197" t="s">
        <v>323</v>
      </c>
      <c r="E2197" t="s">
        <v>296</v>
      </c>
      <c r="F2197" t="s">
        <v>2610</v>
      </c>
      <c r="G2197">
        <v>6193</v>
      </c>
      <c r="H2197">
        <v>729786.29999999993</v>
      </c>
      <c r="I2197">
        <v>117.84</v>
      </c>
      <c r="J2197">
        <v>2</v>
      </c>
      <c r="K2197">
        <v>259.62</v>
      </c>
      <c r="L2197">
        <v>129.81</v>
      </c>
      <c r="M2197">
        <v>6195</v>
      </c>
      <c r="N2197">
        <v>730045.91999999993</v>
      </c>
      <c r="O2197">
        <v>117.84</v>
      </c>
    </row>
    <row r="2198" spans="1:15" x14ac:dyDescent="0.35">
      <c r="A2198" t="s">
        <v>2589</v>
      </c>
      <c r="B2198" t="s">
        <v>2590</v>
      </c>
      <c r="C2198" t="s">
        <v>1184</v>
      </c>
      <c r="D2198" t="s">
        <v>323</v>
      </c>
      <c r="E2198" t="s">
        <v>298</v>
      </c>
      <c r="F2198" t="s">
        <v>2611</v>
      </c>
      <c r="G2198">
        <v>5686</v>
      </c>
      <c r="H2198">
        <v>767598.64</v>
      </c>
      <c r="I2198">
        <v>135</v>
      </c>
      <c r="J2198">
        <v>0</v>
      </c>
      <c r="K2198">
        <v>0</v>
      </c>
      <c r="L2198">
        <v>0</v>
      </c>
      <c r="M2198">
        <v>5686</v>
      </c>
      <c r="N2198">
        <v>767598.64</v>
      </c>
      <c r="O2198">
        <v>135</v>
      </c>
    </row>
    <row r="2199" spans="1:15" x14ac:dyDescent="0.35">
      <c r="A2199" t="s">
        <v>2589</v>
      </c>
      <c r="B2199" t="s">
        <v>2590</v>
      </c>
      <c r="C2199" t="s">
        <v>1184</v>
      </c>
      <c r="D2199" t="s">
        <v>323</v>
      </c>
      <c r="E2199" t="s">
        <v>300</v>
      </c>
      <c r="F2199" t="s">
        <v>2612</v>
      </c>
      <c r="G2199">
        <v>323</v>
      </c>
      <c r="H2199">
        <v>47767.07</v>
      </c>
      <c r="I2199">
        <v>147.88999999999999</v>
      </c>
      <c r="J2199">
        <v>0</v>
      </c>
      <c r="K2199">
        <v>0</v>
      </c>
      <c r="L2199">
        <v>0</v>
      </c>
      <c r="M2199">
        <v>323</v>
      </c>
      <c r="N2199">
        <v>47767.07</v>
      </c>
      <c r="O2199">
        <v>147.88999999999999</v>
      </c>
    </row>
    <row r="2200" spans="1:15" x14ac:dyDescent="0.35">
      <c r="A2200" t="s">
        <v>2589</v>
      </c>
      <c r="B2200" t="s">
        <v>2590</v>
      </c>
      <c r="C2200" t="s">
        <v>1184</v>
      </c>
      <c r="D2200" t="s">
        <v>323</v>
      </c>
      <c r="E2200" t="s">
        <v>302</v>
      </c>
      <c r="F2200" t="s">
        <v>2613</v>
      </c>
      <c r="G2200">
        <v>5</v>
      </c>
      <c r="H2200">
        <v>768.71</v>
      </c>
      <c r="I2200">
        <v>153.74</v>
      </c>
      <c r="J2200">
        <v>0</v>
      </c>
      <c r="K2200">
        <v>0</v>
      </c>
      <c r="L2200">
        <v>0</v>
      </c>
      <c r="M2200">
        <v>5</v>
      </c>
      <c r="N2200">
        <v>768.71</v>
      </c>
      <c r="O2200">
        <v>153.74</v>
      </c>
    </row>
    <row r="2201" spans="1:15" x14ac:dyDescent="0.35">
      <c r="A2201" t="s">
        <v>2589</v>
      </c>
      <c r="B2201" t="s">
        <v>2590</v>
      </c>
      <c r="C2201" t="s">
        <v>1184</v>
      </c>
      <c r="D2201" t="s">
        <v>323</v>
      </c>
      <c r="E2201" t="s">
        <v>304</v>
      </c>
      <c r="F2201" t="s">
        <v>2614</v>
      </c>
      <c r="G2201">
        <v>4</v>
      </c>
      <c r="H2201">
        <v>746.8</v>
      </c>
      <c r="I2201">
        <v>186.7</v>
      </c>
      <c r="J2201">
        <v>0</v>
      </c>
      <c r="K2201">
        <v>0</v>
      </c>
      <c r="L2201">
        <v>0</v>
      </c>
      <c r="M2201">
        <v>4</v>
      </c>
      <c r="N2201">
        <v>746.8</v>
      </c>
      <c r="O2201">
        <v>186.7</v>
      </c>
    </row>
    <row r="2202" spans="1:15" x14ac:dyDescent="0.35">
      <c r="A2202" t="s">
        <v>2589</v>
      </c>
      <c r="B2202" t="s">
        <v>2590</v>
      </c>
      <c r="C2202" t="s">
        <v>1184</v>
      </c>
      <c r="D2202" t="s">
        <v>323</v>
      </c>
      <c r="E2202" t="s">
        <v>306</v>
      </c>
      <c r="F2202" t="s">
        <v>2615</v>
      </c>
      <c r="G2202">
        <v>50</v>
      </c>
      <c r="H2202">
        <v>3940.9799999999996</v>
      </c>
      <c r="I2202">
        <v>78.819999999999993</v>
      </c>
      <c r="J2202">
        <v>0</v>
      </c>
      <c r="K2202">
        <v>0</v>
      </c>
      <c r="L2202">
        <v>0</v>
      </c>
      <c r="M2202">
        <v>50</v>
      </c>
      <c r="N2202">
        <v>3940.9799999999996</v>
      </c>
      <c r="O2202">
        <v>78.819999999999993</v>
      </c>
    </row>
    <row r="2203" spans="1:15" x14ac:dyDescent="0.35">
      <c r="A2203" t="s">
        <v>2589</v>
      </c>
      <c r="B2203" t="s">
        <v>2590</v>
      </c>
      <c r="C2203" t="s">
        <v>1184</v>
      </c>
      <c r="D2203" t="s">
        <v>323</v>
      </c>
      <c r="E2203" t="s">
        <v>308</v>
      </c>
      <c r="F2203" t="s">
        <v>2616</v>
      </c>
      <c r="G2203">
        <v>0</v>
      </c>
      <c r="H2203">
        <v>0</v>
      </c>
      <c r="I2203">
        <v>0</v>
      </c>
      <c r="J2203">
        <v>0</v>
      </c>
      <c r="K2203">
        <v>0</v>
      </c>
      <c r="L2203">
        <v>0</v>
      </c>
      <c r="M2203">
        <v>0</v>
      </c>
      <c r="N2203">
        <v>0</v>
      </c>
      <c r="O2203">
        <v>0</v>
      </c>
    </row>
    <row r="2204" spans="1:15" x14ac:dyDescent="0.35">
      <c r="A2204" t="s">
        <v>2589</v>
      </c>
      <c r="B2204" t="s">
        <v>2590</v>
      </c>
      <c r="C2204" t="s">
        <v>1184</v>
      </c>
      <c r="D2204" t="s">
        <v>323</v>
      </c>
      <c r="E2204" t="s">
        <v>310</v>
      </c>
      <c r="F2204" t="s">
        <v>2617</v>
      </c>
      <c r="G2204">
        <v>14601</v>
      </c>
      <c r="H2204">
        <v>1785113.5</v>
      </c>
      <c r="I2204">
        <v>122.26</v>
      </c>
      <c r="J2204">
        <v>2</v>
      </c>
      <c r="K2204">
        <v>259.62</v>
      </c>
      <c r="L2204">
        <v>129.81</v>
      </c>
      <c r="M2204">
        <v>14603</v>
      </c>
      <c r="N2204">
        <v>1785373.12</v>
      </c>
      <c r="O2204">
        <v>122.26</v>
      </c>
    </row>
    <row r="2205" spans="1:15" x14ac:dyDescent="0.35">
      <c r="A2205" t="s">
        <v>2589</v>
      </c>
      <c r="B2205" t="s">
        <v>2590</v>
      </c>
      <c r="C2205" t="s">
        <v>1184</v>
      </c>
      <c r="D2205" t="s">
        <v>323</v>
      </c>
      <c r="E2205" t="s">
        <v>312</v>
      </c>
      <c r="F2205" t="s">
        <v>2618</v>
      </c>
      <c r="G2205">
        <v>14601</v>
      </c>
      <c r="H2205">
        <v>1785113.5</v>
      </c>
      <c r="I2205">
        <v>122.26</v>
      </c>
      <c r="J2205">
        <v>2</v>
      </c>
      <c r="K2205">
        <v>259.62</v>
      </c>
      <c r="L2205">
        <v>129.81</v>
      </c>
      <c r="M2205">
        <v>14603</v>
      </c>
      <c r="N2205">
        <v>1785373.12</v>
      </c>
      <c r="O2205">
        <v>122.26</v>
      </c>
    </row>
    <row r="2206" spans="1:15" x14ac:dyDescent="0.35">
      <c r="A2206" t="s">
        <v>2589</v>
      </c>
      <c r="B2206" t="s">
        <v>2590</v>
      </c>
      <c r="C2206" t="s">
        <v>1184</v>
      </c>
      <c r="D2206" t="s">
        <v>334</v>
      </c>
      <c r="E2206" t="s">
        <v>312</v>
      </c>
      <c r="F2206" t="s">
        <v>2619</v>
      </c>
      <c r="G2206">
        <v>17356</v>
      </c>
      <c r="H2206">
        <v>2241950.2099999995</v>
      </c>
      <c r="I2206">
        <v>129.78</v>
      </c>
      <c r="J2206">
        <v>53</v>
      </c>
      <c r="K2206">
        <v>9837.7100000000009</v>
      </c>
      <c r="L2206">
        <v>185.62</v>
      </c>
      <c r="M2206">
        <v>17409</v>
      </c>
      <c r="N2206">
        <v>2251787.9199999995</v>
      </c>
      <c r="O2206">
        <v>129.94999999999999</v>
      </c>
    </row>
    <row r="2207" spans="1:15" x14ac:dyDescent="0.35">
      <c r="A2207" t="s">
        <v>2589</v>
      </c>
      <c r="B2207" t="s">
        <v>2590</v>
      </c>
      <c r="C2207" t="s">
        <v>1184</v>
      </c>
      <c r="D2207" t="s">
        <v>334</v>
      </c>
      <c r="E2207" t="s">
        <v>308</v>
      </c>
      <c r="F2207" t="s">
        <v>2620</v>
      </c>
      <c r="G2207">
        <v>0</v>
      </c>
      <c r="H2207">
        <v>0</v>
      </c>
      <c r="I2207">
        <v>0</v>
      </c>
      <c r="J2207">
        <v>0</v>
      </c>
      <c r="K2207">
        <v>0</v>
      </c>
      <c r="L2207">
        <v>0</v>
      </c>
      <c r="M2207">
        <v>0</v>
      </c>
      <c r="N2207">
        <v>0</v>
      </c>
      <c r="O2207">
        <v>0</v>
      </c>
    </row>
    <row r="2208" spans="1:15" x14ac:dyDescent="0.35">
      <c r="A2208" t="s">
        <v>2589</v>
      </c>
      <c r="B2208" t="s">
        <v>2590</v>
      </c>
      <c r="C2208" t="s">
        <v>1184</v>
      </c>
      <c r="D2208" t="s">
        <v>337</v>
      </c>
      <c r="E2208" t="s">
        <v>337</v>
      </c>
      <c r="F2208" t="s">
        <v>2621</v>
      </c>
      <c r="G2208">
        <v>1941</v>
      </c>
      <c r="J2208">
        <v>0</v>
      </c>
      <c r="M2208">
        <v>1941</v>
      </c>
    </row>
    <row r="2209" spans="1:15" x14ac:dyDescent="0.35">
      <c r="A2209" t="s">
        <v>2589</v>
      </c>
      <c r="B2209" t="s">
        <v>2590</v>
      </c>
      <c r="C2209" t="s">
        <v>1184</v>
      </c>
      <c r="D2209" t="s">
        <v>339</v>
      </c>
      <c r="E2209" t="s">
        <v>294</v>
      </c>
      <c r="F2209" t="s">
        <v>2622</v>
      </c>
      <c r="G2209">
        <v>2834</v>
      </c>
      <c r="H2209">
        <v>315870.83999999997</v>
      </c>
      <c r="I2209">
        <v>111.46</v>
      </c>
      <c r="J2209">
        <v>43</v>
      </c>
      <c r="K2209">
        <v>4077.69</v>
      </c>
      <c r="L2209">
        <v>94.83</v>
      </c>
      <c r="M2209">
        <v>2877</v>
      </c>
      <c r="N2209">
        <v>319948.52999999997</v>
      </c>
      <c r="O2209">
        <v>111.21</v>
      </c>
    </row>
    <row r="2210" spans="1:15" x14ac:dyDescent="0.35">
      <c r="A2210" t="s">
        <v>2589</v>
      </c>
      <c r="B2210" t="s">
        <v>2590</v>
      </c>
      <c r="C2210" t="s">
        <v>1184</v>
      </c>
      <c r="D2210" t="s">
        <v>339</v>
      </c>
      <c r="E2210" t="s">
        <v>296</v>
      </c>
      <c r="F2210" t="s">
        <v>2623</v>
      </c>
      <c r="G2210">
        <v>771</v>
      </c>
      <c r="H2210">
        <v>97985.19</v>
      </c>
      <c r="I2210">
        <v>127.09</v>
      </c>
      <c r="J2210">
        <v>0</v>
      </c>
      <c r="K2210">
        <v>0</v>
      </c>
      <c r="L2210">
        <v>0</v>
      </c>
      <c r="M2210">
        <v>771</v>
      </c>
      <c r="N2210">
        <v>97985.19</v>
      </c>
      <c r="O2210">
        <v>127.09</v>
      </c>
    </row>
    <row r="2211" spans="1:15" x14ac:dyDescent="0.35">
      <c r="A2211" t="s">
        <v>2589</v>
      </c>
      <c r="B2211" t="s">
        <v>2590</v>
      </c>
      <c r="C2211" t="s">
        <v>1184</v>
      </c>
      <c r="D2211" t="s">
        <v>339</v>
      </c>
      <c r="E2211" t="s">
        <v>298</v>
      </c>
      <c r="F2211" t="s">
        <v>2624</v>
      </c>
      <c r="G2211">
        <v>9</v>
      </c>
      <c r="H2211">
        <v>1315.81</v>
      </c>
      <c r="I2211">
        <v>146.19999999999999</v>
      </c>
      <c r="J2211">
        <v>0</v>
      </c>
      <c r="K2211">
        <v>0</v>
      </c>
      <c r="L2211">
        <v>0</v>
      </c>
      <c r="M2211">
        <v>9</v>
      </c>
      <c r="N2211">
        <v>1315.81</v>
      </c>
      <c r="O2211">
        <v>146.19999999999999</v>
      </c>
    </row>
    <row r="2212" spans="1:15" x14ac:dyDescent="0.35">
      <c r="A2212" t="s">
        <v>2589</v>
      </c>
      <c r="B2212" t="s">
        <v>2590</v>
      </c>
      <c r="C2212" t="s">
        <v>1184</v>
      </c>
      <c r="D2212" t="s">
        <v>339</v>
      </c>
      <c r="E2212" t="s">
        <v>300</v>
      </c>
      <c r="F2212" t="s">
        <v>2625</v>
      </c>
      <c r="G2212">
        <v>2</v>
      </c>
      <c r="H2212">
        <v>404.99</v>
      </c>
      <c r="I2212">
        <v>202.5</v>
      </c>
      <c r="J2212">
        <v>0</v>
      </c>
      <c r="K2212">
        <v>0</v>
      </c>
      <c r="L2212">
        <v>0</v>
      </c>
      <c r="M2212">
        <v>2</v>
      </c>
      <c r="N2212">
        <v>404.99</v>
      </c>
      <c r="O2212">
        <v>202.5</v>
      </c>
    </row>
    <row r="2213" spans="1:15" x14ac:dyDescent="0.35">
      <c r="A2213" t="s">
        <v>2589</v>
      </c>
      <c r="B2213" t="s">
        <v>2590</v>
      </c>
      <c r="C2213" t="s">
        <v>1184</v>
      </c>
      <c r="D2213" t="s">
        <v>339</v>
      </c>
      <c r="E2213" t="s">
        <v>306</v>
      </c>
      <c r="F2213" t="s">
        <v>2626</v>
      </c>
      <c r="G2213">
        <v>270</v>
      </c>
      <c r="H2213">
        <v>24417.030000000002</v>
      </c>
      <c r="I2213">
        <v>90.43</v>
      </c>
      <c r="J2213">
        <v>6</v>
      </c>
      <c r="K2213">
        <v>718.02</v>
      </c>
      <c r="L2213">
        <v>119.67</v>
      </c>
      <c r="M2213">
        <v>276</v>
      </c>
      <c r="N2213">
        <v>25135.050000000003</v>
      </c>
      <c r="O2213">
        <v>91.07</v>
      </c>
    </row>
    <row r="2214" spans="1:15" x14ac:dyDescent="0.35">
      <c r="A2214" t="s">
        <v>2589</v>
      </c>
      <c r="B2214" t="s">
        <v>2590</v>
      </c>
      <c r="C2214" t="s">
        <v>1184</v>
      </c>
      <c r="D2214" t="s">
        <v>339</v>
      </c>
      <c r="E2214" t="s">
        <v>308</v>
      </c>
      <c r="F2214" t="s">
        <v>2627</v>
      </c>
      <c r="G2214">
        <v>148</v>
      </c>
      <c r="H2214">
        <v>19452.27</v>
      </c>
      <c r="I2214">
        <v>131.43</v>
      </c>
      <c r="J2214">
        <v>0</v>
      </c>
      <c r="K2214">
        <v>0</v>
      </c>
      <c r="L2214">
        <v>0</v>
      </c>
      <c r="M2214">
        <v>148</v>
      </c>
      <c r="N2214">
        <v>19452.27</v>
      </c>
      <c r="O2214">
        <v>131.43</v>
      </c>
    </row>
    <row r="2215" spans="1:15" x14ac:dyDescent="0.35">
      <c r="A2215" t="s">
        <v>2589</v>
      </c>
      <c r="B2215" t="s">
        <v>2590</v>
      </c>
      <c r="C2215" t="s">
        <v>1184</v>
      </c>
      <c r="D2215" t="s">
        <v>339</v>
      </c>
      <c r="E2215" t="s">
        <v>310</v>
      </c>
      <c r="F2215" t="s">
        <v>2628</v>
      </c>
      <c r="G2215">
        <v>4034</v>
      </c>
      <c r="H2215">
        <v>459446.13</v>
      </c>
      <c r="I2215">
        <v>113.89</v>
      </c>
      <c r="J2215">
        <v>49</v>
      </c>
      <c r="K2215">
        <v>4795.71</v>
      </c>
      <c r="L2215">
        <v>97.87</v>
      </c>
      <c r="M2215">
        <v>4083</v>
      </c>
      <c r="N2215">
        <v>464241.84</v>
      </c>
      <c r="O2215">
        <v>113.7</v>
      </c>
    </row>
    <row r="2216" spans="1:15" x14ac:dyDescent="0.35">
      <c r="A2216" t="s">
        <v>2589</v>
      </c>
      <c r="B2216" t="s">
        <v>2590</v>
      </c>
      <c r="C2216" t="s">
        <v>1184</v>
      </c>
      <c r="D2216" t="s">
        <v>339</v>
      </c>
      <c r="E2216" t="s">
        <v>312</v>
      </c>
      <c r="F2216" t="s">
        <v>2629</v>
      </c>
      <c r="G2216">
        <v>3886</v>
      </c>
      <c r="H2216">
        <v>439993.86</v>
      </c>
      <c r="I2216">
        <v>113.23</v>
      </c>
      <c r="J2216">
        <v>49</v>
      </c>
      <c r="K2216">
        <v>4795.71</v>
      </c>
      <c r="L2216">
        <v>97.87</v>
      </c>
      <c r="M2216">
        <v>3935</v>
      </c>
      <c r="N2216">
        <v>444789.57</v>
      </c>
      <c r="O2216">
        <v>113.03</v>
      </c>
    </row>
    <row r="2217" spans="1:15" x14ac:dyDescent="0.35">
      <c r="A2217" t="s">
        <v>2589</v>
      </c>
      <c r="B2217" t="s">
        <v>2590</v>
      </c>
      <c r="C2217" t="s">
        <v>1184</v>
      </c>
      <c r="D2217" t="s">
        <v>348</v>
      </c>
      <c r="E2217" t="s">
        <v>349</v>
      </c>
      <c r="F2217" t="s">
        <v>2630</v>
      </c>
      <c r="G2217">
        <v>4626</v>
      </c>
      <c r="H2217">
        <v>470303.56</v>
      </c>
      <c r="I2217">
        <v>115.04</v>
      </c>
      <c r="J2217">
        <v>107</v>
      </c>
      <c r="K2217">
        <v>11144.65</v>
      </c>
      <c r="L2217">
        <v>104.16</v>
      </c>
      <c r="M2217">
        <v>4733</v>
      </c>
      <c r="N2217">
        <v>481448.21</v>
      </c>
      <c r="O2217">
        <v>114.77</v>
      </c>
    </row>
    <row r="2218" spans="1:15" x14ac:dyDescent="0.35">
      <c r="A2218" t="s">
        <v>2631</v>
      </c>
      <c r="B2218" t="s">
        <v>2632</v>
      </c>
      <c r="C2218" t="s">
        <v>1644</v>
      </c>
      <c r="D2218" t="s">
        <v>293</v>
      </c>
      <c r="E2218" t="s">
        <v>294</v>
      </c>
      <c r="F2218" t="s">
        <v>2633</v>
      </c>
      <c r="G2218">
        <v>980</v>
      </c>
      <c r="H2218">
        <v>164791.21</v>
      </c>
      <c r="I2218">
        <v>168.15</v>
      </c>
      <c r="J2218">
        <v>0</v>
      </c>
      <c r="K2218">
        <v>0</v>
      </c>
      <c r="L2218">
        <v>0</v>
      </c>
      <c r="M2218">
        <v>980</v>
      </c>
      <c r="N2218">
        <v>164791.21</v>
      </c>
      <c r="O2218">
        <v>168.15</v>
      </c>
    </row>
    <row r="2219" spans="1:15" x14ac:dyDescent="0.35">
      <c r="A2219" t="s">
        <v>2631</v>
      </c>
      <c r="B2219" t="s">
        <v>2632</v>
      </c>
      <c r="C2219" t="s">
        <v>1644</v>
      </c>
      <c r="D2219" t="s">
        <v>293</v>
      </c>
      <c r="E2219" t="s">
        <v>296</v>
      </c>
      <c r="F2219" t="s">
        <v>2634</v>
      </c>
      <c r="G2219">
        <v>2508</v>
      </c>
      <c r="H2219">
        <v>513790.59</v>
      </c>
      <c r="I2219">
        <v>204.86</v>
      </c>
      <c r="J2219">
        <v>0</v>
      </c>
      <c r="K2219">
        <v>0</v>
      </c>
      <c r="L2219">
        <v>0</v>
      </c>
      <c r="M2219">
        <v>2508</v>
      </c>
      <c r="N2219">
        <v>513790.59</v>
      </c>
      <c r="O2219">
        <v>204.86</v>
      </c>
    </row>
    <row r="2220" spans="1:15" x14ac:dyDescent="0.35">
      <c r="A2220" t="s">
        <v>2631</v>
      </c>
      <c r="B2220" t="s">
        <v>2632</v>
      </c>
      <c r="C2220" t="s">
        <v>1644</v>
      </c>
      <c r="D2220" t="s">
        <v>293</v>
      </c>
      <c r="E2220" t="s">
        <v>298</v>
      </c>
      <c r="F2220" t="s">
        <v>2635</v>
      </c>
      <c r="G2220">
        <v>1284</v>
      </c>
      <c r="H2220">
        <v>310462.93999999994</v>
      </c>
      <c r="I2220">
        <v>241.79</v>
      </c>
      <c r="J2220">
        <v>0</v>
      </c>
      <c r="K2220">
        <v>0</v>
      </c>
      <c r="L2220">
        <v>0</v>
      </c>
      <c r="M2220">
        <v>1284</v>
      </c>
      <c r="N2220">
        <v>310462.93999999994</v>
      </c>
      <c r="O2220">
        <v>241.79</v>
      </c>
    </row>
    <row r="2221" spans="1:15" x14ac:dyDescent="0.35">
      <c r="A2221" t="s">
        <v>2631</v>
      </c>
      <c r="B2221" t="s">
        <v>2632</v>
      </c>
      <c r="C2221" t="s">
        <v>1644</v>
      </c>
      <c r="D2221" t="s">
        <v>293</v>
      </c>
      <c r="E2221" t="s">
        <v>300</v>
      </c>
      <c r="F2221" t="s">
        <v>2636</v>
      </c>
      <c r="G2221">
        <v>166</v>
      </c>
      <c r="H2221">
        <v>49941.109999999986</v>
      </c>
      <c r="I2221">
        <v>300.85000000000002</v>
      </c>
      <c r="J2221">
        <v>0</v>
      </c>
      <c r="K2221">
        <v>0</v>
      </c>
      <c r="L2221">
        <v>0</v>
      </c>
      <c r="M2221">
        <v>166</v>
      </c>
      <c r="N2221">
        <v>49941.109999999986</v>
      </c>
      <c r="O2221">
        <v>300.85000000000002</v>
      </c>
    </row>
    <row r="2222" spans="1:15" x14ac:dyDescent="0.35">
      <c r="A2222" t="s">
        <v>2631</v>
      </c>
      <c r="B2222" t="s">
        <v>2632</v>
      </c>
      <c r="C2222" t="s">
        <v>1644</v>
      </c>
      <c r="D2222" t="s">
        <v>293</v>
      </c>
      <c r="E2222" t="s">
        <v>302</v>
      </c>
      <c r="F2222" t="s">
        <v>2637</v>
      </c>
      <c r="G2222">
        <v>1</v>
      </c>
      <c r="H2222">
        <v>293.73</v>
      </c>
      <c r="I2222">
        <v>293.73</v>
      </c>
      <c r="J2222">
        <v>0</v>
      </c>
      <c r="K2222">
        <v>0</v>
      </c>
      <c r="L2222">
        <v>0</v>
      </c>
      <c r="M2222">
        <v>1</v>
      </c>
      <c r="N2222">
        <v>293.73</v>
      </c>
      <c r="O2222">
        <v>293.73</v>
      </c>
    </row>
    <row r="2223" spans="1:15" x14ac:dyDescent="0.35">
      <c r="A2223" t="s">
        <v>2631</v>
      </c>
      <c r="B2223" t="s">
        <v>2632</v>
      </c>
      <c r="C2223" t="s">
        <v>1644</v>
      </c>
      <c r="D2223" t="s">
        <v>293</v>
      </c>
      <c r="E2223" t="s">
        <v>304</v>
      </c>
      <c r="F2223" t="s">
        <v>2638</v>
      </c>
      <c r="G2223">
        <v>0</v>
      </c>
      <c r="H2223">
        <v>0</v>
      </c>
      <c r="I2223">
        <v>0</v>
      </c>
      <c r="J2223">
        <v>0</v>
      </c>
      <c r="K2223">
        <v>0</v>
      </c>
      <c r="L2223">
        <v>0</v>
      </c>
      <c r="M2223">
        <v>0</v>
      </c>
      <c r="N2223">
        <v>0</v>
      </c>
      <c r="O2223">
        <v>0</v>
      </c>
    </row>
    <row r="2224" spans="1:15" x14ac:dyDescent="0.35">
      <c r="A2224" t="s">
        <v>2631</v>
      </c>
      <c r="B2224" t="s">
        <v>2632</v>
      </c>
      <c r="C2224" t="s">
        <v>1644</v>
      </c>
      <c r="D2224" t="s">
        <v>293</v>
      </c>
      <c r="E2224" t="s">
        <v>306</v>
      </c>
      <c r="F2224" t="s">
        <v>2639</v>
      </c>
      <c r="G2224">
        <v>5</v>
      </c>
      <c r="H2224">
        <v>714.18000000000006</v>
      </c>
      <c r="I2224">
        <v>142.84</v>
      </c>
      <c r="J2224">
        <v>0</v>
      </c>
      <c r="K2224">
        <v>0</v>
      </c>
      <c r="L2224">
        <v>0</v>
      </c>
      <c r="M2224">
        <v>5</v>
      </c>
      <c r="N2224">
        <v>714.18000000000006</v>
      </c>
      <c r="O2224">
        <v>142.84</v>
      </c>
    </row>
    <row r="2225" spans="1:15" x14ac:dyDescent="0.35">
      <c r="A2225" t="s">
        <v>2631</v>
      </c>
      <c r="B2225" t="s">
        <v>2632</v>
      </c>
      <c r="C2225" t="s">
        <v>1644</v>
      </c>
      <c r="D2225" t="s">
        <v>293</v>
      </c>
      <c r="E2225" t="s">
        <v>308</v>
      </c>
      <c r="F2225" t="s">
        <v>2640</v>
      </c>
      <c r="G2225">
        <v>0</v>
      </c>
      <c r="H2225">
        <v>0</v>
      </c>
      <c r="I2225">
        <v>0</v>
      </c>
      <c r="J2225">
        <v>0</v>
      </c>
      <c r="K2225">
        <v>0</v>
      </c>
      <c r="L2225">
        <v>0</v>
      </c>
      <c r="M2225">
        <v>0</v>
      </c>
      <c r="N2225">
        <v>0</v>
      </c>
      <c r="O2225">
        <v>0</v>
      </c>
    </row>
    <row r="2226" spans="1:15" x14ac:dyDescent="0.35">
      <c r="A2226" t="s">
        <v>2631</v>
      </c>
      <c r="B2226" t="s">
        <v>2632</v>
      </c>
      <c r="C2226" t="s">
        <v>1644</v>
      </c>
      <c r="D2226" t="s">
        <v>293</v>
      </c>
      <c r="E2226" t="s">
        <v>310</v>
      </c>
      <c r="F2226" t="s">
        <v>2641</v>
      </c>
      <c r="G2226">
        <v>4944</v>
      </c>
      <c r="H2226">
        <v>1039993.76</v>
      </c>
      <c r="I2226">
        <v>210.35</v>
      </c>
      <c r="J2226">
        <v>0</v>
      </c>
      <c r="K2226">
        <v>0</v>
      </c>
      <c r="L2226">
        <v>0</v>
      </c>
      <c r="M2226">
        <v>4944</v>
      </c>
      <c r="N2226">
        <v>1039993.76</v>
      </c>
      <c r="O2226">
        <v>210.35</v>
      </c>
    </row>
    <row r="2227" spans="1:15" x14ac:dyDescent="0.35">
      <c r="A2227" t="s">
        <v>2631</v>
      </c>
      <c r="B2227" t="s">
        <v>2632</v>
      </c>
      <c r="C2227" t="s">
        <v>1644</v>
      </c>
      <c r="D2227" t="s">
        <v>293</v>
      </c>
      <c r="E2227" t="s">
        <v>312</v>
      </c>
      <c r="F2227" t="s">
        <v>2642</v>
      </c>
      <c r="G2227">
        <v>4944</v>
      </c>
      <c r="H2227">
        <v>1039993.76</v>
      </c>
      <c r="I2227">
        <v>210.35</v>
      </c>
      <c r="J2227">
        <v>0</v>
      </c>
      <c r="K2227">
        <v>0</v>
      </c>
      <c r="L2227">
        <v>0</v>
      </c>
      <c r="M2227">
        <v>4944</v>
      </c>
      <c r="N2227">
        <v>1039993.76</v>
      </c>
      <c r="O2227">
        <v>210.35</v>
      </c>
    </row>
    <row r="2228" spans="1:15" x14ac:dyDescent="0.35">
      <c r="A2228" t="s">
        <v>2631</v>
      </c>
      <c r="B2228" t="s">
        <v>2632</v>
      </c>
      <c r="C2228" t="s">
        <v>1644</v>
      </c>
      <c r="D2228" t="s">
        <v>314</v>
      </c>
      <c r="E2228" t="s">
        <v>294</v>
      </c>
      <c r="F2228" t="s">
        <v>2643</v>
      </c>
      <c r="G2228">
        <v>31</v>
      </c>
      <c r="H2228">
        <v>5853.1100000000006</v>
      </c>
      <c r="I2228">
        <v>188.81</v>
      </c>
      <c r="J2228">
        <v>0</v>
      </c>
      <c r="K2228">
        <v>0</v>
      </c>
      <c r="L2228">
        <v>0</v>
      </c>
      <c r="M2228">
        <v>31</v>
      </c>
      <c r="N2228">
        <v>5853.1100000000006</v>
      </c>
      <c r="O2228">
        <v>188.81</v>
      </c>
    </row>
    <row r="2229" spans="1:15" x14ac:dyDescent="0.35">
      <c r="A2229" t="s">
        <v>2631</v>
      </c>
      <c r="B2229" t="s">
        <v>2632</v>
      </c>
      <c r="C2229" t="s">
        <v>1644</v>
      </c>
      <c r="D2229" t="s">
        <v>314</v>
      </c>
      <c r="E2229" t="s">
        <v>296</v>
      </c>
      <c r="F2229" t="s">
        <v>2644</v>
      </c>
      <c r="G2229">
        <v>0</v>
      </c>
      <c r="H2229">
        <v>0</v>
      </c>
      <c r="I2229">
        <v>0</v>
      </c>
      <c r="J2229">
        <v>0</v>
      </c>
      <c r="K2229">
        <v>0</v>
      </c>
      <c r="L2229">
        <v>0</v>
      </c>
      <c r="M2229">
        <v>0</v>
      </c>
      <c r="N2229">
        <v>0</v>
      </c>
      <c r="O2229">
        <v>0</v>
      </c>
    </row>
    <row r="2230" spans="1:15" x14ac:dyDescent="0.35">
      <c r="A2230" t="s">
        <v>2631</v>
      </c>
      <c r="B2230" t="s">
        <v>2632</v>
      </c>
      <c r="C2230" t="s">
        <v>1644</v>
      </c>
      <c r="D2230" t="s">
        <v>314</v>
      </c>
      <c r="E2230" t="s">
        <v>298</v>
      </c>
      <c r="F2230" t="s">
        <v>2645</v>
      </c>
      <c r="G2230">
        <v>0</v>
      </c>
      <c r="H2230">
        <v>0</v>
      </c>
      <c r="I2230">
        <v>0</v>
      </c>
      <c r="J2230">
        <v>0</v>
      </c>
      <c r="K2230">
        <v>0</v>
      </c>
      <c r="L2230">
        <v>0</v>
      </c>
      <c r="M2230">
        <v>0</v>
      </c>
      <c r="N2230">
        <v>0</v>
      </c>
      <c r="O2230">
        <v>0</v>
      </c>
    </row>
    <row r="2231" spans="1:15" x14ac:dyDescent="0.35">
      <c r="A2231" t="s">
        <v>2631</v>
      </c>
      <c r="B2231" t="s">
        <v>2632</v>
      </c>
      <c r="C2231" t="s">
        <v>1644</v>
      </c>
      <c r="D2231" t="s">
        <v>314</v>
      </c>
      <c r="E2231" t="s">
        <v>300</v>
      </c>
      <c r="F2231" t="s">
        <v>2646</v>
      </c>
      <c r="G2231">
        <v>0</v>
      </c>
      <c r="H2231">
        <v>0</v>
      </c>
      <c r="I2231">
        <v>0</v>
      </c>
      <c r="J2231">
        <v>0</v>
      </c>
      <c r="K2231">
        <v>0</v>
      </c>
      <c r="L2231">
        <v>0</v>
      </c>
      <c r="M2231">
        <v>0</v>
      </c>
      <c r="N2231">
        <v>0</v>
      </c>
      <c r="O2231">
        <v>0</v>
      </c>
    </row>
    <row r="2232" spans="1:15" x14ac:dyDescent="0.35">
      <c r="A2232" t="s">
        <v>2631</v>
      </c>
      <c r="B2232" t="s">
        <v>2632</v>
      </c>
      <c r="C2232" t="s">
        <v>1644</v>
      </c>
      <c r="D2232" t="s">
        <v>314</v>
      </c>
      <c r="E2232" t="s">
        <v>306</v>
      </c>
      <c r="F2232" t="s">
        <v>2647</v>
      </c>
      <c r="G2232">
        <v>12</v>
      </c>
      <c r="H2232">
        <v>3715.2000000000003</v>
      </c>
      <c r="I2232">
        <v>309.60000000000002</v>
      </c>
      <c r="J2232">
        <v>0</v>
      </c>
      <c r="K2232">
        <v>0</v>
      </c>
      <c r="L2232">
        <v>0</v>
      </c>
      <c r="M2232">
        <v>12</v>
      </c>
      <c r="N2232">
        <v>3715.2000000000003</v>
      </c>
      <c r="O2232">
        <v>309.60000000000002</v>
      </c>
    </row>
    <row r="2233" spans="1:15" x14ac:dyDescent="0.35">
      <c r="A2233" t="s">
        <v>2631</v>
      </c>
      <c r="B2233" t="s">
        <v>2632</v>
      </c>
      <c r="C2233" t="s">
        <v>1644</v>
      </c>
      <c r="D2233" t="s">
        <v>314</v>
      </c>
      <c r="E2233" t="s">
        <v>308</v>
      </c>
      <c r="F2233" t="s">
        <v>2648</v>
      </c>
      <c r="G2233">
        <v>30</v>
      </c>
      <c r="H2233">
        <v>5988.9</v>
      </c>
      <c r="I2233">
        <v>199.63</v>
      </c>
      <c r="J2233">
        <v>0</v>
      </c>
      <c r="K2233">
        <v>0</v>
      </c>
      <c r="L2233">
        <v>0</v>
      </c>
      <c r="M2233">
        <v>30</v>
      </c>
      <c r="N2233">
        <v>5988.9</v>
      </c>
      <c r="O2233">
        <v>199.63</v>
      </c>
    </row>
    <row r="2234" spans="1:15" x14ac:dyDescent="0.35">
      <c r="A2234" t="s">
        <v>2631</v>
      </c>
      <c r="B2234" t="s">
        <v>2632</v>
      </c>
      <c r="C2234" t="s">
        <v>1644</v>
      </c>
      <c r="D2234" t="s">
        <v>314</v>
      </c>
      <c r="E2234" t="s">
        <v>312</v>
      </c>
      <c r="F2234" t="s">
        <v>2649</v>
      </c>
      <c r="G2234">
        <v>43</v>
      </c>
      <c r="H2234">
        <v>9568.3100000000013</v>
      </c>
      <c r="I2234">
        <v>222.52</v>
      </c>
      <c r="J2234">
        <v>0</v>
      </c>
      <c r="K2234">
        <v>0</v>
      </c>
      <c r="L2234">
        <v>0</v>
      </c>
      <c r="M2234">
        <v>43</v>
      </c>
      <c r="N2234">
        <v>9568.3100000000013</v>
      </c>
      <c r="O2234">
        <v>222.52</v>
      </c>
    </row>
    <row r="2235" spans="1:15" x14ac:dyDescent="0.35">
      <c r="A2235" t="s">
        <v>2631</v>
      </c>
      <c r="B2235" t="s">
        <v>2632</v>
      </c>
      <c r="C2235" t="s">
        <v>1644</v>
      </c>
      <c r="D2235" t="s">
        <v>314</v>
      </c>
      <c r="E2235" t="s">
        <v>310</v>
      </c>
      <c r="F2235" t="s">
        <v>2650</v>
      </c>
      <c r="G2235">
        <v>73</v>
      </c>
      <c r="H2235">
        <v>15557.210000000001</v>
      </c>
      <c r="I2235">
        <v>213.11</v>
      </c>
      <c r="J2235">
        <v>0</v>
      </c>
      <c r="K2235">
        <v>0</v>
      </c>
      <c r="L2235">
        <v>0</v>
      </c>
      <c r="M2235">
        <v>73</v>
      </c>
      <c r="N2235">
        <v>15557.210000000001</v>
      </c>
      <c r="O2235">
        <v>213.11</v>
      </c>
    </row>
    <row r="2236" spans="1:15" x14ac:dyDescent="0.35">
      <c r="A2236" t="s">
        <v>2631</v>
      </c>
      <c r="B2236" t="s">
        <v>2632</v>
      </c>
      <c r="C2236" t="s">
        <v>1644</v>
      </c>
      <c r="D2236" t="s">
        <v>323</v>
      </c>
      <c r="E2236" t="s">
        <v>294</v>
      </c>
      <c r="F2236" t="s">
        <v>2651</v>
      </c>
      <c r="G2236">
        <v>4757</v>
      </c>
      <c r="H2236">
        <v>554918.80000000005</v>
      </c>
      <c r="I2236">
        <v>116.65</v>
      </c>
      <c r="J2236">
        <v>0</v>
      </c>
      <c r="K2236">
        <v>0</v>
      </c>
      <c r="L2236">
        <v>0</v>
      </c>
      <c r="M2236">
        <v>4757</v>
      </c>
      <c r="N2236">
        <v>554918.80000000005</v>
      </c>
      <c r="O2236">
        <v>116.65</v>
      </c>
    </row>
    <row r="2237" spans="1:15" x14ac:dyDescent="0.35">
      <c r="A2237" t="s">
        <v>2631</v>
      </c>
      <c r="B2237" t="s">
        <v>2632</v>
      </c>
      <c r="C2237" t="s">
        <v>1644</v>
      </c>
      <c r="D2237" t="s">
        <v>323</v>
      </c>
      <c r="E2237" t="s">
        <v>296</v>
      </c>
      <c r="F2237" t="s">
        <v>2652</v>
      </c>
      <c r="G2237">
        <v>7643</v>
      </c>
      <c r="H2237">
        <v>1022265.1300000001</v>
      </c>
      <c r="I2237">
        <v>133.75</v>
      </c>
      <c r="J2237">
        <v>0</v>
      </c>
      <c r="K2237">
        <v>0</v>
      </c>
      <c r="L2237">
        <v>0</v>
      </c>
      <c r="M2237">
        <v>7643</v>
      </c>
      <c r="N2237">
        <v>1022265.1300000001</v>
      </c>
      <c r="O2237">
        <v>133.75</v>
      </c>
    </row>
    <row r="2238" spans="1:15" x14ac:dyDescent="0.35">
      <c r="A2238" t="s">
        <v>2631</v>
      </c>
      <c r="B2238" t="s">
        <v>2632</v>
      </c>
      <c r="C2238" t="s">
        <v>1644</v>
      </c>
      <c r="D2238" t="s">
        <v>323</v>
      </c>
      <c r="E2238" t="s">
        <v>298</v>
      </c>
      <c r="F2238" t="s">
        <v>2653</v>
      </c>
      <c r="G2238">
        <v>7816</v>
      </c>
      <c r="H2238">
        <v>1180846.55</v>
      </c>
      <c r="I2238">
        <v>151.08000000000001</v>
      </c>
      <c r="J2238">
        <v>0</v>
      </c>
      <c r="K2238">
        <v>0</v>
      </c>
      <c r="L2238">
        <v>0</v>
      </c>
      <c r="M2238">
        <v>7816</v>
      </c>
      <c r="N2238">
        <v>1180846.55</v>
      </c>
      <c r="O2238">
        <v>151.08000000000001</v>
      </c>
    </row>
    <row r="2239" spans="1:15" x14ac:dyDescent="0.35">
      <c r="A2239" t="s">
        <v>2631</v>
      </c>
      <c r="B2239" t="s">
        <v>2632</v>
      </c>
      <c r="C2239" t="s">
        <v>1644</v>
      </c>
      <c r="D2239" t="s">
        <v>323</v>
      </c>
      <c r="E2239" t="s">
        <v>300</v>
      </c>
      <c r="F2239" t="s">
        <v>2654</v>
      </c>
      <c r="G2239">
        <v>495</v>
      </c>
      <c r="H2239">
        <v>84738.26999999999</v>
      </c>
      <c r="I2239">
        <v>171.19</v>
      </c>
      <c r="J2239">
        <v>0</v>
      </c>
      <c r="K2239">
        <v>0</v>
      </c>
      <c r="L2239">
        <v>0</v>
      </c>
      <c r="M2239">
        <v>495</v>
      </c>
      <c r="N2239">
        <v>84738.26999999999</v>
      </c>
      <c r="O2239">
        <v>171.19</v>
      </c>
    </row>
    <row r="2240" spans="1:15" x14ac:dyDescent="0.35">
      <c r="A2240" t="s">
        <v>2631</v>
      </c>
      <c r="B2240" t="s">
        <v>2632</v>
      </c>
      <c r="C2240" t="s">
        <v>1644</v>
      </c>
      <c r="D2240" t="s">
        <v>323</v>
      </c>
      <c r="E2240" t="s">
        <v>302</v>
      </c>
      <c r="F2240" t="s">
        <v>2655</v>
      </c>
      <c r="G2240">
        <v>19</v>
      </c>
      <c r="H2240">
        <v>3458.75</v>
      </c>
      <c r="I2240">
        <v>182.04</v>
      </c>
      <c r="J2240">
        <v>0</v>
      </c>
      <c r="K2240">
        <v>0</v>
      </c>
      <c r="L2240">
        <v>0</v>
      </c>
      <c r="M2240">
        <v>19</v>
      </c>
      <c r="N2240">
        <v>3458.75</v>
      </c>
      <c r="O2240">
        <v>182.04</v>
      </c>
    </row>
    <row r="2241" spans="1:15" x14ac:dyDescent="0.35">
      <c r="A2241" t="s">
        <v>2631</v>
      </c>
      <c r="B2241" t="s">
        <v>2632</v>
      </c>
      <c r="C2241" t="s">
        <v>1644</v>
      </c>
      <c r="D2241" t="s">
        <v>323</v>
      </c>
      <c r="E2241" t="s">
        <v>304</v>
      </c>
      <c r="F2241" t="s">
        <v>2656</v>
      </c>
      <c r="G2241">
        <v>3</v>
      </c>
      <c r="H2241">
        <v>645.05999999999995</v>
      </c>
      <c r="I2241">
        <v>215.02</v>
      </c>
      <c r="J2241">
        <v>0</v>
      </c>
      <c r="K2241">
        <v>0</v>
      </c>
      <c r="L2241">
        <v>0</v>
      </c>
      <c r="M2241">
        <v>3</v>
      </c>
      <c r="N2241">
        <v>645.05999999999995</v>
      </c>
      <c r="O2241">
        <v>215.02</v>
      </c>
    </row>
    <row r="2242" spans="1:15" x14ac:dyDescent="0.35">
      <c r="A2242" t="s">
        <v>2631</v>
      </c>
      <c r="B2242" t="s">
        <v>2632</v>
      </c>
      <c r="C2242" t="s">
        <v>1644</v>
      </c>
      <c r="D2242" t="s">
        <v>323</v>
      </c>
      <c r="E2242" t="s">
        <v>306</v>
      </c>
      <c r="F2242" t="s">
        <v>2657</v>
      </c>
      <c r="G2242">
        <v>252</v>
      </c>
      <c r="H2242">
        <v>23932.75</v>
      </c>
      <c r="I2242">
        <v>94.97</v>
      </c>
      <c r="J2242">
        <v>0</v>
      </c>
      <c r="K2242">
        <v>0</v>
      </c>
      <c r="L2242">
        <v>0</v>
      </c>
      <c r="M2242">
        <v>252</v>
      </c>
      <c r="N2242">
        <v>23932.75</v>
      </c>
      <c r="O2242">
        <v>94.97</v>
      </c>
    </row>
    <row r="2243" spans="1:15" x14ac:dyDescent="0.35">
      <c r="A2243" t="s">
        <v>2631</v>
      </c>
      <c r="B2243" t="s">
        <v>2632</v>
      </c>
      <c r="C2243" t="s">
        <v>1644</v>
      </c>
      <c r="D2243" t="s">
        <v>323</v>
      </c>
      <c r="E2243" t="s">
        <v>308</v>
      </c>
      <c r="F2243" t="s">
        <v>2658</v>
      </c>
      <c r="G2243">
        <v>0</v>
      </c>
      <c r="H2243">
        <v>0</v>
      </c>
      <c r="I2243">
        <v>0</v>
      </c>
      <c r="J2243">
        <v>0</v>
      </c>
      <c r="K2243">
        <v>0</v>
      </c>
      <c r="L2243">
        <v>0</v>
      </c>
      <c r="M2243">
        <v>0</v>
      </c>
      <c r="N2243">
        <v>0</v>
      </c>
      <c r="O2243">
        <v>0</v>
      </c>
    </row>
    <row r="2244" spans="1:15" x14ac:dyDescent="0.35">
      <c r="A2244" t="s">
        <v>2631</v>
      </c>
      <c r="B2244" t="s">
        <v>2632</v>
      </c>
      <c r="C2244" t="s">
        <v>1644</v>
      </c>
      <c r="D2244" t="s">
        <v>323</v>
      </c>
      <c r="E2244" t="s">
        <v>310</v>
      </c>
      <c r="F2244" t="s">
        <v>2659</v>
      </c>
      <c r="G2244">
        <v>20985</v>
      </c>
      <c r="H2244">
        <v>2870805.3100000005</v>
      </c>
      <c r="I2244">
        <v>136.80000000000001</v>
      </c>
      <c r="J2244">
        <v>0</v>
      </c>
      <c r="K2244">
        <v>0</v>
      </c>
      <c r="L2244">
        <v>0</v>
      </c>
      <c r="M2244">
        <v>20985</v>
      </c>
      <c r="N2244">
        <v>2870805.3100000005</v>
      </c>
      <c r="O2244">
        <v>136.80000000000001</v>
      </c>
    </row>
    <row r="2245" spans="1:15" x14ac:dyDescent="0.35">
      <c r="A2245" t="s">
        <v>2631</v>
      </c>
      <c r="B2245" t="s">
        <v>2632</v>
      </c>
      <c r="C2245" t="s">
        <v>1644</v>
      </c>
      <c r="D2245" t="s">
        <v>323</v>
      </c>
      <c r="E2245" t="s">
        <v>312</v>
      </c>
      <c r="F2245" t="s">
        <v>2660</v>
      </c>
      <c r="G2245">
        <v>20985</v>
      </c>
      <c r="H2245">
        <v>2870805.3100000005</v>
      </c>
      <c r="I2245">
        <v>136.80000000000001</v>
      </c>
      <c r="J2245">
        <v>0</v>
      </c>
      <c r="K2245">
        <v>0</v>
      </c>
      <c r="L2245">
        <v>0</v>
      </c>
      <c r="M2245">
        <v>20985</v>
      </c>
      <c r="N2245">
        <v>2870805.3100000005</v>
      </c>
      <c r="O2245">
        <v>136.80000000000001</v>
      </c>
    </row>
    <row r="2246" spans="1:15" x14ac:dyDescent="0.35">
      <c r="A2246" t="s">
        <v>2631</v>
      </c>
      <c r="B2246" t="s">
        <v>2632</v>
      </c>
      <c r="C2246" t="s">
        <v>1644</v>
      </c>
      <c r="D2246" t="s">
        <v>334</v>
      </c>
      <c r="E2246" t="s">
        <v>312</v>
      </c>
      <c r="F2246" t="s">
        <v>2661</v>
      </c>
      <c r="G2246">
        <v>26054</v>
      </c>
      <c r="H2246">
        <v>3910799.0700000003</v>
      </c>
      <c r="I2246">
        <v>150.83000000000001</v>
      </c>
      <c r="J2246">
        <v>0</v>
      </c>
      <c r="K2246">
        <v>0</v>
      </c>
      <c r="L2246">
        <v>0</v>
      </c>
      <c r="M2246">
        <v>26054</v>
      </c>
      <c r="N2246">
        <v>3910799.0700000003</v>
      </c>
      <c r="O2246">
        <v>150.83000000000001</v>
      </c>
    </row>
    <row r="2247" spans="1:15" x14ac:dyDescent="0.35">
      <c r="A2247" t="s">
        <v>2631</v>
      </c>
      <c r="B2247" t="s">
        <v>2632</v>
      </c>
      <c r="C2247" t="s">
        <v>1644</v>
      </c>
      <c r="D2247" t="s">
        <v>334</v>
      </c>
      <c r="E2247" t="s">
        <v>308</v>
      </c>
      <c r="F2247" t="s">
        <v>2662</v>
      </c>
      <c r="G2247">
        <v>147</v>
      </c>
      <c r="H2247">
        <v>0</v>
      </c>
      <c r="I2247">
        <v>0</v>
      </c>
      <c r="J2247">
        <v>0</v>
      </c>
      <c r="K2247">
        <v>0</v>
      </c>
      <c r="L2247">
        <v>0</v>
      </c>
      <c r="M2247">
        <v>147</v>
      </c>
      <c r="N2247">
        <v>0</v>
      </c>
      <c r="O2247">
        <v>0</v>
      </c>
    </row>
    <row r="2248" spans="1:15" x14ac:dyDescent="0.35">
      <c r="A2248" t="s">
        <v>2631</v>
      </c>
      <c r="B2248" t="s">
        <v>2632</v>
      </c>
      <c r="C2248" t="s">
        <v>1644</v>
      </c>
      <c r="D2248" t="s">
        <v>337</v>
      </c>
      <c r="E2248" t="s">
        <v>337</v>
      </c>
      <c r="F2248" t="s">
        <v>2663</v>
      </c>
      <c r="G2248">
        <v>3016</v>
      </c>
      <c r="J2248">
        <v>0</v>
      </c>
      <c r="M2248">
        <v>3016</v>
      </c>
    </row>
    <row r="2249" spans="1:15" x14ac:dyDescent="0.35">
      <c r="A2249" t="s">
        <v>2631</v>
      </c>
      <c r="B2249" t="s">
        <v>2632</v>
      </c>
      <c r="C2249" t="s">
        <v>1644</v>
      </c>
      <c r="D2249" t="s">
        <v>339</v>
      </c>
      <c r="E2249" t="s">
        <v>294</v>
      </c>
      <c r="F2249" t="s">
        <v>2664</v>
      </c>
      <c r="G2249">
        <v>2910</v>
      </c>
      <c r="H2249">
        <v>364251.22000000003</v>
      </c>
      <c r="I2249">
        <v>125.17</v>
      </c>
      <c r="J2249">
        <v>0</v>
      </c>
      <c r="K2249">
        <v>0</v>
      </c>
      <c r="L2249">
        <v>0</v>
      </c>
      <c r="M2249">
        <v>2910</v>
      </c>
      <c r="N2249">
        <v>364251.22000000003</v>
      </c>
      <c r="O2249">
        <v>125.17</v>
      </c>
    </row>
    <row r="2250" spans="1:15" x14ac:dyDescent="0.35">
      <c r="A2250" t="s">
        <v>2631</v>
      </c>
      <c r="B2250" t="s">
        <v>2632</v>
      </c>
      <c r="C2250" t="s">
        <v>1644</v>
      </c>
      <c r="D2250" t="s">
        <v>339</v>
      </c>
      <c r="E2250" t="s">
        <v>296</v>
      </c>
      <c r="F2250" t="s">
        <v>2665</v>
      </c>
      <c r="G2250">
        <v>434</v>
      </c>
      <c r="H2250">
        <v>61889.87000000001</v>
      </c>
      <c r="I2250">
        <v>142.6</v>
      </c>
      <c r="J2250">
        <v>0</v>
      </c>
      <c r="K2250">
        <v>0</v>
      </c>
      <c r="L2250">
        <v>0</v>
      </c>
      <c r="M2250">
        <v>434</v>
      </c>
      <c r="N2250">
        <v>61889.87000000001</v>
      </c>
      <c r="O2250">
        <v>142.6</v>
      </c>
    </row>
    <row r="2251" spans="1:15" x14ac:dyDescent="0.35">
      <c r="A2251" t="s">
        <v>2631</v>
      </c>
      <c r="B2251" t="s">
        <v>2632</v>
      </c>
      <c r="C2251" t="s">
        <v>1644</v>
      </c>
      <c r="D2251" t="s">
        <v>339</v>
      </c>
      <c r="E2251" t="s">
        <v>298</v>
      </c>
      <c r="F2251" t="s">
        <v>2666</v>
      </c>
      <c r="G2251">
        <v>13</v>
      </c>
      <c r="H2251">
        <v>2074.06</v>
      </c>
      <c r="I2251">
        <v>159.54</v>
      </c>
      <c r="J2251">
        <v>0</v>
      </c>
      <c r="K2251">
        <v>0</v>
      </c>
      <c r="L2251">
        <v>0</v>
      </c>
      <c r="M2251">
        <v>13</v>
      </c>
      <c r="N2251">
        <v>2074.06</v>
      </c>
      <c r="O2251">
        <v>159.54</v>
      </c>
    </row>
    <row r="2252" spans="1:15" x14ac:dyDescent="0.35">
      <c r="A2252" t="s">
        <v>2631</v>
      </c>
      <c r="B2252" t="s">
        <v>2632</v>
      </c>
      <c r="C2252" t="s">
        <v>1644</v>
      </c>
      <c r="D2252" t="s">
        <v>339</v>
      </c>
      <c r="E2252" t="s">
        <v>300</v>
      </c>
      <c r="F2252" t="s">
        <v>2667</v>
      </c>
      <c r="G2252">
        <v>0</v>
      </c>
      <c r="H2252">
        <v>0</v>
      </c>
      <c r="I2252">
        <v>0</v>
      </c>
      <c r="J2252">
        <v>0</v>
      </c>
      <c r="K2252">
        <v>0</v>
      </c>
      <c r="L2252">
        <v>0</v>
      </c>
      <c r="M2252">
        <v>0</v>
      </c>
      <c r="N2252">
        <v>0</v>
      </c>
      <c r="O2252">
        <v>0</v>
      </c>
    </row>
    <row r="2253" spans="1:15" x14ac:dyDescent="0.35">
      <c r="A2253" t="s">
        <v>2631</v>
      </c>
      <c r="B2253" t="s">
        <v>2632</v>
      </c>
      <c r="C2253" t="s">
        <v>1644</v>
      </c>
      <c r="D2253" t="s">
        <v>339</v>
      </c>
      <c r="E2253" t="s">
        <v>306</v>
      </c>
      <c r="F2253" t="s">
        <v>2668</v>
      </c>
      <c r="G2253">
        <v>142</v>
      </c>
      <c r="H2253">
        <v>15706.119999999999</v>
      </c>
      <c r="I2253">
        <v>110.61</v>
      </c>
      <c r="J2253">
        <v>0</v>
      </c>
      <c r="K2253">
        <v>0</v>
      </c>
      <c r="L2253">
        <v>0</v>
      </c>
      <c r="M2253">
        <v>142</v>
      </c>
      <c r="N2253">
        <v>15706.119999999999</v>
      </c>
      <c r="O2253">
        <v>110.61</v>
      </c>
    </row>
    <row r="2254" spans="1:15" x14ac:dyDescent="0.35">
      <c r="A2254" t="s">
        <v>2631</v>
      </c>
      <c r="B2254" t="s">
        <v>2632</v>
      </c>
      <c r="C2254" t="s">
        <v>1644</v>
      </c>
      <c r="D2254" t="s">
        <v>339</v>
      </c>
      <c r="E2254" t="s">
        <v>308</v>
      </c>
      <c r="F2254" t="s">
        <v>2669</v>
      </c>
      <c r="G2254">
        <v>212</v>
      </c>
      <c r="H2254">
        <v>35904.15</v>
      </c>
      <c r="I2254">
        <v>169.36</v>
      </c>
      <c r="J2254">
        <v>0</v>
      </c>
      <c r="K2254">
        <v>0</v>
      </c>
      <c r="L2254">
        <v>0</v>
      </c>
      <c r="M2254">
        <v>212</v>
      </c>
      <c r="N2254">
        <v>35904.15</v>
      </c>
      <c r="O2254">
        <v>169.36</v>
      </c>
    </row>
    <row r="2255" spans="1:15" x14ac:dyDescent="0.35">
      <c r="A2255" t="s">
        <v>2631</v>
      </c>
      <c r="B2255" t="s">
        <v>2632</v>
      </c>
      <c r="C2255" t="s">
        <v>1644</v>
      </c>
      <c r="D2255" t="s">
        <v>339</v>
      </c>
      <c r="E2255" t="s">
        <v>310</v>
      </c>
      <c r="F2255" t="s">
        <v>2670</v>
      </c>
      <c r="G2255">
        <v>3711</v>
      </c>
      <c r="H2255">
        <v>479825.42000000004</v>
      </c>
      <c r="I2255">
        <v>129.30000000000001</v>
      </c>
      <c r="J2255">
        <v>0</v>
      </c>
      <c r="K2255">
        <v>0</v>
      </c>
      <c r="L2255">
        <v>0</v>
      </c>
      <c r="M2255">
        <v>3711</v>
      </c>
      <c r="N2255">
        <v>479825.42000000004</v>
      </c>
      <c r="O2255">
        <v>129.30000000000001</v>
      </c>
    </row>
    <row r="2256" spans="1:15" x14ac:dyDescent="0.35">
      <c r="A2256" t="s">
        <v>2631</v>
      </c>
      <c r="B2256" t="s">
        <v>2632</v>
      </c>
      <c r="C2256" t="s">
        <v>1644</v>
      </c>
      <c r="D2256" t="s">
        <v>339</v>
      </c>
      <c r="E2256" t="s">
        <v>312</v>
      </c>
      <c r="F2256" t="s">
        <v>2671</v>
      </c>
      <c r="G2256">
        <v>3499</v>
      </c>
      <c r="H2256">
        <v>443921.27</v>
      </c>
      <c r="I2256">
        <v>126.87</v>
      </c>
      <c r="J2256">
        <v>0</v>
      </c>
      <c r="K2256">
        <v>0</v>
      </c>
      <c r="L2256">
        <v>0</v>
      </c>
      <c r="M2256">
        <v>3499</v>
      </c>
      <c r="N2256">
        <v>443921.27</v>
      </c>
      <c r="O2256">
        <v>126.87</v>
      </c>
    </row>
    <row r="2257" spans="1:15" x14ac:dyDescent="0.35">
      <c r="A2257" t="s">
        <v>2631</v>
      </c>
      <c r="B2257" t="s">
        <v>2632</v>
      </c>
      <c r="C2257" t="s">
        <v>1644</v>
      </c>
      <c r="D2257" t="s">
        <v>348</v>
      </c>
      <c r="E2257" t="s">
        <v>349</v>
      </c>
      <c r="F2257" t="s">
        <v>2672</v>
      </c>
      <c r="G2257">
        <v>4074</v>
      </c>
      <c r="H2257">
        <v>495382.63000000006</v>
      </c>
      <c r="I2257">
        <v>130.91999999999999</v>
      </c>
      <c r="J2257">
        <v>0</v>
      </c>
      <c r="K2257">
        <v>0</v>
      </c>
      <c r="L2257">
        <v>0</v>
      </c>
      <c r="M2257">
        <v>4074</v>
      </c>
      <c r="N2257">
        <v>495382.63000000006</v>
      </c>
      <c r="O2257">
        <v>130.91999999999999</v>
      </c>
    </row>
    <row r="2258" spans="1:15" x14ac:dyDescent="0.35">
      <c r="A2258" t="s">
        <v>2673</v>
      </c>
      <c r="B2258" t="s">
        <v>2674</v>
      </c>
      <c r="C2258" t="s">
        <v>898</v>
      </c>
      <c r="D2258" t="s">
        <v>293</v>
      </c>
      <c r="E2258" t="s">
        <v>294</v>
      </c>
      <c r="F2258" t="s">
        <v>2675</v>
      </c>
      <c r="G2258">
        <v>515</v>
      </c>
      <c r="H2258">
        <v>59317.25</v>
      </c>
      <c r="I2258">
        <v>115.18</v>
      </c>
      <c r="J2258">
        <v>59</v>
      </c>
      <c r="K2258">
        <v>7123.0700000000006</v>
      </c>
      <c r="L2258">
        <v>120.73</v>
      </c>
      <c r="M2258">
        <v>574</v>
      </c>
      <c r="N2258">
        <v>66440.320000000007</v>
      </c>
      <c r="O2258">
        <v>115.75</v>
      </c>
    </row>
    <row r="2259" spans="1:15" x14ac:dyDescent="0.35">
      <c r="A2259" t="s">
        <v>2673</v>
      </c>
      <c r="B2259" t="s">
        <v>2674</v>
      </c>
      <c r="C2259" t="s">
        <v>898</v>
      </c>
      <c r="D2259" t="s">
        <v>293</v>
      </c>
      <c r="E2259" t="s">
        <v>296</v>
      </c>
      <c r="F2259" t="s">
        <v>2676</v>
      </c>
      <c r="G2259">
        <v>1348</v>
      </c>
      <c r="H2259">
        <v>189895.34</v>
      </c>
      <c r="I2259">
        <v>140.87</v>
      </c>
      <c r="J2259">
        <v>164</v>
      </c>
      <c r="K2259">
        <v>23169.920000000002</v>
      </c>
      <c r="L2259">
        <v>141.28</v>
      </c>
      <c r="M2259">
        <v>1512</v>
      </c>
      <c r="N2259">
        <v>213065.26</v>
      </c>
      <c r="O2259">
        <v>140.91999999999999</v>
      </c>
    </row>
    <row r="2260" spans="1:15" x14ac:dyDescent="0.35">
      <c r="A2260" t="s">
        <v>2673</v>
      </c>
      <c r="B2260" t="s">
        <v>2674</v>
      </c>
      <c r="C2260" t="s">
        <v>898</v>
      </c>
      <c r="D2260" t="s">
        <v>293</v>
      </c>
      <c r="E2260" t="s">
        <v>298</v>
      </c>
      <c r="F2260" t="s">
        <v>2677</v>
      </c>
      <c r="G2260">
        <v>578</v>
      </c>
      <c r="H2260">
        <v>93454.29</v>
      </c>
      <c r="I2260">
        <v>161.69</v>
      </c>
      <c r="J2260">
        <v>66</v>
      </c>
      <c r="K2260">
        <v>10561.320000000002</v>
      </c>
      <c r="L2260">
        <v>160.02000000000001</v>
      </c>
      <c r="M2260">
        <v>644</v>
      </c>
      <c r="N2260">
        <v>104015.61</v>
      </c>
      <c r="O2260">
        <v>161.51</v>
      </c>
    </row>
    <row r="2261" spans="1:15" x14ac:dyDescent="0.35">
      <c r="A2261" t="s">
        <v>2673</v>
      </c>
      <c r="B2261" t="s">
        <v>2674</v>
      </c>
      <c r="C2261" t="s">
        <v>898</v>
      </c>
      <c r="D2261" t="s">
        <v>293</v>
      </c>
      <c r="E2261" t="s">
        <v>300</v>
      </c>
      <c r="F2261" t="s">
        <v>2678</v>
      </c>
      <c r="G2261">
        <v>71</v>
      </c>
      <c r="H2261">
        <v>14587.17</v>
      </c>
      <c r="I2261">
        <v>205.45</v>
      </c>
      <c r="J2261">
        <v>14</v>
      </c>
      <c r="K2261">
        <v>2072.84</v>
      </c>
      <c r="L2261">
        <v>148.06</v>
      </c>
      <c r="M2261">
        <v>85</v>
      </c>
      <c r="N2261">
        <v>16660.010000000002</v>
      </c>
      <c r="O2261">
        <v>196</v>
      </c>
    </row>
    <row r="2262" spans="1:15" x14ac:dyDescent="0.35">
      <c r="A2262" t="s">
        <v>2673</v>
      </c>
      <c r="B2262" t="s">
        <v>2674</v>
      </c>
      <c r="C2262" t="s">
        <v>898</v>
      </c>
      <c r="D2262" t="s">
        <v>293</v>
      </c>
      <c r="E2262" t="s">
        <v>302</v>
      </c>
      <c r="F2262" t="s">
        <v>2679</v>
      </c>
      <c r="G2262">
        <v>0</v>
      </c>
      <c r="H2262">
        <v>0</v>
      </c>
      <c r="I2262">
        <v>0</v>
      </c>
      <c r="J2262">
        <v>0</v>
      </c>
      <c r="K2262">
        <v>0</v>
      </c>
      <c r="L2262">
        <v>0</v>
      </c>
      <c r="M2262">
        <v>0</v>
      </c>
      <c r="N2262">
        <v>0</v>
      </c>
      <c r="O2262">
        <v>0</v>
      </c>
    </row>
    <row r="2263" spans="1:15" x14ac:dyDescent="0.35">
      <c r="A2263" t="s">
        <v>2673</v>
      </c>
      <c r="B2263" t="s">
        <v>2674</v>
      </c>
      <c r="C2263" t="s">
        <v>898</v>
      </c>
      <c r="D2263" t="s">
        <v>293</v>
      </c>
      <c r="E2263" t="s">
        <v>304</v>
      </c>
      <c r="F2263" t="s">
        <v>2680</v>
      </c>
      <c r="G2263">
        <v>0</v>
      </c>
      <c r="H2263">
        <v>0</v>
      </c>
      <c r="I2263">
        <v>0</v>
      </c>
      <c r="J2263">
        <v>0</v>
      </c>
      <c r="K2263">
        <v>0</v>
      </c>
      <c r="L2263">
        <v>0</v>
      </c>
      <c r="M2263">
        <v>0</v>
      </c>
      <c r="N2263">
        <v>0</v>
      </c>
      <c r="O2263">
        <v>0</v>
      </c>
    </row>
    <row r="2264" spans="1:15" x14ac:dyDescent="0.35">
      <c r="A2264" t="s">
        <v>2673</v>
      </c>
      <c r="B2264" t="s">
        <v>2674</v>
      </c>
      <c r="C2264" t="s">
        <v>898</v>
      </c>
      <c r="D2264" t="s">
        <v>293</v>
      </c>
      <c r="E2264" t="s">
        <v>306</v>
      </c>
      <c r="F2264" t="s">
        <v>2681</v>
      </c>
      <c r="G2264">
        <v>0</v>
      </c>
      <c r="H2264">
        <v>0</v>
      </c>
      <c r="I2264">
        <v>0</v>
      </c>
      <c r="J2264">
        <v>0</v>
      </c>
      <c r="K2264">
        <v>0</v>
      </c>
      <c r="L2264">
        <v>0</v>
      </c>
      <c r="M2264">
        <v>0</v>
      </c>
      <c r="N2264">
        <v>0</v>
      </c>
      <c r="O2264">
        <v>0</v>
      </c>
    </row>
    <row r="2265" spans="1:15" x14ac:dyDescent="0.35">
      <c r="A2265" t="s">
        <v>2673</v>
      </c>
      <c r="B2265" t="s">
        <v>2674</v>
      </c>
      <c r="C2265" t="s">
        <v>898</v>
      </c>
      <c r="D2265" t="s">
        <v>293</v>
      </c>
      <c r="E2265" t="s">
        <v>308</v>
      </c>
      <c r="F2265" t="s">
        <v>2682</v>
      </c>
      <c r="G2265">
        <v>0</v>
      </c>
      <c r="H2265">
        <v>0</v>
      </c>
      <c r="I2265">
        <v>0</v>
      </c>
      <c r="J2265">
        <v>0</v>
      </c>
      <c r="K2265">
        <v>0</v>
      </c>
      <c r="L2265">
        <v>0</v>
      </c>
      <c r="M2265">
        <v>0</v>
      </c>
      <c r="N2265">
        <v>0</v>
      </c>
      <c r="O2265">
        <v>0</v>
      </c>
    </row>
    <row r="2266" spans="1:15" x14ac:dyDescent="0.35">
      <c r="A2266" t="s">
        <v>2673</v>
      </c>
      <c r="B2266" t="s">
        <v>2674</v>
      </c>
      <c r="C2266" t="s">
        <v>898</v>
      </c>
      <c r="D2266" t="s">
        <v>293</v>
      </c>
      <c r="E2266" t="s">
        <v>310</v>
      </c>
      <c r="F2266" t="s">
        <v>2683</v>
      </c>
      <c r="G2266">
        <v>2512</v>
      </c>
      <c r="H2266">
        <v>357254.05</v>
      </c>
      <c r="I2266">
        <v>142.22</v>
      </c>
      <c r="J2266">
        <v>303</v>
      </c>
      <c r="K2266">
        <v>42927.150000000009</v>
      </c>
      <c r="L2266">
        <v>141.66999999999999</v>
      </c>
      <c r="M2266">
        <v>2815</v>
      </c>
      <c r="N2266">
        <v>400181.2</v>
      </c>
      <c r="O2266">
        <v>142.16</v>
      </c>
    </row>
    <row r="2267" spans="1:15" x14ac:dyDescent="0.35">
      <c r="A2267" t="s">
        <v>2673</v>
      </c>
      <c r="B2267" t="s">
        <v>2674</v>
      </c>
      <c r="C2267" t="s">
        <v>898</v>
      </c>
      <c r="D2267" t="s">
        <v>293</v>
      </c>
      <c r="E2267" t="s">
        <v>312</v>
      </c>
      <c r="F2267" t="s">
        <v>2684</v>
      </c>
      <c r="G2267">
        <v>2512</v>
      </c>
      <c r="H2267">
        <v>357254.05</v>
      </c>
      <c r="I2267">
        <v>142.22</v>
      </c>
      <c r="J2267">
        <v>303</v>
      </c>
      <c r="K2267">
        <v>42927.150000000009</v>
      </c>
      <c r="L2267">
        <v>141.66999999999999</v>
      </c>
      <c r="M2267">
        <v>2815</v>
      </c>
      <c r="N2267">
        <v>400181.2</v>
      </c>
      <c r="O2267">
        <v>142.16</v>
      </c>
    </row>
    <row r="2268" spans="1:15" x14ac:dyDescent="0.35">
      <c r="A2268" t="s">
        <v>2673</v>
      </c>
      <c r="B2268" t="s">
        <v>2674</v>
      </c>
      <c r="C2268" t="s">
        <v>898</v>
      </c>
      <c r="D2268" t="s">
        <v>314</v>
      </c>
      <c r="E2268" t="s">
        <v>294</v>
      </c>
      <c r="F2268" t="s">
        <v>2685</v>
      </c>
      <c r="G2268">
        <v>2</v>
      </c>
      <c r="H2268">
        <v>459.2</v>
      </c>
      <c r="I2268">
        <v>229.6</v>
      </c>
      <c r="J2268">
        <v>2</v>
      </c>
      <c r="K2268">
        <v>260.82</v>
      </c>
      <c r="L2268">
        <v>130.41</v>
      </c>
      <c r="M2268">
        <v>4</v>
      </c>
      <c r="N2268">
        <v>720.02</v>
      </c>
      <c r="O2268">
        <v>180.01</v>
      </c>
    </row>
    <row r="2269" spans="1:15" x14ac:dyDescent="0.35">
      <c r="A2269" t="s">
        <v>2673</v>
      </c>
      <c r="B2269" t="s">
        <v>2674</v>
      </c>
      <c r="C2269" t="s">
        <v>898</v>
      </c>
      <c r="D2269" t="s">
        <v>314</v>
      </c>
      <c r="E2269" t="s">
        <v>296</v>
      </c>
      <c r="F2269" t="s">
        <v>2686</v>
      </c>
      <c r="G2269">
        <v>0</v>
      </c>
      <c r="H2269">
        <v>0</v>
      </c>
      <c r="I2269">
        <v>0</v>
      </c>
      <c r="J2269">
        <v>48</v>
      </c>
      <c r="K2269">
        <v>6872.16</v>
      </c>
      <c r="L2269">
        <v>143.16999999999999</v>
      </c>
      <c r="M2269">
        <v>48</v>
      </c>
      <c r="N2269">
        <v>6872.16</v>
      </c>
      <c r="O2269">
        <v>143.16999999999999</v>
      </c>
    </row>
    <row r="2270" spans="1:15" x14ac:dyDescent="0.35">
      <c r="A2270" t="s">
        <v>2673</v>
      </c>
      <c r="B2270" t="s">
        <v>2674</v>
      </c>
      <c r="C2270" t="s">
        <v>898</v>
      </c>
      <c r="D2270" t="s">
        <v>314</v>
      </c>
      <c r="E2270" t="s">
        <v>298</v>
      </c>
      <c r="F2270" t="s">
        <v>2687</v>
      </c>
      <c r="G2270">
        <v>0</v>
      </c>
      <c r="H2270">
        <v>0</v>
      </c>
      <c r="I2270">
        <v>0</v>
      </c>
      <c r="J2270">
        <v>0</v>
      </c>
      <c r="K2270">
        <v>0</v>
      </c>
      <c r="L2270">
        <v>0</v>
      </c>
      <c r="M2270">
        <v>0</v>
      </c>
      <c r="N2270">
        <v>0</v>
      </c>
      <c r="O2270">
        <v>0</v>
      </c>
    </row>
    <row r="2271" spans="1:15" x14ac:dyDescent="0.35">
      <c r="A2271" t="s">
        <v>2673</v>
      </c>
      <c r="B2271" t="s">
        <v>2674</v>
      </c>
      <c r="C2271" t="s">
        <v>898</v>
      </c>
      <c r="D2271" t="s">
        <v>314</v>
      </c>
      <c r="E2271" t="s">
        <v>300</v>
      </c>
      <c r="F2271" t="s">
        <v>2688</v>
      </c>
      <c r="G2271">
        <v>0</v>
      </c>
      <c r="H2271">
        <v>0</v>
      </c>
      <c r="I2271">
        <v>0</v>
      </c>
      <c r="J2271">
        <v>0</v>
      </c>
      <c r="K2271">
        <v>0</v>
      </c>
      <c r="L2271">
        <v>0</v>
      </c>
      <c r="M2271">
        <v>0</v>
      </c>
      <c r="N2271">
        <v>0</v>
      </c>
      <c r="O2271">
        <v>0</v>
      </c>
    </row>
    <row r="2272" spans="1:15" x14ac:dyDescent="0.35">
      <c r="A2272" t="s">
        <v>2673</v>
      </c>
      <c r="B2272" t="s">
        <v>2674</v>
      </c>
      <c r="C2272" t="s">
        <v>898</v>
      </c>
      <c r="D2272" t="s">
        <v>314</v>
      </c>
      <c r="E2272" t="s">
        <v>306</v>
      </c>
      <c r="F2272" t="s">
        <v>2689</v>
      </c>
      <c r="G2272">
        <v>0</v>
      </c>
      <c r="H2272">
        <v>0</v>
      </c>
      <c r="I2272">
        <v>0</v>
      </c>
      <c r="J2272">
        <v>0</v>
      </c>
      <c r="K2272">
        <v>0</v>
      </c>
      <c r="L2272">
        <v>0</v>
      </c>
      <c r="M2272">
        <v>0</v>
      </c>
      <c r="N2272">
        <v>0</v>
      </c>
      <c r="O2272">
        <v>0</v>
      </c>
    </row>
    <row r="2273" spans="1:15" x14ac:dyDescent="0.35">
      <c r="A2273" t="s">
        <v>2673</v>
      </c>
      <c r="B2273" t="s">
        <v>2674</v>
      </c>
      <c r="C2273" t="s">
        <v>898</v>
      </c>
      <c r="D2273" t="s">
        <v>314</v>
      </c>
      <c r="E2273" t="s">
        <v>308</v>
      </c>
      <c r="F2273" t="s">
        <v>2690</v>
      </c>
      <c r="G2273">
        <v>0</v>
      </c>
      <c r="H2273">
        <v>0</v>
      </c>
      <c r="I2273">
        <v>0</v>
      </c>
      <c r="J2273">
        <v>0</v>
      </c>
      <c r="K2273">
        <v>0</v>
      </c>
      <c r="L2273">
        <v>0</v>
      </c>
      <c r="M2273">
        <v>0</v>
      </c>
      <c r="N2273">
        <v>0</v>
      </c>
      <c r="O2273">
        <v>0</v>
      </c>
    </row>
    <row r="2274" spans="1:15" x14ac:dyDescent="0.35">
      <c r="A2274" t="s">
        <v>2673</v>
      </c>
      <c r="B2274" t="s">
        <v>2674</v>
      </c>
      <c r="C2274" t="s">
        <v>898</v>
      </c>
      <c r="D2274" t="s">
        <v>314</v>
      </c>
      <c r="E2274" t="s">
        <v>312</v>
      </c>
      <c r="F2274" t="s">
        <v>2691</v>
      </c>
      <c r="G2274">
        <v>2</v>
      </c>
      <c r="H2274">
        <v>459.2</v>
      </c>
      <c r="I2274">
        <v>229.6</v>
      </c>
      <c r="J2274">
        <v>50</v>
      </c>
      <c r="K2274">
        <v>7132.98</v>
      </c>
      <c r="L2274">
        <v>142.66</v>
      </c>
      <c r="M2274">
        <v>52</v>
      </c>
      <c r="N2274">
        <v>7592.1799999999994</v>
      </c>
      <c r="O2274">
        <v>146</v>
      </c>
    </row>
    <row r="2275" spans="1:15" x14ac:dyDescent="0.35">
      <c r="A2275" t="s">
        <v>2673</v>
      </c>
      <c r="B2275" t="s">
        <v>2674</v>
      </c>
      <c r="C2275" t="s">
        <v>898</v>
      </c>
      <c r="D2275" t="s">
        <v>314</v>
      </c>
      <c r="E2275" t="s">
        <v>310</v>
      </c>
      <c r="F2275" t="s">
        <v>2692</v>
      </c>
      <c r="G2275">
        <v>2</v>
      </c>
      <c r="H2275">
        <v>459.2</v>
      </c>
      <c r="I2275">
        <v>229.6</v>
      </c>
      <c r="J2275">
        <v>50</v>
      </c>
      <c r="K2275">
        <v>7132.98</v>
      </c>
      <c r="L2275">
        <v>142.66</v>
      </c>
      <c r="M2275">
        <v>52</v>
      </c>
      <c r="N2275">
        <v>7592.1799999999994</v>
      </c>
      <c r="O2275">
        <v>146</v>
      </c>
    </row>
    <row r="2276" spans="1:15" x14ac:dyDescent="0.35">
      <c r="A2276" t="s">
        <v>2673</v>
      </c>
      <c r="B2276" t="s">
        <v>2674</v>
      </c>
      <c r="C2276" t="s">
        <v>898</v>
      </c>
      <c r="D2276" t="s">
        <v>323</v>
      </c>
      <c r="E2276" t="s">
        <v>294</v>
      </c>
      <c r="F2276" t="s">
        <v>2693</v>
      </c>
      <c r="G2276">
        <v>2390</v>
      </c>
      <c r="H2276">
        <v>227272.66</v>
      </c>
      <c r="I2276">
        <v>95.09</v>
      </c>
      <c r="J2276">
        <v>1329</v>
      </c>
      <c r="K2276">
        <v>115835.64</v>
      </c>
      <c r="L2276">
        <v>87.16</v>
      </c>
      <c r="M2276">
        <v>3719</v>
      </c>
      <c r="N2276">
        <v>343108.3</v>
      </c>
      <c r="O2276">
        <v>92.26</v>
      </c>
    </row>
    <row r="2277" spans="1:15" x14ac:dyDescent="0.35">
      <c r="A2277" t="s">
        <v>2673</v>
      </c>
      <c r="B2277" t="s">
        <v>2674</v>
      </c>
      <c r="C2277" t="s">
        <v>898</v>
      </c>
      <c r="D2277" t="s">
        <v>323</v>
      </c>
      <c r="E2277" t="s">
        <v>296</v>
      </c>
      <c r="F2277" t="s">
        <v>2694</v>
      </c>
      <c r="G2277">
        <v>4547</v>
      </c>
      <c r="H2277">
        <v>511275.76000000007</v>
      </c>
      <c r="I2277">
        <v>112.44</v>
      </c>
      <c r="J2277">
        <v>2356</v>
      </c>
      <c r="K2277">
        <v>228484.88</v>
      </c>
      <c r="L2277">
        <v>96.98</v>
      </c>
      <c r="M2277">
        <v>6903</v>
      </c>
      <c r="N2277">
        <v>739760.64000000013</v>
      </c>
      <c r="O2277">
        <v>107.17</v>
      </c>
    </row>
    <row r="2278" spans="1:15" x14ac:dyDescent="0.35">
      <c r="A2278" t="s">
        <v>2673</v>
      </c>
      <c r="B2278" t="s">
        <v>2674</v>
      </c>
      <c r="C2278" t="s">
        <v>898</v>
      </c>
      <c r="D2278" t="s">
        <v>323</v>
      </c>
      <c r="E2278" t="s">
        <v>298</v>
      </c>
      <c r="F2278" t="s">
        <v>2695</v>
      </c>
      <c r="G2278">
        <v>4734</v>
      </c>
      <c r="H2278">
        <v>567137.85</v>
      </c>
      <c r="I2278">
        <v>119.8</v>
      </c>
      <c r="J2278">
        <v>2753</v>
      </c>
      <c r="K2278">
        <v>285678.81</v>
      </c>
      <c r="L2278">
        <v>103.77</v>
      </c>
      <c r="M2278">
        <v>7487</v>
      </c>
      <c r="N2278">
        <v>852816.65999999992</v>
      </c>
      <c r="O2278">
        <v>113.91</v>
      </c>
    </row>
    <row r="2279" spans="1:15" x14ac:dyDescent="0.35">
      <c r="A2279" t="s">
        <v>2673</v>
      </c>
      <c r="B2279" t="s">
        <v>2674</v>
      </c>
      <c r="C2279" t="s">
        <v>898</v>
      </c>
      <c r="D2279" t="s">
        <v>323</v>
      </c>
      <c r="E2279" t="s">
        <v>300</v>
      </c>
      <c r="F2279" t="s">
        <v>2696</v>
      </c>
      <c r="G2279">
        <v>245</v>
      </c>
      <c r="H2279">
        <v>32500.92</v>
      </c>
      <c r="I2279">
        <v>132.66</v>
      </c>
      <c r="J2279">
        <v>228</v>
      </c>
      <c r="K2279">
        <v>24696.959999999999</v>
      </c>
      <c r="L2279">
        <v>108.32</v>
      </c>
      <c r="M2279">
        <v>473</v>
      </c>
      <c r="N2279">
        <v>57197.88</v>
      </c>
      <c r="O2279">
        <v>120.93</v>
      </c>
    </row>
    <row r="2280" spans="1:15" x14ac:dyDescent="0.35">
      <c r="A2280" t="s">
        <v>2673</v>
      </c>
      <c r="B2280" t="s">
        <v>2674</v>
      </c>
      <c r="C2280" t="s">
        <v>898</v>
      </c>
      <c r="D2280" t="s">
        <v>323</v>
      </c>
      <c r="E2280" t="s">
        <v>302</v>
      </c>
      <c r="F2280" t="s">
        <v>2697</v>
      </c>
      <c r="G2280">
        <v>6</v>
      </c>
      <c r="H2280">
        <v>834.72</v>
      </c>
      <c r="I2280">
        <v>139.12</v>
      </c>
      <c r="J2280">
        <v>36</v>
      </c>
      <c r="K2280">
        <v>3958.56</v>
      </c>
      <c r="L2280">
        <v>109.96</v>
      </c>
      <c r="M2280">
        <v>42</v>
      </c>
      <c r="N2280">
        <v>4793.28</v>
      </c>
      <c r="O2280">
        <v>114.13</v>
      </c>
    </row>
    <row r="2281" spans="1:15" x14ac:dyDescent="0.35">
      <c r="A2281" t="s">
        <v>2673</v>
      </c>
      <c r="B2281" t="s">
        <v>2674</v>
      </c>
      <c r="C2281" t="s">
        <v>898</v>
      </c>
      <c r="D2281" t="s">
        <v>323</v>
      </c>
      <c r="E2281" t="s">
        <v>304</v>
      </c>
      <c r="F2281" t="s">
        <v>2698</v>
      </c>
      <c r="G2281">
        <v>1</v>
      </c>
      <c r="H2281">
        <v>142.26</v>
      </c>
      <c r="I2281">
        <v>142.26</v>
      </c>
      <c r="J2281">
        <v>0</v>
      </c>
      <c r="K2281">
        <v>0</v>
      </c>
      <c r="L2281">
        <v>0</v>
      </c>
      <c r="M2281">
        <v>1</v>
      </c>
      <c r="N2281">
        <v>142.26</v>
      </c>
      <c r="O2281">
        <v>142.26</v>
      </c>
    </row>
    <row r="2282" spans="1:15" x14ac:dyDescent="0.35">
      <c r="A2282" t="s">
        <v>2673</v>
      </c>
      <c r="B2282" t="s">
        <v>2674</v>
      </c>
      <c r="C2282" t="s">
        <v>898</v>
      </c>
      <c r="D2282" t="s">
        <v>323</v>
      </c>
      <c r="E2282" t="s">
        <v>306</v>
      </c>
      <c r="F2282" t="s">
        <v>2699</v>
      </c>
      <c r="G2282">
        <v>33</v>
      </c>
      <c r="H2282">
        <v>2727.08</v>
      </c>
      <c r="I2282">
        <v>82.64</v>
      </c>
      <c r="J2282">
        <v>103</v>
      </c>
      <c r="K2282">
        <v>7853.75</v>
      </c>
      <c r="L2282">
        <v>76.25</v>
      </c>
      <c r="M2282">
        <v>136</v>
      </c>
      <c r="N2282">
        <v>10580.83</v>
      </c>
      <c r="O2282">
        <v>77.8</v>
      </c>
    </row>
    <row r="2283" spans="1:15" x14ac:dyDescent="0.35">
      <c r="A2283" t="s">
        <v>2673</v>
      </c>
      <c r="B2283" t="s">
        <v>2674</v>
      </c>
      <c r="C2283" t="s">
        <v>898</v>
      </c>
      <c r="D2283" t="s">
        <v>323</v>
      </c>
      <c r="E2283" t="s">
        <v>308</v>
      </c>
      <c r="F2283" t="s">
        <v>2700</v>
      </c>
      <c r="G2283">
        <v>9</v>
      </c>
      <c r="H2283">
        <v>919.53</v>
      </c>
      <c r="I2283">
        <v>102.17</v>
      </c>
      <c r="J2283">
        <v>0</v>
      </c>
      <c r="K2283">
        <v>0</v>
      </c>
      <c r="L2283">
        <v>0</v>
      </c>
      <c r="M2283">
        <v>9</v>
      </c>
      <c r="N2283">
        <v>919.53</v>
      </c>
      <c r="O2283">
        <v>102.17</v>
      </c>
    </row>
    <row r="2284" spans="1:15" x14ac:dyDescent="0.35">
      <c r="A2284" t="s">
        <v>2673</v>
      </c>
      <c r="B2284" t="s">
        <v>2674</v>
      </c>
      <c r="C2284" t="s">
        <v>898</v>
      </c>
      <c r="D2284" t="s">
        <v>323</v>
      </c>
      <c r="E2284" t="s">
        <v>310</v>
      </c>
      <c r="F2284" t="s">
        <v>2701</v>
      </c>
      <c r="G2284">
        <v>11965</v>
      </c>
      <c r="H2284">
        <v>1342810.78</v>
      </c>
      <c r="I2284">
        <v>112.23</v>
      </c>
      <c r="J2284">
        <v>6805</v>
      </c>
      <c r="K2284">
        <v>666508.60000000009</v>
      </c>
      <c r="L2284">
        <v>97.94</v>
      </c>
      <c r="M2284">
        <v>18770</v>
      </c>
      <c r="N2284">
        <v>2009319.3800000001</v>
      </c>
      <c r="O2284">
        <v>107.05</v>
      </c>
    </row>
    <row r="2285" spans="1:15" x14ac:dyDescent="0.35">
      <c r="A2285" t="s">
        <v>2673</v>
      </c>
      <c r="B2285" t="s">
        <v>2674</v>
      </c>
      <c r="C2285" t="s">
        <v>898</v>
      </c>
      <c r="D2285" t="s">
        <v>323</v>
      </c>
      <c r="E2285" t="s">
        <v>312</v>
      </c>
      <c r="F2285" t="s">
        <v>2702</v>
      </c>
      <c r="G2285">
        <v>11956</v>
      </c>
      <c r="H2285">
        <v>1341891.25</v>
      </c>
      <c r="I2285">
        <v>112.24</v>
      </c>
      <c r="J2285">
        <v>6805</v>
      </c>
      <c r="K2285">
        <v>666508.60000000009</v>
      </c>
      <c r="L2285">
        <v>97.94</v>
      </c>
      <c r="M2285">
        <v>18761</v>
      </c>
      <c r="N2285">
        <v>2008399.85</v>
      </c>
      <c r="O2285">
        <v>107.05</v>
      </c>
    </row>
    <row r="2286" spans="1:15" x14ac:dyDescent="0.35">
      <c r="A2286" t="s">
        <v>2673</v>
      </c>
      <c r="B2286" t="s">
        <v>2674</v>
      </c>
      <c r="C2286" t="s">
        <v>898</v>
      </c>
      <c r="D2286" t="s">
        <v>334</v>
      </c>
      <c r="E2286" t="s">
        <v>312</v>
      </c>
      <c r="F2286" t="s">
        <v>2703</v>
      </c>
      <c r="G2286">
        <v>14967</v>
      </c>
      <c r="H2286">
        <v>1699145.2999999998</v>
      </c>
      <c r="I2286">
        <v>117.44</v>
      </c>
      <c r="J2286">
        <v>7108</v>
      </c>
      <c r="K2286">
        <v>709435.75</v>
      </c>
      <c r="L2286">
        <v>99.81</v>
      </c>
      <c r="M2286">
        <v>22075</v>
      </c>
      <c r="N2286">
        <v>2408581.0499999998</v>
      </c>
      <c r="O2286">
        <v>111.63</v>
      </c>
    </row>
    <row r="2287" spans="1:15" x14ac:dyDescent="0.35">
      <c r="A2287" t="s">
        <v>2673</v>
      </c>
      <c r="B2287" t="s">
        <v>2674</v>
      </c>
      <c r="C2287" t="s">
        <v>898</v>
      </c>
      <c r="D2287" t="s">
        <v>334</v>
      </c>
      <c r="E2287" t="s">
        <v>308</v>
      </c>
      <c r="F2287" t="s">
        <v>2704</v>
      </c>
      <c r="G2287">
        <v>210</v>
      </c>
      <c r="H2287">
        <v>919.53</v>
      </c>
      <c r="I2287">
        <v>102.17</v>
      </c>
      <c r="J2287">
        <v>0</v>
      </c>
      <c r="K2287">
        <v>0</v>
      </c>
      <c r="L2287">
        <v>0</v>
      </c>
      <c r="M2287">
        <v>210</v>
      </c>
      <c r="N2287">
        <v>919.53</v>
      </c>
      <c r="O2287">
        <v>102.17</v>
      </c>
    </row>
    <row r="2288" spans="1:15" x14ac:dyDescent="0.35">
      <c r="A2288" t="s">
        <v>2673</v>
      </c>
      <c r="B2288" t="s">
        <v>2674</v>
      </c>
      <c r="C2288" t="s">
        <v>898</v>
      </c>
      <c r="D2288" t="s">
        <v>337</v>
      </c>
      <c r="E2288" t="s">
        <v>337</v>
      </c>
      <c r="F2288" t="s">
        <v>2705</v>
      </c>
      <c r="G2288">
        <v>2259</v>
      </c>
      <c r="J2288">
        <v>0</v>
      </c>
      <c r="M2288">
        <v>2259</v>
      </c>
    </row>
    <row r="2289" spans="1:15" x14ac:dyDescent="0.35">
      <c r="A2289" t="s">
        <v>2673</v>
      </c>
      <c r="B2289" t="s">
        <v>2674</v>
      </c>
      <c r="C2289" t="s">
        <v>898</v>
      </c>
      <c r="D2289" t="s">
        <v>339</v>
      </c>
      <c r="E2289" t="s">
        <v>294</v>
      </c>
      <c r="F2289" t="s">
        <v>2706</v>
      </c>
      <c r="G2289">
        <v>980</v>
      </c>
      <c r="H2289">
        <v>116033.86</v>
      </c>
      <c r="I2289">
        <v>118.4</v>
      </c>
      <c r="J2289">
        <v>746</v>
      </c>
      <c r="K2289">
        <v>62947.479999999996</v>
      </c>
      <c r="L2289">
        <v>84.38</v>
      </c>
      <c r="M2289">
        <v>1726</v>
      </c>
      <c r="N2289">
        <v>178981.34</v>
      </c>
      <c r="O2289">
        <v>103.7</v>
      </c>
    </row>
    <row r="2290" spans="1:15" x14ac:dyDescent="0.35">
      <c r="A2290" t="s">
        <v>2673</v>
      </c>
      <c r="B2290" t="s">
        <v>2674</v>
      </c>
      <c r="C2290" t="s">
        <v>898</v>
      </c>
      <c r="D2290" t="s">
        <v>339</v>
      </c>
      <c r="E2290" t="s">
        <v>296</v>
      </c>
      <c r="F2290" t="s">
        <v>2707</v>
      </c>
      <c r="G2290">
        <v>152</v>
      </c>
      <c r="H2290">
        <v>18298.82</v>
      </c>
      <c r="I2290">
        <v>120.39</v>
      </c>
      <c r="J2290">
        <v>118</v>
      </c>
      <c r="K2290">
        <v>11319.740000000002</v>
      </c>
      <c r="L2290">
        <v>95.93</v>
      </c>
      <c r="M2290">
        <v>270</v>
      </c>
      <c r="N2290">
        <v>29618.560000000001</v>
      </c>
      <c r="O2290">
        <v>109.7</v>
      </c>
    </row>
    <row r="2291" spans="1:15" x14ac:dyDescent="0.35">
      <c r="A2291" t="s">
        <v>2673</v>
      </c>
      <c r="B2291" t="s">
        <v>2674</v>
      </c>
      <c r="C2291" t="s">
        <v>898</v>
      </c>
      <c r="D2291" t="s">
        <v>339</v>
      </c>
      <c r="E2291" t="s">
        <v>298</v>
      </c>
      <c r="F2291" t="s">
        <v>2708</v>
      </c>
      <c r="G2291">
        <v>14</v>
      </c>
      <c r="H2291">
        <v>2157.21</v>
      </c>
      <c r="I2291">
        <v>154.09</v>
      </c>
      <c r="J2291">
        <v>1</v>
      </c>
      <c r="K2291">
        <v>108.46</v>
      </c>
      <c r="L2291">
        <v>108.46</v>
      </c>
      <c r="M2291">
        <v>15</v>
      </c>
      <c r="N2291">
        <v>2265.67</v>
      </c>
      <c r="O2291">
        <v>151.04</v>
      </c>
    </row>
    <row r="2292" spans="1:15" x14ac:dyDescent="0.35">
      <c r="A2292" t="s">
        <v>2673</v>
      </c>
      <c r="B2292" t="s">
        <v>2674</v>
      </c>
      <c r="C2292" t="s">
        <v>898</v>
      </c>
      <c r="D2292" t="s">
        <v>339</v>
      </c>
      <c r="E2292" t="s">
        <v>300</v>
      </c>
      <c r="F2292" t="s">
        <v>2709</v>
      </c>
      <c r="G2292">
        <v>0</v>
      </c>
      <c r="H2292">
        <v>0</v>
      </c>
      <c r="I2292">
        <v>0</v>
      </c>
      <c r="J2292">
        <v>0</v>
      </c>
      <c r="K2292">
        <v>0</v>
      </c>
      <c r="L2292">
        <v>0</v>
      </c>
      <c r="M2292">
        <v>0</v>
      </c>
      <c r="N2292">
        <v>0</v>
      </c>
      <c r="O2292">
        <v>0</v>
      </c>
    </row>
    <row r="2293" spans="1:15" x14ac:dyDescent="0.35">
      <c r="A2293" t="s">
        <v>2673</v>
      </c>
      <c r="B2293" t="s">
        <v>2674</v>
      </c>
      <c r="C2293" t="s">
        <v>898</v>
      </c>
      <c r="D2293" t="s">
        <v>339</v>
      </c>
      <c r="E2293" t="s">
        <v>306</v>
      </c>
      <c r="F2293" t="s">
        <v>2710</v>
      </c>
      <c r="G2293">
        <v>178</v>
      </c>
      <c r="H2293">
        <v>15908.490000000002</v>
      </c>
      <c r="I2293">
        <v>89.37</v>
      </c>
      <c r="J2293">
        <v>58</v>
      </c>
      <c r="K2293">
        <v>4297.22</v>
      </c>
      <c r="L2293">
        <v>74.09</v>
      </c>
      <c r="M2293">
        <v>236</v>
      </c>
      <c r="N2293">
        <v>20205.710000000003</v>
      </c>
      <c r="O2293">
        <v>85.62</v>
      </c>
    </row>
    <row r="2294" spans="1:15" x14ac:dyDescent="0.35">
      <c r="A2294" t="s">
        <v>2673</v>
      </c>
      <c r="B2294" t="s">
        <v>2674</v>
      </c>
      <c r="C2294" t="s">
        <v>898</v>
      </c>
      <c r="D2294" t="s">
        <v>339</v>
      </c>
      <c r="E2294" t="s">
        <v>308</v>
      </c>
      <c r="F2294" t="s">
        <v>2711</v>
      </c>
      <c r="G2294">
        <v>132</v>
      </c>
      <c r="H2294">
        <v>16148.45</v>
      </c>
      <c r="I2294">
        <v>122.34</v>
      </c>
      <c r="J2294">
        <v>0</v>
      </c>
      <c r="K2294">
        <v>0</v>
      </c>
      <c r="L2294">
        <v>0</v>
      </c>
      <c r="M2294">
        <v>132</v>
      </c>
      <c r="N2294">
        <v>16148.45</v>
      </c>
      <c r="O2294">
        <v>122.34</v>
      </c>
    </row>
    <row r="2295" spans="1:15" x14ac:dyDescent="0.35">
      <c r="A2295" t="s">
        <v>2673</v>
      </c>
      <c r="B2295" t="s">
        <v>2674</v>
      </c>
      <c r="C2295" t="s">
        <v>898</v>
      </c>
      <c r="D2295" t="s">
        <v>339</v>
      </c>
      <c r="E2295" t="s">
        <v>310</v>
      </c>
      <c r="F2295" t="s">
        <v>2712</v>
      </c>
      <c r="G2295">
        <v>1456</v>
      </c>
      <c r="H2295">
        <v>168546.83</v>
      </c>
      <c r="I2295">
        <v>115.76</v>
      </c>
      <c r="J2295">
        <v>923</v>
      </c>
      <c r="K2295">
        <v>78672.900000000009</v>
      </c>
      <c r="L2295">
        <v>85.24</v>
      </c>
      <c r="M2295">
        <v>2379</v>
      </c>
      <c r="N2295">
        <v>247219.72999999998</v>
      </c>
      <c r="O2295">
        <v>103.92</v>
      </c>
    </row>
    <row r="2296" spans="1:15" x14ac:dyDescent="0.35">
      <c r="A2296" t="s">
        <v>2673</v>
      </c>
      <c r="B2296" t="s">
        <v>2674</v>
      </c>
      <c r="C2296" t="s">
        <v>898</v>
      </c>
      <c r="D2296" t="s">
        <v>339</v>
      </c>
      <c r="E2296" t="s">
        <v>312</v>
      </c>
      <c r="F2296" t="s">
        <v>2713</v>
      </c>
      <c r="G2296">
        <v>1324</v>
      </c>
      <c r="H2296">
        <v>152398.37999999998</v>
      </c>
      <c r="I2296">
        <v>115.1</v>
      </c>
      <c r="J2296">
        <v>923</v>
      </c>
      <c r="K2296">
        <v>78672.900000000009</v>
      </c>
      <c r="L2296">
        <v>85.24</v>
      </c>
      <c r="M2296">
        <v>2247</v>
      </c>
      <c r="N2296">
        <v>231071.27999999997</v>
      </c>
      <c r="O2296">
        <v>102.84</v>
      </c>
    </row>
    <row r="2297" spans="1:15" x14ac:dyDescent="0.35">
      <c r="A2297" t="s">
        <v>2673</v>
      </c>
      <c r="B2297" t="s">
        <v>2674</v>
      </c>
      <c r="C2297" t="s">
        <v>898</v>
      </c>
      <c r="D2297" t="s">
        <v>348</v>
      </c>
      <c r="E2297" t="s">
        <v>349</v>
      </c>
      <c r="F2297" t="s">
        <v>2714</v>
      </c>
      <c r="G2297">
        <v>1706</v>
      </c>
      <c r="H2297">
        <v>169006.03</v>
      </c>
      <c r="I2297">
        <v>115.92</v>
      </c>
      <c r="J2297">
        <v>973</v>
      </c>
      <c r="K2297">
        <v>85805.88</v>
      </c>
      <c r="L2297">
        <v>88.19</v>
      </c>
      <c r="M2297">
        <v>2679</v>
      </c>
      <c r="N2297">
        <v>254811.91</v>
      </c>
      <c r="O2297">
        <v>104.82</v>
      </c>
    </row>
    <row r="2298" spans="1:15" x14ac:dyDescent="0.35">
      <c r="A2298" t="s">
        <v>2715</v>
      </c>
      <c r="B2298" t="s">
        <v>207</v>
      </c>
      <c r="C2298" t="s">
        <v>898</v>
      </c>
      <c r="D2298" t="s">
        <v>293</v>
      </c>
      <c r="E2298" t="s">
        <v>294</v>
      </c>
      <c r="F2298" t="s">
        <v>2716</v>
      </c>
      <c r="G2298">
        <v>586</v>
      </c>
      <c r="H2298">
        <v>78443.610000000015</v>
      </c>
      <c r="I2298">
        <v>133.86000000000001</v>
      </c>
      <c r="J2298">
        <v>181</v>
      </c>
      <c r="K2298">
        <v>24355.360000000001</v>
      </c>
      <c r="L2298">
        <v>134.56</v>
      </c>
      <c r="M2298">
        <v>767</v>
      </c>
      <c r="N2298">
        <v>102798.97000000002</v>
      </c>
      <c r="O2298">
        <v>134.03</v>
      </c>
    </row>
    <row r="2299" spans="1:15" x14ac:dyDescent="0.35">
      <c r="A2299" t="s">
        <v>2715</v>
      </c>
      <c r="B2299" t="s">
        <v>207</v>
      </c>
      <c r="C2299" t="s">
        <v>898</v>
      </c>
      <c r="D2299" t="s">
        <v>293</v>
      </c>
      <c r="E2299" t="s">
        <v>296</v>
      </c>
      <c r="F2299" t="s">
        <v>2717</v>
      </c>
      <c r="G2299">
        <v>1397</v>
      </c>
      <c r="H2299">
        <v>225539.74</v>
      </c>
      <c r="I2299">
        <v>161.44999999999999</v>
      </c>
      <c r="J2299">
        <v>256</v>
      </c>
      <c r="K2299">
        <v>43343.360000000001</v>
      </c>
      <c r="L2299">
        <v>169.31</v>
      </c>
      <c r="M2299">
        <v>1653</v>
      </c>
      <c r="N2299">
        <v>268883.09999999998</v>
      </c>
      <c r="O2299">
        <v>162.66</v>
      </c>
    </row>
    <row r="2300" spans="1:15" x14ac:dyDescent="0.35">
      <c r="A2300" t="s">
        <v>2715</v>
      </c>
      <c r="B2300" t="s">
        <v>207</v>
      </c>
      <c r="C2300" t="s">
        <v>898</v>
      </c>
      <c r="D2300" t="s">
        <v>293</v>
      </c>
      <c r="E2300" t="s">
        <v>298</v>
      </c>
      <c r="F2300" t="s">
        <v>2718</v>
      </c>
      <c r="G2300">
        <v>706</v>
      </c>
      <c r="H2300">
        <v>128962.58</v>
      </c>
      <c r="I2300">
        <v>182.67</v>
      </c>
      <c r="J2300">
        <v>130</v>
      </c>
      <c r="K2300">
        <v>23835.5</v>
      </c>
      <c r="L2300">
        <v>183.35</v>
      </c>
      <c r="M2300">
        <v>836</v>
      </c>
      <c r="N2300">
        <v>152798.08000000002</v>
      </c>
      <c r="O2300">
        <v>182.77</v>
      </c>
    </row>
    <row r="2301" spans="1:15" x14ac:dyDescent="0.35">
      <c r="A2301" t="s">
        <v>2715</v>
      </c>
      <c r="B2301" t="s">
        <v>207</v>
      </c>
      <c r="C2301" t="s">
        <v>898</v>
      </c>
      <c r="D2301" t="s">
        <v>293</v>
      </c>
      <c r="E2301" t="s">
        <v>300</v>
      </c>
      <c r="F2301" t="s">
        <v>2719</v>
      </c>
      <c r="G2301">
        <v>108</v>
      </c>
      <c r="H2301">
        <v>25235.13</v>
      </c>
      <c r="I2301">
        <v>233.66</v>
      </c>
      <c r="J2301">
        <v>26</v>
      </c>
      <c r="K2301">
        <v>5913.44</v>
      </c>
      <c r="L2301">
        <v>227.44</v>
      </c>
      <c r="M2301">
        <v>134</v>
      </c>
      <c r="N2301">
        <v>31148.57</v>
      </c>
      <c r="O2301">
        <v>232.45</v>
      </c>
    </row>
    <row r="2302" spans="1:15" x14ac:dyDescent="0.35">
      <c r="A2302" t="s">
        <v>2715</v>
      </c>
      <c r="B2302" t="s">
        <v>207</v>
      </c>
      <c r="C2302" t="s">
        <v>898</v>
      </c>
      <c r="D2302" t="s">
        <v>293</v>
      </c>
      <c r="E2302" t="s">
        <v>302</v>
      </c>
      <c r="F2302" t="s">
        <v>2720</v>
      </c>
      <c r="G2302">
        <v>0</v>
      </c>
      <c r="H2302">
        <v>0</v>
      </c>
      <c r="I2302">
        <v>0</v>
      </c>
      <c r="J2302">
        <v>3</v>
      </c>
      <c r="K2302">
        <v>708.99</v>
      </c>
      <c r="L2302">
        <v>236.33</v>
      </c>
      <c r="M2302">
        <v>3</v>
      </c>
      <c r="N2302">
        <v>708.99</v>
      </c>
      <c r="O2302">
        <v>236.33</v>
      </c>
    </row>
    <row r="2303" spans="1:15" x14ac:dyDescent="0.35">
      <c r="A2303" t="s">
        <v>2715</v>
      </c>
      <c r="B2303" t="s">
        <v>207</v>
      </c>
      <c r="C2303" t="s">
        <v>898</v>
      </c>
      <c r="D2303" t="s">
        <v>293</v>
      </c>
      <c r="E2303" t="s">
        <v>304</v>
      </c>
      <c r="F2303" t="s">
        <v>2721</v>
      </c>
      <c r="G2303">
        <v>0</v>
      </c>
      <c r="H2303">
        <v>0</v>
      </c>
      <c r="I2303">
        <v>0</v>
      </c>
      <c r="J2303">
        <v>1</v>
      </c>
      <c r="K2303">
        <v>298.72000000000003</v>
      </c>
      <c r="L2303">
        <v>298.72000000000003</v>
      </c>
      <c r="M2303">
        <v>1</v>
      </c>
      <c r="N2303">
        <v>298.72000000000003</v>
      </c>
      <c r="O2303">
        <v>298.72000000000003</v>
      </c>
    </row>
    <row r="2304" spans="1:15" x14ac:dyDescent="0.35">
      <c r="A2304" t="s">
        <v>2715</v>
      </c>
      <c r="B2304" t="s">
        <v>207</v>
      </c>
      <c r="C2304" t="s">
        <v>898</v>
      </c>
      <c r="D2304" t="s">
        <v>293</v>
      </c>
      <c r="E2304" t="s">
        <v>306</v>
      </c>
      <c r="F2304" t="s">
        <v>2722</v>
      </c>
      <c r="G2304">
        <v>0</v>
      </c>
      <c r="H2304">
        <v>0</v>
      </c>
      <c r="I2304">
        <v>0</v>
      </c>
      <c r="J2304">
        <v>0</v>
      </c>
      <c r="K2304">
        <v>0</v>
      </c>
      <c r="L2304">
        <v>0</v>
      </c>
      <c r="M2304">
        <v>0</v>
      </c>
      <c r="N2304">
        <v>0</v>
      </c>
      <c r="O2304">
        <v>0</v>
      </c>
    </row>
    <row r="2305" spans="1:15" x14ac:dyDescent="0.35">
      <c r="A2305" t="s">
        <v>2715</v>
      </c>
      <c r="B2305" t="s">
        <v>207</v>
      </c>
      <c r="C2305" t="s">
        <v>898</v>
      </c>
      <c r="D2305" t="s">
        <v>293</v>
      </c>
      <c r="E2305" t="s">
        <v>308</v>
      </c>
      <c r="F2305" t="s">
        <v>2723</v>
      </c>
      <c r="G2305">
        <v>0</v>
      </c>
      <c r="H2305">
        <v>0</v>
      </c>
      <c r="I2305">
        <v>0</v>
      </c>
      <c r="J2305">
        <v>0</v>
      </c>
      <c r="K2305">
        <v>0</v>
      </c>
      <c r="L2305">
        <v>0</v>
      </c>
      <c r="M2305">
        <v>0</v>
      </c>
      <c r="N2305">
        <v>0</v>
      </c>
      <c r="O2305">
        <v>0</v>
      </c>
    </row>
    <row r="2306" spans="1:15" x14ac:dyDescent="0.35">
      <c r="A2306" t="s">
        <v>2715</v>
      </c>
      <c r="B2306" t="s">
        <v>207</v>
      </c>
      <c r="C2306" t="s">
        <v>898</v>
      </c>
      <c r="D2306" t="s">
        <v>293</v>
      </c>
      <c r="E2306" t="s">
        <v>310</v>
      </c>
      <c r="F2306" t="s">
        <v>2724</v>
      </c>
      <c r="G2306">
        <v>2797</v>
      </c>
      <c r="H2306">
        <v>458181.06</v>
      </c>
      <c r="I2306">
        <v>163.81</v>
      </c>
      <c r="J2306">
        <v>597</v>
      </c>
      <c r="K2306">
        <v>98455.37000000001</v>
      </c>
      <c r="L2306">
        <v>164.92</v>
      </c>
      <c r="M2306">
        <v>3394</v>
      </c>
      <c r="N2306">
        <v>556636.43000000005</v>
      </c>
      <c r="O2306">
        <v>164.01</v>
      </c>
    </row>
    <row r="2307" spans="1:15" x14ac:dyDescent="0.35">
      <c r="A2307" t="s">
        <v>2715</v>
      </c>
      <c r="B2307" t="s">
        <v>207</v>
      </c>
      <c r="C2307" t="s">
        <v>898</v>
      </c>
      <c r="D2307" t="s">
        <v>293</v>
      </c>
      <c r="E2307" t="s">
        <v>312</v>
      </c>
      <c r="F2307" t="s">
        <v>2725</v>
      </c>
      <c r="G2307">
        <v>2797</v>
      </c>
      <c r="H2307">
        <v>458181.06</v>
      </c>
      <c r="I2307">
        <v>163.81</v>
      </c>
      <c r="J2307">
        <v>597</v>
      </c>
      <c r="K2307">
        <v>98455.37000000001</v>
      </c>
      <c r="L2307">
        <v>164.92</v>
      </c>
      <c r="M2307">
        <v>3394</v>
      </c>
      <c r="N2307">
        <v>556636.43000000005</v>
      </c>
      <c r="O2307">
        <v>164.01</v>
      </c>
    </row>
    <row r="2308" spans="1:15" x14ac:dyDescent="0.35">
      <c r="A2308" t="s">
        <v>2715</v>
      </c>
      <c r="B2308" t="s">
        <v>207</v>
      </c>
      <c r="C2308" t="s">
        <v>898</v>
      </c>
      <c r="D2308" t="s">
        <v>314</v>
      </c>
      <c r="E2308" t="s">
        <v>294</v>
      </c>
      <c r="F2308" t="s">
        <v>2726</v>
      </c>
      <c r="G2308">
        <v>1</v>
      </c>
      <c r="H2308">
        <v>138.96</v>
      </c>
      <c r="I2308">
        <v>138.96</v>
      </c>
      <c r="J2308">
        <v>16</v>
      </c>
      <c r="K2308">
        <v>2155.36</v>
      </c>
      <c r="L2308">
        <v>134.71</v>
      </c>
      <c r="M2308">
        <v>17</v>
      </c>
      <c r="N2308">
        <v>2294.3200000000002</v>
      </c>
      <c r="O2308">
        <v>134.96</v>
      </c>
    </row>
    <row r="2309" spans="1:15" x14ac:dyDescent="0.35">
      <c r="A2309" t="s">
        <v>2715</v>
      </c>
      <c r="B2309" t="s">
        <v>207</v>
      </c>
      <c r="C2309" t="s">
        <v>898</v>
      </c>
      <c r="D2309" t="s">
        <v>314</v>
      </c>
      <c r="E2309" t="s">
        <v>296</v>
      </c>
      <c r="F2309" t="s">
        <v>2727</v>
      </c>
      <c r="G2309">
        <v>0</v>
      </c>
      <c r="H2309">
        <v>0</v>
      </c>
      <c r="I2309">
        <v>0</v>
      </c>
      <c r="J2309">
        <v>0</v>
      </c>
      <c r="K2309">
        <v>0</v>
      </c>
      <c r="L2309">
        <v>0</v>
      </c>
      <c r="M2309">
        <v>0</v>
      </c>
      <c r="N2309">
        <v>0</v>
      </c>
      <c r="O2309">
        <v>0</v>
      </c>
    </row>
    <row r="2310" spans="1:15" x14ac:dyDescent="0.35">
      <c r="A2310" t="s">
        <v>2715</v>
      </c>
      <c r="B2310" t="s">
        <v>207</v>
      </c>
      <c r="C2310" t="s">
        <v>898</v>
      </c>
      <c r="D2310" t="s">
        <v>314</v>
      </c>
      <c r="E2310" t="s">
        <v>298</v>
      </c>
      <c r="F2310" t="s">
        <v>2728</v>
      </c>
      <c r="G2310">
        <v>0</v>
      </c>
      <c r="H2310">
        <v>0</v>
      </c>
      <c r="I2310">
        <v>0</v>
      </c>
      <c r="J2310">
        <v>0</v>
      </c>
      <c r="K2310">
        <v>0</v>
      </c>
      <c r="L2310">
        <v>0</v>
      </c>
      <c r="M2310">
        <v>0</v>
      </c>
      <c r="N2310">
        <v>0</v>
      </c>
      <c r="O2310">
        <v>0</v>
      </c>
    </row>
    <row r="2311" spans="1:15" x14ac:dyDescent="0.35">
      <c r="A2311" t="s">
        <v>2715</v>
      </c>
      <c r="B2311" t="s">
        <v>207</v>
      </c>
      <c r="C2311" t="s">
        <v>898</v>
      </c>
      <c r="D2311" t="s">
        <v>314</v>
      </c>
      <c r="E2311" t="s">
        <v>300</v>
      </c>
      <c r="F2311" t="s">
        <v>2729</v>
      </c>
      <c r="G2311">
        <v>0</v>
      </c>
      <c r="H2311">
        <v>0</v>
      </c>
      <c r="I2311">
        <v>0</v>
      </c>
      <c r="J2311">
        <v>0</v>
      </c>
      <c r="K2311">
        <v>0</v>
      </c>
      <c r="L2311">
        <v>0</v>
      </c>
      <c r="M2311">
        <v>0</v>
      </c>
      <c r="N2311">
        <v>0</v>
      </c>
      <c r="O2311">
        <v>0</v>
      </c>
    </row>
    <row r="2312" spans="1:15" x14ac:dyDescent="0.35">
      <c r="A2312" t="s">
        <v>2715</v>
      </c>
      <c r="B2312" t="s">
        <v>207</v>
      </c>
      <c r="C2312" t="s">
        <v>898</v>
      </c>
      <c r="D2312" t="s">
        <v>314</v>
      </c>
      <c r="E2312" t="s">
        <v>306</v>
      </c>
      <c r="F2312" t="s">
        <v>2730</v>
      </c>
      <c r="G2312">
        <v>0</v>
      </c>
      <c r="H2312">
        <v>0</v>
      </c>
      <c r="I2312">
        <v>0</v>
      </c>
      <c r="J2312">
        <v>0</v>
      </c>
      <c r="K2312">
        <v>0</v>
      </c>
      <c r="L2312">
        <v>0</v>
      </c>
      <c r="M2312">
        <v>0</v>
      </c>
      <c r="N2312">
        <v>0</v>
      </c>
      <c r="O2312">
        <v>0</v>
      </c>
    </row>
    <row r="2313" spans="1:15" x14ac:dyDescent="0.35">
      <c r="A2313" t="s">
        <v>2715</v>
      </c>
      <c r="B2313" t="s">
        <v>207</v>
      </c>
      <c r="C2313" t="s">
        <v>898</v>
      </c>
      <c r="D2313" t="s">
        <v>314</v>
      </c>
      <c r="E2313" t="s">
        <v>308</v>
      </c>
      <c r="F2313" t="s">
        <v>2731</v>
      </c>
      <c r="G2313">
        <v>0</v>
      </c>
      <c r="H2313">
        <v>0</v>
      </c>
      <c r="I2313">
        <v>0</v>
      </c>
      <c r="J2313">
        <v>0</v>
      </c>
      <c r="K2313">
        <v>0</v>
      </c>
      <c r="L2313">
        <v>0</v>
      </c>
      <c r="M2313">
        <v>0</v>
      </c>
      <c r="N2313">
        <v>0</v>
      </c>
      <c r="O2313">
        <v>0</v>
      </c>
    </row>
    <row r="2314" spans="1:15" x14ac:dyDescent="0.35">
      <c r="A2314" t="s">
        <v>2715</v>
      </c>
      <c r="B2314" t="s">
        <v>207</v>
      </c>
      <c r="C2314" t="s">
        <v>898</v>
      </c>
      <c r="D2314" t="s">
        <v>314</v>
      </c>
      <c r="E2314" t="s">
        <v>312</v>
      </c>
      <c r="F2314" t="s">
        <v>2732</v>
      </c>
      <c r="G2314">
        <v>1</v>
      </c>
      <c r="H2314">
        <v>138.96</v>
      </c>
      <c r="I2314">
        <v>138.96</v>
      </c>
      <c r="J2314">
        <v>16</v>
      </c>
      <c r="K2314">
        <v>2155.36</v>
      </c>
      <c r="L2314">
        <v>134.71</v>
      </c>
      <c r="M2314">
        <v>17</v>
      </c>
      <c r="N2314">
        <v>2294.3200000000002</v>
      </c>
      <c r="O2314">
        <v>134.96</v>
      </c>
    </row>
    <row r="2315" spans="1:15" x14ac:dyDescent="0.35">
      <c r="A2315" t="s">
        <v>2715</v>
      </c>
      <c r="B2315" t="s">
        <v>207</v>
      </c>
      <c r="C2315" t="s">
        <v>898</v>
      </c>
      <c r="D2315" t="s">
        <v>314</v>
      </c>
      <c r="E2315" t="s">
        <v>310</v>
      </c>
      <c r="F2315" t="s">
        <v>2733</v>
      </c>
      <c r="G2315">
        <v>1</v>
      </c>
      <c r="H2315">
        <v>138.96</v>
      </c>
      <c r="I2315">
        <v>138.96</v>
      </c>
      <c r="J2315">
        <v>16</v>
      </c>
      <c r="K2315">
        <v>2155.36</v>
      </c>
      <c r="L2315">
        <v>134.71</v>
      </c>
      <c r="M2315">
        <v>17</v>
      </c>
      <c r="N2315">
        <v>2294.3200000000002</v>
      </c>
      <c r="O2315">
        <v>134.96</v>
      </c>
    </row>
    <row r="2316" spans="1:15" x14ac:dyDescent="0.35">
      <c r="A2316" t="s">
        <v>2715</v>
      </c>
      <c r="B2316" t="s">
        <v>207</v>
      </c>
      <c r="C2316" t="s">
        <v>898</v>
      </c>
      <c r="D2316" t="s">
        <v>323</v>
      </c>
      <c r="E2316" t="s">
        <v>294</v>
      </c>
      <c r="F2316" t="s">
        <v>2734</v>
      </c>
      <c r="G2316">
        <v>1574</v>
      </c>
      <c r="H2316">
        <v>160525.51000000004</v>
      </c>
      <c r="I2316">
        <v>101.99</v>
      </c>
      <c r="J2316">
        <v>3963</v>
      </c>
      <c r="K2316">
        <v>362376.72</v>
      </c>
      <c r="L2316">
        <v>91.44</v>
      </c>
      <c r="M2316">
        <v>5537</v>
      </c>
      <c r="N2316">
        <v>522902.23</v>
      </c>
      <c r="O2316">
        <v>94.44</v>
      </c>
    </row>
    <row r="2317" spans="1:15" x14ac:dyDescent="0.35">
      <c r="A2317" t="s">
        <v>2715</v>
      </c>
      <c r="B2317" t="s">
        <v>207</v>
      </c>
      <c r="C2317" t="s">
        <v>898</v>
      </c>
      <c r="D2317" t="s">
        <v>323</v>
      </c>
      <c r="E2317" t="s">
        <v>296</v>
      </c>
      <c r="F2317" t="s">
        <v>2735</v>
      </c>
      <c r="G2317">
        <v>3717</v>
      </c>
      <c r="H2317">
        <v>438318.8000000001</v>
      </c>
      <c r="I2317">
        <v>117.92</v>
      </c>
      <c r="J2317">
        <v>3455</v>
      </c>
      <c r="K2317">
        <v>361462.10000000003</v>
      </c>
      <c r="L2317">
        <v>104.62</v>
      </c>
      <c r="M2317">
        <v>7172</v>
      </c>
      <c r="N2317">
        <v>799780.90000000014</v>
      </c>
      <c r="O2317">
        <v>111.51</v>
      </c>
    </row>
    <row r="2318" spans="1:15" x14ac:dyDescent="0.35">
      <c r="A2318" t="s">
        <v>2715</v>
      </c>
      <c r="B2318" t="s">
        <v>207</v>
      </c>
      <c r="C2318" t="s">
        <v>898</v>
      </c>
      <c r="D2318" t="s">
        <v>323</v>
      </c>
      <c r="E2318" t="s">
        <v>298</v>
      </c>
      <c r="F2318" t="s">
        <v>2736</v>
      </c>
      <c r="G2318">
        <v>3640</v>
      </c>
      <c r="H2318">
        <v>471034.85</v>
      </c>
      <c r="I2318">
        <v>129.41</v>
      </c>
      <c r="J2318">
        <v>2831</v>
      </c>
      <c r="K2318">
        <v>328537.55</v>
      </c>
      <c r="L2318">
        <v>116.05</v>
      </c>
      <c r="M2318">
        <v>6471</v>
      </c>
      <c r="N2318">
        <v>799572.39999999991</v>
      </c>
      <c r="O2318">
        <v>123.56</v>
      </c>
    </row>
    <row r="2319" spans="1:15" x14ac:dyDescent="0.35">
      <c r="A2319" t="s">
        <v>2715</v>
      </c>
      <c r="B2319" t="s">
        <v>207</v>
      </c>
      <c r="C2319" t="s">
        <v>898</v>
      </c>
      <c r="D2319" t="s">
        <v>323</v>
      </c>
      <c r="E2319" t="s">
        <v>300</v>
      </c>
      <c r="F2319" t="s">
        <v>2737</v>
      </c>
      <c r="G2319">
        <v>431</v>
      </c>
      <c r="H2319">
        <v>62205.369999999988</v>
      </c>
      <c r="I2319">
        <v>144.33000000000001</v>
      </c>
      <c r="J2319">
        <v>195</v>
      </c>
      <c r="K2319">
        <v>24242.399999999998</v>
      </c>
      <c r="L2319">
        <v>124.32</v>
      </c>
      <c r="M2319">
        <v>626</v>
      </c>
      <c r="N2319">
        <v>86447.76999999999</v>
      </c>
      <c r="O2319">
        <v>138.1</v>
      </c>
    </row>
    <row r="2320" spans="1:15" x14ac:dyDescent="0.35">
      <c r="A2320" t="s">
        <v>2715</v>
      </c>
      <c r="B2320" t="s">
        <v>207</v>
      </c>
      <c r="C2320" t="s">
        <v>898</v>
      </c>
      <c r="D2320" t="s">
        <v>323</v>
      </c>
      <c r="E2320" t="s">
        <v>302</v>
      </c>
      <c r="F2320" t="s">
        <v>2738</v>
      </c>
      <c r="G2320">
        <v>8</v>
      </c>
      <c r="H2320">
        <v>1270.8899999999999</v>
      </c>
      <c r="I2320">
        <v>158.86000000000001</v>
      </c>
      <c r="J2320">
        <v>110</v>
      </c>
      <c r="K2320">
        <v>14423.2</v>
      </c>
      <c r="L2320">
        <v>131.12</v>
      </c>
      <c r="M2320">
        <v>118</v>
      </c>
      <c r="N2320">
        <v>15694.09</v>
      </c>
      <c r="O2320">
        <v>133</v>
      </c>
    </row>
    <row r="2321" spans="1:15" x14ac:dyDescent="0.35">
      <c r="A2321" t="s">
        <v>2715</v>
      </c>
      <c r="B2321" t="s">
        <v>207</v>
      </c>
      <c r="C2321" t="s">
        <v>898</v>
      </c>
      <c r="D2321" t="s">
        <v>323</v>
      </c>
      <c r="E2321" t="s">
        <v>304</v>
      </c>
      <c r="F2321" t="s">
        <v>2739</v>
      </c>
      <c r="G2321">
        <v>1</v>
      </c>
      <c r="H2321">
        <v>204.7</v>
      </c>
      <c r="I2321">
        <v>204.7</v>
      </c>
      <c r="J2321">
        <v>0</v>
      </c>
      <c r="K2321">
        <v>0</v>
      </c>
      <c r="L2321">
        <v>0</v>
      </c>
      <c r="M2321">
        <v>1</v>
      </c>
      <c r="N2321">
        <v>204.7</v>
      </c>
      <c r="O2321">
        <v>204.7</v>
      </c>
    </row>
    <row r="2322" spans="1:15" x14ac:dyDescent="0.35">
      <c r="A2322" t="s">
        <v>2715</v>
      </c>
      <c r="B2322" t="s">
        <v>207</v>
      </c>
      <c r="C2322" t="s">
        <v>898</v>
      </c>
      <c r="D2322" t="s">
        <v>323</v>
      </c>
      <c r="E2322" t="s">
        <v>306</v>
      </c>
      <c r="F2322" t="s">
        <v>2740</v>
      </c>
      <c r="G2322">
        <v>75</v>
      </c>
      <c r="H2322">
        <v>6334.9800000000005</v>
      </c>
      <c r="I2322">
        <v>84.47</v>
      </c>
      <c r="J2322">
        <v>222</v>
      </c>
      <c r="K2322">
        <v>17145.060000000001</v>
      </c>
      <c r="L2322">
        <v>77.23</v>
      </c>
      <c r="M2322">
        <v>297</v>
      </c>
      <c r="N2322">
        <v>23480.04</v>
      </c>
      <c r="O2322">
        <v>79.06</v>
      </c>
    </row>
    <row r="2323" spans="1:15" x14ac:dyDescent="0.35">
      <c r="A2323" t="s">
        <v>2715</v>
      </c>
      <c r="B2323" t="s">
        <v>207</v>
      </c>
      <c r="C2323" t="s">
        <v>898</v>
      </c>
      <c r="D2323" t="s">
        <v>323</v>
      </c>
      <c r="E2323" t="s">
        <v>308</v>
      </c>
      <c r="F2323" t="s">
        <v>2741</v>
      </c>
      <c r="G2323">
        <v>9</v>
      </c>
      <c r="H2323">
        <v>956.61</v>
      </c>
      <c r="I2323">
        <v>106.29</v>
      </c>
      <c r="J2323">
        <v>0</v>
      </c>
      <c r="K2323">
        <v>0</v>
      </c>
      <c r="L2323">
        <v>0</v>
      </c>
      <c r="M2323">
        <v>9</v>
      </c>
      <c r="N2323">
        <v>956.61</v>
      </c>
      <c r="O2323">
        <v>106.29</v>
      </c>
    </row>
    <row r="2324" spans="1:15" x14ac:dyDescent="0.35">
      <c r="A2324" t="s">
        <v>2715</v>
      </c>
      <c r="B2324" t="s">
        <v>207</v>
      </c>
      <c r="C2324" t="s">
        <v>898</v>
      </c>
      <c r="D2324" t="s">
        <v>323</v>
      </c>
      <c r="E2324" t="s">
        <v>310</v>
      </c>
      <c r="F2324" t="s">
        <v>2742</v>
      </c>
      <c r="G2324">
        <v>9455</v>
      </c>
      <c r="H2324">
        <v>1140851.71</v>
      </c>
      <c r="I2324">
        <v>120.66</v>
      </c>
      <c r="J2324">
        <v>10776</v>
      </c>
      <c r="K2324">
        <v>1108187.03</v>
      </c>
      <c r="L2324">
        <v>102.84</v>
      </c>
      <c r="M2324">
        <v>20231</v>
      </c>
      <c r="N2324">
        <v>2249038.7400000002</v>
      </c>
      <c r="O2324">
        <v>111.17</v>
      </c>
    </row>
    <row r="2325" spans="1:15" x14ac:dyDescent="0.35">
      <c r="A2325" t="s">
        <v>2715</v>
      </c>
      <c r="B2325" t="s">
        <v>207</v>
      </c>
      <c r="C2325" t="s">
        <v>898</v>
      </c>
      <c r="D2325" t="s">
        <v>323</v>
      </c>
      <c r="E2325" t="s">
        <v>312</v>
      </c>
      <c r="F2325" t="s">
        <v>2743</v>
      </c>
      <c r="G2325">
        <v>9446</v>
      </c>
      <c r="H2325">
        <v>1139895.0999999999</v>
      </c>
      <c r="I2325">
        <v>120.67</v>
      </c>
      <c r="J2325">
        <v>10776</v>
      </c>
      <c r="K2325">
        <v>1108187.03</v>
      </c>
      <c r="L2325">
        <v>102.84</v>
      </c>
      <c r="M2325">
        <v>20222</v>
      </c>
      <c r="N2325">
        <v>2248082.13</v>
      </c>
      <c r="O2325">
        <v>111.17</v>
      </c>
    </row>
    <row r="2326" spans="1:15" x14ac:dyDescent="0.35">
      <c r="A2326" t="s">
        <v>2715</v>
      </c>
      <c r="B2326" t="s">
        <v>207</v>
      </c>
      <c r="C2326" t="s">
        <v>898</v>
      </c>
      <c r="D2326" t="s">
        <v>334</v>
      </c>
      <c r="E2326" t="s">
        <v>312</v>
      </c>
      <c r="F2326" t="s">
        <v>2744</v>
      </c>
      <c r="G2326">
        <v>12803</v>
      </c>
      <c r="H2326">
        <v>1598076.16</v>
      </c>
      <c r="I2326">
        <v>130.53</v>
      </c>
      <c r="J2326">
        <v>11373</v>
      </c>
      <c r="K2326">
        <v>1206642.3999999999</v>
      </c>
      <c r="L2326">
        <v>106.1</v>
      </c>
      <c r="M2326">
        <v>24176</v>
      </c>
      <c r="N2326">
        <v>2804718.5599999996</v>
      </c>
      <c r="O2326">
        <v>118.76</v>
      </c>
    </row>
    <row r="2327" spans="1:15" x14ac:dyDescent="0.35">
      <c r="A2327" t="s">
        <v>2715</v>
      </c>
      <c r="B2327" t="s">
        <v>207</v>
      </c>
      <c r="C2327" t="s">
        <v>898</v>
      </c>
      <c r="D2327" t="s">
        <v>334</v>
      </c>
      <c r="E2327" t="s">
        <v>308</v>
      </c>
      <c r="F2327" t="s">
        <v>2745</v>
      </c>
      <c r="G2327">
        <v>0</v>
      </c>
      <c r="H2327">
        <v>956.61</v>
      </c>
      <c r="I2327">
        <v>106.29</v>
      </c>
      <c r="J2327">
        <v>0</v>
      </c>
      <c r="K2327">
        <v>0</v>
      </c>
      <c r="L2327">
        <v>0</v>
      </c>
      <c r="M2327">
        <v>0</v>
      </c>
      <c r="N2327">
        <v>956.61</v>
      </c>
      <c r="O2327">
        <v>106.29</v>
      </c>
    </row>
    <row r="2328" spans="1:15" x14ac:dyDescent="0.35">
      <c r="A2328" t="s">
        <v>2715</v>
      </c>
      <c r="B2328" t="s">
        <v>207</v>
      </c>
      <c r="C2328" t="s">
        <v>898</v>
      </c>
      <c r="D2328" t="s">
        <v>337</v>
      </c>
      <c r="E2328" t="s">
        <v>337</v>
      </c>
      <c r="F2328" t="s">
        <v>2746</v>
      </c>
      <c r="G2328">
        <v>3002</v>
      </c>
      <c r="J2328">
        <v>82</v>
      </c>
      <c r="M2328">
        <v>3084</v>
      </c>
    </row>
    <row r="2329" spans="1:15" x14ac:dyDescent="0.35">
      <c r="A2329" t="s">
        <v>2715</v>
      </c>
      <c r="B2329" t="s">
        <v>207</v>
      </c>
      <c r="C2329" t="s">
        <v>898</v>
      </c>
      <c r="D2329" t="s">
        <v>339</v>
      </c>
      <c r="E2329" t="s">
        <v>294</v>
      </c>
      <c r="F2329" t="s">
        <v>2747</v>
      </c>
      <c r="G2329">
        <v>1234</v>
      </c>
      <c r="H2329">
        <v>144836.35999999999</v>
      </c>
      <c r="I2329">
        <v>117.37</v>
      </c>
      <c r="J2329">
        <v>47</v>
      </c>
      <c r="K2329">
        <v>7636.09</v>
      </c>
      <c r="L2329">
        <v>162.47</v>
      </c>
      <c r="M2329">
        <v>1281</v>
      </c>
      <c r="N2329">
        <v>152472.44999999998</v>
      </c>
      <c r="O2329">
        <v>119.03</v>
      </c>
    </row>
    <row r="2330" spans="1:15" x14ac:dyDescent="0.35">
      <c r="A2330" t="s">
        <v>2715</v>
      </c>
      <c r="B2330" t="s">
        <v>207</v>
      </c>
      <c r="C2330" t="s">
        <v>898</v>
      </c>
      <c r="D2330" t="s">
        <v>339</v>
      </c>
      <c r="E2330" t="s">
        <v>296</v>
      </c>
      <c r="F2330" t="s">
        <v>2748</v>
      </c>
      <c r="G2330">
        <v>1159</v>
      </c>
      <c r="H2330">
        <v>149580.68999999997</v>
      </c>
      <c r="I2330">
        <v>129.06</v>
      </c>
      <c r="J2330">
        <v>1</v>
      </c>
      <c r="K2330">
        <v>106.34</v>
      </c>
      <c r="L2330">
        <v>106.34</v>
      </c>
      <c r="M2330">
        <v>1160</v>
      </c>
      <c r="N2330">
        <v>149687.02999999997</v>
      </c>
      <c r="O2330">
        <v>129.04</v>
      </c>
    </row>
    <row r="2331" spans="1:15" x14ac:dyDescent="0.35">
      <c r="A2331" t="s">
        <v>2715</v>
      </c>
      <c r="B2331" t="s">
        <v>207</v>
      </c>
      <c r="C2331" t="s">
        <v>898</v>
      </c>
      <c r="D2331" t="s">
        <v>339</v>
      </c>
      <c r="E2331" t="s">
        <v>298</v>
      </c>
      <c r="F2331" t="s">
        <v>2749</v>
      </c>
      <c r="G2331">
        <v>15</v>
      </c>
      <c r="H2331">
        <v>2055.12</v>
      </c>
      <c r="I2331">
        <v>137.01</v>
      </c>
      <c r="J2331">
        <v>0</v>
      </c>
      <c r="K2331">
        <v>0</v>
      </c>
      <c r="L2331">
        <v>0</v>
      </c>
      <c r="M2331">
        <v>15</v>
      </c>
      <c r="N2331">
        <v>2055.12</v>
      </c>
      <c r="O2331">
        <v>137.01</v>
      </c>
    </row>
    <row r="2332" spans="1:15" x14ac:dyDescent="0.35">
      <c r="A2332" t="s">
        <v>2715</v>
      </c>
      <c r="B2332" t="s">
        <v>207</v>
      </c>
      <c r="C2332" t="s">
        <v>898</v>
      </c>
      <c r="D2332" t="s">
        <v>339</v>
      </c>
      <c r="E2332" t="s">
        <v>300</v>
      </c>
      <c r="F2332" t="s">
        <v>2750</v>
      </c>
      <c r="G2332">
        <v>7</v>
      </c>
      <c r="H2332">
        <v>1407.54</v>
      </c>
      <c r="I2332">
        <v>201.08</v>
      </c>
      <c r="J2332">
        <v>0</v>
      </c>
      <c r="K2332">
        <v>0</v>
      </c>
      <c r="L2332">
        <v>0</v>
      </c>
      <c r="M2332">
        <v>7</v>
      </c>
      <c r="N2332">
        <v>1407.54</v>
      </c>
      <c r="O2332">
        <v>201.08</v>
      </c>
    </row>
    <row r="2333" spans="1:15" x14ac:dyDescent="0.35">
      <c r="A2333" t="s">
        <v>2715</v>
      </c>
      <c r="B2333" t="s">
        <v>207</v>
      </c>
      <c r="C2333" t="s">
        <v>898</v>
      </c>
      <c r="D2333" t="s">
        <v>339</v>
      </c>
      <c r="E2333" t="s">
        <v>306</v>
      </c>
      <c r="F2333" t="s">
        <v>2751</v>
      </c>
      <c r="G2333">
        <v>102</v>
      </c>
      <c r="H2333">
        <v>8845.5399999999991</v>
      </c>
      <c r="I2333">
        <v>86.72</v>
      </c>
      <c r="J2333">
        <v>18</v>
      </c>
      <c r="K2333">
        <v>1686.06</v>
      </c>
      <c r="L2333">
        <v>93.67</v>
      </c>
      <c r="M2333">
        <v>120</v>
      </c>
      <c r="N2333">
        <v>10531.599999999999</v>
      </c>
      <c r="O2333">
        <v>87.76</v>
      </c>
    </row>
    <row r="2334" spans="1:15" x14ac:dyDescent="0.35">
      <c r="A2334" t="s">
        <v>2715</v>
      </c>
      <c r="B2334" t="s">
        <v>207</v>
      </c>
      <c r="C2334" t="s">
        <v>898</v>
      </c>
      <c r="D2334" t="s">
        <v>339</v>
      </c>
      <c r="E2334" t="s">
        <v>308</v>
      </c>
      <c r="F2334" t="s">
        <v>2752</v>
      </c>
      <c r="G2334">
        <v>167</v>
      </c>
      <c r="H2334">
        <v>20447.46</v>
      </c>
      <c r="I2334">
        <v>122.44</v>
      </c>
      <c r="J2334">
        <v>0</v>
      </c>
      <c r="K2334">
        <v>0</v>
      </c>
      <c r="L2334">
        <v>0</v>
      </c>
      <c r="M2334">
        <v>167</v>
      </c>
      <c r="N2334">
        <v>20447.46</v>
      </c>
      <c r="O2334">
        <v>122.44</v>
      </c>
    </row>
    <row r="2335" spans="1:15" x14ac:dyDescent="0.35">
      <c r="A2335" t="s">
        <v>2715</v>
      </c>
      <c r="B2335" t="s">
        <v>207</v>
      </c>
      <c r="C2335" t="s">
        <v>898</v>
      </c>
      <c r="D2335" t="s">
        <v>339</v>
      </c>
      <c r="E2335" t="s">
        <v>310</v>
      </c>
      <c r="F2335" t="s">
        <v>2753</v>
      </c>
      <c r="G2335">
        <v>2684</v>
      </c>
      <c r="H2335">
        <v>327172.7099999999</v>
      </c>
      <c r="I2335">
        <v>121.9</v>
      </c>
      <c r="J2335">
        <v>66</v>
      </c>
      <c r="K2335">
        <v>9428.49</v>
      </c>
      <c r="L2335">
        <v>142.86000000000001</v>
      </c>
      <c r="M2335">
        <v>2750</v>
      </c>
      <c r="N2335">
        <v>336601.1999999999</v>
      </c>
      <c r="O2335">
        <v>122.4</v>
      </c>
    </row>
    <row r="2336" spans="1:15" x14ac:dyDescent="0.35">
      <c r="A2336" t="s">
        <v>2715</v>
      </c>
      <c r="B2336" t="s">
        <v>207</v>
      </c>
      <c r="C2336" t="s">
        <v>898</v>
      </c>
      <c r="D2336" t="s">
        <v>339</v>
      </c>
      <c r="E2336" t="s">
        <v>312</v>
      </c>
      <c r="F2336" t="s">
        <v>2754</v>
      </c>
      <c r="G2336">
        <v>2517</v>
      </c>
      <c r="H2336">
        <v>306725.24999999988</v>
      </c>
      <c r="I2336">
        <v>121.86</v>
      </c>
      <c r="J2336">
        <v>66</v>
      </c>
      <c r="K2336">
        <v>9428.49</v>
      </c>
      <c r="L2336">
        <v>142.86000000000001</v>
      </c>
      <c r="M2336">
        <v>2583</v>
      </c>
      <c r="N2336">
        <v>316153.73999999987</v>
      </c>
      <c r="O2336">
        <v>122.4</v>
      </c>
    </row>
    <row r="2337" spans="1:15" x14ac:dyDescent="0.35">
      <c r="A2337" t="s">
        <v>2715</v>
      </c>
      <c r="B2337" t="s">
        <v>207</v>
      </c>
      <c r="C2337" t="s">
        <v>898</v>
      </c>
      <c r="D2337" t="s">
        <v>348</v>
      </c>
      <c r="E2337" t="s">
        <v>349</v>
      </c>
      <c r="F2337" t="s">
        <v>2755</v>
      </c>
      <c r="G2337">
        <v>2730</v>
      </c>
      <c r="H2337">
        <v>327311.66999999993</v>
      </c>
      <c r="I2337">
        <v>121.9</v>
      </c>
      <c r="J2337">
        <v>82</v>
      </c>
      <c r="K2337">
        <v>11583.85</v>
      </c>
      <c r="L2337">
        <v>141.27000000000001</v>
      </c>
      <c r="M2337">
        <v>2812</v>
      </c>
      <c r="N2337">
        <v>338895.5199999999</v>
      </c>
      <c r="O2337">
        <v>122.48</v>
      </c>
    </row>
    <row r="2338" spans="1:15" x14ac:dyDescent="0.35">
      <c r="A2338" t="s">
        <v>2756</v>
      </c>
      <c r="B2338" t="s">
        <v>2757</v>
      </c>
      <c r="C2338" t="s">
        <v>520</v>
      </c>
      <c r="D2338" t="s">
        <v>293</v>
      </c>
      <c r="E2338" t="s">
        <v>294</v>
      </c>
      <c r="F2338" t="s">
        <v>2758</v>
      </c>
      <c r="G2338">
        <v>165</v>
      </c>
      <c r="H2338">
        <v>15974.27</v>
      </c>
      <c r="I2338">
        <v>96.81</v>
      </c>
      <c r="J2338">
        <v>0</v>
      </c>
      <c r="K2338">
        <v>0</v>
      </c>
      <c r="L2338">
        <v>0</v>
      </c>
      <c r="M2338">
        <v>165</v>
      </c>
      <c r="N2338">
        <v>15974.27</v>
      </c>
      <c r="O2338">
        <v>96.81</v>
      </c>
    </row>
    <row r="2339" spans="1:15" x14ac:dyDescent="0.35">
      <c r="A2339" t="s">
        <v>2756</v>
      </c>
      <c r="B2339" t="s">
        <v>2757</v>
      </c>
      <c r="C2339" t="s">
        <v>520</v>
      </c>
      <c r="D2339" t="s">
        <v>293</v>
      </c>
      <c r="E2339" t="s">
        <v>296</v>
      </c>
      <c r="F2339" t="s">
        <v>2759</v>
      </c>
      <c r="G2339">
        <v>1183</v>
      </c>
      <c r="H2339">
        <v>133721.31</v>
      </c>
      <c r="I2339">
        <v>113.04</v>
      </c>
      <c r="J2339">
        <v>0</v>
      </c>
      <c r="K2339">
        <v>0</v>
      </c>
      <c r="L2339">
        <v>0</v>
      </c>
      <c r="M2339">
        <v>1183</v>
      </c>
      <c r="N2339">
        <v>133721.31</v>
      </c>
      <c r="O2339">
        <v>113.04</v>
      </c>
    </row>
    <row r="2340" spans="1:15" x14ac:dyDescent="0.35">
      <c r="A2340" t="s">
        <v>2756</v>
      </c>
      <c r="B2340" t="s">
        <v>2757</v>
      </c>
      <c r="C2340" t="s">
        <v>520</v>
      </c>
      <c r="D2340" t="s">
        <v>293</v>
      </c>
      <c r="E2340" t="s">
        <v>298</v>
      </c>
      <c r="F2340" t="s">
        <v>2760</v>
      </c>
      <c r="G2340">
        <v>1096</v>
      </c>
      <c r="H2340">
        <v>137193.31</v>
      </c>
      <c r="I2340">
        <v>125.18</v>
      </c>
      <c r="J2340">
        <v>0</v>
      </c>
      <c r="K2340">
        <v>0</v>
      </c>
      <c r="L2340">
        <v>0</v>
      </c>
      <c r="M2340">
        <v>1096</v>
      </c>
      <c r="N2340">
        <v>137193.31</v>
      </c>
      <c r="O2340">
        <v>125.18</v>
      </c>
    </row>
    <row r="2341" spans="1:15" x14ac:dyDescent="0.35">
      <c r="A2341" t="s">
        <v>2756</v>
      </c>
      <c r="B2341" t="s">
        <v>2757</v>
      </c>
      <c r="C2341" t="s">
        <v>520</v>
      </c>
      <c r="D2341" t="s">
        <v>293</v>
      </c>
      <c r="E2341" t="s">
        <v>300</v>
      </c>
      <c r="F2341" t="s">
        <v>2761</v>
      </c>
      <c r="G2341">
        <v>73</v>
      </c>
      <c r="H2341">
        <v>10286.060000000001</v>
      </c>
      <c r="I2341">
        <v>140.9</v>
      </c>
      <c r="J2341">
        <v>0</v>
      </c>
      <c r="K2341">
        <v>0</v>
      </c>
      <c r="L2341">
        <v>0</v>
      </c>
      <c r="M2341">
        <v>73</v>
      </c>
      <c r="N2341">
        <v>10286.060000000001</v>
      </c>
      <c r="O2341">
        <v>140.9</v>
      </c>
    </row>
    <row r="2342" spans="1:15" x14ac:dyDescent="0.35">
      <c r="A2342" t="s">
        <v>2756</v>
      </c>
      <c r="B2342" t="s">
        <v>2757</v>
      </c>
      <c r="C2342" t="s">
        <v>520</v>
      </c>
      <c r="D2342" t="s">
        <v>293</v>
      </c>
      <c r="E2342" t="s">
        <v>302</v>
      </c>
      <c r="F2342" t="s">
        <v>2762</v>
      </c>
      <c r="G2342">
        <v>0</v>
      </c>
      <c r="H2342">
        <v>0</v>
      </c>
      <c r="I2342">
        <v>0</v>
      </c>
      <c r="J2342">
        <v>0</v>
      </c>
      <c r="K2342">
        <v>0</v>
      </c>
      <c r="L2342">
        <v>0</v>
      </c>
      <c r="M2342">
        <v>0</v>
      </c>
      <c r="N2342">
        <v>0</v>
      </c>
      <c r="O2342">
        <v>0</v>
      </c>
    </row>
    <row r="2343" spans="1:15" x14ac:dyDescent="0.35">
      <c r="A2343" t="s">
        <v>2756</v>
      </c>
      <c r="B2343" t="s">
        <v>2757</v>
      </c>
      <c r="C2343" t="s">
        <v>520</v>
      </c>
      <c r="D2343" t="s">
        <v>293</v>
      </c>
      <c r="E2343" t="s">
        <v>304</v>
      </c>
      <c r="F2343" t="s">
        <v>2763</v>
      </c>
      <c r="G2343">
        <v>1</v>
      </c>
      <c r="H2343">
        <v>173</v>
      </c>
      <c r="I2343">
        <v>173</v>
      </c>
      <c r="J2343">
        <v>0</v>
      </c>
      <c r="K2343">
        <v>0</v>
      </c>
      <c r="L2343">
        <v>0</v>
      </c>
      <c r="M2343">
        <v>1</v>
      </c>
      <c r="N2343">
        <v>173</v>
      </c>
      <c r="O2343">
        <v>173</v>
      </c>
    </row>
    <row r="2344" spans="1:15" x14ac:dyDescent="0.35">
      <c r="A2344" t="s">
        <v>2756</v>
      </c>
      <c r="B2344" t="s">
        <v>2757</v>
      </c>
      <c r="C2344" t="s">
        <v>520</v>
      </c>
      <c r="D2344" t="s">
        <v>293</v>
      </c>
      <c r="E2344" t="s">
        <v>306</v>
      </c>
      <c r="F2344" t="s">
        <v>2764</v>
      </c>
      <c r="G2344">
        <v>0</v>
      </c>
      <c r="H2344">
        <v>0</v>
      </c>
      <c r="I2344">
        <v>0</v>
      </c>
      <c r="J2344">
        <v>0</v>
      </c>
      <c r="K2344">
        <v>0</v>
      </c>
      <c r="L2344">
        <v>0</v>
      </c>
      <c r="M2344">
        <v>0</v>
      </c>
      <c r="N2344">
        <v>0</v>
      </c>
      <c r="O2344">
        <v>0</v>
      </c>
    </row>
    <row r="2345" spans="1:15" x14ac:dyDescent="0.35">
      <c r="A2345" t="s">
        <v>2756</v>
      </c>
      <c r="B2345" t="s">
        <v>2757</v>
      </c>
      <c r="C2345" t="s">
        <v>520</v>
      </c>
      <c r="D2345" t="s">
        <v>293</v>
      </c>
      <c r="E2345" t="s">
        <v>308</v>
      </c>
      <c r="F2345" t="s">
        <v>2765</v>
      </c>
      <c r="G2345">
        <v>0</v>
      </c>
      <c r="H2345">
        <v>0</v>
      </c>
      <c r="I2345">
        <v>0</v>
      </c>
      <c r="J2345">
        <v>0</v>
      </c>
      <c r="K2345">
        <v>0</v>
      </c>
      <c r="L2345">
        <v>0</v>
      </c>
      <c r="M2345">
        <v>0</v>
      </c>
      <c r="N2345">
        <v>0</v>
      </c>
      <c r="O2345">
        <v>0</v>
      </c>
    </row>
    <row r="2346" spans="1:15" x14ac:dyDescent="0.35">
      <c r="A2346" t="s">
        <v>2756</v>
      </c>
      <c r="B2346" t="s">
        <v>2757</v>
      </c>
      <c r="C2346" t="s">
        <v>520</v>
      </c>
      <c r="D2346" t="s">
        <v>293</v>
      </c>
      <c r="E2346" t="s">
        <v>310</v>
      </c>
      <c r="F2346" t="s">
        <v>2766</v>
      </c>
      <c r="G2346">
        <v>2518</v>
      </c>
      <c r="H2346">
        <v>297347.95</v>
      </c>
      <c r="I2346">
        <v>118.09</v>
      </c>
      <c r="J2346">
        <v>0</v>
      </c>
      <c r="K2346">
        <v>0</v>
      </c>
      <c r="L2346">
        <v>0</v>
      </c>
      <c r="M2346">
        <v>2518</v>
      </c>
      <c r="N2346">
        <v>297347.95</v>
      </c>
      <c r="O2346">
        <v>118.09</v>
      </c>
    </row>
    <row r="2347" spans="1:15" x14ac:dyDescent="0.35">
      <c r="A2347" t="s">
        <v>2756</v>
      </c>
      <c r="B2347" t="s">
        <v>2757</v>
      </c>
      <c r="C2347" t="s">
        <v>520</v>
      </c>
      <c r="D2347" t="s">
        <v>293</v>
      </c>
      <c r="E2347" t="s">
        <v>312</v>
      </c>
      <c r="F2347" t="s">
        <v>2767</v>
      </c>
      <c r="G2347">
        <v>2518</v>
      </c>
      <c r="H2347">
        <v>297347.95</v>
      </c>
      <c r="I2347">
        <v>118.09</v>
      </c>
      <c r="J2347">
        <v>0</v>
      </c>
      <c r="K2347">
        <v>0</v>
      </c>
      <c r="L2347">
        <v>0</v>
      </c>
      <c r="M2347">
        <v>2518</v>
      </c>
      <c r="N2347">
        <v>297347.95</v>
      </c>
      <c r="O2347">
        <v>118.09</v>
      </c>
    </row>
    <row r="2348" spans="1:15" x14ac:dyDescent="0.35">
      <c r="A2348" t="s">
        <v>2756</v>
      </c>
      <c r="B2348" t="s">
        <v>2757</v>
      </c>
      <c r="C2348" t="s">
        <v>520</v>
      </c>
      <c r="D2348" t="s">
        <v>314</v>
      </c>
      <c r="E2348" t="s">
        <v>294</v>
      </c>
      <c r="F2348" t="s">
        <v>2768</v>
      </c>
      <c r="G2348">
        <v>43</v>
      </c>
      <c r="H2348">
        <v>6661.23</v>
      </c>
      <c r="I2348">
        <v>154.91</v>
      </c>
      <c r="J2348">
        <v>0</v>
      </c>
      <c r="K2348">
        <v>0</v>
      </c>
      <c r="L2348">
        <v>0</v>
      </c>
      <c r="M2348">
        <v>43</v>
      </c>
      <c r="N2348">
        <v>6661.23</v>
      </c>
      <c r="O2348">
        <v>154.91</v>
      </c>
    </row>
    <row r="2349" spans="1:15" x14ac:dyDescent="0.35">
      <c r="A2349" t="s">
        <v>2756</v>
      </c>
      <c r="B2349" t="s">
        <v>2757</v>
      </c>
      <c r="C2349" t="s">
        <v>520</v>
      </c>
      <c r="D2349" t="s">
        <v>314</v>
      </c>
      <c r="E2349" t="s">
        <v>296</v>
      </c>
      <c r="F2349" t="s">
        <v>2769</v>
      </c>
      <c r="G2349">
        <v>9</v>
      </c>
      <c r="H2349">
        <v>1837.6100000000001</v>
      </c>
      <c r="I2349">
        <v>204.18</v>
      </c>
      <c r="J2349">
        <v>0</v>
      </c>
      <c r="K2349">
        <v>0</v>
      </c>
      <c r="L2349">
        <v>0</v>
      </c>
      <c r="M2349">
        <v>9</v>
      </c>
      <c r="N2349">
        <v>1837.6100000000001</v>
      </c>
      <c r="O2349">
        <v>204.18</v>
      </c>
    </row>
    <row r="2350" spans="1:15" x14ac:dyDescent="0.35">
      <c r="A2350" t="s">
        <v>2756</v>
      </c>
      <c r="B2350" t="s">
        <v>2757</v>
      </c>
      <c r="C2350" t="s">
        <v>520</v>
      </c>
      <c r="D2350" t="s">
        <v>314</v>
      </c>
      <c r="E2350" t="s">
        <v>298</v>
      </c>
      <c r="F2350" t="s">
        <v>2770</v>
      </c>
      <c r="G2350">
        <v>1</v>
      </c>
      <c r="H2350">
        <v>319.27999999999997</v>
      </c>
      <c r="I2350">
        <v>319.27999999999997</v>
      </c>
      <c r="J2350">
        <v>0</v>
      </c>
      <c r="K2350">
        <v>0</v>
      </c>
      <c r="L2350">
        <v>0</v>
      </c>
      <c r="M2350">
        <v>1</v>
      </c>
      <c r="N2350">
        <v>319.27999999999997</v>
      </c>
      <c r="O2350">
        <v>319.27999999999997</v>
      </c>
    </row>
    <row r="2351" spans="1:15" x14ac:dyDescent="0.35">
      <c r="A2351" t="s">
        <v>2756</v>
      </c>
      <c r="B2351" t="s">
        <v>2757</v>
      </c>
      <c r="C2351" t="s">
        <v>520</v>
      </c>
      <c r="D2351" t="s">
        <v>314</v>
      </c>
      <c r="E2351" t="s">
        <v>300</v>
      </c>
      <c r="F2351" t="s">
        <v>2771</v>
      </c>
      <c r="G2351">
        <v>0</v>
      </c>
      <c r="H2351">
        <v>0</v>
      </c>
      <c r="I2351">
        <v>0</v>
      </c>
      <c r="J2351">
        <v>0</v>
      </c>
      <c r="K2351">
        <v>0</v>
      </c>
      <c r="L2351">
        <v>0</v>
      </c>
      <c r="M2351">
        <v>0</v>
      </c>
      <c r="N2351">
        <v>0</v>
      </c>
      <c r="O2351">
        <v>0</v>
      </c>
    </row>
    <row r="2352" spans="1:15" x14ac:dyDescent="0.35">
      <c r="A2352" t="s">
        <v>2756</v>
      </c>
      <c r="B2352" t="s">
        <v>2757</v>
      </c>
      <c r="C2352" t="s">
        <v>520</v>
      </c>
      <c r="D2352" t="s">
        <v>314</v>
      </c>
      <c r="E2352" t="s">
        <v>306</v>
      </c>
      <c r="F2352" t="s">
        <v>2772</v>
      </c>
      <c r="G2352">
        <v>0</v>
      </c>
      <c r="H2352">
        <v>0</v>
      </c>
      <c r="I2352">
        <v>0</v>
      </c>
      <c r="J2352">
        <v>0</v>
      </c>
      <c r="K2352">
        <v>0</v>
      </c>
      <c r="L2352">
        <v>0</v>
      </c>
      <c r="M2352">
        <v>0</v>
      </c>
      <c r="N2352">
        <v>0</v>
      </c>
      <c r="O2352">
        <v>0</v>
      </c>
    </row>
    <row r="2353" spans="1:15" x14ac:dyDescent="0.35">
      <c r="A2353" t="s">
        <v>2756</v>
      </c>
      <c r="B2353" t="s">
        <v>2757</v>
      </c>
      <c r="C2353" t="s">
        <v>520</v>
      </c>
      <c r="D2353" t="s">
        <v>314</v>
      </c>
      <c r="E2353" t="s">
        <v>308</v>
      </c>
      <c r="F2353" t="s">
        <v>2773</v>
      </c>
      <c r="G2353">
        <v>2</v>
      </c>
      <c r="H2353">
        <v>558.91999999999996</v>
      </c>
      <c r="I2353">
        <v>279.45999999999998</v>
      </c>
      <c r="J2353">
        <v>0</v>
      </c>
      <c r="K2353">
        <v>0</v>
      </c>
      <c r="L2353">
        <v>0</v>
      </c>
      <c r="M2353">
        <v>2</v>
      </c>
      <c r="N2353">
        <v>558.91999999999996</v>
      </c>
      <c r="O2353">
        <v>279.45999999999998</v>
      </c>
    </row>
    <row r="2354" spans="1:15" x14ac:dyDescent="0.35">
      <c r="A2354" t="s">
        <v>2756</v>
      </c>
      <c r="B2354" t="s">
        <v>2757</v>
      </c>
      <c r="C2354" t="s">
        <v>520</v>
      </c>
      <c r="D2354" t="s">
        <v>314</v>
      </c>
      <c r="E2354" t="s">
        <v>312</v>
      </c>
      <c r="F2354" t="s">
        <v>2774</v>
      </c>
      <c r="G2354">
        <v>53</v>
      </c>
      <c r="H2354">
        <v>8818.1200000000008</v>
      </c>
      <c r="I2354">
        <v>166.38</v>
      </c>
      <c r="J2354">
        <v>0</v>
      </c>
      <c r="K2354">
        <v>0</v>
      </c>
      <c r="L2354">
        <v>0</v>
      </c>
      <c r="M2354">
        <v>53</v>
      </c>
      <c r="N2354">
        <v>8818.1200000000008</v>
      </c>
      <c r="O2354">
        <v>166.38</v>
      </c>
    </row>
    <row r="2355" spans="1:15" x14ac:dyDescent="0.35">
      <c r="A2355" t="s">
        <v>2756</v>
      </c>
      <c r="B2355" t="s">
        <v>2757</v>
      </c>
      <c r="C2355" t="s">
        <v>520</v>
      </c>
      <c r="D2355" t="s">
        <v>314</v>
      </c>
      <c r="E2355" t="s">
        <v>310</v>
      </c>
      <c r="F2355" t="s">
        <v>2775</v>
      </c>
      <c r="G2355">
        <v>55</v>
      </c>
      <c r="H2355">
        <v>9377.0400000000009</v>
      </c>
      <c r="I2355">
        <v>170.49</v>
      </c>
      <c r="J2355">
        <v>0</v>
      </c>
      <c r="K2355">
        <v>0</v>
      </c>
      <c r="L2355">
        <v>0</v>
      </c>
      <c r="M2355">
        <v>55</v>
      </c>
      <c r="N2355">
        <v>9377.0400000000009</v>
      </c>
      <c r="O2355">
        <v>170.49</v>
      </c>
    </row>
    <row r="2356" spans="1:15" x14ac:dyDescent="0.35">
      <c r="A2356" t="s">
        <v>2756</v>
      </c>
      <c r="B2356" t="s">
        <v>2757</v>
      </c>
      <c r="C2356" t="s">
        <v>520</v>
      </c>
      <c r="D2356" t="s">
        <v>323</v>
      </c>
      <c r="E2356" t="s">
        <v>294</v>
      </c>
      <c r="F2356" t="s">
        <v>2776</v>
      </c>
      <c r="G2356">
        <v>2854</v>
      </c>
      <c r="H2356">
        <v>254508.21</v>
      </c>
      <c r="I2356">
        <v>89.18</v>
      </c>
      <c r="J2356">
        <v>0</v>
      </c>
      <c r="K2356">
        <v>0</v>
      </c>
      <c r="L2356">
        <v>0</v>
      </c>
      <c r="M2356">
        <v>2854</v>
      </c>
      <c r="N2356">
        <v>254508.21</v>
      </c>
      <c r="O2356">
        <v>89.18</v>
      </c>
    </row>
    <row r="2357" spans="1:15" x14ac:dyDescent="0.35">
      <c r="A2357" t="s">
        <v>2756</v>
      </c>
      <c r="B2357" t="s">
        <v>2757</v>
      </c>
      <c r="C2357" t="s">
        <v>520</v>
      </c>
      <c r="D2357" t="s">
        <v>323</v>
      </c>
      <c r="E2357" t="s">
        <v>296</v>
      </c>
      <c r="F2357" t="s">
        <v>2777</v>
      </c>
      <c r="G2357">
        <v>7664</v>
      </c>
      <c r="H2357">
        <v>784609.88000000012</v>
      </c>
      <c r="I2357">
        <v>102.38</v>
      </c>
      <c r="J2357">
        <v>0</v>
      </c>
      <c r="K2357">
        <v>0</v>
      </c>
      <c r="L2357">
        <v>0</v>
      </c>
      <c r="M2357">
        <v>7664</v>
      </c>
      <c r="N2357">
        <v>784609.88000000012</v>
      </c>
      <c r="O2357">
        <v>102.38</v>
      </c>
    </row>
    <row r="2358" spans="1:15" x14ac:dyDescent="0.35">
      <c r="A2358" t="s">
        <v>2756</v>
      </c>
      <c r="B2358" t="s">
        <v>2757</v>
      </c>
      <c r="C2358" t="s">
        <v>520</v>
      </c>
      <c r="D2358" t="s">
        <v>323</v>
      </c>
      <c r="E2358" t="s">
        <v>298</v>
      </c>
      <c r="F2358" t="s">
        <v>2778</v>
      </c>
      <c r="G2358">
        <v>7113</v>
      </c>
      <c r="H2358">
        <v>800362.12</v>
      </c>
      <c r="I2358">
        <v>112.52</v>
      </c>
      <c r="J2358">
        <v>0</v>
      </c>
      <c r="K2358">
        <v>0</v>
      </c>
      <c r="L2358">
        <v>0</v>
      </c>
      <c r="M2358">
        <v>7113</v>
      </c>
      <c r="N2358">
        <v>800362.12</v>
      </c>
      <c r="O2358">
        <v>112.52</v>
      </c>
    </row>
    <row r="2359" spans="1:15" x14ac:dyDescent="0.35">
      <c r="A2359" t="s">
        <v>2756</v>
      </c>
      <c r="B2359" t="s">
        <v>2757</v>
      </c>
      <c r="C2359" t="s">
        <v>520</v>
      </c>
      <c r="D2359" t="s">
        <v>323</v>
      </c>
      <c r="E2359" t="s">
        <v>300</v>
      </c>
      <c r="F2359" t="s">
        <v>2779</v>
      </c>
      <c r="G2359">
        <v>388</v>
      </c>
      <c r="H2359">
        <v>47834.78</v>
      </c>
      <c r="I2359">
        <v>123.29</v>
      </c>
      <c r="J2359">
        <v>0</v>
      </c>
      <c r="K2359">
        <v>0</v>
      </c>
      <c r="L2359">
        <v>0</v>
      </c>
      <c r="M2359">
        <v>388</v>
      </c>
      <c r="N2359">
        <v>47834.78</v>
      </c>
      <c r="O2359">
        <v>123.29</v>
      </c>
    </row>
    <row r="2360" spans="1:15" x14ac:dyDescent="0.35">
      <c r="A2360" t="s">
        <v>2756</v>
      </c>
      <c r="B2360" t="s">
        <v>2757</v>
      </c>
      <c r="C2360" t="s">
        <v>520</v>
      </c>
      <c r="D2360" t="s">
        <v>323</v>
      </c>
      <c r="E2360" t="s">
        <v>302</v>
      </c>
      <c r="F2360" t="s">
        <v>2780</v>
      </c>
      <c r="G2360">
        <v>13</v>
      </c>
      <c r="H2360">
        <v>1693.45</v>
      </c>
      <c r="I2360">
        <v>130.27000000000001</v>
      </c>
      <c r="J2360">
        <v>0</v>
      </c>
      <c r="K2360">
        <v>0</v>
      </c>
      <c r="L2360">
        <v>0</v>
      </c>
      <c r="M2360">
        <v>13</v>
      </c>
      <c r="N2360">
        <v>1693.45</v>
      </c>
      <c r="O2360">
        <v>130.27000000000001</v>
      </c>
    </row>
    <row r="2361" spans="1:15" x14ac:dyDescent="0.35">
      <c r="A2361" t="s">
        <v>2756</v>
      </c>
      <c r="B2361" t="s">
        <v>2757</v>
      </c>
      <c r="C2361" t="s">
        <v>520</v>
      </c>
      <c r="D2361" t="s">
        <v>323</v>
      </c>
      <c r="E2361" t="s">
        <v>304</v>
      </c>
      <c r="F2361" t="s">
        <v>2781</v>
      </c>
      <c r="G2361">
        <v>2</v>
      </c>
      <c r="H2361">
        <v>286.02</v>
      </c>
      <c r="I2361">
        <v>143.01</v>
      </c>
      <c r="J2361">
        <v>0</v>
      </c>
      <c r="K2361">
        <v>0</v>
      </c>
      <c r="L2361">
        <v>0</v>
      </c>
      <c r="M2361">
        <v>2</v>
      </c>
      <c r="N2361">
        <v>286.02</v>
      </c>
      <c r="O2361">
        <v>143.01</v>
      </c>
    </row>
    <row r="2362" spans="1:15" x14ac:dyDescent="0.35">
      <c r="A2362" t="s">
        <v>2756</v>
      </c>
      <c r="B2362" t="s">
        <v>2757</v>
      </c>
      <c r="C2362" t="s">
        <v>520</v>
      </c>
      <c r="D2362" t="s">
        <v>323</v>
      </c>
      <c r="E2362" t="s">
        <v>306</v>
      </c>
      <c r="F2362" t="s">
        <v>2782</v>
      </c>
      <c r="G2362">
        <v>14</v>
      </c>
      <c r="H2362">
        <v>1245.1400000000001</v>
      </c>
      <c r="I2362">
        <v>88.94</v>
      </c>
      <c r="J2362">
        <v>0</v>
      </c>
      <c r="K2362">
        <v>0</v>
      </c>
      <c r="L2362">
        <v>0</v>
      </c>
      <c r="M2362">
        <v>14</v>
      </c>
      <c r="N2362">
        <v>1245.1400000000001</v>
      </c>
      <c r="O2362">
        <v>88.94</v>
      </c>
    </row>
    <row r="2363" spans="1:15" x14ac:dyDescent="0.35">
      <c r="A2363" t="s">
        <v>2756</v>
      </c>
      <c r="B2363" t="s">
        <v>2757</v>
      </c>
      <c r="C2363" t="s">
        <v>520</v>
      </c>
      <c r="D2363" t="s">
        <v>323</v>
      </c>
      <c r="E2363" t="s">
        <v>308</v>
      </c>
      <c r="F2363" t="s">
        <v>2783</v>
      </c>
      <c r="G2363">
        <v>0</v>
      </c>
      <c r="H2363">
        <v>0</v>
      </c>
      <c r="I2363">
        <v>0</v>
      </c>
      <c r="J2363">
        <v>0</v>
      </c>
      <c r="K2363">
        <v>0</v>
      </c>
      <c r="L2363">
        <v>0</v>
      </c>
      <c r="M2363">
        <v>0</v>
      </c>
      <c r="N2363">
        <v>0</v>
      </c>
      <c r="O2363">
        <v>0</v>
      </c>
    </row>
    <row r="2364" spans="1:15" x14ac:dyDescent="0.35">
      <c r="A2364" t="s">
        <v>2756</v>
      </c>
      <c r="B2364" t="s">
        <v>2757</v>
      </c>
      <c r="C2364" t="s">
        <v>520</v>
      </c>
      <c r="D2364" t="s">
        <v>323</v>
      </c>
      <c r="E2364" t="s">
        <v>310</v>
      </c>
      <c r="F2364" t="s">
        <v>2784</v>
      </c>
      <c r="G2364">
        <v>18048</v>
      </c>
      <c r="H2364">
        <v>1890539.5999999999</v>
      </c>
      <c r="I2364">
        <v>104.75</v>
      </c>
      <c r="J2364">
        <v>0</v>
      </c>
      <c r="K2364">
        <v>0</v>
      </c>
      <c r="L2364">
        <v>0</v>
      </c>
      <c r="M2364">
        <v>18048</v>
      </c>
      <c r="N2364">
        <v>1890539.5999999999</v>
      </c>
      <c r="O2364">
        <v>104.75</v>
      </c>
    </row>
    <row r="2365" spans="1:15" x14ac:dyDescent="0.35">
      <c r="A2365" t="s">
        <v>2756</v>
      </c>
      <c r="B2365" t="s">
        <v>2757</v>
      </c>
      <c r="C2365" t="s">
        <v>520</v>
      </c>
      <c r="D2365" t="s">
        <v>323</v>
      </c>
      <c r="E2365" t="s">
        <v>312</v>
      </c>
      <c r="F2365" t="s">
        <v>2785</v>
      </c>
      <c r="G2365">
        <v>18048</v>
      </c>
      <c r="H2365">
        <v>1890539.5999999999</v>
      </c>
      <c r="I2365">
        <v>104.75</v>
      </c>
      <c r="J2365">
        <v>0</v>
      </c>
      <c r="K2365">
        <v>0</v>
      </c>
      <c r="L2365">
        <v>0</v>
      </c>
      <c r="M2365">
        <v>18048</v>
      </c>
      <c r="N2365">
        <v>1890539.5999999999</v>
      </c>
      <c r="O2365">
        <v>104.75</v>
      </c>
    </row>
    <row r="2366" spans="1:15" x14ac:dyDescent="0.35">
      <c r="A2366" t="s">
        <v>2756</v>
      </c>
      <c r="B2366" t="s">
        <v>2757</v>
      </c>
      <c r="C2366" t="s">
        <v>520</v>
      </c>
      <c r="D2366" t="s">
        <v>334</v>
      </c>
      <c r="E2366" t="s">
        <v>312</v>
      </c>
      <c r="F2366" t="s">
        <v>2786</v>
      </c>
      <c r="G2366">
        <v>21159</v>
      </c>
      <c r="H2366">
        <v>2187887.5500000003</v>
      </c>
      <c r="I2366">
        <v>106.38</v>
      </c>
      <c r="J2366">
        <v>0</v>
      </c>
      <c r="K2366">
        <v>0</v>
      </c>
      <c r="L2366">
        <v>0</v>
      </c>
      <c r="M2366">
        <v>21159</v>
      </c>
      <c r="N2366">
        <v>2187887.5500000003</v>
      </c>
      <c r="O2366">
        <v>106.38</v>
      </c>
    </row>
    <row r="2367" spans="1:15" x14ac:dyDescent="0.35">
      <c r="A2367" t="s">
        <v>2756</v>
      </c>
      <c r="B2367" t="s">
        <v>2757</v>
      </c>
      <c r="C2367" t="s">
        <v>520</v>
      </c>
      <c r="D2367" t="s">
        <v>334</v>
      </c>
      <c r="E2367" t="s">
        <v>308</v>
      </c>
      <c r="F2367" t="s">
        <v>2787</v>
      </c>
      <c r="G2367">
        <v>0</v>
      </c>
      <c r="H2367">
        <v>0</v>
      </c>
      <c r="I2367">
        <v>0</v>
      </c>
      <c r="J2367">
        <v>0</v>
      </c>
      <c r="K2367">
        <v>0</v>
      </c>
      <c r="L2367">
        <v>0</v>
      </c>
      <c r="M2367">
        <v>0</v>
      </c>
      <c r="N2367">
        <v>0</v>
      </c>
      <c r="O2367">
        <v>0</v>
      </c>
    </row>
    <row r="2368" spans="1:15" x14ac:dyDescent="0.35">
      <c r="A2368" t="s">
        <v>2756</v>
      </c>
      <c r="B2368" t="s">
        <v>2757</v>
      </c>
      <c r="C2368" t="s">
        <v>520</v>
      </c>
      <c r="D2368" t="s">
        <v>337</v>
      </c>
      <c r="E2368" t="s">
        <v>337</v>
      </c>
      <c r="F2368" t="s">
        <v>2788</v>
      </c>
      <c r="G2368">
        <v>514</v>
      </c>
      <c r="J2368">
        <v>0</v>
      </c>
      <c r="M2368">
        <v>514</v>
      </c>
    </row>
    <row r="2369" spans="1:15" x14ac:dyDescent="0.35">
      <c r="A2369" t="s">
        <v>2756</v>
      </c>
      <c r="B2369" t="s">
        <v>2757</v>
      </c>
      <c r="C2369" t="s">
        <v>520</v>
      </c>
      <c r="D2369" t="s">
        <v>339</v>
      </c>
      <c r="E2369" t="s">
        <v>294</v>
      </c>
      <c r="F2369" t="s">
        <v>2789</v>
      </c>
      <c r="G2369">
        <v>752</v>
      </c>
      <c r="H2369">
        <v>84634.45</v>
      </c>
      <c r="I2369">
        <v>112.55</v>
      </c>
      <c r="J2369">
        <v>0</v>
      </c>
      <c r="K2369">
        <v>0</v>
      </c>
      <c r="L2369">
        <v>0</v>
      </c>
      <c r="M2369">
        <v>752</v>
      </c>
      <c r="N2369">
        <v>84634.45</v>
      </c>
      <c r="O2369">
        <v>112.55</v>
      </c>
    </row>
    <row r="2370" spans="1:15" x14ac:dyDescent="0.35">
      <c r="A2370" t="s">
        <v>2756</v>
      </c>
      <c r="B2370" t="s">
        <v>2757</v>
      </c>
      <c r="C2370" t="s">
        <v>520</v>
      </c>
      <c r="D2370" t="s">
        <v>339</v>
      </c>
      <c r="E2370" t="s">
        <v>296</v>
      </c>
      <c r="F2370" t="s">
        <v>2790</v>
      </c>
      <c r="G2370">
        <v>296</v>
      </c>
      <c r="H2370">
        <v>34584.910000000003</v>
      </c>
      <c r="I2370">
        <v>116.84</v>
      </c>
      <c r="J2370">
        <v>0</v>
      </c>
      <c r="K2370">
        <v>0</v>
      </c>
      <c r="L2370">
        <v>0</v>
      </c>
      <c r="M2370">
        <v>296</v>
      </c>
      <c r="N2370">
        <v>34584.910000000003</v>
      </c>
      <c r="O2370">
        <v>116.84</v>
      </c>
    </row>
    <row r="2371" spans="1:15" x14ac:dyDescent="0.35">
      <c r="A2371" t="s">
        <v>2756</v>
      </c>
      <c r="B2371" t="s">
        <v>2757</v>
      </c>
      <c r="C2371" t="s">
        <v>520</v>
      </c>
      <c r="D2371" t="s">
        <v>339</v>
      </c>
      <c r="E2371" t="s">
        <v>298</v>
      </c>
      <c r="F2371" t="s">
        <v>2791</v>
      </c>
      <c r="G2371">
        <v>13</v>
      </c>
      <c r="H2371">
        <v>1602.2599999999998</v>
      </c>
      <c r="I2371">
        <v>123.25</v>
      </c>
      <c r="J2371">
        <v>0</v>
      </c>
      <c r="K2371">
        <v>0</v>
      </c>
      <c r="L2371">
        <v>0</v>
      </c>
      <c r="M2371">
        <v>13</v>
      </c>
      <c r="N2371">
        <v>1602.2599999999998</v>
      </c>
      <c r="O2371">
        <v>123.25</v>
      </c>
    </row>
    <row r="2372" spans="1:15" x14ac:dyDescent="0.35">
      <c r="A2372" t="s">
        <v>2756</v>
      </c>
      <c r="B2372" t="s">
        <v>2757</v>
      </c>
      <c r="C2372" t="s">
        <v>520</v>
      </c>
      <c r="D2372" t="s">
        <v>339</v>
      </c>
      <c r="E2372" t="s">
        <v>300</v>
      </c>
      <c r="F2372" t="s">
        <v>2792</v>
      </c>
      <c r="G2372">
        <v>1</v>
      </c>
      <c r="H2372">
        <v>182.87</v>
      </c>
      <c r="I2372">
        <v>182.87</v>
      </c>
      <c r="J2372">
        <v>0</v>
      </c>
      <c r="K2372">
        <v>0</v>
      </c>
      <c r="L2372">
        <v>0</v>
      </c>
      <c r="M2372">
        <v>1</v>
      </c>
      <c r="N2372">
        <v>182.87</v>
      </c>
      <c r="O2372">
        <v>182.87</v>
      </c>
    </row>
    <row r="2373" spans="1:15" x14ac:dyDescent="0.35">
      <c r="A2373" t="s">
        <v>2756</v>
      </c>
      <c r="B2373" t="s">
        <v>2757</v>
      </c>
      <c r="C2373" t="s">
        <v>520</v>
      </c>
      <c r="D2373" t="s">
        <v>339</v>
      </c>
      <c r="E2373" t="s">
        <v>306</v>
      </c>
      <c r="F2373" t="s">
        <v>2793</v>
      </c>
      <c r="G2373">
        <v>163</v>
      </c>
      <c r="H2373">
        <v>14008.32</v>
      </c>
      <c r="I2373">
        <v>85.94</v>
      </c>
      <c r="J2373">
        <v>0</v>
      </c>
      <c r="K2373">
        <v>0</v>
      </c>
      <c r="L2373">
        <v>0</v>
      </c>
      <c r="M2373">
        <v>163</v>
      </c>
      <c r="N2373">
        <v>14008.32</v>
      </c>
      <c r="O2373">
        <v>85.94</v>
      </c>
    </row>
    <row r="2374" spans="1:15" x14ac:dyDescent="0.35">
      <c r="A2374" t="s">
        <v>2756</v>
      </c>
      <c r="B2374" t="s">
        <v>2757</v>
      </c>
      <c r="C2374" t="s">
        <v>520</v>
      </c>
      <c r="D2374" t="s">
        <v>339</v>
      </c>
      <c r="E2374" t="s">
        <v>308</v>
      </c>
      <c r="F2374" t="s">
        <v>2794</v>
      </c>
      <c r="G2374">
        <v>115</v>
      </c>
      <c r="H2374">
        <v>11778.84</v>
      </c>
      <c r="I2374">
        <v>102.42</v>
      </c>
      <c r="J2374">
        <v>0</v>
      </c>
      <c r="K2374">
        <v>0</v>
      </c>
      <c r="L2374">
        <v>0</v>
      </c>
      <c r="M2374">
        <v>115</v>
      </c>
      <c r="N2374">
        <v>11778.84</v>
      </c>
      <c r="O2374">
        <v>102.42</v>
      </c>
    </row>
    <row r="2375" spans="1:15" x14ac:dyDescent="0.35">
      <c r="A2375" t="s">
        <v>2756</v>
      </c>
      <c r="B2375" t="s">
        <v>2757</v>
      </c>
      <c r="C2375" t="s">
        <v>520</v>
      </c>
      <c r="D2375" t="s">
        <v>339</v>
      </c>
      <c r="E2375" t="s">
        <v>310</v>
      </c>
      <c r="F2375" t="s">
        <v>2795</v>
      </c>
      <c r="G2375">
        <v>1340</v>
      </c>
      <c r="H2375">
        <v>146791.65</v>
      </c>
      <c r="I2375">
        <v>109.55</v>
      </c>
      <c r="J2375">
        <v>0</v>
      </c>
      <c r="K2375">
        <v>0</v>
      </c>
      <c r="L2375">
        <v>0</v>
      </c>
      <c r="M2375">
        <v>1340</v>
      </c>
      <c r="N2375">
        <v>146791.65</v>
      </c>
      <c r="O2375">
        <v>109.55</v>
      </c>
    </row>
    <row r="2376" spans="1:15" x14ac:dyDescent="0.35">
      <c r="A2376" t="s">
        <v>2756</v>
      </c>
      <c r="B2376" t="s">
        <v>2757</v>
      </c>
      <c r="C2376" t="s">
        <v>520</v>
      </c>
      <c r="D2376" t="s">
        <v>339</v>
      </c>
      <c r="E2376" t="s">
        <v>312</v>
      </c>
      <c r="F2376" t="s">
        <v>2796</v>
      </c>
      <c r="G2376">
        <v>1225</v>
      </c>
      <c r="H2376">
        <v>135012.81</v>
      </c>
      <c r="I2376">
        <v>110.21</v>
      </c>
      <c r="J2376">
        <v>0</v>
      </c>
      <c r="K2376">
        <v>0</v>
      </c>
      <c r="L2376">
        <v>0</v>
      </c>
      <c r="M2376">
        <v>1225</v>
      </c>
      <c r="N2376">
        <v>135012.81</v>
      </c>
      <c r="O2376">
        <v>110.21</v>
      </c>
    </row>
    <row r="2377" spans="1:15" x14ac:dyDescent="0.35">
      <c r="A2377" t="s">
        <v>2756</v>
      </c>
      <c r="B2377" t="s">
        <v>2757</v>
      </c>
      <c r="C2377" t="s">
        <v>520</v>
      </c>
      <c r="D2377" t="s">
        <v>348</v>
      </c>
      <c r="E2377" t="s">
        <v>349</v>
      </c>
      <c r="F2377" t="s">
        <v>2797</v>
      </c>
      <c r="G2377">
        <v>1588</v>
      </c>
      <c r="H2377">
        <v>156168.68999999997</v>
      </c>
      <c r="I2377">
        <v>111.95</v>
      </c>
      <c r="J2377">
        <v>0</v>
      </c>
      <c r="K2377">
        <v>0</v>
      </c>
      <c r="L2377">
        <v>0</v>
      </c>
      <c r="M2377">
        <v>1588</v>
      </c>
      <c r="N2377">
        <v>156168.68999999997</v>
      </c>
      <c r="O2377">
        <v>111.95</v>
      </c>
    </row>
    <row r="2378" spans="1:15" x14ac:dyDescent="0.35">
      <c r="A2378" t="s">
        <v>2798</v>
      </c>
      <c r="B2378" t="s">
        <v>211</v>
      </c>
      <c r="C2378" t="s">
        <v>520</v>
      </c>
      <c r="D2378" t="s">
        <v>293</v>
      </c>
      <c r="E2378" t="s">
        <v>294</v>
      </c>
      <c r="F2378" t="s">
        <v>2799</v>
      </c>
      <c r="G2378">
        <v>168</v>
      </c>
      <c r="H2378">
        <v>19464.880000000005</v>
      </c>
      <c r="I2378">
        <v>115.86</v>
      </c>
      <c r="J2378">
        <v>0</v>
      </c>
      <c r="K2378">
        <v>0</v>
      </c>
      <c r="L2378">
        <v>0</v>
      </c>
      <c r="M2378">
        <v>168</v>
      </c>
      <c r="N2378">
        <v>19464.880000000005</v>
      </c>
      <c r="O2378">
        <v>115.86</v>
      </c>
    </row>
    <row r="2379" spans="1:15" x14ac:dyDescent="0.35">
      <c r="A2379" t="s">
        <v>2798</v>
      </c>
      <c r="B2379" t="s">
        <v>211</v>
      </c>
      <c r="C2379" t="s">
        <v>520</v>
      </c>
      <c r="D2379" t="s">
        <v>293</v>
      </c>
      <c r="E2379" t="s">
        <v>296</v>
      </c>
      <c r="F2379" t="s">
        <v>2800</v>
      </c>
      <c r="G2379">
        <v>501</v>
      </c>
      <c r="H2379">
        <v>69441.850000000006</v>
      </c>
      <c r="I2379">
        <v>138.61000000000001</v>
      </c>
      <c r="J2379">
        <v>51</v>
      </c>
      <c r="K2379">
        <v>5529.42</v>
      </c>
      <c r="L2379">
        <v>108.42</v>
      </c>
      <c r="M2379">
        <v>552</v>
      </c>
      <c r="N2379">
        <v>74971.27</v>
      </c>
      <c r="O2379">
        <v>135.82</v>
      </c>
    </row>
    <row r="2380" spans="1:15" x14ac:dyDescent="0.35">
      <c r="A2380" t="s">
        <v>2798</v>
      </c>
      <c r="B2380" t="s">
        <v>211</v>
      </c>
      <c r="C2380" t="s">
        <v>520</v>
      </c>
      <c r="D2380" t="s">
        <v>293</v>
      </c>
      <c r="E2380" t="s">
        <v>298</v>
      </c>
      <c r="F2380" t="s">
        <v>2801</v>
      </c>
      <c r="G2380">
        <v>283</v>
      </c>
      <c r="H2380">
        <v>42859.47</v>
      </c>
      <c r="I2380">
        <v>151.44999999999999</v>
      </c>
      <c r="J2380">
        <v>30</v>
      </c>
      <c r="K2380">
        <v>3918.3</v>
      </c>
      <c r="L2380">
        <v>130.61000000000001</v>
      </c>
      <c r="M2380">
        <v>313</v>
      </c>
      <c r="N2380">
        <v>46777.770000000004</v>
      </c>
      <c r="O2380">
        <v>149.44999999999999</v>
      </c>
    </row>
    <row r="2381" spans="1:15" x14ac:dyDescent="0.35">
      <c r="A2381" t="s">
        <v>2798</v>
      </c>
      <c r="B2381" t="s">
        <v>211</v>
      </c>
      <c r="C2381" t="s">
        <v>520</v>
      </c>
      <c r="D2381" t="s">
        <v>293</v>
      </c>
      <c r="E2381" t="s">
        <v>300</v>
      </c>
      <c r="F2381" t="s">
        <v>2802</v>
      </c>
      <c r="G2381">
        <v>10</v>
      </c>
      <c r="H2381">
        <v>1690.03</v>
      </c>
      <c r="I2381">
        <v>169</v>
      </c>
      <c r="J2381">
        <v>0</v>
      </c>
      <c r="K2381">
        <v>0</v>
      </c>
      <c r="L2381">
        <v>0</v>
      </c>
      <c r="M2381">
        <v>10</v>
      </c>
      <c r="N2381">
        <v>1690.03</v>
      </c>
      <c r="O2381">
        <v>169</v>
      </c>
    </row>
    <row r="2382" spans="1:15" x14ac:dyDescent="0.35">
      <c r="A2382" t="s">
        <v>2798</v>
      </c>
      <c r="B2382" t="s">
        <v>211</v>
      </c>
      <c r="C2382" t="s">
        <v>520</v>
      </c>
      <c r="D2382" t="s">
        <v>293</v>
      </c>
      <c r="E2382" t="s">
        <v>302</v>
      </c>
      <c r="F2382" t="s">
        <v>2803</v>
      </c>
      <c r="G2382">
        <v>0</v>
      </c>
      <c r="H2382">
        <v>0</v>
      </c>
      <c r="I2382">
        <v>0</v>
      </c>
      <c r="J2382">
        <v>0</v>
      </c>
      <c r="K2382">
        <v>0</v>
      </c>
      <c r="L2382">
        <v>0</v>
      </c>
      <c r="M2382">
        <v>0</v>
      </c>
      <c r="N2382">
        <v>0</v>
      </c>
      <c r="O2382">
        <v>0</v>
      </c>
    </row>
    <row r="2383" spans="1:15" x14ac:dyDescent="0.35">
      <c r="A2383" t="s">
        <v>2798</v>
      </c>
      <c r="B2383" t="s">
        <v>211</v>
      </c>
      <c r="C2383" t="s">
        <v>520</v>
      </c>
      <c r="D2383" t="s">
        <v>293</v>
      </c>
      <c r="E2383" t="s">
        <v>304</v>
      </c>
      <c r="F2383" t="s">
        <v>2804</v>
      </c>
      <c r="G2383">
        <v>0</v>
      </c>
      <c r="H2383">
        <v>0</v>
      </c>
      <c r="I2383">
        <v>0</v>
      </c>
      <c r="J2383">
        <v>0</v>
      </c>
      <c r="K2383">
        <v>0</v>
      </c>
      <c r="L2383">
        <v>0</v>
      </c>
      <c r="M2383">
        <v>0</v>
      </c>
      <c r="N2383">
        <v>0</v>
      </c>
      <c r="O2383">
        <v>0</v>
      </c>
    </row>
    <row r="2384" spans="1:15" x14ac:dyDescent="0.35">
      <c r="A2384" t="s">
        <v>2798</v>
      </c>
      <c r="B2384" t="s">
        <v>211</v>
      </c>
      <c r="C2384" t="s">
        <v>520</v>
      </c>
      <c r="D2384" t="s">
        <v>293</v>
      </c>
      <c r="E2384" t="s">
        <v>306</v>
      </c>
      <c r="F2384" t="s">
        <v>2805</v>
      </c>
      <c r="G2384">
        <v>0</v>
      </c>
      <c r="H2384">
        <v>0</v>
      </c>
      <c r="I2384">
        <v>0</v>
      </c>
      <c r="J2384">
        <v>0</v>
      </c>
      <c r="K2384">
        <v>0</v>
      </c>
      <c r="L2384">
        <v>0</v>
      </c>
      <c r="M2384">
        <v>0</v>
      </c>
      <c r="N2384">
        <v>0</v>
      </c>
      <c r="O2384">
        <v>0</v>
      </c>
    </row>
    <row r="2385" spans="1:15" x14ac:dyDescent="0.35">
      <c r="A2385" t="s">
        <v>2798</v>
      </c>
      <c r="B2385" t="s">
        <v>211</v>
      </c>
      <c r="C2385" t="s">
        <v>520</v>
      </c>
      <c r="D2385" t="s">
        <v>293</v>
      </c>
      <c r="E2385" t="s">
        <v>308</v>
      </c>
      <c r="F2385" t="s">
        <v>2806</v>
      </c>
      <c r="G2385">
        <v>0</v>
      </c>
      <c r="H2385">
        <v>0</v>
      </c>
      <c r="I2385">
        <v>0</v>
      </c>
      <c r="J2385">
        <v>0</v>
      </c>
      <c r="K2385">
        <v>0</v>
      </c>
      <c r="L2385">
        <v>0</v>
      </c>
      <c r="M2385">
        <v>0</v>
      </c>
      <c r="N2385">
        <v>0</v>
      </c>
      <c r="O2385">
        <v>0</v>
      </c>
    </row>
    <row r="2386" spans="1:15" x14ac:dyDescent="0.35">
      <c r="A2386" t="s">
        <v>2798</v>
      </c>
      <c r="B2386" t="s">
        <v>211</v>
      </c>
      <c r="C2386" t="s">
        <v>520</v>
      </c>
      <c r="D2386" t="s">
        <v>293</v>
      </c>
      <c r="E2386" t="s">
        <v>310</v>
      </c>
      <c r="F2386" t="s">
        <v>2807</v>
      </c>
      <c r="G2386">
        <v>962</v>
      </c>
      <c r="H2386">
        <v>133456.23000000001</v>
      </c>
      <c r="I2386">
        <v>138.72999999999999</v>
      </c>
      <c r="J2386">
        <v>81</v>
      </c>
      <c r="K2386">
        <v>9447.7200000000012</v>
      </c>
      <c r="L2386">
        <v>116.64</v>
      </c>
      <c r="M2386">
        <v>1043</v>
      </c>
      <c r="N2386">
        <v>142903.95000000001</v>
      </c>
      <c r="O2386">
        <v>137.01</v>
      </c>
    </row>
    <row r="2387" spans="1:15" x14ac:dyDescent="0.35">
      <c r="A2387" t="s">
        <v>2798</v>
      </c>
      <c r="B2387" t="s">
        <v>211</v>
      </c>
      <c r="C2387" t="s">
        <v>520</v>
      </c>
      <c r="D2387" t="s">
        <v>293</v>
      </c>
      <c r="E2387" t="s">
        <v>312</v>
      </c>
      <c r="F2387" t="s">
        <v>2808</v>
      </c>
      <c r="G2387">
        <v>962</v>
      </c>
      <c r="H2387">
        <v>133456.23000000001</v>
      </c>
      <c r="I2387">
        <v>138.72999999999999</v>
      </c>
      <c r="J2387">
        <v>81</v>
      </c>
      <c r="K2387">
        <v>9447.7200000000012</v>
      </c>
      <c r="L2387">
        <v>116.64</v>
      </c>
      <c r="M2387">
        <v>1043</v>
      </c>
      <c r="N2387">
        <v>142903.95000000001</v>
      </c>
      <c r="O2387">
        <v>137.01</v>
      </c>
    </row>
    <row r="2388" spans="1:15" x14ac:dyDescent="0.35">
      <c r="A2388" t="s">
        <v>2798</v>
      </c>
      <c r="B2388" t="s">
        <v>211</v>
      </c>
      <c r="C2388" t="s">
        <v>520</v>
      </c>
      <c r="D2388" t="s">
        <v>314</v>
      </c>
      <c r="E2388" t="s">
        <v>294</v>
      </c>
      <c r="F2388" t="s">
        <v>2809</v>
      </c>
      <c r="G2388">
        <v>27</v>
      </c>
      <c r="H2388">
        <v>6460.0199999999995</v>
      </c>
      <c r="I2388">
        <v>239.26</v>
      </c>
      <c r="J2388">
        <v>0</v>
      </c>
      <c r="K2388">
        <v>0</v>
      </c>
      <c r="L2388">
        <v>0</v>
      </c>
      <c r="M2388">
        <v>27</v>
      </c>
      <c r="N2388">
        <v>6460.0199999999995</v>
      </c>
      <c r="O2388">
        <v>239.26</v>
      </c>
    </row>
    <row r="2389" spans="1:15" x14ac:dyDescent="0.35">
      <c r="A2389" t="s">
        <v>2798</v>
      </c>
      <c r="B2389" t="s">
        <v>211</v>
      </c>
      <c r="C2389" t="s">
        <v>520</v>
      </c>
      <c r="D2389" t="s">
        <v>314</v>
      </c>
      <c r="E2389" t="s">
        <v>296</v>
      </c>
      <c r="F2389" t="s">
        <v>2810</v>
      </c>
      <c r="G2389">
        <v>3</v>
      </c>
      <c r="H2389">
        <v>691.86</v>
      </c>
      <c r="I2389">
        <v>230.62</v>
      </c>
      <c r="J2389">
        <v>0</v>
      </c>
      <c r="K2389">
        <v>0</v>
      </c>
      <c r="L2389">
        <v>0</v>
      </c>
      <c r="M2389">
        <v>3</v>
      </c>
      <c r="N2389">
        <v>691.86</v>
      </c>
      <c r="O2389">
        <v>230.62</v>
      </c>
    </row>
    <row r="2390" spans="1:15" x14ac:dyDescent="0.35">
      <c r="A2390" t="s">
        <v>2798</v>
      </c>
      <c r="B2390" t="s">
        <v>211</v>
      </c>
      <c r="C2390" t="s">
        <v>520</v>
      </c>
      <c r="D2390" t="s">
        <v>314</v>
      </c>
      <c r="E2390" t="s">
        <v>298</v>
      </c>
      <c r="F2390" t="s">
        <v>2811</v>
      </c>
      <c r="G2390">
        <v>0</v>
      </c>
      <c r="H2390">
        <v>0</v>
      </c>
      <c r="I2390">
        <v>0</v>
      </c>
      <c r="J2390">
        <v>0</v>
      </c>
      <c r="K2390">
        <v>0</v>
      </c>
      <c r="L2390">
        <v>0</v>
      </c>
      <c r="M2390">
        <v>0</v>
      </c>
      <c r="N2390">
        <v>0</v>
      </c>
      <c r="O2390">
        <v>0</v>
      </c>
    </row>
    <row r="2391" spans="1:15" x14ac:dyDescent="0.35">
      <c r="A2391" t="s">
        <v>2798</v>
      </c>
      <c r="B2391" t="s">
        <v>211</v>
      </c>
      <c r="C2391" t="s">
        <v>520</v>
      </c>
      <c r="D2391" t="s">
        <v>314</v>
      </c>
      <c r="E2391" t="s">
        <v>300</v>
      </c>
      <c r="F2391" t="s">
        <v>2812</v>
      </c>
      <c r="G2391">
        <v>0</v>
      </c>
      <c r="H2391">
        <v>0</v>
      </c>
      <c r="I2391">
        <v>0</v>
      </c>
      <c r="J2391">
        <v>0</v>
      </c>
      <c r="K2391">
        <v>0</v>
      </c>
      <c r="L2391">
        <v>0</v>
      </c>
      <c r="M2391">
        <v>0</v>
      </c>
      <c r="N2391">
        <v>0</v>
      </c>
      <c r="O2391">
        <v>0</v>
      </c>
    </row>
    <row r="2392" spans="1:15" x14ac:dyDescent="0.35">
      <c r="A2392" t="s">
        <v>2798</v>
      </c>
      <c r="B2392" t="s">
        <v>211</v>
      </c>
      <c r="C2392" t="s">
        <v>520</v>
      </c>
      <c r="D2392" t="s">
        <v>314</v>
      </c>
      <c r="E2392" t="s">
        <v>306</v>
      </c>
      <c r="F2392" t="s">
        <v>2813</v>
      </c>
      <c r="G2392">
        <v>0</v>
      </c>
      <c r="H2392">
        <v>0</v>
      </c>
      <c r="I2392">
        <v>0</v>
      </c>
      <c r="J2392">
        <v>0</v>
      </c>
      <c r="K2392">
        <v>0</v>
      </c>
      <c r="L2392">
        <v>0</v>
      </c>
      <c r="M2392">
        <v>0</v>
      </c>
      <c r="N2392">
        <v>0</v>
      </c>
      <c r="O2392">
        <v>0</v>
      </c>
    </row>
    <row r="2393" spans="1:15" x14ac:dyDescent="0.35">
      <c r="A2393" t="s">
        <v>2798</v>
      </c>
      <c r="B2393" t="s">
        <v>211</v>
      </c>
      <c r="C2393" t="s">
        <v>520</v>
      </c>
      <c r="D2393" t="s">
        <v>314</v>
      </c>
      <c r="E2393" t="s">
        <v>308</v>
      </c>
      <c r="F2393" t="s">
        <v>2814</v>
      </c>
      <c r="G2393">
        <v>2</v>
      </c>
      <c r="H2393">
        <v>452.54</v>
      </c>
      <c r="I2393">
        <v>226.27</v>
      </c>
      <c r="J2393">
        <v>0</v>
      </c>
      <c r="K2393">
        <v>0</v>
      </c>
      <c r="L2393">
        <v>0</v>
      </c>
      <c r="M2393">
        <v>2</v>
      </c>
      <c r="N2393">
        <v>452.54</v>
      </c>
      <c r="O2393">
        <v>226.27</v>
      </c>
    </row>
    <row r="2394" spans="1:15" x14ac:dyDescent="0.35">
      <c r="A2394" t="s">
        <v>2798</v>
      </c>
      <c r="B2394" t="s">
        <v>211</v>
      </c>
      <c r="C2394" t="s">
        <v>520</v>
      </c>
      <c r="D2394" t="s">
        <v>314</v>
      </c>
      <c r="E2394" t="s">
        <v>312</v>
      </c>
      <c r="F2394" t="s">
        <v>2815</v>
      </c>
      <c r="G2394">
        <v>30</v>
      </c>
      <c r="H2394">
        <v>7151.8799999999992</v>
      </c>
      <c r="I2394">
        <v>238.4</v>
      </c>
      <c r="J2394">
        <v>0</v>
      </c>
      <c r="K2394">
        <v>0</v>
      </c>
      <c r="L2394">
        <v>0</v>
      </c>
      <c r="M2394">
        <v>30</v>
      </c>
      <c r="N2394">
        <v>7151.8799999999992</v>
      </c>
      <c r="O2394">
        <v>238.4</v>
      </c>
    </row>
    <row r="2395" spans="1:15" x14ac:dyDescent="0.35">
      <c r="A2395" t="s">
        <v>2798</v>
      </c>
      <c r="B2395" t="s">
        <v>211</v>
      </c>
      <c r="C2395" t="s">
        <v>520</v>
      </c>
      <c r="D2395" t="s">
        <v>314</v>
      </c>
      <c r="E2395" t="s">
        <v>310</v>
      </c>
      <c r="F2395" t="s">
        <v>2816</v>
      </c>
      <c r="G2395">
        <v>32</v>
      </c>
      <c r="H2395">
        <v>7604.4199999999992</v>
      </c>
      <c r="I2395">
        <v>237.64</v>
      </c>
      <c r="J2395">
        <v>0</v>
      </c>
      <c r="K2395">
        <v>0</v>
      </c>
      <c r="L2395">
        <v>0</v>
      </c>
      <c r="M2395">
        <v>32</v>
      </c>
      <c r="N2395">
        <v>7604.4199999999992</v>
      </c>
      <c r="O2395">
        <v>237.64</v>
      </c>
    </row>
    <row r="2396" spans="1:15" x14ac:dyDescent="0.35">
      <c r="A2396" t="s">
        <v>2798</v>
      </c>
      <c r="B2396" t="s">
        <v>211</v>
      </c>
      <c r="C2396" t="s">
        <v>520</v>
      </c>
      <c r="D2396" t="s">
        <v>323</v>
      </c>
      <c r="E2396" t="s">
        <v>294</v>
      </c>
      <c r="F2396" t="s">
        <v>2817</v>
      </c>
      <c r="G2396">
        <v>1056</v>
      </c>
      <c r="H2396">
        <v>102743.14</v>
      </c>
      <c r="I2396">
        <v>97.29</v>
      </c>
      <c r="J2396">
        <v>1053</v>
      </c>
      <c r="K2396">
        <v>78290.549999999988</v>
      </c>
      <c r="L2396">
        <v>74.349999999999994</v>
      </c>
      <c r="M2396">
        <v>2109</v>
      </c>
      <c r="N2396">
        <v>181033.69</v>
      </c>
      <c r="O2396">
        <v>85.84</v>
      </c>
    </row>
    <row r="2397" spans="1:15" x14ac:dyDescent="0.35">
      <c r="A2397" t="s">
        <v>2798</v>
      </c>
      <c r="B2397" t="s">
        <v>211</v>
      </c>
      <c r="C2397" t="s">
        <v>520</v>
      </c>
      <c r="D2397" t="s">
        <v>323</v>
      </c>
      <c r="E2397" t="s">
        <v>296</v>
      </c>
      <c r="F2397" t="s">
        <v>2818</v>
      </c>
      <c r="G2397">
        <v>2560</v>
      </c>
      <c r="H2397">
        <v>291695.08999999997</v>
      </c>
      <c r="I2397">
        <v>113.94</v>
      </c>
      <c r="J2397">
        <v>637</v>
      </c>
      <c r="K2397">
        <v>53992.12</v>
      </c>
      <c r="L2397">
        <v>84.76</v>
      </c>
      <c r="M2397">
        <v>3197</v>
      </c>
      <c r="N2397">
        <v>345687.20999999996</v>
      </c>
      <c r="O2397">
        <v>108.13</v>
      </c>
    </row>
    <row r="2398" spans="1:15" x14ac:dyDescent="0.35">
      <c r="A2398" t="s">
        <v>2798</v>
      </c>
      <c r="B2398" t="s">
        <v>211</v>
      </c>
      <c r="C2398" t="s">
        <v>520</v>
      </c>
      <c r="D2398" t="s">
        <v>323</v>
      </c>
      <c r="E2398" t="s">
        <v>298</v>
      </c>
      <c r="F2398" t="s">
        <v>2819</v>
      </c>
      <c r="G2398">
        <v>2086</v>
      </c>
      <c r="H2398">
        <v>260017.52000000002</v>
      </c>
      <c r="I2398">
        <v>124.65</v>
      </c>
      <c r="J2398">
        <v>713</v>
      </c>
      <c r="K2398">
        <v>69032.659999999989</v>
      </c>
      <c r="L2398">
        <v>96.82</v>
      </c>
      <c r="M2398">
        <v>2799</v>
      </c>
      <c r="N2398">
        <v>329050.18</v>
      </c>
      <c r="O2398">
        <v>117.56</v>
      </c>
    </row>
    <row r="2399" spans="1:15" x14ac:dyDescent="0.35">
      <c r="A2399" t="s">
        <v>2798</v>
      </c>
      <c r="B2399" t="s">
        <v>211</v>
      </c>
      <c r="C2399" t="s">
        <v>520</v>
      </c>
      <c r="D2399" t="s">
        <v>323</v>
      </c>
      <c r="E2399" t="s">
        <v>300</v>
      </c>
      <c r="F2399" t="s">
        <v>2820</v>
      </c>
      <c r="G2399">
        <v>113</v>
      </c>
      <c r="H2399">
        <v>14932.43</v>
      </c>
      <c r="I2399">
        <v>132.15</v>
      </c>
      <c r="J2399">
        <v>72</v>
      </c>
      <c r="K2399">
        <v>7616.16</v>
      </c>
      <c r="L2399">
        <v>105.78</v>
      </c>
      <c r="M2399">
        <v>185</v>
      </c>
      <c r="N2399">
        <v>22548.59</v>
      </c>
      <c r="O2399">
        <v>121.88</v>
      </c>
    </row>
    <row r="2400" spans="1:15" x14ac:dyDescent="0.35">
      <c r="A2400" t="s">
        <v>2798</v>
      </c>
      <c r="B2400" t="s">
        <v>211</v>
      </c>
      <c r="C2400" t="s">
        <v>520</v>
      </c>
      <c r="D2400" t="s">
        <v>323</v>
      </c>
      <c r="E2400" t="s">
        <v>302</v>
      </c>
      <c r="F2400" t="s">
        <v>2821</v>
      </c>
      <c r="G2400">
        <v>3</v>
      </c>
      <c r="H2400">
        <v>459.28000000000003</v>
      </c>
      <c r="I2400">
        <v>153.09</v>
      </c>
      <c r="J2400">
        <v>3</v>
      </c>
      <c r="K2400">
        <v>335.4</v>
      </c>
      <c r="L2400">
        <v>111.8</v>
      </c>
      <c r="M2400">
        <v>6</v>
      </c>
      <c r="N2400">
        <v>794.68000000000006</v>
      </c>
      <c r="O2400">
        <v>132.44999999999999</v>
      </c>
    </row>
    <row r="2401" spans="1:15" x14ac:dyDescent="0.35">
      <c r="A2401" t="s">
        <v>2798</v>
      </c>
      <c r="B2401" t="s">
        <v>211</v>
      </c>
      <c r="C2401" t="s">
        <v>520</v>
      </c>
      <c r="D2401" t="s">
        <v>323</v>
      </c>
      <c r="E2401" t="s">
        <v>304</v>
      </c>
      <c r="F2401" t="s">
        <v>2822</v>
      </c>
      <c r="G2401">
        <v>0</v>
      </c>
      <c r="H2401">
        <v>0</v>
      </c>
      <c r="I2401">
        <v>0</v>
      </c>
      <c r="J2401">
        <v>0</v>
      </c>
      <c r="K2401">
        <v>0</v>
      </c>
      <c r="L2401">
        <v>0</v>
      </c>
      <c r="M2401">
        <v>0</v>
      </c>
      <c r="N2401">
        <v>0</v>
      </c>
      <c r="O2401">
        <v>0</v>
      </c>
    </row>
    <row r="2402" spans="1:15" x14ac:dyDescent="0.35">
      <c r="A2402" t="s">
        <v>2798</v>
      </c>
      <c r="B2402" t="s">
        <v>211</v>
      </c>
      <c r="C2402" t="s">
        <v>520</v>
      </c>
      <c r="D2402" t="s">
        <v>323</v>
      </c>
      <c r="E2402" t="s">
        <v>306</v>
      </c>
      <c r="F2402" t="s">
        <v>2823</v>
      </c>
      <c r="G2402">
        <v>57</v>
      </c>
      <c r="H2402">
        <v>4915.92</v>
      </c>
      <c r="I2402">
        <v>86.24</v>
      </c>
      <c r="J2402">
        <v>0</v>
      </c>
      <c r="K2402">
        <v>0</v>
      </c>
      <c r="L2402">
        <v>0</v>
      </c>
      <c r="M2402">
        <v>57</v>
      </c>
      <c r="N2402">
        <v>4915.92</v>
      </c>
      <c r="O2402">
        <v>86.24</v>
      </c>
    </row>
    <row r="2403" spans="1:15" x14ac:dyDescent="0.35">
      <c r="A2403" t="s">
        <v>2798</v>
      </c>
      <c r="B2403" t="s">
        <v>211</v>
      </c>
      <c r="C2403" t="s">
        <v>520</v>
      </c>
      <c r="D2403" t="s">
        <v>323</v>
      </c>
      <c r="E2403" t="s">
        <v>308</v>
      </c>
      <c r="F2403" t="s">
        <v>2824</v>
      </c>
      <c r="G2403">
        <v>0</v>
      </c>
      <c r="H2403">
        <v>0</v>
      </c>
      <c r="I2403">
        <v>0</v>
      </c>
      <c r="J2403">
        <v>0</v>
      </c>
      <c r="K2403">
        <v>0</v>
      </c>
      <c r="L2403">
        <v>0</v>
      </c>
      <c r="M2403">
        <v>0</v>
      </c>
      <c r="N2403">
        <v>0</v>
      </c>
      <c r="O2403">
        <v>0</v>
      </c>
    </row>
    <row r="2404" spans="1:15" x14ac:dyDescent="0.35">
      <c r="A2404" t="s">
        <v>2798</v>
      </c>
      <c r="B2404" t="s">
        <v>211</v>
      </c>
      <c r="C2404" t="s">
        <v>520</v>
      </c>
      <c r="D2404" t="s">
        <v>323</v>
      </c>
      <c r="E2404" t="s">
        <v>310</v>
      </c>
      <c r="F2404" t="s">
        <v>2825</v>
      </c>
      <c r="G2404">
        <v>5875</v>
      </c>
      <c r="H2404">
        <v>674763.38000000012</v>
      </c>
      <c r="I2404">
        <v>114.85</v>
      </c>
      <c r="J2404">
        <v>2478</v>
      </c>
      <c r="K2404">
        <v>209266.88999999996</v>
      </c>
      <c r="L2404">
        <v>84.45</v>
      </c>
      <c r="M2404">
        <v>8353</v>
      </c>
      <c r="N2404">
        <v>884030.27</v>
      </c>
      <c r="O2404">
        <v>105.83</v>
      </c>
    </row>
    <row r="2405" spans="1:15" x14ac:dyDescent="0.35">
      <c r="A2405" t="s">
        <v>2798</v>
      </c>
      <c r="B2405" t="s">
        <v>211</v>
      </c>
      <c r="C2405" t="s">
        <v>520</v>
      </c>
      <c r="D2405" t="s">
        <v>323</v>
      </c>
      <c r="E2405" t="s">
        <v>312</v>
      </c>
      <c r="F2405" t="s">
        <v>2826</v>
      </c>
      <c r="G2405">
        <v>5875</v>
      </c>
      <c r="H2405">
        <v>674763.38000000012</v>
      </c>
      <c r="I2405">
        <v>114.85</v>
      </c>
      <c r="J2405">
        <v>2478</v>
      </c>
      <c r="K2405">
        <v>209266.88999999996</v>
      </c>
      <c r="L2405">
        <v>84.45</v>
      </c>
      <c r="M2405">
        <v>8353</v>
      </c>
      <c r="N2405">
        <v>884030.27</v>
      </c>
      <c r="O2405">
        <v>105.83</v>
      </c>
    </row>
    <row r="2406" spans="1:15" x14ac:dyDescent="0.35">
      <c r="A2406" t="s">
        <v>2798</v>
      </c>
      <c r="B2406" t="s">
        <v>211</v>
      </c>
      <c r="C2406" t="s">
        <v>520</v>
      </c>
      <c r="D2406" t="s">
        <v>334</v>
      </c>
      <c r="E2406" t="s">
        <v>312</v>
      </c>
      <c r="F2406" t="s">
        <v>2827</v>
      </c>
      <c r="G2406">
        <v>6991</v>
      </c>
      <c r="H2406">
        <v>808219.6100000001</v>
      </c>
      <c r="I2406">
        <v>118.21</v>
      </c>
      <c r="J2406">
        <v>2559</v>
      </c>
      <c r="K2406">
        <v>218714.61</v>
      </c>
      <c r="L2406">
        <v>85.47</v>
      </c>
      <c r="M2406">
        <v>9550</v>
      </c>
      <c r="N2406">
        <v>1026934.2200000001</v>
      </c>
      <c r="O2406">
        <v>109.29</v>
      </c>
    </row>
    <row r="2407" spans="1:15" x14ac:dyDescent="0.35">
      <c r="A2407" t="s">
        <v>2798</v>
      </c>
      <c r="B2407" t="s">
        <v>211</v>
      </c>
      <c r="C2407" t="s">
        <v>520</v>
      </c>
      <c r="D2407" t="s">
        <v>334</v>
      </c>
      <c r="E2407" t="s">
        <v>308</v>
      </c>
      <c r="F2407" t="s">
        <v>2828</v>
      </c>
      <c r="G2407">
        <v>0</v>
      </c>
      <c r="H2407">
        <v>0</v>
      </c>
      <c r="I2407">
        <v>0</v>
      </c>
      <c r="J2407">
        <v>0</v>
      </c>
      <c r="K2407">
        <v>0</v>
      </c>
      <c r="L2407">
        <v>0</v>
      </c>
      <c r="M2407">
        <v>0</v>
      </c>
      <c r="N2407">
        <v>0</v>
      </c>
      <c r="O2407">
        <v>0</v>
      </c>
    </row>
    <row r="2408" spans="1:15" x14ac:dyDescent="0.35">
      <c r="A2408" t="s">
        <v>2798</v>
      </c>
      <c r="B2408" t="s">
        <v>211</v>
      </c>
      <c r="C2408" t="s">
        <v>520</v>
      </c>
      <c r="D2408" t="s">
        <v>337</v>
      </c>
      <c r="E2408" t="s">
        <v>337</v>
      </c>
      <c r="F2408" t="s">
        <v>2829</v>
      </c>
      <c r="G2408">
        <v>727</v>
      </c>
      <c r="J2408">
        <v>0</v>
      </c>
      <c r="M2408">
        <v>727</v>
      </c>
    </row>
    <row r="2409" spans="1:15" x14ac:dyDescent="0.35">
      <c r="A2409" t="s">
        <v>2798</v>
      </c>
      <c r="B2409" t="s">
        <v>211</v>
      </c>
      <c r="C2409" t="s">
        <v>520</v>
      </c>
      <c r="D2409" t="s">
        <v>339</v>
      </c>
      <c r="E2409" t="s">
        <v>294</v>
      </c>
      <c r="F2409" t="s">
        <v>2830</v>
      </c>
      <c r="G2409">
        <v>845</v>
      </c>
      <c r="H2409">
        <v>97930.039999999979</v>
      </c>
      <c r="I2409">
        <v>115.89</v>
      </c>
      <c r="J2409">
        <v>0</v>
      </c>
      <c r="K2409">
        <v>0</v>
      </c>
      <c r="L2409">
        <v>0</v>
      </c>
      <c r="M2409">
        <v>845</v>
      </c>
      <c r="N2409">
        <v>97930.039999999979</v>
      </c>
      <c r="O2409">
        <v>115.89</v>
      </c>
    </row>
    <row r="2410" spans="1:15" x14ac:dyDescent="0.35">
      <c r="A2410" t="s">
        <v>2798</v>
      </c>
      <c r="B2410" t="s">
        <v>211</v>
      </c>
      <c r="C2410" t="s">
        <v>520</v>
      </c>
      <c r="D2410" t="s">
        <v>339</v>
      </c>
      <c r="E2410" t="s">
        <v>296</v>
      </c>
      <c r="F2410" t="s">
        <v>2831</v>
      </c>
      <c r="G2410">
        <v>228</v>
      </c>
      <c r="H2410">
        <v>28111.32</v>
      </c>
      <c r="I2410">
        <v>123.3</v>
      </c>
      <c r="J2410">
        <v>0</v>
      </c>
      <c r="K2410">
        <v>0</v>
      </c>
      <c r="L2410">
        <v>0</v>
      </c>
      <c r="M2410">
        <v>228</v>
      </c>
      <c r="N2410">
        <v>28111.32</v>
      </c>
      <c r="O2410">
        <v>123.3</v>
      </c>
    </row>
    <row r="2411" spans="1:15" x14ac:dyDescent="0.35">
      <c r="A2411" t="s">
        <v>2798</v>
      </c>
      <c r="B2411" t="s">
        <v>211</v>
      </c>
      <c r="C2411" t="s">
        <v>520</v>
      </c>
      <c r="D2411" t="s">
        <v>339</v>
      </c>
      <c r="E2411" t="s">
        <v>298</v>
      </c>
      <c r="F2411" t="s">
        <v>2832</v>
      </c>
      <c r="G2411">
        <v>7</v>
      </c>
      <c r="H2411">
        <v>1074.21</v>
      </c>
      <c r="I2411">
        <v>153.46</v>
      </c>
      <c r="J2411">
        <v>0</v>
      </c>
      <c r="K2411">
        <v>0</v>
      </c>
      <c r="L2411">
        <v>0</v>
      </c>
      <c r="M2411">
        <v>7</v>
      </c>
      <c r="N2411">
        <v>1074.21</v>
      </c>
      <c r="O2411">
        <v>153.46</v>
      </c>
    </row>
    <row r="2412" spans="1:15" x14ac:dyDescent="0.35">
      <c r="A2412" t="s">
        <v>2798</v>
      </c>
      <c r="B2412" t="s">
        <v>211</v>
      </c>
      <c r="C2412" t="s">
        <v>520</v>
      </c>
      <c r="D2412" t="s">
        <v>339</v>
      </c>
      <c r="E2412" t="s">
        <v>300</v>
      </c>
      <c r="F2412" t="s">
        <v>2833</v>
      </c>
      <c r="G2412">
        <v>0</v>
      </c>
      <c r="H2412">
        <v>0</v>
      </c>
      <c r="I2412">
        <v>0</v>
      </c>
      <c r="J2412">
        <v>0</v>
      </c>
      <c r="K2412">
        <v>0</v>
      </c>
      <c r="L2412">
        <v>0</v>
      </c>
      <c r="M2412">
        <v>0</v>
      </c>
      <c r="N2412">
        <v>0</v>
      </c>
      <c r="O2412">
        <v>0</v>
      </c>
    </row>
    <row r="2413" spans="1:15" x14ac:dyDescent="0.35">
      <c r="A2413" t="s">
        <v>2798</v>
      </c>
      <c r="B2413" t="s">
        <v>211</v>
      </c>
      <c r="C2413" t="s">
        <v>520</v>
      </c>
      <c r="D2413" t="s">
        <v>339</v>
      </c>
      <c r="E2413" t="s">
        <v>306</v>
      </c>
      <c r="F2413" t="s">
        <v>2834</v>
      </c>
      <c r="G2413">
        <v>117</v>
      </c>
      <c r="H2413">
        <v>10698.039999999999</v>
      </c>
      <c r="I2413">
        <v>91.44</v>
      </c>
      <c r="J2413">
        <v>0</v>
      </c>
      <c r="K2413">
        <v>0</v>
      </c>
      <c r="L2413">
        <v>0</v>
      </c>
      <c r="M2413">
        <v>117</v>
      </c>
      <c r="N2413">
        <v>10698.039999999999</v>
      </c>
      <c r="O2413">
        <v>91.44</v>
      </c>
    </row>
    <row r="2414" spans="1:15" x14ac:dyDescent="0.35">
      <c r="A2414" t="s">
        <v>2798</v>
      </c>
      <c r="B2414" t="s">
        <v>211</v>
      </c>
      <c r="C2414" t="s">
        <v>520</v>
      </c>
      <c r="D2414" t="s">
        <v>339</v>
      </c>
      <c r="E2414" t="s">
        <v>308</v>
      </c>
      <c r="F2414" t="s">
        <v>2835</v>
      </c>
      <c r="G2414">
        <v>120</v>
      </c>
      <c r="H2414">
        <v>14778.68</v>
      </c>
      <c r="I2414">
        <v>123.16</v>
      </c>
      <c r="J2414">
        <v>0</v>
      </c>
      <c r="K2414">
        <v>0</v>
      </c>
      <c r="L2414">
        <v>0</v>
      </c>
      <c r="M2414">
        <v>120</v>
      </c>
      <c r="N2414">
        <v>14778.68</v>
      </c>
      <c r="O2414">
        <v>123.16</v>
      </c>
    </row>
    <row r="2415" spans="1:15" x14ac:dyDescent="0.35">
      <c r="A2415" t="s">
        <v>2798</v>
      </c>
      <c r="B2415" t="s">
        <v>211</v>
      </c>
      <c r="C2415" t="s">
        <v>520</v>
      </c>
      <c r="D2415" t="s">
        <v>339</v>
      </c>
      <c r="E2415" t="s">
        <v>310</v>
      </c>
      <c r="F2415" t="s">
        <v>2836</v>
      </c>
      <c r="G2415">
        <v>1317</v>
      </c>
      <c r="H2415">
        <v>152592.28999999998</v>
      </c>
      <c r="I2415">
        <v>115.86</v>
      </c>
      <c r="J2415">
        <v>0</v>
      </c>
      <c r="K2415">
        <v>0</v>
      </c>
      <c r="L2415">
        <v>0</v>
      </c>
      <c r="M2415">
        <v>1317</v>
      </c>
      <c r="N2415">
        <v>152592.28999999998</v>
      </c>
      <c r="O2415">
        <v>115.86</v>
      </c>
    </row>
    <row r="2416" spans="1:15" x14ac:dyDescent="0.35">
      <c r="A2416" t="s">
        <v>2798</v>
      </c>
      <c r="B2416" t="s">
        <v>211</v>
      </c>
      <c r="C2416" t="s">
        <v>520</v>
      </c>
      <c r="D2416" t="s">
        <v>339</v>
      </c>
      <c r="E2416" t="s">
        <v>312</v>
      </c>
      <c r="F2416" t="s">
        <v>2837</v>
      </c>
      <c r="G2416">
        <v>1197</v>
      </c>
      <c r="H2416">
        <v>137813.60999999999</v>
      </c>
      <c r="I2416">
        <v>115.13</v>
      </c>
      <c r="J2416">
        <v>0</v>
      </c>
      <c r="K2416">
        <v>0</v>
      </c>
      <c r="L2416">
        <v>0</v>
      </c>
      <c r="M2416">
        <v>1197</v>
      </c>
      <c r="N2416">
        <v>137813.60999999999</v>
      </c>
      <c r="O2416">
        <v>115.13</v>
      </c>
    </row>
    <row r="2417" spans="1:15" x14ac:dyDescent="0.35">
      <c r="A2417" t="s">
        <v>2798</v>
      </c>
      <c r="B2417" t="s">
        <v>211</v>
      </c>
      <c r="C2417" t="s">
        <v>520</v>
      </c>
      <c r="D2417" t="s">
        <v>348</v>
      </c>
      <c r="E2417" t="s">
        <v>349</v>
      </c>
      <c r="F2417" t="s">
        <v>2838</v>
      </c>
      <c r="G2417">
        <v>1488</v>
      </c>
      <c r="H2417">
        <v>160196.70999999996</v>
      </c>
      <c r="I2417">
        <v>118.75</v>
      </c>
      <c r="J2417">
        <v>0</v>
      </c>
      <c r="K2417">
        <v>0</v>
      </c>
      <c r="L2417">
        <v>0</v>
      </c>
      <c r="M2417">
        <v>1488</v>
      </c>
      <c r="N2417">
        <v>160196.70999999996</v>
      </c>
      <c r="O2417">
        <v>118.75</v>
      </c>
    </row>
    <row r="2418" spans="1:15" x14ac:dyDescent="0.35">
      <c r="A2418" t="s">
        <v>2839</v>
      </c>
      <c r="B2418" t="s">
        <v>2840</v>
      </c>
      <c r="C2418" t="s">
        <v>688</v>
      </c>
      <c r="D2418" t="s">
        <v>293</v>
      </c>
      <c r="E2418" t="s">
        <v>294</v>
      </c>
      <c r="F2418" t="s">
        <v>2841</v>
      </c>
      <c r="G2418">
        <v>1081</v>
      </c>
      <c r="H2418">
        <v>122681.38</v>
      </c>
      <c r="I2418">
        <v>113.49</v>
      </c>
      <c r="J2418">
        <v>15</v>
      </c>
      <c r="K2418">
        <v>1771.5</v>
      </c>
      <c r="L2418">
        <v>118.1</v>
      </c>
      <c r="M2418">
        <v>1096</v>
      </c>
      <c r="N2418">
        <v>124452.88</v>
      </c>
      <c r="O2418">
        <v>113.55</v>
      </c>
    </row>
    <row r="2419" spans="1:15" x14ac:dyDescent="0.35">
      <c r="A2419" t="s">
        <v>2839</v>
      </c>
      <c r="B2419" t="s">
        <v>2840</v>
      </c>
      <c r="C2419" t="s">
        <v>688</v>
      </c>
      <c r="D2419" t="s">
        <v>293</v>
      </c>
      <c r="E2419" t="s">
        <v>296</v>
      </c>
      <c r="F2419" t="s">
        <v>2842</v>
      </c>
      <c r="G2419">
        <v>3270</v>
      </c>
      <c r="H2419">
        <v>450840.25999999995</v>
      </c>
      <c r="I2419">
        <v>137.87</v>
      </c>
      <c r="J2419">
        <v>79</v>
      </c>
      <c r="K2419">
        <v>10689.49</v>
      </c>
      <c r="L2419">
        <v>135.31</v>
      </c>
      <c r="M2419">
        <v>3349</v>
      </c>
      <c r="N2419">
        <v>461529.74999999994</v>
      </c>
      <c r="O2419">
        <v>137.81</v>
      </c>
    </row>
    <row r="2420" spans="1:15" x14ac:dyDescent="0.35">
      <c r="A2420" t="s">
        <v>2839</v>
      </c>
      <c r="B2420" t="s">
        <v>2840</v>
      </c>
      <c r="C2420" t="s">
        <v>688</v>
      </c>
      <c r="D2420" t="s">
        <v>293</v>
      </c>
      <c r="E2420" t="s">
        <v>298</v>
      </c>
      <c r="F2420" t="s">
        <v>2843</v>
      </c>
      <c r="G2420">
        <v>1606</v>
      </c>
      <c r="H2420">
        <v>248091.16</v>
      </c>
      <c r="I2420">
        <v>154.47999999999999</v>
      </c>
      <c r="J2420">
        <v>30</v>
      </c>
      <c r="K2420">
        <v>4943.7</v>
      </c>
      <c r="L2420">
        <v>164.79</v>
      </c>
      <c r="M2420">
        <v>1636</v>
      </c>
      <c r="N2420">
        <v>253034.86000000002</v>
      </c>
      <c r="O2420">
        <v>154.66999999999999</v>
      </c>
    </row>
    <row r="2421" spans="1:15" x14ac:dyDescent="0.35">
      <c r="A2421" t="s">
        <v>2839</v>
      </c>
      <c r="B2421" t="s">
        <v>2840</v>
      </c>
      <c r="C2421" t="s">
        <v>688</v>
      </c>
      <c r="D2421" t="s">
        <v>293</v>
      </c>
      <c r="E2421" t="s">
        <v>300</v>
      </c>
      <c r="F2421" t="s">
        <v>2844</v>
      </c>
      <c r="G2421">
        <v>98</v>
      </c>
      <c r="H2421">
        <v>18625.570000000003</v>
      </c>
      <c r="I2421">
        <v>190.06</v>
      </c>
      <c r="J2421">
        <v>7</v>
      </c>
      <c r="K2421">
        <v>1102.5</v>
      </c>
      <c r="L2421">
        <v>157.5</v>
      </c>
      <c r="M2421">
        <v>105</v>
      </c>
      <c r="N2421">
        <v>19728.070000000003</v>
      </c>
      <c r="O2421">
        <v>187.89</v>
      </c>
    </row>
    <row r="2422" spans="1:15" x14ac:dyDescent="0.35">
      <c r="A2422" t="s">
        <v>2839</v>
      </c>
      <c r="B2422" t="s">
        <v>2840</v>
      </c>
      <c r="C2422" t="s">
        <v>688</v>
      </c>
      <c r="D2422" t="s">
        <v>293</v>
      </c>
      <c r="E2422" t="s">
        <v>302</v>
      </c>
      <c r="F2422" t="s">
        <v>2845</v>
      </c>
      <c r="G2422">
        <v>2</v>
      </c>
      <c r="H2422">
        <v>248</v>
      </c>
      <c r="I2422">
        <v>124</v>
      </c>
      <c r="J2422">
        <v>0</v>
      </c>
      <c r="K2422">
        <v>0</v>
      </c>
      <c r="L2422">
        <v>0</v>
      </c>
      <c r="M2422">
        <v>2</v>
      </c>
      <c r="N2422">
        <v>248</v>
      </c>
      <c r="O2422">
        <v>124</v>
      </c>
    </row>
    <row r="2423" spans="1:15" x14ac:dyDescent="0.35">
      <c r="A2423" t="s">
        <v>2839</v>
      </c>
      <c r="B2423" t="s">
        <v>2840</v>
      </c>
      <c r="C2423" t="s">
        <v>688</v>
      </c>
      <c r="D2423" t="s">
        <v>293</v>
      </c>
      <c r="E2423" t="s">
        <v>304</v>
      </c>
      <c r="F2423" t="s">
        <v>2846</v>
      </c>
      <c r="G2423">
        <v>0</v>
      </c>
      <c r="H2423">
        <v>0</v>
      </c>
      <c r="I2423">
        <v>0</v>
      </c>
      <c r="J2423">
        <v>1</v>
      </c>
      <c r="K2423">
        <v>270.95</v>
      </c>
      <c r="L2423">
        <v>270.95</v>
      </c>
      <c r="M2423">
        <v>1</v>
      </c>
      <c r="N2423">
        <v>270.95</v>
      </c>
      <c r="O2423">
        <v>270.95</v>
      </c>
    </row>
    <row r="2424" spans="1:15" x14ac:dyDescent="0.35">
      <c r="A2424" t="s">
        <v>2839</v>
      </c>
      <c r="B2424" t="s">
        <v>2840</v>
      </c>
      <c r="C2424" t="s">
        <v>688</v>
      </c>
      <c r="D2424" t="s">
        <v>293</v>
      </c>
      <c r="E2424" t="s">
        <v>306</v>
      </c>
      <c r="F2424" t="s">
        <v>2847</v>
      </c>
      <c r="G2424">
        <v>3</v>
      </c>
      <c r="H2424">
        <v>341.47</v>
      </c>
      <c r="I2424">
        <v>113.82</v>
      </c>
      <c r="J2424">
        <v>0</v>
      </c>
      <c r="K2424">
        <v>0</v>
      </c>
      <c r="L2424">
        <v>0</v>
      </c>
      <c r="M2424">
        <v>3</v>
      </c>
      <c r="N2424">
        <v>341.47</v>
      </c>
      <c r="O2424">
        <v>113.82</v>
      </c>
    </row>
    <row r="2425" spans="1:15" x14ac:dyDescent="0.35">
      <c r="A2425" t="s">
        <v>2839</v>
      </c>
      <c r="B2425" t="s">
        <v>2840</v>
      </c>
      <c r="C2425" t="s">
        <v>688</v>
      </c>
      <c r="D2425" t="s">
        <v>293</v>
      </c>
      <c r="E2425" t="s">
        <v>308</v>
      </c>
      <c r="F2425" t="s">
        <v>2848</v>
      </c>
      <c r="G2425">
        <v>0</v>
      </c>
      <c r="H2425">
        <v>0</v>
      </c>
      <c r="I2425">
        <v>0</v>
      </c>
      <c r="J2425">
        <v>0</v>
      </c>
      <c r="K2425">
        <v>0</v>
      </c>
      <c r="L2425">
        <v>0</v>
      </c>
      <c r="M2425">
        <v>0</v>
      </c>
      <c r="N2425">
        <v>0</v>
      </c>
      <c r="O2425">
        <v>0</v>
      </c>
    </row>
    <row r="2426" spans="1:15" x14ac:dyDescent="0.35">
      <c r="A2426" t="s">
        <v>2839</v>
      </c>
      <c r="B2426" t="s">
        <v>2840</v>
      </c>
      <c r="C2426" t="s">
        <v>688</v>
      </c>
      <c r="D2426" t="s">
        <v>293</v>
      </c>
      <c r="E2426" t="s">
        <v>310</v>
      </c>
      <c r="F2426" t="s">
        <v>2849</v>
      </c>
      <c r="G2426">
        <v>6060</v>
      </c>
      <c r="H2426">
        <v>840827.83999999985</v>
      </c>
      <c r="I2426">
        <v>138.75</v>
      </c>
      <c r="J2426">
        <v>132</v>
      </c>
      <c r="K2426">
        <v>18778.14</v>
      </c>
      <c r="L2426">
        <v>142.26</v>
      </c>
      <c r="M2426">
        <v>6192</v>
      </c>
      <c r="N2426">
        <v>859605.97999999986</v>
      </c>
      <c r="O2426">
        <v>138.83000000000001</v>
      </c>
    </row>
    <row r="2427" spans="1:15" x14ac:dyDescent="0.35">
      <c r="A2427" t="s">
        <v>2839</v>
      </c>
      <c r="B2427" t="s">
        <v>2840</v>
      </c>
      <c r="C2427" t="s">
        <v>688</v>
      </c>
      <c r="D2427" t="s">
        <v>293</v>
      </c>
      <c r="E2427" t="s">
        <v>312</v>
      </c>
      <c r="F2427" t="s">
        <v>2850</v>
      </c>
      <c r="G2427">
        <v>6060</v>
      </c>
      <c r="H2427">
        <v>840827.83999999985</v>
      </c>
      <c r="I2427">
        <v>138.75</v>
      </c>
      <c r="J2427">
        <v>132</v>
      </c>
      <c r="K2427">
        <v>18778.14</v>
      </c>
      <c r="L2427">
        <v>142.26</v>
      </c>
      <c r="M2427">
        <v>6192</v>
      </c>
      <c r="N2427">
        <v>859605.97999999986</v>
      </c>
      <c r="O2427">
        <v>138.83000000000001</v>
      </c>
    </row>
    <row r="2428" spans="1:15" x14ac:dyDescent="0.35">
      <c r="A2428" t="s">
        <v>2839</v>
      </c>
      <c r="B2428" t="s">
        <v>2840</v>
      </c>
      <c r="C2428" t="s">
        <v>688</v>
      </c>
      <c r="D2428" t="s">
        <v>314</v>
      </c>
      <c r="E2428" t="s">
        <v>294</v>
      </c>
      <c r="F2428" t="s">
        <v>2851</v>
      </c>
      <c r="G2428">
        <v>132</v>
      </c>
      <c r="H2428">
        <v>38040.54</v>
      </c>
      <c r="I2428">
        <v>288.19</v>
      </c>
      <c r="J2428">
        <v>0</v>
      </c>
      <c r="K2428">
        <v>0</v>
      </c>
      <c r="L2428">
        <v>0</v>
      </c>
      <c r="M2428">
        <v>132</v>
      </c>
      <c r="N2428">
        <v>38040.54</v>
      </c>
      <c r="O2428">
        <v>288.19</v>
      </c>
    </row>
    <row r="2429" spans="1:15" x14ac:dyDescent="0.35">
      <c r="A2429" t="s">
        <v>2839</v>
      </c>
      <c r="B2429" t="s">
        <v>2840</v>
      </c>
      <c r="C2429" t="s">
        <v>688</v>
      </c>
      <c r="D2429" t="s">
        <v>314</v>
      </c>
      <c r="E2429" t="s">
        <v>296</v>
      </c>
      <c r="F2429" t="s">
        <v>2852</v>
      </c>
      <c r="G2429">
        <v>202</v>
      </c>
      <c r="H2429">
        <v>63719.939999999995</v>
      </c>
      <c r="I2429">
        <v>315.45</v>
      </c>
      <c r="J2429">
        <v>0</v>
      </c>
      <c r="K2429">
        <v>0</v>
      </c>
      <c r="L2429">
        <v>0</v>
      </c>
      <c r="M2429">
        <v>202</v>
      </c>
      <c r="N2429">
        <v>63719.939999999995</v>
      </c>
      <c r="O2429">
        <v>315.45</v>
      </c>
    </row>
    <row r="2430" spans="1:15" x14ac:dyDescent="0.35">
      <c r="A2430" t="s">
        <v>2839</v>
      </c>
      <c r="B2430" t="s">
        <v>2840</v>
      </c>
      <c r="C2430" t="s">
        <v>688</v>
      </c>
      <c r="D2430" t="s">
        <v>314</v>
      </c>
      <c r="E2430" t="s">
        <v>298</v>
      </c>
      <c r="F2430" t="s">
        <v>2853</v>
      </c>
      <c r="G2430">
        <v>0</v>
      </c>
      <c r="H2430">
        <v>0</v>
      </c>
      <c r="I2430">
        <v>0</v>
      </c>
      <c r="J2430">
        <v>0</v>
      </c>
      <c r="K2430">
        <v>0</v>
      </c>
      <c r="L2430">
        <v>0</v>
      </c>
      <c r="M2430">
        <v>0</v>
      </c>
      <c r="N2430">
        <v>0</v>
      </c>
      <c r="O2430">
        <v>0</v>
      </c>
    </row>
    <row r="2431" spans="1:15" x14ac:dyDescent="0.35">
      <c r="A2431" t="s">
        <v>2839</v>
      </c>
      <c r="B2431" t="s">
        <v>2840</v>
      </c>
      <c r="C2431" t="s">
        <v>688</v>
      </c>
      <c r="D2431" t="s">
        <v>314</v>
      </c>
      <c r="E2431" t="s">
        <v>300</v>
      </c>
      <c r="F2431" t="s">
        <v>2854</v>
      </c>
      <c r="G2431">
        <v>0</v>
      </c>
      <c r="H2431">
        <v>0</v>
      </c>
      <c r="I2431">
        <v>0</v>
      </c>
      <c r="J2431">
        <v>0</v>
      </c>
      <c r="K2431">
        <v>0</v>
      </c>
      <c r="L2431">
        <v>0</v>
      </c>
      <c r="M2431">
        <v>0</v>
      </c>
      <c r="N2431">
        <v>0</v>
      </c>
      <c r="O2431">
        <v>0</v>
      </c>
    </row>
    <row r="2432" spans="1:15" x14ac:dyDescent="0.35">
      <c r="A2432" t="s">
        <v>2839</v>
      </c>
      <c r="B2432" t="s">
        <v>2840</v>
      </c>
      <c r="C2432" t="s">
        <v>688</v>
      </c>
      <c r="D2432" t="s">
        <v>314</v>
      </c>
      <c r="E2432" t="s">
        <v>306</v>
      </c>
      <c r="F2432" t="s">
        <v>2855</v>
      </c>
      <c r="G2432">
        <v>0</v>
      </c>
      <c r="H2432">
        <v>0</v>
      </c>
      <c r="I2432">
        <v>0</v>
      </c>
      <c r="J2432">
        <v>0</v>
      </c>
      <c r="K2432">
        <v>0</v>
      </c>
      <c r="L2432">
        <v>0</v>
      </c>
      <c r="M2432">
        <v>0</v>
      </c>
      <c r="N2432">
        <v>0</v>
      </c>
      <c r="O2432">
        <v>0</v>
      </c>
    </row>
    <row r="2433" spans="1:15" x14ac:dyDescent="0.35">
      <c r="A2433" t="s">
        <v>2839</v>
      </c>
      <c r="B2433" t="s">
        <v>2840</v>
      </c>
      <c r="C2433" t="s">
        <v>688</v>
      </c>
      <c r="D2433" t="s">
        <v>314</v>
      </c>
      <c r="E2433" t="s">
        <v>308</v>
      </c>
      <c r="F2433" t="s">
        <v>2856</v>
      </c>
      <c r="G2433">
        <v>14</v>
      </c>
      <c r="H2433">
        <v>1860.0400000000002</v>
      </c>
      <c r="I2433">
        <v>132.86000000000001</v>
      </c>
      <c r="J2433">
        <v>0</v>
      </c>
      <c r="K2433">
        <v>0</v>
      </c>
      <c r="L2433">
        <v>0</v>
      </c>
      <c r="M2433">
        <v>14</v>
      </c>
      <c r="N2433">
        <v>1860.0400000000002</v>
      </c>
      <c r="O2433">
        <v>132.86000000000001</v>
      </c>
    </row>
    <row r="2434" spans="1:15" x14ac:dyDescent="0.35">
      <c r="A2434" t="s">
        <v>2839</v>
      </c>
      <c r="B2434" t="s">
        <v>2840</v>
      </c>
      <c r="C2434" t="s">
        <v>688</v>
      </c>
      <c r="D2434" t="s">
        <v>314</v>
      </c>
      <c r="E2434" t="s">
        <v>312</v>
      </c>
      <c r="F2434" t="s">
        <v>2857</v>
      </c>
      <c r="G2434">
        <v>334</v>
      </c>
      <c r="H2434">
        <v>101760.48</v>
      </c>
      <c r="I2434">
        <v>304.67</v>
      </c>
      <c r="J2434">
        <v>0</v>
      </c>
      <c r="K2434">
        <v>0</v>
      </c>
      <c r="L2434">
        <v>0</v>
      </c>
      <c r="M2434">
        <v>334</v>
      </c>
      <c r="N2434">
        <v>101760.48</v>
      </c>
      <c r="O2434">
        <v>304.67</v>
      </c>
    </row>
    <row r="2435" spans="1:15" x14ac:dyDescent="0.35">
      <c r="A2435" t="s">
        <v>2839</v>
      </c>
      <c r="B2435" t="s">
        <v>2840</v>
      </c>
      <c r="C2435" t="s">
        <v>688</v>
      </c>
      <c r="D2435" t="s">
        <v>314</v>
      </c>
      <c r="E2435" t="s">
        <v>310</v>
      </c>
      <c r="F2435" t="s">
        <v>2858</v>
      </c>
      <c r="G2435">
        <v>348</v>
      </c>
      <c r="H2435">
        <v>103620.51999999999</v>
      </c>
      <c r="I2435">
        <v>297.76</v>
      </c>
      <c r="J2435">
        <v>0</v>
      </c>
      <c r="K2435">
        <v>0</v>
      </c>
      <c r="L2435">
        <v>0</v>
      </c>
      <c r="M2435">
        <v>348</v>
      </c>
      <c r="N2435">
        <v>103620.51999999999</v>
      </c>
      <c r="O2435">
        <v>297.76</v>
      </c>
    </row>
    <row r="2436" spans="1:15" x14ac:dyDescent="0.35">
      <c r="A2436" t="s">
        <v>2839</v>
      </c>
      <c r="B2436" t="s">
        <v>2840</v>
      </c>
      <c r="C2436" t="s">
        <v>688</v>
      </c>
      <c r="D2436" t="s">
        <v>323</v>
      </c>
      <c r="E2436" t="s">
        <v>294</v>
      </c>
      <c r="F2436" t="s">
        <v>2859</v>
      </c>
      <c r="G2436">
        <v>4170</v>
      </c>
      <c r="H2436">
        <v>397575.98999999987</v>
      </c>
      <c r="I2436">
        <v>95.34</v>
      </c>
      <c r="J2436">
        <v>2329</v>
      </c>
      <c r="K2436">
        <v>199059.63</v>
      </c>
      <c r="L2436">
        <v>85.47</v>
      </c>
      <c r="M2436">
        <v>6499</v>
      </c>
      <c r="N2436">
        <v>596635.61999999988</v>
      </c>
      <c r="O2436">
        <v>91.8</v>
      </c>
    </row>
    <row r="2437" spans="1:15" x14ac:dyDescent="0.35">
      <c r="A2437" t="s">
        <v>2839</v>
      </c>
      <c r="B2437" t="s">
        <v>2840</v>
      </c>
      <c r="C2437" t="s">
        <v>688</v>
      </c>
      <c r="D2437" t="s">
        <v>323</v>
      </c>
      <c r="E2437" t="s">
        <v>296</v>
      </c>
      <c r="F2437" t="s">
        <v>2860</v>
      </c>
      <c r="G2437">
        <v>6681</v>
      </c>
      <c r="H2437">
        <v>737955.10000000009</v>
      </c>
      <c r="I2437">
        <v>110.46</v>
      </c>
      <c r="J2437">
        <v>2887</v>
      </c>
      <c r="K2437">
        <v>277469.57</v>
      </c>
      <c r="L2437">
        <v>96.11</v>
      </c>
      <c r="M2437">
        <v>9568</v>
      </c>
      <c r="N2437">
        <v>1015424.6700000002</v>
      </c>
      <c r="O2437">
        <v>106.13</v>
      </c>
    </row>
    <row r="2438" spans="1:15" x14ac:dyDescent="0.35">
      <c r="A2438" t="s">
        <v>2839</v>
      </c>
      <c r="B2438" t="s">
        <v>2840</v>
      </c>
      <c r="C2438" t="s">
        <v>688</v>
      </c>
      <c r="D2438" t="s">
        <v>323</v>
      </c>
      <c r="E2438" t="s">
        <v>298</v>
      </c>
      <c r="F2438" t="s">
        <v>2861</v>
      </c>
      <c r="G2438">
        <v>6180</v>
      </c>
      <c r="H2438">
        <v>736521.54999999981</v>
      </c>
      <c r="I2438">
        <v>119.18</v>
      </c>
      <c r="J2438">
        <v>2323</v>
      </c>
      <c r="K2438">
        <v>247492.42</v>
      </c>
      <c r="L2438">
        <v>106.54</v>
      </c>
      <c r="M2438">
        <v>8503</v>
      </c>
      <c r="N2438">
        <v>984013.96999999986</v>
      </c>
      <c r="O2438">
        <v>115.73</v>
      </c>
    </row>
    <row r="2439" spans="1:15" x14ac:dyDescent="0.35">
      <c r="A2439" t="s">
        <v>2839</v>
      </c>
      <c r="B2439" t="s">
        <v>2840</v>
      </c>
      <c r="C2439" t="s">
        <v>688</v>
      </c>
      <c r="D2439" t="s">
        <v>323</v>
      </c>
      <c r="E2439" t="s">
        <v>300</v>
      </c>
      <c r="F2439" t="s">
        <v>2862</v>
      </c>
      <c r="G2439">
        <v>331</v>
      </c>
      <c r="H2439">
        <v>42775.17</v>
      </c>
      <c r="I2439">
        <v>129.22999999999999</v>
      </c>
      <c r="J2439">
        <v>151</v>
      </c>
      <c r="K2439">
        <v>17848.2</v>
      </c>
      <c r="L2439">
        <v>118.2</v>
      </c>
      <c r="M2439">
        <v>482</v>
      </c>
      <c r="N2439">
        <v>60623.369999999995</v>
      </c>
      <c r="O2439">
        <v>125.77</v>
      </c>
    </row>
    <row r="2440" spans="1:15" x14ac:dyDescent="0.35">
      <c r="A2440" t="s">
        <v>2839</v>
      </c>
      <c r="B2440" t="s">
        <v>2840</v>
      </c>
      <c r="C2440" t="s">
        <v>688</v>
      </c>
      <c r="D2440" t="s">
        <v>323</v>
      </c>
      <c r="E2440" t="s">
        <v>302</v>
      </c>
      <c r="F2440" t="s">
        <v>2863</v>
      </c>
      <c r="G2440">
        <v>3</v>
      </c>
      <c r="H2440">
        <v>446.98</v>
      </c>
      <c r="I2440">
        <v>148.99</v>
      </c>
      <c r="J2440">
        <v>9</v>
      </c>
      <c r="K2440">
        <v>1170.0899999999999</v>
      </c>
      <c r="L2440">
        <v>130.01</v>
      </c>
      <c r="M2440">
        <v>12</v>
      </c>
      <c r="N2440">
        <v>1617.07</v>
      </c>
      <c r="O2440">
        <v>134.76</v>
      </c>
    </row>
    <row r="2441" spans="1:15" x14ac:dyDescent="0.35">
      <c r="A2441" t="s">
        <v>2839</v>
      </c>
      <c r="B2441" t="s">
        <v>2840</v>
      </c>
      <c r="C2441" t="s">
        <v>688</v>
      </c>
      <c r="D2441" t="s">
        <v>323</v>
      </c>
      <c r="E2441" t="s">
        <v>304</v>
      </c>
      <c r="F2441" t="s">
        <v>2864</v>
      </c>
      <c r="G2441">
        <v>2</v>
      </c>
      <c r="H2441">
        <v>291.2</v>
      </c>
      <c r="I2441">
        <v>145.6</v>
      </c>
      <c r="J2441">
        <v>0</v>
      </c>
      <c r="K2441">
        <v>0</v>
      </c>
      <c r="L2441">
        <v>0</v>
      </c>
      <c r="M2441">
        <v>2</v>
      </c>
      <c r="N2441">
        <v>291.2</v>
      </c>
      <c r="O2441">
        <v>145.6</v>
      </c>
    </row>
    <row r="2442" spans="1:15" x14ac:dyDescent="0.35">
      <c r="A2442" t="s">
        <v>2839</v>
      </c>
      <c r="B2442" t="s">
        <v>2840</v>
      </c>
      <c r="C2442" t="s">
        <v>688</v>
      </c>
      <c r="D2442" t="s">
        <v>323</v>
      </c>
      <c r="E2442" t="s">
        <v>306</v>
      </c>
      <c r="F2442" t="s">
        <v>2865</v>
      </c>
      <c r="G2442">
        <v>35</v>
      </c>
      <c r="H2442">
        <v>2887.59</v>
      </c>
      <c r="I2442">
        <v>82.5</v>
      </c>
      <c r="J2442">
        <v>4</v>
      </c>
      <c r="K2442">
        <v>274.88</v>
      </c>
      <c r="L2442">
        <v>68.72</v>
      </c>
      <c r="M2442">
        <v>39</v>
      </c>
      <c r="N2442">
        <v>3162.4700000000003</v>
      </c>
      <c r="O2442">
        <v>81.09</v>
      </c>
    </row>
    <row r="2443" spans="1:15" x14ac:dyDescent="0.35">
      <c r="A2443" t="s">
        <v>2839</v>
      </c>
      <c r="B2443" t="s">
        <v>2840</v>
      </c>
      <c r="C2443" t="s">
        <v>688</v>
      </c>
      <c r="D2443" t="s">
        <v>323</v>
      </c>
      <c r="E2443" t="s">
        <v>308</v>
      </c>
      <c r="F2443" t="s">
        <v>2866</v>
      </c>
      <c r="G2443">
        <v>0</v>
      </c>
      <c r="H2443">
        <v>0</v>
      </c>
      <c r="I2443">
        <v>0</v>
      </c>
      <c r="J2443">
        <v>73</v>
      </c>
      <c r="K2443">
        <v>6679.5</v>
      </c>
      <c r="L2443">
        <v>91.5</v>
      </c>
      <c r="M2443">
        <v>73</v>
      </c>
      <c r="N2443">
        <v>6679.5</v>
      </c>
      <c r="O2443">
        <v>91.5</v>
      </c>
    </row>
    <row r="2444" spans="1:15" x14ac:dyDescent="0.35">
      <c r="A2444" t="s">
        <v>2839</v>
      </c>
      <c r="B2444" t="s">
        <v>2840</v>
      </c>
      <c r="C2444" t="s">
        <v>688</v>
      </c>
      <c r="D2444" t="s">
        <v>323</v>
      </c>
      <c r="E2444" t="s">
        <v>310</v>
      </c>
      <c r="F2444" t="s">
        <v>2867</v>
      </c>
      <c r="G2444">
        <v>17402</v>
      </c>
      <c r="H2444">
        <v>1918453.5799999996</v>
      </c>
      <c r="I2444">
        <v>110.24</v>
      </c>
      <c r="J2444">
        <v>7776</v>
      </c>
      <c r="K2444">
        <v>749994.28999999992</v>
      </c>
      <c r="L2444">
        <v>96.45</v>
      </c>
      <c r="M2444">
        <v>25178</v>
      </c>
      <c r="N2444">
        <v>2668447.8699999996</v>
      </c>
      <c r="O2444">
        <v>105.98</v>
      </c>
    </row>
    <row r="2445" spans="1:15" x14ac:dyDescent="0.35">
      <c r="A2445" t="s">
        <v>2839</v>
      </c>
      <c r="B2445" t="s">
        <v>2840</v>
      </c>
      <c r="C2445" t="s">
        <v>688</v>
      </c>
      <c r="D2445" t="s">
        <v>323</v>
      </c>
      <c r="E2445" t="s">
        <v>312</v>
      </c>
      <c r="F2445" t="s">
        <v>2868</v>
      </c>
      <c r="G2445">
        <v>17402</v>
      </c>
      <c r="H2445">
        <v>1918453.5799999996</v>
      </c>
      <c r="I2445">
        <v>110.24</v>
      </c>
      <c r="J2445">
        <v>7703</v>
      </c>
      <c r="K2445">
        <v>743314.78999999992</v>
      </c>
      <c r="L2445">
        <v>96.5</v>
      </c>
      <c r="M2445">
        <v>25105</v>
      </c>
      <c r="N2445">
        <v>2661768.3699999996</v>
      </c>
      <c r="O2445">
        <v>106.03</v>
      </c>
    </row>
    <row r="2446" spans="1:15" x14ac:dyDescent="0.35">
      <c r="A2446" t="s">
        <v>2839</v>
      </c>
      <c r="B2446" t="s">
        <v>2840</v>
      </c>
      <c r="C2446" t="s">
        <v>688</v>
      </c>
      <c r="D2446" t="s">
        <v>334</v>
      </c>
      <c r="E2446" t="s">
        <v>312</v>
      </c>
      <c r="F2446" t="s">
        <v>2869</v>
      </c>
      <c r="G2446">
        <v>24167</v>
      </c>
      <c r="H2446">
        <v>2759281.4199999995</v>
      </c>
      <c r="I2446">
        <v>117.61</v>
      </c>
      <c r="J2446">
        <v>7835</v>
      </c>
      <c r="K2446">
        <v>762092.92999999993</v>
      </c>
      <c r="L2446">
        <v>97.27</v>
      </c>
      <c r="M2446">
        <v>32002</v>
      </c>
      <c r="N2446">
        <v>3521374.3499999996</v>
      </c>
      <c r="O2446">
        <v>112.51</v>
      </c>
    </row>
    <row r="2447" spans="1:15" x14ac:dyDescent="0.35">
      <c r="A2447" t="s">
        <v>2839</v>
      </c>
      <c r="B2447" t="s">
        <v>2840</v>
      </c>
      <c r="C2447" t="s">
        <v>688</v>
      </c>
      <c r="D2447" t="s">
        <v>334</v>
      </c>
      <c r="E2447" t="s">
        <v>308</v>
      </c>
      <c r="F2447" t="s">
        <v>2870</v>
      </c>
      <c r="G2447">
        <v>8</v>
      </c>
      <c r="H2447">
        <v>0</v>
      </c>
      <c r="I2447">
        <v>0</v>
      </c>
      <c r="J2447">
        <v>73</v>
      </c>
      <c r="K2447">
        <v>6679.5</v>
      </c>
      <c r="L2447">
        <v>91.5</v>
      </c>
      <c r="M2447">
        <v>81</v>
      </c>
      <c r="N2447">
        <v>6679.5</v>
      </c>
      <c r="O2447">
        <v>91.5</v>
      </c>
    </row>
    <row r="2448" spans="1:15" x14ac:dyDescent="0.35">
      <c r="A2448" t="s">
        <v>2839</v>
      </c>
      <c r="B2448" t="s">
        <v>2840</v>
      </c>
      <c r="C2448" t="s">
        <v>688</v>
      </c>
      <c r="D2448" t="s">
        <v>337</v>
      </c>
      <c r="E2448" t="s">
        <v>337</v>
      </c>
      <c r="F2448" t="s">
        <v>2871</v>
      </c>
      <c r="G2448">
        <v>3249</v>
      </c>
      <c r="J2448">
        <v>121</v>
      </c>
      <c r="M2448">
        <v>3370</v>
      </c>
    </row>
    <row r="2449" spans="1:15" x14ac:dyDescent="0.35">
      <c r="A2449" t="s">
        <v>2839</v>
      </c>
      <c r="B2449" t="s">
        <v>2840</v>
      </c>
      <c r="C2449" t="s">
        <v>688</v>
      </c>
      <c r="D2449" t="s">
        <v>339</v>
      </c>
      <c r="E2449" t="s">
        <v>294</v>
      </c>
      <c r="F2449" t="s">
        <v>2872</v>
      </c>
      <c r="G2449">
        <v>1335</v>
      </c>
      <c r="H2449">
        <v>170809.34</v>
      </c>
      <c r="I2449">
        <v>127.95</v>
      </c>
      <c r="J2449">
        <v>294</v>
      </c>
      <c r="K2449">
        <v>25645.620000000003</v>
      </c>
      <c r="L2449">
        <v>87.23</v>
      </c>
      <c r="M2449">
        <v>1629</v>
      </c>
      <c r="N2449">
        <v>196454.96</v>
      </c>
      <c r="O2449">
        <v>120.6</v>
      </c>
    </row>
    <row r="2450" spans="1:15" x14ac:dyDescent="0.35">
      <c r="A2450" t="s">
        <v>2839</v>
      </c>
      <c r="B2450" t="s">
        <v>2840</v>
      </c>
      <c r="C2450" t="s">
        <v>688</v>
      </c>
      <c r="D2450" t="s">
        <v>339</v>
      </c>
      <c r="E2450" t="s">
        <v>296</v>
      </c>
      <c r="F2450" t="s">
        <v>2873</v>
      </c>
      <c r="G2450">
        <v>624</v>
      </c>
      <c r="H2450">
        <v>78525.639999999985</v>
      </c>
      <c r="I2450">
        <v>125.84</v>
      </c>
      <c r="J2450">
        <v>97</v>
      </c>
      <c r="K2450">
        <v>9414.82</v>
      </c>
      <c r="L2450">
        <v>97.06</v>
      </c>
      <c r="M2450">
        <v>721</v>
      </c>
      <c r="N2450">
        <v>87940.459999999992</v>
      </c>
      <c r="O2450">
        <v>121.97</v>
      </c>
    </row>
    <row r="2451" spans="1:15" x14ac:dyDescent="0.35">
      <c r="A2451" t="s">
        <v>2839</v>
      </c>
      <c r="B2451" t="s">
        <v>2840</v>
      </c>
      <c r="C2451" t="s">
        <v>688</v>
      </c>
      <c r="D2451" t="s">
        <v>339</v>
      </c>
      <c r="E2451" t="s">
        <v>298</v>
      </c>
      <c r="F2451" t="s">
        <v>2874</v>
      </c>
      <c r="G2451">
        <v>17</v>
      </c>
      <c r="H2451">
        <v>2190.21</v>
      </c>
      <c r="I2451">
        <v>128.84</v>
      </c>
      <c r="J2451">
        <v>7</v>
      </c>
      <c r="K2451">
        <v>689.71</v>
      </c>
      <c r="L2451">
        <v>98.53</v>
      </c>
      <c r="M2451">
        <v>24</v>
      </c>
      <c r="N2451">
        <v>2879.92</v>
      </c>
      <c r="O2451">
        <v>120</v>
      </c>
    </row>
    <row r="2452" spans="1:15" x14ac:dyDescent="0.35">
      <c r="A2452" t="s">
        <v>2839</v>
      </c>
      <c r="B2452" t="s">
        <v>2840</v>
      </c>
      <c r="C2452" t="s">
        <v>688</v>
      </c>
      <c r="D2452" t="s">
        <v>339</v>
      </c>
      <c r="E2452" t="s">
        <v>300</v>
      </c>
      <c r="F2452" t="s">
        <v>2875</v>
      </c>
      <c r="G2452">
        <v>0</v>
      </c>
      <c r="H2452">
        <v>0</v>
      </c>
      <c r="I2452">
        <v>0</v>
      </c>
      <c r="J2452">
        <v>0</v>
      </c>
      <c r="K2452">
        <v>0</v>
      </c>
      <c r="L2452">
        <v>0</v>
      </c>
      <c r="M2452">
        <v>0</v>
      </c>
      <c r="N2452">
        <v>0</v>
      </c>
      <c r="O2452">
        <v>0</v>
      </c>
    </row>
    <row r="2453" spans="1:15" x14ac:dyDescent="0.35">
      <c r="A2453" t="s">
        <v>2839</v>
      </c>
      <c r="B2453" t="s">
        <v>2840</v>
      </c>
      <c r="C2453" t="s">
        <v>688</v>
      </c>
      <c r="D2453" t="s">
        <v>339</v>
      </c>
      <c r="E2453" t="s">
        <v>306</v>
      </c>
      <c r="F2453" t="s">
        <v>2876</v>
      </c>
      <c r="G2453">
        <v>213</v>
      </c>
      <c r="H2453">
        <v>18283.84</v>
      </c>
      <c r="I2453">
        <v>85.84</v>
      </c>
      <c r="J2453">
        <v>77</v>
      </c>
      <c r="K2453">
        <v>5051.2</v>
      </c>
      <c r="L2453">
        <v>65.599999999999994</v>
      </c>
      <c r="M2453">
        <v>290</v>
      </c>
      <c r="N2453">
        <v>23335.040000000001</v>
      </c>
      <c r="O2453">
        <v>80.47</v>
      </c>
    </row>
    <row r="2454" spans="1:15" x14ac:dyDescent="0.35">
      <c r="A2454" t="s">
        <v>2839</v>
      </c>
      <c r="B2454" t="s">
        <v>2840</v>
      </c>
      <c r="C2454" t="s">
        <v>688</v>
      </c>
      <c r="D2454" t="s">
        <v>339</v>
      </c>
      <c r="E2454" t="s">
        <v>308</v>
      </c>
      <c r="F2454" t="s">
        <v>2877</v>
      </c>
      <c r="G2454">
        <v>227</v>
      </c>
      <c r="H2454">
        <v>47059.310000000005</v>
      </c>
      <c r="I2454">
        <v>207.31</v>
      </c>
      <c r="J2454">
        <v>0</v>
      </c>
      <c r="K2454">
        <v>0</v>
      </c>
      <c r="L2454">
        <v>0</v>
      </c>
      <c r="M2454">
        <v>227</v>
      </c>
      <c r="N2454">
        <v>47059.310000000005</v>
      </c>
      <c r="O2454">
        <v>207.31</v>
      </c>
    </row>
    <row r="2455" spans="1:15" x14ac:dyDescent="0.35">
      <c r="A2455" t="s">
        <v>2839</v>
      </c>
      <c r="B2455" t="s">
        <v>2840</v>
      </c>
      <c r="C2455" t="s">
        <v>688</v>
      </c>
      <c r="D2455" t="s">
        <v>339</v>
      </c>
      <c r="E2455" t="s">
        <v>310</v>
      </c>
      <c r="F2455" t="s">
        <v>2878</v>
      </c>
      <c r="G2455">
        <v>2416</v>
      </c>
      <c r="H2455">
        <v>316868.33999999997</v>
      </c>
      <c r="I2455">
        <v>131.15</v>
      </c>
      <c r="J2455">
        <v>475</v>
      </c>
      <c r="K2455">
        <v>40801.35</v>
      </c>
      <c r="L2455">
        <v>85.9</v>
      </c>
      <c r="M2455">
        <v>2891</v>
      </c>
      <c r="N2455">
        <v>357669.68999999994</v>
      </c>
      <c r="O2455">
        <v>123.72</v>
      </c>
    </row>
    <row r="2456" spans="1:15" x14ac:dyDescent="0.35">
      <c r="A2456" t="s">
        <v>2839</v>
      </c>
      <c r="B2456" t="s">
        <v>2840</v>
      </c>
      <c r="C2456" t="s">
        <v>688</v>
      </c>
      <c r="D2456" t="s">
        <v>339</v>
      </c>
      <c r="E2456" t="s">
        <v>312</v>
      </c>
      <c r="F2456" t="s">
        <v>2879</v>
      </c>
      <c r="G2456">
        <v>2189</v>
      </c>
      <c r="H2456">
        <v>269809.02999999997</v>
      </c>
      <c r="I2456">
        <v>123.26</v>
      </c>
      <c r="J2456">
        <v>475</v>
      </c>
      <c r="K2456">
        <v>40801.35</v>
      </c>
      <c r="L2456">
        <v>85.9</v>
      </c>
      <c r="M2456">
        <v>2664</v>
      </c>
      <c r="N2456">
        <v>310610.37999999995</v>
      </c>
      <c r="O2456">
        <v>116.6</v>
      </c>
    </row>
    <row r="2457" spans="1:15" x14ac:dyDescent="0.35">
      <c r="A2457" t="s">
        <v>2839</v>
      </c>
      <c r="B2457" t="s">
        <v>2840</v>
      </c>
      <c r="C2457" t="s">
        <v>688</v>
      </c>
      <c r="D2457" t="s">
        <v>348</v>
      </c>
      <c r="E2457" t="s">
        <v>349</v>
      </c>
      <c r="F2457" t="s">
        <v>2880</v>
      </c>
      <c r="G2457">
        <v>3161</v>
      </c>
      <c r="H2457">
        <v>420488.86000000004</v>
      </c>
      <c r="I2457">
        <v>152.13</v>
      </c>
      <c r="J2457">
        <v>475</v>
      </c>
      <c r="K2457">
        <v>40801.35</v>
      </c>
      <c r="L2457">
        <v>85.9</v>
      </c>
      <c r="M2457">
        <v>3636</v>
      </c>
      <c r="N2457">
        <v>461290.21</v>
      </c>
      <c r="O2457">
        <v>142.41999999999999</v>
      </c>
    </row>
    <row r="2458" spans="1:15" x14ac:dyDescent="0.35">
      <c r="A2458" t="s">
        <v>2881</v>
      </c>
      <c r="B2458" t="s">
        <v>2882</v>
      </c>
      <c r="C2458" t="s">
        <v>1184</v>
      </c>
      <c r="D2458" t="s">
        <v>293</v>
      </c>
      <c r="E2458" t="s">
        <v>294</v>
      </c>
      <c r="F2458" t="s">
        <v>2883</v>
      </c>
      <c r="G2458">
        <v>534</v>
      </c>
      <c r="H2458">
        <v>62509.959999999992</v>
      </c>
      <c r="I2458">
        <v>117.06</v>
      </c>
      <c r="J2458">
        <v>61</v>
      </c>
      <c r="K2458">
        <v>6738.0599999999995</v>
      </c>
      <c r="L2458">
        <v>110.46</v>
      </c>
      <c r="M2458">
        <v>595</v>
      </c>
      <c r="N2458">
        <v>69248.01999999999</v>
      </c>
      <c r="O2458">
        <v>116.38</v>
      </c>
    </row>
    <row r="2459" spans="1:15" x14ac:dyDescent="0.35">
      <c r="A2459" t="s">
        <v>2881</v>
      </c>
      <c r="B2459" t="s">
        <v>2882</v>
      </c>
      <c r="C2459" t="s">
        <v>1184</v>
      </c>
      <c r="D2459" t="s">
        <v>293</v>
      </c>
      <c r="E2459" t="s">
        <v>296</v>
      </c>
      <c r="F2459" t="s">
        <v>2884</v>
      </c>
      <c r="G2459">
        <v>1545</v>
      </c>
      <c r="H2459">
        <v>223860.23999999993</v>
      </c>
      <c r="I2459">
        <v>144.88999999999999</v>
      </c>
      <c r="J2459">
        <v>87</v>
      </c>
      <c r="K2459">
        <v>12589.77</v>
      </c>
      <c r="L2459">
        <v>144.71</v>
      </c>
      <c r="M2459">
        <v>1632</v>
      </c>
      <c r="N2459">
        <v>236450.00999999992</v>
      </c>
      <c r="O2459">
        <v>144.88</v>
      </c>
    </row>
    <row r="2460" spans="1:15" x14ac:dyDescent="0.35">
      <c r="A2460" t="s">
        <v>2881</v>
      </c>
      <c r="B2460" t="s">
        <v>2882</v>
      </c>
      <c r="C2460" t="s">
        <v>1184</v>
      </c>
      <c r="D2460" t="s">
        <v>293</v>
      </c>
      <c r="E2460" t="s">
        <v>298</v>
      </c>
      <c r="F2460" t="s">
        <v>2885</v>
      </c>
      <c r="G2460">
        <v>1018</v>
      </c>
      <c r="H2460">
        <v>177064.51</v>
      </c>
      <c r="I2460">
        <v>173.93</v>
      </c>
      <c r="J2460">
        <v>47</v>
      </c>
      <c r="K2460">
        <v>7969.32</v>
      </c>
      <c r="L2460">
        <v>169.56</v>
      </c>
      <c r="M2460">
        <v>1065</v>
      </c>
      <c r="N2460">
        <v>185033.83000000002</v>
      </c>
      <c r="O2460">
        <v>173.74</v>
      </c>
    </row>
    <row r="2461" spans="1:15" x14ac:dyDescent="0.35">
      <c r="A2461" t="s">
        <v>2881</v>
      </c>
      <c r="B2461" t="s">
        <v>2882</v>
      </c>
      <c r="C2461" t="s">
        <v>1184</v>
      </c>
      <c r="D2461" t="s">
        <v>293</v>
      </c>
      <c r="E2461" t="s">
        <v>300</v>
      </c>
      <c r="F2461" t="s">
        <v>2886</v>
      </c>
      <c r="G2461">
        <v>127</v>
      </c>
      <c r="H2461">
        <v>27420.240000000002</v>
      </c>
      <c r="I2461">
        <v>215.91</v>
      </c>
      <c r="J2461">
        <v>7</v>
      </c>
      <c r="K2461">
        <v>1551.2</v>
      </c>
      <c r="L2461">
        <v>221.6</v>
      </c>
      <c r="M2461">
        <v>134</v>
      </c>
      <c r="N2461">
        <v>28971.440000000002</v>
      </c>
      <c r="O2461">
        <v>216.2</v>
      </c>
    </row>
    <row r="2462" spans="1:15" x14ac:dyDescent="0.35">
      <c r="A2462" t="s">
        <v>2881</v>
      </c>
      <c r="B2462" t="s">
        <v>2882</v>
      </c>
      <c r="C2462" t="s">
        <v>1184</v>
      </c>
      <c r="D2462" t="s">
        <v>293</v>
      </c>
      <c r="E2462" t="s">
        <v>302</v>
      </c>
      <c r="F2462" t="s">
        <v>2887</v>
      </c>
      <c r="G2462">
        <v>4</v>
      </c>
      <c r="H2462">
        <v>950.61999999999989</v>
      </c>
      <c r="I2462">
        <v>237.66</v>
      </c>
      <c r="J2462">
        <v>0</v>
      </c>
      <c r="K2462">
        <v>0</v>
      </c>
      <c r="L2462">
        <v>0</v>
      </c>
      <c r="M2462">
        <v>4</v>
      </c>
      <c r="N2462">
        <v>950.61999999999989</v>
      </c>
      <c r="O2462">
        <v>237.66</v>
      </c>
    </row>
    <row r="2463" spans="1:15" x14ac:dyDescent="0.35">
      <c r="A2463" t="s">
        <v>2881</v>
      </c>
      <c r="B2463" t="s">
        <v>2882</v>
      </c>
      <c r="C2463" t="s">
        <v>1184</v>
      </c>
      <c r="D2463" t="s">
        <v>293</v>
      </c>
      <c r="E2463" t="s">
        <v>304</v>
      </c>
      <c r="F2463" t="s">
        <v>2888</v>
      </c>
      <c r="G2463">
        <v>0</v>
      </c>
      <c r="H2463">
        <v>0</v>
      </c>
      <c r="I2463">
        <v>0</v>
      </c>
      <c r="J2463">
        <v>3</v>
      </c>
      <c r="K2463">
        <v>667.14</v>
      </c>
      <c r="L2463">
        <v>222.38</v>
      </c>
      <c r="M2463">
        <v>3</v>
      </c>
      <c r="N2463">
        <v>667.14</v>
      </c>
      <c r="O2463">
        <v>222.38</v>
      </c>
    </row>
    <row r="2464" spans="1:15" x14ac:dyDescent="0.35">
      <c r="A2464" t="s">
        <v>2881</v>
      </c>
      <c r="B2464" t="s">
        <v>2882</v>
      </c>
      <c r="C2464" t="s">
        <v>1184</v>
      </c>
      <c r="D2464" t="s">
        <v>293</v>
      </c>
      <c r="E2464" t="s">
        <v>306</v>
      </c>
      <c r="F2464" t="s">
        <v>2889</v>
      </c>
      <c r="G2464">
        <v>4</v>
      </c>
      <c r="H2464">
        <v>395.96</v>
      </c>
      <c r="I2464">
        <v>98.99</v>
      </c>
      <c r="J2464">
        <v>0</v>
      </c>
      <c r="K2464">
        <v>0</v>
      </c>
      <c r="L2464">
        <v>0</v>
      </c>
      <c r="M2464">
        <v>4</v>
      </c>
      <c r="N2464">
        <v>395.96</v>
      </c>
      <c r="O2464">
        <v>98.99</v>
      </c>
    </row>
    <row r="2465" spans="1:15" x14ac:dyDescent="0.35">
      <c r="A2465" t="s">
        <v>2881</v>
      </c>
      <c r="B2465" t="s">
        <v>2882</v>
      </c>
      <c r="C2465" t="s">
        <v>1184</v>
      </c>
      <c r="D2465" t="s">
        <v>293</v>
      </c>
      <c r="E2465" t="s">
        <v>308</v>
      </c>
      <c r="F2465" t="s">
        <v>2890</v>
      </c>
      <c r="G2465">
        <v>0</v>
      </c>
      <c r="H2465">
        <v>0</v>
      </c>
      <c r="I2465">
        <v>0</v>
      </c>
      <c r="J2465">
        <v>0</v>
      </c>
      <c r="K2465">
        <v>0</v>
      </c>
      <c r="L2465">
        <v>0</v>
      </c>
      <c r="M2465">
        <v>0</v>
      </c>
      <c r="N2465">
        <v>0</v>
      </c>
      <c r="O2465">
        <v>0</v>
      </c>
    </row>
    <row r="2466" spans="1:15" x14ac:dyDescent="0.35">
      <c r="A2466" t="s">
        <v>2881</v>
      </c>
      <c r="B2466" t="s">
        <v>2882</v>
      </c>
      <c r="C2466" t="s">
        <v>1184</v>
      </c>
      <c r="D2466" t="s">
        <v>293</v>
      </c>
      <c r="E2466" t="s">
        <v>310</v>
      </c>
      <c r="F2466" t="s">
        <v>2891</v>
      </c>
      <c r="G2466">
        <v>3232</v>
      </c>
      <c r="H2466">
        <v>492201.52999999997</v>
      </c>
      <c r="I2466">
        <v>152.29</v>
      </c>
      <c r="J2466">
        <v>205</v>
      </c>
      <c r="K2466">
        <v>29515.49</v>
      </c>
      <c r="L2466">
        <v>143.97999999999999</v>
      </c>
      <c r="M2466">
        <v>3437</v>
      </c>
      <c r="N2466">
        <v>521717.01999999996</v>
      </c>
      <c r="O2466">
        <v>151.79</v>
      </c>
    </row>
    <row r="2467" spans="1:15" x14ac:dyDescent="0.35">
      <c r="A2467" t="s">
        <v>2881</v>
      </c>
      <c r="B2467" t="s">
        <v>2882</v>
      </c>
      <c r="C2467" t="s">
        <v>1184</v>
      </c>
      <c r="D2467" t="s">
        <v>293</v>
      </c>
      <c r="E2467" t="s">
        <v>312</v>
      </c>
      <c r="F2467" t="s">
        <v>2892</v>
      </c>
      <c r="G2467">
        <v>3232</v>
      </c>
      <c r="H2467">
        <v>492201.52999999997</v>
      </c>
      <c r="I2467">
        <v>152.29</v>
      </c>
      <c r="J2467">
        <v>205</v>
      </c>
      <c r="K2467">
        <v>29515.49</v>
      </c>
      <c r="L2467">
        <v>143.97999999999999</v>
      </c>
      <c r="M2467">
        <v>3437</v>
      </c>
      <c r="N2467">
        <v>521717.01999999996</v>
      </c>
      <c r="O2467">
        <v>151.79</v>
      </c>
    </row>
    <row r="2468" spans="1:15" x14ac:dyDescent="0.35">
      <c r="A2468" t="s">
        <v>2881</v>
      </c>
      <c r="B2468" t="s">
        <v>2882</v>
      </c>
      <c r="C2468" t="s">
        <v>1184</v>
      </c>
      <c r="D2468" t="s">
        <v>314</v>
      </c>
      <c r="E2468" t="s">
        <v>294</v>
      </c>
      <c r="F2468" t="s">
        <v>2893</v>
      </c>
      <c r="G2468">
        <v>102</v>
      </c>
      <c r="H2468">
        <v>15474.54</v>
      </c>
      <c r="I2468">
        <v>151.71</v>
      </c>
      <c r="J2468">
        <v>2</v>
      </c>
      <c r="K2468">
        <v>186.54</v>
      </c>
      <c r="L2468">
        <v>93.27</v>
      </c>
      <c r="M2468">
        <v>104</v>
      </c>
      <c r="N2468">
        <v>15661.080000000002</v>
      </c>
      <c r="O2468">
        <v>150.59</v>
      </c>
    </row>
    <row r="2469" spans="1:15" x14ac:dyDescent="0.35">
      <c r="A2469" t="s">
        <v>2881</v>
      </c>
      <c r="B2469" t="s">
        <v>2882</v>
      </c>
      <c r="C2469" t="s">
        <v>1184</v>
      </c>
      <c r="D2469" t="s">
        <v>314</v>
      </c>
      <c r="E2469" t="s">
        <v>296</v>
      </c>
      <c r="F2469" t="s">
        <v>2894</v>
      </c>
      <c r="G2469">
        <v>37</v>
      </c>
      <c r="H2469">
        <v>6202.8099999999995</v>
      </c>
      <c r="I2469">
        <v>167.64</v>
      </c>
      <c r="J2469">
        <v>0</v>
      </c>
      <c r="K2469">
        <v>0</v>
      </c>
      <c r="L2469">
        <v>0</v>
      </c>
      <c r="M2469">
        <v>37</v>
      </c>
      <c r="N2469">
        <v>6202.8099999999995</v>
      </c>
      <c r="O2469">
        <v>167.64</v>
      </c>
    </row>
    <row r="2470" spans="1:15" x14ac:dyDescent="0.35">
      <c r="A2470" t="s">
        <v>2881</v>
      </c>
      <c r="B2470" t="s">
        <v>2882</v>
      </c>
      <c r="C2470" t="s">
        <v>1184</v>
      </c>
      <c r="D2470" t="s">
        <v>314</v>
      </c>
      <c r="E2470" t="s">
        <v>298</v>
      </c>
      <c r="F2470" t="s">
        <v>2895</v>
      </c>
      <c r="G2470">
        <v>0</v>
      </c>
      <c r="H2470">
        <v>0</v>
      </c>
      <c r="I2470">
        <v>0</v>
      </c>
      <c r="J2470">
        <v>0</v>
      </c>
      <c r="K2470">
        <v>0</v>
      </c>
      <c r="L2470">
        <v>0</v>
      </c>
      <c r="M2470">
        <v>0</v>
      </c>
      <c r="N2470">
        <v>0</v>
      </c>
      <c r="O2470">
        <v>0</v>
      </c>
    </row>
    <row r="2471" spans="1:15" x14ac:dyDescent="0.35">
      <c r="A2471" t="s">
        <v>2881</v>
      </c>
      <c r="B2471" t="s">
        <v>2882</v>
      </c>
      <c r="C2471" t="s">
        <v>1184</v>
      </c>
      <c r="D2471" t="s">
        <v>314</v>
      </c>
      <c r="E2471" t="s">
        <v>300</v>
      </c>
      <c r="F2471" t="s">
        <v>2896</v>
      </c>
      <c r="G2471">
        <v>0</v>
      </c>
      <c r="H2471">
        <v>0</v>
      </c>
      <c r="I2471">
        <v>0</v>
      </c>
      <c r="J2471">
        <v>0</v>
      </c>
      <c r="K2471">
        <v>0</v>
      </c>
      <c r="L2471">
        <v>0</v>
      </c>
      <c r="M2471">
        <v>0</v>
      </c>
      <c r="N2471">
        <v>0</v>
      </c>
      <c r="O2471">
        <v>0</v>
      </c>
    </row>
    <row r="2472" spans="1:15" x14ac:dyDescent="0.35">
      <c r="A2472" t="s">
        <v>2881</v>
      </c>
      <c r="B2472" t="s">
        <v>2882</v>
      </c>
      <c r="C2472" t="s">
        <v>1184</v>
      </c>
      <c r="D2472" t="s">
        <v>314</v>
      </c>
      <c r="E2472" t="s">
        <v>306</v>
      </c>
      <c r="F2472" t="s">
        <v>2897</v>
      </c>
      <c r="G2472">
        <v>0</v>
      </c>
      <c r="H2472">
        <v>0</v>
      </c>
      <c r="I2472">
        <v>0</v>
      </c>
      <c r="J2472">
        <v>0</v>
      </c>
      <c r="K2472">
        <v>0</v>
      </c>
      <c r="L2472">
        <v>0</v>
      </c>
      <c r="M2472">
        <v>0</v>
      </c>
      <c r="N2472">
        <v>0</v>
      </c>
      <c r="O2472">
        <v>0</v>
      </c>
    </row>
    <row r="2473" spans="1:15" x14ac:dyDescent="0.35">
      <c r="A2473" t="s">
        <v>2881</v>
      </c>
      <c r="B2473" t="s">
        <v>2882</v>
      </c>
      <c r="C2473" t="s">
        <v>1184</v>
      </c>
      <c r="D2473" t="s">
        <v>314</v>
      </c>
      <c r="E2473" t="s">
        <v>308</v>
      </c>
      <c r="F2473" t="s">
        <v>2898</v>
      </c>
      <c r="G2473">
        <v>8</v>
      </c>
      <c r="H2473">
        <v>1627.2</v>
      </c>
      <c r="I2473">
        <v>203.4</v>
      </c>
      <c r="J2473">
        <v>0</v>
      </c>
      <c r="K2473">
        <v>0</v>
      </c>
      <c r="L2473">
        <v>0</v>
      </c>
      <c r="M2473">
        <v>8</v>
      </c>
      <c r="N2473">
        <v>1627.2</v>
      </c>
      <c r="O2473">
        <v>203.4</v>
      </c>
    </row>
    <row r="2474" spans="1:15" x14ac:dyDescent="0.35">
      <c r="A2474" t="s">
        <v>2881</v>
      </c>
      <c r="B2474" t="s">
        <v>2882</v>
      </c>
      <c r="C2474" t="s">
        <v>1184</v>
      </c>
      <c r="D2474" t="s">
        <v>314</v>
      </c>
      <c r="E2474" t="s">
        <v>312</v>
      </c>
      <c r="F2474" t="s">
        <v>2899</v>
      </c>
      <c r="G2474">
        <v>139</v>
      </c>
      <c r="H2474">
        <v>21677.35</v>
      </c>
      <c r="I2474">
        <v>155.94999999999999</v>
      </c>
      <c r="J2474">
        <v>2</v>
      </c>
      <c r="K2474">
        <v>186.54</v>
      </c>
      <c r="L2474">
        <v>93.27</v>
      </c>
      <c r="M2474">
        <v>141</v>
      </c>
      <c r="N2474">
        <v>21863.89</v>
      </c>
      <c r="O2474">
        <v>155.06</v>
      </c>
    </row>
    <row r="2475" spans="1:15" x14ac:dyDescent="0.35">
      <c r="A2475" t="s">
        <v>2881</v>
      </c>
      <c r="B2475" t="s">
        <v>2882</v>
      </c>
      <c r="C2475" t="s">
        <v>1184</v>
      </c>
      <c r="D2475" t="s">
        <v>314</v>
      </c>
      <c r="E2475" t="s">
        <v>310</v>
      </c>
      <c r="F2475" t="s">
        <v>2900</v>
      </c>
      <c r="G2475">
        <v>147</v>
      </c>
      <c r="H2475">
        <v>23304.55</v>
      </c>
      <c r="I2475">
        <v>158.53</v>
      </c>
      <c r="J2475">
        <v>2</v>
      </c>
      <c r="K2475">
        <v>186.54</v>
      </c>
      <c r="L2475">
        <v>93.27</v>
      </c>
      <c r="M2475">
        <v>149</v>
      </c>
      <c r="N2475">
        <v>23491.09</v>
      </c>
      <c r="O2475">
        <v>157.66</v>
      </c>
    </row>
    <row r="2476" spans="1:15" x14ac:dyDescent="0.35">
      <c r="A2476" t="s">
        <v>2881</v>
      </c>
      <c r="B2476" t="s">
        <v>2882</v>
      </c>
      <c r="C2476" t="s">
        <v>1184</v>
      </c>
      <c r="D2476" t="s">
        <v>323</v>
      </c>
      <c r="E2476" t="s">
        <v>294</v>
      </c>
      <c r="F2476" t="s">
        <v>2901</v>
      </c>
      <c r="G2476">
        <v>3286</v>
      </c>
      <c r="H2476">
        <v>316582.45</v>
      </c>
      <c r="I2476">
        <v>96.34</v>
      </c>
      <c r="J2476">
        <v>1323</v>
      </c>
      <c r="K2476">
        <v>116304.93</v>
      </c>
      <c r="L2476">
        <v>87.91</v>
      </c>
      <c r="M2476">
        <v>4609</v>
      </c>
      <c r="N2476">
        <v>432887.38</v>
      </c>
      <c r="O2476">
        <v>93.92</v>
      </c>
    </row>
    <row r="2477" spans="1:15" x14ac:dyDescent="0.35">
      <c r="A2477" t="s">
        <v>2881</v>
      </c>
      <c r="B2477" t="s">
        <v>2882</v>
      </c>
      <c r="C2477" t="s">
        <v>1184</v>
      </c>
      <c r="D2477" t="s">
        <v>323</v>
      </c>
      <c r="E2477" t="s">
        <v>296</v>
      </c>
      <c r="F2477" t="s">
        <v>2902</v>
      </c>
      <c r="G2477">
        <v>7764</v>
      </c>
      <c r="H2477">
        <v>876843.03000000014</v>
      </c>
      <c r="I2477">
        <v>112.94</v>
      </c>
      <c r="J2477">
        <v>2717</v>
      </c>
      <c r="K2477">
        <v>267733.18</v>
      </c>
      <c r="L2477">
        <v>98.54</v>
      </c>
      <c r="M2477">
        <v>10481</v>
      </c>
      <c r="N2477">
        <v>1144576.2100000002</v>
      </c>
      <c r="O2477">
        <v>109.2</v>
      </c>
    </row>
    <row r="2478" spans="1:15" x14ac:dyDescent="0.35">
      <c r="A2478" t="s">
        <v>2881</v>
      </c>
      <c r="B2478" t="s">
        <v>2882</v>
      </c>
      <c r="C2478" t="s">
        <v>1184</v>
      </c>
      <c r="D2478" t="s">
        <v>323</v>
      </c>
      <c r="E2478" t="s">
        <v>298</v>
      </c>
      <c r="F2478" t="s">
        <v>2903</v>
      </c>
      <c r="G2478">
        <v>6534</v>
      </c>
      <c r="H2478">
        <v>822605.33</v>
      </c>
      <c r="I2478">
        <v>125.9</v>
      </c>
      <c r="J2478">
        <v>3120</v>
      </c>
      <c r="K2478">
        <v>337833.6</v>
      </c>
      <c r="L2478">
        <v>108.28</v>
      </c>
      <c r="M2478">
        <v>9654</v>
      </c>
      <c r="N2478">
        <v>1160438.93</v>
      </c>
      <c r="O2478">
        <v>120.2</v>
      </c>
    </row>
    <row r="2479" spans="1:15" x14ac:dyDescent="0.35">
      <c r="A2479" t="s">
        <v>2881</v>
      </c>
      <c r="B2479" t="s">
        <v>2882</v>
      </c>
      <c r="C2479" t="s">
        <v>1184</v>
      </c>
      <c r="D2479" t="s">
        <v>323</v>
      </c>
      <c r="E2479" t="s">
        <v>300</v>
      </c>
      <c r="F2479" t="s">
        <v>2904</v>
      </c>
      <c r="G2479">
        <v>467</v>
      </c>
      <c r="H2479">
        <v>68477.48</v>
      </c>
      <c r="I2479">
        <v>146.63</v>
      </c>
      <c r="J2479">
        <v>213</v>
      </c>
      <c r="K2479">
        <v>25700.579999999998</v>
      </c>
      <c r="L2479">
        <v>120.66</v>
      </c>
      <c r="M2479">
        <v>680</v>
      </c>
      <c r="N2479">
        <v>94178.06</v>
      </c>
      <c r="O2479">
        <v>138.5</v>
      </c>
    </row>
    <row r="2480" spans="1:15" x14ac:dyDescent="0.35">
      <c r="A2480" t="s">
        <v>2881</v>
      </c>
      <c r="B2480" t="s">
        <v>2882</v>
      </c>
      <c r="C2480" t="s">
        <v>1184</v>
      </c>
      <c r="D2480" t="s">
        <v>323</v>
      </c>
      <c r="E2480" t="s">
        <v>302</v>
      </c>
      <c r="F2480" t="s">
        <v>2905</v>
      </c>
      <c r="G2480">
        <v>39</v>
      </c>
      <c r="H2480">
        <v>6163.5199999999995</v>
      </c>
      <c r="I2480">
        <v>158.04</v>
      </c>
      <c r="J2480">
        <v>24</v>
      </c>
      <c r="K2480">
        <v>3222.24</v>
      </c>
      <c r="L2480">
        <v>134.26</v>
      </c>
      <c r="M2480">
        <v>63</v>
      </c>
      <c r="N2480">
        <v>9385.7599999999984</v>
      </c>
      <c r="O2480">
        <v>148.97999999999999</v>
      </c>
    </row>
    <row r="2481" spans="1:15" x14ac:dyDescent="0.35">
      <c r="A2481" t="s">
        <v>2881</v>
      </c>
      <c r="B2481" t="s">
        <v>2882</v>
      </c>
      <c r="C2481" t="s">
        <v>1184</v>
      </c>
      <c r="D2481" t="s">
        <v>323</v>
      </c>
      <c r="E2481" t="s">
        <v>304</v>
      </c>
      <c r="F2481" t="s">
        <v>2906</v>
      </c>
      <c r="G2481">
        <v>7</v>
      </c>
      <c r="H2481">
        <v>1098.49</v>
      </c>
      <c r="I2481">
        <v>156.93</v>
      </c>
      <c r="J2481">
        <v>8</v>
      </c>
      <c r="K2481">
        <v>1146.24</v>
      </c>
      <c r="L2481">
        <v>143.28</v>
      </c>
      <c r="M2481">
        <v>15</v>
      </c>
      <c r="N2481">
        <v>2244.73</v>
      </c>
      <c r="O2481">
        <v>149.65</v>
      </c>
    </row>
    <row r="2482" spans="1:15" x14ac:dyDescent="0.35">
      <c r="A2482" t="s">
        <v>2881</v>
      </c>
      <c r="B2482" t="s">
        <v>2882</v>
      </c>
      <c r="C2482" t="s">
        <v>1184</v>
      </c>
      <c r="D2482" t="s">
        <v>323</v>
      </c>
      <c r="E2482" t="s">
        <v>306</v>
      </c>
      <c r="F2482" t="s">
        <v>2907</v>
      </c>
      <c r="G2482">
        <v>77</v>
      </c>
      <c r="H2482">
        <v>6036.4</v>
      </c>
      <c r="I2482">
        <v>78.39</v>
      </c>
      <c r="J2482">
        <v>93</v>
      </c>
      <c r="K2482">
        <v>6553.71</v>
      </c>
      <c r="L2482">
        <v>70.47</v>
      </c>
      <c r="M2482">
        <v>170</v>
      </c>
      <c r="N2482">
        <v>12590.11</v>
      </c>
      <c r="O2482">
        <v>74.06</v>
      </c>
    </row>
    <row r="2483" spans="1:15" x14ac:dyDescent="0.35">
      <c r="A2483" t="s">
        <v>2881</v>
      </c>
      <c r="B2483" t="s">
        <v>2882</v>
      </c>
      <c r="C2483" t="s">
        <v>1184</v>
      </c>
      <c r="D2483" t="s">
        <v>323</v>
      </c>
      <c r="E2483" t="s">
        <v>308</v>
      </c>
      <c r="F2483" t="s">
        <v>2908</v>
      </c>
      <c r="G2483">
        <v>0</v>
      </c>
      <c r="H2483">
        <v>0</v>
      </c>
      <c r="I2483">
        <v>0</v>
      </c>
      <c r="J2483">
        <v>0</v>
      </c>
      <c r="K2483">
        <v>0</v>
      </c>
      <c r="L2483">
        <v>0</v>
      </c>
      <c r="M2483">
        <v>0</v>
      </c>
      <c r="N2483">
        <v>0</v>
      </c>
      <c r="O2483">
        <v>0</v>
      </c>
    </row>
    <row r="2484" spans="1:15" x14ac:dyDescent="0.35">
      <c r="A2484" t="s">
        <v>2881</v>
      </c>
      <c r="B2484" t="s">
        <v>2882</v>
      </c>
      <c r="C2484" t="s">
        <v>1184</v>
      </c>
      <c r="D2484" t="s">
        <v>323</v>
      </c>
      <c r="E2484" t="s">
        <v>310</v>
      </c>
      <c r="F2484" t="s">
        <v>2909</v>
      </c>
      <c r="G2484">
        <v>18174</v>
      </c>
      <c r="H2484">
        <v>2097806.7000000002</v>
      </c>
      <c r="I2484">
        <v>115.43</v>
      </c>
      <c r="J2484">
        <v>7498</v>
      </c>
      <c r="K2484">
        <v>758494.47999999986</v>
      </c>
      <c r="L2484">
        <v>101.16</v>
      </c>
      <c r="M2484">
        <v>25672</v>
      </c>
      <c r="N2484">
        <v>2856301.18</v>
      </c>
      <c r="O2484">
        <v>111.26</v>
      </c>
    </row>
    <row r="2485" spans="1:15" x14ac:dyDescent="0.35">
      <c r="A2485" t="s">
        <v>2881</v>
      </c>
      <c r="B2485" t="s">
        <v>2882</v>
      </c>
      <c r="C2485" t="s">
        <v>1184</v>
      </c>
      <c r="D2485" t="s">
        <v>323</v>
      </c>
      <c r="E2485" t="s">
        <v>312</v>
      </c>
      <c r="F2485" t="s">
        <v>2910</v>
      </c>
      <c r="G2485">
        <v>18174</v>
      </c>
      <c r="H2485">
        <v>2097806.7000000002</v>
      </c>
      <c r="I2485">
        <v>115.43</v>
      </c>
      <c r="J2485">
        <v>7498</v>
      </c>
      <c r="K2485">
        <v>758494.47999999986</v>
      </c>
      <c r="L2485">
        <v>101.16</v>
      </c>
      <c r="M2485">
        <v>25672</v>
      </c>
      <c r="N2485">
        <v>2856301.18</v>
      </c>
      <c r="O2485">
        <v>111.26</v>
      </c>
    </row>
    <row r="2486" spans="1:15" x14ac:dyDescent="0.35">
      <c r="A2486" t="s">
        <v>2881</v>
      </c>
      <c r="B2486" t="s">
        <v>2882</v>
      </c>
      <c r="C2486" t="s">
        <v>1184</v>
      </c>
      <c r="D2486" t="s">
        <v>334</v>
      </c>
      <c r="E2486" t="s">
        <v>312</v>
      </c>
      <c r="F2486" t="s">
        <v>2911</v>
      </c>
      <c r="G2486">
        <v>22668</v>
      </c>
      <c r="H2486">
        <v>2590008.2300000004</v>
      </c>
      <c r="I2486">
        <v>120.99</v>
      </c>
      <c r="J2486">
        <v>7703</v>
      </c>
      <c r="K2486">
        <v>788009.96999999986</v>
      </c>
      <c r="L2486">
        <v>102.3</v>
      </c>
      <c r="M2486">
        <v>30371</v>
      </c>
      <c r="N2486">
        <v>3378018.2</v>
      </c>
      <c r="O2486">
        <v>116.05</v>
      </c>
    </row>
    <row r="2487" spans="1:15" x14ac:dyDescent="0.35">
      <c r="A2487" t="s">
        <v>2881</v>
      </c>
      <c r="B2487" t="s">
        <v>2882</v>
      </c>
      <c r="C2487" t="s">
        <v>1184</v>
      </c>
      <c r="D2487" t="s">
        <v>334</v>
      </c>
      <c r="E2487" t="s">
        <v>308</v>
      </c>
      <c r="F2487" t="s">
        <v>2912</v>
      </c>
      <c r="G2487">
        <v>48</v>
      </c>
      <c r="H2487">
        <v>0</v>
      </c>
      <c r="I2487">
        <v>0</v>
      </c>
      <c r="J2487">
        <v>0</v>
      </c>
      <c r="K2487">
        <v>0</v>
      </c>
      <c r="L2487">
        <v>0</v>
      </c>
      <c r="M2487">
        <v>48</v>
      </c>
      <c r="N2487">
        <v>0</v>
      </c>
      <c r="O2487">
        <v>0</v>
      </c>
    </row>
    <row r="2488" spans="1:15" x14ac:dyDescent="0.35">
      <c r="A2488" t="s">
        <v>2881</v>
      </c>
      <c r="B2488" t="s">
        <v>2882</v>
      </c>
      <c r="C2488" t="s">
        <v>1184</v>
      </c>
      <c r="D2488" t="s">
        <v>337</v>
      </c>
      <c r="E2488" t="s">
        <v>337</v>
      </c>
      <c r="F2488" t="s">
        <v>2913</v>
      </c>
      <c r="G2488">
        <v>3066</v>
      </c>
      <c r="J2488">
        <v>79</v>
      </c>
      <c r="M2488">
        <v>3145</v>
      </c>
    </row>
    <row r="2489" spans="1:15" x14ac:dyDescent="0.35">
      <c r="A2489" t="s">
        <v>2881</v>
      </c>
      <c r="B2489" t="s">
        <v>2882</v>
      </c>
      <c r="C2489" t="s">
        <v>1184</v>
      </c>
      <c r="D2489" t="s">
        <v>339</v>
      </c>
      <c r="E2489" t="s">
        <v>294</v>
      </c>
      <c r="F2489" t="s">
        <v>2914</v>
      </c>
      <c r="G2489">
        <v>2756</v>
      </c>
      <c r="H2489">
        <v>296152.01</v>
      </c>
      <c r="I2489">
        <v>107.46</v>
      </c>
      <c r="J2489">
        <v>1697</v>
      </c>
      <c r="K2489">
        <v>153833.05000000002</v>
      </c>
      <c r="L2489">
        <v>90.65</v>
      </c>
      <c r="M2489">
        <v>4453</v>
      </c>
      <c r="N2489">
        <v>449985.06000000006</v>
      </c>
      <c r="O2489">
        <v>101.05</v>
      </c>
    </row>
    <row r="2490" spans="1:15" x14ac:dyDescent="0.35">
      <c r="A2490" t="s">
        <v>2881</v>
      </c>
      <c r="B2490" t="s">
        <v>2882</v>
      </c>
      <c r="C2490" t="s">
        <v>1184</v>
      </c>
      <c r="D2490" t="s">
        <v>339</v>
      </c>
      <c r="E2490" t="s">
        <v>296</v>
      </c>
      <c r="F2490" t="s">
        <v>2915</v>
      </c>
      <c r="G2490">
        <v>829</v>
      </c>
      <c r="H2490">
        <v>100272.90999999999</v>
      </c>
      <c r="I2490">
        <v>120.96</v>
      </c>
      <c r="J2490">
        <v>164</v>
      </c>
      <c r="K2490">
        <v>16590.239999999998</v>
      </c>
      <c r="L2490">
        <v>101.16</v>
      </c>
      <c r="M2490">
        <v>993</v>
      </c>
      <c r="N2490">
        <v>116863.15</v>
      </c>
      <c r="O2490">
        <v>117.69</v>
      </c>
    </row>
    <row r="2491" spans="1:15" x14ac:dyDescent="0.35">
      <c r="A2491" t="s">
        <v>2881</v>
      </c>
      <c r="B2491" t="s">
        <v>2882</v>
      </c>
      <c r="C2491" t="s">
        <v>1184</v>
      </c>
      <c r="D2491" t="s">
        <v>339</v>
      </c>
      <c r="E2491" t="s">
        <v>298</v>
      </c>
      <c r="F2491" t="s">
        <v>2916</v>
      </c>
      <c r="G2491">
        <v>25</v>
      </c>
      <c r="H2491">
        <v>3853.05</v>
      </c>
      <c r="I2491">
        <v>154.12</v>
      </c>
      <c r="J2491">
        <v>6</v>
      </c>
      <c r="K2491">
        <v>662.46</v>
      </c>
      <c r="L2491">
        <v>110.41</v>
      </c>
      <c r="M2491">
        <v>31</v>
      </c>
      <c r="N2491">
        <v>4515.51</v>
      </c>
      <c r="O2491">
        <v>145.66</v>
      </c>
    </row>
    <row r="2492" spans="1:15" x14ac:dyDescent="0.35">
      <c r="A2492" t="s">
        <v>2881</v>
      </c>
      <c r="B2492" t="s">
        <v>2882</v>
      </c>
      <c r="C2492" t="s">
        <v>1184</v>
      </c>
      <c r="D2492" t="s">
        <v>339</v>
      </c>
      <c r="E2492" t="s">
        <v>300</v>
      </c>
      <c r="F2492" t="s">
        <v>2917</v>
      </c>
      <c r="G2492">
        <v>2</v>
      </c>
      <c r="H2492">
        <v>340.15</v>
      </c>
      <c r="I2492">
        <v>170.08</v>
      </c>
      <c r="J2492">
        <v>0</v>
      </c>
      <c r="K2492">
        <v>0</v>
      </c>
      <c r="L2492">
        <v>0</v>
      </c>
      <c r="M2492">
        <v>2</v>
      </c>
      <c r="N2492">
        <v>340.15</v>
      </c>
      <c r="O2492">
        <v>170.08</v>
      </c>
    </row>
    <row r="2493" spans="1:15" x14ac:dyDescent="0.35">
      <c r="A2493" t="s">
        <v>2881</v>
      </c>
      <c r="B2493" t="s">
        <v>2882</v>
      </c>
      <c r="C2493" t="s">
        <v>1184</v>
      </c>
      <c r="D2493" t="s">
        <v>339</v>
      </c>
      <c r="E2493" t="s">
        <v>306</v>
      </c>
      <c r="F2493" t="s">
        <v>2918</v>
      </c>
      <c r="G2493">
        <v>116</v>
      </c>
      <c r="H2493">
        <v>10841.050000000001</v>
      </c>
      <c r="I2493">
        <v>93.46</v>
      </c>
      <c r="J2493">
        <v>31</v>
      </c>
      <c r="K2493">
        <v>2248.7400000000002</v>
      </c>
      <c r="L2493">
        <v>72.540000000000006</v>
      </c>
      <c r="M2493">
        <v>147</v>
      </c>
      <c r="N2493">
        <v>13089.79</v>
      </c>
      <c r="O2493">
        <v>89.05</v>
      </c>
    </row>
    <row r="2494" spans="1:15" x14ac:dyDescent="0.35">
      <c r="A2494" t="s">
        <v>2881</v>
      </c>
      <c r="B2494" t="s">
        <v>2882</v>
      </c>
      <c r="C2494" t="s">
        <v>1184</v>
      </c>
      <c r="D2494" t="s">
        <v>339</v>
      </c>
      <c r="E2494" t="s">
        <v>308</v>
      </c>
      <c r="F2494" t="s">
        <v>2919</v>
      </c>
      <c r="G2494">
        <v>524</v>
      </c>
      <c r="H2494">
        <v>62643.799999999996</v>
      </c>
      <c r="I2494">
        <v>119.55</v>
      </c>
      <c r="J2494">
        <v>0</v>
      </c>
      <c r="K2494">
        <v>0</v>
      </c>
      <c r="L2494">
        <v>0</v>
      </c>
      <c r="M2494">
        <v>524</v>
      </c>
      <c r="N2494">
        <v>62643.799999999996</v>
      </c>
      <c r="O2494">
        <v>119.55</v>
      </c>
    </row>
    <row r="2495" spans="1:15" x14ac:dyDescent="0.35">
      <c r="A2495" t="s">
        <v>2881</v>
      </c>
      <c r="B2495" t="s">
        <v>2882</v>
      </c>
      <c r="C2495" t="s">
        <v>1184</v>
      </c>
      <c r="D2495" t="s">
        <v>339</v>
      </c>
      <c r="E2495" t="s">
        <v>310</v>
      </c>
      <c r="F2495" t="s">
        <v>2920</v>
      </c>
      <c r="G2495">
        <v>4252</v>
      </c>
      <c r="H2495">
        <v>474102.97</v>
      </c>
      <c r="I2495">
        <v>111.5</v>
      </c>
      <c r="J2495">
        <v>1898</v>
      </c>
      <c r="K2495">
        <v>173334.49</v>
      </c>
      <c r="L2495">
        <v>91.32</v>
      </c>
      <c r="M2495">
        <v>6150</v>
      </c>
      <c r="N2495">
        <v>647437.46</v>
      </c>
      <c r="O2495">
        <v>105.27</v>
      </c>
    </row>
    <row r="2496" spans="1:15" x14ac:dyDescent="0.35">
      <c r="A2496" t="s">
        <v>2881</v>
      </c>
      <c r="B2496" t="s">
        <v>2882</v>
      </c>
      <c r="C2496" t="s">
        <v>1184</v>
      </c>
      <c r="D2496" t="s">
        <v>339</v>
      </c>
      <c r="E2496" t="s">
        <v>312</v>
      </c>
      <c r="F2496" t="s">
        <v>2921</v>
      </c>
      <c r="G2496">
        <v>3728</v>
      </c>
      <c r="H2496">
        <v>411459.17</v>
      </c>
      <c r="I2496">
        <v>110.37</v>
      </c>
      <c r="J2496">
        <v>1898</v>
      </c>
      <c r="K2496">
        <v>173334.49</v>
      </c>
      <c r="L2496">
        <v>91.32</v>
      </c>
      <c r="M2496">
        <v>5626</v>
      </c>
      <c r="N2496">
        <v>584793.65999999992</v>
      </c>
      <c r="O2496">
        <v>103.94</v>
      </c>
    </row>
    <row r="2497" spans="1:15" x14ac:dyDescent="0.35">
      <c r="A2497" t="s">
        <v>2881</v>
      </c>
      <c r="B2497" t="s">
        <v>2882</v>
      </c>
      <c r="C2497" t="s">
        <v>1184</v>
      </c>
      <c r="D2497" t="s">
        <v>348</v>
      </c>
      <c r="E2497" t="s">
        <v>349</v>
      </c>
      <c r="F2497" t="s">
        <v>2922</v>
      </c>
      <c r="G2497">
        <v>5205</v>
      </c>
      <c r="H2497">
        <v>497407.51999999996</v>
      </c>
      <c r="I2497">
        <v>113.07</v>
      </c>
      <c r="J2497">
        <v>1900</v>
      </c>
      <c r="K2497">
        <v>173521.03</v>
      </c>
      <c r="L2497">
        <v>91.33</v>
      </c>
      <c r="M2497">
        <v>7105</v>
      </c>
      <c r="N2497">
        <v>670928.54999999993</v>
      </c>
      <c r="O2497">
        <v>106.51</v>
      </c>
    </row>
    <row r="2498" spans="1:15" x14ac:dyDescent="0.35">
      <c r="A2498" t="s">
        <v>2923</v>
      </c>
      <c r="B2498" t="s">
        <v>2924</v>
      </c>
      <c r="C2498" t="s">
        <v>1477</v>
      </c>
      <c r="D2498" t="s">
        <v>293</v>
      </c>
      <c r="E2498" t="s">
        <v>294</v>
      </c>
      <c r="F2498" t="s">
        <v>2925</v>
      </c>
      <c r="G2498">
        <v>214</v>
      </c>
      <c r="H2498">
        <v>36134.81</v>
      </c>
      <c r="I2498">
        <v>168.85</v>
      </c>
      <c r="J2498">
        <v>377</v>
      </c>
      <c r="K2498">
        <v>65303.94</v>
      </c>
      <c r="L2498">
        <v>173.22</v>
      </c>
      <c r="M2498">
        <v>591</v>
      </c>
      <c r="N2498">
        <v>101438.75</v>
      </c>
      <c r="O2498">
        <v>171.64</v>
      </c>
    </row>
    <row r="2499" spans="1:15" x14ac:dyDescent="0.35">
      <c r="A2499" t="s">
        <v>2923</v>
      </c>
      <c r="B2499" t="s">
        <v>2924</v>
      </c>
      <c r="C2499" t="s">
        <v>1477</v>
      </c>
      <c r="D2499" t="s">
        <v>293</v>
      </c>
      <c r="E2499" t="s">
        <v>296</v>
      </c>
      <c r="F2499" t="s">
        <v>2926</v>
      </c>
      <c r="G2499">
        <v>428</v>
      </c>
      <c r="H2499">
        <v>79268.19</v>
      </c>
      <c r="I2499">
        <v>185.21</v>
      </c>
      <c r="J2499">
        <v>480</v>
      </c>
      <c r="K2499">
        <v>92385.600000000006</v>
      </c>
      <c r="L2499">
        <v>192.47</v>
      </c>
      <c r="M2499">
        <v>908</v>
      </c>
      <c r="N2499">
        <v>171653.79</v>
      </c>
      <c r="O2499">
        <v>189.05</v>
      </c>
    </row>
    <row r="2500" spans="1:15" x14ac:dyDescent="0.35">
      <c r="A2500" t="s">
        <v>2923</v>
      </c>
      <c r="B2500" t="s">
        <v>2924</v>
      </c>
      <c r="C2500" t="s">
        <v>1477</v>
      </c>
      <c r="D2500" t="s">
        <v>293</v>
      </c>
      <c r="E2500" t="s">
        <v>298</v>
      </c>
      <c r="F2500" t="s">
        <v>2927</v>
      </c>
      <c r="G2500">
        <v>267</v>
      </c>
      <c r="H2500">
        <v>55634.97</v>
      </c>
      <c r="I2500">
        <v>208.37</v>
      </c>
      <c r="J2500">
        <v>92</v>
      </c>
      <c r="K2500">
        <v>20711.04</v>
      </c>
      <c r="L2500">
        <v>225.12</v>
      </c>
      <c r="M2500">
        <v>359</v>
      </c>
      <c r="N2500">
        <v>76346.010000000009</v>
      </c>
      <c r="O2500">
        <v>212.66</v>
      </c>
    </row>
    <row r="2501" spans="1:15" x14ac:dyDescent="0.35">
      <c r="A2501" t="s">
        <v>2923</v>
      </c>
      <c r="B2501" t="s">
        <v>2924</v>
      </c>
      <c r="C2501" t="s">
        <v>1477</v>
      </c>
      <c r="D2501" t="s">
        <v>293</v>
      </c>
      <c r="E2501" t="s">
        <v>300</v>
      </c>
      <c r="F2501" t="s">
        <v>2928</v>
      </c>
      <c r="G2501">
        <v>74</v>
      </c>
      <c r="H2501">
        <v>19890.850000000002</v>
      </c>
      <c r="I2501">
        <v>268.8</v>
      </c>
      <c r="J2501">
        <v>16</v>
      </c>
      <c r="K2501">
        <v>4780.16</v>
      </c>
      <c r="L2501">
        <v>298.76</v>
      </c>
      <c r="M2501">
        <v>90</v>
      </c>
      <c r="N2501">
        <v>24671.010000000002</v>
      </c>
      <c r="O2501">
        <v>274.12</v>
      </c>
    </row>
    <row r="2502" spans="1:15" x14ac:dyDescent="0.35">
      <c r="A2502" t="s">
        <v>2923</v>
      </c>
      <c r="B2502" t="s">
        <v>2924</v>
      </c>
      <c r="C2502" t="s">
        <v>1477</v>
      </c>
      <c r="D2502" t="s">
        <v>293</v>
      </c>
      <c r="E2502" t="s">
        <v>302</v>
      </c>
      <c r="F2502" t="s">
        <v>2929</v>
      </c>
      <c r="G2502">
        <v>0</v>
      </c>
      <c r="H2502">
        <v>0</v>
      </c>
      <c r="I2502">
        <v>0</v>
      </c>
      <c r="J2502">
        <v>1</v>
      </c>
      <c r="K2502">
        <v>315.27</v>
      </c>
      <c r="L2502">
        <v>315.27</v>
      </c>
      <c r="M2502">
        <v>1</v>
      </c>
      <c r="N2502">
        <v>315.27</v>
      </c>
      <c r="O2502">
        <v>315.27</v>
      </c>
    </row>
    <row r="2503" spans="1:15" x14ac:dyDescent="0.35">
      <c r="A2503" t="s">
        <v>2923</v>
      </c>
      <c r="B2503" t="s">
        <v>2924</v>
      </c>
      <c r="C2503" t="s">
        <v>1477</v>
      </c>
      <c r="D2503" t="s">
        <v>293</v>
      </c>
      <c r="E2503" t="s">
        <v>304</v>
      </c>
      <c r="F2503" t="s">
        <v>2930</v>
      </c>
      <c r="G2503">
        <v>0</v>
      </c>
      <c r="H2503">
        <v>0</v>
      </c>
      <c r="I2503">
        <v>0</v>
      </c>
      <c r="J2503">
        <v>1</v>
      </c>
      <c r="K2503">
        <v>331.63</v>
      </c>
      <c r="L2503">
        <v>331.63</v>
      </c>
      <c r="M2503">
        <v>1</v>
      </c>
      <c r="N2503">
        <v>331.63</v>
      </c>
      <c r="O2503">
        <v>331.63</v>
      </c>
    </row>
    <row r="2504" spans="1:15" x14ac:dyDescent="0.35">
      <c r="A2504" t="s">
        <v>2923</v>
      </c>
      <c r="B2504" t="s">
        <v>2924</v>
      </c>
      <c r="C2504" t="s">
        <v>1477</v>
      </c>
      <c r="D2504" t="s">
        <v>293</v>
      </c>
      <c r="E2504" t="s">
        <v>306</v>
      </c>
      <c r="F2504" t="s">
        <v>2931</v>
      </c>
      <c r="G2504">
        <v>5</v>
      </c>
      <c r="H2504">
        <v>757.93</v>
      </c>
      <c r="I2504">
        <v>151.59</v>
      </c>
      <c r="J2504">
        <v>0</v>
      </c>
      <c r="K2504">
        <v>0</v>
      </c>
      <c r="L2504">
        <v>0</v>
      </c>
      <c r="M2504">
        <v>5</v>
      </c>
      <c r="N2504">
        <v>757.93</v>
      </c>
      <c r="O2504">
        <v>151.59</v>
      </c>
    </row>
    <row r="2505" spans="1:15" x14ac:dyDescent="0.35">
      <c r="A2505" t="s">
        <v>2923</v>
      </c>
      <c r="B2505" t="s">
        <v>2924</v>
      </c>
      <c r="C2505" t="s">
        <v>1477</v>
      </c>
      <c r="D2505" t="s">
        <v>293</v>
      </c>
      <c r="E2505" t="s">
        <v>308</v>
      </c>
      <c r="F2505" t="s">
        <v>2932</v>
      </c>
      <c r="G2505">
        <v>3</v>
      </c>
      <c r="H2505">
        <v>250.95000000000002</v>
      </c>
      <c r="I2505">
        <v>83.65</v>
      </c>
      <c r="J2505">
        <v>0</v>
      </c>
      <c r="K2505">
        <v>0</v>
      </c>
      <c r="L2505">
        <v>0</v>
      </c>
      <c r="M2505">
        <v>3</v>
      </c>
      <c r="N2505">
        <v>250.95000000000002</v>
      </c>
      <c r="O2505">
        <v>83.65</v>
      </c>
    </row>
    <row r="2506" spans="1:15" x14ac:dyDescent="0.35">
      <c r="A2506" t="s">
        <v>2923</v>
      </c>
      <c r="B2506" t="s">
        <v>2924</v>
      </c>
      <c r="C2506" t="s">
        <v>1477</v>
      </c>
      <c r="D2506" t="s">
        <v>293</v>
      </c>
      <c r="E2506" t="s">
        <v>310</v>
      </c>
      <c r="F2506" t="s">
        <v>2933</v>
      </c>
      <c r="G2506">
        <v>991</v>
      </c>
      <c r="H2506">
        <v>191937.7</v>
      </c>
      <c r="I2506">
        <v>193.68</v>
      </c>
      <c r="J2506">
        <v>967</v>
      </c>
      <c r="K2506">
        <v>183827.64</v>
      </c>
      <c r="L2506">
        <v>190.1</v>
      </c>
      <c r="M2506">
        <v>1958</v>
      </c>
      <c r="N2506">
        <v>375765.34</v>
      </c>
      <c r="O2506">
        <v>191.91</v>
      </c>
    </row>
    <row r="2507" spans="1:15" x14ac:dyDescent="0.35">
      <c r="A2507" t="s">
        <v>2923</v>
      </c>
      <c r="B2507" t="s">
        <v>2924</v>
      </c>
      <c r="C2507" t="s">
        <v>1477</v>
      </c>
      <c r="D2507" t="s">
        <v>293</v>
      </c>
      <c r="E2507" t="s">
        <v>312</v>
      </c>
      <c r="F2507" t="s">
        <v>2934</v>
      </c>
      <c r="G2507">
        <v>988</v>
      </c>
      <c r="H2507">
        <v>191686.75</v>
      </c>
      <c r="I2507">
        <v>194.01</v>
      </c>
      <c r="J2507">
        <v>967</v>
      </c>
      <c r="K2507">
        <v>183827.64</v>
      </c>
      <c r="L2507">
        <v>190.1</v>
      </c>
      <c r="M2507">
        <v>1955</v>
      </c>
      <c r="N2507">
        <v>375514.39</v>
      </c>
      <c r="O2507">
        <v>192.08</v>
      </c>
    </row>
    <row r="2508" spans="1:15" x14ac:dyDescent="0.35">
      <c r="A2508" t="s">
        <v>2923</v>
      </c>
      <c r="B2508" t="s">
        <v>2924</v>
      </c>
      <c r="C2508" t="s">
        <v>1477</v>
      </c>
      <c r="D2508" t="s">
        <v>314</v>
      </c>
      <c r="E2508" t="s">
        <v>294</v>
      </c>
      <c r="F2508" t="s">
        <v>2935</v>
      </c>
      <c r="G2508">
        <v>2</v>
      </c>
      <c r="H2508">
        <v>652.79999999999995</v>
      </c>
      <c r="I2508">
        <v>326.39999999999998</v>
      </c>
      <c r="J2508">
        <v>0</v>
      </c>
      <c r="K2508">
        <v>0</v>
      </c>
      <c r="L2508">
        <v>0</v>
      </c>
      <c r="M2508">
        <v>2</v>
      </c>
      <c r="N2508">
        <v>652.79999999999995</v>
      </c>
      <c r="O2508">
        <v>326.39999999999998</v>
      </c>
    </row>
    <row r="2509" spans="1:15" x14ac:dyDescent="0.35">
      <c r="A2509" t="s">
        <v>2923</v>
      </c>
      <c r="B2509" t="s">
        <v>2924</v>
      </c>
      <c r="C2509" t="s">
        <v>1477</v>
      </c>
      <c r="D2509" t="s">
        <v>314</v>
      </c>
      <c r="E2509" t="s">
        <v>296</v>
      </c>
      <c r="F2509" t="s">
        <v>2936</v>
      </c>
      <c r="G2509">
        <v>0</v>
      </c>
      <c r="H2509">
        <v>0</v>
      </c>
      <c r="I2509">
        <v>0</v>
      </c>
      <c r="J2509">
        <v>0</v>
      </c>
      <c r="K2509">
        <v>0</v>
      </c>
      <c r="L2509">
        <v>0</v>
      </c>
      <c r="M2509">
        <v>0</v>
      </c>
      <c r="N2509">
        <v>0</v>
      </c>
      <c r="O2509">
        <v>0</v>
      </c>
    </row>
    <row r="2510" spans="1:15" x14ac:dyDescent="0.35">
      <c r="A2510" t="s">
        <v>2923</v>
      </c>
      <c r="B2510" t="s">
        <v>2924</v>
      </c>
      <c r="C2510" t="s">
        <v>1477</v>
      </c>
      <c r="D2510" t="s">
        <v>314</v>
      </c>
      <c r="E2510" t="s">
        <v>298</v>
      </c>
      <c r="F2510" t="s">
        <v>2937</v>
      </c>
      <c r="G2510">
        <v>0</v>
      </c>
      <c r="H2510">
        <v>0</v>
      </c>
      <c r="I2510">
        <v>0</v>
      </c>
      <c r="J2510">
        <v>0</v>
      </c>
      <c r="K2510">
        <v>0</v>
      </c>
      <c r="L2510">
        <v>0</v>
      </c>
      <c r="M2510">
        <v>0</v>
      </c>
      <c r="N2510">
        <v>0</v>
      </c>
      <c r="O2510">
        <v>0</v>
      </c>
    </row>
    <row r="2511" spans="1:15" x14ac:dyDescent="0.35">
      <c r="A2511" t="s">
        <v>2923</v>
      </c>
      <c r="B2511" t="s">
        <v>2924</v>
      </c>
      <c r="C2511" t="s">
        <v>1477</v>
      </c>
      <c r="D2511" t="s">
        <v>314</v>
      </c>
      <c r="E2511" t="s">
        <v>300</v>
      </c>
      <c r="F2511" t="s">
        <v>2938</v>
      </c>
      <c r="G2511">
        <v>0</v>
      </c>
      <c r="H2511">
        <v>0</v>
      </c>
      <c r="I2511">
        <v>0</v>
      </c>
      <c r="J2511">
        <v>0</v>
      </c>
      <c r="K2511">
        <v>0</v>
      </c>
      <c r="L2511">
        <v>0</v>
      </c>
      <c r="M2511">
        <v>0</v>
      </c>
      <c r="N2511">
        <v>0</v>
      </c>
      <c r="O2511">
        <v>0</v>
      </c>
    </row>
    <row r="2512" spans="1:15" x14ac:dyDescent="0.35">
      <c r="A2512" t="s">
        <v>2923</v>
      </c>
      <c r="B2512" t="s">
        <v>2924</v>
      </c>
      <c r="C2512" t="s">
        <v>1477</v>
      </c>
      <c r="D2512" t="s">
        <v>314</v>
      </c>
      <c r="E2512" t="s">
        <v>306</v>
      </c>
      <c r="F2512" t="s">
        <v>2939</v>
      </c>
      <c r="G2512">
        <v>0</v>
      </c>
      <c r="H2512">
        <v>0</v>
      </c>
      <c r="I2512">
        <v>0</v>
      </c>
      <c r="J2512">
        <v>0</v>
      </c>
      <c r="K2512">
        <v>0</v>
      </c>
      <c r="L2512">
        <v>0</v>
      </c>
      <c r="M2512">
        <v>0</v>
      </c>
      <c r="N2512">
        <v>0</v>
      </c>
      <c r="O2512">
        <v>0</v>
      </c>
    </row>
    <row r="2513" spans="1:15" x14ac:dyDescent="0.35">
      <c r="A2513" t="s">
        <v>2923</v>
      </c>
      <c r="B2513" t="s">
        <v>2924</v>
      </c>
      <c r="C2513" t="s">
        <v>1477</v>
      </c>
      <c r="D2513" t="s">
        <v>314</v>
      </c>
      <c r="E2513" t="s">
        <v>308</v>
      </c>
      <c r="F2513" t="s">
        <v>2940</v>
      </c>
      <c r="G2513">
        <v>0</v>
      </c>
      <c r="H2513">
        <v>0</v>
      </c>
      <c r="I2513">
        <v>0</v>
      </c>
      <c r="J2513">
        <v>0</v>
      </c>
      <c r="K2513">
        <v>0</v>
      </c>
      <c r="L2513">
        <v>0</v>
      </c>
      <c r="M2513">
        <v>0</v>
      </c>
      <c r="N2513">
        <v>0</v>
      </c>
      <c r="O2513">
        <v>0</v>
      </c>
    </row>
    <row r="2514" spans="1:15" x14ac:dyDescent="0.35">
      <c r="A2514" t="s">
        <v>2923</v>
      </c>
      <c r="B2514" t="s">
        <v>2924</v>
      </c>
      <c r="C2514" t="s">
        <v>1477</v>
      </c>
      <c r="D2514" t="s">
        <v>314</v>
      </c>
      <c r="E2514" t="s">
        <v>312</v>
      </c>
      <c r="F2514" t="s">
        <v>2941</v>
      </c>
      <c r="G2514">
        <v>2</v>
      </c>
      <c r="H2514">
        <v>652.79999999999995</v>
      </c>
      <c r="I2514">
        <v>326.39999999999998</v>
      </c>
      <c r="J2514">
        <v>0</v>
      </c>
      <c r="K2514">
        <v>0</v>
      </c>
      <c r="L2514">
        <v>0</v>
      </c>
      <c r="M2514">
        <v>2</v>
      </c>
      <c r="N2514">
        <v>652.79999999999995</v>
      </c>
      <c r="O2514">
        <v>326.39999999999998</v>
      </c>
    </row>
    <row r="2515" spans="1:15" x14ac:dyDescent="0.35">
      <c r="A2515" t="s">
        <v>2923</v>
      </c>
      <c r="B2515" t="s">
        <v>2924</v>
      </c>
      <c r="C2515" t="s">
        <v>1477</v>
      </c>
      <c r="D2515" t="s">
        <v>314</v>
      </c>
      <c r="E2515" t="s">
        <v>310</v>
      </c>
      <c r="F2515" t="s">
        <v>2942</v>
      </c>
      <c r="G2515">
        <v>2</v>
      </c>
      <c r="H2515">
        <v>652.79999999999995</v>
      </c>
      <c r="I2515">
        <v>326.39999999999998</v>
      </c>
      <c r="J2515">
        <v>0</v>
      </c>
      <c r="K2515">
        <v>0</v>
      </c>
      <c r="L2515">
        <v>0</v>
      </c>
      <c r="M2515">
        <v>2</v>
      </c>
      <c r="N2515">
        <v>652.79999999999995</v>
      </c>
      <c r="O2515">
        <v>326.39999999999998</v>
      </c>
    </row>
    <row r="2516" spans="1:15" x14ac:dyDescent="0.35">
      <c r="A2516" t="s">
        <v>2923</v>
      </c>
      <c r="B2516" t="s">
        <v>2924</v>
      </c>
      <c r="C2516" t="s">
        <v>1477</v>
      </c>
      <c r="D2516" t="s">
        <v>323</v>
      </c>
      <c r="E2516" t="s">
        <v>294</v>
      </c>
      <c r="F2516" t="s">
        <v>2943</v>
      </c>
      <c r="G2516">
        <v>756</v>
      </c>
      <c r="H2516">
        <v>87747.189999999973</v>
      </c>
      <c r="I2516">
        <v>116.07</v>
      </c>
      <c r="J2516">
        <v>1574</v>
      </c>
      <c r="K2516">
        <v>164750.58000000002</v>
      </c>
      <c r="L2516">
        <v>104.67</v>
      </c>
      <c r="M2516">
        <v>2330</v>
      </c>
      <c r="N2516">
        <v>252497.77</v>
      </c>
      <c r="O2516">
        <v>108.37</v>
      </c>
    </row>
    <row r="2517" spans="1:15" x14ac:dyDescent="0.35">
      <c r="A2517" t="s">
        <v>2923</v>
      </c>
      <c r="B2517" t="s">
        <v>2924</v>
      </c>
      <c r="C2517" t="s">
        <v>1477</v>
      </c>
      <c r="D2517" t="s">
        <v>323</v>
      </c>
      <c r="E2517" t="s">
        <v>296</v>
      </c>
      <c r="F2517" t="s">
        <v>2944</v>
      </c>
      <c r="G2517">
        <v>905</v>
      </c>
      <c r="H2517">
        <v>124342.08</v>
      </c>
      <c r="I2517">
        <v>137.38999999999999</v>
      </c>
      <c r="J2517">
        <v>2196</v>
      </c>
      <c r="K2517">
        <v>267824.15999999997</v>
      </c>
      <c r="L2517">
        <v>121.96</v>
      </c>
      <c r="M2517">
        <v>3101</v>
      </c>
      <c r="N2517">
        <v>392166.24</v>
      </c>
      <c r="O2517">
        <v>126.46</v>
      </c>
    </row>
    <row r="2518" spans="1:15" x14ac:dyDescent="0.35">
      <c r="A2518" t="s">
        <v>2923</v>
      </c>
      <c r="B2518" t="s">
        <v>2924</v>
      </c>
      <c r="C2518" t="s">
        <v>1477</v>
      </c>
      <c r="D2518" t="s">
        <v>323</v>
      </c>
      <c r="E2518" t="s">
        <v>298</v>
      </c>
      <c r="F2518" t="s">
        <v>2945</v>
      </c>
      <c r="G2518">
        <v>800</v>
      </c>
      <c r="H2518">
        <v>120649.45</v>
      </c>
      <c r="I2518">
        <v>150.81</v>
      </c>
      <c r="J2518">
        <v>2140</v>
      </c>
      <c r="K2518">
        <v>294078.8</v>
      </c>
      <c r="L2518">
        <v>137.41999999999999</v>
      </c>
      <c r="M2518">
        <v>2940</v>
      </c>
      <c r="N2518">
        <v>414728.25</v>
      </c>
      <c r="O2518">
        <v>141.06</v>
      </c>
    </row>
    <row r="2519" spans="1:15" x14ac:dyDescent="0.35">
      <c r="A2519" t="s">
        <v>2923</v>
      </c>
      <c r="B2519" t="s">
        <v>2924</v>
      </c>
      <c r="C2519" t="s">
        <v>1477</v>
      </c>
      <c r="D2519" t="s">
        <v>323</v>
      </c>
      <c r="E2519" t="s">
        <v>300</v>
      </c>
      <c r="F2519" t="s">
        <v>2946</v>
      </c>
      <c r="G2519">
        <v>88</v>
      </c>
      <c r="H2519">
        <v>15252.630000000001</v>
      </c>
      <c r="I2519">
        <v>173.33</v>
      </c>
      <c r="J2519">
        <v>98</v>
      </c>
      <c r="K2519">
        <v>15657.460000000001</v>
      </c>
      <c r="L2519">
        <v>159.77000000000001</v>
      </c>
      <c r="M2519">
        <v>186</v>
      </c>
      <c r="N2519">
        <v>30910.090000000004</v>
      </c>
      <c r="O2519">
        <v>166.18</v>
      </c>
    </row>
    <row r="2520" spans="1:15" x14ac:dyDescent="0.35">
      <c r="A2520" t="s">
        <v>2923</v>
      </c>
      <c r="B2520" t="s">
        <v>2924</v>
      </c>
      <c r="C2520" t="s">
        <v>1477</v>
      </c>
      <c r="D2520" t="s">
        <v>323</v>
      </c>
      <c r="E2520" t="s">
        <v>302</v>
      </c>
      <c r="F2520" t="s">
        <v>2947</v>
      </c>
      <c r="G2520">
        <v>9</v>
      </c>
      <c r="H2520">
        <v>1660.37</v>
      </c>
      <c r="I2520">
        <v>184.49</v>
      </c>
      <c r="J2520">
        <v>7</v>
      </c>
      <c r="K2520">
        <v>1165.5</v>
      </c>
      <c r="L2520">
        <v>166.5</v>
      </c>
      <c r="M2520">
        <v>16</v>
      </c>
      <c r="N2520">
        <v>2825.87</v>
      </c>
      <c r="O2520">
        <v>176.62</v>
      </c>
    </row>
    <row r="2521" spans="1:15" x14ac:dyDescent="0.35">
      <c r="A2521" t="s">
        <v>2923</v>
      </c>
      <c r="B2521" t="s">
        <v>2924</v>
      </c>
      <c r="C2521" t="s">
        <v>1477</v>
      </c>
      <c r="D2521" t="s">
        <v>323</v>
      </c>
      <c r="E2521" t="s">
        <v>304</v>
      </c>
      <c r="F2521" t="s">
        <v>2948</v>
      </c>
      <c r="G2521">
        <v>4</v>
      </c>
      <c r="H2521">
        <v>746.36000000000013</v>
      </c>
      <c r="I2521">
        <v>186.59</v>
      </c>
      <c r="J2521">
        <v>2</v>
      </c>
      <c r="K2521">
        <v>419.8</v>
      </c>
      <c r="L2521">
        <v>209.9</v>
      </c>
      <c r="M2521">
        <v>6</v>
      </c>
      <c r="N2521">
        <v>1166.1600000000001</v>
      </c>
      <c r="O2521">
        <v>194.36</v>
      </c>
    </row>
    <row r="2522" spans="1:15" x14ac:dyDescent="0.35">
      <c r="A2522" t="s">
        <v>2923</v>
      </c>
      <c r="B2522" t="s">
        <v>2924</v>
      </c>
      <c r="C2522" t="s">
        <v>1477</v>
      </c>
      <c r="D2522" t="s">
        <v>323</v>
      </c>
      <c r="E2522" t="s">
        <v>306</v>
      </c>
      <c r="F2522" t="s">
        <v>2949</v>
      </c>
      <c r="G2522">
        <v>147</v>
      </c>
      <c r="H2522">
        <v>13877.32</v>
      </c>
      <c r="I2522">
        <v>94.4</v>
      </c>
      <c r="J2522">
        <v>95</v>
      </c>
      <c r="K2522">
        <v>8855.9</v>
      </c>
      <c r="L2522">
        <v>93.22</v>
      </c>
      <c r="M2522">
        <v>242</v>
      </c>
      <c r="N2522">
        <v>22733.22</v>
      </c>
      <c r="O2522">
        <v>93.94</v>
      </c>
    </row>
    <row r="2523" spans="1:15" x14ac:dyDescent="0.35">
      <c r="A2523" t="s">
        <v>2923</v>
      </c>
      <c r="B2523" t="s">
        <v>2924</v>
      </c>
      <c r="C2523" t="s">
        <v>1477</v>
      </c>
      <c r="D2523" t="s">
        <v>323</v>
      </c>
      <c r="E2523" t="s">
        <v>308</v>
      </c>
      <c r="F2523" t="s">
        <v>2950</v>
      </c>
      <c r="G2523">
        <v>12</v>
      </c>
      <c r="H2523">
        <v>1033.6399999999999</v>
      </c>
      <c r="I2523">
        <v>86.14</v>
      </c>
      <c r="J2523">
        <v>21</v>
      </c>
      <c r="K2523">
        <v>2360.61</v>
      </c>
      <c r="L2523">
        <v>112.41</v>
      </c>
      <c r="M2523">
        <v>33</v>
      </c>
      <c r="N2523">
        <v>3394.25</v>
      </c>
      <c r="O2523">
        <v>102.86</v>
      </c>
    </row>
    <row r="2524" spans="1:15" x14ac:dyDescent="0.35">
      <c r="A2524" t="s">
        <v>2923</v>
      </c>
      <c r="B2524" t="s">
        <v>2924</v>
      </c>
      <c r="C2524" t="s">
        <v>1477</v>
      </c>
      <c r="D2524" t="s">
        <v>323</v>
      </c>
      <c r="E2524" t="s">
        <v>310</v>
      </c>
      <c r="F2524" t="s">
        <v>2951</v>
      </c>
      <c r="G2524">
        <v>2721</v>
      </c>
      <c r="H2524">
        <v>365309.04</v>
      </c>
      <c r="I2524">
        <v>134.26</v>
      </c>
      <c r="J2524">
        <v>6133</v>
      </c>
      <c r="K2524">
        <v>755112.81</v>
      </c>
      <c r="L2524">
        <v>123.12</v>
      </c>
      <c r="M2524">
        <v>8854</v>
      </c>
      <c r="N2524">
        <v>1120421.8500000001</v>
      </c>
      <c r="O2524">
        <v>126.54</v>
      </c>
    </row>
    <row r="2525" spans="1:15" x14ac:dyDescent="0.35">
      <c r="A2525" t="s">
        <v>2923</v>
      </c>
      <c r="B2525" t="s">
        <v>2924</v>
      </c>
      <c r="C2525" t="s">
        <v>1477</v>
      </c>
      <c r="D2525" t="s">
        <v>323</v>
      </c>
      <c r="E2525" t="s">
        <v>312</v>
      </c>
      <c r="F2525" t="s">
        <v>2952</v>
      </c>
      <c r="G2525">
        <v>2709</v>
      </c>
      <c r="H2525">
        <v>364275.39999999997</v>
      </c>
      <c r="I2525">
        <v>134.47</v>
      </c>
      <c r="J2525">
        <v>6112</v>
      </c>
      <c r="K2525">
        <v>752752.20000000007</v>
      </c>
      <c r="L2525">
        <v>123.16</v>
      </c>
      <c r="M2525">
        <v>8821</v>
      </c>
      <c r="N2525">
        <v>1117027.6000000001</v>
      </c>
      <c r="O2525">
        <v>126.63</v>
      </c>
    </row>
    <row r="2526" spans="1:15" x14ac:dyDescent="0.35">
      <c r="A2526" t="s">
        <v>2923</v>
      </c>
      <c r="B2526" t="s">
        <v>2924</v>
      </c>
      <c r="C2526" t="s">
        <v>1477</v>
      </c>
      <c r="D2526" t="s">
        <v>334</v>
      </c>
      <c r="E2526" t="s">
        <v>312</v>
      </c>
      <c r="F2526" t="s">
        <v>2953</v>
      </c>
      <c r="G2526">
        <v>3945</v>
      </c>
      <c r="H2526">
        <v>555962.14999999991</v>
      </c>
      <c r="I2526">
        <v>150.38</v>
      </c>
      <c r="J2526">
        <v>7079</v>
      </c>
      <c r="K2526">
        <v>936579.84</v>
      </c>
      <c r="L2526">
        <v>132.30000000000001</v>
      </c>
      <c r="M2526">
        <v>11024</v>
      </c>
      <c r="N2526">
        <v>1492541.9899999998</v>
      </c>
      <c r="O2526">
        <v>138.51</v>
      </c>
    </row>
    <row r="2527" spans="1:15" x14ac:dyDescent="0.35">
      <c r="A2527" t="s">
        <v>2923</v>
      </c>
      <c r="B2527" t="s">
        <v>2924</v>
      </c>
      <c r="C2527" t="s">
        <v>1477</v>
      </c>
      <c r="D2527" t="s">
        <v>334</v>
      </c>
      <c r="E2527" t="s">
        <v>308</v>
      </c>
      <c r="F2527" t="s">
        <v>2954</v>
      </c>
      <c r="G2527">
        <v>597</v>
      </c>
      <c r="H2527">
        <v>1284.5899999999999</v>
      </c>
      <c r="I2527">
        <v>85.64</v>
      </c>
      <c r="J2527">
        <v>21</v>
      </c>
      <c r="K2527">
        <v>2360.61</v>
      </c>
      <c r="L2527">
        <v>112.41</v>
      </c>
      <c r="M2527">
        <v>618</v>
      </c>
      <c r="N2527">
        <v>3645.2</v>
      </c>
      <c r="O2527">
        <v>101.26</v>
      </c>
    </row>
    <row r="2528" spans="1:15" x14ac:dyDescent="0.35">
      <c r="A2528" t="s">
        <v>2923</v>
      </c>
      <c r="B2528" t="s">
        <v>2924</v>
      </c>
      <c r="C2528" t="s">
        <v>1477</v>
      </c>
      <c r="D2528" t="s">
        <v>337</v>
      </c>
      <c r="E2528" t="s">
        <v>337</v>
      </c>
      <c r="F2528" t="s">
        <v>2955</v>
      </c>
      <c r="G2528">
        <v>653</v>
      </c>
      <c r="J2528">
        <v>80</v>
      </c>
      <c r="M2528">
        <v>733</v>
      </c>
    </row>
    <row r="2529" spans="1:15" x14ac:dyDescent="0.35">
      <c r="A2529" t="s">
        <v>2923</v>
      </c>
      <c r="B2529" t="s">
        <v>2924</v>
      </c>
      <c r="C2529" t="s">
        <v>1477</v>
      </c>
      <c r="D2529" t="s">
        <v>339</v>
      </c>
      <c r="E2529" t="s">
        <v>294</v>
      </c>
      <c r="F2529" t="s">
        <v>2956</v>
      </c>
      <c r="G2529">
        <v>303</v>
      </c>
      <c r="H2529">
        <v>38369.229999999996</v>
      </c>
      <c r="I2529">
        <v>126.63</v>
      </c>
      <c r="J2529">
        <v>482</v>
      </c>
      <c r="K2529">
        <v>51892.119999999995</v>
      </c>
      <c r="L2529">
        <v>107.66</v>
      </c>
      <c r="M2529">
        <v>785</v>
      </c>
      <c r="N2529">
        <v>90261.349999999991</v>
      </c>
      <c r="O2529">
        <v>114.98</v>
      </c>
    </row>
    <row r="2530" spans="1:15" x14ac:dyDescent="0.35">
      <c r="A2530" t="s">
        <v>2923</v>
      </c>
      <c r="B2530" t="s">
        <v>2924</v>
      </c>
      <c r="C2530" t="s">
        <v>1477</v>
      </c>
      <c r="D2530" t="s">
        <v>339</v>
      </c>
      <c r="E2530" t="s">
        <v>296</v>
      </c>
      <c r="F2530" t="s">
        <v>2957</v>
      </c>
      <c r="G2530">
        <v>148</v>
      </c>
      <c r="H2530">
        <v>23518.219999999998</v>
      </c>
      <c r="I2530">
        <v>158.91</v>
      </c>
      <c r="J2530">
        <v>57</v>
      </c>
      <c r="K2530">
        <v>6935.1900000000005</v>
      </c>
      <c r="L2530">
        <v>121.67</v>
      </c>
      <c r="M2530">
        <v>205</v>
      </c>
      <c r="N2530">
        <v>30453.409999999996</v>
      </c>
      <c r="O2530">
        <v>148.55000000000001</v>
      </c>
    </row>
    <row r="2531" spans="1:15" x14ac:dyDescent="0.35">
      <c r="A2531" t="s">
        <v>2923</v>
      </c>
      <c r="B2531" t="s">
        <v>2924</v>
      </c>
      <c r="C2531" t="s">
        <v>1477</v>
      </c>
      <c r="D2531" t="s">
        <v>339</v>
      </c>
      <c r="E2531" t="s">
        <v>298</v>
      </c>
      <c r="F2531" t="s">
        <v>2958</v>
      </c>
      <c r="G2531">
        <v>3</v>
      </c>
      <c r="H2531">
        <v>463.12</v>
      </c>
      <c r="I2531">
        <v>154.37</v>
      </c>
      <c r="J2531">
        <v>0</v>
      </c>
      <c r="K2531">
        <v>0</v>
      </c>
      <c r="L2531">
        <v>0</v>
      </c>
      <c r="M2531">
        <v>3</v>
      </c>
      <c r="N2531">
        <v>463.12</v>
      </c>
      <c r="O2531">
        <v>154.37</v>
      </c>
    </row>
    <row r="2532" spans="1:15" x14ac:dyDescent="0.35">
      <c r="A2532" t="s">
        <v>2923</v>
      </c>
      <c r="B2532" t="s">
        <v>2924</v>
      </c>
      <c r="C2532" t="s">
        <v>1477</v>
      </c>
      <c r="D2532" t="s">
        <v>339</v>
      </c>
      <c r="E2532" t="s">
        <v>300</v>
      </c>
      <c r="F2532" t="s">
        <v>2959</v>
      </c>
      <c r="G2532">
        <v>0</v>
      </c>
      <c r="H2532">
        <v>0</v>
      </c>
      <c r="I2532">
        <v>0</v>
      </c>
      <c r="J2532">
        <v>0</v>
      </c>
      <c r="K2532">
        <v>0</v>
      </c>
      <c r="L2532">
        <v>0</v>
      </c>
      <c r="M2532">
        <v>0</v>
      </c>
      <c r="N2532">
        <v>0</v>
      </c>
      <c r="O2532">
        <v>0</v>
      </c>
    </row>
    <row r="2533" spans="1:15" x14ac:dyDescent="0.35">
      <c r="A2533" t="s">
        <v>2923</v>
      </c>
      <c r="B2533" t="s">
        <v>2924</v>
      </c>
      <c r="C2533" t="s">
        <v>1477</v>
      </c>
      <c r="D2533" t="s">
        <v>339</v>
      </c>
      <c r="E2533" t="s">
        <v>306</v>
      </c>
      <c r="F2533" t="s">
        <v>2960</v>
      </c>
      <c r="G2533">
        <v>102</v>
      </c>
      <c r="H2533">
        <v>10171.61</v>
      </c>
      <c r="I2533">
        <v>99.72</v>
      </c>
      <c r="J2533">
        <v>0</v>
      </c>
      <c r="K2533">
        <v>0</v>
      </c>
      <c r="L2533">
        <v>0</v>
      </c>
      <c r="M2533">
        <v>102</v>
      </c>
      <c r="N2533">
        <v>10171.61</v>
      </c>
      <c r="O2533">
        <v>99.72</v>
      </c>
    </row>
    <row r="2534" spans="1:15" x14ac:dyDescent="0.35">
      <c r="A2534" t="s">
        <v>2923</v>
      </c>
      <c r="B2534" t="s">
        <v>2924</v>
      </c>
      <c r="C2534" t="s">
        <v>1477</v>
      </c>
      <c r="D2534" t="s">
        <v>339</v>
      </c>
      <c r="E2534" t="s">
        <v>308</v>
      </c>
      <c r="F2534" t="s">
        <v>2961</v>
      </c>
      <c r="G2534">
        <v>248</v>
      </c>
      <c r="H2534">
        <v>26813.260000000002</v>
      </c>
      <c r="I2534">
        <v>108.12</v>
      </c>
      <c r="J2534">
        <v>0</v>
      </c>
      <c r="K2534">
        <v>0</v>
      </c>
      <c r="L2534">
        <v>0</v>
      </c>
      <c r="M2534">
        <v>248</v>
      </c>
      <c r="N2534">
        <v>26813.260000000002</v>
      </c>
      <c r="O2534">
        <v>108.12</v>
      </c>
    </row>
    <row r="2535" spans="1:15" x14ac:dyDescent="0.35">
      <c r="A2535" t="s">
        <v>2923</v>
      </c>
      <c r="B2535" t="s">
        <v>2924</v>
      </c>
      <c r="C2535" t="s">
        <v>1477</v>
      </c>
      <c r="D2535" t="s">
        <v>339</v>
      </c>
      <c r="E2535" t="s">
        <v>310</v>
      </c>
      <c r="F2535" t="s">
        <v>2962</v>
      </c>
      <c r="G2535">
        <v>804</v>
      </c>
      <c r="H2535">
        <v>99335.44</v>
      </c>
      <c r="I2535">
        <v>123.55</v>
      </c>
      <c r="J2535">
        <v>539</v>
      </c>
      <c r="K2535">
        <v>58827.31</v>
      </c>
      <c r="L2535">
        <v>109.14</v>
      </c>
      <c r="M2535">
        <v>1343</v>
      </c>
      <c r="N2535">
        <v>158162.75</v>
      </c>
      <c r="O2535">
        <v>117.77</v>
      </c>
    </row>
    <row r="2536" spans="1:15" x14ac:dyDescent="0.35">
      <c r="A2536" t="s">
        <v>2923</v>
      </c>
      <c r="B2536" t="s">
        <v>2924</v>
      </c>
      <c r="C2536" t="s">
        <v>1477</v>
      </c>
      <c r="D2536" t="s">
        <v>339</v>
      </c>
      <c r="E2536" t="s">
        <v>312</v>
      </c>
      <c r="F2536" t="s">
        <v>2963</v>
      </c>
      <c r="G2536">
        <v>556</v>
      </c>
      <c r="H2536">
        <v>72522.179999999993</v>
      </c>
      <c r="I2536">
        <v>130.44</v>
      </c>
      <c r="J2536">
        <v>539</v>
      </c>
      <c r="K2536">
        <v>58827.31</v>
      </c>
      <c r="L2536">
        <v>109.14</v>
      </c>
      <c r="M2536">
        <v>1095</v>
      </c>
      <c r="N2536">
        <v>131349.49</v>
      </c>
      <c r="O2536">
        <v>119.95</v>
      </c>
    </row>
    <row r="2537" spans="1:15" x14ac:dyDescent="0.35">
      <c r="A2537" t="s">
        <v>2923</v>
      </c>
      <c r="B2537" t="s">
        <v>2924</v>
      </c>
      <c r="C2537" t="s">
        <v>1477</v>
      </c>
      <c r="D2537" t="s">
        <v>348</v>
      </c>
      <c r="E2537" t="s">
        <v>349</v>
      </c>
      <c r="F2537" t="s">
        <v>2964</v>
      </c>
      <c r="G2537">
        <v>904</v>
      </c>
      <c r="H2537">
        <v>99988.24000000002</v>
      </c>
      <c r="I2537">
        <v>124.05</v>
      </c>
      <c r="J2537">
        <v>539</v>
      </c>
      <c r="K2537">
        <v>58827.31</v>
      </c>
      <c r="L2537">
        <v>109.14</v>
      </c>
      <c r="M2537">
        <v>1443</v>
      </c>
      <c r="N2537">
        <v>158815.55000000002</v>
      </c>
      <c r="O2537">
        <v>118.08</v>
      </c>
    </row>
    <row r="2538" spans="1:15" x14ac:dyDescent="0.35">
      <c r="A2538" t="s">
        <v>2965</v>
      </c>
      <c r="B2538" t="s">
        <v>2966</v>
      </c>
      <c r="C2538" t="s">
        <v>1477</v>
      </c>
      <c r="D2538" t="s">
        <v>293</v>
      </c>
      <c r="E2538" t="s">
        <v>294</v>
      </c>
      <c r="F2538" t="s">
        <v>2967</v>
      </c>
      <c r="G2538">
        <v>117</v>
      </c>
      <c r="H2538">
        <v>17685.07</v>
      </c>
      <c r="I2538">
        <v>151.15</v>
      </c>
      <c r="J2538">
        <v>0</v>
      </c>
      <c r="K2538">
        <v>0</v>
      </c>
      <c r="L2538">
        <v>0</v>
      </c>
      <c r="M2538">
        <v>117</v>
      </c>
      <c r="N2538">
        <v>17685.07</v>
      </c>
      <c r="O2538">
        <v>151.15</v>
      </c>
    </row>
    <row r="2539" spans="1:15" x14ac:dyDescent="0.35">
      <c r="A2539" t="s">
        <v>2965</v>
      </c>
      <c r="B2539" t="s">
        <v>2966</v>
      </c>
      <c r="C2539" t="s">
        <v>1477</v>
      </c>
      <c r="D2539" t="s">
        <v>293</v>
      </c>
      <c r="E2539" t="s">
        <v>296</v>
      </c>
      <c r="F2539" t="s">
        <v>2968</v>
      </c>
      <c r="G2539">
        <v>459</v>
      </c>
      <c r="H2539">
        <v>81945.53</v>
      </c>
      <c r="I2539">
        <v>178.53</v>
      </c>
      <c r="J2539">
        <v>0</v>
      </c>
      <c r="K2539">
        <v>0</v>
      </c>
      <c r="L2539">
        <v>0</v>
      </c>
      <c r="M2539">
        <v>459</v>
      </c>
      <c r="N2539">
        <v>81945.53</v>
      </c>
      <c r="O2539">
        <v>178.53</v>
      </c>
    </row>
    <row r="2540" spans="1:15" x14ac:dyDescent="0.35">
      <c r="A2540" t="s">
        <v>2965</v>
      </c>
      <c r="B2540" t="s">
        <v>2966</v>
      </c>
      <c r="C2540" t="s">
        <v>1477</v>
      </c>
      <c r="D2540" t="s">
        <v>293</v>
      </c>
      <c r="E2540" t="s">
        <v>298</v>
      </c>
      <c r="F2540" t="s">
        <v>2969</v>
      </c>
      <c r="G2540">
        <v>238</v>
      </c>
      <c r="H2540">
        <v>47420.28</v>
      </c>
      <c r="I2540">
        <v>199.24</v>
      </c>
      <c r="J2540">
        <v>0</v>
      </c>
      <c r="K2540">
        <v>0</v>
      </c>
      <c r="L2540">
        <v>0</v>
      </c>
      <c r="M2540">
        <v>238</v>
      </c>
      <c r="N2540">
        <v>47420.28</v>
      </c>
      <c r="O2540">
        <v>199.24</v>
      </c>
    </row>
    <row r="2541" spans="1:15" x14ac:dyDescent="0.35">
      <c r="A2541" t="s">
        <v>2965</v>
      </c>
      <c r="B2541" t="s">
        <v>2966</v>
      </c>
      <c r="C2541" t="s">
        <v>1477</v>
      </c>
      <c r="D2541" t="s">
        <v>293</v>
      </c>
      <c r="E2541" t="s">
        <v>300</v>
      </c>
      <c r="F2541" t="s">
        <v>2970</v>
      </c>
      <c r="G2541">
        <v>44</v>
      </c>
      <c r="H2541">
        <v>11791.05</v>
      </c>
      <c r="I2541">
        <v>267.98</v>
      </c>
      <c r="J2541">
        <v>0</v>
      </c>
      <c r="K2541">
        <v>0</v>
      </c>
      <c r="L2541">
        <v>0</v>
      </c>
      <c r="M2541">
        <v>44</v>
      </c>
      <c r="N2541">
        <v>11791.05</v>
      </c>
      <c r="O2541">
        <v>267.98</v>
      </c>
    </row>
    <row r="2542" spans="1:15" x14ac:dyDescent="0.35">
      <c r="A2542" t="s">
        <v>2965</v>
      </c>
      <c r="B2542" t="s">
        <v>2966</v>
      </c>
      <c r="C2542" t="s">
        <v>1477</v>
      </c>
      <c r="D2542" t="s">
        <v>293</v>
      </c>
      <c r="E2542" t="s">
        <v>302</v>
      </c>
      <c r="F2542" t="s">
        <v>2971</v>
      </c>
      <c r="G2542">
        <v>1</v>
      </c>
      <c r="H2542">
        <v>235.2</v>
      </c>
      <c r="I2542">
        <v>235.2</v>
      </c>
      <c r="J2542">
        <v>0</v>
      </c>
      <c r="K2542">
        <v>0</v>
      </c>
      <c r="L2542">
        <v>0</v>
      </c>
      <c r="M2542">
        <v>1</v>
      </c>
      <c r="N2542">
        <v>235.2</v>
      </c>
      <c r="O2542">
        <v>235.2</v>
      </c>
    </row>
    <row r="2543" spans="1:15" x14ac:dyDescent="0.35">
      <c r="A2543" t="s">
        <v>2965</v>
      </c>
      <c r="B2543" t="s">
        <v>2966</v>
      </c>
      <c r="C2543" t="s">
        <v>1477</v>
      </c>
      <c r="D2543" t="s">
        <v>293</v>
      </c>
      <c r="E2543" t="s">
        <v>304</v>
      </c>
      <c r="F2543" t="s">
        <v>2972</v>
      </c>
      <c r="G2543">
        <v>0</v>
      </c>
      <c r="H2543">
        <v>0</v>
      </c>
      <c r="I2543">
        <v>0</v>
      </c>
      <c r="J2543">
        <v>0</v>
      </c>
      <c r="K2543">
        <v>0</v>
      </c>
      <c r="L2543">
        <v>0</v>
      </c>
      <c r="M2543">
        <v>0</v>
      </c>
      <c r="N2543">
        <v>0</v>
      </c>
      <c r="O2543">
        <v>0</v>
      </c>
    </row>
    <row r="2544" spans="1:15" x14ac:dyDescent="0.35">
      <c r="A2544" t="s">
        <v>2965</v>
      </c>
      <c r="B2544" t="s">
        <v>2966</v>
      </c>
      <c r="C2544" t="s">
        <v>1477</v>
      </c>
      <c r="D2544" t="s">
        <v>293</v>
      </c>
      <c r="E2544" t="s">
        <v>306</v>
      </c>
      <c r="F2544" t="s">
        <v>2973</v>
      </c>
      <c r="G2544">
        <v>0</v>
      </c>
      <c r="H2544">
        <v>0</v>
      </c>
      <c r="I2544">
        <v>0</v>
      </c>
      <c r="J2544">
        <v>0</v>
      </c>
      <c r="K2544">
        <v>0</v>
      </c>
      <c r="L2544">
        <v>0</v>
      </c>
      <c r="M2544">
        <v>0</v>
      </c>
      <c r="N2544">
        <v>0</v>
      </c>
      <c r="O2544">
        <v>0</v>
      </c>
    </row>
    <row r="2545" spans="1:15" x14ac:dyDescent="0.35">
      <c r="A2545" t="s">
        <v>2965</v>
      </c>
      <c r="B2545" t="s">
        <v>2966</v>
      </c>
      <c r="C2545" t="s">
        <v>1477</v>
      </c>
      <c r="D2545" t="s">
        <v>293</v>
      </c>
      <c r="E2545" t="s">
        <v>308</v>
      </c>
      <c r="F2545" t="s">
        <v>2974</v>
      </c>
      <c r="G2545">
        <v>0</v>
      </c>
      <c r="H2545">
        <v>0</v>
      </c>
      <c r="I2545">
        <v>0</v>
      </c>
      <c r="J2545">
        <v>0</v>
      </c>
      <c r="K2545">
        <v>0</v>
      </c>
      <c r="L2545">
        <v>0</v>
      </c>
      <c r="M2545">
        <v>0</v>
      </c>
      <c r="N2545">
        <v>0</v>
      </c>
      <c r="O2545">
        <v>0</v>
      </c>
    </row>
    <row r="2546" spans="1:15" x14ac:dyDescent="0.35">
      <c r="A2546" t="s">
        <v>2965</v>
      </c>
      <c r="B2546" t="s">
        <v>2966</v>
      </c>
      <c r="C2546" t="s">
        <v>1477</v>
      </c>
      <c r="D2546" t="s">
        <v>293</v>
      </c>
      <c r="E2546" t="s">
        <v>310</v>
      </c>
      <c r="F2546" t="s">
        <v>2975</v>
      </c>
      <c r="G2546">
        <v>859</v>
      </c>
      <c r="H2546">
        <v>159077.13</v>
      </c>
      <c r="I2546">
        <v>185.19</v>
      </c>
      <c r="J2546">
        <v>0</v>
      </c>
      <c r="K2546">
        <v>0</v>
      </c>
      <c r="L2546">
        <v>0</v>
      </c>
      <c r="M2546">
        <v>859</v>
      </c>
      <c r="N2546">
        <v>159077.13</v>
      </c>
      <c r="O2546">
        <v>185.19</v>
      </c>
    </row>
    <row r="2547" spans="1:15" x14ac:dyDescent="0.35">
      <c r="A2547" t="s">
        <v>2965</v>
      </c>
      <c r="B2547" t="s">
        <v>2966</v>
      </c>
      <c r="C2547" t="s">
        <v>1477</v>
      </c>
      <c r="D2547" t="s">
        <v>293</v>
      </c>
      <c r="E2547" t="s">
        <v>312</v>
      </c>
      <c r="F2547" t="s">
        <v>2976</v>
      </c>
      <c r="G2547">
        <v>859</v>
      </c>
      <c r="H2547">
        <v>159077.13</v>
      </c>
      <c r="I2547">
        <v>185.19</v>
      </c>
      <c r="J2547">
        <v>0</v>
      </c>
      <c r="K2547">
        <v>0</v>
      </c>
      <c r="L2547">
        <v>0</v>
      </c>
      <c r="M2547">
        <v>859</v>
      </c>
      <c r="N2547">
        <v>159077.13</v>
      </c>
      <c r="O2547">
        <v>185.19</v>
      </c>
    </row>
    <row r="2548" spans="1:15" x14ac:dyDescent="0.35">
      <c r="A2548" t="s">
        <v>2965</v>
      </c>
      <c r="B2548" t="s">
        <v>2966</v>
      </c>
      <c r="C2548" t="s">
        <v>1477</v>
      </c>
      <c r="D2548" t="s">
        <v>323</v>
      </c>
      <c r="E2548" t="s">
        <v>294</v>
      </c>
      <c r="F2548" t="s">
        <v>2977</v>
      </c>
      <c r="G2548">
        <v>605</v>
      </c>
      <c r="H2548">
        <v>64122.35</v>
      </c>
      <c r="I2548">
        <v>105.99</v>
      </c>
      <c r="J2548">
        <v>0</v>
      </c>
      <c r="K2548">
        <v>0</v>
      </c>
      <c r="L2548">
        <v>0</v>
      </c>
      <c r="M2548">
        <v>605</v>
      </c>
      <c r="N2548">
        <v>64122.35</v>
      </c>
      <c r="O2548">
        <v>105.99</v>
      </c>
    </row>
    <row r="2549" spans="1:15" x14ac:dyDescent="0.35">
      <c r="A2549" t="s">
        <v>2965</v>
      </c>
      <c r="B2549" t="s">
        <v>2966</v>
      </c>
      <c r="C2549" t="s">
        <v>1477</v>
      </c>
      <c r="D2549" t="s">
        <v>323</v>
      </c>
      <c r="E2549" t="s">
        <v>296</v>
      </c>
      <c r="F2549" t="s">
        <v>2978</v>
      </c>
      <c r="G2549">
        <v>1634</v>
      </c>
      <c r="H2549">
        <v>201827.97</v>
      </c>
      <c r="I2549">
        <v>123.52</v>
      </c>
      <c r="J2549">
        <v>0</v>
      </c>
      <c r="K2549">
        <v>0</v>
      </c>
      <c r="L2549">
        <v>0</v>
      </c>
      <c r="M2549">
        <v>1634</v>
      </c>
      <c r="N2549">
        <v>201827.97</v>
      </c>
      <c r="O2549">
        <v>123.52</v>
      </c>
    </row>
    <row r="2550" spans="1:15" x14ac:dyDescent="0.35">
      <c r="A2550" t="s">
        <v>2965</v>
      </c>
      <c r="B2550" t="s">
        <v>2966</v>
      </c>
      <c r="C2550" t="s">
        <v>1477</v>
      </c>
      <c r="D2550" t="s">
        <v>323</v>
      </c>
      <c r="E2550" t="s">
        <v>298</v>
      </c>
      <c r="F2550" t="s">
        <v>2979</v>
      </c>
      <c r="G2550">
        <v>1371</v>
      </c>
      <c r="H2550">
        <v>188115.57000000004</v>
      </c>
      <c r="I2550">
        <v>137.21</v>
      </c>
      <c r="J2550">
        <v>0</v>
      </c>
      <c r="K2550">
        <v>0</v>
      </c>
      <c r="L2550">
        <v>0</v>
      </c>
      <c r="M2550">
        <v>1371</v>
      </c>
      <c r="N2550">
        <v>188115.57000000004</v>
      </c>
      <c r="O2550">
        <v>137.21</v>
      </c>
    </row>
    <row r="2551" spans="1:15" x14ac:dyDescent="0.35">
      <c r="A2551" t="s">
        <v>2965</v>
      </c>
      <c r="B2551" t="s">
        <v>2966</v>
      </c>
      <c r="C2551" t="s">
        <v>1477</v>
      </c>
      <c r="D2551" t="s">
        <v>323</v>
      </c>
      <c r="E2551" t="s">
        <v>300</v>
      </c>
      <c r="F2551" t="s">
        <v>2980</v>
      </c>
      <c r="G2551">
        <v>110</v>
      </c>
      <c r="H2551">
        <v>16518.59</v>
      </c>
      <c r="I2551">
        <v>150.16999999999999</v>
      </c>
      <c r="J2551">
        <v>0</v>
      </c>
      <c r="K2551">
        <v>0</v>
      </c>
      <c r="L2551">
        <v>0</v>
      </c>
      <c r="M2551">
        <v>110</v>
      </c>
      <c r="N2551">
        <v>16518.59</v>
      </c>
      <c r="O2551">
        <v>150.16999999999999</v>
      </c>
    </row>
    <row r="2552" spans="1:15" x14ac:dyDescent="0.35">
      <c r="A2552" t="s">
        <v>2965</v>
      </c>
      <c r="B2552" t="s">
        <v>2966</v>
      </c>
      <c r="C2552" t="s">
        <v>1477</v>
      </c>
      <c r="D2552" t="s">
        <v>323</v>
      </c>
      <c r="E2552" t="s">
        <v>302</v>
      </c>
      <c r="F2552" t="s">
        <v>2981</v>
      </c>
      <c r="G2552">
        <v>1</v>
      </c>
      <c r="H2552">
        <v>164.84</v>
      </c>
      <c r="I2552">
        <v>164.84</v>
      </c>
      <c r="J2552">
        <v>0</v>
      </c>
      <c r="K2552">
        <v>0</v>
      </c>
      <c r="L2552">
        <v>0</v>
      </c>
      <c r="M2552">
        <v>1</v>
      </c>
      <c r="N2552">
        <v>164.84</v>
      </c>
      <c r="O2552">
        <v>164.84</v>
      </c>
    </row>
    <row r="2553" spans="1:15" x14ac:dyDescent="0.35">
      <c r="A2553" t="s">
        <v>2965</v>
      </c>
      <c r="B2553" t="s">
        <v>2966</v>
      </c>
      <c r="C2553" t="s">
        <v>1477</v>
      </c>
      <c r="D2553" t="s">
        <v>323</v>
      </c>
      <c r="E2553" t="s">
        <v>304</v>
      </c>
      <c r="F2553" t="s">
        <v>2982</v>
      </c>
      <c r="G2553">
        <v>0</v>
      </c>
      <c r="H2553">
        <v>0</v>
      </c>
      <c r="I2553">
        <v>0</v>
      </c>
      <c r="J2553">
        <v>0</v>
      </c>
      <c r="K2553">
        <v>0</v>
      </c>
      <c r="L2553">
        <v>0</v>
      </c>
      <c r="M2553">
        <v>0</v>
      </c>
      <c r="N2553">
        <v>0</v>
      </c>
      <c r="O2553">
        <v>0</v>
      </c>
    </row>
    <row r="2554" spans="1:15" x14ac:dyDescent="0.35">
      <c r="A2554" t="s">
        <v>2965</v>
      </c>
      <c r="B2554" t="s">
        <v>2966</v>
      </c>
      <c r="C2554" t="s">
        <v>1477</v>
      </c>
      <c r="D2554" t="s">
        <v>323</v>
      </c>
      <c r="E2554" t="s">
        <v>306</v>
      </c>
      <c r="F2554" t="s">
        <v>2983</v>
      </c>
      <c r="G2554">
        <v>9</v>
      </c>
      <c r="H2554">
        <v>820.17</v>
      </c>
      <c r="I2554">
        <v>91.13</v>
      </c>
      <c r="J2554">
        <v>0</v>
      </c>
      <c r="K2554">
        <v>0</v>
      </c>
      <c r="L2554">
        <v>0</v>
      </c>
      <c r="M2554">
        <v>9</v>
      </c>
      <c r="N2554">
        <v>820.17</v>
      </c>
      <c r="O2554">
        <v>91.13</v>
      </c>
    </row>
    <row r="2555" spans="1:15" x14ac:dyDescent="0.35">
      <c r="A2555" t="s">
        <v>2965</v>
      </c>
      <c r="B2555" t="s">
        <v>2966</v>
      </c>
      <c r="C2555" t="s">
        <v>1477</v>
      </c>
      <c r="D2555" t="s">
        <v>323</v>
      </c>
      <c r="E2555" t="s">
        <v>308</v>
      </c>
      <c r="F2555" t="s">
        <v>2984</v>
      </c>
      <c r="G2555">
        <v>5</v>
      </c>
      <c r="H2555">
        <v>476.95</v>
      </c>
      <c r="I2555">
        <v>95.39</v>
      </c>
      <c r="J2555">
        <v>0</v>
      </c>
      <c r="K2555">
        <v>0</v>
      </c>
      <c r="L2555">
        <v>0</v>
      </c>
      <c r="M2555">
        <v>5</v>
      </c>
      <c r="N2555">
        <v>476.95</v>
      </c>
      <c r="O2555">
        <v>95.39</v>
      </c>
    </row>
    <row r="2556" spans="1:15" x14ac:dyDescent="0.35">
      <c r="A2556" t="s">
        <v>2965</v>
      </c>
      <c r="B2556" t="s">
        <v>2966</v>
      </c>
      <c r="C2556" t="s">
        <v>1477</v>
      </c>
      <c r="D2556" t="s">
        <v>323</v>
      </c>
      <c r="E2556" t="s">
        <v>310</v>
      </c>
      <c r="F2556" t="s">
        <v>2985</v>
      </c>
      <c r="G2556">
        <v>3735</v>
      </c>
      <c r="H2556">
        <v>472046.44000000006</v>
      </c>
      <c r="I2556">
        <v>126.38</v>
      </c>
      <c r="J2556">
        <v>0</v>
      </c>
      <c r="K2556">
        <v>0</v>
      </c>
      <c r="L2556">
        <v>0</v>
      </c>
      <c r="M2556">
        <v>3735</v>
      </c>
      <c r="N2556">
        <v>472046.44000000006</v>
      </c>
      <c r="O2556">
        <v>126.38</v>
      </c>
    </row>
    <row r="2557" spans="1:15" x14ac:dyDescent="0.35">
      <c r="A2557" t="s">
        <v>2965</v>
      </c>
      <c r="B2557" t="s">
        <v>2966</v>
      </c>
      <c r="C2557" t="s">
        <v>1477</v>
      </c>
      <c r="D2557" t="s">
        <v>323</v>
      </c>
      <c r="E2557" t="s">
        <v>312</v>
      </c>
      <c r="F2557" t="s">
        <v>2986</v>
      </c>
      <c r="G2557">
        <v>3730</v>
      </c>
      <c r="H2557">
        <v>471569.49000000005</v>
      </c>
      <c r="I2557">
        <v>126.43</v>
      </c>
      <c r="J2557">
        <v>0</v>
      </c>
      <c r="K2557">
        <v>0</v>
      </c>
      <c r="L2557">
        <v>0</v>
      </c>
      <c r="M2557">
        <v>3730</v>
      </c>
      <c r="N2557">
        <v>471569.49000000005</v>
      </c>
      <c r="O2557">
        <v>126.43</v>
      </c>
    </row>
    <row r="2558" spans="1:15" x14ac:dyDescent="0.35">
      <c r="A2558" t="s">
        <v>2965</v>
      </c>
      <c r="B2558" t="s">
        <v>2966</v>
      </c>
      <c r="C2558" t="s">
        <v>1477</v>
      </c>
      <c r="D2558" t="s">
        <v>334</v>
      </c>
      <c r="E2558" t="s">
        <v>312</v>
      </c>
      <c r="F2558" t="s">
        <v>2987</v>
      </c>
      <c r="G2558">
        <v>4667</v>
      </c>
      <c r="H2558">
        <v>630646.62</v>
      </c>
      <c r="I2558">
        <v>137.43</v>
      </c>
      <c r="J2558">
        <v>0</v>
      </c>
      <c r="K2558">
        <v>0</v>
      </c>
      <c r="L2558">
        <v>0</v>
      </c>
      <c r="M2558">
        <v>4667</v>
      </c>
      <c r="N2558">
        <v>630646.62</v>
      </c>
      <c r="O2558">
        <v>137.43</v>
      </c>
    </row>
    <row r="2559" spans="1:15" x14ac:dyDescent="0.35">
      <c r="A2559" t="s">
        <v>2965</v>
      </c>
      <c r="B2559" t="s">
        <v>2966</v>
      </c>
      <c r="C2559" t="s">
        <v>1477</v>
      </c>
      <c r="D2559" t="s">
        <v>334</v>
      </c>
      <c r="E2559" t="s">
        <v>308</v>
      </c>
      <c r="F2559" t="s">
        <v>2988</v>
      </c>
      <c r="G2559">
        <v>5</v>
      </c>
      <c r="H2559">
        <v>476.95</v>
      </c>
      <c r="I2559">
        <v>95.39</v>
      </c>
      <c r="J2559">
        <v>0</v>
      </c>
      <c r="K2559">
        <v>0</v>
      </c>
      <c r="L2559">
        <v>0</v>
      </c>
      <c r="M2559">
        <v>5</v>
      </c>
      <c r="N2559">
        <v>476.95</v>
      </c>
      <c r="O2559">
        <v>95.39</v>
      </c>
    </row>
    <row r="2560" spans="1:15" x14ac:dyDescent="0.35">
      <c r="A2560" t="s">
        <v>2965</v>
      </c>
      <c r="B2560" t="s">
        <v>2966</v>
      </c>
      <c r="C2560" t="s">
        <v>1477</v>
      </c>
      <c r="D2560" t="s">
        <v>337</v>
      </c>
      <c r="E2560" t="s">
        <v>337</v>
      </c>
      <c r="F2560" t="s">
        <v>2989</v>
      </c>
      <c r="G2560">
        <v>725</v>
      </c>
      <c r="J2560">
        <v>0</v>
      </c>
      <c r="M2560">
        <v>725</v>
      </c>
    </row>
    <row r="2561" spans="1:15" x14ac:dyDescent="0.35">
      <c r="A2561" t="s">
        <v>2965</v>
      </c>
      <c r="B2561" t="s">
        <v>2966</v>
      </c>
      <c r="C2561" t="s">
        <v>1477</v>
      </c>
      <c r="D2561" t="s">
        <v>339</v>
      </c>
      <c r="E2561" t="s">
        <v>294</v>
      </c>
      <c r="F2561" t="s">
        <v>2990</v>
      </c>
      <c r="G2561">
        <v>739</v>
      </c>
      <c r="H2561">
        <v>86078</v>
      </c>
      <c r="I2561">
        <v>116.48</v>
      </c>
      <c r="J2561">
        <v>0</v>
      </c>
      <c r="K2561">
        <v>0</v>
      </c>
      <c r="L2561">
        <v>0</v>
      </c>
      <c r="M2561">
        <v>739</v>
      </c>
      <c r="N2561">
        <v>86078</v>
      </c>
      <c r="O2561">
        <v>116.48</v>
      </c>
    </row>
    <row r="2562" spans="1:15" x14ac:dyDescent="0.35">
      <c r="A2562" t="s">
        <v>2965</v>
      </c>
      <c r="B2562" t="s">
        <v>2966</v>
      </c>
      <c r="C2562" t="s">
        <v>1477</v>
      </c>
      <c r="D2562" t="s">
        <v>339</v>
      </c>
      <c r="E2562" t="s">
        <v>296</v>
      </c>
      <c r="F2562" t="s">
        <v>2991</v>
      </c>
      <c r="G2562">
        <v>284</v>
      </c>
      <c r="H2562">
        <v>36260.61</v>
      </c>
      <c r="I2562">
        <v>127.68</v>
      </c>
      <c r="J2562">
        <v>0</v>
      </c>
      <c r="K2562">
        <v>0</v>
      </c>
      <c r="L2562">
        <v>0</v>
      </c>
      <c r="M2562">
        <v>284</v>
      </c>
      <c r="N2562">
        <v>36260.61</v>
      </c>
      <c r="O2562">
        <v>127.68</v>
      </c>
    </row>
    <row r="2563" spans="1:15" x14ac:dyDescent="0.35">
      <c r="A2563" t="s">
        <v>2965</v>
      </c>
      <c r="B2563" t="s">
        <v>2966</v>
      </c>
      <c r="C2563" t="s">
        <v>1477</v>
      </c>
      <c r="D2563" t="s">
        <v>339</v>
      </c>
      <c r="E2563" t="s">
        <v>298</v>
      </c>
      <c r="F2563" t="s">
        <v>2992</v>
      </c>
      <c r="G2563">
        <v>7</v>
      </c>
      <c r="H2563">
        <v>978.43000000000006</v>
      </c>
      <c r="I2563">
        <v>139.78</v>
      </c>
      <c r="J2563">
        <v>0</v>
      </c>
      <c r="K2563">
        <v>0</v>
      </c>
      <c r="L2563">
        <v>0</v>
      </c>
      <c r="M2563">
        <v>7</v>
      </c>
      <c r="N2563">
        <v>978.43000000000006</v>
      </c>
      <c r="O2563">
        <v>139.78</v>
      </c>
    </row>
    <row r="2564" spans="1:15" x14ac:dyDescent="0.35">
      <c r="A2564" t="s">
        <v>2965</v>
      </c>
      <c r="B2564" t="s">
        <v>2966</v>
      </c>
      <c r="C2564" t="s">
        <v>1477</v>
      </c>
      <c r="D2564" t="s">
        <v>339</v>
      </c>
      <c r="E2564" t="s">
        <v>300</v>
      </c>
      <c r="F2564" t="s">
        <v>2993</v>
      </c>
      <c r="G2564">
        <v>0</v>
      </c>
      <c r="H2564">
        <v>0</v>
      </c>
      <c r="I2564">
        <v>0</v>
      </c>
      <c r="J2564">
        <v>0</v>
      </c>
      <c r="K2564">
        <v>0</v>
      </c>
      <c r="L2564">
        <v>0</v>
      </c>
      <c r="M2564">
        <v>0</v>
      </c>
      <c r="N2564">
        <v>0</v>
      </c>
      <c r="O2564">
        <v>0</v>
      </c>
    </row>
    <row r="2565" spans="1:15" x14ac:dyDescent="0.35">
      <c r="A2565" t="s">
        <v>2965</v>
      </c>
      <c r="B2565" t="s">
        <v>2966</v>
      </c>
      <c r="C2565" t="s">
        <v>1477</v>
      </c>
      <c r="D2565" t="s">
        <v>339</v>
      </c>
      <c r="E2565" t="s">
        <v>306</v>
      </c>
      <c r="F2565" t="s">
        <v>2994</v>
      </c>
      <c r="G2565">
        <v>2</v>
      </c>
      <c r="H2565">
        <v>196.8</v>
      </c>
      <c r="I2565">
        <v>98.4</v>
      </c>
      <c r="J2565">
        <v>0</v>
      </c>
      <c r="K2565">
        <v>0</v>
      </c>
      <c r="L2565">
        <v>0</v>
      </c>
      <c r="M2565">
        <v>2</v>
      </c>
      <c r="N2565">
        <v>196.8</v>
      </c>
      <c r="O2565">
        <v>98.4</v>
      </c>
    </row>
    <row r="2566" spans="1:15" x14ac:dyDescent="0.35">
      <c r="A2566" t="s">
        <v>2965</v>
      </c>
      <c r="B2566" t="s">
        <v>2966</v>
      </c>
      <c r="C2566" t="s">
        <v>1477</v>
      </c>
      <c r="D2566" t="s">
        <v>339</v>
      </c>
      <c r="E2566" t="s">
        <v>308</v>
      </c>
      <c r="F2566" t="s">
        <v>2995</v>
      </c>
      <c r="G2566">
        <v>85</v>
      </c>
      <c r="H2566">
        <v>10610.93</v>
      </c>
      <c r="I2566">
        <v>124.83</v>
      </c>
      <c r="J2566">
        <v>0</v>
      </c>
      <c r="K2566">
        <v>0</v>
      </c>
      <c r="L2566">
        <v>0</v>
      </c>
      <c r="M2566">
        <v>85</v>
      </c>
      <c r="N2566">
        <v>10610.93</v>
      </c>
      <c r="O2566">
        <v>124.83</v>
      </c>
    </row>
    <row r="2567" spans="1:15" x14ac:dyDescent="0.35">
      <c r="A2567" t="s">
        <v>2965</v>
      </c>
      <c r="B2567" t="s">
        <v>2966</v>
      </c>
      <c r="C2567" t="s">
        <v>1477</v>
      </c>
      <c r="D2567" t="s">
        <v>339</v>
      </c>
      <c r="E2567" t="s">
        <v>310</v>
      </c>
      <c r="F2567" t="s">
        <v>2996</v>
      </c>
      <c r="G2567">
        <v>1117</v>
      </c>
      <c r="H2567">
        <v>134124.76999999999</v>
      </c>
      <c r="I2567">
        <v>120.08</v>
      </c>
      <c r="J2567">
        <v>0</v>
      </c>
      <c r="K2567">
        <v>0</v>
      </c>
      <c r="L2567">
        <v>0</v>
      </c>
      <c r="M2567">
        <v>1117</v>
      </c>
      <c r="N2567">
        <v>134124.76999999999</v>
      </c>
      <c r="O2567">
        <v>120.08</v>
      </c>
    </row>
    <row r="2568" spans="1:15" x14ac:dyDescent="0.35">
      <c r="A2568" t="s">
        <v>2965</v>
      </c>
      <c r="B2568" t="s">
        <v>2966</v>
      </c>
      <c r="C2568" t="s">
        <v>1477</v>
      </c>
      <c r="D2568" t="s">
        <v>339</v>
      </c>
      <c r="E2568" t="s">
        <v>312</v>
      </c>
      <c r="F2568" t="s">
        <v>2997</v>
      </c>
      <c r="G2568">
        <v>1032</v>
      </c>
      <c r="H2568">
        <v>123513.84</v>
      </c>
      <c r="I2568">
        <v>119.68</v>
      </c>
      <c r="J2568">
        <v>0</v>
      </c>
      <c r="K2568">
        <v>0</v>
      </c>
      <c r="L2568">
        <v>0</v>
      </c>
      <c r="M2568">
        <v>1032</v>
      </c>
      <c r="N2568">
        <v>123513.84</v>
      </c>
      <c r="O2568">
        <v>119.68</v>
      </c>
    </row>
    <row r="2569" spans="1:15" x14ac:dyDescent="0.35">
      <c r="A2569" t="s">
        <v>2965</v>
      </c>
      <c r="B2569" t="s">
        <v>2966</v>
      </c>
      <c r="C2569" t="s">
        <v>1477</v>
      </c>
      <c r="D2569" t="s">
        <v>348</v>
      </c>
      <c r="E2569" t="s">
        <v>349</v>
      </c>
      <c r="F2569" t="s">
        <v>2998</v>
      </c>
      <c r="G2569">
        <v>1127</v>
      </c>
      <c r="H2569">
        <v>134124.76999999999</v>
      </c>
      <c r="I2569">
        <v>120.08</v>
      </c>
      <c r="J2569">
        <v>0</v>
      </c>
      <c r="K2569">
        <v>0</v>
      </c>
      <c r="L2569">
        <v>0</v>
      </c>
      <c r="M2569">
        <v>1127</v>
      </c>
      <c r="N2569">
        <v>134124.76999999999</v>
      </c>
      <c r="O2569">
        <v>120.08</v>
      </c>
    </row>
    <row r="2570" spans="1:15" x14ac:dyDescent="0.35">
      <c r="A2570" t="s">
        <v>2999</v>
      </c>
      <c r="B2570" t="s">
        <v>3000</v>
      </c>
      <c r="C2570" t="s">
        <v>1477</v>
      </c>
      <c r="D2570" t="s">
        <v>293</v>
      </c>
      <c r="E2570" t="s">
        <v>294</v>
      </c>
      <c r="F2570" t="s">
        <v>3001</v>
      </c>
      <c r="G2570">
        <v>65</v>
      </c>
      <c r="H2570">
        <v>6937.08</v>
      </c>
      <c r="I2570">
        <v>106.72</v>
      </c>
      <c r="J2570">
        <v>0</v>
      </c>
      <c r="K2570">
        <v>0</v>
      </c>
      <c r="L2570">
        <v>0</v>
      </c>
      <c r="M2570">
        <v>65</v>
      </c>
      <c r="N2570">
        <v>6937.08</v>
      </c>
      <c r="O2570">
        <v>106.72</v>
      </c>
    </row>
    <row r="2571" spans="1:15" x14ac:dyDescent="0.35">
      <c r="A2571" t="s">
        <v>2999</v>
      </c>
      <c r="B2571" t="s">
        <v>3000</v>
      </c>
      <c r="C2571" t="s">
        <v>1477</v>
      </c>
      <c r="D2571" t="s">
        <v>293</v>
      </c>
      <c r="E2571" t="s">
        <v>296</v>
      </c>
      <c r="F2571" t="s">
        <v>3002</v>
      </c>
      <c r="G2571">
        <v>280</v>
      </c>
      <c r="H2571">
        <v>38141.739999999991</v>
      </c>
      <c r="I2571">
        <v>136.22</v>
      </c>
      <c r="J2571">
        <v>0</v>
      </c>
      <c r="K2571">
        <v>0</v>
      </c>
      <c r="L2571">
        <v>0</v>
      </c>
      <c r="M2571">
        <v>280</v>
      </c>
      <c r="N2571">
        <v>38141.739999999991</v>
      </c>
      <c r="O2571">
        <v>136.22</v>
      </c>
    </row>
    <row r="2572" spans="1:15" x14ac:dyDescent="0.35">
      <c r="A2572" t="s">
        <v>2999</v>
      </c>
      <c r="B2572" t="s">
        <v>3000</v>
      </c>
      <c r="C2572" t="s">
        <v>1477</v>
      </c>
      <c r="D2572" t="s">
        <v>293</v>
      </c>
      <c r="E2572" t="s">
        <v>298</v>
      </c>
      <c r="F2572" t="s">
        <v>3003</v>
      </c>
      <c r="G2572">
        <v>197</v>
      </c>
      <c r="H2572">
        <v>30810.820000000003</v>
      </c>
      <c r="I2572">
        <v>156.4</v>
      </c>
      <c r="J2572">
        <v>0</v>
      </c>
      <c r="K2572">
        <v>0</v>
      </c>
      <c r="L2572">
        <v>0</v>
      </c>
      <c r="M2572">
        <v>197</v>
      </c>
      <c r="N2572">
        <v>30810.820000000003</v>
      </c>
      <c r="O2572">
        <v>156.4</v>
      </c>
    </row>
    <row r="2573" spans="1:15" x14ac:dyDescent="0.35">
      <c r="A2573" t="s">
        <v>2999</v>
      </c>
      <c r="B2573" t="s">
        <v>3000</v>
      </c>
      <c r="C2573" t="s">
        <v>1477</v>
      </c>
      <c r="D2573" t="s">
        <v>293</v>
      </c>
      <c r="E2573" t="s">
        <v>300</v>
      </c>
      <c r="F2573" t="s">
        <v>3004</v>
      </c>
      <c r="G2573">
        <v>22</v>
      </c>
      <c r="H2573">
        <v>4245.1400000000003</v>
      </c>
      <c r="I2573">
        <v>192.96</v>
      </c>
      <c r="J2573">
        <v>0</v>
      </c>
      <c r="K2573">
        <v>0</v>
      </c>
      <c r="L2573">
        <v>0</v>
      </c>
      <c r="M2573">
        <v>22</v>
      </c>
      <c r="N2573">
        <v>4245.1400000000003</v>
      </c>
      <c r="O2573">
        <v>192.96</v>
      </c>
    </row>
    <row r="2574" spans="1:15" x14ac:dyDescent="0.35">
      <c r="A2574" t="s">
        <v>2999</v>
      </c>
      <c r="B2574" t="s">
        <v>3000</v>
      </c>
      <c r="C2574" t="s">
        <v>1477</v>
      </c>
      <c r="D2574" t="s">
        <v>293</v>
      </c>
      <c r="E2574" t="s">
        <v>302</v>
      </c>
      <c r="F2574" t="s">
        <v>3005</v>
      </c>
      <c r="G2574">
        <v>0</v>
      </c>
      <c r="H2574">
        <v>0</v>
      </c>
      <c r="I2574">
        <v>0</v>
      </c>
      <c r="J2574">
        <v>0</v>
      </c>
      <c r="K2574">
        <v>0</v>
      </c>
      <c r="L2574">
        <v>0</v>
      </c>
      <c r="M2574">
        <v>0</v>
      </c>
      <c r="N2574">
        <v>0</v>
      </c>
      <c r="O2574">
        <v>0</v>
      </c>
    </row>
    <row r="2575" spans="1:15" x14ac:dyDescent="0.35">
      <c r="A2575" t="s">
        <v>2999</v>
      </c>
      <c r="B2575" t="s">
        <v>3000</v>
      </c>
      <c r="C2575" t="s">
        <v>1477</v>
      </c>
      <c r="D2575" t="s">
        <v>293</v>
      </c>
      <c r="E2575" t="s">
        <v>304</v>
      </c>
      <c r="F2575" t="s">
        <v>3006</v>
      </c>
      <c r="G2575">
        <v>0</v>
      </c>
      <c r="H2575">
        <v>0</v>
      </c>
      <c r="I2575">
        <v>0</v>
      </c>
      <c r="J2575">
        <v>0</v>
      </c>
      <c r="K2575">
        <v>0</v>
      </c>
      <c r="L2575">
        <v>0</v>
      </c>
      <c r="M2575">
        <v>0</v>
      </c>
      <c r="N2575">
        <v>0</v>
      </c>
      <c r="O2575">
        <v>0</v>
      </c>
    </row>
    <row r="2576" spans="1:15" x14ac:dyDescent="0.35">
      <c r="A2576" t="s">
        <v>2999</v>
      </c>
      <c r="B2576" t="s">
        <v>3000</v>
      </c>
      <c r="C2576" t="s">
        <v>1477</v>
      </c>
      <c r="D2576" t="s">
        <v>293</v>
      </c>
      <c r="E2576" t="s">
        <v>306</v>
      </c>
      <c r="F2576" t="s">
        <v>3007</v>
      </c>
      <c r="G2576">
        <v>0</v>
      </c>
      <c r="H2576">
        <v>0</v>
      </c>
      <c r="I2576">
        <v>0</v>
      </c>
      <c r="J2576">
        <v>0</v>
      </c>
      <c r="K2576">
        <v>0</v>
      </c>
      <c r="L2576">
        <v>0</v>
      </c>
      <c r="M2576">
        <v>0</v>
      </c>
      <c r="N2576">
        <v>0</v>
      </c>
      <c r="O2576">
        <v>0</v>
      </c>
    </row>
    <row r="2577" spans="1:15" x14ac:dyDescent="0.35">
      <c r="A2577" t="s">
        <v>2999</v>
      </c>
      <c r="B2577" t="s">
        <v>3000</v>
      </c>
      <c r="C2577" t="s">
        <v>1477</v>
      </c>
      <c r="D2577" t="s">
        <v>293</v>
      </c>
      <c r="E2577" t="s">
        <v>308</v>
      </c>
      <c r="F2577" t="s">
        <v>3008</v>
      </c>
      <c r="G2577">
        <v>0</v>
      </c>
      <c r="H2577">
        <v>0</v>
      </c>
      <c r="I2577">
        <v>0</v>
      </c>
      <c r="J2577">
        <v>0</v>
      </c>
      <c r="K2577">
        <v>0</v>
      </c>
      <c r="L2577">
        <v>0</v>
      </c>
      <c r="M2577">
        <v>0</v>
      </c>
      <c r="N2577">
        <v>0</v>
      </c>
      <c r="O2577">
        <v>0</v>
      </c>
    </row>
    <row r="2578" spans="1:15" x14ac:dyDescent="0.35">
      <c r="A2578" t="s">
        <v>2999</v>
      </c>
      <c r="B2578" t="s">
        <v>3000</v>
      </c>
      <c r="C2578" t="s">
        <v>1477</v>
      </c>
      <c r="D2578" t="s">
        <v>293</v>
      </c>
      <c r="E2578" t="s">
        <v>310</v>
      </c>
      <c r="F2578" t="s">
        <v>3009</v>
      </c>
      <c r="G2578">
        <v>564</v>
      </c>
      <c r="H2578">
        <v>80134.78</v>
      </c>
      <c r="I2578">
        <v>142.08000000000001</v>
      </c>
      <c r="J2578">
        <v>0</v>
      </c>
      <c r="K2578">
        <v>0</v>
      </c>
      <c r="L2578">
        <v>0</v>
      </c>
      <c r="M2578">
        <v>564</v>
      </c>
      <c r="N2578">
        <v>80134.78</v>
      </c>
      <c r="O2578">
        <v>142.08000000000001</v>
      </c>
    </row>
    <row r="2579" spans="1:15" x14ac:dyDescent="0.35">
      <c r="A2579" t="s">
        <v>2999</v>
      </c>
      <c r="B2579" t="s">
        <v>3000</v>
      </c>
      <c r="C2579" t="s">
        <v>1477</v>
      </c>
      <c r="D2579" t="s">
        <v>293</v>
      </c>
      <c r="E2579" t="s">
        <v>312</v>
      </c>
      <c r="F2579" t="s">
        <v>3010</v>
      </c>
      <c r="G2579">
        <v>564</v>
      </c>
      <c r="H2579">
        <v>80134.78</v>
      </c>
      <c r="I2579">
        <v>142.08000000000001</v>
      </c>
      <c r="J2579">
        <v>0</v>
      </c>
      <c r="K2579">
        <v>0</v>
      </c>
      <c r="L2579">
        <v>0</v>
      </c>
      <c r="M2579">
        <v>564</v>
      </c>
      <c r="N2579">
        <v>80134.78</v>
      </c>
      <c r="O2579">
        <v>142.08000000000001</v>
      </c>
    </row>
    <row r="2580" spans="1:15" x14ac:dyDescent="0.35">
      <c r="A2580" t="s">
        <v>2999</v>
      </c>
      <c r="B2580" t="s">
        <v>3000</v>
      </c>
      <c r="C2580" t="s">
        <v>1477</v>
      </c>
      <c r="D2580" t="s">
        <v>314</v>
      </c>
      <c r="E2580" t="s">
        <v>294</v>
      </c>
      <c r="F2580" t="s">
        <v>3011</v>
      </c>
      <c r="G2580">
        <v>47</v>
      </c>
      <c r="H2580">
        <v>5308.18</v>
      </c>
      <c r="I2580">
        <v>112.94</v>
      </c>
      <c r="J2580">
        <v>0</v>
      </c>
      <c r="K2580">
        <v>0</v>
      </c>
      <c r="L2580">
        <v>0</v>
      </c>
      <c r="M2580">
        <v>47</v>
      </c>
      <c r="N2580">
        <v>5308.18</v>
      </c>
      <c r="O2580">
        <v>112.94</v>
      </c>
    </row>
    <row r="2581" spans="1:15" x14ac:dyDescent="0.35">
      <c r="A2581" t="s">
        <v>2999</v>
      </c>
      <c r="B2581" t="s">
        <v>3000</v>
      </c>
      <c r="C2581" t="s">
        <v>1477</v>
      </c>
      <c r="D2581" t="s">
        <v>314</v>
      </c>
      <c r="E2581" t="s">
        <v>296</v>
      </c>
      <c r="F2581" t="s">
        <v>3012</v>
      </c>
      <c r="G2581">
        <v>13</v>
      </c>
      <c r="H2581">
        <v>1707.6800000000003</v>
      </c>
      <c r="I2581">
        <v>131.36000000000001</v>
      </c>
      <c r="J2581">
        <v>0</v>
      </c>
      <c r="K2581">
        <v>0</v>
      </c>
      <c r="L2581">
        <v>0</v>
      </c>
      <c r="M2581">
        <v>13</v>
      </c>
      <c r="N2581">
        <v>1707.6800000000003</v>
      </c>
      <c r="O2581">
        <v>131.36000000000001</v>
      </c>
    </row>
    <row r="2582" spans="1:15" x14ac:dyDescent="0.35">
      <c r="A2582" t="s">
        <v>2999</v>
      </c>
      <c r="B2582" t="s">
        <v>3000</v>
      </c>
      <c r="C2582" t="s">
        <v>1477</v>
      </c>
      <c r="D2582" t="s">
        <v>314</v>
      </c>
      <c r="E2582" t="s">
        <v>298</v>
      </c>
      <c r="F2582" t="s">
        <v>3013</v>
      </c>
      <c r="G2582">
        <v>0</v>
      </c>
      <c r="H2582">
        <v>0</v>
      </c>
      <c r="I2582">
        <v>0</v>
      </c>
      <c r="J2582">
        <v>0</v>
      </c>
      <c r="K2582">
        <v>0</v>
      </c>
      <c r="L2582">
        <v>0</v>
      </c>
      <c r="M2582">
        <v>0</v>
      </c>
      <c r="N2582">
        <v>0</v>
      </c>
      <c r="O2582">
        <v>0</v>
      </c>
    </row>
    <row r="2583" spans="1:15" x14ac:dyDescent="0.35">
      <c r="A2583" t="s">
        <v>2999</v>
      </c>
      <c r="B2583" t="s">
        <v>3000</v>
      </c>
      <c r="C2583" t="s">
        <v>1477</v>
      </c>
      <c r="D2583" t="s">
        <v>314</v>
      </c>
      <c r="E2583" t="s">
        <v>300</v>
      </c>
      <c r="F2583" t="s">
        <v>3014</v>
      </c>
      <c r="G2583">
        <v>0</v>
      </c>
      <c r="H2583">
        <v>0</v>
      </c>
      <c r="I2583">
        <v>0</v>
      </c>
      <c r="J2583">
        <v>0</v>
      </c>
      <c r="K2583">
        <v>0</v>
      </c>
      <c r="L2583">
        <v>0</v>
      </c>
      <c r="M2583">
        <v>0</v>
      </c>
      <c r="N2583">
        <v>0</v>
      </c>
      <c r="O2583">
        <v>0</v>
      </c>
    </row>
    <row r="2584" spans="1:15" x14ac:dyDescent="0.35">
      <c r="A2584" t="s">
        <v>2999</v>
      </c>
      <c r="B2584" t="s">
        <v>3000</v>
      </c>
      <c r="C2584" t="s">
        <v>1477</v>
      </c>
      <c r="D2584" t="s">
        <v>314</v>
      </c>
      <c r="E2584" t="s">
        <v>306</v>
      </c>
      <c r="F2584" t="s">
        <v>3015</v>
      </c>
      <c r="G2584">
        <v>0</v>
      </c>
      <c r="H2584">
        <v>0</v>
      </c>
      <c r="I2584">
        <v>0</v>
      </c>
      <c r="J2584">
        <v>0</v>
      </c>
      <c r="K2584">
        <v>0</v>
      </c>
      <c r="L2584">
        <v>0</v>
      </c>
      <c r="M2584">
        <v>0</v>
      </c>
      <c r="N2584">
        <v>0</v>
      </c>
      <c r="O2584">
        <v>0</v>
      </c>
    </row>
    <row r="2585" spans="1:15" x14ac:dyDescent="0.35">
      <c r="A2585" t="s">
        <v>2999</v>
      </c>
      <c r="B2585" t="s">
        <v>3000</v>
      </c>
      <c r="C2585" t="s">
        <v>1477</v>
      </c>
      <c r="D2585" t="s">
        <v>314</v>
      </c>
      <c r="E2585" t="s">
        <v>308</v>
      </c>
      <c r="F2585" t="s">
        <v>3016</v>
      </c>
      <c r="G2585">
        <v>0</v>
      </c>
      <c r="H2585">
        <v>0</v>
      </c>
      <c r="I2585">
        <v>0</v>
      </c>
      <c r="J2585">
        <v>0</v>
      </c>
      <c r="K2585">
        <v>0</v>
      </c>
      <c r="L2585">
        <v>0</v>
      </c>
      <c r="M2585">
        <v>0</v>
      </c>
      <c r="N2585">
        <v>0</v>
      </c>
      <c r="O2585">
        <v>0</v>
      </c>
    </row>
    <row r="2586" spans="1:15" x14ac:dyDescent="0.35">
      <c r="A2586" t="s">
        <v>2999</v>
      </c>
      <c r="B2586" t="s">
        <v>3000</v>
      </c>
      <c r="C2586" t="s">
        <v>1477</v>
      </c>
      <c r="D2586" t="s">
        <v>314</v>
      </c>
      <c r="E2586" t="s">
        <v>312</v>
      </c>
      <c r="F2586" t="s">
        <v>3017</v>
      </c>
      <c r="G2586">
        <v>60</v>
      </c>
      <c r="H2586">
        <v>7015.8600000000006</v>
      </c>
      <c r="I2586">
        <v>116.93</v>
      </c>
      <c r="J2586">
        <v>0</v>
      </c>
      <c r="K2586">
        <v>0</v>
      </c>
      <c r="L2586">
        <v>0</v>
      </c>
      <c r="M2586">
        <v>60</v>
      </c>
      <c r="N2586">
        <v>7015.8600000000006</v>
      </c>
      <c r="O2586">
        <v>116.93</v>
      </c>
    </row>
    <row r="2587" spans="1:15" x14ac:dyDescent="0.35">
      <c r="A2587" t="s">
        <v>2999</v>
      </c>
      <c r="B2587" t="s">
        <v>3000</v>
      </c>
      <c r="C2587" t="s">
        <v>1477</v>
      </c>
      <c r="D2587" t="s">
        <v>314</v>
      </c>
      <c r="E2587" t="s">
        <v>310</v>
      </c>
      <c r="F2587" t="s">
        <v>3018</v>
      </c>
      <c r="G2587">
        <v>60</v>
      </c>
      <c r="H2587">
        <v>7015.8600000000006</v>
      </c>
      <c r="I2587">
        <v>116.93</v>
      </c>
      <c r="J2587">
        <v>0</v>
      </c>
      <c r="K2587">
        <v>0</v>
      </c>
      <c r="L2587">
        <v>0</v>
      </c>
      <c r="M2587">
        <v>60</v>
      </c>
      <c r="N2587">
        <v>7015.8600000000006</v>
      </c>
      <c r="O2587">
        <v>116.93</v>
      </c>
    </row>
    <row r="2588" spans="1:15" x14ac:dyDescent="0.35">
      <c r="A2588" t="s">
        <v>2999</v>
      </c>
      <c r="B2588" t="s">
        <v>3000</v>
      </c>
      <c r="C2588" t="s">
        <v>1477</v>
      </c>
      <c r="D2588" t="s">
        <v>323</v>
      </c>
      <c r="E2588" t="s">
        <v>294</v>
      </c>
      <c r="F2588" t="s">
        <v>3019</v>
      </c>
      <c r="G2588">
        <v>1005</v>
      </c>
      <c r="H2588">
        <v>97250.26999999999</v>
      </c>
      <c r="I2588">
        <v>96.77</v>
      </c>
      <c r="J2588">
        <v>0</v>
      </c>
      <c r="K2588">
        <v>0</v>
      </c>
      <c r="L2588">
        <v>0</v>
      </c>
      <c r="M2588">
        <v>1005</v>
      </c>
      <c r="N2588">
        <v>97250.26999999999</v>
      </c>
      <c r="O2588">
        <v>96.77</v>
      </c>
    </row>
    <row r="2589" spans="1:15" x14ac:dyDescent="0.35">
      <c r="A2589" t="s">
        <v>2999</v>
      </c>
      <c r="B2589" t="s">
        <v>3000</v>
      </c>
      <c r="C2589" t="s">
        <v>1477</v>
      </c>
      <c r="D2589" t="s">
        <v>323</v>
      </c>
      <c r="E2589" t="s">
        <v>296</v>
      </c>
      <c r="F2589" t="s">
        <v>3020</v>
      </c>
      <c r="G2589">
        <v>1868</v>
      </c>
      <c r="H2589">
        <v>202710.43</v>
      </c>
      <c r="I2589">
        <v>108.52</v>
      </c>
      <c r="J2589">
        <v>0</v>
      </c>
      <c r="K2589">
        <v>0</v>
      </c>
      <c r="L2589">
        <v>0</v>
      </c>
      <c r="M2589">
        <v>1868</v>
      </c>
      <c r="N2589">
        <v>202710.43</v>
      </c>
      <c r="O2589">
        <v>108.52</v>
      </c>
    </row>
    <row r="2590" spans="1:15" x14ac:dyDescent="0.35">
      <c r="A2590" t="s">
        <v>2999</v>
      </c>
      <c r="B2590" t="s">
        <v>3000</v>
      </c>
      <c r="C2590" t="s">
        <v>1477</v>
      </c>
      <c r="D2590" t="s">
        <v>323</v>
      </c>
      <c r="E2590" t="s">
        <v>298</v>
      </c>
      <c r="F2590" t="s">
        <v>3021</v>
      </c>
      <c r="G2590">
        <v>1385</v>
      </c>
      <c r="H2590">
        <v>166106.23000000001</v>
      </c>
      <c r="I2590">
        <v>119.93</v>
      </c>
      <c r="J2590">
        <v>0</v>
      </c>
      <c r="K2590">
        <v>0</v>
      </c>
      <c r="L2590">
        <v>0</v>
      </c>
      <c r="M2590">
        <v>1385</v>
      </c>
      <c r="N2590">
        <v>166106.23000000001</v>
      </c>
      <c r="O2590">
        <v>119.93</v>
      </c>
    </row>
    <row r="2591" spans="1:15" x14ac:dyDescent="0.35">
      <c r="A2591" t="s">
        <v>2999</v>
      </c>
      <c r="B2591" t="s">
        <v>3000</v>
      </c>
      <c r="C2591" t="s">
        <v>1477</v>
      </c>
      <c r="D2591" t="s">
        <v>323</v>
      </c>
      <c r="E2591" t="s">
        <v>300</v>
      </c>
      <c r="F2591" t="s">
        <v>3022</v>
      </c>
      <c r="G2591">
        <v>120</v>
      </c>
      <c r="H2591">
        <v>16213.130000000001</v>
      </c>
      <c r="I2591">
        <v>135.11000000000001</v>
      </c>
      <c r="J2591">
        <v>0</v>
      </c>
      <c r="K2591">
        <v>0</v>
      </c>
      <c r="L2591">
        <v>0</v>
      </c>
      <c r="M2591">
        <v>120</v>
      </c>
      <c r="N2591">
        <v>16213.130000000001</v>
      </c>
      <c r="O2591">
        <v>135.11000000000001</v>
      </c>
    </row>
    <row r="2592" spans="1:15" x14ac:dyDescent="0.35">
      <c r="A2592" t="s">
        <v>2999</v>
      </c>
      <c r="B2592" t="s">
        <v>3000</v>
      </c>
      <c r="C2592" t="s">
        <v>1477</v>
      </c>
      <c r="D2592" t="s">
        <v>323</v>
      </c>
      <c r="E2592" t="s">
        <v>302</v>
      </c>
      <c r="F2592" t="s">
        <v>3023</v>
      </c>
      <c r="G2592">
        <v>0</v>
      </c>
      <c r="H2592">
        <v>0</v>
      </c>
      <c r="I2592">
        <v>0</v>
      </c>
      <c r="J2592">
        <v>0</v>
      </c>
      <c r="K2592">
        <v>0</v>
      </c>
      <c r="L2592">
        <v>0</v>
      </c>
      <c r="M2592">
        <v>0</v>
      </c>
      <c r="N2592">
        <v>0</v>
      </c>
      <c r="O2592">
        <v>0</v>
      </c>
    </row>
    <row r="2593" spans="1:15" x14ac:dyDescent="0.35">
      <c r="A2593" t="s">
        <v>2999</v>
      </c>
      <c r="B2593" t="s">
        <v>3000</v>
      </c>
      <c r="C2593" t="s">
        <v>1477</v>
      </c>
      <c r="D2593" t="s">
        <v>323</v>
      </c>
      <c r="E2593" t="s">
        <v>304</v>
      </c>
      <c r="F2593" t="s">
        <v>3024</v>
      </c>
      <c r="G2593">
        <v>0</v>
      </c>
      <c r="H2593">
        <v>0</v>
      </c>
      <c r="I2593">
        <v>0</v>
      </c>
      <c r="J2593">
        <v>0</v>
      </c>
      <c r="K2593">
        <v>0</v>
      </c>
      <c r="L2593">
        <v>0</v>
      </c>
      <c r="M2593">
        <v>0</v>
      </c>
      <c r="N2593">
        <v>0</v>
      </c>
      <c r="O2593">
        <v>0</v>
      </c>
    </row>
    <row r="2594" spans="1:15" x14ac:dyDescent="0.35">
      <c r="A2594" t="s">
        <v>2999</v>
      </c>
      <c r="B2594" t="s">
        <v>3000</v>
      </c>
      <c r="C2594" t="s">
        <v>1477</v>
      </c>
      <c r="D2594" t="s">
        <v>323</v>
      </c>
      <c r="E2594" t="s">
        <v>306</v>
      </c>
      <c r="F2594" t="s">
        <v>3025</v>
      </c>
      <c r="G2594">
        <v>9</v>
      </c>
      <c r="H2594">
        <v>705.87000000000012</v>
      </c>
      <c r="I2594">
        <v>78.430000000000007</v>
      </c>
      <c r="J2594">
        <v>0</v>
      </c>
      <c r="K2594">
        <v>0</v>
      </c>
      <c r="L2594">
        <v>0</v>
      </c>
      <c r="M2594">
        <v>9</v>
      </c>
      <c r="N2594">
        <v>705.87000000000012</v>
      </c>
      <c r="O2594">
        <v>78.430000000000007</v>
      </c>
    </row>
    <row r="2595" spans="1:15" x14ac:dyDescent="0.35">
      <c r="A2595" t="s">
        <v>2999</v>
      </c>
      <c r="B2595" t="s">
        <v>3000</v>
      </c>
      <c r="C2595" t="s">
        <v>1477</v>
      </c>
      <c r="D2595" t="s">
        <v>323</v>
      </c>
      <c r="E2595" t="s">
        <v>308</v>
      </c>
      <c r="F2595" t="s">
        <v>3026</v>
      </c>
      <c r="G2595">
        <v>0</v>
      </c>
      <c r="H2595">
        <v>0</v>
      </c>
      <c r="I2595">
        <v>0</v>
      </c>
      <c r="J2595">
        <v>0</v>
      </c>
      <c r="K2595">
        <v>0</v>
      </c>
      <c r="L2595">
        <v>0</v>
      </c>
      <c r="M2595">
        <v>0</v>
      </c>
      <c r="N2595">
        <v>0</v>
      </c>
      <c r="O2595">
        <v>0</v>
      </c>
    </row>
    <row r="2596" spans="1:15" x14ac:dyDescent="0.35">
      <c r="A2596" t="s">
        <v>2999</v>
      </c>
      <c r="B2596" t="s">
        <v>3000</v>
      </c>
      <c r="C2596" t="s">
        <v>1477</v>
      </c>
      <c r="D2596" t="s">
        <v>323</v>
      </c>
      <c r="E2596" t="s">
        <v>310</v>
      </c>
      <c r="F2596" t="s">
        <v>3027</v>
      </c>
      <c r="G2596">
        <v>4387</v>
      </c>
      <c r="H2596">
        <v>482985.92999999993</v>
      </c>
      <c r="I2596">
        <v>110.09</v>
      </c>
      <c r="J2596">
        <v>0</v>
      </c>
      <c r="K2596">
        <v>0</v>
      </c>
      <c r="L2596">
        <v>0</v>
      </c>
      <c r="M2596">
        <v>4387</v>
      </c>
      <c r="N2596">
        <v>482985.92999999993</v>
      </c>
      <c r="O2596">
        <v>110.09</v>
      </c>
    </row>
    <row r="2597" spans="1:15" x14ac:dyDescent="0.35">
      <c r="A2597" t="s">
        <v>2999</v>
      </c>
      <c r="B2597" t="s">
        <v>3000</v>
      </c>
      <c r="C2597" t="s">
        <v>1477</v>
      </c>
      <c r="D2597" t="s">
        <v>323</v>
      </c>
      <c r="E2597" t="s">
        <v>312</v>
      </c>
      <c r="F2597" t="s">
        <v>3028</v>
      </c>
      <c r="G2597">
        <v>4387</v>
      </c>
      <c r="H2597">
        <v>482985.92999999993</v>
      </c>
      <c r="I2597">
        <v>110.09</v>
      </c>
      <c r="J2597">
        <v>0</v>
      </c>
      <c r="K2597">
        <v>0</v>
      </c>
      <c r="L2597">
        <v>0</v>
      </c>
      <c r="M2597">
        <v>4387</v>
      </c>
      <c r="N2597">
        <v>482985.92999999993</v>
      </c>
      <c r="O2597">
        <v>110.09</v>
      </c>
    </row>
    <row r="2598" spans="1:15" x14ac:dyDescent="0.35">
      <c r="A2598" t="s">
        <v>2999</v>
      </c>
      <c r="B2598" t="s">
        <v>3000</v>
      </c>
      <c r="C2598" t="s">
        <v>1477</v>
      </c>
      <c r="D2598" t="s">
        <v>334</v>
      </c>
      <c r="E2598" t="s">
        <v>312</v>
      </c>
      <c r="F2598" t="s">
        <v>3029</v>
      </c>
      <c r="G2598">
        <v>4991</v>
      </c>
      <c r="H2598">
        <v>563120.71</v>
      </c>
      <c r="I2598">
        <v>113.74</v>
      </c>
      <c r="J2598">
        <v>0</v>
      </c>
      <c r="K2598">
        <v>0</v>
      </c>
      <c r="L2598">
        <v>0</v>
      </c>
      <c r="M2598">
        <v>4991</v>
      </c>
      <c r="N2598">
        <v>563120.71</v>
      </c>
      <c r="O2598">
        <v>113.74</v>
      </c>
    </row>
    <row r="2599" spans="1:15" x14ac:dyDescent="0.35">
      <c r="A2599" t="s">
        <v>2999</v>
      </c>
      <c r="B2599" t="s">
        <v>3000</v>
      </c>
      <c r="C2599" t="s">
        <v>1477</v>
      </c>
      <c r="D2599" t="s">
        <v>334</v>
      </c>
      <c r="E2599" t="s">
        <v>308</v>
      </c>
      <c r="F2599" t="s">
        <v>3030</v>
      </c>
      <c r="G2599">
        <v>0</v>
      </c>
      <c r="H2599">
        <v>0</v>
      </c>
      <c r="I2599">
        <v>0</v>
      </c>
      <c r="J2599">
        <v>0</v>
      </c>
      <c r="K2599">
        <v>0</v>
      </c>
      <c r="L2599">
        <v>0</v>
      </c>
      <c r="M2599">
        <v>0</v>
      </c>
      <c r="N2599">
        <v>0</v>
      </c>
      <c r="O2599">
        <v>0</v>
      </c>
    </row>
    <row r="2600" spans="1:15" x14ac:dyDescent="0.35">
      <c r="A2600" t="s">
        <v>2999</v>
      </c>
      <c r="B2600" t="s">
        <v>3000</v>
      </c>
      <c r="C2600" t="s">
        <v>1477</v>
      </c>
      <c r="D2600" t="s">
        <v>337</v>
      </c>
      <c r="E2600" t="s">
        <v>337</v>
      </c>
      <c r="F2600" t="s">
        <v>3031</v>
      </c>
      <c r="G2600">
        <v>343</v>
      </c>
      <c r="J2600">
        <v>0</v>
      </c>
      <c r="M2600">
        <v>343</v>
      </c>
    </row>
    <row r="2601" spans="1:15" x14ac:dyDescent="0.35">
      <c r="A2601" t="s">
        <v>2999</v>
      </c>
      <c r="B2601" t="s">
        <v>3000</v>
      </c>
      <c r="C2601" t="s">
        <v>1477</v>
      </c>
      <c r="D2601" t="s">
        <v>339</v>
      </c>
      <c r="E2601" t="s">
        <v>294</v>
      </c>
      <c r="F2601" t="s">
        <v>3032</v>
      </c>
      <c r="G2601">
        <v>634</v>
      </c>
      <c r="H2601">
        <v>71182.66</v>
      </c>
      <c r="I2601">
        <v>112.28</v>
      </c>
      <c r="J2601">
        <v>0</v>
      </c>
      <c r="K2601">
        <v>0</v>
      </c>
      <c r="L2601">
        <v>0</v>
      </c>
      <c r="M2601">
        <v>634</v>
      </c>
      <c r="N2601">
        <v>71182.66</v>
      </c>
      <c r="O2601">
        <v>112.28</v>
      </c>
    </row>
    <row r="2602" spans="1:15" x14ac:dyDescent="0.35">
      <c r="A2602" t="s">
        <v>2999</v>
      </c>
      <c r="B2602" t="s">
        <v>3000</v>
      </c>
      <c r="C2602" t="s">
        <v>1477</v>
      </c>
      <c r="D2602" t="s">
        <v>339</v>
      </c>
      <c r="E2602" t="s">
        <v>296</v>
      </c>
      <c r="F2602" t="s">
        <v>3033</v>
      </c>
      <c r="G2602">
        <v>65</v>
      </c>
      <c r="H2602">
        <v>8711.1</v>
      </c>
      <c r="I2602">
        <v>134.02000000000001</v>
      </c>
      <c r="J2602">
        <v>0</v>
      </c>
      <c r="K2602">
        <v>0</v>
      </c>
      <c r="L2602">
        <v>0</v>
      </c>
      <c r="M2602">
        <v>65</v>
      </c>
      <c r="N2602">
        <v>8711.1</v>
      </c>
      <c r="O2602">
        <v>134.02000000000001</v>
      </c>
    </row>
    <row r="2603" spans="1:15" x14ac:dyDescent="0.35">
      <c r="A2603" t="s">
        <v>2999</v>
      </c>
      <c r="B2603" t="s">
        <v>3000</v>
      </c>
      <c r="C2603" t="s">
        <v>1477</v>
      </c>
      <c r="D2603" t="s">
        <v>339</v>
      </c>
      <c r="E2603" t="s">
        <v>298</v>
      </c>
      <c r="F2603" t="s">
        <v>3034</v>
      </c>
      <c r="G2603">
        <v>7</v>
      </c>
      <c r="H2603">
        <v>1143.33</v>
      </c>
      <c r="I2603">
        <v>163.33000000000001</v>
      </c>
      <c r="J2603">
        <v>0</v>
      </c>
      <c r="K2603">
        <v>0</v>
      </c>
      <c r="L2603">
        <v>0</v>
      </c>
      <c r="M2603">
        <v>7</v>
      </c>
      <c r="N2603">
        <v>1143.33</v>
      </c>
      <c r="O2603">
        <v>163.33000000000001</v>
      </c>
    </row>
    <row r="2604" spans="1:15" x14ac:dyDescent="0.35">
      <c r="A2604" t="s">
        <v>2999</v>
      </c>
      <c r="B2604" t="s">
        <v>3000</v>
      </c>
      <c r="C2604" t="s">
        <v>1477</v>
      </c>
      <c r="D2604" t="s">
        <v>339</v>
      </c>
      <c r="E2604" t="s">
        <v>300</v>
      </c>
      <c r="F2604" t="s">
        <v>3035</v>
      </c>
      <c r="G2604">
        <v>4</v>
      </c>
      <c r="H2604">
        <v>866.48</v>
      </c>
      <c r="I2604">
        <v>216.62</v>
      </c>
      <c r="J2604">
        <v>0</v>
      </c>
      <c r="K2604">
        <v>0</v>
      </c>
      <c r="L2604">
        <v>0</v>
      </c>
      <c r="M2604">
        <v>4</v>
      </c>
      <c r="N2604">
        <v>866.48</v>
      </c>
      <c r="O2604">
        <v>216.62</v>
      </c>
    </row>
    <row r="2605" spans="1:15" x14ac:dyDescent="0.35">
      <c r="A2605" t="s">
        <v>2999</v>
      </c>
      <c r="B2605" t="s">
        <v>3000</v>
      </c>
      <c r="C2605" t="s">
        <v>1477</v>
      </c>
      <c r="D2605" t="s">
        <v>339</v>
      </c>
      <c r="E2605" t="s">
        <v>306</v>
      </c>
      <c r="F2605" t="s">
        <v>3036</v>
      </c>
      <c r="G2605">
        <v>36</v>
      </c>
      <c r="H2605">
        <v>3552.0600000000004</v>
      </c>
      <c r="I2605">
        <v>98.67</v>
      </c>
      <c r="J2605">
        <v>0</v>
      </c>
      <c r="K2605">
        <v>0</v>
      </c>
      <c r="L2605">
        <v>0</v>
      </c>
      <c r="M2605">
        <v>36</v>
      </c>
      <c r="N2605">
        <v>3552.0600000000004</v>
      </c>
      <c r="O2605">
        <v>98.67</v>
      </c>
    </row>
    <row r="2606" spans="1:15" x14ac:dyDescent="0.35">
      <c r="A2606" t="s">
        <v>2999</v>
      </c>
      <c r="B2606" t="s">
        <v>3000</v>
      </c>
      <c r="C2606" t="s">
        <v>1477</v>
      </c>
      <c r="D2606" t="s">
        <v>339</v>
      </c>
      <c r="E2606" t="s">
        <v>308</v>
      </c>
      <c r="F2606" t="s">
        <v>3037</v>
      </c>
      <c r="G2606">
        <v>130</v>
      </c>
      <c r="H2606">
        <v>21776.920000000006</v>
      </c>
      <c r="I2606">
        <v>167.51</v>
      </c>
      <c r="J2606">
        <v>0</v>
      </c>
      <c r="K2606">
        <v>0</v>
      </c>
      <c r="L2606">
        <v>0</v>
      </c>
      <c r="M2606">
        <v>130</v>
      </c>
      <c r="N2606">
        <v>21776.920000000006</v>
      </c>
      <c r="O2606">
        <v>167.51</v>
      </c>
    </row>
    <row r="2607" spans="1:15" x14ac:dyDescent="0.35">
      <c r="A2607" t="s">
        <v>2999</v>
      </c>
      <c r="B2607" t="s">
        <v>3000</v>
      </c>
      <c r="C2607" t="s">
        <v>1477</v>
      </c>
      <c r="D2607" t="s">
        <v>339</v>
      </c>
      <c r="E2607" t="s">
        <v>310</v>
      </c>
      <c r="F2607" t="s">
        <v>3038</v>
      </c>
      <c r="G2607">
        <v>876</v>
      </c>
      <c r="H2607">
        <v>107232.55000000002</v>
      </c>
      <c r="I2607">
        <v>122.41</v>
      </c>
      <c r="J2607">
        <v>0</v>
      </c>
      <c r="K2607">
        <v>0</v>
      </c>
      <c r="L2607">
        <v>0</v>
      </c>
      <c r="M2607">
        <v>876</v>
      </c>
      <c r="N2607">
        <v>107232.55000000002</v>
      </c>
      <c r="O2607">
        <v>122.41</v>
      </c>
    </row>
    <row r="2608" spans="1:15" x14ac:dyDescent="0.35">
      <c r="A2608" t="s">
        <v>2999</v>
      </c>
      <c r="B2608" t="s">
        <v>3000</v>
      </c>
      <c r="C2608" t="s">
        <v>1477</v>
      </c>
      <c r="D2608" t="s">
        <v>339</v>
      </c>
      <c r="E2608" t="s">
        <v>312</v>
      </c>
      <c r="F2608" t="s">
        <v>3039</v>
      </c>
      <c r="G2608">
        <v>746</v>
      </c>
      <c r="H2608">
        <v>85455.63</v>
      </c>
      <c r="I2608">
        <v>114.55</v>
      </c>
      <c r="J2608">
        <v>0</v>
      </c>
      <c r="K2608">
        <v>0</v>
      </c>
      <c r="L2608">
        <v>0</v>
      </c>
      <c r="M2608">
        <v>746</v>
      </c>
      <c r="N2608">
        <v>85455.63</v>
      </c>
      <c r="O2608">
        <v>114.55</v>
      </c>
    </row>
    <row r="2609" spans="1:15" x14ac:dyDescent="0.35">
      <c r="A2609" t="s">
        <v>2999</v>
      </c>
      <c r="B2609" t="s">
        <v>3000</v>
      </c>
      <c r="C2609" t="s">
        <v>1477</v>
      </c>
      <c r="D2609" t="s">
        <v>348</v>
      </c>
      <c r="E2609" t="s">
        <v>349</v>
      </c>
      <c r="F2609" t="s">
        <v>3040</v>
      </c>
      <c r="G2609">
        <v>985</v>
      </c>
      <c r="H2609">
        <v>114248.41</v>
      </c>
      <c r="I2609">
        <v>122.06</v>
      </c>
      <c r="J2609">
        <v>0</v>
      </c>
      <c r="K2609">
        <v>0</v>
      </c>
      <c r="L2609">
        <v>0</v>
      </c>
      <c r="M2609">
        <v>985</v>
      </c>
      <c r="N2609">
        <v>114248.41</v>
      </c>
      <c r="O2609">
        <v>122.06</v>
      </c>
    </row>
    <row r="2610" spans="1:15" x14ac:dyDescent="0.35">
      <c r="A2610" t="s">
        <v>3041</v>
      </c>
      <c r="B2610" t="s">
        <v>3042</v>
      </c>
      <c r="C2610" t="s">
        <v>1477</v>
      </c>
      <c r="D2610" t="s">
        <v>293</v>
      </c>
      <c r="E2610" t="s">
        <v>294</v>
      </c>
      <c r="F2610" t="s">
        <v>3043</v>
      </c>
      <c r="G2610">
        <v>404</v>
      </c>
      <c r="H2610">
        <v>54865.329999999994</v>
      </c>
      <c r="I2610">
        <v>135.81</v>
      </c>
      <c r="J2610">
        <v>0</v>
      </c>
      <c r="K2610">
        <v>0</v>
      </c>
      <c r="L2610">
        <v>0</v>
      </c>
      <c r="M2610">
        <v>404</v>
      </c>
      <c r="N2610">
        <v>54865.329999999994</v>
      </c>
      <c r="O2610">
        <v>135.81</v>
      </c>
    </row>
    <row r="2611" spans="1:15" x14ac:dyDescent="0.35">
      <c r="A2611" t="s">
        <v>3041</v>
      </c>
      <c r="B2611" t="s">
        <v>3042</v>
      </c>
      <c r="C2611" t="s">
        <v>1477</v>
      </c>
      <c r="D2611" t="s">
        <v>293</v>
      </c>
      <c r="E2611" t="s">
        <v>296</v>
      </c>
      <c r="F2611" t="s">
        <v>3044</v>
      </c>
      <c r="G2611">
        <v>807</v>
      </c>
      <c r="H2611">
        <v>133635.37</v>
      </c>
      <c r="I2611">
        <v>165.6</v>
      </c>
      <c r="J2611">
        <v>0</v>
      </c>
      <c r="K2611">
        <v>0</v>
      </c>
      <c r="L2611">
        <v>0</v>
      </c>
      <c r="M2611">
        <v>807</v>
      </c>
      <c r="N2611">
        <v>133635.37</v>
      </c>
      <c r="O2611">
        <v>165.6</v>
      </c>
    </row>
    <row r="2612" spans="1:15" x14ac:dyDescent="0.35">
      <c r="A2612" t="s">
        <v>3041</v>
      </c>
      <c r="B2612" t="s">
        <v>3042</v>
      </c>
      <c r="C2612" t="s">
        <v>1477</v>
      </c>
      <c r="D2612" t="s">
        <v>293</v>
      </c>
      <c r="E2612" t="s">
        <v>298</v>
      </c>
      <c r="F2612" t="s">
        <v>3045</v>
      </c>
      <c r="G2612">
        <v>375</v>
      </c>
      <c r="H2612">
        <v>73777.649999999994</v>
      </c>
      <c r="I2612">
        <v>196.74</v>
      </c>
      <c r="J2612">
        <v>0</v>
      </c>
      <c r="K2612">
        <v>0</v>
      </c>
      <c r="L2612">
        <v>0</v>
      </c>
      <c r="M2612">
        <v>375</v>
      </c>
      <c r="N2612">
        <v>73777.649999999994</v>
      </c>
      <c r="O2612">
        <v>196.74</v>
      </c>
    </row>
    <row r="2613" spans="1:15" x14ac:dyDescent="0.35">
      <c r="A2613" t="s">
        <v>3041</v>
      </c>
      <c r="B2613" t="s">
        <v>3042</v>
      </c>
      <c r="C2613" t="s">
        <v>1477</v>
      </c>
      <c r="D2613" t="s">
        <v>293</v>
      </c>
      <c r="E2613" t="s">
        <v>300</v>
      </c>
      <c r="F2613" t="s">
        <v>3046</v>
      </c>
      <c r="G2613">
        <v>90</v>
      </c>
      <c r="H2613">
        <v>22148.059999999998</v>
      </c>
      <c r="I2613">
        <v>246.09</v>
      </c>
      <c r="J2613">
        <v>0</v>
      </c>
      <c r="K2613">
        <v>0</v>
      </c>
      <c r="L2613">
        <v>0</v>
      </c>
      <c r="M2613">
        <v>90</v>
      </c>
      <c r="N2613">
        <v>22148.059999999998</v>
      </c>
      <c r="O2613">
        <v>246.09</v>
      </c>
    </row>
    <row r="2614" spans="1:15" x14ac:dyDescent="0.35">
      <c r="A2614" t="s">
        <v>3041</v>
      </c>
      <c r="B2614" t="s">
        <v>3042</v>
      </c>
      <c r="C2614" t="s">
        <v>1477</v>
      </c>
      <c r="D2614" t="s">
        <v>293</v>
      </c>
      <c r="E2614" t="s">
        <v>302</v>
      </c>
      <c r="F2614" t="s">
        <v>3047</v>
      </c>
      <c r="G2614">
        <v>5</v>
      </c>
      <c r="H2614">
        <v>1266.1099999999999</v>
      </c>
      <c r="I2614">
        <v>253.22</v>
      </c>
      <c r="J2614">
        <v>0</v>
      </c>
      <c r="K2614">
        <v>0</v>
      </c>
      <c r="L2614">
        <v>0</v>
      </c>
      <c r="M2614">
        <v>5</v>
      </c>
      <c r="N2614">
        <v>1266.1099999999999</v>
      </c>
      <c r="O2614">
        <v>253.22</v>
      </c>
    </row>
    <row r="2615" spans="1:15" x14ac:dyDescent="0.35">
      <c r="A2615" t="s">
        <v>3041</v>
      </c>
      <c r="B2615" t="s">
        <v>3042</v>
      </c>
      <c r="C2615" t="s">
        <v>1477</v>
      </c>
      <c r="D2615" t="s">
        <v>293</v>
      </c>
      <c r="E2615" t="s">
        <v>304</v>
      </c>
      <c r="F2615" t="s">
        <v>3048</v>
      </c>
      <c r="G2615">
        <v>0</v>
      </c>
      <c r="H2615">
        <v>0</v>
      </c>
      <c r="I2615">
        <v>0</v>
      </c>
      <c r="J2615">
        <v>0</v>
      </c>
      <c r="K2615">
        <v>0</v>
      </c>
      <c r="L2615">
        <v>0</v>
      </c>
      <c r="M2615">
        <v>0</v>
      </c>
      <c r="N2615">
        <v>0</v>
      </c>
      <c r="O2615">
        <v>0</v>
      </c>
    </row>
    <row r="2616" spans="1:15" x14ac:dyDescent="0.35">
      <c r="A2616" t="s">
        <v>3041</v>
      </c>
      <c r="B2616" t="s">
        <v>3042</v>
      </c>
      <c r="C2616" t="s">
        <v>1477</v>
      </c>
      <c r="D2616" t="s">
        <v>293</v>
      </c>
      <c r="E2616" t="s">
        <v>306</v>
      </c>
      <c r="F2616" t="s">
        <v>3049</v>
      </c>
      <c r="G2616">
        <v>0</v>
      </c>
      <c r="H2616">
        <v>0</v>
      </c>
      <c r="I2616">
        <v>0</v>
      </c>
      <c r="J2616">
        <v>0</v>
      </c>
      <c r="K2616">
        <v>0</v>
      </c>
      <c r="L2616">
        <v>0</v>
      </c>
      <c r="M2616">
        <v>0</v>
      </c>
      <c r="N2616">
        <v>0</v>
      </c>
      <c r="O2616">
        <v>0</v>
      </c>
    </row>
    <row r="2617" spans="1:15" x14ac:dyDescent="0.35">
      <c r="A2617" t="s">
        <v>3041</v>
      </c>
      <c r="B2617" t="s">
        <v>3042</v>
      </c>
      <c r="C2617" t="s">
        <v>1477</v>
      </c>
      <c r="D2617" t="s">
        <v>293</v>
      </c>
      <c r="E2617" t="s">
        <v>308</v>
      </c>
      <c r="F2617" t="s">
        <v>3050</v>
      </c>
      <c r="G2617">
        <v>0</v>
      </c>
      <c r="H2617">
        <v>0</v>
      </c>
      <c r="I2617">
        <v>0</v>
      </c>
      <c r="J2617">
        <v>0</v>
      </c>
      <c r="K2617">
        <v>0</v>
      </c>
      <c r="L2617">
        <v>0</v>
      </c>
      <c r="M2617">
        <v>0</v>
      </c>
      <c r="N2617">
        <v>0</v>
      </c>
      <c r="O2617">
        <v>0</v>
      </c>
    </row>
    <row r="2618" spans="1:15" x14ac:dyDescent="0.35">
      <c r="A2618" t="s">
        <v>3041</v>
      </c>
      <c r="B2618" t="s">
        <v>3042</v>
      </c>
      <c r="C2618" t="s">
        <v>1477</v>
      </c>
      <c r="D2618" t="s">
        <v>293</v>
      </c>
      <c r="E2618" t="s">
        <v>310</v>
      </c>
      <c r="F2618" t="s">
        <v>3051</v>
      </c>
      <c r="G2618">
        <v>1681</v>
      </c>
      <c r="H2618">
        <v>285692.51999999996</v>
      </c>
      <c r="I2618">
        <v>169.95</v>
      </c>
      <c r="J2618">
        <v>0</v>
      </c>
      <c r="K2618">
        <v>0</v>
      </c>
      <c r="L2618">
        <v>0</v>
      </c>
      <c r="M2618">
        <v>1681</v>
      </c>
      <c r="N2618">
        <v>285692.51999999996</v>
      </c>
      <c r="O2618">
        <v>169.95</v>
      </c>
    </row>
    <row r="2619" spans="1:15" x14ac:dyDescent="0.35">
      <c r="A2619" t="s">
        <v>3041</v>
      </c>
      <c r="B2619" t="s">
        <v>3042</v>
      </c>
      <c r="C2619" t="s">
        <v>1477</v>
      </c>
      <c r="D2619" t="s">
        <v>293</v>
      </c>
      <c r="E2619" t="s">
        <v>312</v>
      </c>
      <c r="F2619" t="s">
        <v>3052</v>
      </c>
      <c r="G2619">
        <v>1681</v>
      </c>
      <c r="H2619">
        <v>285692.51999999996</v>
      </c>
      <c r="I2619">
        <v>169.95</v>
      </c>
      <c r="J2619">
        <v>0</v>
      </c>
      <c r="K2619">
        <v>0</v>
      </c>
      <c r="L2619">
        <v>0</v>
      </c>
      <c r="M2619">
        <v>1681</v>
      </c>
      <c r="N2619">
        <v>285692.51999999996</v>
      </c>
      <c r="O2619">
        <v>169.95</v>
      </c>
    </row>
    <row r="2620" spans="1:15" x14ac:dyDescent="0.35">
      <c r="A2620" t="s">
        <v>3041</v>
      </c>
      <c r="B2620" t="s">
        <v>3042</v>
      </c>
      <c r="C2620" t="s">
        <v>1477</v>
      </c>
      <c r="D2620" t="s">
        <v>314</v>
      </c>
      <c r="E2620" t="s">
        <v>294</v>
      </c>
      <c r="F2620" t="s">
        <v>3053</v>
      </c>
      <c r="G2620">
        <v>1</v>
      </c>
      <c r="H2620">
        <v>149.59</v>
      </c>
      <c r="I2620">
        <v>149.59</v>
      </c>
      <c r="J2620">
        <v>0</v>
      </c>
      <c r="K2620">
        <v>0</v>
      </c>
      <c r="L2620">
        <v>0</v>
      </c>
      <c r="M2620">
        <v>1</v>
      </c>
      <c r="N2620">
        <v>149.59</v>
      </c>
      <c r="O2620">
        <v>149.59</v>
      </c>
    </row>
    <row r="2621" spans="1:15" x14ac:dyDescent="0.35">
      <c r="A2621" t="s">
        <v>3041</v>
      </c>
      <c r="B2621" t="s">
        <v>3042</v>
      </c>
      <c r="C2621" t="s">
        <v>1477</v>
      </c>
      <c r="D2621" t="s">
        <v>314</v>
      </c>
      <c r="E2621" t="s">
        <v>296</v>
      </c>
      <c r="F2621" t="s">
        <v>3054</v>
      </c>
      <c r="G2621">
        <v>9</v>
      </c>
      <c r="H2621">
        <v>1555.6499999999999</v>
      </c>
      <c r="I2621">
        <v>172.85</v>
      </c>
      <c r="J2621">
        <v>0</v>
      </c>
      <c r="K2621">
        <v>0</v>
      </c>
      <c r="L2621">
        <v>0</v>
      </c>
      <c r="M2621">
        <v>9</v>
      </c>
      <c r="N2621">
        <v>1555.6499999999999</v>
      </c>
      <c r="O2621">
        <v>172.85</v>
      </c>
    </row>
    <row r="2622" spans="1:15" x14ac:dyDescent="0.35">
      <c r="A2622" t="s">
        <v>3041</v>
      </c>
      <c r="B2622" t="s">
        <v>3042</v>
      </c>
      <c r="C2622" t="s">
        <v>1477</v>
      </c>
      <c r="D2622" t="s">
        <v>314</v>
      </c>
      <c r="E2622" t="s">
        <v>298</v>
      </c>
      <c r="F2622" t="s">
        <v>3055</v>
      </c>
      <c r="G2622">
        <v>4</v>
      </c>
      <c r="H2622">
        <v>710.8</v>
      </c>
      <c r="I2622">
        <v>177.7</v>
      </c>
      <c r="J2622">
        <v>0</v>
      </c>
      <c r="K2622">
        <v>0</v>
      </c>
      <c r="L2622">
        <v>0</v>
      </c>
      <c r="M2622">
        <v>4</v>
      </c>
      <c r="N2622">
        <v>710.8</v>
      </c>
      <c r="O2622">
        <v>177.7</v>
      </c>
    </row>
    <row r="2623" spans="1:15" x14ac:dyDescent="0.35">
      <c r="A2623" t="s">
        <v>3041</v>
      </c>
      <c r="B2623" t="s">
        <v>3042</v>
      </c>
      <c r="C2623" t="s">
        <v>1477</v>
      </c>
      <c r="D2623" t="s">
        <v>314</v>
      </c>
      <c r="E2623" t="s">
        <v>300</v>
      </c>
      <c r="F2623" t="s">
        <v>3056</v>
      </c>
      <c r="G2623">
        <v>0</v>
      </c>
      <c r="H2623">
        <v>0</v>
      </c>
      <c r="I2623">
        <v>0</v>
      </c>
      <c r="J2623">
        <v>0</v>
      </c>
      <c r="K2623">
        <v>0</v>
      </c>
      <c r="L2623">
        <v>0</v>
      </c>
      <c r="M2623">
        <v>0</v>
      </c>
      <c r="N2623">
        <v>0</v>
      </c>
      <c r="O2623">
        <v>0</v>
      </c>
    </row>
    <row r="2624" spans="1:15" x14ac:dyDescent="0.35">
      <c r="A2624" t="s">
        <v>3041</v>
      </c>
      <c r="B2624" t="s">
        <v>3042</v>
      </c>
      <c r="C2624" t="s">
        <v>1477</v>
      </c>
      <c r="D2624" t="s">
        <v>314</v>
      </c>
      <c r="E2624" t="s">
        <v>306</v>
      </c>
      <c r="F2624" t="s">
        <v>3057</v>
      </c>
      <c r="G2624">
        <v>0</v>
      </c>
      <c r="H2624">
        <v>0</v>
      </c>
      <c r="I2624">
        <v>0</v>
      </c>
      <c r="J2624">
        <v>0</v>
      </c>
      <c r="K2624">
        <v>0</v>
      </c>
      <c r="L2624">
        <v>0</v>
      </c>
      <c r="M2624">
        <v>0</v>
      </c>
      <c r="N2624">
        <v>0</v>
      </c>
      <c r="O2624">
        <v>0</v>
      </c>
    </row>
    <row r="2625" spans="1:15" x14ac:dyDescent="0.35">
      <c r="A2625" t="s">
        <v>3041</v>
      </c>
      <c r="B2625" t="s">
        <v>3042</v>
      </c>
      <c r="C2625" t="s">
        <v>1477</v>
      </c>
      <c r="D2625" t="s">
        <v>314</v>
      </c>
      <c r="E2625" t="s">
        <v>308</v>
      </c>
      <c r="F2625" t="s">
        <v>3058</v>
      </c>
      <c r="G2625">
        <v>0</v>
      </c>
      <c r="H2625">
        <v>0</v>
      </c>
      <c r="I2625">
        <v>0</v>
      </c>
      <c r="J2625">
        <v>0</v>
      </c>
      <c r="K2625">
        <v>0</v>
      </c>
      <c r="L2625">
        <v>0</v>
      </c>
      <c r="M2625">
        <v>0</v>
      </c>
      <c r="N2625">
        <v>0</v>
      </c>
      <c r="O2625">
        <v>0</v>
      </c>
    </row>
    <row r="2626" spans="1:15" x14ac:dyDescent="0.35">
      <c r="A2626" t="s">
        <v>3041</v>
      </c>
      <c r="B2626" t="s">
        <v>3042</v>
      </c>
      <c r="C2626" t="s">
        <v>1477</v>
      </c>
      <c r="D2626" t="s">
        <v>314</v>
      </c>
      <c r="E2626" t="s">
        <v>312</v>
      </c>
      <c r="F2626" t="s">
        <v>3059</v>
      </c>
      <c r="G2626">
        <v>14</v>
      </c>
      <c r="H2626">
        <v>2416.04</v>
      </c>
      <c r="I2626">
        <v>172.57</v>
      </c>
      <c r="J2626">
        <v>0</v>
      </c>
      <c r="K2626">
        <v>0</v>
      </c>
      <c r="L2626">
        <v>0</v>
      </c>
      <c r="M2626">
        <v>14</v>
      </c>
      <c r="N2626">
        <v>2416.04</v>
      </c>
      <c r="O2626">
        <v>172.57</v>
      </c>
    </row>
    <row r="2627" spans="1:15" x14ac:dyDescent="0.35">
      <c r="A2627" t="s">
        <v>3041</v>
      </c>
      <c r="B2627" t="s">
        <v>3042</v>
      </c>
      <c r="C2627" t="s">
        <v>1477</v>
      </c>
      <c r="D2627" t="s">
        <v>314</v>
      </c>
      <c r="E2627" t="s">
        <v>310</v>
      </c>
      <c r="F2627" t="s">
        <v>3060</v>
      </c>
      <c r="G2627">
        <v>14</v>
      </c>
      <c r="H2627">
        <v>2416.04</v>
      </c>
      <c r="I2627">
        <v>172.57</v>
      </c>
      <c r="J2627">
        <v>0</v>
      </c>
      <c r="K2627">
        <v>0</v>
      </c>
      <c r="L2627">
        <v>0</v>
      </c>
      <c r="M2627">
        <v>14</v>
      </c>
      <c r="N2627">
        <v>2416.04</v>
      </c>
      <c r="O2627">
        <v>172.57</v>
      </c>
    </row>
    <row r="2628" spans="1:15" x14ac:dyDescent="0.35">
      <c r="A2628" t="s">
        <v>3041</v>
      </c>
      <c r="B2628" t="s">
        <v>3042</v>
      </c>
      <c r="C2628" t="s">
        <v>1477</v>
      </c>
      <c r="D2628" t="s">
        <v>323</v>
      </c>
      <c r="E2628" t="s">
        <v>294</v>
      </c>
      <c r="F2628" t="s">
        <v>3061</v>
      </c>
      <c r="G2628">
        <v>1371</v>
      </c>
      <c r="H2628">
        <v>136959.01</v>
      </c>
      <c r="I2628">
        <v>99.9</v>
      </c>
      <c r="J2628">
        <v>0</v>
      </c>
      <c r="K2628">
        <v>0</v>
      </c>
      <c r="L2628">
        <v>0</v>
      </c>
      <c r="M2628">
        <v>1371</v>
      </c>
      <c r="N2628">
        <v>136959.01</v>
      </c>
      <c r="O2628">
        <v>99.9</v>
      </c>
    </row>
    <row r="2629" spans="1:15" x14ac:dyDescent="0.35">
      <c r="A2629" t="s">
        <v>3041</v>
      </c>
      <c r="B2629" t="s">
        <v>3042</v>
      </c>
      <c r="C2629" t="s">
        <v>1477</v>
      </c>
      <c r="D2629" t="s">
        <v>323</v>
      </c>
      <c r="E2629" t="s">
        <v>296</v>
      </c>
      <c r="F2629" t="s">
        <v>3062</v>
      </c>
      <c r="G2629">
        <v>3350</v>
      </c>
      <c r="H2629">
        <v>387331.74999999994</v>
      </c>
      <c r="I2629">
        <v>115.62</v>
      </c>
      <c r="J2629">
        <v>0</v>
      </c>
      <c r="K2629">
        <v>0</v>
      </c>
      <c r="L2629">
        <v>0</v>
      </c>
      <c r="M2629">
        <v>3350</v>
      </c>
      <c r="N2629">
        <v>387331.74999999994</v>
      </c>
      <c r="O2629">
        <v>115.62</v>
      </c>
    </row>
    <row r="2630" spans="1:15" x14ac:dyDescent="0.35">
      <c r="A2630" t="s">
        <v>3041</v>
      </c>
      <c r="B2630" t="s">
        <v>3042</v>
      </c>
      <c r="C2630" t="s">
        <v>1477</v>
      </c>
      <c r="D2630" t="s">
        <v>323</v>
      </c>
      <c r="E2630" t="s">
        <v>298</v>
      </c>
      <c r="F2630" t="s">
        <v>3063</v>
      </c>
      <c r="G2630">
        <v>2907</v>
      </c>
      <c r="H2630">
        <v>368086.60999999993</v>
      </c>
      <c r="I2630">
        <v>126.62</v>
      </c>
      <c r="J2630">
        <v>0</v>
      </c>
      <c r="K2630">
        <v>0</v>
      </c>
      <c r="L2630">
        <v>0</v>
      </c>
      <c r="M2630">
        <v>2907</v>
      </c>
      <c r="N2630">
        <v>368086.60999999993</v>
      </c>
      <c r="O2630">
        <v>126.62</v>
      </c>
    </row>
    <row r="2631" spans="1:15" x14ac:dyDescent="0.35">
      <c r="A2631" t="s">
        <v>3041</v>
      </c>
      <c r="B2631" t="s">
        <v>3042</v>
      </c>
      <c r="C2631" t="s">
        <v>1477</v>
      </c>
      <c r="D2631" t="s">
        <v>323</v>
      </c>
      <c r="E2631" t="s">
        <v>300</v>
      </c>
      <c r="F2631" t="s">
        <v>3064</v>
      </c>
      <c r="G2631">
        <v>299</v>
      </c>
      <c r="H2631">
        <v>43321.56</v>
      </c>
      <c r="I2631">
        <v>144.88999999999999</v>
      </c>
      <c r="J2631">
        <v>0</v>
      </c>
      <c r="K2631">
        <v>0</v>
      </c>
      <c r="L2631">
        <v>0</v>
      </c>
      <c r="M2631">
        <v>299</v>
      </c>
      <c r="N2631">
        <v>43321.56</v>
      </c>
      <c r="O2631">
        <v>144.88999999999999</v>
      </c>
    </row>
    <row r="2632" spans="1:15" x14ac:dyDescent="0.35">
      <c r="A2632" t="s">
        <v>3041</v>
      </c>
      <c r="B2632" t="s">
        <v>3042</v>
      </c>
      <c r="C2632" t="s">
        <v>1477</v>
      </c>
      <c r="D2632" t="s">
        <v>323</v>
      </c>
      <c r="E2632" t="s">
        <v>302</v>
      </c>
      <c r="F2632" t="s">
        <v>3065</v>
      </c>
      <c r="G2632">
        <v>17</v>
      </c>
      <c r="H2632">
        <v>2854.22</v>
      </c>
      <c r="I2632">
        <v>167.9</v>
      </c>
      <c r="J2632">
        <v>0</v>
      </c>
      <c r="K2632">
        <v>0</v>
      </c>
      <c r="L2632">
        <v>0</v>
      </c>
      <c r="M2632">
        <v>17</v>
      </c>
      <c r="N2632">
        <v>2854.22</v>
      </c>
      <c r="O2632">
        <v>167.9</v>
      </c>
    </row>
    <row r="2633" spans="1:15" x14ac:dyDescent="0.35">
      <c r="A2633" t="s">
        <v>3041</v>
      </c>
      <c r="B2633" t="s">
        <v>3042</v>
      </c>
      <c r="C2633" t="s">
        <v>1477</v>
      </c>
      <c r="D2633" t="s">
        <v>323</v>
      </c>
      <c r="E2633" t="s">
        <v>304</v>
      </c>
      <c r="F2633" t="s">
        <v>3066</v>
      </c>
      <c r="G2633">
        <v>4</v>
      </c>
      <c r="H2633">
        <v>660.66</v>
      </c>
      <c r="I2633">
        <v>165.17</v>
      </c>
      <c r="J2633">
        <v>0</v>
      </c>
      <c r="K2633">
        <v>0</v>
      </c>
      <c r="L2633">
        <v>0</v>
      </c>
      <c r="M2633">
        <v>4</v>
      </c>
      <c r="N2633">
        <v>660.66</v>
      </c>
      <c r="O2633">
        <v>165.17</v>
      </c>
    </row>
    <row r="2634" spans="1:15" x14ac:dyDescent="0.35">
      <c r="A2634" t="s">
        <v>3041</v>
      </c>
      <c r="B2634" t="s">
        <v>3042</v>
      </c>
      <c r="C2634" t="s">
        <v>1477</v>
      </c>
      <c r="D2634" t="s">
        <v>323</v>
      </c>
      <c r="E2634" t="s">
        <v>306</v>
      </c>
      <c r="F2634" t="s">
        <v>3067</v>
      </c>
      <c r="G2634">
        <v>17</v>
      </c>
      <c r="H2634">
        <v>1414.4</v>
      </c>
      <c r="I2634">
        <v>83.2</v>
      </c>
      <c r="J2634">
        <v>0</v>
      </c>
      <c r="K2634">
        <v>0</v>
      </c>
      <c r="L2634">
        <v>0</v>
      </c>
      <c r="M2634">
        <v>17</v>
      </c>
      <c r="N2634">
        <v>1414.4</v>
      </c>
      <c r="O2634">
        <v>83.2</v>
      </c>
    </row>
    <row r="2635" spans="1:15" x14ac:dyDescent="0.35">
      <c r="A2635" t="s">
        <v>3041</v>
      </c>
      <c r="B2635" t="s">
        <v>3042</v>
      </c>
      <c r="C2635" t="s">
        <v>1477</v>
      </c>
      <c r="D2635" t="s">
        <v>323</v>
      </c>
      <c r="E2635" t="s">
        <v>308</v>
      </c>
      <c r="F2635" t="s">
        <v>3068</v>
      </c>
      <c r="G2635">
        <v>0</v>
      </c>
      <c r="H2635">
        <v>0</v>
      </c>
      <c r="I2635">
        <v>0</v>
      </c>
      <c r="J2635">
        <v>0</v>
      </c>
      <c r="K2635">
        <v>0</v>
      </c>
      <c r="L2635">
        <v>0</v>
      </c>
      <c r="M2635">
        <v>0</v>
      </c>
      <c r="N2635">
        <v>0</v>
      </c>
      <c r="O2635">
        <v>0</v>
      </c>
    </row>
    <row r="2636" spans="1:15" x14ac:dyDescent="0.35">
      <c r="A2636" t="s">
        <v>3041</v>
      </c>
      <c r="B2636" t="s">
        <v>3042</v>
      </c>
      <c r="C2636" t="s">
        <v>1477</v>
      </c>
      <c r="D2636" t="s">
        <v>323</v>
      </c>
      <c r="E2636" t="s">
        <v>310</v>
      </c>
      <c r="F2636" t="s">
        <v>3069</v>
      </c>
      <c r="G2636">
        <v>7965</v>
      </c>
      <c r="H2636">
        <v>940628.21</v>
      </c>
      <c r="I2636">
        <v>118.1</v>
      </c>
      <c r="J2636">
        <v>0</v>
      </c>
      <c r="K2636">
        <v>0</v>
      </c>
      <c r="L2636">
        <v>0</v>
      </c>
      <c r="M2636">
        <v>7965</v>
      </c>
      <c r="N2636">
        <v>940628.21</v>
      </c>
      <c r="O2636">
        <v>118.1</v>
      </c>
    </row>
    <row r="2637" spans="1:15" x14ac:dyDescent="0.35">
      <c r="A2637" t="s">
        <v>3041</v>
      </c>
      <c r="B2637" t="s">
        <v>3042</v>
      </c>
      <c r="C2637" t="s">
        <v>1477</v>
      </c>
      <c r="D2637" t="s">
        <v>323</v>
      </c>
      <c r="E2637" t="s">
        <v>312</v>
      </c>
      <c r="F2637" t="s">
        <v>3070</v>
      </c>
      <c r="G2637">
        <v>7965</v>
      </c>
      <c r="H2637">
        <v>940628.21</v>
      </c>
      <c r="I2637">
        <v>118.1</v>
      </c>
      <c r="J2637">
        <v>0</v>
      </c>
      <c r="K2637">
        <v>0</v>
      </c>
      <c r="L2637">
        <v>0</v>
      </c>
      <c r="M2637">
        <v>7965</v>
      </c>
      <c r="N2637">
        <v>940628.21</v>
      </c>
      <c r="O2637">
        <v>118.1</v>
      </c>
    </row>
    <row r="2638" spans="1:15" x14ac:dyDescent="0.35">
      <c r="A2638" t="s">
        <v>3041</v>
      </c>
      <c r="B2638" t="s">
        <v>3042</v>
      </c>
      <c r="C2638" t="s">
        <v>1477</v>
      </c>
      <c r="D2638" t="s">
        <v>334</v>
      </c>
      <c r="E2638" t="s">
        <v>312</v>
      </c>
      <c r="F2638" t="s">
        <v>3071</v>
      </c>
      <c r="G2638">
        <v>9800</v>
      </c>
      <c r="H2638">
        <v>1226320.7299999997</v>
      </c>
      <c r="I2638">
        <v>127.13</v>
      </c>
      <c r="J2638">
        <v>0</v>
      </c>
      <c r="K2638">
        <v>0</v>
      </c>
      <c r="L2638">
        <v>0</v>
      </c>
      <c r="M2638">
        <v>9800</v>
      </c>
      <c r="N2638">
        <v>1226320.7299999997</v>
      </c>
      <c r="O2638">
        <v>127.13</v>
      </c>
    </row>
    <row r="2639" spans="1:15" x14ac:dyDescent="0.35">
      <c r="A2639" t="s">
        <v>3041</v>
      </c>
      <c r="B2639" t="s">
        <v>3042</v>
      </c>
      <c r="C2639" t="s">
        <v>1477</v>
      </c>
      <c r="D2639" t="s">
        <v>334</v>
      </c>
      <c r="E2639" t="s">
        <v>308</v>
      </c>
      <c r="F2639" t="s">
        <v>3072</v>
      </c>
      <c r="G2639">
        <v>0</v>
      </c>
      <c r="H2639">
        <v>0</v>
      </c>
      <c r="I2639">
        <v>0</v>
      </c>
      <c r="J2639">
        <v>0</v>
      </c>
      <c r="K2639">
        <v>0</v>
      </c>
      <c r="L2639">
        <v>0</v>
      </c>
      <c r="M2639">
        <v>0</v>
      </c>
      <c r="N2639">
        <v>0</v>
      </c>
      <c r="O2639">
        <v>0</v>
      </c>
    </row>
    <row r="2640" spans="1:15" x14ac:dyDescent="0.35">
      <c r="A2640" t="s">
        <v>3041</v>
      </c>
      <c r="B2640" t="s">
        <v>3042</v>
      </c>
      <c r="C2640" t="s">
        <v>1477</v>
      </c>
      <c r="D2640" t="s">
        <v>337</v>
      </c>
      <c r="E2640" t="s">
        <v>337</v>
      </c>
      <c r="F2640" t="s">
        <v>3073</v>
      </c>
      <c r="G2640">
        <v>1441</v>
      </c>
      <c r="J2640">
        <v>0</v>
      </c>
      <c r="M2640">
        <v>1441</v>
      </c>
    </row>
    <row r="2641" spans="1:15" x14ac:dyDescent="0.35">
      <c r="A2641" t="s">
        <v>3041</v>
      </c>
      <c r="B2641" t="s">
        <v>3042</v>
      </c>
      <c r="C2641" t="s">
        <v>1477</v>
      </c>
      <c r="D2641" t="s">
        <v>339</v>
      </c>
      <c r="E2641" t="s">
        <v>294</v>
      </c>
      <c r="F2641" t="s">
        <v>3074</v>
      </c>
      <c r="G2641">
        <v>935</v>
      </c>
      <c r="H2641">
        <v>108227.38999999998</v>
      </c>
      <c r="I2641">
        <v>115.75</v>
      </c>
      <c r="J2641">
        <v>0</v>
      </c>
      <c r="K2641">
        <v>0</v>
      </c>
      <c r="L2641">
        <v>0</v>
      </c>
      <c r="M2641">
        <v>935</v>
      </c>
      <c r="N2641">
        <v>108227.38999999998</v>
      </c>
      <c r="O2641">
        <v>115.75</v>
      </c>
    </row>
    <row r="2642" spans="1:15" x14ac:dyDescent="0.35">
      <c r="A2642" t="s">
        <v>3041</v>
      </c>
      <c r="B2642" t="s">
        <v>3042</v>
      </c>
      <c r="C2642" t="s">
        <v>1477</v>
      </c>
      <c r="D2642" t="s">
        <v>339</v>
      </c>
      <c r="E2642" t="s">
        <v>296</v>
      </c>
      <c r="F2642" t="s">
        <v>3075</v>
      </c>
      <c r="G2642">
        <v>165</v>
      </c>
      <c r="H2642">
        <v>21115.260000000002</v>
      </c>
      <c r="I2642">
        <v>127.97</v>
      </c>
      <c r="J2642">
        <v>0</v>
      </c>
      <c r="K2642">
        <v>0</v>
      </c>
      <c r="L2642">
        <v>0</v>
      </c>
      <c r="M2642">
        <v>165</v>
      </c>
      <c r="N2642">
        <v>21115.260000000002</v>
      </c>
      <c r="O2642">
        <v>127.97</v>
      </c>
    </row>
    <row r="2643" spans="1:15" x14ac:dyDescent="0.35">
      <c r="A2643" t="s">
        <v>3041</v>
      </c>
      <c r="B2643" t="s">
        <v>3042</v>
      </c>
      <c r="C2643" t="s">
        <v>1477</v>
      </c>
      <c r="D2643" t="s">
        <v>339</v>
      </c>
      <c r="E2643" t="s">
        <v>298</v>
      </c>
      <c r="F2643" t="s">
        <v>3076</v>
      </c>
      <c r="G2643">
        <v>11</v>
      </c>
      <c r="H2643">
        <v>1612.06</v>
      </c>
      <c r="I2643">
        <v>146.55000000000001</v>
      </c>
      <c r="J2643">
        <v>0</v>
      </c>
      <c r="K2643">
        <v>0</v>
      </c>
      <c r="L2643">
        <v>0</v>
      </c>
      <c r="M2643">
        <v>11</v>
      </c>
      <c r="N2643">
        <v>1612.06</v>
      </c>
      <c r="O2643">
        <v>146.55000000000001</v>
      </c>
    </row>
    <row r="2644" spans="1:15" x14ac:dyDescent="0.35">
      <c r="A2644" t="s">
        <v>3041</v>
      </c>
      <c r="B2644" t="s">
        <v>3042</v>
      </c>
      <c r="C2644" t="s">
        <v>1477</v>
      </c>
      <c r="D2644" t="s">
        <v>339</v>
      </c>
      <c r="E2644" t="s">
        <v>300</v>
      </c>
      <c r="F2644" t="s">
        <v>3077</v>
      </c>
      <c r="G2644">
        <v>27</v>
      </c>
      <c r="H2644">
        <v>4047.3</v>
      </c>
      <c r="I2644">
        <v>149.9</v>
      </c>
      <c r="J2644">
        <v>0</v>
      </c>
      <c r="K2644">
        <v>0</v>
      </c>
      <c r="L2644">
        <v>0</v>
      </c>
      <c r="M2644">
        <v>27</v>
      </c>
      <c r="N2644">
        <v>4047.3</v>
      </c>
      <c r="O2644">
        <v>149.9</v>
      </c>
    </row>
    <row r="2645" spans="1:15" x14ac:dyDescent="0.35">
      <c r="A2645" t="s">
        <v>3041</v>
      </c>
      <c r="B2645" t="s">
        <v>3042</v>
      </c>
      <c r="C2645" t="s">
        <v>1477</v>
      </c>
      <c r="D2645" t="s">
        <v>339</v>
      </c>
      <c r="E2645" t="s">
        <v>306</v>
      </c>
      <c r="F2645" t="s">
        <v>3078</v>
      </c>
      <c r="G2645">
        <v>9</v>
      </c>
      <c r="H2645">
        <v>853.01</v>
      </c>
      <c r="I2645">
        <v>94.78</v>
      </c>
      <c r="J2645">
        <v>0</v>
      </c>
      <c r="K2645">
        <v>0</v>
      </c>
      <c r="L2645">
        <v>0</v>
      </c>
      <c r="M2645">
        <v>9</v>
      </c>
      <c r="N2645">
        <v>853.01</v>
      </c>
      <c r="O2645">
        <v>94.78</v>
      </c>
    </row>
    <row r="2646" spans="1:15" x14ac:dyDescent="0.35">
      <c r="A2646" t="s">
        <v>3041</v>
      </c>
      <c r="B2646" t="s">
        <v>3042</v>
      </c>
      <c r="C2646" t="s">
        <v>1477</v>
      </c>
      <c r="D2646" t="s">
        <v>339</v>
      </c>
      <c r="E2646" t="s">
        <v>308</v>
      </c>
      <c r="F2646" t="s">
        <v>3079</v>
      </c>
      <c r="G2646">
        <v>245</v>
      </c>
      <c r="H2646">
        <v>35749.170000000006</v>
      </c>
      <c r="I2646">
        <v>145.91</v>
      </c>
      <c r="J2646">
        <v>0</v>
      </c>
      <c r="K2646">
        <v>0</v>
      </c>
      <c r="L2646">
        <v>0</v>
      </c>
      <c r="M2646">
        <v>245</v>
      </c>
      <c r="N2646">
        <v>35749.170000000006</v>
      </c>
      <c r="O2646">
        <v>145.91</v>
      </c>
    </row>
    <row r="2647" spans="1:15" x14ac:dyDescent="0.35">
      <c r="A2647" t="s">
        <v>3041</v>
      </c>
      <c r="B2647" t="s">
        <v>3042</v>
      </c>
      <c r="C2647" t="s">
        <v>1477</v>
      </c>
      <c r="D2647" t="s">
        <v>339</v>
      </c>
      <c r="E2647" t="s">
        <v>310</v>
      </c>
      <c r="F2647" t="s">
        <v>3080</v>
      </c>
      <c r="G2647">
        <v>1392</v>
      </c>
      <c r="H2647">
        <v>171604.19</v>
      </c>
      <c r="I2647">
        <v>123.28</v>
      </c>
      <c r="J2647">
        <v>0</v>
      </c>
      <c r="K2647">
        <v>0</v>
      </c>
      <c r="L2647">
        <v>0</v>
      </c>
      <c r="M2647">
        <v>1392</v>
      </c>
      <c r="N2647">
        <v>171604.19</v>
      </c>
      <c r="O2647">
        <v>123.28</v>
      </c>
    </row>
    <row r="2648" spans="1:15" x14ac:dyDescent="0.35">
      <c r="A2648" t="s">
        <v>3041</v>
      </c>
      <c r="B2648" t="s">
        <v>3042</v>
      </c>
      <c r="C2648" t="s">
        <v>1477</v>
      </c>
      <c r="D2648" t="s">
        <v>339</v>
      </c>
      <c r="E2648" t="s">
        <v>312</v>
      </c>
      <c r="F2648" t="s">
        <v>3081</v>
      </c>
      <c r="G2648">
        <v>1147</v>
      </c>
      <c r="H2648">
        <v>135855.01999999999</v>
      </c>
      <c r="I2648">
        <v>118.44</v>
      </c>
      <c r="J2648">
        <v>0</v>
      </c>
      <c r="K2648">
        <v>0</v>
      </c>
      <c r="L2648">
        <v>0</v>
      </c>
      <c r="M2648">
        <v>1147</v>
      </c>
      <c r="N2648">
        <v>135855.01999999999</v>
      </c>
      <c r="O2648">
        <v>118.44</v>
      </c>
    </row>
    <row r="2649" spans="1:15" x14ac:dyDescent="0.35">
      <c r="A2649" t="s">
        <v>3041</v>
      </c>
      <c r="B2649" t="s">
        <v>3042</v>
      </c>
      <c r="C2649" t="s">
        <v>1477</v>
      </c>
      <c r="D2649" t="s">
        <v>348</v>
      </c>
      <c r="E2649" t="s">
        <v>349</v>
      </c>
      <c r="F2649" t="s">
        <v>3082</v>
      </c>
      <c r="G2649">
        <v>1491</v>
      </c>
      <c r="H2649">
        <v>174020.22999999998</v>
      </c>
      <c r="I2649">
        <v>123.77</v>
      </c>
      <c r="J2649">
        <v>0</v>
      </c>
      <c r="K2649">
        <v>0</v>
      </c>
      <c r="L2649">
        <v>0</v>
      </c>
      <c r="M2649">
        <v>1491</v>
      </c>
      <c r="N2649">
        <v>174020.22999999998</v>
      </c>
      <c r="O2649">
        <v>123.77</v>
      </c>
    </row>
    <row r="2650" spans="1:15" x14ac:dyDescent="0.35">
      <c r="A2650" t="s">
        <v>3083</v>
      </c>
      <c r="B2650" t="s">
        <v>3084</v>
      </c>
      <c r="C2650" t="s">
        <v>1477</v>
      </c>
      <c r="D2650" t="s">
        <v>293</v>
      </c>
      <c r="E2650" t="s">
        <v>294</v>
      </c>
      <c r="F2650" t="s">
        <v>3085</v>
      </c>
      <c r="G2650">
        <v>351</v>
      </c>
      <c r="H2650">
        <v>57719.410000000011</v>
      </c>
      <c r="I2650">
        <v>164.44</v>
      </c>
      <c r="J2650">
        <v>134</v>
      </c>
      <c r="K2650">
        <v>21352.899999999998</v>
      </c>
      <c r="L2650">
        <v>159.35</v>
      </c>
      <c r="M2650">
        <v>485</v>
      </c>
      <c r="N2650">
        <v>79072.310000000012</v>
      </c>
      <c r="O2650">
        <v>163.04</v>
      </c>
    </row>
    <row r="2651" spans="1:15" x14ac:dyDescent="0.35">
      <c r="A2651" t="s">
        <v>3083</v>
      </c>
      <c r="B2651" t="s">
        <v>3084</v>
      </c>
      <c r="C2651" t="s">
        <v>1477</v>
      </c>
      <c r="D2651" t="s">
        <v>293</v>
      </c>
      <c r="E2651" t="s">
        <v>296</v>
      </c>
      <c r="F2651" t="s">
        <v>3086</v>
      </c>
      <c r="G2651">
        <v>784</v>
      </c>
      <c r="H2651">
        <v>154625.88</v>
      </c>
      <c r="I2651">
        <v>197.23</v>
      </c>
      <c r="J2651">
        <v>227</v>
      </c>
      <c r="K2651">
        <v>43009.69</v>
      </c>
      <c r="L2651">
        <v>189.47</v>
      </c>
      <c r="M2651">
        <v>1011</v>
      </c>
      <c r="N2651">
        <v>197635.57</v>
      </c>
      <c r="O2651">
        <v>195.49</v>
      </c>
    </row>
    <row r="2652" spans="1:15" x14ac:dyDescent="0.35">
      <c r="A2652" t="s">
        <v>3083</v>
      </c>
      <c r="B2652" t="s">
        <v>3084</v>
      </c>
      <c r="C2652" t="s">
        <v>1477</v>
      </c>
      <c r="D2652" t="s">
        <v>293</v>
      </c>
      <c r="E2652" t="s">
        <v>298</v>
      </c>
      <c r="F2652" t="s">
        <v>3087</v>
      </c>
      <c r="G2652">
        <v>343</v>
      </c>
      <c r="H2652">
        <v>80628.930000000008</v>
      </c>
      <c r="I2652">
        <v>235.07</v>
      </c>
      <c r="J2652">
        <v>64</v>
      </c>
      <c r="K2652">
        <v>14094.72</v>
      </c>
      <c r="L2652">
        <v>220.23</v>
      </c>
      <c r="M2652">
        <v>407</v>
      </c>
      <c r="N2652">
        <v>94723.650000000009</v>
      </c>
      <c r="O2652">
        <v>232.74</v>
      </c>
    </row>
    <row r="2653" spans="1:15" x14ac:dyDescent="0.35">
      <c r="A2653" t="s">
        <v>3083</v>
      </c>
      <c r="B2653" t="s">
        <v>3084</v>
      </c>
      <c r="C2653" t="s">
        <v>1477</v>
      </c>
      <c r="D2653" t="s">
        <v>293</v>
      </c>
      <c r="E2653" t="s">
        <v>300</v>
      </c>
      <c r="F2653" t="s">
        <v>3088</v>
      </c>
      <c r="G2653">
        <v>87</v>
      </c>
      <c r="H2653">
        <v>24849.390000000003</v>
      </c>
      <c r="I2653">
        <v>285.63</v>
      </c>
      <c r="J2653">
        <v>18</v>
      </c>
      <c r="K2653">
        <v>5350.86</v>
      </c>
      <c r="L2653">
        <v>297.27</v>
      </c>
      <c r="M2653">
        <v>105</v>
      </c>
      <c r="N2653">
        <v>30200.250000000004</v>
      </c>
      <c r="O2653">
        <v>287.62</v>
      </c>
    </row>
    <row r="2654" spans="1:15" x14ac:dyDescent="0.35">
      <c r="A2654" t="s">
        <v>3083</v>
      </c>
      <c r="B2654" t="s">
        <v>3084</v>
      </c>
      <c r="C2654" t="s">
        <v>1477</v>
      </c>
      <c r="D2654" t="s">
        <v>293</v>
      </c>
      <c r="E2654" t="s">
        <v>302</v>
      </c>
      <c r="F2654" t="s">
        <v>3089</v>
      </c>
      <c r="G2654">
        <v>2</v>
      </c>
      <c r="H2654">
        <v>537.28</v>
      </c>
      <c r="I2654">
        <v>268.64</v>
      </c>
      <c r="J2654">
        <v>0</v>
      </c>
      <c r="K2654">
        <v>0</v>
      </c>
      <c r="L2654">
        <v>0</v>
      </c>
      <c r="M2654">
        <v>2</v>
      </c>
      <c r="N2654">
        <v>537.28</v>
      </c>
      <c r="O2654">
        <v>268.64</v>
      </c>
    </row>
    <row r="2655" spans="1:15" x14ac:dyDescent="0.35">
      <c r="A2655" t="s">
        <v>3083</v>
      </c>
      <c r="B2655" t="s">
        <v>3084</v>
      </c>
      <c r="C2655" t="s">
        <v>1477</v>
      </c>
      <c r="D2655" t="s">
        <v>293</v>
      </c>
      <c r="E2655" t="s">
        <v>304</v>
      </c>
      <c r="F2655" t="s">
        <v>3090</v>
      </c>
      <c r="G2655">
        <v>0</v>
      </c>
      <c r="H2655">
        <v>0</v>
      </c>
      <c r="I2655">
        <v>0</v>
      </c>
      <c r="J2655">
        <v>0</v>
      </c>
      <c r="K2655">
        <v>0</v>
      </c>
      <c r="L2655">
        <v>0</v>
      </c>
      <c r="M2655">
        <v>0</v>
      </c>
      <c r="N2655">
        <v>0</v>
      </c>
      <c r="O2655">
        <v>0</v>
      </c>
    </row>
    <row r="2656" spans="1:15" x14ac:dyDescent="0.35">
      <c r="A2656" t="s">
        <v>3083</v>
      </c>
      <c r="B2656" t="s">
        <v>3084</v>
      </c>
      <c r="C2656" t="s">
        <v>1477</v>
      </c>
      <c r="D2656" t="s">
        <v>293</v>
      </c>
      <c r="E2656" t="s">
        <v>306</v>
      </c>
      <c r="F2656" t="s">
        <v>3091</v>
      </c>
      <c r="G2656">
        <v>1</v>
      </c>
      <c r="H2656">
        <v>148.43</v>
      </c>
      <c r="I2656">
        <v>148.43</v>
      </c>
      <c r="J2656">
        <v>0</v>
      </c>
      <c r="K2656">
        <v>0</v>
      </c>
      <c r="L2656">
        <v>0</v>
      </c>
      <c r="M2656">
        <v>1</v>
      </c>
      <c r="N2656">
        <v>148.43</v>
      </c>
      <c r="O2656">
        <v>148.43</v>
      </c>
    </row>
    <row r="2657" spans="1:15" x14ac:dyDescent="0.35">
      <c r="A2657" t="s">
        <v>3083</v>
      </c>
      <c r="B2657" t="s">
        <v>3084</v>
      </c>
      <c r="C2657" t="s">
        <v>1477</v>
      </c>
      <c r="D2657" t="s">
        <v>293</v>
      </c>
      <c r="E2657" t="s">
        <v>308</v>
      </c>
      <c r="F2657" t="s">
        <v>3092</v>
      </c>
      <c r="G2657">
        <v>0</v>
      </c>
      <c r="H2657">
        <v>0</v>
      </c>
      <c r="I2657">
        <v>0</v>
      </c>
      <c r="J2657">
        <v>0</v>
      </c>
      <c r="K2657">
        <v>0</v>
      </c>
      <c r="L2657">
        <v>0</v>
      </c>
      <c r="M2657">
        <v>0</v>
      </c>
      <c r="N2657">
        <v>0</v>
      </c>
      <c r="O2657">
        <v>0</v>
      </c>
    </row>
    <row r="2658" spans="1:15" x14ac:dyDescent="0.35">
      <c r="A2658" t="s">
        <v>3083</v>
      </c>
      <c r="B2658" t="s">
        <v>3084</v>
      </c>
      <c r="C2658" t="s">
        <v>1477</v>
      </c>
      <c r="D2658" t="s">
        <v>293</v>
      </c>
      <c r="E2658" t="s">
        <v>310</v>
      </c>
      <c r="F2658" t="s">
        <v>3093</v>
      </c>
      <c r="G2658">
        <v>1568</v>
      </c>
      <c r="H2658">
        <v>318509.32000000007</v>
      </c>
      <c r="I2658">
        <v>203.13</v>
      </c>
      <c r="J2658">
        <v>443</v>
      </c>
      <c r="K2658">
        <v>83808.17</v>
      </c>
      <c r="L2658">
        <v>189.18</v>
      </c>
      <c r="M2658">
        <v>2011</v>
      </c>
      <c r="N2658">
        <v>402317.49000000005</v>
      </c>
      <c r="O2658">
        <v>200.06</v>
      </c>
    </row>
    <row r="2659" spans="1:15" x14ac:dyDescent="0.35">
      <c r="A2659" t="s">
        <v>3083</v>
      </c>
      <c r="B2659" t="s">
        <v>3084</v>
      </c>
      <c r="C2659" t="s">
        <v>1477</v>
      </c>
      <c r="D2659" t="s">
        <v>293</v>
      </c>
      <c r="E2659" t="s">
        <v>312</v>
      </c>
      <c r="F2659" t="s">
        <v>3094</v>
      </c>
      <c r="G2659">
        <v>1568</v>
      </c>
      <c r="H2659">
        <v>318509.32000000007</v>
      </c>
      <c r="I2659">
        <v>203.13</v>
      </c>
      <c r="J2659">
        <v>443</v>
      </c>
      <c r="K2659">
        <v>83808.17</v>
      </c>
      <c r="L2659">
        <v>189.18</v>
      </c>
      <c r="M2659">
        <v>2011</v>
      </c>
      <c r="N2659">
        <v>402317.49000000005</v>
      </c>
      <c r="O2659">
        <v>200.06</v>
      </c>
    </row>
    <row r="2660" spans="1:15" x14ac:dyDescent="0.35">
      <c r="A2660" t="s">
        <v>3083</v>
      </c>
      <c r="B2660" t="s">
        <v>3084</v>
      </c>
      <c r="C2660" t="s">
        <v>1477</v>
      </c>
      <c r="D2660" t="s">
        <v>314</v>
      </c>
      <c r="E2660" t="s">
        <v>294</v>
      </c>
      <c r="F2660" t="s">
        <v>3095</v>
      </c>
      <c r="G2660">
        <v>72</v>
      </c>
      <c r="H2660">
        <v>16024.21</v>
      </c>
      <c r="I2660">
        <v>222.56</v>
      </c>
      <c r="J2660">
        <v>0</v>
      </c>
      <c r="K2660">
        <v>0</v>
      </c>
      <c r="L2660">
        <v>0</v>
      </c>
      <c r="M2660">
        <v>72</v>
      </c>
      <c r="N2660">
        <v>16024.21</v>
      </c>
      <c r="O2660">
        <v>222.56</v>
      </c>
    </row>
    <row r="2661" spans="1:15" x14ac:dyDescent="0.35">
      <c r="A2661" t="s">
        <v>3083</v>
      </c>
      <c r="B2661" t="s">
        <v>3084</v>
      </c>
      <c r="C2661" t="s">
        <v>1477</v>
      </c>
      <c r="D2661" t="s">
        <v>314</v>
      </c>
      <c r="E2661" t="s">
        <v>296</v>
      </c>
      <c r="F2661" t="s">
        <v>3096</v>
      </c>
      <c r="G2661">
        <v>17</v>
      </c>
      <c r="H2661">
        <v>3953.6499999999996</v>
      </c>
      <c r="I2661">
        <v>232.57</v>
      </c>
      <c r="J2661">
        <v>0</v>
      </c>
      <c r="K2661">
        <v>0</v>
      </c>
      <c r="L2661">
        <v>0</v>
      </c>
      <c r="M2661">
        <v>17</v>
      </c>
      <c r="N2661">
        <v>3953.6499999999996</v>
      </c>
      <c r="O2661">
        <v>232.57</v>
      </c>
    </row>
    <row r="2662" spans="1:15" x14ac:dyDescent="0.35">
      <c r="A2662" t="s">
        <v>3083</v>
      </c>
      <c r="B2662" t="s">
        <v>3084</v>
      </c>
      <c r="C2662" t="s">
        <v>1477</v>
      </c>
      <c r="D2662" t="s">
        <v>314</v>
      </c>
      <c r="E2662" t="s">
        <v>298</v>
      </c>
      <c r="F2662" t="s">
        <v>3097</v>
      </c>
      <c r="G2662">
        <v>0</v>
      </c>
      <c r="H2662">
        <v>0</v>
      </c>
      <c r="I2662">
        <v>0</v>
      </c>
      <c r="J2662">
        <v>0</v>
      </c>
      <c r="K2662">
        <v>0</v>
      </c>
      <c r="L2662">
        <v>0</v>
      </c>
      <c r="M2662">
        <v>0</v>
      </c>
      <c r="N2662">
        <v>0</v>
      </c>
      <c r="O2662">
        <v>0</v>
      </c>
    </row>
    <row r="2663" spans="1:15" x14ac:dyDescent="0.35">
      <c r="A2663" t="s">
        <v>3083</v>
      </c>
      <c r="B2663" t="s">
        <v>3084</v>
      </c>
      <c r="C2663" t="s">
        <v>1477</v>
      </c>
      <c r="D2663" t="s">
        <v>314</v>
      </c>
      <c r="E2663" t="s">
        <v>300</v>
      </c>
      <c r="F2663" t="s">
        <v>3098</v>
      </c>
      <c r="G2663">
        <v>0</v>
      </c>
      <c r="H2663">
        <v>0</v>
      </c>
      <c r="I2663">
        <v>0</v>
      </c>
      <c r="J2663">
        <v>0</v>
      </c>
      <c r="K2663">
        <v>0</v>
      </c>
      <c r="L2663">
        <v>0</v>
      </c>
      <c r="M2663">
        <v>0</v>
      </c>
      <c r="N2663">
        <v>0</v>
      </c>
      <c r="O2663">
        <v>0</v>
      </c>
    </row>
    <row r="2664" spans="1:15" x14ac:dyDescent="0.35">
      <c r="A2664" t="s">
        <v>3083</v>
      </c>
      <c r="B2664" t="s">
        <v>3084</v>
      </c>
      <c r="C2664" t="s">
        <v>1477</v>
      </c>
      <c r="D2664" t="s">
        <v>314</v>
      </c>
      <c r="E2664" t="s">
        <v>306</v>
      </c>
      <c r="F2664" t="s">
        <v>3099</v>
      </c>
      <c r="G2664">
        <v>0</v>
      </c>
      <c r="H2664">
        <v>0</v>
      </c>
      <c r="I2664">
        <v>0</v>
      </c>
      <c r="J2664">
        <v>0</v>
      </c>
      <c r="K2664">
        <v>0</v>
      </c>
      <c r="L2664">
        <v>0</v>
      </c>
      <c r="M2664">
        <v>0</v>
      </c>
      <c r="N2664">
        <v>0</v>
      </c>
      <c r="O2664">
        <v>0</v>
      </c>
    </row>
    <row r="2665" spans="1:15" x14ac:dyDescent="0.35">
      <c r="A2665" t="s">
        <v>3083</v>
      </c>
      <c r="B2665" t="s">
        <v>3084</v>
      </c>
      <c r="C2665" t="s">
        <v>1477</v>
      </c>
      <c r="D2665" t="s">
        <v>314</v>
      </c>
      <c r="E2665" t="s">
        <v>308</v>
      </c>
      <c r="F2665" t="s">
        <v>3100</v>
      </c>
      <c r="G2665">
        <v>0</v>
      </c>
      <c r="H2665">
        <v>0</v>
      </c>
      <c r="I2665">
        <v>0</v>
      </c>
      <c r="J2665">
        <v>0</v>
      </c>
      <c r="K2665">
        <v>0</v>
      </c>
      <c r="L2665">
        <v>0</v>
      </c>
      <c r="M2665">
        <v>0</v>
      </c>
      <c r="N2665">
        <v>0</v>
      </c>
      <c r="O2665">
        <v>0</v>
      </c>
    </row>
    <row r="2666" spans="1:15" x14ac:dyDescent="0.35">
      <c r="A2666" t="s">
        <v>3083</v>
      </c>
      <c r="B2666" t="s">
        <v>3084</v>
      </c>
      <c r="C2666" t="s">
        <v>1477</v>
      </c>
      <c r="D2666" t="s">
        <v>314</v>
      </c>
      <c r="E2666" t="s">
        <v>312</v>
      </c>
      <c r="F2666" t="s">
        <v>3101</v>
      </c>
      <c r="G2666">
        <v>89</v>
      </c>
      <c r="H2666">
        <v>19977.86</v>
      </c>
      <c r="I2666">
        <v>224.47</v>
      </c>
      <c r="J2666">
        <v>0</v>
      </c>
      <c r="K2666">
        <v>0</v>
      </c>
      <c r="L2666">
        <v>0</v>
      </c>
      <c r="M2666">
        <v>89</v>
      </c>
      <c r="N2666">
        <v>19977.86</v>
      </c>
      <c r="O2666">
        <v>224.47</v>
      </c>
    </row>
    <row r="2667" spans="1:15" x14ac:dyDescent="0.35">
      <c r="A2667" t="s">
        <v>3083</v>
      </c>
      <c r="B2667" t="s">
        <v>3084</v>
      </c>
      <c r="C2667" t="s">
        <v>1477</v>
      </c>
      <c r="D2667" t="s">
        <v>314</v>
      </c>
      <c r="E2667" t="s">
        <v>310</v>
      </c>
      <c r="F2667" t="s">
        <v>3102</v>
      </c>
      <c r="G2667">
        <v>89</v>
      </c>
      <c r="H2667">
        <v>19977.86</v>
      </c>
      <c r="I2667">
        <v>224.47</v>
      </c>
      <c r="J2667">
        <v>0</v>
      </c>
      <c r="K2667">
        <v>0</v>
      </c>
      <c r="L2667">
        <v>0</v>
      </c>
      <c r="M2667">
        <v>89</v>
      </c>
      <c r="N2667">
        <v>19977.86</v>
      </c>
      <c r="O2667">
        <v>224.47</v>
      </c>
    </row>
    <row r="2668" spans="1:15" x14ac:dyDescent="0.35">
      <c r="A2668" t="s">
        <v>3083</v>
      </c>
      <c r="B2668" t="s">
        <v>3084</v>
      </c>
      <c r="C2668" t="s">
        <v>1477</v>
      </c>
      <c r="D2668" t="s">
        <v>323</v>
      </c>
      <c r="E2668" t="s">
        <v>294</v>
      </c>
      <c r="F2668" t="s">
        <v>3103</v>
      </c>
      <c r="G2668">
        <v>376</v>
      </c>
      <c r="H2668">
        <v>41720.119999999995</v>
      </c>
      <c r="I2668">
        <v>110.96</v>
      </c>
      <c r="J2668">
        <v>510</v>
      </c>
      <c r="K2668">
        <v>55340.100000000006</v>
      </c>
      <c r="L2668">
        <v>108.51</v>
      </c>
      <c r="M2668">
        <v>886</v>
      </c>
      <c r="N2668">
        <v>97060.22</v>
      </c>
      <c r="O2668">
        <v>109.55</v>
      </c>
    </row>
    <row r="2669" spans="1:15" x14ac:dyDescent="0.35">
      <c r="A2669" t="s">
        <v>3083</v>
      </c>
      <c r="B2669" t="s">
        <v>3084</v>
      </c>
      <c r="C2669" t="s">
        <v>1477</v>
      </c>
      <c r="D2669" t="s">
        <v>323</v>
      </c>
      <c r="E2669" t="s">
        <v>296</v>
      </c>
      <c r="F2669" t="s">
        <v>3104</v>
      </c>
      <c r="G2669">
        <v>1167</v>
      </c>
      <c r="H2669">
        <v>156201.77000000005</v>
      </c>
      <c r="I2669">
        <v>133.85</v>
      </c>
      <c r="J2669">
        <v>1639</v>
      </c>
      <c r="K2669">
        <v>209906.72999999998</v>
      </c>
      <c r="L2669">
        <v>128.07</v>
      </c>
      <c r="M2669">
        <v>2806</v>
      </c>
      <c r="N2669">
        <v>366108.5</v>
      </c>
      <c r="O2669">
        <v>130.47</v>
      </c>
    </row>
    <row r="2670" spans="1:15" x14ac:dyDescent="0.35">
      <c r="A2670" t="s">
        <v>3083</v>
      </c>
      <c r="B2670" t="s">
        <v>3084</v>
      </c>
      <c r="C2670" t="s">
        <v>1477</v>
      </c>
      <c r="D2670" t="s">
        <v>323</v>
      </c>
      <c r="E2670" t="s">
        <v>298</v>
      </c>
      <c r="F2670" t="s">
        <v>3105</v>
      </c>
      <c r="G2670">
        <v>807</v>
      </c>
      <c r="H2670">
        <v>121594.92999999998</v>
      </c>
      <c r="I2670">
        <v>150.68</v>
      </c>
      <c r="J2670">
        <v>1771</v>
      </c>
      <c r="K2670">
        <v>238748.51</v>
      </c>
      <c r="L2670">
        <v>134.81</v>
      </c>
      <c r="M2670">
        <v>2578</v>
      </c>
      <c r="N2670">
        <v>360343.44</v>
      </c>
      <c r="O2670">
        <v>139.78</v>
      </c>
    </row>
    <row r="2671" spans="1:15" x14ac:dyDescent="0.35">
      <c r="A2671" t="s">
        <v>3083</v>
      </c>
      <c r="B2671" t="s">
        <v>3084</v>
      </c>
      <c r="C2671" t="s">
        <v>1477</v>
      </c>
      <c r="D2671" t="s">
        <v>323</v>
      </c>
      <c r="E2671" t="s">
        <v>300</v>
      </c>
      <c r="F2671" t="s">
        <v>3106</v>
      </c>
      <c r="G2671">
        <v>121</v>
      </c>
      <c r="H2671">
        <v>19838.52</v>
      </c>
      <c r="I2671">
        <v>163.95</v>
      </c>
      <c r="J2671">
        <v>66</v>
      </c>
      <c r="K2671">
        <v>10085.460000000001</v>
      </c>
      <c r="L2671">
        <v>152.81</v>
      </c>
      <c r="M2671">
        <v>187</v>
      </c>
      <c r="N2671">
        <v>29923.980000000003</v>
      </c>
      <c r="O2671">
        <v>160.02000000000001</v>
      </c>
    </row>
    <row r="2672" spans="1:15" x14ac:dyDescent="0.35">
      <c r="A2672" t="s">
        <v>3083</v>
      </c>
      <c r="B2672" t="s">
        <v>3084</v>
      </c>
      <c r="C2672" t="s">
        <v>1477</v>
      </c>
      <c r="D2672" t="s">
        <v>323</v>
      </c>
      <c r="E2672" t="s">
        <v>302</v>
      </c>
      <c r="F2672" t="s">
        <v>3107</v>
      </c>
      <c r="G2672">
        <v>19</v>
      </c>
      <c r="H2672">
        <v>3080</v>
      </c>
      <c r="I2672">
        <v>162.11000000000001</v>
      </c>
      <c r="J2672">
        <v>0</v>
      </c>
      <c r="K2672">
        <v>0</v>
      </c>
      <c r="L2672">
        <v>0</v>
      </c>
      <c r="M2672">
        <v>19</v>
      </c>
      <c r="N2672">
        <v>3080</v>
      </c>
      <c r="O2672">
        <v>162.11000000000001</v>
      </c>
    </row>
    <row r="2673" spans="1:15" x14ac:dyDescent="0.35">
      <c r="A2673" t="s">
        <v>3083</v>
      </c>
      <c r="B2673" t="s">
        <v>3084</v>
      </c>
      <c r="C2673" t="s">
        <v>1477</v>
      </c>
      <c r="D2673" t="s">
        <v>323</v>
      </c>
      <c r="E2673" t="s">
        <v>304</v>
      </c>
      <c r="F2673" t="s">
        <v>3108</v>
      </c>
      <c r="G2673">
        <v>3</v>
      </c>
      <c r="H2673">
        <v>598.47</v>
      </c>
      <c r="I2673">
        <v>199.49</v>
      </c>
      <c r="J2673">
        <v>2</v>
      </c>
      <c r="K2673">
        <v>335.36</v>
      </c>
      <c r="L2673">
        <v>167.68</v>
      </c>
      <c r="M2673">
        <v>5</v>
      </c>
      <c r="N2673">
        <v>933.83</v>
      </c>
      <c r="O2673">
        <v>186.77</v>
      </c>
    </row>
    <row r="2674" spans="1:15" x14ac:dyDescent="0.35">
      <c r="A2674" t="s">
        <v>3083</v>
      </c>
      <c r="B2674" t="s">
        <v>3084</v>
      </c>
      <c r="C2674" t="s">
        <v>1477</v>
      </c>
      <c r="D2674" t="s">
        <v>323</v>
      </c>
      <c r="E2674" t="s">
        <v>306</v>
      </c>
      <c r="F2674" t="s">
        <v>3109</v>
      </c>
      <c r="G2674">
        <v>0</v>
      </c>
      <c r="H2674">
        <v>0</v>
      </c>
      <c r="I2674">
        <v>0</v>
      </c>
      <c r="J2674">
        <v>13</v>
      </c>
      <c r="K2674">
        <v>1215.1099999999999</v>
      </c>
      <c r="L2674">
        <v>93.47</v>
      </c>
      <c r="M2674">
        <v>13</v>
      </c>
      <c r="N2674">
        <v>1215.1099999999999</v>
      </c>
      <c r="O2674">
        <v>93.47</v>
      </c>
    </row>
    <row r="2675" spans="1:15" x14ac:dyDescent="0.35">
      <c r="A2675" t="s">
        <v>3083</v>
      </c>
      <c r="B2675" t="s">
        <v>3084</v>
      </c>
      <c r="C2675" t="s">
        <v>1477</v>
      </c>
      <c r="D2675" t="s">
        <v>323</v>
      </c>
      <c r="E2675" t="s">
        <v>308</v>
      </c>
      <c r="F2675" t="s">
        <v>3110</v>
      </c>
      <c r="G2675">
        <v>0</v>
      </c>
      <c r="H2675">
        <v>0</v>
      </c>
      <c r="I2675">
        <v>0</v>
      </c>
      <c r="J2675">
        <v>0</v>
      </c>
      <c r="K2675">
        <v>0</v>
      </c>
      <c r="L2675">
        <v>0</v>
      </c>
      <c r="M2675">
        <v>0</v>
      </c>
      <c r="N2675">
        <v>0</v>
      </c>
      <c r="O2675">
        <v>0</v>
      </c>
    </row>
    <row r="2676" spans="1:15" x14ac:dyDescent="0.35">
      <c r="A2676" t="s">
        <v>3083</v>
      </c>
      <c r="B2676" t="s">
        <v>3084</v>
      </c>
      <c r="C2676" t="s">
        <v>1477</v>
      </c>
      <c r="D2676" t="s">
        <v>323</v>
      </c>
      <c r="E2676" t="s">
        <v>310</v>
      </c>
      <c r="F2676" t="s">
        <v>3111</v>
      </c>
      <c r="G2676">
        <v>2493</v>
      </c>
      <c r="H2676">
        <v>343033.81</v>
      </c>
      <c r="I2676">
        <v>137.6</v>
      </c>
      <c r="J2676">
        <v>4001</v>
      </c>
      <c r="K2676">
        <v>515631.26999999996</v>
      </c>
      <c r="L2676">
        <v>128.88</v>
      </c>
      <c r="M2676">
        <v>6494</v>
      </c>
      <c r="N2676">
        <v>858665.08</v>
      </c>
      <c r="O2676">
        <v>132.22</v>
      </c>
    </row>
    <row r="2677" spans="1:15" x14ac:dyDescent="0.35">
      <c r="A2677" t="s">
        <v>3083</v>
      </c>
      <c r="B2677" t="s">
        <v>3084</v>
      </c>
      <c r="C2677" t="s">
        <v>1477</v>
      </c>
      <c r="D2677" t="s">
        <v>323</v>
      </c>
      <c r="E2677" t="s">
        <v>312</v>
      </c>
      <c r="F2677" t="s">
        <v>3112</v>
      </c>
      <c r="G2677">
        <v>2493</v>
      </c>
      <c r="H2677">
        <v>343033.81</v>
      </c>
      <c r="I2677">
        <v>137.6</v>
      </c>
      <c r="J2677">
        <v>4001</v>
      </c>
      <c r="K2677">
        <v>515631.26999999996</v>
      </c>
      <c r="L2677">
        <v>128.88</v>
      </c>
      <c r="M2677">
        <v>6494</v>
      </c>
      <c r="N2677">
        <v>858665.08</v>
      </c>
      <c r="O2677">
        <v>132.22</v>
      </c>
    </row>
    <row r="2678" spans="1:15" x14ac:dyDescent="0.35">
      <c r="A2678" t="s">
        <v>3083</v>
      </c>
      <c r="B2678" t="s">
        <v>3084</v>
      </c>
      <c r="C2678" t="s">
        <v>1477</v>
      </c>
      <c r="D2678" t="s">
        <v>334</v>
      </c>
      <c r="E2678" t="s">
        <v>312</v>
      </c>
      <c r="F2678" t="s">
        <v>3113</v>
      </c>
      <c r="G2678">
        <v>4400</v>
      </c>
      <c r="H2678">
        <v>661543.13</v>
      </c>
      <c r="I2678">
        <v>162.9</v>
      </c>
      <c r="J2678">
        <v>4444</v>
      </c>
      <c r="K2678">
        <v>599439.43999999994</v>
      </c>
      <c r="L2678">
        <v>134.88999999999999</v>
      </c>
      <c r="M2678">
        <v>8844</v>
      </c>
      <c r="N2678">
        <v>1260982.5699999998</v>
      </c>
      <c r="O2678">
        <v>148.26</v>
      </c>
    </row>
    <row r="2679" spans="1:15" x14ac:dyDescent="0.35">
      <c r="A2679" t="s">
        <v>3083</v>
      </c>
      <c r="B2679" t="s">
        <v>3084</v>
      </c>
      <c r="C2679" t="s">
        <v>1477</v>
      </c>
      <c r="D2679" t="s">
        <v>334</v>
      </c>
      <c r="E2679" t="s">
        <v>308</v>
      </c>
      <c r="F2679" t="s">
        <v>3114</v>
      </c>
      <c r="G2679">
        <v>0</v>
      </c>
      <c r="H2679">
        <v>0</v>
      </c>
      <c r="I2679">
        <v>0</v>
      </c>
      <c r="J2679">
        <v>0</v>
      </c>
      <c r="K2679">
        <v>0</v>
      </c>
      <c r="L2679">
        <v>0</v>
      </c>
      <c r="M2679">
        <v>0</v>
      </c>
      <c r="N2679">
        <v>0</v>
      </c>
      <c r="O2679">
        <v>0</v>
      </c>
    </row>
    <row r="2680" spans="1:15" x14ac:dyDescent="0.35">
      <c r="A2680" t="s">
        <v>3083</v>
      </c>
      <c r="B2680" t="s">
        <v>3084</v>
      </c>
      <c r="C2680" t="s">
        <v>1477</v>
      </c>
      <c r="D2680" t="s">
        <v>337</v>
      </c>
      <c r="E2680" t="s">
        <v>337</v>
      </c>
      <c r="F2680" t="s">
        <v>3115</v>
      </c>
      <c r="G2680">
        <v>1750</v>
      </c>
      <c r="J2680">
        <v>243</v>
      </c>
      <c r="M2680">
        <v>1993</v>
      </c>
    </row>
    <row r="2681" spans="1:15" x14ac:dyDescent="0.35">
      <c r="A2681" t="s">
        <v>3083</v>
      </c>
      <c r="B2681" t="s">
        <v>3084</v>
      </c>
      <c r="C2681" t="s">
        <v>1477</v>
      </c>
      <c r="D2681" t="s">
        <v>339</v>
      </c>
      <c r="E2681" t="s">
        <v>294</v>
      </c>
      <c r="F2681" t="s">
        <v>3116</v>
      </c>
      <c r="G2681">
        <v>165</v>
      </c>
      <c r="H2681">
        <v>22678.32</v>
      </c>
      <c r="I2681">
        <v>137.44</v>
      </c>
      <c r="J2681">
        <v>481</v>
      </c>
      <c r="K2681">
        <v>55694.990000000005</v>
      </c>
      <c r="L2681">
        <v>115.79</v>
      </c>
      <c r="M2681">
        <v>646</v>
      </c>
      <c r="N2681">
        <v>78373.31</v>
      </c>
      <c r="O2681">
        <v>121.32</v>
      </c>
    </row>
    <row r="2682" spans="1:15" x14ac:dyDescent="0.35">
      <c r="A2682" t="s">
        <v>3083</v>
      </c>
      <c r="B2682" t="s">
        <v>3084</v>
      </c>
      <c r="C2682" t="s">
        <v>1477</v>
      </c>
      <c r="D2682" t="s">
        <v>339</v>
      </c>
      <c r="E2682" t="s">
        <v>296</v>
      </c>
      <c r="F2682" t="s">
        <v>3117</v>
      </c>
      <c r="G2682">
        <v>43</v>
      </c>
      <c r="H2682">
        <v>6270.58</v>
      </c>
      <c r="I2682">
        <v>145.83000000000001</v>
      </c>
      <c r="J2682">
        <v>587</v>
      </c>
      <c r="K2682">
        <v>78816.490000000005</v>
      </c>
      <c r="L2682">
        <v>134.27000000000001</v>
      </c>
      <c r="M2682">
        <v>630</v>
      </c>
      <c r="N2682">
        <v>85087.07</v>
      </c>
      <c r="O2682">
        <v>135.06</v>
      </c>
    </row>
    <row r="2683" spans="1:15" x14ac:dyDescent="0.35">
      <c r="A2683" t="s">
        <v>3083</v>
      </c>
      <c r="B2683" t="s">
        <v>3084</v>
      </c>
      <c r="C2683" t="s">
        <v>1477</v>
      </c>
      <c r="D2683" t="s">
        <v>339</v>
      </c>
      <c r="E2683" t="s">
        <v>298</v>
      </c>
      <c r="F2683" t="s">
        <v>3118</v>
      </c>
      <c r="G2683">
        <v>0</v>
      </c>
      <c r="H2683">
        <v>0</v>
      </c>
      <c r="I2683">
        <v>0</v>
      </c>
      <c r="J2683">
        <v>0</v>
      </c>
      <c r="K2683">
        <v>0</v>
      </c>
      <c r="L2683">
        <v>0</v>
      </c>
      <c r="M2683">
        <v>0</v>
      </c>
      <c r="N2683">
        <v>0</v>
      </c>
      <c r="O2683">
        <v>0</v>
      </c>
    </row>
    <row r="2684" spans="1:15" x14ac:dyDescent="0.35">
      <c r="A2684" t="s">
        <v>3083</v>
      </c>
      <c r="B2684" t="s">
        <v>3084</v>
      </c>
      <c r="C2684" t="s">
        <v>1477</v>
      </c>
      <c r="D2684" t="s">
        <v>339</v>
      </c>
      <c r="E2684" t="s">
        <v>300</v>
      </c>
      <c r="F2684" t="s">
        <v>3119</v>
      </c>
      <c r="G2684">
        <v>0</v>
      </c>
      <c r="H2684">
        <v>0</v>
      </c>
      <c r="I2684">
        <v>0</v>
      </c>
      <c r="J2684">
        <v>0</v>
      </c>
      <c r="K2684">
        <v>0</v>
      </c>
      <c r="L2684">
        <v>0</v>
      </c>
      <c r="M2684">
        <v>0</v>
      </c>
      <c r="N2684">
        <v>0</v>
      </c>
      <c r="O2684">
        <v>0</v>
      </c>
    </row>
    <row r="2685" spans="1:15" x14ac:dyDescent="0.35">
      <c r="A2685" t="s">
        <v>3083</v>
      </c>
      <c r="B2685" t="s">
        <v>3084</v>
      </c>
      <c r="C2685" t="s">
        <v>1477</v>
      </c>
      <c r="D2685" t="s">
        <v>339</v>
      </c>
      <c r="E2685" t="s">
        <v>306</v>
      </c>
      <c r="F2685" t="s">
        <v>3120</v>
      </c>
      <c r="G2685">
        <v>0</v>
      </c>
      <c r="H2685">
        <v>0</v>
      </c>
      <c r="I2685">
        <v>0</v>
      </c>
      <c r="J2685">
        <v>7</v>
      </c>
      <c r="K2685">
        <v>689.43</v>
      </c>
      <c r="L2685">
        <v>98.49</v>
      </c>
      <c r="M2685">
        <v>7</v>
      </c>
      <c r="N2685">
        <v>689.43</v>
      </c>
      <c r="O2685">
        <v>98.49</v>
      </c>
    </row>
    <row r="2686" spans="1:15" x14ac:dyDescent="0.35">
      <c r="A2686" t="s">
        <v>3083</v>
      </c>
      <c r="B2686" t="s">
        <v>3084</v>
      </c>
      <c r="C2686" t="s">
        <v>1477</v>
      </c>
      <c r="D2686" t="s">
        <v>339</v>
      </c>
      <c r="E2686" t="s">
        <v>308</v>
      </c>
      <c r="F2686" t="s">
        <v>3121</v>
      </c>
      <c r="G2686">
        <v>33</v>
      </c>
      <c r="H2686">
        <v>3227.3900000000003</v>
      </c>
      <c r="I2686">
        <v>97.8</v>
      </c>
      <c r="J2686">
        <v>0</v>
      </c>
      <c r="K2686">
        <v>0</v>
      </c>
      <c r="L2686">
        <v>0</v>
      </c>
      <c r="M2686">
        <v>33</v>
      </c>
      <c r="N2686">
        <v>3227.3900000000003</v>
      </c>
      <c r="O2686">
        <v>97.8</v>
      </c>
    </row>
    <row r="2687" spans="1:15" x14ac:dyDescent="0.35">
      <c r="A2687" t="s">
        <v>3083</v>
      </c>
      <c r="B2687" t="s">
        <v>3084</v>
      </c>
      <c r="C2687" t="s">
        <v>1477</v>
      </c>
      <c r="D2687" t="s">
        <v>339</v>
      </c>
      <c r="E2687" t="s">
        <v>310</v>
      </c>
      <c r="F2687" t="s">
        <v>3122</v>
      </c>
      <c r="G2687">
        <v>241</v>
      </c>
      <c r="H2687">
        <v>32176.29</v>
      </c>
      <c r="I2687">
        <v>133.51</v>
      </c>
      <c r="J2687">
        <v>1075</v>
      </c>
      <c r="K2687">
        <v>135200.91</v>
      </c>
      <c r="L2687">
        <v>125.77</v>
      </c>
      <c r="M2687">
        <v>1316</v>
      </c>
      <c r="N2687">
        <v>167377.20000000001</v>
      </c>
      <c r="O2687">
        <v>127.19</v>
      </c>
    </row>
    <row r="2688" spans="1:15" x14ac:dyDescent="0.35">
      <c r="A2688" t="s">
        <v>3083</v>
      </c>
      <c r="B2688" t="s">
        <v>3084</v>
      </c>
      <c r="C2688" t="s">
        <v>1477</v>
      </c>
      <c r="D2688" t="s">
        <v>339</v>
      </c>
      <c r="E2688" t="s">
        <v>312</v>
      </c>
      <c r="F2688" t="s">
        <v>3123</v>
      </c>
      <c r="G2688">
        <v>208</v>
      </c>
      <c r="H2688">
        <v>28948.9</v>
      </c>
      <c r="I2688">
        <v>139.18</v>
      </c>
      <c r="J2688">
        <v>1075</v>
      </c>
      <c r="K2688">
        <v>135200.91</v>
      </c>
      <c r="L2688">
        <v>125.77</v>
      </c>
      <c r="M2688">
        <v>1283</v>
      </c>
      <c r="N2688">
        <v>164149.81</v>
      </c>
      <c r="O2688">
        <v>127.94</v>
      </c>
    </row>
    <row r="2689" spans="1:15" x14ac:dyDescent="0.35">
      <c r="A2689" t="s">
        <v>3083</v>
      </c>
      <c r="B2689" t="s">
        <v>3084</v>
      </c>
      <c r="C2689" t="s">
        <v>1477</v>
      </c>
      <c r="D2689" t="s">
        <v>348</v>
      </c>
      <c r="E2689" t="s">
        <v>349</v>
      </c>
      <c r="F2689" t="s">
        <v>3124</v>
      </c>
      <c r="G2689">
        <v>553</v>
      </c>
      <c r="H2689">
        <v>52154.15</v>
      </c>
      <c r="I2689">
        <v>158.04</v>
      </c>
      <c r="J2689">
        <v>1075</v>
      </c>
      <c r="K2689">
        <v>135200.91</v>
      </c>
      <c r="L2689">
        <v>125.77</v>
      </c>
      <c r="M2689">
        <v>1628</v>
      </c>
      <c r="N2689">
        <v>187355.06</v>
      </c>
      <c r="O2689">
        <v>133.35</v>
      </c>
    </row>
    <row r="2690" spans="1:15" x14ac:dyDescent="0.35">
      <c r="A2690" t="s">
        <v>3125</v>
      </c>
      <c r="B2690" t="s">
        <v>3126</v>
      </c>
      <c r="C2690" t="s">
        <v>898</v>
      </c>
      <c r="D2690" t="s">
        <v>293</v>
      </c>
      <c r="E2690" t="s">
        <v>294</v>
      </c>
      <c r="F2690" t="s">
        <v>3127</v>
      </c>
      <c r="G2690">
        <v>88</v>
      </c>
      <c r="H2690">
        <v>9770.2099999999991</v>
      </c>
      <c r="I2690">
        <v>111.03</v>
      </c>
      <c r="J2690">
        <v>0</v>
      </c>
      <c r="K2690">
        <v>0</v>
      </c>
      <c r="L2690">
        <v>0</v>
      </c>
      <c r="M2690">
        <v>88</v>
      </c>
      <c r="N2690">
        <v>9770.2099999999991</v>
      </c>
      <c r="O2690">
        <v>111.03</v>
      </c>
    </row>
    <row r="2691" spans="1:15" x14ac:dyDescent="0.35">
      <c r="A2691" t="s">
        <v>3125</v>
      </c>
      <c r="B2691" t="s">
        <v>3126</v>
      </c>
      <c r="C2691" t="s">
        <v>898</v>
      </c>
      <c r="D2691" t="s">
        <v>293</v>
      </c>
      <c r="E2691" t="s">
        <v>296</v>
      </c>
      <c r="F2691" t="s">
        <v>3128</v>
      </c>
      <c r="G2691">
        <v>405</v>
      </c>
      <c r="H2691">
        <v>54852.6</v>
      </c>
      <c r="I2691">
        <v>135.44</v>
      </c>
      <c r="J2691">
        <v>0</v>
      </c>
      <c r="K2691">
        <v>0</v>
      </c>
      <c r="L2691">
        <v>0</v>
      </c>
      <c r="M2691">
        <v>405</v>
      </c>
      <c r="N2691">
        <v>54852.6</v>
      </c>
      <c r="O2691">
        <v>135.44</v>
      </c>
    </row>
    <row r="2692" spans="1:15" x14ac:dyDescent="0.35">
      <c r="A2692" t="s">
        <v>3125</v>
      </c>
      <c r="B2692" t="s">
        <v>3126</v>
      </c>
      <c r="C2692" t="s">
        <v>898</v>
      </c>
      <c r="D2692" t="s">
        <v>293</v>
      </c>
      <c r="E2692" t="s">
        <v>298</v>
      </c>
      <c r="F2692" t="s">
        <v>3129</v>
      </c>
      <c r="G2692">
        <v>199</v>
      </c>
      <c r="H2692">
        <v>30214.399999999998</v>
      </c>
      <c r="I2692">
        <v>151.83000000000001</v>
      </c>
      <c r="J2692">
        <v>0</v>
      </c>
      <c r="K2692">
        <v>0</v>
      </c>
      <c r="L2692">
        <v>0</v>
      </c>
      <c r="M2692">
        <v>199</v>
      </c>
      <c r="N2692">
        <v>30214.399999999998</v>
      </c>
      <c r="O2692">
        <v>151.83000000000001</v>
      </c>
    </row>
    <row r="2693" spans="1:15" x14ac:dyDescent="0.35">
      <c r="A2693" t="s">
        <v>3125</v>
      </c>
      <c r="B2693" t="s">
        <v>3126</v>
      </c>
      <c r="C2693" t="s">
        <v>898</v>
      </c>
      <c r="D2693" t="s">
        <v>293</v>
      </c>
      <c r="E2693" t="s">
        <v>300</v>
      </c>
      <c r="F2693" t="s">
        <v>3130</v>
      </c>
      <c r="G2693">
        <v>7</v>
      </c>
      <c r="H2693">
        <v>1389.45</v>
      </c>
      <c r="I2693">
        <v>198.49</v>
      </c>
      <c r="J2693">
        <v>0</v>
      </c>
      <c r="K2693">
        <v>0</v>
      </c>
      <c r="L2693">
        <v>0</v>
      </c>
      <c r="M2693">
        <v>7</v>
      </c>
      <c r="N2693">
        <v>1389.45</v>
      </c>
      <c r="O2693">
        <v>198.49</v>
      </c>
    </row>
    <row r="2694" spans="1:15" x14ac:dyDescent="0.35">
      <c r="A2694" t="s">
        <v>3125</v>
      </c>
      <c r="B2694" t="s">
        <v>3126</v>
      </c>
      <c r="C2694" t="s">
        <v>898</v>
      </c>
      <c r="D2694" t="s">
        <v>293</v>
      </c>
      <c r="E2694" t="s">
        <v>302</v>
      </c>
      <c r="F2694" t="s">
        <v>3131</v>
      </c>
      <c r="G2694">
        <v>0</v>
      </c>
      <c r="H2694">
        <v>0</v>
      </c>
      <c r="I2694">
        <v>0</v>
      </c>
      <c r="J2694">
        <v>0</v>
      </c>
      <c r="K2694">
        <v>0</v>
      </c>
      <c r="L2694">
        <v>0</v>
      </c>
      <c r="M2694">
        <v>0</v>
      </c>
      <c r="N2694">
        <v>0</v>
      </c>
      <c r="O2694">
        <v>0</v>
      </c>
    </row>
    <row r="2695" spans="1:15" x14ac:dyDescent="0.35">
      <c r="A2695" t="s">
        <v>3125</v>
      </c>
      <c r="B2695" t="s">
        <v>3126</v>
      </c>
      <c r="C2695" t="s">
        <v>898</v>
      </c>
      <c r="D2695" t="s">
        <v>293</v>
      </c>
      <c r="E2695" t="s">
        <v>304</v>
      </c>
      <c r="F2695" t="s">
        <v>3132</v>
      </c>
      <c r="G2695">
        <v>0</v>
      </c>
      <c r="H2695">
        <v>0</v>
      </c>
      <c r="I2695">
        <v>0</v>
      </c>
      <c r="J2695">
        <v>0</v>
      </c>
      <c r="K2695">
        <v>0</v>
      </c>
      <c r="L2695">
        <v>0</v>
      </c>
      <c r="M2695">
        <v>0</v>
      </c>
      <c r="N2695">
        <v>0</v>
      </c>
      <c r="O2695">
        <v>0</v>
      </c>
    </row>
    <row r="2696" spans="1:15" x14ac:dyDescent="0.35">
      <c r="A2696" t="s">
        <v>3125</v>
      </c>
      <c r="B2696" t="s">
        <v>3126</v>
      </c>
      <c r="C2696" t="s">
        <v>898</v>
      </c>
      <c r="D2696" t="s">
        <v>293</v>
      </c>
      <c r="E2696" t="s">
        <v>306</v>
      </c>
      <c r="F2696" t="s">
        <v>3133</v>
      </c>
      <c r="G2696">
        <v>0</v>
      </c>
      <c r="H2696">
        <v>0</v>
      </c>
      <c r="I2696">
        <v>0</v>
      </c>
      <c r="J2696">
        <v>0</v>
      </c>
      <c r="K2696">
        <v>0</v>
      </c>
      <c r="L2696">
        <v>0</v>
      </c>
      <c r="M2696">
        <v>0</v>
      </c>
      <c r="N2696">
        <v>0</v>
      </c>
      <c r="O2696">
        <v>0</v>
      </c>
    </row>
    <row r="2697" spans="1:15" x14ac:dyDescent="0.35">
      <c r="A2697" t="s">
        <v>3125</v>
      </c>
      <c r="B2697" t="s">
        <v>3126</v>
      </c>
      <c r="C2697" t="s">
        <v>898</v>
      </c>
      <c r="D2697" t="s">
        <v>293</v>
      </c>
      <c r="E2697" t="s">
        <v>308</v>
      </c>
      <c r="F2697" t="s">
        <v>3134</v>
      </c>
      <c r="G2697">
        <v>0</v>
      </c>
      <c r="H2697">
        <v>0</v>
      </c>
      <c r="I2697">
        <v>0</v>
      </c>
      <c r="J2697">
        <v>0</v>
      </c>
      <c r="K2697">
        <v>0</v>
      </c>
      <c r="L2697">
        <v>0</v>
      </c>
      <c r="M2697">
        <v>0</v>
      </c>
      <c r="N2697">
        <v>0</v>
      </c>
      <c r="O2697">
        <v>0</v>
      </c>
    </row>
    <row r="2698" spans="1:15" x14ac:dyDescent="0.35">
      <c r="A2698" t="s">
        <v>3125</v>
      </c>
      <c r="B2698" t="s">
        <v>3126</v>
      </c>
      <c r="C2698" t="s">
        <v>898</v>
      </c>
      <c r="D2698" t="s">
        <v>293</v>
      </c>
      <c r="E2698" t="s">
        <v>310</v>
      </c>
      <c r="F2698" t="s">
        <v>3135</v>
      </c>
      <c r="G2698">
        <v>699</v>
      </c>
      <c r="H2698">
        <v>96226.659999999989</v>
      </c>
      <c r="I2698">
        <v>137.66</v>
      </c>
      <c r="J2698">
        <v>0</v>
      </c>
      <c r="K2698">
        <v>0</v>
      </c>
      <c r="L2698">
        <v>0</v>
      </c>
      <c r="M2698">
        <v>699</v>
      </c>
      <c r="N2698">
        <v>96226.659999999989</v>
      </c>
      <c r="O2698">
        <v>137.66</v>
      </c>
    </row>
    <row r="2699" spans="1:15" x14ac:dyDescent="0.35">
      <c r="A2699" t="s">
        <v>3125</v>
      </c>
      <c r="B2699" t="s">
        <v>3126</v>
      </c>
      <c r="C2699" t="s">
        <v>898</v>
      </c>
      <c r="D2699" t="s">
        <v>293</v>
      </c>
      <c r="E2699" t="s">
        <v>312</v>
      </c>
      <c r="F2699" t="s">
        <v>3136</v>
      </c>
      <c r="G2699">
        <v>699</v>
      </c>
      <c r="H2699">
        <v>96226.659999999989</v>
      </c>
      <c r="I2699">
        <v>137.66</v>
      </c>
      <c r="J2699">
        <v>0</v>
      </c>
      <c r="K2699">
        <v>0</v>
      </c>
      <c r="L2699">
        <v>0</v>
      </c>
      <c r="M2699">
        <v>699</v>
      </c>
      <c r="N2699">
        <v>96226.659999999989</v>
      </c>
      <c r="O2699">
        <v>137.66</v>
      </c>
    </row>
    <row r="2700" spans="1:15" x14ac:dyDescent="0.35">
      <c r="A2700" t="s">
        <v>3125</v>
      </c>
      <c r="B2700" t="s">
        <v>3126</v>
      </c>
      <c r="C2700" t="s">
        <v>898</v>
      </c>
      <c r="D2700" t="s">
        <v>314</v>
      </c>
      <c r="E2700" t="s">
        <v>294</v>
      </c>
      <c r="F2700" t="s">
        <v>3137</v>
      </c>
      <c r="G2700">
        <v>0</v>
      </c>
      <c r="H2700">
        <v>0</v>
      </c>
      <c r="I2700">
        <v>0</v>
      </c>
      <c r="J2700">
        <v>0</v>
      </c>
      <c r="K2700">
        <v>0</v>
      </c>
      <c r="L2700">
        <v>0</v>
      </c>
      <c r="M2700">
        <v>0</v>
      </c>
      <c r="N2700">
        <v>0</v>
      </c>
      <c r="O2700">
        <v>0</v>
      </c>
    </row>
    <row r="2701" spans="1:15" x14ac:dyDescent="0.35">
      <c r="A2701" t="s">
        <v>3125</v>
      </c>
      <c r="B2701" t="s">
        <v>3126</v>
      </c>
      <c r="C2701" t="s">
        <v>898</v>
      </c>
      <c r="D2701" t="s">
        <v>314</v>
      </c>
      <c r="E2701" t="s">
        <v>296</v>
      </c>
      <c r="F2701" t="s">
        <v>3138</v>
      </c>
      <c r="G2701">
        <v>0</v>
      </c>
      <c r="H2701">
        <v>0</v>
      </c>
      <c r="I2701">
        <v>0</v>
      </c>
      <c r="J2701">
        <v>0</v>
      </c>
      <c r="K2701">
        <v>0</v>
      </c>
      <c r="L2701">
        <v>0</v>
      </c>
      <c r="M2701">
        <v>0</v>
      </c>
      <c r="N2701">
        <v>0</v>
      </c>
      <c r="O2701">
        <v>0</v>
      </c>
    </row>
    <row r="2702" spans="1:15" x14ac:dyDescent="0.35">
      <c r="A2702" t="s">
        <v>3125</v>
      </c>
      <c r="B2702" t="s">
        <v>3126</v>
      </c>
      <c r="C2702" t="s">
        <v>898</v>
      </c>
      <c r="D2702" t="s">
        <v>314</v>
      </c>
      <c r="E2702" t="s">
        <v>298</v>
      </c>
      <c r="F2702" t="s">
        <v>3139</v>
      </c>
      <c r="G2702">
        <v>0</v>
      </c>
      <c r="H2702">
        <v>0</v>
      </c>
      <c r="I2702">
        <v>0</v>
      </c>
      <c r="J2702">
        <v>0</v>
      </c>
      <c r="K2702">
        <v>0</v>
      </c>
      <c r="L2702">
        <v>0</v>
      </c>
      <c r="M2702">
        <v>0</v>
      </c>
      <c r="N2702">
        <v>0</v>
      </c>
      <c r="O2702">
        <v>0</v>
      </c>
    </row>
    <row r="2703" spans="1:15" x14ac:dyDescent="0.35">
      <c r="A2703" t="s">
        <v>3125</v>
      </c>
      <c r="B2703" t="s">
        <v>3126</v>
      </c>
      <c r="C2703" t="s">
        <v>898</v>
      </c>
      <c r="D2703" t="s">
        <v>314</v>
      </c>
      <c r="E2703" t="s">
        <v>300</v>
      </c>
      <c r="F2703" t="s">
        <v>3140</v>
      </c>
      <c r="G2703">
        <v>0</v>
      </c>
      <c r="H2703">
        <v>0</v>
      </c>
      <c r="I2703">
        <v>0</v>
      </c>
      <c r="J2703">
        <v>0</v>
      </c>
      <c r="K2703">
        <v>0</v>
      </c>
      <c r="L2703">
        <v>0</v>
      </c>
      <c r="M2703">
        <v>0</v>
      </c>
      <c r="N2703">
        <v>0</v>
      </c>
      <c r="O2703">
        <v>0</v>
      </c>
    </row>
    <row r="2704" spans="1:15" x14ac:dyDescent="0.35">
      <c r="A2704" t="s">
        <v>3125</v>
      </c>
      <c r="B2704" t="s">
        <v>3126</v>
      </c>
      <c r="C2704" t="s">
        <v>898</v>
      </c>
      <c r="D2704" t="s">
        <v>314</v>
      </c>
      <c r="E2704" t="s">
        <v>306</v>
      </c>
      <c r="F2704" t="s">
        <v>3141</v>
      </c>
      <c r="G2704">
        <v>4</v>
      </c>
      <c r="H2704">
        <v>1333.92</v>
      </c>
      <c r="I2704">
        <v>333.48</v>
      </c>
      <c r="J2704">
        <v>0</v>
      </c>
      <c r="K2704">
        <v>0</v>
      </c>
      <c r="L2704">
        <v>0</v>
      </c>
      <c r="M2704">
        <v>4</v>
      </c>
      <c r="N2704">
        <v>1333.92</v>
      </c>
      <c r="O2704">
        <v>333.48</v>
      </c>
    </row>
    <row r="2705" spans="1:15" x14ac:dyDescent="0.35">
      <c r="A2705" t="s">
        <v>3125</v>
      </c>
      <c r="B2705" t="s">
        <v>3126</v>
      </c>
      <c r="C2705" t="s">
        <v>898</v>
      </c>
      <c r="D2705" t="s">
        <v>314</v>
      </c>
      <c r="E2705" t="s">
        <v>308</v>
      </c>
      <c r="F2705" t="s">
        <v>3142</v>
      </c>
      <c r="G2705">
        <v>0</v>
      </c>
      <c r="H2705">
        <v>0</v>
      </c>
      <c r="I2705">
        <v>0</v>
      </c>
      <c r="J2705">
        <v>0</v>
      </c>
      <c r="K2705">
        <v>0</v>
      </c>
      <c r="L2705">
        <v>0</v>
      </c>
      <c r="M2705">
        <v>0</v>
      </c>
      <c r="N2705">
        <v>0</v>
      </c>
      <c r="O2705">
        <v>0</v>
      </c>
    </row>
    <row r="2706" spans="1:15" x14ac:dyDescent="0.35">
      <c r="A2706" t="s">
        <v>3125</v>
      </c>
      <c r="B2706" t="s">
        <v>3126</v>
      </c>
      <c r="C2706" t="s">
        <v>898</v>
      </c>
      <c r="D2706" t="s">
        <v>314</v>
      </c>
      <c r="E2706" t="s">
        <v>312</v>
      </c>
      <c r="F2706" t="s">
        <v>3143</v>
      </c>
      <c r="G2706">
        <v>4</v>
      </c>
      <c r="H2706">
        <v>1333.92</v>
      </c>
      <c r="I2706">
        <v>333.48</v>
      </c>
      <c r="J2706">
        <v>0</v>
      </c>
      <c r="K2706">
        <v>0</v>
      </c>
      <c r="L2706">
        <v>0</v>
      </c>
      <c r="M2706">
        <v>4</v>
      </c>
      <c r="N2706">
        <v>1333.92</v>
      </c>
      <c r="O2706">
        <v>333.48</v>
      </c>
    </row>
    <row r="2707" spans="1:15" x14ac:dyDescent="0.35">
      <c r="A2707" t="s">
        <v>3125</v>
      </c>
      <c r="B2707" t="s">
        <v>3126</v>
      </c>
      <c r="C2707" t="s">
        <v>898</v>
      </c>
      <c r="D2707" t="s">
        <v>314</v>
      </c>
      <c r="E2707" t="s">
        <v>310</v>
      </c>
      <c r="F2707" t="s">
        <v>3144</v>
      </c>
      <c r="G2707">
        <v>4</v>
      </c>
      <c r="H2707">
        <v>1333.92</v>
      </c>
      <c r="I2707">
        <v>333.48</v>
      </c>
      <c r="J2707">
        <v>0</v>
      </c>
      <c r="K2707">
        <v>0</v>
      </c>
      <c r="L2707">
        <v>0</v>
      </c>
      <c r="M2707">
        <v>4</v>
      </c>
      <c r="N2707">
        <v>1333.92</v>
      </c>
      <c r="O2707">
        <v>333.48</v>
      </c>
    </row>
    <row r="2708" spans="1:15" x14ac:dyDescent="0.35">
      <c r="A2708" t="s">
        <v>3125</v>
      </c>
      <c r="B2708" t="s">
        <v>3126</v>
      </c>
      <c r="C2708" t="s">
        <v>898</v>
      </c>
      <c r="D2708" t="s">
        <v>323</v>
      </c>
      <c r="E2708" t="s">
        <v>294</v>
      </c>
      <c r="F2708" t="s">
        <v>3145</v>
      </c>
      <c r="G2708">
        <v>333</v>
      </c>
      <c r="H2708">
        <v>31072.11</v>
      </c>
      <c r="I2708">
        <v>93.31</v>
      </c>
      <c r="J2708">
        <v>0</v>
      </c>
      <c r="K2708">
        <v>0</v>
      </c>
      <c r="L2708">
        <v>0</v>
      </c>
      <c r="M2708">
        <v>333</v>
      </c>
      <c r="N2708">
        <v>31072.11</v>
      </c>
      <c r="O2708">
        <v>93.31</v>
      </c>
    </row>
    <row r="2709" spans="1:15" x14ac:dyDescent="0.35">
      <c r="A2709" t="s">
        <v>3125</v>
      </c>
      <c r="B2709" t="s">
        <v>3126</v>
      </c>
      <c r="C2709" t="s">
        <v>898</v>
      </c>
      <c r="D2709" t="s">
        <v>323</v>
      </c>
      <c r="E2709" t="s">
        <v>296</v>
      </c>
      <c r="F2709" t="s">
        <v>3146</v>
      </c>
      <c r="G2709">
        <v>1452</v>
      </c>
      <c r="H2709">
        <v>155887.75</v>
      </c>
      <c r="I2709">
        <v>107.36</v>
      </c>
      <c r="J2709">
        <v>0</v>
      </c>
      <c r="K2709">
        <v>0</v>
      </c>
      <c r="L2709">
        <v>0</v>
      </c>
      <c r="M2709">
        <v>1452</v>
      </c>
      <c r="N2709">
        <v>155887.75</v>
      </c>
      <c r="O2709">
        <v>107.36</v>
      </c>
    </row>
    <row r="2710" spans="1:15" x14ac:dyDescent="0.35">
      <c r="A2710" t="s">
        <v>3125</v>
      </c>
      <c r="B2710" t="s">
        <v>3126</v>
      </c>
      <c r="C2710" t="s">
        <v>898</v>
      </c>
      <c r="D2710" t="s">
        <v>323</v>
      </c>
      <c r="E2710" t="s">
        <v>298</v>
      </c>
      <c r="F2710" t="s">
        <v>3147</v>
      </c>
      <c r="G2710">
        <v>2410</v>
      </c>
      <c r="H2710">
        <v>276769.01</v>
      </c>
      <c r="I2710">
        <v>114.84</v>
      </c>
      <c r="J2710">
        <v>0</v>
      </c>
      <c r="K2710">
        <v>0</v>
      </c>
      <c r="L2710">
        <v>0</v>
      </c>
      <c r="M2710">
        <v>2410</v>
      </c>
      <c r="N2710">
        <v>276769.01</v>
      </c>
      <c r="O2710">
        <v>114.84</v>
      </c>
    </row>
    <row r="2711" spans="1:15" x14ac:dyDescent="0.35">
      <c r="A2711" t="s">
        <v>3125</v>
      </c>
      <c r="B2711" t="s">
        <v>3126</v>
      </c>
      <c r="C2711" t="s">
        <v>898</v>
      </c>
      <c r="D2711" t="s">
        <v>323</v>
      </c>
      <c r="E2711" t="s">
        <v>300</v>
      </c>
      <c r="F2711" t="s">
        <v>3148</v>
      </c>
      <c r="G2711">
        <v>83</v>
      </c>
      <c r="H2711">
        <v>10382.540000000001</v>
      </c>
      <c r="I2711">
        <v>125.09</v>
      </c>
      <c r="J2711">
        <v>0</v>
      </c>
      <c r="K2711">
        <v>0</v>
      </c>
      <c r="L2711">
        <v>0</v>
      </c>
      <c r="M2711">
        <v>83</v>
      </c>
      <c r="N2711">
        <v>10382.540000000001</v>
      </c>
      <c r="O2711">
        <v>125.09</v>
      </c>
    </row>
    <row r="2712" spans="1:15" x14ac:dyDescent="0.35">
      <c r="A2712" t="s">
        <v>3125</v>
      </c>
      <c r="B2712" t="s">
        <v>3126</v>
      </c>
      <c r="C2712" t="s">
        <v>898</v>
      </c>
      <c r="D2712" t="s">
        <v>323</v>
      </c>
      <c r="E2712" t="s">
        <v>302</v>
      </c>
      <c r="F2712" t="s">
        <v>3149</v>
      </c>
      <c r="G2712">
        <v>8</v>
      </c>
      <c r="H2712">
        <v>1062</v>
      </c>
      <c r="I2712">
        <v>132.75</v>
      </c>
      <c r="J2712">
        <v>0</v>
      </c>
      <c r="K2712">
        <v>0</v>
      </c>
      <c r="L2712">
        <v>0</v>
      </c>
      <c r="M2712">
        <v>8</v>
      </c>
      <c r="N2712">
        <v>1062</v>
      </c>
      <c r="O2712">
        <v>132.75</v>
      </c>
    </row>
    <row r="2713" spans="1:15" x14ac:dyDescent="0.35">
      <c r="A2713" t="s">
        <v>3125</v>
      </c>
      <c r="B2713" t="s">
        <v>3126</v>
      </c>
      <c r="C2713" t="s">
        <v>898</v>
      </c>
      <c r="D2713" t="s">
        <v>323</v>
      </c>
      <c r="E2713" t="s">
        <v>304</v>
      </c>
      <c r="F2713" t="s">
        <v>3150</v>
      </c>
      <c r="G2713">
        <v>1</v>
      </c>
      <c r="H2713">
        <v>137.69</v>
      </c>
      <c r="I2713">
        <v>137.69</v>
      </c>
      <c r="J2713">
        <v>0</v>
      </c>
      <c r="K2713">
        <v>0</v>
      </c>
      <c r="L2713">
        <v>0</v>
      </c>
      <c r="M2713">
        <v>1</v>
      </c>
      <c r="N2713">
        <v>137.69</v>
      </c>
      <c r="O2713">
        <v>137.69</v>
      </c>
    </row>
    <row r="2714" spans="1:15" x14ac:dyDescent="0.35">
      <c r="A2714" t="s">
        <v>3125</v>
      </c>
      <c r="B2714" t="s">
        <v>3126</v>
      </c>
      <c r="C2714" t="s">
        <v>898</v>
      </c>
      <c r="D2714" t="s">
        <v>323</v>
      </c>
      <c r="E2714" t="s">
        <v>306</v>
      </c>
      <c r="F2714" t="s">
        <v>3151</v>
      </c>
      <c r="G2714">
        <v>9</v>
      </c>
      <c r="H2714">
        <v>715.41000000000008</v>
      </c>
      <c r="I2714">
        <v>79.489999999999995</v>
      </c>
      <c r="J2714">
        <v>0</v>
      </c>
      <c r="K2714">
        <v>0</v>
      </c>
      <c r="L2714">
        <v>0</v>
      </c>
      <c r="M2714">
        <v>9</v>
      </c>
      <c r="N2714">
        <v>715.41000000000008</v>
      </c>
      <c r="O2714">
        <v>79.489999999999995</v>
      </c>
    </row>
    <row r="2715" spans="1:15" x14ac:dyDescent="0.35">
      <c r="A2715" t="s">
        <v>3125</v>
      </c>
      <c r="B2715" t="s">
        <v>3126</v>
      </c>
      <c r="C2715" t="s">
        <v>898</v>
      </c>
      <c r="D2715" t="s">
        <v>323</v>
      </c>
      <c r="E2715" t="s">
        <v>308</v>
      </c>
      <c r="F2715" t="s">
        <v>3152</v>
      </c>
      <c r="G2715">
        <v>0</v>
      </c>
      <c r="H2715">
        <v>0</v>
      </c>
      <c r="I2715">
        <v>0</v>
      </c>
      <c r="J2715">
        <v>0</v>
      </c>
      <c r="K2715">
        <v>0</v>
      </c>
      <c r="L2715">
        <v>0</v>
      </c>
      <c r="M2715">
        <v>0</v>
      </c>
      <c r="N2715">
        <v>0</v>
      </c>
      <c r="O2715">
        <v>0</v>
      </c>
    </row>
    <row r="2716" spans="1:15" x14ac:dyDescent="0.35">
      <c r="A2716" t="s">
        <v>3125</v>
      </c>
      <c r="B2716" t="s">
        <v>3126</v>
      </c>
      <c r="C2716" t="s">
        <v>898</v>
      </c>
      <c r="D2716" t="s">
        <v>323</v>
      </c>
      <c r="E2716" t="s">
        <v>310</v>
      </c>
      <c r="F2716" t="s">
        <v>3153</v>
      </c>
      <c r="G2716">
        <v>4296</v>
      </c>
      <c r="H2716">
        <v>476026.50999999995</v>
      </c>
      <c r="I2716">
        <v>110.81</v>
      </c>
      <c r="J2716">
        <v>0</v>
      </c>
      <c r="K2716">
        <v>0</v>
      </c>
      <c r="L2716">
        <v>0</v>
      </c>
      <c r="M2716">
        <v>4296</v>
      </c>
      <c r="N2716">
        <v>476026.50999999995</v>
      </c>
      <c r="O2716">
        <v>110.81</v>
      </c>
    </row>
    <row r="2717" spans="1:15" x14ac:dyDescent="0.35">
      <c r="A2717" t="s">
        <v>3125</v>
      </c>
      <c r="B2717" t="s">
        <v>3126</v>
      </c>
      <c r="C2717" t="s">
        <v>898</v>
      </c>
      <c r="D2717" t="s">
        <v>323</v>
      </c>
      <c r="E2717" t="s">
        <v>312</v>
      </c>
      <c r="F2717" t="s">
        <v>3154</v>
      </c>
      <c r="G2717">
        <v>4296</v>
      </c>
      <c r="H2717">
        <v>476026.50999999995</v>
      </c>
      <c r="I2717">
        <v>110.81</v>
      </c>
      <c r="J2717">
        <v>0</v>
      </c>
      <c r="K2717">
        <v>0</v>
      </c>
      <c r="L2717">
        <v>0</v>
      </c>
      <c r="M2717">
        <v>4296</v>
      </c>
      <c r="N2717">
        <v>476026.50999999995</v>
      </c>
      <c r="O2717">
        <v>110.81</v>
      </c>
    </row>
    <row r="2718" spans="1:15" x14ac:dyDescent="0.35">
      <c r="A2718" t="s">
        <v>3125</v>
      </c>
      <c r="B2718" t="s">
        <v>3126</v>
      </c>
      <c r="C2718" t="s">
        <v>898</v>
      </c>
      <c r="D2718" t="s">
        <v>334</v>
      </c>
      <c r="E2718" t="s">
        <v>312</v>
      </c>
      <c r="F2718" t="s">
        <v>3155</v>
      </c>
      <c r="G2718">
        <v>5069</v>
      </c>
      <c r="H2718">
        <v>572253.17000000004</v>
      </c>
      <c r="I2718">
        <v>114.57</v>
      </c>
      <c r="J2718">
        <v>0</v>
      </c>
      <c r="K2718">
        <v>0</v>
      </c>
      <c r="L2718">
        <v>0</v>
      </c>
      <c r="M2718">
        <v>5069</v>
      </c>
      <c r="N2718">
        <v>572253.17000000004</v>
      </c>
      <c r="O2718">
        <v>114.57</v>
      </c>
    </row>
    <row r="2719" spans="1:15" x14ac:dyDescent="0.35">
      <c r="A2719" t="s">
        <v>3125</v>
      </c>
      <c r="B2719" t="s">
        <v>3126</v>
      </c>
      <c r="C2719" t="s">
        <v>898</v>
      </c>
      <c r="D2719" t="s">
        <v>334</v>
      </c>
      <c r="E2719" t="s">
        <v>308</v>
      </c>
      <c r="F2719" t="s">
        <v>3156</v>
      </c>
      <c r="G2719">
        <v>0</v>
      </c>
      <c r="H2719">
        <v>0</v>
      </c>
      <c r="I2719">
        <v>0</v>
      </c>
      <c r="J2719">
        <v>0</v>
      </c>
      <c r="K2719">
        <v>0</v>
      </c>
      <c r="L2719">
        <v>0</v>
      </c>
      <c r="M2719">
        <v>0</v>
      </c>
      <c r="N2719">
        <v>0</v>
      </c>
      <c r="O2719">
        <v>0</v>
      </c>
    </row>
    <row r="2720" spans="1:15" x14ac:dyDescent="0.35">
      <c r="A2720" t="s">
        <v>3125</v>
      </c>
      <c r="B2720" t="s">
        <v>3126</v>
      </c>
      <c r="C2720" t="s">
        <v>898</v>
      </c>
      <c r="D2720" t="s">
        <v>337</v>
      </c>
      <c r="E2720" t="s">
        <v>337</v>
      </c>
      <c r="F2720" t="s">
        <v>3157</v>
      </c>
      <c r="G2720">
        <v>409</v>
      </c>
      <c r="J2720">
        <v>0</v>
      </c>
      <c r="M2720">
        <v>409</v>
      </c>
    </row>
    <row r="2721" spans="1:15" x14ac:dyDescent="0.35">
      <c r="A2721" t="s">
        <v>3125</v>
      </c>
      <c r="B2721" t="s">
        <v>3126</v>
      </c>
      <c r="C2721" t="s">
        <v>898</v>
      </c>
      <c r="D2721" t="s">
        <v>339</v>
      </c>
      <c r="E2721" t="s">
        <v>294</v>
      </c>
      <c r="F2721" t="s">
        <v>3158</v>
      </c>
      <c r="G2721">
        <v>1559</v>
      </c>
      <c r="H2721">
        <v>160594.72</v>
      </c>
      <c r="I2721">
        <v>103.01</v>
      </c>
      <c r="J2721">
        <v>0</v>
      </c>
      <c r="K2721">
        <v>0</v>
      </c>
      <c r="L2721">
        <v>0</v>
      </c>
      <c r="M2721">
        <v>1559</v>
      </c>
      <c r="N2721">
        <v>160594.72</v>
      </c>
      <c r="O2721">
        <v>103.01</v>
      </c>
    </row>
    <row r="2722" spans="1:15" x14ac:dyDescent="0.35">
      <c r="A2722" t="s">
        <v>3125</v>
      </c>
      <c r="B2722" t="s">
        <v>3126</v>
      </c>
      <c r="C2722" t="s">
        <v>898</v>
      </c>
      <c r="D2722" t="s">
        <v>339</v>
      </c>
      <c r="E2722" t="s">
        <v>296</v>
      </c>
      <c r="F2722" t="s">
        <v>3159</v>
      </c>
      <c r="G2722">
        <v>918</v>
      </c>
      <c r="H2722">
        <v>100687.98</v>
      </c>
      <c r="I2722">
        <v>109.68</v>
      </c>
      <c r="J2722">
        <v>0</v>
      </c>
      <c r="K2722">
        <v>0</v>
      </c>
      <c r="L2722">
        <v>0</v>
      </c>
      <c r="M2722">
        <v>918</v>
      </c>
      <c r="N2722">
        <v>100687.98</v>
      </c>
      <c r="O2722">
        <v>109.68</v>
      </c>
    </row>
    <row r="2723" spans="1:15" x14ac:dyDescent="0.35">
      <c r="A2723" t="s">
        <v>3125</v>
      </c>
      <c r="B2723" t="s">
        <v>3126</v>
      </c>
      <c r="C2723" t="s">
        <v>898</v>
      </c>
      <c r="D2723" t="s">
        <v>339</v>
      </c>
      <c r="E2723" t="s">
        <v>298</v>
      </c>
      <c r="F2723" t="s">
        <v>3160</v>
      </c>
      <c r="G2723">
        <v>15</v>
      </c>
      <c r="H2723">
        <v>1785.07</v>
      </c>
      <c r="I2723">
        <v>119</v>
      </c>
      <c r="J2723">
        <v>0</v>
      </c>
      <c r="K2723">
        <v>0</v>
      </c>
      <c r="L2723">
        <v>0</v>
      </c>
      <c r="M2723">
        <v>15</v>
      </c>
      <c r="N2723">
        <v>1785.07</v>
      </c>
      <c r="O2723">
        <v>119</v>
      </c>
    </row>
    <row r="2724" spans="1:15" x14ac:dyDescent="0.35">
      <c r="A2724" t="s">
        <v>3125</v>
      </c>
      <c r="B2724" t="s">
        <v>3126</v>
      </c>
      <c r="C2724" t="s">
        <v>898</v>
      </c>
      <c r="D2724" t="s">
        <v>339</v>
      </c>
      <c r="E2724" t="s">
        <v>300</v>
      </c>
      <c r="F2724" t="s">
        <v>3161</v>
      </c>
      <c r="G2724">
        <v>0</v>
      </c>
      <c r="H2724">
        <v>0</v>
      </c>
      <c r="I2724">
        <v>0</v>
      </c>
      <c r="J2724">
        <v>0</v>
      </c>
      <c r="K2724">
        <v>0</v>
      </c>
      <c r="L2724">
        <v>0</v>
      </c>
      <c r="M2724">
        <v>0</v>
      </c>
      <c r="N2724">
        <v>0</v>
      </c>
      <c r="O2724">
        <v>0</v>
      </c>
    </row>
    <row r="2725" spans="1:15" x14ac:dyDescent="0.35">
      <c r="A2725" t="s">
        <v>3125</v>
      </c>
      <c r="B2725" t="s">
        <v>3126</v>
      </c>
      <c r="C2725" t="s">
        <v>898</v>
      </c>
      <c r="D2725" t="s">
        <v>339</v>
      </c>
      <c r="E2725" t="s">
        <v>306</v>
      </c>
      <c r="F2725" t="s">
        <v>3162</v>
      </c>
      <c r="G2725">
        <v>13</v>
      </c>
      <c r="H2725">
        <v>1023.2299999999999</v>
      </c>
      <c r="I2725">
        <v>78.709999999999994</v>
      </c>
      <c r="J2725">
        <v>0</v>
      </c>
      <c r="K2725">
        <v>0</v>
      </c>
      <c r="L2725">
        <v>0</v>
      </c>
      <c r="M2725">
        <v>13</v>
      </c>
      <c r="N2725">
        <v>1023.2299999999999</v>
      </c>
      <c r="O2725">
        <v>78.709999999999994</v>
      </c>
    </row>
    <row r="2726" spans="1:15" x14ac:dyDescent="0.35">
      <c r="A2726" t="s">
        <v>3125</v>
      </c>
      <c r="B2726" t="s">
        <v>3126</v>
      </c>
      <c r="C2726" t="s">
        <v>898</v>
      </c>
      <c r="D2726" t="s">
        <v>339</v>
      </c>
      <c r="E2726" t="s">
        <v>308</v>
      </c>
      <c r="F2726" t="s">
        <v>3163</v>
      </c>
      <c r="G2726">
        <v>55</v>
      </c>
      <c r="H2726">
        <v>7967.3099999999995</v>
      </c>
      <c r="I2726">
        <v>144.86000000000001</v>
      </c>
      <c r="J2726">
        <v>0</v>
      </c>
      <c r="K2726">
        <v>0</v>
      </c>
      <c r="L2726">
        <v>0</v>
      </c>
      <c r="M2726">
        <v>55</v>
      </c>
      <c r="N2726">
        <v>7967.3099999999995</v>
      </c>
      <c r="O2726">
        <v>144.86000000000001</v>
      </c>
    </row>
    <row r="2727" spans="1:15" x14ac:dyDescent="0.35">
      <c r="A2727" t="s">
        <v>3125</v>
      </c>
      <c r="B2727" t="s">
        <v>3126</v>
      </c>
      <c r="C2727" t="s">
        <v>898</v>
      </c>
      <c r="D2727" t="s">
        <v>339</v>
      </c>
      <c r="E2727" t="s">
        <v>310</v>
      </c>
      <c r="F2727" t="s">
        <v>3164</v>
      </c>
      <c r="G2727">
        <v>2560</v>
      </c>
      <c r="H2727">
        <v>272058.31</v>
      </c>
      <c r="I2727">
        <v>106.27</v>
      </c>
      <c r="J2727">
        <v>0</v>
      </c>
      <c r="K2727">
        <v>0</v>
      </c>
      <c r="L2727">
        <v>0</v>
      </c>
      <c r="M2727">
        <v>2560</v>
      </c>
      <c r="N2727">
        <v>272058.31</v>
      </c>
      <c r="O2727">
        <v>106.27</v>
      </c>
    </row>
    <row r="2728" spans="1:15" x14ac:dyDescent="0.35">
      <c r="A2728" t="s">
        <v>3125</v>
      </c>
      <c r="B2728" t="s">
        <v>3126</v>
      </c>
      <c r="C2728" t="s">
        <v>898</v>
      </c>
      <c r="D2728" t="s">
        <v>339</v>
      </c>
      <c r="E2728" t="s">
        <v>312</v>
      </c>
      <c r="F2728" t="s">
        <v>3165</v>
      </c>
      <c r="G2728">
        <v>2505</v>
      </c>
      <c r="H2728">
        <v>264091</v>
      </c>
      <c r="I2728">
        <v>105.43</v>
      </c>
      <c r="J2728">
        <v>0</v>
      </c>
      <c r="K2728">
        <v>0</v>
      </c>
      <c r="L2728">
        <v>0</v>
      </c>
      <c r="M2728">
        <v>2505</v>
      </c>
      <c r="N2728">
        <v>264091</v>
      </c>
      <c r="O2728">
        <v>105.43</v>
      </c>
    </row>
    <row r="2729" spans="1:15" x14ac:dyDescent="0.35">
      <c r="A2729" t="s">
        <v>3125</v>
      </c>
      <c r="B2729" t="s">
        <v>3126</v>
      </c>
      <c r="C2729" t="s">
        <v>898</v>
      </c>
      <c r="D2729" t="s">
        <v>348</v>
      </c>
      <c r="E2729" t="s">
        <v>349</v>
      </c>
      <c r="F2729" t="s">
        <v>3166</v>
      </c>
      <c r="G2729">
        <v>2606</v>
      </c>
      <c r="H2729">
        <v>273392.23</v>
      </c>
      <c r="I2729">
        <v>106.63</v>
      </c>
      <c r="J2729">
        <v>0</v>
      </c>
      <c r="K2729">
        <v>0</v>
      </c>
      <c r="L2729">
        <v>0</v>
      </c>
      <c r="M2729">
        <v>2606</v>
      </c>
      <c r="N2729">
        <v>273392.23</v>
      </c>
      <c r="O2729">
        <v>106.63</v>
      </c>
    </row>
    <row r="2730" spans="1:15" x14ac:dyDescent="0.35">
      <c r="A2730" t="s">
        <v>3167</v>
      </c>
      <c r="B2730" t="s">
        <v>3168</v>
      </c>
      <c r="C2730" t="s">
        <v>898</v>
      </c>
      <c r="D2730" t="s">
        <v>293</v>
      </c>
      <c r="E2730" t="s">
        <v>294</v>
      </c>
      <c r="F2730" t="s">
        <v>3169</v>
      </c>
      <c r="G2730">
        <v>42</v>
      </c>
      <c r="H2730">
        <v>4957.5199999999995</v>
      </c>
      <c r="I2730">
        <v>118.04</v>
      </c>
      <c r="J2730">
        <v>10</v>
      </c>
      <c r="K2730">
        <v>989.5</v>
      </c>
      <c r="L2730">
        <v>98.95</v>
      </c>
      <c r="M2730">
        <v>52</v>
      </c>
      <c r="N2730">
        <v>5947.0199999999995</v>
      </c>
      <c r="O2730">
        <v>114.37</v>
      </c>
    </row>
    <row r="2731" spans="1:15" x14ac:dyDescent="0.35">
      <c r="A2731" t="s">
        <v>3167</v>
      </c>
      <c r="B2731" t="s">
        <v>3168</v>
      </c>
      <c r="C2731" t="s">
        <v>898</v>
      </c>
      <c r="D2731" t="s">
        <v>293</v>
      </c>
      <c r="E2731" t="s">
        <v>296</v>
      </c>
      <c r="F2731" t="s">
        <v>3170</v>
      </c>
      <c r="G2731">
        <v>91</v>
      </c>
      <c r="H2731">
        <v>10866.75</v>
      </c>
      <c r="I2731">
        <v>119.41</v>
      </c>
      <c r="J2731">
        <v>129</v>
      </c>
      <c r="K2731">
        <v>16377.839999999998</v>
      </c>
      <c r="L2731">
        <v>126.96</v>
      </c>
      <c r="M2731">
        <v>220</v>
      </c>
      <c r="N2731">
        <v>27244.589999999997</v>
      </c>
      <c r="O2731">
        <v>123.84</v>
      </c>
    </row>
    <row r="2732" spans="1:15" x14ac:dyDescent="0.35">
      <c r="A2732" t="s">
        <v>3167</v>
      </c>
      <c r="B2732" t="s">
        <v>3168</v>
      </c>
      <c r="C2732" t="s">
        <v>898</v>
      </c>
      <c r="D2732" t="s">
        <v>293</v>
      </c>
      <c r="E2732" t="s">
        <v>298</v>
      </c>
      <c r="F2732" t="s">
        <v>3171</v>
      </c>
      <c r="G2732">
        <v>42</v>
      </c>
      <c r="H2732">
        <v>5339.85</v>
      </c>
      <c r="I2732">
        <v>127.14</v>
      </c>
      <c r="J2732">
        <v>30</v>
      </c>
      <c r="K2732">
        <v>4368</v>
      </c>
      <c r="L2732">
        <v>145.6</v>
      </c>
      <c r="M2732">
        <v>72</v>
      </c>
      <c r="N2732">
        <v>9707.85</v>
      </c>
      <c r="O2732">
        <v>134.83000000000001</v>
      </c>
    </row>
    <row r="2733" spans="1:15" x14ac:dyDescent="0.35">
      <c r="A2733" t="s">
        <v>3167</v>
      </c>
      <c r="B2733" t="s">
        <v>3168</v>
      </c>
      <c r="C2733" t="s">
        <v>898</v>
      </c>
      <c r="D2733" t="s">
        <v>293</v>
      </c>
      <c r="E2733" t="s">
        <v>300</v>
      </c>
      <c r="F2733" t="s">
        <v>3172</v>
      </c>
      <c r="G2733">
        <v>2</v>
      </c>
      <c r="H2733">
        <v>359.4</v>
      </c>
      <c r="I2733">
        <v>179.7</v>
      </c>
      <c r="J2733">
        <v>6</v>
      </c>
      <c r="K2733">
        <v>1159.32</v>
      </c>
      <c r="L2733">
        <v>193.22</v>
      </c>
      <c r="M2733">
        <v>8</v>
      </c>
      <c r="N2733">
        <v>1518.7199999999998</v>
      </c>
      <c r="O2733">
        <v>189.84</v>
      </c>
    </row>
    <row r="2734" spans="1:15" x14ac:dyDescent="0.35">
      <c r="A2734" t="s">
        <v>3167</v>
      </c>
      <c r="B2734" t="s">
        <v>3168</v>
      </c>
      <c r="C2734" t="s">
        <v>898</v>
      </c>
      <c r="D2734" t="s">
        <v>293</v>
      </c>
      <c r="E2734" t="s">
        <v>302</v>
      </c>
      <c r="F2734" t="s">
        <v>3173</v>
      </c>
      <c r="G2734">
        <v>0</v>
      </c>
      <c r="H2734">
        <v>0</v>
      </c>
      <c r="I2734">
        <v>0</v>
      </c>
      <c r="J2734">
        <v>0</v>
      </c>
      <c r="K2734">
        <v>0</v>
      </c>
      <c r="L2734">
        <v>0</v>
      </c>
      <c r="M2734">
        <v>0</v>
      </c>
      <c r="N2734">
        <v>0</v>
      </c>
      <c r="O2734">
        <v>0</v>
      </c>
    </row>
    <row r="2735" spans="1:15" x14ac:dyDescent="0.35">
      <c r="A2735" t="s">
        <v>3167</v>
      </c>
      <c r="B2735" t="s">
        <v>3168</v>
      </c>
      <c r="C2735" t="s">
        <v>898</v>
      </c>
      <c r="D2735" t="s">
        <v>293</v>
      </c>
      <c r="E2735" t="s">
        <v>304</v>
      </c>
      <c r="F2735" t="s">
        <v>3174</v>
      </c>
      <c r="G2735">
        <v>0</v>
      </c>
      <c r="H2735">
        <v>0</v>
      </c>
      <c r="I2735">
        <v>0</v>
      </c>
      <c r="J2735">
        <v>0</v>
      </c>
      <c r="K2735">
        <v>0</v>
      </c>
      <c r="L2735">
        <v>0</v>
      </c>
      <c r="M2735">
        <v>0</v>
      </c>
      <c r="N2735">
        <v>0</v>
      </c>
      <c r="O2735">
        <v>0</v>
      </c>
    </row>
    <row r="2736" spans="1:15" x14ac:dyDescent="0.35">
      <c r="A2736" t="s">
        <v>3167</v>
      </c>
      <c r="B2736" t="s">
        <v>3168</v>
      </c>
      <c r="C2736" t="s">
        <v>898</v>
      </c>
      <c r="D2736" t="s">
        <v>293</v>
      </c>
      <c r="E2736" t="s">
        <v>306</v>
      </c>
      <c r="F2736" t="s">
        <v>3175</v>
      </c>
      <c r="G2736">
        <v>0</v>
      </c>
      <c r="H2736">
        <v>0</v>
      </c>
      <c r="I2736">
        <v>0</v>
      </c>
      <c r="J2736">
        <v>0</v>
      </c>
      <c r="K2736">
        <v>0</v>
      </c>
      <c r="L2736">
        <v>0</v>
      </c>
      <c r="M2736">
        <v>0</v>
      </c>
      <c r="N2736">
        <v>0</v>
      </c>
      <c r="O2736">
        <v>0</v>
      </c>
    </row>
    <row r="2737" spans="1:15" x14ac:dyDescent="0.35">
      <c r="A2737" t="s">
        <v>3167</v>
      </c>
      <c r="B2737" t="s">
        <v>3168</v>
      </c>
      <c r="C2737" t="s">
        <v>898</v>
      </c>
      <c r="D2737" t="s">
        <v>293</v>
      </c>
      <c r="E2737" t="s">
        <v>308</v>
      </c>
      <c r="F2737" t="s">
        <v>3176</v>
      </c>
      <c r="G2737">
        <v>0</v>
      </c>
      <c r="H2737">
        <v>0</v>
      </c>
      <c r="I2737">
        <v>0</v>
      </c>
      <c r="J2737">
        <v>0</v>
      </c>
      <c r="K2737">
        <v>0</v>
      </c>
      <c r="L2737">
        <v>0</v>
      </c>
      <c r="M2737">
        <v>0</v>
      </c>
      <c r="N2737">
        <v>0</v>
      </c>
      <c r="O2737">
        <v>0</v>
      </c>
    </row>
    <row r="2738" spans="1:15" x14ac:dyDescent="0.35">
      <c r="A2738" t="s">
        <v>3167</v>
      </c>
      <c r="B2738" t="s">
        <v>3168</v>
      </c>
      <c r="C2738" t="s">
        <v>898</v>
      </c>
      <c r="D2738" t="s">
        <v>293</v>
      </c>
      <c r="E2738" t="s">
        <v>310</v>
      </c>
      <c r="F2738" t="s">
        <v>3177</v>
      </c>
      <c r="G2738">
        <v>177</v>
      </c>
      <c r="H2738">
        <v>21523.520000000004</v>
      </c>
      <c r="I2738">
        <v>121.6</v>
      </c>
      <c r="J2738">
        <v>175</v>
      </c>
      <c r="K2738">
        <v>22894.659999999996</v>
      </c>
      <c r="L2738">
        <v>130.83000000000001</v>
      </c>
      <c r="M2738">
        <v>352</v>
      </c>
      <c r="N2738">
        <v>44418.18</v>
      </c>
      <c r="O2738">
        <v>126.19</v>
      </c>
    </row>
    <row r="2739" spans="1:15" x14ac:dyDescent="0.35">
      <c r="A2739" t="s">
        <v>3167</v>
      </c>
      <c r="B2739" t="s">
        <v>3168</v>
      </c>
      <c r="C2739" t="s">
        <v>898</v>
      </c>
      <c r="D2739" t="s">
        <v>293</v>
      </c>
      <c r="E2739" t="s">
        <v>312</v>
      </c>
      <c r="F2739" t="s">
        <v>3178</v>
      </c>
      <c r="G2739">
        <v>177</v>
      </c>
      <c r="H2739">
        <v>21523.520000000004</v>
      </c>
      <c r="I2739">
        <v>121.6</v>
      </c>
      <c r="J2739">
        <v>175</v>
      </c>
      <c r="K2739">
        <v>22894.659999999996</v>
      </c>
      <c r="L2739">
        <v>130.83000000000001</v>
      </c>
      <c r="M2739">
        <v>352</v>
      </c>
      <c r="N2739">
        <v>44418.18</v>
      </c>
      <c r="O2739">
        <v>126.19</v>
      </c>
    </row>
    <row r="2740" spans="1:15" x14ac:dyDescent="0.35">
      <c r="A2740" t="s">
        <v>3167</v>
      </c>
      <c r="B2740" t="s">
        <v>3168</v>
      </c>
      <c r="C2740" t="s">
        <v>898</v>
      </c>
      <c r="D2740" t="s">
        <v>314</v>
      </c>
      <c r="E2740" t="s">
        <v>294</v>
      </c>
      <c r="F2740" t="s">
        <v>3179</v>
      </c>
      <c r="G2740">
        <v>0</v>
      </c>
      <c r="H2740">
        <v>0</v>
      </c>
      <c r="I2740">
        <v>0</v>
      </c>
      <c r="J2740">
        <v>5</v>
      </c>
      <c r="K2740">
        <v>590.29999999999995</v>
      </c>
      <c r="L2740">
        <v>118.06</v>
      </c>
      <c r="M2740">
        <v>5</v>
      </c>
      <c r="N2740">
        <v>590.29999999999995</v>
      </c>
      <c r="O2740">
        <v>118.06</v>
      </c>
    </row>
    <row r="2741" spans="1:15" x14ac:dyDescent="0.35">
      <c r="A2741" t="s">
        <v>3167</v>
      </c>
      <c r="B2741" t="s">
        <v>3168</v>
      </c>
      <c r="C2741" t="s">
        <v>898</v>
      </c>
      <c r="D2741" t="s">
        <v>314</v>
      </c>
      <c r="E2741" t="s">
        <v>296</v>
      </c>
      <c r="F2741" t="s">
        <v>3180</v>
      </c>
      <c r="G2741">
        <v>0</v>
      </c>
      <c r="H2741">
        <v>0</v>
      </c>
      <c r="I2741">
        <v>0</v>
      </c>
      <c r="J2741">
        <v>110</v>
      </c>
      <c r="K2741">
        <v>14137.2</v>
      </c>
      <c r="L2741">
        <v>128.52000000000001</v>
      </c>
      <c r="M2741">
        <v>110</v>
      </c>
      <c r="N2741">
        <v>14137.2</v>
      </c>
      <c r="O2741">
        <v>128.52000000000001</v>
      </c>
    </row>
    <row r="2742" spans="1:15" x14ac:dyDescent="0.35">
      <c r="A2742" t="s">
        <v>3167</v>
      </c>
      <c r="B2742" t="s">
        <v>3168</v>
      </c>
      <c r="C2742" t="s">
        <v>898</v>
      </c>
      <c r="D2742" t="s">
        <v>314</v>
      </c>
      <c r="E2742" t="s">
        <v>298</v>
      </c>
      <c r="F2742" t="s">
        <v>3181</v>
      </c>
      <c r="G2742">
        <v>0</v>
      </c>
      <c r="H2742">
        <v>0</v>
      </c>
      <c r="I2742">
        <v>0</v>
      </c>
      <c r="J2742">
        <v>7</v>
      </c>
      <c r="K2742">
        <v>1307.95</v>
      </c>
      <c r="L2742">
        <v>186.85</v>
      </c>
      <c r="M2742">
        <v>7</v>
      </c>
      <c r="N2742">
        <v>1307.95</v>
      </c>
      <c r="O2742">
        <v>186.85</v>
      </c>
    </row>
    <row r="2743" spans="1:15" x14ac:dyDescent="0.35">
      <c r="A2743" t="s">
        <v>3167</v>
      </c>
      <c r="B2743" t="s">
        <v>3168</v>
      </c>
      <c r="C2743" t="s">
        <v>898</v>
      </c>
      <c r="D2743" t="s">
        <v>314</v>
      </c>
      <c r="E2743" t="s">
        <v>300</v>
      </c>
      <c r="F2743" t="s">
        <v>3182</v>
      </c>
      <c r="G2743">
        <v>0</v>
      </c>
      <c r="H2743">
        <v>0</v>
      </c>
      <c r="I2743">
        <v>0</v>
      </c>
      <c r="J2743">
        <v>0</v>
      </c>
      <c r="K2743">
        <v>0</v>
      </c>
      <c r="L2743">
        <v>0</v>
      </c>
      <c r="M2743">
        <v>0</v>
      </c>
      <c r="N2743">
        <v>0</v>
      </c>
      <c r="O2743">
        <v>0</v>
      </c>
    </row>
    <row r="2744" spans="1:15" x14ac:dyDescent="0.35">
      <c r="A2744" t="s">
        <v>3167</v>
      </c>
      <c r="B2744" t="s">
        <v>3168</v>
      </c>
      <c r="C2744" t="s">
        <v>898</v>
      </c>
      <c r="D2744" t="s">
        <v>314</v>
      </c>
      <c r="E2744" t="s">
        <v>306</v>
      </c>
      <c r="F2744" t="s">
        <v>3183</v>
      </c>
      <c r="G2744">
        <v>0</v>
      </c>
      <c r="H2744">
        <v>0</v>
      </c>
      <c r="I2744">
        <v>0</v>
      </c>
      <c r="J2744">
        <v>0</v>
      </c>
      <c r="K2744">
        <v>0</v>
      </c>
      <c r="L2744">
        <v>0</v>
      </c>
      <c r="M2744">
        <v>0</v>
      </c>
      <c r="N2744">
        <v>0</v>
      </c>
      <c r="O2744">
        <v>0</v>
      </c>
    </row>
    <row r="2745" spans="1:15" x14ac:dyDescent="0.35">
      <c r="A2745" t="s">
        <v>3167</v>
      </c>
      <c r="B2745" t="s">
        <v>3168</v>
      </c>
      <c r="C2745" t="s">
        <v>898</v>
      </c>
      <c r="D2745" t="s">
        <v>314</v>
      </c>
      <c r="E2745" t="s">
        <v>308</v>
      </c>
      <c r="F2745" t="s">
        <v>3184</v>
      </c>
      <c r="G2745">
        <v>0</v>
      </c>
      <c r="H2745">
        <v>0</v>
      </c>
      <c r="I2745">
        <v>0</v>
      </c>
      <c r="J2745">
        <v>0</v>
      </c>
      <c r="K2745">
        <v>0</v>
      </c>
      <c r="L2745">
        <v>0</v>
      </c>
      <c r="M2745">
        <v>0</v>
      </c>
      <c r="N2745">
        <v>0</v>
      </c>
      <c r="O2745">
        <v>0</v>
      </c>
    </row>
    <row r="2746" spans="1:15" x14ac:dyDescent="0.35">
      <c r="A2746" t="s">
        <v>3167</v>
      </c>
      <c r="B2746" t="s">
        <v>3168</v>
      </c>
      <c r="C2746" t="s">
        <v>898</v>
      </c>
      <c r="D2746" t="s">
        <v>314</v>
      </c>
      <c r="E2746" t="s">
        <v>312</v>
      </c>
      <c r="F2746" t="s">
        <v>3185</v>
      </c>
      <c r="G2746">
        <v>0</v>
      </c>
      <c r="H2746">
        <v>0</v>
      </c>
      <c r="I2746">
        <v>0</v>
      </c>
      <c r="J2746">
        <v>122</v>
      </c>
      <c r="K2746">
        <v>16035.45</v>
      </c>
      <c r="L2746">
        <v>131.44</v>
      </c>
      <c r="M2746">
        <v>122</v>
      </c>
      <c r="N2746">
        <v>16035.45</v>
      </c>
      <c r="O2746">
        <v>131.44</v>
      </c>
    </row>
    <row r="2747" spans="1:15" x14ac:dyDescent="0.35">
      <c r="A2747" t="s">
        <v>3167</v>
      </c>
      <c r="B2747" t="s">
        <v>3168</v>
      </c>
      <c r="C2747" t="s">
        <v>898</v>
      </c>
      <c r="D2747" t="s">
        <v>314</v>
      </c>
      <c r="E2747" t="s">
        <v>310</v>
      </c>
      <c r="F2747" t="s">
        <v>3186</v>
      </c>
      <c r="G2747">
        <v>0</v>
      </c>
      <c r="H2747">
        <v>0</v>
      </c>
      <c r="I2747">
        <v>0</v>
      </c>
      <c r="J2747">
        <v>122</v>
      </c>
      <c r="K2747">
        <v>16035.45</v>
      </c>
      <c r="L2747">
        <v>131.44</v>
      </c>
      <c r="M2747">
        <v>122</v>
      </c>
      <c r="N2747">
        <v>16035.45</v>
      </c>
      <c r="O2747">
        <v>131.44</v>
      </c>
    </row>
    <row r="2748" spans="1:15" x14ac:dyDescent="0.35">
      <c r="A2748" t="s">
        <v>3167</v>
      </c>
      <c r="B2748" t="s">
        <v>3168</v>
      </c>
      <c r="C2748" t="s">
        <v>898</v>
      </c>
      <c r="D2748" t="s">
        <v>323</v>
      </c>
      <c r="E2748" t="s">
        <v>294</v>
      </c>
      <c r="F2748" t="s">
        <v>3187</v>
      </c>
      <c r="G2748">
        <v>127</v>
      </c>
      <c r="H2748">
        <v>11838.76</v>
      </c>
      <c r="I2748">
        <v>93.22</v>
      </c>
      <c r="J2748">
        <v>104</v>
      </c>
      <c r="K2748">
        <v>8265.92</v>
      </c>
      <c r="L2748">
        <v>79.48</v>
      </c>
      <c r="M2748">
        <v>231</v>
      </c>
      <c r="N2748">
        <v>20104.68</v>
      </c>
      <c r="O2748">
        <v>87.03</v>
      </c>
    </row>
    <row r="2749" spans="1:15" x14ac:dyDescent="0.35">
      <c r="A2749" t="s">
        <v>3167</v>
      </c>
      <c r="B2749" t="s">
        <v>3168</v>
      </c>
      <c r="C2749" t="s">
        <v>898</v>
      </c>
      <c r="D2749" t="s">
        <v>323</v>
      </c>
      <c r="E2749" t="s">
        <v>296</v>
      </c>
      <c r="F2749" t="s">
        <v>3188</v>
      </c>
      <c r="G2749">
        <v>206</v>
      </c>
      <c r="H2749">
        <v>22098.239999999998</v>
      </c>
      <c r="I2749">
        <v>107.27</v>
      </c>
      <c r="J2749">
        <v>877</v>
      </c>
      <c r="K2749">
        <v>80955.87</v>
      </c>
      <c r="L2749">
        <v>92.31</v>
      </c>
      <c r="M2749">
        <v>1083</v>
      </c>
      <c r="N2749">
        <v>103054.10999999999</v>
      </c>
      <c r="O2749">
        <v>95.16</v>
      </c>
    </row>
    <row r="2750" spans="1:15" x14ac:dyDescent="0.35">
      <c r="A2750" t="s">
        <v>3167</v>
      </c>
      <c r="B2750" t="s">
        <v>3168</v>
      </c>
      <c r="C2750" t="s">
        <v>898</v>
      </c>
      <c r="D2750" t="s">
        <v>323</v>
      </c>
      <c r="E2750" t="s">
        <v>298</v>
      </c>
      <c r="F2750" t="s">
        <v>3189</v>
      </c>
      <c r="G2750">
        <v>289</v>
      </c>
      <c r="H2750">
        <v>34698.449999999997</v>
      </c>
      <c r="I2750">
        <v>120.06</v>
      </c>
      <c r="J2750">
        <v>1439</v>
      </c>
      <c r="K2750">
        <v>147022.63</v>
      </c>
      <c r="L2750">
        <v>102.17</v>
      </c>
      <c r="M2750">
        <v>1728</v>
      </c>
      <c r="N2750">
        <v>181721.08000000002</v>
      </c>
      <c r="O2750">
        <v>105.16</v>
      </c>
    </row>
    <row r="2751" spans="1:15" x14ac:dyDescent="0.35">
      <c r="A2751" t="s">
        <v>3167</v>
      </c>
      <c r="B2751" t="s">
        <v>3168</v>
      </c>
      <c r="C2751" t="s">
        <v>898</v>
      </c>
      <c r="D2751" t="s">
        <v>323</v>
      </c>
      <c r="E2751" t="s">
        <v>300</v>
      </c>
      <c r="F2751" t="s">
        <v>3190</v>
      </c>
      <c r="G2751">
        <v>8</v>
      </c>
      <c r="H2751">
        <v>1085.58</v>
      </c>
      <c r="I2751">
        <v>135.69999999999999</v>
      </c>
      <c r="J2751">
        <v>34</v>
      </c>
      <c r="K2751">
        <v>3656.02</v>
      </c>
      <c r="L2751">
        <v>107.53</v>
      </c>
      <c r="M2751">
        <v>42</v>
      </c>
      <c r="N2751">
        <v>4741.6000000000004</v>
      </c>
      <c r="O2751">
        <v>112.9</v>
      </c>
    </row>
    <row r="2752" spans="1:15" x14ac:dyDescent="0.35">
      <c r="A2752" t="s">
        <v>3167</v>
      </c>
      <c r="B2752" t="s">
        <v>3168</v>
      </c>
      <c r="C2752" t="s">
        <v>898</v>
      </c>
      <c r="D2752" t="s">
        <v>323</v>
      </c>
      <c r="E2752" t="s">
        <v>302</v>
      </c>
      <c r="F2752" t="s">
        <v>3191</v>
      </c>
      <c r="G2752">
        <v>0</v>
      </c>
      <c r="H2752">
        <v>0</v>
      </c>
      <c r="I2752">
        <v>0</v>
      </c>
      <c r="J2752">
        <v>0</v>
      </c>
      <c r="K2752">
        <v>0</v>
      </c>
      <c r="L2752">
        <v>0</v>
      </c>
      <c r="M2752">
        <v>0</v>
      </c>
      <c r="N2752">
        <v>0</v>
      </c>
      <c r="O2752">
        <v>0</v>
      </c>
    </row>
    <row r="2753" spans="1:15" x14ac:dyDescent="0.35">
      <c r="A2753" t="s">
        <v>3167</v>
      </c>
      <c r="B2753" t="s">
        <v>3168</v>
      </c>
      <c r="C2753" t="s">
        <v>898</v>
      </c>
      <c r="D2753" t="s">
        <v>323</v>
      </c>
      <c r="E2753" t="s">
        <v>304</v>
      </c>
      <c r="F2753" t="s">
        <v>3192</v>
      </c>
      <c r="G2753">
        <v>1</v>
      </c>
      <c r="H2753">
        <v>129.13</v>
      </c>
      <c r="I2753">
        <v>129.13</v>
      </c>
      <c r="J2753">
        <v>0</v>
      </c>
      <c r="K2753">
        <v>0</v>
      </c>
      <c r="L2753">
        <v>0</v>
      </c>
      <c r="M2753">
        <v>1</v>
      </c>
      <c r="N2753">
        <v>129.13</v>
      </c>
      <c r="O2753">
        <v>129.13</v>
      </c>
    </row>
    <row r="2754" spans="1:15" x14ac:dyDescent="0.35">
      <c r="A2754" t="s">
        <v>3167</v>
      </c>
      <c r="B2754" t="s">
        <v>3168</v>
      </c>
      <c r="C2754" t="s">
        <v>898</v>
      </c>
      <c r="D2754" t="s">
        <v>323</v>
      </c>
      <c r="E2754" t="s">
        <v>306</v>
      </c>
      <c r="F2754" t="s">
        <v>3193</v>
      </c>
      <c r="G2754">
        <v>0</v>
      </c>
      <c r="H2754">
        <v>0</v>
      </c>
      <c r="I2754">
        <v>0</v>
      </c>
      <c r="J2754">
        <v>4</v>
      </c>
      <c r="K2754">
        <v>280.27999999999997</v>
      </c>
      <c r="L2754">
        <v>70.069999999999993</v>
      </c>
      <c r="M2754">
        <v>4</v>
      </c>
      <c r="N2754">
        <v>280.27999999999997</v>
      </c>
      <c r="O2754">
        <v>70.069999999999993</v>
      </c>
    </row>
    <row r="2755" spans="1:15" x14ac:dyDescent="0.35">
      <c r="A2755" t="s">
        <v>3167</v>
      </c>
      <c r="B2755" t="s">
        <v>3168</v>
      </c>
      <c r="C2755" t="s">
        <v>898</v>
      </c>
      <c r="D2755" t="s">
        <v>323</v>
      </c>
      <c r="E2755" t="s">
        <v>308</v>
      </c>
      <c r="F2755" t="s">
        <v>3194</v>
      </c>
      <c r="G2755">
        <v>0</v>
      </c>
      <c r="H2755">
        <v>0</v>
      </c>
      <c r="I2755">
        <v>0</v>
      </c>
      <c r="J2755">
        <v>0</v>
      </c>
      <c r="K2755">
        <v>0</v>
      </c>
      <c r="L2755">
        <v>0</v>
      </c>
      <c r="M2755">
        <v>0</v>
      </c>
      <c r="N2755">
        <v>0</v>
      </c>
      <c r="O2755">
        <v>0</v>
      </c>
    </row>
    <row r="2756" spans="1:15" x14ac:dyDescent="0.35">
      <c r="A2756" t="s">
        <v>3167</v>
      </c>
      <c r="B2756" t="s">
        <v>3168</v>
      </c>
      <c r="C2756" t="s">
        <v>898</v>
      </c>
      <c r="D2756" t="s">
        <v>323</v>
      </c>
      <c r="E2756" t="s">
        <v>310</v>
      </c>
      <c r="F2756" t="s">
        <v>3195</v>
      </c>
      <c r="G2756">
        <v>631</v>
      </c>
      <c r="H2756">
        <v>69850.16</v>
      </c>
      <c r="I2756">
        <v>110.7</v>
      </c>
      <c r="J2756">
        <v>2458</v>
      </c>
      <c r="K2756">
        <v>240180.71999999997</v>
      </c>
      <c r="L2756">
        <v>97.71</v>
      </c>
      <c r="M2756">
        <v>3089</v>
      </c>
      <c r="N2756">
        <v>310030.88</v>
      </c>
      <c r="O2756">
        <v>100.37</v>
      </c>
    </row>
    <row r="2757" spans="1:15" x14ac:dyDescent="0.35">
      <c r="A2757" t="s">
        <v>3167</v>
      </c>
      <c r="B2757" t="s">
        <v>3168</v>
      </c>
      <c r="C2757" t="s">
        <v>898</v>
      </c>
      <c r="D2757" t="s">
        <v>323</v>
      </c>
      <c r="E2757" t="s">
        <v>312</v>
      </c>
      <c r="F2757" t="s">
        <v>3196</v>
      </c>
      <c r="G2757">
        <v>631</v>
      </c>
      <c r="H2757">
        <v>69850.16</v>
      </c>
      <c r="I2757">
        <v>110.7</v>
      </c>
      <c r="J2757">
        <v>2458</v>
      </c>
      <c r="K2757">
        <v>240180.71999999997</v>
      </c>
      <c r="L2757">
        <v>97.71</v>
      </c>
      <c r="M2757">
        <v>3089</v>
      </c>
      <c r="N2757">
        <v>310030.88</v>
      </c>
      <c r="O2757">
        <v>100.37</v>
      </c>
    </row>
    <row r="2758" spans="1:15" x14ac:dyDescent="0.35">
      <c r="A2758" t="s">
        <v>3167</v>
      </c>
      <c r="B2758" t="s">
        <v>3168</v>
      </c>
      <c r="C2758" t="s">
        <v>898</v>
      </c>
      <c r="D2758" t="s">
        <v>334</v>
      </c>
      <c r="E2758" t="s">
        <v>312</v>
      </c>
      <c r="F2758" t="s">
        <v>3197</v>
      </c>
      <c r="G2758">
        <v>848</v>
      </c>
      <c r="H2758">
        <v>91373.680000000008</v>
      </c>
      <c r="I2758">
        <v>113.09</v>
      </c>
      <c r="J2758">
        <v>2633</v>
      </c>
      <c r="K2758">
        <v>263075.38</v>
      </c>
      <c r="L2758">
        <v>99.91</v>
      </c>
      <c r="M2758">
        <v>3481</v>
      </c>
      <c r="N2758">
        <v>354449.06</v>
      </c>
      <c r="O2758">
        <v>103.01</v>
      </c>
    </row>
    <row r="2759" spans="1:15" x14ac:dyDescent="0.35">
      <c r="A2759" t="s">
        <v>3167</v>
      </c>
      <c r="B2759" t="s">
        <v>3168</v>
      </c>
      <c r="C2759" t="s">
        <v>898</v>
      </c>
      <c r="D2759" t="s">
        <v>334</v>
      </c>
      <c r="E2759" t="s">
        <v>308</v>
      </c>
      <c r="F2759" t="s">
        <v>3198</v>
      </c>
      <c r="G2759">
        <v>0</v>
      </c>
      <c r="H2759">
        <v>0</v>
      </c>
      <c r="I2759">
        <v>0</v>
      </c>
      <c r="J2759">
        <v>0</v>
      </c>
      <c r="K2759">
        <v>0</v>
      </c>
      <c r="L2759">
        <v>0</v>
      </c>
      <c r="M2759">
        <v>0</v>
      </c>
      <c r="N2759">
        <v>0</v>
      </c>
      <c r="O2759">
        <v>0</v>
      </c>
    </row>
    <row r="2760" spans="1:15" x14ac:dyDescent="0.35">
      <c r="A2760" t="s">
        <v>3167</v>
      </c>
      <c r="B2760" t="s">
        <v>3168</v>
      </c>
      <c r="C2760" t="s">
        <v>898</v>
      </c>
      <c r="D2760" t="s">
        <v>337</v>
      </c>
      <c r="E2760" t="s">
        <v>337</v>
      </c>
      <c r="F2760" t="s">
        <v>3199</v>
      </c>
      <c r="G2760">
        <v>123</v>
      </c>
      <c r="J2760">
        <v>0</v>
      </c>
      <c r="M2760">
        <v>123</v>
      </c>
    </row>
    <row r="2761" spans="1:15" x14ac:dyDescent="0.35">
      <c r="A2761" t="s">
        <v>3167</v>
      </c>
      <c r="B2761" t="s">
        <v>3168</v>
      </c>
      <c r="C2761" t="s">
        <v>898</v>
      </c>
      <c r="D2761" t="s">
        <v>339</v>
      </c>
      <c r="E2761" t="s">
        <v>294</v>
      </c>
      <c r="F2761" t="s">
        <v>3200</v>
      </c>
      <c r="G2761">
        <v>157</v>
      </c>
      <c r="H2761">
        <v>23420.86</v>
      </c>
      <c r="I2761">
        <v>149.18</v>
      </c>
      <c r="J2761">
        <v>463</v>
      </c>
      <c r="K2761">
        <v>39424.450000000004</v>
      </c>
      <c r="L2761">
        <v>85.15</v>
      </c>
      <c r="M2761">
        <v>620</v>
      </c>
      <c r="N2761">
        <v>62845.310000000005</v>
      </c>
      <c r="O2761">
        <v>101.36</v>
      </c>
    </row>
    <row r="2762" spans="1:15" x14ac:dyDescent="0.35">
      <c r="A2762" t="s">
        <v>3167</v>
      </c>
      <c r="B2762" t="s">
        <v>3168</v>
      </c>
      <c r="C2762" t="s">
        <v>898</v>
      </c>
      <c r="D2762" t="s">
        <v>339</v>
      </c>
      <c r="E2762" t="s">
        <v>296</v>
      </c>
      <c r="F2762" t="s">
        <v>3201</v>
      </c>
      <c r="G2762">
        <v>177</v>
      </c>
      <c r="H2762">
        <v>20337.809999999998</v>
      </c>
      <c r="I2762">
        <v>114.9</v>
      </c>
      <c r="J2762">
        <v>1662</v>
      </c>
      <c r="K2762">
        <v>163357.98000000001</v>
      </c>
      <c r="L2762">
        <v>98.29</v>
      </c>
      <c r="M2762">
        <v>1839</v>
      </c>
      <c r="N2762">
        <v>183695.79</v>
      </c>
      <c r="O2762">
        <v>99.89</v>
      </c>
    </row>
    <row r="2763" spans="1:15" x14ac:dyDescent="0.35">
      <c r="A2763" t="s">
        <v>3167</v>
      </c>
      <c r="B2763" t="s">
        <v>3168</v>
      </c>
      <c r="C2763" t="s">
        <v>898</v>
      </c>
      <c r="D2763" t="s">
        <v>339</v>
      </c>
      <c r="E2763" t="s">
        <v>298</v>
      </c>
      <c r="F2763" t="s">
        <v>3202</v>
      </c>
      <c r="G2763">
        <v>5</v>
      </c>
      <c r="H2763">
        <v>576.19999999999993</v>
      </c>
      <c r="I2763">
        <v>115.24</v>
      </c>
      <c r="J2763">
        <v>15</v>
      </c>
      <c r="K2763">
        <v>1826.8500000000001</v>
      </c>
      <c r="L2763">
        <v>121.79</v>
      </c>
      <c r="M2763">
        <v>20</v>
      </c>
      <c r="N2763">
        <v>2403.0500000000002</v>
      </c>
      <c r="O2763">
        <v>120.15</v>
      </c>
    </row>
    <row r="2764" spans="1:15" x14ac:dyDescent="0.35">
      <c r="A2764" t="s">
        <v>3167</v>
      </c>
      <c r="B2764" t="s">
        <v>3168</v>
      </c>
      <c r="C2764" t="s">
        <v>898</v>
      </c>
      <c r="D2764" t="s">
        <v>339</v>
      </c>
      <c r="E2764" t="s">
        <v>300</v>
      </c>
      <c r="F2764" t="s">
        <v>3203</v>
      </c>
      <c r="G2764">
        <v>0</v>
      </c>
      <c r="H2764">
        <v>0</v>
      </c>
      <c r="I2764">
        <v>0</v>
      </c>
      <c r="J2764">
        <v>1</v>
      </c>
      <c r="K2764">
        <v>131.1</v>
      </c>
      <c r="L2764">
        <v>131.1</v>
      </c>
      <c r="M2764">
        <v>1</v>
      </c>
      <c r="N2764">
        <v>131.1</v>
      </c>
      <c r="O2764">
        <v>131.1</v>
      </c>
    </row>
    <row r="2765" spans="1:15" x14ac:dyDescent="0.35">
      <c r="A2765" t="s">
        <v>3167</v>
      </c>
      <c r="B2765" t="s">
        <v>3168</v>
      </c>
      <c r="C2765" t="s">
        <v>898</v>
      </c>
      <c r="D2765" t="s">
        <v>339</v>
      </c>
      <c r="E2765" t="s">
        <v>306</v>
      </c>
      <c r="F2765" t="s">
        <v>3204</v>
      </c>
      <c r="G2765">
        <v>0</v>
      </c>
      <c r="H2765">
        <v>0</v>
      </c>
      <c r="I2765">
        <v>0</v>
      </c>
      <c r="J2765">
        <v>26</v>
      </c>
      <c r="K2765">
        <v>1807.78</v>
      </c>
      <c r="L2765">
        <v>69.53</v>
      </c>
      <c r="M2765">
        <v>26</v>
      </c>
      <c r="N2765">
        <v>1807.78</v>
      </c>
      <c r="O2765">
        <v>69.53</v>
      </c>
    </row>
    <row r="2766" spans="1:15" x14ac:dyDescent="0.35">
      <c r="A2766" t="s">
        <v>3167</v>
      </c>
      <c r="B2766" t="s">
        <v>3168</v>
      </c>
      <c r="C2766" t="s">
        <v>898</v>
      </c>
      <c r="D2766" t="s">
        <v>339</v>
      </c>
      <c r="E2766" t="s">
        <v>308</v>
      </c>
      <c r="F2766" t="s">
        <v>3205</v>
      </c>
      <c r="G2766">
        <v>10</v>
      </c>
      <c r="H2766">
        <v>2722.52</v>
      </c>
      <c r="I2766">
        <v>272.25</v>
      </c>
      <c r="J2766">
        <v>0</v>
      </c>
      <c r="K2766">
        <v>0</v>
      </c>
      <c r="L2766">
        <v>0</v>
      </c>
      <c r="M2766">
        <v>10</v>
      </c>
      <c r="N2766">
        <v>2722.52</v>
      </c>
      <c r="O2766">
        <v>272.25</v>
      </c>
    </row>
    <row r="2767" spans="1:15" x14ac:dyDescent="0.35">
      <c r="A2767" t="s">
        <v>3167</v>
      </c>
      <c r="B2767" t="s">
        <v>3168</v>
      </c>
      <c r="C2767" t="s">
        <v>898</v>
      </c>
      <c r="D2767" t="s">
        <v>339</v>
      </c>
      <c r="E2767" t="s">
        <v>310</v>
      </c>
      <c r="F2767" t="s">
        <v>3206</v>
      </c>
      <c r="G2767">
        <v>349</v>
      </c>
      <c r="H2767">
        <v>47057.389999999992</v>
      </c>
      <c r="I2767">
        <v>134.83000000000001</v>
      </c>
      <c r="J2767">
        <v>2167</v>
      </c>
      <c r="K2767">
        <v>206548.16000000003</v>
      </c>
      <c r="L2767">
        <v>95.32</v>
      </c>
      <c r="M2767">
        <v>2516</v>
      </c>
      <c r="N2767">
        <v>253605.55000000002</v>
      </c>
      <c r="O2767">
        <v>100.8</v>
      </c>
    </row>
    <row r="2768" spans="1:15" x14ac:dyDescent="0.35">
      <c r="A2768" t="s">
        <v>3167</v>
      </c>
      <c r="B2768" t="s">
        <v>3168</v>
      </c>
      <c r="C2768" t="s">
        <v>898</v>
      </c>
      <c r="D2768" t="s">
        <v>339</v>
      </c>
      <c r="E2768" t="s">
        <v>312</v>
      </c>
      <c r="F2768" t="s">
        <v>3207</v>
      </c>
      <c r="G2768">
        <v>339</v>
      </c>
      <c r="H2768">
        <v>44334.869999999995</v>
      </c>
      <c r="I2768">
        <v>130.78</v>
      </c>
      <c r="J2768">
        <v>2167</v>
      </c>
      <c r="K2768">
        <v>206548.16000000003</v>
      </c>
      <c r="L2768">
        <v>95.32</v>
      </c>
      <c r="M2768">
        <v>2506</v>
      </c>
      <c r="N2768">
        <v>250883.03000000003</v>
      </c>
      <c r="O2768">
        <v>100.11</v>
      </c>
    </row>
    <row r="2769" spans="1:15" x14ac:dyDescent="0.35">
      <c r="A2769" t="s">
        <v>3167</v>
      </c>
      <c r="B2769" t="s">
        <v>3168</v>
      </c>
      <c r="C2769" t="s">
        <v>898</v>
      </c>
      <c r="D2769" t="s">
        <v>348</v>
      </c>
      <c r="E2769" t="s">
        <v>349</v>
      </c>
      <c r="F2769" t="s">
        <v>3208</v>
      </c>
      <c r="G2769">
        <v>367</v>
      </c>
      <c r="H2769">
        <v>47057.389999999992</v>
      </c>
      <c r="I2769">
        <v>134.83000000000001</v>
      </c>
      <c r="J2769">
        <v>2289</v>
      </c>
      <c r="K2769">
        <v>222583.61000000002</v>
      </c>
      <c r="L2769">
        <v>97.24</v>
      </c>
      <c r="M2769">
        <v>2656</v>
      </c>
      <c r="N2769">
        <v>269641</v>
      </c>
      <c r="O2769">
        <v>102.21</v>
      </c>
    </row>
    <row r="2770" spans="1:15" x14ac:dyDescent="0.35">
      <c r="A2770" t="s">
        <v>3209</v>
      </c>
      <c r="B2770" t="s">
        <v>3210</v>
      </c>
      <c r="C2770" t="s">
        <v>898</v>
      </c>
      <c r="D2770" t="s">
        <v>293</v>
      </c>
      <c r="E2770" t="s">
        <v>294</v>
      </c>
      <c r="F2770" t="s">
        <v>3211</v>
      </c>
      <c r="G2770">
        <v>11</v>
      </c>
      <c r="H2770">
        <v>1131.75</v>
      </c>
      <c r="I2770">
        <v>102.89</v>
      </c>
      <c r="J2770">
        <v>3</v>
      </c>
      <c r="K2770">
        <v>323.37</v>
      </c>
      <c r="L2770">
        <v>107.79</v>
      </c>
      <c r="M2770">
        <v>14</v>
      </c>
      <c r="N2770">
        <v>1455.12</v>
      </c>
      <c r="O2770">
        <v>103.94</v>
      </c>
    </row>
    <row r="2771" spans="1:15" x14ac:dyDescent="0.35">
      <c r="A2771" t="s">
        <v>3209</v>
      </c>
      <c r="B2771" t="s">
        <v>3210</v>
      </c>
      <c r="C2771" t="s">
        <v>898</v>
      </c>
      <c r="D2771" t="s">
        <v>293</v>
      </c>
      <c r="E2771" t="s">
        <v>296</v>
      </c>
      <c r="F2771" t="s">
        <v>3212</v>
      </c>
      <c r="G2771">
        <v>133</v>
      </c>
      <c r="H2771">
        <v>16662.38</v>
      </c>
      <c r="I2771">
        <v>125.28</v>
      </c>
      <c r="J2771">
        <v>2</v>
      </c>
      <c r="K2771">
        <v>230.82</v>
      </c>
      <c r="L2771">
        <v>115.41</v>
      </c>
      <c r="M2771">
        <v>135</v>
      </c>
      <c r="N2771">
        <v>16893.2</v>
      </c>
      <c r="O2771">
        <v>125.13</v>
      </c>
    </row>
    <row r="2772" spans="1:15" x14ac:dyDescent="0.35">
      <c r="A2772" t="s">
        <v>3209</v>
      </c>
      <c r="B2772" t="s">
        <v>3210</v>
      </c>
      <c r="C2772" t="s">
        <v>898</v>
      </c>
      <c r="D2772" t="s">
        <v>293</v>
      </c>
      <c r="E2772" t="s">
        <v>298</v>
      </c>
      <c r="F2772" t="s">
        <v>3213</v>
      </c>
      <c r="G2772">
        <v>66</v>
      </c>
      <c r="H2772">
        <v>9734.0500000000011</v>
      </c>
      <c r="I2772">
        <v>147.49</v>
      </c>
      <c r="J2772">
        <v>0</v>
      </c>
      <c r="K2772">
        <v>0</v>
      </c>
      <c r="L2772">
        <v>0</v>
      </c>
      <c r="M2772">
        <v>66</v>
      </c>
      <c r="N2772">
        <v>9734.0500000000011</v>
      </c>
      <c r="O2772">
        <v>147.49</v>
      </c>
    </row>
    <row r="2773" spans="1:15" x14ac:dyDescent="0.35">
      <c r="A2773" t="s">
        <v>3209</v>
      </c>
      <c r="B2773" t="s">
        <v>3210</v>
      </c>
      <c r="C2773" t="s">
        <v>898</v>
      </c>
      <c r="D2773" t="s">
        <v>293</v>
      </c>
      <c r="E2773" t="s">
        <v>300</v>
      </c>
      <c r="F2773" t="s">
        <v>3214</v>
      </c>
      <c r="G2773">
        <v>10</v>
      </c>
      <c r="H2773">
        <v>1814.7800000000002</v>
      </c>
      <c r="I2773">
        <v>181.48</v>
      </c>
      <c r="J2773">
        <v>0</v>
      </c>
      <c r="K2773">
        <v>0</v>
      </c>
      <c r="L2773">
        <v>0</v>
      </c>
      <c r="M2773">
        <v>10</v>
      </c>
      <c r="N2773">
        <v>1814.7800000000002</v>
      </c>
      <c r="O2773">
        <v>181.48</v>
      </c>
    </row>
    <row r="2774" spans="1:15" x14ac:dyDescent="0.35">
      <c r="A2774" t="s">
        <v>3209</v>
      </c>
      <c r="B2774" t="s">
        <v>3210</v>
      </c>
      <c r="C2774" t="s">
        <v>898</v>
      </c>
      <c r="D2774" t="s">
        <v>293</v>
      </c>
      <c r="E2774" t="s">
        <v>302</v>
      </c>
      <c r="F2774" t="s">
        <v>3215</v>
      </c>
      <c r="G2774">
        <v>0</v>
      </c>
      <c r="H2774">
        <v>0</v>
      </c>
      <c r="I2774">
        <v>0</v>
      </c>
      <c r="J2774">
        <v>0</v>
      </c>
      <c r="K2774">
        <v>0</v>
      </c>
      <c r="L2774">
        <v>0</v>
      </c>
      <c r="M2774">
        <v>0</v>
      </c>
      <c r="N2774">
        <v>0</v>
      </c>
      <c r="O2774">
        <v>0</v>
      </c>
    </row>
    <row r="2775" spans="1:15" x14ac:dyDescent="0.35">
      <c r="A2775" t="s">
        <v>3209</v>
      </c>
      <c r="B2775" t="s">
        <v>3210</v>
      </c>
      <c r="C2775" t="s">
        <v>898</v>
      </c>
      <c r="D2775" t="s">
        <v>293</v>
      </c>
      <c r="E2775" t="s">
        <v>304</v>
      </c>
      <c r="F2775" t="s">
        <v>3216</v>
      </c>
      <c r="G2775">
        <v>0</v>
      </c>
      <c r="H2775">
        <v>0</v>
      </c>
      <c r="I2775">
        <v>0</v>
      </c>
      <c r="J2775">
        <v>1</v>
      </c>
      <c r="K2775">
        <v>139.55000000000001</v>
      </c>
      <c r="L2775">
        <v>139.55000000000001</v>
      </c>
      <c r="M2775">
        <v>1</v>
      </c>
      <c r="N2775">
        <v>139.55000000000001</v>
      </c>
      <c r="O2775">
        <v>139.55000000000001</v>
      </c>
    </row>
    <row r="2776" spans="1:15" x14ac:dyDescent="0.35">
      <c r="A2776" t="s">
        <v>3209</v>
      </c>
      <c r="B2776" t="s">
        <v>3210</v>
      </c>
      <c r="C2776" t="s">
        <v>898</v>
      </c>
      <c r="D2776" t="s">
        <v>293</v>
      </c>
      <c r="E2776" t="s">
        <v>306</v>
      </c>
      <c r="F2776" t="s">
        <v>3217</v>
      </c>
      <c r="G2776">
        <v>0</v>
      </c>
      <c r="H2776">
        <v>0</v>
      </c>
      <c r="I2776">
        <v>0</v>
      </c>
      <c r="J2776">
        <v>0</v>
      </c>
      <c r="K2776">
        <v>0</v>
      </c>
      <c r="L2776">
        <v>0</v>
      </c>
      <c r="M2776">
        <v>0</v>
      </c>
      <c r="N2776">
        <v>0</v>
      </c>
      <c r="O2776">
        <v>0</v>
      </c>
    </row>
    <row r="2777" spans="1:15" x14ac:dyDescent="0.35">
      <c r="A2777" t="s">
        <v>3209</v>
      </c>
      <c r="B2777" t="s">
        <v>3210</v>
      </c>
      <c r="C2777" t="s">
        <v>898</v>
      </c>
      <c r="D2777" t="s">
        <v>293</v>
      </c>
      <c r="E2777" t="s">
        <v>308</v>
      </c>
      <c r="F2777" t="s">
        <v>3218</v>
      </c>
      <c r="G2777">
        <v>0</v>
      </c>
      <c r="H2777">
        <v>0</v>
      </c>
      <c r="I2777">
        <v>0</v>
      </c>
      <c r="J2777">
        <v>0</v>
      </c>
      <c r="K2777">
        <v>0</v>
      </c>
      <c r="L2777">
        <v>0</v>
      </c>
      <c r="M2777">
        <v>0</v>
      </c>
      <c r="N2777">
        <v>0</v>
      </c>
      <c r="O2777">
        <v>0</v>
      </c>
    </row>
    <row r="2778" spans="1:15" x14ac:dyDescent="0.35">
      <c r="A2778" t="s">
        <v>3209</v>
      </c>
      <c r="B2778" t="s">
        <v>3210</v>
      </c>
      <c r="C2778" t="s">
        <v>898</v>
      </c>
      <c r="D2778" t="s">
        <v>293</v>
      </c>
      <c r="E2778" t="s">
        <v>310</v>
      </c>
      <c r="F2778" t="s">
        <v>3219</v>
      </c>
      <c r="G2778">
        <v>220</v>
      </c>
      <c r="H2778">
        <v>29342.959999999999</v>
      </c>
      <c r="I2778">
        <v>133.38</v>
      </c>
      <c r="J2778">
        <v>6</v>
      </c>
      <c r="K2778">
        <v>693.74</v>
      </c>
      <c r="L2778">
        <v>115.62</v>
      </c>
      <c r="M2778">
        <v>226</v>
      </c>
      <c r="N2778">
        <v>30036.7</v>
      </c>
      <c r="O2778">
        <v>132.91</v>
      </c>
    </row>
    <row r="2779" spans="1:15" x14ac:dyDescent="0.35">
      <c r="A2779" t="s">
        <v>3209</v>
      </c>
      <c r="B2779" t="s">
        <v>3210</v>
      </c>
      <c r="C2779" t="s">
        <v>898</v>
      </c>
      <c r="D2779" t="s">
        <v>293</v>
      </c>
      <c r="E2779" t="s">
        <v>312</v>
      </c>
      <c r="F2779" t="s">
        <v>3220</v>
      </c>
      <c r="G2779">
        <v>220</v>
      </c>
      <c r="H2779">
        <v>29342.959999999999</v>
      </c>
      <c r="I2779">
        <v>133.38</v>
      </c>
      <c r="J2779">
        <v>6</v>
      </c>
      <c r="K2779">
        <v>693.74</v>
      </c>
      <c r="L2779">
        <v>115.62</v>
      </c>
      <c r="M2779">
        <v>226</v>
      </c>
      <c r="N2779">
        <v>30036.7</v>
      </c>
      <c r="O2779">
        <v>132.91</v>
      </c>
    </row>
    <row r="2780" spans="1:15" x14ac:dyDescent="0.35">
      <c r="A2780" t="s">
        <v>3209</v>
      </c>
      <c r="B2780" t="s">
        <v>3210</v>
      </c>
      <c r="C2780" t="s">
        <v>898</v>
      </c>
      <c r="D2780" t="s">
        <v>314</v>
      </c>
      <c r="E2780" t="s">
        <v>294</v>
      </c>
      <c r="F2780" t="s">
        <v>3221</v>
      </c>
      <c r="G2780">
        <v>0</v>
      </c>
      <c r="H2780">
        <v>0</v>
      </c>
      <c r="I2780">
        <v>0</v>
      </c>
      <c r="J2780">
        <v>0</v>
      </c>
      <c r="K2780">
        <v>0</v>
      </c>
      <c r="L2780">
        <v>0</v>
      </c>
      <c r="M2780">
        <v>0</v>
      </c>
      <c r="N2780">
        <v>0</v>
      </c>
      <c r="O2780">
        <v>0</v>
      </c>
    </row>
    <row r="2781" spans="1:15" x14ac:dyDescent="0.35">
      <c r="A2781" t="s">
        <v>3209</v>
      </c>
      <c r="B2781" t="s">
        <v>3210</v>
      </c>
      <c r="C2781" t="s">
        <v>898</v>
      </c>
      <c r="D2781" t="s">
        <v>314</v>
      </c>
      <c r="E2781" t="s">
        <v>296</v>
      </c>
      <c r="F2781" t="s">
        <v>3222</v>
      </c>
      <c r="G2781">
        <v>0</v>
      </c>
      <c r="H2781">
        <v>0</v>
      </c>
      <c r="I2781">
        <v>0</v>
      </c>
      <c r="J2781">
        <v>0</v>
      </c>
      <c r="K2781">
        <v>0</v>
      </c>
      <c r="L2781">
        <v>0</v>
      </c>
      <c r="M2781">
        <v>0</v>
      </c>
      <c r="N2781">
        <v>0</v>
      </c>
      <c r="O2781">
        <v>0</v>
      </c>
    </row>
    <row r="2782" spans="1:15" x14ac:dyDescent="0.35">
      <c r="A2782" t="s">
        <v>3209</v>
      </c>
      <c r="B2782" t="s">
        <v>3210</v>
      </c>
      <c r="C2782" t="s">
        <v>898</v>
      </c>
      <c r="D2782" t="s">
        <v>314</v>
      </c>
      <c r="E2782" t="s">
        <v>298</v>
      </c>
      <c r="F2782" t="s">
        <v>3223</v>
      </c>
      <c r="G2782">
        <v>0</v>
      </c>
      <c r="H2782">
        <v>0</v>
      </c>
      <c r="I2782">
        <v>0</v>
      </c>
      <c r="J2782">
        <v>0</v>
      </c>
      <c r="K2782">
        <v>0</v>
      </c>
      <c r="L2782">
        <v>0</v>
      </c>
      <c r="M2782">
        <v>0</v>
      </c>
      <c r="N2782">
        <v>0</v>
      </c>
      <c r="O2782">
        <v>0</v>
      </c>
    </row>
    <row r="2783" spans="1:15" x14ac:dyDescent="0.35">
      <c r="A2783" t="s">
        <v>3209</v>
      </c>
      <c r="B2783" t="s">
        <v>3210</v>
      </c>
      <c r="C2783" t="s">
        <v>898</v>
      </c>
      <c r="D2783" t="s">
        <v>314</v>
      </c>
      <c r="E2783" t="s">
        <v>300</v>
      </c>
      <c r="F2783" t="s">
        <v>3224</v>
      </c>
      <c r="G2783">
        <v>0</v>
      </c>
      <c r="H2783">
        <v>0</v>
      </c>
      <c r="I2783">
        <v>0</v>
      </c>
      <c r="J2783">
        <v>0</v>
      </c>
      <c r="K2783">
        <v>0</v>
      </c>
      <c r="L2783">
        <v>0</v>
      </c>
      <c r="M2783">
        <v>0</v>
      </c>
      <c r="N2783">
        <v>0</v>
      </c>
      <c r="O2783">
        <v>0</v>
      </c>
    </row>
    <row r="2784" spans="1:15" x14ac:dyDescent="0.35">
      <c r="A2784" t="s">
        <v>3209</v>
      </c>
      <c r="B2784" t="s">
        <v>3210</v>
      </c>
      <c r="C2784" t="s">
        <v>898</v>
      </c>
      <c r="D2784" t="s">
        <v>314</v>
      </c>
      <c r="E2784" t="s">
        <v>306</v>
      </c>
      <c r="F2784" t="s">
        <v>3225</v>
      </c>
      <c r="G2784">
        <v>17</v>
      </c>
      <c r="H2784">
        <v>4736.37</v>
      </c>
      <c r="I2784">
        <v>278.61</v>
      </c>
      <c r="J2784">
        <v>0</v>
      </c>
      <c r="K2784">
        <v>0</v>
      </c>
      <c r="L2784">
        <v>0</v>
      </c>
      <c r="M2784">
        <v>17</v>
      </c>
      <c r="N2784">
        <v>4736.37</v>
      </c>
      <c r="O2784">
        <v>278.61</v>
      </c>
    </row>
    <row r="2785" spans="1:15" x14ac:dyDescent="0.35">
      <c r="A2785" t="s">
        <v>3209</v>
      </c>
      <c r="B2785" t="s">
        <v>3210</v>
      </c>
      <c r="C2785" t="s">
        <v>898</v>
      </c>
      <c r="D2785" t="s">
        <v>314</v>
      </c>
      <c r="E2785" t="s">
        <v>308</v>
      </c>
      <c r="F2785" t="s">
        <v>3226</v>
      </c>
      <c r="G2785">
        <v>8</v>
      </c>
      <c r="H2785">
        <v>2898.64</v>
      </c>
      <c r="I2785">
        <v>362.33</v>
      </c>
      <c r="J2785">
        <v>0</v>
      </c>
      <c r="K2785">
        <v>0</v>
      </c>
      <c r="L2785">
        <v>0</v>
      </c>
      <c r="M2785">
        <v>8</v>
      </c>
      <c r="N2785">
        <v>2898.64</v>
      </c>
      <c r="O2785">
        <v>362.33</v>
      </c>
    </row>
    <row r="2786" spans="1:15" x14ac:dyDescent="0.35">
      <c r="A2786" t="s">
        <v>3209</v>
      </c>
      <c r="B2786" t="s">
        <v>3210</v>
      </c>
      <c r="C2786" t="s">
        <v>898</v>
      </c>
      <c r="D2786" t="s">
        <v>314</v>
      </c>
      <c r="E2786" t="s">
        <v>312</v>
      </c>
      <c r="F2786" t="s">
        <v>3227</v>
      </c>
      <c r="G2786">
        <v>17</v>
      </c>
      <c r="H2786">
        <v>4736.37</v>
      </c>
      <c r="I2786">
        <v>278.61</v>
      </c>
      <c r="J2786">
        <v>0</v>
      </c>
      <c r="K2786">
        <v>0</v>
      </c>
      <c r="L2786">
        <v>0</v>
      </c>
      <c r="M2786">
        <v>17</v>
      </c>
      <c r="N2786">
        <v>4736.37</v>
      </c>
      <c r="O2786">
        <v>278.61</v>
      </c>
    </row>
    <row r="2787" spans="1:15" x14ac:dyDescent="0.35">
      <c r="A2787" t="s">
        <v>3209</v>
      </c>
      <c r="B2787" t="s">
        <v>3210</v>
      </c>
      <c r="C2787" t="s">
        <v>898</v>
      </c>
      <c r="D2787" t="s">
        <v>314</v>
      </c>
      <c r="E2787" t="s">
        <v>310</v>
      </c>
      <c r="F2787" t="s">
        <v>3228</v>
      </c>
      <c r="G2787">
        <v>25</v>
      </c>
      <c r="H2787">
        <v>7635.01</v>
      </c>
      <c r="I2787">
        <v>305.39999999999998</v>
      </c>
      <c r="J2787">
        <v>0</v>
      </c>
      <c r="K2787">
        <v>0</v>
      </c>
      <c r="L2787">
        <v>0</v>
      </c>
      <c r="M2787">
        <v>25</v>
      </c>
      <c r="N2787">
        <v>7635.01</v>
      </c>
      <c r="O2787">
        <v>305.39999999999998</v>
      </c>
    </row>
    <row r="2788" spans="1:15" x14ac:dyDescent="0.35">
      <c r="A2788" t="s">
        <v>3209</v>
      </c>
      <c r="B2788" t="s">
        <v>3210</v>
      </c>
      <c r="C2788" t="s">
        <v>898</v>
      </c>
      <c r="D2788" t="s">
        <v>323</v>
      </c>
      <c r="E2788" t="s">
        <v>294</v>
      </c>
      <c r="F2788" t="s">
        <v>3229</v>
      </c>
      <c r="G2788">
        <v>85</v>
      </c>
      <c r="H2788">
        <v>7546.6299999999992</v>
      </c>
      <c r="I2788">
        <v>88.78</v>
      </c>
      <c r="J2788">
        <v>3064</v>
      </c>
      <c r="K2788">
        <v>274503.76</v>
      </c>
      <c r="L2788">
        <v>89.59</v>
      </c>
      <c r="M2788">
        <v>3149</v>
      </c>
      <c r="N2788">
        <v>282050.39</v>
      </c>
      <c r="O2788">
        <v>89.57</v>
      </c>
    </row>
    <row r="2789" spans="1:15" x14ac:dyDescent="0.35">
      <c r="A2789" t="s">
        <v>3209</v>
      </c>
      <c r="B2789" t="s">
        <v>3210</v>
      </c>
      <c r="C2789" t="s">
        <v>898</v>
      </c>
      <c r="D2789" t="s">
        <v>323</v>
      </c>
      <c r="E2789" t="s">
        <v>296</v>
      </c>
      <c r="F2789" t="s">
        <v>3230</v>
      </c>
      <c r="G2789">
        <v>296</v>
      </c>
      <c r="H2789">
        <v>31090.71</v>
      </c>
      <c r="I2789">
        <v>105.04</v>
      </c>
      <c r="J2789">
        <v>2681</v>
      </c>
      <c r="K2789">
        <v>260378.72</v>
      </c>
      <c r="L2789">
        <v>97.12</v>
      </c>
      <c r="M2789">
        <v>2977</v>
      </c>
      <c r="N2789">
        <v>291469.43</v>
      </c>
      <c r="O2789">
        <v>97.91</v>
      </c>
    </row>
    <row r="2790" spans="1:15" x14ac:dyDescent="0.35">
      <c r="A2790" t="s">
        <v>3209</v>
      </c>
      <c r="B2790" t="s">
        <v>3210</v>
      </c>
      <c r="C2790" t="s">
        <v>898</v>
      </c>
      <c r="D2790" t="s">
        <v>323</v>
      </c>
      <c r="E2790" t="s">
        <v>298</v>
      </c>
      <c r="F2790" t="s">
        <v>3231</v>
      </c>
      <c r="G2790">
        <v>219</v>
      </c>
      <c r="H2790">
        <v>25421.47</v>
      </c>
      <c r="I2790">
        <v>116.08</v>
      </c>
      <c r="J2790">
        <v>2562</v>
      </c>
      <c r="K2790">
        <v>261580.19999999998</v>
      </c>
      <c r="L2790">
        <v>102.1</v>
      </c>
      <c r="M2790">
        <v>2781</v>
      </c>
      <c r="N2790">
        <v>287001.67</v>
      </c>
      <c r="O2790">
        <v>103.2</v>
      </c>
    </row>
    <row r="2791" spans="1:15" x14ac:dyDescent="0.35">
      <c r="A2791" t="s">
        <v>3209</v>
      </c>
      <c r="B2791" t="s">
        <v>3210</v>
      </c>
      <c r="C2791" t="s">
        <v>898</v>
      </c>
      <c r="D2791" t="s">
        <v>323</v>
      </c>
      <c r="E2791" t="s">
        <v>300</v>
      </c>
      <c r="F2791" t="s">
        <v>3232</v>
      </c>
      <c r="G2791">
        <v>14</v>
      </c>
      <c r="H2791">
        <v>1738.63</v>
      </c>
      <c r="I2791">
        <v>124.19</v>
      </c>
      <c r="J2791">
        <v>242</v>
      </c>
      <c r="K2791">
        <v>27348.420000000002</v>
      </c>
      <c r="L2791">
        <v>113.01</v>
      </c>
      <c r="M2791">
        <v>256</v>
      </c>
      <c r="N2791">
        <v>29087.050000000003</v>
      </c>
      <c r="O2791">
        <v>113.62</v>
      </c>
    </row>
    <row r="2792" spans="1:15" x14ac:dyDescent="0.35">
      <c r="A2792" t="s">
        <v>3209</v>
      </c>
      <c r="B2792" t="s">
        <v>3210</v>
      </c>
      <c r="C2792" t="s">
        <v>898</v>
      </c>
      <c r="D2792" t="s">
        <v>323</v>
      </c>
      <c r="E2792" t="s">
        <v>302</v>
      </c>
      <c r="F2792" t="s">
        <v>3233</v>
      </c>
      <c r="G2792">
        <v>0</v>
      </c>
      <c r="H2792">
        <v>0</v>
      </c>
      <c r="I2792">
        <v>0</v>
      </c>
      <c r="J2792">
        <v>0</v>
      </c>
      <c r="K2792">
        <v>0</v>
      </c>
      <c r="L2792">
        <v>0</v>
      </c>
      <c r="M2792">
        <v>0</v>
      </c>
      <c r="N2792">
        <v>0</v>
      </c>
      <c r="O2792">
        <v>0</v>
      </c>
    </row>
    <row r="2793" spans="1:15" x14ac:dyDescent="0.35">
      <c r="A2793" t="s">
        <v>3209</v>
      </c>
      <c r="B2793" t="s">
        <v>3210</v>
      </c>
      <c r="C2793" t="s">
        <v>898</v>
      </c>
      <c r="D2793" t="s">
        <v>323</v>
      </c>
      <c r="E2793" t="s">
        <v>304</v>
      </c>
      <c r="F2793" t="s">
        <v>3234</v>
      </c>
      <c r="G2793">
        <v>0</v>
      </c>
      <c r="H2793">
        <v>0</v>
      </c>
      <c r="I2793">
        <v>0</v>
      </c>
      <c r="J2793">
        <v>0</v>
      </c>
      <c r="K2793">
        <v>0</v>
      </c>
      <c r="L2793">
        <v>0</v>
      </c>
      <c r="M2793">
        <v>0</v>
      </c>
      <c r="N2793">
        <v>0</v>
      </c>
      <c r="O2793">
        <v>0</v>
      </c>
    </row>
    <row r="2794" spans="1:15" x14ac:dyDescent="0.35">
      <c r="A2794" t="s">
        <v>3209</v>
      </c>
      <c r="B2794" t="s">
        <v>3210</v>
      </c>
      <c r="C2794" t="s">
        <v>898</v>
      </c>
      <c r="D2794" t="s">
        <v>323</v>
      </c>
      <c r="E2794" t="s">
        <v>306</v>
      </c>
      <c r="F2794" t="s">
        <v>3235</v>
      </c>
      <c r="G2794">
        <v>2</v>
      </c>
      <c r="H2794">
        <v>153.02000000000001</v>
      </c>
      <c r="I2794">
        <v>76.510000000000005</v>
      </c>
      <c r="J2794">
        <v>32</v>
      </c>
      <c r="K2794">
        <v>2424.3200000000002</v>
      </c>
      <c r="L2794">
        <v>75.760000000000005</v>
      </c>
      <c r="M2794">
        <v>34</v>
      </c>
      <c r="N2794">
        <v>2577.34</v>
      </c>
      <c r="O2794">
        <v>75.8</v>
      </c>
    </row>
    <row r="2795" spans="1:15" x14ac:dyDescent="0.35">
      <c r="A2795" t="s">
        <v>3209</v>
      </c>
      <c r="B2795" t="s">
        <v>3210</v>
      </c>
      <c r="C2795" t="s">
        <v>898</v>
      </c>
      <c r="D2795" t="s">
        <v>323</v>
      </c>
      <c r="E2795" t="s">
        <v>308</v>
      </c>
      <c r="F2795" t="s">
        <v>3236</v>
      </c>
      <c r="G2795">
        <v>0</v>
      </c>
      <c r="H2795">
        <v>0</v>
      </c>
      <c r="I2795">
        <v>0</v>
      </c>
      <c r="J2795">
        <v>0</v>
      </c>
      <c r="K2795">
        <v>0</v>
      </c>
      <c r="L2795">
        <v>0</v>
      </c>
      <c r="M2795">
        <v>0</v>
      </c>
      <c r="N2795">
        <v>0</v>
      </c>
      <c r="O2795">
        <v>0</v>
      </c>
    </row>
    <row r="2796" spans="1:15" x14ac:dyDescent="0.35">
      <c r="A2796" t="s">
        <v>3209</v>
      </c>
      <c r="B2796" t="s">
        <v>3210</v>
      </c>
      <c r="C2796" t="s">
        <v>898</v>
      </c>
      <c r="D2796" t="s">
        <v>323</v>
      </c>
      <c r="E2796" t="s">
        <v>310</v>
      </c>
      <c r="F2796" t="s">
        <v>3237</v>
      </c>
      <c r="G2796">
        <v>616</v>
      </c>
      <c r="H2796">
        <v>65950.460000000006</v>
      </c>
      <c r="I2796">
        <v>107.06</v>
      </c>
      <c r="J2796">
        <v>8581</v>
      </c>
      <c r="K2796">
        <v>826235.41999999993</v>
      </c>
      <c r="L2796">
        <v>96.29</v>
      </c>
      <c r="M2796">
        <v>9197</v>
      </c>
      <c r="N2796">
        <v>892185.87999999989</v>
      </c>
      <c r="O2796">
        <v>97.01</v>
      </c>
    </row>
    <row r="2797" spans="1:15" x14ac:dyDescent="0.35">
      <c r="A2797" t="s">
        <v>3209</v>
      </c>
      <c r="B2797" t="s">
        <v>3210</v>
      </c>
      <c r="C2797" t="s">
        <v>898</v>
      </c>
      <c r="D2797" t="s">
        <v>323</v>
      </c>
      <c r="E2797" t="s">
        <v>312</v>
      </c>
      <c r="F2797" t="s">
        <v>3238</v>
      </c>
      <c r="G2797">
        <v>616</v>
      </c>
      <c r="H2797">
        <v>65950.460000000006</v>
      </c>
      <c r="I2797">
        <v>107.06</v>
      </c>
      <c r="J2797">
        <v>8581</v>
      </c>
      <c r="K2797">
        <v>826235.41999999993</v>
      </c>
      <c r="L2797">
        <v>96.29</v>
      </c>
      <c r="M2797">
        <v>9197</v>
      </c>
      <c r="N2797">
        <v>892185.87999999989</v>
      </c>
      <c r="O2797">
        <v>97.01</v>
      </c>
    </row>
    <row r="2798" spans="1:15" x14ac:dyDescent="0.35">
      <c r="A2798" t="s">
        <v>3209</v>
      </c>
      <c r="B2798" t="s">
        <v>3210</v>
      </c>
      <c r="C2798" t="s">
        <v>898</v>
      </c>
      <c r="D2798" t="s">
        <v>334</v>
      </c>
      <c r="E2798" t="s">
        <v>312</v>
      </c>
      <c r="F2798" t="s">
        <v>3239</v>
      </c>
      <c r="G2798">
        <v>943</v>
      </c>
      <c r="H2798">
        <v>95293.42</v>
      </c>
      <c r="I2798">
        <v>113.99</v>
      </c>
      <c r="J2798">
        <v>8587</v>
      </c>
      <c r="K2798">
        <v>826929.15999999992</v>
      </c>
      <c r="L2798">
        <v>96.3</v>
      </c>
      <c r="M2798">
        <v>9530</v>
      </c>
      <c r="N2798">
        <v>922222.58</v>
      </c>
      <c r="O2798">
        <v>97.87</v>
      </c>
    </row>
    <row r="2799" spans="1:15" x14ac:dyDescent="0.35">
      <c r="A2799" t="s">
        <v>3209</v>
      </c>
      <c r="B2799" t="s">
        <v>3210</v>
      </c>
      <c r="C2799" t="s">
        <v>898</v>
      </c>
      <c r="D2799" t="s">
        <v>334</v>
      </c>
      <c r="E2799" t="s">
        <v>308</v>
      </c>
      <c r="F2799" t="s">
        <v>3240</v>
      </c>
      <c r="G2799">
        <v>0</v>
      </c>
      <c r="H2799">
        <v>0</v>
      </c>
      <c r="I2799">
        <v>0</v>
      </c>
      <c r="J2799">
        <v>0</v>
      </c>
      <c r="K2799">
        <v>0</v>
      </c>
      <c r="L2799">
        <v>0</v>
      </c>
      <c r="M2799">
        <v>0</v>
      </c>
      <c r="N2799">
        <v>0</v>
      </c>
      <c r="O2799">
        <v>0</v>
      </c>
    </row>
    <row r="2800" spans="1:15" x14ac:dyDescent="0.35">
      <c r="A2800" t="s">
        <v>3209</v>
      </c>
      <c r="B2800" t="s">
        <v>3210</v>
      </c>
      <c r="C2800" t="s">
        <v>898</v>
      </c>
      <c r="D2800" t="s">
        <v>337</v>
      </c>
      <c r="E2800" t="s">
        <v>337</v>
      </c>
      <c r="F2800" t="s">
        <v>3241</v>
      </c>
      <c r="G2800">
        <v>221</v>
      </c>
      <c r="J2800">
        <v>0</v>
      </c>
      <c r="M2800">
        <v>221</v>
      </c>
    </row>
    <row r="2801" spans="1:15" x14ac:dyDescent="0.35">
      <c r="A2801" t="s">
        <v>3209</v>
      </c>
      <c r="B2801" t="s">
        <v>3210</v>
      </c>
      <c r="C2801" t="s">
        <v>898</v>
      </c>
      <c r="D2801" t="s">
        <v>339</v>
      </c>
      <c r="E2801" t="s">
        <v>294</v>
      </c>
      <c r="F2801" t="s">
        <v>3242</v>
      </c>
      <c r="G2801">
        <v>212</v>
      </c>
      <c r="H2801">
        <v>27272.450000000004</v>
      </c>
      <c r="I2801">
        <v>128.63999999999999</v>
      </c>
      <c r="J2801">
        <v>92</v>
      </c>
      <c r="K2801">
        <v>8865.1200000000008</v>
      </c>
      <c r="L2801">
        <v>96.36</v>
      </c>
      <c r="M2801">
        <v>304</v>
      </c>
      <c r="N2801">
        <v>36137.570000000007</v>
      </c>
      <c r="O2801">
        <v>118.87</v>
      </c>
    </row>
    <row r="2802" spans="1:15" x14ac:dyDescent="0.35">
      <c r="A2802" t="s">
        <v>3209</v>
      </c>
      <c r="B2802" t="s">
        <v>3210</v>
      </c>
      <c r="C2802" t="s">
        <v>898</v>
      </c>
      <c r="D2802" t="s">
        <v>339</v>
      </c>
      <c r="E2802" t="s">
        <v>296</v>
      </c>
      <c r="F2802" t="s">
        <v>3243</v>
      </c>
      <c r="G2802">
        <v>305</v>
      </c>
      <c r="H2802">
        <v>34426.509999999995</v>
      </c>
      <c r="I2802">
        <v>112.87</v>
      </c>
      <c r="J2802">
        <v>44</v>
      </c>
      <c r="K2802">
        <v>4983.88</v>
      </c>
      <c r="L2802">
        <v>113.27</v>
      </c>
      <c r="M2802">
        <v>349</v>
      </c>
      <c r="N2802">
        <v>39410.389999999992</v>
      </c>
      <c r="O2802">
        <v>112.92</v>
      </c>
    </row>
    <row r="2803" spans="1:15" x14ac:dyDescent="0.35">
      <c r="A2803" t="s">
        <v>3209</v>
      </c>
      <c r="B2803" t="s">
        <v>3210</v>
      </c>
      <c r="C2803" t="s">
        <v>898</v>
      </c>
      <c r="D2803" t="s">
        <v>339</v>
      </c>
      <c r="E2803" t="s">
        <v>298</v>
      </c>
      <c r="F2803" t="s">
        <v>3244</v>
      </c>
      <c r="G2803">
        <v>17</v>
      </c>
      <c r="H2803">
        <v>2010.51</v>
      </c>
      <c r="I2803">
        <v>118.27</v>
      </c>
      <c r="J2803">
        <v>5</v>
      </c>
      <c r="K2803">
        <v>570.15</v>
      </c>
      <c r="L2803">
        <v>114.03</v>
      </c>
      <c r="M2803">
        <v>22</v>
      </c>
      <c r="N2803">
        <v>2580.66</v>
      </c>
      <c r="O2803">
        <v>117.3</v>
      </c>
    </row>
    <row r="2804" spans="1:15" x14ac:dyDescent="0.35">
      <c r="A2804" t="s">
        <v>3209</v>
      </c>
      <c r="B2804" t="s">
        <v>3210</v>
      </c>
      <c r="C2804" t="s">
        <v>898</v>
      </c>
      <c r="D2804" t="s">
        <v>339</v>
      </c>
      <c r="E2804" t="s">
        <v>300</v>
      </c>
      <c r="F2804" t="s">
        <v>3245</v>
      </c>
      <c r="G2804">
        <v>0</v>
      </c>
      <c r="H2804">
        <v>0</v>
      </c>
      <c r="I2804">
        <v>0</v>
      </c>
      <c r="J2804">
        <v>0</v>
      </c>
      <c r="K2804">
        <v>0</v>
      </c>
      <c r="L2804">
        <v>0</v>
      </c>
      <c r="M2804">
        <v>0</v>
      </c>
      <c r="N2804">
        <v>0</v>
      </c>
      <c r="O2804">
        <v>0</v>
      </c>
    </row>
    <row r="2805" spans="1:15" x14ac:dyDescent="0.35">
      <c r="A2805" t="s">
        <v>3209</v>
      </c>
      <c r="B2805" t="s">
        <v>3210</v>
      </c>
      <c r="C2805" t="s">
        <v>898</v>
      </c>
      <c r="D2805" t="s">
        <v>339</v>
      </c>
      <c r="E2805" t="s">
        <v>306</v>
      </c>
      <c r="F2805" t="s">
        <v>3246</v>
      </c>
      <c r="G2805">
        <v>30</v>
      </c>
      <c r="H2805">
        <v>2577.8199999999997</v>
      </c>
      <c r="I2805">
        <v>85.93</v>
      </c>
      <c r="J2805">
        <v>0</v>
      </c>
      <c r="K2805">
        <v>0</v>
      </c>
      <c r="L2805">
        <v>0</v>
      </c>
      <c r="M2805">
        <v>30</v>
      </c>
      <c r="N2805">
        <v>2577.8199999999997</v>
      </c>
      <c r="O2805">
        <v>85.93</v>
      </c>
    </row>
    <row r="2806" spans="1:15" x14ac:dyDescent="0.35">
      <c r="A2806" t="s">
        <v>3209</v>
      </c>
      <c r="B2806" t="s">
        <v>3210</v>
      </c>
      <c r="C2806" t="s">
        <v>898</v>
      </c>
      <c r="D2806" t="s">
        <v>339</v>
      </c>
      <c r="E2806" t="s">
        <v>308</v>
      </c>
      <c r="F2806" t="s">
        <v>3247</v>
      </c>
      <c r="G2806">
        <v>48</v>
      </c>
      <c r="H2806">
        <v>7537.22</v>
      </c>
      <c r="I2806">
        <v>157.03</v>
      </c>
      <c r="J2806">
        <v>0</v>
      </c>
      <c r="K2806">
        <v>0</v>
      </c>
      <c r="L2806">
        <v>0</v>
      </c>
      <c r="M2806">
        <v>48</v>
      </c>
      <c r="N2806">
        <v>7537.22</v>
      </c>
      <c r="O2806">
        <v>157.03</v>
      </c>
    </row>
    <row r="2807" spans="1:15" x14ac:dyDescent="0.35">
      <c r="A2807" t="s">
        <v>3209</v>
      </c>
      <c r="B2807" t="s">
        <v>3210</v>
      </c>
      <c r="C2807" t="s">
        <v>898</v>
      </c>
      <c r="D2807" t="s">
        <v>339</v>
      </c>
      <c r="E2807" t="s">
        <v>310</v>
      </c>
      <c r="F2807" t="s">
        <v>3248</v>
      </c>
      <c r="G2807">
        <v>612</v>
      </c>
      <c r="H2807">
        <v>73824.510000000009</v>
      </c>
      <c r="I2807">
        <v>120.63</v>
      </c>
      <c r="J2807">
        <v>141</v>
      </c>
      <c r="K2807">
        <v>14419.15</v>
      </c>
      <c r="L2807">
        <v>102.26</v>
      </c>
      <c r="M2807">
        <v>753</v>
      </c>
      <c r="N2807">
        <v>88243.66</v>
      </c>
      <c r="O2807">
        <v>117.19</v>
      </c>
    </row>
    <row r="2808" spans="1:15" x14ac:dyDescent="0.35">
      <c r="A2808" t="s">
        <v>3209</v>
      </c>
      <c r="B2808" t="s">
        <v>3210</v>
      </c>
      <c r="C2808" t="s">
        <v>898</v>
      </c>
      <c r="D2808" t="s">
        <v>339</v>
      </c>
      <c r="E2808" t="s">
        <v>312</v>
      </c>
      <c r="F2808" t="s">
        <v>3249</v>
      </c>
      <c r="G2808">
        <v>564</v>
      </c>
      <c r="H2808">
        <v>66287.290000000008</v>
      </c>
      <c r="I2808">
        <v>117.53</v>
      </c>
      <c r="J2808">
        <v>141</v>
      </c>
      <c r="K2808">
        <v>14419.15</v>
      </c>
      <c r="L2808">
        <v>102.26</v>
      </c>
      <c r="M2808">
        <v>705</v>
      </c>
      <c r="N2808">
        <v>80706.44</v>
      </c>
      <c r="O2808">
        <v>114.48</v>
      </c>
    </row>
    <row r="2809" spans="1:15" x14ac:dyDescent="0.35">
      <c r="A2809" t="s">
        <v>3209</v>
      </c>
      <c r="B2809" t="s">
        <v>3210</v>
      </c>
      <c r="C2809" t="s">
        <v>898</v>
      </c>
      <c r="D2809" t="s">
        <v>348</v>
      </c>
      <c r="E2809" t="s">
        <v>349</v>
      </c>
      <c r="F2809" t="s">
        <v>3250</v>
      </c>
      <c r="G2809">
        <v>727</v>
      </c>
      <c r="H2809">
        <v>81459.51999999999</v>
      </c>
      <c r="I2809">
        <v>127.88</v>
      </c>
      <c r="J2809">
        <v>141</v>
      </c>
      <c r="K2809">
        <v>14419.15</v>
      </c>
      <c r="L2809">
        <v>102.26</v>
      </c>
      <c r="M2809">
        <v>868</v>
      </c>
      <c r="N2809">
        <v>95878.669999999984</v>
      </c>
      <c r="O2809">
        <v>123.24</v>
      </c>
    </row>
    <row r="2810" spans="1:15" x14ac:dyDescent="0.35">
      <c r="A2810" t="s">
        <v>3251</v>
      </c>
      <c r="B2810" t="s">
        <v>3252</v>
      </c>
      <c r="C2810" t="s">
        <v>898</v>
      </c>
      <c r="D2810" t="s">
        <v>293</v>
      </c>
      <c r="E2810" t="s">
        <v>294</v>
      </c>
      <c r="F2810" t="s">
        <v>3253</v>
      </c>
      <c r="G2810">
        <v>79</v>
      </c>
      <c r="H2810">
        <v>9153.9000000000015</v>
      </c>
      <c r="I2810">
        <v>115.87</v>
      </c>
      <c r="J2810">
        <v>0</v>
      </c>
      <c r="K2810">
        <v>0</v>
      </c>
      <c r="L2810">
        <v>0</v>
      </c>
      <c r="M2810">
        <v>79</v>
      </c>
      <c r="N2810">
        <v>9153.9000000000015</v>
      </c>
      <c r="O2810">
        <v>115.87</v>
      </c>
    </row>
    <row r="2811" spans="1:15" x14ac:dyDescent="0.35">
      <c r="A2811" t="s">
        <v>3251</v>
      </c>
      <c r="B2811" t="s">
        <v>3252</v>
      </c>
      <c r="C2811" t="s">
        <v>898</v>
      </c>
      <c r="D2811" t="s">
        <v>293</v>
      </c>
      <c r="E2811" t="s">
        <v>296</v>
      </c>
      <c r="F2811" t="s">
        <v>3254</v>
      </c>
      <c r="G2811">
        <v>251</v>
      </c>
      <c r="H2811">
        <v>34626.57</v>
      </c>
      <c r="I2811">
        <v>137.94999999999999</v>
      </c>
      <c r="J2811">
        <v>2</v>
      </c>
      <c r="K2811">
        <v>307.24</v>
      </c>
      <c r="L2811">
        <v>153.62</v>
      </c>
      <c r="M2811">
        <v>253</v>
      </c>
      <c r="N2811">
        <v>34933.81</v>
      </c>
      <c r="O2811">
        <v>138.08000000000001</v>
      </c>
    </row>
    <row r="2812" spans="1:15" x14ac:dyDescent="0.35">
      <c r="A2812" t="s">
        <v>3251</v>
      </c>
      <c r="B2812" t="s">
        <v>3252</v>
      </c>
      <c r="C2812" t="s">
        <v>898</v>
      </c>
      <c r="D2812" t="s">
        <v>293</v>
      </c>
      <c r="E2812" t="s">
        <v>298</v>
      </c>
      <c r="F2812" t="s">
        <v>3255</v>
      </c>
      <c r="G2812">
        <v>117</v>
      </c>
      <c r="H2812">
        <v>18475.05</v>
      </c>
      <c r="I2812">
        <v>157.91</v>
      </c>
      <c r="J2812">
        <v>0</v>
      </c>
      <c r="K2812">
        <v>0</v>
      </c>
      <c r="L2812">
        <v>0</v>
      </c>
      <c r="M2812">
        <v>117</v>
      </c>
      <c r="N2812">
        <v>18475.05</v>
      </c>
      <c r="O2812">
        <v>157.91</v>
      </c>
    </row>
    <row r="2813" spans="1:15" x14ac:dyDescent="0.35">
      <c r="A2813" t="s">
        <v>3251</v>
      </c>
      <c r="B2813" t="s">
        <v>3252</v>
      </c>
      <c r="C2813" t="s">
        <v>898</v>
      </c>
      <c r="D2813" t="s">
        <v>293</v>
      </c>
      <c r="E2813" t="s">
        <v>300</v>
      </c>
      <c r="F2813" t="s">
        <v>3256</v>
      </c>
      <c r="G2813">
        <v>6</v>
      </c>
      <c r="H2813">
        <v>1075.3200000000002</v>
      </c>
      <c r="I2813">
        <v>179.22</v>
      </c>
      <c r="J2813">
        <v>0</v>
      </c>
      <c r="K2813">
        <v>0</v>
      </c>
      <c r="L2813">
        <v>0</v>
      </c>
      <c r="M2813">
        <v>6</v>
      </c>
      <c r="N2813">
        <v>1075.3200000000002</v>
      </c>
      <c r="O2813">
        <v>179.22</v>
      </c>
    </row>
    <row r="2814" spans="1:15" x14ac:dyDescent="0.35">
      <c r="A2814" t="s">
        <v>3251</v>
      </c>
      <c r="B2814" t="s">
        <v>3252</v>
      </c>
      <c r="C2814" t="s">
        <v>898</v>
      </c>
      <c r="D2814" t="s">
        <v>293</v>
      </c>
      <c r="E2814" t="s">
        <v>302</v>
      </c>
      <c r="F2814" t="s">
        <v>3257</v>
      </c>
      <c r="G2814">
        <v>1</v>
      </c>
      <c r="H2814">
        <v>181.89</v>
      </c>
      <c r="I2814">
        <v>181.89</v>
      </c>
      <c r="J2814">
        <v>0</v>
      </c>
      <c r="K2814">
        <v>0</v>
      </c>
      <c r="L2814">
        <v>0</v>
      </c>
      <c r="M2814">
        <v>1</v>
      </c>
      <c r="N2814">
        <v>181.89</v>
      </c>
      <c r="O2814">
        <v>181.89</v>
      </c>
    </row>
    <row r="2815" spans="1:15" x14ac:dyDescent="0.35">
      <c r="A2815" t="s">
        <v>3251</v>
      </c>
      <c r="B2815" t="s">
        <v>3252</v>
      </c>
      <c r="C2815" t="s">
        <v>898</v>
      </c>
      <c r="D2815" t="s">
        <v>293</v>
      </c>
      <c r="E2815" t="s">
        <v>304</v>
      </c>
      <c r="F2815" t="s">
        <v>3258</v>
      </c>
      <c r="G2815">
        <v>0</v>
      </c>
      <c r="H2815">
        <v>0</v>
      </c>
      <c r="I2815">
        <v>0</v>
      </c>
      <c r="J2815">
        <v>0</v>
      </c>
      <c r="K2815">
        <v>0</v>
      </c>
      <c r="L2815">
        <v>0</v>
      </c>
      <c r="M2815">
        <v>0</v>
      </c>
      <c r="N2815">
        <v>0</v>
      </c>
      <c r="O2815">
        <v>0</v>
      </c>
    </row>
    <row r="2816" spans="1:15" x14ac:dyDescent="0.35">
      <c r="A2816" t="s">
        <v>3251</v>
      </c>
      <c r="B2816" t="s">
        <v>3252</v>
      </c>
      <c r="C2816" t="s">
        <v>898</v>
      </c>
      <c r="D2816" t="s">
        <v>293</v>
      </c>
      <c r="E2816" t="s">
        <v>306</v>
      </c>
      <c r="F2816" t="s">
        <v>3259</v>
      </c>
      <c r="G2816">
        <v>0</v>
      </c>
      <c r="H2816">
        <v>0</v>
      </c>
      <c r="I2816">
        <v>0</v>
      </c>
      <c r="J2816">
        <v>0</v>
      </c>
      <c r="K2816">
        <v>0</v>
      </c>
      <c r="L2816">
        <v>0</v>
      </c>
      <c r="M2816">
        <v>0</v>
      </c>
      <c r="N2816">
        <v>0</v>
      </c>
      <c r="O2816">
        <v>0</v>
      </c>
    </row>
    <row r="2817" spans="1:15" x14ac:dyDescent="0.35">
      <c r="A2817" t="s">
        <v>3251</v>
      </c>
      <c r="B2817" t="s">
        <v>3252</v>
      </c>
      <c r="C2817" t="s">
        <v>898</v>
      </c>
      <c r="D2817" t="s">
        <v>293</v>
      </c>
      <c r="E2817" t="s">
        <v>308</v>
      </c>
      <c r="F2817" t="s">
        <v>3260</v>
      </c>
      <c r="G2817">
        <v>0</v>
      </c>
      <c r="H2817">
        <v>0</v>
      </c>
      <c r="I2817">
        <v>0</v>
      </c>
      <c r="J2817">
        <v>0</v>
      </c>
      <c r="K2817">
        <v>0</v>
      </c>
      <c r="L2817">
        <v>0</v>
      </c>
      <c r="M2817">
        <v>0</v>
      </c>
      <c r="N2817">
        <v>0</v>
      </c>
      <c r="O2817">
        <v>0</v>
      </c>
    </row>
    <row r="2818" spans="1:15" x14ac:dyDescent="0.35">
      <c r="A2818" t="s">
        <v>3251</v>
      </c>
      <c r="B2818" t="s">
        <v>3252</v>
      </c>
      <c r="C2818" t="s">
        <v>898</v>
      </c>
      <c r="D2818" t="s">
        <v>293</v>
      </c>
      <c r="E2818" t="s">
        <v>310</v>
      </c>
      <c r="F2818" t="s">
        <v>3261</v>
      </c>
      <c r="G2818">
        <v>454</v>
      </c>
      <c r="H2818">
        <v>63512.73</v>
      </c>
      <c r="I2818">
        <v>139.9</v>
      </c>
      <c r="J2818">
        <v>2</v>
      </c>
      <c r="K2818">
        <v>307.24</v>
      </c>
      <c r="L2818">
        <v>153.62</v>
      </c>
      <c r="M2818">
        <v>456</v>
      </c>
      <c r="N2818">
        <v>63819.97</v>
      </c>
      <c r="O2818">
        <v>139.96</v>
      </c>
    </row>
    <row r="2819" spans="1:15" x14ac:dyDescent="0.35">
      <c r="A2819" t="s">
        <v>3251</v>
      </c>
      <c r="B2819" t="s">
        <v>3252</v>
      </c>
      <c r="C2819" t="s">
        <v>898</v>
      </c>
      <c r="D2819" t="s">
        <v>293</v>
      </c>
      <c r="E2819" t="s">
        <v>312</v>
      </c>
      <c r="F2819" t="s">
        <v>3262</v>
      </c>
      <c r="G2819">
        <v>454</v>
      </c>
      <c r="H2819">
        <v>63512.73</v>
      </c>
      <c r="I2819">
        <v>139.9</v>
      </c>
      <c r="J2819">
        <v>2</v>
      </c>
      <c r="K2819">
        <v>307.24</v>
      </c>
      <c r="L2819">
        <v>153.62</v>
      </c>
      <c r="M2819">
        <v>456</v>
      </c>
      <c r="N2819">
        <v>63819.97</v>
      </c>
      <c r="O2819">
        <v>139.96</v>
      </c>
    </row>
    <row r="2820" spans="1:15" x14ac:dyDescent="0.35">
      <c r="A2820" t="s">
        <v>3251</v>
      </c>
      <c r="B2820" t="s">
        <v>3252</v>
      </c>
      <c r="C2820" t="s">
        <v>898</v>
      </c>
      <c r="D2820" t="s">
        <v>314</v>
      </c>
      <c r="E2820" t="s">
        <v>294</v>
      </c>
      <c r="F2820" t="s">
        <v>3263</v>
      </c>
      <c r="G2820">
        <v>0</v>
      </c>
      <c r="H2820">
        <v>0</v>
      </c>
      <c r="I2820">
        <v>0</v>
      </c>
      <c r="J2820">
        <v>0</v>
      </c>
      <c r="K2820">
        <v>0</v>
      </c>
      <c r="L2820">
        <v>0</v>
      </c>
      <c r="M2820">
        <v>0</v>
      </c>
      <c r="N2820">
        <v>0</v>
      </c>
      <c r="O2820">
        <v>0</v>
      </c>
    </row>
    <row r="2821" spans="1:15" x14ac:dyDescent="0.35">
      <c r="A2821" t="s">
        <v>3251</v>
      </c>
      <c r="B2821" t="s">
        <v>3252</v>
      </c>
      <c r="C2821" t="s">
        <v>898</v>
      </c>
      <c r="D2821" t="s">
        <v>314</v>
      </c>
      <c r="E2821" t="s">
        <v>296</v>
      </c>
      <c r="F2821" t="s">
        <v>3264</v>
      </c>
      <c r="G2821">
        <v>2</v>
      </c>
      <c r="H2821">
        <v>492.56</v>
      </c>
      <c r="I2821">
        <v>246.28</v>
      </c>
      <c r="J2821">
        <v>0</v>
      </c>
      <c r="K2821">
        <v>0</v>
      </c>
      <c r="L2821">
        <v>0</v>
      </c>
      <c r="M2821">
        <v>2</v>
      </c>
      <c r="N2821">
        <v>492.56</v>
      </c>
      <c r="O2821">
        <v>246.28</v>
      </c>
    </row>
    <row r="2822" spans="1:15" x14ac:dyDescent="0.35">
      <c r="A2822" t="s">
        <v>3251</v>
      </c>
      <c r="B2822" t="s">
        <v>3252</v>
      </c>
      <c r="C2822" t="s">
        <v>898</v>
      </c>
      <c r="D2822" t="s">
        <v>314</v>
      </c>
      <c r="E2822" t="s">
        <v>298</v>
      </c>
      <c r="F2822" t="s">
        <v>3265</v>
      </c>
      <c r="G2822">
        <v>0</v>
      </c>
      <c r="H2822">
        <v>0</v>
      </c>
      <c r="I2822">
        <v>0</v>
      </c>
      <c r="J2822">
        <v>0</v>
      </c>
      <c r="K2822">
        <v>0</v>
      </c>
      <c r="L2822">
        <v>0</v>
      </c>
      <c r="M2822">
        <v>0</v>
      </c>
      <c r="N2822">
        <v>0</v>
      </c>
      <c r="O2822">
        <v>0</v>
      </c>
    </row>
    <row r="2823" spans="1:15" x14ac:dyDescent="0.35">
      <c r="A2823" t="s">
        <v>3251</v>
      </c>
      <c r="B2823" t="s">
        <v>3252</v>
      </c>
      <c r="C2823" t="s">
        <v>898</v>
      </c>
      <c r="D2823" t="s">
        <v>314</v>
      </c>
      <c r="E2823" t="s">
        <v>300</v>
      </c>
      <c r="F2823" t="s">
        <v>3266</v>
      </c>
      <c r="G2823">
        <v>0</v>
      </c>
      <c r="H2823">
        <v>0</v>
      </c>
      <c r="I2823">
        <v>0</v>
      </c>
      <c r="J2823">
        <v>0</v>
      </c>
      <c r="K2823">
        <v>0</v>
      </c>
      <c r="L2823">
        <v>0</v>
      </c>
      <c r="M2823">
        <v>0</v>
      </c>
      <c r="N2823">
        <v>0</v>
      </c>
      <c r="O2823">
        <v>0</v>
      </c>
    </row>
    <row r="2824" spans="1:15" x14ac:dyDescent="0.35">
      <c r="A2824" t="s">
        <v>3251</v>
      </c>
      <c r="B2824" t="s">
        <v>3252</v>
      </c>
      <c r="C2824" t="s">
        <v>898</v>
      </c>
      <c r="D2824" t="s">
        <v>314</v>
      </c>
      <c r="E2824" t="s">
        <v>306</v>
      </c>
      <c r="F2824" t="s">
        <v>3267</v>
      </c>
      <c r="G2824">
        <v>0</v>
      </c>
      <c r="H2824">
        <v>0</v>
      </c>
      <c r="I2824">
        <v>0</v>
      </c>
      <c r="J2824">
        <v>0</v>
      </c>
      <c r="K2824">
        <v>0</v>
      </c>
      <c r="L2824">
        <v>0</v>
      </c>
      <c r="M2824">
        <v>0</v>
      </c>
      <c r="N2824">
        <v>0</v>
      </c>
      <c r="O2824">
        <v>0</v>
      </c>
    </row>
    <row r="2825" spans="1:15" x14ac:dyDescent="0.35">
      <c r="A2825" t="s">
        <v>3251</v>
      </c>
      <c r="B2825" t="s">
        <v>3252</v>
      </c>
      <c r="C2825" t="s">
        <v>898</v>
      </c>
      <c r="D2825" t="s">
        <v>314</v>
      </c>
      <c r="E2825" t="s">
        <v>308</v>
      </c>
      <c r="F2825" t="s">
        <v>3268</v>
      </c>
      <c r="G2825">
        <v>0</v>
      </c>
      <c r="H2825">
        <v>0</v>
      </c>
      <c r="I2825">
        <v>0</v>
      </c>
      <c r="J2825">
        <v>0</v>
      </c>
      <c r="K2825">
        <v>0</v>
      </c>
      <c r="L2825">
        <v>0</v>
      </c>
      <c r="M2825">
        <v>0</v>
      </c>
      <c r="N2825">
        <v>0</v>
      </c>
      <c r="O2825">
        <v>0</v>
      </c>
    </row>
    <row r="2826" spans="1:15" x14ac:dyDescent="0.35">
      <c r="A2826" t="s">
        <v>3251</v>
      </c>
      <c r="B2826" t="s">
        <v>3252</v>
      </c>
      <c r="C2826" t="s">
        <v>898</v>
      </c>
      <c r="D2826" t="s">
        <v>314</v>
      </c>
      <c r="E2826" t="s">
        <v>312</v>
      </c>
      <c r="F2826" t="s">
        <v>3269</v>
      </c>
      <c r="G2826">
        <v>2</v>
      </c>
      <c r="H2826">
        <v>492.56</v>
      </c>
      <c r="I2826">
        <v>246.28</v>
      </c>
      <c r="J2826">
        <v>0</v>
      </c>
      <c r="K2826">
        <v>0</v>
      </c>
      <c r="L2826">
        <v>0</v>
      </c>
      <c r="M2826">
        <v>2</v>
      </c>
      <c r="N2826">
        <v>492.56</v>
      </c>
      <c r="O2826">
        <v>246.28</v>
      </c>
    </row>
    <row r="2827" spans="1:15" x14ac:dyDescent="0.35">
      <c r="A2827" t="s">
        <v>3251</v>
      </c>
      <c r="B2827" t="s">
        <v>3252</v>
      </c>
      <c r="C2827" t="s">
        <v>898</v>
      </c>
      <c r="D2827" t="s">
        <v>314</v>
      </c>
      <c r="E2827" t="s">
        <v>310</v>
      </c>
      <c r="F2827" t="s">
        <v>3270</v>
      </c>
      <c r="G2827">
        <v>2</v>
      </c>
      <c r="H2827">
        <v>492.56</v>
      </c>
      <c r="I2827">
        <v>246.28</v>
      </c>
      <c r="J2827">
        <v>0</v>
      </c>
      <c r="K2827">
        <v>0</v>
      </c>
      <c r="L2827">
        <v>0</v>
      </c>
      <c r="M2827">
        <v>2</v>
      </c>
      <c r="N2827">
        <v>492.56</v>
      </c>
      <c r="O2827">
        <v>246.28</v>
      </c>
    </row>
    <row r="2828" spans="1:15" x14ac:dyDescent="0.35">
      <c r="A2828" t="s">
        <v>3251</v>
      </c>
      <c r="B2828" t="s">
        <v>3252</v>
      </c>
      <c r="C2828" t="s">
        <v>898</v>
      </c>
      <c r="D2828" t="s">
        <v>323</v>
      </c>
      <c r="E2828" t="s">
        <v>294</v>
      </c>
      <c r="F2828" t="s">
        <v>3271</v>
      </c>
      <c r="G2828">
        <v>958</v>
      </c>
      <c r="H2828">
        <v>96528.08</v>
      </c>
      <c r="I2828">
        <v>100.76</v>
      </c>
      <c r="J2828">
        <v>5</v>
      </c>
      <c r="K2828">
        <v>489.7</v>
      </c>
      <c r="L2828">
        <v>97.94</v>
      </c>
      <c r="M2828">
        <v>963</v>
      </c>
      <c r="N2828">
        <v>97017.78</v>
      </c>
      <c r="O2828">
        <v>100.75</v>
      </c>
    </row>
    <row r="2829" spans="1:15" x14ac:dyDescent="0.35">
      <c r="A2829" t="s">
        <v>3251</v>
      </c>
      <c r="B2829" t="s">
        <v>3252</v>
      </c>
      <c r="C2829" t="s">
        <v>898</v>
      </c>
      <c r="D2829" t="s">
        <v>323</v>
      </c>
      <c r="E2829" t="s">
        <v>296</v>
      </c>
      <c r="F2829" t="s">
        <v>3272</v>
      </c>
      <c r="G2829">
        <v>1011</v>
      </c>
      <c r="H2829">
        <v>118333.6</v>
      </c>
      <c r="I2829">
        <v>117.05</v>
      </c>
      <c r="J2829">
        <v>24</v>
      </c>
      <c r="K2829">
        <v>2843.52</v>
      </c>
      <c r="L2829">
        <v>118.48</v>
      </c>
      <c r="M2829">
        <v>1035</v>
      </c>
      <c r="N2829">
        <v>121177.12000000001</v>
      </c>
      <c r="O2829">
        <v>117.08</v>
      </c>
    </row>
    <row r="2830" spans="1:15" x14ac:dyDescent="0.35">
      <c r="A2830" t="s">
        <v>3251</v>
      </c>
      <c r="B2830" t="s">
        <v>3252</v>
      </c>
      <c r="C2830" t="s">
        <v>898</v>
      </c>
      <c r="D2830" t="s">
        <v>323</v>
      </c>
      <c r="E2830" t="s">
        <v>298</v>
      </c>
      <c r="F2830" t="s">
        <v>3273</v>
      </c>
      <c r="G2830">
        <v>1274</v>
      </c>
      <c r="H2830">
        <v>156309.81</v>
      </c>
      <c r="I2830">
        <v>122.69</v>
      </c>
      <c r="J2830">
        <v>7</v>
      </c>
      <c r="K2830">
        <v>947.7299999999999</v>
      </c>
      <c r="L2830">
        <v>135.38999999999999</v>
      </c>
      <c r="M2830">
        <v>1281</v>
      </c>
      <c r="N2830">
        <v>157257.54</v>
      </c>
      <c r="O2830">
        <v>122.76</v>
      </c>
    </row>
    <row r="2831" spans="1:15" x14ac:dyDescent="0.35">
      <c r="A2831" t="s">
        <v>3251</v>
      </c>
      <c r="B2831" t="s">
        <v>3252</v>
      </c>
      <c r="C2831" t="s">
        <v>898</v>
      </c>
      <c r="D2831" t="s">
        <v>323</v>
      </c>
      <c r="E2831" t="s">
        <v>300</v>
      </c>
      <c r="F2831" t="s">
        <v>3274</v>
      </c>
      <c r="G2831">
        <v>42</v>
      </c>
      <c r="H2831">
        <v>5567.1</v>
      </c>
      <c r="I2831">
        <v>132.55000000000001</v>
      </c>
      <c r="J2831">
        <v>2</v>
      </c>
      <c r="K2831">
        <v>317.60000000000002</v>
      </c>
      <c r="L2831">
        <v>158.80000000000001</v>
      </c>
      <c r="M2831">
        <v>44</v>
      </c>
      <c r="N2831">
        <v>5884.7000000000007</v>
      </c>
      <c r="O2831">
        <v>133.74</v>
      </c>
    </row>
    <row r="2832" spans="1:15" x14ac:dyDescent="0.35">
      <c r="A2832" t="s">
        <v>3251</v>
      </c>
      <c r="B2832" t="s">
        <v>3252</v>
      </c>
      <c r="C2832" t="s">
        <v>898</v>
      </c>
      <c r="D2832" t="s">
        <v>323</v>
      </c>
      <c r="E2832" t="s">
        <v>302</v>
      </c>
      <c r="F2832" t="s">
        <v>3275</v>
      </c>
      <c r="G2832">
        <v>6</v>
      </c>
      <c r="H2832">
        <v>793.68000000000006</v>
      </c>
      <c r="I2832">
        <v>132.28</v>
      </c>
      <c r="J2832">
        <v>0</v>
      </c>
      <c r="K2832">
        <v>0</v>
      </c>
      <c r="L2832">
        <v>0</v>
      </c>
      <c r="M2832">
        <v>6</v>
      </c>
      <c r="N2832">
        <v>793.68000000000006</v>
      </c>
      <c r="O2832">
        <v>132.28</v>
      </c>
    </row>
    <row r="2833" spans="1:15" x14ac:dyDescent="0.35">
      <c r="A2833" t="s">
        <v>3251</v>
      </c>
      <c r="B2833" t="s">
        <v>3252</v>
      </c>
      <c r="C2833" t="s">
        <v>898</v>
      </c>
      <c r="D2833" t="s">
        <v>323</v>
      </c>
      <c r="E2833" t="s">
        <v>304</v>
      </c>
      <c r="F2833" t="s">
        <v>3276</v>
      </c>
      <c r="G2833">
        <v>0</v>
      </c>
      <c r="H2833">
        <v>0</v>
      </c>
      <c r="I2833">
        <v>0</v>
      </c>
      <c r="J2833">
        <v>0</v>
      </c>
      <c r="K2833">
        <v>0</v>
      </c>
      <c r="L2833">
        <v>0</v>
      </c>
      <c r="M2833">
        <v>0</v>
      </c>
      <c r="N2833">
        <v>0</v>
      </c>
      <c r="O2833">
        <v>0</v>
      </c>
    </row>
    <row r="2834" spans="1:15" x14ac:dyDescent="0.35">
      <c r="A2834" t="s">
        <v>3251</v>
      </c>
      <c r="B2834" t="s">
        <v>3252</v>
      </c>
      <c r="C2834" t="s">
        <v>898</v>
      </c>
      <c r="D2834" t="s">
        <v>323</v>
      </c>
      <c r="E2834" t="s">
        <v>306</v>
      </c>
      <c r="F2834" t="s">
        <v>3277</v>
      </c>
      <c r="G2834">
        <v>37</v>
      </c>
      <c r="H2834">
        <v>3065.08</v>
      </c>
      <c r="I2834">
        <v>82.84</v>
      </c>
      <c r="J2834">
        <v>0</v>
      </c>
      <c r="K2834">
        <v>0</v>
      </c>
      <c r="L2834">
        <v>0</v>
      </c>
      <c r="M2834">
        <v>37</v>
      </c>
      <c r="N2834">
        <v>3065.08</v>
      </c>
      <c r="O2834">
        <v>82.84</v>
      </c>
    </row>
    <row r="2835" spans="1:15" x14ac:dyDescent="0.35">
      <c r="A2835" t="s">
        <v>3251</v>
      </c>
      <c r="B2835" t="s">
        <v>3252</v>
      </c>
      <c r="C2835" t="s">
        <v>898</v>
      </c>
      <c r="D2835" t="s">
        <v>323</v>
      </c>
      <c r="E2835" t="s">
        <v>308</v>
      </c>
      <c r="F2835" t="s">
        <v>3278</v>
      </c>
      <c r="G2835">
        <v>0</v>
      </c>
      <c r="H2835">
        <v>0</v>
      </c>
      <c r="I2835">
        <v>0</v>
      </c>
      <c r="J2835">
        <v>0</v>
      </c>
      <c r="K2835">
        <v>0</v>
      </c>
      <c r="L2835">
        <v>0</v>
      </c>
      <c r="M2835">
        <v>0</v>
      </c>
      <c r="N2835">
        <v>0</v>
      </c>
      <c r="O2835">
        <v>0</v>
      </c>
    </row>
    <row r="2836" spans="1:15" x14ac:dyDescent="0.35">
      <c r="A2836" t="s">
        <v>3251</v>
      </c>
      <c r="B2836" t="s">
        <v>3252</v>
      </c>
      <c r="C2836" t="s">
        <v>898</v>
      </c>
      <c r="D2836" t="s">
        <v>323</v>
      </c>
      <c r="E2836" t="s">
        <v>310</v>
      </c>
      <c r="F2836" t="s">
        <v>3279</v>
      </c>
      <c r="G2836">
        <v>3328</v>
      </c>
      <c r="H2836">
        <v>380597.35</v>
      </c>
      <c r="I2836">
        <v>114.36</v>
      </c>
      <c r="J2836">
        <v>38</v>
      </c>
      <c r="K2836">
        <v>4598.55</v>
      </c>
      <c r="L2836">
        <v>121.01</v>
      </c>
      <c r="M2836">
        <v>3366</v>
      </c>
      <c r="N2836">
        <v>385195.89999999997</v>
      </c>
      <c r="O2836">
        <v>114.44</v>
      </c>
    </row>
    <row r="2837" spans="1:15" x14ac:dyDescent="0.35">
      <c r="A2837" t="s">
        <v>3251</v>
      </c>
      <c r="B2837" t="s">
        <v>3252</v>
      </c>
      <c r="C2837" t="s">
        <v>898</v>
      </c>
      <c r="D2837" t="s">
        <v>323</v>
      </c>
      <c r="E2837" t="s">
        <v>312</v>
      </c>
      <c r="F2837" t="s">
        <v>3280</v>
      </c>
      <c r="G2837">
        <v>3328</v>
      </c>
      <c r="H2837">
        <v>380597.35</v>
      </c>
      <c r="I2837">
        <v>114.36</v>
      </c>
      <c r="J2837">
        <v>38</v>
      </c>
      <c r="K2837">
        <v>4598.55</v>
      </c>
      <c r="L2837">
        <v>121.01</v>
      </c>
      <c r="M2837">
        <v>3366</v>
      </c>
      <c r="N2837">
        <v>385195.89999999997</v>
      </c>
      <c r="O2837">
        <v>114.44</v>
      </c>
    </row>
    <row r="2838" spans="1:15" x14ac:dyDescent="0.35">
      <c r="A2838" t="s">
        <v>3251</v>
      </c>
      <c r="B2838" t="s">
        <v>3252</v>
      </c>
      <c r="C2838" t="s">
        <v>898</v>
      </c>
      <c r="D2838" t="s">
        <v>334</v>
      </c>
      <c r="E2838" t="s">
        <v>312</v>
      </c>
      <c r="F2838" t="s">
        <v>3281</v>
      </c>
      <c r="G2838">
        <v>3934</v>
      </c>
      <c r="H2838">
        <v>444110.08000000002</v>
      </c>
      <c r="I2838">
        <v>117.43</v>
      </c>
      <c r="J2838">
        <v>40</v>
      </c>
      <c r="K2838">
        <v>4905.79</v>
      </c>
      <c r="L2838">
        <v>122.64</v>
      </c>
      <c r="M2838">
        <v>3974</v>
      </c>
      <c r="N2838">
        <v>449015.87</v>
      </c>
      <c r="O2838">
        <v>117.48</v>
      </c>
    </row>
    <row r="2839" spans="1:15" x14ac:dyDescent="0.35">
      <c r="A2839" t="s">
        <v>3251</v>
      </c>
      <c r="B2839" t="s">
        <v>3252</v>
      </c>
      <c r="C2839" t="s">
        <v>898</v>
      </c>
      <c r="D2839" t="s">
        <v>334</v>
      </c>
      <c r="E2839" t="s">
        <v>308</v>
      </c>
      <c r="F2839" t="s">
        <v>3282</v>
      </c>
      <c r="G2839">
        <v>0</v>
      </c>
      <c r="H2839">
        <v>0</v>
      </c>
      <c r="I2839">
        <v>0</v>
      </c>
      <c r="J2839">
        <v>0</v>
      </c>
      <c r="K2839">
        <v>0</v>
      </c>
      <c r="L2839">
        <v>0</v>
      </c>
      <c r="M2839">
        <v>0</v>
      </c>
      <c r="N2839">
        <v>0</v>
      </c>
      <c r="O2839">
        <v>0</v>
      </c>
    </row>
    <row r="2840" spans="1:15" x14ac:dyDescent="0.35">
      <c r="A2840" t="s">
        <v>3251</v>
      </c>
      <c r="B2840" t="s">
        <v>3252</v>
      </c>
      <c r="C2840" t="s">
        <v>898</v>
      </c>
      <c r="D2840" t="s">
        <v>337</v>
      </c>
      <c r="E2840" t="s">
        <v>337</v>
      </c>
      <c r="F2840" t="s">
        <v>3283</v>
      </c>
      <c r="G2840">
        <v>257</v>
      </c>
      <c r="J2840">
        <v>4</v>
      </c>
      <c r="M2840">
        <v>261</v>
      </c>
    </row>
    <row r="2841" spans="1:15" x14ac:dyDescent="0.35">
      <c r="A2841" t="s">
        <v>3251</v>
      </c>
      <c r="B2841" t="s">
        <v>3252</v>
      </c>
      <c r="C2841" t="s">
        <v>898</v>
      </c>
      <c r="D2841" t="s">
        <v>339</v>
      </c>
      <c r="E2841" t="s">
        <v>294</v>
      </c>
      <c r="F2841" t="s">
        <v>3284</v>
      </c>
      <c r="G2841">
        <v>185</v>
      </c>
      <c r="H2841">
        <v>19476.190000000002</v>
      </c>
      <c r="I2841">
        <v>105.28</v>
      </c>
      <c r="J2841">
        <v>0</v>
      </c>
      <c r="K2841">
        <v>0</v>
      </c>
      <c r="L2841">
        <v>0</v>
      </c>
      <c r="M2841">
        <v>185</v>
      </c>
      <c r="N2841">
        <v>19476.190000000002</v>
      </c>
      <c r="O2841">
        <v>105.28</v>
      </c>
    </row>
    <row r="2842" spans="1:15" x14ac:dyDescent="0.35">
      <c r="A2842" t="s">
        <v>3251</v>
      </c>
      <c r="B2842" t="s">
        <v>3252</v>
      </c>
      <c r="C2842" t="s">
        <v>898</v>
      </c>
      <c r="D2842" t="s">
        <v>339</v>
      </c>
      <c r="E2842" t="s">
        <v>296</v>
      </c>
      <c r="F2842" t="s">
        <v>3285</v>
      </c>
      <c r="G2842">
        <v>46</v>
      </c>
      <c r="H2842">
        <v>6296.68</v>
      </c>
      <c r="I2842">
        <v>136.88</v>
      </c>
      <c r="J2842">
        <v>0</v>
      </c>
      <c r="K2842">
        <v>0</v>
      </c>
      <c r="L2842">
        <v>0</v>
      </c>
      <c r="M2842">
        <v>46</v>
      </c>
      <c r="N2842">
        <v>6296.68</v>
      </c>
      <c r="O2842">
        <v>136.88</v>
      </c>
    </row>
    <row r="2843" spans="1:15" x14ac:dyDescent="0.35">
      <c r="A2843" t="s">
        <v>3251</v>
      </c>
      <c r="B2843" t="s">
        <v>3252</v>
      </c>
      <c r="C2843" t="s">
        <v>898</v>
      </c>
      <c r="D2843" t="s">
        <v>339</v>
      </c>
      <c r="E2843" t="s">
        <v>298</v>
      </c>
      <c r="F2843" t="s">
        <v>3286</v>
      </c>
      <c r="G2843">
        <v>7</v>
      </c>
      <c r="H2843">
        <v>870.74</v>
      </c>
      <c r="I2843">
        <v>124.39</v>
      </c>
      <c r="J2843">
        <v>0</v>
      </c>
      <c r="K2843">
        <v>0</v>
      </c>
      <c r="L2843">
        <v>0</v>
      </c>
      <c r="M2843">
        <v>7</v>
      </c>
      <c r="N2843">
        <v>870.74</v>
      </c>
      <c r="O2843">
        <v>124.39</v>
      </c>
    </row>
    <row r="2844" spans="1:15" x14ac:dyDescent="0.35">
      <c r="A2844" t="s">
        <v>3251</v>
      </c>
      <c r="B2844" t="s">
        <v>3252</v>
      </c>
      <c r="C2844" t="s">
        <v>898</v>
      </c>
      <c r="D2844" t="s">
        <v>339</v>
      </c>
      <c r="E2844" t="s">
        <v>300</v>
      </c>
      <c r="F2844" t="s">
        <v>3287</v>
      </c>
      <c r="G2844">
        <v>0</v>
      </c>
      <c r="H2844">
        <v>0</v>
      </c>
      <c r="I2844">
        <v>0</v>
      </c>
      <c r="J2844">
        <v>0</v>
      </c>
      <c r="K2844">
        <v>0</v>
      </c>
      <c r="L2844">
        <v>0</v>
      </c>
      <c r="M2844">
        <v>0</v>
      </c>
      <c r="N2844">
        <v>0</v>
      </c>
      <c r="O2844">
        <v>0</v>
      </c>
    </row>
    <row r="2845" spans="1:15" x14ac:dyDescent="0.35">
      <c r="A2845" t="s">
        <v>3251</v>
      </c>
      <c r="B2845" t="s">
        <v>3252</v>
      </c>
      <c r="C2845" t="s">
        <v>898</v>
      </c>
      <c r="D2845" t="s">
        <v>339</v>
      </c>
      <c r="E2845" t="s">
        <v>306</v>
      </c>
      <c r="F2845" t="s">
        <v>3288</v>
      </c>
      <c r="G2845">
        <v>68</v>
      </c>
      <c r="H2845">
        <v>5974.31</v>
      </c>
      <c r="I2845">
        <v>87.86</v>
      </c>
      <c r="J2845">
        <v>0</v>
      </c>
      <c r="K2845">
        <v>0</v>
      </c>
      <c r="L2845">
        <v>0</v>
      </c>
      <c r="M2845">
        <v>68</v>
      </c>
      <c r="N2845">
        <v>5974.31</v>
      </c>
      <c r="O2845">
        <v>87.86</v>
      </c>
    </row>
    <row r="2846" spans="1:15" x14ac:dyDescent="0.35">
      <c r="A2846" t="s">
        <v>3251</v>
      </c>
      <c r="B2846" t="s">
        <v>3252</v>
      </c>
      <c r="C2846" t="s">
        <v>898</v>
      </c>
      <c r="D2846" t="s">
        <v>339</v>
      </c>
      <c r="E2846" t="s">
        <v>308</v>
      </c>
      <c r="F2846" t="s">
        <v>3289</v>
      </c>
      <c r="G2846">
        <v>22</v>
      </c>
      <c r="H2846">
        <v>2985.6200000000003</v>
      </c>
      <c r="I2846">
        <v>135.71</v>
      </c>
      <c r="J2846">
        <v>0</v>
      </c>
      <c r="K2846">
        <v>0</v>
      </c>
      <c r="L2846">
        <v>0</v>
      </c>
      <c r="M2846">
        <v>22</v>
      </c>
      <c r="N2846">
        <v>2985.6200000000003</v>
      </c>
      <c r="O2846">
        <v>135.71</v>
      </c>
    </row>
    <row r="2847" spans="1:15" x14ac:dyDescent="0.35">
      <c r="A2847" t="s">
        <v>3251</v>
      </c>
      <c r="B2847" t="s">
        <v>3252</v>
      </c>
      <c r="C2847" t="s">
        <v>898</v>
      </c>
      <c r="D2847" t="s">
        <v>339</v>
      </c>
      <c r="E2847" t="s">
        <v>310</v>
      </c>
      <c r="F2847" t="s">
        <v>3290</v>
      </c>
      <c r="G2847">
        <v>328</v>
      </c>
      <c r="H2847">
        <v>35603.540000000008</v>
      </c>
      <c r="I2847">
        <v>108.55</v>
      </c>
      <c r="J2847">
        <v>0</v>
      </c>
      <c r="K2847">
        <v>0</v>
      </c>
      <c r="L2847">
        <v>0</v>
      </c>
      <c r="M2847">
        <v>328</v>
      </c>
      <c r="N2847">
        <v>35603.540000000008</v>
      </c>
      <c r="O2847">
        <v>108.55</v>
      </c>
    </row>
    <row r="2848" spans="1:15" x14ac:dyDescent="0.35">
      <c r="A2848" t="s">
        <v>3251</v>
      </c>
      <c r="B2848" t="s">
        <v>3252</v>
      </c>
      <c r="C2848" t="s">
        <v>898</v>
      </c>
      <c r="D2848" t="s">
        <v>339</v>
      </c>
      <c r="E2848" t="s">
        <v>312</v>
      </c>
      <c r="F2848" t="s">
        <v>3291</v>
      </c>
      <c r="G2848">
        <v>306</v>
      </c>
      <c r="H2848">
        <v>32617.920000000006</v>
      </c>
      <c r="I2848">
        <v>106.59</v>
      </c>
      <c r="J2848">
        <v>0</v>
      </c>
      <c r="K2848">
        <v>0</v>
      </c>
      <c r="L2848">
        <v>0</v>
      </c>
      <c r="M2848">
        <v>306</v>
      </c>
      <c r="N2848">
        <v>32617.920000000006</v>
      </c>
      <c r="O2848">
        <v>106.59</v>
      </c>
    </row>
    <row r="2849" spans="1:15" x14ac:dyDescent="0.35">
      <c r="A2849" t="s">
        <v>3251</v>
      </c>
      <c r="B2849" t="s">
        <v>3252</v>
      </c>
      <c r="C2849" t="s">
        <v>898</v>
      </c>
      <c r="D2849" t="s">
        <v>348</v>
      </c>
      <c r="E2849" t="s">
        <v>349</v>
      </c>
      <c r="F2849" t="s">
        <v>3292</v>
      </c>
      <c r="G2849">
        <v>342</v>
      </c>
      <c r="H2849">
        <v>36096.100000000006</v>
      </c>
      <c r="I2849">
        <v>109.38</v>
      </c>
      <c r="J2849">
        <v>0</v>
      </c>
      <c r="K2849">
        <v>0</v>
      </c>
      <c r="L2849">
        <v>0</v>
      </c>
      <c r="M2849">
        <v>342</v>
      </c>
      <c r="N2849">
        <v>36096.100000000006</v>
      </c>
      <c r="O2849">
        <v>109.38</v>
      </c>
    </row>
    <row r="2850" spans="1:15" x14ac:dyDescent="0.35">
      <c r="A2850" t="s">
        <v>3293</v>
      </c>
      <c r="B2850" t="s">
        <v>3294</v>
      </c>
      <c r="C2850" t="s">
        <v>898</v>
      </c>
      <c r="D2850" t="s">
        <v>293</v>
      </c>
      <c r="E2850" t="s">
        <v>294</v>
      </c>
      <c r="F2850" t="s">
        <v>3295</v>
      </c>
      <c r="G2850">
        <v>72</v>
      </c>
      <c r="H2850">
        <v>7676.67</v>
      </c>
      <c r="I2850">
        <v>106.62</v>
      </c>
      <c r="J2850">
        <v>0</v>
      </c>
      <c r="K2850">
        <v>0</v>
      </c>
      <c r="L2850">
        <v>0</v>
      </c>
      <c r="M2850">
        <v>72</v>
      </c>
      <c r="N2850">
        <v>7676.67</v>
      </c>
      <c r="O2850">
        <v>106.62</v>
      </c>
    </row>
    <row r="2851" spans="1:15" x14ac:dyDescent="0.35">
      <c r="A2851" t="s">
        <v>3293</v>
      </c>
      <c r="B2851" t="s">
        <v>3294</v>
      </c>
      <c r="C2851" t="s">
        <v>898</v>
      </c>
      <c r="D2851" t="s">
        <v>293</v>
      </c>
      <c r="E2851" t="s">
        <v>296</v>
      </c>
      <c r="F2851" t="s">
        <v>3296</v>
      </c>
      <c r="G2851">
        <v>301</v>
      </c>
      <c r="H2851">
        <v>38990.980000000003</v>
      </c>
      <c r="I2851">
        <v>129.54</v>
      </c>
      <c r="J2851">
        <v>0</v>
      </c>
      <c r="K2851">
        <v>0</v>
      </c>
      <c r="L2851">
        <v>0</v>
      </c>
      <c r="M2851">
        <v>301</v>
      </c>
      <c r="N2851">
        <v>38990.980000000003</v>
      </c>
      <c r="O2851">
        <v>129.54</v>
      </c>
    </row>
    <row r="2852" spans="1:15" x14ac:dyDescent="0.35">
      <c r="A2852" t="s">
        <v>3293</v>
      </c>
      <c r="B2852" t="s">
        <v>3294</v>
      </c>
      <c r="C2852" t="s">
        <v>898</v>
      </c>
      <c r="D2852" t="s">
        <v>293</v>
      </c>
      <c r="E2852" t="s">
        <v>298</v>
      </c>
      <c r="F2852" t="s">
        <v>3297</v>
      </c>
      <c r="G2852">
        <v>169</v>
      </c>
      <c r="H2852">
        <v>23964.27</v>
      </c>
      <c r="I2852">
        <v>141.80000000000001</v>
      </c>
      <c r="J2852">
        <v>0</v>
      </c>
      <c r="K2852">
        <v>0</v>
      </c>
      <c r="L2852">
        <v>0</v>
      </c>
      <c r="M2852">
        <v>169</v>
      </c>
      <c r="N2852">
        <v>23964.27</v>
      </c>
      <c r="O2852">
        <v>141.80000000000001</v>
      </c>
    </row>
    <row r="2853" spans="1:15" x14ac:dyDescent="0.35">
      <c r="A2853" t="s">
        <v>3293</v>
      </c>
      <c r="B2853" t="s">
        <v>3294</v>
      </c>
      <c r="C2853" t="s">
        <v>898</v>
      </c>
      <c r="D2853" t="s">
        <v>293</v>
      </c>
      <c r="E2853" t="s">
        <v>300</v>
      </c>
      <c r="F2853" t="s">
        <v>3298</v>
      </c>
      <c r="G2853">
        <v>21</v>
      </c>
      <c r="H2853">
        <v>3505.4</v>
      </c>
      <c r="I2853">
        <v>166.92</v>
      </c>
      <c r="J2853">
        <v>0</v>
      </c>
      <c r="K2853">
        <v>0</v>
      </c>
      <c r="L2853">
        <v>0</v>
      </c>
      <c r="M2853">
        <v>21</v>
      </c>
      <c r="N2853">
        <v>3505.4</v>
      </c>
      <c r="O2853">
        <v>166.92</v>
      </c>
    </row>
    <row r="2854" spans="1:15" x14ac:dyDescent="0.35">
      <c r="A2854" t="s">
        <v>3293</v>
      </c>
      <c r="B2854" t="s">
        <v>3294</v>
      </c>
      <c r="C2854" t="s">
        <v>898</v>
      </c>
      <c r="D2854" t="s">
        <v>293</v>
      </c>
      <c r="E2854" t="s">
        <v>302</v>
      </c>
      <c r="F2854" t="s">
        <v>3299</v>
      </c>
      <c r="G2854">
        <v>0</v>
      </c>
      <c r="H2854">
        <v>0</v>
      </c>
      <c r="I2854">
        <v>0</v>
      </c>
      <c r="J2854">
        <v>0</v>
      </c>
      <c r="K2854">
        <v>0</v>
      </c>
      <c r="L2854">
        <v>0</v>
      </c>
      <c r="M2854">
        <v>0</v>
      </c>
      <c r="N2854">
        <v>0</v>
      </c>
      <c r="O2854">
        <v>0</v>
      </c>
    </row>
    <row r="2855" spans="1:15" x14ac:dyDescent="0.35">
      <c r="A2855" t="s">
        <v>3293</v>
      </c>
      <c r="B2855" t="s">
        <v>3294</v>
      </c>
      <c r="C2855" t="s">
        <v>898</v>
      </c>
      <c r="D2855" t="s">
        <v>293</v>
      </c>
      <c r="E2855" t="s">
        <v>304</v>
      </c>
      <c r="F2855" t="s">
        <v>3300</v>
      </c>
      <c r="G2855">
        <v>0</v>
      </c>
      <c r="H2855">
        <v>0</v>
      </c>
      <c r="I2855">
        <v>0</v>
      </c>
      <c r="J2855">
        <v>0</v>
      </c>
      <c r="K2855">
        <v>0</v>
      </c>
      <c r="L2855">
        <v>0</v>
      </c>
      <c r="M2855">
        <v>0</v>
      </c>
      <c r="N2855">
        <v>0</v>
      </c>
      <c r="O2855">
        <v>0</v>
      </c>
    </row>
    <row r="2856" spans="1:15" x14ac:dyDescent="0.35">
      <c r="A2856" t="s">
        <v>3293</v>
      </c>
      <c r="B2856" t="s">
        <v>3294</v>
      </c>
      <c r="C2856" t="s">
        <v>898</v>
      </c>
      <c r="D2856" t="s">
        <v>293</v>
      </c>
      <c r="E2856" t="s">
        <v>306</v>
      </c>
      <c r="F2856" t="s">
        <v>3301</v>
      </c>
      <c r="G2856">
        <v>0</v>
      </c>
      <c r="H2856">
        <v>0</v>
      </c>
      <c r="I2856">
        <v>0</v>
      </c>
      <c r="J2856">
        <v>0</v>
      </c>
      <c r="K2856">
        <v>0</v>
      </c>
      <c r="L2856">
        <v>0</v>
      </c>
      <c r="M2856">
        <v>0</v>
      </c>
      <c r="N2856">
        <v>0</v>
      </c>
      <c r="O2856">
        <v>0</v>
      </c>
    </row>
    <row r="2857" spans="1:15" x14ac:dyDescent="0.35">
      <c r="A2857" t="s">
        <v>3293</v>
      </c>
      <c r="B2857" t="s">
        <v>3294</v>
      </c>
      <c r="C2857" t="s">
        <v>898</v>
      </c>
      <c r="D2857" t="s">
        <v>293</v>
      </c>
      <c r="E2857" t="s">
        <v>308</v>
      </c>
      <c r="F2857" t="s">
        <v>3302</v>
      </c>
      <c r="G2857">
        <v>0</v>
      </c>
      <c r="H2857">
        <v>0</v>
      </c>
      <c r="I2857">
        <v>0</v>
      </c>
      <c r="J2857">
        <v>0</v>
      </c>
      <c r="K2857">
        <v>0</v>
      </c>
      <c r="L2857">
        <v>0</v>
      </c>
      <c r="M2857">
        <v>0</v>
      </c>
      <c r="N2857">
        <v>0</v>
      </c>
      <c r="O2857">
        <v>0</v>
      </c>
    </row>
    <row r="2858" spans="1:15" x14ac:dyDescent="0.35">
      <c r="A2858" t="s">
        <v>3293</v>
      </c>
      <c r="B2858" t="s">
        <v>3294</v>
      </c>
      <c r="C2858" t="s">
        <v>898</v>
      </c>
      <c r="D2858" t="s">
        <v>293</v>
      </c>
      <c r="E2858" t="s">
        <v>310</v>
      </c>
      <c r="F2858" t="s">
        <v>3303</v>
      </c>
      <c r="G2858">
        <v>563</v>
      </c>
      <c r="H2858">
        <v>74137.319999999992</v>
      </c>
      <c r="I2858">
        <v>131.68</v>
      </c>
      <c r="J2858">
        <v>0</v>
      </c>
      <c r="K2858">
        <v>0</v>
      </c>
      <c r="L2858">
        <v>0</v>
      </c>
      <c r="M2858">
        <v>563</v>
      </c>
      <c r="N2858">
        <v>74137.319999999992</v>
      </c>
      <c r="O2858">
        <v>131.68</v>
      </c>
    </row>
    <row r="2859" spans="1:15" x14ac:dyDescent="0.35">
      <c r="A2859" t="s">
        <v>3293</v>
      </c>
      <c r="B2859" t="s">
        <v>3294</v>
      </c>
      <c r="C2859" t="s">
        <v>898</v>
      </c>
      <c r="D2859" t="s">
        <v>293</v>
      </c>
      <c r="E2859" t="s">
        <v>312</v>
      </c>
      <c r="F2859" t="s">
        <v>3304</v>
      </c>
      <c r="G2859">
        <v>563</v>
      </c>
      <c r="H2859">
        <v>74137.319999999992</v>
      </c>
      <c r="I2859">
        <v>131.68</v>
      </c>
      <c r="J2859">
        <v>0</v>
      </c>
      <c r="K2859">
        <v>0</v>
      </c>
      <c r="L2859">
        <v>0</v>
      </c>
      <c r="M2859">
        <v>563</v>
      </c>
      <c r="N2859">
        <v>74137.319999999992</v>
      </c>
      <c r="O2859">
        <v>131.68</v>
      </c>
    </row>
    <row r="2860" spans="1:15" x14ac:dyDescent="0.35">
      <c r="A2860" t="s">
        <v>3293</v>
      </c>
      <c r="B2860" t="s">
        <v>3294</v>
      </c>
      <c r="C2860" t="s">
        <v>898</v>
      </c>
      <c r="D2860" t="s">
        <v>314</v>
      </c>
      <c r="E2860" t="s">
        <v>294</v>
      </c>
      <c r="F2860" t="s">
        <v>3305</v>
      </c>
      <c r="G2860">
        <v>24</v>
      </c>
      <c r="H2860">
        <v>2593.6799999999998</v>
      </c>
      <c r="I2860">
        <v>108.07</v>
      </c>
      <c r="J2860">
        <v>0</v>
      </c>
      <c r="K2860">
        <v>0</v>
      </c>
      <c r="L2860">
        <v>0</v>
      </c>
      <c r="M2860">
        <v>24</v>
      </c>
      <c r="N2860">
        <v>2593.6799999999998</v>
      </c>
      <c r="O2860">
        <v>108.07</v>
      </c>
    </row>
    <row r="2861" spans="1:15" x14ac:dyDescent="0.35">
      <c r="A2861" t="s">
        <v>3293</v>
      </c>
      <c r="B2861" t="s">
        <v>3294</v>
      </c>
      <c r="C2861" t="s">
        <v>898</v>
      </c>
      <c r="D2861" t="s">
        <v>314</v>
      </c>
      <c r="E2861" t="s">
        <v>296</v>
      </c>
      <c r="F2861" t="s">
        <v>3306</v>
      </c>
      <c r="G2861">
        <v>13</v>
      </c>
      <c r="H2861">
        <v>1776.06</v>
      </c>
      <c r="I2861">
        <v>136.62</v>
      </c>
      <c r="J2861">
        <v>0</v>
      </c>
      <c r="K2861">
        <v>0</v>
      </c>
      <c r="L2861">
        <v>0</v>
      </c>
      <c r="M2861">
        <v>13</v>
      </c>
      <c r="N2861">
        <v>1776.06</v>
      </c>
      <c r="O2861">
        <v>136.62</v>
      </c>
    </row>
    <row r="2862" spans="1:15" x14ac:dyDescent="0.35">
      <c r="A2862" t="s">
        <v>3293</v>
      </c>
      <c r="B2862" t="s">
        <v>3294</v>
      </c>
      <c r="C2862" t="s">
        <v>898</v>
      </c>
      <c r="D2862" t="s">
        <v>314</v>
      </c>
      <c r="E2862" t="s">
        <v>298</v>
      </c>
      <c r="F2862" t="s">
        <v>3307</v>
      </c>
      <c r="G2862">
        <v>0</v>
      </c>
      <c r="H2862">
        <v>0</v>
      </c>
      <c r="I2862">
        <v>0</v>
      </c>
      <c r="J2862">
        <v>0</v>
      </c>
      <c r="K2862">
        <v>0</v>
      </c>
      <c r="L2862">
        <v>0</v>
      </c>
      <c r="M2862">
        <v>0</v>
      </c>
      <c r="N2862">
        <v>0</v>
      </c>
      <c r="O2862">
        <v>0</v>
      </c>
    </row>
    <row r="2863" spans="1:15" x14ac:dyDescent="0.35">
      <c r="A2863" t="s">
        <v>3293</v>
      </c>
      <c r="B2863" t="s">
        <v>3294</v>
      </c>
      <c r="C2863" t="s">
        <v>898</v>
      </c>
      <c r="D2863" t="s">
        <v>314</v>
      </c>
      <c r="E2863" t="s">
        <v>300</v>
      </c>
      <c r="F2863" t="s">
        <v>3308</v>
      </c>
      <c r="G2863">
        <v>0</v>
      </c>
      <c r="H2863">
        <v>0</v>
      </c>
      <c r="I2863">
        <v>0</v>
      </c>
      <c r="J2863">
        <v>0</v>
      </c>
      <c r="K2863">
        <v>0</v>
      </c>
      <c r="L2863">
        <v>0</v>
      </c>
      <c r="M2863">
        <v>0</v>
      </c>
      <c r="N2863">
        <v>0</v>
      </c>
      <c r="O2863">
        <v>0</v>
      </c>
    </row>
    <row r="2864" spans="1:15" x14ac:dyDescent="0.35">
      <c r="A2864" t="s">
        <v>3293</v>
      </c>
      <c r="B2864" t="s">
        <v>3294</v>
      </c>
      <c r="C2864" t="s">
        <v>898</v>
      </c>
      <c r="D2864" t="s">
        <v>314</v>
      </c>
      <c r="E2864" t="s">
        <v>306</v>
      </c>
      <c r="F2864" t="s">
        <v>3309</v>
      </c>
      <c r="G2864">
        <v>0</v>
      </c>
      <c r="H2864">
        <v>0</v>
      </c>
      <c r="I2864">
        <v>0</v>
      </c>
      <c r="J2864">
        <v>0</v>
      </c>
      <c r="K2864">
        <v>0</v>
      </c>
      <c r="L2864">
        <v>0</v>
      </c>
      <c r="M2864">
        <v>0</v>
      </c>
      <c r="N2864">
        <v>0</v>
      </c>
      <c r="O2864">
        <v>0</v>
      </c>
    </row>
    <row r="2865" spans="1:15" x14ac:dyDescent="0.35">
      <c r="A2865" t="s">
        <v>3293</v>
      </c>
      <c r="B2865" t="s">
        <v>3294</v>
      </c>
      <c r="C2865" t="s">
        <v>898</v>
      </c>
      <c r="D2865" t="s">
        <v>314</v>
      </c>
      <c r="E2865" t="s">
        <v>308</v>
      </c>
      <c r="F2865" t="s">
        <v>3310</v>
      </c>
      <c r="G2865">
        <v>0</v>
      </c>
      <c r="H2865">
        <v>0</v>
      </c>
      <c r="I2865">
        <v>0</v>
      </c>
      <c r="J2865">
        <v>0</v>
      </c>
      <c r="K2865">
        <v>0</v>
      </c>
      <c r="L2865">
        <v>0</v>
      </c>
      <c r="M2865">
        <v>0</v>
      </c>
      <c r="N2865">
        <v>0</v>
      </c>
      <c r="O2865">
        <v>0</v>
      </c>
    </row>
    <row r="2866" spans="1:15" x14ac:dyDescent="0.35">
      <c r="A2866" t="s">
        <v>3293</v>
      </c>
      <c r="B2866" t="s">
        <v>3294</v>
      </c>
      <c r="C2866" t="s">
        <v>898</v>
      </c>
      <c r="D2866" t="s">
        <v>314</v>
      </c>
      <c r="E2866" t="s">
        <v>312</v>
      </c>
      <c r="F2866" t="s">
        <v>3311</v>
      </c>
      <c r="G2866">
        <v>37</v>
      </c>
      <c r="H2866">
        <v>4369.74</v>
      </c>
      <c r="I2866">
        <v>118.1</v>
      </c>
      <c r="J2866">
        <v>0</v>
      </c>
      <c r="K2866">
        <v>0</v>
      </c>
      <c r="L2866">
        <v>0</v>
      </c>
      <c r="M2866">
        <v>37</v>
      </c>
      <c r="N2866">
        <v>4369.74</v>
      </c>
      <c r="O2866">
        <v>118.1</v>
      </c>
    </row>
    <row r="2867" spans="1:15" x14ac:dyDescent="0.35">
      <c r="A2867" t="s">
        <v>3293</v>
      </c>
      <c r="B2867" t="s">
        <v>3294</v>
      </c>
      <c r="C2867" t="s">
        <v>898</v>
      </c>
      <c r="D2867" t="s">
        <v>314</v>
      </c>
      <c r="E2867" t="s">
        <v>310</v>
      </c>
      <c r="F2867" t="s">
        <v>3312</v>
      </c>
      <c r="G2867">
        <v>37</v>
      </c>
      <c r="H2867">
        <v>4369.74</v>
      </c>
      <c r="I2867">
        <v>118.1</v>
      </c>
      <c r="J2867">
        <v>0</v>
      </c>
      <c r="K2867">
        <v>0</v>
      </c>
      <c r="L2867">
        <v>0</v>
      </c>
      <c r="M2867">
        <v>37</v>
      </c>
      <c r="N2867">
        <v>4369.74</v>
      </c>
      <c r="O2867">
        <v>118.1</v>
      </c>
    </row>
    <row r="2868" spans="1:15" x14ac:dyDescent="0.35">
      <c r="A2868" t="s">
        <v>3293</v>
      </c>
      <c r="B2868" t="s">
        <v>3294</v>
      </c>
      <c r="C2868" t="s">
        <v>898</v>
      </c>
      <c r="D2868" t="s">
        <v>323</v>
      </c>
      <c r="E2868" t="s">
        <v>294</v>
      </c>
      <c r="F2868" t="s">
        <v>3313</v>
      </c>
      <c r="G2868">
        <v>782</v>
      </c>
      <c r="H2868">
        <v>71952.180000000008</v>
      </c>
      <c r="I2868">
        <v>92.01</v>
      </c>
      <c r="J2868">
        <v>0</v>
      </c>
      <c r="K2868">
        <v>0</v>
      </c>
      <c r="L2868">
        <v>0</v>
      </c>
      <c r="M2868">
        <v>782</v>
      </c>
      <c r="N2868">
        <v>71952.180000000008</v>
      </c>
      <c r="O2868">
        <v>92.01</v>
      </c>
    </row>
    <row r="2869" spans="1:15" x14ac:dyDescent="0.35">
      <c r="A2869" t="s">
        <v>3293</v>
      </c>
      <c r="B2869" t="s">
        <v>3294</v>
      </c>
      <c r="C2869" t="s">
        <v>898</v>
      </c>
      <c r="D2869" t="s">
        <v>323</v>
      </c>
      <c r="E2869" t="s">
        <v>296</v>
      </c>
      <c r="F2869" t="s">
        <v>3314</v>
      </c>
      <c r="G2869">
        <v>1250</v>
      </c>
      <c r="H2869">
        <v>135459.40000000002</v>
      </c>
      <c r="I2869">
        <v>108.37</v>
      </c>
      <c r="J2869">
        <v>0</v>
      </c>
      <c r="K2869">
        <v>0</v>
      </c>
      <c r="L2869">
        <v>0</v>
      </c>
      <c r="M2869">
        <v>1250</v>
      </c>
      <c r="N2869">
        <v>135459.40000000002</v>
      </c>
      <c r="O2869">
        <v>108.37</v>
      </c>
    </row>
    <row r="2870" spans="1:15" x14ac:dyDescent="0.35">
      <c r="A2870" t="s">
        <v>3293</v>
      </c>
      <c r="B2870" t="s">
        <v>3294</v>
      </c>
      <c r="C2870" t="s">
        <v>898</v>
      </c>
      <c r="D2870" t="s">
        <v>323</v>
      </c>
      <c r="E2870" t="s">
        <v>298</v>
      </c>
      <c r="F2870" t="s">
        <v>3315</v>
      </c>
      <c r="G2870">
        <v>2024</v>
      </c>
      <c r="H2870">
        <v>237357.06000000003</v>
      </c>
      <c r="I2870">
        <v>117.27</v>
      </c>
      <c r="J2870">
        <v>0</v>
      </c>
      <c r="K2870">
        <v>0</v>
      </c>
      <c r="L2870">
        <v>0</v>
      </c>
      <c r="M2870">
        <v>2024</v>
      </c>
      <c r="N2870">
        <v>237357.06000000003</v>
      </c>
      <c r="O2870">
        <v>117.27</v>
      </c>
    </row>
    <row r="2871" spans="1:15" x14ac:dyDescent="0.35">
      <c r="A2871" t="s">
        <v>3293</v>
      </c>
      <c r="B2871" t="s">
        <v>3294</v>
      </c>
      <c r="C2871" t="s">
        <v>898</v>
      </c>
      <c r="D2871" t="s">
        <v>323</v>
      </c>
      <c r="E2871" t="s">
        <v>300</v>
      </c>
      <c r="F2871" t="s">
        <v>3316</v>
      </c>
      <c r="G2871">
        <v>60</v>
      </c>
      <c r="H2871">
        <v>7907.43</v>
      </c>
      <c r="I2871">
        <v>131.79</v>
      </c>
      <c r="J2871">
        <v>0</v>
      </c>
      <c r="K2871">
        <v>0</v>
      </c>
      <c r="L2871">
        <v>0</v>
      </c>
      <c r="M2871">
        <v>60</v>
      </c>
      <c r="N2871">
        <v>7907.43</v>
      </c>
      <c r="O2871">
        <v>131.79</v>
      </c>
    </row>
    <row r="2872" spans="1:15" x14ac:dyDescent="0.35">
      <c r="A2872" t="s">
        <v>3293</v>
      </c>
      <c r="B2872" t="s">
        <v>3294</v>
      </c>
      <c r="C2872" t="s">
        <v>898</v>
      </c>
      <c r="D2872" t="s">
        <v>323</v>
      </c>
      <c r="E2872" t="s">
        <v>302</v>
      </c>
      <c r="F2872" t="s">
        <v>3317</v>
      </c>
      <c r="G2872">
        <v>5</v>
      </c>
      <c r="H2872">
        <v>685.81999999999994</v>
      </c>
      <c r="I2872">
        <v>137.16</v>
      </c>
      <c r="J2872">
        <v>0</v>
      </c>
      <c r="K2872">
        <v>0</v>
      </c>
      <c r="L2872">
        <v>0</v>
      </c>
      <c r="M2872">
        <v>5</v>
      </c>
      <c r="N2872">
        <v>685.81999999999994</v>
      </c>
      <c r="O2872">
        <v>137.16</v>
      </c>
    </row>
    <row r="2873" spans="1:15" x14ac:dyDescent="0.35">
      <c r="A2873" t="s">
        <v>3293</v>
      </c>
      <c r="B2873" t="s">
        <v>3294</v>
      </c>
      <c r="C2873" t="s">
        <v>898</v>
      </c>
      <c r="D2873" t="s">
        <v>323</v>
      </c>
      <c r="E2873" t="s">
        <v>304</v>
      </c>
      <c r="F2873" t="s">
        <v>3318</v>
      </c>
      <c r="G2873">
        <v>2</v>
      </c>
      <c r="H2873">
        <v>308.87</v>
      </c>
      <c r="I2873">
        <v>154.44</v>
      </c>
      <c r="J2873">
        <v>0</v>
      </c>
      <c r="K2873">
        <v>0</v>
      </c>
      <c r="L2873">
        <v>0</v>
      </c>
      <c r="M2873">
        <v>2</v>
      </c>
      <c r="N2873">
        <v>308.87</v>
      </c>
      <c r="O2873">
        <v>154.44</v>
      </c>
    </row>
    <row r="2874" spans="1:15" x14ac:dyDescent="0.35">
      <c r="A2874" t="s">
        <v>3293</v>
      </c>
      <c r="B2874" t="s">
        <v>3294</v>
      </c>
      <c r="C2874" t="s">
        <v>898</v>
      </c>
      <c r="D2874" t="s">
        <v>323</v>
      </c>
      <c r="E2874" t="s">
        <v>306</v>
      </c>
      <c r="F2874" t="s">
        <v>3319</v>
      </c>
      <c r="G2874">
        <v>0</v>
      </c>
      <c r="H2874">
        <v>0</v>
      </c>
      <c r="I2874">
        <v>0</v>
      </c>
      <c r="J2874">
        <v>0</v>
      </c>
      <c r="K2874">
        <v>0</v>
      </c>
      <c r="L2874">
        <v>0</v>
      </c>
      <c r="M2874">
        <v>0</v>
      </c>
      <c r="N2874">
        <v>0</v>
      </c>
      <c r="O2874">
        <v>0</v>
      </c>
    </row>
    <row r="2875" spans="1:15" x14ac:dyDescent="0.35">
      <c r="A2875" t="s">
        <v>3293</v>
      </c>
      <c r="B2875" t="s">
        <v>3294</v>
      </c>
      <c r="C2875" t="s">
        <v>898</v>
      </c>
      <c r="D2875" t="s">
        <v>323</v>
      </c>
      <c r="E2875" t="s">
        <v>308</v>
      </c>
      <c r="F2875" t="s">
        <v>3320</v>
      </c>
      <c r="G2875">
        <v>0</v>
      </c>
      <c r="H2875">
        <v>0</v>
      </c>
      <c r="I2875">
        <v>0</v>
      </c>
      <c r="J2875">
        <v>0</v>
      </c>
      <c r="K2875">
        <v>0</v>
      </c>
      <c r="L2875">
        <v>0</v>
      </c>
      <c r="M2875">
        <v>0</v>
      </c>
      <c r="N2875">
        <v>0</v>
      </c>
      <c r="O2875">
        <v>0</v>
      </c>
    </row>
    <row r="2876" spans="1:15" x14ac:dyDescent="0.35">
      <c r="A2876" t="s">
        <v>3293</v>
      </c>
      <c r="B2876" t="s">
        <v>3294</v>
      </c>
      <c r="C2876" t="s">
        <v>898</v>
      </c>
      <c r="D2876" t="s">
        <v>323</v>
      </c>
      <c r="E2876" t="s">
        <v>310</v>
      </c>
      <c r="F2876" t="s">
        <v>3321</v>
      </c>
      <c r="G2876">
        <v>4123</v>
      </c>
      <c r="H2876">
        <v>453670.76</v>
      </c>
      <c r="I2876">
        <v>110.03</v>
      </c>
      <c r="J2876">
        <v>0</v>
      </c>
      <c r="K2876">
        <v>0</v>
      </c>
      <c r="L2876">
        <v>0</v>
      </c>
      <c r="M2876">
        <v>4123</v>
      </c>
      <c r="N2876">
        <v>453670.76</v>
      </c>
      <c r="O2876">
        <v>110.03</v>
      </c>
    </row>
    <row r="2877" spans="1:15" x14ac:dyDescent="0.35">
      <c r="A2877" t="s">
        <v>3293</v>
      </c>
      <c r="B2877" t="s">
        <v>3294</v>
      </c>
      <c r="C2877" t="s">
        <v>898</v>
      </c>
      <c r="D2877" t="s">
        <v>323</v>
      </c>
      <c r="E2877" t="s">
        <v>312</v>
      </c>
      <c r="F2877" t="s">
        <v>3322</v>
      </c>
      <c r="G2877">
        <v>4123</v>
      </c>
      <c r="H2877">
        <v>453670.76</v>
      </c>
      <c r="I2877">
        <v>110.03</v>
      </c>
      <c r="J2877">
        <v>0</v>
      </c>
      <c r="K2877">
        <v>0</v>
      </c>
      <c r="L2877">
        <v>0</v>
      </c>
      <c r="M2877">
        <v>4123</v>
      </c>
      <c r="N2877">
        <v>453670.76</v>
      </c>
      <c r="O2877">
        <v>110.03</v>
      </c>
    </row>
    <row r="2878" spans="1:15" x14ac:dyDescent="0.35">
      <c r="A2878" t="s">
        <v>3293</v>
      </c>
      <c r="B2878" t="s">
        <v>3294</v>
      </c>
      <c r="C2878" t="s">
        <v>898</v>
      </c>
      <c r="D2878" t="s">
        <v>334</v>
      </c>
      <c r="E2878" t="s">
        <v>312</v>
      </c>
      <c r="F2878" t="s">
        <v>3323</v>
      </c>
      <c r="G2878">
        <v>4760</v>
      </c>
      <c r="H2878">
        <v>527808.08000000007</v>
      </c>
      <c r="I2878">
        <v>112.64</v>
      </c>
      <c r="J2878">
        <v>0</v>
      </c>
      <c r="K2878">
        <v>0</v>
      </c>
      <c r="L2878">
        <v>0</v>
      </c>
      <c r="M2878">
        <v>4760</v>
      </c>
      <c r="N2878">
        <v>527808.08000000007</v>
      </c>
      <c r="O2878">
        <v>112.64</v>
      </c>
    </row>
    <row r="2879" spans="1:15" x14ac:dyDescent="0.35">
      <c r="A2879" t="s">
        <v>3293</v>
      </c>
      <c r="B2879" t="s">
        <v>3294</v>
      </c>
      <c r="C2879" t="s">
        <v>898</v>
      </c>
      <c r="D2879" t="s">
        <v>334</v>
      </c>
      <c r="E2879" t="s">
        <v>308</v>
      </c>
      <c r="F2879" t="s">
        <v>3324</v>
      </c>
      <c r="G2879">
        <v>0</v>
      </c>
      <c r="H2879">
        <v>0</v>
      </c>
      <c r="I2879">
        <v>0</v>
      </c>
      <c r="J2879">
        <v>0</v>
      </c>
      <c r="K2879">
        <v>0</v>
      </c>
      <c r="L2879">
        <v>0</v>
      </c>
      <c r="M2879">
        <v>0</v>
      </c>
      <c r="N2879">
        <v>0</v>
      </c>
      <c r="O2879">
        <v>0</v>
      </c>
    </row>
    <row r="2880" spans="1:15" x14ac:dyDescent="0.35">
      <c r="A2880" t="s">
        <v>3293</v>
      </c>
      <c r="B2880" t="s">
        <v>3294</v>
      </c>
      <c r="C2880" t="s">
        <v>898</v>
      </c>
      <c r="D2880" t="s">
        <v>337</v>
      </c>
      <c r="E2880" t="s">
        <v>337</v>
      </c>
      <c r="F2880" t="s">
        <v>3325</v>
      </c>
      <c r="G2880">
        <v>229</v>
      </c>
      <c r="J2880">
        <v>0</v>
      </c>
      <c r="M2880">
        <v>229</v>
      </c>
    </row>
    <row r="2881" spans="1:15" x14ac:dyDescent="0.35">
      <c r="A2881" t="s">
        <v>3293</v>
      </c>
      <c r="B2881" t="s">
        <v>3294</v>
      </c>
      <c r="C2881" t="s">
        <v>898</v>
      </c>
      <c r="D2881" t="s">
        <v>339</v>
      </c>
      <c r="E2881" t="s">
        <v>294</v>
      </c>
      <c r="F2881" t="s">
        <v>3326</v>
      </c>
      <c r="G2881">
        <v>1516</v>
      </c>
      <c r="H2881">
        <v>152266.32</v>
      </c>
      <c r="I2881">
        <v>100.44</v>
      </c>
      <c r="J2881">
        <v>0</v>
      </c>
      <c r="K2881">
        <v>0</v>
      </c>
      <c r="L2881">
        <v>0</v>
      </c>
      <c r="M2881">
        <v>1516</v>
      </c>
      <c r="N2881">
        <v>152266.32</v>
      </c>
      <c r="O2881">
        <v>100.44</v>
      </c>
    </row>
    <row r="2882" spans="1:15" x14ac:dyDescent="0.35">
      <c r="A2882" t="s">
        <v>3293</v>
      </c>
      <c r="B2882" t="s">
        <v>3294</v>
      </c>
      <c r="C2882" t="s">
        <v>898</v>
      </c>
      <c r="D2882" t="s">
        <v>339</v>
      </c>
      <c r="E2882" t="s">
        <v>296</v>
      </c>
      <c r="F2882" t="s">
        <v>3327</v>
      </c>
      <c r="G2882">
        <v>441</v>
      </c>
      <c r="H2882">
        <v>51526.98</v>
      </c>
      <c r="I2882">
        <v>116.84</v>
      </c>
      <c r="J2882">
        <v>0</v>
      </c>
      <c r="K2882">
        <v>0</v>
      </c>
      <c r="L2882">
        <v>0</v>
      </c>
      <c r="M2882">
        <v>441</v>
      </c>
      <c r="N2882">
        <v>51526.98</v>
      </c>
      <c r="O2882">
        <v>116.84</v>
      </c>
    </row>
    <row r="2883" spans="1:15" x14ac:dyDescent="0.35">
      <c r="A2883" t="s">
        <v>3293</v>
      </c>
      <c r="B2883" t="s">
        <v>3294</v>
      </c>
      <c r="C2883" t="s">
        <v>898</v>
      </c>
      <c r="D2883" t="s">
        <v>339</v>
      </c>
      <c r="E2883" t="s">
        <v>298</v>
      </c>
      <c r="F2883" t="s">
        <v>3328</v>
      </c>
      <c r="G2883">
        <v>13</v>
      </c>
      <c r="H2883">
        <v>1594.92</v>
      </c>
      <c r="I2883">
        <v>122.69</v>
      </c>
      <c r="J2883">
        <v>0</v>
      </c>
      <c r="K2883">
        <v>0</v>
      </c>
      <c r="L2883">
        <v>0</v>
      </c>
      <c r="M2883">
        <v>13</v>
      </c>
      <c r="N2883">
        <v>1594.92</v>
      </c>
      <c r="O2883">
        <v>122.69</v>
      </c>
    </row>
    <row r="2884" spans="1:15" x14ac:dyDescent="0.35">
      <c r="A2884" t="s">
        <v>3293</v>
      </c>
      <c r="B2884" t="s">
        <v>3294</v>
      </c>
      <c r="C2884" t="s">
        <v>898</v>
      </c>
      <c r="D2884" t="s">
        <v>339</v>
      </c>
      <c r="E2884" t="s">
        <v>300</v>
      </c>
      <c r="F2884" t="s">
        <v>3329</v>
      </c>
      <c r="G2884">
        <v>1</v>
      </c>
      <c r="H2884">
        <v>125.64</v>
      </c>
      <c r="I2884">
        <v>125.64</v>
      </c>
      <c r="J2884">
        <v>0</v>
      </c>
      <c r="K2884">
        <v>0</v>
      </c>
      <c r="L2884">
        <v>0</v>
      </c>
      <c r="M2884">
        <v>1</v>
      </c>
      <c r="N2884">
        <v>125.64</v>
      </c>
      <c r="O2884">
        <v>125.64</v>
      </c>
    </row>
    <row r="2885" spans="1:15" x14ac:dyDescent="0.35">
      <c r="A2885" t="s">
        <v>3293</v>
      </c>
      <c r="B2885" t="s">
        <v>3294</v>
      </c>
      <c r="C2885" t="s">
        <v>898</v>
      </c>
      <c r="D2885" t="s">
        <v>339</v>
      </c>
      <c r="E2885" t="s">
        <v>306</v>
      </c>
      <c r="F2885" t="s">
        <v>3330</v>
      </c>
      <c r="G2885">
        <v>0</v>
      </c>
      <c r="H2885">
        <v>0</v>
      </c>
      <c r="I2885">
        <v>0</v>
      </c>
      <c r="J2885">
        <v>0</v>
      </c>
      <c r="K2885">
        <v>0</v>
      </c>
      <c r="L2885">
        <v>0</v>
      </c>
      <c r="M2885">
        <v>0</v>
      </c>
      <c r="N2885">
        <v>0</v>
      </c>
      <c r="O2885">
        <v>0</v>
      </c>
    </row>
    <row r="2886" spans="1:15" x14ac:dyDescent="0.35">
      <c r="A2886" t="s">
        <v>3293</v>
      </c>
      <c r="B2886" t="s">
        <v>3294</v>
      </c>
      <c r="C2886" t="s">
        <v>898</v>
      </c>
      <c r="D2886" t="s">
        <v>339</v>
      </c>
      <c r="E2886" t="s">
        <v>308</v>
      </c>
      <c r="F2886" t="s">
        <v>3331</v>
      </c>
      <c r="G2886">
        <v>17</v>
      </c>
      <c r="H2886">
        <v>2081.2300000000005</v>
      </c>
      <c r="I2886">
        <v>122.43</v>
      </c>
      <c r="J2886">
        <v>0</v>
      </c>
      <c r="K2886">
        <v>0</v>
      </c>
      <c r="L2886">
        <v>0</v>
      </c>
      <c r="M2886">
        <v>17</v>
      </c>
      <c r="N2886">
        <v>2081.2300000000005</v>
      </c>
      <c r="O2886">
        <v>122.43</v>
      </c>
    </row>
    <row r="2887" spans="1:15" x14ac:dyDescent="0.35">
      <c r="A2887" t="s">
        <v>3293</v>
      </c>
      <c r="B2887" t="s">
        <v>3294</v>
      </c>
      <c r="C2887" t="s">
        <v>898</v>
      </c>
      <c r="D2887" t="s">
        <v>339</v>
      </c>
      <c r="E2887" t="s">
        <v>310</v>
      </c>
      <c r="F2887" t="s">
        <v>3332</v>
      </c>
      <c r="G2887">
        <v>1988</v>
      </c>
      <c r="H2887">
        <v>207595.09000000005</v>
      </c>
      <c r="I2887">
        <v>104.42</v>
      </c>
      <c r="J2887">
        <v>0</v>
      </c>
      <c r="K2887">
        <v>0</v>
      </c>
      <c r="L2887">
        <v>0</v>
      </c>
      <c r="M2887">
        <v>1988</v>
      </c>
      <c r="N2887">
        <v>207595.09000000005</v>
      </c>
      <c r="O2887">
        <v>104.42</v>
      </c>
    </row>
    <row r="2888" spans="1:15" x14ac:dyDescent="0.35">
      <c r="A2888" t="s">
        <v>3293</v>
      </c>
      <c r="B2888" t="s">
        <v>3294</v>
      </c>
      <c r="C2888" t="s">
        <v>898</v>
      </c>
      <c r="D2888" t="s">
        <v>339</v>
      </c>
      <c r="E2888" t="s">
        <v>312</v>
      </c>
      <c r="F2888" t="s">
        <v>3333</v>
      </c>
      <c r="G2888">
        <v>1971</v>
      </c>
      <c r="H2888">
        <v>205513.86000000004</v>
      </c>
      <c r="I2888">
        <v>104.27</v>
      </c>
      <c r="J2888">
        <v>0</v>
      </c>
      <c r="K2888">
        <v>0</v>
      </c>
      <c r="L2888">
        <v>0</v>
      </c>
      <c r="M2888">
        <v>1971</v>
      </c>
      <c r="N2888">
        <v>205513.86000000004</v>
      </c>
      <c r="O2888">
        <v>104.27</v>
      </c>
    </row>
    <row r="2889" spans="1:15" x14ac:dyDescent="0.35">
      <c r="A2889" t="s">
        <v>3293</v>
      </c>
      <c r="B2889" t="s">
        <v>3294</v>
      </c>
      <c r="C2889" t="s">
        <v>898</v>
      </c>
      <c r="D2889" t="s">
        <v>348</v>
      </c>
      <c r="E2889" t="s">
        <v>349</v>
      </c>
      <c r="F2889" t="s">
        <v>3334</v>
      </c>
      <c r="G2889">
        <v>2029</v>
      </c>
      <c r="H2889">
        <v>211964.83000000005</v>
      </c>
      <c r="I2889">
        <v>104.67</v>
      </c>
      <c r="J2889">
        <v>0</v>
      </c>
      <c r="K2889">
        <v>0</v>
      </c>
      <c r="L2889">
        <v>0</v>
      </c>
      <c r="M2889">
        <v>2029</v>
      </c>
      <c r="N2889">
        <v>211964.83000000005</v>
      </c>
      <c r="O2889">
        <v>104.67</v>
      </c>
    </row>
    <row r="2890" spans="1:15" x14ac:dyDescent="0.35">
      <c r="A2890" t="s">
        <v>3335</v>
      </c>
      <c r="B2890" t="s">
        <v>3336</v>
      </c>
      <c r="C2890" t="s">
        <v>898</v>
      </c>
      <c r="D2890" t="s">
        <v>293</v>
      </c>
      <c r="E2890" t="s">
        <v>294</v>
      </c>
      <c r="F2890" t="s">
        <v>3337</v>
      </c>
      <c r="G2890">
        <v>60</v>
      </c>
      <c r="H2890">
        <v>7113.3600000000006</v>
      </c>
      <c r="I2890">
        <v>118.56</v>
      </c>
      <c r="J2890">
        <v>0</v>
      </c>
      <c r="K2890">
        <v>0</v>
      </c>
      <c r="L2890">
        <v>0</v>
      </c>
      <c r="M2890">
        <v>60</v>
      </c>
      <c r="N2890">
        <v>7113.3600000000006</v>
      </c>
      <c r="O2890">
        <v>118.56</v>
      </c>
    </row>
    <row r="2891" spans="1:15" x14ac:dyDescent="0.35">
      <c r="A2891" t="s">
        <v>3335</v>
      </c>
      <c r="B2891" t="s">
        <v>3336</v>
      </c>
      <c r="C2891" t="s">
        <v>898</v>
      </c>
      <c r="D2891" t="s">
        <v>293</v>
      </c>
      <c r="E2891" t="s">
        <v>296</v>
      </c>
      <c r="F2891" t="s">
        <v>3338</v>
      </c>
      <c r="G2891">
        <v>196</v>
      </c>
      <c r="H2891">
        <v>26938.12</v>
      </c>
      <c r="I2891">
        <v>137.44</v>
      </c>
      <c r="J2891">
        <v>0</v>
      </c>
      <c r="K2891">
        <v>0</v>
      </c>
      <c r="L2891">
        <v>0</v>
      </c>
      <c r="M2891">
        <v>196</v>
      </c>
      <c r="N2891">
        <v>26938.12</v>
      </c>
      <c r="O2891">
        <v>137.44</v>
      </c>
    </row>
    <row r="2892" spans="1:15" x14ac:dyDescent="0.35">
      <c r="A2892" t="s">
        <v>3335</v>
      </c>
      <c r="B2892" t="s">
        <v>3336</v>
      </c>
      <c r="C2892" t="s">
        <v>898</v>
      </c>
      <c r="D2892" t="s">
        <v>293</v>
      </c>
      <c r="E2892" t="s">
        <v>298</v>
      </c>
      <c r="F2892" t="s">
        <v>3339</v>
      </c>
      <c r="G2892">
        <v>131</v>
      </c>
      <c r="H2892">
        <v>21301.52</v>
      </c>
      <c r="I2892">
        <v>162.61000000000001</v>
      </c>
      <c r="J2892">
        <v>0</v>
      </c>
      <c r="K2892">
        <v>0</v>
      </c>
      <c r="L2892">
        <v>0</v>
      </c>
      <c r="M2892">
        <v>131</v>
      </c>
      <c r="N2892">
        <v>21301.52</v>
      </c>
      <c r="O2892">
        <v>162.61000000000001</v>
      </c>
    </row>
    <row r="2893" spans="1:15" x14ac:dyDescent="0.35">
      <c r="A2893" t="s">
        <v>3335</v>
      </c>
      <c r="B2893" t="s">
        <v>3336</v>
      </c>
      <c r="C2893" t="s">
        <v>898</v>
      </c>
      <c r="D2893" t="s">
        <v>293</v>
      </c>
      <c r="E2893" t="s">
        <v>300</v>
      </c>
      <c r="F2893" t="s">
        <v>3340</v>
      </c>
      <c r="G2893">
        <v>3</v>
      </c>
      <c r="H2893">
        <v>602.06000000000006</v>
      </c>
      <c r="I2893">
        <v>200.69</v>
      </c>
      <c r="J2893">
        <v>0</v>
      </c>
      <c r="K2893">
        <v>0</v>
      </c>
      <c r="L2893">
        <v>0</v>
      </c>
      <c r="M2893">
        <v>3</v>
      </c>
      <c r="N2893">
        <v>602.06000000000006</v>
      </c>
      <c r="O2893">
        <v>200.69</v>
      </c>
    </row>
    <row r="2894" spans="1:15" x14ac:dyDescent="0.35">
      <c r="A2894" t="s">
        <v>3335</v>
      </c>
      <c r="B2894" t="s">
        <v>3336</v>
      </c>
      <c r="C2894" t="s">
        <v>898</v>
      </c>
      <c r="D2894" t="s">
        <v>293</v>
      </c>
      <c r="E2894" t="s">
        <v>302</v>
      </c>
      <c r="F2894" t="s">
        <v>3341</v>
      </c>
      <c r="G2894">
        <v>0</v>
      </c>
      <c r="H2894">
        <v>0</v>
      </c>
      <c r="I2894">
        <v>0</v>
      </c>
      <c r="J2894">
        <v>0</v>
      </c>
      <c r="K2894">
        <v>0</v>
      </c>
      <c r="L2894">
        <v>0</v>
      </c>
      <c r="M2894">
        <v>0</v>
      </c>
      <c r="N2894">
        <v>0</v>
      </c>
      <c r="O2894">
        <v>0</v>
      </c>
    </row>
    <row r="2895" spans="1:15" x14ac:dyDescent="0.35">
      <c r="A2895" t="s">
        <v>3335</v>
      </c>
      <c r="B2895" t="s">
        <v>3336</v>
      </c>
      <c r="C2895" t="s">
        <v>898</v>
      </c>
      <c r="D2895" t="s">
        <v>293</v>
      </c>
      <c r="E2895" t="s">
        <v>304</v>
      </c>
      <c r="F2895" t="s">
        <v>3342</v>
      </c>
      <c r="G2895">
        <v>0</v>
      </c>
      <c r="H2895">
        <v>0</v>
      </c>
      <c r="I2895">
        <v>0</v>
      </c>
      <c r="J2895">
        <v>0</v>
      </c>
      <c r="K2895">
        <v>0</v>
      </c>
      <c r="L2895">
        <v>0</v>
      </c>
      <c r="M2895">
        <v>0</v>
      </c>
      <c r="N2895">
        <v>0</v>
      </c>
      <c r="O2895">
        <v>0</v>
      </c>
    </row>
    <row r="2896" spans="1:15" x14ac:dyDescent="0.35">
      <c r="A2896" t="s">
        <v>3335</v>
      </c>
      <c r="B2896" t="s">
        <v>3336</v>
      </c>
      <c r="C2896" t="s">
        <v>898</v>
      </c>
      <c r="D2896" t="s">
        <v>293</v>
      </c>
      <c r="E2896" t="s">
        <v>306</v>
      </c>
      <c r="F2896" t="s">
        <v>3343</v>
      </c>
      <c r="G2896">
        <v>0</v>
      </c>
      <c r="H2896">
        <v>0</v>
      </c>
      <c r="I2896">
        <v>0</v>
      </c>
      <c r="J2896">
        <v>0</v>
      </c>
      <c r="K2896">
        <v>0</v>
      </c>
      <c r="L2896">
        <v>0</v>
      </c>
      <c r="M2896">
        <v>0</v>
      </c>
      <c r="N2896">
        <v>0</v>
      </c>
      <c r="O2896">
        <v>0</v>
      </c>
    </row>
    <row r="2897" spans="1:15" x14ac:dyDescent="0.35">
      <c r="A2897" t="s">
        <v>3335</v>
      </c>
      <c r="B2897" t="s">
        <v>3336</v>
      </c>
      <c r="C2897" t="s">
        <v>898</v>
      </c>
      <c r="D2897" t="s">
        <v>293</v>
      </c>
      <c r="E2897" t="s">
        <v>308</v>
      </c>
      <c r="F2897" t="s">
        <v>3344</v>
      </c>
      <c r="G2897">
        <v>0</v>
      </c>
      <c r="H2897">
        <v>0</v>
      </c>
      <c r="I2897">
        <v>0</v>
      </c>
      <c r="J2897">
        <v>0</v>
      </c>
      <c r="K2897">
        <v>0</v>
      </c>
      <c r="L2897">
        <v>0</v>
      </c>
      <c r="M2897">
        <v>0</v>
      </c>
      <c r="N2897">
        <v>0</v>
      </c>
      <c r="O2897">
        <v>0</v>
      </c>
    </row>
    <row r="2898" spans="1:15" x14ac:dyDescent="0.35">
      <c r="A2898" t="s">
        <v>3335</v>
      </c>
      <c r="B2898" t="s">
        <v>3336</v>
      </c>
      <c r="C2898" t="s">
        <v>898</v>
      </c>
      <c r="D2898" t="s">
        <v>293</v>
      </c>
      <c r="E2898" t="s">
        <v>310</v>
      </c>
      <c r="F2898" t="s">
        <v>3345</v>
      </c>
      <c r="G2898">
        <v>390</v>
      </c>
      <c r="H2898">
        <v>55955.06</v>
      </c>
      <c r="I2898">
        <v>143.47</v>
      </c>
      <c r="J2898">
        <v>0</v>
      </c>
      <c r="K2898">
        <v>0</v>
      </c>
      <c r="L2898">
        <v>0</v>
      </c>
      <c r="M2898">
        <v>390</v>
      </c>
      <c r="N2898">
        <v>55955.06</v>
      </c>
      <c r="O2898">
        <v>143.47</v>
      </c>
    </row>
    <row r="2899" spans="1:15" x14ac:dyDescent="0.35">
      <c r="A2899" t="s">
        <v>3335</v>
      </c>
      <c r="B2899" t="s">
        <v>3336</v>
      </c>
      <c r="C2899" t="s">
        <v>898</v>
      </c>
      <c r="D2899" t="s">
        <v>293</v>
      </c>
      <c r="E2899" t="s">
        <v>312</v>
      </c>
      <c r="F2899" t="s">
        <v>3346</v>
      </c>
      <c r="G2899">
        <v>390</v>
      </c>
      <c r="H2899">
        <v>55955.06</v>
      </c>
      <c r="I2899">
        <v>143.47</v>
      </c>
      <c r="J2899">
        <v>0</v>
      </c>
      <c r="K2899">
        <v>0</v>
      </c>
      <c r="L2899">
        <v>0</v>
      </c>
      <c r="M2899">
        <v>390</v>
      </c>
      <c r="N2899">
        <v>55955.06</v>
      </c>
      <c r="O2899">
        <v>143.47</v>
      </c>
    </row>
    <row r="2900" spans="1:15" x14ac:dyDescent="0.35">
      <c r="A2900" t="s">
        <v>3335</v>
      </c>
      <c r="B2900" t="s">
        <v>3336</v>
      </c>
      <c r="C2900" t="s">
        <v>898</v>
      </c>
      <c r="D2900" t="s">
        <v>314</v>
      </c>
      <c r="E2900" t="s">
        <v>294</v>
      </c>
      <c r="F2900" t="s">
        <v>3347</v>
      </c>
      <c r="G2900">
        <v>0</v>
      </c>
      <c r="H2900">
        <v>0</v>
      </c>
      <c r="I2900">
        <v>0</v>
      </c>
      <c r="J2900">
        <v>0</v>
      </c>
      <c r="K2900">
        <v>0</v>
      </c>
      <c r="L2900">
        <v>0</v>
      </c>
      <c r="M2900">
        <v>0</v>
      </c>
      <c r="N2900">
        <v>0</v>
      </c>
      <c r="O2900">
        <v>0</v>
      </c>
    </row>
    <row r="2901" spans="1:15" x14ac:dyDescent="0.35">
      <c r="A2901" t="s">
        <v>3335</v>
      </c>
      <c r="B2901" t="s">
        <v>3336</v>
      </c>
      <c r="C2901" t="s">
        <v>898</v>
      </c>
      <c r="D2901" t="s">
        <v>314</v>
      </c>
      <c r="E2901" t="s">
        <v>296</v>
      </c>
      <c r="F2901" t="s">
        <v>3348</v>
      </c>
      <c r="G2901">
        <v>0</v>
      </c>
      <c r="H2901">
        <v>0</v>
      </c>
      <c r="I2901">
        <v>0</v>
      </c>
      <c r="J2901">
        <v>0</v>
      </c>
      <c r="K2901">
        <v>0</v>
      </c>
      <c r="L2901">
        <v>0</v>
      </c>
      <c r="M2901">
        <v>0</v>
      </c>
      <c r="N2901">
        <v>0</v>
      </c>
      <c r="O2901">
        <v>0</v>
      </c>
    </row>
    <row r="2902" spans="1:15" x14ac:dyDescent="0.35">
      <c r="A2902" t="s">
        <v>3335</v>
      </c>
      <c r="B2902" t="s">
        <v>3336</v>
      </c>
      <c r="C2902" t="s">
        <v>898</v>
      </c>
      <c r="D2902" t="s">
        <v>314</v>
      </c>
      <c r="E2902" t="s">
        <v>298</v>
      </c>
      <c r="F2902" t="s">
        <v>3349</v>
      </c>
      <c r="G2902">
        <v>0</v>
      </c>
      <c r="H2902">
        <v>0</v>
      </c>
      <c r="I2902">
        <v>0</v>
      </c>
      <c r="J2902">
        <v>0</v>
      </c>
      <c r="K2902">
        <v>0</v>
      </c>
      <c r="L2902">
        <v>0</v>
      </c>
      <c r="M2902">
        <v>0</v>
      </c>
      <c r="N2902">
        <v>0</v>
      </c>
      <c r="O2902">
        <v>0</v>
      </c>
    </row>
    <row r="2903" spans="1:15" x14ac:dyDescent="0.35">
      <c r="A2903" t="s">
        <v>3335</v>
      </c>
      <c r="B2903" t="s">
        <v>3336</v>
      </c>
      <c r="C2903" t="s">
        <v>898</v>
      </c>
      <c r="D2903" t="s">
        <v>314</v>
      </c>
      <c r="E2903" t="s">
        <v>300</v>
      </c>
      <c r="F2903" t="s">
        <v>3350</v>
      </c>
      <c r="G2903">
        <v>0</v>
      </c>
      <c r="H2903">
        <v>0</v>
      </c>
      <c r="I2903">
        <v>0</v>
      </c>
      <c r="J2903">
        <v>0</v>
      </c>
      <c r="K2903">
        <v>0</v>
      </c>
      <c r="L2903">
        <v>0</v>
      </c>
      <c r="M2903">
        <v>0</v>
      </c>
      <c r="N2903">
        <v>0</v>
      </c>
      <c r="O2903">
        <v>0</v>
      </c>
    </row>
    <row r="2904" spans="1:15" x14ac:dyDescent="0.35">
      <c r="A2904" t="s">
        <v>3335</v>
      </c>
      <c r="B2904" t="s">
        <v>3336</v>
      </c>
      <c r="C2904" t="s">
        <v>898</v>
      </c>
      <c r="D2904" t="s">
        <v>314</v>
      </c>
      <c r="E2904" t="s">
        <v>306</v>
      </c>
      <c r="F2904" t="s">
        <v>3351</v>
      </c>
      <c r="G2904">
        <v>0</v>
      </c>
      <c r="H2904">
        <v>0</v>
      </c>
      <c r="I2904">
        <v>0</v>
      </c>
      <c r="J2904">
        <v>0</v>
      </c>
      <c r="K2904">
        <v>0</v>
      </c>
      <c r="L2904">
        <v>0</v>
      </c>
      <c r="M2904">
        <v>0</v>
      </c>
      <c r="N2904">
        <v>0</v>
      </c>
      <c r="O2904">
        <v>0</v>
      </c>
    </row>
    <row r="2905" spans="1:15" x14ac:dyDescent="0.35">
      <c r="A2905" t="s">
        <v>3335</v>
      </c>
      <c r="B2905" t="s">
        <v>3336</v>
      </c>
      <c r="C2905" t="s">
        <v>898</v>
      </c>
      <c r="D2905" t="s">
        <v>314</v>
      </c>
      <c r="E2905" t="s">
        <v>308</v>
      </c>
      <c r="F2905" t="s">
        <v>3352</v>
      </c>
      <c r="G2905">
        <v>0</v>
      </c>
      <c r="H2905">
        <v>0</v>
      </c>
      <c r="I2905">
        <v>0</v>
      </c>
      <c r="J2905">
        <v>0</v>
      </c>
      <c r="K2905">
        <v>0</v>
      </c>
      <c r="L2905">
        <v>0</v>
      </c>
      <c r="M2905">
        <v>0</v>
      </c>
      <c r="N2905">
        <v>0</v>
      </c>
      <c r="O2905">
        <v>0</v>
      </c>
    </row>
    <row r="2906" spans="1:15" x14ac:dyDescent="0.35">
      <c r="A2906" t="s">
        <v>3335</v>
      </c>
      <c r="B2906" t="s">
        <v>3336</v>
      </c>
      <c r="C2906" t="s">
        <v>898</v>
      </c>
      <c r="D2906" t="s">
        <v>314</v>
      </c>
      <c r="E2906" t="s">
        <v>312</v>
      </c>
      <c r="F2906" t="s">
        <v>3353</v>
      </c>
      <c r="G2906">
        <v>0</v>
      </c>
      <c r="H2906">
        <v>0</v>
      </c>
      <c r="I2906">
        <v>0</v>
      </c>
      <c r="J2906">
        <v>0</v>
      </c>
      <c r="K2906">
        <v>0</v>
      </c>
      <c r="L2906">
        <v>0</v>
      </c>
      <c r="M2906">
        <v>0</v>
      </c>
      <c r="N2906">
        <v>0</v>
      </c>
      <c r="O2906">
        <v>0</v>
      </c>
    </row>
    <row r="2907" spans="1:15" x14ac:dyDescent="0.35">
      <c r="A2907" t="s">
        <v>3335</v>
      </c>
      <c r="B2907" t="s">
        <v>3336</v>
      </c>
      <c r="C2907" t="s">
        <v>898</v>
      </c>
      <c r="D2907" t="s">
        <v>314</v>
      </c>
      <c r="E2907" t="s">
        <v>310</v>
      </c>
      <c r="F2907" t="s">
        <v>3354</v>
      </c>
      <c r="G2907">
        <v>0</v>
      </c>
      <c r="H2907">
        <v>0</v>
      </c>
      <c r="I2907">
        <v>0</v>
      </c>
      <c r="J2907">
        <v>0</v>
      </c>
      <c r="K2907">
        <v>0</v>
      </c>
      <c r="L2907">
        <v>0</v>
      </c>
      <c r="M2907">
        <v>0</v>
      </c>
      <c r="N2907">
        <v>0</v>
      </c>
      <c r="O2907">
        <v>0</v>
      </c>
    </row>
    <row r="2908" spans="1:15" x14ac:dyDescent="0.35">
      <c r="A2908" t="s">
        <v>3335</v>
      </c>
      <c r="B2908" t="s">
        <v>3336</v>
      </c>
      <c r="C2908" t="s">
        <v>898</v>
      </c>
      <c r="D2908" t="s">
        <v>323</v>
      </c>
      <c r="E2908" t="s">
        <v>294</v>
      </c>
      <c r="F2908" t="s">
        <v>3355</v>
      </c>
      <c r="G2908">
        <v>174</v>
      </c>
      <c r="H2908">
        <v>17509.060000000001</v>
      </c>
      <c r="I2908">
        <v>100.63</v>
      </c>
      <c r="J2908">
        <v>1132</v>
      </c>
      <c r="K2908">
        <v>88307.32</v>
      </c>
      <c r="L2908">
        <v>78.010000000000005</v>
      </c>
      <c r="M2908">
        <v>1306</v>
      </c>
      <c r="N2908">
        <v>105816.38</v>
      </c>
      <c r="O2908">
        <v>81.02</v>
      </c>
    </row>
    <row r="2909" spans="1:15" x14ac:dyDescent="0.35">
      <c r="A2909" t="s">
        <v>3335</v>
      </c>
      <c r="B2909" t="s">
        <v>3336</v>
      </c>
      <c r="C2909" t="s">
        <v>898</v>
      </c>
      <c r="D2909" t="s">
        <v>323</v>
      </c>
      <c r="E2909" t="s">
        <v>296</v>
      </c>
      <c r="F2909" t="s">
        <v>3356</v>
      </c>
      <c r="G2909">
        <v>334</v>
      </c>
      <c r="H2909">
        <v>38540.910000000003</v>
      </c>
      <c r="I2909">
        <v>115.39</v>
      </c>
      <c r="J2909">
        <v>1166</v>
      </c>
      <c r="K2909">
        <v>98923.44</v>
      </c>
      <c r="L2909">
        <v>84.84</v>
      </c>
      <c r="M2909">
        <v>1500</v>
      </c>
      <c r="N2909">
        <v>137464.35</v>
      </c>
      <c r="O2909">
        <v>91.64</v>
      </c>
    </row>
    <row r="2910" spans="1:15" x14ac:dyDescent="0.35">
      <c r="A2910" t="s">
        <v>3335</v>
      </c>
      <c r="B2910" t="s">
        <v>3336</v>
      </c>
      <c r="C2910" t="s">
        <v>898</v>
      </c>
      <c r="D2910" t="s">
        <v>323</v>
      </c>
      <c r="E2910" t="s">
        <v>298</v>
      </c>
      <c r="F2910" t="s">
        <v>3357</v>
      </c>
      <c r="G2910">
        <v>276</v>
      </c>
      <c r="H2910">
        <v>36288.410000000003</v>
      </c>
      <c r="I2910">
        <v>131.47999999999999</v>
      </c>
      <c r="J2910">
        <v>1127</v>
      </c>
      <c r="K2910">
        <v>105374.5</v>
      </c>
      <c r="L2910">
        <v>93.5</v>
      </c>
      <c r="M2910">
        <v>1403</v>
      </c>
      <c r="N2910">
        <v>141662.91</v>
      </c>
      <c r="O2910">
        <v>100.97</v>
      </c>
    </row>
    <row r="2911" spans="1:15" x14ac:dyDescent="0.35">
      <c r="A2911" t="s">
        <v>3335</v>
      </c>
      <c r="B2911" t="s">
        <v>3336</v>
      </c>
      <c r="C2911" t="s">
        <v>898</v>
      </c>
      <c r="D2911" t="s">
        <v>323</v>
      </c>
      <c r="E2911" t="s">
        <v>300</v>
      </c>
      <c r="F2911" t="s">
        <v>3358</v>
      </c>
      <c r="G2911">
        <v>6</v>
      </c>
      <c r="H2911">
        <v>775.68</v>
      </c>
      <c r="I2911">
        <v>129.28</v>
      </c>
      <c r="J2911">
        <v>73</v>
      </c>
      <c r="K2911">
        <v>7306.5700000000006</v>
      </c>
      <c r="L2911">
        <v>100.09</v>
      </c>
      <c r="M2911">
        <v>79</v>
      </c>
      <c r="N2911">
        <v>8082.2500000000009</v>
      </c>
      <c r="O2911">
        <v>102.31</v>
      </c>
    </row>
    <row r="2912" spans="1:15" x14ac:dyDescent="0.35">
      <c r="A2912" t="s">
        <v>3335</v>
      </c>
      <c r="B2912" t="s">
        <v>3336</v>
      </c>
      <c r="C2912" t="s">
        <v>898</v>
      </c>
      <c r="D2912" t="s">
        <v>323</v>
      </c>
      <c r="E2912" t="s">
        <v>302</v>
      </c>
      <c r="F2912" t="s">
        <v>3359</v>
      </c>
      <c r="G2912">
        <v>0</v>
      </c>
      <c r="H2912">
        <v>0</v>
      </c>
      <c r="I2912">
        <v>0</v>
      </c>
      <c r="J2912">
        <v>2</v>
      </c>
      <c r="K2912">
        <v>291.60000000000002</v>
      </c>
      <c r="L2912">
        <v>145.80000000000001</v>
      </c>
      <c r="M2912">
        <v>2</v>
      </c>
      <c r="N2912">
        <v>291.60000000000002</v>
      </c>
      <c r="O2912">
        <v>145.80000000000001</v>
      </c>
    </row>
    <row r="2913" spans="1:15" x14ac:dyDescent="0.35">
      <c r="A2913" t="s">
        <v>3335</v>
      </c>
      <c r="B2913" t="s">
        <v>3336</v>
      </c>
      <c r="C2913" t="s">
        <v>898</v>
      </c>
      <c r="D2913" t="s">
        <v>323</v>
      </c>
      <c r="E2913" t="s">
        <v>304</v>
      </c>
      <c r="F2913" t="s">
        <v>3360</v>
      </c>
      <c r="G2913">
        <v>0</v>
      </c>
      <c r="H2913">
        <v>0</v>
      </c>
      <c r="I2913">
        <v>0</v>
      </c>
      <c r="J2913">
        <v>0</v>
      </c>
      <c r="K2913">
        <v>0</v>
      </c>
      <c r="L2913">
        <v>0</v>
      </c>
      <c r="M2913">
        <v>0</v>
      </c>
      <c r="N2913">
        <v>0</v>
      </c>
      <c r="O2913">
        <v>0</v>
      </c>
    </row>
    <row r="2914" spans="1:15" x14ac:dyDescent="0.35">
      <c r="A2914" t="s">
        <v>3335</v>
      </c>
      <c r="B2914" t="s">
        <v>3336</v>
      </c>
      <c r="C2914" t="s">
        <v>898</v>
      </c>
      <c r="D2914" t="s">
        <v>323</v>
      </c>
      <c r="E2914" t="s">
        <v>306</v>
      </c>
      <c r="F2914" t="s">
        <v>3361</v>
      </c>
      <c r="G2914">
        <v>0</v>
      </c>
      <c r="H2914">
        <v>0</v>
      </c>
      <c r="I2914">
        <v>0</v>
      </c>
      <c r="J2914">
        <v>31</v>
      </c>
      <c r="K2914">
        <v>2132.1799999999998</v>
      </c>
      <c r="L2914">
        <v>68.78</v>
      </c>
      <c r="M2914">
        <v>31</v>
      </c>
      <c r="N2914">
        <v>2132.1799999999998</v>
      </c>
      <c r="O2914">
        <v>68.78</v>
      </c>
    </row>
    <row r="2915" spans="1:15" x14ac:dyDescent="0.35">
      <c r="A2915" t="s">
        <v>3335</v>
      </c>
      <c r="B2915" t="s">
        <v>3336</v>
      </c>
      <c r="C2915" t="s">
        <v>898</v>
      </c>
      <c r="D2915" t="s">
        <v>323</v>
      </c>
      <c r="E2915" t="s">
        <v>308</v>
      </c>
      <c r="F2915" t="s">
        <v>3362</v>
      </c>
      <c r="G2915">
        <v>0</v>
      </c>
      <c r="H2915">
        <v>0</v>
      </c>
      <c r="I2915">
        <v>0</v>
      </c>
      <c r="J2915">
        <v>0</v>
      </c>
      <c r="K2915">
        <v>0</v>
      </c>
      <c r="L2915">
        <v>0</v>
      </c>
      <c r="M2915">
        <v>0</v>
      </c>
      <c r="N2915">
        <v>0</v>
      </c>
      <c r="O2915">
        <v>0</v>
      </c>
    </row>
    <row r="2916" spans="1:15" x14ac:dyDescent="0.35">
      <c r="A2916" t="s">
        <v>3335</v>
      </c>
      <c r="B2916" t="s">
        <v>3336</v>
      </c>
      <c r="C2916" t="s">
        <v>898</v>
      </c>
      <c r="D2916" t="s">
        <v>323</v>
      </c>
      <c r="E2916" t="s">
        <v>310</v>
      </c>
      <c r="F2916" t="s">
        <v>3363</v>
      </c>
      <c r="G2916">
        <v>790</v>
      </c>
      <c r="H2916">
        <v>93114.06</v>
      </c>
      <c r="I2916">
        <v>117.87</v>
      </c>
      <c r="J2916">
        <v>3531</v>
      </c>
      <c r="K2916">
        <v>302335.61</v>
      </c>
      <c r="L2916">
        <v>85.62</v>
      </c>
      <c r="M2916">
        <v>4321</v>
      </c>
      <c r="N2916">
        <v>395449.67</v>
      </c>
      <c r="O2916">
        <v>91.52</v>
      </c>
    </row>
    <row r="2917" spans="1:15" x14ac:dyDescent="0.35">
      <c r="A2917" t="s">
        <v>3335</v>
      </c>
      <c r="B2917" t="s">
        <v>3336</v>
      </c>
      <c r="C2917" t="s">
        <v>898</v>
      </c>
      <c r="D2917" t="s">
        <v>323</v>
      </c>
      <c r="E2917" t="s">
        <v>312</v>
      </c>
      <c r="F2917" t="s">
        <v>3364</v>
      </c>
      <c r="G2917">
        <v>790</v>
      </c>
      <c r="H2917">
        <v>93114.06</v>
      </c>
      <c r="I2917">
        <v>117.87</v>
      </c>
      <c r="J2917">
        <v>3531</v>
      </c>
      <c r="K2917">
        <v>302335.61</v>
      </c>
      <c r="L2917">
        <v>85.62</v>
      </c>
      <c r="M2917">
        <v>4321</v>
      </c>
      <c r="N2917">
        <v>395449.67</v>
      </c>
      <c r="O2917">
        <v>91.52</v>
      </c>
    </row>
    <row r="2918" spans="1:15" x14ac:dyDescent="0.35">
      <c r="A2918" t="s">
        <v>3335</v>
      </c>
      <c r="B2918" t="s">
        <v>3336</v>
      </c>
      <c r="C2918" t="s">
        <v>898</v>
      </c>
      <c r="D2918" t="s">
        <v>334</v>
      </c>
      <c r="E2918" t="s">
        <v>312</v>
      </c>
      <c r="F2918" t="s">
        <v>3365</v>
      </c>
      <c r="G2918">
        <v>1211</v>
      </c>
      <c r="H2918">
        <v>149069.12</v>
      </c>
      <c r="I2918">
        <v>126.33</v>
      </c>
      <c r="J2918">
        <v>3531</v>
      </c>
      <c r="K2918">
        <v>302335.61</v>
      </c>
      <c r="L2918">
        <v>85.62</v>
      </c>
      <c r="M2918">
        <v>4742</v>
      </c>
      <c r="N2918">
        <v>451404.73</v>
      </c>
      <c r="O2918">
        <v>95.82</v>
      </c>
    </row>
    <row r="2919" spans="1:15" x14ac:dyDescent="0.35">
      <c r="A2919" t="s">
        <v>3335</v>
      </c>
      <c r="B2919" t="s">
        <v>3336</v>
      </c>
      <c r="C2919" t="s">
        <v>898</v>
      </c>
      <c r="D2919" t="s">
        <v>334</v>
      </c>
      <c r="E2919" t="s">
        <v>308</v>
      </c>
      <c r="F2919" t="s">
        <v>3366</v>
      </c>
      <c r="G2919">
        <v>1</v>
      </c>
      <c r="H2919">
        <v>0</v>
      </c>
      <c r="I2919">
        <v>0</v>
      </c>
      <c r="J2919">
        <v>0</v>
      </c>
      <c r="K2919">
        <v>0</v>
      </c>
      <c r="L2919">
        <v>0</v>
      </c>
      <c r="M2919">
        <v>1</v>
      </c>
      <c r="N2919">
        <v>0</v>
      </c>
      <c r="O2919">
        <v>0</v>
      </c>
    </row>
    <row r="2920" spans="1:15" x14ac:dyDescent="0.35">
      <c r="A2920" t="s">
        <v>3335</v>
      </c>
      <c r="B2920" t="s">
        <v>3336</v>
      </c>
      <c r="C2920" t="s">
        <v>898</v>
      </c>
      <c r="D2920" t="s">
        <v>337</v>
      </c>
      <c r="E2920" t="s">
        <v>337</v>
      </c>
      <c r="F2920" t="s">
        <v>3367</v>
      </c>
      <c r="G2920">
        <v>289</v>
      </c>
      <c r="J2920">
        <v>0</v>
      </c>
      <c r="M2920">
        <v>289</v>
      </c>
    </row>
    <row r="2921" spans="1:15" x14ac:dyDescent="0.35">
      <c r="A2921" t="s">
        <v>3335</v>
      </c>
      <c r="B2921" t="s">
        <v>3336</v>
      </c>
      <c r="C2921" t="s">
        <v>898</v>
      </c>
      <c r="D2921" t="s">
        <v>339</v>
      </c>
      <c r="E2921" t="s">
        <v>294</v>
      </c>
      <c r="F2921" t="s">
        <v>3368</v>
      </c>
      <c r="G2921">
        <v>222</v>
      </c>
      <c r="H2921">
        <v>28450.06</v>
      </c>
      <c r="I2921">
        <v>128.15</v>
      </c>
      <c r="J2921">
        <v>159</v>
      </c>
      <c r="K2921">
        <v>12554.64</v>
      </c>
      <c r="L2921">
        <v>78.959999999999994</v>
      </c>
      <c r="M2921">
        <v>381</v>
      </c>
      <c r="N2921">
        <v>41004.699999999997</v>
      </c>
      <c r="O2921">
        <v>107.62</v>
      </c>
    </row>
    <row r="2922" spans="1:15" x14ac:dyDescent="0.35">
      <c r="A2922" t="s">
        <v>3335</v>
      </c>
      <c r="B2922" t="s">
        <v>3336</v>
      </c>
      <c r="C2922" t="s">
        <v>898</v>
      </c>
      <c r="D2922" t="s">
        <v>339</v>
      </c>
      <c r="E2922" t="s">
        <v>296</v>
      </c>
      <c r="F2922" t="s">
        <v>3369</v>
      </c>
      <c r="G2922">
        <v>47</v>
      </c>
      <c r="H2922">
        <v>6366.05</v>
      </c>
      <c r="I2922">
        <v>135.44999999999999</v>
      </c>
      <c r="J2922">
        <v>8</v>
      </c>
      <c r="K2922">
        <v>683.84</v>
      </c>
      <c r="L2922">
        <v>85.48</v>
      </c>
      <c r="M2922">
        <v>55</v>
      </c>
      <c r="N2922">
        <v>7049.89</v>
      </c>
      <c r="O2922">
        <v>128.18</v>
      </c>
    </row>
    <row r="2923" spans="1:15" x14ac:dyDescent="0.35">
      <c r="A2923" t="s">
        <v>3335</v>
      </c>
      <c r="B2923" t="s">
        <v>3336</v>
      </c>
      <c r="C2923" t="s">
        <v>898</v>
      </c>
      <c r="D2923" t="s">
        <v>339</v>
      </c>
      <c r="E2923" t="s">
        <v>298</v>
      </c>
      <c r="F2923" t="s">
        <v>3370</v>
      </c>
      <c r="G2923">
        <v>5</v>
      </c>
      <c r="H2923">
        <v>514.86</v>
      </c>
      <c r="I2923">
        <v>102.97</v>
      </c>
      <c r="J2923">
        <v>2</v>
      </c>
      <c r="K2923">
        <v>190.4</v>
      </c>
      <c r="L2923">
        <v>95.2</v>
      </c>
      <c r="M2923">
        <v>7</v>
      </c>
      <c r="N2923">
        <v>705.26</v>
      </c>
      <c r="O2923">
        <v>100.75</v>
      </c>
    </row>
    <row r="2924" spans="1:15" x14ac:dyDescent="0.35">
      <c r="A2924" t="s">
        <v>3335</v>
      </c>
      <c r="B2924" t="s">
        <v>3336</v>
      </c>
      <c r="C2924" t="s">
        <v>898</v>
      </c>
      <c r="D2924" t="s">
        <v>339</v>
      </c>
      <c r="E2924" t="s">
        <v>300</v>
      </c>
      <c r="F2924" t="s">
        <v>3371</v>
      </c>
      <c r="G2924">
        <v>1</v>
      </c>
      <c r="H2924">
        <v>163.29</v>
      </c>
      <c r="I2924">
        <v>163.29</v>
      </c>
      <c r="J2924">
        <v>0</v>
      </c>
      <c r="K2924">
        <v>0</v>
      </c>
      <c r="L2924">
        <v>0</v>
      </c>
      <c r="M2924">
        <v>1</v>
      </c>
      <c r="N2924">
        <v>163.29</v>
      </c>
      <c r="O2924">
        <v>163.29</v>
      </c>
    </row>
    <row r="2925" spans="1:15" x14ac:dyDescent="0.35">
      <c r="A2925" t="s">
        <v>3335</v>
      </c>
      <c r="B2925" t="s">
        <v>3336</v>
      </c>
      <c r="C2925" t="s">
        <v>898</v>
      </c>
      <c r="D2925" t="s">
        <v>339</v>
      </c>
      <c r="E2925" t="s">
        <v>306</v>
      </c>
      <c r="F2925" t="s">
        <v>3372</v>
      </c>
      <c r="G2925">
        <v>76</v>
      </c>
      <c r="H2925">
        <v>6886.77</v>
      </c>
      <c r="I2925">
        <v>90.62</v>
      </c>
      <c r="J2925">
        <v>101</v>
      </c>
      <c r="K2925">
        <v>6992.2300000000005</v>
      </c>
      <c r="L2925">
        <v>69.23</v>
      </c>
      <c r="M2925">
        <v>177</v>
      </c>
      <c r="N2925">
        <v>13879</v>
      </c>
      <c r="O2925">
        <v>78.41</v>
      </c>
    </row>
    <row r="2926" spans="1:15" x14ac:dyDescent="0.35">
      <c r="A2926" t="s">
        <v>3335</v>
      </c>
      <c r="B2926" t="s">
        <v>3336</v>
      </c>
      <c r="C2926" t="s">
        <v>898</v>
      </c>
      <c r="D2926" t="s">
        <v>339</v>
      </c>
      <c r="E2926" t="s">
        <v>308</v>
      </c>
      <c r="F2926" t="s">
        <v>3373</v>
      </c>
      <c r="G2926">
        <v>18</v>
      </c>
      <c r="H2926">
        <v>2010</v>
      </c>
      <c r="I2926">
        <v>111.67</v>
      </c>
      <c r="J2926">
        <v>0</v>
      </c>
      <c r="K2926">
        <v>0</v>
      </c>
      <c r="L2926">
        <v>0</v>
      </c>
      <c r="M2926">
        <v>18</v>
      </c>
      <c r="N2926">
        <v>2010</v>
      </c>
      <c r="O2926">
        <v>111.67</v>
      </c>
    </row>
    <row r="2927" spans="1:15" x14ac:dyDescent="0.35">
      <c r="A2927" t="s">
        <v>3335</v>
      </c>
      <c r="B2927" t="s">
        <v>3336</v>
      </c>
      <c r="C2927" t="s">
        <v>898</v>
      </c>
      <c r="D2927" t="s">
        <v>339</v>
      </c>
      <c r="E2927" t="s">
        <v>310</v>
      </c>
      <c r="F2927" t="s">
        <v>3374</v>
      </c>
      <c r="G2927">
        <v>369</v>
      </c>
      <c r="H2927">
        <v>44391.03</v>
      </c>
      <c r="I2927">
        <v>120.3</v>
      </c>
      <c r="J2927">
        <v>270</v>
      </c>
      <c r="K2927">
        <v>20421.11</v>
      </c>
      <c r="L2927">
        <v>75.63</v>
      </c>
      <c r="M2927">
        <v>639</v>
      </c>
      <c r="N2927">
        <v>64812.14</v>
      </c>
      <c r="O2927">
        <v>101.43</v>
      </c>
    </row>
    <row r="2928" spans="1:15" x14ac:dyDescent="0.35">
      <c r="A2928" t="s">
        <v>3335</v>
      </c>
      <c r="B2928" t="s">
        <v>3336</v>
      </c>
      <c r="C2928" t="s">
        <v>898</v>
      </c>
      <c r="D2928" t="s">
        <v>339</v>
      </c>
      <c r="E2928" t="s">
        <v>312</v>
      </c>
      <c r="F2928" t="s">
        <v>3375</v>
      </c>
      <c r="G2928">
        <v>351</v>
      </c>
      <c r="H2928">
        <v>42381.03</v>
      </c>
      <c r="I2928">
        <v>120.74</v>
      </c>
      <c r="J2928">
        <v>270</v>
      </c>
      <c r="K2928">
        <v>20421.11</v>
      </c>
      <c r="L2928">
        <v>75.63</v>
      </c>
      <c r="M2928">
        <v>621</v>
      </c>
      <c r="N2928">
        <v>62802.14</v>
      </c>
      <c r="O2928">
        <v>101.13</v>
      </c>
    </row>
    <row r="2929" spans="1:15" x14ac:dyDescent="0.35">
      <c r="A2929" t="s">
        <v>3335</v>
      </c>
      <c r="B2929" t="s">
        <v>3336</v>
      </c>
      <c r="C2929" t="s">
        <v>898</v>
      </c>
      <c r="D2929" t="s">
        <v>348</v>
      </c>
      <c r="E2929" t="s">
        <v>349</v>
      </c>
      <c r="F2929" t="s">
        <v>3376</v>
      </c>
      <c r="G2929">
        <v>390</v>
      </c>
      <c r="H2929">
        <v>44391.03</v>
      </c>
      <c r="I2929">
        <v>120.3</v>
      </c>
      <c r="J2929">
        <v>270</v>
      </c>
      <c r="K2929">
        <v>20421.11</v>
      </c>
      <c r="L2929">
        <v>75.63</v>
      </c>
      <c r="M2929">
        <v>660</v>
      </c>
      <c r="N2929">
        <v>64812.14</v>
      </c>
      <c r="O2929">
        <v>101.43</v>
      </c>
    </row>
    <row r="2930" spans="1:15" x14ac:dyDescent="0.35">
      <c r="A2930" t="s">
        <v>3377</v>
      </c>
      <c r="B2930" t="s">
        <v>3378</v>
      </c>
      <c r="C2930" t="s">
        <v>898</v>
      </c>
      <c r="D2930" t="s">
        <v>293</v>
      </c>
      <c r="E2930" t="s">
        <v>294</v>
      </c>
      <c r="F2930" t="s">
        <v>3379</v>
      </c>
      <c r="G2930">
        <v>76</v>
      </c>
      <c r="H2930">
        <v>7813.3799999999992</v>
      </c>
      <c r="I2930">
        <v>102.81</v>
      </c>
      <c r="J2930">
        <v>22</v>
      </c>
      <c r="K2930">
        <v>2289.98</v>
      </c>
      <c r="L2930">
        <v>104.09</v>
      </c>
      <c r="M2930">
        <v>98</v>
      </c>
      <c r="N2930">
        <v>10103.359999999999</v>
      </c>
      <c r="O2930">
        <v>103.1</v>
      </c>
    </row>
    <row r="2931" spans="1:15" x14ac:dyDescent="0.35">
      <c r="A2931" t="s">
        <v>3377</v>
      </c>
      <c r="B2931" t="s">
        <v>3378</v>
      </c>
      <c r="C2931" t="s">
        <v>898</v>
      </c>
      <c r="D2931" t="s">
        <v>293</v>
      </c>
      <c r="E2931" t="s">
        <v>296</v>
      </c>
      <c r="F2931" t="s">
        <v>3380</v>
      </c>
      <c r="G2931">
        <v>296</v>
      </c>
      <c r="H2931">
        <v>37677.03</v>
      </c>
      <c r="I2931">
        <v>127.29</v>
      </c>
      <c r="J2931">
        <v>61</v>
      </c>
      <c r="K2931">
        <v>7734.1900000000005</v>
      </c>
      <c r="L2931">
        <v>126.79</v>
      </c>
      <c r="M2931">
        <v>357</v>
      </c>
      <c r="N2931">
        <v>45411.22</v>
      </c>
      <c r="O2931">
        <v>127.2</v>
      </c>
    </row>
    <row r="2932" spans="1:15" x14ac:dyDescent="0.35">
      <c r="A2932" t="s">
        <v>3377</v>
      </c>
      <c r="B2932" t="s">
        <v>3378</v>
      </c>
      <c r="C2932" t="s">
        <v>898</v>
      </c>
      <c r="D2932" t="s">
        <v>293</v>
      </c>
      <c r="E2932" t="s">
        <v>298</v>
      </c>
      <c r="F2932" t="s">
        <v>3381</v>
      </c>
      <c r="G2932">
        <v>157</v>
      </c>
      <c r="H2932">
        <v>23021.739999999998</v>
      </c>
      <c r="I2932">
        <v>146.63999999999999</v>
      </c>
      <c r="J2932">
        <v>17</v>
      </c>
      <c r="K2932">
        <v>2520.7600000000002</v>
      </c>
      <c r="L2932">
        <v>148.28</v>
      </c>
      <c r="M2932">
        <v>174</v>
      </c>
      <c r="N2932">
        <v>25542.5</v>
      </c>
      <c r="O2932">
        <v>146.80000000000001</v>
      </c>
    </row>
    <row r="2933" spans="1:15" x14ac:dyDescent="0.35">
      <c r="A2933" t="s">
        <v>3377</v>
      </c>
      <c r="B2933" t="s">
        <v>3378</v>
      </c>
      <c r="C2933" t="s">
        <v>898</v>
      </c>
      <c r="D2933" t="s">
        <v>293</v>
      </c>
      <c r="E2933" t="s">
        <v>300</v>
      </c>
      <c r="F2933" t="s">
        <v>3382</v>
      </c>
      <c r="G2933">
        <v>9</v>
      </c>
      <c r="H2933">
        <v>1591.06</v>
      </c>
      <c r="I2933">
        <v>176.78</v>
      </c>
      <c r="J2933">
        <v>0</v>
      </c>
      <c r="K2933">
        <v>0</v>
      </c>
      <c r="L2933">
        <v>0</v>
      </c>
      <c r="M2933">
        <v>9</v>
      </c>
      <c r="N2933">
        <v>1591.06</v>
      </c>
      <c r="O2933">
        <v>176.78</v>
      </c>
    </row>
    <row r="2934" spans="1:15" x14ac:dyDescent="0.35">
      <c r="A2934" t="s">
        <v>3377</v>
      </c>
      <c r="B2934" t="s">
        <v>3378</v>
      </c>
      <c r="C2934" t="s">
        <v>898</v>
      </c>
      <c r="D2934" t="s">
        <v>293</v>
      </c>
      <c r="E2934" t="s">
        <v>302</v>
      </c>
      <c r="F2934" t="s">
        <v>3383</v>
      </c>
      <c r="G2934">
        <v>0</v>
      </c>
      <c r="H2934">
        <v>0</v>
      </c>
      <c r="I2934">
        <v>0</v>
      </c>
      <c r="J2934">
        <v>0</v>
      </c>
      <c r="K2934">
        <v>0</v>
      </c>
      <c r="L2934">
        <v>0</v>
      </c>
      <c r="M2934">
        <v>0</v>
      </c>
      <c r="N2934">
        <v>0</v>
      </c>
      <c r="O2934">
        <v>0</v>
      </c>
    </row>
    <row r="2935" spans="1:15" x14ac:dyDescent="0.35">
      <c r="A2935" t="s">
        <v>3377</v>
      </c>
      <c r="B2935" t="s">
        <v>3378</v>
      </c>
      <c r="C2935" t="s">
        <v>898</v>
      </c>
      <c r="D2935" t="s">
        <v>293</v>
      </c>
      <c r="E2935" t="s">
        <v>304</v>
      </c>
      <c r="F2935" t="s">
        <v>3384</v>
      </c>
      <c r="G2935">
        <v>0</v>
      </c>
      <c r="H2935">
        <v>0</v>
      </c>
      <c r="I2935">
        <v>0</v>
      </c>
      <c r="J2935">
        <v>0</v>
      </c>
      <c r="K2935">
        <v>0</v>
      </c>
      <c r="L2935">
        <v>0</v>
      </c>
      <c r="M2935">
        <v>0</v>
      </c>
      <c r="N2935">
        <v>0</v>
      </c>
      <c r="O2935">
        <v>0</v>
      </c>
    </row>
    <row r="2936" spans="1:15" x14ac:dyDescent="0.35">
      <c r="A2936" t="s">
        <v>3377</v>
      </c>
      <c r="B2936" t="s">
        <v>3378</v>
      </c>
      <c r="C2936" t="s">
        <v>898</v>
      </c>
      <c r="D2936" t="s">
        <v>293</v>
      </c>
      <c r="E2936" t="s">
        <v>306</v>
      </c>
      <c r="F2936" t="s">
        <v>3385</v>
      </c>
      <c r="G2936">
        <v>0</v>
      </c>
      <c r="H2936">
        <v>0</v>
      </c>
      <c r="I2936">
        <v>0</v>
      </c>
      <c r="J2936">
        <v>0</v>
      </c>
      <c r="K2936">
        <v>0</v>
      </c>
      <c r="L2936">
        <v>0</v>
      </c>
      <c r="M2936">
        <v>0</v>
      </c>
      <c r="N2936">
        <v>0</v>
      </c>
      <c r="O2936">
        <v>0</v>
      </c>
    </row>
    <row r="2937" spans="1:15" x14ac:dyDescent="0.35">
      <c r="A2937" t="s">
        <v>3377</v>
      </c>
      <c r="B2937" t="s">
        <v>3378</v>
      </c>
      <c r="C2937" t="s">
        <v>898</v>
      </c>
      <c r="D2937" t="s">
        <v>293</v>
      </c>
      <c r="E2937" t="s">
        <v>308</v>
      </c>
      <c r="F2937" t="s">
        <v>3386</v>
      </c>
      <c r="G2937">
        <v>0</v>
      </c>
      <c r="H2937">
        <v>0</v>
      </c>
      <c r="I2937">
        <v>0</v>
      </c>
      <c r="J2937">
        <v>0</v>
      </c>
      <c r="K2937">
        <v>0</v>
      </c>
      <c r="L2937">
        <v>0</v>
      </c>
      <c r="M2937">
        <v>0</v>
      </c>
      <c r="N2937">
        <v>0</v>
      </c>
      <c r="O2937">
        <v>0</v>
      </c>
    </row>
    <row r="2938" spans="1:15" x14ac:dyDescent="0.35">
      <c r="A2938" t="s">
        <v>3377</v>
      </c>
      <c r="B2938" t="s">
        <v>3378</v>
      </c>
      <c r="C2938" t="s">
        <v>898</v>
      </c>
      <c r="D2938" t="s">
        <v>293</v>
      </c>
      <c r="E2938" t="s">
        <v>310</v>
      </c>
      <c r="F2938" t="s">
        <v>3387</v>
      </c>
      <c r="G2938">
        <v>538</v>
      </c>
      <c r="H2938">
        <v>70103.209999999992</v>
      </c>
      <c r="I2938">
        <v>130.30000000000001</v>
      </c>
      <c r="J2938">
        <v>100</v>
      </c>
      <c r="K2938">
        <v>12544.93</v>
      </c>
      <c r="L2938">
        <v>125.45</v>
      </c>
      <c r="M2938">
        <v>638</v>
      </c>
      <c r="N2938">
        <v>82648.139999999985</v>
      </c>
      <c r="O2938">
        <v>129.54</v>
      </c>
    </row>
    <row r="2939" spans="1:15" x14ac:dyDescent="0.35">
      <c r="A2939" t="s">
        <v>3377</v>
      </c>
      <c r="B2939" t="s">
        <v>3378</v>
      </c>
      <c r="C2939" t="s">
        <v>898</v>
      </c>
      <c r="D2939" t="s">
        <v>293</v>
      </c>
      <c r="E2939" t="s">
        <v>312</v>
      </c>
      <c r="F2939" t="s">
        <v>3388</v>
      </c>
      <c r="G2939">
        <v>538</v>
      </c>
      <c r="H2939">
        <v>70103.209999999992</v>
      </c>
      <c r="I2939">
        <v>130.30000000000001</v>
      </c>
      <c r="J2939">
        <v>100</v>
      </c>
      <c r="K2939">
        <v>12544.93</v>
      </c>
      <c r="L2939">
        <v>125.45</v>
      </c>
      <c r="M2939">
        <v>638</v>
      </c>
      <c r="N2939">
        <v>82648.139999999985</v>
      </c>
      <c r="O2939">
        <v>129.54</v>
      </c>
    </row>
    <row r="2940" spans="1:15" x14ac:dyDescent="0.35">
      <c r="A2940" t="s">
        <v>3377</v>
      </c>
      <c r="B2940" t="s">
        <v>3378</v>
      </c>
      <c r="C2940" t="s">
        <v>898</v>
      </c>
      <c r="D2940" t="s">
        <v>314</v>
      </c>
      <c r="E2940" t="s">
        <v>294</v>
      </c>
      <c r="F2940" t="s">
        <v>3389</v>
      </c>
      <c r="G2940">
        <v>0</v>
      </c>
      <c r="H2940">
        <v>0</v>
      </c>
      <c r="I2940">
        <v>0</v>
      </c>
      <c r="J2940">
        <v>0</v>
      </c>
      <c r="K2940">
        <v>0</v>
      </c>
      <c r="L2940">
        <v>0</v>
      </c>
      <c r="M2940">
        <v>0</v>
      </c>
      <c r="N2940">
        <v>0</v>
      </c>
      <c r="O2940">
        <v>0</v>
      </c>
    </row>
    <row r="2941" spans="1:15" x14ac:dyDescent="0.35">
      <c r="A2941" t="s">
        <v>3377</v>
      </c>
      <c r="B2941" t="s">
        <v>3378</v>
      </c>
      <c r="C2941" t="s">
        <v>898</v>
      </c>
      <c r="D2941" t="s">
        <v>314</v>
      </c>
      <c r="E2941" t="s">
        <v>296</v>
      </c>
      <c r="F2941" t="s">
        <v>3390</v>
      </c>
      <c r="G2941">
        <v>0</v>
      </c>
      <c r="H2941">
        <v>0</v>
      </c>
      <c r="I2941">
        <v>0</v>
      </c>
      <c r="J2941">
        <v>0</v>
      </c>
      <c r="K2941">
        <v>0</v>
      </c>
      <c r="L2941">
        <v>0</v>
      </c>
      <c r="M2941">
        <v>0</v>
      </c>
      <c r="N2941">
        <v>0</v>
      </c>
      <c r="O2941">
        <v>0</v>
      </c>
    </row>
    <row r="2942" spans="1:15" x14ac:dyDescent="0.35">
      <c r="A2942" t="s">
        <v>3377</v>
      </c>
      <c r="B2942" t="s">
        <v>3378</v>
      </c>
      <c r="C2942" t="s">
        <v>898</v>
      </c>
      <c r="D2942" t="s">
        <v>314</v>
      </c>
      <c r="E2942" t="s">
        <v>298</v>
      </c>
      <c r="F2942" t="s">
        <v>3391</v>
      </c>
      <c r="G2942">
        <v>0</v>
      </c>
      <c r="H2942">
        <v>0</v>
      </c>
      <c r="I2942">
        <v>0</v>
      </c>
      <c r="J2942">
        <v>0</v>
      </c>
      <c r="K2942">
        <v>0</v>
      </c>
      <c r="L2942">
        <v>0</v>
      </c>
      <c r="M2942">
        <v>0</v>
      </c>
      <c r="N2942">
        <v>0</v>
      </c>
      <c r="O2942">
        <v>0</v>
      </c>
    </row>
    <row r="2943" spans="1:15" x14ac:dyDescent="0.35">
      <c r="A2943" t="s">
        <v>3377</v>
      </c>
      <c r="B2943" t="s">
        <v>3378</v>
      </c>
      <c r="C2943" t="s">
        <v>898</v>
      </c>
      <c r="D2943" t="s">
        <v>314</v>
      </c>
      <c r="E2943" t="s">
        <v>300</v>
      </c>
      <c r="F2943" t="s">
        <v>3392</v>
      </c>
      <c r="G2943">
        <v>0</v>
      </c>
      <c r="H2943">
        <v>0</v>
      </c>
      <c r="I2943">
        <v>0</v>
      </c>
      <c r="J2943">
        <v>0</v>
      </c>
      <c r="K2943">
        <v>0</v>
      </c>
      <c r="L2943">
        <v>0</v>
      </c>
      <c r="M2943">
        <v>0</v>
      </c>
      <c r="N2943">
        <v>0</v>
      </c>
      <c r="O2943">
        <v>0</v>
      </c>
    </row>
    <row r="2944" spans="1:15" x14ac:dyDescent="0.35">
      <c r="A2944" t="s">
        <v>3377</v>
      </c>
      <c r="B2944" t="s">
        <v>3378</v>
      </c>
      <c r="C2944" t="s">
        <v>898</v>
      </c>
      <c r="D2944" t="s">
        <v>314</v>
      </c>
      <c r="E2944" t="s">
        <v>306</v>
      </c>
      <c r="F2944" t="s">
        <v>3393</v>
      </c>
      <c r="G2944">
        <v>0</v>
      </c>
      <c r="H2944">
        <v>0</v>
      </c>
      <c r="I2944">
        <v>0</v>
      </c>
      <c r="J2944">
        <v>0</v>
      </c>
      <c r="K2944">
        <v>0</v>
      </c>
      <c r="L2944">
        <v>0</v>
      </c>
      <c r="M2944">
        <v>0</v>
      </c>
      <c r="N2944">
        <v>0</v>
      </c>
      <c r="O2944">
        <v>0</v>
      </c>
    </row>
    <row r="2945" spans="1:15" x14ac:dyDescent="0.35">
      <c r="A2945" t="s">
        <v>3377</v>
      </c>
      <c r="B2945" t="s">
        <v>3378</v>
      </c>
      <c r="C2945" t="s">
        <v>898</v>
      </c>
      <c r="D2945" t="s">
        <v>314</v>
      </c>
      <c r="E2945" t="s">
        <v>308</v>
      </c>
      <c r="F2945" t="s">
        <v>3394</v>
      </c>
      <c r="G2945">
        <v>0</v>
      </c>
      <c r="H2945">
        <v>0</v>
      </c>
      <c r="I2945">
        <v>0</v>
      </c>
      <c r="J2945">
        <v>0</v>
      </c>
      <c r="K2945">
        <v>0</v>
      </c>
      <c r="L2945">
        <v>0</v>
      </c>
      <c r="M2945">
        <v>0</v>
      </c>
      <c r="N2945">
        <v>0</v>
      </c>
      <c r="O2945">
        <v>0</v>
      </c>
    </row>
    <row r="2946" spans="1:15" x14ac:dyDescent="0.35">
      <c r="A2946" t="s">
        <v>3377</v>
      </c>
      <c r="B2946" t="s">
        <v>3378</v>
      </c>
      <c r="C2946" t="s">
        <v>898</v>
      </c>
      <c r="D2946" t="s">
        <v>314</v>
      </c>
      <c r="E2946" t="s">
        <v>312</v>
      </c>
      <c r="F2946" t="s">
        <v>3395</v>
      </c>
      <c r="G2946">
        <v>0</v>
      </c>
      <c r="H2946">
        <v>0</v>
      </c>
      <c r="I2946">
        <v>0</v>
      </c>
      <c r="J2946">
        <v>0</v>
      </c>
      <c r="K2946">
        <v>0</v>
      </c>
      <c r="L2946">
        <v>0</v>
      </c>
      <c r="M2946">
        <v>0</v>
      </c>
      <c r="N2946">
        <v>0</v>
      </c>
      <c r="O2946">
        <v>0</v>
      </c>
    </row>
    <row r="2947" spans="1:15" x14ac:dyDescent="0.35">
      <c r="A2947" t="s">
        <v>3377</v>
      </c>
      <c r="B2947" t="s">
        <v>3378</v>
      </c>
      <c r="C2947" t="s">
        <v>898</v>
      </c>
      <c r="D2947" t="s">
        <v>314</v>
      </c>
      <c r="E2947" t="s">
        <v>310</v>
      </c>
      <c r="F2947" t="s">
        <v>3396</v>
      </c>
      <c r="G2947">
        <v>0</v>
      </c>
      <c r="H2947">
        <v>0</v>
      </c>
      <c r="I2947">
        <v>0</v>
      </c>
      <c r="J2947">
        <v>0</v>
      </c>
      <c r="K2947">
        <v>0</v>
      </c>
      <c r="L2947">
        <v>0</v>
      </c>
      <c r="M2947">
        <v>0</v>
      </c>
      <c r="N2947">
        <v>0</v>
      </c>
      <c r="O2947">
        <v>0</v>
      </c>
    </row>
    <row r="2948" spans="1:15" x14ac:dyDescent="0.35">
      <c r="A2948" t="s">
        <v>3377</v>
      </c>
      <c r="B2948" t="s">
        <v>3378</v>
      </c>
      <c r="C2948" t="s">
        <v>898</v>
      </c>
      <c r="D2948" t="s">
        <v>323</v>
      </c>
      <c r="E2948" t="s">
        <v>294</v>
      </c>
      <c r="F2948" t="s">
        <v>3397</v>
      </c>
      <c r="G2948">
        <v>123</v>
      </c>
      <c r="H2948">
        <v>11311.05</v>
      </c>
      <c r="I2948">
        <v>91.96</v>
      </c>
      <c r="J2948">
        <v>1482</v>
      </c>
      <c r="K2948">
        <v>129556.44</v>
      </c>
      <c r="L2948">
        <v>87.42</v>
      </c>
      <c r="M2948">
        <v>1605</v>
      </c>
      <c r="N2948">
        <v>140867.49</v>
      </c>
      <c r="O2948">
        <v>87.77</v>
      </c>
    </row>
    <row r="2949" spans="1:15" x14ac:dyDescent="0.35">
      <c r="A2949" t="s">
        <v>3377</v>
      </c>
      <c r="B2949" t="s">
        <v>3378</v>
      </c>
      <c r="C2949" t="s">
        <v>898</v>
      </c>
      <c r="D2949" t="s">
        <v>323</v>
      </c>
      <c r="E2949" t="s">
        <v>296</v>
      </c>
      <c r="F2949" t="s">
        <v>3398</v>
      </c>
      <c r="G2949">
        <v>285</v>
      </c>
      <c r="H2949">
        <v>32178.719999999998</v>
      </c>
      <c r="I2949">
        <v>112.91</v>
      </c>
      <c r="J2949">
        <v>2664</v>
      </c>
      <c r="K2949">
        <v>249989.76000000001</v>
      </c>
      <c r="L2949">
        <v>93.84</v>
      </c>
      <c r="M2949">
        <v>2949</v>
      </c>
      <c r="N2949">
        <v>282168.48</v>
      </c>
      <c r="O2949">
        <v>95.68</v>
      </c>
    </row>
    <row r="2950" spans="1:15" x14ac:dyDescent="0.35">
      <c r="A2950" t="s">
        <v>3377</v>
      </c>
      <c r="B2950" t="s">
        <v>3378</v>
      </c>
      <c r="C2950" t="s">
        <v>898</v>
      </c>
      <c r="D2950" t="s">
        <v>323</v>
      </c>
      <c r="E2950" t="s">
        <v>298</v>
      </c>
      <c r="F2950" t="s">
        <v>3399</v>
      </c>
      <c r="G2950">
        <v>131</v>
      </c>
      <c r="H2950">
        <v>16609.03</v>
      </c>
      <c r="I2950">
        <v>126.79</v>
      </c>
      <c r="J2950">
        <v>3116</v>
      </c>
      <c r="K2950">
        <v>298045.40000000002</v>
      </c>
      <c r="L2950">
        <v>95.65</v>
      </c>
      <c r="M2950">
        <v>3247</v>
      </c>
      <c r="N2950">
        <v>314654.43000000005</v>
      </c>
      <c r="O2950">
        <v>96.91</v>
      </c>
    </row>
    <row r="2951" spans="1:15" x14ac:dyDescent="0.35">
      <c r="A2951" t="s">
        <v>3377</v>
      </c>
      <c r="B2951" t="s">
        <v>3378</v>
      </c>
      <c r="C2951" t="s">
        <v>898</v>
      </c>
      <c r="D2951" t="s">
        <v>323</v>
      </c>
      <c r="E2951" t="s">
        <v>300</v>
      </c>
      <c r="F2951" t="s">
        <v>3400</v>
      </c>
      <c r="G2951">
        <v>7</v>
      </c>
      <c r="H2951">
        <v>1035.3</v>
      </c>
      <c r="I2951">
        <v>147.9</v>
      </c>
      <c r="J2951">
        <v>112</v>
      </c>
      <c r="K2951">
        <v>11402.720000000001</v>
      </c>
      <c r="L2951">
        <v>101.81</v>
      </c>
      <c r="M2951">
        <v>119</v>
      </c>
      <c r="N2951">
        <v>12438.02</v>
      </c>
      <c r="O2951">
        <v>104.52</v>
      </c>
    </row>
    <row r="2952" spans="1:15" x14ac:dyDescent="0.35">
      <c r="A2952" t="s">
        <v>3377</v>
      </c>
      <c r="B2952" t="s">
        <v>3378</v>
      </c>
      <c r="C2952" t="s">
        <v>898</v>
      </c>
      <c r="D2952" t="s">
        <v>323</v>
      </c>
      <c r="E2952" t="s">
        <v>302</v>
      </c>
      <c r="F2952" t="s">
        <v>3401</v>
      </c>
      <c r="G2952">
        <v>0</v>
      </c>
      <c r="H2952">
        <v>0</v>
      </c>
      <c r="I2952">
        <v>0</v>
      </c>
      <c r="J2952">
        <v>1</v>
      </c>
      <c r="K2952">
        <v>103.05</v>
      </c>
      <c r="L2952">
        <v>103.05</v>
      </c>
      <c r="M2952">
        <v>1</v>
      </c>
      <c r="N2952">
        <v>103.05</v>
      </c>
      <c r="O2952">
        <v>103.05</v>
      </c>
    </row>
    <row r="2953" spans="1:15" x14ac:dyDescent="0.35">
      <c r="A2953" t="s">
        <v>3377</v>
      </c>
      <c r="B2953" t="s">
        <v>3378</v>
      </c>
      <c r="C2953" t="s">
        <v>898</v>
      </c>
      <c r="D2953" t="s">
        <v>323</v>
      </c>
      <c r="E2953" t="s">
        <v>304</v>
      </c>
      <c r="F2953" t="s">
        <v>3402</v>
      </c>
      <c r="G2953">
        <v>0</v>
      </c>
      <c r="H2953">
        <v>0</v>
      </c>
      <c r="I2953">
        <v>0</v>
      </c>
      <c r="J2953">
        <v>0</v>
      </c>
      <c r="K2953">
        <v>0</v>
      </c>
      <c r="L2953">
        <v>0</v>
      </c>
      <c r="M2953">
        <v>0</v>
      </c>
      <c r="N2953">
        <v>0</v>
      </c>
      <c r="O2953">
        <v>0</v>
      </c>
    </row>
    <row r="2954" spans="1:15" x14ac:dyDescent="0.35">
      <c r="A2954" t="s">
        <v>3377</v>
      </c>
      <c r="B2954" t="s">
        <v>3378</v>
      </c>
      <c r="C2954" t="s">
        <v>898</v>
      </c>
      <c r="D2954" t="s">
        <v>323</v>
      </c>
      <c r="E2954" t="s">
        <v>306</v>
      </c>
      <c r="F2954" t="s">
        <v>3403</v>
      </c>
      <c r="G2954">
        <v>0</v>
      </c>
      <c r="H2954">
        <v>0</v>
      </c>
      <c r="I2954">
        <v>0</v>
      </c>
      <c r="J2954">
        <v>14</v>
      </c>
      <c r="K2954">
        <v>1158.78</v>
      </c>
      <c r="L2954">
        <v>82.77</v>
      </c>
      <c r="M2954">
        <v>14</v>
      </c>
      <c r="N2954">
        <v>1158.78</v>
      </c>
      <c r="O2954">
        <v>82.77</v>
      </c>
    </row>
    <row r="2955" spans="1:15" x14ac:dyDescent="0.35">
      <c r="A2955" t="s">
        <v>3377</v>
      </c>
      <c r="B2955" t="s">
        <v>3378</v>
      </c>
      <c r="C2955" t="s">
        <v>898</v>
      </c>
      <c r="D2955" t="s">
        <v>323</v>
      </c>
      <c r="E2955" t="s">
        <v>308</v>
      </c>
      <c r="F2955" t="s">
        <v>3404</v>
      </c>
      <c r="G2955">
        <v>1</v>
      </c>
      <c r="H2955">
        <v>85.2</v>
      </c>
      <c r="I2955">
        <v>85.2</v>
      </c>
      <c r="J2955">
        <v>0</v>
      </c>
      <c r="K2955">
        <v>0</v>
      </c>
      <c r="L2955">
        <v>0</v>
      </c>
      <c r="M2955">
        <v>1</v>
      </c>
      <c r="N2955">
        <v>85.2</v>
      </c>
      <c r="O2955">
        <v>85.2</v>
      </c>
    </row>
    <row r="2956" spans="1:15" x14ac:dyDescent="0.35">
      <c r="A2956" t="s">
        <v>3377</v>
      </c>
      <c r="B2956" t="s">
        <v>3378</v>
      </c>
      <c r="C2956" t="s">
        <v>898</v>
      </c>
      <c r="D2956" t="s">
        <v>323</v>
      </c>
      <c r="E2956" t="s">
        <v>310</v>
      </c>
      <c r="F2956" t="s">
        <v>3405</v>
      </c>
      <c r="G2956">
        <v>547</v>
      </c>
      <c r="H2956">
        <v>61219.299999999996</v>
      </c>
      <c r="I2956">
        <v>111.92</v>
      </c>
      <c r="J2956">
        <v>7389</v>
      </c>
      <c r="K2956">
        <v>690256.15000000014</v>
      </c>
      <c r="L2956">
        <v>93.42</v>
      </c>
      <c r="M2956">
        <v>7936</v>
      </c>
      <c r="N2956">
        <v>751475.45000000019</v>
      </c>
      <c r="O2956">
        <v>94.69</v>
      </c>
    </row>
    <row r="2957" spans="1:15" x14ac:dyDescent="0.35">
      <c r="A2957" t="s">
        <v>3377</v>
      </c>
      <c r="B2957" t="s">
        <v>3378</v>
      </c>
      <c r="C2957" t="s">
        <v>898</v>
      </c>
      <c r="D2957" t="s">
        <v>323</v>
      </c>
      <c r="E2957" t="s">
        <v>312</v>
      </c>
      <c r="F2957" t="s">
        <v>3406</v>
      </c>
      <c r="G2957">
        <v>546</v>
      </c>
      <c r="H2957">
        <v>61134.1</v>
      </c>
      <c r="I2957">
        <v>111.97</v>
      </c>
      <c r="J2957">
        <v>7389</v>
      </c>
      <c r="K2957">
        <v>690256.15000000014</v>
      </c>
      <c r="L2957">
        <v>93.42</v>
      </c>
      <c r="M2957">
        <v>7935</v>
      </c>
      <c r="N2957">
        <v>751390.25000000012</v>
      </c>
      <c r="O2957">
        <v>94.69</v>
      </c>
    </row>
    <row r="2958" spans="1:15" x14ac:dyDescent="0.35">
      <c r="A2958" t="s">
        <v>3377</v>
      </c>
      <c r="B2958" t="s">
        <v>3378</v>
      </c>
      <c r="C2958" t="s">
        <v>898</v>
      </c>
      <c r="D2958" t="s">
        <v>334</v>
      </c>
      <c r="E2958" t="s">
        <v>312</v>
      </c>
      <c r="F2958" t="s">
        <v>3407</v>
      </c>
      <c r="G2958">
        <v>1127</v>
      </c>
      <c r="H2958">
        <v>131237.31</v>
      </c>
      <c r="I2958">
        <v>121.07</v>
      </c>
      <c r="J2958">
        <v>7489</v>
      </c>
      <c r="K2958">
        <v>702801.08000000007</v>
      </c>
      <c r="L2958">
        <v>93.84</v>
      </c>
      <c r="M2958">
        <v>8616</v>
      </c>
      <c r="N2958">
        <v>834038.39000000013</v>
      </c>
      <c r="O2958">
        <v>97.29</v>
      </c>
    </row>
    <row r="2959" spans="1:15" x14ac:dyDescent="0.35">
      <c r="A2959" t="s">
        <v>3377</v>
      </c>
      <c r="B2959" t="s">
        <v>3378</v>
      </c>
      <c r="C2959" t="s">
        <v>898</v>
      </c>
      <c r="D2959" t="s">
        <v>334</v>
      </c>
      <c r="E2959" t="s">
        <v>308</v>
      </c>
      <c r="F2959" t="s">
        <v>3408</v>
      </c>
      <c r="G2959">
        <v>1</v>
      </c>
      <c r="H2959">
        <v>85.2</v>
      </c>
      <c r="I2959">
        <v>85.2</v>
      </c>
      <c r="J2959">
        <v>0</v>
      </c>
      <c r="K2959">
        <v>0</v>
      </c>
      <c r="L2959">
        <v>0</v>
      </c>
      <c r="M2959">
        <v>1</v>
      </c>
      <c r="N2959">
        <v>85.2</v>
      </c>
      <c r="O2959">
        <v>85.2</v>
      </c>
    </row>
    <row r="2960" spans="1:15" x14ac:dyDescent="0.35">
      <c r="A2960" t="s">
        <v>3377</v>
      </c>
      <c r="B2960" t="s">
        <v>3378</v>
      </c>
      <c r="C2960" t="s">
        <v>898</v>
      </c>
      <c r="D2960" t="s">
        <v>337</v>
      </c>
      <c r="E2960" t="s">
        <v>337</v>
      </c>
      <c r="F2960" t="s">
        <v>3409</v>
      </c>
      <c r="G2960">
        <v>365</v>
      </c>
      <c r="J2960">
        <v>11</v>
      </c>
      <c r="M2960">
        <v>376</v>
      </c>
    </row>
    <row r="2961" spans="1:15" x14ac:dyDescent="0.35">
      <c r="A2961" t="s">
        <v>3377</v>
      </c>
      <c r="B2961" t="s">
        <v>3378</v>
      </c>
      <c r="C2961" t="s">
        <v>898</v>
      </c>
      <c r="D2961" t="s">
        <v>339</v>
      </c>
      <c r="E2961" t="s">
        <v>294</v>
      </c>
      <c r="F2961" t="s">
        <v>3410</v>
      </c>
      <c r="G2961">
        <v>72</v>
      </c>
      <c r="H2961">
        <v>7934.9000000000005</v>
      </c>
      <c r="I2961">
        <v>110.21</v>
      </c>
      <c r="J2961">
        <v>0</v>
      </c>
      <c r="K2961">
        <v>0</v>
      </c>
      <c r="L2961">
        <v>0</v>
      </c>
      <c r="M2961">
        <v>72</v>
      </c>
      <c r="N2961">
        <v>7934.9000000000005</v>
      </c>
      <c r="O2961">
        <v>110.21</v>
      </c>
    </row>
    <row r="2962" spans="1:15" x14ac:dyDescent="0.35">
      <c r="A2962" t="s">
        <v>3377</v>
      </c>
      <c r="B2962" t="s">
        <v>3378</v>
      </c>
      <c r="C2962" t="s">
        <v>898</v>
      </c>
      <c r="D2962" t="s">
        <v>339</v>
      </c>
      <c r="E2962" t="s">
        <v>296</v>
      </c>
      <c r="F2962" t="s">
        <v>3411</v>
      </c>
      <c r="G2962">
        <v>50</v>
      </c>
      <c r="H2962">
        <v>6991.6500000000005</v>
      </c>
      <c r="I2962">
        <v>139.83000000000001</v>
      </c>
      <c r="J2962">
        <v>0</v>
      </c>
      <c r="K2962">
        <v>0</v>
      </c>
      <c r="L2962">
        <v>0</v>
      </c>
      <c r="M2962">
        <v>50</v>
      </c>
      <c r="N2962">
        <v>6991.6500000000005</v>
      </c>
      <c r="O2962">
        <v>139.83000000000001</v>
      </c>
    </row>
    <row r="2963" spans="1:15" x14ac:dyDescent="0.35">
      <c r="A2963" t="s">
        <v>3377</v>
      </c>
      <c r="B2963" t="s">
        <v>3378</v>
      </c>
      <c r="C2963" t="s">
        <v>898</v>
      </c>
      <c r="D2963" t="s">
        <v>339</v>
      </c>
      <c r="E2963" t="s">
        <v>298</v>
      </c>
      <c r="F2963" t="s">
        <v>3412</v>
      </c>
      <c r="G2963">
        <v>0</v>
      </c>
      <c r="H2963">
        <v>0</v>
      </c>
      <c r="I2963">
        <v>0</v>
      </c>
      <c r="J2963">
        <v>0</v>
      </c>
      <c r="K2963">
        <v>0</v>
      </c>
      <c r="L2963">
        <v>0</v>
      </c>
      <c r="M2963">
        <v>0</v>
      </c>
      <c r="N2963">
        <v>0</v>
      </c>
      <c r="O2963">
        <v>0</v>
      </c>
    </row>
    <row r="2964" spans="1:15" x14ac:dyDescent="0.35">
      <c r="A2964" t="s">
        <v>3377</v>
      </c>
      <c r="B2964" t="s">
        <v>3378</v>
      </c>
      <c r="C2964" t="s">
        <v>898</v>
      </c>
      <c r="D2964" t="s">
        <v>339</v>
      </c>
      <c r="E2964" t="s">
        <v>300</v>
      </c>
      <c r="F2964" t="s">
        <v>3413</v>
      </c>
      <c r="G2964">
        <v>0</v>
      </c>
      <c r="H2964">
        <v>0</v>
      </c>
      <c r="I2964">
        <v>0</v>
      </c>
      <c r="J2964">
        <v>0</v>
      </c>
      <c r="K2964">
        <v>0</v>
      </c>
      <c r="L2964">
        <v>0</v>
      </c>
      <c r="M2964">
        <v>0</v>
      </c>
      <c r="N2964">
        <v>0</v>
      </c>
      <c r="O2964">
        <v>0</v>
      </c>
    </row>
    <row r="2965" spans="1:15" x14ac:dyDescent="0.35">
      <c r="A2965" t="s">
        <v>3377</v>
      </c>
      <c r="B2965" t="s">
        <v>3378</v>
      </c>
      <c r="C2965" t="s">
        <v>898</v>
      </c>
      <c r="D2965" t="s">
        <v>339</v>
      </c>
      <c r="E2965" t="s">
        <v>306</v>
      </c>
      <c r="F2965" t="s">
        <v>3414</v>
      </c>
      <c r="G2965">
        <v>17</v>
      </c>
      <c r="H2965">
        <v>1804.24</v>
      </c>
      <c r="I2965">
        <v>106.13</v>
      </c>
      <c r="J2965">
        <v>0</v>
      </c>
      <c r="K2965">
        <v>0</v>
      </c>
      <c r="L2965">
        <v>0</v>
      </c>
      <c r="M2965">
        <v>17</v>
      </c>
      <c r="N2965">
        <v>1804.24</v>
      </c>
      <c r="O2965">
        <v>106.13</v>
      </c>
    </row>
    <row r="2966" spans="1:15" x14ac:dyDescent="0.35">
      <c r="A2966" t="s">
        <v>3377</v>
      </c>
      <c r="B2966" t="s">
        <v>3378</v>
      </c>
      <c r="C2966" t="s">
        <v>898</v>
      </c>
      <c r="D2966" t="s">
        <v>339</v>
      </c>
      <c r="E2966" t="s">
        <v>308</v>
      </c>
      <c r="F2966" t="s">
        <v>3415</v>
      </c>
      <c r="G2966">
        <v>57</v>
      </c>
      <c r="H2966">
        <v>8035.380000000001</v>
      </c>
      <c r="I2966">
        <v>140.97</v>
      </c>
      <c r="J2966">
        <v>0</v>
      </c>
      <c r="K2966">
        <v>0</v>
      </c>
      <c r="L2966">
        <v>0</v>
      </c>
      <c r="M2966">
        <v>57</v>
      </c>
      <c r="N2966">
        <v>8035.380000000001</v>
      </c>
      <c r="O2966">
        <v>140.97</v>
      </c>
    </row>
    <row r="2967" spans="1:15" x14ac:dyDescent="0.35">
      <c r="A2967" t="s">
        <v>3377</v>
      </c>
      <c r="B2967" t="s">
        <v>3378</v>
      </c>
      <c r="C2967" t="s">
        <v>898</v>
      </c>
      <c r="D2967" t="s">
        <v>339</v>
      </c>
      <c r="E2967" t="s">
        <v>310</v>
      </c>
      <c r="F2967" t="s">
        <v>3416</v>
      </c>
      <c r="G2967">
        <v>196</v>
      </c>
      <c r="H2967">
        <v>24766.170000000002</v>
      </c>
      <c r="I2967">
        <v>126.36</v>
      </c>
      <c r="J2967">
        <v>0</v>
      </c>
      <c r="K2967">
        <v>0</v>
      </c>
      <c r="L2967">
        <v>0</v>
      </c>
      <c r="M2967">
        <v>196</v>
      </c>
      <c r="N2967">
        <v>24766.170000000002</v>
      </c>
      <c r="O2967">
        <v>126.36</v>
      </c>
    </row>
    <row r="2968" spans="1:15" x14ac:dyDescent="0.35">
      <c r="A2968" t="s">
        <v>3377</v>
      </c>
      <c r="B2968" t="s">
        <v>3378</v>
      </c>
      <c r="C2968" t="s">
        <v>898</v>
      </c>
      <c r="D2968" t="s">
        <v>339</v>
      </c>
      <c r="E2968" t="s">
        <v>312</v>
      </c>
      <c r="F2968" t="s">
        <v>3417</v>
      </c>
      <c r="G2968">
        <v>139</v>
      </c>
      <c r="H2968">
        <v>16730.79</v>
      </c>
      <c r="I2968">
        <v>120.37</v>
      </c>
      <c r="J2968">
        <v>0</v>
      </c>
      <c r="K2968">
        <v>0</v>
      </c>
      <c r="L2968">
        <v>0</v>
      </c>
      <c r="M2968">
        <v>139</v>
      </c>
      <c r="N2968">
        <v>16730.79</v>
      </c>
      <c r="O2968">
        <v>120.37</v>
      </c>
    </row>
    <row r="2969" spans="1:15" x14ac:dyDescent="0.35">
      <c r="A2969" t="s">
        <v>3377</v>
      </c>
      <c r="B2969" t="s">
        <v>3378</v>
      </c>
      <c r="C2969" t="s">
        <v>898</v>
      </c>
      <c r="D2969" t="s">
        <v>348</v>
      </c>
      <c r="E2969" t="s">
        <v>349</v>
      </c>
      <c r="F2969" t="s">
        <v>3418</v>
      </c>
      <c r="G2969">
        <v>201</v>
      </c>
      <c r="H2969">
        <v>24766.170000000002</v>
      </c>
      <c r="I2969">
        <v>126.36</v>
      </c>
      <c r="J2969">
        <v>0</v>
      </c>
      <c r="K2969">
        <v>0</v>
      </c>
      <c r="L2969">
        <v>0</v>
      </c>
      <c r="M2969">
        <v>201</v>
      </c>
      <c r="N2969">
        <v>24766.170000000002</v>
      </c>
      <c r="O2969">
        <v>126.36</v>
      </c>
    </row>
    <row r="2970" spans="1:15" x14ac:dyDescent="0.35">
      <c r="A2970" t="s">
        <v>3419</v>
      </c>
      <c r="B2970" t="s">
        <v>3420</v>
      </c>
      <c r="C2970" t="s">
        <v>898</v>
      </c>
      <c r="D2970" t="s">
        <v>293</v>
      </c>
      <c r="E2970" t="s">
        <v>294</v>
      </c>
      <c r="F2970" t="s">
        <v>3421</v>
      </c>
      <c r="G2970">
        <v>175</v>
      </c>
      <c r="H2970">
        <v>19316.88</v>
      </c>
      <c r="I2970">
        <v>110.38</v>
      </c>
      <c r="J2970">
        <v>2</v>
      </c>
      <c r="K2970">
        <v>186.64</v>
      </c>
      <c r="L2970">
        <v>93.32</v>
      </c>
      <c r="M2970">
        <v>177</v>
      </c>
      <c r="N2970">
        <v>19503.52</v>
      </c>
      <c r="O2970">
        <v>110.19</v>
      </c>
    </row>
    <row r="2971" spans="1:15" x14ac:dyDescent="0.35">
      <c r="A2971" t="s">
        <v>3419</v>
      </c>
      <c r="B2971" t="s">
        <v>3420</v>
      </c>
      <c r="C2971" t="s">
        <v>898</v>
      </c>
      <c r="D2971" t="s">
        <v>293</v>
      </c>
      <c r="E2971" t="s">
        <v>296</v>
      </c>
      <c r="F2971" t="s">
        <v>3422</v>
      </c>
      <c r="G2971">
        <v>479</v>
      </c>
      <c r="H2971">
        <v>63933.830000000009</v>
      </c>
      <c r="I2971">
        <v>133.47</v>
      </c>
      <c r="J2971">
        <v>17</v>
      </c>
      <c r="K2971">
        <v>2072.98</v>
      </c>
      <c r="L2971">
        <v>121.94</v>
      </c>
      <c r="M2971">
        <v>496</v>
      </c>
      <c r="N2971">
        <v>66006.810000000012</v>
      </c>
      <c r="O2971">
        <v>133.08000000000001</v>
      </c>
    </row>
    <row r="2972" spans="1:15" x14ac:dyDescent="0.35">
      <c r="A2972" t="s">
        <v>3419</v>
      </c>
      <c r="B2972" t="s">
        <v>3420</v>
      </c>
      <c r="C2972" t="s">
        <v>898</v>
      </c>
      <c r="D2972" t="s">
        <v>293</v>
      </c>
      <c r="E2972" t="s">
        <v>298</v>
      </c>
      <c r="F2972" t="s">
        <v>3423</v>
      </c>
      <c r="G2972">
        <v>251</v>
      </c>
      <c r="H2972">
        <v>40113.920000000006</v>
      </c>
      <c r="I2972">
        <v>159.82</v>
      </c>
      <c r="J2972">
        <v>2</v>
      </c>
      <c r="K2972">
        <v>268.2</v>
      </c>
      <c r="L2972">
        <v>134.1</v>
      </c>
      <c r="M2972">
        <v>253</v>
      </c>
      <c r="N2972">
        <v>40382.120000000003</v>
      </c>
      <c r="O2972">
        <v>159.61000000000001</v>
      </c>
    </row>
    <row r="2973" spans="1:15" x14ac:dyDescent="0.35">
      <c r="A2973" t="s">
        <v>3419</v>
      </c>
      <c r="B2973" t="s">
        <v>3420</v>
      </c>
      <c r="C2973" t="s">
        <v>898</v>
      </c>
      <c r="D2973" t="s">
        <v>293</v>
      </c>
      <c r="E2973" t="s">
        <v>300</v>
      </c>
      <c r="F2973" t="s">
        <v>3424</v>
      </c>
      <c r="G2973">
        <v>53</v>
      </c>
      <c r="H2973">
        <v>10187.629999999999</v>
      </c>
      <c r="I2973">
        <v>192.22</v>
      </c>
      <c r="J2973">
        <v>0</v>
      </c>
      <c r="K2973">
        <v>0</v>
      </c>
      <c r="L2973">
        <v>0</v>
      </c>
      <c r="M2973">
        <v>53</v>
      </c>
      <c r="N2973">
        <v>10187.629999999999</v>
      </c>
      <c r="O2973">
        <v>192.22</v>
      </c>
    </row>
    <row r="2974" spans="1:15" x14ac:dyDescent="0.35">
      <c r="A2974" t="s">
        <v>3419</v>
      </c>
      <c r="B2974" t="s">
        <v>3420</v>
      </c>
      <c r="C2974" t="s">
        <v>898</v>
      </c>
      <c r="D2974" t="s">
        <v>293</v>
      </c>
      <c r="E2974" t="s">
        <v>302</v>
      </c>
      <c r="F2974" t="s">
        <v>3425</v>
      </c>
      <c r="G2974">
        <v>0</v>
      </c>
      <c r="H2974">
        <v>0</v>
      </c>
      <c r="I2974">
        <v>0</v>
      </c>
      <c r="J2974">
        <v>0</v>
      </c>
      <c r="K2974">
        <v>0</v>
      </c>
      <c r="L2974">
        <v>0</v>
      </c>
      <c r="M2974">
        <v>0</v>
      </c>
      <c r="N2974">
        <v>0</v>
      </c>
      <c r="O2974">
        <v>0</v>
      </c>
    </row>
    <row r="2975" spans="1:15" x14ac:dyDescent="0.35">
      <c r="A2975" t="s">
        <v>3419</v>
      </c>
      <c r="B2975" t="s">
        <v>3420</v>
      </c>
      <c r="C2975" t="s">
        <v>898</v>
      </c>
      <c r="D2975" t="s">
        <v>293</v>
      </c>
      <c r="E2975" t="s">
        <v>304</v>
      </c>
      <c r="F2975" t="s">
        <v>3426</v>
      </c>
      <c r="G2975">
        <v>0</v>
      </c>
      <c r="H2975">
        <v>0</v>
      </c>
      <c r="I2975">
        <v>0</v>
      </c>
      <c r="J2975">
        <v>0</v>
      </c>
      <c r="K2975">
        <v>0</v>
      </c>
      <c r="L2975">
        <v>0</v>
      </c>
      <c r="M2975">
        <v>0</v>
      </c>
      <c r="N2975">
        <v>0</v>
      </c>
      <c r="O2975">
        <v>0</v>
      </c>
    </row>
    <row r="2976" spans="1:15" x14ac:dyDescent="0.35">
      <c r="A2976" t="s">
        <v>3419</v>
      </c>
      <c r="B2976" t="s">
        <v>3420</v>
      </c>
      <c r="C2976" t="s">
        <v>898</v>
      </c>
      <c r="D2976" t="s">
        <v>293</v>
      </c>
      <c r="E2976" t="s">
        <v>306</v>
      </c>
      <c r="F2976" t="s">
        <v>3427</v>
      </c>
      <c r="G2976">
        <v>0</v>
      </c>
      <c r="H2976">
        <v>0</v>
      </c>
      <c r="I2976">
        <v>0</v>
      </c>
      <c r="J2976">
        <v>0</v>
      </c>
      <c r="K2976">
        <v>0</v>
      </c>
      <c r="L2976">
        <v>0</v>
      </c>
      <c r="M2976">
        <v>0</v>
      </c>
      <c r="N2976">
        <v>0</v>
      </c>
      <c r="O2976">
        <v>0</v>
      </c>
    </row>
    <row r="2977" spans="1:15" x14ac:dyDescent="0.35">
      <c r="A2977" t="s">
        <v>3419</v>
      </c>
      <c r="B2977" t="s">
        <v>3420</v>
      </c>
      <c r="C2977" t="s">
        <v>898</v>
      </c>
      <c r="D2977" t="s">
        <v>293</v>
      </c>
      <c r="E2977" t="s">
        <v>308</v>
      </c>
      <c r="F2977" t="s">
        <v>3428</v>
      </c>
      <c r="G2977">
        <v>0</v>
      </c>
      <c r="H2977">
        <v>0</v>
      </c>
      <c r="I2977">
        <v>0</v>
      </c>
      <c r="J2977">
        <v>0</v>
      </c>
      <c r="K2977">
        <v>0</v>
      </c>
      <c r="L2977">
        <v>0</v>
      </c>
      <c r="M2977">
        <v>0</v>
      </c>
      <c r="N2977">
        <v>0</v>
      </c>
      <c r="O2977">
        <v>0</v>
      </c>
    </row>
    <row r="2978" spans="1:15" x14ac:dyDescent="0.35">
      <c r="A2978" t="s">
        <v>3419</v>
      </c>
      <c r="B2978" t="s">
        <v>3420</v>
      </c>
      <c r="C2978" t="s">
        <v>898</v>
      </c>
      <c r="D2978" t="s">
        <v>293</v>
      </c>
      <c r="E2978" t="s">
        <v>310</v>
      </c>
      <c r="F2978" t="s">
        <v>3429</v>
      </c>
      <c r="G2978">
        <v>958</v>
      </c>
      <c r="H2978">
        <v>133552.26</v>
      </c>
      <c r="I2978">
        <v>139.41</v>
      </c>
      <c r="J2978">
        <v>21</v>
      </c>
      <c r="K2978">
        <v>2527.8199999999997</v>
      </c>
      <c r="L2978">
        <v>120.37</v>
      </c>
      <c r="M2978">
        <v>979</v>
      </c>
      <c r="N2978">
        <v>136080.08000000002</v>
      </c>
      <c r="O2978">
        <v>139</v>
      </c>
    </row>
    <row r="2979" spans="1:15" x14ac:dyDescent="0.35">
      <c r="A2979" t="s">
        <v>3419</v>
      </c>
      <c r="B2979" t="s">
        <v>3420</v>
      </c>
      <c r="C2979" t="s">
        <v>898</v>
      </c>
      <c r="D2979" t="s">
        <v>293</v>
      </c>
      <c r="E2979" t="s">
        <v>312</v>
      </c>
      <c r="F2979" t="s">
        <v>3430</v>
      </c>
      <c r="G2979">
        <v>958</v>
      </c>
      <c r="H2979">
        <v>133552.26</v>
      </c>
      <c r="I2979">
        <v>139.41</v>
      </c>
      <c r="J2979">
        <v>21</v>
      </c>
      <c r="K2979">
        <v>2527.8199999999997</v>
      </c>
      <c r="L2979">
        <v>120.37</v>
      </c>
      <c r="M2979">
        <v>979</v>
      </c>
      <c r="N2979">
        <v>136080.08000000002</v>
      </c>
      <c r="O2979">
        <v>139</v>
      </c>
    </row>
    <row r="2980" spans="1:15" x14ac:dyDescent="0.35">
      <c r="A2980" t="s">
        <v>3419</v>
      </c>
      <c r="B2980" t="s">
        <v>3420</v>
      </c>
      <c r="C2980" t="s">
        <v>898</v>
      </c>
      <c r="D2980" t="s">
        <v>314</v>
      </c>
      <c r="E2980" t="s">
        <v>294</v>
      </c>
      <c r="F2980" t="s">
        <v>3431</v>
      </c>
      <c r="G2980">
        <v>8</v>
      </c>
      <c r="H2980">
        <v>3290.56</v>
      </c>
      <c r="I2980">
        <v>411.32</v>
      </c>
      <c r="J2980">
        <v>0</v>
      </c>
      <c r="K2980">
        <v>0</v>
      </c>
      <c r="L2980">
        <v>0</v>
      </c>
      <c r="M2980">
        <v>8</v>
      </c>
      <c r="N2980">
        <v>3290.56</v>
      </c>
      <c r="O2980">
        <v>411.32</v>
      </c>
    </row>
    <row r="2981" spans="1:15" x14ac:dyDescent="0.35">
      <c r="A2981" t="s">
        <v>3419</v>
      </c>
      <c r="B2981" t="s">
        <v>3420</v>
      </c>
      <c r="C2981" t="s">
        <v>898</v>
      </c>
      <c r="D2981" t="s">
        <v>314</v>
      </c>
      <c r="E2981" t="s">
        <v>296</v>
      </c>
      <c r="F2981" t="s">
        <v>3432</v>
      </c>
      <c r="G2981">
        <v>3</v>
      </c>
      <c r="H2981">
        <v>446.93999999999994</v>
      </c>
      <c r="I2981">
        <v>148.97999999999999</v>
      </c>
      <c r="J2981">
        <v>0</v>
      </c>
      <c r="K2981">
        <v>0</v>
      </c>
      <c r="L2981">
        <v>0</v>
      </c>
      <c r="M2981">
        <v>3</v>
      </c>
      <c r="N2981">
        <v>446.93999999999994</v>
      </c>
      <c r="O2981">
        <v>148.97999999999999</v>
      </c>
    </row>
    <row r="2982" spans="1:15" x14ac:dyDescent="0.35">
      <c r="A2982" t="s">
        <v>3419</v>
      </c>
      <c r="B2982" t="s">
        <v>3420</v>
      </c>
      <c r="C2982" t="s">
        <v>898</v>
      </c>
      <c r="D2982" t="s">
        <v>314</v>
      </c>
      <c r="E2982" t="s">
        <v>298</v>
      </c>
      <c r="F2982" t="s">
        <v>3433</v>
      </c>
      <c r="G2982">
        <v>0</v>
      </c>
      <c r="H2982">
        <v>0</v>
      </c>
      <c r="I2982">
        <v>0</v>
      </c>
      <c r="J2982">
        <v>0</v>
      </c>
      <c r="K2982">
        <v>0</v>
      </c>
      <c r="L2982">
        <v>0</v>
      </c>
      <c r="M2982">
        <v>0</v>
      </c>
      <c r="N2982">
        <v>0</v>
      </c>
      <c r="O2982">
        <v>0</v>
      </c>
    </row>
    <row r="2983" spans="1:15" x14ac:dyDescent="0.35">
      <c r="A2983" t="s">
        <v>3419</v>
      </c>
      <c r="B2983" t="s">
        <v>3420</v>
      </c>
      <c r="C2983" t="s">
        <v>898</v>
      </c>
      <c r="D2983" t="s">
        <v>314</v>
      </c>
      <c r="E2983" t="s">
        <v>300</v>
      </c>
      <c r="F2983" t="s">
        <v>3434</v>
      </c>
      <c r="G2983">
        <v>0</v>
      </c>
      <c r="H2983">
        <v>0</v>
      </c>
      <c r="I2983">
        <v>0</v>
      </c>
      <c r="J2983">
        <v>0</v>
      </c>
      <c r="K2983">
        <v>0</v>
      </c>
      <c r="L2983">
        <v>0</v>
      </c>
      <c r="M2983">
        <v>0</v>
      </c>
      <c r="N2983">
        <v>0</v>
      </c>
      <c r="O2983">
        <v>0</v>
      </c>
    </row>
    <row r="2984" spans="1:15" x14ac:dyDescent="0.35">
      <c r="A2984" t="s">
        <v>3419</v>
      </c>
      <c r="B2984" t="s">
        <v>3420</v>
      </c>
      <c r="C2984" t="s">
        <v>898</v>
      </c>
      <c r="D2984" t="s">
        <v>314</v>
      </c>
      <c r="E2984" t="s">
        <v>306</v>
      </c>
      <c r="F2984" t="s">
        <v>3435</v>
      </c>
      <c r="G2984">
        <v>0</v>
      </c>
      <c r="H2984">
        <v>0</v>
      </c>
      <c r="I2984">
        <v>0</v>
      </c>
      <c r="J2984">
        <v>0</v>
      </c>
      <c r="K2984">
        <v>0</v>
      </c>
      <c r="L2984">
        <v>0</v>
      </c>
      <c r="M2984">
        <v>0</v>
      </c>
      <c r="N2984">
        <v>0</v>
      </c>
      <c r="O2984">
        <v>0</v>
      </c>
    </row>
    <row r="2985" spans="1:15" x14ac:dyDescent="0.35">
      <c r="A2985" t="s">
        <v>3419</v>
      </c>
      <c r="B2985" t="s">
        <v>3420</v>
      </c>
      <c r="C2985" t="s">
        <v>898</v>
      </c>
      <c r="D2985" t="s">
        <v>314</v>
      </c>
      <c r="E2985" t="s">
        <v>308</v>
      </c>
      <c r="F2985" t="s">
        <v>3436</v>
      </c>
      <c r="G2985">
        <v>0</v>
      </c>
      <c r="H2985">
        <v>0</v>
      </c>
      <c r="I2985">
        <v>0</v>
      </c>
      <c r="J2985">
        <v>0</v>
      </c>
      <c r="K2985">
        <v>0</v>
      </c>
      <c r="L2985">
        <v>0</v>
      </c>
      <c r="M2985">
        <v>0</v>
      </c>
      <c r="N2985">
        <v>0</v>
      </c>
      <c r="O2985">
        <v>0</v>
      </c>
    </row>
    <row r="2986" spans="1:15" x14ac:dyDescent="0.35">
      <c r="A2986" t="s">
        <v>3419</v>
      </c>
      <c r="B2986" t="s">
        <v>3420</v>
      </c>
      <c r="C2986" t="s">
        <v>898</v>
      </c>
      <c r="D2986" t="s">
        <v>314</v>
      </c>
      <c r="E2986" t="s">
        <v>312</v>
      </c>
      <c r="F2986" t="s">
        <v>3437</v>
      </c>
      <c r="G2986">
        <v>11</v>
      </c>
      <c r="H2986">
        <v>3737.5</v>
      </c>
      <c r="I2986">
        <v>339.77</v>
      </c>
      <c r="J2986">
        <v>0</v>
      </c>
      <c r="K2986">
        <v>0</v>
      </c>
      <c r="L2986">
        <v>0</v>
      </c>
      <c r="M2986">
        <v>11</v>
      </c>
      <c r="N2986">
        <v>3737.5</v>
      </c>
      <c r="O2986">
        <v>339.77</v>
      </c>
    </row>
    <row r="2987" spans="1:15" x14ac:dyDescent="0.35">
      <c r="A2987" t="s">
        <v>3419</v>
      </c>
      <c r="B2987" t="s">
        <v>3420</v>
      </c>
      <c r="C2987" t="s">
        <v>898</v>
      </c>
      <c r="D2987" t="s">
        <v>314</v>
      </c>
      <c r="E2987" t="s">
        <v>310</v>
      </c>
      <c r="F2987" t="s">
        <v>3438</v>
      </c>
      <c r="G2987">
        <v>11</v>
      </c>
      <c r="H2987">
        <v>3737.5</v>
      </c>
      <c r="I2987">
        <v>339.77</v>
      </c>
      <c r="J2987">
        <v>0</v>
      </c>
      <c r="K2987">
        <v>0</v>
      </c>
      <c r="L2987">
        <v>0</v>
      </c>
      <c r="M2987">
        <v>11</v>
      </c>
      <c r="N2987">
        <v>3737.5</v>
      </c>
      <c r="O2987">
        <v>339.77</v>
      </c>
    </row>
    <row r="2988" spans="1:15" x14ac:dyDescent="0.35">
      <c r="A2988" t="s">
        <v>3419</v>
      </c>
      <c r="B2988" t="s">
        <v>3420</v>
      </c>
      <c r="C2988" t="s">
        <v>898</v>
      </c>
      <c r="D2988" t="s">
        <v>323</v>
      </c>
      <c r="E2988" t="s">
        <v>294</v>
      </c>
      <c r="F2988" t="s">
        <v>3439</v>
      </c>
      <c r="G2988">
        <v>211</v>
      </c>
      <c r="H2988">
        <v>19928.530000000002</v>
      </c>
      <c r="I2988">
        <v>94.45</v>
      </c>
      <c r="J2988">
        <v>168</v>
      </c>
      <c r="K2988">
        <v>13873.44</v>
      </c>
      <c r="L2988">
        <v>82.58</v>
      </c>
      <c r="M2988">
        <v>379</v>
      </c>
      <c r="N2988">
        <v>33801.97</v>
      </c>
      <c r="O2988">
        <v>89.19</v>
      </c>
    </row>
    <row r="2989" spans="1:15" x14ac:dyDescent="0.35">
      <c r="A2989" t="s">
        <v>3419</v>
      </c>
      <c r="B2989" t="s">
        <v>3420</v>
      </c>
      <c r="C2989" t="s">
        <v>898</v>
      </c>
      <c r="D2989" t="s">
        <v>323</v>
      </c>
      <c r="E2989" t="s">
        <v>296</v>
      </c>
      <c r="F2989" t="s">
        <v>3440</v>
      </c>
      <c r="G2989">
        <v>669</v>
      </c>
      <c r="H2989">
        <v>76228.86</v>
      </c>
      <c r="I2989">
        <v>113.94</v>
      </c>
      <c r="J2989">
        <v>788</v>
      </c>
      <c r="K2989">
        <v>74584.200000000012</v>
      </c>
      <c r="L2989">
        <v>94.65</v>
      </c>
      <c r="M2989">
        <v>1457</v>
      </c>
      <c r="N2989">
        <v>150813.06</v>
      </c>
      <c r="O2989">
        <v>103.51</v>
      </c>
    </row>
    <row r="2990" spans="1:15" x14ac:dyDescent="0.35">
      <c r="A2990" t="s">
        <v>3419</v>
      </c>
      <c r="B2990" t="s">
        <v>3420</v>
      </c>
      <c r="C2990" t="s">
        <v>898</v>
      </c>
      <c r="D2990" t="s">
        <v>323</v>
      </c>
      <c r="E2990" t="s">
        <v>298</v>
      </c>
      <c r="F2990" t="s">
        <v>3441</v>
      </c>
      <c r="G2990">
        <v>486</v>
      </c>
      <c r="H2990">
        <v>62013.35</v>
      </c>
      <c r="I2990">
        <v>127.6</v>
      </c>
      <c r="J2990">
        <v>963</v>
      </c>
      <c r="K2990">
        <v>96627.42</v>
      </c>
      <c r="L2990">
        <v>100.34</v>
      </c>
      <c r="M2990">
        <v>1449</v>
      </c>
      <c r="N2990">
        <v>158640.76999999999</v>
      </c>
      <c r="O2990">
        <v>109.48</v>
      </c>
    </row>
    <row r="2991" spans="1:15" x14ac:dyDescent="0.35">
      <c r="A2991" t="s">
        <v>3419</v>
      </c>
      <c r="B2991" t="s">
        <v>3420</v>
      </c>
      <c r="C2991" t="s">
        <v>898</v>
      </c>
      <c r="D2991" t="s">
        <v>323</v>
      </c>
      <c r="E2991" t="s">
        <v>300</v>
      </c>
      <c r="F2991" t="s">
        <v>3442</v>
      </c>
      <c r="G2991">
        <v>55</v>
      </c>
      <c r="H2991">
        <v>7935.01</v>
      </c>
      <c r="I2991">
        <v>144.27000000000001</v>
      </c>
      <c r="J2991">
        <v>41</v>
      </c>
      <c r="K2991">
        <v>4401.76</v>
      </c>
      <c r="L2991">
        <v>107.36</v>
      </c>
      <c r="M2991">
        <v>96</v>
      </c>
      <c r="N2991">
        <v>12336.77</v>
      </c>
      <c r="O2991">
        <v>128.51</v>
      </c>
    </row>
    <row r="2992" spans="1:15" x14ac:dyDescent="0.35">
      <c r="A2992" t="s">
        <v>3419</v>
      </c>
      <c r="B2992" t="s">
        <v>3420</v>
      </c>
      <c r="C2992" t="s">
        <v>898</v>
      </c>
      <c r="D2992" t="s">
        <v>323</v>
      </c>
      <c r="E2992" t="s">
        <v>302</v>
      </c>
      <c r="F2992" t="s">
        <v>3443</v>
      </c>
      <c r="G2992">
        <v>0</v>
      </c>
      <c r="H2992">
        <v>0</v>
      </c>
      <c r="I2992">
        <v>0</v>
      </c>
      <c r="J2992">
        <v>2</v>
      </c>
      <c r="K2992">
        <v>246.44</v>
      </c>
      <c r="L2992">
        <v>123.22</v>
      </c>
      <c r="M2992">
        <v>2</v>
      </c>
      <c r="N2992">
        <v>246.44</v>
      </c>
      <c r="O2992">
        <v>123.22</v>
      </c>
    </row>
    <row r="2993" spans="1:15" x14ac:dyDescent="0.35">
      <c r="A2993" t="s">
        <v>3419</v>
      </c>
      <c r="B2993" t="s">
        <v>3420</v>
      </c>
      <c r="C2993" t="s">
        <v>898</v>
      </c>
      <c r="D2993" t="s">
        <v>323</v>
      </c>
      <c r="E2993" t="s">
        <v>304</v>
      </c>
      <c r="F2993" t="s">
        <v>3444</v>
      </c>
      <c r="G2993">
        <v>0</v>
      </c>
      <c r="H2993">
        <v>0</v>
      </c>
      <c r="I2993">
        <v>0</v>
      </c>
      <c r="J2993">
        <v>0</v>
      </c>
      <c r="K2993">
        <v>0</v>
      </c>
      <c r="L2993">
        <v>0</v>
      </c>
      <c r="M2993">
        <v>0</v>
      </c>
      <c r="N2993">
        <v>0</v>
      </c>
      <c r="O2993">
        <v>0</v>
      </c>
    </row>
    <row r="2994" spans="1:15" x14ac:dyDescent="0.35">
      <c r="A2994" t="s">
        <v>3419</v>
      </c>
      <c r="B2994" t="s">
        <v>3420</v>
      </c>
      <c r="C2994" t="s">
        <v>898</v>
      </c>
      <c r="D2994" t="s">
        <v>323</v>
      </c>
      <c r="E2994" t="s">
        <v>306</v>
      </c>
      <c r="F2994" t="s">
        <v>3445</v>
      </c>
      <c r="G2994">
        <v>0</v>
      </c>
      <c r="H2994">
        <v>0</v>
      </c>
      <c r="I2994">
        <v>0</v>
      </c>
      <c r="J2994">
        <v>4</v>
      </c>
      <c r="K2994">
        <v>278</v>
      </c>
      <c r="L2994">
        <v>69.5</v>
      </c>
      <c r="M2994">
        <v>4</v>
      </c>
      <c r="N2994">
        <v>278</v>
      </c>
      <c r="O2994">
        <v>69.5</v>
      </c>
    </row>
    <row r="2995" spans="1:15" x14ac:dyDescent="0.35">
      <c r="A2995" t="s">
        <v>3419</v>
      </c>
      <c r="B2995" t="s">
        <v>3420</v>
      </c>
      <c r="C2995" t="s">
        <v>898</v>
      </c>
      <c r="D2995" t="s">
        <v>323</v>
      </c>
      <c r="E2995" t="s">
        <v>308</v>
      </c>
      <c r="F2995" t="s">
        <v>3446</v>
      </c>
      <c r="G2995">
        <v>0</v>
      </c>
      <c r="H2995">
        <v>0</v>
      </c>
      <c r="I2995">
        <v>0</v>
      </c>
      <c r="J2995">
        <v>0</v>
      </c>
      <c r="K2995">
        <v>0</v>
      </c>
      <c r="L2995">
        <v>0</v>
      </c>
      <c r="M2995">
        <v>0</v>
      </c>
      <c r="N2995">
        <v>0</v>
      </c>
      <c r="O2995">
        <v>0</v>
      </c>
    </row>
    <row r="2996" spans="1:15" x14ac:dyDescent="0.35">
      <c r="A2996" t="s">
        <v>3419</v>
      </c>
      <c r="B2996" t="s">
        <v>3420</v>
      </c>
      <c r="C2996" t="s">
        <v>898</v>
      </c>
      <c r="D2996" t="s">
        <v>323</v>
      </c>
      <c r="E2996" t="s">
        <v>310</v>
      </c>
      <c r="F2996" t="s">
        <v>3447</v>
      </c>
      <c r="G2996">
        <v>1421</v>
      </c>
      <c r="H2996">
        <v>166105.75</v>
      </c>
      <c r="I2996">
        <v>116.89</v>
      </c>
      <c r="J2996">
        <v>1966</v>
      </c>
      <c r="K2996">
        <v>190011.26</v>
      </c>
      <c r="L2996">
        <v>96.65</v>
      </c>
      <c r="M2996">
        <v>3387</v>
      </c>
      <c r="N2996">
        <v>356117.01</v>
      </c>
      <c r="O2996">
        <v>105.14</v>
      </c>
    </row>
    <row r="2997" spans="1:15" x14ac:dyDescent="0.35">
      <c r="A2997" t="s">
        <v>3419</v>
      </c>
      <c r="B2997" t="s">
        <v>3420</v>
      </c>
      <c r="C2997" t="s">
        <v>898</v>
      </c>
      <c r="D2997" t="s">
        <v>323</v>
      </c>
      <c r="E2997" t="s">
        <v>312</v>
      </c>
      <c r="F2997" t="s">
        <v>3448</v>
      </c>
      <c r="G2997">
        <v>1421</v>
      </c>
      <c r="H2997">
        <v>166105.75</v>
      </c>
      <c r="I2997">
        <v>116.89</v>
      </c>
      <c r="J2997">
        <v>1966</v>
      </c>
      <c r="K2997">
        <v>190011.26</v>
      </c>
      <c r="L2997">
        <v>96.65</v>
      </c>
      <c r="M2997">
        <v>3387</v>
      </c>
      <c r="N2997">
        <v>356117.01</v>
      </c>
      <c r="O2997">
        <v>105.14</v>
      </c>
    </row>
    <row r="2998" spans="1:15" x14ac:dyDescent="0.35">
      <c r="A2998" t="s">
        <v>3419</v>
      </c>
      <c r="B2998" t="s">
        <v>3420</v>
      </c>
      <c r="C2998" t="s">
        <v>898</v>
      </c>
      <c r="D2998" t="s">
        <v>334</v>
      </c>
      <c r="E2998" t="s">
        <v>312</v>
      </c>
      <c r="F2998" t="s">
        <v>3449</v>
      </c>
      <c r="G2998">
        <v>2400</v>
      </c>
      <c r="H2998">
        <v>299658.01</v>
      </c>
      <c r="I2998">
        <v>125.96</v>
      </c>
      <c r="J2998">
        <v>1987</v>
      </c>
      <c r="K2998">
        <v>192539.08000000002</v>
      </c>
      <c r="L2998">
        <v>96.9</v>
      </c>
      <c r="M2998">
        <v>4387</v>
      </c>
      <c r="N2998">
        <v>492197.09</v>
      </c>
      <c r="O2998">
        <v>112.73</v>
      </c>
    </row>
    <row r="2999" spans="1:15" x14ac:dyDescent="0.35">
      <c r="A2999" t="s">
        <v>3419</v>
      </c>
      <c r="B2999" t="s">
        <v>3420</v>
      </c>
      <c r="C2999" t="s">
        <v>898</v>
      </c>
      <c r="D2999" t="s">
        <v>334</v>
      </c>
      <c r="E2999" t="s">
        <v>308</v>
      </c>
      <c r="F2999" t="s">
        <v>3450</v>
      </c>
      <c r="G2999">
        <v>0</v>
      </c>
      <c r="H2999">
        <v>0</v>
      </c>
      <c r="I2999">
        <v>0</v>
      </c>
      <c r="J2999">
        <v>0</v>
      </c>
      <c r="K2999">
        <v>0</v>
      </c>
      <c r="L2999">
        <v>0</v>
      </c>
      <c r="M2999">
        <v>0</v>
      </c>
      <c r="N2999">
        <v>0</v>
      </c>
      <c r="O2999">
        <v>0</v>
      </c>
    </row>
    <row r="3000" spans="1:15" x14ac:dyDescent="0.35">
      <c r="A3000" t="s">
        <v>3419</v>
      </c>
      <c r="B3000" t="s">
        <v>3420</v>
      </c>
      <c r="C3000" t="s">
        <v>898</v>
      </c>
      <c r="D3000" t="s">
        <v>337</v>
      </c>
      <c r="E3000" t="s">
        <v>337</v>
      </c>
      <c r="F3000" t="s">
        <v>3451</v>
      </c>
      <c r="G3000">
        <v>630</v>
      </c>
      <c r="J3000">
        <v>0</v>
      </c>
      <c r="M3000">
        <v>630</v>
      </c>
    </row>
    <row r="3001" spans="1:15" x14ac:dyDescent="0.35">
      <c r="A3001" t="s">
        <v>3419</v>
      </c>
      <c r="B3001" t="s">
        <v>3420</v>
      </c>
      <c r="C3001" t="s">
        <v>898</v>
      </c>
      <c r="D3001" t="s">
        <v>339</v>
      </c>
      <c r="E3001" t="s">
        <v>294</v>
      </c>
      <c r="F3001" t="s">
        <v>3452</v>
      </c>
      <c r="G3001">
        <v>69</v>
      </c>
      <c r="H3001">
        <v>10266.59</v>
      </c>
      <c r="I3001">
        <v>148.79</v>
      </c>
      <c r="J3001">
        <v>518</v>
      </c>
      <c r="K3001">
        <v>45117.799999999996</v>
      </c>
      <c r="L3001">
        <v>87.1</v>
      </c>
      <c r="M3001">
        <v>587</v>
      </c>
      <c r="N3001">
        <v>55384.39</v>
      </c>
      <c r="O3001">
        <v>94.35</v>
      </c>
    </row>
    <row r="3002" spans="1:15" x14ac:dyDescent="0.35">
      <c r="A3002" t="s">
        <v>3419</v>
      </c>
      <c r="B3002" t="s">
        <v>3420</v>
      </c>
      <c r="C3002" t="s">
        <v>898</v>
      </c>
      <c r="D3002" t="s">
        <v>339</v>
      </c>
      <c r="E3002" t="s">
        <v>296</v>
      </c>
      <c r="F3002" t="s">
        <v>3453</v>
      </c>
      <c r="G3002">
        <v>79</v>
      </c>
      <c r="H3002">
        <v>10603.150000000001</v>
      </c>
      <c r="I3002">
        <v>134.22</v>
      </c>
      <c r="J3002">
        <v>404</v>
      </c>
      <c r="K3002">
        <v>39474.839999999997</v>
      </c>
      <c r="L3002">
        <v>97.71</v>
      </c>
      <c r="M3002">
        <v>483</v>
      </c>
      <c r="N3002">
        <v>50077.99</v>
      </c>
      <c r="O3002">
        <v>103.68</v>
      </c>
    </row>
    <row r="3003" spans="1:15" x14ac:dyDescent="0.35">
      <c r="A3003" t="s">
        <v>3419</v>
      </c>
      <c r="B3003" t="s">
        <v>3420</v>
      </c>
      <c r="C3003" t="s">
        <v>898</v>
      </c>
      <c r="D3003" t="s">
        <v>339</v>
      </c>
      <c r="E3003" t="s">
        <v>298</v>
      </c>
      <c r="F3003" t="s">
        <v>3454</v>
      </c>
      <c r="G3003">
        <v>5</v>
      </c>
      <c r="H3003">
        <v>653.94999999999993</v>
      </c>
      <c r="I3003">
        <v>130.79</v>
      </c>
      <c r="J3003">
        <v>3</v>
      </c>
      <c r="K3003">
        <v>307.77</v>
      </c>
      <c r="L3003">
        <v>102.59</v>
      </c>
      <c r="M3003">
        <v>8</v>
      </c>
      <c r="N3003">
        <v>961.71999999999991</v>
      </c>
      <c r="O3003">
        <v>120.22</v>
      </c>
    </row>
    <row r="3004" spans="1:15" x14ac:dyDescent="0.35">
      <c r="A3004" t="s">
        <v>3419</v>
      </c>
      <c r="B3004" t="s">
        <v>3420</v>
      </c>
      <c r="C3004" t="s">
        <v>898</v>
      </c>
      <c r="D3004" t="s">
        <v>339</v>
      </c>
      <c r="E3004" t="s">
        <v>300</v>
      </c>
      <c r="F3004" t="s">
        <v>3455</v>
      </c>
      <c r="G3004">
        <v>0</v>
      </c>
      <c r="H3004">
        <v>0</v>
      </c>
      <c r="I3004">
        <v>0</v>
      </c>
      <c r="J3004">
        <v>0</v>
      </c>
      <c r="K3004">
        <v>0</v>
      </c>
      <c r="L3004">
        <v>0</v>
      </c>
      <c r="M3004">
        <v>0</v>
      </c>
      <c r="N3004">
        <v>0</v>
      </c>
      <c r="O3004">
        <v>0</v>
      </c>
    </row>
    <row r="3005" spans="1:15" x14ac:dyDescent="0.35">
      <c r="A3005" t="s">
        <v>3419</v>
      </c>
      <c r="B3005" t="s">
        <v>3420</v>
      </c>
      <c r="C3005" t="s">
        <v>898</v>
      </c>
      <c r="D3005" t="s">
        <v>339</v>
      </c>
      <c r="E3005" t="s">
        <v>306</v>
      </c>
      <c r="F3005" t="s">
        <v>3456</v>
      </c>
      <c r="G3005">
        <v>0</v>
      </c>
      <c r="H3005">
        <v>0</v>
      </c>
      <c r="I3005">
        <v>0</v>
      </c>
      <c r="J3005">
        <v>2</v>
      </c>
      <c r="K3005">
        <v>147.58000000000001</v>
      </c>
      <c r="L3005">
        <v>73.790000000000006</v>
      </c>
      <c r="M3005">
        <v>2</v>
      </c>
      <c r="N3005">
        <v>147.58000000000001</v>
      </c>
      <c r="O3005">
        <v>73.790000000000006</v>
      </c>
    </row>
    <row r="3006" spans="1:15" x14ac:dyDescent="0.35">
      <c r="A3006" t="s">
        <v>3419</v>
      </c>
      <c r="B3006" t="s">
        <v>3420</v>
      </c>
      <c r="C3006" t="s">
        <v>898</v>
      </c>
      <c r="D3006" t="s">
        <v>339</v>
      </c>
      <c r="E3006" t="s">
        <v>308</v>
      </c>
      <c r="F3006" t="s">
        <v>3457</v>
      </c>
      <c r="G3006">
        <v>29</v>
      </c>
      <c r="H3006">
        <v>2818.27</v>
      </c>
      <c r="I3006">
        <v>97.18</v>
      </c>
      <c r="J3006">
        <v>0</v>
      </c>
      <c r="K3006">
        <v>0</v>
      </c>
      <c r="L3006">
        <v>0</v>
      </c>
      <c r="M3006">
        <v>29</v>
      </c>
      <c r="N3006">
        <v>2818.27</v>
      </c>
      <c r="O3006">
        <v>97.18</v>
      </c>
    </row>
    <row r="3007" spans="1:15" x14ac:dyDescent="0.35">
      <c r="A3007" t="s">
        <v>3419</v>
      </c>
      <c r="B3007" t="s">
        <v>3420</v>
      </c>
      <c r="C3007" t="s">
        <v>898</v>
      </c>
      <c r="D3007" t="s">
        <v>339</v>
      </c>
      <c r="E3007" t="s">
        <v>310</v>
      </c>
      <c r="F3007" t="s">
        <v>3458</v>
      </c>
      <c r="G3007">
        <v>182</v>
      </c>
      <c r="H3007">
        <v>24341.960000000003</v>
      </c>
      <c r="I3007">
        <v>133.75</v>
      </c>
      <c r="J3007">
        <v>927</v>
      </c>
      <c r="K3007">
        <v>85047.989999999991</v>
      </c>
      <c r="L3007">
        <v>91.75</v>
      </c>
      <c r="M3007">
        <v>1109</v>
      </c>
      <c r="N3007">
        <v>109389.95</v>
      </c>
      <c r="O3007">
        <v>98.64</v>
      </c>
    </row>
    <row r="3008" spans="1:15" x14ac:dyDescent="0.35">
      <c r="A3008" t="s">
        <v>3419</v>
      </c>
      <c r="B3008" t="s">
        <v>3420</v>
      </c>
      <c r="C3008" t="s">
        <v>898</v>
      </c>
      <c r="D3008" t="s">
        <v>339</v>
      </c>
      <c r="E3008" t="s">
        <v>312</v>
      </c>
      <c r="F3008" t="s">
        <v>3459</v>
      </c>
      <c r="G3008">
        <v>153</v>
      </c>
      <c r="H3008">
        <v>21523.690000000002</v>
      </c>
      <c r="I3008">
        <v>140.68</v>
      </c>
      <c r="J3008">
        <v>927</v>
      </c>
      <c r="K3008">
        <v>85047.989999999991</v>
      </c>
      <c r="L3008">
        <v>91.75</v>
      </c>
      <c r="M3008">
        <v>1080</v>
      </c>
      <c r="N3008">
        <v>106571.68</v>
      </c>
      <c r="O3008">
        <v>98.68</v>
      </c>
    </row>
    <row r="3009" spans="1:15" x14ac:dyDescent="0.35">
      <c r="A3009" t="s">
        <v>3419</v>
      </c>
      <c r="B3009" t="s">
        <v>3420</v>
      </c>
      <c r="C3009" t="s">
        <v>898</v>
      </c>
      <c r="D3009" t="s">
        <v>348</v>
      </c>
      <c r="E3009" t="s">
        <v>349</v>
      </c>
      <c r="F3009" t="s">
        <v>3460</v>
      </c>
      <c r="G3009">
        <v>198</v>
      </c>
      <c r="H3009">
        <v>28079.460000000003</v>
      </c>
      <c r="I3009">
        <v>145.49</v>
      </c>
      <c r="J3009">
        <v>927</v>
      </c>
      <c r="K3009">
        <v>85047.989999999991</v>
      </c>
      <c r="L3009">
        <v>91.75</v>
      </c>
      <c r="M3009">
        <v>1125</v>
      </c>
      <c r="N3009">
        <v>113127.45</v>
      </c>
      <c r="O3009">
        <v>101.01</v>
      </c>
    </row>
    <row r="3010" spans="1:15" x14ac:dyDescent="0.35">
      <c r="A3010" t="s">
        <v>3461</v>
      </c>
      <c r="B3010" t="s">
        <v>3462</v>
      </c>
      <c r="C3010" t="s">
        <v>1184</v>
      </c>
      <c r="D3010" t="s">
        <v>293</v>
      </c>
      <c r="E3010" t="s">
        <v>294</v>
      </c>
      <c r="F3010" t="s">
        <v>3463</v>
      </c>
      <c r="G3010">
        <v>229</v>
      </c>
      <c r="H3010">
        <v>31362.680000000004</v>
      </c>
      <c r="I3010">
        <v>136.94999999999999</v>
      </c>
      <c r="J3010">
        <v>14</v>
      </c>
      <c r="K3010">
        <v>1812.44</v>
      </c>
      <c r="L3010">
        <v>129.46</v>
      </c>
      <c r="M3010">
        <v>243</v>
      </c>
      <c r="N3010">
        <v>33175.120000000003</v>
      </c>
      <c r="O3010">
        <v>136.52000000000001</v>
      </c>
    </row>
    <row r="3011" spans="1:15" x14ac:dyDescent="0.35">
      <c r="A3011" t="s">
        <v>3461</v>
      </c>
      <c r="B3011" t="s">
        <v>3462</v>
      </c>
      <c r="C3011" t="s">
        <v>1184</v>
      </c>
      <c r="D3011" t="s">
        <v>293</v>
      </c>
      <c r="E3011" t="s">
        <v>296</v>
      </c>
      <c r="F3011" t="s">
        <v>3464</v>
      </c>
      <c r="G3011">
        <v>536</v>
      </c>
      <c r="H3011">
        <v>87102.220000000016</v>
      </c>
      <c r="I3011">
        <v>162.5</v>
      </c>
      <c r="J3011">
        <v>49</v>
      </c>
      <c r="K3011">
        <v>7670.46</v>
      </c>
      <c r="L3011">
        <v>156.54</v>
      </c>
      <c r="M3011">
        <v>585</v>
      </c>
      <c r="N3011">
        <v>94772.680000000022</v>
      </c>
      <c r="O3011">
        <v>162</v>
      </c>
    </row>
    <row r="3012" spans="1:15" x14ac:dyDescent="0.35">
      <c r="A3012" t="s">
        <v>3461</v>
      </c>
      <c r="B3012" t="s">
        <v>3462</v>
      </c>
      <c r="C3012" t="s">
        <v>1184</v>
      </c>
      <c r="D3012" t="s">
        <v>293</v>
      </c>
      <c r="E3012" t="s">
        <v>298</v>
      </c>
      <c r="F3012" t="s">
        <v>3465</v>
      </c>
      <c r="G3012">
        <v>231</v>
      </c>
      <c r="H3012">
        <v>44348.43</v>
      </c>
      <c r="I3012">
        <v>191.98</v>
      </c>
      <c r="J3012">
        <v>27</v>
      </c>
      <c r="K3012">
        <v>5035.5</v>
      </c>
      <c r="L3012">
        <v>186.5</v>
      </c>
      <c r="M3012">
        <v>258</v>
      </c>
      <c r="N3012">
        <v>49383.93</v>
      </c>
      <c r="O3012">
        <v>191.41</v>
      </c>
    </row>
    <row r="3013" spans="1:15" x14ac:dyDescent="0.35">
      <c r="A3013" t="s">
        <v>3461</v>
      </c>
      <c r="B3013" t="s">
        <v>3462</v>
      </c>
      <c r="C3013" t="s">
        <v>1184</v>
      </c>
      <c r="D3013" t="s">
        <v>293</v>
      </c>
      <c r="E3013" t="s">
        <v>300</v>
      </c>
      <c r="F3013" t="s">
        <v>3466</v>
      </c>
      <c r="G3013">
        <v>18</v>
      </c>
      <c r="H3013">
        <v>4173.51</v>
      </c>
      <c r="I3013">
        <v>231.86</v>
      </c>
      <c r="J3013">
        <v>7</v>
      </c>
      <c r="K3013">
        <v>1589.49</v>
      </c>
      <c r="L3013">
        <v>227.07</v>
      </c>
      <c r="M3013">
        <v>25</v>
      </c>
      <c r="N3013">
        <v>5763</v>
      </c>
      <c r="O3013">
        <v>230.52</v>
      </c>
    </row>
    <row r="3014" spans="1:15" x14ac:dyDescent="0.35">
      <c r="A3014" t="s">
        <v>3461</v>
      </c>
      <c r="B3014" t="s">
        <v>3462</v>
      </c>
      <c r="C3014" t="s">
        <v>1184</v>
      </c>
      <c r="D3014" t="s">
        <v>293</v>
      </c>
      <c r="E3014" t="s">
        <v>302</v>
      </c>
      <c r="F3014" t="s">
        <v>3467</v>
      </c>
      <c r="G3014">
        <v>0</v>
      </c>
      <c r="H3014">
        <v>0</v>
      </c>
      <c r="I3014">
        <v>0</v>
      </c>
      <c r="J3014">
        <v>1</v>
      </c>
      <c r="K3014">
        <v>278.36</v>
      </c>
      <c r="L3014">
        <v>278.36</v>
      </c>
      <c r="M3014">
        <v>1</v>
      </c>
      <c r="N3014">
        <v>278.36</v>
      </c>
      <c r="O3014">
        <v>278.36</v>
      </c>
    </row>
    <row r="3015" spans="1:15" x14ac:dyDescent="0.35">
      <c r="A3015" t="s">
        <v>3461</v>
      </c>
      <c r="B3015" t="s">
        <v>3462</v>
      </c>
      <c r="C3015" t="s">
        <v>1184</v>
      </c>
      <c r="D3015" t="s">
        <v>293</v>
      </c>
      <c r="E3015" t="s">
        <v>304</v>
      </c>
      <c r="F3015" t="s">
        <v>3468</v>
      </c>
      <c r="G3015">
        <v>0</v>
      </c>
      <c r="H3015">
        <v>0</v>
      </c>
      <c r="I3015">
        <v>0</v>
      </c>
      <c r="J3015">
        <v>0</v>
      </c>
      <c r="K3015">
        <v>0</v>
      </c>
      <c r="L3015">
        <v>0</v>
      </c>
      <c r="M3015">
        <v>0</v>
      </c>
      <c r="N3015">
        <v>0</v>
      </c>
      <c r="O3015">
        <v>0</v>
      </c>
    </row>
    <row r="3016" spans="1:15" x14ac:dyDescent="0.35">
      <c r="A3016" t="s">
        <v>3461</v>
      </c>
      <c r="B3016" t="s">
        <v>3462</v>
      </c>
      <c r="C3016" t="s">
        <v>1184</v>
      </c>
      <c r="D3016" t="s">
        <v>293</v>
      </c>
      <c r="E3016" t="s">
        <v>306</v>
      </c>
      <c r="F3016" t="s">
        <v>3469</v>
      </c>
      <c r="G3016">
        <v>0</v>
      </c>
      <c r="H3016">
        <v>0</v>
      </c>
      <c r="I3016">
        <v>0</v>
      </c>
      <c r="J3016">
        <v>0</v>
      </c>
      <c r="K3016">
        <v>0</v>
      </c>
      <c r="L3016">
        <v>0</v>
      </c>
      <c r="M3016">
        <v>0</v>
      </c>
      <c r="N3016">
        <v>0</v>
      </c>
      <c r="O3016">
        <v>0</v>
      </c>
    </row>
    <row r="3017" spans="1:15" x14ac:dyDescent="0.35">
      <c r="A3017" t="s">
        <v>3461</v>
      </c>
      <c r="B3017" t="s">
        <v>3462</v>
      </c>
      <c r="C3017" t="s">
        <v>1184</v>
      </c>
      <c r="D3017" t="s">
        <v>293</v>
      </c>
      <c r="E3017" t="s">
        <v>308</v>
      </c>
      <c r="F3017" t="s">
        <v>3470</v>
      </c>
      <c r="G3017">
        <v>0</v>
      </c>
      <c r="H3017">
        <v>0</v>
      </c>
      <c r="I3017">
        <v>0</v>
      </c>
      <c r="J3017">
        <v>0</v>
      </c>
      <c r="K3017">
        <v>0</v>
      </c>
      <c r="L3017">
        <v>0</v>
      </c>
      <c r="M3017">
        <v>0</v>
      </c>
      <c r="N3017">
        <v>0</v>
      </c>
      <c r="O3017">
        <v>0</v>
      </c>
    </row>
    <row r="3018" spans="1:15" x14ac:dyDescent="0.35">
      <c r="A3018" t="s">
        <v>3461</v>
      </c>
      <c r="B3018" t="s">
        <v>3462</v>
      </c>
      <c r="C3018" t="s">
        <v>1184</v>
      </c>
      <c r="D3018" t="s">
        <v>293</v>
      </c>
      <c r="E3018" t="s">
        <v>310</v>
      </c>
      <c r="F3018" t="s">
        <v>3471</v>
      </c>
      <c r="G3018">
        <v>1014</v>
      </c>
      <c r="H3018">
        <v>166986.84000000003</v>
      </c>
      <c r="I3018">
        <v>164.68</v>
      </c>
      <c r="J3018">
        <v>98</v>
      </c>
      <c r="K3018">
        <v>16386.25</v>
      </c>
      <c r="L3018">
        <v>167.21</v>
      </c>
      <c r="M3018">
        <v>1112</v>
      </c>
      <c r="N3018">
        <v>183373.09000000003</v>
      </c>
      <c r="O3018">
        <v>164.9</v>
      </c>
    </row>
    <row r="3019" spans="1:15" x14ac:dyDescent="0.35">
      <c r="A3019" t="s">
        <v>3461</v>
      </c>
      <c r="B3019" t="s">
        <v>3462</v>
      </c>
      <c r="C3019" t="s">
        <v>1184</v>
      </c>
      <c r="D3019" t="s">
        <v>293</v>
      </c>
      <c r="E3019" t="s">
        <v>312</v>
      </c>
      <c r="F3019" t="s">
        <v>3472</v>
      </c>
      <c r="G3019">
        <v>1014</v>
      </c>
      <c r="H3019">
        <v>166986.84000000003</v>
      </c>
      <c r="I3019">
        <v>164.68</v>
      </c>
      <c r="J3019">
        <v>98</v>
      </c>
      <c r="K3019">
        <v>16386.25</v>
      </c>
      <c r="L3019">
        <v>167.21</v>
      </c>
      <c r="M3019">
        <v>1112</v>
      </c>
      <c r="N3019">
        <v>183373.09000000003</v>
      </c>
      <c r="O3019">
        <v>164.9</v>
      </c>
    </row>
    <row r="3020" spans="1:15" x14ac:dyDescent="0.35">
      <c r="A3020" t="s">
        <v>3461</v>
      </c>
      <c r="B3020" t="s">
        <v>3462</v>
      </c>
      <c r="C3020" t="s">
        <v>1184</v>
      </c>
      <c r="D3020" t="s">
        <v>314</v>
      </c>
      <c r="E3020" t="s">
        <v>294</v>
      </c>
      <c r="F3020" t="s">
        <v>3473</v>
      </c>
      <c r="G3020">
        <v>1</v>
      </c>
      <c r="H3020">
        <v>147.19</v>
      </c>
      <c r="I3020">
        <v>147.19</v>
      </c>
      <c r="J3020">
        <v>1</v>
      </c>
      <c r="K3020">
        <v>124.66</v>
      </c>
      <c r="L3020">
        <v>124.66</v>
      </c>
      <c r="M3020">
        <v>2</v>
      </c>
      <c r="N3020">
        <v>271.85000000000002</v>
      </c>
      <c r="O3020">
        <v>135.93</v>
      </c>
    </row>
    <row r="3021" spans="1:15" x14ac:dyDescent="0.35">
      <c r="A3021" t="s">
        <v>3461</v>
      </c>
      <c r="B3021" t="s">
        <v>3462</v>
      </c>
      <c r="C3021" t="s">
        <v>1184</v>
      </c>
      <c r="D3021" t="s">
        <v>314</v>
      </c>
      <c r="E3021" t="s">
        <v>296</v>
      </c>
      <c r="F3021" t="s">
        <v>3474</v>
      </c>
      <c r="G3021">
        <v>0</v>
      </c>
      <c r="H3021">
        <v>0</v>
      </c>
      <c r="I3021">
        <v>0</v>
      </c>
      <c r="J3021">
        <v>0</v>
      </c>
      <c r="K3021">
        <v>0</v>
      </c>
      <c r="L3021">
        <v>0</v>
      </c>
      <c r="M3021">
        <v>0</v>
      </c>
      <c r="N3021">
        <v>0</v>
      </c>
      <c r="O3021">
        <v>0</v>
      </c>
    </row>
    <row r="3022" spans="1:15" x14ac:dyDescent="0.35">
      <c r="A3022" t="s">
        <v>3461</v>
      </c>
      <c r="B3022" t="s">
        <v>3462</v>
      </c>
      <c r="C3022" t="s">
        <v>1184</v>
      </c>
      <c r="D3022" t="s">
        <v>314</v>
      </c>
      <c r="E3022" t="s">
        <v>298</v>
      </c>
      <c r="F3022" t="s">
        <v>3475</v>
      </c>
      <c r="G3022">
        <v>0</v>
      </c>
      <c r="H3022">
        <v>0</v>
      </c>
      <c r="I3022">
        <v>0</v>
      </c>
      <c r="J3022">
        <v>0</v>
      </c>
      <c r="K3022">
        <v>0</v>
      </c>
      <c r="L3022">
        <v>0</v>
      </c>
      <c r="M3022">
        <v>0</v>
      </c>
      <c r="N3022">
        <v>0</v>
      </c>
      <c r="O3022">
        <v>0</v>
      </c>
    </row>
    <row r="3023" spans="1:15" x14ac:dyDescent="0.35">
      <c r="A3023" t="s">
        <v>3461</v>
      </c>
      <c r="B3023" t="s">
        <v>3462</v>
      </c>
      <c r="C3023" t="s">
        <v>1184</v>
      </c>
      <c r="D3023" t="s">
        <v>314</v>
      </c>
      <c r="E3023" t="s">
        <v>300</v>
      </c>
      <c r="F3023" t="s">
        <v>3476</v>
      </c>
      <c r="G3023">
        <v>0</v>
      </c>
      <c r="H3023">
        <v>0</v>
      </c>
      <c r="I3023">
        <v>0</v>
      </c>
      <c r="J3023">
        <v>0</v>
      </c>
      <c r="K3023">
        <v>0</v>
      </c>
      <c r="L3023">
        <v>0</v>
      </c>
      <c r="M3023">
        <v>0</v>
      </c>
      <c r="N3023">
        <v>0</v>
      </c>
      <c r="O3023">
        <v>0</v>
      </c>
    </row>
    <row r="3024" spans="1:15" x14ac:dyDescent="0.35">
      <c r="A3024" t="s">
        <v>3461</v>
      </c>
      <c r="B3024" t="s">
        <v>3462</v>
      </c>
      <c r="C3024" t="s">
        <v>1184</v>
      </c>
      <c r="D3024" t="s">
        <v>314</v>
      </c>
      <c r="E3024" t="s">
        <v>306</v>
      </c>
      <c r="F3024" t="s">
        <v>3477</v>
      </c>
      <c r="G3024">
        <v>0</v>
      </c>
      <c r="H3024">
        <v>0</v>
      </c>
      <c r="I3024">
        <v>0</v>
      </c>
      <c r="J3024">
        <v>0</v>
      </c>
      <c r="K3024">
        <v>0</v>
      </c>
      <c r="L3024">
        <v>0</v>
      </c>
      <c r="M3024">
        <v>0</v>
      </c>
      <c r="N3024">
        <v>0</v>
      </c>
      <c r="O3024">
        <v>0</v>
      </c>
    </row>
    <row r="3025" spans="1:15" x14ac:dyDescent="0.35">
      <c r="A3025" t="s">
        <v>3461</v>
      </c>
      <c r="B3025" t="s">
        <v>3462</v>
      </c>
      <c r="C3025" t="s">
        <v>1184</v>
      </c>
      <c r="D3025" t="s">
        <v>314</v>
      </c>
      <c r="E3025" t="s">
        <v>308</v>
      </c>
      <c r="F3025" t="s">
        <v>3478</v>
      </c>
      <c r="G3025">
        <v>0</v>
      </c>
      <c r="H3025">
        <v>0</v>
      </c>
      <c r="I3025">
        <v>0</v>
      </c>
      <c r="J3025">
        <v>0</v>
      </c>
      <c r="K3025">
        <v>0</v>
      </c>
      <c r="L3025">
        <v>0</v>
      </c>
      <c r="M3025">
        <v>0</v>
      </c>
      <c r="N3025">
        <v>0</v>
      </c>
      <c r="O3025">
        <v>0</v>
      </c>
    </row>
    <row r="3026" spans="1:15" x14ac:dyDescent="0.35">
      <c r="A3026" t="s">
        <v>3461</v>
      </c>
      <c r="B3026" t="s">
        <v>3462</v>
      </c>
      <c r="C3026" t="s">
        <v>1184</v>
      </c>
      <c r="D3026" t="s">
        <v>314</v>
      </c>
      <c r="E3026" t="s">
        <v>312</v>
      </c>
      <c r="F3026" t="s">
        <v>3479</v>
      </c>
      <c r="G3026">
        <v>1</v>
      </c>
      <c r="H3026">
        <v>147.19</v>
      </c>
      <c r="I3026">
        <v>147.19</v>
      </c>
      <c r="J3026">
        <v>1</v>
      </c>
      <c r="K3026">
        <v>124.66</v>
      </c>
      <c r="L3026">
        <v>124.66</v>
      </c>
      <c r="M3026">
        <v>2</v>
      </c>
      <c r="N3026">
        <v>271.85000000000002</v>
      </c>
      <c r="O3026">
        <v>135.93</v>
      </c>
    </row>
    <row r="3027" spans="1:15" x14ac:dyDescent="0.35">
      <c r="A3027" t="s">
        <v>3461</v>
      </c>
      <c r="B3027" t="s">
        <v>3462</v>
      </c>
      <c r="C3027" t="s">
        <v>1184</v>
      </c>
      <c r="D3027" t="s">
        <v>314</v>
      </c>
      <c r="E3027" t="s">
        <v>310</v>
      </c>
      <c r="F3027" t="s">
        <v>3480</v>
      </c>
      <c r="G3027">
        <v>1</v>
      </c>
      <c r="H3027">
        <v>147.19</v>
      </c>
      <c r="I3027">
        <v>147.19</v>
      </c>
      <c r="J3027">
        <v>1</v>
      </c>
      <c r="K3027">
        <v>124.66</v>
      </c>
      <c r="L3027">
        <v>124.66</v>
      </c>
      <c r="M3027">
        <v>2</v>
      </c>
      <c r="N3027">
        <v>271.85000000000002</v>
      </c>
      <c r="O3027">
        <v>135.93</v>
      </c>
    </row>
    <row r="3028" spans="1:15" x14ac:dyDescent="0.35">
      <c r="A3028" t="s">
        <v>3461</v>
      </c>
      <c r="B3028" t="s">
        <v>3462</v>
      </c>
      <c r="C3028" t="s">
        <v>1184</v>
      </c>
      <c r="D3028" t="s">
        <v>323</v>
      </c>
      <c r="E3028" t="s">
        <v>294</v>
      </c>
      <c r="F3028" t="s">
        <v>3481</v>
      </c>
      <c r="G3028">
        <v>231</v>
      </c>
      <c r="H3028">
        <v>21824.52</v>
      </c>
      <c r="I3028">
        <v>94.48</v>
      </c>
      <c r="J3028">
        <v>307</v>
      </c>
      <c r="K3028">
        <v>25923.079999999998</v>
      </c>
      <c r="L3028">
        <v>84.44</v>
      </c>
      <c r="M3028">
        <v>538</v>
      </c>
      <c r="N3028">
        <v>47747.6</v>
      </c>
      <c r="O3028">
        <v>88.75</v>
      </c>
    </row>
    <row r="3029" spans="1:15" x14ac:dyDescent="0.35">
      <c r="A3029" t="s">
        <v>3461</v>
      </c>
      <c r="B3029" t="s">
        <v>3462</v>
      </c>
      <c r="C3029" t="s">
        <v>1184</v>
      </c>
      <c r="D3029" t="s">
        <v>323</v>
      </c>
      <c r="E3029" t="s">
        <v>296</v>
      </c>
      <c r="F3029" t="s">
        <v>3482</v>
      </c>
      <c r="G3029">
        <v>822</v>
      </c>
      <c r="H3029">
        <v>91284.329999999987</v>
      </c>
      <c r="I3029">
        <v>111.05</v>
      </c>
      <c r="J3029">
        <v>871</v>
      </c>
      <c r="K3029">
        <v>83833.75</v>
      </c>
      <c r="L3029">
        <v>96.25</v>
      </c>
      <c r="M3029">
        <v>1693</v>
      </c>
      <c r="N3029">
        <v>175118.07999999999</v>
      </c>
      <c r="O3029">
        <v>103.44</v>
      </c>
    </row>
    <row r="3030" spans="1:15" x14ac:dyDescent="0.35">
      <c r="A3030" t="s">
        <v>3461</v>
      </c>
      <c r="B3030" t="s">
        <v>3462</v>
      </c>
      <c r="C3030" t="s">
        <v>1184</v>
      </c>
      <c r="D3030" t="s">
        <v>323</v>
      </c>
      <c r="E3030" t="s">
        <v>298</v>
      </c>
      <c r="F3030" t="s">
        <v>3483</v>
      </c>
      <c r="G3030">
        <v>612</v>
      </c>
      <c r="H3030">
        <v>76533.17</v>
      </c>
      <c r="I3030">
        <v>125.05</v>
      </c>
      <c r="J3030">
        <v>1416</v>
      </c>
      <c r="K3030">
        <v>152191.67999999999</v>
      </c>
      <c r="L3030">
        <v>107.48</v>
      </c>
      <c r="M3030">
        <v>2028</v>
      </c>
      <c r="N3030">
        <v>228724.84999999998</v>
      </c>
      <c r="O3030">
        <v>112.78</v>
      </c>
    </row>
    <row r="3031" spans="1:15" x14ac:dyDescent="0.35">
      <c r="A3031" t="s">
        <v>3461</v>
      </c>
      <c r="B3031" t="s">
        <v>3462</v>
      </c>
      <c r="C3031" t="s">
        <v>1184</v>
      </c>
      <c r="D3031" t="s">
        <v>323</v>
      </c>
      <c r="E3031" t="s">
        <v>300</v>
      </c>
      <c r="F3031" t="s">
        <v>3484</v>
      </c>
      <c r="G3031">
        <v>54</v>
      </c>
      <c r="H3031">
        <v>7749.1799999999994</v>
      </c>
      <c r="I3031">
        <v>143.5</v>
      </c>
      <c r="J3031">
        <v>61</v>
      </c>
      <c r="K3031">
        <v>7081.49</v>
      </c>
      <c r="L3031">
        <v>116.09</v>
      </c>
      <c r="M3031">
        <v>115</v>
      </c>
      <c r="N3031">
        <v>14830.669999999998</v>
      </c>
      <c r="O3031">
        <v>128.96</v>
      </c>
    </row>
    <row r="3032" spans="1:15" x14ac:dyDescent="0.35">
      <c r="A3032" t="s">
        <v>3461</v>
      </c>
      <c r="B3032" t="s">
        <v>3462</v>
      </c>
      <c r="C3032" t="s">
        <v>1184</v>
      </c>
      <c r="D3032" t="s">
        <v>323</v>
      </c>
      <c r="E3032" t="s">
        <v>302</v>
      </c>
      <c r="F3032" t="s">
        <v>3485</v>
      </c>
      <c r="G3032">
        <v>3</v>
      </c>
      <c r="H3032">
        <v>407.18</v>
      </c>
      <c r="I3032">
        <v>135.72999999999999</v>
      </c>
      <c r="J3032">
        <v>5</v>
      </c>
      <c r="K3032">
        <v>591.59999999999991</v>
      </c>
      <c r="L3032">
        <v>118.32</v>
      </c>
      <c r="M3032">
        <v>8</v>
      </c>
      <c r="N3032">
        <v>998.78</v>
      </c>
      <c r="O3032">
        <v>124.85</v>
      </c>
    </row>
    <row r="3033" spans="1:15" x14ac:dyDescent="0.35">
      <c r="A3033" t="s">
        <v>3461</v>
      </c>
      <c r="B3033" t="s">
        <v>3462</v>
      </c>
      <c r="C3033" t="s">
        <v>1184</v>
      </c>
      <c r="D3033" t="s">
        <v>323</v>
      </c>
      <c r="E3033" t="s">
        <v>304</v>
      </c>
      <c r="F3033" t="s">
        <v>3486</v>
      </c>
      <c r="G3033">
        <v>0</v>
      </c>
      <c r="H3033">
        <v>0</v>
      </c>
      <c r="I3033">
        <v>0</v>
      </c>
      <c r="J3033">
        <v>2</v>
      </c>
      <c r="K3033">
        <v>378.06</v>
      </c>
      <c r="L3033">
        <v>189.03</v>
      </c>
      <c r="M3033">
        <v>2</v>
      </c>
      <c r="N3033">
        <v>378.06</v>
      </c>
      <c r="O3033">
        <v>189.03</v>
      </c>
    </row>
    <row r="3034" spans="1:15" x14ac:dyDescent="0.35">
      <c r="A3034" t="s">
        <v>3461</v>
      </c>
      <c r="B3034" t="s">
        <v>3462</v>
      </c>
      <c r="C3034" t="s">
        <v>1184</v>
      </c>
      <c r="D3034" t="s">
        <v>323</v>
      </c>
      <c r="E3034" t="s">
        <v>306</v>
      </c>
      <c r="F3034" t="s">
        <v>3487</v>
      </c>
      <c r="G3034">
        <v>0</v>
      </c>
      <c r="H3034">
        <v>0</v>
      </c>
      <c r="I3034">
        <v>0</v>
      </c>
      <c r="J3034">
        <v>25</v>
      </c>
      <c r="K3034">
        <v>2227.5</v>
      </c>
      <c r="L3034">
        <v>89.1</v>
      </c>
      <c r="M3034">
        <v>25</v>
      </c>
      <c r="N3034">
        <v>2227.5</v>
      </c>
      <c r="O3034">
        <v>89.1</v>
      </c>
    </row>
    <row r="3035" spans="1:15" x14ac:dyDescent="0.35">
      <c r="A3035" t="s">
        <v>3461</v>
      </c>
      <c r="B3035" t="s">
        <v>3462</v>
      </c>
      <c r="C3035" t="s">
        <v>1184</v>
      </c>
      <c r="D3035" t="s">
        <v>323</v>
      </c>
      <c r="E3035" t="s">
        <v>308</v>
      </c>
      <c r="F3035" t="s">
        <v>3488</v>
      </c>
      <c r="G3035">
        <v>1</v>
      </c>
      <c r="H3035">
        <v>115.97</v>
      </c>
      <c r="I3035">
        <v>115.97</v>
      </c>
      <c r="J3035">
        <v>20</v>
      </c>
      <c r="K3035">
        <v>1426.3999999999999</v>
      </c>
      <c r="L3035">
        <v>71.319999999999993</v>
      </c>
      <c r="M3035">
        <v>21</v>
      </c>
      <c r="N3035">
        <v>1542.37</v>
      </c>
      <c r="O3035">
        <v>73.45</v>
      </c>
    </row>
    <row r="3036" spans="1:15" x14ac:dyDescent="0.35">
      <c r="A3036" t="s">
        <v>3461</v>
      </c>
      <c r="B3036" t="s">
        <v>3462</v>
      </c>
      <c r="C3036" t="s">
        <v>1184</v>
      </c>
      <c r="D3036" t="s">
        <v>323</v>
      </c>
      <c r="E3036" t="s">
        <v>310</v>
      </c>
      <c r="F3036" t="s">
        <v>3489</v>
      </c>
      <c r="G3036">
        <v>1723</v>
      </c>
      <c r="H3036">
        <v>197914.34999999998</v>
      </c>
      <c r="I3036">
        <v>114.87</v>
      </c>
      <c r="J3036">
        <v>2707</v>
      </c>
      <c r="K3036">
        <v>273653.56</v>
      </c>
      <c r="L3036">
        <v>101.09</v>
      </c>
      <c r="M3036">
        <v>4430</v>
      </c>
      <c r="N3036">
        <v>471567.91</v>
      </c>
      <c r="O3036">
        <v>106.45</v>
      </c>
    </row>
    <row r="3037" spans="1:15" x14ac:dyDescent="0.35">
      <c r="A3037" t="s">
        <v>3461</v>
      </c>
      <c r="B3037" t="s">
        <v>3462</v>
      </c>
      <c r="C3037" t="s">
        <v>1184</v>
      </c>
      <c r="D3037" t="s">
        <v>323</v>
      </c>
      <c r="E3037" t="s">
        <v>312</v>
      </c>
      <c r="F3037" t="s">
        <v>3490</v>
      </c>
      <c r="G3037">
        <v>1722</v>
      </c>
      <c r="H3037">
        <v>197798.37999999998</v>
      </c>
      <c r="I3037">
        <v>114.87</v>
      </c>
      <c r="J3037">
        <v>2687</v>
      </c>
      <c r="K3037">
        <v>272227.15999999997</v>
      </c>
      <c r="L3037">
        <v>101.31</v>
      </c>
      <c r="M3037">
        <v>4409</v>
      </c>
      <c r="N3037">
        <v>470025.53999999992</v>
      </c>
      <c r="O3037">
        <v>106.61</v>
      </c>
    </row>
    <row r="3038" spans="1:15" x14ac:dyDescent="0.35">
      <c r="A3038" t="s">
        <v>3461</v>
      </c>
      <c r="B3038" t="s">
        <v>3462</v>
      </c>
      <c r="C3038" t="s">
        <v>1184</v>
      </c>
      <c r="D3038" t="s">
        <v>334</v>
      </c>
      <c r="E3038" t="s">
        <v>312</v>
      </c>
      <c r="F3038" t="s">
        <v>3491</v>
      </c>
      <c r="G3038">
        <v>2938</v>
      </c>
      <c r="H3038">
        <v>364785.22</v>
      </c>
      <c r="I3038">
        <v>133.33000000000001</v>
      </c>
      <c r="J3038">
        <v>2785</v>
      </c>
      <c r="K3038">
        <v>288613.40999999997</v>
      </c>
      <c r="L3038">
        <v>103.63</v>
      </c>
      <c r="M3038">
        <v>5723</v>
      </c>
      <c r="N3038">
        <v>653398.62999999989</v>
      </c>
      <c r="O3038">
        <v>118.35</v>
      </c>
    </row>
    <row r="3039" spans="1:15" x14ac:dyDescent="0.35">
      <c r="A3039" t="s">
        <v>3461</v>
      </c>
      <c r="B3039" t="s">
        <v>3462</v>
      </c>
      <c r="C3039" t="s">
        <v>1184</v>
      </c>
      <c r="D3039" t="s">
        <v>334</v>
      </c>
      <c r="E3039" t="s">
        <v>308</v>
      </c>
      <c r="F3039" t="s">
        <v>3492</v>
      </c>
      <c r="G3039">
        <v>1</v>
      </c>
      <c r="H3039">
        <v>115.97</v>
      </c>
      <c r="I3039">
        <v>115.97</v>
      </c>
      <c r="J3039">
        <v>20</v>
      </c>
      <c r="K3039">
        <v>1426.3999999999999</v>
      </c>
      <c r="L3039">
        <v>71.319999999999993</v>
      </c>
      <c r="M3039">
        <v>21</v>
      </c>
      <c r="N3039">
        <v>1542.37</v>
      </c>
      <c r="O3039">
        <v>73.45</v>
      </c>
    </row>
    <row r="3040" spans="1:15" x14ac:dyDescent="0.35">
      <c r="A3040" t="s">
        <v>3461</v>
      </c>
      <c r="B3040" t="s">
        <v>3462</v>
      </c>
      <c r="C3040" t="s">
        <v>1184</v>
      </c>
      <c r="D3040" t="s">
        <v>337</v>
      </c>
      <c r="E3040" t="s">
        <v>337</v>
      </c>
      <c r="F3040" t="s">
        <v>3493</v>
      </c>
      <c r="G3040">
        <v>1113</v>
      </c>
      <c r="J3040">
        <v>0</v>
      </c>
      <c r="M3040">
        <v>1113</v>
      </c>
    </row>
    <row r="3041" spans="1:15" x14ac:dyDescent="0.35">
      <c r="A3041" t="s">
        <v>3461</v>
      </c>
      <c r="B3041" t="s">
        <v>3462</v>
      </c>
      <c r="C3041" t="s">
        <v>1184</v>
      </c>
      <c r="D3041" t="s">
        <v>339</v>
      </c>
      <c r="E3041" t="s">
        <v>294</v>
      </c>
      <c r="F3041" t="s">
        <v>3494</v>
      </c>
      <c r="G3041">
        <v>180</v>
      </c>
      <c r="H3041">
        <v>23635.97</v>
      </c>
      <c r="I3041">
        <v>131.31</v>
      </c>
      <c r="J3041">
        <v>844</v>
      </c>
      <c r="K3041">
        <v>76820.87999999999</v>
      </c>
      <c r="L3041">
        <v>91.02</v>
      </c>
      <c r="M3041">
        <v>1024</v>
      </c>
      <c r="N3041">
        <v>100456.84999999999</v>
      </c>
      <c r="O3041">
        <v>98.1</v>
      </c>
    </row>
    <row r="3042" spans="1:15" x14ac:dyDescent="0.35">
      <c r="A3042" t="s">
        <v>3461</v>
      </c>
      <c r="B3042" t="s">
        <v>3462</v>
      </c>
      <c r="C3042" t="s">
        <v>1184</v>
      </c>
      <c r="D3042" t="s">
        <v>339</v>
      </c>
      <c r="E3042" t="s">
        <v>296</v>
      </c>
      <c r="F3042" t="s">
        <v>3495</v>
      </c>
      <c r="G3042">
        <v>9</v>
      </c>
      <c r="H3042">
        <v>1103.0899999999999</v>
      </c>
      <c r="I3042">
        <v>122.57</v>
      </c>
      <c r="J3042">
        <v>480</v>
      </c>
      <c r="K3042">
        <v>48984</v>
      </c>
      <c r="L3042">
        <v>102.05</v>
      </c>
      <c r="M3042">
        <v>489</v>
      </c>
      <c r="N3042">
        <v>50087.09</v>
      </c>
      <c r="O3042">
        <v>102.43</v>
      </c>
    </row>
    <row r="3043" spans="1:15" x14ac:dyDescent="0.35">
      <c r="A3043" t="s">
        <v>3461</v>
      </c>
      <c r="B3043" t="s">
        <v>3462</v>
      </c>
      <c r="C3043" t="s">
        <v>1184</v>
      </c>
      <c r="D3043" t="s">
        <v>339</v>
      </c>
      <c r="E3043" t="s">
        <v>298</v>
      </c>
      <c r="F3043" t="s">
        <v>3496</v>
      </c>
      <c r="G3043">
        <v>0</v>
      </c>
      <c r="H3043">
        <v>0</v>
      </c>
      <c r="I3043">
        <v>0</v>
      </c>
      <c r="J3043">
        <v>8</v>
      </c>
      <c r="K3043">
        <v>919.2</v>
      </c>
      <c r="L3043">
        <v>114.9</v>
      </c>
      <c r="M3043">
        <v>8</v>
      </c>
      <c r="N3043">
        <v>919.2</v>
      </c>
      <c r="O3043">
        <v>114.9</v>
      </c>
    </row>
    <row r="3044" spans="1:15" x14ac:dyDescent="0.35">
      <c r="A3044" t="s">
        <v>3461</v>
      </c>
      <c r="B3044" t="s">
        <v>3462</v>
      </c>
      <c r="C3044" t="s">
        <v>1184</v>
      </c>
      <c r="D3044" t="s">
        <v>339</v>
      </c>
      <c r="E3044" t="s">
        <v>300</v>
      </c>
      <c r="F3044" t="s">
        <v>3497</v>
      </c>
      <c r="G3044">
        <v>0</v>
      </c>
      <c r="H3044">
        <v>0</v>
      </c>
      <c r="I3044">
        <v>0</v>
      </c>
      <c r="J3044">
        <v>0</v>
      </c>
      <c r="K3044">
        <v>0</v>
      </c>
      <c r="L3044">
        <v>0</v>
      </c>
      <c r="M3044">
        <v>0</v>
      </c>
      <c r="N3044">
        <v>0</v>
      </c>
      <c r="O3044">
        <v>0</v>
      </c>
    </row>
    <row r="3045" spans="1:15" x14ac:dyDescent="0.35">
      <c r="A3045" t="s">
        <v>3461</v>
      </c>
      <c r="B3045" t="s">
        <v>3462</v>
      </c>
      <c r="C3045" t="s">
        <v>1184</v>
      </c>
      <c r="D3045" t="s">
        <v>339</v>
      </c>
      <c r="E3045" t="s">
        <v>306</v>
      </c>
      <c r="F3045" t="s">
        <v>3498</v>
      </c>
      <c r="G3045">
        <v>9</v>
      </c>
      <c r="H3045">
        <v>962.36999999999989</v>
      </c>
      <c r="I3045">
        <v>106.93</v>
      </c>
      <c r="J3045">
        <v>17</v>
      </c>
      <c r="K3045">
        <v>1658.18</v>
      </c>
      <c r="L3045">
        <v>97.54</v>
      </c>
      <c r="M3045">
        <v>26</v>
      </c>
      <c r="N3045">
        <v>2620.5500000000002</v>
      </c>
      <c r="O3045">
        <v>100.79</v>
      </c>
    </row>
    <row r="3046" spans="1:15" x14ac:dyDescent="0.35">
      <c r="A3046" t="s">
        <v>3461</v>
      </c>
      <c r="B3046" t="s">
        <v>3462</v>
      </c>
      <c r="C3046" t="s">
        <v>1184</v>
      </c>
      <c r="D3046" t="s">
        <v>339</v>
      </c>
      <c r="E3046" t="s">
        <v>308</v>
      </c>
      <c r="F3046" t="s">
        <v>3499</v>
      </c>
      <c r="G3046">
        <v>55</v>
      </c>
      <c r="H3046">
        <v>9722.3799999999992</v>
      </c>
      <c r="I3046">
        <v>176.77</v>
      </c>
      <c r="J3046">
        <v>0</v>
      </c>
      <c r="K3046">
        <v>0</v>
      </c>
      <c r="L3046">
        <v>0</v>
      </c>
      <c r="M3046">
        <v>55</v>
      </c>
      <c r="N3046">
        <v>9722.3799999999992</v>
      </c>
      <c r="O3046">
        <v>176.77</v>
      </c>
    </row>
    <row r="3047" spans="1:15" x14ac:dyDescent="0.35">
      <c r="A3047" t="s">
        <v>3461</v>
      </c>
      <c r="B3047" t="s">
        <v>3462</v>
      </c>
      <c r="C3047" t="s">
        <v>1184</v>
      </c>
      <c r="D3047" t="s">
        <v>339</v>
      </c>
      <c r="E3047" t="s">
        <v>310</v>
      </c>
      <c r="F3047" t="s">
        <v>3500</v>
      </c>
      <c r="G3047">
        <v>253</v>
      </c>
      <c r="H3047">
        <v>35423.81</v>
      </c>
      <c r="I3047">
        <v>140.02000000000001</v>
      </c>
      <c r="J3047">
        <v>1349</v>
      </c>
      <c r="K3047">
        <v>128382.25999999998</v>
      </c>
      <c r="L3047">
        <v>95.17</v>
      </c>
      <c r="M3047">
        <v>1602</v>
      </c>
      <c r="N3047">
        <v>163806.06999999998</v>
      </c>
      <c r="O3047">
        <v>102.25</v>
      </c>
    </row>
    <row r="3048" spans="1:15" x14ac:dyDescent="0.35">
      <c r="A3048" t="s">
        <v>3461</v>
      </c>
      <c r="B3048" t="s">
        <v>3462</v>
      </c>
      <c r="C3048" t="s">
        <v>1184</v>
      </c>
      <c r="D3048" t="s">
        <v>339</v>
      </c>
      <c r="E3048" t="s">
        <v>312</v>
      </c>
      <c r="F3048" t="s">
        <v>3501</v>
      </c>
      <c r="G3048">
        <v>198</v>
      </c>
      <c r="H3048">
        <v>25701.43</v>
      </c>
      <c r="I3048">
        <v>129.81</v>
      </c>
      <c r="J3048">
        <v>1349</v>
      </c>
      <c r="K3048">
        <v>128382.25999999998</v>
      </c>
      <c r="L3048">
        <v>95.17</v>
      </c>
      <c r="M3048">
        <v>1547</v>
      </c>
      <c r="N3048">
        <v>154083.68999999997</v>
      </c>
      <c r="O3048">
        <v>99.6</v>
      </c>
    </row>
    <row r="3049" spans="1:15" x14ac:dyDescent="0.35">
      <c r="A3049" t="s">
        <v>3461</v>
      </c>
      <c r="B3049" t="s">
        <v>3462</v>
      </c>
      <c r="C3049" t="s">
        <v>1184</v>
      </c>
      <c r="D3049" t="s">
        <v>348</v>
      </c>
      <c r="E3049" t="s">
        <v>349</v>
      </c>
      <c r="F3049" t="s">
        <v>3502</v>
      </c>
      <c r="G3049">
        <v>325</v>
      </c>
      <c r="H3049">
        <v>35571</v>
      </c>
      <c r="I3049">
        <v>140.04</v>
      </c>
      <c r="J3049">
        <v>1350</v>
      </c>
      <c r="K3049">
        <v>128506.91999999998</v>
      </c>
      <c r="L3049">
        <v>95.19</v>
      </c>
      <c r="M3049">
        <v>1675</v>
      </c>
      <c r="N3049">
        <v>164077.91999999998</v>
      </c>
      <c r="O3049">
        <v>102.29</v>
      </c>
    </row>
    <row r="3050" spans="1:15" x14ac:dyDescent="0.35">
      <c r="A3050" t="s">
        <v>3503</v>
      </c>
      <c r="B3050" t="s">
        <v>3504</v>
      </c>
      <c r="C3050" t="s">
        <v>1184</v>
      </c>
      <c r="D3050" t="s">
        <v>293</v>
      </c>
      <c r="E3050" t="s">
        <v>294</v>
      </c>
      <c r="F3050" t="s">
        <v>3505</v>
      </c>
      <c r="G3050">
        <v>77</v>
      </c>
      <c r="H3050">
        <v>10168.579999999998</v>
      </c>
      <c r="I3050">
        <v>132.06</v>
      </c>
      <c r="J3050">
        <v>31</v>
      </c>
      <c r="K3050">
        <v>3713.18</v>
      </c>
      <c r="L3050">
        <v>119.78</v>
      </c>
      <c r="M3050">
        <v>108</v>
      </c>
      <c r="N3050">
        <v>13881.759999999998</v>
      </c>
      <c r="O3050">
        <v>128.53</v>
      </c>
    </row>
    <row r="3051" spans="1:15" x14ac:dyDescent="0.35">
      <c r="A3051" t="s">
        <v>3503</v>
      </c>
      <c r="B3051" t="s">
        <v>3504</v>
      </c>
      <c r="C3051" t="s">
        <v>1184</v>
      </c>
      <c r="D3051" t="s">
        <v>293</v>
      </c>
      <c r="E3051" t="s">
        <v>296</v>
      </c>
      <c r="F3051" t="s">
        <v>3506</v>
      </c>
      <c r="G3051">
        <v>113</v>
      </c>
      <c r="H3051">
        <v>18532.069999999996</v>
      </c>
      <c r="I3051">
        <v>164</v>
      </c>
      <c r="J3051">
        <v>16</v>
      </c>
      <c r="K3051">
        <v>1813.44</v>
      </c>
      <c r="L3051">
        <v>113.34</v>
      </c>
      <c r="M3051">
        <v>129</v>
      </c>
      <c r="N3051">
        <v>20345.509999999995</v>
      </c>
      <c r="O3051">
        <v>157.72</v>
      </c>
    </row>
    <row r="3052" spans="1:15" x14ac:dyDescent="0.35">
      <c r="A3052" t="s">
        <v>3503</v>
      </c>
      <c r="B3052" t="s">
        <v>3504</v>
      </c>
      <c r="C3052" t="s">
        <v>1184</v>
      </c>
      <c r="D3052" t="s">
        <v>293</v>
      </c>
      <c r="E3052" t="s">
        <v>298</v>
      </c>
      <c r="F3052" t="s">
        <v>3507</v>
      </c>
      <c r="G3052">
        <v>34</v>
      </c>
      <c r="H3052">
        <v>6258.8700000000008</v>
      </c>
      <c r="I3052">
        <v>184.08</v>
      </c>
      <c r="J3052">
        <v>41</v>
      </c>
      <c r="K3052">
        <v>6885.95</v>
      </c>
      <c r="L3052">
        <v>167.95</v>
      </c>
      <c r="M3052">
        <v>75</v>
      </c>
      <c r="N3052">
        <v>13144.82</v>
      </c>
      <c r="O3052">
        <v>175.26</v>
      </c>
    </row>
    <row r="3053" spans="1:15" x14ac:dyDescent="0.35">
      <c r="A3053" t="s">
        <v>3503</v>
      </c>
      <c r="B3053" t="s">
        <v>3504</v>
      </c>
      <c r="C3053" t="s">
        <v>1184</v>
      </c>
      <c r="D3053" t="s">
        <v>293</v>
      </c>
      <c r="E3053" t="s">
        <v>300</v>
      </c>
      <c r="F3053" t="s">
        <v>3508</v>
      </c>
      <c r="G3053">
        <v>2</v>
      </c>
      <c r="H3053">
        <v>340.72</v>
      </c>
      <c r="I3053">
        <v>170.36</v>
      </c>
      <c r="J3053">
        <v>0</v>
      </c>
      <c r="K3053">
        <v>0</v>
      </c>
      <c r="L3053">
        <v>0</v>
      </c>
      <c r="M3053">
        <v>2</v>
      </c>
      <c r="N3053">
        <v>340.72</v>
      </c>
      <c r="O3053">
        <v>170.36</v>
      </c>
    </row>
    <row r="3054" spans="1:15" x14ac:dyDescent="0.35">
      <c r="A3054" t="s">
        <v>3503</v>
      </c>
      <c r="B3054" t="s">
        <v>3504</v>
      </c>
      <c r="C3054" t="s">
        <v>1184</v>
      </c>
      <c r="D3054" t="s">
        <v>293</v>
      </c>
      <c r="E3054" t="s">
        <v>302</v>
      </c>
      <c r="F3054" t="s">
        <v>3509</v>
      </c>
      <c r="G3054">
        <v>1</v>
      </c>
      <c r="H3054">
        <v>253.15</v>
      </c>
      <c r="I3054">
        <v>253.15</v>
      </c>
      <c r="J3054">
        <v>0</v>
      </c>
      <c r="K3054">
        <v>0</v>
      </c>
      <c r="L3054">
        <v>0</v>
      </c>
      <c r="M3054">
        <v>1</v>
      </c>
      <c r="N3054">
        <v>253.15</v>
      </c>
      <c r="O3054">
        <v>253.15</v>
      </c>
    </row>
    <row r="3055" spans="1:15" x14ac:dyDescent="0.35">
      <c r="A3055" t="s">
        <v>3503</v>
      </c>
      <c r="B3055" t="s">
        <v>3504</v>
      </c>
      <c r="C3055" t="s">
        <v>1184</v>
      </c>
      <c r="D3055" t="s">
        <v>293</v>
      </c>
      <c r="E3055" t="s">
        <v>304</v>
      </c>
      <c r="F3055" t="s">
        <v>3510</v>
      </c>
      <c r="G3055">
        <v>0</v>
      </c>
      <c r="H3055">
        <v>0</v>
      </c>
      <c r="I3055">
        <v>0</v>
      </c>
      <c r="J3055">
        <v>0</v>
      </c>
      <c r="K3055">
        <v>0</v>
      </c>
      <c r="L3055">
        <v>0</v>
      </c>
      <c r="M3055">
        <v>0</v>
      </c>
      <c r="N3055">
        <v>0</v>
      </c>
      <c r="O3055">
        <v>0</v>
      </c>
    </row>
    <row r="3056" spans="1:15" x14ac:dyDescent="0.35">
      <c r="A3056" t="s">
        <v>3503</v>
      </c>
      <c r="B3056" t="s">
        <v>3504</v>
      </c>
      <c r="C3056" t="s">
        <v>1184</v>
      </c>
      <c r="D3056" t="s">
        <v>293</v>
      </c>
      <c r="E3056" t="s">
        <v>306</v>
      </c>
      <c r="F3056" t="s">
        <v>3511</v>
      </c>
      <c r="G3056">
        <v>0</v>
      </c>
      <c r="H3056">
        <v>0</v>
      </c>
      <c r="I3056">
        <v>0</v>
      </c>
      <c r="J3056">
        <v>0</v>
      </c>
      <c r="K3056">
        <v>0</v>
      </c>
      <c r="L3056">
        <v>0</v>
      </c>
      <c r="M3056">
        <v>0</v>
      </c>
      <c r="N3056">
        <v>0</v>
      </c>
      <c r="O3056">
        <v>0</v>
      </c>
    </row>
    <row r="3057" spans="1:15" x14ac:dyDescent="0.35">
      <c r="A3057" t="s">
        <v>3503</v>
      </c>
      <c r="B3057" t="s">
        <v>3504</v>
      </c>
      <c r="C3057" t="s">
        <v>1184</v>
      </c>
      <c r="D3057" t="s">
        <v>293</v>
      </c>
      <c r="E3057" t="s">
        <v>308</v>
      </c>
      <c r="F3057" t="s">
        <v>3512</v>
      </c>
      <c r="G3057">
        <v>0</v>
      </c>
      <c r="H3057">
        <v>0</v>
      </c>
      <c r="I3057">
        <v>0</v>
      </c>
      <c r="J3057">
        <v>0</v>
      </c>
      <c r="K3057">
        <v>0</v>
      </c>
      <c r="L3057">
        <v>0</v>
      </c>
      <c r="M3057">
        <v>0</v>
      </c>
      <c r="N3057">
        <v>0</v>
      </c>
      <c r="O3057">
        <v>0</v>
      </c>
    </row>
    <row r="3058" spans="1:15" x14ac:dyDescent="0.35">
      <c r="A3058" t="s">
        <v>3503</v>
      </c>
      <c r="B3058" t="s">
        <v>3504</v>
      </c>
      <c r="C3058" t="s">
        <v>1184</v>
      </c>
      <c r="D3058" t="s">
        <v>293</v>
      </c>
      <c r="E3058" t="s">
        <v>310</v>
      </c>
      <c r="F3058" t="s">
        <v>3513</v>
      </c>
      <c r="G3058">
        <v>227</v>
      </c>
      <c r="H3058">
        <v>35553.39</v>
      </c>
      <c r="I3058">
        <v>156.62</v>
      </c>
      <c r="J3058">
        <v>88</v>
      </c>
      <c r="K3058">
        <v>12412.57</v>
      </c>
      <c r="L3058">
        <v>141.05000000000001</v>
      </c>
      <c r="M3058">
        <v>315</v>
      </c>
      <c r="N3058">
        <v>47965.96</v>
      </c>
      <c r="O3058">
        <v>152.27000000000001</v>
      </c>
    </row>
    <row r="3059" spans="1:15" x14ac:dyDescent="0.35">
      <c r="A3059" t="s">
        <v>3503</v>
      </c>
      <c r="B3059" t="s">
        <v>3504</v>
      </c>
      <c r="C3059" t="s">
        <v>1184</v>
      </c>
      <c r="D3059" t="s">
        <v>293</v>
      </c>
      <c r="E3059" t="s">
        <v>312</v>
      </c>
      <c r="F3059" t="s">
        <v>3514</v>
      </c>
      <c r="G3059">
        <v>227</v>
      </c>
      <c r="H3059">
        <v>35553.39</v>
      </c>
      <c r="I3059">
        <v>156.62</v>
      </c>
      <c r="J3059">
        <v>88</v>
      </c>
      <c r="K3059">
        <v>12412.57</v>
      </c>
      <c r="L3059">
        <v>141.05000000000001</v>
      </c>
      <c r="M3059">
        <v>315</v>
      </c>
      <c r="N3059">
        <v>47965.96</v>
      </c>
      <c r="O3059">
        <v>152.27000000000001</v>
      </c>
    </row>
    <row r="3060" spans="1:15" x14ac:dyDescent="0.35">
      <c r="A3060" t="s">
        <v>3503</v>
      </c>
      <c r="B3060" t="s">
        <v>3504</v>
      </c>
      <c r="C3060" t="s">
        <v>1184</v>
      </c>
      <c r="D3060" t="s">
        <v>314</v>
      </c>
      <c r="E3060" t="s">
        <v>294</v>
      </c>
      <c r="F3060" t="s">
        <v>3515</v>
      </c>
      <c r="G3060">
        <v>32</v>
      </c>
      <c r="H3060">
        <v>5764.16</v>
      </c>
      <c r="I3060">
        <v>180.13</v>
      </c>
      <c r="J3060">
        <v>43</v>
      </c>
      <c r="K3060">
        <v>10031.040000000001</v>
      </c>
      <c r="L3060">
        <v>233.28</v>
      </c>
      <c r="M3060">
        <v>75</v>
      </c>
      <c r="N3060">
        <v>15795.2</v>
      </c>
      <c r="O3060">
        <v>210.6</v>
      </c>
    </row>
    <row r="3061" spans="1:15" x14ac:dyDescent="0.35">
      <c r="A3061" t="s">
        <v>3503</v>
      </c>
      <c r="B3061" t="s">
        <v>3504</v>
      </c>
      <c r="C3061" t="s">
        <v>1184</v>
      </c>
      <c r="D3061" t="s">
        <v>314</v>
      </c>
      <c r="E3061" t="s">
        <v>296</v>
      </c>
      <c r="F3061" t="s">
        <v>3516</v>
      </c>
      <c r="G3061">
        <v>29</v>
      </c>
      <c r="H3061">
        <v>4593.3099999999995</v>
      </c>
      <c r="I3061">
        <v>158.38999999999999</v>
      </c>
      <c r="J3061">
        <v>10</v>
      </c>
      <c r="K3061">
        <v>2531</v>
      </c>
      <c r="L3061">
        <v>253.1</v>
      </c>
      <c r="M3061">
        <v>39</v>
      </c>
      <c r="N3061">
        <v>7124.3099999999995</v>
      </c>
      <c r="O3061">
        <v>182.67</v>
      </c>
    </row>
    <row r="3062" spans="1:15" x14ac:dyDescent="0.35">
      <c r="A3062" t="s">
        <v>3503</v>
      </c>
      <c r="B3062" t="s">
        <v>3504</v>
      </c>
      <c r="C3062" t="s">
        <v>1184</v>
      </c>
      <c r="D3062" t="s">
        <v>314</v>
      </c>
      <c r="E3062" t="s">
        <v>298</v>
      </c>
      <c r="F3062" t="s">
        <v>3517</v>
      </c>
      <c r="G3062">
        <v>0</v>
      </c>
      <c r="H3062">
        <v>0</v>
      </c>
      <c r="I3062">
        <v>0</v>
      </c>
      <c r="J3062">
        <v>0</v>
      </c>
      <c r="K3062">
        <v>0</v>
      </c>
      <c r="L3062">
        <v>0</v>
      </c>
      <c r="M3062">
        <v>0</v>
      </c>
      <c r="N3062">
        <v>0</v>
      </c>
      <c r="O3062">
        <v>0</v>
      </c>
    </row>
    <row r="3063" spans="1:15" x14ac:dyDescent="0.35">
      <c r="A3063" t="s">
        <v>3503</v>
      </c>
      <c r="B3063" t="s">
        <v>3504</v>
      </c>
      <c r="C3063" t="s">
        <v>1184</v>
      </c>
      <c r="D3063" t="s">
        <v>314</v>
      </c>
      <c r="E3063" t="s">
        <v>300</v>
      </c>
      <c r="F3063" t="s">
        <v>3518</v>
      </c>
      <c r="G3063">
        <v>0</v>
      </c>
      <c r="H3063">
        <v>0</v>
      </c>
      <c r="I3063">
        <v>0</v>
      </c>
      <c r="J3063">
        <v>0</v>
      </c>
      <c r="K3063">
        <v>0</v>
      </c>
      <c r="L3063">
        <v>0</v>
      </c>
      <c r="M3063">
        <v>0</v>
      </c>
      <c r="N3063">
        <v>0</v>
      </c>
      <c r="O3063">
        <v>0</v>
      </c>
    </row>
    <row r="3064" spans="1:15" x14ac:dyDescent="0.35">
      <c r="A3064" t="s">
        <v>3503</v>
      </c>
      <c r="B3064" t="s">
        <v>3504</v>
      </c>
      <c r="C3064" t="s">
        <v>1184</v>
      </c>
      <c r="D3064" t="s">
        <v>314</v>
      </c>
      <c r="E3064" t="s">
        <v>306</v>
      </c>
      <c r="F3064" t="s">
        <v>3519</v>
      </c>
      <c r="G3064">
        <v>0</v>
      </c>
      <c r="H3064">
        <v>0</v>
      </c>
      <c r="I3064">
        <v>0</v>
      </c>
      <c r="J3064">
        <v>0</v>
      </c>
      <c r="K3064">
        <v>0</v>
      </c>
      <c r="L3064">
        <v>0</v>
      </c>
      <c r="M3064">
        <v>0</v>
      </c>
      <c r="N3064">
        <v>0</v>
      </c>
      <c r="O3064">
        <v>0</v>
      </c>
    </row>
    <row r="3065" spans="1:15" x14ac:dyDescent="0.35">
      <c r="A3065" t="s">
        <v>3503</v>
      </c>
      <c r="B3065" t="s">
        <v>3504</v>
      </c>
      <c r="C3065" t="s">
        <v>1184</v>
      </c>
      <c r="D3065" t="s">
        <v>314</v>
      </c>
      <c r="E3065" t="s">
        <v>308</v>
      </c>
      <c r="F3065" t="s">
        <v>3520</v>
      </c>
      <c r="G3065">
        <v>0</v>
      </c>
      <c r="H3065">
        <v>0</v>
      </c>
      <c r="I3065">
        <v>0</v>
      </c>
      <c r="J3065">
        <v>0</v>
      </c>
      <c r="K3065">
        <v>0</v>
      </c>
      <c r="L3065">
        <v>0</v>
      </c>
      <c r="M3065">
        <v>0</v>
      </c>
      <c r="N3065">
        <v>0</v>
      </c>
      <c r="O3065">
        <v>0</v>
      </c>
    </row>
    <row r="3066" spans="1:15" x14ac:dyDescent="0.35">
      <c r="A3066" t="s">
        <v>3503</v>
      </c>
      <c r="B3066" t="s">
        <v>3504</v>
      </c>
      <c r="C3066" t="s">
        <v>1184</v>
      </c>
      <c r="D3066" t="s">
        <v>314</v>
      </c>
      <c r="E3066" t="s">
        <v>312</v>
      </c>
      <c r="F3066" t="s">
        <v>3521</v>
      </c>
      <c r="G3066">
        <v>61</v>
      </c>
      <c r="H3066">
        <v>10357.469999999999</v>
      </c>
      <c r="I3066">
        <v>169.79</v>
      </c>
      <c r="J3066">
        <v>53</v>
      </c>
      <c r="K3066">
        <v>12562.04</v>
      </c>
      <c r="L3066">
        <v>237.02</v>
      </c>
      <c r="M3066">
        <v>114</v>
      </c>
      <c r="N3066">
        <v>22919.510000000002</v>
      </c>
      <c r="O3066">
        <v>201.05</v>
      </c>
    </row>
    <row r="3067" spans="1:15" x14ac:dyDescent="0.35">
      <c r="A3067" t="s">
        <v>3503</v>
      </c>
      <c r="B3067" t="s">
        <v>3504</v>
      </c>
      <c r="C3067" t="s">
        <v>1184</v>
      </c>
      <c r="D3067" t="s">
        <v>314</v>
      </c>
      <c r="E3067" t="s">
        <v>310</v>
      </c>
      <c r="F3067" t="s">
        <v>3522</v>
      </c>
      <c r="G3067">
        <v>61</v>
      </c>
      <c r="H3067">
        <v>10357.469999999999</v>
      </c>
      <c r="I3067">
        <v>169.79</v>
      </c>
      <c r="J3067">
        <v>53</v>
      </c>
      <c r="K3067">
        <v>12562.04</v>
      </c>
      <c r="L3067">
        <v>237.02</v>
      </c>
      <c r="M3067">
        <v>114</v>
      </c>
      <c r="N3067">
        <v>22919.510000000002</v>
      </c>
      <c r="O3067">
        <v>201.05</v>
      </c>
    </row>
    <row r="3068" spans="1:15" x14ac:dyDescent="0.35">
      <c r="A3068" t="s">
        <v>3503</v>
      </c>
      <c r="B3068" t="s">
        <v>3504</v>
      </c>
      <c r="C3068" t="s">
        <v>1184</v>
      </c>
      <c r="D3068" t="s">
        <v>323</v>
      </c>
      <c r="E3068" t="s">
        <v>294</v>
      </c>
      <c r="F3068" t="s">
        <v>3523</v>
      </c>
      <c r="G3068">
        <v>1061</v>
      </c>
      <c r="H3068">
        <v>99862.7</v>
      </c>
      <c r="I3068">
        <v>94.12</v>
      </c>
      <c r="J3068">
        <v>1381</v>
      </c>
      <c r="K3068">
        <v>112910.56000000001</v>
      </c>
      <c r="L3068">
        <v>81.760000000000005</v>
      </c>
      <c r="M3068">
        <v>2442</v>
      </c>
      <c r="N3068">
        <v>212773.26</v>
      </c>
      <c r="O3068">
        <v>87.13</v>
      </c>
    </row>
    <row r="3069" spans="1:15" x14ac:dyDescent="0.35">
      <c r="A3069" t="s">
        <v>3503</v>
      </c>
      <c r="B3069" t="s">
        <v>3504</v>
      </c>
      <c r="C3069" t="s">
        <v>1184</v>
      </c>
      <c r="D3069" t="s">
        <v>323</v>
      </c>
      <c r="E3069" t="s">
        <v>296</v>
      </c>
      <c r="F3069" t="s">
        <v>3524</v>
      </c>
      <c r="G3069">
        <v>1494</v>
      </c>
      <c r="H3069">
        <v>164305.34999999998</v>
      </c>
      <c r="I3069">
        <v>109.98</v>
      </c>
      <c r="J3069">
        <v>1571</v>
      </c>
      <c r="K3069">
        <v>142536.83000000002</v>
      </c>
      <c r="L3069">
        <v>90.73</v>
      </c>
      <c r="M3069">
        <v>3065</v>
      </c>
      <c r="N3069">
        <v>306842.18</v>
      </c>
      <c r="O3069">
        <v>100.11</v>
      </c>
    </row>
    <row r="3070" spans="1:15" x14ac:dyDescent="0.35">
      <c r="A3070" t="s">
        <v>3503</v>
      </c>
      <c r="B3070" t="s">
        <v>3504</v>
      </c>
      <c r="C3070" t="s">
        <v>1184</v>
      </c>
      <c r="D3070" t="s">
        <v>323</v>
      </c>
      <c r="E3070" t="s">
        <v>298</v>
      </c>
      <c r="F3070" t="s">
        <v>3525</v>
      </c>
      <c r="G3070">
        <v>974</v>
      </c>
      <c r="H3070">
        <v>118019.46</v>
      </c>
      <c r="I3070">
        <v>121.17</v>
      </c>
      <c r="J3070">
        <v>1393</v>
      </c>
      <c r="K3070">
        <v>138840.31</v>
      </c>
      <c r="L3070">
        <v>99.67</v>
      </c>
      <c r="M3070">
        <v>2367</v>
      </c>
      <c r="N3070">
        <v>256859.77000000002</v>
      </c>
      <c r="O3070">
        <v>108.52</v>
      </c>
    </row>
    <row r="3071" spans="1:15" x14ac:dyDescent="0.35">
      <c r="A3071" t="s">
        <v>3503</v>
      </c>
      <c r="B3071" t="s">
        <v>3504</v>
      </c>
      <c r="C3071" t="s">
        <v>1184</v>
      </c>
      <c r="D3071" t="s">
        <v>323</v>
      </c>
      <c r="E3071" t="s">
        <v>300</v>
      </c>
      <c r="F3071" t="s">
        <v>3526</v>
      </c>
      <c r="G3071">
        <v>230</v>
      </c>
      <c r="H3071">
        <v>33455.660000000003</v>
      </c>
      <c r="I3071">
        <v>145.46</v>
      </c>
      <c r="J3071">
        <v>85</v>
      </c>
      <c r="K3071">
        <v>9180.85</v>
      </c>
      <c r="L3071">
        <v>108.01</v>
      </c>
      <c r="M3071">
        <v>315</v>
      </c>
      <c r="N3071">
        <v>42636.51</v>
      </c>
      <c r="O3071">
        <v>135.35</v>
      </c>
    </row>
    <row r="3072" spans="1:15" x14ac:dyDescent="0.35">
      <c r="A3072" t="s">
        <v>3503</v>
      </c>
      <c r="B3072" t="s">
        <v>3504</v>
      </c>
      <c r="C3072" t="s">
        <v>1184</v>
      </c>
      <c r="D3072" t="s">
        <v>323</v>
      </c>
      <c r="E3072" t="s">
        <v>302</v>
      </c>
      <c r="F3072" t="s">
        <v>3527</v>
      </c>
      <c r="G3072">
        <v>15</v>
      </c>
      <c r="H3072">
        <v>2446.27</v>
      </c>
      <c r="I3072">
        <v>163.08000000000001</v>
      </c>
      <c r="J3072">
        <v>7</v>
      </c>
      <c r="K3072">
        <v>800.80000000000007</v>
      </c>
      <c r="L3072">
        <v>114.4</v>
      </c>
      <c r="M3072">
        <v>22</v>
      </c>
      <c r="N3072">
        <v>3247.07</v>
      </c>
      <c r="O3072">
        <v>147.59</v>
      </c>
    </row>
    <row r="3073" spans="1:15" x14ac:dyDescent="0.35">
      <c r="A3073" t="s">
        <v>3503</v>
      </c>
      <c r="B3073" t="s">
        <v>3504</v>
      </c>
      <c r="C3073" t="s">
        <v>1184</v>
      </c>
      <c r="D3073" t="s">
        <v>323</v>
      </c>
      <c r="E3073" t="s">
        <v>304</v>
      </c>
      <c r="F3073" t="s">
        <v>3528</v>
      </c>
      <c r="G3073">
        <v>0</v>
      </c>
      <c r="H3073">
        <v>0</v>
      </c>
      <c r="I3073">
        <v>0</v>
      </c>
      <c r="J3073">
        <v>0</v>
      </c>
      <c r="K3073">
        <v>0</v>
      </c>
      <c r="L3073">
        <v>0</v>
      </c>
      <c r="M3073">
        <v>0</v>
      </c>
      <c r="N3073">
        <v>0</v>
      </c>
      <c r="O3073">
        <v>0</v>
      </c>
    </row>
    <row r="3074" spans="1:15" x14ac:dyDescent="0.35">
      <c r="A3074" t="s">
        <v>3503</v>
      </c>
      <c r="B3074" t="s">
        <v>3504</v>
      </c>
      <c r="C3074" t="s">
        <v>1184</v>
      </c>
      <c r="D3074" t="s">
        <v>323</v>
      </c>
      <c r="E3074" t="s">
        <v>306</v>
      </c>
      <c r="F3074" t="s">
        <v>3529</v>
      </c>
      <c r="G3074">
        <v>6</v>
      </c>
      <c r="H3074">
        <v>445.94000000000005</v>
      </c>
      <c r="I3074">
        <v>74.319999999999993</v>
      </c>
      <c r="J3074">
        <v>143</v>
      </c>
      <c r="K3074">
        <v>10396.1</v>
      </c>
      <c r="L3074">
        <v>72.7</v>
      </c>
      <c r="M3074">
        <v>149</v>
      </c>
      <c r="N3074">
        <v>10842.04</v>
      </c>
      <c r="O3074">
        <v>72.77</v>
      </c>
    </row>
    <row r="3075" spans="1:15" x14ac:dyDescent="0.35">
      <c r="A3075" t="s">
        <v>3503</v>
      </c>
      <c r="B3075" t="s">
        <v>3504</v>
      </c>
      <c r="C3075" t="s">
        <v>1184</v>
      </c>
      <c r="D3075" t="s">
        <v>323</v>
      </c>
      <c r="E3075" t="s">
        <v>308</v>
      </c>
      <c r="F3075" t="s">
        <v>3530</v>
      </c>
      <c r="G3075">
        <v>4</v>
      </c>
      <c r="H3075">
        <v>308.12</v>
      </c>
      <c r="I3075">
        <v>77.03</v>
      </c>
      <c r="J3075">
        <v>0</v>
      </c>
      <c r="K3075">
        <v>0</v>
      </c>
      <c r="L3075">
        <v>0</v>
      </c>
      <c r="M3075">
        <v>4</v>
      </c>
      <c r="N3075">
        <v>308.12</v>
      </c>
      <c r="O3075">
        <v>77.03</v>
      </c>
    </row>
    <row r="3076" spans="1:15" x14ac:dyDescent="0.35">
      <c r="A3076" t="s">
        <v>3503</v>
      </c>
      <c r="B3076" t="s">
        <v>3504</v>
      </c>
      <c r="C3076" t="s">
        <v>1184</v>
      </c>
      <c r="D3076" t="s">
        <v>323</v>
      </c>
      <c r="E3076" t="s">
        <v>310</v>
      </c>
      <c r="F3076" t="s">
        <v>3531</v>
      </c>
      <c r="G3076">
        <v>3784</v>
      </c>
      <c r="H3076">
        <v>418843.50000000006</v>
      </c>
      <c r="I3076">
        <v>110.69</v>
      </c>
      <c r="J3076">
        <v>4580</v>
      </c>
      <c r="K3076">
        <v>414665.44999999995</v>
      </c>
      <c r="L3076">
        <v>90.54</v>
      </c>
      <c r="M3076">
        <v>8364</v>
      </c>
      <c r="N3076">
        <v>833508.95</v>
      </c>
      <c r="O3076">
        <v>99.65</v>
      </c>
    </row>
    <row r="3077" spans="1:15" x14ac:dyDescent="0.35">
      <c r="A3077" t="s">
        <v>3503</v>
      </c>
      <c r="B3077" t="s">
        <v>3504</v>
      </c>
      <c r="C3077" t="s">
        <v>1184</v>
      </c>
      <c r="D3077" t="s">
        <v>323</v>
      </c>
      <c r="E3077" t="s">
        <v>312</v>
      </c>
      <c r="F3077" t="s">
        <v>3532</v>
      </c>
      <c r="G3077">
        <v>3780</v>
      </c>
      <c r="H3077">
        <v>418535.38000000006</v>
      </c>
      <c r="I3077">
        <v>110.72</v>
      </c>
      <c r="J3077">
        <v>4580</v>
      </c>
      <c r="K3077">
        <v>414665.44999999995</v>
      </c>
      <c r="L3077">
        <v>90.54</v>
      </c>
      <c r="M3077">
        <v>8360</v>
      </c>
      <c r="N3077">
        <v>833200.83000000007</v>
      </c>
      <c r="O3077">
        <v>99.67</v>
      </c>
    </row>
    <row r="3078" spans="1:15" x14ac:dyDescent="0.35">
      <c r="A3078" t="s">
        <v>3503</v>
      </c>
      <c r="B3078" t="s">
        <v>3504</v>
      </c>
      <c r="C3078" t="s">
        <v>1184</v>
      </c>
      <c r="D3078" t="s">
        <v>334</v>
      </c>
      <c r="E3078" t="s">
        <v>312</v>
      </c>
      <c r="F3078" t="s">
        <v>3533</v>
      </c>
      <c r="G3078">
        <v>4014</v>
      </c>
      <c r="H3078">
        <v>454088.76999999996</v>
      </c>
      <c r="I3078">
        <v>113.32</v>
      </c>
      <c r="J3078">
        <v>4668</v>
      </c>
      <c r="K3078">
        <v>427078.01999999996</v>
      </c>
      <c r="L3078">
        <v>91.49</v>
      </c>
      <c r="M3078">
        <v>8682</v>
      </c>
      <c r="N3078">
        <v>881166.78999999992</v>
      </c>
      <c r="O3078">
        <v>101.58</v>
      </c>
    </row>
    <row r="3079" spans="1:15" x14ac:dyDescent="0.35">
      <c r="A3079" t="s">
        <v>3503</v>
      </c>
      <c r="B3079" t="s">
        <v>3504</v>
      </c>
      <c r="C3079" t="s">
        <v>1184</v>
      </c>
      <c r="D3079" t="s">
        <v>334</v>
      </c>
      <c r="E3079" t="s">
        <v>308</v>
      </c>
      <c r="F3079" t="s">
        <v>3534</v>
      </c>
      <c r="G3079">
        <v>4</v>
      </c>
      <c r="H3079">
        <v>308.12</v>
      </c>
      <c r="I3079">
        <v>77.03</v>
      </c>
      <c r="J3079">
        <v>0</v>
      </c>
      <c r="K3079">
        <v>0</v>
      </c>
      <c r="L3079">
        <v>0</v>
      </c>
      <c r="M3079">
        <v>4</v>
      </c>
      <c r="N3079">
        <v>308.12</v>
      </c>
      <c r="O3079">
        <v>77.03</v>
      </c>
    </row>
    <row r="3080" spans="1:15" x14ac:dyDescent="0.35">
      <c r="A3080" t="s">
        <v>3503</v>
      </c>
      <c r="B3080" t="s">
        <v>3504</v>
      </c>
      <c r="C3080" t="s">
        <v>1184</v>
      </c>
      <c r="D3080" t="s">
        <v>337</v>
      </c>
      <c r="E3080" t="s">
        <v>337</v>
      </c>
      <c r="F3080" t="s">
        <v>3535</v>
      </c>
      <c r="G3080">
        <v>649</v>
      </c>
      <c r="J3080">
        <v>13</v>
      </c>
      <c r="M3080">
        <v>662</v>
      </c>
    </row>
    <row r="3081" spans="1:15" x14ac:dyDescent="0.35">
      <c r="A3081" t="s">
        <v>3503</v>
      </c>
      <c r="B3081" t="s">
        <v>3504</v>
      </c>
      <c r="C3081" t="s">
        <v>1184</v>
      </c>
      <c r="D3081" t="s">
        <v>339</v>
      </c>
      <c r="E3081" t="s">
        <v>294</v>
      </c>
      <c r="F3081" t="s">
        <v>3536</v>
      </c>
      <c r="G3081">
        <v>384</v>
      </c>
      <c r="H3081">
        <v>47080.01</v>
      </c>
      <c r="I3081">
        <v>122.6</v>
      </c>
      <c r="J3081">
        <v>0</v>
      </c>
      <c r="K3081">
        <v>0</v>
      </c>
      <c r="L3081">
        <v>0</v>
      </c>
      <c r="M3081">
        <v>384</v>
      </c>
      <c r="N3081">
        <v>47080.01</v>
      </c>
      <c r="O3081">
        <v>122.6</v>
      </c>
    </row>
    <row r="3082" spans="1:15" x14ac:dyDescent="0.35">
      <c r="A3082" t="s">
        <v>3503</v>
      </c>
      <c r="B3082" t="s">
        <v>3504</v>
      </c>
      <c r="C3082" t="s">
        <v>1184</v>
      </c>
      <c r="D3082" t="s">
        <v>339</v>
      </c>
      <c r="E3082" t="s">
        <v>296</v>
      </c>
      <c r="F3082" t="s">
        <v>3537</v>
      </c>
      <c r="G3082">
        <v>36</v>
      </c>
      <c r="H3082">
        <v>4104.8100000000004</v>
      </c>
      <c r="I3082">
        <v>114.02</v>
      </c>
      <c r="J3082">
        <v>0</v>
      </c>
      <c r="K3082">
        <v>0</v>
      </c>
      <c r="L3082">
        <v>0</v>
      </c>
      <c r="M3082">
        <v>36</v>
      </c>
      <c r="N3082">
        <v>4104.8100000000004</v>
      </c>
      <c r="O3082">
        <v>114.02</v>
      </c>
    </row>
    <row r="3083" spans="1:15" x14ac:dyDescent="0.35">
      <c r="A3083" t="s">
        <v>3503</v>
      </c>
      <c r="B3083" t="s">
        <v>3504</v>
      </c>
      <c r="C3083" t="s">
        <v>1184</v>
      </c>
      <c r="D3083" t="s">
        <v>339</v>
      </c>
      <c r="E3083" t="s">
        <v>298</v>
      </c>
      <c r="F3083" t="s">
        <v>3538</v>
      </c>
      <c r="G3083">
        <v>2</v>
      </c>
      <c r="H3083">
        <v>244.6</v>
      </c>
      <c r="I3083">
        <v>122.3</v>
      </c>
      <c r="J3083">
        <v>0</v>
      </c>
      <c r="K3083">
        <v>0</v>
      </c>
      <c r="L3083">
        <v>0</v>
      </c>
      <c r="M3083">
        <v>2</v>
      </c>
      <c r="N3083">
        <v>244.6</v>
      </c>
      <c r="O3083">
        <v>122.3</v>
      </c>
    </row>
    <row r="3084" spans="1:15" x14ac:dyDescent="0.35">
      <c r="A3084" t="s">
        <v>3503</v>
      </c>
      <c r="B3084" t="s">
        <v>3504</v>
      </c>
      <c r="C3084" t="s">
        <v>1184</v>
      </c>
      <c r="D3084" t="s">
        <v>339</v>
      </c>
      <c r="E3084" t="s">
        <v>300</v>
      </c>
      <c r="F3084" t="s">
        <v>3539</v>
      </c>
      <c r="G3084">
        <v>1</v>
      </c>
      <c r="H3084">
        <v>248.28</v>
      </c>
      <c r="I3084">
        <v>248.28</v>
      </c>
      <c r="J3084">
        <v>0</v>
      </c>
      <c r="K3084">
        <v>0</v>
      </c>
      <c r="L3084">
        <v>0</v>
      </c>
      <c r="M3084">
        <v>1</v>
      </c>
      <c r="N3084">
        <v>248.28</v>
      </c>
      <c r="O3084">
        <v>248.28</v>
      </c>
    </row>
    <row r="3085" spans="1:15" x14ac:dyDescent="0.35">
      <c r="A3085" t="s">
        <v>3503</v>
      </c>
      <c r="B3085" t="s">
        <v>3504</v>
      </c>
      <c r="C3085" t="s">
        <v>1184</v>
      </c>
      <c r="D3085" t="s">
        <v>339</v>
      </c>
      <c r="E3085" t="s">
        <v>306</v>
      </c>
      <c r="F3085" t="s">
        <v>3540</v>
      </c>
      <c r="G3085">
        <v>29</v>
      </c>
      <c r="H3085">
        <v>2649.41</v>
      </c>
      <c r="I3085">
        <v>91.36</v>
      </c>
      <c r="J3085">
        <v>0</v>
      </c>
      <c r="K3085">
        <v>0</v>
      </c>
      <c r="L3085">
        <v>0</v>
      </c>
      <c r="M3085">
        <v>29</v>
      </c>
      <c r="N3085">
        <v>2649.41</v>
      </c>
      <c r="O3085">
        <v>91.36</v>
      </c>
    </row>
    <row r="3086" spans="1:15" x14ac:dyDescent="0.35">
      <c r="A3086" t="s">
        <v>3503</v>
      </c>
      <c r="B3086" t="s">
        <v>3504</v>
      </c>
      <c r="C3086" t="s">
        <v>1184</v>
      </c>
      <c r="D3086" t="s">
        <v>339</v>
      </c>
      <c r="E3086" t="s">
        <v>308</v>
      </c>
      <c r="F3086" t="s">
        <v>3541</v>
      </c>
      <c r="G3086">
        <v>260</v>
      </c>
      <c r="H3086">
        <v>25148.960000000003</v>
      </c>
      <c r="I3086">
        <v>96.73</v>
      </c>
      <c r="J3086">
        <v>0</v>
      </c>
      <c r="K3086">
        <v>0</v>
      </c>
      <c r="L3086">
        <v>0</v>
      </c>
      <c r="M3086">
        <v>260</v>
      </c>
      <c r="N3086">
        <v>25148.960000000003</v>
      </c>
      <c r="O3086">
        <v>96.73</v>
      </c>
    </row>
    <row r="3087" spans="1:15" x14ac:dyDescent="0.35">
      <c r="A3087" t="s">
        <v>3503</v>
      </c>
      <c r="B3087" t="s">
        <v>3504</v>
      </c>
      <c r="C3087" t="s">
        <v>1184</v>
      </c>
      <c r="D3087" t="s">
        <v>339</v>
      </c>
      <c r="E3087" t="s">
        <v>310</v>
      </c>
      <c r="F3087" t="s">
        <v>3542</v>
      </c>
      <c r="G3087">
        <v>712</v>
      </c>
      <c r="H3087">
        <v>79476.070000000007</v>
      </c>
      <c r="I3087">
        <v>111.62</v>
      </c>
      <c r="J3087">
        <v>0</v>
      </c>
      <c r="K3087">
        <v>0</v>
      </c>
      <c r="L3087">
        <v>0</v>
      </c>
      <c r="M3087">
        <v>712</v>
      </c>
      <c r="N3087">
        <v>79476.070000000007</v>
      </c>
      <c r="O3087">
        <v>111.62</v>
      </c>
    </row>
    <row r="3088" spans="1:15" x14ac:dyDescent="0.35">
      <c r="A3088" t="s">
        <v>3503</v>
      </c>
      <c r="B3088" t="s">
        <v>3504</v>
      </c>
      <c r="C3088" t="s">
        <v>1184</v>
      </c>
      <c r="D3088" t="s">
        <v>339</v>
      </c>
      <c r="E3088" t="s">
        <v>312</v>
      </c>
      <c r="F3088" t="s">
        <v>3543</v>
      </c>
      <c r="G3088">
        <v>452</v>
      </c>
      <c r="H3088">
        <v>54327.11</v>
      </c>
      <c r="I3088">
        <v>120.19</v>
      </c>
      <c r="J3088">
        <v>0</v>
      </c>
      <c r="K3088">
        <v>0</v>
      </c>
      <c r="L3088">
        <v>0</v>
      </c>
      <c r="M3088">
        <v>452</v>
      </c>
      <c r="N3088">
        <v>54327.11</v>
      </c>
      <c r="O3088">
        <v>120.19</v>
      </c>
    </row>
    <row r="3089" spans="1:15" x14ac:dyDescent="0.35">
      <c r="A3089" t="s">
        <v>3503</v>
      </c>
      <c r="B3089" t="s">
        <v>3504</v>
      </c>
      <c r="C3089" t="s">
        <v>1184</v>
      </c>
      <c r="D3089" t="s">
        <v>348</v>
      </c>
      <c r="E3089" t="s">
        <v>349</v>
      </c>
      <c r="F3089" t="s">
        <v>3544</v>
      </c>
      <c r="G3089">
        <v>978</v>
      </c>
      <c r="H3089">
        <v>89833.540000000008</v>
      </c>
      <c r="I3089">
        <v>116.21</v>
      </c>
      <c r="J3089">
        <v>53</v>
      </c>
      <c r="K3089">
        <v>12562.04</v>
      </c>
      <c r="L3089">
        <v>237.02</v>
      </c>
      <c r="M3089">
        <v>1031</v>
      </c>
      <c r="N3089">
        <v>102395.58000000002</v>
      </c>
      <c r="O3089">
        <v>123.97</v>
      </c>
    </row>
    <row r="3090" spans="1:15" x14ac:dyDescent="0.35">
      <c r="A3090" t="s">
        <v>3545</v>
      </c>
      <c r="B3090" t="s">
        <v>3546</v>
      </c>
      <c r="C3090" t="s">
        <v>1184</v>
      </c>
      <c r="D3090" t="s">
        <v>293</v>
      </c>
      <c r="E3090" t="s">
        <v>294</v>
      </c>
      <c r="F3090" t="s">
        <v>3547</v>
      </c>
      <c r="G3090">
        <v>81</v>
      </c>
      <c r="H3090">
        <v>9462.6099999999988</v>
      </c>
      <c r="I3090">
        <v>116.82</v>
      </c>
      <c r="J3090">
        <v>21</v>
      </c>
      <c r="K3090">
        <v>2129.61</v>
      </c>
      <c r="L3090">
        <v>101.41</v>
      </c>
      <c r="M3090">
        <v>102</v>
      </c>
      <c r="N3090">
        <v>11592.22</v>
      </c>
      <c r="O3090">
        <v>113.65</v>
      </c>
    </row>
    <row r="3091" spans="1:15" x14ac:dyDescent="0.35">
      <c r="A3091" t="s">
        <v>3545</v>
      </c>
      <c r="B3091" t="s">
        <v>3546</v>
      </c>
      <c r="C3091" t="s">
        <v>1184</v>
      </c>
      <c r="D3091" t="s">
        <v>293</v>
      </c>
      <c r="E3091" t="s">
        <v>296</v>
      </c>
      <c r="F3091" t="s">
        <v>3548</v>
      </c>
      <c r="G3091">
        <v>183</v>
      </c>
      <c r="H3091">
        <v>27279.719999999994</v>
      </c>
      <c r="I3091">
        <v>149.07</v>
      </c>
      <c r="J3091">
        <v>52</v>
      </c>
      <c r="K3091">
        <v>7060.0400000000009</v>
      </c>
      <c r="L3091">
        <v>135.77000000000001</v>
      </c>
      <c r="M3091">
        <v>235</v>
      </c>
      <c r="N3091">
        <v>34339.759999999995</v>
      </c>
      <c r="O3091">
        <v>146.13</v>
      </c>
    </row>
    <row r="3092" spans="1:15" x14ac:dyDescent="0.35">
      <c r="A3092" t="s">
        <v>3545</v>
      </c>
      <c r="B3092" t="s">
        <v>3546</v>
      </c>
      <c r="C3092" t="s">
        <v>1184</v>
      </c>
      <c r="D3092" t="s">
        <v>293</v>
      </c>
      <c r="E3092" t="s">
        <v>298</v>
      </c>
      <c r="F3092" t="s">
        <v>3549</v>
      </c>
      <c r="G3092">
        <v>141</v>
      </c>
      <c r="H3092">
        <v>24498.959999999999</v>
      </c>
      <c r="I3092">
        <v>173.75</v>
      </c>
      <c r="J3092">
        <v>26</v>
      </c>
      <c r="K3092">
        <v>4346.16</v>
      </c>
      <c r="L3092">
        <v>167.16</v>
      </c>
      <c r="M3092">
        <v>167</v>
      </c>
      <c r="N3092">
        <v>28845.119999999999</v>
      </c>
      <c r="O3092">
        <v>172.73</v>
      </c>
    </row>
    <row r="3093" spans="1:15" x14ac:dyDescent="0.35">
      <c r="A3093" t="s">
        <v>3545</v>
      </c>
      <c r="B3093" t="s">
        <v>3546</v>
      </c>
      <c r="C3093" t="s">
        <v>1184</v>
      </c>
      <c r="D3093" t="s">
        <v>293</v>
      </c>
      <c r="E3093" t="s">
        <v>300</v>
      </c>
      <c r="F3093" t="s">
        <v>3550</v>
      </c>
      <c r="G3093">
        <v>24</v>
      </c>
      <c r="H3093">
        <v>5101.28</v>
      </c>
      <c r="I3093">
        <v>212.55</v>
      </c>
      <c r="J3093">
        <v>4</v>
      </c>
      <c r="K3093">
        <v>771.84</v>
      </c>
      <c r="L3093">
        <v>192.96</v>
      </c>
      <c r="M3093">
        <v>28</v>
      </c>
      <c r="N3093">
        <v>5873.12</v>
      </c>
      <c r="O3093">
        <v>209.75</v>
      </c>
    </row>
    <row r="3094" spans="1:15" x14ac:dyDescent="0.35">
      <c r="A3094" t="s">
        <v>3545</v>
      </c>
      <c r="B3094" t="s">
        <v>3546</v>
      </c>
      <c r="C3094" t="s">
        <v>1184</v>
      </c>
      <c r="D3094" t="s">
        <v>293</v>
      </c>
      <c r="E3094" t="s">
        <v>302</v>
      </c>
      <c r="F3094" t="s">
        <v>3551</v>
      </c>
      <c r="G3094">
        <v>0</v>
      </c>
      <c r="H3094">
        <v>0</v>
      </c>
      <c r="I3094">
        <v>0</v>
      </c>
      <c r="J3094">
        <v>0</v>
      </c>
      <c r="K3094">
        <v>0</v>
      </c>
      <c r="L3094">
        <v>0</v>
      </c>
      <c r="M3094">
        <v>0</v>
      </c>
      <c r="N3094">
        <v>0</v>
      </c>
      <c r="O3094">
        <v>0</v>
      </c>
    </row>
    <row r="3095" spans="1:15" x14ac:dyDescent="0.35">
      <c r="A3095" t="s">
        <v>3545</v>
      </c>
      <c r="B3095" t="s">
        <v>3546</v>
      </c>
      <c r="C3095" t="s">
        <v>1184</v>
      </c>
      <c r="D3095" t="s">
        <v>293</v>
      </c>
      <c r="E3095" t="s">
        <v>304</v>
      </c>
      <c r="F3095" t="s">
        <v>3552</v>
      </c>
      <c r="G3095">
        <v>0</v>
      </c>
      <c r="H3095">
        <v>0</v>
      </c>
      <c r="I3095">
        <v>0</v>
      </c>
      <c r="J3095">
        <v>0</v>
      </c>
      <c r="K3095">
        <v>0</v>
      </c>
      <c r="L3095">
        <v>0</v>
      </c>
      <c r="M3095">
        <v>0</v>
      </c>
      <c r="N3095">
        <v>0</v>
      </c>
      <c r="O3095">
        <v>0</v>
      </c>
    </row>
    <row r="3096" spans="1:15" x14ac:dyDescent="0.35">
      <c r="A3096" t="s">
        <v>3545</v>
      </c>
      <c r="B3096" t="s">
        <v>3546</v>
      </c>
      <c r="C3096" t="s">
        <v>1184</v>
      </c>
      <c r="D3096" t="s">
        <v>293</v>
      </c>
      <c r="E3096" t="s">
        <v>306</v>
      </c>
      <c r="F3096" t="s">
        <v>3553</v>
      </c>
      <c r="G3096">
        <v>0</v>
      </c>
      <c r="H3096">
        <v>0</v>
      </c>
      <c r="I3096">
        <v>0</v>
      </c>
      <c r="J3096">
        <v>0</v>
      </c>
      <c r="K3096">
        <v>0</v>
      </c>
      <c r="L3096">
        <v>0</v>
      </c>
      <c r="M3096">
        <v>0</v>
      </c>
      <c r="N3096">
        <v>0</v>
      </c>
      <c r="O3096">
        <v>0</v>
      </c>
    </row>
    <row r="3097" spans="1:15" x14ac:dyDescent="0.35">
      <c r="A3097" t="s">
        <v>3545</v>
      </c>
      <c r="B3097" t="s">
        <v>3546</v>
      </c>
      <c r="C3097" t="s">
        <v>1184</v>
      </c>
      <c r="D3097" t="s">
        <v>293</v>
      </c>
      <c r="E3097" t="s">
        <v>308</v>
      </c>
      <c r="F3097" t="s">
        <v>3554</v>
      </c>
      <c r="G3097">
        <v>0</v>
      </c>
      <c r="H3097">
        <v>0</v>
      </c>
      <c r="I3097">
        <v>0</v>
      </c>
      <c r="J3097">
        <v>0</v>
      </c>
      <c r="K3097">
        <v>0</v>
      </c>
      <c r="L3097">
        <v>0</v>
      </c>
      <c r="M3097">
        <v>0</v>
      </c>
      <c r="N3097">
        <v>0</v>
      </c>
      <c r="O3097">
        <v>0</v>
      </c>
    </row>
    <row r="3098" spans="1:15" x14ac:dyDescent="0.35">
      <c r="A3098" t="s">
        <v>3545</v>
      </c>
      <c r="B3098" t="s">
        <v>3546</v>
      </c>
      <c r="C3098" t="s">
        <v>1184</v>
      </c>
      <c r="D3098" t="s">
        <v>293</v>
      </c>
      <c r="E3098" t="s">
        <v>310</v>
      </c>
      <c r="F3098" t="s">
        <v>3555</v>
      </c>
      <c r="G3098">
        <v>429</v>
      </c>
      <c r="H3098">
        <v>66342.569999999992</v>
      </c>
      <c r="I3098">
        <v>154.63999999999999</v>
      </c>
      <c r="J3098">
        <v>103</v>
      </c>
      <c r="K3098">
        <v>14307.650000000001</v>
      </c>
      <c r="L3098">
        <v>138.91</v>
      </c>
      <c r="M3098">
        <v>532</v>
      </c>
      <c r="N3098">
        <v>80650.22</v>
      </c>
      <c r="O3098">
        <v>151.6</v>
      </c>
    </row>
    <row r="3099" spans="1:15" x14ac:dyDescent="0.35">
      <c r="A3099" t="s">
        <v>3545</v>
      </c>
      <c r="B3099" t="s">
        <v>3546</v>
      </c>
      <c r="C3099" t="s">
        <v>1184</v>
      </c>
      <c r="D3099" t="s">
        <v>293</v>
      </c>
      <c r="E3099" t="s">
        <v>312</v>
      </c>
      <c r="F3099" t="s">
        <v>3556</v>
      </c>
      <c r="G3099">
        <v>429</v>
      </c>
      <c r="H3099">
        <v>66342.569999999992</v>
      </c>
      <c r="I3099">
        <v>154.63999999999999</v>
      </c>
      <c r="J3099">
        <v>103</v>
      </c>
      <c r="K3099">
        <v>14307.650000000001</v>
      </c>
      <c r="L3099">
        <v>138.91</v>
      </c>
      <c r="M3099">
        <v>532</v>
      </c>
      <c r="N3099">
        <v>80650.22</v>
      </c>
      <c r="O3099">
        <v>151.6</v>
      </c>
    </row>
    <row r="3100" spans="1:15" x14ac:dyDescent="0.35">
      <c r="A3100" t="s">
        <v>3545</v>
      </c>
      <c r="B3100" t="s">
        <v>3546</v>
      </c>
      <c r="C3100" t="s">
        <v>1184</v>
      </c>
      <c r="D3100" t="s">
        <v>314</v>
      </c>
      <c r="E3100" t="s">
        <v>294</v>
      </c>
      <c r="F3100" t="s">
        <v>3557</v>
      </c>
      <c r="G3100">
        <v>0</v>
      </c>
      <c r="H3100">
        <v>0</v>
      </c>
      <c r="I3100">
        <v>0</v>
      </c>
      <c r="J3100">
        <v>0</v>
      </c>
      <c r="K3100">
        <v>0</v>
      </c>
      <c r="L3100">
        <v>0</v>
      </c>
      <c r="M3100">
        <v>0</v>
      </c>
      <c r="N3100">
        <v>0</v>
      </c>
      <c r="O3100">
        <v>0</v>
      </c>
    </row>
    <row r="3101" spans="1:15" x14ac:dyDescent="0.35">
      <c r="A3101" t="s">
        <v>3545</v>
      </c>
      <c r="B3101" t="s">
        <v>3546</v>
      </c>
      <c r="C3101" t="s">
        <v>1184</v>
      </c>
      <c r="D3101" t="s">
        <v>314</v>
      </c>
      <c r="E3101" t="s">
        <v>296</v>
      </c>
      <c r="F3101" t="s">
        <v>3558</v>
      </c>
      <c r="G3101">
        <v>0</v>
      </c>
      <c r="H3101">
        <v>0</v>
      </c>
      <c r="I3101">
        <v>0</v>
      </c>
      <c r="J3101">
        <v>0</v>
      </c>
      <c r="K3101">
        <v>0</v>
      </c>
      <c r="L3101">
        <v>0</v>
      </c>
      <c r="M3101">
        <v>0</v>
      </c>
      <c r="N3101">
        <v>0</v>
      </c>
      <c r="O3101">
        <v>0</v>
      </c>
    </row>
    <row r="3102" spans="1:15" x14ac:dyDescent="0.35">
      <c r="A3102" t="s">
        <v>3545</v>
      </c>
      <c r="B3102" t="s">
        <v>3546</v>
      </c>
      <c r="C3102" t="s">
        <v>1184</v>
      </c>
      <c r="D3102" t="s">
        <v>314</v>
      </c>
      <c r="E3102" t="s">
        <v>298</v>
      </c>
      <c r="F3102" t="s">
        <v>3559</v>
      </c>
      <c r="G3102">
        <v>0</v>
      </c>
      <c r="H3102">
        <v>0</v>
      </c>
      <c r="I3102">
        <v>0</v>
      </c>
      <c r="J3102">
        <v>0</v>
      </c>
      <c r="K3102">
        <v>0</v>
      </c>
      <c r="L3102">
        <v>0</v>
      </c>
      <c r="M3102">
        <v>0</v>
      </c>
      <c r="N3102">
        <v>0</v>
      </c>
      <c r="O3102">
        <v>0</v>
      </c>
    </row>
    <row r="3103" spans="1:15" x14ac:dyDescent="0.35">
      <c r="A3103" t="s">
        <v>3545</v>
      </c>
      <c r="B3103" t="s">
        <v>3546</v>
      </c>
      <c r="C3103" t="s">
        <v>1184</v>
      </c>
      <c r="D3103" t="s">
        <v>314</v>
      </c>
      <c r="E3103" t="s">
        <v>300</v>
      </c>
      <c r="F3103" t="s">
        <v>3560</v>
      </c>
      <c r="G3103">
        <v>0</v>
      </c>
      <c r="H3103">
        <v>0</v>
      </c>
      <c r="I3103">
        <v>0</v>
      </c>
      <c r="J3103">
        <v>0</v>
      </c>
      <c r="K3103">
        <v>0</v>
      </c>
      <c r="L3103">
        <v>0</v>
      </c>
      <c r="M3103">
        <v>0</v>
      </c>
      <c r="N3103">
        <v>0</v>
      </c>
      <c r="O3103">
        <v>0</v>
      </c>
    </row>
    <row r="3104" spans="1:15" x14ac:dyDescent="0.35">
      <c r="A3104" t="s">
        <v>3545</v>
      </c>
      <c r="B3104" t="s">
        <v>3546</v>
      </c>
      <c r="C3104" t="s">
        <v>1184</v>
      </c>
      <c r="D3104" t="s">
        <v>314</v>
      </c>
      <c r="E3104" t="s">
        <v>306</v>
      </c>
      <c r="F3104" t="s">
        <v>3561</v>
      </c>
      <c r="G3104">
        <v>0</v>
      </c>
      <c r="H3104">
        <v>0</v>
      </c>
      <c r="I3104">
        <v>0</v>
      </c>
      <c r="J3104">
        <v>0</v>
      </c>
      <c r="K3104">
        <v>0</v>
      </c>
      <c r="L3104">
        <v>0</v>
      </c>
      <c r="M3104">
        <v>0</v>
      </c>
      <c r="N3104">
        <v>0</v>
      </c>
      <c r="O3104">
        <v>0</v>
      </c>
    </row>
    <row r="3105" spans="1:15" x14ac:dyDescent="0.35">
      <c r="A3105" t="s">
        <v>3545</v>
      </c>
      <c r="B3105" t="s">
        <v>3546</v>
      </c>
      <c r="C3105" t="s">
        <v>1184</v>
      </c>
      <c r="D3105" t="s">
        <v>314</v>
      </c>
      <c r="E3105" t="s">
        <v>308</v>
      </c>
      <c r="F3105" t="s">
        <v>3562</v>
      </c>
      <c r="G3105">
        <v>0</v>
      </c>
      <c r="H3105">
        <v>0</v>
      </c>
      <c r="I3105">
        <v>0</v>
      </c>
      <c r="J3105">
        <v>0</v>
      </c>
      <c r="K3105">
        <v>0</v>
      </c>
      <c r="L3105">
        <v>0</v>
      </c>
      <c r="M3105">
        <v>0</v>
      </c>
      <c r="N3105">
        <v>0</v>
      </c>
      <c r="O3105">
        <v>0</v>
      </c>
    </row>
    <row r="3106" spans="1:15" x14ac:dyDescent="0.35">
      <c r="A3106" t="s">
        <v>3545</v>
      </c>
      <c r="B3106" t="s">
        <v>3546</v>
      </c>
      <c r="C3106" t="s">
        <v>1184</v>
      </c>
      <c r="D3106" t="s">
        <v>314</v>
      </c>
      <c r="E3106" t="s">
        <v>312</v>
      </c>
      <c r="F3106" t="s">
        <v>3563</v>
      </c>
      <c r="G3106">
        <v>0</v>
      </c>
      <c r="H3106">
        <v>0</v>
      </c>
      <c r="I3106">
        <v>0</v>
      </c>
      <c r="J3106">
        <v>0</v>
      </c>
      <c r="K3106">
        <v>0</v>
      </c>
      <c r="L3106">
        <v>0</v>
      </c>
      <c r="M3106">
        <v>0</v>
      </c>
      <c r="N3106">
        <v>0</v>
      </c>
      <c r="O3106">
        <v>0</v>
      </c>
    </row>
    <row r="3107" spans="1:15" x14ac:dyDescent="0.35">
      <c r="A3107" t="s">
        <v>3545</v>
      </c>
      <c r="B3107" t="s">
        <v>3546</v>
      </c>
      <c r="C3107" t="s">
        <v>1184</v>
      </c>
      <c r="D3107" t="s">
        <v>314</v>
      </c>
      <c r="E3107" t="s">
        <v>310</v>
      </c>
      <c r="F3107" t="s">
        <v>3564</v>
      </c>
      <c r="G3107">
        <v>0</v>
      </c>
      <c r="H3107">
        <v>0</v>
      </c>
      <c r="I3107">
        <v>0</v>
      </c>
      <c r="J3107">
        <v>0</v>
      </c>
      <c r="K3107">
        <v>0</v>
      </c>
      <c r="L3107">
        <v>0</v>
      </c>
      <c r="M3107">
        <v>0</v>
      </c>
      <c r="N3107">
        <v>0</v>
      </c>
      <c r="O3107">
        <v>0</v>
      </c>
    </row>
    <row r="3108" spans="1:15" x14ac:dyDescent="0.35">
      <c r="A3108" t="s">
        <v>3545</v>
      </c>
      <c r="B3108" t="s">
        <v>3546</v>
      </c>
      <c r="C3108" t="s">
        <v>1184</v>
      </c>
      <c r="D3108" t="s">
        <v>323</v>
      </c>
      <c r="E3108" t="s">
        <v>294</v>
      </c>
      <c r="F3108" t="s">
        <v>3565</v>
      </c>
      <c r="G3108">
        <v>193</v>
      </c>
      <c r="H3108">
        <v>17512.98</v>
      </c>
      <c r="I3108">
        <v>90.74</v>
      </c>
      <c r="J3108">
        <v>764</v>
      </c>
      <c r="K3108">
        <v>65108.08</v>
      </c>
      <c r="L3108">
        <v>85.22</v>
      </c>
      <c r="M3108">
        <v>957</v>
      </c>
      <c r="N3108">
        <v>82621.06</v>
      </c>
      <c r="O3108">
        <v>86.33</v>
      </c>
    </row>
    <row r="3109" spans="1:15" x14ac:dyDescent="0.35">
      <c r="A3109" t="s">
        <v>3545</v>
      </c>
      <c r="B3109" t="s">
        <v>3546</v>
      </c>
      <c r="C3109" t="s">
        <v>1184</v>
      </c>
      <c r="D3109" t="s">
        <v>323</v>
      </c>
      <c r="E3109" t="s">
        <v>296</v>
      </c>
      <c r="F3109" t="s">
        <v>3566</v>
      </c>
      <c r="G3109">
        <v>324</v>
      </c>
      <c r="H3109">
        <v>34292.26</v>
      </c>
      <c r="I3109">
        <v>105.84</v>
      </c>
      <c r="J3109">
        <v>1175</v>
      </c>
      <c r="K3109">
        <v>110273.75</v>
      </c>
      <c r="L3109">
        <v>93.85</v>
      </c>
      <c r="M3109">
        <v>1499</v>
      </c>
      <c r="N3109">
        <v>144566.01</v>
      </c>
      <c r="O3109">
        <v>96.44</v>
      </c>
    </row>
    <row r="3110" spans="1:15" x14ac:dyDescent="0.35">
      <c r="A3110" t="s">
        <v>3545</v>
      </c>
      <c r="B3110" t="s">
        <v>3546</v>
      </c>
      <c r="C3110" t="s">
        <v>1184</v>
      </c>
      <c r="D3110" t="s">
        <v>323</v>
      </c>
      <c r="E3110" t="s">
        <v>298</v>
      </c>
      <c r="F3110" t="s">
        <v>3567</v>
      </c>
      <c r="G3110">
        <v>279</v>
      </c>
      <c r="H3110">
        <v>33571.560000000005</v>
      </c>
      <c r="I3110">
        <v>120.33</v>
      </c>
      <c r="J3110">
        <v>834</v>
      </c>
      <c r="K3110">
        <v>82774.5</v>
      </c>
      <c r="L3110">
        <v>99.25</v>
      </c>
      <c r="M3110">
        <v>1113</v>
      </c>
      <c r="N3110">
        <v>116346.06</v>
      </c>
      <c r="O3110">
        <v>104.53</v>
      </c>
    </row>
    <row r="3111" spans="1:15" x14ac:dyDescent="0.35">
      <c r="A3111" t="s">
        <v>3545</v>
      </c>
      <c r="B3111" t="s">
        <v>3546</v>
      </c>
      <c r="C3111" t="s">
        <v>1184</v>
      </c>
      <c r="D3111" t="s">
        <v>323</v>
      </c>
      <c r="E3111" t="s">
        <v>300</v>
      </c>
      <c r="F3111" t="s">
        <v>3568</v>
      </c>
      <c r="G3111">
        <v>37</v>
      </c>
      <c r="H3111">
        <v>4935.46</v>
      </c>
      <c r="I3111">
        <v>133.38999999999999</v>
      </c>
      <c r="J3111">
        <v>32</v>
      </c>
      <c r="K3111">
        <v>3363.52</v>
      </c>
      <c r="L3111">
        <v>105.11</v>
      </c>
      <c r="M3111">
        <v>69</v>
      </c>
      <c r="N3111">
        <v>8298.98</v>
      </c>
      <c r="O3111">
        <v>120.28</v>
      </c>
    </row>
    <row r="3112" spans="1:15" x14ac:dyDescent="0.35">
      <c r="A3112" t="s">
        <v>3545</v>
      </c>
      <c r="B3112" t="s">
        <v>3546</v>
      </c>
      <c r="C3112" t="s">
        <v>1184</v>
      </c>
      <c r="D3112" t="s">
        <v>323</v>
      </c>
      <c r="E3112" t="s">
        <v>302</v>
      </c>
      <c r="F3112" t="s">
        <v>3569</v>
      </c>
      <c r="G3112">
        <v>0</v>
      </c>
      <c r="H3112">
        <v>0</v>
      </c>
      <c r="I3112">
        <v>0</v>
      </c>
      <c r="J3112">
        <v>1</v>
      </c>
      <c r="K3112">
        <v>114.36</v>
      </c>
      <c r="L3112">
        <v>114.36</v>
      </c>
      <c r="M3112">
        <v>1</v>
      </c>
      <c r="N3112">
        <v>114.36</v>
      </c>
      <c r="O3112">
        <v>114.36</v>
      </c>
    </row>
    <row r="3113" spans="1:15" x14ac:dyDescent="0.35">
      <c r="A3113" t="s">
        <v>3545</v>
      </c>
      <c r="B3113" t="s">
        <v>3546</v>
      </c>
      <c r="C3113" t="s">
        <v>1184</v>
      </c>
      <c r="D3113" t="s">
        <v>323</v>
      </c>
      <c r="E3113" t="s">
        <v>304</v>
      </c>
      <c r="F3113" t="s">
        <v>3570</v>
      </c>
      <c r="G3113">
        <v>0</v>
      </c>
      <c r="H3113">
        <v>0</v>
      </c>
      <c r="I3113">
        <v>0</v>
      </c>
      <c r="J3113">
        <v>2</v>
      </c>
      <c r="K3113">
        <v>210.18</v>
      </c>
      <c r="L3113">
        <v>105.09</v>
      </c>
      <c r="M3113">
        <v>2</v>
      </c>
      <c r="N3113">
        <v>210.18</v>
      </c>
      <c r="O3113">
        <v>105.09</v>
      </c>
    </row>
    <row r="3114" spans="1:15" x14ac:dyDescent="0.35">
      <c r="A3114" t="s">
        <v>3545</v>
      </c>
      <c r="B3114" t="s">
        <v>3546</v>
      </c>
      <c r="C3114" t="s">
        <v>1184</v>
      </c>
      <c r="D3114" t="s">
        <v>323</v>
      </c>
      <c r="E3114" t="s">
        <v>306</v>
      </c>
      <c r="F3114" t="s">
        <v>3571</v>
      </c>
      <c r="G3114">
        <v>8</v>
      </c>
      <c r="H3114">
        <v>585.36</v>
      </c>
      <c r="I3114">
        <v>73.17</v>
      </c>
      <c r="J3114">
        <v>0</v>
      </c>
      <c r="K3114">
        <v>0</v>
      </c>
      <c r="L3114">
        <v>0</v>
      </c>
      <c r="M3114">
        <v>8</v>
      </c>
      <c r="N3114">
        <v>585.36</v>
      </c>
      <c r="O3114">
        <v>73.17</v>
      </c>
    </row>
    <row r="3115" spans="1:15" x14ac:dyDescent="0.35">
      <c r="A3115" t="s">
        <v>3545</v>
      </c>
      <c r="B3115" t="s">
        <v>3546</v>
      </c>
      <c r="C3115" t="s">
        <v>1184</v>
      </c>
      <c r="D3115" t="s">
        <v>323</v>
      </c>
      <c r="E3115" t="s">
        <v>308</v>
      </c>
      <c r="F3115" t="s">
        <v>3572</v>
      </c>
      <c r="G3115">
        <v>0</v>
      </c>
      <c r="H3115">
        <v>0</v>
      </c>
      <c r="I3115">
        <v>0</v>
      </c>
      <c r="J3115">
        <v>0</v>
      </c>
      <c r="K3115">
        <v>0</v>
      </c>
      <c r="L3115">
        <v>0</v>
      </c>
      <c r="M3115">
        <v>0</v>
      </c>
      <c r="N3115">
        <v>0</v>
      </c>
      <c r="O3115">
        <v>0</v>
      </c>
    </row>
    <row r="3116" spans="1:15" x14ac:dyDescent="0.35">
      <c r="A3116" t="s">
        <v>3545</v>
      </c>
      <c r="B3116" t="s">
        <v>3546</v>
      </c>
      <c r="C3116" t="s">
        <v>1184</v>
      </c>
      <c r="D3116" t="s">
        <v>323</v>
      </c>
      <c r="E3116" t="s">
        <v>310</v>
      </c>
      <c r="F3116" t="s">
        <v>3573</v>
      </c>
      <c r="G3116">
        <v>841</v>
      </c>
      <c r="H3116">
        <v>90897.620000000024</v>
      </c>
      <c r="I3116">
        <v>108.08</v>
      </c>
      <c r="J3116">
        <v>2808</v>
      </c>
      <c r="K3116">
        <v>261844.38999999998</v>
      </c>
      <c r="L3116">
        <v>93.25</v>
      </c>
      <c r="M3116">
        <v>3649</v>
      </c>
      <c r="N3116">
        <v>352742.01</v>
      </c>
      <c r="O3116">
        <v>96.67</v>
      </c>
    </row>
    <row r="3117" spans="1:15" x14ac:dyDescent="0.35">
      <c r="A3117" t="s">
        <v>3545</v>
      </c>
      <c r="B3117" t="s">
        <v>3546</v>
      </c>
      <c r="C3117" t="s">
        <v>1184</v>
      </c>
      <c r="D3117" t="s">
        <v>323</v>
      </c>
      <c r="E3117" t="s">
        <v>312</v>
      </c>
      <c r="F3117" t="s">
        <v>3574</v>
      </c>
      <c r="G3117">
        <v>841</v>
      </c>
      <c r="H3117">
        <v>90897.620000000024</v>
      </c>
      <c r="I3117">
        <v>108.08</v>
      </c>
      <c r="J3117">
        <v>2808</v>
      </c>
      <c r="K3117">
        <v>261844.38999999998</v>
      </c>
      <c r="L3117">
        <v>93.25</v>
      </c>
      <c r="M3117">
        <v>3649</v>
      </c>
      <c r="N3117">
        <v>352742.01</v>
      </c>
      <c r="O3117">
        <v>96.67</v>
      </c>
    </row>
    <row r="3118" spans="1:15" x14ac:dyDescent="0.35">
      <c r="A3118" t="s">
        <v>3545</v>
      </c>
      <c r="B3118" t="s">
        <v>3546</v>
      </c>
      <c r="C3118" t="s">
        <v>1184</v>
      </c>
      <c r="D3118" t="s">
        <v>334</v>
      </c>
      <c r="E3118" t="s">
        <v>312</v>
      </c>
      <c r="F3118" t="s">
        <v>3575</v>
      </c>
      <c r="G3118">
        <v>1325</v>
      </c>
      <c r="H3118">
        <v>157240.18999999997</v>
      </c>
      <c r="I3118">
        <v>123.81</v>
      </c>
      <c r="J3118">
        <v>2911</v>
      </c>
      <c r="K3118">
        <v>276152.03999999998</v>
      </c>
      <c r="L3118">
        <v>94.87</v>
      </c>
      <c r="M3118">
        <v>4236</v>
      </c>
      <c r="N3118">
        <v>433392.23</v>
      </c>
      <c r="O3118">
        <v>103.66</v>
      </c>
    </row>
    <row r="3119" spans="1:15" x14ac:dyDescent="0.35">
      <c r="A3119" t="s">
        <v>3545</v>
      </c>
      <c r="B3119" t="s">
        <v>3546</v>
      </c>
      <c r="C3119" t="s">
        <v>1184</v>
      </c>
      <c r="D3119" t="s">
        <v>334</v>
      </c>
      <c r="E3119" t="s">
        <v>308</v>
      </c>
      <c r="F3119" t="s">
        <v>3576</v>
      </c>
      <c r="G3119">
        <v>0</v>
      </c>
      <c r="H3119">
        <v>0</v>
      </c>
      <c r="I3119">
        <v>0</v>
      </c>
      <c r="J3119">
        <v>0</v>
      </c>
      <c r="K3119">
        <v>0</v>
      </c>
      <c r="L3119">
        <v>0</v>
      </c>
      <c r="M3119">
        <v>0</v>
      </c>
      <c r="N3119">
        <v>0</v>
      </c>
      <c r="O3119">
        <v>0</v>
      </c>
    </row>
    <row r="3120" spans="1:15" x14ac:dyDescent="0.35">
      <c r="A3120" t="s">
        <v>3545</v>
      </c>
      <c r="B3120" t="s">
        <v>3546</v>
      </c>
      <c r="C3120" t="s">
        <v>1184</v>
      </c>
      <c r="D3120" t="s">
        <v>337</v>
      </c>
      <c r="E3120" t="s">
        <v>337</v>
      </c>
      <c r="F3120" t="s">
        <v>3577</v>
      </c>
      <c r="G3120">
        <v>364</v>
      </c>
      <c r="J3120">
        <v>0</v>
      </c>
      <c r="M3120">
        <v>364</v>
      </c>
    </row>
    <row r="3121" spans="1:15" x14ac:dyDescent="0.35">
      <c r="A3121" t="s">
        <v>3545</v>
      </c>
      <c r="B3121" t="s">
        <v>3546</v>
      </c>
      <c r="C3121" t="s">
        <v>1184</v>
      </c>
      <c r="D3121" t="s">
        <v>339</v>
      </c>
      <c r="E3121" t="s">
        <v>294</v>
      </c>
      <c r="F3121" t="s">
        <v>3578</v>
      </c>
      <c r="G3121">
        <v>169</v>
      </c>
      <c r="H3121">
        <v>16567.949999999997</v>
      </c>
      <c r="I3121">
        <v>98.04</v>
      </c>
      <c r="J3121">
        <v>0</v>
      </c>
      <c r="K3121">
        <v>0</v>
      </c>
      <c r="L3121">
        <v>0</v>
      </c>
      <c r="M3121">
        <v>169</v>
      </c>
      <c r="N3121">
        <v>16567.949999999997</v>
      </c>
      <c r="O3121">
        <v>98.04</v>
      </c>
    </row>
    <row r="3122" spans="1:15" x14ac:dyDescent="0.35">
      <c r="A3122" t="s">
        <v>3545</v>
      </c>
      <c r="B3122" t="s">
        <v>3546</v>
      </c>
      <c r="C3122" t="s">
        <v>1184</v>
      </c>
      <c r="D3122" t="s">
        <v>339</v>
      </c>
      <c r="E3122" t="s">
        <v>296</v>
      </c>
      <c r="F3122" t="s">
        <v>3579</v>
      </c>
      <c r="G3122">
        <v>28</v>
      </c>
      <c r="H3122">
        <v>3091.19</v>
      </c>
      <c r="I3122">
        <v>110.4</v>
      </c>
      <c r="J3122">
        <v>0</v>
      </c>
      <c r="K3122">
        <v>0</v>
      </c>
      <c r="L3122">
        <v>0</v>
      </c>
      <c r="M3122">
        <v>28</v>
      </c>
      <c r="N3122">
        <v>3091.19</v>
      </c>
      <c r="O3122">
        <v>110.4</v>
      </c>
    </row>
    <row r="3123" spans="1:15" x14ac:dyDescent="0.35">
      <c r="A3123" t="s">
        <v>3545</v>
      </c>
      <c r="B3123" t="s">
        <v>3546</v>
      </c>
      <c r="C3123" t="s">
        <v>1184</v>
      </c>
      <c r="D3123" t="s">
        <v>339</v>
      </c>
      <c r="E3123" t="s">
        <v>298</v>
      </c>
      <c r="F3123" t="s">
        <v>3580</v>
      </c>
      <c r="G3123">
        <v>3</v>
      </c>
      <c r="H3123">
        <v>347.04999999999995</v>
      </c>
      <c r="I3123">
        <v>115.68</v>
      </c>
      <c r="J3123">
        <v>0</v>
      </c>
      <c r="K3123">
        <v>0</v>
      </c>
      <c r="L3123">
        <v>0</v>
      </c>
      <c r="M3123">
        <v>3</v>
      </c>
      <c r="N3123">
        <v>347.04999999999995</v>
      </c>
      <c r="O3123">
        <v>115.68</v>
      </c>
    </row>
    <row r="3124" spans="1:15" x14ac:dyDescent="0.35">
      <c r="A3124" t="s">
        <v>3545</v>
      </c>
      <c r="B3124" t="s">
        <v>3546</v>
      </c>
      <c r="C3124" t="s">
        <v>1184</v>
      </c>
      <c r="D3124" t="s">
        <v>339</v>
      </c>
      <c r="E3124" t="s">
        <v>300</v>
      </c>
      <c r="F3124" t="s">
        <v>3581</v>
      </c>
      <c r="G3124">
        <v>0</v>
      </c>
      <c r="H3124">
        <v>0</v>
      </c>
      <c r="I3124">
        <v>0</v>
      </c>
      <c r="J3124">
        <v>0</v>
      </c>
      <c r="K3124">
        <v>0</v>
      </c>
      <c r="L3124">
        <v>0</v>
      </c>
      <c r="M3124">
        <v>0</v>
      </c>
      <c r="N3124">
        <v>0</v>
      </c>
      <c r="O3124">
        <v>0</v>
      </c>
    </row>
    <row r="3125" spans="1:15" x14ac:dyDescent="0.35">
      <c r="A3125" t="s">
        <v>3545</v>
      </c>
      <c r="B3125" t="s">
        <v>3546</v>
      </c>
      <c r="C3125" t="s">
        <v>1184</v>
      </c>
      <c r="D3125" t="s">
        <v>339</v>
      </c>
      <c r="E3125" t="s">
        <v>306</v>
      </c>
      <c r="F3125" t="s">
        <v>3582</v>
      </c>
      <c r="G3125">
        <v>10</v>
      </c>
      <c r="H3125">
        <v>941.59999999999991</v>
      </c>
      <c r="I3125">
        <v>94.16</v>
      </c>
      <c r="J3125">
        <v>0</v>
      </c>
      <c r="K3125">
        <v>0</v>
      </c>
      <c r="L3125">
        <v>0</v>
      </c>
      <c r="M3125">
        <v>10</v>
      </c>
      <c r="N3125">
        <v>941.59999999999991</v>
      </c>
      <c r="O3125">
        <v>94.16</v>
      </c>
    </row>
    <row r="3126" spans="1:15" x14ac:dyDescent="0.35">
      <c r="A3126" t="s">
        <v>3545</v>
      </c>
      <c r="B3126" t="s">
        <v>3546</v>
      </c>
      <c r="C3126" t="s">
        <v>1184</v>
      </c>
      <c r="D3126" t="s">
        <v>339</v>
      </c>
      <c r="E3126" t="s">
        <v>308</v>
      </c>
      <c r="F3126" t="s">
        <v>3583</v>
      </c>
      <c r="G3126">
        <v>3</v>
      </c>
      <c r="H3126">
        <v>486.48</v>
      </c>
      <c r="I3126">
        <v>162.16</v>
      </c>
      <c r="J3126">
        <v>0</v>
      </c>
      <c r="K3126">
        <v>0</v>
      </c>
      <c r="L3126">
        <v>0</v>
      </c>
      <c r="M3126">
        <v>3</v>
      </c>
      <c r="N3126">
        <v>486.48</v>
      </c>
      <c r="O3126">
        <v>162.16</v>
      </c>
    </row>
    <row r="3127" spans="1:15" x14ac:dyDescent="0.35">
      <c r="A3127" t="s">
        <v>3545</v>
      </c>
      <c r="B3127" t="s">
        <v>3546</v>
      </c>
      <c r="C3127" t="s">
        <v>1184</v>
      </c>
      <c r="D3127" t="s">
        <v>339</v>
      </c>
      <c r="E3127" t="s">
        <v>310</v>
      </c>
      <c r="F3127" t="s">
        <v>3584</v>
      </c>
      <c r="G3127">
        <v>213</v>
      </c>
      <c r="H3127">
        <v>21434.269999999993</v>
      </c>
      <c r="I3127">
        <v>100.63</v>
      </c>
      <c r="J3127">
        <v>0</v>
      </c>
      <c r="K3127">
        <v>0</v>
      </c>
      <c r="L3127">
        <v>0</v>
      </c>
      <c r="M3127">
        <v>213</v>
      </c>
      <c r="N3127">
        <v>21434.269999999993</v>
      </c>
      <c r="O3127">
        <v>100.63</v>
      </c>
    </row>
    <row r="3128" spans="1:15" x14ac:dyDescent="0.35">
      <c r="A3128" t="s">
        <v>3545</v>
      </c>
      <c r="B3128" t="s">
        <v>3546</v>
      </c>
      <c r="C3128" t="s">
        <v>1184</v>
      </c>
      <c r="D3128" t="s">
        <v>339</v>
      </c>
      <c r="E3128" t="s">
        <v>312</v>
      </c>
      <c r="F3128" t="s">
        <v>3585</v>
      </c>
      <c r="G3128">
        <v>210</v>
      </c>
      <c r="H3128">
        <v>20947.789999999994</v>
      </c>
      <c r="I3128">
        <v>99.75</v>
      </c>
      <c r="J3128">
        <v>0</v>
      </c>
      <c r="K3128">
        <v>0</v>
      </c>
      <c r="L3128">
        <v>0</v>
      </c>
      <c r="M3128">
        <v>210</v>
      </c>
      <c r="N3128">
        <v>20947.789999999994</v>
      </c>
      <c r="O3128">
        <v>99.75</v>
      </c>
    </row>
    <row r="3129" spans="1:15" x14ac:dyDescent="0.35">
      <c r="A3129" t="s">
        <v>3545</v>
      </c>
      <c r="B3129" t="s">
        <v>3546</v>
      </c>
      <c r="C3129" t="s">
        <v>1184</v>
      </c>
      <c r="D3129" t="s">
        <v>348</v>
      </c>
      <c r="E3129" t="s">
        <v>349</v>
      </c>
      <c r="F3129" t="s">
        <v>3586</v>
      </c>
      <c r="G3129">
        <v>357</v>
      </c>
      <c r="H3129">
        <v>21434.269999999993</v>
      </c>
      <c r="I3129">
        <v>100.63</v>
      </c>
      <c r="J3129">
        <v>0</v>
      </c>
      <c r="K3129">
        <v>0</v>
      </c>
      <c r="L3129">
        <v>0</v>
      </c>
      <c r="M3129">
        <v>357</v>
      </c>
      <c r="N3129">
        <v>21434.269999999993</v>
      </c>
      <c r="O3129">
        <v>100.63</v>
      </c>
    </row>
    <row r="3130" spans="1:15" x14ac:dyDescent="0.35">
      <c r="A3130" t="s">
        <v>3587</v>
      </c>
      <c r="B3130" t="s">
        <v>3588</v>
      </c>
      <c r="C3130" t="s">
        <v>1184</v>
      </c>
      <c r="D3130" t="s">
        <v>293</v>
      </c>
      <c r="E3130" t="s">
        <v>294</v>
      </c>
      <c r="F3130" t="s">
        <v>3589</v>
      </c>
      <c r="G3130">
        <v>3</v>
      </c>
      <c r="H3130">
        <v>316.59000000000003</v>
      </c>
      <c r="I3130">
        <v>105.53</v>
      </c>
      <c r="J3130">
        <v>0</v>
      </c>
      <c r="K3130">
        <v>0</v>
      </c>
      <c r="L3130">
        <v>0</v>
      </c>
      <c r="M3130">
        <v>3</v>
      </c>
      <c r="N3130">
        <v>316.59000000000003</v>
      </c>
      <c r="O3130">
        <v>105.53</v>
      </c>
    </row>
    <row r="3131" spans="1:15" x14ac:dyDescent="0.35">
      <c r="A3131" t="s">
        <v>3587</v>
      </c>
      <c r="B3131" t="s">
        <v>3588</v>
      </c>
      <c r="C3131" t="s">
        <v>1184</v>
      </c>
      <c r="D3131" t="s">
        <v>293</v>
      </c>
      <c r="E3131" t="s">
        <v>296</v>
      </c>
      <c r="F3131" t="s">
        <v>3590</v>
      </c>
      <c r="G3131">
        <v>219</v>
      </c>
      <c r="H3131">
        <v>29005.219999999998</v>
      </c>
      <c r="I3131">
        <v>132.44</v>
      </c>
      <c r="J3131">
        <v>0</v>
      </c>
      <c r="K3131">
        <v>0</v>
      </c>
      <c r="L3131">
        <v>0</v>
      </c>
      <c r="M3131">
        <v>219</v>
      </c>
      <c r="N3131">
        <v>29005.219999999998</v>
      </c>
      <c r="O3131">
        <v>132.44</v>
      </c>
    </row>
    <row r="3132" spans="1:15" x14ac:dyDescent="0.35">
      <c r="A3132" t="s">
        <v>3587</v>
      </c>
      <c r="B3132" t="s">
        <v>3588</v>
      </c>
      <c r="C3132" t="s">
        <v>1184</v>
      </c>
      <c r="D3132" t="s">
        <v>293</v>
      </c>
      <c r="E3132" t="s">
        <v>298</v>
      </c>
      <c r="F3132" t="s">
        <v>3591</v>
      </c>
      <c r="G3132">
        <v>249</v>
      </c>
      <c r="H3132">
        <v>37114.85</v>
      </c>
      <c r="I3132">
        <v>149.06</v>
      </c>
      <c r="J3132">
        <v>0</v>
      </c>
      <c r="K3132">
        <v>0</v>
      </c>
      <c r="L3132">
        <v>0</v>
      </c>
      <c r="M3132">
        <v>249</v>
      </c>
      <c r="N3132">
        <v>37114.85</v>
      </c>
      <c r="O3132">
        <v>149.06</v>
      </c>
    </row>
    <row r="3133" spans="1:15" x14ac:dyDescent="0.35">
      <c r="A3133" t="s">
        <v>3587</v>
      </c>
      <c r="B3133" t="s">
        <v>3588</v>
      </c>
      <c r="C3133" t="s">
        <v>1184</v>
      </c>
      <c r="D3133" t="s">
        <v>293</v>
      </c>
      <c r="E3133" t="s">
        <v>300</v>
      </c>
      <c r="F3133" t="s">
        <v>3592</v>
      </c>
      <c r="G3133">
        <v>18</v>
      </c>
      <c r="H3133">
        <v>3006.3100000000004</v>
      </c>
      <c r="I3133">
        <v>167.02</v>
      </c>
      <c r="J3133">
        <v>0</v>
      </c>
      <c r="K3133">
        <v>0</v>
      </c>
      <c r="L3133">
        <v>0</v>
      </c>
      <c r="M3133">
        <v>18</v>
      </c>
      <c r="N3133">
        <v>3006.3100000000004</v>
      </c>
      <c r="O3133">
        <v>167.02</v>
      </c>
    </row>
    <row r="3134" spans="1:15" x14ac:dyDescent="0.35">
      <c r="A3134" t="s">
        <v>3587</v>
      </c>
      <c r="B3134" t="s">
        <v>3588</v>
      </c>
      <c r="C3134" t="s">
        <v>1184</v>
      </c>
      <c r="D3134" t="s">
        <v>293</v>
      </c>
      <c r="E3134" t="s">
        <v>302</v>
      </c>
      <c r="F3134" t="s">
        <v>3593</v>
      </c>
      <c r="G3134">
        <v>2</v>
      </c>
      <c r="H3134">
        <v>305.38</v>
      </c>
      <c r="I3134">
        <v>152.69</v>
      </c>
      <c r="J3134">
        <v>0</v>
      </c>
      <c r="K3134">
        <v>0</v>
      </c>
      <c r="L3134">
        <v>0</v>
      </c>
      <c r="M3134">
        <v>2</v>
      </c>
      <c r="N3134">
        <v>305.38</v>
      </c>
      <c r="O3134">
        <v>152.69</v>
      </c>
    </row>
    <row r="3135" spans="1:15" x14ac:dyDescent="0.35">
      <c r="A3135" t="s">
        <v>3587</v>
      </c>
      <c r="B3135" t="s">
        <v>3588</v>
      </c>
      <c r="C3135" t="s">
        <v>1184</v>
      </c>
      <c r="D3135" t="s">
        <v>293</v>
      </c>
      <c r="E3135" t="s">
        <v>304</v>
      </c>
      <c r="F3135" t="s">
        <v>3594</v>
      </c>
      <c r="G3135">
        <v>0</v>
      </c>
      <c r="H3135">
        <v>0</v>
      </c>
      <c r="I3135">
        <v>0</v>
      </c>
      <c r="J3135">
        <v>0</v>
      </c>
      <c r="K3135">
        <v>0</v>
      </c>
      <c r="L3135">
        <v>0</v>
      </c>
      <c r="M3135">
        <v>0</v>
      </c>
      <c r="N3135">
        <v>0</v>
      </c>
      <c r="O3135">
        <v>0</v>
      </c>
    </row>
    <row r="3136" spans="1:15" x14ac:dyDescent="0.35">
      <c r="A3136" t="s">
        <v>3587</v>
      </c>
      <c r="B3136" t="s">
        <v>3588</v>
      </c>
      <c r="C3136" t="s">
        <v>1184</v>
      </c>
      <c r="D3136" t="s">
        <v>293</v>
      </c>
      <c r="E3136" t="s">
        <v>306</v>
      </c>
      <c r="F3136" t="s">
        <v>3595</v>
      </c>
      <c r="G3136">
        <v>0</v>
      </c>
      <c r="H3136">
        <v>0</v>
      </c>
      <c r="I3136">
        <v>0</v>
      </c>
      <c r="J3136">
        <v>0</v>
      </c>
      <c r="K3136">
        <v>0</v>
      </c>
      <c r="L3136">
        <v>0</v>
      </c>
      <c r="M3136">
        <v>0</v>
      </c>
      <c r="N3136">
        <v>0</v>
      </c>
      <c r="O3136">
        <v>0</v>
      </c>
    </row>
    <row r="3137" spans="1:15" x14ac:dyDescent="0.35">
      <c r="A3137" t="s">
        <v>3587</v>
      </c>
      <c r="B3137" t="s">
        <v>3588</v>
      </c>
      <c r="C3137" t="s">
        <v>1184</v>
      </c>
      <c r="D3137" t="s">
        <v>293</v>
      </c>
      <c r="E3137" t="s">
        <v>308</v>
      </c>
      <c r="F3137" t="s">
        <v>3596</v>
      </c>
      <c r="G3137">
        <v>0</v>
      </c>
      <c r="H3137">
        <v>0</v>
      </c>
      <c r="I3137">
        <v>0</v>
      </c>
      <c r="J3137">
        <v>0</v>
      </c>
      <c r="K3137">
        <v>0</v>
      </c>
      <c r="L3137">
        <v>0</v>
      </c>
      <c r="M3137">
        <v>0</v>
      </c>
      <c r="N3137">
        <v>0</v>
      </c>
      <c r="O3137">
        <v>0</v>
      </c>
    </row>
    <row r="3138" spans="1:15" x14ac:dyDescent="0.35">
      <c r="A3138" t="s">
        <v>3587</v>
      </c>
      <c r="B3138" t="s">
        <v>3588</v>
      </c>
      <c r="C3138" t="s">
        <v>1184</v>
      </c>
      <c r="D3138" t="s">
        <v>293</v>
      </c>
      <c r="E3138" t="s">
        <v>310</v>
      </c>
      <c r="F3138" t="s">
        <v>3597</v>
      </c>
      <c r="G3138">
        <v>491</v>
      </c>
      <c r="H3138">
        <v>69748.350000000006</v>
      </c>
      <c r="I3138">
        <v>142.05000000000001</v>
      </c>
      <c r="J3138">
        <v>0</v>
      </c>
      <c r="K3138">
        <v>0</v>
      </c>
      <c r="L3138">
        <v>0</v>
      </c>
      <c r="M3138">
        <v>491</v>
      </c>
      <c r="N3138">
        <v>69748.350000000006</v>
      </c>
      <c r="O3138">
        <v>142.05000000000001</v>
      </c>
    </row>
    <row r="3139" spans="1:15" x14ac:dyDescent="0.35">
      <c r="A3139" t="s">
        <v>3587</v>
      </c>
      <c r="B3139" t="s">
        <v>3588</v>
      </c>
      <c r="C3139" t="s">
        <v>1184</v>
      </c>
      <c r="D3139" t="s">
        <v>293</v>
      </c>
      <c r="E3139" t="s">
        <v>312</v>
      </c>
      <c r="F3139" t="s">
        <v>3598</v>
      </c>
      <c r="G3139">
        <v>491</v>
      </c>
      <c r="H3139">
        <v>69748.350000000006</v>
      </c>
      <c r="I3139">
        <v>142.05000000000001</v>
      </c>
      <c r="J3139">
        <v>0</v>
      </c>
      <c r="K3139">
        <v>0</v>
      </c>
      <c r="L3139">
        <v>0</v>
      </c>
      <c r="M3139">
        <v>491</v>
      </c>
      <c r="N3139">
        <v>69748.350000000006</v>
      </c>
      <c r="O3139">
        <v>142.05000000000001</v>
      </c>
    </row>
    <row r="3140" spans="1:15" x14ac:dyDescent="0.35">
      <c r="A3140" t="s">
        <v>3587</v>
      </c>
      <c r="B3140" t="s">
        <v>3588</v>
      </c>
      <c r="C3140" t="s">
        <v>1184</v>
      </c>
      <c r="D3140" t="s">
        <v>314</v>
      </c>
      <c r="E3140" t="s">
        <v>294</v>
      </c>
      <c r="F3140" t="s">
        <v>3599</v>
      </c>
      <c r="G3140">
        <v>7</v>
      </c>
      <c r="H3140">
        <v>987.21</v>
      </c>
      <c r="I3140">
        <v>141.03</v>
      </c>
      <c r="J3140">
        <v>0</v>
      </c>
      <c r="K3140">
        <v>0</v>
      </c>
      <c r="L3140">
        <v>0</v>
      </c>
      <c r="M3140">
        <v>7</v>
      </c>
      <c r="N3140">
        <v>987.21</v>
      </c>
      <c r="O3140">
        <v>141.03</v>
      </c>
    </row>
    <row r="3141" spans="1:15" x14ac:dyDescent="0.35">
      <c r="A3141" t="s">
        <v>3587</v>
      </c>
      <c r="B3141" t="s">
        <v>3588</v>
      </c>
      <c r="C3141" t="s">
        <v>1184</v>
      </c>
      <c r="D3141" t="s">
        <v>314</v>
      </c>
      <c r="E3141" t="s">
        <v>296</v>
      </c>
      <c r="F3141" t="s">
        <v>3600</v>
      </c>
      <c r="G3141">
        <v>24</v>
      </c>
      <c r="H3141">
        <v>3949.92</v>
      </c>
      <c r="I3141">
        <v>164.58</v>
      </c>
      <c r="J3141">
        <v>0</v>
      </c>
      <c r="K3141">
        <v>0</v>
      </c>
      <c r="L3141">
        <v>0</v>
      </c>
      <c r="M3141">
        <v>24</v>
      </c>
      <c r="N3141">
        <v>3949.92</v>
      </c>
      <c r="O3141">
        <v>164.58</v>
      </c>
    </row>
    <row r="3142" spans="1:15" x14ac:dyDescent="0.35">
      <c r="A3142" t="s">
        <v>3587</v>
      </c>
      <c r="B3142" t="s">
        <v>3588</v>
      </c>
      <c r="C3142" t="s">
        <v>1184</v>
      </c>
      <c r="D3142" t="s">
        <v>314</v>
      </c>
      <c r="E3142" t="s">
        <v>298</v>
      </c>
      <c r="F3142" t="s">
        <v>3601</v>
      </c>
      <c r="G3142">
        <v>0</v>
      </c>
      <c r="H3142">
        <v>0</v>
      </c>
      <c r="I3142">
        <v>0</v>
      </c>
      <c r="J3142">
        <v>0</v>
      </c>
      <c r="K3142">
        <v>0</v>
      </c>
      <c r="L3142">
        <v>0</v>
      </c>
      <c r="M3142">
        <v>0</v>
      </c>
      <c r="N3142">
        <v>0</v>
      </c>
      <c r="O3142">
        <v>0</v>
      </c>
    </row>
    <row r="3143" spans="1:15" x14ac:dyDescent="0.35">
      <c r="A3143" t="s">
        <v>3587</v>
      </c>
      <c r="B3143" t="s">
        <v>3588</v>
      </c>
      <c r="C3143" t="s">
        <v>1184</v>
      </c>
      <c r="D3143" t="s">
        <v>314</v>
      </c>
      <c r="E3143" t="s">
        <v>300</v>
      </c>
      <c r="F3143" t="s">
        <v>3602</v>
      </c>
      <c r="G3143">
        <v>0</v>
      </c>
      <c r="H3143">
        <v>0</v>
      </c>
      <c r="I3143">
        <v>0</v>
      </c>
      <c r="J3143">
        <v>0</v>
      </c>
      <c r="K3143">
        <v>0</v>
      </c>
      <c r="L3143">
        <v>0</v>
      </c>
      <c r="M3143">
        <v>0</v>
      </c>
      <c r="N3143">
        <v>0</v>
      </c>
      <c r="O3143">
        <v>0</v>
      </c>
    </row>
    <row r="3144" spans="1:15" x14ac:dyDescent="0.35">
      <c r="A3144" t="s">
        <v>3587</v>
      </c>
      <c r="B3144" t="s">
        <v>3588</v>
      </c>
      <c r="C3144" t="s">
        <v>1184</v>
      </c>
      <c r="D3144" t="s">
        <v>314</v>
      </c>
      <c r="E3144" t="s">
        <v>306</v>
      </c>
      <c r="F3144" t="s">
        <v>3603</v>
      </c>
      <c r="G3144">
        <v>0</v>
      </c>
      <c r="H3144">
        <v>0</v>
      </c>
      <c r="I3144">
        <v>0</v>
      </c>
      <c r="J3144">
        <v>0</v>
      </c>
      <c r="K3144">
        <v>0</v>
      </c>
      <c r="L3144">
        <v>0</v>
      </c>
      <c r="M3144">
        <v>0</v>
      </c>
      <c r="N3144">
        <v>0</v>
      </c>
      <c r="O3144">
        <v>0</v>
      </c>
    </row>
    <row r="3145" spans="1:15" x14ac:dyDescent="0.35">
      <c r="A3145" t="s">
        <v>3587</v>
      </c>
      <c r="B3145" t="s">
        <v>3588</v>
      </c>
      <c r="C3145" t="s">
        <v>1184</v>
      </c>
      <c r="D3145" t="s">
        <v>314</v>
      </c>
      <c r="E3145" t="s">
        <v>308</v>
      </c>
      <c r="F3145" t="s">
        <v>3604</v>
      </c>
      <c r="G3145">
        <v>0</v>
      </c>
      <c r="H3145">
        <v>0</v>
      </c>
      <c r="I3145">
        <v>0</v>
      </c>
      <c r="J3145">
        <v>0</v>
      </c>
      <c r="K3145">
        <v>0</v>
      </c>
      <c r="L3145">
        <v>0</v>
      </c>
      <c r="M3145">
        <v>0</v>
      </c>
      <c r="N3145">
        <v>0</v>
      </c>
      <c r="O3145">
        <v>0</v>
      </c>
    </row>
    <row r="3146" spans="1:15" x14ac:dyDescent="0.35">
      <c r="A3146" t="s">
        <v>3587</v>
      </c>
      <c r="B3146" t="s">
        <v>3588</v>
      </c>
      <c r="C3146" t="s">
        <v>1184</v>
      </c>
      <c r="D3146" t="s">
        <v>314</v>
      </c>
      <c r="E3146" t="s">
        <v>312</v>
      </c>
      <c r="F3146" t="s">
        <v>3605</v>
      </c>
      <c r="G3146">
        <v>31</v>
      </c>
      <c r="H3146">
        <v>4937.13</v>
      </c>
      <c r="I3146">
        <v>159.26</v>
      </c>
      <c r="J3146">
        <v>0</v>
      </c>
      <c r="K3146">
        <v>0</v>
      </c>
      <c r="L3146">
        <v>0</v>
      </c>
      <c r="M3146">
        <v>31</v>
      </c>
      <c r="N3146">
        <v>4937.13</v>
      </c>
      <c r="O3146">
        <v>159.26</v>
      </c>
    </row>
    <row r="3147" spans="1:15" x14ac:dyDescent="0.35">
      <c r="A3147" t="s">
        <v>3587</v>
      </c>
      <c r="B3147" t="s">
        <v>3588</v>
      </c>
      <c r="C3147" t="s">
        <v>1184</v>
      </c>
      <c r="D3147" t="s">
        <v>314</v>
      </c>
      <c r="E3147" t="s">
        <v>310</v>
      </c>
      <c r="F3147" t="s">
        <v>3606</v>
      </c>
      <c r="G3147">
        <v>31</v>
      </c>
      <c r="H3147">
        <v>4937.13</v>
      </c>
      <c r="I3147">
        <v>159.26</v>
      </c>
      <c r="J3147">
        <v>0</v>
      </c>
      <c r="K3147">
        <v>0</v>
      </c>
      <c r="L3147">
        <v>0</v>
      </c>
      <c r="M3147">
        <v>31</v>
      </c>
      <c r="N3147">
        <v>4937.13</v>
      </c>
      <c r="O3147">
        <v>159.26</v>
      </c>
    </row>
    <row r="3148" spans="1:15" x14ac:dyDescent="0.35">
      <c r="A3148" t="s">
        <v>3587</v>
      </c>
      <c r="B3148" t="s">
        <v>3588</v>
      </c>
      <c r="C3148" t="s">
        <v>1184</v>
      </c>
      <c r="D3148" t="s">
        <v>323</v>
      </c>
      <c r="E3148" t="s">
        <v>294</v>
      </c>
      <c r="F3148" t="s">
        <v>3607</v>
      </c>
      <c r="G3148">
        <v>900</v>
      </c>
      <c r="H3148">
        <v>80572.17</v>
      </c>
      <c r="I3148">
        <v>89.52</v>
      </c>
      <c r="J3148">
        <v>0</v>
      </c>
      <c r="K3148">
        <v>0</v>
      </c>
      <c r="L3148">
        <v>0</v>
      </c>
      <c r="M3148">
        <v>900</v>
      </c>
      <c r="N3148">
        <v>80572.17</v>
      </c>
      <c r="O3148">
        <v>89.52</v>
      </c>
    </row>
    <row r="3149" spans="1:15" x14ac:dyDescent="0.35">
      <c r="A3149" t="s">
        <v>3587</v>
      </c>
      <c r="B3149" t="s">
        <v>3588</v>
      </c>
      <c r="C3149" t="s">
        <v>1184</v>
      </c>
      <c r="D3149" t="s">
        <v>323</v>
      </c>
      <c r="E3149" t="s">
        <v>296</v>
      </c>
      <c r="F3149" t="s">
        <v>3608</v>
      </c>
      <c r="G3149">
        <v>1536</v>
      </c>
      <c r="H3149">
        <v>162147.31000000006</v>
      </c>
      <c r="I3149">
        <v>105.56</v>
      </c>
      <c r="J3149">
        <v>0</v>
      </c>
      <c r="K3149">
        <v>0</v>
      </c>
      <c r="L3149">
        <v>0</v>
      </c>
      <c r="M3149">
        <v>1536</v>
      </c>
      <c r="N3149">
        <v>162147.31000000006</v>
      </c>
      <c r="O3149">
        <v>105.56</v>
      </c>
    </row>
    <row r="3150" spans="1:15" x14ac:dyDescent="0.35">
      <c r="A3150" t="s">
        <v>3587</v>
      </c>
      <c r="B3150" t="s">
        <v>3588</v>
      </c>
      <c r="C3150" t="s">
        <v>1184</v>
      </c>
      <c r="D3150" t="s">
        <v>323</v>
      </c>
      <c r="E3150" t="s">
        <v>298</v>
      </c>
      <c r="F3150" t="s">
        <v>3609</v>
      </c>
      <c r="G3150">
        <v>1141</v>
      </c>
      <c r="H3150">
        <v>133102.26999999999</v>
      </c>
      <c r="I3150">
        <v>116.65</v>
      </c>
      <c r="J3150">
        <v>0</v>
      </c>
      <c r="K3150">
        <v>0</v>
      </c>
      <c r="L3150">
        <v>0</v>
      </c>
      <c r="M3150">
        <v>1141</v>
      </c>
      <c r="N3150">
        <v>133102.26999999999</v>
      </c>
      <c r="O3150">
        <v>116.65</v>
      </c>
    </row>
    <row r="3151" spans="1:15" x14ac:dyDescent="0.35">
      <c r="A3151" t="s">
        <v>3587</v>
      </c>
      <c r="B3151" t="s">
        <v>3588</v>
      </c>
      <c r="C3151" t="s">
        <v>1184</v>
      </c>
      <c r="D3151" t="s">
        <v>323</v>
      </c>
      <c r="E3151" t="s">
        <v>300</v>
      </c>
      <c r="F3151" t="s">
        <v>3610</v>
      </c>
      <c r="G3151">
        <v>109</v>
      </c>
      <c r="H3151">
        <v>14679.3</v>
      </c>
      <c r="I3151">
        <v>134.66999999999999</v>
      </c>
      <c r="J3151">
        <v>0</v>
      </c>
      <c r="K3151">
        <v>0</v>
      </c>
      <c r="L3151">
        <v>0</v>
      </c>
      <c r="M3151">
        <v>109</v>
      </c>
      <c r="N3151">
        <v>14679.3</v>
      </c>
      <c r="O3151">
        <v>134.66999999999999</v>
      </c>
    </row>
    <row r="3152" spans="1:15" x14ac:dyDescent="0.35">
      <c r="A3152" t="s">
        <v>3587</v>
      </c>
      <c r="B3152" t="s">
        <v>3588</v>
      </c>
      <c r="C3152" t="s">
        <v>1184</v>
      </c>
      <c r="D3152" t="s">
        <v>323</v>
      </c>
      <c r="E3152" t="s">
        <v>302</v>
      </c>
      <c r="F3152" t="s">
        <v>3611</v>
      </c>
      <c r="G3152">
        <v>5</v>
      </c>
      <c r="H3152">
        <v>623.77</v>
      </c>
      <c r="I3152">
        <v>124.75</v>
      </c>
      <c r="J3152">
        <v>0</v>
      </c>
      <c r="K3152">
        <v>0</v>
      </c>
      <c r="L3152">
        <v>0</v>
      </c>
      <c r="M3152">
        <v>5</v>
      </c>
      <c r="N3152">
        <v>623.77</v>
      </c>
      <c r="O3152">
        <v>124.75</v>
      </c>
    </row>
    <row r="3153" spans="1:15" x14ac:dyDescent="0.35">
      <c r="A3153" t="s">
        <v>3587</v>
      </c>
      <c r="B3153" t="s">
        <v>3588</v>
      </c>
      <c r="C3153" t="s">
        <v>1184</v>
      </c>
      <c r="D3153" t="s">
        <v>323</v>
      </c>
      <c r="E3153" t="s">
        <v>304</v>
      </c>
      <c r="F3153" t="s">
        <v>3612</v>
      </c>
      <c r="G3153">
        <v>2</v>
      </c>
      <c r="H3153">
        <v>318.93</v>
      </c>
      <c r="I3153">
        <v>159.47</v>
      </c>
      <c r="J3153">
        <v>0</v>
      </c>
      <c r="K3153">
        <v>0</v>
      </c>
      <c r="L3153">
        <v>0</v>
      </c>
      <c r="M3153">
        <v>2</v>
      </c>
      <c r="N3153">
        <v>318.93</v>
      </c>
      <c r="O3153">
        <v>159.47</v>
      </c>
    </row>
    <row r="3154" spans="1:15" x14ac:dyDescent="0.35">
      <c r="A3154" t="s">
        <v>3587</v>
      </c>
      <c r="B3154" t="s">
        <v>3588</v>
      </c>
      <c r="C3154" t="s">
        <v>1184</v>
      </c>
      <c r="D3154" t="s">
        <v>323</v>
      </c>
      <c r="E3154" t="s">
        <v>306</v>
      </c>
      <c r="F3154" t="s">
        <v>3613</v>
      </c>
      <c r="G3154">
        <v>1</v>
      </c>
      <c r="H3154">
        <v>61.2</v>
      </c>
      <c r="I3154">
        <v>61.2</v>
      </c>
      <c r="J3154">
        <v>0</v>
      </c>
      <c r="K3154">
        <v>0</v>
      </c>
      <c r="L3154">
        <v>0</v>
      </c>
      <c r="M3154">
        <v>1</v>
      </c>
      <c r="N3154">
        <v>61.2</v>
      </c>
      <c r="O3154">
        <v>61.2</v>
      </c>
    </row>
    <row r="3155" spans="1:15" x14ac:dyDescent="0.35">
      <c r="A3155" t="s">
        <v>3587</v>
      </c>
      <c r="B3155" t="s">
        <v>3588</v>
      </c>
      <c r="C3155" t="s">
        <v>1184</v>
      </c>
      <c r="D3155" t="s">
        <v>323</v>
      </c>
      <c r="E3155" t="s">
        <v>308</v>
      </c>
      <c r="F3155" t="s">
        <v>3614</v>
      </c>
      <c r="G3155">
        <v>0</v>
      </c>
      <c r="H3155">
        <v>0</v>
      </c>
      <c r="I3155">
        <v>0</v>
      </c>
      <c r="J3155">
        <v>0</v>
      </c>
      <c r="K3155">
        <v>0</v>
      </c>
      <c r="L3155">
        <v>0</v>
      </c>
      <c r="M3155">
        <v>0</v>
      </c>
      <c r="N3155">
        <v>0</v>
      </c>
      <c r="O3155">
        <v>0</v>
      </c>
    </row>
    <row r="3156" spans="1:15" x14ac:dyDescent="0.35">
      <c r="A3156" t="s">
        <v>3587</v>
      </c>
      <c r="B3156" t="s">
        <v>3588</v>
      </c>
      <c r="C3156" t="s">
        <v>1184</v>
      </c>
      <c r="D3156" t="s">
        <v>323</v>
      </c>
      <c r="E3156" t="s">
        <v>310</v>
      </c>
      <c r="F3156" t="s">
        <v>3615</v>
      </c>
      <c r="G3156">
        <v>3694</v>
      </c>
      <c r="H3156">
        <v>391504.95</v>
      </c>
      <c r="I3156">
        <v>105.98</v>
      </c>
      <c r="J3156">
        <v>0</v>
      </c>
      <c r="K3156">
        <v>0</v>
      </c>
      <c r="L3156">
        <v>0</v>
      </c>
      <c r="M3156">
        <v>3694</v>
      </c>
      <c r="N3156">
        <v>391504.95</v>
      </c>
      <c r="O3156">
        <v>105.98</v>
      </c>
    </row>
    <row r="3157" spans="1:15" x14ac:dyDescent="0.35">
      <c r="A3157" t="s">
        <v>3587</v>
      </c>
      <c r="B3157" t="s">
        <v>3588</v>
      </c>
      <c r="C3157" t="s">
        <v>1184</v>
      </c>
      <c r="D3157" t="s">
        <v>323</v>
      </c>
      <c r="E3157" t="s">
        <v>312</v>
      </c>
      <c r="F3157" t="s">
        <v>3616</v>
      </c>
      <c r="G3157">
        <v>3694</v>
      </c>
      <c r="H3157">
        <v>391504.95</v>
      </c>
      <c r="I3157">
        <v>105.98</v>
      </c>
      <c r="J3157">
        <v>0</v>
      </c>
      <c r="K3157">
        <v>0</v>
      </c>
      <c r="L3157">
        <v>0</v>
      </c>
      <c r="M3157">
        <v>3694</v>
      </c>
      <c r="N3157">
        <v>391504.95</v>
      </c>
      <c r="O3157">
        <v>105.98</v>
      </c>
    </row>
    <row r="3158" spans="1:15" x14ac:dyDescent="0.35">
      <c r="A3158" t="s">
        <v>3587</v>
      </c>
      <c r="B3158" t="s">
        <v>3588</v>
      </c>
      <c r="C3158" t="s">
        <v>1184</v>
      </c>
      <c r="D3158" t="s">
        <v>334</v>
      </c>
      <c r="E3158" t="s">
        <v>312</v>
      </c>
      <c r="F3158" t="s">
        <v>3617</v>
      </c>
      <c r="G3158">
        <v>4200</v>
      </c>
      <c r="H3158">
        <v>461253.3000000001</v>
      </c>
      <c r="I3158">
        <v>110.22</v>
      </c>
      <c r="J3158">
        <v>0</v>
      </c>
      <c r="K3158">
        <v>0</v>
      </c>
      <c r="L3158">
        <v>0</v>
      </c>
      <c r="M3158">
        <v>4200</v>
      </c>
      <c r="N3158">
        <v>461253.3000000001</v>
      </c>
      <c r="O3158">
        <v>110.22</v>
      </c>
    </row>
    <row r="3159" spans="1:15" x14ac:dyDescent="0.35">
      <c r="A3159" t="s">
        <v>3587</v>
      </c>
      <c r="B3159" t="s">
        <v>3588</v>
      </c>
      <c r="C3159" t="s">
        <v>1184</v>
      </c>
      <c r="D3159" t="s">
        <v>334</v>
      </c>
      <c r="E3159" t="s">
        <v>308</v>
      </c>
      <c r="F3159" t="s">
        <v>3618</v>
      </c>
      <c r="G3159">
        <v>0</v>
      </c>
      <c r="H3159">
        <v>0</v>
      </c>
      <c r="I3159">
        <v>0</v>
      </c>
      <c r="J3159">
        <v>0</v>
      </c>
      <c r="K3159">
        <v>0</v>
      </c>
      <c r="L3159">
        <v>0</v>
      </c>
      <c r="M3159">
        <v>0</v>
      </c>
      <c r="N3159">
        <v>0</v>
      </c>
      <c r="O3159">
        <v>0</v>
      </c>
    </row>
    <row r="3160" spans="1:15" x14ac:dyDescent="0.35">
      <c r="A3160" t="s">
        <v>3587</v>
      </c>
      <c r="B3160" t="s">
        <v>3588</v>
      </c>
      <c r="C3160" t="s">
        <v>1184</v>
      </c>
      <c r="D3160" t="s">
        <v>337</v>
      </c>
      <c r="E3160" t="s">
        <v>337</v>
      </c>
      <c r="F3160" t="s">
        <v>3619</v>
      </c>
      <c r="G3160">
        <v>477</v>
      </c>
      <c r="J3160">
        <v>0</v>
      </c>
      <c r="M3160">
        <v>477</v>
      </c>
    </row>
    <row r="3161" spans="1:15" x14ac:dyDescent="0.35">
      <c r="A3161" t="s">
        <v>3587</v>
      </c>
      <c r="B3161" t="s">
        <v>3588</v>
      </c>
      <c r="C3161" t="s">
        <v>1184</v>
      </c>
      <c r="D3161" t="s">
        <v>339</v>
      </c>
      <c r="E3161" t="s">
        <v>294</v>
      </c>
      <c r="F3161" t="s">
        <v>3620</v>
      </c>
      <c r="G3161">
        <v>612</v>
      </c>
      <c r="H3161">
        <v>56527.8</v>
      </c>
      <c r="I3161">
        <v>92.37</v>
      </c>
      <c r="J3161">
        <v>0</v>
      </c>
      <c r="K3161">
        <v>0</v>
      </c>
      <c r="L3161">
        <v>0</v>
      </c>
      <c r="M3161">
        <v>612</v>
      </c>
      <c r="N3161">
        <v>56527.8</v>
      </c>
      <c r="O3161">
        <v>92.37</v>
      </c>
    </row>
    <row r="3162" spans="1:15" x14ac:dyDescent="0.35">
      <c r="A3162" t="s">
        <v>3587</v>
      </c>
      <c r="B3162" t="s">
        <v>3588</v>
      </c>
      <c r="C3162" t="s">
        <v>1184</v>
      </c>
      <c r="D3162" t="s">
        <v>339</v>
      </c>
      <c r="E3162" t="s">
        <v>296</v>
      </c>
      <c r="F3162" t="s">
        <v>3621</v>
      </c>
      <c r="G3162">
        <v>98</v>
      </c>
      <c r="H3162">
        <v>10458.490000000002</v>
      </c>
      <c r="I3162">
        <v>106.72</v>
      </c>
      <c r="J3162">
        <v>0</v>
      </c>
      <c r="K3162">
        <v>0</v>
      </c>
      <c r="L3162">
        <v>0</v>
      </c>
      <c r="M3162">
        <v>98</v>
      </c>
      <c r="N3162">
        <v>10458.490000000002</v>
      </c>
      <c r="O3162">
        <v>106.72</v>
      </c>
    </row>
    <row r="3163" spans="1:15" x14ac:dyDescent="0.35">
      <c r="A3163" t="s">
        <v>3587</v>
      </c>
      <c r="B3163" t="s">
        <v>3588</v>
      </c>
      <c r="C3163" t="s">
        <v>1184</v>
      </c>
      <c r="D3163" t="s">
        <v>339</v>
      </c>
      <c r="E3163" t="s">
        <v>298</v>
      </c>
      <c r="F3163" t="s">
        <v>3622</v>
      </c>
      <c r="G3163">
        <v>0</v>
      </c>
      <c r="H3163">
        <v>0</v>
      </c>
      <c r="I3163">
        <v>0</v>
      </c>
      <c r="J3163">
        <v>0</v>
      </c>
      <c r="K3163">
        <v>0</v>
      </c>
      <c r="L3163">
        <v>0</v>
      </c>
      <c r="M3163">
        <v>0</v>
      </c>
      <c r="N3163">
        <v>0</v>
      </c>
      <c r="O3163">
        <v>0</v>
      </c>
    </row>
    <row r="3164" spans="1:15" x14ac:dyDescent="0.35">
      <c r="A3164" t="s">
        <v>3587</v>
      </c>
      <c r="B3164" t="s">
        <v>3588</v>
      </c>
      <c r="C3164" t="s">
        <v>1184</v>
      </c>
      <c r="D3164" t="s">
        <v>339</v>
      </c>
      <c r="E3164" t="s">
        <v>300</v>
      </c>
      <c r="F3164" t="s">
        <v>3623</v>
      </c>
      <c r="G3164">
        <v>0</v>
      </c>
      <c r="H3164">
        <v>0</v>
      </c>
      <c r="I3164">
        <v>0</v>
      </c>
      <c r="J3164">
        <v>0</v>
      </c>
      <c r="K3164">
        <v>0</v>
      </c>
      <c r="L3164">
        <v>0</v>
      </c>
      <c r="M3164">
        <v>0</v>
      </c>
      <c r="N3164">
        <v>0</v>
      </c>
      <c r="O3164">
        <v>0</v>
      </c>
    </row>
    <row r="3165" spans="1:15" x14ac:dyDescent="0.35">
      <c r="A3165" t="s">
        <v>3587</v>
      </c>
      <c r="B3165" t="s">
        <v>3588</v>
      </c>
      <c r="C3165" t="s">
        <v>1184</v>
      </c>
      <c r="D3165" t="s">
        <v>339</v>
      </c>
      <c r="E3165" t="s">
        <v>306</v>
      </c>
      <c r="F3165" t="s">
        <v>3624</v>
      </c>
      <c r="G3165">
        <v>6</v>
      </c>
      <c r="H3165">
        <v>444.18</v>
      </c>
      <c r="I3165">
        <v>74.03</v>
      </c>
      <c r="J3165">
        <v>0</v>
      </c>
      <c r="K3165">
        <v>0</v>
      </c>
      <c r="L3165">
        <v>0</v>
      </c>
      <c r="M3165">
        <v>6</v>
      </c>
      <c r="N3165">
        <v>444.18</v>
      </c>
      <c r="O3165">
        <v>74.03</v>
      </c>
    </row>
    <row r="3166" spans="1:15" x14ac:dyDescent="0.35">
      <c r="A3166" t="s">
        <v>3587</v>
      </c>
      <c r="B3166" t="s">
        <v>3588</v>
      </c>
      <c r="C3166" t="s">
        <v>1184</v>
      </c>
      <c r="D3166" t="s">
        <v>339</v>
      </c>
      <c r="E3166" t="s">
        <v>308</v>
      </c>
      <c r="F3166" t="s">
        <v>3625</v>
      </c>
      <c r="G3166">
        <v>46</v>
      </c>
      <c r="H3166">
        <v>4996.8799999999992</v>
      </c>
      <c r="I3166">
        <v>108.63</v>
      </c>
      <c r="J3166">
        <v>0</v>
      </c>
      <c r="K3166">
        <v>0</v>
      </c>
      <c r="L3166">
        <v>0</v>
      </c>
      <c r="M3166">
        <v>46</v>
      </c>
      <c r="N3166">
        <v>4996.8799999999992</v>
      </c>
      <c r="O3166">
        <v>108.63</v>
      </c>
    </row>
    <row r="3167" spans="1:15" x14ac:dyDescent="0.35">
      <c r="A3167" t="s">
        <v>3587</v>
      </c>
      <c r="B3167" t="s">
        <v>3588</v>
      </c>
      <c r="C3167" t="s">
        <v>1184</v>
      </c>
      <c r="D3167" t="s">
        <v>339</v>
      </c>
      <c r="E3167" t="s">
        <v>310</v>
      </c>
      <c r="F3167" t="s">
        <v>3626</v>
      </c>
      <c r="G3167">
        <v>762</v>
      </c>
      <c r="H3167">
        <v>72427.350000000006</v>
      </c>
      <c r="I3167">
        <v>95.05</v>
      </c>
      <c r="J3167">
        <v>0</v>
      </c>
      <c r="K3167">
        <v>0</v>
      </c>
      <c r="L3167">
        <v>0</v>
      </c>
      <c r="M3167">
        <v>762</v>
      </c>
      <c r="N3167">
        <v>72427.350000000006</v>
      </c>
      <c r="O3167">
        <v>95.05</v>
      </c>
    </row>
    <row r="3168" spans="1:15" x14ac:dyDescent="0.35">
      <c r="A3168" t="s">
        <v>3587</v>
      </c>
      <c r="B3168" t="s">
        <v>3588</v>
      </c>
      <c r="C3168" t="s">
        <v>1184</v>
      </c>
      <c r="D3168" t="s">
        <v>339</v>
      </c>
      <c r="E3168" t="s">
        <v>312</v>
      </c>
      <c r="F3168" t="s">
        <v>3627</v>
      </c>
      <c r="G3168">
        <v>716</v>
      </c>
      <c r="H3168">
        <v>67430.47</v>
      </c>
      <c r="I3168">
        <v>94.18</v>
      </c>
      <c r="J3168">
        <v>0</v>
      </c>
      <c r="K3168">
        <v>0</v>
      </c>
      <c r="L3168">
        <v>0</v>
      </c>
      <c r="M3168">
        <v>716</v>
      </c>
      <c r="N3168">
        <v>67430.47</v>
      </c>
      <c r="O3168">
        <v>94.18</v>
      </c>
    </row>
    <row r="3169" spans="1:15" x14ac:dyDescent="0.35">
      <c r="A3169" t="s">
        <v>3587</v>
      </c>
      <c r="B3169" t="s">
        <v>3588</v>
      </c>
      <c r="C3169" t="s">
        <v>1184</v>
      </c>
      <c r="D3169" t="s">
        <v>348</v>
      </c>
      <c r="E3169" t="s">
        <v>349</v>
      </c>
      <c r="F3169" t="s">
        <v>3628</v>
      </c>
      <c r="G3169">
        <v>891</v>
      </c>
      <c r="H3169">
        <v>77364.479999999996</v>
      </c>
      <c r="I3169">
        <v>97.56</v>
      </c>
      <c r="J3169">
        <v>0</v>
      </c>
      <c r="K3169">
        <v>0</v>
      </c>
      <c r="L3169">
        <v>0</v>
      </c>
      <c r="M3169">
        <v>891</v>
      </c>
      <c r="N3169">
        <v>77364.479999999996</v>
      </c>
      <c r="O3169">
        <v>97.56</v>
      </c>
    </row>
    <row r="3170" spans="1:15" x14ac:dyDescent="0.35">
      <c r="A3170" t="s">
        <v>3629</v>
      </c>
      <c r="B3170" t="s">
        <v>3630</v>
      </c>
      <c r="C3170" t="s">
        <v>1184</v>
      </c>
      <c r="D3170" t="s">
        <v>293</v>
      </c>
      <c r="E3170" t="s">
        <v>294</v>
      </c>
      <c r="F3170" t="s">
        <v>3631</v>
      </c>
      <c r="G3170">
        <v>126</v>
      </c>
      <c r="H3170">
        <v>14419.13</v>
      </c>
      <c r="I3170">
        <v>114.44</v>
      </c>
      <c r="J3170">
        <v>0</v>
      </c>
      <c r="K3170">
        <v>0</v>
      </c>
      <c r="L3170">
        <v>0</v>
      </c>
      <c r="M3170">
        <v>126</v>
      </c>
      <c r="N3170">
        <v>14419.13</v>
      </c>
      <c r="O3170">
        <v>114.44</v>
      </c>
    </row>
    <row r="3171" spans="1:15" x14ac:dyDescent="0.35">
      <c r="A3171" t="s">
        <v>3629</v>
      </c>
      <c r="B3171" t="s">
        <v>3630</v>
      </c>
      <c r="C3171" t="s">
        <v>1184</v>
      </c>
      <c r="D3171" t="s">
        <v>293</v>
      </c>
      <c r="E3171" t="s">
        <v>296</v>
      </c>
      <c r="F3171" t="s">
        <v>3632</v>
      </c>
      <c r="G3171">
        <v>352</v>
      </c>
      <c r="H3171">
        <v>52494.589999999989</v>
      </c>
      <c r="I3171">
        <v>149.13</v>
      </c>
      <c r="J3171">
        <v>6</v>
      </c>
      <c r="K3171">
        <v>932.04</v>
      </c>
      <c r="L3171">
        <v>155.34</v>
      </c>
      <c r="M3171">
        <v>358</v>
      </c>
      <c r="N3171">
        <v>53426.62999999999</v>
      </c>
      <c r="O3171">
        <v>149.24</v>
      </c>
    </row>
    <row r="3172" spans="1:15" x14ac:dyDescent="0.35">
      <c r="A3172" t="s">
        <v>3629</v>
      </c>
      <c r="B3172" t="s">
        <v>3630</v>
      </c>
      <c r="C3172" t="s">
        <v>1184</v>
      </c>
      <c r="D3172" t="s">
        <v>293</v>
      </c>
      <c r="E3172" t="s">
        <v>298</v>
      </c>
      <c r="F3172" t="s">
        <v>3633</v>
      </c>
      <c r="G3172">
        <v>195</v>
      </c>
      <c r="H3172">
        <v>34805.94</v>
      </c>
      <c r="I3172">
        <v>178.49</v>
      </c>
      <c r="J3172">
        <v>2</v>
      </c>
      <c r="K3172">
        <v>368.22</v>
      </c>
      <c r="L3172">
        <v>184.11</v>
      </c>
      <c r="M3172">
        <v>197</v>
      </c>
      <c r="N3172">
        <v>35174.160000000003</v>
      </c>
      <c r="O3172">
        <v>178.55</v>
      </c>
    </row>
    <row r="3173" spans="1:15" x14ac:dyDescent="0.35">
      <c r="A3173" t="s">
        <v>3629</v>
      </c>
      <c r="B3173" t="s">
        <v>3630</v>
      </c>
      <c r="C3173" t="s">
        <v>1184</v>
      </c>
      <c r="D3173" t="s">
        <v>293</v>
      </c>
      <c r="E3173" t="s">
        <v>300</v>
      </c>
      <c r="F3173" t="s">
        <v>3634</v>
      </c>
      <c r="G3173">
        <v>48</v>
      </c>
      <c r="H3173">
        <v>10482.909999999998</v>
      </c>
      <c r="I3173">
        <v>218.39</v>
      </c>
      <c r="J3173">
        <v>0</v>
      </c>
      <c r="K3173">
        <v>0</v>
      </c>
      <c r="L3173">
        <v>0</v>
      </c>
      <c r="M3173">
        <v>48</v>
      </c>
      <c r="N3173">
        <v>10482.909999999998</v>
      </c>
      <c r="O3173">
        <v>218.39</v>
      </c>
    </row>
    <row r="3174" spans="1:15" x14ac:dyDescent="0.35">
      <c r="A3174" t="s">
        <v>3629</v>
      </c>
      <c r="B3174" t="s">
        <v>3630</v>
      </c>
      <c r="C3174" t="s">
        <v>1184</v>
      </c>
      <c r="D3174" t="s">
        <v>293</v>
      </c>
      <c r="E3174" t="s">
        <v>302</v>
      </c>
      <c r="F3174" t="s">
        <v>3635</v>
      </c>
      <c r="G3174">
        <v>1</v>
      </c>
      <c r="H3174">
        <v>223.72</v>
      </c>
      <c r="I3174">
        <v>223.72</v>
      </c>
      <c r="J3174">
        <v>0</v>
      </c>
      <c r="K3174">
        <v>0</v>
      </c>
      <c r="L3174">
        <v>0</v>
      </c>
      <c r="M3174">
        <v>1</v>
      </c>
      <c r="N3174">
        <v>223.72</v>
      </c>
      <c r="O3174">
        <v>223.72</v>
      </c>
    </row>
    <row r="3175" spans="1:15" x14ac:dyDescent="0.35">
      <c r="A3175" t="s">
        <v>3629</v>
      </c>
      <c r="B3175" t="s">
        <v>3630</v>
      </c>
      <c r="C3175" t="s">
        <v>1184</v>
      </c>
      <c r="D3175" t="s">
        <v>293</v>
      </c>
      <c r="E3175" t="s">
        <v>304</v>
      </c>
      <c r="F3175" t="s">
        <v>3636</v>
      </c>
      <c r="G3175">
        <v>0</v>
      </c>
      <c r="H3175">
        <v>0</v>
      </c>
      <c r="I3175">
        <v>0</v>
      </c>
      <c r="J3175">
        <v>0</v>
      </c>
      <c r="K3175">
        <v>0</v>
      </c>
      <c r="L3175">
        <v>0</v>
      </c>
      <c r="M3175">
        <v>0</v>
      </c>
      <c r="N3175">
        <v>0</v>
      </c>
      <c r="O3175">
        <v>0</v>
      </c>
    </row>
    <row r="3176" spans="1:15" x14ac:dyDescent="0.35">
      <c r="A3176" t="s">
        <v>3629</v>
      </c>
      <c r="B3176" t="s">
        <v>3630</v>
      </c>
      <c r="C3176" t="s">
        <v>1184</v>
      </c>
      <c r="D3176" t="s">
        <v>293</v>
      </c>
      <c r="E3176" t="s">
        <v>306</v>
      </c>
      <c r="F3176" t="s">
        <v>3637</v>
      </c>
      <c r="G3176">
        <v>0</v>
      </c>
      <c r="H3176">
        <v>0</v>
      </c>
      <c r="I3176">
        <v>0</v>
      </c>
      <c r="J3176">
        <v>0</v>
      </c>
      <c r="K3176">
        <v>0</v>
      </c>
      <c r="L3176">
        <v>0</v>
      </c>
      <c r="M3176">
        <v>0</v>
      </c>
      <c r="N3176">
        <v>0</v>
      </c>
      <c r="O3176">
        <v>0</v>
      </c>
    </row>
    <row r="3177" spans="1:15" x14ac:dyDescent="0.35">
      <c r="A3177" t="s">
        <v>3629</v>
      </c>
      <c r="B3177" t="s">
        <v>3630</v>
      </c>
      <c r="C3177" t="s">
        <v>1184</v>
      </c>
      <c r="D3177" t="s">
        <v>293</v>
      </c>
      <c r="E3177" t="s">
        <v>308</v>
      </c>
      <c r="F3177" t="s">
        <v>3638</v>
      </c>
      <c r="G3177">
        <v>0</v>
      </c>
      <c r="H3177">
        <v>0</v>
      </c>
      <c r="I3177">
        <v>0</v>
      </c>
      <c r="J3177">
        <v>0</v>
      </c>
      <c r="K3177">
        <v>0</v>
      </c>
      <c r="L3177">
        <v>0</v>
      </c>
      <c r="M3177">
        <v>0</v>
      </c>
      <c r="N3177">
        <v>0</v>
      </c>
      <c r="O3177">
        <v>0</v>
      </c>
    </row>
    <row r="3178" spans="1:15" x14ac:dyDescent="0.35">
      <c r="A3178" t="s">
        <v>3629</v>
      </c>
      <c r="B3178" t="s">
        <v>3630</v>
      </c>
      <c r="C3178" t="s">
        <v>1184</v>
      </c>
      <c r="D3178" t="s">
        <v>293</v>
      </c>
      <c r="E3178" t="s">
        <v>310</v>
      </c>
      <c r="F3178" t="s">
        <v>3639</v>
      </c>
      <c r="G3178">
        <v>722</v>
      </c>
      <c r="H3178">
        <v>112426.29</v>
      </c>
      <c r="I3178">
        <v>155.72</v>
      </c>
      <c r="J3178">
        <v>8</v>
      </c>
      <c r="K3178">
        <v>1300.26</v>
      </c>
      <c r="L3178">
        <v>162.53</v>
      </c>
      <c r="M3178">
        <v>730</v>
      </c>
      <c r="N3178">
        <v>113726.54999999999</v>
      </c>
      <c r="O3178">
        <v>155.79</v>
      </c>
    </row>
    <row r="3179" spans="1:15" x14ac:dyDescent="0.35">
      <c r="A3179" t="s">
        <v>3629</v>
      </c>
      <c r="B3179" t="s">
        <v>3630</v>
      </c>
      <c r="C3179" t="s">
        <v>1184</v>
      </c>
      <c r="D3179" t="s">
        <v>293</v>
      </c>
      <c r="E3179" t="s">
        <v>312</v>
      </c>
      <c r="F3179" t="s">
        <v>3640</v>
      </c>
      <c r="G3179">
        <v>722</v>
      </c>
      <c r="H3179">
        <v>112426.29</v>
      </c>
      <c r="I3179">
        <v>155.72</v>
      </c>
      <c r="J3179">
        <v>8</v>
      </c>
      <c r="K3179">
        <v>1300.26</v>
      </c>
      <c r="L3179">
        <v>162.53</v>
      </c>
      <c r="M3179">
        <v>730</v>
      </c>
      <c r="N3179">
        <v>113726.54999999999</v>
      </c>
      <c r="O3179">
        <v>155.79</v>
      </c>
    </row>
    <row r="3180" spans="1:15" x14ac:dyDescent="0.35">
      <c r="A3180" t="s">
        <v>3629</v>
      </c>
      <c r="B3180" t="s">
        <v>3630</v>
      </c>
      <c r="C3180" t="s">
        <v>1184</v>
      </c>
      <c r="D3180" t="s">
        <v>314</v>
      </c>
      <c r="E3180" t="s">
        <v>294</v>
      </c>
      <c r="F3180" t="s">
        <v>3641</v>
      </c>
      <c r="G3180">
        <v>26</v>
      </c>
      <c r="H3180">
        <v>6188.52</v>
      </c>
      <c r="I3180">
        <v>238.02</v>
      </c>
      <c r="J3180">
        <v>0</v>
      </c>
      <c r="K3180">
        <v>0</v>
      </c>
      <c r="L3180">
        <v>0</v>
      </c>
      <c r="M3180">
        <v>26</v>
      </c>
      <c r="N3180">
        <v>6188.52</v>
      </c>
      <c r="O3180">
        <v>238.02</v>
      </c>
    </row>
    <row r="3181" spans="1:15" x14ac:dyDescent="0.35">
      <c r="A3181" t="s">
        <v>3629</v>
      </c>
      <c r="B3181" t="s">
        <v>3630</v>
      </c>
      <c r="C3181" t="s">
        <v>1184</v>
      </c>
      <c r="D3181" t="s">
        <v>314</v>
      </c>
      <c r="E3181" t="s">
        <v>296</v>
      </c>
      <c r="F3181" t="s">
        <v>3642</v>
      </c>
      <c r="G3181">
        <v>8</v>
      </c>
      <c r="H3181">
        <v>1962.64</v>
      </c>
      <c r="I3181">
        <v>245.33</v>
      </c>
      <c r="J3181">
        <v>0</v>
      </c>
      <c r="K3181">
        <v>0</v>
      </c>
      <c r="L3181">
        <v>0</v>
      </c>
      <c r="M3181">
        <v>8</v>
      </c>
      <c r="N3181">
        <v>1962.64</v>
      </c>
      <c r="O3181">
        <v>245.33</v>
      </c>
    </row>
    <row r="3182" spans="1:15" x14ac:dyDescent="0.35">
      <c r="A3182" t="s">
        <v>3629</v>
      </c>
      <c r="B3182" t="s">
        <v>3630</v>
      </c>
      <c r="C3182" t="s">
        <v>1184</v>
      </c>
      <c r="D3182" t="s">
        <v>314</v>
      </c>
      <c r="E3182" t="s">
        <v>298</v>
      </c>
      <c r="F3182" t="s">
        <v>3643</v>
      </c>
      <c r="G3182">
        <v>0</v>
      </c>
      <c r="H3182">
        <v>0</v>
      </c>
      <c r="I3182">
        <v>0</v>
      </c>
      <c r="J3182">
        <v>0</v>
      </c>
      <c r="K3182">
        <v>0</v>
      </c>
      <c r="L3182">
        <v>0</v>
      </c>
      <c r="M3182">
        <v>0</v>
      </c>
      <c r="N3182">
        <v>0</v>
      </c>
      <c r="O3182">
        <v>0</v>
      </c>
    </row>
    <row r="3183" spans="1:15" x14ac:dyDescent="0.35">
      <c r="A3183" t="s">
        <v>3629</v>
      </c>
      <c r="B3183" t="s">
        <v>3630</v>
      </c>
      <c r="C3183" t="s">
        <v>1184</v>
      </c>
      <c r="D3183" t="s">
        <v>314</v>
      </c>
      <c r="E3183" t="s">
        <v>300</v>
      </c>
      <c r="F3183" t="s">
        <v>3644</v>
      </c>
      <c r="G3183">
        <v>0</v>
      </c>
      <c r="H3183">
        <v>0</v>
      </c>
      <c r="I3183">
        <v>0</v>
      </c>
      <c r="J3183">
        <v>0</v>
      </c>
      <c r="K3183">
        <v>0</v>
      </c>
      <c r="L3183">
        <v>0</v>
      </c>
      <c r="M3183">
        <v>0</v>
      </c>
      <c r="N3183">
        <v>0</v>
      </c>
      <c r="O3183">
        <v>0</v>
      </c>
    </row>
    <row r="3184" spans="1:15" x14ac:dyDescent="0.35">
      <c r="A3184" t="s">
        <v>3629</v>
      </c>
      <c r="B3184" t="s">
        <v>3630</v>
      </c>
      <c r="C3184" t="s">
        <v>1184</v>
      </c>
      <c r="D3184" t="s">
        <v>314</v>
      </c>
      <c r="E3184" t="s">
        <v>306</v>
      </c>
      <c r="F3184" t="s">
        <v>3645</v>
      </c>
      <c r="G3184">
        <v>0</v>
      </c>
      <c r="H3184">
        <v>0</v>
      </c>
      <c r="I3184">
        <v>0</v>
      </c>
      <c r="J3184">
        <v>0</v>
      </c>
      <c r="K3184">
        <v>0</v>
      </c>
      <c r="L3184">
        <v>0</v>
      </c>
      <c r="M3184">
        <v>0</v>
      </c>
      <c r="N3184">
        <v>0</v>
      </c>
      <c r="O3184">
        <v>0</v>
      </c>
    </row>
    <row r="3185" spans="1:15" x14ac:dyDescent="0.35">
      <c r="A3185" t="s">
        <v>3629</v>
      </c>
      <c r="B3185" t="s">
        <v>3630</v>
      </c>
      <c r="C3185" t="s">
        <v>1184</v>
      </c>
      <c r="D3185" t="s">
        <v>314</v>
      </c>
      <c r="E3185" t="s">
        <v>308</v>
      </c>
      <c r="F3185" t="s">
        <v>3646</v>
      </c>
      <c r="G3185">
        <v>0</v>
      </c>
      <c r="H3185">
        <v>0</v>
      </c>
      <c r="I3185">
        <v>0</v>
      </c>
      <c r="J3185">
        <v>0</v>
      </c>
      <c r="K3185">
        <v>0</v>
      </c>
      <c r="L3185">
        <v>0</v>
      </c>
      <c r="M3185">
        <v>0</v>
      </c>
      <c r="N3185">
        <v>0</v>
      </c>
      <c r="O3185">
        <v>0</v>
      </c>
    </row>
    <row r="3186" spans="1:15" x14ac:dyDescent="0.35">
      <c r="A3186" t="s">
        <v>3629</v>
      </c>
      <c r="B3186" t="s">
        <v>3630</v>
      </c>
      <c r="C3186" t="s">
        <v>1184</v>
      </c>
      <c r="D3186" t="s">
        <v>314</v>
      </c>
      <c r="E3186" t="s">
        <v>312</v>
      </c>
      <c r="F3186" t="s">
        <v>3647</v>
      </c>
      <c r="G3186">
        <v>34</v>
      </c>
      <c r="H3186">
        <v>8151.1600000000008</v>
      </c>
      <c r="I3186">
        <v>239.74</v>
      </c>
      <c r="J3186">
        <v>0</v>
      </c>
      <c r="K3186">
        <v>0</v>
      </c>
      <c r="L3186">
        <v>0</v>
      </c>
      <c r="M3186">
        <v>34</v>
      </c>
      <c r="N3186">
        <v>8151.1600000000008</v>
      </c>
      <c r="O3186">
        <v>239.74</v>
      </c>
    </row>
    <row r="3187" spans="1:15" x14ac:dyDescent="0.35">
      <c r="A3187" t="s">
        <v>3629</v>
      </c>
      <c r="B3187" t="s">
        <v>3630</v>
      </c>
      <c r="C3187" t="s">
        <v>1184</v>
      </c>
      <c r="D3187" t="s">
        <v>314</v>
      </c>
      <c r="E3187" t="s">
        <v>310</v>
      </c>
      <c r="F3187" t="s">
        <v>3648</v>
      </c>
      <c r="G3187">
        <v>34</v>
      </c>
      <c r="H3187">
        <v>8151.1600000000008</v>
      </c>
      <c r="I3187">
        <v>239.74</v>
      </c>
      <c r="J3187">
        <v>0</v>
      </c>
      <c r="K3187">
        <v>0</v>
      </c>
      <c r="L3187">
        <v>0</v>
      </c>
      <c r="M3187">
        <v>34</v>
      </c>
      <c r="N3187">
        <v>8151.1600000000008</v>
      </c>
      <c r="O3187">
        <v>239.74</v>
      </c>
    </row>
    <row r="3188" spans="1:15" x14ac:dyDescent="0.35">
      <c r="A3188" t="s">
        <v>3629</v>
      </c>
      <c r="B3188" t="s">
        <v>3630</v>
      </c>
      <c r="C3188" t="s">
        <v>1184</v>
      </c>
      <c r="D3188" t="s">
        <v>323</v>
      </c>
      <c r="E3188" t="s">
        <v>294</v>
      </c>
      <c r="F3188" t="s">
        <v>3649</v>
      </c>
      <c r="G3188">
        <v>873</v>
      </c>
      <c r="H3188">
        <v>87774.1</v>
      </c>
      <c r="I3188">
        <v>100.54</v>
      </c>
      <c r="J3188">
        <v>2</v>
      </c>
      <c r="K3188">
        <v>353.16</v>
      </c>
      <c r="L3188">
        <v>176.58</v>
      </c>
      <c r="M3188">
        <v>875</v>
      </c>
      <c r="N3188">
        <v>88127.260000000009</v>
      </c>
      <c r="O3188">
        <v>100.72</v>
      </c>
    </row>
    <row r="3189" spans="1:15" x14ac:dyDescent="0.35">
      <c r="A3189" t="s">
        <v>3629</v>
      </c>
      <c r="B3189" t="s">
        <v>3630</v>
      </c>
      <c r="C3189" t="s">
        <v>1184</v>
      </c>
      <c r="D3189" t="s">
        <v>323</v>
      </c>
      <c r="E3189" t="s">
        <v>296</v>
      </c>
      <c r="F3189" t="s">
        <v>3650</v>
      </c>
      <c r="G3189">
        <v>1367</v>
      </c>
      <c r="H3189">
        <v>154635.59999999998</v>
      </c>
      <c r="I3189">
        <v>113.12</v>
      </c>
      <c r="J3189">
        <v>12</v>
      </c>
      <c r="K3189">
        <v>2164.08</v>
      </c>
      <c r="L3189">
        <v>180.34</v>
      </c>
      <c r="M3189">
        <v>1379</v>
      </c>
      <c r="N3189">
        <v>156799.67999999996</v>
      </c>
      <c r="O3189">
        <v>113.71</v>
      </c>
    </row>
    <row r="3190" spans="1:15" x14ac:dyDescent="0.35">
      <c r="A3190" t="s">
        <v>3629</v>
      </c>
      <c r="B3190" t="s">
        <v>3630</v>
      </c>
      <c r="C3190" t="s">
        <v>1184</v>
      </c>
      <c r="D3190" t="s">
        <v>323</v>
      </c>
      <c r="E3190" t="s">
        <v>298</v>
      </c>
      <c r="F3190" t="s">
        <v>3651</v>
      </c>
      <c r="G3190">
        <v>1213</v>
      </c>
      <c r="H3190">
        <v>152758.78000000003</v>
      </c>
      <c r="I3190">
        <v>125.93</v>
      </c>
      <c r="J3190">
        <v>12</v>
      </c>
      <c r="K3190">
        <v>2718.48</v>
      </c>
      <c r="L3190">
        <v>226.54</v>
      </c>
      <c r="M3190">
        <v>1225</v>
      </c>
      <c r="N3190">
        <v>155477.26000000004</v>
      </c>
      <c r="O3190">
        <v>126.92</v>
      </c>
    </row>
    <row r="3191" spans="1:15" x14ac:dyDescent="0.35">
      <c r="A3191" t="s">
        <v>3629</v>
      </c>
      <c r="B3191" t="s">
        <v>3630</v>
      </c>
      <c r="C3191" t="s">
        <v>1184</v>
      </c>
      <c r="D3191" t="s">
        <v>323</v>
      </c>
      <c r="E3191" t="s">
        <v>300</v>
      </c>
      <c r="F3191" t="s">
        <v>3652</v>
      </c>
      <c r="G3191">
        <v>93</v>
      </c>
      <c r="H3191">
        <v>12907.779999999999</v>
      </c>
      <c r="I3191">
        <v>138.79</v>
      </c>
      <c r="J3191">
        <v>2</v>
      </c>
      <c r="K3191">
        <v>548.76</v>
      </c>
      <c r="L3191">
        <v>274.38</v>
      </c>
      <c r="M3191">
        <v>95</v>
      </c>
      <c r="N3191">
        <v>13456.539999999999</v>
      </c>
      <c r="O3191">
        <v>141.65</v>
      </c>
    </row>
    <row r="3192" spans="1:15" x14ac:dyDescent="0.35">
      <c r="A3192" t="s">
        <v>3629</v>
      </c>
      <c r="B3192" t="s">
        <v>3630</v>
      </c>
      <c r="C3192" t="s">
        <v>1184</v>
      </c>
      <c r="D3192" t="s">
        <v>323</v>
      </c>
      <c r="E3192" t="s">
        <v>302</v>
      </c>
      <c r="F3192" t="s">
        <v>3653</v>
      </c>
      <c r="G3192">
        <v>4</v>
      </c>
      <c r="H3192">
        <v>628.45000000000005</v>
      </c>
      <c r="I3192">
        <v>157.11000000000001</v>
      </c>
      <c r="J3192">
        <v>0</v>
      </c>
      <c r="K3192">
        <v>0</v>
      </c>
      <c r="L3192">
        <v>0</v>
      </c>
      <c r="M3192">
        <v>4</v>
      </c>
      <c r="N3192">
        <v>628.45000000000005</v>
      </c>
      <c r="O3192">
        <v>157.11000000000001</v>
      </c>
    </row>
    <row r="3193" spans="1:15" x14ac:dyDescent="0.35">
      <c r="A3193" t="s">
        <v>3629</v>
      </c>
      <c r="B3193" t="s">
        <v>3630</v>
      </c>
      <c r="C3193" t="s">
        <v>1184</v>
      </c>
      <c r="D3193" t="s">
        <v>323</v>
      </c>
      <c r="E3193" t="s">
        <v>304</v>
      </c>
      <c r="F3193" t="s">
        <v>3654</v>
      </c>
      <c r="G3193">
        <v>0</v>
      </c>
      <c r="H3193">
        <v>0</v>
      </c>
      <c r="I3193">
        <v>0</v>
      </c>
      <c r="J3193">
        <v>0</v>
      </c>
      <c r="K3193">
        <v>0</v>
      </c>
      <c r="L3193">
        <v>0</v>
      </c>
      <c r="M3193">
        <v>0</v>
      </c>
      <c r="N3193">
        <v>0</v>
      </c>
      <c r="O3193">
        <v>0</v>
      </c>
    </row>
    <row r="3194" spans="1:15" x14ac:dyDescent="0.35">
      <c r="A3194" t="s">
        <v>3629</v>
      </c>
      <c r="B3194" t="s">
        <v>3630</v>
      </c>
      <c r="C3194" t="s">
        <v>1184</v>
      </c>
      <c r="D3194" t="s">
        <v>323</v>
      </c>
      <c r="E3194" t="s">
        <v>306</v>
      </c>
      <c r="F3194" t="s">
        <v>3655</v>
      </c>
      <c r="G3194">
        <v>3</v>
      </c>
      <c r="H3194">
        <v>225.06</v>
      </c>
      <c r="I3194">
        <v>75.02</v>
      </c>
      <c r="J3194">
        <v>0</v>
      </c>
      <c r="K3194">
        <v>0</v>
      </c>
      <c r="L3194">
        <v>0</v>
      </c>
      <c r="M3194">
        <v>3</v>
      </c>
      <c r="N3194">
        <v>225.06</v>
      </c>
      <c r="O3194">
        <v>75.02</v>
      </c>
    </row>
    <row r="3195" spans="1:15" x14ac:dyDescent="0.35">
      <c r="A3195" t="s">
        <v>3629</v>
      </c>
      <c r="B3195" t="s">
        <v>3630</v>
      </c>
      <c r="C3195" t="s">
        <v>1184</v>
      </c>
      <c r="D3195" t="s">
        <v>323</v>
      </c>
      <c r="E3195" t="s">
        <v>308</v>
      </c>
      <c r="F3195" t="s">
        <v>3656</v>
      </c>
      <c r="G3195">
        <v>0</v>
      </c>
      <c r="H3195">
        <v>0</v>
      </c>
      <c r="I3195">
        <v>0</v>
      </c>
      <c r="J3195">
        <v>0</v>
      </c>
      <c r="K3195">
        <v>0</v>
      </c>
      <c r="L3195">
        <v>0</v>
      </c>
      <c r="M3195">
        <v>0</v>
      </c>
      <c r="N3195">
        <v>0</v>
      </c>
      <c r="O3195">
        <v>0</v>
      </c>
    </row>
    <row r="3196" spans="1:15" x14ac:dyDescent="0.35">
      <c r="A3196" t="s">
        <v>3629</v>
      </c>
      <c r="B3196" t="s">
        <v>3630</v>
      </c>
      <c r="C3196" t="s">
        <v>1184</v>
      </c>
      <c r="D3196" t="s">
        <v>323</v>
      </c>
      <c r="E3196" t="s">
        <v>310</v>
      </c>
      <c r="F3196" t="s">
        <v>3657</v>
      </c>
      <c r="G3196">
        <v>3553</v>
      </c>
      <c r="H3196">
        <v>408929.77</v>
      </c>
      <c r="I3196">
        <v>115.09</v>
      </c>
      <c r="J3196">
        <v>28</v>
      </c>
      <c r="K3196">
        <v>5784.48</v>
      </c>
      <c r="L3196">
        <v>206.59</v>
      </c>
      <c r="M3196">
        <v>3581</v>
      </c>
      <c r="N3196">
        <v>414714.25</v>
      </c>
      <c r="O3196">
        <v>115.81</v>
      </c>
    </row>
    <row r="3197" spans="1:15" x14ac:dyDescent="0.35">
      <c r="A3197" t="s">
        <v>3629</v>
      </c>
      <c r="B3197" t="s">
        <v>3630</v>
      </c>
      <c r="C3197" t="s">
        <v>1184</v>
      </c>
      <c r="D3197" t="s">
        <v>323</v>
      </c>
      <c r="E3197" t="s">
        <v>312</v>
      </c>
      <c r="F3197" t="s">
        <v>3658</v>
      </c>
      <c r="G3197">
        <v>3553</v>
      </c>
      <c r="H3197">
        <v>408929.77</v>
      </c>
      <c r="I3197">
        <v>115.09</v>
      </c>
      <c r="J3197">
        <v>28</v>
      </c>
      <c r="K3197">
        <v>5784.48</v>
      </c>
      <c r="L3197">
        <v>206.59</v>
      </c>
      <c r="M3197">
        <v>3581</v>
      </c>
      <c r="N3197">
        <v>414714.25</v>
      </c>
      <c r="O3197">
        <v>115.81</v>
      </c>
    </row>
    <row r="3198" spans="1:15" x14ac:dyDescent="0.35">
      <c r="A3198" t="s">
        <v>3629</v>
      </c>
      <c r="B3198" t="s">
        <v>3630</v>
      </c>
      <c r="C3198" t="s">
        <v>1184</v>
      </c>
      <c r="D3198" t="s">
        <v>334</v>
      </c>
      <c r="E3198" t="s">
        <v>312</v>
      </c>
      <c r="F3198" t="s">
        <v>3659</v>
      </c>
      <c r="G3198">
        <v>4418</v>
      </c>
      <c r="H3198">
        <v>521356.06000000006</v>
      </c>
      <c r="I3198">
        <v>121.95</v>
      </c>
      <c r="J3198">
        <v>36</v>
      </c>
      <c r="K3198">
        <v>7084.74</v>
      </c>
      <c r="L3198">
        <v>196.8</v>
      </c>
      <c r="M3198">
        <v>4454</v>
      </c>
      <c r="N3198">
        <v>528440.80000000005</v>
      </c>
      <c r="O3198">
        <v>122.58</v>
      </c>
    </row>
    <row r="3199" spans="1:15" x14ac:dyDescent="0.35">
      <c r="A3199" t="s">
        <v>3629</v>
      </c>
      <c r="B3199" t="s">
        <v>3630</v>
      </c>
      <c r="C3199" t="s">
        <v>1184</v>
      </c>
      <c r="D3199" t="s">
        <v>334</v>
      </c>
      <c r="E3199" t="s">
        <v>308</v>
      </c>
      <c r="F3199" t="s">
        <v>3660</v>
      </c>
      <c r="G3199">
        <v>0</v>
      </c>
      <c r="H3199">
        <v>0</v>
      </c>
      <c r="I3199">
        <v>0</v>
      </c>
      <c r="J3199">
        <v>0</v>
      </c>
      <c r="K3199">
        <v>0</v>
      </c>
      <c r="L3199">
        <v>0</v>
      </c>
      <c r="M3199">
        <v>0</v>
      </c>
      <c r="N3199">
        <v>0</v>
      </c>
      <c r="O3199">
        <v>0</v>
      </c>
    </row>
    <row r="3200" spans="1:15" x14ac:dyDescent="0.35">
      <c r="A3200" t="s">
        <v>3629</v>
      </c>
      <c r="B3200" t="s">
        <v>3630</v>
      </c>
      <c r="C3200" t="s">
        <v>1184</v>
      </c>
      <c r="D3200" t="s">
        <v>337</v>
      </c>
      <c r="E3200" t="s">
        <v>337</v>
      </c>
      <c r="F3200" t="s">
        <v>3661</v>
      </c>
      <c r="G3200">
        <v>929</v>
      </c>
      <c r="J3200">
        <v>0</v>
      </c>
      <c r="M3200">
        <v>929</v>
      </c>
    </row>
    <row r="3201" spans="1:15" x14ac:dyDescent="0.35">
      <c r="A3201" t="s">
        <v>3629</v>
      </c>
      <c r="B3201" t="s">
        <v>3630</v>
      </c>
      <c r="C3201" t="s">
        <v>1184</v>
      </c>
      <c r="D3201" t="s">
        <v>339</v>
      </c>
      <c r="E3201" t="s">
        <v>294</v>
      </c>
      <c r="F3201" t="s">
        <v>3662</v>
      </c>
      <c r="G3201">
        <v>484</v>
      </c>
      <c r="H3201">
        <v>49719.80999999999</v>
      </c>
      <c r="I3201">
        <v>102.73</v>
      </c>
      <c r="J3201">
        <v>0</v>
      </c>
      <c r="K3201">
        <v>0</v>
      </c>
      <c r="L3201">
        <v>0</v>
      </c>
      <c r="M3201">
        <v>484</v>
      </c>
      <c r="N3201">
        <v>49719.80999999999</v>
      </c>
      <c r="O3201">
        <v>102.73</v>
      </c>
    </row>
    <row r="3202" spans="1:15" x14ac:dyDescent="0.35">
      <c r="A3202" t="s">
        <v>3629</v>
      </c>
      <c r="B3202" t="s">
        <v>3630</v>
      </c>
      <c r="C3202" t="s">
        <v>1184</v>
      </c>
      <c r="D3202" t="s">
        <v>339</v>
      </c>
      <c r="E3202" t="s">
        <v>296</v>
      </c>
      <c r="F3202" t="s">
        <v>3663</v>
      </c>
      <c r="G3202">
        <v>17</v>
      </c>
      <c r="H3202">
        <v>1941.78</v>
      </c>
      <c r="I3202">
        <v>114.22</v>
      </c>
      <c r="J3202">
        <v>0</v>
      </c>
      <c r="K3202">
        <v>0</v>
      </c>
      <c r="L3202">
        <v>0</v>
      </c>
      <c r="M3202">
        <v>17</v>
      </c>
      <c r="N3202">
        <v>1941.78</v>
      </c>
      <c r="O3202">
        <v>114.22</v>
      </c>
    </row>
    <row r="3203" spans="1:15" x14ac:dyDescent="0.35">
      <c r="A3203" t="s">
        <v>3629</v>
      </c>
      <c r="B3203" t="s">
        <v>3630</v>
      </c>
      <c r="C3203" t="s">
        <v>1184</v>
      </c>
      <c r="D3203" t="s">
        <v>339</v>
      </c>
      <c r="E3203" t="s">
        <v>298</v>
      </c>
      <c r="F3203" t="s">
        <v>3664</v>
      </c>
      <c r="G3203">
        <v>6</v>
      </c>
      <c r="H3203">
        <v>776.99999999999989</v>
      </c>
      <c r="I3203">
        <v>129.5</v>
      </c>
      <c r="J3203">
        <v>0</v>
      </c>
      <c r="K3203">
        <v>0</v>
      </c>
      <c r="L3203">
        <v>0</v>
      </c>
      <c r="M3203">
        <v>6</v>
      </c>
      <c r="N3203">
        <v>776.99999999999989</v>
      </c>
      <c r="O3203">
        <v>129.5</v>
      </c>
    </row>
    <row r="3204" spans="1:15" x14ac:dyDescent="0.35">
      <c r="A3204" t="s">
        <v>3629</v>
      </c>
      <c r="B3204" t="s">
        <v>3630</v>
      </c>
      <c r="C3204" t="s">
        <v>1184</v>
      </c>
      <c r="D3204" t="s">
        <v>339</v>
      </c>
      <c r="E3204" t="s">
        <v>300</v>
      </c>
      <c r="F3204" t="s">
        <v>3665</v>
      </c>
      <c r="G3204">
        <v>0</v>
      </c>
      <c r="H3204">
        <v>0</v>
      </c>
      <c r="I3204">
        <v>0</v>
      </c>
      <c r="J3204">
        <v>0</v>
      </c>
      <c r="K3204">
        <v>0</v>
      </c>
      <c r="L3204">
        <v>0</v>
      </c>
      <c r="M3204">
        <v>0</v>
      </c>
      <c r="N3204">
        <v>0</v>
      </c>
      <c r="O3204">
        <v>0</v>
      </c>
    </row>
    <row r="3205" spans="1:15" x14ac:dyDescent="0.35">
      <c r="A3205" t="s">
        <v>3629</v>
      </c>
      <c r="B3205" t="s">
        <v>3630</v>
      </c>
      <c r="C3205" t="s">
        <v>1184</v>
      </c>
      <c r="D3205" t="s">
        <v>339</v>
      </c>
      <c r="E3205" t="s">
        <v>306</v>
      </c>
      <c r="F3205" t="s">
        <v>3666</v>
      </c>
      <c r="G3205">
        <v>3</v>
      </c>
      <c r="H3205">
        <v>267.93</v>
      </c>
      <c r="I3205">
        <v>89.31</v>
      </c>
      <c r="J3205">
        <v>0</v>
      </c>
      <c r="K3205">
        <v>0</v>
      </c>
      <c r="L3205">
        <v>0</v>
      </c>
      <c r="M3205">
        <v>3</v>
      </c>
      <c r="N3205">
        <v>267.93</v>
      </c>
      <c r="O3205">
        <v>89.31</v>
      </c>
    </row>
    <row r="3206" spans="1:15" x14ac:dyDescent="0.35">
      <c r="A3206" t="s">
        <v>3629</v>
      </c>
      <c r="B3206" t="s">
        <v>3630</v>
      </c>
      <c r="C3206" t="s">
        <v>1184</v>
      </c>
      <c r="D3206" t="s">
        <v>339</v>
      </c>
      <c r="E3206" t="s">
        <v>308</v>
      </c>
      <c r="F3206" t="s">
        <v>3667</v>
      </c>
      <c r="G3206">
        <v>41</v>
      </c>
      <c r="H3206">
        <v>6247</v>
      </c>
      <c r="I3206">
        <v>152.37</v>
      </c>
      <c r="J3206">
        <v>0</v>
      </c>
      <c r="K3206">
        <v>0</v>
      </c>
      <c r="L3206">
        <v>0</v>
      </c>
      <c r="M3206">
        <v>41</v>
      </c>
      <c r="N3206">
        <v>6247</v>
      </c>
      <c r="O3206">
        <v>152.37</v>
      </c>
    </row>
    <row r="3207" spans="1:15" x14ac:dyDescent="0.35">
      <c r="A3207" t="s">
        <v>3629</v>
      </c>
      <c r="B3207" t="s">
        <v>3630</v>
      </c>
      <c r="C3207" t="s">
        <v>1184</v>
      </c>
      <c r="D3207" t="s">
        <v>339</v>
      </c>
      <c r="E3207" t="s">
        <v>310</v>
      </c>
      <c r="F3207" t="s">
        <v>3668</v>
      </c>
      <c r="G3207">
        <v>551</v>
      </c>
      <c r="H3207">
        <v>58953.51999999999</v>
      </c>
      <c r="I3207">
        <v>106.99</v>
      </c>
      <c r="J3207">
        <v>0</v>
      </c>
      <c r="K3207">
        <v>0</v>
      </c>
      <c r="L3207">
        <v>0</v>
      </c>
      <c r="M3207">
        <v>551</v>
      </c>
      <c r="N3207">
        <v>58953.51999999999</v>
      </c>
      <c r="O3207">
        <v>106.99</v>
      </c>
    </row>
    <row r="3208" spans="1:15" x14ac:dyDescent="0.35">
      <c r="A3208" t="s">
        <v>3629</v>
      </c>
      <c r="B3208" t="s">
        <v>3630</v>
      </c>
      <c r="C3208" t="s">
        <v>1184</v>
      </c>
      <c r="D3208" t="s">
        <v>339</v>
      </c>
      <c r="E3208" t="s">
        <v>312</v>
      </c>
      <c r="F3208" t="s">
        <v>3669</v>
      </c>
      <c r="G3208">
        <v>510</v>
      </c>
      <c r="H3208">
        <v>52706.51999999999</v>
      </c>
      <c r="I3208">
        <v>103.35</v>
      </c>
      <c r="J3208">
        <v>0</v>
      </c>
      <c r="K3208">
        <v>0</v>
      </c>
      <c r="L3208">
        <v>0</v>
      </c>
      <c r="M3208">
        <v>510</v>
      </c>
      <c r="N3208">
        <v>52706.51999999999</v>
      </c>
      <c r="O3208">
        <v>103.35</v>
      </c>
    </row>
    <row r="3209" spans="1:15" x14ac:dyDescent="0.35">
      <c r="A3209" t="s">
        <v>3629</v>
      </c>
      <c r="B3209" t="s">
        <v>3630</v>
      </c>
      <c r="C3209" t="s">
        <v>1184</v>
      </c>
      <c r="D3209" t="s">
        <v>348</v>
      </c>
      <c r="E3209" t="s">
        <v>349</v>
      </c>
      <c r="F3209" t="s">
        <v>3670</v>
      </c>
      <c r="G3209">
        <v>600</v>
      </c>
      <c r="H3209">
        <v>67104.679999999993</v>
      </c>
      <c r="I3209">
        <v>114.71</v>
      </c>
      <c r="J3209">
        <v>0</v>
      </c>
      <c r="K3209">
        <v>0</v>
      </c>
      <c r="L3209">
        <v>0</v>
      </c>
      <c r="M3209">
        <v>600</v>
      </c>
      <c r="N3209">
        <v>67104.679999999993</v>
      </c>
      <c r="O3209">
        <v>114.71</v>
      </c>
    </row>
    <row r="3210" spans="1:15" x14ac:dyDescent="0.35">
      <c r="A3210" t="s">
        <v>3671</v>
      </c>
      <c r="B3210" t="s">
        <v>177</v>
      </c>
      <c r="C3210" t="s">
        <v>1184</v>
      </c>
      <c r="D3210" t="s">
        <v>293</v>
      </c>
      <c r="E3210" t="s">
        <v>294</v>
      </c>
      <c r="F3210" t="s">
        <v>3672</v>
      </c>
      <c r="G3210">
        <v>175</v>
      </c>
      <c r="H3210">
        <v>20446.96</v>
      </c>
      <c r="I3210">
        <v>116.84</v>
      </c>
      <c r="J3210">
        <v>0</v>
      </c>
      <c r="K3210">
        <v>0</v>
      </c>
      <c r="L3210">
        <v>0</v>
      </c>
      <c r="M3210">
        <v>175</v>
      </c>
      <c r="N3210">
        <v>20446.96</v>
      </c>
      <c r="O3210">
        <v>116.84</v>
      </c>
    </row>
    <row r="3211" spans="1:15" x14ac:dyDescent="0.35">
      <c r="A3211" t="s">
        <v>3671</v>
      </c>
      <c r="B3211" t="s">
        <v>177</v>
      </c>
      <c r="C3211" t="s">
        <v>1184</v>
      </c>
      <c r="D3211" t="s">
        <v>293</v>
      </c>
      <c r="E3211" t="s">
        <v>296</v>
      </c>
      <c r="F3211" t="s">
        <v>3673</v>
      </c>
      <c r="G3211">
        <v>519</v>
      </c>
      <c r="H3211">
        <v>79207.459999999992</v>
      </c>
      <c r="I3211">
        <v>152.62</v>
      </c>
      <c r="J3211">
        <v>11</v>
      </c>
      <c r="K3211">
        <v>1654.0700000000002</v>
      </c>
      <c r="L3211">
        <v>150.37</v>
      </c>
      <c r="M3211">
        <v>530</v>
      </c>
      <c r="N3211">
        <v>80861.53</v>
      </c>
      <c r="O3211">
        <v>152.57</v>
      </c>
    </row>
    <row r="3212" spans="1:15" x14ac:dyDescent="0.35">
      <c r="A3212" t="s">
        <v>3671</v>
      </c>
      <c r="B3212" t="s">
        <v>177</v>
      </c>
      <c r="C3212" t="s">
        <v>1184</v>
      </c>
      <c r="D3212" t="s">
        <v>293</v>
      </c>
      <c r="E3212" t="s">
        <v>298</v>
      </c>
      <c r="F3212" t="s">
        <v>3674</v>
      </c>
      <c r="G3212">
        <v>297</v>
      </c>
      <c r="H3212">
        <v>54485.479999999989</v>
      </c>
      <c r="I3212">
        <v>183.45</v>
      </c>
      <c r="J3212">
        <v>5</v>
      </c>
      <c r="K3212">
        <v>941.75</v>
      </c>
      <c r="L3212">
        <v>188.35</v>
      </c>
      <c r="M3212">
        <v>302</v>
      </c>
      <c r="N3212">
        <v>55427.229999999989</v>
      </c>
      <c r="O3212">
        <v>183.53</v>
      </c>
    </row>
    <row r="3213" spans="1:15" x14ac:dyDescent="0.35">
      <c r="A3213" t="s">
        <v>3671</v>
      </c>
      <c r="B3213" t="s">
        <v>177</v>
      </c>
      <c r="C3213" t="s">
        <v>1184</v>
      </c>
      <c r="D3213" t="s">
        <v>293</v>
      </c>
      <c r="E3213" t="s">
        <v>300</v>
      </c>
      <c r="F3213" t="s">
        <v>3675</v>
      </c>
      <c r="G3213">
        <v>56</v>
      </c>
      <c r="H3213">
        <v>12067.529999999999</v>
      </c>
      <c r="I3213">
        <v>215.49</v>
      </c>
      <c r="J3213">
        <v>3</v>
      </c>
      <c r="K3213">
        <v>676.29</v>
      </c>
      <c r="L3213">
        <v>225.43</v>
      </c>
      <c r="M3213">
        <v>59</v>
      </c>
      <c r="N3213">
        <v>12743.82</v>
      </c>
      <c r="O3213">
        <v>216</v>
      </c>
    </row>
    <row r="3214" spans="1:15" x14ac:dyDescent="0.35">
      <c r="A3214" t="s">
        <v>3671</v>
      </c>
      <c r="B3214" t="s">
        <v>177</v>
      </c>
      <c r="C3214" t="s">
        <v>1184</v>
      </c>
      <c r="D3214" t="s">
        <v>293</v>
      </c>
      <c r="E3214" t="s">
        <v>302</v>
      </c>
      <c r="F3214" t="s">
        <v>3676</v>
      </c>
      <c r="G3214">
        <v>1</v>
      </c>
      <c r="H3214">
        <v>185.04</v>
      </c>
      <c r="I3214">
        <v>185.04</v>
      </c>
      <c r="J3214">
        <v>0</v>
      </c>
      <c r="K3214">
        <v>0</v>
      </c>
      <c r="L3214">
        <v>0</v>
      </c>
      <c r="M3214">
        <v>1</v>
      </c>
      <c r="N3214">
        <v>185.04</v>
      </c>
      <c r="O3214">
        <v>185.04</v>
      </c>
    </row>
    <row r="3215" spans="1:15" x14ac:dyDescent="0.35">
      <c r="A3215" t="s">
        <v>3671</v>
      </c>
      <c r="B3215" t="s">
        <v>177</v>
      </c>
      <c r="C3215" t="s">
        <v>1184</v>
      </c>
      <c r="D3215" t="s">
        <v>293</v>
      </c>
      <c r="E3215" t="s">
        <v>304</v>
      </c>
      <c r="F3215" t="s">
        <v>3677</v>
      </c>
      <c r="G3215">
        <v>0</v>
      </c>
      <c r="H3215">
        <v>0</v>
      </c>
      <c r="I3215">
        <v>0</v>
      </c>
      <c r="J3215">
        <v>0</v>
      </c>
      <c r="K3215">
        <v>0</v>
      </c>
      <c r="L3215">
        <v>0</v>
      </c>
      <c r="M3215">
        <v>0</v>
      </c>
      <c r="N3215">
        <v>0</v>
      </c>
      <c r="O3215">
        <v>0</v>
      </c>
    </row>
    <row r="3216" spans="1:15" x14ac:dyDescent="0.35">
      <c r="A3216" t="s">
        <v>3671</v>
      </c>
      <c r="B3216" t="s">
        <v>177</v>
      </c>
      <c r="C3216" t="s">
        <v>1184</v>
      </c>
      <c r="D3216" t="s">
        <v>293</v>
      </c>
      <c r="E3216" t="s">
        <v>306</v>
      </c>
      <c r="F3216" t="s">
        <v>3678</v>
      </c>
      <c r="G3216">
        <v>0</v>
      </c>
      <c r="H3216">
        <v>0</v>
      </c>
      <c r="I3216">
        <v>0</v>
      </c>
      <c r="J3216">
        <v>0</v>
      </c>
      <c r="K3216">
        <v>0</v>
      </c>
      <c r="L3216">
        <v>0</v>
      </c>
      <c r="M3216">
        <v>0</v>
      </c>
      <c r="N3216">
        <v>0</v>
      </c>
      <c r="O3216">
        <v>0</v>
      </c>
    </row>
    <row r="3217" spans="1:15" x14ac:dyDescent="0.35">
      <c r="A3217" t="s">
        <v>3671</v>
      </c>
      <c r="B3217" t="s">
        <v>177</v>
      </c>
      <c r="C3217" t="s">
        <v>1184</v>
      </c>
      <c r="D3217" t="s">
        <v>293</v>
      </c>
      <c r="E3217" t="s">
        <v>308</v>
      </c>
      <c r="F3217" t="s">
        <v>3679</v>
      </c>
      <c r="G3217">
        <v>0</v>
      </c>
      <c r="H3217">
        <v>0</v>
      </c>
      <c r="I3217">
        <v>0</v>
      </c>
      <c r="J3217">
        <v>0</v>
      </c>
      <c r="K3217">
        <v>0</v>
      </c>
      <c r="L3217">
        <v>0</v>
      </c>
      <c r="M3217">
        <v>0</v>
      </c>
      <c r="N3217">
        <v>0</v>
      </c>
      <c r="O3217">
        <v>0</v>
      </c>
    </row>
    <row r="3218" spans="1:15" x14ac:dyDescent="0.35">
      <c r="A3218" t="s">
        <v>3671</v>
      </c>
      <c r="B3218" t="s">
        <v>177</v>
      </c>
      <c r="C3218" t="s">
        <v>1184</v>
      </c>
      <c r="D3218" t="s">
        <v>293</v>
      </c>
      <c r="E3218" t="s">
        <v>310</v>
      </c>
      <c r="F3218" t="s">
        <v>3680</v>
      </c>
      <c r="G3218">
        <v>1048</v>
      </c>
      <c r="H3218">
        <v>166392.46999999997</v>
      </c>
      <c r="I3218">
        <v>158.77000000000001</v>
      </c>
      <c r="J3218">
        <v>19</v>
      </c>
      <c r="K3218">
        <v>3272.11</v>
      </c>
      <c r="L3218">
        <v>172.22</v>
      </c>
      <c r="M3218">
        <v>1067</v>
      </c>
      <c r="N3218">
        <v>169664.57999999996</v>
      </c>
      <c r="O3218">
        <v>159.01</v>
      </c>
    </row>
    <row r="3219" spans="1:15" x14ac:dyDescent="0.35">
      <c r="A3219" t="s">
        <v>3671</v>
      </c>
      <c r="B3219" t="s">
        <v>177</v>
      </c>
      <c r="C3219" t="s">
        <v>1184</v>
      </c>
      <c r="D3219" t="s">
        <v>293</v>
      </c>
      <c r="E3219" t="s">
        <v>312</v>
      </c>
      <c r="F3219" t="s">
        <v>3681</v>
      </c>
      <c r="G3219">
        <v>1048</v>
      </c>
      <c r="H3219">
        <v>166392.46999999997</v>
      </c>
      <c r="I3219">
        <v>158.77000000000001</v>
      </c>
      <c r="J3219">
        <v>19</v>
      </c>
      <c r="K3219">
        <v>3272.11</v>
      </c>
      <c r="L3219">
        <v>172.22</v>
      </c>
      <c r="M3219">
        <v>1067</v>
      </c>
      <c r="N3219">
        <v>169664.57999999996</v>
      </c>
      <c r="O3219">
        <v>159.01</v>
      </c>
    </row>
    <row r="3220" spans="1:15" x14ac:dyDescent="0.35">
      <c r="A3220" t="s">
        <v>3671</v>
      </c>
      <c r="B3220" t="s">
        <v>177</v>
      </c>
      <c r="C3220" t="s">
        <v>1184</v>
      </c>
      <c r="D3220" t="s">
        <v>314</v>
      </c>
      <c r="E3220" t="s">
        <v>294</v>
      </c>
      <c r="F3220" t="s">
        <v>3682</v>
      </c>
      <c r="G3220">
        <v>0</v>
      </c>
      <c r="H3220">
        <v>0</v>
      </c>
      <c r="I3220">
        <v>0</v>
      </c>
      <c r="J3220">
        <v>5</v>
      </c>
      <c r="K3220">
        <v>491.15000000000003</v>
      </c>
      <c r="L3220">
        <v>98.23</v>
      </c>
      <c r="M3220">
        <v>5</v>
      </c>
      <c r="N3220">
        <v>491.15000000000003</v>
      </c>
      <c r="O3220">
        <v>98.23</v>
      </c>
    </row>
    <row r="3221" spans="1:15" x14ac:dyDescent="0.35">
      <c r="A3221" t="s">
        <v>3671</v>
      </c>
      <c r="B3221" t="s">
        <v>177</v>
      </c>
      <c r="C3221" t="s">
        <v>1184</v>
      </c>
      <c r="D3221" t="s">
        <v>314</v>
      </c>
      <c r="E3221" t="s">
        <v>296</v>
      </c>
      <c r="F3221" t="s">
        <v>3683</v>
      </c>
      <c r="G3221">
        <v>0</v>
      </c>
      <c r="H3221">
        <v>0</v>
      </c>
      <c r="I3221">
        <v>0</v>
      </c>
      <c r="J3221">
        <v>0</v>
      </c>
      <c r="K3221">
        <v>0</v>
      </c>
      <c r="L3221">
        <v>0</v>
      </c>
      <c r="M3221">
        <v>0</v>
      </c>
      <c r="N3221">
        <v>0</v>
      </c>
      <c r="O3221">
        <v>0</v>
      </c>
    </row>
    <row r="3222" spans="1:15" x14ac:dyDescent="0.35">
      <c r="A3222" t="s">
        <v>3671</v>
      </c>
      <c r="B3222" t="s">
        <v>177</v>
      </c>
      <c r="C3222" t="s">
        <v>1184</v>
      </c>
      <c r="D3222" t="s">
        <v>314</v>
      </c>
      <c r="E3222" t="s">
        <v>298</v>
      </c>
      <c r="F3222" t="s">
        <v>3684</v>
      </c>
      <c r="G3222">
        <v>0</v>
      </c>
      <c r="H3222">
        <v>0</v>
      </c>
      <c r="I3222">
        <v>0</v>
      </c>
      <c r="J3222">
        <v>0</v>
      </c>
      <c r="K3222">
        <v>0</v>
      </c>
      <c r="L3222">
        <v>0</v>
      </c>
      <c r="M3222">
        <v>0</v>
      </c>
      <c r="N3222">
        <v>0</v>
      </c>
      <c r="O3222">
        <v>0</v>
      </c>
    </row>
    <row r="3223" spans="1:15" x14ac:dyDescent="0.35">
      <c r="A3223" t="s">
        <v>3671</v>
      </c>
      <c r="B3223" t="s">
        <v>177</v>
      </c>
      <c r="C3223" t="s">
        <v>1184</v>
      </c>
      <c r="D3223" t="s">
        <v>314</v>
      </c>
      <c r="E3223" t="s">
        <v>300</v>
      </c>
      <c r="F3223" t="s">
        <v>3685</v>
      </c>
      <c r="G3223">
        <v>0</v>
      </c>
      <c r="H3223">
        <v>0</v>
      </c>
      <c r="I3223">
        <v>0</v>
      </c>
      <c r="J3223">
        <v>0</v>
      </c>
      <c r="K3223">
        <v>0</v>
      </c>
      <c r="L3223">
        <v>0</v>
      </c>
      <c r="M3223">
        <v>0</v>
      </c>
      <c r="N3223">
        <v>0</v>
      </c>
      <c r="O3223">
        <v>0</v>
      </c>
    </row>
    <row r="3224" spans="1:15" x14ac:dyDescent="0.35">
      <c r="A3224" t="s">
        <v>3671</v>
      </c>
      <c r="B3224" t="s">
        <v>177</v>
      </c>
      <c r="C3224" t="s">
        <v>1184</v>
      </c>
      <c r="D3224" t="s">
        <v>314</v>
      </c>
      <c r="E3224" t="s">
        <v>306</v>
      </c>
      <c r="F3224" t="s">
        <v>3686</v>
      </c>
      <c r="G3224">
        <v>0</v>
      </c>
      <c r="H3224">
        <v>0</v>
      </c>
      <c r="I3224">
        <v>0</v>
      </c>
      <c r="J3224">
        <v>0</v>
      </c>
      <c r="K3224">
        <v>0</v>
      </c>
      <c r="L3224">
        <v>0</v>
      </c>
      <c r="M3224">
        <v>0</v>
      </c>
      <c r="N3224">
        <v>0</v>
      </c>
      <c r="O3224">
        <v>0</v>
      </c>
    </row>
    <row r="3225" spans="1:15" x14ac:dyDescent="0.35">
      <c r="A3225" t="s">
        <v>3671</v>
      </c>
      <c r="B3225" t="s">
        <v>177</v>
      </c>
      <c r="C3225" t="s">
        <v>1184</v>
      </c>
      <c r="D3225" t="s">
        <v>314</v>
      </c>
      <c r="E3225" t="s">
        <v>308</v>
      </c>
      <c r="F3225" t="s">
        <v>3687</v>
      </c>
      <c r="G3225">
        <v>0</v>
      </c>
      <c r="H3225">
        <v>0</v>
      </c>
      <c r="I3225">
        <v>0</v>
      </c>
      <c r="J3225">
        <v>15</v>
      </c>
      <c r="K3225">
        <v>6470.4000000000005</v>
      </c>
      <c r="L3225">
        <v>431.36</v>
      </c>
      <c r="M3225">
        <v>15</v>
      </c>
      <c r="N3225">
        <v>6470.4000000000005</v>
      </c>
      <c r="O3225">
        <v>431.36</v>
      </c>
    </row>
    <row r="3226" spans="1:15" x14ac:dyDescent="0.35">
      <c r="A3226" t="s">
        <v>3671</v>
      </c>
      <c r="B3226" t="s">
        <v>177</v>
      </c>
      <c r="C3226" t="s">
        <v>1184</v>
      </c>
      <c r="D3226" t="s">
        <v>314</v>
      </c>
      <c r="E3226" t="s">
        <v>312</v>
      </c>
      <c r="F3226" t="s">
        <v>3688</v>
      </c>
      <c r="G3226">
        <v>0</v>
      </c>
      <c r="H3226">
        <v>0</v>
      </c>
      <c r="I3226">
        <v>0</v>
      </c>
      <c r="J3226">
        <v>5</v>
      </c>
      <c r="K3226">
        <v>491.15000000000003</v>
      </c>
      <c r="L3226">
        <v>98.23</v>
      </c>
      <c r="M3226">
        <v>5</v>
      </c>
      <c r="N3226">
        <v>491.15000000000003</v>
      </c>
      <c r="O3226">
        <v>98.23</v>
      </c>
    </row>
    <row r="3227" spans="1:15" x14ac:dyDescent="0.35">
      <c r="A3227" t="s">
        <v>3671</v>
      </c>
      <c r="B3227" t="s">
        <v>177</v>
      </c>
      <c r="C3227" t="s">
        <v>1184</v>
      </c>
      <c r="D3227" t="s">
        <v>314</v>
      </c>
      <c r="E3227" t="s">
        <v>310</v>
      </c>
      <c r="F3227" t="s">
        <v>3689</v>
      </c>
      <c r="G3227">
        <v>0</v>
      </c>
      <c r="H3227">
        <v>0</v>
      </c>
      <c r="I3227">
        <v>0</v>
      </c>
      <c r="J3227">
        <v>20</v>
      </c>
      <c r="K3227">
        <v>6961.55</v>
      </c>
      <c r="L3227">
        <v>348.08</v>
      </c>
      <c r="M3227">
        <v>20</v>
      </c>
      <c r="N3227">
        <v>6961.55</v>
      </c>
      <c r="O3227">
        <v>348.08</v>
      </c>
    </row>
    <row r="3228" spans="1:15" x14ac:dyDescent="0.35">
      <c r="A3228" t="s">
        <v>3671</v>
      </c>
      <c r="B3228" t="s">
        <v>177</v>
      </c>
      <c r="C3228" t="s">
        <v>1184</v>
      </c>
      <c r="D3228" t="s">
        <v>323</v>
      </c>
      <c r="E3228" t="s">
        <v>294</v>
      </c>
      <c r="F3228" t="s">
        <v>3690</v>
      </c>
      <c r="G3228">
        <v>431</v>
      </c>
      <c r="H3228">
        <v>38707.229999999996</v>
      </c>
      <c r="I3228">
        <v>89.81</v>
      </c>
      <c r="J3228">
        <v>3</v>
      </c>
      <c r="K3228">
        <v>268.86</v>
      </c>
      <c r="L3228">
        <v>89.62</v>
      </c>
      <c r="M3228">
        <v>434</v>
      </c>
      <c r="N3228">
        <v>38976.089999999997</v>
      </c>
      <c r="O3228">
        <v>89.81</v>
      </c>
    </row>
    <row r="3229" spans="1:15" x14ac:dyDescent="0.35">
      <c r="A3229" t="s">
        <v>3671</v>
      </c>
      <c r="B3229" t="s">
        <v>177</v>
      </c>
      <c r="C3229" t="s">
        <v>1184</v>
      </c>
      <c r="D3229" t="s">
        <v>323</v>
      </c>
      <c r="E3229" t="s">
        <v>296</v>
      </c>
      <c r="F3229" t="s">
        <v>3691</v>
      </c>
      <c r="G3229">
        <v>1285</v>
      </c>
      <c r="H3229">
        <v>130813</v>
      </c>
      <c r="I3229">
        <v>101.8</v>
      </c>
      <c r="J3229">
        <v>6</v>
      </c>
      <c r="K3229">
        <v>763.26</v>
      </c>
      <c r="L3229">
        <v>127.21</v>
      </c>
      <c r="M3229">
        <v>1291</v>
      </c>
      <c r="N3229">
        <v>131576.26</v>
      </c>
      <c r="O3229">
        <v>101.92</v>
      </c>
    </row>
    <row r="3230" spans="1:15" x14ac:dyDescent="0.35">
      <c r="A3230" t="s">
        <v>3671</v>
      </c>
      <c r="B3230" t="s">
        <v>177</v>
      </c>
      <c r="C3230" t="s">
        <v>1184</v>
      </c>
      <c r="D3230" t="s">
        <v>323</v>
      </c>
      <c r="E3230" t="s">
        <v>298</v>
      </c>
      <c r="F3230" t="s">
        <v>3692</v>
      </c>
      <c r="G3230">
        <v>1640</v>
      </c>
      <c r="H3230">
        <v>186464.41999999995</v>
      </c>
      <c r="I3230">
        <v>113.7</v>
      </c>
      <c r="J3230">
        <v>2</v>
      </c>
      <c r="K3230">
        <v>237.14</v>
      </c>
      <c r="L3230">
        <v>118.57</v>
      </c>
      <c r="M3230">
        <v>1642</v>
      </c>
      <c r="N3230">
        <v>186701.55999999997</v>
      </c>
      <c r="O3230">
        <v>113.7</v>
      </c>
    </row>
    <row r="3231" spans="1:15" x14ac:dyDescent="0.35">
      <c r="A3231" t="s">
        <v>3671</v>
      </c>
      <c r="B3231" t="s">
        <v>177</v>
      </c>
      <c r="C3231" t="s">
        <v>1184</v>
      </c>
      <c r="D3231" t="s">
        <v>323</v>
      </c>
      <c r="E3231" t="s">
        <v>300</v>
      </c>
      <c r="F3231" t="s">
        <v>3693</v>
      </c>
      <c r="G3231">
        <v>69</v>
      </c>
      <c r="H3231">
        <v>8868.8099999999977</v>
      </c>
      <c r="I3231">
        <v>128.53</v>
      </c>
      <c r="J3231">
        <v>0</v>
      </c>
      <c r="K3231">
        <v>0</v>
      </c>
      <c r="L3231">
        <v>0</v>
      </c>
      <c r="M3231">
        <v>69</v>
      </c>
      <c r="N3231">
        <v>8868.8099999999977</v>
      </c>
      <c r="O3231">
        <v>128.53</v>
      </c>
    </row>
    <row r="3232" spans="1:15" x14ac:dyDescent="0.35">
      <c r="A3232" t="s">
        <v>3671</v>
      </c>
      <c r="B3232" t="s">
        <v>177</v>
      </c>
      <c r="C3232" t="s">
        <v>1184</v>
      </c>
      <c r="D3232" t="s">
        <v>323</v>
      </c>
      <c r="E3232" t="s">
        <v>302</v>
      </c>
      <c r="F3232" t="s">
        <v>3694</v>
      </c>
      <c r="G3232">
        <v>3</v>
      </c>
      <c r="H3232">
        <v>341.01</v>
      </c>
      <c r="I3232">
        <v>113.67</v>
      </c>
      <c r="J3232">
        <v>0</v>
      </c>
      <c r="K3232">
        <v>0</v>
      </c>
      <c r="L3232">
        <v>0</v>
      </c>
      <c r="M3232">
        <v>3</v>
      </c>
      <c r="N3232">
        <v>341.01</v>
      </c>
      <c r="O3232">
        <v>113.67</v>
      </c>
    </row>
    <row r="3233" spans="1:15" x14ac:dyDescent="0.35">
      <c r="A3233" t="s">
        <v>3671</v>
      </c>
      <c r="B3233" t="s">
        <v>177</v>
      </c>
      <c r="C3233" t="s">
        <v>1184</v>
      </c>
      <c r="D3233" t="s">
        <v>323</v>
      </c>
      <c r="E3233" t="s">
        <v>304</v>
      </c>
      <c r="F3233" t="s">
        <v>3695</v>
      </c>
      <c r="G3233">
        <v>0</v>
      </c>
      <c r="H3233">
        <v>0</v>
      </c>
      <c r="I3233">
        <v>0</v>
      </c>
      <c r="J3233">
        <v>0</v>
      </c>
      <c r="K3233">
        <v>0</v>
      </c>
      <c r="L3233">
        <v>0</v>
      </c>
      <c r="M3233">
        <v>0</v>
      </c>
      <c r="N3233">
        <v>0</v>
      </c>
      <c r="O3233">
        <v>0</v>
      </c>
    </row>
    <row r="3234" spans="1:15" x14ac:dyDescent="0.35">
      <c r="A3234" t="s">
        <v>3671</v>
      </c>
      <c r="B3234" t="s">
        <v>177</v>
      </c>
      <c r="C3234" t="s">
        <v>1184</v>
      </c>
      <c r="D3234" t="s">
        <v>323</v>
      </c>
      <c r="E3234" t="s">
        <v>306</v>
      </c>
      <c r="F3234" t="s">
        <v>3696</v>
      </c>
      <c r="G3234">
        <v>0</v>
      </c>
      <c r="H3234">
        <v>0</v>
      </c>
      <c r="I3234">
        <v>0</v>
      </c>
      <c r="J3234">
        <v>0</v>
      </c>
      <c r="K3234">
        <v>0</v>
      </c>
      <c r="L3234">
        <v>0</v>
      </c>
      <c r="M3234">
        <v>0</v>
      </c>
      <c r="N3234">
        <v>0</v>
      </c>
      <c r="O3234">
        <v>0</v>
      </c>
    </row>
    <row r="3235" spans="1:15" x14ac:dyDescent="0.35">
      <c r="A3235" t="s">
        <v>3671</v>
      </c>
      <c r="B3235" t="s">
        <v>177</v>
      </c>
      <c r="C3235" t="s">
        <v>1184</v>
      </c>
      <c r="D3235" t="s">
        <v>323</v>
      </c>
      <c r="E3235" t="s">
        <v>308</v>
      </c>
      <c r="F3235" t="s">
        <v>3697</v>
      </c>
      <c r="G3235">
        <v>0</v>
      </c>
      <c r="H3235">
        <v>0</v>
      </c>
      <c r="I3235">
        <v>0</v>
      </c>
      <c r="J3235">
        <v>0</v>
      </c>
      <c r="K3235">
        <v>0</v>
      </c>
      <c r="L3235">
        <v>0</v>
      </c>
      <c r="M3235">
        <v>0</v>
      </c>
      <c r="N3235">
        <v>0</v>
      </c>
      <c r="O3235">
        <v>0</v>
      </c>
    </row>
    <row r="3236" spans="1:15" x14ac:dyDescent="0.35">
      <c r="A3236" t="s">
        <v>3671</v>
      </c>
      <c r="B3236" t="s">
        <v>177</v>
      </c>
      <c r="C3236" t="s">
        <v>1184</v>
      </c>
      <c r="D3236" t="s">
        <v>323</v>
      </c>
      <c r="E3236" t="s">
        <v>310</v>
      </c>
      <c r="F3236" t="s">
        <v>3698</v>
      </c>
      <c r="G3236">
        <v>3428</v>
      </c>
      <c r="H3236">
        <v>365194.46999999991</v>
      </c>
      <c r="I3236">
        <v>106.53</v>
      </c>
      <c r="J3236">
        <v>11</v>
      </c>
      <c r="K3236">
        <v>1269.2599999999998</v>
      </c>
      <c r="L3236">
        <v>115.39</v>
      </c>
      <c r="M3236">
        <v>3439</v>
      </c>
      <c r="N3236">
        <v>366463.72999999992</v>
      </c>
      <c r="O3236">
        <v>106.56</v>
      </c>
    </row>
    <row r="3237" spans="1:15" x14ac:dyDescent="0.35">
      <c r="A3237" t="s">
        <v>3671</v>
      </c>
      <c r="B3237" t="s">
        <v>177</v>
      </c>
      <c r="C3237" t="s">
        <v>1184</v>
      </c>
      <c r="D3237" t="s">
        <v>323</v>
      </c>
      <c r="E3237" t="s">
        <v>312</v>
      </c>
      <c r="F3237" t="s">
        <v>3699</v>
      </c>
      <c r="G3237">
        <v>3428</v>
      </c>
      <c r="H3237">
        <v>365194.46999999991</v>
      </c>
      <c r="I3237">
        <v>106.53</v>
      </c>
      <c r="J3237">
        <v>11</v>
      </c>
      <c r="K3237">
        <v>1269.2599999999998</v>
      </c>
      <c r="L3237">
        <v>115.39</v>
      </c>
      <c r="M3237">
        <v>3439</v>
      </c>
      <c r="N3237">
        <v>366463.72999999992</v>
      </c>
      <c r="O3237">
        <v>106.56</v>
      </c>
    </row>
    <row r="3238" spans="1:15" x14ac:dyDescent="0.35">
      <c r="A3238" t="s">
        <v>3671</v>
      </c>
      <c r="B3238" t="s">
        <v>177</v>
      </c>
      <c r="C3238" t="s">
        <v>1184</v>
      </c>
      <c r="D3238" t="s">
        <v>334</v>
      </c>
      <c r="E3238" t="s">
        <v>312</v>
      </c>
      <c r="F3238" t="s">
        <v>3700</v>
      </c>
      <c r="G3238">
        <v>4542</v>
      </c>
      <c r="H3238">
        <v>531586.93999999994</v>
      </c>
      <c r="I3238">
        <v>118.76</v>
      </c>
      <c r="J3238">
        <v>30</v>
      </c>
      <c r="K3238">
        <v>4541.3700000000008</v>
      </c>
      <c r="L3238">
        <v>151.38</v>
      </c>
      <c r="M3238">
        <v>4572</v>
      </c>
      <c r="N3238">
        <v>536128.30999999994</v>
      </c>
      <c r="O3238">
        <v>118.98</v>
      </c>
    </row>
    <row r="3239" spans="1:15" x14ac:dyDescent="0.35">
      <c r="A3239" t="s">
        <v>3671</v>
      </c>
      <c r="B3239" t="s">
        <v>177</v>
      </c>
      <c r="C3239" t="s">
        <v>1184</v>
      </c>
      <c r="D3239" t="s">
        <v>334</v>
      </c>
      <c r="E3239" t="s">
        <v>308</v>
      </c>
      <c r="F3239" t="s">
        <v>3701</v>
      </c>
      <c r="G3239">
        <v>0</v>
      </c>
      <c r="H3239">
        <v>0</v>
      </c>
      <c r="I3239">
        <v>0</v>
      </c>
      <c r="J3239">
        <v>0</v>
      </c>
      <c r="K3239">
        <v>0</v>
      </c>
      <c r="L3239">
        <v>0</v>
      </c>
      <c r="M3239">
        <v>0</v>
      </c>
      <c r="N3239">
        <v>0</v>
      </c>
      <c r="O3239">
        <v>0</v>
      </c>
    </row>
    <row r="3240" spans="1:15" x14ac:dyDescent="0.35">
      <c r="A3240" t="s">
        <v>3671</v>
      </c>
      <c r="B3240" t="s">
        <v>177</v>
      </c>
      <c r="C3240" t="s">
        <v>1184</v>
      </c>
      <c r="D3240" t="s">
        <v>337</v>
      </c>
      <c r="E3240" t="s">
        <v>337</v>
      </c>
      <c r="F3240" t="s">
        <v>3702</v>
      </c>
      <c r="G3240">
        <v>886</v>
      </c>
      <c r="J3240">
        <v>0</v>
      </c>
      <c r="M3240">
        <v>886</v>
      </c>
    </row>
    <row r="3241" spans="1:15" x14ac:dyDescent="0.35">
      <c r="A3241" t="s">
        <v>3671</v>
      </c>
      <c r="B3241" t="s">
        <v>177</v>
      </c>
      <c r="C3241" t="s">
        <v>1184</v>
      </c>
      <c r="D3241" t="s">
        <v>339</v>
      </c>
      <c r="E3241" t="s">
        <v>294</v>
      </c>
      <c r="F3241" t="s">
        <v>3703</v>
      </c>
      <c r="G3241">
        <v>877</v>
      </c>
      <c r="H3241">
        <v>84725.82</v>
      </c>
      <c r="I3241">
        <v>96.61</v>
      </c>
      <c r="J3241">
        <v>0</v>
      </c>
      <c r="K3241">
        <v>0</v>
      </c>
      <c r="L3241">
        <v>0</v>
      </c>
      <c r="M3241">
        <v>877</v>
      </c>
      <c r="N3241">
        <v>84725.82</v>
      </c>
      <c r="O3241">
        <v>96.61</v>
      </c>
    </row>
    <row r="3242" spans="1:15" x14ac:dyDescent="0.35">
      <c r="A3242" t="s">
        <v>3671</v>
      </c>
      <c r="B3242" t="s">
        <v>177</v>
      </c>
      <c r="C3242" t="s">
        <v>1184</v>
      </c>
      <c r="D3242" t="s">
        <v>339</v>
      </c>
      <c r="E3242" t="s">
        <v>296</v>
      </c>
      <c r="F3242" t="s">
        <v>3704</v>
      </c>
      <c r="G3242">
        <v>530</v>
      </c>
      <c r="H3242">
        <v>56783.630000000005</v>
      </c>
      <c r="I3242">
        <v>107.14</v>
      </c>
      <c r="J3242">
        <v>0</v>
      </c>
      <c r="K3242">
        <v>0</v>
      </c>
      <c r="L3242">
        <v>0</v>
      </c>
      <c r="M3242">
        <v>530</v>
      </c>
      <c r="N3242">
        <v>56783.630000000005</v>
      </c>
      <c r="O3242">
        <v>107.14</v>
      </c>
    </row>
    <row r="3243" spans="1:15" x14ac:dyDescent="0.35">
      <c r="A3243" t="s">
        <v>3671</v>
      </c>
      <c r="B3243" t="s">
        <v>177</v>
      </c>
      <c r="C3243" t="s">
        <v>1184</v>
      </c>
      <c r="D3243" t="s">
        <v>339</v>
      </c>
      <c r="E3243" t="s">
        <v>298</v>
      </c>
      <c r="F3243" t="s">
        <v>3705</v>
      </c>
      <c r="G3243">
        <v>11</v>
      </c>
      <c r="H3243">
        <v>1287.1500000000001</v>
      </c>
      <c r="I3243">
        <v>117.01</v>
      </c>
      <c r="J3243">
        <v>0</v>
      </c>
      <c r="K3243">
        <v>0</v>
      </c>
      <c r="L3243">
        <v>0</v>
      </c>
      <c r="M3243">
        <v>11</v>
      </c>
      <c r="N3243">
        <v>1287.1500000000001</v>
      </c>
      <c r="O3243">
        <v>117.01</v>
      </c>
    </row>
    <row r="3244" spans="1:15" x14ac:dyDescent="0.35">
      <c r="A3244" t="s">
        <v>3671</v>
      </c>
      <c r="B3244" t="s">
        <v>177</v>
      </c>
      <c r="C3244" t="s">
        <v>1184</v>
      </c>
      <c r="D3244" t="s">
        <v>339</v>
      </c>
      <c r="E3244" t="s">
        <v>300</v>
      </c>
      <c r="F3244" t="s">
        <v>3706</v>
      </c>
      <c r="G3244">
        <v>0</v>
      </c>
      <c r="H3244">
        <v>0</v>
      </c>
      <c r="I3244">
        <v>0</v>
      </c>
      <c r="J3244">
        <v>0</v>
      </c>
      <c r="K3244">
        <v>0</v>
      </c>
      <c r="L3244">
        <v>0</v>
      </c>
      <c r="M3244">
        <v>0</v>
      </c>
      <c r="N3244">
        <v>0</v>
      </c>
      <c r="O3244">
        <v>0</v>
      </c>
    </row>
    <row r="3245" spans="1:15" x14ac:dyDescent="0.35">
      <c r="A3245" t="s">
        <v>3671</v>
      </c>
      <c r="B3245" t="s">
        <v>177</v>
      </c>
      <c r="C3245" t="s">
        <v>1184</v>
      </c>
      <c r="D3245" t="s">
        <v>339</v>
      </c>
      <c r="E3245" t="s">
        <v>306</v>
      </c>
      <c r="F3245" t="s">
        <v>3707</v>
      </c>
      <c r="G3245">
        <v>0</v>
      </c>
      <c r="H3245">
        <v>0</v>
      </c>
      <c r="I3245">
        <v>0</v>
      </c>
      <c r="J3245">
        <v>0</v>
      </c>
      <c r="K3245">
        <v>0</v>
      </c>
      <c r="L3245">
        <v>0</v>
      </c>
      <c r="M3245">
        <v>0</v>
      </c>
      <c r="N3245">
        <v>0</v>
      </c>
      <c r="O3245">
        <v>0</v>
      </c>
    </row>
    <row r="3246" spans="1:15" x14ac:dyDescent="0.35">
      <c r="A3246" t="s">
        <v>3671</v>
      </c>
      <c r="B3246" t="s">
        <v>177</v>
      </c>
      <c r="C3246" t="s">
        <v>1184</v>
      </c>
      <c r="D3246" t="s">
        <v>339</v>
      </c>
      <c r="E3246" t="s">
        <v>308</v>
      </c>
      <c r="F3246" t="s">
        <v>3708</v>
      </c>
      <c r="G3246">
        <v>87</v>
      </c>
      <c r="H3246">
        <v>15283.369999999999</v>
      </c>
      <c r="I3246">
        <v>175.67</v>
      </c>
      <c r="J3246">
        <v>0</v>
      </c>
      <c r="K3246">
        <v>0</v>
      </c>
      <c r="L3246">
        <v>0</v>
      </c>
      <c r="M3246">
        <v>87</v>
      </c>
      <c r="N3246">
        <v>15283.369999999999</v>
      </c>
      <c r="O3246">
        <v>175.67</v>
      </c>
    </row>
    <row r="3247" spans="1:15" x14ac:dyDescent="0.35">
      <c r="A3247" t="s">
        <v>3671</v>
      </c>
      <c r="B3247" t="s">
        <v>177</v>
      </c>
      <c r="C3247" t="s">
        <v>1184</v>
      </c>
      <c r="D3247" t="s">
        <v>339</v>
      </c>
      <c r="E3247" t="s">
        <v>310</v>
      </c>
      <c r="F3247" t="s">
        <v>3709</v>
      </c>
      <c r="G3247">
        <v>1505</v>
      </c>
      <c r="H3247">
        <v>158079.97</v>
      </c>
      <c r="I3247">
        <v>105.04</v>
      </c>
      <c r="J3247">
        <v>0</v>
      </c>
      <c r="K3247">
        <v>0</v>
      </c>
      <c r="L3247">
        <v>0</v>
      </c>
      <c r="M3247">
        <v>1505</v>
      </c>
      <c r="N3247">
        <v>158079.97</v>
      </c>
      <c r="O3247">
        <v>105.04</v>
      </c>
    </row>
    <row r="3248" spans="1:15" x14ac:dyDescent="0.35">
      <c r="A3248" t="s">
        <v>3671</v>
      </c>
      <c r="B3248" t="s">
        <v>177</v>
      </c>
      <c r="C3248" t="s">
        <v>1184</v>
      </c>
      <c r="D3248" t="s">
        <v>339</v>
      </c>
      <c r="E3248" t="s">
        <v>312</v>
      </c>
      <c r="F3248" t="s">
        <v>3710</v>
      </c>
      <c r="G3248">
        <v>1418</v>
      </c>
      <c r="H3248">
        <v>142796.6</v>
      </c>
      <c r="I3248">
        <v>100.7</v>
      </c>
      <c r="J3248">
        <v>0</v>
      </c>
      <c r="K3248">
        <v>0</v>
      </c>
      <c r="L3248">
        <v>0</v>
      </c>
      <c r="M3248">
        <v>1418</v>
      </c>
      <c r="N3248">
        <v>142796.6</v>
      </c>
      <c r="O3248">
        <v>100.7</v>
      </c>
    </row>
    <row r="3249" spans="1:15" x14ac:dyDescent="0.35">
      <c r="A3249" t="s">
        <v>3671</v>
      </c>
      <c r="B3249" t="s">
        <v>177</v>
      </c>
      <c r="C3249" t="s">
        <v>1184</v>
      </c>
      <c r="D3249" t="s">
        <v>348</v>
      </c>
      <c r="E3249" t="s">
        <v>349</v>
      </c>
      <c r="F3249" t="s">
        <v>3711</v>
      </c>
      <c r="G3249">
        <v>1588</v>
      </c>
      <c r="H3249">
        <v>158079.97</v>
      </c>
      <c r="I3249">
        <v>105.04</v>
      </c>
      <c r="J3249">
        <v>20</v>
      </c>
      <c r="K3249">
        <v>6961.55</v>
      </c>
      <c r="L3249">
        <v>348.08</v>
      </c>
      <c r="M3249">
        <v>1608</v>
      </c>
      <c r="N3249">
        <v>165041.51999999999</v>
      </c>
      <c r="O3249">
        <v>108.22</v>
      </c>
    </row>
    <row r="3250" spans="1:15" x14ac:dyDescent="0.35">
      <c r="A3250" t="s">
        <v>3712</v>
      </c>
      <c r="B3250" t="s">
        <v>187</v>
      </c>
      <c r="C3250" t="s">
        <v>1184</v>
      </c>
      <c r="D3250" t="s">
        <v>293</v>
      </c>
      <c r="E3250" t="s">
        <v>294</v>
      </c>
      <c r="F3250" t="s">
        <v>3713</v>
      </c>
      <c r="G3250">
        <v>29</v>
      </c>
      <c r="H3250">
        <v>3147.2</v>
      </c>
      <c r="I3250">
        <v>108.52</v>
      </c>
      <c r="J3250">
        <v>0</v>
      </c>
      <c r="K3250">
        <v>0</v>
      </c>
      <c r="L3250">
        <v>0</v>
      </c>
      <c r="M3250">
        <v>29</v>
      </c>
      <c r="N3250">
        <v>3147.2</v>
      </c>
      <c r="O3250">
        <v>108.52</v>
      </c>
    </row>
    <row r="3251" spans="1:15" x14ac:dyDescent="0.35">
      <c r="A3251" t="s">
        <v>3712</v>
      </c>
      <c r="B3251" t="s">
        <v>187</v>
      </c>
      <c r="C3251" t="s">
        <v>1184</v>
      </c>
      <c r="D3251" t="s">
        <v>293</v>
      </c>
      <c r="E3251" t="s">
        <v>296</v>
      </c>
      <c r="F3251" t="s">
        <v>3714</v>
      </c>
      <c r="G3251">
        <v>89</v>
      </c>
      <c r="H3251">
        <v>11757.43</v>
      </c>
      <c r="I3251">
        <v>132.11000000000001</v>
      </c>
      <c r="J3251">
        <v>0</v>
      </c>
      <c r="K3251">
        <v>0</v>
      </c>
      <c r="L3251">
        <v>0</v>
      </c>
      <c r="M3251">
        <v>89</v>
      </c>
      <c r="N3251">
        <v>11757.43</v>
      </c>
      <c r="O3251">
        <v>132.11000000000001</v>
      </c>
    </row>
    <row r="3252" spans="1:15" x14ac:dyDescent="0.35">
      <c r="A3252" t="s">
        <v>3712</v>
      </c>
      <c r="B3252" t="s">
        <v>187</v>
      </c>
      <c r="C3252" t="s">
        <v>1184</v>
      </c>
      <c r="D3252" t="s">
        <v>293</v>
      </c>
      <c r="E3252" t="s">
        <v>298</v>
      </c>
      <c r="F3252" t="s">
        <v>3715</v>
      </c>
      <c r="G3252">
        <v>27</v>
      </c>
      <c r="H3252">
        <v>4304.79</v>
      </c>
      <c r="I3252">
        <v>159.44</v>
      </c>
      <c r="J3252">
        <v>0</v>
      </c>
      <c r="K3252">
        <v>0</v>
      </c>
      <c r="L3252">
        <v>0</v>
      </c>
      <c r="M3252">
        <v>27</v>
      </c>
      <c r="N3252">
        <v>4304.79</v>
      </c>
      <c r="O3252">
        <v>159.44</v>
      </c>
    </row>
    <row r="3253" spans="1:15" x14ac:dyDescent="0.35">
      <c r="A3253" t="s">
        <v>3712</v>
      </c>
      <c r="B3253" t="s">
        <v>187</v>
      </c>
      <c r="C3253" t="s">
        <v>1184</v>
      </c>
      <c r="D3253" t="s">
        <v>293</v>
      </c>
      <c r="E3253" t="s">
        <v>300</v>
      </c>
      <c r="F3253" t="s">
        <v>3716</v>
      </c>
      <c r="G3253">
        <v>2</v>
      </c>
      <c r="H3253">
        <v>349.28</v>
      </c>
      <c r="I3253">
        <v>174.64</v>
      </c>
      <c r="J3253">
        <v>0</v>
      </c>
      <c r="K3253">
        <v>0</v>
      </c>
      <c r="L3253">
        <v>0</v>
      </c>
      <c r="M3253">
        <v>2</v>
      </c>
      <c r="N3253">
        <v>349.28</v>
      </c>
      <c r="O3253">
        <v>174.64</v>
      </c>
    </row>
    <row r="3254" spans="1:15" x14ac:dyDescent="0.35">
      <c r="A3254" t="s">
        <v>3712</v>
      </c>
      <c r="B3254" t="s">
        <v>187</v>
      </c>
      <c r="C3254" t="s">
        <v>1184</v>
      </c>
      <c r="D3254" t="s">
        <v>293</v>
      </c>
      <c r="E3254" t="s">
        <v>302</v>
      </c>
      <c r="F3254" t="s">
        <v>3717</v>
      </c>
      <c r="G3254">
        <v>0</v>
      </c>
      <c r="H3254">
        <v>0</v>
      </c>
      <c r="I3254">
        <v>0</v>
      </c>
      <c r="J3254">
        <v>0</v>
      </c>
      <c r="K3254">
        <v>0</v>
      </c>
      <c r="L3254">
        <v>0</v>
      </c>
      <c r="M3254">
        <v>0</v>
      </c>
      <c r="N3254">
        <v>0</v>
      </c>
      <c r="O3254">
        <v>0</v>
      </c>
    </row>
    <row r="3255" spans="1:15" x14ac:dyDescent="0.35">
      <c r="A3255" t="s">
        <v>3712</v>
      </c>
      <c r="B3255" t="s">
        <v>187</v>
      </c>
      <c r="C3255" t="s">
        <v>1184</v>
      </c>
      <c r="D3255" t="s">
        <v>293</v>
      </c>
      <c r="E3255" t="s">
        <v>304</v>
      </c>
      <c r="F3255" t="s">
        <v>3718</v>
      </c>
      <c r="G3255">
        <v>0</v>
      </c>
      <c r="H3255">
        <v>0</v>
      </c>
      <c r="I3255">
        <v>0</v>
      </c>
      <c r="J3255">
        <v>0</v>
      </c>
      <c r="K3255">
        <v>0</v>
      </c>
      <c r="L3255">
        <v>0</v>
      </c>
      <c r="M3255">
        <v>0</v>
      </c>
      <c r="N3255">
        <v>0</v>
      </c>
      <c r="O3255">
        <v>0</v>
      </c>
    </row>
    <row r="3256" spans="1:15" x14ac:dyDescent="0.35">
      <c r="A3256" t="s">
        <v>3712</v>
      </c>
      <c r="B3256" t="s">
        <v>187</v>
      </c>
      <c r="C3256" t="s">
        <v>1184</v>
      </c>
      <c r="D3256" t="s">
        <v>293</v>
      </c>
      <c r="E3256" t="s">
        <v>306</v>
      </c>
      <c r="F3256" t="s">
        <v>3719</v>
      </c>
      <c r="G3256">
        <v>0</v>
      </c>
      <c r="H3256">
        <v>0</v>
      </c>
      <c r="I3256">
        <v>0</v>
      </c>
      <c r="J3256">
        <v>0</v>
      </c>
      <c r="K3256">
        <v>0</v>
      </c>
      <c r="L3256">
        <v>0</v>
      </c>
      <c r="M3256">
        <v>0</v>
      </c>
      <c r="N3256">
        <v>0</v>
      </c>
      <c r="O3256">
        <v>0</v>
      </c>
    </row>
    <row r="3257" spans="1:15" x14ac:dyDescent="0.35">
      <c r="A3257" t="s">
        <v>3712</v>
      </c>
      <c r="B3257" t="s">
        <v>187</v>
      </c>
      <c r="C3257" t="s">
        <v>1184</v>
      </c>
      <c r="D3257" t="s">
        <v>293</v>
      </c>
      <c r="E3257" t="s">
        <v>308</v>
      </c>
      <c r="F3257" t="s">
        <v>3720</v>
      </c>
      <c r="G3257">
        <v>0</v>
      </c>
      <c r="H3257">
        <v>0</v>
      </c>
      <c r="I3257">
        <v>0</v>
      </c>
      <c r="J3257">
        <v>0</v>
      </c>
      <c r="K3257">
        <v>0</v>
      </c>
      <c r="L3257">
        <v>0</v>
      </c>
      <c r="M3257">
        <v>0</v>
      </c>
      <c r="N3257">
        <v>0</v>
      </c>
      <c r="O3257">
        <v>0</v>
      </c>
    </row>
    <row r="3258" spans="1:15" x14ac:dyDescent="0.35">
      <c r="A3258" t="s">
        <v>3712</v>
      </c>
      <c r="B3258" t="s">
        <v>187</v>
      </c>
      <c r="C3258" t="s">
        <v>1184</v>
      </c>
      <c r="D3258" t="s">
        <v>293</v>
      </c>
      <c r="E3258" t="s">
        <v>310</v>
      </c>
      <c r="F3258" t="s">
        <v>3721</v>
      </c>
      <c r="G3258">
        <v>147</v>
      </c>
      <c r="H3258">
        <v>19558.7</v>
      </c>
      <c r="I3258">
        <v>133.05000000000001</v>
      </c>
      <c r="J3258">
        <v>0</v>
      </c>
      <c r="K3258">
        <v>0</v>
      </c>
      <c r="L3258">
        <v>0</v>
      </c>
      <c r="M3258">
        <v>147</v>
      </c>
      <c r="N3258">
        <v>19558.7</v>
      </c>
      <c r="O3258">
        <v>133.05000000000001</v>
      </c>
    </row>
    <row r="3259" spans="1:15" x14ac:dyDescent="0.35">
      <c r="A3259" t="s">
        <v>3712</v>
      </c>
      <c r="B3259" t="s">
        <v>187</v>
      </c>
      <c r="C3259" t="s">
        <v>1184</v>
      </c>
      <c r="D3259" t="s">
        <v>293</v>
      </c>
      <c r="E3259" t="s">
        <v>312</v>
      </c>
      <c r="F3259" t="s">
        <v>3722</v>
      </c>
      <c r="G3259">
        <v>147</v>
      </c>
      <c r="H3259">
        <v>19558.7</v>
      </c>
      <c r="I3259">
        <v>133.05000000000001</v>
      </c>
      <c r="J3259">
        <v>0</v>
      </c>
      <c r="K3259">
        <v>0</v>
      </c>
      <c r="L3259">
        <v>0</v>
      </c>
      <c r="M3259">
        <v>147</v>
      </c>
      <c r="N3259">
        <v>19558.7</v>
      </c>
      <c r="O3259">
        <v>133.05000000000001</v>
      </c>
    </row>
    <row r="3260" spans="1:15" x14ac:dyDescent="0.35">
      <c r="A3260" t="s">
        <v>3712</v>
      </c>
      <c r="B3260" t="s">
        <v>187</v>
      </c>
      <c r="C3260" t="s">
        <v>1184</v>
      </c>
      <c r="D3260" t="s">
        <v>314</v>
      </c>
      <c r="E3260" t="s">
        <v>294</v>
      </c>
      <c r="F3260" t="s">
        <v>3723</v>
      </c>
      <c r="G3260">
        <v>35</v>
      </c>
      <c r="H3260">
        <v>9589.3000000000011</v>
      </c>
      <c r="I3260">
        <v>273.98</v>
      </c>
      <c r="J3260">
        <v>0</v>
      </c>
      <c r="K3260">
        <v>0</v>
      </c>
      <c r="L3260">
        <v>0</v>
      </c>
      <c r="M3260">
        <v>35</v>
      </c>
      <c r="N3260">
        <v>9589.3000000000011</v>
      </c>
      <c r="O3260">
        <v>273.98</v>
      </c>
    </row>
    <row r="3261" spans="1:15" x14ac:dyDescent="0.35">
      <c r="A3261" t="s">
        <v>3712</v>
      </c>
      <c r="B3261" t="s">
        <v>187</v>
      </c>
      <c r="C3261" t="s">
        <v>1184</v>
      </c>
      <c r="D3261" t="s">
        <v>314</v>
      </c>
      <c r="E3261" t="s">
        <v>296</v>
      </c>
      <c r="F3261" t="s">
        <v>3724</v>
      </c>
      <c r="G3261">
        <v>6</v>
      </c>
      <c r="H3261">
        <v>1718.94</v>
      </c>
      <c r="I3261">
        <v>286.49</v>
      </c>
      <c r="J3261">
        <v>0</v>
      </c>
      <c r="K3261">
        <v>0</v>
      </c>
      <c r="L3261">
        <v>0</v>
      </c>
      <c r="M3261">
        <v>6</v>
      </c>
      <c r="N3261">
        <v>1718.94</v>
      </c>
      <c r="O3261">
        <v>286.49</v>
      </c>
    </row>
    <row r="3262" spans="1:15" x14ac:dyDescent="0.35">
      <c r="A3262" t="s">
        <v>3712</v>
      </c>
      <c r="B3262" t="s">
        <v>187</v>
      </c>
      <c r="C3262" t="s">
        <v>1184</v>
      </c>
      <c r="D3262" t="s">
        <v>314</v>
      </c>
      <c r="E3262" t="s">
        <v>298</v>
      </c>
      <c r="F3262" t="s">
        <v>3725</v>
      </c>
      <c r="G3262">
        <v>0</v>
      </c>
      <c r="H3262">
        <v>0</v>
      </c>
      <c r="I3262">
        <v>0</v>
      </c>
      <c r="J3262">
        <v>0</v>
      </c>
      <c r="K3262">
        <v>0</v>
      </c>
      <c r="L3262">
        <v>0</v>
      </c>
      <c r="M3262">
        <v>0</v>
      </c>
      <c r="N3262">
        <v>0</v>
      </c>
      <c r="O3262">
        <v>0</v>
      </c>
    </row>
    <row r="3263" spans="1:15" x14ac:dyDescent="0.35">
      <c r="A3263" t="s">
        <v>3712</v>
      </c>
      <c r="B3263" t="s">
        <v>187</v>
      </c>
      <c r="C3263" t="s">
        <v>1184</v>
      </c>
      <c r="D3263" t="s">
        <v>314</v>
      </c>
      <c r="E3263" t="s">
        <v>300</v>
      </c>
      <c r="F3263" t="s">
        <v>3726</v>
      </c>
      <c r="G3263">
        <v>0</v>
      </c>
      <c r="H3263">
        <v>0</v>
      </c>
      <c r="I3263">
        <v>0</v>
      </c>
      <c r="J3263">
        <v>0</v>
      </c>
      <c r="K3263">
        <v>0</v>
      </c>
      <c r="L3263">
        <v>0</v>
      </c>
      <c r="M3263">
        <v>0</v>
      </c>
      <c r="N3263">
        <v>0</v>
      </c>
      <c r="O3263">
        <v>0</v>
      </c>
    </row>
    <row r="3264" spans="1:15" x14ac:dyDescent="0.35">
      <c r="A3264" t="s">
        <v>3712</v>
      </c>
      <c r="B3264" t="s">
        <v>187</v>
      </c>
      <c r="C3264" t="s">
        <v>1184</v>
      </c>
      <c r="D3264" t="s">
        <v>314</v>
      </c>
      <c r="E3264" t="s">
        <v>306</v>
      </c>
      <c r="F3264" t="s">
        <v>3727</v>
      </c>
      <c r="G3264">
        <v>0</v>
      </c>
      <c r="H3264">
        <v>0</v>
      </c>
      <c r="I3264">
        <v>0</v>
      </c>
      <c r="J3264">
        <v>0</v>
      </c>
      <c r="K3264">
        <v>0</v>
      </c>
      <c r="L3264">
        <v>0</v>
      </c>
      <c r="M3264">
        <v>0</v>
      </c>
      <c r="N3264">
        <v>0</v>
      </c>
      <c r="O3264">
        <v>0</v>
      </c>
    </row>
    <row r="3265" spans="1:15" x14ac:dyDescent="0.35">
      <c r="A3265" t="s">
        <v>3712</v>
      </c>
      <c r="B3265" t="s">
        <v>187</v>
      </c>
      <c r="C3265" t="s">
        <v>1184</v>
      </c>
      <c r="D3265" t="s">
        <v>314</v>
      </c>
      <c r="E3265" t="s">
        <v>308</v>
      </c>
      <c r="F3265" t="s">
        <v>3728</v>
      </c>
      <c r="G3265">
        <v>0</v>
      </c>
      <c r="H3265">
        <v>0</v>
      </c>
      <c r="I3265">
        <v>0</v>
      </c>
      <c r="J3265">
        <v>0</v>
      </c>
      <c r="K3265">
        <v>0</v>
      </c>
      <c r="L3265">
        <v>0</v>
      </c>
      <c r="M3265">
        <v>0</v>
      </c>
      <c r="N3265">
        <v>0</v>
      </c>
      <c r="O3265">
        <v>0</v>
      </c>
    </row>
    <row r="3266" spans="1:15" x14ac:dyDescent="0.35">
      <c r="A3266" t="s">
        <v>3712</v>
      </c>
      <c r="B3266" t="s">
        <v>187</v>
      </c>
      <c r="C3266" t="s">
        <v>1184</v>
      </c>
      <c r="D3266" t="s">
        <v>314</v>
      </c>
      <c r="E3266" t="s">
        <v>312</v>
      </c>
      <c r="F3266" t="s">
        <v>3729</v>
      </c>
      <c r="G3266">
        <v>41</v>
      </c>
      <c r="H3266">
        <v>11308.240000000002</v>
      </c>
      <c r="I3266">
        <v>275.81</v>
      </c>
      <c r="J3266">
        <v>0</v>
      </c>
      <c r="K3266">
        <v>0</v>
      </c>
      <c r="L3266">
        <v>0</v>
      </c>
      <c r="M3266">
        <v>41</v>
      </c>
      <c r="N3266">
        <v>11308.240000000002</v>
      </c>
      <c r="O3266">
        <v>275.81</v>
      </c>
    </row>
    <row r="3267" spans="1:15" x14ac:dyDescent="0.35">
      <c r="A3267" t="s">
        <v>3712</v>
      </c>
      <c r="B3267" t="s">
        <v>187</v>
      </c>
      <c r="C3267" t="s">
        <v>1184</v>
      </c>
      <c r="D3267" t="s">
        <v>314</v>
      </c>
      <c r="E3267" t="s">
        <v>310</v>
      </c>
      <c r="F3267" t="s">
        <v>3730</v>
      </c>
      <c r="G3267">
        <v>41</v>
      </c>
      <c r="H3267">
        <v>11308.240000000002</v>
      </c>
      <c r="I3267">
        <v>275.81</v>
      </c>
      <c r="J3267">
        <v>0</v>
      </c>
      <c r="K3267">
        <v>0</v>
      </c>
      <c r="L3267">
        <v>0</v>
      </c>
      <c r="M3267">
        <v>41</v>
      </c>
      <c r="N3267">
        <v>11308.240000000002</v>
      </c>
      <c r="O3267">
        <v>275.81</v>
      </c>
    </row>
    <row r="3268" spans="1:15" x14ac:dyDescent="0.35">
      <c r="A3268" t="s">
        <v>3712</v>
      </c>
      <c r="B3268" t="s">
        <v>187</v>
      </c>
      <c r="C3268" t="s">
        <v>1184</v>
      </c>
      <c r="D3268" t="s">
        <v>323</v>
      </c>
      <c r="E3268" t="s">
        <v>294</v>
      </c>
      <c r="F3268" t="s">
        <v>3731</v>
      </c>
      <c r="G3268">
        <v>367</v>
      </c>
      <c r="H3268">
        <v>32227.809999999998</v>
      </c>
      <c r="I3268">
        <v>87.81</v>
      </c>
      <c r="J3268">
        <v>0</v>
      </c>
      <c r="K3268">
        <v>0</v>
      </c>
      <c r="L3268">
        <v>0</v>
      </c>
      <c r="M3268">
        <v>367</v>
      </c>
      <c r="N3268">
        <v>32227.809999999998</v>
      </c>
      <c r="O3268">
        <v>87.81</v>
      </c>
    </row>
    <row r="3269" spans="1:15" x14ac:dyDescent="0.35">
      <c r="A3269" t="s">
        <v>3712</v>
      </c>
      <c r="B3269" t="s">
        <v>187</v>
      </c>
      <c r="C3269" t="s">
        <v>1184</v>
      </c>
      <c r="D3269" t="s">
        <v>323</v>
      </c>
      <c r="E3269" t="s">
        <v>296</v>
      </c>
      <c r="F3269" t="s">
        <v>3732</v>
      </c>
      <c r="G3269">
        <v>1147</v>
      </c>
      <c r="H3269">
        <v>115493.31</v>
      </c>
      <c r="I3269">
        <v>100.69</v>
      </c>
      <c r="J3269">
        <v>0</v>
      </c>
      <c r="K3269">
        <v>0</v>
      </c>
      <c r="L3269">
        <v>0</v>
      </c>
      <c r="M3269">
        <v>1147</v>
      </c>
      <c r="N3269">
        <v>115493.31</v>
      </c>
      <c r="O3269">
        <v>100.69</v>
      </c>
    </row>
    <row r="3270" spans="1:15" x14ac:dyDescent="0.35">
      <c r="A3270" t="s">
        <v>3712</v>
      </c>
      <c r="B3270" t="s">
        <v>187</v>
      </c>
      <c r="C3270" t="s">
        <v>1184</v>
      </c>
      <c r="D3270" t="s">
        <v>323</v>
      </c>
      <c r="E3270" t="s">
        <v>298</v>
      </c>
      <c r="F3270" t="s">
        <v>3733</v>
      </c>
      <c r="G3270">
        <v>859</v>
      </c>
      <c r="H3270">
        <v>97367.39</v>
      </c>
      <c r="I3270">
        <v>113.35</v>
      </c>
      <c r="J3270">
        <v>0</v>
      </c>
      <c r="K3270">
        <v>0</v>
      </c>
      <c r="L3270">
        <v>0</v>
      </c>
      <c r="M3270">
        <v>859</v>
      </c>
      <c r="N3270">
        <v>97367.39</v>
      </c>
      <c r="O3270">
        <v>113.35</v>
      </c>
    </row>
    <row r="3271" spans="1:15" x14ac:dyDescent="0.35">
      <c r="A3271" t="s">
        <v>3712</v>
      </c>
      <c r="B3271" t="s">
        <v>187</v>
      </c>
      <c r="C3271" t="s">
        <v>1184</v>
      </c>
      <c r="D3271" t="s">
        <v>323</v>
      </c>
      <c r="E3271" t="s">
        <v>300</v>
      </c>
      <c r="F3271" t="s">
        <v>3734</v>
      </c>
      <c r="G3271">
        <v>101</v>
      </c>
      <c r="H3271">
        <v>13305.500000000002</v>
      </c>
      <c r="I3271">
        <v>131.74</v>
      </c>
      <c r="J3271">
        <v>0</v>
      </c>
      <c r="K3271">
        <v>0</v>
      </c>
      <c r="L3271">
        <v>0</v>
      </c>
      <c r="M3271">
        <v>101</v>
      </c>
      <c r="N3271">
        <v>13305.500000000002</v>
      </c>
      <c r="O3271">
        <v>131.74</v>
      </c>
    </row>
    <row r="3272" spans="1:15" x14ac:dyDescent="0.35">
      <c r="A3272" t="s">
        <v>3712</v>
      </c>
      <c r="B3272" t="s">
        <v>187</v>
      </c>
      <c r="C3272" t="s">
        <v>1184</v>
      </c>
      <c r="D3272" t="s">
        <v>323</v>
      </c>
      <c r="E3272" t="s">
        <v>302</v>
      </c>
      <c r="F3272" t="s">
        <v>3735</v>
      </c>
      <c r="G3272">
        <v>2</v>
      </c>
      <c r="H3272">
        <v>293.96000000000004</v>
      </c>
      <c r="I3272">
        <v>146.97999999999999</v>
      </c>
      <c r="J3272">
        <v>0</v>
      </c>
      <c r="K3272">
        <v>0</v>
      </c>
      <c r="L3272">
        <v>0</v>
      </c>
      <c r="M3272">
        <v>2</v>
      </c>
      <c r="N3272">
        <v>293.96000000000004</v>
      </c>
      <c r="O3272">
        <v>146.97999999999999</v>
      </c>
    </row>
    <row r="3273" spans="1:15" x14ac:dyDescent="0.35">
      <c r="A3273" t="s">
        <v>3712</v>
      </c>
      <c r="B3273" t="s">
        <v>187</v>
      </c>
      <c r="C3273" t="s">
        <v>1184</v>
      </c>
      <c r="D3273" t="s">
        <v>323</v>
      </c>
      <c r="E3273" t="s">
        <v>304</v>
      </c>
      <c r="F3273" t="s">
        <v>3736</v>
      </c>
      <c r="G3273">
        <v>2</v>
      </c>
      <c r="H3273">
        <v>360.12</v>
      </c>
      <c r="I3273">
        <v>180.06</v>
      </c>
      <c r="J3273">
        <v>0</v>
      </c>
      <c r="K3273">
        <v>0</v>
      </c>
      <c r="L3273">
        <v>0</v>
      </c>
      <c r="M3273">
        <v>2</v>
      </c>
      <c r="N3273">
        <v>360.12</v>
      </c>
      <c r="O3273">
        <v>180.06</v>
      </c>
    </row>
    <row r="3274" spans="1:15" x14ac:dyDescent="0.35">
      <c r="A3274" t="s">
        <v>3712</v>
      </c>
      <c r="B3274" t="s">
        <v>187</v>
      </c>
      <c r="C3274" t="s">
        <v>1184</v>
      </c>
      <c r="D3274" t="s">
        <v>323</v>
      </c>
      <c r="E3274" t="s">
        <v>306</v>
      </c>
      <c r="F3274" t="s">
        <v>3737</v>
      </c>
      <c r="G3274">
        <v>0</v>
      </c>
      <c r="H3274">
        <v>0</v>
      </c>
      <c r="I3274">
        <v>0</v>
      </c>
      <c r="J3274">
        <v>0</v>
      </c>
      <c r="K3274">
        <v>0</v>
      </c>
      <c r="L3274">
        <v>0</v>
      </c>
      <c r="M3274">
        <v>0</v>
      </c>
      <c r="N3274">
        <v>0</v>
      </c>
      <c r="O3274">
        <v>0</v>
      </c>
    </row>
    <row r="3275" spans="1:15" x14ac:dyDescent="0.35">
      <c r="A3275" t="s">
        <v>3712</v>
      </c>
      <c r="B3275" t="s">
        <v>187</v>
      </c>
      <c r="C3275" t="s">
        <v>1184</v>
      </c>
      <c r="D3275" t="s">
        <v>323</v>
      </c>
      <c r="E3275" t="s">
        <v>308</v>
      </c>
      <c r="F3275" t="s">
        <v>3738</v>
      </c>
      <c r="G3275">
        <v>0</v>
      </c>
      <c r="H3275">
        <v>0</v>
      </c>
      <c r="I3275">
        <v>0</v>
      </c>
      <c r="J3275">
        <v>0</v>
      </c>
      <c r="K3275">
        <v>0</v>
      </c>
      <c r="L3275">
        <v>0</v>
      </c>
      <c r="M3275">
        <v>0</v>
      </c>
      <c r="N3275">
        <v>0</v>
      </c>
      <c r="O3275">
        <v>0</v>
      </c>
    </row>
    <row r="3276" spans="1:15" x14ac:dyDescent="0.35">
      <c r="A3276" t="s">
        <v>3712</v>
      </c>
      <c r="B3276" t="s">
        <v>187</v>
      </c>
      <c r="C3276" t="s">
        <v>1184</v>
      </c>
      <c r="D3276" t="s">
        <v>323</v>
      </c>
      <c r="E3276" t="s">
        <v>310</v>
      </c>
      <c r="F3276" t="s">
        <v>3739</v>
      </c>
      <c r="G3276">
        <v>2478</v>
      </c>
      <c r="H3276">
        <v>259048.09</v>
      </c>
      <c r="I3276">
        <v>104.54</v>
      </c>
      <c r="J3276">
        <v>0</v>
      </c>
      <c r="K3276">
        <v>0</v>
      </c>
      <c r="L3276">
        <v>0</v>
      </c>
      <c r="M3276">
        <v>2478</v>
      </c>
      <c r="N3276">
        <v>259048.09</v>
      </c>
      <c r="O3276">
        <v>104.54</v>
      </c>
    </row>
    <row r="3277" spans="1:15" x14ac:dyDescent="0.35">
      <c r="A3277" t="s">
        <v>3712</v>
      </c>
      <c r="B3277" t="s">
        <v>187</v>
      </c>
      <c r="C3277" t="s">
        <v>1184</v>
      </c>
      <c r="D3277" t="s">
        <v>323</v>
      </c>
      <c r="E3277" t="s">
        <v>312</v>
      </c>
      <c r="F3277" t="s">
        <v>3740</v>
      </c>
      <c r="G3277">
        <v>2478</v>
      </c>
      <c r="H3277">
        <v>259048.09</v>
      </c>
      <c r="I3277">
        <v>104.54</v>
      </c>
      <c r="J3277">
        <v>0</v>
      </c>
      <c r="K3277">
        <v>0</v>
      </c>
      <c r="L3277">
        <v>0</v>
      </c>
      <c r="M3277">
        <v>2478</v>
      </c>
      <c r="N3277">
        <v>259048.09</v>
      </c>
      <c r="O3277">
        <v>104.54</v>
      </c>
    </row>
    <row r="3278" spans="1:15" x14ac:dyDescent="0.35">
      <c r="A3278" t="s">
        <v>3712</v>
      </c>
      <c r="B3278" t="s">
        <v>187</v>
      </c>
      <c r="C3278" t="s">
        <v>1184</v>
      </c>
      <c r="D3278" t="s">
        <v>334</v>
      </c>
      <c r="E3278" t="s">
        <v>312</v>
      </c>
      <c r="F3278" t="s">
        <v>3741</v>
      </c>
      <c r="G3278">
        <v>2625</v>
      </c>
      <c r="H3278">
        <v>278606.79000000004</v>
      </c>
      <c r="I3278">
        <v>106.14</v>
      </c>
      <c r="J3278">
        <v>0</v>
      </c>
      <c r="K3278">
        <v>0</v>
      </c>
      <c r="L3278">
        <v>0</v>
      </c>
      <c r="M3278">
        <v>2625</v>
      </c>
      <c r="N3278">
        <v>278606.79000000004</v>
      </c>
      <c r="O3278">
        <v>106.14</v>
      </c>
    </row>
    <row r="3279" spans="1:15" x14ac:dyDescent="0.35">
      <c r="A3279" t="s">
        <v>3712</v>
      </c>
      <c r="B3279" t="s">
        <v>187</v>
      </c>
      <c r="C3279" t="s">
        <v>1184</v>
      </c>
      <c r="D3279" t="s">
        <v>334</v>
      </c>
      <c r="E3279" t="s">
        <v>308</v>
      </c>
      <c r="F3279" t="s">
        <v>3742</v>
      </c>
      <c r="G3279">
        <v>0</v>
      </c>
      <c r="H3279">
        <v>0</v>
      </c>
      <c r="I3279">
        <v>0</v>
      </c>
      <c r="J3279">
        <v>0</v>
      </c>
      <c r="K3279">
        <v>0</v>
      </c>
      <c r="L3279">
        <v>0</v>
      </c>
      <c r="M3279">
        <v>0</v>
      </c>
      <c r="N3279">
        <v>0</v>
      </c>
      <c r="O3279">
        <v>0</v>
      </c>
    </row>
    <row r="3280" spans="1:15" x14ac:dyDescent="0.35">
      <c r="A3280" t="s">
        <v>3712</v>
      </c>
      <c r="B3280" t="s">
        <v>187</v>
      </c>
      <c r="C3280" t="s">
        <v>1184</v>
      </c>
      <c r="D3280" t="s">
        <v>337</v>
      </c>
      <c r="E3280" t="s">
        <v>337</v>
      </c>
      <c r="F3280" t="s">
        <v>3743</v>
      </c>
      <c r="G3280">
        <v>292</v>
      </c>
      <c r="J3280">
        <v>0</v>
      </c>
      <c r="M3280">
        <v>292</v>
      </c>
    </row>
    <row r="3281" spans="1:15" x14ac:dyDescent="0.35">
      <c r="A3281" t="s">
        <v>3712</v>
      </c>
      <c r="B3281" t="s">
        <v>187</v>
      </c>
      <c r="C3281" t="s">
        <v>1184</v>
      </c>
      <c r="D3281" t="s">
        <v>339</v>
      </c>
      <c r="E3281" t="s">
        <v>294</v>
      </c>
      <c r="F3281" t="s">
        <v>3744</v>
      </c>
      <c r="G3281">
        <v>257</v>
      </c>
      <c r="H3281">
        <v>22746.82</v>
      </c>
      <c r="I3281">
        <v>88.51</v>
      </c>
      <c r="J3281">
        <v>0</v>
      </c>
      <c r="K3281">
        <v>0</v>
      </c>
      <c r="L3281">
        <v>0</v>
      </c>
      <c r="M3281">
        <v>257</v>
      </c>
      <c r="N3281">
        <v>22746.82</v>
      </c>
      <c r="O3281">
        <v>88.51</v>
      </c>
    </row>
    <row r="3282" spans="1:15" x14ac:dyDescent="0.35">
      <c r="A3282" t="s">
        <v>3712</v>
      </c>
      <c r="B3282" t="s">
        <v>187</v>
      </c>
      <c r="C3282" t="s">
        <v>1184</v>
      </c>
      <c r="D3282" t="s">
        <v>339</v>
      </c>
      <c r="E3282" t="s">
        <v>296</v>
      </c>
      <c r="F3282" t="s">
        <v>3745</v>
      </c>
      <c r="G3282">
        <v>39</v>
      </c>
      <c r="H3282">
        <v>4045.08</v>
      </c>
      <c r="I3282">
        <v>103.72</v>
      </c>
      <c r="J3282">
        <v>0</v>
      </c>
      <c r="K3282">
        <v>0</v>
      </c>
      <c r="L3282">
        <v>0</v>
      </c>
      <c r="M3282">
        <v>39</v>
      </c>
      <c r="N3282">
        <v>4045.08</v>
      </c>
      <c r="O3282">
        <v>103.72</v>
      </c>
    </row>
    <row r="3283" spans="1:15" x14ac:dyDescent="0.35">
      <c r="A3283" t="s">
        <v>3712</v>
      </c>
      <c r="B3283" t="s">
        <v>187</v>
      </c>
      <c r="C3283" t="s">
        <v>1184</v>
      </c>
      <c r="D3283" t="s">
        <v>339</v>
      </c>
      <c r="E3283" t="s">
        <v>298</v>
      </c>
      <c r="F3283" t="s">
        <v>3746</v>
      </c>
      <c r="G3283">
        <v>3</v>
      </c>
      <c r="H3283">
        <v>320.28000000000003</v>
      </c>
      <c r="I3283">
        <v>106.76</v>
      </c>
      <c r="J3283">
        <v>0</v>
      </c>
      <c r="K3283">
        <v>0</v>
      </c>
      <c r="L3283">
        <v>0</v>
      </c>
      <c r="M3283">
        <v>3</v>
      </c>
      <c r="N3283">
        <v>320.28000000000003</v>
      </c>
      <c r="O3283">
        <v>106.76</v>
      </c>
    </row>
    <row r="3284" spans="1:15" x14ac:dyDescent="0.35">
      <c r="A3284" t="s">
        <v>3712</v>
      </c>
      <c r="B3284" t="s">
        <v>187</v>
      </c>
      <c r="C3284" t="s">
        <v>1184</v>
      </c>
      <c r="D3284" t="s">
        <v>339</v>
      </c>
      <c r="E3284" t="s">
        <v>300</v>
      </c>
      <c r="F3284" t="s">
        <v>3747</v>
      </c>
      <c r="G3284">
        <v>0</v>
      </c>
      <c r="H3284">
        <v>0</v>
      </c>
      <c r="I3284">
        <v>0</v>
      </c>
      <c r="J3284">
        <v>0</v>
      </c>
      <c r="K3284">
        <v>0</v>
      </c>
      <c r="L3284">
        <v>0</v>
      </c>
      <c r="M3284">
        <v>0</v>
      </c>
      <c r="N3284">
        <v>0</v>
      </c>
      <c r="O3284">
        <v>0</v>
      </c>
    </row>
    <row r="3285" spans="1:15" x14ac:dyDescent="0.35">
      <c r="A3285" t="s">
        <v>3712</v>
      </c>
      <c r="B3285" t="s">
        <v>187</v>
      </c>
      <c r="C3285" t="s">
        <v>1184</v>
      </c>
      <c r="D3285" t="s">
        <v>339</v>
      </c>
      <c r="E3285" t="s">
        <v>306</v>
      </c>
      <c r="F3285" t="s">
        <v>3748</v>
      </c>
      <c r="G3285">
        <v>0</v>
      </c>
      <c r="H3285">
        <v>0</v>
      </c>
      <c r="I3285">
        <v>0</v>
      </c>
      <c r="J3285">
        <v>0</v>
      </c>
      <c r="K3285">
        <v>0</v>
      </c>
      <c r="L3285">
        <v>0</v>
      </c>
      <c r="M3285">
        <v>0</v>
      </c>
      <c r="N3285">
        <v>0</v>
      </c>
      <c r="O3285">
        <v>0</v>
      </c>
    </row>
    <row r="3286" spans="1:15" x14ac:dyDescent="0.35">
      <c r="A3286" t="s">
        <v>3712</v>
      </c>
      <c r="B3286" t="s">
        <v>187</v>
      </c>
      <c r="C3286" t="s">
        <v>1184</v>
      </c>
      <c r="D3286" t="s">
        <v>339</v>
      </c>
      <c r="E3286" t="s">
        <v>308</v>
      </c>
      <c r="F3286" t="s">
        <v>3749</v>
      </c>
      <c r="G3286">
        <v>17</v>
      </c>
      <c r="H3286">
        <v>2998.49</v>
      </c>
      <c r="I3286">
        <v>176.38</v>
      </c>
      <c r="J3286">
        <v>0</v>
      </c>
      <c r="K3286">
        <v>0</v>
      </c>
      <c r="L3286">
        <v>0</v>
      </c>
      <c r="M3286">
        <v>17</v>
      </c>
      <c r="N3286">
        <v>2998.49</v>
      </c>
      <c r="O3286">
        <v>176.38</v>
      </c>
    </row>
    <row r="3287" spans="1:15" x14ac:dyDescent="0.35">
      <c r="A3287" t="s">
        <v>3712</v>
      </c>
      <c r="B3287" t="s">
        <v>187</v>
      </c>
      <c r="C3287" t="s">
        <v>1184</v>
      </c>
      <c r="D3287" t="s">
        <v>339</v>
      </c>
      <c r="E3287" t="s">
        <v>310</v>
      </c>
      <c r="F3287" t="s">
        <v>3750</v>
      </c>
      <c r="G3287">
        <v>316</v>
      </c>
      <c r="H3287">
        <v>30110.67</v>
      </c>
      <c r="I3287">
        <v>95.29</v>
      </c>
      <c r="J3287">
        <v>0</v>
      </c>
      <c r="K3287">
        <v>0</v>
      </c>
      <c r="L3287">
        <v>0</v>
      </c>
      <c r="M3287">
        <v>316</v>
      </c>
      <c r="N3287">
        <v>30110.67</v>
      </c>
      <c r="O3287">
        <v>95.29</v>
      </c>
    </row>
    <row r="3288" spans="1:15" x14ac:dyDescent="0.35">
      <c r="A3288" t="s">
        <v>3712</v>
      </c>
      <c r="B3288" t="s">
        <v>187</v>
      </c>
      <c r="C3288" t="s">
        <v>1184</v>
      </c>
      <c r="D3288" t="s">
        <v>339</v>
      </c>
      <c r="E3288" t="s">
        <v>312</v>
      </c>
      <c r="F3288" t="s">
        <v>3751</v>
      </c>
      <c r="G3288">
        <v>299</v>
      </c>
      <c r="H3288">
        <v>27112.18</v>
      </c>
      <c r="I3288">
        <v>90.68</v>
      </c>
      <c r="J3288">
        <v>0</v>
      </c>
      <c r="K3288">
        <v>0</v>
      </c>
      <c r="L3288">
        <v>0</v>
      </c>
      <c r="M3288">
        <v>299</v>
      </c>
      <c r="N3288">
        <v>27112.18</v>
      </c>
      <c r="O3288">
        <v>90.68</v>
      </c>
    </row>
    <row r="3289" spans="1:15" x14ac:dyDescent="0.35">
      <c r="A3289" t="s">
        <v>3712</v>
      </c>
      <c r="B3289" t="s">
        <v>187</v>
      </c>
      <c r="C3289" t="s">
        <v>1184</v>
      </c>
      <c r="D3289" t="s">
        <v>348</v>
      </c>
      <c r="E3289" t="s">
        <v>349</v>
      </c>
      <c r="F3289" t="s">
        <v>3752</v>
      </c>
      <c r="G3289">
        <v>399</v>
      </c>
      <c r="H3289">
        <v>41418.909999999996</v>
      </c>
      <c r="I3289">
        <v>116.02</v>
      </c>
      <c r="J3289">
        <v>0</v>
      </c>
      <c r="K3289">
        <v>0</v>
      </c>
      <c r="L3289">
        <v>0</v>
      </c>
      <c r="M3289">
        <v>399</v>
      </c>
      <c r="N3289">
        <v>41418.909999999996</v>
      </c>
      <c r="O3289">
        <v>116.02</v>
      </c>
    </row>
    <row r="3290" spans="1:15" x14ac:dyDescent="0.35">
      <c r="A3290" t="s">
        <v>3753</v>
      </c>
      <c r="B3290" t="s">
        <v>204</v>
      </c>
      <c r="C3290" t="s">
        <v>1184</v>
      </c>
      <c r="D3290" t="s">
        <v>293</v>
      </c>
      <c r="E3290" t="s">
        <v>294</v>
      </c>
      <c r="F3290" t="s">
        <v>3754</v>
      </c>
      <c r="G3290">
        <v>78</v>
      </c>
      <c r="H3290">
        <v>9321.8500000000022</v>
      </c>
      <c r="I3290">
        <v>119.51</v>
      </c>
      <c r="J3290">
        <v>0</v>
      </c>
      <c r="K3290">
        <v>0</v>
      </c>
      <c r="L3290">
        <v>0</v>
      </c>
      <c r="M3290">
        <v>78</v>
      </c>
      <c r="N3290">
        <v>9321.8500000000022</v>
      </c>
      <c r="O3290">
        <v>119.51</v>
      </c>
    </row>
    <row r="3291" spans="1:15" x14ac:dyDescent="0.35">
      <c r="A3291" t="s">
        <v>3753</v>
      </c>
      <c r="B3291" t="s">
        <v>204</v>
      </c>
      <c r="C3291" t="s">
        <v>1184</v>
      </c>
      <c r="D3291" t="s">
        <v>293</v>
      </c>
      <c r="E3291" t="s">
        <v>296</v>
      </c>
      <c r="F3291" t="s">
        <v>3755</v>
      </c>
      <c r="G3291">
        <v>146</v>
      </c>
      <c r="H3291">
        <v>20838.189999999999</v>
      </c>
      <c r="I3291">
        <v>142.72999999999999</v>
      </c>
      <c r="J3291">
        <v>0</v>
      </c>
      <c r="K3291">
        <v>0</v>
      </c>
      <c r="L3291">
        <v>0</v>
      </c>
      <c r="M3291">
        <v>146</v>
      </c>
      <c r="N3291">
        <v>20838.189999999999</v>
      </c>
      <c r="O3291">
        <v>142.72999999999999</v>
      </c>
    </row>
    <row r="3292" spans="1:15" x14ac:dyDescent="0.35">
      <c r="A3292" t="s">
        <v>3753</v>
      </c>
      <c r="B3292" t="s">
        <v>204</v>
      </c>
      <c r="C3292" t="s">
        <v>1184</v>
      </c>
      <c r="D3292" t="s">
        <v>293</v>
      </c>
      <c r="E3292" t="s">
        <v>298</v>
      </c>
      <c r="F3292" t="s">
        <v>3756</v>
      </c>
      <c r="G3292">
        <v>95</v>
      </c>
      <c r="H3292">
        <v>16035.580000000002</v>
      </c>
      <c r="I3292">
        <v>168.8</v>
      </c>
      <c r="J3292">
        <v>0</v>
      </c>
      <c r="K3292">
        <v>0</v>
      </c>
      <c r="L3292">
        <v>0</v>
      </c>
      <c r="M3292">
        <v>95</v>
      </c>
      <c r="N3292">
        <v>16035.580000000002</v>
      </c>
      <c r="O3292">
        <v>168.8</v>
      </c>
    </row>
    <row r="3293" spans="1:15" x14ac:dyDescent="0.35">
      <c r="A3293" t="s">
        <v>3753</v>
      </c>
      <c r="B3293" t="s">
        <v>204</v>
      </c>
      <c r="C3293" t="s">
        <v>1184</v>
      </c>
      <c r="D3293" t="s">
        <v>293</v>
      </c>
      <c r="E3293" t="s">
        <v>300</v>
      </c>
      <c r="F3293" t="s">
        <v>3757</v>
      </c>
      <c r="G3293">
        <v>7</v>
      </c>
      <c r="H3293">
        <v>1581.5500000000002</v>
      </c>
      <c r="I3293">
        <v>225.94</v>
      </c>
      <c r="J3293">
        <v>0</v>
      </c>
      <c r="K3293">
        <v>0</v>
      </c>
      <c r="L3293">
        <v>0</v>
      </c>
      <c r="M3293">
        <v>7</v>
      </c>
      <c r="N3293">
        <v>1581.5500000000002</v>
      </c>
      <c r="O3293">
        <v>225.94</v>
      </c>
    </row>
    <row r="3294" spans="1:15" x14ac:dyDescent="0.35">
      <c r="A3294" t="s">
        <v>3753</v>
      </c>
      <c r="B3294" t="s">
        <v>204</v>
      </c>
      <c r="C3294" t="s">
        <v>1184</v>
      </c>
      <c r="D3294" t="s">
        <v>293</v>
      </c>
      <c r="E3294" t="s">
        <v>302</v>
      </c>
      <c r="F3294" t="s">
        <v>3758</v>
      </c>
      <c r="G3294">
        <v>0</v>
      </c>
      <c r="H3294">
        <v>0</v>
      </c>
      <c r="I3294">
        <v>0</v>
      </c>
      <c r="J3294">
        <v>0</v>
      </c>
      <c r="K3294">
        <v>0</v>
      </c>
      <c r="L3294">
        <v>0</v>
      </c>
      <c r="M3294">
        <v>0</v>
      </c>
      <c r="N3294">
        <v>0</v>
      </c>
      <c r="O3294">
        <v>0</v>
      </c>
    </row>
    <row r="3295" spans="1:15" x14ac:dyDescent="0.35">
      <c r="A3295" t="s">
        <v>3753</v>
      </c>
      <c r="B3295" t="s">
        <v>204</v>
      </c>
      <c r="C3295" t="s">
        <v>1184</v>
      </c>
      <c r="D3295" t="s">
        <v>293</v>
      </c>
      <c r="E3295" t="s">
        <v>304</v>
      </c>
      <c r="F3295" t="s">
        <v>3759</v>
      </c>
      <c r="G3295">
        <v>0</v>
      </c>
      <c r="H3295">
        <v>0</v>
      </c>
      <c r="I3295">
        <v>0</v>
      </c>
      <c r="J3295">
        <v>0</v>
      </c>
      <c r="K3295">
        <v>0</v>
      </c>
      <c r="L3295">
        <v>0</v>
      </c>
      <c r="M3295">
        <v>0</v>
      </c>
      <c r="N3295">
        <v>0</v>
      </c>
      <c r="O3295">
        <v>0</v>
      </c>
    </row>
    <row r="3296" spans="1:15" x14ac:dyDescent="0.35">
      <c r="A3296" t="s">
        <v>3753</v>
      </c>
      <c r="B3296" t="s">
        <v>204</v>
      </c>
      <c r="C3296" t="s">
        <v>1184</v>
      </c>
      <c r="D3296" t="s">
        <v>293</v>
      </c>
      <c r="E3296" t="s">
        <v>306</v>
      </c>
      <c r="F3296" t="s">
        <v>3760</v>
      </c>
      <c r="G3296">
        <v>0</v>
      </c>
      <c r="H3296">
        <v>0</v>
      </c>
      <c r="I3296">
        <v>0</v>
      </c>
      <c r="J3296">
        <v>0</v>
      </c>
      <c r="K3296">
        <v>0</v>
      </c>
      <c r="L3296">
        <v>0</v>
      </c>
      <c r="M3296">
        <v>0</v>
      </c>
      <c r="N3296">
        <v>0</v>
      </c>
      <c r="O3296">
        <v>0</v>
      </c>
    </row>
    <row r="3297" spans="1:15" x14ac:dyDescent="0.35">
      <c r="A3297" t="s">
        <v>3753</v>
      </c>
      <c r="B3297" t="s">
        <v>204</v>
      </c>
      <c r="C3297" t="s">
        <v>1184</v>
      </c>
      <c r="D3297" t="s">
        <v>293</v>
      </c>
      <c r="E3297" t="s">
        <v>308</v>
      </c>
      <c r="F3297" t="s">
        <v>3761</v>
      </c>
      <c r="G3297">
        <v>0</v>
      </c>
      <c r="H3297">
        <v>0</v>
      </c>
      <c r="I3297">
        <v>0</v>
      </c>
      <c r="J3297">
        <v>0</v>
      </c>
      <c r="K3297">
        <v>0</v>
      </c>
      <c r="L3297">
        <v>0</v>
      </c>
      <c r="M3297">
        <v>0</v>
      </c>
      <c r="N3297">
        <v>0</v>
      </c>
      <c r="O3297">
        <v>0</v>
      </c>
    </row>
    <row r="3298" spans="1:15" x14ac:dyDescent="0.35">
      <c r="A3298" t="s">
        <v>3753</v>
      </c>
      <c r="B3298" t="s">
        <v>204</v>
      </c>
      <c r="C3298" t="s">
        <v>1184</v>
      </c>
      <c r="D3298" t="s">
        <v>293</v>
      </c>
      <c r="E3298" t="s">
        <v>310</v>
      </c>
      <c r="F3298" t="s">
        <v>3762</v>
      </c>
      <c r="G3298">
        <v>326</v>
      </c>
      <c r="H3298">
        <v>47777.170000000006</v>
      </c>
      <c r="I3298">
        <v>146.56</v>
      </c>
      <c r="J3298">
        <v>0</v>
      </c>
      <c r="K3298">
        <v>0</v>
      </c>
      <c r="L3298">
        <v>0</v>
      </c>
      <c r="M3298">
        <v>326</v>
      </c>
      <c r="N3298">
        <v>47777.170000000006</v>
      </c>
      <c r="O3298">
        <v>146.56</v>
      </c>
    </row>
    <row r="3299" spans="1:15" x14ac:dyDescent="0.35">
      <c r="A3299" t="s">
        <v>3753</v>
      </c>
      <c r="B3299" t="s">
        <v>204</v>
      </c>
      <c r="C3299" t="s">
        <v>1184</v>
      </c>
      <c r="D3299" t="s">
        <v>293</v>
      </c>
      <c r="E3299" t="s">
        <v>312</v>
      </c>
      <c r="F3299" t="s">
        <v>3763</v>
      </c>
      <c r="G3299">
        <v>326</v>
      </c>
      <c r="H3299">
        <v>47777.170000000006</v>
      </c>
      <c r="I3299">
        <v>146.56</v>
      </c>
      <c r="J3299">
        <v>0</v>
      </c>
      <c r="K3299">
        <v>0</v>
      </c>
      <c r="L3299">
        <v>0</v>
      </c>
      <c r="M3299">
        <v>326</v>
      </c>
      <c r="N3299">
        <v>47777.170000000006</v>
      </c>
      <c r="O3299">
        <v>146.56</v>
      </c>
    </row>
    <row r="3300" spans="1:15" x14ac:dyDescent="0.35">
      <c r="A3300" t="s">
        <v>3753</v>
      </c>
      <c r="B3300" t="s">
        <v>204</v>
      </c>
      <c r="C3300" t="s">
        <v>1184</v>
      </c>
      <c r="D3300" t="s">
        <v>314</v>
      </c>
      <c r="E3300" t="s">
        <v>294</v>
      </c>
      <c r="F3300" t="s">
        <v>3764</v>
      </c>
      <c r="G3300">
        <v>0</v>
      </c>
      <c r="H3300">
        <v>0</v>
      </c>
      <c r="I3300">
        <v>0</v>
      </c>
      <c r="J3300">
        <v>0</v>
      </c>
      <c r="K3300">
        <v>0</v>
      </c>
      <c r="L3300">
        <v>0</v>
      </c>
      <c r="M3300">
        <v>0</v>
      </c>
      <c r="N3300">
        <v>0</v>
      </c>
      <c r="O3300">
        <v>0</v>
      </c>
    </row>
    <row r="3301" spans="1:15" x14ac:dyDescent="0.35">
      <c r="A3301" t="s">
        <v>3753</v>
      </c>
      <c r="B3301" t="s">
        <v>204</v>
      </c>
      <c r="C3301" t="s">
        <v>1184</v>
      </c>
      <c r="D3301" t="s">
        <v>314</v>
      </c>
      <c r="E3301" t="s">
        <v>296</v>
      </c>
      <c r="F3301" t="s">
        <v>3765</v>
      </c>
      <c r="G3301">
        <v>0</v>
      </c>
      <c r="H3301">
        <v>0</v>
      </c>
      <c r="I3301">
        <v>0</v>
      </c>
      <c r="J3301">
        <v>0</v>
      </c>
      <c r="K3301">
        <v>0</v>
      </c>
      <c r="L3301">
        <v>0</v>
      </c>
      <c r="M3301">
        <v>0</v>
      </c>
      <c r="N3301">
        <v>0</v>
      </c>
      <c r="O3301">
        <v>0</v>
      </c>
    </row>
    <row r="3302" spans="1:15" x14ac:dyDescent="0.35">
      <c r="A3302" t="s">
        <v>3753</v>
      </c>
      <c r="B3302" t="s">
        <v>204</v>
      </c>
      <c r="C3302" t="s">
        <v>1184</v>
      </c>
      <c r="D3302" t="s">
        <v>314</v>
      </c>
      <c r="E3302" t="s">
        <v>298</v>
      </c>
      <c r="F3302" t="s">
        <v>3766</v>
      </c>
      <c r="G3302">
        <v>0</v>
      </c>
      <c r="H3302">
        <v>0</v>
      </c>
      <c r="I3302">
        <v>0</v>
      </c>
      <c r="J3302">
        <v>0</v>
      </c>
      <c r="K3302">
        <v>0</v>
      </c>
      <c r="L3302">
        <v>0</v>
      </c>
      <c r="M3302">
        <v>0</v>
      </c>
      <c r="N3302">
        <v>0</v>
      </c>
      <c r="O3302">
        <v>0</v>
      </c>
    </row>
    <row r="3303" spans="1:15" x14ac:dyDescent="0.35">
      <c r="A3303" t="s">
        <v>3753</v>
      </c>
      <c r="B3303" t="s">
        <v>204</v>
      </c>
      <c r="C3303" t="s">
        <v>1184</v>
      </c>
      <c r="D3303" t="s">
        <v>314</v>
      </c>
      <c r="E3303" t="s">
        <v>300</v>
      </c>
      <c r="F3303" t="s">
        <v>3767</v>
      </c>
      <c r="G3303">
        <v>0</v>
      </c>
      <c r="H3303">
        <v>0</v>
      </c>
      <c r="I3303">
        <v>0</v>
      </c>
      <c r="J3303">
        <v>0</v>
      </c>
      <c r="K3303">
        <v>0</v>
      </c>
      <c r="L3303">
        <v>0</v>
      </c>
      <c r="M3303">
        <v>0</v>
      </c>
      <c r="N3303">
        <v>0</v>
      </c>
      <c r="O3303">
        <v>0</v>
      </c>
    </row>
    <row r="3304" spans="1:15" x14ac:dyDescent="0.35">
      <c r="A3304" t="s">
        <v>3753</v>
      </c>
      <c r="B3304" t="s">
        <v>204</v>
      </c>
      <c r="C3304" t="s">
        <v>1184</v>
      </c>
      <c r="D3304" t="s">
        <v>314</v>
      </c>
      <c r="E3304" t="s">
        <v>306</v>
      </c>
      <c r="F3304" t="s">
        <v>3768</v>
      </c>
      <c r="G3304">
        <v>0</v>
      </c>
      <c r="H3304">
        <v>0</v>
      </c>
      <c r="I3304">
        <v>0</v>
      </c>
      <c r="J3304">
        <v>0</v>
      </c>
      <c r="K3304">
        <v>0</v>
      </c>
      <c r="L3304">
        <v>0</v>
      </c>
      <c r="M3304">
        <v>0</v>
      </c>
      <c r="N3304">
        <v>0</v>
      </c>
      <c r="O3304">
        <v>0</v>
      </c>
    </row>
    <row r="3305" spans="1:15" x14ac:dyDescent="0.35">
      <c r="A3305" t="s">
        <v>3753</v>
      </c>
      <c r="B3305" t="s">
        <v>204</v>
      </c>
      <c r="C3305" t="s">
        <v>1184</v>
      </c>
      <c r="D3305" t="s">
        <v>314</v>
      </c>
      <c r="E3305" t="s">
        <v>308</v>
      </c>
      <c r="F3305" t="s">
        <v>3769</v>
      </c>
      <c r="G3305">
        <v>0</v>
      </c>
      <c r="H3305">
        <v>0</v>
      </c>
      <c r="I3305">
        <v>0</v>
      </c>
      <c r="J3305">
        <v>0</v>
      </c>
      <c r="K3305">
        <v>0</v>
      </c>
      <c r="L3305">
        <v>0</v>
      </c>
      <c r="M3305">
        <v>0</v>
      </c>
      <c r="N3305">
        <v>0</v>
      </c>
      <c r="O3305">
        <v>0</v>
      </c>
    </row>
    <row r="3306" spans="1:15" x14ac:dyDescent="0.35">
      <c r="A3306" t="s">
        <v>3753</v>
      </c>
      <c r="B3306" t="s">
        <v>204</v>
      </c>
      <c r="C3306" t="s">
        <v>1184</v>
      </c>
      <c r="D3306" t="s">
        <v>314</v>
      </c>
      <c r="E3306" t="s">
        <v>312</v>
      </c>
      <c r="F3306" t="s">
        <v>3770</v>
      </c>
      <c r="G3306">
        <v>0</v>
      </c>
      <c r="H3306">
        <v>0</v>
      </c>
      <c r="I3306">
        <v>0</v>
      </c>
      <c r="J3306">
        <v>0</v>
      </c>
      <c r="K3306">
        <v>0</v>
      </c>
      <c r="L3306">
        <v>0</v>
      </c>
      <c r="M3306">
        <v>0</v>
      </c>
      <c r="N3306">
        <v>0</v>
      </c>
      <c r="O3306">
        <v>0</v>
      </c>
    </row>
    <row r="3307" spans="1:15" x14ac:dyDescent="0.35">
      <c r="A3307" t="s">
        <v>3753</v>
      </c>
      <c r="B3307" t="s">
        <v>204</v>
      </c>
      <c r="C3307" t="s">
        <v>1184</v>
      </c>
      <c r="D3307" t="s">
        <v>314</v>
      </c>
      <c r="E3307" t="s">
        <v>310</v>
      </c>
      <c r="F3307" t="s">
        <v>3771</v>
      </c>
      <c r="G3307">
        <v>0</v>
      </c>
      <c r="H3307">
        <v>0</v>
      </c>
      <c r="I3307">
        <v>0</v>
      </c>
      <c r="J3307">
        <v>0</v>
      </c>
      <c r="K3307">
        <v>0</v>
      </c>
      <c r="L3307">
        <v>0</v>
      </c>
      <c r="M3307">
        <v>0</v>
      </c>
      <c r="N3307">
        <v>0</v>
      </c>
      <c r="O3307">
        <v>0</v>
      </c>
    </row>
    <row r="3308" spans="1:15" x14ac:dyDescent="0.35">
      <c r="A3308" t="s">
        <v>3753</v>
      </c>
      <c r="B3308" t="s">
        <v>204</v>
      </c>
      <c r="C3308" t="s">
        <v>1184</v>
      </c>
      <c r="D3308" t="s">
        <v>323</v>
      </c>
      <c r="E3308" t="s">
        <v>294</v>
      </c>
      <c r="F3308" t="s">
        <v>3772</v>
      </c>
      <c r="G3308">
        <v>501</v>
      </c>
      <c r="H3308">
        <v>44615.359999999993</v>
      </c>
      <c r="I3308">
        <v>89.05</v>
      </c>
      <c r="J3308">
        <v>0</v>
      </c>
      <c r="K3308">
        <v>0</v>
      </c>
      <c r="L3308">
        <v>0</v>
      </c>
      <c r="M3308">
        <v>501</v>
      </c>
      <c r="N3308">
        <v>44615.359999999993</v>
      </c>
      <c r="O3308">
        <v>89.05</v>
      </c>
    </row>
    <row r="3309" spans="1:15" x14ac:dyDescent="0.35">
      <c r="A3309" t="s">
        <v>3753</v>
      </c>
      <c r="B3309" t="s">
        <v>204</v>
      </c>
      <c r="C3309" t="s">
        <v>1184</v>
      </c>
      <c r="D3309" t="s">
        <v>323</v>
      </c>
      <c r="E3309" t="s">
        <v>296</v>
      </c>
      <c r="F3309" t="s">
        <v>3773</v>
      </c>
      <c r="G3309">
        <v>762</v>
      </c>
      <c r="H3309">
        <v>80377.139999999985</v>
      </c>
      <c r="I3309">
        <v>105.48</v>
      </c>
      <c r="J3309">
        <v>3</v>
      </c>
      <c r="K3309">
        <v>671.25</v>
      </c>
      <c r="L3309">
        <v>223.75</v>
      </c>
      <c r="M3309">
        <v>765</v>
      </c>
      <c r="N3309">
        <v>81048.389999999985</v>
      </c>
      <c r="O3309">
        <v>105.95</v>
      </c>
    </row>
    <row r="3310" spans="1:15" x14ac:dyDescent="0.35">
      <c r="A3310" t="s">
        <v>3753</v>
      </c>
      <c r="B3310" t="s">
        <v>204</v>
      </c>
      <c r="C3310" t="s">
        <v>1184</v>
      </c>
      <c r="D3310" t="s">
        <v>323</v>
      </c>
      <c r="E3310" t="s">
        <v>298</v>
      </c>
      <c r="F3310" t="s">
        <v>3774</v>
      </c>
      <c r="G3310">
        <v>653</v>
      </c>
      <c r="H3310">
        <v>77378.11</v>
      </c>
      <c r="I3310">
        <v>118.5</v>
      </c>
      <c r="J3310">
        <v>5</v>
      </c>
      <c r="K3310">
        <v>1274.0999999999999</v>
      </c>
      <c r="L3310">
        <v>254.82</v>
      </c>
      <c r="M3310">
        <v>658</v>
      </c>
      <c r="N3310">
        <v>78652.210000000006</v>
      </c>
      <c r="O3310">
        <v>119.53</v>
      </c>
    </row>
    <row r="3311" spans="1:15" x14ac:dyDescent="0.35">
      <c r="A3311" t="s">
        <v>3753</v>
      </c>
      <c r="B3311" t="s">
        <v>204</v>
      </c>
      <c r="C3311" t="s">
        <v>1184</v>
      </c>
      <c r="D3311" t="s">
        <v>323</v>
      </c>
      <c r="E3311" t="s">
        <v>300</v>
      </c>
      <c r="F3311" t="s">
        <v>3775</v>
      </c>
      <c r="G3311">
        <v>33</v>
      </c>
      <c r="H3311">
        <v>4690.62</v>
      </c>
      <c r="I3311">
        <v>142.13999999999999</v>
      </c>
      <c r="J3311">
        <v>1</v>
      </c>
      <c r="K3311">
        <v>349.18</v>
      </c>
      <c r="L3311">
        <v>349.18</v>
      </c>
      <c r="M3311">
        <v>34</v>
      </c>
      <c r="N3311">
        <v>5039.8</v>
      </c>
      <c r="O3311">
        <v>148.22999999999999</v>
      </c>
    </row>
    <row r="3312" spans="1:15" x14ac:dyDescent="0.35">
      <c r="A3312" t="s">
        <v>3753</v>
      </c>
      <c r="B3312" t="s">
        <v>204</v>
      </c>
      <c r="C3312" t="s">
        <v>1184</v>
      </c>
      <c r="D3312" t="s">
        <v>323</v>
      </c>
      <c r="E3312" t="s">
        <v>302</v>
      </c>
      <c r="F3312" t="s">
        <v>3776</v>
      </c>
      <c r="G3312">
        <v>3</v>
      </c>
      <c r="H3312">
        <v>482.07</v>
      </c>
      <c r="I3312">
        <v>160.69</v>
      </c>
      <c r="J3312">
        <v>0</v>
      </c>
      <c r="K3312">
        <v>0</v>
      </c>
      <c r="L3312">
        <v>0</v>
      </c>
      <c r="M3312">
        <v>3</v>
      </c>
      <c r="N3312">
        <v>482.07</v>
      </c>
      <c r="O3312">
        <v>160.69</v>
      </c>
    </row>
    <row r="3313" spans="1:15" x14ac:dyDescent="0.35">
      <c r="A3313" t="s">
        <v>3753</v>
      </c>
      <c r="B3313" t="s">
        <v>204</v>
      </c>
      <c r="C3313" t="s">
        <v>1184</v>
      </c>
      <c r="D3313" t="s">
        <v>323</v>
      </c>
      <c r="E3313" t="s">
        <v>304</v>
      </c>
      <c r="F3313" t="s">
        <v>3777</v>
      </c>
      <c r="G3313">
        <v>0</v>
      </c>
      <c r="H3313">
        <v>0</v>
      </c>
      <c r="I3313">
        <v>0</v>
      </c>
      <c r="J3313">
        <v>0</v>
      </c>
      <c r="K3313">
        <v>0</v>
      </c>
      <c r="L3313">
        <v>0</v>
      </c>
      <c r="M3313">
        <v>0</v>
      </c>
      <c r="N3313">
        <v>0</v>
      </c>
      <c r="O3313">
        <v>0</v>
      </c>
    </row>
    <row r="3314" spans="1:15" x14ac:dyDescent="0.35">
      <c r="A3314" t="s">
        <v>3753</v>
      </c>
      <c r="B3314" t="s">
        <v>204</v>
      </c>
      <c r="C3314" t="s">
        <v>1184</v>
      </c>
      <c r="D3314" t="s">
        <v>323</v>
      </c>
      <c r="E3314" t="s">
        <v>306</v>
      </c>
      <c r="F3314" t="s">
        <v>3778</v>
      </c>
      <c r="G3314">
        <v>0</v>
      </c>
      <c r="H3314">
        <v>0</v>
      </c>
      <c r="I3314">
        <v>0</v>
      </c>
      <c r="J3314">
        <v>0</v>
      </c>
      <c r="K3314">
        <v>0</v>
      </c>
      <c r="L3314">
        <v>0</v>
      </c>
      <c r="M3314">
        <v>0</v>
      </c>
      <c r="N3314">
        <v>0</v>
      </c>
      <c r="O3314">
        <v>0</v>
      </c>
    </row>
    <row r="3315" spans="1:15" x14ac:dyDescent="0.35">
      <c r="A3315" t="s">
        <v>3753</v>
      </c>
      <c r="B3315" t="s">
        <v>204</v>
      </c>
      <c r="C3315" t="s">
        <v>1184</v>
      </c>
      <c r="D3315" t="s">
        <v>323</v>
      </c>
      <c r="E3315" t="s">
        <v>308</v>
      </c>
      <c r="F3315" t="s">
        <v>3779</v>
      </c>
      <c r="G3315">
        <v>2</v>
      </c>
      <c r="H3315">
        <v>154.4</v>
      </c>
      <c r="I3315">
        <v>77.2</v>
      </c>
      <c r="J3315">
        <v>0</v>
      </c>
      <c r="K3315">
        <v>0</v>
      </c>
      <c r="L3315">
        <v>0</v>
      </c>
      <c r="M3315">
        <v>2</v>
      </c>
      <c r="N3315">
        <v>154.4</v>
      </c>
      <c r="O3315">
        <v>77.2</v>
      </c>
    </row>
    <row r="3316" spans="1:15" x14ac:dyDescent="0.35">
      <c r="A3316" t="s">
        <v>3753</v>
      </c>
      <c r="B3316" t="s">
        <v>204</v>
      </c>
      <c r="C3316" t="s">
        <v>1184</v>
      </c>
      <c r="D3316" t="s">
        <v>323</v>
      </c>
      <c r="E3316" t="s">
        <v>310</v>
      </c>
      <c r="F3316" t="s">
        <v>3780</v>
      </c>
      <c r="G3316">
        <v>1954</v>
      </c>
      <c r="H3316">
        <v>207697.69999999998</v>
      </c>
      <c r="I3316">
        <v>106.29</v>
      </c>
      <c r="J3316">
        <v>9</v>
      </c>
      <c r="K3316">
        <v>2294.5299999999997</v>
      </c>
      <c r="L3316">
        <v>254.95</v>
      </c>
      <c r="M3316">
        <v>1963</v>
      </c>
      <c r="N3316">
        <v>209992.22999999998</v>
      </c>
      <c r="O3316">
        <v>106.98</v>
      </c>
    </row>
    <row r="3317" spans="1:15" x14ac:dyDescent="0.35">
      <c r="A3317" t="s">
        <v>3753</v>
      </c>
      <c r="B3317" t="s">
        <v>204</v>
      </c>
      <c r="C3317" t="s">
        <v>1184</v>
      </c>
      <c r="D3317" t="s">
        <v>323</v>
      </c>
      <c r="E3317" t="s">
        <v>312</v>
      </c>
      <c r="F3317" t="s">
        <v>3781</v>
      </c>
      <c r="G3317">
        <v>1952</v>
      </c>
      <c r="H3317">
        <v>207543.3</v>
      </c>
      <c r="I3317">
        <v>106.32</v>
      </c>
      <c r="J3317">
        <v>9</v>
      </c>
      <c r="K3317">
        <v>2294.5299999999997</v>
      </c>
      <c r="L3317">
        <v>254.95</v>
      </c>
      <c r="M3317">
        <v>1961</v>
      </c>
      <c r="N3317">
        <v>209837.83</v>
      </c>
      <c r="O3317">
        <v>107.01</v>
      </c>
    </row>
    <row r="3318" spans="1:15" x14ac:dyDescent="0.35">
      <c r="A3318" t="s">
        <v>3753</v>
      </c>
      <c r="B3318" t="s">
        <v>204</v>
      </c>
      <c r="C3318" t="s">
        <v>1184</v>
      </c>
      <c r="D3318" t="s">
        <v>334</v>
      </c>
      <c r="E3318" t="s">
        <v>312</v>
      </c>
      <c r="F3318" t="s">
        <v>3782</v>
      </c>
      <c r="G3318">
        <v>2314</v>
      </c>
      <c r="H3318">
        <v>255320.46999999997</v>
      </c>
      <c r="I3318">
        <v>112.08</v>
      </c>
      <c r="J3318">
        <v>9</v>
      </c>
      <c r="K3318">
        <v>2294.5299999999997</v>
      </c>
      <c r="L3318">
        <v>254.95</v>
      </c>
      <c r="M3318">
        <v>2323</v>
      </c>
      <c r="N3318">
        <v>257614.99999999997</v>
      </c>
      <c r="O3318">
        <v>112.64</v>
      </c>
    </row>
    <row r="3319" spans="1:15" x14ac:dyDescent="0.35">
      <c r="A3319" t="s">
        <v>3753</v>
      </c>
      <c r="B3319" t="s">
        <v>204</v>
      </c>
      <c r="C3319" t="s">
        <v>1184</v>
      </c>
      <c r="D3319" t="s">
        <v>334</v>
      </c>
      <c r="E3319" t="s">
        <v>308</v>
      </c>
      <c r="F3319" t="s">
        <v>3783</v>
      </c>
      <c r="G3319">
        <v>2</v>
      </c>
      <c r="H3319">
        <v>154.4</v>
      </c>
      <c r="I3319">
        <v>77.2</v>
      </c>
      <c r="J3319">
        <v>0</v>
      </c>
      <c r="K3319">
        <v>0</v>
      </c>
      <c r="L3319">
        <v>0</v>
      </c>
      <c r="M3319">
        <v>2</v>
      </c>
      <c r="N3319">
        <v>154.4</v>
      </c>
      <c r="O3319">
        <v>77.2</v>
      </c>
    </row>
    <row r="3320" spans="1:15" x14ac:dyDescent="0.35">
      <c r="A3320" t="s">
        <v>3753</v>
      </c>
      <c r="B3320" t="s">
        <v>204</v>
      </c>
      <c r="C3320" t="s">
        <v>1184</v>
      </c>
      <c r="D3320" t="s">
        <v>337</v>
      </c>
      <c r="E3320" t="s">
        <v>337</v>
      </c>
      <c r="F3320" t="s">
        <v>3784</v>
      </c>
      <c r="G3320">
        <v>205</v>
      </c>
      <c r="J3320">
        <v>0</v>
      </c>
      <c r="M3320">
        <v>205</v>
      </c>
    </row>
    <row r="3321" spans="1:15" x14ac:dyDescent="0.35">
      <c r="A3321" t="s">
        <v>3753</v>
      </c>
      <c r="B3321" t="s">
        <v>204</v>
      </c>
      <c r="C3321" t="s">
        <v>1184</v>
      </c>
      <c r="D3321" t="s">
        <v>339</v>
      </c>
      <c r="E3321" t="s">
        <v>294</v>
      </c>
      <c r="F3321" t="s">
        <v>3785</v>
      </c>
      <c r="G3321">
        <v>223</v>
      </c>
      <c r="H3321">
        <v>21470.58</v>
      </c>
      <c r="I3321">
        <v>96.28</v>
      </c>
      <c r="J3321">
        <v>0</v>
      </c>
      <c r="K3321">
        <v>0</v>
      </c>
      <c r="L3321">
        <v>0</v>
      </c>
      <c r="M3321">
        <v>223</v>
      </c>
      <c r="N3321">
        <v>21470.58</v>
      </c>
      <c r="O3321">
        <v>96.28</v>
      </c>
    </row>
    <row r="3322" spans="1:15" x14ac:dyDescent="0.35">
      <c r="A3322" t="s">
        <v>3753</v>
      </c>
      <c r="B3322" t="s">
        <v>204</v>
      </c>
      <c r="C3322" t="s">
        <v>1184</v>
      </c>
      <c r="D3322" t="s">
        <v>339</v>
      </c>
      <c r="E3322" t="s">
        <v>296</v>
      </c>
      <c r="F3322" t="s">
        <v>3786</v>
      </c>
      <c r="G3322">
        <v>48</v>
      </c>
      <c r="H3322">
        <v>5563.9</v>
      </c>
      <c r="I3322">
        <v>115.91</v>
      </c>
      <c r="J3322">
        <v>0</v>
      </c>
      <c r="K3322">
        <v>0</v>
      </c>
      <c r="L3322">
        <v>0</v>
      </c>
      <c r="M3322">
        <v>48</v>
      </c>
      <c r="N3322">
        <v>5563.9</v>
      </c>
      <c r="O3322">
        <v>115.91</v>
      </c>
    </row>
    <row r="3323" spans="1:15" x14ac:dyDescent="0.35">
      <c r="A3323" t="s">
        <v>3753</v>
      </c>
      <c r="B3323" t="s">
        <v>204</v>
      </c>
      <c r="C3323" t="s">
        <v>1184</v>
      </c>
      <c r="D3323" t="s">
        <v>339</v>
      </c>
      <c r="E3323" t="s">
        <v>298</v>
      </c>
      <c r="F3323" t="s">
        <v>3787</v>
      </c>
      <c r="G3323">
        <v>0</v>
      </c>
      <c r="H3323">
        <v>0</v>
      </c>
      <c r="I3323">
        <v>0</v>
      </c>
      <c r="J3323">
        <v>0</v>
      </c>
      <c r="K3323">
        <v>0</v>
      </c>
      <c r="L3323">
        <v>0</v>
      </c>
      <c r="M3323">
        <v>0</v>
      </c>
      <c r="N3323">
        <v>0</v>
      </c>
      <c r="O3323">
        <v>0</v>
      </c>
    </row>
    <row r="3324" spans="1:15" x14ac:dyDescent="0.35">
      <c r="A3324" t="s">
        <v>3753</v>
      </c>
      <c r="B3324" t="s">
        <v>204</v>
      </c>
      <c r="C3324" t="s">
        <v>1184</v>
      </c>
      <c r="D3324" t="s">
        <v>339</v>
      </c>
      <c r="E3324" t="s">
        <v>300</v>
      </c>
      <c r="F3324" t="s">
        <v>3788</v>
      </c>
      <c r="G3324">
        <v>0</v>
      </c>
      <c r="H3324">
        <v>0</v>
      </c>
      <c r="I3324">
        <v>0</v>
      </c>
      <c r="J3324">
        <v>0</v>
      </c>
      <c r="K3324">
        <v>0</v>
      </c>
      <c r="L3324">
        <v>0</v>
      </c>
      <c r="M3324">
        <v>0</v>
      </c>
      <c r="N3324">
        <v>0</v>
      </c>
      <c r="O3324">
        <v>0</v>
      </c>
    </row>
    <row r="3325" spans="1:15" x14ac:dyDescent="0.35">
      <c r="A3325" t="s">
        <v>3753</v>
      </c>
      <c r="B3325" t="s">
        <v>204</v>
      </c>
      <c r="C3325" t="s">
        <v>1184</v>
      </c>
      <c r="D3325" t="s">
        <v>339</v>
      </c>
      <c r="E3325" t="s">
        <v>306</v>
      </c>
      <c r="F3325" t="s">
        <v>3789</v>
      </c>
      <c r="G3325">
        <v>7</v>
      </c>
      <c r="H3325">
        <v>584.07999999999993</v>
      </c>
      <c r="I3325">
        <v>83.44</v>
      </c>
      <c r="J3325">
        <v>0</v>
      </c>
      <c r="K3325">
        <v>0</v>
      </c>
      <c r="L3325">
        <v>0</v>
      </c>
      <c r="M3325">
        <v>7</v>
      </c>
      <c r="N3325">
        <v>584.07999999999993</v>
      </c>
      <c r="O3325">
        <v>83.44</v>
      </c>
    </row>
    <row r="3326" spans="1:15" x14ac:dyDescent="0.35">
      <c r="A3326" t="s">
        <v>3753</v>
      </c>
      <c r="B3326" t="s">
        <v>204</v>
      </c>
      <c r="C3326" t="s">
        <v>1184</v>
      </c>
      <c r="D3326" t="s">
        <v>339</v>
      </c>
      <c r="E3326" t="s">
        <v>308</v>
      </c>
      <c r="F3326" t="s">
        <v>3790</v>
      </c>
      <c r="G3326">
        <v>8</v>
      </c>
      <c r="H3326">
        <v>1014.06</v>
      </c>
      <c r="I3326">
        <v>126.76</v>
      </c>
      <c r="J3326">
        <v>0</v>
      </c>
      <c r="K3326">
        <v>0</v>
      </c>
      <c r="L3326">
        <v>0</v>
      </c>
      <c r="M3326">
        <v>8</v>
      </c>
      <c r="N3326">
        <v>1014.06</v>
      </c>
      <c r="O3326">
        <v>126.76</v>
      </c>
    </row>
    <row r="3327" spans="1:15" x14ac:dyDescent="0.35">
      <c r="A3327" t="s">
        <v>3753</v>
      </c>
      <c r="B3327" t="s">
        <v>204</v>
      </c>
      <c r="C3327" t="s">
        <v>1184</v>
      </c>
      <c r="D3327" t="s">
        <v>339</v>
      </c>
      <c r="E3327" t="s">
        <v>310</v>
      </c>
      <c r="F3327" t="s">
        <v>3791</v>
      </c>
      <c r="G3327">
        <v>286</v>
      </c>
      <c r="H3327">
        <v>28632.620000000006</v>
      </c>
      <c r="I3327">
        <v>100.11</v>
      </c>
      <c r="J3327">
        <v>0</v>
      </c>
      <c r="K3327">
        <v>0</v>
      </c>
      <c r="L3327">
        <v>0</v>
      </c>
      <c r="M3327">
        <v>286</v>
      </c>
      <c r="N3327">
        <v>28632.620000000006</v>
      </c>
      <c r="O3327">
        <v>100.11</v>
      </c>
    </row>
    <row r="3328" spans="1:15" x14ac:dyDescent="0.35">
      <c r="A3328" t="s">
        <v>3753</v>
      </c>
      <c r="B3328" t="s">
        <v>204</v>
      </c>
      <c r="C3328" t="s">
        <v>1184</v>
      </c>
      <c r="D3328" t="s">
        <v>339</v>
      </c>
      <c r="E3328" t="s">
        <v>312</v>
      </c>
      <c r="F3328" t="s">
        <v>3792</v>
      </c>
      <c r="G3328">
        <v>278</v>
      </c>
      <c r="H3328">
        <v>27618.560000000005</v>
      </c>
      <c r="I3328">
        <v>99.35</v>
      </c>
      <c r="J3328">
        <v>0</v>
      </c>
      <c r="K3328">
        <v>0</v>
      </c>
      <c r="L3328">
        <v>0</v>
      </c>
      <c r="M3328">
        <v>278</v>
      </c>
      <c r="N3328">
        <v>27618.560000000005</v>
      </c>
      <c r="O3328">
        <v>99.35</v>
      </c>
    </row>
    <row r="3329" spans="1:15" x14ac:dyDescent="0.35">
      <c r="A3329" t="s">
        <v>3753</v>
      </c>
      <c r="B3329" t="s">
        <v>204</v>
      </c>
      <c r="C3329" t="s">
        <v>1184</v>
      </c>
      <c r="D3329" t="s">
        <v>348</v>
      </c>
      <c r="E3329" t="s">
        <v>349</v>
      </c>
      <c r="F3329" t="s">
        <v>3793</v>
      </c>
      <c r="G3329">
        <v>387</v>
      </c>
      <c r="H3329">
        <v>28632.620000000006</v>
      </c>
      <c r="I3329">
        <v>100.11</v>
      </c>
      <c r="J3329">
        <v>0</v>
      </c>
      <c r="K3329">
        <v>0</v>
      </c>
      <c r="L3329">
        <v>0</v>
      </c>
      <c r="M3329">
        <v>387</v>
      </c>
      <c r="N3329">
        <v>28632.620000000006</v>
      </c>
      <c r="O3329">
        <v>100.11</v>
      </c>
    </row>
    <row r="3330" spans="1:15" x14ac:dyDescent="0.35">
      <c r="A3330" t="s">
        <v>3794</v>
      </c>
      <c r="B3330" t="s">
        <v>3795</v>
      </c>
      <c r="C3330" t="s">
        <v>1644</v>
      </c>
      <c r="D3330" t="s">
        <v>293</v>
      </c>
      <c r="E3330" t="s">
        <v>294</v>
      </c>
      <c r="F3330" t="s">
        <v>3796</v>
      </c>
      <c r="G3330">
        <v>46</v>
      </c>
      <c r="H3330">
        <v>5848.6100000000006</v>
      </c>
      <c r="I3330">
        <v>127.14</v>
      </c>
      <c r="J3330">
        <v>52</v>
      </c>
      <c r="K3330">
        <v>7045.4800000000005</v>
      </c>
      <c r="L3330">
        <v>135.49</v>
      </c>
      <c r="M3330">
        <v>98</v>
      </c>
      <c r="N3330">
        <v>12894.09</v>
      </c>
      <c r="O3330">
        <v>131.57</v>
      </c>
    </row>
    <row r="3331" spans="1:15" x14ac:dyDescent="0.35">
      <c r="A3331" t="s">
        <v>3794</v>
      </c>
      <c r="B3331" t="s">
        <v>3795</v>
      </c>
      <c r="C3331" t="s">
        <v>1644</v>
      </c>
      <c r="D3331" t="s">
        <v>293</v>
      </c>
      <c r="E3331" t="s">
        <v>296</v>
      </c>
      <c r="F3331" t="s">
        <v>3797</v>
      </c>
      <c r="G3331">
        <v>66</v>
      </c>
      <c r="H3331">
        <v>10835.76</v>
      </c>
      <c r="I3331">
        <v>164.18</v>
      </c>
      <c r="J3331">
        <v>85</v>
      </c>
      <c r="K3331">
        <v>17102.850000000002</v>
      </c>
      <c r="L3331">
        <v>201.21</v>
      </c>
      <c r="M3331">
        <v>151</v>
      </c>
      <c r="N3331">
        <v>27938.61</v>
      </c>
      <c r="O3331">
        <v>185.02</v>
      </c>
    </row>
    <row r="3332" spans="1:15" x14ac:dyDescent="0.35">
      <c r="A3332" t="s">
        <v>3794</v>
      </c>
      <c r="B3332" t="s">
        <v>3795</v>
      </c>
      <c r="C3332" t="s">
        <v>1644</v>
      </c>
      <c r="D3332" t="s">
        <v>293</v>
      </c>
      <c r="E3332" t="s">
        <v>298</v>
      </c>
      <c r="F3332" t="s">
        <v>3798</v>
      </c>
      <c r="G3332">
        <v>105</v>
      </c>
      <c r="H3332">
        <v>19938.399999999998</v>
      </c>
      <c r="I3332">
        <v>189.89</v>
      </c>
      <c r="J3332">
        <v>11</v>
      </c>
      <c r="K3332">
        <v>2488.42</v>
      </c>
      <c r="L3332">
        <v>226.22</v>
      </c>
      <c r="M3332">
        <v>116</v>
      </c>
      <c r="N3332">
        <v>22426.82</v>
      </c>
      <c r="O3332">
        <v>193.33</v>
      </c>
    </row>
    <row r="3333" spans="1:15" x14ac:dyDescent="0.35">
      <c r="A3333" t="s">
        <v>3794</v>
      </c>
      <c r="B3333" t="s">
        <v>3795</v>
      </c>
      <c r="C3333" t="s">
        <v>1644</v>
      </c>
      <c r="D3333" t="s">
        <v>293</v>
      </c>
      <c r="E3333" t="s">
        <v>300</v>
      </c>
      <c r="F3333" t="s">
        <v>3799</v>
      </c>
      <c r="G3333">
        <v>1</v>
      </c>
      <c r="H3333">
        <v>176.2</v>
      </c>
      <c r="I3333">
        <v>176.2</v>
      </c>
      <c r="J3333">
        <v>3</v>
      </c>
      <c r="K3333">
        <v>841.37999999999988</v>
      </c>
      <c r="L3333">
        <v>280.45999999999998</v>
      </c>
      <c r="M3333">
        <v>4</v>
      </c>
      <c r="N3333">
        <v>1017.5799999999999</v>
      </c>
      <c r="O3333">
        <v>254.4</v>
      </c>
    </row>
    <row r="3334" spans="1:15" x14ac:dyDescent="0.35">
      <c r="A3334" t="s">
        <v>3794</v>
      </c>
      <c r="B3334" t="s">
        <v>3795</v>
      </c>
      <c r="C3334" t="s">
        <v>1644</v>
      </c>
      <c r="D3334" t="s">
        <v>293</v>
      </c>
      <c r="E3334" t="s">
        <v>302</v>
      </c>
      <c r="F3334" t="s">
        <v>3800</v>
      </c>
      <c r="G3334">
        <v>0</v>
      </c>
      <c r="H3334">
        <v>0</v>
      </c>
      <c r="I3334">
        <v>0</v>
      </c>
      <c r="J3334">
        <v>1</v>
      </c>
      <c r="K3334">
        <v>258.45999999999998</v>
      </c>
      <c r="L3334">
        <v>258.45999999999998</v>
      </c>
      <c r="M3334">
        <v>1</v>
      </c>
      <c r="N3334">
        <v>258.45999999999998</v>
      </c>
      <c r="O3334">
        <v>258.45999999999998</v>
      </c>
    </row>
    <row r="3335" spans="1:15" x14ac:dyDescent="0.35">
      <c r="A3335" t="s">
        <v>3794</v>
      </c>
      <c r="B3335" t="s">
        <v>3795</v>
      </c>
      <c r="C3335" t="s">
        <v>1644</v>
      </c>
      <c r="D3335" t="s">
        <v>293</v>
      </c>
      <c r="E3335" t="s">
        <v>304</v>
      </c>
      <c r="F3335" t="s">
        <v>3801</v>
      </c>
      <c r="G3335">
        <v>0</v>
      </c>
      <c r="H3335">
        <v>0</v>
      </c>
      <c r="I3335">
        <v>0</v>
      </c>
      <c r="J3335">
        <v>0</v>
      </c>
      <c r="K3335">
        <v>0</v>
      </c>
      <c r="L3335">
        <v>0</v>
      </c>
      <c r="M3335">
        <v>0</v>
      </c>
      <c r="N3335">
        <v>0</v>
      </c>
      <c r="O3335">
        <v>0</v>
      </c>
    </row>
    <row r="3336" spans="1:15" x14ac:dyDescent="0.35">
      <c r="A3336" t="s">
        <v>3794</v>
      </c>
      <c r="B3336" t="s">
        <v>3795</v>
      </c>
      <c r="C3336" t="s">
        <v>1644</v>
      </c>
      <c r="D3336" t="s">
        <v>293</v>
      </c>
      <c r="E3336" t="s">
        <v>306</v>
      </c>
      <c r="F3336" t="s">
        <v>3802</v>
      </c>
      <c r="G3336">
        <v>0</v>
      </c>
      <c r="H3336">
        <v>0</v>
      </c>
      <c r="I3336">
        <v>0</v>
      </c>
      <c r="J3336">
        <v>1</v>
      </c>
      <c r="K3336">
        <v>183.92</v>
      </c>
      <c r="L3336">
        <v>183.92</v>
      </c>
      <c r="M3336">
        <v>1</v>
      </c>
      <c r="N3336">
        <v>183.92</v>
      </c>
      <c r="O3336">
        <v>183.92</v>
      </c>
    </row>
    <row r="3337" spans="1:15" x14ac:dyDescent="0.35">
      <c r="A3337" t="s">
        <v>3794</v>
      </c>
      <c r="B3337" t="s">
        <v>3795</v>
      </c>
      <c r="C3337" t="s">
        <v>1644</v>
      </c>
      <c r="D3337" t="s">
        <v>293</v>
      </c>
      <c r="E3337" t="s">
        <v>308</v>
      </c>
      <c r="F3337" t="s">
        <v>3803</v>
      </c>
      <c r="G3337">
        <v>0</v>
      </c>
      <c r="H3337">
        <v>0</v>
      </c>
      <c r="I3337">
        <v>0</v>
      </c>
      <c r="J3337">
        <v>0</v>
      </c>
      <c r="K3337">
        <v>0</v>
      </c>
      <c r="L3337">
        <v>0</v>
      </c>
      <c r="M3337">
        <v>0</v>
      </c>
      <c r="N3337">
        <v>0</v>
      </c>
      <c r="O3337">
        <v>0</v>
      </c>
    </row>
    <row r="3338" spans="1:15" x14ac:dyDescent="0.35">
      <c r="A3338" t="s">
        <v>3794</v>
      </c>
      <c r="B3338" t="s">
        <v>3795</v>
      </c>
      <c r="C3338" t="s">
        <v>1644</v>
      </c>
      <c r="D3338" t="s">
        <v>293</v>
      </c>
      <c r="E3338" t="s">
        <v>310</v>
      </c>
      <c r="F3338" t="s">
        <v>3804</v>
      </c>
      <c r="G3338">
        <v>218</v>
      </c>
      <c r="H3338">
        <v>36798.97</v>
      </c>
      <c r="I3338">
        <v>168.8</v>
      </c>
      <c r="J3338">
        <v>153</v>
      </c>
      <c r="K3338">
        <v>27920.51</v>
      </c>
      <c r="L3338">
        <v>182.49</v>
      </c>
      <c r="M3338">
        <v>371</v>
      </c>
      <c r="N3338">
        <v>64719.479999999996</v>
      </c>
      <c r="O3338">
        <v>174.45</v>
      </c>
    </row>
    <row r="3339" spans="1:15" x14ac:dyDescent="0.35">
      <c r="A3339" t="s">
        <v>3794</v>
      </c>
      <c r="B3339" t="s">
        <v>3795</v>
      </c>
      <c r="C3339" t="s">
        <v>1644</v>
      </c>
      <c r="D3339" t="s">
        <v>293</v>
      </c>
      <c r="E3339" t="s">
        <v>312</v>
      </c>
      <c r="F3339" t="s">
        <v>3805</v>
      </c>
      <c r="G3339">
        <v>218</v>
      </c>
      <c r="H3339">
        <v>36798.97</v>
      </c>
      <c r="I3339">
        <v>168.8</v>
      </c>
      <c r="J3339">
        <v>153</v>
      </c>
      <c r="K3339">
        <v>27920.51</v>
      </c>
      <c r="L3339">
        <v>182.49</v>
      </c>
      <c r="M3339">
        <v>371</v>
      </c>
      <c r="N3339">
        <v>64719.479999999996</v>
      </c>
      <c r="O3339">
        <v>174.45</v>
      </c>
    </row>
    <row r="3340" spans="1:15" x14ac:dyDescent="0.35">
      <c r="A3340" t="s">
        <v>3794</v>
      </c>
      <c r="B3340" t="s">
        <v>3795</v>
      </c>
      <c r="C3340" t="s">
        <v>1644</v>
      </c>
      <c r="D3340" t="s">
        <v>314</v>
      </c>
      <c r="E3340" t="s">
        <v>294</v>
      </c>
      <c r="F3340" t="s">
        <v>3806</v>
      </c>
      <c r="G3340">
        <v>18</v>
      </c>
      <c r="H3340">
        <v>3135.42</v>
      </c>
      <c r="I3340">
        <v>174.19</v>
      </c>
      <c r="J3340">
        <v>9</v>
      </c>
      <c r="K3340">
        <v>1199.79</v>
      </c>
      <c r="L3340">
        <v>133.31</v>
      </c>
      <c r="M3340">
        <v>27</v>
      </c>
      <c r="N3340">
        <v>4335.21</v>
      </c>
      <c r="O3340">
        <v>160.56</v>
      </c>
    </row>
    <row r="3341" spans="1:15" x14ac:dyDescent="0.35">
      <c r="A3341" t="s">
        <v>3794</v>
      </c>
      <c r="B3341" t="s">
        <v>3795</v>
      </c>
      <c r="C3341" t="s">
        <v>1644</v>
      </c>
      <c r="D3341" t="s">
        <v>314</v>
      </c>
      <c r="E3341" t="s">
        <v>296</v>
      </c>
      <c r="F3341" t="s">
        <v>3807</v>
      </c>
      <c r="G3341">
        <v>0</v>
      </c>
      <c r="H3341">
        <v>0</v>
      </c>
      <c r="I3341">
        <v>0</v>
      </c>
      <c r="J3341">
        <v>0</v>
      </c>
      <c r="K3341">
        <v>0</v>
      </c>
      <c r="L3341">
        <v>0</v>
      </c>
      <c r="M3341">
        <v>0</v>
      </c>
      <c r="N3341">
        <v>0</v>
      </c>
      <c r="O3341">
        <v>0</v>
      </c>
    </row>
    <row r="3342" spans="1:15" x14ac:dyDescent="0.35">
      <c r="A3342" t="s">
        <v>3794</v>
      </c>
      <c r="B3342" t="s">
        <v>3795</v>
      </c>
      <c r="C3342" t="s">
        <v>1644</v>
      </c>
      <c r="D3342" t="s">
        <v>314</v>
      </c>
      <c r="E3342" t="s">
        <v>298</v>
      </c>
      <c r="F3342" t="s">
        <v>3808</v>
      </c>
      <c r="G3342">
        <v>0</v>
      </c>
      <c r="H3342">
        <v>0</v>
      </c>
      <c r="I3342">
        <v>0</v>
      </c>
      <c r="J3342">
        <v>0</v>
      </c>
      <c r="K3342">
        <v>0</v>
      </c>
      <c r="L3342">
        <v>0</v>
      </c>
      <c r="M3342">
        <v>0</v>
      </c>
      <c r="N3342">
        <v>0</v>
      </c>
      <c r="O3342">
        <v>0</v>
      </c>
    </row>
    <row r="3343" spans="1:15" x14ac:dyDescent="0.35">
      <c r="A3343" t="s">
        <v>3794</v>
      </c>
      <c r="B3343" t="s">
        <v>3795</v>
      </c>
      <c r="C3343" t="s">
        <v>1644</v>
      </c>
      <c r="D3343" t="s">
        <v>314</v>
      </c>
      <c r="E3343" t="s">
        <v>300</v>
      </c>
      <c r="F3343" t="s">
        <v>3809</v>
      </c>
      <c r="G3343">
        <v>0</v>
      </c>
      <c r="H3343">
        <v>0</v>
      </c>
      <c r="I3343">
        <v>0</v>
      </c>
      <c r="J3343">
        <v>0</v>
      </c>
      <c r="K3343">
        <v>0</v>
      </c>
      <c r="L3343">
        <v>0</v>
      </c>
      <c r="M3343">
        <v>0</v>
      </c>
      <c r="N3343">
        <v>0</v>
      </c>
      <c r="O3343">
        <v>0</v>
      </c>
    </row>
    <row r="3344" spans="1:15" x14ac:dyDescent="0.35">
      <c r="A3344" t="s">
        <v>3794</v>
      </c>
      <c r="B3344" t="s">
        <v>3795</v>
      </c>
      <c r="C3344" t="s">
        <v>1644</v>
      </c>
      <c r="D3344" t="s">
        <v>314</v>
      </c>
      <c r="E3344" t="s">
        <v>306</v>
      </c>
      <c r="F3344" t="s">
        <v>3810</v>
      </c>
      <c r="G3344">
        <v>0</v>
      </c>
      <c r="H3344">
        <v>0</v>
      </c>
      <c r="I3344">
        <v>0</v>
      </c>
      <c r="J3344">
        <v>0</v>
      </c>
      <c r="K3344">
        <v>0</v>
      </c>
      <c r="L3344">
        <v>0</v>
      </c>
      <c r="M3344">
        <v>0</v>
      </c>
      <c r="N3344">
        <v>0</v>
      </c>
      <c r="O3344">
        <v>0</v>
      </c>
    </row>
    <row r="3345" spans="1:15" x14ac:dyDescent="0.35">
      <c r="A3345" t="s">
        <v>3794</v>
      </c>
      <c r="B3345" t="s">
        <v>3795</v>
      </c>
      <c r="C3345" t="s">
        <v>1644</v>
      </c>
      <c r="D3345" t="s">
        <v>314</v>
      </c>
      <c r="E3345" t="s">
        <v>308</v>
      </c>
      <c r="F3345" t="s">
        <v>3811</v>
      </c>
      <c r="G3345">
        <v>0</v>
      </c>
      <c r="H3345">
        <v>0</v>
      </c>
      <c r="I3345">
        <v>0</v>
      </c>
      <c r="J3345">
        <v>0</v>
      </c>
      <c r="K3345">
        <v>0</v>
      </c>
      <c r="L3345">
        <v>0</v>
      </c>
      <c r="M3345">
        <v>0</v>
      </c>
      <c r="N3345">
        <v>0</v>
      </c>
      <c r="O3345">
        <v>0</v>
      </c>
    </row>
    <row r="3346" spans="1:15" x14ac:dyDescent="0.35">
      <c r="A3346" t="s">
        <v>3794</v>
      </c>
      <c r="B3346" t="s">
        <v>3795</v>
      </c>
      <c r="C3346" t="s">
        <v>1644</v>
      </c>
      <c r="D3346" t="s">
        <v>314</v>
      </c>
      <c r="E3346" t="s">
        <v>312</v>
      </c>
      <c r="F3346" t="s">
        <v>3812</v>
      </c>
      <c r="G3346">
        <v>18</v>
      </c>
      <c r="H3346">
        <v>3135.42</v>
      </c>
      <c r="I3346">
        <v>174.19</v>
      </c>
      <c r="J3346">
        <v>9</v>
      </c>
      <c r="K3346">
        <v>1199.79</v>
      </c>
      <c r="L3346">
        <v>133.31</v>
      </c>
      <c r="M3346">
        <v>27</v>
      </c>
      <c r="N3346">
        <v>4335.21</v>
      </c>
      <c r="O3346">
        <v>160.56</v>
      </c>
    </row>
    <row r="3347" spans="1:15" x14ac:dyDescent="0.35">
      <c r="A3347" t="s">
        <v>3794</v>
      </c>
      <c r="B3347" t="s">
        <v>3795</v>
      </c>
      <c r="C3347" t="s">
        <v>1644</v>
      </c>
      <c r="D3347" t="s">
        <v>314</v>
      </c>
      <c r="E3347" t="s">
        <v>310</v>
      </c>
      <c r="F3347" t="s">
        <v>3813</v>
      </c>
      <c r="G3347">
        <v>18</v>
      </c>
      <c r="H3347">
        <v>3135.42</v>
      </c>
      <c r="I3347">
        <v>174.19</v>
      </c>
      <c r="J3347">
        <v>9</v>
      </c>
      <c r="K3347">
        <v>1199.79</v>
      </c>
      <c r="L3347">
        <v>133.31</v>
      </c>
      <c r="M3347">
        <v>27</v>
      </c>
      <c r="N3347">
        <v>4335.21</v>
      </c>
      <c r="O3347">
        <v>160.56</v>
      </c>
    </row>
    <row r="3348" spans="1:15" x14ac:dyDescent="0.35">
      <c r="A3348" t="s">
        <v>3794</v>
      </c>
      <c r="B3348" t="s">
        <v>3795</v>
      </c>
      <c r="C3348" t="s">
        <v>1644</v>
      </c>
      <c r="D3348" t="s">
        <v>323</v>
      </c>
      <c r="E3348" t="s">
        <v>294</v>
      </c>
      <c r="F3348" t="s">
        <v>3814</v>
      </c>
      <c r="G3348">
        <v>319</v>
      </c>
      <c r="H3348">
        <v>29967.14</v>
      </c>
      <c r="I3348">
        <v>93.94</v>
      </c>
      <c r="J3348">
        <v>835</v>
      </c>
      <c r="K3348">
        <v>72678.400000000009</v>
      </c>
      <c r="L3348">
        <v>87.04</v>
      </c>
      <c r="M3348">
        <v>1154</v>
      </c>
      <c r="N3348">
        <v>102645.54000000001</v>
      </c>
      <c r="O3348">
        <v>88.95</v>
      </c>
    </row>
    <row r="3349" spans="1:15" x14ac:dyDescent="0.35">
      <c r="A3349" t="s">
        <v>3794</v>
      </c>
      <c r="B3349" t="s">
        <v>3795</v>
      </c>
      <c r="C3349" t="s">
        <v>1644</v>
      </c>
      <c r="D3349" t="s">
        <v>323</v>
      </c>
      <c r="E3349" t="s">
        <v>296</v>
      </c>
      <c r="F3349" t="s">
        <v>3815</v>
      </c>
      <c r="G3349">
        <v>465</v>
      </c>
      <c r="H3349">
        <v>53379.85</v>
      </c>
      <c r="I3349">
        <v>114.8</v>
      </c>
      <c r="J3349">
        <v>939</v>
      </c>
      <c r="K3349">
        <v>92247.360000000001</v>
      </c>
      <c r="L3349">
        <v>98.24</v>
      </c>
      <c r="M3349">
        <v>1404</v>
      </c>
      <c r="N3349">
        <v>145627.21</v>
      </c>
      <c r="O3349">
        <v>103.72</v>
      </c>
    </row>
    <row r="3350" spans="1:15" x14ac:dyDescent="0.35">
      <c r="A3350" t="s">
        <v>3794</v>
      </c>
      <c r="B3350" t="s">
        <v>3795</v>
      </c>
      <c r="C3350" t="s">
        <v>1644</v>
      </c>
      <c r="D3350" t="s">
        <v>323</v>
      </c>
      <c r="E3350" t="s">
        <v>298</v>
      </c>
      <c r="F3350" t="s">
        <v>3816</v>
      </c>
      <c r="G3350">
        <v>574</v>
      </c>
      <c r="H3350">
        <v>74445.78</v>
      </c>
      <c r="I3350">
        <v>129.69999999999999</v>
      </c>
      <c r="J3350">
        <v>1063</v>
      </c>
      <c r="K3350">
        <v>111987.04999999999</v>
      </c>
      <c r="L3350">
        <v>105.35</v>
      </c>
      <c r="M3350">
        <v>1637</v>
      </c>
      <c r="N3350">
        <v>186432.83</v>
      </c>
      <c r="O3350">
        <v>113.89</v>
      </c>
    </row>
    <row r="3351" spans="1:15" x14ac:dyDescent="0.35">
      <c r="A3351" t="s">
        <v>3794</v>
      </c>
      <c r="B3351" t="s">
        <v>3795</v>
      </c>
      <c r="C3351" t="s">
        <v>1644</v>
      </c>
      <c r="D3351" t="s">
        <v>323</v>
      </c>
      <c r="E3351" t="s">
        <v>300</v>
      </c>
      <c r="F3351" t="s">
        <v>3817</v>
      </c>
      <c r="G3351">
        <v>65</v>
      </c>
      <c r="H3351">
        <v>9946.6799999999985</v>
      </c>
      <c r="I3351">
        <v>153.03</v>
      </c>
      <c r="J3351">
        <v>56</v>
      </c>
      <c r="K3351">
        <v>6579.44</v>
      </c>
      <c r="L3351">
        <v>117.49</v>
      </c>
      <c r="M3351">
        <v>121</v>
      </c>
      <c r="N3351">
        <v>16526.12</v>
      </c>
      <c r="O3351">
        <v>136.58000000000001</v>
      </c>
    </row>
    <row r="3352" spans="1:15" x14ac:dyDescent="0.35">
      <c r="A3352" t="s">
        <v>3794</v>
      </c>
      <c r="B3352" t="s">
        <v>3795</v>
      </c>
      <c r="C3352" t="s">
        <v>1644</v>
      </c>
      <c r="D3352" t="s">
        <v>323</v>
      </c>
      <c r="E3352" t="s">
        <v>302</v>
      </c>
      <c r="F3352" t="s">
        <v>3818</v>
      </c>
      <c r="G3352">
        <v>1</v>
      </c>
      <c r="H3352">
        <v>134.26</v>
      </c>
      <c r="I3352">
        <v>134.26</v>
      </c>
      <c r="J3352">
        <v>3</v>
      </c>
      <c r="K3352">
        <v>386.61</v>
      </c>
      <c r="L3352">
        <v>128.87</v>
      </c>
      <c r="M3352">
        <v>4</v>
      </c>
      <c r="N3352">
        <v>520.87</v>
      </c>
      <c r="O3352">
        <v>130.22</v>
      </c>
    </row>
    <row r="3353" spans="1:15" x14ac:dyDescent="0.35">
      <c r="A3353" t="s">
        <v>3794</v>
      </c>
      <c r="B3353" t="s">
        <v>3795</v>
      </c>
      <c r="C3353" t="s">
        <v>1644</v>
      </c>
      <c r="D3353" t="s">
        <v>323</v>
      </c>
      <c r="E3353" t="s">
        <v>304</v>
      </c>
      <c r="F3353" t="s">
        <v>3819</v>
      </c>
      <c r="G3353">
        <v>0</v>
      </c>
      <c r="H3353">
        <v>0</v>
      </c>
      <c r="I3353">
        <v>0</v>
      </c>
      <c r="J3353">
        <v>2</v>
      </c>
      <c r="K3353">
        <v>322.64</v>
      </c>
      <c r="L3353">
        <v>161.32</v>
      </c>
      <c r="M3353">
        <v>2</v>
      </c>
      <c r="N3353">
        <v>322.64</v>
      </c>
      <c r="O3353">
        <v>161.32</v>
      </c>
    </row>
    <row r="3354" spans="1:15" x14ac:dyDescent="0.35">
      <c r="A3354" t="s">
        <v>3794</v>
      </c>
      <c r="B3354" t="s">
        <v>3795</v>
      </c>
      <c r="C3354" t="s">
        <v>1644</v>
      </c>
      <c r="D3354" t="s">
        <v>323</v>
      </c>
      <c r="E3354" t="s">
        <v>306</v>
      </c>
      <c r="F3354" t="s">
        <v>3820</v>
      </c>
      <c r="G3354">
        <v>38</v>
      </c>
      <c r="H3354">
        <v>3275.94</v>
      </c>
      <c r="I3354">
        <v>86.21</v>
      </c>
      <c r="J3354">
        <v>63</v>
      </c>
      <c r="K3354">
        <v>4840.92</v>
      </c>
      <c r="L3354">
        <v>76.84</v>
      </c>
      <c r="M3354">
        <v>101</v>
      </c>
      <c r="N3354">
        <v>8116.8600000000006</v>
      </c>
      <c r="O3354">
        <v>80.36</v>
      </c>
    </row>
    <row r="3355" spans="1:15" x14ac:dyDescent="0.35">
      <c r="A3355" t="s">
        <v>3794</v>
      </c>
      <c r="B3355" t="s">
        <v>3795</v>
      </c>
      <c r="C3355" t="s">
        <v>1644</v>
      </c>
      <c r="D3355" t="s">
        <v>323</v>
      </c>
      <c r="E3355" t="s">
        <v>308</v>
      </c>
      <c r="F3355" t="s">
        <v>3821</v>
      </c>
      <c r="G3355">
        <v>0</v>
      </c>
      <c r="H3355">
        <v>0</v>
      </c>
      <c r="I3355">
        <v>0</v>
      </c>
      <c r="J3355">
        <v>0</v>
      </c>
      <c r="K3355">
        <v>0</v>
      </c>
      <c r="L3355">
        <v>0</v>
      </c>
      <c r="M3355">
        <v>0</v>
      </c>
      <c r="N3355">
        <v>0</v>
      </c>
      <c r="O3355">
        <v>0</v>
      </c>
    </row>
    <row r="3356" spans="1:15" x14ac:dyDescent="0.35">
      <c r="A3356" t="s">
        <v>3794</v>
      </c>
      <c r="B3356" t="s">
        <v>3795</v>
      </c>
      <c r="C3356" t="s">
        <v>1644</v>
      </c>
      <c r="D3356" t="s">
        <v>323</v>
      </c>
      <c r="E3356" t="s">
        <v>310</v>
      </c>
      <c r="F3356" t="s">
        <v>3822</v>
      </c>
      <c r="G3356">
        <v>1462</v>
      </c>
      <c r="H3356">
        <v>171149.65</v>
      </c>
      <c r="I3356">
        <v>117.07</v>
      </c>
      <c r="J3356">
        <v>2961</v>
      </c>
      <c r="K3356">
        <v>289042.42</v>
      </c>
      <c r="L3356">
        <v>97.62</v>
      </c>
      <c r="M3356">
        <v>4423</v>
      </c>
      <c r="N3356">
        <v>460192.06999999995</v>
      </c>
      <c r="O3356">
        <v>104.05</v>
      </c>
    </row>
    <row r="3357" spans="1:15" x14ac:dyDescent="0.35">
      <c r="A3357" t="s">
        <v>3794</v>
      </c>
      <c r="B3357" t="s">
        <v>3795</v>
      </c>
      <c r="C3357" t="s">
        <v>1644</v>
      </c>
      <c r="D3357" t="s">
        <v>323</v>
      </c>
      <c r="E3357" t="s">
        <v>312</v>
      </c>
      <c r="F3357" t="s">
        <v>3823</v>
      </c>
      <c r="G3357">
        <v>1462</v>
      </c>
      <c r="H3357">
        <v>171149.65</v>
      </c>
      <c r="I3357">
        <v>117.07</v>
      </c>
      <c r="J3357">
        <v>2961</v>
      </c>
      <c r="K3357">
        <v>289042.42</v>
      </c>
      <c r="L3357">
        <v>97.62</v>
      </c>
      <c r="M3357">
        <v>4423</v>
      </c>
      <c r="N3357">
        <v>460192.06999999995</v>
      </c>
      <c r="O3357">
        <v>104.05</v>
      </c>
    </row>
    <row r="3358" spans="1:15" x14ac:dyDescent="0.35">
      <c r="A3358" t="s">
        <v>3794</v>
      </c>
      <c r="B3358" t="s">
        <v>3795</v>
      </c>
      <c r="C3358" t="s">
        <v>1644</v>
      </c>
      <c r="D3358" t="s">
        <v>334</v>
      </c>
      <c r="E3358" t="s">
        <v>312</v>
      </c>
      <c r="F3358" t="s">
        <v>3824</v>
      </c>
      <c r="G3358">
        <v>1704</v>
      </c>
      <c r="H3358">
        <v>207948.62</v>
      </c>
      <c r="I3358">
        <v>123.78</v>
      </c>
      <c r="J3358">
        <v>3114</v>
      </c>
      <c r="K3358">
        <v>316962.93</v>
      </c>
      <c r="L3358">
        <v>101.79</v>
      </c>
      <c r="M3358">
        <v>4818</v>
      </c>
      <c r="N3358">
        <v>524911.55000000005</v>
      </c>
      <c r="O3358">
        <v>109.49</v>
      </c>
    </row>
    <row r="3359" spans="1:15" x14ac:dyDescent="0.35">
      <c r="A3359" t="s">
        <v>3794</v>
      </c>
      <c r="B3359" t="s">
        <v>3795</v>
      </c>
      <c r="C3359" t="s">
        <v>1644</v>
      </c>
      <c r="D3359" t="s">
        <v>334</v>
      </c>
      <c r="E3359" t="s">
        <v>308</v>
      </c>
      <c r="F3359" t="s">
        <v>3825</v>
      </c>
      <c r="G3359">
        <v>0</v>
      </c>
      <c r="H3359">
        <v>0</v>
      </c>
      <c r="I3359">
        <v>0</v>
      </c>
      <c r="J3359">
        <v>0</v>
      </c>
      <c r="K3359">
        <v>0</v>
      </c>
      <c r="L3359">
        <v>0</v>
      </c>
      <c r="M3359">
        <v>0</v>
      </c>
      <c r="N3359">
        <v>0</v>
      </c>
      <c r="O3359">
        <v>0</v>
      </c>
    </row>
    <row r="3360" spans="1:15" x14ac:dyDescent="0.35">
      <c r="A3360" t="s">
        <v>3794</v>
      </c>
      <c r="B3360" t="s">
        <v>3795</v>
      </c>
      <c r="C3360" t="s">
        <v>1644</v>
      </c>
      <c r="D3360" t="s">
        <v>337</v>
      </c>
      <c r="E3360" t="s">
        <v>337</v>
      </c>
      <c r="F3360" t="s">
        <v>3826</v>
      </c>
      <c r="G3360">
        <v>154</v>
      </c>
      <c r="J3360">
        <v>27</v>
      </c>
      <c r="M3360">
        <v>181</v>
      </c>
    </row>
    <row r="3361" spans="1:15" x14ac:dyDescent="0.35">
      <c r="A3361" t="s">
        <v>3794</v>
      </c>
      <c r="B3361" t="s">
        <v>3795</v>
      </c>
      <c r="C3361" t="s">
        <v>1644</v>
      </c>
      <c r="D3361" t="s">
        <v>339</v>
      </c>
      <c r="E3361" t="s">
        <v>294</v>
      </c>
      <c r="F3361" t="s">
        <v>3827</v>
      </c>
      <c r="G3361">
        <v>334</v>
      </c>
      <c r="H3361">
        <v>38290.149999999994</v>
      </c>
      <c r="I3361">
        <v>114.64</v>
      </c>
      <c r="J3361">
        <v>166</v>
      </c>
      <c r="K3361">
        <v>14236.160000000002</v>
      </c>
      <c r="L3361">
        <v>85.76</v>
      </c>
      <c r="M3361">
        <v>500</v>
      </c>
      <c r="N3361">
        <v>52526.31</v>
      </c>
      <c r="O3361">
        <v>105.05</v>
      </c>
    </row>
    <row r="3362" spans="1:15" x14ac:dyDescent="0.35">
      <c r="A3362" t="s">
        <v>3794</v>
      </c>
      <c r="B3362" t="s">
        <v>3795</v>
      </c>
      <c r="C3362" t="s">
        <v>1644</v>
      </c>
      <c r="D3362" t="s">
        <v>339</v>
      </c>
      <c r="E3362" t="s">
        <v>296</v>
      </c>
      <c r="F3362" t="s">
        <v>3828</v>
      </c>
      <c r="G3362">
        <v>56</v>
      </c>
      <c r="H3362">
        <v>6855.1</v>
      </c>
      <c r="I3362">
        <v>122.41</v>
      </c>
      <c r="J3362">
        <v>60</v>
      </c>
      <c r="K3362">
        <v>5643.6</v>
      </c>
      <c r="L3362">
        <v>94.06</v>
      </c>
      <c r="M3362">
        <v>116</v>
      </c>
      <c r="N3362">
        <v>12498.7</v>
      </c>
      <c r="O3362">
        <v>107.75</v>
      </c>
    </row>
    <row r="3363" spans="1:15" x14ac:dyDescent="0.35">
      <c r="A3363" t="s">
        <v>3794</v>
      </c>
      <c r="B3363" t="s">
        <v>3795</v>
      </c>
      <c r="C3363" t="s">
        <v>1644</v>
      </c>
      <c r="D3363" t="s">
        <v>339</v>
      </c>
      <c r="E3363" t="s">
        <v>298</v>
      </c>
      <c r="F3363" t="s">
        <v>3829</v>
      </c>
      <c r="G3363">
        <v>7</v>
      </c>
      <c r="H3363">
        <v>958.08999999999992</v>
      </c>
      <c r="I3363">
        <v>136.87</v>
      </c>
      <c r="J3363">
        <v>1</v>
      </c>
      <c r="K3363">
        <v>104.26</v>
      </c>
      <c r="L3363">
        <v>104.26</v>
      </c>
      <c r="M3363">
        <v>8</v>
      </c>
      <c r="N3363">
        <v>1062.3499999999999</v>
      </c>
      <c r="O3363">
        <v>132.79</v>
      </c>
    </row>
    <row r="3364" spans="1:15" x14ac:dyDescent="0.35">
      <c r="A3364" t="s">
        <v>3794</v>
      </c>
      <c r="B3364" t="s">
        <v>3795</v>
      </c>
      <c r="C3364" t="s">
        <v>1644</v>
      </c>
      <c r="D3364" t="s">
        <v>339</v>
      </c>
      <c r="E3364" t="s">
        <v>300</v>
      </c>
      <c r="F3364" t="s">
        <v>3830</v>
      </c>
      <c r="G3364">
        <v>0</v>
      </c>
      <c r="H3364">
        <v>0</v>
      </c>
      <c r="I3364">
        <v>0</v>
      </c>
      <c r="J3364">
        <v>0</v>
      </c>
      <c r="K3364">
        <v>0</v>
      </c>
      <c r="L3364">
        <v>0</v>
      </c>
      <c r="M3364">
        <v>0</v>
      </c>
      <c r="N3364">
        <v>0</v>
      </c>
      <c r="O3364">
        <v>0</v>
      </c>
    </row>
    <row r="3365" spans="1:15" x14ac:dyDescent="0.35">
      <c r="A3365" t="s">
        <v>3794</v>
      </c>
      <c r="B3365" t="s">
        <v>3795</v>
      </c>
      <c r="C3365" t="s">
        <v>1644</v>
      </c>
      <c r="D3365" t="s">
        <v>339</v>
      </c>
      <c r="E3365" t="s">
        <v>306</v>
      </c>
      <c r="F3365" t="s">
        <v>3831</v>
      </c>
      <c r="G3365">
        <v>273</v>
      </c>
      <c r="H3365">
        <v>23829.120000000003</v>
      </c>
      <c r="I3365">
        <v>87.29</v>
      </c>
      <c r="J3365">
        <v>65</v>
      </c>
      <c r="K3365">
        <v>4872.3999999999996</v>
      </c>
      <c r="L3365">
        <v>74.959999999999994</v>
      </c>
      <c r="M3365">
        <v>338</v>
      </c>
      <c r="N3365">
        <v>28701.520000000004</v>
      </c>
      <c r="O3365">
        <v>84.92</v>
      </c>
    </row>
    <row r="3366" spans="1:15" x14ac:dyDescent="0.35">
      <c r="A3366" t="s">
        <v>3794</v>
      </c>
      <c r="B3366" t="s">
        <v>3795</v>
      </c>
      <c r="C3366" t="s">
        <v>1644</v>
      </c>
      <c r="D3366" t="s">
        <v>339</v>
      </c>
      <c r="E3366" t="s">
        <v>308</v>
      </c>
      <c r="F3366" t="s">
        <v>3832</v>
      </c>
      <c r="G3366">
        <v>13</v>
      </c>
      <c r="H3366">
        <v>1394.1599999999999</v>
      </c>
      <c r="I3366">
        <v>107.24</v>
      </c>
      <c r="J3366">
        <v>0</v>
      </c>
      <c r="K3366">
        <v>0</v>
      </c>
      <c r="L3366">
        <v>0</v>
      </c>
      <c r="M3366">
        <v>13</v>
      </c>
      <c r="N3366">
        <v>1394.1599999999999</v>
      </c>
      <c r="O3366">
        <v>107.24</v>
      </c>
    </row>
    <row r="3367" spans="1:15" x14ac:dyDescent="0.35">
      <c r="A3367" t="s">
        <v>3794</v>
      </c>
      <c r="B3367" t="s">
        <v>3795</v>
      </c>
      <c r="C3367" t="s">
        <v>1644</v>
      </c>
      <c r="D3367" t="s">
        <v>339</v>
      </c>
      <c r="E3367" t="s">
        <v>310</v>
      </c>
      <c r="F3367" t="s">
        <v>3833</v>
      </c>
      <c r="G3367">
        <v>683</v>
      </c>
      <c r="H3367">
        <v>71326.62</v>
      </c>
      <c r="I3367">
        <v>104.43</v>
      </c>
      <c r="J3367">
        <v>292</v>
      </c>
      <c r="K3367">
        <v>24856.42</v>
      </c>
      <c r="L3367">
        <v>85.12</v>
      </c>
      <c r="M3367">
        <v>975</v>
      </c>
      <c r="N3367">
        <v>96183.039999999994</v>
      </c>
      <c r="O3367">
        <v>98.65</v>
      </c>
    </row>
    <row r="3368" spans="1:15" x14ac:dyDescent="0.35">
      <c r="A3368" t="s">
        <v>3794</v>
      </c>
      <c r="B3368" t="s">
        <v>3795</v>
      </c>
      <c r="C3368" t="s">
        <v>1644</v>
      </c>
      <c r="D3368" t="s">
        <v>339</v>
      </c>
      <c r="E3368" t="s">
        <v>312</v>
      </c>
      <c r="F3368" t="s">
        <v>3834</v>
      </c>
      <c r="G3368">
        <v>670</v>
      </c>
      <c r="H3368">
        <v>69932.459999999992</v>
      </c>
      <c r="I3368">
        <v>104.38</v>
      </c>
      <c r="J3368">
        <v>292</v>
      </c>
      <c r="K3368">
        <v>24856.42</v>
      </c>
      <c r="L3368">
        <v>85.12</v>
      </c>
      <c r="M3368">
        <v>962</v>
      </c>
      <c r="N3368">
        <v>94788.87999999999</v>
      </c>
      <c r="O3368">
        <v>98.53</v>
      </c>
    </row>
    <row r="3369" spans="1:15" x14ac:dyDescent="0.35">
      <c r="A3369" t="s">
        <v>3794</v>
      </c>
      <c r="B3369" t="s">
        <v>3795</v>
      </c>
      <c r="C3369" t="s">
        <v>1644</v>
      </c>
      <c r="D3369" t="s">
        <v>348</v>
      </c>
      <c r="E3369" t="s">
        <v>349</v>
      </c>
      <c r="F3369" t="s">
        <v>3835</v>
      </c>
      <c r="G3369">
        <v>846</v>
      </c>
      <c r="H3369">
        <v>74462.039999999994</v>
      </c>
      <c r="I3369">
        <v>106.22</v>
      </c>
      <c r="J3369">
        <v>301</v>
      </c>
      <c r="K3369">
        <v>26056.21</v>
      </c>
      <c r="L3369">
        <v>86.57</v>
      </c>
      <c r="M3369">
        <v>1147</v>
      </c>
      <c r="N3369">
        <v>100518.25</v>
      </c>
      <c r="O3369">
        <v>100.32</v>
      </c>
    </row>
    <row r="3370" spans="1:15" x14ac:dyDescent="0.35">
      <c r="A3370" t="s">
        <v>3836</v>
      </c>
      <c r="B3370" t="s">
        <v>3837</v>
      </c>
      <c r="C3370" t="s">
        <v>1644</v>
      </c>
      <c r="D3370" t="s">
        <v>293</v>
      </c>
      <c r="E3370" t="s">
        <v>294</v>
      </c>
      <c r="F3370" t="s">
        <v>3838</v>
      </c>
      <c r="G3370">
        <v>146</v>
      </c>
      <c r="H3370">
        <v>16035.47</v>
      </c>
      <c r="I3370">
        <v>109.83</v>
      </c>
      <c r="J3370">
        <v>0</v>
      </c>
      <c r="K3370">
        <v>0</v>
      </c>
      <c r="L3370">
        <v>0</v>
      </c>
      <c r="M3370">
        <v>146</v>
      </c>
      <c r="N3370">
        <v>16035.47</v>
      </c>
      <c r="O3370">
        <v>109.83</v>
      </c>
    </row>
    <row r="3371" spans="1:15" x14ac:dyDescent="0.35">
      <c r="A3371" t="s">
        <v>3836</v>
      </c>
      <c r="B3371" t="s">
        <v>3837</v>
      </c>
      <c r="C3371" t="s">
        <v>1644</v>
      </c>
      <c r="D3371" t="s">
        <v>293</v>
      </c>
      <c r="E3371" t="s">
        <v>296</v>
      </c>
      <c r="F3371" t="s">
        <v>3839</v>
      </c>
      <c r="G3371">
        <v>375</v>
      </c>
      <c r="H3371">
        <v>50235.57</v>
      </c>
      <c r="I3371">
        <v>133.96</v>
      </c>
      <c r="J3371">
        <v>0</v>
      </c>
      <c r="K3371">
        <v>0</v>
      </c>
      <c r="L3371">
        <v>0</v>
      </c>
      <c r="M3371">
        <v>375</v>
      </c>
      <c r="N3371">
        <v>50235.57</v>
      </c>
      <c r="O3371">
        <v>133.96</v>
      </c>
    </row>
    <row r="3372" spans="1:15" x14ac:dyDescent="0.35">
      <c r="A3372" t="s">
        <v>3836</v>
      </c>
      <c r="B3372" t="s">
        <v>3837</v>
      </c>
      <c r="C3372" t="s">
        <v>1644</v>
      </c>
      <c r="D3372" t="s">
        <v>293</v>
      </c>
      <c r="E3372" t="s">
        <v>298</v>
      </c>
      <c r="F3372" t="s">
        <v>3840</v>
      </c>
      <c r="G3372">
        <v>271</v>
      </c>
      <c r="H3372">
        <v>46657.959999999992</v>
      </c>
      <c r="I3372">
        <v>172.17</v>
      </c>
      <c r="J3372">
        <v>0</v>
      </c>
      <c r="K3372">
        <v>0</v>
      </c>
      <c r="L3372">
        <v>0</v>
      </c>
      <c r="M3372">
        <v>271</v>
      </c>
      <c r="N3372">
        <v>46657.959999999992</v>
      </c>
      <c r="O3372">
        <v>172.17</v>
      </c>
    </row>
    <row r="3373" spans="1:15" x14ac:dyDescent="0.35">
      <c r="A3373" t="s">
        <v>3836</v>
      </c>
      <c r="B3373" t="s">
        <v>3837</v>
      </c>
      <c r="C3373" t="s">
        <v>1644</v>
      </c>
      <c r="D3373" t="s">
        <v>293</v>
      </c>
      <c r="E3373" t="s">
        <v>300</v>
      </c>
      <c r="F3373" t="s">
        <v>3841</v>
      </c>
      <c r="G3373">
        <v>66</v>
      </c>
      <c r="H3373">
        <v>15117.439999999999</v>
      </c>
      <c r="I3373">
        <v>229.05</v>
      </c>
      <c r="J3373">
        <v>0</v>
      </c>
      <c r="K3373">
        <v>0</v>
      </c>
      <c r="L3373">
        <v>0</v>
      </c>
      <c r="M3373">
        <v>66</v>
      </c>
      <c r="N3373">
        <v>15117.439999999999</v>
      </c>
      <c r="O3373">
        <v>229.05</v>
      </c>
    </row>
    <row r="3374" spans="1:15" x14ac:dyDescent="0.35">
      <c r="A3374" t="s">
        <v>3836</v>
      </c>
      <c r="B3374" t="s">
        <v>3837</v>
      </c>
      <c r="C3374" t="s">
        <v>1644</v>
      </c>
      <c r="D3374" t="s">
        <v>293</v>
      </c>
      <c r="E3374" t="s">
        <v>302</v>
      </c>
      <c r="F3374" t="s">
        <v>3842</v>
      </c>
      <c r="G3374">
        <v>3</v>
      </c>
      <c r="H3374">
        <v>656.34</v>
      </c>
      <c r="I3374">
        <v>218.78</v>
      </c>
      <c r="J3374">
        <v>0</v>
      </c>
      <c r="K3374">
        <v>0</v>
      </c>
      <c r="L3374">
        <v>0</v>
      </c>
      <c r="M3374">
        <v>3</v>
      </c>
      <c r="N3374">
        <v>656.34</v>
      </c>
      <c r="O3374">
        <v>218.78</v>
      </c>
    </row>
    <row r="3375" spans="1:15" x14ac:dyDescent="0.35">
      <c r="A3375" t="s">
        <v>3836</v>
      </c>
      <c r="B3375" t="s">
        <v>3837</v>
      </c>
      <c r="C3375" t="s">
        <v>1644</v>
      </c>
      <c r="D3375" t="s">
        <v>293</v>
      </c>
      <c r="E3375" t="s">
        <v>304</v>
      </c>
      <c r="F3375" t="s">
        <v>3843</v>
      </c>
      <c r="G3375">
        <v>0</v>
      </c>
      <c r="H3375">
        <v>0</v>
      </c>
      <c r="I3375">
        <v>0</v>
      </c>
      <c r="J3375">
        <v>0</v>
      </c>
      <c r="K3375">
        <v>0</v>
      </c>
      <c r="L3375">
        <v>0</v>
      </c>
      <c r="M3375">
        <v>0</v>
      </c>
      <c r="N3375">
        <v>0</v>
      </c>
      <c r="O3375">
        <v>0</v>
      </c>
    </row>
    <row r="3376" spans="1:15" x14ac:dyDescent="0.35">
      <c r="A3376" t="s">
        <v>3836</v>
      </c>
      <c r="B3376" t="s">
        <v>3837</v>
      </c>
      <c r="C3376" t="s">
        <v>1644</v>
      </c>
      <c r="D3376" t="s">
        <v>293</v>
      </c>
      <c r="E3376" t="s">
        <v>306</v>
      </c>
      <c r="F3376" t="s">
        <v>3844</v>
      </c>
      <c r="G3376">
        <v>1</v>
      </c>
      <c r="H3376">
        <v>110.39</v>
      </c>
      <c r="I3376">
        <v>110.39</v>
      </c>
      <c r="J3376">
        <v>0</v>
      </c>
      <c r="K3376">
        <v>0</v>
      </c>
      <c r="L3376">
        <v>0</v>
      </c>
      <c r="M3376">
        <v>1</v>
      </c>
      <c r="N3376">
        <v>110.39</v>
      </c>
      <c r="O3376">
        <v>110.39</v>
      </c>
    </row>
    <row r="3377" spans="1:15" x14ac:dyDescent="0.35">
      <c r="A3377" t="s">
        <v>3836</v>
      </c>
      <c r="B3377" t="s">
        <v>3837</v>
      </c>
      <c r="C3377" t="s">
        <v>1644</v>
      </c>
      <c r="D3377" t="s">
        <v>293</v>
      </c>
      <c r="E3377" t="s">
        <v>308</v>
      </c>
      <c r="F3377" t="s">
        <v>3845</v>
      </c>
      <c r="G3377">
        <v>0</v>
      </c>
      <c r="H3377">
        <v>0</v>
      </c>
      <c r="I3377">
        <v>0</v>
      </c>
      <c r="J3377">
        <v>0</v>
      </c>
      <c r="K3377">
        <v>0</v>
      </c>
      <c r="L3377">
        <v>0</v>
      </c>
      <c r="M3377">
        <v>0</v>
      </c>
      <c r="N3377">
        <v>0</v>
      </c>
      <c r="O3377">
        <v>0</v>
      </c>
    </row>
    <row r="3378" spans="1:15" x14ac:dyDescent="0.35">
      <c r="A3378" t="s">
        <v>3836</v>
      </c>
      <c r="B3378" t="s">
        <v>3837</v>
      </c>
      <c r="C3378" t="s">
        <v>1644</v>
      </c>
      <c r="D3378" t="s">
        <v>293</v>
      </c>
      <c r="E3378" t="s">
        <v>310</v>
      </c>
      <c r="F3378" t="s">
        <v>3846</v>
      </c>
      <c r="G3378">
        <v>862</v>
      </c>
      <c r="H3378">
        <v>128813.16999999998</v>
      </c>
      <c r="I3378">
        <v>149.44</v>
      </c>
      <c r="J3378">
        <v>0</v>
      </c>
      <c r="K3378">
        <v>0</v>
      </c>
      <c r="L3378">
        <v>0</v>
      </c>
      <c r="M3378">
        <v>862</v>
      </c>
      <c r="N3378">
        <v>128813.16999999998</v>
      </c>
      <c r="O3378">
        <v>149.44</v>
      </c>
    </row>
    <row r="3379" spans="1:15" x14ac:dyDescent="0.35">
      <c r="A3379" t="s">
        <v>3836</v>
      </c>
      <c r="B3379" t="s">
        <v>3837</v>
      </c>
      <c r="C3379" t="s">
        <v>1644</v>
      </c>
      <c r="D3379" t="s">
        <v>293</v>
      </c>
      <c r="E3379" t="s">
        <v>312</v>
      </c>
      <c r="F3379" t="s">
        <v>3847</v>
      </c>
      <c r="G3379">
        <v>862</v>
      </c>
      <c r="H3379">
        <v>128813.16999999998</v>
      </c>
      <c r="I3379">
        <v>149.44</v>
      </c>
      <c r="J3379">
        <v>0</v>
      </c>
      <c r="K3379">
        <v>0</v>
      </c>
      <c r="L3379">
        <v>0</v>
      </c>
      <c r="M3379">
        <v>862</v>
      </c>
      <c r="N3379">
        <v>128813.16999999998</v>
      </c>
      <c r="O3379">
        <v>149.44</v>
      </c>
    </row>
    <row r="3380" spans="1:15" x14ac:dyDescent="0.35">
      <c r="A3380" t="s">
        <v>3836</v>
      </c>
      <c r="B3380" t="s">
        <v>3837</v>
      </c>
      <c r="C3380" t="s">
        <v>1644</v>
      </c>
      <c r="D3380" t="s">
        <v>314</v>
      </c>
      <c r="E3380" t="s">
        <v>294</v>
      </c>
      <c r="F3380" t="s">
        <v>3848</v>
      </c>
      <c r="G3380">
        <v>15</v>
      </c>
      <c r="H3380">
        <v>1680.9</v>
      </c>
      <c r="I3380">
        <v>112.06</v>
      </c>
      <c r="J3380">
        <v>10</v>
      </c>
      <c r="K3380">
        <v>1366.2</v>
      </c>
      <c r="L3380">
        <v>136.62</v>
      </c>
      <c r="M3380">
        <v>25</v>
      </c>
      <c r="N3380">
        <v>3047.1000000000004</v>
      </c>
      <c r="O3380">
        <v>121.88</v>
      </c>
    </row>
    <row r="3381" spans="1:15" x14ac:dyDescent="0.35">
      <c r="A3381" t="s">
        <v>3836</v>
      </c>
      <c r="B3381" t="s">
        <v>3837</v>
      </c>
      <c r="C3381" t="s">
        <v>1644</v>
      </c>
      <c r="D3381" t="s">
        <v>314</v>
      </c>
      <c r="E3381" t="s">
        <v>296</v>
      </c>
      <c r="F3381" t="s">
        <v>3849</v>
      </c>
      <c r="G3381">
        <v>5</v>
      </c>
      <c r="H3381">
        <v>669.4</v>
      </c>
      <c r="I3381">
        <v>133.88</v>
      </c>
      <c r="J3381">
        <v>1</v>
      </c>
      <c r="K3381">
        <v>149.59</v>
      </c>
      <c r="L3381">
        <v>149.59</v>
      </c>
      <c r="M3381">
        <v>6</v>
      </c>
      <c r="N3381">
        <v>818.99</v>
      </c>
      <c r="O3381">
        <v>136.5</v>
      </c>
    </row>
    <row r="3382" spans="1:15" x14ac:dyDescent="0.35">
      <c r="A3382" t="s">
        <v>3836</v>
      </c>
      <c r="B3382" t="s">
        <v>3837</v>
      </c>
      <c r="C3382" t="s">
        <v>1644</v>
      </c>
      <c r="D3382" t="s">
        <v>314</v>
      </c>
      <c r="E3382" t="s">
        <v>298</v>
      </c>
      <c r="F3382" t="s">
        <v>3850</v>
      </c>
      <c r="G3382">
        <v>0</v>
      </c>
      <c r="H3382">
        <v>0</v>
      </c>
      <c r="I3382">
        <v>0</v>
      </c>
      <c r="J3382">
        <v>16</v>
      </c>
      <c r="K3382">
        <v>3279.52</v>
      </c>
      <c r="L3382">
        <v>204.97</v>
      </c>
      <c r="M3382">
        <v>16</v>
      </c>
      <c r="N3382">
        <v>3279.52</v>
      </c>
      <c r="O3382">
        <v>204.97</v>
      </c>
    </row>
    <row r="3383" spans="1:15" x14ac:dyDescent="0.35">
      <c r="A3383" t="s">
        <v>3836</v>
      </c>
      <c r="B3383" t="s">
        <v>3837</v>
      </c>
      <c r="C3383" t="s">
        <v>1644</v>
      </c>
      <c r="D3383" t="s">
        <v>314</v>
      </c>
      <c r="E3383" t="s">
        <v>300</v>
      </c>
      <c r="F3383" t="s">
        <v>3851</v>
      </c>
      <c r="G3383">
        <v>0</v>
      </c>
      <c r="H3383">
        <v>0</v>
      </c>
      <c r="I3383">
        <v>0</v>
      </c>
      <c r="J3383">
        <v>10</v>
      </c>
      <c r="K3383">
        <v>2446.81</v>
      </c>
      <c r="L3383">
        <v>244.68</v>
      </c>
      <c r="M3383">
        <v>10</v>
      </c>
      <c r="N3383">
        <v>2446.81</v>
      </c>
      <c r="O3383">
        <v>244.68</v>
      </c>
    </row>
    <row r="3384" spans="1:15" x14ac:dyDescent="0.35">
      <c r="A3384" t="s">
        <v>3836</v>
      </c>
      <c r="B3384" t="s">
        <v>3837</v>
      </c>
      <c r="C3384" t="s">
        <v>1644</v>
      </c>
      <c r="D3384" t="s">
        <v>314</v>
      </c>
      <c r="E3384" t="s">
        <v>306</v>
      </c>
      <c r="F3384" t="s">
        <v>3852</v>
      </c>
      <c r="G3384">
        <v>0</v>
      </c>
      <c r="H3384">
        <v>0</v>
      </c>
      <c r="I3384">
        <v>0</v>
      </c>
      <c r="J3384">
        <v>0</v>
      </c>
      <c r="K3384">
        <v>0</v>
      </c>
      <c r="L3384">
        <v>0</v>
      </c>
      <c r="M3384">
        <v>0</v>
      </c>
      <c r="N3384">
        <v>0</v>
      </c>
      <c r="O3384">
        <v>0</v>
      </c>
    </row>
    <row r="3385" spans="1:15" x14ac:dyDescent="0.35">
      <c r="A3385" t="s">
        <v>3836</v>
      </c>
      <c r="B3385" t="s">
        <v>3837</v>
      </c>
      <c r="C3385" t="s">
        <v>1644</v>
      </c>
      <c r="D3385" t="s">
        <v>314</v>
      </c>
      <c r="E3385" t="s">
        <v>308</v>
      </c>
      <c r="F3385" t="s">
        <v>3853</v>
      </c>
      <c r="G3385">
        <v>0</v>
      </c>
      <c r="H3385">
        <v>0</v>
      </c>
      <c r="I3385">
        <v>0</v>
      </c>
      <c r="J3385">
        <v>7</v>
      </c>
      <c r="K3385">
        <v>581.55999999999995</v>
      </c>
      <c r="L3385">
        <v>83.08</v>
      </c>
      <c r="M3385">
        <v>7</v>
      </c>
      <c r="N3385">
        <v>581.55999999999995</v>
      </c>
      <c r="O3385">
        <v>83.08</v>
      </c>
    </row>
    <row r="3386" spans="1:15" x14ac:dyDescent="0.35">
      <c r="A3386" t="s">
        <v>3836</v>
      </c>
      <c r="B3386" t="s">
        <v>3837</v>
      </c>
      <c r="C3386" t="s">
        <v>1644</v>
      </c>
      <c r="D3386" t="s">
        <v>314</v>
      </c>
      <c r="E3386" t="s">
        <v>312</v>
      </c>
      <c r="F3386" t="s">
        <v>3854</v>
      </c>
      <c r="G3386">
        <v>20</v>
      </c>
      <c r="H3386">
        <v>2350.3000000000002</v>
      </c>
      <c r="I3386">
        <v>117.52</v>
      </c>
      <c r="J3386">
        <v>37</v>
      </c>
      <c r="K3386">
        <v>7242.12</v>
      </c>
      <c r="L3386">
        <v>195.73</v>
      </c>
      <c r="M3386">
        <v>57</v>
      </c>
      <c r="N3386">
        <v>9592.42</v>
      </c>
      <c r="O3386">
        <v>168.29</v>
      </c>
    </row>
    <row r="3387" spans="1:15" x14ac:dyDescent="0.35">
      <c r="A3387" t="s">
        <v>3836</v>
      </c>
      <c r="B3387" t="s">
        <v>3837</v>
      </c>
      <c r="C3387" t="s">
        <v>1644</v>
      </c>
      <c r="D3387" t="s">
        <v>314</v>
      </c>
      <c r="E3387" t="s">
        <v>310</v>
      </c>
      <c r="F3387" t="s">
        <v>3855</v>
      </c>
      <c r="G3387">
        <v>20</v>
      </c>
      <c r="H3387">
        <v>2350.3000000000002</v>
      </c>
      <c r="I3387">
        <v>117.52</v>
      </c>
      <c r="J3387">
        <v>44</v>
      </c>
      <c r="K3387">
        <v>7823.6799999999985</v>
      </c>
      <c r="L3387">
        <v>177.81</v>
      </c>
      <c r="M3387">
        <v>64</v>
      </c>
      <c r="N3387">
        <v>10173.98</v>
      </c>
      <c r="O3387">
        <v>158.97</v>
      </c>
    </row>
    <row r="3388" spans="1:15" x14ac:dyDescent="0.35">
      <c r="A3388" t="s">
        <v>3836</v>
      </c>
      <c r="B3388" t="s">
        <v>3837</v>
      </c>
      <c r="C3388" t="s">
        <v>1644</v>
      </c>
      <c r="D3388" t="s">
        <v>323</v>
      </c>
      <c r="E3388" t="s">
        <v>294</v>
      </c>
      <c r="F3388" t="s">
        <v>3856</v>
      </c>
      <c r="G3388">
        <v>928</v>
      </c>
      <c r="H3388">
        <v>82065.340000000011</v>
      </c>
      <c r="I3388">
        <v>88.43</v>
      </c>
      <c r="J3388">
        <v>1</v>
      </c>
      <c r="K3388">
        <v>136.93</v>
      </c>
      <c r="L3388">
        <v>136.93</v>
      </c>
      <c r="M3388">
        <v>929</v>
      </c>
      <c r="N3388">
        <v>82202.27</v>
      </c>
      <c r="O3388">
        <v>88.48</v>
      </c>
    </row>
    <row r="3389" spans="1:15" x14ac:dyDescent="0.35">
      <c r="A3389" t="s">
        <v>3836</v>
      </c>
      <c r="B3389" t="s">
        <v>3837</v>
      </c>
      <c r="C3389" t="s">
        <v>1644</v>
      </c>
      <c r="D3389" t="s">
        <v>323</v>
      </c>
      <c r="E3389" t="s">
        <v>296</v>
      </c>
      <c r="F3389" t="s">
        <v>3857</v>
      </c>
      <c r="G3389">
        <v>1431</v>
      </c>
      <c r="H3389">
        <v>141946.10999999999</v>
      </c>
      <c r="I3389">
        <v>99.19</v>
      </c>
      <c r="J3389">
        <v>22</v>
      </c>
      <c r="K3389">
        <v>3672.24</v>
      </c>
      <c r="L3389">
        <v>166.92</v>
      </c>
      <c r="M3389">
        <v>1453</v>
      </c>
      <c r="N3389">
        <v>145618.34999999998</v>
      </c>
      <c r="O3389">
        <v>100.22</v>
      </c>
    </row>
    <row r="3390" spans="1:15" x14ac:dyDescent="0.35">
      <c r="A3390" t="s">
        <v>3836</v>
      </c>
      <c r="B3390" t="s">
        <v>3837</v>
      </c>
      <c r="C3390" t="s">
        <v>1644</v>
      </c>
      <c r="D3390" t="s">
        <v>323</v>
      </c>
      <c r="E3390" t="s">
        <v>298</v>
      </c>
      <c r="F3390" t="s">
        <v>3858</v>
      </c>
      <c r="G3390">
        <v>1584</v>
      </c>
      <c r="H3390">
        <v>188000.81</v>
      </c>
      <c r="I3390">
        <v>118.69</v>
      </c>
      <c r="J3390">
        <v>41</v>
      </c>
      <c r="K3390">
        <v>8508.32</v>
      </c>
      <c r="L3390">
        <v>207.52</v>
      </c>
      <c r="M3390">
        <v>1625</v>
      </c>
      <c r="N3390">
        <v>196509.13</v>
      </c>
      <c r="O3390">
        <v>120.93</v>
      </c>
    </row>
    <row r="3391" spans="1:15" x14ac:dyDescent="0.35">
      <c r="A3391" t="s">
        <v>3836</v>
      </c>
      <c r="B3391" t="s">
        <v>3837</v>
      </c>
      <c r="C3391" t="s">
        <v>1644</v>
      </c>
      <c r="D3391" t="s">
        <v>323</v>
      </c>
      <c r="E3391" t="s">
        <v>300</v>
      </c>
      <c r="F3391" t="s">
        <v>3859</v>
      </c>
      <c r="G3391">
        <v>154</v>
      </c>
      <c r="H3391">
        <v>20200.39</v>
      </c>
      <c r="I3391">
        <v>131.16999999999999</v>
      </c>
      <c r="J3391">
        <v>2</v>
      </c>
      <c r="K3391">
        <v>431.64</v>
      </c>
      <c r="L3391">
        <v>215.82</v>
      </c>
      <c r="M3391">
        <v>156</v>
      </c>
      <c r="N3391">
        <v>20632.03</v>
      </c>
      <c r="O3391">
        <v>132.26</v>
      </c>
    </row>
    <row r="3392" spans="1:15" x14ac:dyDescent="0.35">
      <c r="A3392" t="s">
        <v>3836</v>
      </c>
      <c r="B3392" t="s">
        <v>3837</v>
      </c>
      <c r="C3392" t="s">
        <v>1644</v>
      </c>
      <c r="D3392" t="s">
        <v>323</v>
      </c>
      <c r="E3392" t="s">
        <v>302</v>
      </c>
      <c r="F3392" t="s">
        <v>3860</v>
      </c>
      <c r="G3392">
        <v>14</v>
      </c>
      <c r="H3392">
        <v>2074.98</v>
      </c>
      <c r="I3392">
        <v>148.21</v>
      </c>
      <c r="J3392">
        <v>0</v>
      </c>
      <c r="K3392">
        <v>0</v>
      </c>
      <c r="L3392">
        <v>0</v>
      </c>
      <c r="M3392">
        <v>14</v>
      </c>
      <c r="N3392">
        <v>2074.98</v>
      </c>
      <c r="O3392">
        <v>148.21</v>
      </c>
    </row>
    <row r="3393" spans="1:15" x14ac:dyDescent="0.35">
      <c r="A3393" t="s">
        <v>3836</v>
      </c>
      <c r="B3393" t="s">
        <v>3837</v>
      </c>
      <c r="C3393" t="s">
        <v>1644</v>
      </c>
      <c r="D3393" t="s">
        <v>323</v>
      </c>
      <c r="E3393" t="s">
        <v>304</v>
      </c>
      <c r="F3393" t="s">
        <v>3861</v>
      </c>
      <c r="G3393">
        <v>1</v>
      </c>
      <c r="H3393">
        <v>161.38</v>
      </c>
      <c r="I3393">
        <v>161.38</v>
      </c>
      <c r="J3393">
        <v>0</v>
      </c>
      <c r="K3393">
        <v>0</v>
      </c>
      <c r="L3393">
        <v>0</v>
      </c>
      <c r="M3393">
        <v>1</v>
      </c>
      <c r="N3393">
        <v>161.38</v>
      </c>
      <c r="O3393">
        <v>161.38</v>
      </c>
    </row>
    <row r="3394" spans="1:15" x14ac:dyDescent="0.35">
      <c r="A3394" t="s">
        <v>3836</v>
      </c>
      <c r="B3394" t="s">
        <v>3837</v>
      </c>
      <c r="C3394" t="s">
        <v>1644</v>
      </c>
      <c r="D3394" t="s">
        <v>323</v>
      </c>
      <c r="E3394" t="s">
        <v>306</v>
      </c>
      <c r="F3394" t="s">
        <v>3862</v>
      </c>
      <c r="G3394">
        <v>28</v>
      </c>
      <c r="H3394">
        <v>2111.23</v>
      </c>
      <c r="I3394">
        <v>75.400000000000006</v>
      </c>
      <c r="J3394">
        <v>0</v>
      </c>
      <c r="K3394">
        <v>0</v>
      </c>
      <c r="L3394">
        <v>0</v>
      </c>
      <c r="M3394">
        <v>28</v>
      </c>
      <c r="N3394">
        <v>2111.23</v>
      </c>
      <c r="O3394">
        <v>75.400000000000006</v>
      </c>
    </row>
    <row r="3395" spans="1:15" x14ac:dyDescent="0.35">
      <c r="A3395" t="s">
        <v>3836</v>
      </c>
      <c r="B3395" t="s">
        <v>3837</v>
      </c>
      <c r="C3395" t="s">
        <v>1644</v>
      </c>
      <c r="D3395" t="s">
        <v>323</v>
      </c>
      <c r="E3395" t="s">
        <v>308</v>
      </c>
      <c r="F3395" t="s">
        <v>3863</v>
      </c>
      <c r="G3395">
        <v>0</v>
      </c>
      <c r="H3395">
        <v>0</v>
      </c>
      <c r="I3395">
        <v>0</v>
      </c>
      <c r="J3395">
        <v>12</v>
      </c>
      <c r="K3395">
        <v>996.96</v>
      </c>
      <c r="L3395">
        <v>83.08</v>
      </c>
      <c r="M3395">
        <v>12</v>
      </c>
      <c r="N3395">
        <v>996.96</v>
      </c>
      <c r="O3395">
        <v>83.08</v>
      </c>
    </row>
    <row r="3396" spans="1:15" x14ac:dyDescent="0.35">
      <c r="A3396" t="s">
        <v>3836</v>
      </c>
      <c r="B3396" t="s">
        <v>3837</v>
      </c>
      <c r="C3396" t="s">
        <v>1644</v>
      </c>
      <c r="D3396" t="s">
        <v>323</v>
      </c>
      <c r="E3396" t="s">
        <v>310</v>
      </c>
      <c r="F3396" t="s">
        <v>3864</v>
      </c>
      <c r="G3396">
        <v>4140</v>
      </c>
      <c r="H3396">
        <v>436560.24</v>
      </c>
      <c r="I3396">
        <v>105.45</v>
      </c>
      <c r="J3396">
        <v>78</v>
      </c>
      <c r="K3396">
        <v>13746.09</v>
      </c>
      <c r="L3396">
        <v>176.23</v>
      </c>
      <c r="M3396">
        <v>4218</v>
      </c>
      <c r="N3396">
        <v>450306.33</v>
      </c>
      <c r="O3396">
        <v>106.76</v>
      </c>
    </row>
    <row r="3397" spans="1:15" x14ac:dyDescent="0.35">
      <c r="A3397" t="s">
        <v>3836</v>
      </c>
      <c r="B3397" t="s">
        <v>3837</v>
      </c>
      <c r="C3397" t="s">
        <v>1644</v>
      </c>
      <c r="D3397" t="s">
        <v>323</v>
      </c>
      <c r="E3397" t="s">
        <v>312</v>
      </c>
      <c r="F3397" t="s">
        <v>3865</v>
      </c>
      <c r="G3397">
        <v>4140</v>
      </c>
      <c r="H3397">
        <v>436560.24</v>
      </c>
      <c r="I3397">
        <v>105.45</v>
      </c>
      <c r="J3397">
        <v>66</v>
      </c>
      <c r="K3397">
        <v>12749.13</v>
      </c>
      <c r="L3397">
        <v>193.17</v>
      </c>
      <c r="M3397">
        <v>4206</v>
      </c>
      <c r="N3397">
        <v>449309.37</v>
      </c>
      <c r="O3397">
        <v>106.83</v>
      </c>
    </row>
    <row r="3398" spans="1:15" x14ac:dyDescent="0.35">
      <c r="A3398" t="s">
        <v>3836</v>
      </c>
      <c r="B3398" t="s">
        <v>3837</v>
      </c>
      <c r="C3398" t="s">
        <v>1644</v>
      </c>
      <c r="D3398" t="s">
        <v>334</v>
      </c>
      <c r="E3398" t="s">
        <v>312</v>
      </c>
      <c r="F3398" t="s">
        <v>3866</v>
      </c>
      <c r="G3398">
        <v>5197</v>
      </c>
      <c r="H3398">
        <v>565373.40999999992</v>
      </c>
      <c r="I3398">
        <v>113.03</v>
      </c>
      <c r="J3398">
        <v>66</v>
      </c>
      <c r="K3398">
        <v>12749.13</v>
      </c>
      <c r="L3398">
        <v>193.17</v>
      </c>
      <c r="M3398">
        <v>5263</v>
      </c>
      <c r="N3398">
        <v>578122.53999999992</v>
      </c>
      <c r="O3398">
        <v>114.07</v>
      </c>
    </row>
    <row r="3399" spans="1:15" x14ac:dyDescent="0.35">
      <c r="A3399" t="s">
        <v>3836</v>
      </c>
      <c r="B3399" t="s">
        <v>3837</v>
      </c>
      <c r="C3399" t="s">
        <v>1644</v>
      </c>
      <c r="D3399" t="s">
        <v>334</v>
      </c>
      <c r="E3399" t="s">
        <v>308</v>
      </c>
      <c r="F3399" t="s">
        <v>3867</v>
      </c>
      <c r="G3399">
        <v>0</v>
      </c>
      <c r="H3399">
        <v>0</v>
      </c>
      <c r="I3399">
        <v>0</v>
      </c>
      <c r="J3399">
        <v>12</v>
      </c>
      <c r="K3399">
        <v>996.96</v>
      </c>
      <c r="L3399">
        <v>83.08</v>
      </c>
      <c r="M3399">
        <v>12</v>
      </c>
      <c r="N3399">
        <v>996.96</v>
      </c>
      <c r="O3399">
        <v>83.08</v>
      </c>
    </row>
    <row r="3400" spans="1:15" x14ac:dyDescent="0.35">
      <c r="A3400" t="s">
        <v>3836</v>
      </c>
      <c r="B3400" t="s">
        <v>3837</v>
      </c>
      <c r="C3400" t="s">
        <v>1644</v>
      </c>
      <c r="D3400" t="s">
        <v>337</v>
      </c>
      <c r="E3400" t="s">
        <v>337</v>
      </c>
      <c r="F3400" t="s">
        <v>3868</v>
      </c>
      <c r="G3400">
        <v>293</v>
      </c>
      <c r="J3400">
        <v>0</v>
      </c>
      <c r="M3400">
        <v>293</v>
      </c>
    </row>
    <row r="3401" spans="1:15" x14ac:dyDescent="0.35">
      <c r="A3401" t="s">
        <v>3836</v>
      </c>
      <c r="B3401" t="s">
        <v>3837</v>
      </c>
      <c r="C3401" t="s">
        <v>1644</v>
      </c>
      <c r="D3401" t="s">
        <v>339</v>
      </c>
      <c r="E3401" t="s">
        <v>294</v>
      </c>
      <c r="F3401" t="s">
        <v>3869</v>
      </c>
      <c r="G3401">
        <v>523</v>
      </c>
      <c r="H3401">
        <v>46703.22</v>
      </c>
      <c r="I3401">
        <v>89.3</v>
      </c>
      <c r="J3401">
        <v>15</v>
      </c>
      <c r="K3401">
        <v>1208.7</v>
      </c>
      <c r="L3401">
        <v>80.58</v>
      </c>
      <c r="M3401">
        <v>538</v>
      </c>
      <c r="N3401">
        <v>47911.92</v>
      </c>
      <c r="O3401">
        <v>89.06</v>
      </c>
    </row>
    <row r="3402" spans="1:15" x14ac:dyDescent="0.35">
      <c r="A3402" t="s">
        <v>3836</v>
      </c>
      <c r="B3402" t="s">
        <v>3837</v>
      </c>
      <c r="C3402" t="s">
        <v>1644</v>
      </c>
      <c r="D3402" t="s">
        <v>339</v>
      </c>
      <c r="E3402" t="s">
        <v>296</v>
      </c>
      <c r="F3402" t="s">
        <v>3870</v>
      </c>
      <c r="G3402">
        <v>194</v>
      </c>
      <c r="H3402">
        <v>17549.22</v>
      </c>
      <c r="I3402">
        <v>90.46</v>
      </c>
      <c r="J3402">
        <v>0</v>
      </c>
      <c r="K3402">
        <v>0</v>
      </c>
      <c r="L3402">
        <v>0</v>
      </c>
      <c r="M3402">
        <v>194</v>
      </c>
      <c r="N3402">
        <v>17549.22</v>
      </c>
      <c r="O3402">
        <v>90.46</v>
      </c>
    </row>
    <row r="3403" spans="1:15" x14ac:dyDescent="0.35">
      <c r="A3403" t="s">
        <v>3836</v>
      </c>
      <c r="B3403" t="s">
        <v>3837</v>
      </c>
      <c r="C3403" t="s">
        <v>1644</v>
      </c>
      <c r="D3403" t="s">
        <v>339</v>
      </c>
      <c r="E3403" t="s">
        <v>298</v>
      </c>
      <c r="F3403" t="s">
        <v>3871</v>
      </c>
      <c r="G3403">
        <v>2</v>
      </c>
      <c r="H3403">
        <v>236.12</v>
      </c>
      <c r="I3403">
        <v>118.06</v>
      </c>
      <c r="J3403">
        <v>0</v>
      </c>
      <c r="K3403">
        <v>0</v>
      </c>
      <c r="L3403">
        <v>0</v>
      </c>
      <c r="M3403">
        <v>2</v>
      </c>
      <c r="N3403">
        <v>236.12</v>
      </c>
      <c r="O3403">
        <v>118.06</v>
      </c>
    </row>
    <row r="3404" spans="1:15" x14ac:dyDescent="0.35">
      <c r="A3404" t="s">
        <v>3836</v>
      </c>
      <c r="B3404" t="s">
        <v>3837</v>
      </c>
      <c r="C3404" t="s">
        <v>1644</v>
      </c>
      <c r="D3404" t="s">
        <v>339</v>
      </c>
      <c r="E3404" t="s">
        <v>300</v>
      </c>
      <c r="F3404" t="s">
        <v>3872</v>
      </c>
      <c r="G3404">
        <v>0</v>
      </c>
      <c r="H3404">
        <v>0</v>
      </c>
      <c r="I3404">
        <v>0</v>
      </c>
      <c r="J3404">
        <v>0</v>
      </c>
      <c r="K3404">
        <v>0</v>
      </c>
      <c r="L3404">
        <v>0</v>
      </c>
      <c r="M3404">
        <v>0</v>
      </c>
      <c r="N3404">
        <v>0</v>
      </c>
      <c r="O3404">
        <v>0</v>
      </c>
    </row>
    <row r="3405" spans="1:15" x14ac:dyDescent="0.35">
      <c r="A3405" t="s">
        <v>3836</v>
      </c>
      <c r="B3405" t="s">
        <v>3837</v>
      </c>
      <c r="C3405" t="s">
        <v>1644</v>
      </c>
      <c r="D3405" t="s">
        <v>339</v>
      </c>
      <c r="E3405" t="s">
        <v>306</v>
      </c>
      <c r="F3405" t="s">
        <v>3873</v>
      </c>
      <c r="G3405">
        <v>22</v>
      </c>
      <c r="H3405">
        <v>1791.58</v>
      </c>
      <c r="I3405">
        <v>81.44</v>
      </c>
      <c r="J3405">
        <v>0</v>
      </c>
      <c r="K3405">
        <v>0</v>
      </c>
      <c r="L3405">
        <v>0</v>
      </c>
      <c r="M3405">
        <v>22</v>
      </c>
      <c r="N3405">
        <v>1791.58</v>
      </c>
      <c r="O3405">
        <v>81.44</v>
      </c>
    </row>
    <row r="3406" spans="1:15" x14ac:dyDescent="0.35">
      <c r="A3406" t="s">
        <v>3836</v>
      </c>
      <c r="B3406" t="s">
        <v>3837</v>
      </c>
      <c r="C3406" t="s">
        <v>1644</v>
      </c>
      <c r="D3406" t="s">
        <v>339</v>
      </c>
      <c r="E3406" t="s">
        <v>308</v>
      </c>
      <c r="F3406" t="s">
        <v>3874</v>
      </c>
      <c r="G3406">
        <v>66</v>
      </c>
      <c r="H3406">
        <v>6371.45</v>
      </c>
      <c r="I3406">
        <v>96.54</v>
      </c>
      <c r="J3406">
        <v>0</v>
      </c>
      <c r="K3406">
        <v>0</v>
      </c>
      <c r="L3406">
        <v>0</v>
      </c>
      <c r="M3406">
        <v>66</v>
      </c>
      <c r="N3406">
        <v>6371.45</v>
      </c>
      <c r="O3406">
        <v>96.54</v>
      </c>
    </row>
    <row r="3407" spans="1:15" x14ac:dyDescent="0.35">
      <c r="A3407" t="s">
        <v>3836</v>
      </c>
      <c r="B3407" t="s">
        <v>3837</v>
      </c>
      <c r="C3407" t="s">
        <v>1644</v>
      </c>
      <c r="D3407" t="s">
        <v>339</v>
      </c>
      <c r="E3407" t="s">
        <v>310</v>
      </c>
      <c r="F3407" t="s">
        <v>3875</v>
      </c>
      <c r="G3407">
        <v>807</v>
      </c>
      <c r="H3407">
        <v>72651.59</v>
      </c>
      <c r="I3407">
        <v>90.03</v>
      </c>
      <c r="J3407">
        <v>15</v>
      </c>
      <c r="K3407">
        <v>1208.7</v>
      </c>
      <c r="L3407">
        <v>80.58</v>
      </c>
      <c r="M3407">
        <v>822</v>
      </c>
      <c r="N3407">
        <v>73860.289999999994</v>
      </c>
      <c r="O3407">
        <v>89.85</v>
      </c>
    </row>
    <row r="3408" spans="1:15" x14ac:dyDescent="0.35">
      <c r="A3408" t="s">
        <v>3836</v>
      </c>
      <c r="B3408" t="s">
        <v>3837</v>
      </c>
      <c r="C3408" t="s">
        <v>1644</v>
      </c>
      <c r="D3408" t="s">
        <v>339</v>
      </c>
      <c r="E3408" t="s">
        <v>312</v>
      </c>
      <c r="F3408" t="s">
        <v>3876</v>
      </c>
      <c r="G3408">
        <v>741</v>
      </c>
      <c r="H3408">
        <v>66280.14</v>
      </c>
      <c r="I3408">
        <v>89.45</v>
      </c>
      <c r="J3408">
        <v>15</v>
      </c>
      <c r="K3408">
        <v>1208.7</v>
      </c>
      <c r="L3408">
        <v>80.58</v>
      </c>
      <c r="M3408">
        <v>756</v>
      </c>
      <c r="N3408">
        <v>67488.84</v>
      </c>
      <c r="O3408">
        <v>89.27</v>
      </c>
    </row>
    <row r="3409" spans="1:15" x14ac:dyDescent="0.35">
      <c r="A3409" t="s">
        <v>3836</v>
      </c>
      <c r="B3409" t="s">
        <v>3837</v>
      </c>
      <c r="C3409" t="s">
        <v>1644</v>
      </c>
      <c r="D3409" t="s">
        <v>348</v>
      </c>
      <c r="E3409" t="s">
        <v>349</v>
      </c>
      <c r="F3409" t="s">
        <v>3877</v>
      </c>
      <c r="G3409">
        <v>961</v>
      </c>
      <c r="H3409">
        <v>75001.89</v>
      </c>
      <c r="I3409">
        <v>90.69</v>
      </c>
      <c r="J3409">
        <v>59</v>
      </c>
      <c r="K3409">
        <v>9032.3799999999992</v>
      </c>
      <c r="L3409">
        <v>153.09</v>
      </c>
      <c r="M3409">
        <v>1020</v>
      </c>
      <c r="N3409">
        <v>84034.27</v>
      </c>
      <c r="O3409">
        <v>94.85</v>
      </c>
    </row>
    <row r="3410" spans="1:15" x14ac:dyDescent="0.35">
      <c r="A3410" t="s">
        <v>3878</v>
      </c>
      <c r="B3410" t="s">
        <v>3879</v>
      </c>
      <c r="C3410" t="s">
        <v>1644</v>
      </c>
      <c r="D3410" t="s">
        <v>293</v>
      </c>
      <c r="E3410" t="s">
        <v>294</v>
      </c>
      <c r="F3410" t="s">
        <v>3880</v>
      </c>
      <c r="G3410">
        <v>133</v>
      </c>
      <c r="H3410">
        <v>23640.820000000003</v>
      </c>
      <c r="I3410">
        <v>177.75</v>
      </c>
      <c r="J3410">
        <v>49</v>
      </c>
      <c r="K3410">
        <v>8439.2699999999986</v>
      </c>
      <c r="L3410">
        <v>172.23</v>
      </c>
      <c r="M3410">
        <v>182</v>
      </c>
      <c r="N3410">
        <v>32080.090000000004</v>
      </c>
      <c r="O3410">
        <v>176.26</v>
      </c>
    </row>
    <row r="3411" spans="1:15" x14ac:dyDescent="0.35">
      <c r="A3411" t="s">
        <v>3878</v>
      </c>
      <c r="B3411" t="s">
        <v>3879</v>
      </c>
      <c r="C3411" t="s">
        <v>1644</v>
      </c>
      <c r="D3411" t="s">
        <v>293</v>
      </c>
      <c r="E3411" t="s">
        <v>296</v>
      </c>
      <c r="F3411" t="s">
        <v>3881</v>
      </c>
      <c r="G3411">
        <v>211</v>
      </c>
      <c r="H3411">
        <v>46083.780000000006</v>
      </c>
      <c r="I3411">
        <v>218.41</v>
      </c>
      <c r="J3411">
        <v>64</v>
      </c>
      <c r="K3411">
        <v>13169.28</v>
      </c>
      <c r="L3411">
        <v>205.77</v>
      </c>
      <c r="M3411">
        <v>275</v>
      </c>
      <c r="N3411">
        <v>59253.060000000005</v>
      </c>
      <c r="O3411">
        <v>215.47</v>
      </c>
    </row>
    <row r="3412" spans="1:15" x14ac:dyDescent="0.35">
      <c r="A3412" t="s">
        <v>3878</v>
      </c>
      <c r="B3412" t="s">
        <v>3879</v>
      </c>
      <c r="C3412" t="s">
        <v>1644</v>
      </c>
      <c r="D3412" t="s">
        <v>293</v>
      </c>
      <c r="E3412" t="s">
        <v>298</v>
      </c>
      <c r="F3412" t="s">
        <v>3882</v>
      </c>
      <c r="G3412">
        <v>63</v>
      </c>
      <c r="H3412">
        <v>17066.939999999999</v>
      </c>
      <c r="I3412">
        <v>270.89999999999998</v>
      </c>
      <c r="J3412">
        <v>11</v>
      </c>
      <c r="K3412">
        <v>2976.6000000000004</v>
      </c>
      <c r="L3412">
        <v>270.60000000000002</v>
      </c>
      <c r="M3412">
        <v>74</v>
      </c>
      <c r="N3412">
        <v>20043.54</v>
      </c>
      <c r="O3412">
        <v>270.86</v>
      </c>
    </row>
    <row r="3413" spans="1:15" x14ac:dyDescent="0.35">
      <c r="A3413" t="s">
        <v>3878</v>
      </c>
      <c r="B3413" t="s">
        <v>3879</v>
      </c>
      <c r="C3413" t="s">
        <v>1644</v>
      </c>
      <c r="D3413" t="s">
        <v>293</v>
      </c>
      <c r="E3413" t="s">
        <v>300</v>
      </c>
      <c r="F3413" t="s">
        <v>3883</v>
      </c>
      <c r="G3413">
        <v>1</v>
      </c>
      <c r="H3413">
        <v>302.89999999999998</v>
      </c>
      <c r="I3413">
        <v>302.89999999999998</v>
      </c>
      <c r="J3413">
        <v>3</v>
      </c>
      <c r="K3413">
        <v>988.44</v>
      </c>
      <c r="L3413">
        <v>329.48</v>
      </c>
      <c r="M3413">
        <v>4</v>
      </c>
      <c r="N3413">
        <v>1291.3400000000001</v>
      </c>
      <c r="O3413">
        <v>322.83999999999997</v>
      </c>
    </row>
    <row r="3414" spans="1:15" x14ac:dyDescent="0.35">
      <c r="A3414" t="s">
        <v>3878</v>
      </c>
      <c r="B3414" t="s">
        <v>3879</v>
      </c>
      <c r="C3414" t="s">
        <v>1644</v>
      </c>
      <c r="D3414" t="s">
        <v>293</v>
      </c>
      <c r="E3414" t="s">
        <v>302</v>
      </c>
      <c r="F3414" t="s">
        <v>3884</v>
      </c>
      <c r="G3414">
        <v>0</v>
      </c>
      <c r="H3414">
        <v>0</v>
      </c>
      <c r="I3414">
        <v>0</v>
      </c>
      <c r="J3414">
        <v>2</v>
      </c>
      <c r="K3414">
        <v>620.5</v>
      </c>
      <c r="L3414">
        <v>310.25</v>
      </c>
      <c r="M3414">
        <v>2</v>
      </c>
      <c r="N3414">
        <v>620.5</v>
      </c>
      <c r="O3414">
        <v>310.25</v>
      </c>
    </row>
    <row r="3415" spans="1:15" x14ac:dyDescent="0.35">
      <c r="A3415" t="s">
        <v>3878</v>
      </c>
      <c r="B3415" t="s">
        <v>3879</v>
      </c>
      <c r="C3415" t="s">
        <v>1644</v>
      </c>
      <c r="D3415" t="s">
        <v>293</v>
      </c>
      <c r="E3415" t="s">
        <v>304</v>
      </c>
      <c r="F3415" t="s">
        <v>3885</v>
      </c>
      <c r="G3415">
        <v>0</v>
      </c>
      <c r="H3415">
        <v>0</v>
      </c>
      <c r="I3415">
        <v>0</v>
      </c>
      <c r="J3415">
        <v>0</v>
      </c>
      <c r="K3415">
        <v>0</v>
      </c>
      <c r="L3415">
        <v>0</v>
      </c>
      <c r="M3415">
        <v>0</v>
      </c>
      <c r="N3415">
        <v>0</v>
      </c>
      <c r="O3415">
        <v>0</v>
      </c>
    </row>
    <row r="3416" spans="1:15" x14ac:dyDescent="0.35">
      <c r="A3416" t="s">
        <v>3878</v>
      </c>
      <c r="B3416" t="s">
        <v>3879</v>
      </c>
      <c r="C3416" t="s">
        <v>1644</v>
      </c>
      <c r="D3416" t="s">
        <v>293</v>
      </c>
      <c r="E3416" t="s">
        <v>306</v>
      </c>
      <c r="F3416" t="s">
        <v>3886</v>
      </c>
      <c r="G3416">
        <v>0</v>
      </c>
      <c r="H3416">
        <v>0</v>
      </c>
      <c r="I3416">
        <v>0</v>
      </c>
      <c r="J3416">
        <v>0</v>
      </c>
      <c r="K3416">
        <v>0</v>
      </c>
      <c r="L3416">
        <v>0</v>
      </c>
      <c r="M3416">
        <v>0</v>
      </c>
      <c r="N3416">
        <v>0</v>
      </c>
      <c r="O3416">
        <v>0</v>
      </c>
    </row>
    <row r="3417" spans="1:15" x14ac:dyDescent="0.35">
      <c r="A3417" t="s">
        <v>3878</v>
      </c>
      <c r="B3417" t="s">
        <v>3879</v>
      </c>
      <c r="C3417" t="s">
        <v>1644</v>
      </c>
      <c r="D3417" t="s">
        <v>293</v>
      </c>
      <c r="E3417" t="s">
        <v>308</v>
      </c>
      <c r="F3417" t="s">
        <v>3887</v>
      </c>
      <c r="G3417">
        <v>0</v>
      </c>
      <c r="H3417">
        <v>0</v>
      </c>
      <c r="I3417">
        <v>0</v>
      </c>
      <c r="J3417">
        <v>0</v>
      </c>
      <c r="K3417">
        <v>0</v>
      </c>
      <c r="L3417">
        <v>0</v>
      </c>
      <c r="M3417">
        <v>0</v>
      </c>
      <c r="N3417">
        <v>0</v>
      </c>
      <c r="O3417">
        <v>0</v>
      </c>
    </row>
    <row r="3418" spans="1:15" x14ac:dyDescent="0.35">
      <c r="A3418" t="s">
        <v>3878</v>
      </c>
      <c r="B3418" t="s">
        <v>3879</v>
      </c>
      <c r="C3418" t="s">
        <v>1644</v>
      </c>
      <c r="D3418" t="s">
        <v>293</v>
      </c>
      <c r="E3418" t="s">
        <v>310</v>
      </c>
      <c r="F3418" t="s">
        <v>3888</v>
      </c>
      <c r="G3418">
        <v>408</v>
      </c>
      <c r="H3418">
        <v>87094.44</v>
      </c>
      <c r="I3418">
        <v>213.47</v>
      </c>
      <c r="J3418">
        <v>129</v>
      </c>
      <c r="K3418">
        <v>26194.09</v>
      </c>
      <c r="L3418">
        <v>203.05</v>
      </c>
      <c r="M3418">
        <v>537</v>
      </c>
      <c r="N3418">
        <v>113288.53</v>
      </c>
      <c r="O3418">
        <v>210.97</v>
      </c>
    </row>
    <row r="3419" spans="1:15" x14ac:dyDescent="0.35">
      <c r="A3419" t="s">
        <v>3878</v>
      </c>
      <c r="B3419" t="s">
        <v>3879</v>
      </c>
      <c r="C3419" t="s">
        <v>1644</v>
      </c>
      <c r="D3419" t="s">
        <v>293</v>
      </c>
      <c r="E3419" t="s">
        <v>312</v>
      </c>
      <c r="F3419" t="s">
        <v>3889</v>
      </c>
      <c r="G3419">
        <v>408</v>
      </c>
      <c r="H3419">
        <v>87094.44</v>
      </c>
      <c r="I3419">
        <v>213.47</v>
      </c>
      <c r="J3419">
        <v>129</v>
      </c>
      <c r="K3419">
        <v>26194.09</v>
      </c>
      <c r="L3419">
        <v>203.05</v>
      </c>
      <c r="M3419">
        <v>537</v>
      </c>
      <c r="N3419">
        <v>113288.53</v>
      </c>
      <c r="O3419">
        <v>210.97</v>
      </c>
    </row>
    <row r="3420" spans="1:15" x14ac:dyDescent="0.35">
      <c r="A3420" t="s">
        <v>3878</v>
      </c>
      <c r="B3420" t="s">
        <v>3879</v>
      </c>
      <c r="C3420" t="s">
        <v>1644</v>
      </c>
      <c r="D3420" t="s">
        <v>314</v>
      </c>
      <c r="E3420" t="s">
        <v>294</v>
      </c>
      <c r="F3420" t="s">
        <v>3890</v>
      </c>
      <c r="G3420">
        <v>9</v>
      </c>
      <c r="H3420">
        <v>1648.71</v>
      </c>
      <c r="I3420">
        <v>183.19</v>
      </c>
      <c r="J3420">
        <v>0</v>
      </c>
      <c r="K3420">
        <v>0</v>
      </c>
      <c r="L3420">
        <v>0</v>
      </c>
      <c r="M3420">
        <v>9</v>
      </c>
      <c r="N3420">
        <v>1648.71</v>
      </c>
      <c r="O3420">
        <v>183.19</v>
      </c>
    </row>
    <row r="3421" spans="1:15" x14ac:dyDescent="0.35">
      <c r="A3421" t="s">
        <v>3878</v>
      </c>
      <c r="B3421" t="s">
        <v>3879</v>
      </c>
      <c r="C3421" t="s">
        <v>1644</v>
      </c>
      <c r="D3421" t="s">
        <v>314</v>
      </c>
      <c r="E3421" t="s">
        <v>296</v>
      </c>
      <c r="F3421" t="s">
        <v>3891</v>
      </c>
      <c r="G3421">
        <v>0</v>
      </c>
      <c r="H3421">
        <v>0</v>
      </c>
      <c r="I3421">
        <v>0</v>
      </c>
      <c r="J3421">
        <v>0</v>
      </c>
      <c r="K3421">
        <v>0</v>
      </c>
      <c r="L3421">
        <v>0</v>
      </c>
      <c r="M3421">
        <v>0</v>
      </c>
      <c r="N3421">
        <v>0</v>
      </c>
      <c r="O3421">
        <v>0</v>
      </c>
    </row>
    <row r="3422" spans="1:15" x14ac:dyDescent="0.35">
      <c r="A3422" t="s">
        <v>3878</v>
      </c>
      <c r="B3422" t="s">
        <v>3879</v>
      </c>
      <c r="C3422" t="s">
        <v>1644</v>
      </c>
      <c r="D3422" t="s">
        <v>314</v>
      </c>
      <c r="E3422" t="s">
        <v>298</v>
      </c>
      <c r="F3422" t="s">
        <v>3892</v>
      </c>
      <c r="G3422">
        <v>0</v>
      </c>
      <c r="H3422">
        <v>0</v>
      </c>
      <c r="I3422">
        <v>0</v>
      </c>
      <c r="J3422">
        <v>0</v>
      </c>
      <c r="K3422">
        <v>0</v>
      </c>
      <c r="L3422">
        <v>0</v>
      </c>
      <c r="M3422">
        <v>0</v>
      </c>
      <c r="N3422">
        <v>0</v>
      </c>
      <c r="O3422">
        <v>0</v>
      </c>
    </row>
    <row r="3423" spans="1:15" x14ac:dyDescent="0.35">
      <c r="A3423" t="s">
        <v>3878</v>
      </c>
      <c r="B3423" t="s">
        <v>3879</v>
      </c>
      <c r="C3423" t="s">
        <v>1644</v>
      </c>
      <c r="D3423" t="s">
        <v>314</v>
      </c>
      <c r="E3423" t="s">
        <v>300</v>
      </c>
      <c r="F3423" t="s">
        <v>3893</v>
      </c>
      <c r="G3423">
        <v>0</v>
      </c>
      <c r="H3423">
        <v>0</v>
      </c>
      <c r="I3423">
        <v>0</v>
      </c>
      <c r="J3423">
        <v>0</v>
      </c>
      <c r="K3423">
        <v>0</v>
      </c>
      <c r="L3423">
        <v>0</v>
      </c>
      <c r="M3423">
        <v>0</v>
      </c>
      <c r="N3423">
        <v>0</v>
      </c>
      <c r="O3423">
        <v>0</v>
      </c>
    </row>
    <row r="3424" spans="1:15" x14ac:dyDescent="0.35">
      <c r="A3424" t="s">
        <v>3878</v>
      </c>
      <c r="B3424" t="s">
        <v>3879</v>
      </c>
      <c r="C3424" t="s">
        <v>1644</v>
      </c>
      <c r="D3424" t="s">
        <v>314</v>
      </c>
      <c r="E3424" t="s">
        <v>306</v>
      </c>
      <c r="F3424" t="s">
        <v>3894</v>
      </c>
      <c r="G3424">
        <v>0</v>
      </c>
      <c r="H3424">
        <v>0</v>
      </c>
      <c r="I3424">
        <v>0</v>
      </c>
      <c r="J3424">
        <v>0</v>
      </c>
      <c r="K3424">
        <v>0</v>
      </c>
      <c r="L3424">
        <v>0</v>
      </c>
      <c r="M3424">
        <v>0</v>
      </c>
      <c r="N3424">
        <v>0</v>
      </c>
      <c r="O3424">
        <v>0</v>
      </c>
    </row>
    <row r="3425" spans="1:15" x14ac:dyDescent="0.35">
      <c r="A3425" t="s">
        <v>3878</v>
      </c>
      <c r="B3425" t="s">
        <v>3879</v>
      </c>
      <c r="C3425" t="s">
        <v>1644</v>
      </c>
      <c r="D3425" t="s">
        <v>314</v>
      </c>
      <c r="E3425" t="s">
        <v>308</v>
      </c>
      <c r="F3425" t="s">
        <v>3895</v>
      </c>
      <c r="G3425">
        <v>0</v>
      </c>
      <c r="H3425">
        <v>0</v>
      </c>
      <c r="I3425">
        <v>0</v>
      </c>
      <c r="J3425">
        <v>0</v>
      </c>
      <c r="K3425">
        <v>0</v>
      </c>
      <c r="L3425">
        <v>0</v>
      </c>
      <c r="M3425">
        <v>0</v>
      </c>
      <c r="N3425">
        <v>0</v>
      </c>
      <c r="O3425">
        <v>0</v>
      </c>
    </row>
    <row r="3426" spans="1:15" x14ac:dyDescent="0.35">
      <c r="A3426" t="s">
        <v>3878</v>
      </c>
      <c r="B3426" t="s">
        <v>3879</v>
      </c>
      <c r="C3426" t="s">
        <v>1644</v>
      </c>
      <c r="D3426" t="s">
        <v>314</v>
      </c>
      <c r="E3426" t="s">
        <v>312</v>
      </c>
      <c r="F3426" t="s">
        <v>3896</v>
      </c>
      <c r="G3426">
        <v>9</v>
      </c>
      <c r="H3426">
        <v>1648.71</v>
      </c>
      <c r="I3426">
        <v>183.19</v>
      </c>
      <c r="J3426">
        <v>0</v>
      </c>
      <c r="K3426">
        <v>0</v>
      </c>
      <c r="L3426">
        <v>0</v>
      </c>
      <c r="M3426">
        <v>9</v>
      </c>
      <c r="N3426">
        <v>1648.71</v>
      </c>
      <c r="O3426">
        <v>183.19</v>
      </c>
    </row>
    <row r="3427" spans="1:15" x14ac:dyDescent="0.35">
      <c r="A3427" t="s">
        <v>3878</v>
      </c>
      <c r="B3427" t="s">
        <v>3879</v>
      </c>
      <c r="C3427" t="s">
        <v>1644</v>
      </c>
      <c r="D3427" t="s">
        <v>314</v>
      </c>
      <c r="E3427" t="s">
        <v>310</v>
      </c>
      <c r="F3427" t="s">
        <v>3897</v>
      </c>
      <c r="G3427">
        <v>9</v>
      </c>
      <c r="H3427">
        <v>1648.71</v>
      </c>
      <c r="I3427">
        <v>183.19</v>
      </c>
      <c r="J3427">
        <v>0</v>
      </c>
      <c r="K3427">
        <v>0</v>
      </c>
      <c r="L3427">
        <v>0</v>
      </c>
      <c r="M3427">
        <v>9</v>
      </c>
      <c r="N3427">
        <v>1648.71</v>
      </c>
      <c r="O3427">
        <v>183.19</v>
      </c>
    </row>
    <row r="3428" spans="1:15" x14ac:dyDescent="0.35">
      <c r="A3428" t="s">
        <v>3878</v>
      </c>
      <c r="B3428" t="s">
        <v>3879</v>
      </c>
      <c r="C3428" t="s">
        <v>1644</v>
      </c>
      <c r="D3428" t="s">
        <v>323</v>
      </c>
      <c r="E3428" t="s">
        <v>294</v>
      </c>
      <c r="F3428" t="s">
        <v>3898</v>
      </c>
      <c r="G3428">
        <v>206</v>
      </c>
      <c r="H3428">
        <v>19794.93</v>
      </c>
      <c r="I3428">
        <v>96.09</v>
      </c>
      <c r="J3428">
        <v>685</v>
      </c>
      <c r="K3428">
        <v>62999.45</v>
      </c>
      <c r="L3428">
        <v>91.97</v>
      </c>
      <c r="M3428">
        <v>891</v>
      </c>
      <c r="N3428">
        <v>82794.38</v>
      </c>
      <c r="O3428">
        <v>92.92</v>
      </c>
    </row>
    <row r="3429" spans="1:15" x14ac:dyDescent="0.35">
      <c r="A3429" t="s">
        <v>3878</v>
      </c>
      <c r="B3429" t="s">
        <v>3879</v>
      </c>
      <c r="C3429" t="s">
        <v>1644</v>
      </c>
      <c r="D3429" t="s">
        <v>323</v>
      </c>
      <c r="E3429" t="s">
        <v>296</v>
      </c>
      <c r="F3429" t="s">
        <v>3899</v>
      </c>
      <c r="G3429">
        <v>409</v>
      </c>
      <c r="H3429">
        <v>46413.14</v>
      </c>
      <c r="I3429">
        <v>113.48</v>
      </c>
      <c r="J3429">
        <v>1041</v>
      </c>
      <c r="K3429">
        <v>114218.52</v>
      </c>
      <c r="L3429">
        <v>109.72</v>
      </c>
      <c r="M3429">
        <v>1450</v>
      </c>
      <c r="N3429">
        <v>160631.66</v>
      </c>
      <c r="O3429">
        <v>110.78</v>
      </c>
    </row>
    <row r="3430" spans="1:15" x14ac:dyDescent="0.35">
      <c r="A3430" t="s">
        <v>3878</v>
      </c>
      <c r="B3430" t="s">
        <v>3879</v>
      </c>
      <c r="C3430" t="s">
        <v>1644</v>
      </c>
      <c r="D3430" t="s">
        <v>323</v>
      </c>
      <c r="E3430" t="s">
        <v>298</v>
      </c>
      <c r="F3430" t="s">
        <v>3900</v>
      </c>
      <c r="G3430">
        <v>289</v>
      </c>
      <c r="H3430">
        <v>39576.959999999999</v>
      </c>
      <c r="I3430">
        <v>136.94</v>
      </c>
      <c r="J3430">
        <v>876</v>
      </c>
      <c r="K3430">
        <v>112977.72</v>
      </c>
      <c r="L3430">
        <v>128.97</v>
      </c>
      <c r="M3430">
        <v>1165</v>
      </c>
      <c r="N3430">
        <v>152554.68</v>
      </c>
      <c r="O3430">
        <v>130.94999999999999</v>
      </c>
    </row>
    <row r="3431" spans="1:15" x14ac:dyDescent="0.35">
      <c r="A3431" t="s">
        <v>3878</v>
      </c>
      <c r="B3431" t="s">
        <v>3879</v>
      </c>
      <c r="C3431" t="s">
        <v>1644</v>
      </c>
      <c r="D3431" t="s">
        <v>323</v>
      </c>
      <c r="E3431" t="s">
        <v>300</v>
      </c>
      <c r="F3431" t="s">
        <v>3901</v>
      </c>
      <c r="G3431">
        <v>14</v>
      </c>
      <c r="H3431">
        <v>2095.46</v>
      </c>
      <c r="I3431">
        <v>149.68</v>
      </c>
      <c r="J3431">
        <v>74</v>
      </c>
      <c r="K3431">
        <v>10390.34</v>
      </c>
      <c r="L3431">
        <v>140.41</v>
      </c>
      <c r="M3431">
        <v>88</v>
      </c>
      <c r="N3431">
        <v>12485.8</v>
      </c>
      <c r="O3431">
        <v>141.88</v>
      </c>
    </row>
    <row r="3432" spans="1:15" x14ac:dyDescent="0.35">
      <c r="A3432" t="s">
        <v>3878</v>
      </c>
      <c r="B3432" t="s">
        <v>3879</v>
      </c>
      <c r="C3432" t="s">
        <v>1644</v>
      </c>
      <c r="D3432" t="s">
        <v>323</v>
      </c>
      <c r="E3432" t="s">
        <v>302</v>
      </c>
      <c r="F3432" t="s">
        <v>3902</v>
      </c>
      <c r="G3432">
        <v>0</v>
      </c>
      <c r="H3432">
        <v>0</v>
      </c>
      <c r="I3432">
        <v>0</v>
      </c>
      <c r="J3432">
        <v>4</v>
      </c>
      <c r="K3432">
        <v>622.79999999999995</v>
      </c>
      <c r="L3432">
        <v>155.69999999999999</v>
      </c>
      <c r="M3432">
        <v>4</v>
      </c>
      <c r="N3432">
        <v>622.79999999999995</v>
      </c>
      <c r="O3432">
        <v>155.69999999999999</v>
      </c>
    </row>
    <row r="3433" spans="1:15" x14ac:dyDescent="0.35">
      <c r="A3433" t="s">
        <v>3878</v>
      </c>
      <c r="B3433" t="s">
        <v>3879</v>
      </c>
      <c r="C3433" t="s">
        <v>1644</v>
      </c>
      <c r="D3433" t="s">
        <v>323</v>
      </c>
      <c r="E3433" t="s">
        <v>304</v>
      </c>
      <c r="F3433" t="s">
        <v>3903</v>
      </c>
      <c r="G3433">
        <v>0</v>
      </c>
      <c r="H3433">
        <v>0</v>
      </c>
      <c r="I3433">
        <v>0</v>
      </c>
      <c r="J3433">
        <v>0</v>
      </c>
      <c r="K3433">
        <v>0</v>
      </c>
      <c r="L3433">
        <v>0</v>
      </c>
      <c r="M3433">
        <v>0</v>
      </c>
      <c r="N3433">
        <v>0</v>
      </c>
      <c r="O3433">
        <v>0</v>
      </c>
    </row>
    <row r="3434" spans="1:15" x14ac:dyDescent="0.35">
      <c r="A3434" t="s">
        <v>3878</v>
      </c>
      <c r="B3434" t="s">
        <v>3879</v>
      </c>
      <c r="C3434" t="s">
        <v>1644</v>
      </c>
      <c r="D3434" t="s">
        <v>323</v>
      </c>
      <c r="E3434" t="s">
        <v>306</v>
      </c>
      <c r="F3434" t="s">
        <v>3904</v>
      </c>
      <c r="G3434">
        <v>28</v>
      </c>
      <c r="H3434">
        <v>2158.2399999999998</v>
      </c>
      <c r="I3434">
        <v>77.08</v>
      </c>
      <c r="J3434">
        <v>50</v>
      </c>
      <c r="K3434">
        <v>4043.5</v>
      </c>
      <c r="L3434">
        <v>80.87</v>
      </c>
      <c r="M3434">
        <v>78</v>
      </c>
      <c r="N3434">
        <v>6201.74</v>
      </c>
      <c r="O3434">
        <v>79.510000000000005</v>
      </c>
    </row>
    <row r="3435" spans="1:15" x14ac:dyDescent="0.35">
      <c r="A3435" t="s">
        <v>3878</v>
      </c>
      <c r="B3435" t="s">
        <v>3879</v>
      </c>
      <c r="C3435" t="s">
        <v>1644</v>
      </c>
      <c r="D3435" t="s">
        <v>323</v>
      </c>
      <c r="E3435" t="s">
        <v>308</v>
      </c>
      <c r="F3435" t="s">
        <v>3905</v>
      </c>
      <c r="G3435">
        <v>0</v>
      </c>
      <c r="H3435">
        <v>0</v>
      </c>
      <c r="I3435">
        <v>0</v>
      </c>
      <c r="J3435">
        <v>0</v>
      </c>
      <c r="K3435">
        <v>0</v>
      </c>
      <c r="L3435">
        <v>0</v>
      </c>
      <c r="M3435">
        <v>0</v>
      </c>
      <c r="N3435">
        <v>0</v>
      </c>
      <c r="O3435">
        <v>0</v>
      </c>
    </row>
    <row r="3436" spans="1:15" x14ac:dyDescent="0.35">
      <c r="A3436" t="s">
        <v>3878</v>
      </c>
      <c r="B3436" t="s">
        <v>3879</v>
      </c>
      <c r="C3436" t="s">
        <v>1644</v>
      </c>
      <c r="D3436" t="s">
        <v>323</v>
      </c>
      <c r="E3436" t="s">
        <v>310</v>
      </c>
      <c r="F3436" t="s">
        <v>3906</v>
      </c>
      <c r="G3436">
        <v>946</v>
      </c>
      <c r="H3436">
        <v>110038.73000000001</v>
      </c>
      <c r="I3436">
        <v>116.32</v>
      </c>
      <c r="J3436">
        <v>2730</v>
      </c>
      <c r="K3436">
        <v>305252.33</v>
      </c>
      <c r="L3436">
        <v>111.81</v>
      </c>
      <c r="M3436">
        <v>3676</v>
      </c>
      <c r="N3436">
        <v>415291.06000000006</v>
      </c>
      <c r="O3436">
        <v>112.97</v>
      </c>
    </row>
    <row r="3437" spans="1:15" x14ac:dyDescent="0.35">
      <c r="A3437" t="s">
        <v>3878</v>
      </c>
      <c r="B3437" t="s">
        <v>3879</v>
      </c>
      <c r="C3437" t="s">
        <v>1644</v>
      </c>
      <c r="D3437" t="s">
        <v>323</v>
      </c>
      <c r="E3437" t="s">
        <v>312</v>
      </c>
      <c r="F3437" t="s">
        <v>3907</v>
      </c>
      <c r="G3437">
        <v>946</v>
      </c>
      <c r="H3437">
        <v>110038.73000000001</v>
      </c>
      <c r="I3437">
        <v>116.32</v>
      </c>
      <c r="J3437">
        <v>2730</v>
      </c>
      <c r="K3437">
        <v>305252.33</v>
      </c>
      <c r="L3437">
        <v>111.81</v>
      </c>
      <c r="M3437">
        <v>3676</v>
      </c>
      <c r="N3437">
        <v>415291.06000000006</v>
      </c>
      <c r="O3437">
        <v>112.97</v>
      </c>
    </row>
    <row r="3438" spans="1:15" x14ac:dyDescent="0.35">
      <c r="A3438" t="s">
        <v>3878</v>
      </c>
      <c r="B3438" t="s">
        <v>3879</v>
      </c>
      <c r="C3438" t="s">
        <v>1644</v>
      </c>
      <c r="D3438" t="s">
        <v>334</v>
      </c>
      <c r="E3438" t="s">
        <v>312</v>
      </c>
      <c r="F3438" t="s">
        <v>3908</v>
      </c>
      <c r="G3438">
        <v>1404</v>
      </c>
      <c r="H3438">
        <v>197133.16999999998</v>
      </c>
      <c r="I3438">
        <v>145.59</v>
      </c>
      <c r="J3438">
        <v>2859</v>
      </c>
      <c r="K3438">
        <v>331446.42000000004</v>
      </c>
      <c r="L3438">
        <v>115.93</v>
      </c>
      <c r="M3438">
        <v>4263</v>
      </c>
      <c r="N3438">
        <v>528579.59000000008</v>
      </c>
      <c r="O3438">
        <v>125.46</v>
      </c>
    </row>
    <row r="3439" spans="1:15" x14ac:dyDescent="0.35">
      <c r="A3439" t="s">
        <v>3878</v>
      </c>
      <c r="B3439" t="s">
        <v>3879</v>
      </c>
      <c r="C3439" t="s">
        <v>1644</v>
      </c>
      <c r="D3439" t="s">
        <v>334</v>
      </c>
      <c r="E3439" t="s">
        <v>308</v>
      </c>
      <c r="F3439" t="s">
        <v>3909</v>
      </c>
      <c r="G3439">
        <v>0</v>
      </c>
      <c r="H3439">
        <v>0</v>
      </c>
      <c r="I3439">
        <v>0</v>
      </c>
      <c r="J3439">
        <v>0</v>
      </c>
      <c r="K3439">
        <v>0</v>
      </c>
      <c r="L3439">
        <v>0</v>
      </c>
      <c r="M3439">
        <v>0</v>
      </c>
      <c r="N3439">
        <v>0</v>
      </c>
      <c r="O3439">
        <v>0</v>
      </c>
    </row>
    <row r="3440" spans="1:15" x14ac:dyDescent="0.35">
      <c r="A3440" t="s">
        <v>3878</v>
      </c>
      <c r="B3440" t="s">
        <v>3879</v>
      </c>
      <c r="C3440" t="s">
        <v>1644</v>
      </c>
      <c r="D3440" t="s">
        <v>337</v>
      </c>
      <c r="E3440" t="s">
        <v>337</v>
      </c>
      <c r="F3440" t="s">
        <v>3910</v>
      </c>
      <c r="G3440">
        <v>541</v>
      </c>
      <c r="J3440">
        <v>16</v>
      </c>
      <c r="M3440">
        <v>557</v>
      </c>
    </row>
    <row r="3441" spans="1:15" x14ac:dyDescent="0.35">
      <c r="A3441" t="s">
        <v>3878</v>
      </c>
      <c r="B3441" t="s">
        <v>3879</v>
      </c>
      <c r="C3441" t="s">
        <v>1644</v>
      </c>
      <c r="D3441" t="s">
        <v>339</v>
      </c>
      <c r="E3441" t="s">
        <v>294</v>
      </c>
      <c r="F3441" t="s">
        <v>3911</v>
      </c>
      <c r="G3441">
        <v>189</v>
      </c>
      <c r="H3441">
        <v>20003.060000000001</v>
      </c>
      <c r="I3441">
        <v>105.84</v>
      </c>
      <c r="J3441">
        <v>202</v>
      </c>
      <c r="K3441">
        <v>18874.88</v>
      </c>
      <c r="L3441">
        <v>93.44</v>
      </c>
      <c r="M3441">
        <v>391</v>
      </c>
      <c r="N3441">
        <v>38877.94</v>
      </c>
      <c r="O3441">
        <v>99.43</v>
      </c>
    </row>
    <row r="3442" spans="1:15" x14ac:dyDescent="0.35">
      <c r="A3442" t="s">
        <v>3878</v>
      </c>
      <c r="B3442" t="s">
        <v>3879</v>
      </c>
      <c r="C3442" t="s">
        <v>1644</v>
      </c>
      <c r="D3442" t="s">
        <v>339</v>
      </c>
      <c r="E3442" t="s">
        <v>296</v>
      </c>
      <c r="F3442" t="s">
        <v>3912</v>
      </c>
      <c r="G3442">
        <v>25</v>
      </c>
      <c r="H3442">
        <v>3086.09</v>
      </c>
      <c r="I3442">
        <v>123.44</v>
      </c>
      <c r="J3442">
        <v>86</v>
      </c>
      <c r="K3442">
        <v>9894.2999999999993</v>
      </c>
      <c r="L3442">
        <v>115.05</v>
      </c>
      <c r="M3442">
        <v>111</v>
      </c>
      <c r="N3442">
        <v>12980.39</v>
      </c>
      <c r="O3442">
        <v>116.94</v>
      </c>
    </row>
    <row r="3443" spans="1:15" x14ac:dyDescent="0.35">
      <c r="A3443" t="s">
        <v>3878</v>
      </c>
      <c r="B3443" t="s">
        <v>3879</v>
      </c>
      <c r="C3443" t="s">
        <v>1644</v>
      </c>
      <c r="D3443" t="s">
        <v>339</v>
      </c>
      <c r="E3443" t="s">
        <v>298</v>
      </c>
      <c r="F3443" t="s">
        <v>3913</v>
      </c>
      <c r="G3443">
        <v>1</v>
      </c>
      <c r="H3443">
        <v>156.38999999999999</v>
      </c>
      <c r="I3443">
        <v>156.38999999999999</v>
      </c>
      <c r="J3443">
        <v>2</v>
      </c>
      <c r="K3443">
        <v>234.02</v>
      </c>
      <c r="L3443">
        <v>117.01</v>
      </c>
      <c r="M3443">
        <v>3</v>
      </c>
      <c r="N3443">
        <v>390.40999999999997</v>
      </c>
      <c r="O3443">
        <v>130.13999999999999</v>
      </c>
    </row>
    <row r="3444" spans="1:15" x14ac:dyDescent="0.35">
      <c r="A3444" t="s">
        <v>3878</v>
      </c>
      <c r="B3444" t="s">
        <v>3879</v>
      </c>
      <c r="C3444" t="s">
        <v>1644</v>
      </c>
      <c r="D3444" t="s">
        <v>339</v>
      </c>
      <c r="E3444" t="s">
        <v>300</v>
      </c>
      <c r="F3444" t="s">
        <v>3914</v>
      </c>
      <c r="G3444">
        <v>0</v>
      </c>
      <c r="H3444">
        <v>0</v>
      </c>
      <c r="I3444">
        <v>0</v>
      </c>
      <c r="J3444">
        <v>0</v>
      </c>
      <c r="K3444">
        <v>0</v>
      </c>
      <c r="L3444">
        <v>0</v>
      </c>
      <c r="M3444">
        <v>0</v>
      </c>
      <c r="N3444">
        <v>0</v>
      </c>
      <c r="O3444">
        <v>0</v>
      </c>
    </row>
    <row r="3445" spans="1:15" x14ac:dyDescent="0.35">
      <c r="A3445" t="s">
        <v>3878</v>
      </c>
      <c r="B3445" t="s">
        <v>3879</v>
      </c>
      <c r="C3445" t="s">
        <v>1644</v>
      </c>
      <c r="D3445" t="s">
        <v>339</v>
      </c>
      <c r="E3445" t="s">
        <v>306</v>
      </c>
      <c r="F3445" t="s">
        <v>3915</v>
      </c>
      <c r="G3445">
        <v>39</v>
      </c>
      <c r="H3445">
        <v>3388.8599999999997</v>
      </c>
      <c r="I3445">
        <v>86.89</v>
      </c>
      <c r="J3445">
        <v>89</v>
      </c>
      <c r="K3445">
        <v>6448.94</v>
      </c>
      <c r="L3445">
        <v>72.459999999999994</v>
      </c>
      <c r="M3445">
        <v>128</v>
      </c>
      <c r="N3445">
        <v>9837.7999999999993</v>
      </c>
      <c r="O3445">
        <v>76.86</v>
      </c>
    </row>
    <row r="3446" spans="1:15" x14ac:dyDescent="0.35">
      <c r="A3446" t="s">
        <v>3878</v>
      </c>
      <c r="B3446" t="s">
        <v>3879</v>
      </c>
      <c r="C3446" t="s">
        <v>1644</v>
      </c>
      <c r="D3446" t="s">
        <v>339</v>
      </c>
      <c r="E3446" t="s">
        <v>308</v>
      </c>
      <c r="F3446" t="s">
        <v>3916</v>
      </c>
      <c r="G3446">
        <v>53</v>
      </c>
      <c r="H3446">
        <v>6967.41</v>
      </c>
      <c r="I3446">
        <v>131.46</v>
      </c>
      <c r="J3446">
        <v>0</v>
      </c>
      <c r="K3446">
        <v>0</v>
      </c>
      <c r="L3446">
        <v>0</v>
      </c>
      <c r="M3446">
        <v>53</v>
      </c>
      <c r="N3446">
        <v>6967.41</v>
      </c>
      <c r="O3446">
        <v>131.46</v>
      </c>
    </row>
    <row r="3447" spans="1:15" x14ac:dyDescent="0.35">
      <c r="A3447" t="s">
        <v>3878</v>
      </c>
      <c r="B3447" t="s">
        <v>3879</v>
      </c>
      <c r="C3447" t="s">
        <v>1644</v>
      </c>
      <c r="D3447" t="s">
        <v>339</v>
      </c>
      <c r="E3447" t="s">
        <v>310</v>
      </c>
      <c r="F3447" t="s">
        <v>3917</v>
      </c>
      <c r="G3447">
        <v>307</v>
      </c>
      <c r="H3447">
        <v>33601.81</v>
      </c>
      <c r="I3447">
        <v>109.45</v>
      </c>
      <c r="J3447">
        <v>379</v>
      </c>
      <c r="K3447">
        <v>35452.14</v>
      </c>
      <c r="L3447">
        <v>93.54</v>
      </c>
      <c r="M3447">
        <v>686</v>
      </c>
      <c r="N3447">
        <v>69053.95</v>
      </c>
      <c r="O3447">
        <v>100.66</v>
      </c>
    </row>
    <row r="3448" spans="1:15" x14ac:dyDescent="0.35">
      <c r="A3448" t="s">
        <v>3878</v>
      </c>
      <c r="B3448" t="s">
        <v>3879</v>
      </c>
      <c r="C3448" t="s">
        <v>1644</v>
      </c>
      <c r="D3448" t="s">
        <v>339</v>
      </c>
      <c r="E3448" t="s">
        <v>312</v>
      </c>
      <c r="F3448" t="s">
        <v>3918</v>
      </c>
      <c r="G3448">
        <v>254</v>
      </c>
      <c r="H3448">
        <v>26634.400000000001</v>
      </c>
      <c r="I3448">
        <v>104.86</v>
      </c>
      <c r="J3448">
        <v>379</v>
      </c>
      <c r="K3448">
        <v>35452.14</v>
      </c>
      <c r="L3448">
        <v>93.54</v>
      </c>
      <c r="M3448">
        <v>633</v>
      </c>
      <c r="N3448">
        <v>62086.54</v>
      </c>
      <c r="O3448">
        <v>98.08</v>
      </c>
    </row>
    <row r="3449" spans="1:15" x14ac:dyDescent="0.35">
      <c r="A3449" t="s">
        <v>3878</v>
      </c>
      <c r="B3449" t="s">
        <v>3879</v>
      </c>
      <c r="C3449" t="s">
        <v>1644</v>
      </c>
      <c r="D3449" t="s">
        <v>348</v>
      </c>
      <c r="E3449" t="s">
        <v>349</v>
      </c>
      <c r="F3449" t="s">
        <v>3919</v>
      </c>
      <c r="G3449">
        <v>590</v>
      </c>
      <c r="H3449">
        <v>35250.520000000004</v>
      </c>
      <c r="I3449">
        <v>111.55</v>
      </c>
      <c r="J3449">
        <v>379</v>
      </c>
      <c r="K3449">
        <v>35452.14</v>
      </c>
      <c r="L3449">
        <v>93.54</v>
      </c>
      <c r="M3449">
        <v>969</v>
      </c>
      <c r="N3449">
        <v>70702.66</v>
      </c>
      <c r="O3449">
        <v>101.73</v>
      </c>
    </row>
    <row r="3450" spans="1:15" x14ac:dyDescent="0.35">
      <c r="A3450" t="s">
        <v>3920</v>
      </c>
      <c r="B3450" t="s">
        <v>3921</v>
      </c>
      <c r="C3450" t="s">
        <v>1644</v>
      </c>
      <c r="D3450" t="s">
        <v>293</v>
      </c>
      <c r="E3450" t="s">
        <v>294</v>
      </c>
      <c r="F3450" t="s">
        <v>3922</v>
      </c>
      <c r="G3450">
        <v>200</v>
      </c>
      <c r="H3450">
        <v>24715.069999999996</v>
      </c>
      <c r="I3450">
        <v>123.58</v>
      </c>
      <c r="J3450">
        <v>0</v>
      </c>
      <c r="K3450">
        <v>0</v>
      </c>
      <c r="L3450">
        <v>0</v>
      </c>
      <c r="M3450">
        <v>200</v>
      </c>
      <c r="N3450">
        <v>24715.069999999996</v>
      </c>
      <c r="O3450">
        <v>123.58</v>
      </c>
    </row>
    <row r="3451" spans="1:15" x14ac:dyDescent="0.35">
      <c r="A3451" t="s">
        <v>3920</v>
      </c>
      <c r="B3451" t="s">
        <v>3921</v>
      </c>
      <c r="C3451" t="s">
        <v>1644</v>
      </c>
      <c r="D3451" t="s">
        <v>293</v>
      </c>
      <c r="E3451" t="s">
        <v>296</v>
      </c>
      <c r="F3451" t="s">
        <v>3923</v>
      </c>
      <c r="G3451">
        <v>309</v>
      </c>
      <c r="H3451">
        <v>47060.5</v>
      </c>
      <c r="I3451">
        <v>152.30000000000001</v>
      </c>
      <c r="J3451">
        <v>1</v>
      </c>
      <c r="K3451">
        <v>73.849999999999994</v>
      </c>
      <c r="L3451">
        <v>73.849999999999994</v>
      </c>
      <c r="M3451">
        <v>310</v>
      </c>
      <c r="N3451">
        <v>47134.35</v>
      </c>
      <c r="O3451">
        <v>152.05000000000001</v>
      </c>
    </row>
    <row r="3452" spans="1:15" x14ac:dyDescent="0.35">
      <c r="A3452" t="s">
        <v>3920</v>
      </c>
      <c r="B3452" t="s">
        <v>3921</v>
      </c>
      <c r="C3452" t="s">
        <v>1644</v>
      </c>
      <c r="D3452" t="s">
        <v>293</v>
      </c>
      <c r="E3452" t="s">
        <v>298</v>
      </c>
      <c r="F3452" t="s">
        <v>3924</v>
      </c>
      <c r="G3452">
        <v>157</v>
      </c>
      <c r="H3452">
        <v>30316.639999999999</v>
      </c>
      <c r="I3452">
        <v>193.1</v>
      </c>
      <c r="J3452">
        <v>1</v>
      </c>
      <c r="K3452">
        <v>151.69999999999999</v>
      </c>
      <c r="L3452">
        <v>151.69999999999999</v>
      </c>
      <c r="M3452">
        <v>158</v>
      </c>
      <c r="N3452">
        <v>30468.34</v>
      </c>
      <c r="O3452">
        <v>192.84</v>
      </c>
    </row>
    <row r="3453" spans="1:15" x14ac:dyDescent="0.35">
      <c r="A3453" t="s">
        <v>3920</v>
      </c>
      <c r="B3453" t="s">
        <v>3921</v>
      </c>
      <c r="C3453" t="s">
        <v>1644</v>
      </c>
      <c r="D3453" t="s">
        <v>293</v>
      </c>
      <c r="E3453" t="s">
        <v>300</v>
      </c>
      <c r="F3453" t="s">
        <v>3925</v>
      </c>
      <c r="G3453">
        <v>23</v>
      </c>
      <c r="H3453">
        <v>5507.8499999999995</v>
      </c>
      <c r="I3453">
        <v>239.47</v>
      </c>
      <c r="J3453">
        <v>0</v>
      </c>
      <c r="K3453">
        <v>0</v>
      </c>
      <c r="L3453">
        <v>0</v>
      </c>
      <c r="M3453">
        <v>23</v>
      </c>
      <c r="N3453">
        <v>5507.8499999999995</v>
      </c>
      <c r="O3453">
        <v>239.47</v>
      </c>
    </row>
    <row r="3454" spans="1:15" x14ac:dyDescent="0.35">
      <c r="A3454" t="s">
        <v>3920</v>
      </c>
      <c r="B3454" t="s">
        <v>3921</v>
      </c>
      <c r="C3454" t="s">
        <v>1644</v>
      </c>
      <c r="D3454" t="s">
        <v>293</v>
      </c>
      <c r="E3454" t="s">
        <v>302</v>
      </c>
      <c r="F3454" t="s">
        <v>3926</v>
      </c>
      <c r="G3454">
        <v>1</v>
      </c>
      <c r="H3454">
        <v>182.14</v>
      </c>
      <c r="I3454">
        <v>182.14</v>
      </c>
      <c r="J3454">
        <v>0</v>
      </c>
      <c r="K3454">
        <v>0</v>
      </c>
      <c r="L3454">
        <v>0</v>
      </c>
      <c r="M3454">
        <v>1</v>
      </c>
      <c r="N3454">
        <v>182.14</v>
      </c>
      <c r="O3454">
        <v>182.14</v>
      </c>
    </row>
    <row r="3455" spans="1:15" x14ac:dyDescent="0.35">
      <c r="A3455" t="s">
        <v>3920</v>
      </c>
      <c r="B3455" t="s">
        <v>3921</v>
      </c>
      <c r="C3455" t="s">
        <v>1644</v>
      </c>
      <c r="D3455" t="s">
        <v>293</v>
      </c>
      <c r="E3455" t="s">
        <v>304</v>
      </c>
      <c r="F3455" t="s">
        <v>3927</v>
      </c>
      <c r="G3455">
        <v>0</v>
      </c>
      <c r="H3455">
        <v>0</v>
      </c>
      <c r="I3455">
        <v>0</v>
      </c>
      <c r="J3455">
        <v>0</v>
      </c>
      <c r="K3455">
        <v>0</v>
      </c>
      <c r="L3455">
        <v>0</v>
      </c>
      <c r="M3455">
        <v>0</v>
      </c>
      <c r="N3455">
        <v>0</v>
      </c>
      <c r="O3455">
        <v>0</v>
      </c>
    </row>
    <row r="3456" spans="1:15" x14ac:dyDescent="0.35">
      <c r="A3456" t="s">
        <v>3920</v>
      </c>
      <c r="B3456" t="s">
        <v>3921</v>
      </c>
      <c r="C3456" t="s">
        <v>1644</v>
      </c>
      <c r="D3456" t="s">
        <v>293</v>
      </c>
      <c r="E3456" t="s">
        <v>306</v>
      </c>
      <c r="F3456" t="s">
        <v>3928</v>
      </c>
      <c r="G3456">
        <v>1</v>
      </c>
      <c r="H3456">
        <v>136.93</v>
      </c>
      <c r="I3456">
        <v>136.93</v>
      </c>
      <c r="J3456">
        <v>0</v>
      </c>
      <c r="K3456">
        <v>0</v>
      </c>
      <c r="L3456">
        <v>0</v>
      </c>
      <c r="M3456">
        <v>1</v>
      </c>
      <c r="N3456">
        <v>136.93</v>
      </c>
      <c r="O3456">
        <v>136.93</v>
      </c>
    </row>
    <row r="3457" spans="1:15" x14ac:dyDescent="0.35">
      <c r="A3457" t="s">
        <v>3920</v>
      </c>
      <c r="B3457" t="s">
        <v>3921</v>
      </c>
      <c r="C3457" t="s">
        <v>1644</v>
      </c>
      <c r="D3457" t="s">
        <v>293</v>
      </c>
      <c r="E3457" t="s">
        <v>308</v>
      </c>
      <c r="F3457" t="s">
        <v>3929</v>
      </c>
      <c r="G3457">
        <v>0</v>
      </c>
      <c r="H3457">
        <v>0</v>
      </c>
      <c r="I3457">
        <v>0</v>
      </c>
      <c r="J3457">
        <v>0</v>
      </c>
      <c r="K3457">
        <v>0</v>
      </c>
      <c r="L3457">
        <v>0</v>
      </c>
      <c r="M3457">
        <v>0</v>
      </c>
      <c r="N3457">
        <v>0</v>
      </c>
      <c r="O3457">
        <v>0</v>
      </c>
    </row>
    <row r="3458" spans="1:15" x14ac:dyDescent="0.35">
      <c r="A3458" t="s">
        <v>3920</v>
      </c>
      <c r="B3458" t="s">
        <v>3921</v>
      </c>
      <c r="C3458" t="s">
        <v>1644</v>
      </c>
      <c r="D3458" t="s">
        <v>293</v>
      </c>
      <c r="E3458" t="s">
        <v>310</v>
      </c>
      <c r="F3458" t="s">
        <v>3930</v>
      </c>
      <c r="G3458">
        <v>691</v>
      </c>
      <c r="H3458">
        <v>107919.12999999999</v>
      </c>
      <c r="I3458">
        <v>156.18</v>
      </c>
      <c r="J3458">
        <v>2</v>
      </c>
      <c r="K3458">
        <v>225.54999999999998</v>
      </c>
      <c r="L3458">
        <v>112.78</v>
      </c>
      <c r="M3458">
        <v>693</v>
      </c>
      <c r="N3458">
        <v>108144.68</v>
      </c>
      <c r="O3458">
        <v>156.05000000000001</v>
      </c>
    </row>
    <row r="3459" spans="1:15" x14ac:dyDescent="0.35">
      <c r="A3459" t="s">
        <v>3920</v>
      </c>
      <c r="B3459" t="s">
        <v>3921</v>
      </c>
      <c r="C3459" t="s">
        <v>1644</v>
      </c>
      <c r="D3459" t="s">
        <v>293</v>
      </c>
      <c r="E3459" t="s">
        <v>312</v>
      </c>
      <c r="F3459" t="s">
        <v>3931</v>
      </c>
      <c r="G3459">
        <v>691</v>
      </c>
      <c r="H3459">
        <v>107919.12999999999</v>
      </c>
      <c r="I3459">
        <v>156.18</v>
      </c>
      <c r="J3459">
        <v>2</v>
      </c>
      <c r="K3459">
        <v>225.54999999999998</v>
      </c>
      <c r="L3459">
        <v>112.78</v>
      </c>
      <c r="M3459">
        <v>693</v>
      </c>
      <c r="N3459">
        <v>108144.68</v>
      </c>
      <c r="O3459">
        <v>156.05000000000001</v>
      </c>
    </row>
    <row r="3460" spans="1:15" x14ac:dyDescent="0.35">
      <c r="A3460" t="s">
        <v>3920</v>
      </c>
      <c r="B3460" t="s">
        <v>3921</v>
      </c>
      <c r="C3460" t="s">
        <v>1644</v>
      </c>
      <c r="D3460" t="s">
        <v>314</v>
      </c>
      <c r="E3460" t="s">
        <v>294</v>
      </c>
      <c r="F3460" t="s">
        <v>3932</v>
      </c>
      <c r="G3460">
        <v>5</v>
      </c>
      <c r="H3460">
        <v>552.70000000000005</v>
      </c>
      <c r="I3460">
        <v>110.54</v>
      </c>
      <c r="J3460">
        <v>8</v>
      </c>
      <c r="K3460">
        <v>842.4</v>
      </c>
      <c r="L3460">
        <v>105.3</v>
      </c>
      <c r="M3460">
        <v>13</v>
      </c>
      <c r="N3460">
        <v>1395.1</v>
      </c>
      <c r="O3460">
        <v>107.32</v>
      </c>
    </row>
    <row r="3461" spans="1:15" x14ac:dyDescent="0.35">
      <c r="A3461" t="s">
        <v>3920</v>
      </c>
      <c r="B3461" t="s">
        <v>3921</v>
      </c>
      <c r="C3461" t="s">
        <v>1644</v>
      </c>
      <c r="D3461" t="s">
        <v>314</v>
      </c>
      <c r="E3461" t="s">
        <v>296</v>
      </c>
      <c r="F3461" t="s">
        <v>3933</v>
      </c>
      <c r="G3461">
        <v>0</v>
      </c>
      <c r="H3461">
        <v>0</v>
      </c>
      <c r="I3461">
        <v>0</v>
      </c>
      <c r="J3461">
        <v>0</v>
      </c>
      <c r="K3461">
        <v>0</v>
      </c>
      <c r="L3461">
        <v>0</v>
      </c>
      <c r="M3461">
        <v>0</v>
      </c>
      <c r="N3461">
        <v>0</v>
      </c>
      <c r="O3461">
        <v>0</v>
      </c>
    </row>
    <row r="3462" spans="1:15" x14ac:dyDescent="0.35">
      <c r="A3462" t="s">
        <v>3920</v>
      </c>
      <c r="B3462" t="s">
        <v>3921</v>
      </c>
      <c r="C3462" t="s">
        <v>1644</v>
      </c>
      <c r="D3462" t="s">
        <v>314</v>
      </c>
      <c r="E3462" t="s">
        <v>298</v>
      </c>
      <c r="F3462" t="s">
        <v>3934</v>
      </c>
      <c r="G3462">
        <v>0</v>
      </c>
      <c r="H3462">
        <v>0</v>
      </c>
      <c r="I3462">
        <v>0</v>
      </c>
      <c r="J3462">
        <v>0</v>
      </c>
      <c r="K3462">
        <v>0</v>
      </c>
      <c r="L3462">
        <v>0</v>
      </c>
      <c r="M3462">
        <v>0</v>
      </c>
      <c r="N3462">
        <v>0</v>
      </c>
      <c r="O3462">
        <v>0</v>
      </c>
    </row>
    <row r="3463" spans="1:15" x14ac:dyDescent="0.35">
      <c r="A3463" t="s">
        <v>3920</v>
      </c>
      <c r="B3463" t="s">
        <v>3921</v>
      </c>
      <c r="C3463" t="s">
        <v>1644</v>
      </c>
      <c r="D3463" t="s">
        <v>314</v>
      </c>
      <c r="E3463" t="s">
        <v>300</v>
      </c>
      <c r="F3463" t="s">
        <v>3935</v>
      </c>
      <c r="G3463">
        <v>0</v>
      </c>
      <c r="H3463">
        <v>0</v>
      </c>
      <c r="I3463">
        <v>0</v>
      </c>
      <c r="J3463">
        <v>0</v>
      </c>
      <c r="K3463">
        <v>0</v>
      </c>
      <c r="L3463">
        <v>0</v>
      </c>
      <c r="M3463">
        <v>0</v>
      </c>
      <c r="N3463">
        <v>0</v>
      </c>
      <c r="O3463">
        <v>0</v>
      </c>
    </row>
    <row r="3464" spans="1:15" x14ac:dyDescent="0.35">
      <c r="A3464" t="s">
        <v>3920</v>
      </c>
      <c r="B3464" t="s">
        <v>3921</v>
      </c>
      <c r="C3464" t="s">
        <v>1644</v>
      </c>
      <c r="D3464" t="s">
        <v>314</v>
      </c>
      <c r="E3464" t="s">
        <v>306</v>
      </c>
      <c r="F3464" t="s">
        <v>3936</v>
      </c>
      <c r="G3464">
        <v>0</v>
      </c>
      <c r="H3464">
        <v>0</v>
      </c>
      <c r="I3464">
        <v>0</v>
      </c>
      <c r="J3464">
        <v>0</v>
      </c>
      <c r="K3464">
        <v>0</v>
      </c>
      <c r="L3464">
        <v>0</v>
      </c>
      <c r="M3464">
        <v>0</v>
      </c>
      <c r="N3464">
        <v>0</v>
      </c>
      <c r="O3464">
        <v>0</v>
      </c>
    </row>
    <row r="3465" spans="1:15" x14ac:dyDescent="0.35">
      <c r="A3465" t="s">
        <v>3920</v>
      </c>
      <c r="B3465" t="s">
        <v>3921</v>
      </c>
      <c r="C3465" t="s">
        <v>1644</v>
      </c>
      <c r="D3465" t="s">
        <v>314</v>
      </c>
      <c r="E3465" t="s">
        <v>308</v>
      </c>
      <c r="F3465" t="s">
        <v>3937</v>
      </c>
      <c r="G3465">
        <v>0</v>
      </c>
      <c r="H3465">
        <v>0</v>
      </c>
      <c r="I3465">
        <v>0</v>
      </c>
      <c r="J3465">
        <v>0</v>
      </c>
      <c r="K3465">
        <v>0</v>
      </c>
      <c r="L3465">
        <v>0</v>
      </c>
      <c r="M3465">
        <v>0</v>
      </c>
      <c r="N3465">
        <v>0</v>
      </c>
      <c r="O3465">
        <v>0</v>
      </c>
    </row>
    <row r="3466" spans="1:15" x14ac:dyDescent="0.35">
      <c r="A3466" t="s">
        <v>3920</v>
      </c>
      <c r="B3466" t="s">
        <v>3921</v>
      </c>
      <c r="C3466" t="s">
        <v>1644</v>
      </c>
      <c r="D3466" t="s">
        <v>314</v>
      </c>
      <c r="E3466" t="s">
        <v>312</v>
      </c>
      <c r="F3466" t="s">
        <v>3938</v>
      </c>
      <c r="G3466">
        <v>5</v>
      </c>
      <c r="H3466">
        <v>552.70000000000005</v>
      </c>
      <c r="I3466">
        <v>110.54</v>
      </c>
      <c r="J3466">
        <v>8</v>
      </c>
      <c r="K3466">
        <v>842.4</v>
      </c>
      <c r="L3466">
        <v>105.3</v>
      </c>
      <c r="M3466">
        <v>13</v>
      </c>
      <c r="N3466">
        <v>1395.1</v>
      </c>
      <c r="O3466">
        <v>107.32</v>
      </c>
    </row>
    <row r="3467" spans="1:15" x14ac:dyDescent="0.35">
      <c r="A3467" t="s">
        <v>3920</v>
      </c>
      <c r="B3467" t="s">
        <v>3921</v>
      </c>
      <c r="C3467" t="s">
        <v>1644</v>
      </c>
      <c r="D3467" t="s">
        <v>314</v>
      </c>
      <c r="E3467" t="s">
        <v>310</v>
      </c>
      <c r="F3467" t="s">
        <v>3939</v>
      </c>
      <c r="G3467">
        <v>5</v>
      </c>
      <c r="H3467">
        <v>552.70000000000005</v>
      </c>
      <c r="I3467">
        <v>110.54</v>
      </c>
      <c r="J3467">
        <v>8</v>
      </c>
      <c r="K3467">
        <v>842.4</v>
      </c>
      <c r="L3467">
        <v>105.3</v>
      </c>
      <c r="M3467">
        <v>13</v>
      </c>
      <c r="N3467">
        <v>1395.1</v>
      </c>
      <c r="O3467">
        <v>107.32</v>
      </c>
    </row>
    <row r="3468" spans="1:15" x14ac:dyDescent="0.35">
      <c r="A3468" t="s">
        <v>3920</v>
      </c>
      <c r="B3468" t="s">
        <v>3921</v>
      </c>
      <c r="C3468" t="s">
        <v>1644</v>
      </c>
      <c r="D3468" t="s">
        <v>323</v>
      </c>
      <c r="E3468" t="s">
        <v>294</v>
      </c>
      <c r="F3468" t="s">
        <v>3940</v>
      </c>
      <c r="G3468">
        <v>634</v>
      </c>
      <c r="H3468">
        <v>61712.26</v>
      </c>
      <c r="I3468">
        <v>97.34</v>
      </c>
      <c r="J3468">
        <v>0</v>
      </c>
      <c r="K3468">
        <v>0</v>
      </c>
      <c r="L3468">
        <v>0</v>
      </c>
      <c r="M3468">
        <v>634</v>
      </c>
      <c r="N3468">
        <v>61712.26</v>
      </c>
      <c r="O3468">
        <v>97.34</v>
      </c>
    </row>
    <row r="3469" spans="1:15" x14ac:dyDescent="0.35">
      <c r="A3469" t="s">
        <v>3920</v>
      </c>
      <c r="B3469" t="s">
        <v>3921</v>
      </c>
      <c r="C3469" t="s">
        <v>1644</v>
      </c>
      <c r="D3469" t="s">
        <v>323</v>
      </c>
      <c r="E3469" t="s">
        <v>296</v>
      </c>
      <c r="F3469" t="s">
        <v>3941</v>
      </c>
      <c r="G3469">
        <v>1213</v>
      </c>
      <c r="H3469">
        <v>138806.06</v>
      </c>
      <c r="I3469">
        <v>114.43</v>
      </c>
      <c r="J3469">
        <v>0</v>
      </c>
      <c r="K3469">
        <v>0</v>
      </c>
      <c r="L3469">
        <v>0</v>
      </c>
      <c r="M3469">
        <v>1213</v>
      </c>
      <c r="N3469">
        <v>138806.06</v>
      </c>
      <c r="O3469">
        <v>114.43</v>
      </c>
    </row>
    <row r="3470" spans="1:15" x14ac:dyDescent="0.35">
      <c r="A3470" t="s">
        <v>3920</v>
      </c>
      <c r="B3470" t="s">
        <v>3921</v>
      </c>
      <c r="C3470" t="s">
        <v>1644</v>
      </c>
      <c r="D3470" t="s">
        <v>323</v>
      </c>
      <c r="E3470" t="s">
        <v>298</v>
      </c>
      <c r="F3470" t="s">
        <v>3942</v>
      </c>
      <c r="G3470">
        <v>1160</v>
      </c>
      <c r="H3470">
        <v>151074.63</v>
      </c>
      <c r="I3470">
        <v>130.24</v>
      </c>
      <c r="J3470">
        <v>0</v>
      </c>
      <c r="K3470">
        <v>0</v>
      </c>
      <c r="L3470">
        <v>0</v>
      </c>
      <c r="M3470">
        <v>1160</v>
      </c>
      <c r="N3470">
        <v>151074.63</v>
      </c>
      <c r="O3470">
        <v>130.24</v>
      </c>
    </row>
    <row r="3471" spans="1:15" x14ac:dyDescent="0.35">
      <c r="A3471" t="s">
        <v>3920</v>
      </c>
      <c r="B3471" t="s">
        <v>3921</v>
      </c>
      <c r="C3471" t="s">
        <v>1644</v>
      </c>
      <c r="D3471" t="s">
        <v>323</v>
      </c>
      <c r="E3471" t="s">
        <v>300</v>
      </c>
      <c r="F3471" t="s">
        <v>3943</v>
      </c>
      <c r="G3471">
        <v>92</v>
      </c>
      <c r="H3471">
        <v>13322.390000000001</v>
      </c>
      <c r="I3471">
        <v>144.81</v>
      </c>
      <c r="J3471">
        <v>0</v>
      </c>
      <c r="K3471">
        <v>0</v>
      </c>
      <c r="L3471">
        <v>0</v>
      </c>
      <c r="M3471">
        <v>92</v>
      </c>
      <c r="N3471">
        <v>13322.390000000001</v>
      </c>
      <c r="O3471">
        <v>144.81</v>
      </c>
    </row>
    <row r="3472" spans="1:15" x14ac:dyDescent="0.35">
      <c r="A3472" t="s">
        <v>3920</v>
      </c>
      <c r="B3472" t="s">
        <v>3921</v>
      </c>
      <c r="C3472" t="s">
        <v>1644</v>
      </c>
      <c r="D3472" t="s">
        <v>323</v>
      </c>
      <c r="E3472" t="s">
        <v>302</v>
      </c>
      <c r="F3472" t="s">
        <v>3944</v>
      </c>
      <c r="G3472">
        <v>5</v>
      </c>
      <c r="H3472">
        <v>861.15000000000009</v>
      </c>
      <c r="I3472">
        <v>172.23</v>
      </c>
      <c r="J3472">
        <v>0</v>
      </c>
      <c r="K3472">
        <v>0</v>
      </c>
      <c r="L3472">
        <v>0</v>
      </c>
      <c r="M3472">
        <v>5</v>
      </c>
      <c r="N3472">
        <v>861.15000000000009</v>
      </c>
      <c r="O3472">
        <v>172.23</v>
      </c>
    </row>
    <row r="3473" spans="1:15" x14ac:dyDescent="0.35">
      <c r="A3473" t="s">
        <v>3920</v>
      </c>
      <c r="B3473" t="s">
        <v>3921</v>
      </c>
      <c r="C3473" t="s">
        <v>1644</v>
      </c>
      <c r="D3473" t="s">
        <v>323</v>
      </c>
      <c r="E3473" t="s">
        <v>304</v>
      </c>
      <c r="F3473" t="s">
        <v>3945</v>
      </c>
      <c r="G3473">
        <v>0</v>
      </c>
      <c r="H3473">
        <v>0</v>
      </c>
      <c r="I3473">
        <v>0</v>
      </c>
      <c r="J3473">
        <v>0</v>
      </c>
      <c r="K3473">
        <v>0</v>
      </c>
      <c r="L3473">
        <v>0</v>
      </c>
      <c r="M3473">
        <v>0</v>
      </c>
      <c r="N3473">
        <v>0</v>
      </c>
      <c r="O3473">
        <v>0</v>
      </c>
    </row>
    <row r="3474" spans="1:15" x14ac:dyDescent="0.35">
      <c r="A3474" t="s">
        <v>3920</v>
      </c>
      <c r="B3474" t="s">
        <v>3921</v>
      </c>
      <c r="C3474" t="s">
        <v>1644</v>
      </c>
      <c r="D3474" t="s">
        <v>323</v>
      </c>
      <c r="E3474" t="s">
        <v>306</v>
      </c>
      <c r="F3474" t="s">
        <v>3946</v>
      </c>
      <c r="G3474">
        <v>22</v>
      </c>
      <c r="H3474">
        <v>1892.88</v>
      </c>
      <c r="I3474">
        <v>86.04</v>
      </c>
      <c r="J3474">
        <v>0</v>
      </c>
      <c r="K3474">
        <v>0</v>
      </c>
      <c r="L3474">
        <v>0</v>
      </c>
      <c r="M3474">
        <v>22</v>
      </c>
      <c r="N3474">
        <v>1892.88</v>
      </c>
      <c r="O3474">
        <v>86.04</v>
      </c>
    </row>
    <row r="3475" spans="1:15" x14ac:dyDescent="0.35">
      <c r="A3475" t="s">
        <v>3920</v>
      </c>
      <c r="B3475" t="s">
        <v>3921</v>
      </c>
      <c r="C3475" t="s">
        <v>1644</v>
      </c>
      <c r="D3475" t="s">
        <v>323</v>
      </c>
      <c r="E3475" t="s">
        <v>308</v>
      </c>
      <c r="F3475" t="s">
        <v>3947</v>
      </c>
      <c r="G3475">
        <v>0</v>
      </c>
      <c r="H3475">
        <v>0</v>
      </c>
      <c r="I3475">
        <v>0</v>
      </c>
      <c r="J3475">
        <v>0</v>
      </c>
      <c r="K3475">
        <v>0</v>
      </c>
      <c r="L3475">
        <v>0</v>
      </c>
      <c r="M3475">
        <v>0</v>
      </c>
      <c r="N3475">
        <v>0</v>
      </c>
      <c r="O3475">
        <v>0</v>
      </c>
    </row>
    <row r="3476" spans="1:15" x14ac:dyDescent="0.35">
      <c r="A3476" t="s">
        <v>3920</v>
      </c>
      <c r="B3476" t="s">
        <v>3921</v>
      </c>
      <c r="C3476" t="s">
        <v>1644</v>
      </c>
      <c r="D3476" t="s">
        <v>323</v>
      </c>
      <c r="E3476" t="s">
        <v>310</v>
      </c>
      <c r="F3476" t="s">
        <v>3948</v>
      </c>
      <c r="G3476">
        <v>3126</v>
      </c>
      <c r="H3476">
        <v>367669.37000000005</v>
      </c>
      <c r="I3476">
        <v>117.62</v>
      </c>
      <c r="J3476">
        <v>0</v>
      </c>
      <c r="K3476">
        <v>0</v>
      </c>
      <c r="L3476">
        <v>0</v>
      </c>
      <c r="M3476">
        <v>3126</v>
      </c>
      <c r="N3476">
        <v>367669.37000000005</v>
      </c>
      <c r="O3476">
        <v>117.62</v>
      </c>
    </row>
    <row r="3477" spans="1:15" x14ac:dyDescent="0.35">
      <c r="A3477" t="s">
        <v>3920</v>
      </c>
      <c r="B3477" t="s">
        <v>3921</v>
      </c>
      <c r="C3477" t="s">
        <v>1644</v>
      </c>
      <c r="D3477" t="s">
        <v>323</v>
      </c>
      <c r="E3477" t="s">
        <v>312</v>
      </c>
      <c r="F3477" t="s">
        <v>3949</v>
      </c>
      <c r="G3477">
        <v>3126</v>
      </c>
      <c r="H3477">
        <v>367669.37000000005</v>
      </c>
      <c r="I3477">
        <v>117.62</v>
      </c>
      <c r="J3477">
        <v>0</v>
      </c>
      <c r="K3477">
        <v>0</v>
      </c>
      <c r="L3477">
        <v>0</v>
      </c>
      <c r="M3477">
        <v>3126</v>
      </c>
      <c r="N3477">
        <v>367669.37000000005</v>
      </c>
      <c r="O3477">
        <v>117.62</v>
      </c>
    </row>
    <row r="3478" spans="1:15" x14ac:dyDescent="0.35">
      <c r="A3478" t="s">
        <v>3920</v>
      </c>
      <c r="B3478" t="s">
        <v>3921</v>
      </c>
      <c r="C3478" t="s">
        <v>1644</v>
      </c>
      <c r="D3478" t="s">
        <v>334</v>
      </c>
      <c r="E3478" t="s">
        <v>312</v>
      </c>
      <c r="F3478" t="s">
        <v>3950</v>
      </c>
      <c r="G3478">
        <v>3829</v>
      </c>
      <c r="H3478">
        <v>475588.5</v>
      </c>
      <c r="I3478">
        <v>124.6</v>
      </c>
      <c r="J3478">
        <v>2</v>
      </c>
      <c r="K3478">
        <v>225.54999999999998</v>
      </c>
      <c r="L3478">
        <v>112.78</v>
      </c>
      <c r="M3478">
        <v>3831</v>
      </c>
      <c r="N3478">
        <v>475814.05</v>
      </c>
      <c r="O3478">
        <v>124.59</v>
      </c>
    </row>
    <row r="3479" spans="1:15" x14ac:dyDescent="0.35">
      <c r="A3479" t="s">
        <v>3920</v>
      </c>
      <c r="B3479" t="s">
        <v>3921</v>
      </c>
      <c r="C3479" t="s">
        <v>1644</v>
      </c>
      <c r="D3479" t="s">
        <v>334</v>
      </c>
      <c r="E3479" t="s">
        <v>308</v>
      </c>
      <c r="F3479" t="s">
        <v>3951</v>
      </c>
      <c r="G3479">
        <v>0</v>
      </c>
      <c r="H3479">
        <v>0</v>
      </c>
      <c r="I3479">
        <v>0</v>
      </c>
      <c r="J3479">
        <v>0</v>
      </c>
      <c r="K3479">
        <v>0</v>
      </c>
      <c r="L3479">
        <v>0</v>
      </c>
      <c r="M3479">
        <v>0</v>
      </c>
      <c r="N3479">
        <v>0</v>
      </c>
      <c r="O3479">
        <v>0</v>
      </c>
    </row>
    <row r="3480" spans="1:15" x14ac:dyDescent="0.35">
      <c r="A3480" t="s">
        <v>3920</v>
      </c>
      <c r="B3480" t="s">
        <v>3921</v>
      </c>
      <c r="C3480" t="s">
        <v>1644</v>
      </c>
      <c r="D3480" t="s">
        <v>337</v>
      </c>
      <c r="E3480" t="s">
        <v>337</v>
      </c>
      <c r="F3480" t="s">
        <v>3952</v>
      </c>
      <c r="G3480">
        <v>450</v>
      </c>
      <c r="J3480">
        <v>0</v>
      </c>
      <c r="M3480">
        <v>450</v>
      </c>
    </row>
    <row r="3481" spans="1:15" x14ac:dyDescent="0.35">
      <c r="A3481" t="s">
        <v>3920</v>
      </c>
      <c r="B3481" t="s">
        <v>3921</v>
      </c>
      <c r="C3481" t="s">
        <v>1644</v>
      </c>
      <c r="D3481" t="s">
        <v>339</v>
      </c>
      <c r="E3481" t="s">
        <v>294</v>
      </c>
      <c r="F3481" t="s">
        <v>3953</v>
      </c>
      <c r="G3481">
        <v>502</v>
      </c>
      <c r="H3481">
        <v>51939.240000000005</v>
      </c>
      <c r="I3481">
        <v>103.46</v>
      </c>
      <c r="J3481">
        <v>12</v>
      </c>
      <c r="K3481">
        <v>1443.96</v>
      </c>
      <c r="L3481">
        <v>120.33</v>
      </c>
      <c r="M3481">
        <v>514</v>
      </c>
      <c r="N3481">
        <v>53383.200000000004</v>
      </c>
      <c r="O3481">
        <v>103.86</v>
      </c>
    </row>
    <row r="3482" spans="1:15" x14ac:dyDescent="0.35">
      <c r="A3482" t="s">
        <v>3920</v>
      </c>
      <c r="B3482" t="s">
        <v>3921</v>
      </c>
      <c r="C3482" t="s">
        <v>1644</v>
      </c>
      <c r="D3482" t="s">
        <v>339</v>
      </c>
      <c r="E3482" t="s">
        <v>296</v>
      </c>
      <c r="F3482" t="s">
        <v>3954</v>
      </c>
      <c r="G3482">
        <v>34</v>
      </c>
      <c r="H3482">
        <v>3931.76</v>
      </c>
      <c r="I3482">
        <v>115.64</v>
      </c>
      <c r="J3482">
        <v>12</v>
      </c>
      <c r="K3482">
        <v>2071.1999999999998</v>
      </c>
      <c r="L3482">
        <v>172.6</v>
      </c>
      <c r="M3482">
        <v>46</v>
      </c>
      <c r="N3482">
        <v>6002.96</v>
      </c>
      <c r="O3482">
        <v>130.5</v>
      </c>
    </row>
    <row r="3483" spans="1:15" x14ac:dyDescent="0.35">
      <c r="A3483" t="s">
        <v>3920</v>
      </c>
      <c r="B3483" t="s">
        <v>3921</v>
      </c>
      <c r="C3483" t="s">
        <v>1644</v>
      </c>
      <c r="D3483" t="s">
        <v>339</v>
      </c>
      <c r="E3483" t="s">
        <v>298</v>
      </c>
      <c r="F3483" t="s">
        <v>3955</v>
      </c>
      <c r="G3483">
        <v>1</v>
      </c>
      <c r="H3483">
        <v>130.13999999999999</v>
      </c>
      <c r="I3483">
        <v>130.13999999999999</v>
      </c>
      <c r="J3483">
        <v>24</v>
      </c>
      <c r="K3483">
        <v>5247.12</v>
      </c>
      <c r="L3483">
        <v>218.63</v>
      </c>
      <c r="M3483">
        <v>25</v>
      </c>
      <c r="N3483">
        <v>5377.26</v>
      </c>
      <c r="O3483">
        <v>215.09</v>
      </c>
    </row>
    <row r="3484" spans="1:15" x14ac:dyDescent="0.35">
      <c r="A3484" t="s">
        <v>3920</v>
      </c>
      <c r="B3484" t="s">
        <v>3921</v>
      </c>
      <c r="C3484" t="s">
        <v>1644</v>
      </c>
      <c r="D3484" t="s">
        <v>339</v>
      </c>
      <c r="E3484" t="s">
        <v>300</v>
      </c>
      <c r="F3484" t="s">
        <v>3956</v>
      </c>
      <c r="G3484">
        <v>0</v>
      </c>
      <c r="H3484">
        <v>0</v>
      </c>
      <c r="I3484">
        <v>0</v>
      </c>
      <c r="J3484">
        <v>4</v>
      </c>
      <c r="K3484">
        <v>1070.1600000000001</v>
      </c>
      <c r="L3484">
        <v>267.54000000000002</v>
      </c>
      <c r="M3484">
        <v>4</v>
      </c>
      <c r="N3484">
        <v>1070.1600000000001</v>
      </c>
      <c r="O3484">
        <v>267.54000000000002</v>
      </c>
    </row>
    <row r="3485" spans="1:15" x14ac:dyDescent="0.35">
      <c r="A3485" t="s">
        <v>3920</v>
      </c>
      <c r="B3485" t="s">
        <v>3921</v>
      </c>
      <c r="C3485" t="s">
        <v>1644</v>
      </c>
      <c r="D3485" t="s">
        <v>339</v>
      </c>
      <c r="E3485" t="s">
        <v>306</v>
      </c>
      <c r="F3485" t="s">
        <v>3957</v>
      </c>
      <c r="G3485">
        <v>44</v>
      </c>
      <c r="H3485">
        <v>3267.7799999999997</v>
      </c>
      <c r="I3485">
        <v>74.27</v>
      </c>
      <c r="J3485">
        <v>0</v>
      </c>
      <c r="K3485">
        <v>0</v>
      </c>
      <c r="L3485">
        <v>0</v>
      </c>
      <c r="M3485">
        <v>44</v>
      </c>
      <c r="N3485">
        <v>3267.7799999999997</v>
      </c>
      <c r="O3485">
        <v>74.27</v>
      </c>
    </row>
    <row r="3486" spans="1:15" x14ac:dyDescent="0.35">
      <c r="A3486" t="s">
        <v>3920</v>
      </c>
      <c r="B3486" t="s">
        <v>3921</v>
      </c>
      <c r="C3486" t="s">
        <v>1644</v>
      </c>
      <c r="D3486" t="s">
        <v>339</v>
      </c>
      <c r="E3486" t="s">
        <v>308</v>
      </c>
      <c r="F3486" t="s">
        <v>3958</v>
      </c>
      <c r="G3486">
        <v>40</v>
      </c>
      <c r="H3486">
        <v>6967.38</v>
      </c>
      <c r="I3486">
        <v>174.18</v>
      </c>
      <c r="J3486">
        <v>10</v>
      </c>
      <c r="K3486">
        <v>1207.8</v>
      </c>
      <c r="L3486">
        <v>120.78</v>
      </c>
      <c r="M3486">
        <v>50</v>
      </c>
      <c r="N3486">
        <v>8175.18</v>
      </c>
      <c r="O3486">
        <v>163.5</v>
      </c>
    </row>
    <row r="3487" spans="1:15" x14ac:dyDescent="0.35">
      <c r="A3487" t="s">
        <v>3920</v>
      </c>
      <c r="B3487" t="s">
        <v>3921</v>
      </c>
      <c r="C3487" t="s">
        <v>1644</v>
      </c>
      <c r="D3487" t="s">
        <v>339</v>
      </c>
      <c r="E3487" t="s">
        <v>310</v>
      </c>
      <c r="F3487" t="s">
        <v>3959</v>
      </c>
      <c r="G3487">
        <v>621</v>
      </c>
      <c r="H3487">
        <v>66236.3</v>
      </c>
      <c r="I3487">
        <v>106.66</v>
      </c>
      <c r="J3487">
        <v>62</v>
      </c>
      <c r="K3487">
        <v>11040.239999999998</v>
      </c>
      <c r="L3487">
        <v>178.07</v>
      </c>
      <c r="M3487">
        <v>683</v>
      </c>
      <c r="N3487">
        <v>77276.540000000008</v>
      </c>
      <c r="O3487">
        <v>113.14</v>
      </c>
    </row>
    <row r="3488" spans="1:15" x14ac:dyDescent="0.35">
      <c r="A3488" t="s">
        <v>3920</v>
      </c>
      <c r="B3488" t="s">
        <v>3921</v>
      </c>
      <c r="C3488" t="s">
        <v>1644</v>
      </c>
      <c r="D3488" t="s">
        <v>339</v>
      </c>
      <c r="E3488" t="s">
        <v>312</v>
      </c>
      <c r="F3488" t="s">
        <v>3960</v>
      </c>
      <c r="G3488">
        <v>581</v>
      </c>
      <c r="H3488">
        <v>59268.920000000006</v>
      </c>
      <c r="I3488">
        <v>102.01</v>
      </c>
      <c r="J3488">
        <v>52</v>
      </c>
      <c r="K3488">
        <v>9832.4399999999987</v>
      </c>
      <c r="L3488">
        <v>189.09</v>
      </c>
      <c r="M3488">
        <v>633</v>
      </c>
      <c r="N3488">
        <v>69101.36</v>
      </c>
      <c r="O3488">
        <v>109.16</v>
      </c>
    </row>
    <row r="3489" spans="1:15" x14ac:dyDescent="0.35">
      <c r="A3489" t="s">
        <v>3920</v>
      </c>
      <c r="B3489" t="s">
        <v>3921</v>
      </c>
      <c r="C3489" t="s">
        <v>1644</v>
      </c>
      <c r="D3489" t="s">
        <v>348</v>
      </c>
      <c r="E3489" t="s">
        <v>349</v>
      </c>
      <c r="F3489" t="s">
        <v>3961</v>
      </c>
      <c r="G3489">
        <v>760</v>
      </c>
      <c r="H3489">
        <v>66789</v>
      </c>
      <c r="I3489">
        <v>106.69</v>
      </c>
      <c r="J3489">
        <v>70</v>
      </c>
      <c r="K3489">
        <v>11882.64</v>
      </c>
      <c r="L3489">
        <v>169.75</v>
      </c>
      <c r="M3489">
        <v>830</v>
      </c>
      <c r="N3489">
        <v>78671.64</v>
      </c>
      <c r="O3489">
        <v>113.03</v>
      </c>
    </row>
    <row r="3490" spans="1:15" x14ac:dyDescent="0.35">
      <c r="A3490" t="s">
        <v>3962</v>
      </c>
      <c r="B3490" t="s">
        <v>201</v>
      </c>
      <c r="C3490" t="s">
        <v>1644</v>
      </c>
      <c r="D3490" t="s">
        <v>293</v>
      </c>
      <c r="E3490" t="s">
        <v>294</v>
      </c>
      <c r="F3490" t="s">
        <v>3963</v>
      </c>
      <c r="G3490">
        <v>335</v>
      </c>
      <c r="H3490">
        <v>50502.87999999999</v>
      </c>
      <c r="I3490">
        <v>150.75</v>
      </c>
      <c r="J3490">
        <v>109</v>
      </c>
      <c r="K3490">
        <v>17220.91</v>
      </c>
      <c r="L3490">
        <v>157.99</v>
      </c>
      <c r="M3490">
        <v>444</v>
      </c>
      <c r="N3490">
        <v>67723.789999999994</v>
      </c>
      <c r="O3490">
        <v>152.53</v>
      </c>
    </row>
    <row r="3491" spans="1:15" x14ac:dyDescent="0.35">
      <c r="A3491" t="s">
        <v>3962</v>
      </c>
      <c r="B3491" t="s">
        <v>201</v>
      </c>
      <c r="C3491" t="s">
        <v>1644</v>
      </c>
      <c r="D3491" t="s">
        <v>293</v>
      </c>
      <c r="E3491" t="s">
        <v>296</v>
      </c>
      <c r="F3491" t="s">
        <v>3964</v>
      </c>
      <c r="G3491">
        <v>721</v>
      </c>
      <c r="H3491">
        <v>134222.84</v>
      </c>
      <c r="I3491">
        <v>186.16</v>
      </c>
      <c r="J3491">
        <v>107</v>
      </c>
      <c r="K3491">
        <v>20843.600000000002</v>
      </c>
      <c r="L3491">
        <v>194.8</v>
      </c>
      <c r="M3491">
        <v>828</v>
      </c>
      <c r="N3491">
        <v>155066.44</v>
      </c>
      <c r="O3491">
        <v>187.28</v>
      </c>
    </row>
    <row r="3492" spans="1:15" x14ac:dyDescent="0.35">
      <c r="A3492" t="s">
        <v>3962</v>
      </c>
      <c r="B3492" t="s">
        <v>201</v>
      </c>
      <c r="C3492" t="s">
        <v>1644</v>
      </c>
      <c r="D3492" t="s">
        <v>293</v>
      </c>
      <c r="E3492" t="s">
        <v>298</v>
      </c>
      <c r="F3492" t="s">
        <v>3965</v>
      </c>
      <c r="G3492">
        <v>467</v>
      </c>
      <c r="H3492">
        <v>102982.49000000002</v>
      </c>
      <c r="I3492">
        <v>220.52</v>
      </c>
      <c r="J3492">
        <v>48</v>
      </c>
      <c r="K3492">
        <v>10841.76</v>
      </c>
      <c r="L3492">
        <v>225.87</v>
      </c>
      <c r="M3492">
        <v>515</v>
      </c>
      <c r="N3492">
        <v>113824.25000000001</v>
      </c>
      <c r="O3492">
        <v>221.02</v>
      </c>
    </row>
    <row r="3493" spans="1:15" x14ac:dyDescent="0.35">
      <c r="A3493" t="s">
        <v>3962</v>
      </c>
      <c r="B3493" t="s">
        <v>201</v>
      </c>
      <c r="C3493" t="s">
        <v>1644</v>
      </c>
      <c r="D3493" t="s">
        <v>293</v>
      </c>
      <c r="E3493" t="s">
        <v>300</v>
      </c>
      <c r="F3493" t="s">
        <v>3966</v>
      </c>
      <c r="G3493">
        <v>67</v>
      </c>
      <c r="H3493">
        <v>18466.060000000001</v>
      </c>
      <c r="I3493">
        <v>275.61</v>
      </c>
      <c r="J3493">
        <v>7</v>
      </c>
      <c r="K3493">
        <v>2043.7900000000002</v>
      </c>
      <c r="L3493">
        <v>291.97000000000003</v>
      </c>
      <c r="M3493">
        <v>74</v>
      </c>
      <c r="N3493">
        <v>20509.850000000002</v>
      </c>
      <c r="O3493">
        <v>277.16000000000003</v>
      </c>
    </row>
    <row r="3494" spans="1:15" x14ac:dyDescent="0.35">
      <c r="A3494" t="s">
        <v>3962</v>
      </c>
      <c r="B3494" t="s">
        <v>201</v>
      </c>
      <c r="C3494" t="s">
        <v>1644</v>
      </c>
      <c r="D3494" t="s">
        <v>293</v>
      </c>
      <c r="E3494" t="s">
        <v>302</v>
      </c>
      <c r="F3494" t="s">
        <v>3967</v>
      </c>
      <c r="G3494">
        <v>0</v>
      </c>
      <c r="H3494">
        <v>0</v>
      </c>
      <c r="I3494">
        <v>0</v>
      </c>
      <c r="J3494">
        <v>0</v>
      </c>
      <c r="K3494">
        <v>0</v>
      </c>
      <c r="L3494">
        <v>0</v>
      </c>
      <c r="M3494">
        <v>0</v>
      </c>
      <c r="N3494">
        <v>0</v>
      </c>
      <c r="O3494">
        <v>0</v>
      </c>
    </row>
    <row r="3495" spans="1:15" x14ac:dyDescent="0.35">
      <c r="A3495" t="s">
        <v>3962</v>
      </c>
      <c r="B3495" t="s">
        <v>201</v>
      </c>
      <c r="C3495" t="s">
        <v>1644</v>
      </c>
      <c r="D3495" t="s">
        <v>293</v>
      </c>
      <c r="E3495" t="s">
        <v>304</v>
      </c>
      <c r="F3495" t="s">
        <v>3968</v>
      </c>
      <c r="G3495">
        <v>0</v>
      </c>
      <c r="H3495">
        <v>0</v>
      </c>
      <c r="I3495">
        <v>0</v>
      </c>
      <c r="J3495">
        <v>0</v>
      </c>
      <c r="K3495">
        <v>0</v>
      </c>
      <c r="L3495">
        <v>0</v>
      </c>
      <c r="M3495">
        <v>0</v>
      </c>
      <c r="N3495">
        <v>0</v>
      </c>
      <c r="O3495">
        <v>0</v>
      </c>
    </row>
    <row r="3496" spans="1:15" x14ac:dyDescent="0.35">
      <c r="A3496" t="s">
        <v>3962</v>
      </c>
      <c r="B3496" t="s">
        <v>201</v>
      </c>
      <c r="C3496" t="s">
        <v>1644</v>
      </c>
      <c r="D3496" t="s">
        <v>293</v>
      </c>
      <c r="E3496" t="s">
        <v>306</v>
      </c>
      <c r="F3496" t="s">
        <v>3969</v>
      </c>
      <c r="G3496">
        <v>0</v>
      </c>
      <c r="H3496">
        <v>0</v>
      </c>
      <c r="I3496">
        <v>0</v>
      </c>
      <c r="J3496">
        <v>0</v>
      </c>
      <c r="K3496">
        <v>0</v>
      </c>
      <c r="L3496">
        <v>0</v>
      </c>
      <c r="M3496">
        <v>0</v>
      </c>
      <c r="N3496">
        <v>0</v>
      </c>
      <c r="O3496">
        <v>0</v>
      </c>
    </row>
    <row r="3497" spans="1:15" x14ac:dyDescent="0.35">
      <c r="A3497" t="s">
        <v>3962</v>
      </c>
      <c r="B3497" t="s">
        <v>201</v>
      </c>
      <c r="C3497" t="s">
        <v>1644</v>
      </c>
      <c r="D3497" t="s">
        <v>293</v>
      </c>
      <c r="E3497" t="s">
        <v>308</v>
      </c>
      <c r="F3497" t="s">
        <v>3970</v>
      </c>
      <c r="G3497">
        <v>0</v>
      </c>
      <c r="H3497">
        <v>0</v>
      </c>
      <c r="I3497">
        <v>0</v>
      </c>
      <c r="J3497">
        <v>0</v>
      </c>
      <c r="K3497">
        <v>0</v>
      </c>
      <c r="L3497">
        <v>0</v>
      </c>
      <c r="M3497">
        <v>0</v>
      </c>
      <c r="N3497">
        <v>0</v>
      </c>
      <c r="O3497">
        <v>0</v>
      </c>
    </row>
    <row r="3498" spans="1:15" x14ac:dyDescent="0.35">
      <c r="A3498" t="s">
        <v>3962</v>
      </c>
      <c r="B3498" t="s">
        <v>201</v>
      </c>
      <c r="C3498" t="s">
        <v>1644</v>
      </c>
      <c r="D3498" t="s">
        <v>293</v>
      </c>
      <c r="E3498" t="s">
        <v>310</v>
      </c>
      <c r="F3498" t="s">
        <v>3971</v>
      </c>
      <c r="G3498">
        <v>1590</v>
      </c>
      <c r="H3498">
        <v>306174.26999999996</v>
      </c>
      <c r="I3498">
        <v>192.56</v>
      </c>
      <c r="J3498">
        <v>271</v>
      </c>
      <c r="K3498">
        <v>50950.060000000005</v>
      </c>
      <c r="L3498">
        <v>188.01</v>
      </c>
      <c r="M3498">
        <v>1861</v>
      </c>
      <c r="N3498">
        <v>357124.32999999996</v>
      </c>
      <c r="O3498">
        <v>191.9</v>
      </c>
    </row>
    <row r="3499" spans="1:15" x14ac:dyDescent="0.35">
      <c r="A3499" t="s">
        <v>3962</v>
      </c>
      <c r="B3499" t="s">
        <v>201</v>
      </c>
      <c r="C3499" t="s">
        <v>1644</v>
      </c>
      <c r="D3499" t="s">
        <v>293</v>
      </c>
      <c r="E3499" t="s">
        <v>312</v>
      </c>
      <c r="F3499" t="s">
        <v>3972</v>
      </c>
      <c r="G3499">
        <v>1590</v>
      </c>
      <c r="H3499">
        <v>306174.26999999996</v>
      </c>
      <c r="I3499">
        <v>192.56</v>
      </c>
      <c r="J3499">
        <v>271</v>
      </c>
      <c r="K3499">
        <v>50950.060000000005</v>
      </c>
      <c r="L3499">
        <v>188.01</v>
      </c>
      <c r="M3499">
        <v>1861</v>
      </c>
      <c r="N3499">
        <v>357124.32999999996</v>
      </c>
      <c r="O3499">
        <v>191.9</v>
      </c>
    </row>
    <row r="3500" spans="1:15" x14ac:dyDescent="0.35">
      <c r="A3500" t="s">
        <v>3962</v>
      </c>
      <c r="B3500" t="s">
        <v>201</v>
      </c>
      <c r="C3500" t="s">
        <v>1644</v>
      </c>
      <c r="D3500" t="s">
        <v>314</v>
      </c>
      <c r="E3500" t="s">
        <v>294</v>
      </c>
      <c r="F3500" t="s">
        <v>3973</v>
      </c>
      <c r="G3500">
        <v>62</v>
      </c>
      <c r="H3500">
        <v>16887.98</v>
      </c>
      <c r="I3500">
        <v>272.39</v>
      </c>
      <c r="J3500">
        <v>67</v>
      </c>
      <c r="K3500">
        <v>10994.03</v>
      </c>
      <c r="L3500">
        <v>164.09</v>
      </c>
      <c r="M3500">
        <v>129</v>
      </c>
      <c r="N3500">
        <v>27882.010000000002</v>
      </c>
      <c r="O3500">
        <v>216.14</v>
      </c>
    </row>
    <row r="3501" spans="1:15" x14ac:dyDescent="0.35">
      <c r="A3501" t="s">
        <v>3962</v>
      </c>
      <c r="B3501" t="s">
        <v>201</v>
      </c>
      <c r="C3501" t="s">
        <v>1644</v>
      </c>
      <c r="D3501" t="s">
        <v>314</v>
      </c>
      <c r="E3501" t="s">
        <v>296</v>
      </c>
      <c r="F3501" t="s">
        <v>3974</v>
      </c>
      <c r="G3501">
        <v>41</v>
      </c>
      <c r="H3501">
        <v>14943.82</v>
      </c>
      <c r="I3501">
        <v>364.48</v>
      </c>
      <c r="J3501">
        <v>0</v>
      </c>
      <c r="K3501">
        <v>0</v>
      </c>
      <c r="L3501">
        <v>0</v>
      </c>
      <c r="M3501">
        <v>41</v>
      </c>
      <c r="N3501">
        <v>14943.82</v>
      </c>
      <c r="O3501">
        <v>364.48</v>
      </c>
    </row>
    <row r="3502" spans="1:15" x14ac:dyDescent="0.35">
      <c r="A3502" t="s">
        <v>3962</v>
      </c>
      <c r="B3502" t="s">
        <v>201</v>
      </c>
      <c r="C3502" t="s">
        <v>1644</v>
      </c>
      <c r="D3502" t="s">
        <v>314</v>
      </c>
      <c r="E3502" t="s">
        <v>298</v>
      </c>
      <c r="F3502" t="s">
        <v>3975</v>
      </c>
      <c r="G3502">
        <v>0</v>
      </c>
      <c r="H3502">
        <v>0</v>
      </c>
      <c r="I3502">
        <v>0</v>
      </c>
      <c r="J3502">
        <v>0</v>
      </c>
      <c r="K3502">
        <v>0</v>
      </c>
      <c r="L3502">
        <v>0</v>
      </c>
      <c r="M3502">
        <v>0</v>
      </c>
      <c r="N3502">
        <v>0</v>
      </c>
      <c r="O3502">
        <v>0</v>
      </c>
    </row>
    <row r="3503" spans="1:15" x14ac:dyDescent="0.35">
      <c r="A3503" t="s">
        <v>3962</v>
      </c>
      <c r="B3503" t="s">
        <v>201</v>
      </c>
      <c r="C3503" t="s">
        <v>1644</v>
      </c>
      <c r="D3503" t="s">
        <v>314</v>
      </c>
      <c r="E3503" t="s">
        <v>300</v>
      </c>
      <c r="F3503" t="s">
        <v>3976</v>
      </c>
      <c r="G3503">
        <v>0</v>
      </c>
      <c r="H3503">
        <v>0</v>
      </c>
      <c r="I3503">
        <v>0</v>
      </c>
      <c r="J3503">
        <v>0</v>
      </c>
      <c r="K3503">
        <v>0</v>
      </c>
      <c r="L3503">
        <v>0</v>
      </c>
      <c r="M3503">
        <v>0</v>
      </c>
      <c r="N3503">
        <v>0</v>
      </c>
      <c r="O3503">
        <v>0</v>
      </c>
    </row>
    <row r="3504" spans="1:15" x14ac:dyDescent="0.35">
      <c r="A3504" t="s">
        <v>3962</v>
      </c>
      <c r="B3504" t="s">
        <v>201</v>
      </c>
      <c r="C3504" t="s">
        <v>1644</v>
      </c>
      <c r="D3504" t="s">
        <v>314</v>
      </c>
      <c r="E3504" t="s">
        <v>306</v>
      </c>
      <c r="F3504" t="s">
        <v>3977</v>
      </c>
      <c r="G3504">
        <v>0</v>
      </c>
      <c r="H3504">
        <v>0</v>
      </c>
      <c r="I3504">
        <v>0</v>
      </c>
      <c r="J3504">
        <v>0</v>
      </c>
      <c r="K3504">
        <v>0</v>
      </c>
      <c r="L3504">
        <v>0</v>
      </c>
      <c r="M3504">
        <v>0</v>
      </c>
      <c r="N3504">
        <v>0</v>
      </c>
      <c r="O3504">
        <v>0</v>
      </c>
    </row>
    <row r="3505" spans="1:15" x14ac:dyDescent="0.35">
      <c r="A3505" t="s">
        <v>3962</v>
      </c>
      <c r="B3505" t="s">
        <v>201</v>
      </c>
      <c r="C3505" t="s">
        <v>1644</v>
      </c>
      <c r="D3505" t="s">
        <v>314</v>
      </c>
      <c r="E3505" t="s">
        <v>308</v>
      </c>
      <c r="F3505" t="s">
        <v>3978</v>
      </c>
      <c r="G3505">
        <v>0</v>
      </c>
      <c r="H3505">
        <v>0</v>
      </c>
      <c r="I3505">
        <v>0</v>
      </c>
      <c r="J3505">
        <v>0</v>
      </c>
      <c r="K3505">
        <v>0</v>
      </c>
      <c r="L3505">
        <v>0</v>
      </c>
      <c r="M3505">
        <v>0</v>
      </c>
      <c r="N3505">
        <v>0</v>
      </c>
      <c r="O3505">
        <v>0</v>
      </c>
    </row>
    <row r="3506" spans="1:15" x14ac:dyDescent="0.35">
      <c r="A3506" t="s">
        <v>3962</v>
      </c>
      <c r="B3506" t="s">
        <v>201</v>
      </c>
      <c r="C3506" t="s">
        <v>1644</v>
      </c>
      <c r="D3506" t="s">
        <v>314</v>
      </c>
      <c r="E3506" t="s">
        <v>312</v>
      </c>
      <c r="F3506" t="s">
        <v>3979</v>
      </c>
      <c r="G3506">
        <v>103</v>
      </c>
      <c r="H3506">
        <v>31831.8</v>
      </c>
      <c r="I3506">
        <v>309.05</v>
      </c>
      <c r="J3506">
        <v>67</v>
      </c>
      <c r="K3506">
        <v>10994.03</v>
      </c>
      <c r="L3506">
        <v>164.09</v>
      </c>
      <c r="M3506">
        <v>170</v>
      </c>
      <c r="N3506">
        <v>42825.83</v>
      </c>
      <c r="O3506">
        <v>251.92</v>
      </c>
    </row>
    <row r="3507" spans="1:15" x14ac:dyDescent="0.35">
      <c r="A3507" t="s">
        <v>3962</v>
      </c>
      <c r="B3507" t="s">
        <v>201</v>
      </c>
      <c r="C3507" t="s">
        <v>1644</v>
      </c>
      <c r="D3507" t="s">
        <v>314</v>
      </c>
      <c r="E3507" t="s">
        <v>310</v>
      </c>
      <c r="F3507" t="s">
        <v>3980</v>
      </c>
      <c r="G3507">
        <v>103</v>
      </c>
      <c r="H3507">
        <v>31831.8</v>
      </c>
      <c r="I3507">
        <v>309.05</v>
      </c>
      <c r="J3507">
        <v>67</v>
      </c>
      <c r="K3507">
        <v>10994.03</v>
      </c>
      <c r="L3507">
        <v>164.09</v>
      </c>
      <c r="M3507">
        <v>170</v>
      </c>
      <c r="N3507">
        <v>42825.83</v>
      </c>
      <c r="O3507">
        <v>251.92</v>
      </c>
    </row>
    <row r="3508" spans="1:15" x14ac:dyDescent="0.35">
      <c r="A3508" t="s">
        <v>3962</v>
      </c>
      <c r="B3508" t="s">
        <v>201</v>
      </c>
      <c r="C3508" t="s">
        <v>1644</v>
      </c>
      <c r="D3508" t="s">
        <v>323</v>
      </c>
      <c r="E3508" t="s">
        <v>294</v>
      </c>
      <c r="F3508" t="s">
        <v>3981</v>
      </c>
      <c r="G3508">
        <v>178</v>
      </c>
      <c r="H3508">
        <v>17971.41</v>
      </c>
      <c r="I3508">
        <v>100.96</v>
      </c>
      <c r="J3508">
        <v>717</v>
      </c>
      <c r="K3508">
        <v>66351.180000000008</v>
      </c>
      <c r="L3508">
        <v>92.54</v>
      </c>
      <c r="M3508">
        <v>895</v>
      </c>
      <c r="N3508">
        <v>84322.590000000011</v>
      </c>
      <c r="O3508">
        <v>94.22</v>
      </c>
    </row>
    <row r="3509" spans="1:15" x14ac:dyDescent="0.35">
      <c r="A3509" t="s">
        <v>3962</v>
      </c>
      <c r="B3509" t="s">
        <v>201</v>
      </c>
      <c r="C3509" t="s">
        <v>1644</v>
      </c>
      <c r="D3509" t="s">
        <v>323</v>
      </c>
      <c r="E3509" t="s">
        <v>296</v>
      </c>
      <c r="F3509" t="s">
        <v>3982</v>
      </c>
      <c r="G3509">
        <v>681</v>
      </c>
      <c r="H3509">
        <v>82738.12</v>
      </c>
      <c r="I3509">
        <v>121.5</v>
      </c>
      <c r="J3509">
        <v>828</v>
      </c>
      <c r="K3509">
        <v>88446.959999999992</v>
      </c>
      <c r="L3509">
        <v>106.82</v>
      </c>
      <c r="M3509">
        <v>1509</v>
      </c>
      <c r="N3509">
        <v>171185.08</v>
      </c>
      <c r="O3509">
        <v>113.44</v>
      </c>
    </row>
    <row r="3510" spans="1:15" x14ac:dyDescent="0.35">
      <c r="A3510" t="s">
        <v>3962</v>
      </c>
      <c r="B3510" t="s">
        <v>201</v>
      </c>
      <c r="C3510" t="s">
        <v>1644</v>
      </c>
      <c r="D3510" t="s">
        <v>323</v>
      </c>
      <c r="E3510" t="s">
        <v>298</v>
      </c>
      <c r="F3510" t="s">
        <v>3983</v>
      </c>
      <c r="G3510">
        <v>588</v>
      </c>
      <c r="H3510">
        <v>80411.850000000006</v>
      </c>
      <c r="I3510">
        <v>136.75</v>
      </c>
      <c r="J3510">
        <v>767</v>
      </c>
      <c r="K3510">
        <v>93205.84</v>
      </c>
      <c r="L3510">
        <v>121.52</v>
      </c>
      <c r="M3510">
        <v>1355</v>
      </c>
      <c r="N3510">
        <v>173617.69</v>
      </c>
      <c r="O3510">
        <v>128.13</v>
      </c>
    </row>
    <row r="3511" spans="1:15" x14ac:dyDescent="0.35">
      <c r="A3511" t="s">
        <v>3962</v>
      </c>
      <c r="B3511" t="s">
        <v>201</v>
      </c>
      <c r="C3511" t="s">
        <v>1644</v>
      </c>
      <c r="D3511" t="s">
        <v>323</v>
      </c>
      <c r="E3511" t="s">
        <v>300</v>
      </c>
      <c r="F3511" t="s">
        <v>3984</v>
      </c>
      <c r="G3511">
        <v>56</v>
      </c>
      <c r="H3511">
        <v>9103.43</v>
      </c>
      <c r="I3511">
        <v>162.56</v>
      </c>
      <c r="J3511">
        <v>30</v>
      </c>
      <c r="K3511">
        <v>3972.2999999999997</v>
      </c>
      <c r="L3511">
        <v>132.41</v>
      </c>
      <c r="M3511">
        <v>86</v>
      </c>
      <c r="N3511">
        <v>13075.73</v>
      </c>
      <c r="O3511">
        <v>152.04</v>
      </c>
    </row>
    <row r="3512" spans="1:15" x14ac:dyDescent="0.35">
      <c r="A3512" t="s">
        <v>3962</v>
      </c>
      <c r="B3512" t="s">
        <v>201</v>
      </c>
      <c r="C3512" t="s">
        <v>1644</v>
      </c>
      <c r="D3512" t="s">
        <v>323</v>
      </c>
      <c r="E3512" t="s">
        <v>302</v>
      </c>
      <c r="F3512" t="s">
        <v>3985</v>
      </c>
      <c r="G3512">
        <v>1</v>
      </c>
      <c r="H3512">
        <v>205.85</v>
      </c>
      <c r="I3512">
        <v>205.85</v>
      </c>
      <c r="J3512">
        <v>1</v>
      </c>
      <c r="K3512">
        <v>153.28</v>
      </c>
      <c r="L3512">
        <v>153.28</v>
      </c>
      <c r="M3512">
        <v>2</v>
      </c>
      <c r="N3512">
        <v>359.13</v>
      </c>
      <c r="O3512">
        <v>179.57</v>
      </c>
    </row>
    <row r="3513" spans="1:15" x14ac:dyDescent="0.35">
      <c r="A3513" t="s">
        <v>3962</v>
      </c>
      <c r="B3513" t="s">
        <v>201</v>
      </c>
      <c r="C3513" t="s">
        <v>1644</v>
      </c>
      <c r="D3513" t="s">
        <v>323</v>
      </c>
      <c r="E3513" t="s">
        <v>304</v>
      </c>
      <c r="F3513" t="s">
        <v>3986</v>
      </c>
      <c r="G3513">
        <v>0</v>
      </c>
      <c r="H3513">
        <v>0</v>
      </c>
      <c r="I3513">
        <v>0</v>
      </c>
      <c r="J3513">
        <v>1</v>
      </c>
      <c r="K3513">
        <v>174.64</v>
      </c>
      <c r="L3513">
        <v>174.64</v>
      </c>
      <c r="M3513">
        <v>1</v>
      </c>
      <c r="N3513">
        <v>174.64</v>
      </c>
      <c r="O3513">
        <v>174.64</v>
      </c>
    </row>
    <row r="3514" spans="1:15" x14ac:dyDescent="0.35">
      <c r="A3514" t="s">
        <v>3962</v>
      </c>
      <c r="B3514" t="s">
        <v>201</v>
      </c>
      <c r="C3514" t="s">
        <v>1644</v>
      </c>
      <c r="D3514" t="s">
        <v>323</v>
      </c>
      <c r="E3514" t="s">
        <v>306</v>
      </c>
      <c r="F3514" t="s">
        <v>3987</v>
      </c>
      <c r="G3514">
        <v>9</v>
      </c>
      <c r="H3514">
        <v>755.18999999999994</v>
      </c>
      <c r="I3514">
        <v>83.91</v>
      </c>
      <c r="J3514">
        <v>6</v>
      </c>
      <c r="K3514">
        <v>540.36</v>
      </c>
      <c r="L3514">
        <v>90.06</v>
      </c>
      <c r="M3514">
        <v>15</v>
      </c>
      <c r="N3514">
        <v>1295.55</v>
      </c>
      <c r="O3514">
        <v>86.37</v>
      </c>
    </row>
    <row r="3515" spans="1:15" x14ac:dyDescent="0.35">
      <c r="A3515" t="s">
        <v>3962</v>
      </c>
      <c r="B3515" t="s">
        <v>201</v>
      </c>
      <c r="C3515" t="s">
        <v>1644</v>
      </c>
      <c r="D3515" t="s">
        <v>323</v>
      </c>
      <c r="E3515" t="s">
        <v>308</v>
      </c>
      <c r="F3515" t="s">
        <v>3988</v>
      </c>
      <c r="G3515">
        <v>0</v>
      </c>
      <c r="H3515">
        <v>0</v>
      </c>
      <c r="I3515">
        <v>0</v>
      </c>
      <c r="J3515">
        <v>0</v>
      </c>
      <c r="K3515">
        <v>0</v>
      </c>
      <c r="L3515">
        <v>0</v>
      </c>
      <c r="M3515">
        <v>0</v>
      </c>
      <c r="N3515">
        <v>0</v>
      </c>
      <c r="O3515">
        <v>0</v>
      </c>
    </row>
    <row r="3516" spans="1:15" x14ac:dyDescent="0.35">
      <c r="A3516" t="s">
        <v>3962</v>
      </c>
      <c r="B3516" t="s">
        <v>201</v>
      </c>
      <c r="C3516" t="s">
        <v>1644</v>
      </c>
      <c r="D3516" t="s">
        <v>323</v>
      </c>
      <c r="E3516" t="s">
        <v>310</v>
      </c>
      <c r="F3516" t="s">
        <v>3989</v>
      </c>
      <c r="G3516">
        <v>1513</v>
      </c>
      <c r="H3516">
        <v>191185.85</v>
      </c>
      <c r="I3516">
        <v>126.36</v>
      </c>
      <c r="J3516">
        <v>2350</v>
      </c>
      <c r="K3516">
        <v>252844.56</v>
      </c>
      <c r="L3516">
        <v>107.59</v>
      </c>
      <c r="M3516">
        <v>3863</v>
      </c>
      <c r="N3516">
        <v>444030.41000000003</v>
      </c>
      <c r="O3516">
        <v>114.94</v>
      </c>
    </row>
    <row r="3517" spans="1:15" x14ac:dyDescent="0.35">
      <c r="A3517" t="s">
        <v>3962</v>
      </c>
      <c r="B3517" t="s">
        <v>201</v>
      </c>
      <c r="C3517" t="s">
        <v>1644</v>
      </c>
      <c r="D3517" t="s">
        <v>323</v>
      </c>
      <c r="E3517" t="s">
        <v>312</v>
      </c>
      <c r="F3517" t="s">
        <v>3990</v>
      </c>
      <c r="G3517">
        <v>1513</v>
      </c>
      <c r="H3517">
        <v>191185.85</v>
      </c>
      <c r="I3517">
        <v>126.36</v>
      </c>
      <c r="J3517">
        <v>2350</v>
      </c>
      <c r="K3517">
        <v>252844.56</v>
      </c>
      <c r="L3517">
        <v>107.59</v>
      </c>
      <c r="M3517">
        <v>3863</v>
      </c>
      <c r="N3517">
        <v>444030.41000000003</v>
      </c>
      <c r="O3517">
        <v>114.94</v>
      </c>
    </row>
    <row r="3518" spans="1:15" x14ac:dyDescent="0.35">
      <c r="A3518" t="s">
        <v>3962</v>
      </c>
      <c r="B3518" t="s">
        <v>201</v>
      </c>
      <c r="C3518" t="s">
        <v>1644</v>
      </c>
      <c r="D3518" t="s">
        <v>334</v>
      </c>
      <c r="E3518" t="s">
        <v>312</v>
      </c>
      <c r="F3518" t="s">
        <v>3991</v>
      </c>
      <c r="G3518">
        <v>3144</v>
      </c>
      <c r="H3518">
        <v>497360.11999999988</v>
      </c>
      <c r="I3518">
        <v>160.28</v>
      </c>
      <c r="J3518">
        <v>2621</v>
      </c>
      <c r="K3518">
        <v>303794.62000000005</v>
      </c>
      <c r="L3518">
        <v>115.91</v>
      </c>
      <c r="M3518">
        <v>5765</v>
      </c>
      <c r="N3518">
        <v>801154.74</v>
      </c>
      <c r="O3518">
        <v>139.96</v>
      </c>
    </row>
    <row r="3519" spans="1:15" x14ac:dyDescent="0.35">
      <c r="A3519" t="s">
        <v>3962</v>
      </c>
      <c r="B3519" t="s">
        <v>201</v>
      </c>
      <c r="C3519" t="s">
        <v>1644</v>
      </c>
      <c r="D3519" t="s">
        <v>334</v>
      </c>
      <c r="E3519" t="s">
        <v>308</v>
      </c>
      <c r="F3519" t="s">
        <v>3992</v>
      </c>
      <c r="G3519">
        <v>0</v>
      </c>
      <c r="H3519">
        <v>0</v>
      </c>
      <c r="I3519">
        <v>0</v>
      </c>
      <c r="J3519">
        <v>0</v>
      </c>
      <c r="K3519">
        <v>0</v>
      </c>
      <c r="L3519">
        <v>0</v>
      </c>
      <c r="M3519">
        <v>0</v>
      </c>
      <c r="N3519">
        <v>0</v>
      </c>
      <c r="O3519">
        <v>0</v>
      </c>
    </row>
    <row r="3520" spans="1:15" x14ac:dyDescent="0.35">
      <c r="A3520" t="s">
        <v>3962</v>
      </c>
      <c r="B3520" t="s">
        <v>201</v>
      </c>
      <c r="C3520" t="s">
        <v>1644</v>
      </c>
      <c r="D3520" t="s">
        <v>337</v>
      </c>
      <c r="E3520" t="s">
        <v>337</v>
      </c>
      <c r="F3520" t="s">
        <v>3993</v>
      </c>
      <c r="G3520">
        <v>992</v>
      </c>
      <c r="J3520">
        <v>84</v>
      </c>
      <c r="M3520">
        <v>1076</v>
      </c>
    </row>
    <row r="3521" spans="1:15" x14ac:dyDescent="0.35">
      <c r="A3521" t="s">
        <v>3962</v>
      </c>
      <c r="B3521" t="s">
        <v>201</v>
      </c>
      <c r="C3521" t="s">
        <v>1644</v>
      </c>
      <c r="D3521" t="s">
        <v>339</v>
      </c>
      <c r="E3521" t="s">
        <v>294</v>
      </c>
      <c r="F3521" t="s">
        <v>3994</v>
      </c>
      <c r="G3521">
        <v>153</v>
      </c>
      <c r="H3521">
        <v>15315.210000000001</v>
      </c>
      <c r="I3521">
        <v>100.1</v>
      </c>
      <c r="J3521">
        <v>348</v>
      </c>
      <c r="K3521">
        <v>31967.279999999999</v>
      </c>
      <c r="L3521">
        <v>91.86</v>
      </c>
      <c r="M3521">
        <v>501</v>
      </c>
      <c r="N3521">
        <v>47282.49</v>
      </c>
      <c r="O3521">
        <v>94.38</v>
      </c>
    </row>
    <row r="3522" spans="1:15" x14ac:dyDescent="0.35">
      <c r="A3522" t="s">
        <v>3962</v>
      </c>
      <c r="B3522" t="s">
        <v>201</v>
      </c>
      <c r="C3522" t="s">
        <v>1644</v>
      </c>
      <c r="D3522" t="s">
        <v>339</v>
      </c>
      <c r="E3522" t="s">
        <v>296</v>
      </c>
      <c r="F3522" t="s">
        <v>3995</v>
      </c>
      <c r="G3522">
        <v>20</v>
      </c>
      <c r="H3522">
        <v>2640.36</v>
      </c>
      <c r="I3522">
        <v>132.02000000000001</v>
      </c>
      <c r="J3522">
        <v>15</v>
      </c>
      <c r="K3522">
        <v>1582.95</v>
      </c>
      <c r="L3522">
        <v>105.53</v>
      </c>
      <c r="M3522">
        <v>35</v>
      </c>
      <c r="N3522">
        <v>4223.3100000000004</v>
      </c>
      <c r="O3522">
        <v>120.67</v>
      </c>
    </row>
    <row r="3523" spans="1:15" x14ac:dyDescent="0.35">
      <c r="A3523" t="s">
        <v>3962</v>
      </c>
      <c r="B3523" t="s">
        <v>201</v>
      </c>
      <c r="C3523" t="s">
        <v>1644</v>
      </c>
      <c r="D3523" t="s">
        <v>339</v>
      </c>
      <c r="E3523" t="s">
        <v>298</v>
      </c>
      <c r="F3523" t="s">
        <v>3996</v>
      </c>
      <c r="G3523">
        <v>1</v>
      </c>
      <c r="H3523">
        <v>120.18</v>
      </c>
      <c r="I3523">
        <v>120.18</v>
      </c>
      <c r="J3523">
        <v>2</v>
      </c>
      <c r="K3523">
        <v>241.3</v>
      </c>
      <c r="L3523">
        <v>120.65</v>
      </c>
      <c r="M3523">
        <v>3</v>
      </c>
      <c r="N3523">
        <v>361.48</v>
      </c>
      <c r="O3523">
        <v>120.49</v>
      </c>
    </row>
    <row r="3524" spans="1:15" x14ac:dyDescent="0.35">
      <c r="A3524" t="s">
        <v>3962</v>
      </c>
      <c r="B3524" t="s">
        <v>201</v>
      </c>
      <c r="C3524" t="s">
        <v>1644</v>
      </c>
      <c r="D3524" t="s">
        <v>339</v>
      </c>
      <c r="E3524" t="s">
        <v>300</v>
      </c>
      <c r="F3524" t="s">
        <v>3997</v>
      </c>
      <c r="G3524">
        <v>0</v>
      </c>
      <c r="H3524">
        <v>0</v>
      </c>
      <c r="I3524">
        <v>0</v>
      </c>
      <c r="J3524">
        <v>0</v>
      </c>
      <c r="K3524">
        <v>0</v>
      </c>
      <c r="L3524">
        <v>0</v>
      </c>
      <c r="M3524">
        <v>0</v>
      </c>
      <c r="N3524">
        <v>0</v>
      </c>
      <c r="O3524">
        <v>0</v>
      </c>
    </row>
    <row r="3525" spans="1:15" x14ac:dyDescent="0.35">
      <c r="A3525" t="s">
        <v>3962</v>
      </c>
      <c r="B3525" t="s">
        <v>201</v>
      </c>
      <c r="C3525" t="s">
        <v>1644</v>
      </c>
      <c r="D3525" t="s">
        <v>339</v>
      </c>
      <c r="E3525" t="s">
        <v>306</v>
      </c>
      <c r="F3525" t="s">
        <v>3998</v>
      </c>
      <c r="G3525">
        <v>37</v>
      </c>
      <c r="H3525">
        <v>3022.1600000000003</v>
      </c>
      <c r="I3525">
        <v>81.680000000000007</v>
      </c>
      <c r="J3525">
        <v>2</v>
      </c>
      <c r="K3525">
        <v>187</v>
      </c>
      <c r="L3525">
        <v>93.5</v>
      </c>
      <c r="M3525">
        <v>39</v>
      </c>
      <c r="N3525">
        <v>3209.1600000000003</v>
      </c>
      <c r="O3525">
        <v>82.29</v>
      </c>
    </row>
    <row r="3526" spans="1:15" x14ac:dyDescent="0.35">
      <c r="A3526" t="s">
        <v>3962</v>
      </c>
      <c r="B3526" t="s">
        <v>201</v>
      </c>
      <c r="C3526" t="s">
        <v>1644</v>
      </c>
      <c r="D3526" t="s">
        <v>339</v>
      </c>
      <c r="E3526" t="s">
        <v>308</v>
      </c>
      <c r="F3526" t="s">
        <v>3999</v>
      </c>
      <c r="G3526">
        <v>7</v>
      </c>
      <c r="H3526">
        <v>3249.89</v>
      </c>
      <c r="I3526">
        <v>464.27</v>
      </c>
      <c r="J3526">
        <v>0</v>
      </c>
      <c r="K3526">
        <v>0</v>
      </c>
      <c r="L3526">
        <v>0</v>
      </c>
      <c r="M3526">
        <v>7</v>
      </c>
      <c r="N3526">
        <v>3249.89</v>
      </c>
      <c r="O3526">
        <v>464.27</v>
      </c>
    </row>
    <row r="3527" spans="1:15" x14ac:dyDescent="0.35">
      <c r="A3527" t="s">
        <v>3962</v>
      </c>
      <c r="B3527" t="s">
        <v>201</v>
      </c>
      <c r="C3527" t="s">
        <v>1644</v>
      </c>
      <c r="D3527" t="s">
        <v>339</v>
      </c>
      <c r="E3527" t="s">
        <v>310</v>
      </c>
      <c r="F3527" t="s">
        <v>4000</v>
      </c>
      <c r="G3527">
        <v>218</v>
      </c>
      <c r="H3527">
        <v>24347.8</v>
      </c>
      <c r="I3527">
        <v>111.69</v>
      </c>
      <c r="J3527">
        <v>367</v>
      </c>
      <c r="K3527">
        <v>33978.53</v>
      </c>
      <c r="L3527">
        <v>92.58</v>
      </c>
      <c r="M3527">
        <v>585</v>
      </c>
      <c r="N3527">
        <v>58326.33</v>
      </c>
      <c r="O3527">
        <v>99.7</v>
      </c>
    </row>
    <row r="3528" spans="1:15" x14ac:dyDescent="0.35">
      <c r="A3528" t="s">
        <v>3962</v>
      </c>
      <c r="B3528" t="s">
        <v>201</v>
      </c>
      <c r="C3528" t="s">
        <v>1644</v>
      </c>
      <c r="D3528" t="s">
        <v>339</v>
      </c>
      <c r="E3528" t="s">
        <v>312</v>
      </c>
      <c r="F3528" t="s">
        <v>4001</v>
      </c>
      <c r="G3528">
        <v>211</v>
      </c>
      <c r="H3528">
        <v>21097.91</v>
      </c>
      <c r="I3528">
        <v>99.99</v>
      </c>
      <c r="J3528">
        <v>367</v>
      </c>
      <c r="K3528">
        <v>33978.53</v>
      </c>
      <c r="L3528">
        <v>92.58</v>
      </c>
      <c r="M3528">
        <v>578</v>
      </c>
      <c r="N3528">
        <v>55076.44</v>
      </c>
      <c r="O3528">
        <v>95.29</v>
      </c>
    </row>
    <row r="3529" spans="1:15" x14ac:dyDescent="0.35">
      <c r="A3529" t="s">
        <v>3962</v>
      </c>
      <c r="B3529" t="s">
        <v>201</v>
      </c>
      <c r="C3529" t="s">
        <v>1644</v>
      </c>
      <c r="D3529" t="s">
        <v>348</v>
      </c>
      <c r="E3529" t="s">
        <v>349</v>
      </c>
      <c r="F3529" t="s">
        <v>4002</v>
      </c>
      <c r="G3529">
        <v>461</v>
      </c>
      <c r="H3529">
        <v>56179.600000000006</v>
      </c>
      <c r="I3529">
        <v>175.01</v>
      </c>
      <c r="J3529">
        <v>434</v>
      </c>
      <c r="K3529">
        <v>44972.56</v>
      </c>
      <c r="L3529">
        <v>103.62</v>
      </c>
      <c r="M3529">
        <v>895</v>
      </c>
      <c r="N3529">
        <v>101152.16</v>
      </c>
      <c r="O3529">
        <v>133.97999999999999</v>
      </c>
    </row>
    <row r="3530" spans="1:15" x14ac:dyDescent="0.35">
      <c r="A3530" t="s">
        <v>4003</v>
      </c>
      <c r="B3530" t="s">
        <v>4004</v>
      </c>
      <c r="C3530" t="s">
        <v>1477</v>
      </c>
      <c r="D3530" t="s">
        <v>293</v>
      </c>
      <c r="E3530" t="s">
        <v>294</v>
      </c>
      <c r="F3530" t="s">
        <v>4005</v>
      </c>
      <c r="G3530">
        <v>63</v>
      </c>
      <c r="H3530">
        <v>8928.7800000000007</v>
      </c>
      <c r="I3530">
        <v>141.72999999999999</v>
      </c>
      <c r="J3530">
        <v>9</v>
      </c>
      <c r="K3530">
        <v>1605.2400000000002</v>
      </c>
      <c r="L3530">
        <v>178.36</v>
      </c>
      <c r="M3530">
        <v>72</v>
      </c>
      <c r="N3530">
        <v>10534.02</v>
      </c>
      <c r="O3530">
        <v>146.31</v>
      </c>
    </row>
    <row r="3531" spans="1:15" x14ac:dyDescent="0.35">
      <c r="A3531" t="s">
        <v>4003</v>
      </c>
      <c r="B3531" t="s">
        <v>4004</v>
      </c>
      <c r="C3531" t="s">
        <v>1477</v>
      </c>
      <c r="D3531" t="s">
        <v>293</v>
      </c>
      <c r="E3531" t="s">
        <v>296</v>
      </c>
      <c r="F3531" t="s">
        <v>4006</v>
      </c>
      <c r="G3531">
        <v>97</v>
      </c>
      <c r="H3531">
        <v>17056.02</v>
      </c>
      <c r="I3531">
        <v>175.84</v>
      </c>
      <c r="J3531">
        <v>26</v>
      </c>
      <c r="K3531">
        <v>5684.38</v>
      </c>
      <c r="L3531">
        <v>218.63</v>
      </c>
      <c r="M3531">
        <v>123</v>
      </c>
      <c r="N3531">
        <v>22740.400000000001</v>
      </c>
      <c r="O3531">
        <v>184.88</v>
      </c>
    </row>
    <row r="3532" spans="1:15" x14ac:dyDescent="0.35">
      <c r="A3532" t="s">
        <v>4003</v>
      </c>
      <c r="B3532" t="s">
        <v>4004</v>
      </c>
      <c r="C3532" t="s">
        <v>1477</v>
      </c>
      <c r="D3532" t="s">
        <v>293</v>
      </c>
      <c r="E3532" t="s">
        <v>298</v>
      </c>
      <c r="F3532" t="s">
        <v>4007</v>
      </c>
      <c r="G3532">
        <v>27</v>
      </c>
      <c r="H3532">
        <v>5079.3100000000004</v>
      </c>
      <c r="I3532">
        <v>188.12</v>
      </c>
      <c r="J3532">
        <v>0</v>
      </c>
      <c r="K3532">
        <v>0</v>
      </c>
      <c r="L3532">
        <v>0</v>
      </c>
      <c r="M3532">
        <v>27</v>
      </c>
      <c r="N3532">
        <v>5079.3100000000004</v>
      </c>
      <c r="O3532">
        <v>188.12</v>
      </c>
    </row>
    <row r="3533" spans="1:15" x14ac:dyDescent="0.35">
      <c r="A3533" t="s">
        <v>4003</v>
      </c>
      <c r="B3533" t="s">
        <v>4004</v>
      </c>
      <c r="C3533" t="s">
        <v>1477</v>
      </c>
      <c r="D3533" t="s">
        <v>293</v>
      </c>
      <c r="E3533" t="s">
        <v>300</v>
      </c>
      <c r="F3533" t="s">
        <v>4008</v>
      </c>
      <c r="G3533">
        <v>3</v>
      </c>
      <c r="H3533">
        <v>665.31</v>
      </c>
      <c r="I3533">
        <v>221.77</v>
      </c>
      <c r="J3533">
        <v>0</v>
      </c>
      <c r="K3533">
        <v>0</v>
      </c>
      <c r="L3533">
        <v>0</v>
      </c>
      <c r="M3533">
        <v>3</v>
      </c>
      <c r="N3533">
        <v>665.31</v>
      </c>
      <c r="O3533">
        <v>221.77</v>
      </c>
    </row>
    <row r="3534" spans="1:15" x14ac:dyDescent="0.35">
      <c r="A3534" t="s">
        <v>4003</v>
      </c>
      <c r="B3534" t="s">
        <v>4004</v>
      </c>
      <c r="C3534" t="s">
        <v>1477</v>
      </c>
      <c r="D3534" t="s">
        <v>293</v>
      </c>
      <c r="E3534" t="s">
        <v>302</v>
      </c>
      <c r="F3534" t="s">
        <v>4009</v>
      </c>
      <c r="G3534">
        <v>0</v>
      </c>
      <c r="H3534">
        <v>0</v>
      </c>
      <c r="I3534">
        <v>0</v>
      </c>
      <c r="J3534">
        <v>0</v>
      </c>
      <c r="K3534">
        <v>0</v>
      </c>
      <c r="L3534">
        <v>0</v>
      </c>
      <c r="M3534">
        <v>0</v>
      </c>
      <c r="N3534">
        <v>0</v>
      </c>
      <c r="O3534">
        <v>0</v>
      </c>
    </row>
    <row r="3535" spans="1:15" x14ac:dyDescent="0.35">
      <c r="A3535" t="s">
        <v>4003</v>
      </c>
      <c r="B3535" t="s">
        <v>4004</v>
      </c>
      <c r="C3535" t="s">
        <v>1477</v>
      </c>
      <c r="D3535" t="s">
        <v>293</v>
      </c>
      <c r="E3535" t="s">
        <v>304</v>
      </c>
      <c r="F3535" t="s">
        <v>4010</v>
      </c>
      <c r="G3535">
        <v>0</v>
      </c>
      <c r="H3535">
        <v>0</v>
      </c>
      <c r="I3535">
        <v>0</v>
      </c>
      <c r="J3535">
        <v>0</v>
      </c>
      <c r="K3535">
        <v>0</v>
      </c>
      <c r="L3535">
        <v>0</v>
      </c>
      <c r="M3535">
        <v>0</v>
      </c>
      <c r="N3535">
        <v>0</v>
      </c>
      <c r="O3535">
        <v>0</v>
      </c>
    </row>
    <row r="3536" spans="1:15" x14ac:dyDescent="0.35">
      <c r="A3536" t="s">
        <v>4003</v>
      </c>
      <c r="B3536" t="s">
        <v>4004</v>
      </c>
      <c r="C3536" t="s">
        <v>1477</v>
      </c>
      <c r="D3536" t="s">
        <v>293</v>
      </c>
      <c r="E3536" t="s">
        <v>306</v>
      </c>
      <c r="F3536" t="s">
        <v>4011</v>
      </c>
      <c r="G3536">
        <v>2</v>
      </c>
      <c r="H3536">
        <v>269.22000000000003</v>
      </c>
      <c r="I3536">
        <v>134.61000000000001</v>
      </c>
      <c r="J3536">
        <v>6</v>
      </c>
      <c r="K3536">
        <v>864.54</v>
      </c>
      <c r="L3536">
        <v>144.09</v>
      </c>
      <c r="M3536">
        <v>8</v>
      </c>
      <c r="N3536">
        <v>1133.76</v>
      </c>
      <c r="O3536">
        <v>141.72</v>
      </c>
    </row>
    <row r="3537" spans="1:15" x14ac:dyDescent="0.35">
      <c r="A3537" t="s">
        <v>4003</v>
      </c>
      <c r="B3537" t="s">
        <v>4004</v>
      </c>
      <c r="C3537" t="s">
        <v>1477</v>
      </c>
      <c r="D3537" t="s">
        <v>293</v>
      </c>
      <c r="E3537" t="s">
        <v>308</v>
      </c>
      <c r="F3537" t="s">
        <v>4012</v>
      </c>
      <c r="G3537">
        <v>0</v>
      </c>
      <c r="H3537">
        <v>0</v>
      </c>
      <c r="I3537">
        <v>0</v>
      </c>
      <c r="J3537">
        <v>0</v>
      </c>
      <c r="K3537">
        <v>0</v>
      </c>
      <c r="L3537">
        <v>0</v>
      </c>
      <c r="M3537">
        <v>0</v>
      </c>
      <c r="N3537">
        <v>0</v>
      </c>
      <c r="O3537">
        <v>0</v>
      </c>
    </row>
    <row r="3538" spans="1:15" x14ac:dyDescent="0.35">
      <c r="A3538" t="s">
        <v>4003</v>
      </c>
      <c r="B3538" t="s">
        <v>4004</v>
      </c>
      <c r="C3538" t="s">
        <v>1477</v>
      </c>
      <c r="D3538" t="s">
        <v>293</v>
      </c>
      <c r="E3538" t="s">
        <v>310</v>
      </c>
      <c r="F3538" t="s">
        <v>4013</v>
      </c>
      <c r="G3538">
        <v>192</v>
      </c>
      <c r="H3538">
        <v>31998.640000000007</v>
      </c>
      <c r="I3538">
        <v>166.66</v>
      </c>
      <c r="J3538">
        <v>41</v>
      </c>
      <c r="K3538">
        <v>8154.1600000000008</v>
      </c>
      <c r="L3538">
        <v>198.88</v>
      </c>
      <c r="M3538">
        <v>233</v>
      </c>
      <c r="N3538">
        <v>40152.80000000001</v>
      </c>
      <c r="O3538">
        <v>172.33</v>
      </c>
    </row>
    <row r="3539" spans="1:15" x14ac:dyDescent="0.35">
      <c r="A3539" t="s">
        <v>4003</v>
      </c>
      <c r="B3539" t="s">
        <v>4004</v>
      </c>
      <c r="C3539" t="s">
        <v>1477</v>
      </c>
      <c r="D3539" t="s">
        <v>293</v>
      </c>
      <c r="E3539" t="s">
        <v>312</v>
      </c>
      <c r="F3539" t="s">
        <v>4014</v>
      </c>
      <c r="G3539">
        <v>192</v>
      </c>
      <c r="H3539">
        <v>31998.640000000007</v>
      </c>
      <c r="I3539">
        <v>166.66</v>
      </c>
      <c r="J3539">
        <v>41</v>
      </c>
      <c r="K3539">
        <v>8154.1600000000008</v>
      </c>
      <c r="L3539">
        <v>198.88</v>
      </c>
      <c r="M3539">
        <v>233</v>
      </c>
      <c r="N3539">
        <v>40152.80000000001</v>
      </c>
      <c r="O3539">
        <v>172.33</v>
      </c>
    </row>
    <row r="3540" spans="1:15" x14ac:dyDescent="0.35">
      <c r="A3540" t="s">
        <v>4003</v>
      </c>
      <c r="B3540" t="s">
        <v>4004</v>
      </c>
      <c r="C3540" t="s">
        <v>1477</v>
      </c>
      <c r="D3540" t="s">
        <v>314</v>
      </c>
      <c r="E3540" t="s">
        <v>294</v>
      </c>
      <c r="F3540" t="s">
        <v>4015</v>
      </c>
      <c r="G3540">
        <v>0</v>
      </c>
      <c r="H3540">
        <v>0</v>
      </c>
      <c r="I3540">
        <v>0</v>
      </c>
      <c r="J3540">
        <v>0</v>
      </c>
      <c r="K3540">
        <v>0</v>
      </c>
      <c r="L3540">
        <v>0</v>
      </c>
      <c r="M3540">
        <v>0</v>
      </c>
      <c r="N3540">
        <v>0</v>
      </c>
      <c r="O3540">
        <v>0</v>
      </c>
    </row>
    <row r="3541" spans="1:15" x14ac:dyDescent="0.35">
      <c r="A3541" t="s">
        <v>4003</v>
      </c>
      <c r="B3541" t="s">
        <v>4004</v>
      </c>
      <c r="C3541" t="s">
        <v>1477</v>
      </c>
      <c r="D3541" t="s">
        <v>314</v>
      </c>
      <c r="E3541" t="s">
        <v>296</v>
      </c>
      <c r="F3541" t="s">
        <v>4016</v>
      </c>
      <c r="G3541">
        <v>0</v>
      </c>
      <c r="H3541">
        <v>0</v>
      </c>
      <c r="I3541">
        <v>0</v>
      </c>
      <c r="J3541">
        <v>0</v>
      </c>
      <c r="K3541">
        <v>0</v>
      </c>
      <c r="L3541">
        <v>0</v>
      </c>
      <c r="M3541">
        <v>0</v>
      </c>
      <c r="N3541">
        <v>0</v>
      </c>
      <c r="O3541">
        <v>0</v>
      </c>
    </row>
    <row r="3542" spans="1:15" x14ac:dyDescent="0.35">
      <c r="A3542" t="s">
        <v>4003</v>
      </c>
      <c r="B3542" t="s">
        <v>4004</v>
      </c>
      <c r="C3542" t="s">
        <v>1477</v>
      </c>
      <c r="D3542" t="s">
        <v>314</v>
      </c>
      <c r="E3542" t="s">
        <v>298</v>
      </c>
      <c r="F3542" t="s">
        <v>4017</v>
      </c>
      <c r="G3542">
        <v>0</v>
      </c>
      <c r="H3542">
        <v>0</v>
      </c>
      <c r="I3542">
        <v>0</v>
      </c>
      <c r="J3542">
        <v>0</v>
      </c>
      <c r="K3542">
        <v>0</v>
      </c>
      <c r="L3542">
        <v>0</v>
      </c>
      <c r="M3542">
        <v>0</v>
      </c>
      <c r="N3542">
        <v>0</v>
      </c>
      <c r="O3542">
        <v>0</v>
      </c>
    </row>
    <row r="3543" spans="1:15" x14ac:dyDescent="0.35">
      <c r="A3543" t="s">
        <v>4003</v>
      </c>
      <c r="B3543" t="s">
        <v>4004</v>
      </c>
      <c r="C3543" t="s">
        <v>1477</v>
      </c>
      <c r="D3543" t="s">
        <v>314</v>
      </c>
      <c r="E3543" t="s">
        <v>300</v>
      </c>
      <c r="F3543" t="s">
        <v>4018</v>
      </c>
      <c r="G3543">
        <v>0</v>
      </c>
      <c r="H3543">
        <v>0</v>
      </c>
      <c r="I3543">
        <v>0</v>
      </c>
      <c r="J3543">
        <v>0</v>
      </c>
      <c r="K3543">
        <v>0</v>
      </c>
      <c r="L3543">
        <v>0</v>
      </c>
      <c r="M3543">
        <v>0</v>
      </c>
      <c r="N3543">
        <v>0</v>
      </c>
      <c r="O3543">
        <v>0</v>
      </c>
    </row>
    <row r="3544" spans="1:15" x14ac:dyDescent="0.35">
      <c r="A3544" t="s">
        <v>4003</v>
      </c>
      <c r="B3544" t="s">
        <v>4004</v>
      </c>
      <c r="C3544" t="s">
        <v>1477</v>
      </c>
      <c r="D3544" t="s">
        <v>314</v>
      </c>
      <c r="E3544" t="s">
        <v>306</v>
      </c>
      <c r="F3544" t="s">
        <v>4019</v>
      </c>
      <c r="G3544">
        <v>0</v>
      </c>
      <c r="H3544">
        <v>0</v>
      </c>
      <c r="I3544">
        <v>0</v>
      </c>
      <c r="J3544">
        <v>0</v>
      </c>
      <c r="K3544">
        <v>0</v>
      </c>
      <c r="L3544">
        <v>0</v>
      </c>
      <c r="M3544">
        <v>0</v>
      </c>
      <c r="N3544">
        <v>0</v>
      </c>
      <c r="O3544">
        <v>0</v>
      </c>
    </row>
    <row r="3545" spans="1:15" x14ac:dyDescent="0.35">
      <c r="A3545" t="s">
        <v>4003</v>
      </c>
      <c r="B3545" t="s">
        <v>4004</v>
      </c>
      <c r="C3545" t="s">
        <v>1477</v>
      </c>
      <c r="D3545" t="s">
        <v>314</v>
      </c>
      <c r="E3545" t="s">
        <v>308</v>
      </c>
      <c r="F3545" t="s">
        <v>4020</v>
      </c>
      <c r="G3545">
        <v>0</v>
      </c>
      <c r="H3545">
        <v>0</v>
      </c>
      <c r="I3545">
        <v>0</v>
      </c>
      <c r="J3545">
        <v>0</v>
      </c>
      <c r="K3545">
        <v>0</v>
      </c>
      <c r="L3545">
        <v>0</v>
      </c>
      <c r="M3545">
        <v>0</v>
      </c>
      <c r="N3545">
        <v>0</v>
      </c>
      <c r="O3545">
        <v>0</v>
      </c>
    </row>
    <row r="3546" spans="1:15" x14ac:dyDescent="0.35">
      <c r="A3546" t="s">
        <v>4003</v>
      </c>
      <c r="B3546" t="s">
        <v>4004</v>
      </c>
      <c r="C3546" t="s">
        <v>1477</v>
      </c>
      <c r="D3546" t="s">
        <v>314</v>
      </c>
      <c r="E3546" t="s">
        <v>312</v>
      </c>
      <c r="F3546" t="s">
        <v>4021</v>
      </c>
      <c r="G3546">
        <v>0</v>
      </c>
      <c r="H3546">
        <v>0</v>
      </c>
      <c r="I3546">
        <v>0</v>
      </c>
      <c r="J3546">
        <v>0</v>
      </c>
      <c r="K3546">
        <v>0</v>
      </c>
      <c r="L3546">
        <v>0</v>
      </c>
      <c r="M3546">
        <v>0</v>
      </c>
      <c r="N3546">
        <v>0</v>
      </c>
      <c r="O3546">
        <v>0</v>
      </c>
    </row>
    <row r="3547" spans="1:15" x14ac:dyDescent="0.35">
      <c r="A3547" t="s">
        <v>4003</v>
      </c>
      <c r="B3547" t="s">
        <v>4004</v>
      </c>
      <c r="C3547" t="s">
        <v>1477</v>
      </c>
      <c r="D3547" t="s">
        <v>314</v>
      </c>
      <c r="E3547" t="s">
        <v>310</v>
      </c>
      <c r="F3547" t="s">
        <v>4022</v>
      </c>
      <c r="G3547">
        <v>0</v>
      </c>
      <c r="H3547">
        <v>0</v>
      </c>
      <c r="I3547">
        <v>0</v>
      </c>
      <c r="J3547">
        <v>0</v>
      </c>
      <c r="K3547">
        <v>0</v>
      </c>
      <c r="L3547">
        <v>0</v>
      </c>
      <c r="M3547">
        <v>0</v>
      </c>
      <c r="N3547">
        <v>0</v>
      </c>
      <c r="O3547">
        <v>0</v>
      </c>
    </row>
    <row r="3548" spans="1:15" x14ac:dyDescent="0.35">
      <c r="A3548" t="s">
        <v>4003</v>
      </c>
      <c r="B3548" t="s">
        <v>4004</v>
      </c>
      <c r="C3548" t="s">
        <v>1477</v>
      </c>
      <c r="D3548" t="s">
        <v>323</v>
      </c>
      <c r="E3548" t="s">
        <v>294</v>
      </c>
      <c r="F3548" t="s">
        <v>4023</v>
      </c>
      <c r="G3548">
        <v>639</v>
      </c>
      <c r="H3548">
        <v>70947.570000000007</v>
      </c>
      <c r="I3548">
        <v>111.03</v>
      </c>
      <c r="J3548">
        <v>2130</v>
      </c>
      <c r="K3548">
        <v>196939.8</v>
      </c>
      <c r="L3548">
        <v>92.46</v>
      </c>
      <c r="M3548">
        <v>2769</v>
      </c>
      <c r="N3548">
        <v>267887.37</v>
      </c>
      <c r="O3548">
        <v>96.75</v>
      </c>
    </row>
    <row r="3549" spans="1:15" x14ac:dyDescent="0.35">
      <c r="A3549" t="s">
        <v>4003</v>
      </c>
      <c r="B3549" t="s">
        <v>4004</v>
      </c>
      <c r="C3549" t="s">
        <v>1477</v>
      </c>
      <c r="D3549" t="s">
        <v>323</v>
      </c>
      <c r="E3549" t="s">
        <v>296</v>
      </c>
      <c r="F3549" t="s">
        <v>4024</v>
      </c>
      <c r="G3549">
        <v>1987</v>
      </c>
      <c r="H3549">
        <v>256968.37</v>
      </c>
      <c r="I3549">
        <v>129.32</v>
      </c>
      <c r="J3549">
        <v>2406</v>
      </c>
      <c r="K3549">
        <v>263721.65999999997</v>
      </c>
      <c r="L3549">
        <v>109.61</v>
      </c>
      <c r="M3549">
        <v>4393</v>
      </c>
      <c r="N3549">
        <v>520690.02999999997</v>
      </c>
      <c r="O3549">
        <v>118.53</v>
      </c>
    </row>
    <row r="3550" spans="1:15" x14ac:dyDescent="0.35">
      <c r="A3550" t="s">
        <v>4003</v>
      </c>
      <c r="B3550" t="s">
        <v>4004</v>
      </c>
      <c r="C3550" t="s">
        <v>1477</v>
      </c>
      <c r="D3550" t="s">
        <v>323</v>
      </c>
      <c r="E3550" t="s">
        <v>298</v>
      </c>
      <c r="F3550" t="s">
        <v>4025</v>
      </c>
      <c r="G3550">
        <v>1885</v>
      </c>
      <c r="H3550">
        <v>272578.92000000004</v>
      </c>
      <c r="I3550">
        <v>144.6</v>
      </c>
      <c r="J3550">
        <v>3509</v>
      </c>
      <c r="K3550">
        <v>419500.95</v>
      </c>
      <c r="L3550">
        <v>119.55</v>
      </c>
      <c r="M3550">
        <v>5394</v>
      </c>
      <c r="N3550">
        <v>692079.87000000011</v>
      </c>
      <c r="O3550">
        <v>128.31</v>
      </c>
    </row>
    <row r="3551" spans="1:15" x14ac:dyDescent="0.35">
      <c r="A3551" t="s">
        <v>4003</v>
      </c>
      <c r="B3551" t="s">
        <v>4004</v>
      </c>
      <c r="C3551" t="s">
        <v>1477</v>
      </c>
      <c r="D3551" t="s">
        <v>323</v>
      </c>
      <c r="E3551" t="s">
        <v>300</v>
      </c>
      <c r="F3551" t="s">
        <v>4026</v>
      </c>
      <c r="G3551">
        <v>412</v>
      </c>
      <c r="H3551">
        <v>64242.700000000004</v>
      </c>
      <c r="I3551">
        <v>155.93</v>
      </c>
      <c r="J3551">
        <v>384</v>
      </c>
      <c r="K3551">
        <v>49824</v>
      </c>
      <c r="L3551">
        <v>129.75</v>
      </c>
      <c r="M3551">
        <v>796</v>
      </c>
      <c r="N3551">
        <v>114066.70000000001</v>
      </c>
      <c r="O3551">
        <v>143.30000000000001</v>
      </c>
    </row>
    <row r="3552" spans="1:15" x14ac:dyDescent="0.35">
      <c r="A3552" t="s">
        <v>4003</v>
      </c>
      <c r="B3552" t="s">
        <v>4004</v>
      </c>
      <c r="C3552" t="s">
        <v>1477</v>
      </c>
      <c r="D3552" t="s">
        <v>323</v>
      </c>
      <c r="E3552" t="s">
        <v>302</v>
      </c>
      <c r="F3552" t="s">
        <v>4027</v>
      </c>
      <c r="G3552">
        <v>22</v>
      </c>
      <c r="H3552">
        <v>3637.42</v>
      </c>
      <c r="I3552">
        <v>165.34</v>
      </c>
      <c r="J3552">
        <v>22</v>
      </c>
      <c r="K3552">
        <v>3228.5</v>
      </c>
      <c r="L3552">
        <v>146.75</v>
      </c>
      <c r="M3552">
        <v>44</v>
      </c>
      <c r="N3552">
        <v>6865.92</v>
      </c>
      <c r="O3552">
        <v>156.04</v>
      </c>
    </row>
    <row r="3553" spans="1:15" x14ac:dyDescent="0.35">
      <c r="A3553" t="s">
        <v>4003</v>
      </c>
      <c r="B3553" t="s">
        <v>4004</v>
      </c>
      <c r="C3553" t="s">
        <v>1477</v>
      </c>
      <c r="D3553" t="s">
        <v>323</v>
      </c>
      <c r="E3553" t="s">
        <v>304</v>
      </c>
      <c r="F3553" t="s">
        <v>4028</v>
      </c>
      <c r="G3553">
        <v>2</v>
      </c>
      <c r="H3553">
        <v>643.6</v>
      </c>
      <c r="I3553">
        <v>321.8</v>
      </c>
      <c r="J3553">
        <v>2</v>
      </c>
      <c r="K3553">
        <v>289.72000000000003</v>
      </c>
      <c r="L3553">
        <v>144.86000000000001</v>
      </c>
      <c r="M3553">
        <v>4</v>
      </c>
      <c r="N3553">
        <v>933.32</v>
      </c>
      <c r="O3553">
        <v>233.33</v>
      </c>
    </row>
    <row r="3554" spans="1:15" x14ac:dyDescent="0.35">
      <c r="A3554" t="s">
        <v>4003</v>
      </c>
      <c r="B3554" t="s">
        <v>4004</v>
      </c>
      <c r="C3554" t="s">
        <v>1477</v>
      </c>
      <c r="D3554" t="s">
        <v>323</v>
      </c>
      <c r="E3554" t="s">
        <v>306</v>
      </c>
      <c r="F3554" t="s">
        <v>4029</v>
      </c>
      <c r="G3554">
        <v>50</v>
      </c>
      <c r="H3554">
        <v>4643.6400000000003</v>
      </c>
      <c r="I3554">
        <v>92.87</v>
      </c>
      <c r="J3554">
        <v>476</v>
      </c>
      <c r="K3554">
        <v>40383.840000000004</v>
      </c>
      <c r="L3554">
        <v>84.84</v>
      </c>
      <c r="M3554">
        <v>526</v>
      </c>
      <c r="N3554">
        <v>45027.48</v>
      </c>
      <c r="O3554">
        <v>85.6</v>
      </c>
    </row>
    <row r="3555" spans="1:15" x14ac:dyDescent="0.35">
      <c r="A3555" t="s">
        <v>4003</v>
      </c>
      <c r="B3555" t="s">
        <v>4004</v>
      </c>
      <c r="C3555" t="s">
        <v>1477</v>
      </c>
      <c r="D3555" t="s">
        <v>323</v>
      </c>
      <c r="E3555" t="s">
        <v>308</v>
      </c>
      <c r="F3555" t="s">
        <v>4030</v>
      </c>
      <c r="G3555">
        <v>0</v>
      </c>
      <c r="H3555">
        <v>0</v>
      </c>
      <c r="I3555">
        <v>0</v>
      </c>
      <c r="J3555">
        <v>0</v>
      </c>
      <c r="K3555">
        <v>0</v>
      </c>
      <c r="L3555">
        <v>0</v>
      </c>
      <c r="M3555">
        <v>0</v>
      </c>
      <c r="N3555">
        <v>0</v>
      </c>
      <c r="O3555">
        <v>0</v>
      </c>
    </row>
    <row r="3556" spans="1:15" x14ac:dyDescent="0.35">
      <c r="A3556" t="s">
        <v>4003</v>
      </c>
      <c r="B3556" t="s">
        <v>4004</v>
      </c>
      <c r="C3556" t="s">
        <v>1477</v>
      </c>
      <c r="D3556" t="s">
        <v>323</v>
      </c>
      <c r="E3556" t="s">
        <v>310</v>
      </c>
      <c r="F3556" t="s">
        <v>4031</v>
      </c>
      <c r="G3556">
        <v>4997</v>
      </c>
      <c r="H3556">
        <v>673662.22000000009</v>
      </c>
      <c r="I3556">
        <v>134.81</v>
      </c>
      <c r="J3556">
        <v>8929</v>
      </c>
      <c r="K3556">
        <v>973888.46999999986</v>
      </c>
      <c r="L3556">
        <v>109.07</v>
      </c>
      <c r="M3556">
        <v>13926</v>
      </c>
      <c r="N3556">
        <v>1647550.69</v>
      </c>
      <c r="O3556">
        <v>118.31</v>
      </c>
    </row>
    <row r="3557" spans="1:15" x14ac:dyDescent="0.35">
      <c r="A3557" t="s">
        <v>4003</v>
      </c>
      <c r="B3557" t="s">
        <v>4004</v>
      </c>
      <c r="C3557" t="s">
        <v>1477</v>
      </c>
      <c r="D3557" t="s">
        <v>323</v>
      </c>
      <c r="E3557" t="s">
        <v>312</v>
      </c>
      <c r="F3557" t="s">
        <v>4032</v>
      </c>
      <c r="G3557">
        <v>4997</v>
      </c>
      <c r="H3557">
        <v>673662.22000000009</v>
      </c>
      <c r="I3557">
        <v>134.81</v>
      </c>
      <c r="J3557">
        <v>8929</v>
      </c>
      <c r="K3557">
        <v>973888.46999999986</v>
      </c>
      <c r="L3557">
        <v>109.07</v>
      </c>
      <c r="M3557">
        <v>13926</v>
      </c>
      <c r="N3557">
        <v>1647550.69</v>
      </c>
      <c r="O3557">
        <v>118.31</v>
      </c>
    </row>
    <row r="3558" spans="1:15" x14ac:dyDescent="0.35">
      <c r="A3558" t="s">
        <v>4003</v>
      </c>
      <c r="B3558" t="s">
        <v>4004</v>
      </c>
      <c r="C3558" t="s">
        <v>1477</v>
      </c>
      <c r="D3558" t="s">
        <v>334</v>
      </c>
      <c r="E3558" t="s">
        <v>312</v>
      </c>
      <c r="F3558" t="s">
        <v>4033</v>
      </c>
      <c r="G3558">
        <v>5320</v>
      </c>
      <c r="H3558">
        <v>705660.86</v>
      </c>
      <c r="I3558">
        <v>135.99</v>
      </c>
      <c r="J3558">
        <v>8970</v>
      </c>
      <c r="K3558">
        <v>982042.63</v>
      </c>
      <c r="L3558">
        <v>109.48</v>
      </c>
      <c r="M3558">
        <v>14290</v>
      </c>
      <c r="N3558">
        <v>1687703.49</v>
      </c>
      <c r="O3558">
        <v>119.2</v>
      </c>
    </row>
    <row r="3559" spans="1:15" x14ac:dyDescent="0.35">
      <c r="A3559" t="s">
        <v>4003</v>
      </c>
      <c r="B3559" t="s">
        <v>4004</v>
      </c>
      <c r="C3559" t="s">
        <v>1477</v>
      </c>
      <c r="D3559" t="s">
        <v>334</v>
      </c>
      <c r="E3559" t="s">
        <v>308</v>
      </c>
      <c r="F3559" t="s">
        <v>4034</v>
      </c>
      <c r="G3559">
        <v>0</v>
      </c>
      <c r="H3559">
        <v>0</v>
      </c>
      <c r="I3559">
        <v>0</v>
      </c>
      <c r="J3559">
        <v>0</v>
      </c>
      <c r="K3559">
        <v>0</v>
      </c>
      <c r="L3559">
        <v>0</v>
      </c>
      <c r="M3559">
        <v>0</v>
      </c>
      <c r="N3559">
        <v>0</v>
      </c>
      <c r="O3559">
        <v>0</v>
      </c>
    </row>
    <row r="3560" spans="1:15" x14ac:dyDescent="0.35">
      <c r="A3560" t="s">
        <v>4003</v>
      </c>
      <c r="B3560" t="s">
        <v>4004</v>
      </c>
      <c r="C3560" t="s">
        <v>1477</v>
      </c>
      <c r="D3560" t="s">
        <v>337</v>
      </c>
      <c r="E3560" t="s">
        <v>337</v>
      </c>
      <c r="F3560" t="s">
        <v>4035</v>
      </c>
      <c r="G3560">
        <v>721</v>
      </c>
      <c r="J3560">
        <v>206</v>
      </c>
      <c r="M3560">
        <v>927</v>
      </c>
    </row>
    <row r="3561" spans="1:15" x14ac:dyDescent="0.35">
      <c r="A3561" t="s">
        <v>4003</v>
      </c>
      <c r="B3561" t="s">
        <v>4004</v>
      </c>
      <c r="C3561" t="s">
        <v>1477</v>
      </c>
      <c r="D3561" t="s">
        <v>339</v>
      </c>
      <c r="E3561" t="s">
        <v>294</v>
      </c>
      <c r="F3561" t="s">
        <v>4036</v>
      </c>
      <c r="G3561">
        <v>338</v>
      </c>
      <c r="H3561">
        <v>40143.599999999999</v>
      </c>
      <c r="I3561">
        <v>118.77</v>
      </c>
      <c r="J3561">
        <v>1516</v>
      </c>
      <c r="K3561">
        <v>143064.92000000001</v>
      </c>
      <c r="L3561">
        <v>94.37</v>
      </c>
      <c r="M3561">
        <v>1854</v>
      </c>
      <c r="N3561">
        <v>183208.52000000002</v>
      </c>
      <c r="O3561">
        <v>98.82</v>
      </c>
    </row>
    <row r="3562" spans="1:15" x14ac:dyDescent="0.35">
      <c r="A3562" t="s">
        <v>4003</v>
      </c>
      <c r="B3562" t="s">
        <v>4004</v>
      </c>
      <c r="C3562" t="s">
        <v>1477</v>
      </c>
      <c r="D3562" t="s">
        <v>339</v>
      </c>
      <c r="E3562" t="s">
        <v>296</v>
      </c>
      <c r="F3562" t="s">
        <v>4037</v>
      </c>
      <c r="G3562">
        <v>17</v>
      </c>
      <c r="H3562">
        <v>2397.3399999999997</v>
      </c>
      <c r="I3562">
        <v>141.02000000000001</v>
      </c>
      <c r="J3562">
        <v>115</v>
      </c>
      <c r="K3562">
        <v>11956.55</v>
      </c>
      <c r="L3562">
        <v>103.97</v>
      </c>
      <c r="M3562">
        <v>132</v>
      </c>
      <c r="N3562">
        <v>14353.89</v>
      </c>
      <c r="O3562">
        <v>108.74</v>
      </c>
    </row>
    <row r="3563" spans="1:15" x14ac:dyDescent="0.35">
      <c r="A3563" t="s">
        <v>4003</v>
      </c>
      <c r="B3563" t="s">
        <v>4004</v>
      </c>
      <c r="C3563" t="s">
        <v>1477</v>
      </c>
      <c r="D3563" t="s">
        <v>339</v>
      </c>
      <c r="E3563" t="s">
        <v>298</v>
      </c>
      <c r="F3563" t="s">
        <v>4038</v>
      </c>
      <c r="G3563">
        <v>3</v>
      </c>
      <c r="H3563">
        <v>494.42999999999995</v>
      </c>
      <c r="I3563">
        <v>164.81</v>
      </c>
      <c r="J3563">
        <v>9</v>
      </c>
      <c r="K3563">
        <v>1096.02</v>
      </c>
      <c r="L3563">
        <v>121.78</v>
      </c>
      <c r="M3563">
        <v>12</v>
      </c>
      <c r="N3563">
        <v>1590.4499999999998</v>
      </c>
      <c r="O3563">
        <v>132.54</v>
      </c>
    </row>
    <row r="3564" spans="1:15" x14ac:dyDescent="0.35">
      <c r="A3564" t="s">
        <v>4003</v>
      </c>
      <c r="B3564" t="s">
        <v>4004</v>
      </c>
      <c r="C3564" t="s">
        <v>1477</v>
      </c>
      <c r="D3564" t="s">
        <v>339</v>
      </c>
      <c r="E3564" t="s">
        <v>300</v>
      </c>
      <c r="F3564" t="s">
        <v>4039</v>
      </c>
      <c r="G3564">
        <v>0</v>
      </c>
      <c r="H3564">
        <v>0</v>
      </c>
      <c r="I3564">
        <v>0</v>
      </c>
      <c r="J3564">
        <v>0</v>
      </c>
      <c r="K3564">
        <v>0</v>
      </c>
      <c r="L3564">
        <v>0</v>
      </c>
      <c r="M3564">
        <v>0</v>
      </c>
      <c r="N3564">
        <v>0</v>
      </c>
      <c r="O3564">
        <v>0</v>
      </c>
    </row>
    <row r="3565" spans="1:15" x14ac:dyDescent="0.35">
      <c r="A3565" t="s">
        <v>4003</v>
      </c>
      <c r="B3565" t="s">
        <v>4004</v>
      </c>
      <c r="C3565" t="s">
        <v>1477</v>
      </c>
      <c r="D3565" t="s">
        <v>339</v>
      </c>
      <c r="E3565" t="s">
        <v>306</v>
      </c>
      <c r="F3565" t="s">
        <v>4040</v>
      </c>
      <c r="G3565">
        <v>68</v>
      </c>
      <c r="H3565">
        <v>6973.18</v>
      </c>
      <c r="I3565">
        <v>102.55</v>
      </c>
      <c r="J3565">
        <v>47</v>
      </c>
      <c r="K3565">
        <v>4098.87</v>
      </c>
      <c r="L3565">
        <v>87.21</v>
      </c>
      <c r="M3565">
        <v>115</v>
      </c>
      <c r="N3565">
        <v>11072.05</v>
      </c>
      <c r="O3565">
        <v>96.28</v>
      </c>
    </row>
    <row r="3566" spans="1:15" x14ac:dyDescent="0.35">
      <c r="A3566" t="s">
        <v>4003</v>
      </c>
      <c r="B3566" t="s">
        <v>4004</v>
      </c>
      <c r="C3566" t="s">
        <v>1477</v>
      </c>
      <c r="D3566" t="s">
        <v>339</v>
      </c>
      <c r="E3566" t="s">
        <v>308</v>
      </c>
      <c r="F3566" t="s">
        <v>4041</v>
      </c>
      <c r="G3566">
        <v>85</v>
      </c>
      <c r="H3566">
        <v>14738.18</v>
      </c>
      <c r="I3566">
        <v>173.39</v>
      </c>
      <c r="J3566">
        <v>0</v>
      </c>
      <c r="K3566">
        <v>0</v>
      </c>
      <c r="L3566">
        <v>0</v>
      </c>
      <c r="M3566">
        <v>85</v>
      </c>
      <c r="N3566">
        <v>14738.18</v>
      </c>
      <c r="O3566">
        <v>173.39</v>
      </c>
    </row>
    <row r="3567" spans="1:15" x14ac:dyDescent="0.35">
      <c r="A3567" t="s">
        <v>4003</v>
      </c>
      <c r="B3567" t="s">
        <v>4004</v>
      </c>
      <c r="C3567" t="s">
        <v>1477</v>
      </c>
      <c r="D3567" t="s">
        <v>339</v>
      </c>
      <c r="E3567" t="s">
        <v>310</v>
      </c>
      <c r="F3567" t="s">
        <v>4042</v>
      </c>
      <c r="G3567">
        <v>511</v>
      </c>
      <c r="H3567">
        <v>64746.729999999996</v>
      </c>
      <c r="I3567">
        <v>126.71</v>
      </c>
      <c r="J3567">
        <v>1687</v>
      </c>
      <c r="K3567">
        <v>160216.35999999999</v>
      </c>
      <c r="L3567">
        <v>94.97</v>
      </c>
      <c r="M3567">
        <v>2198</v>
      </c>
      <c r="N3567">
        <v>224963.08999999997</v>
      </c>
      <c r="O3567">
        <v>102.35</v>
      </c>
    </row>
    <row r="3568" spans="1:15" x14ac:dyDescent="0.35">
      <c r="A3568" t="s">
        <v>4003</v>
      </c>
      <c r="B3568" t="s">
        <v>4004</v>
      </c>
      <c r="C3568" t="s">
        <v>1477</v>
      </c>
      <c r="D3568" t="s">
        <v>339</v>
      </c>
      <c r="E3568" t="s">
        <v>312</v>
      </c>
      <c r="F3568" t="s">
        <v>4043</v>
      </c>
      <c r="G3568">
        <v>426</v>
      </c>
      <c r="H3568">
        <v>50008.549999999996</v>
      </c>
      <c r="I3568">
        <v>117.39</v>
      </c>
      <c r="J3568">
        <v>1687</v>
      </c>
      <c r="K3568">
        <v>160216.35999999999</v>
      </c>
      <c r="L3568">
        <v>94.97</v>
      </c>
      <c r="M3568">
        <v>2113</v>
      </c>
      <c r="N3568">
        <v>210224.90999999997</v>
      </c>
      <c r="O3568">
        <v>99.49</v>
      </c>
    </row>
    <row r="3569" spans="1:15" x14ac:dyDescent="0.35">
      <c r="A3569" t="s">
        <v>4003</v>
      </c>
      <c r="B3569" t="s">
        <v>4004</v>
      </c>
      <c r="C3569" t="s">
        <v>1477</v>
      </c>
      <c r="D3569" t="s">
        <v>348</v>
      </c>
      <c r="E3569" t="s">
        <v>349</v>
      </c>
      <c r="F3569" t="s">
        <v>4044</v>
      </c>
      <c r="G3569">
        <v>574</v>
      </c>
      <c r="H3569">
        <v>64746.729999999996</v>
      </c>
      <c r="I3569">
        <v>126.71</v>
      </c>
      <c r="J3569">
        <v>1687</v>
      </c>
      <c r="K3569">
        <v>160216.35999999999</v>
      </c>
      <c r="L3569">
        <v>94.97</v>
      </c>
      <c r="M3569">
        <v>2261</v>
      </c>
      <c r="N3569">
        <v>224963.08999999997</v>
      </c>
      <c r="O3569">
        <v>102.35</v>
      </c>
    </row>
    <row r="3570" spans="1:15" x14ac:dyDescent="0.35">
      <c r="A3570" t="s">
        <v>4045</v>
      </c>
      <c r="B3570" t="s">
        <v>4046</v>
      </c>
      <c r="C3570" t="s">
        <v>1477</v>
      </c>
      <c r="D3570" t="s">
        <v>293</v>
      </c>
      <c r="E3570" t="s">
        <v>294</v>
      </c>
      <c r="F3570" t="s">
        <v>4047</v>
      </c>
      <c r="G3570">
        <v>419</v>
      </c>
      <c r="H3570">
        <v>61765.180000000008</v>
      </c>
      <c r="I3570">
        <v>147.41</v>
      </c>
      <c r="J3570">
        <v>0</v>
      </c>
      <c r="K3570">
        <v>0</v>
      </c>
      <c r="L3570">
        <v>0</v>
      </c>
      <c r="M3570">
        <v>419</v>
      </c>
      <c r="N3570">
        <v>61765.180000000008</v>
      </c>
      <c r="O3570">
        <v>147.41</v>
      </c>
    </row>
    <row r="3571" spans="1:15" x14ac:dyDescent="0.35">
      <c r="A3571" t="s">
        <v>4045</v>
      </c>
      <c r="B3571" t="s">
        <v>4046</v>
      </c>
      <c r="C3571" t="s">
        <v>1477</v>
      </c>
      <c r="D3571" t="s">
        <v>293</v>
      </c>
      <c r="E3571" t="s">
        <v>296</v>
      </c>
      <c r="F3571" t="s">
        <v>4048</v>
      </c>
      <c r="G3571">
        <v>1109</v>
      </c>
      <c r="H3571">
        <v>204867.49</v>
      </c>
      <c r="I3571">
        <v>184.73</v>
      </c>
      <c r="J3571">
        <v>0</v>
      </c>
      <c r="K3571">
        <v>0</v>
      </c>
      <c r="L3571">
        <v>0</v>
      </c>
      <c r="M3571">
        <v>1109</v>
      </c>
      <c r="N3571">
        <v>204867.49</v>
      </c>
      <c r="O3571">
        <v>184.73</v>
      </c>
    </row>
    <row r="3572" spans="1:15" x14ac:dyDescent="0.35">
      <c r="A3572" t="s">
        <v>4045</v>
      </c>
      <c r="B3572" t="s">
        <v>4046</v>
      </c>
      <c r="C3572" t="s">
        <v>1477</v>
      </c>
      <c r="D3572" t="s">
        <v>293</v>
      </c>
      <c r="E3572" t="s">
        <v>298</v>
      </c>
      <c r="F3572" t="s">
        <v>4049</v>
      </c>
      <c r="G3572">
        <v>367</v>
      </c>
      <c r="H3572">
        <v>83596</v>
      </c>
      <c r="I3572">
        <v>227.78</v>
      </c>
      <c r="J3572">
        <v>0</v>
      </c>
      <c r="K3572">
        <v>0</v>
      </c>
      <c r="L3572">
        <v>0</v>
      </c>
      <c r="M3572">
        <v>367</v>
      </c>
      <c r="N3572">
        <v>83596</v>
      </c>
      <c r="O3572">
        <v>227.78</v>
      </c>
    </row>
    <row r="3573" spans="1:15" x14ac:dyDescent="0.35">
      <c r="A3573" t="s">
        <v>4045</v>
      </c>
      <c r="B3573" t="s">
        <v>4046</v>
      </c>
      <c r="C3573" t="s">
        <v>1477</v>
      </c>
      <c r="D3573" t="s">
        <v>293</v>
      </c>
      <c r="E3573" t="s">
        <v>300</v>
      </c>
      <c r="F3573" t="s">
        <v>4050</v>
      </c>
      <c r="G3573">
        <v>47</v>
      </c>
      <c r="H3573">
        <v>13110.3</v>
      </c>
      <c r="I3573">
        <v>278.94</v>
      </c>
      <c r="J3573">
        <v>0</v>
      </c>
      <c r="K3573">
        <v>0</v>
      </c>
      <c r="L3573">
        <v>0</v>
      </c>
      <c r="M3573">
        <v>47</v>
      </c>
      <c r="N3573">
        <v>13110.3</v>
      </c>
      <c r="O3573">
        <v>278.94</v>
      </c>
    </row>
    <row r="3574" spans="1:15" x14ac:dyDescent="0.35">
      <c r="A3574" t="s">
        <v>4045</v>
      </c>
      <c r="B3574" t="s">
        <v>4046</v>
      </c>
      <c r="C3574" t="s">
        <v>1477</v>
      </c>
      <c r="D3574" t="s">
        <v>293</v>
      </c>
      <c r="E3574" t="s">
        <v>302</v>
      </c>
      <c r="F3574" t="s">
        <v>4051</v>
      </c>
      <c r="G3574">
        <v>1</v>
      </c>
      <c r="H3574">
        <v>224.21</v>
      </c>
      <c r="I3574">
        <v>224.21</v>
      </c>
      <c r="J3574">
        <v>0</v>
      </c>
      <c r="K3574">
        <v>0</v>
      </c>
      <c r="L3574">
        <v>0</v>
      </c>
      <c r="M3574">
        <v>1</v>
      </c>
      <c r="N3574">
        <v>224.21</v>
      </c>
      <c r="O3574">
        <v>224.21</v>
      </c>
    </row>
    <row r="3575" spans="1:15" x14ac:dyDescent="0.35">
      <c r="A3575" t="s">
        <v>4045</v>
      </c>
      <c r="B3575" t="s">
        <v>4046</v>
      </c>
      <c r="C3575" t="s">
        <v>1477</v>
      </c>
      <c r="D3575" t="s">
        <v>293</v>
      </c>
      <c r="E3575" t="s">
        <v>304</v>
      </c>
      <c r="F3575" t="s">
        <v>4052</v>
      </c>
      <c r="G3575">
        <v>0</v>
      </c>
      <c r="H3575">
        <v>0</v>
      </c>
      <c r="I3575">
        <v>0</v>
      </c>
      <c r="J3575">
        <v>0</v>
      </c>
      <c r="K3575">
        <v>0</v>
      </c>
      <c r="L3575">
        <v>0</v>
      </c>
      <c r="M3575">
        <v>0</v>
      </c>
      <c r="N3575">
        <v>0</v>
      </c>
      <c r="O3575">
        <v>0</v>
      </c>
    </row>
    <row r="3576" spans="1:15" x14ac:dyDescent="0.35">
      <c r="A3576" t="s">
        <v>4045</v>
      </c>
      <c r="B3576" t="s">
        <v>4046</v>
      </c>
      <c r="C3576" t="s">
        <v>1477</v>
      </c>
      <c r="D3576" t="s">
        <v>293</v>
      </c>
      <c r="E3576" t="s">
        <v>306</v>
      </c>
      <c r="F3576" t="s">
        <v>4053</v>
      </c>
      <c r="G3576">
        <v>0</v>
      </c>
      <c r="H3576">
        <v>0</v>
      </c>
      <c r="I3576">
        <v>0</v>
      </c>
      <c r="J3576">
        <v>0</v>
      </c>
      <c r="K3576">
        <v>0</v>
      </c>
      <c r="L3576">
        <v>0</v>
      </c>
      <c r="M3576">
        <v>0</v>
      </c>
      <c r="N3576">
        <v>0</v>
      </c>
      <c r="O3576">
        <v>0</v>
      </c>
    </row>
    <row r="3577" spans="1:15" x14ac:dyDescent="0.35">
      <c r="A3577" t="s">
        <v>4045</v>
      </c>
      <c r="B3577" t="s">
        <v>4046</v>
      </c>
      <c r="C3577" t="s">
        <v>1477</v>
      </c>
      <c r="D3577" t="s">
        <v>293</v>
      </c>
      <c r="E3577" t="s">
        <v>308</v>
      </c>
      <c r="F3577" t="s">
        <v>4054</v>
      </c>
      <c r="G3577">
        <v>0</v>
      </c>
      <c r="H3577">
        <v>0</v>
      </c>
      <c r="I3577">
        <v>0</v>
      </c>
      <c r="J3577">
        <v>0</v>
      </c>
      <c r="K3577">
        <v>0</v>
      </c>
      <c r="L3577">
        <v>0</v>
      </c>
      <c r="M3577">
        <v>0</v>
      </c>
      <c r="N3577">
        <v>0</v>
      </c>
      <c r="O3577">
        <v>0</v>
      </c>
    </row>
    <row r="3578" spans="1:15" x14ac:dyDescent="0.35">
      <c r="A3578" t="s">
        <v>4045</v>
      </c>
      <c r="B3578" t="s">
        <v>4046</v>
      </c>
      <c r="C3578" t="s">
        <v>1477</v>
      </c>
      <c r="D3578" t="s">
        <v>293</v>
      </c>
      <c r="E3578" t="s">
        <v>310</v>
      </c>
      <c r="F3578" t="s">
        <v>4055</v>
      </c>
      <c r="G3578">
        <v>1943</v>
      </c>
      <c r="H3578">
        <v>363563.18</v>
      </c>
      <c r="I3578">
        <v>187.11</v>
      </c>
      <c r="J3578">
        <v>0</v>
      </c>
      <c r="K3578">
        <v>0</v>
      </c>
      <c r="L3578">
        <v>0</v>
      </c>
      <c r="M3578">
        <v>1943</v>
      </c>
      <c r="N3578">
        <v>363563.18</v>
      </c>
      <c r="O3578">
        <v>187.11</v>
      </c>
    </row>
    <row r="3579" spans="1:15" x14ac:dyDescent="0.35">
      <c r="A3579" t="s">
        <v>4045</v>
      </c>
      <c r="B3579" t="s">
        <v>4046</v>
      </c>
      <c r="C3579" t="s">
        <v>1477</v>
      </c>
      <c r="D3579" t="s">
        <v>293</v>
      </c>
      <c r="E3579" t="s">
        <v>312</v>
      </c>
      <c r="F3579" t="s">
        <v>4056</v>
      </c>
      <c r="G3579">
        <v>1943</v>
      </c>
      <c r="H3579">
        <v>363563.18</v>
      </c>
      <c r="I3579">
        <v>187.11</v>
      </c>
      <c r="J3579">
        <v>0</v>
      </c>
      <c r="K3579">
        <v>0</v>
      </c>
      <c r="L3579">
        <v>0</v>
      </c>
      <c r="M3579">
        <v>1943</v>
      </c>
      <c r="N3579">
        <v>363563.18</v>
      </c>
      <c r="O3579">
        <v>187.11</v>
      </c>
    </row>
    <row r="3580" spans="1:15" x14ac:dyDescent="0.35">
      <c r="A3580" t="s">
        <v>4045</v>
      </c>
      <c r="B3580" t="s">
        <v>4046</v>
      </c>
      <c r="C3580" t="s">
        <v>1477</v>
      </c>
      <c r="D3580" t="s">
        <v>314</v>
      </c>
      <c r="E3580" t="s">
        <v>294</v>
      </c>
      <c r="F3580" t="s">
        <v>4057</v>
      </c>
      <c r="G3580">
        <v>13</v>
      </c>
      <c r="H3580">
        <v>2689.0499999999997</v>
      </c>
      <c r="I3580">
        <v>206.85</v>
      </c>
      <c r="J3580">
        <v>0</v>
      </c>
      <c r="K3580">
        <v>0</v>
      </c>
      <c r="L3580">
        <v>0</v>
      </c>
      <c r="M3580">
        <v>13</v>
      </c>
      <c r="N3580">
        <v>2689.0499999999997</v>
      </c>
      <c r="O3580">
        <v>206.85</v>
      </c>
    </row>
    <row r="3581" spans="1:15" x14ac:dyDescent="0.35">
      <c r="A3581" t="s">
        <v>4045</v>
      </c>
      <c r="B3581" t="s">
        <v>4046</v>
      </c>
      <c r="C3581" t="s">
        <v>1477</v>
      </c>
      <c r="D3581" t="s">
        <v>314</v>
      </c>
      <c r="E3581" t="s">
        <v>296</v>
      </c>
      <c r="F3581" t="s">
        <v>4058</v>
      </c>
      <c r="G3581">
        <v>1</v>
      </c>
      <c r="H3581">
        <v>252.38</v>
      </c>
      <c r="I3581">
        <v>252.38</v>
      </c>
      <c r="J3581">
        <v>0</v>
      </c>
      <c r="K3581">
        <v>0</v>
      </c>
      <c r="L3581">
        <v>0</v>
      </c>
      <c r="M3581">
        <v>1</v>
      </c>
      <c r="N3581">
        <v>252.38</v>
      </c>
      <c r="O3581">
        <v>252.38</v>
      </c>
    </row>
    <row r="3582" spans="1:15" x14ac:dyDescent="0.35">
      <c r="A3582" t="s">
        <v>4045</v>
      </c>
      <c r="B3582" t="s">
        <v>4046</v>
      </c>
      <c r="C3582" t="s">
        <v>1477</v>
      </c>
      <c r="D3582" t="s">
        <v>314</v>
      </c>
      <c r="E3582" t="s">
        <v>298</v>
      </c>
      <c r="F3582" t="s">
        <v>4059</v>
      </c>
      <c r="G3582">
        <v>0</v>
      </c>
      <c r="H3582">
        <v>0</v>
      </c>
      <c r="I3582">
        <v>0</v>
      </c>
      <c r="J3582">
        <v>0</v>
      </c>
      <c r="K3582">
        <v>0</v>
      </c>
      <c r="L3582">
        <v>0</v>
      </c>
      <c r="M3582">
        <v>0</v>
      </c>
      <c r="N3582">
        <v>0</v>
      </c>
      <c r="O3582">
        <v>0</v>
      </c>
    </row>
    <row r="3583" spans="1:15" x14ac:dyDescent="0.35">
      <c r="A3583" t="s">
        <v>4045</v>
      </c>
      <c r="B3583" t="s">
        <v>4046</v>
      </c>
      <c r="C3583" t="s">
        <v>1477</v>
      </c>
      <c r="D3583" t="s">
        <v>314</v>
      </c>
      <c r="E3583" t="s">
        <v>300</v>
      </c>
      <c r="F3583" t="s">
        <v>4060</v>
      </c>
      <c r="G3583">
        <v>0</v>
      </c>
      <c r="H3583">
        <v>0</v>
      </c>
      <c r="I3583">
        <v>0</v>
      </c>
      <c r="J3583">
        <v>0</v>
      </c>
      <c r="K3583">
        <v>0</v>
      </c>
      <c r="L3583">
        <v>0</v>
      </c>
      <c r="M3583">
        <v>0</v>
      </c>
      <c r="N3583">
        <v>0</v>
      </c>
      <c r="O3583">
        <v>0</v>
      </c>
    </row>
    <row r="3584" spans="1:15" x14ac:dyDescent="0.35">
      <c r="A3584" t="s">
        <v>4045</v>
      </c>
      <c r="B3584" t="s">
        <v>4046</v>
      </c>
      <c r="C3584" t="s">
        <v>1477</v>
      </c>
      <c r="D3584" t="s">
        <v>314</v>
      </c>
      <c r="E3584" t="s">
        <v>306</v>
      </c>
      <c r="F3584" t="s">
        <v>4061</v>
      </c>
      <c r="G3584">
        <v>10</v>
      </c>
      <c r="H3584">
        <v>1869.9</v>
      </c>
      <c r="I3584">
        <v>186.99</v>
      </c>
      <c r="J3584">
        <v>0</v>
      </c>
      <c r="K3584">
        <v>0</v>
      </c>
      <c r="L3584">
        <v>0</v>
      </c>
      <c r="M3584">
        <v>10</v>
      </c>
      <c r="N3584">
        <v>1869.9</v>
      </c>
      <c r="O3584">
        <v>186.99</v>
      </c>
    </row>
    <row r="3585" spans="1:15" x14ac:dyDescent="0.35">
      <c r="A3585" t="s">
        <v>4045</v>
      </c>
      <c r="B3585" t="s">
        <v>4046</v>
      </c>
      <c r="C3585" t="s">
        <v>1477</v>
      </c>
      <c r="D3585" t="s">
        <v>314</v>
      </c>
      <c r="E3585" t="s">
        <v>308</v>
      </c>
      <c r="F3585" t="s">
        <v>4062</v>
      </c>
      <c r="G3585">
        <v>0</v>
      </c>
      <c r="H3585">
        <v>0</v>
      </c>
      <c r="I3585">
        <v>0</v>
      </c>
      <c r="J3585">
        <v>0</v>
      </c>
      <c r="K3585">
        <v>0</v>
      </c>
      <c r="L3585">
        <v>0</v>
      </c>
      <c r="M3585">
        <v>0</v>
      </c>
      <c r="N3585">
        <v>0</v>
      </c>
      <c r="O3585">
        <v>0</v>
      </c>
    </row>
    <row r="3586" spans="1:15" x14ac:dyDescent="0.35">
      <c r="A3586" t="s">
        <v>4045</v>
      </c>
      <c r="B3586" t="s">
        <v>4046</v>
      </c>
      <c r="C3586" t="s">
        <v>1477</v>
      </c>
      <c r="D3586" t="s">
        <v>314</v>
      </c>
      <c r="E3586" t="s">
        <v>312</v>
      </c>
      <c r="F3586" t="s">
        <v>4063</v>
      </c>
      <c r="G3586">
        <v>24</v>
      </c>
      <c r="H3586">
        <v>4811.33</v>
      </c>
      <c r="I3586">
        <v>200.47</v>
      </c>
      <c r="J3586">
        <v>0</v>
      </c>
      <c r="K3586">
        <v>0</v>
      </c>
      <c r="L3586">
        <v>0</v>
      </c>
      <c r="M3586">
        <v>24</v>
      </c>
      <c r="N3586">
        <v>4811.33</v>
      </c>
      <c r="O3586">
        <v>200.47</v>
      </c>
    </row>
    <row r="3587" spans="1:15" x14ac:dyDescent="0.35">
      <c r="A3587" t="s">
        <v>4045</v>
      </c>
      <c r="B3587" t="s">
        <v>4046</v>
      </c>
      <c r="C3587" t="s">
        <v>1477</v>
      </c>
      <c r="D3587" t="s">
        <v>314</v>
      </c>
      <c r="E3587" t="s">
        <v>310</v>
      </c>
      <c r="F3587" t="s">
        <v>4064</v>
      </c>
      <c r="G3587">
        <v>24</v>
      </c>
      <c r="H3587">
        <v>4811.33</v>
      </c>
      <c r="I3587">
        <v>200.47</v>
      </c>
      <c r="J3587">
        <v>0</v>
      </c>
      <c r="K3587">
        <v>0</v>
      </c>
      <c r="L3587">
        <v>0</v>
      </c>
      <c r="M3587">
        <v>24</v>
      </c>
      <c r="N3587">
        <v>4811.33</v>
      </c>
      <c r="O3587">
        <v>200.47</v>
      </c>
    </row>
    <row r="3588" spans="1:15" x14ac:dyDescent="0.35">
      <c r="A3588" t="s">
        <v>4045</v>
      </c>
      <c r="B3588" t="s">
        <v>4046</v>
      </c>
      <c r="C3588" t="s">
        <v>1477</v>
      </c>
      <c r="D3588" t="s">
        <v>323</v>
      </c>
      <c r="E3588" t="s">
        <v>294</v>
      </c>
      <c r="F3588" t="s">
        <v>4065</v>
      </c>
      <c r="G3588">
        <v>1371</v>
      </c>
      <c r="H3588">
        <v>137096.85</v>
      </c>
      <c r="I3588">
        <v>100</v>
      </c>
      <c r="J3588">
        <v>0</v>
      </c>
      <c r="K3588">
        <v>0</v>
      </c>
      <c r="L3588">
        <v>0</v>
      </c>
      <c r="M3588">
        <v>1371</v>
      </c>
      <c r="N3588">
        <v>137096.85</v>
      </c>
      <c r="O3588">
        <v>100</v>
      </c>
    </row>
    <row r="3589" spans="1:15" x14ac:dyDescent="0.35">
      <c r="A3589" t="s">
        <v>4045</v>
      </c>
      <c r="B3589" t="s">
        <v>4046</v>
      </c>
      <c r="C3589" t="s">
        <v>1477</v>
      </c>
      <c r="D3589" t="s">
        <v>323</v>
      </c>
      <c r="E3589" t="s">
        <v>296</v>
      </c>
      <c r="F3589" t="s">
        <v>4066</v>
      </c>
      <c r="G3589">
        <v>3794</v>
      </c>
      <c r="H3589">
        <v>446567.46999999991</v>
      </c>
      <c r="I3589">
        <v>117.7</v>
      </c>
      <c r="J3589">
        <v>0</v>
      </c>
      <c r="K3589">
        <v>0</v>
      </c>
      <c r="L3589">
        <v>0</v>
      </c>
      <c r="M3589">
        <v>3794</v>
      </c>
      <c r="N3589">
        <v>446567.46999999991</v>
      </c>
      <c r="O3589">
        <v>117.7</v>
      </c>
    </row>
    <row r="3590" spans="1:15" x14ac:dyDescent="0.35">
      <c r="A3590" t="s">
        <v>4045</v>
      </c>
      <c r="B3590" t="s">
        <v>4046</v>
      </c>
      <c r="C3590" t="s">
        <v>1477</v>
      </c>
      <c r="D3590" t="s">
        <v>323</v>
      </c>
      <c r="E3590" t="s">
        <v>298</v>
      </c>
      <c r="F3590" t="s">
        <v>4067</v>
      </c>
      <c r="G3590">
        <v>3271</v>
      </c>
      <c r="H3590">
        <v>416499.61</v>
      </c>
      <c r="I3590">
        <v>127.33</v>
      </c>
      <c r="J3590">
        <v>0</v>
      </c>
      <c r="K3590">
        <v>0</v>
      </c>
      <c r="L3590">
        <v>0</v>
      </c>
      <c r="M3590">
        <v>3271</v>
      </c>
      <c r="N3590">
        <v>416499.61</v>
      </c>
      <c r="O3590">
        <v>127.33</v>
      </c>
    </row>
    <row r="3591" spans="1:15" x14ac:dyDescent="0.35">
      <c r="A3591" t="s">
        <v>4045</v>
      </c>
      <c r="B3591" t="s">
        <v>4046</v>
      </c>
      <c r="C3591" t="s">
        <v>1477</v>
      </c>
      <c r="D3591" t="s">
        <v>323</v>
      </c>
      <c r="E3591" t="s">
        <v>300</v>
      </c>
      <c r="F3591" t="s">
        <v>4068</v>
      </c>
      <c r="G3591">
        <v>242</v>
      </c>
      <c r="H3591">
        <v>35806.950000000004</v>
      </c>
      <c r="I3591">
        <v>147.96</v>
      </c>
      <c r="J3591">
        <v>0</v>
      </c>
      <c r="K3591">
        <v>0</v>
      </c>
      <c r="L3591">
        <v>0</v>
      </c>
      <c r="M3591">
        <v>242</v>
      </c>
      <c r="N3591">
        <v>35806.950000000004</v>
      </c>
      <c r="O3591">
        <v>147.96</v>
      </c>
    </row>
    <row r="3592" spans="1:15" x14ac:dyDescent="0.35">
      <c r="A3592" t="s">
        <v>4045</v>
      </c>
      <c r="B3592" t="s">
        <v>4046</v>
      </c>
      <c r="C3592" t="s">
        <v>1477</v>
      </c>
      <c r="D3592" t="s">
        <v>323</v>
      </c>
      <c r="E3592" t="s">
        <v>302</v>
      </c>
      <c r="F3592" t="s">
        <v>4069</v>
      </c>
      <c r="G3592">
        <v>10</v>
      </c>
      <c r="H3592">
        <v>1613.9099999999999</v>
      </c>
      <c r="I3592">
        <v>161.38999999999999</v>
      </c>
      <c r="J3592">
        <v>0</v>
      </c>
      <c r="K3592">
        <v>0</v>
      </c>
      <c r="L3592">
        <v>0</v>
      </c>
      <c r="M3592">
        <v>10</v>
      </c>
      <c r="N3592">
        <v>1613.9099999999999</v>
      </c>
      <c r="O3592">
        <v>161.38999999999999</v>
      </c>
    </row>
    <row r="3593" spans="1:15" x14ac:dyDescent="0.35">
      <c r="A3593" t="s">
        <v>4045</v>
      </c>
      <c r="B3593" t="s">
        <v>4046</v>
      </c>
      <c r="C3593" t="s">
        <v>1477</v>
      </c>
      <c r="D3593" t="s">
        <v>323</v>
      </c>
      <c r="E3593" t="s">
        <v>304</v>
      </c>
      <c r="F3593" t="s">
        <v>4070</v>
      </c>
      <c r="G3593">
        <v>1</v>
      </c>
      <c r="H3593">
        <v>173.25</v>
      </c>
      <c r="I3593">
        <v>173.25</v>
      </c>
      <c r="J3593">
        <v>0</v>
      </c>
      <c r="K3593">
        <v>0</v>
      </c>
      <c r="L3593">
        <v>0</v>
      </c>
      <c r="M3593">
        <v>1</v>
      </c>
      <c r="N3593">
        <v>173.25</v>
      </c>
      <c r="O3593">
        <v>173.25</v>
      </c>
    </row>
    <row r="3594" spans="1:15" x14ac:dyDescent="0.35">
      <c r="A3594" t="s">
        <v>4045</v>
      </c>
      <c r="B3594" t="s">
        <v>4046</v>
      </c>
      <c r="C3594" t="s">
        <v>1477</v>
      </c>
      <c r="D3594" t="s">
        <v>323</v>
      </c>
      <c r="E3594" t="s">
        <v>306</v>
      </c>
      <c r="F3594" t="s">
        <v>4071</v>
      </c>
      <c r="G3594">
        <v>57</v>
      </c>
      <c r="H3594">
        <v>4483.38</v>
      </c>
      <c r="I3594">
        <v>78.66</v>
      </c>
      <c r="J3594">
        <v>0</v>
      </c>
      <c r="K3594">
        <v>0</v>
      </c>
      <c r="L3594">
        <v>0</v>
      </c>
      <c r="M3594">
        <v>57</v>
      </c>
      <c r="N3594">
        <v>4483.38</v>
      </c>
      <c r="O3594">
        <v>78.66</v>
      </c>
    </row>
    <row r="3595" spans="1:15" x14ac:dyDescent="0.35">
      <c r="A3595" t="s">
        <v>4045</v>
      </c>
      <c r="B3595" t="s">
        <v>4046</v>
      </c>
      <c r="C3595" t="s">
        <v>1477</v>
      </c>
      <c r="D3595" t="s">
        <v>323</v>
      </c>
      <c r="E3595" t="s">
        <v>308</v>
      </c>
      <c r="F3595" t="s">
        <v>4072</v>
      </c>
      <c r="G3595">
        <v>0</v>
      </c>
      <c r="H3595">
        <v>0</v>
      </c>
      <c r="I3595">
        <v>0</v>
      </c>
      <c r="J3595">
        <v>0</v>
      </c>
      <c r="K3595">
        <v>0</v>
      </c>
      <c r="L3595">
        <v>0</v>
      </c>
      <c r="M3595">
        <v>0</v>
      </c>
      <c r="N3595">
        <v>0</v>
      </c>
      <c r="O3595">
        <v>0</v>
      </c>
    </row>
    <row r="3596" spans="1:15" x14ac:dyDescent="0.35">
      <c r="A3596" t="s">
        <v>4045</v>
      </c>
      <c r="B3596" t="s">
        <v>4046</v>
      </c>
      <c r="C3596" t="s">
        <v>1477</v>
      </c>
      <c r="D3596" t="s">
        <v>323</v>
      </c>
      <c r="E3596" t="s">
        <v>310</v>
      </c>
      <c r="F3596" t="s">
        <v>4073</v>
      </c>
      <c r="G3596">
        <v>8746</v>
      </c>
      <c r="H3596">
        <v>1042241.4199999999</v>
      </c>
      <c r="I3596">
        <v>119.17</v>
      </c>
      <c r="J3596">
        <v>0</v>
      </c>
      <c r="K3596">
        <v>0</v>
      </c>
      <c r="L3596">
        <v>0</v>
      </c>
      <c r="M3596">
        <v>8746</v>
      </c>
      <c r="N3596">
        <v>1042241.4199999999</v>
      </c>
      <c r="O3596">
        <v>119.17</v>
      </c>
    </row>
    <row r="3597" spans="1:15" x14ac:dyDescent="0.35">
      <c r="A3597" t="s">
        <v>4045</v>
      </c>
      <c r="B3597" t="s">
        <v>4046</v>
      </c>
      <c r="C3597" t="s">
        <v>1477</v>
      </c>
      <c r="D3597" t="s">
        <v>323</v>
      </c>
      <c r="E3597" t="s">
        <v>312</v>
      </c>
      <c r="F3597" t="s">
        <v>4074</v>
      </c>
      <c r="G3597">
        <v>8746</v>
      </c>
      <c r="H3597">
        <v>1042241.4199999999</v>
      </c>
      <c r="I3597">
        <v>119.17</v>
      </c>
      <c r="J3597">
        <v>0</v>
      </c>
      <c r="K3597">
        <v>0</v>
      </c>
      <c r="L3597">
        <v>0</v>
      </c>
      <c r="M3597">
        <v>8746</v>
      </c>
      <c r="N3597">
        <v>1042241.4199999999</v>
      </c>
      <c r="O3597">
        <v>119.17</v>
      </c>
    </row>
    <row r="3598" spans="1:15" x14ac:dyDescent="0.35">
      <c r="A3598" t="s">
        <v>4045</v>
      </c>
      <c r="B3598" t="s">
        <v>4046</v>
      </c>
      <c r="C3598" t="s">
        <v>1477</v>
      </c>
      <c r="D3598" t="s">
        <v>334</v>
      </c>
      <c r="E3598" t="s">
        <v>312</v>
      </c>
      <c r="F3598" t="s">
        <v>4075</v>
      </c>
      <c r="G3598">
        <v>10774</v>
      </c>
      <c r="H3598">
        <v>1405804.5999999996</v>
      </c>
      <c r="I3598">
        <v>131.52000000000001</v>
      </c>
      <c r="J3598">
        <v>0</v>
      </c>
      <c r="K3598">
        <v>0</v>
      </c>
      <c r="L3598">
        <v>0</v>
      </c>
      <c r="M3598">
        <v>10774</v>
      </c>
      <c r="N3598">
        <v>1405804.5999999996</v>
      </c>
      <c r="O3598">
        <v>131.52000000000001</v>
      </c>
    </row>
    <row r="3599" spans="1:15" x14ac:dyDescent="0.35">
      <c r="A3599" t="s">
        <v>4045</v>
      </c>
      <c r="B3599" t="s">
        <v>4046</v>
      </c>
      <c r="C3599" t="s">
        <v>1477</v>
      </c>
      <c r="D3599" t="s">
        <v>334</v>
      </c>
      <c r="E3599" t="s">
        <v>308</v>
      </c>
      <c r="F3599" t="s">
        <v>4076</v>
      </c>
      <c r="G3599">
        <v>0</v>
      </c>
      <c r="H3599">
        <v>0</v>
      </c>
      <c r="I3599">
        <v>0</v>
      </c>
      <c r="J3599">
        <v>0</v>
      </c>
      <c r="K3599">
        <v>0</v>
      </c>
      <c r="L3599">
        <v>0</v>
      </c>
      <c r="M3599">
        <v>0</v>
      </c>
      <c r="N3599">
        <v>0</v>
      </c>
      <c r="O3599">
        <v>0</v>
      </c>
    </row>
    <row r="3600" spans="1:15" x14ac:dyDescent="0.35">
      <c r="A3600" t="s">
        <v>4045</v>
      </c>
      <c r="B3600" t="s">
        <v>4046</v>
      </c>
      <c r="C3600" t="s">
        <v>1477</v>
      </c>
      <c r="D3600" t="s">
        <v>337</v>
      </c>
      <c r="E3600" t="s">
        <v>337</v>
      </c>
      <c r="F3600" t="s">
        <v>4077</v>
      </c>
      <c r="G3600">
        <v>868</v>
      </c>
      <c r="J3600">
        <v>0</v>
      </c>
      <c r="M3600">
        <v>868</v>
      </c>
    </row>
    <row r="3601" spans="1:15" x14ac:dyDescent="0.35">
      <c r="A3601" t="s">
        <v>4045</v>
      </c>
      <c r="B3601" t="s">
        <v>4046</v>
      </c>
      <c r="C3601" t="s">
        <v>1477</v>
      </c>
      <c r="D3601" t="s">
        <v>339</v>
      </c>
      <c r="E3601" t="s">
        <v>294</v>
      </c>
      <c r="F3601" t="s">
        <v>4078</v>
      </c>
      <c r="G3601">
        <v>521</v>
      </c>
      <c r="H3601">
        <v>59790.06</v>
      </c>
      <c r="I3601">
        <v>114.76</v>
      </c>
      <c r="J3601">
        <v>0</v>
      </c>
      <c r="K3601">
        <v>0</v>
      </c>
      <c r="L3601">
        <v>0</v>
      </c>
      <c r="M3601">
        <v>521</v>
      </c>
      <c r="N3601">
        <v>59790.06</v>
      </c>
      <c r="O3601">
        <v>114.76</v>
      </c>
    </row>
    <row r="3602" spans="1:15" x14ac:dyDescent="0.35">
      <c r="A3602" t="s">
        <v>4045</v>
      </c>
      <c r="B3602" t="s">
        <v>4046</v>
      </c>
      <c r="C3602" t="s">
        <v>1477</v>
      </c>
      <c r="D3602" t="s">
        <v>339</v>
      </c>
      <c r="E3602" t="s">
        <v>296</v>
      </c>
      <c r="F3602" t="s">
        <v>4079</v>
      </c>
      <c r="G3602">
        <v>102</v>
      </c>
      <c r="H3602">
        <v>12700.94</v>
      </c>
      <c r="I3602">
        <v>124.52</v>
      </c>
      <c r="J3602">
        <v>0</v>
      </c>
      <c r="K3602">
        <v>0</v>
      </c>
      <c r="L3602">
        <v>0</v>
      </c>
      <c r="M3602">
        <v>102</v>
      </c>
      <c r="N3602">
        <v>12700.94</v>
      </c>
      <c r="O3602">
        <v>124.52</v>
      </c>
    </row>
    <row r="3603" spans="1:15" x14ac:dyDescent="0.35">
      <c r="A3603" t="s">
        <v>4045</v>
      </c>
      <c r="B3603" t="s">
        <v>4046</v>
      </c>
      <c r="C3603" t="s">
        <v>1477</v>
      </c>
      <c r="D3603" t="s">
        <v>339</v>
      </c>
      <c r="E3603" t="s">
        <v>298</v>
      </c>
      <c r="F3603" t="s">
        <v>4080</v>
      </c>
      <c r="G3603">
        <v>4</v>
      </c>
      <c r="H3603">
        <v>848</v>
      </c>
      <c r="I3603">
        <v>212</v>
      </c>
      <c r="J3603">
        <v>0</v>
      </c>
      <c r="K3603">
        <v>0</v>
      </c>
      <c r="L3603">
        <v>0</v>
      </c>
      <c r="M3603">
        <v>4</v>
      </c>
      <c r="N3603">
        <v>848</v>
      </c>
      <c r="O3603">
        <v>212</v>
      </c>
    </row>
    <row r="3604" spans="1:15" x14ac:dyDescent="0.35">
      <c r="A3604" t="s">
        <v>4045</v>
      </c>
      <c r="B3604" t="s">
        <v>4046</v>
      </c>
      <c r="C3604" t="s">
        <v>1477</v>
      </c>
      <c r="D3604" t="s">
        <v>339</v>
      </c>
      <c r="E3604" t="s">
        <v>300</v>
      </c>
      <c r="F3604" t="s">
        <v>4081</v>
      </c>
      <c r="G3604">
        <v>0</v>
      </c>
      <c r="H3604">
        <v>0</v>
      </c>
      <c r="I3604">
        <v>0</v>
      </c>
      <c r="J3604">
        <v>0</v>
      </c>
      <c r="K3604">
        <v>0</v>
      </c>
      <c r="L3604">
        <v>0</v>
      </c>
      <c r="M3604">
        <v>0</v>
      </c>
      <c r="N3604">
        <v>0</v>
      </c>
      <c r="O3604">
        <v>0</v>
      </c>
    </row>
    <row r="3605" spans="1:15" x14ac:dyDescent="0.35">
      <c r="A3605" t="s">
        <v>4045</v>
      </c>
      <c r="B3605" t="s">
        <v>4046</v>
      </c>
      <c r="C3605" t="s">
        <v>1477</v>
      </c>
      <c r="D3605" t="s">
        <v>339</v>
      </c>
      <c r="E3605" t="s">
        <v>306</v>
      </c>
      <c r="F3605" t="s">
        <v>4082</v>
      </c>
      <c r="G3605">
        <v>116</v>
      </c>
      <c r="H3605">
        <v>10596.96</v>
      </c>
      <c r="I3605">
        <v>91.35</v>
      </c>
      <c r="J3605">
        <v>0</v>
      </c>
      <c r="K3605">
        <v>0</v>
      </c>
      <c r="L3605">
        <v>0</v>
      </c>
      <c r="M3605">
        <v>116</v>
      </c>
      <c r="N3605">
        <v>10596.96</v>
      </c>
      <c r="O3605">
        <v>91.35</v>
      </c>
    </row>
    <row r="3606" spans="1:15" x14ac:dyDescent="0.35">
      <c r="A3606" t="s">
        <v>4045</v>
      </c>
      <c r="B3606" t="s">
        <v>4046</v>
      </c>
      <c r="C3606" t="s">
        <v>1477</v>
      </c>
      <c r="D3606" t="s">
        <v>339</v>
      </c>
      <c r="E3606" t="s">
        <v>308</v>
      </c>
      <c r="F3606" t="s">
        <v>4083</v>
      </c>
      <c r="G3606">
        <v>97</v>
      </c>
      <c r="H3606">
        <v>10913.169999999998</v>
      </c>
      <c r="I3606">
        <v>112.51</v>
      </c>
      <c r="J3606">
        <v>0</v>
      </c>
      <c r="K3606">
        <v>0</v>
      </c>
      <c r="L3606">
        <v>0</v>
      </c>
      <c r="M3606">
        <v>97</v>
      </c>
      <c r="N3606">
        <v>10913.169999999998</v>
      </c>
      <c r="O3606">
        <v>112.51</v>
      </c>
    </row>
    <row r="3607" spans="1:15" x14ac:dyDescent="0.35">
      <c r="A3607" t="s">
        <v>4045</v>
      </c>
      <c r="B3607" t="s">
        <v>4046</v>
      </c>
      <c r="C3607" t="s">
        <v>1477</v>
      </c>
      <c r="D3607" t="s">
        <v>339</v>
      </c>
      <c r="E3607" t="s">
        <v>310</v>
      </c>
      <c r="F3607" t="s">
        <v>4084</v>
      </c>
      <c r="G3607">
        <v>840</v>
      </c>
      <c r="H3607">
        <v>94849.12999999999</v>
      </c>
      <c r="I3607">
        <v>112.92</v>
      </c>
      <c r="J3607">
        <v>0</v>
      </c>
      <c r="K3607">
        <v>0</v>
      </c>
      <c r="L3607">
        <v>0</v>
      </c>
      <c r="M3607">
        <v>840</v>
      </c>
      <c r="N3607">
        <v>94849.12999999999</v>
      </c>
      <c r="O3607">
        <v>112.92</v>
      </c>
    </row>
    <row r="3608" spans="1:15" x14ac:dyDescent="0.35">
      <c r="A3608" t="s">
        <v>4045</v>
      </c>
      <c r="B3608" t="s">
        <v>4046</v>
      </c>
      <c r="C3608" t="s">
        <v>1477</v>
      </c>
      <c r="D3608" t="s">
        <v>339</v>
      </c>
      <c r="E3608" t="s">
        <v>312</v>
      </c>
      <c r="F3608" t="s">
        <v>4085</v>
      </c>
      <c r="G3608">
        <v>743</v>
      </c>
      <c r="H3608">
        <v>83935.959999999992</v>
      </c>
      <c r="I3608">
        <v>112.97</v>
      </c>
      <c r="J3608">
        <v>0</v>
      </c>
      <c r="K3608">
        <v>0</v>
      </c>
      <c r="L3608">
        <v>0</v>
      </c>
      <c r="M3608">
        <v>743</v>
      </c>
      <c r="N3608">
        <v>83935.959999999992</v>
      </c>
      <c r="O3608">
        <v>112.97</v>
      </c>
    </row>
    <row r="3609" spans="1:15" x14ac:dyDescent="0.35">
      <c r="A3609" t="s">
        <v>4045</v>
      </c>
      <c r="B3609" t="s">
        <v>4046</v>
      </c>
      <c r="C3609" t="s">
        <v>1477</v>
      </c>
      <c r="D3609" t="s">
        <v>348</v>
      </c>
      <c r="E3609" t="s">
        <v>349</v>
      </c>
      <c r="F3609" t="s">
        <v>4086</v>
      </c>
      <c r="G3609">
        <v>1053</v>
      </c>
      <c r="H3609">
        <v>99660.46</v>
      </c>
      <c r="I3609">
        <v>115.35</v>
      </c>
      <c r="J3609">
        <v>0</v>
      </c>
      <c r="K3609">
        <v>0</v>
      </c>
      <c r="L3609">
        <v>0</v>
      </c>
      <c r="M3609">
        <v>1053</v>
      </c>
      <c r="N3609">
        <v>99660.46</v>
      </c>
      <c r="O3609">
        <v>115.35</v>
      </c>
    </row>
    <row r="3610" spans="1:15" x14ac:dyDescent="0.35">
      <c r="A3610" t="s">
        <v>4087</v>
      </c>
      <c r="B3610" t="s">
        <v>4088</v>
      </c>
      <c r="C3610" t="s">
        <v>1477</v>
      </c>
      <c r="D3610" t="s">
        <v>293</v>
      </c>
      <c r="E3610" t="s">
        <v>294</v>
      </c>
      <c r="F3610" t="s">
        <v>4089</v>
      </c>
      <c r="G3610">
        <v>54</v>
      </c>
      <c r="H3610">
        <v>8630.9399999999987</v>
      </c>
      <c r="I3610">
        <v>159.83000000000001</v>
      </c>
      <c r="J3610">
        <v>4</v>
      </c>
      <c r="K3610">
        <v>725.04</v>
      </c>
      <c r="L3610">
        <v>181.26</v>
      </c>
      <c r="M3610">
        <v>58</v>
      </c>
      <c r="N3610">
        <v>9355.98</v>
      </c>
      <c r="O3610">
        <v>161.31</v>
      </c>
    </row>
    <row r="3611" spans="1:15" x14ac:dyDescent="0.35">
      <c r="A3611" t="s">
        <v>4087</v>
      </c>
      <c r="B3611" t="s">
        <v>4088</v>
      </c>
      <c r="C3611" t="s">
        <v>1477</v>
      </c>
      <c r="D3611" t="s">
        <v>293</v>
      </c>
      <c r="E3611" t="s">
        <v>296</v>
      </c>
      <c r="F3611" t="s">
        <v>4090</v>
      </c>
      <c r="G3611">
        <v>46</v>
      </c>
      <c r="H3611">
        <v>9318.3600000000024</v>
      </c>
      <c r="I3611">
        <v>202.57</v>
      </c>
      <c r="J3611">
        <v>23</v>
      </c>
      <c r="K3611">
        <v>5082.54</v>
      </c>
      <c r="L3611">
        <v>220.98</v>
      </c>
      <c r="M3611">
        <v>69</v>
      </c>
      <c r="N3611">
        <v>14400.900000000001</v>
      </c>
      <c r="O3611">
        <v>208.71</v>
      </c>
    </row>
    <row r="3612" spans="1:15" x14ac:dyDescent="0.35">
      <c r="A3612" t="s">
        <v>4087</v>
      </c>
      <c r="B3612" t="s">
        <v>4088</v>
      </c>
      <c r="C3612" t="s">
        <v>1477</v>
      </c>
      <c r="D3612" t="s">
        <v>293</v>
      </c>
      <c r="E3612" t="s">
        <v>298</v>
      </c>
      <c r="F3612" t="s">
        <v>4091</v>
      </c>
      <c r="G3612">
        <v>24</v>
      </c>
      <c r="H3612">
        <v>5697.51</v>
      </c>
      <c r="I3612">
        <v>237.4</v>
      </c>
      <c r="J3612">
        <v>21</v>
      </c>
      <c r="K3612">
        <v>5329.59</v>
      </c>
      <c r="L3612">
        <v>253.79</v>
      </c>
      <c r="M3612">
        <v>45</v>
      </c>
      <c r="N3612">
        <v>11027.1</v>
      </c>
      <c r="O3612">
        <v>245.05</v>
      </c>
    </row>
    <row r="3613" spans="1:15" x14ac:dyDescent="0.35">
      <c r="A3613" t="s">
        <v>4087</v>
      </c>
      <c r="B3613" t="s">
        <v>4088</v>
      </c>
      <c r="C3613" t="s">
        <v>1477</v>
      </c>
      <c r="D3613" t="s">
        <v>293</v>
      </c>
      <c r="E3613" t="s">
        <v>300</v>
      </c>
      <c r="F3613" t="s">
        <v>4092</v>
      </c>
      <c r="G3613">
        <v>0</v>
      </c>
      <c r="H3613">
        <v>0</v>
      </c>
      <c r="I3613">
        <v>0</v>
      </c>
      <c r="J3613">
        <v>3</v>
      </c>
      <c r="K3613">
        <v>735.90000000000009</v>
      </c>
      <c r="L3613">
        <v>245.3</v>
      </c>
      <c r="M3613">
        <v>3</v>
      </c>
      <c r="N3613">
        <v>735.90000000000009</v>
      </c>
      <c r="O3613">
        <v>245.3</v>
      </c>
    </row>
    <row r="3614" spans="1:15" x14ac:dyDescent="0.35">
      <c r="A3614" t="s">
        <v>4087</v>
      </c>
      <c r="B3614" t="s">
        <v>4088</v>
      </c>
      <c r="C3614" t="s">
        <v>1477</v>
      </c>
      <c r="D3614" t="s">
        <v>293</v>
      </c>
      <c r="E3614" t="s">
        <v>302</v>
      </c>
      <c r="F3614" t="s">
        <v>4093</v>
      </c>
      <c r="G3614">
        <v>0</v>
      </c>
      <c r="H3614">
        <v>0</v>
      </c>
      <c r="I3614">
        <v>0</v>
      </c>
      <c r="J3614">
        <v>0</v>
      </c>
      <c r="K3614">
        <v>0</v>
      </c>
      <c r="L3614">
        <v>0</v>
      </c>
      <c r="M3614">
        <v>0</v>
      </c>
      <c r="N3614">
        <v>0</v>
      </c>
      <c r="O3614">
        <v>0</v>
      </c>
    </row>
    <row r="3615" spans="1:15" x14ac:dyDescent="0.35">
      <c r="A3615" t="s">
        <v>4087</v>
      </c>
      <c r="B3615" t="s">
        <v>4088</v>
      </c>
      <c r="C3615" t="s">
        <v>1477</v>
      </c>
      <c r="D3615" t="s">
        <v>293</v>
      </c>
      <c r="E3615" t="s">
        <v>304</v>
      </c>
      <c r="F3615" t="s">
        <v>4094</v>
      </c>
      <c r="G3615">
        <v>0</v>
      </c>
      <c r="H3615">
        <v>0</v>
      </c>
      <c r="I3615">
        <v>0</v>
      </c>
      <c r="J3615">
        <v>0</v>
      </c>
      <c r="K3615">
        <v>0</v>
      </c>
      <c r="L3615">
        <v>0</v>
      </c>
      <c r="M3615">
        <v>0</v>
      </c>
      <c r="N3615">
        <v>0</v>
      </c>
      <c r="O3615">
        <v>0</v>
      </c>
    </row>
    <row r="3616" spans="1:15" x14ac:dyDescent="0.35">
      <c r="A3616" t="s">
        <v>4087</v>
      </c>
      <c r="B3616" t="s">
        <v>4088</v>
      </c>
      <c r="C3616" t="s">
        <v>1477</v>
      </c>
      <c r="D3616" t="s">
        <v>293</v>
      </c>
      <c r="E3616" t="s">
        <v>306</v>
      </c>
      <c r="F3616" t="s">
        <v>4095</v>
      </c>
      <c r="G3616">
        <v>1</v>
      </c>
      <c r="H3616">
        <v>118.88</v>
      </c>
      <c r="I3616">
        <v>118.88</v>
      </c>
      <c r="J3616">
        <v>0</v>
      </c>
      <c r="K3616">
        <v>0</v>
      </c>
      <c r="L3616">
        <v>0</v>
      </c>
      <c r="M3616">
        <v>1</v>
      </c>
      <c r="N3616">
        <v>118.88</v>
      </c>
      <c r="O3616">
        <v>118.88</v>
      </c>
    </row>
    <row r="3617" spans="1:15" x14ac:dyDescent="0.35">
      <c r="A3617" t="s">
        <v>4087</v>
      </c>
      <c r="B3617" t="s">
        <v>4088</v>
      </c>
      <c r="C3617" t="s">
        <v>1477</v>
      </c>
      <c r="D3617" t="s">
        <v>293</v>
      </c>
      <c r="E3617" t="s">
        <v>308</v>
      </c>
      <c r="F3617" t="s">
        <v>4096</v>
      </c>
      <c r="G3617">
        <v>0</v>
      </c>
      <c r="H3617">
        <v>0</v>
      </c>
      <c r="I3617">
        <v>0</v>
      </c>
      <c r="J3617">
        <v>0</v>
      </c>
      <c r="K3617">
        <v>0</v>
      </c>
      <c r="L3617">
        <v>0</v>
      </c>
      <c r="M3617">
        <v>0</v>
      </c>
      <c r="N3617">
        <v>0</v>
      </c>
      <c r="O3617">
        <v>0</v>
      </c>
    </row>
    <row r="3618" spans="1:15" x14ac:dyDescent="0.35">
      <c r="A3618" t="s">
        <v>4087</v>
      </c>
      <c r="B3618" t="s">
        <v>4088</v>
      </c>
      <c r="C3618" t="s">
        <v>1477</v>
      </c>
      <c r="D3618" t="s">
        <v>293</v>
      </c>
      <c r="E3618" t="s">
        <v>310</v>
      </c>
      <c r="F3618" t="s">
        <v>4097</v>
      </c>
      <c r="G3618">
        <v>125</v>
      </c>
      <c r="H3618">
        <v>23765.690000000006</v>
      </c>
      <c r="I3618">
        <v>190.13</v>
      </c>
      <c r="J3618">
        <v>51</v>
      </c>
      <c r="K3618">
        <v>11873.07</v>
      </c>
      <c r="L3618">
        <v>232.81</v>
      </c>
      <c r="M3618">
        <v>176</v>
      </c>
      <c r="N3618">
        <v>35638.760000000009</v>
      </c>
      <c r="O3618">
        <v>202.49</v>
      </c>
    </row>
    <row r="3619" spans="1:15" x14ac:dyDescent="0.35">
      <c r="A3619" t="s">
        <v>4087</v>
      </c>
      <c r="B3619" t="s">
        <v>4088</v>
      </c>
      <c r="C3619" t="s">
        <v>1477</v>
      </c>
      <c r="D3619" t="s">
        <v>293</v>
      </c>
      <c r="E3619" t="s">
        <v>312</v>
      </c>
      <c r="F3619" t="s">
        <v>4098</v>
      </c>
      <c r="G3619">
        <v>125</v>
      </c>
      <c r="H3619">
        <v>23765.690000000006</v>
      </c>
      <c r="I3619">
        <v>190.13</v>
      </c>
      <c r="J3619">
        <v>51</v>
      </c>
      <c r="K3619">
        <v>11873.07</v>
      </c>
      <c r="L3619">
        <v>232.81</v>
      </c>
      <c r="M3619">
        <v>176</v>
      </c>
      <c r="N3619">
        <v>35638.760000000009</v>
      </c>
      <c r="O3619">
        <v>202.49</v>
      </c>
    </row>
    <row r="3620" spans="1:15" x14ac:dyDescent="0.35">
      <c r="A3620" t="s">
        <v>4087</v>
      </c>
      <c r="B3620" t="s">
        <v>4088</v>
      </c>
      <c r="C3620" t="s">
        <v>1477</v>
      </c>
      <c r="D3620" t="s">
        <v>314</v>
      </c>
      <c r="E3620" t="s">
        <v>294</v>
      </c>
      <c r="F3620" t="s">
        <v>4099</v>
      </c>
      <c r="G3620">
        <v>0</v>
      </c>
      <c r="H3620">
        <v>0</v>
      </c>
      <c r="I3620">
        <v>0</v>
      </c>
      <c r="J3620">
        <v>4</v>
      </c>
      <c r="K3620">
        <v>724.56</v>
      </c>
      <c r="L3620">
        <v>181.14</v>
      </c>
      <c r="M3620">
        <v>4</v>
      </c>
      <c r="N3620">
        <v>724.56</v>
      </c>
      <c r="O3620">
        <v>181.14</v>
      </c>
    </row>
    <row r="3621" spans="1:15" x14ac:dyDescent="0.35">
      <c r="A3621" t="s">
        <v>4087</v>
      </c>
      <c r="B3621" t="s">
        <v>4088</v>
      </c>
      <c r="C3621" t="s">
        <v>1477</v>
      </c>
      <c r="D3621" t="s">
        <v>314</v>
      </c>
      <c r="E3621" t="s">
        <v>296</v>
      </c>
      <c r="F3621" t="s">
        <v>4100</v>
      </c>
      <c r="G3621">
        <v>0</v>
      </c>
      <c r="H3621">
        <v>0</v>
      </c>
      <c r="I3621">
        <v>0</v>
      </c>
      <c r="J3621">
        <v>0</v>
      </c>
      <c r="K3621">
        <v>0</v>
      </c>
      <c r="L3621">
        <v>0</v>
      </c>
      <c r="M3621">
        <v>0</v>
      </c>
      <c r="N3621">
        <v>0</v>
      </c>
      <c r="O3621">
        <v>0</v>
      </c>
    </row>
    <row r="3622" spans="1:15" x14ac:dyDescent="0.35">
      <c r="A3622" t="s">
        <v>4087</v>
      </c>
      <c r="B3622" t="s">
        <v>4088</v>
      </c>
      <c r="C3622" t="s">
        <v>1477</v>
      </c>
      <c r="D3622" t="s">
        <v>314</v>
      </c>
      <c r="E3622" t="s">
        <v>298</v>
      </c>
      <c r="F3622" t="s">
        <v>4101</v>
      </c>
      <c r="G3622">
        <v>0</v>
      </c>
      <c r="H3622">
        <v>0</v>
      </c>
      <c r="I3622">
        <v>0</v>
      </c>
      <c r="J3622">
        <v>0</v>
      </c>
      <c r="K3622">
        <v>0</v>
      </c>
      <c r="L3622">
        <v>0</v>
      </c>
      <c r="M3622">
        <v>0</v>
      </c>
      <c r="N3622">
        <v>0</v>
      </c>
      <c r="O3622">
        <v>0</v>
      </c>
    </row>
    <row r="3623" spans="1:15" x14ac:dyDescent="0.35">
      <c r="A3623" t="s">
        <v>4087</v>
      </c>
      <c r="B3623" t="s">
        <v>4088</v>
      </c>
      <c r="C3623" t="s">
        <v>1477</v>
      </c>
      <c r="D3623" t="s">
        <v>314</v>
      </c>
      <c r="E3623" t="s">
        <v>300</v>
      </c>
      <c r="F3623" t="s">
        <v>4102</v>
      </c>
      <c r="G3623">
        <v>0</v>
      </c>
      <c r="H3623">
        <v>0</v>
      </c>
      <c r="I3623">
        <v>0</v>
      </c>
      <c r="J3623">
        <v>0</v>
      </c>
      <c r="K3623">
        <v>0</v>
      </c>
      <c r="L3623">
        <v>0</v>
      </c>
      <c r="M3623">
        <v>0</v>
      </c>
      <c r="N3623">
        <v>0</v>
      </c>
      <c r="O3623">
        <v>0</v>
      </c>
    </row>
    <row r="3624" spans="1:15" x14ac:dyDescent="0.35">
      <c r="A3624" t="s">
        <v>4087</v>
      </c>
      <c r="B3624" t="s">
        <v>4088</v>
      </c>
      <c r="C3624" t="s">
        <v>1477</v>
      </c>
      <c r="D3624" t="s">
        <v>314</v>
      </c>
      <c r="E3624" t="s">
        <v>306</v>
      </c>
      <c r="F3624" t="s">
        <v>4103</v>
      </c>
      <c r="G3624">
        <v>0</v>
      </c>
      <c r="H3624">
        <v>0</v>
      </c>
      <c r="I3624">
        <v>0</v>
      </c>
      <c r="J3624">
        <v>0</v>
      </c>
      <c r="K3624">
        <v>0</v>
      </c>
      <c r="L3624">
        <v>0</v>
      </c>
      <c r="M3624">
        <v>0</v>
      </c>
      <c r="N3624">
        <v>0</v>
      </c>
      <c r="O3624">
        <v>0</v>
      </c>
    </row>
    <row r="3625" spans="1:15" x14ac:dyDescent="0.35">
      <c r="A3625" t="s">
        <v>4087</v>
      </c>
      <c r="B3625" t="s">
        <v>4088</v>
      </c>
      <c r="C3625" t="s">
        <v>1477</v>
      </c>
      <c r="D3625" t="s">
        <v>314</v>
      </c>
      <c r="E3625" t="s">
        <v>308</v>
      </c>
      <c r="F3625" t="s">
        <v>4104</v>
      </c>
      <c r="G3625">
        <v>0</v>
      </c>
      <c r="H3625">
        <v>0</v>
      </c>
      <c r="I3625">
        <v>0</v>
      </c>
      <c r="J3625">
        <v>0</v>
      </c>
      <c r="K3625">
        <v>0</v>
      </c>
      <c r="L3625">
        <v>0</v>
      </c>
      <c r="M3625">
        <v>0</v>
      </c>
      <c r="N3625">
        <v>0</v>
      </c>
      <c r="O3625">
        <v>0</v>
      </c>
    </row>
    <row r="3626" spans="1:15" x14ac:dyDescent="0.35">
      <c r="A3626" t="s">
        <v>4087</v>
      </c>
      <c r="B3626" t="s">
        <v>4088</v>
      </c>
      <c r="C3626" t="s">
        <v>1477</v>
      </c>
      <c r="D3626" t="s">
        <v>314</v>
      </c>
      <c r="E3626" t="s">
        <v>312</v>
      </c>
      <c r="F3626" t="s">
        <v>4105</v>
      </c>
      <c r="G3626">
        <v>0</v>
      </c>
      <c r="H3626">
        <v>0</v>
      </c>
      <c r="I3626">
        <v>0</v>
      </c>
      <c r="J3626">
        <v>4</v>
      </c>
      <c r="K3626">
        <v>724.56</v>
      </c>
      <c r="L3626">
        <v>181.14</v>
      </c>
      <c r="M3626">
        <v>4</v>
      </c>
      <c r="N3626">
        <v>724.56</v>
      </c>
      <c r="O3626">
        <v>181.14</v>
      </c>
    </row>
    <row r="3627" spans="1:15" x14ac:dyDescent="0.35">
      <c r="A3627" t="s">
        <v>4087</v>
      </c>
      <c r="B3627" t="s">
        <v>4088</v>
      </c>
      <c r="C3627" t="s">
        <v>1477</v>
      </c>
      <c r="D3627" t="s">
        <v>314</v>
      </c>
      <c r="E3627" t="s">
        <v>310</v>
      </c>
      <c r="F3627" t="s">
        <v>4106</v>
      </c>
      <c r="G3627">
        <v>0</v>
      </c>
      <c r="H3627">
        <v>0</v>
      </c>
      <c r="I3627">
        <v>0</v>
      </c>
      <c r="J3627">
        <v>4</v>
      </c>
      <c r="K3627">
        <v>724.56</v>
      </c>
      <c r="L3627">
        <v>181.14</v>
      </c>
      <c r="M3627">
        <v>4</v>
      </c>
      <c r="N3627">
        <v>724.56</v>
      </c>
      <c r="O3627">
        <v>181.14</v>
      </c>
    </row>
    <row r="3628" spans="1:15" x14ac:dyDescent="0.35">
      <c r="A3628" t="s">
        <v>4087</v>
      </c>
      <c r="B3628" t="s">
        <v>4088</v>
      </c>
      <c r="C3628" t="s">
        <v>1477</v>
      </c>
      <c r="D3628" t="s">
        <v>323</v>
      </c>
      <c r="E3628" t="s">
        <v>294</v>
      </c>
      <c r="F3628" t="s">
        <v>4107</v>
      </c>
      <c r="G3628">
        <v>178</v>
      </c>
      <c r="H3628">
        <v>21851.82</v>
      </c>
      <c r="I3628">
        <v>122.76</v>
      </c>
      <c r="J3628">
        <v>390</v>
      </c>
      <c r="K3628">
        <v>38243.4</v>
      </c>
      <c r="L3628">
        <v>98.06</v>
      </c>
      <c r="M3628">
        <v>568</v>
      </c>
      <c r="N3628">
        <v>60095.22</v>
      </c>
      <c r="O3628">
        <v>105.8</v>
      </c>
    </row>
    <row r="3629" spans="1:15" x14ac:dyDescent="0.35">
      <c r="A3629" t="s">
        <v>4087</v>
      </c>
      <c r="B3629" t="s">
        <v>4088</v>
      </c>
      <c r="C3629" t="s">
        <v>1477</v>
      </c>
      <c r="D3629" t="s">
        <v>323</v>
      </c>
      <c r="E3629" t="s">
        <v>296</v>
      </c>
      <c r="F3629" t="s">
        <v>4108</v>
      </c>
      <c r="G3629">
        <v>151</v>
      </c>
      <c r="H3629">
        <v>21583.489999999998</v>
      </c>
      <c r="I3629">
        <v>142.94</v>
      </c>
      <c r="J3629">
        <v>816</v>
      </c>
      <c r="K3629">
        <v>92403.839999999997</v>
      </c>
      <c r="L3629">
        <v>113.24</v>
      </c>
      <c r="M3629">
        <v>967</v>
      </c>
      <c r="N3629">
        <v>113987.32999999999</v>
      </c>
      <c r="O3629">
        <v>117.88</v>
      </c>
    </row>
    <row r="3630" spans="1:15" x14ac:dyDescent="0.35">
      <c r="A3630" t="s">
        <v>4087</v>
      </c>
      <c r="B3630" t="s">
        <v>4088</v>
      </c>
      <c r="C3630" t="s">
        <v>1477</v>
      </c>
      <c r="D3630" t="s">
        <v>323</v>
      </c>
      <c r="E3630" t="s">
        <v>298</v>
      </c>
      <c r="F3630" t="s">
        <v>4109</v>
      </c>
      <c r="G3630">
        <v>190</v>
      </c>
      <c r="H3630">
        <v>31682.639999999999</v>
      </c>
      <c r="I3630">
        <v>166.75</v>
      </c>
      <c r="J3630">
        <v>658</v>
      </c>
      <c r="K3630">
        <v>88119.359999999986</v>
      </c>
      <c r="L3630">
        <v>133.91999999999999</v>
      </c>
      <c r="M3630">
        <v>848</v>
      </c>
      <c r="N3630">
        <v>119801.99999999999</v>
      </c>
      <c r="O3630">
        <v>141.28</v>
      </c>
    </row>
    <row r="3631" spans="1:15" x14ac:dyDescent="0.35">
      <c r="A3631" t="s">
        <v>4087</v>
      </c>
      <c r="B3631" t="s">
        <v>4088</v>
      </c>
      <c r="C3631" t="s">
        <v>1477</v>
      </c>
      <c r="D3631" t="s">
        <v>323</v>
      </c>
      <c r="E3631" t="s">
        <v>300</v>
      </c>
      <c r="F3631" t="s">
        <v>4110</v>
      </c>
      <c r="G3631">
        <v>3</v>
      </c>
      <c r="H3631">
        <v>618.72</v>
      </c>
      <c r="I3631">
        <v>206.24</v>
      </c>
      <c r="J3631">
        <v>16</v>
      </c>
      <c r="K3631">
        <v>2607.6799999999998</v>
      </c>
      <c r="L3631">
        <v>162.97999999999999</v>
      </c>
      <c r="M3631">
        <v>19</v>
      </c>
      <c r="N3631">
        <v>3226.3999999999996</v>
      </c>
      <c r="O3631">
        <v>169.81</v>
      </c>
    </row>
    <row r="3632" spans="1:15" x14ac:dyDescent="0.35">
      <c r="A3632" t="s">
        <v>4087</v>
      </c>
      <c r="B3632" t="s">
        <v>4088</v>
      </c>
      <c r="C3632" t="s">
        <v>1477</v>
      </c>
      <c r="D3632" t="s">
        <v>323</v>
      </c>
      <c r="E3632" t="s">
        <v>302</v>
      </c>
      <c r="F3632" t="s">
        <v>4111</v>
      </c>
      <c r="G3632">
        <v>0</v>
      </c>
      <c r="H3632">
        <v>0</v>
      </c>
      <c r="I3632">
        <v>0</v>
      </c>
      <c r="J3632">
        <v>0</v>
      </c>
      <c r="K3632">
        <v>0</v>
      </c>
      <c r="L3632">
        <v>0</v>
      </c>
      <c r="M3632">
        <v>0</v>
      </c>
      <c r="N3632">
        <v>0</v>
      </c>
      <c r="O3632">
        <v>0</v>
      </c>
    </row>
    <row r="3633" spans="1:15" x14ac:dyDescent="0.35">
      <c r="A3633" t="s">
        <v>4087</v>
      </c>
      <c r="B3633" t="s">
        <v>4088</v>
      </c>
      <c r="C3633" t="s">
        <v>1477</v>
      </c>
      <c r="D3633" t="s">
        <v>323</v>
      </c>
      <c r="E3633" t="s">
        <v>304</v>
      </c>
      <c r="F3633" t="s">
        <v>4112</v>
      </c>
      <c r="G3633">
        <v>0</v>
      </c>
      <c r="H3633">
        <v>0</v>
      </c>
      <c r="I3633">
        <v>0</v>
      </c>
      <c r="J3633">
        <v>0</v>
      </c>
      <c r="K3633">
        <v>0</v>
      </c>
      <c r="L3633">
        <v>0</v>
      </c>
      <c r="M3633">
        <v>0</v>
      </c>
      <c r="N3633">
        <v>0</v>
      </c>
      <c r="O3633">
        <v>0</v>
      </c>
    </row>
    <row r="3634" spans="1:15" x14ac:dyDescent="0.35">
      <c r="A3634" t="s">
        <v>4087</v>
      </c>
      <c r="B3634" t="s">
        <v>4088</v>
      </c>
      <c r="C3634" t="s">
        <v>1477</v>
      </c>
      <c r="D3634" t="s">
        <v>323</v>
      </c>
      <c r="E3634" t="s">
        <v>306</v>
      </c>
      <c r="F3634" t="s">
        <v>4113</v>
      </c>
      <c r="G3634">
        <v>0</v>
      </c>
      <c r="H3634">
        <v>0</v>
      </c>
      <c r="I3634">
        <v>0</v>
      </c>
      <c r="J3634">
        <v>48</v>
      </c>
      <c r="K3634">
        <v>3336.96</v>
      </c>
      <c r="L3634">
        <v>69.52</v>
      </c>
      <c r="M3634">
        <v>48</v>
      </c>
      <c r="N3634">
        <v>3336.96</v>
      </c>
      <c r="O3634">
        <v>69.52</v>
      </c>
    </row>
    <row r="3635" spans="1:15" x14ac:dyDescent="0.35">
      <c r="A3635" t="s">
        <v>4087</v>
      </c>
      <c r="B3635" t="s">
        <v>4088</v>
      </c>
      <c r="C3635" t="s">
        <v>1477</v>
      </c>
      <c r="D3635" t="s">
        <v>323</v>
      </c>
      <c r="E3635" t="s">
        <v>308</v>
      </c>
      <c r="F3635" t="s">
        <v>4114</v>
      </c>
      <c r="G3635">
        <v>0</v>
      </c>
      <c r="H3635">
        <v>0</v>
      </c>
      <c r="I3635">
        <v>0</v>
      </c>
      <c r="J3635">
        <v>0</v>
      </c>
      <c r="K3635">
        <v>0</v>
      </c>
      <c r="L3635">
        <v>0</v>
      </c>
      <c r="M3635">
        <v>0</v>
      </c>
      <c r="N3635">
        <v>0</v>
      </c>
      <c r="O3635">
        <v>0</v>
      </c>
    </row>
    <row r="3636" spans="1:15" x14ac:dyDescent="0.35">
      <c r="A3636" t="s">
        <v>4087</v>
      </c>
      <c r="B3636" t="s">
        <v>4088</v>
      </c>
      <c r="C3636" t="s">
        <v>1477</v>
      </c>
      <c r="D3636" t="s">
        <v>323</v>
      </c>
      <c r="E3636" t="s">
        <v>310</v>
      </c>
      <c r="F3636" t="s">
        <v>4115</v>
      </c>
      <c r="G3636">
        <v>522</v>
      </c>
      <c r="H3636">
        <v>75736.67</v>
      </c>
      <c r="I3636">
        <v>145.09</v>
      </c>
      <c r="J3636">
        <v>1928</v>
      </c>
      <c r="K3636">
        <v>224711.23999999996</v>
      </c>
      <c r="L3636">
        <v>116.55</v>
      </c>
      <c r="M3636">
        <v>2450</v>
      </c>
      <c r="N3636">
        <v>300447.90999999997</v>
      </c>
      <c r="O3636">
        <v>122.63</v>
      </c>
    </row>
    <row r="3637" spans="1:15" x14ac:dyDescent="0.35">
      <c r="A3637" t="s">
        <v>4087</v>
      </c>
      <c r="B3637" t="s">
        <v>4088</v>
      </c>
      <c r="C3637" t="s">
        <v>1477</v>
      </c>
      <c r="D3637" t="s">
        <v>323</v>
      </c>
      <c r="E3637" t="s">
        <v>312</v>
      </c>
      <c r="F3637" t="s">
        <v>4116</v>
      </c>
      <c r="G3637">
        <v>522</v>
      </c>
      <c r="H3637">
        <v>75736.67</v>
      </c>
      <c r="I3637">
        <v>145.09</v>
      </c>
      <c r="J3637">
        <v>1928</v>
      </c>
      <c r="K3637">
        <v>224711.23999999996</v>
      </c>
      <c r="L3637">
        <v>116.55</v>
      </c>
      <c r="M3637">
        <v>2450</v>
      </c>
      <c r="N3637">
        <v>300447.90999999997</v>
      </c>
      <c r="O3637">
        <v>122.63</v>
      </c>
    </row>
    <row r="3638" spans="1:15" x14ac:dyDescent="0.35">
      <c r="A3638" t="s">
        <v>4087</v>
      </c>
      <c r="B3638" t="s">
        <v>4088</v>
      </c>
      <c r="C3638" t="s">
        <v>1477</v>
      </c>
      <c r="D3638" t="s">
        <v>334</v>
      </c>
      <c r="E3638" t="s">
        <v>312</v>
      </c>
      <c r="F3638" t="s">
        <v>4117</v>
      </c>
      <c r="G3638">
        <v>790</v>
      </c>
      <c r="H3638">
        <v>99502.36</v>
      </c>
      <c r="I3638">
        <v>153.79</v>
      </c>
      <c r="J3638">
        <v>1979</v>
      </c>
      <c r="K3638">
        <v>236584.30999999997</v>
      </c>
      <c r="L3638">
        <v>119.55</v>
      </c>
      <c r="M3638">
        <v>2769</v>
      </c>
      <c r="N3638">
        <v>336086.67</v>
      </c>
      <c r="O3638">
        <v>127.98</v>
      </c>
    </row>
    <row r="3639" spans="1:15" x14ac:dyDescent="0.35">
      <c r="A3639" t="s">
        <v>4087</v>
      </c>
      <c r="B3639" t="s">
        <v>4088</v>
      </c>
      <c r="C3639" t="s">
        <v>1477</v>
      </c>
      <c r="D3639" t="s">
        <v>334</v>
      </c>
      <c r="E3639" t="s">
        <v>308</v>
      </c>
      <c r="F3639" t="s">
        <v>4118</v>
      </c>
      <c r="G3639">
        <v>8</v>
      </c>
      <c r="H3639">
        <v>0</v>
      </c>
      <c r="I3639">
        <v>0</v>
      </c>
      <c r="J3639">
        <v>0</v>
      </c>
      <c r="K3639">
        <v>0</v>
      </c>
      <c r="L3639">
        <v>0</v>
      </c>
      <c r="M3639">
        <v>8</v>
      </c>
      <c r="N3639">
        <v>0</v>
      </c>
      <c r="O3639">
        <v>0</v>
      </c>
    </row>
    <row r="3640" spans="1:15" x14ac:dyDescent="0.35">
      <c r="A3640" t="s">
        <v>4087</v>
      </c>
      <c r="B3640" t="s">
        <v>4088</v>
      </c>
      <c r="C3640" t="s">
        <v>1477</v>
      </c>
      <c r="D3640" t="s">
        <v>337</v>
      </c>
      <c r="E3640" t="s">
        <v>337</v>
      </c>
      <c r="F3640" t="s">
        <v>4119</v>
      </c>
      <c r="G3640">
        <v>229</v>
      </c>
      <c r="J3640">
        <v>12</v>
      </c>
      <c r="M3640">
        <v>241</v>
      </c>
    </row>
    <row r="3641" spans="1:15" x14ac:dyDescent="0.35">
      <c r="A3641" t="s">
        <v>4087</v>
      </c>
      <c r="B3641" t="s">
        <v>4088</v>
      </c>
      <c r="C3641" t="s">
        <v>1477</v>
      </c>
      <c r="D3641" t="s">
        <v>339</v>
      </c>
      <c r="E3641" t="s">
        <v>294</v>
      </c>
      <c r="F3641" t="s">
        <v>4120</v>
      </c>
      <c r="G3641">
        <v>93</v>
      </c>
      <c r="H3641">
        <v>12231.98</v>
      </c>
      <c r="I3641">
        <v>131.53</v>
      </c>
      <c r="J3641">
        <v>337</v>
      </c>
      <c r="K3641">
        <v>34545.870000000003</v>
      </c>
      <c r="L3641">
        <v>102.51</v>
      </c>
      <c r="M3641">
        <v>430</v>
      </c>
      <c r="N3641">
        <v>46777.850000000006</v>
      </c>
      <c r="O3641">
        <v>108.79</v>
      </c>
    </row>
    <row r="3642" spans="1:15" x14ac:dyDescent="0.35">
      <c r="A3642" t="s">
        <v>4087</v>
      </c>
      <c r="B3642" t="s">
        <v>4088</v>
      </c>
      <c r="C3642" t="s">
        <v>1477</v>
      </c>
      <c r="D3642" t="s">
        <v>339</v>
      </c>
      <c r="E3642" t="s">
        <v>296</v>
      </c>
      <c r="F3642" t="s">
        <v>4121</v>
      </c>
      <c r="G3642">
        <v>3</v>
      </c>
      <c r="H3642">
        <v>415.07000000000005</v>
      </c>
      <c r="I3642">
        <v>138.36000000000001</v>
      </c>
      <c r="J3642">
        <v>28</v>
      </c>
      <c r="K3642">
        <v>3575.6</v>
      </c>
      <c r="L3642">
        <v>127.7</v>
      </c>
      <c r="M3642">
        <v>31</v>
      </c>
      <c r="N3642">
        <v>3990.67</v>
      </c>
      <c r="O3642">
        <v>128.72999999999999</v>
      </c>
    </row>
    <row r="3643" spans="1:15" x14ac:dyDescent="0.35">
      <c r="A3643" t="s">
        <v>4087</v>
      </c>
      <c r="B3643" t="s">
        <v>4088</v>
      </c>
      <c r="C3643" t="s">
        <v>1477</v>
      </c>
      <c r="D3643" t="s">
        <v>339</v>
      </c>
      <c r="E3643" t="s">
        <v>298</v>
      </c>
      <c r="F3643" t="s">
        <v>4122</v>
      </c>
      <c r="G3643">
        <v>0</v>
      </c>
      <c r="H3643">
        <v>0</v>
      </c>
      <c r="I3643">
        <v>0</v>
      </c>
      <c r="J3643">
        <v>0</v>
      </c>
      <c r="K3643">
        <v>0</v>
      </c>
      <c r="L3643">
        <v>0</v>
      </c>
      <c r="M3643">
        <v>0</v>
      </c>
      <c r="N3643">
        <v>0</v>
      </c>
      <c r="O3643">
        <v>0</v>
      </c>
    </row>
    <row r="3644" spans="1:15" x14ac:dyDescent="0.35">
      <c r="A3644" t="s">
        <v>4087</v>
      </c>
      <c r="B3644" t="s">
        <v>4088</v>
      </c>
      <c r="C3644" t="s">
        <v>1477</v>
      </c>
      <c r="D3644" t="s">
        <v>339</v>
      </c>
      <c r="E3644" t="s">
        <v>300</v>
      </c>
      <c r="F3644" t="s">
        <v>4123</v>
      </c>
      <c r="G3644">
        <v>0</v>
      </c>
      <c r="H3644">
        <v>0</v>
      </c>
      <c r="I3644">
        <v>0</v>
      </c>
      <c r="J3644">
        <v>0</v>
      </c>
      <c r="K3644">
        <v>0</v>
      </c>
      <c r="L3644">
        <v>0</v>
      </c>
      <c r="M3644">
        <v>0</v>
      </c>
      <c r="N3644">
        <v>0</v>
      </c>
      <c r="O3644">
        <v>0</v>
      </c>
    </row>
    <row r="3645" spans="1:15" x14ac:dyDescent="0.35">
      <c r="A3645" t="s">
        <v>4087</v>
      </c>
      <c r="B3645" t="s">
        <v>4088</v>
      </c>
      <c r="C3645" t="s">
        <v>1477</v>
      </c>
      <c r="D3645" t="s">
        <v>339</v>
      </c>
      <c r="E3645" t="s">
        <v>306</v>
      </c>
      <c r="F3645" t="s">
        <v>4124</v>
      </c>
      <c r="G3645">
        <v>68</v>
      </c>
      <c r="H3645">
        <v>6185.97</v>
      </c>
      <c r="I3645">
        <v>90.97</v>
      </c>
      <c r="J3645">
        <v>27</v>
      </c>
      <c r="K3645">
        <v>2262.6</v>
      </c>
      <c r="L3645">
        <v>83.8</v>
      </c>
      <c r="M3645">
        <v>95</v>
      </c>
      <c r="N3645">
        <v>8448.57</v>
      </c>
      <c r="O3645">
        <v>88.93</v>
      </c>
    </row>
    <row r="3646" spans="1:15" x14ac:dyDescent="0.35">
      <c r="A3646" t="s">
        <v>4087</v>
      </c>
      <c r="B3646" t="s">
        <v>4088</v>
      </c>
      <c r="C3646" t="s">
        <v>1477</v>
      </c>
      <c r="D3646" t="s">
        <v>339</v>
      </c>
      <c r="E3646" t="s">
        <v>308</v>
      </c>
      <c r="F3646" t="s">
        <v>4125</v>
      </c>
      <c r="G3646">
        <v>60</v>
      </c>
      <c r="H3646">
        <v>8712.7000000000007</v>
      </c>
      <c r="I3646">
        <v>145.21</v>
      </c>
      <c r="J3646">
        <v>0</v>
      </c>
      <c r="K3646">
        <v>0</v>
      </c>
      <c r="L3646">
        <v>0</v>
      </c>
      <c r="M3646">
        <v>60</v>
      </c>
      <c r="N3646">
        <v>8712.7000000000007</v>
      </c>
      <c r="O3646">
        <v>145.21</v>
      </c>
    </row>
    <row r="3647" spans="1:15" x14ac:dyDescent="0.35">
      <c r="A3647" t="s">
        <v>4087</v>
      </c>
      <c r="B3647" t="s">
        <v>4088</v>
      </c>
      <c r="C3647" t="s">
        <v>1477</v>
      </c>
      <c r="D3647" t="s">
        <v>339</v>
      </c>
      <c r="E3647" t="s">
        <v>310</v>
      </c>
      <c r="F3647" t="s">
        <v>4126</v>
      </c>
      <c r="G3647">
        <v>224</v>
      </c>
      <c r="H3647">
        <v>27545.72</v>
      </c>
      <c r="I3647">
        <v>122.97</v>
      </c>
      <c r="J3647">
        <v>392</v>
      </c>
      <c r="K3647">
        <v>40384.07</v>
      </c>
      <c r="L3647">
        <v>103.02</v>
      </c>
      <c r="M3647">
        <v>616</v>
      </c>
      <c r="N3647">
        <v>67929.790000000008</v>
      </c>
      <c r="O3647">
        <v>110.28</v>
      </c>
    </row>
    <row r="3648" spans="1:15" x14ac:dyDescent="0.35">
      <c r="A3648" t="s">
        <v>4087</v>
      </c>
      <c r="B3648" t="s">
        <v>4088</v>
      </c>
      <c r="C3648" t="s">
        <v>1477</v>
      </c>
      <c r="D3648" t="s">
        <v>339</v>
      </c>
      <c r="E3648" t="s">
        <v>312</v>
      </c>
      <c r="F3648" t="s">
        <v>4127</v>
      </c>
      <c r="G3648">
        <v>164</v>
      </c>
      <c r="H3648">
        <v>18833.02</v>
      </c>
      <c r="I3648">
        <v>114.84</v>
      </c>
      <c r="J3648">
        <v>392</v>
      </c>
      <c r="K3648">
        <v>40384.07</v>
      </c>
      <c r="L3648">
        <v>103.02</v>
      </c>
      <c r="M3648">
        <v>556</v>
      </c>
      <c r="N3648">
        <v>59217.09</v>
      </c>
      <c r="O3648">
        <v>106.51</v>
      </c>
    </row>
    <row r="3649" spans="1:15" x14ac:dyDescent="0.35">
      <c r="A3649" t="s">
        <v>4087</v>
      </c>
      <c r="B3649" t="s">
        <v>4088</v>
      </c>
      <c r="C3649" t="s">
        <v>1477</v>
      </c>
      <c r="D3649" t="s">
        <v>348</v>
      </c>
      <c r="E3649" t="s">
        <v>349</v>
      </c>
      <c r="F3649" t="s">
        <v>4128</v>
      </c>
      <c r="G3649">
        <v>264</v>
      </c>
      <c r="H3649">
        <v>27545.72</v>
      </c>
      <c r="I3649">
        <v>122.97</v>
      </c>
      <c r="J3649">
        <v>396</v>
      </c>
      <c r="K3649">
        <v>41108.629999999997</v>
      </c>
      <c r="L3649">
        <v>103.81</v>
      </c>
      <c r="M3649">
        <v>660</v>
      </c>
      <c r="N3649">
        <v>68654.350000000006</v>
      </c>
      <c r="O3649">
        <v>110.73</v>
      </c>
    </row>
    <row r="3650" spans="1:15" x14ac:dyDescent="0.35">
      <c r="A3650" t="s">
        <v>4129</v>
      </c>
      <c r="B3650" t="s">
        <v>4130</v>
      </c>
      <c r="C3650" t="s">
        <v>1477</v>
      </c>
      <c r="D3650" t="s">
        <v>293</v>
      </c>
      <c r="E3650" t="s">
        <v>294</v>
      </c>
      <c r="F3650" t="s">
        <v>4131</v>
      </c>
      <c r="G3650">
        <v>11</v>
      </c>
      <c r="H3650">
        <v>1567.02</v>
      </c>
      <c r="I3650">
        <v>142.46</v>
      </c>
      <c r="J3650">
        <v>0</v>
      </c>
      <c r="K3650">
        <v>0</v>
      </c>
      <c r="L3650">
        <v>0</v>
      </c>
      <c r="M3650">
        <v>11</v>
      </c>
      <c r="N3650">
        <v>1567.02</v>
      </c>
      <c r="O3650">
        <v>142.46</v>
      </c>
    </row>
    <row r="3651" spans="1:15" x14ac:dyDescent="0.35">
      <c r="A3651" t="s">
        <v>4129</v>
      </c>
      <c r="B3651" t="s">
        <v>4130</v>
      </c>
      <c r="C3651" t="s">
        <v>1477</v>
      </c>
      <c r="D3651" t="s">
        <v>293</v>
      </c>
      <c r="E3651" t="s">
        <v>296</v>
      </c>
      <c r="F3651" t="s">
        <v>4132</v>
      </c>
      <c r="G3651">
        <v>45</v>
      </c>
      <c r="H3651">
        <v>8205.94</v>
      </c>
      <c r="I3651">
        <v>182.35</v>
      </c>
      <c r="J3651">
        <v>15</v>
      </c>
      <c r="K3651">
        <v>3317.1</v>
      </c>
      <c r="L3651">
        <v>221.14</v>
      </c>
      <c r="M3651">
        <v>60</v>
      </c>
      <c r="N3651">
        <v>11523.04</v>
      </c>
      <c r="O3651">
        <v>192.05</v>
      </c>
    </row>
    <row r="3652" spans="1:15" x14ac:dyDescent="0.35">
      <c r="A3652" t="s">
        <v>4129</v>
      </c>
      <c r="B3652" t="s">
        <v>4130</v>
      </c>
      <c r="C3652" t="s">
        <v>1477</v>
      </c>
      <c r="D3652" t="s">
        <v>293</v>
      </c>
      <c r="E3652" t="s">
        <v>298</v>
      </c>
      <c r="F3652" t="s">
        <v>4133</v>
      </c>
      <c r="G3652">
        <v>20</v>
      </c>
      <c r="H3652">
        <v>4197.24</v>
      </c>
      <c r="I3652">
        <v>209.86</v>
      </c>
      <c r="J3652">
        <v>3</v>
      </c>
      <c r="K3652">
        <v>781.83</v>
      </c>
      <c r="L3652">
        <v>260.61</v>
      </c>
      <c r="M3652">
        <v>23</v>
      </c>
      <c r="N3652">
        <v>4979.07</v>
      </c>
      <c r="O3652">
        <v>216.48</v>
      </c>
    </row>
    <row r="3653" spans="1:15" x14ac:dyDescent="0.35">
      <c r="A3653" t="s">
        <v>4129</v>
      </c>
      <c r="B3653" t="s">
        <v>4130</v>
      </c>
      <c r="C3653" t="s">
        <v>1477</v>
      </c>
      <c r="D3653" t="s">
        <v>293</v>
      </c>
      <c r="E3653" t="s">
        <v>300</v>
      </c>
      <c r="F3653" t="s">
        <v>4134</v>
      </c>
      <c r="G3653">
        <v>1</v>
      </c>
      <c r="H3653">
        <v>243.87</v>
      </c>
      <c r="I3653">
        <v>243.87</v>
      </c>
      <c r="J3653">
        <v>0</v>
      </c>
      <c r="K3653">
        <v>0</v>
      </c>
      <c r="L3653">
        <v>0</v>
      </c>
      <c r="M3653">
        <v>1</v>
      </c>
      <c r="N3653">
        <v>243.87</v>
      </c>
      <c r="O3653">
        <v>243.87</v>
      </c>
    </row>
    <row r="3654" spans="1:15" x14ac:dyDescent="0.35">
      <c r="A3654" t="s">
        <v>4129</v>
      </c>
      <c r="B3654" t="s">
        <v>4130</v>
      </c>
      <c r="C3654" t="s">
        <v>1477</v>
      </c>
      <c r="D3654" t="s">
        <v>293</v>
      </c>
      <c r="E3654" t="s">
        <v>302</v>
      </c>
      <c r="F3654" t="s">
        <v>4135</v>
      </c>
      <c r="G3654">
        <v>0</v>
      </c>
      <c r="H3654">
        <v>0</v>
      </c>
      <c r="I3654">
        <v>0</v>
      </c>
      <c r="J3654">
        <v>0</v>
      </c>
      <c r="K3654">
        <v>0</v>
      </c>
      <c r="L3654">
        <v>0</v>
      </c>
      <c r="M3654">
        <v>0</v>
      </c>
      <c r="N3654">
        <v>0</v>
      </c>
      <c r="O3654">
        <v>0</v>
      </c>
    </row>
    <row r="3655" spans="1:15" x14ac:dyDescent="0.35">
      <c r="A3655" t="s">
        <v>4129</v>
      </c>
      <c r="B3655" t="s">
        <v>4130</v>
      </c>
      <c r="C3655" t="s">
        <v>1477</v>
      </c>
      <c r="D3655" t="s">
        <v>293</v>
      </c>
      <c r="E3655" t="s">
        <v>304</v>
      </c>
      <c r="F3655" t="s">
        <v>4136</v>
      </c>
      <c r="G3655">
        <v>0</v>
      </c>
      <c r="H3655">
        <v>0</v>
      </c>
      <c r="I3655">
        <v>0</v>
      </c>
      <c r="J3655">
        <v>0</v>
      </c>
      <c r="K3655">
        <v>0</v>
      </c>
      <c r="L3655">
        <v>0</v>
      </c>
      <c r="M3655">
        <v>0</v>
      </c>
      <c r="N3655">
        <v>0</v>
      </c>
      <c r="O3655">
        <v>0</v>
      </c>
    </row>
    <row r="3656" spans="1:15" x14ac:dyDescent="0.35">
      <c r="A3656" t="s">
        <v>4129</v>
      </c>
      <c r="B3656" t="s">
        <v>4130</v>
      </c>
      <c r="C3656" t="s">
        <v>1477</v>
      </c>
      <c r="D3656" t="s">
        <v>293</v>
      </c>
      <c r="E3656" t="s">
        <v>306</v>
      </c>
      <c r="F3656" t="s">
        <v>4137</v>
      </c>
      <c r="G3656">
        <v>0</v>
      </c>
      <c r="H3656">
        <v>0</v>
      </c>
      <c r="I3656">
        <v>0</v>
      </c>
      <c r="J3656">
        <v>0</v>
      </c>
      <c r="K3656">
        <v>0</v>
      </c>
      <c r="L3656">
        <v>0</v>
      </c>
      <c r="M3656">
        <v>0</v>
      </c>
      <c r="N3656">
        <v>0</v>
      </c>
      <c r="O3656">
        <v>0</v>
      </c>
    </row>
    <row r="3657" spans="1:15" x14ac:dyDescent="0.35">
      <c r="A3657" t="s">
        <v>4129</v>
      </c>
      <c r="B3657" t="s">
        <v>4130</v>
      </c>
      <c r="C3657" t="s">
        <v>1477</v>
      </c>
      <c r="D3657" t="s">
        <v>293</v>
      </c>
      <c r="E3657" t="s">
        <v>308</v>
      </c>
      <c r="F3657" t="s">
        <v>4138</v>
      </c>
      <c r="G3657">
        <v>0</v>
      </c>
      <c r="H3657">
        <v>0</v>
      </c>
      <c r="I3657">
        <v>0</v>
      </c>
      <c r="J3657">
        <v>0</v>
      </c>
      <c r="K3657">
        <v>0</v>
      </c>
      <c r="L3657">
        <v>0</v>
      </c>
      <c r="M3657">
        <v>0</v>
      </c>
      <c r="N3657">
        <v>0</v>
      </c>
      <c r="O3657">
        <v>0</v>
      </c>
    </row>
    <row r="3658" spans="1:15" x14ac:dyDescent="0.35">
      <c r="A3658" t="s">
        <v>4129</v>
      </c>
      <c r="B3658" t="s">
        <v>4130</v>
      </c>
      <c r="C3658" t="s">
        <v>1477</v>
      </c>
      <c r="D3658" t="s">
        <v>293</v>
      </c>
      <c r="E3658" t="s">
        <v>310</v>
      </c>
      <c r="F3658" t="s">
        <v>4139</v>
      </c>
      <c r="G3658">
        <v>77</v>
      </c>
      <c r="H3658">
        <v>14214.070000000002</v>
      </c>
      <c r="I3658">
        <v>184.6</v>
      </c>
      <c r="J3658">
        <v>18</v>
      </c>
      <c r="K3658">
        <v>4098.93</v>
      </c>
      <c r="L3658">
        <v>227.72</v>
      </c>
      <c r="M3658">
        <v>95</v>
      </c>
      <c r="N3658">
        <v>18313</v>
      </c>
      <c r="O3658">
        <v>192.77</v>
      </c>
    </row>
    <row r="3659" spans="1:15" x14ac:dyDescent="0.35">
      <c r="A3659" t="s">
        <v>4129</v>
      </c>
      <c r="B3659" t="s">
        <v>4130</v>
      </c>
      <c r="C3659" t="s">
        <v>1477</v>
      </c>
      <c r="D3659" t="s">
        <v>293</v>
      </c>
      <c r="E3659" t="s">
        <v>312</v>
      </c>
      <c r="F3659" t="s">
        <v>4140</v>
      </c>
      <c r="G3659">
        <v>77</v>
      </c>
      <c r="H3659">
        <v>14214.070000000002</v>
      </c>
      <c r="I3659">
        <v>184.6</v>
      </c>
      <c r="J3659">
        <v>18</v>
      </c>
      <c r="K3659">
        <v>4098.93</v>
      </c>
      <c r="L3659">
        <v>227.72</v>
      </c>
      <c r="M3659">
        <v>95</v>
      </c>
      <c r="N3659">
        <v>18313</v>
      </c>
      <c r="O3659">
        <v>192.77</v>
      </c>
    </row>
    <row r="3660" spans="1:15" x14ac:dyDescent="0.35">
      <c r="A3660" t="s">
        <v>4129</v>
      </c>
      <c r="B3660" t="s">
        <v>4130</v>
      </c>
      <c r="C3660" t="s">
        <v>1477</v>
      </c>
      <c r="D3660" t="s">
        <v>314</v>
      </c>
      <c r="E3660" t="s">
        <v>294</v>
      </c>
      <c r="F3660" t="s">
        <v>4141</v>
      </c>
      <c r="G3660">
        <v>0</v>
      </c>
      <c r="H3660">
        <v>0</v>
      </c>
      <c r="I3660">
        <v>0</v>
      </c>
      <c r="J3660">
        <v>0</v>
      </c>
      <c r="K3660">
        <v>0</v>
      </c>
      <c r="L3660">
        <v>0</v>
      </c>
      <c r="M3660">
        <v>0</v>
      </c>
      <c r="N3660">
        <v>0</v>
      </c>
      <c r="O3660">
        <v>0</v>
      </c>
    </row>
    <row r="3661" spans="1:15" x14ac:dyDescent="0.35">
      <c r="A3661" t="s">
        <v>4129</v>
      </c>
      <c r="B3661" t="s">
        <v>4130</v>
      </c>
      <c r="C3661" t="s">
        <v>1477</v>
      </c>
      <c r="D3661" t="s">
        <v>314</v>
      </c>
      <c r="E3661" t="s">
        <v>296</v>
      </c>
      <c r="F3661" t="s">
        <v>4142</v>
      </c>
      <c r="G3661">
        <v>0</v>
      </c>
      <c r="H3661">
        <v>0</v>
      </c>
      <c r="I3661">
        <v>0</v>
      </c>
      <c r="J3661">
        <v>0</v>
      </c>
      <c r="K3661">
        <v>0</v>
      </c>
      <c r="L3661">
        <v>0</v>
      </c>
      <c r="M3661">
        <v>0</v>
      </c>
      <c r="N3661">
        <v>0</v>
      </c>
      <c r="O3661">
        <v>0</v>
      </c>
    </row>
    <row r="3662" spans="1:15" x14ac:dyDescent="0.35">
      <c r="A3662" t="s">
        <v>4129</v>
      </c>
      <c r="B3662" t="s">
        <v>4130</v>
      </c>
      <c r="C3662" t="s">
        <v>1477</v>
      </c>
      <c r="D3662" t="s">
        <v>314</v>
      </c>
      <c r="E3662" t="s">
        <v>298</v>
      </c>
      <c r="F3662" t="s">
        <v>4143</v>
      </c>
      <c r="G3662">
        <v>0</v>
      </c>
      <c r="H3662">
        <v>0</v>
      </c>
      <c r="I3662">
        <v>0</v>
      </c>
      <c r="J3662">
        <v>0</v>
      </c>
      <c r="K3662">
        <v>0</v>
      </c>
      <c r="L3662">
        <v>0</v>
      </c>
      <c r="M3662">
        <v>0</v>
      </c>
      <c r="N3662">
        <v>0</v>
      </c>
      <c r="O3662">
        <v>0</v>
      </c>
    </row>
    <row r="3663" spans="1:15" x14ac:dyDescent="0.35">
      <c r="A3663" t="s">
        <v>4129</v>
      </c>
      <c r="B3663" t="s">
        <v>4130</v>
      </c>
      <c r="C3663" t="s">
        <v>1477</v>
      </c>
      <c r="D3663" t="s">
        <v>314</v>
      </c>
      <c r="E3663" t="s">
        <v>300</v>
      </c>
      <c r="F3663" t="s">
        <v>4144</v>
      </c>
      <c r="G3663">
        <v>0</v>
      </c>
      <c r="H3663">
        <v>0</v>
      </c>
      <c r="I3663">
        <v>0</v>
      </c>
      <c r="J3663">
        <v>0</v>
      </c>
      <c r="K3663">
        <v>0</v>
      </c>
      <c r="L3663">
        <v>0</v>
      </c>
      <c r="M3663">
        <v>0</v>
      </c>
      <c r="N3663">
        <v>0</v>
      </c>
      <c r="O3663">
        <v>0</v>
      </c>
    </row>
    <row r="3664" spans="1:15" x14ac:dyDescent="0.35">
      <c r="A3664" t="s">
        <v>4129</v>
      </c>
      <c r="B3664" t="s">
        <v>4130</v>
      </c>
      <c r="C3664" t="s">
        <v>1477</v>
      </c>
      <c r="D3664" t="s">
        <v>314</v>
      </c>
      <c r="E3664" t="s">
        <v>306</v>
      </c>
      <c r="F3664" t="s">
        <v>4145</v>
      </c>
      <c r="G3664">
        <v>0</v>
      </c>
      <c r="H3664">
        <v>0</v>
      </c>
      <c r="I3664">
        <v>0</v>
      </c>
      <c r="J3664">
        <v>0</v>
      </c>
      <c r="K3664">
        <v>0</v>
      </c>
      <c r="L3664">
        <v>0</v>
      </c>
      <c r="M3664">
        <v>0</v>
      </c>
      <c r="N3664">
        <v>0</v>
      </c>
      <c r="O3664">
        <v>0</v>
      </c>
    </row>
    <row r="3665" spans="1:15" x14ac:dyDescent="0.35">
      <c r="A3665" t="s">
        <v>4129</v>
      </c>
      <c r="B3665" t="s">
        <v>4130</v>
      </c>
      <c r="C3665" t="s">
        <v>1477</v>
      </c>
      <c r="D3665" t="s">
        <v>314</v>
      </c>
      <c r="E3665" t="s">
        <v>308</v>
      </c>
      <c r="F3665" t="s">
        <v>4146</v>
      </c>
      <c r="G3665">
        <v>0</v>
      </c>
      <c r="H3665">
        <v>0</v>
      </c>
      <c r="I3665">
        <v>0</v>
      </c>
      <c r="J3665">
        <v>0</v>
      </c>
      <c r="K3665">
        <v>0</v>
      </c>
      <c r="L3665">
        <v>0</v>
      </c>
      <c r="M3665">
        <v>0</v>
      </c>
      <c r="N3665">
        <v>0</v>
      </c>
      <c r="O3665">
        <v>0</v>
      </c>
    </row>
    <row r="3666" spans="1:15" x14ac:dyDescent="0.35">
      <c r="A3666" t="s">
        <v>4129</v>
      </c>
      <c r="B3666" t="s">
        <v>4130</v>
      </c>
      <c r="C3666" t="s">
        <v>1477</v>
      </c>
      <c r="D3666" t="s">
        <v>314</v>
      </c>
      <c r="E3666" t="s">
        <v>312</v>
      </c>
      <c r="F3666" t="s">
        <v>4147</v>
      </c>
      <c r="G3666">
        <v>0</v>
      </c>
      <c r="H3666">
        <v>0</v>
      </c>
      <c r="I3666">
        <v>0</v>
      </c>
      <c r="J3666">
        <v>0</v>
      </c>
      <c r="K3666">
        <v>0</v>
      </c>
      <c r="L3666">
        <v>0</v>
      </c>
      <c r="M3666">
        <v>0</v>
      </c>
      <c r="N3666">
        <v>0</v>
      </c>
      <c r="O3666">
        <v>0</v>
      </c>
    </row>
    <row r="3667" spans="1:15" x14ac:dyDescent="0.35">
      <c r="A3667" t="s">
        <v>4129</v>
      </c>
      <c r="B3667" t="s">
        <v>4130</v>
      </c>
      <c r="C3667" t="s">
        <v>1477</v>
      </c>
      <c r="D3667" t="s">
        <v>314</v>
      </c>
      <c r="E3667" t="s">
        <v>310</v>
      </c>
      <c r="F3667" t="s">
        <v>4148</v>
      </c>
      <c r="G3667">
        <v>0</v>
      </c>
      <c r="H3667">
        <v>0</v>
      </c>
      <c r="I3667">
        <v>0</v>
      </c>
      <c r="J3667">
        <v>0</v>
      </c>
      <c r="K3667">
        <v>0</v>
      </c>
      <c r="L3667">
        <v>0</v>
      </c>
      <c r="M3667">
        <v>0</v>
      </c>
      <c r="N3667">
        <v>0</v>
      </c>
      <c r="O3667">
        <v>0</v>
      </c>
    </row>
    <row r="3668" spans="1:15" x14ac:dyDescent="0.35">
      <c r="A3668" t="s">
        <v>4129</v>
      </c>
      <c r="B3668" t="s">
        <v>4130</v>
      </c>
      <c r="C3668" t="s">
        <v>1477</v>
      </c>
      <c r="D3668" t="s">
        <v>323</v>
      </c>
      <c r="E3668" t="s">
        <v>294</v>
      </c>
      <c r="F3668" t="s">
        <v>4149</v>
      </c>
      <c r="G3668">
        <v>34</v>
      </c>
      <c r="H3668">
        <v>3543.18</v>
      </c>
      <c r="I3668">
        <v>104.21</v>
      </c>
      <c r="J3668">
        <v>360</v>
      </c>
      <c r="K3668">
        <v>36028.800000000003</v>
      </c>
      <c r="L3668">
        <v>100.08</v>
      </c>
      <c r="M3668">
        <v>394</v>
      </c>
      <c r="N3668">
        <v>39571.980000000003</v>
      </c>
      <c r="O3668">
        <v>100.44</v>
      </c>
    </row>
    <row r="3669" spans="1:15" x14ac:dyDescent="0.35">
      <c r="A3669" t="s">
        <v>4129</v>
      </c>
      <c r="B3669" t="s">
        <v>4130</v>
      </c>
      <c r="C3669" t="s">
        <v>1477</v>
      </c>
      <c r="D3669" t="s">
        <v>323</v>
      </c>
      <c r="E3669" t="s">
        <v>296</v>
      </c>
      <c r="F3669" t="s">
        <v>4150</v>
      </c>
      <c r="G3669">
        <v>114</v>
      </c>
      <c r="H3669">
        <v>14113.65</v>
      </c>
      <c r="I3669">
        <v>123.8</v>
      </c>
      <c r="J3669">
        <v>337</v>
      </c>
      <c r="K3669">
        <v>38252.870000000003</v>
      </c>
      <c r="L3669">
        <v>113.51</v>
      </c>
      <c r="M3669">
        <v>451</v>
      </c>
      <c r="N3669">
        <v>52366.520000000004</v>
      </c>
      <c r="O3669">
        <v>116.11</v>
      </c>
    </row>
    <row r="3670" spans="1:15" x14ac:dyDescent="0.35">
      <c r="A3670" t="s">
        <v>4129</v>
      </c>
      <c r="B3670" t="s">
        <v>4130</v>
      </c>
      <c r="C3670" t="s">
        <v>1477</v>
      </c>
      <c r="D3670" t="s">
        <v>323</v>
      </c>
      <c r="E3670" t="s">
        <v>298</v>
      </c>
      <c r="F3670" t="s">
        <v>4151</v>
      </c>
      <c r="G3670">
        <v>210</v>
      </c>
      <c r="H3670">
        <v>29437.739999999998</v>
      </c>
      <c r="I3670">
        <v>140.18</v>
      </c>
      <c r="J3670">
        <v>403</v>
      </c>
      <c r="K3670">
        <v>50552.32</v>
      </c>
      <c r="L3670">
        <v>125.44</v>
      </c>
      <c r="M3670">
        <v>613</v>
      </c>
      <c r="N3670">
        <v>79990.06</v>
      </c>
      <c r="O3670">
        <v>130.49</v>
      </c>
    </row>
    <row r="3671" spans="1:15" x14ac:dyDescent="0.35">
      <c r="A3671" t="s">
        <v>4129</v>
      </c>
      <c r="B3671" t="s">
        <v>4130</v>
      </c>
      <c r="C3671" t="s">
        <v>1477</v>
      </c>
      <c r="D3671" t="s">
        <v>323</v>
      </c>
      <c r="E3671" t="s">
        <v>300</v>
      </c>
      <c r="F3671" t="s">
        <v>4152</v>
      </c>
      <c r="G3671">
        <v>5</v>
      </c>
      <c r="H3671">
        <v>722.07999999999993</v>
      </c>
      <c r="I3671">
        <v>144.41999999999999</v>
      </c>
      <c r="J3671">
        <v>13</v>
      </c>
      <c r="K3671">
        <v>1791.27</v>
      </c>
      <c r="L3671">
        <v>137.79</v>
      </c>
      <c r="M3671">
        <v>18</v>
      </c>
      <c r="N3671">
        <v>2513.35</v>
      </c>
      <c r="O3671">
        <v>139.63</v>
      </c>
    </row>
    <row r="3672" spans="1:15" x14ac:dyDescent="0.35">
      <c r="A3672" t="s">
        <v>4129</v>
      </c>
      <c r="B3672" t="s">
        <v>4130</v>
      </c>
      <c r="C3672" t="s">
        <v>1477</v>
      </c>
      <c r="D3672" t="s">
        <v>323</v>
      </c>
      <c r="E3672" t="s">
        <v>302</v>
      </c>
      <c r="F3672" t="s">
        <v>4153</v>
      </c>
      <c r="G3672">
        <v>0</v>
      </c>
      <c r="H3672">
        <v>0</v>
      </c>
      <c r="I3672">
        <v>0</v>
      </c>
      <c r="J3672">
        <v>0</v>
      </c>
      <c r="K3672">
        <v>0</v>
      </c>
      <c r="L3672">
        <v>0</v>
      </c>
      <c r="M3672">
        <v>0</v>
      </c>
      <c r="N3672">
        <v>0</v>
      </c>
      <c r="O3672">
        <v>0</v>
      </c>
    </row>
    <row r="3673" spans="1:15" x14ac:dyDescent="0.35">
      <c r="A3673" t="s">
        <v>4129</v>
      </c>
      <c r="B3673" t="s">
        <v>4130</v>
      </c>
      <c r="C3673" t="s">
        <v>1477</v>
      </c>
      <c r="D3673" t="s">
        <v>323</v>
      </c>
      <c r="E3673" t="s">
        <v>304</v>
      </c>
      <c r="F3673" t="s">
        <v>4154</v>
      </c>
      <c r="G3673">
        <v>0</v>
      </c>
      <c r="H3673">
        <v>0</v>
      </c>
      <c r="I3673">
        <v>0</v>
      </c>
      <c r="J3673">
        <v>0</v>
      </c>
      <c r="K3673">
        <v>0</v>
      </c>
      <c r="L3673">
        <v>0</v>
      </c>
      <c r="M3673">
        <v>0</v>
      </c>
      <c r="N3673">
        <v>0</v>
      </c>
      <c r="O3673">
        <v>0</v>
      </c>
    </row>
    <row r="3674" spans="1:15" x14ac:dyDescent="0.35">
      <c r="A3674" t="s">
        <v>4129</v>
      </c>
      <c r="B3674" t="s">
        <v>4130</v>
      </c>
      <c r="C3674" t="s">
        <v>1477</v>
      </c>
      <c r="D3674" t="s">
        <v>323</v>
      </c>
      <c r="E3674" t="s">
        <v>306</v>
      </c>
      <c r="F3674" t="s">
        <v>4155</v>
      </c>
      <c r="G3674">
        <v>0</v>
      </c>
      <c r="H3674">
        <v>0</v>
      </c>
      <c r="I3674">
        <v>0</v>
      </c>
      <c r="J3674">
        <v>66</v>
      </c>
      <c r="K3674">
        <v>5763.78</v>
      </c>
      <c r="L3674">
        <v>87.33</v>
      </c>
      <c r="M3674">
        <v>66</v>
      </c>
      <c r="N3674">
        <v>5763.78</v>
      </c>
      <c r="O3674">
        <v>87.33</v>
      </c>
    </row>
    <row r="3675" spans="1:15" x14ac:dyDescent="0.35">
      <c r="A3675" t="s">
        <v>4129</v>
      </c>
      <c r="B3675" t="s">
        <v>4130</v>
      </c>
      <c r="C3675" t="s">
        <v>1477</v>
      </c>
      <c r="D3675" t="s">
        <v>323</v>
      </c>
      <c r="E3675" t="s">
        <v>308</v>
      </c>
      <c r="F3675" t="s">
        <v>4156</v>
      </c>
      <c r="G3675">
        <v>1</v>
      </c>
      <c r="H3675">
        <v>149.88</v>
      </c>
      <c r="I3675">
        <v>149.88</v>
      </c>
      <c r="J3675">
        <v>0</v>
      </c>
      <c r="K3675">
        <v>0</v>
      </c>
      <c r="L3675">
        <v>0</v>
      </c>
      <c r="M3675">
        <v>1</v>
      </c>
      <c r="N3675">
        <v>149.88</v>
      </c>
      <c r="O3675">
        <v>149.88</v>
      </c>
    </row>
    <row r="3676" spans="1:15" x14ac:dyDescent="0.35">
      <c r="A3676" t="s">
        <v>4129</v>
      </c>
      <c r="B3676" t="s">
        <v>4130</v>
      </c>
      <c r="C3676" t="s">
        <v>1477</v>
      </c>
      <c r="D3676" t="s">
        <v>323</v>
      </c>
      <c r="E3676" t="s">
        <v>310</v>
      </c>
      <c r="F3676" t="s">
        <v>4157</v>
      </c>
      <c r="G3676">
        <v>364</v>
      </c>
      <c r="H3676">
        <v>47966.529999999992</v>
      </c>
      <c r="I3676">
        <v>131.78</v>
      </c>
      <c r="J3676">
        <v>1179</v>
      </c>
      <c r="K3676">
        <v>132389.04000000004</v>
      </c>
      <c r="L3676">
        <v>112.29</v>
      </c>
      <c r="M3676">
        <v>1543</v>
      </c>
      <c r="N3676">
        <v>180355.57000000004</v>
      </c>
      <c r="O3676">
        <v>116.89</v>
      </c>
    </row>
    <row r="3677" spans="1:15" x14ac:dyDescent="0.35">
      <c r="A3677" t="s">
        <v>4129</v>
      </c>
      <c r="B3677" t="s">
        <v>4130</v>
      </c>
      <c r="C3677" t="s">
        <v>1477</v>
      </c>
      <c r="D3677" t="s">
        <v>323</v>
      </c>
      <c r="E3677" t="s">
        <v>312</v>
      </c>
      <c r="F3677" t="s">
        <v>4158</v>
      </c>
      <c r="G3677">
        <v>363</v>
      </c>
      <c r="H3677">
        <v>47816.649999999994</v>
      </c>
      <c r="I3677">
        <v>131.72999999999999</v>
      </c>
      <c r="J3677">
        <v>1179</v>
      </c>
      <c r="K3677">
        <v>132389.04000000004</v>
      </c>
      <c r="L3677">
        <v>112.29</v>
      </c>
      <c r="M3677">
        <v>1542</v>
      </c>
      <c r="N3677">
        <v>180205.69000000003</v>
      </c>
      <c r="O3677">
        <v>116.86</v>
      </c>
    </row>
    <row r="3678" spans="1:15" x14ac:dyDescent="0.35">
      <c r="A3678" t="s">
        <v>4129</v>
      </c>
      <c r="B3678" t="s">
        <v>4130</v>
      </c>
      <c r="C3678" t="s">
        <v>1477</v>
      </c>
      <c r="D3678" t="s">
        <v>334</v>
      </c>
      <c r="E3678" t="s">
        <v>312</v>
      </c>
      <c r="F3678" t="s">
        <v>4159</v>
      </c>
      <c r="G3678">
        <v>462</v>
      </c>
      <c r="H3678">
        <v>62030.720000000001</v>
      </c>
      <c r="I3678">
        <v>140.97999999999999</v>
      </c>
      <c r="J3678">
        <v>1197</v>
      </c>
      <c r="K3678">
        <v>136487.97000000003</v>
      </c>
      <c r="L3678">
        <v>114.03</v>
      </c>
      <c r="M3678">
        <v>1659</v>
      </c>
      <c r="N3678">
        <v>198518.69000000003</v>
      </c>
      <c r="O3678">
        <v>121.27</v>
      </c>
    </row>
    <row r="3679" spans="1:15" x14ac:dyDescent="0.35">
      <c r="A3679" t="s">
        <v>4129</v>
      </c>
      <c r="B3679" t="s">
        <v>4130</v>
      </c>
      <c r="C3679" t="s">
        <v>1477</v>
      </c>
      <c r="D3679" t="s">
        <v>334</v>
      </c>
      <c r="E3679" t="s">
        <v>308</v>
      </c>
      <c r="F3679" t="s">
        <v>4160</v>
      </c>
      <c r="G3679">
        <v>0</v>
      </c>
      <c r="H3679">
        <v>149.88</v>
      </c>
      <c r="I3679">
        <v>149.88</v>
      </c>
      <c r="J3679">
        <v>0</v>
      </c>
      <c r="K3679">
        <v>0</v>
      </c>
      <c r="L3679">
        <v>0</v>
      </c>
      <c r="M3679">
        <v>0</v>
      </c>
      <c r="N3679">
        <v>149.88</v>
      </c>
      <c r="O3679">
        <v>149.88</v>
      </c>
    </row>
    <row r="3680" spans="1:15" x14ac:dyDescent="0.35">
      <c r="A3680" t="s">
        <v>4129</v>
      </c>
      <c r="B3680" t="s">
        <v>4130</v>
      </c>
      <c r="C3680" t="s">
        <v>1477</v>
      </c>
      <c r="D3680" t="s">
        <v>337</v>
      </c>
      <c r="E3680" t="s">
        <v>337</v>
      </c>
      <c r="F3680" t="s">
        <v>4161</v>
      </c>
      <c r="G3680">
        <v>89</v>
      </c>
      <c r="J3680">
        <v>0</v>
      </c>
      <c r="M3680">
        <v>89</v>
      </c>
    </row>
    <row r="3681" spans="1:15" x14ac:dyDescent="0.35">
      <c r="A3681" t="s">
        <v>4129</v>
      </c>
      <c r="B3681" t="s">
        <v>4130</v>
      </c>
      <c r="C3681" t="s">
        <v>1477</v>
      </c>
      <c r="D3681" t="s">
        <v>339</v>
      </c>
      <c r="E3681" t="s">
        <v>294</v>
      </c>
      <c r="F3681" t="s">
        <v>4162</v>
      </c>
      <c r="G3681">
        <v>45</v>
      </c>
      <c r="H3681">
        <v>5785.8799999999992</v>
      </c>
      <c r="I3681">
        <v>128.58000000000001</v>
      </c>
      <c r="J3681">
        <v>144</v>
      </c>
      <c r="K3681">
        <v>14453.28</v>
      </c>
      <c r="L3681">
        <v>100.37</v>
      </c>
      <c r="M3681">
        <v>189</v>
      </c>
      <c r="N3681">
        <v>20239.16</v>
      </c>
      <c r="O3681">
        <v>107.09</v>
      </c>
    </row>
    <row r="3682" spans="1:15" x14ac:dyDescent="0.35">
      <c r="A3682" t="s">
        <v>4129</v>
      </c>
      <c r="B3682" t="s">
        <v>4130</v>
      </c>
      <c r="C3682" t="s">
        <v>1477</v>
      </c>
      <c r="D3682" t="s">
        <v>339</v>
      </c>
      <c r="E3682" t="s">
        <v>296</v>
      </c>
      <c r="F3682" t="s">
        <v>4163</v>
      </c>
      <c r="G3682">
        <v>1</v>
      </c>
      <c r="H3682">
        <v>136.68</v>
      </c>
      <c r="I3682">
        <v>136.68</v>
      </c>
      <c r="J3682">
        <v>12</v>
      </c>
      <c r="K3682">
        <v>1360.56</v>
      </c>
      <c r="L3682">
        <v>113.38</v>
      </c>
      <c r="M3682">
        <v>13</v>
      </c>
      <c r="N3682">
        <v>1497.24</v>
      </c>
      <c r="O3682">
        <v>115.17</v>
      </c>
    </row>
    <row r="3683" spans="1:15" x14ac:dyDescent="0.35">
      <c r="A3683" t="s">
        <v>4129</v>
      </c>
      <c r="B3683" t="s">
        <v>4130</v>
      </c>
      <c r="C3683" t="s">
        <v>1477</v>
      </c>
      <c r="D3683" t="s">
        <v>339</v>
      </c>
      <c r="E3683" t="s">
        <v>298</v>
      </c>
      <c r="F3683" t="s">
        <v>4164</v>
      </c>
      <c r="G3683">
        <v>1</v>
      </c>
      <c r="H3683">
        <v>125.36</v>
      </c>
      <c r="I3683">
        <v>125.36</v>
      </c>
      <c r="J3683">
        <v>1</v>
      </c>
      <c r="K3683">
        <v>112.3</v>
      </c>
      <c r="L3683">
        <v>112.3</v>
      </c>
      <c r="M3683">
        <v>2</v>
      </c>
      <c r="N3683">
        <v>237.66</v>
      </c>
      <c r="O3683">
        <v>118.83</v>
      </c>
    </row>
    <row r="3684" spans="1:15" x14ac:dyDescent="0.35">
      <c r="A3684" t="s">
        <v>4129</v>
      </c>
      <c r="B3684" t="s">
        <v>4130</v>
      </c>
      <c r="C3684" t="s">
        <v>1477</v>
      </c>
      <c r="D3684" t="s">
        <v>339</v>
      </c>
      <c r="E3684" t="s">
        <v>300</v>
      </c>
      <c r="F3684" t="s">
        <v>4165</v>
      </c>
      <c r="G3684">
        <v>0</v>
      </c>
      <c r="H3684">
        <v>0</v>
      </c>
      <c r="I3684">
        <v>0</v>
      </c>
      <c r="J3684">
        <v>0</v>
      </c>
      <c r="K3684">
        <v>0</v>
      </c>
      <c r="L3684">
        <v>0</v>
      </c>
      <c r="M3684">
        <v>0</v>
      </c>
      <c r="N3684">
        <v>0</v>
      </c>
      <c r="O3684">
        <v>0</v>
      </c>
    </row>
    <row r="3685" spans="1:15" x14ac:dyDescent="0.35">
      <c r="A3685" t="s">
        <v>4129</v>
      </c>
      <c r="B3685" t="s">
        <v>4130</v>
      </c>
      <c r="C3685" t="s">
        <v>1477</v>
      </c>
      <c r="D3685" t="s">
        <v>339</v>
      </c>
      <c r="E3685" t="s">
        <v>306</v>
      </c>
      <c r="F3685" t="s">
        <v>4166</v>
      </c>
      <c r="G3685">
        <v>31</v>
      </c>
      <c r="H3685">
        <v>2794.96</v>
      </c>
      <c r="I3685">
        <v>90.16</v>
      </c>
      <c r="J3685">
        <v>137</v>
      </c>
      <c r="K3685">
        <v>12039.56</v>
      </c>
      <c r="L3685">
        <v>87.88</v>
      </c>
      <c r="M3685">
        <v>168</v>
      </c>
      <c r="N3685">
        <v>14834.52</v>
      </c>
      <c r="O3685">
        <v>88.3</v>
      </c>
    </row>
    <row r="3686" spans="1:15" x14ac:dyDescent="0.35">
      <c r="A3686" t="s">
        <v>4129</v>
      </c>
      <c r="B3686" t="s">
        <v>4130</v>
      </c>
      <c r="C3686" t="s">
        <v>1477</v>
      </c>
      <c r="D3686" t="s">
        <v>339</v>
      </c>
      <c r="E3686" t="s">
        <v>308</v>
      </c>
      <c r="F3686" t="s">
        <v>4167</v>
      </c>
      <c r="G3686">
        <v>27</v>
      </c>
      <c r="H3686">
        <v>3836.52</v>
      </c>
      <c r="I3686">
        <v>142.09</v>
      </c>
      <c r="J3686">
        <v>17</v>
      </c>
      <c r="K3686">
        <v>1346.0600000000002</v>
      </c>
      <c r="L3686">
        <v>79.180000000000007</v>
      </c>
      <c r="M3686">
        <v>44</v>
      </c>
      <c r="N3686">
        <v>5182.58</v>
      </c>
      <c r="O3686">
        <v>117.79</v>
      </c>
    </row>
    <row r="3687" spans="1:15" x14ac:dyDescent="0.35">
      <c r="A3687" t="s">
        <v>4129</v>
      </c>
      <c r="B3687" t="s">
        <v>4130</v>
      </c>
      <c r="C3687" t="s">
        <v>1477</v>
      </c>
      <c r="D3687" t="s">
        <v>339</v>
      </c>
      <c r="E3687" t="s">
        <v>310</v>
      </c>
      <c r="F3687" t="s">
        <v>4168</v>
      </c>
      <c r="G3687">
        <v>105</v>
      </c>
      <c r="H3687">
        <v>12679.4</v>
      </c>
      <c r="I3687">
        <v>120.76</v>
      </c>
      <c r="J3687">
        <v>311</v>
      </c>
      <c r="K3687">
        <v>29311.759999999998</v>
      </c>
      <c r="L3687">
        <v>94.25</v>
      </c>
      <c r="M3687">
        <v>416</v>
      </c>
      <c r="N3687">
        <v>41991.159999999996</v>
      </c>
      <c r="O3687">
        <v>100.94</v>
      </c>
    </row>
    <row r="3688" spans="1:15" x14ac:dyDescent="0.35">
      <c r="A3688" t="s">
        <v>4129</v>
      </c>
      <c r="B3688" t="s">
        <v>4130</v>
      </c>
      <c r="C3688" t="s">
        <v>1477</v>
      </c>
      <c r="D3688" t="s">
        <v>339</v>
      </c>
      <c r="E3688" t="s">
        <v>312</v>
      </c>
      <c r="F3688" t="s">
        <v>4169</v>
      </c>
      <c r="G3688">
        <v>78</v>
      </c>
      <c r="H3688">
        <v>8842.8799999999992</v>
      </c>
      <c r="I3688">
        <v>113.37</v>
      </c>
      <c r="J3688">
        <v>294</v>
      </c>
      <c r="K3688">
        <v>27965.699999999997</v>
      </c>
      <c r="L3688">
        <v>95.12</v>
      </c>
      <c r="M3688">
        <v>372</v>
      </c>
      <c r="N3688">
        <v>36808.579999999994</v>
      </c>
      <c r="O3688">
        <v>98.95</v>
      </c>
    </row>
    <row r="3689" spans="1:15" x14ac:dyDescent="0.35">
      <c r="A3689" t="s">
        <v>4129</v>
      </c>
      <c r="B3689" t="s">
        <v>4130</v>
      </c>
      <c r="C3689" t="s">
        <v>1477</v>
      </c>
      <c r="D3689" t="s">
        <v>348</v>
      </c>
      <c r="E3689" t="s">
        <v>349</v>
      </c>
      <c r="F3689" t="s">
        <v>4170</v>
      </c>
      <c r="G3689">
        <v>121</v>
      </c>
      <c r="H3689">
        <v>12679.4</v>
      </c>
      <c r="I3689">
        <v>120.76</v>
      </c>
      <c r="J3689">
        <v>311</v>
      </c>
      <c r="K3689">
        <v>29311.759999999998</v>
      </c>
      <c r="L3689">
        <v>94.25</v>
      </c>
      <c r="M3689">
        <v>432</v>
      </c>
      <c r="N3689">
        <v>41991.159999999996</v>
      </c>
      <c r="O3689">
        <v>100.94</v>
      </c>
    </row>
    <row r="3690" spans="1:15" x14ac:dyDescent="0.35">
      <c r="A3690" t="s">
        <v>4171</v>
      </c>
      <c r="B3690" t="s">
        <v>4172</v>
      </c>
      <c r="C3690" t="s">
        <v>1477</v>
      </c>
      <c r="D3690" t="s">
        <v>293</v>
      </c>
      <c r="E3690" t="s">
        <v>294</v>
      </c>
      <c r="F3690" t="s">
        <v>4173</v>
      </c>
      <c r="G3690">
        <v>457</v>
      </c>
      <c r="H3690">
        <v>71375.16</v>
      </c>
      <c r="I3690">
        <v>156.18</v>
      </c>
      <c r="J3690">
        <v>0</v>
      </c>
      <c r="K3690">
        <v>0</v>
      </c>
      <c r="L3690">
        <v>0</v>
      </c>
      <c r="M3690">
        <v>457</v>
      </c>
      <c r="N3690">
        <v>71375.16</v>
      </c>
      <c r="O3690">
        <v>156.18</v>
      </c>
    </row>
    <row r="3691" spans="1:15" x14ac:dyDescent="0.35">
      <c r="A3691" t="s">
        <v>4171</v>
      </c>
      <c r="B3691" t="s">
        <v>4172</v>
      </c>
      <c r="C3691" t="s">
        <v>1477</v>
      </c>
      <c r="D3691" t="s">
        <v>293</v>
      </c>
      <c r="E3691" t="s">
        <v>296</v>
      </c>
      <c r="F3691" t="s">
        <v>4174</v>
      </c>
      <c r="G3691">
        <v>657</v>
      </c>
      <c r="H3691">
        <v>122463.25</v>
      </c>
      <c r="I3691">
        <v>186.4</v>
      </c>
      <c r="J3691">
        <v>0</v>
      </c>
      <c r="K3691">
        <v>0</v>
      </c>
      <c r="L3691">
        <v>0</v>
      </c>
      <c r="M3691">
        <v>657</v>
      </c>
      <c r="N3691">
        <v>122463.25</v>
      </c>
      <c r="O3691">
        <v>186.4</v>
      </c>
    </row>
    <row r="3692" spans="1:15" x14ac:dyDescent="0.35">
      <c r="A3692" t="s">
        <v>4171</v>
      </c>
      <c r="B3692" t="s">
        <v>4172</v>
      </c>
      <c r="C3692" t="s">
        <v>1477</v>
      </c>
      <c r="D3692" t="s">
        <v>293</v>
      </c>
      <c r="E3692" t="s">
        <v>298</v>
      </c>
      <c r="F3692" t="s">
        <v>4175</v>
      </c>
      <c r="G3692">
        <v>239</v>
      </c>
      <c r="H3692">
        <v>55212.250000000007</v>
      </c>
      <c r="I3692">
        <v>231.01</v>
      </c>
      <c r="J3692">
        <v>0</v>
      </c>
      <c r="K3692">
        <v>0</v>
      </c>
      <c r="L3692">
        <v>0</v>
      </c>
      <c r="M3692">
        <v>239</v>
      </c>
      <c r="N3692">
        <v>55212.250000000007</v>
      </c>
      <c r="O3692">
        <v>231.01</v>
      </c>
    </row>
    <row r="3693" spans="1:15" x14ac:dyDescent="0.35">
      <c r="A3693" t="s">
        <v>4171</v>
      </c>
      <c r="B3693" t="s">
        <v>4172</v>
      </c>
      <c r="C3693" t="s">
        <v>1477</v>
      </c>
      <c r="D3693" t="s">
        <v>293</v>
      </c>
      <c r="E3693" t="s">
        <v>300</v>
      </c>
      <c r="F3693" t="s">
        <v>4176</v>
      </c>
      <c r="G3693">
        <v>47</v>
      </c>
      <c r="H3693">
        <v>13029.720000000001</v>
      </c>
      <c r="I3693">
        <v>277.23</v>
      </c>
      <c r="J3693">
        <v>0</v>
      </c>
      <c r="K3693">
        <v>0</v>
      </c>
      <c r="L3693">
        <v>0</v>
      </c>
      <c r="M3693">
        <v>47</v>
      </c>
      <c r="N3693">
        <v>13029.720000000001</v>
      </c>
      <c r="O3693">
        <v>277.23</v>
      </c>
    </row>
    <row r="3694" spans="1:15" x14ac:dyDescent="0.35">
      <c r="A3694" t="s">
        <v>4171</v>
      </c>
      <c r="B3694" t="s">
        <v>4172</v>
      </c>
      <c r="C3694" t="s">
        <v>1477</v>
      </c>
      <c r="D3694" t="s">
        <v>293</v>
      </c>
      <c r="E3694" t="s">
        <v>302</v>
      </c>
      <c r="F3694" t="s">
        <v>4177</v>
      </c>
      <c r="G3694">
        <v>1</v>
      </c>
      <c r="H3694">
        <v>324.56</v>
      </c>
      <c r="I3694">
        <v>324.56</v>
      </c>
      <c r="J3694">
        <v>0</v>
      </c>
      <c r="K3694">
        <v>0</v>
      </c>
      <c r="L3694">
        <v>0</v>
      </c>
      <c r="M3694">
        <v>1</v>
      </c>
      <c r="N3694">
        <v>324.56</v>
      </c>
      <c r="O3694">
        <v>324.56</v>
      </c>
    </row>
    <row r="3695" spans="1:15" x14ac:dyDescent="0.35">
      <c r="A3695" t="s">
        <v>4171</v>
      </c>
      <c r="B3695" t="s">
        <v>4172</v>
      </c>
      <c r="C3695" t="s">
        <v>1477</v>
      </c>
      <c r="D3695" t="s">
        <v>293</v>
      </c>
      <c r="E3695" t="s">
        <v>304</v>
      </c>
      <c r="F3695" t="s">
        <v>4178</v>
      </c>
      <c r="G3695">
        <v>0</v>
      </c>
      <c r="H3695">
        <v>0</v>
      </c>
      <c r="I3695">
        <v>0</v>
      </c>
      <c r="J3695">
        <v>0</v>
      </c>
      <c r="K3695">
        <v>0</v>
      </c>
      <c r="L3695">
        <v>0</v>
      </c>
      <c r="M3695">
        <v>0</v>
      </c>
      <c r="N3695">
        <v>0</v>
      </c>
      <c r="O3695">
        <v>0</v>
      </c>
    </row>
    <row r="3696" spans="1:15" x14ac:dyDescent="0.35">
      <c r="A3696" t="s">
        <v>4171</v>
      </c>
      <c r="B3696" t="s">
        <v>4172</v>
      </c>
      <c r="C3696" t="s">
        <v>1477</v>
      </c>
      <c r="D3696" t="s">
        <v>293</v>
      </c>
      <c r="E3696" t="s">
        <v>306</v>
      </c>
      <c r="F3696" t="s">
        <v>4179</v>
      </c>
      <c r="G3696">
        <v>6</v>
      </c>
      <c r="H3696">
        <v>904.07</v>
      </c>
      <c r="I3696">
        <v>150.68</v>
      </c>
      <c r="J3696">
        <v>0</v>
      </c>
      <c r="K3696">
        <v>0</v>
      </c>
      <c r="L3696">
        <v>0</v>
      </c>
      <c r="M3696">
        <v>6</v>
      </c>
      <c r="N3696">
        <v>904.07</v>
      </c>
      <c r="O3696">
        <v>150.68</v>
      </c>
    </row>
    <row r="3697" spans="1:15" x14ac:dyDescent="0.35">
      <c r="A3697" t="s">
        <v>4171</v>
      </c>
      <c r="B3697" t="s">
        <v>4172</v>
      </c>
      <c r="C3697" t="s">
        <v>1477</v>
      </c>
      <c r="D3697" t="s">
        <v>293</v>
      </c>
      <c r="E3697" t="s">
        <v>308</v>
      </c>
      <c r="F3697" t="s">
        <v>4180</v>
      </c>
      <c r="G3697">
        <v>0</v>
      </c>
      <c r="H3697">
        <v>0</v>
      </c>
      <c r="I3697">
        <v>0</v>
      </c>
      <c r="J3697">
        <v>0</v>
      </c>
      <c r="K3697">
        <v>0</v>
      </c>
      <c r="L3697">
        <v>0</v>
      </c>
      <c r="M3697">
        <v>0</v>
      </c>
      <c r="N3697">
        <v>0</v>
      </c>
      <c r="O3697">
        <v>0</v>
      </c>
    </row>
    <row r="3698" spans="1:15" x14ac:dyDescent="0.35">
      <c r="A3698" t="s">
        <v>4171</v>
      </c>
      <c r="B3698" t="s">
        <v>4172</v>
      </c>
      <c r="C3698" t="s">
        <v>1477</v>
      </c>
      <c r="D3698" t="s">
        <v>293</v>
      </c>
      <c r="E3698" t="s">
        <v>310</v>
      </c>
      <c r="F3698" t="s">
        <v>4181</v>
      </c>
      <c r="G3698">
        <v>1407</v>
      </c>
      <c r="H3698">
        <v>263309.01</v>
      </c>
      <c r="I3698">
        <v>187.14</v>
      </c>
      <c r="J3698">
        <v>0</v>
      </c>
      <c r="K3698">
        <v>0</v>
      </c>
      <c r="L3698">
        <v>0</v>
      </c>
      <c r="M3698">
        <v>1407</v>
      </c>
      <c r="N3698">
        <v>263309.01</v>
      </c>
      <c r="O3698">
        <v>187.14</v>
      </c>
    </row>
    <row r="3699" spans="1:15" x14ac:dyDescent="0.35">
      <c r="A3699" t="s">
        <v>4171</v>
      </c>
      <c r="B3699" t="s">
        <v>4172</v>
      </c>
      <c r="C3699" t="s">
        <v>1477</v>
      </c>
      <c r="D3699" t="s">
        <v>293</v>
      </c>
      <c r="E3699" t="s">
        <v>312</v>
      </c>
      <c r="F3699" t="s">
        <v>4182</v>
      </c>
      <c r="G3699">
        <v>1407</v>
      </c>
      <c r="H3699">
        <v>263309.01</v>
      </c>
      <c r="I3699">
        <v>187.14</v>
      </c>
      <c r="J3699">
        <v>0</v>
      </c>
      <c r="K3699">
        <v>0</v>
      </c>
      <c r="L3699">
        <v>0</v>
      </c>
      <c r="M3699">
        <v>1407</v>
      </c>
      <c r="N3699">
        <v>263309.01</v>
      </c>
      <c r="O3699">
        <v>187.14</v>
      </c>
    </row>
    <row r="3700" spans="1:15" x14ac:dyDescent="0.35">
      <c r="A3700" t="s">
        <v>4171</v>
      </c>
      <c r="B3700" t="s">
        <v>4172</v>
      </c>
      <c r="C3700" t="s">
        <v>1477</v>
      </c>
      <c r="D3700" t="s">
        <v>314</v>
      </c>
      <c r="E3700" t="s">
        <v>294</v>
      </c>
      <c r="F3700" t="s">
        <v>4183</v>
      </c>
      <c r="G3700">
        <v>0</v>
      </c>
      <c r="H3700">
        <v>0</v>
      </c>
      <c r="I3700">
        <v>0</v>
      </c>
      <c r="J3700">
        <v>0</v>
      </c>
      <c r="K3700">
        <v>0</v>
      </c>
      <c r="L3700">
        <v>0</v>
      </c>
      <c r="M3700">
        <v>0</v>
      </c>
      <c r="N3700">
        <v>0</v>
      </c>
      <c r="O3700">
        <v>0</v>
      </c>
    </row>
    <row r="3701" spans="1:15" x14ac:dyDescent="0.35">
      <c r="A3701" t="s">
        <v>4171</v>
      </c>
      <c r="B3701" t="s">
        <v>4172</v>
      </c>
      <c r="C3701" t="s">
        <v>1477</v>
      </c>
      <c r="D3701" t="s">
        <v>314</v>
      </c>
      <c r="E3701" t="s">
        <v>296</v>
      </c>
      <c r="F3701" t="s">
        <v>4184</v>
      </c>
      <c r="G3701">
        <v>0</v>
      </c>
      <c r="H3701">
        <v>0</v>
      </c>
      <c r="I3701">
        <v>0</v>
      </c>
      <c r="J3701">
        <v>0</v>
      </c>
      <c r="K3701">
        <v>0</v>
      </c>
      <c r="L3701">
        <v>0</v>
      </c>
      <c r="M3701">
        <v>0</v>
      </c>
      <c r="N3701">
        <v>0</v>
      </c>
      <c r="O3701">
        <v>0</v>
      </c>
    </row>
    <row r="3702" spans="1:15" x14ac:dyDescent="0.35">
      <c r="A3702" t="s">
        <v>4171</v>
      </c>
      <c r="B3702" t="s">
        <v>4172</v>
      </c>
      <c r="C3702" t="s">
        <v>1477</v>
      </c>
      <c r="D3702" t="s">
        <v>314</v>
      </c>
      <c r="E3702" t="s">
        <v>298</v>
      </c>
      <c r="F3702" t="s">
        <v>4185</v>
      </c>
      <c r="G3702">
        <v>0</v>
      </c>
      <c r="H3702">
        <v>0</v>
      </c>
      <c r="I3702">
        <v>0</v>
      </c>
      <c r="J3702">
        <v>0</v>
      </c>
      <c r="K3702">
        <v>0</v>
      </c>
      <c r="L3702">
        <v>0</v>
      </c>
      <c r="M3702">
        <v>0</v>
      </c>
      <c r="N3702">
        <v>0</v>
      </c>
      <c r="O3702">
        <v>0</v>
      </c>
    </row>
    <row r="3703" spans="1:15" x14ac:dyDescent="0.35">
      <c r="A3703" t="s">
        <v>4171</v>
      </c>
      <c r="B3703" t="s">
        <v>4172</v>
      </c>
      <c r="C3703" t="s">
        <v>1477</v>
      </c>
      <c r="D3703" t="s">
        <v>314</v>
      </c>
      <c r="E3703" t="s">
        <v>300</v>
      </c>
      <c r="F3703" t="s">
        <v>4186</v>
      </c>
      <c r="G3703">
        <v>0</v>
      </c>
      <c r="H3703">
        <v>0</v>
      </c>
      <c r="I3703">
        <v>0</v>
      </c>
      <c r="J3703">
        <v>0</v>
      </c>
      <c r="K3703">
        <v>0</v>
      </c>
      <c r="L3703">
        <v>0</v>
      </c>
      <c r="M3703">
        <v>0</v>
      </c>
      <c r="N3703">
        <v>0</v>
      </c>
      <c r="O3703">
        <v>0</v>
      </c>
    </row>
    <row r="3704" spans="1:15" x14ac:dyDescent="0.35">
      <c r="A3704" t="s">
        <v>4171</v>
      </c>
      <c r="B3704" t="s">
        <v>4172</v>
      </c>
      <c r="C3704" t="s">
        <v>1477</v>
      </c>
      <c r="D3704" t="s">
        <v>314</v>
      </c>
      <c r="E3704" t="s">
        <v>306</v>
      </c>
      <c r="F3704" t="s">
        <v>4187</v>
      </c>
      <c r="G3704">
        <v>0</v>
      </c>
      <c r="H3704">
        <v>0</v>
      </c>
      <c r="I3704">
        <v>0</v>
      </c>
      <c r="J3704">
        <v>0</v>
      </c>
      <c r="K3704">
        <v>0</v>
      </c>
      <c r="L3704">
        <v>0</v>
      </c>
      <c r="M3704">
        <v>0</v>
      </c>
      <c r="N3704">
        <v>0</v>
      </c>
      <c r="O3704">
        <v>0</v>
      </c>
    </row>
    <row r="3705" spans="1:15" x14ac:dyDescent="0.35">
      <c r="A3705" t="s">
        <v>4171</v>
      </c>
      <c r="B3705" t="s">
        <v>4172</v>
      </c>
      <c r="C3705" t="s">
        <v>1477</v>
      </c>
      <c r="D3705" t="s">
        <v>314</v>
      </c>
      <c r="E3705" t="s">
        <v>308</v>
      </c>
      <c r="F3705" t="s">
        <v>4188</v>
      </c>
      <c r="G3705">
        <v>0</v>
      </c>
      <c r="H3705">
        <v>0</v>
      </c>
      <c r="I3705">
        <v>0</v>
      </c>
      <c r="J3705">
        <v>0</v>
      </c>
      <c r="K3705">
        <v>0</v>
      </c>
      <c r="L3705">
        <v>0</v>
      </c>
      <c r="M3705">
        <v>0</v>
      </c>
      <c r="N3705">
        <v>0</v>
      </c>
      <c r="O3705">
        <v>0</v>
      </c>
    </row>
    <row r="3706" spans="1:15" x14ac:dyDescent="0.35">
      <c r="A3706" t="s">
        <v>4171</v>
      </c>
      <c r="B3706" t="s">
        <v>4172</v>
      </c>
      <c r="C3706" t="s">
        <v>1477</v>
      </c>
      <c r="D3706" t="s">
        <v>314</v>
      </c>
      <c r="E3706" t="s">
        <v>312</v>
      </c>
      <c r="F3706" t="s">
        <v>4189</v>
      </c>
      <c r="G3706">
        <v>0</v>
      </c>
      <c r="H3706">
        <v>0</v>
      </c>
      <c r="I3706">
        <v>0</v>
      </c>
      <c r="J3706">
        <v>0</v>
      </c>
      <c r="K3706">
        <v>0</v>
      </c>
      <c r="L3706">
        <v>0</v>
      </c>
      <c r="M3706">
        <v>0</v>
      </c>
      <c r="N3706">
        <v>0</v>
      </c>
      <c r="O3706">
        <v>0</v>
      </c>
    </row>
    <row r="3707" spans="1:15" x14ac:dyDescent="0.35">
      <c r="A3707" t="s">
        <v>4171</v>
      </c>
      <c r="B3707" t="s">
        <v>4172</v>
      </c>
      <c r="C3707" t="s">
        <v>1477</v>
      </c>
      <c r="D3707" t="s">
        <v>314</v>
      </c>
      <c r="E3707" t="s">
        <v>310</v>
      </c>
      <c r="F3707" t="s">
        <v>4190</v>
      </c>
      <c r="G3707">
        <v>0</v>
      </c>
      <c r="H3707">
        <v>0</v>
      </c>
      <c r="I3707">
        <v>0</v>
      </c>
      <c r="J3707">
        <v>0</v>
      </c>
      <c r="K3707">
        <v>0</v>
      </c>
      <c r="L3707">
        <v>0</v>
      </c>
      <c r="M3707">
        <v>0</v>
      </c>
      <c r="N3707">
        <v>0</v>
      </c>
      <c r="O3707">
        <v>0</v>
      </c>
    </row>
    <row r="3708" spans="1:15" x14ac:dyDescent="0.35">
      <c r="A3708" t="s">
        <v>4171</v>
      </c>
      <c r="B3708" t="s">
        <v>4172</v>
      </c>
      <c r="C3708" t="s">
        <v>1477</v>
      </c>
      <c r="D3708" t="s">
        <v>323</v>
      </c>
      <c r="E3708" t="s">
        <v>294</v>
      </c>
      <c r="F3708" t="s">
        <v>4191</v>
      </c>
      <c r="G3708">
        <v>2939</v>
      </c>
      <c r="H3708">
        <v>326411.7</v>
      </c>
      <c r="I3708">
        <v>111.06</v>
      </c>
      <c r="J3708">
        <v>8</v>
      </c>
      <c r="K3708">
        <v>1331.52</v>
      </c>
      <c r="L3708">
        <v>166.44</v>
      </c>
      <c r="M3708">
        <v>2947</v>
      </c>
      <c r="N3708">
        <v>327743.22000000003</v>
      </c>
      <c r="O3708">
        <v>111.21</v>
      </c>
    </row>
    <row r="3709" spans="1:15" x14ac:dyDescent="0.35">
      <c r="A3709" t="s">
        <v>4171</v>
      </c>
      <c r="B3709" t="s">
        <v>4172</v>
      </c>
      <c r="C3709" t="s">
        <v>1477</v>
      </c>
      <c r="D3709" t="s">
        <v>323</v>
      </c>
      <c r="E3709" t="s">
        <v>296</v>
      </c>
      <c r="F3709" t="s">
        <v>4192</v>
      </c>
      <c r="G3709">
        <v>2687</v>
      </c>
      <c r="H3709">
        <v>337729.81</v>
      </c>
      <c r="I3709">
        <v>125.69</v>
      </c>
      <c r="J3709">
        <v>11</v>
      </c>
      <c r="K3709">
        <v>2238.94</v>
      </c>
      <c r="L3709">
        <v>203.54</v>
      </c>
      <c r="M3709">
        <v>2698</v>
      </c>
      <c r="N3709">
        <v>339968.75</v>
      </c>
      <c r="O3709">
        <v>126.01</v>
      </c>
    </row>
    <row r="3710" spans="1:15" x14ac:dyDescent="0.35">
      <c r="A3710" t="s">
        <v>4171</v>
      </c>
      <c r="B3710" t="s">
        <v>4172</v>
      </c>
      <c r="C3710" t="s">
        <v>1477</v>
      </c>
      <c r="D3710" t="s">
        <v>323</v>
      </c>
      <c r="E3710" t="s">
        <v>298</v>
      </c>
      <c r="F3710" t="s">
        <v>4193</v>
      </c>
      <c r="G3710">
        <v>2746</v>
      </c>
      <c r="H3710">
        <v>387718.18999999994</v>
      </c>
      <c r="I3710">
        <v>141.19</v>
      </c>
      <c r="J3710">
        <v>44</v>
      </c>
      <c r="K3710">
        <v>9779</v>
      </c>
      <c r="L3710">
        <v>222.25</v>
      </c>
      <c r="M3710">
        <v>2790</v>
      </c>
      <c r="N3710">
        <v>397497.18999999994</v>
      </c>
      <c r="O3710">
        <v>142.47</v>
      </c>
    </row>
    <row r="3711" spans="1:15" x14ac:dyDescent="0.35">
      <c r="A3711" t="s">
        <v>4171</v>
      </c>
      <c r="B3711" t="s">
        <v>4172</v>
      </c>
      <c r="C3711" t="s">
        <v>1477</v>
      </c>
      <c r="D3711" t="s">
        <v>323</v>
      </c>
      <c r="E3711" t="s">
        <v>300</v>
      </c>
      <c r="F3711" t="s">
        <v>4194</v>
      </c>
      <c r="G3711">
        <v>146</v>
      </c>
      <c r="H3711">
        <v>24701.379999999997</v>
      </c>
      <c r="I3711">
        <v>169.19</v>
      </c>
      <c r="J3711">
        <v>12</v>
      </c>
      <c r="K3711">
        <v>3982.68</v>
      </c>
      <c r="L3711">
        <v>331.89</v>
      </c>
      <c r="M3711">
        <v>158</v>
      </c>
      <c r="N3711">
        <v>28684.059999999998</v>
      </c>
      <c r="O3711">
        <v>181.54</v>
      </c>
    </row>
    <row r="3712" spans="1:15" x14ac:dyDescent="0.35">
      <c r="A3712" t="s">
        <v>4171</v>
      </c>
      <c r="B3712" t="s">
        <v>4172</v>
      </c>
      <c r="C3712" t="s">
        <v>1477</v>
      </c>
      <c r="D3712" t="s">
        <v>323</v>
      </c>
      <c r="E3712" t="s">
        <v>302</v>
      </c>
      <c r="F3712" t="s">
        <v>4195</v>
      </c>
      <c r="G3712">
        <v>2</v>
      </c>
      <c r="H3712">
        <v>295.45999999999998</v>
      </c>
      <c r="I3712">
        <v>147.72999999999999</v>
      </c>
      <c r="J3712">
        <v>0</v>
      </c>
      <c r="K3712">
        <v>0</v>
      </c>
      <c r="L3712">
        <v>0</v>
      </c>
      <c r="M3712">
        <v>2</v>
      </c>
      <c r="N3712">
        <v>295.45999999999998</v>
      </c>
      <c r="O3712">
        <v>147.72999999999999</v>
      </c>
    </row>
    <row r="3713" spans="1:15" x14ac:dyDescent="0.35">
      <c r="A3713" t="s">
        <v>4171</v>
      </c>
      <c r="B3713" t="s">
        <v>4172</v>
      </c>
      <c r="C3713" t="s">
        <v>1477</v>
      </c>
      <c r="D3713" t="s">
        <v>323</v>
      </c>
      <c r="E3713" t="s">
        <v>304</v>
      </c>
      <c r="F3713" t="s">
        <v>4196</v>
      </c>
      <c r="G3713">
        <v>0</v>
      </c>
      <c r="H3713">
        <v>0</v>
      </c>
      <c r="I3713">
        <v>0</v>
      </c>
      <c r="J3713">
        <v>0</v>
      </c>
      <c r="K3713">
        <v>0</v>
      </c>
      <c r="L3713">
        <v>0</v>
      </c>
      <c r="M3713">
        <v>0</v>
      </c>
      <c r="N3713">
        <v>0</v>
      </c>
      <c r="O3713">
        <v>0</v>
      </c>
    </row>
    <row r="3714" spans="1:15" x14ac:dyDescent="0.35">
      <c r="A3714" t="s">
        <v>4171</v>
      </c>
      <c r="B3714" t="s">
        <v>4172</v>
      </c>
      <c r="C3714" t="s">
        <v>1477</v>
      </c>
      <c r="D3714" t="s">
        <v>323</v>
      </c>
      <c r="E3714" t="s">
        <v>306</v>
      </c>
      <c r="F3714" t="s">
        <v>4197</v>
      </c>
      <c r="G3714">
        <v>128</v>
      </c>
      <c r="H3714">
        <v>11970.93</v>
      </c>
      <c r="I3714">
        <v>93.52</v>
      </c>
      <c r="J3714">
        <v>0</v>
      </c>
      <c r="K3714">
        <v>0</v>
      </c>
      <c r="L3714">
        <v>0</v>
      </c>
      <c r="M3714">
        <v>128</v>
      </c>
      <c r="N3714">
        <v>11970.93</v>
      </c>
      <c r="O3714">
        <v>93.52</v>
      </c>
    </row>
    <row r="3715" spans="1:15" x14ac:dyDescent="0.35">
      <c r="A3715" t="s">
        <v>4171</v>
      </c>
      <c r="B3715" t="s">
        <v>4172</v>
      </c>
      <c r="C3715" t="s">
        <v>1477</v>
      </c>
      <c r="D3715" t="s">
        <v>323</v>
      </c>
      <c r="E3715" t="s">
        <v>308</v>
      </c>
      <c r="F3715" t="s">
        <v>4198</v>
      </c>
      <c r="G3715">
        <v>0</v>
      </c>
      <c r="H3715">
        <v>0</v>
      </c>
      <c r="I3715">
        <v>0</v>
      </c>
      <c r="J3715">
        <v>0</v>
      </c>
      <c r="K3715">
        <v>0</v>
      </c>
      <c r="L3715">
        <v>0</v>
      </c>
      <c r="M3715">
        <v>0</v>
      </c>
      <c r="N3715">
        <v>0</v>
      </c>
      <c r="O3715">
        <v>0</v>
      </c>
    </row>
    <row r="3716" spans="1:15" x14ac:dyDescent="0.35">
      <c r="A3716" t="s">
        <v>4171</v>
      </c>
      <c r="B3716" t="s">
        <v>4172</v>
      </c>
      <c r="C3716" t="s">
        <v>1477</v>
      </c>
      <c r="D3716" t="s">
        <v>323</v>
      </c>
      <c r="E3716" t="s">
        <v>310</v>
      </c>
      <c r="F3716" t="s">
        <v>4199</v>
      </c>
      <c r="G3716">
        <v>8648</v>
      </c>
      <c r="H3716">
        <v>1088827.4699999997</v>
      </c>
      <c r="I3716">
        <v>125.91</v>
      </c>
      <c r="J3716">
        <v>75</v>
      </c>
      <c r="K3716">
        <v>17332.14</v>
      </c>
      <c r="L3716">
        <v>231.1</v>
      </c>
      <c r="M3716">
        <v>8723</v>
      </c>
      <c r="N3716">
        <v>1106159.6099999996</v>
      </c>
      <c r="O3716">
        <v>126.81</v>
      </c>
    </row>
    <row r="3717" spans="1:15" x14ac:dyDescent="0.35">
      <c r="A3717" t="s">
        <v>4171</v>
      </c>
      <c r="B3717" t="s">
        <v>4172</v>
      </c>
      <c r="C3717" t="s">
        <v>1477</v>
      </c>
      <c r="D3717" t="s">
        <v>323</v>
      </c>
      <c r="E3717" t="s">
        <v>312</v>
      </c>
      <c r="F3717" t="s">
        <v>4200</v>
      </c>
      <c r="G3717">
        <v>8648</v>
      </c>
      <c r="H3717">
        <v>1088827.4699999997</v>
      </c>
      <c r="I3717">
        <v>125.91</v>
      </c>
      <c r="J3717">
        <v>75</v>
      </c>
      <c r="K3717">
        <v>17332.14</v>
      </c>
      <c r="L3717">
        <v>231.1</v>
      </c>
      <c r="M3717">
        <v>8723</v>
      </c>
      <c r="N3717">
        <v>1106159.6099999996</v>
      </c>
      <c r="O3717">
        <v>126.81</v>
      </c>
    </row>
    <row r="3718" spans="1:15" x14ac:dyDescent="0.35">
      <c r="A3718" t="s">
        <v>4171</v>
      </c>
      <c r="B3718" t="s">
        <v>4172</v>
      </c>
      <c r="C3718" t="s">
        <v>1477</v>
      </c>
      <c r="D3718" t="s">
        <v>334</v>
      </c>
      <c r="E3718" t="s">
        <v>312</v>
      </c>
      <c r="F3718" t="s">
        <v>4201</v>
      </c>
      <c r="G3718">
        <v>10193</v>
      </c>
      <c r="H3718">
        <v>1352136.4799999997</v>
      </c>
      <c r="I3718">
        <v>134.47</v>
      </c>
      <c r="J3718">
        <v>75</v>
      </c>
      <c r="K3718">
        <v>17332.14</v>
      </c>
      <c r="L3718">
        <v>231.1</v>
      </c>
      <c r="M3718">
        <v>10268</v>
      </c>
      <c r="N3718">
        <v>1369468.6199999996</v>
      </c>
      <c r="O3718">
        <v>135.19</v>
      </c>
    </row>
    <row r="3719" spans="1:15" x14ac:dyDescent="0.35">
      <c r="A3719" t="s">
        <v>4171</v>
      </c>
      <c r="B3719" t="s">
        <v>4172</v>
      </c>
      <c r="C3719" t="s">
        <v>1477</v>
      </c>
      <c r="D3719" t="s">
        <v>334</v>
      </c>
      <c r="E3719" t="s">
        <v>308</v>
      </c>
      <c r="F3719" t="s">
        <v>4202</v>
      </c>
      <c r="G3719">
        <v>250</v>
      </c>
      <c r="H3719">
        <v>0</v>
      </c>
      <c r="I3719">
        <v>0</v>
      </c>
      <c r="J3719">
        <v>0</v>
      </c>
      <c r="K3719">
        <v>0</v>
      </c>
      <c r="L3719">
        <v>0</v>
      </c>
      <c r="M3719">
        <v>250</v>
      </c>
      <c r="N3719">
        <v>0</v>
      </c>
      <c r="O3719">
        <v>0</v>
      </c>
    </row>
    <row r="3720" spans="1:15" x14ac:dyDescent="0.35">
      <c r="A3720" t="s">
        <v>4171</v>
      </c>
      <c r="B3720" t="s">
        <v>4172</v>
      </c>
      <c r="C3720" t="s">
        <v>1477</v>
      </c>
      <c r="D3720" t="s">
        <v>337</v>
      </c>
      <c r="E3720" t="s">
        <v>337</v>
      </c>
      <c r="F3720" t="s">
        <v>4203</v>
      </c>
      <c r="G3720">
        <v>1177</v>
      </c>
      <c r="J3720">
        <v>0</v>
      </c>
      <c r="M3720">
        <v>1177</v>
      </c>
    </row>
    <row r="3721" spans="1:15" x14ac:dyDescent="0.35">
      <c r="A3721" t="s">
        <v>4171</v>
      </c>
      <c r="B3721" t="s">
        <v>4172</v>
      </c>
      <c r="C3721" t="s">
        <v>1477</v>
      </c>
      <c r="D3721" t="s">
        <v>339</v>
      </c>
      <c r="E3721" t="s">
        <v>294</v>
      </c>
      <c r="F3721" t="s">
        <v>4204</v>
      </c>
      <c r="G3721">
        <v>253</v>
      </c>
      <c r="H3721">
        <v>32314.83</v>
      </c>
      <c r="I3721">
        <v>127.73</v>
      </c>
      <c r="J3721">
        <v>0</v>
      </c>
      <c r="K3721">
        <v>0</v>
      </c>
      <c r="L3721">
        <v>0</v>
      </c>
      <c r="M3721">
        <v>253</v>
      </c>
      <c r="N3721">
        <v>32314.83</v>
      </c>
      <c r="O3721">
        <v>127.73</v>
      </c>
    </row>
    <row r="3722" spans="1:15" x14ac:dyDescent="0.35">
      <c r="A3722" t="s">
        <v>4171</v>
      </c>
      <c r="B3722" t="s">
        <v>4172</v>
      </c>
      <c r="C3722" t="s">
        <v>1477</v>
      </c>
      <c r="D3722" t="s">
        <v>339</v>
      </c>
      <c r="E3722" t="s">
        <v>296</v>
      </c>
      <c r="F3722" t="s">
        <v>4205</v>
      </c>
      <c r="G3722">
        <v>47</v>
      </c>
      <c r="H3722">
        <v>6728.98</v>
      </c>
      <c r="I3722">
        <v>143.16999999999999</v>
      </c>
      <c r="J3722">
        <v>0</v>
      </c>
      <c r="K3722">
        <v>0</v>
      </c>
      <c r="L3722">
        <v>0</v>
      </c>
      <c r="M3722">
        <v>47</v>
      </c>
      <c r="N3722">
        <v>6728.98</v>
      </c>
      <c r="O3722">
        <v>143.16999999999999</v>
      </c>
    </row>
    <row r="3723" spans="1:15" x14ac:dyDescent="0.35">
      <c r="A3723" t="s">
        <v>4171</v>
      </c>
      <c r="B3723" t="s">
        <v>4172</v>
      </c>
      <c r="C3723" t="s">
        <v>1477</v>
      </c>
      <c r="D3723" t="s">
        <v>339</v>
      </c>
      <c r="E3723" t="s">
        <v>298</v>
      </c>
      <c r="F3723" t="s">
        <v>4206</v>
      </c>
      <c r="G3723">
        <v>3</v>
      </c>
      <c r="H3723">
        <v>448.56000000000006</v>
      </c>
      <c r="I3723">
        <v>149.52000000000001</v>
      </c>
      <c r="J3723">
        <v>0</v>
      </c>
      <c r="K3723">
        <v>0</v>
      </c>
      <c r="L3723">
        <v>0</v>
      </c>
      <c r="M3723">
        <v>3</v>
      </c>
      <c r="N3723">
        <v>448.56000000000006</v>
      </c>
      <c r="O3723">
        <v>149.52000000000001</v>
      </c>
    </row>
    <row r="3724" spans="1:15" x14ac:dyDescent="0.35">
      <c r="A3724" t="s">
        <v>4171</v>
      </c>
      <c r="B3724" t="s">
        <v>4172</v>
      </c>
      <c r="C3724" t="s">
        <v>1477</v>
      </c>
      <c r="D3724" t="s">
        <v>339</v>
      </c>
      <c r="E3724" t="s">
        <v>300</v>
      </c>
      <c r="F3724" t="s">
        <v>4207</v>
      </c>
      <c r="G3724">
        <v>0</v>
      </c>
      <c r="H3724">
        <v>0</v>
      </c>
      <c r="I3724">
        <v>0</v>
      </c>
      <c r="J3724">
        <v>0</v>
      </c>
      <c r="K3724">
        <v>0</v>
      </c>
      <c r="L3724">
        <v>0</v>
      </c>
      <c r="M3724">
        <v>0</v>
      </c>
      <c r="N3724">
        <v>0</v>
      </c>
      <c r="O3724">
        <v>0</v>
      </c>
    </row>
    <row r="3725" spans="1:15" x14ac:dyDescent="0.35">
      <c r="A3725" t="s">
        <v>4171</v>
      </c>
      <c r="B3725" t="s">
        <v>4172</v>
      </c>
      <c r="C3725" t="s">
        <v>1477</v>
      </c>
      <c r="D3725" t="s">
        <v>339</v>
      </c>
      <c r="E3725" t="s">
        <v>306</v>
      </c>
      <c r="F3725" t="s">
        <v>4208</v>
      </c>
      <c r="G3725">
        <v>107</v>
      </c>
      <c r="H3725">
        <v>12161.369999999999</v>
      </c>
      <c r="I3725">
        <v>113.66</v>
      </c>
      <c r="J3725">
        <v>0</v>
      </c>
      <c r="K3725">
        <v>0</v>
      </c>
      <c r="L3725">
        <v>0</v>
      </c>
      <c r="M3725">
        <v>107</v>
      </c>
      <c r="N3725">
        <v>12161.369999999999</v>
      </c>
      <c r="O3725">
        <v>113.66</v>
      </c>
    </row>
    <row r="3726" spans="1:15" x14ac:dyDescent="0.35">
      <c r="A3726" t="s">
        <v>4171</v>
      </c>
      <c r="B3726" t="s">
        <v>4172</v>
      </c>
      <c r="C3726" t="s">
        <v>1477</v>
      </c>
      <c r="D3726" t="s">
        <v>339</v>
      </c>
      <c r="E3726" t="s">
        <v>308</v>
      </c>
      <c r="F3726" t="s">
        <v>4209</v>
      </c>
      <c r="G3726">
        <v>79</v>
      </c>
      <c r="H3726">
        <v>10320.14</v>
      </c>
      <c r="I3726">
        <v>130.63</v>
      </c>
      <c r="J3726">
        <v>0</v>
      </c>
      <c r="K3726">
        <v>0</v>
      </c>
      <c r="L3726">
        <v>0</v>
      </c>
      <c r="M3726">
        <v>79</v>
      </c>
      <c r="N3726">
        <v>10320.14</v>
      </c>
      <c r="O3726">
        <v>130.63</v>
      </c>
    </row>
    <row r="3727" spans="1:15" x14ac:dyDescent="0.35">
      <c r="A3727" t="s">
        <v>4171</v>
      </c>
      <c r="B3727" t="s">
        <v>4172</v>
      </c>
      <c r="C3727" t="s">
        <v>1477</v>
      </c>
      <c r="D3727" t="s">
        <v>339</v>
      </c>
      <c r="E3727" t="s">
        <v>310</v>
      </c>
      <c r="F3727" t="s">
        <v>4210</v>
      </c>
      <c r="G3727">
        <v>489</v>
      </c>
      <c r="H3727">
        <v>61973.87999999999</v>
      </c>
      <c r="I3727">
        <v>126.74</v>
      </c>
      <c r="J3727">
        <v>0</v>
      </c>
      <c r="K3727">
        <v>0</v>
      </c>
      <c r="L3727">
        <v>0</v>
      </c>
      <c r="M3727">
        <v>489</v>
      </c>
      <c r="N3727">
        <v>61973.87999999999</v>
      </c>
      <c r="O3727">
        <v>126.74</v>
      </c>
    </row>
    <row r="3728" spans="1:15" x14ac:dyDescent="0.35">
      <c r="A3728" t="s">
        <v>4171</v>
      </c>
      <c r="B3728" t="s">
        <v>4172</v>
      </c>
      <c r="C3728" t="s">
        <v>1477</v>
      </c>
      <c r="D3728" t="s">
        <v>339</v>
      </c>
      <c r="E3728" t="s">
        <v>312</v>
      </c>
      <c r="F3728" t="s">
        <v>4211</v>
      </c>
      <c r="G3728">
        <v>410</v>
      </c>
      <c r="H3728">
        <v>51653.739999999991</v>
      </c>
      <c r="I3728">
        <v>125.98</v>
      </c>
      <c r="J3728">
        <v>0</v>
      </c>
      <c r="K3728">
        <v>0</v>
      </c>
      <c r="L3728">
        <v>0</v>
      </c>
      <c r="M3728">
        <v>410</v>
      </c>
      <c r="N3728">
        <v>51653.739999999991</v>
      </c>
      <c r="O3728">
        <v>125.98</v>
      </c>
    </row>
    <row r="3729" spans="1:15" x14ac:dyDescent="0.35">
      <c r="A3729" t="s">
        <v>4171</v>
      </c>
      <c r="B3729" t="s">
        <v>4172</v>
      </c>
      <c r="C3729" t="s">
        <v>1477</v>
      </c>
      <c r="D3729" t="s">
        <v>348</v>
      </c>
      <c r="E3729" t="s">
        <v>349</v>
      </c>
      <c r="F3729" t="s">
        <v>4212</v>
      </c>
      <c r="G3729">
        <v>630</v>
      </c>
      <c r="H3729">
        <v>61973.87999999999</v>
      </c>
      <c r="I3729">
        <v>126.74</v>
      </c>
      <c r="J3729">
        <v>0</v>
      </c>
      <c r="K3729">
        <v>0</v>
      </c>
      <c r="L3729">
        <v>0</v>
      </c>
      <c r="M3729">
        <v>630</v>
      </c>
      <c r="N3729">
        <v>61973.87999999999</v>
      </c>
      <c r="O3729">
        <v>126.74</v>
      </c>
    </row>
    <row r="3730" spans="1:15" x14ac:dyDescent="0.35">
      <c r="A3730" t="s">
        <v>4213</v>
      </c>
      <c r="B3730" t="s">
        <v>4214</v>
      </c>
      <c r="C3730" t="s">
        <v>1477</v>
      </c>
      <c r="D3730" t="s">
        <v>293</v>
      </c>
      <c r="E3730" t="s">
        <v>294</v>
      </c>
      <c r="F3730" t="s">
        <v>4215</v>
      </c>
      <c r="G3730">
        <v>234</v>
      </c>
      <c r="H3730">
        <v>30520.739999999998</v>
      </c>
      <c r="I3730">
        <v>130.43</v>
      </c>
      <c r="J3730">
        <v>7</v>
      </c>
      <c r="K3730">
        <v>968.87</v>
      </c>
      <c r="L3730">
        <v>138.41</v>
      </c>
      <c r="M3730">
        <v>241</v>
      </c>
      <c r="N3730">
        <v>31489.609999999997</v>
      </c>
      <c r="O3730">
        <v>130.66</v>
      </c>
    </row>
    <row r="3731" spans="1:15" x14ac:dyDescent="0.35">
      <c r="A3731" t="s">
        <v>4213</v>
      </c>
      <c r="B3731" t="s">
        <v>4214</v>
      </c>
      <c r="C3731" t="s">
        <v>1477</v>
      </c>
      <c r="D3731" t="s">
        <v>293</v>
      </c>
      <c r="E3731" t="s">
        <v>296</v>
      </c>
      <c r="F3731" t="s">
        <v>4216</v>
      </c>
      <c r="G3731">
        <v>738</v>
      </c>
      <c r="H3731">
        <v>121916.23</v>
      </c>
      <c r="I3731">
        <v>165.2</v>
      </c>
      <c r="J3731">
        <v>3</v>
      </c>
      <c r="K3731">
        <v>528.18000000000006</v>
      </c>
      <c r="L3731">
        <v>176.06</v>
      </c>
      <c r="M3731">
        <v>741</v>
      </c>
      <c r="N3731">
        <v>122444.40999999999</v>
      </c>
      <c r="O3731">
        <v>165.24</v>
      </c>
    </row>
    <row r="3732" spans="1:15" x14ac:dyDescent="0.35">
      <c r="A3732" t="s">
        <v>4213</v>
      </c>
      <c r="B3732" t="s">
        <v>4214</v>
      </c>
      <c r="C3732" t="s">
        <v>1477</v>
      </c>
      <c r="D3732" t="s">
        <v>293</v>
      </c>
      <c r="E3732" t="s">
        <v>298</v>
      </c>
      <c r="F3732" t="s">
        <v>4217</v>
      </c>
      <c r="G3732">
        <v>417</v>
      </c>
      <c r="H3732">
        <v>83205.53</v>
      </c>
      <c r="I3732">
        <v>199.53</v>
      </c>
      <c r="J3732">
        <v>31</v>
      </c>
      <c r="K3732">
        <v>6654.7699999999995</v>
      </c>
      <c r="L3732">
        <v>214.67</v>
      </c>
      <c r="M3732">
        <v>448</v>
      </c>
      <c r="N3732">
        <v>89860.3</v>
      </c>
      <c r="O3732">
        <v>200.58</v>
      </c>
    </row>
    <row r="3733" spans="1:15" x14ac:dyDescent="0.35">
      <c r="A3733" t="s">
        <v>4213</v>
      </c>
      <c r="B3733" t="s">
        <v>4214</v>
      </c>
      <c r="C3733" t="s">
        <v>1477</v>
      </c>
      <c r="D3733" t="s">
        <v>293</v>
      </c>
      <c r="E3733" t="s">
        <v>300</v>
      </c>
      <c r="F3733" t="s">
        <v>4218</v>
      </c>
      <c r="G3733">
        <v>108</v>
      </c>
      <c r="H3733">
        <v>27837.97</v>
      </c>
      <c r="I3733">
        <v>257.76</v>
      </c>
      <c r="J3733">
        <v>5</v>
      </c>
      <c r="K3733">
        <v>1384.05</v>
      </c>
      <c r="L3733">
        <v>276.81</v>
      </c>
      <c r="M3733">
        <v>113</v>
      </c>
      <c r="N3733">
        <v>29222.02</v>
      </c>
      <c r="O3733">
        <v>258.60000000000002</v>
      </c>
    </row>
    <row r="3734" spans="1:15" x14ac:dyDescent="0.35">
      <c r="A3734" t="s">
        <v>4213</v>
      </c>
      <c r="B3734" t="s">
        <v>4214</v>
      </c>
      <c r="C3734" t="s">
        <v>1477</v>
      </c>
      <c r="D3734" t="s">
        <v>293</v>
      </c>
      <c r="E3734" t="s">
        <v>302</v>
      </c>
      <c r="F3734" t="s">
        <v>4219</v>
      </c>
      <c r="G3734">
        <v>0</v>
      </c>
      <c r="H3734">
        <v>0</v>
      </c>
      <c r="I3734">
        <v>0</v>
      </c>
      <c r="J3734">
        <v>0</v>
      </c>
      <c r="K3734">
        <v>0</v>
      </c>
      <c r="L3734">
        <v>0</v>
      </c>
      <c r="M3734">
        <v>0</v>
      </c>
      <c r="N3734">
        <v>0</v>
      </c>
      <c r="O3734">
        <v>0</v>
      </c>
    </row>
    <row r="3735" spans="1:15" x14ac:dyDescent="0.35">
      <c r="A3735" t="s">
        <v>4213</v>
      </c>
      <c r="B3735" t="s">
        <v>4214</v>
      </c>
      <c r="C3735" t="s">
        <v>1477</v>
      </c>
      <c r="D3735" t="s">
        <v>293</v>
      </c>
      <c r="E3735" t="s">
        <v>304</v>
      </c>
      <c r="F3735" t="s">
        <v>4220</v>
      </c>
      <c r="G3735">
        <v>0</v>
      </c>
      <c r="H3735">
        <v>0</v>
      </c>
      <c r="I3735">
        <v>0</v>
      </c>
      <c r="J3735">
        <v>0</v>
      </c>
      <c r="K3735">
        <v>0</v>
      </c>
      <c r="L3735">
        <v>0</v>
      </c>
      <c r="M3735">
        <v>0</v>
      </c>
      <c r="N3735">
        <v>0</v>
      </c>
      <c r="O3735">
        <v>0</v>
      </c>
    </row>
    <row r="3736" spans="1:15" x14ac:dyDescent="0.35">
      <c r="A3736" t="s">
        <v>4213</v>
      </c>
      <c r="B3736" t="s">
        <v>4214</v>
      </c>
      <c r="C3736" t="s">
        <v>1477</v>
      </c>
      <c r="D3736" t="s">
        <v>293</v>
      </c>
      <c r="E3736" t="s">
        <v>306</v>
      </c>
      <c r="F3736" t="s">
        <v>4221</v>
      </c>
      <c r="G3736">
        <v>0</v>
      </c>
      <c r="H3736">
        <v>0</v>
      </c>
      <c r="I3736">
        <v>0</v>
      </c>
      <c r="J3736">
        <v>0</v>
      </c>
      <c r="K3736">
        <v>0</v>
      </c>
      <c r="L3736">
        <v>0</v>
      </c>
      <c r="M3736">
        <v>0</v>
      </c>
      <c r="N3736">
        <v>0</v>
      </c>
      <c r="O3736">
        <v>0</v>
      </c>
    </row>
    <row r="3737" spans="1:15" x14ac:dyDescent="0.35">
      <c r="A3737" t="s">
        <v>4213</v>
      </c>
      <c r="B3737" t="s">
        <v>4214</v>
      </c>
      <c r="C3737" t="s">
        <v>1477</v>
      </c>
      <c r="D3737" t="s">
        <v>293</v>
      </c>
      <c r="E3737" t="s">
        <v>308</v>
      </c>
      <c r="F3737" t="s">
        <v>4222</v>
      </c>
      <c r="G3737">
        <v>0</v>
      </c>
      <c r="H3737">
        <v>0</v>
      </c>
      <c r="I3737">
        <v>0</v>
      </c>
      <c r="J3737">
        <v>0</v>
      </c>
      <c r="K3737">
        <v>0</v>
      </c>
      <c r="L3737">
        <v>0</v>
      </c>
      <c r="M3737">
        <v>0</v>
      </c>
      <c r="N3737">
        <v>0</v>
      </c>
      <c r="O3737">
        <v>0</v>
      </c>
    </row>
    <row r="3738" spans="1:15" x14ac:dyDescent="0.35">
      <c r="A3738" t="s">
        <v>4213</v>
      </c>
      <c r="B3738" t="s">
        <v>4214</v>
      </c>
      <c r="C3738" t="s">
        <v>1477</v>
      </c>
      <c r="D3738" t="s">
        <v>293</v>
      </c>
      <c r="E3738" t="s">
        <v>310</v>
      </c>
      <c r="F3738" t="s">
        <v>4223</v>
      </c>
      <c r="G3738">
        <v>1497</v>
      </c>
      <c r="H3738">
        <v>263480.46999999997</v>
      </c>
      <c r="I3738">
        <v>176.01</v>
      </c>
      <c r="J3738">
        <v>46</v>
      </c>
      <c r="K3738">
        <v>9535.869999999999</v>
      </c>
      <c r="L3738">
        <v>207.3</v>
      </c>
      <c r="M3738">
        <v>1543</v>
      </c>
      <c r="N3738">
        <v>273016.33999999997</v>
      </c>
      <c r="O3738">
        <v>176.94</v>
      </c>
    </row>
    <row r="3739" spans="1:15" x14ac:dyDescent="0.35">
      <c r="A3739" t="s">
        <v>4213</v>
      </c>
      <c r="B3739" t="s">
        <v>4214</v>
      </c>
      <c r="C3739" t="s">
        <v>1477</v>
      </c>
      <c r="D3739" t="s">
        <v>293</v>
      </c>
      <c r="E3739" t="s">
        <v>312</v>
      </c>
      <c r="F3739" t="s">
        <v>4224</v>
      </c>
      <c r="G3739">
        <v>1497</v>
      </c>
      <c r="H3739">
        <v>263480.46999999997</v>
      </c>
      <c r="I3739">
        <v>176.01</v>
      </c>
      <c r="J3739">
        <v>46</v>
      </c>
      <c r="K3739">
        <v>9535.869999999999</v>
      </c>
      <c r="L3739">
        <v>207.3</v>
      </c>
      <c r="M3739">
        <v>1543</v>
      </c>
      <c r="N3739">
        <v>273016.33999999997</v>
      </c>
      <c r="O3739">
        <v>176.94</v>
      </c>
    </row>
    <row r="3740" spans="1:15" x14ac:dyDescent="0.35">
      <c r="A3740" t="s">
        <v>4213</v>
      </c>
      <c r="B3740" t="s">
        <v>4214</v>
      </c>
      <c r="C3740" t="s">
        <v>1477</v>
      </c>
      <c r="D3740" t="s">
        <v>314</v>
      </c>
      <c r="E3740" t="s">
        <v>294</v>
      </c>
      <c r="F3740" t="s">
        <v>4225</v>
      </c>
      <c r="G3740">
        <v>19</v>
      </c>
      <c r="H3740">
        <v>3317.0200000000004</v>
      </c>
      <c r="I3740">
        <v>174.58</v>
      </c>
      <c r="J3740">
        <v>0</v>
      </c>
      <c r="K3740">
        <v>0</v>
      </c>
      <c r="L3740">
        <v>0</v>
      </c>
      <c r="M3740">
        <v>19</v>
      </c>
      <c r="N3740">
        <v>3317.0200000000004</v>
      </c>
      <c r="O3740">
        <v>174.58</v>
      </c>
    </row>
    <row r="3741" spans="1:15" x14ac:dyDescent="0.35">
      <c r="A3741" t="s">
        <v>4213</v>
      </c>
      <c r="B3741" t="s">
        <v>4214</v>
      </c>
      <c r="C3741" t="s">
        <v>1477</v>
      </c>
      <c r="D3741" t="s">
        <v>314</v>
      </c>
      <c r="E3741" t="s">
        <v>296</v>
      </c>
      <c r="F3741" t="s">
        <v>4226</v>
      </c>
      <c r="G3741">
        <v>11</v>
      </c>
      <c r="H3741">
        <v>2101.33</v>
      </c>
      <c r="I3741">
        <v>191.03</v>
      </c>
      <c r="J3741">
        <v>0</v>
      </c>
      <c r="K3741">
        <v>0</v>
      </c>
      <c r="L3741">
        <v>0</v>
      </c>
      <c r="M3741">
        <v>11</v>
      </c>
      <c r="N3741">
        <v>2101.33</v>
      </c>
      <c r="O3741">
        <v>191.03</v>
      </c>
    </row>
    <row r="3742" spans="1:15" x14ac:dyDescent="0.35">
      <c r="A3742" t="s">
        <v>4213</v>
      </c>
      <c r="B3742" t="s">
        <v>4214</v>
      </c>
      <c r="C3742" t="s">
        <v>1477</v>
      </c>
      <c r="D3742" t="s">
        <v>314</v>
      </c>
      <c r="E3742" t="s">
        <v>298</v>
      </c>
      <c r="F3742" t="s">
        <v>4227</v>
      </c>
      <c r="G3742">
        <v>1</v>
      </c>
      <c r="H3742">
        <v>206.23</v>
      </c>
      <c r="I3742">
        <v>206.23</v>
      </c>
      <c r="J3742">
        <v>0</v>
      </c>
      <c r="K3742">
        <v>0</v>
      </c>
      <c r="L3742">
        <v>0</v>
      </c>
      <c r="M3742">
        <v>1</v>
      </c>
      <c r="N3742">
        <v>206.23</v>
      </c>
      <c r="O3742">
        <v>206.23</v>
      </c>
    </row>
    <row r="3743" spans="1:15" x14ac:dyDescent="0.35">
      <c r="A3743" t="s">
        <v>4213</v>
      </c>
      <c r="B3743" t="s">
        <v>4214</v>
      </c>
      <c r="C3743" t="s">
        <v>1477</v>
      </c>
      <c r="D3743" t="s">
        <v>314</v>
      </c>
      <c r="E3743" t="s">
        <v>300</v>
      </c>
      <c r="F3743" t="s">
        <v>4228</v>
      </c>
      <c r="G3743">
        <v>0</v>
      </c>
      <c r="H3743">
        <v>0</v>
      </c>
      <c r="I3743">
        <v>0</v>
      </c>
      <c r="J3743">
        <v>0</v>
      </c>
      <c r="K3743">
        <v>0</v>
      </c>
      <c r="L3743">
        <v>0</v>
      </c>
      <c r="M3743">
        <v>0</v>
      </c>
      <c r="N3743">
        <v>0</v>
      </c>
      <c r="O3743">
        <v>0</v>
      </c>
    </row>
    <row r="3744" spans="1:15" x14ac:dyDescent="0.35">
      <c r="A3744" t="s">
        <v>4213</v>
      </c>
      <c r="B3744" t="s">
        <v>4214</v>
      </c>
      <c r="C3744" t="s">
        <v>1477</v>
      </c>
      <c r="D3744" t="s">
        <v>314</v>
      </c>
      <c r="E3744" t="s">
        <v>306</v>
      </c>
      <c r="F3744" t="s">
        <v>4229</v>
      </c>
      <c r="G3744">
        <v>3</v>
      </c>
      <c r="H3744">
        <v>521.37</v>
      </c>
      <c r="I3744">
        <v>173.79</v>
      </c>
      <c r="J3744">
        <v>0</v>
      </c>
      <c r="K3744">
        <v>0</v>
      </c>
      <c r="L3744">
        <v>0</v>
      </c>
      <c r="M3744">
        <v>3</v>
      </c>
      <c r="N3744">
        <v>521.37</v>
      </c>
      <c r="O3744">
        <v>173.79</v>
      </c>
    </row>
    <row r="3745" spans="1:15" x14ac:dyDescent="0.35">
      <c r="A3745" t="s">
        <v>4213</v>
      </c>
      <c r="B3745" t="s">
        <v>4214</v>
      </c>
      <c r="C3745" t="s">
        <v>1477</v>
      </c>
      <c r="D3745" t="s">
        <v>314</v>
      </c>
      <c r="E3745" t="s">
        <v>308</v>
      </c>
      <c r="F3745" t="s">
        <v>4230</v>
      </c>
      <c r="G3745">
        <v>0</v>
      </c>
      <c r="H3745">
        <v>0</v>
      </c>
      <c r="I3745">
        <v>0</v>
      </c>
      <c r="J3745">
        <v>0</v>
      </c>
      <c r="K3745">
        <v>0</v>
      </c>
      <c r="L3745">
        <v>0</v>
      </c>
      <c r="M3745">
        <v>0</v>
      </c>
      <c r="N3745">
        <v>0</v>
      </c>
      <c r="O3745">
        <v>0</v>
      </c>
    </row>
    <row r="3746" spans="1:15" x14ac:dyDescent="0.35">
      <c r="A3746" t="s">
        <v>4213</v>
      </c>
      <c r="B3746" t="s">
        <v>4214</v>
      </c>
      <c r="C3746" t="s">
        <v>1477</v>
      </c>
      <c r="D3746" t="s">
        <v>314</v>
      </c>
      <c r="E3746" t="s">
        <v>312</v>
      </c>
      <c r="F3746" t="s">
        <v>4231</v>
      </c>
      <c r="G3746">
        <v>34</v>
      </c>
      <c r="H3746">
        <v>6145.95</v>
      </c>
      <c r="I3746">
        <v>180.76</v>
      </c>
      <c r="J3746">
        <v>0</v>
      </c>
      <c r="K3746">
        <v>0</v>
      </c>
      <c r="L3746">
        <v>0</v>
      </c>
      <c r="M3746">
        <v>34</v>
      </c>
      <c r="N3746">
        <v>6145.95</v>
      </c>
      <c r="O3746">
        <v>180.76</v>
      </c>
    </row>
    <row r="3747" spans="1:15" x14ac:dyDescent="0.35">
      <c r="A3747" t="s">
        <v>4213</v>
      </c>
      <c r="B3747" t="s">
        <v>4214</v>
      </c>
      <c r="C3747" t="s">
        <v>1477</v>
      </c>
      <c r="D3747" t="s">
        <v>314</v>
      </c>
      <c r="E3747" t="s">
        <v>310</v>
      </c>
      <c r="F3747" t="s">
        <v>4232</v>
      </c>
      <c r="G3747">
        <v>34</v>
      </c>
      <c r="H3747">
        <v>6145.95</v>
      </c>
      <c r="I3747">
        <v>180.76</v>
      </c>
      <c r="J3747">
        <v>0</v>
      </c>
      <c r="K3747">
        <v>0</v>
      </c>
      <c r="L3747">
        <v>0</v>
      </c>
      <c r="M3747">
        <v>34</v>
      </c>
      <c r="N3747">
        <v>6145.95</v>
      </c>
      <c r="O3747">
        <v>180.76</v>
      </c>
    </row>
    <row r="3748" spans="1:15" x14ac:dyDescent="0.35">
      <c r="A3748" t="s">
        <v>4213</v>
      </c>
      <c r="B3748" t="s">
        <v>4214</v>
      </c>
      <c r="C3748" t="s">
        <v>1477</v>
      </c>
      <c r="D3748" t="s">
        <v>323</v>
      </c>
      <c r="E3748" t="s">
        <v>294</v>
      </c>
      <c r="F3748" t="s">
        <v>4233</v>
      </c>
      <c r="G3748">
        <v>424</v>
      </c>
      <c r="H3748">
        <v>44103.88</v>
      </c>
      <c r="I3748">
        <v>104.02</v>
      </c>
      <c r="J3748">
        <v>1788</v>
      </c>
      <c r="K3748">
        <v>172059.24000000002</v>
      </c>
      <c r="L3748">
        <v>96.23</v>
      </c>
      <c r="M3748">
        <v>2212</v>
      </c>
      <c r="N3748">
        <v>216163.12000000002</v>
      </c>
      <c r="O3748">
        <v>97.72</v>
      </c>
    </row>
    <row r="3749" spans="1:15" x14ac:dyDescent="0.35">
      <c r="A3749" t="s">
        <v>4213</v>
      </c>
      <c r="B3749" t="s">
        <v>4214</v>
      </c>
      <c r="C3749" t="s">
        <v>1477</v>
      </c>
      <c r="D3749" t="s">
        <v>323</v>
      </c>
      <c r="E3749" t="s">
        <v>296</v>
      </c>
      <c r="F3749" t="s">
        <v>4234</v>
      </c>
      <c r="G3749">
        <v>1113</v>
      </c>
      <c r="H3749">
        <v>135056.29999999999</v>
      </c>
      <c r="I3749">
        <v>121.34</v>
      </c>
      <c r="J3749">
        <v>1681</v>
      </c>
      <c r="K3749">
        <v>182354.88</v>
      </c>
      <c r="L3749">
        <v>108.48</v>
      </c>
      <c r="M3749">
        <v>2794</v>
      </c>
      <c r="N3749">
        <v>317411.18</v>
      </c>
      <c r="O3749">
        <v>113.6</v>
      </c>
    </row>
    <row r="3750" spans="1:15" x14ac:dyDescent="0.35">
      <c r="A3750" t="s">
        <v>4213</v>
      </c>
      <c r="B3750" t="s">
        <v>4214</v>
      </c>
      <c r="C3750" t="s">
        <v>1477</v>
      </c>
      <c r="D3750" t="s">
        <v>323</v>
      </c>
      <c r="E3750" t="s">
        <v>298</v>
      </c>
      <c r="F3750" t="s">
        <v>4235</v>
      </c>
      <c r="G3750">
        <v>1023</v>
      </c>
      <c r="H3750">
        <v>141625.37</v>
      </c>
      <c r="I3750">
        <v>138.44</v>
      </c>
      <c r="J3750">
        <v>1684</v>
      </c>
      <c r="K3750">
        <v>208361.32</v>
      </c>
      <c r="L3750">
        <v>123.73</v>
      </c>
      <c r="M3750">
        <v>2707</v>
      </c>
      <c r="N3750">
        <v>349986.69</v>
      </c>
      <c r="O3750">
        <v>129.29</v>
      </c>
    </row>
    <row r="3751" spans="1:15" x14ac:dyDescent="0.35">
      <c r="A3751" t="s">
        <v>4213</v>
      </c>
      <c r="B3751" t="s">
        <v>4214</v>
      </c>
      <c r="C3751" t="s">
        <v>1477</v>
      </c>
      <c r="D3751" t="s">
        <v>323</v>
      </c>
      <c r="E3751" t="s">
        <v>300</v>
      </c>
      <c r="F3751" t="s">
        <v>4236</v>
      </c>
      <c r="G3751">
        <v>167</v>
      </c>
      <c r="H3751">
        <v>26508.02</v>
      </c>
      <c r="I3751">
        <v>158.72999999999999</v>
      </c>
      <c r="J3751">
        <v>96</v>
      </c>
      <c r="K3751">
        <v>13056</v>
      </c>
      <c r="L3751">
        <v>136</v>
      </c>
      <c r="M3751">
        <v>263</v>
      </c>
      <c r="N3751">
        <v>39564.020000000004</v>
      </c>
      <c r="O3751">
        <v>150.43</v>
      </c>
    </row>
    <row r="3752" spans="1:15" x14ac:dyDescent="0.35">
      <c r="A3752" t="s">
        <v>4213</v>
      </c>
      <c r="B3752" t="s">
        <v>4214</v>
      </c>
      <c r="C3752" t="s">
        <v>1477</v>
      </c>
      <c r="D3752" t="s">
        <v>323</v>
      </c>
      <c r="E3752" t="s">
        <v>302</v>
      </c>
      <c r="F3752" t="s">
        <v>4237</v>
      </c>
      <c r="G3752">
        <v>2</v>
      </c>
      <c r="H3752">
        <v>338.64</v>
      </c>
      <c r="I3752">
        <v>169.32</v>
      </c>
      <c r="J3752">
        <v>4</v>
      </c>
      <c r="K3752">
        <v>607.20000000000005</v>
      </c>
      <c r="L3752">
        <v>151.80000000000001</v>
      </c>
      <c r="M3752">
        <v>6</v>
      </c>
      <c r="N3752">
        <v>945.84</v>
      </c>
      <c r="O3752">
        <v>157.63999999999999</v>
      </c>
    </row>
    <row r="3753" spans="1:15" x14ac:dyDescent="0.35">
      <c r="A3753" t="s">
        <v>4213</v>
      </c>
      <c r="B3753" t="s">
        <v>4214</v>
      </c>
      <c r="C3753" t="s">
        <v>1477</v>
      </c>
      <c r="D3753" t="s">
        <v>323</v>
      </c>
      <c r="E3753" t="s">
        <v>304</v>
      </c>
      <c r="F3753" t="s">
        <v>4238</v>
      </c>
      <c r="G3753">
        <v>1</v>
      </c>
      <c r="H3753">
        <v>225.65</v>
      </c>
      <c r="I3753">
        <v>225.65</v>
      </c>
      <c r="J3753">
        <v>1</v>
      </c>
      <c r="K3753">
        <v>172.81</v>
      </c>
      <c r="L3753">
        <v>172.81</v>
      </c>
      <c r="M3753">
        <v>2</v>
      </c>
      <c r="N3753">
        <v>398.46000000000004</v>
      </c>
      <c r="O3753">
        <v>199.23</v>
      </c>
    </row>
    <row r="3754" spans="1:15" x14ac:dyDescent="0.35">
      <c r="A3754" t="s">
        <v>4213</v>
      </c>
      <c r="B3754" t="s">
        <v>4214</v>
      </c>
      <c r="C3754" t="s">
        <v>1477</v>
      </c>
      <c r="D3754" t="s">
        <v>323</v>
      </c>
      <c r="E3754" t="s">
        <v>306</v>
      </c>
      <c r="F3754" t="s">
        <v>4239</v>
      </c>
      <c r="G3754">
        <v>0</v>
      </c>
      <c r="H3754">
        <v>0</v>
      </c>
      <c r="I3754">
        <v>0</v>
      </c>
      <c r="J3754">
        <v>138</v>
      </c>
      <c r="K3754">
        <v>11230.439999999999</v>
      </c>
      <c r="L3754">
        <v>81.38</v>
      </c>
      <c r="M3754">
        <v>138</v>
      </c>
      <c r="N3754">
        <v>11230.439999999999</v>
      </c>
      <c r="O3754">
        <v>81.38</v>
      </c>
    </row>
    <row r="3755" spans="1:15" x14ac:dyDescent="0.35">
      <c r="A3755" t="s">
        <v>4213</v>
      </c>
      <c r="B3755" t="s">
        <v>4214</v>
      </c>
      <c r="C3755" t="s">
        <v>1477</v>
      </c>
      <c r="D3755" t="s">
        <v>323</v>
      </c>
      <c r="E3755" t="s">
        <v>308</v>
      </c>
      <c r="F3755" t="s">
        <v>4240</v>
      </c>
      <c r="G3755">
        <v>0</v>
      </c>
      <c r="H3755">
        <v>0</v>
      </c>
      <c r="I3755">
        <v>0</v>
      </c>
      <c r="J3755">
        <v>0</v>
      </c>
      <c r="K3755">
        <v>0</v>
      </c>
      <c r="L3755">
        <v>0</v>
      </c>
      <c r="M3755">
        <v>0</v>
      </c>
      <c r="N3755">
        <v>0</v>
      </c>
      <c r="O3755">
        <v>0</v>
      </c>
    </row>
    <row r="3756" spans="1:15" x14ac:dyDescent="0.35">
      <c r="A3756" t="s">
        <v>4213</v>
      </c>
      <c r="B3756" t="s">
        <v>4214</v>
      </c>
      <c r="C3756" t="s">
        <v>1477</v>
      </c>
      <c r="D3756" t="s">
        <v>323</v>
      </c>
      <c r="E3756" t="s">
        <v>310</v>
      </c>
      <c r="F3756" t="s">
        <v>4241</v>
      </c>
      <c r="G3756">
        <v>2730</v>
      </c>
      <c r="H3756">
        <v>347857.86000000004</v>
      </c>
      <c r="I3756">
        <v>127.42</v>
      </c>
      <c r="J3756">
        <v>5392</v>
      </c>
      <c r="K3756">
        <v>587841.8899999999</v>
      </c>
      <c r="L3756">
        <v>109.02</v>
      </c>
      <c r="M3756">
        <v>8122</v>
      </c>
      <c r="N3756">
        <v>935699.75</v>
      </c>
      <c r="O3756">
        <v>115.21</v>
      </c>
    </row>
    <row r="3757" spans="1:15" x14ac:dyDescent="0.35">
      <c r="A3757" t="s">
        <v>4213</v>
      </c>
      <c r="B3757" t="s">
        <v>4214</v>
      </c>
      <c r="C3757" t="s">
        <v>1477</v>
      </c>
      <c r="D3757" t="s">
        <v>323</v>
      </c>
      <c r="E3757" t="s">
        <v>312</v>
      </c>
      <c r="F3757" t="s">
        <v>4242</v>
      </c>
      <c r="G3757">
        <v>2730</v>
      </c>
      <c r="H3757">
        <v>347857.86000000004</v>
      </c>
      <c r="I3757">
        <v>127.42</v>
      </c>
      <c r="J3757">
        <v>5392</v>
      </c>
      <c r="K3757">
        <v>587841.8899999999</v>
      </c>
      <c r="L3757">
        <v>109.02</v>
      </c>
      <c r="M3757">
        <v>8122</v>
      </c>
      <c r="N3757">
        <v>935699.75</v>
      </c>
      <c r="O3757">
        <v>115.21</v>
      </c>
    </row>
    <row r="3758" spans="1:15" x14ac:dyDescent="0.35">
      <c r="A3758" t="s">
        <v>4213</v>
      </c>
      <c r="B3758" t="s">
        <v>4214</v>
      </c>
      <c r="C3758" t="s">
        <v>1477</v>
      </c>
      <c r="D3758" t="s">
        <v>334</v>
      </c>
      <c r="E3758" t="s">
        <v>312</v>
      </c>
      <c r="F3758" t="s">
        <v>4243</v>
      </c>
      <c r="G3758">
        <v>4622</v>
      </c>
      <c r="H3758">
        <v>611338.33000000007</v>
      </c>
      <c r="I3758">
        <v>144.63</v>
      </c>
      <c r="J3758">
        <v>5438</v>
      </c>
      <c r="K3758">
        <v>597377.76</v>
      </c>
      <c r="L3758">
        <v>109.85</v>
      </c>
      <c r="M3758">
        <v>10060</v>
      </c>
      <c r="N3758">
        <v>1208716.0900000001</v>
      </c>
      <c r="O3758">
        <v>125.06</v>
      </c>
    </row>
    <row r="3759" spans="1:15" x14ac:dyDescent="0.35">
      <c r="A3759" t="s">
        <v>4213</v>
      </c>
      <c r="B3759" t="s">
        <v>4214</v>
      </c>
      <c r="C3759" t="s">
        <v>1477</v>
      </c>
      <c r="D3759" t="s">
        <v>334</v>
      </c>
      <c r="E3759" t="s">
        <v>308</v>
      </c>
      <c r="F3759" t="s">
        <v>4244</v>
      </c>
      <c r="G3759">
        <v>135</v>
      </c>
      <c r="H3759">
        <v>0</v>
      </c>
      <c r="I3759">
        <v>0</v>
      </c>
      <c r="J3759">
        <v>0</v>
      </c>
      <c r="K3759">
        <v>0</v>
      </c>
      <c r="L3759">
        <v>0</v>
      </c>
      <c r="M3759">
        <v>135</v>
      </c>
      <c r="N3759">
        <v>0</v>
      </c>
      <c r="O3759">
        <v>0</v>
      </c>
    </row>
    <row r="3760" spans="1:15" x14ac:dyDescent="0.35">
      <c r="A3760" t="s">
        <v>4213</v>
      </c>
      <c r="B3760" t="s">
        <v>4214</v>
      </c>
      <c r="C3760" t="s">
        <v>1477</v>
      </c>
      <c r="D3760" t="s">
        <v>337</v>
      </c>
      <c r="E3760" t="s">
        <v>337</v>
      </c>
      <c r="F3760" t="s">
        <v>4245</v>
      </c>
      <c r="G3760">
        <v>412</v>
      </c>
      <c r="J3760">
        <v>6</v>
      </c>
      <c r="M3760">
        <v>418</v>
      </c>
    </row>
    <row r="3761" spans="1:15" x14ac:dyDescent="0.35">
      <c r="A3761" t="s">
        <v>4213</v>
      </c>
      <c r="B3761" t="s">
        <v>4214</v>
      </c>
      <c r="C3761" t="s">
        <v>1477</v>
      </c>
      <c r="D3761" t="s">
        <v>339</v>
      </c>
      <c r="E3761" t="s">
        <v>294</v>
      </c>
      <c r="F3761" t="s">
        <v>4246</v>
      </c>
      <c r="G3761">
        <v>231</v>
      </c>
      <c r="H3761">
        <v>32906.030000000006</v>
      </c>
      <c r="I3761">
        <v>142.44999999999999</v>
      </c>
      <c r="J3761">
        <v>445</v>
      </c>
      <c r="K3761">
        <v>42132.600000000006</v>
      </c>
      <c r="L3761">
        <v>94.68</v>
      </c>
      <c r="M3761">
        <v>676</v>
      </c>
      <c r="N3761">
        <v>75038.63</v>
      </c>
      <c r="O3761">
        <v>111</v>
      </c>
    </row>
    <row r="3762" spans="1:15" x14ac:dyDescent="0.35">
      <c r="A3762" t="s">
        <v>4213</v>
      </c>
      <c r="B3762" t="s">
        <v>4214</v>
      </c>
      <c r="C3762" t="s">
        <v>1477</v>
      </c>
      <c r="D3762" t="s">
        <v>339</v>
      </c>
      <c r="E3762" t="s">
        <v>296</v>
      </c>
      <c r="F3762" t="s">
        <v>4247</v>
      </c>
      <c r="G3762">
        <v>53</v>
      </c>
      <c r="H3762">
        <v>6354.869999999999</v>
      </c>
      <c r="I3762">
        <v>119.9</v>
      </c>
      <c r="J3762">
        <v>112</v>
      </c>
      <c r="K3762">
        <v>12210.24</v>
      </c>
      <c r="L3762">
        <v>109.02</v>
      </c>
      <c r="M3762">
        <v>165</v>
      </c>
      <c r="N3762">
        <v>18565.11</v>
      </c>
      <c r="O3762">
        <v>112.52</v>
      </c>
    </row>
    <row r="3763" spans="1:15" x14ac:dyDescent="0.35">
      <c r="A3763" t="s">
        <v>4213</v>
      </c>
      <c r="B3763" t="s">
        <v>4214</v>
      </c>
      <c r="C3763" t="s">
        <v>1477</v>
      </c>
      <c r="D3763" t="s">
        <v>339</v>
      </c>
      <c r="E3763" t="s">
        <v>298</v>
      </c>
      <c r="F3763" t="s">
        <v>4248</v>
      </c>
      <c r="G3763">
        <v>10</v>
      </c>
      <c r="H3763">
        <v>1504.7200000000003</v>
      </c>
      <c r="I3763">
        <v>150.47</v>
      </c>
      <c r="J3763">
        <v>2</v>
      </c>
      <c r="K3763">
        <v>246.54</v>
      </c>
      <c r="L3763">
        <v>123.27</v>
      </c>
      <c r="M3763">
        <v>12</v>
      </c>
      <c r="N3763">
        <v>1751.2600000000002</v>
      </c>
      <c r="O3763">
        <v>145.94</v>
      </c>
    </row>
    <row r="3764" spans="1:15" x14ac:dyDescent="0.35">
      <c r="A3764" t="s">
        <v>4213</v>
      </c>
      <c r="B3764" t="s">
        <v>4214</v>
      </c>
      <c r="C3764" t="s">
        <v>1477</v>
      </c>
      <c r="D3764" t="s">
        <v>339</v>
      </c>
      <c r="E3764" t="s">
        <v>300</v>
      </c>
      <c r="F3764" t="s">
        <v>4249</v>
      </c>
      <c r="G3764">
        <v>6</v>
      </c>
      <c r="H3764">
        <v>1460.14</v>
      </c>
      <c r="I3764">
        <v>243.36</v>
      </c>
      <c r="J3764">
        <v>0</v>
      </c>
      <c r="K3764">
        <v>0</v>
      </c>
      <c r="L3764">
        <v>0</v>
      </c>
      <c r="M3764">
        <v>6</v>
      </c>
      <c r="N3764">
        <v>1460.14</v>
      </c>
      <c r="O3764">
        <v>243.36</v>
      </c>
    </row>
    <row r="3765" spans="1:15" x14ac:dyDescent="0.35">
      <c r="A3765" t="s">
        <v>4213</v>
      </c>
      <c r="B3765" t="s">
        <v>4214</v>
      </c>
      <c r="C3765" t="s">
        <v>1477</v>
      </c>
      <c r="D3765" t="s">
        <v>339</v>
      </c>
      <c r="E3765" t="s">
        <v>306</v>
      </c>
      <c r="F3765" t="s">
        <v>4250</v>
      </c>
      <c r="G3765">
        <v>81</v>
      </c>
      <c r="H3765">
        <v>8732.15</v>
      </c>
      <c r="I3765">
        <v>107.8</v>
      </c>
      <c r="J3765">
        <v>63</v>
      </c>
      <c r="K3765">
        <v>5515.02</v>
      </c>
      <c r="L3765">
        <v>87.54</v>
      </c>
      <c r="M3765">
        <v>144</v>
      </c>
      <c r="N3765">
        <v>14247.17</v>
      </c>
      <c r="O3765">
        <v>98.94</v>
      </c>
    </row>
    <row r="3766" spans="1:15" x14ac:dyDescent="0.35">
      <c r="A3766" t="s">
        <v>4213</v>
      </c>
      <c r="B3766" t="s">
        <v>4214</v>
      </c>
      <c r="C3766" t="s">
        <v>1477</v>
      </c>
      <c r="D3766" t="s">
        <v>339</v>
      </c>
      <c r="E3766" t="s">
        <v>308</v>
      </c>
      <c r="F3766" t="s">
        <v>4251</v>
      </c>
      <c r="G3766">
        <v>202</v>
      </c>
      <c r="H3766">
        <v>25395.84</v>
      </c>
      <c r="I3766">
        <v>125.72</v>
      </c>
      <c r="J3766">
        <v>0</v>
      </c>
      <c r="K3766">
        <v>0</v>
      </c>
      <c r="L3766">
        <v>0</v>
      </c>
      <c r="M3766">
        <v>202</v>
      </c>
      <c r="N3766">
        <v>25395.84</v>
      </c>
      <c r="O3766">
        <v>125.72</v>
      </c>
    </row>
    <row r="3767" spans="1:15" x14ac:dyDescent="0.35">
      <c r="A3767" t="s">
        <v>4213</v>
      </c>
      <c r="B3767" t="s">
        <v>4214</v>
      </c>
      <c r="C3767" t="s">
        <v>1477</v>
      </c>
      <c r="D3767" t="s">
        <v>339</v>
      </c>
      <c r="E3767" t="s">
        <v>310</v>
      </c>
      <c r="F3767" t="s">
        <v>4252</v>
      </c>
      <c r="G3767">
        <v>583</v>
      </c>
      <c r="H3767">
        <v>76353.750000000015</v>
      </c>
      <c r="I3767">
        <v>130.97</v>
      </c>
      <c r="J3767">
        <v>622</v>
      </c>
      <c r="K3767">
        <v>60104.400000000009</v>
      </c>
      <c r="L3767">
        <v>96.63</v>
      </c>
      <c r="M3767">
        <v>1205</v>
      </c>
      <c r="N3767">
        <v>136458.15000000002</v>
      </c>
      <c r="O3767">
        <v>113.24</v>
      </c>
    </row>
    <row r="3768" spans="1:15" x14ac:dyDescent="0.35">
      <c r="A3768" t="s">
        <v>4213</v>
      </c>
      <c r="B3768" t="s">
        <v>4214</v>
      </c>
      <c r="C3768" t="s">
        <v>1477</v>
      </c>
      <c r="D3768" t="s">
        <v>339</v>
      </c>
      <c r="E3768" t="s">
        <v>312</v>
      </c>
      <c r="F3768" t="s">
        <v>4253</v>
      </c>
      <c r="G3768">
        <v>381</v>
      </c>
      <c r="H3768">
        <v>50957.910000000011</v>
      </c>
      <c r="I3768">
        <v>133.75</v>
      </c>
      <c r="J3768">
        <v>622</v>
      </c>
      <c r="K3768">
        <v>60104.400000000009</v>
      </c>
      <c r="L3768">
        <v>96.63</v>
      </c>
      <c r="M3768">
        <v>1003</v>
      </c>
      <c r="N3768">
        <v>111062.31000000003</v>
      </c>
      <c r="O3768">
        <v>110.73</v>
      </c>
    </row>
    <row r="3769" spans="1:15" x14ac:dyDescent="0.35">
      <c r="A3769" t="s">
        <v>4213</v>
      </c>
      <c r="B3769" t="s">
        <v>4214</v>
      </c>
      <c r="C3769" t="s">
        <v>1477</v>
      </c>
      <c r="D3769" t="s">
        <v>348</v>
      </c>
      <c r="E3769" t="s">
        <v>349</v>
      </c>
      <c r="F3769" t="s">
        <v>4254</v>
      </c>
      <c r="G3769">
        <v>862</v>
      </c>
      <c r="H3769">
        <v>82499.700000000012</v>
      </c>
      <c r="I3769">
        <v>133.71</v>
      </c>
      <c r="J3769">
        <v>622</v>
      </c>
      <c r="K3769">
        <v>60104.400000000009</v>
      </c>
      <c r="L3769">
        <v>96.63</v>
      </c>
      <c r="M3769">
        <v>1484</v>
      </c>
      <c r="N3769">
        <v>142604.10000000003</v>
      </c>
      <c r="O3769">
        <v>115.1</v>
      </c>
    </row>
    <row r="3770" spans="1:15" x14ac:dyDescent="0.35">
      <c r="A3770" t="s">
        <v>4255</v>
      </c>
      <c r="B3770" t="s">
        <v>4256</v>
      </c>
      <c r="C3770" t="s">
        <v>1477</v>
      </c>
      <c r="D3770" t="s">
        <v>293</v>
      </c>
      <c r="E3770" t="s">
        <v>294</v>
      </c>
      <c r="F3770" t="s">
        <v>4257</v>
      </c>
      <c r="G3770">
        <v>49</v>
      </c>
      <c r="H3770">
        <v>8995.7699999999986</v>
      </c>
      <c r="I3770">
        <v>183.59</v>
      </c>
      <c r="J3770">
        <v>44</v>
      </c>
      <c r="K3770">
        <v>8647.32</v>
      </c>
      <c r="L3770">
        <v>196.53</v>
      </c>
      <c r="M3770">
        <v>93</v>
      </c>
      <c r="N3770">
        <v>17643.089999999997</v>
      </c>
      <c r="O3770">
        <v>189.71</v>
      </c>
    </row>
    <row r="3771" spans="1:15" x14ac:dyDescent="0.35">
      <c r="A3771" t="s">
        <v>4255</v>
      </c>
      <c r="B3771" t="s">
        <v>4256</v>
      </c>
      <c r="C3771" t="s">
        <v>1477</v>
      </c>
      <c r="D3771" t="s">
        <v>293</v>
      </c>
      <c r="E3771" t="s">
        <v>296</v>
      </c>
      <c r="F3771" t="s">
        <v>4258</v>
      </c>
      <c r="G3771">
        <v>157</v>
      </c>
      <c r="H3771">
        <v>35294</v>
      </c>
      <c r="I3771">
        <v>224.8</v>
      </c>
      <c r="J3771">
        <v>83</v>
      </c>
      <c r="K3771">
        <v>20096.79</v>
      </c>
      <c r="L3771">
        <v>242.13</v>
      </c>
      <c r="M3771">
        <v>240</v>
      </c>
      <c r="N3771">
        <v>55390.79</v>
      </c>
      <c r="O3771">
        <v>230.79</v>
      </c>
    </row>
    <row r="3772" spans="1:15" x14ac:dyDescent="0.35">
      <c r="A3772" t="s">
        <v>4255</v>
      </c>
      <c r="B3772" t="s">
        <v>4256</v>
      </c>
      <c r="C3772" t="s">
        <v>1477</v>
      </c>
      <c r="D3772" t="s">
        <v>293</v>
      </c>
      <c r="E3772" t="s">
        <v>298</v>
      </c>
      <c r="F3772" t="s">
        <v>4259</v>
      </c>
      <c r="G3772">
        <v>104</v>
      </c>
      <c r="H3772">
        <v>28789.11</v>
      </c>
      <c r="I3772">
        <v>276.82</v>
      </c>
      <c r="J3772">
        <v>81</v>
      </c>
      <c r="K3772">
        <v>23183.01</v>
      </c>
      <c r="L3772">
        <v>286.20999999999998</v>
      </c>
      <c r="M3772">
        <v>185</v>
      </c>
      <c r="N3772">
        <v>51972.119999999995</v>
      </c>
      <c r="O3772">
        <v>280.93</v>
      </c>
    </row>
    <row r="3773" spans="1:15" x14ac:dyDescent="0.35">
      <c r="A3773" t="s">
        <v>4255</v>
      </c>
      <c r="B3773" t="s">
        <v>4256</v>
      </c>
      <c r="C3773" t="s">
        <v>1477</v>
      </c>
      <c r="D3773" t="s">
        <v>293</v>
      </c>
      <c r="E3773" t="s">
        <v>300</v>
      </c>
      <c r="F3773" t="s">
        <v>4260</v>
      </c>
      <c r="G3773">
        <v>8</v>
      </c>
      <c r="H3773">
        <v>2400.2600000000002</v>
      </c>
      <c r="I3773">
        <v>300.02999999999997</v>
      </c>
      <c r="J3773">
        <v>1</v>
      </c>
      <c r="K3773">
        <v>347</v>
      </c>
      <c r="L3773">
        <v>347</v>
      </c>
      <c r="M3773">
        <v>9</v>
      </c>
      <c r="N3773">
        <v>2747.26</v>
      </c>
      <c r="O3773">
        <v>305.25</v>
      </c>
    </row>
    <row r="3774" spans="1:15" x14ac:dyDescent="0.35">
      <c r="A3774" t="s">
        <v>4255</v>
      </c>
      <c r="B3774" t="s">
        <v>4256</v>
      </c>
      <c r="C3774" t="s">
        <v>1477</v>
      </c>
      <c r="D3774" t="s">
        <v>293</v>
      </c>
      <c r="E3774" t="s">
        <v>302</v>
      </c>
      <c r="F3774" t="s">
        <v>4261</v>
      </c>
      <c r="G3774">
        <v>0</v>
      </c>
      <c r="H3774">
        <v>0</v>
      </c>
      <c r="I3774">
        <v>0</v>
      </c>
      <c r="J3774">
        <v>0</v>
      </c>
      <c r="K3774">
        <v>0</v>
      </c>
      <c r="L3774">
        <v>0</v>
      </c>
      <c r="M3774">
        <v>0</v>
      </c>
      <c r="N3774">
        <v>0</v>
      </c>
      <c r="O3774">
        <v>0</v>
      </c>
    </row>
    <row r="3775" spans="1:15" x14ac:dyDescent="0.35">
      <c r="A3775" t="s">
        <v>4255</v>
      </c>
      <c r="B3775" t="s">
        <v>4256</v>
      </c>
      <c r="C3775" t="s">
        <v>1477</v>
      </c>
      <c r="D3775" t="s">
        <v>293</v>
      </c>
      <c r="E3775" t="s">
        <v>304</v>
      </c>
      <c r="F3775" t="s">
        <v>4262</v>
      </c>
      <c r="G3775">
        <v>0</v>
      </c>
      <c r="H3775">
        <v>0</v>
      </c>
      <c r="I3775">
        <v>0</v>
      </c>
      <c r="J3775">
        <v>0</v>
      </c>
      <c r="K3775">
        <v>0</v>
      </c>
      <c r="L3775">
        <v>0</v>
      </c>
      <c r="M3775">
        <v>0</v>
      </c>
      <c r="N3775">
        <v>0</v>
      </c>
      <c r="O3775">
        <v>0</v>
      </c>
    </row>
    <row r="3776" spans="1:15" x14ac:dyDescent="0.35">
      <c r="A3776" t="s">
        <v>4255</v>
      </c>
      <c r="B3776" t="s">
        <v>4256</v>
      </c>
      <c r="C3776" t="s">
        <v>1477</v>
      </c>
      <c r="D3776" t="s">
        <v>293</v>
      </c>
      <c r="E3776" t="s">
        <v>306</v>
      </c>
      <c r="F3776" t="s">
        <v>4263</v>
      </c>
      <c r="G3776">
        <v>0</v>
      </c>
      <c r="H3776">
        <v>0</v>
      </c>
      <c r="I3776">
        <v>0</v>
      </c>
      <c r="J3776">
        <v>0</v>
      </c>
      <c r="K3776">
        <v>0</v>
      </c>
      <c r="L3776">
        <v>0</v>
      </c>
      <c r="M3776">
        <v>0</v>
      </c>
      <c r="N3776">
        <v>0</v>
      </c>
      <c r="O3776">
        <v>0</v>
      </c>
    </row>
    <row r="3777" spans="1:15" x14ac:dyDescent="0.35">
      <c r="A3777" t="s">
        <v>4255</v>
      </c>
      <c r="B3777" t="s">
        <v>4256</v>
      </c>
      <c r="C3777" t="s">
        <v>1477</v>
      </c>
      <c r="D3777" t="s">
        <v>293</v>
      </c>
      <c r="E3777" t="s">
        <v>308</v>
      </c>
      <c r="F3777" t="s">
        <v>4264</v>
      </c>
      <c r="G3777">
        <v>0</v>
      </c>
      <c r="H3777">
        <v>0</v>
      </c>
      <c r="I3777">
        <v>0</v>
      </c>
      <c r="J3777">
        <v>0</v>
      </c>
      <c r="K3777">
        <v>0</v>
      </c>
      <c r="L3777">
        <v>0</v>
      </c>
      <c r="M3777">
        <v>0</v>
      </c>
      <c r="N3777">
        <v>0</v>
      </c>
      <c r="O3777">
        <v>0</v>
      </c>
    </row>
    <row r="3778" spans="1:15" x14ac:dyDescent="0.35">
      <c r="A3778" t="s">
        <v>4255</v>
      </c>
      <c r="B3778" t="s">
        <v>4256</v>
      </c>
      <c r="C3778" t="s">
        <v>1477</v>
      </c>
      <c r="D3778" t="s">
        <v>293</v>
      </c>
      <c r="E3778" t="s">
        <v>310</v>
      </c>
      <c r="F3778" t="s">
        <v>4265</v>
      </c>
      <c r="G3778">
        <v>318</v>
      </c>
      <c r="H3778">
        <v>75479.14</v>
      </c>
      <c r="I3778">
        <v>237.36</v>
      </c>
      <c r="J3778">
        <v>209</v>
      </c>
      <c r="K3778">
        <v>52274.119999999995</v>
      </c>
      <c r="L3778">
        <v>250.12</v>
      </c>
      <c r="M3778">
        <v>527</v>
      </c>
      <c r="N3778">
        <v>127753.26</v>
      </c>
      <c r="O3778">
        <v>242.42</v>
      </c>
    </row>
    <row r="3779" spans="1:15" x14ac:dyDescent="0.35">
      <c r="A3779" t="s">
        <v>4255</v>
      </c>
      <c r="B3779" t="s">
        <v>4256</v>
      </c>
      <c r="C3779" t="s">
        <v>1477</v>
      </c>
      <c r="D3779" t="s">
        <v>293</v>
      </c>
      <c r="E3779" t="s">
        <v>312</v>
      </c>
      <c r="F3779" t="s">
        <v>4266</v>
      </c>
      <c r="G3779">
        <v>318</v>
      </c>
      <c r="H3779">
        <v>75479.14</v>
      </c>
      <c r="I3779">
        <v>237.36</v>
      </c>
      <c r="J3779">
        <v>209</v>
      </c>
      <c r="K3779">
        <v>52274.119999999995</v>
      </c>
      <c r="L3779">
        <v>250.12</v>
      </c>
      <c r="M3779">
        <v>527</v>
      </c>
      <c r="N3779">
        <v>127753.26</v>
      </c>
      <c r="O3779">
        <v>242.42</v>
      </c>
    </row>
    <row r="3780" spans="1:15" x14ac:dyDescent="0.35">
      <c r="A3780" t="s">
        <v>4255</v>
      </c>
      <c r="B3780" t="s">
        <v>4256</v>
      </c>
      <c r="C3780" t="s">
        <v>1477</v>
      </c>
      <c r="D3780" t="s">
        <v>314</v>
      </c>
      <c r="E3780" t="s">
        <v>294</v>
      </c>
      <c r="F3780" t="s">
        <v>4267</v>
      </c>
      <c r="G3780">
        <v>10</v>
      </c>
      <c r="H3780">
        <v>1560.1</v>
      </c>
      <c r="I3780">
        <v>156.01</v>
      </c>
      <c r="J3780">
        <v>0</v>
      </c>
      <c r="K3780">
        <v>0</v>
      </c>
      <c r="L3780">
        <v>0</v>
      </c>
      <c r="M3780">
        <v>10</v>
      </c>
      <c r="N3780">
        <v>1560.1</v>
      </c>
      <c r="O3780">
        <v>156.01</v>
      </c>
    </row>
    <row r="3781" spans="1:15" x14ac:dyDescent="0.35">
      <c r="A3781" t="s">
        <v>4255</v>
      </c>
      <c r="B3781" t="s">
        <v>4256</v>
      </c>
      <c r="C3781" t="s">
        <v>1477</v>
      </c>
      <c r="D3781" t="s">
        <v>314</v>
      </c>
      <c r="E3781" t="s">
        <v>296</v>
      </c>
      <c r="F3781" t="s">
        <v>4268</v>
      </c>
      <c r="G3781">
        <v>0</v>
      </c>
      <c r="H3781">
        <v>0</v>
      </c>
      <c r="I3781">
        <v>0</v>
      </c>
      <c r="J3781">
        <v>0</v>
      </c>
      <c r="K3781">
        <v>0</v>
      </c>
      <c r="L3781">
        <v>0</v>
      </c>
      <c r="M3781">
        <v>0</v>
      </c>
      <c r="N3781">
        <v>0</v>
      </c>
      <c r="O3781">
        <v>0</v>
      </c>
    </row>
    <row r="3782" spans="1:15" x14ac:dyDescent="0.35">
      <c r="A3782" t="s">
        <v>4255</v>
      </c>
      <c r="B3782" t="s">
        <v>4256</v>
      </c>
      <c r="C3782" t="s">
        <v>1477</v>
      </c>
      <c r="D3782" t="s">
        <v>314</v>
      </c>
      <c r="E3782" t="s">
        <v>298</v>
      </c>
      <c r="F3782" t="s">
        <v>4269</v>
      </c>
      <c r="G3782">
        <v>0</v>
      </c>
      <c r="H3782">
        <v>0</v>
      </c>
      <c r="I3782">
        <v>0</v>
      </c>
      <c r="J3782">
        <v>0</v>
      </c>
      <c r="K3782">
        <v>0</v>
      </c>
      <c r="L3782">
        <v>0</v>
      </c>
      <c r="M3782">
        <v>0</v>
      </c>
      <c r="N3782">
        <v>0</v>
      </c>
      <c r="O3782">
        <v>0</v>
      </c>
    </row>
    <row r="3783" spans="1:15" x14ac:dyDescent="0.35">
      <c r="A3783" t="s">
        <v>4255</v>
      </c>
      <c r="B3783" t="s">
        <v>4256</v>
      </c>
      <c r="C3783" t="s">
        <v>1477</v>
      </c>
      <c r="D3783" t="s">
        <v>314</v>
      </c>
      <c r="E3783" t="s">
        <v>300</v>
      </c>
      <c r="F3783" t="s">
        <v>4270</v>
      </c>
      <c r="G3783">
        <v>0</v>
      </c>
      <c r="H3783">
        <v>0</v>
      </c>
      <c r="I3783">
        <v>0</v>
      </c>
      <c r="J3783">
        <v>0</v>
      </c>
      <c r="K3783">
        <v>0</v>
      </c>
      <c r="L3783">
        <v>0</v>
      </c>
      <c r="M3783">
        <v>0</v>
      </c>
      <c r="N3783">
        <v>0</v>
      </c>
      <c r="O3783">
        <v>0</v>
      </c>
    </row>
    <row r="3784" spans="1:15" x14ac:dyDescent="0.35">
      <c r="A3784" t="s">
        <v>4255</v>
      </c>
      <c r="B3784" t="s">
        <v>4256</v>
      </c>
      <c r="C3784" t="s">
        <v>1477</v>
      </c>
      <c r="D3784" t="s">
        <v>314</v>
      </c>
      <c r="E3784" t="s">
        <v>306</v>
      </c>
      <c r="F3784" t="s">
        <v>4271</v>
      </c>
      <c r="G3784">
        <v>0</v>
      </c>
      <c r="H3784">
        <v>0</v>
      </c>
      <c r="I3784">
        <v>0</v>
      </c>
      <c r="J3784">
        <v>0</v>
      </c>
      <c r="K3784">
        <v>0</v>
      </c>
      <c r="L3784">
        <v>0</v>
      </c>
      <c r="M3784">
        <v>0</v>
      </c>
      <c r="N3784">
        <v>0</v>
      </c>
      <c r="O3784">
        <v>0</v>
      </c>
    </row>
    <row r="3785" spans="1:15" x14ac:dyDescent="0.35">
      <c r="A3785" t="s">
        <v>4255</v>
      </c>
      <c r="B3785" t="s">
        <v>4256</v>
      </c>
      <c r="C3785" t="s">
        <v>1477</v>
      </c>
      <c r="D3785" t="s">
        <v>314</v>
      </c>
      <c r="E3785" t="s">
        <v>308</v>
      </c>
      <c r="F3785" t="s">
        <v>4272</v>
      </c>
      <c r="G3785">
        <v>0</v>
      </c>
      <c r="H3785">
        <v>0</v>
      </c>
      <c r="I3785">
        <v>0</v>
      </c>
      <c r="J3785">
        <v>0</v>
      </c>
      <c r="K3785">
        <v>0</v>
      </c>
      <c r="L3785">
        <v>0</v>
      </c>
      <c r="M3785">
        <v>0</v>
      </c>
      <c r="N3785">
        <v>0</v>
      </c>
      <c r="O3785">
        <v>0</v>
      </c>
    </row>
    <row r="3786" spans="1:15" x14ac:dyDescent="0.35">
      <c r="A3786" t="s">
        <v>4255</v>
      </c>
      <c r="B3786" t="s">
        <v>4256</v>
      </c>
      <c r="C3786" t="s">
        <v>1477</v>
      </c>
      <c r="D3786" t="s">
        <v>314</v>
      </c>
      <c r="E3786" t="s">
        <v>312</v>
      </c>
      <c r="F3786" t="s">
        <v>4273</v>
      </c>
      <c r="G3786">
        <v>10</v>
      </c>
      <c r="H3786">
        <v>1560.1</v>
      </c>
      <c r="I3786">
        <v>156.01</v>
      </c>
      <c r="J3786">
        <v>0</v>
      </c>
      <c r="K3786">
        <v>0</v>
      </c>
      <c r="L3786">
        <v>0</v>
      </c>
      <c r="M3786">
        <v>10</v>
      </c>
      <c r="N3786">
        <v>1560.1</v>
      </c>
      <c r="O3786">
        <v>156.01</v>
      </c>
    </row>
    <row r="3787" spans="1:15" x14ac:dyDescent="0.35">
      <c r="A3787" t="s">
        <v>4255</v>
      </c>
      <c r="B3787" t="s">
        <v>4256</v>
      </c>
      <c r="C3787" t="s">
        <v>1477</v>
      </c>
      <c r="D3787" t="s">
        <v>314</v>
      </c>
      <c r="E3787" t="s">
        <v>310</v>
      </c>
      <c r="F3787" t="s">
        <v>4274</v>
      </c>
      <c r="G3787">
        <v>10</v>
      </c>
      <c r="H3787">
        <v>1560.1</v>
      </c>
      <c r="I3787">
        <v>156.01</v>
      </c>
      <c r="J3787">
        <v>0</v>
      </c>
      <c r="K3787">
        <v>0</v>
      </c>
      <c r="L3787">
        <v>0</v>
      </c>
      <c r="M3787">
        <v>10</v>
      </c>
      <c r="N3787">
        <v>1560.1</v>
      </c>
      <c r="O3787">
        <v>156.01</v>
      </c>
    </row>
    <row r="3788" spans="1:15" x14ac:dyDescent="0.35">
      <c r="A3788" t="s">
        <v>4255</v>
      </c>
      <c r="B3788" t="s">
        <v>4256</v>
      </c>
      <c r="C3788" t="s">
        <v>1477</v>
      </c>
      <c r="D3788" t="s">
        <v>323</v>
      </c>
      <c r="E3788" t="s">
        <v>294</v>
      </c>
      <c r="F3788" t="s">
        <v>4275</v>
      </c>
      <c r="G3788">
        <v>245</v>
      </c>
      <c r="H3788">
        <v>28345.510000000002</v>
      </c>
      <c r="I3788">
        <v>115.7</v>
      </c>
      <c r="J3788">
        <v>1762</v>
      </c>
      <c r="K3788">
        <v>185432.88</v>
      </c>
      <c r="L3788">
        <v>105.24</v>
      </c>
      <c r="M3788">
        <v>2007</v>
      </c>
      <c r="N3788">
        <v>213778.39</v>
      </c>
      <c r="O3788">
        <v>106.52</v>
      </c>
    </row>
    <row r="3789" spans="1:15" x14ac:dyDescent="0.35">
      <c r="A3789" t="s">
        <v>4255</v>
      </c>
      <c r="B3789" t="s">
        <v>4256</v>
      </c>
      <c r="C3789" t="s">
        <v>1477</v>
      </c>
      <c r="D3789" t="s">
        <v>323</v>
      </c>
      <c r="E3789" t="s">
        <v>296</v>
      </c>
      <c r="F3789" t="s">
        <v>4276</v>
      </c>
      <c r="G3789">
        <v>454</v>
      </c>
      <c r="H3789">
        <v>64465.07</v>
      </c>
      <c r="I3789">
        <v>141.99</v>
      </c>
      <c r="J3789">
        <v>1706</v>
      </c>
      <c r="K3789">
        <v>206187.16</v>
      </c>
      <c r="L3789">
        <v>120.86</v>
      </c>
      <c r="M3789">
        <v>2160</v>
      </c>
      <c r="N3789">
        <v>270652.23</v>
      </c>
      <c r="O3789">
        <v>125.3</v>
      </c>
    </row>
    <row r="3790" spans="1:15" x14ac:dyDescent="0.35">
      <c r="A3790" t="s">
        <v>4255</v>
      </c>
      <c r="B3790" t="s">
        <v>4256</v>
      </c>
      <c r="C3790" t="s">
        <v>1477</v>
      </c>
      <c r="D3790" t="s">
        <v>323</v>
      </c>
      <c r="E3790" t="s">
        <v>298</v>
      </c>
      <c r="F3790" t="s">
        <v>4277</v>
      </c>
      <c r="G3790">
        <v>466</v>
      </c>
      <c r="H3790">
        <v>77679.910000000018</v>
      </c>
      <c r="I3790">
        <v>166.7</v>
      </c>
      <c r="J3790">
        <v>1782</v>
      </c>
      <c r="K3790">
        <v>245007.18000000002</v>
      </c>
      <c r="L3790">
        <v>137.49</v>
      </c>
      <c r="M3790">
        <v>2248</v>
      </c>
      <c r="N3790">
        <v>322687.09000000003</v>
      </c>
      <c r="O3790">
        <v>143.54</v>
      </c>
    </row>
    <row r="3791" spans="1:15" x14ac:dyDescent="0.35">
      <c r="A3791" t="s">
        <v>4255</v>
      </c>
      <c r="B3791" t="s">
        <v>4256</v>
      </c>
      <c r="C3791" t="s">
        <v>1477</v>
      </c>
      <c r="D3791" t="s">
        <v>323</v>
      </c>
      <c r="E3791" t="s">
        <v>300</v>
      </c>
      <c r="F3791" t="s">
        <v>4278</v>
      </c>
      <c r="G3791">
        <v>37</v>
      </c>
      <c r="H3791">
        <v>6829.8200000000015</v>
      </c>
      <c r="I3791">
        <v>184.59</v>
      </c>
      <c r="J3791">
        <v>143</v>
      </c>
      <c r="K3791">
        <v>21830.38</v>
      </c>
      <c r="L3791">
        <v>152.66</v>
      </c>
      <c r="M3791">
        <v>180</v>
      </c>
      <c r="N3791">
        <v>28660.200000000004</v>
      </c>
      <c r="O3791">
        <v>159.22</v>
      </c>
    </row>
    <row r="3792" spans="1:15" x14ac:dyDescent="0.35">
      <c r="A3792" t="s">
        <v>4255</v>
      </c>
      <c r="B3792" t="s">
        <v>4256</v>
      </c>
      <c r="C3792" t="s">
        <v>1477</v>
      </c>
      <c r="D3792" t="s">
        <v>323</v>
      </c>
      <c r="E3792" t="s">
        <v>302</v>
      </c>
      <c r="F3792" t="s">
        <v>4279</v>
      </c>
      <c r="G3792">
        <v>13</v>
      </c>
      <c r="H3792">
        <v>2430.48</v>
      </c>
      <c r="I3792">
        <v>186.96</v>
      </c>
      <c r="J3792">
        <v>3</v>
      </c>
      <c r="K3792">
        <v>507.78</v>
      </c>
      <c r="L3792">
        <v>169.26</v>
      </c>
      <c r="M3792">
        <v>16</v>
      </c>
      <c r="N3792">
        <v>2938.26</v>
      </c>
      <c r="O3792">
        <v>183.64</v>
      </c>
    </row>
    <row r="3793" spans="1:15" x14ac:dyDescent="0.35">
      <c r="A3793" t="s">
        <v>4255</v>
      </c>
      <c r="B3793" t="s">
        <v>4256</v>
      </c>
      <c r="C3793" t="s">
        <v>1477</v>
      </c>
      <c r="D3793" t="s">
        <v>323</v>
      </c>
      <c r="E3793" t="s">
        <v>304</v>
      </c>
      <c r="F3793" t="s">
        <v>4280</v>
      </c>
      <c r="G3793">
        <v>0</v>
      </c>
      <c r="H3793">
        <v>0</v>
      </c>
      <c r="I3793">
        <v>0</v>
      </c>
      <c r="J3793">
        <v>0</v>
      </c>
      <c r="K3793">
        <v>0</v>
      </c>
      <c r="L3793">
        <v>0</v>
      </c>
      <c r="M3793">
        <v>0</v>
      </c>
      <c r="N3793">
        <v>0</v>
      </c>
      <c r="O3793">
        <v>0</v>
      </c>
    </row>
    <row r="3794" spans="1:15" x14ac:dyDescent="0.35">
      <c r="A3794" t="s">
        <v>4255</v>
      </c>
      <c r="B3794" t="s">
        <v>4256</v>
      </c>
      <c r="C3794" t="s">
        <v>1477</v>
      </c>
      <c r="D3794" t="s">
        <v>323</v>
      </c>
      <c r="E3794" t="s">
        <v>306</v>
      </c>
      <c r="F3794" t="s">
        <v>4281</v>
      </c>
      <c r="G3794">
        <v>0</v>
      </c>
      <c r="H3794">
        <v>0</v>
      </c>
      <c r="I3794">
        <v>0</v>
      </c>
      <c r="J3794">
        <v>217</v>
      </c>
      <c r="K3794">
        <v>20298.18</v>
      </c>
      <c r="L3794">
        <v>93.54</v>
      </c>
      <c r="M3794">
        <v>217</v>
      </c>
      <c r="N3794">
        <v>20298.18</v>
      </c>
      <c r="O3794">
        <v>93.54</v>
      </c>
    </row>
    <row r="3795" spans="1:15" x14ac:dyDescent="0.35">
      <c r="A3795" t="s">
        <v>4255</v>
      </c>
      <c r="B3795" t="s">
        <v>4256</v>
      </c>
      <c r="C3795" t="s">
        <v>1477</v>
      </c>
      <c r="D3795" t="s">
        <v>323</v>
      </c>
      <c r="E3795" t="s">
        <v>308</v>
      </c>
      <c r="F3795" t="s">
        <v>4282</v>
      </c>
      <c r="G3795">
        <v>0</v>
      </c>
      <c r="H3795">
        <v>0</v>
      </c>
      <c r="I3795">
        <v>0</v>
      </c>
      <c r="J3795">
        <v>0</v>
      </c>
      <c r="K3795">
        <v>0</v>
      </c>
      <c r="L3795">
        <v>0</v>
      </c>
      <c r="M3795">
        <v>0</v>
      </c>
      <c r="N3795">
        <v>0</v>
      </c>
      <c r="O3795">
        <v>0</v>
      </c>
    </row>
    <row r="3796" spans="1:15" x14ac:dyDescent="0.35">
      <c r="A3796" t="s">
        <v>4255</v>
      </c>
      <c r="B3796" t="s">
        <v>4256</v>
      </c>
      <c r="C3796" t="s">
        <v>1477</v>
      </c>
      <c r="D3796" t="s">
        <v>323</v>
      </c>
      <c r="E3796" t="s">
        <v>310</v>
      </c>
      <c r="F3796" t="s">
        <v>4283</v>
      </c>
      <c r="G3796">
        <v>1215</v>
      </c>
      <c r="H3796">
        <v>179750.79000000004</v>
      </c>
      <c r="I3796">
        <v>147.94</v>
      </c>
      <c r="J3796">
        <v>5613</v>
      </c>
      <c r="K3796">
        <v>679263.56000000017</v>
      </c>
      <c r="L3796">
        <v>121.02</v>
      </c>
      <c r="M3796">
        <v>6828</v>
      </c>
      <c r="N3796">
        <v>859014.35000000021</v>
      </c>
      <c r="O3796">
        <v>125.81</v>
      </c>
    </row>
    <row r="3797" spans="1:15" x14ac:dyDescent="0.35">
      <c r="A3797" t="s">
        <v>4255</v>
      </c>
      <c r="B3797" t="s">
        <v>4256</v>
      </c>
      <c r="C3797" t="s">
        <v>1477</v>
      </c>
      <c r="D3797" t="s">
        <v>323</v>
      </c>
      <c r="E3797" t="s">
        <v>312</v>
      </c>
      <c r="F3797" t="s">
        <v>4284</v>
      </c>
      <c r="G3797">
        <v>1215</v>
      </c>
      <c r="H3797">
        <v>179750.79000000004</v>
      </c>
      <c r="I3797">
        <v>147.94</v>
      </c>
      <c r="J3797">
        <v>5613</v>
      </c>
      <c r="K3797">
        <v>679263.56000000017</v>
      </c>
      <c r="L3797">
        <v>121.02</v>
      </c>
      <c r="M3797">
        <v>6828</v>
      </c>
      <c r="N3797">
        <v>859014.35000000021</v>
      </c>
      <c r="O3797">
        <v>125.81</v>
      </c>
    </row>
    <row r="3798" spans="1:15" x14ac:dyDescent="0.35">
      <c r="A3798" t="s">
        <v>4255</v>
      </c>
      <c r="B3798" t="s">
        <v>4256</v>
      </c>
      <c r="C3798" t="s">
        <v>1477</v>
      </c>
      <c r="D3798" t="s">
        <v>334</v>
      </c>
      <c r="E3798" t="s">
        <v>312</v>
      </c>
      <c r="F3798" t="s">
        <v>4285</v>
      </c>
      <c r="G3798">
        <v>1550</v>
      </c>
      <c r="H3798">
        <v>255229.93000000002</v>
      </c>
      <c r="I3798">
        <v>166.49</v>
      </c>
      <c r="J3798">
        <v>5822</v>
      </c>
      <c r="K3798">
        <v>731537.68000000017</v>
      </c>
      <c r="L3798">
        <v>125.65</v>
      </c>
      <c r="M3798">
        <v>7372</v>
      </c>
      <c r="N3798">
        <v>986767.61000000022</v>
      </c>
      <c r="O3798">
        <v>134.16</v>
      </c>
    </row>
    <row r="3799" spans="1:15" x14ac:dyDescent="0.35">
      <c r="A3799" t="s">
        <v>4255</v>
      </c>
      <c r="B3799" t="s">
        <v>4256</v>
      </c>
      <c r="C3799" t="s">
        <v>1477</v>
      </c>
      <c r="D3799" t="s">
        <v>334</v>
      </c>
      <c r="E3799" t="s">
        <v>308</v>
      </c>
      <c r="F3799" t="s">
        <v>4286</v>
      </c>
      <c r="G3799">
        <v>0</v>
      </c>
      <c r="H3799">
        <v>0</v>
      </c>
      <c r="I3799">
        <v>0</v>
      </c>
      <c r="J3799">
        <v>0</v>
      </c>
      <c r="K3799">
        <v>0</v>
      </c>
      <c r="L3799">
        <v>0</v>
      </c>
      <c r="M3799">
        <v>0</v>
      </c>
      <c r="N3799">
        <v>0</v>
      </c>
      <c r="O3799">
        <v>0</v>
      </c>
    </row>
    <row r="3800" spans="1:15" x14ac:dyDescent="0.35">
      <c r="A3800" t="s">
        <v>4255</v>
      </c>
      <c r="B3800" t="s">
        <v>4256</v>
      </c>
      <c r="C3800" t="s">
        <v>1477</v>
      </c>
      <c r="D3800" t="s">
        <v>337</v>
      </c>
      <c r="E3800" t="s">
        <v>337</v>
      </c>
      <c r="F3800" t="s">
        <v>4287</v>
      </c>
      <c r="G3800">
        <v>403</v>
      </c>
      <c r="J3800">
        <v>0</v>
      </c>
      <c r="M3800">
        <v>403</v>
      </c>
    </row>
    <row r="3801" spans="1:15" x14ac:dyDescent="0.35">
      <c r="A3801" t="s">
        <v>4255</v>
      </c>
      <c r="B3801" t="s">
        <v>4256</v>
      </c>
      <c r="C3801" t="s">
        <v>1477</v>
      </c>
      <c r="D3801" t="s">
        <v>339</v>
      </c>
      <c r="E3801" t="s">
        <v>294</v>
      </c>
      <c r="F3801" t="s">
        <v>4288</v>
      </c>
      <c r="G3801">
        <v>203</v>
      </c>
      <c r="H3801">
        <v>24995.929999999997</v>
      </c>
      <c r="I3801">
        <v>123.13</v>
      </c>
      <c r="J3801">
        <v>449</v>
      </c>
      <c r="K3801">
        <v>47773.600000000006</v>
      </c>
      <c r="L3801">
        <v>106.4</v>
      </c>
      <c r="M3801">
        <v>652</v>
      </c>
      <c r="N3801">
        <v>72769.53</v>
      </c>
      <c r="O3801">
        <v>111.61</v>
      </c>
    </row>
    <row r="3802" spans="1:15" x14ac:dyDescent="0.35">
      <c r="A3802" t="s">
        <v>4255</v>
      </c>
      <c r="B3802" t="s">
        <v>4256</v>
      </c>
      <c r="C3802" t="s">
        <v>1477</v>
      </c>
      <c r="D3802" t="s">
        <v>339</v>
      </c>
      <c r="E3802" t="s">
        <v>296</v>
      </c>
      <c r="F3802" t="s">
        <v>4289</v>
      </c>
      <c r="G3802">
        <v>19</v>
      </c>
      <c r="H3802">
        <v>2896.2200000000003</v>
      </c>
      <c r="I3802">
        <v>152.43</v>
      </c>
      <c r="J3802">
        <v>17</v>
      </c>
      <c r="K3802">
        <v>2164.61</v>
      </c>
      <c r="L3802">
        <v>127.33</v>
      </c>
      <c r="M3802">
        <v>36</v>
      </c>
      <c r="N3802">
        <v>5060.83</v>
      </c>
      <c r="O3802">
        <v>140.58000000000001</v>
      </c>
    </row>
    <row r="3803" spans="1:15" x14ac:dyDescent="0.35">
      <c r="A3803" t="s">
        <v>4255</v>
      </c>
      <c r="B3803" t="s">
        <v>4256</v>
      </c>
      <c r="C3803" t="s">
        <v>1477</v>
      </c>
      <c r="D3803" t="s">
        <v>339</v>
      </c>
      <c r="E3803" t="s">
        <v>298</v>
      </c>
      <c r="F3803" t="s">
        <v>4290</v>
      </c>
      <c r="G3803">
        <v>0</v>
      </c>
      <c r="H3803">
        <v>0</v>
      </c>
      <c r="I3803">
        <v>0</v>
      </c>
      <c r="J3803">
        <v>2</v>
      </c>
      <c r="K3803">
        <v>312.5</v>
      </c>
      <c r="L3803">
        <v>156.25</v>
      </c>
      <c r="M3803">
        <v>2</v>
      </c>
      <c r="N3803">
        <v>312.5</v>
      </c>
      <c r="O3803">
        <v>156.25</v>
      </c>
    </row>
    <row r="3804" spans="1:15" x14ac:dyDescent="0.35">
      <c r="A3804" t="s">
        <v>4255</v>
      </c>
      <c r="B3804" t="s">
        <v>4256</v>
      </c>
      <c r="C3804" t="s">
        <v>1477</v>
      </c>
      <c r="D3804" t="s">
        <v>339</v>
      </c>
      <c r="E3804" t="s">
        <v>300</v>
      </c>
      <c r="F3804" t="s">
        <v>4291</v>
      </c>
      <c r="G3804">
        <v>0</v>
      </c>
      <c r="H3804">
        <v>0</v>
      </c>
      <c r="I3804">
        <v>0</v>
      </c>
      <c r="J3804">
        <v>0</v>
      </c>
      <c r="K3804">
        <v>0</v>
      </c>
      <c r="L3804">
        <v>0</v>
      </c>
      <c r="M3804">
        <v>0</v>
      </c>
      <c r="N3804">
        <v>0</v>
      </c>
      <c r="O3804">
        <v>0</v>
      </c>
    </row>
    <row r="3805" spans="1:15" x14ac:dyDescent="0.35">
      <c r="A3805" t="s">
        <v>4255</v>
      </c>
      <c r="B3805" t="s">
        <v>4256</v>
      </c>
      <c r="C3805" t="s">
        <v>1477</v>
      </c>
      <c r="D3805" t="s">
        <v>339</v>
      </c>
      <c r="E3805" t="s">
        <v>306</v>
      </c>
      <c r="F3805" t="s">
        <v>4292</v>
      </c>
      <c r="G3805">
        <v>56</v>
      </c>
      <c r="H3805">
        <v>5479.6900000000005</v>
      </c>
      <c r="I3805">
        <v>97.85</v>
      </c>
      <c r="J3805">
        <v>86</v>
      </c>
      <c r="K3805">
        <v>8328.24</v>
      </c>
      <c r="L3805">
        <v>96.84</v>
      </c>
      <c r="M3805">
        <v>142</v>
      </c>
      <c r="N3805">
        <v>13807.93</v>
      </c>
      <c r="O3805">
        <v>97.24</v>
      </c>
    </row>
    <row r="3806" spans="1:15" x14ac:dyDescent="0.35">
      <c r="A3806" t="s">
        <v>4255</v>
      </c>
      <c r="B3806" t="s">
        <v>4256</v>
      </c>
      <c r="C3806" t="s">
        <v>1477</v>
      </c>
      <c r="D3806" t="s">
        <v>339</v>
      </c>
      <c r="E3806" t="s">
        <v>308</v>
      </c>
      <c r="F3806" t="s">
        <v>4293</v>
      </c>
      <c r="G3806">
        <v>7</v>
      </c>
      <c r="H3806">
        <v>801.24</v>
      </c>
      <c r="I3806">
        <v>114.46</v>
      </c>
      <c r="J3806">
        <v>0</v>
      </c>
      <c r="K3806">
        <v>0</v>
      </c>
      <c r="L3806">
        <v>0</v>
      </c>
      <c r="M3806">
        <v>7</v>
      </c>
      <c r="N3806">
        <v>801.24</v>
      </c>
      <c r="O3806">
        <v>114.46</v>
      </c>
    </row>
    <row r="3807" spans="1:15" x14ac:dyDescent="0.35">
      <c r="A3807" t="s">
        <v>4255</v>
      </c>
      <c r="B3807" t="s">
        <v>4256</v>
      </c>
      <c r="C3807" t="s">
        <v>1477</v>
      </c>
      <c r="D3807" t="s">
        <v>339</v>
      </c>
      <c r="E3807" t="s">
        <v>310</v>
      </c>
      <c r="F3807" t="s">
        <v>4294</v>
      </c>
      <c r="G3807">
        <v>285</v>
      </c>
      <c r="H3807">
        <v>34173.079999999994</v>
      </c>
      <c r="I3807">
        <v>119.91</v>
      </c>
      <c r="J3807">
        <v>554</v>
      </c>
      <c r="K3807">
        <v>58578.950000000004</v>
      </c>
      <c r="L3807">
        <v>105.74</v>
      </c>
      <c r="M3807">
        <v>839</v>
      </c>
      <c r="N3807">
        <v>92752.03</v>
      </c>
      <c r="O3807">
        <v>110.55</v>
      </c>
    </row>
    <row r="3808" spans="1:15" x14ac:dyDescent="0.35">
      <c r="A3808" t="s">
        <v>4255</v>
      </c>
      <c r="B3808" t="s">
        <v>4256</v>
      </c>
      <c r="C3808" t="s">
        <v>1477</v>
      </c>
      <c r="D3808" t="s">
        <v>339</v>
      </c>
      <c r="E3808" t="s">
        <v>312</v>
      </c>
      <c r="F3808" t="s">
        <v>4295</v>
      </c>
      <c r="G3808">
        <v>278</v>
      </c>
      <c r="H3808">
        <v>33371.839999999997</v>
      </c>
      <c r="I3808">
        <v>120.04</v>
      </c>
      <c r="J3808">
        <v>554</v>
      </c>
      <c r="K3808">
        <v>58578.950000000004</v>
      </c>
      <c r="L3808">
        <v>105.74</v>
      </c>
      <c r="M3808">
        <v>832</v>
      </c>
      <c r="N3808">
        <v>91950.790000000008</v>
      </c>
      <c r="O3808">
        <v>110.52</v>
      </c>
    </row>
    <row r="3809" spans="1:15" x14ac:dyDescent="0.35">
      <c r="A3809" t="s">
        <v>4255</v>
      </c>
      <c r="B3809" t="s">
        <v>4256</v>
      </c>
      <c r="C3809" t="s">
        <v>1477</v>
      </c>
      <c r="D3809" t="s">
        <v>348</v>
      </c>
      <c r="E3809" t="s">
        <v>349</v>
      </c>
      <c r="F3809" t="s">
        <v>4296</v>
      </c>
      <c r="G3809">
        <v>391</v>
      </c>
      <c r="H3809">
        <v>35733.179999999993</v>
      </c>
      <c r="I3809">
        <v>121.13</v>
      </c>
      <c r="J3809">
        <v>554</v>
      </c>
      <c r="K3809">
        <v>58578.950000000004</v>
      </c>
      <c r="L3809">
        <v>105.74</v>
      </c>
      <c r="M3809">
        <v>945</v>
      </c>
      <c r="N3809">
        <v>94312.13</v>
      </c>
      <c r="O3809">
        <v>111.09</v>
      </c>
    </row>
    <row r="3810" spans="1:15" x14ac:dyDescent="0.35">
      <c r="A3810" t="s">
        <v>4297</v>
      </c>
      <c r="B3810" t="s">
        <v>4298</v>
      </c>
      <c r="C3810" t="s">
        <v>1477</v>
      </c>
      <c r="D3810" t="s">
        <v>293</v>
      </c>
      <c r="E3810" t="s">
        <v>294</v>
      </c>
      <c r="F3810" t="s">
        <v>4299</v>
      </c>
      <c r="G3810">
        <v>199</v>
      </c>
      <c r="H3810">
        <v>34743.990000000005</v>
      </c>
      <c r="I3810">
        <v>174.59</v>
      </c>
      <c r="J3810">
        <v>0</v>
      </c>
      <c r="K3810">
        <v>0</v>
      </c>
      <c r="L3810">
        <v>0</v>
      </c>
      <c r="M3810">
        <v>199</v>
      </c>
      <c r="N3810">
        <v>34743.990000000005</v>
      </c>
      <c r="O3810">
        <v>174.59</v>
      </c>
    </row>
    <row r="3811" spans="1:15" x14ac:dyDescent="0.35">
      <c r="A3811" t="s">
        <v>4297</v>
      </c>
      <c r="B3811" t="s">
        <v>4298</v>
      </c>
      <c r="C3811" t="s">
        <v>1477</v>
      </c>
      <c r="D3811" t="s">
        <v>293</v>
      </c>
      <c r="E3811" t="s">
        <v>296</v>
      </c>
      <c r="F3811" t="s">
        <v>4300</v>
      </c>
      <c r="G3811">
        <v>202</v>
      </c>
      <c r="H3811">
        <v>42788.759999999987</v>
      </c>
      <c r="I3811">
        <v>211.83</v>
      </c>
      <c r="J3811">
        <v>0</v>
      </c>
      <c r="K3811">
        <v>0</v>
      </c>
      <c r="L3811">
        <v>0</v>
      </c>
      <c r="M3811">
        <v>202</v>
      </c>
      <c r="N3811">
        <v>42788.759999999987</v>
      </c>
      <c r="O3811">
        <v>211.83</v>
      </c>
    </row>
    <row r="3812" spans="1:15" x14ac:dyDescent="0.35">
      <c r="A3812" t="s">
        <v>4297</v>
      </c>
      <c r="B3812" t="s">
        <v>4298</v>
      </c>
      <c r="C3812" t="s">
        <v>1477</v>
      </c>
      <c r="D3812" t="s">
        <v>293</v>
      </c>
      <c r="E3812" t="s">
        <v>298</v>
      </c>
      <c r="F3812" t="s">
        <v>4301</v>
      </c>
      <c r="G3812">
        <v>108</v>
      </c>
      <c r="H3812">
        <v>26563.019999999997</v>
      </c>
      <c r="I3812">
        <v>245.95</v>
      </c>
      <c r="J3812">
        <v>0</v>
      </c>
      <c r="K3812">
        <v>0</v>
      </c>
      <c r="L3812">
        <v>0</v>
      </c>
      <c r="M3812">
        <v>108</v>
      </c>
      <c r="N3812">
        <v>26563.019999999997</v>
      </c>
      <c r="O3812">
        <v>245.95</v>
      </c>
    </row>
    <row r="3813" spans="1:15" x14ac:dyDescent="0.35">
      <c r="A3813" t="s">
        <v>4297</v>
      </c>
      <c r="B3813" t="s">
        <v>4298</v>
      </c>
      <c r="C3813" t="s">
        <v>1477</v>
      </c>
      <c r="D3813" t="s">
        <v>293</v>
      </c>
      <c r="E3813" t="s">
        <v>300</v>
      </c>
      <c r="F3813" t="s">
        <v>4302</v>
      </c>
      <c r="G3813">
        <v>7</v>
      </c>
      <c r="H3813">
        <v>2329.17</v>
      </c>
      <c r="I3813">
        <v>332.74</v>
      </c>
      <c r="J3813">
        <v>0</v>
      </c>
      <c r="K3813">
        <v>0</v>
      </c>
      <c r="L3813">
        <v>0</v>
      </c>
      <c r="M3813">
        <v>7</v>
      </c>
      <c r="N3813">
        <v>2329.17</v>
      </c>
      <c r="O3813">
        <v>332.74</v>
      </c>
    </row>
    <row r="3814" spans="1:15" x14ac:dyDescent="0.35">
      <c r="A3814" t="s">
        <v>4297</v>
      </c>
      <c r="B3814" t="s">
        <v>4298</v>
      </c>
      <c r="C3814" t="s">
        <v>1477</v>
      </c>
      <c r="D3814" t="s">
        <v>293</v>
      </c>
      <c r="E3814" t="s">
        <v>302</v>
      </c>
      <c r="F3814" t="s">
        <v>4303</v>
      </c>
      <c r="G3814">
        <v>0</v>
      </c>
      <c r="H3814">
        <v>0</v>
      </c>
      <c r="I3814">
        <v>0</v>
      </c>
      <c r="J3814">
        <v>0</v>
      </c>
      <c r="K3814">
        <v>0</v>
      </c>
      <c r="L3814">
        <v>0</v>
      </c>
      <c r="M3814">
        <v>0</v>
      </c>
      <c r="N3814">
        <v>0</v>
      </c>
      <c r="O3814">
        <v>0</v>
      </c>
    </row>
    <row r="3815" spans="1:15" x14ac:dyDescent="0.35">
      <c r="A3815" t="s">
        <v>4297</v>
      </c>
      <c r="B3815" t="s">
        <v>4298</v>
      </c>
      <c r="C3815" t="s">
        <v>1477</v>
      </c>
      <c r="D3815" t="s">
        <v>293</v>
      </c>
      <c r="E3815" t="s">
        <v>304</v>
      </c>
      <c r="F3815" t="s">
        <v>4304</v>
      </c>
      <c r="G3815">
        <v>0</v>
      </c>
      <c r="H3815">
        <v>0</v>
      </c>
      <c r="I3815">
        <v>0</v>
      </c>
      <c r="J3815">
        <v>0</v>
      </c>
      <c r="K3815">
        <v>0</v>
      </c>
      <c r="L3815">
        <v>0</v>
      </c>
      <c r="M3815">
        <v>0</v>
      </c>
      <c r="N3815">
        <v>0</v>
      </c>
      <c r="O3815">
        <v>0</v>
      </c>
    </row>
    <row r="3816" spans="1:15" x14ac:dyDescent="0.35">
      <c r="A3816" t="s">
        <v>4297</v>
      </c>
      <c r="B3816" t="s">
        <v>4298</v>
      </c>
      <c r="C3816" t="s">
        <v>1477</v>
      </c>
      <c r="D3816" t="s">
        <v>293</v>
      </c>
      <c r="E3816" t="s">
        <v>306</v>
      </c>
      <c r="F3816" t="s">
        <v>4305</v>
      </c>
      <c r="G3816">
        <v>0</v>
      </c>
      <c r="H3816">
        <v>0</v>
      </c>
      <c r="I3816">
        <v>0</v>
      </c>
      <c r="J3816">
        <v>0</v>
      </c>
      <c r="K3816">
        <v>0</v>
      </c>
      <c r="L3816">
        <v>0</v>
      </c>
      <c r="M3816">
        <v>0</v>
      </c>
      <c r="N3816">
        <v>0</v>
      </c>
      <c r="O3816">
        <v>0</v>
      </c>
    </row>
    <row r="3817" spans="1:15" x14ac:dyDescent="0.35">
      <c r="A3817" t="s">
        <v>4297</v>
      </c>
      <c r="B3817" t="s">
        <v>4298</v>
      </c>
      <c r="C3817" t="s">
        <v>1477</v>
      </c>
      <c r="D3817" t="s">
        <v>293</v>
      </c>
      <c r="E3817" t="s">
        <v>308</v>
      </c>
      <c r="F3817" t="s">
        <v>4306</v>
      </c>
      <c r="G3817">
        <v>0</v>
      </c>
      <c r="H3817">
        <v>0</v>
      </c>
      <c r="I3817">
        <v>0</v>
      </c>
      <c r="J3817">
        <v>0</v>
      </c>
      <c r="K3817">
        <v>0</v>
      </c>
      <c r="L3817">
        <v>0</v>
      </c>
      <c r="M3817">
        <v>0</v>
      </c>
      <c r="N3817">
        <v>0</v>
      </c>
      <c r="O3817">
        <v>0</v>
      </c>
    </row>
    <row r="3818" spans="1:15" x14ac:dyDescent="0.35">
      <c r="A3818" t="s">
        <v>4297</v>
      </c>
      <c r="B3818" t="s">
        <v>4298</v>
      </c>
      <c r="C3818" t="s">
        <v>1477</v>
      </c>
      <c r="D3818" t="s">
        <v>293</v>
      </c>
      <c r="E3818" t="s">
        <v>310</v>
      </c>
      <c r="F3818" t="s">
        <v>4307</v>
      </c>
      <c r="G3818">
        <v>516</v>
      </c>
      <c r="H3818">
        <v>106424.93999999999</v>
      </c>
      <c r="I3818">
        <v>206.25</v>
      </c>
      <c r="J3818">
        <v>0</v>
      </c>
      <c r="K3818">
        <v>0</v>
      </c>
      <c r="L3818">
        <v>0</v>
      </c>
      <c r="M3818">
        <v>516</v>
      </c>
      <c r="N3818">
        <v>106424.93999999999</v>
      </c>
      <c r="O3818">
        <v>206.25</v>
      </c>
    </row>
    <row r="3819" spans="1:15" x14ac:dyDescent="0.35">
      <c r="A3819" t="s">
        <v>4297</v>
      </c>
      <c r="B3819" t="s">
        <v>4298</v>
      </c>
      <c r="C3819" t="s">
        <v>1477</v>
      </c>
      <c r="D3819" t="s">
        <v>293</v>
      </c>
      <c r="E3819" t="s">
        <v>312</v>
      </c>
      <c r="F3819" t="s">
        <v>4308</v>
      </c>
      <c r="G3819">
        <v>516</v>
      </c>
      <c r="H3819">
        <v>106424.93999999999</v>
      </c>
      <c r="I3819">
        <v>206.25</v>
      </c>
      <c r="J3819">
        <v>0</v>
      </c>
      <c r="K3819">
        <v>0</v>
      </c>
      <c r="L3819">
        <v>0</v>
      </c>
      <c r="M3819">
        <v>516</v>
      </c>
      <c r="N3819">
        <v>106424.93999999999</v>
      </c>
      <c r="O3819">
        <v>206.25</v>
      </c>
    </row>
    <row r="3820" spans="1:15" x14ac:dyDescent="0.35">
      <c r="A3820" t="s">
        <v>4297</v>
      </c>
      <c r="B3820" t="s">
        <v>4298</v>
      </c>
      <c r="C3820" t="s">
        <v>1477</v>
      </c>
      <c r="D3820" t="s">
        <v>314</v>
      </c>
      <c r="E3820" t="s">
        <v>294</v>
      </c>
      <c r="F3820" t="s">
        <v>4309</v>
      </c>
      <c r="G3820">
        <v>0</v>
      </c>
      <c r="H3820">
        <v>0</v>
      </c>
      <c r="I3820">
        <v>0</v>
      </c>
      <c r="J3820">
        <v>0</v>
      </c>
      <c r="K3820">
        <v>0</v>
      </c>
      <c r="L3820">
        <v>0</v>
      </c>
      <c r="M3820">
        <v>0</v>
      </c>
      <c r="N3820">
        <v>0</v>
      </c>
      <c r="O3820">
        <v>0</v>
      </c>
    </row>
    <row r="3821" spans="1:15" x14ac:dyDescent="0.35">
      <c r="A3821" t="s">
        <v>4297</v>
      </c>
      <c r="B3821" t="s">
        <v>4298</v>
      </c>
      <c r="C3821" t="s">
        <v>1477</v>
      </c>
      <c r="D3821" t="s">
        <v>314</v>
      </c>
      <c r="E3821" t="s">
        <v>296</v>
      </c>
      <c r="F3821" t="s">
        <v>4310</v>
      </c>
      <c r="G3821">
        <v>0</v>
      </c>
      <c r="H3821">
        <v>0</v>
      </c>
      <c r="I3821">
        <v>0</v>
      </c>
      <c r="J3821">
        <v>0</v>
      </c>
      <c r="K3821">
        <v>0</v>
      </c>
      <c r="L3821">
        <v>0</v>
      </c>
      <c r="M3821">
        <v>0</v>
      </c>
      <c r="N3821">
        <v>0</v>
      </c>
      <c r="O3821">
        <v>0</v>
      </c>
    </row>
    <row r="3822" spans="1:15" x14ac:dyDescent="0.35">
      <c r="A3822" t="s">
        <v>4297</v>
      </c>
      <c r="B3822" t="s">
        <v>4298</v>
      </c>
      <c r="C3822" t="s">
        <v>1477</v>
      </c>
      <c r="D3822" t="s">
        <v>314</v>
      </c>
      <c r="E3822" t="s">
        <v>298</v>
      </c>
      <c r="F3822" t="s">
        <v>4311</v>
      </c>
      <c r="G3822">
        <v>0</v>
      </c>
      <c r="H3822">
        <v>0</v>
      </c>
      <c r="I3822">
        <v>0</v>
      </c>
      <c r="J3822">
        <v>0</v>
      </c>
      <c r="K3822">
        <v>0</v>
      </c>
      <c r="L3822">
        <v>0</v>
      </c>
      <c r="M3822">
        <v>0</v>
      </c>
      <c r="N3822">
        <v>0</v>
      </c>
      <c r="O3822">
        <v>0</v>
      </c>
    </row>
    <row r="3823" spans="1:15" x14ac:dyDescent="0.35">
      <c r="A3823" t="s">
        <v>4297</v>
      </c>
      <c r="B3823" t="s">
        <v>4298</v>
      </c>
      <c r="C3823" t="s">
        <v>1477</v>
      </c>
      <c r="D3823" t="s">
        <v>314</v>
      </c>
      <c r="E3823" t="s">
        <v>300</v>
      </c>
      <c r="F3823" t="s">
        <v>4312</v>
      </c>
      <c r="G3823">
        <v>0</v>
      </c>
      <c r="H3823">
        <v>0</v>
      </c>
      <c r="I3823">
        <v>0</v>
      </c>
      <c r="J3823">
        <v>0</v>
      </c>
      <c r="K3823">
        <v>0</v>
      </c>
      <c r="L3823">
        <v>0</v>
      </c>
      <c r="M3823">
        <v>0</v>
      </c>
      <c r="N3823">
        <v>0</v>
      </c>
      <c r="O3823">
        <v>0</v>
      </c>
    </row>
    <row r="3824" spans="1:15" x14ac:dyDescent="0.35">
      <c r="A3824" t="s">
        <v>4297</v>
      </c>
      <c r="B3824" t="s">
        <v>4298</v>
      </c>
      <c r="C3824" t="s">
        <v>1477</v>
      </c>
      <c r="D3824" t="s">
        <v>314</v>
      </c>
      <c r="E3824" t="s">
        <v>306</v>
      </c>
      <c r="F3824" t="s">
        <v>4313</v>
      </c>
      <c r="G3824">
        <v>0</v>
      </c>
      <c r="H3824">
        <v>0</v>
      </c>
      <c r="I3824">
        <v>0</v>
      </c>
      <c r="J3824">
        <v>0</v>
      </c>
      <c r="K3824">
        <v>0</v>
      </c>
      <c r="L3824">
        <v>0</v>
      </c>
      <c r="M3824">
        <v>0</v>
      </c>
      <c r="N3824">
        <v>0</v>
      </c>
      <c r="O3824">
        <v>0</v>
      </c>
    </row>
    <row r="3825" spans="1:15" x14ac:dyDescent="0.35">
      <c r="A3825" t="s">
        <v>4297</v>
      </c>
      <c r="B3825" t="s">
        <v>4298</v>
      </c>
      <c r="C3825" t="s">
        <v>1477</v>
      </c>
      <c r="D3825" t="s">
        <v>314</v>
      </c>
      <c r="E3825" t="s">
        <v>308</v>
      </c>
      <c r="F3825" t="s">
        <v>4314</v>
      </c>
      <c r="G3825">
        <v>0</v>
      </c>
      <c r="H3825">
        <v>0</v>
      </c>
      <c r="I3825">
        <v>0</v>
      </c>
      <c r="J3825">
        <v>0</v>
      </c>
      <c r="K3825">
        <v>0</v>
      </c>
      <c r="L3825">
        <v>0</v>
      </c>
      <c r="M3825">
        <v>0</v>
      </c>
      <c r="N3825">
        <v>0</v>
      </c>
      <c r="O3825">
        <v>0</v>
      </c>
    </row>
    <row r="3826" spans="1:15" x14ac:dyDescent="0.35">
      <c r="A3826" t="s">
        <v>4297</v>
      </c>
      <c r="B3826" t="s">
        <v>4298</v>
      </c>
      <c r="C3826" t="s">
        <v>1477</v>
      </c>
      <c r="D3826" t="s">
        <v>314</v>
      </c>
      <c r="E3826" t="s">
        <v>312</v>
      </c>
      <c r="F3826" t="s">
        <v>4315</v>
      </c>
      <c r="G3826">
        <v>0</v>
      </c>
      <c r="H3826">
        <v>0</v>
      </c>
      <c r="I3826">
        <v>0</v>
      </c>
      <c r="J3826">
        <v>0</v>
      </c>
      <c r="K3826">
        <v>0</v>
      </c>
      <c r="L3826">
        <v>0</v>
      </c>
      <c r="M3826">
        <v>0</v>
      </c>
      <c r="N3826">
        <v>0</v>
      </c>
      <c r="O3826">
        <v>0</v>
      </c>
    </row>
    <row r="3827" spans="1:15" x14ac:dyDescent="0.35">
      <c r="A3827" t="s">
        <v>4297</v>
      </c>
      <c r="B3827" t="s">
        <v>4298</v>
      </c>
      <c r="C3827" t="s">
        <v>1477</v>
      </c>
      <c r="D3827" t="s">
        <v>314</v>
      </c>
      <c r="E3827" t="s">
        <v>310</v>
      </c>
      <c r="F3827" t="s">
        <v>4316</v>
      </c>
      <c r="G3827">
        <v>0</v>
      </c>
      <c r="H3827">
        <v>0</v>
      </c>
      <c r="I3827">
        <v>0</v>
      </c>
      <c r="J3827">
        <v>0</v>
      </c>
      <c r="K3827">
        <v>0</v>
      </c>
      <c r="L3827">
        <v>0</v>
      </c>
      <c r="M3827">
        <v>0</v>
      </c>
      <c r="N3827">
        <v>0</v>
      </c>
      <c r="O3827">
        <v>0</v>
      </c>
    </row>
    <row r="3828" spans="1:15" x14ac:dyDescent="0.35">
      <c r="A3828" t="s">
        <v>4297</v>
      </c>
      <c r="B3828" t="s">
        <v>4298</v>
      </c>
      <c r="C3828" t="s">
        <v>1477</v>
      </c>
      <c r="D3828" t="s">
        <v>323</v>
      </c>
      <c r="E3828" t="s">
        <v>294</v>
      </c>
      <c r="F3828" t="s">
        <v>4317</v>
      </c>
      <c r="G3828">
        <v>360</v>
      </c>
      <c r="H3828">
        <v>39045.949999999997</v>
      </c>
      <c r="I3828">
        <v>108.46</v>
      </c>
      <c r="J3828">
        <v>1560</v>
      </c>
      <c r="K3828">
        <v>146047.20000000001</v>
      </c>
      <c r="L3828">
        <v>93.62</v>
      </c>
      <c r="M3828">
        <v>1920</v>
      </c>
      <c r="N3828">
        <v>185093.15000000002</v>
      </c>
      <c r="O3828">
        <v>96.4</v>
      </c>
    </row>
    <row r="3829" spans="1:15" x14ac:dyDescent="0.35">
      <c r="A3829" t="s">
        <v>4297</v>
      </c>
      <c r="B3829" t="s">
        <v>4298</v>
      </c>
      <c r="C3829" t="s">
        <v>1477</v>
      </c>
      <c r="D3829" t="s">
        <v>323</v>
      </c>
      <c r="E3829" t="s">
        <v>296</v>
      </c>
      <c r="F3829" t="s">
        <v>4318</v>
      </c>
      <c r="G3829">
        <v>487</v>
      </c>
      <c r="H3829">
        <v>62325.17</v>
      </c>
      <c r="I3829">
        <v>127.98</v>
      </c>
      <c r="J3829">
        <v>3459</v>
      </c>
      <c r="K3829">
        <v>386923.74</v>
      </c>
      <c r="L3829">
        <v>111.86</v>
      </c>
      <c r="M3829">
        <v>3946</v>
      </c>
      <c r="N3829">
        <v>449248.91</v>
      </c>
      <c r="O3829">
        <v>113.85</v>
      </c>
    </row>
    <row r="3830" spans="1:15" x14ac:dyDescent="0.35">
      <c r="A3830" t="s">
        <v>4297</v>
      </c>
      <c r="B3830" t="s">
        <v>4298</v>
      </c>
      <c r="C3830" t="s">
        <v>1477</v>
      </c>
      <c r="D3830" t="s">
        <v>323</v>
      </c>
      <c r="E3830" t="s">
        <v>298</v>
      </c>
      <c r="F3830" t="s">
        <v>4319</v>
      </c>
      <c r="G3830">
        <v>284</v>
      </c>
      <c r="H3830">
        <v>42098.5</v>
      </c>
      <c r="I3830">
        <v>148.22999999999999</v>
      </c>
      <c r="J3830">
        <v>2768</v>
      </c>
      <c r="K3830">
        <v>349598.39999999997</v>
      </c>
      <c r="L3830">
        <v>126.3</v>
      </c>
      <c r="M3830">
        <v>3052</v>
      </c>
      <c r="N3830">
        <v>391696.89999999997</v>
      </c>
      <c r="O3830">
        <v>128.34</v>
      </c>
    </row>
    <row r="3831" spans="1:15" x14ac:dyDescent="0.35">
      <c r="A3831" t="s">
        <v>4297</v>
      </c>
      <c r="B3831" t="s">
        <v>4298</v>
      </c>
      <c r="C3831" t="s">
        <v>1477</v>
      </c>
      <c r="D3831" t="s">
        <v>323</v>
      </c>
      <c r="E3831" t="s">
        <v>300</v>
      </c>
      <c r="F3831" t="s">
        <v>4320</v>
      </c>
      <c r="G3831">
        <v>53</v>
      </c>
      <c r="H3831">
        <v>8881.35</v>
      </c>
      <c r="I3831">
        <v>167.57</v>
      </c>
      <c r="J3831">
        <v>311</v>
      </c>
      <c r="K3831">
        <v>42821.59</v>
      </c>
      <c r="L3831">
        <v>137.69</v>
      </c>
      <c r="M3831">
        <v>364</v>
      </c>
      <c r="N3831">
        <v>51702.939999999995</v>
      </c>
      <c r="O3831">
        <v>142.04</v>
      </c>
    </row>
    <row r="3832" spans="1:15" x14ac:dyDescent="0.35">
      <c r="A3832" t="s">
        <v>4297</v>
      </c>
      <c r="B3832" t="s">
        <v>4298</v>
      </c>
      <c r="C3832" t="s">
        <v>1477</v>
      </c>
      <c r="D3832" t="s">
        <v>323</v>
      </c>
      <c r="E3832" t="s">
        <v>302</v>
      </c>
      <c r="F3832" t="s">
        <v>4321</v>
      </c>
      <c r="G3832">
        <v>1</v>
      </c>
      <c r="H3832">
        <v>176.5</v>
      </c>
      <c r="I3832">
        <v>176.5</v>
      </c>
      <c r="J3832">
        <v>25</v>
      </c>
      <c r="K3832">
        <v>3723.25</v>
      </c>
      <c r="L3832">
        <v>148.93</v>
      </c>
      <c r="M3832">
        <v>26</v>
      </c>
      <c r="N3832">
        <v>3899.75</v>
      </c>
      <c r="O3832">
        <v>149.99</v>
      </c>
    </row>
    <row r="3833" spans="1:15" x14ac:dyDescent="0.35">
      <c r="A3833" t="s">
        <v>4297</v>
      </c>
      <c r="B3833" t="s">
        <v>4298</v>
      </c>
      <c r="C3833" t="s">
        <v>1477</v>
      </c>
      <c r="D3833" t="s">
        <v>323</v>
      </c>
      <c r="E3833" t="s">
        <v>304</v>
      </c>
      <c r="F3833" t="s">
        <v>4322</v>
      </c>
      <c r="G3833">
        <v>0</v>
      </c>
      <c r="H3833">
        <v>0</v>
      </c>
      <c r="I3833">
        <v>0</v>
      </c>
      <c r="J3833">
        <v>0</v>
      </c>
      <c r="K3833">
        <v>0</v>
      </c>
      <c r="L3833">
        <v>0</v>
      </c>
      <c r="M3833">
        <v>0</v>
      </c>
      <c r="N3833">
        <v>0</v>
      </c>
      <c r="O3833">
        <v>0</v>
      </c>
    </row>
    <row r="3834" spans="1:15" x14ac:dyDescent="0.35">
      <c r="A3834" t="s">
        <v>4297</v>
      </c>
      <c r="B3834" t="s">
        <v>4298</v>
      </c>
      <c r="C3834" t="s">
        <v>1477</v>
      </c>
      <c r="D3834" t="s">
        <v>323</v>
      </c>
      <c r="E3834" t="s">
        <v>306</v>
      </c>
      <c r="F3834" t="s">
        <v>4323</v>
      </c>
      <c r="G3834">
        <v>20</v>
      </c>
      <c r="H3834">
        <v>1711.6</v>
      </c>
      <c r="I3834">
        <v>85.58</v>
      </c>
      <c r="J3834">
        <v>392</v>
      </c>
      <c r="K3834">
        <v>30830.800000000003</v>
      </c>
      <c r="L3834">
        <v>78.650000000000006</v>
      </c>
      <c r="M3834">
        <v>412</v>
      </c>
      <c r="N3834">
        <v>32542.400000000001</v>
      </c>
      <c r="O3834">
        <v>78.989999999999995</v>
      </c>
    </row>
    <row r="3835" spans="1:15" x14ac:dyDescent="0.35">
      <c r="A3835" t="s">
        <v>4297</v>
      </c>
      <c r="B3835" t="s">
        <v>4298</v>
      </c>
      <c r="C3835" t="s">
        <v>1477</v>
      </c>
      <c r="D3835" t="s">
        <v>323</v>
      </c>
      <c r="E3835" t="s">
        <v>308</v>
      </c>
      <c r="F3835" t="s">
        <v>4324</v>
      </c>
      <c r="G3835">
        <v>0</v>
      </c>
      <c r="H3835">
        <v>0</v>
      </c>
      <c r="I3835">
        <v>0</v>
      </c>
      <c r="J3835">
        <v>3</v>
      </c>
      <c r="K3835">
        <v>162.72</v>
      </c>
      <c r="L3835">
        <v>54.24</v>
      </c>
      <c r="M3835">
        <v>3</v>
      </c>
      <c r="N3835">
        <v>162.72</v>
      </c>
      <c r="O3835">
        <v>54.24</v>
      </c>
    </row>
    <row r="3836" spans="1:15" x14ac:dyDescent="0.35">
      <c r="A3836" t="s">
        <v>4297</v>
      </c>
      <c r="B3836" t="s">
        <v>4298</v>
      </c>
      <c r="C3836" t="s">
        <v>1477</v>
      </c>
      <c r="D3836" t="s">
        <v>323</v>
      </c>
      <c r="E3836" t="s">
        <v>310</v>
      </c>
      <c r="F3836" t="s">
        <v>4325</v>
      </c>
      <c r="G3836">
        <v>1205</v>
      </c>
      <c r="H3836">
        <v>154239.07</v>
      </c>
      <c r="I3836">
        <v>128</v>
      </c>
      <c r="J3836">
        <v>8518</v>
      </c>
      <c r="K3836">
        <v>960107.69999999984</v>
      </c>
      <c r="L3836">
        <v>112.72</v>
      </c>
      <c r="M3836">
        <v>9723</v>
      </c>
      <c r="N3836">
        <v>1114346.7699999998</v>
      </c>
      <c r="O3836">
        <v>114.61</v>
      </c>
    </row>
    <row r="3837" spans="1:15" x14ac:dyDescent="0.35">
      <c r="A3837" t="s">
        <v>4297</v>
      </c>
      <c r="B3837" t="s">
        <v>4298</v>
      </c>
      <c r="C3837" t="s">
        <v>1477</v>
      </c>
      <c r="D3837" t="s">
        <v>323</v>
      </c>
      <c r="E3837" t="s">
        <v>312</v>
      </c>
      <c r="F3837" t="s">
        <v>4326</v>
      </c>
      <c r="G3837">
        <v>1205</v>
      </c>
      <c r="H3837">
        <v>154239.07</v>
      </c>
      <c r="I3837">
        <v>128</v>
      </c>
      <c r="J3837">
        <v>8515</v>
      </c>
      <c r="K3837">
        <v>959944.97999999986</v>
      </c>
      <c r="L3837">
        <v>112.74</v>
      </c>
      <c r="M3837">
        <v>9720</v>
      </c>
      <c r="N3837">
        <v>1114184.0499999998</v>
      </c>
      <c r="O3837">
        <v>114.63</v>
      </c>
    </row>
    <row r="3838" spans="1:15" x14ac:dyDescent="0.35">
      <c r="A3838" t="s">
        <v>4297</v>
      </c>
      <c r="B3838" t="s">
        <v>4298</v>
      </c>
      <c r="C3838" t="s">
        <v>1477</v>
      </c>
      <c r="D3838" t="s">
        <v>334</v>
      </c>
      <c r="E3838" t="s">
        <v>312</v>
      </c>
      <c r="F3838" t="s">
        <v>4327</v>
      </c>
      <c r="G3838">
        <v>1726</v>
      </c>
      <c r="H3838">
        <v>260664.01</v>
      </c>
      <c r="I3838">
        <v>151.46</v>
      </c>
      <c r="J3838">
        <v>8515</v>
      </c>
      <c r="K3838">
        <v>959944.97999999986</v>
      </c>
      <c r="L3838">
        <v>112.74</v>
      </c>
      <c r="M3838">
        <v>10241</v>
      </c>
      <c r="N3838">
        <v>1220608.9899999998</v>
      </c>
      <c r="O3838">
        <v>119.25</v>
      </c>
    </row>
    <row r="3839" spans="1:15" x14ac:dyDescent="0.35">
      <c r="A3839" t="s">
        <v>4297</v>
      </c>
      <c r="B3839" t="s">
        <v>4298</v>
      </c>
      <c r="C3839" t="s">
        <v>1477</v>
      </c>
      <c r="D3839" t="s">
        <v>334</v>
      </c>
      <c r="E3839" t="s">
        <v>308</v>
      </c>
      <c r="F3839" t="s">
        <v>4328</v>
      </c>
      <c r="G3839">
        <v>236</v>
      </c>
      <c r="H3839">
        <v>0</v>
      </c>
      <c r="I3839">
        <v>0</v>
      </c>
      <c r="J3839">
        <v>3</v>
      </c>
      <c r="K3839">
        <v>162.72</v>
      </c>
      <c r="L3839">
        <v>54.24</v>
      </c>
      <c r="M3839">
        <v>239</v>
      </c>
      <c r="N3839">
        <v>162.72</v>
      </c>
      <c r="O3839">
        <v>54.24</v>
      </c>
    </row>
    <row r="3840" spans="1:15" x14ac:dyDescent="0.35">
      <c r="A3840" t="s">
        <v>4297</v>
      </c>
      <c r="B3840" t="s">
        <v>4298</v>
      </c>
      <c r="C3840" t="s">
        <v>1477</v>
      </c>
      <c r="D3840" t="s">
        <v>337</v>
      </c>
      <c r="E3840" t="s">
        <v>337</v>
      </c>
      <c r="F3840" t="s">
        <v>4329</v>
      </c>
      <c r="G3840">
        <v>644</v>
      </c>
      <c r="J3840">
        <v>9</v>
      </c>
      <c r="M3840">
        <v>653</v>
      </c>
    </row>
    <row r="3841" spans="1:15" x14ac:dyDescent="0.35">
      <c r="A3841" t="s">
        <v>4297</v>
      </c>
      <c r="B3841" t="s">
        <v>4298</v>
      </c>
      <c r="C3841" t="s">
        <v>1477</v>
      </c>
      <c r="D3841" t="s">
        <v>339</v>
      </c>
      <c r="E3841" t="s">
        <v>294</v>
      </c>
      <c r="F3841" t="s">
        <v>4330</v>
      </c>
      <c r="G3841">
        <v>243</v>
      </c>
      <c r="H3841">
        <v>29286.92</v>
      </c>
      <c r="I3841">
        <v>120.52</v>
      </c>
      <c r="J3841">
        <v>502</v>
      </c>
      <c r="K3841">
        <v>51565.440000000002</v>
      </c>
      <c r="L3841">
        <v>102.72</v>
      </c>
      <c r="M3841">
        <v>745</v>
      </c>
      <c r="N3841">
        <v>80852.36</v>
      </c>
      <c r="O3841">
        <v>108.53</v>
      </c>
    </row>
    <row r="3842" spans="1:15" x14ac:dyDescent="0.35">
      <c r="A3842" t="s">
        <v>4297</v>
      </c>
      <c r="B3842" t="s">
        <v>4298</v>
      </c>
      <c r="C3842" t="s">
        <v>1477</v>
      </c>
      <c r="D3842" t="s">
        <v>339</v>
      </c>
      <c r="E3842" t="s">
        <v>296</v>
      </c>
      <c r="F3842" t="s">
        <v>4331</v>
      </c>
      <c r="G3842">
        <v>4</v>
      </c>
      <c r="H3842">
        <v>510.75</v>
      </c>
      <c r="I3842">
        <v>127.69</v>
      </c>
      <c r="J3842">
        <v>8</v>
      </c>
      <c r="K3842">
        <v>935.12</v>
      </c>
      <c r="L3842">
        <v>116.89</v>
      </c>
      <c r="M3842">
        <v>12</v>
      </c>
      <c r="N3842">
        <v>1445.87</v>
      </c>
      <c r="O3842">
        <v>120.49</v>
      </c>
    </row>
    <row r="3843" spans="1:15" x14ac:dyDescent="0.35">
      <c r="A3843" t="s">
        <v>4297</v>
      </c>
      <c r="B3843" t="s">
        <v>4298</v>
      </c>
      <c r="C3843" t="s">
        <v>1477</v>
      </c>
      <c r="D3843" t="s">
        <v>339</v>
      </c>
      <c r="E3843" t="s">
        <v>298</v>
      </c>
      <c r="F3843" t="s">
        <v>4332</v>
      </c>
      <c r="G3843">
        <v>1</v>
      </c>
      <c r="H3843">
        <v>198.84</v>
      </c>
      <c r="I3843">
        <v>198.84</v>
      </c>
      <c r="J3843">
        <v>11</v>
      </c>
      <c r="K3843">
        <v>1448.8100000000002</v>
      </c>
      <c r="L3843">
        <v>131.71</v>
      </c>
      <c r="M3843">
        <v>12</v>
      </c>
      <c r="N3843">
        <v>1647.65</v>
      </c>
      <c r="O3843">
        <v>137.30000000000001</v>
      </c>
    </row>
    <row r="3844" spans="1:15" x14ac:dyDescent="0.35">
      <c r="A3844" t="s">
        <v>4297</v>
      </c>
      <c r="B3844" t="s">
        <v>4298</v>
      </c>
      <c r="C3844" t="s">
        <v>1477</v>
      </c>
      <c r="D3844" t="s">
        <v>339</v>
      </c>
      <c r="E3844" t="s">
        <v>300</v>
      </c>
      <c r="F3844" t="s">
        <v>4333</v>
      </c>
      <c r="G3844">
        <v>0</v>
      </c>
      <c r="H3844">
        <v>0</v>
      </c>
      <c r="I3844">
        <v>0</v>
      </c>
      <c r="J3844">
        <v>0</v>
      </c>
      <c r="K3844">
        <v>0</v>
      </c>
      <c r="L3844">
        <v>0</v>
      </c>
      <c r="M3844">
        <v>0</v>
      </c>
      <c r="N3844">
        <v>0</v>
      </c>
      <c r="O3844">
        <v>0</v>
      </c>
    </row>
    <row r="3845" spans="1:15" x14ac:dyDescent="0.35">
      <c r="A3845" t="s">
        <v>4297</v>
      </c>
      <c r="B3845" t="s">
        <v>4298</v>
      </c>
      <c r="C3845" t="s">
        <v>1477</v>
      </c>
      <c r="D3845" t="s">
        <v>339</v>
      </c>
      <c r="E3845" t="s">
        <v>306</v>
      </c>
      <c r="F3845" t="s">
        <v>4334</v>
      </c>
      <c r="G3845">
        <v>74</v>
      </c>
      <c r="H3845">
        <v>7105.33</v>
      </c>
      <c r="I3845">
        <v>96.02</v>
      </c>
      <c r="J3845">
        <v>2</v>
      </c>
      <c r="K3845">
        <v>157.19999999999999</v>
      </c>
      <c r="L3845">
        <v>78.599999999999994</v>
      </c>
      <c r="M3845">
        <v>76</v>
      </c>
      <c r="N3845">
        <v>7262.53</v>
      </c>
      <c r="O3845">
        <v>95.56</v>
      </c>
    </row>
    <row r="3846" spans="1:15" x14ac:dyDescent="0.35">
      <c r="A3846" t="s">
        <v>4297</v>
      </c>
      <c r="B3846" t="s">
        <v>4298</v>
      </c>
      <c r="C3846" t="s">
        <v>1477</v>
      </c>
      <c r="D3846" t="s">
        <v>339</v>
      </c>
      <c r="E3846" t="s">
        <v>308</v>
      </c>
      <c r="F3846" t="s">
        <v>4335</v>
      </c>
      <c r="G3846">
        <v>28</v>
      </c>
      <c r="H3846">
        <v>4483.53</v>
      </c>
      <c r="I3846">
        <v>160.13</v>
      </c>
      <c r="J3846">
        <v>0</v>
      </c>
      <c r="K3846">
        <v>0</v>
      </c>
      <c r="L3846">
        <v>0</v>
      </c>
      <c r="M3846">
        <v>28</v>
      </c>
      <c r="N3846">
        <v>4483.53</v>
      </c>
      <c r="O3846">
        <v>160.13</v>
      </c>
    </row>
    <row r="3847" spans="1:15" x14ac:dyDescent="0.35">
      <c r="A3847" t="s">
        <v>4297</v>
      </c>
      <c r="B3847" t="s">
        <v>4298</v>
      </c>
      <c r="C3847" t="s">
        <v>1477</v>
      </c>
      <c r="D3847" t="s">
        <v>339</v>
      </c>
      <c r="E3847" t="s">
        <v>310</v>
      </c>
      <c r="F3847" t="s">
        <v>4336</v>
      </c>
      <c r="G3847">
        <v>350</v>
      </c>
      <c r="H3847">
        <v>41585.369999999995</v>
      </c>
      <c r="I3847">
        <v>118.82</v>
      </c>
      <c r="J3847">
        <v>523</v>
      </c>
      <c r="K3847">
        <v>54106.57</v>
      </c>
      <c r="L3847">
        <v>103.45</v>
      </c>
      <c r="M3847">
        <v>873</v>
      </c>
      <c r="N3847">
        <v>95691.94</v>
      </c>
      <c r="O3847">
        <v>109.61</v>
      </c>
    </row>
    <row r="3848" spans="1:15" x14ac:dyDescent="0.35">
      <c r="A3848" t="s">
        <v>4297</v>
      </c>
      <c r="B3848" t="s">
        <v>4298</v>
      </c>
      <c r="C3848" t="s">
        <v>1477</v>
      </c>
      <c r="D3848" t="s">
        <v>339</v>
      </c>
      <c r="E3848" t="s">
        <v>312</v>
      </c>
      <c r="F3848" t="s">
        <v>4337</v>
      </c>
      <c r="G3848">
        <v>322</v>
      </c>
      <c r="H3848">
        <v>37101.839999999997</v>
      </c>
      <c r="I3848">
        <v>115.22</v>
      </c>
      <c r="J3848">
        <v>523</v>
      </c>
      <c r="K3848">
        <v>54106.57</v>
      </c>
      <c r="L3848">
        <v>103.45</v>
      </c>
      <c r="M3848">
        <v>845</v>
      </c>
      <c r="N3848">
        <v>91208.41</v>
      </c>
      <c r="O3848">
        <v>107.94</v>
      </c>
    </row>
    <row r="3849" spans="1:15" x14ac:dyDescent="0.35">
      <c r="A3849" t="s">
        <v>4297</v>
      </c>
      <c r="B3849" t="s">
        <v>4298</v>
      </c>
      <c r="C3849" t="s">
        <v>1477</v>
      </c>
      <c r="D3849" t="s">
        <v>348</v>
      </c>
      <c r="E3849" t="s">
        <v>349</v>
      </c>
      <c r="F3849" t="s">
        <v>4338</v>
      </c>
      <c r="G3849">
        <v>367</v>
      </c>
      <c r="H3849">
        <v>41585.369999999995</v>
      </c>
      <c r="I3849">
        <v>118.82</v>
      </c>
      <c r="J3849">
        <v>523</v>
      </c>
      <c r="K3849">
        <v>54106.57</v>
      </c>
      <c r="L3849">
        <v>103.45</v>
      </c>
      <c r="M3849">
        <v>890</v>
      </c>
      <c r="N3849">
        <v>95691.94</v>
      </c>
      <c r="O3849">
        <v>109.61</v>
      </c>
    </row>
    <row r="3850" spans="1:15" x14ac:dyDescent="0.35">
      <c r="A3850" t="s">
        <v>4339</v>
      </c>
      <c r="B3850" t="s">
        <v>4340</v>
      </c>
      <c r="C3850" t="s">
        <v>1477</v>
      </c>
      <c r="D3850" t="s">
        <v>293</v>
      </c>
      <c r="E3850" t="s">
        <v>294</v>
      </c>
      <c r="F3850" t="s">
        <v>4341</v>
      </c>
      <c r="G3850">
        <v>196</v>
      </c>
      <c r="H3850">
        <v>30182.330000000005</v>
      </c>
      <c r="I3850">
        <v>153.99</v>
      </c>
      <c r="J3850">
        <v>0</v>
      </c>
      <c r="K3850">
        <v>0</v>
      </c>
      <c r="L3850">
        <v>0</v>
      </c>
      <c r="M3850">
        <v>196</v>
      </c>
      <c r="N3850">
        <v>30182.330000000005</v>
      </c>
      <c r="O3850">
        <v>153.99</v>
      </c>
    </row>
    <row r="3851" spans="1:15" x14ac:dyDescent="0.35">
      <c r="A3851" t="s">
        <v>4339</v>
      </c>
      <c r="B3851" t="s">
        <v>4340</v>
      </c>
      <c r="C3851" t="s">
        <v>1477</v>
      </c>
      <c r="D3851" t="s">
        <v>293</v>
      </c>
      <c r="E3851" t="s">
        <v>296</v>
      </c>
      <c r="F3851" t="s">
        <v>4342</v>
      </c>
      <c r="G3851">
        <v>391</v>
      </c>
      <c r="H3851">
        <v>73444.900000000009</v>
      </c>
      <c r="I3851">
        <v>187.84</v>
      </c>
      <c r="J3851">
        <v>0</v>
      </c>
      <c r="K3851">
        <v>0</v>
      </c>
      <c r="L3851">
        <v>0</v>
      </c>
      <c r="M3851">
        <v>391</v>
      </c>
      <c r="N3851">
        <v>73444.900000000009</v>
      </c>
      <c r="O3851">
        <v>187.84</v>
      </c>
    </row>
    <row r="3852" spans="1:15" x14ac:dyDescent="0.35">
      <c r="A3852" t="s">
        <v>4339</v>
      </c>
      <c r="B3852" t="s">
        <v>4340</v>
      </c>
      <c r="C3852" t="s">
        <v>1477</v>
      </c>
      <c r="D3852" t="s">
        <v>293</v>
      </c>
      <c r="E3852" t="s">
        <v>298</v>
      </c>
      <c r="F3852" t="s">
        <v>4343</v>
      </c>
      <c r="G3852">
        <v>83</v>
      </c>
      <c r="H3852">
        <v>17981.55</v>
      </c>
      <c r="I3852">
        <v>216.65</v>
      </c>
      <c r="J3852">
        <v>0</v>
      </c>
      <c r="K3852">
        <v>0</v>
      </c>
      <c r="L3852">
        <v>0</v>
      </c>
      <c r="M3852">
        <v>83</v>
      </c>
      <c r="N3852">
        <v>17981.55</v>
      </c>
      <c r="O3852">
        <v>216.65</v>
      </c>
    </row>
    <row r="3853" spans="1:15" x14ac:dyDescent="0.35">
      <c r="A3853" t="s">
        <v>4339</v>
      </c>
      <c r="B3853" t="s">
        <v>4340</v>
      </c>
      <c r="C3853" t="s">
        <v>1477</v>
      </c>
      <c r="D3853" t="s">
        <v>293</v>
      </c>
      <c r="E3853" t="s">
        <v>300</v>
      </c>
      <c r="F3853" t="s">
        <v>4344</v>
      </c>
      <c r="G3853">
        <v>5</v>
      </c>
      <c r="H3853">
        <v>1314.04</v>
      </c>
      <c r="I3853">
        <v>262.81</v>
      </c>
      <c r="J3853">
        <v>0</v>
      </c>
      <c r="K3853">
        <v>0</v>
      </c>
      <c r="L3853">
        <v>0</v>
      </c>
      <c r="M3853">
        <v>5</v>
      </c>
      <c r="N3853">
        <v>1314.04</v>
      </c>
      <c r="O3853">
        <v>262.81</v>
      </c>
    </row>
    <row r="3854" spans="1:15" x14ac:dyDescent="0.35">
      <c r="A3854" t="s">
        <v>4339</v>
      </c>
      <c r="B3854" t="s">
        <v>4340</v>
      </c>
      <c r="C3854" t="s">
        <v>1477</v>
      </c>
      <c r="D3854" t="s">
        <v>293</v>
      </c>
      <c r="E3854" t="s">
        <v>302</v>
      </c>
      <c r="F3854" t="s">
        <v>4345</v>
      </c>
      <c r="G3854">
        <v>0</v>
      </c>
      <c r="H3854">
        <v>0</v>
      </c>
      <c r="I3854">
        <v>0</v>
      </c>
      <c r="J3854">
        <v>0</v>
      </c>
      <c r="K3854">
        <v>0</v>
      </c>
      <c r="L3854">
        <v>0</v>
      </c>
      <c r="M3854">
        <v>0</v>
      </c>
      <c r="N3854">
        <v>0</v>
      </c>
      <c r="O3854">
        <v>0</v>
      </c>
    </row>
    <row r="3855" spans="1:15" x14ac:dyDescent="0.35">
      <c r="A3855" t="s">
        <v>4339</v>
      </c>
      <c r="B3855" t="s">
        <v>4340</v>
      </c>
      <c r="C3855" t="s">
        <v>1477</v>
      </c>
      <c r="D3855" t="s">
        <v>293</v>
      </c>
      <c r="E3855" t="s">
        <v>304</v>
      </c>
      <c r="F3855" t="s">
        <v>4346</v>
      </c>
      <c r="G3855">
        <v>0</v>
      </c>
      <c r="H3855">
        <v>0</v>
      </c>
      <c r="I3855">
        <v>0</v>
      </c>
      <c r="J3855">
        <v>0</v>
      </c>
      <c r="K3855">
        <v>0</v>
      </c>
      <c r="L3855">
        <v>0</v>
      </c>
      <c r="M3855">
        <v>0</v>
      </c>
      <c r="N3855">
        <v>0</v>
      </c>
      <c r="O3855">
        <v>0</v>
      </c>
    </row>
    <row r="3856" spans="1:15" x14ac:dyDescent="0.35">
      <c r="A3856" t="s">
        <v>4339</v>
      </c>
      <c r="B3856" t="s">
        <v>4340</v>
      </c>
      <c r="C3856" t="s">
        <v>1477</v>
      </c>
      <c r="D3856" t="s">
        <v>293</v>
      </c>
      <c r="E3856" t="s">
        <v>306</v>
      </c>
      <c r="F3856" t="s">
        <v>4347</v>
      </c>
      <c r="G3856">
        <v>0</v>
      </c>
      <c r="H3856">
        <v>0</v>
      </c>
      <c r="I3856">
        <v>0</v>
      </c>
      <c r="J3856">
        <v>0</v>
      </c>
      <c r="K3856">
        <v>0</v>
      </c>
      <c r="L3856">
        <v>0</v>
      </c>
      <c r="M3856">
        <v>0</v>
      </c>
      <c r="N3856">
        <v>0</v>
      </c>
      <c r="O3856">
        <v>0</v>
      </c>
    </row>
    <row r="3857" spans="1:15" x14ac:dyDescent="0.35">
      <c r="A3857" t="s">
        <v>4339</v>
      </c>
      <c r="B3857" t="s">
        <v>4340</v>
      </c>
      <c r="C3857" t="s">
        <v>1477</v>
      </c>
      <c r="D3857" t="s">
        <v>293</v>
      </c>
      <c r="E3857" t="s">
        <v>308</v>
      </c>
      <c r="F3857" t="s">
        <v>4348</v>
      </c>
      <c r="G3857">
        <v>0</v>
      </c>
      <c r="H3857">
        <v>0</v>
      </c>
      <c r="I3857">
        <v>0</v>
      </c>
      <c r="J3857">
        <v>0</v>
      </c>
      <c r="K3857">
        <v>0</v>
      </c>
      <c r="L3857">
        <v>0</v>
      </c>
      <c r="M3857">
        <v>0</v>
      </c>
      <c r="N3857">
        <v>0</v>
      </c>
      <c r="O3857">
        <v>0</v>
      </c>
    </row>
    <row r="3858" spans="1:15" x14ac:dyDescent="0.35">
      <c r="A3858" t="s">
        <v>4339</v>
      </c>
      <c r="B3858" t="s">
        <v>4340</v>
      </c>
      <c r="C3858" t="s">
        <v>1477</v>
      </c>
      <c r="D3858" t="s">
        <v>293</v>
      </c>
      <c r="E3858" t="s">
        <v>310</v>
      </c>
      <c r="F3858" t="s">
        <v>4349</v>
      </c>
      <c r="G3858">
        <v>675</v>
      </c>
      <c r="H3858">
        <v>122922.82</v>
      </c>
      <c r="I3858">
        <v>182.11</v>
      </c>
      <c r="J3858">
        <v>0</v>
      </c>
      <c r="K3858">
        <v>0</v>
      </c>
      <c r="L3858">
        <v>0</v>
      </c>
      <c r="M3858">
        <v>675</v>
      </c>
      <c r="N3858">
        <v>122922.82</v>
      </c>
      <c r="O3858">
        <v>182.11</v>
      </c>
    </row>
    <row r="3859" spans="1:15" x14ac:dyDescent="0.35">
      <c r="A3859" t="s">
        <v>4339</v>
      </c>
      <c r="B3859" t="s">
        <v>4340</v>
      </c>
      <c r="C3859" t="s">
        <v>1477</v>
      </c>
      <c r="D3859" t="s">
        <v>293</v>
      </c>
      <c r="E3859" t="s">
        <v>312</v>
      </c>
      <c r="F3859" t="s">
        <v>4350</v>
      </c>
      <c r="G3859">
        <v>675</v>
      </c>
      <c r="H3859">
        <v>122922.82</v>
      </c>
      <c r="I3859">
        <v>182.11</v>
      </c>
      <c r="J3859">
        <v>0</v>
      </c>
      <c r="K3859">
        <v>0</v>
      </c>
      <c r="L3859">
        <v>0</v>
      </c>
      <c r="M3859">
        <v>675</v>
      </c>
      <c r="N3859">
        <v>122922.82</v>
      </c>
      <c r="O3859">
        <v>182.11</v>
      </c>
    </row>
    <row r="3860" spans="1:15" x14ac:dyDescent="0.35">
      <c r="A3860" t="s">
        <v>4339</v>
      </c>
      <c r="B3860" t="s">
        <v>4340</v>
      </c>
      <c r="C3860" t="s">
        <v>1477</v>
      </c>
      <c r="D3860" t="s">
        <v>314</v>
      </c>
      <c r="E3860" t="s">
        <v>294</v>
      </c>
      <c r="F3860" t="s">
        <v>4351</v>
      </c>
      <c r="G3860">
        <v>1</v>
      </c>
      <c r="H3860">
        <v>139.74</v>
      </c>
      <c r="I3860">
        <v>139.74</v>
      </c>
      <c r="J3860">
        <v>0</v>
      </c>
      <c r="K3860">
        <v>0</v>
      </c>
      <c r="L3860">
        <v>0</v>
      </c>
      <c r="M3860">
        <v>1</v>
      </c>
      <c r="N3860">
        <v>139.74</v>
      </c>
      <c r="O3860">
        <v>139.74</v>
      </c>
    </row>
    <row r="3861" spans="1:15" x14ac:dyDescent="0.35">
      <c r="A3861" t="s">
        <v>4339</v>
      </c>
      <c r="B3861" t="s">
        <v>4340</v>
      </c>
      <c r="C3861" t="s">
        <v>1477</v>
      </c>
      <c r="D3861" t="s">
        <v>314</v>
      </c>
      <c r="E3861" t="s">
        <v>296</v>
      </c>
      <c r="F3861" t="s">
        <v>4352</v>
      </c>
      <c r="G3861">
        <v>0</v>
      </c>
      <c r="H3861">
        <v>0</v>
      </c>
      <c r="I3861">
        <v>0</v>
      </c>
      <c r="J3861">
        <v>0</v>
      </c>
      <c r="K3861">
        <v>0</v>
      </c>
      <c r="L3861">
        <v>0</v>
      </c>
      <c r="M3861">
        <v>0</v>
      </c>
      <c r="N3861">
        <v>0</v>
      </c>
      <c r="O3861">
        <v>0</v>
      </c>
    </row>
    <row r="3862" spans="1:15" x14ac:dyDescent="0.35">
      <c r="A3862" t="s">
        <v>4339</v>
      </c>
      <c r="B3862" t="s">
        <v>4340</v>
      </c>
      <c r="C3862" t="s">
        <v>1477</v>
      </c>
      <c r="D3862" t="s">
        <v>314</v>
      </c>
      <c r="E3862" t="s">
        <v>298</v>
      </c>
      <c r="F3862" t="s">
        <v>4353</v>
      </c>
      <c r="G3862">
        <v>0</v>
      </c>
      <c r="H3862">
        <v>0</v>
      </c>
      <c r="I3862">
        <v>0</v>
      </c>
      <c r="J3862">
        <v>0</v>
      </c>
      <c r="K3862">
        <v>0</v>
      </c>
      <c r="L3862">
        <v>0</v>
      </c>
      <c r="M3862">
        <v>0</v>
      </c>
      <c r="N3862">
        <v>0</v>
      </c>
      <c r="O3862">
        <v>0</v>
      </c>
    </row>
    <row r="3863" spans="1:15" x14ac:dyDescent="0.35">
      <c r="A3863" t="s">
        <v>4339</v>
      </c>
      <c r="B3863" t="s">
        <v>4340</v>
      </c>
      <c r="C3863" t="s">
        <v>1477</v>
      </c>
      <c r="D3863" t="s">
        <v>314</v>
      </c>
      <c r="E3863" t="s">
        <v>300</v>
      </c>
      <c r="F3863" t="s">
        <v>4354</v>
      </c>
      <c r="G3863">
        <v>0</v>
      </c>
      <c r="H3863">
        <v>0</v>
      </c>
      <c r="I3863">
        <v>0</v>
      </c>
      <c r="J3863">
        <v>0</v>
      </c>
      <c r="K3863">
        <v>0</v>
      </c>
      <c r="L3863">
        <v>0</v>
      </c>
      <c r="M3863">
        <v>0</v>
      </c>
      <c r="N3863">
        <v>0</v>
      </c>
      <c r="O3863">
        <v>0</v>
      </c>
    </row>
    <row r="3864" spans="1:15" x14ac:dyDescent="0.35">
      <c r="A3864" t="s">
        <v>4339</v>
      </c>
      <c r="B3864" t="s">
        <v>4340</v>
      </c>
      <c r="C3864" t="s">
        <v>1477</v>
      </c>
      <c r="D3864" t="s">
        <v>314</v>
      </c>
      <c r="E3864" t="s">
        <v>306</v>
      </c>
      <c r="F3864" t="s">
        <v>4355</v>
      </c>
      <c r="G3864">
        <v>0</v>
      </c>
      <c r="H3864">
        <v>0</v>
      </c>
      <c r="I3864">
        <v>0</v>
      </c>
      <c r="J3864">
        <v>0</v>
      </c>
      <c r="K3864">
        <v>0</v>
      </c>
      <c r="L3864">
        <v>0</v>
      </c>
      <c r="M3864">
        <v>0</v>
      </c>
      <c r="N3864">
        <v>0</v>
      </c>
      <c r="O3864">
        <v>0</v>
      </c>
    </row>
    <row r="3865" spans="1:15" x14ac:dyDescent="0.35">
      <c r="A3865" t="s">
        <v>4339</v>
      </c>
      <c r="B3865" t="s">
        <v>4340</v>
      </c>
      <c r="C3865" t="s">
        <v>1477</v>
      </c>
      <c r="D3865" t="s">
        <v>314</v>
      </c>
      <c r="E3865" t="s">
        <v>308</v>
      </c>
      <c r="F3865" t="s">
        <v>4356</v>
      </c>
      <c r="G3865">
        <v>0</v>
      </c>
      <c r="H3865">
        <v>0</v>
      </c>
      <c r="I3865">
        <v>0</v>
      </c>
      <c r="J3865">
        <v>0</v>
      </c>
      <c r="K3865">
        <v>0</v>
      </c>
      <c r="L3865">
        <v>0</v>
      </c>
      <c r="M3865">
        <v>0</v>
      </c>
      <c r="N3865">
        <v>0</v>
      </c>
      <c r="O3865">
        <v>0</v>
      </c>
    </row>
    <row r="3866" spans="1:15" x14ac:dyDescent="0.35">
      <c r="A3866" t="s">
        <v>4339</v>
      </c>
      <c r="B3866" t="s">
        <v>4340</v>
      </c>
      <c r="C3866" t="s">
        <v>1477</v>
      </c>
      <c r="D3866" t="s">
        <v>314</v>
      </c>
      <c r="E3866" t="s">
        <v>312</v>
      </c>
      <c r="F3866" t="s">
        <v>4357</v>
      </c>
      <c r="G3866">
        <v>1</v>
      </c>
      <c r="H3866">
        <v>139.74</v>
      </c>
      <c r="I3866">
        <v>139.74</v>
      </c>
      <c r="J3866">
        <v>0</v>
      </c>
      <c r="K3866">
        <v>0</v>
      </c>
      <c r="L3866">
        <v>0</v>
      </c>
      <c r="M3866">
        <v>1</v>
      </c>
      <c r="N3866">
        <v>139.74</v>
      </c>
      <c r="O3866">
        <v>139.74</v>
      </c>
    </row>
    <row r="3867" spans="1:15" x14ac:dyDescent="0.35">
      <c r="A3867" t="s">
        <v>4339</v>
      </c>
      <c r="B3867" t="s">
        <v>4340</v>
      </c>
      <c r="C3867" t="s">
        <v>1477</v>
      </c>
      <c r="D3867" t="s">
        <v>314</v>
      </c>
      <c r="E3867" t="s">
        <v>310</v>
      </c>
      <c r="F3867" t="s">
        <v>4358</v>
      </c>
      <c r="G3867">
        <v>1</v>
      </c>
      <c r="H3867">
        <v>139.74</v>
      </c>
      <c r="I3867">
        <v>139.74</v>
      </c>
      <c r="J3867">
        <v>0</v>
      </c>
      <c r="K3867">
        <v>0</v>
      </c>
      <c r="L3867">
        <v>0</v>
      </c>
      <c r="M3867">
        <v>1</v>
      </c>
      <c r="N3867">
        <v>139.74</v>
      </c>
      <c r="O3867">
        <v>139.74</v>
      </c>
    </row>
    <row r="3868" spans="1:15" x14ac:dyDescent="0.35">
      <c r="A3868" t="s">
        <v>4339</v>
      </c>
      <c r="B3868" t="s">
        <v>4340</v>
      </c>
      <c r="C3868" t="s">
        <v>1477</v>
      </c>
      <c r="D3868" t="s">
        <v>323</v>
      </c>
      <c r="E3868" t="s">
        <v>294</v>
      </c>
      <c r="F3868" t="s">
        <v>4359</v>
      </c>
      <c r="G3868">
        <v>269</v>
      </c>
      <c r="H3868">
        <v>27573.620000000003</v>
      </c>
      <c r="I3868">
        <v>102.5</v>
      </c>
      <c r="J3868">
        <v>0</v>
      </c>
      <c r="K3868">
        <v>0</v>
      </c>
      <c r="L3868">
        <v>0</v>
      </c>
      <c r="M3868">
        <v>269</v>
      </c>
      <c r="N3868">
        <v>27573.620000000003</v>
      </c>
      <c r="O3868">
        <v>102.5</v>
      </c>
    </row>
    <row r="3869" spans="1:15" x14ac:dyDescent="0.35">
      <c r="A3869" t="s">
        <v>4339</v>
      </c>
      <c r="B3869" t="s">
        <v>4340</v>
      </c>
      <c r="C3869" t="s">
        <v>1477</v>
      </c>
      <c r="D3869" t="s">
        <v>323</v>
      </c>
      <c r="E3869" t="s">
        <v>296</v>
      </c>
      <c r="F3869" t="s">
        <v>4360</v>
      </c>
      <c r="G3869">
        <v>791</v>
      </c>
      <c r="H3869">
        <v>95679.51999999999</v>
      </c>
      <c r="I3869">
        <v>120.96</v>
      </c>
      <c r="J3869">
        <v>0</v>
      </c>
      <c r="K3869">
        <v>0</v>
      </c>
      <c r="L3869">
        <v>0</v>
      </c>
      <c r="M3869">
        <v>791</v>
      </c>
      <c r="N3869">
        <v>95679.51999999999</v>
      </c>
      <c r="O3869">
        <v>120.96</v>
      </c>
    </row>
    <row r="3870" spans="1:15" x14ac:dyDescent="0.35">
      <c r="A3870" t="s">
        <v>4339</v>
      </c>
      <c r="B3870" t="s">
        <v>4340</v>
      </c>
      <c r="C3870" t="s">
        <v>1477</v>
      </c>
      <c r="D3870" t="s">
        <v>323</v>
      </c>
      <c r="E3870" t="s">
        <v>298</v>
      </c>
      <c r="F3870" t="s">
        <v>4361</v>
      </c>
      <c r="G3870">
        <v>929</v>
      </c>
      <c r="H3870">
        <v>128733.81000000001</v>
      </c>
      <c r="I3870">
        <v>138.57</v>
      </c>
      <c r="J3870">
        <v>0</v>
      </c>
      <c r="K3870">
        <v>0</v>
      </c>
      <c r="L3870">
        <v>0</v>
      </c>
      <c r="M3870">
        <v>929</v>
      </c>
      <c r="N3870">
        <v>128733.81000000001</v>
      </c>
      <c r="O3870">
        <v>138.57</v>
      </c>
    </row>
    <row r="3871" spans="1:15" x14ac:dyDescent="0.35">
      <c r="A3871" t="s">
        <v>4339</v>
      </c>
      <c r="B3871" t="s">
        <v>4340</v>
      </c>
      <c r="C3871" t="s">
        <v>1477</v>
      </c>
      <c r="D3871" t="s">
        <v>323</v>
      </c>
      <c r="E3871" t="s">
        <v>300</v>
      </c>
      <c r="F3871" t="s">
        <v>4362</v>
      </c>
      <c r="G3871">
        <v>29</v>
      </c>
      <c r="H3871">
        <v>4470.1900000000005</v>
      </c>
      <c r="I3871">
        <v>154.13999999999999</v>
      </c>
      <c r="J3871">
        <v>0</v>
      </c>
      <c r="K3871">
        <v>0</v>
      </c>
      <c r="L3871">
        <v>0</v>
      </c>
      <c r="M3871">
        <v>29</v>
      </c>
      <c r="N3871">
        <v>4470.1900000000005</v>
      </c>
      <c r="O3871">
        <v>154.13999999999999</v>
      </c>
    </row>
    <row r="3872" spans="1:15" x14ac:dyDescent="0.35">
      <c r="A3872" t="s">
        <v>4339</v>
      </c>
      <c r="B3872" t="s">
        <v>4340</v>
      </c>
      <c r="C3872" t="s">
        <v>1477</v>
      </c>
      <c r="D3872" t="s">
        <v>323</v>
      </c>
      <c r="E3872" t="s">
        <v>302</v>
      </c>
      <c r="F3872" t="s">
        <v>4363</v>
      </c>
      <c r="G3872">
        <v>3</v>
      </c>
      <c r="H3872">
        <v>516.02</v>
      </c>
      <c r="I3872">
        <v>172.01</v>
      </c>
      <c r="J3872">
        <v>0</v>
      </c>
      <c r="K3872">
        <v>0</v>
      </c>
      <c r="L3872">
        <v>0</v>
      </c>
      <c r="M3872">
        <v>3</v>
      </c>
      <c r="N3872">
        <v>516.02</v>
      </c>
      <c r="O3872">
        <v>172.01</v>
      </c>
    </row>
    <row r="3873" spans="1:15" x14ac:dyDescent="0.35">
      <c r="A3873" t="s">
        <v>4339</v>
      </c>
      <c r="B3873" t="s">
        <v>4340</v>
      </c>
      <c r="C3873" t="s">
        <v>1477</v>
      </c>
      <c r="D3873" t="s">
        <v>323</v>
      </c>
      <c r="E3873" t="s">
        <v>304</v>
      </c>
      <c r="F3873" t="s">
        <v>4364</v>
      </c>
      <c r="G3873">
        <v>0</v>
      </c>
      <c r="H3873">
        <v>0</v>
      </c>
      <c r="I3873">
        <v>0</v>
      </c>
      <c r="J3873">
        <v>0</v>
      </c>
      <c r="K3873">
        <v>0</v>
      </c>
      <c r="L3873">
        <v>0</v>
      </c>
      <c r="M3873">
        <v>0</v>
      </c>
      <c r="N3873">
        <v>0</v>
      </c>
      <c r="O3873">
        <v>0</v>
      </c>
    </row>
    <row r="3874" spans="1:15" x14ac:dyDescent="0.35">
      <c r="A3874" t="s">
        <v>4339</v>
      </c>
      <c r="B3874" t="s">
        <v>4340</v>
      </c>
      <c r="C3874" t="s">
        <v>1477</v>
      </c>
      <c r="D3874" t="s">
        <v>323</v>
      </c>
      <c r="E3874" t="s">
        <v>306</v>
      </c>
      <c r="F3874" t="s">
        <v>4365</v>
      </c>
      <c r="G3874">
        <v>0</v>
      </c>
      <c r="H3874">
        <v>0</v>
      </c>
      <c r="I3874">
        <v>0</v>
      </c>
      <c r="J3874">
        <v>0</v>
      </c>
      <c r="K3874">
        <v>0</v>
      </c>
      <c r="L3874">
        <v>0</v>
      </c>
      <c r="M3874">
        <v>0</v>
      </c>
      <c r="N3874">
        <v>0</v>
      </c>
      <c r="O3874">
        <v>0</v>
      </c>
    </row>
    <row r="3875" spans="1:15" x14ac:dyDescent="0.35">
      <c r="A3875" t="s">
        <v>4339</v>
      </c>
      <c r="B3875" t="s">
        <v>4340</v>
      </c>
      <c r="C3875" t="s">
        <v>1477</v>
      </c>
      <c r="D3875" t="s">
        <v>323</v>
      </c>
      <c r="E3875" t="s">
        <v>308</v>
      </c>
      <c r="F3875" t="s">
        <v>4366</v>
      </c>
      <c r="G3875">
        <v>0</v>
      </c>
      <c r="H3875">
        <v>0</v>
      </c>
      <c r="I3875">
        <v>0</v>
      </c>
      <c r="J3875">
        <v>0</v>
      </c>
      <c r="K3875">
        <v>0</v>
      </c>
      <c r="L3875">
        <v>0</v>
      </c>
      <c r="M3875">
        <v>0</v>
      </c>
      <c r="N3875">
        <v>0</v>
      </c>
      <c r="O3875">
        <v>0</v>
      </c>
    </row>
    <row r="3876" spans="1:15" x14ac:dyDescent="0.35">
      <c r="A3876" t="s">
        <v>4339</v>
      </c>
      <c r="B3876" t="s">
        <v>4340</v>
      </c>
      <c r="C3876" t="s">
        <v>1477</v>
      </c>
      <c r="D3876" t="s">
        <v>323</v>
      </c>
      <c r="E3876" t="s">
        <v>310</v>
      </c>
      <c r="F3876" t="s">
        <v>4367</v>
      </c>
      <c r="G3876">
        <v>2021</v>
      </c>
      <c r="H3876">
        <v>256973.16</v>
      </c>
      <c r="I3876">
        <v>127.15</v>
      </c>
      <c r="J3876">
        <v>0</v>
      </c>
      <c r="K3876">
        <v>0</v>
      </c>
      <c r="L3876">
        <v>0</v>
      </c>
      <c r="M3876">
        <v>2021</v>
      </c>
      <c r="N3876">
        <v>256973.16</v>
      </c>
      <c r="O3876">
        <v>127.15</v>
      </c>
    </row>
    <row r="3877" spans="1:15" x14ac:dyDescent="0.35">
      <c r="A3877" t="s">
        <v>4339</v>
      </c>
      <c r="B3877" t="s">
        <v>4340</v>
      </c>
      <c r="C3877" t="s">
        <v>1477</v>
      </c>
      <c r="D3877" t="s">
        <v>323</v>
      </c>
      <c r="E3877" t="s">
        <v>312</v>
      </c>
      <c r="F3877" t="s">
        <v>4368</v>
      </c>
      <c r="G3877">
        <v>2021</v>
      </c>
      <c r="H3877">
        <v>256973.16</v>
      </c>
      <c r="I3877">
        <v>127.15</v>
      </c>
      <c r="J3877">
        <v>0</v>
      </c>
      <c r="K3877">
        <v>0</v>
      </c>
      <c r="L3877">
        <v>0</v>
      </c>
      <c r="M3877">
        <v>2021</v>
      </c>
      <c r="N3877">
        <v>256973.16</v>
      </c>
      <c r="O3877">
        <v>127.15</v>
      </c>
    </row>
    <row r="3878" spans="1:15" x14ac:dyDescent="0.35">
      <c r="A3878" t="s">
        <v>4339</v>
      </c>
      <c r="B3878" t="s">
        <v>4340</v>
      </c>
      <c r="C3878" t="s">
        <v>1477</v>
      </c>
      <c r="D3878" t="s">
        <v>334</v>
      </c>
      <c r="E3878" t="s">
        <v>312</v>
      </c>
      <c r="F3878" t="s">
        <v>4369</v>
      </c>
      <c r="G3878">
        <v>2707</v>
      </c>
      <c r="H3878">
        <v>379895.98000000004</v>
      </c>
      <c r="I3878">
        <v>140.91</v>
      </c>
      <c r="J3878">
        <v>0</v>
      </c>
      <c r="K3878">
        <v>0</v>
      </c>
      <c r="L3878">
        <v>0</v>
      </c>
      <c r="M3878">
        <v>2707</v>
      </c>
      <c r="N3878">
        <v>379895.98000000004</v>
      </c>
      <c r="O3878">
        <v>140.91</v>
      </c>
    </row>
    <row r="3879" spans="1:15" x14ac:dyDescent="0.35">
      <c r="A3879" t="s">
        <v>4339</v>
      </c>
      <c r="B3879" t="s">
        <v>4340</v>
      </c>
      <c r="C3879" t="s">
        <v>1477</v>
      </c>
      <c r="D3879" t="s">
        <v>334</v>
      </c>
      <c r="E3879" t="s">
        <v>308</v>
      </c>
      <c r="F3879" t="s">
        <v>4370</v>
      </c>
      <c r="G3879">
        <v>0</v>
      </c>
      <c r="H3879">
        <v>0</v>
      </c>
      <c r="I3879">
        <v>0</v>
      </c>
      <c r="J3879">
        <v>0</v>
      </c>
      <c r="K3879">
        <v>0</v>
      </c>
      <c r="L3879">
        <v>0</v>
      </c>
      <c r="M3879">
        <v>0</v>
      </c>
      <c r="N3879">
        <v>0</v>
      </c>
      <c r="O3879">
        <v>0</v>
      </c>
    </row>
    <row r="3880" spans="1:15" x14ac:dyDescent="0.35">
      <c r="A3880" t="s">
        <v>4339</v>
      </c>
      <c r="B3880" t="s">
        <v>4340</v>
      </c>
      <c r="C3880" t="s">
        <v>1477</v>
      </c>
      <c r="D3880" t="s">
        <v>337</v>
      </c>
      <c r="E3880" t="s">
        <v>337</v>
      </c>
      <c r="F3880" t="s">
        <v>4371</v>
      </c>
      <c r="G3880">
        <v>294</v>
      </c>
      <c r="J3880">
        <v>0</v>
      </c>
      <c r="M3880">
        <v>294</v>
      </c>
    </row>
    <row r="3881" spans="1:15" x14ac:dyDescent="0.35">
      <c r="A3881" t="s">
        <v>4339</v>
      </c>
      <c r="B3881" t="s">
        <v>4340</v>
      </c>
      <c r="C3881" t="s">
        <v>1477</v>
      </c>
      <c r="D3881" t="s">
        <v>339</v>
      </c>
      <c r="E3881" t="s">
        <v>294</v>
      </c>
      <c r="F3881" t="s">
        <v>4372</v>
      </c>
      <c r="G3881">
        <v>558</v>
      </c>
      <c r="H3881">
        <v>59765.03</v>
      </c>
      <c r="I3881">
        <v>107.11</v>
      </c>
      <c r="J3881">
        <v>0</v>
      </c>
      <c r="K3881">
        <v>0</v>
      </c>
      <c r="L3881">
        <v>0</v>
      </c>
      <c r="M3881">
        <v>558</v>
      </c>
      <c r="N3881">
        <v>59765.03</v>
      </c>
      <c r="O3881">
        <v>107.11</v>
      </c>
    </row>
    <row r="3882" spans="1:15" x14ac:dyDescent="0.35">
      <c r="A3882" t="s">
        <v>4339</v>
      </c>
      <c r="B3882" t="s">
        <v>4340</v>
      </c>
      <c r="C3882" t="s">
        <v>1477</v>
      </c>
      <c r="D3882" t="s">
        <v>339</v>
      </c>
      <c r="E3882" t="s">
        <v>296</v>
      </c>
      <c r="F3882" t="s">
        <v>4373</v>
      </c>
      <c r="G3882">
        <v>183</v>
      </c>
      <c r="H3882">
        <v>23276.880000000001</v>
      </c>
      <c r="I3882">
        <v>127.2</v>
      </c>
      <c r="J3882">
        <v>0</v>
      </c>
      <c r="K3882">
        <v>0</v>
      </c>
      <c r="L3882">
        <v>0</v>
      </c>
      <c r="M3882">
        <v>183</v>
      </c>
      <c r="N3882">
        <v>23276.880000000001</v>
      </c>
      <c r="O3882">
        <v>127.2</v>
      </c>
    </row>
    <row r="3883" spans="1:15" x14ac:dyDescent="0.35">
      <c r="A3883" t="s">
        <v>4339</v>
      </c>
      <c r="B3883" t="s">
        <v>4340</v>
      </c>
      <c r="C3883" t="s">
        <v>1477</v>
      </c>
      <c r="D3883" t="s">
        <v>339</v>
      </c>
      <c r="E3883" t="s">
        <v>298</v>
      </c>
      <c r="F3883" t="s">
        <v>4374</v>
      </c>
      <c r="G3883">
        <v>2</v>
      </c>
      <c r="H3883">
        <v>270.64999999999998</v>
      </c>
      <c r="I3883">
        <v>135.33000000000001</v>
      </c>
      <c r="J3883">
        <v>1</v>
      </c>
      <c r="K3883">
        <v>226.68</v>
      </c>
      <c r="L3883">
        <v>226.68</v>
      </c>
      <c r="M3883">
        <v>3</v>
      </c>
      <c r="N3883">
        <v>497.33</v>
      </c>
      <c r="O3883">
        <v>165.78</v>
      </c>
    </row>
    <row r="3884" spans="1:15" x14ac:dyDescent="0.35">
      <c r="A3884" t="s">
        <v>4339</v>
      </c>
      <c r="B3884" t="s">
        <v>4340</v>
      </c>
      <c r="C3884" t="s">
        <v>1477</v>
      </c>
      <c r="D3884" t="s">
        <v>339</v>
      </c>
      <c r="E3884" t="s">
        <v>300</v>
      </c>
      <c r="F3884" t="s">
        <v>4375</v>
      </c>
      <c r="G3884">
        <v>0</v>
      </c>
      <c r="H3884">
        <v>0</v>
      </c>
      <c r="I3884">
        <v>0</v>
      </c>
      <c r="J3884">
        <v>0</v>
      </c>
      <c r="K3884">
        <v>0</v>
      </c>
      <c r="L3884">
        <v>0</v>
      </c>
      <c r="M3884">
        <v>0</v>
      </c>
      <c r="N3884">
        <v>0</v>
      </c>
      <c r="O3884">
        <v>0</v>
      </c>
    </row>
    <row r="3885" spans="1:15" x14ac:dyDescent="0.35">
      <c r="A3885" t="s">
        <v>4339</v>
      </c>
      <c r="B3885" t="s">
        <v>4340</v>
      </c>
      <c r="C3885" t="s">
        <v>1477</v>
      </c>
      <c r="D3885" t="s">
        <v>339</v>
      </c>
      <c r="E3885" t="s">
        <v>306</v>
      </c>
      <c r="F3885" t="s">
        <v>4376</v>
      </c>
      <c r="G3885">
        <v>19</v>
      </c>
      <c r="H3885">
        <v>1828.13</v>
      </c>
      <c r="I3885">
        <v>96.22</v>
      </c>
      <c r="J3885">
        <v>0</v>
      </c>
      <c r="K3885">
        <v>0</v>
      </c>
      <c r="L3885">
        <v>0</v>
      </c>
      <c r="M3885">
        <v>19</v>
      </c>
      <c r="N3885">
        <v>1828.13</v>
      </c>
      <c r="O3885">
        <v>96.22</v>
      </c>
    </row>
    <row r="3886" spans="1:15" x14ac:dyDescent="0.35">
      <c r="A3886" t="s">
        <v>4339</v>
      </c>
      <c r="B3886" t="s">
        <v>4340</v>
      </c>
      <c r="C3886" t="s">
        <v>1477</v>
      </c>
      <c r="D3886" t="s">
        <v>339</v>
      </c>
      <c r="E3886" t="s">
        <v>308</v>
      </c>
      <c r="F3886" t="s">
        <v>4377</v>
      </c>
      <c r="G3886">
        <v>7</v>
      </c>
      <c r="H3886">
        <v>1405.83</v>
      </c>
      <c r="I3886">
        <v>200.83</v>
      </c>
      <c r="J3886">
        <v>0</v>
      </c>
      <c r="K3886">
        <v>0</v>
      </c>
      <c r="L3886">
        <v>0</v>
      </c>
      <c r="M3886">
        <v>7</v>
      </c>
      <c r="N3886">
        <v>1405.83</v>
      </c>
      <c r="O3886">
        <v>200.83</v>
      </c>
    </row>
    <row r="3887" spans="1:15" x14ac:dyDescent="0.35">
      <c r="A3887" t="s">
        <v>4339</v>
      </c>
      <c r="B3887" t="s">
        <v>4340</v>
      </c>
      <c r="C3887" t="s">
        <v>1477</v>
      </c>
      <c r="D3887" t="s">
        <v>339</v>
      </c>
      <c r="E3887" t="s">
        <v>310</v>
      </c>
      <c r="F3887" t="s">
        <v>4378</v>
      </c>
      <c r="G3887">
        <v>769</v>
      </c>
      <c r="H3887">
        <v>86546.52</v>
      </c>
      <c r="I3887">
        <v>112.54</v>
      </c>
      <c r="J3887">
        <v>1</v>
      </c>
      <c r="K3887">
        <v>226.68</v>
      </c>
      <c r="L3887">
        <v>226.68</v>
      </c>
      <c r="M3887">
        <v>770</v>
      </c>
      <c r="N3887">
        <v>86773.2</v>
      </c>
      <c r="O3887">
        <v>112.69</v>
      </c>
    </row>
    <row r="3888" spans="1:15" x14ac:dyDescent="0.35">
      <c r="A3888" t="s">
        <v>4339</v>
      </c>
      <c r="B3888" t="s">
        <v>4340</v>
      </c>
      <c r="C3888" t="s">
        <v>1477</v>
      </c>
      <c r="D3888" t="s">
        <v>339</v>
      </c>
      <c r="E3888" t="s">
        <v>312</v>
      </c>
      <c r="F3888" t="s">
        <v>4379</v>
      </c>
      <c r="G3888">
        <v>762</v>
      </c>
      <c r="H3888">
        <v>85140.69</v>
      </c>
      <c r="I3888">
        <v>111.73</v>
      </c>
      <c r="J3888">
        <v>1</v>
      </c>
      <c r="K3888">
        <v>226.68</v>
      </c>
      <c r="L3888">
        <v>226.68</v>
      </c>
      <c r="M3888">
        <v>763</v>
      </c>
      <c r="N3888">
        <v>85367.37</v>
      </c>
      <c r="O3888">
        <v>111.88</v>
      </c>
    </row>
    <row r="3889" spans="1:15" x14ac:dyDescent="0.35">
      <c r="A3889" t="s">
        <v>4339</v>
      </c>
      <c r="B3889" t="s">
        <v>4340</v>
      </c>
      <c r="C3889" t="s">
        <v>1477</v>
      </c>
      <c r="D3889" t="s">
        <v>348</v>
      </c>
      <c r="E3889" t="s">
        <v>349</v>
      </c>
      <c r="F3889" t="s">
        <v>4380</v>
      </c>
      <c r="G3889">
        <v>827</v>
      </c>
      <c r="H3889">
        <v>86686.26</v>
      </c>
      <c r="I3889">
        <v>112.58</v>
      </c>
      <c r="J3889">
        <v>1</v>
      </c>
      <c r="K3889">
        <v>226.68</v>
      </c>
      <c r="L3889">
        <v>226.68</v>
      </c>
      <c r="M3889">
        <v>828</v>
      </c>
      <c r="N3889">
        <v>86912.939999999988</v>
      </c>
      <c r="O3889">
        <v>112.73</v>
      </c>
    </row>
    <row r="3890" spans="1:15" x14ac:dyDescent="0.35">
      <c r="A3890" t="s">
        <v>4381</v>
      </c>
      <c r="B3890" t="s">
        <v>4382</v>
      </c>
      <c r="C3890" t="s">
        <v>1477</v>
      </c>
      <c r="D3890" t="s">
        <v>293</v>
      </c>
      <c r="E3890" t="s">
        <v>294</v>
      </c>
      <c r="F3890" t="s">
        <v>4383</v>
      </c>
      <c r="G3890">
        <v>613</v>
      </c>
      <c r="H3890">
        <v>75693.709999999992</v>
      </c>
      <c r="I3890">
        <v>123.48</v>
      </c>
      <c r="J3890">
        <v>0</v>
      </c>
      <c r="K3890">
        <v>0</v>
      </c>
      <c r="L3890">
        <v>0</v>
      </c>
      <c r="M3890">
        <v>613</v>
      </c>
      <c r="N3890">
        <v>75693.709999999992</v>
      </c>
      <c r="O3890">
        <v>123.48</v>
      </c>
    </row>
    <row r="3891" spans="1:15" x14ac:dyDescent="0.35">
      <c r="A3891" t="s">
        <v>4381</v>
      </c>
      <c r="B3891" t="s">
        <v>4382</v>
      </c>
      <c r="C3891" t="s">
        <v>1477</v>
      </c>
      <c r="D3891" t="s">
        <v>293</v>
      </c>
      <c r="E3891" t="s">
        <v>296</v>
      </c>
      <c r="F3891" t="s">
        <v>4384</v>
      </c>
      <c r="G3891">
        <v>897</v>
      </c>
      <c r="H3891">
        <v>128739.77999999998</v>
      </c>
      <c r="I3891">
        <v>143.52000000000001</v>
      </c>
      <c r="J3891">
        <v>0</v>
      </c>
      <c r="K3891">
        <v>0</v>
      </c>
      <c r="L3891">
        <v>0</v>
      </c>
      <c r="M3891">
        <v>897</v>
      </c>
      <c r="N3891">
        <v>128739.77999999998</v>
      </c>
      <c r="O3891">
        <v>143.52000000000001</v>
      </c>
    </row>
    <row r="3892" spans="1:15" x14ac:dyDescent="0.35">
      <c r="A3892" t="s">
        <v>4381</v>
      </c>
      <c r="B3892" t="s">
        <v>4382</v>
      </c>
      <c r="C3892" t="s">
        <v>1477</v>
      </c>
      <c r="D3892" t="s">
        <v>293</v>
      </c>
      <c r="E3892" t="s">
        <v>298</v>
      </c>
      <c r="F3892" t="s">
        <v>4385</v>
      </c>
      <c r="G3892">
        <v>482</v>
      </c>
      <c r="H3892">
        <v>77579.990000000005</v>
      </c>
      <c r="I3892">
        <v>160.94999999999999</v>
      </c>
      <c r="J3892">
        <v>0</v>
      </c>
      <c r="K3892">
        <v>0</v>
      </c>
      <c r="L3892">
        <v>0</v>
      </c>
      <c r="M3892">
        <v>482</v>
      </c>
      <c r="N3892">
        <v>77579.990000000005</v>
      </c>
      <c r="O3892">
        <v>160.94999999999999</v>
      </c>
    </row>
    <row r="3893" spans="1:15" x14ac:dyDescent="0.35">
      <c r="A3893" t="s">
        <v>4381</v>
      </c>
      <c r="B3893" t="s">
        <v>4382</v>
      </c>
      <c r="C3893" t="s">
        <v>1477</v>
      </c>
      <c r="D3893" t="s">
        <v>293</v>
      </c>
      <c r="E3893" t="s">
        <v>300</v>
      </c>
      <c r="F3893" t="s">
        <v>4386</v>
      </c>
      <c r="G3893">
        <v>54</v>
      </c>
      <c r="H3893">
        <v>11993.63</v>
      </c>
      <c r="I3893">
        <v>222.1</v>
      </c>
      <c r="J3893">
        <v>0</v>
      </c>
      <c r="K3893">
        <v>0</v>
      </c>
      <c r="L3893">
        <v>0</v>
      </c>
      <c r="M3893">
        <v>54</v>
      </c>
      <c r="N3893">
        <v>11993.63</v>
      </c>
      <c r="O3893">
        <v>222.1</v>
      </c>
    </row>
    <row r="3894" spans="1:15" x14ac:dyDescent="0.35">
      <c r="A3894" t="s">
        <v>4381</v>
      </c>
      <c r="B3894" t="s">
        <v>4382</v>
      </c>
      <c r="C3894" t="s">
        <v>1477</v>
      </c>
      <c r="D3894" t="s">
        <v>293</v>
      </c>
      <c r="E3894" t="s">
        <v>302</v>
      </c>
      <c r="F3894" t="s">
        <v>4387</v>
      </c>
      <c r="G3894">
        <v>2</v>
      </c>
      <c r="H3894">
        <v>344.28</v>
      </c>
      <c r="I3894">
        <v>172.14</v>
      </c>
      <c r="J3894">
        <v>0</v>
      </c>
      <c r="K3894">
        <v>0</v>
      </c>
      <c r="L3894">
        <v>0</v>
      </c>
      <c r="M3894">
        <v>2</v>
      </c>
      <c r="N3894">
        <v>344.28</v>
      </c>
      <c r="O3894">
        <v>172.14</v>
      </c>
    </row>
    <row r="3895" spans="1:15" x14ac:dyDescent="0.35">
      <c r="A3895" t="s">
        <v>4381</v>
      </c>
      <c r="B3895" t="s">
        <v>4382</v>
      </c>
      <c r="C3895" t="s">
        <v>1477</v>
      </c>
      <c r="D3895" t="s">
        <v>293</v>
      </c>
      <c r="E3895" t="s">
        <v>304</v>
      </c>
      <c r="F3895" t="s">
        <v>4388</v>
      </c>
      <c r="G3895">
        <v>0</v>
      </c>
      <c r="H3895">
        <v>0</v>
      </c>
      <c r="I3895">
        <v>0</v>
      </c>
      <c r="J3895">
        <v>0</v>
      </c>
      <c r="K3895">
        <v>0</v>
      </c>
      <c r="L3895">
        <v>0</v>
      </c>
      <c r="M3895">
        <v>0</v>
      </c>
      <c r="N3895">
        <v>0</v>
      </c>
      <c r="O3895">
        <v>0</v>
      </c>
    </row>
    <row r="3896" spans="1:15" x14ac:dyDescent="0.35">
      <c r="A3896" t="s">
        <v>4381</v>
      </c>
      <c r="B3896" t="s">
        <v>4382</v>
      </c>
      <c r="C3896" t="s">
        <v>1477</v>
      </c>
      <c r="D3896" t="s">
        <v>293</v>
      </c>
      <c r="E3896" t="s">
        <v>306</v>
      </c>
      <c r="F3896" t="s">
        <v>4389</v>
      </c>
      <c r="G3896">
        <v>0</v>
      </c>
      <c r="H3896">
        <v>0</v>
      </c>
      <c r="I3896">
        <v>0</v>
      </c>
      <c r="J3896">
        <v>0</v>
      </c>
      <c r="K3896">
        <v>0</v>
      </c>
      <c r="L3896">
        <v>0</v>
      </c>
      <c r="M3896">
        <v>0</v>
      </c>
      <c r="N3896">
        <v>0</v>
      </c>
      <c r="O3896">
        <v>0</v>
      </c>
    </row>
    <row r="3897" spans="1:15" x14ac:dyDescent="0.35">
      <c r="A3897" t="s">
        <v>4381</v>
      </c>
      <c r="B3897" t="s">
        <v>4382</v>
      </c>
      <c r="C3897" t="s">
        <v>1477</v>
      </c>
      <c r="D3897" t="s">
        <v>293</v>
      </c>
      <c r="E3897" t="s">
        <v>308</v>
      </c>
      <c r="F3897" t="s">
        <v>4390</v>
      </c>
      <c r="G3897">
        <v>0</v>
      </c>
      <c r="H3897">
        <v>0</v>
      </c>
      <c r="I3897">
        <v>0</v>
      </c>
      <c r="J3897">
        <v>0</v>
      </c>
      <c r="K3897">
        <v>0</v>
      </c>
      <c r="L3897">
        <v>0</v>
      </c>
      <c r="M3897">
        <v>0</v>
      </c>
      <c r="N3897">
        <v>0</v>
      </c>
      <c r="O3897">
        <v>0</v>
      </c>
    </row>
    <row r="3898" spans="1:15" x14ac:dyDescent="0.35">
      <c r="A3898" t="s">
        <v>4381</v>
      </c>
      <c r="B3898" t="s">
        <v>4382</v>
      </c>
      <c r="C3898" t="s">
        <v>1477</v>
      </c>
      <c r="D3898" t="s">
        <v>293</v>
      </c>
      <c r="E3898" t="s">
        <v>310</v>
      </c>
      <c r="F3898" t="s">
        <v>4391</v>
      </c>
      <c r="G3898">
        <v>2048</v>
      </c>
      <c r="H3898">
        <v>294351.39</v>
      </c>
      <c r="I3898">
        <v>143.72999999999999</v>
      </c>
      <c r="J3898">
        <v>0</v>
      </c>
      <c r="K3898">
        <v>0</v>
      </c>
      <c r="L3898">
        <v>0</v>
      </c>
      <c r="M3898">
        <v>2048</v>
      </c>
      <c r="N3898">
        <v>294351.39</v>
      </c>
      <c r="O3898">
        <v>143.72999999999999</v>
      </c>
    </row>
    <row r="3899" spans="1:15" x14ac:dyDescent="0.35">
      <c r="A3899" t="s">
        <v>4381</v>
      </c>
      <c r="B3899" t="s">
        <v>4382</v>
      </c>
      <c r="C3899" t="s">
        <v>1477</v>
      </c>
      <c r="D3899" t="s">
        <v>293</v>
      </c>
      <c r="E3899" t="s">
        <v>312</v>
      </c>
      <c r="F3899" t="s">
        <v>4392</v>
      </c>
      <c r="G3899">
        <v>2048</v>
      </c>
      <c r="H3899">
        <v>294351.39</v>
      </c>
      <c r="I3899">
        <v>143.72999999999999</v>
      </c>
      <c r="J3899">
        <v>0</v>
      </c>
      <c r="K3899">
        <v>0</v>
      </c>
      <c r="L3899">
        <v>0</v>
      </c>
      <c r="M3899">
        <v>2048</v>
      </c>
      <c r="N3899">
        <v>294351.39</v>
      </c>
      <c r="O3899">
        <v>143.72999999999999</v>
      </c>
    </row>
    <row r="3900" spans="1:15" x14ac:dyDescent="0.35">
      <c r="A3900" t="s">
        <v>4381</v>
      </c>
      <c r="B3900" t="s">
        <v>4382</v>
      </c>
      <c r="C3900" t="s">
        <v>1477</v>
      </c>
      <c r="D3900" t="s">
        <v>323</v>
      </c>
      <c r="E3900" t="s">
        <v>294</v>
      </c>
      <c r="F3900" t="s">
        <v>4393</v>
      </c>
      <c r="G3900">
        <v>597</v>
      </c>
      <c r="H3900">
        <v>63278.700000000004</v>
      </c>
      <c r="I3900">
        <v>105.99</v>
      </c>
      <c r="J3900">
        <v>0</v>
      </c>
      <c r="K3900">
        <v>0</v>
      </c>
      <c r="L3900">
        <v>0</v>
      </c>
      <c r="M3900">
        <v>597</v>
      </c>
      <c r="N3900">
        <v>63278.700000000004</v>
      </c>
      <c r="O3900">
        <v>105.99</v>
      </c>
    </row>
    <row r="3901" spans="1:15" x14ac:dyDescent="0.35">
      <c r="A3901" t="s">
        <v>4381</v>
      </c>
      <c r="B3901" t="s">
        <v>4382</v>
      </c>
      <c r="C3901" t="s">
        <v>1477</v>
      </c>
      <c r="D3901" t="s">
        <v>323</v>
      </c>
      <c r="E3901" t="s">
        <v>296</v>
      </c>
      <c r="F3901" t="s">
        <v>4394</v>
      </c>
      <c r="G3901">
        <v>517</v>
      </c>
      <c r="H3901">
        <v>62717.279999999999</v>
      </c>
      <c r="I3901">
        <v>121.31</v>
      </c>
      <c r="J3901">
        <v>0</v>
      </c>
      <c r="K3901">
        <v>0</v>
      </c>
      <c r="L3901">
        <v>0</v>
      </c>
      <c r="M3901">
        <v>517</v>
      </c>
      <c r="N3901">
        <v>62717.279999999999</v>
      </c>
      <c r="O3901">
        <v>121.31</v>
      </c>
    </row>
    <row r="3902" spans="1:15" x14ac:dyDescent="0.35">
      <c r="A3902" t="s">
        <v>4381</v>
      </c>
      <c r="B3902" t="s">
        <v>4382</v>
      </c>
      <c r="C3902" t="s">
        <v>1477</v>
      </c>
      <c r="D3902" t="s">
        <v>323</v>
      </c>
      <c r="E3902" t="s">
        <v>298</v>
      </c>
      <c r="F3902" t="s">
        <v>4395</v>
      </c>
      <c r="G3902">
        <v>644</v>
      </c>
      <c r="H3902">
        <v>89902.54</v>
      </c>
      <c r="I3902">
        <v>139.6</v>
      </c>
      <c r="J3902">
        <v>0</v>
      </c>
      <c r="K3902">
        <v>0</v>
      </c>
      <c r="L3902">
        <v>0</v>
      </c>
      <c r="M3902">
        <v>644</v>
      </c>
      <c r="N3902">
        <v>89902.54</v>
      </c>
      <c r="O3902">
        <v>139.6</v>
      </c>
    </row>
    <row r="3903" spans="1:15" x14ac:dyDescent="0.35">
      <c r="A3903" t="s">
        <v>4381</v>
      </c>
      <c r="B3903" t="s">
        <v>4382</v>
      </c>
      <c r="C3903" t="s">
        <v>1477</v>
      </c>
      <c r="D3903" t="s">
        <v>323</v>
      </c>
      <c r="E3903" t="s">
        <v>300</v>
      </c>
      <c r="F3903" t="s">
        <v>4396</v>
      </c>
      <c r="G3903">
        <v>14</v>
      </c>
      <c r="H3903">
        <v>1983.25</v>
      </c>
      <c r="I3903">
        <v>141.66</v>
      </c>
      <c r="J3903">
        <v>0</v>
      </c>
      <c r="K3903">
        <v>0</v>
      </c>
      <c r="L3903">
        <v>0</v>
      </c>
      <c r="M3903">
        <v>14</v>
      </c>
      <c r="N3903">
        <v>1983.25</v>
      </c>
      <c r="O3903">
        <v>141.66</v>
      </c>
    </row>
    <row r="3904" spans="1:15" x14ac:dyDescent="0.35">
      <c r="A3904" t="s">
        <v>4381</v>
      </c>
      <c r="B3904" t="s">
        <v>4382</v>
      </c>
      <c r="C3904" t="s">
        <v>1477</v>
      </c>
      <c r="D3904" t="s">
        <v>323</v>
      </c>
      <c r="E3904" t="s">
        <v>302</v>
      </c>
      <c r="F3904" t="s">
        <v>4397</v>
      </c>
      <c r="G3904">
        <v>4</v>
      </c>
      <c r="H3904">
        <v>532.64</v>
      </c>
      <c r="I3904">
        <v>133.16</v>
      </c>
      <c r="J3904">
        <v>0</v>
      </c>
      <c r="K3904">
        <v>0</v>
      </c>
      <c r="L3904">
        <v>0</v>
      </c>
      <c r="M3904">
        <v>4</v>
      </c>
      <c r="N3904">
        <v>532.64</v>
      </c>
      <c r="O3904">
        <v>133.16</v>
      </c>
    </row>
    <row r="3905" spans="1:15" x14ac:dyDescent="0.35">
      <c r="A3905" t="s">
        <v>4381</v>
      </c>
      <c r="B3905" t="s">
        <v>4382</v>
      </c>
      <c r="C3905" t="s">
        <v>1477</v>
      </c>
      <c r="D3905" t="s">
        <v>323</v>
      </c>
      <c r="E3905" t="s">
        <v>304</v>
      </c>
      <c r="F3905" t="s">
        <v>4398</v>
      </c>
      <c r="G3905">
        <v>0</v>
      </c>
      <c r="H3905">
        <v>0</v>
      </c>
      <c r="I3905">
        <v>0</v>
      </c>
      <c r="J3905">
        <v>0</v>
      </c>
      <c r="K3905">
        <v>0</v>
      </c>
      <c r="L3905">
        <v>0</v>
      </c>
      <c r="M3905">
        <v>0</v>
      </c>
      <c r="N3905">
        <v>0</v>
      </c>
      <c r="O3905">
        <v>0</v>
      </c>
    </row>
    <row r="3906" spans="1:15" x14ac:dyDescent="0.35">
      <c r="A3906" t="s">
        <v>4381</v>
      </c>
      <c r="B3906" t="s">
        <v>4382</v>
      </c>
      <c r="C3906" t="s">
        <v>1477</v>
      </c>
      <c r="D3906" t="s">
        <v>323</v>
      </c>
      <c r="E3906" t="s">
        <v>306</v>
      </c>
      <c r="F3906" t="s">
        <v>4399</v>
      </c>
      <c r="G3906">
        <v>7</v>
      </c>
      <c r="H3906">
        <v>628.32000000000005</v>
      </c>
      <c r="I3906">
        <v>89.76</v>
      </c>
      <c r="J3906">
        <v>0</v>
      </c>
      <c r="K3906">
        <v>0</v>
      </c>
      <c r="L3906">
        <v>0</v>
      </c>
      <c r="M3906">
        <v>7</v>
      </c>
      <c r="N3906">
        <v>628.32000000000005</v>
      </c>
      <c r="O3906">
        <v>89.76</v>
      </c>
    </row>
    <row r="3907" spans="1:15" x14ac:dyDescent="0.35">
      <c r="A3907" t="s">
        <v>4381</v>
      </c>
      <c r="B3907" t="s">
        <v>4382</v>
      </c>
      <c r="C3907" t="s">
        <v>1477</v>
      </c>
      <c r="D3907" t="s">
        <v>323</v>
      </c>
      <c r="E3907" t="s">
        <v>308</v>
      </c>
      <c r="F3907" t="s">
        <v>4400</v>
      </c>
      <c r="G3907">
        <v>0</v>
      </c>
      <c r="H3907">
        <v>0</v>
      </c>
      <c r="I3907">
        <v>0</v>
      </c>
      <c r="J3907">
        <v>0</v>
      </c>
      <c r="K3907">
        <v>0</v>
      </c>
      <c r="L3907">
        <v>0</v>
      </c>
      <c r="M3907">
        <v>0</v>
      </c>
      <c r="N3907">
        <v>0</v>
      </c>
      <c r="O3907">
        <v>0</v>
      </c>
    </row>
    <row r="3908" spans="1:15" x14ac:dyDescent="0.35">
      <c r="A3908" t="s">
        <v>4381</v>
      </c>
      <c r="B3908" t="s">
        <v>4382</v>
      </c>
      <c r="C3908" t="s">
        <v>1477</v>
      </c>
      <c r="D3908" t="s">
        <v>323</v>
      </c>
      <c r="E3908" t="s">
        <v>310</v>
      </c>
      <c r="F3908" t="s">
        <v>4401</v>
      </c>
      <c r="G3908">
        <v>1783</v>
      </c>
      <c r="H3908">
        <v>219042.73000000004</v>
      </c>
      <c r="I3908">
        <v>122.85</v>
      </c>
      <c r="J3908">
        <v>0</v>
      </c>
      <c r="K3908">
        <v>0</v>
      </c>
      <c r="L3908">
        <v>0</v>
      </c>
      <c r="M3908">
        <v>1783</v>
      </c>
      <c r="N3908">
        <v>219042.73000000004</v>
      </c>
      <c r="O3908">
        <v>122.85</v>
      </c>
    </row>
    <row r="3909" spans="1:15" x14ac:dyDescent="0.35">
      <c r="A3909" t="s">
        <v>4381</v>
      </c>
      <c r="B3909" t="s">
        <v>4382</v>
      </c>
      <c r="C3909" t="s">
        <v>1477</v>
      </c>
      <c r="D3909" t="s">
        <v>323</v>
      </c>
      <c r="E3909" t="s">
        <v>312</v>
      </c>
      <c r="F3909" t="s">
        <v>4402</v>
      </c>
      <c r="G3909">
        <v>1783</v>
      </c>
      <c r="H3909">
        <v>219042.73000000004</v>
      </c>
      <c r="I3909">
        <v>122.85</v>
      </c>
      <c r="J3909">
        <v>0</v>
      </c>
      <c r="K3909">
        <v>0</v>
      </c>
      <c r="L3909">
        <v>0</v>
      </c>
      <c r="M3909">
        <v>1783</v>
      </c>
      <c r="N3909">
        <v>219042.73000000004</v>
      </c>
      <c r="O3909">
        <v>122.85</v>
      </c>
    </row>
    <row r="3910" spans="1:15" x14ac:dyDescent="0.35">
      <c r="A3910" t="s">
        <v>4381</v>
      </c>
      <c r="B3910" t="s">
        <v>4382</v>
      </c>
      <c r="C3910" t="s">
        <v>1477</v>
      </c>
      <c r="D3910" t="s">
        <v>334</v>
      </c>
      <c r="E3910" t="s">
        <v>312</v>
      </c>
      <c r="F3910" t="s">
        <v>4403</v>
      </c>
      <c r="G3910">
        <v>2766</v>
      </c>
      <c r="H3910">
        <v>513394.12</v>
      </c>
      <c r="I3910">
        <v>134.01</v>
      </c>
      <c r="J3910">
        <v>0</v>
      </c>
      <c r="K3910">
        <v>0</v>
      </c>
      <c r="L3910">
        <v>0</v>
      </c>
      <c r="M3910">
        <v>2766</v>
      </c>
      <c r="N3910">
        <v>513394.12</v>
      </c>
      <c r="O3910">
        <v>134.01</v>
      </c>
    </row>
    <row r="3911" spans="1:15" x14ac:dyDescent="0.35">
      <c r="A3911" t="s">
        <v>4381</v>
      </c>
      <c r="B3911" t="s">
        <v>4382</v>
      </c>
      <c r="C3911" t="s">
        <v>1477</v>
      </c>
      <c r="D3911" t="s">
        <v>334</v>
      </c>
      <c r="E3911" t="s">
        <v>308</v>
      </c>
      <c r="F3911" t="s">
        <v>4404</v>
      </c>
      <c r="G3911">
        <v>0</v>
      </c>
      <c r="H3911">
        <v>0</v>
      </c>
      <c r="I3911">
        <v>0</v>
      </c>
      <c r="J3911">
        <v>0</v>
      </c>
      <c r="K3911">
        <v>0</v>
      </c>
      <c r="L3911">
        <v>0</v>
      </c>
      <c r="M3911">
        <v>0</v>
      </c>
      <c r="N3911">
        <v>0</v>
      </c>
      <c r="O3911">
        <v>0</v>
      </c>
    </row>
    <row r="3912" spans="1:15" x14ac:dyDescent="0.35">
      <c r="A3912" t="s">
        <v>4381</v>
      </c>
      <c r="B3912" t="s">
        <v>4382</v>
      </c>
      <c r="C3912" t="s">
        <v>1477</v>
      </c>
      <c r="D3912" t="s">
        <v>337</v>
      </c>
      <c r="E3912" t="s">
        <v>337</v>
      </c>
      <c r="F3912" t="s">
        <v>4405</v>
      </c>
      <c r="G3912">
        <v>460</v>
      </c>
      <c r="J3912">
        <v>0</v>
      </c>
      <c r="M3912">
        <v>460</v>
      </c>
    </row>
    <row r="3913" spans="1:15" x14ac:dyDescent="0.35">
      <c r="A3913" t="s">
        <v>4381</v>
      </c>
      <c r="B3913" t="s">
        <v>4382</v>
      </c>
      <c r="C3913" t="s">
        <v>1477</v>
      </c>
      <c r="D3913" t="s">
        <v>339</v>
      </c>
      <c r="E3913" t="s">
        <v>294</v>
      </c>
      <c r="F3913" t="s">
        <v>4406</v>
      </c>
      <c r="G3913">
        <v>580</v>
      </c>
      <c r="H3913">
        <v>62507.899999999994</v>
      </c>
      <c r="I3913">
        <v>107.77</v>
      </c>
      <c r="J3913">
        <v>0</v>
      </c>
      <c r="K3913">
        <v>0</v>
      </c>
      <c r="L3913">
        <v>0</v>
      </c>
      <c r="M3913">
        <v>580</v>
      </c>
      <c r="N3913">
        <v>62507.899999999994</v>
      </c>
      <c r="O3913">
        <v>107.77</v>
      </c>
    </row>
    <row r="3914" spans="1:15" x14ac:dyDescent="0.35">
      <c r="A3914" t="s">
        <v>4381</v>
      </c>
      <c r="B3914" t="s">
        <v>4382</v>
      </c>
      <c r="C3914" t="s">
        <v>1477</v>
      </c>
      <c r="D3914" t="s">
        <v>339</v>
      </c>
      <c r="E3914" t="s">
        <v>296</v>
      </c>
      <c r="F3914" t="s">
        <v>4407</v>
      </c>
      <c r="G3914">
        <v>34</v>
      </c>
      <c r="H3914">
        <v>4231.28</v>
      </c>
      <c r="I3914">
        <v>124.45</v>
      </c>
      <c r="J3914">
        <v>0</v>
      </c>
      <c r="K3914">
        <v>0</v>
      </c>
      <c r="L3914">
        <v>0</v>
      </c>
      <c r="M3914">
        <v>34</v>
      </c>
      <c r="N3914">
        <v>4231.28</v>
      </c>
      <c r="O3914">
        <v>124.45</v>
      </c>
    </row>
    <row r="3915" spans="1:15" x14ac:dyDescent="0.35">
      <c r="A3915" t="s">
        <v>4381</v>
      </c>
      <c r="B3915" t="s">
        <v>4382</v>
      </c>
      <c r="C3915" t="s">
        <v>1477</v>
      </c>
      <c r="D3915" t="s">
        <v>339</v>
      </c>
      <c r="E3915" t="s">
        <v>298</v>
      </c>
      <c r="F3915" t="s">
        <v>4408</v>
      </c>
      <c r="G3915">
        <v>4</v>
      </c>
      <c r="H3915">
        <v>620.87</v>
      </c>
      <c r="I3915">
        <v>155.22</v>
      </c>
      <c r="J3915">
        <v>0</v>
      </c>
      <c r="K3915">
        <v>0</v>
      </c>
      <c r="L3915">
        <v>0</v>
      </c>
      <c r="M3915">
        <v>4</v>
      </c>
      <c r="N3915">
        <v>620.87</v>
      </c>
      <c r="O3915">
        <v>155.22</v>
      </c>
    </row>
    <row r="3916" spans="1:15" x14ac:dyDescent="0.35">
      <c r="A3916" t="s">
        <v>4381</v>
      </c>
      <c r="B3916" t="s">
        <v>4382</v>
      </c>
      <c r="C3916" t="s">
        <v>1477</v>
      </c>
      <c r="D3916" t="s">
        <v>339</v>
      </c>
      <c r="E3916" t="s">
        <v>300</v>
      </c>
      <c r="F3916" t="s">
        <v>4409</v>
      </c>
      <c r="G3916">
        <v>0</v>
      </c>
      <c r="H3916">
        <v>0</v>
      </c>
      <c r="I3916">
        <v>0</v>
      </c>
      <c r="J3916">
        <v>0</v>
      </c>
      <c r="K3916">
        <v>0</v>
      </c>
      <c r="L3916">
        <v>0</v>
      </c>
      <c r="M3916">
        <v>0</v>
      </c>
      <c r="N3916">
        <v>0</v>
      </c>
      <c r="O3916">
        <v>0</v>
      </c>
    </row>
    <row r="3917" spans="1:15" x14ac:dyDescent="0.35">
      <c r="A3917" t="s">
        <v>4381</v>
      </c>
      <c r="B3917" t="s">
        <v>4382</v>
      </c>
      <c r="C3917" t="s">
        <v>1477</v>
      </c>
      <c r="D3917" t="s">
        <v>339</v>
      </c>
      <c r="E3917" t="s">
        <v>306</v>
      </c>
      <c r="F3917" t="s">
        <v>4410</v>
      </c>
      <c r="G3917">
        <v>85</v>
      </c>
      <c r="H3917">
        <v>8318.4700000000012</v>
      </c>
      <c r="I3917">
        <v>97.86</v>
      </c>
      <c r="J3917">
        <v>0</v>
      </c>
      <c r="K3917">
        <v>0</v>
      </c>
      <c r="L3917">
        <v>0</v>
      </c>
      <c r="M3917">
        <v>85</v>
      </c>
      <c r="N3917">
        <v>8318.4700000000012</v>
      </c>
      <c r="O3917">
        <v>97.86</v>
      </c>
    </row>
    <row r="3918" spans="1:15" x14ac:dyDescent="0.35">
      <c r="A3918" t="s">
        <v>4381</v>
      </c>
      <c r="B3918" t="s">
        <v>4382</v>
      </c>
      <c r="C3918" t="s">
        <v>1477</v>
      </c>
      <c r="D3918" t="s">
        <v>339</v>
      </c>
      <c r="E3918" t="s">
        <v>308</v>
      </c>
      <c r="F3918" t="s">
        <v>4411</v>
      </c>
      <c r="G3918">
        <v>19</v>
      </c>
      <c r="H3918">
        <v>2117.85</v>
      </c>
      <c r="I3918">
        <v>111.47</v>
      </c>
      <c r="J3918">
        <v>0</v>
      </c>
      <c r="K3918">
        <v>0</v>
      </c>
      <c r="L3918">
        <v>0</v>
      </c>
      <c r="M3918">
        <v>19</v>
      </c>
      <c r="N3918">
        <v>2117.85</v>
      </c>
      <c r="O3918">
        <v>111.47</v>
      </c>
    </row>
    <row r="3919" spans="1:15" x14ac:dyDescent="0.35">
      <c r="A3919" t="s">
        <v>4381</v>
      </c>
      <c r="B3919" t="s">
        <v>4382</v>
      </c>
      <c r="C3919" t="s">
        <v>1477</v>
      </c>
      <c r="D3919" t="s">
        <v>339</v>
      </c>
      <c r="E3919" t="s">
        <v>310</v>
      </c>
      <c r="F3919" t="s">
        <v>4412</v>
      </c>
      <c r="G3919">
        <v>722</v>
      </c>
      <c r="H3919">
        <v>77796.37</v>
      </c>
      <c r="I3919">
        <v>107.75</v>
      </c>
      <c r="J3919">
        <v>0</v>
      </c>
      <c r="K3919">
        <v>0</v>
      </c>
      <c r="L3919">
        <v>0</v>
      </c>
      <c r="M3919">
        <v>722</v>
      </c>
      <c r="N3919">
        <v>77796.37</v>
      </c>
      <c r="O3919">
        <v>107.75</v>
      </c>
    </row>
    <row r="3920" spans="1:15" x14ac:dyDescent="0.35">
      <c r="A3920" t="s">
        <v>4381</v>
      </c>
      <c r="B3920" t="s">
        <v>4382</v>
      </c>
      <c r="C3920" t="s">
        <v>1477</v>
      </c>
      <c r="D3920" t="s">
        <v>339</v>
      </c>
      <c r="E3920" t="s">
        <v>312</v>
      </c>
      <c r="F3920" t="s">
        <v>4413</v>
      </c>
      <c r="G3920">
        <v>703</v>
      </c>
      <c r="H3920">
        <v>75678.51999999999</v>
      </c>
      <c r="I3920">
        <v>107.65</v>
      </c>
      <c r="J3920">
        <v>0</v>
      </c>
      <c r="K3920">
        <v>0</v>
      </c>
      <c r="L3920">
        <v>0</v>
      </c>
      <c r="M3920">
        <v>703</v>
      </c>
      <c r="N3920">
        <v>75678.51999999999</v>
      </c>
      <c r="O3920">
        <v>107.65</v>
      </c>
    </row>
    <row r="3921" spans="1:15" x14ac:dyDescent="0.35">
      <c r="A3921" t="s">
        <v>4381</v>
      </c>
      <c r="B3921" t="s">
        <v>4382</v>
      </c>
      <c r="C3921" t="s">
        <v>1477</v>
      </c>
      <c r="D3921" t="s">
        <v>348</v>
      </c>
      <c r="E3921" t="s">
        <v>349</v>
      </c>
      <c r="F3921" t="s">
        <v>4414</v>
      </c>
      <c r="G3921">
        <v>725</v>
      </c>
      <c r="H3921">
        <v>77796.37</v>
      </c>
      <c r="I3921">
        <v>107.75</v>
      </c>
      <c r="J3921">
        <v>0</v>
      </c>
      <c r="K3921">
        <v>0</v>
      </c>
      <c r="L3921">
        <v>0</v>
      </c>
      <c r="M3921">
        <v>725</v>
      </c>
      <c r="N3921">
        <v>77796.37</v>
      </c>
      <c r="O3921">
        <v>107.75</v>
      </c>
    </row>
    <row r="3922" spans="1:15" x14ac:dyDescent="0.35">
      <c r="A3922" t="s">
        <v>4415</v>
      </c>
      <c r="B3922" t="s">
        <v>179</v>
      </c>
      <c r="C3922" t="s">
        <v>1477</v>
      </c>
      <c r="D3922" t="s">
        <v>293</v>
      </c>
      <c r="E3922" t="s">
        <v>294</v>
      </c>
      <c r="F3922" t="s">
        <v>4416</v>
      </c>
      <c r="G3922">
        <v>132</v>
      </c>
      <c r="H3922">
        <v>17209.919999999998</v>
      </c>
      <c r="I3922">
        <v>130.38</v>
      </c>
      <c r="J3922">
        <v>0</v>
      </c>
      <c r="K3922">
        <v>0</v>
      </c>
      <c r="L3922">
        <v>0</v>
      </c>
      <c r="M3922">
        <v>132</v>
      </c>
      <c r="N3922">
        <v>17209.919999999998</v>
      </c>
      <c r="O3922">
        <v>130.38</v>
      </c>
    </row>
    <row r="3923" spans="1:15" x14ac:dyDescent="0.35">
      <c r="A3923" t="s">
        <v>4415</v>
      </c>
      <c r="B3923" t="s">
        <v>179</v>
      </c>
      <c r="C3923" t="s">
        <v>1477</v>
      </c>
      <c r="D3923" t="s">
        <v>293</v>
      </c>
      <c r="E3923" t="s">
        <v>296</v>
      </c>
      <c r="F3923" t="s">
        <v>4417</v>
      </c>
      <c r="G3923">
        <v>278</v>
      </c>
      <c r="H3923">
        <v>47018.240000000005</v>
      </c>
      <c r="I3923">
        <v>169.13</v>
      </c>
      <c r="J3923">
        <v>0</v>
      </c>
      <c r="K3923">
        <v>0</v>
      </c>
      <c r="L3923">
        <v>0</v>
      </c>
      <c r="M3923">
        <v>278</v>
      </c>
      <c r="N3923">
        <v>47018.240000000005</v>
      </c>
      <c r="O3923">
        <v>169.13</v>
      </c>
    </row>
    <row r="3924" spans="1:15" x14ac:dyDescent="0.35">
      <c r="A3924" t="s">
        <v>4415</v>
      </c>
      <c r="B3924" t="s">
        <v>179</v>
      </c>
      <c r="C3924" t="s">
        <v>1477</v>
      </c>
      <c r="D3924" t="s">
        <v>293</v>
      </c>
      <c r="E3924" t="s">
        <v>298</v>
      </c>
      <c r="F3924" t="s">
        <v>4418</v>
      </c>
      <c r="G3924">
        <v>190</v>
      </c>
      <c r="H3924">
        <v>38835.86</v>
      </c>
      <c r="I3924">
        <v>204.4</v>
      </c>
      <c r="J3924">
        <v>0</v>
      </c>
      <c r="K3924">
        <v>0</v>
      </c>
      <c r="L3924">
        <v>0</v>
      </c>
      <c r="M3924">
        <v>190</v>
      </c>
      <c r="N3924">
        <v>38835.86</v>
      </c>
      <c r="O3924">
        <v>204.4</v>
      </c>
    </row>
    <row r="3925" spans="1:15" x14ac:dyDescent="0.35">
      <c r="A3925" t="s">
        <v>4415</v>
      </c>
      <c r="B3925" t="s">
        <v>179</v>
      </c>
      <c r="C3925" t="s">
        <v>1477</v>
      </c>
      <c r="D3925" t="s">
        <v>293</v>
      </c>
      <c r="E3925" t="s">
        <v>300</v>
      </c>
      <c r="F3925" t="s">
        <v>4419</v>
      </c>
      <c r="G3925">
        <v>6</v>
      </c>
      <c r="H3925">
        <v>1588.95</v>
      </c>
      <c r="I3925">
        <v>264.83</v>
      </c>
      <c r="J3925">
        <v>0</v>
      </c>
      <c r="K3925">
        <v>0</v>
      </c>
      <c r="L3925">
        <v>0</v>
      </c>
      <c r="M3925">
        <v>6</v>
      </c>
      <c r="N3925">
        <v>1588.95</v>
      </c>
      <c r="O3925">
        <v>264.83</v>
      </c>
    </row>
    <row r="3926" spans="1:15" x14ac:dyDescent="0.35">
      <c r="A3926" t="s">
        <v>4415</v>
      </c>
      <c r="B3926" t="s">
        <v>179</v>
      </c>
      <c r="C3926" t="s">
        <v>1477</v>
      </c>
      <c r="D3926" t="s">
        <v>293</v>
      </c>
      <c r="E3926" t="s">
        <v>302</v>
      </c>
      <c r="F3926" t="s">
        <v>4420</v>
      </c>
      <c r="G3926">
        <v>0</v>
      </c>
      <c r="H3926">
        <v>0</v>
      </c>
      <c r="I3926">
        <v>0</v>
      </c>
      <c r="J3926">
        <v>0</v>
      </c>
      <c r="K3926">
        <v>0</v>
      </c>
      <c r="L3926">
        <v>0</v>
      </c>
      <c r="M3926">
        <v>0</v>
      </c>
      <c r="N3926">
        <v>0</v>
      </c>
      <c r="O3926">
        <v>0</v>
      </c>
    </row>
    <row r="3927" spans="1:15" x14ac:dyDescent="0.35">
      <c r="A3927" t="s">
        <v>4415</v>
      </c>
      <c r="B3927" t="s">
        <v>179</v>
      </c>
      <c r="C3927" t="s">
        <v>1477</v>
      </c>
      <c r="D3927" t="s">
        <v>293</v>
      </c>
      <c r="E3927" t="s">
        <v>304</v>
      </c>
      <c r="F3927" t="s">
        <v>4421</v>
      </c>
      <c r="G3927">
        <v>0</v>
      </c>
      <c r="H3927">
        <v>0</v>
      </c>
      <c r="I3927">
        <v>0</v>
      </c>
      <c r="J3927">
        <v>0</v>
      </c>
      <c r="K3927">
        <v>0</v>
      </c>
      <c r="L3927">
        <v>0</v>
      </c>
      <c r="M3927">
        <v>0</v>
      </c>
      <c r="N3927">
        <v>0</v>
      </c>
      <c r="O3927">
        <v>0</v>
      </c>
    </row>
    <row r="3928" spans="1:15" x14ac:dyDescent="0.35">
      <c r="A3928" t="s">
        <v>4415</v>
      </c>
      <c r="B3928" t="s">
        <v>179</v>
      </c>
      <c r="C3928" t="s">
        <v>1477</v>
      </c>
      <c r="D3928" t="s">
        <v>293</v>
      </c>
      <c r="E3928" t="s">
        <v>306</v>
      </c>
      <c r="F3928" t="s">
        <v>4422</v>
      </c>
      <c r="G3928">
        <v>0</v>
      </c>
      <c r="H3928">
        <v>0</v>
      </c>
      <c r="I3928">
        <v>0</v>
      </c>
      <c r="J3928">
        <v>0</v>
      </c>
      <c r="K3928">
        <v>0</v>
      </c>
      <c r="L3928">
        <v>0</v>
      </c>
      <c r="M3928">
        <v>0</v>
      </c>
      <c r="N3928">
        <v>0</v>
      </c>
      <c r="O3928">
        <v>0</v>
      </c>
    </row>
    <row r="3929" spans="1:15" x14ac:dyDescent="0.35">
      <c r="A3929" t="s">
        <v>4415</v>
      </c>
      <c r="B3929" t="s">
        <v>179</v>
      </c>
      <c r="C3929" t="s">
        <v>1477</v>
      </c>
      <c r="D3929" t="s">
        <v>293</v>
      </c>
      <c r="E3929" t="s">
        <v>308</v>
      </c>
      <c r="F3929" t="s">
        <v>4423</v>
      </c>
      <c r="G3929">
        <v>0</v>
      </c>
      <c r="H3929">
        <v>0</v>
      </c>
      <c r="I3929">
        <v>0</v>
      </c>
      <c r="J3929">
        <v>0</v>
      </c>
      <c r="K3929">
        <v>0</v>
      </c>
      <c r="L3929">
        <v>0</v>
      </c>
      <c r="M3929">
        <v>0</v>
      </c>
      <c r="N3929">
        <v>0</v>
      </c>
      <c r="O3929">
        <v>0</v>
      </c>
    </row>
    <row r="3930" spans="1:15" x14ac:dyDescent="0.35">
      <c r="A3930" t="s">
        <v>4415</v>
      </c>
      <c r="B3930" t="s">
        <v>179</v>
      </c>
      <c r="C3930" t="s">
        <v>1477</v>
      </c>
      <c r="D3930" t="s">
        <v>293</v>
      </c>
      <c r="E3930" t="s">
        <v>310</v>
      </c>
      <c r="F3930" t="s">
        <v>4424</v>
      </c>
      <c r="G3930">
        <v>606</v>
      </c>
      <c r="H3930">
        <v>104652.97</v>
      </c>
      <c r="I3930">
        <v>172.69</v>
      </c>
      <c r="J3930">
        <v>0</v>
      </c>
      <c r="K3930">
        <v>0</v>
      </c>
      <c r="L3930">
        <v>0</v>
      </c>
      <c r="M3930">
        <v>606</v>
      </c>
      <c r="N3930">
        <v>104652.97</v>
      </c>
      <c r="O3930">
        <v>172.69</v>
      </c>
    </row>
    <row r="3931" spans="1:15" x14ac:dyDescent="0.35">
      <c r="A3931" t="s">
        <v>4415</v>
      </c>
      <c r="B3931" t="s">
        <v>179</v>
      </c>
      <c r="C3931" t="s">
        <v>1477</v>
      </c>
      <c r="D3931" t="s">
        <v>293</v>
      </c>
      <c r="E3931" t="s">
        <v>312</v>
      </c>
      <c r="F3931" t="s">
        <v>4425</v>
      </c>
      <c r="G3931">
        <v>606</v>
      </c>
      <c r="H3931">
        <v>104652.97</v>
      </c>
      <c r="I3931">
        <v>172.69</v>
      </c>
      <c r="J3931">
        <v>0</v>
      </c>
      <c r="K3931">
        <v>0</v>
      </c>
      <c r="L3931">
        <v>0</v>
      </c>
      <c r="M3931">
        <v>606</v>
      </c>
      <c r="N3931">
        <v>104652.97</v>
      </c>
      <c r="O3931">
        <v>172.69</v>
      </c>
    </row>
    <row r="3932" spans="1:15" x14ac:dyDescent="0.35">
      <c r="A3932" t="s">
        <v>4415</v>
      </c>
      <c r="B3932" t="s">
        <v>179</v>
      </c>
      <c r="C3932" t="s">
        <v>1477</v>
      </c>
      <c r="D3932" t="s">
        <v>314</v>
      </c>
      <c r="E3932" t="s">
        <v>294</v>
      </c>
      <c r="F3932" t="s">
        <v>4426</v>
      </c>
      <c r="G3932">
        <v>0</v>
      </c>
      <c r="H3932">
        <v>0</v>
      </c>
      <c r="I3932">
        <v>0</v>
      </c>
      <c r="J3932">
        <v>0</v>
      </c>
      <c r="K3932">
        <v>0</v>
      </c>
      <c r="L3932">
        <v>0</v>
      </c>
      <c r="M3932">
        <v>0</v>
      </c>
      <c r="N3932">
        <v>0</v>
      </c>
      <c r="O3932">
        <v>0</v>
      </c>
    </row>
    <row r="3933" spans="1:15" x14ac:dyDescent="0.35">
      <c r="A3933" t="s">
        <v>4415</v>
      </c>
      <c r="B3933" t="s">
        <v>179</v>
      </c>
      <c r="C3933" t="s">
        <v>1477</v>
      </c>
      <c r="D3933" t="s">
        <v>314</v>
      </c>
      <c r="E3933" t="s">
        <v>296</v>
      </c>
      <c r="F3933" t="s">
        <v>4427</v>
      </c>
      <c r="G3933">
        <v>0</v>
      </c>
      <c r="H3933">
        <v>0</v>
      </c>
      <c r="I3933">
        <v>0</v>
      </c>
      <c r="J3933">
        <v>0</v>
      </c>
      <c r="K3933">
        <v>0</v>
      </c>
      <c r="L3933">
        <v>0</v>
      </c>
      <c r="M3933">
        <v>0</v>
      </c>
      <c r="N3933">
        <v>0</v>
      </c>
      <c r="O3933">
        <v>0</v>
      </c>
    </row>
    <row r="3934" spans="1:15" x14ac:dyDescent="0.35">
      <c r="A3934" t="s">
        <v>4415</v>
      </c>
      <c r="B3934" t="s">
        <v>179</v>
      </c>
      <c r="C3934" t="s">
        <v>1477</v>
      </c>
      <c r="D3934" t="s">
        <v>314</v>
      </c>
      <c r="E3934" t="s">
        <v>298</v>
      </c>
      <c r="F3934" t="s">
        <v>4428</v>
      </c>
      <c r="G3934">
        <v>0</v>
      </c>
      <c r="H3934">
        <v>0</v>
      </c>
      <c r="I3934">
        <v>0</v>
      </c>
      <c r="J3934">
        <v>0</v>
      </c>
      <c r="K3934">
        <v>0</v>
      </c>
      <c r="L3934">
        <v>0</v>
      </c>
      <c r="M3934">
        <v>0</v>
      </c>
      <c r="N3934">
        <v>0</v>
      </c>
      <c r="O3934">
        <v>0</v>
      </c>
    </row>
    <row r="3935" spans="1:15" x14ac:dyDescent="0.35">
      <c r="A3935" t="s">
        <v>4415</v>
      </c>
      <c r="B3935" t="s">
        <v>179</v>
      </c>
      <c r="C3935" t="s">
        <v>1477</v>
      </c>
      <c r="D3935" t="s">
        <v>314</v>
      </c>
      <c r="E3935" t="s">
        <v>300</v>
      </c>
      <c r="F3935" t="s">
        <v>4429</v>
      </c>
      <c r="G3935">
        <v>0</v>
      </c>
      <c r="H3935">
        <v>0</v>
      </c>
      <c r="I3935">
        <v>0</v>
      </c>
      <c r="J3935">
        <v>0</v>
      </c>
      <c r="K3935">
        <v>0</v>
      </c>
      <c r="L3935">
        <v>0</v>
      </c>
      <c r="M3935">
        <v>0</v>
      </c>
      <c r="N3935">
        <v>0</v>
      </c>
      <c r="O3935">
        <v>0</v>
      </c>
    </row>
    <row r="3936" spans="1:15" x14ac:dyDescent="0.35">
      <c r="A3936" t="s">
        <v>4415</v>
      </c>
      <c r="B3936" t="s">
        <v>179</v>
      </c>
      <c r="C3936" t="s">
        <v>1477</v>
      </c>
      <c r="D3936" t="s">
        <v>314</v>
      </c>
      <c r="E3936" t="s">
        <v>306</v>
      </c>
      <c r="F3936" t="s">
        <v>4430</v>
      </c>
      <c r="G3936">
        <v>0</v>
      </c>
      <c r="H3936">
        <v>0</v>
      </c>
      <c r="I3936">
        <v>0</v>
      </c>
      <c r="J3936">
        <v>0</v>
      </c>
      <c r="K3936">
        <v>0</v>
      </c>
      <c r="L3936">
        <v>0</v>
      </c>
      <c r="M3936">
        <v>0</v>
      </c>
      <c r="N3936">
        <v>0</v>
      </c>
      <c r="O3936">
        <v>0</v>
      </c>
    </row>
    <row r="3937" spans="1:15" x14ac:dyDescent="0.35">
      <c r="A3937" t="s">
        <v>4415</v>
      </c>
      <c r="B3937" t="s">
        <v>179</v>
      </c>
      <c r="C3937" t="s">
        <v>1477</v>
      </c>
      <c r="D3937" t="s">
        <v>314</v>
      </c>
      <c r="E3937" t="s">
        <v>308</v>
      </c>
      <c r="F3937" t="s">
        <v>4431</v>
      </c>
      <c r="G3937">
        <v>0</v>
      </c>
      <c r="H3937">
        <v>0</v>
      </c>
      <c r="I3937">
        <v>0</v>
      </c>
      <c r="J3937">
        <v>0</v>
      </c>
      <c r="K3937">
        <v>0</v>
      </c>
      <c r="L3937">
        <v>0</v>
      </c>
      <c r="M3937">
        <v>0</v>
      </c>
      <c r="N3937">
        <v>0</v>
      </c>
      <c r="O3937">
        <v>0</v>
      </c>
    </row>
    <row r="3938" spans="1:15" x14ac:dyDescent="0.35">
      <c r="A3938" t="s">
        <v>4415</v>
      </c>
      <c r="B3938" t="s">
        <v>179</v>
      </c>
      <c r="C3938" t="s">
        <v>1477</v>
      </c>
      <c r="D3938" t="s">
        <v>314</v>
      </c>
      <c r="E3938" t="s">
        <v>312</v>
      </c>
      <c r="F3938" t="s">
        <v>4432</v>
      </c>
      <c r="G3938">
        <v>0</v>
      </c>
      <c r="H3938">
        <v>0</v>
      </c>
      <c r="I3938">
        <v>0</v>
      </c>
      <c r="J3938">
        <v>0</v>
      </c>
      <c r="K3938">
        <v>0</v>
      </c>
      <c r="L3938">
        <v>0</v>
      </c>
      <c r="M3938">
        <v>0</v>
      </c>
      <c r="N3938">
        <v>0</v>
      </c>
      <c r="O3938">
        <v>0</v>
      </c>
    </row>
    <row r="3939" spans="1:15" x14ac:dyDescent="0.35">
      <c r="A3939" t="s">
        <v>4415</v>
      </c>
      <c r="B3939" t="s">
        <v>179</v>
      </c>
      <c r="C3939" t="s">
        <v>1477</v>
      </c>
      <c r="D3939" t="s">
        <v>314</v>
      </c>
      <c r="E3939" t="s">
        <v>310</v>
      </c>
      <c r="F3939" t="s">
        <v>4433</v>
      </c>
      <c r="G3939">
        <v>0</v>
      </c>
      <c r="H3939">
        <v>0</v>
      </c>
      <c r="I3939">
        <v>0</v>
      </c>
      <c r="J3939">
        <v>0</v>
      </c>
      <c r="K3939">
        <v>0</v>
      </c>
      <c r="L3939">
        <v>0</v>
      </c>
      <c r="M3939">
        <v>0</v>
      </c>
      <c r="N3939">
        <v>0</v>
      </c>
      <c r="O3939">
        <v>0</v>
      </c>
    </row>
    <row r="3940" spans="1:15" x14ac:dyDescent="0.35">
      <c r="A3940" t="s">
        <v>4415</v>
      </c>
      <c r="B3940" t="s">
        <v>179</v>
      </c>
      <c r="C3940" t="s">
        <v>1477</v>
      </c>
      <c r="D3940" t="s">
        <v>323</v>
      </c>
      <c r="E3940" t="s">
        <v>294</v>
      </c>
      <c r="F3940" t="s">
        <v>4434</v>
      </c>
      <c r="G3940">
        <v>188</v>
      </c>
      <c r="H3940">
        <v>19289.41</v>
      </c>
      <c r="I3940">
        <v>102.6</v>
      </c>
      <c r="J3940">
        <v>939</v>
      </c>
      <c r="K3940">
        <v>86585.189999999988</v>
      </c>
      <c r="L3940">
        <v>92.21</v>
      </c>
      <c r="M3940">
        <v>1127</v>
      </c>
      <c r="N3940">
        <v>105874.59999999999</v>
      </c>
      <c r="O3940">
        <v>93.94</v>
      </c>
    </row>
    <row r="3941" spans="1:15" x14ac:dyDescent="0.35">
      <c r="A3941" t="s">
        <v>4415</v>
      </c>
      <c r="B3941" t="s">
        <v>179</v>
      </c>
      <c r="C3941" t="s">
        <v>1477</v>
      </c>
      <c r="D3941" t="s">
        <v>323</v>
      </c>
      <c r="E3941" t="s">
        <v>296</v>
      </c>
      <c r="F3941" t="s">
        <v>4435</v>
      </c>
      <c r="G3941">
        <v>913</v>
      </c>
      <c r="H3941">
        <v>106757.53000000003</v>
      </c>
      <c r="I3941">
        <v>116.93</v>
      </c>
      <c r="J3941">
        <v>1042</v>
      </c>
      <c r="K3941">
        <v>107409.36</v>
      </c>
      <c r="L3941">
        <v>103.08</v>
      </c>
      <c r="M3941">
        <v>1955</v>
      </c>
      <c r="N3941">
        <v>214166.89</v>
      </c>
      <c r="O3941">
        <v>109.55</v>
      </c>
    </row>
    <row r="3942" spans="1:15" x14ac:dyDescent="0.35">
      <c r="A3942" t="s">
        <v>4415</v>
      </c>
      <c r="B3942" t="s">
        <v>179</v>
      </c>
      <c r="C3942" t="s">
        <v>1477</v>
      </c>
      <c r="D3942" t="s">
        <v>323</v>
      </c>
      <c r="E3942" t="s">
        <v>298</v>
      </c>
      <c r="F3942" t="s">
        <v>4436</v>
      </c>
      <c r="G3942">
        <v>593</v>
      </c>
      <c r="H3942">
        <v>80428.37</v>
      </c>
      <c r="I3942">
        <v>135.63</v>
      </c>
      <c r="J3942">
        <v>874</v>
      </c>
      <c r="K3942">
        <v>99566.080000000002</v>
      </c>
      <c r="L3942">
        <v>113.92</v>
      </c>
      <c r="M3942">
        <v>1467</v>
      </c>
      <c r="N3942">
        <v>179994.45</v>
      </c>
      <c r="O3942">
        <v>122.7</v>
      </c>
    </row>
    <row r="3943" spans="1:15" x14ac:dyDescent="0.35">
      <c r="A3943" t="s">
        <v>4415</v>
      </c>
      <c r="B3943" t="s">
        <v>179</v>
      </c>
      <c r="C3943" t="s">
        <v>1477</v>
      </c>
      <c r="D3943" t="s">
        <v>323</v>
      </c>
      <c r="E3943" t="s">
        <v>300</v>
      </c>
      <c r="F3943" t="s">
        <v>4437</v>
      </c>
      <c r="G3943">
        <v>61</v>
      </c>
      <c r="H3943">
        <v>9303.66</v>
      </c>
      <c r="I3943">
        <v>152.52000000000001</v>
      </c>
      <c r="J3943">
        <v>13</v>
      </c>
      <c r="K3943">
        <v>1760.2</v>
      </c>
      <c r="L3943">
        <v>135.4</v>
      </c>
      <c r="M3943">
        <v>74</v>
      </c>
      <c r="N3943">
        <v>11063.86</v>
      </c>
      <c r="O3943">
        <v>149.51</v>
      </c>
    </row>
    <row r="3944" spans="1:15" x14ac:dyDescent="0.35">
      <c r="A3944" t="s">
        <v>4415</v>
      </c>
      <c r="B3944" t="s">
        <v>179</v>
      </c>
      <c r="C3944" t="s">
        <v>1477</v>
      </c>
      <c r="D3944" t="s">
        <v>323</v>
      </c>
      <c r="E3944" t="s">
        <v>302</v>
      </c>
      <c r="F3944" t="s">
        <v>4438</v>
      </c>
      <c r="G3944">
        <v>4</v>
      </c>
      <c r="H3944">
        <v>632.20000000000005</v>
      </c>
      <c r="I3944">
        <v>158.05000000000001</v>
      </c>
      <c r="J3944">
        <v>3</v>
      </c>
      <c r="K3944">
        <v>400.34999999999997</v>
      </c>
      <c r="L3944">
        <v>133.44999999999999</v>
      </c>
      <c r="M3944">
        <v>7</v>
      </c>
      <c r="N3944">
        <v>1032.55</v>
      </c>
      <c r="O3944">
        <v>147.51</v>
      </c>
    </row>
    <row r="3945" spans="1:15" x14ac:dyDescent="0.35">
      <c r="A3945" t="s">
        <v>4415</v>
      </c>
      <c r="B3945" t="s">
        <v>179</v>
      </c>
      <c r="C3945" t="s">
        <v>1477</v>
      </c>
      <c r="D3945" t="s">
        <v>323</v>
      </c>
      <c r="E3945" t="s">
        <v>304</v>
      </c>
      <c r="F3945" t="s">
        <v>4439</v>
      </c>
      <c r="G3945">
        <v>1</v>
      </c>
      <c r="H3945">
        <v>178.11</v>
      </c>
      <c r="I3945">
        <v>178.11</v>
      </c>
      <c r="J3945">
        <v>1</v>
      </c>
      <c r="K3945">
        <v>152.09</v>
      </c>
      <c r="L3945">
        <v>152.09</v>
      </c>
      <c r="M3945">
        <v>2</v>
      </c>
      <c r="N3945">
        <v>330.20000000000005</v>
      </c>
      <c r="O3945">
        <v>165.1</v>
      </c>
    </row>
    <row r="3946" spans="1:15" x14ac:dyDescent="0.35">
      <c r="A3946" t="s">
        <v>4415</v>
      </c>
      <c r="B3946" t="s">
        <v>179</v>
      </c>
      <c r="C3946" t="s">
        <v>1477</v>
      </c>
      <c r="D3946" t="s">
        <v>323</v>
      </c>
      <c r="E3946" t="s">
        <v>306</v>
      </c>
      <c r="F3946" t="s">
        <v>4440</v>
      </c>
      <c r="G3946">
        <v>0</v>
      </c>
      <c r="H3946">
        <v>0</v>
      </c>
      <c r="I3946">
        <v>0</v>
      </c>
      <c r="J3946">
        <v>206</v>
      </c>
      <c r="K3946">
        <v>15625.099999999999</v>
      </c>
      <c r="L3946">
        <v>75.849999999999994</v>
      </c>
      <c r="M3946">
        <v>206</v>
      </c>
      <c r="N3946">
        <v>15625.099999999999</v>
      </c>
      <c r="O3946">
        <v>75.849999999999994</v>
      </c>
    </row>
    <row r="3947" spans="1:15" x14ac:dyDescent="0.35">
      <c r="A3947" t="s">
        <v>4415</v>
      </c>
      <c r="B3947" t="s">
        <v>179</v>
      </c>
      <c r="C3947" t="s">
        <v>1477</v>
      </c>
      <c r="D3947" t="s">
        <v>323</v>
      </c>
      <c r="E3947" t="s">
        <v>308</v>
      </c>
      <c r="F3947" t="s">
        <v>4441</v>
      </c>
      <c r="G3947">
        <v>0</v>
      </c>
      <c r="H3947">
        <v>0</v>
      </c>
      <c r="I3947">
        <v>0</v>
      </c>
      <c r="J3947">
        <v>0</v>
      </c>
      <c r="K3947">
        <v>0</v>
      </c>
      <c r="L3947">
        <v>0</v>
      </c>
      <c r="M3947">
        <v>0</v>
      </c>
      <c r="N3947">
        <v>0</v>
      </c>
      <c r="O3947">
        <v>0</v>
      </c>
    </row>
    <row r="3948" spans="1:15" x14ac:dyDescent="0.35">
      <c r="A3948" t="s">
        <v>4415</v>
      </c>
      <c r="B3948" t="s">
        <v>179</v>
      </c>
      <c r="C3948" t="s">
        <v>1477</v>
      </c>
      <c r="D3948" t="s">
        <v>323</v>
      </c>
      <c r="E3948" t="s">
        <v>310</v>
      </c>
      <c r="F3948" t="s">
        <v>4442</v>
      </c>
      <c r="G3948">
        <v>1760</v>
      </c>
      <c r="H3948">
        <v>216589.28000000003</v>
      </c>
      <c r="I3948">
        <v>123.06</v>
      </c>
      <c r="J3948">
        <v>3078</v>
      </c>
      <c r="K3948">
        <v>311498.37</v>
      </c>
      <c r="L3948">
        <v>101.2</v>
      </c>
      <c r="M3948">
        <v>4838</v>
      </c>
      <c r="N3948">
        <v>528087.65</v>
      </c>
      <c r="O3948">
        <v>109.15</v>
      </c>
    </row>
    <row r="3949" spans="1:15" x14ac:dyDescent="0.35">
      <c r="A3949" t="s">
        <v>4415</v>
      </c>
      <c r="B3949" t="s">
        <v>179</v>
      </c>
      <c r="C3949" t="s">
        <v>1477</v>
      </c>
      <c r="D3949" t="s">
        <v>323</v>
      </c>
      <c r="E3949" t="s">
        <v>312</v>
      </c>
      <c r="F3949" t="s">
        <v>4443</v>
      </c>
      <c r="G3949">
        <v>1760</v>
      </c>
      <c r="H3949">
        <v>216589.28000000003</v>
      </c>
      <c r="I3949">
        <v>123.06</v>
      </c>
      <c r="J3949">
        <v>3078</v>
      </c>
      <c r="K3949">
        <v>311498.37</v>
      </c>
      <c r="L3949">
        <v>101.2</v>
      </c>
      <c r="M3949">
        <v>4838</v>
      </c>
      <c r="N3949">
        <v>528087.65</v>
      </c>
      <c r="O3949">
        <v>109.15</v>
      </c>
    </row>
    <row r="3950" spans="1:15" x14ac:dyDescent="0.35">
      <c r="A3950" t="s">
        <v>4415</v>
      </c>
      <c r="B3950" t="s">
        <v>179</v>
      </c>
      <c r="C3950" t="s">
        <v>1477</v>
      </c>
      <c r="D3950" t="s">
        <v>334</v>
      </c>
      <c r="E3950" t="s">
        <v>312</v>
      </c>
      <c r="F3950" t="s">
        <v>4444</v>
      </c>
      <c r="G3950">
        <v>2415</v>
      </c>
      <c r="H3950">
        <v>321242.25</v>
      </c>
      <c r="I3950">
        <v>135.77000000000001</v>
      </c>
      <c r="J3950">
        <v>3078</v>
      </c>
      <c r="K3950">
        <v>311498.37</v>
      </c>
      <c r="L3950">
        <v>101.2</v>
      </c>
      <c r="M3950">
        <v>5493</v>
      </c>
      <c r="N3950">
        <v>632740.62</v>
      </c>
      <c r="O3950">
        <v>116.23</v>
      </c>
    </row>
    <row r="3951" spans="1:15" x14ac:dyDescent="0.35">
      <c r="A3951" t="s">
        <v>4415</v>
      </c>
      <c r="B3951" t="s">
        <v>179</v>
      </c>
      <c r="C3951" t="s">
        <v>1477</v>
      </c>
      <c r="D3951" t="s">
        <v>334</v>
      </c>
      <c r="E3951" t="s">
        <v>308</v>
      </c>
      <c r="F3951" t="s">
        <v>4445</v>
      </c>
      <c r="G3951">
        <v>0</v>
      </c>
      <c r="H3951">
        <v>0</v>
      </c>
      <c r="I3951">
        <v>0</v>
      </c>
      <c r="J3951">
        <v>0</v>
      </c>
      <c r="K3951">
        <v>0</v>
      </c>
      <c r="L3951">
        <v>0</v>
      </c>
      <c r="M3951">
        <v>0</v>
      </c>
      <c r="N3951">
        <v>0</v>
      </c>
      <c r="O3951">
        <v>0</v>
      </c>
    </row>
    <row r="3952" spans="1:15" x14ac:dyDescent="0.35">
      <c r="A3952" t="s">
        <v>4415</v>
      </c>
      <c r="B3952" t="s">
        <v>179</v>
      </c>
      <c r="C3952" t="s">
        <v>1477</v>
      </c>
      <c r="D3952" t="s">
        <v>337</v>
      </c>
      <c r="E3952" t="s">
        <v>337</v>
      </c>
      <c r="F3952" t="s">
        <v>4446</v>
      </c>
      <c r="G3952">
        <v>402</v>
      </c>
      <c r="J3952">
        <v>0</v>
      </c>
      <c r="M3952">
        <v>402</v>
      </c>
    </row>
    <row r="3953" spans="1:15" x14ac:dyDescent="0.35">
      <c r="A3953" t="s">
        <v>4415</v>
      </c>
      <c r="B3953" t="s">
        <v>179</v>
      </c>
      <c r="C3953" t="s">
        <v>1477</v>
      </c>
      <c r="D3953" t="s">
        <v>339</v>
      </c>
      <c r="E3953" t="s">
        <v>294</v>
      </c>
      <c r="F3953" t="s">
        <v>4447</v>
      </c>
      <c r="G3953">
        <v>432</v>
      </c>
      <c r="H3953">
        <v>59269.109999999986</v>
      </c>
      <c r="I3953">
        <v>137.19999999999999</v>
      </c>
      <c r="J3953">
        <v>0</v>
      </c>
      <c r="K3953">
        <v>0</v>
      </c>
      <c r="L3953">
        <v>0</v>
      </c>
      <c r="M3953">
        <v>432</v>
      </c>
      <c r="N3953">
        <v>59269.109999999986</v>
      </c>
      <c r="O3953">
        <v>137.19999999999999</v>
      </c>
    </row>
    <row r="3954" spans="1:15" x14ac:dyDescent="0.35">
      <c r="A3954" t="s">
        <v>4415</v>
      </c>
      <c r="B3954" t="s">
        <v>179</v>
      </c>
      <c r="C3954" t="s">
        <v>1477</v>
      </c>
      <c r="D3954" t="s">
        <v>339</v>
      </c>
      <c r="E3954" t="s">
        <v>296</v>
      </c>
      <c r="F3954" t="s">
        <v>4448</v>
      </c>
      <c r="G3954">
        <v>14</v>
      </c>
      <c r="H3954">
        <v>1820.2499999999998</v>
      </c>
      <c r="I3954">
        <v>130.02000000000001</v>
      </c>
      <c r="J3954">
        <v>0</v>
      </c>
      <c r="K3954">
        <v>0</v>
      </c>
      <c r="L3954">
        <v>0</v>
      </c>
      <c r="M3954">
        <v>14</v>
      </c>
      <c r="N3954">
        <v>1820.2499999999998</v>
      </c>
      <c r="O3954">
        <v>130.02000000000001</v>
      </c>
    </row>
    <row r="3955" spans="1:15" x14ac:dyDescent="0.35">
      <c r="A3955" t="s">
        <v>4415</v>
      </c>
      <c r="B3955" t="s">
        <v>179</v>
      </c>
      <c r="C3955" t="s">
        <v>1477</v>
      </c>
      <c r="D3955" t="s">
        <v>339</v>
      </c>
      <c r="E3955" t="s">
        <v>298</v>
      </c>
      <c r="F3955" t="s">
        <v>4449</v>
      </c>
      <c r="G3955">
        <v>8</v>
      </c>
      <c r="H3955">
        <v>1189.6399999999999</v>
      </c>
      <c r="I3955">
        <v>148.71</v>
      </c>
      <c r="J3955">
        <v>0</v>
      </c>
      <c r="K3955">
        <v>0</v>
      </c>
      <c r="L3955">
        <v>0</v>
      </c>
      <c r="M3955">
        <v>8</v>
      </c>
      <c r="N3955">
        <v>1189.6399999999999</v>
      </c>
      <c r="O3955">
        <v>148.71</v>
      </c>
    </row>
    <row r="3956" spans="1:15" x14ac:dyDescent="0.35">
      <c r="A3956" t="s">
        <v>4415</v>
      </c>
      <c r="B3956" t="s">
        <v>179</v>
      </c>
      <c r="C3956" t="s">
        <v>1477</v>
      </c>
      <c r="D3956" t="s">
        <v>339</v>
      </c>
      <c r="E3956" t="s">
        <v>300</v>
      </c>
      <c r="F3956" t="s">
        <v>4450</v>
      </c>
      <c r="G3956">
        <v>0</v>
      </c>
      <c r="H3956">
        <v>0</v>
      </c>
      <c r="I3956">
        <v>0</v>
      </c>
      <c r="J3956">
        <v>0</v>
      </c>
      <c r="K3956">
        <v>0</v>
      </c>
      <c r="L3956">
        <v>0</v>
      </c>
      <c r="M3956">
        <v>0</v>
      </c>
      <c r="N3956">
        <v>0</v>
      </c>
      <c r="O3956">
        <v>0</v>
      </c>
    </row>
    <row r="3957" spans="1:15" x14ac:dyDescent="0.35">
      <c r="A3957" t="s">
        <v>4415</v>
      </c>
      <c r="B3957" t="s">
        <v>179</v>
      </c>
      <c r="C3957" t="s">
        <v>1477</v>
      </c>
      <c r="D3957" t="s">
        <v>339</v>
      </c>
      <c r="E3957" t="s">
        <v>306</v>
      </c>
      <c r="F3957" t="s">
        <v>4451</v>
      </c>
      <c r="G3957">
        <v>180</v>
      </c>
      <c r="H3957">
        <v>17058.7</v>
      </c>
      <c r="I3957">
        <v>94.77</v>
      </c>
      <c r="J3957">
        <v>0</v>
      </c>
      <c r="K3957">
        <v>0</v>
      </c>
      <c r="L3957">
        <v>0</v>
      </c>
      <c r="M3957">
        <v>180</v>
      </c>
      <c r="N3957">
        <v>17058.7</v>
      </c>
      <c r="O3957">
        <v>94.77</v>
      </c>
    </row>
    <row r="3958" spans="1:15" x14ac:dyDescent="0.35">
      <c r="A3958" t="s">
        <v>4415</v>
      </c>
      <c r="B3958" t="s">
        <v>179</v>
      </c>
      <c r="C3958" t="s">
        <v>1477</v>
      </c>
      <c r="D3958" t="s">
        <v>339</v>
      </c>
      <c r="E3958" t="s">
        <v>308</v>
      </c>
      <c r="F3958" t="s">
        <v>4452</v>
      </c>
      <c r="G3958">
        <v>134</v>
      </c>
      <c r="H3958">
        <v>12837.32</v>
      </c>
      <c r="I3958">
        <v>95.8</v>
      </c>
      <c r="J3958">
        <v>0</v>
      </c>
      <c r="K3958">
        <v>0</v>
      </c>
      <c r="L3958">
        <v>0</v>
      </c>
      <c r="M3958">
        <v>134</v>
      </c>
      <c r="N3958">
        <v>12837.32</v>
      </c>
      <c r="O3958">
        <v>95.8</v>
      </c>
    </row>
    <row r="3959" spans="1:15" x14ac:dyDescent="0.35">
      <c r="A3959" t="s">
        <v>4415</v>
      </c>
      <c r="B3959" t="s">
        <v>179</v>
      </c>
      <c r="C3959" t="s">
        <v>1477</v>
      </c>
      <c r="D3959" t="s">
        <v>339</v>
      </c>
      <c r="E3959" t="s">
        <v>310</v>
      </c>
      <c r="F3959" t="s">
        <v>4453</v>
      </c>
      <c r="G3959">
        <v>768</v>
      </c>
      <c r="H3959">
        <v>92175.01999999999</v>
      </c>
      <c r="I3959">
        <v>120.02</v>
      </c>
      <c r="J3959">
        <v>0</v>
      </c>
      <c r="K3959">
        <v>0</v>
      </c>
      <c r="L3959">
        <v>0</v>
      </c>
      <c r="M3959">
        <v>768</v>
      </c>
      <c r="N3959">
        <v>92175.01999999999</v>
      </c>
      <c r="O3959">
        <v>120.02</v>
      </c>
    </row>
    <row r="3960" spans="1:15" x14ac:dyDescent="0.35">
      <c r="A3960" t="s">
        <v>4415</v>
      </c>
      <c r="B3960" t="s">
        <v>179</v>
      </c>
      <c r="C3960" t="s">
        <v>1477</v>
      </c>
      <c r="D3960" t="s">
        <v>339</v>
      </c>
      <c r="E3960" t="s">
        <v>312</v>
      </c>
      <c r="F3960" t="s">
        <v>4454</v>
      </c>
      <c r="G3960">
        <v>634</v>
      </c>
      <c r="H3960">
        <v>79337.699999999983</v>
      </c>
      <c r="I3960">
        <v>125.14</v>
      </c>
      <c r="J3960">
        <v>0</v>
      </c>
      <c r="K3960">
        <v>0</v>
      </c>
      <c r="L3960">
        <v>0</v>
      </c>
      <c r="M3960">
        <v>634</v>
      </c>
      <c r="N3960">
        <v>79337.699999999983</v>
      </c>
      <c r="O3960">
        <v>125.14</v>
      </c>
    </row>
    <row r="3961" spans="1:15" x14ac:dyDescent="0.35">
      <c r="A3961" t="s">
        <v>4415</v>
      </c>
      <c r="B3961" t="s">
        <v>179</v>
      </c>
      <c r="C3961" t="s">
        <v>1477</v>
      </c>
      <c r="D3961" t="s">
        <v>348</v>
      </c>
      <c r="E3961" t="s">
        <v>349</v>
      </c>
      <c r="F3961" t="s">
        <v>4455</v>
      </c>
      <c r="G3961">
        <v>807</v>
      </c>
      <c r="H3961">
        <v>92175.01999999999</v>
      </c>
      <c r="I3961">
        <v>120.02</v>
      </c>
      <c r="J3961">
        <v>0</v>
      </c>
      <c r="K3961">
        <v>0</v>
      </c>
      <c r="L3961">
        <v>0</v>
      </c>
      <c r="M3961">
        <v>807</v>
      </c>
      <c r="N3961">
        <v>92175.01999999999</v>
      </c>
      <c r="O3961">
        <v>120.02</v>
      </c>
    </row>
    <row r="3962" spans="1:15" x14ac:dyDescent="0.35">
      <c r="A3962" t="s">
        <v>4456</v>
      </c>
      <c r="B3962" t="s">
        <v>191</v>
      </c>
      <c r="C3962" t="s">
        <v>1477</v>
      </c>
      <c r="D3962" t="s">
        <v>293</v>
      </c>
      <c r="E3962" t="s">
        <v>294</v>
      </c>
      <c r="F3962" t="s">
        <v>4457</v>
      </c>
      <c r="G3962">
        <v>321</v>
      </c>
      <c r="H3962">
        <v>53047.51</v>
      </c>
      <c r="I3962">
        <v>165.26</v>
      </c>
      <c r="J3962">
        <v>37</v>
      </c>
      <c r="K3962">
        <v>5928.88</v>
      </c>
      <c r="L3962">
        <v>160.24</v>
      </c>
      <c r="M3962">
        <v>358</v>
      </c>
      <c r="N3962">
        <v>58976.39</v>
      </c>
      <c r="O3962">
        <v>164.74</v>
      </c>
    </row>
    <row r="3963" spans="1:15" x14ac:dyDescent="0.35">
      <c r="A3963" t="s">
        <v>4456</v>
      </c>
      <c r="B3963" t="s">
        <v>191</v>
      </c>
      <c r="C3963" t="s">
        <v>1477</v>
      </c>
      <c r="D3963" t="s">
        <v>293</v>
      </c>
      <c r="E3963" t="s">
        <v>296</v>
      </c>
      <c r="F3963" t="s">
        <v>4458</v>
      </c>
      <c r="G3963">
        <v>609</v>
      </c>
      <c r="H3963">
        <v>125388.70999999999</v>
      </c>
      <c r="I3963">
        <v>205.89</v>
      </c>
      <c r="J3963">
        <v>63</v>
      </c>
      <c r="K3963">
        <v>12877.83</v>
      </c>
      <c r="L3963">
        <v>204.41</v>
      </c>
      <c r="M3963">
        <v>672</v>
      </c>
      <c r="N3963">
        <v>138266.53999999998</v>
      </c>
      <c r="O3963">
        <v>205.75</v>
      </c>
    </row>
    <row r="3964" spans="1:15" x14ac:dyDescent="0.35">
      <c r="A3964" t="s">
        <v>4456</v>
      </c>
      <c r="B3964" t="s">
        <v>191</v>
      </c>
      <c r="C3964" t="s">
        <v>1477</v>
      </c>
      <c r="D3964" t="s">
        <v>293</v>
      </c>
      <c r="E3964" t="s">
        <v>298</v>
      </c>
      <c r="F3964" t="s">
        <v>4459</v>
      </c>
      <c r="G3964">
        <v>318</v>
      </c>
      <c r="H3964">
        <v>78495.109999999986</v>
      </c>
      <c r="I3964">
        <v>246.84</v>
      </c>
      <c r="J3964">
        <v>18</v>
      </c>
      <c r="K3964">
        <v>4300.92</v>
      </c>
      <c r="L3964">
        <v>238.94</v>
      </c>
      <c r="M3964">
        <v>336</v>
      </c>
      <c r="N3964">
        <v>82796.029999999984</v>
      </c>
      <c r="O3964">
        <v>246.42</v>
      </c>
    </row>
    <row r="3965" spans="1:15" x14ac:dyDescent="0.35">
      <c r="A3965" t="s">
        <v>4456</v>
      </c>
      <c r="B3965" t="s">
        <v>191</v>
      </c>
      <c r="C3965" t="s">
        <v>1477</v>
      </c>
      <c r="D3965" t="s">
        <v>293</v>
      </c>
      <c r="E3965" t="s">
        <v>300</v>
      </c>
      <c r="F3965" t="s">
        <v>4460</v>
      </c>
      <c r="G3965">
        <v>32</v>
      </c>
      <c r="H3965">
        <v>9571.69</v>
      </c>
      <c r="I3965">
        <v>299.12</v>
      </c>
      <c r="J3965">
        <v>4</v>
      </c>
      <c r="K3965">
        <v>975.24</v>
      </c>
      <c r="L3965">
        <v>243.81</v>
      </c>
      <c r="M3965">
        <v>36</v>
      </c>
      <c r="N3965">
        <v>10546.93</v>
      </c>
      <c r="O3965">
        <v>292.97000000000003</v>
      </c>
    </row>
    <row r="3966" spans="1:15" x14ac:dyDescent="0.35">
      <c r="A3966" t="s">
        <v>4456</v>
      </c>
      <c r="B3966" t="s">
        <v>191</v>
      </c>
      <c r="C3966" t="s">
        <v>1477</v>
      </c>
      <c r="D3966" t="s">
        <v>293</v>
      </c>
      <c r="E3966" t="s">
        <v>302</v>
      </c>
      <c r="F3966" t="s">
        <v>4461</v>
      </c>
      <c r="G3966">
        <v>2</v>
      </c>
      <c r="H3966">
        <v>612.17999999999995</v>
      </c>
      <c r="I3966">
        <v>306.08999999999997</v>
      </c>
      <c r="J3966">
        <v>0</v>
      </c>
      <c r="K3966">
        <v>0</v>
      </c>
      <c r="L3966">
        <v>0</v>
      </c>
      <c r="M3966">
        <v>2</v>
      </c>
      <c r="N3966">
        <v>612.17999999999995</v>
      </c>
      <c r="O3966">
        <v>306.08999999999997</v>
      </c>
    </row>
    <row r="3967" spans="1:15" x14ac:dyDescent="0.35">
      <c r="A3967" t="s">
        <v>4456</v>
      </c>
      <c r="B3967" t="s">
        <v>191</v>
      </c>
      <c r="C3967" t="s">
        <v>1477</v>
      </c>
      <c r="D3967" t="s">
        <v>293</v>
      </c>
      <c r="E3967" t="s">
        <v>304</v>
      </c>
      <c r="F3967" t="s">
        <v>4462</v>
      </c>
      <c r="G3967">
        <v>0</v>
      </c>
      <c r="H3967">
        <v>0</v>
      </c>
      <c r="I3967">
        <v>0</v>
      </c>
      <c r="J3967">
        <v>0</v>
      </c>
      <c r="K3967">
        <v>0</v>
      </c>
      <c r="L3967">
        <v>0</v>
      </c>
      <c r="M3967">
        <v>0</v>
      </c>
      <c r="N3967">
        <v>0</v>
      </c>
      <c r="O3967">
        <v>0</v>
      </c>
    </row>
    <row r="3968" spans="1:15" x14ac:dyDescent="0.35">
      <c r="A3968" t="s">
        <v>4456</v>
      </c>
      <c r="B3968" t="s">
        <v>191</v>
      </c>
      <c r="C3968" t="s">
        <v>1477</v>
      </c>
      <c r="D3968" t="s">
        <v>293</v>
      </c>
      <c r="E3968" t="s">
        <v>306</v>
      </c>
      <c r="F3968" t="s">
        <v>4463</v>
      </c>
      <c r="G3968">
        <v>0</v>
      </c>
      <c r="H3968">
        <v>0</v>
      </c>
      <c r="I3968">
        <v>0</v>
      </c>
      <c r="J3968">
        <v>5</v>
      </c>
      <c r="K3968">
        <v>886.15</v>
      </c>
      <c r="L3968">
        <v>177.23</v>
      </c>
      <c r="M3968">
        <v>5</v>
      </c>
      <c r="N3968">
        <v>886.15</v>
      </c>
      <c r="O3968">
        <v>177.23</v>
      </c>
    </row>
    <row r="3969" spans="1:15" x14ac:dyDescent="0.35">
      <c r="A3969" t="s">
        <v>4456</v>
      </c>
      <c r="B3969" t="s">
        <v>191</v>
      </c>
      <c r="C3969" t="s">
        <v>1477</v>
      </c>
      <c r="D3969" t="s">
        <v>293</v>
      </c>
      <c r="E3969" t="s">
        <v>308</v>
      </c>
      <c r="F3969" t="s">
        <v>4464</v>
      </c>
      <c r="G3969">
        <v>0</v>
      </c>
      <c r="H3969">
        <v>0</v>
      </c>
      <c r="I3969">
        <v>0</v>
      </c>
      <c r="J3969">
        <v>0</v>
      </c>
      <c r="K3969">
        <v>0</v>
      </c>
      <c r="L3969">
        <v>0</v>
      </c>
      <c r="M3969">
        <v>0</v>
      </c>
      <c r="N3969">
        <v>0</v>
      </c>
      <c r="O3969">
        <v>0</v>
      </c>
    </row>
    <row r="3970" spans="1:15" x14ac:dyDescent="0.35">
      <c r="A3970" t="s">
        <v>4456</v>
      </c>
      <c r="B3970" t="s">
        <v>191</v>
      </c>
      <c r="C3970" t="s">
        <v>1477</v>
      </c>
      <c r="D3970" t="s">
        <v>293</v>
      </c>
      <c r="E3970" t="s">
        <v>310</v>
      </c>
      <c r="F3970" t="s">
        <v>4465</v>
      </c>
      <c r="G3970">
        <v>1282</v>
      </c>
      <c r="H3970">
        <v>267115.19999999995</v>
      </c>
      <c r="I3970">
        <v>208.36</v>
      </c>
      <c r="J3970">
        <v>127</v>
      </c>
      <c r="K3970">
        <v>24969.02</v>
      </c>
      <c r="L3970">
        <v>196.61</v>
      </c>
      <c r="M3970">
        <v>1409</v>
      </c>
      <c r="N3970">
        <v>292084.21999999997</v>
      </c>
      <c r="O3970">
        <v>207.3</v>
      </c>
    </row>
    <row r="3971" spans="1:15" x14ac:dyDescent="0.35">
      <c r="A3971" t="s">
        <v>4456</v>
      </c>
      <c r="B3971" t="s">
        <v>191</v>
      </c>
      <c r="C3971" t="s">
        <v>1477</v>
      </c>
      <c r="D3971" t="s">
        <v>293</v>
      </c>
      <c r="E3971" t="s">
        <v>312</v>
      </c>
      <c r="F3971" t="s">
        <v>4466</v>
      </c>
      <c r="G3971">
        <v>1282</v>
      </c>
      <c r="H3971">
        <v>267115.19999999995</v>
      </c>
      <c r="I3971">
        <v>208.36</v>
      </c>
      <c r="J3971">
        <v>127</v>
      </c>
      <c r="K3971">
        <v>24969.02</v>
      </c>
      <c r="L3971">
        <v>196.61</v>
      </c>
      <c r="M3971">
        <v>1409</v>
      </c>
      <c r="N3971">
        <v>292084.21999999997</v>
      </c>
      <c r="O3971">
        <v>207.3</v>
      </c>
    </row>
    <row r="3972" spans="1:15" x14ac:dyDescent="0.35">
      <c r="A3972" t="s">
        <v>4456</v>
      </c>
      <c r="B3972" t="s">
        <v>191</v>
      </c>
      <c r="C3972" t="s">
        <v>1477</v>
      </c>
      <c r="D3972" t="s">
        <v>314</v>
      </c>
      <c r="E3972" t="s">
        <v>294</v>
      </c>
      <c r="F3972" t="s">
        <v>4467</v>
      </c>
      <c r="G3972">
        <v>49</v>
      </c>
      <c r="H3972">
        <v>9890.16</v>
      </c>
      <c r="I3972">
        <v>201.84</v>
      </c>
      <c r="J3972">
        <v>61</v>
      </c>
      <c r="K3972">
        <v>9689.24</v>
      </c>
      <c r="L3972">
        <v>158.84</v>
      </c>
      <c r="M3972">
        <v>110</v>
      </c>
      <c r="N3972">
        <v>19579.400000000001</v>
      </c>
      <c r="O3972">
        <v>177.99</v>
      </c>
    </row>
    <row r="3973" spans="1:15" x14ac:dyDescent="0.35">
      <c r="A3973" t="s">
        <v>4456</v>
      </c>
      <c r="B3973" t="s">
        <v>191</v>
      </c>
      <c r="C3973" t="s">
        <v>1477</v>
      </c>
      <c r="D3973" t="s">
        <v>314</v>
      </c>
      <c r="E3973" t="s">
        <v>296</v>
      </c>
      <c r="F3973" t="s">
        <v>4468</v>
      </c>
      <c r="G3973">
        <v>24</v>
      </c>
      <c r="H3973">
        <v>5634.96</v>
      </c>
      <c r="I3973">
        <v>234.79</v>
      </c>
      <c r="J3973">
        <v>7</v>
      </c>
      <c r="K3973">
        <v>1382.01</v>
      </c>
      <c r="L3973">
        <v>197.43</v>
      </c>
      <c r="M3973">
        <v>31</v>
      </c>
      <c r="N3973">
        <v>7016.97</v>
      </c>
      <c r="O3973">
        <v>226.35</v>
      </c>
    </row>
    <row r="3974" spans="1:15" x14ac:dyDescent="0.35">
      <c r="A3974" t="s">
        <v>4456</v>
      </c>
      <c r="B3974" t="s">
        <v>191</v>
      </c>
      <c r="C3974" t="s">
        <v>1477</v>
      </c>
      <c r="D3974" t="s">
        <v>314</v>
      </c>
      <c r="E3974" t="s">
        <v>298</v>
      </c>
      <c r="F3974" t="s">
        <v>4469</v>
      </c>
      <c r="G3974">
        <v>0</v>
      </c>
      <c r="H3974">
        <v>0</v>
      </c>
      <c r="I3974">
        <v>0</v>
      </c>
      <c r="J3974">
        <v>0</v>
      </c>
      <c r="K3974">
        <v>0</v>
      </c>
      <c r="L3974">
        <v>0</v>
      </c>
      <c r="M3974">
        <v>0</v>
      </c>
      <c r="N3974">
        <v>0</v>
      </c>
      <c r="O3974">
        <v>0</v>
      </c>
    </row>
    <row r="3975" spans="1:15" x14ac:dyDescent="0.35">
      <c r="A3975" t="s">
        <v>4456</v>
      </c>
      <c r="B3975" t="s">
        <v>191</v>
      </c>
      <c r="C3975" t="s">
        <v>1477</v>
      </c>
      <c r="D3975" t="s">
        <v>314</v>
      </c>
      <c r="E3975" t="s">
        <v>300</v>
      </c>
      <c r="F3975" t="s">
        <v>4470</v>
      </c>
      <c r="G3975">
        <v>0</v>
      </c>
      <c r="H3975">
        <v>0</v>
      </c>
      <c r="I3975">
        <v>0</v>
      </c>
      <c r="J3975">
        <v>0</v>
      </c>
      <c r="K3975">
        <v>0</v>
      </c>
      <c r="L3975">
        <v>0</v>
      </c>
      <c r="M3975">
        <v>0</v>
      </c>
      <c r="N3975">
        <v>0</v>
      </c>
      <c r="O3975">
        <v>0</v>
      </c>
    </row>
    <row r="3976" spans="1:15" x14ac:dyDescent="0.35">
      <c r="A3976" t="s">
        <v>4456</v>
      </c>
      <c r="B3976" t="s">
        <v>191</v>
      </c>
      <c r="C3976" t="s">
        <v>1477</v>
      </c>
      <c r="D3976" t="s">
        <v>314</v>
      </c>
      <c r="E3976" t="s">
        <v>306</v>
      </c>
      <c r="F3976" t="s">
        <v>4471</v>
      </c>
      <c r="G3976">
        <v>0</v>
      </c>
      <c r="H3976">
        <v>0</v>
      </c>
      <c r="I3976">
        <v>0</v>
      </c>
      <c r="J3976">
        <v>0</v>
      </c>
      <c r="K3976">
        <v>0</v>
      </c>
      <c r="L3976">
        <v>0</v>
      </c>
      <c r="M3976">
        <v>0</v>
      </c>
      <c r="N3976">
        <v>0</v>
      </c>
      <c r="O3976">
        <v>0</v>
      </c>
    </row>
    <row r="3977" spans="1:15" x14ac:dyDescent="0.35">
      <c r="A3977" t="s">
        <v>4456</v>
      </c>
      <c r="B3977" t="s">
        <v>191</v>
      </c>
      <c r="C3977" t="s">
        <v>1477</v>
      </c>
      <c r="D3977" t="s">
        <v>314</v>
      </c>
      <c r="E3977" t="s">
        <v>308</v>
      </c>
      <c r="F3977" t="s">
        <v>4472</v>
      </c>
      <c r="G3977">
        <v>0</v>
      </c>
      <c r="H3977">
        <v>0</v>
      </c>
      <c r="I3977">
        <v>0</v>
      </c>
      <c r="J3977">
        <v>0</v>
      </c>
      <c r="K3977">
        <v>0</v>
      </c>
      <c r="L3977">
        <v>0</v>
      </c>
      <c r="M3977">
        <v>0</v>
      </c>
      <c r="N3977">
        <v>0</v>
      </c>
      <c r="O3977">
        <v>0</v>
      </c>
    </row>
    <row r="3978" spans="1:15" x14ac:dyDescent="0.35">
      <c r="A3978" t="s">
        <v>4456</v>
      </c>
      <c r="B3978" t="s">
        <v>191</v>
      </c>
      <c r="C3978" t="s">
        <v>1477</v>
      </c>
      <c r="D3978" t="s">
        <v>314</v>
      </c>
      <c r="E3978" t="s">
        <v>312</v>
      </c>
      <c r="F3978" t="s">
        <v>4473</v>
      </c>
      <c r="G3978">
        <v>73</v>
      </c>
      <c r="H3978">
        <v>15525.119999999999</v>
      </c>
      <c r="I3978">
        <v>212.67</v>
      </c>
      <c r="J3978">
        <v>68</v>
      </c>
      <c r="K3978">
        <v>11071.25</v>
      </c>
      <c r="L3978">
        <v>162.81</v>
      </c>
      <c r="M3978">
        <v>141</v>
      </c>
      <c r="N3978">
        <v>26596.37</v>
      </c>
      <c r="O3978">
        <v>188.63</v>
      </c>
    </row>
    <row r="3979" spans="1:15" x14ac:dyDescent="0.35">
      <c r="A3979" t="s">
        <v>4456</v>
      </c>
      <c r="B3979" t="s">
        <v>191</v>
      </c>
      <c r="C3979" t="s">
        <v>1477</v>
      </c>
      <c r="D3979" t="s">
        <v>314</v>
      </c>
      <c r="E3979" t="s">
        <v>310</v>
      </c>
      <c r="F3979" t="s">
        <v>4474</v>
      </c>
      <c r="G3979">
        <v>73</v>
      </c>
      <c r="H3979">
        <v>15525.119999999999</v>
      </c>
      <c r="I3979">
        <v>212.67</v>
      </c>
      <c r="J3979">
        <v>68</v>
      </c>
      <c r="K3979">
        <v>11071.25</v>
      </c>
      <c r="L3979">
        <v>162.81</v>
      </c>
      <c r="M3979">
        <v>141</v>
      </c>
      <c r="N3979">
        <v>26596.37</v>
      </c>
      <c r="O3979">
        <v>188.63</v>
      </c>
    </row>
    <row r="3980" spans="1:15" x14ac:dyDescent="0.35">
      <c r="A3980" t="s">
        <v>4456</v>
      </c>
      <c r="B3980" t="s">
        <v>191</v>
      </c>
      <c r="C3980" t="s">
        <v>1477</v>
      </c>
      <c r="D3980" t="s">
        <v>323</v>
      </c>
      <c r="E3980" t="s">
        <v>294</v>
      </c>
      <c r="F3980" t="s">
        <v>4475</v>
      </c>
      <c r="G3980">
        <v>222</v>
      </c>
      <c r="H3980">
        <v>24896.48</v>
      </c>
      <c r="I3980">
        <v>112.15</v>
      </c>
      <c r="J3980">
        <v>256</v>
      </c>
      <c r="K3980">
        <v>27089.919999999998</v>
      </c>
      <c r="L3980">
        <v>105.82</v>
      </c>
      <c r="M3980">
        <v>478</v>
      </c>
      <c r="N3980">
        <v>51986.399999999994</v>
      </c>
      <c r="O3980">
        <v>108.76</v>
      </c>
    </row>
    <row r="3981" spans="1:15" x14ac:dyDescent="0.35">
      <c r="A3981" t="s">
        <v>4456</v>
      </c>
      <c r="B3981" t="s">
        <v>191</v>
      </c>
      <c r="C3981" t="s">
        <v>1477</v>
      </c>
      <c r="D3981" t="s">
        <v>323</v>
      </c>
      <c r="E3981" t="s">
        <v>296</v>
      </c>
      <c r="F3981" t="s">
        <v>4476</v>
      </c>
      <c r="G3981">
        <v>429</v>
      </c>
      <c r="H3981">
        <v>56850.74</v>
      </c>
      <c r="I3981">
        <v>132.52000000000001</v>
      </c>
      <c r="J3981">
        <v>944</v>
      </c>
      <c r="K3981">
        <v>113393.28</v>
      </c>
      <c r="L3981">
        <v>120.12</v>
      </c>
      <c r="M3981">
        <v>1373</v>
      </c>
      <c r="N3981">
        <v>170244.02</v>
      </c>
      <c r="O3981">
        <v>123.99</v>
      </c>
    </row>
    <row r="3982" spans="1:15" x14ac:dyDescent="0.35">
      <c r="A3982" t="s">
        <v>4456</v>
      </c>
      <c r="B3982" t="s">
        <v>191</v>
      </c>
      <c r="C3982" t="s">
        <v>1477</v>
      </c>
      <c r="D3982" t="s">
        <v>323</v>
      </c>
      <c r="E3982" t="s">
        <v>298</v>
      </c>
      <c r="F3982" t="s">
        <v>4477</v>
      </c>
      <c r="G3982">
        <v>320</v>
      </c>
      <c r="H3982">
        <v>47550.359999999993</v>
      </c>
      <c r="I3982">
        <v>148.59</v>
      </c>
      <c r="J3982">
        <v>1040</v>
      </c>
      <c r="K3982">
        <v>139744.80000000002</v>
      </c>
      <c r="L3982">
        <v>134.37</v>
      </c>
      <c r="M3982">
        <v>1360</v>
      </c>
      <c r="N3982">
        <v>187295.16</v>
      </c>
      <c r="O3982">
        <v>137.72</v>
      </c>
    </row>
    <row r="3983" spans="1:15" x14ac:dyDescent="0.35">
      <c r="A3983" t="s">
        <v>4456</v>
      </c>
      <c r="B3983" t="s">
        <v>191</v>
      </c>
      <c r="C3983" t="s">
        <v>1477</v>
      </c>
      <c r="D3983" t="s">
        <v>323</v>
      </c>
      <c r="E3983" t="s">
        <v>300</v>
      </c>
      <c r="F3983" t="s">
        <v>4478</v>
      </c>
      <c r="G3983">
        <v>20</v>
      </c>
      <c r="H3983">
        <v>3441.4399999999996</v>
      </c>
      <c r="I3983">
        <v>172.07</v>
      </c>
      <c r="J3983">
        <v>51</v>
      </c>
      <c r="K3983">
        <v>7495.47</v>
      </c>
      <c r="L3983">
        <v>146.97</v>
      </c>
      <c r="M3983">
        <v>71</v>
      </c>
      <c r="N3983">
        <v>10936.91</v>
      </c>
      <c r="O3983">
        <v>154.04</v>
      </c>
    </row>
    <row r="3984" spans="1:15" x14ac:dyDescent="0.35">
      <c r="A3984" t="s">
        <v>4456</v>
      </c>
      <c r="B3984" t="s">
        <v>191</v>
      </c>
      <c r="C3984" t="s">
        <v>1477</v>
      </c>
      <c r="D3984" t="s">
        <v>323</v>
      </c>
      <c r="E3984" t="s">
        <v>302</v>
      </c>
      <c r="F3984" t="s">
        <v>4479</v>
      </c>
      <c r="G3984">
        <v>0</v>
      </c>
      <c r="H3984">
        <v>0</v>
      </c>
      <c r="I3984">
        <v>0</v>
      </c>
      <c r="J3984">
        <v>1</v>
      </c>
      <c r="K3984">
        <v>138.88999999999999</v>
      </c>
      <c r="L3984">
        <v>138.88999999999999</v>
      </c>
      <c r="M3984">
        <v>1</v>
      </c>
      <c r="N3984">
        <v>138.88999999999999</v>
      </c>
      <c r="O3984">
        <v>138.88999999999999</v>
      </c>
    </row>
    <row r="3985" spans="1:15" x14ac:dyDescent="0.35">
      <c r="A3985" t="s">
        <v>4456</v>
      </c>
      <c r="B3985" t="s">
        <v>191</v>
      </c>
      <c r="C3985" t="s">
        <v>1477</v>
      </c>
      <c r="D3985" t="s">
        <v>323</v>
      </c>
      <c r="E3985" t="s">
        <v>304</v>
      </c>
      <c r="F3985" t="s">
        <v>4480</v>
      </c>
      <c r="G3985">
        <v>0</v>
      </c>
      <c r="H3985">
        <v>0</v>
      </c>
      <c r="I3985">
        <v>0</v>
      </c>
      <c r="J3985">
        <v>0</v>
      </c>
      <c r="K3985">
        <v>0</v>
      </c>
      <c r="L3985">
        <v>0</v>
      </c>
      <c r="M3985">
        <v>0</v>
      </c>
      <c r="N3985">
        <v>0</v>
      </c>
      <c r="O3985">
        <v>0</v>
      </c>
    </row>
    <row r="3986" spans="1:15" x14ac:dyDescent="0.35">
      <c r="A3986" t="s">
        <v>4456</v>
      </c>
      <c r="B3986" t="s">
        <v>191</v>
      </c>
      <c r="C3986" t="s">
        <v>1477</v>
      </c>
      <c r="D3986" t="s">
        <v>323</v>
      </c>
      <c r="E3986" t="s">
        <v>306</v>
      </c>
      <c r="F3986" t="s">
        <v>4481</v>
      </c>
      <c r="G3986">
        <v>0</v>
      </c>
      <c r="H3986">
        <v>0</v>
      </c>
      <c r="I3986">
        <v>0</v>
      </c>
      <c r="J3986">
        <v>3</v>
      </c>
      <c r="K3986">
        <v>266.79000000000002</v>
      </c>
      <c r="L3986">
        <v>88.93</v>
      </c>
      <c r="M3986">
        <v>3</v>
      </c>
      <c r="N3986">
        <v>266.79000000000002</v>
      </c>
      <c r="O3986">
        <v>88.93</v>
      </c>
    </row>
    <row r="3987" spans="1:15" x14ac:dyDescent="0.35">
      <c r="A3987" t="s">
        <v>4456</v>
      </c>
      <c r="B3987" t="s">
        <v>191</v>
      </c>
      <c r="C3987" t="s">
        <v>1477</v>
      </c>
      <c r="D3987" t="s">
        <v>323</v>
      </c>
      <c r="E3987" t="s">
        <v>308</v>
      </c>
      <c r="F3987" t="s">
        <v>4482</v>
      </c>
      <c r="G3987">
        <v>0</v>
      </c>
      <c r="H3987">
        <v>0</v>
      </c>
      <c r="I3987">
        <v>0</v>
      </c>
      <c r="J3987">
        <v>0</v>
      </c>
      <c r="K3987">
        <v>0</v>
      </c>
      <c r="L3987">
        <v>0</v>
      </c>
      <c r="M3987">
        <v>0</v>
      </c>
      <c r="N3987">
        <v>0</v>
      </c>
      <c r="O3987">
        <v>0</v>
      </c>
    </row>
    <row r="3988" spans="1:15" x14ac:dyDescent="0.35">
      <c r="A3988" t="s">
        <v>4456</v>
      </c>
      <c r="B3988" t="s">
        <v>191</v>
      </c>
      <c r="C3988" t="s">
        <v>1477</v>
      </c>
      <c r="D3988" t="s">
        <v>323</v>
      </c>
      <c r="E3988" t="s">
        <v>310</v>
      </c>
      <c r="F3988" t="s">
        <v>4483</v>
      </c>
      <c r="G3988">
        <v>991</v>
      </c>
      <c r="H3988">
        <v>132739.01999999999</v>
      </c>
      <c r="I3988">
        <v>133.94</v>
      </c>
      <c r="J3988">
        <v>2295</v>
      </c>
      <c r="K3988">
        <v>288129.14999999997</v>
      </c>
      <c r="L3988">
        <v>125.55</v>
      </c>
      <c r="M3988">
        <v>3286</v>
      </c>
      <c r="N3988">
        <v>420868.16999999993</v>
      </c>
      <c r="O3988">
        <v>128.08000000000001</v>
      </c>
    </row>
    <row r="3989" spans="1:15" x14ac:dyDescent="0.35">
      <c r="A3989" t="s">
        <v>4456</v>
      </c>
      <c r="B3989" t="s">
        <v>191</v>
      </c>
      <c r="C3989" t="s">
        <v>1477</v>
      </c>
      <c r="D3989" t="s">
        <v>323</v>
      </c>
      <c r="E3989" t="s">
        <v>312</v>
      </c>
      <c r="F3989" t="s">
        <v>4484</v>
      </c>
      <c r="G3989">
        <v>991</v>
      </c>
      <c r="H3989">
        <v>132739.01999999999</v>
      </c>
      <c r="I3989">
        <v>133.94</v>
      </c>
      <c r="J3989">
        <v>2295</v>
      </c>
      <c r="K3989">
        <v>288129.14999999997</v>
      </c>
      <c r="L3989">
        <v>125.55</v>
      </c>
      <c r="M3989">
        <v>3286</v>
      </c>
      <c r="N3989">
        <v>420868.16999999993</v>
      </c>
      <c r="O3989">
        <v>128.08000000000001</v>
      </c>
    </row>
    <row r="3990" spans="1:15" x14ac:dyDescent="0.35">
      <c r="A3990" t="s">
        <v>4456</v>
      </c>
      <c r="B3990" t="s">
        <v>191</v>
      </c>
      <c r="C3990" t="s">
        <v>1477</v>
      </c>
      <c r="D3990" t="s">
        <v>334</v>
      </c>
      <c r="E3990" t="s">
        <v>312</v>
      </c>
      <c r="F3990" t="s">
        <v>4485</v>
      </c>
      <c r="G3990">
        <v>2292</v>
      </c>
      <c r="H3990">
        <v>399854.21999999991</v>
      </c>
      <c r="I3990">
        <v>175.91</v>
      </c>
      <c r="J3990">
        <v>2422</v>
      </c>
      <c r="K3990">
        <v>313098.17</v>
      </c>
      <c r="L3990">
        <v>129.27000000000001</v>
      </c>
      <c r="M3990">
        <v>4714</v>
      </c>
      <c r="N3990">
        <v>712952.3899999999</v>
      </c>
      <c r="O3990">
        <v>151.85</v>
      </c>
    </row>
    <row r="3991" spans="1:15" x14ac:dyDescent="0.35">
      <c r="A3991" t="s">
        <v>4456</v>
      </c>
      <c r="B3991" t="s">
        <v>191</v>
      </c>
      <c r="C3991" t="s">
        <v>1477</v>
      </c>
      <c r="D3991" t="s">
        <v>334</v>
      </c>
      <c r="E3991" t="s">
        <v>308</v>
      </c>
      <c r="F3991" t="s">
        <v>4486</v>
      </c>
      <c r="G3991">
        <v>0</v>
      </c>
      <c r="H3991">
        <v>0</v>
      </c>
      <c r="I3991">
        <v>0</v>
      </c>
      <c r="J3991">
        <v>0</v>
      </c>
      <c r="K3991">
        <v>0</v>
      </c>
      <c r="L3991">
        <v>0</v>
      </c>
      <c r="M3991">
        <v>0</v>
      </c>
      <c r="N3991">
        <v>0</v>
      </c>
      <c r="O3991">
        <v>0</v>
      </c>
    </row>
    <row r="3992" spans="1:15" x14ac:dyDescent="0.35">
      <c r="A3992" t="s">
        <v>4456</v>
      </c>
      <c r="B3992" t="s">
        <v>191</v>
      </c>
      <c r="C3992" t="s">
        <v>1477</v>
      </c>
      <c r="D3992" t="s">
        <v>337</v>
      </c>
      <c r="E3992" t="s">
        <v>337</v>
      </c>
      <c r="F3992" t="s">
        <v>4487</v>
      </c>
      <c r="G3992">
        <v>746</v>
      </c>
      <c r="J3992">
        <v>8</v>
      </c>
      <c r="M3992">
        <v>754</v>
      </c>
    </row>
    <row r="3993" spans="1:15" x14ac:dyDescent="0.35">
      <c r="A3993" t="s">
        <v>4456</v>
      </c>
      <c r="B3993" t="s">
        <v>191</v>
      </c>
      <c r="C3993" t="s">
        <v>1477</v>
      </c>
      <c r="D3993" t="s">
        <v>339</v>
      </c>
      <c r="E3993" t="s">
        <v>294</v>
      </c>
      <c r="F3993" t="s">
        <v>4488</v>
      </c>
      <c r="G3993">
        <v>149</v>
      </c>
      <c r="H3993">
        <v>18635.259999999998</v>
      </c>
      <c r="I3993">
        <v>125.07</v>
      </c>
      <c r="J3993">
        <v>247</v>
      </c>
      <c r="K3993">
        <v>24275.16</v>
      </c>
      <c r="L3993">
        <v>98.28</v>
      </c>
      <c r="M3993">
        <v>396</v>
      </c>
      <c r="N3993">
        <v>42910.42</v>
      </c>
      <c r="O3993">
        <v>108.36</v>
      </c>
    </row>
    <row r="3994" spans="1:15" x14ac:dyDescent="0.35">
      <c r="A3994" t="s">
        <v>4456</v>
      </c>
      <c r="B3994" t="s">
        <v>191</v>
      </c>
      <c r="C3994" t="s">
        <v>1477</v>
      </c>
      <c r="D3994" t="s">
        <v>339</v>
      </c>
      <c r="E3994" t="s">
        <v>296</v>
      </c>
      <c r="F3994" t="s">
        <v>4489</v>
      </c>
      <c r="G3994">
        <v>26</v>
      </c>
      <c r="H3994">
        <v>3742.5699999999997</v>
      </c>
      <c r="I3994">
        <v>143.94999999999999</v>
      </c>
      <c r="J3994">
        <v>72</v>
      </c>
      <c r="K3994">
        <v>8140.32</v>
      </c>
      <c r="L3994">
        <v>113.06</v>
      </c>
      <c r="M3994">
        <v>98</v>
      </c>
      <c r="N3994">
        <v>11882.89</v>
      </c>
      <c r="O3994">
        <v>121.25</v>
      </c>
    </row>
    <row r="3995" spans="1:15" x14ac:dyDescent="0.35">
      <c r="A3995" t="s">
        <v>4456</v>
      </c>
      <c r="B3995" t="s">
        <v>191</v>
      </c>
      <c r="C3995" t="s">
        <v>1477</v>
      </c>
      <c r="D3995" t="s">
        <v>339</v>
      </c>
      <c r="E3995" t="s">
        <v>298</v>
      </c>
      <c r="F3995" t="s">
        <v>4490</v>
      </c>
      <c r="G3995">
        <v>4</v>
      </c>
      <c r="H3995">
        <v>673.66000000000008</v>
      </c>
      <c r="I3995">
        <v>168.42</v>
      </c>
      <c r="J3995">
        <v>2</v>
      </c>
      <c r="K3995">
        <v>253.56</v>
      </c>
      <c r="L3995">
        <v>126.78</v>
      </c>
      <c r="M3995">
        <v>6</v>
      </c>
      <c r="N3995">
        <v>927.22</v>
      </c>
      <c r="O3995">
        <v>154.54</v>
      </c>
    </row>
    <row r="3996" spans="1:15" x14ac:dyDescent="0.35">
      <c r="A3996" t="s">
        <v>4456</v>
      </c>
      <c r="B3996" t="s">
        <v>191</v>
      </c>
      <c r="C3996" t="s">
        <v>1477</v>
      </c>
      <c r="D3996" t="s">
        <v>339</v>
      </c>
      <c r="E3996" t="s">
        <v>300</v>
      </c>
      <c r="F3996" t="s">
        <v>4491</v>
      </c>
      <c r="G3996">
        <v>0</v>
      </c>
      <c r="H3996">
        <v>0</v>
      </c>
      <c r="I3996">
        <v>0</v>
      </c>
      <c r="J3996">
        <v>0</v>
      </c>
      <c r="K3996">
        <v>0</v>
      </c>
      <c r="L3996">
        <v>0</v>
      </c>
      <c r="M3996">
        <v>0</v>
      </c>
      <c r="N3996">
        <v>0</v>
      </c>
      <c r="O3996">
        <v>0</v>
      </c>
    </row>
    <row r="3997" spans="1:15" x14ac:dyDescent="0.35">
      <c r="A3997" t="s">
        <v>4456</v>
      </c>
      <c r="B3997" t="s">
        <v>191</v>
      </c>
      <c r="C3997" t="s">
        <v>1477</v>
      </c>
      <c r="D3997" t="s">
        <v>339</v>
      </c>
      <c r="E3997" t="s">
        <v>306</v>
      </c>
      <c r="F3997" t="s">
        <v>4492</v>
      </c>
      <c r="G3997">
        <v>27</v>
      </c>
      <c r="H3997">
        <v>2599.62</v>
      </c>
      <c r="I3997">
        <v>96.28</v>
      </c>
      <c r="J3997">
        <v>12</v>
      </c>
      <c r="K3997">
        <v>1024.1999999999998</v>
      </c>
      <c r="L3997">
        <v>85.35</v>
      </c>
      <c r="M3997">
        <v>39</v>
      </c>
      <c r="N3997">
        <v>3623.8199999999997</v>
      </c>
      <c r="O3997">
        <v>92.92</v>
      </c>
    </row>
    <row r="3998" spans="1:15" x14ac:dyDescent="0.35">
      <c r="A3998" t="s">
        <v>4456</v>
      </c>
      <c r="B3998" t="s">
        <v>191</v>
      </c>
      <c r="C3998" t="s">
        <v>1477</v>
      </c>
      <c r="D3998" t="s">
        <v>339</v>
      </c>
      <c r="E3998" t="s">
        <v>308</v>
      </c>
      <c r="F3998" t="s">
        <v>4493</v>
      </c>
      <c r="G3998">
        <v>66</v>
      </c>
      <c r="H3998">
        <v>10506.99</v>
      </c>
      <c r="I3998">
        <v>159.19999999999999</v>
      </c>
      <c r="J3998">
        <v>0</v>
      </c>
      <c r="K3998">
        <v>0</v>
      </c>
      <c r="L3998">
        <v>0</v>
      </c>
      <c r="M3998">
        <v>66</v>
      </c>
      <c r="N3998">
        <v>10506.99</v>
      </c>
      <c r="O3998">
        <v>159.19999999999999</v>
      </c>
    </row>
    <row r="3999" spans="1:15" x14ac:dyDescent="0.35">
      <c r="A3999" t="s">
        <v>4456</v>
      </c>
      <c r="B3999" t="s">
        <v>191</v>
      </c>
      <c r="C3999" t="s">
        <v>1477</v>
      </c>
      <c r="D3999" t="s">
        <v>339</v>
      </c>
      <c r="E3999" t="s">
        <v>310</v>
      </c>
      <c r="F3999" t="s">
        <v>4494</v>
      </c>
      <c r="G3999">
        <v>272</v>
      </c>
      <c r="H3999">
        <v>36158.1</v>
      </c>
      <c r="I3999">
        <v>132.93</v>
      </c>
      <c r="J3999">
        <v>333</v>
      </c>
      <c r="K3999">
        <v>33693.24</v>
      </c>
      <c r="L3999">
        <v>101.18</v>
      </c>
      <c r="M3999">
        <v>605</v>
      </c>
      <c r="N3999">
        <v>69851.34</v>
      </c>
      <c r="O3999">
        <v>115.46</v>
      </c>
    </row>
    <row r="4000" spans="1:15" x14ac:dyDescent="0.35">
      <c r="A4000" t="s">
        <v>4456</v>
      </c>
      <c r="B4000" t="s">
        <v>191</v>
      </c>
      <c r="C4000" t="s">
        <v>1477</v>
      </c>
      <c r="D4000" t="s">
        <v>339</v>
      </c>
      <c r="E4000" t="s">
        <v>312</v>
      </c>
      <c r="F4000" t="s">
        <v>4495</v>
      </c>
      <c r="G4000">
        <v>206</v>
      </c>
      <c r="H4000">
        <v>25651.109999999997</v>
      </c>
      <c r="I4000">
        <v>124.52</v>
      </c>
      <c r="J4000">
        <v>333</v>
      </c>
      <c r="K4000">
        <v>33693.24</v>
      </c>
      <c r="L4000">
        <v>101.18</v>
      </c>
      <c r="M4000">
        <v>539</v>
      </c>
      <c r="N4000">
        <v>59344.349999999991</v>
      </c>
      <c r="O4000">
        <v>110.1</v>
      </c>
    </row>
    <row r="4001" spans="1:15" x14ac:dyDescent="0.35">
      <c r="A4001" t="s">
        <v>4456</v>
      </c>
      <c r="B4001" t="s">
        <v>191</v>
      </c>
      <c r="C4001" t="s">
        <v>1477</v>
      </c>
      <c r="D4001" t="s">
        <v>348</v>
      </c>
      <c r="E4001" t="s">
        <v>349</v>
      </c>
      <c r="F4001" t="s">
        <v>4496</v>
      </c>
      <c r="G4001">
        <v>349</v>
      </c>
      <c r="H4001">
        <v>51683.22</v>
      </c>
      <c r="I4001">
        <v>149.81</v>
      </c>
      <c r="J4001">
        <v>401</v>
      </c>
      <c r="K4001">
        <v>44764.49</v>
      </c>
      <c r="L4001">
        <v>111.63</v>
      </c>
      <c r="M4001">
        <v>750</v>
      </c>
      <c r="N4001">
        <v>96447.709999999992</v>
      </c>
      <c r="O4001">
        <v>129.29</v>
      </c>
    </row>
    <row r="4002" spans="1:15" x14ac:dyDescent="0.35">
      <c r="A4002" t="s">
        <v>4497</v>
      </c>
      <c r="B4002" t="s">
        <v>4498</v>
      </c>
      <c r="C4002" t="s">
        <v>1184</v>
      </c>
      <c r="D4002" t="s">
        <v>293</v>
      </c>
      <c r="E4002" t="s">
        <v>294</v>
      </c>
      <c r="F4002" t="s">
        <v>4499</v>
      </c>
      <c r="G4002">
        <v>48</v>
      </c>
      <c r="H4002">
        <v>6326.65</v>
      </c>
      <c r="I4002">
        <v>131.81</v>
      </c>
      <c r="J4002">
        <v>36</v>
      </c>
      <c r="K4002">
        <v>4514.4000000000005</v>
      </c>
      <c r="L4002">
        <v>125.4</v>
      </c>
      <c r="M4002">
        <v>84</v>
      </c>
      <c r="N4002">
        <v>10841.05</v>
      </c>
      <c r="O4002">
        <v>129.06</v>
      </c>
    </row>
    <row r="4003" spans="1:15" x14ac:dyDescent="0.35">
      <c r="A4003" t="s">
        <v>4497</v>
      </c>
      <c r="B4003" t="s">
        <v>4498</v>
      </c>
      <c r="C4003" t="s">
        <v>1184</v>
      </c>
      <c r="D4003" t="s">
        <v>293</v>
      </c>
      <c r="E4003" t="s">
        <v>296</v>
      </c>
      <c r="F4003" t="s">
        <v>4500</v>
      </c>
      <c r="G4003">
        <v>144</v>
      </c>
      <c r="H4003">
        <v>23100.649999999998</v>
      </c>
      <c r="I4003">
        <v>160.41999999999999</v>
      </c>
      <c r="J4003">
        <v>103</v>
      </c>
      <c r="K4003">
        <v>16118.470000000001</v>
      </c>
      <c r="L4003">
        <v>156.49</v>
      </c>
      <c r="M4003">
        <v>247</v>
      </c>
      <c r="N4003">
        <v>39219.119999999995</v>
      </c>
      <c r="O4003">
        <v>158.78</v>
      </c>
    </row>
    <row r="4004" spans="1:15" x14ac:dyDescent="0.35">
      <c r="A4004" t="s">
        <v>4497</v>
      </c>
      <c r="B4004" t="s">
        <v>4498</v>
      </c>
      <c r="C4004" t="s">
        <v>1184</v>
      </c>
      <c r="D4004" t="s">
        <v>293</v>
      </c>
      <c r="E4004" t="s">
        <v>298</v>
      </c>
      <c r="F4004" t="s">
        <v>4501</v>
      </c>
      <c r="G4004">
        <v>103</v>
      </c>
      <c r="H4004">
        <v>20438.060000000001</v>
      </c>
      <c r="I4004">
        <v>198.43</v>
      </c>
      <c r="J4004">
        <v>51</v>
      </c>
      <c r="K4004">
        <v>9785.3700000000008</v>
      </c>
      <c r="L4004">
        <v>191.87</v>
      </c>
      <c r="M4004">
        <v>154</v>
      </c>
      <c r="N4004">
        <v>30223.43</v>
      </c>
      <c r="O4004">
        <v>196.26</v>
      </c>
    </row>
    <row r="4005" spans="1:15" x14ac:dyDescent="0.35">
      <c r="A4005" t="s">
        <v>4497</v>
      </c>
      <c r="B4005" t="s">
        <v>4498</v>
      </c>
      <c r="C4005" t="s">
        <v>1184</v>
      </c>
      <c r="D4005" t="s">
        <v>293</v>
      </c>
      <c r="E4005" t="s">
        <v>300</v>
      </c>
      <c r="F4005" t="s">
        <v>4502</v>
      </c>
      <c r="G4005">
        <v>5</v>
      </c>
      <c r="H4005">
        <v>1162.98</v>
      </c>
      <c r="I4005">
        <v>232.6</v>
      </c>
      <c r="J4005">
        <v>4</v>
      </c>
      <c r="K4005">
        <v>865.96</v>
      </c>
      <c r="L4005">
        <v>216.49</v>
      </c>
      <c r="M4005">
        <v>9</v>
      </c>
      <c r="N4005">
        <v>2028.94</v>
      </c>
      <c r="O4005">
        <v>225.44</v>
      </c>
    </row>
    <row r="4006" spans="1:15" x14ac:dyDescent="0.35">
      <c r="A4006" t="s">
        <v>4497</v>
      </c>
      <c r="B4006" t="s">
        <v>4498</v>
      </c>
      <c r="C4006" t="s">
        <v>1184</v>
      </c>
      <c r="D4006" t="s">
        <v>293</v>
      </c>
      <c r="E4006" t="s">
        <v>302</v>
      </c>
      <c r="F4006" t="s">
        <v>4503</v>
      </c>
      <c r="G4006">
        <v>0</v>
      </c>
      <c r="H4006">
        <v>0</v>
      </c>
      <c r="I4006">
        <v>0</v>
      </c>
      <c r="J4006">
        <v>1</v>
      </c>
      <c r="K4006">
        <v>232.91</v>
      </c>
      <c r="L4006">
        <v>232.91</v>
      </c>
      <c r="M4006">
        <v>1</v>
      </c>
      <c r="N4006">
        <v>232.91</v>
      </c>
      <c r="O4006">
        <v>232.91</v>
      </c>
    </row>
    <row r="4007" spans="1:15" x14ac:dyDescent="0.35">
      <c r="A4007" t="s">
        <v>4497</v>
      </c>
      <c r="B4007" t="s">
        <v>4498</v>
      </c>
      <c r="C4007" t="s">
        <v>1184</v>
      </c>
      <c r="D4007" t="s">
        <v>293</v>
      </c>
      <c r="E4007" t="s">
        <v>304</v>
      </c>
      <c r="F4007" t="s">
        <v>4504</v>
      </c>
      <c r="G4007">
        <v>0</v>
      </c>
      <c r="H4007">
        <v>0</v>
      </c>
      <c r="I4007">
        <v>0</v>
      </c>
      <c r="J4007">
        <v>0</v>
      </c>
      <c r="K4007">
        <v>0</v>
      </c>
      <c r="L4007">
        <v>0</v>
      </c>
      <c r="M4007">
        <v>0</v>
      </c>
      <c r="N4007">
        <v>0</v>
      </c>
      <c r="O4007">
        <v>0</v>
      </c>
    </row>
    <row r="4008" spans="1:15" x14ac:dyDescent="0.35">
      <c r="A4008" t="s">
        <v>4497</v>
      </c>
      <c r="B4008" t="s">
        <v>4498</v>
      </c>
      <c r="C4008" t="s">
        <v>1184</v>
      </c>
      <c r="D4008" t="s">
        <v>293</v>
      </c>
      <c r="E4008" t="s">
        <v>306</v>
      </c>
      <c r="F4008" t="s">
        <v>4505</v>
      </c>
      <c r="G4008">
        <v>28</v>
      </c>
      <c r="H4008">
        <v>3702.7200000000003</v>
      </c>
      <c r="I4008">
        <v>132.24</v>
      </c>
      <c r="J4008">
        <v>0</v>
      </c>
      <c r="K4008">
        <v>0</v>
      </c>
      <c r="L4008">
        <v>0</v>
      </c>
      <c r="M4008">
        <v>28</v>
      </c>
      <c r="N4008">
        <v>3702.7200000000003</v>
      </c>
      <c r="O4008">
        <v>132.24</v>
      </c>
    </row>
    <row r="4009" spans="1:15" x14ac:dyDescent="0.35">
      <c r="A4009" t="s">
        <v>4497</v>
      </c>
      <c r="B4009" t="s">
        <v>4498</v>
      </c>
      <c r="C4009" t="s">
        <v>1184</v>
      </c>
      <c r="D4009" t="s">
        <v>293</v>
      </c>
      <c r="E4009" t="s">
        <v>308</v>
      </c>
      <c r="F4009" t="s">
        <v>4506</v>
      </c>
      <c r="G4009">
        <v>0</v>
      </c>
      <c r="H4009">
        <v>0</v>
      </c>
      <c r="I4009">
        <v>0</v>
      </c>
      <c r="J4009">
        <v>0</v>
      </c>
      <c r="K4009">
        <v>0</v>
      </c>
      <c r="L4009">
        <v>0</v>
      </c>
      <c r="M4009">
        <v>0</v>
      </c>
      <c r="N4009">
        <v>0</v>
      </c>
      <c r="O4009">
        <v>0</v>
      </c>
    </row>
    <row r="4010" spans="1:15" x14ac:dyDescent="0.35">
      <c r="A4010" t="s">
        <v>4497</v>
      </c>
      <c r="B4010" t="s">
        <v>4498</v>
      </c>
      <c r="C4010" t="s">
        <v>1184</v>
      </c>
      <c r="D4010" t="s">
        <v>293</v>
      </c>
      <c r="E4010" t="s">
        <v>310</v>
      </c>
      <c r="F4010" t="s">
        <v>4507</v>
      </c>
      <c r="G4010">
        <v>328</v>
      </c>
      <c r="H4010">
        <v>54731.060000000005</v>
      </c>
      <c r="I4010">
        <v>166.86</v>
      </c>
      <c r="J4010">
        <v>195</v>
      </c>
      <c r="K4010">
        <v>31517.110000000004</v>
      </c>
      <c r="L4010">
        <v>161.63</v>
      </c>
      <c r="M4010">
        <v>523</v>
      </c>
      <c r="N4010">
        <v>86248.170000000013</v>
      </c>
      <c r="O4010">
        <v>164.91</v>
      </c>
    </row>
    <row r="4011" spans="1:15" x14ac:dyDescent="0.35">
      <c r="A4011" t="s">
        <v>4497</v>
      </c>
      <c r="B4011" t="s">
        <v>4498</v>
      </c>
      <c r="C4011" t="s">
        <v>1184</v>
      </c>
      <c r="D4011" t="s">
        <v>293</v>
      </c>
      <c r="E4011" t="s">
        <v>312</v>
      </c>
      <c r="F4011" t="s">
        <v>4508</v>
      </c>
      <c r="G4011">
        <v>328</v>
      </c>
      <c r="H4011">
        <v>54731.060000000005</v>
      </c>
      <c r="I4011">
        <v>166.86</v>
      </c>
      <c r="J4011">
        <v>195</v>
      </c>
      <c r="K4011">
        <v>31517.110000000004</v>
      </c>
      <c r="L4011">
        <v>161.63</v>
      </c>
      <c r="M4011">
        <v>523</v>
      </c>
      <c r="N4011">
        <v>86248.170000000013</v>
      </c>
      <c r="O4011">
        <v>164.91</v>
      </c>
    </row>
    <row r="4012" spans="1:15" x14ac:dyDescent="0.35">
      <c r="A4012" t="s">
        <v>4497</v>
      </c>
      <c r="B4012" t="s">
        <v>4498</v>
      </c>
      <c r="C4012" t="s">
        <v>1184</v>
      </c>
      <c r="D4012" t="s">
        <v>314</v>
      </c>
      <c r="E4012" t="s">
        <v>294</v>
      </c>
      <c r="F4012" t="s">
        <v>4509</v>
      </c>
      <c r="G4012">
        <v>14</v>
      </c>
      <c r="H4012">
        <v>3879.6800000000003</v>
      </c>
      <c r="I4012">
        <v>277.12</v>
      </c>
      <c r="J4012">
        <v>0</v>
      </c>
      <c r="K4012">
        <v>0</v>
      </c>
      <c r="L4012">
        <v>0</v>
      </c>
      <c r="M4012">
        <v>14</v>
      </c>
      <c r="N4012">
        <v>3879.6800000000003</v>
      </c>
      <c r="O4012">
        <v>277.12</v>
      </c>
    </row>
    <row r="4013" spans="1:15" x14ac:dyDescent="0.35">
      <c r="A4013" t="s">
        <v>4497</v>
      </c>
      <c r="B4013" t="s">
        <v>4498</v>
      </c>
      <c r="C4013" t="s">
        <v>1184</v>
      </c>
      <c r="D4013" t="s">
        <v>314</v>
      </c>
      <c r="E4013" t="s">
        <v>296</v>
      </c>
      <c r="F4013" t="s">
        <v>4510</v>
      </c>
      <c r="G4013">
        <v>25</v>
      </c>
      <c r="H4013">
        <v>7451.25</v>
      </c>
      <c r="I4013">
        <v>298.05</v>
      </c>
      <c r="J4013">
        <v>0</v>
      </c>
      <c r="K4013">
        <v>0</v>
      </c>
      <c r="L4013">
        <v>0</v>
      </c>
      <c r="M4013">
        <v>25</v>
      </c>
      <c r="N4013">
        <v>7451.25</v>
      </c>
      <c r="O4013">
        <v>298.05</v>
      </c>
    </row>
    <row r="4014" spans="1:15" x14ac:dyDescent="0.35">
      <c r="A4014" t="s">
        <v>4497</v>
      </c>
      <c r="B4014" t="s">
        <v>4498</v>
      </c>
      <c r="C4014" t="s">
        <v>1184</v>
      </c>
      <c r="D4014" t="s">
        <v>314</v>
      </c>
      <c r="E4014" t="s">
        <v>298</v>
      </c>
      <c r="F4014" t="s">
        <v>4511</v>
      </c>
      <c r="G4014">
        <v>0</v>
      </c>
      <c r="H4014">
        <v>0</v>
      </c>
      <c r="I4014">
        <v>0</v>
      </c>
      <c r="J4014">
        <v>0</v>
      </c>
      <c r="K4014">
        <v>0</v>
      </c>
      <c r="L4014">
        <v>0</v>
      </c>
      <c r="M4014">
        <v>0</v>
      </c>
      <c r="N4014">
        <v>0</v>
      </c>
      <c r="O4014">
        <v>0</v>
      </c>
    </row>
    <row r="4015" spans="1:15" x14ac:dyDescent="0.35">
      <c r="A4015" t="s">
        <v>4497</v>
      </c>
      <c r="B4015" t="s">
        <v>4498</v>
      </c>
      <c r="C4015" t="s">
        <v>1184</v>
      </c>
      <c r="D4015" t="s">
        <v>314</v>
      </c>
      <c r="E4015" t="s">
        <v>300</v>
      </c>
      <c r="F4015" t="s">
        <v>4512</v>
      </c>
      <c r="G4015">
        <v>0</v>
      </c>
      <c r="H4015">
        <v>0</v>
      </c>
      <c r="I4015">
        <v>0</v>
      </c>
      <c r="J4015">
        <v>0</v>
      </c>
      <c r="K4015">
        <v>0</v>
      </c>
      <c r="L4015">
        <v>0</v>
      </c>
      <c r="M4015">
        <v>0</v>
      </c>
      <c r="N4015">
        <v>0</v>
      </c>
      <c r="O4015">
        <v>0</v>
      </c>
    </row>
    <row r="4016" spans="1:15" x14ac:dyDescent="0.35">
      <c r="A4016" t="s">
        <v>4497</v>
      </c>
      <c r="B4016" t="s">
        <v>4498</v>
      </c>
      <c r="C4016" t="s">
        <v>1184</v>
      </c>
      <c r="D4016" t="s">
        <v>314</v>
      </c>
      <c r="E4016" t="s">
        <v>306</v>
      </c>
      <c r="F4016" t="s">
        <v>4513</v>
      </c>
      <c r="G4016">
        <v>0</v>
      </c>
      <c r="H4016">
        <v>0</v>
      </c>
      <c r="I4016">
        <v>0</v>
      </c>
      <c r="J4016">
        <v>0</v>
      </c>
      <c r="K4016">
        <v>0</v>
      </c>
      <c r="L4016">
        <v>0</v>
      </c>
      <c r="M4016">
        <v>0</v>
      </c>
      <c r="N4016">
        <v>0</v>
      </c>
      <c r="O4016">
        <v>0</v>
      </c>
    </row>
    <row r="4017" spans="1:15" x14ac:dyDescent="0.35">
      <c r="A4017" t="s">
        <v>4497</v>
      </c>
      <c r="B4017" t="s">
        <v>4498</v>
      </c>
      <c r="C4017" t="s">
        <v>1184</v>
      </c>
      <c r="D4017" t="s">
        <v>314</v>
      </c>
      <c r="E4017" t="s">
        <v>308</v>
      </c>
      <c r="F4017" t="s">
        <v>4514</v>
      </c>
      <c r="G4017">
        <v>0</v>
      </c>
      <c r="H4017">
        <v>0</v>
      </c>
      <c r="I4017">
        <v>0</v>
      </c>
      <c r="J4017">
        <v>0</v>
      </c>
      <c r="K4017">
        <v>0</v>
      </c>
      <c r="L4017">
        <v>0</v>
      </c>
      <c r="M4017">
        <v>0</v>
      </c>
      <c r="N4017">
        <v>0</v>
      </c>
      <c r="O4017">
        <v>0</v>
      </c>
    </row>
    <row r="4018" spans="1:15" x14ac:dyDescent="0.35">
      <c r="A4018" t="s">
        <v>4497</v>
      </c>
      <c r="B4018" t="s">
        <v>4498</v>
      </c>
      <c r="C4018" t="s">
        <v>1184</v>
      </c>
      <c r="D4018" t="s">
        <v>314</v>
      </c>
      <c r="E4018" t="s">
        <v>312</v>
      </c>
      <c r="F4018" t="s">
        <v>4515</v>
      </c>
      <c r="G4018">
        <v>39</v>
      </c>
      <c r="H4018">
        <v>11330.93</v>
      </c>
      <c r="I4018">
        <v>290.54000000000002</v>
      </c>
      <c r="J4018">
        <v>0</v>
      </c>
      <c r="K4018">
        <v>0</v>
      </c>
      <c r="L4018">
        <v>0</v>
      </c>
      <c r="M4018">
        <v>39</v>
      </c>
      <c r="N4018">
        <v>11330.93</v>
      </c>
      <c r="O4018">
        <v>290.54000000000002</v>
      </c>
    </row>
    <row r="4019" spans="1:15" x14ac:dyDescent="0.35">
      <c r="A4019" t="s">
        <v>4497</v>
      </c>
      <c r="B4019" t="s">
        <v>4498</v>
      </c>
      <c r="C4019" t="s">
        <v>1184</v>
      </c>
      <c r="D4019" t="s">
        <v>314</v>
      </c>
      <c r="E4019" t="s">
        <v>310</v>
      </c>
      <c r="F4019" t="s">
        <v>4516</v>
      </c>
      <c r="G4019">
        <v>39</v>
      </c>
      <c r="H4019">
        <v>11330.93</v>
      </c>
      <c r="I4019">
        <v>290.54000000000002</v>
      </c>
      <c r="J4019">
        <v>0</v>
      </c>
      <c r="K4019">
        <v>0</v>
      </c>
      <c r="L4019">
        <v>0</v>
      </c>
      <c r="M4019">
        <v>39</v>
      </c>
      <c r="N4019">
        <v>11330.93</v>
      </c>
      <c r="O4019">
        <v>290.54000000000002</v>
      </c>
    </row>
    <row r="4020" spans="1:15" x14ac:dyDescent="0.35">
      <c r="A4020" t="s">
        <v>4497</v>
      </c>
      <c r="B4020" t="s">
        <v>4498</v>
      </c>
      <c r="C4020" t="s">
        <v>1184</v>
      </c>
      <c r="D4020" t="s">
        <v>323</v>
      </c>
      <c r="E4020" t="s">
        <v>294</v>
      </c>
      <c r="F4020" t="s">
        <v>4517</v>
      </c>
      <c r="G4020">
        <v>410</v>
      </c>
      <c r="H4020">
        <v>43169.279999999999</v>
      </c>
      <c r="I4020">
        <v>105.29</v>
      </c>
      <c r="J4020">
        <v>896</v>
      </c>
      <c r="K4020">
        <v>78408.960000000006</v>
      </c>
      <c r="L4020">
        <v>87.51</v>
      </c>
      <c r="M4020">
        <v>1306</v>
      </c>
      <c r="N4020">
        <v>121578.24000000001</v>
      </c>
      <c r="O4020">
        <v>93.09</v>
      </c>
    </row>
    <row r="4021" spans="1:15" x14ac:dyDescent="0.35">
      <c r="A4021" t="s">
        <v>4497</v>
      </c>
      <c r="B4021" t="s">
        <v>4498</v>
      </c>
      <c r="C4021" t="s">
        <v>1184</v>
      </c>
      <c r="D4021" t="s">
        <v>323</v>
      </c>
      <c r="E4021" t="s">
        <v>296</v>
      </c>
      <c r="F4021" t="s">
        <v>4518</v>
      </c>
      <c r="G4021">
        <v>560</v>
      </c>
      <c r="H4021">
        <v>67075.450000000012</v>
      </c>
      <c r="I4021">
        <v>119.78</v>
      </c>
      <c r="J4021">
        <v>1501</v>
      </c>
      <c r="K4021">
        <v>147908.54</v>
      </c>
      <c r="L4021">
        <v>98.54</v>
      </c>
      <c r="M4021">
        <v>2061</v>
      </c>
      <c r="N4021">
        <v>214983.99000000002</v>
      </c>
      <c r="O4021">
        <v>104.31</v>
      </c>
    </row>
    <row r="4022" spans="1:15" x14ac:dyDescent="0.35">
      <c r="A4022" t="s">
        <v>4497</v>
      </c>
      <c r="B4022" t="s">
        <v>4498</v>
      </c>
      <c r="C4022" t="s">
        <v>1184</v>
      </c>
      <c r="D4022" t="s">
        <v>323</v>
      </c>
      <c r="E4022" t="s">
        <v>298</v>
      </c>
      <c r="F4022" t="s">
        <v>4519</v>
      </c>
      <c r="G4022">
        <v>438</v>
      </c>
      <c r="H4022">
        <v>59246.19</v>
      </c>
      <c r="I4022">
        <v>135.27000000000001</v>
      </c>
      <c r="J4022">
        <v>1309</v>
      </c>
      <c r="K4022">
        <v>145063.38</v>
      </c>
      <c r="L4022">
        <v>110.82</v>
      </c>
      <c r="M4022">
        <v>1747</v>
      </c>
      <c r="N4022">
        <v>204309.57</v>
      </c>
      <c r="O4022">
        <v>116.95</v>
      </c>
    </row>
    <row r="4023" spans="1:15" x14ac:dyDescent="0.35">
      <c r="A4023" t="s">
        <v>4497</v>
      </c>
      <c r="B4023" t="s">
        <v>4498</v>
      </c>
      <c r="C4023" t="s">
        <v>1184</v>
      </c>
      <c r="D4023" t="s">
        <v>323</v>
      </c>
      <c r="E4023" t="s">
        <v>300</v>
      </c>
      <c r="F4023" t="s">
        <v>4520</v>
      </c>
      <c r="G4023">
        <v>75</v>
      </c>
      <c r="H4023">
        <v>11505.589999999998</v>
      </c>
      <c r="I4023">
        <v>153.41</v>
      </c>
      <c r="J4023">
        <v>112</v>
      </c>
      <c r="K4023">
        <v>13445.6</v>
      </c>
      <c r="L4023">
        <v>120.05</v>
      </c>
      <c r="M4023">
        <v>187</v>
      </c>
      <c r="N4023">
        <v>24951.19</v>
      </c>
      <c r="O4023">
        <v>133.43</v>
      </c>
    </row>
    <row r="4024" spans="1:15" x14ac:dyDescent="0.35">
      <c r="A4024" t="s">
        <v>4497</v>
      </c>
      <c r="B4024" t="s">
        <v>4498</v>
      </c>
      <c r="C4024" t="s">
        <v>1184</v>
      </c>
      <c r="D4024" t="s">
        <v>323</v>
      </c>
      <c r="E4024" t="s">
        <v>302</v>
      </c>
      <c r="F4024" t="s">
        <v>4521</v>
      </c>
      <c r="G4024">
        <v>6</v>
      </c>
      <c r="H4024">
        <v>999.34000000000015</v>
      </c>
      <c r="I4024">
        <v>166.56</v>
      </c>
      <c r="J4024">
        <v>8</v>
      </c>
      <c r="K4024">
        <v>1105.8399999999999</v>
      </c>
      <c r="L4024">
        <v>138.22999999999999</v>
      </c>
      <c r="M4024">
        <v>14</v>
      </c>
      <c r="N4024">
        <v>2105.1800000000003</v>
      </c>
      <c r="O4024">
        <v>150.37</v>
      </c>
    </row>
    <row r="4025" spans="1:15" x14ac:dyDescent="0.35">
      <c r="A4025" t="s">
        <v>4497</v>
      </c>
      <c r="B4025" t="s">
        <v>4498</v>
      </c>
      <c r="C4025" t="s">
        <v>1184</v>
      </c>
      <c r="D4025" t="s">
        <v>323</v>
      </c>
      <c r="E4025" t="s">
        <v>304</v>
      </c>
      <c r="F4025" t="s">
        <v>4522</v>
      </c>
      <c r="G4025">
        <v>0</v>
      </c>
      <c r="H4025">
        <v>0</v>
      </c>
      <c r="I4025">
        <v>0</v>
      </c>
      <c r="J4025">
        <v>0</v>
      </c>
      <c r="K4025">
        <v>0</v>
      </c>
      <c r="L4025">
        <v>0</v>
      </c>
      <c r="M4025">
        <v>0</v>
      </c>
      <c r="N4025">
        <v>0</v>
      </c>
      <c r="O4025">
        <v>0</v>
      </c>
    </row>
    <row r="4026" spans="1:15" x14ac:dyDescent="0.35">
      <c r="A4026" t="s">
        <v>4497</v>
      </c>
      <c r="B4026" t="s">
        <v>4498</v>
      </c>
      <c r="C4026" t="s">
        <v>1184</v>
      </c>
      <c r="D4026" t="s">
        <v>323</v>
      </c>
      <c r="E4026" t="s">
        <v>306</v>
      </c>
      <c r="F4026" t="s">
        <v>4523</v>
      </c>
      <c r="G4026">
        <v>46</v>
      </c>
      <c r="H4026">
        <v>3993.38</v>
      </c>
      <c r="I4026">
        <v>86.81</v>
      </c>
      <c r="J4026">
        <v>7</v>
      </c>
      <c r="K4026">
        <v>597.66</v>
      </c>
      <c r="L4026">
        <v>85.38</v>
      </c>
      <c r="M4026">
        <v>53</v>
      </c>
      <c r="N4026">
        <v>4591.04</v>
      </c>
      <c r="O4026">
        <v>86.62</v>
      </c>
    </row>
    <row r="4027" spans="1:15" x14ac:dyDescent="0.35">
      <c r="A4027" t="s">
        <v>4497</v>
      </c>
      <c r="B4027" t="s">
        <v>4498</v>
      </c>
      <c r="C4027" t="s">
        <v>1184</v>
      </c>
      <c r="D4027" t="s">
        <v>323</v>
      </c>
      <c r="E4027" t="s">
        <v>308</v>
      </c>
      <c r="F4027" t="s">
        <v>4524</v>
      </c>
      <c r="G4027">
        <v>0</v>
      </c>
      <c r="H4027">
        <v>0</v>
      </c>
      <c r="I4027">
        <v>0</v>
      </c>
      <c r="J4027">
        <v>0</v>
      </c>
      <c r="K4027">
        <v>0</v>
      </c>
      <c r="L4027">
        <v>0</v>
      </c>
      <c r="M4027">
        <v>0</v>
      </c>
      <c r="N4027">
        <v>0</v>
      </c>
      <c r="O4027">
        <v>0</v>
      </c>
    </row>
    <row r="4028" spans="1:15" x14ac:dyDescent="0.35">
      <c r="A4028" t="s">
        <v>4497</v>
      </c>
      <c r="B4028" t="s">
        <v>4498</v>
      </c>
      <c r="C4028" t="s">
        <v>1184</v>
      </c>
      <c r="D4028" t="s">
        <v>323</v>
      </c>
      <c r="E4028" t="s">
        <v>310</v>
      </c>
      <c r="F4028" t="s">
        <v>4525</v>
      </c>
      <c r="G4028">
        <v>1535</v>
      </c>
      <c r="H4028">
        <v>185989.23</v>
      </c>
      <c r="I4028">
        <v>121.17</v>
      </c>
      <c r="J4028">
        <v>3833</v>
      </c>
      <c r="K4028">
        <v>386529.98</v>
      </c>
      <c r="L4028">
        <v>100.84</v>
      </c>
      <c r="M4028">
        <v>5368</v>
      </c>
      <c r="N4028">
        <v>572519.21</v>
      </c>
      <c r="O4028">
        <v>106.65</v>
      </c>
    </row>
    <row r="4029" spans="1:15" x14ac:dyDescent="0.35">
      <c r="A4029" t="s">
        <v>4497</v>
      </c>
      <c r="B4029" t="s">
        <v>4498</v>
      </c>
      <c r="C4029" t="s">
        <v>1184</v>
      </c>
      <c r="D4029" t="s">
        <v>323</v>
      </c>
      <c r="E4029" t="s">
        <v>312</v>
      </c>
      <c r="F4029" t="s">
        <v>4526</v>
      </c>
      <c r="G4029">
        <v>1535</v>
      </c>
      <c r="H4029">
        <v>185989.23</v>
      </c>
      <c r="I4029">
        <v>121.17</v>
      </c>
      <c r="J4029">
        <v>3833</v>
      </c>
      <c r="K4029">
        <v>386529.98</v>
      </c>
      <c r="L4029">
        <v>100.84</v>
      </c>
      <c r="M4029">
        <v>5368</v>
      </c>
      <c r="N4029">
        <v>572519.21</v>
      </c>
      <c r="O4029">
        <v>106.65</v>
      </c>
    </row>
    <row r="4030" spans="1:15" x14ac:dyDescent="0.35">
      <c r="A4030" t="s">
        <v>4497</v>
      </c>
      <c r="B4030" t="s">
        <v>4498</v>
      </c>
      <c r="C4030" t="s">
        <v>1184</v>
      </c>
      <c r="D4030" t="s">
        <v>334</v>
      </c>
      <c r="E4030" t="s">
        <v>312</v>
      </c>
      <c r="F4030" t="s">
        <v>4527</v>
      </c>
      <c r="G4030">
        <v>1924</v>
      </c>
      <c r="H4030">
        <v>240720.29</v>
      </c>
      <c r="I4030">
        <v>129.21</v>
      </c>
      <c r="J4030">
        <v>4028</v>
      </c>
      <c r="K4030">
        <v>418047.08999999997</v>
      </c>
      <c r="L4030">
        <v>103.79</v>
      </c>
      <c r="M4030">
        <v>5952</v>
      </c>
      <c r="N4030">
        <v>658767.38</v>
      </c>
      <c r="O4030">
        <v>111.83</v>
      </c>
    </row>
    <row r="4031" spans="1:15" x14ac:dyDescent="0.35">
      <c r="A4031" t="s">
        <v>4497</v>
      </c>
      <c r="B4031" t="s">
        <v>4498</v>
      </c>
      <c r="C4031" t="s">
        <v>1184</v>
      </c>
      <c r="D4031" t="s">
        <v>334</v>
      </c>
      <c r="E4031" t="s">
        <v>308</v>
      </c>
      <c r="F4031" t="s">
        <v>4528</v>
      </c>
      <c r="G4031">
        <v>0</v>
      </c>
      <c r="H4031">
        <v>0</v>
      </c>
      <c r="I4031">
        <v>0</v>
      </c>
      <c r="J4031">
        <v>0</v>
      </c>
      <c r="K4031">
        <v>0</v>
      </c>
      <c r="L4031">
        <v>0</v>
      </c>
      <c r="M4031">
        <v>0</v>
      </c>
      <c r="N4031">
        <v>0</v>
      </c>
      <c r="O4031">
        <v>0</v>
      </c>
    </row>
    <row r="4032" spans="1:15" x14ac:dyDescent="0.35">
      <c r="A4032" t="s">
        <v>4497</v>
      </c>
      <c r="B4032" t="s">
        <v>4498</v>
      </c>
      <c r="C4032" t="s">
        <v>1184</v>
      </c>
      <c r="D4032" t="s">
        <v>337</v>
      </c>
      <c r="E4032" t="s">
        <v>337</v>
      </c>
      <c r="F4032" t="s">
        <v>4529</v>
      </c>
      <c r="G4032">
        <v>479</v>
      </c>
      <c r="J4032">
        <v>38</v>
      </c>
      <c r="M4032">
        <v>517</v>
      </c>
    </row>
    <row r="4033" spans="1:15" x14ac:dyDescent="0.35">
      <c r="A4033" t="s">
        <v>4497</v>
      </c>
      <c r="B4033" t="s">
        <v>4498</v>
      </c>
      <c r="C4033" t="s">
        <v>1184</v>
      </c>
      <c r="D4033" t="s">
        <v>339</v>
      </c>
      <c r="E4033" t="s">
        <v>294</v>
      </c>
      <c r="F4033" t="s">
        <v>4530</v>
      </c>
      <c r="G4033">
        <v>239</v>
      </c>
      <c r="H4033">
        <v>28331.760000000002</v>
      </c>
      <c r="I4033">
        <v>118.54</v>
      </c>
      <c r="J4033">
        <v>417</v>
      </c>
      <c r="K4033">
        <v>37684.29</v>
      </c>
      <c r="L4033">
        <v>90.37</v>
      </c>
      <c r="M4033">
        <v>656</v>
      </c>
      <c r="N4033">
        <v>66016.05</v>
      </c>
      <c r="O4033">
        <v>100.63</v>
      </c>
    </row>
    <row r="4034" spans="1:15" x14ac:dyDescent="0.35">
      <c r="A4034" t="s">
        <v>4497</v>
      </c>
      <c r="B4034" t="s">
        <v>4498</v>
      </c>
      <c r="C4034" t="s">
        <v>1184</v>
      </c>
      <c r="D4034" t="s">
        <v>339</v>
      </c>
      <c r="E4034" t="s">
        <v>296</v>
      </c>
      <c r="F4034" t="s">
        <v>4531</v>
      </c>
      <c r="G4034">
        <v>17</v>
      </c>
      <c r="H4034">
        <v>2164.1</v>
      </c>
      <c r="I4034">
        <v>127.3</v>
      </c>
      <c r="J4034">
        <v>16</v>
      </c>
      <c r="K4034">
        <v>1587.04</v>
      </c>
      <c r="L4034">
        <v>99.19</v>
      </c>
      <c r="M4034">
        <v>33</v>
      </c>
      <c r="N4034">
        <v>3751.14</v>
      </c>
      <c r="O4034">
        <v>113.67</v>
      </c>
    </row>
    <row r="4035" spans="1:15" x14ac:dyDescent="0.35">
      <c r="A4035" t="s">
        <v>4497</v>
      </c>
      <c r="B4035" t="s">
        <v>4498</v>
      </c>
      <c r="C4035" t="s">
        <v>1184</v>
      </c>
      <c r="D4035" t="s">
        <v>339</v>
      </c>
      <c r="E4035" t="s">
        <v>298</v>
      </c>
      <c r="F4035" t="s">
        <v>4532</v>
      </c>
      <c r="G4035">
        <v>3</v>
      </c>
      <c r="H4035">
        <v>468.48</v>
      </c>
      <c r="I4035">
        <v>156.16</v>
      </c>
      <c r="J4035">
        <v>0</v>
      </c>
      <c r="K4035">
        <v>0</v>
      </c>
      <c r="L4035">
        <v>0</v>
      </c>
      <c r="M4035">
        <v>3</v>
      </c>
      <c r="N4035">
        <v>468.48</v>
      </c>
      <c r="O4035">
        <v>156.16</v>
      </c>
    </row>
    <row r="4036" spans="1:15" x14ac:dyDescent="0.35">
      <c r="A4036" t="s">
        <v>4497</v>
      </c>
      <c r="B4036" t="s">
        <v>4498</v>
      </c>
      <c r="C4036" t="s">
        <v>1184</v>
      </c>
      <c r="D4036" t="s">
        <v>339</v>
      </c>
      <c r="E4036" t="s">
        <v>300</v>
      </c>
      <c r="F4036" t="s">
        <v>4533</v>
      </c>
      <c r="G4036">
        <v>0</v>
      </c>
      <c r="H4036">
        <v>0</v>
      </c>
      <c r="I4036">
        <v>0</v>
      </c>
      <c r="J4036">
        <v>0</v>
      </c>
      <c r="K4036">
        <v>0</v>
      </c>
      <c r="L4036">
        <v>0</v>
      </c>
      <c r="M4036">
        <v>0</v>
      </c>
      <c r="N4036">
        <v>0</v>
      </c>
      <c r="O4036">
        <v>0</v>
      </c>
    </row>
    <row r="4037" spans="1:15" x14ac:dyDescent="0.35">
      <c r="A4037" t="s">
        <v>4497</v>
      </c>
      <c r="B4037" t="s">
        <v>4498</v>
      </c>
      <c r="C4037" t="s">
        <v>1184</v>
      </c>
      <c r="D4037" t="s">
        <v>339</v>
      </c>
      <c r="E4037" t="s">
        <v>306</v>
      </c>
      <c r="F4037" t="s">
        <v>4534</v>
      </c>
      <c r="G4037">
        <v>70</v>
      </c>
      <c r="H4037">
        <v>7208.8099999999995</v>
      </c>
      <c r="I4037">
        <v>102.98</v>
      </c>
      <c r="J4037">
        <v>57</v>
      </c>
      <c r="K4037">
        <v>4734.99</v>
      </c>
      <c r="L4037">
        <v>83.07</v>
      </c>
      <c r="M4037">
        <v>127</v>
      </c>
      <c r="N4037">
        <v>11943.8</v>
      </c>
      <c r="O4037">
        <v>94.05</v>
      </c>
    </row>
    <row r="4038" spans="1:15" x14ac:dyDescent="0.35">
      <c r="A4038" t="s">
        <v>4497</v>
      </c>
      <c r="B4038" t="s">
        <v>4498</v>
      </c>
      <c r="C4038" t="s">
        <v>1184</v>
      </c>
      <c r="D4038" t="s">
        <v>339</v>
      </c>
      <c r="E4038" t="s">
        <v>308</v>
      </c>
      <c r="F4038" t="s">
        <v>4535</v>
      </c>
      <c r="G4038">
        <v>130</v>
      </c>
      <c r="H4038">
        <v>19732.8</v>
      </c>
      <c r="I4038">
        <v>151.79</v>
      </c>
      <c r="J4038">
        <v>0</v>
      </c>
      <c r="K4038">
        <v>0</v>
      </c>
      <c r="L4038">
        <v>0</v>
      </c>
      <c r="M4038">
        <v>130</v>
      </c>
      <c r="N4038">
        <v>19732.8</v>
      </c>
      <c r="O4038">
        <v>151.79</v>
      </c>
    </row>
    <row r="4039" spans="1:15" x14ac:dyDescent="0.35">
      <c r="A4039" t="s">
        <v>4497</v>
      </c>
      <c r="B4039" t="s">
        <v>4498</v>
      </c>
      <c r="C4039" t="s">
        <v>1184</v>
      </c>
      <c r="D4039" t="s">
        <v>339</v>
      </c>
      <c r="E4039" t="s">
        <v>310</v>
      </c>
      <c r="F4039" t="s">
        <v>4536</v>
      </c>
      <c r="G4039">
        <v>459</v>
      </c>
      <c r="H4039">
        <v>57905.95</v>
      </c>
      <c r="I4039">
        <v>126.16</v>
      </c>
      <c r="J4039">
        <v>490</v>
      </c>
      <c r="K4039">
        <v>44006.32</v>
      </c>
      <c r="L4039">
        <v>89.81</v>
      </c>
      <c r="M4039">
        <v>949</v>
      </c>
      <c r="N4039">
        <v>101912.26999999999</v>
      </c>
      <c r="O4039">
        <v>107.39</v>
      </c>
    </row>
    <row r="4040" spans="1:15" x14ac:dyDescent="0.35">
      <c r="A4040" t="s">
        <v>4497</v>
      </c>
      <c r="B4040" t="s">
        <v>4498</v>
      </c>
      <c r="C4040" t="s">
        <v>1184</v>
      </c>
      <c r="D4040" t="s">
        <v>339</v>
      </c>
      <c r="E4040" t="s">
        <v>312</v>
      </c>
      <c r="F4040" t="s">
        <v>4537</v>
      </c>
      <c r="G4040">
        <v>329</v>
      </c>
      <c r="H4040">
        <v>38173.15</v>
      </c>
      <c r="I4040">
        <v>116.03</v>
      </c>
      <c r="J4040">
        <v>490</v>
      </c>
      <c r="K4040">
        <v>44006.32</v>
      </c>
      <c r="L4040">
        <v>89.81</v>
      </c>
      <c r="M4040">
        <v>819</v>
      </c>
      <c r="N4040">
        <v>82179.47</v>
      </c>
      <c r="O4040">
        <v>100.34</v>
      </c>
    </row>
    <row r="4041" spans="1:15" x14ac:dyDescent="0.35">
      <c r="A4041" t="s">
        <v>4497</v>
      </c>
      <c r="B4041" t="s">
        <v>4498</v>
      </c>
      <c r="C4041" t="s">
        <v>1184</v>
      </c>
      <c r="D4041" t="s">
        <v>348</v>
      </c>
      <c r="E4041" t="s">
        <v>349</v>
      </c>
      <c r="F4041" t="s">
        <v>4538</v>
      </c>
      <c r="G4041">
        <v>645</v>
      </c>
      <c r="H4041">
        <v>69236.88</v>
      </c>
      <c r="I4041">
        <v>139.03</v>
      </c>
      <c r="J4041">
        <v>490</v>
      </c>
      <c r="K4041">
        <v>44006.32</v>
      </c>
      <c r="L4041">
        <v>89.81</v>
      </c>
      <c r="M4041">
        <v>1135</v>
      </c>
      <c r="N4041">
        <v>113243.20000000001</v>
      </c>
      <c r="O4041">
        <v>114.62</v>
      </c>
    </row>
    <row r="4042" spans="1:15" x14ac:dyDescent="0.35">
      <c r="A4042" t="s">
        <v>4539</v>
      </c>
      <c r="B4042" t="s">
        <v>4540</v>
      </c>
      <c r="C4042" t="s">
        <v>1184</v>
      </c>
      <c r="D4042" t="s">
        <v>293</v>
      </c>
      <c r="E4042" t="s">
        <v>294</v>
      </c>
      <c r="F4042" t="s">
        <v>4541</v>
      </c>
      <c r="G4042">
        <v>310</v>
      </c>
      <c r="H4042">
        <v>42451.30999999999</v>
      </c>
      <c r="I4042">
        <v>136.94</v>
      </c>
      <c r="J4042">
        <v>0</v>
      </c>
      <c r="K4042">
        <v>0</v>
      </c>
      <c r="L4042">
        <v>0</v>
      </c>
      <c r="M4042">
        <v>310</v>
      </c>
      <c r="N4042">
        <v>42451.30999999999</v>
      </c>
      <c r="O4042">
        <v>136.94</v>
      </c>
    </row>
    <row r="4043" spans="1:15" x14ac:dyDescent="0.35">
      <c r="A4043" t="s">
        <v>4539</v>
      </c>
      <c r="B4043" t="s">
        <v>4540</v>
      </c>
      <c r="C4043" t="s">
        <v>1184</v>
      </c>
      <c r="D4043" t="s">
        <v>293</v>
      </c>
      <c r="E4043" t="s">
        <v>296</v>
      </c>
      <c r="F4043" t="s">
        <v>4542</v>
      </c>
      <c r="G4043">
        <v>401</v>
      </c>
      <c r="H4043">
        <v>68032.75999999998</v>
      </c>
      <c r="I4043">
        <v>169.66</v>
      </c>
      <c r="J4043">
        <v>0</v>
      </c>
      <c r="K4043">
        <v>0</v>
      </c>
      <c r="L4043">
        <v>0</v>
      </c>
      <c r="M4043">
        <v>401</v>
      </c>
      <c r="N4043">
        <v>68032.75999999998</v>
      </c>
      <c r="O4043">
        <v>169.66</v>
      </c>
    </row>
    <row r="4044" spans="1:15" x14ac:dyDescent="0.35">
      <c r="A4044" t="s">
        <v>4539</v>
      </c>
      <c r="B4044" t="s">
        <v>4540</v>
      </c>
      <c r="C4044" t="s">
        <v>1184</v>
      </c>
      <c r="D4044" t="s">
        <v>293</v>
      </c>
      <c r="E4044" t="s">
        <v>298</v>
      </c>
      <c r="F4044" t="s">
        <v>4543</v>
      </c>
      <c r="G4044">
        <v>276</v>
      </c>
      <c r="H4044">
        <v>54761.399999999994</v>
      </c>
      <c r="I4044">
        <v>198.41</v>
      </c>
      <c r="J4044">
        <v>0</v>
      </c>
      <c r="K4044">
        <v>0</v>
      </c>
      <c r="L4044">
        <v>0</v>
      </c>
      <c r="M4044">
        <v>276</v>
      </c>
      <c r="N4044">
        <v>54761.399999999994</v>
      </c>
      <c r="O4044">
        <v>198.41</v>
      </c>
    </row>
    <row r="4045" spans="1:15" x14ac:dyDescent="0.35">
      <c r="A4045" t="s">
        <v>4539</v>
      </c>
      <c r="B4045" t="s">
        <v>4540</v>
      </c>
      <c r="C4045" t="s">
        <v>1184</v>
      </c>
      <c r="D4045" t="s">
        <v>293</v>
      </c>
      <c r="E4045" t="s">
        <v>300</v>
      </c>
      <c r="F4045" t="s">
        <v>4544</v>
      </c>
      <c r="G4045">
        <v>32</v>
      </c>
      <c r="H4045">
        <v>7909.28</v>
      </c>
      <c r="I4045">
        <v>247.17</v>
      </c>
      <c r="J4045">
        <v>0</v>
      </c>
      <c r="K4045">
        <v>0</v>
      </c>
      <c r="L4045">
        <v>0</v>
      </c>
      <c r="M4045">
        <v>32</v>
      </c>
      <c r="N4045">
        <v>7909.28</v>
      </c>
      <c r="O4045">
        <v>247.17</v>
      </c>
    </row>
    <row r="4046" spans="1:15" x14ac:dyDescent="0.35">
      <c r="A4046" t="s">
        <v>4539</v>
      </c>
      <c r="B4046" t="s">
        <v>4540</v>
      </c>
      <c r="C4046" t="s">
        <v>1184</v>
      </c>
      <c r="D4046" t="s">
        <v>293</v>
      </c>
      <c r="E4046" t="s">
        <v>302</v>
      </c>
      <c r="F4046" t="s">
        <v>4545</v>
      </c>
      <c r="G4046">
        <v>1</v>
      </c>
      <c r="H4046">
        <v>300.83999999999997</v>
      </c>
      <c r="I4046">
        <v>300.83999999999997</v>
      </c>
      <c r="J4046">
        <v>0</v>
      </c>
      <c r="K4046">
        <v>0</v>
      </c>
      <c r="L4046">
        <v>0</v>
      </c>
      <c r="M4046">
        <v>1</v>
      </c>
      <c r="N4046">
        <v>300.83999999999997</v>
      </c>
      <c r="O4046">
        <v>300.83999999999997</v>
      </c>
    </row>
    <row r="4047" spans="1:15" x14ac:dyDescent="0.35">
      <c r="A4047" t="s">
        <v>4539</v>
      </c>
      <c r="B4047" t="s">
        <v>4540</v>
      </c>
      <c r="C4047" t="s">
        <v>1184</v>
      </c>
      <c r="D4047" t="s">
        <v>293</v>
      </c>
      <c r="E4047" t="s">
        <v>304</v>
      </c>
      <c r="F4047" t="s">
        <v>4546</v>
      </c>
      <c r="G4047">
        <v>1</v>
      </c>
      <c r="H4047">
        <v>296</v>
      </c>
      <c r="I4047">
        <v>296</v>
      </c>
      <c r="J4047">
        <v>0</v>
      </c>
      <c r="K4047">
        <v>0</v>
      </c>
      <c r="L4047">
        <v>0</v>
      </c>
      <c r="M4047">
        <v>1</v>
      </c>
      <c r="N4047">
        <v>296</v>
      </c>
      <c r="O4047">
        <v>296</v>
      </c>
    </row>
    <row r="4048" spans="1:15" x14ac:dyDescent="0.35">
      <c r="A4048" t="s">
        <v>4539</v>
      </c>
      <c r="B4048" t="s">
        <v>4540</v>
      </c>
      <c r="C4048" t="s">
        <v>1184</v>
      </c>
      <c r="D4048" t="s">
        <v>293</v>
      </c>
      <c r="E4048" t="s">
        <v>306</v>
      </c>
      <c r="F4048" t="s">
        <v>4547</v>
      </c>
      <c r="G4048">
        <v>0</v>
      </c>
      <c r="H4048">
        <v>0</v>
      </c>
      <c r="I4048">
        <v>0</v>
      </c>
      <c r="J4048">
        <v>0</v>
      </c>
      <c r="K4048">
        <v>0</v>
      </c>
      <c r="L4048">
        <v>0</v>
      </c>
      <c r="M4048">
        <v>0</v>
      </c>
      <c r="N4048">
        <v>0</v>
      </c>
      <c r="O4048">
        <v>0</v>
      </c>
    </row>
    <row r="4049" spans="1:15" x14ac:dyDescent="0.35">
      <c r="A4049" t="s">
        <v>4539</v>
      </c>
      <c r="B4049" t="s">
        <v>4540</v>
      </c>
      <c r="C4049" t="s">
        <v>1184</v>
      </c>
      <c r="D4049" t="s">
        <v>293</v>
      </c>
      <c r="E4049" t="s">
        <v>308</v>
      </c>
      <c r="F4049" t="s">
        <v>4548</v>
      </c>
      <c r="G4049">
        <v>0</v>
      </c>
      <c r="H4049">
        <v>0</v>
      </c>
      <c r="I4049">
        <v>0</v>
      </c>
      <c r="J4049">
        <v>0</v>
      </c>
      <c r="K4049">
        <v>0</v>
      </c>
      <c r="L4049">
        <v>0</v>
      </c>
      <c r="M4049">
        <v>0</v>
      </c>
      <c r="N4049">
        <v>0</v>
      </c>
      <c r="O4049">
        <v>0</v>
      </c>
    </row>
    <row r="4050" spans="1:15" x14ac:dyDescent="0.35">
      <c r="A4050" t="s">
        <v>4539</v>
      </c>
      <c r="B4050" t="s">
        <v>4540</v>
      </c>
      <c r="C4050" t="s">
        <v>1184</v>
      </c>
      <c r="D4050" t="s">
        <v>293</v>
      </c>
      <c r="E4050" t="s">
        <v>310</v>
      </c>
      <c r="F4050" t="s">
        <v>4549</v>
      </c>
      <c r="G4050">
        <v>1021</v>
      </c>
      <c r="H4050">
        <v>173751.58999999997</v>
      </c>
      <c r="I4050">
        <v>170.18</v>
      </c>
      <c r="J4050">
        <v>0</v>
      </c>
      <c r="K4050">
        <v>0</v>
      </c>
      <c r="L4050">
        <v>0</v>
      </c>
      <c r="M4050">
        <v>1021</v>
      </c>
      <c r="N4050">
        <v>173751.58999999997</v>
      </c>
      <c r="O4050">
        <v>170.18</v>
      </c>
    </row>
    <row r="4051" spans="1:15" x14ac:dyDescent="0.35">
      <c r="A4051" t="s">
        <v>4539</v>
      </c>
      <c r="B4051" t="s">
        <v>4540</v>
      </c>
      <c r="C4051" t="s">
        <v>1184</v>
      </c>
      <c r="D4051" t="s">
        <v>293</v>
      </c>
      <c r="E4051" t="s">
        <v>312</v>
      </c>
      <c r="F4051" t="s">
        <v>4550</v>
      </c>
      <c r="G4051">
        <v>1021</v>
      </c>
      <c r="H4051">
        <v>173751.58999999997</v>
      </c>
      <c r="I4051">
        <v>170.18</v>
      </c>
      <c r="J4051">
        <v>0</v>
      </c>
      <c r="K4051">
        <v>0</v>
      </c>
      <c r="L4051">
        <v>0</v>
      </c>
      <c r="M4051">
        <v>1021</v>
      </c>
      <c r="N4051">
        <v>173751.58999999997</v>
      </c>
      <c r="O4051">
        <v>170.18</v>
      </c>
    </row>
    <row r="4052" spans="1:15" x14ac:dyDescent="0.35">
      <c r="A4052" t="s">
        <v>4539</v>
      </c>
      <c r="B4052" t="s">
        <v>4540</v>
      </c>
      <c r="C4052" t="s">
        <v>1184</v>
      </c>
      <c r="D4052" t="s">
        <v>323</v>
      </c>
      <c r="E4052" t="s">
        <v>294</v>
      </c>
      <c r="F4052" t="s">
        <v>4551</v>
      </c>
      <c r="G4052">
        <v>986</v>
      </c>
      <c r="H4052">
        <v>102559.50000000001</v>
      </c>
      <c r="I4052">
        <v>104.02</v>
      </c>
      <c r="J4052">
        <v>0</v>
      </c>
      <c r="K4052">
        <v>0</v>
      </c>
      <c r="L4052">
        <v>0</v>
      </c>
      <c r="M4052">
        <v>986</v>
      </c>
      <c r="N4052">
        <v>102559.50000000001</v>
      </c>
      <c r="O4052">
        <v>104.02</v>
      </c>
    </row>
    <row r="4053" spans="1:15" x14ac:dyDescent="0.35">
      <c r="A4053" t="s">
        <v>4539</v>
      </c>
      <c r="B4053" t="s">
        <v>4540</v>
      </c>
      <c r="C4053" t="s">
        <v>1184</v>
      </c>
      <c r="D4053" t="s">
        <v>323</v>
      </c>
      <c r="E4053" t="s">
        <v>296</v>
      </c>
      <c r="F4053" t="s">
        <v>4552</v>
      </c>
      <c r="G4053">
        <v>1718</v>
      </c>
      <c r="H4053">
        <v>216485.49000000005</v>
      </c>
      <c r="I4053">
        <v>126.01</v>
      </c>
      <c r="J4053">
        <v>0</v>
      </c>
      <c r="K4053">
        <v>0</v>
      </c>
      <c r="L4053">
        <v>0</v>
      </c>
      <c r="M4053">
        <v>1718</v>
      </c>
      <c r="N4053">
        <v>216485.49000000005</v>
      </c>
      <c r="O4053">
        <v>126.01</v>
      </c>
    </row>
    <row r="4054" spans="1:15" x14ac:dyDescent="0.35">
      <c r="A4054" t="s">
        <v>4539</v>
      </c>
      <c r="B4054" t="s">
        <v>4540</v>
      </c>
      <c r="C4054" t="s">
        <v>1184</v>
      </c>
      <c r="D4054" t="s">
        <v>323</v>
      </c>
      <c r="E4054" t="s">
        <v>298</v>
      </c>
      <c r="F4054" t="s">
        <v>4553</v>
      </c>
      <c r="G4054">
        <v>1828</v>
      </c>
      <c r="H4054">
        <v>259128.81</v>
      </c>
      <c r="I4054">
        <v>141.76</v>
      </c>
      <c r="J4054">
        <v>0</v>
      </c>
      <c r="K4054">
        <v>0</v>
      </c>
      <c r="L4054">
        <v>0</v>
      </c>
      <c r="M4054">
        <v>1828</v>
      </c>
      <c r="N4054">
        <v>259128.81</v>
      </c>
      <c r="O4054">
        <v>141.76</v>
      </c>
    </row>
    <row r="4055" spans="1:15" x14ac:dyDescent="0.35">
      <c r="A4055" t="s">
        <v>4539</v>
      </c>
      <c r="B4055" t="s">
        <v>4540</v>
      </c>
      <c r="C4055" t="s">
        <v>1184</v>
      </c>
      <c r="D4055" t="s">
        <v>323</v>
      </c>
      <c r="E4055" t="s">
        <v>300</v>
      </c>
      <c r="F4055" t="s">
        <v>4554</v>
      </c>
      <c r="G4055">
        <v>111</v>
      </c>
      <c r="H4055">
        <v>18107.760000000002</v>
      </c>
      <c r="I4055">
        <v>163.13</v>
      </c>
      <c r="J4055">
        <v>0</v>
      </c>
      <c r="K4055">
        <v>0</v>
      </c>
      <c r="L4055">
        <v>0</v>
      </c>
      <c r="M4055">
        <v>111</v>
      </c>
      <c r="N4055">
        <v>18107.760000000002</v>
      </c>
      <c r="O4055">
        <v>163.13</v>
      </c>
    </row>
    <row r="4056" spans="1:15" x14ac:dyDescent="0.35">
      <c r="A4056" t="s">
        <v>4539</v>
      </c>
      <c r="B4056" t="s">
        <v>4540</v>
      </c>
      <c r="C4056" t="s">
        <v>1184</v>
      </c>
      <c r="D4056" t="s">
        <v>323</v>
      </c>
      <c r="E4056" t="s">
        <v>302</v>
      </c>
      <c r="F4056" t="s">
        <v>4555</v>
      </c>
      <c r="G4056">
        <v>6</v>
      </c>
      <c r="H4056">
        <v>1045.52</v>
      </c>
      <c r="I4056">
        <v>174.25</v>
      </c>
      <c r="J4056">
        <v>0</v>
      </c>
      <c r="K4056">
        <v>0</v>
      </c>
      <c r="L4056">
        <v>0</v>
      </c>
      <c r="M4056">
        <v>6</v>
      </c>
      <c r="N4056">
        <v>1045.52</v>
      </c>
      <c r="O4056">
        <v>174.25</v>
      </c>
    </row>
    <row r="4057" spans="1:15" x14ac:dyDescent="0.35">
      <c r="A4057" t="s">
        <v>4539</v>
      </c>
      <c r="B4057" t="s">
        <v>4540</v>
      </c>
      <c r="C4057" t="s">
        <v>1184</v>
      </c>
      <c r="D4057" t="s">
        <v>323</v>
      </c>
      <c r="E4057" t="s">
        <v>304</v>
      </c>
      <c r="F4057" t="s">
        <v>4556</v>
      </c>
      <c r="G4057">
        <v>0</v>
      </c>
      <c r="H4057">
        <v>0</v>
      </c>
      <c r="I4057">
        <v>0</v>
      </c>
      <c r="J4057">
        <v>0</v>
      </c>
      <c r="K4057">
        <v>0</v>
      </c>
      <c r="L4057">
        <v>0</v>
      </c>
      <c r="M4057">
        <v>0</v>
      </c>
      <c r="N4057">
        <v>0</v>
      </c>
      <c r="O4057">
        <v>0</v>
      </c>
    </row>
    <row r="4058" spans="1:15" x14ac:dyDescent="0.35">
      <c r="A4058" t="s">
        <v>4539</v>
      </c>
      <c r="B4058" t="s">
        <v>4540</v>
      </c>
      <c r="C4058" t="s">
        <v>1184</v>
      </c>
      <c r="D4058" t="s">
        <v>323</v>
      </c>
      <c r="E4058" t="s">
        <v>306</v>
      </c>
      <c r="F4058" t="s">
        <v>4557</v>
      </c>
      <c r="G4058">
        <v>8</v>
      </c>
      <c r="H4058">
        <v>663.24</v>
      </c>
      <c r="I4058">
        <v>82.91</v>
      </c>
      <c r="J4058">
        <v>0</v>
      </c>
      <c r="K4058">
        <v>0</v>
      </c>
      <c r="L4058">
        <v>0</v>
      </c>
      <c r="M4058">
        <v>8</v>
      </c>
      <c r="N4058">
        <v>663.24</v>
      </c>
      <c r="O4058">
        <v>82.91</v>
      </c>
    </row>
    <row r="4059" spans="1:15" x14ac:dyDescent="0.35">
      <c r="A4059" t="s">
        <v>4539</v>
      </c>
      <c r="B4059" t="s">
        <v>4540</v>
      </c>
      <c r="C4059" t="s">
        <v>1184</v>
      </c>
      <c r="D4059" t="s">
        <v>323</v>
      </c>
      <c r="E4059" t="s">
        <v>308</v>
      </c>
      <c r="F4059" t="s">
        <v>4558</v>
      </c>
      <c r="G4059">
        <v>0</v>
      </c>
      <c r="H4059">
        <v>0</v>
      </c>
      <c r="I4059">
        <v>0</v>
      </c>
      <c r="J4059">
        <v>0</v>
      </c>
      <c r="K4059">
        <v>0</v>
      </c>
      <c r="L4059">
        <v>0</v>
      </c>
      <c r="M4059">
        <v>0</v>
      </c>
      <c r="N4059">
        <v>0</v>
      </c>
      <c r="O4059">
        <v>0</v>
      </c>
    </row>
    <row r="4060" spans="1:15" x14ac:dyDescent="0.35">
      <c r="A4060" t="s">
        <v>4539</v>
      </c>
      <c r="B4060" t="s">
        <v>4540</v>
      </c>
      <c r="C4060" t="s">
        <v>1184</v>
      </c>
      <c r="D4060" t="s">
        <v>323</v>
      </c>
      <c r="E4060" t="s">
        <v>310</v>
      </c>
      <c r="F4060" t="s">
        <v>4559</v>
      </c>
      <c r="G4060">
        <v>4657</v>
      </c>
      <c r="H4060">
        <v>597990.32000000007</v>
      </c>
      <c r="I4060">
        <v>128.41</v>
      </c>
      <c r="J4060">
        <v>0</v>
      </c>
      <c r="K4060">
        <v>0</v>
      </c>
      <c r="L4060">
        <v>0</v>
      </c>
      <c r="M4060">
        <v>4657</v>
      </c>
      <c r="N4060">
        <v>597990.32000000007</v>
      </c>
      <c r="O4060">
        <v>128.41</v>
      </c>
    </row>
    <row r="4061" spans="1:15" x14ac:dyDescent="0.35">
      <c r="A4061" t="s">
        <v>4539</v>
      </c>
      <c r="B4061" t="s">
        <v>4540</v>
      </c>
      <c r="C4061" t="s">
        <v>1184</v>
      </c>
      <c r="D4061" t="s">
        <v>323</v>
      </c>
      <c r="E4061" t="s">
        <v>312</v>
      </c>
      <c r="F4061" t="s">
        <v>4560</v>
      </c>
      <c r="G4061">
        <v>4657</v>
      </c>
      <c r="H4061">
        <v>597990.32000000007</v>
      </c>
      <c r="I4061">
        <v>128.41</v>
      </c>
      <c r="J4061">
        <v>0</v>
      </c>
      <c r="K4061">
        <v>0</v>
      </c>
      <c r="L4061">
        <v>0</v>
      </c>
      <c r="M4061">
        <v>4657</v>
      </c>
      <c r="N4061">
        <v>597990.32000000007</v>
      </c>
      <c r="O4061">
        <v>128.41</v>
      </c>
    </row>
    <row r="4062" spans="1:15" x14ac:dyDescent="0.35">
      <c r="A4062" t="s">
        <v>4539</v>
      </c>
      <c r="B4062" t="s">
        <v>4540</v>
      </c>
      <c r="C4062" t="s">
        <v>1184</v>
      </c>
      <c r="D4062" t="s">
        <v>334</v>
      </c>
      <c r="E4062" t="s">
        <v>312</v>
      </c>
      <c r="F4062" t="s">
        <v>4561</v>
      </c>
      <c r="G4062">
        <v>5712</v>
      </c>
      <c r="H4062">
        <v>771741.91</v>
      </c>
      <c r="I4062">
        <v>135.91999999999999</v>
      </c>
      <c r="J4062">
        <v>0</v>
      </c>
      <c r="K4062">
        <v>0</v>
      </c>
      <c r="L4062">
        <v>0</v>
      </c>
      <c r="M4062">
        <v>5712</v>
      </c>
      <c r="N4062">
        <v>771741.91</v>
      </c>
      <c r="O4062">
        <v>135.91999999999999</v>
      </c>
    </row>
    <row r="4063" spans="1:15" x14ac:dyDescent="0.35">
      <c r="A4063" t="s">
        <v>4539</v>
      </c>
      <c r="B4063" t="s">
        <v>4540</v>
      </c>
      <c r="C4063" t="s">
        <v>1184</v>
      </c>
      <c r="D4063" t="s">
        <v>334</v>
      </c>
      <c r="E4063" t="s">
        <v>308</v>
      </c>
      <c r="F4063" t="s">
        <v>4562</v>
      </c>
      <c r="G4063">
        <v>0</v>
      </c>
      <c r="H4063">
        <v>0</v>
      </c>
      <c r="I4063">
        <v>0</v>
      </c>
      <c r="J4063">
        <v>0</v>
      </c>
      <c r="K4063">
        <v>0</v>
      </c>
      <c r="L4063">
        <v>0</v>
      </c>
      <c r="M4063">
        <v>0</v>
      </c>
      <c r="N4063">
        <v>0</v>
      </c>
      <c r="O4063">
        <v>0</v>
      </c>
    </row>
    <row r="4064" spans="1:15" x14ac:dyDescent="0.35">
      <c r="A4064" t="s">
        <v>4539</v>
      </c>
      <c r="B4064" t="s">
        <v>4540</v>
      </c>
      <c r="C4064" t="s">
        <v>1184</v>
      </c>
      <c r="D4064" t="s">
        <v>337</v>
      </c>
      <c r="E4064" t="s">
        <v>337</v>
      </c>
      <c r="F4064" t="s">
        <v>4563</v>
      </c>
      <c r="G4064">
        <v>820</v>
      </c>
      <c r="J4064">
        <v>0</v>
      </c>
      <c r="M4064">
        <v>820</v>
      </c>
    </row>
    <row r="4065" spans="1:15" x14ac:dyDescent="0.35">
      <c r="A4065" t="s">
        <v>4539</v>
      </c>
      <c r="B4065" t="s">
        <v>4540</v>
      </c>
      <c r="C4065" t="s">
        <v>1184</v>
      </c>
      <c r="D4065" t="s">
        <v>339</v>
      </c>
      <c r="E4065" t="s">
        <v>294</v>
      </c>
      <c r="F4065" t="s">
        <v>4564</v>
      </c>
      <c r="G4065">
        <v>404</v>
      </c>
      <c r="H4065">
        <v>50048.119999999995</v>
      </c>
      <c r="I4065">
        <v>123.88</v>
      </c>
      <c r="J4065">
        <v>0</v>
      </c>
      <c r="K4065">
        <v>0</v>
      </c>
      <c r="L4065">
        <v>0</v>
      </c>
      <c r="M4065">
        <v>404</v>
      </c>
      <c r="N4065">
        <v>50048.119999999995</v>
      </c>
      <c r="O4065">
        <v>123.88</v>
      </c>
    </row>
    <row r="4066" spans="1:15" x14ac:dyDescent="0.35">
      <c r="A4066" t="s">
        <v>4539</v>
      </c>
      <c r="B4066" t="s">
        <v>4540</v>
      </c>
      <c r="C4066" t="s">
        <v>1184</v>
      </c>
      <c r="D4066" t="s">
        <v>339</v>
      </c>
      <c r="E4066" t="s">
        <v>296</v>
      </c>
      <c r="F4066" t="s">
        <v>4565</v>
      </c>
      <c r="G4066">
        <v>79</v>
      </c>
      <c r="H4066">
        <v>11882.85</v>
      </c>
      <c r="I4066">
        <v>150.41999999999999</v>
      </c>
      <c r="J4066">
        <v>0</v>
      </c>
      <c r="K4066">
        <v>0</v>
      </c>
      <c r="L4066">
        <v>0</v>
      </c>
      <c r="M4066">
        <v>79</v>
      </c>
      <c r="N4066">
        <v>11882.85</v>
      </c>
      <c r="O4066">
        <v>150.41999999999999</v>
      </c>
    </row>
    <row r="4067" spans="1:15" x14ac:dyDescent="0.35">
      <c r="A4067" t="s">
        <v>4539</v>
      </c>
      <c r="B4067" t="s">
        <v>4540</v>
      </c>
      <c r="C4067" t="s">
        <v>1184</v>
      </c>
      <c r="D4067" t="s">
        <v>339</v>
      </c>
      <c r="E4067" t="s">
        <v>298</v>
      </c>
      <c r="F4067" t="s">
        <v>4566</v>
      </c>
      <c r="G4067">
        <v>4</v>
      </c>
      <c r="H4067">
        <v>563.76</v>
      </c>
      <c r="I4067">
        <v>140.94</v>
      </c>
      <c r="J4067">
        <v>0</v>
      </c>
      <c r="K4067">
        <v>0</v>
      </c>
      <c r="L4067">
        <v>0</v>
      </c>
      <c r="M4067">
        <v>4</v>
      </c>
      <c r="N4067">
        <v>563.76</v>
      </c>
      <c r="O4067">
        <v>140.94</v>
      </c>
    </row>
    <row r="4068" spans="1:15" x14ac:dyDescent="0.35">
      <c r="A4068" t="s">
        <v>4539</v>
      </c>
      <c r="B4068" t="s">
        <v>4540</v>
      </c>
      <c r="C4068" t="s">
        <v>1184</v>
      </c>
      <c r="D4068" t="s">
        <v>339</v>
      </c>
      <c r="E4068" t="s">
        <v>300</v>
      </c>
      <c r="F4068" t="s">
        <v>4567</v>
      </c>
      <c r="G4068">
        <v>0</v>
      </c>
      <c r="H4068">
        <v>0</v>
      </c>
      <c r="I4068">
        <v>0</v>
      </c>
      <c r="J4068">
        <v>0</v>
      </c>
      <c r="K4068">
        <v>0</v>
      </c>
      <c r="L4068">
        <v>0</v>
      </c>
      <c r="M4068">
        <v>0</v>
      </c>
      <c r="N4068">
        <v>0</v>
      </c>
      <c r="O4068">
        <v>0</v>
      </c>
    </row>
    <row r="4069" spans="1:15" x14ac:dyDescent="0.35">
      <c r="A4069" t="s">
        <v>4539</v>
      </c>
      <c r="B4069" t="s">
        <v>4540</v>
      </c>
      <c r="C4069" t="s">
        <v>1184</v>
      </c>
      <c r="D4069" t="s">
        <v>339</v>
      </c>
      <c r="E4069" t="s">
        <v>306</v>
      </c>
      <c r="F4069" t="s">
        <v>4568</v>
      </c>
      <c r="G4069">
        <v>30</v>
      </c>
      <c r="H4069">
        <v>3696.9</v>
      </c>
      <c r="I4069">
        <v>123.23</v>
      </c>
      <c r="J4069">
        <v>0</v>
      </c>
      <c r="K4069">
        <v>0</v>
      </c>
      <c r="L4069">
        <v>0</v>
      </c>
      <c r="M4069">
        <v>30</v>
      </c>
      <c r="N4069">
        <v>3696.9</v>
      </c>
      <c r="O4069">
        <v>123.23</v>
      </c>
    </row>
    <row r="4070" spans="1:15" x14ac:dyDescent="0.35">
      <c r="A4070" t="s">
        <v>4539</v>
      </c>
      <c r="B4070" t="s">
        <v>4540</v>
      </c>
      <c r="C4070" t="s">
        <v>1184</v>
      </c>
      <c r="D4070" t="s">
        <v>339</v>
      </c>
      <c r="E4070" t="s">
        <v>308</v>
      </c>
      <c r="F4070" t="s">
        <v>4569</v>
      </c>
      <c r="G4070">
        <v>30</v>
      </c>
      <c r="H4070">
        <v>3429.16</v>
      </c>
      <c r="I4070">
        <v>114.31</v>
      </c>
      <c r="J4070">
        <v>0</v>
      </c>
      <c r="K4070">
        <v>0</v>
      </c>
      <c r="L4070">
        <v>0</v>
      </c>
      <c r="M4070">
        <v>30</v>
      </c>
      <c r="N4070">
        <v>3429.16</v>
      </c>
      <c r="O4070">
        <v>114.31</v>
      </c>
    </row>
    <row r="4071" spans="1:15" x14ac:dyDescent="0.35">
      <c r="A4071" t="s">
        <v>4539</v>
      </c>
      <c r="B4071" t="s">
        <v>4540</v>
      </c>
      <c r="C4071" t="s">
        <v>1184</v>
      </c>
      <c r="D4071" t="s">
        <v>339</v>
      </c>
      <c r="E4071" t="s">
        <v>310</v>
      </c>
      <c r="F4071" t="s">
        <v>4570</v>
      </c>
      <c r="G4071">
        <v>547</v>
      </c>
      <c r="H4071">
        <v>69620.789999999994</v>
      </c>
      <c r="I4071">
        <v>127.28</v>
      </c>
      <c r="J4071">
        <v>0</v>
      </c>
      <c r="K4071">
        <v>0</v>
      </c>
      <c r="L4071">
        <v>0</v>
      </c>
      <c r="M4071">
        <v>547</v>
      </c>
      <c r="N4071">
        <v>69620.789999999994</v>
      </c>
      <c r="O4071">
        <v>127.28</v>
      </c>
    </row>
    <row r="4072" spans="1:15" x14ac:dyDescent="0.35">
      <c r="A4072" t="s">
        <v>4539</v>
      </c>
      <c r="B4072" t="s">
        <v>4540</v>
      </c>
      <c r="C4072" t="s">
        <v>1184</v>
      </c>
      <c r="D4072" t="s">
        <v>339</v>
      </c>
      <c r="E4072" t="s">
        <v>312</v>
      </c>
      <c r="F4072" t="s">
        <v>4571</v>
      </c>
      <c r="G4072">
        <v>517</v>
      </c>
      <c r="H4072">
        <v>66191.62999999999</v>
      </c>
      <c r="I4072">
        <v>128.03</v>
      </c>
      <c r="J4072">
        <v>0</v>
      </c>
      <c r="K4072">
        <v>0</v>
      </c>
      <c r="L4072">
        <v>0</v>
      </c>
      <c r="M4072">
        <v>517</v>
      </c>
      <c r="N4072">
        <v>66191.62999999999</v>
      </c>
      <c r="O4072">
        <v>128.03</v>
      </c>
    </row>
    <row r="4073" spans="1:15" x14ac:dyDescent="0.35">
      <c r="A4073" t="s">
        <v>4539</v>
      </c>
      <c r="B4073" t="s">
        <v>4540</v>
      </c>
      <c r="C4073" t="s">
        <v>1184</v>
      </c>
      <c r="D4073" t="s">
        <v>348</v>
      </c>
      <c r="E4073" t="s">
        <v>349</v>
      </c>
      <c r="F4073" t="s">
        <v>4572</v>
      </c>
      <c r="G4073">
        <v>555</v>
      </c>
      <c r="H4073">
        <v>69620.789999999994</v>
      </c>
      <c r="I4073">
        <v>127.28</v>
      </c>
      <c r="J4073">
        <v>0</v>
      </c>
      <c r="K4073">
        <v>0</v>
      </c>
      <c r="L4073">
        <v>0</v>
      </c>
      <c r="M4073">
        <v>555</v>
      </c>
      <c r="N4073">
        <v>69620.789999999994</v>
      </c>
      <c r="O4073">
        <v>127.28</v>
      </c>
    </row>
    <row r="4074" spans="1:15" x14ac:dyDescent="0.35">
      <c r="A4074" t="s">
        <v>4573</v>
      </c>
      <c r="B4074" t="s">
        <v>4574</v>
      </c>
      <c r="C4074" t="s">
        <v>1184</v>
      </c>
      <c r="D4074" t="s">
        <v>293</v>
      </c>
      <c r="E4074" t="s">
        <v>294</v>
      </c>
      <c r="F4074" t="s">
        <v>4575</v>
      </c>
      <c r="G4074">
        <v>193</v>
      </c>
      <c r="H4074">
        <v>21721.07</v>
      </c>
      <c r="I4074">
        <v>112.54</v>
      </c>
      <c r="J4074">
        <v>0</v>
      </c>
      <c r="K4074">
        <v>0</v>
      </c>
      <c r="L4074">
        <v>0</v>
      </c>
      <c r="M4074">
        <v>193</v>
      </c>
      <c r="N4074">
        <v>21721.07</v>
      </c>
      <c r="O4074">
        <v>112.54</v>
      </c>
    </row>
    <row r="4075" spans="1:15" x14ac:dyDescent="0.35">
      <c r="A4075" t="s">
        <v>4573</v>
      </c>
      <c r="B4075" t="s">
        <v>4574</v>
      </c>
      <c r="C4075" t="s">
        <v>1184</v>
      </c>
      <c r="D4075" t="s">
        <v>293</v>
      </c>
      <c r="E4075" t="s">
        <v>296</v>
      </c>
      <c r="F4075" t="s">
        <v>4576</v>
      </c>
      <c r="G4075">
        <v>369</v>
      </c>
      <c r="H4075">
        <v>53273.979999999996</v>
      </c>
      <c r="I4075">
        <v>144.37</v>
      </c>
      <c r="J4075">
        <v>0</v>
      </c>
      <c r="K4075">
        <v>0</v>
      </c>
      <c r="L4075">
        <v>0</v>
      </c>
      <c r="M4075">
        <v>369</v>
      </c>
      <c r="N4075">
        <v>53273.979999999996</v>
      </c>
      <c r="O4075">
        <v>144.37</v>
      </c>
    </row>
    <row r="4076" spans="1:15" x14ac:dyDescent="0.35">
      <c r="A4076" t="s">
        <v>4573</v>
      </c>
      <c r="B4076" t="s">
        <v>4574</v>
      </c>
      <c r="C4076" t="s">
        <v>1184</v>
      </c>
      <c r="D4076" t="s">
        <v>293</v>
      </c>
      <c r="E4076" t="s">
        <v>298</v>
      </c>
      <c r="F4076" t="s">
        <v>4577</v>
      </c>
      <c r="G4076">
        <v>229</v>
      </c>
      <c r="H4076">
        <v>36720.019999999997</v>
      </c>
      <c r="I4076">
        <v>160.35</v>
      </c>
      <c r="J4076">
        <v>0</v>
      </c>
      <c r="K4076">
        <v>0</v>
      </c>
      <c r="L4076">
        <v>0</v>
      </c>
      <c r="M4076">
        <v>229</v>
      </c>
      <c r="N4076">
        <v>36720.019999999997</v>
      </c>
      <c r="O4076">
        <v>160.35</v>
      </c>
    </row>
    <row r="4077" spans="1:15" x14ac:dyDescent="0.35">
      <c r="A4077" t="s">
        <v>4573</v>
      </c>
      <c r="B4077" t="s">
        <v>4574</v>
      </c>
      <c r="C4077" t="s">
        <v>1184</v>
      </c>
      <c r="D4077" t="s">
        <v>293</v>
      </c>
      <c r="E4077" t="s">
        <v>300</v>
      </c>
      <c r="F4077" t="s">
        <v>4578</v>
      </c>
      <c r="G4077">
        <v>29</v>
      </c>
      <c r="H4077">
        <v>5741.74</v>
      </c>
      <c r="I4077">
        <v>197.99</v>
      </c>
      <c r="J4077">
        <v>0</v>
      </c>
      <c r="K4077">
        <v>0</v>
      </c>
      <c r="L4077">
        <v>0</v>
      </c>
      <c r="M4077">
        <v>29</v>
      </c>
      <c r="N4077">
        <v>5741.74</v>
      </c>
      <c r="O4077">
        <v>197.99</v>
      </c>
    </row>
    <row r="4078" spans="1:15" x14ac:dyDescent="0.35">
      <c r="A4078" t="s">
        <v>4573</v>
      </c>
      <c r="B4078" t="s">
        <v>4574</v>
      </c>
      <c r="C4078" t="s">
        <v>1184</v>
      </c>
      <c r="D4078" t="s">
        <v>293</v>
      </c>
      <c r="E4078" t="s">
        <v>302</v>
      </c>
      <c r="F4078" t="s">
        <v>4579</v>
      </c>
      <c r="G4078">
        <v>2</v>
      </c>
      <c r="H4078">
        <v>465</v>
      </c>
      <c r="I4078">
        <v>232.5</v>
      </c>
      <c r="J4078">
        <v>0</v>
      </c>
      <c r="K4078">
        <v>0</v>
      </c>
      <c r="L4078">
        <v>0</v>
      </c>
      <c r="M4078">
        <v>2</v>
      </c>
      <c r="N4078">
        <v>465</v>
      </c>
      <c r="O4078">
        <v>232.5</v>
      </c>
    </row>
    <row r="4079" spans="1:15" x14ac:dyDescent="0.35">
      <c r="A4079" t="s">
        <v>4573</v>
      </c>
      <c r="B4079" t="s">
        <v>4574</v>
      </c>
      <c r="C4079" t="s">
        <v>1184</v>
      </c>
      <c r="D4079" t="s">
        <v>293</v>
      </c>
      <c r="E4079" t="s">
        <v>304</v>
      </c>
      <c r="F4079" t="s">
        <v>4580</v>
      </c>
      <c r="G4079">
        <v>0</v>
      </c>
      <c r="H4079">
        <v>0</v>
      </c>
      <c r="I4079">
        <v>0</v>
      </c>
      <c r="J4079">
        <v>0</v>
      </c>
      <c r="K4079">
        <v>0</v>
      </c>
      <c r="L4079">
        <v>0</v>
      </c>
      <c r="M4079">
        <v>0</v>
      </c>
      <c r="N4079">
        <v>0</v>
      </c>
      <c r="O4079">
        <v>0</v>
      </c>
    </row>
    <row r="4080" spans="1:15" x14ac:dyDescent="0.35">
      <c r="A4080" t="s">
        <v>4573</v>
      </c>
      <c r="B4080" t="s">
        <v>4574</v>
      </c>
      <c r="C4080" t="s">
        <v>1184</v>
      </c>
      <c r="D4080" t="s">
        <v>293</v>
      </c>
      <c r="E4080" t="s">
        <v>306</v>
      </c>
      <c r="F4080" t="s">
        <v>4581</v>
      </c>
      <c r="G4080">
        <v>0</v>
      </c>
      <c r="H4080">
        <v>0</v>
      </c>
      <c r="I4080">
        <v>0</v>
      </c>
      <c r="J4080">
        <v>0</v>
      </c>
      <c r="K4080">
        <v>0</v>
      </c>
      <c r="L4080">
        <v>0</v>
      </c>
      <c r="M4080">
        <v>0</v>
      </c>
      <c r="N4080">
        <v>0</v>
      </c>
      <c r="O4080">
        <v>0</v>
      </c>
    </row>
    <row r="4081" spans="1:15" x14ac:dyDescent="0.35">
      <c r="A4081" t="s">
        <v>4573</v>
      </c>
      <c r="B4081" t="s">
        <v>4574</v>
      </c>
      <c r="C4081" t="s">
        <v>1184</v>
      </c>
      <c r="D4081" t="s">
        <v>293</v>
      </c>
      <c r="E4081" t="s">
        <v>308</v>
      </c>
      <c r="F4081" t="s">
        <v>4582</v>
      </c>
      <c r="G4081">
        <v>0</v>
      </c>
      <c r="H4081">
        <v>0</v>
      </c>
      <c r="I4081">
        <v>0</v>
      </c>
      <c r="J4081">
        <v>0</v>
      </c>
      <c r="K4081">
        <v>0</v>
      </c>
      <c r="L4081">
        <v>0</v>
      </c>
      <c r="M4081">
        <v>0</v>
      </c>
      <c r="N4081">
        <v>0</v>
      </c>
      <c r="O4081">
        <v>0</v>
      </c>
    </row>
    <row r="4082" spans="1:15" x14ac:dyDescent="0.35">
      <c r="A4082" t="s">
        <v>4573</v>
      </c>
      <c r="B4082" t="s">
        <v>4574</v>
      </c>
      <c r="C4082" t="s">
        <v>1184</v>
      </c>
      <c r="D4082" t="s">
        <v>293</v>
      </c>
      <c r="E4082" t="s">
        <v>310</v>
      </c>
      <c r="F4082" t="s">
        <v>4583</v>
      </c>
      <c r="G4082">
        <v>822</v>
      </c>
      <c r="H4082">
        <v>117921.80999999998</v>
      </c>
      <c r="I4082">
        <v>143.46</v>
      </c>
      <c r="J4082">
        <v>0</v>
      </c>
      <c r="K4082">
        <v>0</v>
      </c>
      <c r="L4082">
        <v>0</v>
      </c>
      <c r="M4082">
        <v>822</v>
      </c>
      <c r="N4082">
        <v>117921.80999999998</v>
      </c>
      <c r="O4082">
        <v>143.46</v>
      </c>
    </row>
    <row r="4083" spans="1:15" x14ac:dyDescent="0.35">
      <c r="A4083" t="s">
        <v>4573</v>
      </c>
      <c r="B4083" t="s">
        <v>4574</v>
      </c>
      <c r="C4083" t="s">
        <v>1184</v>
      </c>
      <c r="D4083" t="s">
        <v>293</v>
      </c>
      <c r="E4083" t="s">
        <v>312</v>
      </c>
      <c r="F4083" t="s">
        <v>4584</v>
      </c>
      <c r="G4083">
        <v>822</v>
      </c>
      <c r="H4083">
        <v>117921.80999999998</v>
      </c>
      <c r="I4083">
        <v>143.46</v>
      </c>
      <c r="J4083">
        <v>0</v>
      </c>
      <c r="K4083">
        <v>0</v>
      </c>
      <c r="L4083">
        <v>0</v>
      </c>
      <c r="M4083">
        <v>822</v>
      </c>
      <c r="N4083">
        <v>117921.80999999998</v>
      </c>
      <c r="O4083">
        <v>143.46</v>
      </c>
    </row>
    <row r="4084" spans="1:15" x14ac:dyDescent="0.35">
      <c r="A4084" t="s">
        <v>4573</v>
      </c>
      <c r="B4084" t="s">
        <v>4574</v>
      </c>
      <c r="C4084" t="s">
        <v>1184</v>
      </c>
      <c r="D4084" t="s">
        <v>314</v>
      </c>
      <c r="E4084" t="s">
        <v>294</v>
      </c>
      <c r="F4084" t="s">
        <v>4585</v>
      </c>
      <c r="G4084">
        <v>42</v>
      </c>
      <c r="H4084">
        <v>11735.5</v>
      </c>
      <c r="I4084">
        <v>279.42</v>
      </c>
      <c r="J4084">
        <v>0</v>
      </c>
      <c r="K4084">
        <v>0</v>
      </c>
      <c r="L4084">
        <v>0</v>
      </c>
      <c r="M4084">
        <v>42</v>
      </c>
      <c r="N4084">
        <v>11735.5</v>
      </c>
      <c r="O4084">
        <v>279.42</v>
      </c>
    </row>
    <row r="4085" spans="1:15" x14ac:dyDescent="0.35">
      <c r="A4085" t="s">
        <v>4573</v>
      </c>
      <c r="B4085" t="s">
        <v>4574</v>
      </c>
      <c r="C4085" t="s">
        <v>1184</v>
      </c>
      <c r="D4085" t="s">
        <v>314</v>
      </c>
      <c r="E4085" t="s">
        <v>296</v>
      </c>
      <c r="F4085" t="s">
        <v>4586</v>
      </c>
      <c r="G4085">
        <v>26</v>
      </c>
      <c r="H4085">
        <v>7389.34</v>
      </c>
      <c r="I4085">
        <v>284.20999999999998</v>
      </c>
      <c r="J4085">
        <v>0</v>
      </c>
      <c r="K4085">
        <v>0</v>
      </c>
      <c r="L4085">
        <v>0</v>
      </c>
      <c r="M4085">
        <v>26</v>
      </c>
      <c r="N4085">
        <v>7389.34</v>
      </c>
      <c r="O4085">
        <v>284.20999999999998</v>
      </c>
    </row>
    <row r="4086" spans="1:15" x14ac:dyDescent="0.35">
      <c r="A4086" t="s">
        <v>4573</v>
      </c>
      <c r="B4086" t="s">
        <v>4574</v>
      </c>
      <c r="C4086" t="s">
        <v>1184</v>
      </c>
      <c r="D4086" t="s">
        <v>314</v>
      </c>
      <c r="E4086" t="s">
        <v>298</v>
      </c>
      <c r="F4086" t="s">
        <v>4587</v>
      </c>
      <c r="G4086">
        <v>0</v>
      </c>
      <c r="H4086">
        <v>0</v>
      </c>
      <c r="I4086">
        <v>0</v>
      </c>
      <c r="J4086">
        <v>0</v>
      </c>
      <c r="K4086">
        <v>0</v>
      </c>
      <c r="L4086">
        <v>0</v>
      </c>
      <c r="M4086">
        <v>0</v>
      </c>
      <c r="N4086">
        <v>0</v>
      </c>
      <c r="O4086">
        <v>0</v>
      </c>
    </row>
    <row r="4087" spans="1:15" x14ac:dyDescent="0.35">
      <c r="A4087" t="s">
        <v>4573</v>
      </c>
      <c r="B4087" t="s">
        <v>4574</v>
      </c>
      <c r="C4087" t="s">
        <v>1184</v>
      </c>
      <c r="D4087" t="s">
        <v>314</v>
      </c>
      <c r="E4087" t="s">
        <v>300</v>
      </c>
      <c r="F4087" t="s">
        <v>4588</v>
      </c>
      <c r="G4087">
        <v>0</v>
      </c>
      <c r="H4087">
        <v>0</v>
      </c>
      <c r="I4087">
        <v>0</v>
      </c>
      <c r="J4087">
        <v>0</v>
      </c>
      <c r="K4087">
        <v>0</v>
      </c>
      <c r="L4087">
        <v>0</v>
      </c>
      <c r="M4087">
        <v>0</v>
      </c>
      <c r="N4087">
        <v>0</v>
      </c>
      <c r="O4087">
        <v>0</v>
      </c>
    </row>
    <row r="4088" spans="1:15" x14ac:dyDescent="0.35">
      <c r="A4088" t="s">
        <v>4573</v>
      </c>
      <c r="B4088" t="s">
        <v>4574</v>
      </c>
      <c r="C4088" t="s">
        <v>1184</v>
      </c>
      <c r="D4088" t="s">
        <v>314</v>
      </c>
      <c r="E4088" t="s">
        <v>306</v>
      </c>
      <c r="F4088" t="s">
        <v>4589</v>
      </c>
      <c r="G4088">
        <v>10</v>
      </c>
      <c r="H4088">
        <v>3116.7000000000003</v>
      </c>
      <c r="I4088">
        <v>311.67</v>
      </c>
      <c r="J4088">
        <v>0</v>
      </c>
      <c r="K4088">
        <v>0</v>
      </c>
      <c r="L4088">
        <v>0</v>
      </c>
      <c r="M4088">
        <v>10</v>
      </c>
      <c r="N4088">
        <v>3116.7000000000003</v>
      </c>
      <c r="O4088">
        <v>311.67</v>
      </c>
    </row>
    <row r="4089" spans="1:15" x14ac:dyDescent="0.35">
      <c r="A4089" t="s">
        <v>4573</v>
      </c>
      <c r="B4089" t="s">
        <v>4574</v>
      </c>
      <c r="C4089" t="s">
        <v>1184</v>
      </c>
      <c r="D4089" t="s">
        <v>314</v>
      </c>
      <c r="E4089" t="s">
        <v>308</v>
      </c>
      <c r="F4089" t="s">
        <v>4590</v>
      </c>
      <c r="G4089">
        <v>2</v>
      </c>
      <c r="H4089">
        <v>296.58</v>
      </c>
      <c r="I4089">
        <v>148.29</v>
      </c>
      <c r="J4089">
        <v>0</v>
      </c>
      <c r="K4089">
        <v>0</v>
      </c>
      <c r="L4089">
        <v>0</v>
      </c>
      <c r="M4089">
        <v>2</v>
      </c>
      <c r="N4089">
        <v>296.58</v>
      </c>
      <c r="O4089">
        <v>148.29</v>
      </c>
    </row>
    <row r="4090" spans="1:15" x14ac:dyDescent="0.35">
      <c r="A4090" t="s">
        <v>4573</v>
      </c>
      <c r="B4090" t="s">
        <v>4574</v>
      </c>
      <c r="C4090" t="s">
        <v>1184</v>
      </c>
      <c r="D4090" t="s">
        <v>314</v>
      </c>
      <c r="E4090" t="s">
        <v>312</v>
      </c>
      <c r="F4090" t="s">
        <v>4591</v>
      </c>
      <c r="G4090">
        <v>78</v>
      </c>
      <c r="H4090">
        <v>22241.54</v>
      </c>
      <c r="I4090">
        <v>285.14999999999998</v>
      </c>
      <c r="J4090">
        <v>0</v>
      </c>
      <c r="K4090">
        <v>0</v>
      </c>
      <c r="L4090">
        <v>0</v>
      </c>
      <c r="M4090">
        <v>78</v>
      </c>
      <c r="N4090">
        <v>22241.54</v>
      </c>
      <c r="O4090">
        <v>285.14999999999998</v>
      </c>
    </row>
    <row r="4091" spans="1:15" x14ac:dyDescent="0.35">
      <c r="A4091" t="s">
        <v>4573</v>
      </c>
      <c r="B4091" t="s">
        <v>4574</v>
      </c>
      <c r="C4091" t="s">
        <v>1184</v>
      </c>
      <c r="D4091" t="s">
        <v>314</v>
      </c>
      <c r="E4091" t="s">
        <v>310</v>
      </c>
      <c r="F4091" t="s">
        <v>4592</v>
      </c>
      <c r="G4091">
        <v>80</v>
      </c>
      <c r="H4091">
        <v>22538.120000000003</v>
      </c>
      <c r="I4091">
        <v>281.73</v>
      </c>
      <c r="J4091">
        <v>0</v>
      </c>
      <c r="K4091">
        <v>0</v>
      </c>
      <c r="L4091">
        <v>0</v>
      </c>
      <c r="M4091">
        <v>80</v>
      </c>
      <c r="N4091">
        <v>22538.120000000003</v>
      </c>
      <c r="O4091">
        <v>281.73</v>
      </c>
    </row>
    <row r="4092" spans="1:15" x14ac:dyDescent="0.35">
      <c r="A4092" t="s">
        <v>4573</v>
      </c>
      <c r="B4092" t="s">
        <v>4574</v>
      </c>
      <c r="C4092" t="s">
        <v>1184</v>
      </c>
      <c r="D4092" t="s">
        <v>323</v>
      </c>
      <c r="E4092" t="s">
        <v>294</v>
      </c>
      <c r="F4092" t="s">
        <v>4593</v>
      </c>
      <c r="G4092">
        <v>721</v>
      </c>
      <c r="H4092">
        <v>73225.830000000016</v>
      </c>
      <c r="I4092">
        <v>101.56</v>
      </c>
      <c r="J4092">
        <v>0</v>
      </c>
      <c r="K4092">
        <v>0</v>
      </c>
      <c r="L4092">
        <v>0</v>
      </c>
      <c r="M4092">
        <v>721</v>
      </c>
      <c r="N4092">
        <v>73225.830000000016</v>
      </c>
      <c r="O4092">
        <v>101.56</v>
      </c>
    </row>
    <row r="4093" spans="1:15" x14ac:dyDescent="0.35">
      <c r="A4093" t="s">
        <v>4573</v>
      </c>
      <c r="B4093" t="s">
        <v>4574</v>
      </c>
      <c r="C4093" t="s">
        <v>1184</v>
      </c>
      <c r="D4093" t="s">
        <v>323</v>
      </c>
      <c r="E4093" t="s">
        <v>296</v>
      </c>
      <c r="F4093" t="s">
        <v>4594</v>
      </c>
      <c r="G4093">
        <v>1199</v>
      </c>
      <c r="H4093">
        <v>136780.54999999999</v>
      </c>
      <c r="I4093">
        <v>114.08</v>
      </c>
      <c r="J4093">
        <v>0</v>
      </c>
      <c r="K4093">
        <v>0</v>
      </c>
      <c r="L4093">
        <v>0</v>
      </c>
      <c r="M4093">
        <v>1199</v>
      </c>
      <c r="N4093">
        <v>136780.54999999999</v>
      </c>
      <c r="O4093">
        <v>114.08</v>
      </c>
    </row>
    <row r="4094" spans="1:15" x14ac:dyDescent="0.35">
      <c r="A4094" t="s">
        <v>4573</v>
      </c>
      <c r="B4094" t="s">
        <v>4574</v>
      </c>
      <c r="C4094" t="s">
        <v>1184</v>
      </c>
      <c r="D4094" t="s">
        <v>323</v>
      </c>
      <c r="E4094" t="s">
        <v>298</v>
      </c>
      <c r="F4094" t="s">
        <v>4595</v>
      </c>
      <c r="G4094">
        <v>1355</v>
      </c>
      <c r="H4094">
        <v>169626.77000000002</v>
      </c>
      <c r="I4094">
        <v>125.19</v>
      </c>
      <c r="J4094">
        <v>0</v>
      </c>
      <c r="K4094">
        <v>0</v>
      </c>
      <c r="L4094">
        <v>0</v>
      </c>
      <c r="M4094">
        <v>1355</v>
      </c>
      <c r="N4094">
        <v>169626.77000000002</v>
      </c>
      <c r="O4094">
        <v>125.19</v>
      </c>
    </row>
    <row r="4095" spans="1:15" x14ac:dyDescent="0.35">
      <c r="A4095" t="s">
        <v>4573</v>
      </c>
      <c r="B4095" t="s">
        <v>4574</v>
      </c>
      <c r="C4095" t="s">
        <v>1184</v>
      </c>
      <c r="D4095" t="s">
        <v>323</v>
      </c>
      <c r="E4095" t="s">
        <v>300</v>
      </c>
      <c r="F4095" t="s">
        <v>4596</v>
      </c>
      <c r="G4095">
        <v>68</v>
      </c>
      <c r="H4095">
        <v>9666.59</v>
      </c>
      <c r="I4095">
        <v>142.16</v>
      </c>
      <c r="J4095">
        <v>0</v>
      </c>
      <c r="K4095">
        <v>0</v>
      </c>
      <c r="L4095">
        <v>0</v>
      </c>
      <c r="M4095">
        <v>68</v>
      </c>
      <c r="N4095">
        <v>9666.59</v>
      </c>
      <c r="O4095">
        <v>142.16</v>
      </c>
    </row>
    <row r="4096" spans="1:15" x14ac:dyDescent="0.35">
      <c r="A4096" t="s">
        <v>4573</v>
      </c>
      <c r="B4096" t="s">
        <v>4574</v>
      </c>
      <c r="C4096" t="s">
        <v>1184</v>
      </c>
      <c r="D4096" t="s">
        <v>323</v>
      </c>
      <c r="E4096" t="s">
        <v>302</v>
      </c>
      <c r="F4096" t="s">
        <v>4597</v>
      </c>
      <c r="G4096">
        <v>1</v>
      </c>
      <c r="H4096">
        <v>139.04</v>
      </c>
      <c r="I4096">
        <v>139.04</v>
      </c>
      <c r="J4096">
        <v>0</v>
      </c>
      <c r="K4096">
        <v>0</v>
      </c>
      <c r="L4096">
        <v>0</v>
      </c>
      <c r="M4096">
        <v>1</v>
      </c>
      <c r="N4096">
        <v>139.04</v>
      </c>
      <c r="O4096">
        <v>139.04</v>
      </c>
    </row>
    <row r="4097" spans="1:15" x14ac:dyDescent="0.35">
      <c r="A4097" t="s">
        <v>4573</v>
      </c>
      <c r="B4097" t="s">
        <v>4574</v>
      </c>
      <c r="C4097" t="s">
        <v>1184</v>
      </c>
      <c r="D4097" t="s">
        <v>323</v>
      </c>
      <c r="E4097" t="s">
        <v>304</v>
      </c>
      <c r="F4097" t="s">
        <v>4598</v>
      </c>
      <c r="G4097">
        <v>0</v>
      </c>
      <c r="H4097">
        <v>0</v>
      </c>
      <c r="I4097">
        <v>0</v>
      </c>
      <c r="J4097">
        <v>0</v>
      </c>
      <c r="K4097">
        <v>0</v>
      </c>
      <c r="L4097">
        <v>0</v>
      </c>
      <c r="M4097">
        <v>0</v>
      </c>
      <c r="N4097">
        <v>0</v>
      </c>
      <c r="O4097">
        <v>0</v>
      </c>
    </row>
    <row r="4098" spans="1:15" x14ac:dyDescent="0.35">
      <c r="A4098" t="s">
        <v>4573</v>
      </c>
      <c r="B4098" t="s">
        <v>4574</v>
      </c>
      <c r="C4098" t="s">
        <v>1184</v>
      </c>
      <c r="D4098" t="s">
        <v>323</v>
      </c>
      <c r="E4098" t="s">
        <v>306</v>
      </c>
      <c r="F4098" t="s">
        <v>4599</v>
      </c>
      <c r="G4098">
        <v>5</v>
      </c>
      <c r="H4098">
        <v>384.72</v>
      </c>
      <c r="I4098">
        <v>76.94</v>
      </c>
      <c r="J4098">
        <v>0</v>
      </c>
      <c r="K4098">
        <v>0</v>
      </c>
      <c r="L4098">
        <v>0</v>
      </c>
      <c r="M4098">
        <v>5</v>
      </c>
      <c r="N4098">
        <v>384.72</v>
      </c>
      <c r="O4098">
        <v>76.94</v>
      </c>
    </row>
    <row r="4099" spans="1:15" x14ac:dyDescent="0.35">
      <c r="A4099" t="s">
        <v>4573</v>
      </c>
      <c r="B4099" t="s">
        <v>4574</v>
      </c>
      <c r="C4099" t="s">
        <v>1184</v>
      </c>
      <c r="D4099" t="s">
        <v>323</v>
      </c>
      <c r="E4099" t="s">
        <v>308</v>
      </c>
      <c r="F4099" t="s">
        <v>4600</v>
      </c>
      <c r="G4099">
        <v>0</v>
      </c>
      <c r="H4099">
        <v>0</v>
      </c>
      <c r="I4099">
        <v>0</v>
      </c>
      <c r="J4099">
        <v>0</v>
      </c>
      <c r="K4099">
        <v>0</v>
      </c>
      <c r="L4099">
        <v>0</v>
      </c>
      <c r="M4099">
        <v>0</v>
      </c>
      <c r="N4099">
        <v>0</v>
      </c>
      <c r="O4099">
        <v>0</v>
      </c>
    </row>
    <row r="4100" spans="1:15" x14ac:dyDescent="0.35">
      <c r="A4100" t="s">
        <v>4573</v>
      </c>
      <c r="B4100" t="s">
        <v>4574</v>
      </c>
      <c r="C4100" t="s">
        <v>1184</v>
      </c>
      <c r="D4100" t="s">
        <v>323</v>
      </c>
      <c r="E4100" t="s">
        <v>310</v>
      </c>
      <c r="F4100" t="s">
        <v>4601</v>
      </c>
      <c r="G4100">
        <v>3349</v>
      </c>
      <c r="H4100">
        <v>389823.5</v>
      </c>
      <c r="I4100">
        <v>116.4</v>
      </c>
      <c r="J4100">
        <v>0</v>
      </c>
      <c r="K4100">
        <v>0</v>
      </c>
      <c r="L4100">
        <v>0</v>
      </c>
      <c r="M4100">
        <v>3349</v>
      </c>
      <c r="N4100">
        <v>389823.5</v>
      </c>
      <c r="O4100">
        <v>116.4</v>
      </c>
    </row>
    <row r="4101" spans="1:15" x14ac:dyDescent="0.35">
      <c r="A4101" t="s">
        <v>4573</v>
      </c>
      <c r="B4101" t="s">
        <v>4574</v>
      </c>
      <c r="C4101" t="s">
        <v>1184</v>
      </c>
      <c r="D4101" t="s">
        <v>323</v>
      </c>
      <c r="E4101" t="s">
        <v>312</v>
      </c>
      <c r="F4101" t="s">
        <v>4602</v>
      </c>
      <c r="G4101">
        <v>3349</v>
      </c>
      <c r="H4101">
        <v>389823.5</v>
      </c>
      <c r="I4101">
        <v>116.4</v>
      </c>
      <c r="J4101">
        <v>0</v>
      </c>
      <c r="K4101">
        <v>0</v>
      </c>
      <c r="L4101">
        <v>0</v>
      </c>
      <c r="M4101">
        <v>3349</v>
      </c>
      <c r="N4101">
        <v>389823.5</v>
      </c>
      <c r="O4101">
        <v>116.4</v>
      </c>
    </row>
    <row r="4102" spans="1:15" x14ac:dyDescent="0.35">
      <c r="A4102" t="s">
        <v>4573</v>
      </c>
      <c r="B4102" t="s">
        <v>4574</v>
      </c>
      <c r="C4102" t="s">
        <v>1184</v>
      </c>
      <c r="D4102" t="s">
        <v>334</v>
      </c>
      <c r="E4102" t="s">
        <v>312</v>
      </c>
      <c r="F4102" t="s">
        <v>4603</v>
      </c>
      <c r="G4102">
        <v>4567</v>
      </c>
      <c r="H4102">
        <v>507745.31</v>
      </c>
      <c r="I4102">
        <v>121.73</v>
      </c>
      <c r="J4102">
        <v>0</v>
      </c>
      <c r="K4102">
        <v>0</v>
      </c>
      <c r="L4102">
        <v>0</v>
      </c>
      <c r="M4102">
        <v>4567</v>
      </c>
      <c r="N4102">
        <v>507745.31</v>
      </c>
      <c r="O4102">
        <v>121.73</v>
      </c>
    </row>
    <row r="4103" spans="1:15" x14ac:dyDescent="0.35">
      <c r="A4103" t="s">
        <v>4573</v>
      </c>
      <c r="B4103" t="s">
        <v>4574</v>
      </c>
      <c r="C4103" t="s">
        <v>1184</v>
      </c>
      <c r="D4103" t="s">
        <v>334</v>
      </c>
      <c r="E4103" t="s">
        <v>308</v>
      </c>
      <c r="F4103" t="s">
        <v>4604</v>
      </c>
      <c r="G4103">
        <v>0</v>
      </c>
      <c r="H4103">
        <v>0</v>
      </c>
      <c r="I4103">
        <v>0</v>
      </c>
      <c r="J4103">
        <v>0</v>
      </c>
      <c r="K4103">
        <v>0</v>
      </c>
      <c r="L4103">
        <v>0</v>
      </c>
      <c r="M4103">
        <v>0</v>
      </c>
      <c r="N4103">
        <v>0</v>
      </c>
      <c r="O4103">
        <v>0</v>
      </c>
    </row>
    <row r="4104" spans="1:15" x14ac:dyDescent="0.35">
      <c r="A4104" t="s">
        <v>4573</v>
      </c>
      <c r="B4104" t="s">
        <v>4574</v>
      </c>
      <c r="C4104" t="s">
        <v>1184</v>
      </c>
      <c r="D4104" t="s">
        <v>337</v>
      </c>
      <c r="E4104" t="s">
        <v>337</v>
      </c>
      <c r="F4104" t="s">
        <v>4605</v>
      </c>
      <c r="G4104">
        <v>382</v>
      </c>
      <c r="J4104">
        <v>0</v>
      </c>
      <c r="M4104">
        <v>382</v>
      </c>
    </row>
    <row r="4105" spans="1:15" x14ac:dyDescent="0.35">
      <c r="A4105" t="s">
        <v>4573</v>
      </c>
      <c r="B4105" t="s">
        <v>4574</v>
      </c>
      <c r="C4105" t="s">
        <v>1184</v>
      </c>
      <c r="D4105" t="s">
        <v>339</v>
      </c>
      <c r="E4105" t="s">
        <v>294</v>
      </c>
      <c r="F4105" t="s">
        <v>4606</v>
      </c>
      <c r="G4105">
        <v>593</v>
      </c>
      <c r="H4105">
        <v>66469.86</v>
      </c>
      <c r="I4105">
        <v>112.09</v>
      </c>
      <c r="J4105">
        <v>0</v>
      </c>
      <c r="K4105">
        <v>0</v>
      </c>
      <c r="L4105">
        <v>0</v>
      </c>
      <c r="M4105">
        <v>593</v>
      </c>
      <c r="N4105">
        <v>66469.86</v>
      </c>
      <c r="O4105">
        <v>112.09</v>
      </c>
    </row>
    <row r="4106" spans="1:15" x14ac:dyDescent="0.35">
      <c r="A4106" t="s">
        <v>4573</v>
      </c>
      <c r="B4106" t="s">
        <v>4574</v>
      </c>
      <c r="C4106" t="s">
        <v>1184</v>
      </c>
      <c r="D4106" t="s">
        <v>339</v>
      </c>
      <c r="E4106" t="s">
        <v>296</v>
      </c>
      <c r="F4106" t="s">
        <v>4607</v>
      </c>
      <c r="G4106">
        <v>48</v>
      </c>
      <c r="H4106">
        <v>5976.68</v>
      </c>
      <c r="I4106">
        <v>124.51</v>
      </c>
      <c r="J4106">
        <v>0</v>
      </c>
      <c r="K4106">
        <v>0</v>
      </c>
      <c r="L4106">
        <v>0</v>
      </c>
      <c r="M4106">
        <v>48</v>
      </c>
      <c r="N4106">
        <v>5976.68</v>
      </c>
      <c r="O4106">
        <v>124.51</v>
      </c>
    </row>
    <row r="4107" spans="1:15" x14ac:dyDescent="0.35">
      <c r="A4107" t="s">
        <v>4573</v>
      </c>
      <c r="B4107" t="s">
        <v>4574</v>
      </c>
      <c r="C4107" t="s">
        <v>1184</v>
      </c>
      <c r="D4107" t="s">
        <v>339</v>
      </c>
      <c r="E4107" t="s">
        <v>298</v>
      </c>
      <c r="F4107" t="s">
        <v>4608</v>
      </c>
      <c r="G4107">
        <v>1</v>
      </c>
      <c r="H4107">
        <v>134.19999999999999</v>
      </c>
      <c r="I4107">
        <v>134.19999999999999</v>
      </c>
      <c r="J4107">
        <v>0</v>
      </c>
      <c r="K4107">
        <v>0</v>
      </c>
      <c r="L4107">
        <v>0</v>
      </c>
      <c r="M4107">
        <v>1</v>
      </c>
      <c r="N4107">
        <v>134.19999999999999</v>
      </c>
      <c r="O4107">
        <v>134.19999999999999</v>
      </c>
    </row>
    <row r="4108" spans="1:15" x14ac:dyDescent="0.35">
      <c r="A4108" t="s">
        <v>4573</v>
      </c>
      <c r="B4108" t="s">
        <v>4574</v>
      </c>
      <c r="C4108" t="s">
        <v>1184</v>
      </c>
      <c r="D4108" t="s">
        <v>339</v>
      </c>
      <c r="E4108" t="s">
        <v>300</v>
      </c>
      <c r="F4108" t="s">
        <v>4609</v>
      </c>
      <c r="G4108">
        <v>0</v>
      </c>
      <c r="H4108">
        <v>0</v>
      </c>
      <c r="I4108">
        <v>0</v>
      </c>
      <c r="J4108">
        <v>0</v>
      </c>
      <c r="K4108">
        <v>0</v>
      </c>
      <c r="L4108">
        <v>0</v>
      </c>
      <c r="M4108">
        <v>0</v>
      </c>
      <c r="N4108">
        <v>0</v>
      </c>
      <c r="O4108">
        <v>0</v>
      </c>
    </row>
    <row r="4109" spans="1:15" x14ac:dyDescent="0.35">
      <c r="A4109" t="s">
        <v>4573</v>
      </c>
      <c r="B4109" t="s">
        <v>4574</v>
      </c>
      <c r="C4109" t="s">
        <v>1184</v>
      </c>
      <c r="D4109" t="s">
        <v>339</v>
      </c>
      <c r="E4109" t="s">
        <v>306</v>
      </c>
      <c r="F4109" t="s">
        <v>4610</v>
      </c>
      <c r="G4109">
        <v>39</v>
      </c>
      <c r="H4109">
        <v>3821.88</v>
      </c>
      <c r="I4109">
        <v>98</v>
      </c>
      <c r="J4109">
        <v>0</v>
      </c>
      <c r="K4109">
        <v>0</v>
      </c>
      <c r="L4109">
        <v>0</v>
      </c>
      <c r="M4109">
        <v>39</v>
      </c>
      <c r="N4109">
        <v>3821.88</v>
      </c>
      <c r="O4109">
        <v>98</v>
      </c>
    </row>
    <row r="4110" spans="1:15" x14ac:dyDescent="0.35">
      <c r="A4110" t="s">
        <v>4573</v>
      </c>
      <c r="B4110" t="s">
        <v>4574</v>
      </c>
      <c r="C4110" t="s">
        <v>1184</v>
      </c>
      <c r="D4110" t="s">
        <v>339</v>
      </c>
      <c r="E4110" t="s">
        <v>308</v>
      </c>
      <c r="F4110" t="s">
        <v>4611</v>
      </c>
      <c r="G4110">
        <v>33</v>
      </c>
      <c r="H4110">
        <v>4423.18</v>
      </c>
      <c r="I4110">
        <v>134.04</v>
      </c>
      <c r="J4110">
        <v>0</v>
      </c>
      <c r="K4110">
        <v>0</v>
      </c>
      <c r="L4110">
        <v>0</v>
      </c>
      <c r="M4110">
        <v>33</v>
      </c>
      <c r="N4110">
        <v>4423.18</v>
      </c>
      <c r="O4110">
        <v>134.04</v>
      </c>
    </row>
    <row r="4111" spans="1:15" x14ac:dyDescent="0.35">
      <c r="A4111" t="s">
        <v>4573</v>
      </c>
      <c r="B4111" t="s">
        <v>4574</v>
      </c>
      <c r="C4111" t="s">
        <v>1184</v>
      </c>
      <c r="D4111" t="s">
        <v>339</v>
      </c>
      <c r="E4111" t="s">
        <v>310</v>
      </c>
      <c r="F4111" t="s">
        <v>4612</v>
      </c>
      <c r="G4111">
        <v>714</v>
      </c>
      <c r="H4111">
        <v>80825.800000000017</v>
      </c>
      <c r="I4111">
        <v>113.2</v>
      </c>
      <c r="J4111">
        <v>0</v>
      </c>
      <c r="K4111">
        <v>0</v>
      </c>
      <c r="L4111">
        <v>0</v>
      </c>
      <c r="M4111">
        <v>714</v>
      </c>
      <c r="N4111">
        <v>80825.800000000017</v>
      </c>
      <c r="O4111">
        <v>113.2</v>
      </c>
    </row>
    <row r="4112" spans="1:15" x14ac:dyDescent="0.35">
      <c r="A4112" t="s">
        <v>4573</v>
      </c>
      <c r="B4112" t="s">
        <v>4574</v>
      </c>
      <c r="C4112" t="s">
        <v>1184</v>
      </c>
      <c r="D4112" t="s">
        <v>339</v>
      </c>
      <c r="E4112" t="s">
        <v>312</v>
      </c>
      <c r="F4112" t="s">
        <v>4613</v>
      </c>
      <c r="G4112">
        <v>681</v>
      </c>
      <c r="H4112">
        <v>76402.62000000001</v>
      </c>
      <c r="I4112">
        <v>112.19</v>
      </c>
      <c r="J4112">
        <v>0</v>
      </c>
      <c r="K4112">
        <v>0</v>
      </c>
      <c r="L4112">
        <v>0</v>
      </c>
      <c r="M4112">
        <v>681</v>
      </c>
      <c r="N4112">
        <v>76402.62000000001</v>
      </c>
      <c r="O4112">
        <v>112.19</v>
      </c>
    </row>
    <row r="4113" spans="1:15" x14ac:dyDescent="0.35">
      <c r="A4113" t="s">
        <v>4573</v>
      </c>
      <c r="B4113" t="s">
        <v>4574</v>
      </c>
      <c r="C4113" t="s">
        <v>1184</v>
      </c>
      <c r="D4113" t="s">
        <v>348</v>
      </c>
      <c r="E4113" t="s">
        <v>349</v>
      </c>
      <c r="F4113" t="s">
        <v>4614</v>
      </c>
      <c r="G4113">
        <v>855</v>
      </c>
      <c r="H4113">
        <v>103363.92000000001</v>
      </c>
      <c r="I4113">
        <v>130.18</v>
      </c>
      <c r="J4113">
        <v>0</v>
      </c>
      <c r="K4113">
        <v>0</v>
      </c>
      <c r="L4113">
        <v>0</v>
      </c>
      <c r="M4113">
        <v>855</v>
      </c>
      <c r="N4113">
        <v>103363.92000000001</v>
      </c>
      <c r="O4113">
        <v>130.18</v>
      </c>
    </row>
    <row r="4114" spans="1:15" x14ac:dyDescent="0.35">
      <c r="A4114" t="s">
        <v>4615</v>
      </c>
      <c r="B4114" t="s">
        <v>4616</v>
      </c>
      <c r="C4114" t="s">
        <v>1184</v>
      </c>
      <c r="D4114" t="s">
        <v>293</v>
      </c>
      <c r="E4114" t="s">
        <v>294</v>
      </c>
      <c r="F4114" t="s">
        <v>4617</v>
      </c>
      <c r="G4114">
        <v>282</v>
      </c>
      <c r="H4114">
        <v>34389.33</v>
      </c>
      <c r="I4114">
        <v>121.95</v>
      </c>
      <c r="J4114">
        <v>0</v>
      </c>
      <c r="K4114">
        <v>0</v>
      </c>
      <c r="L4114">
        <v>0</v>
      </c>
      <c r="M4114">
        <v>282</v>
      </c>
      <c r="N4114">
        <v>34389.33</v>
      </c>
      <c r="O4114">
        <v>121.95</v>
      </c>
    </row>
    <row r="4115" spans="1:15" x14ac:dyDescent="0.35">
      <c r="A4115" t="s">
        <v>4615</v>
      </c>
      <c r="B4115" t="s">
        <v>4616</v>
      </c>
      <c r="C4115" t="s">
        <v>1184</v>
      </c>
      <c r="D4115" t="s">
        <v>293</v>
      </c>
      <c r="E4115" t="s">
        <v>296</v>
      </c>
      <c r="F4115" t="s">
        <v>4618</v>
      </c>
      <c r="G4115">
        <v>511</v>
      </c>
      <c r="H4115">
        <v>77902.720000000001</v>
      </c>
      <c r="I4115">
        <v>152.44999999999999</v>
      </c>
      <c r="J4115">
        <v>0</v>
      </c>
      <c r="K4115">
        <v>0</v>
      </c>
      <c r="L4115">
        <v>0</v>
      </c>
      <c r="M4115">
        <v>511</v>
      </c>
      <c r="N4115">
        <v>77902.720000000001</v>
      </c>
      <c r="O4115">
        <v>152.44999999999999</v>
      </c>
    </row>
    <row r="4116" spans="1:15" x14ac:dyDescent="0.35">
      <c r="A4116" t="s">
        <v>4615</v>
      </c>
      <c r="B4116" t="s">
        <v>4616</v>
      </c>
      <c r="C4116" t="s">
        <v>1184</v>
      </c>
      <c r="D4116" t="s">
        <v>293</v>
      </c>
      <c r="E4116" t="s">
        <v>298</v>
      </c>
      <c r="F4116" t="s">
        <v>4619</v>
      </c>
      <c r="G4116">
        <v>109</v>
      </c>
      <c r="H4116">
        <v>19649.109999999997</v>
      </c>
      <c r="I4116">
        <v>180.27</v>
      </c>
      <c r="J4116">
        <v>0</v>
      </c>
      <c r="K4116">
        <v>0</v>
      </c>
      <c r="L4116">
        <v>0</v>
      </c>
      <c r="M4116">
        <v>109</v>
      </c>
      <c r="N4116">
        <v>19649.109999999997</v>
      </c>
      <c r="O4116">
        <v>180.27</v>
      </c>
    </row>
    <row r="4117" spans="1:15" x14ac:dyDescent="0.35">
      <c r="A4117" t="s">
        <v>4615</v>
      </c>
      <c r="B4117" t="s">
        <v>4616</v>
      </c>
      <c r="C4117" t="s">
        <v>1184</v>
      </c>
      <c r="D4117" t="s">
        <v>293</v>
      </c>
      <c r="E4117" t="s">
        <v>300</v>
      </c>
      <c r="F4117" t="s">
        <v>4620</v>
      </c>
      <c r="G4117">
        <v>23</v>
      </c>
      <c r="H4117">
        <v>5177.7099999999991</v>
      </c>
      <c r="I4117">
        <v>225.12</v>
      </c>
      <c r="J4117">
        <v>0</v>
      </c>
      <c r="K4117">
        <v>0</v>
      </c>
      <c r="L4117">
        <v>0</v>
      </c>
      <c r="M4117">
        <v>23</v>
      </c>
      <c r="N4117">
        <v>5177.7099999999991</v>
      </c>
      <c r="O4117">
        <v>225.12</v>
      </c>
    </row>
    <row r="4118" spans="1:15" x14ac:dyDescent="0.35">
      <c r="A4118" t="s">
        <v>4615</v>
      </c>
      <c r="B4118" t="s">
        <v>4616</v>
      </c>
      <c r="C4118" t="s">
        <v>1184</v>
      </c>
      <c r="D4118" t="s">
        <v>293</v>
      </c>
      <c r="E4118" t="s">
        <v>302</v>
      </c>
      <c r="F4118" t="s">
        <v>4621</v>
      </c>
      <c r="G4118">
        <v>3</v>
      </c>
      <c r="H4118">
        <v>686.93</v>
      </c>
      <c r="I4118">
        <v>228.98</v>
      </c>
      <c r="J4118">
        <v>0</v>
      </c>
      <c r="K4118">
        <v>0</v>
      </c>
      <c r="L4118">
        <v>0</v>
      </c>
      <c r="M4118">
        <v>3</v>
      </c>
      <c r="N4118">
        <v>686.93</v>
      </c>
      <c r="O4118">
        <v>228.98</v>
      </c>
    </row>
    <row r="4119" spans="1:15" x14ac:dyDescent="0.35">
      <c r="A4119" t="s">
        <v>4615</v>
      </c>
      <c r="B4119" t="s">
        <v>4616</v>
      </c>
      <c r="C4119" t="s">
        <v>1184</v>
      </c>
      <c r="D4119" t="s">
        <v>293</v>
      </c>
      <c r="E4119" t="s">
        <v>304</v>
      </c>
      <c r="F4119" t="s">
        <v>4622</v>
      </c>
      <c r="G4119">
        <v>0</v>
      </c>
      <c r="H4119">
        <v>0</v>
      </c>
      <c r="I4119">
        <v>0</v>
      </c>
      <c r="J4119">
        <v>0</v>
      </c>
      <c r="K4119">
        <v>0</v>
      </c>
      <c r="L4119">
        <v>0</v>
      </c>
      <c r="M4119">
        <v>0</v>
      </c>
      <c r="N4119">
        <v>0</v>
      </c>
      <c r="O4119">
        <v>0</v>
      </c>
    </row>
    <row r="4120" spans="1:15" x14ac:dyDescent="0.35">
      <c r="A4120" t="s">
        <v>4615</v>
      </c>
      <c r="B4120" t="s">
        <v>4616</v>
      </c>
      <c r="C4120" t="s">
        <v>1184</v>
      </c>
      <c r="D4120" t="s">
        <v>293</v>
      </c>
      <c r="E4120" t="s">
        <v>306</v>
      </c>
      <c r="F4120" t="s">
        <v>4623</v>
      </c>
      <c r="G4120">
        <v>0</v>
      </c>
      <c r="H4120">
        <v>0</v>
      </c>
      <c r="I4120">
        <v>0</v>
      </c>
      <c r="J4120">
        <v>0</v>
      </c>
      <c r="K4120">
        <v>0</v>
      </c>
      <c r="L4120">
        <v>0</v>
      </c>
      <c r="M4120">
        <v>0</v>
      </c>
      <c r="N4120">
        <v>0</v>
      </c>
      <c r="O4120">
        <v>0</v>
      </c>
    </row>
    <row r="4121" spans="1:15" x14ac:dyDescent="0.35">
      <c r="A4121" t="s">
        <v>4615</v>
      </c>
      <c r="B4121" t="s">
        <v>4616</v>
      </c>
      <c r="C4121" t="s">
        <v>1184</v>
      </c>
      <c r="D4121" t="s">
        <v>293</v>
      </c>
      <c r="E4121" t="s">
        <v>308</v>
      </c>
      <c r="F4121" t="s">
        <v>4624</v>
      </c>
      <c r="G4121">
        <v>0</v>
      </c>
      <c r="H4121">
        <v>0</v>
      </c>
      <c r="I4121">
        <v>0</v>
      </c>
      <c r="J4121">
        <v>0</v>
      </c>
      <c r="K4121">
        <v>0</v>
      </c>
      <c r="L4121">
        <v>0</v>
      </c>
      <c r="M4121">
        <v>0</v>
      </c>
      <c r="N4121">
        <v>0</v>
      </c>
      <c r="O4121">
        <v>0</v>
      </c>
    </row>
    <row r="4122" spans="1:15" x14ac:dyDescent="0.35">
      <c r="A4122" t="s">
        <v>4615</v>
      </c>
      <c r="B4122" t="s">
        <v>4616</v>
      </c>
      <c r="C4122" t="s">
        <v>1184</v>
      </c>
      <c r="D4122" t="s">
        <v>293</v>
      </c>
      <c r="E4122" t="s">
        <v>310</v>
      </c>
      <c r="F4122" t="s">
        <v>4625</v>
      </c>
      <c r="G4122">
        <v>928</v>
      </c>
      <c r="H4122">
        <v>137805.79999999999</v>
      </c>
      <c r="I4122">
        <v>148.5</v>
      </c>
      <c r="J4122">
        <v>0</v>
      </c>
      <c r="K4122">
        <v>0</v>
      </c>
      <c r="L4122">
        <v>0</v>
      </c>
      <c r="M4122">
        <v>928</v>
      </c>
      <c r="N4122">
        <v>137805.79999999999</v>
      </c>
      <c r="O4122">
        <v>148.5</v>
      </c>
    </row>
    <row r="4123" spans="1:15" x14ac:dyDescent="0.35">
      <c r="A4123" t="s">
        <v>4615</v>
      </c>
      <c r="B4123" t="s">
        <v>4616</v>
      </c>
      <c r="C4123" t="s">
        <v>1184</v>
      </c>
      <c r="D4123" t="s">
        <v>293</v>
      </c>
      <c r="E4123" t="s">
        <v>312</v>
      </c>
      <c r="F4123" t="s">
        <v>4626</v>
      </c>
      <c r="G4123">
        <v>928</v>
      </c>
      <c r="H4123">
        <v>137805.79999999999</v>
      </c>
      <c r="I4123">
        <v>148.5</v>
      </c>
      <c r="J4123">
        <v>0</v>
      </c>
      <c r="K4123">
        <v>0</v>
      </c>
      <c r="L4123">
        <v>0</v>
      </c>
      <c r="M4123">
        <v>928</v>
      </c>
      <c r="N4123">
        <v>137805.79999999999</v>
      </c>
      <c r="O4123">
        <v>148.5</v>
      </c>
    </row>
    <row r="4124" spans="1:15" x14ac:dyDescent="0.35">
      <c r="A4124" t="s">
        <v>4615</v>
      </c>
      <c r="B4124" t="s">
        <v>4616</v>
      </c>
      <c r="C4124" t="s">
        <v>1184</v>
      </c>
      <c r="D4124" t="s">
        <v>314</v>
      </c>
      <c r="E4124" t="s">
        <v>294</v>
      </c>
      <c r="F4124" t="s">
        <v>4627</v>
      </c>
      <c r="G4124">
        <v>21</v>
      </c>
      <c r="H4124">
        <v>3389.1899999999996</v>
      </c>
      <c r="I4124">
        <v>161.38999999999999</v>
      </c>
      <c r="J4124">
        <v>0</v>
      </c>
      <c r="K4124">
        <v>0</v>
      </c>
      <c r="L4124">
        <v>0</v>
      </c>
      <c r="M4124">
        <v>21</v>
      </c>
      <c r="N4124">
        <v>3389.1899999999996</v>
      </c>
      <c r="O4124">
        <v>161.38999999999999</v>
      </c>
    </row>
    <row r="4125" spans="1:15" x14ac:dyDescent="0.35">
      <c r="A4125" t="s">
        <v>4615</v>
      </c>
      <c r="B4125" t="s">
        <v>4616</v>
      </c>
      <c r="C4125" t="s">
        <v>1184</v>
      </c>
      <c r="D4125" t="s">
        <v>314</v>
      </c>
      <c r="E4125" t="s">
        <v>296</v>
      </c>
      <c r="F4125" t="s">
        <v>4628</v>
      </c>
      <c r="G4125">
        <v>3</v>
      </c>
      <c r="H4125">
        <v>568.57999999999993</v>
      </c>
      <c r="I4125">
        <v>189.53</v>
      </c>
      <c r="J4125">
        <v>0</v>
      </c>
      <c r="K4125">
        <v>0</v>
      </c>
      <c r="L4125">
        <v>0</v>
      </c>
      <c r="M4125">
        <v>3</v>
      </c>
      <c r="N4125">
        <v>568.57999999999993</v>
      </c>
      <c r="O4125">
        <v>189.53</v>
      </c>
    </row>
    <row r="4126" spans="1:15" x14ac:dyDescent="0.35">
      <c r="A4126" t="s">
        <v>4615</v>
      </c>
      <c r="B4126" t="s">
        <v>4616</v>
      </c>
      <c r="C4126" t="s">
        <v>1184</v>
      </c>
      <c r="D4126" t="s">
        <v>314</v>
      </c>
      <c r="E4126" t="s">
        <v>298</v>
      </c>
      <c r="F4126" t="s">
        <v>4629</v>
      </c>
      <c r="G4126">
        <v>0</v>
      </c>
      <c r="H4126">
        <v>0</v>
      </c>
      <c r="I4126">
        <v>0</v>
      </c>
      <c r="J4126">
        <v>0</v>
      </c>
      <c r="K4126">
        <v>0</v>
      </c>
      <c r="L4126">
        <v>0</v>
      </c>
      <c r="M4126">
        <v>0</v>
      </c>
      <c r="N4126">
        <v>0</v>
      </c>
      <c r="O4126">
        <v>0</v>
      </c>
    </row>
    <row r="4127" spans="1:15" x14ac:dyDescent="0.35">
      <c r="A4127" t="s">
        <v>4615</v>
      </c>
      <c r="B4127" t="s">
        <v>4616</v>
      </c>
      <c r="C4127" t="s">
        <v>1184</v>
      </c>
      <c r="D4127" t="s">
        <v>314</v>
      </c>
      <c r="E4127" t="s">
        <v>300</v>
      </c>
      <c r="F4127" t="s">
        <v>4630</v>
      </c>
      <c r="G4127">
        <v>0</v>
      </c>
      <c r="H4127">
        <v>0</v>
      </c>
      <c r="I4127">
        <v>0</v>
      </c>
      <c r="J4127">
        <v>0</v>
      </c>
      <c r="K4127">
        <v>0</v>
      </c>
      <c r="L4127">
        <v>0</v>
      </c>
      <c r="M4127">
        <v>0</v>
      </c>
      <c r="N4127">
        <v>0</v>
      </c>
      <c r="O4127">
        <v>0</v>
      </c>
    </row>
    <row r="4128" spans="1:15" x14ac:dyDescent="0.35">
      <c r="A4128" t="s">
        <v>4615</v>
      </c>
      <c r="B4128" t="s">
        <v>4616</v>
      </c>
      <c r="C4128" t="s">
        <v>1184</v>
      </c>
      <c r="D4128" t="s">
        <v>314</v>
      </c>
      <c r="E4128" t="s">
        <v>306</v>
      </c>
      <c r="F4128" t="s">
        <v>4631</v>
      </c>
      <c r="G4128">
        <v>0</v>
      </c>
      <c r="H4128">
        <v>0</v>
      </c>
      <c r="I4128">
        <v>0</v>
      </c>
      <c r="J4128">
        <v>0</v>
      </c>
      <c r="K4128">
        <v>0</v>
      </c>
      <c r="L4128">
        <v>0</v>
      </c>
      <c r="M4128">
        <v>0</v>
      </c>
      <c r="N4128">
        <v>0</v>
      </c>
      <c r="O4128">
        <v>0</v>
      </c>
    </row>
    <row r="4129" spans="1:15" x14ac:dyDescent="0.35">
      <c r="A4129" t="s">
        <v>4615</v>
      </c>
      <c r="B4129" t="s">
        <v>4616</v>
      </c>
      <c r="C4129" t="s">
        <v>1184</v>
      </c>
      <c r="D4129" t="s">
        <v>314</v>
      </c>
      <c r="E4129" t="s">
        <v>308</v>
      </c>
      <c r="F4129" t="s">
        <v>4632</v>
      </c>
      <c r="G4129">
        <v>6</v>
      </c>
      <c r="H4129">
        <v>574.74</v>
      </c>
      <c r="I4129">
        <v>95.79</v>
      </c>
      <c r="J4129">
        <v>0</v>
      </c>
      <c r="K4129">
        <v>0</v>
      </c>
      <c r="L4129">
        <v>0</v>
      </c>
      <c r="M4129">
        <v>6</v>
      </c>
      <c r="N4129">
        <v>574.74</v>
      </c>
      <c r="O4129">
        <v>95.79</v>
      </c>
    </row>
    <row r="4130" spans="1:15" x14ac:dyDescent="0.35">
      <c r="A4130" t="s">
        <v>4615</v>
      </c>
      <c r="B4130" t="s">
        <v>4616</v>
      </c>
      <c r="C4130" t="s">
        <v>1184</v>
      </c>
      <c r="D4130" t="s">
        <v>314</v>
      </c>
      <c r="E4130" t="s">
        <v>312</v>
      </c>
      <c r="F4130" t="s">
        <v>4633</v>
      </c>
      <c r="G4130">
        <v>24</v>
      </c>
      <c r="H4130">
        <v>3957.7699999999995</v>
      </c>
      <c r="I4130">
        <v>164.91</v>
      </c>
      <c r="J4130">
        <v>0</v>
      </c>
      <c r="K4130">
        <v>0</v>
      </c>
      <c r="L4130">
        <v>0</v>
      </c>
      <c r="M4130">
        <v>24</v>
      </c>
      <c r="N4130">
        <v>3957.7699999999995</v>
      </c>
      <c r="O4130">
        <v>164.91</v>
      </c>
    </row>
    <row r="4131" spans="1:15" x14ac:dyDescent="0.35">
      <c r="A4131" t="s">
        <v>4615</v>
      </c>
      <c r="B4131" t="s">
        <v>4616</v>
      </c>
      <c r="C4131" t="s">
        <v>1184</v>
      </c>
      <c r="D4131" t="s">
        <v>314</v>
      </c>
      <c r="E4131" t="s">
        <v>310</v>
      </c>
      <c r="F4131" t="s">
        <v>4634</v>
      </c>
      <c r="G4131">
        <v>30</v>
      </c>
      <c r="H4131">
        <v>4532.5099999999993</v>
      </c>
      <c r="I4131">
        <v>151.08000000000001</v>
      </c>
      <c r="J4131">
        <v>0</v>
      </c>
      <c r="K4131">
        <v>0</v>
      </c>
      <c r="L4131">
        <v>0</v>
      </c>
      <c r="M4131">
        <v>30</v>
      </c>
      <c r="N4131">
        <v>4532.5099999999993</v>
      </c>
      <c r="O4131">
        <v>151.08000000000001</v>
      </c>
    </row>
    <row r="4132" spans="1:15" x14ac:dyDescent="0.35">
      <c r="A4132" t="s">
        <v>4615</v>
      </c>
      <c r="B4132" t="s">
        <v>4616</v>
      </c>
      <c r="C4132" t="s">
        <v>1184</v>
      </c>
      <c r="D4132" t="s">
        <v>323</v>
      </c>
      <c r="E4132" t="s">
        <v>294</v>
      </c>
      <c r="F4132" t="s">
        <v>4635</v>
      </c>
      <c r="G4132">
        <v>1589</v>
      </c>
      <c r="H4132">
        <v>141011.24</v>
      </c>
      <c r="I4132">
        <v>88.74</v>
      </c>
      <c r="J4132">
        <v>0</v>
      </c>
      <c r="K4132">
        <v>0</v>
      </c>
      <c r="L4132">
        <v>0</v>
      </c>
      <c r="M4132">
        <v>1589</v>
      </c>
      <c r="N4132">
        <v>141011.24</v>
      </c>
      <c r="O4132">
        <v>88.74</v>
      </c>
    </row>
    <row r="4133" spans="1:15" x14ac:dyDescent="0.35">
      <c r="A4133" t="s">
        <v>4615</v>
      </c>
      <c r="B4133" t="s">
        <v>4616</v>
      </c>
      <c r="C4133" t="s">
        <v>1184</v>
      </c>
      <c r="D4133" t="s">
        <v>323</v>
      </c>
      <c r="E4133" t="s">
        <v>296</v>
      </c>
      <c r="F4133" t="s">
        <v>4636</v>
      </c>
      <c r="G4133">
        <v>2195</v>
      </c>
      <c r="H4133">
        <v>231950.98</v>
      </c>
      <c r="I4133">
        <v>105.67</v>
      </c>
      <c r="J4133">
        <v>0</v>
      </c>
      <c r="K4133">
        <v>0</v>
      </c>
      <c r="L4133">
        <v>0</v>
      </c>
      <c r="M4133">
        <v>2195</v>
      </c>
      <c r="N4133">
        <v>231950.98</v>
      </c>
      <c r="O4133">
        <v>105.67</v>
      </c>
    </row>
    <row r="4134" spans="1:15" x14ac:dyDescent="0.35">
      <c r="A4134" t="s">
        <v>4615</v>
      </c>
      <c r="B4134" t="s">
        <v>4616</v>
      </c>
      <c r="C4134" t="s">
        <v>1184</v>
      </c>
      <c r="D4134" t="s">
        <v>323</v>
      </c>
      <c r="E4134" t="s">
        <v>298</v>
      </c>
      <c r="F4134" t="s">
        <v>4637</v>
      </c>
      <c r="G4134">
        <v>1926</v>
      </c>
      <c r="H4134">
        <v>228738.09000000003</v>
      </c>
      <c r="I4134">
        <v>118.76</v>
      </c>
      <c r="J4134">
        <v>0</v>
      </c>
      <c r="K4134">
        <v>0</v>
      </c>
      <c r="L4134">
        <v>0</v>
      </c>
      <c r="M4134">
        <v>1926</v>
      </c>
      <c r="N4134">
        <v>228738.09000000003</v>
      </c>
      <c r="O4134">
        <v>118.76</v>
      </c>
    </row>
    <row r="4135" spans="1:15" x14ac:dyDescent="0.35">
      <c r="A4135" t="s">
        <v>4615</v>
      </c>
      <c r="B4135" t="s">
        <v>4616</v>
      </c>
      <c r="C4135" t="s">
        <v>1184</v>
      </c>
      <c r="D4135" t="s">
        <v>323</v>
      </c>
      <c r="E4135" t="s">
        <v>300</v>
      </c>
      <c r="F4135" t="s">
        <v>4638</v>
      </c>
      <c r="G4135">
        <v>293</v>
      </c>
      <c r="H4135">
        <v>41603.15</v>
      </c>
      <c r="I4135">
        <v>141.99</v>
      </c>
      <c r="J4135">
        <v>0</v>
      </c>
      <c r="K4135">
        <v>0</v>
      </c>
      <c r="L4135">
        <v>0</v>
      </c>
      <c r="M4135">
        <v>293</v>
      </c>
      <c r="N4135">
        <v>41603.15</v>
      </c>
      <c r="O4135">
        <v>141.99</v>
      </c>
    </row>
    <row r="4136" spans="1:15" x14ac:dyDescent="0.35">
      <c r="A4136" t="s">
        <v>4615</v>
      </c>
      <c r="B4136" t="s">
        <v>4616</v>
      </c>
      <c r="C4136" t="s">
        <v>1184</v>
      </c>
      <c r="D4136" t="s">
        <v>323</v>
      </c>
      <c r="E4136" t="s">
        <v>302</v>
      </c>
      <c r="F4136" t="s">
        <v>4639</v>
      </c>
      <c r="G4136">
        <v>14</v>
      </c>
      <c r="H4136">
        <v>2116.46</v>
      </c>
      <c r="I4136">
        <v>151.18</v>
      </c>
      <c r="J4136">
        <v>0</v>
      </c>
      <c r="K4136">
        <v>0</v>
      </c>
      <c r="L4136">
        <v>0</v>
      </c>
      <c r="M4136">
        <v>14</v>
      </c>
      <c r="N4136">
        <v>2116.46</v>
      </c>
      <c r="O4136">
        <v>151.18</v>
      </c>
    </row>
    <row r="4137" spans="1:15" x14ac:dyDescent="0.35">
      <c r="A4137" t="s">
        <v>4615</v>
      </c>
      <c r="B4137" t="s">
        <v>4616</v>
      </c>
      <c r="C4137" t="s">
        <v>1184</v>
      </c>
      <c r="D4137" t="s">
        <v>323</v>
      </c>
      <c r="E4137" t="s">
        <v>304</v>
      </c>
      <c r="F4137" t="s">
        <v>4640</v>
      </c>
      <c r="G4137">
        <v>3</v>
      </c>
      <c r="H4137">
        <v>513.93999999999994</v>
      </c>
      <c r="I4137">
        <v>171.31</v>
      </c>
      <c r="J4137">
        <v>0</v>
      </c>
      <c r="K4137">
        <v>0</v>
      </c>
      <c r="L4137">
        <v>0</v>
      </c>
      <c r="M4137">
        <v>3</v>
      </c>
      <c r="N4137">
        <v>513.93999999999994</v>
      </c>
      <c r="O4137">
        <v>171.31</v>
      </c>
    </row>
    <row r="4138" spans="1:15" x14ac:dyDescent="0.35">
      <c r="A4138" t="s">
        <v>4615</v>
      </c>
      <c r="B4138" t="s">
        <v>4616</v>
      </c>
      <c r="C4138" t="s">
        <v>1184</v>
      </c>
      <c r="D4138" t="s">
        <v>323</v>
      </c>
      <c r="E4138" t="s">
        <v>306</v>
      </c>
      <c r="F4138" t="s">
        <v>4641</v>
      </c>
      <c r="G4138">
        <v>235</v>
      </c>
      <c r="H4138">
        <v>18026.059999999998</v>
      </c>
      <c r="I4138">
        <v>76.709999999999994</v>
      </c>
      <c r="J4138">
        <v>0</v>
      </c>
      <c r="K4138">
        <v>0</v>
      </c>
      <c r="L4138">
        <v>0</v>
      </c>
      <c r="M4138">
        <v>235</v>
      </c>
      <c r="N4138">
        <v>18026.059999999998</v>
      </c>
      <c r="O4138">
        <v>76.709999999999994</v>
      </c>
    </row>
    <row r="4139" spans="1:15" x14ac:dyDescent="0.35">
      <c r="A4139" t="s">
        <v>4615</v>
      </c>
      <c r="B4139" t="s">
        <v>4616</v>
      </c>
      <c r="C4139" t="s">
        <v>1184</v>
      </c>
      <c r="D4139" t="s">
        <v>323</v>
      </c>
      <c r="E4139" t="s">
        <v>308</v>
      </c>
      <c r="F4139" t="s">
        <v>4642</v>
      </c>
      <c r="G4139">
        <v>0</v>
      </c>
      <c r="H4139">
        <v>0</v>
      </c>
      <c r="I4139">
        <v>0</v>
      </c>
      <c r="J4139">
        <v>0</v>
      </c>
      <c r="K4139">
        <v>0</v>
      </c>
      <c r="L4139">
        <v>0</v>
      </c>
      <c r="M4139">
        <v>0</v>
      </c>
      <c r="N4139">
        <v>0</v>
      </c>
      <c r="O4139">
        <v>0</v>
      </c>
    </row>
    <row r="4140" spans="1:15" x14ac:dyDescent="0.35">
      <c r="A4140" t="s">
        <v>4615</v>
      </c>
      <c r="B4140" t="s">
        <v>4616</v>
      </c>
      <c r="C4140" t="s">
        <v>1184</v>
      </c>
      <c r="D4140" t="s">
        <v>323</v>
      </c>
      <c r="E4140" t="s">
        <v>310</v>
      </c>
      <c r="F4140" t="s">
        <v>4643</v>
      </c>
      <c r="G4140">
        <v>6255</v>
      </c>
      <c r="H4140">
        <v>663959.91999999993</v>
      </c>
      <c r="I4140">
        <v>106.15</v>
      </c>
      <c r="J4140">
        <v>0</v>
      </c>
      <c r="K4140">
        <v>0</v>
      </c>
      <c r="L4140">
        <v>0</v>
      </c>
      <c r="M4140">
        <v>6255</v>
      </c>
      <c r="N4140">
        <v>663959.91999999993</v>
      </c>
      <c r="O4140">
        <v>106.15</v>
      </c>
    </row>
    <row r="4141" spans="1:15" x14ac:dyDescent="0.35">
      <c r="A4141" t="s">
        <v>4615</v>
      </c>
      <c r="B4141" t="s">
        <v>4616</v>
      </c>
      <c r="C4141" t="s">
        <v>1184</v>
      </c>
      <c r="D4141" t="s">
        <v>323</v>
      </c>
      <c r="E4141" t="s">
        <v>312</v>
      </c>
      <c r="F4141" t="s">
        <v>4644</v>
      </c>
      <c r="G4141">
        <v>6255</v>
      </c>
      <c r="H4141">
        <v>663959.91999999993</v>
      </c>
      <c r="I4141">
        <v>106.15</v>
      </c>
      <c r="J4141">
        <v>0</v>
      </c>
      <c r="K4141">
        <v>0</v>
      </c>
      <c r="L4141">
        <v>0</v>
      </c>
      <c r="M4141">
        <v>6255</v>
      </c>
      <c r="N4141">
        <v>663959.91999999993</v>
      </c>
      <c r="O4141">
        <v>106.15</v>
      </c>
    </row>
    <row r="4142" spans="1:15" x14ac:dyDescent="0.35">
      <c r="A4142" t="s">
        <v>4615</v>
      </c>
      <c r="B4142" t="s">
        <v>4616</v>
      </c>
      <c r="C4142" t="s">
        <v>1184</v>
      </c>
      <c r="D4142" t="s">
        <v>334</v>
      </c>
      <c r="E4142" t="s">
        <v>312</v>
      </c>
      <c r="F4142" t="s">
        <v>4645</v>
      </c>
      <c r="G4142">
        <v>7273</v>
      </c>
      <c r="H4142">
        <v>801765.72</v>
      </c>
      <c r="I4142">
        <v>111.62</v>
      </c>
      <c r="J4142">
        <v>0</v>
      </c>
      <c r="K4142">
        <v>0</v>
      </c>
      <c r="L4142">
        <v>0</v>
      </c>
      <c r="M4142">
        <v>7273</v>
      </c>
      <c r="N4142">
        <v>801765.72</v>
      </c>
      <c r="O4142">
        <v>111.62</v>
      </c>
    </row>
    <row r="4143" spans="1:15" x14ac:dyDescent="0.35">
      <c r="A4143" t="s">
        <v>4615</v>
      </c>
      <c r="B4143" t="s">
        <v>4616</v>
      </c>
      <c r="C4143" t="s">
        <v>1184</v>
      </c>
      <c r="D4143" t="s">
        <v>334</v>
      </c>
      <c r="E4143" t="s">
        <v>308</v>
      </c>
      <c r="F4143" t="s">
        <v>4646</v>
      </c>
      <c r="G4143">
        <v>0</v>
      </c>
      <c r="H4143">
        <v>0</v>
      </c>
      <c r="I4143">
        <v>0</v>
      </c>
      <c r="J4143">
        <v>0</v>
      </c>
      <c r="K4143">
        <v>0</v>
      </c>
      <c r="L4143">
        <v>0</v>
      </c>
      <c r="M4143">
        <v>0</v>
      </c>
      <c r="N4143">
        <v>0</v>
      </c>
      <c r="O4143">
        <v>0</v>
      </c>
    </row>
    <row r="4144" spans="1:15" x14ac:dyDescent="0.35">
      <c r="A4144" t="s">
        <v>4615</v>
      </c>
      <c r="B4144" t="s">
        <v>4616</v>
      </c>
      <c r="C4144" t="s">
        <v>1184</v>
      </c>
      <c r="D4144" t="s">
        <v>337</v>
      </c>
      <c r="E4144" t="s">
        <v>337</v>
      </c>
      <c r="F4144" t="s">
        <v>4647</v>
      </c>
      <c r="G4144">
        <v>827</v>
      </c>
      <c r="J4144">
        <v>0</v>
      </c>
      <c r="M4144">
        <v>827</v>
      </c>
    </row>
    <row r="4145" spans="1:15" x14ac:dyDescent="0.35">
      <c r="A4145" t="s">
        <v>4615</v>
      </c>
      <c r="B4145" t="s">
        <v>4616</v>
      </c>
      <c r="C4145" t="s">
        <v>1184</v>
      </c>
      <c r="D4145" t="s">
        <v>339</v>
      </c>
      <c r="E4145" t="s">
        <v>294</v>
      </c>
      <c r="F4145" t="s">
        <v>4648</v>
      </c>
      <c r="G4145">
        <v>558</v>
      </c>
      <c r="H4145">
        <v>66263.809999999983</v>
      </c>
      <c r="I4145">
        <v>118.75</v>
      </c>
      <c r="J4145">
        <v>0</v>
      </c>
      <c r="K4145">
        <v>0</v>
      </c>
      <c r="L4145">
        <v>0</v>
      </c>
      <c r="M4145">
        <v>558</v>
      </c>
      <c r="N4145">
        <v>66263.809999999983</v>
      </c>
      <c r="O4145">
        <v>118.75</v>
      </c>
    </row>
    <row r="4146" spans="1:15" x14ac:dyDescent="0.35">
      <c r="A4146" t="s">
        <v>4615</v>
      </c>
      <c r="B4146" t="s">
        <v>4616</v>
      </c>
      <c r="C4146" t="s">
        <v>1184</v>
      </c>
      <c r="D4146" t="s">
        <v>339</v>
      </c>
      <c r="E4146" t="s">
        <v>296</v>
      </c>
      <c r="F4146" t="s">
        <v>4649</v>
      </c>
      <c r="G4146">
        <v>181</v>
      </c>
      <c r="H4146">
        <v>23891.07</v>
      </c>
      <c r="I4146">
        <v>131.99</v>
      </c>
      <c r="J4146">
        <v>0</v>
      </c>
      <c r="K4146">
        <v>0</v>
      </c>
      <c r="L4146">
        <v>0</v>
      </c>
      <c r="M4146">
        <v>181</v>
      </c>
      <c r="N4146">
        <v>23891.07</v>
      </c>
      <c r="O4146">
        <v>131.99</v>
      </c>
    </row>
    <row r="4147" spans="1:15" x14ac:dyDescent="0.35">
      <c r="A4147" t="s">
        <v>4615</v>
      </c>
      <c r="B4147" t="s">
        <v>4616</v>
      </c>
      <c r="C4147" t="s">
        <v>1184</v>
      </c>
      <c r="D4147" t="s">
        <v>339</v>
      </c>
      <c r="E4147" t="s">
        <v>298</v>
      </c>
      <c r="F4147" t="s">
        <v>4650</v>
      </c>
      <c r="G4147">
        <v>14</v>
      </c>
      <c r="H4147">
        <v>2261.75</v>
      </c>
      <c r="I4147">
        <v>161.55000000000001</v>
      </c>
      <c r="J4147">
        <v>0</v>
      </c>
      <c r="K4147">
        <v>0</v>
      </c>
      <c r="L4147">
        <v>0</v>
      </c>
      <c r="M4147">
        <v>14</v>
      </c>
      <c r="N4147">
        <v>2261.75</v>
      </c>
      <c r="O4147">
        <v>161.55000000000001</v>
      </c>
    </row>
    <row r="4148" spans="1:15" x14ac:dyDescent="0.35">
      <c r="A4148" t="s">
        <v>4615</v>
      </c>
      <c r="B4148" t="s">
        <v>4616</v>
      </c>
      <c r="C4148" t="s">
        <v>1184</v>
      </c>
      <c r="D4148" t="s">
        <v>339</v>
      </c>
      <c r="E4148" t="s">
        <v>300</v>
      </c>
      <c r="F4148" t="s">
        <v>4651</v>
      </c>
      <c r="G4148">
        <v>1</v>
      </c>
      <c r="H4148">
        <v>220.17</v>
      </c>
      <c r="I4148">
        <v>220.17</v>
      </c>
      <c r="J4148">
        <v>0</v>
      </c>
      <c r="K4148">
        <v>0</v>
      </c>
      <c r="L4148">
        <v>0</v>
      </c>
      <c r="M4148">
        <v>1</v>
      </c>
      <c r="N4148">
        <v>220.17</v>
      </c>
      <c r="O4148">
        <v>220.17</v>
      </c>
    </row>
    <row r="4149" spans="1:15" x14ac:dyDescent="0.35">
      <c r="A4149" t="s">
        <v>4615</v>
      </c>
      <c r="B4149" t="s">
        <v>4616</v>
      </c>
      <c r="C4149" t="s">
        <v>1184</v>
      </c>
      <c r="D4149" t="s">
        <v>339</v>
      </c>
      <c r="E4149" t="s">
        <v>306</v>
      </c>
      <c r="F4149" t="s">
        <v>4652</v>
      </c>
      <c r="G4149">
        <v>139</v>
      </c>
      <c r="H4149">
        <v>14788.640000000001</v>
      </c>
      <c r="I4149">
        <v>106.39</v>
      </c>
      <c r="J4149">
        <v>0</v>
      </c>
      <c r="K4149">
        <v>0</v>
      </c>
      <c r="L4149">
        <v>0</v>
      </c>
      <c r="M4149">
        <v>139</v>
      </c>
      <c r="N4149">
        <v>14788.640000000001</v>
      </c>
      <c r="O4149">
        <v>106.39</v>
      </c>
    </row>
    <row r="4150" spans="1:15" x14ac:dyDescent="0.35">
      <c r="A4150" t="s">
        <v>4615</v>
      </c>
      <c r="B4150" t="s">
        <v>4616</v>
      </c>
      <c r="C4150" t="s">
        <v>1184</v>
      </c>
      <c r="D4150" t="s">
        <v>339</v>
      </c>
      <c r="E4150" t="s">
        <v>308</v>
      </c>
      <c r="F4150" t="s">
        <v>4653</v>
      </c>
      <c r="G4150">
        <v>120</v>
      </c>
      <c r="H4150">
        <v>10999.999999999998</v>
      </c>
      <c r="I4150">
        <v>91.67</v>
      </c>
      <c r="J4150">
        <v>0</v>
      </c>
      <c r="K4150">
        <v>0</v>
      </c>
      <c r="L4150">
        <v>0</v>
      </c>
      <c r="M4150">
        <v>120</v>
      </c>
      <c r="N4150">
        <v>10999.999999999998</v>
      </c>
      <c r="O4150">
        <v>91.67</v>
      </c>
    </row>
    <row r="4151" spans="1:15" x14ac:dyDescent="0.35">
      <c r="A4151" t="s">
        <v>4615</v>
      </c>
      <c r="B4151" t="s">
        <v>4616</v>
      </c>
      <c r="C4151" t="s">
        <v>1184</v>
      </c>
      <c r="D4151" t="s">
        <v>339</v>
      </c>
      <c r="E4151" t="s">
        <v>310</v>
      </c>
      <c r="F4151" t="s">
        <v>4654</v>
      </c>
      <c r="G4151">
        <v>1013</v>
      </c>
      <c r="H4151">
        <v>118425.43999999997</v>
      </c>
      <c r="I4151">
        <v>116.91</v>
      </c>
      <c r="J4151">
        <v>0</v>
      </c>
      <c r="K4151">
        <v>0</v>
      </c>
      <c r="L4151">
        <v>0</v>
      </c>
      <c r="M4151">
        <v>1013</v>
      </c>
      <c r="N4151">
        <v>118425.43999999997</v>
      </c>
      <c r="O4151">
        <v>116.91</v>
      </c>
    </row>
    <row r="4152" spans="1:15" x14ac:dyDescent="0.35">
      <c r="A4152" t="s">
        <v>4615</v>
      </c>
      <c r="B4152" t="s">
        <v>4616</v>
      </c>
      <c r="C4152" t="s">
        <v>1184</v>
      </c>
      <c r="D4152" t="s">
        <v>339</v>
      </c>
      <c r="E4152" t="s">
        <v>312</v>
      </c>
      <c r="F4152" t="s">
        <v>4655</v>
      </c>
      <c r="G4152">
        <v>893</v>
      </c>
      <c r="H4152">
        <v>107425.43999999997</v>
      </c>
      <c r="I4152">
        <v>120.3</v>
      </c>
      <c r="J4152">
        <v>0</v>
      </c>
      <c r="K4152">
        <v>0</v>
      </c>
      <c r="L4152">
        <v>0</v>
      </c>
      <c r="M4152">
        <v>893</v>
      </c>
      <c r="N4152">
        <v>107425.43999999997</v>
      </c>
      <c r="O4152">
        <v>120.3</v>
      </c>
    </row>
    <row r="4153" spans="1:15" x14ac:dyDescent="0.35">
      <c r="A4153" t="s">
        <v>4615</v>
      </c>
      <c r="B4153" t="s">
        <v>4616</v>
      </c>
      <c r="C4153" t="s">
        <v>1184</v>
      </c>
      <c r="D4153" t="s">
        <v>348</v>
      </c>
      <c r="E4153" t="s">
        <v>349</v>
      </c>
      <c r="F4153" t="s">
        <v>4656</v>
      </c>
      <c r="G4153">
        <v>1452</v>
      </c>
      <c r="H4153">
        <v>122957.94999999998</v>
      </c>
      <c r="I4153">
        <v>117.89</v>
      </c>
      <c r="J4153">
        <v>0</v>
      </c>
      <c r="K4153">
        <v>0</v>
      </c>
      <c r="L4153">
        <v>0</v>
      </c>
      <c r="M4153">
        <v>1452</v>
      </c>
      <c r="N4153">
        <v>122957.94999999998</v>
      </c>
      <c r="O4153">
        <v>117.89</v>
      </c>
    </row>
    <row r="4154" spans="1:15" x14ac:dyDescent="0.35">
      <c r="A4154" t="s">
        <v>4657</v>
      </c>
      <c r="B4154" t="s">
        <v>168</v>
      </c>
      <c r="C4154" t="s">
        <v>1184</v>
      </c>
      <c r="D4154" t="s">
        <v>293</v>
      </c>
      <c r="E4154" t="s">
        <v>294</v>
      </c>
      <c r="F4154" t="s">
        <v>4658</v>
      </c>
      <c r="G4154">
        <v>196</v>
      </c>
      <c r="H4154">
        <v>22922.230000000003</v>
      </c>
      <c r="I4154">
        <v>116.95</v>
      </c>
      <c r="J4154">
        <v>42</v>
      </c>
      <c r="K4154">
        <v>4913.16</v>
      </c>
      <c r="L4154">
        <v>116.98</v>
      </c>
      <c r="M4154">
        <v>238</v>
      </c>
      <c r="N4154">
        <v>27835.390000000003</v>
      </c>
      <c r="O4154">
        <v>116.96</v>
      </c>
    </row>
    <row r="4155" spans="1:15" x14ac:dyDescent="0.35">
      <c r="A4155" t="s">
        <v>4657</v>
      </c>
      <c r="B4155" t="s">
        <v>168</v>
      </c>
      <c r="C4155" t="s">
        <v>1184</v>
      </c>
      <c r="D4155" t="s">
        <v>293</v>
      </c>
      <c r="E4155" t="s">
        <v>296</v>
      </c>
      <c r="F4155" t="s">
        <v>4659</v>
      </c>
      <c r="G4155">
        <v>373</v>
      </c>
      <c r="H4155">
        <v>57409.38</v>
      </c>
      <c r="I4155">
        <v>153.91</v>
      </c>
      <c r="J4155">
        <v>76</v>
      </c>
      <c r="K4155">
        <v>11856.759999999998</v>
      </c>
      <c r="L4155">
        <v>156.01</v>
      </c>
      <c r="M4155">
        <v>449</v>
      </c>
      <c r="N4155">
        <v>69266.14</v>
      </c>
      <c r="O4155">
        <v>154.27000000000001</v>
      </c>
    </row>
    <row r="4156" spans="1:15" x14ac:dyDescent="0.35">
      <c r="A4156" t="s">
        <v>4657</v>
      </c>
      <c r="B4156" t="s">
        <v>168</v>
      </c>
      <c r="C4156" t="s">
        <v>1184</v>
      </c>
      <c r="D4156" t="s">
        <v>293</v>
      </c>
      <c r="E4156" t="s">
        <v>298</v>
      </c>
      <c r="F4156" t="s">
        <v>4660</v>
      </c>
      <c r="G4156">
        <v>152</v>
      </c>
      <c r="H4156">
        <v>28515.200000000001</v>
      </c>
      <c r="I4156">
        <v>187.6</v>
      </c>
      <c r="J4156">
        <v>50</v>
      </c>
      <c r="K4156">
        <v>9421</v>
      </c>
      <c r="L4156">
        <v>188.42</v>
      </c>
      <c r="M4156">
        <v>202</v>
      </c>
      <c r="N4156">
        <v>37936.199999999997</v>
      </c>
      <c r="O4156">
        <v>187.8</v>
      </c>
    </row>
    <row r="4157" spans="1:15" x14ac:dyDescent="0.35">
      <c r="A4157" t="s">
        <v>4657</v>
      </c>
      <c r="B4157" t="s">
        <v>168</v>
      </c>
      <c r="C4157" t="s">
        <v>1184</v>
      </c>
      <c r="D4157" t="s">
        <v>293</v>
      </c>
      <c r="E4157" t="s">
        <v>300</v>
      </c>
      <c r="F4157" t="s">
        <v>4661</v>
      </c>
      <c r="G4157">
        <v>57</v>
      </c>
      <c r="H4157">
        <v>13083.819999999998</v>
      </c>
      <c r="I4157">
        <v>229.54</v>
      </c>
      <c r="J4157">
        <v>8</v>
      </c>
      <c r="K4157">
        <v>1792.24</v>
      </c>
      <c r="L4157">
        <v>224.03</v>
      </c>
      <c r="M4157">
        <v>65</v>
      </c>
      <c r="N4157">
        <v>14876.059999999998</v>
      </c>
      <c r="O4157">
        <v>228.86</v>
      </c>
    </row>
    <row r="4158" spans="1:15" x14ac:dyDescent="0.35">
      <c r="A4158" t="s">
        <v>4657</v>
      </c>
      <c r="B4158" t="s">
        <v>168</v>
      </c>
      <c r="C4158" t="s">
        <v>1184</v>
      </c>
      <c r="D4158" t="s">
        <v>293</v>
      </c>
      <c r="E4158" t="s">
        <v>302</v>
      </c>
      <c r="F4158" t="s">
        <v>4662</v>
      </c>
      <c r="G4158">
        <v>0</v>
      </c>
      <c r="H4158">
        <v>0</v>
      </c>
      <c r="I4158">
        <v>0</v>
      </c>
      <c r="J4158">
        <v>0</v>
      </c>
      <c r="K4158">
        <v>0</v>
      </c>
      <c r="L4158">
        <v>0</v>
      </c>
      <c r="M4158">
        <v>0</v>
      </c>
      <c r="N4158">
        <v>0</v>
      </c>
      <c r="O4158">
        <v>0</v>
      </c>
    </row>
    <row r="4159" spans="1:15" x14ac:dyDescent="0.35">
      <c r="A4159" t="s">
        <v>4657</v>
      </c>
      <c r="B4159" t="s">
        <v>168</v>
      </c>
      <c r="C4159" t="s">
        <v>1184</v>
      </c>
      <c r="D4159" t="s">
        <v>293</v>
      </c>
      <c r="E4159" t="s">
        <v>304</v>
      </c>
      <c r="F4159" t="s">
        <v>4663</v>
      </c>
      <c r="G4159">
        <v>0</v>
      </c>
      <c r="H4159">
        <v>0</v>
      </c>
      <c r="I4159">
        <v>0</v>
      </c>
      <c r="J4159">
        <v>1</v>
      </c>
      <c r="K4159">
        <v>275.39</v>
      </c>
      <c r="L4159">
        <v>275.39</v>
      </c>
      <c r="M4159">
        <v>1</v>
      </c>
      <c r="N4159">
        <v>275.39</v>
      </c>
      <c r="O4159">
        <v>275.39</v>
      </c>
    </row>
    <row r="4160" spans="1:15" x14ac:dyDescent="0.35">
      <c r="A4160" t="s">
        <v>4657</v>
      </c>
      <c r="B4160" t="s">
        <v>168</v>
      </c>
      <c r="C4160" t="s">
        <v>1184</v>
      </c>
      <c r="D4160" t="s">
        <v>293</v>
      </c>
      <c r="E4160" t="s">
        <v>306</v>
      </c>
      <c r="F4160" t="s">
        <v>4664</v>
      </c>
      <c r="G4160">
        <v>0</v>
      </c>
      <c r="H4160">
        <v>0</v>
      </c>
      <c r="I4160">
        <v>0</v>
      </c>
      <c r="J4160">
        <v>0</v>
      </c>
      <c r="K4160">
        <v>0</v>
      </c>
      <c r="L4160">
        <v>0</v>
      </c>
      <c r="M4160">
        <v>0</v>
      </c>
      <c r="N4160">
        <v>0</v>
      </c>
      <c r="O4160">
        <v>0</v>
      </c>
    </row>
    <row r="4161" spans="1:15" x14ac:dyDescent="0.35">
      <c r="A4161" t="s">
        <v>4657</v>
      </c>
      <c r="B4161" t="s">
        <v>168</v>
      </c>
      <c r="C4161" t="s">
        <v>1184</v>
      </c>
      <c r="D4161" t="s">
        <v>293</v>
      </c>
      <c r="E4161" t="s">
        <v>308</v>
      </c>
      <c r="F4161" t="s">
        <v>4665</v>
      </c>
      <c r="G4161">
        <v>0</v>
      </c>
      <c r="H4161">
        <v>0</v>
      </c>
      <c r="I4161">
        <v>0</v>
      </c>
      <c r="J4161">
        <v>0</v>
      </c>
      <c r="K4161">
        <v>0</v>
      </c>
      <c r="L4161">
        <v>0</v>
      </c>
      <c r="M4161">
        <v>0</v>
      </c>
      <c r="N4161">
        <v>0</v>
      </c>
      <c r="O4161">
        <v>0</v>
      </c>
    </row>
    <row r="4162" spans="1:15" x14ac:dyDescent="0.35">
      <c r="A4162" t="s">
        <v>4657</v>
      </c>
      <c r="B4162" t="s">
        <v>168</v>
      </c>
      <c r="C4162" t="s">
        <v>1184</v>
      </c>
      <c r="D4162" t="s">
        <v>293</v>
      </c>
      <c r="E4162" t="s">
        <v>310</v>
      </c>
      <c r="F4162" t="s">
        <v>4666</v>
      </c>
      <c r="G4162">
        <v>778</v>
      </c>
      <c r="H4162">
        <v>121930.62999999999</v>
      </c>
      <c r="I4162">
        <v>156.72</v>
      </c>
      <c r="J4162">
        <v>177</v>
      </c>
      <c r="K4162">
        <v>28258.55</v>
      </c>
      <c r="L4162">
        <v>159.65</v>
      </c>
      <c r="M4162">
        <v>955</v>
      </c>
      <c r="N4162">
        <v>150189.18</v>
      </c>
      <c r="O4162">
        <v>157.27000000000001</v>
      </c>
    </row>
    <row r="4163" spans="1:15" x14ac:dyDescent="0.35">
      <c r="A4163" t="s">
        <v>4657</v>
      </c>
      <c r="B4163" t="s">
        <v>168</v>
      </c>
      <c r="C4163" t="s">
        <v>1184</v>
      </c>
      <c r="D4163" t="s">
        <v>293</v>
      </c>
      <c r="E4163" t="s">
        <v>312</v>
      </c>
      <c r="F4163" t="s">
        <v>4667</v>
      </c>
      <c r="G4163">
        <v>778</v>
      </c>
      <c r="H4163">
        <v>121930.62999999999</v>
      </c>
      <c r="I4163">
        <v>156.72</v>
      </c>
      <c r="J4163">
        <v>177</v>
      </c>
      <c r="K4163">
        <v>28258.55</v>
      </c>
      <c r="L4163">
        <v>159.65</v>
      </c>
      <c r="M4163">
        <v>955</v>
      </c>
      <c r="N4163">
        <v>150189.18</v>
      </c>
      <c r="O4163">
        <v>157.27000000000001</v>
      </c>
    </row>
    <row r="4164" spans="1:15" x14ac:dyDescent="0.35">
      <c r="A4164" t="s">
        <v>4657</v>
      </c>
      <c r="B4164" t="s">
        <v>168</v>
      </c>
      <c r="C4164" t="s">
        <v>1184</v>
      </c>
      <c r="D4164" t="s">
        <v>314</v>
      </c>
      <c r="E4164" t="s">
        <v>294</v>
      </c>
      <c r="F4164" t="s">
        <v>4668</v>
      </c>
      <c r="G4164">
        <v>0</v>
      </c>
      <c r="H4164">
        <v>0</v>
      </c>
      <c r="I4164">
        <v>0</v>
      </c>
      <c r="J4164">
        <v>20</v>
      </c>
      <c r="K4164">
        <v>2302.6</v>
      </c>
      <c r="L4164">
        <v>115.13</v>
      </c>
      <c r="M4164">
        <v>20</v>
      </c>
      <c r="N4164">
        <v>2302.6</v>
      </c>
      <c r="O4164">
        <v>115.13</v>
      </c>
    </row>
    <row r="4165" spans="1:15" x14ac:dyDescent="0.35">
      <c r="A4165" t="s">
        <v>4657</v>
      </c>
      <c r="B4165" t="s">
        <v>168</v>
      </c>
      <c r="C4165" t="s">
        <v>1184</v>
      </c>
      <c r="D4165" t="s">
        <v>314</v>
      </c>
      <c r="E4165" t="s">
        <v>296</v>
      </c>
      <c r="F4165" t="s">
        <v>4669</v>
      </c>
      <c r="G4165">
        <v>0</v>
      </c>
      <c r="H4165">
        <v>0</v>
      </c>
      <c r="I4165">
        <v>0</v>
      </c>
      <c r="J4165">
        <v>6</v>
      </c>
      <c r="K4165">
        <v>956.69999999999993</v>
      </c>
      <c r="L4165">
        <v>159.44999999999999</v>
      </c>
      <c r="M4165">
        <v>6</v>
      </c>
      <c r="N4165">
        <v>956.69999999999993</v>
      </c>
      <c r="O4165">
        <v>159.44999999999999</v>
      </c>
    </row>
    <row r="4166" spans="1:15" x14ac:dyDescent="0.35">
      <c r="A4166" t="s">
        <v>4657</v>
      </c>
      <c r="B4166" t="s">
        <v>168</v>
      </c>
      <c r="C4166" t="s">
        <v>1184</v>
      </c>
      <c r="D4166" t="s">
        <v>314</v>
      </c>
      <c r="E4166" t="s">
        <v>298</v>
      </c>
      <c r="F4166" t="s">
        <v>4670</v>
      </c>
      <c r="G4166">
        <v>0</v>
      </c>
      <c r="H4166">
        <v>0</v>
      </c>
      <c r="I4166">
        <v>0</v>
      </c>
      <c r="J4166">
        <v>0</v>
      </c>
      <c r="K4166">
        <v>0</v>
      </c>
      <c r="L4166">
        <v>0</v>
      </c>
      <c r="M4166">
        <v>0</v>
      </c>
      <c r="N4166">
        <v>0</v>
      </c>
      <c r="O4166">
        <v>0</v>
      </c>
    </row>
    <row r="4167" spans="1:15" x14ac:dyDescent="0.35">
      <c r="A4167" t="s">
        <v>4657</v>
      </c>
      <c r="B4167" t="s">
        <v>168</v>
      </c>
      <c r="C4167" t="s">
        <v>1184</v>
      </c>
      <c r="D4167" t="s">
        <v>314</v>
      </c>
      <c r="E4167" t="s">
        <v>300</v>
      </c>
      <c r="F4167" t="s">
        <v>4671</v>
      </c>
      <c r="G4167">
        <v>0</v>
      </c>
      <c r="H4167">
        <v>0</v>
      </c>
      <c r="I4167">
        <v>0</v>
      </c>
      <c r="J4167">
        <v>0</v>
      </c>
      <c r="K4167">
        <v>0</v>
      </c>
      <c r="L4167">
        <v>0</v>
      </c>
      <c r="M4167">
        <v>0</v>
      </c>
      <c r="N4167">
        <v>0</v>
      </c>
      <c r="O4167">
        <v>0</v>
      </c>
    </row>
    <row r="4168" spans="1:15" x14ac:dyDescent="0.35">
      <c r="A4168" t="s">
        <v>4657</v>
      </c>
      <c r="B4168" t="s">
        <v>168</v>
      </c>
      <c r="C4168" t="s">
        <v>1184</v>
      </c>
      <c r="D4168" t="s">
        <v>314</v>
      </c>
      <c r="E4168" t="s">
        <v>306</v>
      </c>
      <c r="F4168" t="s">
        <v>4672</v>
      </c>
      <c r="G4168">
        <v>0</v>
      </c>
      <c r="H4168">
        <v>0</v>
      </c>
      <c r="I4168">
        <v>0</v>
      </c>
      <c r="J4168">
        <v>0</v>
      </c>
      <c r="K4168">
        <v>0</v>
      </c>
      <c r="L4168">
        <v>0</v>
      </c>
      <c r="M4168">
        <v>0</v>
      </c>
      <c r="N4168">
        <v>0</v>
      </c>
      <c r="O4168">
        <v>0</v>
      </c>
    </row>
    <row r="4169" spans="1:15" x14ac:dyDescent="0.35">
      <c r="A4169" t="s">
        <v>4657</v>
      </c>
      <c r="B4169" t="s">
        <v>168</v>
      </c>
      <c r="C4169" t="s">
        <v>1184</v>
      </c>
      <c r="D4169" t="s">
        <v>314</v>
      </c>
      <c r="E4169" t="s">
        <v>308</v>
      </c>
      <c r="F4169" t="s">
        <v>4673</v>
      </c>
      <c r="G4169">
        <v>0</v>
      </c>
      <c r="H4169">
        <v>0</v>
      </c>
      <c r="I4169">
        <v>0</v>
      </c>
      <c r="J4169">
        <v>0</v>
      </c>
      <c r="K4169">
        <v>0</v>
      </c>
      <c r="L4169">
        <v>0</v>
      </c>
      <c r="M4169">
        <v>0</v>
      </c>
      <c r="N4169">
        <v>0</v>
      </c>
      <c r="O4169">
        <v>0</v>
      </c>
    </row>
    <row r="4170" spans="1:15" x14ac:dyDescent="0.35">
      <c r="A4170" t="s">
        <v>4657</v>
      </c>
      <c r="B4170" t="s">
        <v>168</v>
      </c>
      <c r="C4170" t="s">
        <v>1184</v>
      </c>
      <c r="D4170" t="s">
        <v>314</v>
      </c>
      <c r="E4170" t="s">
        <v>312</v>
      </c>
      <c r="F4170" t="s">
        <v>4674</v>
      </c>
      <c r="G4170">
        <v>0</v>
      </c>
      <c r="H4170">
        <v>0</v>
      </c>
      <c r="I4170">
        <v>0</v>
      </c>
      <c r="J4170">
        <v>26</v>
      </c>
      <c r="K4170">
        <v>3259.2999999999997</v>
      </c>
      <c r="L4170">
        <v>125.36</v>
      </c>
      <c r="M4170">
        <v>26</v>
      </c>
      <c r="N4170">
        <v>3259.2999999999997</v>
      </c>
      <c r="O4170">
        <v>125.36</v>
      </c>
    </row>
    <row r="4171" spans="1:15" x14ac:dyDescent="0.35">
      <c r="A4171" t="s">
        <v>4657</v>
      </c>
      <c r="B4171" t="s">
        <v>168</v>
      </c>
      <c r="C4171" t="s">
        <v>1184</v>
      </c>
      <c r="D4171" t="s">
        <v>314</v>
      </c>
      <c r="E4171" t="s">
        <v>310</v>
      </c>
      <c r="F4171" t="s">
        <v>4675</v>
      </c>
      <c r="G4171">
        <v>0</v>
      </c>
      <c r="H4171">
        <v>0</v>
      </c>
      <c r="I4171">
        <v>0</v>
      </c>
      <c r="J4171">
        <v>26</v>
      </c>
      <c r="K4171">
        <v>3259.2999999999997</v>
      </c>
      <c r="L4171">
        <v>125.36</v>
      </c>
      <c r="M4171">
        <v>26</v>
      </c>
      <c r="N4171">
        <v>3259.2999999999997</v>
      </c>
      <c r="O4171">
        <v>125.36</v>
      </c>
    </row>
    <row r="4172" spans="1:15" x14ac:dyDescent="0.35">
      <c r="A4172" t="s">
        <v>4657</v>
      </c>
      <c r="B4172" t="s">
        <v>168</v>
      </c>
      <c r="C4172" t="s">
        <v>1184</v>
      </c>
      <c r="D4172" t="s">
        <v>323</v>
      </c>
      <c r="E4172" t="s">
        <v>294</v>
      </c>
      <c r="F4172" t="s">
        <v>4676</v>
      </c>
      <c r="G4172">
        <v>142</v>
      </c>
      <c r="H4172">
        <v>14365.61</v>
      </c>
      <c r="I4172">
        <v>101.17</v>
      </c>
      <c r="J4172">
        <v>942</v>
      </c>
      <c r="K4172">
        <v>85053.180000000008</v>
      </c>
      <c r="L4172">
        <v>90.29</v>
      </c>
      <c r="M4172">
        <v>1084</v>
      </c>
      <c r="N4172">
        <v>99418.790000000008</v>
      </c>
      <c r="O4172">
        <v>91.71</v>
      </c>
    </row>
    <row r="4173" spans="1:15" x14ac:dyDescent="0.35">
      <c r="A4173" t="s">
        <v>4657</v>
      </c>
      <c r="B4173" t="s">
        <v>168</v>
      </c>
      <c r="C4173" t="s">
        <v>1184</v>
      </c>
      <c r="D4173" t="s">
        <v>323</v>
      </c>
      <c r="E4173" t="s">
        <v>296</v>
      </c>
      <c r="F4173" t="s">
        <v>4677</v>
      </c>
      <c r="G4173">
        <v>605</v>
      </c>
      <c r="H4173">
        <v>71400.069999999992</v>
      </c>
      <c r="I4173">
        <v>118.02</v>
      </c>
      <c r="J4173">
        <v>1481</v>
      </c>
      <c r="K4173">
        <v>151920.98000000001</v>
      </c>
      <c r="L4173">
        <v>102.58</v>
      </c>
      <c r="M4173">
        <v>2086</v>
      </c>
      <c r="N4173">
        <v>223321.05</v>
      </c>
      <c r="O4173">
        <v>107.06</v>
      </c>
    </row>
    <row r="4174" spans="1:15" x14ac:dyDescent="0.35">
      <c r="A4174" t="s">
        <v>4657</v>
      </c>
      <c r="B4174" t="s">
        <v>168</v>
      </c>
      <c r="C4174" t="s">
        <v>1184</v>
      </c>
      <c r="D4174" t="s">
        <v>323</v>
      </c>
      <c r="E4174" t="s">
        <v>298</v>
      </c>
      <c r="F4174" t="s">
        <v>4678</v>
      </c>
      <c r="G4174">
        <v>313</v>
      </c>
      <c r="H4174">
        <v>42218.920000000006</v>
      </c>
      <c r="I4174">
        <v>134.88</v>
      </c>
      <c r="J4174">
        <v>1518</v>
      </c>
      <c r="K4174">
        <v>169940.1</v>
      </c>
      <c r="L4174">
        <v>111.95</v>
      </c>
      <c r="M4174">
        <v>1831</v>
      </c>
      <c r="N4174">
        <v>212159.02000000002</v>
      </c>
      <c r="O4174">
        <v>115.87</v>
      </c>
    </row>
    <row r="4175" spans="1:15" x14ac:dyDescent="0.35">
      <c r="A4175" t="s">
        <v>4657</v>
      </c>
      <c r="B4175" t="s">
        <v>168</v>
      </c>
      <c r="C4175" t="s">
        <v>1184</v>
      </c>
      <c r="D4175" t="s">
        <v>323</v>
      </c>
      <c r="E4175" t="s">
        <v>300</v>
      </c>
      <c r="F4175" t="s">
        <v>4679</v>
      </c>
      <c r="G4175">
        <v>60</v>
      </c>
      <c r="H4175">
        <v>9282.1099999999988</v>
      </c>
      <c r="I4175">
        <v>154.69999999999999</v>
      </c>
      <c r="J4175">
        <v>66</v>
      </c>
      <c r="K4175">
        <v>8225.58</v>
      </c>
      <c r="L4175">
        <v>124.63</v>
      </c>
      <c r="M4175">
        <v>126</v>
      </c>
      <c r="N4175">
        <v>17507.689999999999</v>
      </c>
      <c r="O4175">
        <v>138.94999999999999</v>
      </c>
    </row>
    <row r="4176" spans="1:15" x14ac:dyDescent="0.35">
      <c r="A4176" t="s">
        <v>4657</v>
      </c>
      <c r="B4176" t="s">
        <v>168</v>
      </c>
      <c r="C4176" t="s">
        <v>1184</v>
      </c>
      <c r="D4176" t="s">
        <v>323</v>
      </c>
      <c r="E4176" t="s">
        <v>302</v>
      </c>
      <c r="F4176" t="s">
        <v>4680</v>
      </c>
      <c r="G4176">
        <v>4</v>
      </c>
      <c r="H4176">
        <v>678.76</v>
      </c>
      <c r="I4176">
        <v>169.69</v>
      </c>
      <c r="J4176">
        <v>1</v>
      </c>
      <c r="K4176">
        <v>124.38</v>
      </c>
      <c r="L4176">
        <v>124.38</v>
      </c>
      <c r="M4176">
        <v>5</v>
      </c>
      <c r="N4176">
        <v>803.14</v>
      </c>
      <c r="O4176">
        <v>160.63</v>
      </c>
    </row>
    <row r="4177" spans="1:15" x14ac:dyDescent="0.35">
      <c r="A4177" t="s">
        <v>4657</v>
      </c>
      <c r="B4177" t="s">
        <v>168</v>
      </c>
      <c r="C4177" t="s">
        <v>1184</v>
      </c>
      <c r="D4177" t="s">
        <v>323</v>
      </c>
      <c r="E4177" t="s">
        <v>304</v>
      </c>
      <c r="F4177" t="s">
        <v>4681</v>
      </c>
      <c r="G4177">
        <v>0</v>
      </c>
      <c r="H4177">
        <v>0</v>
      </c>
      <c r="I4177">
        <v>0</v>
      </c>
      <c r="J4177">
        <v>1</v>
      </c>
      <c r="K4177">
        <v>153.74</v>
      </c>
      <c r="L4177">
        <v>153.74</v>
      </c>
      <c r="M4177">
        <v>1</v>
      </c>
      <c r="N4177">
        <v>153.74</v>
      </c>
      <c r="O4177">
        <v>153.74</v>
      </c>
    </row>
    <row r="4178" spans="1:15" x14ac:dyDescent="0.35">
      <c r="A4178" t="s">
        <v>4657</v>
      </c>
      <c r="B4178" t="s">
        <v>168</v>
      </c>
      <c r="C4178" t="s">
        <v>1184</v>
      </c>
      <c r="D4178" t="s">
        <v>323</v>
      </c>
      <c r="E4178" t="s">
        <v>306</v>
      </c>
      <c r="F4178" t="s">
        <v>4682</v>
      </c>
      <c r="G4178">
        <v>0</v>
      </c>
      <c r="H4178">
        <v>0</v>
      </c>
      <c r="I4178">
        <v>0</v>
      </c>
      <c r="J4178">
        <v>28</v>
      </c>
      <c r="K4178">
        <v>2234.1200000000003</v>
      </c>
      <c r="L4178">
        <v>79.790000000000006</v>
      </c>
      <c r="M4178">
        <v>28</v>
      </c>
      <c r="N4178">
        <v>2234.1200000000003</v>
      </c>
      <c r="O4178">
        <v>79.790000000000006</v>
      </c>
    </row>
    <row r="4179" spans="1:15" x14ac:dyDescent="0.35">
      <c r="A4179" t="s">
        <v>4657</v>
      </c>
      <c r="B4179" t="s">
        <v>168</v>
      </c>
      <c r="C4179" t="s">
        <v>1184</v>
      </c>
      <c r="D4179" t="s">
        <v>323</v>
      </c>
      <c r="E4179" t="s">
        <v>308</v>
      </c>
      <c r="F4179" t="s">
        <v>4683</v>
      </c>
      <c r="G4179">
        <v>4</v>
      </c>
      <c r="H4179">
        <v>344.08</v>
      </c>
      <c r="I4179">
        <v>86.02</v>
      </c>
      <c r="J4179">
        <v>0</v>
      </c>
      <c r="K4179">
        <v>0</v>
      </c>
      <c r="L4179">
        <v>0</v>
      </c>
      <c r="M4179">
        <v>4</v>
      </c>
      <c r="N4179">
        <v>344.08</v>
      </c>
      <c r="O4179">
        <v>86.02</v>
      </c>
    </row>
    <row r="4180" spans="1:15" x14ac:dyDescent="0.35">
      <c r="A4180" t="s">
        <v>4657</v>
      </c>
      <c r="B4180" t="s">
        <v>168</v>
      </c>
      <c r="C4180" t="s">
        <v>1184</v>
      </c>
      <c r="D4180" t="s">
        <v>323</v>
      </c>
      <c r="E4180" t="s">
        <v>310</v>
      </c>
      <c r="F4180" t="s">
        <v>4684</v>
      </c>
      <c r="G4180">
        <v>1128</v>
      </c>
      <c r="H4180">
        <v>138289.54999999999</v>
      </c>
      <c r="I4180">
        <v>122.6</v>
      </c>
      <c r="J4180">
        <v>4037</v>
      </c>
      <c r="K4180">
        <v>417652.08</v>
      </c>
      <c r="L4180">
        <v>103.46</v>
      </c>
      <c r="M4180">
        <v>5165</v>
      </c>
      <c r="N4180">
        <v>555941.63</v>
      </c>
      <c r="O4180">
        <v>107.64</v>
      </c>
    </row>
    <row r="4181" spans="1:15" x14ac:dyDescent="0.35">
      <c r="A4181" t="s">
        <v>4657</v>
      </c>
      <c r="B4181" t="s">
        <v>168</v>
      </c>
      <c r="C4181" t="s">
        <v>1184</v>
      </c>
      <c r="D4181" t="s">
        <v>323</v>
      </c>
      <c r="E4181" t="s">
        <v>312</v>
      </c>
      <c r="F4181" t="s">
        <v>4685</v>
      </c>
      <c r="G4181">
        <v>1124</v>
      </c>
      <c r="H4181">
        <v>137945.47</v>
      </c>
      <c r="I4181">
        <v>122.73</v>
      </c>
      <c r="J4181">
        <v>4037</v>
      </c>
      <c r="K4181">
        <v>417652.08</v>
      </c>
      <c r="L4181">
        <v>103.46</v>
      </c>
      <c r="M4181">
        <v>5161</v>
      </c>
      <c r="N4181">
        <v>555597.55000000005</v>
      </c>
      <c r="O4181">
        <v>107.65</v>
      </c>
    </row>
    <row r="4182" spans="1:15" x14ac:dyDescent="0.35">
      <c r="A4182" t="s">
        <v>4657</v>
      </c>
      <c r="B4182" t="s">
        <v>168</v>
      </c>
      <c r="C4182" t="s">
        <v>1184</v>
      </c>
      <c r="D4182" t="s">
        <v>334</v>
      </c>
      <c r="E4182" t="s">
        <v>312</v>
      </c>
      <c r="F4182" t="s">
        <v>4686</v>
      </c>
      <c r="G4182">
        <v>1967</v>
      </c>
      <c r="H4182">
        <v>259876.1</v>
      </c>
      <c r="I4182">
        <v>136.63</v>
      </c>
      <c r="J4182">
        <v>4214</v>
      </c>
      <c r="K4182">
        <v>445910.63000000006</v>
      </c>
      <c r="L4182">
        <v>105.82</v>
      </c>
      <c r="M4182">
        <v>6181</v>
      </c>
      <c r="N4182">
        <v>705786.7300000001</v>
      </c>
      <c r="O4182">
        <v>115.4</v>
      </c>
    </row>
    <row r="4183" spans="1:15" x14ac:dyDescent="0.35">
      <c r="A4183" t="s">
        <v>4657</v>
      </c>
      <c r="B4183" t="s">
        <v>168</v>
      </c>
      <c r="C4183" t="s">
        <v>1184</v>
      </c>
      <c r="D4183" t="s">
        <v>334</v>
      </c>
      <c r="E4183" t="s">
        <v>308</v>
      </c>
      <c r="F4183" t="s">
        <v>4687</v>
      </c>
      <c r="G4183">
        <v>4</v>
      </c>
      <c r="H4183">
        <v>344.08</v>
      </c>
      <c r="I4183">
        <v>86.02</v>
      </c>
      <c r="J4183">
        <v>0</v>
      </c>
      <c r="K4183">
        <v>0</v>
      </c>
      <c r="L4183">
        <v>0</v>
      </c>
      <c r="M4183">
        <v>4</v>
      </c>
      <c r="N4183">
        <v>344.08</v>
      </c>
      <c r="O4183">
        <v>86.02</v>
      </c>
    </row>
    <row r="4184" spans="1:15" x14ac:dyDescent="0.35">
      <c r="A4184" t="s">
        <v>4657</v>
      </c>
      <c r="B4184" t="s">
        <v>168</v>
      </c>
      <c r="C4184" t="s">
        <v>1184</v>
      </c>
      <c r="D4184" t="s">
        <v>337</v>
      </c>
      <c r="E4184" t="s">
        <v>337</v>
      </c>
      <c r="F4184" t="s">
        <v>4688</v>
      </c>
      <c r="G4184">
        <v>959</v>
      </c>
      <c r="J4184">
        <v>44</v>
      </c>
      <c r="M4184">
        <v>1003</v>
      </c>
    </row>
    <row r="4185" spans="1:15" x14ac:dyDescent="0.35">
      <c r="A4185" t="s">
        <v>4657</v>
      </c>
      <c r="B4185" t="s">
        <v>168</v>
      </c>
      <c r="C4185" t="s">
        <v>1184</v>
      </c>
      <c r="D4185" t="s">
        <v>339</v>
      </c>
      <c r="E4185" t="s">
        <v>294</v>
      </c>
      <c r="F4185" t="s">
        <v>4689</v>
      </c>
      <c r="G4185">
        <v>156</v>
      </c>
      <c r="H4185">
        <v>18957.260000000002</v>
      </c>
      <c r="I4185">
        <v>121.52</v>
      </c>
      <c r="J4185">
        <v>556</v>
      </c>
      <c r="K4185">
        <v>50095.6</v>
      </c>
      <c r="L4185">
        <v>90.1</v>
      </c>
      <c r="M4185">
        <v>712</v>
      </c>
      <c r="N4185">
        <v>69052.86</v>
      </c>
      <c r="O4185">
        <v>96.98</v>
      </c>
    </row>
    <row r="4186" spans="1:15" x14ac:dyDescent="0.35">
      <c r="A4186" t="s">
        <v>4657</v>
      </c>
      <c r="B4186" t="s">
        <v>168</v>
      </c>
      <c r="C4186" t="s">
        <v>1184</v>
      </c>
      <c r="D4186" t="s">
        <v>339</v>
      </c>
      <c r="E4186" t="s">
        <v>296</v>
      </c>
      <c r="F4186" t="s">
        <v>4690</v>
      </c>
      <c r="G4186">
        <v>16</v>
      </c>
      <c r="H4186">
        <v>1974.5700000000002</v>
      </c>
      <c r="I4186">
        <v>123.41</v>
      </c>
      <c r="J4186">
        <v>65</v>
      </c>
      <c r="K4186">
        <v>6449.3</v>
      </c>
      <c r="L4186">
        <v>99.22</v>
      </c>
      <c r="M4186">
        <v>81</v>
      </c>
      <c r="N4186">
        <v>8423.8700000000008</v>
      </c>
      <c r="O4186">
        <v>104</v>
      </c>
    </row>
    <row r="4187" spans="1:15" x14ac:dyDescent="0.35">
      <c r="A4187" t="s">
        <v>4657</v>
      </c>
      <c r="B4187" t="s">
        <v>168</v>
      </c>
      <c r="C4187" t="s">
        <v>1184</v>
      </c>
      <c r="D4187" t="s">
        <v>339</v>
      </c>
      <c r="E4187" t="s">
        <v>298</v>
      </c>
      <c r="F4187" t="s">
        <v>4691</v>
      </c>
      <c r="G4187">
        <v>3</v>
      </c>
      <c r="H4187">
        <v>493.83000000000004</v>
      </c>
      <c r="I4187">
        <v>164.61</v>
      </c>
      <c r="J4187">
        <v>0</v>
      </c>
      <c r="K4187">
        <v>0</v>
      </c>
      <c r="L4187">
        <v>0</v>
      </c>
      <c r="M4187">
        <v>3</v>
      </c>
      <c r="N4187">
        <v>493.83000000000004</v>
      </c>
      <c r="O4187">
        <v>164.61</v>
      </c>
    </row>
    <row r="4188" spans="1:15" x14ac:dyDescent="0.35">
      <c r="A4188" t="s">
        <v>4657</v>
      </c>
      <c r="B4188" t="s">
        <v>168</v>
      </c>
      <c r="C4188" t="s">
        <v>1184</v>
      </c>
      <c r="D4188" t="s">
        <v>339</v>
      </c>
      <c r="E4188" t="s">
        <v>300</v>
      </c>
      <c r="F4188" t="s">
        <v>4692</v>
      </c>
      <c r="G4188">
        <v>0</v>
      </c>
      <c r="H4188">
        <v>0</v>
      </c>
      <c r="I4188">
        <v>0</v>
      </c>
      <c r="J4188">
        <v>0</v>
      </c>
      <c r="K4188">
        <v>0</v>
      </c>
      <c r="L4188">
        <v>0</v>
      </c>
      <c r="M4188">
        <v>0</v>
      </c>
      <c r="N4188">
        <v>0</v>
      </c>
      <c r="O4188">
        <v>0</v>
      </c>
    </row>
    <row r="4189" spans="1:15" x14ac:dyDescent="0.35">
      <c r="A4189" t="s">
        <v>4657</v>
      </c>
      <c r="B4189" t="s">
        <v>168</v>
      </c>
      <c r="C4189" t="s">
        <v>1184</v>
      </c>
      <c r="D4189" t="s">
        <v>339</v>
      </c>
      <c r="E4189" t="s">
        <v>306</v>
      </c>
      <c r="F4189" t="s">
        <v>4693</v>
      </c>
      <c r="G4189">
        <v>0</v>
      </c>
      <c r="H4189">
        <v>0</v>
      </c>
      <c r="I4189">
        <v>0</v>
      </c>
      <c r="J4189">
        <v>84</v>
      </c>
      <c r="K4189">
        <v>6833.4</v>
      </c>
      <c r="L4189">
        <v>81.349999999999994</v>
      </c>
      <c r="M4189">
        <v>84</v>
      </c>
      <c r="N4189">
        <v>6833.4</v>
      </c>
      <c r="O4189">
        <v>81.349999999999994</v>
      </c>
    </row>
    <row r="4190" spans="1:15" x14ac:dyDescent="0.35">
      <c r="A4190" t="s">
        <v>4657</v>
      </c>
      <c r="B4190" t="s">
        <v>168</v>
      </c>
      <c r="C4190" t="s">
        <v>1184</v>
      </c>
      <c r="D4190" t="s">
        <v>339</v>
      </c>
      <c r="E4190" t="s">
        <v>308</v>
      </c>
      <c r="F4190" t="s">
        <v>4694</v>
      </c>
      <c r="G4190">
        <v>51</v>
      </c>
      <c r="H4190">
        <v>6188.2899999999991</v>
      </c>
      <c r="I4190">
        <v>121.34</v>
      </c>
      <c r="J4190">
        <v>0</v>
      </c>
      <c r="K4190">
        <v>0</v>
      </c>
      <c r="L4190">
        <v>0</v>
      </c>
      <c r="M4190">
        <v>51</v>
      </c>
      <c r="N4190">
        <v>6188.2899999999991</v>
      </c>
      <c r="O4190">
        <v>121.34</v>
      </c>
    </row>
    <row r="4191" spans="1:15" x14ac:dyDescent="0.35">
      <c r="A4191" t="s">
        <v>4657</v>
      </c>
      <c r="B4191" t="s">
        <v>168</v>
      </c>
      <c r="C4191" t="s">
        <v>1184</v>
      </c>
      <c r="D4191" t="s">
        <v>339</v>
      </c>
      <c r="E4191" t="s">
        <v>310</v>
      </c>
      <c r="F4191" t="s">
        <v>4695</v>
      </c>
      <c r="G4191">
        <v>226</v>
      </c>
      <c r="H4191">
        <v>27613.950000000004</v>
      </c>
      <c r="I4191">
        <v>122.19</v>
      </c>
      <c r="J4191">
        <v>705</v>
      </c>
      <c r="K4191">
        <v>63378.3</v>
      </c>
      <c r="L4191">
        <v>89.9</v>
      </c>
      <c r="M4191">
        <v>931</v>
      </c>
      <c r="N4191">
        <v>90992.25</v>
      </c>
      <c r="O4191">
        <v>97.74</v>
      </c>
    </row>
    <row r="4192" spans="1:15" x14ac:dyDescent="0.35">
      <c r="A4192" t="s">
        <v>4657</v>
      </c>
      <c r="B4192" t="s">
        <v>168</v>
      </c>
      <c r="C4192" t="s">
        <v>1184</v>
      </c>
      <c r="D4192" t="s">
        <v>339</v>
      </c>
      <c r="E4192" t="s">
        <v>312</v>
      </c>
      <c r="F4192" t="s">
        <v>4696</v>
      </c>
      <c r="G4192">
        <v>175</v>
      </c>
      <c r="H4192">
        <v>21425.660000000003</v>
      </c>
      <c r="I4192">
        <v>122.43</v>
      </c>
      <c r="J4192">
        <v>705</v>
      </c>
      <c r="K4192">
        <v>63378.3</v>
      </c>
      <c r="L4192">
        <v>89.9</v>
      </c>
      <c r="M4192">
        <v>880</v>
      </c>
      <c r="N4192">
        <v>84803.96</v>
      </c>
      <c r="O4192">
        <v>96.37</v>
      </c>
    </row>
    <row r="4193" spans="1:15" x14ac:dyDescent="0.35">
      <c r="A4193" t="s">
        <v>4657</v>
      </c>
      <c r="B4193" t="s">
        <v>168</v>
      </c>
      <c r="C4193" t="s">
        <v>1184</v>
      </c>
      <c r="D4193" t="s">
        <v>348</v>
      </c>
      <c r="E4193" t="s">
        <v>349</v>
      </c>
      <c r="F4193" t="s">
        <v>4697</v>
      </c>
      <c r="G4193">
        <v>283</v>
      </c>
      <c r="H4193">
        <v>27613.950000000004</v>
      </c>
      <c r="I4193">
        <v>122.19</v>
      </c>
      <c r="J4193">
        <v>731</v>
      </c>
      <c r="K4193">
        <v>66637.600000000006</v>
      </c>
      <c r="L4193">
        <v>91.16</v>
      </c>
      <c r="M4193">
        <v>1014</v>
      </c>
      <c r="N4193">
        <v>94251.550000000017</v>
      </c>
      <c r="O4193">
        <v>98.49</v>
      </c>
    </row>
    <row r="4194" spans="1:15" x14ac:dyDescent="0.35">
      <c r="A4194" t="s">
        <v>4698</v>
      </c>
      <c r="B4194" t="s">
        <v>181</v>
      </c>
      <c r="C4194" t="s">
        <v>1184</v>
      </c>
      <c r="D4194" t="s">
        <v>293</v>
      </c>
      <c r="E4194" t="s">
        <v>294</v>
      </c>
      <c r="F4194" t="s">
        <v>4699</v>
      </c>
      <c r="G4194">
        <v>441</v>
      </c>
      <c r="H4194">
        <v>54433.32</v>
      </c>
      <c r="I4194">
        <v>123.43</v>
      </c>
      <c r="J4194">
        <v>0</v>
      </c>
      <c r="K4194">
        <v>0</v>
      </c>
      <c r="L4194">
        <v>0</v>
      </c>
      <c r="M4194">
        <v>441</v>
      </c>
      <c r="N4194">
        <v>54433.32</v>
      </c>
      <c r="O4194">
        <v>123.43</v>
      </c>
    </row>
    <row r="4195" spans="1:15" x14ac:dyDescent="0.35">
      <c r="A4195" t="s">
        <v>4698</v>
      </c>
      <c r="B4195" t="s">
        <v>181</v>
      </c>
      <c r="C4195" t="s">
        <v>1184</v>
      </c>
      <c r="D4195" t="s">
        <v>293</v>
      </c>
      <c r="E4195" t="s">
        <v>296</v>
      </c>
      <c r="F4195" t="s">
        <v>4700</v>
      </c>
      <c r="G4195">
        <v>635</v>
      </c>
      <c r="H4195">
        <v>103469.47999999998</v>
      </c>
      <c r="I4195">
        <v>162.94</v>
      </c>
      <c r="J4195">
        <v>0</v>
      </c>
      <c r="K4195">
        <v>0</v>
      </c>
      <c r="L4195">
        <v>0</v>
      </c>
      <c r="M4195">
        <v>635</v>
      </c>
      <c r="N4195">
        <v>103469.47999999998</v>
      </c>
      <c r="O4195">
        <v>162.94</v>
      </c>
    </row>
    <row r="4196" spans="1:15" x14ac:dyDescent="0.35">
      <c r="A4196" t="s">
        <v>4698</v>
      </c>
      <c r="B4196" t="s">
        <v>181</v>
      </c>
      <c r="C4196" t="s">
        <v>1184</v>
      </c>
      <c r="D4196" t="s">
        <v>293</v>
      </c>
      <c r="E4196" t="s">
        <v>298</v>
      </c>
      <c r="F4196" t="s">
        <v>4701</v>
      </c>
      <c r="G4196">
        <v>371</v>
      </c>
      <c r="H4196">
        <v>73491.87</v>
      </c>
      <c r="I4196">
        <v>198.09</v>
      </c>
      <c r="J4196">
        <v>0</v>
      </c>
      <c r="K4196">
        <v>0</v>
      </c>
      <c r="L4196">
        <v>0</v>
      </c>
      <c r="M4196">
        <v>371</v>
      </c>
      <c r="N4196">
        <v>73491.87</v>
      </c>
      <c r="O4196">
        <v>198.09</v>
      </c>
    </row>
    <row r="4197" spans="1:15" x14ac:dyDescent="0.35">
      <c r="A4197" t="s">
        <v>4698</v>
      </c>
      <c r="B4197" t="s">
        <v>181</v>
      </c>
      <c r="C4197" t="s">
        <v>1184</v>
      </c>
      <c r="D4197" t="s">
        <v>293</v>
      </c>
      <c r="E4197" t="s">
        <v>300</v>
      </c>
      <c r="F4197" t="s">
        <v>4702</v>
      </c>
      <c r="G4197">
        <v>114</v>
      </c>
      <c r="H4197">
        <v>27679.829999999998</v>
      </c>
      <c r="I4197">
        <v>242.81</v>
      </c>
      <c r="J4197">
        <v>0</v>
      </c>
      <c r="K4197">
        <v>0</v>
      </c>
      <c r="L4197">
        <v>0</v>
      </c>
      <c r="M4197">
        <v>114</v>
      </c>
      <c r="N4197">
        <v>27679.829999999998</v>
      </c>
      <c r="O4197">
        <v>242.81</v>
      </c>
    </row>
    <row r="4198" spans="1:15" x14ac:dyDescent="0.35">
      <c r="A4198" t="s">
        <v>4698</v>
      </c>
      <c r="B4198" t="s">
        <v>181</v>
      </c>
      <c r="C4198" t="s">
        <v>1184</v>
      </c>
      <c r="D4198" t="s">
        <v>293</v>
      </c>
      <c r="E4198" t="s">
        <v>302</v>
      </c>
      <c r="F4198" t="s">
        <v>4703</v>
      </c>
      <c r="G4198">
        <v>2</v>
      </c>
      <c r="H4198">
        <v>526.27</v>
      </c>
      <c r="I4198">
        <v>263.14</v>
      </c>
      <c r="J4198">
        <v>0</v>
      </c>
      <c r="K4198">
        <v>0</v>
      </c>
      <c r="L4198">
        <v>0</v>
      </c>
      <c r="M4198">
        <v>2</v>
      </c>
      <c r="N4198">
        <v>526.27</v>
      </c>
      <c r="O4198">
        <v>263.14</v>
      </c>
    </row>
    <row r="4199" spans="1:15" x14ac:dyDescent="0.35">
      <c r="A4199" t="s">
        <v>4698</v>
      </c>
      <c r="B4199" t="s">
        <v>181</v>
      </c>
      <c r="C4199" t="s">
        <v>1184</v>
      </c>
      <c r="D4199" t="s">
        <v>293</v>
      </c>
      <c r="E4199" t="s">
        <v>304</v>
      </c>
      <c r="F4199" t="s">
        <v>4704</v>
      </c>
      <c r="G4199">
        <v>1</v>
      </c>
      <c r="H4199">
        <v>230</v>
      </c>
      <c r="I4199">
        <v>230</v>
      </c>
      <c r="J4199">
        <v>0</v>
      </c>
      <c r="K4199">
        <v>0</v>
      </c>
      <c r="L4199">
        <v>0</v>
      </c>
      <c r="M4199">
        <v>1</v>
      </c>
      <c r="N4199">
        <v>230</v>
      </c>
      <c r="O4199">
        <v>230</v>
      </c>
    </row>
    <row r="4200" spans="1:15" x14ac:dyDescent="0.35">
      <c r="A4200" t="s">
        <v>4698</v>
      </c>
      <c r="B4200" t="s">
        <v>181</v>
      </c>
      <c r="C4200" t="s">
        <v>1184</v>
      </c>
      <c r="D4200" t="s">
        <v>293</v>
      </c>
      <c r="E4200" t="s">
        <v>306</v>
      </c>
      <c r="F4200" t="s">
        <v>4705</v>
      </c>
      <c r="G4200">
        <v>0</v>
      </c>
      <c r="H4200">
        <v>0</v>
      </c>
      <c r="I4200">
        <v>0</v>
      </c>
      <c r="J4200">
        <v>0</v>
      </c>
      <c r="K4200">
        <v>0</v>
      </c>
      <c r="L4200">
        <v>0</v>
      </c>
      <c r="M4200">
        <v>0</v>
      </c>
      <c r="N4200">
        <v>0</v>
      </c>
      <c r="O4200">
        <v>0</v>
      </c>
    </row>
    <row r="4201" spans="1:15" x14ac:dyDescent="0.35">
      <c r="A4201" t="s">
        <v>4698</v>
      </c>
      <c r="B4201" t="s">
        <v>181</v>
      </c>
      <c r="C4201" t="s">
        <v>1184</v>
      </c>
      <c r="D4201" t="s">
        <v>293</v>
      </c>
      <c r="E4201" t="s">
        <v>308</v>
      </c>
      <c r="F4201" t="s">
        <v>4706</v>
      </c>
      <c r="G4201">
        <v>0</v>
      </c>
      <c r="H4201">
        <v>0</v>
      </c>
      <c r="I4201">
        <v>0</v>
      </c>
      <c r="J4201">
        <v>0</v>
      </c>
      <c r="K4201">
        <v>0</v>
      </c>
      <c r="L4201">
        <v>0</v>
      </c>
      <c r="M4201">
        <v>0</v>
      </c>
      <c r="N4201">
        <v>0</v>
      </c>
      <c r="O4201">
        <v>0</v>
      </c>
    </row>
    <row r="4202" spans="1:15" x14ac:dyDescent="0.35">
      <c r="A4202" t="s">
        <v>4698</v>
      </c>
      <c r="B4202" t="s">
        <v>181</v>
      </c>
      <c r="C4202" t="s">
        <v>1184</v>
      </c>
      <c r="D4202" t="s">
        <v>293</v>
      </c>
      <c r="E4202" t="s">
        <v>310</v>
      </c>
      <c r="F4202" t="s">
        <v>4707</v>
      </c>
      <c r="G4202">
        <v>1564</v>
      </c>
      <c r="H4202">
        <v>259830.76999999996</v>
      </c>
      <c r="I4202">
        <v>166.13</v>
      </c>
      <c r="J4202">
        <v>0</v>
      </c>
      <c r="K4202">
        <v>0</v>
      </c>
      <c r="L4202">
        <v>0</v>
      </c>
      <c r="M4202">
        <v>1564</v>
      </c>
      <c r="N4202">
        <v>259830.76999999996</v>
      </c>
      <c r="O4202">
        <v>166.13</v>
      </c>
    </row>
    <row r="4203" spans="1:15" x14ac:dyDescent="0.35">
      <c r="A4203" t="s">
        <v>4698</v>
      </c>
      <c r="B4203" t="s">
        <v>181</v>
      </c>
      <c r="C4203" t="s">
        <v>1184</v>
      </c>
      <c r="D4203" t="s">
        <v>293</v>
      </c>
      <c r="E4203" t="s">
        <v>312</v>
      </c>
      <c r="F4203" t="s">
        <v>4708</v>
      </c>
      <c r="G4203">
        <v>1564</v>
      </c>
      <c r="H4203">
        <v>259830.76999999996</v>
      </c>
      <c r="I4203">
        <v>166.13</v>
      </c>
      <c r="J4203">
        <v>0</v>
      </c>
      <c r="K4203">
        <v>0</v>
      </c>
      <c r="L4203">
        <v>0</v>
      </c>
      <c r="M4203">
        <v>1564</v>
      </c>
      <c r="N4203">
        <v>259830.76999999996</v>
      </c>
      <c r="O4203">
        <v>166.13</v>
      </c>
    </row>
    <row r="4204" spans="1:15" x14ac:dyDescent="0.35">
      <c r="A4204" t="s">
        <v>4698</v>
      </c>
      <c r="B4204" t="s">
        <v>181</v>
      </c>
      <c r="C4204" t="s">
        <v>1184</v>
      </c>
      <c r="D4204" t="s">
        <v>314</v>
      </c>
      <c r="E4204" t="s">
        <v>294</v>
      </c>
      <c r="F4204" t="s">
        <v>4709</v>
      </c>
      <c r="G4204">
        <v>12</v>
      </c>
      <c r="H4204">
        <v>1356.76</v>
      </c>
      <c r="I4204">
        <v>113.06</v>
      </c>
      <c r="J4204">
        <v>0</v>
      </c>
      <c r="K4204">
        <v>0</v>
      </c>
      <c r="L4204">
        <v>0</v>
      </c>
      <c r="M4204">
        <v>12</v>
      </c>
      <c r="N4204">
        <v>1356.76</v>
      </c>
      <c r="O4204">
        <v>113.06</v>
      </c>
    </row>
    <row r="4205" spans="1:15" x14ac:dyDescent="0.35">
      <c r="A4205" t="s">
        <v>4698</v>
      </c>
      <c r="B4205" t="s">
        <v>181</v>
      </c>
      <c r="C4205" t="s">
        <v>1184</v>
      </c>
      <c r="D4205" t="s">
        <v>314</v>
      </c>
      <c r="E4205" t="s">
        <v>296</v>
      </c>
      <c r="F4205" t="s">
        <v>4710</v>
      </c>
      <c r="G4205">
        <v>2</v>
      </c>
      <c r="H4205">
        <v>297.42</v>
      </c>
      <c r="I4205">
        <v>148.71</v>
      </c>
      <c r="J4205">
        <v>0</v>
      </c>
      <c r="K4205">
        <v>0</v>
      </c>
      <c r="L4205">
        <v>0</v>
      </c>
      <c r="M4205">
        <v>2</v>
      </c>
      <c r="N4205">
        <v>297.42</v>
      </c>
      <c r="O4205">
        <v>148.71</v>
      </c>
    </row>
    <row r="4206" spans="1:15" x14ac:dyDescent="0.35">
      <c r="A4206" t="s">
        <v>4698</v>
      </c>
      <c r="B4206" t="s">
        <v>181</v>
      </c>
      <c r="C4206" t="s">
        <v>1184</v>
      </c>
      <c r="D4206" t="s">
        <v>314</v>
      </c>
      <c r="E4206" t="s">
        <v>298</v>
      </c>
      <c r="F4206" t="s">
        <v>4711</v>
      </c>
      <c r="G4206">
        <v>0</v>
      </c>
      <c r="H4206">
        <v>0</v>
      </c>
      <c r="I4206">
        <v>0</v>
      </c>
      <c r="J4206">
        <v>0</v>
      </c>
      <c r="K4206">
        <v>0</v>
      </c>
      <c r="L4206">
        <v>0</v>
      </c>
      <c r="M4206">
        <v>0</v>
      </c>
      <c r="N4206">
        <v>0</v>
      </c>
      <c r="O4206">
        <v>0</v>
      </c>
    </row>
    <row r="4207" spans="1:15" x14ac:dyDescent="0.35">
      <c r="A4207" t="s">
        <v>4698</v>
      </c>
      <c r="B4207" t="s">
        <v>181</v>
      </c>
      <c r="C4207" t="s">
        <v>1184</v>
      </c>
      <c r="D4207" t="s">
        <v>314</v>
      </c>
      <c r="E4207" t="s">
        <v>300</v>
      </c>
      <c r="F4207" t="s">
        <v>4712</v>
      </c>
      <c r="G4207">
        <v>0</v>
      </c>
      <c r="H4207">
        <v>0</v>
      </c>
      <c r="I4207">
        <v>0</v>
      </c>
      <c r="J4207">
        <v>0</v>
      </c>
      <c r="K4207">
        <v>0</v>
      </c>
      <c r="L4207">
        <v>0</v>
      </c>
      <c r="M4207">
        <v>0</v>
      </c>
      <c r="N4207">
        <v>0</v>
      </c>
      <c r="O4207">
        <v>0</v>
      </c>
    </row>
    <row r="4208" spans="1:15" x14ac:dyDescent="0.35">
      <c r="A4208" t="s">
        <v>4698</v>
      </c>
      <c r="B4208" t="s">
        <v>181</v>
      </c>
      <c r="C4208" t="s">
        <v>1184</v>
      </c>
      <c r="D4208" t="s">
        <v>314</v>
      </c>
      <c r="E4208" t="s">
        <v>306</v>
      </c>
      <c r="F4208" t="s">
        <v>4713</v>
      </c>
      <c r="G4208">
        <v>0</v>
      </c>
      <c r="H4208">
        <v>0</v>
      </c>
      <c r="I4208">
        <v>0</v>
      </c>
      <c r="J4208">
        <v>0</v>
      </c>
      <c r="K4208">
        <v>0</v>
      </c>
      <c r="L4208">
        <v>0</v>
      </c>
      <c r="M4208">
        <v>0</v>
      </c>
      <c r="N4208">
        <v>0</v>
      </c>
      <c r="O4208">
        <v>0</v>
      </c>
    </row>
    <row r="4209" spans="1:15" x14ac:dyDescent="0.35">
      <c r="A4209" t="s">
        <v>4698</v>
      </c>
      <c r="B4209" t="s">
        <v>181</v>
      </c>
      <c r="C4209" t="s">
        <v>1184</v>
      </c>
      <c r="D4209" t="s">
        <v>314</v>
      </c>
      <c r="E4209" t="s">
        <v>308</v>
      </c>
      <c r="F4209" t="s">
        <v>4714</v>
      </c>
      <c r="G4209">
        <v>3</v>
      </c>
      <c r="H4209">
        <v>313.98</v>
      </c>
      <c r="I4209">
        <v>104.66</v>
      </c>
      <c r="J4209">
        <v>0</v>
      </c>
      <c r="K4209">
        <v>0</v>
      </c>
      <c r="L4209">
        <v>0</v>
      </c>
      <c r="M4209">
        <v>3</v>
      </c>
      <c r="N4209">
        <v>313.98</v>
      </c>
      <c r="O4209">
        <v>104.66</v>
      </c>
    </row>
    <row r="4210" spans="1:15" x14ac:dyDescent="0.35">
      <c r="A4210" t="s">
        <v>4698</v>
      </c>
      <c r="B4210" t="s">
        <v>181</v>
      </c>
      <c r="C4210" t="s">
        <v>1184</v>
      </c>
      <c r="D4210" t="s">
        <v>314</v>
      </c>
      <c r="E4210" t="s">
        <v>312</v>
      </c>
      <c r="F4210" t="s">
        <v>4715</v>
      </c>
      <c r="G4210">
        <v>14</v>
      </c>
      <c r="H4210">
        <v>1654.18</v>
      </c>
      <c r="I4210">
        <v>118.16</v>
      </c>
      <c r="J4210">
        <v>0</v>
      </c>
      <c r="K4210">
        <v>0</v>
      </c>
      <c r="L4210">
        <v>0</v>
      </c>
      <c r="M4210">
        <v>14</v>
      </c>
      <c r="N4210">
        <v>1654.18</v>
      </c>
      <c r="O4210">
        <v>118.16</v>
      </c>
    </row>
    <row r="4211" spans="1:15" x14ac:dyDescent="0.35">
      <c r="A4211" t="s">
        <v>4698</v>
      </c>
      <c r="B4211" t="s">
        <v>181</v>
      </c>
      <c r="C4211" t="s">
        <v>1184</v>
      </c>
      <c r="D4211" t="s">
        <v>314</v>
      </c>
      <c r="E4211" t="s">
        <v>310</v>
      </c>
      <c r="F4211" t="s">
        <v>4716</v>
      </c>
      <c r="G4211">
        <v>17</v>
      </c>
      <c r="H4211">
        <v>1968.16</v>
      </c>
      <c r="I4211">
        <v>115.77</v>
      </c>
      <c r="J4211">
        <v>0</v>
      </c>
      <c r="K4211">
        <v>0</v>
      </c>
      <c r="L4211">
        <v>0</v>
      </c>
      <c r="M4211">
        <v>17</v>
      </c>
      <c r="N4211">
        <v>1968.16</v>
      </c>
      <c r="O4211">
        <v>115.77</v>
      </c>
    </row>
    <row r="4212" spans="1:15" x14ac:dyDescent="0.35">
      <c r="A4212" t="s">
        <v>4698</v>
      </c>
      <c r="B4212" t="s">
        <v>181</v>
      </c>
      <c r="C4212" t="s">
        <v>1184</v>
      </c>
      <c r="D4212" t="s">
        <v>323</v>
      </c>
      <c r="E4212" t="s">
        <v>294</v>
      </c>
      <c r="F4212" t="s">
        <v>4717</v>
      </c>
      <c r="G4212">
        <v>630</v>
      </c>
      <c r="H4212">
        <v>62521.279999999992</v>
      </c>
      <c r="I4212">
        <v>99.24</v>
      </c>
      <c r="J4212">
        <v>0</v>
      </c>
      <c r="K4212">
        <v>0</v>
      </c>
      <c r="L4212">
        <v>0</v>
      </c>
      <c r="M4212">
        <v>630</v>
      </c>
      <c r="N4212">
        <v>62521.279999999992</v>
      </c>
      <c r="O4212">
        <v>99.24</v>
      </c>
    </row>
    <row r="4213" spans="1:15" x14ac:dyDescent="0.35">
      <c r="A4213" t="s">
        <v>4698</v>
      </c>
      <c r="B4213" t="s">
        <v>181</v>
      </c>
      <c r="C4213" t="s">
        <v>1184</v>
      </c>
      <c r="D4213" t="s">
        <v>323</v>
      </c>
      <c r="E4213" t="s">
        <v>296</v>
      </c>
      <c r="F4213" t="s">
        <v>4718</v>
      </c>
      <c r="G4213">
        <v>1652</v>
      </c>
      <c r="H4213">
        <v>188559.86</v>
      </c>
      <c r="I4213">
        <v>114.14</v>
      </c>
      <c r="J4213">
        <v>0</v>
      </c>
      <c r="K4213">
        <v>0</v>
      </c>
      <c r="L4213">
        <v>0</v>
      </c>
      <c r="M4213">
        <v>1652</v>
      </c>
      <c r="N4213">
        <v>188559.86</v>
      </c>
      <c r="O4213">
        <v>114.14</v>
      </c>
    </row>
    <row r="4214" spans="1:15" x14ac:dyDescent="0.35">
      <c r="A4214" t="s">
        <v>4698</v>
      </c>
      <c r="B4214" t="s">
        <v>181</v>
      </c>
      <c r="C4214" t="s">
        <v>1184</v>
      </c>
      <c r="D4214" t="s">
        <v>323</v>
      </c>
      <c r="E4214" t="s">
        <v>298</v>
      </c>
      <c r="F4214" t="s">
        <v>4719</v>
      </c>
      <c r="G4214">
        <v>1465</v>
      </c>
      <c r="H4214">
        <v>188382.94</v>
      </c>
      <c r="I4214">
        <v>128.59</v>
      </c>
      <c r="J4214">
        <v>0</v>
      </c>
      <c r="K4214">
        <v>0</v>
      </c>
      <c r="L4214">
        <v>0</v>
      </c>
      <c r="M4214">
        <v>1465</v>
      </c>
      <c r="N4214">
        <v>188382.94</v>
      </c>
      <c r="O4214">
        <v>128.59</v>
      </c>
    </row>
    <row r="4215" spans="1:15" x14ac:dyDescent="0.35">
      <c r="A4215" t="s">
        <v>4698</v>
      </c>
      <c r="B4215" t="s">
        <v>181</v>
      </c>
      <c r="C4215" t="s">
        <v>1184</v>
      </c>
      <c r="D4215" t="s">
        <v>323</v>
      </c>
      <c r="E4215" t="s">
        <v>300</v>
      </c>
      <c r="F4215" t="s">
        <v>4720</v>
      </c>
      <c r="G4215">
        <v>163</v>
      </c>
      <c r="H4215">
        <v>24948.960000000003</v>
      </c>
      <c r="I4215">
        <v>153.06</v>
      </c>
      <c r="J4215">
        <v>0</v>
      </c>
      <c r="K4215">
        <v>0</v>
      </c>
      <c r="L4215">
        <v>0</v>
      </c>
      <c r="M4215">
        <v>163</v>
      </c>
      <c r="N4215">
        <v>24948.960000000003</v>
      </c>
      <c r="O4215">
        <v>153.06</v>
      </c>
    </row>
    <row r="4216" spans="1:15" x14ac:dyDescent="0.35">
      <c r="A4216" t="s">
        <v>4698</v>
      </c>
      <c r="B4216" t="s">
        <v>181</v>
      </c>
      <c r="C4216" t="s">
        <v>1184</v>
      </c>
      <c r="D4216" t="s">
        <v>323</v>
      </c>
      <c r="E4216" t="s">
        <v>302</v>
      </c>
      <c r="F4216" t="s">
        <v>4721</v>
      </c>
      <c r="G4216">
        <v>8</v>
      </c>
      <c r="H4216">
        <v>1413.7000000000003</v>
      </c>
      <c r="I4216">
        <v>176.71</v>
      </c>
      <c r="J4216">
        <v>0</v>
      </c>
      <c r="K4216">
        <v>0</v>
      </c>
      <c r="L4216">
        <v>0</v>
      </c>
      <c r="M4216">
        <v>8</v>
      </c>
      <c r="N4216">
        <v>1413.7000000000003</v>
      </c>
      <c r="O4216">
        <v>176.71</v>
      </c>
    </row>
    <row r="4217" spans="1:15" x14ac:dyDescent="0.35">
      <c r="A4217" t="s">
        <v>4698</v>
      </c>
      <c r="B4217" t="s">
        <v>181</v>
      </c>
      <c r="C4217" t="s">
        <v>1184</v>
      </c>
      <c r="D4217" t="s">
        <v>323</v>
      </c>
      <c r="E4217" t="s">
        <v>304</v>
      </c>
      <c r="F4217" t="s">
        <v>4722</v>
      </c>
      <c r="G4217">
        <v>3</v>
      </c>
      <c r="H4217">
        <v>552.88</v>
      </c>
      <c r="I4217">
        <v>184.29</v>
      </c>
      <c r="J4217">
        <v>0</v>
      </c>
      <c r="K4217">
        <v>0</v>
      </c>
      <c r="L4217">
        <v>0</v>
      </c>
      <c r="M4217">
        <v>3</v>
      </c>
      <c r="N4217">
        <v>552.88</v>
      </c>
      <c r="O4217">
        <v>184.29</v>
      </c>
    </row>
    <row r="4218" spans="1:15" x14ac:dyDescent="0.35">
      <c r="A4218" t="s">
        <v>4698</v>
      </c>
      <c r="B4218" t="s">
        <v>181</v>
      </c>
      <c r="C4218" t="s">
        <v>1184</v>
      </c>
      <c r="D4218" t="s">
        <v>323</v>
      </c>
      <c r="E4218" t="s">
        <v>306</v>
      </c>
      <c r="F4218" t="s">
        <v>4723</v>
      </c>
      <c r="G4218">
        <v>12</v>
      </c>
      <c r="H4218">
        <v>966.59999999999991</v>
      </c>
      <c r="I4218">
        <v>80.55</v>
      </c>
      <c r="J4218">
        <v>0</v>
      </c>
      <c r="K4218">
        <v>0</v>
      </c>
      <c r="L4218">
        <v>0</v>
      </c>
      <c r="M4218">
        <v>12</v>
      </c>
      <c r="N4218">
        <v>966.59999999999991</v>
      </c>
      <c r="O4218">
        <v>80.55</v>
      </c>
    </row>
    <row r="4219" spans="1:15" x14ac:dyDescent="0.35">
      <c r="A4219" t="s">
        <v>4698</v>
      </c>
      <c r="B4219" t="s">
        <v>181</v>
      </c>
      <c r="C4219" t="s">
        <v>1184</v>
      </c>
      <c r="D4219" t="s">
        <v>323</v>
      </c>
      <c r="E4219" t="s">
        <v>308</v>
      </c>
      <c r="F4219" t="s">
        <v>4724</v>
      </c>
      <c r="G4219">
        <v>0</v>
      </c>
      <c r="H4219">
        <v>0</v>
      </c>
      <c r="I4219">
        <v>0</v>
      </c>
      <c r="J4219">
        <v>0</v>
      </c>
      <c r="K4219">
        <v>0</v>
      </c>
      <c r="L4219">
        <v>0</v>
      </c>
      <c r="M4219">
        <v>0</v>
      </c>
      <c r="N4219">
        <v>0</v>
      </c>
      <c r="O4219">
        <v>0</v>
      </c>
    </row>
    <row r="4220" spans="1:15" x14ac:dyDescent="0.35">
      <c r="A4220" t="s">
        <v>4698</v>
      </c>
      <c r="B4220" t="s">
        <v>181</v>
      </c>
      <c r="C4220" t="s">
        <v>1184</v>
      </c>
      <c r="D4220" t="s">
        <v>323</v>
      </c>
      <c r="E4220" t="s">
        <v>310</v>
      </c>
      <c r="F4220" t="s">
        <v>4725</v>
      </c>
      <c r="G4220">
        <v>3933</v>
      </c>
      <c r="H4220">
        <v>467346.22</v>
      </c>
      <c r="I4220">
        <v>118.83</v>
      </c>
      <c r="J4220">
        <v>0</v>
      </c>
      <c r="K4220">
        <v>0</v>
      </c>
      <c r="L4220">
        <v>0</v>
      </c>
      <c r="M4220">
        <v>3933</v>
      </c>
      <c r="N4220">
        <v>467346.22</v>
      </c>
      <c r="O4220">
        <v>118.83</v>
      </c>
    </row>
    <row r="4221" spans="1:15" x14ac:dyDescent="0.35">
      <c r="A4221" t="s">
        <v>4698</v>
      </c>
      <c r="B4221" t="s">
        <v>181</v>
      </c>
      <c r="C4221" t="s">
        <v>1184</v>
      </c>
      <c r="D4221" t="s">
        <v>323</v>
      </c>
      <c r="E4221" t="s">
        <v>312</v>
      </c>
      <c r="F4221" t="s">
        <v>4726</v>
      </c>
      <c r="G4221">
        <v>3933</v>
      </c>
      <c r="H4221">
        <v>467346.22</v>
      </c>
      <c r="I4221">
        <v>118.83</v>
      </c>
      <c r="J4221">
        <v>0</v>
      </c>
      <c r="K4221">
        <v>0</v>
      </c>
      <c r="L4221">
        <v>0</v>
      </c>
      <c r="M4221">
        <v>3933</v>
      </c>
      <c r="N4221">
        <v>467346.22</v>
      </c>
      <c r="O4221">
        <v>118.83</v>
      </c>
    </row>
    <row r="4222" spans="1:15" x14ac:dyDescent="0.35">
      <c r="A4222" t="s">
        <v>4698</v>
      </c>
      <c r="B4222" t="s">
        <v>181</v>
      </c>
      <c r="C4222" t="s">
        <v>1184</v>
      </c>
      <c r="D4222" t="s">
        <v>334</v>
      </c>
      <c r="E4222" t="s">
        <v>312</v>
      </c>
      <c r="F4222" t="s">
        <v>4727</v>
      </c>
      <c r="G4222">
        <v>5506</v>
      </c>
      <c r="H4222">
        <v>727176.98999999976</v>
      </c>
      <c r="I4222">
        <v>132.29</v>
      </c>
      <c r="J4222">
        <v>0</v>
      </c>
      <c r="K4222">
        <v>0</v>
      </c>
      <c r="L4222">
        <v>0</v>
      </c>
      <c r="M4222">
        <v>5506</v>
      </c>
      <c r="N4222">
        <v>727176.98999999976</v>
      </c>
      <c r="O4222">
        <v>132.29</v>
      </c>
    </row>
    <row r="4223" spans="1:15" x14ac:dyDescent="0.35">
      <c r="A4223" t="s">
        <v>4698</v>
      </c>
      <c r="B4223" t="s">
        <v>181</v>
      </c>
      <c r="C4223" t="s">
        <v>1184</v>
      </c>
      <c r="D4223" t="s">
        <v>334</v>
      </c>
      <c r="E4223" t="s">
        <v>308</v>
      </c>
      <c r="F4223" t="s">
        <v>4728</v>
      </c>
      <c r="G4223">
        <v>0</v>
      </c>
      <c r="H4223">
        <v>0</v>
      </c>
      <c r="I4223">
        <v>0</v>
      </c>
      <c r="J4223">
        <v>0</v>
      </c>
      <c r="K4223">
        <v>0</v>
      </c>
      <c r="L4223">
        <v>0</v>
      </c>
      <c r="M4223">
        <v>0</v>
      </c>
      <c r="N4223">
        <v>0</v>
      </c>
      <c r="O4223">
        <v>0</v>
      </c>
    </row>
    <row r="4224" spans="1:15" x14ac:dyDescent="0.35">
      <c r="A4224" t="s">
        <v>4698</v>
      </c>
      <c r="B4224" t="s">
        <v>181</v>
      </c>
      <c r="C4224" t="s">
        <v>1184</v>
      </c>
      <c r="D4224" t="s">
        <v>337</v>
      </c>
      <c r="E4224" t="s">
        <v>337</v>
      </c>
      <c r="F4224" t="s">
        <v>4729</v>
      </c>
      <c r="G4224">
        <v>1422</v>
      </c>
      <c r="J4224">
        <v>0</v>
      </c>
      <c r="M4224">
        <v>1422</v>
      </c>
    </row>
    <row r="4225" spans="1:15" x14ac:dyDescent="0.35">
      <c r="A4225" t="s">
        <v>4698</v>
      </c>
      <c r="B4225" t="s">
        <v>181</v>
      </c>
      <c r="C4225" t="s">
        <v>1184</v>
      </c>
      <c r="D4225" t="s">
        <v>339</v>
      </c>
      <c r="E4225" t="s">
        <v>294</v>
      </c>
      <c r="F4225" t="s">
        <v>4730</v>
      </c>
      <c r="G4225">
        <v>497</v>
      </c>
      <c r="H4225">
        <v>53700.56</v>
      </c>
      <c r="I4225">
        <v>108.05</v>
      </c>
      <c r="J4225">
        <v>0</v>
      </c>
      <c r="K4225">
        <v>0</v>
      </c>
      <c r="L4225">
        <v>0</v>
      </c>
      <c r="M4225">
        <v>497</v>
      </c>
      <c r="N4225">
        <v>53700.56</v>
      </c>
      <c r="O4225">
        <v>108.05</v>
      </c>
    </row>
    <row r="4226" spans="1:15" x14ac:dyDescent="0.35">
      <c r="A4226" t="s">
        <v>4698</v>
      </c>
      <c r="B4226" t="s">
        <v>181</v>
      </c>
      <c r="C4226" t="s">
        <v>1184</v>
      </c>
      <c r="D4226" t="s">
        <v>339</v>
      </c>
      <c r="E4226" t="s">
        <v>296</v>
      </c>
      <c r="F4226" t="s">
        <v>4731</v>
      </c>
      <c r="G4226">
        <v>73</v>
      </c>
      <c r="H4226">
        <v>10899.45</v>
      </c>
      <c r="I4226">
        <v>149.31</v>
      </c>
      <c r="J4226">
        <v>0</v>
      </c>
      <c r="K4226">
        <v>0</v>
      </c>
      <c r="L4226">
        <v>0</v>
      </c>
      <c r="M4226">
        <v>73</v>
      </c>
      <c r="N4226">
        <v>10899.45</v>
      </c>
      <c r="O4226">
        <v>149.31</v>
      </c>
    </row>
    <row r="4227" spans="1:15" x14ac:dyDescent="0.35">
      <c r="A4227" t="s">
        <v>4698</v>
      </c>
      <c r="B4227" t="s">
        <v>181</v>
      </c>
      <c r="C4227" t="s">
        <v>1184</v>
      </c>
      <c r="D4227" t="s">
        <v>339</v>
      </c>
      <c r="E4227" t="s">
        <v>298</v>
      </c>
      <c r="F4227" t="s">
        <v>4732</v>
      </c>
      <c r="G4227">
        <v>0</v>
      </c>
      <c r="H4227">
        <v>0</v>
      </c>
      <c r="I4227">
        <v>0</v>
      </c>
      <c r="J4227">
        <v>0</v>
      </c>
      <c r="K4227">
        <v>0</v>
      </c>
      <c r="L4227">
        <v>0</v>
      </c>
      <c r="M4227">
        <v>0</v>
      </c>
      <c r="N4227">
        <v>0</v>
      </c>
      <c r="O4227">
        <v>0</v>
      </c>
    </row>
    <row r="4228" spans="1:15" x14ac:dyDescent="0.35">
      <c r="A4228" t="s">
        <v>4698</v>
      </c>
      <c r="B4228" t="s">
        <v>181</v>
      </c>
      <c r="C4228" t="s">
        <v>1184</v>
      </c>
      <c r="D4228" t="s">
        <v>339</v>
      </c>
      <c r="E4228" t="s">
        <v>300</v>
      </c>
      <c r="F4228" t="s">
        <v>4733</v>
      </c>
      <c r="G4228">
        <v>0</v>
      </c>
      <c r="H4228">
        <v>0</v>
      </c>
      <c r="I4228">
        <v>0</v>
      </c>
      <c r="J4228">
        <v>0</v>
      </c>
      <c r="K4228">
        <v>0</v>
      </c>
      <c r="L4228">
        <v>0</v>
      </c>
      <c r="M4228">
        <v>0</v>
      </c>
      <c r="N4228">
        <v>0</v>
      </c>
      <c r="O4228">
        <v>0</v>
      </c>
    </row>
    <row r="4229" spans="1:15" x14ac:dyDescent="0.35">
      <c r="A4229" t="s">
        <v>4698</v>
      </c>
      <c r="B4229" t="s">
        <v>181</v>
      </c>
      <c r="C4229" t="s">
        <v>1184</v>
      </c>
      <c r="D4229" t="s">
        <v>339</v>
      </c>
      <c r="E4229" t="s">
        <v>306</v>
      </c>
      <c r="F4229" t="s">
        <v>4734</v>
      </c>
      <c r="G4229">
        <v>10</v>
      </c>
      <c r="H4229">
        <v>1158.5</v>
      </c>
      <c r="I4229">
        <v>115.85</v>
      </c>
      <c r="J4229">
        <v>0</v>
      </c>
      <c r="K4229">
        <v>0</v>
      </c>
      <c r="L4229">
        <v>0</v>
      </c>
      <c r="M4229">
        <v>10</v>
      </c>
      <c r="N4229">
        <v>1158.5</v>
      </c>
      <c r="O4229">
        <v>115.85</v>
      </c>
    </row>
    <row r="4230" spans="1:15" x14ac:dyDescent="0.35">
      <c r="A4230" t="s">
        <v>4698</v>
      </c>
      <c r="B4230" t="s">
        <v>181</v>
      </c>
      <c r="C4230" t="s">
        <v>1184</v>
      </c>
      <c r="D4230" t="s">
        <v>339</v>
      </c>
      <c r="E4230" t="s">
        <v>308</v>
      </c>
      <c r="F4230" t="s">
        <v>4735</v>
      </c>
      <c r="G4230">
        <v>42</v>
      </c>
      <c r="H4230">
        <v>4675.5600000000004</v>
      </c>
      <c r="I4230">
        <v>111.32</v>
      </c>
      <c r="J4230">
        <v>0</v>
      </c>
      <c r="K4230">
        <v>0</v>
      </c>
      <c r="L4230">
        <v>0</v>
      </c>
      <c r="M4230">
        <v>42</v>
      </c>
      <c r="N4230">
        <v>4675.5600000000004</v>
      </c>
      <c r="O4230">
        <v>111.32</v>
      </c>
    </row>
    <row r="4231" spans="1:15" x14ac:dyDescent="0.35">
      <c r="A4231" t="s">
        <v>4698</v>
      </c>
      <c r="B4231" t="s">
        <v>181</v>
      </c>
      <c r="C4231" t="s">
        <v>1184</v>
      </c>
      <c r="D4231" t="s">
        <v>339</v>
      </c>
      <c r="E4231" t="s">
        <v>310</v>
      </c>
      <c r="F4231" t="s">
        <v>4736</v>
      </c>
      <c r="G4231">
        <v>622</v>
      </c>
      <c r="H4231">
        <v>70434.069999999992</v>
      </c>
      <c r="I4231">
        <v>113.24</v>
      </c>
      <c r="J4231">
        <v>0</v>
      </c>
      <c r="K4231">
        <v>0</v>
      </c>
      <c r="L4231">
        <v>0</v>
      </c>
      <c r="M4231">
        <v>622</v>
      </c>
      <c r="N4231">
        <v>70434.069999999992</v>
      </c>
      <c r="O4231">
        <v>113.24</v>
      </c>
    </row>
    <row r="4232" spans="1:15" x14ac:dyDescent="0.35">
      <c r="A4232" t="s">
        <v>4698</v>
      </c>
      <c r="B4232" t="s">
        <v>181</v>
      </c>
      <c r="C4232" t="s">
        <v>1184</v>
      </c>
      <c r="D4232" t="s">
        <v>339</v>
      </c>
      <c r="E4232" t="s">
        <v>312</v>
      </c>
      <c r="F4232" t="s">
        <v>4737</v>
      </c>
      <c r="G4232">
        <v>580</v>
      </c>
      <c r="H4232">
        <v>65758.509999999995</v>
      </c>
      <c r="I4232">
        <v>113.38</v>
      </c>
      <c r="J4232">
        <v>0</v>
      </c>
      <c r="K4232">
        <v>0</v>
      </c>
      <c r="L4232">
        <v>0</v>
      </c>
      <c r="M4232">
        <v>580</v>
      </c>
      <c r="N4232">
        <v>65758.509999999995</v>
      </c>
      <c r="O4232">
        <v>113.38</v>
      </c>
    </row>
    <row r="4233" spans="1:15" x14ac:dyDescent="0.35">
      <c r="A4233" t="s">
        <v>4698</v>
      </c>
      <c r="B4233" t="s">
        <v>181</v>
      </c>
      <c r="C4233" t="s">
        <v>1184</v>
      </c>
      <c r="D4233" t="s">
        <v>348</v>
      </c>
      <c r="E4233" t="s">
        <v>349</v>
      </c>
      <c r="F4233" t="s">
        <v>4738</v>
      </c>
      <c r="G4233">
        <v>665</v>
      </c>
      <c r="H4233">
        <v>72402.23</v>
      </c>
      <c r="I4233">
        <v>113.31</v>
      </c>
      <c r="J4233">
        <v>0</v>
      </c>
      <c r="K4233">
        <v>0</v>
      </c>
      <c r="L4233">
        <v>0</v>
      </c>
      <c r="M4233">
        <v>665</v>
      </c>
      <c r="N4233">
        <v>72402.23</v>
      </c>
      <c r="O4233">
        <v>113.31</v>
      </c>
    </row>
    <row r="4234" spans="1:15" x14ac:dyDescent="0.35">
      <c r="A4234" t="s">
        <v>4739</v>
      </c>
      <c r="B4234" t="s">
        <v>4740</v>
      </c>
      <c r="C4234" t="s">
        <v>1644</v>
      </c>
      <c r="D4234" t="s">
        <v>293</v>
      </c>
      <c r="E4234" t="s">
        <v>294</v>
      </c>
      <c r="F4234" t="s">
        <v>4741</v>
      </c>
      <c r="G4234">
        <v>590</v>
      </c>
      <c r="H4234">
        <v>96055.63</v>
      </c>
      <c r="I4234">
        <v>162.81</v>
      </c>
      <c r="J4234">
        <v>0</v>
      </c>
      <c r="K4234">
        <v>0</v>
      </c>
      <c r="L4234">
        <v>0</v>
      </c>
      <c r="M4234">
        <v>590</v>
      </c>
      <c r="N4234">
        <v>96055.63</v>
      </c>
      <c r="O4234">
        <v>162.81</v>
      </c>
    </row>
    <row r="4235" spans="1:15" x14ac:dyDescent="0.35">
      <c r="A4235" t="s">
        <v>4739</v>
      </c>
      <c r="B4235" t="s">
        <v>4740</v>
      </c>
      <c r="C4235" t="s">
        <v>1644</v>
      </c>
      <c r="D4235" t="s">
        <v>293</v>
      </c>
      <c r="E4235" t="s">
        <v>296</v>
      </c>
      <c r="F4235" t="s">
        <v>4742</v>
      </c>
      <c r="G4235">
        <v>963</v>
      </c>
      <c r="H4235">
        <v>189686.57</v>
      </c>
      <c r="I4235">
        <v>196.97</v>
      </c>
      <c r="J4235">
        <v>0</v>
      </c>
      <c r="K4235">
        <v>0</v>
      </c>
      <c r="L4235">
        <v>0</v>
      </c>
      <c r="M4235">
        <v>963</v>
      </c>
      <c r="N4235">
        <v>189686.57</v>
      </c>
      <c r="O4235">
        <v>196.97</v>
      </c>
    </row>
    <row r="4236" spans="1:15" x14ac:dyDescent="0.35">
      <c r="A4236" t="s">
        <v>4739</v>
      </c>
      <c r="B4236" t="s">
        <v>4740</v>
      </c>
      <c r="C4236" t="s">
        <v>1644</v>
      </c>
      <c r="D4236" t="s">
        <v>293</v>
      </c>
      <c r="E4236" t="s">
        <v>298</v>
      </c>
      <c r="F4236" t="s">
        <v>4743</v>
      </c>
      <c r="G4236">
        <v>289</v>
      </c>
      <c r="H4236">
        <v>66471.95</v>
      </c>
      <c r="I4236">
        <v>230.01</v>
      </c>
      <c r="J4236">
        <v>0</v>
      </c>
      <c r="K4236">
        <v>0</v>
      </c>
      <c r="L4236">
        <v>0</v>
      </c>
      <c r="M4236">
        <v>289</v>
      </c>
      <c r="N4236">
        <v>66471.95</v>
      </c>
      <c r="O4236">
        <v>230.01</v>
      </c>
    </row>
    <row r="4237" spans="1:15" x14ac:dyDescent="0.35">
      <c r="A4237" t="s">
        <v>4739</v>
      </c>
      <c r="B4237" t="s">
        <v>4740</v>
      </c>
      <c r="C4237" t="s">
        <v>1644</v>
      </c>
      <c r="D4237" t="s">
        <v>293</v>
      </c>
      <c r="E4237" t="s">
        <v>300</v>
      </c>
      <c r="F4237" t="s">
        <v>4744</v>
      </c>
      <c r="G4237">
        <v>50</v>
      </c>
      <c r="H4237">
        <v>13650.8</v>
      </c>
      <c r="I4237">
        <v>273.02</v>
      </c>
      <c r="J4237">
        <v>0</v>
      </c>
      <c r="K4237">
        <v>0</v>
      </c>
      <c r="L4237">
        <v>0</v>
      </c>
      <c r="M4237">
        <v>50</v>
      </c>
      <c r="N4237">
        <v>13650.8</v>
      </c>
      <c r="O4237">
        <v>273.02</v>
      </c>
    </row>
    <row r="4238" spans="1:15" x14ac:dyDescent="0.35">
      <c r="A4238" t="s">
        <v>4739</v>
      </c>
      <c r="B4238" t="s">
        <v>4740</v>
      </c>
      <c r="C4238" t="s">
        <v>1644</v>
      </c>
      <c r="D4238" t="s">
        <v>293</v>
      </c>
      <c r="E4238" t="s">
        <v>302</v>
      </c>
      <c r="F4238" t="s">
        <v>4745</v>
      </c>
      <c r="G4238">
        <v>1</v>
      </c>
      <c r="H4238">
        <v>176.65</v>
      </c>
      <c r="I4238">
        <v>176.65</v>
      </c>
      <c r="J4238">
        <v>0</v>
      </c>
      <c r="K4238">
        <v>0</v>
      </c>
      <c r="L4238">
        <v>0</v>
      </c>
      <c r="M4238">
        <v>1</v>
      </c>
      <c r="N4238">
        <v>176.65</v>
      </c>
      <c r="O4238">
        <v>176.65</v>
      </c>
    </row>
    <row r="4239" spans="1:15" x14ac:dyDescent="0.35">
      <c r="A4239" t="s">
        <v>4739</v>
      </c>
      <c r="B4239" t="s">
        <v>4740</v>
      </c>
      <c r="C4239" t="s">
        <v>1644</v>
      </c>
      <c r="D4239" t="s">
        <v>293</v>
      </c>
      <c r="E4239" t="s">
        <v>304</v>
      </c>
      <c r="F4239" t="s">
        <v>4746</v>
      </c>
      <c r="G4239">
        <v>0</v>
      </c>
      <c r="H4239">
        <v>0</v>
      </c>
      <c r="I4239">
        <v>0</v>
      </c>
      <c r="J4239">
        <v>0</v>
      </c>
      <c r="K4239">
        <v>0</v>
      </c>
      <c r="L4239">
        <v>0</v>
      </c>
      <c r="M4239">
        <v>0</v>
      </c>
      <c r="N4239">
        <v>0</v>
      </c>
      <c r="O4239">
        <v>0</v>
      </c>
    </row>
    <row r="4240" spans="1:15" x14ac:dyDescent="0.35">
      <c r="A4240" t="s">
        <v>4739</v>
      </c>
      <c r="B4240" t="s">
        <v>4740</v>
      </c>
      <c r="C4240" t="s">
        <v>1644</v>
      </c>
      <c r="D4240" t="s">
        <v>293</v>
      </c>
      <c r="E4240" t="s">
        <v>306</v>
      </c>
      <c r="F4240" t="s">
        <v>4747</v>
      </c>
      <c r="G4240">
        <v>0</v>
      </c>
      <c r="H4240">
        <v>0</v>
      </c>
      <c r="I4240">
        <v>0</v>
      </c>
      <c r="J4240">
        <v>0</v>
      </c>
      <c r="K4240">
        <v>0</v>
      </c>
      <c r="L4240">
        <v>0</v>
      </c>
      <c r="M4240">
        <v>0</v>
      </c>
      <c r="N4240">
        <v>0</v>
      </c>
      <c r="O4240">
        <v>0</v>
      </c>
    </row>
    <row r="4241" spans="1:15" x14ac:dyDescent="0.35">
      <c r="A4241" t="s">
        <v>4739</v>
      </c>
      <c r="B4241" t="s">
        <v>4740</v>
      </c>
      <c r="C4241" t="s">
        <v>1644</v>
      </c>
      <c r="D4241" t="s">
        <v>293</v>
      </c>
      <c r="E4241" t="s">
        <v>308</v>
      </c>
      <c r="F4241" t="s">
        <v>4748</v>
      </c>
      <c r="G4241">
        <v>0</v>
      </c>
      <c r="H4241">
        <v>0</v>
      </c>
      <c r="I4241">
        <v>0</v>
      </c>
      <c r="J4241">
        <v>0</v>
      </c>
      <c r="K4241">
        <v>0</v>
      </c>
      <c r="L4241">
        <v>0</v>
      </c>
      <c r="M4241">
        <v>0</v>
      </c>
      <c r="N4241">
        <v>0</v>
      </c>
      <c r="O4241">
        <v>0</v>
      </c>
    </row>
    <row r="4242" spans="1:15" x14ac:dyDescent="0.35">
      <c r="A4242" t="s">
        <v>4739</v>
      </c>
      <c r="B4242" t="s">
        <v>4740</v>
      </c>
      <c r="C4242" t="s">
        <v>1644</v>
      </c>
      <c r="D4242" t="s">
        <v>293</v>
      </c>
      <c r="E4242" t="s">
        <v>310</v>
      </c>
      <c r="F4242" t="s">
        <v>4749</v>
      </c>
      <c r="G4242">
        <v>1893</v>
      </c>
      <c r="H4242">
        <v>366041.60000000003</v>
      </c>
      <c r="I4242">
        <v>193.37</v>
      </c>
      <c r="J4242">
        <v>0</v>
      </c>
      <c r="K4242">
        <v>0</v>
      </c>
      <c r="L4242">
        <v>0</v>
      </c>
      <c r="M4242">
        <v>1893</v>
      </c>
      <c r="N4242">
        <v>366041.60000000003</v>
      </c>
      <c r="O4242">
        <v>193.37</v>
      </c>
    </row>
    <row r="4243" spans="1:15" x14ac:dyDescent="0.35">
      <c r="A4243" t="s">
        <v>4739</v>
      </c>
      <c r="B4243" t="s">
        <v>4740</v>
      </c>
      <c r="C4243" t="s">
        <v>1644</v>
      </c>
      <c r="D4243" t="s">
        <v>293</v>
      </c>
      <c r="E4243" t="s">
        <v>312</v>
      </c>
      <c r="F4243" t="s">
        <v>4750</v>
      </c>
      <c r="G4243">
        <v>1893</v>
      </c>
      <c r="H4243">
        <v>366041.60000000003</v>
      </c>
      <c r="I4243">
        <v>193.37</v>
      </c>
      <c r="J4243">
        <v>0</v>
      </c>
      <c r="K4243">
        <v>0</v>
      </c>
      <c r="L4243">
        <v>0</v>
      </c>
      <c r="M4243">
        <v>1893</v>
      </c>
      <c r="N4243">
        <v>366041.60000000003</v>
      </c>
      <c r="O4243">
        <v>193.37</v>
      </c>
    </row>
    <row r="4244" spans="1:15" x14ac:dyDescent="0.35">
      <c r="A4244" t="s">
        <v>4739</v>
      </c>
      <c r="B4244" t="s">
        <v>4740</v>
      </c>
      <c r="C4244" t="s">
        <v>1644</v>
      </c>
      <c r="D4244" t="s">
        <v>314</v>
      </c>
      <c r="E4244" t="s">
        <v>294</v>
      </c>
      <c r="F4244" t="s">
        <v>4751</v>
      </c>
      <c r="G4244">
        <v>2</v>
      </c>
      <c r="H4244">
        <v>368.1</v>
      </c>
      <c r="I4244">
        <v>184.05</v>
      </c>
      <c r="J4244">
        <v>0</v>
      </c>
      <c r="K4244">
        <v>0</v>
      </c>
      <c r="L4244">
        <v>0</v>
      </c>
      <c r="M4244">
        <v>2</v>
      </c>
      <c r="N4244">
        <v>368.1</v>
      </c>
      <c r="O4244">
        <v>184.05</v>
      </c>
    </row>
    <row r="4245" spans="1:15" x14ac:dyDescent="0.35">
      <c r="A4245" t="s">
        <v>4739</v>
      </c>
      <c r="B4245" t="s">
        <v>4740</v>
      </c>
      <c r="C4245" t="s">
        <v>1644</v>
      </c>
      <c r="D4245" t="s">
        <v>314</v>
      </c>
      <c r="E4245" t="s">
        <v>296</v>
      </c>
      <c r="F4245" t="s">
        <v>4752</v>
      </c>
      <c r="G4245">
        <v>0</v>
      </c>
      <c r="H4245">
        <v>0</v>
      </c>
      <c r="I4245">
        <v>0</v>
      </c>
      <c r="J4245">
        <v>0</v>
      </c>
      <c r="K4245">
        <v>0</v>
      </c>
      <c r="L4245">
        <v>0</v>
      </c>
      <c r="M4245">
        <v>0</v>
      </c>
      <c r="N4245">
        <v>0</v>
      </c>
      <c r="O4245">
        <v>0</v>
      </c>
    </row>
    <row r="4246" spans="1:15" x14ac:dyDescent="0.35">
      <c r="A4246" t="s">
        <v>4739</v>
      </c>
      <c r="B4246" t="s">
        <v>4740</v>
      </c>
      <c r="C4246" t="s">
        <v>1644</v>
      </c>
      <c r="D4246" t="s">
        <v>314</v>
      </c>
      <c r="E4246" t="s">
        <v>298</v>
      </c>
      <c r="F4246" t="s">
        <v>4753</v>
      </c>
      <c r="G4246">
        <v>0</v>
      </c>
      <c r="H4246">
        <v>0</v>
      </c>
      <c r="I4246">
        <v>0</v>
      </c>
      <c r="J4246">
        <v>0</v>
      </c>
      <c r="K4246">
        <v>0</v>
      </c>
      <c r="L4246">
        <v>0</v>
      </c>
      <c r="M4246">
        <v>0</v>
      </c>
      <c r="N4246">
        <v>0</v>
      </c>
      <c r="O4246">
        <v>0</v>
      </c>
    </row>
    <row r="4247" spans="1:15" x14ac:dyDescent="0.35">
      <c r="A4247" t="s">
        <v>4739</v>
      </c>
      <c r="B4247" t="s">
        <v>4740</v>
      </c>
      <c r="C4247" t="s">
        <v>1644</v>
      </c>
      <c r="D4247" t="s">
        <v>314</v>
      </c>
      <c r="E4247" t="s">
        <v>300</v>
      </c>
      <c r="F4247" t="s">
        <v>4754</v>
      </c>
      <c r="G4247">
        <v>0</v>
      </c>
      <c r="H4247">
        <v>0</v>
      </c>
      <c r="I4247">
        <v>0</v>
      </c>
      <c r="J4247">
        <v>0</v>
      </c>
      <c r="K4247">
        <v>0</v>
      </c>
      <c r="L4247">
        <v>0</v>
      </c>
      <c r="M4247">
        <v>0</v>
      </c>
      <c r="N4247">
        <v>0</v>
      </c>
      <c r="O4247">
        <v>0</v>
      </c>
    </row>
    <row r="4248" spans="1:15" x14ac:dyDescent="0.35">
      <c r="A4248" t="s">
        <v>4739</v>
      </c>
      <c r="B4248" t="s">
        <v>4740</v>
      </c>
      <c r="C4248" t="s">
        <v>1644</v>
      </c>
      <c r="D4248" t="s">
        <v>314</v>
      </c>
      <c r="E4248" t="s">
        <v>306</v>
      </c>
      <c r="F4248" t="s">
        <v>4755</v>
      </c>
      <c r="G4248">
        <v>0</v>
      </c>
      <c r="H4248">
        <v>0</v>
      </c>
      <c r="I4248">
        <v>0</v>
      </c>
      <c r="J4248">
        <v>0</v>
      </c>
      <c r="K4248">
        <v>0</v>
      </c>
      <c r="L4248">
        <v>0</v>
      </c>
      <c r="M4248">
        <v>0</v>
      </c>
      <c r="N4248">
        <v>0</v>
      </c>
      <c r="O4248">
        <v>0</v>
      </c>
    </row>
    <row r="4249" spans="1:15" x14ac:dyDescent="0.35">
      <c r="A4249" t="s">
        <v>4739</v>
      </c>
      <c r="B4249" t="s">
        <v>4740</v>
      </c>
      <c r="C4249" t="s">
        <v>1644</v>
      </c>
      <c r="D4249" t="s">
        <v>314</v>
      </c>
      <c r="E4249" t="s">
        <v>308</v>
      </c>
      <c r="F4249" t="s">
        <v>4756</v>
      </c>
      <c r="G4249">
        <v>0</v>
      </c>
      <c r="H4249">
        <v>0</v>
      </c>
      <c r="I4249">
        <v>0</v>
      </c>
      <c r="J4249">
        <v>0</v>
      </c>
      <c r="K4249">
        <v>0</v>
      </c>
      <c r="L4249">
        <v>0</v>
      </c>
      <c r="M4249">
        <v>0</v>
      </c>
      <c r="N4249">
        <v>0</v>
      </c>
      <c r="O4249">
        <v>0</v>
      </c>
    </row>
    <row r="4250" spans="1:15" x14ac:dyDescent="0.35">
      <c r="A4250" t="s">
        <v>4739</v>
      </c>
      <c r="B4250" t="s">
        <v>4740</v>
      </c>
      <c r="C4250" t="s">
        <v>1644</v>
      </c>
      <c r="D4250" t="s">
        <v>314</v>
      </c>
      <c r="E4250" t="s">
        <v>312</v>
      </c>
      <c r="F4250" t="s">
        <v>4757</v>
      </c>
      <c r="G4250">
        <v>2</v>
      </c>
      <c r="H4250">
        <v>368.1</v>
      </c>
      <c r="I4250">
        <v>184.05</v>
      </c>
      <c r="J4250">
        <v>0</v>
      </c>
      <c r="K4250">
        <v>0</v>
      </c>
      <c r="L4250">
        <v>0</v>
      </c>
      <c r="M4250">
        <v>2</v>
      </c>
      <c r="N4250">
        <v>368.1</v>
      </c>
      <c r="O4250">
        <v>184.05</v>
      </c>
    </row>
    <row r="4251" spans="1:15" x14ac:dyDescent="0.35">
      <c r="A4251" t="s">
        <v>4739</v>
      </c>
      <c r="B4251" t="s">
        <v>4740</v>
      </c>
      <c r="C4251" t="s">
        <v>1644</v>
      </c>
      <c r="D4251" t="s">
        <v>314</v>
      </c>
      <c r="E4251" t="s">
        <v>310</v>
      </c>
      <c r="F4251" t="s">
        <v>4758</v>
      </c>
      <c r="G4251">
        <v>2</v>
      </c>
      <c r="H4251">
        <v>368.1</v>
      </c>
      <c r="I4251">
        <v>184.05</v>
      </c>
      <c r="J4251">
        <v>0</v>
      </c>
      <c r="K4251">
        <v>0</v>
      </c>
      <c r="L4251">
        <v>0</v>
      </c>
      <c r="M4251">
        <v>2</v>
      </c>
      <c r="N4251">
        <v>368.1</v>
      </c>
      <c r="O4251">
        <v>184.05</v>
      </c>
    </row>
    <row r="4252" spans="1:15" x14ac:dyDescent="0.35">
      <c r="A4252" t="s">
        <v>4739</v>
      </c>
      <c r="B4252" t="s">
        <v>4740</v>
      </c>
      <c r="C4252" t="s">
        <v>1644</v>
      </c>
      <c r="D4252" t="s">
        <v>323</v>
      </c>
      <c r="E4252" t="s">
        <v>294</v>
      </c>
      <c r="F4252" t="s">
        <v>4759</v>
      </c>
      <c r="G4252">
        <v>1912</v>
      </c>
      <c r="H4252">
        <v>216659.62</v>
      </c>
      <c r="I4252">
        <v>113.32</v>
      </c>
      <c r="J4252">
        <v>0</v>
      </c>
      <c r="K4252">
        <v>0</v>
      </c>
      <c r="L4252">
        <v>0</v>
      </c>
      <c r="M4252">
        <v>1912</v>
      </c>
      <c r="N4252">
        <v>216659.62</v>
      </c>
      <c r="O4252">
        <v>113.32</v>
      </c>
    </row>
    <row r="4253" spans="1:15" x14ac:dyDescent="0.35">
      <c r="A4253" t="s">
        <v>4739</v>
      </c>
      <c r="B4253" t="s">
        <v>4740</v>
      </c>
      <c r="C4253" t="s">
        <v>1644</v>
      </c>
      <c r="D4253" t="s">
        <v>323</v>
      </c>
      <c r="E4253" t="s">
        <v>296</v>
      </c>
      <c r="F4253" t="s">
        <v>4760</v>
      </c>
      <c r="G4253">
        <v>4057</v>
      </c>
      <c r="H4253">
        <v>551356.32000000007</v>
      </c>
      <c r="I4253">
        <v>135.9</v>
      </c>
      <c r="J4253">
        <v>0</v>
      </c>
      <c r="K4253">
        <v>0</v>
      </c>
      <c r="L4253">
        <v>0</v>
      </c>
      <c r="M4253">
        <v>4057</v>
      </c>
      <c r="N4253">
        <v>551356.32000000007</v>
      </c>
      <c r="O4253">
        <v>135.9</v>
      </c>
    </row>
    <row r="4254" spans="1:15" x14ac:dyDescent="0.35">
      <c r="A4254" t="s">
        <v>4739</v>
      </c>
      <c r="B4254" t="s">
        <v>4740</v>
      </c>
      <c r="C4254" t="s">
        <v>1644</v>
      </c>
      <c r="D4254" t="s">
        <v>323</v>
      </c>
      <c r="E4254" t="s">
        <v>298</v>
      </c>
      <c r="F4254" t="s">
        <v>4761</v>
      </c>
      <c r="G4254">
        <v>4885</v>
      </c>
      <c r="H4254">
        <v>735651.28</v>
      </c>
      <c r="I4254">
        <v>150.59</v>
      </c>
      <c r="J4254">
        <v>0</v>
      </c>
      <c r="K4254">
        <v>0</v>
      </c>
      <c r="L4254">
        <v>0</v>
      </c>
      <c r="M4254">
        <v>4885</v>
      </c>
      <c r="N4254">
        <v>735651.28</v>
      </c>
      <c r="O4254">
        <v>150.59</v>
      </c>
    </row>
    <row r="4255" spans="1:15" x14ac:dyDescent="0.35">
      <c r="A4255" t="s">
        <v>4739</v>
      </c>
      <c r="B4255" t="s">
        <v>4740</v>
      </c>
      <c r="C4255" t="s">
        <v>1644</v>
      </c>
      <c r="D4255" t="s">
        <v>323</v>
      </c>
      <c r="E4255" t="s">
        <v>300</v>
      </c>
      <c r="F4255" t="s">
        <v>4762</v>
      </c>
      <c r="G4255">
        <v>490</v>
      </c>
      <c r="H4255">
        <v>82490.739999999991</v>
      </c>
      <c r="I4255">
        <v>168.35</v>
      </c>
      <c r="J4255">
        <v>0</v>
      </c>
      <c r="K4255">
        <v>0</v>
      </c>
      <c r="L4255">
        <v>0</v>
      </c>
      <c r="M4255">
        <v>490</v>
      </c>
      <c r="N4255">
        <v>82490.739999999991</v>
      </c>
      <c r="O4255">
        <v>168.35</v>
      </c>
    </row>
    <row r="4256" spans="1:15" x14ac:dyDescent="0.35">
      <c r="A4256" t="s">
        <v>4739</v>
      </c>
      <c r="B4256" t="s">
        <v>4740</v>
      </c>
      <c r="C4256" t="s">
        <v>1644</v>
      </c>
      <c r="D4256" t="s">
        <v>323</v>
      </c>
      <c r="E4256" t="s">
        <v>302</v>
      </c>
      <c r="F4256" t="s">
        <v>4763</v>
      </c>
      <c r="G4256">
        <v>17</v>
      </c>
      <c r="H4256">
        <v>3032.22</v>
      </c>
      <c r="I4256">
        <v>178.37</v>
      </c>
      <c r="J4256">
        <v>0</v>
      </c>
      <c r="K4256">
        <v>0</v>
      </c>
      <c r="L4256">
        <v>0</v>
      </c>
      <c r="M4256">
        <v>17</v>
      </c>
      <c r="N4256">
        <v>3032.22</v>
      </c>
      <c r="O4256">
        <v>178.37</v>
      </c>
    </row>
    <row r="4257" spans="1:15" x14ac:dyDescent="0.35">
      <c r="A4257" t="s">
        <v>4739</v>
      </c>
      <c r="B4257" t="s">
        <v>4740</v>
      </c>
      <c r="C4257" t="s">
        <v>1644</v>
      </c>
      <c r="D4257" t="s">
        <v>323</v>
      </c>
      <c r="E4257" t="s">
        <v>304</v>
      </c>
      <c r="F4257" t="s">
        <v>4764</v>
      </c>
      <c r="G4257">
        <v>2</v>
      </c>
      <c r="H4257">
        <v>397.02</v>
      </c>
      <c r="I4257">
        <v>198.51</v>
      </c>
      <c r="J4257">
        <v>0</v>
      </c>
      <c r="K4257">
        <v>0</v>
      </c>
      <c r="L4257">
        <v>0</v>
      </c>
      <c r="M4257">
        <v>2</v>
      </c>
      <c r="N4257">
        <v>397.02</v>
      </c>
      <c r="O4257">
        <v>198.51</v>
      </c>
    </row>
    <row r="4258" spans="1:15" x14ac:dyDescent="0.35">
      <c r="A4258" t="s">
        <v>4739</v>
      </c>
      <c r="B4258" t="s">
        <v>4740</v>
      </c>
      <c r="C4258" t="s">
        <v>1644</v>
      </c>
      <c r="D4258" t="s">
        <v>323</v>
      </c>
      <c r="E4258" t="s">
        <v>306</v>
      </c>
      <c r="F4258" t="s">
        <v>4765</v>
      </c>
      <c r="G4258">
        <v>158</v>
      </c>
      <c r="H4258">
        <v>14846.28</v>
      </c>
      <c r="I4258">
        <v>93.96</v>
      </c>
      <c r="J4258">
        <v>0</v>
      </c>
      <c r="K4258">
        <v>0</v>
      </c>
      <c r="L4258">
        <v>0</v>
      </c>
      <c r="M4258">
        <v>158</v>
      </c>
      <c r="N4258">
        <v>14846.28</v>
      </c>
      <c r="O4258">
        <v>93.96</v>
      </c>
    </row>
    <row r="4259" spans="1:15" x14ac:dyDescent="0.35">
      <c r="A4259" t="s">
        <v>4739</v>
      </c>
      <c r="B4259" t="s">
        <v>4740</v>
      </c>
      <c r="C4259" t="s">
        <v>1644</v>
      </c>
      <c r="D4259" t="s">
        <v>323</v>
      </c>
      <c r="E4259" t="s">
        <v>308</v>
      </c>
      <c r="F4259" t="s">
        <v>4766</v>
      </c>
      <c r="G4259">
        <v>0</v>
      </c>
      <c r="H4259">
        <v>0</v>
      </c>
      <c r="I4259">
        <v>0</v>
      </c>
      <c r="J4259">
        <v>0</v>
      </c>
      <c r="K4259">
        <v>0</v>
      </c>
      <c r="L4259">
        <v>0</v>
      </c>
      <c r="M4259">
        <v>0</v>
      </c>
      <c r="N4259">
        <v>0</v>
      </c>
      <c r="O4259">
        <v>0</v>
      </c>
    </row>
    <row r="4260" spans="1:15" x14ac:dyDescent="0.35">
      <c r="A4260" t="s">
        <v>4739</v>
      </c>
      <c r="B4260" t="s">
        <v>4740</v>
      </c>
      <c r="C4260" t="s">
        <v>1644</v>
      </c>
      <c r="D4260" t="s">
        <v>323</v>
      </c>
      <c r="E4260" t="s">
        <v>310</v>
      </c>
      <c r="F4260" t="s">
        <v>4767</v>
      </c>
      <c r="G4260">
        <v>11521</v>
      </c>
      <c r="H4260">
        <v>1604433.4800000002</v>
      </c>
      <c r="I4260">
        <v>139.26</v>
      </c>
      <c r="J4260">
        <v>0</v>
      </c>
      <c r="K4260">
        <v>0</v>
      </c>
      <c r="L4260">
        <v>0</v>
      </c>
      <c r="M4260">
        <v>11521</v>
      </c>
      <c r="N4260">
        <v>1604433.4800000002</v>
      </c>
      <c r="O4260">
        <v>139.26</v>
      </c>
    </row>
    <row r="4261" spans="1:15" x14ac:dyDescent="0.35">
      <c r="A4261" t="s">
        <v>4739</v>
      </c>
      <c r="B4261" t="s">
        <v>4740</v>
      </c>
      <c r="C4261" t="s">
        <v>1644</v>
      </c>
      <c r="D4261" t="s">
        <v>323</v>
      </c>
      <c r="E4261" t="s">
        <v>312</v>
      </c>
      <c r="F4261" t="s">
        <v>4768</v>
      </c>
      <c r="G4261">
        <v>11521</v>
      </c>
      <c r="H4261">
        <v>1604433.4800000002</v>
      </c>
      <c r="I4261">
        <v>139.26</v>
      </c>
      <c r="J4261">
        <v>0</v>
      </c>
      <c r="K4261">
        <v>0</v>
      </c>
      <c r="L4261">
        <v>0</v>
      </c>
      <c r="M4261">
        <v>11521</v>
      </c>
      <c r="N4261">
        <v>1604433.4800000002</v>
      </c>
      <c r="O4261">
        <v>139.26</v>
      </c>
    </row>
    <row r="4262" spans="1:15" x14ac:dyDescent="0.35">
      <c r="A4262" t="s">
        <v>4739</v>
      </c>
      <c r="B4262" t="s">
        <v>4740</v>
      </c>
      <c r="C4262" t="s">
        <v>1644</v>
      </c>
      <c r="D4262" t="s">
        <v>334</v>
      </c>
      <c r="E4262" t="s">
        <v>312</v>
      </c>
      <c r="F4262" t="s">
        <v>4769</v>
      </c>
      <c r="G4262">
        <v>13670</v>
      </c>
      <c r="H4262">
        <v>1970475.08</v>
      </c>
      <c r="I4262">
        <v>146.9</v>
      </c>
      <c r="J4262">
        <v>0</v>
      </c>
      <c r="K4262">
        <v>0</v>
      </c>
      <c r="L4262">
        <v>0</v>
      </c>
      <c r="M4262">
        <v>13670</v>
      </c>
      <c r="N4262">
        <v>1970475.08</v>
      </c>
      <c r="O4262">
        <v>146.9</v>
      </c>
    </row>
    <row r="4263" spans="1:15" x14ac:dyDescent="0.35">
      <c r="A4263" t="s">
        <v>4739</v>
      </c>
      <c r="B4263" t="s">
        <v>4740</v>
      </c>
      <c r="C4263" t="s">
        <v>1644</v>
      </c>
      <c r="D4263" t="s">
        <v>334</v>
      </c>
      <c r="E4263" t="s">
        <v>308</v>
      </c>
      <c r="F4263" t="s">
        <v>4770</v>
      </c>
      <c r="G4263">
        <v>312</v>
      </c>
      <c r="H4263">
        <v>0</v>
      </c>
      <c r="I4263">
        <v>0</v>
      </c>
      <c r="J4263">
        <v>0</v>
      </c>
      <c r="K4263">
        <v>0</v>
      </c>
      <c r="L4263">
        <v>0</v>
      </c>
      <c r="M4263">
        <v>312</v>
      </c>
      <c r="N4263">
        <v>0</v>
      </c>
      <c r="O4263">
        <v>0</v>
      </c>
    </row>
    <row r="4264" spans="1:15" x14ac:dyDescent="0.35">
      <c r="A4264" t="s">
        <v>4739</v>
      </c>
      <c r="B4264" t="s">
        <v>4740</v>
      </c>
      <c r="C4264" t="s">
        <v>1644</v>
      </c>
      <c r="D4264" t="s">
        <v>337</v>
      </c>
      <c r="E4264" t="s">
        <v>337</v>
      </c>
      <c r="F4264" t="s">
        <v>4771</v>
      </c>
      <c r="G4264">
        <v>1778</v>
      </c>
      <c r="J4264">
        <v>0</v>
      </c>
      <c r="M4264">
        <v>1778</v>
      </c>
    </row>
    <row r="4265" spans="1:15" x14ac:dyDescent="0.35">
      <c r="A4265" t="s">
        <v>4739</v>
      </c>
      <c r="B4265" t="s">
        <v>4740</v>
      </c>
      <c r="C4265" t="s">
        <v>1644</v>
      </c>
      <c r="D4265" t="s">
        <v>339</v>
      </c>
      <c r="E4265" t="s">
        <v>294</v>
      </c>
      <c r="F4265" t="s">
        <v>4772</v>
      </c>
      <c r="G4265">
        <v>676</v>
      </c>
      <c r="H4265">
        <v>84436.849999999991</v>
      </c>
      <c r="I4265">
        <v>124.91</v>
      </c>
      <c r="J4265">
        <v>0</v>
      </c>
      <c r="K4265">
        <v>0</v>
      </c>
      <c r="L4265">
        <v>0</v>
      </c>
      <c r="M4265">
        <v>676</v>
      </c>
      <c r="N4265">
        <v>84436.849999999991</v>
      </c>
      <c r="O4265">
        <v>124.91</v>
      </c>
    </row>
    <row r="4266" spans="1:15" x14ac:dyDescent="0.35">
      <c r="A4266" t="s">
        <v>4739</v>
      </c>
      <c r="B4266" t="s">
        <v>4740</v>
      </c>
      <c r="C4266" t="s">
        <v>1644</v>
      </c>
      <c r="D4266" t="s">
        <v>339</v>
      </c>
      <c r="E4266" t="s">
        <v>296</v>
      </c>
      <c r="F4266" t="s">
        <v>4773</v>
      </c>
      <c r="G4266">
        <v>169</v>
      </c>
      <c r="H4266">
        <v>23352.35</v>
      </c>
      <c r="I4266">
        <v>138.18</v>
      </c>
      <c r="J4266">
        <v>0</v>
      </c>
      <c r="K4266">
        <v>0</v>
      </c>
      <c r="L4266">
        <v>0</v>
      </c>
      <c r="M4266">
        <v>169</v>
      </c>
      <c r="N4266">
        <v>23352.35</v>
      </c>
      <c r="O4266">
        <v>138.18</v>
      </c>
    </row>
    <row r="4267" spans="1:15" x14ac:dyDescent="0.35">
      <c r="A4267" t="s">
        <v>4739</v>
      </c>
      <c r="B4267" t="s">
        <v>4740</v>
      </c>
      <c r="C4267" t="s">
        <v>1644</v>
      </c>
      <c r="D4267" t="s">
        <v>339</v>
      </c>
      <c r="E4267" t="s">
        <v>298</v>
      </c>
      <c r="F4267" t="s">
        <v>4774</v>
      </c>
      <c r="G4267">
        <v>20</v>
      </c>
      <c r="H4267">
        <v>4112.93</v>
      </c>
      <c r="I4267">
        <v>205.65</v>
      </c>
      <c r="J4267">
        <v>0</v>
      </c>
      <c r="K4267">
        <v>0</v>
      </c>
      <c r="L4267">
        <v>0</v>
      </c>
      <c r="M4267">
        <v>20</v>
      </c>
      <c r="N4267">
        <v>4112.93</v>
      </c>
      <c r="O4267">
        <v>205.65</v>
      </c>
    </row>
    <row r="4268" spans="1:15" x14ac:dyDescent="0.35">
      <c r="A4268" t="s">
        <v>4739</v>
      </c>
      <c r="B4268" t="s">
        <v>4740</v>
      </c>
      <c r="C4268" t="s">
        <v>1644</v>
      </c>
      <c r="D4268" t="s">
        <v>339</v>
      </c>
      <c r="E4268" t="s">
        <v>300</v>
      </c>
      <c r="F4268" t="s">
        <v>4775</v>
      </c>
      <c r="G4268">
        <v>5</v>
      </c>
      <c r="H4268">
        <v>1207.55</v>
      </c>
      <c r="I4268">
        <v>241.51</v>
      </c>
      <c r="J4268">
        <v>0</v>
      </c>
      <c r="K4268">
        <v>0</v>
      </c>
      <c r="L4268">
        <v>0</v>
      </c>
      <c r="M4268">
        <v>5</v>
      </c>
      <c r="N4268">
        <v>1207.55</v>
      </c>
      <c r="O4268">
        <v>241.51</v>
      </c>
    </row>
    <row r="4269" spans="1:15" x14ac:dyDescent="0.35">
      <c r="A4269" t="s">
        <v>4739</v>
      </c>
      <c r="B4269" t="s">
        <v>4740</v>
      </c>
      <c r="C4269" t="s">
        <v>1644</v>
      </c>
      <c r="D4269" t="s">
        <v>339</v>
      </c>
      <c r="E4269" t="s">
        <v>306</v>
      </c>
      <c r="F4269" t="s">
        <v>4776</v>
      </c>
      <c r="G4269">
        <v>77</v>
      </c>
      <c r="H4269">
        <v>8482.09</v>
      </c>
      <c r="I4269">
        <v>110.16</v>
      </c>
      <c r="J4269">
        <v>0</v>
      </c>
      <c r="K4269">
        <v>0</v>
      </c>
      <c r="L4269">
        <v>0</v>
      </c>
      <c r="M4269">
        <v>77</v>
      </c>
      <c r="N4269">
        <v>8482.09</v>
      </c>
      <c r="O4269">
        <v>110.16</v>
      </c>
    </row>
    <row r="4270" spans="1:15" x14ac:dyDescent="0.35">
      <c r="A4270" t="s">
        <v>4739</v>
      </c>
      <c r="B4270" t="s">
        <v>4740</v>
      </c>
      <c r="C4270" t="s">
        <v>1644</v>
      </c>
      <c r="D4270" t="s">
        <v>339</v>
      </c>
      <c r="E4270" t="s">
        <v>308</v>
      </c>
      <c r="F4270" t="s">
        <v>4777</v>
      </c>
      <c r="G4270">
        <v>174</v>
      </c>
      <c r="H4270">
        <v>22675.24</v>
      </c>
      <c r="I4270">
        <v>130.32</v>
      </c>
      <c r="J4270">
        <v>0</v>
      </c>
      <c r="K4270">
        <v>0</v>
      </c>
      <c r="L4270">
        <v>0</v>
      </c>
      <c r="M4270">
        <v>174</v>
      </c>
      <c r="N4270">
        <v>22675.24</v>
      </c>
      <c r="O4270">
        <v>130.32</v>
      </c>
    </row>
    <row r="4271" spans="1:15" x14ac:dyDescent="0.35">
      <c r="A4271" t="s">
        <v>4739</v>
      </c>
      <c r="B4271" t="s">
        <v>4740</v>
      </c>
      <c r="C4271" t="s">
        <v>1644</v>
      </c>
      <c r="D4271" t="s">
        <v>339</v>
      </c>
      <c r="E4271" t="s">
        <v>310</v>
      </c>
      <c r="F4271" t="s">
        <v>4778</v>
      </c>
      <c r="G4271">
        <v>1121</v>
      </c>
      <c r="H4271">
        <v>144267.00999999998</v>
      </c>
      <c r="I4271">
        <v>128.69</v>
      </c>
      <c r="J4271">
        <v>0</v>
      </c>
      <c r="K4271">
        <v>0</v>
      </c>
      <c r="L4271">
        <v>0</v>
      </c>
      <c r="M4271">
        <v>1121</v>
      </c>
      <c r="N4271">
        <v>144267.00999999998</v>
      </c>
      <c r="O4271">
        <v>128.69</v>
      </c>
    </row>
    <row r="4272" spans="1:15" x14ac:dyDescent="0.35">
      <c r="A4272" t="s">
        <v>4739</v>
      </c>
      <c r="B4272" t="s">
        <v>4740</v>
      </c>
      <c r="C4272" t="s">
        <v>1644</v>
      </c>
      <c r="D4272" t="s">
        <v>339</v>
      </c>
      <c r="E4272" t="s">
        <v>312</v>
      </c>
      <c r="F4272" t="s">
        <v>4779</v>
      </c>
      <c r="G4272">
        <v>947</v>
      </c>
      <c r="H4272">
        <v>121591.76999999997</v>
      </c>
      <c r="I4272">
        <v>128.4</v>
      </c>
      <c r="J4272">
        <v>0</v>
      </c>
      <c r="K4272">
        <v>0</v>
      </c>
      <c r="L4272">
        <v>0</v>
      </c>
      <c r="M4272">
        <v>947</v>
      </c>
      <c r="N4272">
        <v>121591.76999999997</v>
      </c>
      <c r="O4272">
        <v>128.4</v>
      </c>
    </row>
    <row r="4273" spans="1:15" x14ac:dyDescent="0.35">
      <c r="A4273" t="s">
        <v>4739</v>
      </c>
      <c r="B4273" t="s">
        <v>4740</v>
      </c>
      <c r="C4273" t="s">
        <v>1644</v>
      </c>
      <c r="D4273" t="s">
        <v>348</v>
      </c>
      <c r="E4273" t="s">
        <v>349</v>
      </c>
      <c r="F4273" t="s">
        <v>4780</v>
      </c>
      <c r="G4273">
        <v>1274</v>
      </c>
      <c r="H4273">
        <v>144635.10999999999</v>
      </c>
      <c r="I4273">
        <v>128.79</v>
      </c>
      <c r="J4273">
        <v>0</v>
      </c>
      <c r="K4273">
        <v>0</v>
      </c>
      <c r="L4273">
        <v>0</v>
      </c>
      <c r="M4273">
        <v>1274</v>
      </c>
      <c r="N4273">
        <v>144635.10999999999</v>
      </c>
      <c r="O4273">
        <v>128.79</v>
      </c>
    </row>
    <row r="4274" spans="1:15" x14ac:dyDescent="0.35">
      <c r="A4274" t="s">
        <v>4781</v>
      </c>
      <c r="B4274" t="s">
        <v>4782</v>
      </c>
      <c r="C4274" t="s">
        <v>1644</v>
      </c>
      <c r="D4274" t="s">
        <v>293</v>
      </c>
      <c r="E4274" t="s">
        <v>294</v>
      </c>
      <c r="F4274" t="s">
        <v>4783</v>
      </c>
      <c r="G4274">
        <v>379</v>
      </c>
      <c r="H4274">
        <v>58593.679999999993</v>
      </c>
      <c r="I4274">
        <v>154.6</v>
      </c>
      <c r="J4274">
        <v>0</v>
      </c>
      <c r="K4274">
        <v>0</v>
      </c>
      <c r="L4274">
        <v>0</v>
      </c>
      <c r="M4274">
        <v>379</v>
      </c>
      <c r="N4274">
        <v>58593.679999999993</v>
      </c>
      <c r="O4274">
        <v>154.6</v>
      </c>
    </row>
    <row r="4275" spans="1:15" x14ac:dyDescent="0.35">
      <c r="A4275" t="s">
        <v>4781</v>
      </c>
      <c r="B4275" t="s">
        <v>4782</v>
      </c>
      <c r="C4275" t="s">
        <v>1644</v>
      </c>
      <c r="D4275" t="s">
        <v>293</v>
      </c>
      <c r="E4275" t="s">
        <v>296</v>
      </c>
      <c r="F4275" t="s">
        <v>4784</v>
      </c>
      <c r="G4275">
        <v>701</v>
      </c>
      <c r="H4275">
        <v>139471.09999999995</v>
      </c>
      <c r="I4275">
        <v>198.96</v>
      </c>
      <c r="J4275">
        <v>0</v>
      </c>
      <c r="K4275">
        <v>0</v>
      </c>
      <c r="L4275">
        <v>0</v>
      </c>
      <c r="M4275">
        <v>701</v>
      </c>
      <c r="N4275">
        <v>139471.09999999995</v>
      </c>
      <c r="O4275">
        <v>198.96</v>
      </c>
    </row>
    <row r="4276" spans="1:15" x14ac:dyDescent="0.35">
      <c r="A4276" t="s">
        <v>4781</v>
      </c>
      <c r="B4276" t="s">
        <v>4782</v>
      </c>
      <c r="C4276" t="s">
        <v>1644</v>
      </c>
      <c r="D4276" t="s">
        <v>293</v>
      </c>
      <c r="E4276" t="s">
        <v>298</v>
      </c>
      <c r="F4276" t="s">
        <v>4785</v>
      </c>
      <c r="G4276">
        <v>309</v>
      </c>
      <c r="H4276">
        <v>72925.3</v>
      </c>
      <c r="I4276">
        <v>236</v>
      </c>
      <c r="J4276">
        <v>0</v>
      </c>
      <c r="K4276">
        <v>0</v>
      </c>
      <c r="L4276">
        <v>0</v>
      </c>
      <c r="M4276">
        <v>309</v>
      </c>
      <c r="N4276">
        <v>72925.3</v>
      </c>
      <c r="O4276">
        <v>236</v>
      </c>
    </row>
    <row r="4277" spans="1:15" x14ac:dyDescent="0.35">
      <c r="A4277" t="s">
        <v>4781</v>
      </c>
      <c r="B4277" t="s">
        <v>4782</v>
      </c>
      <c r="C4277" t="s">
        <v>1644</v>
      </c>
      <c r="D4277" t="s">
        <v>293</v>
      </c>
      <c r="E4277" t="s">
        <v>300</v>
      </c>
      <c r="F4277" t="s">
        <v>4786</v>
      </c>
      <c r="G4277">
        <v>32</v>
      </c>
      <c r="H4277">
        <v>9258.630000000001</v>
      </c>
      <c r="I4277">
        <v>289.33</v>
      </c>
      <c r="J4277">
        <v>0</v>
      </c>
      <c r="K4277">
        <v>0</v>
      </c>
      <c r="L4277">
        <v>0</v>
      </c>
      <c r="M4277">
        <v>32</v>
      </c>
      <c r="N4277">
        <v>9258.630000000001</v>
      </c>
      <c r="O4277">
        <v>289.33</v>
      </c>
    </row>
    <row r="4278" spans="1:15" x14ac:dyDescent="0.35">
      <c r="A4278" t="s">
        <v>4781</v>
      </c>
      <c r="B4278" t="s">
        <v>4782</v>
      </c>
      <c r="C4278" t="s">
        <v>1644</v>
      </c>
      <c r="D4278" t="s">
        <v>293</v>
      </c>
      <c r="E4278" t="s">
        <v>302</v>
      </c>
      <c r="F4278" t="s">
        <v>4787</v>
      </c>
      <c r="G4278">
        <v>0</v>
      </c>
      <c r="H4278">
        <v>0</v>
      </c>
      <c r="I4278">
        <v>0</v>
      </c>
      <c r="J4278">
        <v>0</v>
      </c>
      <c r="K4278">
        <v>0</v>
      </c>
      <c r="L4278">
        <v>0</v>
      </c>
      <c r="M4278">
        <v>0</v>
      </c>
      <c r="N4278">
        <v>0</v>
      </c>
      <c r="O4278">
        <v>0</v>
      </c>
    </row>
    <row r="4279" spans="1:15" x14ac:dyDescent="0.35">
      <c r="A4279" t="s">
        <v>4781</v>
      </c>
      <c r="B4279" t="s">
        <v>4782</v>
      </c>
      <c r="C4279" t="s">
        <v>1644</v>
      </c>
      <c r="D4279" t="s">
        <v>293</v>
      </c>
      <c r="E4279" t="s">
        <v>304</v>
      </c>
      <c r="F4279" t="s">
        <v>4788</v>
      </c>
      <c r="G4279">
        <v>0</v>
      </c>
      <c r="H4279">
        <v>0</v>
      </c>
      <c r="I4279">
        <v>0</v>
      </c>
      <c r="J4279">
        <v>0</v>
      </c>
      <c r="K4279">
        <v>0</v>
      </c>
      <c r="L4279">
        <v>0</v>
      </c>
      <c r="M4279">
        <v>0</v>
      </c>
      <c r="N4279">
        <v>0</v>
      </c>
      <c r="O4279">
        <v>0</v>
      </c>
    </row>
    <row r="4280" spans="1:15" x14ac:dyDescent="0.35">
      <c r="A4280" t="s">
        <v>4781</v>
      </c>
      <c r="B4280" t="s">
        <v>4782</v>
      </c>
      <c r="C4280" t="s">
        <v>1644</v>
      </c>
      <c r="D4280" t="s">
        <v>293</v>
      </c>
      <c r="E4280" t="s">
        <v>306</v>
      </c>
      <c r="F4280" t="s">
        <v>4789</v>
      </c>
      <c r="G4280">
        <v>3</v>
      </c>
      <c r="H4280">
        <v>405.88</v>
      </c>
      <c r="I4280">
        <v>135.29</v>
      </c>
      <c r="J4280">
        <v>0</v>
      </c>
      <c r="K4280">
        <v>0</v>
      </c>
      <c r="L4280">
        <v>0</v>
      </c>
      <c r="M4280">
        <v>3</v>
      </c>
      <c r="N4280">
        <v>405.88</v>
      </c>
      <c r="O4280">
        <v>135.29</v>
      </c>
    </row>
    <row r="4281" spans="1:15" x14ac:dyDescent="0.35">
      <c r="A4281" t="s">
        <v>4781</v>
      </c>
      <c r="B4281" t="s">
        <v>4782</v>
      </c>
      <c r="C4281" t="s">
        <v>1644</v>
      </c>
      <c r="D4281" t="s">
        <v>293</v>
      </c>
      <c r="E4281" t="s">
        <v>308</v>
      </c>
      <c r="F4281" t="s">
        <v>4790</v>
      </c>
      <c r="G4281">
        <v>0</v>
      </c>
      <c r="H4281">
        <v>0</v>
      </c>
      <c r="I4281">
        <v>0</v>
      </c>
      <c r="J4281">
        <v>0</v>
      </c>
      <c r="K4281">
        <v>0</v>
      </c>
      <c r="L4281">
        <v>0</v>
      </c>
      <c r="M4281">
        <v>0</v>
      </c>
      <c r="N4281">
        <v>0</v>
      </c>
      <c r="O4281">
        <v>0</v>
      </c>
    </row>
    <row r="4282" spans="1:15" x14ac:dyDescent="0.35">
      <c r="A4282" t="s">
        <v>4781</v>
      </c>
      <c r="B4282" t="s">
        <v>4782</v>
      </c>
      <c r="C4282" t="s">
        <v>1644</v>
      </c>
      <c r="D4282" t="s">
        <v>293</v>
      </c>
      <c r="E4282" t="s">
        <v>310</v>
      </c>
      <c r="F4282" t="s">
        <v>4791</v>
      </c>
      <c r="G4282">
        <v>1424</v>
      </c>
      <c r="H4282">
        <v>280654.58999999997</v>
      </c>
      <c r="I4282">
        <v>197.09</v>
      </c>
      <c r="J4282">
        <v>0</v>
      </c>
      <c r="K4282">
        <v>0</v>
      </c>
      <c r="L4282">
        <v>0</v>
      </c>
      <c r="M4282">
        <v>1424</v>
      </c>
      <c r="N4282">
        <v>280654.58999999997</v>
      </c>
      <c r="O4282">
        <v>197.09</v>
      </c>
    </row>
    <row r="4283" spans="1:15" x14ac:dyDescent="0.35">
      <c r="A4283" t="s">
        <v>4781</v>
      </c>
      <c r="B4283" t="s">
        <v>4782</v>
      </c>
      <c r="C4283" t="s">
        <v>1644</v>
      </c>
      <c r="D4283" t="s">
        <v>293</v>
      </c>
      <c r="E4283" t="s">
        <v>312</v>
      </c>
      <c r="F4283" t="s">
        <v>4792</v>
      </c>
      <c r="G4283">
        <v>1424</v>
      </c>
      <c r="H4283">
        <v>280654.58999999997</v>
      </c>
      <c r="I4283">
        <v>197.09</v>
      </c>
      <c r="J4283">
        <v>0</v>
      </c>
      <c r="K4283">
        <v>0</v>
      </c>
      <c r="L4283">
        <v>0</v>
      </c>
      <c r="M4283">
        <v>1424</v>
      </c>
      <c r="N4283">
        <v>280654.58999999997</v>
      </c>
      <c r="O4283">
        <v>197.09</v>
      </c>
    </row>
    <row r="4284" spans="1:15" x14ac:dyDescent="0.35">
      <c r="A4284" t="s">
        <v>4781</v>
      </c>
      <c r="B4284" t="s">
        <v>4782</v>
      </c>
      <c r="C4284" t="s">
        <v>1644</v>
      </c>
      <c r="D4284" t="s">
        <v>314</v>
      </c>
      <c r="E4284" t="s">
        <v>294</v>
      </c>
      <c r="F4284" t="s">
        <v>4793</v>
      </c>
      <c r="G4284">
        <v>8</v>
      </c>
      <c r="H4284">
        <v>1253.76</v>
      </c>
      <c r="I4284">
        <v>156.72</v>
      </c>
      <c r="J4284">
        <v>0</v>
      </c>
      <c r="K4284">
        <v>0</v>
      </c>
      <c r="L4284">
        <v>0</v>
      </c>
      <c r="M4284">
        <v>8</v>
      </c>
      <c r="N4284">
        <v>1253.76</v>
      </c>
      <c r="O4284">
        <v>156.72</v>
      </c>
    </row>
    <row r="4285" spans="1:15" x14ac:dyDescent="0.35">
      <c r="A4285" t="s">
        <v>4781</v>
      </c>
      <c r="B4285" t="s">
        <v>4782</v>
      </c>
      <c r="C4285" t="s">
        <v>1644</v>
      </c>
      <c r="D4285" t="s">
        <v>314</v>
      </c>
      <c r="E4285" t="s">
        <v>296</v>
      </c>
      <c r="F4285" t="s">
        <v>4794</v>
      </c>
      <c r="G4285">
        <v>0</v>
      </c>
      <c r="H4285">
        <v>0</v>
      </c>
      <c r="I4285">
        <v>0</v>
      </c>
      <c r="J4285">
        <v>0</v>
      </c>
      <c r="K4285">
        <v>0</v>
      </c>
      <c r="L4285">
        <v>0</v>
      </c>
      <c r="M4285">
        <v>0</v>
      </c>
      <c r="N4285">
        <v>0</v>
      </c>
      <c r="O4285">
        <v>0</v>
      </c>
    </row>
    <row r="4286" spans="1:15" x14ac:dyDescent="0.35">
      <c r="A4286" t="s">
        <v>4781</v>
      </c>
      <c r="B4286" t="s">
        <v>4782</v>
      </c>
      <c r="C4286" t="s">
        <v>1644</v>
      </c>
      <c r="D4286" t="s">
        <v>314</v>
      </c>
      <c r="E4286" t="s">
        <v>298</v>
      </c>
      <c r="F4286" t="s">
        <v>4795</v>
      </c>
      <c r="G4286">
        <v>0</v>
      </c>
      <c r="H4286">
        <v>0</v>
      </c>
      <c r="I4286">
        <v>0</v>
      </c>
      <c r="J4286">
        <v>0</v>
      </c>
      <c r="K4286">
        <v>0</v>
      </c>
      <c r="L4286">
        <v>0</v>
      </c>
      <c r="M4286">
        <v>0</v>
      </c>
      <c r="N4286">
        <v>0</v>
      </c>
      <c r="O4286">
        <v>0</v>
      </c>
    </row>
    <row r="4287" spans="1:15" x14ac:dyDescent="0.35">
      <c r="A4287" t="s">
        <v>4781</v>
      </c>
      <c r="B4287" t="s">
        <v>4782</v>
      </c>
      <c r="C4287" t="s">
        <v>1644</v>
      </c>
      <c r="D4287" t="s">
        <v>314</v>
      </c>
      <c r="E4287" t="s">
        <v>300</v>
      </c>
      <c r="F4287" t="s">
        <v>4796</v>
      </c>
      <c r="G4287">
        <v>0</v>
      </c>
      <c r="H4287">
        <v>0</v>
      </c>
      <c r="I4287">
        <v>0</v>
      </c>
      <c r="J4287">
        <v>0</v>
      </c>
      <c r="K4287">
        <v>0</v>
      </c>
      <c r="L4287">
        <v>0</v>
      </c>
      <c r="M4287">
        <v>0</v>
      </c>
      <c r="N4287">
        <v>0</v>
      </c>
      <c r="O4287">
        <v>0</v>
      </c>
    </row>
    <row r="4288" spans="1:15" x14ac:dyDescent="0.35">
      <c r="A4288" t="s">
        <v>4781</v>
      </c>
      <c r="B4288" t="s">
        <v>4782</v>
      </c>
      <c r="C4288" t="s">
        <v>1644</v>
      </c>
      <c r="D4288" t="s">
        <v>314</v>
      </c>
      <c r="E4288" t="s">
        <v>306</v>
      </c>
      <c r="F4288" t="s">
        <v>4797</v>
      </c>
      <c r="G4288">
        <v>0</v>
      </c>
      <c r="H4288">
        <v>0</v>
      </c>
      <c r="I4288">
        <v>0</v>
      </c>
      <c r="J4288">
        <v>0</v>
      </c>
      <c r="K4288">
        <v>0</v>
      </c>
      <c r="L4288">
        <v>0</v>
      </c>
      <c r="M4288">
        <v>0</v>
      </c>
      <c r="N4288">
        <v>0</v>
      </c>
      <c r="O4288">
        <v>0</v>
      </c>
    </row>
    <row r="4289" spans="1:15" x14ac:dyDescent="0.35">
      <c r="A4289" t="s">
        <v>4781</v>
      </c>
      <c r="B4289" t="s">
        <v>4782</v>
      </c>
      <c r="C4289" t="s">
        <v>1644</v>
      </c>
      <c r="D4289" t="s">
        <v>314</v>
      </c>
      <c r="E4289" t="s">
        <v>308</v>
      </c>
      <c r="F4289" t="s">
        <v>4798</v>
      </c>
      <c r="G4289">
        <v>0</v>
      </c>
      <c r="H4289">
        <v>0</v>
      </c>
      <c r="I4289">
        <v>0</v>
      </c>
      <c r="J4289">
        <v>0</v>
      </c>
      <c r="K4289">
        <v>0</v>
      </c>
      <c r="L4289">
        <v>0</v>
      </c>
      <c r="M4289">
        <v>0</v>
      </c>
      <c r="N4289">
        <v>0</v>
      </c>
      <c r="O4289">
        <v>0</v>
      </c>
    </row>
    <row r="4290" spans="1:15" x14ac:dyDescent="0.35">
      <c r="A4290" t="s">
        <v>4781</v>
      </c>
      <c r="B4290" t="s">
        <v>4782</v>
      </c>
      <c r="C4290" t="s">
        <v>1644</v>
      </c>
      <c r="D4290" t="s">
        <v>314</v>
      </c>
      <c r="E4290" t="s">
        <v>312</v>
      </c>
      <c r="F4290" t="s">
        <v>4799</v>
      </c>
      <c r="G4290">
        <v>8</v>
      </c>
      <c r="H4290">
        <v>1253.76</v>
      </c>
      <c r="I4290">
        <v>156.72</v>
      </c>
      <c r="J4290">
        <v>0</v>
      </c>
      <c r="K4290">
        <v>0</v>
      </c>
      <c r="L4290">
        <v>0</v>
      </c>
      <c r="M4290">
        <v>8</v>
      </c>
      <c r="N4290">
        <v>1253.76</v>
      </c>
      <c r="O4290">
        <v>156.72</v>
      </c>
    </row>
    <row r="4291" spans="1:15" x14ac:dyDescent="0.35">
      <c r="A4291" t="s">
        <v>4781</v>
      </c>
      <c r="B4291" t="s">
        <v>4782</v>
      </c>
      <c r="C4291" t="s">
        <v>1644</v>
      </c>
      <c r="D4291" t="s">
        <v>314</v>
      </c>
      <c r="E4291" t="s">
        <v>310</v>
      </c>
      <c r="F4291" t="s">
        <v>4800</v>
      </c>
      <c r="G4291">
        <v>8</v>
      </c>
      <c r="H4291">
        <v>1253.76</v>
      </c>
      <c r="I4291">
        <v>156.72</v>
      </c>
      <c r="J4291">
        <v>0</v>
      </c>
      <c r="K4291">
        <v>0</v>
      </c>
      <c r="L4291">
        <v>0</v>
      </c>
      <c r="M4291">
        <v>8</v>
      </c>
      <c r="N4291">
        <v>1253.76</v>
      </c>
      <c r="O4291">
        <v>156.72</v>
      </c>
    </row>
    <row r="4292" spans="1:15" x14ac:dyDescent="0.35">
      <c r="A4292" t="s">
        <v>4781</v>
      </c>
      <c r="B4292" t="s">
        <v>4782</v>
      </c>
      <c r="C4292" t="s">
        <v>1644</v>
      </c>
      <c r="D4292" t="s">
        <v>323</v>
      </c>
      <c r="E4292" t="s">
        <v>294</v>
      </c>
      <c r="F4292" t="s">
        <v>4801</v>
      </c>
      <c r="G4292">
        <v>766</v>
      </c>
      <c r="H4292">
        <v>88167.510000000009</v>
      </c>
      <c r="I4292">
        <v>115.1</v>
      </c>
      <c r="J4292">
        <v>0</v>
      </c>
      <c r="K4292">
        <v>0</v>
      </c>
      <c r="L4292">
        <v>0</v>
      </c>
      <c r="M4292">
        <v>766</v>
      </c>
      <c r="N4292">
        <v>88167.510000000009</v>
      </c>
      <c r="O4292">
        <v>115.1</v>
      </c>
    </row>
    <row r="4293" spans="1:15" x14ac:dyDescent="0.35">
      <c r="A4293" t="s">
        <v>4781</v>
      </c>
      <c r="B4293" t="s">
        <v>4782</v>
      </c>
      <c r="C4293" t="s">
        <v>1644</v>
      </c>
      <c r="D4293" t="s">
        <v>323</v>
      </c>
      <c r="E4293" t="s">
        <v>296</v>
      </c>
      <c r="F4293" t="s">
        <v>4802</v>
      </c>
      <c r="G4293">
        <v>1487</v>
      </c>
      <c r="H4293">
        <v>203299.36000000002</v>
      </c>
      <c r="I4293">
        <v>136.72</v>
      </c>
      <c r="J4293">
        <v>0</v>
      </c>
      <c r="K4293">
        <v>0</v>
      </c>
      <c r="L4293">
        <v>0</v>
      </c>
      <c r="M4293">
        <v>1487</v>
      </c>
      <c r="N4293">
        <v>203299.36000000002</v>
      </c>
      <c r="O4293">
        <v>136.72</v>
      </c>
    </row>
    <row r="4294" spans="1:15" x14ac:dyDescent="0.35">
      <c r="A4294" t="s">
        <v>4781</v>
      </c>
      <c r="B4294" t="s">
        <v>4782</v>
      </c>
      <c r="C4294" t="s">
        <v>1644</v>
      </c>
      <c r="D4294" t="s">
        <v>323</v>
      </c>
      <c r="E4294" t="s">
        <v>298</v>
      </c>
      <c r="F4294" t="s">
        <v>4803</v>
      </c>
      <c r="G4294">
        <v>1806</v>
      </c>
      <c r="H4294">
        <v>282465.36999999994</v>
      </c>
      <c r="I4294">
        <v>156.4</v>
      </c>
      <c r="J4294">
        <v>0</v>
      </c>
      <c r="K4294">
        <v>0</v>
      </c>
      <c r="L4294">
        <v>0</v>
      </c>
      <c r="M4294">
        <v>1806</v>
      </c>
      <c r="N4294">
        <v>282465.36999999994</v>
      </c>
      <c r="O4294">
        <v>156.4</v>
      </c>
    </row>
    <row r="4295" spans="1:15" x14ac:dyDescent="0.35">
      <c r="A4295" t="s">
        <v>4781</v>
      </c>
      <c r="B4295" t="s">
        <v>4782</v>
      </c>
      <c r="C4295" t="s">
        <v>1644</v>
      </c>
      <c r="D4295" t="s">
        <v>323</v>
      </c>
      <c r="E4295" t="s">
        <v>300</v>
      </c>
      <c r="F4295" t="s">
        <v>4804</v>
      </c>
      <c r="G4295">
        <v>141</v>
      </c>
      <c r="H4295">
        <v>24089.19</v>
      </c>
      <c r="I4295">
        <v>170.85</v>
      </c>
      <c r="J4295">
        <v>0</v>
      </c>
      <c r="K4295">
        <v>0</v>
      </c>
      <c r="L4295">
        <v>0</v>
      </c>
      <c r="M4295">
        <v>141</v>
      </c>
      <c r="N4295">
        <v>24089.19</v>
      </c>
      <c r="O4295">
        <v>170.85</v>
      </c>
    </row>
    <row r="4296" spans="1:15" x14ac:dyDescent="0.35">
      <c r="A4296" t="s">
        <v>4781</v>
      </c>
      <c r="B4296" t="s">
        <v>4782</v>
      </c>
      <c r="C4296" t="s">
        <v>1644</v>
      </c>
      <c r="D4296" t="s">
        <v>323</v>
      </c>
      <c r="E4296" t="s">
        <v>302</v>
      </c>
      <c r="F4296" t="s">
        <v>4805</v>
      </c>
      <c r="G4296">
        <v>1</v>
      </c>
      <c r="H4296">
        <v>157.09</v>
      </c>
      <c r="I4296">
        <v>157.09</v>
      </c>
      <c r="J4296">
        <v>0</v>
      </c>
      <c r="K4296">
        <v>0</v>
      </c>
      <c r="L4296">
        <v>0</v>
      </c>
      <c r="M4296">
        <v>1</v>
      </c>
      <c r="N4296">
        <v>157.09</v>
      </c>
      <c r="O4296">
        <v>157.09</v>
      </c>
    </row>
    <row r="4297" spans="1:15" x14ac:dyDescent="0.35">
      <c r="A4297" t="s">
        <v>4781</v>
      </c>
      <c r="B4297" t="s">
        <v>4782</v>
      </c>
      <c r="C4297" t="s">
        <v>1644</v>
      </c>
      <c r="D4297" t="s">
        <v>323</v>
      </c>
      <c r="E4297" t="s">
        <v>304</v>
      </c>
      <c r="F4297" t="s">
        <v>4806</v>
      </c>
      <c r="G4297">
        <v>0</v>
      </c>
      <c r="H4297">
        <v>0</v>
      </c>
      <c r="I4297">
        <v>0</v>
      </c>
      <c r="J4297">
        <v>0</v>
      </c>
      <c r="K4297">
        <v>0</v>
      </c>
      <c r="L4297">
        <v>0</v>
      </c>
      <c r="M4297">
        <v>0</v>
      </c>
      <c r="N4297">
        <v>0</v>
      </c>
      <c r="O4297">
        <v>0</v>
      </c>
    </row>
    <row r="4298" spans="1:15" x14ac:dyDescent="0.35">
      <c r="A4298" t="s">
        <v>4781</v>
      </c>
      <c r="B4298" t="s">
        <v>4782</v>
      </c>
      <c r="C4298" t="s">
        <v>1644</v>
      </c>
      <c r="D4298" t="s">
        <v>323</v>
      </c>
      <c r="E4298" t="s">
        <v>306</v>
      </c>
      <c r="F4298" t="s">
        <v>4807</v>
      </c>
      <c r="G4298">
        <v>54</v>
      </c>
      <c r="H4298">
        <v>5446.9800000000005</v>
      </c>
      <c r="I4298">
        <v>100.87</v>
      </c>
      <c r="J4298">
        <v>0</v>
      </c>
      <c r="K4298">
        <v>0</v>
      </c>
      <c r="L4298">
        <v>0</v>
      </c>
      <c r="M4298">
        <v>54</v>
      </c>
      <c r="N4298">
        <v>5446.9800000000005</v>
      </c>
      <c r="O4298">
        <v>100.87</v>
      </c>
    </row>
    <row r="4299" spans="1:15" x14ac:dyDescent="0.35">
      <c r="A4299" t="s">
        <v>4781</v>
      </c>
      <c r="B4299" t="s">
        <v>4782</v>
      </c>
      <c r="C4299" t="s">
        <v>1644</v>
      </c>
      <c r="D4299" t="s">
        <v>323</v>
      </c>
      <c r="E4299" t="s">
        <v>308</v>
      </c>
      <c r="F4299" t="s">
        <v>4808</v>
      </c>
      <c r="G4299">
        <v>0</v>
      </c>
      <c r="H4299">
        <v>0</v>
      </c>
      <c r="I4299">
        <v>0</v>
      </c>
      <c r="J4299">
        <v>0</v>
      </c>
      <c r="K4299">
        <v>0</v>
      </c>
      <c r="L4299">
        <v>0</v>
      </c>
      <c r="M4299">
        <v>0</v>
      </c>
      <c r="N4299">
        <v>0</v>
      </c>
      <c r="O4299">
        <v>0</v>
      </c>
    </row>
    <row r="4300" spans="1:15" x14ac:dyDescent="0.35">
      <c r="A4300" t="s">
        <v>4781</v>
      </c>
      <c r="B4300" t="s">
        <v>4782</v>
      </c>
      <c r="C4300" t="s">
        <v>1644</v>
      </c>
      <c r="D4300" t="s">
        <v>323</v>
      </c>
      <c r="E4300" t="s">
        <v>310</v>
      </c>
      <c r="F4300" t="s">
        <v>4809</v>
      </c>
      <c r="G4300">
        <v>4255</v>
      </c>
      <c r="H4300">
        <v>603625.49999999988</v>
      </c>
      <c r="I4300">
        <v>141.86000000000001</v>
      </c>
      <c r="J4300">
        <v>0</v>
      </c>
      <c r="K4300">
        <v>0</v>
      </c>
      <c r="L4300">
        <v>0</v>
      </c>
      <c r="M4300">
        <v>4255</v>
      </c>
      <c r="N4300">
        <v>603625.49999999988</v>
      </c>
      <c r="O4300">
        <v>141.86000000000001</v>
      </c>
    </row>
    <row r="4301" spans="1:15" x14ac:dyDescent="0.35">
      <c r="A4301" t="s">
        <v>4781</v>
      </c>
      <c r="B4301" t="s">
        <v>4782</v>
      </c>
      <c r="C4301" t="s">
        <v>1644</v>
      </c>
      <c r="D4301" t="s">
        <v>323</v>
      </c>
      <c r="E4301" t="s">
        <v>312</v>
      </c>
      <c r="F4301" t="s">
        <v>4810</v>
      </c>
      <c r="G4301">
        <v>4255</v>
      </c>
      <c r="H4301">
        <v>603625.49999999988</v>
      </c>
      <c r="I4301">
        <v>141.86000000000001</v>
      </c>
      <c r="J4301">
        <v>0</v>
      </c>
      <c r="K4301">
        <v>0</v>
      </c>
      <c r="L4301">
        <v>0</v>
      </c>
      <c r="M4301">
        <v>4255</v>
      </c>
      <c r="N4301">
        <v>603625.49999999988</v>
      </c>
      <c r="O4301">
        <v>141.86000000000001</v>
      </c>
    </row>
    <row r="4302" spans="1:15" x14ac:dyDescent="0.35">
      <c r="A4302" t="s">
        <v>4781</v>
      </c>
      <c r="B4302" t="s">
        <v>4782</v>
      </c>
      <c r="C4302" t="s">
        <v>1644</v>
      </c>
      <c r="D4302" t="s">
        <v>334</v>
      </c>
      <c r="E4302" t="s">
        <v>312</v>
      </c>
      <c r="F4302" t="s">
        <v>4811</v>
      </c>
      <c r="G4302">
        <v>6061</v>
      </c>
      <c r="H4302">
        <v>884280.08999999973</v>
      </c>
      <c r="I4302">
        <v>155.71</v>
      </c>
      <c r="J4302">
        <v>0</v>
      </c>
      <c r="K4302">
        <v>0</v>
      </c>
      <c r="L4302">
        <v>0</v>
      </c>
      <c r="M4302">
        <v>6061</v>
      </c>
      <c r="N4302">
        <v>884280.08999999973</v>
      </c>
      <c r="O4302">
        <v>155.71</v>
      </c>
    </row>
    <row r="4303" spans="1:15" x14ac:dyDescent="0.35">
      <c r="A4303" t="s">
        <v>4781</v>
      </c>
      <c r="B4303" t="s">
        <v>4782</v>
      </c>
      <c r="C4303" t="s">
        <v>1644</v>
      </c>
      <c r="D4303" t="s">
        <v>334</v>
      </c>
      <c r="E4303" t="s">
        <v>308</v>
      </c>
      <c r="F4303" t="s">
        <v>4812</v>
      </c>
      <c r="G4303">
        <v>0</v>
      </c>
      <c r="H4303">
        <v>0</v>
      </c>
      <c r="I4303">
        <v>0</v>
      </c>
      <c r="J4303">
        <v>0</v>
      </c>
      <c r="K4303">
        <v>0</v>
      </c>
      <c r="L4303">
        <v>0</v>
      </c>
      <c r="M4303">
        <v>0</v>
      </c>
      <c r="N4303">
        <v>0</v>
      </c>
      <c r="O4303">
        <v>0</v>
      </c>
    </row>
    <row r="4304" spans="1:15" x14ac:dyDescent="0.35">
      <c r="A4304" t="s">
        <v>4781</v>
      </c>
      <c r="B4304" t="s">
        <v>4782</v>
      </c>
      <c r="C4304" t="s">
        <v>1644</v>
      </c>
      <c r="D4304" t="s">
        <v>337</v>
      </c>
      <c r="E4304" t="s">
        <v>337</v>
      </c>
      <c r="F4304" t="s">
        <v>4813</v>
      </c>
      <c r="G4304">
        <v>845</v>
      </c>
      <c r="J4304">
        <v>0</v>
      </c>
      <c r="M4304">
        <v>845</v>
      </c>
    </row>
    <row r="4305" spans="1:15" x14ac:dyDescent="0.35">
      <c r="A4305" t="s">
        <v>4781</v>
      </c>
      <c r="B4305" t="s">
        <v>4782</v>
      </c>
      <c r="C4305" t="s">
        <v>1644</v>
      </c>
      <c r="D4305" t="s">
        <v>339</v>
      </c>
      <c r="E4305" t="s">
        <v>294</v>
      </c>
      <c r="F4305" t="s">
        <v>4814</v>
      </c>
      <c r="G4305">
        <v>523</v>
      </c>
      <c r="H4305">
        <v>62887.25</v>
      </c>
      <c r="I4305">
        <v>120.24</v>
      </c>
      <c r="J4305">
        <v>0</v>
      </c>
      <c r="K4305">
        <v>0</v>
      </c>
      <c r="L4305">
        <v>0</v>
      </c>
      <c r="M4305">
        <v>523</v>
      </c>
      <c r="N4305">
        <v>62887.25</v>
      </c>
      <c r="O4305">
        <v>120.24</v>
      </c>
    </row>
    <row r="4306" spans="1:15" x14ac:dyDescent="0.35">
      <c r="A4306" t="s">
        <v>4781</v>
      </c>
      <c r="B4306" t="s">
        <v>4782</v>
      </c>
      <c r="C4306" t="s">
        <v>1644</v>
      </c>
      <c r="D4306" t="s">
        <v>339</v>
      </c>
      <c r="E4306" t="s">
        <v>296</v>
      </c>
      <c r="F4306" t="s">
        <v>4815</v>
      </c>
      <c r="G4306">
        <v>143</v>
      </c>
      <c r="H4306">
        <v>20957.400000000001</v>
      </c>
      <c r="I4306">
        <v>146.56</v>
      </c>
      <c r="J4306">
        <v>0</v>
      </c>
      <c r="K4306">
        <v>0</v>
      </c>
      <c r="L4306">
        <v>0</v>
      </c>
      <c r="M4306">
        <v>143</v>
      </c>
      <c r="N4306">
        <v>20957.400000000001</v>
      </c>
      <c r="O4306">
        <v>146.56</v>
      </c>
    </row>
    <row r="4307" spans="1:15" x14ac:dyDescent="0.35">
      <c r="A4307" t="s">
        <v>4781</v>
      </c>
      <c r="B4307" t="s">
        <v>4782</v>
      </c>
      <c r="C4307" t="s">
        <v>1644</v>
      </c>
      <c r="D4307" t="s">
        <v>339</v>
      </c>
      <c r="E4307" t="s">
        <v>298</v>
      </c>
      <c r="F4307" t="s">
        <v>4816</v>
      </c>
      <c r="G4307">
        <v>7</v>
      </c>
      <c r="H4307">
        <v>1187.55</v>
      </c>
      <c r="I4307">
        <v>169.65</v>
      </c>
      <c r="J4307">
        <v>0</v>
      </c>
      <c r="K4307">
        <v>0</v>
      </c>
      <c r="L4307">
        <v>0</v>
      </c>
      <c r="M4307">
        <v>7</v>
      </c>
      <c r="N4307">
        <v>1187.55</v>
      </c>
      <c r="O4307">
        <v>169.65</v>
      </c>
    </row>
    <row r="4308" spans="1:15" x14ac:dyDescent="0.35">
      <c r="A4308" t="s">
        <v>4781</v>
      </c>
      <c r="B4308" t="s">
        <v>4782</v>
      </c>
      <c r="C4308" t="s">
        <v>1644</v>
      </c>
      <c r="D4308" t="s">
        <v>339</v>
      </c>
      <c r="E4308" t="s">
        <v>300</v>
      </c>
      <c r="F4308" t="s">
        <v>4817</v>
      </c>
      <c r="G4308">
        <v>0</v>
      </c>
      <c r="H4308">
        <v>0</v>
      </c>
      <c r="I4308">
        <v>0</v>
      </c>
      <c r="J4308">
        <v>0</v>
      </c>
      <c r="K4308">
        <v>0</v>
      </c>
      <c r="L4308">
        <v>0</v>
      </c>
      <c r="M4308">
        <v>0</v>
      </c>
      <c r="N4308">
        <v>0</v>
      </c>
      <c r="O4308">
        <v>0</v>
      </c>
    </row>
    <row r="4309" spans="1:15" x14ac:dyDescent="0.35">
      <c r="A4309" t="s">
        <v>4781</v>
      </c>
      <c r="B4309" t="s">
        <v>4782</v>
      </c>
      <c r="C4309" t="s">
        <v>1644</v>
      </c>
      <c r="D4309" t="s">
        <v>339</v>
      </c>
      <c r="E4309" t="s">
        <v>306</v>
      </c>
      <c r="F4309" t="s">
        <v>4818</v>
      </c>
      <c r="G4309">
        <v>140</v>
      </c>
      <c r="H4309">
        <v>13926.919999999998</v>
      </c>
      <c r="I4309">
        <v>99.48</v>
      </c>
      <c r="J4309">
        <v>0</v>
      </c>
      <c r="K4309">
        <v>0</v>
      </c>
      <c r="L4309">
        <v>0</v>
      </c>
      <c r="M4309">
        <v>140</v>
      </c>
      <c r="N4309">
        <v>13926.919999999998</v>
      </c>
      <c r="O4309">
        <v>99.48</v>
      </c>
    </row>
    <row r="4310" spans="1:15" x14ac:dyDescent="0.35">
      <c r="A4310" t="s">
        <v>4781</v>
      </c>
      <c r="B4310" t="s">
        <v>4782</v>
      </c>
      <c r="C4310" t="s">
        <v>1644</v>
      </c>
      <c r="D4310" t="s">
        <v>339</v>
      </c>
      <c r="E4310" t="s">
        <v>308</v>
      </c>
      <c r="F4310" t="s">
        <v>4819</v>
      </c>
      <c r="G4310">
        <v>50</v>
      </c>
      <c r="H4310">
        <v>5847.24</v>
      </c>
      <c r="I4310">
        <v>116.94</v>
      </c>
      <c r="J4310">
        <v>0</v>
      </c>
      <c r="K4310">
        <v>0</v>
      </c>
      <c r="L4310">
        <v>0</v>
      </c>
      <c r="M4310">
        <v>50</v>
      </c>
      <c r="N4310">
        <v>5847.24</v>
      </c>
      <c r="O4310">
        <v>116.94</v>
      </c>
    </row>
    <row r="4311" spans="1:15" x14ac:dyDescent="0.35">
      <c r="A4311" t="s">
        <v>4781</v>
      </c>
      <c r="B4311" t="s">
        <v>4782</v>
      </c>
      <c r="C4311" t="s">
        <v>1644</v>
      </c>
      <c r="D4311" t="s">
        <v>339</v>
      </c>
      <c r="E4311" t="s">
        <v>310</v>
      </c>
      <c r="F4311" t="s">
        <v>4820</v>
      </c>
      <c r="G4311">
        <v>863</v>
      </c>
      <c r="H4311">
        <v>104806.36</v>
      </c>
      <c r="I4311">
        <v>121.44</v>
      </c>
      <c r="J4311">
        <v>0</v>
      </c>
      <c r="K4311">
        <v>0</v>
      </c>
      <c r="L4311">
        <v>0</v>
      </c>
      <c r="M4311">
        <v>863</v>
      </c>
      <c r="N4311">
        <v>104806.36</v>
      </c>
      <c r="O4311">
        <v>121.44</v>
      </c>
    </row>
    <row r="4312" spans="1:15" x14ac:dyDescent="0.35">
      <c r="A4312" t="s">
        <v>4781</v>
      </c>
      <c r="B4312" t="s">
        <v>4782</v>
      </c>
      <c r="C4312" t="s">
        <v>1644</v>
      </c>
      <c r="D4312" t="s">
        <v>339</v>
      </c>
      <c r="E4312" t="s">
        <v>312</v>
      </c>
      <c r="F4312" t="s">
        <v>4821</v>
      </c>
      <c r="G4312">
        <v>813</v>
      </c>
      <c r="H4312">
        <v>98959.12</v>
      </c>
      <c r="I4312">
        <v>121.72</v>
      </c>
      <c r="J4312">
        <v>0</v>
      </c>
      <c r="K4312">
        <v>0</v>
      </c>
      <c r="L4312">
        <v>0</v>
      </c>
      <c r="M4312">
        <v>813</v>
      </c>
      <c r="N4312">
        <v>98959.12</v>
      </c>
      <c r="O4312">
        <v>121.72</v>
      </c>
    </row>
    <row r="4313" spans="1:15" x14ac:dyDescent="0.35">
      <c r="A4313" t="s">
        <v>4781</v>
      </c>
      <c r="B4313" t="s">
        <v>4782</v>
      </c>
      <c r="C4313" t="s">
        <v>1644</v>
      </c>
      <c r="D4313" t="s">
        <v>348</v>
      </c>
      <c r="E4313" t="s">
        <v>349</v>
      </c>
      <c r="F4313" t="s">
        <v>4822</v>
      </c>
      <c r="G4313">
        <v>902</v>
      </c>
      <c r="H4313">
        <v>106060.12000000001</v>
      </c>
      <c r="I4313">
        <v>121.77</v>
      </c>
      <c r="J4313">
        <v>0</v>
      </c>
      <c r="K4313">
        <v>0</v>
      </c>
      <c r="L4313">
        <v>0</v>
      </c>
      <c r="M4313">
        <v>902</v>
      </c>
      <c r="N4313">
        <v>106060.12000000001</v>
      </c>
      <c r="O4313">
        <v>121.77</v>
      </c>
    </row>
    <row r="4314" spans="1:15" x14ac:dyDescent="0.35">
      <c r="A4314" t="s">
        <v>4823</v>
      </c>
      <c r="B4314" t="s">
        <v>4824</v>
      </c>
      <c r="C4314" t="s">
        <v>1644</v>
      </c>
      <c r="D4314" t="s">
        <v>293</v>
      </c>
      <c r="E4314" t="s">
        <v>294</v>
      </c>
      <c r="F4314" t="s">
        <v>4825</v>
      </c>
      <c r="G4314">
        <v>311</v>
      </c>
      <c r="H4314">
        <v>44169.259999999987</v>
      </c>
      <c r="I4314">
        <v>142.02000000000001</v>
      </c>
      <c r="J4314">
        <v>0</v>
      </c>
      <c r="K4314">
        <v>0</v>
      </c>
      <c r="L4314">
        <v>0</v>
      </c>
      <c r="M4314">
        <v>311</v>
      </c>
      <c r="N4314">
        <v>44169.259999999987</v>
      </c>
      <c r="O4314">
        <v>142.02000000000001</v>
      </c>
    </row>
    <row r="4315" spans="1:15" x14ac:dyDescent="0.35">
      <c r="A4315" t="s">
        <v>4823</v>
      </c>
      <c r="B4315" t="s">
        <v>4824</v>
      </c>
      <c r="C4315" t="s">
        <v>1644</v>
      </c>
      <c r="D4315" t="s">
        <v>293</v>
      </c>
      <c r="E4315" t="s">
        <v>296</v>
      </c>
      <c r="F4315" t="s">
        <v>4826</v>
      </c>
      <c r="G4315">
        <v>1268</v>
      </c>
      <c r="H4315">
        <v>233360.98999999993</v>
      </c>
      <c r="I4315">
        <v>184.04</v>
      </c>
      <c r="J4315">
        <v>0</v>
      </c>
      <c r="K4315">
        <v>0</v>
      </c>
      <c r="L4315">
        <v>0</v>
      </c>
      <c r="M4315">
        <v>1268</v>
      </c>
      <c r="N4315">
        <v>233360.98999999993</v>
      </c>
      <c r="O4315">
        <v>184.04</v>
      </c>
    </row>
    <row r="4316" spans="1:15" x14ac:dyDescent="0.35">
      <c r="A4316" t="s">
        <v>4823</v>
      </c>
      <c r="B4316" t="s">
        <v>4824</v>
      </c>
      <c r="C4316" t="s">
        <v>1644</v>
      </c>
      <c r="D4316" t="s">
        <v>293</v>
      </c>
      <c r="E4316" t="s">
        <v>298</v>
      </c>
      <c r="F4316" t="s">
        <v>4827</v>
      </c>
      <c r="G4316">
        <v>471</v>
      </c>
      <c r="H4316">
        <v>104093.53</v>
      </c>
      <c r="I4316">
        <v>221.01</v>
      </c>
      <c r="J4316">
        <v>0</v>
      </c>
      <c r="K4316">
        <v>0</v>
      </c>
      <c r="L4316">
        <v>0</v>
      </c>
      <c r="M4316">
        <v>471</v>
      </c>
      <c r="N4316">
        <v>104093.53</v>
      </c>
      <c r="O4316">
        <v>221.01</v>
      </c>
    </row>
    <row r="4317" spans="1:15" x14ac:dyDescent="0.35">
      <c r="A4317" t="s">
        <v>4823</v>
      </c>
      <c r="B4317" t="s">
        <v>4824</v>
      </c>
      <c r="C4317" t="s">
        <v>1644</v>
      </c>
      <c r="D4317" t="s">
        <v>293</v>
      </c>
      <c r="E4317" t="s">
        <v>300</v>
      </c>
      <c r="F4317" t="s">
        <v>4828</v>
      </c>
      <c r="G4317">
        <v>77</v>
      </c>
      <c r="H4317">
        <v>21360.400000000001</v>
      </c>
      <c r="I4317">
        <v>277.41000000000003</v>
      </c>
      <c r="J4317">
        <v>0</v>
      </c>
      <c r="K4317">
        <v>0</v>
      </c>
      <c r="L4317">
        <v>0</v>
      </c>
      <c r="M4317">
        <v>77</v>
      </c>
      <c r="N4317">
        <v>21360.400000000001</v>
      </c>
      <c r="O4317">
        <v>277.41000000000003</v>
      </c>
    </row>
    <row r="4318" spans="1:15" x14ac:dyDescent="0.35">
      <c r="A4318" t="s">
        <v>4823</v>
      </c>
      <c r="B4318" t="s">
        <v>4824</v>
      </c>
      <c r="C4318" t="s">
        <v>1644</v>
      </c>
      <c r="D4318" t="s">
        <v>293</v>
      </c>
      <c r="E4318" t="s">
        <v>302</v>
      </c>
      <c r="F4318" t="s">
        <v>4829</v>
      </c>
      <c r="G4318">
        <v>6</v>
      </c>
      <c r="H4318">
        <v>1632.48</v>
      </c>
      <c r="I4318">
        <v>272.08</v>
      </c>
      <c r="J4318">
        <v>0</v>
      </c>
      <c r="K4318">
        <v>0</v>
      </c>
      <c r="L4318">
        <v>0</v>
      </c>
      <c r="M4318">
        <v>6</v>
      </c>
      <c r="N4318">
        <v>1632.48</v>
      </c>
      <c r="O4318">
        <v>272.08</v>
      </c>
    </row>
    <row r="4319" spans="1:15" x14ac:dyDescent="0.35">
      <c r="A4319" t="s">
        <v>4823</v>
      </c>
      <c r="B4319" t="s">
        <v>4824</v>
      </c>
      <c r="C4319" t="s">
        <v>1644</v>
      </c>
      <c r="D4319" t="s">
        <v>293</v>
      </c>
      <c r="E4319" t="s">
        <v>304</v>
      </c>
      <c r="F4319" t="s">
        <v>4830</v>
      </c>
      <c r="G4319">
        <v>0</v>
      </c>
      <c r="H4319">
        <v>0</v>
      </c>
      <c r="I4319">
        <v>0</v>
      </c>
      <c r="J4319">
        <v>0</v>
      </c>
      <c r="K4319">
        <v>0</v>
      </c>
      <c r="L4319">
        <v>0</v>
      </c>
      <c r="M4319">
        <v>0</v>
      </c>
      <c r="N4319">
        <v>0</v>
      </c>
      <c r="O4319">
        <v>0</v>
      </c>
    </row>
    <row r="4320" spans="1:15" x14ac:dyDescent="0.35">
      <c r="A4320" t="s">
        <v>4823</v>
      </c>
      <c r="B4320" t="s">
        <v>4824</v>
      </c>
      <c r="C4320" t="s">
        <v>1644</v>
      </c>
      <c r="D4320" t="s">
        <v>293</v>
      </c>
      <c r="E4320" t="s">
        <v>306</v>
      </c>
      <c r="F4320" t="s">
        <v>4831</v>
      </c>
      <c r="G4320">
        <v>0</v>
      </c>
      <c r="H4320">
        <v>0</v>
      </c>
      <c r="I4320">
        <v>0</v>
      </c>
      <c r="J4320">
        <v>0</v>
      </c>
      <c r="K4320">
        <v>0</v>
      </c>
      <c r="L4320">
        <v>0</v>
      </c>
      <c r="M4320">
        <v>0</v>
      </c>
      <c r="N4320">
        <v>0</v>
      </c>
      <c r="O4320">
        <v>0</v>
      </c>
    </row>
    <row r="4321" spans="1:15" x14ac:dyDescent="0.35">
      <c r="A4321" t="s">
        <v>4823</v>
      </c>
      <c r="B4321" t="s">
        <v>4824</v>
      </c>
      <c r="C4321" t="s">
        <v>1644</v>
      </c>
      <c r="D4321" t="s">
        <v>293</v>
      </c>
      <c r="E4321" t="s">
        <v>308</v>
      </c>
      <c r="F4321" t="s">
        <v>4832</v>
      </c>
      <c r="G4321">
        <v>0</v>
      </c>
      <c r="H4321">
        <v>0</v>
      </c>
      <c r="I4321">
        <v>0</v>
      </c>
      <c r="J4321">
        <v>0</v>
      </c>
      <c r="K4321">
        <v>0</v>
      </c>
      <c r="L4321">
        <v>0</v>
      </c>
      <c r="M4321">
        <v>0</v>
      </c>
      <c r="N4321">
        <v>0</v>
      </c>
      <c r="O4321">
        <v>0</v>
      </c>
    </row>
    <row r="4322" spans="1:15" x14ac:dyDescent="0.35">
      <c r="A4322" t="s">
        <v>4823</v>
      </c>
      <c r="B4322" t="s">
        <v>4824</v>
      </c>
      <c r="C4322" t="s">
        <v>1644</v>
      </c>
      <c r="D4322" t="s">
        <v>293</v>
      </c>
      <c r="E4322" t="s">
        <v>310</v>
      </c>
      <c r="F4322" t="s">
        <v>4833</v>
      </c>
      <c r="G4322">
        <v>2133</v>
      </c>
      <c r="H4322">
        <v>404616.65999999992</v>
      </c>
      <c r="I4322">
        <v>189.69</v>
      </c>
      <c r="J4322">
        <v>0</v>
      </c>
      <c r="K4322">
        <v>0</v>
      </c>
      <c r="L4322">
        <v>0</v>
      </c>
      <c r="M4322">
        <v>2133</v>
      </c>
      <c r="N4322">
        <v>404616.65999999992</v>
      </c>
      <c r="O4322">
        <v>189.69</v>
      </c>
    </row>
    <row r="4323" spans="1:15" x14ac:dyDescent="0.35">
      <c r="A4323" t="s">
        <v>4823</v>
      </c>
      <c r="B4323" t="s">
        <v>4824</v>
      </c>
      <c r="C4323" t="s">
        <v>1644</v>
      </c>
      <c r="D4323" t="s">
        <v>293</v>
      </c>
      <c r="E4323" t="s">
        <v>312</v>
      </c>
      <c r="F4323" t="s">
        <v>4834</v>
      </c>
      <c r="G4323">
        <v>2133</v>
      </c>
      <c r="H4323">
        <v>404616.65999999992</v>
      </c>
      <c r="I4323">
        <v>189.69</v>
      </c>
      <c r="J4323">
        <v>0</v>
      </c>
      <c r="K4323">
        <v>0</v>
      </c>
      <c r="L4323">
        <v>0</v>
      </c>
      <c r="M4323">
        <v>2133</v>
      </c>
      <c r="N4323">
        <v>404616.65999999992</v>
      </c>
      <c r="O4323">
        <v>189.69</v>
      </c>
    </row>
    <row r="4324" spans="1:15" x14ac:dyDescent="0.35">
      <c r="A4324" t="s">
        <v>4823</v>
      </c>
      <c r="B4324" t="s">
        <v>4824</v>
      </c>
      <c r="C4324" t="s">
        <v>1644</v>
      </c>
      <c r="D4324" t="s">
        <v>314</v>
      </c>
      <c r="E4324" t="s">
        <v>294</v>
      </c>
      <c r="F4324" t="s">
        <v>4835</v>
      </c>
      <c r="G4324">
        <v>14</v>
      </c>
      <c r="H4324">
        <v>2181.2000000000003</v>
      </c>
      <c r="I4324">
        <v>155.80000000000001</v>
      </c>
      <c r="J4324">
        <v>11</v>
      </c>
      <c r="K4324">
        <v>1506.23</v>
      </c>
      <c r="L4324">
        <v>136.93</v>
      </c>
      <c r="M4324">
        <v>25</v>
      </c>
      <c r="N4324">
        <v>3687.4300000000003</v>
      </c>
      <c r="O4324">
        <v>147.5</v>
      </c>
    </row>
    <row r="4325" spans="1:15" x14ac:dyDescent="0.35">
      <c r="A4325" t="s">
        <v>4823</v>
      </c>
      <c r="B4325" t="s">
        <v>4824</v>
      </c>
      <c r="C4325" t="s">
        <v>1644</v>
      </c>
      <c r="D4325" t="s">
        <v>314</v>
      </c>
      <c r="E4325" t="s">
        <v>296</v>
      </c>
      <c r="F4325" t="s">
        <v>4836</v>
      </c>
      <c r="G4325">
        <v>36</v>
      </c>
      <c r="H4325">
        <v>7231.32</v>
      </c>
      <c r="I4325">
        <v>200.87</v>
      </c>
      <c r="J4325">
        <v>11</v>
      </c>
      <c r="K4325">
        <v>2071.41</v>
      </c>
      <c r="L4325">
        <v>188.31</v>
      </c>
      <c r="M4325">
        <v>47</v>
      </c>
      <c r="N4325">
        <v>9302.73</v>
      </c>
      <c r="O4325">
        <v>197.93</v>
      </c>
    </row>
    <row r="4326" spans="1:15" x14ac:dyDescent="0.35">
      <c r="A4326" t="s">
        <v>4823</v>
      </c>
      <c r="B4326" t="s">
        <v>4824</v>
      </c>
      <c r="C4326" t="s">
        <v>1644</v>
      </c>
      <c r="D4326" t="s">
        <v>314</v>
      </c>
      <c r="E4326" t="s">
        <v>298</v>
      </c>
      <c r="F4326" t="s">
        <v>4837</v>
      </c>
      <c r="G4326">
        <v>0</v>
      </c>
      <c r="H4326">
        <v>0</v>
      </c>
      <c r="I4326">
        <v>0</v>
      </c>
      <c r="J4326">
        <v>2</v>
      </c>
      <c r="K4326">
        <v>529.32000000000005</v>
      </c>
      <c r="L4326">
        <v>264.66000000000003</v>
      </c>
      <c r="M4326">
        <v>2</v>
      </c>
      <c r="N4326">
        <v>529.32000000000005</v>
      </c>
      <c r="O4326">
        <v>264.66000000000003</v>
      </c>
    </row>
    <row r="4327" spans="1:15" x14ac:dyDescent="0.35">
      <c r="A4327" t="s">
        <v>4823</v>
      </c>
      <c r="B4327" t="s">
        <v>4824</v>
      </c>
      <c r="C4327" t="s">
        <v>1644</v>
      </c>
      <c r="D4327" t="s">
        <v>314</v>
      </c>
      <c r="E4327" t="s">
        <v>300</v>
      </c>
      <c r="F4327" t="s">
        <v>4838</v>
      </c>
      <c r="G4327">
        <v>0</v>
      </c>
      <c r="H4327">
        <v>0</v>
      </c>
      <c r="I4327">
        <v>0</v>
      </c>
      <c r="J4327">
        <v>4</v>
      </c>
      <c r="K4327">
        <v>1162.18</v>
      </c>
      <c r="L4327">
        <v>290.55</v>
      </c>
      <c r="M4327">
        <v>4</v>
      </c>
      <c r="N4327">
        <v>1162.18</v>
      </c>
      <c r="O4327">
        <v>290.55</v>
      </c>
    </row>
    <row r="4328" spans="1:15" x14ac:dyDescent="0.35">
      <c r="A4328" t="s">
        <v>4823</v>
      </c>
      <c r="B4328" t="s">
        <v>4824</v>
      </c>
      <c r="C4328" t="s">
        <v>1644</v>
      </c>
      <c r="D4328" t="s">
        <v>314</v>
      </c>
      <c r="E4328" t="s">
        <v>306</v>
      </c>
      <c r="F4328" t="s">
        <v>4839</v>
      </c>
      <c r="G4328">
        <v>0</v>
      </c>
      <c r="H4328">
        <v>0</v>
      </c>
      <c r="I4328">
        <v>0</v>
      </c>
      <c r="J4328">
        <v>0</v>
      </c>
      <c r="K4328">
        <v>0</v>
      </c>
      <c r="L4328">
        <v>0</v>
      </c>
      <c r="M4328">
        <v>0</v>
      </c>
      <c r="N4328">
        <v>0</v>
      </c>
      <c r="O4328">
        <v>0</v>
      </c>
    </row>
    <row r="4329" spans="1:15" x14ac:dyDescent="0.35">
      <c r="A4329" t="s">
        <v>4823</v>
      </c>
      <c r="B4329" t="s">
        <v>4824</v>
      </c>
      <c r="C4329" t="s">
        <v>1644</v>
      </c>
      <c r="D4329" t="s">
        <v>314</v>
      </c>
      <c r="E4329" t="s">
        <v>308</v>
      </c>
      <c r="F4329" t="s">
        <v>4840</v>
      </c>
      <c r="G4329">
        <v>0</v>
      </c>
      <c r="H4329">
        <v>0</v>
      </c>
      <c r="I4329">
        <v>0</v>
      </c>
      <c r="J4329">
        <v>0</v>
      </c>
      <c r="K4329">
        <v>0</v>
      </c>
      <c r="L4329">
        <v>0</v>
      </c>
      <c r="M4329">
        <v>0</v>
      </c>
      <c r="N4329">
        <v>0</v>
      </c>
      <c r="O4329">
        <v>0</v>
      </c>
    </row>
    <row r="4330" spans="1:15" x14ac:dyDescent="0.35">
      <c r="A4330" t="s">
        <v>4823</v>
      </c>
      <c r="B4330" t="s">
        <v>4824</v>
      </c>
      <c r="C4330" t="s">
        <v>1644</v>
      </c>
      <c r="D4330" t="s">
        <v>314</v>
      </c>
      <c r="E4330" t="s">
        <v>312</v>
      </c>
      <c r="F4330" t="s">
        <v>4841</v>
      </c>
      <c r="G4330">
        <v>50</v>
      </c>
      <c r="H4330">
        <v>9412.52</v>
      </c>
      <c r="I4330">
        <v>188.25</v>
      </c>
      <c r="J4330">
        <v>28</v>
      </c>
      <c r="K4330">
        <v>5269.1399999999994</v>
      </c>
      <c r="L4330">
        <v>188.18</v>
      </c>
      <c r="M4330">
        <v>78</v>
      </c>
      <c r="N4330">
        <v>14681.66</v>
      </c>
      <c r="O4330">
        <v>188.23</v>
      </c>
    </row>
    <row r="4331" spans="1:15" x14ac:dyDescent="0.35">
      <c r="A4331" t="s">
        <v>4823</v>
      </c>
      <c r="B4331" t="s">
        <v>4824</v>
      </c>
      <c r="C4331" t="s">
        <v>1644</v>
      </c>
      <c r="D4331" t="s">
        <v>314</v>
      </c>
      <c r="E4331" t="s">
        <v>310</v>
      </c>
      <c r="F4331" t="s">
        <v>4842</v>
      </c>
      <c r="G4331">
        <v>50</v>
      </c>
      <c r="H4331">
        <v>9412.52</v>
      </c>
      <c r="I4331">
        <v>188.25</v>
      </c>
      <c r="J4331">
        <v>28</v>
      </c>
      <c r="K4331">
        <v>5269.14</v>
      </c>
      <c r="L4331">
        <v>188.18</v>
      </c>
      <c r="M4331">
        <v>78</v>
      </c>
      <c r="N4331">
        <v>14681.66</v>
      </c>
      <c r="O4331">
        <v>188.23</v>
      </c>
    </row>
    <row r="4332" spans="1:15" x14ac:dyDescent="0.35">
      <c r="A4332" t="s">
        <v>4823</v>
      </c>
      <c r="B4332" t="s">
        <v>4824</v>
      </c>
      <c r="C4332" t="s">
        <v>1644</v>
      </c>
      <c r="D4332" t="s">
        <v>323</v>
      </c>
      <c r="E4332" t="s">
        <v>294</v>
      </c>
      <c r="F4332" t="s">
        <v>4843</v>
      </c>
      <c r="G4332">
        <v>721</v>
      </c>
      <c r="H4332">
        <v>79163.16</v>
      </c>
      <c r="I4332">
        <v>109.8</v>
      </c>
      <c r="J4332">
        <v>4</v>
      </c>
      <c r="K4332">
        <v>400.48</v>
      </c>
      <c r="L4332">
        <v>100.12</v>
      </c>
      <c r="M4332">
        <v>725</v>
      </c>
      <c r="N4332">
        <v>79563.64</v>
      </c>
      <c r="O4332">
        <v>109.74</v>
      </c>
    </row>
    <row r="4333" spans="1:15" x14ac:dyDescent="0.35">
      <c r="A4333" t="s">
        <v>4823</v>
      </c>
      <c r="B4333" t="s">
        <v>4824</v>
      </c>
      <c r="C4333" t="s">
        <v>1644</v>
      </c>
      <c r="D4333" t="s">
        <v>323</v>
      </c>
      <c r="E4333" t="s">
        <v>296</v>
      </c>
      <c r="F4333" t="s">
        <v>4844</v>
      </c>
      <c r="G4333">
        <v>2186</v>
      </c>
      <c r="H4333">
        <v>283394.59999999998</v>
      </c>
      <c r="I4333">
        <v>129.63999999999999</v>
      </c>
      <c r="J4333">
        <v>6</v>
      </c>
      <c r="K4333">
        <v>704.46</v>
      </c>
      <c r="L4333">
        <v>117.41</v>
      </c>
      <c r="M4333">
        <v>2192</v>
      </c>
      <c r="N4333">
        <v>284099.06</v>
      </c>
      <c r="O4333">
        <v>129.61000000000001</v>
      </c>
    </row>
    <row r="4334" spans="1:15" x14ac:dyDescent="0.35">
      <c r="A4334" t="s">
        <v>4823</v>
      </c>
      <c r="B4334" t="s">
        <v>4824</v>
      </c>
      <c r="C4334" t="s">
        <v>1644</v>
      </c>
      <c r="D4334" t="s">
        <v>323</v>
      </c>
      <c r="E4334" t="s">
        <v>298</v>
      </c>
      <c r="F4334" t="s">
        <v>4845</v>
      </c>
      <c r="G4334">
        <v>1889</v>
      </c>
      <c r="H4334">
        <v>275379.5</v>
      </c>
      <c r="I4334">
        <v>145.78</v>
      </c>
      <c r="J4334">
        <v>0</v>
      </c>
      <c r="K4334">
        <v>0</v>
      </c>
      <c r="L4334">
        <v>0</v>
      </c>
      <c r="M4334">
        <v>1889</v>
      </c>
      <c r="N4334">
        <v>275379.5</v>
      </c>
      <c r="O4334">
        <v>145.78</v>
      </c>
    </row>
    <row r="4335" spans="1:15" x14ac:dyDescent="0.35">
      <c r="A4335" t="s">
        <v>4823</v>
      </c>
      <c r="B4335" t="s">
        <v>4824</v>
      </c>
      <c r="C4335" t="s">
        <v>1644</v>
      </c>
      <c r="D4335" t="s">
        <v>323</v>
      </c>
      <c r="E4335" t="s">
        <v>300</v>
      </c>
      <c r="F4335" t="s">
        <v>4846</v>
      </c>
      <c r="G4335">
        <v>89</v>
      </c>
      <c r="H4335">
        <v>15107.960000000001</v>
      </c>
      <c r="I4335">
        <v>169.75</v>
      </c>
      <c r="J4335">
        <v>0</v>
      </c>
      <c r="K4335">
        <v>0</v>
      </c>
      <c r="L4335">
        <v>0</v>
      </c>
      <c r="M4335">
        <v>89</v>
      </c>
      <c r="N4335">
        <v>15107.960000000001</v>
      </c>
      <c r="O4335">
        <v>169.75</v>
      </c>
    </row>
    <row r="4336" spans="1:15" x14ac:dyDescent="0.35">
      <c r="A4336" t="s">
        <v>4823</v>
      </c>
      <c r="B4336" t="s">
        <v>4824</v>
      </c>
      <c r="C4336" t="s">
        <v>1644</v>
      </c>
      <c r="D4336" t="s">
        <v>323</v>
      </c>
      <c r="E4336" t="s">
        <v>302</v>
      </c>
      <c r="F4336" t="s">
        <v>4847</v>
      </c>
      <c r="G4336">
        <v>7</v>
      </c>
      <c r="H4336">
        <v>1280.94</v>
      </c>
      <c r="I4336">
        <v>182.99</v>
      </c>
      <c r="J4336">
        <v>0</v>
      </c>
      <c r="K4336">
        <v>0</v>
      </c>
      <c r="L4336">
        <v>0</v>
      </c>
      <c r="M4336">
        <v>7</v>
      </c>
      <c r="N4336">
        <v>1280.94</v>
      </c>
      <c r="O4336">
        <v>182.99</v>
      </c>
    </row>
    <row r="4337" spans="1:15" x14ac:dyDescent="0.35">
      <c r="A4337" t="s">
        <v>4823</v>
      </c>
      <c r="B4337" t="s">
        <v>4824</v>
      </c>
      <c r="C4337" t="s">
        <v>1644</v>
      </c>
      <c r="D4337" t="s">
        <v>323</v>
      </c>
      <c r="E4337" t="s">
        <v>304</v>
      </c>
      <c r="F4337" t="s">
        <v>4848</v>
      </c>
      <c r="G4337">
        <v>0</v>
      </c>
      <c r="H4337">
        <v>0</v>
      </c>
      <c r="I4337">
        <v>0</v>
      </c>
      <c r="J4337">
        <v>0</v>
      </c>
      <c r="K4337">
        <v>0</v>
      </c>
      <c r="L4337">
        <v>0</v>
      </c>
      <c r="M4337">
        <v>0</v>
      </c>
      <c r="N4337">
        <v>0</v>
      </c>
      <c r="O4337">
        <v>0</v>
      </c>
    </row>
    <row r="4338" spans="1:15" x14ac:dyDescent="0.35">
      <c r="A4338" t="s">
        <v>4823</v>
      </c>
      <c r="B4338" t="s">
        <v>4824</v>
      </c>
      <c r="C4338" t="s">
        <v>1644</v>
      </c>
      <c r="D4338" t="s">
        <v>323</v>
      </c>
      <c r="E4338" t="s">
        <v>306</v>
      </c>
      <c r="F4338" t="s">
        <v>4849</v>
      </c>
      <c r="G4338">
        <v>2</v>
      </c>
      <c r="H4338">
        <v>181.96</v>
      </c>
      <c r="I4338">
        <v>90.98</v>
      </c>
      <c r="J4338">
        <v>0</v>
      </c>
      <c r="K4338">
        <v>0</v>
      </c>
      <c r="L4338">
        <v>0</v>
      </c>
      <c r="M4338">
        <v>2</v>
      </c>
      <c r="N4338">
        <v>181.96</v>
      </c>
      <c r="O4338">
        <v>90.98</v>
      </c>
    </row>
    <row r="4339" spans="1:15" x14ac:dyDescent="0.35">
      <c r="A4339" t="s">
        <v>4823</v>
      </c>
      <c r="B4339" t="s">
        <v>4824</v>
      </c>
      <c r="C4339" t="s">
        <v>1644</v>
      </c>
      <c r="D4339" t="s">
        <v>323</v>
      </c>
      <c r="E4339" t="s">
        <v>308</v>
      </c>
      <c r="F4339" t="s">
        <v>4850</v>
      </c>
      <c r="G4339">
        <v>0</v>
      </c>
      <c r="H4339">
        <v>0</v>
      </c>
      <c r="I4339">
        <v>0</v>
      </c>
      <c r="J4339">
        <v>0</v>
      </c>
      <c r="K4339">
        <v>0</v>
      </c>
      <c r="L4339">
        <v>0</v>
      </c>
      <c r="M4339">
        <v>0</v>
      </c>
      <c r="N4339">
        <v>0</v>
      </c>
      <c r="O4339">
        <v>0</v>
      </c>
    </row>
    <row r="4340" spans="1:15" x14ac:dyDescent="0.35">
      <c r="A4340" t="s">
        <v>4823</v>
      </c>
      <c r="B4340" t="s">
        <v>4824</v>
      </c>
      <c r="C4340" t="s">
        <v>1644</v>
      </c>
      <c r="D4340" t="s">
        <v>323</v>
      </c>
      <c r="E4340" t="s">
        <v>310</v>
      </c>
      <c r="F4340" t="s">
        <v>4851</v>
      </c>
      <c r="G4340">
        <v>4894</v>
      </c>
      <c r="H4340">
        <v>654508.11999999988</v>
      </c>
      <c r="I4340">
        <v>133.74</v>
      </c>
      <c r="J4340">
        <v>10</v>
      </c>
      <c r="K4340">
        <v>1104.94</v>
      </c>
      <c r="L4340">
        <v>110.49</v>
      </c>
      <c r="M4340">
        <v>4904</v>
      </c>
      <c r="N4340">
        <v>655613.05999999982</v>
      </c>
      <c r="O4340">
        <v>133.69</v>
      </c>
    </row>
    <row r="4341" spans="1:15" x14ac:dyDescent="0.35">
      <c r="A4341" t="s">
        <v>4823</v>
      </c>
      <c r="B4341" t="s">
        <v>4824</v>
      </c>
      <c r="C4341" t="s">
        <v>1644</v>
      </c>
      <c r="D4341" t="s">
        <v>323</v>
      </c>
      <c r="E4341" t="s">
        <v>312</v>
      </c>
      <c r="F4341" t="s">
        <v>4852</v>
      </c>
      <c r="G4341">
        <v>4894</v>
      </c>
      <c r="H4341">
        <v>654508.11999999988</v>
      </c>
      <c r="I4341">
        <v>133.74</v>
      </c>
      <c r="J4341">
        <v>10</v>
      </c>
      <c r="K4341">
        <v>1104.94</v>
      </c>
      <c r="L4341">
        <v>110.49</v>
      </c>
      <c r="M4341">
        <v>4904</v>
      </c>
      <c r="N4341">
        <v>655613.05999999982</v>
      </c>
      <c r="O4341">
        <v>133.69</v>
      </c>
    </row>
    <row r="4342" spans="1:15" x14ac:dyDescent="0.35">
      <c r="A4342" t="s">
        <v>4823</v>
      </c>
      <c r="B4342" t="s">
        <v>4824</v>
      </c>
      <c r="C4342" t="s">
        <v>1644</v>
      </c>
      <c r="D4342" t="s">
        <v>334</v>
      </c>
      <c r="E4342" t="s">
        <v>312</v>
      </c>
      <c r="F4342" t="s">
        <v>4853</v>
      </c>
      <c r="G4342">
        <v>7175</v>
      </c>
      <c r="H4342">
        <v>1059124.7799999998</v>
      </c>
      <c r="I4342">
        <v>150.72</v>
      </c>
      <c r="J4342">
        <v>10</v>
      </c>
      <c r="K4342">
        <v>1104.94</v>
      </c>
      <c r="L4342">
        <v>110.49</v>
      </c>
      <c r="M4342">
        <v>7185</v>
      </c>
      <c r="N4342">
        <v>1060229.7199999997</v>
      </c>
      <c r="O4342">
        <v>150.66999999999999</v>
      </c>
    </row>
    <row r="4343" spans="1:15" x14ac:dyDescent="0.35">
      <c r="A4343" t="s">
        <v>4823</v>
      </c>
      <c r="B4343" t="s">
        <v>4824</v>
      </c>
      <c r="C4343" t="s">
        <v>1644</v>
      </c>
      <c r="D4343" t="s">
        <v>334</v>
      </c>
      <c r="E4343" t="s">
        <v>308</v>
      </c>
      <c r="F4343" t="s">
        <v>4854</v>
      </c>
      <c r="G4343">
        <v>0</v>
      </c>
      <c r="H4343">
        <v>0</v>
      </c>
      <c r="I4343">
        <v>0</v>
      </c>
      <c r="J4343">
        <v>0</v>
      </c>
      <c r="K4343">
        <v>0</v>
      </c>
      <c r="L4343">
        <v>0</v>
      </c>
      <c r="M4343">
        <v>0</v>
      </c>
      <c r="N4343">
        <v>0</v>
      </c>
      <c r="O4343">
        <v>0</v>
      </c>
    </row>
    <row r="4344" spans="1:15" x14ac:dyDescent="0.35">
      <c r="A4344" t="s">
        <v>4823</v>
      </c>
      <c r="B4344" t="s">
        <v>4824</v>
      </c>
      <c r="C4344" t="s">
        <v>1644</v>
      </c>
      <c r="D4344" t="s">
        <v>337</v>
      </c>
      <c r="E4344" t="s">
        <v>337</v>
      </c>
      <c r="F4344" t="s">
        <v>4855</v>
      </c>
      <c r="G4344">
        <v>1435</v>
      </c>
      <c r="J4344">
        <v>0</v>
      </c>
      <c r="M4344">
        <v>1435</v>
      </c>
    </row>
    <row r="4345" spans="1:15" x14ac:dyDescent="0.35">
      <c r="A4345" t="s">
        <v>4823</v>
      </c>
      <c r="B4345" t="s">
        <v>4824</v>
      </c>
      <c r="C4345" t="s">
        <v>1644</v>
      </c>
      <c r="D4345" t="s">
        <v>339</v>
      </c>
      <c r="E4345" t="s">
        <v>294</v>
      </c>
      <c r="F4345" t="s">
        <v>4856</v>
      </c>
      <c r="G4345">
        <v>531</v>
      </c>
      <c r="H4345">
        <v>65698.64</v>
      </c>
      <c r="I4345">
        <v>123.73</v>
      </c>
      <c r="J4345">
        <v>0</v>
      </c>
      <c r="K4345">
        <v>0</v>
      </c>
      <c r="L4345">
        <v>0</v>
      </c>
      <c r="M4345">
        <v>531</v>
      </c>
      <c r="N4345">
        <v>65698.64</v>
      </c>
      <c r="O4345">
        <v>123.73</v>
      </c>
    </row>
    <row r="4346" spans="1:15" x14ac:dyDescent="0.35">
      <c r="A4346" t="s">
        <v>4823</v>
      </c>
      <c r="B4346" t="s">
        <v>4824</v>
      </c>
      <c r="C4346" t="s">
        <v>1644</v>
      </c>
      <c r="D4346" t="s">
        <v>339</v>
      </c>
      <c r="E4346" t="s">
        <v>296</v>
      </c>
      <c r="F4346" t="s">
        <v>4857</v>
      </c>
      <c r="G4346">
        <v>65</v>
      </c>
      <c r="H4346">
        <v>8728.5</v>
      </c>
      <c r="I4346">
        <v>134.28</v>
      </c>
      <c r="J4346">
        <v>0</v>
      </c>
      <c r="K4346">
        <v>0</v>
      </c>
      <c r="L4346">
        <v>0</v>
      </c>
      <c r="M4346">
        <v>65</v>
      </c>
      <c r="N4346">
        <v>8728.5</v>
      </c>
      <c r="O4346">
        <v>134.28</v>
      </c>
    </row>
    <row r="4347" spans="1:15" x14ac:dyDescent="0.35">
      <c r="A4347" t="s">
        <v>4823</v>
      </c>
      <c r="B4347" t="s">
        <v>4824</v>
      </c>
      <c r="C4347" t="s">
        <v>1644</v>
      </c>
      <c r="D4347" t="s">
        <v>339</v>
      </c>
      <c r="E4347" t="s">
        <v>298</v>
      </c>
      <c r="F4347" t="s">
        <v>4858</v>
      </c>
      <c r="G4347">
        <v>5</v>
      </c>
      <c r="H4347">
        <v>736.31000000000006</v>
      </c>
      <c r="I4347">
        <v>147.26</v>
      </c>
      <c r="J4347">
        <v>0</v>
      </c>
      <c r="K4347">
        <v>0</v>
      </c>
      <c r="L4347">
        <v>0</v>
      </c>
      <c r="M4347">
        <v>5</v>
      </c>
      <c r="N4347">
        <v>736.31000000000006</v>
      </c>
      <c r="O4347">
        <v>147.26</v>
      </c>
    </row>
    <row r="4348" spans="1:15" x14ac:dyDescent="0.35">
      <c r="A4348" t="s">
        <v>4823</v>
      </c>
      <c r="B4348" t="s">
        <v>4824</v>
      </c>
      <c r="C4348" t="s">
        <v>1644</v>
      </c>
      <c r="D4348" t="s">
        <v>339</v>
      </c>
      <c r="E4348" t="s">
        <v>300</v>
      </c>
      <c r="F4348" t="s">
        <v>4859</v>
      </c>
      <c r="G4348">
        <v>0</v>
      </c>
      <c r="H4348">
        <v>0</v>
      </c>
      <c r="I4348">
        <v>0</v>
      </c>
      <c r="J4348">
        <v>0</v>
      </c>
      <c r="K4348">
        <v>0</v>
      </c>
      <c r="L4348">
        <v>0</v>
      </c>
      <c r="M4348">
        <v>0</v>
      </c>
      <c r="N4348">
        <v>0</v>
      </c>
      <c r="O4348">
        <v>0</v>
      </c>
    </row>
    <row r="4349" spans="1:15" x14ac:dyDescent="0.35">
      <c r="A4349" t="s">
        <v>4823</v>
      </c>
      <c r="B4349" t="s">
        <v>4824</v>
      </c>
      <c r="C4349" t="s">
        <v>1644</v>
      </c>
      <c r="D4349" t="s">
        <v>339</v>
      </c>
      <c r="E4349" t="s">
        <v>306</v>
      </c>
      <c r="F4349" t="s">
        <v>4860</v>
      </c>
      <c r="G4349">
        <v>59</v>
      </c>
      <c r="H4349">
        <v>5768.2200000000012</v>
      </c>
      <c r="I4349">
        <v>97.77</v>
      </c>
      <c r="J4349">
        <v>0</v>
      </c>
      <c r="K4349">
        <v>0</v>
      </c>
      <c r="L4349">
        <v>0</v>
      </c>
      <c r="M4349">
        <v>59</v>
      </c>
      <c r="N4349">
        <v>5768.2200000000012</v>
      </c>
      <c r="O4349">
        <v>97.77</v>
      </c>
    </row>
    <row r="4350" spans="1:15" x14ac:dyDescent="0.35">
      <c r="A4350" t="s">
        <v>4823</v>
      </c>
      <c r="B4350" t="s">
        <v>4824</v>
      </c>
      <c r="C4350" t="s">
        <v>1644</v>
      </c>
      <c r="D4350" t="s">
        <v>339</v>
      </c>
      <c r="E4350" t="s">
        <v>308</v>
      </c>
      <c r="F4350" t="s">
        <v>4861</v>
      </c>
      <c r="G4350">
        <v>84</v>
      </c>
      <c r="H4350">
        <v>14235.28</v>
      </c>
      <c r="I4350">
        <v>169.47</v>
      </c>
      <c r="J4350">
        <v>0</v>
      </c>
      <c r="K4350">
        <v>0</v>
      </c>
      <c r="L4350">
        <v>0</v>
      </c>
      <c r="M4350">
        <v>84</v>
      </c>
      <c r="N4350">
        <v>14235.28</v>
      </c>
      <c r="O4350">
        <v>169.47</v>
      </c>
    </row>
    <row r="4351" spans="1:15" x14ac:dyDescent="0.35">
      <c r="A4351" t="s">
        <v>4823</v>
      </c>
      <c r="B4351" t="s">
        <v>4824</v>
      </c>
      <c r="C4351" t="s">
        <v>1644</v>
      </c>
      <c r="D4351" t="s">
        <v>339</v>
      </c>
      <c r="E4351" t="s">
        <v>310</v>
      </c>
      <c r="F4351" t="s">
        <v>4862</v>
      </c>
      <c r="G4351">
        <v>744</v>
      </c>
      <c r="H4351">
        <v>95166.95</v>
      </c>
      <c r="I4351">
        <v>127.91</v>
      </c>
      <c r="J4351">
        <v>0</v>
      </c>
      <c r="K4351">
        <v>0</v>
      </c>
      <c r="L4351">
        <v>0</v>
      </c>
      <c r="M4351">
        <v>744</v>
      </c>
      <c r="N4351">
        <v>95166.95</v>
      </c>
      <c r="O4351">
        <v>127.91</v>
      </c>
    </row>
    <row r="4352" spans="1:15" x14ac:dyDescent="0.35">
      <c r="A4352" t="s">
        <v>4823</v>
      </c>
      <c r="B4352" t="s">
        <v>4824</v>
      </c>
      <c r="C4352" t="s">
        <v>1644</v>
      </c>
      <c r="D4352" t="s">
        <v>339</v>
      </c>
      <c r="E4352" t="s">
        <v>312</v>
      </c>
      <c r="F4352" t="s">
        <v>4863</v>
      </c>
      <c r="G4352">
        <v>660</v>
      </c>
      <c r="H4352">
        <v>80931.67</v>
      </c>
      <c r="I4352">
        <v>122.62</v>
      </c>
      <c r="J4352">
        <v>0</v>
      </c>
      <c r="K4352">
        <v>0</v>
      </c>
      <c r="L4352">
        <v>0</v>
      </c>
      <c r="M4352">
        <v>660</v>
      </c>
      <c r="N4352">
        <v>80931.67</v>
      </c>
      <c r="O4352">
        <v>122.62</v>
      </c>
    </row>
    <row r="4353" spans="1:15" x14ac:dyDescent="0.35">
      <c r="A4353" t="s">
        <v>4823</v>
      </c>
      <c r="B4353" t="s">
        <v>4824</v>
      </c>
      <c r="C4353" t="s">
        <v>1644</v>
      </c>
      <c r="D4353" t="s">
        <v>348</v>
      </c>
      <c r="E4353" t="s">
        <v>349</v>
      </c>
      <c r="F4353" t="s">
        <v>4864</v>
      </c>
      <c r="G4353">
        <v>870</v>
      </c>
      <c r="H4353">
        <v>104579.47</v>
      </c>
      <c r="I4353">
        <v>131.71</v>
      </c>
      <c r="J4353">
        <v>28</v>
      </c>
      <c r="K4353">
        <v>5269.14</v>
      </c>
      <c r="L4353">
        <v>188.18</v>
      </c>
      <c r="M4353">
        <v>898</v>
      </c>
      <c r="N4353">
        <v>109848.61</v>
      </c>
      <c r="O4353">
        <v>133.63999999999999</v>
      </c>
    </row>
    <row r="4354" spans="1:15" x14ac:dyDescent="0.35">
      <c r="A4354" t="s">
        <v>4865</v>
      </c>
      <c r="B4354" t="s">
        <v>4866</v>
      </c>
      <c r="C4354" t="s">
        <v>1644</v>
      </c>
      <c r="D4354" t="s">
        <v>293</v>
      </c>
      <c r="E4354" t="s">
        <v>294</v>
      </c>
      <c r="F4354" t="s">
        <v>4867</v>
      </c>
      <c r="G4354">
        <v>79</v>
      </c>
      <c r="H4354">
        <v>11558.9</v>
      </c>
      <c r="I4354">
        <v>146.32</v>
      </c>
      <c r="J4354">
        <v>19</v>
      </c>
      <c r="K4354">
        <v>2612.5</v>
      </c>
      <c r="L4354">
        <v>137.5</v>
      </c>
      <c r="M4354">
        <v>98</v>
      </c>
      <c r="N4354">
        <v>14171.4</v>
      </c>
      <c r="O4354">
        <v>144.61000000000001</v>
      </c>
    </row>
    <row r="4355" spans="1:15" x14ac:dyDescent="0.35">
      <c r="A4355" t="s">
        <v>4865</v>
      </c>
      <c r="B4355" t="s">
        <v>4866</v>
      </c>
      <c r="C4355" t="s">
        <v>1644</v>
      </c>
      <c r="D4355" t="s">
        <v>293</v>
      </c>
      <c r="E4355" t="s">
        <v>296</v>
      </c>
      <c r="F4355" t="s">
        <v>4868</v>
      </c>
      <c r="G4355">
        <v>192</v>
      </c>
      <c r="H4355">
        <v>34891.74</v>
      </c>
      <c r="I4355">
        <v>181.73</v>
      </c>
      <c r="J4355">
        <v>18</v>
      </c>
      <c r="K4355">
        <v>3189.78</v>
      </c>
      <c r="L4355">
        <v>177.21</v>
      </c>
      <c r="M4355">
        <v>210</v>
      </c>
      <c r="N4355">
        <v>38081.519999999997</v>
      </c>
      <c r="O4355">
        <v>181.34</v>
      </c>
    </row>
    <row r="4356" spans="1:15" x14ac:dyDescent="0.35">
      <c r="A4356" t="s">
        <v>4865</v>
      </c>
      <c r="B4356" t="s">
        <v>4866</v>
      </c>
      <c r="C4356" t="s">
        <v>1644</v>
      </c>
      <c r="D4356" t="s">
        <v>293</v>
      </c>
      <c r="E4356" t="s">
        <v>298</v>
      </c>
      <c r="F4356" t="s">
        <v>4869</v>
      </c>
      <c r="G4356">
        <v>123</v>
      </c>
      <c r="H4356">
        <v>26994.089999999997</v>
      </c>
      <c r="I4356">
        <v>219.46</v>
      </c>
      <c r="J4356">
        <v>10</v>
      </c>
      <c r="K4356">
        <v>1880.6999999999998</v>
      </c>
      <c r="L4356">
        <v>188.07</v>
      </c>
      <c r="M4356">
        <v>133</v>
      </c>
      <c r="N4356">
        <v>28874.789999999997</v>
      </c>
      <c r="O4356">
        <v>217.1</v>
      </c>
    </row>
    <row r="4357" spans="1:15" x14ac:dyDescent="0.35">
      <c r="A4357" t="s">
        <v>4865</v>
      </c>
      <c r="B4357" t="s">
        <v>4866</v>
      </c>
      <c r="C4357" t="s">
        <v>1644</v>
      </c>
      <c r="D4357" t="s">
        <v>293</v>
      </c>
      <c r="E4357" t="s">
        <v>300</v>
      </c>
      <c r="F4357" t="s">
        <v>4870</v>
      </c>
      <c r="G4357">
        <v>24</v>
      </c>
      <c r="H4357">
        <v>7076.86</v>
      </c>
      <c r="I4357">
        <v>294.87</v>
      </c>
      <c r="J4357">
        <v>2</v>
      </c>
      <c r="K4357">
        <v>417.68</v>
      </c>
      <c r="L4357">
        <v>208.84</v>
      </c>
      <c r="M4357">
        <v>26</v>
      </c>
      <c r="N4357">
        <v>7494.54</v>
      </c>
      <c r="O4357">
        <v>288.25</v>
      </c>
    </row>
    <row r="4358" spans="1:15" x14ac:dyDescent="0.35">
      <c r="A4358" t="s">
        <v>4865</v>
      </c>
      <c r="B4358" t="s">
        <v>4866</v>
      </c>
      <c r="C4358" t="s">
        <v>1644</v>
      </c>
      <c r="D4358" t="s">
        <v>293</v>
      </c>
      <c r="E4358" t="s">
        <v>302</v>
      </c>
      <c r="F4358" t="s">
        <v>4871</v>
      </c>
      <c r="G4358">
        <v>0</v>
      </c>
      <c r="H4358">
        <v>0</v>
      </c>
      <c r="I4358">
        <v>0</v>
      </c>
      <c r="J4358">
        <v>2</v>
      </c>
      <c r="K4358">
        <v>636.48</v>
      </c>
      <c r="L4358">
        <v>318.24</v>
      </c>
      <c r="M4358">
        <v>2</v>
      </c>
      <c r="N4358">
        <v>636.48</v>
      </c>
      <c r="O4358">
        <v>318.24</v>
      </c>
    </row>
    <row r="4359" spans="1:15" x14ac:dyDescent="0.35">
      <c r="A4359" t="s">
        <v>4865</v>
      </c>
      <c r="B4359" t="s">
        <v>4866</v>
      </c>
      <c r="C4359" t="s">
        <v>1644</v>
      </c>
      <c r="D4359" t="s">
        <v>293</v>
      </c>
      <c r="E4359" t="s">
        <v>304</v>
      </c>
      <c r="F4359" t="s">
        <v>4872</v>
      </c>
      <c r="G4359">
        <v>0</v>
      </c>
      <c r="H4359">
        <v>0</v>
      </c>
      <c r="I4359">
        <v>0</v>
      </c>
      <c r="J4359">
        <v>0</v>
      </c>
      <c r="K4359">
        <v>0</v>
      </c>
      <c r="L4359">
        <v>0</v>
      </c>
      <c r="M4359">
        <v>0</v>
      </c>
      <c r="N4359">
        <v>0</v>
      </c>
      <c r="O4359">
        <v>0</v>
      </c>
    </row>
    <row r="4360" spans="1:15" x14ac:dyDescent="0.35">
      <c r="A4360" t="s">
        <v>4865</v>
      </c>
      <c r="B4360" t="s">
        <v>4866</v>
      </c>
      <c r="C4360" t="s">
        <v>1644</v>
      </c>
      <c r="D4360" t="s">
        <v>293</v>
      </c>
      <c r="E4360" t="s">
        <v>306</v>
      </c>
      <c r="F4360" t="s">
        <v>4873</v>
      </c>
      <c r="G4360">
        <v>0</v>
      </c>
      <c r="H4360">
        <v>0</v>
      </c>
      <c r="I4360">
        <v>0</v>
      </c>
      <c r="J4360">
        <v>0</v>
      </c>
      <c r="K4360">
        <v>0</v>
      </c>
      <c r="L4360">
        <v>0</v>
      </c>
      <c r="M4360">
        <v>0</v>
      </c>
      <c r="N4360">
        <v>0</v>
      </c>
      <c r="O4360">
        <v>0</v>
      </c>
    </row>
    <row r="4361" spans="1:15" x14ac:dyDescent="0.35">
      <c r="A4361" t="s">
        <v>4865</v>
      </c>
      <c r="B4361" t="s">
        <v>4866</v>
      </c>
      <c r="C4361" t="s">
        <v>1644</v>
      </c>
      <c r="D4361" t="s">
        <v>293</v>
      </c>
      <c r="E4361" t="s">
        <v>308</v>
      </c>
      <c r="F4361" t="s">
        <v>4874</v>
      </c>
      <c r="G4361">
        <v>0</v>
      </c>
      <c r="H4361">
        <v>0</v>
      </c>
      <c r="I4361">
        <v>0</v>
      </c>
      <c r="J4361">
        <v>0</v>
      </c>
      <c r="K4361">
        <v>0</v>
      </c>
      <c r="L4361">
        <v>0</v>
      </c>
      <c r="M4361">
        <v>0</v>
      </c>
      <c r="N4361">
        <v>0</v>
      </c>
      <c r="O4361">
        <v>0</v>
      </c>
    </row>
    <row r="4362" spans="1:15" x14ac:dyDescent="0.35">
      <c r="A4362" t="s">
        <v>4865</v>
      </c>
      <c r="B4362" t="s">
        <v>4866</v>
      </c>
      <c r="C4362" t="s">
        <v>1644</v>
      </c>
      <c r="D4362" t="s">
        <v>293</v>
      </c>
      <c r="E4362" t="s">
        <v>310</v>
      </c>
      <c r="F4362" t="s">
        <v>4875</v>
      </c>
      <c r="G4362">
        <v>418</v>
      </c>
      <c r="H4362">
        <v>80521.59</v>
      </c>
      <c r="I4362">
        <v>192.64</v>
      </c>
      <c r="J4362">
        <v>51</v>
      </c>
      <c r="K4362">
        <v>8737.1400000000012</v>
      </c>
      <c r="L4362">
        <v>171.32</v>
      </c>
      <c r="M4362">
        <v>469</v>
      </c>
      <c r="N4362">
        <v>89258.73</v>
      </c>
      <c r="O4362">
        <v>190.32</v>
      </c>
    </row>
    <row r="4363" spans="1:15" x14ac:dyDescent="0.35">
      <c r="A4363" t="s">
        <v>4865</v>
      </c>
      <c r="B4363" t="s">
        <v>4866</v>
      </c>
      <c r="C4363" t="s">
        <v>1644</v>
      </c>
      <c r="D4363" t="s">
        <v>293</v>
      </c>
      <c r="E4363" t="s">
        <v>312</v>
      </c>
      <c r="F4363" t="s">
        <v>4876</v>
      </c>
      <c r="G4363">
        <v>418</v>
      </c>
      <c r="H4363">
        <v>80521.59</v>
      </c>
      <c r="I4363">
        <v>192.64</v>
      </c>
      <c r="J4363">
        <v>51</v>
      </c>
      <c r="K4363">
        <v>8737.1400000000012</v>
      </c>
      <c r="L4363">
        <v>171.32</v>
      </c>
      <c r="M4363">
        <v>469</v>
      </c>
      <c r="N4363">
        <v>89258.73</v>
      </c>
      <c r="O4363">
        <v>190.32</v>
      </c>
    </row>
    <row r="4364" spans="1:15" x14ac:dyDescent="0.35">
      <c r="A4364" t="s">
        <v>4865</v>
      </c>
      <c r="B4364" t="s">
        <v>4866</v>
      </c>
      <c r="C4364" t="s">
        <v>1644</v>
      </c>
      <c r="D4364" t="s">
        <v>314</v>
      </c>
      <c r="E4364" t="s">
        <v>294</v>
      </c>
      <c r="F4364" t="s">
        <v>4877</v>
      </c>
      <c r="G4364">
        <v>0</v>
      </c>
      <c r="H4364">
        <v>0</v>
      </c>
      <c r="I4364">
        <v>0</v>
      </c>
      <c r="J4364">
        <v>56</v>
      </c>
      <c r="K4364">
        <v>7702.8000000000011</v>
      </c>
      <c r="L4364">
        <v>137.55000000000001</v>
      </c>
      <c r="M4364">
        <v>56</v>
      </c>
      <c r="N4364">
        <v>7702.8000000000011</v>
      </c>
      <c r="O4364">
        <v>137.55000000000001</v>
      </c>
    </row>
    <row r="4365" spans="1:15" x14ac:dyDescent="0.35">
      <c r="A4365" t="s">
        <v>4865</v>
      </c>
      <c r="B4365" t="s">
        <v>4866</v>
      </c>
      <c r="C4365" t="s">
        <v>1644</v>
      </c>
      <c r="D4365" t="s">
        <v>314</v>
      </c>
      <c r="E4365" t="s">
        <v>296</v>
      </c>
      <c r="F4365" t="s">
        <v>4878</v>
      </c>
      <c r="G4365">
        <v>0</v>
      </c>
      <c r="H4365">
        <v>0</v>
      </c>
      <c r="I4365">
        <v>0</v>
      </c>
      <c r="J4365">
        <v>28</v>
      </c>
      <c r="K4365">
        <v>4837</v>
      </c>
      <c r="L4365">
        <v>172.75</v>
      </c>
      <c r="M4365">
        <v>28</v>
      </c>
      <c r="N4365">
        <v>4837</v>
      </c>
      <c r="O4365">
        <v>172.75</v>
      </c>
    </row>
    <row r="4366" spans="1:15" x14ac:dyDescent="0.35">
      <c r="A4366" t="s">
        <v>4865</v>
      </c>
      <c r="B4366" t="s">
        <v>4866</v>
      </c>
      <c r="C4366" t="s">
        <v>1644</v>
      </c>
      <c r="D4366" t="s">
        <v>314</v>
      </c>
      <c r="E4366" t="s">
        <v>298</v>
      </c>
      <c r="F4366" t="s">
        <v>4879</v>
      </c>
      <c r="G4366">
        <v>0</v>
      </c>
      <c r="H4366">
        <v>0</v>
      </c>
      <c r="I4366">
        <v>0</v>
      </c>
      <c r="J4366">
        <v>0</v>
      </c>
      <c r="K4366">
        <v>0</v>
      </c>
      <c r="L4366">
        <v>0</v>
      </c>
      <c r="M4366">
        <v>0</v>
      </c>
      <c r="N4366">
        <v>0</v>
      </c>
      <c r="O4366">
        <v>0</v>
      </c>
    </row>
    <row r="4367" spans="1:15" x14ac:dyDescent="0.35">
      <c r="A4367" t="s">
        <v>4865</v>
      </c>
      <c r="B4367" t="s">
        <v>4866</v>
      </c>
      <c r="C4367" t="s">
        <v>1644</v>
      </c>
      <c r="D4367" t="s">
        <v>314</v>
      </c>
      <c r="E4367" t="s">
        <v>300</v>
      </c>
      <c r="F4367" t="s">
        <v>4880</v>
      </c>
      <c r="G4367">
        <v>0</v>
      </c>
      <c r="H4367">
        <v>0</v>
      </c>
      <c r="I4367">
        <v>0</v>
      </c>
      <c r="J4367">
        <v>0</v>
      </c>
      <c r="K4367">
        <v>0</v>
      </c>
      <c r="L4367">
        <v>0</v>
      </c>
      <c r="M4367">
        <v>0</v>
      </c>
      <c r="N4367">
        <v>0</v>
      </c>
      <c r="O4367">
        <v>0</v>
      </c>
    </row>
    <row r="4368" spans="1:15" x14ac:dyDescent="0.35">
      <c r="A4368" t="s">
        <v>4865</v>
      </c>
      <c r="B4368" t="s">
        <v>4866</v>
      </c>
      <c r="C4368" t="s">
        <v>1644</v>
      </c>
      <c r="D4368" t="s">
        <v>314</v>
      </c>
      <c r="E4368" t="s">
        <v>306</v>
      </c>
      <c r="F4368" t="s">
        <v>4881</v>
      </c>
      <c r="G4368">
        <v>0</v>
      </c>
      <c r="H4368">
        <v>0</v>
      </c>
      <c r="I4368">
        <v>0</v>
      </c>
      <c r="J4368">
        <v>0</v>
      </c>
      <c r="K4368">
        <v>0</v>
      </c>
      <c r="L4368">
        <v>0</v>
      </c>
      <c r="M4368">
        <v>0</v>
      </c>
      <c r="N4368">
        <v>0</v>
      </c>
      <c r="O4368">
        <v>0</v>
      </c>
    </row>
    <row r="4369" spans="1:15" x14ac:dyDescent="0.35">
      <c r="A4369" t="s">
        <v>4865</v>
      </c>
      <c r="B4369" t="s">
        <v>4866</v>
      </c>
      <c r="C4369" t="s">
        <v>1644</v>
      </c>
      <c r="D4369" t="s">
        <v>314</v>
      </c>
      <c r="E4369" t="s">
        <v>308</v>
      </c>
      <c r="F4369" t="s">
        <v>4882</v>
      </c>
      <c r="G4369">
        <v>0</v>
      </c>
      <c r="H4369">
        <v>0</v>
      </c>
      <c r="I4369">
        <v>0</v>
      </c>
      <c r="J4369">
        <v>0</v>
      </c>
      <c r="K4369">
        <v>0</v>
      </c>
      <c r="L4369">
        <v>0</v>
      </c>
      <c r="M4369">
        <v>0</v>
      </c>
      <c r="N4369">
        <v>0</v>
      </c>
      <c r="O4369">
        <v>0</v>
      </c>
    </row>
    <row r="4370" spans="1:15" x14ac:dyDescent="0.35">
      <c r="A4370" t="s">
        <v>4865</v>
      </c>
      <c r="B4370" t="s">
        <v>4866</v>
      </c>
      <c r="C4370" t="s">
        <v>1644</v>
      </c>
      <c r="D4370" t="s">
        <v>314</v>
      </c>
      <c r="E4370" t="s">
        <v>312</v>
      </c>
      <c r="F4370" t="s">
        <v>4883</v>
      </c>
      <c r="G4370">
        <v>0</v>
      </c>
      <c r="H4370">
        <v>0</v>
      </c>
      <c r="I4370">
        <v>0</v>
      </c>
      <c r="J4370">
        <v>84</v>
      </c>
      <c r="K4370">
        <v>12539.800000000001</v>
      </c>
      <c r="L4370">
        <v>149.28</v>
      </c>
      <c r="M4370">
        <v>84</v>
      </c>
      <c r="N4370">
        <v>12539.800000000001</v>
      </c>
      <c r="O4370">
        <v>149.28</v>
      </c>
    </row>
    <row r="4371" spans="1:15" x14ac:dyDescent="0.35">
      <c r="A4371" t="s">
        <v>4865</v>
      </c>
      <c r="B4371" t="s">
        <v>4866</v>
      </c>
      <c r="C4371" t="s">
        <v>1644</v>
      </c>
      <c r="D4371" t="s">
        <v>314</v>
      </c>
      <c r="E4371" t="s">
        <v>310</v>
      </c>
      <c r="F4371" t="s">
        <v>4884</v>
      </c>
      <c r="G4371">
        <v>0</v>
      </c>
      <c r="H4371">
        <v>0</v>
      </c>
      <c r="I4371">
        <v>0</v>
      </c>
      <c r="J4371">
        <v>84</v>
      </c>
      <c r="K4371">
        <v>12539.800000000001</v>
      </c>
      <c r="L4371">
        <v>149.28</v>
      </c>
      <c r="M4371">
        <v>84</v>
      </c>
      <c r="N4371">
        <v>12539.800000000001</v>
      </c>
      <c r="O4371">
        <v>149.28</v>
      </c>
    </row>
    <row r="4372" spans="1:15" x14ac:dyDescent="0.35">
      <c r="A4372" t="s">
        <v>4865</v>
      </c>
      <c r="B4372" t="s">
        <v>4866</v>
      </c>
      <c r="C4372" t="s">
        <v>1644</v>
      </c>
      <c r="D4372" t="s">
        <v>323</v>
      </c>
      <c r="E4372" t="s">
        <v>294</v>
      </c>
      <c r="F4372" t="s">
        <v>4885</v>
      </c>
      <c r="G4372">
        <v>204</v>
      </c>
      <c r="H4372">
        <v>22044.39</v>
      </c>
      <c r="I4372">
        <v>108.06</v>
      </c>
      <c r="J4372">
        <v>376</v>
      </c>
      <c r="K4372">
        <v>36532.159999999996</v>
      </c>
      <c r="L4372">
        <v>97.16</v>
      </c>
      <c r="M4372">
        <v>580</v>
      </c>
      <c r="N4372">
        <v>58576.549999999996</v>
      </c>
      <c r="O4372">
        <v>100.99</v>
      </c>
    </row>
    <row r="4373" spans="1:15" x14ac:dyDescent="0.35">
      <c r="A4373" t="s">
        <v>4865</v>
      </c>
      <c r="B4373" t="s">
        <v>4866</v>
      </c>
      <c r="C4373" t="s">
        <v>1644</v>
      </c>
      <c r="D4373" t="s">
        <v>323</v>
      </c>
      <c r="E4373" t="s">
        <v>296</v>
      </c>
      <c r="F4373" t="s">
        <v>4886</v>
      </c>
      <c r="G4373">
        <v>529</v>
      </c>
      <c r="H4373">
        <v>68000.12999999999</v>
      </c>
      <c r="I4373">
        <v>128.54</v>
      </c>
      <c r="J4373">
        <v>524</v>
      </c>
      <c r="K4373">
        <v>57613.8</v>
      </c>
      <c r="L4373">
        <v>109.95</v>
      </c>
      <c r="M4373">
        <v>1053</v>
      </c>
      <c r="N4373">
        <v>125613.93</v>
      </c>
      <c r="O4373">
        <v>119.29</v>
      </c>
    </row>
    <row r="4374" spans="1:15" x14ac:dyDescent="0.35">
      <c r="A4374" t="s">
        <v>4865</v>
      </c>
      <c r="B4374" t="s">
        <v>4866</v>
      </c>
      <c r="C4374" t="s">
        <v>1644</v>
      </c>
      <c r="D4374" t="s">
        <v>323</v>
      </c>
      <c r="E4374" t="s">
        <v>298</v>
      </c>
      <c r="F4374" t="s">
        <v>4887</v>
      </c>
      <c r="G4374">
        <v>333</v>
      </c>
      <c r="H4374">
        <v>49405.21</v>
      </c>
      <c r="I4374">
        <v>148.36000000000001</v>
      </c>
      <c r="J4374">
        <v>631</v>
      </c>
      <c r="K4374">
        <v>84030.26999999999</v>
      </c>
      <c r="L4374">
        <v>133.16999999999999</v>
      </c>
      <c r="M4374">
        <v>964</v>
      </c>
      <c r="N4374">
        <v>133435.47999999998</v>
      </c>
      <c r="O4374">
        <v>138.41999999999999</v>
      </c>
    </row>
    <row r="4375" spans="1:15" x14ac:dyDescent="0.35">
      <c r="A4375" t="s">
        <v>4865</v>
      </c>
      <c r="B4375" t="s">
        <v>4866</v>
      </c>
      <c r="C4375" t="s">
        <v>1644</v>
      </c>
      <c r="D4375" t="s">
        <v>323</v>
      </c>
      <c r="E4375" t="s">
        <v>300</v>
      </c>
      <c r="F4375" t="s">
        <v>4888</v>
      </c>
      <c r="G4375">
        <v>26</v>
      </c>
      <c r="H4375">
        <v>4446.26</v>
      </c>
      <c r="I4375">
        <v>171.01</v>
      </c>
      <c r="J4375">
        <v>41</v>
      </c>
      <c r="K4375">
        <v>5865.87</v>
      </c>
      <c r="L4375">
        <v>143.07</v>
      </c>
      <c r="M4375">
        <v>67</v>
      </c>
      <c r="N4375">
        <v>10312.130000000001</v>
      </c>
      <c r="O4375">
        <v>153.91</v>
      </c>
    </row>
    <row r="4376" spans="1:15" x14ac:dyDescent="0.35">
      <c r="A4376" t="s">
        <v>4865</v>
      </c>
      <c r="B4376" t="s">
        <v>4866</v>
      </c>
      <c r="C4376" t="s">
        <v>1644</v>
      </c>
      <c r="D4376" t="s">
        <v>323</v>
      </c>
      <c r="E4376" t="s">
        <v>302</v>
      </c>
      <c r="F4376" t="s">
        <v>4889</v>
      </c>
      <c r="G4376">
        <v>0</v>
      </c>
      <c r="H4376">
        <v>0</v>
      </c>
      <c r="I4376">
        <v>0</v>
      </c>
      <c r="J4376">
        <v>3</v>
      </c>
      <c r="K4376">
        <v>439.5</v>
      </c>
      <c r="L4376">
        <v>146.5</v>
      </c>
      <c r="M4376">
        <v>3</v>
      </c>
      <c r="N4376">
        <v>439.5</v>
      </c>
      <c r="O4376">
        <v>146.5</v>
      </c>
    </row>
    <row r="4377" spans="1:15" x14ac:dyDescent="0.35">
      <c r="A4377" t="s">
        <v>4865</v>
      </c>
      <c r="B4377" t="s">
        <v>4866</v>
      </c>
      <c r="C4377" t="s">
        <v>1644</v>
      </c>
      <c r="D4377" t="s">
        <v>323</v>
      </c>
      <c r="E4377" t="s">
        <v>304</v>
      </c>
      <c r="F4377" t="s">
        <v>4890</v>
      </c>
      <c r="G4377">
        <v>0</v>
      </c>
      <c r="H4377">
        <v>0</v>
      </c>
      <c r="I4377">
        <v>0</v>
      </c>
      <c r="J4377">
        <v>0</v>
      </c>
      <c r="K4377">
        <v>0</v>
      </c>
      <c r="L4377">
        <v>0</v>
      </c>
      <c r="M4377">
        <v>0</v>
      </c>
      <c r="N4377">
        <v>0</v>
      </c>
      <c r="O4377">
        <v>0</v>
      </c>
    </row>
    <row r="4378" spans="1:15" x14ac:dyDescent="0.35">
      <c r="A4378" t="s">
        <v>4865</v>
      </c>
      <c r="B4378" t="s">
        <v>4866</v>
      </c>
      <c r="C4378" t="s">
        <v>1644</v>
      </c>
      <c r="D4378" t="s">
        <v>323</v>
      </c>
      <c r="E4378" t="s">
        <v>306</v>
      </c>
      <c r="F4378" t="s">
        <v>4891</v>
      </c>
      <c r="G4378">
        <v>0</v>
      </c>
      <c r="H4378">
        <v>0</v>
      </c>
      <c r="I4378">
        <v>0</v>
      </c>
      <c r="J4378">
        <v>87</v>
      </c>
      <c r="K4378">
        <v>7154.8799999999992</v>
      </c>
      <c r="L4378">
        <v>82.24</v>
      </c>
      <c r="M4378">
        <v>87</v>
      </c>
      <c r="N4378">
        <v>7154.8799999999992</v>
      </c>
      <c r="O4378">
        <v>82.24</v>
      </c>
    </row>
    <row r="4379" spans="1:15" x14ac:dyDescent="0.35">
      <c r="A4379" t="s">
        <v>4865</v>
      </c>
      <c r="B4379" t="s">
        <v>4866</v>
      </c>
      <c r="C4379" t="s">
        <v>1644</v>
      </c>
      <c r="D4379" t="s">
        <v>323</v>
      </c>
      <c r="E4379" t="s">
        <v>308</v>
      </c>
      <c r="F4379" t="s">
        <v>4892</v>
      </c>
      <c r="G4379">
        <v>0</v>
      </c>
      <c r="H4379">
        <v>0</v>
      </c>
      <c r="I4379">
        <v>0</v>
      </c>
      <c r="J4379">
        <v>14</v>
      </c>
      <c r="K4379">
        <v>1011.6400000000001</v>
      </c>
      <c r="L4379">
        <v>72.260000000000005</v>
      </c>
      <c r="M4379">
        <v>14</v>
      </c>
      <c r="N4379">
        <v>1011.6400000000001</v>
      </c>
      <c r="O4379">
        <v>72.260000000000005</v>
      </c>
    </row>
    <row r="4380" spans="1:15" x14ac:dyDescent="0.35">
      <c r="A4380" t="s">
        <v>4865</v>
      </c>
      <c r="B4380" t="s">
        <v>4866</v>
      </c>
      <c r="C4380" t="s">
        <v>1644</v>
      </c>
      <c r="D4380" t="s">
        <v>323</v>
      </c>
      <c r="E4380" t="s">
        <v>310</v>
      </c>
      <c r="F4380" t="s">
        <v>4893</v>
      </c>
      <c r="G4380">
        <v>1092</v>
      </c>
      <c r="H4380">
        <v>143895.99</v>
      </c>
      <c r="I4380">
        <v>131.77000000000001</v>
      </c>
      <c r="J4380">
        <v>1676</v>
      </c>
      <c r="K4380">
        <v>192648.12</v>
      </c>
      <c r="L4380">
        <v>114.95</v>
      </c>
      <c r="M4380">
        <v>2768</v>
      </c>
      <c r="N4380">
        <v>336544.11</v>
      </c>
      <c r="O4380">
        <v>121.58</v>
      </c>
    </row>
    <row r="4381" spans="1:15" x14ac:dyDescent="0.35">
      <c r="A4381" t="s">
        <v>4865</v>
      </c>
      <c r="B4381" t="s">
        <v>4866</v>
      </c>
      <c r="C4381" t="s">
        <v>1644</v>
      </c>
      <c r="D4381" t="s">
        <v>323</v>
      </c>
      <c r="E4381" t="s">
        <v>312</v>
      </c>
      <c r="F4381" t="s">
        <v>4894</v>
      </c>
      <c r="G4381">
        <v>1092</v>
      </c>
      <c r="H4381">
        <v>143895.99</v>
      </c>
      <c r="I4381">
        <v>131.77000000000001</v>
      </c>
      <c r="J4381">
        <v>1662</v>
      </c>
      <c r="K4381">
        <v>191636.47999999998</v>
      </c>
      <c r="L4381">
        <v>115.3</v>
      </c>
      <c r="M4381">
        <v>2754</v>
      </c>
      <c r="N4381">
        <v>335532.46999999997</v>
      </c>
      <c r="O4381">
        <v>121.83</v>
      </c>
    </row>
    <row r="4382" spans="1:15" x14ac:dyDescent="0.35">
      <c r="A4382" t="s">
        <v>4865</v>
      </c>
      <c r="B4382" t="s">
        <v>4866</v>
      </c>
      <c r="C4382" t="s">
        <v>1644</v>
      </c>
      <c r="D4382" t="s">
        <v>334</v>
      </c>
      <c r="E4382" t="s">
        <v>312</v>
      </c>
      <c r="F4382" t="s">
        <v>4895</v>
      </c>
      <c r="G4382">
        <v>1608</v>
      </c>
      <c r="H4382">
        <v>224417.58</v>
      </c>
      <c r="I4382">
        <v>148.62</v>
      </c>
      <c r="J4382">
        <v>1713</v>
      </c>
      <c r="K4382">
        <v>200373.62</v>
      </c>
      <c r="L4382">
        <v>116.97</v>
      </c>
      <c r="M4382">
        <v>3321</v>
      </c>
      <c r="N4382">
        <v>424791.19999999995</v>
      </c>
      <c r="O4382">
        <v>131.80000000000001</v>
      </c>
    </row>
    <row r="4383" spans="1:15" x14ac:dyDescent="0.35">
      <c r="A4383" t="s">
        <v>4865</v>
      </c>
      <c r="B4383" t="s">
        <v>4866</v>
      </c>
      <c r="C4383" t="s">
        <v>1644</v>
      </c>
      <c r="D4383" t="s">
        <v>334</v>
      </c>
      <c r="E4383" t="s">
        <v>308</v>
      </c>
      <c r="F4383" t="s">
        <v>4896</v>
      </c>
      <c r="G4383">
        <v>0</v>
      </c>
      <c r="H4383">
        <v>0</v>
      </c>
      <c r="I4383">
        <v>0</v>
      </c>
      <c r="J4383">
        <v>14</v>
      </c>
      <c r="K4383">
        <v>1011.6400000000001</v>
      </c>
      <c r="L4383">
        <v>72.260000000000005</v>
      </c>
      <c r="M4383">
        <v>14</v>
      </c>
      <c r="N4383">
        <v>1011.6400000000001</v>
      </c>
      <c r="O4383">
        <v>72.260000000000005</v>
      </c>
    </row>
    <row r="4384" spans="1:15" x14ac:dyDescent="0.35">
      <c r="A4384" t="s">
        <v>4865</v>
      </c>
      <c r="B4384" t="s">
        <v>4866</v>
      </c>
      <c r="C4384" t="s">
        <v>1644</v>
      </c>
      <c r="D4384" t="s">
        <v>337</v>
      </c>
      <c r="E4384" t="s">
        <v>337</v>
      </c>
      <c r="F4384" t="s">
        <v>4897</v>
      </c>
      <c r="G4384">
        <v>356</v>
      </c>
      <c r="J4384">
        <v>67</v>
      </c>
      <c r="M4384">
        <v>423</v>
      </c>
    </row>
    <row r="4385" spans="1:15" x14ac:dyDescent="0.35">
      <c r="A4385" t="s">
        <v>4865</v>
      </c>
      <c r="B4385" t="s">
        <v>4866</v>
      </c>
      <c r="C4385" t="s">
        <v>1644</v>
      </c>
      <c r="D4385" t="s">
        <v>339</v>
      </c>
      <c r="E4385" t="s">
        <v>294</v>
      </c>
      <c r="F4385" t="s">
        <v>4898</v>
      </c>
      <c r="G4385">
        <v>111</v>
      </c>
      <c r="H4385">
        <v>21572.240000000002</v>
      </c>
      <c r="I4385">
        <v>194.34</v>
      </c>
      <c r="J4385">
        <v>511</v>
      </c>
      <c r="K4385">
        <v>50778.07</v>
      </c>
      <c r="L4385">
        <v>99.37</v>
      </c>
      <c r="M4385">
        <v>622</v>
      </c>
      <c r="N4385">
        <v>72350.31</v>
      </c>
      <c r="O4385">
        <v>116.32</v>
      </c>
    </row>
    <row r="4386" spans="1:15" x14ac:dyDescent="0.35">
      <c r="A4386" t="s">
        <v>4865</v>
      </c>
      <c r="B4386" t="s">
        <v>4866</v>
      </c>
      <c r="C4386" t="s">
        <v>1644</v>
      </c>
      <c r="D4386" t="s">
        <v>339</v>
      </c>
      <c r="E4386" t="s">
        <v>296</v>
      </c>
      <c r="F4386" t="s">
        <v>4899</v>
      </c>
      <c r="G4386">
        <v>11</v>
      </c>
      <c r="H4386">
        <v>2334.0299999999997</v>
      </c>
      <c r="I4386">
        <v>212.18</v>
      </c>
      <c r="J4386">
        <v>6</v>
      </c>
      <c r="K4386">
        <v>674.7</v>
      </c>
      <c r="L4386">
        <v>112.45</v>
      </c>
      <c r="M4386">
        <v>17</v>
      </c>
      <c r="N4386">
        <v>3008.7299999999996</v>
      </c>
      <c r="O4386">
        <v>176.98</v>
      </c>
    </row>
    <row r="4387" spans="1:15" x14ac:dyDescent="0.35">
      <c r="A4387" t="s">
        <v>4865</v>
      </c>
      <c r="B4387" t="s">
        <v>4866</v>
      </c>
      <c r="C4387" t="s">
        <v>1644</v>
      </c>
      <c r="D4387" t="s">
        <v>339</v>
      </c>
      <c r="E4387" t="s">
        <v>298</v>
      </c>
      <c r="F4387" t="s">
        <v>4900</v>
      </c>
      <c r="G4387">
        <v>0</v>
      </c>
      <c r="H4387">
        <v>0</v>
      </c>
      <c r="I4387">
        <v>0</v>
      </c>
      <c r="J4387">
        <v>2</v>
      </c>
      <c r="K4387">
        <v>255.18</v>
      </c>
      <c r="L4387">
        <v>127.59</v>
      </c>
      <c r="M4387">
        <v>2</v>
      </c>
      <c r="N4387">
        <v>255.18</v>
      </c>
      <c r="O4387">
        <v>127.59</v>
      </c>
    </row>
    <row r="4388" spans="1:15" x14ac:dyDescent="0.35">
      <c r="A4388" t="s">
        <v>4865</v>
      </c>
      <c r="B4388" t="s">
        <v>4866</v>
      </c>
      <c r="C4388" t="s">
        <v>1644</v>
      </c>
      <c r="D4388" t="s">
        <v>339</v>
      </c>
      <c r="E4388" t="s">
        <v>300</v>
      </c>
      <c r="F4388" t="s">
        <v>4901</v>
      </c>
      <c r="G4388">
        <v>0</v>
      </c>
      <c r="H4388">
        <v>0</v>
      </c>
      <c r="I4388">
        <v>0</v>
      </c>
      <c r="J4388">
        <v>0</v>
      </c>
      <c r="K4388">
        <v>0</v>
      </c>
      <c r="L4388">
        <v>0</v>
      </c>
      <c r="M4388">
        <v>0</v>
      </c>
      <c r="N4388">
        <v>0</v>
      </c>
      <c r="O4388">
        <v>0</v>
      </c>
    </row>
    <row r="4389" spans="1:15" x14ac:dyDescent="0.35">
      <c r="A4389" t="s">
        <v>4865</v>
      </c>
      <c r="B4389" t="s">
        <v>4866</v>
      </c>
      <c r="C4389" t="s">
        <v>1644</v>
      </c>
      <c r="D4389" t="s">
        <v>339</v>
      </c>
      <c r="E4389" t="s">
        <v>306</v>
      </c>
      <c r="F4389" t="s">
        <v>4902</v>
      </c>
      <c r="G4389">
        <v>28</v>
      </c>
      <c r="H4389">
        <v>2684.58</v>
      </c>
      <c r="I4389">
        <v>95.88</v>
      </c>
      <c r="J4389">
        <v>11</v>
      </c>
      <c r="K4389">
        <v>893.86</v>
      </c>
      <c r="L4389">
        <v>81.260000000000005</v>
      </c>
      <c r="M4389">
        <v>39</v>
      </c>
      <c r="N4389">
        <v>3578.44</v>
      </c>
      <c r="O4389">
        <v>91.75</v>
      </c>
    </row>
    <row r="4390" spans="1:15" x14ac:dyDescent="0.35">
      <c r="A4390" t="s">
        <v>4865</v>
      </c>
      <c r="B4390" t="s">
        <v>4866</v>
      </c>
      <c r="C4390" t="s">
        <v>1644</v>
      </c>
      <c r="D4390" t="s">
        <v>339</v>
      </c>
      <c r="E4390" t="s">
        <v>308</v>
      </c>
      <c r="F4390" t="s">
        <v>4903</v>
      </c>
      <c r="G4390">
        <v>80</v>
      </c>
      <c r="H4390">
        <v>12035.189999999999</v>
      </c>
      <c r="I4390">
        <v>150.44</v>
      </c>
      <c r="J4390">
        <v>0</v>
      </c>
      <c r="K4390">
        <v>0</v>
      </c>
      <c r="L4390">
        <v>0</v>
      </c>
      <c r="M4390">
        <v>80</v>
      </c>
      <c r="N4390">
        <v>12035.189999999999</v>
      </c>
      <c r="O4390">
        <v>150.44</v>
      </c>
    </row>
    <row r="4391" spans="1:15" x14ac:dyDescent="0.35">
      <c r="A4391" t="s">
        <v>4865</v>
      </c>
      <c r="B4391" t="s">
        <v>4866</v>
      </c>
      <c r="C4391" t="s">
        <v>1644</v>
      </c>
      <c r="D4391" t="s">
        <v>339</v>
      </c>
      <c r="E4391" t="s">
        <v>310</v>
      </c>
      <c r="F4391" t="s">
        <v>4904</v>
      </c>
      <c r="G4391">
        <v>230</v>
      </c>
      <c r="H4391">
        <v>38626.039999999994</v>
      </c>
      <c r="I4391">
        <v>167.94</v>
      </c>
      <c r="J4391">
        <v>530</v>
      </c>
      <c r="K4391">
        <v>52601.81</v>
      </c>
      <c r="L4391">
        <v>99.25</v>
      </c>
      <c r="M4391">
        <v>760</v>
      </c>
      <c r="N4391">
        <v>91227.849999999991</v>
      </c>
      <c r="O4391">
        <v>120.04</v>
      </c>
    </row>
    <row r="4392" spans="1:15" x14ac:dyDescent="0.35">
      <c r="A4392" t="s">
        <v>4865</v>
      </c>
      <c r="B4392" t="s">
        <v>4866</v>
      </c>
      <c r="C4392" t="s">
        <v>1644</v>
      </c>
      <c r="D4392" t="s">
        <v>339</v>
      </c>
      <c r="E4392" t="s">
        <v>312</v>
      </c>
      <c r="F4392" t="s">
        <v>4905</v>
      </c>
      <c r="G4392">
        <v>150</v>
      </c>
      <c r="H4392">
        <v>26590.85</v>
      </c>
      <c r="I4392">
        <v>177.27</v>
      </c>
      <c r="J4392">
        <v>530</v>
      </c>
      <c r="K4392">
        <v>52601.81</v>
      </c>
      <c r="L4392">
        <v>99.25</v>
      </c>
      <c r="M4392">
        <v>680</v>
      </c>
      <c r="N4392">
        <v>79192.66</v>
      </c>
      <c r="O4392">
        <v>116.46</v>
      </c>
    </row>
    <row r="4393" spans="1:15" x14ac:dyDescent="0.35">
      <c r="A4393" t="s">
        <v>4865</v>
      </c>
      <c r="B4393" t="s">
        <v>4866</v>
      </c>
      <c r="C4393" t="s">
        <v>1644</v>
      </c>
      <c r="D4393" t="s">
        <v>348</v>
      </c>
      <c r="E4393" t="s">
        <v>349</v>
      </c>
      <c r="F4393" t="s">
        <v>4906</v>
      </c>
      <c r="G4393">
        <v>361</v>
      </c>
      <c r="H4393">
        <v>38626.039999999994</v>
      </c>
      <c r="I4393">
        <v>167.94</v>
      </c>
      <c r="J4393">
        <v>614</v>
      </c>
      <c r="K4393">
        <v>65141.61</v>
      </c>
      <c r="L4393">
        <v>106.09</v>
      </c>
      <c r="M4393">
        <v>975</v>
      </c>
      <c r="N4393">
        <v>103767.65</v>
      </c>
      <c r="O4393">
        <v>122.95</v>
      </c>
    </row>
    <row r="4394" spans="1:15" x14ac:dyDescent="0.35">
      <c r="A4394" t="s">
        <v>4907</v>
      </c>
      <c r="B4394" t="s">
        <v>4908</v>
      </c>
      <c r="C4394" t="s">
        <v>1644</v>
      </c>
      <c r="D4394" t="s">
        <v>293</v>
      </c>
      <c r="E4394" t="s">
        <v>294</v>
      </c>
      <c r="F4394" t="s">
        <v>4909</v>
      </c>
      <c r="G4394">
        <v>58</v>
      </c>
      <c r="H4394">
        <v>7530.8200000000015</v>
      </c>
      <c r="I4394">
        <v>129.84</v>
      </c>
      <c r="J4394">
        <v>1</v>
      </c>
      <c r="K4394">
        <v>138.46</v>
      </c>
      <c r="L4394">
        <v>138.46</v>
      </c>
      <c r="M4394">
        <v>59</v>
      </c>
      <c r="N4394">
        <v>7669.2800000000016</v>
      </c>
      <c r="O4394">
        <v>129.99</v>
      </c>
    </row>
    <row r="4395" spans="1:15" x14ac:dyDescent="0.35">
      <c r="A4395" t="s">
        <v>4907</v>
      </c>
      <c r="B4395" t="s">
        <v>4908</v>
      </c>
      <c r="C4395" t="s">
        <v>1644</v>
      </c>
      <c r="D4395" t="s">
        <v>293</v>
      </c>
      <c r="E4395" t="s">
        <v>296</v>
      </c>
      <c r="F4395" t="s">
        <v>4910</v>
      </c>
      <c r="G4395">
        <v>125</v>
      </c>
      <c r="H4395">
        <v>19311.77</v>
      </c>
      <c r="I4395">
        <v>154.49</v>
      </c>
      <c r="J4395">
        <v>29</v>
      </c>
      <c r="K4395">
        <v>4669.87</v>
      </c>
      <c r="L4395">
        <v>161.03</v>
      </c>
      <c r="M4395">
        <v>154</v>
      </c>
      <c r="N4395">
        <v>23981.64</v>
      </c>
      <c r="O4395">
        <v>155.72</v>
      </c>
    </row>
    <row r="4396" spans="1:15" x14ac:dyDescent="0.35">
      <c r="A4396" t="s">
        <v>4907</v>
      </c>
      <c r="B4396" t="s">
        <v>4908</v>
      </c>
      <c r="C4396" t="s">
        <v>1644</v>
      </c>
      <c r="D4396" t="s">
        <v>293</v>
      </c>
      <c r="E4396" t="s">
        <v>298</v>
      </c>
      <c r="F4396" t="s">
        <v>4911</v>
      </c>
      <c r="G4396">
        <v>88</v>
      </c>
      <c r="H4396">
        <v>15624.25</v>
      </c>
      <c r="I4396">
        <v>177.55</v>
      </c>
      <c r="J4396">
        <v>13</v>
      </c>
      <c r="K4396">
        <v>2506.92</v>
      </c>
      <c r="L4396">
        <v>192.84</v>
      </c>
      <c r="M4396">
        <v>101</v>
      </c>
      <c r="N4396">
        <v>18131.169999999998</v>
      </c>
      <c r="O4396">
        <v>179.52</v>
      </c>
    </row>
    <row r="4397" spans="1:15" x14ac:dyDescent="0.35">
      <c r="A4397" t="s">
        <v>4907</v>
      </c>
      <c r="B4397" t="s">
        <v>4908</v>
      </c>
      <c r="C4397" t="s">
        <v>1644</v>
      </c>
      <c r="D4397" t="s">
        <v>293</v>
      </c>
      <c r="E4397" t="s">
        <v>300</v>
      </c>
      <c r="F4397" t="s">
        <v>4912</v>
      </c>
      <c r="G4397">
        <v>15</v>
      </c>
      <c r="H4397">
        <v>3428.5499999999997</v>
      </c>
      <c r="I4397">
        <v>228.57</v>
      </c>
      <c r="J4397">
        <v>4</v>
      </c>
      <c r="K4397">
        <v>903.6</v>
      </c>
      <c r="L4397">
        <v>225.9</v>
      </c>
      <c r="M4397">
        <v>19</v>
      </c>
      <c r="N4397">
        <v>4332.1499999999996</v>
      </c>
      <c r="O4397">
        <v>228.01</v>
      </c>
    </row>
    <row r="4398" spans="1:15" x14ac:dyDescent="0.35">
      <c r="A4398" t="s">
        <v>4907</v>
      </c>
      <c r="B4398" t="s">
        <v>4908</v>
      </c>
      <c r="C4398" t="s">
        <v>1644</v>
      </c>
      <c r="D4398" t="s">
        <v>293</v>
      </c>
      <c r="E4398" t="s">
        <v>302</v>
      </c>
      <c r="F4398" t="s">
        <v>4913</v>
      </c>
      <c r="G4398">
        <v>1</v>
      </c>
      <c r="H4398">
        <v>246.97</v>
      </c>
      <c r="I4398">
        <v>246.97</v>
      </c>
      <c r="J4398">
        <v>0</v>
      </c>
      <c r="K4398">
        <v>0</v>
      </c>
      <c r="L4398">
        <v>0</v>
      </c>
      <c r="M4398">
        <v>1</v>
      </c>
      <c r="N4398">
        <v>246.97</v>
      </c>
      <c r="O4398">
        <v>246.97</v>
      </c>
    </row>
    <row r="4399" spans="1:15" x14ac:dyDescent="0.35">
      <c r="A4399" t="s">
        <v>4907</v>
      </c>
      <c r="B4399" t="s">
        <v>4908</v>
      </c>
      <c r="C4399" t="s">
        <v>1644</v>
      </c>
      <c r="D4399" t="s">
        <v>293</v>
      </c>
      <c r="E4399" t="s">
        <v>304</v>
      </c>
      <c r="F4399" t="s">
        <v>4914</v>
      </c>
      <c r="G4399">
        <v>1</v>
      </c>
      <c r="H4399">
        <v>198</v>
      </c>
      <c r="I4399">
        <v>198</v>
      </c>
      <c r="J4399">
        <v>0</v>
      </c>
      <c r="K4399">
        <v>0</v>
      </c>
      <c r="L4399">
        <v>0</v>
      </c>
      <c r="M4399">
        <v>1</v>
      </c>
      <c r="N4399">
        <v>198</v>
      </c>
      <c r="O4399">
        <v>198</v>
      </c>
    </row>
    <row r="4400" spans="1:15" x14ac:dyDescent="0.35">
      <c r="A4400" t="s">
        <v>4907</v>
      </c>
      <c r="B4400" t="s">
        <v>4908</v>
      </c>
      <c r="C4400" t="s">
        <v>1644</v>
      </c>
      <c r="D4400" t="s">
        <v>293</v>
      </c>
      <c r="E4400" t="s">
        <v>306</v>
      </c>
      <c r="F4400" t="s">
        <v>4915</v>
      </c>
      <c r="G4400">
        <v>0</v>
      </c>
      <c r="H4400">
        <v>0</v>
      </c>
      <c r="I4400">
        <v>0</v>
      </c>
      <c r="J4400">
        <v>0</v>
      </c>
      <c r="K4400">
        <v>0</v>
      </c>
      <c r="L4400">
        <v>0</v>
      </c>
      <c r="M4400">
        <v>0</v>
      </c>
      <c r="N4400">
        <v>0</v>
      </c>
      <c r="O4400">
        <v>0</v>
      </c>
    </row>
    <row r="4401" spans="1:15" x14ac:dyDescent="0.35">
      <c r="A4401" t="s">
        <v>4907</v>
      </c>
      <c r="B4401" t="s">
        <v>4908</v>
      </c>
      <c r="C4401" t="s">
        <v>1644</v>
      </c>
      <c r="D4401" t="s">
        <v>293</v>
      </c>
      <c r="E4401" t="s">
        <v>308</v>
      </c>
      <c r="F4401" t="s">
        <v>4916</v>
      </c>
      <c r="G4401">
        <v>0</v>
      </c>
      <c r="H4401">
        <v>0</v>
      </c>
      <c r="I4401">
        <v>0</v>
      </c>
      <c r="J4401">
        <v>0</v>
      </c>
      <c r="K4401">
        <v>0</v>
      </c>
      <c r="L4401">
        <v>0</v>
      </c>
      <c r="M4401">
        <v>0</v>
      </c>
      <c r="N4401">
        <v>0</v>
      </c>
      <c r="O4401">
        <v>0</v>
      </c>
    </row>
    <row r="4402" spans="1:15" x14ac:dyDescent="0.35">
      <c r="A4402" t="s">
        <v>4907</v>
      </c>
      <c r="B4402" t="s">
        <v>4908</v>
      </c>
      <c r="C4402" t="s">
        <v>1644</v>
      </c>
      <c r="D4402" t="s">
        <v>293</v>
      </c>
      <c r="E4402" t="s">
        <v>310</v>
      </c>
      <c r="F4402" t="s">
        <v>4917</v>
      </c>
      <c r="G4402">
        <v>288</v>
      </c>
      <c r="H4402">
        <v>46340.360000000008</v>
      </c>
      <c r="I4402">
        <v>160.9</v>
      </c>
      <c r="J4402">
        <v>47</v>
      </c>
      <c r="K4402">
        <v>8218.85</v>
      </c>
      <c r="L4402">
        <v>174.87</v>
      </c>
      <c r="M4402">
        <v>335</v>
      </c>
      <c r="N4402">
        <v>54559.210000000006</v>
      </c>
      <c r="O4402">
        <v>162.86000000000001</v>
      </c>
    </row>
    <row r="4403" spans="1:15" x14ac:dyDescent="0.35">
      <c r="A4403" t="s">
        <v>4907</v>
      </c>
      <c r="B4403" t="s">
        <v>4908</v>
      </c>
      <c r="C4403" t="s">
        <v>1644</v>
      </c>
      <c r="D4403" t="s">
        <v>293</v>
      </c>
      <c r="E4403" t="s">
        <v>312</v>
      </c>
      <c r="F4403" t="s">
        <v>4918</v>
      </c>
      <c r="G4403">
        <v>288</v>
      </c>
      <c r="H4403">
        <v>46340.360000000008</v>
      </c>
      <c r="I4403">
        <v>160.9</v>
      </c>
      <c r="J4403">
        <v>47</v>
      </c>
      <c r="K4403">
        <v>8218.85</v>
      </c>
      <c r="L4403">
        <v>174.87</v>
      </c>
      <c r="M4403">
        <v>335</v>
      </c>
      <c r="N4403">
        <v>54559.210000000006</v>
      </c>
      <c r="O4403">
        <v>162.86000000000001</v>
      </c>
    </row>
    <row r="4404" spans="1:15" x14ac:dyDescent="0.35">
      <c r="A4404" t="s">
        <v>4907</v>
      </c>
      <c r="B4404" t="s">
        <v>4908</v>
      </c>
      <c r="C4404" t="s">
        <v>1644</v>
      </c>
      <c r="D4404" t="s">
        <v>314</v>
      </c>
      <c r="E4404" t="s">
        <v>294</v>
      </c>
      <c r="F4404" t="s">
        <v>4919</v>
      </c>
      <c r="G4404">
        <v>69</v>
      </c>
      <c r="H4404">
        <v>17477.68</v>
      </c>
      <c r="I4404">
        <v>253.3</v>
      </c>
      <c r="J4404">
        <v>0</v>
      </c>
      <c r="K4404">
        <v>0</v>
      </c>
      <c r="L4404">
        <v>0</v>
      </c>
      <c r="M4404">
        <v>69</v>
      </c>
      <c r="N4404">
        <v>17477.68</v>
      </c>
      <c r="O4404">
        <v>253.3</v>
      </c>
    </row>
    <row r="4405" spans="1:15" x14ac:dyDescent="0.35">
      <c r="A4405" t="s">
        <v>4907</v>
      </c>
      <c r="B4405" t="s">
        <v>4908</v>
      </c>
      <c r="C4405" t="s">
        <v>1644</v>
      </c>
      <c r="D4405" t="s">
        <v>314</v>
      </c>
      <c r="E4405" t="s">
        <v>296</v>
      </c>
      <c r="F4405" t="s">
        <v>4920</v>
      </c>
      <c r="G4405">
        <v>21</v>
      </c>
      <c r="H4405">
        <v>7312.83</v>
      </c>
      <c r="I4405">
        <v>348.23</v>
      </c>
      <c r="J4405">
        <v>0</v>
      </c>
      <c r="K4405">
        <v>0</v>
      </c>
      <c r="L4405">
        <v>0</v>
      </c>
      <c r="M4405">
        <v>21</v>
      </c>
      <c r="N4405">
        <v>7312.83</v>
      </c>
      <c r="O4405">
        <v>348.23</v>
      </c>
    </row>
    <row r="4406" spans="1:15" x14ac:dyDescent="0.35">
      <c r="A4406" t="s">
        <v>4907</v>
      </c>
      <c r="B4406" t="s">
        <v>4908</v>
      </c>
      <c r="C4406" t="s">
        <v>1644</v>
      </c>
      <c r="D4406" t="s">
        <v>314</v>
      </c>
      <c r="E4406" t="s">
        <v>298</v>
      </c>
      <c r="F4406" t="s">
        <v>4921</v>
      </c>
      <c r="G4406">
        <v>0</v>
      </c>
      <c r="H4406">
        <v>0</v>
      </c>
      <c r="I4406">
        <v>0</v>
      </c>
      <c r="J4406">
        <v>1</v>
      </c>
      <c r="K4406">
        <v>187.75</v>
      </c>
      <c r="L4406">
        <v>187.75</v>
      </c>
      <c r="M4406">
        <v>1</v>
      </c>
      <c r="N4406">
        <v>187.75</v>
      </c>
      <c r="O4406">
        <v>187.75</v>
      </c>
    </row>
    <row r="4407" spans="1:15" x14ac:dyDescent="0.35">
      <c r="A4407" t="s">
        <v>4907</v>
      </c>
      <c r="B4407" t="s">
        <v>4908</v>
      </c>
      <c r="C4407" t="s">
        <v>1644</v>
      </c>
      <c r="D4407" t="s">
        <v>314</v>
      </c>
      <c r="E4407" t="s">
        <v>300</v>
      </c>
      <c r="F4407" t="s">
        <v>4922</v>
      </c>
      <c r="G4407">
        <v>0</v>
      </c>
      <c r="H4407">
        <v>0</v>
      </c>
      <c r="I4407">
        <v>0</v>
      </c>
      <c r="J4407">
        <v>0</v>
      </c>
      <c r="K4407">
        <v>0</v>
      </c>
      <c r="L4407">
        <v>0</v>
      </c>
      <c r="M4407">
        <v>0</v>
      </c>
      <c r="N4407">
        <v>0</v>
      </c>
      <c r="O4407">
        <v>0</v>
      </c>
    </row>
    <row r="4408" spans="1:15" x14ac:dyDescent="0.35">
      <c r="A4408" t="s">
        <v>4907</v>
      </c>
      <c r="B4408" t="s">
        <v>4908</v>
      </c>
      <c r="C4408" t="s">
        <v>1644</v>
      </c>
      <c r="D4408" t="s">
        <v>314</v>
      </c>
      <c r="E4408" t="s">
        <v>306</v>
      </c>
      <c r="F4408" t="s">
        <v>4923</v>
      </c>
      <c r="G4408">
        <v>0</v>
      </c>
      <c r="H4408">
        <v>0</v>
      </c>
      <c r="I4408">
        <v>0</v>
      </c>
      <c r="J4408">
        <v>0</v>
      </c>
      <c r="K4408">
        <v>0</v>
      </c>
      <c r="L4408">
        <v>0</v>
      </c>
      <c r="M4408">
        <v>0</v>
      </c>
      <c r="N4408">
        <v>0</v>
      </c>
      <c r="O4408">
        <v>0</v>
      </c>
    </row>
    <row r="4409" spans="1:15" x14ac:dyDescent="0.35">
      <c r="A4409" t="s">
        <v>4907</v>
      </c>
      <c r="B4409" t="s">
        <v>4908</v>
      </c>
      <c r="C4409" t="s">
        <v>1644</v>
      </c>
      <c r="D4409" t="s">
        <v>314</v>
      </c>
      <c r="E4409" t="s">
        <v>308</v>
      </c>
      <c r="F4409" t="s">
        <v>4924</v>
      </c>
      <c r="G4409">
        <v>0</v>
      </c>
      <c r="H4409">
        <v>0</v>
      </c>
      <c r="I4409">
        <v>0</v>
      </c>
      <c r="J4409">
        <v>0</v>
      </c>
      <c r="K4409">
        <v>0</v>
      </c>
      <c r="L4409">
        <v>0</v>
      </c>
      <c r="M4409">
        <v>0</v>
      </c>
      <c r="N4409">
        <v>0</v>
      </c>
      <c r="O4409">
        <v>0</v>
      </c>
    </row>
    <row r="4410" spans="1:15" x14ac:dyDescent="0.35">
      <c r="A4410" t="s">
        <v>4907</v>
      </c>
      <c r="B4410" t="s">
        <v>4908</v>
      </c>
      <c r="C4410" t="s">
        <v>1644</v>
      </c>
      <c r="D4410" t="s">
        <v>314</v>
      </c>
      <c r="E4410" t="s">
        <v>312</v>
      </c>
      <c r="F4410" t="s">
        <v>4925</v>
      </c>
      <c r="G4410">
        <v>90</v>
      </c>
      <c r="H4410">
        <v>24790.510000000002</v>
      </c>
      <c r="I4410">
        <v>275.45</v>
      </c>
      <c r="J4410">
        <v>1</v>
      </c>
      <c r="K4410">
        <v>187.75</v>
      </c>
      <c r="L4410">
        <v>187.75</v>
      </c>
      <c r="M4410">
        <v>91</v>
      </c>
      <c r="N4410">
        <v>24978.260000000002</v>
      </c>
      <c r="O4410">
        <v>274.49</v>
      </c>
    </row>
    <row r="4411" spans="1:15" x14ac:dyDescent="0.35">
      <c r="A4411" t="s">
        <v>4907</v>
      </c>
      <c r="B4411" t="s">
        <v>4908</v>
      </c>
      <c r="C4411" t="s">
        <v>1644</v>
      </c>
      <c r="D4411" t="s">
        <v>314</v>
      </c>
      <c r="E4411" t="s">
        <v>310</v>
      </c>
      <c r="F4411" t="s">
        <v>4926</v>
      </c>
      <c r="G4411">
        <v>90</v>
      </c>
      <c r="H4411">
        <v>24790.510000000002</v>
      </c>
      <c r="I4411">
        <v>275.45</v>
      </c>
      <c r="J4411">
        <v>1</v>
      </c>
      <c r="K4411">
        <v>187.75</v>
      </c>
      <c r="L4411">
        <v>187.75</v>
      </c>
      <c r="M4411">
        <v>91</v>
      </c>
      <c r="N4411">
        <v>24978.260000000002</v>
      </c>
      <c r="O4411">
        <v>274.49</v>
      </c>
    </row>
    <row r="4412" spans="1:15" x14ac:dyDescent="0.35">
      <c r="A4412" t="s">
        <v>4907</v>
      </c>
      <c r="B4412" t="s">
        <v>4908</v>
      </c>
      <c r="C4412" t="s">
        <v>1644</v>
      </c>
      <c r="D4412" t="s">
        <v>323</v>
      </c>
      <c r="E4412" t="s">
        <v>294</v>
      </c>
      <c r="F4412" t="s">
        <v>4927</v>
      </c>
      <c r="G4412">
        <v>408</v>
      </c>
      <c r="H4412">
        <v>41856.61</v>
      </c>
      <c r="I4412">
        <v>102.59</v>
      </c>
      <c r="J4412">
        <v>1263</v>
      </c>
      <c r="K4412">
        <v>104917.40999999999</v>
      </c>
      <c r="L4412">
        <v>83.07</v>
      </c>
      <c r="M4412">
        <v>1671</v>
      </c>
      <c r="N4412">
        <v>146774.01999999999</v>
      </c>
      <c r="O4412">
        <v>87.84</v>
      </c>
    </row>
    <row r="4413" spans="1:15" x14ac:dyDescent="0.35">
      <c r="A4413" t="s">
        <v>4907</v>
      </c>
      <c r="B4413" t="s">
        <v>4908</v>
      </c>
      <c r="C4413" t="s">
        <v>1644</v>
      </c>
      <c r="D4413" t="s">
        <v>323</v>
      </c>
      <c r="E4413" t="s">
        <v>296</v>
      </c>
      <c r="F4413" t="s">
        <v>4928</v>
      </c>
      <c r="G4413">
        <v>807</v>
      </c>
      <c r="H4413">
        <v>95402.390000000014</v>
      </c>
      <c r="I4413">
        <v>118.22</v>
      </c>
      <c r="J4413">
        <v>495</v>
      </c>
      <c r="K4413">
        <v>47817</v>
      </c>
      <c r="L4413">
        <v>96.6</v>
      </c>
      <c r="M4413">
        <v>1302</v>
      </c>
      <c r="N4413">
        <v>143219.39000000001</v>
      </c>
      <c r="O4413">
        <v>110</v>
      </c>
    </row>
    <row r="4414" spans="1:15" x14ac:dyDescent="0.35">
      <c r="A4414" t="s">
        <v>4907</v>
      </c>
      <c r="B4414" t="s">
        <v>4908</v>
      </c>
      <c r="C4414" t="s">
        <v>1644</v>
      </c>
      <c r="D4414" t="s">
        <v>323</v>
      </c>
      <c r="E4414" t="s">
        <v>298</v>
      </c>
      <c r="F4414" t="s">
        <v>4929</v>
      </c>
      <c r="G4414">
        <v>614</v>
      </c>
      <c r="H4414">
        <v>82589</v>
      </c>
      <c r="I4414">
        <v>134.51</v>
      </c>
      <c r="J4414">
        <v>890</v>
      </c>
      <c r="K4414">
        <v>94001.8</v>
      </c>
      <c r="L4414">
        <v>105.62</v>
      </c>
      <c r="M4414">
        <v>1504</v>
      </c>
      <c r="N4414">
        <v>176590.8</v>
      </c>
      <c r="O4414">
        <v>117.41</v>
      </c>
    </row>
    <row r="4415" spans="1:15" x14ac:dyDescent="0.35">
      <c r="A4415" t="s">
        <v>4907</v>
      </c>
      <c r="B4415" t="s">
        <v>4908</v>
      </c>
      <c r="C4415" t="s">
        <v>1644</v>
      </c>
      <c r="D4415" t="s">
        <v>323</v>
      </c>
      <c r="E4415" t="s">
        <v>300</v>
      </c>
      <c r="F4415" t="s">
        <v>4930</v>
      </c>
      <c r="G4415">
        <v>70</v>
      </c>
      <c r="H4415">
        <v>10625.210000000001</v>
      </c>
      <c r="I4415">
        <v>151.79</v>
      </c>
      <c r="J4415">
        <v>76</v>
      </c>
      <c r="K4415">
        <v>8592.56</v>
      </c>
      <c r="L4415">
        <v>113.06</v>
      </c>
      <c r="M4415">
        <v>146</v>
      </c>
      <c r="N4415">
        <v>19217.77</v>
      </c>
      <c r="O4415">
        <v>131.63</v>
      </c>
    </row>
    <row r="4416" spans="1:15" x14ac:dyDescent="0.35">
      <c r="A4416" t="s">
        <v>4907</v>
      </c>
      <c r="B4416" t="s">
        <v>4908</v>
      </c>
      <c r="C4416" t="s">
        <v>1644</v>
      </c>
      <c r="D4416" t="s">
        <v>323</v>
      </c>
      <c r="E4416" t="s">
        <v>302</v>
      </c>
      <c r="F4416" t="s">
        <v>4931</v>
      </c>
      <c r="G4416">
        <v>1</v>
      </c>
      <c r="H4416">
        <v>151.02000000000001</v>
      </c>
      <c r="I4416">
        <v>151.02000000000001</v>
      </c>
      <c r="J4416">
        <v>5</v>
      </c>
      <c r="K4416">
        <v>588</v>
      </c>
      <c r="L4416">
        <v>117.6</v>
      </c>
      <c r="M4416">
        <v>6</v>
      </c>
      <c r="N4416">
        <v>739.02</v>
      </c>
      <c r="O4416">
        <v>123.17</v>
      </c>
    </row>
    <row r="4417" spans="1:15" x14ac:dyDescent="0.35">
      <c r="A4417" t="s">
        <v>4907</v>
      </c>
      <c r="B4417" t="s">
        <v>4908</v>
      </c>
      <c r="C4417" t="s">
        <v>1644</v>
      </c>
      <c r="D4417" t="s">
        <v>323</v>
      </c>
      <c r="E4417" t="s">
        <v>304</v>
      </c>
      <c r="F4417" t="s">
        <v>4932</v>
      </c>
      <c r="G4417">
        <v>0</v>
      </c>
      <c r="H4417">
        <v>0</v>
      </c>
      <c r="I4417">
        <v>0</v>
      </c>
      <c r="J4417">
        <v>0</v>
      </c>
      <c r="K4417">
        <v>0</v>
      </c>
      <c r="L4417">
        <v>0</v>
      </c>
      <c r="M4417">
        <v>0</v>
      </c>
      <c r="N4417">
        <v>0</v>
      </c>
      <c r="O4417">
        <v>0</v>
      </c>
    </row>
    <row r="4418" spans="1:15" x14ac:dyDescent="0.35">
      <c r="A4418" t="s">
        <v>4907</v>
      </c>
      <c r="B4418" t="s">
        <v>4908</v>
      </c>
      <c r="C4418" t="s">
        <v>1644</v>
      </c>
      <c r="D4418" t="s">
        <v>323</v>
      </c>
      <c r="E4418" t="s">
        <v>306</v>
      </c>
      <c r="F4418" t="s">
        <v>4933</v>
      </c>
      <c r="G4418">
        <v>0</v>
      </c>
      <c r="H4418">
        <v>0</v>
      </c>
      <c r="I4418">
        <v>0</v>
      </c>
      <c r="J4418">
        <v>12</v>
      </c>
      <c r="K4418">
        <v>868.92</v>
      </c>
      <c r="L4418">
        <v>72.41</v>
      </c>
      <c r="M4418">
        <v>12</v>
      </c>
      <c r="N4418">
        <v>868.92</v>
      </c>
      <c r="O4418">
        <v>72.41</v>
      </c>
    </row>
    <row r="4419" spans="1:15" x14ac:dyDescent="0.35">
      <c r="A4419" t="s">
        <v>4907</v>
      </c>
      <c r="B4419" t="s">
        <v>4908</v>
      </c>
      <c r="C4419" t="s">
        <v>1644</v>
      </c>
      <c r="D4419" t="s">
        <v>323</v>
      </c>
      <c r="E4419" t="s">
        <v>308</v>
      </c>
      <c r="F4419" t="s">
        <v>4934</v>
      </c>
      <c r="G4419">
        <v>0</v>
      </c>
      <c r="H4419">
        <v>0</v>
      </c>
      <c r="I4419">
        <v>0</v>
      </c>
      <c r="J4419">
        <v>0</v>
      </c>
      <c r="K4419">
        <v>0</v>
      </c>
      <c r="L4419">
        <v>0</v>
      </c>
      <c r="M4419">
        <v>0</v>
      </c>
      <c r="N4419">
        <v>0</v>
      </c>
      <c r="O4419">
        <v>0</v>
      </c>
    </row>
    <row r="4420" spans="1:15" x14ac:dyDescent="0.35">
      <c r="A4420" t="s">
        <v>4907</v>
      </c>
      <c r="B4420" t="s">
        <v>4908</v>
      </c>
      <c r="C4420" t="s">
        <v>1644</v>
      </c>
      <c r="D4420" t="s">
        <v>323</v>
      </c>
      <c r="E4420" t="s">
        <v>310</v>
      </c>
      <c r="F4420" t="s">
        <v>4935</v>
      </c>
      <c r="G4420">
        <v>1900</v>
      </c>
      <c r="H4420">
        <v>230624.22999999998</v>
      </c>
      <c r="I4420">
        <v>121.38</v>
      </c>
      <c r="J4420">
        <v>2741</v>
      </c>
      <c r="K4420">
        <v>256785.68999999997</v>
      </c>
      <c r="L4420">
        <v>93.68</v>
      </c>
      <c r="M4420">
        <v>4641</v>
      </c>
      <c r="N4420">
        <v>487409.91999999993</v>
      </c>
      <c r="O4420">
        <v>105.02</v>
      </c>
    </row>
    <row r="4421" spans="1:15" x14ac:dyDescent="0.35">
      <c r="A4421" t="s">
        <v>4907</v>
      </c>
      <c r="B4421" t="s">
        <v>4908</v>
      </c>
      <c r="C4421" t="s">
        <v>1644</v>
      </c>
      <c r="D4421" t="s">
        <v>323</v>
      </c>
      <c r="E4421" t="s">
        <v>312</v>
      </c>
      <c r="F4421" t="s">
        <v>4936</v>
      </c>
      <c r="G4421">
        <v>1900</v>
      </c>
      <c r="H4421">
        <v>230624.22999999998</v>
      </c>
      <c r="I4421">
        <v>121.38</v>
      </c>
      <c r="J4421">
        <v>2741</v>
      </c>
      <c r="K4421">
        <v>256785.68999999997</v>
      </c>
      <c r="L4421">
        <v>93.68</v>
      </c>
      <c r="M4421">
        <v>4641</v>
      </c>
      <c r="N4421">
        <v>487409.91999999993</v>
      </c>
      <c r="O4421">
        <v>105.02</v>
      </c>
    </row>
    <row r="4422" spans="1:15" x14ac:dyDescent="0.35">
      <c r="A4422" t="s">
        <v>4907</v>
      </c>
      <c r="B4422" t="s">
        <v>4908</v>
      </c>
      <c r="C4422" t="s">
        <v>1644</v>
      </c>
      <c r="D4422" t="s">
        <v>334</v>
      </c>
      <c r="E4422" t="s">
        <v>312</v>
      </c>
      <c r="F4422" t="s">
        <v>4937</v>
      </c>
      <c r="G4422">
        <v>2320</v>
      </c>
      <c r="H4422">
        <v>276964.59000000003</v>
      </c>
      <c r="I4422">
        <v>126.58</v>
      </c>
      <c r="J4422">
        <v>2788</v>
      </c>
      <c r="K4422">
        <v>265004.53999999998</v>
      </c>
      <c r="L4422">
        <v>95.05</v>
      </c>
      <c r="M4422">
        <v>5108</v>
      </c>
      <c r="N4422">
        <v>541969.13</v>
      </c>
      <c r="O4422">
        <v>108.92</v>
      </c>
    </row>
    <row r="4423" spans="1:15" x14ac:dyDescent="0.35">
      <c r="A4423" t="s">
        <v>4907</v>
      </c>
      <c r="B4423" t="s">
        <v>4908</v>
      </c>
      <c r="C4423" t="s">
        <v>1644</v>
      </c>
      <c r="D4423" t="s">
        <v>334</v>
      </c>
      <c r="E4423" t="s">
        <v>308</v>
      </c>
      <c r="F4423" t="s">
        <v>4938</v>
      </c>
      <c r="G4423">
        <v>0</v>
      </c>
      <c r="H4423">
        <v>0</v>
      </c>
      <c r="I4423">
        <v>0</v>
      </c>
      <c r="J4423">
        <v>0</v>
      </c>
      <c r="K4423">
        <v>0</v>
      </c>
      <c r="L4423">
        <v>0</v>
      </c>
      <c r="M4423">
        <v>0</v>
      </c>
      <c r="N4423">
        <v>0</v>
      </c>
      <c r="O4423">
        <v>0</v>
      </c>
    </row>
    <row r="4424" spans="1:15" x14ac:dyDescent="0.35">
      <c r="A4424" t="s">
        <v>4907</v>
      </c>
      <c r="B4424" t="s">
        <v>4908</v>
      </c>
      <c r="C4424" t="s">
        <v>1644</v>
      </c>
      <c r="D4424" t="s">
        <v>337</v>
      </c>
      <c r="E4424" t="s">
        <v>337</v>
      </c>
      <c r="F4424" t="s">
        <v>4939</v>
      </c>
      <c r="G4424">
        <v>430</v>
      </c>
      <c r="J4424">
        <v>0</v>
      </c>
      <c r="M4424">
        <v>430</v>
      </c>
    </row>
    <row r="4425" spans="1:15" x14ac:dyDescent="0.35">
      <c r="A4425" t="s">
        <v>4907</v>
      </c>
      <c r="B4425" t="s">
        <v>4908</v>
      </c>
      <c r="C4425" t="s">
        <v>1644</v>
      </c>
      <c r="D4425" t="s">
        <v>339</v>
      </c>
      <c r="E4425" t="s">
        <v>294</v>
      </c>
      <c r="F4425" t="s">
        <v>4940</v>
      </c>
      <c r="G4425">
        <v>255</v>
      </c>
      <c r="H4425">
        <v>30127.64</v>
      </c>
      <c r="I4425">
        <v>118.15</v>
      </c>
      <c r="J4425">
        <v>220</v>
      </c>
      <c r="K4425">
        <v>23130.799999999999</v>
      </c>
      <c r="L4425">
        <v>105.14</v>
      </c>
      <c r="M4425">
        <v>475</v>
      </c>
      <c r="N4425">
        <v>53258.44</v>
      </c>
      <c r="O4425">
        <v>112.12</v>
      </c>
    </row>
    <row r="4426" spans="1:15" x14ac:dyDescent="0.35">
      <c r="A4426" t="s">
        <v>4907</v>
      </c>
      <c r="B4426" t="s">
        <v>4908</v>
      </c>
      <c r="C4426" t="s">
        <v>1644</v>
      </c>
      <c r="D4426" t="s">
        <v>339</v>
      </c>
      <c r="E4426" t="s">
        <v>296</v>
      </c>
      <c r="F4426" t="s">
        <v>4941</v>
      </c>
      <c r="G4426">
        <v>71</v>
      </c>
      <c r="H4426">
        <v>8915.0400000000009</v>
      </c>
      <c r="I4426">
        <v>125.56</v>
      </c>
      <c r="J4426">
        <v>10</v>
      </c>
      <c r="K4426">
        <v>1266.8000000000002</v>
      </c>
      <c r="L4426">
        <v>126.68</v>
      </c>
      <c r="M4426">
        <v>81</v>
      </c>
      <c r="N4426">
        <v>10181.84</v>
      </c>
      <c r="O4426">
        <v>125.7</v>
      </c>
    </row>
    <row r="4427" spans="1:15" x14ac:dyDescent="0.35">
      <c r="A4427" t="s">
        <v>4907</v>
      </c>
      <c r="B4427" t="s">
        <v>4908</v>
      </c>
      <c r="C4427" t="s">
        <v>1644</v>
      </c>
      <c r="D4427" t="s">
        <v>339</v>
      </c>
      <c r="E4427" t="s">
        <v>298</v>
      </c>
      <c r="F4427" t="s">
        <v>4942</v>
      </c>
      <c r="G4427">
        <v>1</v>
      </c>
      <c r="H4427">
        <v>137.66</v>
      </c>
      <c r="I4427">
        <v>137.66</v>
      </c>
      <c r="J4427">
        <v>2</v>
      </c>
      <c r="K4427">
        <v>399</v>
      </c>
      <c r="L4427">
        <v>199.5</v>
      </c>
      <c r="M4427">
        <v>3</v>
      </c>
      <c r="N4427">
        <v>536.66</v>
      </c>
      <c r="O4427">
        <v>178.89</v>
      </c>
    </row>
    <row r="4428" spans="1:15" x14ac:dyDescent="0.35">
      <c r="A4428" t="s">
        <v>4907</v>
      </c>
      <c r="B4428" t="s">
        <v>4908</v>
      </c>
      <c r="C4428" t="s">
        <v>1644</v>
      </c>
      <c r="D4428" t="s">
        <v>339</v>
      </c>
      <c r="E4428" t="s">
        <v>300</v>
      </c>
      <c r="F4428" t="s">
        <v>4943</v>
      </c>
      <c r="G4428">
        <v>0</v>
      </c>
      <c r="H4428">
        <v>0</v>
      </c>
      <c r="I4428">
        <v>0</v>
      </c>
      <c r="J4428">
        <v>0</v>
      </c>
      <c r="K4428">
        <v>0</v>
      </c>
      <c r="L4428">
        <v>0</v>
      </c>
      <c r="M4428">
        <v>0</v>
      </c>
      <c r="N4428">
        <v>0</v>
      </c>
      <c r="O4428">
        <v>0</v>
      </c>
    </row>
    <row r="4429" spans="1:15" x14ac:dyDescent="0.35">
      <c r="A4429" t="s">
        <v>4907</v>
      </c>
      <c r="B4429" t="s">
        <v>4908</v>
      </c>
      <c r="C4429" t="s">
        <v>1644</v>
      </c>
      <c r="D4429" t="s">
        <v>339</v>
      </c>
      <c r="E4429" t="s">
        <v>306</v>
      </c>
      <c r="F4429" t="s">
        <v>4944</v>
      </c>
      <c r="G4429">
        <v>10</v>
      </c>
      <c r="H4429">
        <v>801.5</v>
      </c>
      <c r="I4429">
        <v>80.150000000000006</v>
      </c>
      <c r="J4429">
        <v>40</v>
      </c>
      <c r="K4429">
        <v>5930.8</v>
      </c>
      <c r="L4429">
        <v>148.27000000000001</v>
      </c>
      <c r="M4429">
        <v>50</v>
      </c>
      <c r="N4429">
        <v>6732.3</v>
      </c>
      <c r="O4429">
        <v>134.65</v>
      </c>
    </row>
    <row r="4430" spans="1:15" x14ac:dyDescent="0.35">
      <c r="A4430" t="s">
        <v>4907</v>
      </c>
      <c r="B4430" t="s">
        <v>4908</v>
      </c>
      <c r="C4430" t="s">
        <v>1644</v>
      </c>
      <c r="D4430" t="s">
        <v>339</v>
      </c>
      <c r="E4430" t="s">
        <v>308</v>
      </c>
      <c r="F4430" t="s">
        <v>4945</v>
      </c>
      <c r="G4430">
        <v>38</v>
      </c>
      <c r="H4430">
        <v>5703</v>
      </c>
      <c r="I4430">
        <v>150.08000000000001</v>
      </c>
      <c r="J4430">
        <v>0</v>
      </c>
      <c r="K4430">
        <v>0</v>
      </c>
      <c r="L4430">
        <v>0</v>
      </c>
      <c r="M4430">
        <v>38</v>
      </c>
      <c r="N4430">
        <v>5703</v>
      </c>
      <c r="O4430">
        <v>150.08000000000001</v>
      </c>
    </row>
    <row r="4431" spans="1:15" x14ac:dyDescent="0.35">
      <c r="A4431" t="s">
        <v>4907</v>
      </c>
      <c r="B4431" t="s">
        <v>4908</v>
      </c>
      <c r="C4431" t="s">
        <v>1644</v>
      </c>
      <c r="D4431" t="s">
        <v>339</v>
      </c>
      <c r="E4431" t="s">
        <v>310</v>
      </c>
      <c r="F4431" t="s">
        <v>4946</v>
      </c>
      <c r="G4431">
        <v>375</v>
      </c>
      <c r="H4431">
        <v>45684.840000000004</v>
      </c>
      <c r="I4431">
        <v>121.83</v>
      </c>
      <c r="J4431">
        <v>272</v>
      </c>
      <c r="K4431">
        <v>30727.399999999998</v>
      </c>
      <c r="L4431">
        <v>112.97</v>
      </c>
      <c r="M4431">
        <v>647</v>
      </c>
      <c r="N4431">
        <v>76412.240000000005</v>
      </c>
      <c r="O4431">
        <v>118.1</v>
      </c>
    </row>
    <row r="4432" spans="1:15" x14ac:dyDescent="0.35">
      <c r="A4432" t="s">
        <v>4907</v>
      </c>
      <c r="B4432" t="s">
        <v>4908</v>
      </c>
      <c r="C4432" t="s">
        <v>1644</v>
      </c>
      <c r="D4432" t="s">
        <v>339</v>
      </c>
      <c r="E4432" t="s">
        <v>312</v>
      </c>
      <c r="F4432" t="s">
        <v>4947</v>
      </c>
      <c r="G4432">
        <v>337</v>
      </c>
      <c r="H4432">
        <v>39981.840000000004</v>
      </c>
      <c r="I4432">
        <v>118.64</v>
      </c>
      <c r="J4432">
        <v>272</v>
      </c>
      <c r="K4432">
        <v>30727.399999999998</v>
      </c>
      <c r="L4432">
        <v>112.97</v>
      </c>
      <c r="M4432">
        <v>609</v>
      </c>
      <c r="N4432">
        <v>70709.240000000005</v>
      </c>
      <c r="O4432">
        <v>116.11</v>
      </c>
    </row>
    <row r="4433" spans="1:15" x14ac:dyDescent="0.35">
      <c r="A4433" t="s">
        <v>4907</v>
      </c>
      <c r="B4433" t="s">
        <v>4908</v>
      </c>
      <c r="C4433" t="s">
        <v>1644</v>
      </c>
      <c r="D4433" t="s">
        <v>348</v>
      </c>
      <c r="E4433" t="s">
        <v>349</v>
      </c>
      <c r="F4433" t="s">
        <v>4948</v>
      </c>
      <c r="G4433">
        <v>726</v>
      </c>
      <c r="H4433">
        <v>70475.350000000006</v>
      </c>
      <c r="I4433">
        <v>151.56</v>
      </c>
      <c r="J4433">
        <v>273</v>
      </c>
      <c r="K4433">
        <v>30915.149999999998</v>
      </c>
      <c r="L4433">
        <v>113.24</v>
      </c>
      <c r="M4433">
        <v>999</v>
      </c>
      <c r="N4433">
        <v>101390.5</v>
      </c>
      <c r="O4433">
        <v>137.38999999999999</v>
      </c>
    </row>
    <row r="4434" spans="1:15" x14ac:dyDescent="0.35">
      <c r="A4434" t="s">
        <v>4949</v>
      </c>
      <c r="B4434" t="s">
        <v>4950</v>
      </c>
      <c r="C4434" t="s">
        <v>1644</v>
      </c>
      <c r="D4434" t="s">
        <v>293</v>
      </c>
      <c r="E4434" t="s">
        <v>294</v>
      </c>
      <c r="F4434" t="s">
        <v>4951</v>
      </c>
      <c r="G4434">
        <v>262</v>
      </c>
      <c r="H4434">
        <v>44567.9</v>
      </c>
      <c r="I4434">
        <v>170.11</v>
      </c>
      <c r="J4434">
        <v>0</v>
      </c>
      <c r="K4434">
        <v>0</v>
      </c>
      <c r="L4434">
        <v>0</v>
      </c>
      <c r="M4434">
        <v>262</v>
      </c>
      <c r="N4434">
        <v>44567.9</v>
      </c>
      <c r="O4434">
        <v>170.11</v>
      </c>
    </row>
    <row r="4435" spans="1:15" x14ac:dyDescent="0.35">
      <c r="A4435" t="s">
        <v>4949</v>
      </c>
      <c r="B4435" t="s">
        <v>4950</v>
      </c>
      <c r="C4435" t="s">
        <v>1644</v>
      </c>
      <c r="D4435" t="s">
        <v>293</v>
      </c>
      <c r="E4435" t="s">
        <v>296</v>
      </c>
      <c r="F4435" t="s">
        <v>4952</v>
      </c>
      <c r="G4435">
        <v>442</v>
      </c>
      <c r="H4435">
        <v>94641.47</v>
      </c>
      <c r="I4435">
        <v>214.12</v>
      </c>
      <c r="J4435">
        <v>0</v>
      </c>
      <c r="K4435">
        <v>0</v>
      </c>
      <c r="L4435">
        <v>0</v>
      </c>
      <c r="M4435">
        <v>442</v>
      </c>
      <c r="N4435">
        <v>94641.47</v>
      </c>
      <c r="O4435">
        <v>214.12</v>
      </c>
    </row>
    <row r="4436" spans="1:15" x14ac:dyDescent="0.35">
      <c r="A4436" t="s">
        <v>4949</v>
      </c>
      <c r="B4436" t="s">
        <v>4950</v>
      </c>
      <c r="C4436" t="s">
        <v>1644</v>
      </c>
      <c r="D4436" t="s">
        <v>293</v>
      </c>
      <c r="E4436" t="s">
        <v>298</v>
      </c>
      <c r="F4436" t="s">
        <v>4953</v>
      </c>
      <c r="G4436">
        <v>242</v>
      </c>
      <c r="H4436">
        <v>62705.960000000006</v>
      </c>
      <c r="I4436">
        <v>259.12</v>
      </c>
      <c r="J4436">
        <v>0</v>
      </c>
      <c r="K4436">
        <v>0</v>
      </c>
      <c r="L4436">
        <v>0</v>
      </c>
      <c r="M4436">
        <v>242</v>
      </c>
      <c r="N4436">
        <v>62705.960000000006</v>
      </c>
      <c r="O4436">
        <v>259.12</v>
      </c>
    </row>
    <row r="4437" spans="1:15" x14ac:dyDescent="0.35">
      <c r="A4437" t="s">
        <v>4949</v>
      </c>
      <c r="B4437" t="s">
        <v>4950</v>
      </c>
      <c r="C4437" t="s">
        <v>1644</v>
      </c>
      <c r="D4437" t="s">
        <v>293</v>
      </c>
      <c r="E4437" t="s">
        <v>300</v>
      </c>
      <c r="F4437" t="s">
        <v>4954</v>
      </c>
      <c r="G4437">
        <v>34</v>
      </c>
      <c r="H4437">
        <v>9709.4000000000015</v>
      </c>
      <c r="I4437">
        <v>285.57</v>
      </c>
      <c r="J4437">
        <v>0</v>
      </c>
      <c r="K4437">
        <v>0</v>
      </c>
      <c r="L4437">
        <v>0</v>
      </c>
      <c r="M4437">
        <v>34</v>
      </c>
      <c r="N4437">
        <v>9709.4000000000015</v>
      </c>
      <c r="O4437">
        <v>285.57</v>
      </c>
    </row>
    <row r="4438" spans="1:15" x14ac:dyDescent="0.35">
      <c r="A4438" t="s">
        <v>4949</v>
      </c>
      <c r="B4438" t="s">
        <v>4950</v>
      </c>
      <c r="C4438" t="s">
        <v>1644</v>
      </c>
      <c r="D4438" t="s">
        <v>293</v>
      </c>
      <c r="E4438" t="s">
        <v>302</v>
      </c>
      <c r="F4438" t="s">
        <v>4955</v>
      </c>
      <c r="G4438">
        <v>0</v>
      </c>
      <c r="H4438">
        <v>0</v>
      </c>
      <c r="I4438">
        <v>0</v>
      </c>
      <c r="J4438">
        <v>0</v>
      </c>
      <c r="K4438">
        <v>0</v>
      </c>
      <c r="L4438">
        <v>0</v>
      </c>
      <c r="M4438">
        <v>0</v>
      </c>
      <c r="N4438">
        <v>0</v>
      </c>
      <c r="O4438">
        <v>0</v>
      </c>
    </row>
    <row r="4439" spans="1:15" x14ac:dyDescent="0.35">
      <c r="A4439" t="s">
        <v>4949</v>
      </c>
      <c r="B4439" t="s">
        <v>4950</v>
      </c>
      <c r="C4439" t="s">
        <v>1644</v>
      </c>
      <c r="D4439" t="s">
        <v>293</v>
      </c>
      <c r="E4439" t="s">
        <v>304</v>
      </c>
      <c r="F4439" t="s">
        <v>4956</v>
      </c>
      <c r="G4439">
        <v>0</v>
      </c>
      <c r="H4439">
        <v>0</v>
      </c>
      <c r="I4439">
        <v>0</v>
      </c>
      <c r="J4439">
        <v>0</v>
      </c>
      <c r="K4439">
        <v>0</v>
      </c>
      <c r="L4439">
        <v>0</v>
      </c>
      <c r="M4439">
        <v>0</v>
      </c>
      <c r="N4439">
        <v>0</v>
      </c>
      <c r="O4439">
        <v>0</v>
      </c>
    </row>
    <row r="4440" spans="1:15" x14ac:dyDescent="0.35">
      <c r="A4440" t="s">
        <v>4949</v>
      </c>
      <c r="B4440" t="s">
        <v>4950</v>
      </c>
      <c r="C4440" t="s">
        <v>1644</v>
      </c>
      <c r="D4440" t="s">
        <v>293</v>
      </c>
      <c r="E4440" t="s">
        <v>306</v>
      </c>
      <c r="F4440" t="s">
        <v>4957</v>
      </c>
      <c r="G4440">
        <v>8</v>
      </c>
      <c r="H4440">
        <v>1032.4000000000001</v>
      </c>
      <c r="I4440">
        <v>129.05000000000001</v>
      </c>
      <c r="J4440">
        <v>0</v>
      </c>
      <c r="K4440">
        <v>0</v>
      </c>
      <c r="L4440">
        <v>0</v>
      </c>
      <c r="M4440">
        <v>8</v>
      </c>
      <c r="N4440">
        <v>1032.4000000000001</v>
      </c>
      <c r="O4440">
        <v>129.05000000000001</v>
      </c>
    </row>
    <row r="4441" spans="1:15" x14ac:dyDescent="0.35">
      <c r="A4441" t="s">
        <v>4949</v>
      </c>
      <c r="B4441" t="s">
        <v>4950</v>
      </c>
      <c r="C4441" t="s">
        <v>1644</v>
      </c>
      <c r="D4441" t="s">
        <v>293</v>
      </c>
      <c r="E4441" t="s">
        <v>308</v>
      </c>
      <c r="F4441" t="s">
        <v>4958</v>
      </c>
      <c r="G4441">
        <v>0</v>
      </c>
      <c r="H4441">
        <v>0</v>
      </c>
      <c r="I4441">
        <v>0</v>
      </c>
      <c r="J4441">
        <v>0</v>
      </c>
      <c r="K4441">
        <v>0</v>
      </c>
      <c r="L4441">
        <v>0</v>
      </c>
      <c r="M4441">
        <v>0</v>
      </c>
      <c r="N4441">
        <v>0</v>
      </c>
      <c r="O4441">
        <v>0</v>
      </c>
    </row>
    <row r="4442" spans="1:15" x14ac:dyDescent="0.35">
      <c r="A4442" t="s">
        <v>4949</v>
      </c>
      <c r="B4442" t="s">
        <v>4950</v>
      </c>
      <c r="C4442" t="s">
        <v>1644</v>
      </c>
      <c r="D4442" t="s">
        <v>293</v>
      </c>
      <c r="E4442" t="s">
        <v>310</v>
      </c>
      <c r="F4442" t="s">
        <v>4959</v>
      </c>
      <c r="G4442">
        <v>988</v>
      </c>
      <c r="H4442">
        <v>212657.13</v>
      </c>
      <c r="I4442">
        <v>215.24</v>
      </c>
      <c r="J4442">
        <v>0</v>
      </c>
      <c r="K4442">
        <v>0</v>
      </c>
      <c r="L4442">
        <v>0</v>
      </c>
      <c r="M4442">
        <v>988</v>
      </c>
      <c r="N4442">
        <v>212657.13</v>
      </c>
      <c r="O4442">
        <v>215.24</v>
      </c>
    </row>
    <row r="4443" spans="1:15" x14ac:dyDescent="0.35">
      <c r="A4443" t="s">
        <v>4949</v>
      </c>
      <c r="B4443" t="s">
        <v>4950</v>
      </c>
      <c r="C4443" t="s">
        <v>1644</v>
      </c>
      <c r="D4443" t="s">
        <v>293</v>
      </c>
      <c r="E4443" t="s">
        <v>312</v>
      </c>
      <c r="F4443" t="s">
        <v>4960</v>
      </c>
      <c r="G4443">
        <v>988</v>
      </c>
      <c r="H4443">
        <v>212657.13</v>
      </c>
      <c r="I4443">
        <v>215.24</v>
      </c>
      <c r="J4443">
        <v>0</v>
      </c>
      <c r="K4443">
        <v>0</v>
      </c>
      <c r="L4443">
        <v>0</v>
      </c>
      <c r="M4443">
        <v>988</v>
      </c>
      <c r="N4443">
        <v>212657.13</v>
      </c>
      <c r="O4443">
        <v>215.24</v>
      </c>
    </row>
    <row r="4444" spans="1:15" x14ac:dyDescent="0.35">
      <c r="A4444" t="s">
        <v>4949</v>
      </c>
      <c r="B4444" t="s">
        <v>4950</v>
      </c>
      <c r="C4444" t="s">
        <v>1644</v>
      </c>
      <c r="D4444" t="s">
        <v>323</v>
      </c>
      <c r="E4444" t="s">
        <v>294</v>
      </c>
      <c r="F4444" t="s">
        <v>4961</v>
      </c>
      <c r="G4444">
        <v>362</v>
      </c>
      <c r="H4444">
        <v>42278.21</v>
      </c>
      <c r="I4444">
        <v>116.79</v>
      </c>
      <c r="J4444">
        <v>0</v>
      </c>
      <c r="K4444">
        <v>0</v>
      </c>
      <c r="L4444">
        <v>0</v>
      </c>
      <c r="M4444">
        <v>362</v>
      </c>
      <c r="N4444">
        <v>42278.21</v>
      </c>
      <c r="O4444">
        <v>116.79</v>
      </c>
    </row>
    <row r="4445" spans="1:15" x14ac:dyDescent="0.35">
      <c r="A4445" t="s">
        <v>4949</v>
      </c>
      <c r="B4445" t="s">
        <v>4950</v>
      </c>
      <c r="C4445" t="s">
        <v>1644</v>
      </c>
      <c r="D4445" t="s">
        <v>323</v>
      </c>
      <c r="E4445" t="s">
        <v>296</v>
      </c>
      <c r="F4445" t="s">
        <v>4962</v>
      </c>
      <c r="G4445">
        <v>1046</v>
      </c>
      <c r="H4445">
        <v>147006.88</v>
      </c>
      <c r="I4445">
        <v>140.54</v>
      </c>
      <c r="J4445">
        <v>0</v>
      </c>
      <c r="K4445">
        <v>0</v>
      </c>
      <c r="L4445">
        <v>0</v>
      </c>
      <c r="M4445">
        <v>1046</v>
      </c>
      <c r="N4445">
        <v>147006.88</v>
      </c>
      <c r="O4445">
        <v>140.54</v>
      </c>
    </row>
    <row r="4446" spans="1:15" x14ac:dyDescent="0.35">
      <c r="A4446" t="s">
        <v>4949</v>
      </c>
      <c r="B4446" t="s">
        <v>4950</v>
      </c>
      <c r="C4446" t="s">
        <v>1644</v>
      </c>
      <c r="D4446" t="s">
        <v>323</v>
      </c>
      <c r="E4446" t="s">
        <v>298</v>
      </c>
      <c r="F4446" t="s">
        <v>4963</v>
      </c>
      <c r="G4446">
        <v>897</v>
      </c>
      <c r="H4446">
        <v>142656.79999999999</v>
      </c>
      <c r="I4446">
        <v>159.04</v>
      </c>
      <c r="J4446">
        <v>0</v>
      </c>
      <c r="K4446">
        <v>0</v>
      </c>
      <c r="L4446">
        <v>0</v>
      </c>
      <c r="M4446">
        <v>897</v>
      </c>
      <c r="N4446">
        <v>142656.79999999999</v>
      </c>
      <c r="O4446">
        <v>159.04</v>
      </c>
    </row>
    <row r="4447" spans="1:15" x14ac:dyDescent="0.35">
      <c r="A4447" t="s">
        <v>4949</v>
      </c>
      <c r="B4447" t="s">
        <v>4950</v>
      </c>
      <c r="C4447" t="s">
        <v>1644</v>
      </c>
      <c r="D4447" t="s">
        <v>323</v>
      </c>
      <c r="E4447" t="s">
        <v>300</v>
      </c>
      <c r="F4447" t="s">
        <v>4964</v>
      </c>
      <c r="G4447">
        <v>57</v>
      </c>
      <c r="H4447">
        <v>10031.699999999999</v>
      </c>
      <c r="I4447">
        <v>175.99</v>
      </c>
      <c r="J4447">
        <v>0</v>
      </c>
      <c r="K4447">
        <v>0</v>
      </c>
      <c r="L4447">
        <v>0</v>
      </c>
      <c r="M4447">
        <v>57</v>
      </c>
      <c r="N4447">
        <v>10031.699999999999</v>
      </c>
      <c r="O4447">
        <v>175.99</v>
      </c>
    </row>
    <row r="4448" spans="1:15" x14ac:dyDescent="0.35">
      <c r="A4448" t="s">
        <v>4949</v>
      </c>
      <c r="B4448" t="s">
        <v>4950</v>
      </c>
      <c r="C4448" t="s">
        <v>1644</v>
      </c>
      <c r="D4448" t="s">
        <v>323</v>
      </c>
      <c r="E4448" t="s">
        <v>302</v>
      </c>
      <c r="F4448" t="s">
        <v>4965</v>
      </c>
      <c r="G4448">
        <v>0</v>
      </c>
      <c r="H4448">
        <v>0</v>
      </c>
      <c r="I4448">
        <v>0</v>
      </c>
      <c r="J4448">
        <v>0</v>
      </c>
      <c r="K4448">
        <v>0</v>
      </c>
      <c r="L4448">
        <v>0</v>
      </c>
      <c r="M4448">
        <v>0</v>
      </c>
      <c r="N4448">
        <v>0</v>
      </c>
      <c r="O4448">
        <v>0</v>
      </c>
    </row>
    <row r="4449" spans="1:15" x14ac:dyDescent="0.35">
      <c r="A4449" t="s">
        <v>4949</v>
      </c>
      <c r="B4449" t="s">
        <v>4950</v>
      </c>
      <c r="C4449" t="s">
        <v>1644</v>
      </c>
      <c r="D4449" t="s">
        <v>323</v>
      </c>
      <c r="E4449" t="s">
        <v>304</v>
      </c>
      <c r="F4449" t="s">
        <v>4966</v>
      </c>
      <c r="G4449">
        <v>0</v>
      </c>
      <c r="H4449">
        <v>0</v>
      </c>
      <c r="I4449">
        <v>0</v>
      </c>
      <c r="J4449">
        <v>0</v>
      </c>
      <c r="K4449">
        <v>0</v>
      </c>
      <c r="L4449">
        <v>0</v>
      </c>
      <c r="M4449">
        <v>0</v>
      </c>
      <c r="N4449">
        <v>0</v>
      </c>
      <c r="O4449">
        <v>0</v>
      </c>
    </row>
    <row r="4450" spans="1:15" x14ac:dyDescent="0.35">
      <c r="A4450" t="s">
        <v>4949</v>
      </c>
      <c r="B4450" t="s">
        <v>4950</v>
      </c>
      <c r="C4450" t="s">
        <v>1644</v>
      </c>
      <c r="D4450" t="s">
        <v>323</v>
      </c>
      <c r="E4450" t="s">
        <v>306</v>
      </c>
      <c r="F4450" t="s">
        <v>4967</v>
      </c>
      <c r="G4450">
        <v>43</v>
      </c>
      <c r="H4450">
        <v>4163.6899999999996</v>
      </c>
      <c r="I4450">
        <v>96.83</v>
      </c>
      <c r="J4450">
        <v>0</v>
      </c>
      <c r="K4450">
        <v>0</v>
      </c>
      <c r="L4450">
        <v>0</v>
      </c>
      <c r="M4450">
        <v>43</v>
      </c>
      <c r="N4450">
        <v>4163.6899999999996</v>
      </c>
      <c r="O4450">
        <v>96.83</v>
      </c>
    </row>
    <row r="4451" spans="1:15" x14ac:dyDescent="0.35">
      <c r="A4451" t="s">
        <v>4949</v>
      </c>
      <c r="B4451" t="s">
        <v>4950</v>
      </c>
      <c r="C4451" t="s">
        <v>1644</v>
      </c>
      <c r="D4451" t="s">
        <v>323</v>
      </c>
      <c r="E4451" t="s">
        <v>308</v>
      </c>
      <c r="F4451" t="s">
        <v>4968</v>
      </c>
      <c r="G4451">
        <v>0</v>
      </c>
      <c r="H4451">
        <v>0</v>
      </c>
      <c r="I4451">
        <v>0</v>
      </c>
      <c r="J4451">
        <v>0</v>
      </c>
      <c r="K4451">
        <v>0</v>
      </c>
      <c r="L4451">
        <v>0</v>
      </c>
      <c r="M4451">
        <v>0</v>
      </c>
      <c r="N4451">
        <v>0</v>
      </c>
      <c r="O4451">
        <v>0</v>
      </c>
    </row>
    <row r="4452" spans="1:15" x14ac:dyDescent="0.35">
      <c r="A4452" t="s">
        <v>4949</v>
      </c>
      <c r="B4452" t="s">
        <v>4950</v>
      </c>
      <c r="C4452" t="s">
        <v>1644</v>
      </c>
      <c r="D4452" t="s">
        <v>323</v>
      </c>
      <c r="E4452" t="s">
        <v>310</v>
      </c>
      <c r="F4452" t="s">
        <v>4969</v>
      </c>
      <c r="G4452">
        <v>2405</v>
      </c>
      <c r="H4452">
        <v>346137.28</v>
      </c>
      <c r="I4452">
        <v>143.91999999999999</v>
      </c>
      <c r="J4452">
        <v>0</v>
      </c>
      <c r="K4452">
        <v>0</v>
      </c>
      <c r="L4452">
        <v>0</v>
      </c>
      <c r="M4452">
        <v>2405</v>
      </c>
      <c r="N4452">
        <v>346137.28</v>
      </c>
      <c r="O4452">
        <v>143.91999999999999</v>
      </c>
    </row>
    <row r="4453" spans="1:15" x14ac:dyDescent="0.35">
      <c r="A4453" t="s">
        <v>4949</v>
      </c>
      <c r="B4453" t="s">
        <v>4950</v>
      </c>
      <c r="C4453" t="s">
        <v>1644</v>
      </c>
      <c r="D4453" t="s">
        <v>323</v>
      </c>
      <c r="E4453" t="s">
        <v>312</v>
      </c>
      <c r="F4453" t="s">
        <v>4970</v>
      </c>
      <c r="G4453">
        <v>2405</v>
      </c>
      <c r="H4453">
        <v>346137.28</v>
      </c>
      <c r="I4453">
        <v>143.91999999999999</v>
      </c>
      <c r="J4453">
        <v>0</v>
      </c>
      <c r="K4453">
        <v>0</v>
      </c>
      <c r="L4453">
        <v>0</v>
      </c>
      <c r="M4453">
        <v>2405</v>
      </c>
      <c r="N4453">
        <v>346137.28</v>
      </c>
      <c r="O4453">
        <v>143.91999999999999</v>
      </c>
    </row>
    <row r="4454" spans="1:15" x14ac:dyDescent="0.35">
      <c r="A4454" t="s">
        <v>4949</v>
      </c>
      <c r="B4454" t="s">
        <v>4950</v>
      </c>
      <c r="C4454" t="s">
        <v>1644</v>
      </c>
      <c r="D4454" t="s">
        <v>334</v>
      </c>
      <c r="E4454" t="s">
        <v>312</v>
      </c>
      <c r="F4454" t="s">
        <v>4971</v>
      </c>
      <c r="G4454">
        <v>3427</v>
      </c>
      <c r="H4454">
        <v>558794.40999999992</v>
      </c>
      <c r="I4454">
        <v>164.69</v>
      </c>
      <c r="J4454">
        <v>0</v>
      </c>
      <c r="K4454">
        <v>0</v>
      </c>
      <c r="L4454">
        <v>0</v>
      </c>
      <c r="M4454">
        <v>3427</v>
      </c>
      <c r="N4454">
        <v>558794.40999999992</v>
      </c>
      <c r="O4454">
        <v>164.69</v>
      </c>
    </row>
    <row r="4455" spans="1:15" x14ac:dyDescent="0.35">
      <c r="A4455" t="s">
        <v>4949</v>
      </c>
      <c r="B4455" t="s">
        <v>4950</v>
      </c>
      <c r="C4455" t="s">
        <v>1644</v>
      </c>
      <c r="D4455" t="s">
        <v>334</v>
      </c>
      <c r="E4455" t="s">
        <v>308</v>
      </c>
      <c r="F4455" t="s">
        <v>4972</v>
      </c>
      <c r="G4455">
        <v>0</v>
      </c>
      <c r="H4455">
        <v>0</v>
      </c>
      <c r="I4455">
        <v>0</v>
      </c>
      <c r="J4455">
        <v>0</v>
      </c>
      <c r="K4455">
        <v>0</v>
      </c>
      <c r="L4455">
        <v>0</v>
      </c>
      <c r="M4455">
        <v>0</v>
      </c>
      <c r="N4455">
        <v>0</v>
      </c>
      <c r="O4455">
        <v>0</v>
      </c>
    </row>
    <row r="4456" spans="1:15" x14ac:dyDescent="0.35">
      <c r="A4456" t="s">
        <v>4949</v>
      </c>
      <c r="B4456" t="s">
        <v>4950</v>
      </c>
      <c r="C4456" t="s">
        <v>1644</v>
      </c>
      <c r="D4456" t="s">
        <v>337</v>
      </c>
      <c r="E4456" t="s">
        <v>337</v>
      </c>
      <c r="F4456" t="s">
        <v>4973</v>
      </c>
      <c r="G4456">
        <v>873</v>
      </c>
      <c r="J4456">
        <v>0</v>
      </c>
      <c r="M4456">
        <v>873</v>
      </c>
    </row>
    <row r="4457" spans="1:15" x14ac:dyDescent="0.35">
      <c r="A4457" t="s">
        <v>4949</v>
      </c>
      <c r="B4457" t="s">
        <v>4950</v>
      </c>
      <c r="C4457" t="s">
        <v>1644</v>
      </c>
      <c r="D4457" t="s">
        <v>339</v>
      </c>
      <c r="E4457" t="s">
        <v>294</v>
      </c>
      <c r="F4457" t="s">
        <v>4974</v>
      </c>
      <c r="G4457">
        <v>242</v>
      </c>
      <c r="H4457">
        <v>30656.79</v>
      </c>
      <c r="I4457">
        <v>126.68</v>
      </c>
      <c r="J4457">
        <v>0</v>
      </c>
      <c r="K4457">
        <v>0</v>
      </c>
      <c r="L4457">
        <v>0</v>
      </c>
      <c r="M4457">
        <v>242</v>
      </c>
      <c r="N4457">
        <v>30656.79</v>
      </c>
      <c r="O4457">
        <v>126.68</v>
      </c>
    </row>
    <row r="4458" spans="1:15" x14ac:dyDescent="0.35">
      <c r="A4458" t="s">
        <v>4949</v>
      </c>
      <c r="B4458" t="s">
        <v>4950</v>
      </c>
      <c r="C4458" t="s">
        <v>1644</v>
      </c>
      <c r="D4458" t="s">
        <v>339</v>
      </c>
      <c r="E4458" t="s">
        <v>296</v>
      </c>
      <c r="F4458" t="s">
        <v>4975</v>
      </c>
      <c r="G4458">
        <v>81</v>
      </c>
      <c r="H4458">
        <v>12142.67</v>
      </c>
      <c r="I4458">
        <v>149.91</v>
      </c>
      <c r="J4458">
        <v>0</v>
      </c>
      <c r="K4458">
        <v>0</v>
      </c>
      <c r="L4458">
        <v>0</v>
      </c>
      <c r="M4458">
        <v>81</v>
      </c>
      <c r="N4458">
        <v>12142.67</v>
      </c>
      <c r="O4458">
        <v>149.91</v>
      </c>
    </row>
    <row r="4459" spans="1:15" x14ac:dyDescent="0.35">
      <c r="A4459" t="s">
        <v>4949</v>
      </c>
      <c r="B4459" t="s">
        <v>4950</v>
      </c>
      <c r="C4459" t="s">
        <v>1644</v>
      </c>
      <c r="D4459" t="s">
        <v>339</v>
      </c>
      <c r="E4459" t="s">
        <v>298</v>
      </c>
      <c r="F4459" t="s">
        <v>4976</v>
      </c>
      <c r="G4459">
        <v>3</v>
      </c>
      <c r="H4459">
        <v>415.71</v>
      </c>
      <c r="I4459">
        <v>138.57</v>
      </c>
      <c r="J4459">
        <v>0</v>
      </c>
      <c r="K4459">
        <v>0</v>
      </c>
      <c r="L4459">
        <v>0</v>
      </c>
      <c r="M4459">
        <v>3</v>
      </c>
      <c r="N4459">
        <v>415.71</v>
      </c>
      <c r="O4459">
        <v>138.57</v>
      </c>
    </row>
    <row r="4460" spans="1:15" x14ac:dyDescent="0.35">
      <c r="A4460" t="s">
        <v>4949</v>
      </c>
      <c r="B4460" t="s">
        <v>4950</v>
      </c>
      <c r="C4460" t="s">
        <v>1644</v>
      </c>
      <c r="D4460" t="s">
        <v>339</v>
      </c>
      <c r="E4460" t="s">
        <v>300</v>
      </c>
      <c r="F4460" t="s">
        <v>4977</v>
      </c>
      <c r="G4460">
        <v>0</v>
      </c>
      <c r="H4460">
        <v>0</v>
      </c>
      <c r="I4460">
        <v>0</v>
      </c>
      <c r="J4460">
        <v>0</v>
      </c>
      <c r="K4460">
        <v>0</v>
      </c>
      <c r="L4460">
        <v>0</v>
      </c>
      <c r="M4460">
        <v>0</v>
      </c>
      <c r="N4460">
        <v>0</v>
      </c>
      <c r="O4460">
        <v>0</v>
      </c>
    </row>
    <row r="4461" spans="1:15" x14ac:dyDescent="0.35">
      <c r="A4461" t="s">
        <v>4949</v>
      </c>
      <c r="B4461" t="s">
        <v>4950</v>
      </c>
      <c r="C4461" t="s">
        <v>1644</v>
      </c>
      <c r="D4461" t="s">
        <v>339</v>
      </c>
      <c r="E4461" t="s">
        <v>306</v>
      </c>
      <c r="F4461" t="s">
        <v>4978</v>
      </c>
      <c r="G4461">
        <v>7</v>
      </c>
      <c r="H4461">
        <v>558.88</v>
      </c>
      <c r="I4461">
        <v>79.84</v>
      </c>
      <c r="J4461">
        <v>0</v>
      </c>
      <c r="K4461">
        <v>0</v>
      </c>
      <c r="L4461">
        <v>0</v>
      </c>
      <c r="M4461">
        <v>7</v>
      </c>
      <c r="N4461">
        <v>558.88</v>
      </c>
      <c r="O4461">
        <v>79.84</v>
      </c>
    </row>
    <row r="4462" spans="1:15" x14ac:dyDescent="0.35">
      <c r="A4462" t="s">
        <v>4949</v>
      </c>
      <c r="B4462" t="s">
        <v>4950</v>
      </c>
      <c r="C4462" t="s">
        <v>1644</v>
      </c>
      <c r="D4462" t="s">
        <v>339</v>
      </c>
      <c r="E4462" t="s">
        <v>308</v>
      </c>
      <c r="F4462" t="s">
        <v>4979</v>
      </c>
      <c r="G4462">
        <v>6</v>
      </c>
      <c r="H4462">
        <v>841.86</v>
      </c>
      <c r="I4462">
        <v>140.31</v>
      </c>
      <c r="J4462">
        <v>0</v>
      </c>
      <c r="K4462">
        <v>0</v>
      </c>
      <c r="L4462">
        <v>0</v>
      </c>
      <c r="M4462">
        <v>6</v>
      </c>
      <c r="N4462">
        <v>841.86</v>
      </c>
      <c r="O4462">
        <v>140.31</v>
      </c>
    </row>
    <row r="4463" spans="1:15" x14ac:dyDescent="0.35">
      <c r="A4463" t="s">
        <v>4949</v>
      </c>
      <c r="B4463" t="s">
        <v>4950</v>
      </c>
      <c r="C4463" t="s">
        <v>1644</v>
      </c>
      <c r="D4463" t="s">
        <v>339</v>
      </c>
      <c r="E4463" t="s">
        <v>310</v>
      </c>
      <c r="F4463" t="s">
        <v>4980</v>
      </c>
      <c r="G4463">
        <v>339</v>
      </c>
      <c r="H4463">
        <v>44615.909999999996</v>
      </c>
      <c r="I4463">
        <v>131.61000000000001</v>
      </c>
      <c r="J4463">
        <v>0</v>
      </c>
      <c r="K4463">
        <v>0</v>
      </c>
      <c r="L4463">
        <v>0</v>
      </c>
      <c r="M4463">
        <v>339</v>
      </c>
      <c r="N4463">
        <v>44615.909999999996</v>
      </c>
      <c r="O4463">
        <v>131.61000000000001</v>
      </c>
    </row>
    <row r="4464" spans="1:15" x14ac:dyDescent="0.35">
      <c r="A4464" t="s">
        <v>4949</v>
      </c>
      <c r="B4464" t="s">
        <v>4950</v>
      </c>
      <c r="C4464" t="s">
        <v>1644</v>
      </c>
      <c r="D4464" t="s">
        <v>339</v>
      </c>
      <c r="E4464" t="s">
        <v>312</v>
      </c>
      <c r="F4464" t="s">
        <v>4981</v>
      </c>
      <c r="G4464">
        <v>333</v>
      </c>
      <c r="H4464">
        <v>43774.049999999996</v>
      </c>
      <c r="I4464">
        <v>131.44999999999999</v>
      </c>
      <c r="J4464">
        <v>0</v>
      </c>
      <c r="K4464">
        <v>0</v>
      </c>
      <c r="L4464">
        <v>0</v>
      </c>
      <c r="M4464">
        <v>333</v>
      </c>
      <c r="N4464">
        <v>43774.049999999996</v>
      </c>
      <c r="O4464">
        <v>131.44999999999999</v>
      </c>
    </row>
    <row r="4465" spans="1:15" x14ac:dyDescent="0.35">
      <c r="A4465" t="s">
        <v>4949</v>
      </c>
      <c r="B4465" t="s">
        <v>4950</v>
      </c>
      <c r="C4465" t="s">
        <v>1644</v>
      </c>
      <c r="D4465" t="s">
        <v>348</v>
      </c>
      <c r="E4465" t="s">
        <v>349</v>
      </c>
      <c r="F4465" t="s">
        <v>4982</v>
      </c>
      <c r="G4465">
        <v>356</v>
      </c>
      <c r="H4465">
        <v>44615.909999999996</v>
      </c>
      <c r="I4465">
        <v>131.61000000000001</v>
      </c>
      <c r="J4465">
        <v>0</v>
      </c>
      <c r="K4465">
        <v>0</v>
      </c>
      <c r="L4465">
        <v>0</v>
      </c>
      <c r="M4465">
        <v>356</v>
      </c>
      <c r="N4465">
        <v>44615.909999999996</v>
      </c>
      <c r="O4465">
        <v>131.61000000000001</v>
      </c>
    </row>
    <row r="4466" spans="1:15" x14ac:dyDescent="0.35">
      <c r="A4466" t="s">
        <v>4983</v>
      </c>
      <c r="B4466" t="s">
        <v>4984</v>
      </c>
      <c r="C4466" t="s">
        <v>1644</v>
      </c>
      <c r="D4466" t="s">
        <v>293</v>
      </c>
      <c r="E4466" t="s">
        <v>294</v>
      </c>
      <c r="F4466" t="s">
        <v>4985</v>
      </c>
      <c r="G4466">
        <v>107</v>
      </c>
      <c r="H4466">
        <v>15336.69</v>
      </c>
      <c r="I4466">
        <v>143.33000000000001</v>
      </c>
      <c r="J4466">
        <v>0</v>
      </c>
      <c r="K4466">
        <v>0</v>
      </c>
      <c r="L4466">
        <v>0</v>
      </c>
      <c r="M4466">
        <v>107</v>
      </c>
      <c r="N4466">
        <v>15336.69</v>
      </c>
      <c r="O4466">
        <v>143.33000000000001</v>
      </c>
    </row>
    <row r="4467" spans="1:15" x14ac:dyDescent="0.35">
      <c r="A4467" t="s">
        <v>4983</v>
      </c>
      <c r="B4467" t="s">
        <v>4984</v>
      </c>
      <c r="C4467" t="s">
        <v>1644</v>
      </c>
      <c r="D4467" t="s">
        <v>293</v>
      </c>
      <c r="E4467" t="s">
        <v>296</v>
      </c>
      <c r="F4467" t="s">
        <v>4986</v>
      </c>
      <c r="G4467">
        <v>487</v>
      </c>
      <c r="H4467">
        <v>85300.14999999998</v>
      </c>
      <c r="I4467">
        <v>175.15</v>
      </c>
      <c r="J4467">
        <v>0</v>
      </c>
      <c r="K4467">
        <v>0</v>
      </c>
      <c r="L4467">
        <v>0</v>
      </c>
      <c r="M4467">
        <v>487</v>
      </c>
      <c r="N4467">
        <v>85300.14999999998</v>
      </c>
      <c r="O4467">
        <v>175.15</v>
      </c>
    </row>
    <row r="4468" spans="1:15" x14ac:dyDescent="0.35">
      <c r="A4468" t="s">
        <v>4983</v>
      </c>
      <c r="B4468" t="s">
        <v>4984</v>
      </c>
      <c r="C4468" t="s">
        <v>1644</v>
      </c>
      <c r="D4468" t="s">
        <v>293</v>
      </c>
      <c r="E4468" t="s">
        <v>298</v>
      </c>
      <c r="F4468" t="s">
        <v>4987</v>
      </c>
      <c r="G4468">
        <v>275</v>
      </c>
      <c r="H4468">
        <v>56171.209999999992</v>
      </c>
      <c r="I4468">
        <v>204.26</v>
      </c>
      <c r="J4468">
        <v>0</v>
      </c>
      <c r="K4468">
        <v>0</v>
      </c>
      <c r="L4468">
        <v>0</v>
      </c>
      <c r="M4468">
        <v>275</v>
      </c>
      <c r="N4468">
        <v>56171.209999999992</v>
      </c>
      <c r="O4468">
        <v>204.26</v>
      </c>
    </row>
    <row r="4469" spans="1:15" x14ac:dyDescent="0.35">
      <c r="A4469" t="s">
        <v>4983</v>
      </c>
      <c r="B4469" t="s">
        <v>4984</v>
      </c>
      <c r="C4469" t="s">
        <v>1644</v>
      </c>
      <c r="D4469" t="s">
        <v>293</v>
      </c>
      <c r="E4469" t="s">
        <v>300</v>
      </c>
      <c r="F4469" t="s">
        <v>4988</v>
      </c>
      <c r="G4469">
        <v>49</v>
      </c>
      <c r="H4469">
        <v>13082.5</v>
      </c>
      <c r="I4469">
        <v>266.99</v>
      </c>
      <c r="J4469">
        <v>0</v>
      </c>
      <c r="K4469">
        <v>0</v>
      </c>
      <c r="L4469">
        <v>0</v>
      </c>
      <c r="M4469">
        <v>49</v>
      </c>
      <c r="N4469">
        <v>13082.5</v>
      </c>
      <c r="O4469">
        <v>266.99</v>
      </c>
    </row>
    <row r="4470" spans="1:15" x14ac:dyDescent="0.35">
      <c r="A4470" t="s">
        <v>4983</v>
      </c>
      <c r="B4470" t="s">
        <v>4984</v>
      </c>
      <c r="C4470" t="s">
        <v>1644</v>
      </c>
      <c r="D4470" t="s">
        <v>293</v>
      </c>
      <c r="E4470" t="s">
        <v>302</v>
      </c>
      <c r="F4470" t="s">
        <v>4989</v>
      </c>
      <c r="G4470">
        <v>1</v>
      </c>
      <c r="H4470">
        <v>237.81</v>
      </c>
      <c r="I4470">
        <v>237.81</v>
      </c>
      <c r="J4470">
        <v>0</v>
      </c>
      <c r="K4470">
        <v>0</v>
      </c>
      <c r="L4470">
        <v>0</v>
      </c>
      <c r="M4470">
        <v>1</v>
      </c>
      <c r="N4470">
        <v>237.81</v>
      </c>
      <c r="O4470">
        <v>237.81</v>
      </c>
    </row>
    <row r="4471" spans="1:15" x14ac:dyDescent="0.35">
      <c r="A4471" t="s">
        <v>4983</v>
      </c>
      <c r="B4471" t="s">
        <v>4984</v>
      </c>
      <c r="C4471" t="s">
        <v>1644</v>
      </c>
      <c r="D4471" t="s">
        <v>293</v>
      </c>
      <c r="E4471" t="s">
        <v>304</v>
      </c>
      <c r="F4471" t="s">
        <v>4990</v>
      </c>
      <c r="G4471">
        <v>0</v>
      </c>
      <c r="H4471">
        <v>0</v>
      </c>
      <c r="I4471">
        <v>0</v>
      </c>
      <c r="J4471">
        <v>0</v>
      </c>
      <c r="K4471">
        <v>0</v>
      </c>
      <c r="L4471">
        <v>0</v>
      </c>
      <c r="M4471">
        <v>0</v>
      </c>
      <c r="N4471">
        <v>0</v>
      </c>
      <c r="O4471">
        <v>0</v>
      </c>
    </row>
    <row r="4472" spans="1:15" x14ac:dyDescent="0.35">
      <c r="A4472" t="s">
        <v>4983</v>
      </c>
      <c r="B4472" t="s">
        <v>4984</v>
      </c>
      <c r="C4472" t="s">
        <v>1644</v>
      </c>
      <c r="D4472" t="s">
        <v>293</v>
      </c>
      <c r="E4472" t="s">
        <v>306</v>
      </c>
      <c r="F4472" t="s">
        <v>4991</v>
      </c>
      <c r="G4472">
        <v>20</v>
      </c>
      <c r="H4472">
        <v>2814.6</v>
      </c>
      <c r="I4472">
        <v>140.72999999999999</v>
      </c>
      <c r="J4472">
        <v>0</v>
      </c>
      <c r="K4472">
        <v>0</v>
      </c>
      <c r="L4472">
        <v>0</v>
      </c>
      <c r="M4472">
        <v>20</v>
      </c>
      <c r="N4472">
        <v>2814.6</v>
      </c>
      <c r="O4472">
        <v>140.72999999999999</v>
      </c>
    </row>
    <row r="4473" spans="1:15" x14ac:dyDescent="0.35">
      <c r="A4473" t="s">
        <v>4983</v>
      </c>
      <c r="B4473" t="s">
        <v>4984</v>
      </c>
      <c r="C4473" t="s">
        <v>1644</v>
      </c>
      <c r="D4473" t="s">
        <v>293</v>
      </c>
      <c r="E4473" t="s">
        <v>308</v>
      </c>
      <c r="F4473" t="s">
        <v>4992</v>
      </c>
      <c r="G4473">
        <v>0</v>
      </c>
      <c r="H4473">
        <v>0</v>
      </c>
      <c r="I4473">
        <v>0</v>
      </c>
      <c r="J4473">
        <v>0</v>
      </c>
      <c r="K4473">
        <v>0</v>
      </c>
      <c r="L4473">
        <v>0</v>
      </c>
      <c r="M4473">
        <v>0</v>
      </c>
      <c r="N4473">
        <v>0</v>
      </c>
      <c r="O4473">
        <v>0</v>
      </c>
    </row>
    <row r="4474" spans="1:15" x14ac:dyDescent="0.35">
      <c r="A4474" t="s">
        <v>4983</v>
      </c>
      <c r="B4474" t="s">
        <v>4984</v>
      </c>
      <c r="C4474" t="s">
        <v>1644</v>
      </c>
      <c r="D4474" t="s">
        <v>293</v>
      </c>
      <c r="E4474" t="s">
        <v>310</v>
      </c>
      <c r="F4474" t="s">
        <v>4993</v>
      </c>
      <c r="G4474">
        <v>939</v>
      </c>
      <c r="H4474">
        <v>172942.96</v>
      </c>
      <c r="I4474">
        <v>184.18</v>
      </c>
      <c r="J4474">
        <v>0</v>
      </c>
      <c r="K4474">
        <v>0</v>
      </c>
      <c r="L4474">
        <v>0</v>
      </c>
      <c r="M4474">
        <v>939</v>
      </c>
      <c r="N4474">
        <v>172942.96</v>
      </c>
      <c r="O4474">
        <v>184.18</v>
      </c>
    </row>
    <row r="4475" spans="1:15" x14ac:dyDescent="0.35">
      <c r="A4475" t="s">
        <v>4983</v>
      </c>
      <c r="B4475" t="s">
        <v>4984</v>
      </c>
      <c r="C4475" t="s">
        <v>1644</v>
      </c>
      <c r="D4475" t="s">
        <v>293</v>
      </c>
      <c r="E4475" t="s">
        <v>312</v>
      </c>
      <c r="F4475" t="s">
        <v>4994</v>
      </c>
      <c r="G4475">
        <v>939</v>
      </c>
      <c r="H4475">
        <v>172942.96</v>
      </c>
      <c r="I4475">
        <v>184.18</v>
      </c>
      <c r="J4475">
        <v>0</v>
      </c>
      <c r="K4475">
        <v>0</v>
      </c>
      <c r="L4475">
        <v>0</v>
      </c>
      <c r="M4475">
        <v>939</v>
      </c>
      <c r="N4475">
        <v>172942.96</v>
      </c>
      <c r="O4475">
        <v>184.18</v>
      </c>
    </row>
    <row r="4476" spans="1:15" x14ac:dyDescent="0.35">
      <c r="A4476" t="s">
        <v>4983</v>
      </c>
      <c r="B4476" t="s">
        <v>4984</v>
      </c>
      <c r="C4476" t="s">
        <v>1644</v>
      </c>
      <c r="D4476" t="s">
        <v>314</v>
      </c>
      <c r="E4476" t="s">
        <v>294</v>
      </c>
      <c r="F4476" t="s">
        <v>4995</v>
      </c>
      <c r="G4476">
        <v>14</v>
      </c>
      <c r="H4476">
        <v>2876.16</v>
      </c>
      <c r="I4476">
        <v>205.44</v>
      </c>
      <c r="J4476">
        <v>0</v>
      </c>
      <c r="K4476">
        <v>0</v>
      </c>
      <c r="L4476">
        <v>0</v>
      </c>
      <c r="M4476">
        <v>14</v>
      </c>
      <c r="N4476">
        <v>2876.16</v>
      </c>
      <c r="O4476">
        <v>205.44</v>
      </c>
    </row>
    <row r="4477" spans="1:15" x14ac:dyDescent="0.35">
      <c r="A4477" t="s">
        <v>4983</v>
      </c>
      <c r="B4477" t="s">
        <v>4984</v>
      </c>
      <c r="C4477" t="s">
        <v>1644</v>
      </c>
      <c r="D4477" t="s">
        <v>314</v>
      </c>
      <c r="E4477" t="s">
        <v>296</v>
      </c>
      <c r="F4477" t="s">
        <v>4996</v>
      </c>
      <c r="G4477">
        <v>0</v>
      </c>
      <c r="H4477">
        <v>0</v>
      </c>
      <c r="I4477">
        <v>0</v>
      </c>
      <c r="J4477">
        <v>0</v>
      </c>
      <c r="K4477">
        <v>0</v>
      </c>
      <c r="L4477">
        <v>0</v>
      </c>
      <c r="M4477">
        <v>0</v>
      </c>
      <c r="N4477">
        <v>0</v>
      </c>
      <c r="O4477">
        <v>0</v>
      </c>
    </row>
    <row r="4478" spans="1:15" x14ac:dyDescent="0.35">
      <c r="A4478" t="s">
        <v>4983</v>
      </c>
      <c r="B4478" t="s">
        <v>4984</v>
      </c>
      <c r="C4478" t="s">
        <v>1644</v>
      </c>
      <c r="D4478" t="s">
        <v>314</v>
      </c>
      <c r="E4478" t="s">
        <v>298</v>
      </c>
      <c r="F4478" t="s">
        <v>4997</v>
      </c>
      <c r="G4478">
        <v>0</v>
      </c>
      <c r="H4478">
        <v>0</v>
      </c>
      <c r="I4478">
        <v>0</v>
      </c>
      <c r="J4478">
        <v>0</v>
      </c>
      <c r="K4478">
        <v>0</v>
      </c>
      <c r="L4478">
        <v>0</v>
      </c>
      <c r="M4478">
        <v>0</v>
      </c>
      <c r="N4478">
        <v>0</v>
      </c>
      <c r="O4478">
        <v>0</v>
      </c>
    </row>
    <row r="4479" spans="1:15" x14ac:dyDescent="0.35">
      <c r="A4479" t="s">
        <v>4983</v>
      </c>
      <c r="B4479" t="s">
        <v>4984</v>
      </c>
      <c r="C4479" t="s">
        <v>1644</v>
      </c>
      <c r="D4479" t="s">
        <v>314</v>
      </c>
      <c r="E4479" t="s">
        <v>300</v>
      </c>
      <c r="F4479" t="s">
        <v>4998</v>
      </c>
      <c r="G4479">
        <v>0</v>
      </c>
      <c r="H4479">
        <v>0</v>
      </c>
      <c r="I4479">
        <v>0</v>
      </c>
      <c r="J4479">
        <v>0</v>
      </c>
      <c r="K4479">
        <v>0</v>
      </c>
      <c r="L4479">
        <v>0</v>
      </c>
      <c r="M4479">
        <v>0</v>
      </c>
      <c r="N4479">
        <v>0</v>
      </c>
      <c r="O4479">
        <v>0</v>
      </c>
    </row>
    <row r="4480" spans="1:15" x14ac:dyDescent="0.35">
      <c r="A4480" t="s">
        <v>4983</v>
      </c>
      <c r="B4480" t="s">
        <v>4984</v>
      </c>
      <c r="C4480" t="s">
        <v>1644</v>
      </c>
      <c r="D4480" t="s">
        <v>314</v>
      </c>
      <c r="E4480" t="s">
        <v>306</v>
      </c>
      <c r="F4480" t="s">
        <v>4999</v>
      </c>
      <c r="G4480">
        <v>0</v>
      </c>
      <c r="H4480">
        <v>0</v>
      </c>
      <c r="I4480">
        <v>0</v>
      </c>
      <c r="J4480">
        <v>0</v>
      </c>
      <c r="K4480">
        <v>0</v>
      </c>
      <c r="L4480">
        <v>0</v>
      </c>
      <c r="M4480">
        <v>0</v>
      </c>
      <c r="N4480">
        <v>0</v>
      </c>
      <c r="O4480">
        <v>0</v>
      </c>
    </row>
    <row r="4481" spans="1:15" x14ac:dyDescent="0.35">
      <c r="A4481" t="s">
        <v>4983</v>
      </c>
      <c r="B4481" t="s">
        <v>4984</v>
      </c>
      <c r="C4481" t="s">
        <v>1644</v>
      </c>
      <c r="D4481" t="s">
        <v>314</v>
      </c>
      <c r="E4481" t="s">
        <v>308</v>
      </c>
      <c r="F4481" t="s">
        <v>5000</v>
      </c>
      <c r="G4481">
        <v>0</v>
      </c>
      <c r="H4481">
        <v>0</v>
      </c>
      <c r="I4481">
        <v>0</v>
      </c>
      <c r="J4481">
        <v>0</v>
      </c>
      <c r="K4481">
        <v>0</v>
      </c>
      <c r="L4481">
        <v>0</v>
      </c>
      <c r="M4481">
        <v>0</v>
      </c>
      <c r="N4481">
        <v>0</v>
      </c>
      <c r="O4481">
        <v>0</v>
      </c>
    </row>
    <row r="4482" spans="1:15" x14ac:dyDescent="0.35">
      <c r="A4482" t="s">
        <v>4983</v>
      </c>
      <c r="B4482" t="s">
        <v>4984</v>
      </c>
      <c r="C4482" t="s">
        <v>1644</v>
      </c>
      <c r="D4482" t="s">
        <v>314</v>
      </c>
      <c r="E4482" t="s">
        <v>312</v>
      </c>
      <c r="F4482" t="s">
        <v>5001</v>
      </c>
      <c r="G4482">
        <v>14</v>
      </c>
      <c r="H4482">
        <v>2876.16</v>
      </c>
      <c r="I4482">
        <v>205.44</v>
      </c>
      <c r="J4482">
        <v>0</v>
      </c>
      <c r="K4482">
        <v>0</v>
      </c>
      <c r="L4482">
        <v>0</v>
      </c>
      <c r="M4482">
        <v>14</v>
      </c>
      <c r="N4482">
        <v>2876.16</v>
      </c>
      <c r="O4482">
        <v>205.44</v>
      </c>
    </row>
    <row r="4483" spans="1:15" x14ac:dyDescent="0.35">
      <c r="A4483" t="s">
        <v>4983</v>
      </c>
      <c r="B4483" t="s">
        <v>4984</v>
      </c>
      <c r="C4483" t="s">
        <v>1644</v>
      </c>
      <c r="D4483" t="s">
        <v>314</v>
      </c>
      <c r="E4483" t="s">
        <v>310</v>
      </c>
      <c r="F4483" t="s">
        <v>5002</v>
      </c>
      <c r="G4483">
        <v>14</v>
      </c>
      <c r="H4483">
        <v>2876.16</v>
      </c>
      <c r="I4483">
        <v>205.44</v>
      </c>
      <c r="J4483">
        <v>0</v>
      </c>
      <c r="K4483">
        <v>0</v>
      </c>
      <c r="L4483">
        <v>0</v>
      </c>
      <c r="M4483">
        <v>14</v>
      </c>
      <c r="N4483">
        <v>2876.16</v>
      </c>
      <c r="O4483">
        <v>205.44</v>
      </c>
    </row>
    <row r="4484" spans="1:15" x14ac:dyDescent="0.35">
      <c r="A4484" t="s">
        <v>4983</v>
      </c>
      <c r="B4484" t="s">
        <v>4984</v>
      </c>
      <c r="C4484" t="s">
        <v>1644</v>
      </c>
      <c r="D4484" t="s">
        <v>323</v>
      </c>
      <c r="E4484" t="s">
        <v>294</v>
      </c>
      <c r="F4484" t="s">
        <v>5003</v>
      </c>
      <c r="G4484">
        <v>225</v>
      </c>
      <c r="H4484">
        <v>23482.18</v>
      </c>
      <c r="I4484">
        <v>104.37</v>
      </c>
      <c r="J4484">
        <v>0</v>
      </c>
      <c r="K4484">
        <v>0</v>
      </c>
      <c r="L4484">
        <v>0</v>
      </c>
      <c r="M4484">
        <v>225</v>
      </c>
      <c r="N4484">
        <v>23482.18</v>
      </c>
      <c r="O4484">
        <v>104.37</v>
      </c>
    </row>
    <row r="4485" spans="1:15" x14ac:dyDescent="0.35">
      <c r="A4485" t="s">
        <v>4983</v>
      </c>
      <c r="B4485" t="s">
        <v>4984</v>
      </c>
      <c r="C4485" t="s">
        <v>1644</v>
      </c>
      <c r="D4485" t="s">
        <v>323</v>
      </c>
      <c r="E4485" t="s">
        <v>296</v>
      </c>
      <c r="F4485" t="s">
        <v>5004</v>
      </c>
      <c r="G4485">
        <v>1347</v>
      </c>
      <c r="H4485">
        <v>164955.83000000002</v>
      </c>
      <c r="I4485">
        <v>122.46</v>
      </c>
      <c r="J4485">
        <v>0</v>
      </c>
      <c r="K4485">
        <v>0</v>
      </c>
      <c r="L4485">
        <v>0</v>
      </c>
      <c r="M4485">
        <v>1347</v>
      </c>
      <c r="N4485">
        <v>164955.83000000002</v>
      </c>
      <c r="O4485">
        <v>122.46</v>
      </c>
    </row>
    <row r="4486" spans="1:15" x14ac:dyDescent="0.35">
      <c r="A4486" t="s">
        <v>4983</v>
      </c>
      <c r="B4486" t="s">
        <v>4984</v>
      </c>
      <c r="C4486" t="s">
        <v>1644</v>
      </c>
      <c r="D4486" t="s">
        <v>323</v>
      </c>
      <c r="E4486" t="s">
        <v>298</v>
      </c>
      <c r="F4486" t="s">
        <v>5005</v>
      </c>
      <c r="G4486">
        <v>1649</v>
      </c>
      <c r="H4486">
        <v>236308.21</v>
      </c>
      <c r="I4486">
        <v>143.30000000000001</v>
      </c>
      <c r="J4486">
        <v>0</v>
      </c>
      <c r="K4486">
        <v>0</v>
      </c>
      <c r="L4486">
        <v>0</v>
      </c>
      <c r="M4486">
        <v>1649</v>
      </c>
      <c r="N4486">
        <v>236308.21</v>
      </c>
      <c r="O4486">
        <v>143.30000000000001</v>
      </c>
    </row>
    <row r="4487" spans="1:15" x14ac:dyDescent="0.35">
      <c r="A4487" t="s">
        <v>4983</v>
      </c>
      <c r="B4487" t="s">
        <v>4984</v>
      </c>
      <c r="C4487" t="s">
        <v>1644</v>
      </c>
      <c r="D4487" t="s">
        <v>323</v>
      </c>
      <c r="E4487" t="s">
        <v>300</v>
      </c>
      <c r="F4487" t="s">
        <v>5006</v>
      </c>
      <c r="G4487">
        <v>136</v>
      </c>
      <c r="H4487">
        <v>21902.21</v>
      </c>
      <c r="I4487">
        <v>161.05000000000001</v>
      </c>
      <c r="J4487">
        <v>0</v>
      </c>
      <c r="K4487">
        <v>0</v>
      </c>
      <c r="L4487">
        <v>0</v>
      </c>
      <c r="M4487">
        <v>136</v>
      </c>
      <c r="N4487">
        <v>21902.21</v>
      </c>
      <c r="O4487">
        <v>161.05000000000001</v>
      </c>
    </row>
    <row r="4488" spans="1:15" x14ac:dyDescent="0.35">
      <c r="A4488" t="s">
        <v>4983</v>
      </c>
      <c r="B4488" t="s">
        <v>4984</v>
      </c>
      <c r="C4488" t="s">
        <v>1644</v>
      </c>
      <c r="D4488" t="s">
        <v>323</v>
      </c>
      <c r="E4488" t="s">
        <v>302</v>
      </c>
      <c r="F4488" t="s">
        <v>5007</v>
      </c>
      <c r="G4488">
        <v>12</v>
      </c>
      <c r="H4488">
        <v>2040.96</v>
      </c>
      <c r="I4488">
        <v>170.08</v>
      </c>
      <c r="J4488">
        <v>0</v>
      </c>
      <c r="K4488">
        <v>0</v>
      </c>
      <c r="L4488">
        <v>0</v>
      </c>
      <c r="M4488">
        <v>12</v>
      </c>
      <c r="N4488">
        <v>2040.96</v>
      </c>
      <c r="O4488">
        <v>170.08</v>
      </c>
    </row>
    <row r="4489" spans="1:15" x14ac:dyDescent="0.35">
      <c r="A4489" t="s">
        <v>4983</v>
      </c>
      <c r="B4489" t="s">
        <v>4984</v>
      </c>
      <c r="C4489" t="s">
        <v>1644</v>
      </c>
      <c r="D4489" t="s">
        <v>323</v>
      </c>
      <c r="E4489" t="s">
        <v>304</v>
      </c>
      <c r="F4489" t="s">
        <v>5008</v>
      </c>
      <c r="G4489">
        <v>1</v>
      </c>
      <c r="H4489">
        <v>178.6</v>
      </c>
      <c r="I4489">
        <v>178.6</v>
      </c>
      <c r="J4489">
        <v>0</v>
      </c>
      <c r="K4489">
        <v>0</v>
      </c>
      <c r="L4489">
        <v>0</v>
      </c>
      <c r="M4489">
        <v>1</v>
      </c>
      <c r="N4489">
        <v>178.6</v>
      </c>
      <c r="O4489">
        <v>178.6</v>
      </c>
    </row>
    <row r="4490" spans="1:15" x14ac:dyDescent="0.35">
      <c r="A4490" t="s">
        <v>4983</v>
      </c>
      <c r="B4490" t="s">
        <v>4984</v>
      </c>
      <c r="C4490" t="s">
        <v>1644</v>
      </c>
      <c r="D4490" t="s">
        <v>323</v>
      </c>
      <c r="E4490" t="s">
        <v>306</v>
      </c>
      <c r="F4490" t="s">
        <v>5009</v>
      </c>
      <c r="G4490">
        <v>192</v>
      </c>
      <c r="H4490">
        <v>16990.079999999998</v>
      </c>
      <c r="I4490">
        <v>88.49</v>
      </c>
      <c r="J4490">
        <v>0</v>
      </c>
      <c r="K4490">
        <v>0</v>
      </c>
      <c r="L4490">
        <v>0</v>
      </c>
      <c r="M4490">
        <v>192</v>
      </c>
      <c r="N4490">
        <v>16990.079999999998</v>
      </c>
      <c r="O4490">
        <v>88.49</v>
      </c>
    </row>
    <row r="4491" spans="1:15" x14ac:dyDescent="0.35">
      <c r="A4491" t="s">
        <v>4983</v>
      </c>
      <c r="B4491" t="s">
        <v>4984</v>
      </c>
      <c r="C4491" t="s">
        <v>1644</v>
      </c>
      <c r="D4491" t="s">
        <v>323</v>
      </c>
      <c r="E4491" t="s">
        <v>308</v>
      </c>
      <c r="F4491" t="s">
        <v>5010</v>
      </c>
      <c r="G4491">
        <v>0</v>
      </c>
      <c r="H4491">
        <v>0</v>
      </c>
      <c r="I4491">
        <v>0</v>
      </c>
      <c r="J4491">
        <v>0</v>
      </c>
      <c r="K4491">
        <v>0</v>
      </c>
      <c r="L4491">
        <v>0</v>
      </c>
      <c r="M4491">
        <v>0</v>
      </c>
      <c r="N4491">
        <v>0</v>
      </c>
      <c r="O4491">
        <v>0</v>
      </c>
    </row>
    <row r="4492" spans="1:15" x14ac:dyDescent="0.35">
      <c r="A4492" t="s">
        <v>4983</v>
      </c>
      <c r="B4492" t="s">
        <v>4984</v>
      </c>
      <c r="C4492" t="s">
        <v>1644</v>
      </c>
      <c r="D4492" t="s">
        <v>323</v>
      </c>
      <c r="E4492" t="s">
        <v>310</v>
      </c>
      <c r="F4492" t="s">
        <v>5011</v>
      </c>
      <c r="G4492">
        <v>3562</v>
      </c>
      <c r="H4492">
        <v>465858.07</v>
      </c>
      <c r="I4492">
        <v>130.79</v>
      </c>
      <c r="J4492">
        <v>0</v>
      </c>
      <c r="K4492">
        <v>0</v>
      </c>
      <c r="L4492">
        <v>0</v>
      </c>
      <c r="M4492">
        <v>3562</v>
      </c>
      <c r="N4492">
        <v>465858.07</v>
      </c>
      <c r="O4492">
        <v>130.79</v>
      </c>
    </row>
    <row r="4493" spans="1:15" x14ac:dyDescent="0.35">
      <c r="A4493" t="s">
        <v>4983</v>
      </c>
      <c r="B4493" t="s">
        <v>4984</v>
      </c>
      <c r="C4493" t="s">
        <v>1644</v>
      </c>
      <c r="D4493" t="s">
        <v>323</v>
      </c>
      <c r="E4493" t="s">
        <v>312</v>
      </c>
      <c r="F4493" t="s">
        <v>5012</v>
      </c>
      <c r="G4493">
        <v>3562</v>
      </c>
      <c r="H4493">
        <v>465858.07</v>
      </c>
      <c r="I4493">
        <v>130.79</v>
      </c>
      <c r="J4493">
        <v>0</v>
      </c>
      <c r="K4493">
        <v>0</v>
      </c>
      <c r="L4493">
        <v>0</v>
      </c>
      <c r="M4493">
        <v>3562</v>
      </c>
      <c r="N4493">
        <v>465858.07</v>
      </c>
      <c r="O4493">
        <v>130.79</v>
      </c>
    </row>
    <row r="4494" spans="1:15" x14ac:dyDescent="0.35">
      <c r="A4494" t="s">
        <v>4983</v>
      </c>
      <c r="B4494" t="s">
        <v>4984</v>
      </c>
      <c r="C4494" t="s">
        <v>1644</v>
      </c>
      <c r="D4494" t="s">
        <v>334</v>
      </c>
      <c r="E4494" t="s">
        <v>312</v>
      </c>
      <c r="F4494" t="s">
        <v>5013</v>
      </c>
      <c r="G4494">
        <v>4632</v>
      </c>
      <c r="H4494">
        <v>638801.0299999998</v>
      </c>
      <c r="I4494">
        <v>141.91999999999999</v>
      </c>
      <c r="J4494">
        <v>0</v>
      </c>
      <c r="K4494">
        <v>0</v>
      </c>
      <c r="L4494">
        <v>0</v>
      </c>
      <c r="M4494">
        <v>4632</v>
      </c>
      <c r="N4494">
        <v>638801.0299999998</v>
      </c>
      <c r="O4494">
        <v>141.91999999999999</v>
      </c>
    </row>
    <row r="4495" spans="1:15" x14ac:dyDescent="0.35">
      <c r="A4495" t="s">
        <v>4983</v>
      </c>
      <c r="B4495" t="s">
        <v>4984</v>
      </c>
      <c r="C4495" t="s">
        <v>1644</v>
      </c>
      <c r="D4495" t="s">
        <v>334</v>
      </c>
      <c r="E4495" t="s">
        <v>308</v>
      </c>
      <c r="F4495" t="s">
        <v>5014</v>
      </c>
      <c r="G4495">
        <v>0</v>
      </c>
      <c r="H4495">
        <v>0</v>
      </c>
      <c r="I4495">
        <v>0</v>
      </c>
      <c r="J4495">
        <v>0</v>
      </c>
      <c r="K4495">
        <v>0</v>
      </c>
      <c r="L4495">
        <v>0</v>
      </c>
      <c r="M4495">
        <v>0</v>
      </c>
      <c r="N4495">
        <v>0</v>
      </c>
      <c r="O4495">
        <v>0</v>
      </c>
    </row>
    <row r="4496" spans="1:15" x14ac:dyDescent="0.35">
      <c r="A4496" t="s">
        <v>4983</v>
      </c>
      <c r="B4496" t="s">
        <v>4984</v>
      </c>
      <c r="C4496" t="s">
        <v>1644</v>
      </c>
      <c r="D4496" t="s">
        <v>337</v>
      </c>
      <c r="E4496" t="s">
        <v>337</v>
      </c>
      <c r="F4496" t="s">
        <v>5015</v>
      </c>
      <c r="G4496">
        <v>582</v>
      </c>
      <c r="J4496">
        <v>0</v>
      </c>
      <c r="M4496">
        <v>582</v>
      </c>
    </row>
    <row r="4497" spans="1:15" x14ac:dyDescent="0.35">
      <c r="A4497" t="s">
        <v>4983</v>
      </c>
      <c r="B4497" t="s">
        <v>4984</v>
      </c>
      <c r="C4497" t="s">
        <v>1644</v>
      </c>
      <c r="D4497" t="s">
        <v>339</v>
      </c>
      <c r="E4497" t="s">
        <v>294</v>
      </c>
      <c r="F4497" t="s">
        <v>5016</v>
      </c>
      <c r="G4497">
        <v>785</v>
      </c>
      <c r="H4497">
        <v>91397.290000000008</v>
      </c>
      <c r="I4497">
        <v>116.43</v>
      </c>
      <c r="J4497">
        <v>0</v>
      </c>
      <c r="K4497">
        <v>0</v>
      </c>
      <c r="L4497">
        <v>0</v>
      </c>
      <c r="M4497">
        <v>785</v>
      </c>
      <c r="N4497">
        <v>91397.290000000008</v>
      </c>
      <c r="O4497">
        <v>116.43</v>
      </c>
    </row>
    <row r="4498" spans="1:15" x14ac:dyDescent="0.35">
      <c r="A4498" t="s">
        <v>4983</v>
      </c>
      <c r="B4498" t="s">
        <v>4984</v>
      </c>
      <c r="C4498" t="s">
        <v>1644</v>
      </c>
      <c r="D4498" t="s">
        <v>339</v>
      </c>
      <c r="E4498" t="s">
        <v>296</v>
      </c>
      <c r="F4498" t="s">
        <v>5017</v>
      </c>
      <c r="G4498">
        <v>228</v>
      </c>
      <c r="H4498">
        <v>31846.909999999996</v>
      </c>
      <c r="I4498">
        <v>139.68</v>
      </c>
      <c r="J4498">
        <v>0</v>
      </c>
      <c r="K4498">
        <v>0</v>
      </c>
      <c r="L4498">
        <v>0</v>
      </c>
      <c r="M4498">
        <v>228</v>
      </c>
      <c r="N4498">
        <v>31846.909999999996</v>
      </c>
      <c r="O4498">
        <v>139.68</v>
      </c>
    </row>
    <row r="4499" spans="1:15" x14ac:dyDescent="0.35">
      <c r="A4499" t="s">
        <v>4983</v>
      </c>
      <c r="B4499" t="s">
        <v>4984</v>
      </c>
      <c r="C4499" t="s">
        <v>1644</v>
      </c>
      <c r="D4499" t="s">
        <v>339</v>
      </c>
      <c r="E4499" t="s">
        <v>298</v>
      </c>
      <c r="F4499" t="s">
        <v>5018</v>
      </c>
      <c r="G4499">
        <v>0</v>
      </c>
      <c r="H4499">
        <v>0</v>
      </c>
      <c r="I4499">
        <v>0</v>
      </c>
      <c r="J4499">
        <v>0</v>
      </c>
      <c r="K4499">
        <v>0</v>
      </c>
      <c r="L4499">
        <v>0</v>
      </c>
      <c r="M4499">
        <v>0</v>
      </c>
      <c r="N4499">
        <v>0</v>
      </c>
      <c r="O4499">
        <v>0</v>
      </c>
    </row>
    <row r="4500" spans="1:15" x14ac:dyDescent="0.35">
      <c r="A4500" t="s">
        <v>4983</v>
      </c>
      <c r="B4500" t="s">
        <v>4984</v>
      </c>
      <c r="C4500" t="s">
        <v>1644</v>
      </c>
      <c r="D4500" t="s">
        <v>339</v>
      </c>
      <c r="E4500" t="s">
        <v>300</v>
      </c>
      <c r="F4500" t="s">
        <v>5019</v>
      </c>
      <c r="G4500">
        <v>0</v>
      </c>
      <c r="H4500">
        <v>0</v>
      </c>
      <c r="I4500">
        <v>0</v>
      </c>
      <c r="J4500">
        <v>0</v>
      </c>
      <c r="K4500">
        <v>0</v>
      </c>
      <c r="L4500">
        <v>0</v>
      </c>
      <c r="M4500">
        <v>0</v>
      </c>
      <c r="N4500">
        <v>0</v>
      </c>
      <c r="O4500">
        <v>0</v>
      </c>
    </row>
    <row r="4501" spans="1:15" x14ac:dyDescent="0.35">
      <c r="A4501" t="s">
        <v>4983</v>
      </c>
      <c r="B4501" t="s">
        <v>4984</v>
      </c>
      <c r="C4501" t="s">
        <v>1644</v>
      </c>
      <c r="D4501" t="s">
        <v>339</v>
      </c>
      <c r="E4501" t="s">
        <v>306</v>
      </c>
      <c r="F4501" t="s">
        <v>5020</v>
      </c>
      <c r="G4501">
        <v>36</v>
      </c>
      <c r="H4501">
        <v>3769.8</v>
      </c>
      <c r="I4501">
        <v>104.72</v>
      </c>
      <c r="J4501">
        <v>0</v>
      </c>
      <c r="K4501">
        <v>0</v>
      </c>
      <c r="L4501">
        <v>0</v>
      </c>
      <c r="M4501">
        <v>36</v>
      </c>
      <c r="N4501">
        <v>3769.8</v>
      </c>
      <c r="O4501">
        <v>104.72</v>
      </c>
    </row>
    <row r="4502" spans="1:15" x14ac:dyDescent="0.35">
      <c r="A4502" t="s">
        <v>4983</v>
      </c>
      <c r="B4502" t="s">
        <v>4984</v>
      </c>
      <c r="C4502" t="s">
        <v>1644</v>
      </c>
      <c r="D4502" t="s">
        <v>339</v>
      </c>
      <c r="E4502" t="s">
        <v>308</v>
      </c>
      <c r="F4502" t="s">
        <v>5021</v>
      </c>
      <c r="G4502">
        <v>57</v>
      </c>
      <c r="H4502">
        <v>8262.3700000000008</v>
      </c>
      <c r="I4502">
        <v>144.94999999999999</v>
      </c>
      <c r="J4502">
        <v>0</v>
      </c>
      <c r="K4502">
        <v>0</v>
      </c>
      <c r="L4502">
        <v>0</v>
      </c>
      <c r="M4502">
        <v>57</v>
      </c>
      <c r="N4502">
        <v>8262.3700000000008</v>
      </c>
      <c r="O4502">
        <v>144.94999999999999</v>
      </c>
    </row>
    <row r="4503" spans="1:15" x14ac:dyDescent="0.35">
      <c r="A4503" t="s">
        <v>4983</v>
      </c>
      <c r="B4503" t="s">
        <v>4984</v>
      </c>
      <c r="C4503" t="s">
        <v>1644</v>
      </c>
      <c r="D4503" t="s">
        <v>339</v>
      </c>
      <c r="E4503" t="s">
        <v>310</v>
      </c>
      <c r="F4503" t="s">
        <v>5022</v>
      </c>
      <c r="G4503">
        <v>1106</v>
      </c>
      <c r="H4503">
        <v>135276.37000000002</v>
      </c>
      <c r="I4503">
        <v>122.31</v>
      </c>
      <c r="J4503">
        <v>0</v>
      </c>
      <c r="K4503">
        <v>0</v>
      </c>
      <c r="L4503">
        <v>0</v>
      </c>
      <c r="M4503">
        <v>1106</v>
      </c>
      <c r="N4503">
        <v>135276.37000000002</v>
      </c>
      <c r="O4503">
        <v>122.31</v>
      </c>
    </row>
    <row r="4504" spans="1:15" x14ac:dyDescent="0.35">
      <c r="A4504" t="s">
        <v>4983</v>
      </c>
      <c r="B4504" t="s">
        <v>4984</v>
      </c>
      <c r="C4504" t="s">
        <v>1644</v>
      </c>
      <c r="D4504" t="s">
        <v>339</v>
      </c>
      <c r="E4504" t="s">
        <v>312</v>
      </c>
      <c r="F4504" t="s">
        <v>5023</v>
      </c>
      <c r="G4504">
        <v>1049</v>
      </c>
      <c r="H4504">
        <v>127014.00000000001</v>
      </c>
      <c r="I4504">
        <v>121.08</v>
      </c>
      <c r="J4504">
        <v>0</v>
      </c>
      <c r="K4504">
        <v>0</v>
      </c>
      <c r="L4504">
        <v>0</v>
      </c>
      <c r="M4504">
        <v>1049</v>
      </c>
      <c r="N4504">
        <v>127014.00000000001</v>
      </c>
      <c r="O4504">
        <v>121.08</v>
      </c>
    </row>
    <row r="4505" spans="1:15" x14ac:dyDescent="0.35">
      <c r="A4505" t="s">
        <v>4983</v>
      </c>
      <c r="B4505" t="s">
        <v>4984</v>
      </c>
      <c r="C4505" t="s">
        <v>1644</v>
      </c>
      <c r="D4505" t="s">
        <v>348</v>
      </c>
      <c r="E4505" t="s">
        <v>349</v>
      </c>
      <c r="F4505" t="s">
        <v>5024</v>
      </c>
      <c r="G4505">
        <v>1324</v>
      </c>
      <c r="H4505">
        <v>138152.53000000003</v>
      </c>
      <c r="I4505">
        <v>123.35</v>
      </c>
      <c r="J4505">
        <v>0</v>
      </c>
      <c r="K4505">
        <v>0</v>
      </c>
      <c r="L4505">
        <v>0</v>
      </c>
      <c r="M4505">
        <v>1324</v>
      </c>
      <c r="N4505">
        <v>138152.53000000003</v>
      </c>
      <c r="O4505">
        <v>123.35</v>
      </c>
    </row>
    <row r="4506" spans="1:15" x14ac:dyDescent="0.35">
      <c r="A4506" t="s">
        <v>5025</v>
      </c>
      <c r="B4506" t="s">
        <v>5026</v>
      </c>
      <c r="C4506" t="s">
        <v>1644</v>
      </c>
      <c r="D4506" t="s">
        <v>293</v>
      </c>
      <c r="E4506" t="s">
        <v>294</v>
      </c>
      <c r="F4506" t="s">
        <v>5027</v>
      </c>
      <c r="G4506">
        <v>70</v>
      </c>
      <c r="H4506">
        <v>10187.43</v>
      </c>
      <c r="I4506">
        <v>145.53</v>
      </c>
      <c r="J4506">
        <v>11</v>
      </c>
      <c r="K4506">
        <v>1623.49</v>
      </c>
      <c r="L4506">
        <v>147.59</v>
      </c>
      <c r="M4506">
        <v>81</v>
      </c>
      <c r="N4506">
        <v>11810.92</v>
      </c>
      <c r="O4506">
        <v>145.81</v>
      </c>
    </row>
    <row r="4507" spans="1:15" x14ac:dyDescent="0.35">
      <c r="A4507" t="s">
        <v>5025</v>
      </c>
      <c r="B4507" t="s">
        <v>5026</v>
      </c>
      <c r="C4507" t="s">
        <v>1644</v>
      </c>
      <c r="D4507" t="s">
        <v>293</v>
      </c>
      <c r="E4507" t="s">
        <v>296</v>
      </c>
      <c r="F4507" t="s">
        <v>5028</v>
      </c>
      <c r="G4507">
        <v>173</v>
      </c>
      <c r="H4507">
        <v>31228.65</v>
      </c>
      <c r="I4507">
        <v>180.51</v>
      </c>
      <c r="J4507">
        <v>31</v>
      </c>
      <c r="K4507">
        <v>5918.5199999999995</v>
      </c>
      <c r="L4507">
        <v>190.92</v>
      </c>
      <c r="M4507">
        <v>204</v>
      </c>
      <c r="N4507">
        <v>37147.17</v>
      </c>
      <c r="O4507">
        <v>182.09</v>
      </c>
    </row>
    <row r="4508" spans="1:15" x14ac:dyDescent="0.35">
      <c r="A4508" t="s">
        <v>5025</v>
      </c>
      <c r="B4508" t="s">
        <v>5026</v>
      </c>
      <c r="C4508" t="s">
        <v>1644</v>
      </c>
      <c r="D4508" t="s">
        <v>293</v>
      </c>
      <c r="E4508" t="s">
        <v>298</v>
      </c>
      <c r="F4508" t="s">
        <v>5029</v>
      </c>
      <c r="G4508">
        <v>82</v>
      </c>
      <c r="H4508">
        <v>17597.73</v>
      </c>
      <c r="I4508">
        <v>214.61</v>
      </c>
      <c r="J4508">
        <v>14</v>
      </c>
      <c r="K4508">
        <v>3075.94</v>
      </c>
      <c r="L4508">
        <v>219.71</v>
      </c>
      <c r="M4508">
        <v>96</v>
      </c>
      <c r="N4508">
        <v>20673.669999999998</v>
      </c>
      <c r="O4508">
        <v>215.35</v>
      </c>
    </row>
    <row r="4509" spans="1:15" x14ac:dyDescent="0.35">
      <c r="A4509" t="s">
        <v>5025</v>
      </c>
      <c r="B4509" t="s">
        <v>5026</v>
      </c>
      <c r="C4509" t="s">
        <v>1644</v>
      </c>
      <c r="D4509" t="s">
        <v>293</v>
      </c>
      <c r="E4509" t="s">
        <v>300</v>
      </c>
      <c r="F4509" t="s">
        <v>5030</v>
      </c>
      <c r="G4509">
        <v>0</v>
      </c>
      <c r="H4509">
        <v>0</v>
      </c>
      <c r="I4509">
        <v>0</v>
      </c>
      <c r="J4509">
        <v>2</v>
      </c>
      <c r="K4509">
        <v>504.86</v>
      </c>
      <c r="L4509">
        <v>252.43</v>
      </c>
      <c r="M4509">
        <v>2</v>
      </c>
      <c r="N4509">
        <v>504.86</v>
      </c>
      <c r="O4509">
        <v>252.43</v>
      </c>
    </row>
    <row r="4510" spans="1:15" x14ac:dyDescent="0.35">
      <c r="A4510" t="s">
        <v>5025</v>
      </c>
      <c r="B4510" t="s">
        <v>5026</v>
      </c>
      <c r="C4510" t="s">
        <v>1644</v>
      </c>
      <c r="D4510" t="s">
        <v>293</v>
      </c>
      <c r="E4510" t="s">
        <v>302</v>
      </c>
      <c r="F4510" t="s">
        <v>5031</v>
      </c>
      <c r="G4510">
        <v>0</v>
      </c>
      <c r="H4510">
        <v>0</v>
      </c>
      <c r="I4510">
        <v>0</v>
      </c>
      <c r="J4510">
        <v>0</v>
      </c>
      <c r="K4510">
        <v>0</v>
      </c>
      <c r="L4510">
        <v>0</v>
      </c>
      <c r="M4510">
        <v>0</v>
      </c>
      <c r="N4510">
        <v>0</v>
      </c>
      <c r="O4510">
        <v>0</v>
      </c>
    </row>
    <row r="4511" spans="1:15" x14ac:dyDescent="0.35">
      <c r="A4511" t="s">
        <v>5025</v>
      </c>
      <c r="B4511" t="s">
        <v>5026</v>
      </c>
      <c r="C4511" t="s">
        <v>1644</v>
      </c>
      <c r="D4511" t="s">
        <v>293</v>
      </c>
      <c r="E4511" t="s">
        <v>304</v>
      </c>
      <c r="F4511" t="s">
        <v>5032</v>
      </c>
      <c r="G4511">
        <v>0</v>
      </c>
      <c r="H4511">
        <v>0</v>
      </c>
      <c r="I4511">
        <v>0</v>
      </c>
      <c r="J4511">
        <v>0</v>
      </c>
      <c r="K4511">
        <v>0</v>
      </c>
      <c r="L4511">
        <v>0</v>
      </c>
      <c r="M4511">
        <v>0</v>
      </c>
      <c r="N4511">
        <v>0</v>
      </c>
      <c r="O4511">
        <v>0</v>
      </c>
    </row>
    <row r="4512" spans="1:15" x14ac:dyDescent="0.35">
      <c r="A4512" t="s">
        <v>5025</v>
      </c>
      <c r="B4512" t="s">
        <v>5026</v>
      </c>
      <c r="C4512" t="s">
        <v>1644</v>
      </c>
      <c r="D4512" t="s">
        <v>293</v>
      </c>
      <c r="E4512" t="s">
        <v>306</v>
      </c>
      <c r="F4512" t="s">
        <v>5033</v>
      </c>
      <c r="G4512">
        <v>0</v>
      </c>
      <c r="H4512">
        <v>0</v>
      </c>
      <c r="I4512">
        <v>0</v>
      </c>
      <c r="J4512">
        <v>0</v>
      </c>
      <c r="K4512">
        <v>0</v>
      </c>
      <c r="L4512">
        <v>0</v>
      </c>
      <c r="M4512">
        <v>0</v>
      </c>
      <c r="N4512">
        <v>0</v>
      </c>
      <c r="O4512">
        <v>0</v>
      </c>
    </row>
    <row r="4513" spans="1:15" x14ac:dyDescent="0.35">
      <c r="A4513" t="s">
        <v>5025</v>
      </c>
      <c r="B4513" t="s">
        <v>5026</v>
      </c>
      <c r="C4513" t="s">
        <v>1644</v>
      </c>
      <c r="D4513" t="s">
        <v>293</v>
      </c>
      <c r="E4513" t="s">
        <v>308</v>
      </c>
      <c r="F4513" t="s">
        <v>5034</v>
      </c>
      <c r="G4513">
        <v>0</v>
      </c>
      <c r="H4513">
        <v>0</v>
      </c>
      <c r="I4513">
        <v>0</v>
      </c>
      <c r="J4513">
        <v>0</v>
      </c>
      <c r="K4513">
        <v>0</v>
      </c>
      <c r="L4513">
        <v>0</v>
      </c>
      <c r="M4513">
        <v>0</v>
      </c>
      <c r="N4513">
        <v>0</v>
      </c>
      <c r="O4513">
        <v>0</v>
      </c>
    </row>
    <row r="4514" spans="1:15" x14ac:dyDescent="0.35">
      <c r="A4514" t="s">
        <v>5025</v>
      </c>
      <c r="B4514" t="s">
        <v>5026</v>
      </c>
      <c r="C4514" t="s">
        <v>1644</v>
      </c>
      <c r="D4514" t="s">
        <v>293</v>
      </c>
      <c r="E4514" t="s">
        <v>310</v>
      </c>
      <c r="F4514" t="s">
        <v>5035</v>
      </c>
      <c r="G4514">
        <v>325</v>
      </c>
      <c r="H4514">
        <v>59013.81</v>
      </c>
      <c r="I4514">
        <v>181.58</v>
      </c>
      <c r="J4514">
        <v>58</v>
      </c>
      <c r="K4514">
        <v>11122.81</v>
      </c>
      <c r="L4514">
        <v>191.77</v>
      </c>
      <c r="M4514">
        <v>383</v>
      </c>
      <c r="N4514">
        <v>70136.62</v>
      </c>
      <c r="O4514">
        <v>183.12</v>
      </c>
    </row>
    <row r="4515" spans="1:15" x14ac:dyDescent="0.35">
      <c r="A4515" t="s">
        <v>5025</v>
      </c>
      <c r="B4515" t="s">
        <v>5026</v>
      </c>
      <c r="C4515" t="s">
        <v>1644</v>
      </c>
      <c r="D4515" t="s">
        <v>293</v>
      </c>
      <c r="E4515" t="s">
        <v>312</v>
      </c>
      <c r="F4515" t="s">
        <v>5036</v>
      </c>
      <c r="G4515">
        <v>325</v>
      </c>
      <c r="H4515">
        <v>59013.81</v>
      </c>
      <c r="I4515">
        <v>181.58</v>
      </c>
      <c r="J4515">
        <v>58</v>
      </c>
      <c r="K4515">
        <v>11122.81</v>
      </c>
      <c r="L4515">
        <v>191.77</v>
      </c>
      <c r="M4515">
        <v>383</v>
      </c>
      <c r="N4515">
        <v>70136.62</v>
      </c>
      <c r="O4515">
        <v>183.12</v>
      </c>
    </row>
    <row r="4516" spans="1:15" x14ac:dyDescent="0.35">
      <c r="A4516" t="s">
        <v>5025</v>
      </c>
      <c r="B4516" t="s">
        <v>5026</v>
      </c>
      <c r="C4516" t="s">
        <v>1644</v>
      </c>
      <c r="D4516" t="s">
        <v>314</v>
      </c>
      <c r="E4516" t="s">
        <v>294</v>
      </c>
      <c r="F4516" t="s">
        <v>5037</v>
      </c>
      <c r="G4516">
        <v>36</v>
      </c>
      <c r="H4516">
        <v>13112.75</v>
      </c>
      <c r="I4516">
        <v>364.24</v>
      </c>
      <c r="J4516">
        <v>0</v>
      </c>
      <c r="K4516">
        <v>0</v>
      </c>
      <c r="L4516">
        <v>0</v>
      </c>
      <c r="M4516">
        <v>36</v>
      </c>
      <c r="N4516">
        <v>13112.75</v>
      </c>
      <c r="O4516">
        <v>364.24</v>
      </c>
    </row>
    <row r="4517" spans="1:15" x14ac:dyDescent="0.35">
      <c r="A4517" t="s">
        <v>5025</v>
      </c>
      <c r="B4517" t="s">
        <v>5026</v>
      </c>
      <c r="C4517" t="s">
        <v>1644</v>
      </c>
      <c r="D4517" t="s">
        <v>314</v>
      </c>
      <c r="E4517" t="s">
        <v>296</v>
      </c>
      <c r="F4517" t="s">
        <v>5038</v>
      </c>
      <c r="G4517">
        <v>17</v>
      </c>
      <c r="H4517">
        <v>6366.5599999999995</v>
      </c>
      <c r="I4517">
        <v>374.5</v>
      </c>
      <c r="J4517">
        <v>0</v>
      </c>
      <c r="K4517">
        <v>0</v>
      </c>
      <c r="L4517">
        <v>0</v>
      </c>
      <c r="M4517">
        <v>17</v>
      </c>
      <c r="N4517">
        <v>6366.5599999999995</v>
      </c>
      <c r="O4517">
        <v>374.5</v>
      </c>
    </row>
    <row r="4518" spans="1:15" x14ac:dyDescent="0.35">
      <c r="A4518" t="s">
        <v>5025</v>
      </c>
      <c r="B4518" t="s">
        <v>5026</v>
      </c>
      <c r="C4518" t="s">
        <v>1644</v>
      </c>
      <c r="D4518" t="s">
        <v>314</v>
      </c>
      <c r="E4518" t="s">
        <v>298</v>
      </c>
      <c r="F4518" t="s">
        <v>5039</v>
      </c>
      <c r="G4518">
        <v>0</v>
      </c>
      <c r="H4518">
        <v>0</v>
      </c>
      <c r="I4518">
        <v>0</v>
      </c>
      <c r="J4518">
        <v>0</v>
      </c>
      <c r="K4518">
        <v>0</v>
      </c>
      <c r="L4518">
        <v>0</v>
      </c>
      <c r="M4518">
        <v>0</v>
      </c>
      <c r="N4518">
        <v>0</v>
      </c>
      <c r="O4518">
        <v>0</v>
      </c>
    </row>
    <row r="4519" spans="1:15" x14ac:dyDescent="0.35">
      <c r="A4519" t="s">
        <v>5025</v>
      </c>
      <c r="B4519" t="s">
        <v>5026</v>
      </c>
      <c r="C4519" t="s">
        <v>1644</v>
      </c>
      <c r="D4519" t="s">
        <v>314</v>
      </c>
      <c r="E4519" t="s">
        <v>300</v>
      </c>
      <c r="F4519" t="s">
        <v>5040</v>
      </c>
      <c r="G4519">
        <v>0</v>
      </c>
      <c r="H4519">
        <v>0</v>
      </c>
      <c r="I4519">
        <v>0</v>
      </c>
      <c r="J4519">
        <v>0</v>
      </c>
      <c r="K4519">
        <v>0</v>
      </c>
      <c r="L4519">
        <v>0</v>
      </c>
      <c r="M4519">
        <v>0</v>
      </c>
      <c r="N4519">
        <v>0</v>
      </c>
      <c r="O4519">
        <v>0</v>
      </c>
    </row>
    <row r="4520" spans="1:15" x14ac:dyDescent="0.35">
      <c r="A4520" t="s">
        <v>5025</v>
      </c>
      <c r="B4520" t="s">
        <v>5026</v>
      </c>
      <c r="C4520" t="s">
        <v>1644</v>
      </c>
      <c r="D4520" t="s">
        <v>314</v>
      </c>
      <c r="E4520" t="s">
        <v>306</v>
      </c>
      <c r="F4520" t="s">
        <v>5041</v>
      </c>
      <c r="G4520">
        <v>0</v>
      </c>
      <c r="H4520">
        <v>0</v>
      </c>
      <c r="I4520">
        <v>0</v>
      </c>
      <c r="J4520">
        <v>0</v>
      </c>
      <c r="K4520">
        <v>0</v>
      </c>
      <c r="L4520">
        <v>0</v>
      </c>
      <c r="M4520">
        <v>0</v>
      </c>
      <c r="N4520">
        <v>0</v>
      </c>
      <c r="O4520">
        <v>0</v>
      </c>
    </row>
    <row r="4521" spans="1:15" x14ac:dyDescent="0.35">
      <c r="A4521" t="s">
        <v>5025</v>
      </c>
      <c r="B4521" t="s">
        <v>5026</v>
      </c>
      <c r="C4521" t="s">
        <v>1644</v>
      </c>
      <c r="D4521" t="s">
        <v>314</v>
      </c>
      <c r="E4521" t="s">
        <v>308</v>
      </c>
      <c r="F4521" t="s">
        <v>5042</v>
      </c>
      <c r="G4521">
        <v>1</v>
      </c>
      <c r="H4521">
        <v>197.77</v>
      </c>
      <c r="I4521">
        <v>197.77</v>
      </c>
      <c r="J4521">
        <v>0</v>
      </c>
      <c r="K4521">
        <v>0</v>
      </c>
      <c r="L4521">
        <v>0</v>
      </c>
      <c r="M4521">
        <v>1</v>
      </c>
      <c r="N4521">
        <v>197.77</v>
      </c>
      <c r="O4521">
        <v>197.77</v>
      </c>
    </row>
    <row r="4522" spans="1:15" x14ac:dyDescent="0.35">
      <c r="A4522" t="s">
        <v>5025</v>
      </c>
      <c r="B4522" t="s">
        <v>5026</v>
      </c>
      <c r="C4522" t="s">
        <v>1644</v>
      </c>
      <c r="D4522" t="s">
        <v>314</v>
      </c>
      <c r="E4522" t="s">
        <v>312</v>
      </c>
      <c r="F4522" t="s">
        <v>5043</v>
      </c>
      <c r="G4522">
        <v>53</v>
      </c>
      <c r="H4522">
        <v>19479.309999999998</v>
      </c>
      <c r="I4522">
        <v>367.53</v>
      </c>
      <c r="J4522">
        <v>0</v>
      </c>
      <c r="K4522">
        <v>0</v>
      </c>
      <c r="L4522">
        <v>0</v>
      </c>
      <c r="M4522">
        <v>53</v>
      </c>
      <c r="N4522">
        <v>19479.309999999998</v>
      </c>
      <c r="O4522">
        <v>367.53</v>
      </c>
    </row>
    <row r="4523" spans="1:15" x14ac:dyDescent="0.35">
      <c r="A4523" t="s">
        <v>5025</v>
      </c>
      <c r="B4523" t="s">
        <v>5026</v>
      </c>
      <c r="C4523" t="s">
        <v>1644</v>
      </c>
      <c r="D4523" t="s">
        <v>314</v>
      </c>
      <c r="E4523" t="s">
        <v>310</v>
      </c>
      <c r="F4523" t="s">
        <v>5044</v>
      </c>
      <c r="G4523">
        <v>54</v>
      </c>
      <c r="H4523">
        <v>19677.079999999998</v>
      </c>
      <c r="I4523">
        <v>364.39</v>
      </c>
      <c r="J4523">
        <v>0</v>
      </c>
      <c r="K4523">
        <v>0</v>
      </c>
      <c r="L4523">
        <v>0</v>
      </c>
      <c r="M4523">
        <v>54</v>
      </c>
      <c r="N4523">
        <v>19677.079999999998</v>
      </c>
      <c r="O4523">
        <v>364.39</v>
      </c>
    </row>
    <row r="4524" spans="1:15" x14ac:dyDescent="0.35">
      <c r="A4524" t="s">
        <v>5025</v>
      </c>
      <c r="B4524" t="s">
        <v>5026</v>
      </c>
      <c r="C4524" t="s">
        <v>1644</v>
      </c>
      <c r="D4524" t="s">
        <v>323</v>
      </c>
      <c r="E4524" t="s">
        <v>294</v>
      </c>
      <c r="F4524" t="s">
        <v>5045</v>
      </c>
      <c r="G4524">
        <v>413</v>
      </c>
      <c r="H4524">
        <v>47065.78</v>
      </c>
      <c r="I4524">
        <v>113.96</v>
      </c>
      <c r="J4524">
        <v>1181</v>
      </c>
      <c r="K4524">
        <v>122351.59999999999</v>
      </c>
      <c r="L4524">
        <v>103.6</v>
      </c>
      <c r="M4524">
        <v>1594</v>
      </c>
      <c r="N4524">
        <v>169417.38</v>
      </c>
      <c r="O4524">
        <v>106.28</v>
      </c>
    </row>
    <row r="4525" spans="1:15" x14ac:dyDescent="0.35">
      <c r="A4525" t="s">
        <v>5025</v>
      </c>
      <c r="B4525" t="s">
        <v>5026</v>
      </c>
      <c r="C4525" t="s">
        <v>1644</v>
      </c>
      <c r="D4525" t="s">
        <v>323</v>
      </c>
      <c r="E4525" t="s">
        <v>296</v>
      </c>
      <c r="F4525" t="s">
        <v>5046</v>
      </c>
      <c r="G4525">
        <v>1032</v>
      </c>
      <c r="H4525">
        <v>138982.20000000001</v>
      </c>
      <c r="I4525">
        <v>134.66999999999999</v>
      </c>
      <c r="J4525">
        <v>1654</v>
      </c>
      <c r="K4525">
        <v>202466.13999999998</v>
      </c>
      <c r="L4525">
        <v>122.41</v>
      </c>
      <c r="M4525">
        <v>2686</v>
      </c>
      <c r="N4525">
        <v>341448.33999999997</v>
      </c>
      <c r="O4525">
        <v>127.12</v>
      </c>
    </row>
    <row r="4526" spans="1:15" x14ac:dyDescent="0.35">
      <c r="A4526" t="s">
        <v>5025</v>
      </c>
      <c r="B4526" t="s">
        <v>5026</v>
      </c>
      <c r="C4526" t="s">
        <v>1644</v>
      </c>
      <c r="D4526" t="s">
        <v>323</v>
      </c>
      <c r="E4526" t="s">
        <v>298</v>
      </c>
      <c r="F4526" t="s">
        <v>5047</v>
      </c>
      <c r="G4526">
        <v>926</v>
      </c>
      <c r="H4526">
        <v>140320.77000000002</v>
      </c>
      <c r="I4526">
        <v>151.53</v>
      </c>
      <c r="J4526">
        <v>1941</v>
      </c>
      <c r="K4526">
        <v>265684.08</v>
      </c>
      <c r="L4526">
        <v>136.88</v>
      </c>
      <c r="M4526">
        <v>2867</v>
      </c>
      <c r="N4526">
        <v>406004.85000000003</v>
      </c>
      <c r="O4526">
        <v>141.61000000000001</v>
      </c>
    </row>
    <row r="4527" spans="1:15" x14ac:dyDescent="0.35">
      <c r="A4527" t="s">
        <v>5025</v>
      </c>
      <c r="B4527" t="s">
        <v>5026</v>
      </c>
      <c r="C4527" t="s">
        <v>1644</v>
      </c>
      <c r="D4527" t="s">
        <v>323</v>
      </c>
      <c r="E4527" t="s">
        <v>300</v>
      </c>
      <c r="F4527" t="s">
        <v>5048</v>
      </c>
      <c r="G4527">
        <v>85</v>
      </c>
      <c r="H4527">
        <v>14292.91</v>
      </c>
      <c r="I4527">
        <v>168.15</v>
      </c>
      <c r="J4527">
        <v>137</v>
      </c>
      <c r="K4527">
        <v>20317.100000000002</v>
      </c>
      <c r="L4527">
        <v>148.30000000000001</v>
      </c>
      <c r="M4527">
        <v>222</v>
      </c>
      <c r="N4527">
        <v>34610.01</v>
      </c>
      <c r="O4527">
        <v>155.9</v>
      </c>
    </row>
    <row r="4528" spans="1:15" x14ac:dyDescent="0.35">
      <c r="A4528" t="s">
        <v>5025</v>
      </c>
      <c r="B4528" t="s">
        <v>5026</v>
      </c>
      <c r="C4528" t="s">
        <v>1644</v>
      </c>
      <c r="D4528" t="s">
        <v>323</v>
      </c>
      <c r="E4528" t="s">
        <v>302</v>
      </c>
      <c r="F4528" t="s">
        <v>5049</v>
      </c>
      <c r="G4528">
        <v>0</v>
      </c>
      <c r="H4528">
        <v>0</v>
      </c>
      <c r="I4528">
        <v>0</v>
      </c>
      <c r="J4528">
        <v>13</v>
      </c>
      <c r="K4528">
        <v>2012.4</v>
      </c>
      <c r="L4528">
        <v>154.80000000000001</v>
      </c>
      <c r="M4528">
        <v>13</v>
      </c>
      <c r="N4528">
        <v>2012.4</v>
      </c>
      <c r="O4528">
        <v>154.80000000000001</v>
      </c>
    </row>
    <row r="4529" spans="1:15" x14ac:dyDescent="0.35">
      <c r="A4529" t="s">
        <v>5025</v>
      </c>
      <c r="B4529" t="s">
        <v>5026</v>
      </c>
      <c r="C4529" t="s">
        <v>1644</v>
      </c>
      <c r="D4529" t="s">
        <v>323</v>
      </c>
      <c r="E4529" t="s">
        <v>304</v>
      </c>
      <c r="F4529" t="s">
        <v>5050</v>
      </c>
      <c r="G4529">
        <v>0</v>
      </c>
      <c r="H4529">
        <v>0</v>
      </c>
      <c r="I4529">
        <v>0</v>
      </c>
      <c r="J4529">
        <v>3</v>
      </c>
      <c r="K4529">
        <v>538.77</v>
      </c>
      <c r="L4529">
        <v>179.59</v>
      </c>
      <c r="M4529">
        <v>3</v>
      </c>
      <c r="N4529">
        <v>538.77</v>
      </c>
      <c r="O4529">
        <v>179.59</v>
      </c>
    </row>
    <row r="4530" spans="1:15" x14ac:dyDescent="0.35">
      <c r="A4530" t="s">
        <v>5025</v>
      </c>
      <c r="B4530" t="s">
        <v>5026</v>
      </c>
      <c r="C4530" t="s">
        <v>1644</v>
      </c>
      <c r="D4530" t="s">
        <v>323</v>
      </c>
      <c r="E4530" t="s">
        <v>306</v>
      </c>
      <c r="F4530" t="s">
        <v>5051</v>
      </c>
      <c r="G4530">
        <v>2</v>
      </c>
      <c r="H4530">
        <v>200.96</v>
      </c>
      <c r="I4530">
        <v>100.48</v>
      </c>
      <c r="J4530">
        <v>180</v>
      </c>
      <c r="K4530">
        <v>14610.6</v>
      </c>
      <c r="L4530">
        <v>81.17</v>
      </c>
      <c r="M4530">
        <v>182</v>
      </c>
      <c r="N4530">
        <v>14811.56</v>
      </c>
      <c r="O4530">
        <v>81.38</v>
      </c>
    </row>
    <row r="4531" spans="1:15" x14ac:dyDescent="0.35">
      <c r="A4531" t="s">
        <v>5025</v>
      </c>
      <c r="B4531" t="s">
        <v>5026</v>
      </c>
      <c r="C4531" t="s">
        <v>1644</v>
      </c>
      <c r="D4531" t="s">
        <v>323</v>
      </c>
      <c r="E4531" t="s">
        <v>308</v>
      </c>
      <c r="F4531" t="s">
        <v>5052</v>
      </c>
      <c r="G4531">
        <v>8</v>
      </c>
      <c r="H4531">
        <v>904.32</v>
      </c>
      <c r="I4531">
        <v>113.04</v>
      </c>
      <c r="J4531">
        <v>70</v>
      </c>
      <c r="K4531">
        <v>7007</v>
      </c>
      <c r="L4531">
        <v>100.1</v>
      </c>
      <c r="M4531">
        <v>78</v>
      </c>
      <c r="N4531">
        <v>7911.32</v>
      </c>
      <c r="O4531">
        <v>101.43</v>
      </c>
    </row>
    <row r="4532" spans="1:15" x14ac:dyDescent="0.35">
      <c r="A4532" t="s">
        <v>5025</v>
      </c>
      <c r="B4532" t="s">
        <v>5026</v>
      </c>
      <c r="C4532" t="s">
        <v>1644</v>
      </c>
      <c r="D4532" t="s">
        <v>323</v>
      </c>
      <c r="E4532" t="s">
        <v>310</v>
      </c>
      <c r="F4532" t="s">
        <v>5053</v>
      </c>
      <c r="G4532">
        <v>2466</v>
      </c>
      <c r="H4532">
        <v>341766.94</v>
      </c>
      <c r="I4532">
        <v>138.59</v>
      </c>
      <c r="J4532">
        <v>5179</v>
      </c>
      <c r="K4532">
        <v>634987.69000000006</v>
      </c>
      <c r="L4532">
        <v>122.61</v>
      </c>
      <c r="M4532">
        <v>7645</v>
      </c>
      <c r="N4532">
        <v>976754.63000000012</v>
      </c>
      <c r="O4532">
        <v>127.76</v>
      </c>
    </row>
    <row r="4533" spans="1:15" x14ac:dyDescent="0.35">
      <c r="A4533" t="s">
        <v>5025</v>
      </c>
      <c r="B4533" t="s">
        <v>5026</v>
      </c>
      <c r="C4533" t="s">
        <v>1644</v>
      </c>
      <c r="D4533" t="s">
        <v>323</v>
      </c>
      <c r="E4533" t="s">
        <v>312</v>
      </c>
      <c r="F4533" t="s">
        <v>5054</v>
      </c>
      <c r="G4533">
        <v>2458</v>
      </c>
      <c r="H4533">
        <v>340862.62</v>
      </c>
      <c r="I4533">
        <v>138.66999999999999</v>
      </c>
      <c r="J4533">
        <v>5109</v>
      </c>
      <c r="K4533">
        <v>627980.69000000006</v>
      </c>
      <c r="L4533">
        <v>122.92</v>
      </c>
      <c r="M4533">
        <v>7567</v>
      </c>
      <c r="N4533">
        <v>968843.31</v>
      </c>
      <c r="O4533">
        <v>128.04</v>
      </c>
    </row>
    <row r="4534" spans="1:15" x14ac:dyDescent="0.35">
      <c r="A4534" t="s">
        <v>5025</v>
      </c>
      <c r="B4534" t="s">
        <v>5026</v>
      </c>
      <c r="C4534" t="s">
        <v>1644</v>
      </c>
      <c r="D4534" t="s">
        <v>334</v>
      </c>
      <c r="E4534" t="s">
        <v>312</v>
      </c>
      <c r="F4534" t="s">
        <v>5055</v>
      </c>
      <c r="G4534">
        <v>2901</v>
      </c>
      <c r="H4534">
        <v>399876.43000000005</v>
      </c>
      <c r="I4534">
        <v>143.69</v>
      </c>
      <c r="J4534">
        <v>5167</v>
      </c>
      <c r="K4534">
        <v>639103.5</v>
      </c>
      <c r="L4534">
        <v>123.69</v>
      </c>
      <c r="M4534">
        <v>8068</v>
      </c>
      <c r="N4534">
        <v>1038979.93</v>
      </c>
      <c r="O4534">
        <v>130.69</v>
      </c>
    </row>
    <row r="4535" spans="1:15" x14ac:dyDescent="0.35">
      <c r="A4535" t="s">
        <v>5025</v>
      </c>
      <c r="B4535" t="s">
        <v>5026</v>
      </c>
      <c r="C4535" t="s">
        <v>1644</v>
      </c>
      <c r="D4535" t="s">
        <v>334</v>
      </c>
      <c r="E4535" t="s">
        <v>308</v>
      </c>
      <c r="F4535" t="s">
        <v>5056</v>
      </c>
      <c r="G4535">
        <v>8</v>
      </c>
      <c r="H4535">
        <v>904.32</v>
      </c>
      <c r="I4535">
        <v>113.04</v>
      </c>
      <c r="J4535">
        <v>70</v>
      </c>
      <c r="K4535">
        <v>7007</v>
      </c>
      <c r="L4535">
        <v>100.1</v>
      </c>
      <c r="M4535">
        <v>78</v>
      </c>
      <c r="N4535">
        <v>7911.32</v>
      </c>
      <c r="O4535">
        <v>101.43</v>
      </c>
    </row>
    <row r="4536" spans="1:15" x14ac:dyDescent="0.35">
      <c r="A4536" t="s">
        <v>5025</v>
      </c>
      <c r="B4536" t="s">
        <v>5026</v>
      </c>
      <c r="C4536" t="s">
        <v>1644</v>
      </c>
      <c r="D4536" t="s">
        <v>337</v>
      </c>
      <c r="E4536" t="s">
        <v>337</v>
      </c>
      <c r="F4536" t="s">
        <v>5057</v>
      </c>
      <c r="G4536">
        <v>436</v>
      </c>
      <c r="J4536">
        <v>14</v>
      </c>
      <c r="M4536">
        <v>450</v>
      </c>
    </row>
    <row r="4537" spans="1:15" x14ac:dyDescent="0.35">
      <c r="A4537" t="s">
        <v>5025</v>
      </c>
      <c r="B4537" t="s">
        <v>5026</v>
      </c>
      <c r="C4537" t="s">
        <v>1644</v>
      </c>
      <c r="D4537" t="s">
        <v>339</v>
      </c>
      <c r="E4537" t="s">
        <v>294</v>
      </c>
      <c r="F4537" t="s">
        <v>5058</v>
      </c>
      <c r="G4537">
        <v>233</v>
      </c>
      <c r="H4537">
        <v>31543.720000000005</v>
      </c>
      <c r="I4537">
        <v>135.38</v>
      </c>
      <c r="J4537">
        <v>0</v>
      </c>
      <c r="K4537">
        <v>0</v>
      </c>
      <c r="L4537">
        <v>0</v>
      </c>
      <c r="M4537">
        <v>233</v>
      </c>
      <c r="N4537">
        <v>31543.720000000005</v>
      </c>
      <c r="O4537">
        <v>135.38</v>
      </c>
    </row>
    <row r="4538" spans="1:15" x14ac:dyDescent="0.35">
      <c r="A4538" t="s">
        <v>5025</v>
      </c>
      <c r="B4538" t="s">
        <v>5026</v>
      </c>
      <c r="C4538" t="s">
        <v>1644</v>
      </c>
      <c r="D4538" t="s">
        <v>339</v>
      </c>
      <c r="E4538" t="s">
        <v>296</v>
      </c>
      <c r="F4538" t="s">
        <v>5059</v>
      </c>
      <c r="G4538">
        <v>23</v>
      </c>
      <c r="H4538">
        <v>3608.6899999999996</v>
      </c>
      <c r="I4538">
        <v>156.9</v>
      </c>
      <c r="J4538">
        <v>0</v>
      </c>
      <c r="K4538">
        <v>0</v>
      </c>
      <c r="L4538">
        <v>0</v>
      </c>
      <c r="M4538">
        <v>23</v>
      </c>
      <c r="N4538">
        <v>3608.6899999999996</v>
      </c>
      <c r="O4538">
        <v>156.9</v>
      </c>
    </row>
    <row r="4539" spans="1:15" x14ac:dyDescent="0.35">
      <c r="A4539" t="s">
        <v>5025</v>
      </c>
      <c r="B4539" t="s">
        <v>5026</v>
      </c>
      <c r="C4539" t="s">
        <v>1644</v>
      </c>
      <c r="D4539" t="s">
        <v>339</v>
      </c>
      <c r="E4539" t="s">
        <v>298</v>
      </c>
      <c r="F4539" t="s">
        <v>5060</v>
      </c>
      <c r="G4539">
        <v>5</v>
      </c>
      <c r="H4539">
        <v>850.2</v>
      </c>
      <c r="I4539">
        <v>170.04</v>
      </c>
      <c r="J4539">
        <v>0</v>
      </c>
      <c r="K4539">
        <v>0</v>
      </c>
      <c r="L4539">
        <v>0</v>
      </c>
      <c r="M4539">
        <v>5</v>
      </c>
      <c r="N4539">
        <v>850.2</v>
      </c>
      <c r="O4539">
        <v>170.04</v>
      </c>
    </row>
    <row r="4540" spans="1:15" x14ac:dyDescent="0.35">
      <c r="A4540" t="s">
        <v>5025</v>
      </c>
      <c r="B4540" t="s">
        <v>5026</v>
      </c>
      <c r="C4540" t="s">
        <v>1644</v>
      </c>
      <c r="D4540" t="s">
        <v>339</v>
      </c>
      <c r="E4540" t="s">
        <v>300</v>
      </c>
      <c r="F4540" t="s">
        <v>5061</v>
      </c>
      <c r="G4540">
        <v>0</v>
      </c>
      <c r="H4540">
        <v>0</v>
      </c>
      <c r="I4540">
        <v>0</v>
      </c>
      <c r="J4540">
        <v>0</v>
      </c>
      <c r="K4540">
        <v>0</v>
      </c>
      <c r="L4540">
        <v>0</v>
      </c>
      <c r="M4540">
        <v>0</v>
      </c>
      <c r="N4540">
        <v>0</v>
      </c>
      <c r="O4540">
        <v>0</v>
      </c>
    </row>
    <row r="4541" spans="1:15" x14ac:dyDescent="0.35">
      <c r="A4541" t="s">
        <v>5025</v>
      </c>
      <c r="B4541" t="s">
        <v>5026</v>
      </c>
      <c r="C4541" t="s">
        <v>1644</v>
      </c>
      <c r="D4541" t="s">
        <v>339</v>
      </c>
      <c r="E4541" t="s">
        <v>306</v>
      </c>
      <c r="F4541" t="s">
        <v>5062</v>
      </c>
      <c r="G4541">
        <v>101</v>
      </c>
      <c r="H4541">
        <v>10560.66</v>
      </c>
      <c r="I4541">
        <v>104.56</v>
      </c>
      <c r="J4541">
        <v>0</v>
      </c>
      <c r="K4541">
        <v>0</v>
      </c>
      <c r="L4541">
        <v>0</v>
      </c>
      <c r="M4541">
        <v>101</v>
      </c>
      <c r="N4541">
        <v>10560.66</v>
      </c>
      <c r="O4541">
        <v>104.56</v>
      </c>
    </row>
    <row r="4542" spans="1:15" x14ac:dyDescent="0.35">
      <c r="A4542" t="s">
        <v>5025</v>
      </c>
      <c r="B4542" t="s">
        <v>5026</v>
      </c>
      <c r="C4542" t="s">
        <v>1644</v>
      </c>
      <c r="D4542" t="s">
        <v>339</v>
      </c>
      <c r="E4542" t="s">
        <v>308</v>
      </c>
      <c r="F4542" t="s">
        <v>5063</v>
      </c>
      <c r="G4542">
        <v>84</v>
      </c>
      <c r="H4542">
        <v>10739.919999999998</v>
      </c>
      <c r="I4542">
        <v>127.86</v>
      </c>
      <c r="J4542">
        <v>0</v>
      </c>
      <c r="K4542">
        <v>0</v>
      </c>
      <c r="L4542">
        <v>0</v>
      </c>
      <c r="M4542">
        <v>84</v>
      </c>
      <c r="N4542">
        <v>10739.919999999998</v>
      </c>
      <c r="O4542">
        <v>127.86</v>
      </c>
    </row>
    <row r="4543" spans="1:15" x14ac:dyDescent="0.35">
      <c r="A4543" t="s">
        <v>5025</v>
      </c>
      <c r="B4543" t="s">
        <v>5026</v>
      </c>
      <c r="C4543" t="s">
        <v>1644</v>
      </c>
      <c r="D4543" t="s">
        <v>339</v>
      </c>
      <c r="E4543" t="s">
        <v>310</v>
      </c>
      <c r="F4543" t="s">
        <v>5064</v>
      </c>
      <c r="G4543">
        <v>446</v>
      </c>
      <c r="H4543">
        <v>57303.19</v>
      </c>
      <c r="I4543">
        <v>128.47999999999999</v>
      </c>
      <c r="J4543">
        <v>0</v>
      </c>
      <c r="K4543">
        <v>0</v>
      </c>
      <c r="L4543">
        <v>0</v>
      </c>
      <c r="M4543">
        <v>446</v>
      </c>
      <c r="N4543">
        <v>57303.19</v>
      </c>
      <c r="O4543">
        <v>128.47999999999999</v>
      </c>
    </row>
    <row r="4544" spans="1:15" x14ac:dyDescent="0.35">
      <c r="A4544" t="s">
        <v>5025</v>
      </c>
      <c r="B4544" t="s">
        <v>5026</v>
      </c>
      <c r="C4544" t="s">
        <v>1644</v>
      </c>
      <c r="D4544" t="s">
        <v>339</v>
      </c>
      <c r="E4544" t="s">
        <v>312</v>
      </c>
      <c r="F4544" t="s">
        <v>5065</v>
      </c>
      <c r="G4544">
        <v>362</v>
      </c>
      <c r="H4544">
        <v>46563.270000000004</v>
      </c>
      <c r="I4544">
        <v>128.63</v>
      </c>
      <c r="J4544">
        <v>0</v>
      </c>
      <c r="K4544">
        <v>0</v>
      </c>
      <c r="L4544">
        <v>0</v>
      </c>
      <c r="M4544">
        <v>362</v>
      </c>
      <c r="N4544">
        <v>46563.270000000004</v>
      </c>
      <c r="O4544">
        <v>128.63</v>
      </c>
    </row>
    <row r="4545" spans="1:15" x14ac:dyDescent="0.35">
      <c r="A4545" t="s">
        <v>5025</v>
      </c>
      <c r="B4545" t="s">
        <v>5026</v>
      </c>
      <c r="C4545" t="s">
        <v>1644</v>
      </c>
      <c r="D4545" t="s">
        <v>348</v>
      </c>
      <c r="E4545" t="s">
        <v>349</v>
      </c>
      <c r="F4545" t="s">
        <v>5066</v>
      </c>
      <c r="G4545">
        <v>614</v>
      </c>
      <c r="H4545">
        <v>76980.27</v>
      </c>
      <c r="I4545">
        <v>153.96</v>
      </c>
      <c r="J4545">
        <v>0</v>
      </c>
      <c r="K4545">
        <v>0</v>
      </c>
      <c r="L4545">
        <v>0</v>
      </c>
      <c r="M4545">
        <v>614</v>
      </c>
      <c r="N4545">
        <v>76980.27</v>
      </c>
      <c r="O4545">
        <v>153.96</v>
      </c>
    </row>
    <row r="4546" spans="1:15" x14ac:dyDescent="0.35">
      <c r="A4546" t="s">
        <v>5067</v>
      </c>
      <c r="B4546" t="s">
        <v>5068</v>
      </c>
      <c r="C4546" t="s">
        <v>1644</v>
      </c>
      <c r="D4546" t="s">
        <v>293</v>
      </c>
      <c r="E4546" t="s">
        <v>294</v>
      </c>
      <c r="F4546" t="s">
        <v>5069</v>
      </c>
      <c r="G4546">
        <v>375</v>
      </c>
      <c r="H4546">
        <v>59927.289999999994</v>
      </c>
      <c r="I4546">
        <v>159.81</v>
      </c>
      <c r="J4546">
        <v>0</v>
      </c>
      <c r="K4546">
        <v>0</v>
      </c>
      <c r="L4546">
        <v>0</v>
      </c>
      <c r="M4546">
        <v>375</v>
      </c>
      <c r="N4546">
        <v>59927.289999999994</v>
      </c>
      <c r="O4546">
        <v>159.81</v>
      </c>
    </row>
    <row r="4547" spans="1:15" x14ac:dyDescent="0.35">
      <c r="A4547" t="s">
        <v>5067</v>
      </c>
      <c r="B4547" t="s">
        <v>5068</v>
      </c>
      <c r="C4547" t="s">
        <v>1644</v>
      </c>
      <c r="D4547" t="s">
        <v>293</v>
      </c>
      <c r="E4547" t="s">
        <v>296</v>
      </c>
      <c r="F4547" t="s">
        <v>5070</v>
      </c>
      <c r="G4547">
        <v>602</v>
      </c>
      <c r="H4547">
        <v>118608.54000000001</v>
      </c>
      <c r="I4547">
        <v>197.02</v>
      </c>
      <c r="J4547">
        <v>0</v>
      </c>
      <c r="K4547">
        <v>0</v>
      </c>
      <c r="L4547">
        <v>0</v>
      </c>
      <c r="M4547">
        <v>602</v>
      </c>
      <c r="N4547">
        <v>118608.54000000001</v>
      </c>
      <c r="O4547">
        <v>197.02</v>
      </c>
    </row>
    <row r="4548" spans="1:15" x14ac:dyDescent="0.35">
      <c r="A4548" t="s">
        <v>5067</v>
      </c>
      <c r="B4548" t="s">
        <v>5068</v>
      </c>
      <c r="C4548" t="s">
        <v>1644</v>
      </c>
      <c r="D4548" t="s">
        <v>293</v>
      </c>
      <c r="E4548" t="s">
        <v>298</v>
      </c>
      <c r="F4548" t="s">
        <v>5071</v>
      </c>
      <c r="G4548">
        <v>288</v>
      </c>
      <c r="H4548">
        <v>72450.929999999993</v>
      </c>
      <c r="I4548">
        <v>251.57</v>
      </c>
      <c r="J4548">
        <v>0</v>
      </c>
      <c r="K4548">
        <v>0</v>
      </c>
      <c r="L4548">
        <v>0</v>
      </c>
      <c r="M4548">
        <v>288</v>
      </c>
      <c r="N4548">
        <v>72450.929999999993</v>
      </c>
      <c r="O4548">
        <v>251.57</v>
      </c>
    </row>
    <row r="4549" spans="1:15" x14ac:dyDescent="0.35">
      <c r="A4549" t="s">
        <v>5067</v>
      </c>
      <c r="B4549" t="s">
        <v>5068</v>
      </c>
      <c r="C4549" t="s">
        <v>1644</v>
      </c>
      <c r="D4549" t="s">
        <v>293</v>
      </c>
      <c r="E4549" t="s">
        <v>300</v>
      </c>
      <c r="F4549" t="s">
        <v>5072</v>
      </c>
      <c r="G4549">
        <v>70</v>
      </c>
      <c r="H4549">
        <v>21423.690000000002</v>
      </c>
      <c r="I4549">
        <v>306.05</v>
      </c>
      <c r="J4549">
        <v>0</v>
      </c>
      <c r="K4549">
        <v>0</v>
      </c>
      <c r="L4549">
        <v>0</v>
      </c>
      <c r="M4549">
        <v>70</v>
      </c>
      <c r="N4549">
        <v>21423.690000000002</v>
      </c>
      <c r="O4549">
        <v>306.05</v>
      </c>
    </row>
    <row r="4550" spans="1:15" x14ac:dyDescent="0.35">
      <c r="A4550" t="s">
        <v>5067</v>
      </c>
      <c r="B4550" t="s">
        <v>5068</v>
      </c>
      <c r="C4550" t="s">
        <v>1644</v>
      </c>
      <c r="D4550" t="s">
        <v>293</v>
      </c>
      <c r="E4550" t="s">
        <v>302</v>
      </c>
      <c r="F4550" t="s">
        <v>5073</v>
      </c>
      <c r="G4550">
        <v>0</v>
      </c>
      <c r="H4550">
        <v>0</v>
      </c>
      <c r="I4550">
        <v>0</v>
      </c>
      <c r="J4550">
        <v>0</v>
      </c>
      <c r="K4550">
        <v>0</v>
      </c>
      <c r="L4550">
        <v>0</v>
      </c>
      <c r="M4550">
        <v>0</v>
      </c>
      <c r="N4550">
        <v>0</v>
      </c>
      <c r="O4550">
        <v>0</v>
      </c>
    </row>
    <row r="4551" spans="1:15" x14ac:dyDescent="0.35">
      <c r="A4551" t="s">
        <v>5067</v>
      </c>
      <c r="B4551" t="s">
        <v>5068</v>
      </c>
      <c r="C4551" t="s">
        <v>1644</v>
      </c>
      <c r="D4551" t="s">
        <v>293</v>
      </c>
      <c r="E4551" t="s">
        <v>304</v>
      </c>
      <c r="F4551" t="s">
        <v>5074</v>
      </c>
      <c r="G4551">
        <v>0</v>
      </c>
      <c r="H4551">
        <v>0</v>
      </c>
      <c r="I4551">
        <v>0</v>
      </c>
      <c r="J4551">
        <v>0</v>
      </c>
      <c r="K4551">
        <v>0</v>
      </c>
      <c r="L4551">
        <v>0</v>
      </c>
      <c r="M4551">
        <v>0</v>
      </c>
      <c r="N4551">
        <v>0</v>
      </c>
      <c r="O4551">
        <v>0</v>
      </c>
    </row>
    <row r="4552" spans="1:15" x14ac:dyDescent="0.35">
      <c r="A4552" t="s">
        <v>5067</v>
      </c>
      <c r="B4552" t="s">
        <v>5068</v>
      </c>
      <c r="C4552" t="s">
        <v>1644</v>
      </c>
      <c r="D4552" t="s">
        <v>293</v>
      </c>
      <c r="E4552" t="s">
        <v>306</v>
      </c>
      <c r="F4552" t="s">
        <v>5075</v>
      </c>
      <c r="G4552">
        <v>0</v>
      </c>
      <c r="H4552">
        <v>0</v>
      </c>
      <c r="I4552">
        <v>0</v>
      </c>
      <c r="J4552">
        <v>0</v>
      </c>
      <c r="K4552">
        <v>0</v>
      </c>
      <c r="L4552">
        <v>0</v>
      </c>
      <c r="M4552">
        <v>0</v>
      </c>
      <c r="N4552">
        <v>0</v>
      </c>
      <c r="O4552">
        <v>0</v>
      </c>
    </row>
    <row r="4553" spans="1:15" x14ac:dyDescent="0.35">
      <c r="A4553" t="s">
        <v>5067</v>
      </c>
      <c r="B4553" t="s">
        <v>5068</v>
      </c>
      <c r="C4553" t="s">
        <v>1644</v>
      </c>
      <c r="D4553" t="s">
        <v>293</v>
      </c>
      <c r="E4553" t="s">
        <v>308</v>
      </c>
      <c r="F4553" t="s">
        <v>5076</v>
      </c>
      <c r="G4553">
        <v>0</v>
      </c>
      <c r="H4553">
        <v>0</v>
      </c>
      <c r="I4553">
        <v>0</v>
      </c>
      <c r="J4553">
        <v>0</v>
      </c>
      <c r="K4553">
        <v>0</v>
      </c>
      <c r="L4553">
        <v>0</v>
      </c>
      <c r="M4553">
        <v>0</v>
      </c>
      <c r="N4553">
        <v>0</v>
      </c>
      <c r="O4553">
        <v>0</v>
      </c>
    </row>
    <row r="4554" spans="1:15" x14ac:dyDescent="0.35">
      <c r="A4554" t="s">
        <v>5067</v>
      </c>
      <c r="B4554" t="s">
        <v>5068</v>
      </c>
      <c r="C4554" t="s">
        <v>1644</v>
      </c>
      <c r="D4554" t="s">
        <v>293</v>
      </c>
      <c r="E4554" t="s">
        <v>310</v>
      </c>
      <c r="F4554" t="s">
        <v>5077</v>
      </c>
      <c r="G4554">
        <v>1335</v>
      </c>
      <c r="H4554">
        <v>272410.45</v>
      </c>
      <c r="I4554">
        <v>204.05</v>
      </c>
      <c r="J4554">
        <v>0</v>
      </c>
      <c r="K4554">
        <v>0</v>
      </c>
      <c r="L4554">
        <v>0</v>
      </c>
      <c r="M4554">
        <v>1335</v>
      </c>
      <c r="N4554">
        <v>272410.45</v>
      </c>
      <c r="O4554">
        <v>204.05</v>
      </c>
    </row>
    <row r="4555" spans="1:15" x14ac:dyDescent="0.35">
      <c r="A4555" t="s">
        <v>5067</v>
      </c>
      <c r="B4555" t="s">
        <v>5068</v>
      </c>
      <c r="C4555" t="s">
        <v>1644</v>
      </c>
      <c r="D4555" t="s">
        <v>293</v>
      </c>
      <c r="E4555" t="s">
        <v>312</v>
      </c>
      <c r="F4555" t="s">
        <v>5078</v>
      </c>
      <c r="G4555">
        <v>1335</v>
      </c>
      <c r="H4555">
        <v>272410.45</v>
      </c>
      <c r="I4555">
        <v>204.05</v>
      </c>
      <c r="J4555">
        <v>0</v>
      </c>
      <c r="K4555">
        <v>0</v>
      </c>
      <c r="L4555">
        <v>0</v>
      </c>
      <c r="M4555">
        <v>1335</v>
      </c>
      <c r="N4555">
        <v>272410.45</v>
      </c>
      <c r="O4555">
        <v>204.05</v>
      </c>
    </row>
    <row r="4556" spans="1:15" x14ac:dyDescent="0.35">
      <c r="A4556" t="s">
        <v>5067</v>
      </c>
      <c r="B4556" t="s">
        <v>5068</v>
      </c>
      <c r="C4556" t="s">
        <v>1644</v>
      </c>
      <c r="D4556" t="s">
        <v>314</v>
      </c>
      <c r="E4556" t="s">
        <v>294</v>
      </c>
      <c r="F4556" t="s">
        <v>5079</v>
      </c>
      <c r="G4556">
        <v>32</v>
      </c>
      <c r="H4556">
        <v>4555.47</v>
      </c>
      <c r="I4556">
        <v>142.36000000000001</v>
      </c>
      <c r="J4556">
        <v>0</v>
      </c>
      <c r="K4556">
        <v>0</v>
      </c>
      <c r="L4556">
        <v>0</v>
      </c>
      <c r="M4556">
        <v>32</v>
      </c>
      <c r="N4556">
        <v>4555.47</v>
      </c>
      <c r="O4556">
        <v>142.36000000000001</v>
      </c>
    </row>
    <row r="4557" spans="1:15" x14ac:dyDescent="0.35">
      <c r="A4557" t="s">
        <v>5067</v>
      </c>
      <c r="B4557" t="s">
        <v>5068</v>
      </c>
      <c r="C4557" t="s">
        <v>1644</v>
      </c>
      <c r="D4557" t="s">
        <v>314</v>
      </c>
      <c r="E4557" t="s">
        <v>296</v>
      </c>
      <c r="F4557" t="s">
        <v>5080</v>
      </c>
      <c r="G4557">
        <v>4</v>
      </c>
      <c r="H4557">
        <v>746.92</v>
      </c>
      <c r="I4557">
        <v>186.73</v>
      </c>
      <c r="J4557">
        <v>0</v>
      </c>
      <c r="K4557">
        <v>0</v>
      </c>
      <c r="L4557">
        <v>0</v>
      </c>
      <c r="M4557">
        <v>4</v>
      </c>
      <c r="N4557">
        <v>746.92</v>
      </c>
      <c r="O4557">
        <v>186.73</v>
      </c>
    </row>
    <row r="4558" spans="1:15" x14ac:dyDescent="0.35">
      <c r="A4558" t="s">
        <v>5067</v>
      </c>
      <c r="B4558" t="s">
        <v>5068</v>
      </c>
      <c r="C4558" t="s">
        <v>1644</v>
      </c>
      <c r="D4558" t="s">
        <v>314</v>
      </c>
      <c r="E4558" t="s">
        <v>298</v>
      </c>
      <c r="F4558" t="s">
        <v>5081</v>
      </c>
      <c r="G4558">
        <v>2</v>
      </c>
      <c r="H4558">
        <v>437.12</v>
      </c>
      <c r="I4558">
        <v>218.56</v>
      </c>
      <c r="J4558">
        <v>0</v>
      </c>
      <c r="K4558">
        <v>0</v>
      </c>
      <c r="L4558">
        <v>0</v>
      </c>
      <c r="M4558">
        <v>2</v>
      </c>
      <c r="N4558">
        <v>437.12</v>
      </c>
      <c r="O4558">
        <v>218.56</v>
      </c>
    </row>
    <row r="4559" spans="1:15" x14ac:dyDescent="0.35">
      <c r="A4559" t="s">
        <v>5067</v>
      </c>
      <c r="B4559" t="s">
        <v>5068</v>
      </c>
      <c r="C4559" t="s">
        <v>1644</v>
      </c>
      <c r="D4559" t="s">
        <v>314</v>
      </c>
      <c r="E4559" t="s">
        <v>300</v>
      </c>
      <c r="F4559" t="s">
        <v>5082</v>
      </c>
      <c r="G4559">
        <v>0</v>
      </c>
      <c r="H4559">
        <v>0</v>
      </c>
      <c r="I4559">
        <v>0</v>
      </c>
      <c r="J4559">
        <v>0</v>
      </c>
      <c r="K4559">
        <v>0</v>
      </c>
      <c r="L4559">
        <v>0</v>
      </c>
      <c r="M4559">
        <v>0</v>
      </c>
      <c r="N4559">
        <v>0</v>
      </c>
      <c r="O4559">
        <v>0</v>
      </c>
    </row>
    <row r="4560" spans="1:15" x14ac:dyDescent="0.35">
      <c r="A4560" t="s">
        <v>5067</v>
      </c>
      <c r="B4560" t="s">
        <v>5068</v>
      </c>
      <c r="C4560" t="s">
        <v>1644</v>
      </c>
      <c r="D4560" t="s">
        <v>314</v>
      </c>
      <c r="E4560" t="s">
        <v>306</v>
      </c>
      <c r="F4560" t="s">
        <v>5083</v>
      </c>
      <c r="G4560">
        <v>0</v>
      </c>
      <c r="H4560">
        <v>0</v>
      </c>
      <c r="I4560">
        <v>0</v>
      </c>
      <c r="J4560">
        <v>0</v>
      </c>
      <c r="K4560">
        <v>0</v>
      </c>
      <c r="L4560">
        <v>0</v>
      </c>
      <c r="M4560">
        <v>0</v>
      </c>
      <c r="N4560">
        <v>0</v>
      </c>
      <c r="O4560">
        <v>0</v>
      </c>
    </row>
    <row r="4561" spans="1:15" x14ac:dyDescent="0.35">
      <c r="A4561" t="s">
        <v>5067</v>
      </c>
      <c r="B4561" t="s">
        <v>5068</v>
      </c>
      <c r="C4561" t="s">
        <v>1644</v>
      </c>
      <c r="D4561" t="s">
        <v>314</v>
      </c>
      <c r="E4561" t="s">
        <v>308</v>
      </c>
      <c r="F4561" t="s">
        <v>5084</v>
      </c>
      <c r="G4561">
        <v>0</v>
      </c>
      <c r="H4561">
        <v>0</v>
      </c>
      <c r="I4561">
        <v>0</v>
      </c>
      <c r="J4561">
        <v>0</v>
      </c>
      <c r="K4561">
        <v>0</v>
      </c>
      <c r="L4561">
        <v>0</v>
      </c>
      <c r="M4561">
        <v>0</v>
      </c>
      <c r="N4561">
        <v>0</v>
      </c>
      <c r="O4561">
        <v>0</v>
      </c>
    </row>
    <row r="4562" spans="1:15" x14ac:dyDescent="0.35">
      <c r="A4562" t="s">
        <v>5067</v>
      </c>
      <c r="B4562" t="s">
        <v>5068</v>
      </c>
      <c r="C4562" t="s">
        <v>1644</v>
      </c>
      <c r="D4562" t="s">
        <v>314</v>
      </c>
      <c r="E4562" t="s">
        <v>312</v>
      </c>
      <c r="F4562" t="s">
        <v>5085</v>
      </c>
      <c r="G4562">
        <v>38</v>
      </c>
      <c r="H4562">
        <v>5739.51</v>
      </c>
      <c r="I4562">
        <v>151.04</v>
      </c>
      <c r="J4562">
        <v>0</v>
      </c>
      <c r="K4562">
        <v>0</v>
      </c>
      <c r="L4562">
        <v>0</v>
      </c>
      <c r="M4562">
        <v>38</v>
      </c>
      <c r="N4562">
        <v>5739.51</v>
      </c>
      <c r="O4562">
        <v>151.04</v>
      </c>
    </row>
    <row r="4563" spans="1:15" x14ac:dyDescent="0.35">
      <c r="A4563" t="s">
        <v>5067</v>
      </c>
      <c r="B4563" t="s">
        <v>5068</v>
      </c>
      <c r="C4563" t="s">
        <v>1644</v>
      </c>
      <c r="D4563" t="s">
        <v>314</v>
      </c>
      <c r="E4563" t="s">
        <v>310</v>
      </c>
      <c r="F4563" t="s">
        <v>5086</v>
      </c>
      <c r="G4563">
        <v>38</v>
      </c>
      <c r="H4563">
        <v>5739.51</v>
      </c>
      <c r="I4563">
        <v>151.04</v>
      </c>
      <c r="J4563">
        <v>0</v>
      </c>
      <c r="K4563">
        <v>0</v>
      </c>
      <c r="L4563">
        <v>0</v>
      </c>
      <c r="M4563">
        <v>38</v>
      </c>
      <c r="N4563">
        <v>5739.51</v>
      </c>
      <c r="O4563">
        <v>151.04</v>
      </c>
    </row>
    <row r="4564" spans="1:15" x14ac:dyDescent="0.35">
      <c r="A4564" t="s">
        <v>5067</v>
      </c>
      <c r="B4564" t="s">
        <v>5068</v>
      </c>
      <c r="C4564" t="s">
        <v>1644</v>
      </c>
      <c r="D4564" t="s">
        <v>323</v>
      </c>
      <c r="E4564" t="s">
        <v>294</v>
      </c>
      <c r="F4564" t="s">
        <v>5087</v>
      </c>
      <c r="G4564">
        <v>1025</v>
      </c>
      <c r="H4564">
        <v>115207.76000000001</v>
      </c>
      <c r="I4564">
        <v>112.4</v>
      </c>
      <c r="J4564">
        <v>0</v>
      </c>
      <c r="K4564">
        <v>0</v>
      </c>
      <c r="L4564">
        <v>0</v>
      </c>
      <c r="M4564">
        <v>1025</v>
      </c>
      <c r="N4564">
        <v>115207.76000000001</v>
      </c>
      <c r="O4564">
        <v>112.4</v>
      </c>
    </row>
    <row r="4565" spans="1:15" x14ac:dyDescent="0.35">
      <c r="A4565" t="s">
        <v>5067</v>
      </c>
      <c r="B4565" t="s">
        <v>5068</v>
      </c>
      <c r="C4565" t="s">
        <v>1644</v>
      </c>
      <c r="D4565" t="s">
        <v>323</v>
      </c>
      <c r="E4565" t="s">
        <v>296</v>
      </c>
      <c r="F4565" t="s">
        <v>5088</v>
      </c>
      <c r="G4565">
        <v>1792</v>
      </c>
      <c r="H4565">
        <v>240059.61000000002</v>
      </c>
      <c r="I4565">
        <v>133.96</v>
      </c>
      <c r="J4565">
        <v>5</v>
      </c>
      <c r="K4565">
        <v>758.1</v>
      </c>
      <c r="L4565">
        <v>151.62</v>
      </c>
      <c r="M4565">
        <v>1797</v>
      </c>
      <c r="N4565">
        <v>240817.71000000002</v>
      </c>
      <c r="O4565">
        <v>134.01</v>
      </c>
    </row>
    <row r="4566" spans="1:15" x14ac:dyDescent="0.35">
      <c r="A4566" t="s">
        <v>5067</v>
      </c>
      <c r="B4566" t="s">
        <v>5068</v>
      </c>
      <c r="C4566" t="s">
        <v>1644</v>
      </c>
      <c r="D4566" t="s">
        <v>323</v>
      </c>
      <c r="E4566" t="s">
        <v>298</v>
      </c>
      <c r="F4566" t="s">
        <v>5089</v>
      </c>
      <c r="G4566">
        <v>1499</v>
      </c>
      <c r="H4566">
        <v>226463.37999999998</v>
      </c>
      <c r="I4566">
        <v>151.08000000000001</v>
      </c>
      <c r="J4566">
        <v>1</v>
      </c>
      <c r="K4566">
        <v>192.11</v>
      </c>
      <c r="L4566">
        <v>192.11</v>
      </c>
      <c r="M4566">
        <v>1500</v>
      </c>
      <c r="N4566">
        <v>226655.48999999996</v>
      </c>
      <c r="O4566">
        <v>151.1</v>
      </c>
    </row>
    <row r="4567" spans="1:15" x14ac:dyDescent="0.35">
      <c r="A4567" t="s">
        <v>5067</v>
      </c>
      <c r="B4567" t="s">
        <v>5068</v>
      </c>
      <c r="C4567" t="s">
        <v>1644</v>
      </c>
      <c r="D4567" t="s">
        <v>323</v>
      </c>
      <c r="E4567" t="s">
        <v>300</v>
      </c>
      <c r="F4567" t="s">
        <v>5090</v>
      </c>
      <c r="G4567">
        <v>185</v>
      </c>
      <c r="H4567">
        <v>31124.28</v>
      </c>
      <c r="I4567">
        <v>168.24</v>
      </c>
      <c r="J4567">
        <v>0</v>
      </c>
      <c r="K4567">
        <v>0</v>
      </c>
      <c r="L4567">
        <v>0</v>
      </c>
      <c r="M4567">
        <v>185</v>
      </c>
      <c r="N4567">
        <v>31124.28</v>
      </c>
      <c r="O4567">
        <v>168.24</v>
      </c>
    </row>
    <row r="4568" spans="1:15" x14ac:dyDescent="0.35">
      <c r="A4568" t="s">
        <v>5067</v>
      </c>
      <c r="B4568" t="s">
        <v>5068</v>
      </c>
      <c r="C4568" t="s">
        <v>1644</v>
      </c>
      <c r="D4568" t="s">
        <v>323</v>
      </c>
      <c r="E4568" t="s">
        <v>302</v>
      </c>
      <c r="F4568" t="s">
        <v>5091</v>
      </c>
      <c r="G4568">
        <v>10</v>
      </c>
      <c r="H4568">
        <v>1972.7</v>
      </c>
      <c r="I4568">
        <v>197.27</v>
      </c>
      <c r="J4568">
        <v>0</v>
      </c>
      <c r="K4568">
        <v>0</v>
      </c>
      <c r="L4568">
        <v>0</v>
      </c>
      <c r="M4568">
        <v>10</v>
      </c>
      <c r="N4568">
        <v>1972.7</v>
      </c>
      <c r="O4568">
        <v>197.27</v>
      </c>
    </row>
    <row r="4569" spans="1:15" x14ac:dyDescent="0.35">
      <c r="A4569" t="s">
        <v>5067</v>
      </c>
      <c r="B4569" t="s">
        <v>5068</v>
      </c>
      <c r="C4569" t="s">
        <v>1644</v>
      </c>
      <c r="D4569" t="s">
        <v>323</v>
      </c>
      <c r="E4569" t="s">
        <v>304</v>
      </c>
      <c r="F4569" t="s">
        <v>5092</v>
      </c>
      <c r="G4569">
        <v>1</v>
      </c>
      <c r="H4569">
        <v>204.57</v>
      </c>
      <c r="I4569">
        <v>204.57</v>
      </c>
      <c r="J4569">
        <v>0</v>
      </c>
      <c r="K4569">
        <v>0</v>
      </c>
      <c r="L4569">
        <v>0</v>
      </c>
      <c r="M4569">
        <v>1</v>
      </c>
      <c r="N4569">
        <v>204.57</v>
      </c>
      <c r="O4569">
        <v>204.57</v>
      </c>
    </row>
    <row r="4570" spans="1:15" x14ac:dyDescent="0.35">
      <c r="A4570" t="s">
        <v>5067</v>
      </c>
      <c r="B4570" t="s">
        <v>5068</v>
      </c>
      <c r="C4570" t="s">
        <v>1644</v>
      </c>
      <c r="D4570" t="s">
        <v>323</v>
      </c>
      <c r="E4570" t="s">
        <v>306</v>
      </c>
      <c r="F4570" t="s">
        <v>5093</v>
      </c>
      <c r="G4570">
        <v>14</v>
      </c>
      <c r="H4570">
        <v>1329.2</v>
      </c>
      <c r="I4570">
        <v>94.94</v>
      </c>
      <c r="J4570">
        <v>0</v>
      </c>
      <c r="K4570">
        <v>0</v>
      </c>
      <c r="L4570">
        <v>0</v>
      </c>
      <c r="M4570">
        <v>14</v>
      </c>
      <c r="N4570">
        <v>1329.2</v>
      </c>
      <c r="O4570">
        <v>94.94</v>
      </c>
    </row>
    <row r="4571" spans="1:15" x14ac:dyDescent="0.35">
      <c r="A4571" t="s">
        <v>5067</v>
      </c>
      <c r="B4571" t="s">
        <v>5068</v>
      </c>
      <c r="C4571" t="s">
        <v>1644</v>
      </c>
      <c r="D4571" t="s">
        <v>323</v>
      </c>
      <c r="E4571" t="s">
        <v>308</v>
      </c>
      <c r="F4571" t="s">
        <v>5094</v>
      </c>
      <c r="G4571">
        <v>0</v>
      </c>
      <c r="H4571">
        <v>0</v>
      </c>
      <c r="I4571">
        <v>0</v>
      </c>
      <c r="J4571">
        <v>0</v>
      </c>
      <c r="K4571">
        <v>0</v>
      </c>
      <c r="L4571">
        <v>0</v>
      </c>
      <c r="M4571">
        <v>0</v>
      </c>
      <c r="N4571">
        <v>0</v>
      </c>
      <c r="O4571">
        <v>0</v>
      </c>
    </row>
    <row r="4572" spans="1:15" x14ac:dyDescent="0.35">
      <c r="A4572" t="s">
        <v>5067</v>
      </c>
      <c r="B4572" t="s">
        <v>5068</v>
      </c>
      <c r="C4572" t="s">
        <v>1644</v>
      </c>
      <c r="D4572" t="s">
        <v>323</v>
      </c>
      <c r="E4572" t="s">
        <v>310</v>
      </c>
      <c r="F4572" t="s">
        <v>5095</v>
      </c>
      <c r="G4572">
        <v>4526</v>
      </c>
      <c r="H4572">
        <v>616361.49999999988</v>
      </c>
      <c r="I4572">
        <v>136.18</v>
      </c>
      <c r="J4572">
        <v>6</v>
      </c>
      <c r="K4572">
        <v>950.21</v>
      </c>
      <c r="L4572">
        <v>158.37</v>
      </c>
      <c r="M4572">
        <v>4532</v>
      </c>
      <c r="N4572">
        <v>617311.70999999985</v>
      </c>
      <c r="O4572">
        <v>136.21</v>
      </c>
    </row>
    <row r="4573" spans="1:15" x14ac:dyDescent="0.35">
      <c r="A4573" t="s">
        <v>5067</v>
      </c>
      <c r="B4573" t="s">
        <v>5068</v>
      </c>
      <c r="C4573" t="s">
        <v>1644</v>
      </c>
      <c r="D4573" t="s">
        <v>323</v>
      </c>
      <c r="E4573" t="s">
        <v>312</v>
      </c>
      <c r="F4573" t="s">
        <v>5096</v>
      </c>
      <c r="G4573">
        <v>4526</v>
      </c>
      <c r="H4573">
        <v>616361.49999999988</v>
      </c>
      <c r="I4573">
        <v>136.18</v>
      </c>
      <c r="J4573">
        <v>6</v>
      </c>
      <c r="K4573">
        <v>950.21</v>
      </c>
      <c r="L4573">
        <v>158.37</v>
      </c>
      <c r="M4573">
        <v>4532</v>
      </c>
      <c r="N4573">
        <v>617311.70999999985</v>
      </c>
      <c r="O4573">
        <v>136.21</v>
      </c>
    </row>
    <row r="4574" spans="1:15" x14ac:dyDescent="0.35">
      <c r="A4574" t="s">
        <v>5067</v>
      </c>
      <c r="B4574" t="s">
        <v>5068</v>
      </c>
      <c r="C4574" t="s">
        <v>1644</v>
      </c>
      <c r="D4574" t="s">
        <v>334</v>
      </c>
      <c r="E4574" t="s">
        <v>312</v>
      </c>
      <c r="F4574" t="s">
        <v>5097</v>
      </c>
      <c r="G4574">
        <v>6008</v>
      </c>
      <c r="H4574">
        <v>888771.95</v>
      </c>
      <c r="I4574">
        <v>151.63999999999999</v>
      </c>
      <c r="J4574">
        <v>6</v>
      </c>
      <c r="K4574">
        <v>950.21</v>
      </c>
      <c r="L4574">
        <v>158.37</v>
      </c>
      <c r="M4574">
        <v>6014</v>
      </c>
      <c r="N4574">
        <v>889722.15999999992</v>
      </c>
      <c r="O4574">
        <v>151.65</v>
      </c>
    </row>
    <row r="4575" spans="1:15" x14ac:dyDescent="0.35">
      <c r="A4575" t="s">
        <v>5067</v>
      </c>
      <c r="B4575" t="s">
        <v>5068</v>
      </c>
      <c r="C4575" t="s">
        <v>1644</v>
      </c>
      <c r="D4575" t="s">
        <v>334</v>
      </c>
      <c r="E4575" t="s">
        <v>308</v>
      </c>
      <c r="F4575" t="s">
        <v>5098</v>
      </c>
      <c r="G4575">
        <v>5</v>
      </c>
      <c r="H4575">
        <v>0</v>
      </c>
      <c r="I4575">
        <v>0</v>
      </c>
      <c r="J4575">
        <v>0</v>
      </c>
      <c r="K4575">
        <v>0</v>
      </c>
      <c r="L4575">
        <v>0</v>
      </c>
      <c r="M4575">
        <v>5</v>
      </c>
      <c r="N4575">
        <v>0</v>
      </c>
      <c r="O4575">
        <v>0</v>
      </c>
    </row>
    <row r="4576" spans="1:15" x14ac:dyDescent="0.35">
      <c r="A4576" t="s">
        <v>5067</v>
      </c>
      <c r="B4576" t="s">
        <v>5068</v>
      </c>
      <c r="C4576" t="s">
        <v>1644</v>
      </c>
      <c r="D4576" t="s">
        <v>337</v>
      </c>
      <c r="E4576" t="s">
        <v>337</v>
      </c>
      <c r="F4576" t="s">
        <v>5099</v>
      </c>
      <c r="G4576">
        <v>859</v>
      </c>
      <c r="J4576">
        <v>0</v>
      </c>
      <c r="M4576">
        <v>859</v>
      </c>
    </row>
    <row r="4577" spans="1:15" x14ac:dyDescent="0.35">
      <c r="A4577" t="s">
        <v>5067</v>
      </c>
      <c r="B4577" t="s">
        <v>5068</v>
      </c>
      <c r="C4577" t="s">
        <v>1644</v>
      </c>
      <c r="D4577" t="s">
        <v>339</v>
      </c>
      <c r="E4577" t="s">
        <v>294</v>
      </c>
      <c r="F4577" t="s">
        <v>5100</v>
      </c>
      <c r="G4577">
        <v>443</v>
      </c>
      <c r="H4577">
        <v>54410.03</v>
      </c>
      <c r="I4577">
        <v>122.82</v>
      </c>
      <c r="J4577">
        <v>0</v>
      </c>
      <c r="K4577">
        <v>0</v>
      </c>
      <c r="L4577">
        <v>0</v>
      </c>
      <c r="M4577">
        <v>443</v>
      </c>
      <c r="N4577">
        <v>54410.03</v>
      </c>
      <c r="O4577">
        <v>122.82</v>
      </c>
    </row>
    <row r="4578" spans="1:15" x14ac:dyDescent="0.35">
      <c r="A4578" t="s">
        <v>5067</v>
      </c>
      <c r="B4578" t="s">
        <v>5068</v>
      </c>
      <c r="C4578" t="s">
        <v>1644</v>
      </c>
      <c r="D4578" t="s">
        <v>339</v>
      </c>
      <c r="E4578" t="s">
        <v>296</v>
      </c>
      <c r="F4578" t="s">
        <v>5101</v>
      </c>
      <c r="G4578">
        <v>70</v>
      </c>
      <c r="H4578">
        <v>9273.7699999999986</v>
      </c>
      <c r="I4578">
        <v>132.47999999999999</v>
      </c>
      <c r="J4578">
        <v>0</v>
      </c>
      <c r="K4578">
        <v>0</v>
      </c>
      <c r="L4578">
        <v>0</v>
      </c>
      <c r="M4578">
        <v>70</v>
      </c>
      <c r="N4578">
        <v>9273.7699999999986</v>
      </c>
      <c r="O4578">
        <v>132.47999999999999</v>
      </c>
    </row>
    <row r="4579" spans="1:15" x14ac:dyDescent="0.35">
      <c r="A4579" t="s">
        <v>5067</v>
      </c>
      <c r="B4579" t="s">
        <v>5068</v>
      </c>
      <c r="C4579" t="s">
        <v>1644</v>
      </c>
      <c r="D4579" t="s">
        <v>339</v>
      </c>
      <c r="E4579" t="s">
        <v>298</v>
      </c>
      <c r="F4579" t="s">
        <v>5102</v>
      </c>
      <c r="G4579">
        <v>7</v>
      </c>
      <c r="H4579">
        <v>1108.4000000000001</v>
      </c>
      <c r="I4579">
        <v>158.34</v>
      </c>
      <c r="J4579">
        <v>0</v>
      </c>
      <c r="K4579">
        <v>0</v>
      </c>
      <c r="L4579">
        <v>0</v>
      </c>
      <c r="M4579">
        <v>7</v>
      </c>
      <c r="N4579">
        <v>1108.4000000000001</v>
      </c>
      <c r="O4579">
        <v>158.34</v>
      </c>
    </row>
    <row r="4580" spans="1:15" x14ac:dyDescent="0.35">
      <c r="A4580" t="s">
        <v>5067</v>
      </c>
      <c r="B4580" t="s">
        <v>5068</v>
      </c>
      <c r="C4580" t="s">
        <v>1644</v>
      </c>
      <c r="D4580" t="s">
        <v>339</v>
      </c>
      <c r="E4580" t="s">
        <v>300</v>
      </c>
      <c r="F4580" t="s">
        <v>5103</v>
      </c>
      <c r="G4580">
        <v>0</v>
      </c>
      <c r="H4580">
        <v>0</v>
      </c>
      <c r="I4580">
        <v>0</v>
      </c>
      <c r="J4580">
        <v>0</v>
      </c>
      <c r="K4580">
        <v>0</v>
      </c>
      <c r="L4580">
        <v>0</v>
      </c>
      <c r="M4580">
        <v>0</v>
      </c>
      <c r="N4580">
        <v>0</v>
      </c>
      <c r="O4580">
        <v>0</v>
      </c>
    </row>
    <row r="4581" spans="1:15" x14ac:dyDescent="0.35">
      <c r="A4581" t="s">
        <v>5067</v>
      </c>
      <c r="B4581" t="s">
        <v>5068</v>
      </c>
      <c r="C4581" t="s">
        <v>1644</v>
      </c>
      <c r="D4581" t="s">
        <v>339</v>
      </c>
      <c r="E4581" t="s">
        <v>306</v>
      </c>
      <c r="F4581" t="s">
        <v>5104</v>
      </c>
      <c r="G4581">
        <v>209</v>
      </c>
      <c r="H4581">
        <v>22502.620000000003</v>
      </c>
      <c r="I4581">
        <v>107.67</v>
      </c>
      <c r="J4581">
        <v>0</v>
      </c>
      <c r="K4581">
        <v>0</v>
      </c>
      <c r="L4581">
        <v>0</v>
      </c>
      <c r="M4581">
        <v>209</v>
      </c>
      <c r="N4581">
        <v>22502.620000000003</v>
      </c>
      <c r="O4581">
        <v>107.67</v>
      </c>
    </row>
    <row r="4582" spans="1:15" x14ac:dyDescent="0.35">
      <c r="A4582" t="s">
        <v>5067</v>
      </c>
      <c r="B4582" t="s">
        <v>5068</v>
      </c>
      <c r="C4582" t="s">
        <v>1644</v>
      </c>
      <c r="D4582" t="s">
        <v>339</v>
      </c>
      <c r="E4582" t="s">
        <v>308</v>
      </c>
      <c r="F4582" t="s">
        <v>5105</v>
      </c>
      <c r="G4582">
        <v>96</v>
      </c>
      <c r="H4582">
        <v>11132.15</v>
      </c>
      <c r="I4582">
        <v>115.96</v>
      </c>
      <c r="J4582">
        <v>0</v>
      </c>
      <c r="K4582">
        <v>0</v>
      </c>
      <c r="L4582">
        <v>0</v>
      </c>
      <c r="M4582">
        <v>96</v>
      </c>
      <c r="N4582">
        <v>11132.15</v>
      </c>
      <c r="O4582">
        <v>115.96</v>
      </c>
    </row>
    <row r="4583" spans="1:15" x14ac:dyDescent="0.35">
      <c r="A4583" t="s">
        <v>5067</v>
      </c>
      <c r="B4583" t="s">
        <v>5068</v>
      </c>
      <c r="C4583" t="s">
        <v>1644</v>
      </c>
      <c r="D4583" t="s">
        <v>339</v>
      </c>
      <c r="E4583" t="s">
        <v>310</v>
      </c>
      <c r="F4583" t="s">
        <v>5106</v>
      </c>
      <c r="G4583">
        <v>825</v>
      </c>
      <c r="H4583">
        <v>98426.97</v>
      </c>
      <c r="I4583">
        <v>119.31</v>
      </c>
      <c r="J4583">
        <v>0</v>
      </c>
      <c r="K4583">
        <v>0</v>
      </c>
      <c r="L4583">
        <v>0</v>
      </c>
      <c r="M4583">
        <v>825</v>
      </c>
      <c r="N4583">
        <v>98426.97</v>
      </c>
      <c r="O4583">
        <v>119.31</v>
      </c>
    </row>
    <row r="4584" spans="1:15" x14ac:dyDescent="0.35">
      <c r="A4584" t="s">
        <v>5067</v>
      </c>
      <c r="B4584" t="s">
        <v>5068</v>
      </c>
      <c r="C4584" t="s">
        <v>1644</v>
      </c>
      <c r="D4584" t="s">
        <v>339</v>
      </c>
      <c r="E4584" t="s">
        <v>312</v>
      </c>
      <c r="F4584" t="s">
        <v>5107</v>
      </c>
      <c r="G4584">
        <v>729</v>
      </c>
      <c r="H4584">
        <v>87294.82</v>
      </c>
      <c r="I4584">
        <v>119.75</v>
      </c>
      <c r="J4584">
        <v>0</v>
      </c>
      <c r="K4584">
        <v>0</v>
      </c>
      <c r="L4584">
        <v>0</v>
      </c>
      <c r="M4584">
        <v>729</v>
      </c>
      <c r="N4584">
        <v>87294.82</v>
      </c>
      <c r="O4584">
        <v>119.75</v>
      </c>
    </row>
    <row r="4585" spans="1:15" x14ac:dyDescent="0.35">
      <c r="A4585" t="s">
        <v>5067</v>
      </c>
      <c r="B4585" t="s">
        <v>5068</v>
      </c>
      <c r="C4585" t="s">
        <v>1644</v>
      </c>
      <c r="D4585" t="s">
        <v>348</v>
      </c>
      <c r="E4585" t="s">
        <v>349</v>
      </c>
      <c r="F4585" t="s">
        <v>5108</v>
      </c>
      <c r="G4585">
        <v>877</v>
      </c>
      <c r="H4585">
        <v>104166.47999999998</v>
      </c>
      <c r="I4585">
        <v>120.7</v>
      </c>
      <c r="J4585">
        <v>0</v>
      </c>
      <c r="K4585">
        <v>0</v>
      </c>
      <c r="L4585">
        <v>0</v>
      </c>
      <c r="M4585">
        <v>877</v>
      </c>
      <c r="N4585">
        <v>104166.47999999998</v>
      </c>
      <c r="O4585">
        <v>120.7</v>
      </c>
    </row>
    <row r="4586" spans="1:15" x14ac:dyDescent="0.35">
      <c r="A4586" t="s">
        <v>5109</v>
      </c>
      <c r="B4586" t="s">
        <v>180</v>
      </c>
      <c r="C4586" t="s">
        <v>1644</v>
      </c>
      <c r="D4586" t="s">
        <v>293</v>
      </c>
      <c r="E4586" t="s">
        <v>294</v>
      </c>
      <c r="F4586" t="s">
        <v>5110</v>
      </c>
      <c r="G4586">
        <v>275</v>
      </c>
      <c r="H4586">
        <v>40347.99</v>
      </c>
      <c r="I4586">
        <v>146.72</v>
      </c>
      <c r="J4586">
        <v>0</v>
      </c>
      <c r="K4586">
        <v>0</v>
      </c>
      <c r="L4586">
        <v>0</v>
      </c>
      <c r="M4586">
        <v>275</v>
      </c>
      <c r="N4586">
        <v>40347.99</v>
      </c>
      <c r="O4586">
        <v>146.72</v>
      </c>
    </row>
    <row r="4587" spans="1:15" x14ac:dyDescent="0.35">
      <c r="A4587" t="s">
        <v>5109</v>
      </c>
      <c r="B4587" t="s">
        <v>180</v>
      </c>
      <c r="C4587" t="s">
        <v>1644</v>
      </c>
      <c r="D4587" t="s">
        <v>293</v>
      </c>
      <c r="E4587" t="s">
        <v>296</v>
      </c>
      <c r="F4587" t="s">
        <v>5111</v>
      </c>
      <c r="G4587">
        <v>760</v>
      </c>
      <c r="H4587">
        <v>142121.61000000002</v>
      </c>
      <c r="I4587">
        <v>187</v>
      </c>
      <c r="J4587">
        <v>0</v>
      </c>
      <c r="K4587">
        <v>0</v>
      </c>
      <c r="L4587">
        <v>0</v>
      </c>
      <c r="M4587">
        <v>760</v>
      </c>
      <c r="N4587">
        <v>142121.61000000002</v>
      </c>
      <c r="O4587">
        <v>187</v>
      </c>
    </row>
    <row r="4588" spans="1:15" x14ac:dyDescent="0.35">
      <c r="A4588" t="s">
        <v>5109</v>
      </c>
      <c r="B4588" t="s">
        <v>180</v>
      </c>
      <c r="C4588" t="s">
        <v>1644</v>
      </c>
      <c r="D4588" t="s">
        <v>293</v>
      </c>
      <c r="E4588" t="s">
        <v>298</v>
      </c>
      <c r="F4588" t="s">
        <v>5112</v>
      </c>
      <c r="G4588">
        <v>276</v>
      </c>
      <c r="H4588">
        <v>59640.589999999989</v>
      </c>
      <c r="I4588">
        <v>216.09</v>
      </c>
      <c r="J4588">
        <v>0</v>
      </c>
      <c r="K4588">
        <v>0</v>
      </c>
      <c r="L4588">
        <v>0</v>
      </c>
      <c r="M4588">
        <v>276</v>
      </c>
      <c r="N4588">
        <v>59640.589999999989</v>
      </c>
      <c r="O4588">
        <v>216.09</v>
      </c>
    </row>
    <row r="4589" spans="1:15" x14ac:dyDescent="0.35">
      <c r="A4589" t="s">
        <v>5109</v>
      </c>
      <c r="B4589" t="s">
        <v>180</v>
      </c>
      <c r="C4589" t="s">
        <v>1644</v>
      </c>
      <c r="D4589" t="s">
        <v>293</v>
      </c>
      <c r="E4589" t="s">
        <v>300</v>
      </c>
      <c r="F4589" t="s">
        <v>5113</v>
      </c>
      <c r="G4589">
        <v>40</v>
      </c>
      <c r="H4589">
        <v>10208.200000000001</v>
      </c>
      <c r="I4589">
        <v>255.21</v>
      </c>
      <c r="J4589">
        <v>0</v>
      </c>
      <c r="K4589">
        <v>0</v>
      </c>
      <c r="L4589">
        <v>0</v>
      </c>
      <c r="M4589">
        <v>40</v>
      </c>
      <c r="N4589">
        <v>10208.200000000001</v>
      </c>
      <c r="O4589">
        <v>255.21</v>
      </c>
    </row>
    <row r="4590" spans="1:15" x14ac:dyDescent="0.35">
      <c r="A4590" t="s">
        <v>5109</v>
      </c>
      <c r="B4590" t="s">
        <v>180</v>
      </c>
      <c r="C4590" t="s">
        <v>1644</v>
      </c>
      <c r="D4590" t="s">
        <v>293</v>
      </c>
      <c r="E4590" t="s">
        <v>302</v>
      </c>
      <c r="F4590" t="s">
        <v>5114</v>
      </c>
      <c r="G4590">
        <v>0</v>
      </c>
      <c r="H4590">
        <v>0</v>
      </c>
      <c r="I4590">
        <v>0</v>
      </c>
      <c r="J4590">
        <v>0</v>
      </c>
      <c r="K4590">
        <v>0</v>
      </c>
      <c r="L4590">
        <v>0</v>
      </c>
      <c r="M4590">
        <v>0</v>
      </c>
      <c r="N4590">
        <v>0</v>
      </c>
      <c r="O4590">
        <v>0</v>
      </c>
    </row>
    <row r="4591" spans="1:15" x14ac:dyDescent="0.35">
      <c r="A4591" t="s">
        <v>5109</v>
      </c>
      <c r="B4591" t="s">
        <v>180</v>
      </c>
      <c r="C4591" t="s">
        <v>1644</v>
      </c>
      <c r="D4591" t="s">
        <v>293</v>
      </c>
      <c r="E4591" t="s">
        <v>304</v>
      </c>
      <c r="F4591" t="s">
        <v>5115</v>
      </c>
      <c r="G4591">
        <v>0</v>
      </c>
      <c r="H4591">
        <v>0</v>
      </c>
      <c r="I4591">
        <v>0</v>
      </c>
      <c r="J4591">
        <v>0</v>
      </c>
      <c r="K4591">
        <v>0</v>
      </c>
      <c r="L4591">
        <v>0</v>
      </c>
      <c r="M4591">
        <v>0</v>
      </c>
      <c r="N4591">
        <v>0</v>
      </c>
      <c r="O4591">
        <v>0</v>
      </c>
    </row>
    <row r="4592" spans="1:15" x14ac:dyDescent="0.35">
      <c r="A4592" t="s">
        <v>5109</v>
      </c>
      <c r="B4592" t="s">
        <v>180</v>
      </c>
      <c r="C4592" t="s">
        <v>1644</v>
      </c>
      <c r="D4592" t="s">
        <v>293</v>
      </c>
      <c r="E4592" t="s">
        <v>306</v>
      </c>
      <c r="F4592" t="s">
        <v>5116</v>
      </c>
      <c r="G4592">
        <v>0</v>
      </c>
      <c r="H4592">
        <v>0</v>
      </c>
      <c r="I4592">
        <v>0</v>
      </c>
      <c r="J4592">
        <v>0</v>
      </c>
      <c r="K4592">
        <v>0</v>
      </c>
      <c r="L4592">
        <v>0</v>
      </c>
      <c r="M4592">
        <v>0</v>
      </c>
      <c r="N4592">
        <v>0</v>
      </c>
      <c r="O4592">
        <v>0</v>
      </c>
    </row>
    <row r="4593" spans="1:15" x14ac:dyDescent="0.35">
      <c r="A4593" t="s">
        <v>5109</v>
      </c>
      <c r="B4593" t="s">
        <v>180</v>
      </c>
      <c r="C4593" t="s">
        <v>1644</v>
      </c>
      <c r="D4593" t="s">
        <v>293</v>
      </c>
      <c r="E4593" t="s">
        <v>308</v>
      </c>
      <c r="F4593" t="s">
        <v>5117</v>
      </c>
      <c r="G4593">
        <v>0</v>
      </c>
      <c r="H4593">
        <v>0</v>
      </c>
      <c r="I4593">
        <v>0</v>
      </c>
      <c r="J4593">
        <v>0</v>
      </c>
      <c r="K4593">
        <v>0</v>
      </c>
      <c r="L4593">
        <v>0</v>
      </c>
      <c r="M4593">
        <v>0</v>
      </c>
      <c r="N4593">
        <v>0</v>
      </c>
      <c r="O4593">
        <v>0</v>
      </c>
    </row>
    <row r="4594" spans="1:15" x14ac:dyDescent="0.35">
      <c r="A4594" t="s">
        <v>5109</v>
      </c>
      <c r="B4594" t="s">
        <v>180</v>
      </c>
      <c r="C4594" t="s">
        <v>1644</v>
      </c>
      <c r="D4594" t="s">
        <v>293</v>
      </c>
      <c r="E4594" t="s">
        <v>310</v>
      </c>
      <c r="F4594" t="s">
        <v>5118</v>
      </c>
      <c r="G4594">
        <v>1351</v>
      </c>
      <c r="H4594">
        <v>252318.39</v>
      </c>
      <c r="I4594">
        <v>186.76</v>
      </c>
      <c r="J4594">
        <v>0</v>
      </c>
      <c r="K4594">
        <v>0</v>
      </c>
      <c r="L4594">
        <v>0</v>
      </c>
      <c r="M4594">
        <v>1351</v>
      </c>
      <c r="N4594">
        <v>252318.39</v>
      </c>
      <c r="O4594">
        <v>186.76</v>
      </c>
    </row>
    <row r="4595" spans="1:15" x14ac:dyDescent="0.35">
      <c r="A4595" t="s">
        <v>5109</v>
      </c>
      <c r="B4595" t="s">
        <v>180</v>
      </c>
      <c r="C4595" t="s">
        <v>1644</v>
      </c>
      <c r="D4595" t="s">
        <v>293</v>
      </c>
      <c r="E4595" t="s">
        <v>312</v>
      </c>
      <c r="F4595" t="s">
        <v>5119</v>
      </c>
      <c r="G4595">
        <v>1351</v>
      </c>
      <c r="H4595">
        <v>252318.39</v>
      </c>
      <c r="I4595">
        <v>186.76</v>
      </c>
      <c r="J4595">
        <v>0</v>
      </c>
      <c r="K4595">
        <v>0</v>
      </c>
      <c r="L4595">
        <v>0</v>
      </c>
      <c r="M4595">
        <v>1351</v>
      </c>
      <c r="N4595">
        <v>252318.39</v>
      </c>
      <c r="O4595">
        <v>186.76</v>
      </c>
    </row>
    <row r="4596" spans="1:15" x14ac:dyDescent="0.35">
      <c r="A4596" t="s">
        <v>5109</v>
      </c>
      <c r="B4596" t="s">
        <v>180</v>
      </c>
      <c r="C4596" t="s">
        <v>1644</v>
      </c>
      <c r="D4596" t="s">
        <v>314</v>
      </c>
      <c r="E4596" t="s">
        <v>294</v>
      </c>
      <c r="F4596" t="s">
        <v>5120</v>
      </c>
      <c r="G4596">
        <v>27</v>
      </c>
      <c r="H4596">
        <v>6920.7900000000009</v>
      </c>
      <c r="I4596">
        <v>256.33</v>
      </c>
      <c r="J4596">
        <v>0</v>
      </c>
      <c r="K4596">
        <v>0</v>
      </c>
      <c r="L4596">
        <v>0</v>
      </c>
      <c r="M4596">
        <v>27</v>
      </c>
      <c r="N4596">
        <v>6920.7900000000009</v>
      </c>
      <c r="O4596">
        <v>256.33</v>
      </c>
    </row>
    <row r="4597" spans="1:15" x14ac:dyDescent="0.35">
      <c r="A4597" t="s">
        <v>5109</v>
      </c>
      <c r="B4597" t="s">
        <v>180</v>
      </c>
      <c r="C4597" t="s">
        <v>1644</v>
      </c>
      <c r="D4597" t="s">
        <v>314</v>
      </c>
      <c r="E4597" t="s">
        <v>296</v>
      </c>
      <c r="F4597" t="s">
        <v>5121</v>
      </c>
      <c r="G4597">
        <v>21</v>
      </c>
      <c r="H4597">
        <v>7468.23</v>
      </c>
      <c r="I4597">
        <v>355.63</v>
      </c>
      <c r="J4597">
        <v>0</v>
      </c>
      <c r="K4597">
        <v>0</v>
      </c>
      <c r="L4597">
        <v>0</v>
      </c>
      <c r="M4597">
        <v>21</v>
      </c>
      <c r="N4597">
        <v>7468.23</v>
      </c>
      <c r="O4597">
        <v>355.63</v>
      </c>
    </row>
    <row r="4598" spans="1:15" x14ac:dyDescent="0.35">
      <c r="A4598" t="s">
        <v>5109</v>
      </c>
      <c r="B4598" t="s">
        <v>180</v>
      </c>
      <c r="C4598" t="s">
        <v>1644</v>
      </c>
      <c r="D4598" t="s">
        <v>314</v>
      </c>
      <c r="E4598" t="s">
        <v>298</v>
      </c>
      <c r="F4598" t="s">
        <v>5122</v>
      </c>
      <c r="G4598">
        <v>0</v>
      </c>
      <c r="H4598">
        <v>0</v>
      </c>
      <c r="I4598">
        <v>0</v>
      </c>
      <c r="J4598">
        <v>0</v>
      </c>
      <c r="K4598">
        <v>0</v>
      </c>
      <c r="L4598">
        <v>0</v>
      </c>
      <c r="M4598">
        <v>0</v>
      </c>
      <c r="N4598">
        <v>0</v>
      </c>
      <c r="O4598">
        <v>0</v>
      </c>
    </row>
    <row r="4599" spans="1:15" x14ac:dyDescent="0.35">
      <c r="A4599" t="s">
        <v>5109</v>
      </c>
      <c r="B4599" t="s">
        <v>180</v>
      </c>
      <c r="C4599" t="s">
        <v>1644</v>
      </c>
      <c r="D4599" t="s">
        <v>314</v>
      </c>
      <c r="E4599" t="s">
        <v>300</v>
      </c>
      <c r="F4599" t="s">
        <v>5123</v>
      </c>
      <c r="G4599">
        <v>0</v>
      </c>
      <c r="H4599">
        <v>0</v>
      </c>
      <c r="I4599">
        <v>0</v>
      </c>
      <c r="J4599">
        <v>0</v>
      </c>
      <c r="K4599">
        <v>0</v>
      </c>
      <c r="L4599">
        <v>0</v>
      </c>
      <c r="M4599">
        <v>0</v>
      </c>
      <c r="N4599">
        <v>0</v>
      </c>
      <c r="O4599">
        <v>0</v>
      </c>
    </row>
    <row r="4600" spans="1:15" x14ac:dyDescent="0.35">
      <c r="A4600" t="s">
        <v>5109</v>
      </c>
      <c r="B4600" t="s">
        <v>180</v>
      </c>
      <c r="C4600" t="s">
        <v>1644</v>
      </c>
      <c r="D4600" t="s">
        <v>314</v>
      </c>
      <c r="E4600" t="s">
        <v>306</v>
      </c>
      <c r="F4600" t="s">
        <v>5124</v>
      </c>
      <c r="G4600">
        <v>0</v>
      </c>
      <c r="H4600">
        <v>0</v>
      </c>
      <c r="I4600">
        <v>0</v>
      </c>
      <c r="J4600">
        <v>0</v>
      </c>
      <c r="K4600">
        <v>0</v>
      </c>
      <c r="L4600">
        <v>0</v>
      </c>
      <c r="M4600">
        <v>0</v>
      </c>
      <c r="N4600">
        <v>0</v>
      </c>
      <c r="O4600">
        <v>0</v>
      </c>
    </row>
    <row r="4601" spans="1:15" x14ac:dyDescent="0.35">
      <c r="A4601" t="s">
        <v>5109</v>
      </c>
      <c r="B4601" t="s">
        <v>180</v>
      </c>
      <c r="C4601" t="s">
        <v>1644</v>
      </c>
      <c r="D4601" t="s">
        <v>314</v>
      </c>
      <c r="E4601" t="s">
        <v>308</v>
      </c>
      <c r="F4601" t="s">
        <v>5125</v>
      </c>
      <c r="G4601">
        <v>0</v>
      </c>
      <c r="H4601">
        <v>0</v>
      </c>
      <c r="I4601">
        <v>0</v>
      </c>
      <c r="J4601">
        <v>0</v>
      </c>
      <c r="K4601">
        <v>0</v>
      </c>
      <c r="L4601">
        <v>0</v>
      </c>
      <c r="M4601">
        <v>0</v>
      </c>
      <c r="N4601">
        <v>0</v>
      </c>
      <c r="O4601">
        <v>0</v>
      </c>
    </row>
    <row r="4602" spans="1:15" x14ac:dyDescent="0.35">
      <c r="A4602" t="s">
        <v>5109</v>
      </c>
      <c r="B4602" t="s">
        <v>180</v>
      </c>
      <c r="C4602" t="s">
        <v>1644</v>
      </c>
      <c r="D4602" t="s">
        <v>314</v>
      </c>
      <c r="E4602" t="s">
        <v>312</v>
      </c>
      <c r="F4602" t="s">
        <v>5126</v>
      </c>
      <c r="G4602">
        <v>48</v>
      </c>
      <c r="H4602">
        <v>14389.02</v>
      </c>
      <c r="I4602">
        <v>299.77</v>
      </c>
      <c r="J4602">
        <v>0</v>
      </c>
      <c r="K4602">
        <v>0</v>
      </c>
      <c r="L4602">
        <v>0</v>
      </c>
      <c r="M4602">
        <v>48</v>
      </c>
      <c r="N4602">
        <v>14389.02</v>
      </c>
      <c r="O4602">
        <v>299.77</v>
      </c>
    </row>
    <row r="4603" spans="1:15" x14ac:dyDescent="0.35">
      <c r="A4603" t="s">
        <v>5109</v>
      </c>
      <c r="B4603" t="s">
        <v>180</v>
      </c>
      <c r="C4603" t="s">
        <v>1644</v>
      </c>
      <c r="D4603" t="s">
        <v>314</v>
      </c>
      <c r="E4603" t="s">
        <v>310</v>
      </c>
      <c r="F4603" t="s">
        <v>5127</v>
      </c>
      <c r="G4603">
        <v>48</v>
      </c>
      <c r="H4603">
        <v>14389.02</v>
      </c>
      <c r="I4603">
        <v>299.77</v>
      </c>
      <c r="J4603">
        <v>0</v>
      </c>
      <c r="K4603">
        <v>0</v>
      </c>
      <c r="L4603">
        <v>0</v>
      </c>
      <c r="M4603">
        <v>48</v>
      </c>
      <c r="N4603">
        <v>14389.02</v>
      </c>
      <c r="O4603">
        <v>299.77</v>
      </c>
    </row>
    <row r="4604" spans="1:15" x14ac:dyDescent="0.35">
      <c r="A4604" t="s">
        <v>5109</v>
      </c>
      <c r="B4604" t="s">
        <v>180</v>
      </c>
      <c r="C4604" t="s">
        <v>1644</v>
      </c>
      <c r="D4604" t="s">
        <v>323</v>
      </c>
      <c r="E4604" t="s">
        <v>294</v>
      </c>
      <c r="F4604" t="s">
        <v>5128</v>
      </c>
      <c r="G4604">
        <v>1582</v>
      </c>
      <c r="H4604">
        <v>179068.01</v>
      </c>
      <c r="I4604">
        <v>113.19</v>
      </c>
      <c r="J4604">
        <v>0</v>
      </c>
      <c r="K4604">
        <v>0</v>
      </c>
      <c r="L4604">
        <v>0</v>
      </c>
      <c r="M4604">
        <v>1582</v>
      </c>
      <c r="N4604">
        <v>179068.01</v>
      </c>
      <c r="O4604">
        <v>113.19</v>
      </c>
    </row>
    <row r="4605" spans="1:15" x14ac:dyDescent="0.35">
      <c r="A4605" t="s">
        <v>5109</v>
      </c>
      <c r="B4605" t="s">
        <v>180</v>
      </c>
      <c r="C4605" t="s">
        <v>1644</v>
      </c>
      <c r="D4605" t="s">
        <v>323</v>
      </c>
      <c r="E4605" t="s">
        <v>296</v>
      </c>
      <c r="F4605" t="s">
        <v>5129</v>
      </c>
      <c r="G4605">
        <v>2245</v>
      </c>
      <c r="H4605">
        <v>296802.73000000004</v>
      </c>
      <c r="I4605">
        <v>132.21</v>
      </c>
      <c r="J4605">
        <v>0</v>
      </c>
      <c r="K4605">
        <v>0</v>
      </c>
      <c r="L4605">
        <v>0</v>
      </c>
      <c r="M4605">
        <v>2245</v>
      </c>
      <c r="N4605">
        <v>296802.73000000004</v>
      </c>
      <c r="O4605">
        <v>132.21</v>
      </c>
    </row>
    <row r="4606" spans="1:15" x14ac:dyDescent="0.35">
      <c r="A4606" t="s">
        <v>5109</v>
      </c>
      <c r="B4606" t="s">
        <v>180</v>
      </c>
      <c r="C4606" t="s">
        <v>1644</v>
      </c>
      <c r="D4606" t="s">
        <v>323</v>
      </c>
      <c r="E4606" t="s">
        <v>298</v>
      </c>
      <c r="F4606" t="s">
        <v>5130</v>
      </c>
      <c r="G4606">
        <v>2065</v>
      </c>
      <c r="H4606">
        <v>300571.72000000003</v>
      </c>
      <c r="I4606">
        <v>145.56</v>
      </c>
      <c r="J4606">
        <v>0</v>
      </c>
      <c r="K4606">
        <v>0</v>
      </c>
      <c r="L4606">
        <v>0</v>
      </c>
      <c r="M4606">
        <v>2065</v>
      </c>
      <c r="N4606">
        <v>300571.72000000003</v>
      </c>
      <c r="O4606">
        <v>145.56</v>
      </c>
    </row>
    <row r="4607" spans="1:15" x14ac:dyDescent="0.35">
      <c r="A4607" t="s">
        <v>5109</v>
      </c>
      <c r="B4607" t="s">
        <v>180</v>
      </c>
      <c r="C4607" t="s">
        <v>1644</v>
      </c>
      <c r="D4607" t="s">
        <v>323</v>
      </c>
      <c r="E4607" t="s">
        <v>300</v>
      </c>
      <c r="F4607" t="s">
        <v>5131</v>
      </c>
      <c r="G4607">
        <v>286</v>
      </c>
      <c r="H4607">
        <v>45731.499999999993</v>
      </c>
      <c r="I4607">
        <v>159.9</v>
      </c>
      <c r="J4607">
        <v>0</v>
      </c>
      <c r="K4607">
        <v>0</v>
      </c>
      <c r="L4607">
        <v>0</v>
      </c>
      <c r="M4607">
        <v>286</v>
      </c>
      <c r="N4607">
        <v>45731.499999999993</v>
      </c>
      <c r="O4607">
        <v>159.9</v>
      </c>
    </row>
    <row r="4608" spans="1:15" x14ac:dyDescent="0.35">
      <c r="A4608" t="s">
        <v>5109</v>
      </c>
      <c r="B4608" t="s">
        <v>180</v>
      </c>
      <c r="C4608" t="s">
        <v>1644</v>
      </c>
      <c r="D4608" t="s">
        <v>323</v>
      </c>
      <c r="E4608" t="s">
        <v>302</v>
      </c>
      <c r="F4608" t="s">
        <v>5132</v>
      </c>
      <c r="G4608">
        <v>5</v>
      </c>
      <c r="H4608">
        <v>791.73</v>
      </c>
      <c r="I4608">
        <v>158.35</v>
      </c>
      <c r="J4608">
        <v>0</v>
      </c>
      <c r="K4608">
        <v>0</v>
      </c>
      <c r="L4608">
        <v>0</v>
      </c>
      <c r="M4608">
        <v>5</v>
      </c>
      <c r="N4608">
        <v>791.73</v>
      </c>
      <c r="O4608">
        <v>158.35</v>
      </c>
    </row>
    <row r="4609" spans="1:15" x14ac:dyDescent="0.35">
      <c r="A4609" t="s">
        <v>5109</v>
      </c>
      <c r="B4609" t="s">
        <v>180</v>
      </c>
      <c r="C4609" t="s">
        <v>1644</v>
      </c>
      <c r="D4609" t="s">
        <v>323</v>
      </c>
      <c r="E4609" t="s">
        <v>304</v>
      </c>
      <c r="F4609" t="s">
        <v>5133</v>
      </c>
      <c r="G4609">
        <v>1</v>
      </c>
      <c r="H4609">
        <v>181.58</v>
      </c>
      <c r="I4609">
        <v>181.58</v>
      </c>
      <c r="J4609">
        <v>0</v>
      </c>
      <c r="K4609">
        <v>0</v>
      </c>
      <c r="L4609">
        <v>0</v>
      </c>
      <c r="M4609">
        <v>1</v>
      </c>
      <c r="N4609">
        <v>181.58</v>
      </c>
      <c r="O4609">
        <v>181.58</v>
      </c>
    </row>
    <row r="4610" spans="1:15" x14ac:dyDescent="0.35">
      <c r="A4610" t="s">
        <v>5109</v>
      </c>
      <c r="B4610" t="s">
        <v>180</v>
      </c>
      <c r="C4610" t="s">
        <v>1644</v>
      </c>
      <c r="D4610" t="s">
        <v>323</v>
      </c>
      <c r="E4610" t="s">
        <v>306</v>
      </c>
      <c r="F4610" t="s">
        <v>5134</v>
      </c>
      <c r="G4610">
        <v>44</v>
      </c>
      <c r="H4610">
        <v>4295.63</v>
      </c>
      <c r="I4610">
        <v>97.63</v>
      </c>
      <c r="J4610">
        <v>0</v>
      </c>
      <c r="K4610">
        <v>0</v>
      </c>
      <c r="L4610">
        <v>0</v>
      </c>
      <c r="M4610">
        <v>44</v>
      </c>
      <c r="N4610">
        <v>4295.63</v>
      </c>
      <c r="O4610">
        <v>97.63</v>
      </c>
    </row>
    <row r="4611" spans="1:15" x14ac:dyDescent="0.35">
      <c r="A4611" t="s">
        <v>5109</v>
      </c>
      <c r="B4611" t="s">
        <v>180</v>
      </c>
      <c r="C4611" t="s">
        <v>1644</v>
      </c>
      <c r="D4611" t="s">
        <v>323</v>
      </c>
      <c r="E4611" t="s">
        <v>308</v>
      </c>
      <c r="F4611" t="s">
        <v>5135</v>
      </c>
      <c r="G4611">
        <v>0</v>
      </c>
      <c r="H4611">
        <v>0</v>
      </c>
      <c r="I4611">
        <v>0</v>
      </c>
      <c r="J4611">
        <v>0</v>
      </c>
      <c r="K4611">
        <v>0</v>
      </c>
      <c r="L4611">
        <v>0</v>
      </c>
      <c r="M4611">
        <v>0</v>
      </c>
      <c r="N4611">
        <v>0</v>
      </c>
      <c r="O4611">
        <v>0</v>
      </c>
    </row>
    <row r="4612" spans="1:15" x14ac:dyDescent="0.35">
      <c r="A4612" t="s">
        <v>5109</v>
      </c>
      <c r="B4612" t="s">
        <v>180</v>
      </c>
      <c r="C4612" t="s">
        <v>1644</v>
      </c>
      <c r="D4612" t="s">
        <v>323</v>
      </c>
      <c r="E4612" t="s">
        <v>310</v>
      </c>
      <c r="F4612" t="s">
        <v>5136</v>
      </c>
      <c r="G4612">
        <v>6228</v>
      </c>
      <c r="H4612">
        <v>827442.9</v>
      </c>
      <c r="I4612">
        <v>132.86000000000001</v>
      </c>
      <c r="J4612">
        <v>0</v>
      </c>
      <c r="K4612">
        <v>0</v>
      </c>
      <c r="L4612">
        <v>0</v>
      </c>
      <c r="M4612">
        <v>6228</v>
      </c>
      <c r="N4612">
        <v>827442.9</v>
      </c>
      <c r="O4612">
        <v>132.86000000000001</v>
      </c>
    </row>
    <row r="4613" spans="1:15" x14ac:dyDescent="0.35">
      <c r="A4613" t="s">
        <v>5109</v>
      </c>
      <c r="B4613" t="s">
        <v>180</v>
      </c>
      <c r="C4613" t="s">
        <v>1644</v>
      </c>
      <c r="D4613" t="s">
        <v>323</v>
      </c>
      <c r="E4613" t="s">
        <v>312</v>
      </c>
      <c r="F4613" t="s">
        <v>5137</v>
      </c>
      <c r="G4613">
        <v>6228</v>
      </c>
      <c r="H4613">
        <v>827442.9</v>
      </c>
      <c r="I4613">
        <v>132.86000000000001</v>
      </c>
      <c r="J4613">
        <v>0</v>
      </c>
      <c r="K4613">
        <v>0</v>
      </c>
      <c r="L4613">
        <v>0</v>
      </c>
      <c r="M4613">
        <v>6228</v>
      </c>
      <c r="N4613">
        <v>827442.9</v>
      </c>
      <c r="O4613">
        <v>132.86000000000001</v>
      </c>
    </row>
    <row r="4614" spans="1:15" x14ac:dyDescent="0.35">
      <c r="A4614" t="s">
        <v>5109</v>
      </c>
      <c r="B4614" t="s">
        <v>180</v>
      </c>
      <c r="C4614" t="s">
        <v>1644</v>
      </c>
      <c r="D4614" t="s">
        <v>334</v>
      </c>
      <c r="E4614" t="s">
        <v>312</v>
      </c>
      <c r="F4614" t="s">
        <v>5138</v>
      </c>
      <c r="G4614">
        <v>7862</v>
      </c>
      <c r="H4614">
        <v>1079761.29</v>
      </c>
      <c r="I4614">
        <v>142.47</v>
      </c>
      <c r="J4614">
        <v>0</v>
      </c>
      <c r="K4614">
        <v>0</v>
      </c>
      <c r="L4614">
        <v>0</v>
      </c>
      <c r="M4614">
        <v>7862</v>
      </c>
      <c r="N4614">
        <v>1079761.29</v>
      </c>
      <c r="O4614">
        <v>142.47</v>
      </c>
    </row>
    <row r="4615" spans="1:15" x14ac:dyDescent="0.35">
      <c r="A4615" t="s">
        <v>5109</v>
      </c>
      <c r="B4615" t="s">
        <v>180</v>
      </c>
      <c r="C4615" t="s">
        <v>1644</v>
      </c>
      <c r="D4615" t="s">
        <v>334</v>
      </c>
      <c r="E4615" t="s">
        <v>308</v>
      </c>
      <c r="F4615" t="s">
        <v>5139</v>
      </c>
      <c r="G4615">
        <v>0</v>
      </c>
      <c r="H4615">
        <v>0</v>
      </c>
      <c r="I4615">
        <v>0</v>
      </c>
      <c r="J4615">
        <v>0</v>
      </c>
      <c r="K4615">
        <v>0</v>
      </c>
      <c r="L4615">
        <v>0</v>
      </c>
      <c r="M4615">
        <v>0</v>
      </c>
      <c r="N4615">
        <v>0</v>
      </c>
      <c r="O4615">
        <v>0</v>
      </c>
    </row>
    <row r="4616" spans="1:15" x14ac:dyDescent="0.35">
      <c r="A4616" t="s">
        <v>5109</v>
      </c>
      <c r="B4616" t="s">
        <v>180</v>
      </c>
      <c r="C4616" t="s">
        <v>1644</v>
      </c>
      <c r="D4616" t="s">
        <v>337</v>
      </c>
      <c r="E4616" t="s">
        <v>337</v>
      </c>
      <c r="F4616" t="s">
        <v>5140</v>
      </c>
      <c r="G4616">
        <v>1168</v>
      </c>
      <c r="J4616">
        <v>0</v>
      </c>
      <c r="M4616">
        <v>1168</v>
      </c>
    </row>
    <row r="4617" spans="1:15" x14ac:dyDescent="0.35">
      <c r="A4617" t="s">
        <v>5109</v>
      </c>
      <c r="B4617" t="s">
        <v>180</v>
      </c>
      <c r="C4617" t="s">
        <v>1644</v>
      </c>
      <c r="D4617" t="s">
        <v>339</v>
      </c>
      <c r="E4617" t="s">
        <v>294</v>
      </c>
      <c r="F4617" t="s">
        <v>5141</v>
      </c>
      <c r="G4617">
        <v>410</v>
      </c>
      <c r="H4617">
        <v>48300.83</v>
      </c>
      <c r="I4617">
        <v>117.81</v>
      </c>
      <c r="J4617">
        <v>0</v>
      </c>
      <c r="K4617">
        <v>0</v>
      </c>
      <c r="L4617">
        <v>0</v>
      </c>
      <c r="M4617">
        <v>410</v>
      </c>
      <c r="N4617">
        <v>48300.83</v>
      </c>
      <c r="O4617">
        <v>117.81</v>
      </c>
    </row>
    <row r="4618" spans="1:15" x14ac:dyDescent="0.35">
      <c r="A4618" t="s">
        <v>5109</v>
      </c>
      <c r="B4618" t="s">
        <v>180</v>
      </c>
      <c r="C4618" t="s">
        <v>1644</v>
      </c>
      <c r="D4618" t="s">
        <v>339</v>
      </c>
      <c r="E4618" t="s">
        <v>296</v>
      </c>
      <c r="F4618" t="s">
        <v>5142</v>
      </c>
      <c r="G4618">
        <v>45</v>
      </c>
      <c r="H4618">
        <v>6405.4299999999994</v>
      </c>
      <c r="I4618">
        <v>142.34</v>
      </c>
      <c r="J4618">
        <v>0</v>
      </c>
      <c r="K4618">
        <v>0</v>
      </c>
      <c r="L4618">
        <v>0</v>
      </c>
      <c r="M4618">
        <v>45</v>
      </c>
      <c r="N4618">
        <v>6405.4299999999994</v>
      </c>
      <c r="O4618">
        <v>142.34</v>
      </c>
    </row>
    <row r="4619" spans="1:15" x14ac:dyDescent="0.35">
      <c r="A4619" t="s">
        <v>5109</v>
      </c>
      <c r="B4619" t="s">
        <v>180</v>
      </c>
      <c r="C4619" t="s">
        <v>1644</v>
      </c>
      <c r="D4619" t="s">
        <v>339</v>
      </c>
      <c r="E4619" t="s">
        <v>298</v>
      </c>
      <c r="F4619" t="s">
        <v>5143</v>
      </c>
      <c r="G4619">
        <v>1</v>
      </c>
      <c r="H4619">
        <v>186.81</v>
      </c>
      <c r="I4619">
        <v>186.81</v>
      </c>
      <c r="J4619">
        <v>0</v>
      </c>
      <c r="K4619">
        <v>0</v>
      </c>
      <c r="L4619">
        <v>0</v>
      </c>
      <c r="M4619">
        <v>1</v>
      </c>
      <c r="N4619">
        <v>186.81</v>
      </c>
      <c r="O4619">
        <v>186.81</v>
      </c>
    </row>
    <row r="4620" spans="1:15" x14ac:dyDescent="0.35">
      <c r="A4620" t="s">
        <v>5109</v>
      </c>
      <c r="B4620" t="s">
        <v>180</v>
      </c>
      <c r="C4620" t="s">
        <v>1644</v>
      </c>
      <c r="D4620" t="s">
        <v>339</v>
      </c>
      <c r="E4620" t="s">
        <v>300</v>
      </c>
      <c r="F4620" t="s">
        <v>5144</v>
      </c>
      <c r="G4620">
        <v>0</v>
      </c>
      <c r="H4620">
        <v>0</v>
      </c>
      <c r="I4620">
        <v>0</v>
      </c>
      <c r="J4620">
        <v>0</v>
      </c>
      <c r="K4620">
        <v>0</v>
      </c>
      <c r="L4620">
        <v>0</v>
      </c>
      <c r="M4620">
        <v>0</v>
      </c>
      <c r="N4620">
        <v>0</v>
      </c>
      <c r="O4620">
        <v>0</v>
      </c>
    </row>
    <row r="4621" spans="1:15" x14ac:dyDescent="0.35">
      <c r="A4621" t="s">
        <v>5109</v>
      </c>
      <c r="B4621" t="s">
        <v>180</v>
      </c>
      <c r="C4621" t="s">
        <v>1644</v>
      </c>
      <c r="D4621" t="s">
        <v>339</v>
      </c>
      <c r="E4621" t="s">
        <v>306</v>
      </c>
      <c r="F4621" t="s">
        <v>5145</v>
      </c>
      <c r="G4621">
        <v>43</v>
      </c>
      <c r="H4621">
        <v>5586.5</v>
      </c>
      <c r="I4621">
        <v>129.91999999999999</v>
      </c>
      <c r="J4621">
        <v>0</v>
      </c>
      <c r="K4621">
        <v>0</v>
      </c>
      <c r="L4621">
        <v>0</v>
      </c>
      <c r="M4621">
        <v>43</v>
      </c>
      <c r="N4621">
        <v>5586.5</v>
      </c>
      <c r="O4621">
        <v>129.91999999999999</v>
      </c>
    </row>
    <row r="4622" spans="1:15" x14ac:dyDescent="0.35">
      <c r="A4622" t="s">
        <v>5109</v>
      </c>
      <c r="B4622" t="s">
        <v>180</v>
      </c>
      <c r="C4622" t="s">
        <v>1644</v>
      </c>
      <c r="D4622" t="s">
        <v>339</v>
      </c>
      <c r="E4622" t="s">
        <v>308</v>
      </c>
      <c r="F4622" t="s">
        <v>5146</v>
      </c>
      <c r="G4622">
        <v>55</v>
      </c>
      <c r="H4622">
        <v>5261.99</v>
      </c>
      <c r="I4622">
        <v>95.67</v>
      </c>
      <c r="J4622">
        <v>0</v>
      </c>
      <c r="K4622">
        <v>0</v>
      </c>
      <c r="L4622">
        <v>0</v>
      </c>
      <c r="M4622">
        <v>55</v>
      </c>
      <c r="N4622">
        <v>5261.99</v>
      </c>
      <c r="O4622">
        <v>95.67</v>
      </c>
    </row>
    <row r="4623" spans="1:15" x14ac:dyDescent="0.35">
      <c r="A4623" t="s">
        <v>5109</v>
      </c>
      <c r="B4623" t="s">
        <v>180</v>
      </c>
      <c r="C4623" t="s">
        <v>1644</v>
      </c>
      <c r="D4623" t="s">
        <v>339</v>
      </c>
      <c r="E4623" t="s">
        <v>310</v>
      </c>
      <c r="F4623" t="s">
        <v>5147</v>
      </c>
      <c r="G4623">
        <v>554</v>
      </c>
      <c r="H4623">
        <v>65741.56</v>
      </c>
      <c r="I4623">
        <v>118.67</v>
      </c>
      <c r="J4623">
        <v>0</v>
      </c>
      <c r="K4623">
        <v>0</v>
      </c>
      <c r="L4623">
        <v>0</v>
      </c>
      <c r="M4623">
        <v>554</v>
      </c>
      <c r="N4623">
        <v>65741.56</v>
      </c>
      <c r="O4623">
        <v>118.67</v>
      </c>
    </row>
    <row r="4624" spans="1:15" x14ac:dyDescent="0.35">
      <c r="A4624" t="s">
        <v>5109</v>
      </c>
      <c r="B4624" t="s">
        <v>180</v>
      </c>
      <c r="C4624" t="s">
        <v>1644</v>
      </c>
      <c r="D4624" t="s">
        <v>339</v>
      </c>
      <c r="E4624" t="s">
        <v>312</v>
      </c>
      <c r="F4624" t="s">
        <v>5148</v>
      </c>
      <c r="G4624">
        <v>499</v>
      </c>
      <c r="H4624">
        <v>60479.57</v>
      </c>
      <c r="I4624">
        <v>121.2</v>
      </c>
      <c r="J4624">
        <v>0</v>
      </c>
      <c r="K4624">
        <v>0</v>
      </c>
      <c r="L4624">
        <v>0</v>
      </c>
      <c r="M4624">
        <v>499</v>
      </c>
      <c r="N4624">
        <v>60479.57</v>
      </c>
      <c r="O4624">
        <v>121.2</v>
      </c>
    </row>
    <row r="4625" spans="1:15" x14ac:dyDescent="0.35">
      <c r="A4625" t="s">
        <v>5109</v>
      </c>
      <c r="B4625" t="s">
        <v>180</v>
      </c>
      <c r="C4625" t="s">
        <v>1644</v>
      </c>
      <c r="D4625" t="s">
        <v>348</v>
      </c>
      <c r="E4625" t="s">
        <v>349</v>
      </c>
      <c r="F4625" t="s">
        <v>5149</v>
      </c>
      <c r="G4625">
        <v>751</v>
      </c>
      <c r="H4625">
        <v>80130.58</v>
      </c>
      <c r="I4625">
        <v>133.11000000000001</v>
      </c>
      <c r="J4625">
        <v>0</v>
      </c>
      <c r="K4625">
        <v>0</v>
      </c>
      <c r="L4625">
        <v>0</v>
      </c>
      <c r="M4625">
        <v>751</v>
      </c>
      <c r="N4625">
        <v>80130.58</v>
      </c>
      <c r="O4625">
        <v>133.11000000000001</v>
      </c>
    </row>
    <row r="4626" spans="1:15" x14ac:dyDescent="0.35">
      <c r="A4626" t="s">
        <v>5150</v>
      </c>
      <c r="B4626" t="s">
        <v>214</v>
      </c>
      <c r="C4626" t="s">
        <v>1644</v>
      </c>
      <c r="D4626" t="s">
        <v>293</v>
      </c>
      <c r="E4626" t="s">
        <v>294</v>
      </c>
      <c r="F4626" t="s">
        <v>5151</v>
      </c>
      <c r="G4626">
        <v>269</v>
      </c>
      <c r="H4626">
        <v>42909.990000000005</v>
      </c>
      <c r="I4626">
        <v>159.52000000000001</v>
      </c>
      <c r="J4626">
        <v>54</v>
      </c>
      <c r="K4626">
        <v>8560.08</v>
      </c>
      <c r="L4626">
        <v>158.52000000000001</v>
      </c>
      <c r="M4626">
        <v>323</v>
      </c>
      <c r="N4626">
        <v>51470.070000000007</v>
      </c>
      <c r="O4626">
        <v>159.35</v>
      </c>
    </row>
    <row r="4627" spans="1:15" x14ac:dyDescent="0.35">
      <c r="A4627" t="s">
        <v>5150</v>
      </c>
      <c r="B4627" t="s">
        <v>214</v>
      </c>
      <c r="C4627" t="s">
        <v>1644</v>
      </c>
      <c r="D4627" t="s">
        <v>293</v>
      </c>
      <c r="E4627" t="s">
        <v>296</v>
      </c>
      <c r="F4627" t="s">
        <v>5152</v>
      </c>
      <c r="G4627">
        <v>473</v>
      </c>
      <c r="H4627">
        <v>95351.84</v>
      </c>
      <c r="I4627">
        <v>201.59</v>
      </c>
      <c r="J4627">
        <v>75</v>
      </c>
      <c r="K4627">
        <v>14433</v>
      </c>
      <c r="L4627">
        <v>192.44</v>
      </c>
      <c r="M4627">
        <v>548</v>
      </c>
      <c r="N4627">
        <v>109784.84</v>
      </c>
      <c r="O4627">
        <v>200.34</v>
      </c>
    </row>
    <row r="4628" spans="1:15" x14ac:dyDescent="0.35">
      <c r="A4628" t="s">
        <v>5150</v>
      </c>
      <c r="B4628" t="s">
        <v>214</v>
      </c>
      <c r="C4628" t="s">
        <v>1644</v>
      </c>
      <c r="D4628" t="s">
        <v>293</v>
      </c>
      <c r="E4628" t="s">
        <v>298</v>
      </c>
      <c r="F4628" t="s">
        <v>5153</v>
      </c>
      <c r="G4628">
        <v>268</v>
      </c>
      <c r="H4628">
        <v>65455.749999999993</v>
      </c>
      <c r="I4628">
        <v>244.24</v>
      </c>
      <c r="J4628">
        <v>66</v>
      </c>
      <c r="K4628">
        <v>14989.92</v>
      </c>
      <c r="L4628">
        <v>227.12</v>
      </c>
      <c r="M4628">
        <v>334</v>
      </c>
      <c r="N4628">
        <v>80445.67</v>
      </c>
      <c r="O4628">
        <v>240.86</v>
      </c>
    </row>
    <row r="4629" spans="1:15" x14ac:dyDescent="0.35">
      <c r="A4629" t="s">
        <v>5150</v>
      </c>
      <c r="B4629" t="s">
        <v>214</v>
      </c>
      <c r="C4629" t="s">
        <v>1644</v>
      </c>
      <c r="D4629" t="s">
        <v>293</v>
      </c>
      <c r="E4629" t="s">
        <v>300</v>
      </c>
      <c r="F4629" t="s">
        <v>5154</v>
      </c>
      <c r="G4629">
        <v>53</v>
      </c>
      <c r="H4629">
        <v>16607.53</v>
      </c>
      <c r="I4629">
        <v>313.35000000000002</v>
      </c>
      <c r="J4629">
        <v>9</v>
      </c>
      <c r="K4629">
        <v>2289.96</v>
      </c>
      <c r="L4629">
        <v>254.44</v>
      </c>
      <c r="M4629">
        <v>62</v>
      </c>
      <c r="N4629">
        <v>18897.489999999998</v>
      </c>
      <c r="O4629">
        <v>304.8</v>
      </c>
    </row>
    <row r="4630" spans="1:15" x14ac:dyDescent="0.35">
      <c r="A4630" t="s">
        <v>5150</v>
      </c>
      <c r="B4630" t="s">
        <v>214</v>
      </c>
      <c r="C4630" t="s">
        <v>1644</v>
      </c>
      <c r="D4630" t="s">
        <v>293</v>
      </c>
      <c r="E4630" t="s">
        <v>302</v>
      </c>
      <c r="F4630" t="s">
        <v>5155</v>
      </c>
      <c r="G4630">
        <v>0</v>
      </c>
      <c r="H4630">
        <v>0</v>
      </c>
      <c r="I4630">
        <v>0</v>
      </c>
      <c r="J4630">
        <v>2</v>
      </c>
      <c r="K4630">
        <v>513.24</v>
      </c>
      <c r="L4630">
        <v>256.62</v>
      </c>
      <c r="M4630">
        <v>2</v>
      </c>
      <c r="N4630">
        <v>513.24</v>
      </c>
      <c r="O4630">
        <v>256.62</v>
      </c>
    </row>
    <row r="4631" spans="1:15" x14ac:dyDescent="0.35">
      <c r="A4631" t="s">
        <v>5150</v>
      </c>
      <c r="B4631" t="s">
        <v>214</v>
      </c>
      <c r="C4631" t="s">
        <v>1644</v>
      </c>
      <c r="D4631" t="s">
        <v>293</v>
      </c>
      <c r="E4631" t="s">
        <v>304</v>
      </c>
      <c r="F4631" t="s">
        <v>5156</v>
      </c>
      <c r="G4631">
        <v>0</v>
      </c>
      <c r="H4631">
        <v>0</v>
      </c>
      <c r="I4631">
        <v>0</v>
      </c>
      <c r="J4631">
        <v>1</v>
      </c>
      <c r="K4631">
        <v>247.91</v>
      </c>
      <c r="L4631">
        <v>247.91</v>
      </c>
      <c r="M4631">
        <v>1</v>
      </c>
      <c r="N4631">
        <v>247.91</v>
      </c>
      <c r="O4631">
        <v>247.91</v>
      </c>
    </row>
    <row r="4632" spans="1:15" x14ac:dyDescent="0.35">
      <c r="A4632" t="s">
        <v>5150</v>
      </c>
      <c r="B4632" t="s">
        <v>214</v>
      </c>
      <c r="C4632" t="s">
        <v>1644</v>
      </c>
      <c r="D4632" t="s">
        <v>293</v>
      </c>
      <c r="E4632" t="s">
        <v>306</v>
      </c>
      <c r="F4632" t="s">
        <v>5157</v>
      </c>
      <c r="G4632">
        <v>0</v>
      </c>
      <c r="H4632">
        <v>0</v>
      </c>
      <c r="I4632">
        <v>0</v>
      </c>
      <c r="J4632">
        <v>0</v>
      </c>
      <c r="K4632">
        <v>0</v>
      </c>
      <c r="L4632">
        <v>0</v>
      </c>
      <c r="M4632">
        <v>0</v>
      </c>
      <c r="N4632">
        <v>0</v>
      </c>
      <c r="O4632">
        <v>0</v>
      </c>
    </row>
    <row r="4633" spans="1:15" x14ac:dyDescent="0.35">
      <c r="A4633" t="s">
        <v>5150</v>
      </c>
      <c r="B4633" t="s">
        <v>214</v>
      </c>
      <c r="C4633" t="s">
        <v>1644</v>
      </c>
      <c r="D4633" t="s">
        <v>293</v>
      </c>
      <c r="E4633" t="s">
        <v>308</v>
      </c>
      <c r="F4633" t="s">
        <v>5158</v>
      </c>
      <c r="G4633">
        <v>0</v>
      </c>
      <c r="H4633">
        <v>0</v>
      </c>
      <c r="I4633">
        <v>0</v>
      </c>
      <c r="J4633">
        <v>0</v>
      </c>
      <c r="K4633">
        <v>0</v>
      </c>
      <c r="L4633">
        <v>0</v>
      </c>
      <c r="M4633">
        <v>0</v>
      </c>
      <c r="N4633">
        <v>0</v>
      </c>
      <c r="O4633">
        <v>0</v>
      </c>
    </row>
    <row r="4634" spans="1:15" x14ac:dyDescent="0.35">
      <c r="A4634" t="s">
        <v>5150</v>
      </c>
      <c r="B4634" t="s">
        <v>214</v>
      </c>
      <c r="C4634" t="s">
        <v>1644</v>
      </c>
      <c r="D4634" t="s">
        <v>293</v>
      </c>
      <c r="E4634" t="s">
        <v>310</v>
      </c>
      <c r="F4634" t="s">
        <v>5159</v>
      </c>
      <c r="G4634">
        <v>1063</v>
      </c>
      <c r="H4634">
        <v>220325.11000000002</v>
      </c>
      <c r="I4634">
        <v>207.27</v>
      </c>
      <c r="J4634">
        <v>207</v>
      </c>
      <c r="K4634">
        <v>41034.11</v>
      </c>
      <c r="L4634">
        <v>198.23</v>
      </c>
      <c r="M4634">
        <v>1270</v>
      </c>
      <c r="N4634">
        <v>261359.22000000003</v>
      </c>
      <c r="O4634">
        <v>205.79</v>
      </c>
    </row>
    <row r="4635" spans="1:15" x14ac:dyDescent="0.35">
      <c r="A4635" t="s">
        <v>5150</v>
      </c>
      <c r="B4635" t="s">
        <v>214</v>
      </c>
      <c r="C4635" t="s">
        <v>1644</v>
      </c>
      <c r="D4635" t="s">
        <v>293</v>
      </c>
      <c r="E4635" t="s">
        <v>312</v>
      </c>
      <c r="F4635" t="s">
        <v>5160</v>
      </c>
      <c r="G4635">
        <v>1063</v>
      </c>
      <c r="H4635">
        <v>220325.11000000002</v>
      </c>
      <c r="I4635">
        <v>207.27</v>
      </c>
      <c r="J4635">
        <v>207</v>
      </c>
      <c r="K4635">
        <v>41034.11</v>
      </c>
      <c r="L4635">
        <v>198.23</v>
      </c>
      <c r="M4635">
        <v>1270</v>
      </c>
      <c r="N4635">
        <v>261359.22000000003</v>
      </c>
      <c r="O4635">
        <v>205.79</v>
      </c>
    </row>
    <row r="4636" spans="1:15" x14ac:dyDescent="0.35">
      <c r="A4636" t="s">
        <v>5150</v>
      </c>
      <c r="B4636" t="s">
        <v>214</v>
      </c>
      <c r="C4636" t="s">
        <v>1644</v>
      </c>
      <c r="D4636" t="s">
        <v>314</v>
      </c>
      <c r="E4636" t="s">
        <v>294</v>
      </c>
      <c r="F4636" t="s">
        <v>5161</v>
      </c>
      <c r="G4636">
        <v>0</v>
      </c>
      <c r="H4636">
        <v>0</v>
      </c>
      <c r="I4636">
        <v>0</v>
      </c>
      <c r="J4636">
        <v>30</v>
      </c>
      <c r="K4636">
        <v>5172</v>
      </c>
      <c r="L4636">
        <v>172.4</v>
      </c>
      <c r="M4636">
        <v>30</v>
      </c>
      <c r="N4636">
        <v>5172</v>
      </c>
      <c r="O4636">
        <v>172.4</v>
      </c>
    </row>
    <row r="4637" spans="1:15" x14ac:dyDescent="0.35">
      <c r="A4637" t="s">
        <v>5150</v>
      </c>
      <c r="B4637" t="s">
        <v>214</v>
      </c>
      <c r="C4637" t="s">
        <v>1644</v>
      </c>
      <c r="D4637" t="s">
        <v>314</v>
      </c>
      <c r="E4637" t="s">
        <v>296</v>
      </c>
      <c r="F4637" t="s">
        <v>5162</v>
      </c>
      <c r="G4637">
        <v>0</v>
      </c>
      <c r="H4637">
        <v>0</v>
      </c>
      <c r="I4637">
        <v>0</v>
      </c>
      <c r="J4637">
        <v>14</v>
      </c>
      <c r="K4637">
        <v>2957.92</v>
      </c>
      <c r="L4637">
        <v>211.28</v>
      </c>
      <c r="M4637">
        <v>14</v>
      </c>
      <c r="N4637">
        <v>2957.92</v>
      </c>
      <c r="O4637">
        <v>211.28</v>
      </c>
    </row>
    <row r="4638" spans="1:15" x14ac:dyDescent="0.35">
      <c r="A4638" t="s">
        <v>5150</v>
      </c>
      <c r="B4638" t="s">
        <v>214</v>
      </c>
      <c r="C4638" t="s">
        <v>1644</v>
      </c>
      <c r="D4638" t="s">
        <v>314</v>
      </c>
      <c r="E4638" t="s">
        <v>298</v>
      </c>
      <c r="F4638" t="s">
        <v>5163</v>
      </c>
      <c r="G4638">
        <v>0</v>
      </c>
      <c r="H4638">
        <v>0</v>
      </c>
      <c r="I4638">
        <v>0</v>
      </c>
      <c r="J4638">
        <v>0</v>
      </c>
      <c r="K4638">
        <v>0</v>
      </c>
      <c r="L4638">
        <v>0</v>
      </c>
      <c r="M4638">
        <v>0</v>
      </c>
      <c r="N4638">
        <v>0</v>
      </c>
      <c r="O4638">
        <v>0</v>
      </c>
    </row>
    <row r="4639" spans="1:15" x14ac:dyDescent="0.35">
      <c r="A4639" t="s">
        <v>5150</v>
      </c>
      <c r="B4639" t="s">
        <v>214</v>
      </c>
      <c r="C4639" t="s">
        <v>1644</v>
      </c>
      <c r="D4639" t="s">
        <v>314</v>
      </c>
      <c r="E4639" t="s">
        <v>300</v>
      </c>
      <c r="F4639" t="s">
        <v>5164</v>
      </c>
      <c r="G4639">
        <v>0</v>
      </c>
      <c r="H4639">
        <v>0</v>
      </c>
      <c r="I4639">
        <v>0</v>
      </c>
      <c r="J4639">
        <v>0</v>
      </c>
      <c r="K4639">
        <v>0</v>
      </c>
      <c r="L4639">
        <v>0</v>
      </c>
      <c r="M4639">
        <v>0</v>
      </c>
      <c r="N4639">
        <v>0</v>
      </c>
      <c r="O4639">
        <v>0</v>
      </c>
    </row>
    <row r="4640" spans="1:15" x14ac:dyDescent="0.35">
      <c r="A4640" t="s">
        <v>5150</v>
      </c>
      <c r="B4640" t="s">
        <v>214</v>
      </c>
      <c r="C4640" t="s">
        <v>1644</v>
      </c>
      <c r="D4640" t="s">
        <v>314</v>
      </c>
      <c r="E4640" t="s">
        <v>306</v>
      </c>
      <c r="F4640" t="s">
        <v>5165</v>
      </c>
      <c r="G4640">
        <v>0</v>
      </c>
      <c r="H4640">
        <v>0</v>
      </c>
      <c r="I4640">
        <v>0</v>
      </c>
      <c r="J4640">
        <v>0</v>
      </c>
      <c r="K4640">
        <v>0</v>
      </c>
      <c r="L4640">
        <v>0</v>
      </c>
      <c r="M4640">
        <v>0</v>
      </c>
      <c r="N4640">
        <v>0</v>
      </c>
      <c r="O4640">
        <v>0</v>
      </c>
    </row>
    <row r="4641" spans="1:15" x14ac:dyDescent="0.35">
      <c r="A4641" t="s">
        <v>5150</v>
      </c>
      <c r="B4641" t="s">
        <v>214</v>
      </c>
      <c r="C4641" t="s">
        <v>1644</v>
      </c>
      <c r="D4641" t="s">
        <v>314</v>
      </c>
      <c r="E4641" t="s">
        <v>308</v>
      </c>
      <c r="F4641" t="s">
        <v>5166</v>
      </c>
      <c r="G4641">
        <v>0</v>
      </c>
      <c r="H4641">
        <v>0</v>
      </c>
      <c r="I4641">
        <v>0</v>
      </c>
      <c r="J4641">
        <v>0</v>
      </c>
      <c r="K4641">
        <v>0</v>
      </c>
      <c r="L4641">
        <v>0</v>
      </c>
      <c r="M4641">
        <v>0</v>
      </c>
      <c r="N4641">
        <v>0</v>
      </c>
      <c r="O4641">
        <v>0</v>
      </c>
    </row>
    <row r="4642" spans="1:15" x14ac:dyDescent="0.35">
      <c r="A4642" t="s">
        <v>5150</v>
      </c>
      <c r="B4642" t="s">
        <v>214</v>
      </c>
      <c r="C4642" t="s">
        <v>1644</v>
      </c>
      <c r="D4642" t="s">
        <v>314</v>
      </c>
      <c r="E4642" t="s">
        <v>312</v>
      </c>
      <c r="F4642" t="s">
        <v>5167</v>
      </c>
      <c r="G4642">
        <v>0</v>
      </c>
      <c r="H4642">
        <v>0</v>
      </c>
      <c r="I4642">
        <v>0</v>
      </c>
      <c r="J4642">
        <v>44</v>
      </c>
      <c r="K4642">
        <v>8129.92</v>
      </c>
      <c r="L4642">
        <v>184.77</v>
      </c>
      <c r="M4642">
        <v>44</v>
      </c>
      <c r="N4642">
        <v>8129.92</v>
      </c>
      <c r="O4642">
        <v>184.77</v>
      </c>
    </row>
    <row r="4643" spans="1:15" x14ac:dyDescent="0.35">
      <c r="A4643" t="s">
        <v>5150</v>
      </c>
      <c r="B4643" t="s">
        <v>214</v>
      </c>
      <c r="C4643" t="s">
        <v>1644</v>
      </c>
      <c r="D4643" t="s">
        <v>314</v>
      </c>
      <c r="E4643" t="s">
        <v>310</v>
      </c>
      <c r="F4643" t="s">
        <v>5168</v>
      </c>
      <c r="G4643">
        <v>0</v>
      </c>
      <c r="H4643">
        <v>0</v>
      </c>
      <c r="I4643">
        <v>0</v>
      </c>
      <c r="J4643">
        <v>44</v>
      </c>
      <c r="K4643">
        <v>8129.92</v>
      </c>
      <c r="L4643">
        <v>184.77</v>
      </c>
      <c r="M4643">
        <v>44</v>
      </c>
      <c r="N4643">
        <v>8129.92</v>
      </c>
      <c r="O4643">
        <v>184.77</v>
      </c>
    </row>
    <row r="4644" spans="1:15" x14ac:dyDescent="0.35">
      <c r="A4644" t="s">
        <v>5150</v>
      </c>
      <c r="B4644" t="s">
        <v>214</v>
      </c>
      <c r="C4644" t="s">
        <v>1644</v>
      </c>
      <c r="D4644" t="s">
        <v>323</v>
      </c>
      <c r="E4644" t="s">
        <v>294</v>
      </c>
      <c r="F4644" t="s">
        <v>5169</v>
      </c>
      <c r="G4644">
        <v>615</v>
      </c>
      <c r="H4644">
        <v>74324.600000000006</v>
      </c>
      <c r="I4644">
        <v>120.85</v>
      </c>
      <c r="J4644">
        <v>1215</v>
      </c>
      <c r="K4644">
        <v>131098.5</v>
      </c>
      <c r="L4644">
        <v>107.9</v>
      </c>
      <c r="M4644">
        <v>1830</v>
      </c>
      <c r="N4644">
        <v>205423.1</v>
      </c>
      <c r="O4644">
        <v>112.25</v>
      </c>
    </row>
    <row r="4645" spans="1:15" x14ac:dyDescent="0.35">
      <c r="A4645" t="s">
        <v>5150</v>
      </c>
      <c r="B4645" t="s">
        <v>214</v>
      </c>
      <c r="C4645" t="s">
        <v>1644</v>
      </c>
      <c r="D4645" t="s">
        <v>323</v>
      </c>
      <c r="E4645" t="s">
        <v>296</v>
      </c>
      <c r="F4645" t="s">
        <v>5170</v>
      </c>
      <c r="G4645">
        <v>780</v>
      </c>
      <c r="H4645">
        <v>110081.97000000002</v>
      </c>
      <c r="I4645">
        <v>141.13</v>
      </c>
      <c r="J4645">
        <v>1580</v>
      </c>
      <c r="K4645">
        <v>195209</v>
      </c>
      <c r="L4645">
        <v>123.55</v>
      </c>
      <c r="M4645">
        <v>2360</v>
      </c>
      <c r="N4645">
        <v>305290.97000000003</v>
      </c>
      <c r="O4645">
        <v>129.36000000000001</v>
      </c>
    </row>
    <row r="4646" spans="1:15" x14ac:dyDescent="0.35">
      <c r="A4646" t="s">
        <v>5150</v>
      </c>
      <c r="B4646" t="s">
        <v>214</v>
      </c>
      <c r="C4646" t="s">
        <v>1644</v>
      </c>
      <c r="D4646" t="s">
        <v>323</v>
      </c>
      <c r="E4646" t="s">
        <v>298</v>
      </c>
      <c r="F4646" t="s">
        <v>5171</v>
      </c>
      <c r="G4646">
        <v>505</v>
      </c>
      <c r="H4646">
        <v>82424.87</v>
      </c>
      <c r="I4646">
        <v>163.22</v>
      </c>
      <c r="J4646">
        <v>1477</v>
      </c>
      <c r="K4646">
        <v>207075.4</v>
      </c>
      <c r="L4646">
        <v>140.19999999999999</v>
      </c>
      <c r="M4646">
        <v>1982</v>
      </c>
      <c r="N4646">
        <v>289500.27</v>
      </c>
      <c r="O4646">
        <v>146.06</v>
      </c>
    </row>
    <row r="4647" spans="1:15" x14ac:dyDescent="0.35">
      <c r="A4647" t="s">
        <v>5150</v>
      </c>
      <c r="B4647" t="s">
        <v>214</v>
      </c>
      <c r="C4647" t="s">
        <v>1644</v>
      </c>
      <c r="D4647" t="s">
        <v>323</v>
      </c>
      <c r="E4647" t="s">
        <v>300</v>
      </c>
      <c r="F4647" t="s">
        <v>5172</v>
      </c>
      <c r="G4647">
        <v>53</v>
      </c>
      <c r="H4647">
        <v>9652.2799999999988</v>
      </c>
      <c r="I4647">
        <v>182.12</v>
      </c>
      <c r="J4647">
        <v>67</v>
      </c>
      <c r="K4647">
        <v>10149.16</v>
      </c>
      <c r="L4647">
        <v>151.47999999999999</v>
      </c>
      <c r="M4647">
        <v>120</v>
      </c>
      <c r="N4647">
        <v>19801.439999999999</v>
      </c>
      <c r="O4647">
        <v>165.01</v>
      </c>
    </row>
    <row r="4648" spans="1:15" x14ac:dyDescent="0.35">
      <c r="A4648" t="s">
        <v>5150</v>
      </c>
      <c r="B4648" t="s">
        <v>214</v>
      </c>
      <c r="C4648" t="s">
        <v>1644</v>
      </c>
      <c r="D4648" t="s">
        <v>323</v>
      </c>
      <c r="E4648" t="s">
        <v>302</v>
      </c>
      <c r="F4648" t="s">
        <v>5173</v>
      </c>
      <c r="G4648">
        <v>2</v>
      </c>
      <c r="H4648">
        <v>445.62</v>
      </c>
      <c r="I4648">
        <v>222.81</v>
      </c>
      <c r="J4648">
        <v>1</v>
      </c>
      <c r="K4648">
        <v>174.45</v>
      </c>
      <c r="L4648">
        <v>174.45</v>
      </c>
      <c r="M4648">
        <v>3</v>
      </c>
      <c r="N4648">
        <v>620.06999999999994</v>
      </c>
      <c r="O4648">
        <v>206.69</v>
      </c>
    </row>
    <row r="4649" spans="1:15" x14ac:dyDescent="0.35">
      <c r="A4649" t="s">
        <v>5150</v>
      </c>
      <c r="B4649" t="s">
        <v>214</v>
      </c>
      <c r="C4649" t="s">
        <v>1644</v>
      </c>
      <c r="D4649" t="s">
        <v>323</v>
      </c>
      <c r="E4649" t="s">
        <v>304</v>
      </c>
      <c r="F4649" t="s">
        <v>5174</v>
      </c>
      <c r="G4649">
        <v>0</v>
      </c>
      <c r="H4649">
        <v>0</v>
      </c>
      <c r="I4649">
        <v>0</v>
      </c>
      <c r="J4649">
        <v>1</v>
      </c>
      <c r="K4649">
        <v>171.47</v>
      </c>
      <c r="L4649">
        <v>171.47</v>
      </c>
      <c r="M4649">
        <v>1</v>
      </c>
      <c r="N4649">
        <v>171.47</v>
      </c>
      <c r="O4649">
        <v>171.47</v>
      </c>
    </row>
    <row r="4650" spans="1:15" x14ac:dyDescent="0.35">
      <c r="A4650" t="s">
        <v>5150</v>
      </c>
      <c r="B4650" t="s">
        <v>214</v>
      </c>
      <c r="C4650" t="s">
        <v>1644</v>
      </c>
      <c r="D4650" t="s">
        <v>323</v>
      </c>
      <c r="E4650" t="s">
        <v>306</v>
      </c>
      <c r="F4650" t="s">
        <v>5175</v>
      </c>
      <c r="G4650">
        <v>2</v>
      </c>
      <c r="H4650">
        <v>206.48</v>
      </c>
      <c r="I4650">
        <v>103.24</v>
      </c>
      <c r="J4650">
        <v>93</v>
      </c>
      <c r="K4650">
        <v>8607.15</v>
      </c>
      <c r="L4650">
        <v>92.55</v>
      </c>
      <c r="M4650">
        <v>95</v>
      </c>
      <c r="N4650">
        <v>8813.6299999999992</v>
      </c>
      <c r="O4650">
        <v>92.78</v>
      </c>
    </row>
    <row r="4651" spans="1:15" x14ac:dyDescent="0.35">
      <c r="A4651" t="s">
        <v>5150</v>
      </c>
      <c r="B4651" t="s">
        <v>214</v>
      </c>
      <c r="C4651" t="s">
        <v>1644</v>
      </c>
      <c r="D4651" t="s">
        <v>323</v>
      </c>
      <c r="E4651" t="s">
        <v>308</v>
      </c>
      <c r="F4651" t="s">
        <v>5176</v>
      </c>
      <c r="G4651">
        <v>0</v>
      </c>
      <c r="H4651">
        <v>0</v>
      </c>
      <c r="I4651">
        <v>0</v>
      </c>
      <c r="J4651">
        <v>0</v>
      </c>
      <c r="K4651">
        <v>0</v>
      </c>
      <c r="L4651">
        <v>0</v>
      </c>
      <c r="M4651">
        <v>0</v>
      </c>
      <c r="N4651">
        <v>0</v>
      </c>
      <c r="O4651">
        <v>0</v>
      </c>
    </row>
    <row r="4652" spans="1:15" x14ac:dyDescent="0.35">
      <c r="A4652" t="s">
        <v>5150</v>
      </c>
      <c r="B4652" t="s">
        <v>214</v>
      </c>
      <c r="C4652" t="s">
        <v>1644</v>
      </c>
      <c r="D4652" t="s">
        <v>323</v>
      </c>
      <c r="E4652" t="s">
        <v>310</v>
      </c>
      <c r="F4652" t="s">
        <v>5177</v>
      </c>
      <c r="G4652">
        <v>1957</v>
      </c>
      <c r="H4652">
        <v>277135.81999999995</v>
      </c>
      <c r="I4652">
        <v>141.61000000000001</v>
      </c>
      <c r="J4652">
        <v>4434</v>
      </c>
      <c r="K4652">
        <v>552485.13</v>
      </c>
      <c r="L4652">
        <v>124.6</v>
      </c>
      <c r="M4652">
        <v>6391</v>
      </c>
      <c r="N4652">
        <v>829620.95</v>
      </c>
      <c r="O4652">
        <v>129.81</v>
      </c>
    </row>
    <row r="4653" spans="1:15" x14ac:dyDescent="0.35">
      <c r="A4653" t="s">
        <v>5150</v>
      </c>
      <c r="B4653" t="s">
        <v>214</v>
      </c>
      <c r="C4653" t="s">
        <v>1644</v>
      </c>
      <c r="D4653" t="s">
        <v>323</v>
      </c>
      <c r="E4653" t="s">
        <v>312</v>
      </c>
      <c r="F4653" t="s">
        <v>5178</v>
      </c>
      <c r="G4653">
        <v>1957</v>
      </c>
      <c r="H4653">
        <v>277135.81999999995</v>
      </c>
      <c r="I4653">
        <v>141.61000000000001</v>
      </c>
      <c r="J4653">
        <v>4434</v>
      </c>
      <c r="K4653">
        <v>552485.13</v>
      </c>
      <c r="L4653">
        <v>124.6</v>
      </c>
      <c r="M4653">
        <v>6391</v>
      </c>
      <c r="N4653">
        <v>829620.95</v>
      </c>
      <c r="O4653">
        <v>129.81</v>
      </c>
    </row>
    <row r="4654" spans="1:15" x14ac:dyDescent="0.35">
      <c r="A4654" t="s">
        <v>5150</v>
      </c>
      <c r="B4654" t="s">
        <v>214</v>
      </c>
      <c r="C4654" t="s">
        <v>1644</v>
      </c>
      <c r="D4654" t="s">
        <v>334</v>
      </c>
      <c r="E4654" t="s">
        <v>312</v>
      </c>
      <c r="F4654" t="s">
        <v>5179</v>
      </c>
      <c r="G4654">
        <v>3165</v>
      </c>
      <c r="H4654">
        <v>497460.93000000005</v>
      </c>
      <c r="I4654">
        <v>164.72</v>
      </c>
      <c r="J4654">
        <v>4641</v>
      </c>
      <c r="K4654">
        <v>593519.24</v>
      </c>
      <c r="L4654">
        <v>127.89</v>
      </c>
      <c r="M4654">
        <v>7806</v>
      </c>
      <c r="N4654">
        <v>1090980.17</v>
      </c>
      <c r="O4654">
        <v>142.41</v>
      </c>
    </row>
    <row r="4655" spans="1:15" x14ac:dyDescent="0.35">
      <c r="A4655" t="s">
        <v>5150</v>
      </c>
      <c r="B4655" t="s">
        <v>214</v>
      </c>
      <c r="C4655" t="s">
        <v>1644</v>
      </c>
      <c r="D4655" t="s">
        <v>334</v>
      </c>
      <c r="E4655" t="s">
        <v>308</v>
      </c>
      <c r="F4655" t="s">
        <v>5180</v>
      </c>
      <c r="G4655">
        <v>0</v>
      </c>
      <c r="H4655">
        <v>0</v>
      </c>
      <c r="I4655">
        <v>0</v>
      </c>
      <c r="J4655">
        <v>0</v>
      </c>
      <c r="K4655">
        <v>0</v>
      </c>
      <c r="L4655">
        <v>0</v>
      </c>
      <c r="M4655">
        <v>0</v>
      </c>
      <c r="N4655">
        <v>0</v>
      </c>
      <c r="O4655">
        <v>0</v>
      </c>
    </row>
    <row r="4656" spans="1:15" x14ac:dyDescent="0.35">
      <c r="A4656" t="s">
        <v>5150</v>
      </c>
      <c r="B4656" t="s">
        <v>214</v>
      </c>
      <c r="C4656" t="s">
        <v>1644</v>
      </c>
      <c r="D4656" t="s">
        <v>337</v>
      </c>
      <c r="E4656" t="s">
        <v>337</v>
      </c>
      <c r="F4656" t="s">
        <v>5181</v>
      </c>
      <c r="G4656">
        <v>1251</v>
      </c>
      <c r="J4656">
        <v>99</v>
      </c>
      <c r="M4656">
        <v>1350</v>
      </c>
    </row>
    <row r="4657" spans="1:15" x14ac:dyDescent="0.35">
      <c r="A4657" t="s">
        <v>5150</v>
      </c>
      <c r="B4657" t="s">
        <v>214</v>
      </c>
      <c r="C4657" t="s">
        <v>1644</v>
      </c>
      <c r="D4657" t="s">
        <v>339</v>
      </c>
      <c r="E4657" t="s">
        <v>294</v>
      </c>
      <c r="F4657" t="s">
        <v>5182</v>
      </c>
      <c r="G4657">
        <v>188</v>
      </c>
      <c r="H4657">
        <v>27253.68</v>
      </c>
      <c r="I4657">
        <v>144.97</v>
      </c>
      <c r="J4657">
        <v>390</v>
      </c>
      <c r="K4657">
        <v>41952.299999999996</v>
      </c>
      <c r="L4657">
        <v>107.57</v>
      </c>
      <c r="M4657">
        <v>578</v>
      </c>
      <c r="N4657">
        <v>69205.98</v>
      </c>
      <c r="O4657">
        <v>119.73</v>
      </c>
    </row>
    <row r="4658" spans="1:15" x14ac:dyDescent="0.35">
      <c r="A4658" t="s">
        <v>5150</v>
      </c>
      <c r="B4658" t="s">
        <v>214</v>
      </c>
      <c r="C4658" t="s">
        <v>1644</v>
      </c>
      <c r="D4658" t="s">
        <v>339</v>
      </c>
      <c r="E4658" t="s">
        <v>296</v>
      </c>
      <c r="F4658" t="s">
        <v>5183</v>
      </c>
      <c r="G4658">
        <v>32</v>
      </c>
      <c r="H4658">
        <v>5355.36</v>
      </c>
      <c r="I4658">
        <v>167.36</v>
      </c>
      <c r="J4658">
        <v>53</v>
      </c>
      <c r="K4658">
        <v>6405.0499999999993</v>
      </c>
      <c r="L4658">
        <v>120.85</v>
      </c>
      <c r="M4658">
        <v>85</v>
      </c>
      <c r="N4658">
        <v>11760.41</v>
      </c>
      <c r="O4658">
        <v>138.36000000000001</v>
      </c>
    </row>
    <row r="4659" spans="1:15" x14ac:dyDescent="0.35">
      <c r="A4659" t="s">
        <v>5150</v>
      </c>
      <c r="B4659" t="s">
        <v>214</v>
      </c>
      <c r="C4659" t="s">
        <v>1644</v>
      </c>
      <c r="D4659" t="s">
        <v>339</v>
      </c>
      <c r="E4659" t="s">
        <v>298</v>
      </c>
      <c r="F4659" t="s">
        <v>5184</v>
      </c>
      <c r="G4659">
        <v>2</v>
      </c>
      <c r="H4659">
        <v>346.11</v>
      </c>
      <c r="I4659">
        <v>173.06</v>
      </c>
      <c r="J4659">
        <v>1</v>
      </c>
      <c r="K4659">
        <v>161.55000000000001</v>
      </c>
      <c r="L4659">
        <v>161.55000000000001</v>
      </c>
      <c r="M4659">
        <v>3</v>
      </c>
      <c r="N4659">
        <v>507.66</v>
      </c>
      <c r="O4659">
        <v>169.22</v>
      </c>
    </row>
    <row r="4660" spans="1:15" x14ac:dyDescent="0.35">
      <c r="A4660" t="s">
        <v>5150</v>
      </c>
      <c r="B4660" t="s">
        <v>214</v>
      </c>
      <c r="C4660" t="s">
        <v>1644</v>
      </c>
      <c r="D4660" t="s">
        <v>339</v>
      </c>
      <c r="E4660" t="s">
        <v>300</v>
      </c>
      <c r="F4660" t="s">
        <v>5185</v>
      </c>
      <c r="G4660">
        <v>0</v>
      </c>
      <c r="H4660">
        <v>0</v>
      </c>
      <c r="I4660">
        <v>0</v>
      </c>
      <c r="J4660">
        <v>0</v>
      </c>
      <c r="K4660">
        <v>0</v>
      </c>
      <c r="L4660">
        <v>0</v>
      </c>
      <c r="M4660">
        <v>0</v>
      </c>
      <c r="N4660">
        <v>0</v>
      </c>
      <c r="O4660">
        <v>0</v>
      </c>
    </row>
    <row r="4661" spans="1:15" x14ac:dyDescent="0.35">
      <c r="A4661" t="s">
        <v>5150</v>
      </c>
      <c r="B4661" t="s">
        <v>214</v>
      </c>
      <c r="C4661" t="s">
        <v>1644</v>
      </c>
      <c r="D4661" t="s">
        <v>339</v>
      </c>
      <c r="E4661" t="s">
        <v>306</v>
      </c>
      <c r="F4661" t="s">
        <v>5186</v>
      </c>
      <c r="G4661">
        <v>59</v>
      </c>
      <c r="H4661">
        <v>6551.26</v>
      </c>
      <c r="I4661">
        <v>111.04</v>
      </c>
      <c r="J4661">
        <v>25</v>
      </c>
      <c r="K4661">
        <v>2255</v>
      </c>
      <c r="L4661">
        <v>90.2</v>
      </c>
      <c r="M4661">
        <v>84</v>
      </c>
      <c r="N4661">
        <v>8806.26</v>
      </c>
      <c r="O4661">
        <v>104.84</v>
      </c>
    </row>
    <row r="4662" spans="1:15" x14ac:dyDescent="0.35">
      <c r="A4662" t="s">
        <v>5150</v>
      </c>
      <c r="B4662" t="s">
        <v>214</v>
      </c>
      <c r="C4662" t="s">
        <v>1644</v>
      </c>
      <c r="D4662" t="s">
        <v>339</v>
      </c>
      <c r="E4662" t="s">
        <v>308</v>
      </c>
      <c r="F4662" t="s">
        <v>5187</v>
      </c>
      <c r="G4662">
        <v>80</v>
      </c>
      <c r="H4662">
        <v>8634.5</v>
      </c>
      <c r="I4662">
        <v>107.93</v>
      </c>
      <c r="J4662">
        <v>0</v>
      </c>
      <c r="K4662">
        <v>0</v>
      </c>
      <c r="L4662">
        <v>0</v>
      </c>
      <c r="M4662">
        <v>80</v>
      </c>
      <c r="N4662">
        <v>8634.5</v>
      </c>
      <c r="O4662">
        <v>107.93</v>
      </c>
    </row>
    <row r="4663" spans="1:15" x14ac:dyDescent="0.35">
      <c r="A4663" t="s">
        <v>5150</v>
      </c>
      <c r="B4663" t="s">
        <v>214</v>
      </c>
      <c r="C4663" t="s">
        <v>1644</v>
      </c>
      <c r="D4663" t="s">
        <v>339</v>
      </c>
      <c r="E4663" t="s">
        <v>310</v>
      </c>
      <c r="F4663" t="s">
        <v>5188</v>
      </c>
      <c r="G4663">
        <v>361</v>
      </c>
      <c r="H4663">
        <v>48140.91</v>
      </c>
      <c r="I4663">
        <v>133.35</v>
      </c>
      <c r="J4663">
        <v>469</v>
      </c>
      <c r="K4663">
        <v>50773.899999999994</v>
      </c>
      <c r="L4663">
        <v>108.26</v>
      </c>
      <c r="M4663">
        <v>830</v>
      </c>
      <c r="N4663">
        <v>98914.81</v>
      </c>
      <c r="O4663">
        <v>119.17</v>
      </c>
    </row>
    <row r="4664" spans="1:15" x14ac:dyDescent="0.35">
      <c r="A4664" t="s">
        <v>5150</v>
      </c>
      <c r="B4664" t="s">
        <v>214</v>
      </c>
      <c r="C4664" t="s">
        <v>1644</v>
      </c>
      <c r="D4664" t="s">
        <v>339</v>
      </c>
      <c r="E4664" t="s">
        <v>312</v>
      </c>
      <c r="F4664" t="s">
        <v>5189</v>
      </c>
      <c r="G4664">
        <v>281</v>
      </c>
      <c r="H4664">
        <v>39506.410000000003</v>
      </c>
      <c r="I4664">
        <v>140.59</v>
      </c>
      <c r="J4664">
        <v>469</v>
      </c>
      <c r="K4664">
        <v>50773.899999999994</v>
      </c>
      <c r="L4664">
        <v>108.26</v>
      </c>
      <c r="M4664">
        <v>750</v>
      </c>
      <c r="N4664">
        <v>90280.31</v>
      </c>
      <c r="O4664">
        <v>120.37</v>
      </c>
    </row>
    <row r="4665" spans="1:15" x14ac:dyDescent="0.35">
      <c r="A4665" t="s">
        <v>5150</v>
      </c>
      <c r="B4665" t="s">
        <v>214</v>
      </c>
      <c r="C4665" t="s">
        <v>1644</v>
      </c>
      <c r="D4665" t="s">
        <v>348</v>
      </c>
      <c r="E4665" t="s">
        <v>349</v>
      </c>
      <c r="F4665" t="s">
        <v>5190</v>
      </c>
      <c r="G4665">
        <v>389</v>
      </c>
      <c r="H4665">
        <v>48140.91</v>
      </c>
      <c r="I4665">
        <v>133.35</v>
      </c>
      <c r="J4665">
        <v>513</v>
      </c>
      <c r="K4665">
        <v>58903.819999999992</v>
      </c>
      <c r="L4665">
        <v>114.82</v>
      </c>
      <c r="M4665">
        <v>902</v>
      </c>
      <c r="N4665">
        <v>107044.73</v>
      </c>
      <c r="O4665">
        <v>122.48</v>
      </c>
    </row>
    <row r="4666" spans="1:15" x14ac:dyDescent="0.35">
      <c r="A4666" t="s">
        <v>5191</v>
      </c>
      <c r="B4666" t="s">
        <v>5192</v>
      </c>
      <c r="C4666" t="s">
        <v>1477</v>
      </c>
      <c r="D4666" t="s">
        <v>293</v>
      </c>
      <c r="E4666" t="s">
        <v>294</v>
      </c>
      <c r="F4666" t="s">
        <v>5193</v>
      </c>
      <c r="G4666">
        <v>315</v>
      </c>
      <c r="H4666">
        <v>56868.560000000005</v>
      </c>
      <c r="I4666">
        <v>180.54</v>
      </c>
      <c r="J4666">
        <v>0</v>
      </c>
      <c r="K4666">
        <v>0</v>
      </c>
      <c r="L4666">
        <v>0</v>
      </c>
      <c r="M4666">
        <v>315</v>
      </c>
      <c r="N4666">
        <v>56868.560000000005</v>
      </c>
      <c r="O4666">
        <v>180.54</v>
      </c>
    </row>
    <row r="4667" spans="1:15" x14ac:dyDescent="0.35">
      <c r="A4667" t="s">
        <v>5191</v>
      </c>
      <c r="B4667" t="s">
        <v>5192</v>
      </c>
      <c r="C4667" t="s">
        <v>1477</v>
      </c>
      <c r="D4667" t="s">
        <v>293</v>
      </c>
      <c r="E4667" t="s">
        <v>296</v>
      </c>
      <c r="F4667" t="s">
        <v>5194</v>
      </c>
      <c r="G4667">
        <v>583</v>
      </c>
      <c r="H4667">
        <v>130334.47</v>
      </c>
      <c r="I4667">
        <v>223.56</v>
      </c>
      <c r="J4667">
        <v>0</v>
      </c>
      <c r="K4667">
        <v>0</v>
      </c>
      <c r="L4667">
        <v>0</v>
      </c>
      <c r="M4667">
        <v>583</v>
      </c>
      <c r="N4667">
        <v>130334.47</v>
      </c>
      <c r="O4667">
        <v>223.56</v>
      </c>
    </row>
    <row r="4668" spans="1:15" x14ac:dyDescent="0.35">
      <c r="A4668" t="s">
        <v>5191</v>
      </c>
      <c r="B4668" t="s">
        <v>5192</v>
      </c>
      <c r="C4668" t="s">
        <v>1477</v>
      </c>
      <c r="D4668" t="s">
        <v>293</v>
      </c>
      <c r="E4668" t="s">
        <v>298</v>
      </c>
      <c r="F4668" t="s">
        <v>5195</v>
      </c>
      <c r="G4668">
        <v>218</v>
      </c>
      <c r="H4668">
        <v>57999.700000000004</v>
      </c>
      <c r="I4668">
        <v>266.05</v>
      </c>
      <c r="J4668">
        <v>0</v>
      </c>
      <c r="K4668">
        <v>0</v>
      </c>
      <c r="L4668">
        <v>0</v>
      </c>
      <c r="M4668">
        <v>218</v>
      </c>
      <c r="N4668">
        <v>57999.700000000004</v>
      </c>
      <c r="O4668">
        <v>266.05</v>
      </c>
    </row>
    <row r="4669" spans="1:15" x14ac:dyDescent="0.35">
      <c r="A4669" t="s">
        <v>5191</v>
      </c>
      <c r="B4669" t="s">
        <v>5192</v>
      </c>
      <c r="C4669" t="s">
        <v>1477</v>
      </c>
      <c r="D4669" t="s">
        <v>293</v>
      </c>
      <c r="E4669" t="s">
        <v>300</v>
      </c>
      <c r="F4669" t="s">
        <v>5196</v>
      </c>
      <c r="G4669">
        <v>18</v>
      </c>
      <c r="H4669">
        <v>5505.68</v>
      </c>
      <c r="I4669">
        <v>305.87</v>
      </c>
      <c r="J4669">
        <v>0</v>
      </c>
      <c r="K4669">
        <v>0</v>
      </c>
      <c r="L4669">
        <v>0</v>
      </c>
      <c r="M4669">
        <v>18</v>
      </c>
      <c r="N4669">
        <v>5505.68</v>
      </c>
      <c r="O4669">
        <v>305.87</v>
      </c>
    </row>
    <row r="4670" spans="1:15" x14ac:dyDescent="0.35">
      <c r="A4670" t="s">
        <v>5191</v>
      </c>
      <c r="B4670" t="s">
        <v>5192</v>
      </c>
      <c r="C4670" t="s">
        <v>1477</v>
      </c>
      <c r="D4670" t="s">
        <v>293</v>
      </c>
      <c r="E4670" t="s">
        <v>302</v>
      </c>
      <c r="F4670" t="s">
        <v>5197</v>
      </c>
      <c r="G4670">
        <v>0</v>
      </c>
      <c r="H4670">
        <v>0</v>
      </c>
      <c r="I4670">
        <v>0</v>
      </c>
      <c r="J4670">
        <v>0</v>
      </c>
      <c r="K4670">
        <v>0</v>
      </c>
      <c r="L4670">
        <v>0</v>
      </c>
      <c r="M4670">
        <v>0</v>
      </c>
      <c r="N4670">
        <v>0</v>
      </c>
      <c r="O4670">
        <v>0</v>
      </c>
    </row>
    <row r="4671" spans="1:15" x14ac:dyDescent="0.35">
      <c r="A4671" t="s">
        <v>5191</v>
      </c>
      <c r="B4671" t="s">
        <v>5192</v>
      </c>
      <c r="C4671" t="s">
        <v>1477</v>
      </c>
      <c r="D4671" t="s">
        <v>293</v>
      </c>
      <c r="E4671" t="s">
        <v>304</v>
      </c>
      <c r="F4671" t="s">
        <v>5198</v>
      </c>
      <c r="G4671">
        <v>0</v>
      </c>
      <c r="H4671">
        <v>0</v>
      </c>
      <c r="I4671">
        <v>0</v>
      </c>
      <c r="J4671">
        <v>0</v>
      </c>
      <c r="K4671">
        <v>0</v>
      </c>
      <c r="L4671">
        <v>0</v>
      </c>
      <c r="M4671">
        <v>0</v>
      </c>
      <c r="N4671">
        <v>0</v>
      </c>
      <c r="O4671">
        <v>0</v>
      </c>
    </row>
    <row r="4672" spans="1:15" x14ac:dyDescent="0.35">
      <c r="A4672" t="s">
        <v>5191</v>
      </c>
      <c r="B4672" t="s">
        <v>5192</v>
      </c>
      <c r="C4672" t="s">
        <v>1477</v>
      </c>
      <c r="D4672" t="s">
        <v>293</v>
      </c>
      <c r="E4672" t="s">
        <v>306</v>
      </c>
      <c r="F4672" t="s">
        <v>5199</v>
      </c>
      <c r="G4672">
        <v>11</v>
      </c>
      <c r="H4672">
        <v>1667.0600000000002</v>
      </c>
      <c r="I4672">
        <v>151.55000000000001</v>
      </c>
      <c r="J4672">
        <v>0</v>
      </c>
      <c r="K4672">
        <v>0</v>
      </c>
      <c r="L4672">
        <v>0</v>
      </c>
      <c r="M4672">
        <v>11</v>
      </c>
      <c r="N4672">
        <v>1667.0600000000002</v>
      </c>
      <c r="O4672">
        <v>151.55000000000001</v>
      </c>
    </row>
    <row r="4673" spans="1:15" x14ac:dyDescent="0.35">
      <c r="A4673" t="s">
        <v>5191</v>
      </c>
      <c r="B4673" t="s">
        <v>5192</v>
      </c>
      <c r="C4673" t="s">
        <v>1477</v>
      </c>
      <c r="D4673" t="s">
        <v>293</v>
      </c>
      <c r="E4673" t="s">
        <v>308</v>
      </c>
      <c r="F4673" t="s">
        <v>5200</v>
      </c>
      <c r="G4673">
        <v>0</v>
      </c>
      <c r="H4673">
        <v>0</v>
      </c>
      <c r="I4673">
        <v>0</v>
      </c>
      <c r="J4673">
        <v>0</v>
      </c>
      <c r="K4673">
        <v>0</v>
      </c>
      <c r="L4673">
        <v>0</v>
      </c>
      <c r="M4673">
        <v>0</v>
      </c>
      <c r="N4673">
        <v>0</v>
      </c>
      <c r="O4673">
        <v>0</v>
      </c>
    </row>
    <row r="4674" spans="1:15" x14ac:dyDescent="0.35">
      <c r="A4674" t="s">
        <v>5191</v>
      </c>
      <c r="B4674" t="s">
        <v>5192</v>
      </c>
      <c r="C4674" t="s">
        <v>1477</v>
      </c>
      <c r="D4674" t="s">
        <v>293</v>
      </c>
      <c r="E4674" t="s">
        <v>310</v>
      </c>
      <c r="F4674" t="s">
        <v>5201</v>
      </c>
      <c r="G4674">
        <v>1145</v>
      </c>
      <c r="H4674">
        <v>252375.47</v>
      </c>
      <c r="I4674">
        <v>220.42</v>
      </c>
      <c r="J4674">
        <v>0</v>
      </c>
      <c r="K4674">
        <v>0</v>
      </c>
      <c r="L4674">
        <v>0</v>
      </c>
      <c r="M4674">
        <v>1145</v>
      </c>
      <c r="N4674">
        <v>252375.47</v>
      </c>
      <c r="O4674">
        <v>220.42</v>
      </c>
    </row>
    <row r="4675" spans="1:15" x14ac:dyDescent="0.35">
      <c r="A4675" t="s">
        <v>5191</v>
      </c>
      <c r="B4675" t="s">
        <v>5192</v>
      </c>
      <c r="C4675" t="s">
        <v>1477</v>
      </c>
      <c r="D4675" t="s">
        <v>293</v>
      </c>
      <c r="E4675" t="s">
        <v>312</v>
      </c>
      <c r="F4675" t="s">
        <v>5202</v>
      </c>
      <c r="G4675">
        <v>1145</v>
      </c>
      <c r="H4675">
        <v>252375.47</v>
      </c>
      <c r="I4675">
        <v>220.42</v>
      </c>
      <c r="J4675">
        <v>0</v>
      </c>
      <c r="K4675">
        <v>0</v>
      </c>
      <c r="L4675">
        <v>0</v>
      </c>
      <c r="M4675">
        <v>1145</v>
      </c>
      <c r="N4675">
        <v>252375.47</v>
      </c>
      <c r="O4675">
        <v>220.42</v>
      </c>
    </row>
    <row r="4676" spans="1:15" x14ac:dyDescent="0.35">
      <c r="A4676" t="s">
        <v>5191</v>
      </c>
      <c r="B4676" t="s">
        <v>5192</v>
      </c>
      <c r="C4676" t="s">
        <v>1477</v>
      </c>
      <c r="D4676" t="s">
        <v>323</v>
      </c>
      <c r="E4676" t="s">
        <v>294</v>
      </c>
      <c r="F4676" t="s">
        <v>5203</v>
      </c>
      <c r="G4676">
        <v>875</v>
      </c>
      <c r="H4676">
        <v>105177.16</v>
      </c>
      <c r="I4676">
        <v>120.2</v>
      </c>
      <c r="J4676">
        <v>0</v>
      </c>
      <c r="K4676">
        <v>0</v>
      </c>
      <c r="L4676">
        <v>0</v>
      </c>
      <c r="M4676">
        <v>875</v>
      </c>
      <c r="N4676">
        <v>105177.16</v>
      </c>
      <c r="O4676">
        <v>120.2</v>
      </c>
    </row>
    <row r="4677" spans="1:15" x14ac:dyDescent="0.35">
      <c r="A4677" t="s">
        <v>5191</v>
      </c>
      <c r="B4677" t="s">
        <v>5192</v>
      </c>
      <c r="C4677" t="s">
        <v>1477</v>
      </c>
      <c r="D4677" t="s">
        <v>323</v>
      </c>
      <c r="E4677" t="s">
        <v>296</v>
      </c>
      <c r="F4677" t="s">
        <v>5204</v>
      </c>
      <c r="G4677">
        <v>1427</v>
      </c>
      <c r="H4677">
        <v>198943.35</v>
      </c>
      <c r="I4677">
        <v>139.41</v>
      </c>
      <c r="J4677">
        <v>0</v>
      </c>
      <c r="K4677">
        <v>0</v>
      </c>
      <c r="L4677">
        <v>0</v>
      </c>
      <c r="M4677">
        <v>1427</v>
      </c>
      <c r="N4677">
        <v>198943.35</v>
      </c>
      <c r="O4677">
        <v>139.41</v>
      </c>
    </row>
    <row r="4678" spans="1:15" x14ac:dyDescent="0.35">
      <c r="A4678" t="s">
        <v>5191</v>
      </c>
      <c r="B4678" t="s">
        <v>5192</v>
      </c>
      <c r="C4678" t="s">
        <v>1477</v>
      </c>
      <c r="D4678" t="s">
        <v>323</v>
      </c>
      <c r="E4678" t="s">
        <v>298</v>
      </c>
      <c r="F4678" t="s">
        <v>5205</v>
      </c>
      <c r="G4678">
        <v>1229</v>
      </c>
      <c r="H4678">
        <v>195673.2</v>
      </c>
      <c r="I4678">
        <v>159.21</v>
      </c>
      <c r="J4678">
        <v>0</v>
      </c>
      <c r="K4678">
        <v>0</v>
      </c>
      <c r="L4678">
        <v>0</v>
      </c>
      <c r="M4678">
        <v>1229</v>
      </c>
      <c r="N4678">
        <v>195673.2</v>
      </c>
      <c r="O4678">
        <v>159.21</v>
      </c>
    </row>
    <row r="4679" spans="1:15" x14ac:dyDescent="0.35">
      <c r="A4679" t="s">
        <v>5191</v>
      </c>
      <c r="B4679" t="s">
        <v>5192</v>
      </c>
      <c r="C4679" t="s">
        <v>1477</v>
      </c>
      <c r="D4679" t="s">
        <v>323</v>
      </c>
      <c r="E4679" t="s">
        <v>300</v>
      </c>
      <c r="F4679" t="s">
        <v>5206</v>
      </c>
      <c r="G4679">
        <v>132</v>
      </c>
      <c r="H4679">
        <v>23237.100000000002</v>
      </c>
      <c r="I4679">
        <v>176.04</v>
      </c>
      <c r="J4679">
        <v>0</v>
      </c>
      <c r="K4679">
        <v>0</v>
      </c>
      <c r="L4679">
        <v>0</v>
      </c>
      <c r="M4679">
        <v>132</v>
      </c>
      <c r="N4679">
        <v>23237.100000000002</v>
      </c>
      <c r="O4679">
        <v>176.04</v>
      </c>
    </row>
    <row r="4680" spans="1:15" x14ac:dyDescent="0.35">
      <c r="A4680" t="s">
        <v>5191</v>
      </c>
      <c r="B4680" t="s">
        <v>5192</v>
      </c>
      <c r="C4680" t="s">
        <v>1477</v>
      </c>
      <c r="D4680" t="s">
        <v>323</v>
      </c>
      <c r="E4680" t="s">
        <v>302</v>
      </c>
      <c r="F4680" t="s">
        <v>5207</v>
      </c>
      <c r="G4680">
        <v>2</v>
      </c>
      <c r="H4680">
        <v>376.29</v>
      </c>
      <c r="I4680">
        <v>188.15</v>
      </c>
      <c r="J4680">
        <v>0</v>
      </c>
      <c r="K4680">
        <v>0</v>
      </c>
      <c r="L4680">
        <v>0</v>
      </c>
      <c r="M4680">
        <v>2</v>
      </c>
      <c r="N4680">
        <v>376.29</v>
      </c>
      <c r="O4680">
        <v>188.15</v>
      </c>
    </row>
    <row r="4681" spans="1:15" x14ac:dyDescent="0.35">
      <c r="A4681" t="s">
        <v>5191</v>
      </c>
      <c r="B4681" t="s">
        <v>5192</v>
      </c>
      <c r="C4681" t="s">
        <v>1477</v>
      </c>
      <c r="D4681" t="s">
        <v>323</v>
      </c>
      <c r="E4681" t="s">
        <v>304</v>
      </c>
      <c r="F4681" t="s">
        <v>5208</v>
      </c>
      <c r="G4681">
        <v>0</v>
      </c>
      <c r="H4681">
        <v>0</v>
      </c>
      <c r="I4681">
        <v>0</v>
      </c>
      <c r="J4681">
        <v>0</v>
      </c>
      <c r="K4681">
        <v>0</v>
      </c>
      <c r="L4681">
        <v>0</v>
      </c>
      <c r="M4681">
        <v>0</v>
      </c>
      <c r="N4681">
        <v>0</v>
      </c>
      <c r="O4681">
        <v>0</v>
      </c>
    </row>
    <row r="4682" spans="1:15" x14ac:dyDescent="0.35">
      <c r="A4682" t="s">
        <v>5191</v>
      </c>
      <c r="B4682" t="s">
        <v>5192</v>
      </c>
      <c r="C4682" t="s">
        <v>1477</v>
      </c>
      <c r="D4682" t="s">
        <v>323</v>
      </c>
      <c r="E4682" t="s">
        <v>306</v>
      </c>
      <c r="F4682" t="s">
        <v>5209</v>
      </c>
      <c r="G4682">
        <v>276</v>
      </c>
      <c r="H4682">
        <v>26519.53</v>
      </c>
      <c r="I4682">
        <v>96.09</v>
      </c>
      <c r="J4682">
        <v>0</v>
      </c>
      <c r="K4682">
        <v>0</v>
      </c>
      <c r="L4682">
        <v>0</v>
      </c>
      <c r="M4682">
        <v>276</v>
      </c>
      <c r="N4682">
        <v>26519.53</v>
      </c>
      <c r="O4682">
        <v>96.09</v>
      </c>
    </row>
    <row r="4683" spans="1:15" x14ac:dyDescent="0.35">
      <c r="A4683" t="s">
        <v>5191</v>
      </c>
      <c r="B4683" t="s">
        <v>5192</v>
      </c>
      <c r="C4683" t="s">
        <v>1477</v>
      </c>
      <c r="D4683" t="s">
        <v>323</v>
      </c>
      <c r="E4683" t="s">
        <v>308</v>
      </c>
      <c r="F4683" t="s">
        <v>5210</v>
      </c>
      <c r="G4683">
        <v>0</v>
      </c>
      <c r="H4683">
        <v>0</v>
      </c>
      <c r="I4683">
        <v>0</v>
      </c>
      <c r="J4683">
        <v>0</v>
      </c>
      <c r="K4683">
        <v>0</v>
      </c>
      <c r="L4683">
        <v>0</v>
      </c>
      <c r="M4683">
        <v>0</v>
      </c>
      <c r="N4683">
        <v>0</v>
      </c>
      <c r="O4683">
        <v>0</v>
      </c>
    </row>
    <row r="4684" spans="1:15" x14ac:dyDescent="0.35">
      <c r="A4684" t="s">
        <v>5191</v>
      </c>
      <c r="B4684" t="s">
        <v>5192</v>
      </c>
      <c r="C4684" t="s">
        <v>1477</v>
      </c>
      <c r="D4684" t="s">
        <v>323</v>
      </c>
      <c r="E4684" t="s">
        <v>310</v>
      </c>
      <c r="F4684" t="s">
        <v>5211</v>
      </c>
      <c r="G4684">
        <v>3941</v>
      </c>
      <c r="H4684">
        <v>549926.63</v>
      </c>
      <c r="I4684">
        <v>139.54</v>
      </c>
      <c r="J4684">
        <v>0</v>
      </c>
      <c r="K4684">
        <v>0</v>
      </c>
      <c r="L4684">
        <v>0</v>
      </c>
      <c r="M4684">
        <v>3941</v>
      </c>
      <c r="N4684">
        <v>549926.63</v>
      </c>
      <c r="O4684">
        <v>139.54</v>
      </c>
    </row>
    <row r="4685" spans="1:15" x14ac:dyDescent="0.35">
      <c r="A4685" t="s">
        <v>5191</v>
      </c>
      <c r="B4685" t="s">
        <v>5192</v>
      </c>
      <c r="C4685" t="s">
        <v>1477</v>
      </c>
      <c r="D4685" t="s">
        <v>323</v>
      </c>
      <c r="E4685" t="s">
        <v>312</v>
      </c>
      <c r="F4685" t="s">
        <v>5212</v>
      </c>
      <c r="G4685">
        <v>3941</v>
      </c>
      <c r="H4685">
        <v>549926.63</v>
      </c>
      <c r="I4685">
        <v>139.54</v>
      </c>
      <c r="J4685">
        <v>0</v>
      </c>
      <c r="K4685">
        <v>0</v>
      </c>
      <c r="L4685">
        <v>0</v>
      </c>
      <c r="M4685">
        <v>3941</v>
      </c>
      <c r="N4685">
        <v>549926.63</v>
      </c>
      <c r="O4685">
        <v>139.54</v>
      </c>
    </row>
    <row r="4686" spans="1:15" x14ac:dyDescent="0.35">
      <c r="A4686" t="s">
        <v>5191</v>
      </c>
      <c r="B4686" t="s">
        <v>5192</v>
      </c>
      <c r="C4686" t="s">
        <v>1477</v>
      </c>
      <c r="D4686" t="s">
        <v>334</v>
      </c>
      <c r="E4686" t="s">
        <v>312</v>
      </c>
      <c r="F4686" t="s">
        <v>5213</v>
      </c>
      <c r="G4686">
        <v>5121</v>
      </c>
      <c r="H4686">
        <v>802302.1</v>
      </c>
      <c r="I4686">
        <v>157.75</v>
      </c>
      <c r="J4686">
        <v>0</v>
      </c>
      <c r="K4686">
        <v>0</v>
      </c>
      <c r="L4686">
        <v>0</v>
      </c>
      <c r="M4686">
        <v>5121</v>
      </c>
      <c r="N4686">
        <v>802302.1</v>
      </c>
      <c r="O4686">
        <v>157.75</v>
      </c>
    </row>
    <row r="4687" spans="1:15" x14ac:dyDescent="0.35">
      <c r="A4687" t="s">
        <v>5191</v>
      </c>
      <c r="B4687" t="s">
        <v>5192</v>
      </c>
      <c r="C4687" t="s">
        <v>1477</v>
      </c>
      <c r="D4687" t="s">
        <v>334</v>
      </c>
      <c r="E4687" t="s">
        <v>308</v>
      </c>
      <c r="F4687" t="s">
        <v>5214</v>
      </c>
      <c r="G4687">
        <v>0</v>
      </c>
      <c r="H4687">
        <v>0</v>
      </c>
      <c r="I4687">
        <v>0</v>
      </c>
      <c r="J4687">
        <v>0</v>
      </c>
      <c r="K4687">
        <v>0</v>
      </c>
      <c r="L4687">
        <v>0</v>
      </c>
      <c r="M4687">
        <v>0</v>
      </c>
      <c r="N4687">
        <v>0</v>
      </c>
      <c r="O4687">
        <v>0</v>
      </c>
    </row>
    <row r="4688" spans="1:15" x14ac:dyDescent="0.35">
      <c r="A4688" t="s">
        <v>5191</v>
      </c>
      <c r="B4688" t="s">
        <v>5192</v>
      </c>
      <c r="C4688" t="s">
        <v>1477</v>
      </c>
      <c r="D4688" t="s">
        <v>337</v>
      </c>
      <c r="E4688" t="s">
        <v>337</v>
      </c>
      <c r="F4688" t="s">
        <v>5215</v>
      </c>
      <c r="G4688">
        <v>542</v>
      </c>
      <c r="J4688">
        <v>0</v>
      </c>
      <c r="M4688">
        <v>542</v>
      </c>
    </row>
    <row r="4689" spans="1:15" x14ac:dyDescent="0.35">
      <c r="A4689" t="s">
        <v>5191</v>
      </c>
      <c r="B4689" t="s">
        <v>5192</v>
      </c>
      <c r="C4689" t="s">
        <v>1477</v>
      </c>
      <c r="D4689" t="s">
        <v>339</v>
      </c>
      <c r="E4689" t="s">
        <v>294</v>
      </c>
      <c r="F4689" t="s">
        <v>5216</v>
      </c>
      <c r="G4689">
        <v>304</v>
      </c>
      <c r="H4689">
        <v>38053.5</v>
      </c>
      <c r="I4689">
        <v>125.18</v>
      </c>
      <c r="J4689">
        <v>0</v>
      </c>
      <c r="K4689">
        <v>0</v>
      </c>
      <c r="L4689">
        <v>0</v>
      </c>
      <c r="M4689">
        <v>304</v>
      </c>
      <c r="N4689">
        <v>38053.5</v>
      </c>
      <c r="O4689">
        <v>125.18</v>
      </c>
    </row>
    <row r="4690" spans="1:15" x14ac:dyDescent="0.35">
      <c r="A4690" t="s">
        <v>5191</v>
      </c>
      <c r="B4690" t="s">
        <v>5192</v>
      </c>
      <c r="C4690" t="s">
        <v>1477</v>
      </c>
      <c r="D4690" t="s">
        <v>339</v>
      </c>
      <c r="E4690" t="s">
        <v>296</v>
      </c>
      <c r="F4690" t="s">
        <v>5217</v>
      </c>
      <c r="G4690">
        <v>48</v>
      </c>
      <c r="H4690">
        <v>7200.670000000001</v>
      </c>
      <c r="I4690">
        <v>150.01</v>
      </c>
      <c r="J4690">
        <v>0</v>
      </c>
      <c r="K4690">
        <v>0</v>
      </c>
      <c r="L4690">
        <v>0</v>
      </c>
      <c r="M4690">
        <v>48</v>
      </c>
      <c r="N4690">
        <v>7200.670000000001</v>
      </c>
      <c r="O4690">
        <v>150.01</v>
      </c>
    </row>
    <row r="4691" spans="1:15" x14ac:dyDescent="0.35">
      <c r="A4691" t="s">
        <v>5191</v>
      </c>
      <c r="B4691" t="s">
        <v>5192</v>
      </c>
      <c r="C4691" t="s">
        <v>1477</v>
      </c>
      <c r="D4691" t="s">
        <v>339</v>
      </c>
      <c r="E4691" t="s">
        <v>298</v>
      </c>
      <c r="F4691" t="s">
        <v>5218</v>
      </c>
      <c r="G4691">
        <v>3</v>
      </c>
      <c r="H4691">
        <v>512.11</v>
      </c>
      <c r="I4691">
        <v>170.7</v>
      </c>
      <c r="J4691">
        <v>0</v>
      </c>
      <c r="K4691">
        <v>0</v>
      </c>
      <c r="L4691">
        <v>0</v>
      </c>
      <c r="M4691">
        <v>3</v>
      </c>
      <c r="N4691">
        <v>512.11</v>
      </c>
      <c r="O4691">
        <v>170.7</v>
      </c>
    </row>
    <row r="4692" spans="1:15" x14ac:dyDescent="0.35">
      <c r="A4692" t="s">
        <v>5191</v>
      </c>
      <c r="B4692" t="s">
        <v>5192</v>
      </c>
      <c r="C4692" t="s">
        <v>1477</v>
      </c>
      <c r="D4692" t="s">
        <v>339</v>
      </c>
      <c r="E4692" t="s">
        <v>300</v>
      </c>
      <c r="F4692" t="s">
        <v>5219</v>
      </c>
      <c r="G4692">
        <v>0</v>
      </c>
      <c r="H4692">
        <v>0</v>
      </c>
      <c r="I4692">
        <v>0</v>
      </c>
      <c r="J4692">
        <v>0</v>
      </c>
      <c r="K4692">
        <v>0</v>
      </c>
      <c r="L4692">
        <v>0</v>
      </c>
      <c r="M4692">
        <v>0</v>
      </c>
      <c r="N4692">
        <v>0</v>
      </c>
      <c r="O4692">
        <v>0</v>
      </c>
    </row>
    <row r="4693" spans="1:15" x14ac:dyDescent="0.35">
      <c r="A4693" t="s">
        <v>5191</v>
      </c>
      <c r="B4693" t="s">
        <v>5192</v>
      </c>
      <c r="C4693" t="s">
        <v>1477</v>
      </c>
      <c r="D4693" t="s">
        <v>339</v>
      </c>
      <c r="E4693" t="s">
        <v>306</v>
      </c>
      <c r="F4693" t="s">
        <v>5220</v>
      </c>
      <c r="G4693">
        <v>78</v>
      </c>
      <c r="H4693">
        <v>7656.08</v>
      </c>
      <c r="I4693">
        <v>98.15</v>
      </c>
      <c r="J4693">
        <v>0</v>
      </c>
      <c r="K4693">
        <v>0</v>
      </c>
      <c r="L4693">
        <v>0</v>
      </c>
      <c r="M4693">
        <v>78</v>
      </c>
      <c r="N4693">
        <v>7656.08</v>
      </c>
      <c r="O4693">
        <v>98.15</v>
      </c>
    </row>
    <row r="4694" spans="1:15" x14ac:dyDescent="0.35">
      <c r="A4694" t="s">
        <v>5191</v>
      </c>
      <c r="B4694" t="s">
        <v>5192</v>
      </c>
      <c r="C4694" t="s">
        <v>1477</v>
      </c>
      <c r="D4694" t="s">
        <v>339</v>
      </c>
      <c r="E4694" t="s">
        <v>308</v>
      </c>
      <c r="F4694" t="s">
        <v>5221</v>
      </c>
      <c r="G4694">
        <v>54</v>
      </c>
      <c r="H4694">
        <v>6355.88</v>
      </c>
      <c r="I4694">
        <v>117.7</v>
      </c>
      <c r="J4694">
        <v>0</v>
      </c>
      <c r="K4694">
        <v>0</v>
      </c>
      <c r="L4694">
        <v>0</v>
      </c>
      <c r="M4694">
        <v>54</v>
      </c>
      <c r="N4694">
        <v>6355.88</v>
      </c>
      <c r="O4694">
        <v>117.7</v>
      </c>
    </row>
    <row r="4695" spans="1:15" x14ac:dyDescent="0.35">
      <c r="A4695" t="s">
        <v>5191</v>
      </c>
      <c r="B4695" t="s">
        <v>5192</v>
      </c>
      <c r="C4695" t="s">
        <v>1477</v>
      </c>
      <c r="D4695" t="s">
        <v>339</v>
      </c>
      <c r="E4695" t="s">
        <v>310</v>
      </c>
      <c r="F4695" t="s">
        <v>5222</v>
      </c>
      <c r="G4695">
        <v>487</v>
      </c>
      <c r="H4695">
        <v>59778.239999999998</v>
      </c>
      <c r="I4695">
        <v>122.75</v>
      </c>
      <c r="J4695">
        <v>0</v>
      </c>
      <c r="K4695">
        <v>0</v>
      </c>
      <c r="L4695">
        <v>0</v>
      </c>
      <c r="M4695">
        <v>487</v>
      </c>
      <c r="N4695">
        <v>59778.239999999998</v>
      </c>
      <c r="O4695">
        <v>122.75</v>
      </c>
    </row>
    <row r="4696" spans="1:15" x14ac:dyDescent="0.35">
      <c r="A4696" t="s">
        <v>5191</v>
      </c>
      <c r="B4696" t="s">
        <v>5192</v>
      </c>
      <c r="C4696" t="s">
        <v>1477</v>
      </c>
      <c r="D4696" t="s">
        <v>339</v>
      </c>
      <c r="E4696" t="s">
        <v>312</v>
      </c>
      <c r="F4696" t="s">
        <v>5223</v>
      </c>
      <c r="G4696">
        <v>433</v>
      </c>
      <c r="H4696">
        <v>53422.36</v>
      </c>
      <c r="I4696">
        <v>123.38</v>
      </c>
      <c r="J4696">
        <v>0</v>
      </c>
      <c r="K4696">
        <v>0</v>
      </c>
      <c r="L4696">
        <v>0</v>
      </c>
      <c r="M4696">
        <v>433</v>
      </c>
      <c r="N4696">
        <v>53422.36</v>
      </c>
      <c r="O4696">
        <v>123.38</v>
      </c>
    </row>
    <row r="4697" spans="1:15" x14ac:dyDescent="0.35">
      <c r="A4697" t="s">
        <v>5191</v>
      </c>
      <c r="B4697" t="s">
        <v>5192</v>
      </c>
      <c r="C4697" t="s">
        <v>1477</v>
      </c>
      <c r="D4697" t="s">
        <v>348</v>
      </c>
      <c r="E4697" t="s">
        <v>349</v>
      </c>
      <c r="F4697" t="s">
        <v>5224</v>
      </c>
      <c r="G4697">
        <v>491</v>
      </c>
      <c r="H4697">
        <v>59778.239999999998</v>
      </c>
      <c r="I4697">
        <v>122.75</v>
      </c>
      <c r="J4697">
        <v>0</v>
      </c>
      <c r="K4697">
        <v>0</v>
      </c>
      <c r="L4697">
        <v>0</v>
      </c>
      <c r="M4697">
        <v>491</v>
      </c>
      <c r="N4697">
        <v>59778.239999999998</v>
      </c>
      <c r="O4697">
        <v>122.75</v>
      </c>
    </row>
    <row r="4698" spans="1:15" x14ac:dyDescent="0.35">
      <c r="A4698" t="s">
        <v>5225</v>
      </c>
      <c r="B4698" t="s">
        <v>5226</v>
      </c>
      <c r="C4698" t="s">
        <v>1477</v>
      </c>
      <c r="D4698" t="s">
        <v>293</v>
      </c>
      <c r="E4698" t="s">
        <v>294</v>
      </c>
      <c r="F4698" t="s">
        <v>5227</v>
      </c>
      <c r="G4698">
        <v>382</v>
      </c>
      <c r="H4698">
        <v>71472.67</v>
      </c>
      <c r="I4698">
        <v>187.1</v>
      </c>
      <c r="J4698">
        <v>0</v>
      </c>
      <c r="K4698">
        <v>0</v>
      </c>
      <c r="L4698">
        <v>0</v>
      </c>
      <c r="M4698">
        <v>382</v>
      </c>
      <c r="N4698">
        <v>71472.67</v>
      </c>
      <c r="O4698">
        <v>187.1</v>
      </c>
    </row>
    <row r="4699" spans="1:15" x14ac:dyDescent="0.35">
      <c r="A4699" t="s">
        <v>5225</v>
      </c>
      <c r="B4699" t="s">
        <v>5226</v>
      </c>
      <c r="C4699" t="s">
        <v>1477</v>
      </c>
      <c r="D4699" t="s">
        <v>293</v>
      </c>
      <c r="E4699" t="s">
        <v>296</v>
      </c>
      <c r="F4699" t="s">
        <v>5228</v>
      </c>
      <c r="G4699">
        <v>670</v>
      </c>
      <c r="H4699">
        <v>155124.17999999996</v>
      </c>
      <c r="I4699">
        <v>231.53</v>
      </c>
      <c r="J4699">
        <v>0</v>
      </c>
      <c r="K4699">
        <v>0</v>
      </c>
      <c r="L4699">
        <v>0</v>
      </c>
      <c r="M4699">
        <v>670</v>
      </c>
      <c r="N4699">
        <v>155124.17999999996</v>
      </c>
      <c r="O4699">
        <v>231.53</v>
      </c>
    </row>
    <row r="4700" spans="1:15" x14ac:dyDescent="0.35">
      <c r="A4700" t="s">
        <v>5225</v>
      </c>
      <c r="B4700" t="s">
        <v>5226</v>
      </c>
      <c r="C4700" t="s">
        <v>1477</v>
      </c>
      <c r="D4700" t="s">
        <v>293</v>
      </c>
      <c r="E4700" t="s">
        <v>298</v>
      </c>
      <c r="F4700" t="s">
        <v>5229</v>
      </c>
      <c r="G4700">
        <v>163</v>
      </c>
      <c r="H4700">
        <v>45828.810000000005</v>
      </c>
      <c r="I4700">
        <v>281.16000000000003</v>
      </c>
      <c r="J4700">
        <v>0</v>
      </c>
      <c r="K4700">
        <v>0</v>
      </c>
      <c r="L4700">
        <v>0</v>
      </c>
      <c r="M4700">
        <v>163</v>
      </c>
      <c r="N4700">
        <v>45828.810000000005</v>
      </c>
      <c r="O4700">
        <v>281.16000000000003</v>
      </c>
    </row>
    <row r="4701" spans="1:15" x14ac:dyDescent="0.35">
      <c r="A4701" t="s">
        <v>5225</v>
      </c>
      <c r="B4701" t="s">
        <v>5226</v>
      </c>
      <c r="C4701" t="s">
        <v>1477</v>
      </c>
      <c r="D4701" t="s">
        <v>293</v>
      </c>
      <c r="E4701" t="s">
        <v>300</v>
      </c>
      <c r="F4701" t="s">
        <v>5230</v>
      </c>
      <c r="G4701">
        <v>15</v>
      </c>
      <c r="H4701">
        <v>4822.9399999999996</v>
      </c>
      <c r="I4701">
        <v>321.52999999999997</v>
      </c>
      <c r="J4701">
        <v>0</v>
      </c>
      <c r="K4701">
        <v>0</v>
      </c>
      <c r="L4701">
        <v>0</v>
      </c>
      <c r="M4701">
        <v>15</v>
      </c>
      <c r="N4701">
        <v>4822.9399999999996</v>
      </c>
      <c r="O4701">
        <v>321.52999999999997</v>
      </c>
    </row>
    <row r="4702" spans="1:15" x14ac:dyDescent="0.35">
      <c r="A4702" t="s">
        <v>5225</v>
      </c>
      <c r="B4702" t="s">
        <v>5226</v>
      </c>
      <c r="C4702" t="s">
        <v>1477</v>
      </c>
      <c r="D4702" t="s">
        <v>293</v>
      </c>
      <c r="E4702" t="s">
        <v>302</v>
      </c>
      <c r="F4702" t="s">
        <v>5231</v>
      </c>
      <c r="G4702">
        <v>0</v>
      </c>
      <c r="H4702">
        <v>0</v>
      </c>
      <c r="I4702">
        <v>0</v>
      </c>
      <c r="J4702">
        <v>0</v>
      </c>
      <c r="K4702">
        <v>0</v>
      </c>
      <c r="L4702">
        <v>0</v>
      </c>
      <c r="M4702">
        <v>0</v>
      </c>
      <c r="N4702">
        <v>0</v>
      </c>
      <c r="O4702">
        <v>0</v>
      </c>
    </row>
    <row r="4703" spans="1:15" x14ac:dyDescent="0.35">
      <c r="A4703" t="s">
        <v>5225</v>
      </c>
      <c r="B4703" t="s">
        <v>5226</v>
      </c>
      <c r="C4703" t="s">
        <v>1477</v>
      </c>
      <c r="D4703" t="s">
        <v>293</v>
      </c>
      <c r="E4703" t="s">
        <v>304</v>
      </c>
      <c r="F4703" t="s">
        <v>5232</v>
      </c>
      <c r="G4703">
        <v>0</v>
      </c>
      <c r="H4703">
        <v>0</v>
      </c>
      <c r="I4703">
        <v>0</v>
      </c>
      <c r="J4703">
        <v>0</v>
      </c>
      <c r="K4703">
        <v>0</v>
      </c>
      <c r="L4703">
        <v>0</v>
      </c>
      <c r="M4703">
        <v>0</v>
      </c>
      <c r="N4703">
        <v>0</v>
      </c>
      <c r="O4703">
        <v>0</v>
      </c>
    </row>
    <row r="4704" spans="1:15" x14ac:dyDescent="0.35">
      <c r="A4704" t="s">
        <v>5225</v>
      </c>
      <c r="B4704" t="s">
        <v>5226</v>
      </c>
      <c r="C4704" t="s">
        <v>1477</v>
      </c>
      <c r="D4704" t="s">
        <v>293</v>
      </c>
      <c r="E4704" t="s">
        <v>306</v>
      </c>
      <c r="F4704" t="s">
        <v>5233</v>
      </c>
      <c r="G4704">
        <v>8</v>
      </c>
      <c r="H4704">
        <v>1283.04</v>
      </c>
      <c r="I4704">
        <v>160.38</v>
      </c>
      <c r="J4704">
        <v>0</v>
      </c>
      <c r="K4704">
        <v>0</v>
      </c>
      <c r="L4704">
        <v>0</v>
      </c>
      <c r="M4704">
        <v>8</v>
      </c>
      <c r="N4704">
        <v>1283.04</v>
      </c>
      <c r="O4704">
        <v>160.38</v>
      </c>
    </row>
    <row r="4705" spans="1:15" x14ac:dyDescent="0.35">
      <c r="A4705" t="s">
        <v>5225</v>
      </c>
      <c r="B4705" t="s">
        <v>5226</v>
      </c>
      <c r="C4705" t="s">
        <v>1477</v>
      </c>
      <c r="D4705" t="s">
        <v>293</v>
      </c>
      <c r="E4705" t="s">
        <v>308</v>
      </c>
      <c r="F4705" t="s">
        <v>5234</v>
      </c>
      <c r="G4705">
        <v>0</v>
      </c>
      <c r="H4705">
        <v>0</v>
      </c>
      <c r="I4705">
        <v>0</v>
      </c>
      <c r="J4705">
        <v>0</v>
      </c>
      <c r="K4705">
        <v>0</v>
      </c>
      <c r="L4705">
        <v>0</v>
      </c>
      <c r="M4705">
        <v>0</v>
      </c>
      <c r="N4705">
        <v>0</v>
      </c>
      <c r="O4705">
        <v>0</v>
      </c>
    </row>
    <row r="4706" spans="1:15" x14ac:dyDescent="0.35">
      <c r="A4706" t="s">
        <v>5225</v>
      </c>
      <c r="B4706" t="s">
        <v>5226</v>
      </c>
      <c r="C4706" t="s">
        <v>1477</v>
      </c>
      <c r="D4706" t="s">
        <v>293</v>
      </c>
      <c r="E4706" t="s">
        <v>310</v>
      </c>
      <c r="F4706" t="s">
        <v>5235</v>
      </c>
      <c r="G4706">
        <v>1238</v>
      </c>
      <c r="H4706">
        <v>278531.63999999996</v>
      </c>
      <c r="I4706">
        <v>224.99</v>
      </c>
      <c r="J4706">
        <v>0</v>
      </c>
      <c r="K4706">
        <v>0</v>
      </c>
      <c r="L4706">
        <v>0</v>
      </c>
      <c r="M4706">
        <v>1238</v>
      </c>
      <c r="N4706">
        <v>278531.63999999996</v>
      </c>
      <c r="O4706">
        <v>224.99</v>
      </c>
    </row>
    <row r="4707" spans="1:15" x14ac:dyDescent="0.35">
      <c r="A4707" t="s">
        <v>5225</v>
      </c>
      <c r="B4707" t="s">
        <v>5226</v>
      </c>
      <c r="C4707" t="s">
        <v>1477</v>
      </c>
      <c r="D4707" t="s">
        <v>293</v>
      </c>
      <c r="E4707" t="s">
        <v>312</v>
      </c>
      <c r="F4707" t="s">
        <v>5236</v>
      </c>
      <c r="G4707">
        <v>1238</v>
      </c>
      <c r="H4707">
        <v>278531.63999999996</v>
      </c>
      <c r="I4707">
        <v>224.99</v>
      </c>
      <c r="J4707">
        <v>0</v>
      </c>
      <c r="K4707">
        <v>0</v>
      </c>
      <c r="L4707">
        <v>0</v>
      </c>
      <c r="M4707">
        <v>1238</v>
      </c>
      <c r="N4707">
        <v>278531.63999999996</v>
      </c>
      <c r="O4707">
        <v>224.99</v>
      </c>
    </row>
    <row r="4708" spans="1:15" x14ac:dyDescent="0.35">
      <c r="A4708" t="s">
        <v>5225</v>
      </c>
      <c r="B4708" t="s">
        <v>5226</v>
      </c>
      <c r="C4708" t="s">
        <v>1477</v>
      </c>
      <c r="D4708" t="s">
        <v>314</v>
      </c>
      <c r="E4708" t="s">
        <v>294</v>
      </c>
      <c r="F4708" t="s">
        <v>5237</v>
      </c>
      <c r="G4708">
        <v>22</v>
      </c>
      <c r="H4708">
        <v>4397.3599999999997</v>
      </c>
      <c r="I4708">
        <v>199.88</v>
      </c>
      <c r="J4708">
        <v>0</v>
      </c>
      <c r="K4708">
        <v>0</v>
      </c>
      <c r="L4708">
        <v>0</v>
      </c>
      <c r="M4708">
        <v>22</v>
      </c>
      <c r="N4708">
        <v>4397.3599999999997</v>
      </c>
      <c r="O4708">
        <v>199.88</v>
      </c>
    </row>
    <row r="4709" spans="1:15" x14ac:dyDescent="0.35">
      <c r="A4709" t="s">
        <v>5225</v>
      </c>
      <c r="B4709" t="s">
        <v>5226</v>
      </c>
      <c r="C4709" t="s">
        <v>1477</v>
      </c>
      <c r="D4709" t="s">
        <v>314</v>
      </c>
      <c r="E4709" t="s">
        <v>296</v>
      </c>
      <c r="F4709" t="s">
        <v>5238</v>
      </c>
      <c r="G4709">
        <v>0</v>
      </c>
      <c r="H4709">
        <v>0</v>
      </c>
      <c r="I4709">
        <v>0</v>
      </c>
      <c r="J4709">
        <v>0</v>
      </c>
      <c r="K4709">
        <v>0</v>
      </c>
      <c r="L4709">
        <v>0</v>
      </c>
      <c r="M4709">
        <v>0</v>
      </c>
      <c r="N4709">
        <v>0</v>
      </c>
      <c r="O4709">
        <v>0</v>
      </c>
    </row>
    <row r="4710" spans="1:15" x14ac:dyDescent="0.35">
      <c r="A4710" t="s">
        <v>5225</v>
      </c>
      <c r="B4710" t="s">
        <v>5226</v>
      </c>
      <c r="C4710" t="s">
        <v>1477</v>
      </c>
      <c r="D4710" t="s">
        <v>314</v>
      </c>
      <c r="E4710" t="s">
        <v>298</v>
      </c>
      <c r="F4710" t="s">
        <v>5239</v>
      </c>
      <c r="G4710">
        <v>0</v>
      </c>
      <c r="H4710">
        <v>0</v>
      </c>
      <c r="I4710">
        <v>0</v>
      </c>
      <c r="J4710">
        <v>0</v>
      </c>
      <c r="K4710">
        <v>0</v>
      </c>
      <c r="L4710">
        <v>0</v>
      </c>
      <c r="M4710">
        <v>0</v>
      </c>
      <c r="N4710">
        <v>0</v>
      </c>
      <c r="O4710">
        <v>0</v>
      </c>
    </row>
    <row r="4711" spans="1:15" x14ac:dyDescent="0.35">
      <c r="A4711" t="s">
        <v>5225</v>
      </c>
      <c r="B4711" t="s">
        <v>5226</v>
      </c>
      <c r="C4711" t="s">
        <v>1477</v>
      </c>
      <c r="D4711" t="s">
        <v>314</v>
      </c>
      <c r="E4711" t="s">
        <v>300</v>
      </c>
      <c r="F4711" t="s">
        <v>5240</v>
      </c>
      <c r="G4711">
        <v>0</v>
      </c>
      <c r="H4711">
        <v>0</v>
      </c>
      <c r="I4711">
        <v>0</v>
      </c>
      <c r="J4711">
        <v>0</v>
      </c>
      <c r="K4711">
        <v>0</v>
      </c>
      <c r="L4711">
        <v>0</v>
      </c>
      <c r="M4711">
        <v>0</v>
      </c>
      <c r="N4711">
        <v>0</v>
      </c>
      <c r="O4711">
        <v>0</v>
      </c>
    </row>
    <row r="4712" spans="1:15" x14ac:dyDescent="0.35">
      <c r="A4712" t="s">
        <v>5225</v>
      </c>
      <c r="B4712" t="s">
        <v>5226</v>
      </c>
      <c r="C4712" t="s">
        <v>1477</v>
      </c>
      <c r="D4712" t="s">
        <v>314</v>
      </c>
      <c r="E4712" t="s">
        <v>306</v>
      </c>
      <c r="F4712" t="s">
        <v>5241</v>
      </c>
      <c r="G4712">
        <v>0</v>
      </c>
      <c r="H4712">
        <v>0</v>
      </c>
      <c r="I4712">
        <v>0</v>
      </c>
      <c r="J4712">
        <v>0</v>
      </c>
      <c r="K4712">
        <v>0</v>
      </c>
      <c r="L4712">
        <v>0</v>
      </c>
      <c r="M4712">
        <v>0</v>
      </c>
      <c r="N4712">
        <v>0</v>
      </c>
      <c r="O4712">
        <v>0</v>
      </c>
    </row>
    <row r="4713" spans="1:15" x14ac:dyDescent="0.35">
      <c r="A4713" t="s">
        <v>5225</v>
      </c>
      <c r="B4713" t="s">
        <v>5226</v>
      </c>
      <c r="C4713" t="s">
        <v>1477</v>
      </c>
      <c r="D4713" t="s">
        <v>314</v>
      </c>
      <c r="E4713" t="s">
        <v>308</v>
      </c>
      <c r="F4713" t="s">
        <v>5242</v>
      </c>
      <c r="G4713">
        <v>0</v>
      </c>
      <c r="H4713">
        <v>0</v>
      </c>
      <c r="I4713">
        <v>0</v>
      </c>
      <c r="J4713">
        <v>0</v>
      </c>
      <c r="K4713">
        <v>0</v>
      </c>
      <c r="L4713">
        <v>0</v>
      </c>
      <c r="M4713">
        <v>0</v>
      </c>
      <c r="N4713">
        <v>0</v>
      </c>
      <c r="O4713">
        <v>0</v>
      </c>
    </row>
    <row r="4714" spans="1:15" x14ac:dyDescent="0.35">
      <c r="A4714" t="s">
        <v>5225</v>
      </c>
      <c r="B4714" t="s">
        <v>5226</v>
      </c>
      <c r="C4714" t="s">
        <v>1477</v>
      </c>
      <c r="D4714" t="s">
        <v>314</v>
      </c>
      <c r="E4714" t="s">
        <v>312</v>
      </c>
      <c r="F4714" t="s">
        <v>5243</v>
      </c>
      <c r="G4714">
        <v>22</v>
      </c>
      <c r="H4714">
        <v>4397.3599999999997</v>
      </c>
      <c r="I4714">
        <v>199.88</v>
      </c>
      <c r="J4714">
        <v>0</v>
      </c>
      <c r="K4714">
        <v>0</v>
      </c>
      <c r="L4714">
        <v>0</v>
      </c>
      <c r="M4714">
        <v>22</v>
      </c>
      <c r="N4714">
        <v>4397.3599999999997</v>
      </c>
      <c r="O4714">
        <v>199.88</v>
      </c>
    </row>
    <row r="4715" spans="1:15" x14ac:dyDescent="0.35">
      <c r="A4715" t="s">
        <v>5225</v>
      </c>
      <c r="B4715" t="s">
        <v>5226</v>
      </c>
      <c r="C4715" t="s">
        <v>1477</v>
      </c>
      <c r="D4715" t="s">
        <v>314</v>
      </c>
      <c r="E4715" t="s">
        <v>310</v>
      </c>
      <c r="F4715" t="s">
        <v>5244</v>
      </c>
      <c r="G4715">
        <v>22</v>
      </c>
      <c r="H4715">
        <v>4397.3599999999997</v>
      </c>
      <c r="I4715">
        <v>199.88</v>
      </c>
      <c r="J4715">
        <v>0</v>
      </c>
      <c r="K4715">
        <v>0</v>
      </c>
      <c r="L4715">
        <v>0</v>
      </c>
      <c r="M4715">
        <v>22</v>
      </c>
      <c r="N4715">
        <v>4397.3599999999997</v>
      </c>
      <c r="O4715">
        <v>199.88</v>
      </c>
    </row>
    <row r="4716" spans="1:15" x14ac:dyDescent="0.35">
      <c r="A4716" t="s">
        <v>5225</v>
      </c>
      <c r="B4716" t="s">
        <v>5226</v>
      </c>
      <c r="C4716" t="s">
        <v>1477</v>
      </c>
      <c r="D4716" t="s">
        <v>323</v>
      </c>
      <c r="E4716" t="s">
        <v>294</v>
      </c>
      <c r="F4716" t="s">
        <v>5245</v>
      </c>
      <c r="G4716">
        <v>375</v>
      </c>
      <c r="H4716">
        <v>45900.25</v>
      </c>
      <c r="I4716">
        <v>122.4</v>
      </c>
      <c r="J4716">
        <v>1110</v>
      </c>
      <c r="K4716">
        <v>124886.1</v>
      </c>
      <c r="L4716">
        <v>112.51</v>
      </c>
      <c r="M4716">
        <v>1485</v>
      </c>
      <c r="N4716">
        <v>170786.35</v>
      </c>
      <c r="O4716">
        <v>115.01</v>
      </c>
    </row>
    <row r="4717" spans="1:15" x14ac:dyDescent="0.35">
      <c r="A4717" t="s">
        <v>5225</v>
      </c>
      <c r="B4717" t="s">
        <v>5226</v>
      </c>
      <c r="C4717" t="s">
        <v>1477</v>
      </c>
      <c r="D4717" t="s">
        <v>323</v>
      </c>
      <c r="E4717" t="s">
        <v>296</v>
      </c>
      <c r="F4717" t="s">
        <v>5246</v>
      </c>
      <c r="G4717">
        <v>788</v>
      </c>
      <c r="H4717">
        <v>111965.67</v>
      </c>
      <c r="I4717">
        <v>142.09</v>
      </c>
      <c r="J4717">
        <v>2731</v>
      </c>
      <c r="K4717">
        <v>353773.74</v>
      </c>
      <c r="L4717">
        <v>129.54</v>
      </c>
      <c r="M4717">
        <v>3519</v>
      </c>
      <c r="N4717">
        <v>465739.41</v>
      </c>
      <c r="O4717">
        <v>132.35</v>
      </c>
    </row>
    <row r="4718" spans="1:15" x14ac:dyDescent="0.35">
      <c r="A4718" t="s">
        <v>5225</v>
      </c>
      <c r="B4718" t="s">
        <v>5226</v>
      </c>
      <c r="C4718" t="s">
        <v>1477</v>
      </c>
      <c r="D4718" t="s">
        <v>323</v>
      </c>
      <c r="E4718" t="s">
        <v>298</v>
      </c>
      <c r="F4718" t="s">
        <v>5247</v>
      </c>
      <c r="G4718">
        <v>608</v>
      </c>
      <c r="H4718">
        <v>95777.09</v>
      </c>
      <c r="I4718">
        <v>157.53</v>
      </c>
      <c r="J4718">
        <v>3839</v>
      </c>
      <c r="K4718">
        <v>560302.04999999993</v>
      </c>
      <c r="L4718">
        <v>145.94999999999999</v>
      </c>
      <c r="M4718">
        <v>4447</v>
      </c>
      <c r="N4718">
        <v>656079.1399999999</v>
      </c>
      <c r="O4718">
        <v>147.53</v>
      </c>
    </row>
    <row r="4719" spans="1:15" x14ac:dyDescent="0.35">
      <c r="A4719" t="s">
        <v>5225</v>
      </c>
      <c r="B4719" t="s">
        <v>5226</v>
      </c>
      <c r="C4719" t="s">
        <v>1477</v>
      </c>
      <c r="D4719" t="s">
        <v>323</v>
      </c>
      <c r="E4719" t="s">
        <v>300</v>
      </c>
      <c r="F4719" t="s">
        <v>5248</v>
      </c>
      <c r="G4719">
        <v>120</v>
      </c>
      <c r="H4719">
        <v>20129.66</v>
      </c>
      <c r="I4719">
        <v>167.75</v>
      </c>
      <c r="J4719">
        <v>415</v>
      </c>
      <c r="K4719">
        <v>64993.150000000009</v>
      </c>
      <c r="L4719">
        <v>156.61000000000001</v>
      </c>
      <c r="M4719">
        <v>535</v>
      </c>
      <c r="N4719">
        <v>85122.810000000012</v>
      </c>
      <c r="O4719">
        <v>159.11000000000001</v>
      </c>
    </row>
    <row r="4720" spans="1:15" x14ac:dyDescent="0.35">
      <c r="A4720" t="s">
        <v>5225</v>
      </c>
      <c r="B4720" t="s">
        <v>5226</v>
      </c>
      <c r="C4720" t="s">
        <v>1477</v>
      </c>
      <c r="D4720" t="s">
        <v>323</v>
      </c>
      <c r="E4720" t="s">
        <v>302</v>
      </c>
      <c r="F4720" t="s">
        <v>5249</v>
      </c>
      <c r="G4720">
        <v>3</v>
      </c>
      <c r="H4720">
        <v>572.17000000000007</v>
      </c>
      <c r="I4720">
        <v>190.72</v>
      </c>
      <c r="J4720">
        <v>8</v>
      </c>
      <c r="K4720">
        <v>1337.04</v>
      </c>
      <c r="L4720">
        <v>167.13</v>
      </c>
      <c r="M4720">
        <v>11</v>
      </c>
      <c r="N4720">
        <v>1909.21</v>
      </c>
      <c r="O4720">
        <v>173.56</v>
      </c>
    </row>
    <row r="4721" spans="1:15" x14ac:dyDescent="0.35">
      <c r="A4721" t="s">
        <v>5225</v>
      </c>
      <c r="B4721" t="s">
        <v>5226</v>
      </c>
      <c r="C4721" t="s">
        <v>1477</v>
      </c>
      <c r="D4721" t="s">
        <v>323</v>
      </c>
      <c r="E4721" t="s">
        <v>304</v>
      </c>
      <c r="F4721" t="s">
        <v>5250</v>
      </c>
      <c r="G4721">
        <v>0</v>
      </c>
      <c r="H4721">
        <v>0</v>
      </c>
      <c r="I4721">
        <v>0</v>
      </c>
      <c r="J4721">
        <v>3</v>
      </c>
      <c r="K4721">
        <v>550.62</v>
      </c>
      <c r="L4721">
        <v>183.54</v>
      </c>
      <c r="M4721">
        <v>3</v>
      </c>
      <c r="N4721">
        <v>550.62</v>
      </c>
      <c r="O4721">
        <v>183.54</v>
      </c>
    </row>
    <row r="4722" spans="1:15" x14ac:dyDescent="0.35">
      <c r="A4722" t="s">
        <v>5225</v>
      </c>
      <c r="B4722" t="s">
        <v>5226</v>
      </c>
      <c r="C4722" t="s">
        <v>1477</v>
      </c>
      <c r="D4722" t="s">
        <v>323</v>
      </c>
      <c r="E4722" t="s">
        <v>306</v>
      </c>
      <c r="F4722" t="s">
        <v>5251</v>
      </c>
      <c r="G4722">
        <v>48</v>
      </c>
      <c r="H4722">
        <v>4725.7800000000007</v>
      </c>
      <c r="I4722">
        <v>98.45</v>
      </c>
      <c r="J4722">
        <v>239</v>
      </c>
      <c r="K4722">
        <v>22922.489999999998</v>
      </c>
      <c r="L4722">
        <v>95.91</v>
      </c>
      <c r="M4722">
        <v>287</v>
      </c>
      <c r="N4722">
        <v>27648.269999999997</v>
      </c>
      <c r="O4722">
        <v>96.34</v>
      </c>
    </row>
    <row r="4723" spans="1:15" x14ac:dyDescent="0.35">
      <c r="A4723" t="s">
        <v>5225</v>
      </c>
      <c r="B4723" t="s">
        <v>5226</v>
      </c>
      <c r="C4723" t="s">
        <v>1477</v>
      </c>
      <c r="D4723" t="s">
        <v>323</v>
      </c>
      <c r="E4723" t="s">
        <v>308</v>
      </c>
      <c r="F4723" t="s">
        <v>5252</v>
      </c>
      <c r="G4723">
        <v>0</v>
      </c>
      <c r="H4723">
        <v>0</v>
      </c>
      <c r="I4723">
        <v>0</v>
      </c>
      <c r="J4723">
        <v>0</v>
      </c>
      <c r="K4723">
        <v>0</v>
      </c>
      <c r="L4723">
        <v>0</v>
      </c>
      <c r="M4723">
        <v>0</v>
      </c>
      <c r="N4723">
        <v>0</v>
      </c>
      <c r="O4723">
        <v>0</v>
      </c>
    </row>
    <row r="4724" spans="1:15" x14ac:dyDescent="0.35">
      <c r="A4724" t="s">
        <v>5225</v>
      </c>
      <c r="B4724" t="s">
        <v>5226</v>
      </c>
      <c r="C4724" t="s">
        <v>1477</v>
      </c>
      <c r="D4724" t="s">
        <v>323</v>
      </c>
      <c r="E4724" t="s">
        <v>310</v>
      </c>
      <c r="F4724" t="s">
        <v>5253</v>
      </c>
      <c r="G4724">
        <v>1942</v>
      </c>
      <c r="H4724">
        <v>279070.62</v>
      </c>
      <c r="I4724">
        <v>143.69999999999999</v>
      </c>
      <c r="J4724">
        <v>8345</v>
      </c>
      <c r="K4724">
        <v>1128765.19</v>
      </c>
      <c r="L4724">
        <v>135.26</v>
      </c>
      <c r="M4724">
        <v>10287</v>
      </c>
      <c r="N4724">
        <v>1407835.81</v>
      </c>
      <c r="O4724">
        <v>136.86000000000001</v>
      </c>
    </row>
    <row r="4725" spans="1:15" x14ac:dyDescent="0.35">
      <c r="A4725" t="s">
        <v>5225</v>
      </c>
      <c r="B4725" t="s">
        <v>5226</v>
      </c>
      <c r="C4725" t="s">
        <v>1477</v>
      </c>
      <c r="D4725" t="s">
        <v>323</v>
      </c>
      <c r="E4725" t="s">
        <v>312</v>
      </c>
      <c r="F4725" t="s">
        <v>5254</v>
      </c>
      <c r="G4725">
        <v>1942</v>
      </c>
      <c r="H4725">
        <v>279070.62</v>
      </c>
      <c r="I4725">
        <v>143.69999999999999</v>
      </c>
      <c r="J4725">
        <v>8345</v>
      </c>
      <c r="K4725">
        <v>1128765.19</v>
      </c>
      <c r="L4725">
        <v>135.26</v>
      </c>
      <c r="M4725">
        <v>10287</v>
      </c>
      <c r="N4725">
        <v>1407835.81</v>
      </c>
      <c r="O4725">
        <v>136.86000000000001</v>
      </c>
    </row>
    <row r="4726" spans="1:15" x14ac:dyDescent="0.35">
      <c r="A4726" t="s">
        <v>5225</v>
      </c>
      <c r="B4726" t="s">
        <v>5226</v>
      </c>
      <c r="C4726" t="s">
        <v>1477</v>
      </c>
      <c r="D4726" t="s">
        <v>334</v>
      </c>
      <c r="E4726" t="s">
        <v>312</v>
      </c>
      <c r="F4726" t="s">
        <v>5255</v>
      </c>
      <c r="G4726">
        <v>3479</v>
      </c>
      <c r="H4726">
        <v>557602.26</v>
      </c>
      <c r="I4726">
        <v>175.35</v>
      </c>
      <c r="J4726">
        <v>8345</v>
      </c>
      <c r="K4726">
        <v>1128765.19</v>
      </c>
      <c r="L4726">
        <v>135.26</v>
      </c>
      <c r="M4726">
        <v>11824</v>
      </c>
      <c r="N4726">
        <v>1686367.45</v>
      </c>
      <c r="O4726">
        <v>146.32</v>
      </c>
    </row>
    <row r="4727" spans="1:15" x14ac:dyDescent="0.35">
      <c r="A4727" t="s">
        <v>5225</v>
      </c>
      <c r="B4727" t="s">
        <v>5226</v>
      </c>
      <c r="C4727" t="s">
        <v>1477</v>
      </c>
      <c r="D4727" t="s">
        <v>334</v>
      </c>
      <c r="E4727" t="s">
        <v>308</v>
      </c>
      <c r="F4727" t="s">
        <v>5256</v>
      </c>
      <c r="G4727">
        <v>0</v>
      </c>
      <c r="H4727">
        <v>0</v>
      </c>
      <c r="I4727">
        <v>0</v>
      </c>
      <c r="J4727">
        <v>0</v>
      </c>
      <c r="K4727">
        <v>0</v>
      </c>
      <c r="L4727">
        <v>0</v>
      </c>
      <c r="M4727">
        <v>0</v>
      </c>
      <c r="N4727">
        <v>0</v>
      </c>
      <c r="O4727">
        <v>0</v>
      </c>
    </row>
    <row r="4728" spans="1:15" x14ac:dyDescent="0.35">
      <c r="A4728" t="s">
        <v>5225</v>
      </c>
      <c r="B4728" t="s">
        <v>5226</v>
      </c>
      <c r="C4728" t="s">
        <v>1477</v>
      </c>
      <c r="D4728" t="s">
        <v>337</v>
      </c>
      <c r="E4728" t="s">
        <v>337</v>
      </c>
      <c r="F4728" t="s">
        <v>5257</v>
      </c>
      <c r="G4728">
        <v>492</v>
      </c>
      <c r="J4728">
        <v>1</v>
      </c>
      <c r="M4728">
        <v>493</v>
      </c>
    </row>
    <row r="4729" spans="1:15" x14ac:dyDescent="0.35">
      <c r="A4729" t="s">
        <v>5225</v>
      </c>
      <c r="B4729" t="s">
        <v>5226</v>
      </c>
      <c r="C4729" t="s">
        <v>1477</v>
      </c>
      <c r="D4729" t="s">
        <v>339</v>
      </c>
      <c r="E4729" t="s">
        <v>294</v>
      </c>
      <c r="F4729" t="s">
        <v>5258</v>
      </c>
      <c r="G4729">
        <v>310</v>
      </c>
      <c r="H4729">
        <v>45550.479999999996</v>
      </c>
      <c r="I4729">
        <v>146.94</v>
      </c>
      <c r="J4729">
        <v>1847</v>
      </c>
      <c r="K4729">
        <v>192826.80000000002</v>
      </c>
      <c r="L4729">
        <v>104.4</v>
      </c>
      <c r="M4729">
        <v>2157</v>
      </c>
      <c r="N4729">
        <v>238377.28000000003</v>
      </c>
      <c r="O4729">
        <v>110.51</v>
      </c>
    </row>
    <row r="4730" spans="1:15" x14ac:dyDescent="0.35">
      <c r="A4730" t="s">
        <v>5225</v>
      </c>
      <c r="B4730" t="s">
        <v>5226</v>
      </c>
      <c r="C4730" t="s">
        <v>1477</v>
      </c>
      <c r="D4730" t="s">
        <v>339</v>
      </c>
      <c r="E4730" t="s">
        <v>296</v>
      </c>
      <c r="F4730" t="s">
        <v>5259</v>
      </c>
      <c r="G4730">
        <v>33</v>
      </c>
      <c r="H4730">
        <v>5089.7599999999993</v>
      </c>
      <c r="I4730">
        <v>154.24</v>
      </c>
      <c r="J4730">
        <v>41</v>
      </c>
      <c r="K4730">
        <v>4625.21</v>
      </c>
      <c r="L4730">
        <v>112.81</v>
      </c>
      <c r="M4730">
        <v>74</v>
      </c>
      <c r="N4730">
        <v>9714.9699999999993</v>
      </c>
      <c r="O4730">
        <v>131.28</v>
      </c>
    </row>
    <row r="4731" spans="1:15" x14ac:dyDescent="0.35">
      <c r="A4731" t="s">
        <v>5225</v>
      </c>
      <c r="B4731" t="s">
        <v>5226</v>
      </c>
      <c r="C4731" t="s">
        <v>1477</v>
      </c>
      <c r="D4731" t="s">
        <v>339</v>
      </c>
      <c r="E4731" t="s">
        <v>298</v>
      </c>
      <c r="F4731" t="s">
        <v>5260</v>
      </c>
      <c r="G4731">
        <v>2</v>
      </c>
      <c r="H4731">
        <v>310.68</v>
      </c>
      <c r="I4731">
        <v>155.34</v>
      </c>
      <c r="J4731">
        <v>6</v>
      </c>
      <c r="K4731">
        <v>713.7</v>
      </c>
      <c r="L4731">
        <v>118.95</v>
      </c>
      <c r="M4731">
        <v>8</v>
      </c>
      <c r="N4731">
        <v>1024.3800000000001</v>
      </c>
      <c r="O4731">
        <v>128.05000000000001</v>
      </c>
    </row>
    <row r="4732" spans="1:15" x14ac:dyDescent="0.35">
      <c r="A4732" t="s">
        <v>5225</v>
      </c>
      <c r="B4732" t="s">
        <v>5226</v>
      </c>
      <c r="C4732" t="s">
        <v>1477</v>
      </c>
      <c r="D4732" t="s">
        <v>339</v>
      </c>
      <c r="E4732" t="s">
        <v>300</v>
      </c>
      <c r="F4732" t="s">
        <v>5261</v>
      </c>
      <c r="G4732">
        <v>1</v>
      </c>
      <c r="H4732">
        <v>172.59</v>
      </c>
      <c r="I4732">
        <v>172.59</v>
      </c>
      <c r="J4732">
        <v>0</v>
      </c>
      <c r="K4732">
        <v>0</v>
      </c>
      <c r="L4732">
        <v>0</v>
      </c>
      <c r="M4732">
        <v>1</v>
      </c>
      <c r="N4732">
        <v>172.59</v>
      </c>
      <c r="O4732">
        <v>172.59</v>
      </c>
    </row>
    <row r="4733" spans="1:15" x14ac:dyDescent="0.35">
      <c r="A4733" t="s">
        <v>5225</v>
      </c>
      <c r="B4733" t="s">
        <v>5226</v>
      </c>
      <c r="C4733" t="s">
        <v>1477</v>
      </c>
      <c r="D4733" t="s">
        <v>339</v>
      </c>
      <c r="E4733" t="s">
        <v>306</v>
      </c>
      <c r="F4733" t="s">
        <v>5262</v>
      </c>
      <c r="G4733">
        <v>5</v>
      </c>
      <c r="H4733">
        <v>630.16</v>
      </c>
      <c r="I4733">
        <v>126.03</v>
      </c>
      <c r="J4733">
        <v>0</v>
      </c>
      <c r="K4733">
        <v>0</v>
      </c>
      <c r="L4733">
        <v>0</v>
      </c>
      <c r="M4733">
        <v>5</v>
      </c>
      <c r="N4733">
        <v>630.16</v>
      </c>
      <c r="O4733">
        <v>126.03</v>
      </c>
    </row>
    <row r="4734" spans="1:15" x14ac:dyDescent="0.35">
      <c r="A4734" t="s">
        <v>5225</v>
      </c>
      <c r="B4734" t="s">
        <v>5226</v>
      </c>
      <c r="C4734" t="s">
        <v>1477</v>
      </c>
      <c r="D4734" t="s">
        <v>339</v>
      </c>
      <c r="E4734" t="s">
        <v>308</v>
      </c>
      <c r="F4734" t="s">
        <v>5263</v>
      </c>
      <c r="G4734">
        <v>74</v>
      </c>
      <c r="H4734">
        <v>10352.130000000001</v>
      </c>
      <c r="I4734">
        <v>139.88999999999999</v>
      </c>
      <c r="J4734">
        <v>0</v>
      </c>
      <c r="K4734">
        <v>0</v>
      </c>
      <c r="L4734">
        <v>0</v>
      </c>
      <c r="M4734">
        <v>74</v>
      </c>
      <c r="N4734">
        <v>10352.130000000001</v>
      </c>
      <c r="O4734">
        <v>139.88999999999999</v>
      </c>
    </row>
    <row r="4735" spans="1:15" x14ac:dyDescent="0.35">
      <c r="A4735" t="s">
        <v>5225</v>
      </c>
      <c r="B4735" t="s">
        <v>5226</v>
      </c>
      <c r="C4735" t="s">
        <v>1477</v>
      </c>
      <c r="D4735" t="s">
        <v>339</v>
      </c>
      <c r="E4735" t="s">
        <v>310</v>
      </c>
      <c r="F4735" t="s">
        <v>5264</v>
      </c>
      <c r="G4735">
        <v>425</v>
      </c>
      <c r="H4735">
        <v>62105.8</v>
      </c>
      <c r="I4735">
        <v>146.13</v>
      </c>
      <c r="J4735">
        <v>1894</v>
      </c>
      <c r="K4735">
        <v>198165.71000000002</v>
      </c>
      <c r="L4735">
        <v>104.63</v>
      </c>
      <c r="M4735">
        <v>2319</v>
      </c>
      <c r="N4735">
        <v>260271.51</v>
      </c>
      <c r="O4735">
        <v>112.23</v>
      </c>
    </row>
    <row r="4736" spans="1:15" x14ac:dyDescent="0.35">
      <c r="A4736" t="s">
        <v>5225</v>
      </c>
      <c r="B4736" t="s">
        <v>5226</v>
      </c>
      <c r="C4736" t="s">
        <v>1477</v>
      </c>
      <c r="D4736" t="s">
        <v>339</v>
      </c>
      <c r="E4736" t="s">
        <v>312</v>
      </c>
      <c r="F4736" t="s">
        <v>5265</v>
      </c>
      <c r="G4736">
        <v>351</v>
      </c>
      <c r="H4736">
        <v>51753.67</v>
      </c>
      <c r="I4736">
        <v>147.44999999999999</v>
      </c>
      <c r="J4736">
        <v>1894</v>
      </c>
      <c r="K4736">
        <v>198165.71000000002</v>
      </c>
      <c r="L4736">
        <v>104.63</v>
      </c>
      <c r="M4736">
        <v>2245</v>
      </c>
      <c r="N4736">
        <v>249919.38</v>
      </c>
      <c r="O4736">
        <v>111.32</v>
      </c>
    </row>
    <row r="4737" spans="1:15" x14ac:dyDescent="0.35">
      <c r="A4737" t="s">
        <v>5225</v>
      </c>
      <c r="B4737" t="s">
        <v>5226</v>
      </c>
      <c r="C4737" t="s">
        <v>1477</v>
      </c>
      <c r="D4737" t="s">
        <v>348</v>
      </c>
      <c r="E4737" t="s">
        <v>349</v>
      </c>
      <c r="F4737" t="s">
        <v>5266</v>
      </c>
      <c r="G4737">
        <v>555</v>
      </c>
      <c r="H4737">
        <v>66503.16</v>
      </c>
      <c r="I4737">
        <v>148.78</v>
      </c>
      <c r="J4737">
        <v>1894</v>
      </c>
      <c r="K4737">
        <v>198165.71000000002</v>
      </c>
      <c r="L4737">
        <v>104.63</v>
      </c>
      <c r="M4737">
        <v>2449</v>
      </c>
      <c r="N4737">
        <v>264668.87</v>
      </c>
      <c r="O4737">
        <v>113.06</v>
      </c>
    </row>
    <row r="4738" spans="1:15" x14ac:dyDescent="0.35">
      <c r="A4738" t="s">
        <v>5267</v>
      </c>
      <c r="B4738" t="s">
        <v>5268</v>
      </c>
      <c r="C4738" t="s">
        <v>1477</v>
      </c>
      <c r="D4738" t="s">
        <v>293</v>
      </c>
      <c r="E4738" t="s">
        <v>294</v>
      </c>
      <c r="F4738" t="s">
        <v>5269</v>
      </c>
      <c r="G4738">
        <v>297</v>
      </c>
      <c r="H4738">
        <v>57075</v>
      </c>
      <c r="I4738">
        <v>192.17</v>
      </c>
      <c r="J4738">
        <v>0</v>
      </c>
      <c r="K4738">
        <v>0</v>
      </c>
      <c r="L4738">
        <v>0</v>
      </c>
      <c r="M4738">
        <v>297</v>
      </c>
      <c r="N4738">
        <v>57075</v>
      </c>
      <c r="O4738">
        <v>192.17</v>
      </c>
    </row>
    <row r="4739" spans="1:15" x14ac:dyDescent="0.35">
      <c r="A4739" t="s">
        <v>5267</v>
      </c>
      <c r="B4739" t="s">
        <v>5268</v>
      </c>
      <c r="C4739" t="s">
        <v>1477</v>
      </c>
      <c r="D4739" t="s">
        <v>293</v>
      </c>
      <c r="E4739" t="s">
        <v>296</v>
      </c>
      <c r="F4739" t="s">
        <v>5270</v>
      </c>
      <c r="G4739">
        <v>405</v>
      </c>
      <c r="H4739">
        <v>96468.559999999983</v>
      </c>
      <c r="I4739">
        <v>238.19</v>
      </c>
      <c r="J4739">
        <v>0</v>
      </c>
      <c r="K4739">
        <v>0</v>
      </c>
      <c r="L4739">
        <v>0</v>
      </c>
      <c r="M4739">
        <v>405</v>
      </c>
      <c r="N4739">
        <v>96468.559999999983</v>
      </c>
      <c r="O4739">
        <v>238.19</v>
      </c>
    </row>
    <row r="4740" spans="1:15" x14ac:dyDescent="0.35">
      <c r="A4740" t="s">
        <v>5267</v>
      </c>
      <c r="B4740" t="s">
        <v>5268</v>
      </c>
      <c r="C4740" t="s">
        <v>1477</v>
      </c>
      <c r="D4740" t="s">
        <v>293</v>
      </c>
      <c r="E4740" t="s">
        <v>298</v>
      </c>
      <c r="F4740" t="s">
        <v>5271</v>
      </c>
      <c r="G4740">
        <v>163</v>
      </c>
      <c r="H4740">
        <v>45020.789999999994</v>
      </c>
      <c r="I4740">
        <v>276.2</v>
      </c>
      <c r="J4740">
        <v>0</v>
      </c>
      <c r="K4740">
        <v>0</v>
      </c>
      <c r="L4740">
        <v>0</v>
      </c>
      <c r="M4740">
        <v>163</v>
      </c>
      <c r="N4740">
        <v>45020.789999999994</v>
      </c>
      <c r="O4740">
        <v>276.2</v>
      </c>
    </row>
    <row r="4741" spans="1:15" x14ac:dyDescent="0.35">
      <c r="A4741" t="s">
        <v>5267</v>
      </c>
      <c r="B4741" t="s">
        <v>5268</v>
      </c>
      <c r="C4741" t="s">
        <v>1477</v>
      </c>
      <c r="D4741" t="s">
        <v>293</v>
      </c>
      <c r="E4741" t="s">
        <v>300</v>
      </c>
      <c r="F4741" t="s">
        <v>5272</v>
      </c>
      <c r="G4741">
        <v>12</v>
      </c>
      <c r="H4741">
        <v>3287.13</v>
      </c>
      <c r="I4741">
        <v>273.93</v>
      </c>
      <c r="J4741">
        <v>0</v>
      </c>
      <c r="K4741">
        <v>0</v>
      </c>
      <c r="L4741">
        <v>0</v>
      </c>
      <c r="M4741">
        <v>12</v>
      </c>
      <c r="N4741">
        <v>3287.13</v>
      </c>
      <c r="O4741">
        <v>273.93</v>
      </c>
    </row>
    <row r="4742" spans="1:15" x14ac:dyDescent="0.35">
      <c r="A4742" t="s">
        <v>5267</v>
      </c>
      <c r="B4742" t="s">
        <v>5268</v>
      </c>
      <c r="C4742" t="s">
        <v>1477</v>
      </c>
      <c r="D4742" t="s">
        <v>293</v>
      </c>
      <c r="E4742" t="s">
        <v>302</v>
      </c>
      <c r="F4742" t="s">
        <v>5273</v>
      </c>
      <c r="G4742">
        <v>0</v>
      </c>
      <c r="H4742">
        <v>0</v>
      </c>
      <c r="I4742">
        <v>0</v>
      </c>
      <c r="J4742">
        <v>0</v>
      </c>
      <c r="K4742">
        <v>0</v>
      </c>
      <c r="L4742">
        <v>0</v>
      </c>
      <c r="M4742">
        <v>0</v>
      </c>
      <c r="N4742">
        <v>0</v>
      </c>
      <c r="O4742">
        <v>0</v>
      </c>
    </row>
    <row r="4743" spans="1:15" x14ac:dyDescent="0.35">
      <c r="A4743" t="s">
        <v>5267</v>
      </c>
      <c r="B4743" t="s">
        <v>5268</v>
      </c>
      <c r="C4743" t="s">
        <v>1477</v>
      </c>
      <c r="D4743" t="s">
        <v>293</v>
      </c>
      <c r="E4743" t="s">
        <v>304</v>
      </c>
      <c r="F4743" t="s">
        <v>5274</v>
      </c>
      <c r="G4743">
        <v>0</v>
      </c>
      <c r="H4743">
        <v>0</v>
      </c>
      <c r="I4743">
        <v>0</v>
      </c>
      <c r="J4743">
        <v>0</v>
      </c>
      <c r="K4743">
        <v>0</v>
      </c>
      <c r="L4743">
        <v>0</v>
      </c>
      <c r="M4743">
        <v>0</v>
      </c>
      <c r="N4743">
        <v>0</v>
      </c>
      <c r="O4743">
        <v>0</v>
      </c>
    </row>
    <row r="4744" spans="1:15" x14ac:dyDescent="0.35">
      <c r="A4744" t="s">
        <v>5267</v>
      </c>
      <c r="B4744" t="s">
        <v>5268</v>
      </c>
      <c r="C4744" t="s">
        <v>1477</v>
      </c>
      <c r="D4744" t="s">
        <v>293</v>
      </c>
      <c r="E4744" t="s">
        <v>306</v>
      </c>
      <c r="F4744" t="s">
        <v>5275</v>
      </c>
      <c r="G4744">
        <v>0</v>
      </c>
      <c r="H4744">
        <v>0</v>
      </c>
      <c r="I4744">
        <v>0</v>
      </c>
      <c r="J4744">
        <v>0</v>
      </c>
      <c r="K4744">
        <v>0</v>
      </c>
      <c r="L4744">
        <v>0</v>
      </c>
      <c r="M4744">
        <v>0</v>
      </c>
      <c r="N4744">
        <v>0</v>
      </c>
      <c r="O4744">
        <v>0</v>
      </c>
    </row>
    <row r="4745" spans="1:15" x14ac:dyDescent="0.35">
      <c r="A4745" t="s">
        <v>5267</v>
      </c>
      <c r="B4745" t="s">
        <v>5268</v>
      </c>
      <c r="C4745" t="s">
        <v>1477</v>
      </c>
      <c r="D4745" t="s">
        <v>293</v>
      </c>
      <c r="E4745" t="s">
        <v>308</v>
      </c>
      <c r="F4745" t="s">
        <v>5276</v>
      </c>
      <c r="G4745">
        <v>0</v>
      </c>
      <c r="H4745">
        <v>0</v>
      </c>
      <c r="I4745">
        <v>0</v>
      </c>
      <c r="J4745">
        <v>0</v>
      </c>
      <c r="K4745">
        <v>0</v>
      </c>
      <c r="L4745">
        <v>0</v>
      </c>
      <c r="M4745">
        <v>0</v>
      </c>
      <c r="N4745">
        <v>0</v>
      </c>
      <c r="O4745">
        <v>0</v>
      </c>
    </row>
    <row r="4746" spans="1:15" x14ac:dyDescent="0.35">
      <c r="A4746" t="s">
        <v>5267</v>
      </c>
      <c r="B4746" t="s">
        <v>5268</v>
      </c>
      <c r="C4746" t="s">
        <v>1477</v>
      </c>
      <c r="D4746" t="s">
        <v>293</v>
      </c>
      <c r="E4746" t="s">
        <v>310</v>
      </c>
      <c r="F4746" t="s">
        <v>5277</v>
      </c>
      <c r="G4746">
        <v>877</v>
      </c>
      <c r="H4746">
        <v>201851.47999999998</v>
      </c>
      <c r="I4746">
        <v>230.16</v>
      </c>
      <c r="J4746">
        <v>0</v>
      </c>
      <c r="K4746">
        <v>0</v>
      </c>
      <c r="L4746">
        <v>0</v>
      </c>
      <c r="M4746">
        <v>877</v>
      </c>
      <c r="N4746">
        <v>201851.47999999998</v>
      </c>
      <c r="O4746">
        <v>230.16</v>
      </c>
    </row>
    <row r="4747" spans="1:15" x14ac:dyDescent="0.35">
      <c r="A4747" t="s">
        <v>5267</v>
      </c>
      <c r="B4747" t="s">
        <v>5268</v>
      </c>
      <c r="C4747" t="s">
        <v>1477</v>
      </c>
      <c r="D4747" t="s">
        <v>293</v>
      </c>
      <c r="E4747" t="s">
        <v>312</v>
      </c>
      <c r="F4747" t="s">
        <v>5278</v>
      </c>
      <c r="G4747">
        <v>877</v>
      </c>
      <c r="H4747">
        <v>201851.47999999998</v>
      </c>
      <c r="I4747">
        <v>230.16</v>
      </c>
      <c r="J4747">
        <v>0</v>
      </c>
      <c r="K4747">
        <v>0</v>
      </c>
      <c r="L4747">
        <v>0</v>
      </c>
      <c r="M4747">
        <v>877</v>
      </c>
      <c r="N4747">
        <v>201851.47999999998</v>
      </c>
      <c r="O4747">
        <v>230.16</v>
      </c>
    </row>
    <row r="4748" spans="1:15" x14ac:dyDescent="0.35">
      <c r="A4748" t="s">
        <v>5267</v>
      </c>
      <c r="B4748" t="s">
        <v>5268</v>
      </c>
      <c r="C4748" t="s">
        <v>1477</v>
      </c>
      <c r="D4748" t="s">
        <v>314</v>
      </c>
      <c r="E4748" t="s">
        <v>294</v>
      </c>
      <c r="F4748" t="s">
        <v>5279</v>
      </c>
      <c r="G4748">
        <v>4</v>
      </c>
      <c r="H4748">
        <v>1064.96</v>
      </c>
      <c r="I4748">
        <v>266.24</v>
      </c>
      <c r="J4748">
        <v>0</v>
      </c>
      <c r="K4748">
        <v>0</v>
      </c>
      <c r="L4748">
        <v>0</v>
      </c>
      <c r="M4748">
        <v>4</v>
      </c>
      <c r="N4748">
        <v>1064.96</v>
      </c>
      <c r="O4748">
        <v>266.24</v>
      </c>
    </row>
    <row r="4749" spans="1:15" x14ac:dyDescent="0.35">
      <c r="A4749" t="s">
        <v>5267</v>
      </c>
      <c r="B4749" t="s">
        <v>5268</v>
      </c>
      <c r="C4749" t="s">
        <v>1477</v>
      </c>
      <c r="D4749" t="s">
        <v>314</v>
      </c>
      <c r="E4749" t="s">
        <v>296</v>
      </c>
      <c r="F4749" t="s">
        <v>5280</v>
      </c>
      <c r="G4749">
        <v>0</v>
      </c>
      <c r="H4749">
        <v>0</v>
      </c>
      <c r="I4749">
        <v>0</v>
      </c>
      <c r="J4749">
        <v>0</v>
      </c>
      <c r="K4749">
        <v>0</v>
      </c>
      <c r="L4749">
        <v>0</v>
      </c>
      <c r="M4749">
        <v>0</v>
      </c>
      <c r="N4749">
        <v>0</v>
      </c>
      <c r="O4749">
        <v>0</v>
      </c>
    </row>
    <row r="4750" spans="1:15" x14ac:dyDescent="0.35">
      <c r="A4750" t="s">
        <v>5267</v>
      </c>
      <c r="B4750" t="s">
        <v>5268</v>
      </c>
      <c r="C4750" t="s">
        <v>1477</v>
      </c>
      <c r="D4750" t="s">
        <v>314</v>
      </c>
      <c r="E4750" t="s">
        <v>298</v>
      </c>
      <c r="F4750" t="s">
        <v>5281</v>
      </c>
      <c r="G4750">
        <v>0</v>
      </c>
      <c r="H4750">
        <v>0</v>
      </c>
      <c r="I4750">
        <v>0</v>
      </c>
      <c r="J4750">
        <v>0</v>
      </c>
      <c r="K4750">
        <v>0</v>
      </c>
      <c r="L4750">
        <v>0</v>
      </c>
      <c r="M4750">
        <v>0</v>
      </c>
      <c r="N4750">
        <v>0</v>
      </c>
      <c r="O4750">
        <v>0</v>
      </c>
    </row>
    <row r="4751" spans="1:15" x14ac:dyDescent="0.35">
      <c r="A4751" t="s">
        <v>5267</v>
      </c>
      <c r="B4751" t="s">
        <v>5268</v>
      </c>
      <c r="C4751" t="s">
        <v>1477</v>
      </c>
      <c r="D4751" t="s">
        <v>314</v>
      </c>
      <c r="E4751" t="s">
        <v>300</v>
      </c>
      <c r="F4751" t="s">
        <v>5282</v>
      </c>
      <c r="G4751">
        <v>0</v>
      </c>
      <c r="H4751">
        <v>0</v>
      </c>
      <c r="I4751">
        <v>0</v>
      </c>
      <c r="J4751">
        <v>0</v>
      </c>
      <c r="K4751">
        <v>0</v>
      </c>
      <c r="L4751">
        <v>0</v>
      </c>
      <c r="M4751">
        <v>0</v>
      </c>
      <c r="N4751">
        <v>0</v>
      </c>
      <c r="O4751">
        <v>0</v>
      </c>
    </row>
    <row r="4752" spans="1:15" x14ac:dyDescent="0.35">
      <c r="A4752" t="s">
        <v>5267</v>
      </c>
      <c r="B4752" t="s">
        <v>5268</v>
      </c>
      <c r="C4752" t="s">
        <v>1477</v>
      </c>
      <c r="D4752" t="s">
        <v>314</v>
      </c>
      <c r="E4752" t="s">
        <v>306</v>
      </c>
      <c r="F4752" t="s">
        <v>5283</v>
      </c>
      <c r="G4752">
        <v>0</v>
      </c>
      <c r="H4752">
        <v>0</v>
      </c>
      <c r="I4752">
        <v>0</v>
      </c>
      <c r="J4752">
        <v>0</v>
      </c>
      <c r="K4752">
        <v>0</v>
      </c>
      <c r="L4752">
        <v>0</v>
      </c>
      <c r="M4752">
        <v>0</v>
      </c>
      <c r="N4752">
        <v>0</v>
      </c>
      <c r="O4752">
        <v>0</v>
      </c>
    </row>
    <row r="4753" spans="1:15" x14ac:dyDescent="0.35">
      <c r="A4753" t="s">
        <v>5267</v>
      </c>
      <c r="B4753" t="s">
        <v>5268</v>
      </c>
      <c r="C4753" t="s">
        <v>1477</v>
      </c>
      <c r="D4753" t="s">
        <v>314</v>
      </c>
      <c r="E4753" t="s">
        <v>308</v>
      </c>
      <c r="F4753" t="s">
        <v>5284</v>
      </c>
      <c r="G4753">
        <v>0</v>
      </c>
      <c r="H4753">
        <v>0</v>
      </c>
      <c r="I4753">
        <v>0</v>
      </c>
      <c r="J4753">
        <v>0</v>
      </c>
      <c r="K4753">
        <v>0</v>
      </c>
      <c r="L4753">
        <v>0</v>
      </c>
      <c r="M4753">
        <v>0</v>
      </c>
      <c r="N4753">
        <v>0</v>
      </c>
      <c r="O4753">
        <v>0</v>
      </c>
    </row>
    <row r="4754" spans="1:15" x14ac:dyDescent="0.35">
      <c r="A4754" t="s">
        <v>5267</v>
      </c>
      <c r="B4754" t="s">
        <v>5268</v>
      </c>
      <c r="C4754" t="s">
        <v>1477</v>
      </c>
      <c r="D4754" t="s">
        <v>314</v>
      </c>
      <c r="E4754" t="s">
        <v>312</v>
      </c>
      <c r="F4754" t="s">
        <v>5285</v>
      </c>
      <c r="G4754">
        <v>4</v>
      </c>
      <c r="H4754">
        <v>1064.96</v>
      </c>
      <c r="I4754">
        <v>266.24</v>
      </c>
      <c r="J4754">
        <v>0</v>
      </c>
      <c r="K4754">
        <v>0</v>
      </c>
      <c r="L4754">
        <v>0</v>
      </c>
      <c r="M4754">
        <v>4</v>
      </c>
      <c r="N4754">
        <v>1064.96</v>
      </c>
      <c r="O4754">
        <v>266.24</v>
      </c>
    </row>
    <row r="4755" spans="1:15" x14ac:dyDescent="0.35">
      <c r="A4755" t="s">
        <v>5267</v>
      </c>
      <c r="B4755" t="s">
        <v>5268</v>
      </c>
      <c r="C4755" t="s">
        <v>1477</v>
      </c>
      <c r="D4755" t="s">
        <v>314</v>
      </c>
      <c r="E4755" t="s">
        <v>310</v>
      </c>
      <c r="F4755" t="s">
        <v>5286</v>
      </c>
      <c r="G4755">
        <v>4</v>
      </c>
      <c r="H4755">
        <v>1064.96</v>
      </c>
      <c r="I4755">
        <v>266.24</v>
      </c>
      <c r="J4755">
        <v>0</v>
      </c>
      <c r="K4755">
        <v>0</v>
      </c>
      <c r="L4755">
        <v>0</v>
      </c>
      <c r="M4755">
        <v>4</v>
      </c>
      <c r="N4755">
        <v>1064.96</v>
      </c>
      <c r="O4755">
        <v>266.24</v>
      </c>
    </row>
    <row r="4756" spans="1:15" x14ac:dyDescent="0.35">
      <c r="A4756" t="s">
        <v>5267</v>
      </c>
      <c r="B4756" t="s">
        <v>5268</v>
      </c>
      <c r="C4756" t="s">
        <v>1477</v>
      </c>
      <c r="D4756" t="s">
        <v>323</v>
      </c>
      <c r="E4756" t="s">
        <v>294</v>
      </c>
      <c r="F4756" t="s">
        <v>5287</v>
      </c>
      <c r="G4756">
        <v>1202</v>
      </c>
      <c r="H4756">
        <v>148631.65999999997</v>
      </c>
      <c r="I4756">
        <v>123.65</v>
      </c>
      <c r="J4756">
        <v>0</v>
      </c>
      <c r="K4756">
        <v>0</v>
      </c>
      <c r="L4756">
        <v>0</v>
      </c>
      <c r="M4756">
        <v>1202</v>
      </c>
      <c r="N4756">
        <v>148631.65999999997</v>
      </c>
      <c r="O4756">
        <v>123.65</v>
      </c>
    </row>
    <row r="4757" spans="1:15" x14ac:dyDescent="0.35">
      <c r="A4757" t="s">
        <v>5267</v>
      </c>
      <c r="B4757" t="s">
        <v>5268</v>
      </c>
      <c r="C4757" t="s">
        <v>1477</v>
      </c>
      <c r="D4757" t="s">
        <v>323</v>
      </c>
      <c r="E4757" t="s">
        <v>296</v>
      </c>
      <c r="F4757" t="s">
        <v>5288</v>
      </c>
      <c r="G4757">
        <v>1918</v>
      </c>
      <c r="H4757">
        <v>279550.48</v>
      </c>
      <c r="I4757">
        <v>145.75</v>
      </c>
      <c r="J4757">
        <v>0</v>
      </c>
      <c r="K4757">
        <v>0</v>
      </c>
      <c r="L4757">
        <v>0</v>
      </c>
      <c r="M4757">
        <v>1918</v>
      </c>
      <c r="N4757">
        <v>279550.48</v>
      </c>
      <c r="O4757">
        <v>145.75</v>
      </c>
    </row>
    <row r="4758" spans="1:15" x14ac:dyDescent="0.35">
      <c r="A4758" t="s">
        <v>5267</v>
      </c>
      <c r="B4758" t="s">
        <v>5268</v>
      </c>
      <c r="C4758" t="s">
        <v>1477</v>
      </c>
      <c r="D4758" t="s">
        <v>323</v>
      </c>
      <c r="E4758" t="s">
        <v>298</v>
      </c>
      <c r="F4758" t="s">
        <v>5289</v>
      </c>
      <c r="G4758">
        <v>2047</v>
      </c>
      <c r="H4758">
        <v>341969.38</v>
      </c>
      <c r="I4758">
        <v>167.06</v>
      </c>
      <c r="J4758">
        <v>0</v>
      </c>
      <c r="K4758">
        <v>0</v>
      </c>
      <c r="L4758">
        <v>0</v>
      </c>
      <c r="M4758">
        <v>2047</v>
      </c>
      <c r="N4758">
        <v>341969.38</v>
      </c>
      <c r="O4758">
        <v>167.06</v>
      </c>
    </row>
    <row r="4759" spans="1:15" x14ac:dyDescent="0.35">
      <c r="A4759" t="s">
        <v>5267</v>
      </c>
      <c r="B4759" t="s">
        <v>5268</v>
      </c>
      <c r="C4759" t="s">
        <v>1477</v>
      </c>
      <c r="D4759" t="s">
        <v>323</v>
      </c>
      <c r="E4759" t="s">
        <v>300</v>
      </c>
      <c r="F4759" t="s">
        <v>5290</v>
      </c>
      <c r="G4759">
        <v>201</v>
      </c>
      <c r="H4759">
        <v>36572.789999999994</v>
      </c>
      <c r="I4759">
        <v>181.95</v>
      </c>
      <c r="J4759">
        <v>0</v>
      </c>
      <c r="K4759">
        <v>0</v>
      </c>
      <c r="L4759">
        <v>0</v>
      </c>
      <c r="M4759">
        <v>201</v>
      </c>
      <c r="N4759">
        <v>36572.789999999994</v>
      </c>
      <c r="O4759">
        <v>181.95</v>
      </c>
    </row>
    <row r="4760" spans="1:15" x14ac:dyDescent="0.35">
      <c r="A4760" t="s">
        <v>5267</v>
      </c>
      <c r="B4760" t="s">
        <v>5268</v>
      </c>
      <c r="C4760" t="s">
        <v>1477</v>
      </c>
      <c r="D4760" t="s">
        <v>323</v>
      </c>
      <c r="E4760" t="s">
        <v>302</v>
      </c>
      <c r="F4760" t="s">
        <v>5291</v>
      </c>
      <c r="G4760">
        <v>11</v>
      </c>
      <c r="H4760">
        <v>1949.86</v>
      </c>
      <c r="I4760">
        <v>177.26</v>
      </c>
      <c r="J4760">
        <v>0</v>
      </c>
      <c r="K4760">
        <v>0</v>
      </c>
      <c r="L4760">
        <v>0</v>
      </c>
      <c r="M4760">
        <v>11</v>
      </c>
      <c r="N4760">
        <v>1949.86</v>
      </c>
      <c r="O4760">
        <v>177.26</v>
      </c>
    </row>
    <row r="4761" spans="1:15" x14ac:dyDescent="0.35">
      <c r="A4761" t="s">
        <v>5267</v>
      </c>
      <c r="B4761" t="s">
        <v>5268</v>
      </c>
      <c r="C4761" t="s">
        <v>1477</v>
      </c>
      <c r="D4761" t="s">
        <v>323</v>
      </c>
      <c r="E4761" t="s">
        <v>304</v>
      </c>
      <c r="F4761" t="s">
        <v>5292</v>
      </c>
      <c r="G4761">
        <v>1</v>
      </c>
      <c r="H4761">
        <v>216.28</v>
      </c>
      <c r="I4761">
        <v>216.28</v>
      </c>
      <c r="J4761">
        <v>0</v>
      </c>
      <c r="K4761">
        <v>0</v>
      </c>
      <c r="L4761">
        <v>0</v>
      </c>
      <c r="M4761">
        <v>1</v>
      </c>
      <c r="N4761">
        <v>216.28</v>
      </c>
      <c r="O4761">
        <v>216.28</v>
      </c>
    </row>
    <row r="4762" spans="1:15" x14ac:dyDescent="0.35">
      <c r="A4762" t="s">
        <v>5267</v>
      </c>
      <c r="B4762" t="s">
        <v>5268</v>
      </c>
      <c r="C4762" t="s">
        <v>1477</v>
      </c>
      <c r="D4762" t="s">
        <v>323</v>
      </c>
      <c r="E4762" t="s">
        <v>306</v>
      </c>
      <c r="F4762" t="s">
        <v>5293</v>
      </c>
      <c r="G4762">
        <v>48</v>
      </c>
      <c r="H4762">
        <v>5340.4400000000005</v>
      </c>
      <c r="I4762">
        <v>111.26</v>
      </c>
      <c r="J4762">
        <v>0</v>
      </c>
      <c r="K4762">
        <v>0</v>
      </c>
      <c r="L4762">
        <v>0</v>
      </c>
      <c r="M4762">
        <v>48</v>
      </c>
      <c r="N4762">
        <v>5340.4400000000005</v>
      </c>
      <c r="O4762">
        <v>111.26</v>
      </c>
    </row>
    <row r="4763" spans="1:15" x14ac:dyDescent="0.35">
      <c r="A4763" t="s">
        <v>5267</v>
      </c>
      <c r="B4763" t="s">
        <v>5268</v>
      </c>
      <c r="C4763" t="s">
        <v>1477</v>
      </c>
      <c r="D4763" t="s">
        <v>323</v>
      </c>
      <c r="E4763" t="s">
        <v>308</v>
      </c>
      <c r="F4763" t="s">
        <v>5294</v>
      </c>
      <c r="G4763">
        <v>0</v>
      </c>
      <c r="H4763">
        <v>0</v>
      </c>
      <c r="I4763">
        <v>0</v>
      </c>
      <c r="J4763">
        <v>0</v>
      </c>
      <c r="K4763">
        <v>0</v>
      </c>
      <c r="L4763">
        <v>0</v>
      </c>
      <c r="M4763">
        <v>0</v>
      </c>
      <c r="N4763">
        <v>0</v>
      </c>
      <c r="O4763">
        <v>0</v>
      </c>
    </row>
    <row r="4764" spans="1:15" x14ac:dyDescent="0.35">
      <c r="A4764" t="s">
        <v>5267</v>
      </c>
      <c r="B4764" t="s">
        <v>5268</v>
      </c>
      <c r="C4764" t="s">
        <v>1477</v>
      </c>
      <c r="D4764" t="s">
        <v>323</v>
      </c>
      <c r="E4764" t="s">
        <v>310</v>
      </c>
      <c r="F4764" t="s">
        <v>5295</v>
      </c>
      <c r="G4764">
        <v>5428</v>
      </c>
      <c r="H4764">
        <v>814230.89</v>
      </c>
      <c r="I4764">
        <v>150.01</v>
      </c>
      <c r="J4764">
        <v>0</v>
      </c>
      <c r="K4764">
        <v>0</v>
      </c>
      <c r="L4764">
        <v>0</v>
      </c>
      <c r="M4764">
        <v>5428</v>
      </c>
      <c r="N4764">
        <v>814230.89</v>
      </c>
      <c r="O4764">
        <v>150.01</v>
      </c>
    </row>
    <row r="4765" spans="1:15" x14ac:dyDescent="0.35">
      <c r="A4765" t="s">
        <v>5267</v>
      </c>
      <c r="B4765" t="s">
        <v>5268</v>
      </c>
      <c r="C4765" t="s">
        <v>1477</v>
      </c>
      <c r="D4765" t="s">
        <v>323</v>
      </c>
      <c r="E4765" t="s">
        <v>312</v>
      </c>
      <c r="F4765" t="s">
        <v>5296</v>
      </c>
      <c r="G4765">
        <v>5428</v>
      </c>
      <c r="H4765">
        <v>814230.89</v>
      </c>
      <c r="I4765">
        <v>150.01</v>
      </c>
      <c r="J4765">
        <v>0</v>
      </c>
      <c r="K4765">
        <v>0</v>
      </c>
      <c r="L4765">
        <v>0</v>
      </c>
      <c r="M4765">
        <v>5428</v>
      </c>
      <c r="N4765">
        <v>814230.89</v>
      </c>
      <c r="O4765">
        <v>150.01</v>
      </c>
    </row>
    <row r="4766" spans="1:15" x14ac:dyDescent="0.35">
      <c r="A4766" t="s">
        <v>5267</v>
      </c>
      <c r="B4766" t="s">
        <v>5268</v>
      </c>
      <c r="C4766" t="s">
        <v>1477</v>
      </c>
      <c r="D4766" t="s">
        <v>334</v>
      </c>
      <c r="E4766" t="s">
        <v>312</v>
      </c>
      <c r="F4766" t="s">
        <v>5297</v>
      </c>
      <c r="G4766">
        <v>6513</v>
      </c>
      <c r="H4766">
        <v>1016082.3699999999</v>
      </c>
      <c r="I4766">
        <v>161.16</v>
      </c>
      <c r="J4766">
        <v>0</v>
      </c>
      <c r="K4766">
        <v>0</v>
      </c>
      <c r="L4766">
        <v>0</v>
      </c>
      <c r="M4766">
        <v>6513</v>
      </c>
      <c r="N4766">
        <v>1016082.3699999999</v>
      </c>
      <c r="O4766">
        <v>161.16</v>
      </c>
    </row>
    <row r="4767" spans="1:15" x14ac:dyDescent="0.35">
      <c r="A4767" t="s">
        <v>5267</v>
      </c>
      <c r="B4767" t="s">
        <v>5268</v>
      </c>
      <c r="C4767" t="s">
        <v>1477</v>
      </c>
      <c r="D4767" t="s">
        <v>334</v>
      </c>
      <c r="E4767" t="s">
        <v>308</v>
      </c>
      <c r="F4767" t="s">
        <v>5298</v>
      </c>
      <c r="G4767">
        <v>0</v>
      </c>
      <c r="H4767">
        <v>0</v>
      </c>
      <c r="I4767">
        <v>0</v>
      </c>
      <c r="J4767">
        <v>0</v>
      </c>
      <c r="K4767">
        <v>0</v>
      </c>
      <c r="L4767">
        <v>0</v>
      </c>
      <c r="M4767">
        <v>0</v>
      </c>
      <c r="N4767">
        <v>0</v>
      </c>
      <c r="O4767">
        <v>0</v>
      </c>
    </row>
    <row r="4768" spans="1:15" x14ac:dyDescent="0.35">
      <c r="A4768" t="s">
        <v>5267</v>
      </c>
      <c r="B4768" t="s">
        <v>5268</v>
      </c>
      <c r="C4768" t="s">
        <v>1477</v>
      </c>
      <c r="D4768" t="s">
        <v>337</v>
      </c>
      <c r="E4768" t="s">
        <v>337</v>
      </c>
      <c r="F4768" t="s">
        <v>5299</v>
      </c>
      <c r="G4768">
        <v>545</v>
      </c>
      <c r="J4768">
        <v>0</v>
      </c>
      <c r="M4768">
        <v>545</v>
      </c>
    </row>
    <row r="4769" spans="1:15" x14ac:dyDescent="0.35">
      <c r="A4769" t="s">
        <v>5267</v>
      </c>
      <c r="B4769" t="s">
        <v>5268</v>
      </c>
      <c r="C4769" t="s">
        <v>1477</v>
      </c>
      <c r="D4769" t="s">
        <v>339</v>
      </c>
      <c r="E4769" t="s">
        <v>294</v>
      </c>
      <c r="F4769" t="s">
        <v>5300</v>
      </c>
      <c r="G4769">
        <v>746</v>
      </c>
      <c r="H4769">
        <v>100483.13</v>
      </c>
      <c r="I4769">
        <v>134.69999999999999</v>
      </c>
      <c r="J4769">
        <v>0</v>
      </c>
      <c r="K4769">
        <v>0</v>
      </c>
      <c r="L4769">
        <v>0</v>
      </c>
      <c r="M4769">
        <v>746</v>
      </c>
      <c r="N4769">
        <v>100483.13</v>
      </c>
      <c r="O4769">
        <v>134.69999999999999</v>
      </c>
    </row>
    <row r="4770" spans="1:15" x14ac:dyDescent="0.35">
      <c r="A4770" t="s">
        <v>5267</v>
      </c>
      <c r="B4770" t="s">
        <v>5268</v>
      </c>
      <c r="C4770" t="s">
        <v>1477</v>
      </c>
      <c r="D4770" t="s">
        <v>339</v>
      </c>
      <c r="E4770" t="s">
        <v>296</v>
      </c>
      <c r="F4770" t="s">
        <v>5301</v>
      </c>
      <c r="G4770">
        <v>116</v>
      </c>
      <c r="H4770">
        <v>17991.86</v>
      </c>
      <c r="I4770">
        <v>155.1</v>
      </c>
      <c r="J4770">
        <v>0</v>
      </c>
      <c r="K4770">
        <v>0</v>
      </c>
      <c r="L4770">
        <v>0</v>
      </c>
      <c r="M4770">
        <v>116</v>
      </c>
      <c r="N4770">
        <v>17991.86</v>
      </c>
      <c r="O4770">
        <v>155.1</v>
      </c>
    </row>
    <row r="4771" spans="1:15" x14ac:dyDescent="0.35">
      <c r="A4771" t="s">
        <v>5267</v>
      </c>
      <c r="B4771" t="s">
        <v>5268</v>
      </c>
      <c r="C4771" t="s">
        <v>1477</v>
      </c>
      <c r="D4771" t="s">
        <v>339</v>
      </c>
      <c r="E4771" t="s">
        <v>298</v>
      </c>
      <c r="F4771" t="s">
        <v>5302</v>
      </c>
      <c r="G4771">
        <v>1</v>
      </c>
      <c r="H4771">
        <v>199.84</v>
      </c>
      <c r="I4771">
        <v>199.84</v>
      </c>
      <c r="J4771">
        <v>0</v>
      </c>
      <c r="K4771">
        <v>0</v>
      </c>
      <c r="L4771">
        <v>0</v>
      </c>
      <c r="M4771">
        <v>1</v>
      </c>
      <c r="N4771">
        <v>199.84</v>
      </c>
      <c r="O4771">
        <v>199.84</v>
      </c>
    </row>
    <row r="4772" spans="1:15" x14ac:dyDescent="0.35">
      <c r="A4772" t="s">
        <v>5267</v>
      </c>
      <c r="B4772" t="s">
        <v>5268</v>
      </c>
      <c r="C4772" t="s">
        <v>1477</v>
      </c>
      <c r="D4772" t="s">
        <v>339</v>
      </c>
      <c r="E4772" t="s">
        <v>300</v>
      </c>
      <c r="F4772" t="s">
        <v>5303</v>
      </c>
      <c r="G4772">
        <v>0</v>
      </c>
      <c r="H4772">
        <v>0</v>
      </c>
      <c r="I4772">
        <v>0</v>
      </c>
      <c r="J4772">
        <v>0</v>
      </c>
      <c r="K4772">
        <v>0</v>
      </c>
      <c r="L4772">
        <v>0</v>
      </c>
      <c r="M4772">
        <v>0</v>
      </c>
      <c r="N4772">
        <v>0</v>
      </c>
      <c r="O4772">
        <v>0</v>
      </c>
    </row>
    <row r="4773" spans="1:15" x14ac:dyDescent="0.35">
      <c r="A4773" t="s">
        <v>5267</v>
      </c>
      <c r="B4773" t="s">
        <v>5268</v>
      </c>
      <c r="C4773" t="s">
        <v>1477</v>
      </c>
      <c r="D4773" t="s">
        <v>339</v>
      </c>
      <c r="E4773" t="s">
        <v>306</v>
      </c>
      <c r="F4773" t="s">
        <v>5304</v>
      </c>
      <c r="G4773">
        <v>4</v>
      </c>
      <c r="H4773">
        <v>483.92</v>
      </c>
      <c r="I4773">
        <v>120.98</v>
      </c>
      <c r="J4773">
        <v>0</v>
      </c>
      <c r="K4773">
        <v>0</v>
      </c>
      <c r="L4773">
        <v>0</v>
      </c>
      <c r="M4773">
        <v>4</v>
      </c>
      <c r="N4773">
        <v>483.92</v>
      </c>
      <c r="O4773">
        <v>120.98</v>
      </c>
    </row>
    <row r="4774" spans="1:15" x14ac:dyDescent="0.35">
      <c r="A4774" t="s">
        <v>5267</v>
      </c>
      <c r="B4774" t="s">
        <v>5268</v>
      </c>
      <c r="C4774" t="s">
        <v>1477</v>
      </c>
      <c r="D4774" t="s">
        <v>339</v>
      </c>
      <c r="E4774" t="s">
        <v>308</v>
      </c>
      <c r="F4774" t="s">
        <v>5305</v>
      </c>
      <c r="G4774">
        <v>33</v>
      </c>
      <c r="H4774">
        <v>3444.5699999999997</v>
      </c>
      <c r="I4774">
        <v>104.38</v>
      </c>
      <c r="J4774">
        <v>0</v>
      </c>
      <c r="K4774">
        <v>0</v>
      </c>
      <c r="L4774">
        <v>0</v>
      </c>
      <c r="M4774">
        <v>33</v>
      </c>
      <c r="N4774">
        <v>3444.5699999999997</v>
      </c>
      <c r="O4774">
        <v>104.38</v>
      </c>
    </row>
    <row r="4775" spans="1:15" x14ac:dyDescent="0.35">
      <c r="A4775" t="s">
        <v>5267</v>
      </c>
      <c r="B4775" t="s">
        <v>5268</v>
      </c>
      <c r="C4775" t="s">
        <v>1477</v>
      </c>
      <c r="D4775" t="s">
        <v>339</v>
      </c>
      <c r="E4775" t="s">
        <v>310</v>
      </c>
      <c r="F4775" t="s">
        <v>5306</v>
      </c>
      <c r="G4775">
        <v>900</v>
      </c>
      <c r="H4775">
        <v>122603.32</v>
      </c>
      <c r="I4775">
        <v>136.22999999999999</v>
      </c>
      <c r="J4775">
        <v>0</v>
      </c>
      <c r="K4775">
        <v>0</v>
      </c>
      <c r="L4775">
        <v>0</v>
      </c>
      <c r="M4775">
        <v>900</v>
      </c>
      <c r="N4775">
        <v>122603.32</v>
      </c>
      <c r="O4775">
        <v>136.22999999999999</v>
      </c>
    </row>
    <row r="4776" spans="1:15" x14ac:dyDescent="0.35">
      <c r="A4776" t="s">
        <v>5267</v>
      </c>
      <c r="B4776" t="s">
        <v>5268</v>
      </c>
      <c r="C4776" t="s">
        <v>1477</v>
      </c>
      <c r="D4776" t="s">
        <v>339</v>
      </c>
      <c r="E4776" t="s">
        <v>312</v>
      </c>
      <c r="F4776" t="s">
        <v>5307</v>
      </c>
      <c r="G4776">
        <v>867</v>
      </c>
      <c r="H4776">
        <v>119158.75</v>
      </c>
      <c r="I4776">
        <v>137.44</v>
      </c>
      <c r="J4776">
        <v>0</v>
      </c>
      <c r="K4776">
        <v>0</v>
      </c>
      <c r="L4776">
        <v>0</v>
      </c>
      <c r="M4776">
        <v>867</v>
      </c>
      <c r="N4776">
        <v>119158.75</v>
      </c>
      <c r="O4776">
        <v>137.44</v>
      </c>
    </row>
    <row r="4777" spans="1:15" x14ac:dyDescent="0.35">
      <c r="A4777" t="s">
        <v>5267</v>
      </c>
      <c r="B4777" t="s">
        <v>5268</v>
      </c>
      <c r="C4777" t="s">
        <v>1477</v>
      </c>
      <c r="D4777" t="s">
        <v>348</v>
      </c>
      <c r="E4777" t="s">
        <v>349</v>
      </c>
      <c r="F4777" t="s">
        <v>5308</v>
      </c>
      <c r="G4777">
        <v>985</v>
      </c>
      <c r="H4777">
        <v>123668.28</v>
      </c>
      <c r="I4777">
        <v>136.80000000000001</v>
      </c>
      <c r="J4777">
        <v>0</v>
      </c>
      <c r="K4777">
        <v>0</v>
      </c>
      <c r="L4777">
        <v>0</v>
      </c>
      <c r="M4777">
        <v>985</v>
      </c>
      <c r="N4777">
        <v>123668.28</v>
      </c>
      <c r="O4777">
        <v>136.80000000000001</v>
      </c>
    </row>
    <row r="4778" spans="1:15" x14ac:dyDescent="0.35">
      <c r="A4778" t="s">
        <v>5309</v>
      </c>
      <c r="B4778" t="s">
        <v>5310</v>
      </c>
      <c r="C4778" t="s">
        <v>1477</v>
      </c>
      <c r="D4778" t="s">
        <v>293</v>
      </c>
      <c r="E4778" t="s">
        <v>294</v>
      </c>
      <c r="F4778" t="s">
        <v>5311</v>
      </c>
      <c r="G4778">
        <v>173</v>
      </c>
      <c r="H4778">
        <v>27591.170000000002</v>
      </c>
      <c r="I4778">
        <v>159.49</v>
      </c>
      <c r="J4778">
        <v>0</v>
      </c>
      <c r="K4778">
        <v>0</v>
      </c>
      <c r="L4778">
        <v>0</v>
      </c>
      <c r="M4778">
        <v>173</v>
      </c>
      <c r="N4778">
        <v>27591.170000000002</v>
      </c>
      <c r="O4778">
        <v>159.49</v>
      </c>
    </row>
    <row r="4779" spans="1:15" x14ac:dyDescent="0.35">
      <c r="A4779" t="s">
        <v>5309</v>
      </c>
      <c r="B4779" t="s">
        <v>5310</v>
      </c>
      <c r="C4779" t="s">
        <v>1477</v>
      </c>
      <c r="D4779" t="s">
        <v>293</v>
      </c>
      <c r="E4779" t="s">
        <v>296</v>
      </c>
      <c r="F4779" t="s">
        <v>5312</v>
      </c>
      <c r="G4779">
        <v>269</v>
      </c>
      <c r="H4779">
        <v>56197.919999999998</v>
      </c>
      <c r="I4779">
        <v>208.91</v>
      </c>
      <c r="J4779">
        <v>0</v>
      </c>
      <c r="K4779">
        <v>0</v>
      </c>
      <c r="L4779">
        <v>0</v>
      </c>
      <c r="M4779">
        <v>269</v>
      </c>
      <c r="N4779">
        <v>56197.919999999998</v>
      </c>
      <c r="O4779">
        <v>208.91</v>
      </c>
    </row>
    <row r="4780" spans="1:15" x14ac:dyDescent="0.35">
      <c r="A4780" t="s">
        <v>5309</v>
      </c>
      <c r="B4780" t="s">
        <v>5310</v>
      </c>
      <c r="C4780" t="s">
        <v>1477</v>
      </c>
      <c r="D4780" t="s">
        <v>293</v>
      </c>
      <c r="E4780" t="s">
        <v>298</v>
      </c>
      <c r="F4780" t="s">
        <v>5313</v>
      </c>
      <c r="G4780">
        <v>88</v>
      </c>
      <c r="H4780">
        <v>21430.620000000003</v>
      </c>
      <c r="I4780">
        <v>243.53</v>
      </c>
      <c r="J4780">
        <v>0</v>
      </c>
      <c r="K4780">
        <v>0</v>
      </c>
      <c r="L4780">
        <v>0</v>
      </c>
      <c r="M4780">
        <v>88</v>
      </c>
      <c r="N4780">
        <v>21430.620000000003</v>
      </c>
      <c r="O4780">
        <v>243.53</v>
      </c>
    </row>
    <row r="4781" spans="1:15" x14ac:dyDescent="0.35">
      <c r="A4781" t="s">
        <v>5309</v>
      </c>
      <c r="B4781" t="s">
        <v>5310</v>
      </c>
      <c r="C4781" t="s">
        <v>1477</v>
      </c>
      <c r="D4781" t="s">
        <v>293</v>
      </c>
      <c r="E4781" t="s">
        <v>300</v>
      </c>
      <c r="F4781" t="s">
        <v>5314</v>
      </c>
      <c r="G4781">
        <v>4</v>
      </c>
      <c r="H4781">
        <v>777.04</v>
      </c>
      <c r="I4781">
        <v>194.26</v>
      </c>
      <c r="J4781">
        <v>0</v>
      </c>
      <c r="K4781">
        <v>0</v>
      </c>
      <c r="L4781">
        <v>0</v>
      </c>
      <c r="M4781">
        <v>4</v>
      </c>
      <c r="N4781">
        <v>777.04</v>
      </c>
      <c r="O4781">
        <v>194.26</v>
      </c>
    </row>
    <row r="4782" spans="1:15" x14ac:dyDescent="0.35">
      <c r="A4782" t="s">
        <v>5309</v>
      </c>
      <c r="B4782" t="s">
        <v>5310</v>
      </c>
      <c r="C4782" t="s">
        <v>1477</v>
      </c>
      <c r="D4782" t="s">
        <v>293</v>
      </c>
      <c r="E4782" t="s">
        <v>302</v>
      </c>
      <c r="F4782" t="s">
        <v>5315</v>
      </c>
      <c r="G4782">
        <v>0</v>
      </c>
      <c r="H4782">
        <v>0</v>
      </c>
      <c r="I4782">
        <v>0</v>
      </c>
      <c r="J4782">
        <v>0</v>
      </c>
      <c r="K4782">
        <v>0</v>
      </c>
      <c r="L4782">
        <v>0</v>
      </c>
      <c r="M4782">
        <v>0</v>
      </c>
      <c r="N4782">
        <v>0</v>
      </c>
      <c r="O4782">
        <v>0</v>
      </c>
    </row>
    <row r="4783" spans="1:15" x14ac:dyDescent="0.35">
      <c r="A4783" t="s">
        <v>5309</v>
      </c>
      <c r="B4783" t="s">
        <v>5310</v>
      </c>
      <c r="C4783" t="s">
        <v>1477</v>
      </c>
      <c r="D4783" t="s">
        <v>293</v>
      </c>
      <c r="E4783" t="s">
        <v>304</v>
      </c>
      <c r="F4783" t="s">
        <v>5316</v>
      </c>
      <c r="G4783">
        <v>0</v>
      </c>
      <c r="H4783">
        <v>0</v>
      </c>
      <c r="I4783">
        <v>0</v>
      </c>
      <c r="J4783">
        <v>0</v>
      </c>
      <c r="K4783">
        <v>0</v>
      </c>
      <c r="L4783">
        <v>0</v>
      </c>
      <c r="M4783">
        <v>0</v>
      </c>
      <c r="N4783">
        <v>0</v>
      </c>
      <c r="O4783">
        <v>0</v>
      </c>
    </row>
    <row r="4784" spans="1:15" x14ac:dyDescent="0.35">
      <c r="A4784" t="s">
        <v>5309</v>
      </c>
      <c r="B4784" t="s">
        <v>5310</v>
      </c>
      <c r="C4784" t="s">
        <v>1477</v>
      </c>
      <c r="D4784" t="s">
        <v>293</v>
      </c>
      <c r="E4784" t="s">
        <v>306</v>
      </c>
      <c r="F4784" t="s">
        <v>5317</v>
      </c>
      <c r="G4784">
        <v>0</v>
      </c>
      <c r="H4784">
        <v>0</v>
      </c>
      <c r="I4784">
        <v>0</v>
      </c>
      <c r="J4784">
        <v>0</v>
      </c>
      <c r="K4784">
        <v>0</v>
      </c>
      <c r="L4784">
        <v>0</v>
      </c>
      <c r="M4784">
        <v>0</v>
      </c>
      <c r="N4784">
        <v>0</v>
      </c>
      <c r="O4784">
        <v>0</v>
      </c>
    </row>
    <row r="4785" spans="1:15" x14ac:dyDescent="0.35">
      <c r="A4785" t="s">
        <v>5309</v>
      </c>
      <c r="B4785" t="s">
        <v>5310</v>
      </c>
      <c r="C4785" t="s">
        <v>1477</v>
      </c>
      <c r="D4785" t="s">
        <v>293</v>
      </c>
      <c r="E4785" t="s">
        <v>308</v>
      </c>
      <c r="F4785" t="s">
        <v>5318</v>
      </c>
      <c r="G4785">
        <v>0</v>
      </c>
      <c r="H4785">
        <v>0</v>
      </c>
      <c r="I4785">
        <v>0</v>
      </c>
      <c r="J4785">
        <v>0</v>
      </c>
      <c r="K4785">
        <v>0</v>
      </c>
      <c r="L4785">
        <v>0</v>
      </c>
      <c r="M4785">
        <v>0</v>
      </c>
      <c r="N4785">
        <v>0</v>
      </c>
      <c r="O4785">
        <v>0</v>
      </c>
    </row>
    <row r="4786" spans="1:15" x14ac:dyDescent="0.35">
      <c r="A4786" t="s">
        <v>5309</v>
      </c>
      <c r="B4786" t="s">
        <v>5310</v>
      </c>
      <c r="C4786" t="s">
        <v>1477</v>
      </c>
      <c r="D4786" t="s">
        <v>293</v>
      </c>
      <c r="E4786" t="s">
        <v>310</v>
      </c>
      <c r="F4786" t="s">
        <v>5319</v>
      </c>
      <c r="G4786">
        <v>534</v>
      </c>
      <c r="H4786">
        <v>105996.74999999999</v>
      </c>
      <c r="I4786">
        <v>198.5</v>
      </c>
      <c r="J4786">
        <v>0</v>
      </c>
      <c r="K4786">
        <v>0</v>
      </c>
      <c r="L4786">
        <v>0</v>
      </c>
      <c r="M4786">
        <v>534</v>
      </c>
      <c r="N4786">
        <v>105996.74999999999</v>
      </c>
      <c r="O4786">
        <v>198.5</v>
      </c>
    </row>
    <row r="4787" spans="1:15" x14ac:dyDescent="0.35">
      <c r="A4787" t="s">
        <v>5309</v>
      </c>
      <c r="B4787" t="s">
        <v>5310</v>
      </c>
      <c r="C4787" t="s">
        <v>1477</v>
      </c>
      <c r="D4787" t="s">
        <v>293</v>
      </c>
      <c r="E4787" t="s">
        <v>312</v>
      </c>
      <c r="F4787" t="s">
        <v>5320</v>
      </c>
      <c r="G4787">
        <v>534</v>
      </c>
      <c r="H4787">
        <v>105996.74999999999</v>
      </c>
      <c r="I4787">
        <v>198.5</v>
      </c>
      <c r="J4787">
        <v>0</v>
      </c>
      <c r="K4787">
        <v>0</v>
      </c>
      <c r="L4787">
        <v>0</v>
      </c>
      <c r="M4787">
        <v>534</v>
      </c>
      <c r="N4787">
        <v>105996.74999999999</v>
      </c>
      <c r="O4787">
        <v>198.5</v>
      </c>
    </row>
    <row r="4788" spans="1:15" x14ac:dyDescent="0.35">
      <c r="A4788" t="s">
        <v>5309</v>
      </c>
      <c r="B4788" t="s">
        <v>5310</v>
      </c>
      <c r="C4788" t="s">
        <v>1477</v>
      </c>
      <c r="D4788" t="s">
        <v>323</v>
      </c>
      <c r="E4788" t="s">
        <v>294</v>
      </c>
      <c r="F4788" t="s">
        <v>5321</v>
      </c>
      <c r="G4788">
        <v>1579</v>
      </c>
      <c r="H4788">
        <v>173774.07999999999</v>
      </c>
      <c r="I4788">
        <v>110.05</v>
      </c>
      <c r="J4788">
        <v>0</v>
      </c>
      <c r="K4788">
        <v>0</v>
      </c>
      <c r="L4788">
        <v>0</v>
      </c>
      <c r="M4788">
        <v>1579</v>
      </c>
      <c r="N4788">
        <v>173774.07999999999</v>
      </c>
      <c r="O4788">
        <v>110.05</v>
      </c>
    </row>
    <row r="4789" spans="1:15" x14ac:dyDescent="0.35">
      <c r="A4789" t="s">
        <v>5309</v>
      </c>
      <c r="B4789" t="s">
        <v>5310</v>
      </c>
      <c r="C4789" t="s">
        <v>1477</v>
      </c>
      <c r="D4789" t="s">
        <v>323</v>
      </c>
      <c r="E4789" t="s">
        <v>296</v>
      </c>
      <c r="F4789" t="s">
        <v>5322</v>
      </c>
      <c r="G4789">
        <v>2679</v>
      </c>
      <c r="H4789">
        <v>357585.79</v>
      </c>
      <c r="I4789">
        <v>133.47999999999999</v>
      </c>
      <c r="J4789">
        <v>0</v>
      </c>
      <c r="K4789">
        <v>0</v>
      </c>
      <c r="L4789">
        <v>0</v>
      </c>
      <c r="M4789">
        <v>2679</v>
      </c>
      <c r="N4789">
        <v>357585.79</v>
      </c>
      <c r="O4789">
        <v>133.47999999999999</v>
      </c>
    </row>
    <row r="4790" spans="1:15" x14ac:dyDescent="0.35">
      <c r="A4790" t="s">
        <v>5309</v>
      </c>
      <c r="B4790" t="s">
        <v>5310</v>
      </c>
      <c r="C4790" t="s">
        <v>1477</v>
      </c>
      <c r="D4790" t="s">
        <v>323</v>
      </c>
      <c r="E4790" t="s">
        <v>298</v>
      </c>
      <c r="F4790" t="s">
        <v>5323</v>
      </c>
      <c r="G4790">
        <v>4502</v>
      </c>
      <c r="H4790">
        <v>643788.36</v>
      </c>
      <c r="I4790">
        <v>143</v>
      </c>
      <c r="J4790">
        <v>0</v>
      </c>
      <c r="K4790">
        <v>0</v>
      </c>
      <c r="L4790">
        <v>0</v>
      </c>
      <c r="M4790">
        <v>4502</v>
      </c>
      <c r="N4790">
        <v>643788.36</v>
      </c>
      <c r="O4790">
        <v>143</v>
      </c>
    </row>
    <row r="4791" spans="1:15" x14ac:dyDescent="0.35">
      <c r="A4791" t="s">
        <v>5309</v>
      </c>
      <c r="B4791" t="s">
        <v>5310</v>
      </c>
      <c r="C4791" t="s">
        <v>1477</v>
      </c>
      <c r="D4791" t="s">
        <v>323</v>
      </c>
      <c r="E4791" t="s">
        <v>300</v>
      </c>
      <c r="F4791" t="s">
        <v>5324</v>
      </c>
      <c r="G4791">
        <v>216</v>
      </c>
      <c r="H4791">
        <v>35264.630000000005</v>
      </c>
      <c r="I4791">
        <v>163.26</v>
      </c>
      <c r="J4791">
        <v>0</v>
      </c>
      <c r="K4791">
        <v>0</v>
      </c>
      <c r="L4791">
        <v>0</v>
      </c>
      <c r="M4791">
        <v>216</v>
      </c>
      <c r="N4791">
        <v>35264.630000000005</v>
      </c>
      <c r="O4791">
        <v>163.26</v>
      </c>
    </row>
    <row r="4792" spans="1:15" x14ac:dyDescent="0.35">
      <c r="A4792" t="s">
        <v>5309</v>
      </c>
      <c r="B4792" t="s">
        <v>5310</v>
      </c>
      <c r="C4792" t="s">
        <v>1477</v>
      </c>
      <c r="D4792" t="s">
        <v>323</v>
      </c>
      <c r="E4792" t="s">
        <v>302</v>
      </c>
      <c r="F4792" t="s">
        <v>5325</v>
      </c>
      <c r="G4792">
        <v>5</v>
      </c>
      <c r="H4792">
        <v>921.87</v>
      </c>
      <c r="I4792">
        <v>184.37</v>
      </c>
      <c r="J4792">
        <v>0</v>
      </c>
      <c r="K4792">
        <v>0</v>
      </c>
      <c r="L4792">
        <v>0</v>
      </c>
      <c r="M4792">
        <v>5</v>
      </c>
      <c r="N4792">
        <v>921.87</v>
      </c>
      <c r="O4792">
        <v>184.37</v>
      </c>
    </row>
    <row r="4793" spans="1:15" x14ac:dyDescent="0.35">
      <c r="A4793" t="s">
        <v>5309</v>
      </c>
      <c r="B4793" t="s">
        <v>5310</v>
      </c>
      <c r="C4793" t="s">
        <v>1477</v>
      </c>
      <c r="D4793" t="s">
        <v>323</v>
      </c>
      <c r="E4793" t="s">
        <v>304</v>
      </c>
      <c r="F4793" t="s">
        <v>5326</v>
      </c>
      <c r="G4793">
        <v>1</v>
      </c>
      <c r="H4793">
        <v>192.16</v>
      </c>
      <c r="I4793">
        <v>192.16</v>
      </c>
      <c r="J4793">
        <v>0</v>
      </c>
      <c r="K4793">
        <v>0</v>
      </c>
      <c r="L4793">
        <v>0</v>
      </c>
      <c r="M4793">
        <v>1</v>
      </c>
      <c r="N4793">
        <v>192.16</v>
      </c>
      <c r="O4793">
        <v>192.16</v>
      </c>
    </row>
    <row r="4794" spans="1:15" x14ac:dyDescent="0.35">
      <c r="A4794" t="s">
        <v>5309</v>
      </c>
      <c r="B4794" t="s">
        <v>5310</v>
      </c>
      <c r="C4794" t="s">
        <v>1477</v>
      </c>
      <c r="D4794" t="s">
        <v>323</v>
      </c>
      <c r="E4794" t="s">
        <v>306</v>
      </c>
      <c r="F4794" t="s">
        <v>5327</v>
      </c>
      <c r="G4794">
        <v>86</v>
      </c>
      <c r="H4794">
        <v>8311.18</v>
      </c>
      <c r="I4794">
        <v>96.64</v>
      </c>
      <c r="J4794">
        <v>0</v>
      </c>
      <c r="K4794">
        <v>0</v>
      </c>
      <c r="L4794">
        <v>0</v>
      </c>
      <c r="M4794">
        <v>86</v>
      </c>
      <c r="N4794">
        <v>8311.18</v>
      </c>
      <c r="O4794">
        <v>96.64</v>
      </c>
    </row>
    <row r="4795" spans="1:15" x14ac:dyDescent="0.35">
      <c r="A4795" t="s">
        <v>5309</v>
      </c>
      <c r="B4795" t="s">
        <v>5310</v>
      </c>
      <c r="C4795" t="s">
        <v>1477</v>
      </c>
      <c r="D4795" t="s">
        <v>323</v>
      </c>
      <c r="E4795" t="s">
        <v>308</v>
      </c>
      <c r="F4795" t="s">
        <v>5328</v>
      </c>
      <c r="G4795">
        <v>0</v>
      </c>
      <c r="H4795">
        <v>0</v>
      </c>
      <c r="I4795">
        <v>0</v>
      </c>
      <c r="J4795">
        <v>0</v>
      </c>
      <c r="K4795">
        <v>0</v>
      </c>
      <c r="L4795">
        <v>0</v>
      </c>
      <c r="M4795">
        <v>0</v>
      </c>
      <c r="N4795">
        <v>0</v>
      </c>
      <c r="O4795">
        <v>0</v>
      </c>
    </row>
    <row r="4796" spans="1:15" x14ac:dyDescent="0.35">
      <c r="A4796" t="s">
        <v>5309</v>
      </c>
      <c r="B4796" t="s">
        <v>5310</v>
      </c>
      <c r="C4796" t="s">
        <v>1477</v>
      </c>
      <c r="D4796" t="s">
        <v>323</v>
      </c>
      <c r="E4796" t="s">
        <v>310</v>
      </c>
      <c r="F4796" t="s">
        <v>5329</v>
      </c>
      <c r="G4796">
        <v>9068</v>
      </c>
      <c r="H4796">
        <v>1219838.0699999998</v>
      </c>
      <c r="I4796">
        <v>134.52000000000001</v>
      </c>
      <c r="J4796">
        <v>0</v>
      </c>
      <c r="K4796">
        <v>0</v>
      </c>
      <c r="L4796">
        <v>0</v>
      </c>
      <c r="M4796">
        <v>9068</v>
      </c>
      <c r="N4796">
        <v>1219838.0699999998</v>
      </c>
      <c r="O4796">
        <v>134.52000000000001</v>
      </c>
    </row>
    <row r="4797" spans="1:15" x14ac:dyDescent="0.35">
      <c r="A4797" t="s">
        <v>5309</v>
      </c>
      <c r="B4797" t="s">
        <v>5310</v>
      </c>
      <c r="C4797" t="s">
        <v>1477</v>
      </c>
      <c r="D4797" t="s">
        <v>323</v>
      </c>
      <c r="E4797" t="s">
        <v>312</v>
      </c>
      <c r="F4797" t="s">
        <v>5330</v>
      </c>
      <c r="G4797">
        <v>9068</v>
      </c>
      <c r="H4797">
        <v>1219838.0699999998</v>
      </c>
      <c r="I4797">
        <v>134.52000000000001</v>
      </c>
      <c r="J4797">
        <v>0</v>
      </c>
      <c r="K4797">
        <v>0</v>
      </c>
      <c r="L4797">
        <v>0</v>
      </c>
      <c r="M4797">
        <v>9068</v>
      </c>
      <c r="N4797">
        <v>1219838.0699999998</v>
      </c>
      <c r="O4797">
        <v>134.52000000000001</v>
      </c>
    </row>
    <row r="4798" spans="1:15" x14ac:dyDescent="0.35">
      <c r="A4798" t="s">
        <v>5309</v>
      </c>
      <c r="B4798" t="s">
        <v>5310</v>
      </c>
      <c r="C4798" t="s">
        <v>1477</v>
      </c>
      <c r="D4798" t="s">
        <v>334</v>
      </c>
      <c r="E4798" t="s">
        <v>312</v>
      </c>
      <c r="F4798" t="s">
        <v>5331</v>
      </c>
      <c r="G4798">
        <v>9657</v>
      </c>
      <c r="H4798">
        <v>1325834.8199999998</v>
      </c>
      <c r="I4798">
        <v>138.08000000000001</v>
      </c>
      <c r="J4798">
        <v>0</v>
      </c>
      <c r="K4798">
        <v>0</v>
      </c>
      <c r="L4798">
        <v>0</v>
      </c>
      <c r="M4798">
        <v>9657</v>
      </c>
      <c r="N4798">
        <v>1325834.8199999998</v>
      </c>
      <c r="O4798">
        <v>138.08000000000001</v>
      </c>
    </row>
    <row r="4799" spans="1:15" x14ac:dyDescent="0.35">
      <c r="A4799" t="s">
        <v>5309</v>
      </c>
      <c r="B4799" t="s">
        <v>5310</v>
      </c>
      <c r="C4799" t="s">
        <v>1477</v>
      </c>
      <c r="D4799" t="s">
        <v>334</v>
      </c>
      <c r="E4799" t="s">
        <v>308</v>
      </c>
      <c r="F4799" t="s">
        <v>5332</v>
      </c>
      <c r="G4799">
        <v>0</v>
      </c>
      <c r="H4799">
        <v>0</v>
      </c>
      <c r="I4799">
        <v>0</v>
      </c>
      <c r="J4799">
        <v>0</v>
      </c>
      <c r="K4799">
        <v>0</v>
      </c>
      <c r="L4799">
        <v>0</v>
      </c>
      <c r="M4799">
        <v>0</v>
      </c>
      <c r="N4799">
        <v>0</v>
      </c>
      <c r="O4799">
        <v>0</v>
      </c>
    </row>
    <row r="4800" spans="1:15" x14ac:dyDescent="0.35">
      <c r="A4800" t="s">
        <v>5309</v>
      </c>
      <c r="B4800" t="s">
        <v>5310</v>
      </c>
      <c r="C4800" t="s">
        <v>1477</v>
      </c>
      <c r="D4800" t="s">
        <v>337</v>
      </c>
      <c r="E4800" t="s">
        <v>337</v>
      </c>
      <c r="F4800" t="s">
        <v>5333</v>
      </c>
      <c r="G4800">
        <v>689</v>
      </c>
      <c r="J4800">
        <v>0</v>
      </c>
      <c r="M4800">
        <v>689</v>
      </c>
    </row>
    <row r="4801" spans="1:15" x14ac:dyDescent="0.35">
      <c r="A4801" t="s">
        <v>5309</v>
      </c>
      <c r="B4801" t="s">
        <v>5310</v>
      </c>
      <c r="C4801" t="s">
        <v>1477</v>
      </c>
      <c r="D4801" t="s">
        <v>339</v>
      </c>
      <c r="E4801" t="s">
        <v>294</v>
      </c>
      <c r="F4801" t="s">
        <v>5334</v>
      </c>
      <c r="G4801">
        <v>885</v>
      </c>
      <c r="H4801">
        <v>99143.790000000008</v>
      </c>
      <c r="I4801">
        <v>112.03</v>
      </c>
      <c r="J4801">
        <v>0</v>
      </c>
      <c r="K4801">
        <v>0</v>
      </c>
      <c r="L4801">
        <v>0</v>
      </c>
      <c r="M4801">
        <v>885</v>
      </c>
      <c r="N4801">
        <v>99143.790000000008</v>
      </c>
      <c r="O4801">
        <v>112.03</v>
      </c>
    </row>
    <row r="4802" spans="1:15" x14ac:dyDescent="0.35">
      <c r="A4802" t="s">
        <v>5309</v>
      </c>
      <c r="B4802" t="s">
        <v>5310</v>
      </c>
      <c r="C4802" t="s">
        <v>1477</v>
      </c>
      <c r="D4802" t="s">
        <v>339</v>
      </c>
      <c r="E4802" t="s">
        <v>296</v>
      </c>
      <c r="F4802" t="s">
        <v>5335</v>
      </c>
      <c r="G4802">
        <v>213</v>
      </c>
      <c r="H4802">
        <v>32865.960000000006</v>
      </c>
      <c r="I4802">
        <v>154.30000000000001</v>
      </c>
      <c r="J4802">
        <v>0</v>
      </c>
      <c r="K4802">
        <v>0</v>
      </c>
      <c r="L4802">
        <v>0</v>
      </c>
      <c r="M4802">
        <v>213</v>
      </c>
      <c r="N4802">
        <v>32865.960000000006</v>
      </c>
      <c r="O4802">
        <v>154.30000000000001</v>
      </c>
    </row>
    <row r="4803" spans="1:15" x14ac:dyDescent="0.35">
      <c r="A4803" t="s">
        <v>5309</v>
      </c>
      <c r="B4803" t="s">
        <v>5310</v>
      </c>
      <c r="C4803" t="s">
        <v>1477</v>
      </c>
      <c r="D4803" t="s">
        <v>339</v>
      </c>
      <c r="E4803" t="s">
        <v>298</v>
      </c>
      <c r="F4803" t="s">
        <v>5336</v>
      </c>
      <c r="G4803">
        <v>18</v>
      </c>
      <c r="H4803">
        <v>2620.6400000000003</v>
      </c>
      <c r="I4803">
        <v>145.59</v>
      </c>
      <c r="J4803">
        <v>0</v>
      </c>
      <c r="K4803">
        <v>0</v>
      </c>
      <c r="L4803">
        <v>0</v>
      </c>
      <c r="M4803">
        <v>18</v>
      </c>
      <c r="N4803">
        <v>2620.6400000000003</v>
      </c>
      <c r="O4803">
        <v>145.59</v>
      </c>
    </row>
    <row r="4804" spans="1:15" x14ac:dyDescent="0.35">
      <c r="A4804" t="s">
        <v>5309</v>
      </c>
      <c r="B4804" t="s">
        <v>5310</v>
      </c>
      <c r="C4804" t="s">
        <v>1477</v>
      </c>
      <c r="D4804" t="s">
        <v>339</v>
      </c>
      <c r="E4804" t="s">
        <v>300</v>
      </c>
      <c r="F4804" t="s">
        <v>5337</v>
      </c>
      <c r="G4804">
        <v>0</v>
      </c>
      <c r="H4804">
        <v>0</v>
      </c>
      <c r="I4804">
        <v>0</v>
      </c>
      <c r="J4804">
        <v>0</v>
      </c>
      <c r="K4804">
        <v>0</v>
      </c>
      <c r="L4804">
        <v>0</v>
      </c>
      <c r="M4804">
        <v>0</v>
      </c>
      <c r="N4804">
        <v>0</v>
      </c>
      <c r="O4804">
        <v>0</v>
      </c>
    </row>
    <row r="4805" spans="1:15" x14ac:dyDescent="0.35">
      <c r="A4805" t="s">
        <v>5309</v>
      </c>
      <c r="B4805" t="s">
        <v>5310</v>
      </c>
      <c r="C4805" t="s">
        <v>1477</v>
      </c>
      <c r="D4805" t="s">
        <v>339</v>
      </c>
      <c r="E4805" t="s">
        <v>306</v>
      </c>
      <c r="F4805" t="s">
        <v>5338</v>
      </c>
      <c r="G4805">
        <v>44</v>
      </c>
      <c r="H4805">
        <v>4511.0600000000004</v>
      </c>
      <c r="I4805">
        <v>102.52</v>
      </c>
      <c r="J4805">
        <v>0</v>
      </c>
      <c r="K4805">
        <v>0</v>
      </c>
      <c r="L4805">
        <v>0</v>
      </c>
      <c r="M4805">
        <v>44</v>
      </c>
      <c r="N4805">
        <v>4511.0600000000004</v>
      </c>
      <c r="O4805">
        <v>102.52</v>
      </c>
    </row>
    <row r="4806" spans="1:15" x14ac:dyDescent="0.35">
      <c r="A4806" t="s">
        <v>5309</v>
      </c>
      <c r="B4806" t="s">
        <v>5310</v>
      </c>
      <c r="C4806" t="s">
        <v>1477</v>
      </c>
      <c r="D4806" t="s">
        <v>339</v>
      </c>
      <c r="E4806" t="s">
        <v>308</v>
      </c>
      <c r="F4806" t="s">
        <v>5339</v>
      </c>
      <c r="G4806">
        <v>55</v>
      </c>
      <c r="H4806">
        <v>5597.59</v>
      </c>
      <c r="I4806">
        <v>101.77</v>
      </c>
      <c r="J4806">
        <v>0</v>
      </c>
      <c r="K4806">
        <v>0</v>
      </c>
      <c r="L4806">
        <v>0</v>
      </c>
      <c r="M4806">
        <v>55</v>
      </c>
      <c r="N4806">
        <v>5597.59</v>
      </c>
      <c r="O4806">
        <v>101.77</v>
      </c>
    </row>
    <row r="4807" spans="1:15" x14ac:dyDescent="0.35">
      <c r="A4807" t="s">
        <v>5309</v>
      </c>
      <c r="B4807" t="s">
        <v>5310</v>
      </c>
      <c r="C4807" t="s">
        <v>1477</v>
      </c>
      <c r="D4807" t="s">
        <v>339</v>
      </c>
      <c r="E4807" t="s">
        <v>310</v>
      </c>
      <c r="F4807" t="s">
        <v>5340</v>
      </c>
      <c r="G4807">
        <v>1215</v>
      </c>
      <c r="H4807">
        <v>144739.04</v>
      </c>
      <c r="I4807">
        <v>119.13</v>
      </c>
      <c r="J4807">
        <v>0</v>
      </c>
      <c r="K4807">
        <v>0</v>
      </c>
      <c r="L4807">
        <v>0</v>
      </c>
      <c r="M4807">
        <v>1215</v>
      </c>
      <c r="N4807">
        <v>144739.04</v>
      </c>
      <c r="O4807">
        <v>119.13</v>
      </c>
    </row>
    <row r="4808" spans="1:15" x14ac:dyDescent="0.35">
      <c r="A4808" t="s">
        <v>5309</v>
      </c>
      <c r="B4808" t="s">
        <v>5310</v>
      </c>
      <c r="C4808" t="s">
        <v>1477</v>
      </c>
      <c r="D4808" t="s">
        <v>339</v>
      </c>
      <c r="E4808" t="s">
        <v>312</v>
      </c>
      <c r="F4808" t="s">
        <v>5341</v>
      </c>
      <c r="G4808">
        <v>1160</v>
      </c>
      <c r="H4808">
        <v>139141.45000000001</v>
      </c>
      <c r="I4808">
        <v>119.95</v>
      </c>
      <c r="J4808">
        <v>0</v>
      </c>
      <c r="K4808">
        <v>0</v>
      </c>
      <c r="L4808">
        <v>0</v>
      </c>
      <c r="M4808">
        <v>1160</v>
      </c>
      <c r="N4808">
        <v>139141.45000000001</v>
      </c>
      <c r="O4808">
        <v>119.95</v>
      </c>
    </row>
    <row r="4809" spans="1:15" x14ac:dyDescent="0.35">
      <c r="A4809" t="s">
        <v>5309</v>
      </c>
      <c r="B4809" t="s">
        <v>5310</v>
      </c>
      <c r="C4809" t="s">
        <v>1477</v>
      </c>
      <c r="D4809" t="s">
        <v>348</v>
      </c>
      <c r="E4809" t="s">
        <v>349</v>
      </c>
      <c r="F4809" t="s">
        <v>5342</v>
      </c>
      <c r="G4809">
        <v>1292</v>
      </c>
      <c r="H4809">
        <v>144739.04</v>
      </c>
      <c r="I4809">
        <v>119.13</v>
      </c>
      <c r="J4809">
        <v>0</v>
      </c>
      <c r="K4809">
        <v>0</v>
      </c>
      <c r="L4809">
        <v>0</v>
      </c>
      <c r="M4809">
        <v>1292</v>
      </c>
      <c r="N4809">
        <v>144739.04</v>
      </c>
      <c r="O4809">
        <v>119.13</v>
      </c>
    </row>
    <row r="4810" spans="1:15" x14ac:dyDescent="0.35">
      <c r="A4810" t="s">
        <v>5343</v>
      </c>
      <c r="B4810" t="s">
        <v>183</v>
      </c>
      <c r="C4810" t="s">
        <v>1477</v>
      </c>
      <c r="D4810" t="s">
        <v>293</v>
      </c>
      <c r="E4810" t="s">
        <v>294</v>
      </c>
      <c r="F4810" t="s">
        <v>5344</v>
      </c>
      <c r="G4810">
        <v>71</v>
      </c>
      <c r="H4810">
        <v>12919.500000000002</v>
      </c>
      <c r="I4810">
        <v>181.96</v>
      </c>
      <c r="J4810">
        <v>0</v>
      </c>
      <c r="K4810">
        <v>0</v>
      </c>
      <c r="L4810">
        <v>0</v>
      </c>
      <c r="M4810">
        <v>71</v>
      </c>
      <c r="N4810">
        <v>12919.500000000002</v>
      </c>
      <c r="O4810">
        <v>181.96</v>
      </c>
    </row>
    <row r="4811" spans="1:15" x14ac:dyDescent="0.35">
      <c r="A4811" t="s">
        <v>5343</v>
      </c>
      <c r="B4811" t="s">
        <v>183</v>
      </c>
      <c r="C4811" t="s">
        <v>1477</v>
      </c>
      <c r="D4811" t="s">
        <v>293</v>
      </c>
      <c r="E4811" t="s">
        <v>296</v>
      </c>
      <c r="F4811" t="s">
        <v>5345</v>
      </c>
      <c r="G4811">
        <v>167</v>
      </c>
      <c r="H4811">
        <v>37008.74</v>
      </c>
      <c r="I4811">
        <v>221.61</v>
      </c>
      <c r="J4811">
        <v>0</v>
      </c>
      <c r="K4811">
        <v>0</v>
      </c>
      <c r="L4811">
        <v>0</v>
      </c>
      <c r="M4811">
        <v>167</v>
      </c>
      <c r="N4811">
        <v>37008.74</v>
      </c>
      <c r="O4811">
        <v>221.61</v>
      </c>
    </row>
    <row r="4812" spans="1:15" x14ac:dyDescent="0.35">
      <c r="A4812" t="s">
        <v>5343</v>
      </c>
      <c r="B4812" t="s">
        <v>183</v>
      </c>
      <c r="C4812" t="s">
        <v>1477</v>
      </c>
      <c r="D4812" t="s">
        <v>293</v>
      </c>
      <c r="E4812" t="s">
        <v>298</v>
      </c>
      <c r="F4812" t="s">
        <v>5346</v>
      </c>
      <c r="G4812">
        <v>75</v>
      </c>
      <c r="H4812">
        <v>19234.53</v>
      </c>
      <c r="I4812">
        <v>256.45999999999998</v>
      </c>
      <c r="J4812">
        <v>0</v>
      </c>
      <c r="K4812">
        <v>0</v>
      </c>
      <c r="L4812">
        <v>0</v>
      </c>
      <c r="M4812">
        <v>75</v>
      </c>
      <c r="N4812">
        <v>19234.53</v>
      </c>
      <c r="O4812">
        <v>256.45999999999998</v>
      </c>
    </row>
    <row r="4813" spans="1:15" x14ac:dyDescent="0.35">
      <c r="A4813" t="s">
        <v>5343</v>
      </c>
      <c r="B4813" t="s">
        <v>183</v>
      </c>
      <c r="C4813" t="s">
        <v>1477</v>
      </c>
      <c r="D4813" t="s">
        <v>293</v>
      </c>
      <c r="E4813" t="s">
        <v>300</v>
      </c>
      <c r="F4813" t="s">
        <v>5347</v>
      </c>
      <c r="G4813">
        <v>4</v>
      </c>
      <c r="H4813">
        <v>1282.54</v>
      </c>
      <c r="I4813">
        <v>320.64</v>
      </c>
      <c r="J4813">
        <v>0</v>
      </c>
      <c r="K4813">
        <v>0</v>
      </c>
      <c r="L4813">
        <v>0</v>
      </c>
      <c r="M4813">
        <v>4</v>
      </c>
      <c r="N4813">
        <v>1282.54</v>
      </c>
      <c r="O4813">
        <v>320.64</v>
      </c>
    </row>
    <row r="4814" spans="1:15" x14ac:dyDescent="0.35">
      <c r="A4814" t="s">
        <v>5343</v>
      </c>
      <c r="B4814" t="s">
        <v>183</v>
      </c>
      <c r="C4814" t="s">
        <v>1477</v>
      </c>
      <c r="D4814" t="s">
        <v>293</v>
      </c>
      <c r="E4814" t="s">
        <v>302</v>
      </c>
      <c r="F4814" t="s">
        <v>5348</v>
      </c>
      <c r="G4814">
        <v>0</v>
      </c>
      <c r="H4814">
        <v>0</v>
      </c>
      <c r="I4814">
        <v>0</v>
      </c>
      <c r="J4814">
        <v>0</v>
      </c>
      <c r="K4814">
        <v>0</v>
      </c>
      <c r="L4814">
        <v>0</v>
      </c>
      <c r="M4814">
        <v>0</v>
      </c>
      <c r="N4814">
        <v>0</v>
      </c>
      <c r="O4814">
        <v>0</v>
      </c>
    </row>
    <row r="4815" spans="1:15" x14ac:dyDescent="0.35">
      <c r="A4815" t="s">
        <v>5343</v>
      </c>
      <c r="B4815" t="s">
        <v>183</v>
      </c>
      <c r="C4815" t="s">
        <v>1477</v>
      </c>
      <c r="D4815" t="s">
        <v>293</v>
      </c>
      <c r="E4815" t="s">
        <v>304</v>
      </c>
      <c r="F4815" t="s">
        <v>5349</v>
      </c>
      <c r="G4815">
        <v>0</v>
      </c>
      <c r="H4815">
        <v>0</v>
      </c>
      <c r="I4815">
        <v>0</v>
      </c>
      <c r="J4815">
        <v>0</v>
      </c>
      <c r="K4815">
        <v>0</v>
      </c>
      <c r="L4815">
        <v>0</v>
      </c>
      <c r="M4815">
        <v>0</v>
      </c>
      <c r="N4815">
        <v>0</v>
      </c>
      <c r="O4815">
        <v>0</v>
      </c>
    </row>
    <row r="4816" spans="1:15" x14ac:dyDescent="0.35">
      <c r="A4816" t="s">
        <v>5343</v>
      </c>
      <c r="B4816" t="s">
        <v>183</v>
      </c>
      <c r="C4816" t="s">
        <v>1477</v>
      </c>
      <c r="D4816" t="s">
        <v>293</v>
      </c>
      <c r="E4816" t="s">
        <v>306</v>
      </c>
      <c r="F4816" t="s">
        <v>5350</v>
      </c>
      <c r="G4816">
        <v>5</v>
      </c>
      <c r="H4816">
        <v>861.18999999999994</v>
      </c>
      <c r="I4816">
        <v>172.24</v>
      </c>
      <c r="J4816">
        <v>0</v>
      </c>
      <c r="K4816">
        <v>0</v>
      </c>
      <c r="L4816">
        <v>0</v>
      </c>
      <c r="M4816">
        <v>5</v>
      </c>
      <c r="N4816">
        <v>861.18999999999994</v>
      </c>
      <c r="O4816">
        <v>172.24</v>
      </c>
    </row>
    <row r="4817" spans="1:15" x14ac:dyDescent="0.35">
      <c r="A4817" t="s">
        <v>5343</v>
      </c>
      <c r="B4817" t="s">
        <v>183</v>
      </c>
      <c r="C4817" t="s">
        <v>1477</v>
      </c>
      <c r="D4817" t="s">
        <v>293</v>
      </c>
      <c r="E4817" t="s">
        <v>308</v>
      </c>
      <c r="F4817" t="s">
        <v>5351</v>
      </c>
      <c r="G4817">
        <v>0</v>
      </c>
      <c r="H4817">
        <v>0</v>
      </c>
      <c r="I4817">
        <v>0</v>
      </c>
      <c r="J4817">
        <v>0</v>
      </c>
      <c r="K4817">
        <v>0</v>
      </c>
      <c r="L4817">
        <v>0</v>
      </c>
      <c r="M4817">
        <v>0</v>
      </c>
      <c r="N4817">
        <v>0</v>
      </c>
      <c r="O4817">
        <v>0</v>
      </c>
    </row>
    <row r="4818" spans="1:15" x14ac:dyDescent="0.35">
      <c r="A4818" t="s">
        <v>5343</v>
      </c>
      <c r="B4818" t="s">
        <v>183</v>
      </c>
      <c r="C4818" t="s">
        <v>1477</v>
      </c>
      <c r="D4818" t="s">
        <v>293</v>
      </c>
      <c r="E4818" t="s">
        <v>310</v>
      </c>
      <c r="F4818" t="s">
        <v>5352</v>
      </c>
      <c r="G4818">
        <v>322</v>
      </c>
      <c r="H4818">
        <v>71306.499999999985</v>
      </c>
      <c r="I4818">
        <v>221.45</v>
      </c>
      <c r="J4818">
        <v>0</v>
      </c>
      <c r="K4818">
        <v>0</v>
      </c>
      <c r="L4818">
        <v>0</v>
      </c>
      <c r="M4818">
        <v>322</v>
      </c>
      <c r="N4818">
        <v>71306.499999999985</v>
      </c>
      <c r="O4818">
        <v>221.45</v>
      </c>
    </row>
    <row r="4819" spans="1:15" x14ac:dyDescent="0.35">
      <c r="A4819" t="s">
        <v>5343</v>
      </c>
      <c r="B4819" t="s">
        <v>183</v>
      </c>
      <c r="C4819" t="s">
        <v>1477</v>
      </c>
      <c r="D4819" t="s">
        <v>293</v>
      </c>
      <c r="E4819" t="s">
        <v>312</v>
      </c>
      <c r="F4819" t="s">
        <v>5353</v>
      </c>
      <c r="G4819">
        <v>322</v>
      </c>
      <c r="H4819">
        <v>71306.499999999985</v>
      </c>
      <c r="I4819">
        <v>221.45</v>
      </c>
      <c r="J4819">
        <v>0</v>
      </c>
      <c r="K4819">
        <v>0</v>
      </c>
      <c r="L4819">
        <v>0</v>
      </c>
      <c r="M4819">
        <v>322</v>
      </c>
      <c r="N4819">
        <v>71306.499999999985</v>
      </c>
      <c r="O4819">
        <v>221.45</v>
      </c>
    </row>
    <row r="4820" spans="1:15" x14ac:dyDescent="0.35">
      <c r="A4820" t="s">
        <v>5343</v>
      </c>
      <c r="B4820" t="s">
        <v>183</v>
      </c>
      <c r="C4820" t="s">
        <v>1477</v>
      </c>
      <c r="D4820" t="s">
        <v>314</v>
      </c>
      <c r="E4820" t="s">
        <v>294</v>
      </c>
      <c r="F4820" t="s">
        <v>5354</v>
      </c>
      <c r="G4820">
        <v>4</v>
      </c>
      <c r="H4820">
        <v>929.24</v>
      </c>
      <c r="I4820">
        <v>232.31</v>
      </c>
      <c r="J4820">
        <v>0</v>
      </c>
      <c r="K4820">
        <v>0</v>
      </c>
      <c r="L4820">
        <v>0</v>
      </c>
      <c r="M4820">
        <v>4</v>
      </c>
      <c r="N4820">
        <v>929.24</v>
      </c>
      <c r="O4820">
        <v>232.31</v>
      </c>
    </row>
    <row r="4821" spans="1:15" x14ac:dyDescent="0.35">
      <c r="A4821" t="s">
        <v>5343</v>
      </c>
      <c r="B4821" t="s">
        <v>183</v>
      </c>
      <c r="C4821" t="s">
        <v>1477</v>
      </c>
      <c r="D4821" t="s">
        <v>314</v>
      </c>
      <c r="E4821" t="s">
        <v>296</v>
      </c>
      <c r="F4821" t="s">
        <v>5355</v>
      </c>
      <c r="G4821">
        <v>0</v>
      </c>
      <c r="H4821">
        <v>0</v>
      </c>
      <c r="I4821">
        <v>0</v>
      </c>
      <c r="J4821">
        <v>0</v>
      </c>
      <c r="K4821">
        <v>0</v>
      </c>
      <c r="L4821">
        <v>0</v>
      </c>
      <c r="M4821">
        <v>0</v>
      </c>
      <c r="N4821">
        <v>0</v>
      </c>
      <c r="O4821">
        <v>0</v>
      </c>
    </row>
    <row r="4822" spans="1:15" x14ac:dyDescent="0.35">
      <c r="A4822" t="s">
        <v>5343</v>
      </c>
      <c r="B4822" t="s">
        <v>183</v>
      </c>
      <c r="C4822" t="s">
        <v>1477</v>
      </c>
      <c r="D4822" t="s">
        <v>314</v>
      </c>
      <c r="E4822" t="s">
        <v>298</v>
      </c>
      <c r="F4822" t="s">
        <v>5356</v>
      </c>
      <c r="G4822">
        <v>0</v>
      </c>
      <c r="H4822">
        <v>0</v>
      </c>
      <c r="I4822">
        <v>0</v>
      </c>
      <c r="J4822">
        <v>0</v>
      </c>
      <c r="K4822">
        <v>0</v>
      </c>
      <c r="L4822">
        <v>0</v>
      </c>
      <c r="M4822">
        <v>0</v>
      </c>
      <c r="N4822">
        <v>0</v>
      </c>
      <c r="O4822">
        <v>0</v>
      </c>
    </row>
    <row r="4823" spans="1:15" x14ac:dyDescent="0.35">
      <c r="A4823" t="s">
        <v>5343</v>
      </c>
      <c r="B4823" t="s">
        <v>183</v>
      </c>
      <c r="C4823" t="s">
        <v>1477</v>
      </c>
      <c r="D4823" t="s">
        <v>314</v>
      </c>
      <c r="E4823" t="s">
        <v>300</v>
      </c>
      <c r="F4823" t="s">
        <v>5357</v>
      </c>
      <c r="G4823">
        <v>0</v>
      </c>
      <c r="H4823">
        <v>0</v>
      </c>
      <c r="I4823">
        <v>0</v>
      </c>
      <c r="J4823">
        <v>0</v>
      </c>
      <c r="K4823">
        <v>0</v>
      </c>
      <c r="L4823">
        <v>0</v>
      </c>
      <c r="M4823">
        <v>0</v>
      </c>
      <c r="N4823">
        <v>0</v>
      </c>
      <c r="O4823">
        <v>0</v>
      </c>
    </row>
    <row r="4824" spans="1:15" x14ac:dyDescent="0.35">
      <c r="A4824" t="s">
        <v>5343</v>
      </c>
      <c r="B4824" t="s">
        <v>183</v>
      </c>
      <c r="C4824" t="s">
        <v>1477</v>
      </c>
      <c r="D4824" t="s">
        <v>314</v>
      </c>
      <c r="E4824" t="s">
        <v>306</v>
      </c>
      <c r="F4824" t="s">
        <v>5358</v>
      </c>
      <c r="G4824">
        <v>0</v>
      </c>
      <c r="H4824">
        <v>0</v>
      </c>
      <c r="I4824">
        <v>0</v>
      </c>
      <c r="J4824">
        <v>0</v>
      </c>
      <c r="K4824">
        <v>0</v>
      </c>
      <c r="L4824">
        <v>0</v>
      </c>
      <c r="M4824">
        <v>0</v>
      </c>
      <c r="N4824">
        <v>0</v>
      </c>
      <c r="O4824">
        <v>0</v>
      </c>
    </row>
    <row r="4825" spans="1:15" x14ac:dyDescent="0.35">
      <c r="A4825" t="s">
        <v>5343</v>
      </c>
      <c r="B4825" t="s">
        <v>183</v>
      </c>
      <c r="C4825" t="s">
        <v>1477</v>
      </c>
      <c r="D4825" t="s">
        <v>314</v>
      </c>
      <c r="E4825" t="s">
        <v>308</v>
      </c>
      <c r="F4825" t="s">
        <v>5359</v>
      </c>
      <c r="G4825">
        <v>0</v>
      </c>
      <c r="H4825">
        <v>0</v>
      </c>
      <c r="I4825">
        <v>0</v>
      </c>
      <c r="J4825">
        <v>0</v>
      </c>
      <c r="K4825">
        <v>0</v>
      </c>
      <c r="L4825">
        <v>0</v>
      </c>
      <c r="M4825">
        <v>0</v>
      </c>
      <c r="N4825">
        <v>0</v>
      </c>
      <c r="O4825">
        <v>0</v>
      </c>
    </row>
    <row r="4826" spans="1:15" x14ac:dyDescent="0.35">
      <c r="A4826" t="s">
        <v>5343</v>
      </c>
      <c r="B4826" t="s">
        <v>183</v>
      </c>
      <c r="C4826" t="s">
        <v>1477</v>
      </c>
      <c r="D4826" t="s">
        <v>314</v>
      </c>
      <c r="E4826" t="s">
        <v>312</v>
      </c>
      <c r="F4826" t="s">
        <v>5360</v>
      </c>
      <c r="G4826">
        <v>4</v>
      </c>
      <c r="H4826">
        <v>929.24</v>
      </c>
      <c r="I4826">
        <v>232.31</v>
      </c>
      <c r="J4826">
        <v>0</v>
      </c>
      <c r="K4826">
        <v>0</v>
      </c>
      <c r="L4826">
        <v>0</v>
      </c>
      <c r="M4826">
        <v>4</v>
      </c>
      <c r="N4826">
        <v>929.24</v>
      </c>
      <c r="O4826">
        <v>232.31</v>
      </c>
    </row>
    <row r="4827" spans="1:15" x14ac:dyDescent="0.35">
      <c r="A4827" t="s">
        <v>5343</v>
      </c>
      <c r="B4827" t="s">
        <v>183</v>
      </c>
      <c r="C4827" t="s">
        <v>1477</v>
      </c>
      <c r="D4827" t="s">
        <v>314</v>
      </c>
      <c r="E4827" t="s">
        <v>310</v>
      </c>
      <c r="F4827" t="s">
        <v>5361</v>
      </c>
      <c r="G4827">
        <v>4</v>
      </c>
      <c r="H4827">
        <v>929.24</v>
      </c>
      <c r="I4827">
        <v>232.31</v>
      </c>
      <c r="J4827">
        <v>0</v>
      </c>
      <c r="K4827">
        <v>0</v>
      </c>
      <c r="L4827">
        <v>0</v>
      </c>
      <c r="M4827">
        <v>4</v>
      </c>
      <c r="N4827">
        <v>929.24</v>
      </c>
      <c r="O4827">
        <v>232.31</v>
      </c>
    </row>
    <row r="4828" spans="1:15" x14ac:dyDescent="0.35">
      <c r="A4828" t="s">
        <v>5343</v>
      </c>
      <c r="B4828" t="s">
        <v>183</v>
      </c>
      <c r="C4828" t="s">
        <v>1477</v>
      </c>
      <c r="D4828" t="s">
        <v>323</v>
      </c>
      <c r="E4828" t="s">
        <v>294</v>
      </c>
      <c r="F4828" t="s">
        <v>5362</v>
      </c>
      <c r="G4828">
        <v>908</v>
      </c>
      <c r="H4828">
        <v>106184.54000000002</v>
      </c>
      <c r="I4828">
        <v>116.94</v>
      </c>
      <c r="J4828">
        <v>0</v>
      </c>
      <c r="K4828">
        <v>0</v>
      </c>
      <c r="L4828">
        <v>0</v>
      </c>
      <c r="M4828">
        <v>908</v>
      </c>
      <c r="N4828">
        <v>106184.54000000002</v>
      </c>
      <c r="O4828">
        <v>116.94</v>
      </c>
    </row>
    <row r="4829" spans="1:15" x14ac:dyDescent="0.35">
      <c r="A4829" t="s">
        <v>5343</v>
      </c>
      <c r="B4829" t="s">
        <v>183</v>
      </c>
      <c r="C4829" t="s">
        <v>1477</v>
      </c>
      <c r="D4829" t="s">
        <v>323</v>
      </c>
      <c r="E4829" t="s">
        <v>296</v>
      </c>
      <c r="F4829" t="s">
        <v>5363</v>
      </c>
      <c r="G4829">
        <v>1370</v>
      </c>
      <c r="H4829">
        <v>191769.63999999998</v>
      </c>
      <c r="I4829">
        <v>139.97999999999999</v>
      </c>
      <c r="J4829">
        <v>0</v>
      </c>
      <c r="K4829">
        <v>0</v>
      </c>
      <c r="L4829">
        <v>0</v>
      </c>
      <c r="M4829">
        <v>1370</v>
      </c>
      <c r="N4829">
        <v>191769.63999999998</v>
      </c>
      <c r="O4829">
        <v>139.97999999999999</v>
      </c>
    </row>
    <row r="4830" spans="1:15" x14ac:dyDescent="0.35">
      <c r="A4830" t="s">
        <v>5343</v>
      </c>
      <c r="B4830" t="s">
        <v>183</v>
      </c>
      <c r="C4830" t="s">
        <v>1477</v>
      </c>
      <c r="D4830" t="s">
        <v>323</v>
      </c>
      <c r="E4830" t="s">
        <v>298</v>
      </c>
      <c r="F4830" t="s">
        <v>5364</v>
      </c>
      <c r="G4830">
        <v>1648</v>
      </c>
      <c r="H4830">
        <v>259065.68</v>
      </c>
      <c r="I4830">
        <v>157.19999999999999</v>
      </c>
      <c r="J4830">
        <v>0</v>
      </c>
      <c r="K4830">
        <v>0</v>
      </c>
      <c r="L4830">
        <v>0</v>
      </c>
      <c r="M4830">
        <v>1648</v>
      </c>
      <c r="N4830">
        <v>259065.68</v>
      </c>
      <c r="O4830">
        <v>157.19999999999999</v>
      </c>
    </row>
    <row r="4831" spans="1:15" x14ac:dyDescent="0.35">
      <c r="A4831" t="s">
        <v>5343</v>
      </c>
      <c r="B4831" t="s">
        <v>183</v>
      </c>
      <c r="C4831" t="s">
        <v>1477</v>
      </c>
      <c r="D4831" t="s">
        <v>323</v>
      </c>
      <c r="E4831" t="s">
        <v>300</v>
      </c>
      <c r="F4831" t="s">
        <v>5365</v>
      </c>
      <c r="G4831">
        <v>61</v>
      </c>
      <c r="H4831">
        <v>10581.21</v>
      </c>
      <c r="I4831">
        <v>173.46</v>
      </c>
      <c r="J4831">
        <v>0</v>
      </c>
      <c r="K4831">
        <v>0</v>
      </c>
      <c r="L4831">
        <v>0</v>
      </c>
      <c r="M4831">
        <v>61</v>
      </c>
      <c r="N4831">
        <v>10581.21</v>
      </c>
      <c r="O4831">
        <v>173.46</v>
      </c>
    </row>
    <row r="4832" spans="1:15" x14ac:dyDescent="0.35">
      <c r="A4832" t="s">
        <v>5343</v>
      </c>
      <c r="B4832" t="s">
        <v>183</v>
      </c>
      <c r="C4832" t="s">
        <v>1477</v>
      </c>
      <c r="D4832" t="s">
        <v>323</v>
      </c>
      <c r="E4832" t="s">
        <v>302</v>
      </c>
      <c r="F4832" t="s">
        <v>5366</v>
      </c>
      <c r="G4832">
        <v>3</v>
      </c>
      <c r="H4832">
        <v>563.37</v>
      </c>
      <c r="I4832">
        <v>187.79</v>
      </c>
      <c r="J4832">
        <v>0</v>
      </c>
      <c r="K4832">
        <v>0</v>
      </c>
      <c r="L4832">
        <v>0</v>
      </c>
      <c r="M4832">
        <v>3</v>
      </c>
      <c r="N4832">
        <v>563.37</v>
      </c>
      <c r="O4832">
        <v>187.79</v>
      </c>
    </row>
    <row r="4833" spans="1:15" x14ac:dyDescent="0.35">
      <c r="A4833" t="s">
        <v>5343</v>
      </c>
      <c r="B4833" t="s">
        <v>183</v>
      </c>
      <c r="C4833" t="s">
        <v>1477</v>
      </c>
      <c r="D4833" t="s">
        <v>323</v>
      </c>
      <c r="E4833" t="s">
        <v>304</v>
      </c>
      <c r="F4833" t="s">
        <v>5367</v>
      </c>
      <c r="G4833">
        <v>0</v>
      </c>
      <c r="H4833">
        <v>0</v>
      </c>
      <c r="I4833">
        <v>0</v>
      </c>
      <c r="J4833">
        <v>0</v>
      </c>
      <c r="K4833">
        <v>0</v>
      </c>
      <c r="L4833">
        <v>0</v>
      </c>
      <c r="M4833">
        <v>0</v>
      </c>
      <c r="N4833">
        <v>0</v>
      </c>
      <c r="O4833">
        <v>0</v>
      </c>
    </row>
    <row r="4834" spans="1:15" x14ac:dyDescent="0.35">
      <c r="A4834" t="s">
        <v>5343</v>
      </c>
      <c r="B4834" t="s">
        <v>183</v>
      </c>
      <c r="C4834" t="s">
        <v>1477</v>
      </c>
      <c r="D4834" t="s">
        <v>323</v>
      </c>
      <c r="E4834" t="s">
        <v>306</v>
      </c>
      <c r="F4834" t="s">
        <v>5368</v>
      </c>
      <c r="G4834">
        <v>193</v>
      </c>
      <c r="H4834">
        <v>19798.830000000002</v>
      </c>
      <c r="I4834">
        <v>102.58</v>
      </c>
      <c r="J4834">
        <v>0</v>
      </c>
      <c r="K4834">
        <v>0</v>
      </c>
      <c r="L4834">
        <v>0</v>
      </c>
      <c r="M4834">
        <v>193</v>
      </c>
      <c r="N4834">
        <v>19798.830000000002</v>
      </c>
      <c r="O4834">
        <v>102.58</v>
      </c>
    </row>
    <row r="4835" spans="1:15" x14ac:dyDescent="0.35">
      <c r="A4835" t="s">
        <v>5343</v>
      </c>
      <c r="B4835" t="s">
        <v>183</v>
      </c>
      <c r="C4835" t="s">
        <v>1477</v>
      </c>
      <c r="D4835" t="s">
        <v>323</v>
      </c>
      <c r="E4835" t="s">
        <v>308</v>
      </c>
      <c r="F4835" t="s">
        <v>5369</v>
      </c>
      <c r="G4835">
        <v>0</v>
      </c>
      <c r="H4835">
        <v>0</v>
      </c>
      <c r="I4835">
        <v>0</v>
      </c>
      <c r="J4835">
        <v>0</v>
      </c>
      <c r="K4835">
        <v>0</v>
      </c>
      <c r="L4835">
        <v>0</v>
      </c>
      <c r="M4835">
        <v>0</v>
      </c>
      <c r="N4835">
        <v>0</v>
      </c>
      <c r="O4835">
        <v>0</v>
      </c>
    </row>
    <row r="4836" spans="1:15" x14ac:dyDescent="0.35">
      <c r="A4836" t="s">
        <v>5343</v>
      </c>
      <c r="B4836" t="s">
        <v>183</v>
      </c>
      <c r="C4836" t="s">
        <v>1477</v>
      </c>
      <c r="D4836" t="s">
        <v>323</v>
      </c>
      <c r="E4836" t="s">
        <v>310</v>
      </c>
      <c r="F4836" t="s">
        <v>5370</v>
      </c>
      <c r="G4836">
        <v>4183</v>
      </c>
      <c r="H4836">
        <v>587963.2699999999</v>
      </c>
      <c r="I4836">
        <v>140.56</v>
      </c>
      <c r="J4836">
        <v>0</v>
      </c>
      <c r="K4836">
        <v>0</v>
      </c>
      <c r="L4836">
        <v>0</v>
      </c>
      <c r="M4836">
        <v>4183</v>
      </c>
      <c r="N4836">
        <v>587963.2699999999</v>
      </c>
      <c r="O4836">
        <v>140.56</v>
      </c>
    </row>
    <row r="4837" spans="1:15" x14ac:dyDescent="0.35">
      <c r="A4837" t="s">
        <v>5343</v>
      </c>
      <c r="B4837" t="s">
        <v>183</v>
      </c>
      <c r="C4837" t="s">
        <v>1477</v>
      </c>
      <c r="D4837" t="s">
        <v>323</v>
      </c>
      <c r="E4837" t="s">
        <v>312</v>
      </c>
      <c r="F4837" t="s">
        <v>5371</v>
      </c>
      <c r="G4837">
        <v>4183</v>
      </c>
      <c r="H4837">
        <v>587963.2699999999</v>
      </c>
      <c r="I4837">
        <v>140.56</v>
      </c>
      <c r="J4837">
        <v>0</v>
      </c>
      <c r="K4837">
        <v>0</v>
      </c>
      <c r="L4837">
        <v>0</v>
      </c>
      <c r="M4837">
        <v>4183</v>
      </c>
      <c r="N4837">
        <v>587963.2699999999</v>
      </c>
      <c r="O4837">
        <v>140.56</v>
      </c>
    </row>
    <row r="4838" spans="1:15" x14ac:dyDescent="0.35">
      <c r="A4838" t="s">
        <v>5343</v>
      </c>
      <c r="B4838" t="s">
        <v>183</v>
      </c>
      <c r="C4838" t="s">
        <v>1477</v>
      </c>
      <c r="D4838" t="s">
        <v>334</v>
      </c>
      <c r="E4838" t="s">
        <v>312</v>
      </c>
      <c r="F4838" t="s">
        <v>5372</v>
      </c>
      <c r="G4838">
        <v>4591</v>
      </c>
      <c r="H4838">
        <v>659269.7699999999</v>
      </c>
      <c r="I4838">
        <v>146.34</v>
      </c>
      <c r="J4838">
        <v>0</v>
      </c>
      <c r="K4838">
        <v>0</v>
      </c>
      <c r="L4838">
        <v>0</v>
      </c>
      <c r="M4838">
        <v>4591</v>
      </c>
      <c r="N4838">
        <v>659269.7699999999</v>
      </c>
      <c r="O4838">
        <v>146.34</v>
      </c>
    </row>
    <row r="4839" spans="1:15" x14ac:dyDescent="0.35">
      <c r="A4839" t="s">
        <v>5343</v>
      </c>
      <c r="B4839" t="s">
        <v>183</v>
      </c>
      <c r="C4839" t="s">
        <v>1477</v>
      </c>
      <c r="D4839" t="s">
        <v>334</v>
      </c>
      <c r="E4839" t="s">
        <v>308</v>
      </c>
      <c r="F4839" t="s">
        <v>5373</v>
      </c>
      <c r="G4839">
        <v>22</v>
      </c>
      <c r="H4839">
        <v>0</v>
      </c>
      <c r="I4839">
        <v>0</v>
      </c>
      <c r="J4839">
        <v>0</v>
      </c>
      <c r="K4839">
        <v>0</v>
      </c>
      <c r="L4839">
        <v>0</v>
      </c>
      <c r="M4839">
        <v>22</v>
      </c>
      <c r="N4839">
        <v>0</v>
      </c>
      <c r="O4839">
        <v>0</v>
      </c>
    </row>
    <row r="4840" spans="1:15" x14ac:dyDescent="0.35">
      <c r="A4840" t="s">
        <v>5343</v>
      </c>
      <c r="B4840" t="s">
        <v>183</v>
      </c>
      <c r="C4840" t="s">
        <v>1477</v>
      </c>
      <c r="D4840" t="s">
        <v>337</v>
      </c>
      <c r="E4840" t="s">
        <v>337</v>
      </c>
      <c r="F4840" t="s">
        <v>5374</v>
      </c>
      <c r="G4840">
        <v>421</v>
      </c>
      <c r="J4840">
        <v>0</v>
      </c>
      <c r="M4840">
        <v>421</v>
      </c>
    </row>
    <row r="4841" spans="1:15" x14ac:dyDescent="0.35">
      <c r="A4841" t="s">
        <v>5343</v>
      </c>
      <c r="B4841" t="s">
        <v>183</v>
      </c>
      <c r="C4841" t="s">
        <v>1477</v>
      </c>
      <c r="D4841" t="s">
        <v>339</v>
      </c>
      <c r="E4841" t="s">
        <v>294</v>
      </c>
      <c r="F4841" t="s">
        <v>5375</v>
      </c>
      <c r="G4841">
        <v>669</v>
      </c>
      <c r="H4841">
        <v>86038</v>
      </c>
      <c r="I4841">
        <v>128.61000000000001</v>
      </c>
      <c r="J4841">
        <v>0</v>
      </c>
      <c r="K4841">
        <v>0</v>
      </c>
      <c r="L4841">
        <v>0</v>
      </c>
      <c r="M4841">
        <v>669</v>
      </c>
      <c r="N4841">
        <v>86038</v>
      </c>
      <c r="O4841">
        <v>128.61000000000001</v>
      </c>
    </row>
    <row r="4842" spans="1:15" x14ac:dyDescent="0.35">
      <c r="A4842" t="s">
        <v>5343</v>
      </c>
      <c r="B4842" t="s">
        <v>183</v>
      </c>
      <c r="C4842" t="s">
        <v>1477</v>
      </c>
      <c r="D4842" t="s">
        <v>339</v>
      </c>
      <c r="E4842" t="s">
        <v>296</v>
      </c>
      <c r="F4842" t="s">
        <v>5376</v>
      </c>
      <c r="G4842">
        <v>54</v>
      </c>
      <c r="H4842">
        <v>8210.6</v>
      </c>
      <c r="I4842">
        <v>152.05000000000001</v>
      </c>
      <c r="J4842">
        <v>0</v>
      </c>
      <c r="K4842">
        <v>0</v>
      </c>
      <c r="L4842">
        <v>0</v>
      </c>
      <c r="M4842">
        <v>54</v>
      </c>
      <c r="N4842">
        <v>8210.6</v>
      </c>
      <c r="O4842">
        <v>152.05000000000001</v>
      </c>
    </row>
    <row r="4843" spans="1:15" x14ac:dyDescent="0.35">
      <c r="A4843" t="s">
        <v>5343</v>
      </c>
      <c r="B4843" t="s">
        <v>183</v>
      </c>
      <c r="C4843" t="s">
        <v>1477</v>
      </c>
      <c r="D4843" t="s">
        <v>339</v>
      </c>
      <c r="E4843" t="s">
        <v>298</v>
      </c>
      <c r="F4843" t="s">
        <v>5377</v>
      </c>
      <c r="G4843">
        <v>5</v>
      </c>
      <c r="H4843">
        <v>903.19</v>
      </c>
      <c r="I4843">
        <v>180.64</v>
      </c>
      <c r="J4843">
        <v>0</v>
      </c>
      <c r="K4843">
        <v>0</v>
      </c>
      <c r="L4843">
        <v>0</v>
      </c>
      <c r="M4843">
        <v>5</v>
      </c>
      <c r="N4843">
        <v>903.19</v>
      </c>
      <c r="O4843">
        <v>180.64</v>
      </c>
    </row>
    <row r="4844" spans="1:15" x14ac:dyDescent="0.35">
      <c r="A4844" t="s">
        <v>5343</v>
      </c>
      <c r="B4844" t="s">
        <v>183</v>
      </c>
      <c r="C4844" t="s">
        <v>1477</v>
      </c>
      <c r="D4844" t="s">
        <v>339</v>
      </c>
      <c r="E4844" t="s">
        <v>300</v>
      </c>
      <c r="F4844" t="s">
        <v>5378</v>
      </c>
      <c r="G4844">
        <v>0</v>
      </c>
      <c r="H4844">
        <v>0</v>
      </c>
      <c r="I4844">
        <v>0</v>
      </c>
      <c r="J4844">
        <v>0</v>
      </c>
      <c r="K4844">
        <v>0</v>
      </c>
      <c r="L4844">
        <v>0</v>
      </c>
      <c r="M4844">
        <v>0</v>
      </c>
      <c r="N4844">
        <v>0</v>
      </c>
      <c r="O4844">
        <v>0</v>
      </c>
    </row>
    <row r="4845" spans="1:15" x14ac:dyDescent="0.35">
      <c r="A4845" t="s">
        <v>5343</v>
      </c>
      <c r="B4845" t="s">
        <v>183</v>
      </c>
      <c r="C4845" t="s">
        <v>1477</v>
      </c>
      <c r="D4845" t="s">
        <v>339</v>
      </c>
      <c r="E4845" t="s">
        <v>306</v>
      </c>
      <c r="F4845" t="s">
        <v>5379</v>
      </c>
      <c r="G4845">
        <v>131</v>
      </c>
      <c r="H4845">
        <v>15176.71</v>
      </c>
      <c r="I4845">
        <v>115.85</v>
      </c>
      <c r="J4845">
        <v>0</v>
      </c>
      <c r="K4845">
        <v>0</v>
      </c>
      <c r="L4845">
        <v>0</v>
      </c>
      <c r="M4845">
        <v>131</v>
      </c>
      <c r="N4845">
        <v>15176.71</v>
      </c>
      <c r="O4845">
        <v>115.85</v>
      </c>
    </row>
    <row r="4846" spans="1:15" x14ac:dyDescent="0.35">
      <c r="A4846" t="s">
        <v>5343</v>
      </c>
      <c r="B4846" t="s">
        <v>183</v>
      </c>
      <c r="C4846" t="s">
        <v>1477</v>
      </c>
      <c r="D4846" t="s">
        <v>339</v>
      </c>
      <c r="E4846" t="s">
        <v>308</v>
      </c>
      <c r="F4846" t="s">
        <v>5380</v>
      </c>
      <c r="G4846">
        <v>8</v>
      </c>
      <c r="H4846">
        <v>893.52</v>
      </c>
      <c r="I4846">
        <v>111.69</v>
      </c>
      <c r="J4846">
        <v>0</v>
      </c>
      <c r="K4846">
        <v>0</v>
      </c>
      <c r="L4846">
        <v>0</v>
      </c>
      <c r="M4846">
        <v>8</v>
      </c>
      <c r="N4846">
        <v>893.52</v>
      </c>
      <c r="O4846">
        <v>111.69</v>
      </c>
    </row>
    <row r="4847" spans="1:15" x14ac:dyDescent="0.35">
      <c r="A4847" t="s">
        <v>5343</v>
      </c>
      <c r="B4847" t="s">
        <v>183</v>
      </c>
      <c r="C4847" t="s">
        <v>1477</v>
      </c>
      <c r="D4847" t="s">
        <v>339</v>
      </c>
      <c r="E4847" t="s">
        <v>310</v>
      </c>
      <c r="F4847" t="s">
        <v>5381</v>
      </c>
      <c r="G4847">
        <v>867</v>
      </c>
      <c r="H4847">
        <v>111222.02</v>
      </c>
      <c r="I4847">
        <v>128.28</v>
      </c>
      <c r="J4847">
        <v>0</v>
      </c>
      <c r="K4847">
        <v>0</v>
      </c>
      <c r="L4847">
        <v>0</v>
      </c>
      <c r="M4847">
        <v>867</v>
      </c>
      <c r="N4847">
        <v>111222.02</v>
      </c>
      <c r="O4847">
        <v>128.28</v>
      </c>
    </row>
    <row r="4848" spans="1:15" x14ac:dyDescent="0.35">
      <c r="A4848" t="s">
        <v>5343</v>
      </c>
      <c r="B4848" t="s">
        <v>183</v>
      </c>
      <c r="C4848" t="s">
        <v>1477</v>
      </c>
      <c r="D4848" t="s">
        <v>339</v>
      </c>
      <c r="E4848" t="s">
        <v>312</v>
      </c>
      <c r="F4848" t="s">
        <v>5382</v>
      </c>
      <c r="G4848">
        <v>859</v>
      </c>
      <c r="H4848">
        <v>110328.5</v>
      </c>
      <c r="I4848">
        <v>128.44</v>
      </c>
      <c r="J4848">
        <v>0</v>
      </c>
      <c r="K4848">
        <v>0</v>
      </c>
      <c r="L4848">
        <v>0</v>
      </c>
      <c r="M4848">
        <v>859</v>
      </c>
      <c r="N4848">
        <v>110328.5</v>
      </c>
      <c r="O4848">
        <v>128.44</v>
      </c>
    </row>
    <row r="4849" spans="1:15" x14ac:dyDescent="0.35">
      <c r="A4849" t="s">
        <v>5343</v>
      </c>
      <c r="B4849" t="s">
        <v>183</v>
      </c>
      <c r="C4849" t="s">
        <v>1477</v>
      </c>
      <c r="D4849" t="s">
        <v>348</v>
      </c>
      <c r="E4849" t="s">
        <v>349</v>
      </c>
      <c r="F4849" t="s">
        <v>5383</v>
      </c>
      <c r="G4849">
        <v>915</v>
      </c>
      <c r="H4849">
        <v>112151.26000000002</v>
      </c>
      <c r="I4849">
        <v>128.76</v>
      </c>
      <c r="J4849">
        <v>0</v>
      </c>
      <c r="K4849">
        <v>0</v>
      </c>
      <c r="L4849">
        <v>0</v>
      </c>
      <c r="M4849">
        <v>915</v>
      </c>
      <c r="N4849">
        <v>112151.26000000002</v>
      </c>
      <c r="O4849">
        <v>128.76</v>
      </c>
    </row>
    <row r="4850" spans="1:15" x14ac:dyDescent="0.35">
      <c r="A4850" t="s">
        <v>5384</v>
      </c>
      <c r="B4850" t="s">
        <v>199</v>
      </c>
      <c r="C4850" t="s">
        <v>1477</v>
      </c>
      <c r="D4850" t="s">
        <v>293</v>
      </c>
      <c r="E4850" t="s">
        <v>294</v>
      </c>
      <c r="F4850" t="s">
        <v>5385</v>
      </c>
      <c r="G4850">
        <v>296</v>
      </c>
      <c r="H4850">
        <v>58745.96</v>
      </c>
      <c r="I4850">
        <v>198.47</v>
      </c>
      <c r="J4850">
        <v>0</v>
      </c>
      <c r="K4850">
        <v>0</v>
      </c>
      <c r="L4850">
        <v>0</v>
      </c>
      <c r="M4850">
        <v>296</v>
      </c>
      <c r="N4850">
        <v>58745.96</v>
      </c>
      <c r="O4850">
        <v>198.47</v>
      </c>
    </row>
    <row r="4851" spans="1:15" x14ac:dyDescent="0.35">
      <c r="A4851" t="s">
        <v>5384</v>
      </c>
      <c r="B4851" t="s">
        <v>199</v>
      </c>
      <c r="C4851" t="s">
        <v>1477</v>
      </c>
      <c r="D4851" t="s">
        <v>293</v>
      </c>
      <c r="E4851" t="s">
        <v>296</v>
      </c>
      <c r="F4851" t="s">
        <v>5386</v>
      </c>
      <c r="G4851">
        <v>509</v>
      </c>
      <c r="H4851">
        <v>123521.7</v>
      </c>
      <c r="I4851">
        <v>242.68</v>
      </c>
      <c r="J4851">
        <v>0</v>
      </c>
      <c r="K4851">
        <v>0</v>
      </c>
      <c r="L4851">
        <v>0</v>
      </c>
      <c r="M4851">
        <v>509</v>
      </c>
      <c r="N4851">
        <v>123521.7</v>
      </c>
      <c r="O4851">
        <v>242.68</v>
      </c>
    </row>
    <row r="4852" spans="1:15" x14ac:dyDescent="0.35">
      <c r="A4852" t="s">
        <v>5384</v>
      </c>
      <c r="B4852" t="s">
        <v>199</v>
      </c>
      <c r="C4852" t="s">
        <v>1477</v>
      </c>
      <c r="D4852" t="s">
        <v>293</v>
      </c>
      <c r="E4852" t="s">
        <v>298</v>
      </c>
      <c r="F4852" t="s">
        <v>5387</v>
      </c>
      <c r="G4852">
        <v>93</v>
      </c>
      <c r="H4852">
        <v>27894.73</v>
      </c>
      <c r="I4852">
        <v>299.94</v>
      </c>
      <c r="J4852">
        <v>0</v>
      </c>
      <c r="K4852">
        <v>0</v>
      </c>
      <c r="L4852">
        <v>0</v>
      </c>
      <c r="M4852">
        <v>93</v>
      </c>
      <c r="N4852">
        <v>27894.73</v>
      </c>
      <c r="O4852">
        <v>299.94</v>
      </c>
    </row>
    <row r="4853" spans="1:15" x14ac:dyDescent="0.35">
      <c r="A4853" t="s">
        <v>5384</v>
      </c>
      <c r="B4853" t="s">
        <v>199</v>
      </c>
      <c r="C4853" t="s">
        <v>1477</v>
      </c>
      <c r="D4853" t="s">
        <v>293</v>
      </c>
      <c r="E4853" t="s">
        <v>300</v>
      </c>
      <c r="F4853" t="s">
        <v>5388</v>
      </c>
      <c r="G4853">
        <v>24</v>
      </c>
      <c r="H4853">
        <v>8112.09</v>
      </c>
      <c r="I4853">
        <v>338</v>
      </c>
      <c r="J4853">
        <v>0</v>
      </c>
      <c r="K4853">
        <v>0</v>
      </c>
      <c r="L4853">
        <v>0</v>
      </c>
      <c r="M4853">
        <v>24</v>
      </c>
      <c r="N4853">
        <v>8112.09</v>
      </c>
      <c r="O4853">
        <v>338</v>
      </c>
    </row>
    <row r="4854" spans="1:15" x14ac:dyDescent="0.35">
      <c r="A4854" t="s">
        <v>5384</v>
      </c>
      <c r="B4854" t="s">
        <v>199</v>
      </c>
      <c r="C4854" t="s">
        <v>1477</v>
      </c>
      <c r="D4854" t="s">
        <v>293</v>
      </c>
      <c r="E4854" t="s">
        <v>302</v>
      </c>
      <c r="F4854" t="s">
        <v>5389</v>
      </c>
      <c r="G4854">
        <v>0</v>
      </c>
      <c r="H4854">
        <v>0</v>
      </c>
      <c r="I4854">
        <v>0</v>
      </c>
      <c r="J4854">
        <v>0</v>
      </c>
      <c r="K4854">
        <v>0</v>
      </c>
      <c r="L4854">
        <v>0</v>
      </c>
      <c r="M4854">
        <v>0</v>
      </c>
      <c r="N4854">
        <v>0</v>
      </c>
      <c r="O4854">
        <v>0</v>
      </c>
    </row>
    <row r="4855" spans="1:15" x14ac:dyDescent="0.35">
      <c r="A4855" t="s">
        <v>5384</v>
      </c>
      <c r="B4855" t="s">
        <v>199</v>
      </c>
      <c r="C4855" t="s">
        <v>1477</v>
      </c>
      <c r="D4855" t="s">
        <v>293</v>
      </c>
      <c r="E4855" t="s">
        <v>304</v>
      </c>
      <c r="F4855" t="s">
        <v>5390</v>
      </c>
      <c r="G4855">
        <v>0</v>
      </c>
      <c r="H4855">
        <v>0</v>
      </c>
      <c r="I4855">
        <v>0</v>
      </c>
      <c r="J4855">
        <v>0</v>
      </c>
      <c r="K4855">
        <v>0</v>
      </c>
      <c r="L4855">
        <v>0</v>
      </c>
      <c r="M4855">
        <v>0</v>
      </c>
      <c r="N4855">
        <v>0</v>
      </c>
      <c r="O4855">
        <v>0</v>
      </c>
    </row>
    <row r="4856" spans="1:15" x14ac:dyDescent="0.35">
      <c r="A4856" t="s">
        <v>5384</v>
      </c>
      <c r="B4856" t="s">
        <v>199</v>
      </c>
      <c r="C4856" t="s">
        <v>1477</v>
      </c>
      <c r="D4856" t="s">
        <v>293</v>
      </c>
      <c r="E4856" t="s">
        <v>306</v>
      </c>
      <c r="F4856" t="s">
        <v>5391</v>
      </c>
      <c r="G4856">
        <v>2</v>
      </c>
      <c r="H4856">
        <v>209.46</v>
      </c>
      <c r="I4856">
        <v>104.73</v>
      </c>
      <c r="J4856">
        <v>0</v>
      </c>
      <c r="K4856">
        <v>0</v>
      </c>
      <c r="L4856">
        <v>0</v>
      </c>
      <c r="M4856">
        <v>2</v>
      </c>
      <c r="N4856">
        <v>209.46</v>
      </c>
      <c r="O4856">
        <v>104.73</v>
      </c>
    </row>
    <row r="4857" spans="1:15" x14ac:dyDescent="0.35">
      <c r="A4857" t="s">
        <v>5384</v>
      </c>
      <c r="B4857" t="s">
        <v>199</v>
      </c>
      <c r="C4857" t="s">
        <v>1477</v>
      </c>
      <c r="D4857" t="s">
        <v>293</v>
      </c>
      <c r="E4857" t="s">
        <v>308</v>
      </c>
      <c r="F4857" t="s">
        <v>5392</v>
      </c>
      <c r="G4857">
        <v>0</v>
      </c>
      <c r="H4857">
        <v>0</v>
      </c>
      <c r="I4857">
        <v>0</v>
      </c>
      <c r="J4857">
        <v>0</v>
      </c>
      <c r="K4857">
        <v>0</v>
      </c>
      <c r="L4857">
        <v>0</v>
      </c>
      <c r="M4857">
        <v>0</v>
      </c>
      <c r="N4857">
        <v>0</v>
      </c>
      <c r="O4857">
        <v>0</v>
      </c>
    </row>
    <row r="4858" spans="1:15" x14ac:dyDescent="0.35">
      <c r="A4858" t="s">
        <v>5384</v>
      </c>
      <c r="B4858" t="s">
        <v>199</v>
      </c>
      <c r="C4858" t="s">
        <v>1477</v>
      </c>
      <c r="D4858" t="s">
        <v>293</v>
      </c>
      <c r="E4858" t="s">
        <v>310</v>
      </c>
      <c r="F4858" t="s">
        <v>5393</v>
      </c>
      <c r="G4858">
        <v>924</v>
      </c>
      <c r="H4858">
        <v>218483.94</v>
      </c>
      <c r="I4858">
        <v>236.45</v>
      </c>
      <c r="J4858">
        <v>0</v>
      </c>
      <c r="K4858">
        <v>0</v>
      </c>
      <c r="L4858">
        <v>0</v>
      </c>
      <c r="M4858">
        <v>924</v>
      </c>
      <c r="N4858">
        <v>218483.94</v>
      </c>
      <c r="O4858">
        <v>236.45</v>
      </c>
    </row>
    <row r="4859" spans="1:15" x14ac:dyDescent="0.35">
      <c r="A4859" t="s">
        <v>5384</v>
      </c>
      <c r="B4859" t="s">
        <v>199</v>
      </c>
      <c r="C4859" t="s">
        <v>1477</v>
      </c>
      <c r="D4859" t="s">
        <v>293</v>
      </c>
      <c r="E4859" t="s">
        <v>312</v>
      </c>
      <c r="F4859" t="s">
        <v>5394</v>
      </c>
      <c r="G4859">
        <v>924</v>
      </c>
      <c r="H4859">
        <v>218483.94</v>
      </c>
      <c r="I4859">
        <v>236.45</v>
      </c>
      <c r="J4859">
        <v>0</v>
      </c>
      <c r="K4859">
        <v>0</v>
      </c>
      <c r="L4859">
        <v>0</v>
      </c>
      <c r="M4859">
        <v>924</v>
      </c>
      <c r="N4859">
        <v>218483.94</v>
      </c>
      <c r="O4859">
        <v>236.45</v>
      </c>
    </row>
    <row r="4860" spans="1:15" x14ac:dyDescent="0.35">
      <c r="A4860" t="s">
        <v>5384</v>
      </c>
      <c r="B4860" t="s">
        <v>199</v>
      </c>
      <c r="C4860" t="s">
        <v>1477</v>
      </c>
      <c r="D4860" t="s">
        <v>314</v>
      </c>
      <c r="E4860" t="s">
        <v>294</v>
      </c>
      <c r="F4860" t="s">
        <v>5395</v>
      </c>
      <c r="G4860">
        <v>14</v>
      </c>
      <c r="H4860">
        <v>3825.5</v>
      </c>
      <c r="I4860">
        <v>273.25</v>
      </c>
      <c r="J4860">
        <v>0</v>
      </c>
      <c r="K4860">
        <v>0</v>
      </c>
      <c r="L4860">
        <v>0</v>
      </c>
      <c r="M4860">
        <v>14</v>
      </c>
      <c r="N4860">
        <v>3825.5</v>
      </c>
      <c r="O4860">
        <v>273.25</v>
      </c>
    </row>
    <row r="4861" spans="1:15" x14ac:dyDescent="0.35">
      <c r="A4861" t="s">
        <v>5384</v>
      </c>
      <c r="B4861" t="s">
        <v>199</v>
      </c>
      <c r="C4861" t="s">
        <v>1477</v>
      </c>
      <c r="D4861" t="s">
        <v>314</v>
      </c>
      <c r="E4861" t="s">
        <v>296</v>
      </c>
      <c r="F4861" t="s">
        <v>5396</v>
      </c>
      <c r="G4861">
        <v>0</v>
      </c>
      <c r="H4861">
        <v>0</v>
      </c>
      <c r="I4861">
        <v>0</v>
      </c>
      <c r="J4861">
        <v>0</v>
      </c>
      <c r="K4861">
        <v>0</v>
      </c>
      <c r="L4861">
        <v>0</v>
      </c>
      <c r="M4861">
        <v>0</v>
      </c>
      <c r="N4861">
        <v>0</v>
      </c>
      <c r="O4861">
        <v>0</v>
      </c>
    </row>
    <row r="4862" spans="1:15" x14ac:dyDescent="0.35">
      <c r="A4862" t="s">
        <v>5384</v>
      </c>
      <c r="B4862" t="s">
        <v>199</v>
      </c>
      <c r="C4862" t="s">
        <v>1477</v>
      </c>
      <c r="D4862" t="s">
        <v>314</v>
      </c>
      <c r="E4862" t="s">
        <v>298</v>
      </c>
      <c r="F4862" t="s">
        <v>5397</v>
      </c>
      <c r="G4862">
        <v>0</v>
      </c>
      <c r="H4862">
        <v>0</v>
      </c>
      <c r="I4862">
        <v>0</v>
      </c>
      <c r="J4862">
        <v>0</v>
      </c>
      <c r="K4862">
        <v>0</v>
      </c>
      <c r="L4862">
        <v>0</v>
      </c>
      <c r="M4862">
        <v>0</v>
      </c>
      <c r="N4862">
        <v>0</v>
      </c>
      <c r="O4862">
        <v>0</v>
      </c>
    </row>
    <row r="4863" spans="1:15" x14ac:dyDescent="0.35">
      <c r="A4863" t="s">
        <v>5384</v>
      </c>
      <c r="B4863" t="s">
        <v>199</v>
      </c>
      <c r="C4863" t="s">
        <v>1477</v>
      </c>
      <c r="D4863" t="s">
        <v>314</v>
      </c>
      <c r="E4863" t="s">
        <v>300</v>
      </c>
      <c r="F4863" t="s">
        <v>5398</v>
      </c>
      <c r="G4863">
        <v>0</v>
      </c>
      <c r="H4863">
        <v>0</v>
      </c>
      <c r="I4863">
        <v>0</v>
      </c>
      <c r="J4863">
        <v>0</v>
      </c>
      <c r="K4863">
        <v>0</v>
      </c>
      <c r="L4863">
        <v>0</v>
      </c>
      <c r="M4863">
        <v>0</v>
      </c>
      <c r="N4863">
        <v>0</v>
      </c>
      <c r="O4863">
        <v>0</v>
      </c>
    </row>
    <row r="4864" spans="1:15" x14ac:dyDescent="0.35">
      <c r="A4864" t="s">
        <v>5384</v>
      </c>
      <c r="B4864" t="s">
        <v>199</v>
      </c>
      <c r="C4864" t="s">
        <v>1477</v>
      </c>
      <c r="D4864" t="s">
        <v>314</v>
      </c>
      <c r="E4864" t="s">
        <v>306</v>
      </c>
      <c r="F4864" t="s">
        <v>5399</v>
      </c>
      <c r="G4864">
        <v>11</v>
      </c>
      <c r="H4864">
        <v>2251.37</v>
      </c>
      <c r="I4864">
        <v>204.67</v>
      </c>
      <c r="J4864">
        <v>0</v>
      </c>
      <c r="K4864">
        <v>0</v>
      </c>
      <c r="L4864">
        <v>0</v>
      </c>
      <c r="M4864">
        <v>11</v>
      </c>
      <c r="N4864">
        <v>2251.37</v>
      </c>
      <c r="O4864">
        <v>204.67</v>
      </c>
    </row>
    <row r="4865" spans="1:15" x14ac:dyDescent="0.35">
      <c r="A4865" t="s">
        <v>5384</v>
      </c>
      <c r="B4865" t="s">
        <v>199</v>
      </c>
      <c r="C4865" t="s">
        <v>1477</v>
      </c>
      <c r="D4865" t="s">
        <v>314</v>
      </c>
      <c r="E4865" t="s">
        <v>308</v>
      </c>
      <c r="F4865" t="s">
        <v>5400</v>
      </c>
      <c r="G4865">
        <v>0</v>
      </c>
      <c r="H4865">
        <v>0</v>
      </c>
      <c r="I4865">
        <v>0</v>
      </c>
      <c r="J4865">
        <v>0</v>
      </c>
      <c r="K4865">
        <v>0</v>
      </c>
      <c r="L4865">
        <v>0</v>
      </c>
      <c r="M4865">
        <v>0</v>
      </c>
      <c r="N4865">
        <v>0</v>
      </c>
      <c r="O4865">
        <v>0</v>
      </c>
    </row>
    <row r="4866" spans="1:15" x14ac:dyDescent="0.35">
      <c r="A4866" t="s">
        <v>5384</v>
      </c>
      <c r="B4866" t="s">
        <v>199</v>
      </c>
      <c r="C4866" t="s">
        <v>1477</v>
      </c>
      <c r="D4866" t="s">
        <v>314</v>
      </c>
      <c r="E4866" t="s">
        <v>312</v>
      </c>
      <c r="F4866" t="s">
        <v>5401</v>
      </c>
      <c r="G4866">
        <v>25</v>
      </c>
      <c r="H4866">
        <v>6076.87</v>
      </c>
      <c r="I4866">
        <v>243.07</v>
      </c>
      <c r="J4866">
        <v>0</v>
      </c>
      <c r="K4866">
        <v>0</v>
      </c>
      <c r="L4866">
        <v>0</v>
      </c>
      <c r="M4866">
        <v>25</v>
      </c>
      <c r="N4866">
        <v>6076.87</v>
      </c>
      <c r="O4866">
        <v>243.07</v>
      </c>
    </row>
    <row r="4867" spans="1:15" x14ac:dyDescent="0.35">
      <c r="A4867" t="s">
        <v>5384</v>
      </c>
      <c r="B4867" t="s">
        <v>199</v>
      </c>
      <c r="C4867" t="s">
        <v>1477</v>
      </c>
      <c r="D4867" t="s">
        <v>314</v>
      </c>
      <c r="E4867" t="s">
        <v>310</v>
      </c>
      <c r="F4867" t="s">
        <v>5402</v>
      </c>
      <c r="G4867">
        <v>25</v>
      </c>
      <c r="H4867">
        <v>6076.87</v>
      </c>
      <c r="I4867">
        <v>243.07</v>
      </c>
      <c r="J4867">
        <v>0</v>
      </c>
      <c r="K4867">
        <v>0</v>
      </c>
      <c r="L4867">
        <v>0</v>
      </c>
      <c r="M4867">
        <v>25</v>
      </c>
      <c r="N4867">
        <v>6076.87</v>
      </c>
      <c r="O4867">
        <v>243.07</v>
      </c>
    </row>
    <row r="4868" spans="1:15" x14ac:dyDescent="0.35">
      <c r="A4868" t="s">
        <v>5384</v>
      </c>
      <c r="B4868" t="s">
        <v>199</v>
      </c>
      <c r="C4868" t="s">
        <v>1477</v>
      </c>
      <c r="D4868" t="s">
        <v>323</v>
      </c>
      <c r="E4868" t="s">
        <v>294</v>
      </c>
      <c r="F4868" t="s">
        <v>5403</v>
      </c>
      <c r="G4868">
        <v>1030</v>
      </c>
      <c r="H4868">
        <v>126143.88</v>
      </c>
      <c r="I4868">
        <v>122.47</v>
      </c>
      <c r="J4868">
        <v>0</v>
      </c>
      <c r="K4868">
        <v>0</v>
      </c>
      <c r="L4868">
        <v>0</v>
      </c>
      <c r="M4868">
        <v>1030</v>
      </c>
      <c r="N4868">
        <v>126143.88</v>
      </c>
      <c r="O4868">
        <v>122.47</v>
      </c>
    </row>
    <row r="4869" spans="1:15" x14ac:dyDescent="0.35">
      <c r="A4869" t="s">
        <v>5384</v>
      </c>
      <c r="B4869" t="s">
        <v>199</v>
      </c>
      <c r="C4869" t="s">
        <v>1477</v>
      </c>
      <c r="D4869" t="s">
        <v>323</v>
      </c>
      <c r="E4869" t="s">
        <v>296</v>
      </c>
      <c r="F4869" t="s">
        <v>5404</v>
      </c>
      <c r="G4869">
        <v>1691</v>
      </c>
      <c r="H4869">
        <v>234589.81</v>
      </c>
      <c r="I4869">
        <v>138.72999999999999</v>
      </c>
      <c r="J4869">
        <v>0</v>
      </c>
      <c r="K4869">
        <v>0</v>
      </c>
      <c r="L4869">
        <v>0</v>
      </c>
      <c r="M4869">
        <v>1691</v>
      </c>
      <c r="N4869">
        <v>234589.81</v>
      </c>
      <c r="O4869">
        <v>138.72999999999999</v>
      </c>
    </row>
    <row r="4870" spans="1:15" x14ac:dyDescent="0.35">
      <c r="A4870" t="s">
        <v>5384</v>
      </c>
      <c r="B4870" t="s">
        <v>199</v>
      </c>
      <c r="C4870" t="s">
        <v>1477</v>
      </c>
      <c r="D4870" t="s">
        <v>323</v>
      </c>
      <c r="E4870" t="s">
        <v>298</v>
      </c>
      <c r="F4870" t="s">
        <v>5405</v>
      </c>
      <c r="G4870">
        <v>2052</v>
      </c>
      <c r="H4870">
        <v>313771.02999999997</v>
      </c>
      <c r="I4870">
        <v>152.91</v>
      </c>
      <c r="J4870">
        <v>0</v>
      </c>
      <c r="K4870">
        <v>0</v>
      </c>
      <c r="L4870">
        <v>0</v>
      </c>
      <c r="M4870">
        <v>2052</v>
      </c>
      <c r="N4870">
        <v>313771.02999999997</v>
      </c>
      <c r="O4870">
        <v>152.91</v>
      </c>
    </row>
    <row r="4871" spans="1:15" x14ac:dyDescent="0.35">
      <c r="A4871" t="s">
        <v>5384</v>
      </c>
      <c r="B4871" t="s">
        <v>199</v>
      </c>
      <c r="C4871" t="s">
        <v>1477</v>
      </c>
      <c r="D4871" t="s">
        <v>323</v>
      </c>
      <c r="E4871" t="s">
        <v>300</v>
      </c>
      <c r="F4871" t="s">
        <v>5406</v>
      </c>
      <c r="G4871">
        <v>176</v>
      </c>
      <c r="H4871">
        <v>30166.240000000002</v>
      </c>
      <c r="I4871">
        <v>171.4</v>
      </c>
      <c r="J4871">
        <v>0</v>
      </c>
      <c r="K4871">
        <v>0</v>
      </c>
      <c r="L4871">
        <v>0</v>
      </c>
      <c r="M4871">
        <v>176</v>
      </c>
      <c r="N4871">
        <v>30166.240000000002</v>
      </c>
      <c r="O4871">
        <v>171.4</v>
      </c>
    </row>
    <row r="4872" spans="1:15" x14ac:dyDescent="0.35">
      <c r="A4872" t="s">
        <v>5384</v>
      </c>
      <c r="B4872" t="s">
        <v>199</v>
      </c>
      <c r="C4872" t="s">
        <v>1477</v>
      </c>
      <c r="D4872" t="s">
        <v>323</v>
      </c>
      <c r="E4872" t="s">
        <v>302</v>
      </c>
      <c r="F4872" t="s">
        <v>5407</v>
      </c>
      <c r="G4872">
        <v>4</v>
      </c>
      <c r="H4872">
        <v>769.53</v>
      </c>
      <c r="I4872">
        <v>192.38</v>
      </c>
      <c r="J4872">
        <v>0</v>
      </c>
      <c r="K4872">
        <v>0</v>
      </c>
      <c r="L4872">
        <v>0</v>
      </c>
      <c r="M4872">
        <v>4</v>
      </c>
      <c r="N4872">
        <v>769.53</v>
      </c>
      <c r="O4872">
        <v>192.38</v>
      </c>
    </row>
    <row r="4873" spans="1:15" x14ac:dyDescent="0.35">
      <c r="A4873" t="s">
        <v>5384</v>
      </c>
      <c r="B4873" t="s">
        <v>199</v>
      </c>
      <c r="C4873" t="s">
        <v>1477</v>
      </c>
      <c r="D4873" t="s">
        <v>323</v>
      </c>
      <c r="E4873" t="s">
        <v>304</v>
      </c>
      <c r="F4873" t="s">
        <v>5408</v>
      </c>
      <c r="G4873">
        <v>1</v>
      </c>
      <c r="H4873">
        <v>202.86</v>
      </c>
      <c r="I4873">
        <v>202.86</v>
      </c>
      <c r="J4873">
        <v>0</v>
      </c>
      <c r="K4873">
        <v>0</v>
      </c>
      <c r="L4873">
        <v>0</v>
      </c>
      <c r="M4873">
        <v>1</v>
      </c>
      <c r="N4873">
        <v>202.86</v>
      </c>
      <c r="O4873">
        <v>202.86</v>
      </c>
    </row>
    <row r="4874" spans="1:15" x14ac:dyDescent="0.35">
      <c r="A4874" t="s">
        <v>5384</v>
      </c>
      <c r="B4874" t="s">
        <v>199</v>
      </c>
      <c r="C4874" t="s">
        <v>1477</v>
      </c>
      <c r="D4874" t="s">
        <v>323</v>
      </c>
      <c r="E4874" t="s">
        <v>306</v>
      </c>
      <c r="F4874" t="s">
        <v>5409</v>
      </c>
      <c r="G4874">
        <v>93</v>
      </c>
      <c r="H4874">
        <v>10150.93</v>
      </c>
      <c r="I4874">
        <v>109.15</v>
      </c>
      <c r="J4874">
        <v>0</v>
      </c>
      <c r="K4874">
        <v>0</v>
      </c>
      <c r="L4874">
        <v>0</v>
      </c>
      <c r="M4874">
        <v>93</v>
      </c>
      <c r="N4874">
        <v>10150.93</v>
      </c>
      <c r="O4874">
        <v>109.15</v>
      </c>
    </row>
    <row r="4875" spans="1:15" x14ac:dyDescent="0.35">
      <c r="A4875" t="s">
        <v>5384</v>
      </c>
      <c r="B4875" t="s">
        <v>199</v>
      </c>
      <c r="C4875" t="s">
        <v>1477</v>
      </c>
      <c r="D4875" t="s">
        <v>323</v>
      </c>
      <c r="E4875" t="s">
        <v>308</v>
      </c>
      <c r="F4875" t="s">
        <v>5410</v>
      </c>
      <c r="G4875">
        <v>0</v>
      </c>
      <c r="H4875">
        <v>0</v>
      </c>
      <c r="I4875">
        <v>0</v>
      </c>
      <c r="J4875">
        <v>0</v>
      </c>
      <c r="K4875">
        <v>0</v>
      </c>
      <c r="L4875">
        <v>0</v>
      </c>
      <c r="M4875">
        <v>0</v>
      </c>
      <c r="N4875">
        <v>0</v>
      </c>
      <c r="O4875">
        <v>0</v>
      </c>
    </row>
    <row r="4876" spans="1:15" x14ac:dyDescent="0.35">
      <c r="A4876" t="s">
        <v>5384</v>
      </c>
      <c r="B4876" t="s">
        <v>199</v>
      </c>
      <c r="C4876" t="s">
        <v>1477</v>
      </c>
      <c r="D4876" t="s">
        <v>323</v>
      </c>
      <c r="E4876" t="s">
        <v>310</v>
      </c>
      <c r="F4876" t="s">
        <v>5411</v>
      </c>
      <c r="G4876">
        <v>5047</v>
      </c>
      <c r="H4876">
        <v>715794.28</v>
      </c>
      <c r="I4876">
        <v>141.83000000000001</v>
      </c>
      <c r="J4876">
        <v>0</v>
      </c>
      <c r="K4876">
        <v>0</v>
      </c>
      <c r="L4876">
        <v>0</v>
      </c>
      <c r="M4876">
        <v>5047</v>
      </c>
      <c r="N4876">
        <v>715794.28</v>
      </c>
      <c r="O4876">
        <v>141.83000000000001</v>
      </c>
    </row>
    <row r="4877" spans="1:15" x14ac:dyDescent="0.35">
      <c r="A4877" t="s">
        <v>5384</v>
      </c>
      <c r="B4877" t="s">
        <v>199</v>
      </c>
      <c r="C4877" t="s">
        <v>1477</v>
      </c>
      <c r="D4877" t="s">
        <v>323</v>
      </c>
      <c r="E4877" t="s">
        <v>312</v>
      </c>
      <c r="F4877" t="s">
        <v>5412</v>
      </c>
      <c r="G4877">
        <v>5047</v>
      </c>
      <c r="H4877">
        <v>715794.28</v>
      </c>
      <c r="I4877">
        <v>141.83000000000001</v>
      </c>
      <c r="J4877">
        <v>0</v>
      </c>
      <c r="K4877">
        <v>0</v>
      </c>
      <c r="L4877">
        <v>0</v>
      </c>
      <c r="M4877">
        <v>5047</v>
      </c>
      <c r="N4877">
        <v>715794.28</v>
      </c>
      <c r="O4877">
        <v>141.83000000000001</v>
      </c>
    </row>
    <row r="4878" spans="1:15" x14ac:dyDescent="0.35">
      <c r="A4878" t="s">
        <v>5384</v>
      </c>
      <c r="B4878" t="s">
        <v>199</v>
      </c>
      <c r="C4878" t="s">
        <v>1477</v>
      </c>
      <c r="D4878" t="s">
        <v>334</v>
      </c>
      <c r="E4878" t="s">
        <v>312</v>
      </c>
      <c r="F4878" t="s">
        <v>5413</v>
      </c>
      <c r="G4878">
        <v>6117</v>
      </c>
      <c r="H4878">
        <v>934278.22</v>
      </c>
      <c r="I4878">
        <v>156.47</v>
      </c>
      <c r="J4878">
        <v>0</v>
      </c>
      <c r="K4878">
        <v>0</v>
      </c>
      <c r="L4878">
        <v>0</v>
      </c>
      <c r="M4878">
        <v>6117</v>
      </c>
      <c r="N4878">
        <v>934278.22</v>
      </c>
      <c r="O4878">
        <v>156.47</v>
      </c>
    </row>
    <row r="4879" spans="1:15" x14ac:dyDescent="0.35">
      <c r="A4879" t="s">
        <v>5384</v>
      </c>
      <c r="B4879" t="s">
        <v>199</v>
      </c>
      <c r="C4879" t="s">
        <v>1477</v>
      </c>
      <c r="D4879" t="s">
        <v>334</v>
      </c>
      <c r="E4879" t="s">
        <v>308</v>
      </c>
      <c r="F4879" t="s">
        <v>5414</v>
      </c>
      <c r="G4879">
        <v>161</v>
      </c>
      <c r="H4879">
        <v>0</v>
      </c>
      <c r="I4879">
        <v>0</v>
      </c>
      <c r="J4879">
        <v>0</v>
      </c>
      <c r="K4879">
        <v>0</v>
      </c>
      <c r="L4879">
        <v>0</v>
      </c>
      <c r="M4879">
        <v>161</v>
      </c>
      <c r="N4879">
        <v>0</v>
      </c>
      <c r="O4879">
        <v>0</v>
      </c>
    </row>
    <row r="4880" spans="1:15" x14ac:dyDescent="0.35">
      <c r="A4880" t="s">
        <v>5384</v>
      </c>
      <c r="B4880" t="s">
        <v>199</v>
      </c>
      <c r="C4880" t="s">
        <v>1477</v>
      </c>
      <c r="D4880" t="s">
        <v>337</v>
      </c>
      <c r="E4880" t="s">
        <v>337</v>
      </c>
      <c r="F4880" t="s">
        <v>5415</v>
      </c>
      <c r="G4880">
        <v>644</v>
      </c>
      <c r="J4880">
        <v>0</v>
      </c>
      <c r="M4880">
        <v>644</v>
      </c>
    </row>
    <row r="4881" spans="1:15" x14ac:dyDescent="0.35">
      <c r="A4881" t="s">
        <v>5384</v>
      </c>
      <c r="B4881" t="s">
        <v>199</v>
      </c>
      <c r="C4881" t="s">
        <v>1477</v>
      </c>
      <c r="D4881" t="s">
        <v>339</v>
      </c>
      <c r="E4881" t="s">
        <v>294</v>
      </c>
      <c r="F4881" t="s">
        <v>5416</v>
      </c>
      <c r="G4881">
        <v>354</v>
      </c>
      <c r="H4881">
        <v>44611.63</v>
      </c>
      <c r="I4881">
        <v>126.02</v>
      </c>
      <c r="J4881">
        <v>0</v>
      </c>
      <c r="K4881">
        <v>0</v>
      </c>
      <c r="L4881">
        <v>0</v>
      </c>
      <c r="M4881">
        <v>354</v>
      </c>
      <c r="N4881">
        <v>44611.63</v>
      </c>
      <c r="O4881">
        <v>126.02</v>
      </c>
    </row>
    <row r="4882" spans="1:15" x14ac:dyDescent="0.35">
      <c r="A4882" t="s">
        <v>5384</v>
      </c>
      <c r="B4882" t="s">
        <v>199</v>
      </c>
      <c r="C4882" t="s">
        <v>1477</v>
      </c>
      <c r="D4882" t="s">
        <v>339</v>
      </c>
      <c r="E4882" t="s">
        <v>296</v>
      </c>
      <c r="F4882" t="s">
        <v>5417</v>
      </c>
      <c r="G4882">
        <v>18</v>
      </c>
      <c r="H4882">
        <v>2326.15</v>
      </c>
      <c r="I4882">
        <v>129.22999999999999</v>
      </c>
      <c r="J4882">
        <v>0</v>
      </c>
      <c r="K4882">
        <v>0</v>
      </c>
      <c r="L4882">
        <v>0</v>
      </c>
      <c r="M4882">
        <v>18</v>
      </c>
      <c r="N4882">
        <v>2326.15</v>
      </c>
      <c r="O4882">
        <v>129.22999999999999</v>
      </c>
    </row>
    <row r="4883" spans="1:15" x14ac:dyDescent="0.35">
      <c r="A4883" t="s">
        <v>5384</v>
      </c>
      <c r="B4883" t="s">
        <v>199</v>
      </c>
      <c r="C4883" t="s">
        <v>1477</v>
      </c>
      <c r="D4883" t="s">
        <v>339</v>
      </c>
      <c r="E4883" t="s">
        <v>298</v>
      </c>
      <c r="F4883" t="s">
        <v>5418</v>
      </c>
      <c r="G4883">
        <v>2</v>
      </c>
      <c r="H4883">
        <v>282.91999999999996</v>
      </c>
      <c r="I4883">
        <v>141.46</v>
      </c>
      <c r="J4883">
        <v>0</v>
      </c>
      <c r="K4883">
        <v>0</v>
      </c>
      <c r="L4883">
        <v>0</v>
      </c>
      <c r="M4883">
        <v>2</v>
      </c>
      <c r="N4883">
        <v>282.91999999999996</v>
      </c>
      <c r="O4883">
        <v>141.46</v>
      </c>
    </row>
    <row r="4884" spans="1:15" x14ac:dyDescent="0.35">
      <c r="A4884" t="s">
        <v>5384</v>
      </c>
      <c r="B4884" t="s">
        <v>199</v>
      </c>
      <c r="C4884" t="s">
        <v>1477</v>
      </c>
      <c r="D4884" t="s">
        <v>339</v>
      </c>
      <c r="E4884" t="s">
        <v>300</v>
      </c>
      <c r="F4884" t="s">
        <v>5419</v>
      </c>
      <c r="G4884">
        <v>0</v>
      </c>
      <c r="H4884">
        <v>0</v>
      </c>
      <c r="I4884">
        <v>0</v>
      </c>
      <c r="J4884">
        <v>0</v>
      </c>
      <c r="K4884">
        <v>0</v>
      </c>
      <c r="L4884">
        <v>0</v>
      </c>
      <c r="M4884">
        <v>0</v>
      </c>
      <c r="N4884">
        <v>0</v>
      </c>
      <c r="O4884">
        <v>0</v>
      </c>
    </row>
    <row r="4885" spans="1:15" x14ac:dyDescent="0.35">
      <c r="A4885" t="s">
        <v>5384</v>
      </c>
      <c r="B4885" t="s">
        <v>199</v>
      </c>
      <c r="C4885" t="s">
        <v>1477</v>
      </c>
      <c r="D4885" t="s">
        <v>339</v>
      </c>
      <c r="E4885" t="s">
        <v>306</v>
      </c>
      <c r="F4885" t="s">
        <v>5420</v>
      </c>
      <c r="G4885">
        <v>291</v>
      </c>
      <c r="H4885">
        <v>28793.49</v>
      </c>
      <c r="I4885">
        <v>98.95</v>
      </c>
      <c r="J4885">
        <v>0</v>
      </c>
      <c r="K4885">
        <v>0</v>
      </c>
      <c r="L4885">
        <v>0</v>
      </c>
      <c r="M4885">
        <v>291</v>
      </c>
      <c r="N4885">
        <v>28793.49</v>
      </c>
      <c r="O4885">
        <v>98.95</v>
      </c>
    </row>
    <row r="4886" spans="1:15" x14ac:dyDescent="0.35">
      <c r="A4886" t="s">
        <v>5384</v>
      </c>
      <c r="B4886" t="s">
        <v>199</v>
      </c>
      <c r="C4886" t="s">
        <v>1477</v>
      </c>
      <c r="D4886" t="s">
        <v>339</v>
      </c>
      <c r="E4886" t="s">
        <v>308</v>
      </c>
      <c r="F4886" t="s">
        <v>5421</v>
      </c>
      <c r="G4886">
        <v>41</v>
      </c>
      <c r="H4886">
        <v>6147.68</v>
      </c>
      <c r="I4886">
        <v>149.94</v>
      </c>
      <c r="J4886">
        <v>0</v>
      </c>
      <c r="K4886">
        <v>0</v>
      </c>
      <c r="L4886">
        <v>0</v>
      </c>
      <c r="M4886">
        <v>41</v>
      </c>
      <c r="N4886">
        <v>6147.68</v>
      </c>
      <c r="O4886">
        <v>149.94</v>
      </c>
    </row>
    <row r="4887" spans="1:15" x14ac:dyDescent="0.35">
      <c r="A4887" t="s">
        <v>5384</v>
      </c>
      <c r="B4887" t="s">
        <v>199</v>
      </c>
      <c r="C4887" t="s">
        <v>1477</v>
      </c>
      <c r="D4887" t="s">
        <v>339</v>
      </c>
      <c r="E4887" t="s">
        <v>310</v>
      </c>
      <c r="F4887" t="s">
        <v>5422</v>
      </c>
      <c r="G4887">
        <v>706</v>
      </c>
      <c r="H4887">
        <v>82161.87</v>
      </c>
      <c r="I4887">
        <v>116.38</v>
      </c>
      <c r="J4887">
        <v>0</v>
      </c>
      <c r="K4887">
        <v>0</v>
      </c>
      <c r="L4887">
        <v>0</v>
      </c>
      <c r="M4887">
        <v>706</v>
      </c>
      <c r="N4887">
        <v>82161.87</v>
      </c>
      <c r="O4887">
        <v>116.38</v>
      </c>
    </row>
    <row r="4888" spans="1:15" x14ac:dyDescent="0.35">
      <c r="A4888" t="s">
        <v>5384</v>
      </c>
      <c r="B4888" t="s">
        <v>199</v>
      </c>
      <c r="C4888" t="s">
        <v>1477</v>
      </c>
      <c r="D4888" t="s">
        <v>339</v>
      </c>
      <c r="E4888" t="s">
        <v>312</v>
      </c>
      <c r="F4888" t="s">
        <v>5423</v>
      </c>
      <c r="G4888">
        <v>665</v>
      </c>
      <c r="H4888">
        <v>76014.19</v>
      </c>
      <c r="I4888">
        <v>114.31</v>
      </c>
      <c r="J4888">
        <v>0</v>
      </c>
      <c r="K4888">
        <v>0</v>
      </c>
      <c r="L4888">
        <v>0</v>
      </c>
      <c r="M4888">
        <v>665</v>
      </c>
      <c r="N4888">
        <v>76014.19</v>
      </c>
      <c r="O4888">
        <v>114.31</v>
      </c>
    </row>
    <row r="4889" spans="1:15" x14ac:dyDescent="0.35">
      <c r="A4889" t="s">
        <v>5384</v>
      </c>
      <c r="B4889" t="s">
        <v>199</v>
      </c>
      <c r="C4889" t="s">
        <v>1477</v>
      </c>
      <c r="D4889" t="s">
        <v>348</v>
      </c>
      <c r="E4889" t="s">
        <v>349</v>
      </c>
      <c r="F4889" t="s">
        <v>5424</v>
      </c>
      <c r="G4889">
        <v>1038</v>
      </c>
      <c r="H4889">
        <v>88238.739999999991</v>
      </c>
      <c r="I4889">
        <v>120.71</v>
      </c>
      <c r="J4889">
        <v>0</v>
      </c>
      <c r="K4889">
        <v>0</v>
      </c>
      <c r="L4889">
        <v>0</v>
      </c>
      <c r="M4889">
        <v>1038</v>
      </c>
      <c r="N4889">
        <v>88238.739999999991</v>
      </c>
      <c r="O4889">
        <v>120.71</v>
      </c>
    </row>
    <row r="4890" spans="1:15" x14ac:dyDescent="0.35">
      <c r="A4890" t="s">
        <v>5425</v>
      </c>
      <c r="B4890" t="s">
        <v>5426</v>
      </c>
      <c r="C4890" t="s">
        <v>1644</v>
      </c>
      <c r="D4890" t="s">
        <v>293</v>
      </c>
      <c r="E4890" t="s">
        <v>294</v>
      </c>
      <c r="F4890" t="s">
        <v>5427</v>
      </c>
      <c r="G4890">
        <v>164</v>
      </c>
      <c r="H4890">
        <v>24129.01</v>
      </c>
      <c r="I4890">
        <v>147.13</v>
      </c>
      <c r="J4890">
        <v>70</v>
      </c>
      <c r="K4890">
        <v>9998.8000000000011</v>
      </c>
      <c r="L4890">
        <v>142.84</v>
      </c>
      <c r="M4890">
        <v>234</v>
      </c>
      <c r="N4890">
        <v>34127.81</v>
      </c>
      <c r="O4890">
        <v>145.85</v>
      </c>
    </row>
    <row r="4891" spans="1:15" x14ac:dyDescent="0.35">
      <c r="A4891" t="s">
        <v>5425</v>
      </c>
      <c r="B4891" t="s">
        <v>5426</v>
      </c>
      <c r="C4891" t="s">
        <v>1644</v>
      </c>
      <c r="D4891" t="s">
        <v>293</v>
      </c>
      <c r="E4891" t="s">
        <v>296</v>
      </c>
      <c r="F4891" t="s">
        <v>5428</v>
      </c>
      <c r="G4891">
        <v>322</v>
      </c>
      <c r="H4891">
        <v>57319.86</v>
      </c>
      <c r="I4891">
        <v>178.01</v>
      </c>
      <c r="J4891">
        <v>337</v>
      </c>
      <c r="K4891">
        <v>54614.22</v>
      </c>
      <c r="L4891">
        <v>162.06</v>
      </c>
      <c r="M4891">
        <v>659</v>
      </c>
      <c r="N4891">
        <v>111934.08</v>
      </c>
      <c r="O4891">
        <v>169.85</v>
      </c>
    </row>
    <row r="4892" spans="1:15" x14ac:dyDescent="0.35">
      <c r="A4892" t="s">
        <v>5425</v>
      </c>
      <c r="B4892" t="s">
        <v>5426</v>
      </c>
      <c r="C4892" t="s">
        <v>1644</v>
      </c>
      <c r="D4892" t="s">
        <v>293</v>
      </c>
      <c r="E4892" t="s">
        <v>298</v>
      </c>
      <c r="F4892" t="s">
        <v>5429</v>
      </c>
      <c r="G4892">
        <v>128</v>
      </c>
      <c r="H4892">
        <v>27261.86</v>
      </c>
      <c r="I4892">
        <v>212.98</v>
      </c>
      <c r="J4892">
        <v>240</v>
      </c>
      <c r="K4892">
        <v>45693.599999999999</v>
      </c>
      <c r="L4892">
        <v>190.39</v>
      </c>
      <c r="M4892">
        <v>368</v>
      </c>
      <c r="N4892">
        <v>72955.459999999992</v>
      </c>
      <c r="O4892">
        <v>198.25</v>
      </c>
    </row>
    <row r="4893" spans="1:15" x14ac:dyDescent="0.35">
      <c r="A4893" t="s">
        <v>5425</v>
      </c>
      <c r="B4893" t="s">
        <v>5426</v>
      </c>
      <c r="C4893" t="s">
        <v>1644</v>
      </c>
      <c r="D4893" t="s">
        <v>293</v>
      </c>
      <c r="E4893" t="s">
        <v>300</v>
      </c>
      <c r="F4893" t="s">
        <v>5430</v>
      </c>
      <c r="G4893">
        <v>15</v>
      </c>
      <c r="H4893">
        <v>4094.9100000000003</v>
      </c>
      <c r="I4893">
        <v>272.99</v>
      </c>
      <c r="J4893">
        <v>20</v>
      </c>
      <c r="K4893">
        <v>4629.5999999999995</v>
      </c>
      <c r="L4893">
        <v>231.48</v>
      </c>
      <c r="M4893">
        <v>35</v>
      </c>
      <c r="N4893">
        <v>8724.51</v>
      </c>
      <c r="O4893">
        <v>249.27</v>
      </c>
    </row>
    <row r="4894" spans="1:15" x14ac:dyDescent="0.35">
      <c r="A4894" t="s">
        <v>5425</v>
      </c>
      <c r="B4894" t="s">
        <v>5426</v>
      </c>
      <c r="C4894" t="s">
        <v>1644</v>
      </c>
      <c r="D4894" t="s">
        <v>293</v>
      </c>
      <c r="E4894" t="s">
        <v>302</v>
      </c>
      <c r="F4894" t="s">
        <v>5431</v>
      </c>
      <c r="G4894">
        <v>0</v>
      </c>
      <c r="H4894">
        <v>0</v>
      </c>
      <c r="I4894">
        <v>0</v>
      </c>
      <c r="J4894">
        <v>3</v>
      </c>
      <c r="K4894">
        <v>764.31000000000006</v>
      </c>
      <c r="L4894">
        <v>254.77</v>
      </c>
      <c r="M4894">
        <v>3</v>
      </c>
      <c r="N4894">
        <v>764.31000000000006</v>
      </c>
      <c r="O4894">
        <v>254.77</v>
      </c>
    </row>
    <row r="4895" spans="1:15" x14ac:dyDescent="0.35">
      <c r="A4895" t="s">
        <v>5425</v>
      </c>
      <c r="B4895" t="s">
        <v>5426</v>
      </c>
      <c r="C4895" t="s">
        <v>1644</v>
      </c>
      <c r="D4895" t="s">
        <v>293</v>
      </c>
      <c r="E4895" t="s">
        <v>304</v>
      </c>
      <c r="F4895" t="s">
        <v>5432</v>
      </c>
      <c r="G4895">
        <v>0</v>
      </c>
      <c r="H4895">
        <v>0</v>
      </c>
      <c r="I4895">
        <v>0</v>
      </c>
      <c r="J4895">
        <v>1</v>
      </c>
      <c r="K4895">
        <v>209.66</v>
      </c>
      <c r="L4895">
        <v>209.66</v>
      </c>
      <c r="M4895">
        <v>1</v>
      </c>
      <c r="N4895">
        <v>209.66</v>
      </c>
      <c r="O4895">
        <v>209.66</v>
      </c>
    </row>
    <row r="4896" spans="1:15" x14ac:dyDescent="0.35">
      <c r="A4896" t="s">
        <v>5425</v>
      </c>
      <c r="B4896" t="s">
        <v>5426</v>
      </c>
      <c r="C4896" t="s">
        <v>1644</v>
      </c>
      <c r="D4896" t="s">
        <v>293</v>
      </c>
      <c r="E4896" t="s">
        <v>306</v>
      </c>
      <c r="F4896" t="s">
        <v>5433</v>
      </c>
      <c r="G4896">
        <v>0</v>
      </c>
      <c r="H4896">
        <v>0</v>
      </c>
      <c r="I4896">
        <v>0</v>
      </c>
      <c r="J4896">
        <v>0</v>
      </c>
      <c r="K4896">
        <v>0</v>
      </c>
      <c r="L4896">
        <v>0</v>
      </c>
      <c r="M4896">
        <v>0</v>
      </c>
      <c r="N4896">
        <v>0</v>
      </c>
      <c r="O4896">
        <v>0</v>
      </c>
    </row>
    <row r="4897" spans="1:15" x14ac:dyDescent="0.35">
      <c r="A4897" t="s">
        <v>5425</v>
      </c>
      <c r="B4897" t="s">
        <v>5426</v>
      </c>
      <c r="C4897" t="s">
        <v>1644</v>
      </c>
      <c r="D4897" t="s">
        <v>293</v>
      </c>
      <c r="E4897" t="s">
        <v>308</v>
      </c>
      <c r="F4897" t="s">
        <v>5434</v>
      </c>
      <c r="G4897">
        <v>0</v>
      </c>
      <c r="H4897">
        <v>0</v>
      </c>
      <c r="I4897">
        <v>0</v>
      </c>
      <c r="J4897">
        <v>0</v>
      </c>
      <c r="K4897">
        <v>0</v>
      </c>
      <c r="L4897">
        <v>0</v>
      </c>
      <c r="M4897">
        <v>0</v>
      </c>
      <c r="N4897">
        <v>0</v>
      </c>
      <c r="O4897">
        <v>0</v>
      </c>
    </row>
    <row r="4898" spans="1:15" x14ac:dyDescent="0.35">
      <c r="A4898" t="s">
        <v>5425</v>
      </c>
      <c r="B4898" t="s">
        <v>5426</v>
      </c>
      <c r="C4898" t="s">
        <v>1644</v>
      </c>
      <c r="D4898" t="s">
        <v>293</v>
      </c>
      <c r="E4898" t="s">
        <v>310</v>
      </c>
      <c r="F4898" t="s">
        <v>5435</v>
      </c>
      <c r="G4898">
        <v>629</v>
      </c>
      <c r="H4898">
        <v>112805.64</v>
      </c>
      <c r="I4898">
        <v>179.34</v>
      </c>
      <c r="J4898">
        <v>671</v>
      </c>
      <c r="K4898">
        <v>115910.19</v>
      </c>
      <c r="L4898">
        <v>172.74</v>
      </c>
      <c r="M4898">
        <v>1300</v>
      </c>
      <c r="N4898">
        <v>228715.83000000002</v>
      </c>
      <c r="O4898">
        <v>175.94</v>
      </c>
    </row>
    <row r="4899" spans="1:15" x14ac:dyDescent="0.35">
      <c r="A4899" t="s">
        <v>5425</v>
      </c>
      <c r="B4899" t="s">
        <v>5426</v>
      </c>
      <c r="C4899" t="s">
        <v>1644</v>
      </c>
      <c r="D4899" t="s">
        <v>293</v>
      </c>
      <c r="E4899" t="s">
        <v>312</v>
      </c>
      <c r="F4899" t="s">
        <v>5436</v>
      </c>
      <c r="G4899">
        <v>629</v>
      </c>
      <c r="H4899">
        <v>112805.64</v>
      </c>
      <c r="I4899">
        <v>179.34</v>
      </c>
      <c r="J4899">
        <v>671</v>
      </c>
      <c r="K4899">
        <v>115910.19</v>
      </c>
      <c r="L4899">
        <v>172.74</v>
      </c>
      <c r="M4899">
        <v>1300</v>
      </c>
      <c r="N4899">
        <v>228715.83000000002</v>
      </c>
      <c r="O4899">
        <v>175.94</v>
      </c>
    </row>
    <row r="4900" spans="1:15" x14ac:dyDescent="0.35">
      <c r="A4900" t="s">
        <v>5425</v>
      </c>
      <c r="B4900" t="s">
        <v>5426</v>
      </c>
      <c r="C4900" t="s">
        <v>1644</v>
      </c>
      <c r="D4900" t="s">
        <v>314</v>
      </c>
      <c r="E4900" t="s">
        <v>294</v>
      </c>
      <c r="F4900" t="s">
        <v>5437</v>
      </c>
      <c r="G4900">
        <v>44</v>
      </c>
      <c r="H4900">
        <v>7837.9199999999992</v>
      </c>
      <c r="I4900">
        <v>178.13</v>
      </c>
      <c r="J4900">
        <v>135</v>
      </c>
      <c r="K4900">
        <v>20854.8</v>
      </c>
      <c r="L4900">
        <v>154.47999999999999</v>
      </c>
      <c r="M4900">
        <v>179</v>
      </c>
      <c r="N4900">
        <v>28692.719999999998</v>
      </c>
      <c r="O4900">
        <v>160.29</v>
      </c>
    </row>
    <row r="4901" spans="1:15" x14ac:dyDescent="0.35">
      <c r="A4901" t="s">
        <v>5425</v>
      </c>
      <c r="B4901" t="s">
        <v>5426</v>
      </c>
      <c r="C4901" t="s">
        <v>1644</v>
      </c>
      <c r="D4901" t="s">
        <v>314</v>
      </c>
      <c r="E4901" t="s">
        <v>296</v>
      </c>
      <c r="F4901" t="s">
        <v>5438</v>
      </c>
      <c r="G4901">
        <v>47</v>
      </c>
      <c r="H4901">
        <v>9962.2999999999993</v>
      </c>
      <c r="I4901">
        <v>211.96</v>
      </c>
      <c r="J4901">
        <v>55</v>
      </c>
      <c r="K4901">
        <v>9886.25</v>
      </c>
      <c r="L4901">
        <v>179.75</v>
      </c>
      <c r="M4901">
        <v>102</v>
      </c>
      <c r="N4901">
        <v>19848.55</v>
      </c>
      <c r="O4901">
        <v>194.59</v>
      </c>
    </row>
    <row r="4902" spans="1:15" x14ac:dyDescent="0.35">
      <c r="A4902" t="s">
        <v>5425</v>
      </c>
      <c r="B4902" t="s">
        <v>5426</v>
      </c>
      <c r="C4902" t="s">
        <v>1644</v>
      </c>
      <c r="D4902" t="s">
        <v>314</v>
      </c>
      <c r="E4902" t="s">
        <v>298</v>
      </c>
      <c r="F4902" t="s">
        <v>5439</v>
      </c>
      <c r="G4902">
        <v>0</v>
      </c>
      <c r="H4902">
        <v>0</v>
      </c>
      <c r="I4902">
        <v>0</v>
      </c>
      <c r="J4902">
        <v>0</v>
      </c>
      <c r="K4902">
        <v>0</v>
      </c>
      <c r="L4902">
        <v>0</v>
      </c>
      <c r="M4902">
        <v>0</v>
      </c>
      <c r="N4902">
        <v>0</v>
      </c>
      <c r="O4902">
        <v>0</v>
      </c>
    </row>
    <row r="4903" spans="1:15" x14ac:dyDescent="0.35">
      <c r="A4903" t="s">
        <v>5425</v>
      </c>
      <c r="B4903" t="s">
        <v>5426</v>
      </c>
      <c r="C4903" t="s">
        <v>1644</v>
      </c>
      <c r="D4903" t="s">
        <v>314</v>
      </c>
      <c r="E4903" t="s">
        <v>300</v>
      </c>
      <c r="F4903" t="s">
        <v>5440</v>
      </c>
      <c r="G4903">
        <v>0</v>
      </c>
      <c r="H4903">
        <v>0</v>
      </c>
      <c r="I4903">
        <v>0</v>
      </c>
      <c r="J4903">
        <v>0</v>
      </c>
      <c r="K4903">
        <v>0</v>
      </c>
      <c r="L4903">
        <v>0</v>
      </c>
      <c r="M4903">
        <v>0</v>
      </c>
      <c r="N4903">
        <v>0</v>
      </c>
      <c r="O4903">
        <v>0</v>
      </c>
    </row>
    <row r="4904" spans="1:15" x14ac:dyDescent="0.35">
      <c r="A4904" t="s">
        <v>5425</v>
      </c>
      <c r="B4904" t="s">
        <v>5426</v>
      </c>
      <c r="C4904" t="s">
        <v>1644</v>
      </c>
      <c r="D4904" t="s">
        <v>314</v>
      </c>
      <c r="E4904" t="s">
        <v>306</v>
      </c>
      <c r="F4904" t="s">
        <v>5441</v>
      </c>
      <c r="G4904">
        <v>0</v>
      </c>
      <c r="H4904">
        <v>0</v>
      </c>
      <c r="I4904">
        <v>0</v>
      </c>
      <c r="J4904">
        <v>0</v>
      </c>
      <c r="K4904">
        <v>0</v>
      </c>
      <c r="L4904">
        <v>0</v>
      </c>
      <c r="M4904">
        <v>0</v>
      </c>
      <c r="N4904">
        <v>0</v>
      </c>
      <c r="O4904">
        <v>0</v>
      </c>
    </row>
    <row r="4905" spans="1:15" x14ac:dyDescent="0.35">
      <c r="A4905" t="s">
        <v>5425</v>
      </c>
      <c r="B4905" t="s">
        <v>5426</v>
      </c>
      <c r="C4905" t="s">
        <v>1644</v>
      </c>
      <c r="D4905" t="s">
        <v>314</v>
      </c>
      <c r="E4905" t="s">
        <v>308</v>
      </c>
      <c r="F4905" t="s">
        <v>5442</v>
      </c>
      <c r="G4905">
        <v>0</v>
      </c>
      <c r="H4905">
        <v>0</v>
      </c>
      <c r="I4905">
        <v>0</v>
      </c>
      <c r="J4905">
        <v>0</v>
      </c>
      <c r="K4905">
        <v>0</v>
      </c>
      <c r="L4905">
        <v>0</v>
      </c>
      <c r="M4905">
        <v>0</v>
      </c>
      <c r="N4905">
        <v>0</v>
      </c>
      <c r="O4905">
        <v>0</v>
      </c>
    </row>
    <row r="4906" spans="1:15" x14ac:dyDescent="0.35">
      <c r="A4906" t="s">
        <v>5425</v>
      </c>
      <c r="B4906" t="s">
        <v>5426</v>
      </c>
      <c r="C4906" t="s">
        <v>1644</v>
      </c>
      <c r="D4906" t="s">
        <v>314</v>
      </c>
      <c r="E4906" t="s">
        <v>312</v>
      </c>
      <c r="F4906" t="s">
        <v>5443</v>
      </c>
      <c r="G4906">
        <v>91</v>
      </c>
      <c r="H4906">
        <v>17800.219999999998</v>
      </c>
      <c r="I4906">
        <v>195.61</v>
      </c>
      <c r="J4906">
        <v>190</v>
      </c>
      <c r="K4906">
        <v>30741.05</v>
      </c>
      <c r="L4906">
        <v>161.80000000000001</v>
      </c>
      <c r="M4906">
        <v>281</v>
      </c>
      <c r="N4906">
        <v>48541.27</v>
      </c>
      <c r="O4906">
        <v>172.74</v>
      </c>
    </row>
    <row r="4907" spans="1:15" x14ac:dyDescent="0.35">
      <c r="A4907" t="s">
        <v>5425</v>
      </c>
      <c r="B4907" t="s">
        <v>5426</v>
      </c>
      <c r="C4907" t="s">
        <v>1644</v>
      </c>
      <c r="D4907" t="s">
        <v>314</v>
      </c>
      <c r="E4907" t="s">
        <v>310</v>
      </c>
      <c r="F4907" t="s">
        <v>5444</v>
      </c>
      <c r="G4907">
        <v>91</v>
      </c>
      <c r="H4907">
        <v>17800.219999999998</v>
      </c>
      <c r="I4907">
        <v>195.61</v>
      </c>
      <c r="J4907">
        <v>190</v>
      </c>
      <c r="K4907">
        <v>30741.05</v>
      </c>
      <c r="L4907">
        <v>161.80000000000001</v>
      </c>
      <c r="M4907">
        <v>281</v>
      </c>
      <c r="N4907">
        <v>48541.27</v>
      </c>
      <c r="O4907">
        <v>172.74</v>
      </c>
    </row>
    <row r="4908" spans="1:15" x14ac:dyDescent="0.35">
      <c r="A4908" t="s">
        <v>5425</v>
      </c>
      <c r="B4908" t="s">
        <v>5426</v>
      </c>
      <c r="C4908" t="s">
        <v>1644</v>
      </c>
      <c r="D4908" t="s">
        <v>323</v>
      </c>
      <c r="E4908" t="s">
        <v>294</v>
      </c>
      <c r="F4908" t="s">
        <v>5445</v>
      </c>
      <c r="G4908">
        <v>424</v>
      </c>
      <c r="H4908">
        <v>45573.42</v>
      </c>
      <c r="I4908">
        <v>107.48</v>
      </c>
      <c r="J4908">
        <v>1003</v>
      </c>
      <c r="K4908">
        <v>96378.27</v>
      </c>
      <c r="L4908">
        <v>96.09</v>
      </c>
      <c r="M4908">
        <v>1427</v>
      </c>
      <c r="N4908">
        <v>141951.69</v>
      </c>
      <c r="O4908">
        <v>99.48</v>
      </c>
    </row>
    <row r="4909" spans="1:15" x14ac:dyDescent="0.35">
      <c r="A4909" t="s">
        <v>5425</v>
      </c>
      <c r="B4909" t="s">
        <v>5426</v>
      </c>
      <c r="C4909" t="s">
        <v>1644</v>
      </c>
      <c r="D4909" t="s">
        <v>323</v>
      </c>
      <c r="E4909" t="s">
        <v>296</v>
      </c>
      <c r="F4909" t="s">
        <v>5446</v>
      </c>
      <c r="G4909">
        <v>817</v>
      </c>
      <c r="H4909">
        <v>100562.28</v>
      </c>
      <c r="I4909">
        <v>123.09</v>
      </c>
      <c r="J4909">
        <v>1370</v>
      </c>
      <c r="K4909">
        <v>149878</v>
      </c>
      <c r="L4909">
        <v>109.4</v>
      </c>
      <c r="M4909">
        <v>2187</v>
      </c>
      <c r="N4909">
        <v>250440.28</v>
      </c>
      <c r="O4909">
        <v>114.51</v>
      </c>
    </row>
    <row r="4910" spans="1:15" x14ac:dyDescent="0.35">
      <c r="A4910" t="s">
        <v>5425</v>
      </c>
      <c r="B4910" t="s">
        <v>5426</v>
      </c>
      <c r="C4910" t="s">
        <v>1644</v>
      </c>
      <c r="D4910" t="s">
        <v>323</v>
      </c>
      <c r="E4910" t="s">
        <v>298</v>
      </c>
      <c r="F4910" t="s">
        <v>5447</v>
      </c>
      <c r="G4910">
        <v>522</v>
      </c>
      <c r="H4910">
        <v>71498.98</v>
      </c>
      <c r="I4910">
        <v>136.97</v>
      </c>
      <c r="J4910">
        <v>1499</v>
      </c>
      <c r="K4910">
        <v>181513.91</v>
      </c>
      <c r="L4910">
        <v>121.09</v>
      </c>
      <c r="M4910">
        <v>2021</v>
      </c>
      <c r="N4910">
        <v>253012.89</v>
      </c>
      <c r="O4910">
        <v>125.19</v>
      </c>
    </row>
    <row r="4911" spans="1:15" x14ac:dyDescent="0.35">
      <c r="A4911" t="s">
        <v>5425</v>
      </c>
      <c r="B4911" t="s">
        <v>5426</v>
      </c>
      <c r="C4911" t="s">
        <v>1644</v>
      </c>
      <c r="D4911" t="s">
        <v>323</v>
      </c>
      <c r="E4911" t="s">
        <v>300</v>
      </c>
      <c r="F4911" t="s">
        <v>5448</v>
      </c>
      <c r="G4911">
        <v>45</v>
      </c>
      <c r="H4911">
        <v>6697.98</v>
      </c>
      <c r="I4911">
        <v>148.84</v>
      </c>
      <c r="J4911">
        <v>158</v>
      </c>
      <c r="K4911">
        <v>19561.98</v>
      </c>
      <c r="L4911">
        <v>123.81</v>
      </c>
      <c r="M4911">
        <v>203</v>
      </c>
      <c r="N4911">
        <v>26259.96</v>
      </c>
      <c r="O4911">
        <v>129.36000000000001</v>
      </c>
    </row>
    <row r="4912" spans="1:15" x14ac:dyDescent="0.35">
      <c r="A4912" t="s">
        <v>5425</v>
      </c>
      <c r="B4912" t="s">
        <v>5426</v>
      </c>
      <c r="C4912" t="s">
        <v>1644</v>
      </c>
      <c r="D4912" t="s">
        <v>323</v>
      </c>
      <c r="E4912" t="s">
        <v>302</v>
      </c>
      <c r="F4912" t="s">
        <v>5449</v>
      </c>
      <c r="G4912">
        <v>5</v>
      </c>
      <c r="H4912">
        <v>866.54000000000008</v>
      </c>
      <c r="I4912">
        <v>173.31</v>
      </c>
      <c r="J4912">
        <v>0</v>
      </c>
      <c r="K4912">
        <v>0</v>
      </c>
      <c r="L4912">
        <v>0</v>
      </c>
      <c r="M4912">
        <v>5</v>
      </c>
      <c r="N4912">
        <v>866.54000000000008</v>
      </c>
      <c r="O4912">
        <v>173.31</v>
      </c>
    </row>
    <row r="4913" spans="1:15" x14ac:dyDescent="0.35">
      <c r="A4913" t="s">
        <v>5425</v>
      </c>
      <c r="B4913" t="s">
        <v>5426</v>
      </c>
      <c r="C4913" t="s">
        <v>1644</v>
      </c>
      <c r="D4913" t="s">
        <v>323</v>
      </c>
      <c r="E4913" t="s">
        <v>304</v>
      </c>
      <c r="F4913" t="s">
        <v>5450</v>
      </c>
      <c r="G4913">
        <v>0</v>
      </c>
      <c r="H4913">
        <v>0</v>
      </c>
      <c r="I4913">
        <v>0</v>
      </c>
      <c r="J4913">
        <v>5</v>
      </c>
      <c r="K4913">
        <v>807.30000000000007</v>
      </c>
      <c r="L4913">
        <v>161.46</v>
      </c>
      <c r="M4913">
        <v>5</v>
      </c>
      <c r="N4913">
        <v>807.30000000000007</v>
      </c>
      <c r="O4913">
        <v>161.46</v>
      </c>
    </row>
    <row r="4914" spans="1:15" x14ac:dyDescent="0.35">
      <c r="A4914" t="s">
        <v>5425</v>
      </c>
      <c r="B4914" t="s">
        <v>5426</v>
      </c>
      <c r="C4914" t="s">
        <v>1644</v>
      </c>
      <c r="D4914" t="s">
        <v>323</v>
      </c>
      <c r="E4914" t="s">
        <v>306</v>
      </c>
      <c r="F4914" t="s">
        <v>5451</v>
      </c>
      <c r="G4914">
        <v>0</v>
      </c>
      <c r="H4914">
        <v>0</v>
      </c>
      <c r="I4914">
        <v>0</v>
      </c>
      <c r="J4914">
        <v>29</v>
      </c>
      <c r="K4914">
        <v>2096.4100000000003</v>
      </c>
      <c r="L4914">
        <v>72.290000000000006</v>
      </c>
      <c r="M4914">
        <v>29</v>
      </c>
      <c r="N4914">
        <v>2096.4100000000003</v>
      </c>
      <c r="O4914">
        <v>72.290000000000006</v>
      </c>
    </row>
    <row r="4915" spans="1:15" x14ac:dyDescent="0.35">
      <c r="A4915" t="s">
        <v>5425</v>
      </c>
      <c r="B4915" t="s">
        <v>5426</v>
      </c>
      <c r="C4915" t="s">
        <v>1644</v>
      </c>
      <c r="D4915" t="s">
        <v>323</v>
      </c>
      <c r="E4915" t="s">
        <v>308</v>
      </c>
      <c r="F4915" t="s">
        <v>5452</v>
      </c>
      <c r="G4915">
        <v>0</v>
      </c>
      <c r="H4915">
        <v>0</v>
      </c>
      <c r="I4915">
        <v>0</v>
      </c>
      <c r="J4915">
        <v>0</v>
      </c>
      <c r="K4915">
        <v>0</v>
      </c>
      <c r="L4915">
        <v>0</v>
      </c>
      <c r="M4915">
        <v>0</v>
      </c>
      <c r="N4915">
        <v>0</v>
      </c>
      <c r="O4915">
        <v>0</v>
      </c>
    </row>
    <row r="4916" spans="1:15" x14ac:dyDescent="0.35">
      <c r="A4916" t="s">
        <v>5425</v>
      </c>
      <c r="B4916" t="s">
        <v>5426</v>
      </c>
      <c r="C4916" t="s">
        <v>1644</v>
      </c>
      <c r="D4916" t="s">
        <v>323</v>
      </c>
      <c r="E4916" t="s">
        <v>310</v>
      </c>
      <c r="F4916" t="s">
        <v>5453</v>
      </c>
      <c r="G4916">
        <v>1813</v>
      </c>
      <c r="H4916">
        <v>225199.2</v>
      </c>
      <c r="I4916">
        <v>124.21</v>
      </c>
      <c r="J4916">
        <v>4064</v>
      </c>
      <c r="K4916">
        <v>450235.87</v>
      </c>
      <c r="L4916">
        <v>110.79</v>
      </c>
      <c r="M4916">
        <v>5877</v>
      </c>
      <c r="N4916">
        <v>675435.07000000007</v>
      </c>
      <c r="O4916">
        <v>114.93</v>
      </c>
    </row>
    <row r="4917" spans="1:15" x14ac:dyDescent="0.35">
      <c r="A4917" t="s">
        <v>5425</v>
      </c>
      <c r="B4917" t="s">
        <v>5426</v>
      </c>
      <c r="C4917" t="s">
        <v>1644</v>
      </c>
      <c r="D4917" t="s">
        <v>323</v>
      </c>
      <c r="E4917" t="s">
        <v>312</v>
      </c>
      <c r="F4917" t="s">
        <v>5454</v>
      </c>
      <c r="G4917">
        <v>1813</v>
      </c>
      <c r="H4917">
        <v>225199.2</v>
      </c>
      <c r="I4917">
        <v>124.21</v>
      </c>
      <c r="J4917">
        <v>4064</v>
      </c>
      <c r="K4917">
        <v>450235.87</v>
      </c>
      <c r="L4917">
        <v>110.79</v>
      </c>
      <c r="M4917">
        <v>5877</v>
      </c>
      <c r="N4917">
        <v>675435.07000000007</v>
      </c>
      <c r="O4917">
        <v>114.93</v>
      </c>
    </row>
    <row r="4918" spans="1:15" x14ac:dyDescent="0.35">
      <c r="A4918" t="s">
        <v>5425</v>
      </c>
      <c r="B4918" t="s">
        <v>5426</v>
      </c>
      <c r="C4918" t="s">
        <v>1644</v>
      </c>
      <c r="D4918" t="s">
        <v>334</v>
      </c>
      <c r="E4918" t="s">
        <v>312</v>
      </c>
      <c r="F4918" t="s">
        <v>5455</v>
      </c>
      <c r="G4918">
        <v>2504</v>
      </c>
      <c r="H4918">
        <v>338004.83999999997</v>
      </c>
      <c r="I4918">
        <v>138.41</v>
      </c>
      <c r="J4918">
        <v>4735</v>
      </c>
      <c r="K4918">
        <v>566146.06000000006</v>
      </c>
      <c r="L4918">
        <v>119.57</v>
      </c>
      <c r="M4918">
        <v>7239</v>
      </c>
      <c r="N4918">
        <v>904150.9</v>
      </c>
      <c r="O4918">
        <v>125.98</v>
      </c>
    </row>
    <row r="4919" spans="1:15" x14ac:dyDescent="0.35">
      <c r="A4919" t="s">
        <v>5425</v>
      </c>
      <c r="B4919" t="s">
        <v>5426</v>
      </c>
      <c r="C4919" t="s">
        <v>1644</v>
      </c>
      <c r="D4919" t="s">
        <v>334</v>
      </c>
      <c r="E4919" t="s">
        <v>308</v>
      </c>
      <c r="F4919" t="s">
        <v>5456</v>
      </c>
      <c r="G4919">
        <v>0</v>
      </c>
      <c r="H4919">
        <v>0</v>
      </c>
      <c r="I4919">
        <v>0</v>
      </c>
      <c r="J4919">
        <v>0</v>
      </c>
      <c r="K4919">
        <v>0</v>
      </c>
      <c r="L4919">
        <v>0</v>
      </c>
      <c r="M4919">
        <v>0</v>
      </c>
      <c r="N4919">
        <v>0</v>
      </c>
      <c r="O4919">
        <v>0</v>
      </c>
    </row>
    <row r="4920" spans="1:15" x14ac:dyDescent="0.35">
      <c r="A4920" t="s">
        <v>5425</v>
      </c>
      <c r="B4920" t="s">
        <v>5426</v>
      </c>
      <c r="C4920" t="s">
        <v>1644</v>
      </c>
      <c r="D4920" t="s">
        <v>337</v>
      </c>
      <c r="E4920" t="s">
        <v>337</v>
      </c>
      <c r="F4920" t="s">
        <v>5457</v>
      </c>
      <c r="G4920">
        <v>1057</v>
      </c>
      <c r="J4920">
        <v>19</v>
      </c>
      <c r="M4920">
        <v>1076</v>
      </c>
    </row>
    <row r="4921" spans="1:15" x14ac:dyDescent="0.35">
      <c r="A4921" t="s">
        <v>5425</v>
      </c>
      <c r="B4921" t="s">
        <v>5426</v>
      </c>
      <c r="C4921" t="s">
        <v>1644</v>
      </c>
      <c r="D4921" t="s">
        <v>339</v>
      </c>
      <c r="E4921" t="s">
        <v>294</v>
      </c>
      <c r="F4921" t="s">
        <v>5458</v>
      </c>
      <c r="G4921">
        <v>177</v>
      </c>
      <c r="H4921">
        <v>24188.219999999998</v>
      </c>
      <c r="I4921">
        <v>136.66</v>
      </c>
      <c r="J4921">
        <v>175</v>
      </c>
      <c r="K4921">
        <v>16563.75</v>
      </c>
      <c r="L4921">
        <v>94.65</v>
      </c>
      <c r="M4921">
        <v>352</v>
      </c>
      <c r="N4921">
        <v>40751.97</v>
      </c>
      <c r="O4921">
        <v>115.77</v>
      </c>
    </row>
    <row r="4922" spans="1:15" x14ac:dyDescent="0.35">
      <c r="A4922" t="s">
        <v>5425</v>
      </c>
      <c r="B4922" t="s">
        <v>5426</v>
      </c>
      <c r="C4922" t="s">
        <v>1644</v>
      </c>
      <c r="D4922" t="s">
        <v>339</v>
      </c>
      <c r="E4922" t="s">
        <v>296</v>
      </c>
      <c r="F4922" t="s">
        <v>5459</v>
      </c>
      <c r="G4922">
        <v>72</v>
      </c>
      <c r="H4922">
        <v>15088.16</v>
      </c>
      <c r="I4922">
        <v>209.56</v>
      </c>
      <c r="J4922">
        <v>29</v>
      </c>
      <c r="K4922">
        <v>3375.89</v>
      </c>
      <c r="L4922">
        <v>116.41</v>
      </c>
      <c r="M4922">
        <v>101</v>
      </c>
      <c r="N4922">
        <v>18464.05</v>
      </c>
      <c r="O4922">
        <v>182.81</v>
      </c>
    </row>
    <row r="4923" spans="1:15" x14ac:dyDescent="0.35">
      <c r="A4923" t="s">
        <v>5425</v>
      </c>
      <c r="B4923" t="s">
        <v>5426</v>
      </c>
      <c r="C4923" t="s">
        <v>1644</v>
      </c>
      <c r="D4923" t="s">
        <v>339</v>
      </c>
      <c r="E4923" t="s">
        <v>298</v>
      </c>
      <c r="F4923" t="s">
        <v>5460</v>
      </c>
      <c r="G4923">
        <v>4</v>
      </c>
      <c r="H4923">
        <v>947.13</v>
      </c>
      <c r="I4923">
        <v>236.78</v>
      </c>
      <c r="J4923">
        <v>5</v>
      </c>
      <c r="K4923">
        <v>628.95000000000005</v>
      </c>
      <c r="L4923">
        <v>125.79</v>
      </c>
      <c r="M4923">
        <v>9</v>
      </c>
      <c r="N4923">
        <v>1576.08</v>
      </c>
      <c r="O4923">
        <v>175.12</v>
      </c>
    </row>
    <row r="4924" spans="1:15" x14ac:dyDescent="0.35">
      <c r="A4924" t="s">
        <v>5425</v>
      </c>
      <c r="B4924" t="s">
        <v>5426</v>
      </c>
      <c r="C4924" t="s">
        <v>1644</v>
      </c>
      <c r="D4924" t="s">
        <v>339</v>
      </c>
      <c r="E4924" t="s">
        <v>300</v>
      </c>
      <c r="F4924" t="s">
        <v>5461</v>
      </c>
      <c r="G4924">
        <v>0</v>
      </c>
      <c r="H4924">
        <v>0</v>
      </c>
      <c r="I4924">
        <v>0</v>
      </c>
      <c r="J4924">
        <v>0</v>
      </c>
      <c r="K4924">
        <v>0</v>
      </c>
      <c r="L4924">
        <v>0</v>
      </c>
      <c r="M4924">
        <v>0</v>
      </c>
      <c r="N4924">
        <v>0</v>
      </c>
      <c r="O4924">
        <v>0</v>
      </c>
    </row>
    <row r="4925" spans="1:15" x14ac:dyDescent="0.35">
      <c r="A4925" t="s">
        <v>5425</v>
      </c>
      <c r="B4925" t="s">
        <v>5426</v>
      </c>
      <c r="C4925" t="s">
        <v>1644</v>
      </c>
      <c r="D4925" t="s">
        <v>339</v>
      </c>
      <c r="E4925" t="s">
        <v>306</v>
      </c>
      <c r="F4925" t="s">
        <v>5462</v>
      </c>
      <c r="G4925">
        <v>0</v>
      </c>
      <c r="H4925">
        <v>0</v>
      </c>
      <c r="I4925">
        <v>0</v>
      </c>
      <c r="J4925">
        <v>4</v>
      </c>
      <c r="K4925">
        <v>297.88</v>
      </c>
      <c r="L4925">
        <v>74.47</v>
      </c>
      <c r="M4925">
        <v>4</v>
      </c>
      <c r="N4925">
        <v>297.88</v>
      </c>
      <c r="O4925">
        <v>74.47</v>
      </c>
    </row>
    <row r="4926" spans="1:15" x14ac:dyDescent="0.35">
      <c r="A4926" t="s">
        <v>5425</v>
      </c>
      <c r="B4926" t="s">
        <v>5426</v>
      </c>
      <c r="C4926" t="s">
        <v>1644</v>
      </c>
      <c r="D4926" t="s">
        <v>339</v>
      </c>
      <c r="E4926" t="s">
        <v>308</v>
      </c>
      <c r="F4926" t="s">
        <v>5463</v>
      </c>
      <c r="G4926">
        <v>26</v>
      </c>
      <c r="H4926">
        <v>4133.0600000000004</v>
      </c>
      <c r="I4926">
        <v>158.96</v>
      </c>
      <c r="J4926">
        <v>0</v>
      </c>
      <c r="K4926">
        <v>0</v>
      </c>
      <c r="L4926">
        <v>0</v>
      </c>
      <c r="M4926">
        <v>26</v>
      </c>
      <c r="N4926">
        <v>4133.0600000000004</v>
      </c>
      <c r="O4926">
        <v>158.96</v>
      </c>
    </row>
    <row r="4927" spans="1:15" x14ac:dyDescent="0.35">
      <c r="A4927" t="s">
        <v>5425</v>
      </c>
      <c r="B4927" t="s">
        <v>5426</v>
      </c>
      <c r="C4927" t="s">
        <v>1644</v>
      </c>
      <c r="D4927" t="s">
        <v>339</v>
      </c>
      <c r="E4927" t="s">
        <v>310</v>
      </c>
      <c r="F4927" t="s">
        <v>5464</v>
      </c>
      <c r="G4927">
        <v>279</v>
      </c>
      <c r="H4927">
        <v>44356.569999999992</v>
      </c>
      <c r="I4927">
        <v>158.97999999999999</v>
      </c>
      <c r="J4927">
        <v>213</v>
      </c>
      <c r="K4927">
        <v>20866.47</v>
      </c>
      <c r="L4927">
        <v>97.96</v>
      </c>
      <c r="M4927">
        <v>492</v>
      </c>
      <c r="N4927">
        <v>65223.039999999994</v>
      </c>
      <c r="O4927">
        <v>132.57</v>
      </c>
    </row>
    <row r="4928" spans="1:15" x14ac:dyDescent="0.35">
      <c r="A4928" t="s">
        <v>5425</v>
      </c>
      <c r="B4928" t="s">
        <v>5426</v>
      </c>
      <c r="C4928" t="s">
        <v>1644</v>
      </c>
      <c r="D4928" t="s">
        <v>339</v>
      </c>
      <c r="E4928" t="s">
        <v>312</v>
      </c>
      <c r="F4928" t="s">
        <v>5465</v>
      </c>
      <c r="G4928">
        <v>253</v>
      </c>
      <c r="H4928">
        <v>40223.509999999995</v>
      </c>
      <c r="I4928">
        <v>158.99</v>
      </c>
      <c r="J4928">
        <v>213</v>
      </c>
      <c r="K4928">
        <v>20866.47</v>
      </c>
      <c r="L4928">
        <v>97.96</v>
      </c>
      <c r="M4928">
        <v>466</v>
      </c>
      <c r="N4928">
        <v>61089.979999999996</v>
      </c>
      <c r="O4928">
        <v>131.09</v>
      </c>
    </row>
    <row r="4929" spans="1:15" x14ac:dyDescent="0.35">
      <c r="A4929" t="s">
        <v>5425</v>
      </c>
      <c r="B4929" t="s">
        <v>5426</v>
      </c>
      <c r="C4929" t="s">
        <v>1644</v>
      </c>
      <c r="D4929" t="s">
        <v>348</v>
      </c>
      <c r="E4929" t="s">
        <v>349</v>
      </c>
      <c r="F4929" t="s">
        <v>5466</v>
      </c>
      <c r="G4929">
        <v>370</v>
      </c>
      <c r="H4929">
        <v>62156.789999999986</v>
      </c>
      <c r="I4929">
        <v>167.99</v>
      </c>
      <c r="J4929">
        <v>403</v>
      </c>
      <c r="K4929">
        <v>51607.519999999997</v>
      </c>
      <c r="L4929">
        <v>128.06</v>
      </c>
      <c r="M4929">
        <v>773</v>
      </c>
      <c r="N4929">
        <v>113764.30999999998</v>
      </c>
      <c r="O4929">
        <v>147.16999999999999</v>
      </c>
    </row>
    <row r="4930" spans="1:15" x14ac:dyDescent="0.35">
      <c r="A4930" t="s">
        <v>5467</v>
      </c>
      <c r="B4930" t="s">
        <v>5468</v>
      </c>
      <c r="C4930" t="s">
        <v>1644</v>
      </c>
      <c r="D4930" t="s">
        <v>293</v>
      </c>
      <c r="E4930" t="s">
        <v>294</v>
      </c>
      <c r="F4930" t="s">
        <v>5469</v>
      </c>
      <c r="G4930">
        <v>107</v>
      </c>
      <c r="H4930">
        <v>15695.610000000002</v>
      </c>
      <c r="I4930">
        <v>146.69</v>
      </c>
      <c r="J4930">
        <v>15</v>
      </c>
      <c r="K4930">
        <v>2072.1</v>
      </c>
      <c r="L4930">
        <v>138.13999999999999</v>
      </c>
      <c r="M4930">
        <v>122</v>
      </c>
      <c r="N4930">
        <v>17767.710000000003</v>
      </c>
      <c r="O4930">
        <v>145.63999999999999</v>
      </c>
    </row>
    <row r="4931" spans="1:15" x14ac:dyDescent="0.35">
      <c r="A4931" t="s">
        <v>5467</v>
      </c>
      <c r="B4931" t="s">
        <v>5468</v>
      </c>
      <c r="C4931" t="s">
        <v>1644</v>
      </c>
      <c r="D4931" t="s">
        <v>293</v>
      </c>
      <c r="E4931" t="s">
        <v>296</v>
      </c>
      <c r="F4931" t="s">
        <v>5470</v>
      </c>
      <c r="G4931">
        <v>445</v>
      </c>
      <c r="H4931">
        <v>82022.22</v>
      </c>
      <c r="I4931">
        <v>184.32</v>
      </c>
      <c r="J4931">
        <v>39</v>
      </c>
      <c r="K4931">
        <v>7127.6399999999994</v>
      </c>
      <c r="L4931">
        <v>182.76</v>
      </c>
      <c r="M4931">
        <v>484</v>
      </c>
      <c r="N4931">
        <v>89149.86</v>
      </c>
      <c r="O4931">
        <v>184.19</v>
      </c>
    </row>
    <row r="4932" spans="1:15" x14ac:dyDescent="0.35">
      <c r="A4932" t="s">
        <v>5467</v>
      </c>
      <c r="B4932" t="s">
        <v>5468</v>
      </c>
      <c r="C4932" t="s">
        <v>1644</v>
      </c>
      <c r="D4932" t="s">
        <v>293</v>
      </c>
      <c r="E4932" t="s">
        <v>298</v>
      </c>
      <c r="F4932" t="s">
        <v>5471</v>
      </c>
      <c r="G4932">
        <v>165</v>
      </c>
      <c r="H4932">
        <v>36947.46</v>
      </c>
      <c r="I4932">
        <v>223.92</v>
      </c>
      <c r="J4932">
        <v>33</v>
      </c>
      <c r="K4932">
        <v>7833.21</v>
      </c>
      <c r="L4932">
        <v>237.37</v>
      </c>
      <c r="M4932">
        <v>198</v>
      </c>
      <c r="N4932">
        <v>44780.67</v>
      </c>
      <c r="O4932">
        <v>226.17</v>
      </c>
    </row>
    <row r="4933" spans="1:15" x14ac:dyDescent="0.35">
      <c r="A4933" t="s">
        <v>5467</v>
      </c>
      <c r="B4933" t="s">
        <v>5468</v>
      </c>
      <c r="C4933" t="s">
        <v>1644</v>
      </c>
      <c r="D4933" t="s">
        <v>293</v>
      </c>
      <c r="E4933" t="s">
        <v>300</v>
      </c>
      <c r="F4933" t="s">
        <v>5472</v>
      </c>
      <c r="G4933">
        <v>40</v>
      </c>
      <c r="H4933">
        <v>9885.7000000000007</v>
      </c>
      <c r="I4933">
        <v>247.14</v>
      </c>
      <c r="J4933">
        <v>1</v>
      </c>
      <c r="K4933">
        <v>221.71</v>
      </c>
      <c r="L4933">
        <v>221.71</v>
      </c>
      <c r="M4933">
        <v>41</v>
      </c>
      <c r="N4933">
        <v>10107.41</v>
      </c>
      <c r="O4933">
        <v>246.52</v>
      </c>
    </row>
    <row r="4934" spans="1:15" x14ac:dyDescent="0.35">
      <c r="A4934" t="s">
        <v>5467</v>
      </c>
      <c r="B4934" t="s">
        <v>5468</v>
      </c>
      <c r="C4934" t="s">
        <v>1644</v>
      </c>
      <c r="D4934" t="s">
        <v>293</v>
      </c>
      <c r="E4934" t="s">
        <v>302</v>
      </c>
      <c r="F4934" t="s">
        <v>5473</v>
      </c>
      <c r="G4934">
        <v>0</v>
      </c>
      <c r="H4934">
        <v>0</v>
      </c>
      <c r="I4934">
        <v>0</v>
      </c>
      <c r="J4934">
        <v>1</v>
      </c>
      <c r="K4934">
        <v>298.48</v>
      </c>
      <c r="L4934">
        <v>298.48</v>
      </c>
      <c r="M4934">
        <v>1</v>
      </c>
      <c r="N4934">
        <v>298.48</v>
      </c>
      <c r="O4934">
        <v>298.48</v>
      </c>
    </row>
    <row r="4935" spans="1:15" x14ac:dyDescent="0.35">
      <c r="A4935" t="s">
        <v>5467</v>
      </c>
      <c r="B4935" t="s">
        <v>5468</v>
      </c>
      <c r="C4935" t="s">
        <v>1644</v>
      </c>
      <c r="D4935" t="s">
        <v>293</v>
      </c>
      <c r="E4935" t="s">
        <v>304</v>
      </c>
      <c r="F4935" t="s">
        <v>5474</v>
      </c>
      <c r="G4935">
        <v>0</v>
      </c>
      <c r="H4935">
        <v>0</v>
      </c>
      <c r="I4935">
        <v>0</v>
      </c>
      <c r="J4935">
        <v>0</v>
      </c>
      <c r="K4935">
        <v>0</v>
      </c>
      <c r="L4935">
        <v>0</v>
      </c>
      <c r="M4935">
        <v>0</v>
      </c>
      <c r="N4935">
        <v>0</v>
      </c>
      <c r="O4935">
        <v>0</v>
      </c>
    </row>
    <row r="4936" spans="1:15" x14ac:dyDescent="0.35">
      <c r="A4936" t="s">
        <v>5467</v>
      </c>
      <c r="B4936" t="s">
        <v>5468</v>
      </c>
      <c r="C4936" t="s">
        <v>1644</v>
      </c>
      <c r="D4936" t="s">
        <v>293</v>
      </c>
      <c r="E4936" t="s">
        <v>306</v>
      </c>
      <c r="F4936" t="s">
        <v>5475</v>
      </c>
      <c r="G4936">
        <v>0</v>
      </c>
      <c r="H4936">
        <v>0</v>
      </c>
      <c r="I4936">
        <v>0</v>
      </c>
      <c r="J4936">
        <v>0</v>
      </c>
      <c r="K4936">
        <v>0</v>
      </c>
      <c r="L4936">
        <v>0</v>
      </c>
      <c r="M4936">
        <v>0</v>
      </c>
      <c r="N4936">
        <v>0</v>
      </c>
      <c r="O4936">
        <v>0</v>
      </c>
    </row>
    <row r="4937" spans="1:15" x14ac:dyDescent="0.35">
      <c r="A4937" t="s">
        <v>5467</v>
      </c>
      <c r="B4937" t="s">
        <v>5468</v>
      </c>
      <c r="C4937" t="s">
        <v>1644</v>
      </c>
      <c r="D4937" t="s">
        <v>293</v>
      </c>
      <c r="E4937" t="s">
        <v>308</v>
      </c>
      <c r="F4937" t="s">
        <v>5476</v>
      </c>
      <c r="G4937">
        <v>0</v>
      </c>
      <c r="H4937">
        <v>0</v>
      </c>
      <c r="I4937">
        <v>0</v>
      </c>
      <c r="J4937">
        <v>0</v>
      </c>
      <c r="K4937">
        <v>0</v>
      </c>
      <c r="L4937">
        <v>0</v>
      </c>
      <c r="M4937">
        <v>0</v>
      </c>
      <c r="N4937">
        <v>0</v>
      </c>
      <c r="O4937">
        <v>0</v>
      </c>
    </row>
    <row r="4938" spans="1:15" x14ac:dyDescent="0.35">
      <c r="A4938" t="s">
        <v>5467</v>
      </c>
      <c r="B4938" t="s">
        <v>5468</v>
      </c>
      <c r="C4938" t="s">
        <v>1644</v>
      </c>
      <c r="D4938" t="s">
        <v>293</v>
      </c>
      <c r="E4938" t="s">
        <v>310</v>
      </c>
      <c r="F4938" t="s">
        <v>5477</v>
      </c>
      <c r="G4938">
        <v>757</v>
      </c>
      <c r="H4938">
        <v>144550.99000000002</v>
      </c>
      <c r="I4938">
        <v>190.95</v>
      </c>
      <c r="J4938">
        <v>89</v>
      </c>
      <c r="K4938">
        <v>17553.14</v>
      </c>
      <c r="L4938">
        <v>197.23</v>
      </c>
      <c r="M4938">
        <v>846</v>
      </c>
      <c r="N4938">
        <v>162104.13</v>
      </c>
      <c r="O4938">
        <v>191.61</v>
      </c>
    </row>
    <row r="4939" spans="1:15" x14ac:dyDescent="0.35">
      <c r="A4939" t="s">
        <v>5467</v>
      </c>
      <c r="B4939" t="s">
        <v>5468</v>
      </c>
      <c r="C4939" t="s">
        <v>1644</v>
      </c>
      <c r="D4939" t="s">
        <v>293</v>
      </c>
      <c r="E4939" t="s">
        <v>312</v>
      </c>
      <c r="F4939" t="s">
        <v>5478</v>
      </c>
      <c r="G4939">
        <v>757</v>
      </c>
      <c r="H4939">
        <v>144550.99000000002</v>
      </c>
      <c r="I4939">
        <v>190.95</v>
      </c>
      <c r="J4939">
        <v>89</v>
      </c>
      <c r="K4939">
        <v>17553.14</v>
      </c>
      <c r="L4939">
        <v>197.23</v>
      </c>
      <c r="M4939">
        <v>846</v>
      </c>
      <c r="N4939">
        <v>162104.13</v>
      </c>
      <c r="O4939">
        <v>191.61</v>
      </c>
    </row>
    <row r="4940" spans="1:15" x14ac:dyDescent="0.35">
      <c r="A4940" t="s">
        <v>5467</v>
      </c>
      <c r="B4940" t="s">
        <v>5468</v>
      </c>
      <c r="C4940" t="s">
        <v>1644</v>
      </c>
      <c r="D4940" t="s">
        <v>314</v>
      </c>
      <c r="E4940" t="s">
        <v>294</v>
      </c>
      <c r="F4940" t="s">
        <v>5479</v>
      </c>
      <c r="G4940">
        <v>6</v>
      </c>
      <c r="H4940">
        <v>880.5</v>
      </c>
      <c r="I4940">
        <v>146.75</v>
      </c>
      <c r="J4940">
        <v>0</v>
      </c>
      <c r="K4940">
        <v>0</v>
      </c>
      <c r="L4940">
        <v>0</v>
      </c>
      <c r="M4940">
        <v>6</v>
      </c>
      <c r="N4940">
        <v>880.5</v>
      </c>
      <c r="O4940">
        <v>146.75</v>
      </c>
    </row>
    <row r="4941" spans="1:15" x14ac:dyDescent="0.35">
      <c r="A4941" t="s">
        <v>5467</v>
      </c>
      <c r="B4941" t="s">
        <v>5468</v>
      </c>
      <c r="C4941" t="s">
        <v>1644</v>
      </c>
      <c r="D4941" t="s">
        <v>314</v>
      </c>
      <c r="E4941" t="s">
        <v>296</v>
      </c>
      <c r="F4941" t="s">
        <v>5480</v>
      </c>
      <c r="G4941">
        <v>0</v>
      </c>
      <c r="H4941">
        <v>0</v>
      </c>
      <c r="I4941">
        <v>0</v>
      </c>
      <c r="J4941">
        <v>0</v>
      </c>
      <c r="K4941">
        <v>0</v>
      </c>
      <c r="L4941">
        <v>0</v>
      </c>
      <c r="M4941">
        <v>0</v>
      </c>
      <c r="N4941">
        <v>0</v>
      </c>
      <c r="O4941">
        <v>0</v>
      </c>
    </row>
    <row r="4942" spans="1:15" x14ac:dyDescent="0.35">
      <c r="A4942" t="s">
        <v>5467</v>
      </c>
      <c r="B4942" t="s">
        <v>5468</v>
      </c>
      <c r="C4942" t="s">
        <v>1644</v>
      </c>
      <c r="D4942" t="s">
        <v>314</v>
      </c>
      <c r="E4942" t="s">
        <v>298</v>
      </c>
      <c r="F4942" t="s">
        <v>5481</v>
      </c>
      <c r="G4942">
        <v>0</v>
      </c>
      <c r="H4942">
        <v>0</v>
      </c>
      <c r="I4942">
        <v>0</v>
      </c>
      <c r="J4942">
        <v>0</v>
      </c>
      <c r="K4942">
        <v>0</v>
      </c>
      <c r="L4942">
        <v>0</v>
      </c>
      <c r="M4942">
        <v>0</v>
      </c>
      <c r="N4942">
        <v>0</v>
      </c>
      <c r="O4942">
        <v>0</v>
      </c>
    </row>
    <row r="4943" spans="1:15" x14ac:dyDescent="0.35">
      <c r="A4943" t="s">
        <v>5467</v>
      </c>
      <c r="B4943" t="s">
        <v>5468</v>
      </c>
      <c r="C4943" t="s">
        <v>1644</v>
      </c>
      <c r="D4943" t="s">
        <v>314</v>
      </c>
      <c r="E4943" t="s">
        <v>300</v>
      </c>
      <c r="F4943" t="s">
        <v>5482</v>
      </c>
      <c r="G4943">
        <v>0</v>
      </c>
      <c r="H4943">
        <v>0</v>
      </c>
      <c r="I4943">
        <v>0</v>
      </c>
      <c r="J4943">
        <v>0</v>
      </c>
      <c r="K4943">
        <v>0</v>
      </c>
      <c r="L4943">
        <v>0</v>
      </c>
      <c r="M4943">
        <v>0</v>
      </c>
      <c r="N4943">
        <v>0</v>
      </c>
      <c r="O4943">
        <v>0</v>
      </c>
    </row>
    <row r="4944" spans="1:15" x14ac:dyDescent="0.35">
      <c r="A4944" t="s">
        <v>5467</v>
      </c>
      <c r="B4944" t="s">
        <v>5468</v>
      </c>
      <c r="C4944" t="s">
        <v>1644</v>
      </c>
      <c r="D4944" t="s">
        <v>314</v>
      </c>
      <c r="E4944" t="s">
        <v>306</v>
      </c>
      <c r="F4944" t="s">
        <v>5483</v>
      </c>
      <c r="G4944">
        <v>0</v>
      </c>
      <c r="H4944">
        <v>0</v>
      </c>
      <c r="I4944">
        <v>0</v>
      </c>
      <c r="J4944">
        <v>0</v>
      </c>
      <c r="K4944">
        <v>0</v>
      </c>
      <c r="L4944">
        <v>0</v>
      </c>
      <c r="M4944">
        <v>0</v>
      </c>
      <c r="N4944">
        <v>0</v>
      </c>
      <c r="O4944">
        <v>0</v>
      </c>
    </row>
    <row r="4945" spans="1:15" x14ac:dyDescent="0.35">
      <c r="A4945" t="s">
        <v>5467</v>
      </c>
      <c r="B4945" t="s">
        <v>5468</v>
      </c>
      <c r="C4945" t="s">
        <v>1644</v>
      </c>
      <c r="D4945" t="s">
        <v>314</v>
      </c>
      <c r="E4945" t="s">
        <v>308</v>
      </c>
      <c r="F4945" t="s">
        <v>5484</v>
      </c>
      <c r="G4945">
        <v>0</v>
      </c>
      <c r="H4945">
        <v>0</v>
      </c>
      <c r="I4945">
        <v>0</v>
      </c>
      <c r="J4945">
        <v>0</v>
      </c>
      <c r="K4945">
        <v>0</v>
      </c>
      <c r="L4945">
        <v>0</v>
      </c>
      <c r="M4945">
        <v>0</v>
      </c>
      <c r="N4945">
        <v>0</v>
      </c>
      <c r="O4945">
        <v>0</v>
      </c>
    </row>
    <row r="4946" spans="1:15" x14ac:dyDescent="0.35">
      <c r="A4946" t="s">
        <v>5467</v>
      </c>
      <c r="B4946" t="s">
        <v>5468</v>
      </c>
      <c r="C4946" t="s">
        <v>1644</v>
      </c>
      <c r="D4946" t="s">
        <v>314</v>
      </c>
      <c r="E4946" t="s">
        <v>312</v>
      </c>
      <c r="F4946" t="s">
        <v>5485</v>
      </c>
      <c r="G4946">
        <v>6</v>
      </c>
      <c r="H4946">
        <v>880.5</v>
      </c>
      <c r="I4946">
        <v>146.75</v>
      </c>
      <c r="J4946">
        <v>0</v>
      </c>
      <c r="K4946">
        <v>0</v>
      </c>
      <c r="L4946">
        <v>0</v>
      </c>
      <c r="M4946">
        <v>6</v>
      </c>
      <c r="N4946">
        <v>880.5</v>
      </c>
      <c r="O4946">
        <v>146.75</v>
      </c>
    </row>
    <row r="4947" spans="1:15" x14ac:dyDescent="0.35">
      <c r="A4947" t="s">
        <v>5467</v>
      </c>
      <c r="B4947" t="s">
        <v>5468</v>
      </c>
      <c r="C4947" t="s">
        <v>1644</v>
      </c>
      <c r="D4947" t="s">
        <v>314</v>
      </c>
      <c r="E4947" t="s">
        <v>310</v>
      </c>
      <c r="F4947" t="s">
        <v>5486</v>
      </c>
      <c r="G4947">
        <v>6</v>
      </c>
      <c r="H4947">
        <v>880.5</v>
      </c>
      <c r="I4947">
        <v>146.75</v>
      </c>
      <c r="J4947">
        <v>0</v>
      </c>
      <c r="K4947">
        <v>0</v>
      </c>
      <c r="L4947">
        <v>0</v>
      </c>
      <c r="M4947">
        <v>6</v>
      </c>
      <c r="N4947">
        <v>880.5</v>
      </c>
      <c r="O4947">
        <v>146.75</v>
      </c>
    </row>
    <row r="4948" spans="1:15" x14ac:dyDescent="0.35">
      <c r="A4948" t="s">
        <v>5467</v>
      </c>
      <c r="B4948" t="s">
        <v>5468</v>
      </c>
      <c r="C4948" t="s">
        <v>1644</v>
      </c>
      <c r="D4948" t="s">
        <v>323</v>
      </c>
      <c r="E4948" t="s">
        <v>294</v>
      </c>
      <c r="F4948" t="s">
        <v>5487</v>
      </c>
      <c r="G4948">
        <v>268</v>
      </c>
      <c r="H4948">
        <v>28766.719999999998</v>
      </c>
      <c r="I4948">
        <v>107.34</v>
      </c>
      <c r="J4948">
        <v>1108</v>
      </c>
      <c r="K4948">
        <v>105725.36</v>
      </c>
      <c r="L4948">
        <v>95.42</v>
      </c>
      <c r="M4948">
        <v>1376</v>
      </c>
      <c r="N4948">
        <v>134492.07999999999</v>
      </c>
      <c r="O4948">
        <v>97.74</v>
      </c>
    </row>
    <row r="4949" spans="1:15" x14ac:dyDescent="0.35">
      <c r="A4949" t="s">
        <v>5467</v>
      </c>
      <c r="B4949" t="s">
        <v>5468</v>
      </c>
      <c r="C4949" t="s">
        <v>1644</v>
      </c>
      <c r="D4949" t="s">
        <v>323</v>
      </c>
      <c r="E4949" t="s">
        <v>296</v>
      </c>
      <c r="F4949" t="s">
        <v>5488</v>
      </c>
      <c r="G4949">
        <v>687</v>
      </c>
      <c r="H4949">
        <v>86530.37000000001</v>
      </c>
      <c r="I4949">
        <v>125.95</v>
      </c>
      <c r="J4949">
        <v>1535</v>
      </c>
      <c r="K4949">
        <v>170431.05</v>
      </c>
      <c r="L4949">
        <v>111.03</v>
      </c>
      <c r="M4949">
        <v>2222</v>
      </c>
      <c r="N4949">
        <v>256961.41999999998</v>
      </c>
      <c r="O4949">
        <v>115.64</v>
      </c>
    </row>
    <row r="4950" spans="1:15" x14ac:dyDescent="0.35">
      <c r="A4950" t="s">
        <v>5467</v>
      </c>
      <c r="B4950" t="s">
        <v>5468</v>
      </c>
      <c r="C4950" t="s">
        <v>1644</v>
      </c>
      <c r="D4950" t="s">
        <v>323</v>
      </c>
      <c r="E4950" t="s">
        <v>298</v>
      </c>
      <c r="F4950" t="s">
        <v>5489</v>
      </c>
      <c r="G4950">
        <v>449</v>
      </c>
      <c r="H4950">
        <v>63064.33</v>
      </c>
      <c r="I4950">
        <v>140.46</v>
      </c>
      <c r="J4950">
        <v>1433</v>
      </c>
      <c r="K4950">
        <v>180357.38</v>
      </c>
      <c r="L4950">
        <v>125.86</v>
      </c>
      <c r="M4950">
        <v>1882</v>
      </c>
      <c r="N4950">
        <v>243421.71000000002</v>
      </c>
      <c r="O4950">
        <v>129.34</v>
      </c>
    </row>
    <row r="4951" spans="1:15" x14ac:dyDescent="0.35">
      <c r="A4951" t="s">
        <v>5467</v>
      </c>
      <c r="B4951" t="s">
        <v>5468</v>
      </c>
      <c r="C4951" t="s">
        <v>1644</v>
      </c>
      <c r="D4951" t="s">
        <v>323</v>
      </c>
      <c r="E4951" t="s">
        <v>300</v>
      </c>
      <c r="F4951" t="s">
        <v>5490</v>
      </c>
      <c r="G4951">
        <v>79</v>
      </c>
      <c r="H4951">
        <v>12261.7</v>
      </c>
      <c r="I4951">
        <v>155.21</v>
      </c>
      <c r="J4951">
        <v>106</v>
      </c>
      <c r="K4951">
        <v>15305.339999999998</v>
      </c>
      <c r="L4951">
        <v>144.38999999999999</v>
      </c>
      <c r="M4951">
        <v>185</v>
      </c>
      <c r="N4951">
        <v>27567.040000000001</v>
      </c>
      <c r="O4951">
        <v>149.01</v>
      </c>
    </row>
    <row r="4952" spans="1:15" x14ac:dyDescent="0.35">
      <c r="A4952" t="s">
        <v>5467</v>
      </c>
      <c r="B4952" t="s">
        <v>5468</v>
      </c>
      <c r="C4952" t="s">
        <v>1644</v>
      </c>
      <c r="D4952" t="s">
        <v>323</v>
      </c>
      <c r="E4952" t="s">
        <v>302</v>
      </c>
      <c r="F4952" t="s">
        <v>5491</v>
      </c>
      <c r="G4952">
        <v>0</v>
      </c>
      <c r="H4952">
        <v>0</v>
      </c>
      <c r="I4952">
        <v>0</v>
      </c>
      <c r="J4952">
        <v>8</v>
      </c>
      <c r="K4952">
        <v>1185.52</v>
      </c>
      <c r="L4952">
        <v>148.19</v>
      </c>
      <c r="M4952">
        <v>8</v>
      </c>
      <c r="N4952">
        <v>1185.52</v>
      </c>
      <c r="O4952">
        <v>148.19</v>
      </c>
    </row>
    <row r="4953" spans="1:15" x14ac:dyDescent="0.35">
      <c r="A4953" t="s">
        <v>5467</v>
      </c>
      <c r="B4953" t="s">
        <v>5468</v>
      </c>
      <c r="C4953" t="s">
        <v>1644</v>
      </c>
      <c r="D4953" t="s">
        <v>323</v>
      </c>
      <c r="E4953" t="s">
        <v>304</v>
      </c>
      <c r="F4953" t="s">
        <v>5492</v>
      </c>
      <c r="G4953">
        <v>0</v>
      </c>
      <c r="H4953">
        <v>0</v>
      </c>
      <c r="I4953">
        <v>0</v>
      </c>
      <c r="J4953">
        <v>0</v>
      </c>
      <c r="K4953">
        <v>0</v>
      </c>
      <c r="L4953">
        <v>0</v>
      </c>
      <c r="M4953">
        <v>0</v>
      </c>
      <c r="N4953">
        <v>0</v>
      </c>
      <c r="O4953">
        <v>0</v>
      </c>
    </row>
    <row r="4954" spans="1:15" x14ac:dyDescent="0.35">
      <c r="A4954" t="s">
        <v>5467</v>
      </c>
      <c r="B4954" t="s">
        <v>5468</v>
      </c>
      <c r="C4954" t="s">
        <v>1644</v>
      </c>
      <c r="D4954" t="s">
        <v>323</v>
      </c>
      <c r="E4954" t="s">
        <v>306</v>
      </c>
      <c r="F4954" t="s">
        <v>5493</v>
      </c>
      <c r="G4954">
        <v>18</v>
      </c>
      <c r="H4954">
        <v>1571.04</v>
      </c>
      <c r="I4954">
        <v>87.28</v>
      </c>
      <c r="J4954">
        <v>247</v>
      </c>
      <c r="K4954">
        <v>22126.26</v>
      </c>
      <c r="L4954">
        <v>89.58</v>
      </c>
      <c r="M4954">
        <v>265</v>
      </c>
      <c r="N4954">
        <v>23697.3</v>
      </c>
      <c r="O4954">
        <v>89.42</v>
      </c>
    </row>
    <row r="4955" spans="1:15" x14ac:dyDescent="0.35">
      <c r="A4955" t="s">
        <v>5467</v>
      </c>
      <c r="B4955" t="s">
        <v>5468</v>
      </c>
      <c r="C4955" t="s">
        <v>1644</v>
      </c>
      <c r="D4955" t="s">
        <v>323</v>
      </c>
      <c r="E4955" t="s">
        <v>308</v>
      </c>
      <c r="F4955" t="s">
        <v>5494</v>
      </c>
      <c r="G4955">
        <v>0</v>
      </c>
      <c r="H4955">
        <v>0</v>
      </c>
      <c r="I4955">
        <v>0</v>
      </c>
      <c r="J4955">
        <v>22</v>
      </c>
      <c r="K4955">
        <v>2122.56</v>
      </c>
      <c r="L4955">
        <v>96.48</v>
      </c>
      <c r="M4955">
        <v>22</v>
      </c>
      <c r="N4955">
        <v>2122.56</v>
      </c>
      <c r="O4955">
        <v>96.48</v>
      </c>
    </row>
    <row r="4956" spans="1:15" x14ac:dyDescent="0.35">
      <c r="A4956" t="s">
        <v>5467</v>
      </c>
      <c r="B4956" t="s">
        <v>5468</v>
      </c>
      <c r="C4956" t="s">
        <v>1644</v>
      </c>
      <c r="D4956" t="s">
        <v>323</v>
      </c>
      <c r="E4956" t="s">
        <v>310</v>
      </c>
      <c r="F4956" t="s">
        <v>5495</v>
      </c>
      <c r="G4956">
        <v>1501</v>
      </c>
      <c r="H4956">
        <v>192194.16000000003</v>
      </c>
      <c r="I4956">
        <v>128.04</v>
      </c>
      <c r="J4956">
        <v>4459</v>
      </c>
      <c r="K4956">
        <v>497253.47000000003</v>
      </c>
      <c r="L4956">
        <v>111.52</v>
      </c>
      <c r="M4956">
        <v>5960</v>
      </c>
      <c r="N4956">
        <v>689447.63000000012</v>
      </c>
      <c r="O4956">
        <v>115.68</v>
      </c>
    </row>
    <row r="4957" spans="1:15" x14ac:dyDescent="0.35">
      <c r="A4957" t="s">
        <v>5467</v>
      </c>
      <c r="B4957" t="s">
        <v>5468</v>
      </c>
      <c r="C4957" t="s">
        <v>1644</v>
      </c>
      <c r="D4957" t="s">
        <v>323</v>
      </c>
      <c r="E4957" t="s">
        <v>312</v>
      </c>
      <c r="F4957" t="s">
        <v>5496</v>
      </c>
      <c r="G4957">
        <v>1501</v>
      </c>
      <c r="H4957">
        <v>192194.16000000003</v>
      </c>
      <c r="I4957">
        <v>128.04</v>
      </c>
      <c r="J4957">
        <v>4437</v>
      </c>
      <c r="K4957">
        <v>495130.91000000003</v>
      </c>
      <c r="L4957">
        <v>111.59</v>
      </c>
      <c r="M4957">
        <v>5938</v>
      </c>
      <c r="N4957">
        <v>687325.07000000007</v>
      </c>
      <c r="O4957">
        <v>115.75</v>
      </c>
    </row>
    <row r="4958" spans="1:15" x14ac:dyDescent="0.35">
      <c r="A4958" t="s">
        <v>5467</v>
      </c>
      <c r="B4958" t="s">
        <v>5468</v>
      </c>
      <c r="C4958" t="s">
        <v>1644</v>
      </c>
      <c r="D4958" t="s">
        <v>334</v>
      </c>
      <c r="E4958" t="s">
        <v>312</v>
      </c>
      <c r="F4958" t="s">
        <v>5497</v>
      </c>
      <c r="G4958">
        <v>2535</v>
      </c>
      <c r="H4958">
        <v>336745.15</v>
      </c>
      <c r="I4958">
        <v>149.13</v>
      </c>
      <c r="J4958">
        <v>4526</v>
      </c>
      <c r="K4958">
        <v>512684.05000000005</v>
      </c>
      <c r="L4958">
        <v>113.28</v>
      </c>
      <c r="M4958">
        <v>7061</v>
      </c>
      <c r="N4958">
        <v>849429.20000000007</v>
      </c>
      <c r="O4958">
        <v>125.21</v>
      </c>
    </row>
    <row r="4959" spans="1:15" x14ac:dyDescent="0.35">
      <c r="A4959" t="s">
        <v>5467</v>
      </c>
      <c r="B4959" t="s">
        <v>5468</v>
      </c>
      <c r="C4959" t="s">
        <v>1644</v>
      </c>
      <c r="D4959" t="s">
        <v>334</v>
      </c>
      <c r="E4959" t="s">
        <v>308</v>
      </c>
      <c r="F4959" t="s">
        <v>5498</v>
      </c>
      <c r="G4959">
        <v>0</v>
      </c>
      <c r="H4959">
        <v>0</v>
      </c>
      <c r="I4959">
        <v>0</v>
      </c>
      <c r="J4959">
        <v>22</v>
      </c>
      <c r="K4959">
        <v>2122.56</v>
      </c>
      <c r="L4959">
        <v>96.48</v>
      </c>
      <c r="M4959">
        <v>22</v>
      </c>
      <c r="N4959">
        <v>2122.56</v>
      </c>
      <c r="O4959">
        <v>96.48</v>
      </c>
    </row>
    <row r="4960" spans="1:15" x14ac:dyDescent="0.35">
      <c r="A4960" t="s">
        <v>5467</v>
      </c>
      <c r="B4960" t="s">
        <v>5468</v>
      </c>
      <c r="C4960" t="s">
        <v>1644</v>
      </c>
      <c r="D4960" t="s">
        <v>337</v>
      </c>
      <c r="E4960" t="s">
        <v>337</v>
      </c>
      <c r="F4960" t="s">
        <v>5499</v>
      </c>
      <c r="G4960">
        <v>961</v>
      </c>
      <c r="J4960">
        <v>0</v>
      </c>
      <c r="M4960">
        <v>961</v>
      </c>
    </row>
    <row r="4961" spans="1:15" x14ac:dyDescent="0.35">
      <c r="A4961" t="s">
        <v>5467</v>
      </c>
      <c r="B4961" t="s">
        <v>5468</v>
      </c>
      <c r="C4961" t="s">
        <v>1644</v>
      </c>
      <c r="D4961" t="s">
        <v>339</v>
      </c>
      <c r="E4961" t="s">
        <v>294</v>
      </c>
      <c r="F4961" t="s">
        <v>5500</v>
      </c>
      <c r="G4961">
        <v>253</v>
      </c>
      <c r="H4961">
        <v>30147.58</v>
      </c>
      <c r="I4961">
        <v>119.16</v>
      </c>
      <c r="J4961">
        <v>349</v>
      </c>
      <c r="K4961">
        <v>33476.080000000002</v>
      </c>
      <c r="L4961">
        <v>95.92</v>
      </c>
      <c r="M4961">
        <v>602</v>
      </c>
      <c r="N4961">
        <v>63623.66</v>
      </c>
      <c r="O4961">
        <v>105.69</v>
      </c>
    </row>
    <row r="4962" spans="1:15" x14ac:dyDescent="0.35">
      <c r="A4962" t="s">
        <v>5467</v>
      </c>
      <c r="B4962" t="s">
        <v>5468</v>
      </c>
      <c r="C4962" t="s">
        <v>1644</v>
      </c>
      <c r="D4962" t="s">
        <v>339</v>
      </c>
      <c r="E4962" t="s">
        <v>296</v>
      </c>
      <c r="F4962" t="s">
        <v>5501</v>
      </c>
      <c r="G4962">
        <v>22</v>
      </c>
      <c r="H4962">
        <v>3374.8900000000003</v>
      </c>
      <c r="I4962">
        <v>153.4</v>
      </c>
      <c r="J4962">
        <v>111</v>
      </c>
      <c r="K4962">
        <v>12415.349999999999</v>
      </c>
      <c r="L4962">
        <v>111.85</v>
      </c>
      <c r="M4962">
        <v>133</v>
      </c>
      <c r="N4962">
        <v>15790.239999999998</v>
      </c>
      <c r="O4962">
        <v>118.72</v>
      </c>
    </row>
    <row r="4963" spans="1:15" x14ac:dyDescent="0.35">
      <c r="A4963" t="s">
        <v>5467</v>
      </c>
      <c r="B4963" t="s">
        <v>5468</v>
      </c>
      <c r="C4963" t="s">
        <v>1644</v>
      </c>
      <c r="D4963" t="s">
        <v>339</v>
      </c>
      <c r="E4963" t="s">
        <v>298</v>
      </c>
      <c r="F4963" t="s">
        <v>5502</v>
      </c>
      <c r="G4963">
        <v>5</v>
      </c>
      <c r="H4963">
        <v>793.67000000000007</v>
      </c>
      <c r="I4963">
        <v>158.72999999999999</v>
      </c>
      <c r="J4963">
        <v>2</v>
      </c>
      <c r="K4963">
        <v>245.1</v>
      </c>
      <c r="L4963">
        <v>122.55</v>
      </c>
      <c r="M4963">
        <v>7</v>
      </c>
      <c r="N4963">
        <v>1038.77</v>
      </c>
      <c r="O4963">
        <v>148.4</v>
      </c>
    </row>
    <row r="4964" spans="1:15" x14ac:dyDescent="0.35">
      <c r="A4964" t="s">
        <v>5467</v>
      </c>
      <c r="B4964" t="s">
        <v>5468</v>
      </c>
      <c r="C4964" t="s">
        <v>1644</v>
      </c>
      <c r="D4964" t="s">
        <v>339</v>
      </c>
      <c r="E4964" t="s">
        <v>300</v>
      </c>
      <c r="F4964" t="s">
        <v>5503</v>
      </c>
      <c r="G4964">
        <v>0</v>
      </c>
      <c r="H4964">
        <v>0</v>
      </c>
      <c r="I4964">
        <v>0</v>
      </c>
      <c r="J4964">
        <v>0</v>
      </c>
      <c r="K4964">
        <v>0</v>
      </c>
      <c r="L4964">
        <v>0</v>
      </c>
      <c r="M4964">
        <v>0</v>
      </c>
      <c r="N4964">
        <v>0</v>
      </c>
      <c r="O4964">
        <v>0</v>
      </c>
    </row>
    <row r="4965" spans="1:15" x14ac:dyDescent="0.35">
      <c r="A4965" t="s">
        <v>5467</v>
      </c>
      <c r="B4965" t="s">
        <v>5468</v>
      </c>
      <c r="C4965" t="s">
        <v>1644</v>
      </c>
      <c r="D4965" t="s">
        <v>339</v>
      </c>
      <c r="E4965" t="s">
        <v>306</v>
      </c>
      <c r="F4965" t="s">
        <v>5504</v>
      </c>
      <c r="G4965">
        <v>168</v>
      </c>
      <c r="H4965">
        <v>16005.01</v>
      </c>
      <c r="I4965">
        <v>95.27</v>
      </c>
      <c r="J4965">
        <v>122</v>
      </c>
      <c r="K4965">
        <v>9999.119999999999</v>
      </c>
      <c r="L4965">
        <v>81.96</v>
      </c>
      <c r="M4965">
        <v>290</v>
      </c>
      <c r="N4965">
        <v>26004.129999999997</v>
      </c>
      <c r="O4965">
        <v>89.67</v>
      </c>
    </row>
    <row r="4966" spans="1:15" x14ac:dyDescent="0.35">
      <c r="A4966" t="s">
        <v>5467</v>
      </c>
      <c r="B4966" t="s">
        <v>5468</v>
      </c>
      <c r="C4966" t="s">
        <v>1644</v>
      </c>
      <c r="D4966" t="s">
        <v>339</v>
      </c>
      <c r="E4966" t="s">
        <v>308</v>
      </c>
      <c r="F4966" t="s">
        <v>5505</v>
      </c>
      <c r="G4966">
        <v>96</v>
      </c>
      <c r="H4966">
        <v>13862.039999999999</v>
      </c>
      <c r="I4966">
        <v>144.4</v>
      </c>
      <c r="J4966">
        <v>0</v>
      </c>
      <c r="K4966">
        <v>0</v>
      </c>
      <c r="L4966">
        <v>0</v>
      </c>
      <c r="M4966">
        <v>96</v>
      </c>
      <c r="N4966">
        <v>13862.039999999999</v>
      </c>
      <c r="O4966">
        <v>144.4</v>
      </c>
    </row>
    <row r="4967" spans="1:15" x14ac:dyDescent="0.35">
      <c r="A4967" t="s">
        <v>5467</v>
      </c>
      <c r="B4967" t="s">
        <v>5468</v>
      </c>
      <c r="C4967" t="s">
        <v>1644</v>
      </c>
      <c r="D4967" t="s">
        <v>339</v>
      </c>
      <c r="E4967" t="s">
        <v>310</v>
      </c>
      <c r="F4967" t="s">
        <v>5506</v>
      </c>
      <c r="G4967">
        <v>544</v>
      </c>
      <c r="H4967">
        <v>64183.19</v>
      </c>
      <c r="I4967">
        <v>117.98</v>
      </c>
      <c r="J4967">
        <v>584</v>
      </c>
      <c r="K4967">
        <v>56135.649999999994</v>
      </c>
      <c r="L4967">
        <v>96.12</v>
      </c>
      <c r="M4967">
        <v>1128</v>
      </c>
      <c r="N4967">
        <v>120318.84</v>
      </c>
      <c r="O4967">
        <v>106.67</v>
      </c>
    </row>
    <row r="4968" spans="1:15" x14ac:dyDescent="0.35">
      <c r="A4968" t="s">
        <v>5467</v>
      </c>
      <c r="B4968" t="s">
        <v>5468</v>
      </c>
      <c r="C4968" t="s">
        <v>1644</v>
      </c>
      <c r="D4968" t="s">
        <v>339</v>
      </c>
      <c r="E4968" t="s">
        <v>312</v>
      </c>
      <c r="F4968" t="s">
        <v>5507</v>
      </c>
      <c r="G4968">
        <v>448</v>
      </c>
      <c r="H4968">
        <v>50321.15</v>
      </c>
      <c r="I4968">
        <v>112.32</v>
      </c>
      <c r="J4968">
        <v>584</v>
      </c>
      <c r="K4968">
        <v>56135.649999999994</v>
      </c>
      <c r="L4968">
        <v>96.12</v>
      </c>
      <c r="M4968">
        <v>1032</v>
      </c>
      <c r="N4968">
        <v>106456.79999999999</v>
      </c>
      <c r="O4968">
        <v>103.16</v>
      </c>
    </row>
    <row r="4969" spans="1:15" x14ac:dyDescent="0.35">
      <c r="A4969" t="s">
        <v>5467</v>
      </c>
      <c r="B4969" t="s">
        <v>5468</v>
      </c>
      <c r="C4969" t="s">
        <v>1644</v>
      </c>
      <c r="D4969" t="s">
        <v>348</v>
      </c>
      <c r="E4969" t="s">
        <v>349</v>
      </c>
      <c r="F4969" t="s">
        <v>5508</v>
      </c>
      <c r="G4969">
        <v>566</v>
      </c>
      <c r="H4969">
        <v>65063.69</v>
      </c>
      <c r="I4969">
        <v>118.3</v>
      </c>
      <c r="J4969">
        <v>584</v>
      </c>
      <c r="K4969">
        <v>56135.649999999994</v>
      </c>
      <c r="L4969">
        <v>96.12</v>
      </c>
      <c r="M4969">
        <v>1150</v>
      </c>
      <c r="N4969">
        <v>121199.34</v>
      </c>
      <c r="O4969">
        <v>106.88</v>
      </c>
    </row>
    <row r="4970" spans="1:15" x14ac:dyDescent="0.35">
      <c r="A4970" t="s">
        <v>5509</v>
      </c>
      <c r="B4970" t="s">
        <v>5510</v>
      </c>
      <c r="C4970" t="s">
        <v>1644</v>
      </c>
      <c r="D4970" t="s">
        <v>293</v>
      </c>
      <c r="E4970" t="s">
        <v>294</v>
      </c>
      <c r="F4970" t="s">
        <v>5511</v>
      </c>
      <c r="G4970">
        <v>140</v>
      </c>
      <c r="H4970">
        <v>22952.44</v>
      </c>
      <c r="I4970">
        <v>163.95</v>
      </c>
      <c r="J4970">
        <v>44</v>
      </c>
      <c r="K4970">
        <v>5472.7199999999993</v>
      </c>
      <c r="L4970">
        <v>124.38</v>
      </c>
      <c r="M4970">
        <v>184</v>
      </c>
      <c r="N4970">
        <v>28425.159999999996</v>
      </c>
      <c r="O4970">
        <v>154.47999999999999</v>
      </c>
    </row>
    <row r="4971" spans="1:15" x14ac:dyDescent="0.35">
      <c r="A4971" t="s">
        <v>5509</v>
      </c>
      <c r="B4971" t="s">
        <v>5510</v>
      </c>
      <c r="C4971" t="s">
        <v>1644</v>
      </c>
      <c r="D4971" t="s">
        <v>293</v>
      </c>
      <c r="E4971" t="s">
        <v>296</v>
      </c>
      <c r="F4971" t="s">
        <v>5512</v>
      </c>
      <c r="G4971">
        <v>482</v>
      </c>
      <c r="H4971">
        <v>99348.889999999985</v>
      </c>
      <c r="I4971">
        <v>206.12</v>
      </c>
      <c r="J4971">
        <v>60</v>
      </c>
      <c r="K4971">
        <v>9699</v>
      </c>
      <c r="L4971">
        <v>161.65</v>
      </c>
      <c r="M4971">
        <v>542</v>
      </c>
      <c r="N4971">
        <v>109047.88999999998</v>
      </c>
      <c r="O4971">
        <v>201.2</v>
      </c>
    </row>
    <row r="4972" spans="1:15" x14ac:dyDescent="0.35">
      <c r="A4972" t="s">
        <v>5509</v>
      </c>
      <c r="B4972" t="s">
        <v>5510</v>
      </c>
      <c r="C4972" t="s">
        <v>1644</v>
      </c>
      <c r="D4972" t="s">
        <v>293</v>
      </c>
      <c r="E4972" t="s">
        <v>298</v>
      </c>
      <c r="F4972" t="s">
        <v>5513</v>
      </c>
      <c r="G4972">
        <v>135</v>
      </c>
      <c r="H4972">
        <v>32017.109999999997</v>
      </c>
      <c r="I4972">
        <v>237.16</v>
      </c>
      <c r="J4972">
        <v>27</v>
      </c>
      <c r="K4972">
        <v>4933.17</v>
      </c>
      <c r="L4972">
        <v>182.71</v>
      </c>
      <c r="M4972">
        <v>162</v>
      </c>
      <c r="N4972">
        <v>36950.28</v>
      </c>
      <c r="O4972">
        <v>228.09</v>
      </c>
    </row>
    <row r="4973" spans="1:15" x14ac:dyDescent="0.35">
      <c r="A4973" t="s">
        <v>5509</v>
      </c>
      <c r="B4973" t="s">
        <v>5510</v>
      </c>
      <c r="C4973" t="s">
        <v>1644</v>
      </c>
      <c r="D4973" t="s">
        <v>293</v>
      </c>
      <c r="E4973" t="s">
        <v>300</v>
      </c>
      <c r="F4973" t="s">
        <v>5514</v>
      </c>
      <c r="G4973">
        <v>32</v>
      </c>
      <c r="H4973">
        <v>10650.439999999999</v>
      </c>
      <c r="I4973">
        <v>332.83</v>
      </c>
      <c r="J4973">
        <v>3</v>
      </c>
      <c r="K4973">
        <v>647.79</v>
      </c>
      <c r="L4973">
        <v>215.93</v>
      </c>
      <c r="M4973">
        <v>35</v>
      </c>
      <c r="N4973">
        <v>11298.23</v>
      </c>
      <c r="O4973">
        <v>322.81</v>
      </c>
    </row>
    <row r="4974" spans="1:15" x14ac:dyDescent="0.35">
      <c r="A4974" t="s">
        <v>5509</v>
      </c>
      <c r="B4974" t="s">
        <v>5510</v>
      </c>
      <c r="C4974" t="s">
        <v>1644</v>
      </c>
      <c r="D4974" t="s">
        <v>293</v>
      </c>
      <c r="E4974" t="s">
        <v>302</v>
      </c>
      <c r="F4974" t="s">
        <v>5515</v>
      </c>
      <c r="G4974">
        <v>0</v>
      </c>
      <c r="H4974">
        <v>0</v>
      </c>
      <c r="I4974">
        <v>0</v>
      </c>
      <c r="J4974">
        <v>0</v>
      </c>
      <c r="K4974">
        <v>0</v>
      </c>
      <c r="L4974">
        <v>0</v>
      </c>
      <c r="M4974">
        <v>0</v>
      </c>
      <c r="N4974">
        <v>0</v>
      </c>
      <c r="O4974">
        <v>0</v>
      </c>
    </row>
    <row r="4975" spans="1:15" x14ac:dyDescent="0.35">
      <c r="A4975" t="s">
        <v>5509</v>
      </c>
      <c r="B4975" t="s">
        <v>5510</v>
      </c>
      <c r="C4975" t="s">
        <v>1644</v>
      </c>
      <c r="D4975" t="s">
        <v>293</v>
      </c>
      <c r="E4975" t="s">
        <v>304</v>
      </c>
      <c r="F4975" t="s">
        <v>5516</v>
      </c>
      <c r="G4975">
        <v>0</v>
      </c>
      <c r="H4975">
        <v>0</v>
      </c>
      <c r="I4975">
        <v>0</v>
      </c>
      <c r="J4975">
        <v>1</v>
      </c>
      <c r="K4975">
        <v>221.71</v>
      </c>
      <c r="L4975">
        <v>221.71</v>
      </c>
      <c r="M4975">
        <v>1</v>
      </c>
      <c r="N4975">
        <v>221.71</v>
      </c>
      <c r="O4975">
        <v>221.71</v>
      </c>
    </row>
    <row r="4976" spans="1:15" x14ac:dyDescent="0.35">
      <c r="A4976" t="s">
        <v>5509</v>
      </c>
      <c r="B4976" t="s">
        <v>5510</v>
      </c>
      <c r="C4976" t="s">
        <v>1644</v>
      </c>
      <c r="D4976" t="s">
        <v>293</v>
      </c>
      <c r="E4976" t="s">
        <v>306</v>
      </c>
      <c r="F4976" t="s">
        <v>5517</v>
      </c>
      <c r="G4976">
        <v>0</v>
      </c>
      <c r="H4976">
        <v>0</v>
      </c>
      <c r="I4976">
        <v>0</v>
      </c>
      <c r="J4976">
        <v>0</v>
      </c>
      <c r="K4976">
        <v>0</v>
      </c>
      <c r="L4976">
        <v>0</v>
      </c>
      <c r="M4976">
        <v>0</v>
      </c>
      <c r="N4976">
        <v>0</v>
      </c>
      <c r="O4976">
        <v>0</v>
      </c>
    </row>
    <row r="4977" spans="1:15" x14ac:dyDescent="0.35">
      <c r="A4977" t="s">
        <v>5509</v>
      </c>
      <c r="B4977" t="s">
        <v>5510</v>
      </c>
      <c r="C4977" t="s">
        <v>1644</v>
      </c>
      <c r="D4977" t="s">
        <v>293</v>
      </c>
      <c r="E4977" t="s">
        <v>308</v>
      </c>
      <c r="F4977" t="s">
        <v>5518</v>
      </c>
      <c r="G4977">
        <v>0</v>
      </c>
      <c r="H4977">
        <v>0</v>
      </c>
      <c r="I4977">
        <v>0</v>
      </c>
      <c r="J4977">
        <v>0</v>
      </c>
      <c r="K4977">
        <v>0</v>
      </c>
      <c r="L4977">
        <v>0</v>
      </c>
      <c r="M4977">
        <v>0</v>
      </c>
      <c r="N4977">
        <v>0</v>
      </c>
      <c r="O4977">
        <v>0</v>
      </c>
    </row>
    <row r="4978" spans="1:15" x14ac:dyDescent="0.35">
      <c r="A4978" t="s">
        <v>5509</v>
      </c>
      <c r="B4978" t="s">
        <v>5510</v>
      </c>
      <c r="C4978" t="s">
        <v>1644</v>
      </c>
      <c r="D4978" t="s">
        <v>293</v>
      </c>
      <c r="E4978" t="s">
        <v>310</v>
      </c>
      <c r="F4978" t="s">
        <v>5519</v>
      </c>
      <c r="G4978">
        <v>789</v>
      </c>
      <c r="H4978">
        <v>164968.87999999998</v>
      </c>
      <c r="I4978">
        <v>209.09</v>
      </c>
      <c r="J4978">
        <v>135</v>
      </c>
      <c r="K4978">
        <v>20974.39</v>
      </c>
      <c r="L4978">
        <v>155.37</v>
      </c>
      <c r="M4978">
        <v>924</v>
      </c>
      <c r="N4978">
        <v>185943.26999999996</v>
      </c>
      <c r="O4978">
        <v>201.24</v>
      </c>
    </row>
    <row r="4979" spans="1:15" x14ac:dyDescent="0.35">
      <c r="A4979" t="s">
        <v>5509</v>
      </c>
      <c r="B4979" t="s">
        <v>5510</v>
      </c>
      <c r="C4979" t="s">
        <v>1644</v>
      </c>
      <c r="D4979" t="s">
        <v>293</v>
      </c>
      <c r="E4979" t="s">
        <v>312</v>
      </c>
      <c r="F4979" t="s">
        <v>5520</v>
      </c>
      <c r="G4979">
        <v>789</v>
      </c>
      <c r="H4979">
        <v>164968.87999999998</v>
      </c>
      <c r="I4979">
        <v>209.09</v>
      </c>
      <c r="J4979">
        <v>135</v>
      </c>
      <c r="K4979">
        <v>20974.39</v>
      </c>
      <c r="L4979">
        <v>155.37</v>
      </c>
      <c r="M4979">
        <v>924</v>
      </c>
      <c r="N4979">
        <v>185943.26999999996</v>
      </c>
      <c r="O4979">
        <v>201.24</v>
      </c>
    </row>
    <row r="4980" spans="1:15" x14ac:dyDescent="0.35">
      <c r="A4980" t="s">
        <v>5509</v>
      </c>
      <c r="B4980" t="s">
        <v>5510</v>
      </c>
      <c r="C4980" t="s">
        <v>1644</v>
      </c>
      <c r="D4980" t="s">
        <v>314</v>
      </c>
      <c r="E4980" t="s">
        <v>294</v>
      </c>
      <c r="F4980" t="s">
        <v>5521</v>
      </c>
      <c r="G4980">
        <v>0</v>
      </c>
      <c r="H4980">
        <v>0</v>
      </c>
      <c r="I4980">
        <v>0</v>
      </c>
      <c r="J4980">
        <v>0</v>
      </c>
      <c r="K4980">
        <v>0</v>
      </c>
      <c r="L4980">
        <v>0</v>
      </c>
      <c r="M4980">
        <v>0</v>
      </c>
      <c r="N4980">
        <v>0</v>
      </c>
      <c r="O4980">
        <v>0</v>
      </c>
    </row>
    <row r="4981" spans="1:15" x14ac:dyDescent="0.35">
      <c r="A4981" t="s">
        <v>5509</v>
      </c>
      <c r="B4981" t="s">
        <v>5510</v>
      </c>
      <c r="C4981" t="s">
        <v>1644</v>
      </c>
      <c r="D4981" t="s">
        <v>314</v>
      </c>
      <c r="E4981" t="s">
        <v>296</v>
      </c>
      <c r="F4981" t="s">
        <v>5522</v>
      </c>
      <c r="G4981">
        <v>0</v>
      </c>
      <c r="H4981">
        <v>0</v>
      </c>
      <c r="I4981">
        <v>0</v>
      </c>
      <c r="J4981">
        <v>0</v>
      </c>
      <c r="K4981">
        <v>0</v>
      </c>
      <c r="L4981">
        <v>0</v>
      </c>
      <c r="M4981">
        <v>0</v>
      </c>
      <c r="N4981">
        <v>0</v>
      </c>
      <c r="O4981">
        <v>0</v>
      </c>
    </row>
    <row r="4982" spans="1:15" x14ac:dyDescent="0.35">
      <c r="A4982" t="s">
        <v>5509</v>
      </c>
      <c r="B4982" t="s">
        <v>5510</v>
      </c>
      <c r="C4982" t="s">
        <v>1644</v>
      </c>
      <c r="D4982" t="s">
        <v>314</v>
      </c>
      <c r="E4982" t="s">
        <v>298</v>
      </c>
      <c r="F4982" t="s">
        <v>5523</v>
      </c>
      <c r="G4982">
        <v>0</v>
      </c>
      <c r="H4982">
        <v>0</v>
      </c>
      <c r="I4982">
        <v>0</v>
      </c>
      <c r="J4982">
        <v>0</v>
      </c>
      <c r="K4982">
        <v>0</v>
      </c>
      <c r="L4982">
        <v>0</v>
      </c>
      <c r="M4982">
        <v>0</v>
      </c>
      <c r="N4982">
        <v>0</v>
      </c>
      <c r="O4982">
        <v>0</v>
      </c>
    </row>
    <row r="4983" spans="1:15" x14ac:dyDescent="0.35">
      <c r="A4983" t="s">
        <v>5509</v>
      </c>
      <c r="B4983" t="s">
        <v>5510</v>
      </c>
      <c r="C4983" t="s">
        <v>1644</v>
      </c>
      <c r="D4983" t="s">
        <v>314</v>
      </c>
      <c r="E4983" t="s">
        <v>300</v>
      </c>
      <c r="F4983" t="s">
        <v>5524</v>
      </c>
      <c r="G4983">
        <v>0</v>
      </c>
      <c r="H4983">
        <v>0</v>
      </c>
      <c r="I4983">
        <v>0</v>
      </c>
      <c r="J4983">
        <v>0</v>
      </c>
      <c r="K4983">
        <v>0</v>
      </c>
      <c r="L4983">
        <v>0</v>
      </c>
      <c r="M4983">
        <v>0</v>
      </c>
      <c r="N4983">
        <v>0</v>
      </c>
      <c r="O4983">
        <v>0</v>
      </c>
    </row>
    <row r="4984" spans="1:15" x14ac:dyDescent="0.35">
      <c r="A4984" t="s">
        <v>5509</v>
      </c>
      <c r="B4984" t="s">
        <v>5510</v>
      </c>
      <c r="C4984" t="s">
        <v>1644</v>
      </c>
      <c r="D4984" t="s">
        <v>314</v>
      </c>
      <c r="E4984" t="s">
        <v>306</v>
      </c>
      <c r="F4984" t="s">
        <v>5525</v>
      </c>
      <c r="G4984">
        <v>0</v>
      </c>
      <c r="H4984">
        <v>0</v>
      </c>
      <c r="I4984">
        <v>0</v>
      </c>
      <c r="J4984">
        <v>0</v>
      </c>
      <c r="K4984">
        <v>0</v>
      </c>
      <c r="L4984">
        <v>0</v>
      </c>
      <c r="M4984">
        <v>0</v>
      </c>
      <c r="N4984">
        <v>0</v>
      </c>
      <c r="O4984">
        <v>0</v>
      </c>
    </row>
    <row r="4985" spans="1:15" x14ac:dyDescent="0.35">
      <c r="A4985" t="s">
        <v>5509</v>
      </c>
      <c r="B4985" t="s">
        <v>5510</v>
      </c>
      <c r="C4985" t="s">
        <v>1644</v>
      </c>
      <c r="D4985" t="s">
        <v>314</v>
      </c>
      <c r="E4985" t="s">
        <v>308</v>
      </c>
      <c r="F4985" t="s">
        <v>5526</v>
      </c>
      <c r="G4985">
        <v>0</v>
      </c>
      <c r="H4985">
        <v>0</v>
      </c>
      <c r="I4985">
        <v>0</v>
      </c>
      <c r="J4985">
        <v>0</v>
      </c>
      <c r="K4985">
        <v>0</v>
      </c>
      <c r="L4985">
        <v>0</v>
      </c>
      <c r="M4985">
        <v>0</v>
      </c>
      <c r="N4985">
        <v>0</v>
      </c>
      <c r="O4985">
        <v>0</v>
      </c>
    </row>
    <row r="4986" spans="1:15" x14ac:dyDescent="0.35">
      <c r="A4986" t="s">
        <v>5509</v>
      </c>
      <c r="B4986" t="s">
        <v>5510</v>
      </c>
      <c r="C4986" t="s">
        <v>1644</v>
      </c>
      <c r="D4986" t="s">
        <v>314</v>
      </c>
      <c r="E4986" t="s">
        <v>312</v>
      </c>
      <c r="F4986" t="s">
        <v>5527</v>
      </c>
      <c r="G4986">
        <v>0</v>
      </c>
      <c r="H4986">
        <v>0</v>
      </c>
      <c r="I4986">
        <v>0</v>
      </c>
      <c r="J4986">
        <v>0</v>
      </c>
      <c r="K4986">
        <v>0</v>
      </c>
      <c r="L4986">
        <v>0</v>
      </c>
      <c r="M4986">
        <v>0</v>
      </c>
      <c r="N4986">
        <v>0</v>
      </c>
      <c r="O4986">
        <v>0</v>
      </c>
    </row>
    <row r="4987" spans="1:15" x14ac:dyDescent="0.35">
      <c r="A4987" t="s">
        <v>5509</v>
      </c>
      <c r="B4987" t="s">
        <v>5510</v>
      </c>
      <c r="C4987" t="s">
        <v>1644</v>
      </c>
      <c r="D4987" t="s">
        <v>314</v>
      </c>
      <c r="E4987" t="s">
        <v>310</v>
      </c>
      <c r="F4987" t="s">
        <v>5528</v>
      </c>
      <c r="G4987">
        <v>0</v>
      </c>
      <c r="H4987">
        <v>0</v>
      </c>
      <c r="I4987">
        <v>0</v>
      </c>
      <c r="J4987">
        <v>0</v>
      </c>
      <c r="K4987">
        <v>0</v>
      </c>
      <c r="L4987">
        <v>0</v>
      </c>
      <c r="M4987">
        <v>0</v>
      </c>
      <c r="N4987">
        <v>0</v>
      </c>
      <c r="O4987">
        <v>0</v>
      </c>
    </row>
    <row r="4988" spans="1:15" x14ac:dyDescent="0.35">
      <c r="A4988" t="s">
        <v>5509</v>
      </c>
      <c r="B4988" t="s">
        <v>5510</v>
      </c>
      <c r="C4988" t="s">
        <v>1644</v>
      </c>
      <c r="D4988" t="s">
        <v>323</v>
      </c>
      <c r="E4988" t="s">
        <v>294</v>
      </c>
      <c r="F4988" t="s">
        <v>5529</v>
      </c>
      <c r="G4988">
        <v>144</v>
      </c>
      <c r="H4988">
        <v>16044.84</v>
      </c>
      <c r="I4988">
        <v>111.42</v>
      </c>
      <c r="J4988">
        <v>1053</v>
      </c>
      <c r="K4988">
        <v>88957.440000000002</v>
      </c>
      <c r="L4988">
        <v>84.48</v>
      </c>
      <c r="M4988">
        <v>1197</v>
      </c>
      <c r="N4988">
        <v>105002.28</v>
      </c>
      <c r="O4988">
        <v>87.72</v>
      </c>
    </row>
    <row r="4989" spans="1:15" x14ac:dyDescent="0.35">
      <c r="A4989" t="s">
        <v>5509</v>
      </c>
      <c r="B4989" t="s">
        <v>5510</v>
      </c>
      <c r="C4989" t="s">
        <v>1644</v>
      </c>
      <c r="D4989" t="s">
        <v>323</v>
      </c>
      <c r="E4989" t="s">
        <v>296</v>
      </c>
      <c r="F4989" t="s">
        <v>5530</v>
      </c>
      <c r="G4989">
        <v>416</v>
      </c>
      <c r="H4989">
        <v>52471.739999999991</v>
      </c>
      <c r="I4989">
        <v>126.13</v>
      </c>
      <c r="J4989">
        <v>1113</v>
      </c>
      <c r="K4989">
        <v>108962.70000000001</v>
      </c>
      <c r="L4989">
        <v>97.9</v>
      </c>
      <c r="M4989">
        <v>1529</v>
      </c>
      <c r="N4989">
        <v>161434.44</v>
      </c>
      <c r="O4989">
        <v>105.58</v>
      </c>
    </row>
    <row r="4990" spans="1:15" x14ac:dyDescent="0.35">
      <c r="A4990" t="s">
        <v>5509</v>
      </c>
      <c r="B4990" t="s">
        <v>5510</v>
      </c>
      <c r="C4990" t="s">
        <v>1644</v>
      </c>
      <c r="D4990" t="s">
        <v>323</v>
      </c>
      <c r="E4990" t="s">
        <v>298</v>
      </c>
      <c r="F4990" t="s">
        <v>5531</v>
      </c>
      <c r="G4990">
        <v>286</v>
      </c>
      <c r="H4990">
        <v>41281.750000000007</v>
      </c>
      <c r="I4990">
        <v>144.34</v>
      </c>
      <c r="J4990">
        <v>1394</v>
      </c>
      <c r="K4990">
        <v>156155.88</v>
      </c>
      <c r="L4990">
        <v>112.02</v>
      </c>
      <c r="M4990">
        <v>1680</v>
      </c>
      <c r="N4990">
        <v>197437.63</v>
      </c>
      <c r="O4990">
        <v>117.52</v>
      </c>
    </row>
    <row r="4991" spans="1:15" x14ac:dyDescent="0.35">
      <c r="A4991" t="s">
        <v>5509</v>
      </c>
      <c r="B4991" t="s">
        <v>5510</v>
      </c>
      <c r="C4991" t="s">
        <v>1644</v>
      </c>
      <c r="D4991" t="s">
        <v>323</v>
      </c>
      <c r="E4991" t="s">
        <v>300</v>
      </c>
      <c r="F4991" t="s">
        <v>5532</v>
      </c>
      <c r="G4991">
        <v>25</v>
      </c>
      <c r="H4991">
        <v>4047.51</v>
      </c>
      <c r="I4991">
        <v>161.9</v>
      </c>
      <c r="J4991">
        <v>54</v>
      </c>
      <c r="K4991">
        <v>6622.56</v>
      </c>
      <c r="L4991">
        <v>122.64</v>
      </c>
      <c r="M4991">
        <v>79</v>
      </c>
      <c r="N4991">
        <v>10670.07</v>
      </c>
      <c r="O4991">
        <v>135.06</v>
      </c>
    </row>
    <row r="4992" spans="1:15" x14ac:dyDescent="0.35">
      <c r="A4992" t="s">
        <v>5509</v>
      </c>
      <c r="B4992" t="s">
        <v>5510</v>
      </c>
      <c r="C4992" t="s">
        <v>1644</v>
      </c>
      <c r="D4992" t="s">
        <v>323</v>
      </c>
      <c r="E4992" t="s">
        <v>302</v>
      </c>
      <c r="F4992" t="s">
        <v>5533</v>
      </c>
      <c r="G4992">
        <v>3</v>
      </c>
      <c r="H4992">
        <v>447.65</v>
      </c>
      <c r="I4992">
        <v>149.22</v>
      </c>
      <c r="J4992">
        <v>1</v>
      </c>
      <c r="K4992">
        <v>140.16</v>
      </c>
      <c r="L4992">
        <v>140.16</v>
      </c>
      <c r="M4992">
        <v>4</v>
      </c>
      <c r="N4992">
        <v>587.80999999999995</v>
      </c>
      <c r="O4992">
        <v>146.94999999999999</v>
      </c>
    </row>
    <row r="4993" spans="1:15" x14ac:dyDescent="0.35">
      <c r="A4993" t="s">
        <v>5509</v>
      </c>
      <c r="B4993" t="s">
        <v>5510</v>
      </c>
      <c r="C4993" t="s">
        <v>1644</v>
      </c>
      <c r="D4993" t="s">
        <v>323</v>
      </c>
      <c r="E4993" t="s">
        <v>304</v>
      </c>
      <c r="F4993" t="s">
        <v>5534</v>
      </c>
      <c r="G4993">
        <v>0</v>
      </c>
      <c r="H4993">
        <v>0</v>
      </c>
      <c r="I4993">
        <v>0</v>
      </c>
      <c r="J4993">
        <v>1</v>
      </c>
      <c r="K4993">
        <v>156.94</v>
      </c>
      <c r="L4993">
        <v>156.94</v>
      </c>
      <c r="M4993">
        <v>1</v>
      </c>
      <c r="N4993">
        <v>156.94</v>
      </c>
      <c r="O4993">
        <v>156.94</v>
      </c>
    </row>
    <row r="4994" spans="1:15" x14ac:dyDescent="0.35">
      <c r="A4994" t="s">
        <v>5509</v>
      </c>
      <c r="B4994" t="s">
        <v>5510</v>
      </c>
      <c r="C4994" t="s">
        <v>1644</v>
      </c>
      <c r="D4994" t="s">
        <v>323</v>
      </c>
      <c r="E4994" t="s">
        <v>306</v>
      </c>
      <c r="F4994" t="s">
        <v>5535</v>
      </c>
      <c r="G4994">
        <v>0</v>
      </c>
      <c r="H4994">
        <v>0</v>
      </c>
      <c r="I4994">
        <v>0</v>
      </c>
      <c r="J4994">
        <v>11</v>
      </c>
      <c r="K4994">
        <v>829.40000000000009</v>
      </c>
      <c r="L4994">
        <v>75.400000000000006</v>
      </c>
      <c r="M4994">
        <v>11</v>
      </c>
      <c r="N4994">
        <v>829.40000000000009</v>
      </c>
      <c r="O4994">
        <v>75.400000000000006</v>
      </c>
    </row>
    <row r="4995" spans="1:15" x14ac:dyDescent="0.35">
      <c r="A4995" t="s">
        <v>5509</v>
      </c>
      <c r="B4995" t="s">
        <v>5510</v>
      </c>
      <c r="C4995" t="s">
        <v>1644</v>
      </c>
      <c r="D4995" t="s">
        <v>323</v>
      </c>
      <c r="E4995" t="s">
        <v>308</v>
      </c>
      <c r="F4995" t="s">
        <v>5536</v>
      </c>
      <c r="G4995">
        <v>0</v>
      </c>
      <c r="H4995">
        <v>0</v>
      </c>
      <c r="I4995">
        <v>0</v>
      </c>
      <c r="J4995">
        <v>0</v>
      </c>
      <c r="K4995">
        <v>0</v>
      </c>
      <c r="L4995">
        <v>0</v>
      </c>
      <c r="M4995">
        <v>0</v>
      </c>
      <c r="N4995">
        <v>0</v>
      </c>
      <c r="O4995">
        <v>0</v>
      </c>
    </row>
    <row r="4996" spans="1:15" x14ac:dyDescent="0.35">
      <c r="A4996" t="s">
        <v>5509</v>
      </c>
      <c r="B4996" t="s">
        <v>5510</v>
      </c>
      <c r="C4996" t="s">
        <v>1644</v>
      </c>
      <c r="D4996" t="s">
        <v>323</v>
      </c>
      <c r="E4996" t="s">
        <v>310</v>
      </c>
      <c r="F4996" t="s">
        <v>5537</v>
      </c>
      <c r="G4996">
        <v>874</v>
      </c>
      <c r="H4996">
        <v>114293.48999999998</v>
      </c>
      <c r="I4996">
        <v>130.77000000000001</v>
      </c>
      <c r="J4996">
        <v>3627</v>
      </c>
      <c r="K4996">
        <v>361825.08</v>
      </c>
      <c r="L4996">
        <v>99.76</v>
      </c>
      <c r="M4996">
        <v>4501</v>
      </c>
      <c r="N4996">
        <v>476118.57</v>
      </c>
      <c r="O4996">
        <v>105.78</v>
      </c>
    </row>
    <row r="4997" spans="1:15" x14ac:dyDescent="0.35">
      <c r="A4997" t="s">
        <v>5509</v>
      </c>
      <c r="B4997" t="s">
        <v>5510</v>
      </c>
      <c r="C4997" t="s">
        <v>1644</v>
      </c>
      <c r="D4997" t="s">
        <v>323</v>
      </c>
      <c r="E4997" t="s">
        <v>312</v>
      </c>
      <c r="F4997" t="s">
        <v>5538</v>
      </c>
      <c r="G4997">
        <v>874</v>
      </c>
      <c r="H4997">
        <v>114293.48999999998</v>
      </c>
      <c r="I4997">
        <v>130.77000000000001</v>
      </c>
      <c r="J4997">
        <v>3627</v>
      </c>
      <c r="K4997">
        <v>361825.08</v>
      </c>
      <c r="L4997">
        <v>99.76</v>
      </c>
      <c r="M4997">
        <v>4501</v>
      </c>
      <c r="N4997">
        <v>476118.57</v>
      </c>
      <c r="O4997">
        <v>105.78</v>
      </c>
    </row>
    <row r="4998" spans="1:15" x14ac:dyDescent="0.35">
      <c r="A4998" t="s">
        <v>5509</v>
      </c>
      <c r="B4998" t="s">
        <v>5510</v>
      </c>
      <c r="C4998" t="s">
        <v>1644</v>
      </c>
      <c r="D4998" t="s">
        <v>334</v>
      </c>
      <c r="E4998" t="s">
        <v>312</v>
      </c>
      <c r="F4998" t="s">
        <v>5539</v>
      </c>
      <c r="G4998">
        <v>2093</v>
      </c>
      <c r="H4998">
        <v>279262.37</v>
      </c>
      <c r="I4998">
        <v>167.93</v>
      </c>
      <c r="J4998">
        <v>3762</v>
      </c>
      <c r="K4998">
        <v>382799.47000000003</v>
      </c>
      <c r="L4998">
        <v>101.75</v>
      </c>
      <c r="M4998">
        <v>5855</v>
      </c>
      <c r="N4998">
        <v>662061.84000000008</v>
      </c>
      <c r="O4998">
        <v>122.04</v>
      </c>
    </row>
    <row r="4999" spans="1:15" x14ac:dyDescent="0.35">
      <c r="A4999" t="s">
        <v>5509</v>
      </c>
      <c r="B4999" t="s">
        <v>5510</v>
      </c>
      <c r="C4999" t="s">
        <v>1644</v>
      </c>
      <c r="D4999" t="s">
        <v>334</v>
      </c>
      <c r="E4999" t="s">
        <v>308</v>
      </c>
      <c r="F4999" t="s">
        <v>5540</v>
      </c>
      <c r="G4999">
        <v>17</v>
      </c>
      <c r="H4999">
        <v>0</v>
      </c>
      <c r="I4999">
        <v>0</v>
      </c>
      <c r="J4999">
        <v>0</v>
      </c>
      <c r="K4999">
        <v>0</v>
      </c>
      <c r="L4999">
        <v>0</v>
      </c>
      <c r="M4999">
        <v>17</v>
      </c>
      <c r="N4999">
        <v>0</v>
      </c>
      <c r="O4999">
        <v>0</v>
      </c>
    </row>
    <row r="5000" spans="1:15" x14ac:dyDescent="0.35">
      <c r="A5000" t="s">
        <v>5509</v>
      </c>
      <c r="B5000" t="s">
        <v>5510</v>
      </c>
      <c r="C5000" t="s">
        <v>1644</v>
      </c>
      <c r="D5000" t="s">
        <v>337</v>
      </c>
      <c r="E5000" t="s">
        <v>337</v>
      </c>
      <c r="F5000" t="s">
        <v>5541</v>
      </c>
      <c r="G5000">
        <v>1500</v>
      </c>
      <c r="J5000">
        <v>0</v>
      </c>
      <c r="M5000">
        <v>1500</v>
      </c>
    </row>
    <row r="5001" spans="1:15" x14ac:dyDescent="0.35">
      <c r="A5001" t="s">
        <v>5509</v>
      </c>
      <c r="B5001" t="s">
        <v>5510</v>
      </c>
      <c r="C5001" t="s">
        <v>1644</v>
      </c>
      <c r="D5001" t="s">
        <v>339</v>
      </c>
      <c r="E5001" t="s">
        <v>294</v>
      </c>
      <c r="F5001" t="s">
        <v>5542</v>
      </c>
      <c r="G5001">
        <v>70</v>
      </c>
      <c r="H5001">
        <v>10927.01</v>
      </c>
      <c r="I5001">
        <v>156.1</v>
      </c>
      <c r="J5001">
        <v>434</v>
      </c>
      <c r="K5001">
        <v>39767.42</v>
      </c>
      <c r="L5001">
        <v>91.63</v>
      </c>
      <c r="M5001">
        <v>504</v>
      </c>
      <c r="N5001">
        <v>50694.43</v>
      </c>
      <c r="O5001">
        <v>100.58</v>
      </c>
    </row>
    <row r="5002" spans="1:15" x14ac:dyDescent="0.35">
      <c r="A5002" t="s">
        <v>5509</v>
      </c>
      <c r="B5002" t="s">
        <v>5510</v>
      </c>
      <c r="C5002" t="s">
        <v>1644</v>
      </c>
      <c r="D5002" t="s">
        <v>339</v>
      </c>
      <c r="E5002" t="s">
        <v>296</v>
      </c>
      <c r="F5002" t="s">
        <v>5543</v>
      </c>
      <c r="G5002">
        <v>22</v>
      </c>
      <c r="H5002">
        <v>6221.82</v>
      </c>
      <c r="I5002">
        <v>282.81</v>
      </c>
      <c r="J5002">
        <v>5</v>
      </c>
      <c r="K5002">
        <v>502.1</v>
      </c>
      <c r="L5002">
        <v>100.42</v>
      </c>
      <c r="M5002">
        <v>27</v>
      </c>
      <c r="N5002">
        <v>6723.92</v>
      </c>
      <c r="O5002">
        <v>249.03</v>
      </c>
    </row>
    <row r="5003" spans="1:15" x14ac:dyDescent="0.35">
      <c r="A5003" t="s">
        <v>5509</v>
      </c>
      <c r="B5003" t="s">
        <v>5510</v>
      </c>
      <c r="C5003" t="s">
        <v>1644</v>
      </c>
      <c r="D5003" t="s">
        <v>339</v>
      </c>
      <c r="E5003" t="s">
        <v>298</v>
      </c>
      <c r="F5003" t="s">
        <v>5544</v>
      </c>
      <c r="G5003">
        <v>0</v>
      </c>
      <c r="H5003">
        <v>0</v>
      </c>
      <c r="I5003">
        <v>0</v>
      </c>
      <c r="J5003">
        <v>1</v>
      </c>
      <c r="K5003">
        <v>105.78</v>
      </c>
      <c r="L5003">
        <v>105.78</v>
      </c>
      <c r="M5003">
        <v>1</v>
      </c>
      <c r="N5003">
        <v>105.78</v>
      </c>
      <c r="O5003">
        <v>105.78</v>
      </c>
    </row>
    <row r="5004" spans="1:15" x14ac:dyDescent="0.35">
      <c r="A5004" t="s">
        <v>5509</v>
      </c>
      <c r="B5004" t="s">
        <v>5510</v>
      </c>
      <c r="C5004" t="s">
        <v>1644</v>
      </c>
      <c r="D5004" t="s">
        <v>339</v>
      </c>
      <c r="E5004" t="s">
        <v>300</v>
      </c>
      <c r="F5004" t="s">
        <v>5545</v>
      </c>
      <c r="G5004">
        <v>0</v>
      </c>
      <c r="H5004">
        <v>0</v>
      </c>
      <c r="I5004">
        <v>0</v>
      </c>
      <c r="J5004">
        <v>0</v>
      </c>
      <c r="K5004">
        <v>0</v>
      </c>
      <c r="L5004">
        <v>0</v>
      </c>
      <c r="M5004">
        <v>0</v>
      </c>
      <c r="N5004">
        <v>0</v>
      </c>
      <c r="O5004">
        <v>0</v>
      </c>
    </row>
    <row r="5005" spans="1:15" x14ac:dyDescent="0.35">
      <c r="A5005" t="s">
        <v>5509</v>
      </c>
      <c r="B5005" t="s">
        <v>5510</v>
      </c>
      <c r="C5005" t="s">
        <v>1644</v>
      </c>
      <c r="D5005" t="s">
        <v>339</v>
      </c>
      <c r="E5005" t="s">
        <v>306</v>
      </c>
      <c r="F5005" t="s">
        <v>5546</v>
      </c>
      <c r="G5005">
        <v>2</v>
      </c>
      <c r="H5005">
        <v>128.9</v>
      </c>
      <c r="I5005">
        <v>64.45</v>
      </c>
      <c r="J5005">
        <v>0</v>
      </c>
      <c r="K5005">
        <v>0</v>
      </c>
      <c r="L5005">
        <v>0</v>
      </c>
      <c r="M5005">
        <v>2</v>
      </c>
      <c r="N5005">
        <v>128.9</v>
      </c>
      <c r="O5005">
        <v>64.45</v>
      </c>
    </row>
    <row r="5006" spans="1:15" x14ac:dyDescent="0.35">
      <c r="A5006" t="s">
        <v>5509</v>
      </c>
      <c r="B5006" t="s">
        <v>5510</v>
      </c>
      <c r="C5006" t="s">
        <v>1644</v>
      </c>
      <c r="D5006" t="s">
        <v>339</v>
      </c>
      <c r="E5006" t="s">
        <v>308</v>
      </c>
      <c r="F5006" t="s">
        <v>5547</v>
      </c>
      <c r="G5006">
        <v>32</v>
      </c>
      <c r="H5006">
        <v>4745.84</v>
      </c>
      <c r="I5006">
        <v>148.31</v>
      </c>
      <c r="J5006">
        <v>0</v>
      </c>
      <c r="K5006">
        <v>0</v>
      </c>
      <c r="L5006">
        <v>0</v>
      </c>
      <c r="M5006">
        <v>32</v>
      </c>
      <c r="N5006">
        <v>4745.84</v>
      </c>
      <c r="O5006">
        <v>148.31</v>
      </c>
    </row>
    <row r="5007" spans="1:15" x14ac:dyDescent="0.35">
      <c r="A5007" t="s">
        <v>5509</v>
      </c>
      <c r="B5007" t="s">
        <v>5510</v>
      </c>
      <c r="C5007" t="s">
        <v>1644</v>
      </c>
      <c r="D5007" t="s">
        <v>339</v>
      </c>
      <c r="E5007" t="s">
        <v>310</v>
      </c>
      <c r="F5007" t="s">
        <v>5548</v>
      </c>
      <c r="G5007">
        <v>126</v>
      </c>
      <c r="H5007">
        <v>22023.570000000003</v>
      </c>
      <c r="I5007">
        <v>174.79</v>
      </c>
      <c r="J5007">
        <v>440</v>
      </c>
      <c r="K5007">
        <v>40375.299999999996</v>
      </c>
      <c r="L5007">
        <v>91.76</v>
      </c>
      <c r="M5007">
        <v>566</v>
      </c>
      <c r="N5007">
        <v>62398.869999999995</v>
      </c>
      <c r="O5007">
        <v>110.25</v>
      </c>
    </row>
    <row r="5008" spans="1:15" x14ac:dyDescent="0.35">
      <c r="A5008" t="s">
        <v>5509</v>
      </c>
      <c r="B5008" t="s">
        <v>5510</v>
      </c>
      <c r="C5008" t="s">
        <v>1644</v>
      </c>
      <c r="D5008" t="s">
        <v>339</v>
      </c>
      <c r="E5008" t="s">
        <v>312</v>
      </c>
      <c r="F5008" t="s">
        <v>5549</v>
      </c>
      <c r="G5008">
        <v>94</v>
      </c>
      <c r="H5008">
        <v>17277.730000000003</v>
      </c>
      <c r="I5008">
        <v>183.81</v>
      </c>
      <c r="J5008">
        <v>440</v>
      </c>
      <c r="K5008">
        <v>40375.299999999996</v>
      </c>
      <c r="L5008">
        <v>91.76</v>
      </c>
      <c r="M5008">
        <v>534</v>
      </c>
      <c r="N5008">
        <v>57653.03</v>
      </c>
      <c r="O5008">
        <v>107.96</v>
      </c>
    </row>
    <row r="5009" spans="1:15" x14ac:dyDescent="0.35">
      <c r="A5009" t="s">
        <v>5509</v>
      </c>
      <c r="B5009" t="s">
        <v>5510</v>
      </c>
      <c r="C5009" t="s">
        <v>1644</v>
      </c>
      <c r="D5009" t="s">
        <v>348</v>
      </c>
      <c r="E5009" t="s">
        <v>349</v>
      </c>
      <c r="F5009" t="s">
        <v>5550</v>
      </c>
      <c r="G5009">
        <v>237</v>
      </c>
      <c r="H5009">
        <v>22023.570000000003</v>
      </c>
      <c r="I5009">
        <v>174.79</v>
      </c>
      <c r="J5009">
        <v>440</v>
      </c>
      <c r="K5009">
        <v>40375.299999999996</v>
      </c>
      <c r="L5009">
        <v>91.76</v>
      </c>
      <c r="M5009">
        <v>677</v>
      </c>
      <c r="N5009">
        <v>62398.869999999995</v>
      </c>
      <c r="O5009">
        <v>110.25</v>
      </c>
    </row>
    <row r="5010" spans="1:15" x14ac:dyDescent="0.35">
      <c r="A5010" t="s">
        <v>5551</v>
      </c>
      <c r="B5010" t="s">
        <v>5552</v>
      </c>
      <c r="C5010" t="s">
        <v>1644</v>
      </c>
      <c r="D5010" t="s">
        <v>293</v>
      </c>
      <c r="E5010" t="s">
        <v>294</v>
      </c>
      <c r="F5010" t="s">
        <v>5553</v>
      </c>
      <c r="G5010">
        <v>56</v>
      </c>
      <c r="H5010">
        <v>6827.8499999999995</v>
      </c>
      <c r="I5010">
        <v>121.93</v>
      </c>
      <c r="J5010">
        <v>20</v>
      </c>
      <c r="K5010">
        <v>2249</v>
      </c>
      <c r="L5010">
        <v>112.45</v>
      </c>
      <c r="M5010">
        <v>76</v>
      </c>
      <c r="N5010">
        <v>9076.8499999999985</v>
      </c>
      <c r="O5010">
        <v>119.43</v>
      </c>
    </row>
    <row r="5011" spans="1:15" x14ac:dyDescent="0.35">
      <c r="A5011" t="s">
        <v>5551</v>
      </c>
      <c r="B5011" t="s">
        <v>5552</v>
      </c>
      <c r="C5011" t="s">
        <v>1644</v>
      </c>
      <c r="D5011" t="s">
        <v>293</v>
      </c>
      <c r="E5011" t="s">
        <v>296</v>
      </c>
      <c r="F5011" t="s">
        <v>5554</v>
      </c>
      <c r="G5011">
        <v>305</v>
      </c>
      <c r="H5011">
        <v>49229.950000000004</v>
      </c>
      <c r="I5011">
        <v>161.41</v>
      </c>
      <c r="J5011">
        <v>26</v>
      </c>
      <c r="K5011">
        <v>3787.6800000000003</v>
      </c>
      <c r="L5011">
        <v>145.68</v>
      </c>
      <c r="M5011">
        <v>331</v>
      </c>
      <c r="N5011">
        <v>53017.630000000005</v>
      </c>
      <c r="O5011">
        <v>160.16999999999999</v>
      </c>
    </row>
    <row r="5012" spans="1:15" x14ac:dyDescent="0.35">
      <c r="A5012" t="s">
        <v>5551</v>
      </c>
      <c r="B5012" t="s">
        <v>5552</v>
      </c>
      <c r="C5012" t="s">
        <v>1644</v>
      </c>
      <c r="D5012" t="s">
        <v>293</v>
      </c>
      <c r="E5012" t="s">
        <v>298</v>
      </c>
      <c r="F5012" t="s">
        <v>5555</v>
      </c>
      <c r="G5012">
        <v>136</v>
      </c>
      <c r="H5012">
        <v>25379.47</v>
      </c>
      <c r="I5012">
        <v>186.61</v>
      </c>
      <c r="J5012">
        <v>27</v>
      </c>
      <c r="K5012">
        <v>5160.51</v>
      </c>
      <c r="L5012">
        <v>191.13</v>
      </c>
      <c r="M5012">
        <v>163</v>
      </c>
      <c r="N5012">
        <v>30539.980000000003</v>
      </c>
      <c r="O5012">
        <v>187.36</v>
      </c>
    </row>
    <row r="5013" spans="1:15" x14ac:dyDescent="0.35">
      <c r="A5013" t="s">
        <v>5551</v>
      </c>
      <c r="B5013" t="s">
        <v>5552</v>
      </c>
      <c r="C5013" t="s">
        <v>1644</v>
      </c>
      <c r="D5013" t="s">
        <v>293</v>
      </c>
      <c r="E5013" t="s">
        <v>300</v>
      </c>
      <c r="F5013" t="s">
        <v>5556</v>
      </c>
      <c r="G5013">
        <v>10</v>
      </c>
      <c r="H5013">
        <v>1988.7800000000002</v>
      </c>
      <c r="I5013">
        <v>198.88</v>
      </c>
      <c r="J5013">
        <v>1</v>
      </c>
      <c r="K5013">
        <v>223.07</v>
      </c>
      <c r="L5013">
        <v>223.07</v>
      </c>
      <c r="M5013">
        <v>11</v>
      </c>
      <c r="N5013">
        <v>2211.8500000000004</v>
      </c>
      <c r="O5013">
        <v>201.08</v>
      </c>
    </row>
    <row r="5014" spans="1:15" x14ac:dyDescent="0.35">
      <c r="A5014" t="s">
        <v>5551</v>
      </c>
      <c r="B5014" t="s">
        <v>5552</v>
      </c>
      <c r="C5014" t="s">
        <v>1644</v>
      </c>
      <c r="D5014" t="s">
        <v>293</v>
      </c>
      <c r="E5014" t="s">
        <v>302</v>
      </c>
      <c r="F5014" t="s">
        <v>5557</v>
      </c>
      <c r="G5014">
        <v>0</v>
      </c>
      <c r="H5014">
        <v>0</v>
      </c>
      <c r="I5014">
        <v>0</v>
      </c>
      <c r="J5014">
        <v>2</v>
      </c>
      <c r="K5014">
        <v>499.24</v>
      </c>
      <c r="L5014">
        <v>249.62</v>
      </c>
      <c r="M5014">
        <v>2</v>
      </c>
      <c r="N5014">
        <v>499.24</v>
      </c>
      <c r="O5014">
        <v>249.62</v>
      </c>
    </row>
    <row r="5015" spans="1:15" x14ac:dyDescent="0.35">
      <c r="A5015" t="s">
        <v>5551</v>
      </c>
      <c r="B5015" t="s">
        <v>5552</v>
      </c>
      <c r="C5015" t="s">
        <v>1644</v>
      </c>
      <c r="D5015" t="s">
        <v>293</v>
      </c>
      <c r="E5015" t="s">
        <v>304</v>
      </c>
      <c r="F5015" t="s">
        <v>5558</v>
      </c>
      <c r="G5015">
        <v>0</v>
      </c>
      <c r="H5015">
        <v>0</v>
      </c>
      <c r="I5015">
        <v>0</v>
      </c>
      <c r="J5015">
        <v>0</v>
      </c>
      <c r="K5015">
        <v>0</v>
      </c>
      <c r="L5015">
        <v>0</v>
      </c>
      <c r="M5015">
        <v>0</v>
      </c>
      <c r="N5015">
        <v>0</v>
      </c>
      <c r="O5015">
        <v>0</v>
      </c>
    </row>
    <row r="5016" spans="1:15" x14ac:dyDescent="0.35">
      <c r="A5016" t="s">
        <v>5551</v>
      </c>
      <c r="B5016" t="s">
        <v>5552</v>
      </c>
      <c r="C5016" t="s">
        <v>1644</v>
      </c>
      <c r="D5016" t="s">
        <v>293</v>
      </c>
      <c r="E5016" t="s">
        <v>306</v>
      </c>
      <c r="F5016" t="s">
        <v>5559</v>
      </c>
      <c r="G5016">
        <v>0</v>
      </c>
      <c r="H5016">
        <v>0</v>
      </c>
      <c r="I5016">
        <v>0</v>
      </c>
      <c r="J5016">
        <v>0</v>
      </c>
      <c r="K5016">
        <v>0</v>
      </c>
      <c r="L5016">
        <v>0</v>
      </c>
      <c r="M5016">
        <v>0</v>
      </c>
      <c r="N5016">
        <v>0</v>
      </c>
      <c r="O5016">
        <v>0</v>
      </c>
    </row>
    <row r="5017" spans="1:15" x14ac:dyDescent="0.35">
      <c r="A5017" t="s">
        <v>5551</v>
      </c>
      <c r="B5017" t="s">
        <v>5552</v>
      </c>
      <c r="C5017" t="s">
        <v>1644</v>
      </c>
      <c r="D5017" t="s">
        <v>293</v>
      </c>
      <c r="E5017" t="s">
        <v>308</v>
      </c>
      <c r="F5017" t="s">
        <v>5560</v>
      </c>
      <c r="G5017">
        <v>0</v>
      </c>
      <c r="H5017">
        <v>0</v>
      </c>
      <c r="I5017">
        <v>0</v>
      </c>
      <c r="J5017">
        <v>0</v>
      </c>
      <c r="K5017">
        <v>0</v>
      </c>
      <c r="L5017">
        <v>0</v>
      </c>
      <c r="M5017">
        <v>0</v>
      </c>
      <c r="N5017">
        <v>0</v>
      </c>
      <c r="O5017">
        <v>0</v>
      </c>
    </row>
    <row r="5018" spans="1:15" x14ac:dyDescent="0.35">
      <c r="A5018" t="s">
        <v>5551</v>
      </c>
      <c r="B5018" t="s">
        <v>5552</v>
      </c>
      <c r="C5018" t="s">
        <v>1644</v>
      </c>
      <c r="D5018" t="s">
        <v>293</v>
      </c>
      <c r="E5018" t="s">
        <v>310</v>
      </c>
      <c r="F5018" t="s">
        <v>5561</v>
      </c>
      <c r="G5018">
        <v>507</v>
      </c>
      <c r="H5018">
        <v>83426.05</v>
      </c>
      <c r="I5018">
        <v>164.55</v>
      </c>
      <c r="J5018">
        <v>76</v>
      </c>
      <c r="K5018">
        <v>11919.5</v>
      </c>
      <c r="L5018">
        <v>156.84</v>
      </c>
      <c r="M5018">
        <v>583</v>
      </c>
      <c r="N5018">
        <v>95345.55</v>
      </c>
      <c r="O5018">
        <v>163.54</v>
      </c>
    </row>
    <row r="5019" spans="1:15" x14ac:dyDescent="0.35">
      <c r="A5019" t="s">
        <v>5551</v>
      </c>
      <c r="B5019" t="s">
        <v>5552</v>
      </c>
      <c r="C5019" t="s">
        <v>1644</v>
      </c>
      <c r="D5019" t="s">
        <v>293</v>
      </c>
      <c r="E5019" t="s">
        <v>312</v>
      </c>
      <c r="F5019" t="s">
        <v>5562</v>
      </c>
      <c r="G5019">
        <v>507</v>
      </c>
      <c r="H5019">
        <v>83426.05</v>
      </c>
      <c r="I5019">
        <v>164.55</v>
      </c>
      <c r="J5019">
        <v>76</v>
      </c>
      <c r="K5019">
        <v>11919.5</v>
      </c>
      <c r="L5019">
        <v>156.84</v>
      </c>
      <c r="M5019">
        <v>583</v>
      </c>
      <c r="N5019">
        <v>95345.55</v>
      </c>
      <c r="O5019">
        <v>163.54</v>
      </c>
    </row>
    <row r="5020" spans="1:15" x14ac:dyDescent="0.35">
      <c r="A5020" t="s">
        <v>5551</v>
      </c>
      <c r="B5020" t="s">
        <v>5552</v>
      </c>
      <c r="C5020" t="s">
        <v>1644</v>
      </c>
      <c r="D5020" t="s">
        <v>314</v>
      </c>
      <c r="E5020" t="s">
        <v>294</v>
      </c>
      <c r="F5020" t="s">
        <v>5563</v>
      </c>
      <c r="G5020">
        <v>0</v>
      </c>
      <c r="H5020">
        <v>0</v>
      </c>
      <c r="I5020">
        <v>0</v>
      </c>
      <c r="J5020">
        <v>0</v>
      </c>
      <c r="K5020">
        <v>0</v>
      </c>
      <c r="L5020">
        <v>0</v>
      </c>
      <c r="M5020">
        <v>0</v>
      </c>
      <c r="N5020">
        <v>0</v>
      </c>
      <c r="O5020">
        <v>0</v>
      </c>
    </row>
    <row r="5021" spans="1:15" x14ac:dyDescent="0.35">
      <c r="A5021" t="s">
        <v>5551</v>
      </c>
      <c r="B5021" t="s">
        <v>5552</v>
      </c>
      <c r="C5021" t="s">
        <v>1644</v>
      </c>
      <c r="D5021" t="s">
        <v>314</v>
      </c>
      <c r="E5021" t="s">
        <v>296</v>
      </c>
      <c r="F5021" t="s">
        <v>5564</v>
      </c>
      <c r="G5021">
        <v>0</v>
      </c>
      <c r="H5021">
        <v>0</v>
      </c>
      <c r="I5021">
        <v>0</v>
      </c>
      <c r="J5021">
        <v>0</v>
      </c>
      <c r="K5021">
        <v>0</v>
      </c>
      <c r="L5021">
        <v>0</v>
      </c>
      <c r="M5021">
        <v>0</v>
      </c>
      <c r="N5021">
        <v>0</v>
      </c>
      <c r="O5021">
        <v>0</v>
      </c>
    </row>
    <row r="5022" spans="1:15" x14ac:dyDescent="0.35">
      <c r="A5022" t="s">
        <v>5551</v>
      </c>
      <c r="B5022" t="s">
        <v>5552</v>
      </c>
      <c r="C5022" t="s">
        <v>1644</v>
      </c>
      <c r="D5022" t="s">
        <v>314</v>
      </c>
      <c r="E5022" t="s">
        <v>298</v>
      </c>
      <c r="F5022" t="s">
        <v>5565</v>
      </c>
      <c r="G5022">
        <v>0</v>
      </c>
      <c r="H5022">
        <v>0</v>
      </c>
      <c r="I5022">
        <v>0</v>
      </c>
      <c r="J5022">
        <v>0</v>
      </c>
      <c r="K5022">
        <v>0</v>
      </c>
      <c r="L5022">
        <v>0</v>
      </c>
      <c r="M5022">
        <v>0</v>
      </c>
      <c r="N5022">
        <v>0</v>
      </c>
      <c r="O5022">
        <v>0</v>
      </c>
    </row>
    <row r="5023" spans="1:15" x14ac:dyDescent="0.35">
      <c r="A5023" t="s">
        <v>5551</v>
      </c>
      <c r="B5023" t="s">
        <v>5552</v>
      </c>
      <c r="C5023" t="s">
        <v>1644</v>
      </c>
      <c r="D5023" t="s">
        <v>314</v>
      </c>
      <c r="E5023" t="s">
        <v>300</v>
      </c>
      <c r="F5023" t="s">
        <v>5566</v>
      </c>
      <c r="G5023">
        <v>0</v>
      </c>
      <c r="H5023">
        <v>0</v>
      </c>
      <c r="I5023">
        <v>0</v>
      </c>
      <c r="J5023">
        <v>0</v>
      </c>
      <c r="K5023">
        <v>0</v>
      </c>
      <c r="L5023">
        <v>0</v>
      </c>
      <c r="M5023">
        <v>0</v>
      </c>
      <c r="N5023">
        <v>0</v>
      </c>
      <c r="O5023">
        <v>0</v>
      </c>
    </row>
    <row r="5024" spans="1:15" x14ac:dyDescent="0.35">
      <c r="A5024" t="s">
        <v>5551</v>
      </c>
      <c r="B5024" t="s">
        <v>5552</v>
      </c>
      <c r="C5024" t="s">
        <v>1644</v>
      </c>
      <c r="D5024" t="s">
        <v>314</v>
      </c>
      <c r="E5024" t="s">
        <v>306</v>
      </c>
      <c r="F5024" t="s">
        <v>5567</v>
      </c>
      <c r="G5024">
        <v>0</v>
      </c>
      <c r="H5024">
        <v>0</v>
      </c>
      <c r="I5024">
        <v>0</v>
      </c>
      <c r="J5024">
        <v>0</v>
      </c>
      <c r="K5024">
        <v>0</v>
      </c>
      <c r="L5024">
        <v>0</v>
      </c>
      <c r="M5024">
        <v>0</v>
      </c>
      <c r="N5024">
        <v>0</v>
      </c>
      <c r="O5024">
        <v>0</v>
      </c>
    </row>
    <row r="5025" spans="1:15" x14ac:dyDescent="0.35">
      <c r="A5025" t="s">
        <v>5551</v>
      </c>
      <c r="B5025" t="s">
        <v>5552</v>
      </c>
      <c r="C5025" t="s">
        <v>1644</v>
      </c>
      <c r="D5025" t="s">
        <v>314</v>
      </c>
      <c r="E5025" t="s">
        <v>308</v>
      </c>
      <c r="F5025" t="s">
        <v>5568</v>
      </c>
      <c r="G5025">
        <v>0</v>
      </c>
      <c r="H5025">
        <v>0</v>
      </c>
      <c r="I5025">
        <v>0</v>
      </c>
      <c r="J5025">
        <v>0</v>
      </c>
      <c r="K5025">
        <v>0</v>
      </c>
      <c r="L5025">
        <v>0</v>
      </c>
      <c r="M5025">
        <v>0</v>
      </c>
      <c r="N5025">
        <v>0</v>
      </c>
      <c r="O5025">
        <v>0</v>
      </c>
    </row>
    <row r="5026" spans="1:15" x14ac:dyDescent="0.35">
      <c r="A5026" t="s">
        <v>5551</v>
      </c>
      <c r="B5026" t="s">
        <v>5552</v>
      </c>
      <c r="C5026" t="s">
        <v>1644</v>
      </c>
      <c r="D5026" t="s">
        <v>314</v>
      </c>
      <c r="E5026" t="s">
        <v>312</v>
      </c>
      <c r="F5026" t="s">
        <v>5569</v>
      </c>
      <c r="G5026">
        <v>0</v>
      </c>
      <c r="H5026">
        <v>0</v>
      </c>
      <c r="I5026">
        <v>0</v>
      </c>
      <c r="J5026">
        <v>0</v>
      </c>
      <c r="K5026">
        <v>0</v>
      </c>
      <c r="L5026">
        <v>0</v>
      </c>
      <c r="M5026">
        <v>0</v>
      </c>
      <c r="N5026">
        <v>0</v>
      </c>
      <c r="O5026">
        <v>0</v>
      </c>
    </row>
    <row r="5027" spans="1:15" x14ac:dyDescent="0.35">
      <c r="A5027" t="s">
        <v>5551</v>
      </c>
      <c r="B5027" t="s">
        <v>5552</v>
      </c>
      <c r="C5027" t="s">
        <v>1644</v>
      </c>
      <c r="D5027" t="s">
        <v>314</v>
      </c>
      <c r="E5027" t="s">
        <v>310</v>
      </c>
      <c r="F5027" t="s">
        <v>5570</v>
      </c>
      <c r="G5027">
        <v>0</v>
      </c>
      <c r="H5027">
        <v>0</v>
      </c>
      <c r="I5027">
        <v>0</v>
      </c>
      <c r="J5027">
        <v>0</v>
      </c>
      <c r="K5027">
        <v>0</v>
      </c>
      <c r="L5027">
        <v>0</v>
      </c>
      <c r="M5027">
        <v>0</v>
      </c>
      <c r="N5027">
        <v>0</v>
      </c>
      <c r="O5027">
        <v>0</v>
      </c>
    </row>
    <row r="5028" spans="1:15" x14ac:dyDescent="0.35">
      <c r="A5028" t="s">
        <v>5551</v>
      </c>
      <c r="B5028" t="s">
        <v>5552</v>
      </c>
      <c r="C5028" t="s">
        <v>1644</v>
      </c>
      <c r="D5028" t="s">
        <v>323</v>
      </c>
      <c r="E5028" t="s">
        <v>294</v>
      </c>
      <c r="F5028" t="s">
        <v>5571</v>
      </c>
      <c r="G5028">
        <v>414</v>
      </c>
      <c r="H5028">
        <v>40062.03</v>
      </c>
      <c r="I5028">
        <v>96.77</v>
      </c>
      <c r="J5028">
        <v>976</v>
      </c>
      <c r="K5028">
        <v>90494.720000000001</v>
      </c>
      <c r="L5028">
        <v>92.72</v>
      </c>
      <c r="M5028">
        <v>1390</v>
      </c>
      <c r="N5028">
        <v>130556.75</v>
      </c>
      <c r="O5028">
        <v>93.93</v>
      </c>
    </row>
    <row r="5029" spans="1:15" x14ac:dyDescent="0.35">
      <c r="A5029" t="s">
        <v>5551</v>
      </c>
      <c r="B5029" t="s">
        <v>5552</v>
      </c>
      <c r="C5029" t="s">
        <v>1644</v>
      </c>
      <c r="D5029" t="s">
        <v>323</v>
      </c>
      <c r="E5029" t="s">
        <v>296</v>
      </c>
      <c r="F5029" t="s">
        <v>5572</v>
      </c>
      <c r="G5029">
        <v>736</v>
      </c>
      <c r="H5029">
        <v>82222.7</v>
      </c>
      <c r="I5029">
        <v>111.72</v>
      </c>
      <c r="J5029">
        <v>1891</v>
      </c>
      <c r="K5029">
        <v>193411.48</v>
      </c>
      <c r="L5029">
        <v>102.28</v>
      </c>
      <c r="M5029">
        <v>2627</v>
      </c>
      <c r="N5029">
        <v>275634.18</v>
      </c>
      <c r="O5029">
        <v>104.92</v>
      </c>
    </row>
    <row r="5030" spans="1:15" x14ac:dyDescent="0.35">
      <c r="A5030" t="s">
        <v>5551</v>
      </c>
      <c r="B5030" t="s">
        <v>5552</v>
      </c>
      <c r="C5030" t="s">
        <v>1644</v>
      </c>
      <c r="D5030" t="s">
        <v>323</v>
      </c>
      <c r="E5030" t="s">
        <v>298</v>
      </c>
      <c r="F5030" t="s">
        <v>5573</v>
      </c>
      <c r="G5030">
        <v>507</v>
      </c>
      <c r="H5030">
        <v>62835.929999999993</v>
      </c>
      <c r="I5030">
        <v>123.94</v>
      </c>
      <c r="J5030">
        <v>1357</v>
      </c>
      <c r="K5030">
        <v>154928.69</v>
      </c>
      <c r="L5030">
        <v>114.17</v>
      </c>
      <c r="M5030">
        <v>1864</v>
      </c>
      <c r="N5030">
        <v>217764.62</v>
      </c>
      <c r="O5030">
        <v>116.83</v>
      </c>
    </row>
    <row r="5031" spans="1:15" x14ac:dyDescent="0.35">
      <c r="A5031" t="s">
        <v>5551</v>
      </c>
      <c r="B5031" t="s">
        <v>5552</v>
      </c>
      <c r="C5031" t="s">
        <v>1644</v>
      </c>
      <c r="D5031" t="s">
        <v>323</v>
      </c>
      <c r="E5031" t="s">
        <v>300</v>
      </c>
      <c r="F5031" t="s">
        <v>5574</v>
      </c>
      <c r="G5031">
        <v>34</v>
      </c>
      <c r="H5031">
        <v>4775.93</v>
      </c>
      <c r="I5031">
        <v>140.47</v>
      </c>
      <c r="J5031">
        <v>88</v>
      </c>
      <c r="K5031">
        <v>11025.52</v>
      </c>
      <c r="L5031">
        <v>125.29</v>
      </c>
      <c r="M5031">
        <v>122</v>
      </c>
      <c r="N5031">
        <v>15801.45</v>
      </c>
      <c r="O5031">
        <v>129.52000000000001</v>
      </c>
    </row>
    <row r="5032" spans="1:15" x14ac:dyDescent="0.35">
      <c r="A5032" t="s">
        <v>5551</v>
      </c>
      <c r="B5032" t="s">
        <v>5552</v>
      </c>
      <c r="C5032" t="s">
        <v>1644</v>
      </c>
      <c r="D5032" t="s">
        <v>323</v>
      </c>
      <c r="E5032" t="s">
        <v>302</v>
      </c>
      <c r="F5032" t="s">
        <v>5575</v>
      </c>
      <c r="G5032">
        <v>0</v>
      </c>
      <c r="H5032">
        <v>0</v>
      </c>
      <c r="I5032">
        <v>0</v>
      </c>
      <c r="J5032">
        <v>6</v>
      </c>
      <c r="K5032">
        <v>871.80000000000007</v>
      </c>
      <c r="L5032">
        <v>145.30000000000001</v>
      </c>
      <c r="M5032">
        <v>6</v>
      </c>
      <c r="N5032">
        <v>871.80000000000007</v>
      </c>
      <c r="O5032">
        <v>145.30000000000001</v>
      </c>
    </row>
    <row r="5033" spans="1:15" x14ac:dyDescent="0.35">
      <c r="A5033" t="s">
        <v>5551</v>
      </c>
      <c r="B5033" t="s">
        <v>5552</v>
      </c>
      <c r="C5033" t="s">
        <v>1644</v>
      </c>
      <c r="D5033" t="s">
        <v>323</v>
      </c>
      <c r="E5033" t="s">
        <v>304</v>
      </c>
      <c r="F5033" t="s">
        <v>5576</v>
      </c>
      <c r="G5033">
        <v>1</v>
      </c>
      <c r="H5033">
        <v>144.49</v>
      </c>
      <c r="I5033">
        <v>144.49</v>
      </c>
      <c r="J5033">
        <v>0</v>
      </c>
      <c r="K5033">
        <v>0</v>
      </c>
      <c r="L5033">
        <v>0</v>
      </c>
      <c r="M5033">
        <v>1</v>
      </c>
      <c r="N5033">
        <v>144.49</v>
      </c>
      <c r="O5033">
        <v>144.49</v>
      </c>
    </row>
    <row r="5034" spans="1:15" x14ac:dyDescent="0.35">
      <c r="A5034" t="s">
        <v>5551</v>
      </c>
      <c r="B5034" t="s">
        <v>5552</v>
      </c>
      <c r="C5034" t="s">
        <v>1644</v>
      </c>
      <c r="D5034" t="s">
        <v>323</v>
      </c>
      <c r="E5034" t="s">
        <v>306</v>
      </c>
      <c r="F5034" t="s">
        <v>5577</v>
      </c>
      <c r="G5034">
        <v>18</v>
      </c>
      <c r="H5034">
        <v>1395.72</v>
      </c>
      <c r="I5034">
        <v>77.540000000000006</v>
      </c>
      <c r="J5034">
        <v>42</v>
      </c>
      <c r="K5034">
        <v>3231.0600000000004</v>
      </c>
      <c r="L5034">
        <v>76.930000000000007</v>
      </c>
      <c r="M5034">
        <v>60</v>
      </c>
      <c r="N5034">
        <v>4626.7800000000007</v>
      </c>
      <c r="O5034">
        <v>77.11</v>
      </c>
    </row>
    <row r="5035" spans="1:15" x14ac:dyDescent="0.35">
      <c r="A5035" t="s">
        <v>5551</v>
      </c>
      <c r="B5035" t="s">
        <v>5552</v>
      </c>
      <c r="C5035" t="s">
        <v>1644</v>
      </c>
      <c r="D5035" t="s">
        <v>323</v>
      </c>
      <c r="E5035" t="s">
        <v>308</v>
      </c>
      <c r="F5035" t="s">
        <v>5578</v>
      </c>
      <c r="G5035">
        <v>0</v>
      </c>
      <c r="H5035">
        <v>0</v>
      </c>
      <c r="I5035">
        <v>0</v>
      </c>
      <c r="J5035">
        <v>0</v>
      </c>
      <c r="K5035">
        <v>0</v>
      </c>
      <c r="L5035">
        <v>0</v>
      </c>
      <c r="M5035">
        <v>0</v>
      </c>
      <c r="N5035">
        <v>0</v>
      </c>
      <c r="O5035">
        <v>0</v>
      </c>
    </row>
    <row r="5036" spans="1:15" x14ac:dyDescent="0.35">
      <c r="A5036" t="s">
        <v>5551</v>
      </c>
      <c r="B5036" t="s">
        <v>5552</v>
      </c>
      <c r="C5036" t="s">
        <v>1644</v>
      </c>
      <c r="D5036" t="s">
        <v>323</v>
      </c>
      <c r="E5036" t="s">
        <v>310</v>
      </c>
      <c r="F5036" t="s">
        <v>5579</v>
      </c>
      <c r="G5036">
        <v>1710</v>
      </c>
      <c r="H5036">
        <v>191436.79999999996</v>
      </c>
      <c r="I5036">
        <v>111.95</v>
      </c>
      <c r="J5036">
        <v>4360</v>
      </c>
      <c r="K5036">
        <v>453963.27</v>
      </c>
      <c r="L5036">
        <v>104.12</v>
      </c>
      <c r="M5036">
        <v>6070</v>
      </c>
      <c r="N5036">
        <v>645400.06999999995</v>
      </c>
      <c r="O5036">
        <v>106.33</v>
      </c>
    </row>
    <row r="5037" spans="1:15" x14ac:dyDescent="0.35">
      <c r="A5037" t="s">
        <v>5551</v>
      </c>
      <c r="B5037" t="s">
        <v>5552</v>
      </c>
      <c r="C5037" t="s">
        <v>1644</v>
      </c>
      <c r="D5037" t="s">
        <v>323</v>
      </c>
      <c r="E5037" t="s">
        <v>312</v>
      </c>
      <c r="F5037" t="s">
        <v>5580</v>
      </c>
      <c r="G5037">
        <v>1710</v>
      </c>
      <c r="H5037">
        <v>191436.79999999996</v>
      </c>
      <c r="I5037">
        <v>111.95</v>
      </c>
      <c r="J5037">
        <v>4360</v>
      </c>
      <c r="K5037">
        <v>453963.27</v>
      </c>
      <c r="L5037">
        <v>104.12</v>
      </c>
      <c r="M5037">
        <v>6070</v>
      </c>
      <c r="N5037">
        <v>645400.06999999995</v>
      </c>
      <c r="O5037">
        <v>106.33</v>
      </c>
    </row>
    <row r="5038" spans="1:15" x14ac:dyDescent="0.35">
      <c r="A5038" t="s">
        <v>5551</v>
      </c>
      <c r="B5038" t="s">
        <v>5552</v>
      </c>
      <c r="C5038" t="s">
        <v>1644</v>
      </c>
      <c r="D5038" t="s">
        <v>334</v>
      </c>
      <c r="E5038" t="s">
        <v>312</v>
      </c>
      <c r="F5038" t="s">
        <v>5581</v>
      </c>
      <c r="G5038">
        <v>2314</v>
      </c>
      <c r="H5038">
        <v>274862.84999999992</v>
      </c>
      <c r="I5038">
        <v>123.98</v>
      </c>
      <c r="J5038">
        <v>4436</v>
      </c>
      <c r="K5038">
        <v>465882.77</v>
      </c>
      <c r="L5038">
        <v>105.02</v>
      </c>
      <c r="M5038">
        <v>6750</v>
      </c>
      <c r="N5038">
        <v>740745.61999999988</v>
      </c>
      <c r="O5038">
        <v>111.34</v>
      </c>
    </row>
    <row r="5039" spans="1:15" x14ac:dyDescent="0.35">
      <c r="A5039" t="s">
        <v>5551</v>
      </c>
      <c r="B5039" t="s">
        <v>5552</v>
      </c>
      <c r="C5039" t="s">
        <v>1644</v>
      </c>
      <c r="D5039" t="s">
        <v>334</v>
      </c>
      <c r="E5039" t="s">
        <v>308</v>
      </c>
      <c r="F5039" t="s">
        <v>5582</v>
      </c>
      <c r="G5039">
        <v>0</v>
      </c>
      <c r="H5039">
        <v>0</v>
      </c>
      <c r="I5039">
        <v>0</v>
      </c>
      <c r="J5039">
        <v>0</v>
      </c>
      <c r="K5039">
        <v>0</v>
      </c>
      <c r="L5039">
        <v>0</v>
      </c>
      <c r="M5039">
        <v>0</v>
      </c>
      <c r="N5039">
        <v>0</v>
      </c>
      <c r="O5039">
        <v>0</v>
      </c>
    </row>
    <row r="5040" spans="1:15" x14ac:dyDescent="0.35">
      <c r="A5040" t="s">
        <v>5551</v>
      </c>
      <c r="B5040" t="s">
        <v>5552</v>
      </c>
      <c r="C5040" t="s">
        <v>1644</v>
      </c>
      <c r="D5040" t="s">
        <v>337</v>
      </c>
      <c r="E5040" t="s">
        <v>337</v>
      </c>
      <c r="F5040" t="s">
        <v>5583</v>
      </c>
      <c r="G5040">
        <v>402</v>
      </c>
      <c r="J5040">
        <v>43</v>
      </c>
      <c r="M5040">
        <v>445</v>
      </c>
    </row>
    <row r="5041" spans="1:15" x14ac:dyDescent="0.35">
      <c r="A5041" t="s">
        <v>5551</v>
      </c>
      <c r="B5041" t="s">
        <v>5552</v>
      </c>
      <c r="C5041" t="s">
        <v>1644</v>
      </c>
      <c r="D5041" t="s">
        <v>339</v>
      </c>
      <c r="E5041" t="s">
        <v>294</v>
      </c>
      <c r="F5041" t="s">
        <v>5584</v>
      </c>
      <c r="G5041">
        <v>450</v>
      </c>
      <c r="H5041">
        <v>56437.04</v>
      </c>
      <c r="I5041">
        <v>125.42</v>
      </c>
      <c r="J5041">
        <v>0</v>
      </c>
      <c r="K5041">
        <v>0</v>
      </c>
      <c r="L5041">
        <v>0</v>
      </c>
      <c r="M5041">
        <v>450</v>
      </c>
      <c r="N5041">
        <v>56437.04</v>
      </c>
      <c r="O5041">
        <v>125.42</v>
      </c>
    </row>
    <row r="5042" spans="1:15" x14ac:dyDescent="0.35">
      <c r="A5042" t="s">
        <v>5551</v>
      </c>
      <c r="B5042" t="s">
        <v>5552</v>
      </c>
      <c r="C5042" t="s">
        <v>1644</v>
      </c>
      <c r="D5042" t="s">
        <v>339</v>
      </c>
      <c r="E5042" t="s">
        <v>296</v>
      </c>
      <c r="F5042" t="s">
        <v>5585</v>
      </c>
      <c r="G5042">
        <v>77</v>
      </c>
      <c r="H5042">
        <v>13998.86</v>
      </c>
      <c r="I5042">
        <v>181.8</v>
      </c>
      <c r="J5042">
        <v>0</v>
      </c>
      <c r="K5042">
        <v>0</v>
      </c>
      <c r="L5042">
        <v>0</v>
      </c>
      <c r="M5042">
        <v>77</v>
      </c>
      <c r="N5042">
        <v>13998.86</v>
      </c>
      <c r="O5042">
        <v>181.8</v>
      </c>
    </row>
    <row r="5043" spans="1:15" x14ac:dyDescent="0.35">
      <c r="A5043" t="s">
        <v>5551</v>
      </c>
      <c r="B5043" t="s">
        <v>5552</v>
      </c>
      <c r="C5043" t="s">
        <v>1644</v>
      </c>
      <c r="D5043" t="s">
        <v>339</v>
      </c>
      <c r="E5043" t="s">
        <v>298</v>
      </c>
      <c r="F5043" t="s">
        <v>5586</v>
      </c>
      <c r="G5043">
        <v>4</v>
      </c>
      <c r="H5043">
        <v>640.9799999999999</v>
      </c>
      <c r="I5043">
        <v>160.25</v>
      </c>
      <c r="J5043">
        <v>0</v>
      </c>
      <c r="K5043">
        <v>0</v>
      </c>
      <c r="L5043">
        <v>0</v>
      </c>
      <c r="M5043">
        <v>4</v>
      </c>
      <c r="N5043">
        <v>640.9799999999999</v>
      </c>
      <c r="O5043">
        <v>160.25</v>
      </c>
    </row>
    <row r="5044" spans="1:15" x14ac:dyDescent="0.35">
      <c r="A5044" t="s">
        <v>5551</v>
      </c>
      <c r="B5044" t="s">
        <v>5552</v>
      </c>
      <c r="C5044" t="s">
        <v>1644</v>
      </c>
      <c r="D5044" t="s">
        <v>339</v>
      </c>
      <c r="E5044" t="s">
        <v>300</v>
      </c>
      <c r="F5044" t="s">
        <v>5587</v>
      </c>
      <c r="G5044">
        <v>0</v>
      </c>
      <c r="H5044">
        <v>0</v>
      </c>
      <c r="I5044">
        <v>0</v>
      </c>
      <c r="J5044">
        <v>0</v>
      </c>
      <c r="K5044">
        <v>0</v>
      </c>
      <c r="L5044">
        <v>0</v>
      </c>
      <c r="M5044">
        <v>0</v>
      </c>
      <c r="N5044">
        <v>0</v>
      </c>
      <c r="O5044">
        <v>0</v>
      </c>
    </row>
    <row r="5045" spans="1:15" x14ac:dyDescent="0.35">
      <c r="A5045" t="s">
        <v>5551</v>
      </c>
      <c r="B5045" t="s">
        <v>5552</v>
      </c>
      <c r="C5045" t="s">
        <v>1644</v>
      </c>
      <c r="D5045" t="s">
        <v>339</v>
      </c>
      <c r="E5045" t="s">
        <v>306</v>
      </c>
      <c r="F5045" t="s">
        <v>5588</v>
      </c>
      <c r="G5045">
        <v>71</v>
      </c>
      <c r="H5045">
        <v>7325.329999999999</v>
      </c>
      <c r="I5045">
        <v>103.17</v>
      </c>
      <c r="J5045">
        <v>0</v>
      </c>
      <c r="K5045">
        <v>0</v>
      </c>
      <c r="L5045">
        <v>0</v>
      </c>
      <c r="M5045">
        <v>71</v>
      </c>
      <c r="N5045">
        <v>7325.329999999999</v>
      </c>
      <c r="O5045">
        <v>103.17</v>
      </c>
    </row>
    <row r="5046" spans="1:15" x14ac:dyDescent="0.35">
      <c r="A5046" t="s">
        <v>5551</v>
      </c>
      <c r="B5046" t="s">
        <v>5552</v>
      </c>
      <c r="C5046" t="s">
        <v>1644</v>
      </c>
      <c r="D5046" t="s">
        <v>339</v>
      </c>
      <c r="E5046" t="s">
        <v>308</v>
      </c>
      <c r="F5046" t="s">
        <v>5589</v>
      </c>
      <c r="G5046">
        <v>81</v>
      </c>
      <c r="H5046">
        <v>19655.830000000002</v>
      </c>
      <c r="I5046">
        <v>242.66</v>
      </c>
      <c r="J5046">
        <v>0</v>
      </c>
      <c r="K5046">
        <v>0</v>
      </c>
      <c r="L5046">
        <v>0</v>
      </c>
      <c r="M5046">
        <v>81</v>
      </c>
      <c r="N5046">
        <v>19655.830000000002</v>
      </c>
      <c r="O5046">
        <v>242.66</v>
      </c>
    </row>
    <row r="5047" spans="1:15" x14ac:dyDescent="0.35">
      <c r="A5047" t="s">
        <v>5551</v>
      </c>
      <c r="B5047" t="s">
        <v>5552</v>
      </c>
      <c r="C5047" t="s">
        <v>1644</v>
      </c>
      <c r="D5047" t="s">
        <v>339</v>
      </c>
      <c r="E5047" t="s">
        <v>310</v>
      </c>
      <c r="F5047" t="s">
        <v>5590</v>
      </c>
      <c r="G5047">
        <v>683</v>
      </c>
      <c r="H5047">
        <v>98058.04</v>
      </c>
      <c r="I5047">
        <v>143.57</v>
      </c>
      <c r="J5047">
        <v>0</v>
      </c>
      <c r="K5047">
        <v>0</v>
      </c>
      <c r="L5047">
        <v>0</v>
      </c>
      <c r="M5047">
        <v>683</v>
      </c>
      <c r="N5047">
        <v>98058.04</v>
      </c>
      <c r="O5047">
        <v>143.57</v>
      </c>
    </row>
    <row r="5048" spans="1:15" x14ac:dyDescent="0.35">
      <c r="A5048" t="s">
        <v>5551</v>
      </c>
      <c r="B5048" t="s">
        <v>5552</v>
      </c>
      <c r="C5048" t="s">
        <v>1644</v>
      </c>
      <c r="D5048" t="s">
        <v>339</v>
      </c>
      <c r="E5048" t="s">
        <v>312</v>
      </c>
      <c r="F5048" t="s">
        <v>5591</v>
      </c>
      <c r="G5048">
        <v>602</v>
      </c>
      <c r="H5048">
        <v>78402.209999999992</v>
      </c>
      <c r="I5048">
        <v>130.24</v>
      </c>
      <c r="J5048">
        <v>0</v>
      </c>
      <c r="K5048">
        <v>0</v>
      </c>
      <c r="L5048">
        <v>0</v>
      </c>
      <c r="M5048">
        <v>602</v>
      </c>
      <c r="N5048">
        <v>78402.209999999992</v>
      </c>
      <c r="O5048">
        <v>130.24</v>
      </c>
    </row>
    <row r="5049" spans="1:15" x14ac:dyDescent="0.35">
      <c r="A5049" t="s">
        <v>5551</v>
      </c>
      <c r="B5049" t="s">
        <v>5552</v>
      </c>
      <c r="C5049" t="s">
        <v>1644</v>
      </c>
      <c r="D5049" t="s">
        <v>348</v>
      </c>
      <c r="E5049" t="s">
        <v>349</v>
      </c>
      <c r="F5049" t="s">
        <v>5592</v>
      </c>
      <c r="G5049">
        <v>723</v>
      </c>
      <c r="H5049">
        <v>98058.04</v>
      </c>
      <c r="I5049">
        <v>143.57</v>
      </c>
      <c r="J5049">
        <v>0</v>
      </c>
      <c r="K5049">
        <v>0</v>
      </c>
      <c r="L5049">
        <v>0</v>
      </c>
      <c r="M5049">
        <v>723</v>
      </c>
      <c r="N5049">
        <v>98058.04</v>
      </c>
      <c r="O5049">
        <v>143.57</v>
      </c>
    </row>
    <row r="5050" spans="1:15" x14ac:dyDescent="0.35">
      <c r="A5050" t="s">
        <v>5593</v>
      </c>
      <c r="B5050" t="s">
        <v>5594</v>
      </c>
      <c r="C5050" t="s">
        <v>1644</v>
      </c>
      <c r="D5050" t="s">
        <v>293</v>
      </c>
      <c r="E5050" t="s">
        <v>294</v>
      </c>
      <c r="F5050" t="s">
        <v>5595</v>
      </c>
      <c r="G5050">
        <v>153</v>
      </c>
      <c r="H5050">
        <v>23980.22</v>
      </c>
      <c r="I5050">
        <v>156.72999999999999</v>
      </c>
      <c r="J5050">
        <v>86</v>
      </c>
      <c r="K5050">
        <v>15010.439999999999</v>
      </c>
      <c r="L5050">
        <v>174.54</v>
      </c>
      <c r="M5050">
        <v>239</v>
      </c>
      <c r="N5050">
        <v>38990.660000000003</v>
      </c>
      <c r="O5050">
        <v>163.13999999999999</v>
      </c>
    </row>
    <row r="5051" spans="1:15" x14ac:dyDescent="0.35">
      <c r="A5051" t="s">
        <v>5593</v>
      </c>
      <c r="B5051" t="s">
        <v>5594</v>
      </c>
      <c r="C5051" t="s">
        <v>1644</v>
      </c>
      <c r="D5051" t="s">
        <v>293</v>
      </c>
      <c r="E5051" t="s">
        <v>296</v>
      </c>
      <c r="F5051" t="s">
        <v>5596</v>
      </c>
      <c r="G5051">
        <v>258</v>
      </c>
      <c r="H5051">
        <v>50762.079999999994</v>
      </c>
      <c r="I5051">
        <v>196.75</v>
      </c>
      <c r="J5051">
        <v>91</v>
      </c>
      <c r="K5051">
        <v>17957.939999999999</v>
      </c>
      <c r="L5051">
        <v>197.34</v>
      </c>
      <c r="M5051">
        <v>349</v>
      </c>
      <c r="N5051">
        <v>68720.01999999999</v>
      </c>
      <c r="O5051">
        <v>196.91</v>
      </c>
    </row>
    <row r="5052" spans="1:15" x14ac:dyDescent="0.35">
      <c r="A5052" t="s">
        <v>5593</v>
      </c>
      <c r="B5052" t="s">
        <v>5594</v>
      </c>
      <c r="C5052" t="s">
        <v>1644</v>
      </c>
      <c r="D5052" t="s">
        <v>293</v>
      </c>
      <c r="E5052" t="s">
        <v>298</v>
      </c>
      <c r="F5052" t="s">
        <v>5597</v>
      </c>
      <c r="G5052">
        <v>73</v>
      </c>
      <c r="H5052">
        <v>16406.579999999998</v>
      </c>
      <c r="I5052">
        <v>224.75</v>
      </c>
      <c r="J5052">
        <v>39</v>
      </c>
      <c r="K5052">
        <v>8960.25</v>
      </c>
      <c r="L5052">
        <v>229.75</v>
      </c>
      <c r="M5052">
        <v>112</v>
      </c>
      <c r="N5052">
        <v>25366.829999999998</v>
      </c>
      <c r="O5052">
        <v>226.49</v>
      </c>
    </row>
    <row r="5053" spans="1:15" x14ac:dyDescent="0.35">
      <c r="A5053" t="s">
        <v>5593</v>
      </c>
      <c r="B5053" t="s">
        <v>5594</v>
      </c>
      <c r="C5053" t="s">
        <v>1644</v>
      </c>
      <c r="D5053" t="s">
        <v>293</v>
      </c>
      <c r="E5053" t="s">
        <v>300</v>
      </c>
      <c r="F5053" t="s">
        <v>5598</v>
      </c>
      <c r="G5053">
        <v>9</v>
      </c>
      <c r="H5053">
        <v>2218.67</v>
      </c>
      <c r="I5053">
        <v>246.52</v>
      </c>
      <c r="J5053">
        <v>5</v>
      </c>
      <c r="K5053">
        <v>1365.6999999999998</v>
      </c>
      <c r="L5053">
        <v>273.14</v>
      </c>
      <c r="M5053">
        <v>14</v>
      </c>
      <c r="N5053">
        <v>3584.37</v>
      </c>
      <c r="O5053">
        <v>256.02999999999997</v>
      </c>
    </row>
    <row r="5054" spans="1:15" x14ac:dyDescent="0.35">
      <c r="A5054" t="s">
        <v>5593</v>
      </c>
      <c r="B5054" t="s">
        <v>5594</v>
      </c>
      <c r="C5054" t="s">
        <v>1644</v>
      </c>
      <c r="D5054" t="s">
        <v>293</v>
      </c>
      <c r="E5054" t="s">
        <v>302</v>
      </c>
      <c r="F5054" t="s">
        <v>5599</v>
      </c>
      <c r="G5054">
        <v>0</v>
      </c>
      <c r="H5054">
        <v>0</v>
      </c>
      <c r="I5054">
        <v>0</v>
      </c>
      <c r="J5054">
        <v>0</v>
      </c>
      <c r="K5054">
        <v>0</v>
      </c>
      <c r="L5054">
        <v>0</v>
      </c>
      <c r="M5054">
        <v>0</v>
      </c>
      <c r="N5054">
        <v>0</v>
      </c>
      <c r="O5054">
        <v>0</v>
      </c>
    </row>
    <row r="5055" spans="1:15" x14ac:dyDescent="0.35">
      <c r="A5055" t="s">
        <v>5593</v>
      </c>
      <c r="B5055" t="s">
        <v>5594</v>
      </c>
      <c r="C5055" t="s">
        <v>1644</v>
      </c>
      <c r="D5055" t="s">
        <v>293</v>
      </c>
      <c r="E5055" t="s">
        <v>304</v>
      </c>
      <c r="F5055" t="s">
        <v>5600</v>
      </c>
      <c r="G5055">
        <v>0</v>
      </c>
      <c r="H5055">
        <v>0</v>
      </c>
      <c r="I5055">
        <v>0</v>
      </c>
      <c r="J5055">
        <v>0</v>
      </c>
      <c r="K5055">
        <v>0</v>
      </c>
      <c r="L5055">
        <v>0</v>
      </c>
      <c r="M5055">
        <v>0</v>
      </c>
      <c r="N5055">
        <v>0</v>
      </c>
      <c r="O5055">
        <v>0</v>
      </c>
    </row>
    <row r="5056" spans="1:15" x14ac:dyDescent="0.35">
      <c r="A5056" t="s">
        <v>5593</v>
      </c>
      <c r="B5056" t="s">
        <v>5594</v>
      </c>
      <c r="C5056" t="s">
        <v>1644</v>
      </c>
      <c r="D5056" t="s">
        <v>293</v>
      </c>
      <c r="E5056" t="s">
        <v>306</v>
      </c>
      <c r="F5056" t="s">
        <v>5601</v>
      </c>
      <c r="G5056">
        <v>0</v>
      </c>
      <c r="H5056">
        <v>0</v>
      </c>
      <c r="I5056">
        <v>0</v>
      </c>
      <c r="J5056">
        <v>0</v>
      </c>
      <c r="K5056">
        <v>0</v>
      </c>
      <c r="L5056">
        <v>0</v>
      </c>
      <c r="M5056">
        <v>0</v>
      </c>
      <c r="N5056">
        <v>0</v>
      </c>
      <c r="O5056">
        <v>0</v>
      </c>
    </row>
    <row r="5057" spans="1:15" x14ac:dyDescent="0.35">
      <c r="A5057" t="s">
        <v>5593</v>
      </c>
      <c r="B5057" t="s">
        <v>5594</v>
      </c>
      <c r="C5057" t="s">
        <v>1644</v>
      </c>
      <c r="D5057" t="s">
        <v>293</v>
      </c>
      <c r="E5057" t="s">
        <v>308</v>
      </c>
      <c r="F5057" t="s">
        <v>5602</v>
      </c>
      <c r="G5057">
        <v>0</v>
      </c>
      <c r="H5057">
        <v>0</v>
      </c>
      <c r="I5057">
        <v>0</v>
      </c>
      <c r="J5057">
        <v>0</v>
      </c>
      <c r="K5057">
        <v>0</v>
      </c>
      <c r="L5057">
        <v>0</v>
      </c>
      <c r="M5057">
        <v>0</v>
      </c>
      <c r="N5057">
        <v>0</v>
      </c>
      <c r="O5057">
        <v>0</v>
      </c>
    </row>
    <row r="5058" spans="1:15" x14ac:dyDescent="0.35">
      <c r="A5058" t="s">
        <v>5593</v>
      </c>
      <c r="B5058" t="s">
        <v>5594</v>
      </c>
      <c r="C5058" t="s">
        <v>1644</v>
      </c>
      <c r="D5058" t="s">
        <v>293</v>
      </c>
      <c r="E5058" t="s">
        <v>310</v>
      </c>
      <c r="F5058" t="s">
        <v>5603</v>
      </c>
      <c r="G5058">
        <v>493</v>
      </c>
      <c r="H5058">
        <v>93367.549999999988</v>
      </c>
      <c r="I5058">
        <v>189.39</v>
      </c>
      <c r="J5058">
        <v>221</v>
      </c>
      <c r="K5058">
        <v>43294.329999999994</v>
      </c>
      <c r="L5058">
        <v>195.9</v>
      </c>
      <c r="M5058">
        <v>714</v>
      </c>
      <c r="N5058">
        <v>136661.87999999998</v>
      </c>
      <c r="O5058">
        <v>191.4</v>
      </c>
    </row>
    <row r="5059" spans="1:15" x14ac:dyDescent="0.35">
      <c r="A5059" t="s">
        <v>5593</v>
      </c>
      <c r="B5059" t="s">
        <v>5594</v>
      </c>
      <c r="C5059" t="s">
        <v>1644</v>
      </c>
      <c r="D5059" t="s">
        <v>293</v>
      </c>
      <c r="E5059" t="s">
        <v>312</v>
      </c>
      <c r="F5059" t="s">
        <v>5604</v>
      </c>
      <c r="G5059">
        <v>493</v>
      </c>
      <c r="H5059">
        <v>93367.549999999988</v>
      </c>
      <c r="I5059">
        <v>189.39</v>
      </c>
      <c r="J5059">
        <v>221</v>
      </c>
      <c r="K5059">
        <v>43294.329999999994</v>
      </c>
      <c r="L5059">
        <v>195.9</v>
      </c>
      <c r="M5059">
        <v>714</v>
      </c>
      <c r="N5059">
        <v>136661.87999999998</v>
      </c>
      <c r="O5059">
        <v>191.4</v>
      </c>
    </row>
    <row r="5060" spans="1:15" x14ac:dyDescent="0.35">
      <c r="A5060" t="s">
        <v>5593</v>
      </c>
      <c r="B5060" t="s">
        <v>5594</v>
      </c>
      <c r="C5060" t="s">
        <v>1644</v>
      </c>
      <c r="D5060" t="s">
        <v>314</v>
      </c>
      <c r="E5060" t="s">
        <v>294</v>
      </c>
      <c r="F5060" t="s">
        <v>5605</v>
      </c>
      <c r="G5060">
        <v>38</v>
      </c>
      <c r="H5060">
        <v>11987.86</v>
      </c>
      <c r="I5060">
        <v>315.47000000000003</v>
      </c>
      <c r="J5060">
        <v>0</v>
      </c>
      <c r="K5060">
        <v>0</v>
      </c>
      <c r="L5060">
        <v>0</v>
      </c>
      <c r="M5060">
        <v>38</v>
      </c>
      <c r="N5060">
        <v>11987.86</v>
      </c>
      <c r="O5060">
        <v>315.47000000000003</v>
      </c>
    </row>
    <row r="5061" spans="1:15" x14ac:dyDescent="0.35">
      <c r="A5061" t="s">
        <v>5593</v>
      </c>
      <c r="B5061" t="s">
        <v>5594</v>
      </c>
      <c r="C5061" t="s">
        <v>1644</v>
      </c>
      <c r="D5061" t="s">
        <v>314</v>
      </c>
      <c r="E5061" t="s">
        <v>296</v>
      </c>
      <c r="F5061" t="s">
        <v>5606</v>
      </c>
      <c r="G5061">
        <v>25</v>
      </c>
      <c r="H5061">
        <v>7750.7499999999991</v>
      </c>
      <c r="I5061">
        <v>310.02999999999997</v>
      </c>
      <c r="J5061">
        <v>0</v>
      </c>
      <c r="K5061">
        <v>0</v>
      </c>
      <c r="L5061">
        <v>0</v>
      </c>
      <c r="M5061">
        <v>25</v>
      </c>
      <c r="N5061">
        <v>7750.7499999999991</v>
      </c>
      <c r="O5061">
        <v>310.02999999999997</v>
      </c>
    </row>
    <row r="5062" spans="1:15" x14ac:dyDescent="0.35">
      <c r="A5062" t="s">
        <v>5593</v>
      </c>
      <c r="B5062" t="s">
        <v>5594</v>
      </c>
      <c r="C5062" t="s">
        <v>1644</v>
      </c>
      <c r="D5062" t="s">
        <v>314</v>
      </c>
      <c r="E5062" t="s">
        <v>298</v>
      </c>
      <c r="F5062" t="s">
        <v>5607</v>
      </c>
      <c r="G5062">
        <v>0</v>
      </c>
      <c r="H5062">
        <v>0</v>
      </c>
      <c r="I5062">
        <v>0</v>
      </c>
      <c r="J5062">
        <v>0</v>
      </c>
      <c r="K5062">
        <v>0</v>
      </c>
      <c r="L5062">
        <v>0</v>
      </c>
      <c r="M5062">
        <v>0</v>
      </c>
      <c r="N5062">
        <v>0</v>
      </c>
      <c r="O5062">
        <v>0</v>
      </c>
    </row>
    <row r="5063" spans="1:15" x14ac:dyDescent="0.35">
      <c r="A5063" t="s">
        <v>5593</v>
      </c>
      <c r="B5063" t="s">
        <v>5594</v>
      </c>
      <c r="C5063" t="s">
        <v>1644</v>
      </c>
      <c r="D5063" t="s">
        <v>314</v>
      </c>
      <c r="E5063" t="s">
        <v>300</v>
      </c>
      <c r="F5063" t="s">
        <v>5608</v>
      </c>
      <c r="G5063">
        <v>0</v>
      </c>
      <c r="H5063">
        <v>0</v>
      </c>
      <c r="I5063">
        <v>0</v>
      </c>
      <c r="J5063">
        <v>0</v>
      </c>
      <c r="K5063">
        <v>0</v>
      </c>
      <c r="L5063">
        <v>0</v>
      </c>
      <c r="M5063">
        <v>0</v>
      </c>
      <c r="N5063">
        <v>0</v>
      </c>
      <c r="O5063">
        <v>0</v>
      </c>
    </row>
    <row r="5064" spans="1:15" x14ac:dyDescent="0.35">
      <c r="A5064" t="s">
        <v>5593</v>
      </c>
      <c r="B5064" t="s">
        <v>5594</v>
      </c>
      <c r="C5064" t="s">
        <v>1644</v>
      </c>
      <c r="D5064" t="s">
        <v>314</v>
      </c>
      <c r="E5064" t="s">
        <v>306</v>
      </c>
      <c r="F5064" t="s">
        <v>5609</v>
      </c>
      <c r="G5064">
        <v>0</v>
      </c>
      <c r="H5064">
        <v>0</v>
      </c>
      <c r="I5064">
        <v>0</v>
      </c>
      <c r="J5064">
        <v>0</v>
      </c>
      <c r="K5064">
        <v>0</v>
      </c>
      <c r="L5064">
        <v>0</v>
      </c>
      <c r="M5064">
        <v>0</v>
      </c>
      <c r="N5064">
        <v>0</v>
      </c>
      <c r="O5064">
        <v>0</v>
      </c>
    </row>
    <row r="5065" spans="1:15" x14ac:dyDescent="0.35">
      <c r="A5065" t="s">
        <v>5593</v>
      </c>
      <c r="B5065" t="s">
        <v>5594</v>
      </c>
      <c r="C5065" t="s">
        <v>1644</v>
      </c>
      <c r="D5065" t="s">
        <v>314</v>
      </c>
      <c r="E5065" t="s">
        <v>308</v>
      </c>
      <c r="F5065" t="s">
        <v>5610</v>
      </c>
      <c r="G5065">
        <v>0</v>
      </c>
      <c r="H5065">
        <v>0</v>
      </c>
      <c r="I5065">
        <v>0</v>
      </c>
      <c r="J5065">
        <v>0</v>
      </c>
      <c r="K5065">
        <v>0</v>
      </c>
      <c r="L5065">
        <v>0</v>
      </c>
      <c r="M5065">
        <v>0</v>
      </c>
      <c r="N5065">
        <v>0</v>
      </c>
      <c r="O5065">
        <v>0</v>
      </c>
    </row>
    <row r="5066" spans="1:15" x14ac:dyDescent="0.35">
      <c r="A5066" t="s">
        <v>5593</v>
      </c>
      <c r="B5066" t="s">
        <v>5594</v>
      </c>
      <c r="C5066" t="s">
        <v>1644</v>
      </c>
      <c r="D5066" t="s">
        <v>314</v>
      </c>
      <c r="E5066" t="s">
        <v>312</v>
      </c>
      <c r="F5066" t="s">
        <v>5611</v>
      </c>
      <c r="G5066">
        <v>63</v>
      </c>
      <c r="H5066">
        <v>19738.61</v>
      </c>
      <c r="I5066">
        <v>313.31</v>
      </c>
      <c r="J5066">
        <v>0</v>
      </c>
      <c r="K5066">
        <v>0</v>
      </c>
      <c r="L5066">
        <v>0</v>
      </c>
      <c r="M5066">
        <v>63</v>
      </c>
      <c r="N5066">
        <v>19738.61</v>
      </c>
      <c r="O5066">
        <v>313.31</v>
      </c>
    </row>
    <row r="5067" spans="1:15" x14ac:dyDescent="0.35">
      <c r="A5067" t="s">
        <v>5593</v>
      </c>
      <c r="B5067" t="s">
        <v>5594</v>
      </c>
      <c r="C5067" t="s">
        <v>1644</v>
      </c>
      <c r="D5067" t="s">
        <v>314</v>
      </c>
      <c r="E5067" t="s">
        <v>310</v>
      </c>
      <c r="F5067" t="s">
        <v>5612</v>
      </c>
      <c r="G5067">
        <v>63</v>
      </c>
      <c r="H5067">
        <v>19738.61</v>
      </c>
      <c r="I5067">
        <v>313.31</v>
      </c>
      <c r="J5067">
        <v>0</v>
      </c>
      <c r="K5067">
        <v>0</v>
      </c>
      <c r="L5067">
        <v>0</v>
      </c>
      <c r="M5067">
        <v>63</v>
      </c>
      <c r="N5067">
        <v>19738.61</v>
      </c>
      <c r="O5067">
        <v>313.31</v>
      </c>
    </row>
    <row r="5068" spans="1:15" x14ac:dyDescent="0.35">
      <c r="A5068" t="s">
        <v>5593</v>
      </c>
      <c r="B5068" t="s">
        <v>5594</v>
      </c>
      <c r="C5068" t="s">
        <v>1644</v>
      </c>
      <c r="D5068" t="s">
        <v>323</v>
      </c>
      <c r="E5068" t="s">
        <v>294</v>
      </c>
      <c r="F5068" t="s">
        <v>5613</v>
      </c>
      <c r="G5068">
        <v>84</v>
      </c>
      <c r="H5068">
        <v>9351.6</v>
      </c>
      <c r="I5068">
        <v>111.33</v>
      </c>
      <c r="J5068">
        <v>1751</v>
      </c>
      <c r="K5068">
        <v>160776.81999999998</v>
      </c>
      <c r="L5068">
        <v>91.82</v>
      </c>
      <c r="M5068">
        <v>1835</v>
      </c>
      <c r="N5068">
        <v>170128.41999999998</v>
      </c>
      <c r="O5068">
        <v>92.71</v>
      </c>
    </row>
    <row r="5069" spans="1:15" x14ac:dyDescent="0.35">
      <c r="A5069" t="s">
        <v>5593</v>
      </c>
      <c r="B5069" t="s">
        <v>5594</v>
      </c>
      <c r="C5069" t="s">
        <v>1644</v>
      </c>
      <c r="D5069" t="s">
        <v>323</v>
      </c>
      <c r="E5069" t="s">
        <v>296</v>
      </c>
      <c r="F5069" t="s">
        <v>5614</v>
      </c>
      <c r="G5069">
        <v>300</v>
      </c>
      <c r="H5069">
        <v>37172.409999999996</v>
      </c>
      <c r="I5069">
        <v>123.91</v>
      </c>
      <c r="J5069">
        <v>1128</v>
      </c>
      <c r="K5069">
        <v>123572.4</v>
      </c>
      <c r="L5069">
        <v>109.55</v>
      </c>
      <c r="M5069">
        <v>1428</v>
      </c>
      <c r="N5069">
        <v>160744.81</v>
      </c>
      <c r="O5069">
        <v>112.57</v>
      </c>
    </row>
    <row r="5070" spans="1:15" x14ac:dyDescent="0.35">
      <c r="A5070" t="s">
        <v>5593</v>
      </c>
      <c r="B5070" t="s">
        <v>5594</v>
      </c>
      <c r="C5070" t="s">
        <v>1644</v>
      </c>
      <c r="D5070" t="s">
        <v>323</v>
      </c>
      <c r="E5070" t="s">
        <v>298</v>
      </c>
      <c r="F5070" t="s">
        <v>5615</v>
      </c>
      <c r="G5070">
        <v>277</v>
      </c>
      <c r="H5070">
        <v>38495.510000000009</v>
      </c>
      <c r="I5070">
        <v>138.97</v>
      </c>
      <c r="J5070">
        <v>2240</v>
      </c>
      <c r="K5070">
        <v>270412.79999999999</v>
      </c>
      <c r="L5070">
        <v>120.72</v>
      </c>
      <c r="M5070">
        <v>2517</v>
      </c>
      <c r="N5070">
        <v>308908.31</v>
      </c>
      <c r="O5070">
        <v>122.73</v>
      </c>
    </row>
    <row r="5071" spans="1:15" x14ac:dyDescent="0.35">
      <c r="A5071" t="s">
        <v>5593</v>
      </c>
      <c r="B5071" t="s">
        <v>5594</v>
      </c>
      <c r="C5071" t="s">
        <v>1644</v>
      </c>
      <c r="D5071" t="s">
        <v>323</v>
      </c>
      <c r="E5071" t="s">
        <v>300</v>
      </c>
      <c r="F5071" t="s">
        <v>5616</v>
      </c>
      <c r="G5071">
        <v>71</v>
      </c>
      <c r="H5071">
        <v>10403.23</v>
      </c>
      <c r="I5071">
        <v>146.52000000000001</v>
      </c>
      <c r="J5071">
        <v>188</v>
      </c>
      <c r="K5071">
        <v>24663.72</v>
      </c>
      <c r="L5071">
        <v>131.19</v>
      </c>
      <c r="M5071">
        <v>259</v>
      </c>
      <c r="N5071">
        <v>35066.949999999997</v>
      </c>
      <c r="O5071">
        <v>135.38999999999999</v>
      </c>
    </row>
    <row r="5072" spans="1:15" x14ac:dyDescent="0.35">
      <c r="A5072" t="s">
        <v>5593</v>
      </c>
      <c r="B5072" t="s">
        <v>5594</v>
      </c>
      <c r="C5072" t="s">
        <v>1644</v>
      </c>
      <c r="D5072" t="s">
        <v>323</v>
      </c>
      <c r="E5072" t="s">
        <v>302</v>
      </c>
      <c r="F5072" t="s">
        <v>5617</v>
      </c>
      <c r="G5072">
        <v>12</v>
      </c>
      <c r="H5072">
        <v>1861.91</v>
      </c>
      <c r="I5072">
        <v>155.16</v>
      </c>
      <c r="J5072">
        <v>26</v>
      </c>
      <c r="K5072">
        <v>3530.8</v>
      </c>
      <c r="L5072">
        <v>135.80000000000001</v>
      </c>
      <c r="M5072">
        <v>38</v>
      </c>
      <c r="N5072">
        <v>5392.71</v>
      </c>
      <c r="O5072">
        <v>141.91</v>
      </c>
    </row>
    <row r="5073" spans="1:15" x14ac:dyDescent="0.35">
      <c r="A5073" t="s">
        <v>5593</v>
      </c>
      <c r="B5073" t="s">
        <v>5594</v>
      </c>
      <c r="C5073" t="s">
        <v>1644</v>
      </c>
      <c r="D5073" t="s">
        <v>323</v>
      </c>
      <c r="E5073" t="s">
        <v>304</v>
      </c>
      <c r="F5073" t="s">
        <v>5618</v>
      </c>
      <c r="G5073">
        <v>0</v>
      </c>
      <c r="H5073">
        <v>0</v>
      </c>
      <c r="I5073">
        <v>0</v>
      </c>
      <c r="J5073">
        <v>0</v>
      </c>
      <c r="K5073">
        <v>0</v>
      </c>
      <c r="L5073">
        <v>0</v>
      </c>
      <c r="M5073">
        <v>0</v>
      </c>
      <c r="N5073">
        <v>0</v>
      </c>
      <c r="O5073">
        <v>0</v>
      </c>
    </row>
    <row r="5074" spans="1:15" x14ac:dyDescent="0.35">
      <c r="A5074" t="s">
        <v>5593</v>
      </c>
      <c r="B5074" t="s">
        <v>5594</v>
      </c>
      <c r="C5074" t="s">
        <v>1644</v>
      </c>
      <c r="D5074" t="s">
        <v>323</v>
      </c>
      <c r="E5074" t="s">
        <v>306</v>
      </c>
      <c r="F5074" t="s">
        <v>5619</v>
      </c>
      <c r="G5074">
        <v>0</v>
      </c>
      <c r="H5074">
        <v>0</v>
      </c>
      <c r="I5074">
        <v>0</v>
      </c>
      <c r="J5074">
        <v>87</v>
      </c>
      <c r="K5074">
        <v>6982.6200000000008</v>
      </c>
      <c r="L5074">
        <v>80.260000000000005</v>
      </c>
      <c r="M5074">
        <v>87</v>
      </c>
      <c r="N5074">
        <v>6982.6200000000008</v>
      </c>
      <c r="O5074">
        <v>80.260000000000005</v>
      </c>
    </row>
    <row r="5075" spans="1:15" x14ac:dyDescent="0.35">
      <c r="A5075" t="s">
        <v>5593</v>
      </c>
      <c r="B5075" t="s">
        <v>5594</v>
      </c>
      <c r="C5075" t="s">
        <v>1644</v>
      </c>
      <c r="D5075" t="s">
        <v>323</v>
      </c>
      <c r="E5075" t="s">
        <v>308</v>
      </c>
      <c r="F5075" t="s">
        <v>5620</v>
      </c>
      <c r="G5075">
        <v>0</v>
      </c>
      <c r="H5075">
        <v>0</v>
      </c>
      <c r="I5075">
        <v>0</v>
      </c>
      <c r="J5075">
        <v>0</v>
      </c>
      <c r="K5075">
        <v>0</v>
      </c>
      <c r="L5075">
        <v>0</v>
      </c>
      <c r="M5075">
        <v>0</v>
      </c>
      <c r="N5075">
        <v>0</v>
      </c>
      <c r="O5075">
        <v>0</v>
      </c>
    </row>
    <row r="5076" spans="1:15" x14ac:dyDescent="0.35">
      <c r="A5076" t="s">
        <v>5593</v>
      </c>
      <c r="B5076" t="s">
        <v>5594</v>
      </c>
      <c r="C5076" t="s">
        <v>1644</v>
      </c>
      <c r="D5076" t="s">
        <v>323</v>
      </c>
      <c r="E5076" t="s">
        <v>310</v>
      </c>
      <c r="F5076" t="s">
        <v>5621</v>
      </c>
      <c r="G5076">
        <v>744</v>
      </c>
      <c r="H5076">
        <v>97284.66</v>
      </c>
      <c r="I5076">
        <v>130.76</v>
      </c>
      <c r="J5076">
        <v>5420</v>
      </c>
      <c r="K5076">
        <v>589939.16</v>
      </c>
      <c r="L5076">
        <v>108.84</v>
      </c>
      <c r="M5076">
        <v>6164</v>
      </c>
      <c r="N5076">
        <v>687223.82000000007</v>
      </c>
      <c r="O5076">
        <v>111.49</v>
      </c>
    </row>
    <row r="5077" spans="1:15" x14ac:dyDescent="0.35">
      <c r="A5077" t="s">
        <v>5593</v>
      </c>
      <c r="B5077" t="s">
        <v>5594</v>
      </c>
      <c r="C5077" t="s">
        <v>1644</v>
      </c>
      <c r="D5077" t="s">
        <v>323</v>
      </c>
      <c r="E5077" t="s">
        <v>312</v>
      </c>
      <c r="F5077" t="s">
        <v>5622</v>
      </c>
      <c r="G5077">
        <v>744</v>
      </c>
      <c r="H5077">
        <v>97284.66</v>
      </c>
      <c r="I5077">
        <v>130.76</v>
      </c>
      <c r="J5077">
        <v>5420</v>
      </c>
      <c r="K5077">
        <v>589939.16</v>
      </c>
      <c r="L5077">
        <v>108.84</v>
      </c>
      <c r="M5077">
        <v>6164</v>
      </c>
      <c r="N5077">
        <v>687223.82000000007</v>
      </c>
      <c r="O5077">
        <v>111.49</v>
      </c>
    </row>
    <row r="5078" spans="1:15" x14ac:dyDescent="0.35">
      <c r="A5078" t="s">
        <v>5593</v>
      </c>
      <c r="B5078" t="s">
        <v>5594</v>
      </c>
      <c r="C5078" t="s">
        <v>1644</v>
      </c>
      <c r="D5078" t="s">
        <v>334</v>
      </c>
      <c r="E5078" t="s">
        <v>312</v>
      </c>
      <c r="F5078" t="s">
        <v>5623</v>
      </c>
      <c r="G5078">
        <v>1708</v>
      </c>
      <c r="H5078">
        <v>190652.21000000002</v>
      </c>
      <c r="I5078">
        <v>154.12</v>
      </c>
      <c r="J5078">
        <v>5641</v>
      </c>
      <c r="K5078">
        <v>633233.48999999987</v>
      </c>
      <c r="L5078">
        <v>112.26</v>
      </c>
      <c r="M5078">
        <v>7349</v>
      </c>
      <c r="N5078">
        <v>823885.7</v>
      </c>
      <c r="O5078">
        <v>119.79</v>
      </c>
    </row>
    <row r="5079" spans="1:15" x14ac:dyDescent="0.35">
      <c r="A5079" t="s">
        <v>5593</v>
      </c>
      <c r="B5079" t="s">
        <v>5594</v>
      </c>
      <c r="C5079" t="s">
        <v>1644</v>
      </c>
      <c r="D5079" t="s">
        <v>334</v>
      </c>
      <c r="E5079" t="s">
        <v>308</v>
      </c>
      <c r="F5079" t="s">
        <v>5624</v>
      </c>
      <c r="G5079">
        <v>0</v>
      </c>
      <c r="H5079">
        <v>0</v>
      </c>
      <c r="I5079">
        <v>0</v>
      </c>
      <c r="J5079">
        <v>0</v>
      </c>
      <c r="K5079">
        <v>0</v>
      </c>
      <c r="L5079">
        <v>0</v>
      </c>
      <c r="M5079">
        <v>0</v>
      </c>
      <c r="N5079">
        <v>0</v>
      </c>
      <c r="O5079">
        <v>0</v>
      </c>
    </row>
    <row r="5080" spans="1:15" x14ac:dyDescent="0.35">
      <c r="A5080" t="s">
        <v>5593</v>
      </c>
      <c r="B5080" t="s">
        <v>5594</v>
      </c>
      <c r="C5080" t="s">
        <v>1644</v>
      </c>
      <c r="D5080" t="s">
        <v>337</v>
      </c>
      <c r="E5080" t="s">
        <v>337</v>
      </c>
      <c r="F5080" t="s">
        <v>5625</v>
      </c>
      <c r="G5080">
        <v>755</v>
      </c>
      <c r="J5080">
        <v>0</v>
      </c>
      <c r="M5080">
        <v>755</v>
      </c>
    </row>
    <row r="5081" spans="1:15" x14ac:dyDescent="0.35">
      <c r="A5081" t="s">
        <v>5593</v>
      </c>
      <c r="B5081" t="s">
        <v>5594</v>
      </c>
      <c r="C5081" t="s">
        <v>1644</v>
      </c>
      <c r="D5081" t="s">
        <v>339</v>
      </c>
      <c r="E5081" t="s">
        <v>294</v>
      </c>
      <c r="F5081" t="s">
        <v>5626</v>
      </c>
      <c r="G5081">
        <v>90</v>
      </c>
      <c r="H5081">
        <v>11491.92</v>
      </c>
      <c r="I5081">
        <v>127.69</v>
      </c>
      <c r="J5081">
        <v>0</v>
      </c>
      <c r="K5081">
        <v>0</v>
      </c>
      <c r="L5081">
        <v>0</v>
      </c>
      <c r="M5081">
        <v>90</v>
      </c>
      <c r="N5081">
        <v>11491.92</v>
      </c>
      <c r="O5081">
        <v>127.69</v>
      </c>
    </row>
    <row r="5082" spans="1:15" x14ac:dyDescent="0.35">
      <c r="A5082" t="s">
        <v>5593</v>
      </c>
      <c r="B5082" t="s">
        <v>5594</v>
      </c>
      <c r="C5082" t="s">
        <v>1644</v>
      </c>
      <c r="D5082" t="s">
        <v>339</v>
      </c>
      <c r="E5082" t="s">
        <v>296</v>
      </c>
      <c r="F5082" t="s">
        <v>5627</v>
      </c>
      <c r="G5082">
        <v>18</v>
      </c>
      <c r="H5082">
        <v>3624.57</v>
      </c>
      <c r="I5082">
        <v>201.37</v>
      </c>
      <c r="J5082">
        <v>0</v>
      </c>
      <c r="K5082">
        <v>0</v>
      </c>
      <c r="L5082">
        <v>0</v>
      </c>
      <c r="M5082">
        <v>18</v>
      </c>
      <c r="N5082">
        <v>3624.57</v>
      </c>
      <c r="O5082">
        <v>201.37</v>
      </c>
    </row>
    <row r="5083" spans="1:15" x14ac:dyDescent="0.35">
      <c r="A5083" t="s">
        <v>5593</v>
      </c>
      <c r="B5083" t="s">
        <v>5594</v>
      </c>
      <c r="C5083" t="s">
        <v>1644</v>
      </c>
      <c r="D5083" t="s">
        <v>339</v>
      </c>
      <c r="E5083" t="s">
        <v>298</v>
      </c>
      <c r="F5083" t="s">
        <v>5628</v>
      </c>
      <c r="G5083">
        <v>0</v>
      </c>
      <c r="H5083">
        <v>0</v>
      </c>
      <c r="I5083">
        <v>0</v>
      </c>
      <c r="J5083">
        <v>0</v>
      </c>
      <c r="K5083">
        <v>0</v>
      </c>
      <c r="L5083">
        <v>0</v>
      </c>
      <c r="M5083">
        <v>0</v>
      </c>
      <c r="N5083">
        <v>0</v>
      </c>
      <c r="O5083">
        <v>0</v>
      </c>
    </row>
    <row r="5084" spans="1:15" x14ac:dyDescent="0.35">
      <c r="A5084" t="s">
        <v>5593</v>
      </c>
      <c r="B5084" t="s">
        <v>5594</v>
      </c>
      <c r="C5084" t="s">
        <v>1644</v>
      </c>
      <c r="D5084" t="s">
        <v>339</v>
      </c>
      <c r="E5084" t="s">
        <v>300</v>
      </c>
      <c r="F5084" t="s">
        <v>5629</v>
      </c>
      <c r="G5084">
        <v>0</v>
      </c>
      <c r="H5084">
        <v>0</v>
      </c>
      <c r="I5084">
        <v>0</v>
      </c>
      <c r="J5084">
        <v>0</v>
      </c>
      <c r="K5084">
        <v>0</v>
      </c>
      <c r="L5084">
        <v>0</v>
      </c>
      <c r="M5084">
        <v>0</v>
      </c>
      <c r="N5084">
        <v>0</v>
      </c>
      <c r="O5084">
        <v>0</v>
      </c>
    </row>
    <row r="5085" spans="1:15" x14ac:dyDescent="0.35">
      <c r="A5085" t="s">
        <v>5593</v>
      </c>
      <c r="B5085" t="s">
        <v>5594</v>
      </c>
      <c r="C5085" t="s">
        <v>1644</v>
      </c>
      <c r="D5085" t="s">
        <v>339</v>
      </c>
      <c r="E5085" t="s">
        <v>306</v>
      </c>
      <c r="F5085" t="s">
        <v>5630</v>
      </c>
      <c r="G5085">
        <v>0</v>
      </c>
      <c r="H5085">
        <v>0</v>
      </c>
      <c r="I5085">
        <v>0</v>
      </c>
      <c r="J5085">
        <v>0</v>
      </c>
      <c r="K5085">
        <v>0</v>
      </c>
      <c r="L5085">
        <v>0</v>
      </c>
      <c r="M5085">
        <v>0</v>
      </c>
      <c r="N5085">
        <v>0</v>
      </c>
      <c r="O5085">
        <v>0</v>
      </c>
    </row>
    <row r="5086" spans="1:15" x14ac:dyDescent="0.35">
      <c r="A5086" t="s">
        <v>5593</v>
      </c>
      <c r="B5086" t="s">
        <v>5594</v>
      </c>
      <c r="C5086" t="s">
        <v>1644</v>
      </c>
      <c r="D5086" t="s">
        <v>339</v>
      </c>
      <c r="E5086" t="s">
        <v>308</v>
      </c>
      <c r="F5086" t="s">
        <v>5631</v>
      </c>
      <c r="G5086">
        <v>19</v>
      </c>
      <c r="H5086">
        <v>2271.98</v>
      </c>
      <c r="I5086">
        <v>119.58</v>
      </c>
      <c r="J5086">
        <v>0</v>
      </c>
      <c r="K5086">
        <v>0</v>
      </c>
      <c r="L5086">
        <v>0</v>
      </c>
      <c r="M5086">
        <v>19</v>
      </c>
      <c r="N5086">
        <v>2271.98</v>
      </c>
      <c r="O5086">
        <v>119.58</v>
      </c>
    </row>
    <row r="5087" spans="1:15" x14ac:dyDescent="0.35">
      <c r="A5087" t="s">
        <v>5593</v>
      </c>
      <c r="B5087" t="s">
        <v>5594</v>
      </c>
      <c r="C5087" t="s">
        <v>1644</v>
      </c>
      <c r="D5087" t="s">
        <v>339</v>
      </c>
      <c r="E5087" t="s">
        <v>310</v>
      </c>
      <c r="F5087" t="s">
        <v>5632</v>
      </c>
      <c r="G5087">
        <v>127</v>
      </c>
      <c r="H5087">
        <v>17388.47</v>
      </c>
      <c r="I5087">
        <v>136.91999999999999</v>
      </c>
      <c r="J5087">
        <v>0</v>
      </c>
      <c r="K5087">
        <v>0</v>
      </c>
      <c r="L5087">
        <v>0</v>
      </c>
      <c r="M5087">
        <v>127</v>
      </c>
      <c r="N5087">
        <v>17388.47</v>
      </c>
      <c r="O5087">
        <v>136.91999999999999</v>
      </c>
    </row>
    <row r="5088" spans="1:15" x14ac:dyDescent="0.35">
      <c r="A5088" t="s">
        <v>5593</v>
      </c>
      <c r="B5088" t="s">
        <v>5594</v>
      </c>
      <c r="C5088" t="s">
        <v>1644</v>
      </c>
      <c r="D5088" t="s">
        <v>339</v>
      </c>
      <c r="E5088" t="s">
        <v>312</v>
      </c>
      <c r="F5088" t="s">
        <v>5633</v>
      </c>
      <c r="G5088">
        <v>108</v>
      </c>
      <c r="H5088">
        <v>15116.49</v>
      </c>
      <c r="I5088">
        <v>139.97</v>
      </c>
      <c r="J5088">
        <v>0</v>
      </c>
      <c r="K5088">
        <v>0</v>
      </c>
      <c r="L5088">
        <v>0</v>
      </c>
      <c r="M5088">
        <v>108</v>
      </c>
      <c r="N5088">
        <v>15116.49</v>
      </c>
      <c r="O5088">
        <v>139.97</v>
      </c>
    </row>
    <row r="5089" spans="1:15" x14ac:dyDescent="0.35">
      <c r="A5089" t="s">
        <v>5593</v>
      </c>
      <c r="B5089" t="s">
        <v>5594</v>
      </c>
      <c r="C5089" t="s">
        <v>1644</v>
      </c>
      <c r="D5089" t="s">
        <v>348</v>
      </c>
      <c r="E5089" t="s">
        <v>349</v>
      </c>
      <c r="F5089" t="s">
        <v>5634</v>
      </c>
      <c r="G5089">
        <v>203</v>
      </c>
      <c r="H5089">
        <v>37127.08</v>
      </c>
      <c r="I5089">
        <v>195.41</v>
      </c>
      <c r="J5089">
        <v>0</v>
      </c>
      <c r="K5089">
        <v>0</v>
      </c>
      <c r="L5089">
        <v>0</v>
      </c>
      <c r="M5089">
        <v>203</v>
      </c>
      <c r="N5089">
        <v>37127.08</v>
      </c>
      <c r="O5089">
        <v>195.41</v>
      </c>
    </row>
    <row r="5090" spans="1:15" x14ac:dyDescent="0.35">
      <c r="A5090" t="s">
        <v>5635</v>
      </c>
      <c r="B5090" t="s">
        <v>5636</v>
      </c>
      <c r="C5090" t="s">
        <v>1644</v>
      </c>
      <c r="D5090" t="s">
        <v>293</v>
      </c>
      <c r="E5090" t="s">
        <v>294</v>
      </c>
      <c r="F5090" t="s">
        <v>5637</v>
      </c>
      <c r="G5090">
        <v>552</v>
      </c>
      <c r="H5090">
        <v>87671.260000000009</v>
      </c>
      <c r="I5090">
        <v>158.82</v>
      </c>
      <c r="J5090">
        <v>0</v>
      </c>
      <c r="K5090">
        <v>0</v>
      </c>
      <c r="L5090">
        <v>0</v>
      </c>
      <c r="M5090">
        <v>552</v>
      </c>
      <c r="N5090">
        <v>87671.260000000009</v>
      </c>
      <c r="O5090">
        <v>158.82</v>
      </c>
    </row>
    <row r="5091" spans="1:15" x14ac:dyDescent="0.35">
      <c r="A5091" t="s">
        <v>5635</v>
      </c>
      <c r="B5091" t="s">
        <v>5636</v>
      </c>
      <c r="C5091" t="s">
        <v>1644</v>
      </c>
      <c r="D5091" t="s">
        <v>293</v>
      </c>
      <c r="E5091" t="s">
        <v>296</v>
      </c>
      <c r="F5091" t="s">
        <v>5638</v>
      </c>
      <c r="G5091">
        <v>1086</v>
      </c>
      <c r="H5091">
        <v>210242.95</v>
      </c>
      <c r="I5091">
        <v>193.59</v>
      </c>
      <c r="J5091">
        <v>0</v>
      </c>
      <c r="K5091">
        <v>0</v>
      </c>
      <c r="L5091">
        <v>0</v>
      </c>
      <c r="M5091">
        <v>1086</v>
      </c>
      <c r="N5091">
        <v>210242.95</v>
      </c>
      <c r="O5091">
        <v>193.59</v>
      </c>
    </row>
    <row r="5092" spans="1:15" x14ac:dyDescent="0.35">
      <c r="A5092" t="s">
        <v>5635</v>
      </c>
      <c r="B5092" t="s">
        <v>5636</v>
      </c>
      <c r="C5092" t="s">
        <v>1644</v>
      </c>
      <c r="D5092" t="s">
        <v>293</v>
      </c>
      <c r="E5092" t="s">
        <v>298</v>
      </c>
      <c r="F5092" t="s">
        <v>5639</v>
      </c>
      <c r="G5092">
        <v>624</v>
      </c>
      <c r="H5092">
        <v>141096.5</v>
      </c>
      <c r="I5092">
        <v>226.12</v>
      </c>
      <c r="J5092">
        <v>4</v>
      </c>
      <c r="K5092">
        <v>886.16</v>
      </c>
      <c r="L5092">
        <v>221.54</v>
      </c>
      <c r="M5092">
        <v>628</v>
      </c>
      <c r="N5092">
        <v>141982.66</v>
      </c>
      <c r="O5092">
        <v>226.09</v>
      </c>
    </row>
    <row r="5093" spans="1:15" x14ac:dyDescent="0.35">
      <c r="A5093" t="s">
        <v>5635</v>
      </c>
      <c r="B5093" t="s">
        <v>5636</v>
      </c>
      <c r="C5093" t="s">
        <v>1644</v>
      </c>
      <c r="D5093" t="s">
        <v>293</v>
      </c>
      <c r="E5093" t="s">
        <v>300</v>
      </c>
      <c r="F5093" t="s">
        <v>5640</v>
      </c>
      <c r="G5093">
        <v>125</v>
      </c>
      <c r="H5093">
        <v>34230.06</v>
      </c>
      <c r="I5093">
        <v>273.83999999999997</v>
      </c>
      <c r="J5093">
        <v>2</v>
      </c>
      <c r="K5093">
        <v>575.34</v>
      </c>
      <c r="L5093">
        <v>287.67</v>
      </c>
      <c r="M5093">
        <v>127</v>
      </c>
      <c r="N5093">
        <v>34805.399999999994</v>
      </c>
      <c r="O5093">
        <v>274.06</v>
      </c>
    </row>
    <row r="5094" spans="1:15" x14ac:dyDescent="0.35">
      <c r="A5094" t="s">
        <v>5635</v>
      </c>
      <c r="B5094" t="s">
        <v>5636</v>
      </c>
      <c r="C5094" t="s">
        <v>1644</v>
      </c>
      <c r="D5094" t="s">
        <v>293</v>
      </c>
      <c r="E5094" t="s">
        <v>302</v>
      </c>
      <c r="F5094" t="s">
        <v>5641</v>
      </c>
      <c r="G5094">
        <v>0</v>
      </c>
      <c r="H5094">
        <v>0</v>
      </c>
      <c r="I5094">
        <v>0</v>
      </c>
      <c r="J5094">
        <v>0</v>
      </c>
      <c r="K5094">
        <v>0</v>
      </c>
      <c r="L5094">
        <v>0</v>
      </c>
      <c r="M5094">
        <v>0</v>
      </c>
      <c r="N5094">
        <v>0</v>
      </c>
      <c r="O5094">
        <v>0</v>
      </c>
    </row>
    <row r="5095" spans="1:15" x14ac:dyDescent="0.35">
      <c r="A5095" t="s">
        <v>5635</v>
      </c>
      <c r="B5095" t="s">
        <v>5636</v>
      </c>
      <c r="C5095" t="s">
        <v>1644</v>
      </c>
      <c r="D5095" t="s">
        <v>293</v>
      </c>
      <c r="E5095" t="s">
        <v>304</v>
      </c>
      <c r="F5095" t="s">
        <v>5642</v>
      </c>
      <c r="G5095">
        <v>0</v>
      </c>
      <c r="H5095">
        <v>0</v>
      </c>
      <c r="I5095">
        <v>0</v>
      </c>
      <c r="J5095">
        <v>0</v>
      </c>
      <c r="K5095">
        <v>0</v>
      </c>
      <c r="L5095">
        <v>0</v>
      </c>
      <c r="M5095">
        <v>0</v>
      </c>
      <c r="N5095">
        <v>0</v>
      </c>
      <c r="O5095">
        <v>0</v>
      </c>
    </row>
    <row r="5096" spans="1:15" x14ac:dyDescent="0.35">
      <c r="A5096" t="s">
        <v>5635</v>
      </c>
      <c r="B5096" t="s">
        <v>5636</v>
      </c>
      <c r="C5096" t="s">
        <v>1644</v>
      </c>
      <c r="D5096" t="s">
        <v>293</v>
      </c>
      <c r="E5096" t="s">
        <v>306</v>
      </c>
      <c r="F5096" t="s">
        <v>5643</v>
      </c>
      <c r="G5096">
        <v>0</v>
      </c>
      <c r="H5096">
        <v>0</v>
      </c>
      <c r="I5096">
        <v>0</v>
      </c>
      <c r="J5096">
        <v>0</v>
      </c>
      <c r="K5096">
        <v>0</v>
      </c>
      <c r="L5096">
        <v>0</v>
      </c>
      <c r="M5096">
        <v>0</v>
      </c>
      <c r="N5096">
        <v>0</v>
      </c>
      <c r="O5096">
        <v>0</v>
      </c>
    </row>
    <row r="5097" spans="1:15" x14ac:dyDescent="0.35">
      <c r="A5097" t="s">
        <v>5635</v>
      </c>
      <c r="B5097" t="s">
        <v>5636</v>
      </c>
      <c r="C5097" t="s">
        <v>1644</v>
      </c>
      <c r="D5097" t="s">
        <v>293</v>
      </c>
      <c r="E5097" t="s">
        <v>308</v>
      </c>
      <c r="F5097" t="s">
        <v>5644</v>
      </c>
      <c r="G5097">
        <v>0</v>
      </c>
      <c r="H5097">
        <v>0</v>
      </c>
      <c r="I5097">
        <v>0</v>
      </c>
      <c r="J5097">
        <v>0</v>
      </c>
      <c r="K5097">
        <v>0</v>
      </c>
      <c r="L5097">
        <v>0</v>
      </c>
      <c r="M5097">
        <v>0</v>
      </c>
      <c r="N5097">
        <v>0</v>
      </c>
      <c r="O5097">
        <v>0</v>
      </c>
    </row>
    <row r="5098" spans="1:15" x14ac:dyDescent="0.35">
      <c r="A5098" t="s">
        <v>5635</v>
      </c>
      <c r="B5098" t="s">
        <v>5636</v>
      </c>
      <c r="C5098" t="s">
        <v>1644</v>
      </c>
      <c r="D5098" t="s">
        <v>293</v>
      </c>
      <c r="E5098" t="s">
        <v>310</v>
      </c>
      <c r="F5098" t="s">
        <v>5645</v>
      </c>
      <c r="G5098">
        <v>2387</v>
      </c>
      <c r="H5098">
        <v>473240.77</v>
      </c>
      <c r="I5098">
        <v>198.26</v>
      </c>
      <c r="J5098">
        <v>6</v>
      </c>
      <c r="K5098">
        <v>1461.5</v>
      </c>
      <c r="L5098">
        <v>243.58</v>
      </c>
      <c r="M5098">
        <v>2393</v>
      </c>
      <c r="N5098">
        <v>474702.27</v>
      </c>
      <c r="O5098">
        <v>198.37</v>
      </c>
    </row>
    <row r="5099" spans="1:15" x14ac:dyDescent="0.35">
      <c r="A5099" t="s">
        <v>5635</v>
      </c>
      <c r="B5099" t="s">
        <v>5636</v>
      </c>
      <c r="C5099" t="s">
        <v>1644</v>
      </c>
      <c r="D5099" t="s">
        <v>293</v>
      </c>
      <c r="E5099" t="s">
        <v>312</v>
      </c>
      <c r="F5099" t="s">
        <v>5646</v>
      </c>
      <c r="G5099">
        <v>2387</v>
      </c>
      <c r="H5099">
        <v>473240.77</v>
      </c>
      <c r="I5099">
        <v>198.26</v>
      </c>
      <c r="J5099">
        <v>6</v>
      </c>
      <c r="K5099">
        <v>1461.5</v>
      </c>
      <c r="L5099">
        <v>243.58</v>
      </c>
      <c r="M5099">
        <v>2393</v>
      </c>
      <c r="N5099">
        <v>474702.27</v>
      </c>
      <c r="O5099">
        <v>198.37</v>
      </c>
    </row>
    <row r="5100" spans="1:15" x14ac:dyDescent="0.35">
      <c r="A5100" t="s">
        <v>5635</v>
      </c>
      <c r="B5100" t="s">
        <v>5636</v>
      </c>
      <c r="C5100" t="s">
        <v>1644</v>
      </c>
      <c r="D5100" t="s">
        <v>314</v>
      </c>
      <c r="E5100" t="s">
        <v>294</v>
      </c>
      <c r="F5100" t="s">
        <v>5647</v>
      </c>
      <c r="G5100">
        <v>11</v>
      </c>
      <c r="H5100">
        <v>1580.8100000000002</v>
      </c>
      <c r="I5100">
        <v>143.71</v>
      </c>
      <c r="J5100">
        <v>0</v>
      </c>
      <c r="K5100">
        <v>0</v>
      </c>
      <c r="L5100">
        <v>0</v>
      </c>
      <c r="M5100">
        <v>11</v>
      </c>
      <c r="N5100">
        <v>1580.8100000000002</v>
      </c>
      <c r="O5100">
        <v>143.71</v>
      </c>
    </row>
    <row r="5101" spans="1:15" x14ac:dyDescent="0.35">
      <c r="A5101" t="s">
        <v>5635</v>
      </c>
      <c r="B5101" t="s">
        <v>5636</v>
      </c>
      <c r="C5101" t="s">
        <v>1644</v>
      </c>
      <c r="D5101" t="s">
        <v>314</v>
      </c>
      <c r="E5101" t="s">
        <v>296</v>
      </c>
      <c r="F5101" t="s">
        <v>5648</v>
      </c>
      <c r="G5101">
        <v>2</v>
      </c>
      <c r="H5101">
        <v>296.7</v>
      </c>
      <c r="I5101">
        <v>148.35</v>
      </c>
      <c r="J5101">
        <v>0</v>
      </c>
      <c r="K5101">
        <v>0</v>
      </c>
      <c r="L5101">
        <v>0</v>
      </c>
      <c r="M5101">
        <v>2</v>
      </c>
      <c r="N5101">
        <v>296.7</v>
      </c>
      <c r="O5101">
        <v>148.35</v>
      </c>
    </row>
    <row r="5102" spans="1:15" x14ac:dyDescent="0.35">
      <c r="A5102" t="s">
        <v>5635</v>
      </c>
      <c r="B5102" t="s">
        <v>5636</v>
      </c>
      <c r="C5102" t="s">
        <v>1644</v>
      </c>
      <c r="D5102" t="s">
        <v>314</v>
      </c>
      <c r="E5102" t="s">
        <v>298</v>
      </c>
      <c r="F5102" t="s">
        <v>5649</v>
      </c>
      <c r="G5102">
        <v>0</v>
      </c>
      <c r="H5102">
        <v>0</v>
      </c>
      <c r="I5102">
        <v>0</v>
      </c>
      <c r="J5102">
        <v>0</v>
      </c>
      <c r="K5102">
        <v>0</v>
      </c>
      <c r="L5102">
        <v>0</v>
      </c>
      <c r="M5102">
        <v>0</v>
      </c>
      <c r="N5102">
        <v>0</v>
      </c>
      <c r="O5102">
        <v>0</v>
      </c>
    </row>
    <row r="5103" spans="1:15" x14ac:dyDescent="0.35">
      <c r="A5103" t="s">
        <v>5635</v>
      </c>
      <c r="B5103" t="s">
        <v>5636</v>
      </c>
      <c r="C5103" t="s">
        <v>1644</v>
      </c>
      <c r="D5103" t="s">
        <v>314</v>
      </c>
      <c r="E5103" t="s">
        <v>300</v>
      </c>
      <c r="F5103" t="s">
        <v>5650</v>
      </c>
      <c r="G5103">
        <v>0</v>
      </c>
      <c r="H5103">
        <v>0</v>
      </c>
      <c r="I5103">
        <v>0</v>
      </c>
      <c r="J5103">
        <v>0</v>
      </c>
      <c r="K5103">
        <v>0</v>
      </c>
      <c r="L5103">
        <v>0</v>
      </c>
      <c r="M5103">
        <v>0</v>
      </c>
      <c r="N5103">
        <v>0</v>
      </c>
      <c r="O5103">
        <v>0</v>
      </c>
    </row>
    <row r="5104" spans="1:15" x14ac:dyDescent="0.35">
      <c r="A5104" t="s">
        <v>5635</v>
      </c>
      <c r="B5104" t="s">
        <v>5636</v>
      </c>
      <c r="C5104" t="s">
        <v>1644</v>
      </c>
      <c r="D5104" t="s">
        <v>314</v>
      </c>
      <c r="E5104" t="s">
        <v>306</v>
      </c>
      <c r="F5104" t="s">
        <v>5651</v>
      </c>
      <c r="G5104">
        <v>0</v>
      </c>
      <c r="H5104">
        <v>0</v>
      </c>
      <c r="I5104">
        <v>0</v>
      </c>
      <c r="J5104">
        <v>0</v>
      </c>
      <c r="K5104">
        <v>0</v>
      </c>
      <c r="L5104">
        <v>0</v>
      </c>
      <c r="M5104">
        <v>0</v>
      </c>
      <c r="N5104">
        <v>0</v>
      </c>
      <c r="O5104">
        <v>0</v>
      </c>
    </row>
    <row r="5105" spans="1:15" x14ac:dyDescent="0.35">
      <c r="A5105" t="s">
        <v>5635</v>
      </c>
      <c r="B5105" t="s">
        <v>5636</v>
      </c>
      <c r="C5105" t="s">
        <v>1644</v>
      </c>
      <c r="D5105" t="s">
        <v>314</v>
      </c>
      <c r="E5105" t="s">
        <v>308</v>
      </c>
      <c r="F5105" t="s">
        <v>5652</v>
      </c>
      <c r="G5105">
        <v>0</v>
      </c>
      <c r="H5105">
        <v>0</v>
      </c>
      <c r="I5105">
        <v>0</v>
      </c>
      <c r="J5105">
        <v>0</v>
      </c>
      <c r="K5105">
        <v>0</v>
      </c>
      <c r="L5105">
        <v>0</v>
      </c>
      <c r="M5105">
        <v>0</v>
      </c>
      <c r="N5105">
        <v>0</v>
      </c>
      <c r="O5105">
        <v>0</v>
      </c>
    </row>
    <row r="5106" spans="1:15" x14ac:dyDescent="0.35">
      <c r="A5106" t="s">
        <v>5635</v>
      </c>
      <c r="B5106" t="s">
        <v>5636</v>
      </c>
      <c r="C5106" t="s">
        <v>1644</v>
      </c>
      <c r="D5106" t="s">
        <v>314</v>
      </c>
      <c r="E5106" t="s">
        <v>312</v>
      </c>
      <c r="F5106" t="s">
        <v>5653</v>
      </c>
      <c r="G5106">
        <v>13</v>
      </c>
      <c r="H5106">
        <v>1877.5100000000002</v>
      </c>
      <c r="I5106">
        <v>144.41999999999999</v>
      </c>
      <c r="J5106">
        <v>0</v>
      </c>
      <c r="K5106">
        <v>0</v>
      </c>
      <c r="L5106">
        <v>0</v>
      </c>
      <c r="M5106">
        <v>13</v>
      </c>
      <c r="N5106">
        <v>1877.5100000000002</v>
      </c>
      <c r="O5106">
        <v>144.41999999999999</v>
      </c>
    </row>
    <row r="5107" spans="1:15" x14ac:dyDescent="0.35">
      <c r="A5107" t="s">
        <v>5635</v>
      </c>
      <c r="B5107" t="s">
        <v>5636</v>
      </c>
      <c r="C5107" t="s">
        <v>1644</v>
      </c>
      <c r="D5107" t="s">
        <v>314</v>
      </c>
      <c r="E5107" t="s">
        <v>310</v>
      </c>
      <c r="F5107" t="s">
        <v>5654</v>
      </c>
      <c r="G5107">
        <v>13</v>
      </c>
      <c r="H5107">
        <v>1877.5100000000002</v>
      </c>
      <c r="I5107">
        <v>144.41999999999999</v>
      </c>
      <c r="J5107">
        <v>0</v>
      </c>
      <c r="K5107">
        <v>0</v>
      </c>
      <c r="L5107">
        <v>0</v>
      </c>
      <c r="M5107">
        <v>13</v>
      </c>
      <c r="N5107">
        <v>1877.5100000000002</v>
      </c>
      <c r="O5107">
        <v>144.41999999999999</v>
      </c>
    </row>
    <row r="5108" spans="1:15" x14ac:dyDescent="0.35">
      <c r="A5108" t="s">
        <v>5635</v>
      </c>
      <c r="B5108" t="s">
        <v>5636</v>
      </c>
      <c r="C5108" t="s">
        <v>1644</v>
      </c>
      <c r="D5108" t="s">
        <v>323</v>
      </c>
      <c r="E5108" t="s">
        <v>294</v>
      </c>
      <c r="F5108" t="s">
        <v>5655</v>
      </c>
      <c r="G5108">
        <v>1664</v>
      </c>
      <c r="H5108">
        <v>173485.8</v>
      </c>
      <c r="I5108">
        <v>104.26</v>
      </c>
      <c r="J5108">
        <v>0</v>
      </c>
      <c r="K5108">
        <v>0</v>
      </c>
      <c r="L5108">
        <v>0</v>
      </c>
      <c r="M5108">
        <v>1664</v>
      </c>
      <c r="N5108">
        <v>173485.8</v>
      </c>
      <c r="O5108">
        <v>104.26</v>
      </c>
    </row>
    <row r="5109" spans="1:15" x14ac:dyDescent="0.35">
      <c r="A5109" t="s">
        <v>5635</v>
      </c>
      <c r="B5109" t="s">
        <v>5636</v>
      </c>
      <c r="C5109" t="s">
        <v>1644</v>
      </c>
      <c r="D5109" t="s">
        <v>323</v>
      </c>
      <c r="E5109" t="s">
        <v>296</v>
      </c>
      <c r="F5109" t="s">
        <v>5656</v>
      </c>
      <c r="G5109">
        <v>2507</v>
      </c>
      <c r="H5109">
        <v>293298.27</v>
      </c>
      <c r="I5109">
        <v>116.99</v>
      </c>
      <c r="J5109">
        <v>0</v>
      </c>
      <c r="K5109">
        <v>0</v>
      </c>
      <c r="L5109">
        <v>0</v>
      </c>
      <c r="M5109">
        <v>2507</v>
      </c>
      <c r="N5109">
        <v>293298.27</v>
      </c>
      <c r="O5109">
        <v>116.99</v>
      </c>
    </row>
    <row r="5110" spans="1:15" x14ac:dyDescent="0.35">
      <c r="A5110" t="s">
        <v>5635</v>
      </c>
      <c r="B5110" t="s">
        <v>5636</v>
      </c>
      <c r="C5110" t="s">
        <v>1644</v>
      </c>
      <c r="D5110" t="s">
        <v>323</v>
      </c>
      <c r="E5110" t="s">
        <v>298</v>
      </c>
      <c r="F5110" t="s">
        <v>5657</v>
      </c>
      <c r="G5110">
        <v>2180</v>
      </c>
      <c r="H5110">
        <v>287962.15999999997</v>
      </c>
      <c r="I5110">
        <v>132.09</v>
      </c>
      <c r="J5110">
        <v>0</v>
      </c>
      <c r="K5110">
        <v>0</v>
      </c>
      <c r="L5110">
        <v>0</v>
      </c>
      <c r="M5110">
        <v>2180</v>
      </c>
      <c r="N5110">
        <v>287962.15999999997</v>
      </c>
      <c r="O5110">
        <v>132.09</v>
      </c>
    </row>
    <row r="5111" spans="1:15" x14ac:dyDescent="0.35">
      <c r="A5111" t="s">
        <v>5635</v>
      </c>
      <c r="B5111" t="s">
        <v>5636</v>
      </c>
      <c r="C5111" t="s">
        <v>1644</v>
      </c>
      <c r="D5111" t="s">
        <v>323</v>
      </c>
      <c r="E5111" t="s">
        <v>300</v>
      </c>
      <c r="F5111" t="s">
        <v>5658</v>
      </c>
      <c r="G5111">
        <v>190</v>
      </c>
      <c r="H5111">
        <v>27998.229999999996</v>
      </c>
      <c r="I5111">
        <v>147.36000000000001</v>
      </c>
      <c r="J5111">
        <v>0</v>
      </c>
      <c r="K5111">
        <v>0</v>
      </c>
      <c r="L5111">
        <v>0</v>
      </c>
      <c r="M5111">
        <v>190</v>
      </c>
      <c r="N5111">
        <v>27998.229999999996</v>
      </c>
      <c r="O5111">
        <v>147.36000000000001</v>
      </c>
    </row>
    <row r="5112" spans="1:15" x14ac:dyDescent="0.35">
      <c r="A5112" t="s">
        <v>5635</v>
      </c>
      <c r="B5112" t="s">
        <v>5636</v>
      </c>
      <c r="C5112" t="s">
        <v>1644</v>
      </c>
      <c r="D5112" t="s">
        <v>323</v>
      </c>
      <c r="E5112" t="s">
        <v>302</v>
      </c>
      <c r="F5112" t="s">
        <v>5659</v>
      </c>
      <c r="G5112">
        <v>3</v>
      </c>
      <c r="H5112">
        <v>507.73</v>
      </c>
      <c r="I5112">
        <v>169.24</v>
      </c>
      <c r="J5112">
        <v>0</v>
      </c>
      <c r="K5112">
        <v>0</v>
      </c>
      <c r="L5112">
        <v>0</v>
      </c>
      <c r="M5112">
        <v>3</v>
      </c>
      <c r="N5112">
        <v>507.73</v>
      </c>
      <c r="O5112">
        <v>169.24</v>
      </c>
    </row>
    <row r="5113" spans="1:15" x14ac:dyDescent="0.35">
      <c r="A5113" t="s">
        <v>5635</v>
      </c>
      <c r="B5113" t="s">
        <v>5636</v>
      </c>
      <c r="C5113" t="s">
        <v>1644</v>
      </c>
      <c r="D5113" t="s">
        <v>323</v>
      </c>
      <c r="E5113" t="s">
        <v>304</v>
      </c>
      <c r="F5113" t="s">
        <v>5660</v>
      </c>
      <c r="G5113">
        <v>1</v>
      </c>
      <c r="H5113">
        <v>160.18</v>
      </c>
      <c r="I5113">
        <v>160.18</v>
      </c>
      <c r="J5113">
        <v>0</v>
      </c>
      <c r="K5113">
        <v>0</v>
      </c>
      <c r="L5113">
        <v>0</v>
      </c>
      <c r="M5113">
        <v>1</v>
      </c>
      <c r="N5113">
        <v>160.18</v>
      </c>
      <c r="O5113">
        <v>160.18</v>
      </c>
    </row>
    <row r="5114" spans="1:15" x14ac:dyDescent="0.35">
      <c r="A5114" t="s">
        <v>5635</v>
      </c>
      <c r="B5114" t="s">
        <v>5636</v>
      </c>
      <c r="C5114" t="s">
        <v>1644</v>
      </c>
      <c r="D5114" t="s">
        <v>323</v>
      </c>
      <c r="E5114" t="s">
        <v>306</v>
      </c>
      <c r="F5114" t="s">
        <v>5661</v>
      </c>
      <c r="G5114">
        <v>79</v>
      </c>
      <c r="H5114">
        <v>6567.47</v>
      </c>
      <c r="I5114">
        <v>83.13</v>
      </c>
      <c r="J5114">
        <v>0</v>
      </c>
      <c r="K5114">
        <v>0</v>
      </c>
      <c r="L5114">
        <v>0</v>
      </c>
      <c r="M5114">
        <v>79</v>
      </c>
      <c r="N5114">
        <v>6567.47</v>
      </c>
      <c r="O5114">
        <v>83.13</v>
      </c>
    </row>
    <row r="5115" spans="1:15" x14ac:dyDescent="0.35">
      <c r="A5115" t="s">
        <v>5635</v>
      </c>
      <c r="B5115" t="s">
        <v>5636</v>
      </c>
      <c r="C5115" t="s">
        <v>1644</v>
      </c>
      <c r="D5115" t="s">
        <v>323</v>
      </c>
      <c r="E5115" t="s">
        <v>308</v>
      </c>
      <c r="F5115" t="s">
        <v>5662</v>
      </c>
      <c r="G5115">
        <v>0</v>
      </c>
      <c r="H5115">
        <v>0</v>
      </c>
      <c r="I5115">
        <v>0</v>
      </c>
      <c r="J5115">
        <v>0</v>
      </c>
      <c r="K5115">
        <v>0</v>
      </c>
      <c r="L5115">
        <v>0</v>
      </c>
      <c r="M5115">
        <v>0</v>
      </c>
      <c r="N5115">
        <v>0</v>
      </c>
      <c r="O5115">
        <v>0</v>
      </c>
    </row>
    <row r="5116" spans="1:15" x14ac:dyDescent="0.35">
      <c r="A5116" t="s">
        <v>5635</v>
      </c>
      <c r="B5116" t="s">
        <v>5636</v>
      </c>
      <c r="C5116" t="s">
        <v>1644</v>
      </c>
      <c r="D5116" t="s">
        <v>323</v>
      </c>
      <c r="E5116" t="s">
        <v>310</v>
      </c>
      <c r="F5116" t="s">
        <v>5663</v>
      </c>
      <c r="G5116">
        <v>6624</v>
      </c>
      <c r="H5116">
        <v>789979.84</v>
      </c>
      <c r="I5116">
        <v>119.26</v>
      </c>
      <c r="J5116">
        <v>0</v>
      </c>
      <c r="K5116">
        <v>0</v>
      </c>
      <c r="L5116">
        <v>0</v>
      </c>
      <c r="M5116">
        <v>6624</v>
      </c>
      <c r="N5116">
        <v>789979.84</v>
      </c>
      <c r="O5116">
        <v>119.26</v>
      </c>
    </row>
    <row r="5117" spans="1:15" x14ac:dyDescent="0.35">
      <c r="A5117" t="s">
        <v>5635</v>
      </c>
      <c r="B5117" t="s">
        <v>5636</v>
      </c>
      <c r="C5117" t="s">
        <v>1644</v>
      </c>
      <c r="D5117" t="s">
        <v>323</v>
      </c>
      <c r="E5117" t="s">
        <v>312</v>
      </c>
      <c r="F5117" t="s">
        <v>5664</v>
      </c>
      <c r="G5117">
        <v>6624</v>
      </c>
      <c r="H5117">
        <v>789979.84</v>
      </c>
      <c r="I5117">
        <v>119.26</v>
      </c>
      <c r="J5117">
        <v>0</v>
      </c>
      <c r="K5117">
        <v>0</v>
      </c>
      <c r="L5117">
        <v>0</v>
      </c>
      <c r="M5117">
        <v>6624</v>
      </c>
      <c r="N5117">
        <v>789979.84</v>
      </c>
      <c r="O5117">
        <v>119.26</v>
      </c>
    </row>
    <row r="5118" spans="1:15" x14ac:dyDescent="0.35">
      <c r="A5118" t="s">
        <v>5635</v>
      </c>
      <c r="B5118" t="s">
        <v>5636</v>
      </c>
      <c r="C5118" t="s">
        <v>1644</v>
      </c>
      <c r="D5118" t="s">
        <v>334</v>
      </c>
      <c r="E5118" t="s">
        <v>312</v>
      </c>
      <c r="F5118" t="s">
        <v>5665</v>
      </c>
      <c r="G5118">
        <v>9369</v>
      </c>
      <c r="H5118">
        <v>1263220.6099999999</v>
      </c>
      <c r="I5118">
        <v>140.19</v>
      </c>
      <c r="J5118">
        <v>6</v>
      </c>
      <c r="K5118">
        <v>1461.5</v>
      </c>
      <c r="L5118">
        <v>243.58</v>
      </c>
      <c r="M5118">
        <v>9375</v>
      </c>
      <c r="N5118">
        <v>1264682.1099999999</v>
      </c>
      <c r="O5118">
        <v>140.26</v>
      </c>
    </row>
    <row r="5119" spans="1:15" x14ac:dyDescent="0.35">
      <c r="A5119" t="s">
        <v>5635</v>
      </c>
      <c r="B5119" t="s">
        <v>5636</v>
      </c>
      <c r="C5119" t="s">
        <v>1644</v>
      </c>
      <c r="D5119" t="s">
        <v>334</v>
      </c>
      <c r="E5119" t="s">
        <v>308</v>
      </c>
      <c r="F5119" t="s">
        <v>5666</v>
      </c>
      <c r="G5119">
        <v>0</v>
      </c>
      <c r="H5119">
        <v>0</v>
      </c>
      <c r="I5119">
        <v>0</v>
      </c>
      <c r="J5119">
        <v>0</v>
      </c>
      <c r="K5119">
        <v>0</v>
      </c>
      <c r="L5119">
        <v>0</v>
      </c>
      <c r="M5119">
        <v>0</v>
      </c>
      <c r="N5119">
        <v>0</v>
      </c>
      <c r="O5119">
        <v>0</v>
      </c>
    </row>
    <row r="5120" spans="1:15" x14ac:dyDescent="0.35">
      <c r="A5120" t="s">
        <v>5635</v>
      </c>
      <c r="B5120" t="s">
        <v>5636</v>
      </c>
      <c r="C5120" t="s">
        <v>1644</v>
      </c>
      <c r="D5120" t="s">
        <v>337</v>
      </c>
      <c r="E5120" t="s">
        <v>337</v>
      </c>
      <c r="F5120" t="s">
        <v>5667</v>
      </c>
      <c r="G5120">
        <v>1550</v>
      </c>
      <c r="J5120">
        <v>0</v>
      </c>
      <c r="M5120">
        <v>1550</v>
      </c>
    </row>
    <row r="5121" spans="1:15" x14ac:dyDescent="0.35">
      <c r="A5121" t="s">
        <v>5635</v>
      </c>
      <c r="B5121" t="s">
        <v>5636</v>
      </c>
      <c r="C5121" t="s">
        <v>1644</v>
      </c>
      <c r="D5121" t="s">
        <v>339</v>
      </c>
      <c r="E5121" t="s">
        <v>294</v>
      </c>
      <c r="F5121" t="s">
        <v>5668</v>
      </c>
      <c r="G5121">
        <v>447</v>
      </c>
      <c r="H5121">
        <v>50483.94</v>
      </c>
      <c r="I5121">
        <v>112.94</v>
      </c>
      <c r="J5121">
        <v>0</v>
      </c>
      <c r="K5121">
        <v>0</v>
      </c>
      <c r="L5121">
        <v>0</v>
      </c>
      <c r="M5121">
        <v>447</v>
      </c>
      <c r="N5121">
        <v>50483.94</v>
      </c>
      <c r="O5121">
        <v>112.94</v>
      </c>
    </row>
    <row r="5122" spans="1:15" x14ac:dyDescent="0.35">
      <c r="A5122" t="s">
        <v>5635</v>
      </c>
      <c r="B5122" t="s">
        <v>5636</v>
      </c>
      <c r="C5122" t="s">
        <v>1644</v>
      </c>
      <c r="D5122" t="s">
        <v>339</v>
      </c>
      <c r="E5122" t="s">
        <v>296</v>
      </c>
      <c r="F5122" t="s">
        <v>5669</v>
      </c>
      <c r="G5122">
        <v>98</v>
      </c>
      <c r="H5122">
        <v>14150.41</v>
      </c>
      <c r="I5122">
        <v>144.38999999999999</v>
      </c>
      <c r="J5122">
        <v>0</v>
      </c>
      <c r="K5122">
        <v>0</v>
      </c>
      <c r="L5122">
        <v>0</v>
      </c>
      <c r="M5122">
        <v>98</v>
      </c>
      <c r="N5122">
        <v>14150.41</v>
      </c>
      <c r="O5122">
        <v>144.38999999999999</v>
      </c>
    </row>
    <row r="5123" spans="1:15" x14ac:dyDescent="0.35">
      <c r="A5123" t="s">
        <v>5635</v>
      </c>
      <c r="B5123" t="s">
        <v>5636</v>
      </c>
      <c r="C5123" t="s">
        <v>1644</v>
      </c>
      <c r="D5123" t="s">
        <v>339</v>
      </c>
      <c r="E5123" t="s">
        <v>298</v>
      </c>
      <c r="F5123" t="s">
        <v>5670</v>
      </c>
      <c r="G5123">
        <v>2</v>
      </c>
      <c r="H5123">
        <v>612.68999999999994</v>
      </c>
      <c r="I5123">
        <v>306.35000000000002</v>
      </c>
      <c r="J5123">
        <v>0</v>
      </c>
      <c r="K5123">
        <v>0</v>
      </c>
      <c r="L5123">
        <v>0</v>
      </c>
      <c r="M5123">
        <v>2</v>
      </c>
      <c r="N5123">
        <v>612.68999999999994</v>
      </c>
      <c r="O5123">
        <v>306.35000000000002</v>
      </c>
    </row>
    <row r="5124" spans="1:15" x14ac:dyDescent="0.35">
      <c r="A5124" t="s">
        <v>5635</v>
      </c>
      <c r="B5124" t="s">
        <v>5636</v>
      </c>
      <c r="C5124" t="s">
        <v>1644</v>
      </c>
      <c r="D5124" t="s">
        <v>339</v>
      </c>
      <c r="E5124" t="s">
        <v>300</v>
      </c>
      <c r="F5124" t="s">
        <v>5671</v>
      </c>
      <c r="G5124">
        <v>0</v>
      </c>
      <c r="H5124">
        <v>0</v>
      </c>
      <c r="I5124">
        <v>0</v>
      </c>
      <c r="J5124">
        <v>0</v>
      </c>
      <c r="K5124">
        <v>0</v>
      </c>
      <c r="L5124">
        <v>0</v>
      </c>
      <c r="M5124">
        <v>0</v>
      </c>
      <c r="N5124">
        <v>0</v>
      </c>
      <c r="O5124">
        <v>0</v>
      </c>
    </row>
    <row r="5125" spans="1:15" x14ac:dyDescent="0.35">
      <c r="A5125" t="s">
        <v>5635</v>
      </c>
      <c r="B5125" t="s">
        <v>5636</v>
      </c>
      <c r="C5125" t="s">
        <v>1644</v>
      </c>
      <c r="D5125" t="s">
        <v>339</v>
      </c>
      <c r="E5125" t="s">
        <v>306</v>
      </c>
      <c r="F5125" t="s">
        <v>5672</v>
      </c>
      <c r="G5125">
        <v>33</v>
      </c>
      <c r="H5125">
        <v>3148.45</v>
      </c>
      <c r="I5125">
        <v>95.41</v>
      </c>
      <c r="J5125">
        <v>0</v>
      </c>
      <c r="K5125">
        <v>0</v>
      </c>
      <c r="L5125">
        <v>0</v>
      </c>
      <c r="M5125">
        <v>33</v>
      </c>
      <c r="N5125">
        <v>3148.45</v>
      </c>
      <c r="O5125">
        <v>95.41</v>
      </c>
    </row>
    <row r="5126" spans="1:15" x14ac:dyDescent="0.35">
      <c r="A5126" t="s">
        <v>5635</v>
      </c>
      <c r="B5126" t="s">
        <v>5636</v>
      </c>
      <c r="C5126" t="s">
        <v>1644</v>
      </c>
      <c r="D5126" t="s">
        <v>339</v>
      </c>
      <c r="E5126" t="s">
        <v>308</v>
      </c>
      <c r="F5126" t="s">
        <v>5673</v>
      </c>
      <c r="G5126">
        <v>100</v>
      </c>
      <c r="H5126">
        <v>15980.099999999999</v>
      </c>
      <c r="I5126">
        <v>159.80000000000001</v>
      </c>
      <c r="J5126">
        <v>0</v>
      </c>
      <c r="K5126">
        <v>0</v>
      </c>
      <c r="L5126">
        <v>0</v>
      </c>
      <c r="M5126">
        <v>100</v>
      </c>
      <c r="N5126">
        <v>15980.099999999999</v>
      </c>
      <c r="O5126">
        <v>159.80000000000001</v>
      </c>
    </row>
    <row r="5127" spans="1:15" x14ac:dyDescent="0.35">
      <c r="A5127" t="s">
        <v>5635</v>
      </c>
      <c r="B5127" t="s">
        <v>5636</v>
      </c>
      <c r="C5127" t="s">
        <v>1644</v>
      </c>
      <c r="D5127" t="s">
        <v>339</v>
      </c>
      <c r="E5127" t="s">
        <v>310</v>
      </c>
      <c r="F5127" t="s">
        <v>5674</v>
      </c>
      <c r="G5127">
        <v>680</v>
      </c>
      <c r="H5127">
        <v>84375.59</v>
      </c>
      <c r="I5127">
        <v>124.08</v>
      </c>
      <c r="J5127">
        <v>0</v>
      </c>
      <c r="K5127">
        <v>0</v>
      </c>
      <c r="L5127">
        <v>0</v>
      </c>
      <c r="M5127">
        <v>680</v>
      </c>
      <c r="N5127">
        <v>84375.59</v>
      </c>
      <c r="O5127">
        <v>124.08</v>
      </c>
    </row>
    <row r="5128" spans="1:15" x14ac:dyDescent="0.35">
      <c r="A5128" t="s">
        <v>5635</v>
      </c>
      <c r="B5128" t="s">
        <v>5636</v>
      </c>
      <c r="C5128" t="s">
        <v>1644</v>
      </c>
      <c r="D5128" t="s">
        <v>339</v>
      </c>
      <c r="E5128" t="s">
        <v>312</v>
      </c>
      <c r="F5128" t="s">
        <v>5675</v>
      </c>
      <c r="G5128">
        <v>580</v>
      </c>
      <c r="H5128">
        <v>68395.490000000005</v>
      </c>
      <c r="I5128">
        <v>117.92</v>
      </c>
      <c r="J5128">
        <v>0</v>
      </c>
      <c r="K5128">
        <v>0</v>
      </c>
      <c r="L5128">
        <v>0</v>
      </c>
      <c r="M5128">
        <v>580</v>
      </c>
      <c r="N5128">
        <v>68395.490000000005</v>
      </c>
      <c r="O5128">
        <v>117.92</v>
      </c>
    </row>
    <row r="5129" spans="1:15" x14ac:dyDescent="0.35">
      <c r="A5129" t="s">
        <v>5635</v>
      </c>
      <c r="B5129" t="s">
        <v>5636</v>
      </c>
      <c r="C5129" t="s">
        <v>1644</v>
      </c>
      <c r="D5129" t="s">
        <v>348</v>
      </c>
      <c r="E5129" t="s">
        <v>349</v>
      </c>
      <c r="F5129" t="s">
        <v>5676</v>
      </c>
      <c r="G5129">
        <v>813</v>
      </c>
      <c r="H5129">
        <v>86253.1</v>
      </c>
      <c r="I5129">
        <v>124.46</v>
      </c>
      <c r="J5129">
        <v>0</v>
      </c>
      <c r="K5129">
        <v>0</v>
      </c>
      <c r="L5129">
        <v>0</v>
      </c>
      <c r="M5129">
        <v>813</v>
      </c>
      <c r="N5129">
        <v>86253.1</v>
      </c>
      <c r="O5129">
        <v>124.46</v>
      </c>
    </row>
    <row r="5130" spans="1:15" x14ac:dyDescent="0.35">
      <c r="A5130" t="s">
        <v>5677</v>
      </c>
      <c r="B5130" t="s">
        <v>5678</v>
      </c>
      <c r="C5130" t="s">
        <v>1644</v>
      </c>
      <c r="D5130" t="s">
        <v>293</v>
      </c>
      <c r="E5130" t="s">
        <v>294</v>
      </c>
      <c r="F5130" t="s">
        <v>5679</v>
      </c>
      <c r="G5130">
        <v>100</v>
      </c>
      <c r="H5130">
        <v>16098.810000000001</v>
      </c>
      <c r="I5130">
        <v>160.99</v>
      </c>
      <c r="J5130">
        <v>0</v>
      </c>
      <c r="K5130">
        <v>0</v>
      </c>
      <c r="L5130">
        <v>0</v>
      </c>
      <c r="M5130">
        <v>100</v>
      </c>
      <c r="N5130">
        <v>16098.810000000001</v>
      </c>
      <c r="O5130">
        <v>160.99</v>
      </c>
    </row>
    <row r="5131" spans="1:15" x14ac:dyDescent="0.35">
      <c r="A5131" t="s">
        <v>5677</v>
      </c>
      <c r="B5131" t="s">
        <v>5678</v>
      </c>
      <c r="C5131" t="s">
        <v>1644</v>
      </c>
      <c r="D5131" t="s">
        <v>293</v>
      </c>
      <c r="E5131" t="s">
        <v>296</v>
      </c>
      <c r="F5131" t="s">
        <v>5680</v>
      </c>
      <c r="G5131">
        <v>182</v>
      </c>
      <c r="H5131">
        <v>38208.03</v>
      </c>
      <c r="I5131">
        <v>209.93</v>
      </c>
      <c r="J5131">
        <v>0</v>
      </c>
      <c r="K5131">
        <v>0</v>
      </c>
      <c r="L5131">
        <v>0</v>
      </c>
      <c r="M5131">
        <v>182</v>
      </c>
      <c r="N5131">
        <v>38208.03</v>
      </c>
      <c r="O5131">
        <v>209.93</v>
      </c>
    </row>
    <row r="5132" spans="1:15" x14ac:dyDescent="0.35">
      <c r="A5132" t="s">
        <v>5677</v>
      </c>
      <c r="B5132" t="s">
        <v>5678</v>
      </c>
      <c r="C5132" t="s">
        <v>1644</v>
      </c>
      <c r="D5132" t="s">
        <v>293</v>
      </c>
      <c r="E5132" t="s">
        <v>298</v>
      </c>
      <c r="F5132" t="s">
        <v>5681</v>
      </c>
      <c r="G5132">
        <v>65</v>
      </c>
      <c r="H5132">
        <v>15039.560000000001</v>
      </c>
      <c r="I5132">
        <v>231.38</v>
      </c>
      <c r="J5132">
        <v>0</v>
      </c>
      <c r="K5132">
        <v>0</v>
      </c>
      <c r="L5132">
        <v>0</v>
      </c>
      <c r="M5132">
        <v>65</v>
      </c>
      <c r="N5132">
        <v>15039.560000000001</v>
      </c>
      <c r="O5132">
        <v>231.38</v>
      </c>
    </row>
    <row r="5133" spans="1:15" x14ac:dyDescent="0.35">
      <c r="A5133" t="s">
        <v>5677</v>
      </c>
      <c r="B5133" t="s">
        <v>5678</v>
      </c>
      <c r="C5133" t="s">
        <v>1644</v>
      </c>
      <c r="D5133" t="s">
        <v>293</v>
      </c>
      <c r="E5133" t="s">
        <v>300</v>
      </c>
      <c r="F5133" t="s">
        <v>5682</v>
      </c>
      <c r="G5133">
        <v>8</v>
      </c>
      <c r="H5133">
        <v>2515.8100000000004</v>
      </c>
      <c r="I5133">
        <v>314.48</v>
      </c>
      <c r="J5133">
        <v>0</v>
      </c>
      <c r="K5133">
        <v>0</v>
      </c>
      <c r="L5133">
        <v>0</v>
      </c>
      <c r="M5133">
        <v>8</v>
      </c>
      <c r="N5133">
        <v>2515.8100000000004</v>
      </c>
      <c r="O5133">
        <v>314.48</v>
      </c>
    </row>
    <row r="5134" spans="1:15" x14ac:dyDescent="0.35">
      <c r="A5134" t="s">
        <v>5677</v>
      </c>
      <c r="B5134" t="s">
        <v>5678</v>
      </c>
      <c r="C5134" t="s">
        <v>1644</v>
      </c>
      <c r="D5134" t="s">
        <v>293</v>
      </c>
      <c r="E5134" t="s">
        <v>302</v>
      </c>
      <c r="F5134" t="s">
        <v>5683</v>
      </c>
      <c r="G5134">
        <v>0</v>
      </c>
      <c r="H5134">
        <v>0</v>
      </c>
      <c r="I5134">
        <v>0</v>
      </c>
      <c r="J5134">
        <v>0</v>
      </c>
      <c r="K5134">
        <v>0</v>
      </c>
      <c r="L5134">
        <v>0</v>
      </c>
      <c r="M5134">
        <v>0</v>
      </c>
      <c r="N5134">
        <v>0</v>
      </c>
      <c r="O5134">
        <v>0</v>
      </c>
    </row>
    <row r="5135" spans="1:15" x14ac:dyDescent="0.35">
      <c r="A5135" t="s">
        <v>5677</v>
      </c>
      <c r="B5135" t="s">
        <v>5678</v>
      </c>
      <c r="C5135" t="s">
        <v>1644</v>
      </c>
      <c r="D5135" t="s">
        <v>293</v>
      </c>
      <c r="E5135" t="s">
        <v>304</v>
      </c>
      <c r="F5135" t="s">
        <v>5684</v>
      </c>
      <c r="G5135">
        <v>0</v>
      </c>
      <c r="H5135">
        <v>0</v>
      </c>
      <c r="I5135">
        <v>0</v>
      </c>
      <c r="J5135">
        <v>0</v>
      </c>
      <c r="K5135">
        <v>0</v>
      </c>
      <c r="L5135">
        <v>0</v>
      </c>
      <c r="M5135">
        <v>0</v>
      </c>
      <c r="N5135">
        <v>0</v>
      </c>
      <c r="O5135">
        <v>0</v>
      </c>
    </row>
    <row r="5136" spans="1:15" x14ac:dyDescent="0.35">
      <c r="A5136" t="s">
        <v>5677</v>
      </c>
      <c r="B5136" t="s">
        <v>5678</v>
      </c>
      <c r="C5136" t="s">
        <v>1644</v>
      </c>
      <c r="D5136" t="s">
        <v>293</v>
      </c>
      <c r="E5136" t="s">
        <v>306</v>
      </c>
      <c r="F5136" t="s">
        <v>5685</v>
      </c>
      <c r="G5136">
        <v>0</v>
      </c>
      <c r="H5136">
        <v>0</v>
      </c>
      <c r="I5136">
        <v>0</v>
      </c>
      <c r="J5136">
        <v>0</v>
      </c>
      <c r="K5136">
        <v>0</v>
      </c>
      <c r="L5136">
        <v>0</v>
      </c>
      <c r="M5136">
        <v>0</v>
      </c>
      <c r="N5136">
        <v>0</v>
      </c>
      <c r="O5136">
        <v>0</v>
      </c>
    </row>
    <row r="5137" spans="1:15" x14ac:dyDescent="0.35">
      <c r="A5137" t="s">
        <v>5677</v>
      </c>
      <c r="B5137" t="s">
        <v>5678</v>
      </c>
      <c r="C5137" t="s">
        <v>1644</v>
      </c>
      <c r="D5137" t="s">
        <v>293</v>
      </c>
      <c r="E5137" t="s">
        <v>308</v>
      </c>
      <c r="F5137" t="s">
        <v>5686</v>
      </c>
      <c r="G5137">
        <v>0</v>
      </c>
      <c r="H5137">
        <v>0</v>
      </c>
      <c r="I5137">
        <v>0</v>
      </c>
      <c r="J5137">
        <v>0</v>
      </c>
      <c r="K5137">
        <v>0</v>
      </c>
      <c r="L5137">
        <v>0</v>
      </c>
      <c r="M5137">
        <v>0</v>
      </c>
      <c r="N5137">
        <v>0</v>
      </c>
      <c r="O5137">
        <v>0</v>
      </c>
    </row>
    <row r="5138" spans="1:15" x14ac:dyDescent="0.35">
      <c r="A5138" t="s">
        <v>5677</v>
      </c>
      <c r="B5138" t="s">
        <v>5678</v>
      </c>
      <c r="C5138" t="s">
        <v>1644</v>
      </c>
      <c r="D5138" t="s">
        <v>293</v>
      </c>
      <c r="E5138" t="s">
        <v>310</v>
      </c>
      <c r="F5138" t="s">
        <v>5687</v>
      </c>
      <c r="G5138">
        <v>355</v>
      </c>
      <c r="H5138">
        <v>71862.209999999992</v>
      </c>
      <c r="I5138">
        <v>202.43</v>
      </c>
      <c r="J5138">
        <v>0</v>
      </c>
      <c r="K5138">
        <v>0</v>
      </c>
      <c r="L5138">
        <v>0</v>
      </c>
      <c r="M5138">
        <v>355</v>
      </c>
      <c r="N5138">
        <v>71862.209999999992</v>
      </c>
      <c r="O5138">
        <v>202.43</v>
      </c>
    </row>
    <row r="5139" spans="1:15" x14ac:dyDescent="0.35">
      <c r="A5139" t="s">
        <v>5677</v>
      </c>
      <c r="B5139" t="s">
        <v>5678</v>
      </c>
      <c r="C5139" t="s">
        <v>1644</v>
      </c>
      <c r="D5139" t="s">
        <v>293</v>
      </c>
      <c r="E5139" t="s">
        <v>312</v>
      </c>
      <c r="F5139" t="s">
        <v>5688</v>
      </c>
      <c r="G5139">
        <v>355</v>
      </c>
      <c r="H5139">
        <v>71862.209999999992</v>
      </c>
      <c r="I5139">
        <v>202.43</v>
      </c>
      <c r="J5139">
        <v>0</v>
      </c>
      <c r="K5139">
        <v>0</v>
      </c>
      <c r="L5139">
        <v>0</v>
      </c>
      <c r="M5139">
        <v>355</v>
      </c>
      <c r="N5139">
        <v>71862.209999999992</v>
      </c>
      <c r="O5139">
        <v>202.43</v>
      </c>
    </row>
    <row r="5140" spans="1:15" x14ac:dyDescent="0.35">
      <c r="A5140" t="s">
        <v>5677</v>
      </c>
      <c r="B5140" t="s">
        <v>5678</v>
      </c>
      <c r="C5140" t="s">
        <v>1644</v>
      </c>
      <c r="D5140" t="s">
        <v>314</v>
      </c>
      <c r="E5140" t="s">
        <v>294</v>
      </c>
      <c r="F5140" t="s">
        <v>5689</v>
      </c>
      <c r="G5140">
        <v>60</v>
      </c>
      <c r="H5140">
        <v>9640.9499999999989</v>
      </c>
      <c r="I5140">
        <v>160.68</v>
      </c>
      <c r="J5140">
        <v>0</v>
      </c>
      <c r="K5140">
        <v>0</v>
      </c>
      <c r="L5140">
        <v>0</v>
      </c>
      <c r="M5140">
        <v>60</v>
      </c>
      <c r="N5140">
        <v>9640.9499999999989</v>
      </c>
      <c r="O5140">
        <v>160.68</v>
      </c>
    </row>
    <row r="5141" spans="1:15" x14ac:dyDescent="0.35">
      <c r="A5141" t="s">
        <v>5677</v>
      </c>
      <c r="B5141" t="s">
        <v>5678</v>
      </c>
      <c r="C5141" t="s">
        <v>1644</v>
      </c>
      <c r="D5141" t="s">
        <v>314</v>
      </c>
      <c r="E5141" t="s">
        <v>296</v>
      </c>
      <c r="F5141" t="s">
        <v>5690</v>
      </c>
      <c r="G5141">
        <v>35</v>
      </c>
      <c r="H5141">
        <v>6950.3000000000011</v>
      </c>
      <c r="I5141">
        <v>198.58</v>
      </c>
      <c r="J5141">
        <v>0</v>
      </c>
      <c r="K5141">
        <v>0</v>
      </c>
      <c r="L5141">
        <v>0</v>
      </c>
      <c r="M5141">
        <v>35</v>
      </c>
      <c r="N5141">
        <v>6950.3000000000011</v>
      </c>
      <c r="O5141">
        <v>198.58</v>
      </c>
    </row>
    <row r="5142" spans="1:15" x14ac:dyDescent="0.35">
      <c r="A5142" t="s">
        <v>5677</v>
      </c>
      <c r="B5142" t="s">
        <v>5678</v>
      </c>
      <c r="C5142" t="s">
        <v>1644</v>
      </c>
      <c r="D5142" t="s">
        <v>314</v>
      </c>
      <c r="E5142" t="s">
        <v>298</v>
      </c>
      <c r="F5142" t="s">
        <v>5691</v>
      </c>
      <c r="G5142">
        <v>0</v>
      </c>
      <c r="H5142">
        <v>0</v>
      </c>
      <c r="I5142">
        <v>0</v>
      </c>
      <c r="J5142">
        <v>0</v>
      </c>
      <c r="K5142">
        <v>0</v>
      </c>
      <c r="L5142">
        <v>0</v>
      </c>
      <c r="M5142">
        <v>0</v>
      </c>
      <c r="N5142">
        <v>0</v>
      </c>
      <c r="O5142">
        <v>0</v>
      </c>
    </row>
    <row r="5143" spans="1:15" x14ac:dyDescent="0.35">
      <c r="A5143" t="s">
        <v>5677</v>
      </c>
      <c r="B5143" t="s">
        <v>5678</v>
      </c>
      <c r="C5143" t="s">
        <v>1644</v>
      </c>
      <c r="D5143" t="s">
        <v>314</v>
      </c>
      <c r="E5143" t="s">
        <v>300</v>
      </c>
      <c r="F5143" t="s">
        <v>5692</v>
      </c>
      <c r="G5143">
        <v>0</v>
      </c>
      <c r="H5143">
        <v>0</v>
      </c>
      <c r="I5143">
        <v>0</v>
      </c>
      <c r="J5143">
        <v>0</v>
      </c>
      <c r="K5143">
        <v>0</v>
      </c>
      <c r="L5143">
        <v>0</v>
      </c>
      <c r="M5143">
        <v>0</v>
      </c>
      <c r="N5143">
        <v>0</v>
      </c>
      <c r="O5143">
        <v>0</v>
      </c>
    </row>
    <row r="5144" spans="1:15" x14ac:dyDescent="0.35">
      <c r="A5144" t="s">
        <v>5677</v>
      </c>
      <c r="B5144" t="s">
        <v>5678</v>
      </c>
      <c r="C5144" t="s">
        <v>1644</v>
      </c>
      <c r="D5144" t="s">
        <v>314</v>
      </c>
      <c r="E5144" t="s">
        <v>306</v>
      </c>
      <c r="F5144" t="s">
        <v>5693</v>
      </c>
      <c r="G5144">
        <v>0</v>
      </c>
      <c r="H5144">
        <v>0</v>
      </c>
      <c r="I5144">
        <v>0</v>
      </c>
      <c r="J5144">
        <v>0</v>
      </c>
      <c r="K5144">
        <v>0</v>
      </c>
      <c r="L5144">
        <v>0</v>
      </c>
      <c r="M5144">
        <v>0</v>
      </c>
      <c r="N5144">
        <v>0</v>
      </c>
      <c r="O5144">
        <v>0</v>
      </c>
    </row>
    <row r="5145" spans="1:15" x14ac:dyDescent="0.35">
      <c r="A5145" t="s">
        <v>5677</v>
      </c>
      <c r="B5145" t="s">
        <v>5678</v>
      </c>
      <c r="C5145" t="s">
        <v>1644</v>
      </c>
      <c r="D5145" t="s">
        <v>314</v>
      </c>
      <c r="E5145" t="s">
        <v>308</v>
      </c>
      <c r="F5145" t="s">
        <v>5694</v>
      </c>
      <c r="G5145">
        <v>0</v>
      </c>
      <c r="H5145">
        <v>0</v>
      </c>
      <c r="I5145">
        <v>0</v>
      </c>
      <c r="J5145">
        <v>0</v>
      </c>
      <c r="K5145">
        <v>0</v>
      </c>
      <c r="L5145">
        <v>0</v>
      </c>
      <c r="M5145">
        <v>0</v>
      </c>
      <c r="N5145">
        <v>0</v>
      </c>
      <c r="O5145">
        <v>0</v>
      </c>
    </row>
    <row r="5146" spans="1:15" x14ac:dyDescent="0.35">
      <c r="A5146" t="s">
        <v>5677</v>
      </c>
      <c r="B5146" t="s">
        <v>5678</v>
      </c>
      <c r="C5146" t="s">
        <v>1644</v>
      </c>
      <c r="D5146" t="s">
        <v>314</v>
      </c>
      <c r="E5146" t="s">
        <v>312</v>
      </c>
      <c r="F5146" t="s">
        <v>5695</v>
      </c>
      <c r="G5146">
        <v>95</v>
      </c>
      <c r="H5146">
        <v>16591.25</v>
      </c>
      <c r="I5146">
        <v>174.64</v>
      </c>
      <c r="J5146">
        <v>0</v>
      </c>
      <c r="K5146">
        <v>0</v>
      </c>
      <c r="L5146">
        <v>0</v>
      </c>
      <c r="M5146">
        <v>95</v>
      </c>
      <c r="N5146">
        <v>16591.25</v>
      </c>
      <c r="O5146">
        <v>174.64</v>
      </c>
    </row>
    <row r="5147" spans="1:15" x14ac:dyDescent="0.35">
      <c r="A5147" t="s">
        <v>5677</v>
      </c>
      <c r="B5147" t="s">
        <v>5678</v>
      </c>
      <c r="C5147" t="s">
        <v>1644</v>
      </c>
      <c r="D5147" t="s">
        <v>314</v>
      </c>
      <c r="E5147" t="s">
        <v>310</v>
      </c>
      <c r="F5147" t="s">
        <v>5696</v>
      </c>
      <c r="G5147">
        <v>95</v>
      </c>
      <c r="H5147">
        <v>16591.25</v>
      </c>
      <c r="I5147">
        <v>174.64</v>
      </c>
      <c r="J5147">
        <v>0</v>
      </c>
      <c r="K5147">
        <v>0</v>
      </c>
      <c r="L5147">
        <v>0</v>
      </c>
      <c r="M5147">
        <v>95</v>
      </c>
      <c r="N5147">
        <v>16591.25</v>
      </c>
      <c r="O5147">
        <v>174.64</v>
      </c>
    </row>
    <row r="5148" spans="1:15" x14ac:dyDescent="0.35">
      <c r="A5148" t="s">
        <v>5677</v>
      </c>
      <c r="B5148" t="s">
        <v>5678</v>
      </c>
      <c r="C5148" t="s">
        <v>1644</v>
      </c>
      <c r="D5148" t="s">
        <v>323</v>
      </c>
      <c r="E5148" t="s">
        <v>294</v>
      </c>
      <c r="F5148" t="s">
        <v>5697</v>
      </c>
      <c r="G5148">
        <v>1326</v>
      </c>
      <c r="H5148">
        <v>147942.19999999998</v>
      </c>
      <c r="I5148">
        <v>111.57</v>
      </c>
      <c r="J5148">
        <v>0</v>
      </c>
      <c r="K5148">
        <v>0</v>
      </c>
      <c r="L5148">
        <v>0</v>
      </c>
      <c r="M5148">
        <v>1326</v>
      </c>
      <c r="N5148">
        <v>147942.19999999998</v>
      </c>
      <c r="O5148">
        <v>111.57</v>
      </c>
    </row>
    <row r="5149" spans="1:15" x14ac:dyDescent="0.35">
      <c r="A5149" t="s">
        <v>5677</v>
      </c>
      <c r="B5149" t="s">
        <v>5678</v>
      </c>
      <c r="C5149" t="s">
        <v>1644</v>
      </c>
      <c r="D5149" t="s">
        <v>323</v>
      </c>
      <c r="E5149" t="s">
        <v>296</v>
      </c>
      <c r="F5149" t="s">
        <v>5698</v>
      </c>
      <c r="G5149">
        <v>1895</v>
      </c>
      <c r="H5149">
        <v>246528.03000000003</v>
      </c>
      <c r="I5149">
        <v>130.09</v>
      </c>
      <c r="J5149">
        <v>0</v>
      </c>
      <c r="K5149">
        <v>0</v>
      </c>
      <c r="L5149">
        <v>0</v>
      </c>
      <c r="M5149">
        <v>1895</v>
      </c>
      <c r="N5149">
        <v>246528.03000000003</v>
      </c>
      <c r="O5149">
        <v>130.09</v>
      </c>
    </row>
    <row r="5150" spans="1:15" x14ac:dyDescent="0.35">
      <c r="A5150" t="s">
        <v>5677</v>
      </c>
      <c r="B5150" t="s">
        <v>5678</v>
      </c>
      <c r="C5150" t="s">
        <v>1644</v>
      </c>
      <c r="D5150" t="s">
        <v>323</v>
      </c>
      <c r="E5150" t="s">
        <v>298</v>
      </c>
      <c r="F5150" t="s">
        <v>5699</v>
      </c>
      <c r="G5150">
        <v>2149</v>
      </c>
      <c r="H5150">
        <v>306868.67</v>
      </c>
      <c r="I5150">
        <v>142.80000000000001</v>
      </c>
      <c r="J5150">
        <v>0</v>
      </c>
      <c r="K5150">
        <v>0</v>
      </c>
      <c r="L5150">
        <v>0</v>
      </c>
      <c r="M5150">
        <v>2149</v>
      </c>
      <c r="N5150">
        <v>306868.67</v>
      </c>
      <c r="O5150">
        <v>142.80000000000001</v>
      </c>
    </row>
    <row r="5151" spans="1:15" x14ac:dyDescent="0.35">
      <c r="A5151" t="s">
        <v>5677</v>
      </c>
      <c r="B5151" t="s">
        <v>5678</v>
      </c>
      <c r="C5151" t="s">
        <v>1644</v>
      </c>
      <c r="D5151" t="s">
        <v>323</v>
      </c>
      <c r="E5151" t="s">
        <v>300</v>
      </c>
      <c r="F5151" t="s">
        <v>5700</v>
      </c>
      <c r="G5151">
        <v>122</v>
      </c>
      <c r="H5151">
        <v>19511.39</v>
      </c>
      <c r="I5151">
        <v>159.93</v>
      </c>
      <c r="J5151">
        <v>0</v>
      </c>
      <c r="K5151">
        <v>0</v>
      </c>
      <c r="L5151">
        <v>0</v>
      </c>
      <c r="M5151">
        <v>122</v>
      </c>
      <c r="N5151">
        <v>19511.39</v>
      </c>
      <c r="O5151">
        <v>159.93</v>
      </c>
    </row>
    <row r="5152" spans="1:15" x14ac:dyDescent="0.35">
      <c r="A5152" t="s">
        <v>5677</v>
      </c>
      <c r="B5152" t="s">
        <v>5678</v>
      </c>
      <c r="C5152" t="s">
        <v>1644</v>
      </c>
      <c r="D5152" t="s">
        <v>323</v>
      </c>
      <c r="E5152" t="s">
        <v>302</v>
      </c>
      <c r="F5152" t="s">
        <v>5701</v>
      </c>
      <c r="G5152">
        <v>5</v>
      </c>
      <c r="H5152">
        <v>898</v>
      </c>
      <c r="I5152">
        <v>179.6</v>
      </c>
      <c r="J5152">
        <v>0</v>
      </c>
      <c r="K5152">
        <v>0</v>
      </c>
      <c r="L5152">
        <v>0</v>
      </c>
      <c r="M5152">
        <v>5</v>
      </c>
      <c r="N5152">
        <v>898</v>
      </c>
      <c r="O5152">
        <v>179.6</v>
      </c>
    </row>
    <row r="5153" spans="1:15" x14ac:dyDescent="0.35">
      <c r="A5153" t="s">
        <v>5677</v>
      </c>
      <c r="B5153" t="s">
        <v>5678</v>
      </c>
      <c r="C5153" t="s">
        <v>1644</v>
      </c>
      <c r="D5153" t="s">
        <v>323</v>
      </c>
      <c r="E5153" t="s">
        <v>304</v>
      </c>
      <c r="F5153" t="s">
        <v>5702</v>
      </c>
      <c r="G5153">
        <v>3</v>
      </c>
      <c r="H5153">
        <v>619.31999999999994</v>
      </c>
      <c r="I5153">
        <v>206.44</v>
      </c>
      <c r="J5153">
        <v>0</v>
      </c>
      <c r="K5153">
        <v>0</v>
      </c>
      <c r="L5153">
        <v>0</v>
      </c>
      <c r="M5153">
        <v>3</v>
      </c>
      <c r="N5153">
        <v>619.31999999999994</v>
      </c>
      <c r="O5153">
        <v>206.44</v>
      </c>
    </row>
    <row r="5154" spans="1:15" x14ac:dyDescent="0.35">
      <c r="A5154" t="s">
        <v>5677</v>
      </c>
      <c r="B5154" t="s">
        <v>5678</v>
      </c>
      <c r="C5154" t="s">
        <v>1644</v>
      </c>
      <c r="D5154" t="s">
        <v>323</v>
      </c>
      <c r="E5154" t="s">
        <v>306</v>
      </c>
      <c r="F5154" t="s">
        <v>5703</v>
      </c>
      <c r="G5154">
        <v>0</v>
      </c>
      <c r="H5154">
        <v>0</v>
      </c>
      <c r="I5154">
        <v>0</v>
      </c>
      <c r="J5154">
        <v>0</v>
      </c>
      <c r="K5154">
        <v>0</v>
      </c>
      <c r="L5154">
        <v>0</v>
      </c>
      <c r="M5154">
        <v>0</v>
      </c>
      <c r="N5154">
        <v>0</v>
      </c>
      <c r="O5154">
        <v>0</v>
      </c>
    </row>
    <row r="5155" spans="1:15" x14ac:dyDescent="0.35">
      <c r="A5155" t="s">
        <v>5677</v>
      </c>
      <c r="B5155" t="s">
        <v>5678</v>
      </c>
      <c r="C5155" t="s">
        <v>1644</v>
      </c>
      <c r="D5155" t="s">
        <v>323</v>
      </c>
      <c r="E5155" t="s">
        <v>308</v>
      </c>
      <c r="F5155" t="s">
        <v>5704</v>
      </c>
      <c r="G5155">
        <v>0</v>
      </c>
      <c r="H5155">
        <v>0</v>
      </c>
      <c r="I5155">
        <v>0</v>
      </c>
      <c r="J5155">
        <v>0</v>
      </c>
      <c r="K5155">
        <v>0</v>
      </c>
      <c r="L5155">
        <v>0</v>
      </c>
      <c r="M5155">
        <v>0</v>
      </c>
      <c r="N5155">
        <v>0</v>
      </c>
      <c r="O5155">
        <v>0</v>
      </c>
    </row>
    <row r="5156" spans="1:15" x14ac:dyDescent="0.35">
      <c r="A5156" t="s">
        <v>5677</v>
      </c>
      <c r="B5156" t="s">
        <v>5678</v>
      </c>
      <c r="C5156" t="s">
        <v>1644</v>
      </c>
      <c r="D5156" t="s">
        <v>323</v>
      </c>
      <c r="E5156" t="s">
        <v>310</v>
      </c>
      <c r="F5156" t="s">
        <v>5705</v>
      </c>
      <c r="G5156">
        <v>5500</v>
      </c>
      <c r="H5156">
        <v>722367.60999999987</v>
      </c>
      <c r="I5156">
        <v>131.34</v>
      </c>
      <c r="J5156">
        <v>0</v>
      </c>
      <c r="K5156">
        <v>0</v>
      </c>
      <c r="L5156">
        <v>0</v>
      </c>
      <c r="M5156">
        <v>5500</v>
      </c>
      <c r="N5156">
        <v>722367.60999999987</v>
      </c>
      <c r="O5156">
        <v>131.34</v>
      </c>
    </row>
    <row r="5157" spans="1:15" x14ac:dyDescent="0.35">
      <c r="A5157" t="s">
        <v>5677</v>
      </c>
      <c r="B5157" t="s">
        <v>5678</v>
      </c>
      <c r="C5157" t="s">
        <v>1644</v>
      </c>
      <c r="D5157" t="s">
        <v>323</v>
      </c>
      <c r="E5157" t="s">
        <v>312</v>
      </c>
      <c r="F5157" t="s">
        <v>5706</v>
      </c>
      <c r="G5157">
        <v>5500</v>
      </c>
      <c r="H5157">
        <v>722367.60999999987</v>
      </c>
      <c r="I5157">
        <v>131.34</v>
      </c>
      <c r="J5157">
        <v>0</v>
      </c>
      <c r="K5157">
        <v>0</v>
      </c>
      <c r="L5157">
        <v>0</v>
      </c>
      <c r="M5157">
        <v>5500</v>
      </c>
      <c r="N5157">
        <v>722367.60999999987</v>
      </c>
      <c r="O5157">
        <v>131.34</v>
      </c>
    </row>
    <row r="5158" spans="1:15" x14ac:dyDescent="0.35">
      <c r="A5158" t="s">
        <v>5677</v>
      </c>
      <c r="B5158" t="s">
        <v>5678</v>
      </c>
      <c r="C5158" t="s">
        <v>1644</v>
      </c>
      <c r="D5158" t="s">
        <v>334</v>
      </c>
      <c r="E5158" t="s">
        <v>312</v>
      </c>
      <c r="F5158" t="s">
        <v>5707</v>
      </c>
      <c r="G5158">
        <v>5890</v>
      </c>
      <c r="H5158">
        <v>794229.82</v>
      </c>
      <c r="I5158">
        <v>135.65</v>
      </c>
      <c r="J5158">
        <v>0</v>
      </c>
      <c r="K5158">
        <v>0</v>
      </c>
      <c r="L5158">
        <v>0</v>
      </c>
      <c r="M5158">
        <v>5890</v>
      </c>
      <c r="N5158">
        <v>794229.82</v>
      </c>
      <c r="O5158">
        <v>135.65</v>
      </c>
    </row>
    <row r="5159" spans="1:15" x14ac:dyDescent="0.35">
      <c r="A5159" t="s">
        <v>5677</v>
      </c>
      <c r="B5159" t="s">
        <v>5678</v>
      </c>
      <c r="C5159" t="s">
        <v>1644</v>
      </c>
      <c r="D5159" t="s">
        <v>334</v>
      </c>
      <c r="E5159" t="s">
        <v>308</v>
      </c>
      <c r="F5159" t="s">
        <v>5708</v>
      </c>
      <c r="G5159">
        <v>0</v>
      </c>
      <c r="H5159">
        <v>0</v>
      </c>
      <c r="I5159">
        <v>0</v>
      </c>
      <c r="J5159">
        <v>0</v>
      </c>
      <c r="K5159">
        <v>0</v>
      </c>
      <c r="L5159">
        <v>0</v>
      </c>
      <c r="M5159">
        <v>0</v>
      </c>
      <c r="N5159">
        <v>0</v>
      </c>
      <c r="O5159">
        <v>0</v>
      </c>
    </row>
    <row r="5160" spans="1:15" x14ac:dyDescent="0.35">
      <c r="A5160" t="s">
        <v>5677</v>
      </c>
      <c r="B5160" t="s">
        <v>5678</v>
      </c>
      <c r="C5160" t="s">
        <v>1644</v>
      </c>
      <c r="D5160" t="s">
        <v>337</v>
      </c>
      <c r="E5160" t="s">
        <v>337</v>
      </c>
      <c r="F5160" t="s">
        <v>5709</v>
      </c>
      <c r="G5160">
        <v>867</v>
      </c>
      <c r="J5160">
        <v>0</v>
      </c>
      <c r="M5160">
        <v>867</v>
      </c>
    </row>
    <row r="5161" spans="1:15" x14ac:dyDescent="0.35">
      <c r="A5161" t="s">
        <v>5677</v>
      </c>
      <c r="B5161" t="s">
        <v>5678</v>
      </c>
      <c r="C5161" t="s">
        <v>1644</v>
      </c>
      <c r="D5161" t="s">
        <v>339</v>
      </c>
      <c r="E5161" t="s">
        <v>294</v>
      </c>
      <c r="F5161" t="s">
        <v>5710</v>
      </c>
      <c r="G5161">
        <v>459</v>
      </c>
      <c r="H5161">
        <v>51749.590000000004</v>
      </c>
      <c r="I5161">
        <v>112.74</v>
      </c>
      <c r="J5161">
        <v>0</v>
      </c>
      <c r="K5161">
        <v>0</v>
      </c>
      <c r="L5161">
        <v>0</v>
      </c>
      <c r="M5161">
        <v>459</v>
      </c>
      <c r="N5161">
        <v>51749.590000000004</v>
      </c>
      <c r="O5161">
        <v>112.74</v>
      </c>
    </row>
    <row r="5162" spans="1:15" x14ac:dyDescent="0.35">
      <c r="A5162" t="s">
        <v>5677</v>
      </c>
      <c r="B5162" t="s">
        <v>5678</v>
      </c>
      <c r="C5162" t="s">
        <v>1644</v>
      </c>
      <c r="D5162" t="s">
        <v>339</v>
      </c>
      <c r="E5162" t="s">
        <v>296</v>
      </c>
      <c r="F5162" t="s">
        <v>5711</v>
      </c>
      <c r="G5162">
        <v>29</v>
      </c>
      <c r="H5162">
        <v>3768.13</v>
      </c>
      <c r="I5162">
        <v>129.94</v>
      </c>
      <c r="J5162">
        <v>0</v>
      </c>
      <c r="K5162">
        <v>0</v>
      </c>
      <c r="L5162">
        <v>0</v>
      </c>
      <c r="M5162">
        <v>29</v>
      </c>
      <c r="N5162">
        <v>3768.13</v>
      </c>
      <c r="O5162">
        <v>129.94</v>
      </c>
    </row>
    <row r="5163" spans="1:15" x14ac:dyDescent="0.35">
      <c r="A5163" t="s">
        <v>5677</v>
      </c>
      <c r="B5163" t="s">
        <v>5678</v>
      </c>
      <c r="C5163" t="s">
        <v>1644</v>
      </c>
      <c r="D5163" t="s">
        <v>339</v>
      </c>
      <c r="E5163" t="s">
        <v>298</v>
      </c>
      <c r="F5163" t="s">
        <v>5712</v>
      </c>
      <c r="G5163">
        <v>2</v>
      </c>
      <c r="H5163">
        <v>277.71000000000004</v>
      </c>
      <c r="I5163">
        <v>138.86000000000001</v>
      </c>
      <c r="J5163">
        <v>0</v>
      </c>
      <c r="K5163">
        <v>0</v>
      </c>
      <c r="L5163">
        <v>0</v>
      </c>
      <c r="M5163">
        <v>2</v>
      </c>
      <c r="N5163">
        <v>277.71000000000004</v>
      </c>
      <c r="O5163">
        <v>138.86000000000001</v>
      </c>
    </row>
    <row r="5164" spans="1:15" x14ac:dyDescent="0.35">
      <c r="A5164" t="s">
        <v>5677</v>
      </c>
      <c r="B5164" t="s">
        <v>5678</v>
      </c>
      <c r="C5164" t="s">
        <v>1644</v>
      </c>
      <c r="D5164" t="s">
        <v>339</v>
      </c>
      <c r="E5164" t="s">
        <v>300</v>
      </c>
      <c r="F5164" t="s">
        <v>5713</v>
      </c>
      <c r="G5164">
        <v>0</v>
      </c>
      <c r="H5164">
        <v>0</v>
      </c>
      <c r="I5164">
        <v>0</v>
      </c>
      <c r="J5164">
        <v>0</v>
      </c>
      <c r="K5164">
        <v>0</v>
      </c>
      <c r="L5164">
        <v>0</v>
      </c>
      <c r="M5164">
        <v>0</v>
      </c>
      <c r="N5164">
        <v>0</v>
      </c>
      <c r="O5164">
        <v>0</v>
      </c>
    </row>
    <row r="5165" spans="1:15" x14ac:dyDescent="0.35">
      <c r="A5165" t="s">
        <v>5677</v>
      </c>
      <c r="B5165" t="s">
        <v>5678</v>
      </c>
      <c r="C5165" t="s">
        <v>1644</v>
      </c>
      <c r="D5165" t="s">
        <v>339</v>
      </c>
      <c r="E5165" t="s">
        <v>306</v>
      </c>
      <c r="F5165" t="s">
        <v>5714</v>
      </c>
      <c r="G5165">
        <v>56</v>
      </c>
      <c r="H5165">
        <v>5600.96</v>
      </c>
      <c r="I5165">
        <v>100.02</v>
      </c>
      <c r="J5165">
        <v>0</v>
      </c>
      <c r="K5165">
        <v>0</v>
      </c>
      <c r="L5165">
        <v>0</v>
      </c>
      <c r="M5165">
        <v>56</v>
      </c>
      <c r="N5165">
        <v>5600.96</v>
      </c>
      <c r="O5165">
        <v>100.02</v>
      </c>
    </row>
    <row r="5166" spans="1:15" x14ac:dyDescent="0.35">
      <c r="A5166" t="s">
        <v>5677</v>
      </c>
      <c r="B5166" t="s">
        <v>5678</v>
      </c>
      <c r="C5166" t="s">
        <v>1644</v>
      </c>
      <c r="D5166" t="s">
        <v>339</v>
      </c>
      <c r="E5166" t="s">
        <v>308</v>
      </c>
      <c r="F5166" t="s">
        <v>5715</v>
      </c>
      <c r="G5166">
        <v>16</v>
      </c>
      <c r="H5166">
        <v>1987.23</v>
      </c>
      <c r="I5166">
        <v>124.2</v>
      </c>
      <c r="J5166">
        <v>0</v>
      </c>
      <c r="K5166">
        <v>0</v>
      </c>
      <c r="L5166">
        <v>0</v>
      </c>
      <c r="M5166">
        <v>16</v>
      </c>
      <c r="N5166">
        <v>1987.23</v>
      </c>
      <c r="O5166">
        <v>124.2</v>
      </c>
    </row>
    <row r="5167" spans="1:15" x14ac:dyDescent="0.35">
      <c r="A5167" t="s">
        <v>5677</v>
      </c>
      <c r="B5167" t="s">
        <v>5678</v>
      </c>
      <c r="C5167" t="s">
        <v>1644</v>
      </c>
      <c r="D5167" t="s">
        <v>339</v>
      </c>
      <c r="E5167" t="s">
        <v>310</v>
      </c>
      <c r="F5167" t="s">
        <v>5716</v>
      </c>
      <c r="G5167">
        <v>562</v>
      </c>
      <c r="H5167">
        <v>63383.62</v>
      </c>
      <c r="I5167">
        <v>112.78</v>
      </c>
      <c r="J5167">
        <v>0</v>
      </c>
      <c r="K5167">
        <v>0</v>
      </c>
      <c r="L5167">
        <v>0</v>
      </c>
      <c r="M5167">
        <v>562</v>
      </c>
      <c r="N5167">
        <v>63383.62</v>
      </c>
      <c r="O5167">
        <v>112.78</v>
      </c>
    </row>
    <row r="5168" spans="1:15" x14ac:dyDescent="0.35">
      <c r="A5168" t="s">
        <v>5677</v>
      </c>
      <c r="B5168" t="s">
        <v>5678</v>
      </c>
      <c r="C5168" t="s">
        <v>1644</v>
      </c>
      <c r="D5168" t="s">
        <v>339</v>
      </c>
      <c r="E5168" t="s">
        <v>312</v>
      </c>
      <c r="F5168" t="s">
        <v>5717</v>
      </c>
      <c r="G5168">
        <v>546</v>
      </c>
      <c r="H5168">
        <v>61396.39</v>
      </c>
      <c r="I5168">
        <v>112.45</v>
      </c>
      <c r="J5168">
        <v>0</v>
      </c>
      <c r="K5168">
        <v>0</v>
      </c>
      <c r="L5168">
        <v>0</v>
      </c>
      <c r="M5168">
        <v>546</v>
      </c>
      <c r="N5168">
        <v>61396.39</v>
      </c>
      <c r="O5168">
        <v>112.45</v>
      </c>
    </row>
    <row r="5169" spans="1:15" x14ac:dyDescent="0.35">
      <c r="A5169" t="s">
        <v>5677</v>
      </c>
      <c r="B5169" t="s">
        <v>5678</v>
      </c>
      <c r="C5169" t="s">
        <v>1644</v>
      </c>
      <c r="D5169" t="s">
        <v>348</v>
      </c>
      <c r="E5169" t="s">
        <v>349</v>
      </c>
      <c r="F5169" t="s">
        <v>5718</v>
      </c>
      <c r="G5169">
        <v>789</v>
      </c>
      <c r="H5169">
        <v>79974.87000000001</v>
      </c>
      <c r="I5169">
        <v>121.73</v>
      </c>
      <c r="J5169">
        <v>0</v>
      </c>
      <c r="K5169">
        <v>0</v>
      </c>
      <c r="L5169">
        <v>0</v>
      </c>
      <c r="M5169">
        <v>789</v>
      </c>
      <c r="N5169">
        <v>79974.87000000001</v>
      </c>
      <c r="O5169">
        <v>121.73</v>
      </c>
    </row>
    <row r="5170" spans="1:15" x14ac:dyDescent="0.35">
      <c r="A5170" t="s">
        <v>5719</v>
      </c>
      <c r="B5170" t="s">
        <v>5720</v>
      </c>
      <c r="C5170" t="s">
        <v>1644</v>
      </c>
      <c r="D5170" t="s">
        <v>293</v>
      </c>
      <c r="E5170" t="s">
        <v>294</v>
      </c>
      <c r="F5170" t="s">
        <v>5721</v>
      </c>
      <c r="G5170">
        <v>49</v>
      </c>
      <c r="H5170">
        <v>6935.1500000000005</v>
      </c>
      <c r="I5170">
        <v>141.53</v>
      </c>
      <c r="J5170">
        <v>38</v>
      </c>
      <c r="K5170">
        <v>4082.72</v>
      </c>
      <c r="L5170">
        <v>107.44</v>
      </c>
      <c r="M5170">
        <v>87</v>
      </c>
      <c r="N5170">
        <v>11017.87</v>
      </c>
      <c r="O5170">
        <v>126.64</v>
      </c>
    </row>
    <row r="5171" spans="1:15" x14ac:dyDescent="0.35">
      <c r="A5171" t="s">
        <v>5719</v>
      </c>
      <c r="B5171" t="s">
        <v>5720</v>
      </c>
      <c r="C5171" t="s">
        <v>1644</v>
      </c>
      <c r="D5171" t="s">
        <v>293</v>
      </c>
      <c r="E5171" t="s">
        <v>296</v>
      </c>
      <c r="F5171" t="s">
        <v>5722</v>
      </c>
      <c r="G5171">
        <v>127</v>
      </c>
      <c r="H5171">
        <v>19738.86</v>
      </c>
      <c r="I5171">
        <v>155.41999999999999</v>
      </c>
      <c r="J5171">
        <v>84</v>
      </c>
      <c r="K5171">
        <v>12274.08</v>
      </c>
      <c r="L5171">
        <v>146.12</v>
      </c>
      <c r="M5171">
        <v>211</v>
      </c>
      <c r="N5171">
        <v>32012.940000000002</v>
      </c>
      <c r="O5171">
        <v>151.72</v>
      </c>
    </row>
    <row r="5172" spans="1:15" x14ac:dyDescent="0.35">
      <c r="A5172" t="s">
        <v>5719</v>
      </c>
      <c r="B5172" t="s">
        <v>5720</v>
      </c>
      <c r="C5172" t="s">
        <v>1644</v>
      </c>
      <c r="D5172" t="s">
        <v>293</v>
      </c>
      <c r="E5172" t="s">
        <v>298</v>
      </c>
      <c r="F5172" t="s">
        <v>5723</v>
      </c>
      <c r="G5172">
        <v>76</v>
      </c>
      <c r="H5172">
        <v>13496.35</v>
      </c>
      <c r="I5172">
        <v>177.58</v>
      </c>
      <c r="J5172">
        <v>36</v>
      </c>
      <c r="K5172">
        <v>6820.92</v>
      </c>
      <c r="L5172">
        <v>189.47</v>
      </c>
      <c r="M5172">
        <v>112</v>
      </c>
      <c r="N5172">
        <v>20317.27</v>
      </c>
      <c r="O5172">
        <v>181.4</v>
      </c>
    </row>
    <row r="5173" spans="1:15" x14ac:dyDescent="0.35">
      <c r="A5173" t="s">
        <v>5719</v>
      </c>
      <c r="B5173" t="s">
        <v>5720</v>
      </c>
      <c r="C5173" t="s">
        <v>1644</v>
      </c>
      <c r="D5173" t="s">
        <v>293</v>
      </c>
      <c r="E5173" t="s">
        <v>300</v>
      </c>
      <c r="F5173" t="s">
        <v>5724</v>
      </c>
      <c r="G5173">
        <v>34</v>
      </c>
      <c r="H5173">
        <v>7536.68</v>
      </c>
      <c r="I5173">
        <v>221.67</v>
      </c>
      <c r="J5173">
        <v>4</v>
      </c>
      <c r="K5173">
        <v>949.24</v>
      </c>
      <c r="L5173">
        <v>237.31</v>
      </c>
      <c r="M5173">
        <v>38</v>
      </c>
      <c r="N5173">
        <v>8485.92</v>
      </c>
      <c r="O5173">
        <v>223.31</v>
      </c>
    </row>
    <row r="5174" spans="1:15" x14ac:dyDescent="0.35">
      <c r="A5174" t="s">
        <v>5719</v>
      </c>
      <c r="B5174" t="s">
        <v>5720</v>
      </c>
      <c r="C5174" t="s">
        <v>1644</v>
      </c>
      <c r="D5174" t="s">
        <v>293</v>
      </c>
      <c r="E5174" t="s">
        <v>302</v>
      </c>
      <c r="F5174" t="s">
        <v>5725</v>
      </c>
      <c r="G5174">
        <v>0</v>
      </c>
      <c r="H5174">
        <v>0</v>
      </c>
      <c r="I5174">
        <v>0</v>
      </c>
      <c r="J5174">
        <v>0</v>
      </c>
      <c r="K5174">
        <v>0</v>
      </c>
      <c r="L5174">
        <v>0</v>
      </c>
      <c r="M5174">
        <v>0</v>
      </c>
      <c r="N5174">
        <v>0</v>
      </c>
      <c r="O5174">
        <v>0</v>
      </c>
    </row>
    <row r="5175" spans="1:15" x14ac:dyDescent="0.35">
      <c r="A5175" t="s">
        <v>5719</v>
      </c>
      <c r="B5175" t="s">
        <v>5720</v>
      </c>
      <c r="C5175" t="s">
        <v>1644</v>
      </c>
      <c r="D5175" t="s">
        <v>293</v>
      </c>
      <c r="E5175" t="s">
        <v>304</v>
      </c>
      <c r="F5175" t="s">
        <v>5726</v>
      </c>
      <c r="G5175">
        <v>0</v>
      </c>
      <c r="H5175">
        <v>0</v>
      </c>
      <c r="I5175">
        <v>0</v>
      </c>
      <c r="J5175">
        <v>0</v>
      </c>
      <c r="K5175">
        <v>0</v>
      </c>
      <c r="L5175">
        <v>0</v>
      </c>
      <c r="M5175">
        <v>0</v>
      </c>
      <c r="N5175">
        <v>0</v>
      </c>
      <c r="O5175">
        <v>0</v>
      </c>
    </row>
    <row r="5176" spans="1:15" x14ac:dyDescent="0.35">
      <c r="A5176" t="s">
        <v>5719</v>
      </c>
      <c r="B5176" t="s">
        <v>5720</v>
      </c>
      <c r="C5176" t="s">
        <v>1644</v>
      </c>
      <c r="D5176" t="s">
        <v>293</v>
      </c>
      <c r="E5176" t="s">
        <v>306</v>
      </c>
      <c r="F5176" t="s">
        <v>5727</v>
      </c>
      <c r="G5176">
        <v>0</v>
      </c>
      <c r="H5176">
        <v>0</v>
      </c>
      <c r="I5176">
        <v>0</v>
      </c>
      <c r="J5176">
        <v>0</v>
      </c>
      <c r="K5176">
        <v>0</v>
      </c>
      <c r="L5176">
        <v>0</v>
      </c>
      <c r="M5176">
        <v>0</v>
      </c>
      <c r="N5176">
        <v>0</v>
      </c>
      <c r="O5176">
        <v>0</v>
      </c>
    </row>
    <row r="5177" spans="1:15" x14ac:dyDescent="0.35">
      <c r="A5177" t="s">
        <v>5719</v>
      </c>
      <c r="B5177" t="s">
        <v>5720</v>
      </c>
      <c r="C5177" t="s">
        <v>1644</v>
      </c>
      <c r="D5177" t="s">
        <v>293</v>
      </c>
      <c r="E5177" t="s">
        <v>308</v>
      </c>
      <c r="F5177" t="s">
        <v>5728</v>
      </c>
      <c r="G5177">
        <v>0</v>
      </c>
      <c r="H5177">
        <v>0</v>
      </c>
      <c r="I5177">
        <v>0</v>
      </c>
      <c r="J5177">
        <v>0</v>
      </c>
      <c r="K5177">
        <v>0</v>
      </c>
      <c r="L5177">
        <v>0</v>
      </c>
      <c r="M5177">
        <v>0</v>
      </c>
      <c r="N5177">
        <v>0</v>
      </c>
      <c r="O5177">
        <v>0</v>
      </c>
    </row>
    <row r="5178" spans="1:15" x14ac:dyDescent="0.35">
      <c r="A5178" t="s">
        <v>5719</v>
      </c>
      <c r="B5178" t="s">
        <v>5720</v>
      </c>
      <c r="C5178" t="s">
        <v>1644</v>
      </c>
      <c r="D5178" t="s">
        <v>293</v>
      </c>
      <c r="E5178" t="s">
        <v>310</v>
      </c>
      <c r="F5178" t="s">
        <v>5729</v>
      </c>
      <c r="G5178">
        <v>286</v>
      </c>
      <c r="H5178">
        <v>47707.040000000001</v>
      </c>
      <c r="I5178">
        <v>166.81</v>
      </c>
      <c r="J5178">
        <v>162</v>
      </c>
      <c r="K5178">
        <v>24126.960000000003</v>
      </c>
      <c r="L5178">
        <v>148.93</v>
      </c>
      <c r="M5178">
        <v>448</v>
      </c>
      <c r="N5178">
        <v>71834</v>
      </c>
      <c r="O5178">
        <v>160.34</v>
      </c>
    </row>
    <row r="5179" spans="1:15" x14ac:dyDescent="0.35">
      <c r="A5179" t="s">
        <v>5719</v>
      </c>
      <c r="B5179" t="s">
        <v>5720</v>
      </c>
      <c r="C5179" t="s">
        <v>1644</v>
      </c>
      <c r="D5179" t="s">
        <v>293</v>
      </c>
      <c r="E5179" t="s">
        <v>312</v>
      </c>
      <c r="F5179" t="s">
        <v>5730</v>
      </c>
      <c r="G5179">
        <v>286</v>
      </c>
      <c r="H5179">
        <v>47707.040000000001</v>
      </c>
      <c r="I5179">
        <v>166.81</v>
      </c>
      <c r="J5179">
        <v>162</v>
      </c>
      <c r="K5179">
        <v>24126.960000000003</v>
      </c>
      <c r="L5179">
        <v>148.93</v>
      </c>
      <c r="M5179">
        <v>448</v>
      </c>
      <c r="N5179">
        <v>71834</v>
      </c>
      <c r="O5179">
        <v>160.34</v>
      </c>
    </row>
    <row r="5180" spans="1:15" x14ac:dyDescent="0.35">
      <c r="A5180" t="s">
        <v>5719</v>
      </c>
      <c r="B5180" t="s">
        <v>5720</v>
      </c>
      <c r="C5180" t="s">
        <v>1644</v>
      </c>
      <c r="D5180" t="s">
        <v>314</v>
      </c>
      <c r="E5180" t="s">
        <v>294</v>
      </c>
      <c r="F5180" t="s">
        <v>5731</v>
      </c>
      <c r="G5180">
        <v>0</v>
      </c>
      <c r="H5180">
        <v>0</v>
      </c>
      <c r="I5180">
        <v>0</v>
      </c>
      <c r="J5180">
        <v>0</v>
      </c>
      <c r="K5180">
        <v>0</v>
      </c>
      <c r="L5180">
        <v>0</v>
      </c>
      <c r="M5180">
        <v>0</v>
      </c>
      <c r="N5180">
        <v>0</v>
      </c>
      <c r="O5180">
        <v>0</v>
      </c>
    </row>
    <row r="5181" spans="1:15" x14ac:dyDescent="0.35">
      <c r="A5181" t="s">
        <v>5719</v>
      </c>
      <c r="B5181" t="s">
        <v>5720</v>
      </c>
      <c r="C5181" t="s">
        <v>1644</v>
      </c>
      <c r="D5181" t="s">
        <v>314</v>
      </c>
      <c r="E5181" t="s">
        <v>296</v>
      </c>
      <c r="F5181" t="s">
        <v>5732</v>
      </c>
      <c r="G5181">
        <v>0</v>
      </c>
      <c r="H5181">
        <v>0</v>
      </c>
      <c r="I5181">
        <v>0</v>
      </c>
      <c r="J5181">
        <v>0</v>
      </c>
      <c r="K5181">
        <v>0</v>
      </c>
      <c r="L5181">
        <v>0</v>
      </c>
      <c r="M5181">
        <v>0</v>
      </c>
      <c r="N5181">
        <v>0</v>
      </c>
      <c r="O5181">
        <v>0</v>
      </c>
    </row>
    <row r="5182" spans="1:15" x14ac:dyDescent="0.35">
      <c r="A5182" t="s">
        <v>5719</v>
      </c>
      <c r="B5182" t="s">
        <v>5720</v>
      </c>
      <c r="C5182" t="s">
        <v>1644</v>
      </c>
      <c r="D5182" t="s">
        <v>314</v>
      </c>
      <c r="E5182" t="s">
        <v>298</v>
      </c>
      <c r="F5182" t="s">
        <v>5733</v>
      </c>
      <c r="G5182">
        <v>0</v>
      </c>
      <c r="H5182">
        <v>0</v>
      </c>
      <c r="I5182">
        <v>0</v>
      </c>
      <c r="J5182">
        <v>0</v>
      </c>
      <c r="K5182">
        <v>0</v>
      </c>
      <c r="L5182">
        <v>0</v>
      </c>
      <c r="M5182">
        <v>0</v>
      </c>
      <c r="N5182">
        <v>0</v>
      </c>
      <c r="O5182">
        <v>0</v>
      </c>
    </row>
    <row r="5183" spans="1:15" x14ac:dyDescent="0.35">
      <c r="A5183" t="s">
        <v>5719</v>
      </c>
      <c r="B5183" t="s">
        <v>5720</v>
      </c>
      <c r="C5183" t="s">
        <v>1644</v>
      </c>
      <c r="D5183" t="s">
        <v>314</v>
      </c>
      <c r="E5183" t="s">
        <v>300</v>
      </c>
      <c r="F5183" t="s">
        <v>5734</v>
      </c>
      <c r="G5183">
        <v>0</v>
      </c>
      <c r="H5183">
        <v>0</v>
      </c>
      <c r="I5183">
        <v>0</v>
      </c>
      <c r="J5183">
        <v>0</v>
      </c>
      <c r="K5183">
        <v>0</v>
      </c>
      <c r="L5183">
        <v>0</v>
      </c>
      <c r="M5183">
        <v>0</v>
      </c>
      <c r="N5183">
        <v>0</v>
      </c>
      <c r="O5183">
        <v>0</v>
      </c>
    </row>
    <row r="5184" spans="1:15" x14ac:dyDescent="0.35">
      <c r="A5184" t="s">
        <v>5719</v>
      </c>
      <c r="B5184" t="s">
        <v>5720</v>
      </c>
      <c r="C5184" t="s">
        <v>1644</v>
      </c>
      <c r="D5184" t="s">
        <v>314</v>
      </c>
      <c r="E5184" t="s">
        <v>306</v>
      </c>
      <c r="F5184" t="s">
        <v>5735</v>
      </c>
      <c r="G5184">
        <v>0</v>
      </c>
      <c r="H5184">
        <v>0</v>
      </c>
      <c r="I5184">
        <v>0</v>
      </c>
      <c r="J5184">
        <v>0</v>
      </c>
      <c r="K5184">
        <v>0</v>
      </c>
      <c r="L5184">
        <v>0</v>
      </c>
      <c r="M5184">
        <v>0</v>
      </c>
      <c r="N5184">
        <v>0</v>
      </c>
      <c r="O5184">
        <v>0</v>
      </c>
    </row>
    <row r="5185" spans="1:15" x14ac:dyDescent="0.35">
      <c r="A5185" t="s">
        <v>5719</v>
      </c>
      <c r="B5185" t="s">
        <v>5720</v>
      </c>
      <c r="C5185" t="s">
        <v>1644</v>
      </c>
      <c r="D5185" t="s">
        <v>314</v>
      </c>
      <c r="E5185" t="s">
        <v>308</v>
      </c>
      <c r="F5185" t="s">
        <v>5736</v>
      </c>
      <c r="G5185">
        <v>0</v>
      </c>
      <c r="H5185">
        <v>0</v>
      </c>
      <c r="I5185">
        <v>0</v>
      </c>
      <c r="J5185">
        <v>0</v>
      </c>
      <c r="K5185">
        <v>0</v>
      </c>
      <c r="L5185">
        <v>0</v>
      </c>
      <c r="M5185">
        <v>0</v>
      </c>
      <c r="N5185">
        <v>0</v>
      </c>
      <c r="O5185">
        <v>0</v>
      </c>
    </row>
    <row r="5186" spans="1:15" x14ac:dyDescent="0.35">
      <c r="A5186" t="s">
        <v>5719</v>
      </c>
      <c r="B5186" t="s">
        <v>5720</v>
      </c>
      <c r="C5186" t="s">
        <v>1644</v>
      </c>
      <c r="D5186" t="s">
        <v>314</v>
      </c>
      <c r="E5186" t="s">
        <v>312</v>
      </c>
      <c r="F5186" t="s">
        <v>5737</v>
      </c>
      <c r="G5186">
        <v>0</v>
      </c>
      <c r="H5186">
        <v>0</v>
      </c>
      <c r="I5186">
        <v>0</v>
      </c>
      <c r="J5186">
        <v>0</v>
      </c>
      <c r="K5186">
        <v>0</v>
      </c>
      <c r="L5186">
        <v>0</v>
      </c>
      <c r="M5186">
        <v>0</v>
      </c>
      <c r="N5186">
        <v>0</v>
      </c>
      <c r="O5186">
        <v>0</v>
      </c>
    </row>
    <row r="5187" spans="1:15" x14ac:dyDescent="0.35">
      <c r="A5187" t="s">
        <v>5719</v>
      </c>
      <c r="B5187" t="s">
        <v>5720</v>
      </c>
      <c r="C5187" t="s">
        <v>1644</v>
      </c>
      <c r="D5187" t="s">
        <v>314</v>
      </c>
      <c r="E5187" t="s">
        <v>310</v>
      </c>
      <c r="F5187" t="s">
        <v>5738</v>
      </c>
      <c r="G5187">
        <v>0</v>
      </c>
      <c r="H5187">
        <v>0</v>
      </c>
      <c r="I5187">
        <v>0</v>
      </c>
      <c r="J5187">
        <v>0</v>
      </c>
      <c r="K5187">
        <v>0</v>
      </c>
      <c r="L5187">
        <v>0</v>
      </c>
      <c r="M5187">
        <v>0</v>
      </c>
      <c r="N5187">
        <v>0</v>
      </c>
      <c r="O5187">
        <v>0</v>
      </c>
    </row>
    <row r="5188" spans="1:15" x14ac:dyDescent="0.35">
      <c r="A5188" t="s">
        <v>5719</v>
      </c>
      <c r="B5188" t="s">
        <v>5720</v>
      </c>
      <c r="C5188" t="s">
        <v>1644</v>
      </c>
      <c r="D5188" t="s">
        <v>323</v>
      </c>
      <c r="E5188" t="s">
        <v>294</v>
      </c>
      <c r="F5188" t="s">
        <v>5739</v>
      </c>
      <c r="G5188">
        <v>250</v>
      </c>
      <c r="H5188">
        <v>23567.02</v>
      </c>
      <c r="I5188">
        <v>94.27</v>
      </c>
      <c r="J5188">
        <v>555</v>
      </c>
      <c r="K5188">
        <v>51115.5</v>
      </c>
      <c r="L5188">
        <v>92.1</v>
      </c>
      <c r="M5188">
        <v>805</v>
      </c>
      <c r="N5188">
        <v>74682.52</v>
      </c>
      <c r="O5188">
        <v>92.77</v>
      </c>
    </row>
    <row r="5189" spans="1:15" x14ac:dyDescent="0.35">
      <c r="A5189" t="s">
        <v>5719</v>
      </c>
      <c r="B5189" t="s">
        <v>5720</v>
      </c>
      <c r="C5189" t="s">
        <v>1644</v>
      </c>
      <c r="D5189" t="s">
        <v>323</v>
      </c>
      <c r="E5189" t="s">
        <v>296</v>
      </c>
      <c r="F5189" t="s">
        <v>5740</v>
      </c>
      <c r="G5189">
        <v>605</v>
      </c>
      <c r="H5189">
        <v>70488.780000000013</v>
      </c>
      <c r="I5189">
        <v>116.51</v>
      </c>
      <c r="J5189">
        <v>1073</v>
      </c>
      <c r="K5189">
        <v>111892.44</v>
      </c>
      <c r="L5189">
        <v>104.28</v>
      </c>
      <c r="M5189">
        <v>1678</v>
      </c>
      <c r="N5189">
        <v>182381.22000000003</v>
      </c>
      <c r="O5189">
        <v>108.69</v>
      </c>
    </row>
    <row r="5190" spans="1:15" x14ac:dyDescent="0.35">
      <c r="A5190" t="s">
        <v>5719</v>
      </c>
      <c r="B5190" t="s">
        <v>5720</v>
      </c>
      <c r="C5190" t="s">
        <v>1644</v>
      </c>
      <c r="D5190" t="s">
        <v>323</v>
      </c>
      <c r="E5190" t="s">
        <v>298</v>
      </c>
      <c r="F5190" t="s">
        <v>5741</v>
      </c>
      <c r="G5190">
        <v>332</v>
      </c>
      <c r="H5190">
        <v>43054.919999999991</v>
      </c>
      <c r="I5190">
        <v>129.68</v>
      </c>
      <c r="J5190">
        <v>918</v>
      </c>
      <c r="K5190">
        <v>106258.5</v>
      </c>
      <c r="L5190">
        <v>115.75</v>
      </c>
      <c r="M5190">
        <v>1250</v>
      </c>
      <c r="N5190">
        <v>149313.41999999998</v>
      </c>
      <c r="O5190">
        <v>119.45</v>
      </c>
    </row>
    <row r="5191" spans="1:15" x14ac:dyDescent="0.35">
      <c r="A5191" t="s">
        <v>5719</v>
      </c>
      <c r="B5191" t="s">
        <v>5720</v>
      </c>
      <c r="C5191" t="s">
        <v>1644</v>
      </c>
      <c r="D5191" t="s">
        <v>323</v>
      </c>
      <c r="E5191" t="s">
        <v>300</v>
      </c>
      <c r="F5191" t="s">
        <v>5742</v>
      </c>
      <c r="G5191">
        <v>44</v>
      </c>
      <c r="H5191">
        <v>6327.15</v>
      </c>
      <c r="I5191">
        <v>143.80000000000001</v>
      </c>
      <c r="J5191">
        <v>65</v>
      </c>
      <c r="K5191">
        <v>8209.5</v>
      </c>
      <c r="L5191">
        <v>126.3</v>
      </c>
      <c r="M5191">
        <v>109</v>
      </c>
      <c r="N5191">
        <v>14536.65</v>
      </c>
      <c r="O5191">
        <v>133.36000000000001</v>
      </c>
    </row>
    <row r="5192" spans="1:15" x14ac:dyDescent="0.35">
      <c r="A5192" t="s">
        <v>5719</v>
      </c>
      <c r="B5192" t="s">
        <v>5720</v>
      </c>
      <c r="C5192" t="s">
        <v>1644</v>
      </c>
      <c r="D5192" t="s">
        <v>323</v>
      </c>
      <c r="E5192" t="s">
        <v>302</v>
      </c>
      <c r="F5192" t="s">
        <v>5743</v>
      </c>
      <c r="G5192">
        <v>2</v>
      </c>
      <c r="H5192">
        <v>324.72000000000003</v>
      </c>
      <c r="I5192">
        <v>162.36000000000001</v>
      </c>
      <c r="J5192">
        <v>2</v>
      </c>
      <c r="K5192">
        <v>267.44</v>
      </c>
      <c r="L5192">
        <v>133.72</v>
      </c>
      <c r="M5192">
        <v>4</v>
      </c>
      <c r="N5192">
        <v>592.16000000000008</v>
      </c>
      <c r="O5192">
        <v>148.04</v>
      </c>
    </row>
    <row r="5193" spans="1:15" x14ac:dyDescent="0.35">
      <c r="A5193" t="s">
        <v>5719</v>
      </c>
      <c r="B5193" t="s">
        <v>5720</v>
      </c>
      <c r="C5193" t="s">
        <v>1644</v>
      </c>
      <c r="D5193" t="s">
        <v>323</v>
      </c>
      <c r="E5193" t="s">
        <v>304</v>
      </c>
      <c r="F5193" t="s">
        <v>5744</v>
      </c>
      <c r="G5193">
        <v>1</v>
      </c>
      <c r="H5193">
        <v>156.07</v>
      </c>
      <c r="I5193">
        <v>156.07</v>
      </c>
      <c r="J5193">
        <v>0</v>
      </c>
      <c r="K5193">
        <v>0</v>
      </c>
      <c r="L5193">
        <v>0</v>
      </c>
      <c r="M5193">
        <v>1</v>
      </c>
      <c r="N5193">
        <v>156.07</v>
      </c>
      <c r="O5193">
        <v>156.07</v>
      </c>
    </row>
    <row r="5194" spans="1:15" x14ac:dyDescent="0.35">
      <c r="A5194" t="s">
        <v>5719</v>
      </c>
      <c r="B5194" t="s">
        <v>5720</v>
      </c>
      <c r="C5194" t="s">
        <v>1644</v>
      </c>
      <c r="D5194" t="s">
        <v>323</v>
      </c>
      <c r="E5194" t="s">
        <v>306</v>
      </c>
      <c r="F5194" t="s">
        <v>5745</v>
      </c>
      <c r="G5194">
        <v>0</v>
      </c>
      <c r="H5194">
        <v>0</v>
      </c>
      <c r="I5194">
        <v>0</v>
      </c>
      <c r="J5194">
        <v>12</v>
      </c>
      <c r="K5194">
        <v>882.48</v>
      </c>
      <c r="L5194">
        <v>73.540000000000006</v>
      </c>
      <c r="M5194">
        <v>12</v>
      </c>
      <c r="N5194">
        <v>882.48</v>
      </c>
      <c r="O5194">
        <v>73.540000000000006</v>
      </c>
    </row>
    <row r="5195" spans="1:15" x14ac:dyDescent="0.35">
      <c r="A5195" t="s">
        <v>5719</v>
      </c>
      <c r="B5195" t="s">
        <v>5720</v>
      </c>
      <c r="C5195" t="s">
        <v>1644</v>
      </c>
      <c r="D5195" t="s">
        <v>323</v>
      </c>
      <c r="E5195" t="s">
        <v>308</v>
      </c>
      <c r="F5195" t="s">
        <v>5746</v>
      </c>
      <c r="G5195">
        <v>0</v>
      </c>
      <c r="H5195">
        <v>0</v>
      </c>
      <c r="I5195">
        <v>0</v>
      </c>
      <c r="J5195">
        <v>0</v>
      </c>
      <c r="K5195">
        <v>0</v>
      </c>
      <c r="L5195">
        <v>0</v>
      </c>
      <c r="M5195">
        <v>0</v>
      </c>
      <c r="N5195">
        <v>0</v>
      </c>
      <c r="O5195">
        <v>0</v>
      </c>
    </row>
    <row r="5196" spans="1:15" x14ac:dyDescent="0.35">
      <c r="A5196" t="s">
        <v>5719</v>
      </c>
      <c r="B5196" t="s">
        <v>5720</v>
      </c>
      <c r="C5196" t="s">
        <v>1644</v>
      </c>
      <c r="D5196" t="s">
        <v>323</v>
      </c>
      <c r="E5196" t="s">
        <v>310</v>
      </c>
      <c r="F5196" t="s">
        <v>5747</v>
      </c>
      <c r="G5196">
        <v>1234</v>
      </c>
      <c r="H5196">
        <v>143918.66</v>
      </c>
      <c r="I5196">
        <v>116.63</v>
      </c>
      <c r="J5196">
        <v>2625</v>
      </c>
      <c r="K5196">
        <v>278625.86</v>
      </c>
      <c r="L5196">
        <v>106.14</v>
      </c>
      <c r="M5196">
        <v>3859</v>
      </c>
      <c r="N5196">
        <v>422544.52</v>
      </c>
      <c r="O5196">
        <v>109.5</v>
      </c>
    </row>
    <row r="5197" spans="1:15" x14ac:dyDescent="0.35">
      <c r="A5197" t="s">
        <v>5719</v>
      </c>
      <c r="B5197" t="s">
        <v>5720</v>
      </c>
      <c r="C5197" t="s">
        <v>1644</v>
      </c>
      <c r="D5197" t="s">
        <v>323</v>
      </c>
      <c r="E5197" t="s">
        <v>312</v>
      </c>
      <c r="F5197" t="s">
        <v>5748</v>
      </c>
      <c r="G5197">
        <v>1234</v>
      </c>
      <c r="H5197">
        <v>143918.66</v>
      </c>
      <c r="I5197">
        <v>116.63</v>
      </c>
      <c r="J5197">
        <v>2625</v>
      </c>
      <c r="K5197">
        <v>278625.86</v>
      </c>
      <c r="L5197">
        <v>106.14</v>
      </c>
      <c r="M5197">
        <v>3859</v>
      </c>
      <c r="N5197">
        <v>422544.52</v>
      </c>
      <c r="O5197">
        <v>109.5</v>
      </c>
    </row>
    <row r="5198" spans="1:15" x14ac:dyDescent="0.35">
      <c r="A5198" t="s">
        <v>5719</v>
      </c>
      <c r="B5198" t="s">
        <v>5720</v>
      </c>
      <c r="C5198" t="s">
        <v>1644</v>
      </c>
      <c r="D5198" t="s">
        <v>334</v>
      </c>
      <c r="E5198" t="s">
        <v>312</v>
      </c>
      <c r="F5198" t="s">
        <v>5749</v>
      </c>
      <c r="G5198">
        <v>1715</v>
      </c>
      <c r="H5198">
        <v>191625.7</v>
      </c>
      <c r="I5198">
        <v>126.07</v>
      </c>
      <c r="J5198">
        <v>2787</v>
      </c>
      <c r="K5198">
        <v>302752.82</v>
      </c>
      <c r="L5198">
        <v>108.63</v>
      </c>
      <c r="M5198">
        <v>4502</v>
      </c>
      <c r="N5198">
        <v>494378.52</v>
      </c>
      <c r="O5198">
        <v>114.78</v>
      </c>
    </row>
    <row r="5199" spans="1:15" x14ac:dyDescent="0.35">
      <c r="A5199" t="s">
        <v>5719</v>
      </c>
      <c r="B5199" t="s">
        <v>5720</v>
      </c>
      <c r="C5199" t="s">
        <v>1644</v>
      </c>
      <c r="D5199" t="s">
        <v>334</v>
      </c>
      <c r="E5199" t="s">
        <v>308</v>
      </c>
      <c r="F5199" t="s">
        <v>5750</v>
      </c>
      <c r="G5199">
        <v>0</v>
      </c>
      <c r="H5199">
        <v>0</v>
      </c>
      <c r="I5199">
        <v>0</v>
      </c>
      <c r="J5199">
        <v>0</v>
      </c>
      <c r="K5199">
        <v>0</v>
      </c>
      <c r="L5199">
        <v>0</v>
      </c>
      <c r="M5199">
        <v>0</v>
      </c>
      <c r="N5199">
        <v>0</v>
      </c>
      <c r="O5199">
        <v>0</v>
      </c>
    </row>
    <row r="5200" spans="1:15" x14ac:dyDescent="0.35">
      <c r="A5200" t="s">
        <v>5719</v>
      </c>
      <c r="B5200" t="s">
        <v>5720</v>
      </c>
      <c r="C5200" t="s">
        <v>1644</v>
      </c>
      <c r="D5200" t="s">
        <v>337</v>
      </c>
      <c r="E5200" t="s">
        <v>337</v>
      </c>
      <c r="F5200" t="s">
        <v>5751</v>
      </c>
      <c r="G5200">
        <v>350</v>
      </c>
      <c r="J5200">
        <v>18</v>
      </c>
      <c r="M5200">
        <v>368</v>
      </c>
    </row>
    <row r="5201" spans="1:15" x14ac:dyDescent="0.35">
      <c r="A5201" t="s">
        <v>5719</v>
      </c>
      <c r="B5201" t="s">
        <v>5720</v>
      </c>
      <c r="C5201" t="s">
        <v>1644</v>
      </c>
      <c r="D5201" t="s">
        <v>339</v>
      </c>
      <c r="E5201" t="s">
        <v>294</v>
      </c>
      <c r="F5201" t="s">
        <v>5752</v>
      </c>
      <c r="G5201">
        <v>257</v>
      </c>
      <c r="H5201">
        <v>30445.660000000003</v>
      </c>
      <c r="I5201">
        <v>118.47</v>
      </c>
      <c r="J5201">
        <v>424</v>
      </c>
      <c r="K5201">
        <v>39830.559999999998</v>
      </c>
      <c r="L5201">
        <v>93.94</v>
      </c>
      <c r="M5201">
        <v>681</v>
      </c>
      <c r="N5201">
        <v>70276.22</v>
      </c>
      <c r="O5201">
        <v>103.2</v>
      </c>
    </row>
    <row r="5202" spans="1:15" x14ac:dyDescent="0.35">
      <c r="A5202" t="s">
        <v>5719</v>
      </c>
      <c r="B5202" t="s">
        <v>5720</v>
      </c>
      <c r="C5202" t="s">
        <v>1644</v>
      </c>
      <c r="D5202" t="s">
        <v>339</v>
      </c>
      <c r="E5202" t="s">
        <v>296</v>
      </c>
      <c r="F5202" t="s">
        <v>5753</v>
      </c>
      <c r="G5202">
        <v>2</v>
      </c>
      <c r="H5202">
        <v>631.06999999999994</v>
      </c>
      <c r="I5202">
        <v>315.54000000000002</v>
      </c>
      <c r="J5202">
        <v>53</v>
      </c>
      <c r="K5202">
        <v>5516.24</v>
      </c>
      <c r="L5202">
        <v>104.08</v>
      </c>
      <c r="M5202">
        <v>55</v>
      </c>
      <c r="N5202">
        <v>6147.3099999999995</v>
      </c>
      <c r="O5202">
        <v>111.77</v>
      </c>
    </row>
    <row r="5203" spans="1:15" x14ac:dyDescent="0.35">
      <c r="A5203" t="s">
        <v>5719</v>
      </c>
      <c r="B5203" t="s">
        <v>5720</v>
      </c>
      <c r="C5203" t="s">
        <v>1644</v>
      </c>
      <c r="D5203" t="s">
        <v>339</v>
      </c>
      <c r="E5203" t="s">
        <v>298</v>
      </c>
      <c r="F5203" t="s">
        <v>5754</v>
      </c>
      <c r="G5203">
        <v>3</v>
      </c>
      <c r="H5203">
        <v>393.5</v>
      </c>
      <c r="I5203">
        <v>131.16999999999999</v>
      </c>
      <c r="J5203">
        <v>0</v>
      </c>
      <c r="K5203">
        <v>0</v>
      </c>
      <c r="L5203">
        <v>0</v>
      </c>
      <c r="M5203">
        <v>3</v>
      </c>
      <c r="N5203">
        <v>393.5</v>
      </c>
      <c r="O5203">
        <v>131.16999999999999</v>
      </c>
    </row>
    <row r="5204" spans="1:15" x14ac:dyDescent="0.35">
      <c r="A5204" t="s">
        <v>5719</v>
      </c>
      <c r="B5204" t="s">
        <v>5720</v>
      </c>
      <c r="C5204" t="s">
        <v>1644</v>
      </c>
      <c r="D5204" t="s">
        <v>339</v>
      </c>
      <c r="E5204" t="s">
        <v>300</v>
      </c>
      <c r="F5204" t="s">
        <v>5755</v>
      </c>
      <c r="G5204">
        <v>0</v>
      </c>
      <c r="H5204">
        <v>0</v>
      </c>
      <c r="I5204">
        <v>0</v>
      </c>
      <c r="J5204">
        <v>0</v>
      </c>
      <c r="K5204">
        <v>0</v>
      </c>
      <c r="L5204">
        <v>0</v>
      </c>
      <c r="M5204">
        <v>0</v>
      </c>
      <c r="N5204">
        <v>0</v>
      </c>
      <c r="O5204">
        <v>0</v>
      </c>
    </row>
    <row r="5205" spans="1:15" x14ac:dyDescent="0.35">
      <c r="A5205" t="s">
        <v>5719</v>
      </c>
      <c r="B5205" t="s">
        <v>5720</v>
      </c>
      <c r="C5205" t="s">
        <v>1644</v>
      </c>
      <c r="D5205" t="s">
        <v>339</v>
      </c>
      <c r="E5205" t="s">
        <v>306</v>
      </c>
      <c r="F5205" t="s">
        <v>5756</v>
      </c>
      <c r="G5205">
        <v>46</v>
      </c>
      <c r="H5205">
        <v>3985.44</v>
      </c>
      <c r="I5205">
        <v>86.64</v>
      </c>
      <c r="J5205">
        <v>134</v>
      </c>
      <c r="K5205">
        <v>10469.42</v>
      </c>
      <c r="L5205">
        <v>78.13</v>
      </c>
      <c r="M5205">
        <v>180</v>
      </c>
      <c r="N5205">
        <v>14454.86</v>
      </c>
      <c r="O5205">
        <v>80.3</v>
      </c>
    </row>
    <row r="5206" spans="1:15" x14ac:dyDescent="0.35">
      <c r="A5206" t="s">
        <v>5719</v>
      </c>
      <c r="B5206" t="s">
        <v>5720</v>
      </c>
      <c r="C5206" t="s">
        <v>1644</v>
      </c>
      <c r="D5206" t="s">
        <v>339</v>
      </c>
      <c r="E5206" t="s">
        <v>308</v>
      </c>
      <c r="F5206" t="s">
        <v>5757</v>
      </c>
      <c r="G5206">
        <v>44</v>
      </c>
      <c r="H5206">
        <v>8400.8100000000013</v>
      </c>
      <c r="I5206">
        <v>190.93</v>
      </c>
      <c r="J5206">
        <v>0</v>
      </c>
      <c r="K5206">
        <v>0</v>
      </c>
      <c r="L5206">
        <v>0</v>
      </c>
      <c r="M5206">
        <v>44</v>
      </c>
      <c r="N5206">
        <v>8400.8100000000013</v>
      </c>
      <c r="O5206">
        <v>190.93</v>
      </c>
    </row>
    <row r="5207" spans="1:15" x14ac:dyDescent="0.35">
      <c r="A5207" t="s">
        <v>5719</v>
      </c>
      <c r="B5207" t="s">
        <v>5720</v>
      </c>
      <c r="C5207" t="s">
        <v>1644</v>
      </c>
      <c r="D5207" t="s">
        <v>339</v>
      </c>
      <c r="E5207" t="s">
        <v>310</v>
      </c>
      <c r="F5207" t="s">
        <v>5758</v>
      </c>
      <c r="G5207">
        <v>352</v>
      </c>
      <c r="H5207">
        <v>43856.48000000001</v>
      </c>
      <c r="I5207">
        <v>124.59</v>
      </c>
      <c r="J5207">
        <v>611</v>
      </c>
      <c r="K5207">
        <v>55816.219999999994</v>
      </c>
      <c r="L5207">
        <v>91.35</v>
      </c>
      <c r="M5207">
        <v>963</v>
      </c>
      <c r="N5207">
        <v>99672.700000000012</v>
      </c>
      <c r="O5207">
        <v>103.5</v>
      </c>
    </row>
    <row r="5208" spans="1:15" x14ac:dyDescent="0.35">
      <c r="A5208" t="s">
        <v>5719</v>
      </c>
      <c r="B5208" t="s">
        <v>5720</v>
      </c>
      <c r="C5208" t="s">
        <v>1644</v>
      </c>
      <c r="D5208" t="s">
        <v>339</v>
      </c>
      <c r="E5208" t="s">
        <v>312</v>
      </c>
      <c r="F5208" t="s">
        <v>5759</v>
      </c>
      <c r="G5208">
        <v>308</v>
      </c>
      <c r="H5208">
        <v>35455.670000000006</v>
      </c>
      <c r="I5208">
        <v>115.12</v>
      </c>
      <c r="J5208">
        <v>611</v>
      </c>
      <c r="K5208">
        <v>55816.219999999994</v>
      </c>
      <c r="L5208">
        <v>91.35</v>
      </c>
      <c r="M5208">
        <v>919</v>
      </c>
      <c r="N5208">
        <v>91271.89</v>
      </c>
      <c r="O5208">
        <v>99.32</v>
      </c>
    </row>
    <row r="5209" spans="1:15" x14ac:dyDescent="0.35">
      <c r="A5209" t="s">
        <v>5719</v>
      </c>
      <c r="B5209" t="s">
        <v>5720</v>
      </c>
      <c r="C5209" t="s">
        <v>1644</v>
      </c>
      <c r="D5209" t="s">
        <v>348</v>
      </c>
      <c r="E5209" t="s">
        <v>349</v>
      </c>
      <c r="F5209" t="s">
        <v>5760</v>
      </c>
      <c r="G5209">
        <v>424</v>
      </c>
      <c r="H5209">
        <v>43856.48000000001</v>
      </c>
      <c r="I5209">
        <v>124.59</v>
      </c>
      <c r="J5209">
        <v>611</v>
      </c>
      <c r="K5209">
        <v>55816.219999999994</v>
      </c>
      <c r="L5209">
        <v>91.35</v>
      </c>
      <c r="M5209">
        <v>1035</v>
      </c>
      <c r="N5209">
        <v>99672.700000000012</v>
      </c>
      <c r="O5209">
        <v>103.5</v>
      </c>
    </row>
    <row r="5210" spans="1:15" x14ac:dyDescent="0.35">
      <c r="A5210" t="s">
        <v>5761</v>
      </c>
      <c r="B5210" t="s">
        <v>172</v>
      </c>
      <c r="C5210" t="s">
        <v>1644</v>
      </c>
      <c r="D5210" t="s">
        <v>293</v>
      </c>
      <c r="E5210" t="s">
        <v>294</v>
      </c>
      <c r="F5210" t="s">
        <v>5762</v>
      </c>
      <c r="G5210">
        <v>273</v>
      </c>
      <c r="H5210">
        <v>36414.89</v>
      </c>
      <c r="I5210">
        <v>133.38999999999999</v>
      </c>
      <c r="J5210">
        <v>0</v>
      </c>
      <c r="K5210">
        <v>0</v>
      </c>
      <c r="L5210">
        <v>0</v>
      </c>
      <c r="M5210">
        <v>273</v>
      </c>
      <c r="N5210">
        <v>36414.89</v>
      </c>
      <c r="O5210">
        <v>133.38999999999999</v>
      </c>
    </row>
    <row r="5211" spans="1:15" x14ac:dyDescent="0.35">
      <c r="A5211" t="s">
        <v>5761</v>
      </c>
      <c r="B5211" t="s">
        <v>172</v>
      </c>
      <c r="C5211" t="s">
        <v>1644</v>
      </c>
      <c r="D5211" t="s">
        <v>293</v>
      </c>
      <c r="E5211" t="s">
        <v>296</v>
      </c>
      <c r="F5211" t="s">
        <v>5763</v>
      </c>
      <c r="G5211">
        <v>659</v>
      </c>
      <c r="H5211">
        <v>108496.38</v>
      </c>
      <c r="I5211">
        <v>164.64</v>
      </c>
      <c r="J5211">
        <v>0</v>
      </c>
      <c r="K5211">
        <v>0</v>
      </c>
      <c r="L5211">
        <v>0</v>
      </c>
      <c r="M5211">
        <v>659</v>
      </c>
      <c r="N5211">
        <v>108496.38</v>
      </c>
      <c r="O5211">
        <v>164.64</v>
      </c>
    </row>
    <row r="5212" spans="1:15" x14ac:dyDescent="0.35">
      <c r="A5212" t="s">
        <v>5761</v>
      </c>
      <c r="B5212" t="s">
        <v>172</v>
      </c>
      <c r="C5212" t="s">
        <v>1644</v>
      </c>
      <c r="D5212" t="s">
        <v>293</v>
      </c>
      <c r="E5212" t="s">
        <v>298</v>
      </c>
      <c r="F5212" t="s">
        <v>5764</v>
      </c>
      <c r="G5212">
        <v>576</v>
      </c>
      <c r="H5212">
        <v>107610.4</v>
      </c>
      <c r="I5212">
        <v>186.82</v>
      </c>
      <c r="J5212">
        <v>0</v>
      </c>
      <c r="K5212">
        <v>0</v>
      </c>
      <c r="L5212">
        <v>0</v>
      </c>
      <c r="M5212">
        <v>576</v>
      </c>
      <c r="N5212">
        <v>107610.4</v>
      </c>
      <c r="O5212">
        <v>186.82</v>
      </c>
    </row>
    <row r="5213" spans="1:15" x14ac:dyDescent="0.35">
      <c r="A5213" t="s">
        <v>5761</v>
      </c>
      <c r="B5213" t="s">
        <v>172</v>
      </c>
      <c r="C5213" t="s">
        <v>1644</v>
      </c>
      <c r="D5213" t="s">
        <v>293</v>
      </c>
      <c r="E5213" t="s">
        <v>300</v>
      </c>
      <c r="F5213" t="s">
        <v>5765</v>
      </c>
      <c r="G5213">
        <v>76</v>
      </c>
      <c r="H5213">
        <v>20232.189999999999</v>
      </c>
      <c r="I5213">
        <v>266.20999999999998</v>
      </c>
      <c r="J5213">
        <v>0</v>
      </c>
      <c r="K5213">
        <v>0</v>
      </c>
      <c r="L5213">
        <v>0</v>
      </c>
      <c r="M5213">
        <v>76</v>
      </c>
      <c r="N5213">
        <v>20232.189999999999</v>
      </c>
      <c r="O5213">
        <v>266.20999999999998</v>
      </c>
    </row>
    <row r="5214" spans="1:15" x14ac:dyDescent="0.35">
      <c r="A5214" t="s">
        <v>5761</v>
      </c>
      <c r="B5214" t="s">
        <v>172</v>
      </c>
      <c r="C5214" t="s">
        <v>1644</v>
      </c>
      <c r="D5214" t="s">
        <v>293</v>
      </c>
      <c r="E5214" t="s">
        <v>302</v>
      </c>
      <c r="F5214" t="s">
        <v>5766</v>
      </c>
      <c r="G5214">
        <v>2</v>
      </c>
      <c r="H5214">
        <v>468.65999999999997</v>
      </c>
      <c r="I5214">
        <v>234.33</v>
      </c>
      <c r="J5214">
        <v>0</v>
      </c>
      <c r="K5214">
        <v>0</v>
      </c>
      <c r="L5214">
        <v>0</v>
      </c>
      <c r="M5214">
        <v>2</v>
      </c>
      <c r="N5214">
        <v>468.65999999999997</v>
      </c>
      <c r="O5214">
        <v>234.33</v>
      </c>
    </row>
    <row r="5215" spans="1:15" x14ac:dyDescent="0.35">
      <c r="A5215" t="s">
        <v>5761</v>
      </c>
      <c r="B5215" t="s">
        <v>172</v>
      </c>
      <c r="C5215" t="s">
        <v>1644</v>
      </c>
      <c r="D5215" t="s">
        <v>293</v>
      </c>
      <c r="E5215" t="s">
        <v>304</v>
      </c>
      <c r="F5215" t="s">
        <v>5767</v>
      </c>
      <c r="G5215">
        <v>0</v>
      </c>
      <c r="H5215">
        <v>0</v>
      </c>
      <c r="I5215">
        <v>0</v>
      </c>
      <c r="J5215">
        <v>0</v>
      </c>
      <c r="K5215">
        <v>0</v>
      </c>
      <c r="L5215">
        <v>0</v>
      </c>
      <c r="M5215">
        <v>0</v>
      </c>
      <c r="N5215">
        <v>0</v>
      </c>
      <c r="O5215">
        <v>0</v>
      </c>
    </row>
    <row r="5216" spans="1:15" x14ac:dyDescent="0.35">
      <c r="A5216" t="s">
        <v>5761</v>
      </c>
      <c r="B5216" t="s">
        <v>172</v>
      </c>
      <c r="C5216" t="s">
        <v>1644</v>
      </c>
      <c r="D5216" t="s">
        <v>293</v>
      </c>
      <c r="E5216" t="s">
        <v>306</v>
      </c>
      <c r="F5216" t="s">
        <v>5768</v>
      </c>
      <c r="G5216">
        <v>2</v>
      </c>
      <c r="H5216">
        <v>224.26</v>
      </c>
      <c r="I5216">
        <v>112.13</v>
      </c>
      <c r="J5216">
        <v>0</v>
      </c>
      <c r="K5216">
        <v>0</v>
      </c>
      <c r="L5216">
        <v>0</v>
      </c>
      <c r="M5216">
        <v>2</v>
      </c>
      <c r="N5216">
        <v>224.26</v>
      </c>
      <c r="O5216">
        <v>112.13</v>
      </c>
    </row>
    <row r="5217" spans="1:15" x14ac:dyDescent="0.35">
      <c r="A5217" t="s">
        <v>5761</v>
      </c>
      <c r="B5217" t="s">
        <v>172</v>
      </c>
      <c r="C5217" t="s">
        <v>1644</v>
      </c>
      <c r="D5217" t="s">
        <v>293</v>
      </c>
      <c r="E5217" t="s">
        <v>308</v>
      </c>
      <c r="F5217" t="s">
        <v>5769</v>
      </c>
      <c r="G5217">
        <v>0</v>
      </c>
      <c r="H5217">
        <v>0</v>
      </c>
      <c r="I5217">
        <v>0</v>
      </c>
      <c r="J5217">
        <v>0</v>
      </c>
      <c r="K5217">
        <v>0</v>
      </c>
      <c r="L5217">
        <v>0</v>
      </c>
      <c r="M5217">
        <v>0</v>
      </c>
      <c r="N5217">
        <v>0</v>
      </c>
      <c r="O5217">
        <v>0</v>
      </c>
    </row>
    <row r="5218" spans="1:15" x14ac:dyDescent="0.35">
      <c r="A5218" t="s">
        <v>5761</v>
      </c>
      <c r="B5218" t="s">
        <v>172</v>
      </c>
      <c r="C5218" t="s">
        <v>1644</v>
      </c>
      <c r="D5218" t="s">
        <v>293</v>
      </c>
      <c r="E5218" t="s">
        <v>310</v>
      </c>
      <c r="F5218" t="s">
        <v>5770</v>
      </c>
      <c r="G5218">
        <v>1588</v>
      </c>
      <c r="H5218">
        <v>273446.77999999997</v>
      </c>
      <c r="I5218">
        <v>172.2</v>
      </c>
      <c r="J5218">
        <v>0</v>
      </c>
      <c r="K5218">
        <v>0</v>
      </c>
      <c r="L5218">
        <v>0</v>
      </c>
      <c r="M5218">
        <v>1588</v>
      </c>
      <c r="N5218">
        <v>273446.77999999997</v>
      </c>
      <c r="O5218">
        <v>172.2</v>
      </c>
    </row>
    <row r="5219" spans="1:15" x14ac:dyDescent="0.35">
      <c r="A5219" t="s">
        <v>5761</v>
      </c>
      <c r="B5219" t="s">
        <v>172</v>
      </c>
      <c r="C5219" t="s">
        <v>1644</v>
      </c>
      <c r="D5219" t="s">
        <v>293</v>
      </c>
      <c r="E5219" t="s">
        <v>312</v>
      </c>
      <c r="F5219" t="s">
        <v>5771</v>
      </c>
      <c r="G5219">
        <v>1588</v>
      </c>
      <c r="H5219">
        <v>273446.77999999997</v>
      </c>
      <c r="I5219">
        <v>172.2</v>
      </c>
      <c r="J5219">
        <v>0</v>
      </c>
      <c r="K5219">
        <v>0</v>
      </c>
      <c r="L5219">
        <v>0</v>
      </c>
      <c r="M5219">
        <v>1588</v>
      </c>
      <c r="N5219">
        <v>273446.77999999997</v>
      </c>
      <c r="O5219">
        <v>172.2</v>
      </c>
    </row>
    <row r="5220" spans="1:15" x14ac:dyDescent="0.35">
      <c r="A5220" t="s">
        <v>5761</v>
      </c>
      <c r="B5220" t="s">
        <v>172</v>
      </c>
      <c r="C5220" t="s">
        <v>1644</v>
      </c>
      <c r="D5220" t="s">
        <v>323</v>
      </c>
      <c r="E5220" t="s">
        <v>294</v>
      </c>
      <c r="F5220" t="s">
        <v>5772</v>
      </c>
      <c r="G5220">
        <v>1559</v>
      </c>
      <c r="H5220">
        <v>159762.75</v>
      </c>
      <c r="I5220">
        <v>102.48</v>
      </c>
      <c r="J5220">
        <v>0</v>
      </c>
      <c r="K5220">
        <v>0</v>
      </c>
      <c r="L5220">
        <v>0</v>
      </c>
      <c r="M5220">
        <v>1559</v>
      </c>
      <c r="N5220">
        <v>159762.75</v>
      </c>
      <c r="O5220">
        <v>102.48</v>
      </c>
    </row>
    <row r="5221" spans="1:15" x14ac:dyDescent="0.35">
      <c r="A5221" t="s">
        <v>5761</v>
      </c>
      <c r="B5221" t="s">
        <v>172</v>
      </c>
      <c r="C5221" t="s">
        <v>1644</v>
      </c>
      <c r="D5221" t="s">
        <v>323</v>
      </c>
      <c r="E5221" t="s">
        <v>296</v>
      </c>
      <c r="F5221" t="s">
        <v>5773</v>
      </c>
      <c r="G5221">
        <v>2084</v>
      </c>
      <c r="H5221">
        <v>246559.77000000002</v>
      </c>
      <c r="I5221">
        <v>118.31</v>
      </c>
      <c r="J5221">
        <v>0</v>
      </c>
      <c r="K5221">
        <v>0</v>
      </c>
      <c r="L5221">
        <v>0</v>
      </c>
      <c r="M5221">
        <v>2084</v>
      </c>
      <c r="N5221">
        <v>246559.77000000002</v>
      </c>
      <c r="O5221">
        <v>118.31</v>
      </c>
    </row>
    <row r="5222" spans="1:15" x14ac:dyDescent="0.35">
      <c r="A5222" t="s">
        <v>5761</v>
      </c>
      <c r="B5222" t="s">
        <v>172</v>
      </c>
      <c r="C5222" t="s">
        <v>1644</v>
      </c>
      <c r="D5222" t="s">
        <v>323</v>
      </c>
      <c r="E5222" t="s">
        <v>298</v>
      </c>
      <c r="F5222" t="s">
        <v>5774</v>
      </c>
      <c r="G5222">
        <v>2735</v>
      </c>
      <c r="H5222">
        <v>359374.30000000005</v>
      </c>
      <c r="I5222">
        <v>131.4</v>
      </c>
      <c r="J5222">
        <v>0</v>
      </c>
      <c r="K5222">
        <v>0</v>
      </c>
      <c r="L5222">
        <v>0</v>
      </c>
      <c r="M5222">
        <v>2735</v>
      </c>
      <c r="N5222">
        <v>359374.30000000005</v>
      </c>
      <c r="O5222">
        <v>131.4</v>
      </c>
    </row>
    <row r="5223" spans="1:15" x14ac:dyDescent="0.35">
      <c r="A5223" t="s">
        <v>5761</v>
      </c>
      <c r="B5223" t="s">
        <v>172</v>
      </c>
      <c r="C5223" t="s">
        <v>1644</v>
      </c>
      <c r="D5223" t="s">
        <v>323</v>
      </c>
      <c r="E5223" t="s">
        <v>300</v>
      </c>
      <c r="F5223" t="s">
        <v>5775</v>
      </c>
      <c r="G5223">
        <v>167</v>
      </c>
      <c r="H5223">
        <v>24653.33</v>
      </c>
      <c r="I5223">
        <v>147.62</v>
      </c>
      <c r="J5223">
        <v>0</v>
      </c>
      <c r="K5223">
        <v>0</v>
      </c>
      <c r="L5223">
        <v>0</v>
      </c>
      <c r="M5223">
        <v>167</v>
      </c>
      <c r="N5223">
        <v>24653.33</v>
      </c>
      <c r="O5223">
        <v>147.62</v>
      </c>
    </row>
    <row r="5224" spans="1:15" x14ac:dyDescent="0.35">
      <c r="A5224" t="s">
        <v>5761</v>
      </c>
      <c r="B5224" t="s">
        <v>172</v>
      </c>
      <c r="C5224" t="s">
        <v>1644</v>
      </c>
      <c r="D5224" t="s">
        <v>323</v>
      </c>
      <c r="E5224" t="s">
        <v>302</v>
      </c>
      <c r="F5224" t="s">
        <v>5776</v>
      </c>
      <c r="G5224">
        <v>9</v>
      </c>
      <c r="H5224">
        <v>1435.54</v>
      </c>
      <c r="I5224">
        <v>159.5</v>
      </c>
      <c r="J5224">
        <v>0</v>
      </c>
      <c r="K5224">
        <v>0</v>
      </c>
      <c r="L5224">
        <v>0</v>
      </c>
      <c r="M5224">
        <v>9</v>
      </c>
      <c r="N5224">
        <v>1435.54</v>
      </c>
      <c r="O5224">
        <v>159.5</v>
      </c>
    </row>
    <row r="5225" spans="1:15" x14ac:dyDescent="0.35">
      <c r="A5225" t="s">
        <v>5761</v>
      </c>
      <c r="B5225" t="s">
        <v>172</v>
      </c>
      <c r="C5225" t="s">
        <v>1644</v>
      </c>
      <c r="D5225" t="s">
        <v>323</v>
      </c>
      <c r="E5225" t="s">
        <v>304</v>
      </c>
      <c r="F5225" t="s">
        <v>5777</v>
      </c>
      <c r="G5225">
        <v>3</v>
      </c>
      <c r="H5225">
        <v>494.61</v>
      </c>
      <c r="I5225">
        <v>164.87</v>
      </c>
      <c r="J5225">
        <v>0</v>
      </c>
      <c r="K5225">
        <v>0</v>
      </c>
      <c r="L5225">
        <v>0</v>
      </c>
      <c r="M5225">
        <v>3</v>
      </c>
      <c r="N5225">
        <v>494.61</v>
      </c>
      <c r="O5225">
        <v>164.87</v>
      </c>
    </row>
    <row r="5226" spans="1:15" x14ac:dyDescent="0.35">
      <c r="A5226" t="s">
        <v>5761</v>
      </c>
      <c r="B5226" t="s">
        <v>172</v>
      </c>
      <c r="C5226" t="s">
        <v>1644</v>
      </c>
      <c r="D5226" t="s">
        <v>323</v>
      </c>
      <c r="E5226" t="s">
        <v>306</v>
      </c>
      <c r="F5226" t="s">
        <v>5778</v>
      </c>
      <c r="G5226">
        <v>30</v>
      </c>
      <c r="H5226">
        <v>2821.2000000000003</v>
      </c>
      <c r="I5226">
        <v>94.04</v>
      </c>
      <c r="J5226">
        <v>0</v>
      </c>
      <c r="K5226">
        <v>0</v>
      </c>
      <c r="L5226">
        <v>0</v>
      </c>
      <c r="M5226">
        <v>30</v>
      </c>
      <c r="N5226">
        <v>2821.2000000000003</v>
      </c>
      <c r="O5226">
        <v>94.04</v>
      </c>
    </row>
    <row r="5227" spans="1:15" x14ac:dyDescent="0.35">
      <c r="A5227" t="s">
        <v>5761</v>
      </c>
      <c r="B5227" t="s">
        <v>172</v>
      </c>
      <c r="C5227" t="s">
        <v>1644</v>
      </c>
      <c r="D5227" t="s">
        <v>323</v>
      </c>
      <c r="E5227" t="s">
        <v>308</v>
      </c>
      <c r="F5227" t="s">
        <v>5779</v>
      </c>
      <c r="G5227">
        <v>0</v>
      </c>
      <c r="H5227">
        <v>0</v>
      </c>
      <c r="I5227">
        <v>0</v>
      </c>
      <c r="J5227">
        <v>0</v>
      </c>
      <c r="K5227">
        <v>0</v>
      </c>
      <c r="L5227">
        <v>0</v>
      </c>
      <c r="M5227">
        <v>0</v>
      </c>
      <c r="N5227">
        <v>0</v>
      </c>
      <c r="O5227">
        <v>0</v>
      </c>
    </row>
    <row r="5228" spans="1:15" x14ac:dyDescent="0.35">
      <c r="A5228" t="s">
        <v>5761</v>
      </c>
      <c r="B5228" t="s">
        <v>172</v>
      </c>
      <c r="C5228" t="s">
        <v>1644</v>
      </c>
      <c r="D5228" t="s">
        <v>323</v>
      </c>
      <c r="E5228" t="s">
        <v>310</v>
      </c>
      <c r="F5228" t="s">
        <v>5780</v>
      </c>
      <c r="G5228">
        <v>6587</v>
      </c>
      <c r="H5228">
        <v>795101.5</v>
      </c>
      <c r="I5228">
        <v>120.71</v>
      </c>
      <c r="J5228">
        <v>0</v>
      </c>
      <c r="K5228">
        <v>0</v>
      </c>
      <c r="L5228">
        <v>0</v>
      </c>
      <c r="M5228">
        <v>6587</v>
      </c>
      <c r="N5228">
        <v>795101.5</v>
      </c>
      <c r="O5228">
        <v>120.71</v>
      </c>
    </row>
    <row r="5229" spans="1:15" x14ac:dyDescent="0.35">
      <c r="A5229" t="s">
        <v>5761</v>
      </c>
      <c r="B5229" t="s">
        <v>172</v>
      </c>
      <c r="C5229" t="s">
        <v>1644</v>
      </c>
      <c r="D5229" t="s">
        <v>323</v>
      </c>
      <c r="E5229" t="s">
        <v>312</v>
      </c>
      <c r="F5229" t="s">
        <v>5781</v>
      </c>
      <c r="G5229">
        <v>6587</v>
      </c>
      <c r="H5229">
        <v>795101.5</v>
      </c>
      <c r="I5229">
        <v>120.71</v>
      </c>
      <c r="J5229">
        <v>0</v>
      </c>
      <c r="K5229">
        <v>0</v>
      </c>
      <c r="L5229">
        <v>0</v>
      </c>
      <c r="M5229">
        <v>6587</v>
      </c>
      <c r="N5229">
        <v>795101.5</v>
      </c>
      <c r="O5229">
        <v>120.71</v>
      </c>
    </row>
    <row r="5230" spans="1:15" x14ac:dyDescent="0.35">
      <c r="A5230" t="s">
        <v>5761</v>
      </c>
      <c r="B5230" t="s">
        <v>172</v>
      </c>
      <c r="C5230" t="s">
        <v>1644</v>
      </c>
      <c r="D5230" t="s">
        <v>334</v>
      </c>
      <c r="E5230" t="s">
        <v>312</v>
      </c>
      <c r="F5230" t="s">
        <v>5782</v>
      </c>
      <c r="G5230">
        <v>8284</v>
      </c>
      <c r="H5230">
        <v>1068548.2800000003</v>
      </c>
      <c r="I5230">
        <v>130.71</v>
      </c>
      <c r="J5230">
        <v>0</v>
      </c>
      <c r="K5230">
        <v>0</v>
      </c>
      <c r="L5230">
        <v>0</v>
      </c>
      <c r="M5230">
        <v>8284</v>
      </c>
      <c r="N5230">
        <v>1068548.2800000003</v>
      </c>
      <c r="O5230">
        <v>130.71</v>
      </c>
    </row>
    <row r="5231" spans="1:15" x14ac:dyDescent="0.35">
      <c r="A5231" t="s">
        <v>5761</v>
      </c>
      <c r="B5231" t="s">
        <v>172</v>
      </c>
      <c r="C5231" t="s">
        <v>1644</v>
      </c>
      <c r="D5231" t="s">
        <v>334</v>
      </c>
      <c r="E5231" t="s">
        <v>308</v>
      </c>
      <c r="F5231" t="s">
        <v>5783</v>
      </c>
      <c r="G5231">
        <v>0</v>
      </c>
      <c r="H5231">
        <v>0</v>
      </c>
      <c r="I5231">
        <v>0</v>
      </c>
      <c r="J5231">
        <v>0</v>
      </c>
      <c r="K5231">
        <v>0</v>
      </c>
      <c r="L5231">
        <v>0</v>
      </c>
      <c r="M5231">
        <v>0</v>
      </c>
      <c r="N5231">
        <v>0</v>
      </c>
      <c r="O5231">
        <v>0</v>
      </c>
    </row>
    <row r="5232" spans="1:15" x14ac:dyDescent="0.35">
      <c r="A5232" t="s">
        <v>5761</v>
      </c>
      <c r="B5232" t="s">
        <v>172</v>
      </c>
      <c r="C5232" t="s">
        <v>1644</v>
      </c>
      <c r="D5232" t="s">
        <v>337</v>
      </c>
      <c r="E5232" t="s">
        <v>337</v>
      </c>
      <c r="F5232" t="s">
        <v>5784</v>
      </c>
      <c r="G5232">
        <v>1192</v>
      </c>
      <c r="J5232">
        <v>0</v>
      </c>
      <c r="M5232">
        <v>1192</v>
      </c>
    </row>
    <row r="5233" spans="1:15" x14ac:dyDescent="0.35">
      <c r="A5233" t="s">
        <v>5761</v>
      </c>
      <c r="B5233" t="s">
        <v>172</v>
      </c>
      <c r="C5233" t="s">
        <v>1644</v>
      </c>
      <c r="D5233" t="s">
        <v>339</v>
      </c>
      <c r="E5233" t="s">
        <v>294</v>
      </c>
      <c r="F5233" t="s">
        <v>5785</v>
      </c>
      <c r="G5233">
        <v>374</v>
      </c>
      <c r="H5233">
        <v>39683.339999999997</v>
      </c>
      <c r="I5233">
        <v>106.11</v>
      </c>
      <c r="J5233">
        <v>0</v>
      </c>
      <c r="K5233">
        <v>0</v>
      </c>
      <c r="L5233">
        <v>0</v>
      </c>
      <c r="M5233">
        <v>374</v>
      </c>
      <c r="N5233">
        <v>39683.339999999997</v>
      </c>
      <c r="O5233">
        <v>106.11</v>
      </c>
    </row>
    <row r="5234" spans="1:15" x14ac:dyDescent="0.35">
      <c r="A5234" t="s">
        <v>5761</v>
      </c>
      <c r="B5234" t="s">
        <v>172</v>
      </c>
      <c r="C5234" t="s">
        <v>1644</v>
      </c>
      <c r="D5234" t="s">
        <v>339</v>
      </c>
      <c r="E5234" t="s">
        <v>296</v>
      </c>
      <c r="F5234" t="s">
        <v>5786</v>
      </c>
      <c r="G5234">
        <v>45</v>
      </c>
      <c r="H5234">
        <v>5788.7</v>
      </c>
      <c r="I5234">
        <v>128.63999999999999</v>
      </c>
      <c r="J5234">
        <v>0</v>
      </c>
      <c r="K5234">
        <v>0</v>
      </c>
      <c r="L5234">
        <v>0</v>
      </c>
      <c r="M5234">
        <v>45</v>
      </c>
      <c r="N5234">
        <v>5788.7</v>
      </c>
      <c r="O5234">
        <v>128.63999999999999</v>
      </c>
    </row>
    <row r="5235" spans="1:15" x14ac:dyDescent="0.35">
      <c r="A5235" t="s">
        <v>5761</v>
      </c>
      <c r="B5235" t="s">
        <v>172</v>
      </c>
      <c r="C5235" t="s">
        <v>1644</v>
      </c>
      <c r="D5235" t="s">
        <v>339</v>
      </c>
      <c r="E5235" t="s">
        <v>298</v>
      </c>
      <c r="F5235" t="s">
        <v>5787</v>
      </c>
      <c r="G5235">
        <v>9</v>
      </c>
      <c r="H5235">
        <v>3319.09</v>
      </c>
      <c r="I5235">
        <v>368.79</v>
      </c>
      <c r="J5235">
        <v>0</v>
      </c>
      <c r="K5235">
        <v>0</v>
      </c>
      <c r="L5235">
        <v>0</v>
      </c>
      <c r="M5235">
        <v>9</v>
      </c>
      <c r="N5235">
        <v>3319.09</v>
      </c>
      <c r="O5235">
        <v>368.79</v>
      </c>
    </row>
    <row r="5236" spans="1:15" x14ac:dyDescent="0.35">
      <c r="A5236" t="s">
        <v>5761</v>
      </c>
      <c r="B5236" t="s">
        <v>172</v>
      </c>
      <c r="C5236" t="s">
        <v>1644</v>
      </c>
      <c r="D5236" t="s">
        <v>339</v>
      </c>
      <c r="E5236" t="s">
        <v>300</v>
      </c>
      <c r="F5236" t="s">
        <v>5788</v>
      </c>
      <c r="G5236">
        <v>0</v>
      </c>
      <c r="H5236">
        <v>0</v>
      </c>
      <c r="I5236">
        <v>0</v>
      </c>
      <c r="J5236">
        <v>0</v>
      </c>
      <c r="K5236">
        <v>0</v>
      </c>
      <c r="L5236">
        <v>0</v>
      </c>
      <c r="M5236">
        <v>0</v>
      </c>
      <c r="N5236">
        <v>0</v>
      </c>
      <c r="O5236">
        <v>0</v>
      </c>
    </row>
    <row r="5237" spans="1:15" x14ac:dyDescent="0.35">
      <c r="A5237" t="s">
        <v>5761</v>
      </c>
      <c r="B5237" t="s">
        <v>172</v>
      </c>
      <c r="C5237" t="s">
        <v>1644</v>
      </c>
      <c r="D5237" t="s">
        <v>339</v>
      </c>
      <c r="E5237" t="s">
        <v>306</v>
      </c>
      <c r="F5237" t="s">
        <v>5789</v>
      </c>
      <c r="G5237">
        <v>39</v>
      </c>
      <c r="H5237">
        <v>3570.0899999999997</v>
      </c>
      <c r="I5237">
        <v>91.54</v>
      </c>
      <c r="J5237">
        <v>0</v>
      </c>
      <c r="K5237">
        <v>0</v>
      </c>
      <c r="L5237">
        <v>0</v>
      </c>
      <c r="M5237">
        <v>39</v>
      </c>
      <c r="N5237">
        <v>3570.0899999999997</v>
      </c>
      <c r="O5237">
        <v>91.54</v>
      </c>
    </row>
    <row r="5238" spans="1:15" x14ac:dyDescent="0.35">
      <c r="A5238" t="s">
        <v>5761</v>
      </c>
      <c r="B5238" t="s">
        <v>172</v>
      </c>
      <c r="C5238" t="s">
        <v>1644</v>
      </c>
      <c r="D5238" t="s">
        <v>339</v>
      </c>
      <c r="E5238" t="s">
        <v>308</v>
      </c>
      <c r="F5238" t="s">
        <v>5790</v>
      </c>
      <c r="G5238">
        <v>128</v>
      </c>
      <c r="H5238">
        <v>19758.180000000004</v>
      </c>
      <c r="I5238">
        <v>154.36000000000001</v>
      </c>
      <c r="J5238">
        <v>0</v>
      </c>
      <c r="K5238">
        <v>0</v>
      </c>
      <c r="L5238">
        <v>0</v>
      </c>
      <c r="M5238">
        <v>128</v>
      </c>
      <c r="N5238">
        <v>19758.180000000004</v>
      </c>
      <c r="O5238">
        <v>154.36000000000001</v>
      </c>
    </row>
    <row r="5239" spans="1:15" x14ac:dyDescent="0.35">
      <c r="A5239" t="s">
        <v>5761</v>
      </c>
      <c r="B5239" t="s">
        <v>172</v>
      </c>
      <c r="C5239" t="s">
        <v>1644</v>
      </c>
      <c r="D5239" t="s">
        <v>339</v>
      </c>
      <c r="E5239" t="s">
        <v>310</v>
      </c>
      <c r="F5239" t="s">
        <v>5791</v>
      </c>
      <c r="G5239">
        <v>595</v>
      </c>
      <c r="H5239">
        <v>72119.399999999994</v>
      </c>
      <c r="I5239">
        <v>121.21</v>
      </c>
      <c r="J5239">
        <v>0</v>
      </c>
      <c r="K5239">
        <v>0</v>
      </c>
      <c r="L5239">
        <v>0</v>
      </c>
      <c r="M5239">
        <v>595</v>
      </c>
      <c r="N5239">
        <v>72119.399999999994</v>
      </c>
      <c r="O5239">
        <v>121.21</v>
      </c>
    </row>
    <row r="5240" spans="1:15" x14ac:dyDescent="0.35">
      <c r="A5240" t="s">
        <v>5761</v>
      </c>
      <c r="B5240" t="s">
        <v>172</v>
      </c>
      <c r="C5240" t="s">
        <v>1644</v>
      </c>
      <c r="D5240" t="s">
        <v>339</v>
      </c>
      <c r="E5240" t="s">
        <v>312</v>
      </c>
      <c r="F5240" t="s">
        <v>5792</v>
      </c>
      <c r="G5240">
        <v>467</v>
      </c>
      <c r="H5240">
        <v>52361.219999999987</v>
      </c>
      <c r="I5240">
        <v>112.12</v>
      </c>
      <c r="J5240">
        <v>0</v>
      </c>
      <c r="K5240">
        <v>0</v>
      </c>
      <c r="L5240">
        <v>0</v>
      </c>
      <c r="M5240">
        <v>467</v>
      </c>
      <c r="N5240">
        <v>52361.219999999987</v>
      </c>
      <c r="O5240">
        <v>112.12</v>
      </c>
    </row>
    <row r="5241" spans="1:15" x14ac:dyDescent="0.35">
      <c r="A5241" t="s">
        <v>5761</v>
      </c>
      <c r="B5241" t="s">
        <v>172</v>
      </c>
      <c r="C5241" t="s">
        <v>1644</v>
      </c>
      <c r="D5241" t="s">
        <v>348</v>
      </c>
      <c r="E5241" t="s">
        <v>349</v>
      </c>
      <c r="F5241" t="s">
        <v>5793</v>
      </c>
      <c r="G5241">
        <v>664</v>
      </c>
      <c r="H5241">
        <v>72119.399999999994</v>
      </c>
      <c r="I5241">
        <v>121.21</v>
      </c>
      <c r="J5241">
        <v>0</v>
      </c>
      <c r="K5241">
        <v>0</v>
      </c>
      <c r="L5241">
        <v>0</v>
      </c>
      <c r="M5241">
        <v>664</v>
      </c>
      <c r="N5241">
        <v>72119.399999999994</v>
      </c>
      <c r="O5241">
        <v>121.21</v>
      </c>
    </row>
    <row r="5242" spans="1:15" x14ac:dyDescent="0.35">
      <c r="A5242" t="s">
        <v>5794</v>
      </c>
      <c r="B5242" t="s">
        <v>182</v>
      </c>
      <c r="C5242" t="s">
        <v>1644</v>
      </c>
      <c r="D5242" t="s">
        <v>293</v>
      </c>
      <c r="E5242" t="s">
        <v>294</v>
      </c>
      <c r="F5242" t="s">
        <v>5795</v>
      </c>
      <c r="G5242">
        <v>70</v>
      </c>
      <c r="H5242">
        <v>8161.29</v>
      </c>
      <c r="I5242">
        <v>116.59</v>
      </c>
      <c r="J5242">
        <v>53</v>
      </c>
      <c r="K5242">
        <v>6199.41</v>
      </c>
      <c r="L5242">
        <v>116.97</v>
      </c>
      <c r="M5242">
        <v>123</v>
      </c>
      <c r="N5242">
        <v>14360.7</v>
      </c>
      <c r="O5242">
        <v>116.75</v>
      </c>
    </row>
    <row r="5243" spans="1:15" x14ac:dyDescent="0.35">
      <c r="A5243" t="s">
        <v>5794</v>
      </c>
      <c r="B5243" t="s">
        <v>182</v>
      </c>
      <c r="C5243" t="s">
        <v>1644</v>
      </c>
      <c r="D5243" t="s">
        <v>293</v>
      </c>
      <c r="E5243" t="s">
        <v>296</v>
      </c>
      <c r="F5243" t="s">
        <v>5796</v>
      </c>
      <c r="G5243">
        <v>284</v>
      </c>
      <c r="H5243">
        <v>43390.360000000008</v>
      </c>
      <c r="I5243">
        <v>152.78</v>
      </c>
      <c r="J5243">
        <v>89</v>
      </c>
      <c r="K5243">
        <v>12975.31</v>
      </c>
      <c r="L5243">
        <v>145.79</v>
      </c>
      <c r="M5243">
        <v>373</v>
      </c>
      <c r="N5243">
        <v>56365.670000000006</v>
      </c>
      <c r="O5243">
        <v>151.11000000000001</v>
      </c>
    </row>
    <row r="5244" spans="1:15" x14ac:dyDescent="0.35">
      <c r="A5244" t="s">
        <v>5794</v>
      </c>
      <c r="B5244" t="s">
        <v>182</v>
      </c>
      <c r="C5244" t="s">
        <v>1644</v>
      </c>
      <c r="D5244" t="s">
        <v>293</v>
      </c>
      <c r="E5244" t="s">
        <v>298</v>
      </c>
      <c r="F5244" t="s">
        <v>5797</v>
      </c>
      <c r="G5244">
        <v>129</v>
      </c>
      <c r="H5244">
        <v>22736.74</v>
      </c>
      <c r="I5244">
        <v>176.25</v>
      </c>
      <c r="J5244">
        <v>75</v>
      </c>
      <c r="K5244">
        <v>14037.749999999998</v>
      </c>
      <c r="L5244">
        <v>187.17</v>
      </c>
      <c r="M5244">
        <v>204</v>
      </c>
      <c r="N5244">
        <v>36774.49</v>
      </c>
      <c r="O5244">
        <v>180.27</v>
      </c>
    </row>
    <row r="5245" spans="1:15" x14ac:dyDescent="0.35">
      <c r="A5245" t="s">
        <v>5794</v>
      </c>
      <c r="B5245" t="s">
        <v>182</v>
      </c>
      <c r="C5245" t="s">
        <v>1644</v>
      </c>
      <c r="D5245" t="s">
        <v>293</v>
      </c>
      <c r="E5245" t="s">
        <v>300</v>
      </c>
      <c r="F5245" t="s">
        <v>5798</v>
      </c>
      <c r="G5245">
        <v>32</v>
      </c>
      <c r="H5245">
        <v>6761.2499999999991</v>
      </c>
      <c r="I5245">
        <v>211.29</v>
      </c>
      <c r="J5245">
        <v>21</v>
      </c>
      <c r="K5245">
        <v>4464.3900000000003</v>
      </c>
      <c r="L5245">
        <v>212.59</v>
      </c>
      <c r="M5245">
        <v>53</v>
      </c>
      <c r="N5245">
        <v>11225.64</v>
      </c>
      <c r="O5245">
        <v>211.8</v>
      </c>
    </row>
    <row r="5246" spans="1:15" x14ac:dyDescent="0.35">
      <c r="A5246" t="s">
        <v>5794</v>
      </c>
      <c r="B5246" t="s">
        <v>182</v>
      </c>
      <c r="C5246" t="s">
        <v>1644</v>
      </c>
      <c r="D5246" t="s">
        <v>293</v>
      </c>
      <c r="E5246" t="s">
        <v>302</v>
      </c>
      <c r="F5246" t="s">
        <v>5799</v>
      </c>
      <c r="G5246">
        <v>0</v>
      </c>
      <c r="H5246">
        <v>0</v>
      </c>
      <c r="I5246">
        <v>0</v>
      </c>
      <c r="J5246">
        <v>0</v>
      </c>
      <c r="K5246">
        <v>0</v>
      </c>
      <c r="L5246">
        <v>0</v>
      </c>
      <c r="M5246">
        <v>0</v>
      </c>
      <c r="N5246">
        <v>0</v>
      </c>
      <c r="O5246">
        <v>0</v>
      </c>
    </row>
    <row r="5247" spans="1:15" x14ac:dyDescent="0.35">
      <c r="A5247" t="s">
        <v>5794</v>
      </c>
      <c r="B5247" t="s">
        <v>182</v>
      </c>
      <c r="C5247" t="s">
        <v>1644</v>
      </c>
      <c r="D5247" t="s">
        <v>293</v>
      </c>
      <c r="E5247" t="s">
        <v>304</v>
      </c>
      <c r="F5247" t="s">
        <v>5800</v>
      </c>
      <c r="G5247">
        <v>0</v>
      </c>
      <c r="H5247">
        <v>0</v>
      </c>
      <c r="I5247">
        <v>0</v>
      </c>
      <c r="J5247">
        <v>0</v>
      </c>
      <c r="K5247">
        <v>0</v>
      </c>
      <c r="L5247">
        <v>0</v>
      </c>
      <c r="M5247">
        <v>0</v>
      </c>
      <c r="N5247">
        <v>0</v>
      </c>
      <c r="O5247">
        <v>0</v>
      </c>
    </row>
    <row r="5248" spans="1:15" x14ac:dyDescent="0.35">
      <c r="A5248" t="s">
        <v>5794</v>
      </c>
      <c r="B5248" t="s">
        <v>182</v>
      </c>
      <c r="C5248" t="s">
        <v>1644</v>
      </c>
      <c r="D5248" t="s">
        <v>293</v>
      </c>
      <c r="E5248" t="s">
        <v>306</v>
      </c>
      <c r="F5248" t="s">
        <v>5801</v>
      </c>
      <c r="G5248">
        <v>0</v>
      </c>
      <c r="H5248">
        <v>0</v>
      </c>
      <c r="I5248">
        <v>0</v>
      </c>
      <c r="J5248">
        <v>1</v>
      </c>
      <c r="K5248">
        <v>105.2</v>
      </c>
      <c r="L5248">
        <v>105.2</v>
      </c>
      <c r="M5248">
        <v>1</v>
      </c>
      <c r="N5248">
        <v>105.2</v>
      </c>
      <c r="O5248">
        <v>105.2</v>
      </c>
    </row>
    <row r="5249" spans="1:15" x14ac:dyDescent="0.35">
      <c r="A5249" t="s">
        <v>5794</v>
      </c>
      <c r="B5249" t="s">
        <v>182</v>
      </c>
      <c r="C5249" t="s">
        <v>1644</v>
      </c>
      <c r="D5249" t="s">
        <v>293</v>
      </c>
      <c r="E5249" t="s">
        <v>308</v>
      </c>
      <c r="F5249" t="s">
        <v>5802</v>
      </c>
      <c r="G5249">
        <v>0</v>
      </c>
      <c r="H5249">
        <v>0</v>
      </c>
      <c r="I5249">
        <v>0</v>
      </c>
      <c r="J5249">
        <v>0</v>
      </c>
      <c r="K5249">
        <v>0</v>
      </c>
      <c r="L5249">
        <v>0</v>
      </c>
      <c r="M5249">
        <v>0</v>
      </c>
      <c r="N5249">
        <v>0</v>
      </c>
      <c r="O5249">
        <v>0</v>
      </c>
    </row>
    <row r="5250" spans="1:15" x14ac:dyDescent="0.35">
      <c r="A5250" t="s">
        <v>5794</v>
      </c>
      <c r="B5250" t="s">
        <v>182</v>
      </c>
      <c r="C5250" t="s">
        <v>1644</v>
      </c>
      <c r="D5250" t="s">
        <v>293</v>
      </c>
      <c r="E5250" t="s">
        <v>310</v>
      </c>
      <c r="F5250" t="s">
        <v>5803</v>
      </c>
      <c r="G5250">
        <v>515</v>
      </c>
      <c r="H5250">
        <v>81049.640000000014</v>
      </c>
      <c r="I5250">
        <v>157.38</v>
      </c>
      <c r="J5250">
        <v>239</v>
      </c>
      <c r="K5250">
        <v>37782.06</v>
      </c>
      <c r="L5250">
        <v>158.08000000000001</v>
      </c>
      <c r="M5250">
        <v>754</v>
      </c>
      <c r="N5250">
        <v>118831.70000000001</v>
      </c>
      <c r="O5250">
        <v>157.6</v>
      </c>
    </row>
    <row r="5251" spans="1:15" x14ac:dyDescent="0.35">
      <c r="A5251" t="s">
        <v>5794</v>
      </c>
      <c r="B5251" t="s">
        <v>182</v>
      </c>
      <c r="C5251" t="s">
        <v>1644</v>
      </c>
      <c r="D5251" t="s">
        <v>293</v>
      </c>
      <c r="E5251" t="s">
        <v>312</v>
      </c>
      <c r="F5251" t="s">
        <v>5804</v>
      </c>
      <c r="G5251">
        <v>515</v>
      </c>
      <c r="H5251">
        <v>81049.640000000014</v>
      </c>
      <c r="I5251">
        <v>157.38</v>
      </c>
      <c r="J5251">
        <v>239</v>
      </c>
      <c r="K5251">
        <v>37782.06</v>
      </c>
      <c r="L5251">
        <v>158.08000000000001</v>
      </c>
      <c r="M5251">
        <v>754</v>
      </c>
      <c r="N5251">
        <v>118831.70000000001</v>
      </c>
      <c r="O5251">
        <v>157.6</v>
      </c>
    </row>
    <row r="5252" spans="1:15" x14ac:dyDescent="0.35">
      <c r="A5252" t="s">
        <v>5794</v>
      </c>
      <c r="B5252" t="s">
        <v>182</v>
      </c>
      <c r="C5252" t="s">
        <v>1644</v>
      </c>
      <c r="D5252" t="s">
        <v>314</v>
      </c>
      <c r="E5252" t="s">
        <v>294</v>
      </c>
      <c r="F5252" t="s">
        <v>5805</v>
      </c>
      <c r="G5252">
        <v>0</v>
      </c>
      <c r="H5252">
        <v>0</v>
      </c>
      <c r="I5252">
        <v>0</v>
      </c>
      <c r="J5252">
        <v>0</v>
      </c>
      <c r="K5252">
        <v>0</v>
      </c>
      <c r="L5252">
        <v>0</v>
      </c>
      <c r="M5252">
        <v>0</v>
      </c>
      <c r="N5252">
        <v>0</v>
      </c>
      <c r="O5252">
        <v>0</v>
      </c>
    </row>
    <row r="5253" spans="1:15" x14ac:dyDescent="0.35">
      <c r="A5253" t="s">
        <v>5794</v>
      </c>
      <c r="B5253" t="s">
        <v>182</v>
      </c>
      <c r="C5253" t="s">
        <v>1644</v>
      </c>
      <c r="D5253" t="s">
        <v>314</v>
      </c>
      <c r="E5253" t="s">
        <v>296</v>
      </c>
      <c r="F5253" t="s">
        <v>5806</v>
      </c>
      <c r="G5253">
        <v>0</v>
      </c>
      <c r="H5253">
        <v>0</v>
      </c>
      <c r="I5253">
        <v>0</v>
      </c>
      <c r="J5253">
        <v>0</v>
      </c>
      <c r="K5253">
        <v>0</v>
      </c>
      <c r="L5253">
        <v>0</v>
      </c>
      <c r="M5253">
        <v>0</v>
      </c>
      <c r="N5253">
        <v>0</v>
      </c>
      <c r="O5253">
        <v>0</v>
      </c>
    </row>
    <row r="5254" spans="1:15" x14ac:dyDescent="0.35">
      <c r="A5254" t="s">
        <v>5794</v>
      </c>
      <c r="B5254" t="s">
        <v>182</v>
      </c>
      <c r="C5254" t="s">
        <v>1644</v>
      </c>
      <c r="D5254" t="s">
        <v>314</v>
      </c>
      <c r="E5254" t="s">
        <v>298</v>
      </c>
      <c r="F5254" t="s">
        <v>5807</v>
      </c>
      <c r="G5254">
        <v>0</v>
      </c>
      <c r="H5254">
        <v>0</v>
      </c>
      <c r="I5254">
        <v>0</v>
      </c>
      <c r="J5254">
        <v>0</v>
      </c>
      <c r="K5254">
        <v>0</v>
      </c>
      <c r="L5254">
        <v>0</v>
      </c>
      <c r="M5254">
        <v>0</v>
      </c>
      <c r="N5254">
        <v>0</v>
      </c>
      <c r="O5254">
        <v>0</v>
      </c>
    </row>
    <row r="5255" spans="1:15" x14ac:dyDescent="0.35">
      <c r="A5255" t="s">
        <v>5794</v>
      </c>
      <c r="B5255" t="s">
        <v>182</v>
      </c>
      <c r="C5255" t="s">
        <v>1644</v>
      </c>
      <c r="D5255" t="s">
        <v>314</v>
      </c>
      <c r="E5255" t="s">
        <v>300</v>
      </c>
      <c r="F5255" t="s">
        <v>5808</v>
      </c>
      <c r="G5255">
        <v>0</v>
      </c>
      <c r="H5255">
        <v>0</v>
      </c>
      <c r="I5255">
        <v>0</v>
      </c>
      <c r="J5255">
        <v>0</v>
      </c>
      <c r="K5255">
        <v>0</v>
      </c>
      <c r="L5255">
        <v>0</v>
      </c>
      <c r="M5255">
        <v>0</v>
      </c>
      <c r="N5255">
        <v>0</v>
      </c>
      <c r="O5255">
        <v>0</v>
      </c>
    </row>
    <row r="5256" spans="1:15" x14ac:dyDescent="0.35">
      <c r="A5256" t="s">
        <v>5794</v>
      </c>
      <c r="B5256" t="s">
        <v>182</v>
      </c>
      <c r="C5256" t="s">
        <v>1644</v>
      </c>
      <c r="D5256" t="s">
        <v>314</v>
      </c>
      <c r="E5256" t="s">
        <v>306</v>
      </c>
      <c r="F5256" t="s">
        <v>5809</v>
      </c>
      <c r="G5256">
        <v>0</v>
      </c>
      <c r="H5256">
        <v>0</v>
      </c>
      <c r="I5256">
        <v>0</v>
      </c>
      <c r="J5256">
        <v>0</v>
      </c>
      <c r="K5256">
        <v>0</v>
      </c>
      <c r="L5256">
        <v>0</v>
      </c>
      <c r="M5256">
        <v>0</v>
      </c>
      <c r="N5256">
        <v>0</v>
      </c>
      <c r="O5256">
        <v>0</v>
      </c>
    </row>
    <row r="5257" spans="1:15" x14ac:dyDescent="0.35">
      <c r="A5257" t="s">
        <v>5794</v>
      </c>
      <c r="B5257" t="s">
        <v>182</v>
      </c>
      <c r="C5257" t="s">
        <v>1644</v>
      </c>
      <c r="D5257" t="s">
        <v>314</v>
      </c>
      <c r="E5257" t="s">
        <v>308</v>
      </c>
      <c r="F5257" t="s">
        <v>5810</v>
      </c>
      <c r="G5257">
        <v>0</v>
      </c>
      <c r="H5257">
        <v>0</v>
      </c>
      <c r="I5257">
        <v>0</v>
      </c>
      <c r="J5257">
        <v>0</v>
      </c>
      <c r="K5257">
        <v>0</v>
      </c>
      <c r="L5257">
        <v>0</v>
      </c>
      <c r="M5257">
        <v>0</v>
      </c>
      <c r="N5257">
        <v>0</v>
      </c>
      <c r="O5257">
        <v>0</v>
      </c>
    </row>
    <row r="5258" spans="1:15" x14ac:dyDescent="0.35">
      <c r="A5258" t="s">
        <v>5794</v>
      </c>
      <c r="B5258" t="s">
        <v>182</v>
      </c>
      <c r="C5258" t="s">
        <v>1644</v>
      </c>
      <c r="D5258" t="s">
        <v>314</v>
      </c>
      <c r="E5258" t="s">
        <v>312</v>
      </c>
      <c r="F5258" t="s">
        <v>5811</v>
      </c>
      <c r="G5258">
        <v>0</v>
      </c>
      <c r="H5258">
        <v>0</v>
      </c>
      <c r="I5258">
        <v>0</v>
      </c>
      <c r="J5258">
        <v>0</v>
      </c>
      <c r="K5258">
        <v>0</v>
      </c>
      <c r="L5258">
        <v>0</v>
      </c>
      <c r="M5258">
        <v>0</v>
      </c>
      <c r="N5258">
        <v>0</v>
      </c>
      <c r="O5258">
        <v>0</v>
      </c>
    </row>
    <row r="5259" spans="1:15" x14ac:dyDescent="0.35">
      <c r="A5259" t="s">
        <v>5794</v>
      </c>
      <c r="B5259" t="s">
        <v>182</v>
      </c>
      <c r="C5259" t="s">
        <v>1644</v>
      </c>
      <c r="D5259" t="s">
        <v>314</v>
      </c>
      <c r="E5259" t="s">
        <v>310</v>
      </c>
      <c r="F5259" t="s">
        <v>5812</v>
      </c>
      <c r="G5259">
        <v>0</v>
      </c>
      <c r="H5259">
        <v>0</v>
      </c>
      <c r="I5259">
        <v>0</v>
      </c>
      <c r="J5259">
        <v>0</v>
      </c>
      <c r="K5259">
        <v>0</v>
      </c>
      <c r="L5259">
        <v>0</v>
      </c>
      <c r="M5259">
        <v>0</v>
      </c>
      <c r="N5259">
        <v>0</v>
      </c>
      <c r="O5259">
        <v>0</v>
      </c>
    </row>
    <row r="5260" spans="1:15" x14ac:dyDescent="0.35">
      <c r="A5260" t="s">
        <v>5794</v>
      </c>
      <c r="B5260" t="s">
        <v>182</v>
      </c>
      <c r="C5260" t="s">
        <v>1644</v>
      </c>
      <c r="D5260" t="s">
        <v>323</v>
      </c>
      <c r="E5260" t="s">
        <v>294</v>
      </c>
      <c r="F5260" t="s">
        <v>5813</v>
      </c>
      <c r="G5260">
        <v>1271</v>
      </c>
      <c r="H5260">
        <v>127223.43000000001</v>
      </c>
      <c r="I5260">
        <v>100.1</v>
      </c>
      <c r="J5260">
        <v>551</v>
      </c>
      <c r="K5260">
        <v>45710.96</v>
      </c>
      <c r="L5260">
        <v>82.96</v>
      </c>
      <c r="M5260">
        <v>1822</v>
      </c>
      <c r="N5260">
        <v>172934.39</v>
      </c>
      <c r="O5260">
        <v>94.91</v>
      </c>
    </row>
    <row r="5261" spans="1:15" x14ac:dyDescent="0.35">
      <c r="A5261" t="s">
        <v>5794</v>
      </c>
      <c r="B5261" t="s">
        <v>182</v>
      </c>
      <c r="C5261" t="s">
        <v>1644</v>
      </c>
      <c r="D5261" t="s">
        <v>323</v>
      </c>
      <c r="E5261" t="s">
        <v>296</v>
      </c>
      <c r="F5261" t="s">
        <v>5814</v>
      </c>
      <c r="G5261">
        <v>1315</v>
      </c>
      <c r="H5261">
        <v>152895.94000000003</v>
      </c>
      <c r="I5261">
        <v>116.27</v>
      </c>
      <c r="J5261">
        <v>1320</v>
      </c>
      <c r="K5261">
        <v>129294</v>
      </c>
      <c r="L5261">
        <v>97.95</v>
      </c>
      <c r="M5261">
        <v>2635</v>
      </c>
      <c r="N5261">
        <v>282189.94000000006</v>
      </c>
      <c r="O5261">
        <v>107.09</v>
      </c>
    </row>
    <row r="5262" spans="1:15" x14ac:dyDescent="0.35">
      <c r="A5262" t="s">
        <v>5794</v>
      </c>
      <c r="B5262" t="s">
        <v>182</v>
      </c>
      <c r="C5262" t="s">
        <v>1644</v>
      </c>
      <c r="D5262" t="s">
        <v>323</v>
      </c>
      <c r="E5262" t="s">
        <v>298</v>
      </c>
      <c r="F5262" t="s">
        <v>5815</v>
      </c>
      <c r="G5262">
        <v>923</v>
      </c>
      <c r="H5262">
        <v>121067.28999999998</v>
      </c>
      <c r="I5262">
        <v>131.16999999999999</v>
      </c>
      <c r="J5262">
        <v>865</v>
      </c>
      <c r="K5262">
        <v>97857.45</v>
      </c>
      <c r="L5262">
        <v>113.13</v>
      </c>
      <c r="M5262">
        <v>1788</v>
      </c>
      <c r="N5262">
        <v>218924.74</v>
      </c>
      <c r="O5262">
        <v>122.44</v>
      </c>
    </row>
    <row r="5263" spans="1:15" x14ac:dyDescent="0.35">
      <c r="A5263" t="s">
        <v>5794</v>
      </c>
      <c r="B5263" t="s">
        <v>182</v>
      </c>
      <c r="C5263" t="s">
        <v>1644</v>
      </c>
      <c r="D5263" t="s">
        <v>323</v>
      </c>
      <c r="E5263" t="s">
        <v>300</v>
      </c>
      <c r="F5263" t="s">
        <v>5816</v>
      </c>
      <c r="G5263">
        <v>74</v>
      </c>
      <c r="H5263">
        <v>10740.49</v>
      </c>
      <c r="I5263">
        <v>145.13999999999999</v>
      </c>
      <c r="J5263">
        <v>84</v>
      </c>
      <c r="K5263">
        <v>10490.76</v>
      </c>
      <c r="L5263">
        <v>124.89</v>
      </c>
      <c r="M5263">
        <v>158</v>
      </c>
      <c r="N5263">
        <v>21231.25</v>
      </c>
      <c r="O5263">
        <v>134.38</v>
      </c>
    </row>
    <row r="5264" spans="1:15" x14ac:dyDescent="0.35">
      <c r="A5264" t="s">
        <v>5794</v>
      </c>
      <c r="B5264" t="s">
        <v>182</v>
      </c>
      <c r="C5264" t="s">
        <v>1644</v>
      </c>
      <c r="D5264" t="s">
        <v>323</v>
      </c>
      <c r="E5264" t="s">
        <v>302</v>
      </c>
      <c r="F5264" t="s">
        <v>5817</v>
      </c>
      <c r="G5264">
        <v>3</v>
      </c>
      <c r="H5264">
        <v>450.27</v>
      </c>
      <c r="I5264">
        <v>150.09</v>
      </c>
      <c r="J5264">
        <v>1</v>
      </c>
      <c r="K5264">
        <v>135.75</v>
      </c>
      <c r="L5264">
        <v>135.75</v>
      </c>
      <c r="M5264">
        <v>4</v>
      </c>
      <c r="N5264">
        <v>586.02</v>
      </c>
      <c r="O5264">
        <v>146.51</v>
      </c>
    </row>
    <row r="5265" spans="1:15" x14ac:dyDescent="0.35">
      <c r="A5265" t="s">
        <v>5794</v>
      </c>
      <c r="B5265" t="s">
        <v>182</v>
      </c>
      <c r="C5265" t="s">
        <v>1644</v>
      </c>
      <c r="D5265" t="s">
        <v>323</v>
      </c>
      <c r="E5265" t="s">
        <v>304</v>
      </c>
      <c r="F5265" t="s">
        <v>5818</v>
      </c>
      <c r="G5265">
        <v>0</v>
      </c>
      <c r="H5265">
        <v>0</v>
      </c>
      <c r="I5265">
        <v>0</v>
      </c>
      <c r="J5265">
        <v>0</v>
      </c>
      <c r="K5265">
        <v>0</v>
      </c>
      <c r="L5265">
        <v>0</v>
      </c>
      <c r="M5265">
        <v>0</v>
      </c>
      <c r="N5265">
        <v>0</v>
      </c>
      <c r="O5265">
        <v>0</v>
      </c>
    </row>
    <row r="5266" spans="1:15" x14ac:dyDescent="0.35">
      <c r="A5266" t="s">
        <v>5794</v>
      </c>
      <c r="B5266" t="s">
        <v>182</v>
      </c>
      <c r="C5266" t="s">
        <v>1644</v>
      </c>
      <c r="D5266" t="s">
        <v>323</v>
      </c>
      <c r="E5266" t="s">
        <v>306</v>
      </c>
      <c r="F5266" t="s">
        <v>5819</v>
      </c>
      <c r="G5266">
        <v>22</v>
      </c>
      <c r="H5266">
        <v>2045.34</v>
      </c>
      <c r="I5266">
        <v>92.97</v>
      </c>
      <c r="J5266">
        <v>98</v>
      </c>
      <c r="K5266">
        <v>7249.0599999999995</v>
      </c>
      <c r="L5266">
        <v>73.97</v>
      </c>
      <c r="M5266">
        <v>120</v>
      </c>
      <c r="N5266">
        <v>9294.4</v>
      </c>
      <c r="O5266">
        <v>77.45</v>
      </c>
    </row>
    <row r="5267" spans="1:15" x14ac:dyDescent="0.35">
      <c r="A5267" t="s">
        <v>5794</v>
      </c>
      <c r="B5267" t="s">
        <v>182</v>
      </c>
      <c r="C5267" t="s">
        <v>1644</v>
      </c>
      <c r="D5267" t="s">
        <v>323</v>
      </c>
      <c r="E5267" t="s">
        <v>308</v>
      </c>
      <c r="F5267" t="s">
        <v>5820</v>
      </c>
      <c r="G5267">
        <v>0</v>
      </c>
      <c r="H5267">
        <v>0</v>
      </c>
      <c r="I5267">
        <v>0</v>
      </c>
      <c r="J5267">
        <v>0</v>
      </c>
      <c r="K5267">
        <v>0</v>
      </c>
      <c r="L5267">
        <v>0</v>
      </c>
      <c r="M5267">
        <v>0</v>
      </c>
      <c r="N5267">
        <v>0</v>
      </c>
      <c r="O5267">
        <v>0</v>
      </c>
    </row>
    <row r="5268" spans="1:15" x14ac:dyDescent="0.35">
      <c r="A5268" t="s">
        <v>5794</v>
      </c>
      <c r="B5268" t="s">
        <v>182</v>
      </c>
      <c r="C5268" t="s">
        <v>1644</v>
      </c>
      <c r="D5268" t="s">
        <v>323</v>
      </c>
      <c r="E5268" t="s">
        <v>310</v>
      </c>
      <c r="F5268" t="s">
        <v>5821</v>
      </c>
      <c r="G5268">
        <v>3608</v>
      </c>
      <c r="H5268">
        <v>414422.76000000007</v>
      </c>
      <c r="I5268">
        <v>114.86</v>
      </c>
      <c r="J5268">
        <v>2919</v>
      </c>
      <c r="K5268">
        <v>290737.98</v>
      </c>
      <c r="L5268">
        <v>99.6</v>
      </c>
      <c r="M5268">
        <v>6527</v>
      </c>
      <c r="N5268">
        <v>705160.74</v>
      </c>
      <c r="O5268">
        <v>108.04</v>
      </c>
    </row>
    <row r="5269" spans="1:15" x14ac:dyDescent="0.35">
      <c r="A5269" t="s">
        <v>5794</v>
      </c>
      <c r="B5269" t="s">
        <v>182</v>
      </c>
      <c r="C5269" t="s">
        <v>1644</v>
      </c>
      <c r="D5269" t="s">
        <v>323</v>
      </c>
      <c r="E5269" t="s">
        <v>312</v>
      </c>
      <c r="F5269" t="s">
        <v>5822</v>
      </c>
      <c r="G5269">
        <v>3608</v>
      </c>
      <c r="H5269">
        <v>414422.76000000007</v>
      </c>
      <c r="I5269">
        <v>114.86</v>
      </c>
      <c r="J5269">
        <v>2919</v>
      </c>
      <c r="K5269">
        <v>290737.98</v>
      </c>
      <c r="L5269">
        <v>99.6</v>
      </c>
      <c r="M5269">
        <v>6527</v>
      </c>
      <c r="N5269">
        <v>705160.74</v>
      </c>
      <c r="O5269">
        <v>108.04</v>
      </c>
    </row>
    <row r="5270" spans="1:15" x14ac:dyDescent="0.35">
      <c r="A5270" t="s">
        <v>5794</v>
      </c>
      <c r="B5270" t="s">
        <v>182</v>
      </c>
      <c r="C5270" t="s">
        <v>1644</v>
      </c>
      <c r="D5270" t="s">
        <v>334</v>
      </c>
      <c r="E5270" t="s">
        <v>312</v>
      </c>
      <c r="F5270" t="s">
        <v>5823</v>
      </c>
      <c r="G5270">
        <v>4158</v>
      </c>
      <c r="H5270">
        <v>495472.4</v>
      </c>
      <c r="I5270">
        <v>120.17</v>
      </c>
      <c r="J5270">
        <v>3158</v>
      </c>
      <c r="K5270">
        <v>328520.03999999998</v>
      </c>
      <c r="L5270">
        <v>104.03</v>
      </c>
      <c r="M5270">
        <v>7316</v>
      </c>
      <c r="N5270">
        <v>823992.44</v>
      </c>
      <c r="O5270">
        <v>113.17</v>
      </c>
    </row>
    <row r="5271" spans="1:15" x14ac:dyDescent="0.35">
      <c r="A5271" t="s">
        <v>5794</v>
      </c>
      <c r="B5271" t="s">
        <v>182</v>
      </c>
      <c r="C5271" t="s">
        <v>1644</v>
      </c>
      <c r="D5271" t="s">
        <v>334</v>
      </c>
      <c r="E5271" t="s">
        <v>308</v>
      </c>
      <c r="F5271" t="s">
        <v>5824</v>
      </c>
      <c r="G5271">
        <v>0</v>
      </c>
      <c r="H5271">
        <v>0</v>
      </c>
      <c r="I5271">
        <v>0</v>
      </c>
      <c r="J5271">
        <v>0</v>
      </c>
      <c r="K5271">
        <v>0</v>
      </c>
      <c r="L5271">
        <v>0</v>
      </c>
      <c r="M5271">
        <v>0</v>
      </c>
      <c r="N5271">
        <v>0</v>
      </c>
      <c r="O5271">
        <v>0</v>
      </c>
    </row>
    <row r="5272" spans="1:15" x14ac:dyDescent="0.35">
      <c r="A5272" t="s">
        <v>5794</v>
      </c>
      <c r="B5272" t="s">
        <v>182</v>
      </c>
      <c r="C5272" t="s">
        <v>1644</v>
      </c>
      <c r="D5272" t="s">
        <v>337</v>
      </c>
      <c r="E5272" t="s">
        <v>337</v>
      </c>
      <c r="F5272" t="s">
        <v>5825</v>
      </c>
      <c r="G5272">
        <v>646</v>
      </c>
      <c r="J5272">
        <v>11</v>
      </c>
      <c r="M5272">
        <v>657</v>
      </c>
    </row>
    <row r="5273" spans="1:15" x14ac:dyDescent="0.35">
      <c r="A5273" t="s">
        <v>5794</v>
      </c>
      <c r="B5273" t="s">
        <v>182</v>
      </c>
      <c r="C5273" t="s">
        <v>1644</v>
      </c>
      <c r="D5273" t="s">
        <v>339</v>
      </c>
      <c r="E5273" t="s">
        <v>294</v>
      </c>
      <c r="F5273" t="s">
        <v>5826</v>
      </c>
      <c r="G5273">
        <v>458</v>
      </c>
      <c r="H5273">
        <v>56452.219999999994</v>
      </c>
      <c r="I5273">
        <v>123.26</v>
      </c>
      <c r="J5273">
        <v>0</v>
      </c>
      <c r="K5273">
        <v>0</v>
      </c>
      <c r="L5273">
        <v>0</v>
      </c>
      <c r="M5273">
        <v>458</v>
      </c>
      <c r="N5273">
        <v>56452.219999999994</v>
      </c>
      <c r="O5273">
        <v>123.26</v>
      </c>
    </row>
    <row r="5274" spans="1:15" x14ac:dyDescent="0.35">
      <c r="A5274" t="s">
        <v>5794</v>
      </c>
      <c r="B5274" t="s">
        <v>182</v>
      </c>
      <c r="C5274" t="s">
        <v>1644</v>
      </c>
      <c r="D5274" t="s">
        <v>339</v>
      </c>
      <c r="E5274" t="s">
        <v>296</v>
      </c>
      <c r="F5274" t="s">
        <v>5827</v>
      </c>
      <c r="G5274">
        <v>84</v>
      </c>
      <c r="H5274">
        <v>14780.459999999997</v>
      </c>
      <c r="I5274">
        <v>175.96</v>
      </c>
      <c r="J5274">
        <v>0</v>
      </c>
      <c r="K5274">
        <v>0</v>
      </c>
      <c r="L5274">
        <v>0</v>
      </c>
      <c r="M5274">
        <v>84</v>
      </c>
      <c r="N5274">
        <v>14780.459999999997</v>
      </c>
      <c r="O5274">
        <v>175.96</v>
      </c>
    </row>
    <row r="5275" spans="1:15" x14ac:dyDescent="0.35">
      <c r="A5275" t="s">
        <v>5794</v>
      </c>
      <c r="B5275" t="s">
        <v>182</v>
      </c>
      <c r="C5275" t="s">
        <v>1644</v>
      </c>
      <c r="D5275" t="s">
        <v>339</v>
      </c>
      <c r="E5275" t="s">
        <v>298</v>
      </c>
      <c r="F5275" t="s">
        <v>5828</v>
      </c>
      <c r="G5275">
        <v>3</v>
      </c>
      <c r="H5275">
        <v>383.44</v>
      </c>
      <c r="I5275">
        <v>127.81</v>
      </c>
      <c r="J5275">
        <v>0</v>
      </c>
      <c r="K5275">
        <v>0</v>
      </c>
      <c r="L5275">
        <v>0</v>
      </c>
      <c r="M5275">
        <v>3</v>
      </c>
      <c r="N5275">
        <v>383.44</v>
      </c>
      <c r="O5275">
        <v>127.81</v>
      </c>
    </row>
    <row r="5276" spans="1:15" x14ac:dyDescent="0.35">
      <c r="A5276" t="s">
        <v>5794</v>
      </c>
      <c r="B5276" t="s">
        <v>182</v>
      </c>
      <c r="C5276" t="s">
        <v>1644</v>
      </c>
      <c r="D5276" t="s">
        <v>339</v>
      </c>
      <c r="E5276" t="s">
        <v>300</v>
      </c>
      <c r="F5276" t="s">
        <v>5829</v>
      </c>
      <c r="G5276">
        <v>0</v>
      </c>
      <c r="H5276">
        <v>0</v>
      </c>
      <c r="I5276">
        <v>0</v>
      </c>
      <c r="J5276">
        <v>0</v>
      </c>
      <c r="K5276">
        <v>0</v>
      </c>
      <c r="L5276">
        <v>0</v>
      </c>
      <c r="M5276">
        <v>0</v>
      </c>
      <c r="N5276">
        <v>0</v>
      </c>
      <c r="O5276">
        <v>0</v>
      </c>
    </row>
    <row r="5277" spans="1:15" x14ac:dyDescent="0.35">
      <c r="A5277" t="s">
        <v>5794</v>
      </c>
      <c r="B5277" t="s">
        <v>182</v>
      </c>
      <c r="C5277" t="s">
        <v>1644</v>
      </c>
      <c r="D5277" t="s">
        <v>339</v>
      </c>
      <c r="E5277" t="s">
        <v>306</v>
      </c>
      <c r="F5277" t="s">
        <v>5830</v>
      </c>
      <c r="G5277">
        <v>172</v>
      </c>
      <c r="H5277">
        <v>15725.349999999999</v>
      </c>
      <c r="I5277">
        <v>91.43</v>
      </c>
      <c r="J5277">
        <v>0</v>
      </c>
      <c r="K5277">
        <v>0</v>
      </c>
      <c r="L5277">
        <v>0</v>
      </c>
      <c r="M5277">
        <v>172</v>
      </c>
      <c r="N5277">
        <v>15725.349999999999</v>
      </c>
      <c r="O5277">
        <v>91.43</v>
      </c>
    </row>
    <row r="5278" spans="1:15" x14ac:dyDescent="0.35">
      <c r="A5278" t="s">
        <v>5794</v>
      </c>
      <c r="B5278" t="s">
        <v>182</v>
      </c>
      <c r="C5278" t="s">
        <v>1644</v>
      </c>
      <c r="D5278" t="s">
        <v>339</v>
      </c>
      <c r="E5278" t="s">
        <v>308</v>
      </c>
      <c r="F5278" t="s">
        <v>5831</v>
      </c>
      <c r="G5278">
        <v>35</v>
      </c>
      <c r="H5278">
        <v>5331.7999999999993</v>
      </c>
      <c r="I5278">
        <v>152.34</v>
      </c>
      <c r="J5278">
        <v>0</v>
      </c>
      <c r="K5278">
        <v>0</v>
      </c>
      <c r="L5278">
        <v>0</v>
      </c>
      <c r="M5278">
        <v>35</v>
      </c>
      <c r="N5278">
        <v>5331.7999999999993</v>
      </c>
      <c r="O5278">
        <v>152.34</v>
      </c>
    </row>
    <row r="5279" spans="1:15" x14ac:dyDescent="0.35">
      <c r="A5279" t="s">
        <v>5794</v>
      </c>
      <c r="B5279" t="s">
        <v>182</v>
      </c>
      <c r="C5279" t="s">
        <v>1644</v>
      </c>
      <c r="D5279" t="s">
        <v>339</v>
      </c>
      <c r="E5279" t="s">
        <v>310</v>
      </c>
      <c r="F5279" t="s">
        <v>5832</v>
      </c>
      <c r="G5279">
        <v>752</v>
      </c>
      <c r="H5279">
        <v>92673.27</v>
      </c>
      <c r="I5279">
        <v>123.24</v>
      </c>
      <c r="J5279">
        <v>0</v>
      </c>
      <c r="K5279">
        <v>0</v>
      </c>
      <c r="L5279">
        <v>0</v>
      </c>
      <c r="M5279">
        <v>752</v>
      </c>
      <c r="N5279">
        <v>92673.27</v>
      </c>
      <c r="O5279">
        <v>123.24</v>
      </c>
    </row>
    <row r="5280" spans="1:15" x14ac:dyDescent="0.35">
      <c r="A5280" t="s">
        <v>5794</v>
      </c>
      <c r="B5280" t="s">
        <v>182</v>
      </c>
      <c r="C5280" t="s">
        <v>1644</v>
      </c>
      <c r="D5280" t="s">
        <v>339</v>
      </c>
      <c r="E5280" t="s">
        <v>312</v>
      </c>
      <c r="F5280" t="s">
        <v>5833</v>
      </c>
      <c r="G5280">
        <v>717</v>
      </c>
      <c r="H5280">
        <v>87341.47</v>
      </c>
      <c r="I5280">
        <v>121.82</v>
      </c>
      <c r="J5280">
        <v>0</v>
      </c>
      <c r="K5280">
        <v>0</v>
      </c>
      <c r="L5280">
        <v>0</v>
      </c>
      <c r="M5280">
        <v>717</v>
      </c>
      <c r="N5280">
        <v>87341.47</v>
      </c>
      <c r="O5280">
        <v>121.82</v>
      </c>
    </row>
    <row r="5281" spans="1:15" x14ac:dyDescent="0.35">
      <c r="A5281" t="s">
        <v>5794</v>
      </c>
      <c r="B5281" t="s">
        <v>182</v>
      </c>
      <c r="C5281" t="s">
        <v>1644</v>
      </c>
      <c r="D5281" t="s">
        <v>348</v>
      </c>
      <c r="E5281" t="s">
        <v>349</v>
      </c>
      <c r="F5281" t="s">
        <v>5834</v>
      </c>
      <c r="G5281">
        <v>804</v>
      </c>
      <c r="H5281">
        <v>92673.27</v>
      </c>
      <c r="I5281">
        <v>123.24</v>
      </c>
      <c r="J5281">
        <v>0</v>
      </c>
      <c r="K5281">
        <v>0</v>
      </c>
      <c r="L5281">
        <v>0</v>
      </c>
      <c r="M5281">
        <v>804</v>
      </c>
      <c r="N5281">
        <v>92673.27</v>
      </c>
      <c r="O5281">
        <v>123.24</v>
      </c>
    </row>
    <row r="5282" spans="1:15" x14ac:dyDescent="0.35">
      <c r="A5282" t="s">
        <v>5835</v>
      </c>
      <c r="B5282" t="s">
        <v>185</v>
      </c>
      <c r="C5282" t="s">
        <v>1644</v>
      </c>
      <c r="D5282" t="s">
        <v>293</v>
      </c>
      <c r="E5282" t="s">
        <v>294</v>
      </c>
      <c r="F5282" t="s">
        <v>5836</v>
      </c>
      <c r="G5282">
        <v>388</v>
      </c>
      <c r="H5282">
        <v>57222.6</v>
      </c>
      <c r="I5282">
        <v>147.47999999999999</v>
      </c>
      <c r="J5282">
        <v>0</v>
      </c>
      <c r="K5282">
        <v>0</v>
      </c>
      <c r="L5282">
        <v>0</v>
      </c>
      <c r="M5282">
        <v>388</v>
      </c>
      <c r="N5282">
        <v>57222.6</v>
      </c>
      <c r="O5282">
        <v>147.47999999999999</v>
      </c>
    </row>
    <row r="5283" spans="1:15" x14ac:dyDescent="0.35">
      <c r="A5283" t="s">
        <v>5835</v>
      </c>
      <c r="B5283" t="s">
        <v>185</v>
      </c>
      <c r="C5283" t="s">
        <v>1644</v>
      </c>
      <c r="D5283" t="s">
        <v>293</v>
      </c>
      <c r="E5283" t="s">
        <v>296</v>
      </c>
      <c r="F5283" t="s">
        <v>5837</v>
      </c>
      <c r="G5283">
        <v>608</v>
      </c>
      <c r="H5283">
        <v>116200.09000000001</v>
      </c>
      <c r="I5283">
        <v>191.12</v>
      </c>
      <c r="J5283">
        <v>0</v>
      </c>
      <c r="K5283">
        <v>0</v>
      </c>
      <c r="L5283">
        <v>0</v>
      </c>
      <c r="M5283">
        <v>608</v>
      </c>
      <c r="N5283">
        <v>116200.09000000001</v>
      </c>
      <c r="O5283">
        <v>191.12</v>
      </c>
    </row>
    <row r="5284" spans="1:15" x14ac:dyDescent="0.35">
      <c r="A5284" t="s">
        <v>5835</v>
      </c>
      <c r="B5284" t="s">
        <v>185</v>
      </c>
      <c r="C5284" t="s">
        <v>1644</v>
      </c>
      <c r="D5284" t="s">
        <v>293</v>
      </c>
      <c r="E5284" t="s">
        <v>298</v>
      </c>
      <c r="F5284" t="s">
        <v>5838</v>
      </c>
      <c r="G5284">
        <v>353</v>
      </c>
      <c r="H5284">
        <v>75648.14</v>
      </c>
      <c r="I5284">
        <v>214.3</v>
      </c>
      <c r="J5284">
        <v>0</v>
      </c>
      <c r="K5284">
        <v>0</v>
      </c>
      <c r="L5284">
        <v>0</v>
      </c>
      <c r="M5284">
        <v>353</v>
      </c>
      <c r="N5284">
        <v>75648.14</v>
      </c>
      <c r="O5284">
        <v>214.3</v>
      </c>
    </row>
    <row r="5285" spans="1:15" x14ac:dyDescent="0.35">
      <c r="A5285" t="s">
        <v>5835</v>
      </c>
      <c r="B5285" t="s">
        <v>185</v>
      </c>
      <c r="C5285" t="s">
        <v>1644</v>
      </c>
      <c r="D5285" t="s">
        <v>293</v>
      </c>
      <c r="E5285" t="s">
        <v>300</v>
      </c>
      <c r="F5285" t="s">
        <v>5839</v>
      </c>
      <c r="G5285">
        <v>25</v>
      </c>
      <c r="H5285">
        <v>7400.36</v>
      </c>
      <c r="I5285">
        <v>296.01</v>
      </c>
      <c r="J5285">
        <v>0</v>
      </c>
      <c r="K5285">
        <v>0</v>
      </c>
      <c r="L5285">
        <v>0</v>
      </c>
      <c r="M5285">
        <v>25</v>
      </c>
      <c r="N5285">
        <v>7400.36</v>
      </c>
      <c r="O5285">
        <v>296.01</v>
      </c>
    </row>
    <row r="5286" spans="1:15" x14ac:dyDescent="0.35">
      <c r="A5286" t="s">
        <v>5835</v>
      </c>
      <c r="B5286" t="s">
        <v>185</v>
      </c>
      <c r="C5286" t="s">
        <v>1644</v>
      </c>
      <c r="D5286" t="s">
        <v>293</v>
      </c>
      <c r="E5286" t="s">
        <v>302</v>
      </c>
      <c r="F5286" t="s">
        <v>5840</v>
      </c>
      <c r="G5286">
        <v>1</v>
      </c>
      <c r="H5286">
        <v>367.84</v>
      </c>
      <c r="I5286">
        <v>367.84</v>
      </c>
      <c r="J5286">
        <v>0</v>
      </c>
      <c r="K5286">
        <v>0</v>
      </c>
      <c r="L5286">
        <v>0</v>
      </c>
      <c r="M5286">
        <v>1</v>
      </c>
      <c r="N5286">
        <v>367.84</v>
      </c>
      <c r="O5286">
        <v>367.84</v>
      </c>
    </row>
    <row r="5287" spans="1:15" x14ac:dyDescent="0.35">
      <c r="A5287" t="s">
        <v>5835</v>
      </c>
      <c r="B5287" t="s">
        <v>185</v>
      </c>
      <c r="C5287" t="s">
        <v>1644</v>
      </c>
      <c r="D5287" t="s">
        <v>293</v>
      </c>
      <c r="E5287" t="s">
        <v>304</v>
      </c>
      <c r="F5287" t="s">
        <v>5841</v>
      </c>
      <c r="G5287">
        <v>0</v>
      </c>
      <c r="H5287">
        <v>0</v>
      </c>
      <c r="I5287">
        <v>0</v>
      </c>
      <c r="J5287">
        <v>0</v>
      </c>
      <c r="K5287">
        <v>0</v>
      </c>
      <c r="L5287">
        <v>0</v>
      </c>
      <c r="M5287">
        <v>0</v>
      </c>
      <c r="N5287">
        <v>0</v>
      </c>
      <c r="O5287">
        <v>0</v>
      </c>
    </row>
    <row r="5288" spans="1:15" x14ac:dyDescent="0.35">
      <c r="A5288" t="s">
        <v>5835</v>
      </c>
      <c r="B5288" t="s">
        <v>185</v>
      </c>
      <c r="C5288" t="s">
        <v>1644</v>
      </c>
      <c r="D5288" t="s">
        <v>293</v>
      </c>
      <c r="E5288" t="s">
        <v>306</v>
      </c>
      <c r="F5288" t="s">
        <v>5842</v>
      </c>
      <c r="G5288">
        <v>0</v>
      </c>
      <c r="H5288">
        <v>0</v>
      </c>
      <c r="I5288">
        <v>0</v>
      </c>
      <c r="J5288">
        <v>0</v>
      </c>
      <c r="K5288">
        <v>0</v>
      </c>
      <c r="L5288">
        <v>0</v>
      </c>
      <c r="M5288">
        <v>0</v>
      </c>
      <c r="N5288">
        <v>0</v>
      </c>
      <c r="O5288">
        <v>0</v>
      </c>
    </row>
    <row r="5289" spans="1:15" x14ac:dyDescent="0.35">
      <c r="A5289" t="s">
        <v>5835</v>
      </c>
      <c r="B5289" t="s">
        <v>185</v>
      </c>
      <c r="C5289" t="s">
        <v>1644</v>
      </c>
      <c r="D5289" t="s">
        <v>293</v>
      </c>
      <c r="E5289" t="s">
        <v>308</v>
      </c>
      <c r="F5289" t="s">
        <v>5843</v>
      </c>
      <c r="G5289">
        <v>0</v>
      </c>
      <c r="H5289">
        <v>0</v>
      </c>
      <c r="I5289">
        <v>0</v>
      </c>
      <c r="J5289">
        <v>0</v>
      </c>
      <c r="K5289">
        <v>0</v>
      </c>
      <c r="L5289">
        <v>0</v>
      </c>
      <c r="M5289">
        <v>0</v>
      </c>
      <c r="N5289">
        <v>0</v>
      </c>
      <c r="O5289">
        <v>0</v>
      </c>
    </row>
    <row r="5290" spans="1:15" x14ac:dyDescent="0.35">
      <c r="A5290" t="s">
        <v>5835</v>
      </c>
      <c r="B5290" t="s">
        <v>185</v>
      </c>
      <c r="C5290" t="s">
        <v>1644</v>
      </c>
      <c r="D5290" t="s">
        <v>293</v>
      </c>
      <c r="E5290" t="s">
        <v>310</v>
      </c>
      <c r="F5290" t="s">
        <v>5844</v>
      </c>
      <c r="G5290">
        <v>1375</v>
      </c>
      <c r="H5290">
        <v>256839.03</v>
      </c>
      <c r="I5290">
        <v>186.79</v>
      </c>
      <c r="J5290">
        <v>0</v>
      </c>
      <c r="K5290">
        <v>0</v>
      </c>
      <c r="L5290">
        <v>0</v>
      </c>
      <c r="M5290">
        <v>1375</v>
      </c>
      <c r="N5290">
        <v>256839.03</v>
      </c>
      <c r="O5290">
        <v>186.79</v>
      </c>
    </row>
    <row r="5291" spans="1:15" x14ac:dyDescent="0.35">
      <c r="A5291" t="s">
        <v>5835</v>
      </c>
      <c r="B5291" t="s">
        <v>185</v>
      </c>
      <c r="C5291" t="s">
        <v>1644</v>
      </c>
      <c r="D5291" t="s">
        <v>293</v>
      </c>
      <c r="E5291" t="s">
        <v>312</v>
      </c>
      <c r="F5291" t="s">
        <v>5845</v>
      </c>
      <c r="G5291">
        <v>1375</v>
      </c>
      <c r="H5291">
        <v>256839.03</v>
      </c>
      <c r="I5291">
        <v>186.79</v>
      </c>
      <c r="J5291">
        <v>0</v>
      </c>
      <c r="K5291">
        <v>0</v>
      </c>
      <c r="L5291">
        <v>0</v>
      </c>
      <c r="M5291">
        <v>1375</v>
      </c>
      <c r="N5291">
        <v>256839.03</v>
      </c>
      <c r="O5291">
        <v>186.79</v>
      </c>
    </row>
    <row r="5292" spans="1:15" x14ac:dyDescent="0.35">
      <c r="A5292" t="s">
        <v>5835</v>
      </c>
      <c r="B5292" t="s">
        <v>185</v>
      </c>
      <c r="C5292" t="s">
        <v>1644</v>
      </c>
      <c r="D5292" t="s">
        <v>314</v>
      </c>
      <c r="E5292" t="s">
        <v>294</v>
      </c>
      <c r="F5292" t="s">
        <v>5846</v>
      </c>
      <c r="G5292">
        <v>99</v>
      </c>
      <c r="H5292">
        <v>32685.840000000004</v>
      </c>
      <c r="I5292">
        <v>330.16</v>
      </c>
      <c r="J5292">
        <v>0</v>
      </c>
      <c r="K5292">
        <v>0</v>
      </c>
      <c r="L5292">
        <v>0</v>
      </c>
      <c r="M5292">
        <v>99</v>
      </c>
      <c r="N5292">
        <v>32685.840000000004</v>
      </c>
      <c r="O5292">
        <v>330.16</v>
      </c>
    </row>
    <row r="5293" spans="1:15" x14ac:dyDescent="0.35">
      <c r="A5293" t="s">
        <v>5835</v>
      </c>
      <c r="B5293" t="s">
        <v>185</v>
      </c>
      <c r="C5293" t="s">
        <v>1644</v>
      </c>
      <c r="D5293" t="s">
        <v>314</v>
      </c>
      <c r="E5293" t="s">
        <v>296</v>
      </c>
      <c r="F5293" t="s">
        <v>5847</v>
      </c>
      <c r="G5293">
        <v>45</v>
      </c>
      <c r="H5293">
        <v>16587.45</v>
      </c>
      <c r="I5293">
        <v>368.61</v>
      </c>
      <c r="J5293">
        <v>0</v>
      </c>
      <c r="K5293">
        <v>0</v>
      </c>
      <c r="L5293">
        <v>0</v>
      </c>
      <c r="M5293">
        <v>45</v>
      </c>
      <c r="N5293">
        <v>16587.45</v>
      </c>
      <c r="O5293">
        <v>368.61</v>
      </c>
    </row>
    <row r="5294" spans="1:15" x14ac:dyDescent="0.35">
      <c r="A5294" t="s">
        <v>5835</v>
      </c>
      <c r="B5294" t="s">
        <v>185</v>
      </c>
      <c r="C5294" t="s">
        <v>1644</v>
      </c>
      <c r="D5294" t="s">
        <v>314</v>
      </c>
      <c r="E5294" t="s">
        <v>298</v>
      </c>
      <c r="F5294" t="s">
        <v>5848</v>
      </c>
      <c r="G5294">
        <v>0</v>
      </c>
      <c r="H5294">
        <v>0</v>
      </c>
      <c r="I5294">
        <v>0</v>
      </c>
      <c r="J5294">
        <v>0</v>
      </c>
      <c r="K5294">
        <v>0</v>
      </c>
      <c r="L5294">
        <v>0</v>
      </c>
      <c r="M5294">
        <v>0</v>
      </c>
      <c r="N5294">
        <v>0</v>
      </c>
      <c r="O5294">
        <v>0</v>
      </c>
    </row>
    <row r="5295" spans="1:15" x14ac:dyDescent="0.35">
      <c r="A5295" t="s">
        <v>5835</v>
      </c>
      <c r="B5295" t="s">
        <v>185</v>
      </c>
      <c r="C5295" t="s">
        <v>1644</v>
      </c>
      <c r="D5295" t="s">
        <v>314</v>
      </c>
      <c r="E5295" t="s">
        <v>300</v>
      </c>
      <c r="F5295" t="s">
        <v>5849</v>
      </c>
      <c r="G5295">
        <v>0</v>
      </c>
      <c r="H5295">
        <v>0</v>
      </c>
      <c r="I5295">
        <v>0</v>
      </c>
      <c r="J5295">
        <v>0</v>
      </c>
      <c r="K5295">
        <v>0</v>
      </c>
      <c r="L5295">
        <v>0</v>
      </c>
      <c r="M5295">
        <v>0</v>
      </c>
      <c r="N5295">
        <v>0</v>
      </c>
      <c r="O5295">
        <v>0</v>
      </c>
    </row>
    <row r="5296" spans="1:15" x14ac:dyDescent="0.35">
      <c r="A5296" t="s">
        <v>5835</v>
      </c>
      <c r="B5296" t="s">
        <v>185</v>
      </c>
      <c r="C5296" t="s">
        <v>1644</v>
      </c>
      <c r="D5296" t="s">
        <v>314</v>
      </c>
      <c r="E5296" t="s">
        <v>306</v>
      </c>
      <c r="F5296" t="s">
        <v>5850</v>
      </c>
      <c r="G5296">
        <v>0</v>
      </c>
      <c r="H5296">
        <v>0</v>
      </c>
      <c r="I5296">
        <v>0</v>
      </c>
      <c r="J5296">
        <v>0</v>
      </c>
      <c r="K5296">
        <v>0</v>
      </c>
      <c r="L5296">
        <v>0</v>
      </c>
      <c r="M5296">
        <v>0</v>
      </c>
      <c r="N5296">
        <v>0</v>
      </c>
      <c r="O5296">
        <v>0</v>
      </c>
    </row>
    <row r="5297" spans="1:15" x14ac:dyDescent="0.35">
      <c r="A5297" t="s">
        <v>5835</v>
      </c>
      <c r="B5297" t="s">
        <v>185</v>
      </c>
      <c r="C5297" t="s">
        <v>1644</v>
      </c>
      <c r="D5297" t="s">
        <v>314</v>
      </c>
      <c r="E5297" t="s">
        <v>308</v>
      </c>
      <c r="F5297" t="s">
        <v>5851</v>
      </c>
      <c r="G5297">
        <v>0</v>
      </c>
      <c r="H5297">
        <v>0</v>
      </c>
      <c r="I5297">
        <v>0</v>
      </c>
      <c r="J5297">
        <v>0</v>
      </c>
      <c r="K5297">
        <v>0</v>
      </c>
      <c r="L5297">
        <v>0</v>
      </c>
      <c r="M5297">
        <v>0</v>
      </c>
      <c r="N5297">
        <v>0</v>
      </c>
      <c r="O5297">
        <v>0</v>
      </c>
    </row>
    <row r="5298" spans="1:15" x14ac:dyDescent="0.35">
      <c r="A5298" t="s">
        <v>5835</v>
      </c>
      <c r="B5298" t="s">
        <v>185</v>
      </c>
      <c r="C5298" t="s">
        <v>1644</v>
      </c>
      <c r="D5298" t="s">
        <v>314</v>
      </c>
      <c r="E5298" t="s">
        <v>312</v>
      </c>
      <c r="F5298" t="s">
        <v>5852</v>
      </c>
      <c r="G5298">
        <v>144</v>
      </c>
      <c r="H5298">
        <v>49273.290000000008</v>
      </c>
      <c r="I5298">
        <v>342.18</v>
      </c>
      <c r="J5298">
        <v>0</v>
      </c>
      <c r="K5298">
        <v>0</v>
      </c>
      <c r="L5298">
        <v>0</v>
      </c>
      <c r="M5298">
        <v>144</v>
      </c>
      <c r="N5298">
        <v>49273.290000000008</v>
      </c>
      <c r="O5298">
        <v>342.18</v>
      </c>
    </row>
    <row r="5299" spans="1:15" x14ac:dyDescent="0.35">
      <c r="A5299" t="s">
        <v>5835</v>
      </c>
      <c r="B5299" t="s">
        <v>185</v>
      </c>
      <c r="C5299" t="s">
        <v>1644</v>
      </c>
      <c r="D5299" t="s">
        <v>314</v>
      </c>
      <c r="E5299" t="s">
        <v>310</v>
      </c>
      <c r="F5299" t="s">
        <v>5853</v>
      </c>
      <c r="G5299">
        <v>144</v>
      </c>
      <c r="H5299">
        <v>49273.290000000008</v>
      </c>
      <c r="I5299">
        <v>342.18</v>
      </c>
      <c r="J5299">
        <v>0</v>
      </c>
      <c r="K5299">
        <v>0</v>
      </c>
      <c r="L5299">
        <v>0</v>
      </c>
      <c r="M5299">
        <v>144</v>
      </c>
      <c r="N5299">
        <v>49273.290000000008</v>
      </c>
      <c r="O5299">
        <v>342.18</v>
      </c>
    </row>
    <row r="5300" spans="1:15" x14ac:dyDescent="0.35">
      <c r="A5300" t="s">
        <v>5835</v>
      </c>
      <c r="B5300" t="s">
        <v>185</v>
      </c>
      <c r="C5300" t="s">
        <v>1644</v>
      </c>
      <c r="D5300" t="s">
        <v>323</v>
      </c>
      <c r="E5300" t="s">
        <v>294</v>
      </c>
      <c r="F5300" t="s">
        <v>5854</v>
      </c>
      <c r="G5300">
        <v>1377</v>
      </c>
      <c r="H5300">
        <v>160361.9</v>
      </c>
      <c r="I5300">
        <v>116.46</v>
      </c>
      <c r="J5300">
        <v>0</v>
      </c>
      <c r="K5300">
        <v>0</v>
      </c>
      <c r="L5300">
        <v>0</v>
      </c>
      <c r="M5300">
        <v>1377</v>
      </c>
      <c r="N5300">
        <v>160361.9</v>
      </c>
      <c r="O5300">
        <v>116.46</v>
      </c>
    </row>
    <row r="5301" spans="1:15" x14ac:dyDescent="0.35">
      <c r="A5301" t="s">
        <v>5835</v>
      </c>
      <c r="B5301" t="s">
        <v>185</v>
      </c>
      <c r="C5301" t="s">
        <v>1644</v>
      </c>
      <c r="D5301" t="s">
        <v>323</v>
      </c>
      <c r="E5301" t="s">
        <v>296</v>
      </c>
      <c r="F5301" t="s">
        <v>5855</v>
      </c>
      <c r="G5301">
        <v>1909</v>
      </c>
      <c r="H5301">
        <v>259304.4</v>
      </c>
      <c r="I5301">
        <v>135.83000000000001</v>
      </c>
      <c r="J5301">
        <v>0</v>
      </c>
      <c r="K5301">
        <v>0</v>
      </c>
      <c r="L5301">
        <v>0</v>
      </c>
      <c r="M5301">
        <v>1909</v>
      </c>
      <c r="N5301">
        <v>259304.4</v>
      </c>
      <c r="O5301">
        <v>135.83000000000001</v>
      </c>
    </row>
    <row r="5302" spans="1:15" x14ac:dyDescent="0.35">
      <c r="A5302" t="s">
        <v>5835</v>
      </c>
      <c r="B5302" t="s">
        <v>185</v>
      </c>
      <c r="C5302" t="s">
        <v>1644</v>
      </c>
      <c r="D5302" t="s">
        <v>323</v>
      </c>
      <c r="E5302" t="s">
        <v>298</v>
      </c>
      <c r="F5302" t="s">
        <v>5856</v>
      </c>
      <c r="G5302">
        <v>3017</v>
      </c>
      <c r="H5302">
        <v>459811.49000000005</v>
      </c>
      <c r="I5302">
        <v>152.41</v>
      </c>
      <c r="J5302">
        <v>0</v>
      </c>
      <c r="K5302">
        <v>0</v>
      </c>
      <c r="L5302">
        <v>0</v>
      </c>
      <c r="M5302">
        <v>3017</v>
      </c>
      <c r="N5302">
        <v>459811.49000000005</v>
      </c>
      <c r="O5302">
        <v>152.41</v>
      </c>
    </row>
    <row r="5303" spans="1:15" x14ac:dyDescent="0.35">
      <c r="A5303" t="s">
        <v>5835</v>
      </c>
      <c r="B5303" t="s">
        <v>185</v>
      </c>
      <c r="C5303" t="s">
        <v>1644</v>
      </c>
      <c r="D5303" t="s">
        <v>323</v>
      </c>
      <c r="E5303" t="s">
        <v>300</v>
      </c>
      <c r="F5303" t="s">
        <v>5857</v>
      </c>
      <c r="G5303">
        <v>171</v>
      </c>
      <c r="H5303">
        <v>29224.62</v>
      </c>
      <c r="I5303">
        <v>170.9</v>
      </c>
      <c r="J5303">
        <v>0</v>
      </c>
      <c r="K5303">
        <v>0</v>
      </c>
      <c r="L5303">
        <v>0</v>
      </c>
      <c r="M5303">
        <v>171</v>
      </c>
      <c r="N5303">
        <v>29224.62</v>
      </c>
      <c r="O5303">
        <v>170.9</v>
      </c>
    </row>
    <row r="5304" spans="1:15" x14ac:dyDescent="0.35">
      <c r="A5304" t="s">
        <v>5835</v>
      </c>
      <c r="B5304" t="s">
        <v>185</v>
      </c>
      <c r="C5304" t="s">
        <v>1644</v>
      </c>
      <c r="D5304" t="s">
        <v>323</v>
      </c>
      <c r="E5304" t="s">
        <v>302</v>
      </c>
      <c r="F5304" t="s">
        <v>5858</v>
      </c>
      <c r="G5304">
        <v>3</v>
      </c>
      <c r="H5304">
        <v>566.28</v>
      </c>
      <c r="I5304">
        <v>188.76</v>
      </c>
      <c r="J5304">
        <v>0</v>
      </c>
      <c r="K5304">
        <v>0</v>
      </c>
      <c r="L5304">
        <v>0</v>
      </c>
      <c r="M5304">
        <v>3</v>
      </c>
      <c r="N5304">
        <v>566.28</v>
      </c>
      <c r="O5304">
        <v>188.76</v>
      </c>
    </row>
    <row r="5305" spans="1:15" x14ac:dyDescent="0.35">
      <c r="A5305" t="s">
        <v>5835</v>
      </c>
      <c r="B5305" t="s">
        <v>185</v>
      </c>
      <c r="C5305" t="s">
        <v>1644</v>
      </c>
      <c r="D5305" t="s">
        <v>323</v>
      </c>
      <c r="E5305" t="s">
        <v>304</v>
      </c>
      <c r="F5305" t="s">
        <v>5859</v>
      </c>
      <c r="G5305">
        <v>2</v>
      </c>
      <c r="H5305">
        <v>427.12</v>
      </c>
      <c r="I5305">
        <v>213.56</v>
      </c>
      <c r="J5305">
        <v>0</v>
      </c>
      <c r="K5305">
        <v>0</v>
      </c>
      <c r="L5305">
        <v>0</v>
      </c>
      <c r="M5305">
        <v>2</v>
      </c>
      <c r="N5305">
        <v>427.12</v>
      </c>
      <c r="O5305">
        <v>213.56</v>
      </c>
    </row>
    <row r="5306" spans="1:15" x14ac:dyDescent="0.35">
      <c r="A5306" t="s">
        <v>5835</v>
      </c>
      <c r="B5306" t="s">
        <v>185</v>
      </c>
      <c r="C5306" t="s">
        <v>1644</v>
      </c>
      <c r="D5306" t="s">
        <v>323</v>
      </c>
      <c r="E5306" t="s">
        <v>306</v>
      </c>
      <c r="F5306" t="s">
        <v>5860</v>
      </c>
      <c r="G5306">
        <v>3</v>
      </c>
      <c r="H5306">
        <v>297.18</v>
      </c>
      <c r="I5306">
        <v>99.06</v>
      </c>
      <c r="J5306">
        <v>0</v>
      </c>
      <c r="K5306">
        <v>0</v>
      </c>
      <c r="L5306">
        <v>0</v>
      </c>
      <c r="M5306">
        <v>3</v>
      </c>
      <c r="N5306">
        <v>297.18</v>
      </c>
      <c r="O5306">
        <v>99.06</v>
      </c>
    </row>
    <row r="5307" spans="1:15" x14ac:dyDescent="0.35">
      <c r="A5307" t="s">
        <v>5835</v>
      </c>
      <c r="B5307" t="s">
        <v>185</v>
      </c>
      <c r="C5307" t="s">
        <v>1644</v>
      </c>
      <c r="D5307" t="s">
        <v>323</v>
      </c>
      <c r="E5307" t="s">
        <v>308</v>
      </c>
      <c r="F5307" t="s">
        <v>5861</v>
      </c>
      <c r="G5307">
        <v>1</v>
      </c>
      <c r="H5307">
        <v>67.099999999999994</v>
      </c>
      <c r="I5307">
        <v>67.099999999999994</v>
      </c>
      <c r="J5307">
        <v>0</v>
      </c>
      <c r="K5307">
        <v>0</v>
      </c>
      <c r="L5307">
        <v>0</v>
      </c>
      <c r="M5307">
        <v>1</v>
      </c>
      <c r="N5307">
        <v>67.099999999999994</v>
      </c>
      <c r="O5307">
        <v>67.099999999999994</v>
      </c>
    </row>
    <row r="5308" spans="1:15" x14ac:dyDescent="0.35">
      <c r="A5308" t="s">
        <v>5835</v>
      </c>
      <c r="B5308" t="s">
        <v>185</v>
      </c>
      <c r="C5308" t="s">
        <v>1644</v>
      </c>
      <c r="D5308" t="s">
        <v>323</v>
      </c>
      <c r="E5308" t="s">
        <v>310</v>
      </c>
      <c r="F5308" t="s">
        <v>5862</v>
      </c>
      <c r="G5308">
        <v>6483</v>
      </c>
      <c r="H5308">
        <v>910060.09000000008</v>
      </c>
      <c r="I5308">
        <v>140.38</v>
      </c>
      <c r="J5308">
        <v>0</v>
      </c>
      <c r="K5308">
        <v>0</v>
      </c>
      <c r="L5308">
        <v>0</v>
      </c>
      <c r="M5308">
        <v>6483</v>
      </c>
      <c r="N5308">
        <v>910060.09000000008</v>
      </c>
      <c r="O5308">
        <v>140.38</v>
      </c>
    </row>
    <row r="5309" spans="1:15" x14ac:dyDescent="0.35">
      <c r="A5309" t="s">
        <v>5835</v>
      </c>
      <c r="B5309" t="s">
        <v>185</v>
      </c>
      <c r="C5309" t="s">
        <v>1644</v>
      </c>
      <c r="D5309" t="s">
        <v>323</v>
      </c>
      <c r="E5309" t="s">
        <v>312</v>
      </c>
      <c r="F5309" t="s">
        <v>5863</v>
      </c>
      <c r="G5309">
        <v>6482</v>
      </c>
      <c r="H5309">
        <v>909992.99000000011</v>
      </c>
      <c r="I5309">
        <v>140.38999999999999</v>
      </c>
      <c r="J5309">
        <v>0</v>
      </c>
      <c r="K5309">
        <v>0</v>
      </c>
      <c r="L5309">
        <v>0</v>
      </c>
      <c r="M5309">
        <v>6482</v>
      </c>
      <c r="N5309">
        <v>909992.99000000011</v>
      </c>
      <c r="O5309">
        <v>140.38999999999999</v>
      </c>
    </row>
    <row r="5310" spans="1:15" x14ac:dyDescent="0.35">
      <c r="A5310" t="s">
        <v>5835</v>
      </c>
      <c r="B5310" t="s">
        <v>185</v>
      </c>
      <c r="C5310" t="s">
        <v>1644</v>
      </c>
      <c r="D5310" t="s">
        <v>334</v>
      </c>
      <c r="E5310" t="s">
        <v>312</v>
      </c>
      <c r="F5310" t="s">
        <v>5864</v>
      </c>
      <c r="G5310">
        <v>7937</v>
      </c>
      <c r="H5310">
        <v>1166832.0200000003</v>
      </c>
      <c r="I5310">
        <v>148.51</v>
      </c>
      <c r="J5310">
        <v>0</v>
      </c>
      <c r="K5310">
        <v>0</v>
      </c>
      <c r="L5310">
        <v>0</v>
      </c>
      <c r="M5310">
        <v>7937</v>
      </c>
      <c r="N5310">
        <v>1166832.0200000003</v>
      </c>
      <c r="O5310">
        <v>148.51</v>
      </c>
    </row>
    <row r="5311" spans="1:15" x14ac:dyDescent="0.35">
      <c r="A5311" t="s">
        <v>5835</v>
      </c>
      <c r="B5311" t="s">
        <v>185</v>
      </c>
      <c r="C5311" t="s">
        <v>1644</v>
      </c>
      <c r="D5311" t="s">
        <v>334</v>
      </c>
      <c r="E5311" t="s">
        <v>308</v>
      </c>
      <c r="F5311" t="s">
        <v>5865</v>
      </c>
      <c r="G5311">
        <v>1</v>
      </c>
      <c r="H5311">
        <v>67.099999999999994</v>
      </c>
      <c r="I5311">
        <v>67.099999999999994</v>
      </c>
      <c r="J5311">
        <v>0</v>
      </c>
      <c r="K5311">
        <v>0</v>
      </c>
      <c r="L5311">
        <v>0</v>
      </c>
      <c r="M5311">
        <v>1</v>
      </c>
      <c r="N5311">
        <v>67.099999999999994</v>
      </c>
      <c r="O5311">
        <v>67.099999999999994</v>
      </c>
    </row>
    <row r="5312" spans="1:15" x14ac:dyDescent="0.35">
      <c r="A5312" t="s">
        <v>5835</v>
      </c>
      <c r="B5312" t="s">
        <v>185</v>
      </c>
      <c r="C5312" t="s">
        <v>1644</v>
      </c>
      <c r="D5312" t="s">
        <v>337</v>
      </c>
      <c r="E5312" t="s">
        <v>337</v>
      </c>
      <c r="F5312" t="s">
        <v>5866</v>
      </c>
      <c r="G5312">
        <v>1222</v>
      </c>
      <c r="J5312">
        <v>0</v>
      </c>
      <c r="M5312">
        <v>1222</v>
      </c>
    </row>
    <row r="5313" spans="1:15" x14ac:dyDescent="0.35">
      <c r="A5313" t="s">
        <v>5835</v>
      </c>
      <c r="B5313" t="s">
        <v>185</v>
      </c>
      <c r="C5313" t="s">
        <v>1644</v>
      </c>
      <c r="D5313" t="s">
        <v>339</v>
      </c>
      <c r="E5313" t="s">
        <v>294</v>
      </c>
      <c r="F5313" t="s">
        <v>5867</v>
      </c>
      <c r="G5313">
        <v>404</v>
      </c>
      <c r="H5313">
        <v>49900.439999999995</v>
      </c>
      <c r="I5313">
        <v>123.52</v>
      </c>
      <c r="J5313">
        <v>0</v>
      </c>
      <c r="K5313">
        <v>0</v>
      </c>
      <c r="L5313">
        <v>0</v>
      </c>
      <c r="M5313">
        <v>404</v>
      </c>
      <c r="N5313">
        <v>49900.439999999995</v>
      </c>
      <c r="O5313">
        <v>123.52</v>
      </c>
    </row>
    <row r="5314" spans="1:15" x14ac:dyDescent="0.35">
      <c r="A5314" t="s">
        <v>5835</v>
      </c>
      <c r="B5314" t="s">
        <v>185</v>
      </c>
      <c r="C5314" t="s">
        <v>1644</v>
      </c>
      <c r="D5314" t="s">
        <v>339</v>
      </c>
      <c r="E5314" t="s">
        <v>296</v>
      </c>
      <c r="F5314" t="s">
        <v>5868</v>
      </c>
      <c r="G5314">
        <v>34</v>
      </c>
      <c r="H5314">
        <v>4731.8799999999992</v>
      </c>
      <c r="I5314">
        <v>139.16999999999999</v>
      </c>
      <c r="J5314">
        <v>0</v>
      </c>
      <c r="K5314">
        <v>0</v>
      </c>
      <c r="L5314">
        <v>0</v>
      </c>
      <c r="M5314">
        <v>34</v>
      </c>
      <c r="N5314">
        <v>4731.8799999999992</v>
      </c>
      <c r="O5314">
        <v>139.16999999999999</v>
      </c>
    </row>
    <row r="5315" spans="1:15" x14ac:dyDescent="0.35">
      <c r="A5315" t="s">
        <v>5835</v>
      </c>
      <c r="B5315" t="s">
        <v>185</v>
      </c>
      <c r="C5315" t="s">
        <v>1644</v>
      </c>
      <c r="D5315" t="s">
        <v>339</v>
      </c>
      <c r="E5315" t="s">
        <v>298</v>
      </c>
      <c r="F5315" t="s">
        <v>5869</v>
      </c>
      <c r="G5315">
        <v>5</v>
      </c>
      <c r="H5315">
        <v>1127.69</v>
      </c>
      <c r="I5315">
        <v>225.54</v>
      </c>
      <c r="J5315">
        <v>0</v>
      </c>
      <c r="K5315">
        <v>0</v>
      </c>
      <c r="L5315">
        <v>0</v>
      </c>
      <c r="M5315">
        <v>5</v>
      </c>
      <c r="N5315">
        <v>1127.69</v>
      </c>
      <c r="O5315">
        <v>225.54</v>
      </c>
    </row>
    <row r="5316" spans="1:15" x14ac:dyDescent="0.35">
      <c r="A5316" t="s">
        <v>5835</v>
      </c>
      <c r="B5316" t="s">
        <v>185</v>
      </c>
      <c r="C5316" t="s">
        <v>1644</v>
      </c>
      <c r="D5316" t="s">
        <v>339</v>
      </c>
      <c r="E5316" t="s">
        <v>300</v>
      </c>
      <c r="F5316" t="s">
        <v>5870</v>
      </c>
      <c r="G5316">
        <v>0</v>
      </c>
      <c r="H5316">
        <v>0</v>
      </c>
      <c r="I5316">
        <v>0</v>
      </c>
      <c r="J5316">
        <v>0</v>
      </c>
      <c r="K5316">
        <v>0</v>
      </c>
      <c r="L5316">
        <v>0</v>
      </c>
      <c r="M5316">
        <v>0</v>
      </c>
      <c r="N5316">
        <v>0</v>
      </c>
      <c r="O5316">
        <v>0</v>
      </c>
    </row>
    <row r="5317" spans="1:15" x14ac:dyDescent="0.35">
      <c r="A5317" t="s">
        <v>5835</v>
      </c>
      <c r="B5317" t="s">
        <v>185</v>
      </c>
      <c r="C5317" t="s">
        <v>1644</v>
      </c>
      <c r="D5317" t="s">
        <v>339</v>
      </c>
      <c r="E5317" t="s">
        <v>306</v>
      </c>
      <c r="F5317" t="s">
        <v>5871</v>
      </c>
      <c r="G5317">
        <v>66</v>
      </c>
      <c r="H5317">
        <v>6955.2400000000007</v>
      </c>
      <c r="I5317">
        <v>105.38</v>
      </c>
      <c r="J5317">
        <v>0</v>
      </c>
      <c r="K5317">
        <v>0</v>
      </c>
      <c r="L5317">
        <v>0</v>
      </c>
      <c r="M5317">
        <v>66</v>
      </c>
      <c r="N5317">
        <v>6955.2400000000007</v>
      </c>
      <c r="O5317">
        <v>105.38</v>
      </c>
    </row>
    <row r="5318" spans="1:15" x14ac:dyDescent="0.35">
      <c r="A5318" t="s">
        <v>5835</v>
      </c>
      <c r="B5318" t="s">
        <v>185</v>
      </c>
      <c r="C5318" t="s">
        <v>1644</v>
      </c>
      <c r="D5318" t="s">
        <v>339</v>
      </c>
      <c r="E5318" t="s">
        <v>308</v>
      </c>
      <c r="F5318" t="s">
        <v>5872</v>
      </c>
      <c r="G5318">
        <v>29</v>
      </c>
      <c r="H5318">
        <v>4437.8600000000006</v>
      </c>
      <c r="I5318">
        <v>153.03</v>
      </c>
      <c r="J5318">
        <v>0</v>
      </c>
      <c r="K5318">
        <v>0</v>
      </c>
      <c r="L5318">
        <v>0</v>
      </c>
      <c r="M5318">
        <v>29</v>
      </c>
      <c r="N5318">
        <v>4437.8600000000006</v>
      </c>
      <c r="O5318">
        <v>153.03</v>
      </c>
    </row>
    <row r="5319" spans="1:15" x14ac:dyDescent="0.35">
      <c r="A5319" t="s">
        <v>5835</v>
      </c>
      <c r="B5319" t="s">
        <v>185</v>
      </c>
      <c r="C5319" t="s">
        <v>1644</v>
      </c>
      <c r="D5319" t="s">
        <v>339</v>
      </c>
      <c r="E5319" t="s">
        <v>310</v>
      </c>
      <c r="F5319" t="s">
        <v>5873</v>
      </c>
      <c r="G5319">
        <v>538</v>
      </c>
      <c r="H5319">
        <v>67153.109999999986</v>
      </c>
      <c r="I5319">
        <v>124.82</v>
      </c>
      <c r="J5319">
        <v>0</v>
      </c>
      <c r="K5319">
        <v>0</v>
      </c>
      <c r="L5319">
        <v>0</v>
      </c>
      <c r="M5319">
        <v>538</v>
      </c>
      <c r="N5319">
        <v>67153.109999999986</v>
      </c>
      <c r="O5319">
        <v>124.82</v>
      </c>
    </row>
    <row r="5320" spans="1:15" x14ac:dyDescent="0.35">
      <c r="A5320" t="s">
        <v>5835</v>
      </c>
      <c r="B5320" t="s">
        <v>185</v>
      </c>
      <c r="C5320" t="s">
        <v>1644</v>
      </c>
      <c r="D5320" t="s">
        <v>339</v>
      </c>
      <c r="E5320" t="s">
        <v>312</v>
      </c>
      <c r="F5320" t="s">
        <v>5874</v>
      </c>
      <c r="G5320">
        <v>509</v>
      </c>
      <c r="H5320">
        <v>62715.249999999993</v>
      </c>
      <c r="I5320">
        <v>123.21</v>
      </c>
      <c r="J5320">
        <v>0</v>
      </c>
      <c r="K5320">
        <v>0</v>
      </c>
      <c r="L5320">
        <v>0</v>
      </c>
      <c r="M5320">
        <v>509</v>
      </c>
      <c r="N5320">
        <v>62715.249999999993</v>
      </c>
      <c r="O5320">
        <v>123.21</v>
      </c>
    </row>
    <row r="5321" spans="1:15" x14ac:dyDescent="0.35">
      <c r="A5321" t="s">
        <v>5835</v>
      </c>
      <c r="B5321" t="s">
        <v>185</v>
      </c>
      <c r="C5321" t="s">
        <v>1644</v>
      </c>
      <c r="D5321" t="s">
        <v>348</v>
      </c>
      <c r="E5321" t="s">
        <v>349</v>
      </c>
      <c r="F5321" t="s">
        <v>5875</v>
      </c>
      <c r="G5321">
        <v>731</v>
      </c>
      <c r="H5321">
        <v>116426.40000000002</v>
      </c>
      <c r="I5321">
        <v>170.71</v>
      </c>
      <c r="J5321">
        <v>0</v>
      </c>
      <c r="K5321">
        <v>0</v>
      </c>
      <c r="L5321">
        <v>0</v>
      </c>
      <c r="M5321">
        <v>731</v>
      </c>
      <c r="N5321">
        <v>116426.40000000002</v>
      </c>
      <c r="O5321">
        <v>170.71</v>
      </c>
    </row>
    <row r="5322" spans="1:15" x14ac:dyDescent="0.35">
      <c r="A5322" t="s">
        <v>5876</v>
      </c>
      <c r="B5322" t="s">
        <v>190</v>
      </c>
      <c r="C5322" t="s">
        <v>1644</v>
      </c>
      <c r="D5322" t="s">
        <v>293</v>
      </c>
      <c r="E5322" t="s">
        <v>294</v>
      </c>
      <c r="F5322" t="s">
        <v>5877</v>
      </c>
      <c r="G5322">
        <v>264</v>
      </c>
      <c r="H5322">
        <v>42827.440000000017</v>
      </c>
      <c r="I5322">
        <v>162.22999999999999</v>
      </c>
      <c r="J5322">
        <v>0</v>
      </c>
      <c r="K5322">
        <v>0</v>
      </c>
      <c r="L5322">
        <v>0</v>
      </c>
      <c r="M5322">
        <v>264</v>
      </c>
      <c r="N5322">
        <v>42827.440000000017</v>
      </c>
      <c r="O5322">
        <v>162.22999999999999</v>
      </c>
    </row>
    <row r="5323" spans="1:15" x14ac:dyDescent="0.35">
      <c r="A5323" t="s">
        <v>5876</v>
      </c>
      <c r="B5323" t="s">
        <v>190</v>
      </c>
      <c r="C5323" t="s">
        <v>1644</v>
      </c>
      <c r="D5323" t="s">
        <v>293</v>
      </c>
      <c r="E5323" t="s">
        <v>296</v>
      </c>
      <c r="F5323" t="s">
        <v>5878</v>
      </c>
      <c r="G5323">
        <v>428</v>
      </c>
      <c r="H5323">
        <v>88047.9</v>
      </c>
      <c r="I5323">
        <v>205.72</v>
      </c>
      <c r="J5323">
        <v>0</v>
      </c>
      <c r="K5323">
        <v>0</v>
      </c>
      <c r="L5323">
        <v>0</v>
      </c>
      <c r="M5323">
        <v>428</v>
      </c>
      <c r="N5323">
        <v>88047.9</v>
      </c>
      <c r="O5323">
        <v>205.72</v>
      </c>
    </row>
    <row r="5324" spans="1:15" x14ac:dyDescent="0.35">
      <c r="A5324" t="s">
        <v>5876</v>
      </c>
      <c r="B5324" t="s">
        <v>190</v>
      </c>
      <c r="C5324" t="s">
        <v>1644</v>
      </c>
      <c r="D5324" t="s">
        <v>293</v>
      </c>
      <c r="E5324" t="s">
        <v>298</v>
      </c>
      <c r="F5324" t="s">
        <v>5879</v>
      </c>
      <c r="G5324">
        <v>166</v>
      </c>
      <c r="H5324">
        <v>41071.870000000003</v>
      </c>
      <c r="I5324">
        <v>247.42</v>
      </c>
      <c r="J5324">
        <v>0</v>
      </c>
      <c r="K5324">
        <v>0</v>
      </c>
      <c r="L5324">
        <v>0</v>
      </c>
      <c r="M5324">
        <v>166</v>
      </c>
      <c r="N5324">
        <v>41071.870000000003</v>
      </c>
      <c r="O5324">
        <v>247.42</v>
      </c>
    </row>
    <row r="5325" spans="1:15" x14ac:dyDescent="0.35">
      <c r="A5325" t="s">
        <v>5876</v>
      </c>
      <c r="B5325" t="s">
        <v>190</v>
      </c>
      <c r="C5325" t="s">
        <v>1644</v>
      </c>
      <c r="D5325" t="s">
        <v>293</v>
      </c>
      <c r="E5325" t="s">
        <v>300</v>
      </c>
      <c r="F5325" t="s">
        <v>5880</v>
      </c>
      <c r="G5325">
        <v>30</v>
      </c>
      <c r="H5325">
        <v>9385.25</v>
      </c>
      <c r="I5325">
        <v>312.83999999999997</v>
      </c>
      <c r="J5325">
        <v>0</v>
      </c>
      <c r="K5325">
        <v>0</v>
      </c>
      <c r="L5325">
        <v>0</v>
      </c>
      <c r="M5325">
        <v>30</v>
      </c>
      <c r="N5325">
        <v>9385.25</v>
      </c>
      <c r="O5325">
        <v>312.83999999999997</v>
      </c>
    </row>
    <row r="5326" spans="1:15" x14ac:dyDescent="0.35">
      <c r="A5326" t="s">
        <v>5876</v>
      </c>
      <c r="B5326" t="s">
        <v>190</v>
      </c>
      <c r="C5326" t="s">
        <v>1644</v>
      </c>
      <c r="D5326" t="s">
        <v>293</v>
      </c>
      <c r="E5326" t="s">
        <v>302</v>
      </c>
      <c r="F5326" t="s">
        <v>5881</v>
      </c>
      <c r="G5326">
        <v>0</v>
      </c>
      <c r="H5326">
        <v>0</v>
      </c>
      <c r="I5326">
        <v>0</v>
      </c>
      <c r="J5326">
        <v>0</v>
      </c>
      <c r="K5326">
        <v>0</v>
      </c>
      <c r="L5326">
        <v>0</v>
      </c>
      <c r="M5326">
        <v>0</v>
      </c>
      <c r="N5326">
        <v>0</v>
      </c>
      <c r="O5326">
        <v>0</v>
      </c>
    </row>
    <row r="5327" spans="1:15" x14ac:dyDescent="0.35">
      <c r="A5327" t="s">
        <v>5876</v>
      </c>
      <c r="B5327" t="s">
        <v>190</v>
      </c>
      <c r="C5327" t="s">
        <v>1644</v>
      </c>
      <c r="D5327" t="s">
        <v>293</v>
      </c>
      <c r="E5327" t="s">
        <v>304</v>
      </c>
      <c r="F5327" t="s">
        <v>5882</v>
      </c>
      <c r="G5327">
        <v>0</v>
      </c>
      <c r="H5327">
        <v>0</v>
      </c>
      <c r="I5327">
        <v>0</v>
      </c>
      <c r="J5327">
        <v>0</v>
      </c>
      <c r="K5327">
        <v>0</v>
      </c>
      <c r="L5327">
        <v>0</v>
      </c>
      <c r="M5327">
        <v>0</v>
      </c>
      <c r="N5327">
        <v>0</v>
      </c>
      <c r="O5327">
        <v>0</v>
      </c>
    </row>
    <row r="5328" spans="1:15" x14ac:dyDescent="0.35">
      <c r="A5328" t="s">
        <v>5876</v>
      </c>
      <c r="B5328" t="s">
        <v>190</v>
      </c>
      <c r="C5328" t="s">
        <v>1644</v>
      </c>
      <c r="D5328" t="s">
        <v>293</v>
      </c>
      <c r="E5328" t="s">
        <v>306</v>
      </c>
      <c r="F5328" t="s">
        <v>5883</v>
      </c>
      <c r="G5328">
        <v>2</v>
      </c>
      <c r="H5328">
        <v>301.71000000000004</v>
      </c>
      <c r="I5328">
        <v>150.86000000000001</v>
      </c>
      <c r="J5328">
        <v>0</v>
      </c>
      <c r="K5328">
        <v>0</v>
      </c>
      <c r="L5328">
        <v>0</v>
      </c>
      <c r="M5328">
        <v>2</v>
      </c>
      <c r="N5328">
        <v>301.71000000000004</v>
      </c>
      <c r="O5328">
        <v>150.86000000000001</v>
      </c>
    </row>
    <row r="5329" spans="1:15" x14ac:dyDescent="0.35">
      <c r="A5329" t="s">
        <v>5876</v>
      </c>
      <c r="B5329" t="s">
        <v>190</v>
      </c>
      <c r="C5329" t="s">
        <v>1644</v>
      </c>
      <c r="D5329" t="s">
        <v>293</v>
      </c>
      <c r="E5329" t="s">
        <v>308</v>
      </c>
      <c r="F5329" t="s">
        <v>5884</v>
      </c>
      <c r="G5329">
        <v>0</v>
      </c>
      <c r="H5329">
        <v>0</v>
      </c>
      <c r="I5329">
        <v>0</v>
      </c>
      <c r="J5329">
        <v>0</v>
      </c>
      <c r="K5329">
        <v>0</v>
      </c>
      <c r="L5329">
        <v>0</v>
      </c>
      <c r="M5329">
        <v>0</v>
      </c>
      <c r="N5329">
        <v>0</v>
      </c>
      <c r="O5329">
        <v>0</v>
      </c>
    </row>
    <row r="5330" spans="1:15" x14ac:dyDescent="0.35">
      <c r="A5330" t="s">
        <v>5876</v>
      </c>
      <c r="B5330" t="s">
        <v>190</v>
      </c>
      <c r="C5330" t="s">
        <v>1644</v>
      </c>
      <c r="D5330" t="s">
        <v>293</v>
      </c>
      <c r="E5330" t="s">
        <v>310</v>
      </c>
      <c r="F5330" t="s">
        <v>5885</v>
      </c>
      <c r="G5330">
        <v>890</v>
      </c>
      <c r="H5330">
        <v>181634.17</v>
      </c>
      <c r="I5330">
        <v>204.08</v>
      </c>
      <c r="J5330">
        <v>0</v>
      </c>
      <c r="K5330">
        <v>0</v>
      </c>
      <c r="L5330">
        <v>0</v>
      </c>
      <c r="M5330">
        <v>890</v>
      </c>
      <c r="N5330">
        <v>181634.17</v>
      </c>
      <c r="O5330">
        <v>204.08</v>
      </c>
    </row>
    <row r="5331" spans="1:15" x14ac:dyDescent="0.35">
      <c r="A5331" t="s">
        <v>5876</v>
      </c>
      <c r="B5331" t="s">
        <v>190</v>
      </c>
      <c r="C5331" t="s">
        <v>1644</v>
      </c>
      <c r="D5331" t="s">
        <v>293</v>
      </c>
      <c r="E5331" t="s">
        <v>312</v>
      </c>
      <c r="F5331" t="s">
        <v>5886</v>
      </c>
      <c r="G5331">
        <v>890</v>
      </c>
      <c r="H5331">
        <v>181634.17</v>
      </c>
      <c r="I5331">
        <v>204.08</v>
      </c>
      <c r="J5331">
        <v>0</v>
      </c>
      <c r="K5331">
        <v>0</v>
      </c>
      <c r="L5331">
        <v>0</v>
      </c>
      <c r="M5331">
        <v>890</v>
      </c>
      <c r="N5331">
        <v>181634.17</v>
      </c>
      <c r="O5331">
        <v>204.08</v>
      </c>
    </row>
    <row r="5332" spans="1:15" x14ac:dyDescent="0.35">
      <c r="A5332" t="s">
        <v>5876</v>
      </c>
      <c r="B5332" t="s">
        <v>190</v>
      </c>
      <c r="C5332" t="s">
        <v>1644</v>
      </c>
      <c r="D5332" t="s">
        <v>314</v>
      </c>
      <c r="E5332" t="s">
        <v>294</v>
      </c>
      <c r="F5332" t="s">
        <v>5887</v>
      </c>
      <c r="G5332">
        <v>101</v>
      </c>
      <c r="H5332">
        <v>16223.21</v>
      </c>
      <c r="I5332">
        <v>160.63</v>
      </c>
      <c r="J5332">
        <v>0</v>
      </c>
      <c r="K5332">
        <v>0</v>
      </c>
      <c r="L5332">
        <v>0</v>
      </c>
      <c r="M5332">
        <v>101</v>
      </c>
      <c r="N5332">
        <v>16223.21</v>
      </c>
      <c r="O5332">
        <v>160.63</v>
      </c>
    </row>
    <row r="5333" spans="1:15" x14ac:dyDescent="0.35">
      <c r="A5333" t="s">
        <v>5876</v>
      </c>
      <c r="B5333" t="s">
        <v>190</v>
      </c>
      <c r="C5333" t="s">
        <v>1644</v>
      </c>
      <c r="D5333" t="s">
        <v>314</v>
      </c>
      <c r="E5333" t="s">
        <v>296</v>
      </c>
      <c r="F5333" t="s">
        <v>5888</v>
      </c>
      <c r="G5333">
        <v>38</v>
      </c>
      <c r="H5333">
        <v>7734.5199999999995</v>
      </c>
      <c r="I5333">
        <v>203.54</v>
      </c>
      <c r="J5333">
        <v>0</v>
      </c>
      <c r="K5333">
        <v>0</v>
      </c>
      <c r="L5333">
        <v>0</v>
      </c>
      <c r="M5333">
        <v>38</v>
      </c>
      <c r="N5333">
        <v>7734.5199999999995</v>
      </c>
      <c r="O5333">
        <v>203.54</v>
      </c>
    </row>
    <row r="5334" spans="1:15" x14ac:dyDescent="0.35">
      <c r="A5334" t="s">
        <v>5876</v>
      </c>
      <c r="B5334" t="s">
        <v>190</v>
      </c>
      <c r="C5334" t="s">
        <v>1644</v>
      </c>
      <c r="D5334" t="s">
        <v>314</v>
      </c>
      <c r="E5334" t="s">
        <v>298</v>
      </c>
      <c r="F5334" t="s">
        <v>5889</v>
      </c>
      <c r="G5334">
        <v>0</v>
      </c>
      <c r="H5334">
        <v>0</v>
      </c>
      <c r="I5334">
        <v>0</v>
      </c>
      <c r="J5334">
        <v>0</v>
      </c>
      <c r="K5334">
        <v>0</v>
      </c>
      <c r="L5334">
        <v>0</v>
      </c>
      <c r="M5334">
        <v>0</v>
      </c>
      <c r="N5334">
        <v>0</v>
      </c>
      <c r="O5334">
        <v>0</v>
      </c>
    </row>
    <row r="5335" spans="1:15" x14ac:dyDescent="0.35">
      <c r="A5335" t="s">
        <v>5876</v>
      </c>
      <c r="B5335" t="s">
        <v>190</v>
      </c>
      <c r="C5335" t="s">
        <v>1644</v>
      </c>
      <c r="D5335" t="s">
        <v>314</v>
      </c>
      <c r="E5335" t="s">
        <v>300</v>
      </c>
      <c r="F5335" t="s">
        <v>5890</v>
      </c>
      <c r="G5335">
        <v>0</v>
      </c>
      <c r="H5335">
        <v>0</v>
      </c>
      <c r="I5335">
        <v>0</v>
      </c>
      <c r="J5335">
        <v>0</v>
      </c>
      <c r="K5335">
        <v>0</v>
      </c>
      <c r="L5335">
        <v>0</v>
      </c>
      <c r="M5335">
        <v>0</v>
      </c>
      <c r="N5335">
        <v>0</v>
      </c>
      <c r="O5335">
        <v>0</v>
      </c>
    </row>
    <row r="5336" spans="1:15" x14ac:dyDescent="0.35">
      <c r="A5336" t="s">
        <v>5876</v>
      </c>
      <c r="B5336" t="s">
        <v>190</v>
      </c>
      <c r="C5336" t="s">
        <v>1644</v>
      </c>
      <c r="D5336" t="s">
        <v>314</v>
      </c>
      <c r="E5336" t="s">
        <v>306</v>
      </c>
      <c r="F5336" t="s">
        <v>5891</v>
      </c>
      <c r="G5336">
        <v>0</v>
      </c>
      <c r="H5336">
        <v>0</v>
      </c>
      <c r="I5336">
        <v>0</v>
      </c>
      <c r="J5336">
        <v>0</v>
      </c>
      <c r="K5336">
        <v>0</v>
      </c>
      <c r="L5336">
        <v>0</v>
      </c>
      <c r="M5336">
        <v>0</v>
      </c>
      <c r="N5336">
        <v>0</v>
      </c>
      <c r="O5336">
        <v>0</v>
      </c>
    </row>
    <row r="5337" spans="1:15" x14ac:dyDescent="0.35">
      <c r="A5337" t="s">
        <v>5876</v>
      </c>
      <c r="B5337" t="s">
        <v>190</v>
      </c>
      <c r="C5337" t="s">
        <v>1644</v>
      </c>
      <c r="D5337" t="s">
        <v>314</v>
      </c>
      <c r="E5337" t="s">
        <v>308</v>
      </c>
      <c r="F5337" t="s">
        <v>5892</v>
      </c>
      <c r="G5337">
        <v>0</v>
      </c>
      <c r="H5337">
        <v>0</v>
      </c>
      <c r="I5337">
        <v>0</v>
      </c>
      <c r="J5337">
        <v>0</v>
      </c>
      <c r="K5337">
        <v>0</v>
      </c>
      <c r="L5337">
        <v>0</v>
      </c>
      <c r="M5337">
        <v>0</v>
      </c>
      <c r="N5337">
        <v>0</v>
      </c>
      <c r="O5337">
        <v>0</v>
      </c>
    </row>
    <row r="5338" spans="1:15" x14ac:dyDescent="0.35">
      <c r="A5338" t="s">
        <v>5876</v>
      </c>
      <c r="B5338" t="s">
        <v>190</v>
      </c>
      <c r="C5338" t="s">
        <v>1644</v>
      </c>
      <c r="D5338" t="s">
        <v>314</v>
      </c>
      <c r="E5338" t="s">
        <v>312</v>
      </c>
      <c r="F5338" t="s">
        <v>5893</v>
      </c>
      <c r="G5338">
        <v>139</v>
      </c>
      <c r="H5338">
        <v>23957.73</v>
      </c>
      <c r="I5338">
        <v>172.36</v>
      </c>
      <c r="J5338">
        <v>0</v>
      </c>
      <c r="K5338">
        <v>0</v>
      </c>
      <c r="L5338">
        <v>0</v>
      </c>
      <c r="M5338">
        <v>139</v>
      </c>
      <c r="N5338">
        <v>23957.73</v>
      </c>
      <c r="O5338">
        <v>172.36</v>
      </c>
    </row>
    <row r="5339" spans="1:15" x14ac:dyDescent="0.35">
      <c r="A5339" t="s">
        <v>5876</v>
      </c>
      <c r="B5339" t="s">
        <v>190</v>
      </c>
      <c r="C5339" t="s">
        <v>1644</v>
      </c>
      <c r="D5339" t="s">
        <v>314</v>
      </c>
      <c r="E5339" t="s">
        <v>310</v>
      </c>
      <c r="F5339" t="s">
        <v>5894</v>
      </c>
      <c r="G5339">
        <v>139</v>
      </c>
      <c r="H5339">
        <v>23957.73</v>
      </c>
      <c r="I5339">
        <v>172.36</v>
      </c>
      <c r="J5339">
        <v>0</v>
      </c>
      <c r="K5339">
        <v>0</v>
      </c>
      <c r="L5339">
        <v>0</v>
      </c>
      <c r="M5339">
        <v>139</v>
      </c>
      <c r="N5339">
        <v>23957.73</v>
      </c>
      <c r="O5339">
        <v>172.36</v>
      </c>
    </row>
    <row r="5340" spans="1:15" x14ac:dyDescent="0.35">
      <c r="A5340" t="s">
        <v>5876</v>
      </c>
      <c r="B5340" t="s">
        <v>190</v>
      </c>
      <c r="C5340" t="s">
        <v>1644</v>
      </c>
      <c r="D5340" t="s">
        <v>323</v>
      </c>
      <c r="E5340" t="s">
        <v>294</v>
      </c>
      <c r="F5340" t="s">
        <v>5895</v>
      </c>
      <c r="G5340">
        <v>1332</v>
      </c>
      <c r="H5340">
        <v>151209.51999999999</v>
      </c>
      <c r="I5340">
        <v>113.52</v>
      </c>
      <c r="J5340">
        <v>0</v>
      </c>
      <c r="K5340">
        <v>0</v>
      </c>
      <c r="L5340">
        <v>0</v>
      </c>
      <c r="M5340">
        <v>1332</v>
      </c>
      <c r="N5340">
        <v>151209.51999999999</v>
      </c>
      <c r="O5340">
        <v>113.52</v>
      </c>
    </row>
    <row r="5341" spans="1:15" x14ac:dyDescent="0.35">
      <c r="A5341" t="s">
        <v>5876</v>
      </c>
      <c r="B5341" t="s">
        <v>190</v>
      </c>
      <c r="C5341" t="s">
        <v>1644</v>
      </c>
      <c r="D5341" t="s">
        <v>323</v>
      </c>
      <c r="E5341" t="s">
        <v>296</v>
      </c>
      <c r="F5341" t="s">
        <v>5896</v>
      </c>
      <c r="G5341">
        <v>1977</v>
      </c>
      <c r="H5341">
        <v>265271.17</v>
      </c>
      <c r="I5341">
        <v>134.18</v>
      </c>
      <c r="J5341">
        <v>0</v>
      </c>
      <c r="K5341">
        <v>0</v>
      </c>
      <c r="L5341">
        <v>0</v>
      </c>
      <c r="M5341">
        <v>1977</v>
      </c>
      <c r="N5341">
        <v>265271.17</v>
      </c>
      <c r="O5341">
        <v>134.18</v>
      </c>
    </row>
    <row r="5342" spans="1:15" x14ac:dyDescent="0.35">
      <c r="A5342" t="s">
        <v>5876</v>
      </c>
      <c r="B5342" t="s">
        <v>190</v>
      </c>
      <c r="C5342" t="s">
        <v>1644</v>
      </c>
      <c r="D5342" t="s">
        <v>323</v>
      </c>
      <c r="E5342" t="s">
        <v>298</v>
      </c>
      <c r="F5342" t="s">
        <v>5897</v>
      </c>
      <c r="G5342">
        <v>1862</v>
      </c>
      <c r="H5342">
        <v>288916.46999999997</v>
      </c>
      <c r="I5342">
        <v>155.16</v>
      </c>
      <c r="J5342">
        <v>0</v>
      </c>
      <c r="K5342">
        <v>0</v>
      </c>
      <c r="L5342">
        <v>0</v>
      </c>
      <c r="M5342">
        <v>1862</v>
      </c>
      <c r="N5342">
        <v>288916.46999999997</v>
      </c>
      <c r="O5342">
        <v>155.16</v>
      </c>
    </row>
    <row r="5343" spans="1:15" x14ac:dyDescent="0.35">
      <c r="A5343" t="s">
        <v>5876</v>
      </c>
      <c r="B5343" t="s">
        <v>190</v>
      </c>
      <c r="C5343" t="s">
        <v>1644</v>
      </c>
      <c r="D5343" t="s">
        <v>323</v>
      </c>
      <c r="E5343" t="s">
        <v>300</v>
      </c>
      <c r="F5343" t="s">
        <v>5898</v>
      </c>
      <c r="G5343">
        <v>121</v>
      </c>
      <c r="H5343">
        <v>20968.63</v>
      </c>
      <c r="I5343">
        <v>173.29</v>
      </c>
      <c r="J5343">
        <v>0</v>
      </c>
      <c r="K5343">
        <v>0</v>
      </c>
      <c r="L5343">
        <v>0</v>
      </c>
      <c r="M5343">
        <v>121</v>
      </c>
      <c r="N5343">
        <v>20968.63</v>
      </c>
      <c r="O5343">
        <v>173.29</v>
      </c>
    </row>
    <row r="5344" spans="1:15" x14ac:dyDescent="0.35">
      <c r="A5344" t="s">
        <v>5876</v>
      </c>
      <c r="B5344" t="s">
        <v>190</v>
      </c>
      <c r="C5344" t="s">
        <v>1644</v>
      </c>
      <c r="D5344" t="s">
        <v>323</v>
      </c>
      <c r="E5344" t="s">
        <v>302</v>
      </c>
      <c r="F5344" t="s">
        <v>5899</v>
      </c>
      <c r="G5344">
        <v>4</v>
      </c>
      <c r="H5344">
        <v>754.68</v>
      </c>
      <c r="I5344">
        <v>188.67</v>
      </c>
      <c r="J5344">
        <v>0</v>
      </c>
      <c r="K5344">
        <v>0</v>
      </c>
      <c r="L5344">
        <v>0</v>
      </c>
      <c r="M5344">
        <v>4</v>
      </c>
      <c r="N5344">
        <v>754.68</v>
      </c>
      <c r="O5344">
        <v>188.67</v>
      </c>
    </row>
    <row r="5345" spans="1:15" x14ac:dyDescent="0.35">
      <c r="A5345" t="s">
        <v>5876</v>
      </c>
      <c r="B5345" t="s">
        <v>190</v>
      </c>
      <c r="C5345" t="s">
        <v>1644</v>
      </c>
      <c r="D5345" t="s">
        <v>323</v>
      </c>
      <c r="E5345" t="s">
        <v>304</v>
      </c>
      <c r="F5345" t="s">
        <v>5900</v>
      </c>
      <c r="G5345">
        <v>1</v>
      </c>
      <c r="H5345">
        <v>178.53</v>
      </c>
      <c r="I5345">
        <v>178.53</v>
      </c>
      <c r="J5345">
        <v>0</v>
      </c>
      <c r="K5345">
        <v>0</v>
      </c>
      <c r="L5345">
        <v>0</v>
      </c>
      <c r="M5345">
        <v>1</v>
      </c>
      <c r="N5345">
        <v>178.53</v>
      </c>
      <c r="O5345">
        <v>178.53</v>
      </c>
    </row>
    <row r="5346" spans="1:15" x14ac:dyDescent="0.35">
      <c r="A5346" t="s">
        <v>5876</v>
      </c>
      <c r="B5346" t="s">
        <v>190</v>
      </c>
      <c r="C5346" t="s">
        <v>1644</v>
      </c>
      <c r="D5346" t="s">
        <v>323</v>
      </c>
      <c r="E5346" t="s">
        <v>306</v>
      </c>
      <c r="F5346" t="s">
        <v>5901</v>
      </c>
      <c r="G5346">
        <v>121</v>
      </c>
      <c r="H5346">
        <v>11723.4</v>
      </c>
      <c r="I5346">
        <v>96.89</v>
      </c>
      <c r="J5346">
        <v>0</v>
      </c>
      <c r="K5346">
        <v>0</v>
      </c>
      <c r="L5346">
        <v>0</v>
      </c>
      <c r="M5346">
        <v>121</v>
      </c>
      <c r="N5346">
        <v>11723.4</v>
      </c>
      <c r="O5346">
        <v>96.89</v>
      </c>
    </row>
    <row r="5347" spans="1:15" x14ac:dyDescent="0.35">
      <c r="A5347" t="s">
        <v>5876</v>
      </c>
      <c r="B5347" t="s">
        <v>190</v>
      </c>
      <c r="C5347" t="s">
        <v>1644</v>
      </c>
      <c r="D5347" t="s">
        <v>323</v>
      </c>
      <c r="E5347" t="s">
        <v>308</v>
      </c>
      <c r="F5347" t="s">
        <v>5902</v>
      </c>
      <c r="G5347">
        <v>0</v>
      </c>
      <c r="H5347">
        <v>0</v>
      </c>
      <c r="I5347">
        <v>0</v>
      </c>
      <c r="J5347">
        <v>0</v>
      </c>
      <c r="K5347">
        <v>0</v>
      </c>
      <c r="L5347">
        <v>0</v>
      </c>
      <c r="M5347">
        <v>0</v>
      </c>
      <c r="N5347">
        <v>0</v>
      </c>
      <c r="O5347">
        <v>0</v>
      </c>
    </row>
    <row r="5348" spans="1:15" x14ac:dyDescent="0.35">
      <c r="A5348" t="s">
        <v>5876</v>
      </c>
      <c r="B5348" t="s">
        <v>190</v>
      </c>
      <c r="C5348" t="s">
        <v>1644</v>
      </c>
      <c r="D5348" t="s">
        <v>323</v>
      </c>
      <c r="E5348" t="s">
        <v>310</v>
      </c>
      <c r="F5348" t="s">
        <v>5903</v>
      </c>
      <c r="G5348">
        <v>5418</v>
      </c>
      <c r="H5348">
        <v>739022.4</v>
      </c>
      <c r="I5348">
        <v>136.4</v>
      </c>
      <c r="J5348">
        <v>0</v>
      </c>
      <c r="K5348">
        <v>0</v>
      </c>
      <c r="L5348">
        <v>0</v>
      </c>
      <c r="M5348">
        <v>5418</v>
      </c>
      <c r="N5348">
        <v>739022.4</v>
      </c>
      <c r="O5348">
        <v>136.4</v>
      </c>
    </row>
    <row r="5349" spans="1:15" x14ac:dyDescent="0.35">
      <c r="A5349" t="s">
        <v>5876</v>
      </c>
      <c r="B5349" t="s">
        <v>190</v>
      </c>
      <c r="C5349" t="s">
        <v>1644</v>
      </c>
      <c r="D5349" t="s">
        <v>323</v>
      </c>
      <c r="E5349" t="s">
        <v>312</v>
      </c>
      <c r="F5349" t="s">
        <v>5904</v>
      </c>
      <c r="G5349">
        <v>5418</v>
      </c>
      <c r="H5349">
        <v>739022.4</v>
      </c>
      <c r="I5349">
        <v>136.4</v>
      </c>
      <c r="J5349">
        <v>0</v>
      </c>
      <c r="K5349">
        <v>0</v>
      </c>
      <c r="L5349">
        <v>0</v>
      </c>
      <c r="M5349">
        <v>5418</v>
      </c>
      <c r="N5349">
        <v>739022.4</v>
      </c>
      <c r="O5349">
        <v>136.4</v>
      </c>
    </row>
    <row r="5350" spans="1:15" x14ac:dyDescent="0.35">
      <c r="A5350" t="s">
        <v>5876</v>
      </c>
      <c r="B5350" t="s">
        <v>190</v>
      </c>
      <c r="C5350" t="s">
        <v>1644</v>
      </c>
      <c r="D5350" t="s">
        <v>334</v>
      </c>
      <c r="E5350" t="s">
        <v>312</v>
      </c>
      <c r="F5350" t="s">
        <v>5905</v>
      </c>
      <c r="G5350">
        <v>6545</v>
      </c>
      <c r="H5350">
        <v>920656.57000000007</v>
      </c>
      <c r="I5350">
        <v>145.94999999999999</v>
      </c>
      <c r="J5350">
        <v>0</v>
      </c>
      <c r="K5350">
        <v>0</v>
      </c>
      <c r="L5350">
        <v>0</v>
      </c>
      <c r="M5350">
        <v>6545</v>
      </c>
      <c r="N5350">
        <v>920656.57000000007</v>
      </c>
      <c r="O5350">
        <v>145.94999999999999</v>
      </c>
    </row>
    <row r="5351" spans="1:15" x14ac:dyDescent="0.35">
      <c r="A5351" t="s">
        <v>5876</v>
      </c>
      <c r="B5351" t="s">
        <v>190</v>
      </c>
      <c r="C5351" t="s">
        <v>1644</v>
      </c>
      <c r="D5351" t="s">
        <v>334</v>
      </c>
      <c r="E5351" t="s">
        <v>308</v>
      </c>
      <c r="F5351" t="s">
        <v>5906</v>
      </c>
      <c r="G5351">
        <v>0</v>
      </c>
      <c r="H5351">
        <v>0</v>
      </c>
      <c r="I5351">
        <v>0</v>
      </c>
      <c r="J5351">
        <v>0</v>
      </c>
      <c r="K5351">
        <v>0</v>
      </c>
      <c r="L5351">
        <v>0</v>
      </c>
      <c r="M5351">
        <v>0</v>
      </c>
      <c r="N5351">
        <v>0</v>
      </c>
      <c r="O5351">
        <v>0</v>
      </c>
    </row>
    <row r="5352" spans="1:15" x14ac:dyDescent="0.35">
      <c r="A5352" t="s">
        <v>5876</v>
      </c>
      <c r="B5352" t="s">
        <v>190</v>
      </c>
      <c r="C5352" t="s">
        <v>1644</v>
      </c>
      <c r="D5352" t="s">
        <v>337</v>
      </c>
      <c r="E5352" t="s">
        <v>337</v>
      </c>
      <c r="F5352" t="s">
        <v>5907</v>
      </c>
      <c r="G5352">
        <v>721</v>
      </c>
      <c r="J5352">
        <v>0</v>
      </c>
      <c r="M5352">
        <v>721</v>
      </c>
    </row>
    <row r="5353" spans="1:15" x14ac:dyDescent="0.35">
      <c r="A5353" t="s">
        <v>5876</v>
      </c>
      <c r="B5353" t="s">
        <v>190</v>
      </c>
      <c r="C5353" t="s">
        <v>1644</v>
      </c>
      <c r="D5353" t="s">
        <v>339</v>
      </c>
      <c r="E5353" t="s">
        <v>294</v>
      </c>
      <c r="F5353" t="s">
        <v>5908</v>
      </c>
      <c r="G5353">
        <v>463</v>
      </c>
      <c r="H5353">
        <v>58105.430000000008</v>
      </c>
      <c r="I5353">
        <v>125.5</v>
      </c>
      <c r="J5353">
        <v>0</v>
      </c>
      <c r="K5353">
        <v>0</v>
      </c>
      <c r="L5353">
        <v>0</v>
      </c>
      <c r="M5353">
        <v>463</v>
      </c>
      <c r="N5353">
        <v>58105.430000000008</v>
      </c>
      <c r="O5353">
        <v>125.5</v>
      </c>
    </row>
    <row r="5354" spans="1:15" x14ac:dyDescent="0.35">
      <c r="A5354" t="s">
        <v>5876</v>
      </c>
      <c r="B5354" t="s">
        <v>190</v>
      </c>
      <c r="C5354" t="s">
        <v>1644</v>
      </c>
      <c r="D5354" t="s">
        <v>339</v>
      </c>
      <c r="E5354" t="s">
        <v>296</v>
      </c>
      <c r="F5354" t="s">
        <v>5909</v>
      </c>
      <c r="G5354">
        <v>61</v>
      </c>
      <c r="H5354">
        <v>11325.14</v>
      </c>
      <c r="I5354">
        <v>185.66</v>
      </c>
      <c r="J5354">
        <v>0</v>
      </c>
      <c r="K5354">
        <v>0</v>
      </c>
      <c r="L5354">
        <v>0</v>
      </c>
      <c r="M5354">
        <v>61</v>
      </c>
      <c r="N5354">
        <v>11325.14</v>
      </c>
      <c r="O5354">
        <v>185.66</v>
      </c>
    </row>
    <row r="5355" spans="1:15" x14ac:dyDescent="0.35">
      <c r="A5355" t="s">
        <v>5876</v>
      </c>
      <c r="B5355" t="s">
        <v>190</v>
      </c>
      <c r="C5355" t="s">
        <v>1644</v>
      </c>
      <c r="D5355" t="s">
        <v>339</v>
      </c>
      <c r="E5355" t="s">
        <v>298</v>
      </c>
      <c r="F5355" t="s">
        <v>5910</v>
      </c>
      <c r="G5355">
        <v>3</v>
      </c>
      <c r="H5355">
        <v>409.61</v>
      </c>
      <c r="I5355">
        <v>136.54</v>
      </c>
      <c r="J5355">
        <v>0</v>
      </c>
      <c r="K5355">
        <v>0</v>
      </c>
      <c r="L5355">
        <v>0</v>
      </c>
      <c r="M5355">
        <v>3</v>
      </c>
      <c r="N5355">
        <v>409.61</v>
      </c>
      <c r="O5355">
        <v>136.54</v>
      </c>
    </row>
    <row r="5356" spans="1:15" x14ac:dyDescent="0.35">
      <c r="A5356" t="s">
        <v>5876</v>
      </c>
      <c r="B5356" t="s">
        <v>190</v>
      </c>
      <c r="C5356" t="s">
        <v>1644</v>
      </c>
      <c r="D5356" t="s">
        <v>339</v>
      </c>
      <c r="E5356" t="s">
        <v>300</v>
      </c>
      <c r="F5356" t="s">
        <v>5911</v>
      </c>
      <c r="G5356">
        <v>0</v>
      </c>
      <c r="H5356">
        <v>0</v>
      </c>
      <c r="I5356">
        <v>0</v>
      </c>
      <c r="J5356">
        <v>0</v>
      </c>
      <c r="K5356">
        <v>0</v>
      </c>
      <c r="L5356">
        <v>0</v>
      </c>
      <c r="M5356">
        <v>0</v>
      </c>
      <c r="N5356">
        <v>0</v>
      </c>
      <c r="O5356">
        <v>0</v>
      </c>
    </row>
    <row r="5357" spans="1:15" x14ac:dyDescent="0.35">
      <c r="A5357" t="s">
        <v>5876</v>
      </c>
      <c r="B5357" t="s">
        <v>190</v>
      </c>
      <c r="C5357" t="s">
        <v>1644</v>
      </c>
      <c r="D5357" t="s">
        <v>339</v>
      </c>
      <c r="E5357" t="s">
        <v>306</v>
      </c>
      <c r="F5357" t="s">
        <v>5912</v>
      </c>
      <c r="G5357">
        <v>76</v>
      </c>
      <c r="H5357">
        <v>7878.04</v>
      </c>
      <c r="I5357">
        <v>103.66</v>
      </c>
      <c r="J5357">
        <v>0</v>
      </c>
      <c r="K5357">
        <v>0</v>
      </c>
      <c r="L5357">
        <v>0</v>
      </c>
      <c r="M5357">
        <v>76</v>
      </c>
      <c r="N5357">
        <v>7878.04</v>
      </c>
      <c r="O5357">
        <v>103.66</v>
      </c>
    </row>
    <row r="5358" spans="1:15" x14ac:dyDescent="0.35">
      <c r="A5358" t="s">
        <v>5876</v>
      </c>
      <c r="B5358" t="s">
        <v>190</v>
      </c>
      <c r="C5358" t="s">
        <v>1644</v>
      </c>
      <c r="D5358" t="s">
        <v>339</v>
      </c>
      <c r="E5358" t="s">
        <v>308</v>
      </c>
      <c r="F5358" t="s">
        <v>5913</v>
      </c>
      <c r="G5358">
        <v>49</v>
      </c>
      <c r="H5358">
        <v>5702.83</v>
      </c>
      <c r="I5358">
        <v>116.38</v>
      </c>
      <c r="J5358">
        <v>0</v>
      </c>
      <c r="K5358">
        <v>0</v>
      </c>
      <c r="L5358">
        <v>0</v>
      </c>
      <c r="M5358">
        <v>49</v>
      </c>
      <c r="N5358">
        <v>5702.83</v>
      </c>
      <c r="O5358">
        <v>116.38</v>
      </c>
    </row>
    <row r="5359" spans="1:15" x14ac:dyDescent="0.35">
      <c r="A5359" t="s">
        <v>5876</v>
      </c>
      <c r="B5359" t="s">
        <v>190</v>
      </c>
      <c r="C5359" t="s">
        <v>1644</v>
      </c>
      <c r="D5359" t="s">
        <v>339</v>
      </c>
      <c r="E5359" t="s">
        <v>310</v>
      </c>
      <c r="F5359" t="s">
        <v>5914</v>
      </c>
      <c r="G5359">
        <v>652</v>
      </c>
      <c r="H5359">
        <v>83421.05</v>
      </c>
      <c r="I5359">
        <v>127.95</v>
      </c>
      <c r="J5359">
        <v>0</v>
      </c>
      <c r="K5359">
        <v>0</v>
      </c>
      <c r="L5359">
        <v>0</v>
      </c>
      <c r="M5359">
        <v>652</v>
      </c>
      <c r="N5359">
        <v>83421.05</v>
      </c>
      <c r="O5359">
        <v>127.95</v>
      </c>
    </row>
    <row r="5360" spans="1:15" x14ac:dyDescent="0.35">
      <c r="A5360" t="s">
        <v>5876</v>
      </c>
      <c r="B5360" t="s">
        <v>190</v>
      </c>
      <c r="C5360" t="s">
        <v>1644</v>
      </c>
      <c r="D5360" t="s">
        <v>339</v>
      </c>
      <c r="E5360" t="s">
        <v>312</v>
      </c>
      <c r="F5360" t="s">
        <v>5915</v>
      </c>
      <c r="G5360">
        <v>603</v>
      </c>
      <c r="H5360">
        <v>77718.22</v>
      </c>
      <c r="I5360">
        <v>128.88999999999999</v>
      </c>
      <c r="J5360">
        <v>0</v>
      </c>
      <c r="K5360">
        <v>0</v>
      </c>
      <c r="L5360">
        <v>0</v>
      </c>
      <c r="M5360">
        <v>603</v>
      </c>
      <c r="N5360">
        <v>77718.22</v>
      </c>
      <c r="O5360">
        <v>128.88999999999999</v>
      </c>
    </row>
    <row r="5361" spans="1:15" x14ac:dyDescent="0.35">
      <c r="A5361" t="s">
        <v>5876</v>
      </c>
      <c r="B5361" t="s">
        <v>190</v>
      </c>
      <c r="C5361" t="s">
        <v>1644</v>
      </c>
      <c r="D5361" t="s">
        <v>348</v>
      </c>
      <c r="E5361" t="s">
        <v>349</v>
      </c>
      <c r="F5361" t="s">
        <v>5916</v>
      </c>
      <c r="G5361">
        <v>964</v>
      </c>
      <c r="H5361">
        <v>107378.78</v>
      </c>
      <c r="I5361">
        <v>135.75</v>
      </c>
      <c r="J5361">
        <v>0</v>
      </c>
      <c r="K5361">
        <v>0</v>
      </c>
      <c r="L5361">
        <v>0</v>
      </c>
      <c r="M5361">
        <v>964</v>
      </c>
      <c r="N5361">
        <v>107378.78</v>
      </c>
      <c r="O5361">
        <v>135.75</v>
      </c>
    </row>
    <row r="5362" spans="1:15" x14ac:dyDescent="0.35">
      <c r="A5362" t="s">
        <v>5917</v>
      </c>
      <c r="B5362" t="s">
        <v>5918</v>
      </c>
      <c r="C5362" t="s">
        <v>520</v>
      </c>
      <c r="D5362" t="s">
        <v>293</v>
      </c>
      <c r="E5362" t="s">
        <v>294</v>
      </c>
      <c r="F5362" t="s">
        <v>5919</v>
      </c>
      <c r="G5362">
        <v>80</v>
      </c>
      <c r="H5362">
        <v>8729.6</v>
      </c>
      <c r="I5362">
        <v>109.12</v>
      </c>
      <c r="J5362">
        <v>0</v>
      </c>
      <c r="K5362">
        <v>0</v>
      </c>
      <c r="L5362">
        <v>0</v>
      </c>
      <c r="M5362">
        <v>80</v>
      </c>
      <c r="N5362">
        <v>8729.6</v>
      </c>
      <c r="O5362">
        <v>109.12</v>
      </c>
    </row>
    <row r="5363" spans="1:15" x14ac:dyDescent="0.35">
      <c r="A5363" t="s">
        <v>5917</v>
      </c>
      <c r="B5363" t="s">
        <v>5918</v>
      </c>
      <c r="C5363" t="s">
        <v>520</v>
      </c>
      <c r="D5363" t="s">
        <v>293</v>
      </c>
      <c r="E5363" t="s">
        <v>296</v>
      </c>
      <c r="F5363" t="s">
        <v>5920</v>
      </c>
      <c r="G5363">
        <v>588</v>
      </c>
      <c r="H5363">
        <v>68103.579999999987</v>
      </c>
      <c r="I5363">
        <v>115.82</v>
      </c>
      <c r="J5363">
        <v>5</v>
      </c>
      <c r="K5363">
        <v>621.30000000000007</v>
      </c>
      <c r="L5363">
        <v>124.26</v>
      </c>
      <c r="M5363">
        <v>593</v>
      </c>
      <c r="N5363">
        <v>68724.87999999999</v>
      </c>
      <c r="O5363">
        <v>115.89</v>
      </c>
    </row>
    <row r="5364" spans="1:15" x14ac:dyDescent="0.35">
      <c r="A5364" t="s">
        <v>5917</v>
      </c>
      <c r="B5364" t="s">
        <v>5918</v>
      </c>
      <c r="C5364" t="s">
        <v>520</v>
      </c>
      <c r="D5364" t="s">
        <v>293</v>
      </c>
      <c r="E5364" t="s">
        <v>298</v>
      </c>
      <c r="F5364" t="s">
        <v>5921</v>
      </c>
      <c r="G5364">
        <v>248</v>
      </c>
      <c r="H5364">
        <v>32324.71</v>
      </c>
      <c r="I5364">
        <v>130.34</v>
      </c>
      <c r="J5364">
        <v>1</v>
      </c>
      <c r="K5364">
        <v>152.31</v>
      </c>
      <c r="L5364">
        <v>152.31</v>
      </c>
      <c r="M5364">
        <v>249</v>
      </c>
      <c r="N5364">
        <v>32477.02</v>
      </c>
      <c r="O5364">
        <v>130.43</v>
      </c>
    </row>
    <row r="5365" spans="1:15" x14ac:dyDescent="0.35">
      <c r="A5365" t="s">
        <v>5917</v>
      </c>
      <c r="B5365" t="s">
        <v>5918</v>
      </c>
      <c r="C5365" t="s">
        <v>520</v>
      </c>
      <c r="D5365" t="s">
        <v>293</v>
      </c>
      <c r="E5365" t="s">
        <v>300</v>
      </c>
      <c r="F5365" t="s">
        <v>5922</v>
      </c>
      <c r="G5365">
        <v>18</v>
      </c>
      <c r="H5365">
        <v>2497.42</v>
      </c>
      <c r="I5365">
        <v>138.75</v>
      </c>
      <c r="J5365">
        <v>0</v>
      </c>
      <c r="K5365">
        <v>0</v>
      </c>
      <c r="L5365">
        <v>0</v>
      </c>
      <c r="M5365">
        <v>18</v>
      </c>
      <c r="N5365">
        <v>2497.42</v>
      </c>
      <c r="O5365">
        <v>138.75</v>
      </c>
    </row>
    <row r="5366" spans="1:15" x14ac:dyDescent="0.35">
      <c r="A5366" t="s">
        <v>5917</v>
      </c>
      <c r="B5366" t="s">
        <v>5918</v>
      </c>
      <c r="C5366" t="s">
        <v>520</v>
      </c>
      <c r="D5366" t="s">
        <v>293</v>
      </c>
      <c r="E5366" t="s">
        <v>302</v>
      </c>
      <c r="F5366" t="s">
        <v>5923</v>
      </c>
      <c r="G5366">
        <v>5</v>
      </c>
      <c r="H5366">
        <v>774.09</v>
      </c>
      <c r="I5366">
        <v>154.82</v>
      </c>
      <c r="J5366">
        <v>0</v>
      </c>
      <c r="K5366">
        <v>0</v>
      </c>
      <c r="L5366">
        <v>0</v>
      </c>
      <c r="M5366">
        <v>5</v>
      </c>
      <c r="N5366">
        <v>774.09</v>
      </c>
      <c r="O5366">
        <v>154.82</v>
      </c>
    </row>
    <row r="5367" spans="1:15" x14ac:dyDescent="0.35">
      <c r="A5367" t="s">
        <v>5917</v>
      </c>
      <c r="B5367" t="s">
        <v>5918</v>
      </c>
      <c r="C5367" t="s">
        <v>520</v>
      </c>
      <c r="D5367" t="s">
        <v>293</v>
      </c>
      <c r="E5367" t="s">
        <v>304</v>
      </c>
      <c r="F5367" t="s">
        <v>5924</v>
      </c>
      <c r="G5367">
        <v>0</v>
      </c>
      <c r="H5367">
        <v>0</v>
      </c>
      <c r="I5367">
        <v>0</v>
      </c>
      <c r="J5367">
        <v>0</v>
      </c>
      <c r="K5367">
        <v>0</v>
      </c>
      <c r="L5367">
        <v>0</v>
      </c>
      <c r="M5367">
        <v>0</v>
      </c>
      <c r="N5367">
        <v>0</v>
      </c>
      <c r="O5367">
        <v>0</v>
      </c>
    </row>
    <row r="5368" spans="1:15" x14ac:dyDescent="0.35">
      <c r="A5368" t="s">
        <v>5917</v>
      </c>
      <c r="B5368" t="s">
        <v>5918</v>
      </c>
      <c r="C5368" t="s">
        <v>520</v>
      </c>
      <c r="D5368" t="s">
        <v>293</v>
      </c>
      <c r="E5368" t="s">
        <v>306</v>
      </c>
      <c r="F5368" t="s">
        <v>5925</v>
      </c>
      <c r="G5368">
        <v>0</v>
      </c>
      <c r="H5368">
        <v>0</v>
      </c>
      <c r="I5368">
        <v>0</v>
      </c>
      <c r="J5368">
        <v>0</v>
      </c>
      <c r="K5368">
        <v>0</v>
      </c>
      <c r="L5368">
        <v>0</v>
      </c>
      <c r="M5368">
        <v>0</v>
      </c>
      <c r="N5368">
        <v>0</v>
      </c>
      <c r="O5368">
        <v>0</v>
      </c>
    </row>
    <row r="5369" spans="1:15" x14ac:dyDescent="0.35">
      <c r="A5369" t="s">
        <v>5917</v>
      </c>
      <c r="B5369" t="s">
        <v>5918</v>
      </c>
      <c r="C5369" t="s">
        <v>520</v>
      </c>
      <c r="D5369" t="s">
        <v>293</v>
      </c>
      <c r="E5369" t="s">
        <v>308</v>
      </c>
      <c r="F5369" t="s">
        <v>5926</v>
      </c>
      <c r="G5369">
        <v>0</v>
      </c>
      <c r="H5369">
        <v>0</v>
      </c>
      <c r="I5369">
        <v>0</v>
      </c>
      <c r="J5369">
        <v>0</v>
      </c>
      <c r="K5369">
        <v>0</v>
      </c>
      <c r="L5369">
        <v>0</v>
      </c>
      <c r="M5369">
        <v>0</v>
      </c>
      <c r="N5369">
        <v>0</v>
      </c>
      <c r="O5369">
        <v>0</v>
      </c>
    </row>
    <row r="5370" spans="1:15" x14ac:dyDescent="0.35">
      <c r="A5370" t="s">
        <v>5917</v>
      </c>
      <c r="B5370" t="s">
        <v>5918</v>
      </c>
      <c r="C5370" t="s">
        <v>520</v>
      </c>
      <c r="D5370" t="s">
        <v>293</v>
      </c>
      <c r="E5370" t="s">
        <v>310</v>
      </c>
      <c r="F5370" t="s">
        <v>5927</v>
      </c>
      <c r="G5370">
        <v>939</v>
      </c>
      <c r="H5370">
        <v>112429.39999999998</v>
      </c>
      <c r="I5370">
        <v>119.73</v>
      </c>
      <c r="J5370">
        <v>6</v>
      </c>
      <c r="K5370">
        <v>773.61000000000013</v>
      </c>
      <c r="L5370">
        <v>128.94</v>
      </c>
      <c r="M5370">
        <v>945</v>
      </c>
      <c r="N5370">
        <v>113203.00999999998</v>
      </c>
      <c r="O5370">
        <v>119.79</v>
      </c>
    </row>
    <row r="5371" spans="1:15" x14ac:dyDescent="0.35">
      <c r="A5371" t="s">
        <v>5917</v>
      </c>
      <c r="B5371" t="s">
        <v>5918</v>
      </c>
      <c r="C5371" t="s">
        <v>520</v>
      </c>
      <c r="D5371" t="s">
        <v>293</v>
      </c>
      <c r="E5371" t="s">
        <v>312</v>
      </c>
      <c r="F5371" t="s">
        <v>5928</v>
      </c>
      <c r="G5371">
        <v>939</v>
      </c>
      <c r="H5371">
        <v>112429.39999999998</v>
      </c>
      <c r="I5371">
        <v>119.73</v>
      </c>
      <c r="J5371">
        <v>6</v>
      </c>
      <c r="K5371">
        <v>773.61000000000013</v>
      </c>
      <c r="L5371">
        <v>128.94</v>
      </c>
      <c r="M5371">
        <v>945</v>
      </c>
      <c r="N5371">
        <v>113203.00999999998</v>
      </c>
      <c r="O5371">
        <v>119.79</v>
      </c>
    </row>
    <row r="5372" spans="1:15" x14ac:dyDescent="0.35">
      <c r="A5372" t="s">
        <v>5917</v>
      </c>
      <c r="B5372" t="s">
        <v>5918</v>
      </c>
      <c r="C5372" t="s">
        <v>520</v>
      </c>
      <c r="D5372" t="s">
        <v>314</v>
      </c>
      <c r="E5372" t="s">
        <v>294</v>
      </c>
      <c r="F5372" t="s">
        <v>5929</v>
      </c>
      <c r="G5372">
        <v>72</v>
      </c>
      <c r="H5372">
        <v>26545.68</v>
      </c>
      <c r="I5372">
        <v>368.69</v>
      </c>
      <c r="J5372">
        <v>0</v>
      </c>
      <c r="K5372">
        <v>0</v>
      </c>
      <c r="L5372">
        <v>0</v>
      </c>
      <c r="M5372">
        <v>72</v>
      </c>
      <c r="N5372">
        <v>26545.68</v>
      </c>
      <c r="O5372">
        <v>368.69</v>
      </c>
    </row>
    <row r="5373" spans="1:15" x14ac:dyDescent="0.35">
      <c r="A5373" t="s">
        <v>5917</v>
      </c>
      <c r="B5373" t="s">
        <v>5918</v>
      </c>
      <c r="C5373" t="s">
        <v>520</v>
      </c>
      <c r="D5373" t="s">
        <v>314</v>
      </c>
      <c r="E5373" t="s">
        <v>296</v>
      </c>
      <c r="F5373" t="s">
        <v>5930</v>
      </c>
      <c r="G5373">
        <v>80</v>
      </c>
      <c r="H5373">
        <v>19993.599999999999</v>
      </c>
      <c r="I5373">
        <v>249.92</v>
      </c>
      <c r="J5373">
        <v>0</v>
      </c>
      <c r="K5373">
        <v>0</v>
      </c>
      <c r="L5373">
        <v>0</v>
      </c>
      <c r="M5373">
        <v>80</v>
      </c>
      <c r="N5373">
        <v>19993.599999999999</v>
      </c>
      <c r="O5373">
        <v>249.92</v>
      </c>
    </row>
    <row r="5374" spans="1:15" x14ac:dyDescent="0.35">
      <c r="A5374" t="s">
        <v>5917</v>
      </c>
      <c r="B5374" t="s">
        <v>5918</v>
      </c>
      <c r="C5374" t="s">
        <v>520</v>
      </c>
      <c r="D5374" t="s">
        <v>314</v>
      </c>
      <c r="E5374" t="s">
        <v>298</v>
      </c>
      <c r="F5374" t="s">
        <v>5931</v>
      </c>
      <c r="G5374">
        <v>1</v>
      </c>
      <c r="H5374">
        <v>315.88</v>
      </c>
      <c r="I5374">
        <v>315.88</v>
      </c>
      <c r="J5374">
        <v>0</v>
      </c>
      <c r="K5374">
        <v>0</v>
      </c>
      <c r="L5374">
        <v>0</v>
      </c>
      <c r="M5374">
        <v>1</v>
      </c>
      <c r="N5374">
        <v>315.88</v>
      </c>
      <c r="O5374">
        <v>315.88</v>
      </c>
    </row>
    <row r="5375" spans="1:15" x14ac:dyDescent="0.35">
      <c r="A5375" t="s">
        <v>5917</v>
      </c>
      <c r="B5375" t="s">
        <v>5918</v>
      </c>
      <c r="C5375" t="s">
        <v>520</v>
      </c>
      <c r="D5375" t="s">
        <v>314</v>
      </c>
      <c r="E5375" t="s">
        <v>300</v>
      </c>
      <c r="F5375" t="s">
        <v>5932</v>
      </c>
      <c r="G5375">
        <v>0</v>
      </c>
      <c r="H5375">
        <v>0</v>
      </c>
      <c r="I5375">
        <v>0</v>
      </c>
      <c r="J5375">
        <v>0</v>
      </c>
      <c r="K5375">
        <v>0</v>
      </c>
      <c r="L5375">
        <v>0</v>
      </c>
      <c r="M5375">
        <v>0</v>
      </c>
      <c r="N5375">
        <v>0</v>
      </c>
      <c r="O5375">
        <v>0</v>
      </c>
    </row>
    <row r="5376" spans="1:15" x14ac:dyDescent="0.35">
      <c r="A5376" t="s">
        <v>5917</v>
      </c>
      <c r="B5376" t="s">
        <v>5918</v>
      </c>
      <c r="C5376" t="s">
        <v>520</v>
      </c>
      <c r="D5376" t="s">
        <v>314</v>
      </c>
      <c r="E5376" t="s">
        <v>306</v>
      </c>
      <c r="F5376" t="s">
        <v>5933</v>
      </c>
      <c r="G5376">
        <v>0</v>
      </c>
      <c r="H5376">
        <v>0</v>
      </c>
      <c r="I5376">
        <v>0</v>
      </c>
      <c r="J5376">
        <v>0</v>
      </c>
      <c r="K5376">
        <v>0</v>
      </c>
      <c r="L5376">
        <v>0</v>
      </c>
      <c r="M5376">
        <v>0</v>
      </c>
      <c r="N5376">
        <v>0</v>
      </c>
      <c r="O5376">
        <v>0</v>
      </c>
    </row>
    <row r="5377" spans="1:15" x14ac:dyDescent="0.35">
      <c r="A5377" t="s">
        <v>5917</v>
      </c>
      <c r="B5377" t="s">
        <v>5918</v>
      </c>
      <c r="C5377" t="s">
        <v>520</v>
      </c>
      <c r="D5377" t="s">
        <v>314</v>
      </c>
      <c r="E5377" t="s">
        <v>308</v>
      </c>
      <c r="F5377" t="s">
        <v>5934</v>
      </c>
      <c r="G5377">
        <v>6</v>
      </c>
      <c r="H5377">
        <v>1775.6999999999998</v>
      </c>
      <c r="I5377">
        <v>295.95</v>
      </c>
      <c r="J5377">
        <v>0</v>
      </c>
      <c r="K5377">
        <v>0</v>
      </c>
      <c r="L5377">
        <v>0</v>
      </c>
      <c r="M5377">
        <v>6</v>
      </c>
      <c r="N5377">
        <v>1775.6999999999998</v>
      </c>
      <c r="O5377">
        <v>295.95</v>
      </c>
    </row>
    <row r="5378" spans="1:15" x14ac:dyDescent="0.35">
      <c r="A5378" t="s">
        <v>5917</v>
      </c>
      <c r="B5378" t="s">
        <v>5918</v>
      </c>
      <c r="C5378" t="s">
        <v>520</v>
      </c>
      <c r="D5378" t="s">
        <v>314</v>
      </c>
      <c r="E5378" t="s">
        <v>312</v>
      </c>
      <c r="F5378" t="s">
        <v>5935</v>
      </c>
      <c r="G5378">
        <v>153</v>
      </c>
      <c r="H5378">
        <v>46855.159999999996</v>
      </c>
      <c r="I5378">
        <v>306.24</v>
      </c>
      <c r="J5378">
        <v>0</v>
      </c>
      <c r="K5378">
        <v>0</v>
      </c>
      <c r="L5378">
        <v>0</v>
      </c>
      <c r="M5378">
        <v>153</v>
      </c>
      <c r="N5378">
        <v>46855.159999999996</v>
      </c>
      <c r="O5378">
        <v>306.24</v>
      </c>
    </row>
    <row r="5379" spans="1:15" x14ac:dyDescent="0.35">
      <c r="A5379" t="s">
        <v>5917</v>
      </c>
      <c r="B5379" t="s">
        <v>5918</v>
      </c>
      <c r="C5379" t="s">
        <v>520</v>
      </c>
      <c r="D5379" t="s">
        <v>314</v>
      </c>
      <c r="E5379" t="s">
        <v>310</v>
      </c>
      <c r="F5379" t="s">
        <v>5936</v>
      </c>
      <c r="G5379">
        <v>159</v>
      </c>
      <c r="H5379">
        <v>48630.859999999993</v>
      </c>
      <c r="I5379">
        <v>305.85000000000002</v>
      </c>
      <c r="J5379">
        <v>0</v>
      </c>
      <c r="K5379">
        <v>0</v>
      </c>
      <c r="L5379">
        <v>0</v>
      </c>
      <c r="M5379">
        <v>159</v>
      </c>
      <c r="N5379">
        <v>48630.859999999993</v>
      </c>
      <c r="O5379">
        <v>305.85000000000002</v>
      </c>
    </row>
    <row r="5380" spans="1:15" x14ac:dyDescent="0.35">
      <c r="A5380" t="s">
        <v>5917</v>
      </c>
      <c r="B5380" t="s">
        <v>5918</v>
      </c>
      <c r="C5380" t="s">
        <v>520</v>
      </c>
      <c r="D5380" t="s">
        <v>323</v>
      </c>
      <c r="E5380" t="s">
        <v>294</v>
      </c>
      <c r="F5380" t="s">
        <v>5937</v>
      </c>
      <c r="G5380">
        <v>890</v>
      </c>
      <c r="H5380">
        <v>74501.189999999988</v>
      </c>
      <c r="I5380">
        <v>83.71</v>
      </c>
      <c r="J5380">
        <v>0</v>
      </c>
      <c r="K5380">
        <v>0</v>
      </c>
      <c r="L5380">
        <v>0</v>
      </c>
      <c r="M5380">
        <v>890</v>
      </c>
      <c r="N5380">
        <v>74501.189999999988</v>
      </c>
      <c r="O5380">
        <v>83.71</v>
      </c>
    </row>
    <row r="5381" spans="1:15" x14ac:dyDescent="0.35">
      <c r="A5381" t="s">
        <v>5917</v>
      </c>
      <c r="B5381" t="s">
        <v>5918</v>
      </c>
      <c r="C5381" t="s">
        <v>520</v>
      </c>
      <c r="D5381" t="s">
        <v>323</v>
      </c>
      <c r="E5381" t="s">
        <v>296</v>
      </c>
      <c r="F5381" t="s">
        <v>5938</v>
      </c>
      <c r="G5381">
        <v>1238</v>
      </c>
      <c r="H5381">
        <v>121302.25000000001</v>
      </c>
      <c r="I5381">
        <v>97.98</v>
      </c>
      <c r="J5381">
        <v>8</v>
      </c>
      <c r="K5381">
        <v>828.48</v>
      </c>
      <c r="L5381">
        <v>103.56</v>
      </c>
      <c r="M5381">
        <v>1246</v>
      </c>
      <c r="N5381">
        <v>122130.73000000001</v>
      </c>
      <c r="O5381">
        <v>98.02</v>
      </c>
    </row>
    <row r="5382" spans="1:15" x14ac:dyDescent="0.35">
      <c r="A5382" t="s">
        <v>5917</v>
      </c>
      <c r="B5382" t="s">
        <v>5918</v>
      </c>
      <c r="C5382" t="s">
        <v>520</v>
      </c>
      <c r="D5382" t="s">
        <v>323</v>
      </c>
      <c r="E5382" t="s">
        <v>298</v>
      </c>
      <c r="F5382" t="s">
        <v>5939</v>
      </c>
      <c r="G5382">
        <v>1426</v>
      </c>
      <c r="H5382">
        <v>155103.32</v>
      </c>
      <c r="I5382">
        <v>108.77</v>
      </c>
      <c r="J5382">
        <v>5</v>
      </c>
      <c r="K5382">
        <v>581.1</v>
      </c>
      <c r="L5382">
        <v>116.22</v>
      </c>
      <c r="M5382">
        <v>1431</v>
      </c>
      <c r="N5382">
        <v>155684.42000000001</v>
      </c>
      <c r="O5382">
        <v>108.79</v>
      </c>
    </row>
    <row r="5383" spans="1:15" x14ac:dyDescent="0.35">
      <c r="A5383" t="s">
        <v>5917</v>
      </c>
      <c r="B5383" t="s">
        <v>5918</v>
      </c>
      <c r="C5383" t="s">
        <v>520</v>
      </c>
      <c r="D5383" t="s">
        <v>323</v>
      </c>
      <c r="E5383" t="s">
        <v>300</v>
      </c>
      <c r="F5383" t="s">
        <v>5940</v>
      </c>
      <c r="G5383">
        <v>164</v>
      </c>
      <c r="H5383">
        <v>19374.989999999998</v>
      </c>
      <c r="I5383">
        <v>118.14</v>
      </c>
      <c r="J5383">
        <v>0</v>
      </c>
      <c r="K5383">
        <v>0</v>
      </c>
      <c r="L5383">
        <v>0</v>
      </c>
      <c r="M5383">
        <v>164</v>
      </c>
      <c r="N5383">
        <v>19374.989999999998</v>
      </c>
      <c r="O5383">
        <v>118.14</v>
      </c>
    </row>
    <row r="5384" spans="1:15" x14ac:dyDescent="0.35">
      <c r="A5384" t="s">
        <v>5917</v>
      </c>
      <c r="B5384" t="s">
        <v>5918</v>
      </c>
      <c r="C5384" t="s">
        <v>520</v>
      </c>
      <c r="D5384" t="s">
        <v>323</v>
      </c>
      <c r="E5384" t="s">
        <v>302</v>
      </c>
      <c r="F5384" t="s">
        <v>5941</v>
      </c>
      <c r="G5384">
        <v>8</v>
      </c>
      <c r="H5384">
        <v>1005.6400000000001</v>
      </c>
      <c r="I5384">
        <v>125.71</v>
      </c>
      <c r="J5384">
        <v>0</v>
      </c>
      <c r="K5384">
        <v>0</v>
      </c>
      <c r="L5384">
        <v>0</v>
      </c>
      <c r="M5384">
        <v>8</v>
      </c>
      <c r="N5384">
        <v>1005.6400000000001</v>
      </c>
      <c r="O5384">
        <v>125.71</v>
      </c>
    </row>
    <row r="5385" spans="1:15" x14ac:dyDescent="0.35">
      <c r="A5385" t="s">
        <v>5917</v>
      </c>
      <c r="B5385" t="s">
        <v>5918</v>
      </c>
      <c r="C5385" t="s">
        <v>520</v>
      </c>
      <c r="D5385" t="s">
        <v>323</v>
      </c>
      <c r="E5385" t="s">
        <v>304</v>
      </c>
      <c r="F5385" t="s">
        <v>5942</v>
      </c>
      <c r="G5385">
        <v>1</v>
      </c>
      <c r="H5385">
        <v>130.66</v>
      </c>
      <c r="I5385">
        <v>130.66</v>
      </c>
      <c r="J5385">
        <v>0</v>
      </c>
      <c r="K5385">
        <v>0</v>
      </c>
      <c r="L5385">
        <v>0</v>
      </c>
      <c r="M5385">
        <v>1</v>
      </c>
      <c r="N5385">
        <v>130.66</v>
      </c>
      <c r="O5385">
        <v>130.66</v>
      </c>
    </row>
    <row r="5386" spans="1:15" x14ac:dyDescent="0.35">
      <c r="A5386" t="s">
        <v>5917</v>
      </c>
      <c r="B5386" t="s">
        <v>5918</v>
      </c>
      <c r="C5386" t="s">
        <v>520</v>
      </c>
      <c r="D5386" t="s">
        <v>323</v>
      </c>
      <c r="E5386" t="s">
        <v>306</v>
      </c>
      <c r="F5386" t="s">
        <v>5943</v>
      </c>
      <c r="G5386">
        <v>21</v>
      </c>
      <c r="H5386">
        <v>1457.88</v>
      </c>
      <c r="I5386">
        <v>69.42</v>
      </c>
      <c r="J5386">
        <v>0</v>
      </c>
      <c r="K5386">
        <v>0</v>
      </c>
      <c r="L5386">
        <v>0</v>
      </c>
      <c r="M5386">
        <v>21</v>
      </c>
      <c r="N5386">
        <v>1457.88</v>
      </c>
      <c r="O5386">
        <v>69.42</v>
      </c>
    </row>
    <row r="5387" spans="1:15" x14ac:dyDescent="0.35">
      <c r="A5387" t="s">
        <v>5917</v>
      </c>
      <c r="B5387" t="s">
        <v>5918</v>
      </c>
      <c r="C5387" t="s">
        <v>520</v>
      </c>
      <c r="D5387" t="s">
        <v>323</v>
      </c>
      <c r="E5387" t="s">
        <v>308</v>
      </c>
      <c r="F5387" t="s">
        <v>5944</v>
      </c>
      <c r="G5387">
        <v>0</v>
      </c>
      <c r="H5387">
        <v>0</v>
      </c>
      <c r="I5387">
        <v>0</v>
      </c>
      <c r="J5387">
        <v>4</v>
      </c>
      <c r="K5387">
        <v>286</v>
      </c>
      <c r="L5387">
        <v>71.5</v>
      </c>
      <c r="M5387">
        <v>4</v>
      </c>
      <c r="N5387">
        <v>286</v>
      </c>
      <c r="O5387">
        <v>71.5</v>
      </c>
    </row>
    <row r="5388" spans="1:15" x14ac:dyDescent="0.35">
      <c r="A5388" t="s">
        <v>5917</v>
      </c>
      <c r="B5388" t="s">
        <v>5918</v>
      </c>
      <c r="C5388" t="s">
        <v>520</v>
      </c>
      <c r="D5388" t="s">
        <v>323</v>
      </c>
      <c r="E5388" t="s">
        <v>310</v>
      </c>
      <c r="F5388" t="s">
        <v>5945</v>
      </c>
      <c r="G5388">
        <v>3748</v>
      </c>
      <c r="H5388">
        <v>372875.93</v>
      </c>
      <c r="I5388">
        <v>99.49</v>
      </c>
      <c r="J5388">
        <v>17</v>
      </c>
      <c r="K5388">
        <v>1695.58</v>
      </c>
      <c r="L5388">
        <v>99.74</v>
      </c>
      <c r="M5388">
        <v>3765</v>
      </c>
      <c r="N5388">
        <v>374571.51</v>
      </c>
      <c r="O5388">
        <v>99.49</v>
      </c>
    </row>
    <row r="5389" spans="1:15" x14ac:dyDescent="0.35">
      <c r="A5389" t="s">
        <v>5917</v>
      </c>
      <c r="B5389" t="s">
        <v>5918</v>
      </c>
      <c r="C5389" t="s">
        <v>520</v>
      </c>
      <c r="D5389" t="s">
        <v>323</v>
      </c>
      <c r="E5389" t="s">
        <v>312</v>
      </c>
      <c r="F5389" t="s">
        <v>5946</v>
      </c>
      <c r="G5389">
        <v>3748</v>
      </c>
      <c r="H5389">
        <v>372875.93</v>
      </c>
      <c r="I5389">
        <v>99.49</v>
      </c>
      <c r="J5389">
        <v>13</v>
      </c>
      <c r="K5389">
        <v>1409.58</v>
      </c>
      <c r="L5389">
        <v>108.43</v>
      </c>
      <c r="M5389">
        <v>3761</v>
      </c>
      <c r="N5389">
        <v>374285.51</v>
      </c>
      <c r="O5389">
        <v>99.52</v>
      </c>
    </row>
    <row r="5390" spans="1:15" x14ac:dyDescent="0.35">
      <c r="A5390" t="s">
        <v>5917</v>
      </c>
      <c r="B5390" t="s">
        <v>5918</v>
      </c>
      <c r="C5390" t="s">
        <v>520</v>
      </c>
      <c r="D5390" t="s">
        <v>334</v>
      </c>
      <c r="E5390" t="s">
        <v>312</v>
      </c>
      <c r="F5390" t="s">
        <v>5947</v>
      </c>
      <c r="G5390">
        <v>4726</v>
      </c>
      <c r="H5390">
        <v>485305.32999999996</v>
      </c>
      <c r="I5390">
        <v>103.54</v>
      </c>
      <c r="J5390">
        <v>19</v>
      </c>
      <c r="K5390">
        <v>2183.19</v>
      </c>
      <c r="L5390">
        <v>114.9</v>
      </c>
      <c r="M5390">
        <v>4745</v>
      </c>
      <c r="N5390">
        <v>487488.51999999996</v>
      </c>
      <c r="O5390">
        <v>103.59</v>
      </c>
    </row>
    <row r="5391" spans="1:15" x14ac:dyDescent="0.35">
      <c r="A5391" t="s">
        <v>5917</v>
      </c>
      <c r="B5391" t="s">
        <v>5918</v>
      </c>
      <c r="C5391" t="s">
        <v>520</v>
      </c>
      <c r="D5391" t="s">
        <v>334</v>
      </c>
      <c r="E5391" t="s">
        <v>308</v>
      </c>
      <c r="F5391" t="s">
        <v>5948</v>
      </c>
      <c r="G5391">
        <v>0</v>
      </c>
      <c r="H5391">
        <v>0</v>
      </c>
      <c r="I5391">
        <v>0</v>
      </c>
      <c r="J5391">
        <v>4</v>
      </c>
      <c r="K5391">
        <v>286</v>
      </c>
      <c r="L5391">
        <v>71.5</v>
      </c>
      <c r="M5391">
        <v>4</v>
      </c>
      <c r="N5391">
        <v>286</v>
      </c>
      <c r="O5391">
        <v>71.5</v>
      </c>
    </row>
    <row r="5392" spans="1:15" x14ac:dyDescent="0.35">
      <c r="A5392" t="s">
        <v>5917</v>
      </c>
      <c r="B5392" t="s">
        <v>5918</v>
      </c>
      <c r="C5392" t="s">
        <v>520</v>
      </c>
      <c r="D5392" t="s">
        <v>337</v>
      </c>
      <c r="E5392" t="s">
        <v>337</v>
      </c>
      <c r="F5392" t="s">
        <v>5949</v>
      </c>
      <c r="G5392">
        <v>79</v>
      </c>
      <c r="J5392">
        <v>0</v>
      </c>
      <c r="M5392">
        <v>79</v>
      </c>
    </row>
    <row r="5393" spans="1:15" x14ac:dyDescent="0.35">
      <c r="A5393" t="s">
        <v>5917</v>
      </c>
      <c r="B5393" t="s">
        <v>5918</v>
      </c>
      <c r="C5393" t="s">
        <v>520</v>
      </c>
      <c r="D5393" t="s">
        <v>339</v>
      </c>
      <c r="E5393" t="s">
        <v>294</v>
      </c>
      <c r="F5393" t="s">
        <v>5950</v>
      </c>
      <c r="G5393">
        <v>1306</v>
      </c>
      <c r="H5393">
        <v>125565.75</v>
      </c>
      <c r="I5393">
        <v>96.15</v>
      </c>
      <c r="J5393">
        <v>0</v>
      </c>
      <c r="K5393">
        <v>0</v>
      </c>
      <c r="L5393">
        <v>0</v>
      </c>
      <c r="M5393">
        <v>1306</v>
      </c>
      <c r="N5393">
        <v>125565.75</v>
      </c>
      <c r="O5393">
        <v>96.15</v>
      </c>
    </row>
    <row r="5394" spans="1:15" x14ac:dyDescent="0.35">
      <c r="A5394" t="s">
        <v>5917</v>
      </c>
      <c r="B5394" t="s">
        <v>5918</v>
      </c>
      <c r="C5394" t="s">
        <v>520</v>
      </c>
      <c r="D5394" t="s">
        <v>339</v>
      </c>
      <c r="E5394" t="s">
        <v>296</v>
      </c>
      <c r="F5394" t="s">
        <v>5951</v>
      </c>
      <c r="G5394">
        <v>108</v>
      </c>
      <c r="H5394">
        <v>12138.150000000001</v>
      </c>
      <c r="I5394">
        <v>112.39</v>
      </c>
      <c r="J5394">
        <v>0</v>
      </c>
      <c r="K5394">
        <v>0</v>
      </c>
      <c r="L5394">
        <v>0</v>
      </c>
      <c r="M5394">
        <v>108</v>
      </c>
      <c r="N5394">
        <v>12138.150000000001</v>
      </c>
      <c r="O5394">
        <v>112.39</v>
      </c>
    </row>
    <row r="5395" spans="1:15" x14ac:dyDescent="0.35">
      <c r="A5395" t="s">
        <v>5917</v>
      </c>
      <c r="B5395" t="s">
        <v>5918</v>
      </c>
      <c r="C5395" t="s">
        <v>520</v>
      </c>
      <c r="D5395" t="s">
        <v>339</v>
      </c>
      <c r="E5395" t="s">
        <v>298</v>
      </c>
      <c r="F5395" t="s">
        <v>5952</v>
      </c>
      <c r="G5395">
        <v>5</v>
      </c>
      <c r="H5395">
        <v>608.63</v>
      </c>
      <c r="I5395">
        <v>121.73</v>
      </c>
      <c r="J5395">
        <v>0</v>
      </c>
      <c r="K5395">
        <v>0</v>
      </c>
      <c r="L5395">
        <v>0</v>
      </c>
      <c r="M5395">
        <v>5</v>
      </c>
      <c r="N5395">
        <v>608.63</v>
      </c>
      <c r="O5395">
        <v>121.73</v>
      </c>
    </row>
    <row r="5396" spans="1:15" x14ac:dyDescent="0.35">
      <c r="A5396" t="s">
        <v>5917</v>
      </c>
      <c r="B5396" t="s">
        <v>5918</v>
      </c>
      <c r="C5396" t="s">
        <v>520</v>
      </c>
      <c r="D5396" t="s">
        <v>339</v>
      </c>
      <c r="E5396" t="s">
        <v>300</v>
      </c>
      <c r="F5396" t="s">
        <v>5953</v>
      </c>
      <c r="G5396">
        <v>0</v>
      </c>
      <c r="H5396">
        <v>0</v>
      </c>
      <c r="I5396">
        <v>0</v>
      </c>
      <c r="J5396">
        <v>0</v>
      </c>
      <c r="K5396">
        <v>0</v>
      </c>
      <c r="L5396">
        <v>0</v>
      </c>
      <c r="M5396">
        <v>0</v>
      </c>
      <c r="N5396">
        <v>0</v>
      </c>
      <c r="O5396">
        <v>0</v>
      </c>
    </row>
    <row r="5397" spans="1:15" x14ac:dyDescent="0.35">
      <c r="A5397" t="s">
        <v>5917</v>
      </c>
      <c r="B5397" t="s">
        <v>5918</v>
      </c>
      <c r="C5397" t="s">
        <v>520</v>
      </c>
      <c r="D5397" t="s">
        <v>339</v>
      </c>
      <c r="E5397" t="s">
        <v>306</v>
      </c>
      <c r="F5397" t="s">
        <v>5954</v>
      </c>
      <c r="G5397">
        <v>90</v>
      </c>
      <c r="H5397">
        <v>7783.8099999999995</v>
      </c>
      <c r="I5397">
        <v>86.49</v>
      </c>
      <c r="J5397">
        <v>0</v>
      </c>
      <c r="K5397">
        <v>0</v>
      </c>
      <c r="L5397">
        <v>0</v>
      </c>
      <c r="M5397">
        <v>90</v>
      </c>
      <c r="N5397">
        <v>7783.8099999999995</v>
      </c>
      <c r="O5397">
        <v>86.49</v>
      </c>
    </row>
    <row r="5398" spans="1:15" x14ac:dyDescent="0.35">
      <c r="A5398" t="s">
        <v>5917</v>
      </c>
      <c r="B5398" t="s">
        <v>5918</v>
      </c>
      <c r="C5398" t="s">
        <v>520</v>
      </c>
      <c r="D5398" t="s">
        <v>339</v>
      </c>
      <c r="E5398" t="s">
        <v>308</v>
      </c>
      <c r="F5398" t="s">
        <v>5955</v>
      </c>
      <c r="G5398">
        <v>87</v>
      </c>
      <c r="H5398">
        <v>12195.21</v>
      </c>
      <c r="I5398">
        <v>140.16999999999999</v>
      </c>
      <c r="J5398">
        <v>0</v>
      </c>
      <c r="K5398">
        <v>0</v>
      </c>
      <c r="L5398">
        <v>0</v>
      </c>
      <c r="M5398">
        <v>87</v>
      </c>
      <c r="N5398">
        <v>12195.21</v>
      </c>
      <c r="O5398">
        <v>140.16999999999999</v>
      </c>
    </row>
    <row r="5399" spans="1:15" x14ac:dyDescent="0.35">
      <c r="A5399" t="s">
        <v>5917</v>
      </c>
      <c r="B5399" t="s">
        <v>5918</v>
      </c>
      <c r="C5399" t="s">
        <v>520</v>
      </c>
      <c r="D5399" t="s">
        <v>339</v>
      </c>
      <c r="E5399" t="s">
        <v>310</v>
      </c>
      <c r="F5399" t="s">
        <v>5956</v>
      </c>
      <c r="G5399">
        <v>1596</v>
      </c>
      <c r="H5399">
        <v>158291.54999999999</v>
      </c>
      <c r="I5399">
        <v>99.18</v>
      </c>
      <c r="J5399">
        <v>0</v>
      </c>
      <c r="K5399">
        <v>0</v>
      </c>
      <c r="L5399">
        <v>0</v>
      </c>
      <c r="M5399">
        <v>1596</v>
      </c>
      <c r="N5399">
        <v>158291.54999999999</v>
      </c>
      <c r="O5399">
        <v>99.18</v>
      </c>
    </row>
    <row r="5400" spans="1:15" x14ac:dyDescent="0.35">
      <c r="A5400" t="s">
        <v>5917</v>
      </c>
      <c r="B5400" t="s">
        <v>5918</v>
      </c>
      <c r="C5400" t="s">
        <v>520</v>
      </c>
      <c r="D5400" t="s">
        <v>339</v>
      </c>
      <c r="E5400" t="s">
        <v>312</v>
      </c>
      <c r="F5400" t="s">
        <v>5957</v>
      </c>
      <c r="G5400">
        <v>1509</v>
      </c>
      <c r="H5400">
        <v>146096.34</v>
      </c>
      <c r="I5400">
        <v>96.82</v>
      </c>
      <c r="J5400">
        <v>0</v>
      </c>
      <c r="K5400">
        <v>0</v>
      </c>
      <c r="L5400">
        <v>0</v>
      </c>
      <c r="M5400">
        <v>1509</v>
      </c>
      <c r="N5400">
        <v>146096.34</v>
      </c>
      <c r="O5400">
        <v>96.82</v>
      </c>
    </row>
    <row r="5401" spans="1:15" x14ac:dyDescent="0.35">
      <c r="A5401" t="s">
        <v>5917</v>
      </c>
      <c r="B5401" t="s">
        <v>5918</v>
      </c>
      <c r="C5401" t="s">
        <v>520</v>
      </c>
      <c r="D5401" t="s">
        <v>348</v>
      </c>
      <c r="E5401" t="s">
        <v>349</v>
      </c>
      <c r="F5401" t="s">
        <v>5958</v>
      </c>
      <c r="G5401">
        <v>1832</v>
      </c>
      <c r="H5401">
        <v>206922.40999999997</v>
      </c>
      <c r="I5401">
        <v>117.9</v>
      </c>
      <c r="J5401">
        <v>0</v>
      </c>
      <c r="K5401">
        <v>0</v>
      </c>
      <c r="L5401">
        <v>0</v>
      </c>
      <c r="M5401">
        <v>1832</v>
      </c>
      <c r="N5401">
        <v>206922.40999999997</v>
      </c>
      <c r="O5401">
        <v>117.9</v>
      </c>
    </row>
    <row r="5402" spans="1:15" x14ac:dyDescent="0.35">
      <c r="A5402" t="s">
        <v>5959</v>
      </c>
      <c r="B5402" t="s">
        <v>5960</v>
      </c>
      <c r="C5402" t="s">
        <v>520</v>
      </c>
      <c r="D5402" t="s">
        <v>293</v>
      </c>
      <c r="E5402" t="s">
        <v>294</v>
      </c>
      <c r="F5402" t="s">
        <v>5961</v>
      </c>
      <c r="G5402">
        <v>155</v>
      </c>
      <c r="H5402">
        <v>15267.100000000002</v>
      </c>
      <c r="I5402">
        <v>98.5</v>
      </c>
      <c r="J5402">
        <v>1</v>
      </c>
      <c r="K5402">
        <v>145.86000000000001</v>
      </c>
      <c r="L5402">
        <v>145.86000000000001</v>
      </c>
      <c r="M5402">
        <v>156</v>
      </c>
      <c r="N5402">
        <v>15412.960000000003</v>
      </c>
      <c r="O5402">
        <v>98.8</v>
      </c>
    </row>
    <row r="5403" spans="1:15" x14ac:dyDescent="0.35">
      <c r="A5403" t="s">
        <v>5959</v>
      </c>
      <c r="B5403" t="s">
        <v>5960</v>
      </c>
      <c r="C5403" t="s">
        <v>520</v>
      </c>
      <c r="D5403" t="s">
        <v>293</v>
      </c>
      <c r="E5403" t="s">
        <v>296</v>
      </c>
      <c r="F5403" t="s">
        <v>5962</v>
      </c>
      <c r="G5403">
        <v>520</v>
      </c>
      <c r="H5403">
        <v>64653.7</v>
      </c>
      <c r="I5403">
        <v>124.33</v>
      </c>
      <c r="J5403">
        <v>10</v>
      </c>
      <c r="K5403">
        <v>1665.9</v>
      </c>
      <c r="L5403">
        <v>166.59</v>
      </c>
      <c r="M5403">
        <v>530</v>
      </c>
      <c r="N5403">
        <v>66319.599999999991</v>
      </c>
      <c r="O5403">
        <v>125.13</v>
      </c>
    </row>
    <row r="5404" spans="1:15" x14ac:dyDescent="0.35">
      <c r="A5404" t="s">
        <v>5959</v>
      </c>
      <c r="B5404" t="s">
        <v>5960</v>
      </c>
      <c r="C5404" t="s">
        <v>520</v>
      </c>
      <c r="D5404" t="s">
        <v>293</v>
      </c>
      <c r="E5404" t="s">
        <v>298</v>
      </c>
      <c r="F5404" t="s">
        <v>5963</v>
      </c>
      <c r="G5404">
        <v>314</v>
      </c>
      <c r="H5404">
        <v>43750.57</v>
      </c>
      <c r="I5404">
        <v>139.33000000000001</v>
      </c>
      <c r="J5404">
        <v>18</v>
      </c>
      <c r="K5404">
        <v>2192.58</v>
      </c>
      <c r="L5404">
        <v>121.81</v>
      </c>
      <c r="M5404">
        <v>332</v>
      </c>
      <c r="N5404">
        <v>45943.15</v>
      </c>
      <c r="O5404">
        <v>138.38</v>
      </c>
    </row>
    <row r="5405" spans="1:15" x14ac:dyDescent="0.35">
      <c r="A5405" t="s">
        <v>5959</v>
      </c>
      <c r="B5405" t="s">
        <v>5960</v>
      </c>
      <c r="C5405" t="s">
        <v>520</v>
      </c>
      <c r="D5405" t="s">
        <v>293</v>
      </c>
      <c r="E5405" t="s">
        <v>300</v>
      </c>
      <c r="F5405" t="s">
        <v>5964</v>
      </c>
      <c r="G5405">
        <v>30</v>
      </c>
      <c r="H5405">
        <v>4488.7000000000007</v>
      </c>
      <c r="I5405">
        <v>149.62</v>
      </c>
      <c r="J5405">
        <v>2</v>
      </c>
      <c r="K5405">
        <v>342.9</v>
      </c>
      <c r="L5405">
        <v>171.45</v>
      </c>
      <c r="M5405">
        <v>32</v>
      </c>
      <c r="N5405">
        <v>4831.6000000000004</v>
      </c>
      <c r="O5405">
        <v>150.99</v>
      </c>
    </row>
    <row r="5406" spans="1:15" x14ac:dyDescent="0.35">
      <c r="A5406" t="s">
        <v>5959</v>
      </c>
      <c r="B5406" t="s">
        <v>5960</v>
      </c>
      <c r="C5406" t="s">
        <v>520</v>
      </c>
      <c r="D5406" t="s">
        <v>293</v>
      </c>
      <c r="E5406" t="s">
        <v>302</v>
      </c>
      <c r="F5406" t="s">
        <v>5965</v>
      </c>
      <c r="G5406">
        <v>0</v>
      </c>
      <c r="H5406">
        <v>0</v>
      </c>
      <c r="I5406">
        <v>0</v>
      </c>
      <c r="J5406">
        <v>1</v>
      </c>
      <c r="K5406">
        <v>236.11</v>
      </c>
      <c r="L5406">
        <v>236.11</v>
      </c>
      <c r="M5406">
        <v>1</v>
      </c>
      <c r="N5406">
        <v>236.11</v>
      </c>
      <c r="O5406">
        <v>236.11</v>
      </c>
    </row>
    <row r="5407" spans="1:15" x14ac:dyDescent="0.35">
      <c r="A5407" t="s">
        <v>5959</v>
      </c>
      <c r="B5407" t="s">
        <v>5960</v>
      </c>
      <c r="C5407" t="s">
        <v>520</v>
      </c>
      <c r="D5407" t="s">
        <v>293</v>
      </c>
      <c r="E5407" t="s">
        <v>304</v>
      </c>
      <c r="F5407" t="s">
        <v>5966</v>
      </c>
      <c r="G5407">
        <v>0</v>
      </c>
      <c r="H5407">
        <v>0</v>
      </c>
      <c r="I5407">
        <v>0</v>
      </c>
      <c r="J5407">
        <v>0</v>
      </c>
      <c r="K5407">
        <v>0</v>
      </c>
      <c r="L5407">
        <v>0</v>
      </c>
      <c r="M5407">
        <v>0</v>
      </c>
      <c r="N5407">
        <v>0</v>
      </c>
      <c r="O5407">
        <v>0</v>
      </c>
    </row>
    <row r="5408" spans="1:15" x14ac:dyDescent="0.35">
      <c r="A5408" t="s">
        <v>5959</v>
      </c>
      <c r="B5408" t="s">
        <v>5960</v>
      </c>
      <c r="C5408" t="s">
        <v>520</v>
      </c>
      <c r="D5408" t="s">
        <v>293</v>
      </c>
      <c r="E5408" t="s">
        <v>306</v>
      </c>
      <c r="F5408" t="s">
        <v>5967</v>
      </c>
      <c r="G5408">
        <v>0</v>
      </c>
      <c r="H5408">
        <v>0</v>
      </c>
      <c r="I5408">
        <v>0</v>
      </c>
      <c r="J5408">
        <v>0</v>
      </c>
      <c r="K5408">
        <v>0</v>
      </c>
      <c r="L5408">
        <v>0</v>
      </c>
      <c r="M5408">
        <v>0</v>
      </c>
      <c r="N5408">
        <v>0</v>
      </c>
      <c r="O5408">
        <v>0</v>
      </c>
    </row>
    <row r="5409" spans="1:15" x14ac:dyDescent="0.35">
      <c r="A5409" t="s">
        <v>5959</v>
      </c>
      <c r="B5409" t="s">
        <v>5960</v>
      </c>
      <c r="C5409" t="s">
        <v>520</v>
      </c>
      <c r="D5409" t="s">
        <v>293</v>
      </c>
      <c r="E5409" t="s">
        <v>308</v>
      </c>
      <c r="F5409" t="s">
        <v>5968</v>
      </c>
      <c r="G5409">
        <v>0</v>
      </c>
      <c r="H5409">
        <v>0</v>
      </c>
      <c r="I5409">
        <v>0</v>
      </c>
      <c r="J5409">
        <v>0</v>
      </c>
      <c r="K5409">
        <v>0</v>
      </c>
      <c r="L5409">
        <v>0</v>
      </c>
      <c r="M5409">
        <v>0</v>
      </c>
      <c r="N5409">
        <v>0</v>
      </c>
      <c r="O5409">
        <v>0</v>
      </c>
    </row>
    <row r="5410" spans="1:15" x14ac:dyDescent="0.35">
      <c r="A5410" t="s">
        <v>5959</v>
      </c>
      <c r="B5410" t="s">
        <v>5960</v>
      </c>
      <c r="C5410" t="s">
        <v>520</v>
      </c>
      <c r="D5410" t="s">
        <v>293</v>
      </c>
      <c r="E5410" t="s">
        <v>310</v>
      </c>
      <c r="F5410" t="s">
        <v>5969</v>
      </c>
      <c r="G5410">
        <v>1019</v>
      </c>
      <c r="H5410">
        <v>128160.06999999999</v>
      </c>
      <c r="I5410">
        <v>125.77</v>
      </c>
      <c r="J5410">
        <v>32</v>
      </c>
      <c r="K5410">
        <v>4583.3499999999995</v>
      </c>
      <c r="L5410">
        <v>143.22999999999999</v>
      </c>
      <c r="M5410">
        <v>1051</v>
      </c>
      <c r="N5410">
        <v>132743.41999999998</v>
      </c>
      <c r="O5410">
        <v>126.3</v>
      </c>
    </row>
    <row r="5411" spans="1:15" x14ac:dyDescent="0.35">
      <c r="A5411" t="s">
        <v>5959</v>
      </c>
      <c r="B5411" t="s">
        <v>5960</v>
      </c>
      <c r="C5411" t="s">
        <v>520</v>
      </c>
      <c r="D5411" t="s">
        <v>293</v>
      </c>
      <c r="E5411" t="s">
        <v>312</v>
      </c>
      <c r="F5411" t="s">
        <v>5970</v>
      </c>
      <c r="G5411">
        <v>1019</v>
      </c>
      <c r="H5411">
        <v>128160.06999999999</v>
      </c>
      <c r="I5411">
        <v>125.77</v>
      </c>
      <c r="J5411">
        <v>32</v>
      </c>
      <c r="K5411">
        <v>4583.3499999999995</v>
      </c>
      <c r="L5411">
        <v>143.22999999999999</v>
      </c>
      <c r="M5411">
        <v>1051</v>
      </c>
      <c r="N5411">
        <v>132743.41999999998</v>
      </c>
      <c r="O5411">
        <v>126.3</v>
      </c>
    </row>
    <row r="5412" spans="1:15" x14ac:dyDescent="0.35">
      <c r="A5412" t="s">
        <v>5959</v>
      </c>
      <c r="B5412" t="s">
        <v>5960</v>
      </c>
      <c r="C5412" t="s">
        <v>520</v>
      </c>
      <c r="D5412" t="s">
        <v>314</v>
      </c>
      <c r="E5412" t="s">
        <v>294</v>
      </c>
      <c r="F5412" t="s">
        <v>5971</v>
      </c>
      <c r="G5412">
        <v>0</v>
      </c>
      <c r="H5412">
        <v>0</v>
      </c>
      <c r="I5412">
        <v>0</v>
      </c>
      <c r="J5412">
        <v>107</v>
      </c>
      <c r="K5412">
        <v>17045.100000000002</v>
      </c>
      <c r="L5412">
        <v>159.30000000000001</v>
      </c>
      <c r="M5412">
        <v>107</v>
      </c>
      <c r="N5412">
        <v>17045.100000000002</v>
      </c>
      <c r="O5412">
        <v>159.30000000000001</v>
      </c>
    </row>
    <row r="5413" spans="1:15" x14ac:dyDescent="0.35">
      <c r="A5413" t="s">
        <v>5959</v>
      </c>
      <c r="B5413" t="s">
        <v>5960</v>
      </c>
      <c r="C5413" t="s">
        <v>520</v>
      </c>
      <c r="D5413" t="s">
        <v>314</v>
      </c>
      <c r="E5413" t="s">
        <v>296</v>
      </c>
      <c r="F5413" t="s">
        <v>5972</v>
      </c>
      <c r="G5413">
        <v>0</v>
      </c>
      <c r="H5413">
        <v>0</v>
      </c>
      <c r="I5413">
        <v>0</v>
      </c>
      <c r="J5413">
        <v>20</v>
      </c>
      <c r="K5413">
        <v>3896</v>
      </c>
      <c r="L5413">
        <v>194.8</v>
      </c>
      <c r="M5413">
        <v>20</v>
      </c>
      <c r="N5413">
        <v>3896</v>
      </c>
      <c r="O5413">
        <v>194.8</v>
      </c>
    </row>
    <row r="5414" spans="1:15" x14ac:dyDescent="0.35">
      <c r="A5414" t="s">
        <v>5959</v>
      </c>
      <c r="B5414" t="s">
        <v>5960</v>
      </c>
      <c r="C5414" t="s">
        <v>520</v>
      </c>
      <c r="D5414" t="s">
        <v>314</v>
      </c>
      <c r="E5414" t="s">
        <v>298</v>
      </c>
      <c r="F5414" t="s">
        <v>5973</v>
      </c>
      <c r="G5414">
        <v>0</v>
      </c>
      <c r="H5414">
        <v>0</v>
      </c>
      <c r="I5414">
        <v>0</v>
      </c>
      <c r="J5414">
        <v>0</v>
      </c>
      <c r="K5414">
        <v>0</v>
      </c>
      <c r="L5414">
        <v>0</v>
      </c>
      <c r="M5414">
        <v>0</v>
      </c>
      <c r="N5414">
        <v>0</v>
      </c>
      <c r="O5414">
        <v>0</v>
      </c>
    </row>
    <row r="5415" spans="1:15" x14ac:dyDescent="0.35">
      <c r="A5415" t="s">
        <v>5959</v>
      </c>
      <c r="B5415" t="s">
        <v>5960</v>
      </c>
      <c r="C5415" t="s">
        <v>520</v>
      </c>
      <c r="D5415" t="s">
        <v>314</v>
      </c>
      <c r="E5415" t="s">
        <v>300</v>
      </c>
      <c r="F5415" t="s">
        <v>5974</v>
      </c>
      <c r="G5415">
        <v>0</v>
      </c>
      <c r="H5415">
        <v>0</v>
      </c>
      <c r="I5415">
        <v>0</v>
      </c>
      <c r="J5415">
        <v>0</v>
      </c>
      <c r="K5415">
        <v>0</v>
      </c>
      <c r="L5415">
        <v>0</v>
      </c>
      <c r="M5415">
        <v>0</v>
      </c>
      <c r="N5415">
        <v>0</v>
      </c>
      <c r="O5415">
        <v>0</v>
      </c>
    </row>
    <row r="5416" spans="1:15" x14ac:dyDescent="0.35">
      <c r="A5416" t="s">
        <v>5959</v>
      </c>
      <c r="B5416" t="s">
        <v>5960</v>
      </c>
      <c r="C5416" t="s">
        <v>520</v>
      </c>
      <c r="D5416" t="s">
        <v>314</v>
      </c>
      <c r="E5416" t="s">
        <v>306</v>
      </c>
      <c r="F5416" t="s">
        <v>5975</v>
      </c>
      <c r="G5416">
        <v>0</v>
      </c>
      <c r="H5416">
        <v>0</v>
      </c>
      <c r="I5416">
        <v>0</v>
      </c>
      <c r="J5416">
        <v>0</v>
      </c>
      <c r="K5416">
        <v>0</v>
      </c>
      <c r="L5416">
        <v>0</v>
      </c>
      <c r="M5416">
        <v>0</v>
      </c>
      <c r="N5416">
        <v>0</v>
      </c>
      <c r="O5416">
        <v>0</v>
      </c>
    </row>
    <row r="5417" spans="1:15" x14ac:dyDescent="0.35">
      <c r="A5417" t="s">
        <v>5959</v>
      </c>
      <c r="B5417" t="s">
        <v>5960</v>
      </c>
      <c r="C5417" t="s">
        <v>520</v>
      </c>
      <c r="D5417" t="s">
        <v>314</v>
      </c>
      <c r="E5417" t="s">
        <v>308</v>
      </c>
      <c r="F5417" t="s">
        <v>5976</v>
      </c>
      <c r="G5417">
        <v>0</v>
      </c>
      <c r="H5417">
        <v>0</v>
      </c>
      <c r="I5417">
        <v>0</v>
      </c>
      <c r="J5417">
        <v>0</v>
      </c>
      <c r="K5417">
        <v>0</v>
      </c>
      <c r="L5417">
        <v>0</v>
      </c>
      <c r="M5417">
        <v>0</v>
      </c>
      <c r="N5417">
        <v>0</v>
      </c>
      <c r="O5417">
        <v>0</v>
      </c>
    </row>
    <row r="5418" spans="1:15" x14ac:dyDescent="0.35">
      <c r="A5418" t="s">
        <v>5959</v>
      </c>
      <c r="B5418" t="s">
        <v>5960</v>
      </c>
      <c r="C5418" t="s">
        <v>520</v>
      </c>
      <c r="D5418" t="s">
        <v>314</v>
      </c>
      <c r="E5418" t="s">
        <v>312</v>
      </c>
      <c r="F5418" t="s">
        <v>5977</v>
      </c>
      <c r="G5418">
        <v>0</v>
      </c>
      <c r="H5418">
        <v>0</v>
      </c>
      <c r="I5418">
        <v>0</v>
      </c>
      <c r="J5418">
        <v>127</v>
      </c>
      <c r="K5418">
        <v>20941.100000000002</v>
      </c>
      <c r="L5418">
        <v>164.89</v>
      </c>
      <c r="M5418">
        <v>127</v>
      </c>
      <c r="N5418">
        <v>20941.100000000002</v>
      </c>
      <c r="O5418">
        <v>164.89</v>
      </c>
    </row>
    <row r="5419" spans="1:15" x14ac:dyDescent="0.35">
      <c r="A5419" t="s">
        <v>5959</v>
      </c>
      <c r="B5419" t="s">
        <v>5960</v>
      </c>
      <c r="C5419" t="s">
        <v>520</v>
      </c>
      <c r="D5419" t="s">
        <v>314</v>
      </c>
      <c r="E5419" t="s">
        <v>310</v>
      </c>
      <c r="F5419" t="s">
        <v>5978</v>
      </c>
      <c r="G5419">
        <v>0</v>
      </c>
      <c r="H5419">
        <v>0</v>
      </c>
      <c r="I5419">
        <v>0</v>
      </c>
      <c r="J5419">
        <v>127</v>
      </c>
      <c r="K5419">
        <v>20941.100000000002</v>
      </c>
      <c r="L5419">
        <v>164.89</v>
      </c>
      <c r="M5419">
        <v>127</v>
      </c>
      <c r="N5419">
        <v>20941.100000000002</v>
      </c>
      <c r="O5419">
        <v>164.89</v>
      </c>
    </row>
    <row r="5420" spans="1:15" x14ac:dyDescent="0.35">
      <c r="A5420" t="s">
        <v>5959</v>
      </c>
      <c r="B5420" t="s">
        <v>5960</v>
      </c>
      <c r="C5420" t="s">
        <v>520</v>
      </c>
      <c r="D5420" t="s">
        <v>323</v>
      </c>
      <c r="E5420" t="s">
        <v>294</v>
      </c>
      <c r="F5420" t="s">
        <v>5979</v>
      </c>
      <c r="G5420">
        <v>1264</v>
      </c>
      <c r="H5420">
        <v>108067.26000000001</v>
      </c>
      <c r="I5420">
        <v>85.5</v>
      </c>
      <c r="J5420">
        <v>0</v>
      </c>
      <c r="K5420">
        <v>0</v>
      </c>
      <c r="L5420">
        <v>0</v>
      </c>
      <c r="M5420">
        <v>1264</v>
      </c>
      <c r="N5420">
        <v>108067.26000000001</v>
      </c>
      <c r="O5420">
        <v>85.5</v>
      </c>
    </row>
    <row r="5421" spans="1:15" x14ac:dyDescent="0.35">
      <c r="A5421" t="s">
        <v>5959</v>
      </c>
      <c r="B5421" t="s">
        <v>5960</v>
      </c>
      <c r="C5421" t="s">
        <v>520</v>
      </c>
      <c r="D5421" t="s">
        <v>323</v>
      </c>
      <c r="E5421" t="s">
        <v>296</v>
      </c>
      <c r="F5421" t="s">
        <v>5980</v>
      </c>
      <c r="G5421">
        <v>1900</v>
      </c>
      <c r="H5421">
        <v>188164.78000000003</v>
      </c>
      <c r="I5421">
        <v>99.03</v>
      </c>
      <c r="J5421">
        <v>0</v>
      </c>
      <c r="K5421">
        <v>0</v>
      </c>
      <c r="L5421">
        <v>0</v>
      </c>
      <c r="M5421">
        <v>1900</v>
      </c>
      <c r="N5421">
        <v>188164.78000000003</v>
      </c>
      <c r="O5421">
        <v>99.03</v>
      </c>
    </row>
    <row r="5422" spans="1:15" x14ac:dyDescent="0.35">
      <c r="A5422" t="s">
        <v>5959</v>
      </c>
      <c r="B5422" t="s">
        <v>5960</v>
      </c>
      <c r="C5422" t="s">
        <v>520</v>
      </c>
      <c r="D5422" t="s">
        <v>323</v>
      </c>
      <c r="E5422" t="s">
        <v>298</v>
      </c>
      <c r="F5422" t="s">
        <v>5981</v>
      </c>
      <c r="G5422">
        <v>1751</v>
      </c>
      <c r="H5422">
        <v>193120.68000000002</v>
      </c>
      <c r="I5422">
        <v>110.29</v>
      </c>
      <c r="J5422">
        <v>0</v>
      </c>
      <c r="K5422">
        <v>0</v>
      </c>
      <c r="L5422">
        <v>0</v>
      </c>
      <c r="M5422">
        <v>1751</v>
      </c>
      <c r="N5422">
        <v>193120.68000000002</v>
      </c>
      <c r="O5422">
        <v>110.29</v>
      </c>
    </row>
    <row r="5423" spans="1:15" x14ac:dyDescent="0.35">
      <c r="A5423" t="s">
        <v>5959</v>
      </c>
      <c r="B5423" t="s">
        <v>5960</v>
      </c>
      <c r="C5423" t="s">
        <v>520</v>
      </c>
      <c r="D5423" t="s">
        <v>323</v>
      </c>
      <c r="E5423" t="s">
        <v>300</v>
      </c>
      <c r="F5423" t="s">
        <v>5982</v>
      </c>
      <c r="G5423">
        <v>103</v>
      </c>
      <c r="H5423">
        <v>12528.659999999998</v>
      </c>
      <c r="I5423">
        <v>121.64</v>
      </c>
      <c r="J5423">
        <v>0</v>
      </c>
      <c r="K5423">
        <v>0</v>
      </c>
      <c r="L5423">
        <v>0</v>
      </c>
      <c r="M5423">
        <v>103</v>
      </c>
      <c r="N5423">
        <v>12528.659999999998</v>
      </c>
      <c r="O5423">
        <v>121.64</v>
      </c>
    </row>
    <row r="5424" spans="1:15" x14ac:dyDescent="0.35">
      <c r="A5424" t="s">
        <v>5959</v>
      </c>
      <c r="B5424" t="s">
        <v>5960</v>
      </c>
      <c r="C5424" t="s">
        <v>520</v>
      </c>
      <c r="D5424" t="s">
        <v>323</v>
      </c>
      <c r="E5424" t="s">
        <v>302</v>
      </c>
      <c r="F5424" t="s">
        <v>5983</v>
      </c>
      <c r="G5424">
        <v>1</v>
      </c>
      <c r="H5424">
        <v>116.37</v>
      </c>
      <c r="I5424">
        <v>116.37</v>
      </c>
      <c r="J5424">
        <v>0</v>
      </c>
      <c r="K5424">
        <v>0</v>
      </c>
      <c r="L5424">
        <v>0</v>
      </c>
      <c r="M5424">
        <v>1</v>
      </c>
      <c r="N5424">
        <v>116.37</v>
      </c>
      <c r="O5424">
        <v>116.37</v>
      </c>
    </row>
    <row r="5425" spans="1:15" x14ac:dyDescent="0.35">
      <c r="A5425" t="s">
        <v>5959</v>
      </c>
      <c r="B5425" t="s">
        <v>5960</v>
      </c>
      <c r="C5425" t="s">
        <v>520</v>
      </c>
      <c r="D5425" t="s">
        <v>323</v>
      </c>
      <c r="E5425" t="s">
        <v>304</v>
      </c>
      <c r="F5425" t="s">
        <v>5984</v>
      </c>
      <c r="G5425">
        <v>1</v>
      </c>
      <c r="H5425">
        <v>127.53</v>
      </c>
      <c r="I5425">
        <v>127.53</v>
      </c>
      <c r="J5425">
        <v>0</v>
      </c>
      <c r="K5425">
        <v>0</v>
      </c>
      <c r="L5425">
        <v>0</v>
      </c>
      <c r="M5425">
        <v>1</v>
      </c>
      <c r="N5425">
        <v>127.53</v>
      </c>
      <c r="O5425">
        <v>127.53</v>
      </c>
    </row>
    <row r="5426" spans="1:15" x14ac:dyDescent="0.35">
      <c r="A5426" t="s">
        <v>5959</v>
      </c>
      <c r="B5426" t="s">
        <v>5960</v>
      </c>
      <c r="C5426" t="s">
        <v>520</v>
      </c>
      <c r="D5426" t="s">
        <v>323</v>
      </c>
      <c r="E5426" t="s">
        <v>306</v>
      </c>
      <c r="F5426" t="s">
        <v>5985</v>
      </c>
      <c r="G5426">
        <v>49</v>
      </c>
      <c r="H5426">
        <v>3543.89</v>
      </c>
      <c r="I5426">
        <v>72.319999999999993</v>
      </c>
      <c r="J5426">
        <v>0</v>
      </c>
      <c r="K5426">
        <v>0</v>
      </c>
      <c r="L5426">
        <v>0</v>
      </c>
      <c r="M5426">
        <v>49</v>
      </c>
      <c r="N5426">
        <v>3543.89</v>
      </c>
      <c r="O5426">
        <v>72.319999999999993</v>
      </c>
    </row>
    <row r="5427" spans="1:15" x14ac:dyDescent="0.35">
      <c r="A5427" t="s">
        <v>5959</v>
      </c>
      <c r="B5427" t="s">
        <v>5960</v>
      </c>
      <c r="C5427" t="s">
        <v>520</v>
      </c>
      <c r="D5427" t="s">
        <v>323</v>
      </c>
      <c r="E5427" t="s">
        <v>308</v>
      </c>
      <c r="F5427" t="s">
        <v>5986</v>
      </c>
      <c r="G5427">
        <v>0</v>
      </c>
      <c r="H5427">
        <v>0</v>
      </c>
      <c r="I5427">
        <v>0</v>
      </c>
      <c r="J5427">
        <v>0</v>
      </c>
      <c r="K5427">
        <v>0</v>
      </c>
      <c r="L5427">
        <v>0</v>
      </c>
      <c r="M5427">
        <v>0</v>
      </c>
      <c r="N5427">
        <v>0</v>
      </c>
      <c r="O5427">
        <v>0</v>
      </c>
    </row>
    <row r="5428" spans="1:15" x14ac:dyDescent="0.35">
      <c r="A5428" t="s">
        <v>5959</v>
      </c>
      <c r="B5428" t="s">
        <v>5960</v>
      </c>
      <c r="C5428" t="s">
        <v>520</v>
      </c>
      <c r="D5428" t="s">
        <v>323</v>
      </c>
      <c r="E5428" t="s">
        <v>310</v>
      </c>
      <c r="F5428" t="s">
        <v>5987</v>
      </c>
      <c r="G5428">
        <v>5069</v>
      </c>
      <c r="H5428">
        <v>505669.1700000001</v>
      </c>
      <c r="I5428">
        <v>99.76</v>
      </c>
      <c r="J5428">
        <v>0</v>
      </c>
      <c r="K5428">
        <v>0</v>
      </c>
      <c r="L5428">
        <v>0</v>
      </c>
      <c r="M5428">
        <v>5069</v>
      </c>
      <c r="N5428">
        <v>505669.1700000001</v>
      </c>
      <c r="O5428">
        <v>99.76</v>
      </c>
    </row>
    <row r="5429" spans="1:15" x14ac:dyDescent="0.35">
      <c r="A5429" t="s">
        <v>5959</v>
      </c>
      <c r="B5429" t="s">
        <v>5960</v>
      </c>
      <c r="C5429" t="s">
        <v>520</v>
      </c>
      <c r="D5429" t="s">
        <v>323</v>
      </c>
      <c r="E5429" t="s">
        <v>312</v>
      </c>
      <c r="F5429" t="s">
        <v>5988</v>
      </c>
      <c r="G5429">
        <v>5069</v>
      </c>
      <c r="H5429">
        <v>505669.1700000001</v>
      </c>
      <c r="I5429">
        <v>99.76</v>
      </c>
      <c r="J5429">
        <v>0</v>
      </c>
      <c r="K5429">
        <v>0</v>
      </c>
      <c r="L5429">
        <v>0</v>
      </c>
      <c r="M5429">
        <v>5069</v>
      </c>
      <c r="N5429">
        <v>505669.1700000001</v>
      </c>
      <c r="O5429">
        <v>99.76</v>
      </c>
    </row>
    <row r="5430" spans="1:15" x14ac:dyDescent="0.35">
      <c r="A5430" t="s">
        <v>5959</v>
      </c>
      <c r="B5430" t="s">
        <v>5960</v>
      </c>
      <c r="C5430" t="s">
        <v>520</v>
      </c>
      <c r="D5430" t="s">
        <v>334</v>
      </c>
      <c r="E5430" t="s">
        <v>312</v>
      </c>
      <c r="F5430" t="s">
        <v>5989</v>
      </c>
      <c r="G5430">
        <v>6136</v>
      </c>
      <c r="H5430">
        <v>633829.24000000011</v>
      </c>
      <c r="I5430">
        <v>104.11</v>
      </c>
      <c r="J5430">
        <v>32</v>
      </c>
      <c r="K5430">
        <v>4583.3499999999995</v>
      </c>
      <c r="L5430">
        <v>143.22999999999999</v>
      </c>
      <c r="M5430">
        <v>6168</v>
      </c>
      <c r="N5430">
        <v>638412.59000000008</v>
      </c>
      <c r="O5430">
        <v>104.32</v>
      </c>
    </row>
    <row r="5431" spans="1:15" x14ac:dyDescent="0.35">
      <c r="A5431" t="s">
        <v>5959</v>
      </c>
      <c r="B5431" t="s">
        <v>5960</v>
      </c>
      <c r="C5431" t="s">
        <v>520</v>
      </c>
      <c r="D5431" t="s">
        <v>334</v>
      </c>
      <c r="E5431" t="s">
        <v>308</v>
      </c>
      <c r="F5431" t="s">
        <v>5990</v>
      </c>
      <c r="G5431">
        <v>9</v>
      </c>
      <c r="H5431">
        <v>0</v>
      </c>
      <c r="I5431">
        <v>0</v>
      </c>
      <c r="J5431">
        <v>0</v>
      </c>
      <c r="K5431">
        <v>0</v>
      </c>
      <c r="L5431">
        <v>0</v>
      </c>
      <c r="M5431">
        <v>9</v>
      </c>
      <c r="N5431">
        <v>0</v>
      </c>
      <c r="O5431">
        <v>0</v>
      </c>
    </row>
    <row r="5432" spans="1:15" x14ac:dyDescent="0.35">
      <c r="A5432" t="s">
        <v>5959</v>
      </c>
      <c r="B5432" t="s">
        <v>5960</v>
      </c>
      <c r="C5432" t="s">
        <v>520</v>
      </c>
      <c r="D5432" t="s">
        <v>337</v>
      </c>
      <c r="E5432" t="s">
        <v>337</v>
      </c>
      <c r="F5432" t="s">
        <v>5991</v>
      </c>
      <c r="G5432">
        <v>386</v>
      </c>
      <c r="J5432">
        <v>0</v>
      </c>
      <c r="M5432">
        <v>386</v>
      </c>
    </row>
    <row r="5433" spans="1:15" x14ac:dyDescent="0.35">
      <c r="A5433" t="s">
        <v>5959</v>
      </c>
      <c r="B5433" t="s">
        <v>5960</v>
      </c>
      <c r="C5433" t="s">
        <v>520</v>
      </c>
      <c r="D5433" t="s">
        <v>339</v>
      </c>
      <c r="E5433" t="s">
        <v>294</v>
      </c>
      <c r="F5433" t="s">
        <v>5992</v>
      </c>
      <c r="G5433">
        <v>573</v>
      </c>
      <c r="H5433">
        <v>51447.579999999994</v>
      </c>
      <c r="I5433">
        <v>89.79</v>
      </c>
      <c r="J5433">
        <v>0</v>
      </c>
      <c r="K5433">
        <v>0</v>
      </c>
      <c r="L5433">
        <v>0</v>
      </c>
      <c r="M5433">
        <v>573</v>
      </c>
      <c r="N5433">
        <v>51447.579999999994</v>
      </c>
      <c r="O5433">
        <v>89.79</v>
      </c>
    </row>
    <row r="5434" spans="1:15" x14ac:dyDescent="0.35">
      <c r="A5434" t="s">
        <v>5959</v>
      </c>
      <c r="B5434" t="s">
        <v>5960</v>
      </c>
      <c r="C5434" t="s">
        <v>520</v>
      </c>
      <c r="D5434" t="s">
        <v>339</v>
      </c>
      <c r="E5434" t="s">
        <v>296</v>
      </c>
      <c r="F5434" t="s">
        <v>5993</v>
      </c>
      <c r="G5434">
        <v>74</v>
      </c>
      <c r="H5434">
        <v>8146.23</v>
      </c>
      <c r="I5434">
        <v>110.08</v>
      </c>
      <c r="J5434">
        <v>0</v>
      </c>
      <c r="K5434">
        <v>0</v>
      </c>
      <c r="L5434">
        <v>0</v>
      </c>
      <c r="M5434">
        <v>74</v>
      </c>
      <c r="N5434">
        <v>8146.23</v>
      </c>
      <c r="O5434">
        <v>110.08</v>
      </c>
    </row>
    <row r="5435" spans="1:15" x14ac:dyDescent="0.35">
      <c r="A5435" t="s">
        <v>5959</v>
      </c>
      <c r="B5435" t="s">
        <v>5960</v>
      </c>
      <c r="C5435" t="s">
        <v>520</v>
      </c>
      <c r="D5435" t="s">
        <v>339</v>
      </c>
      <c r="E5435" t="s">
        <v>298</v>
      </c>
      <c r="F5435" t="s">
        <v>5994</v>
      </c>
      <c r="G5435">
        <v>2</v>
      </c>
      <c r="H5435">
        <v>231.42</v>
      </c>
      <c r="I5435">
        <v>115.71</v>
      </c>
      <c r="J5435">
        <v>0</v>
      </c>
      <c r="K5435">
        <v>0</v>
      </c>
      <c r="L5435">
        <v>0</v>
      </c>
      <c r="M5435">
        <v>2</v>
      </c>
      <c r="N5435">
        <v>231.42</v>
      </c>
      <c r="O5435">
        <v>115.71</v>
      </c>
    </row>
    <row r="5436" spans="1:15" x14ac:dyDescent="0.35">
      <c r="A5436" t="s">
        <v>5959</v>
      </c>
      <c r="B5436" t="s">
        <v>5960</v>
      </c>
      <c r="C5436" t="s">
        <v>520</v>
      </c>
      <c r="D5436" t="s">
        <v>339</v>
      </c>
      <c r="E5436" t="s">
        <v>300</v>
      </c>
      <c r="F5436" t="s">
        <v>5995</v>
      </c>
      <c r="G5436">
        <v>2</v>
      </c>
      <c r="H5436">
        <v>476.49</v>
      </c>
      <c r="I5436">
        <v>238.25</v>
      </c>
      <c r="J5436">
        <v>0</v>
      </c>
      <c r="K5436">
        <v>0</v>
      </c>
      <c r="L5436">
        <v>0</v>
      </c>
      <c r="M5436">
        <v>2</v>
      </c>
      <c r="N5436">
        <v>476.49</v>
      </c>
      <c r="O5436">
        <v>238.25</v>
      </c>
    </row>
    <row r="5437" spans="1:15" x14ac:dyDescent="0.35">
      <c r="A5437" t="s">
        <v>5959</v>
      </c>
      <c r="B5437" t="s">
        <v>5960</v>
      </c>
      <c r="C5437" t="s">
        <v>520</v>
      </c>
      <c r="D5437" t="s">
        <v>339</v>
      </c>
      <c r="E5437" t="s">
        <v>306</v>
      </c>
      <c r="F5437" t="s">
        <v>5996</v>
      </c>
      <c r="G5437">
        <v>79</v>
      </c>
      <c r="H5437">
        <v>6504.130000000001</v>
      </c>
      <c r="I5437">
        <v>82.33</v>
      </c>
      <c r="J5437">
        <v>0</v>
      </c>
      <c r="K5437">
        <v>0</v>
      </c>
      <c r="L5437">
        <v>0</v>
      </c>
      <c r="M5437">
        <v>79</v>
      </c>
      <c r="N5437">
        <v>6504.130000000001</v>
      </c>
      <c r="O5437">
        <v>82.33</v>
      </c>
    </row>
    <row r="5438" spans="1:15" x14ac:dyDescent="0.35">
      <c r="A5438" t="s">
        <v>5959</v>
      </c>
      <c r="B5438" t="s">
        <v>5960</v>
      </c>
      <c r="C5438" t="s">
        <v>520</v>
      </c>
      <c r="D5438" t="s">
        <v>339</v>
      </c>
      <c r="E5438" t="s">
        <v>308</v>
      </c>
      <c r="F5438" t="s">
        <v>5997</v>
      </c>
      <c r="G5438">
        <v>133</v>
      </c>
      <c r="H5438">
        <v>24488.07</v>
      </c>
      <c r="I5438">
        <v>184.12</v>
      </c>
      <c r="J5438">
        <v>0</v>
      </c>
      <c r="K5438">
        <v>0</v>
      </c>
      <c r="L5438">
        <v>0</v>
      </c>
      <c r="M5438">
        <v>133</v>
      </c>
      <c r="N5438">
        <v>24488.07</v>
      </c>
      <c r="O5438">
        <v>184.12</v>
      </c>
    </row>
    <row r="5439" spans="1:15" x14ac:dyDescent="0.35">
      <c r="A5439" t="s">
        <v>5959</v>
      </c>
      <c r="B5439" t="s">
        <v>5960</v>
      </c>
      <c r="C5439" t="s">
        <v>520</v>
      </c>
      <c r="D5439" t="s">
        <v>339</v>
      </c>
      <c r="E5439" t="s">
        <v>310</v>
      </c>
      <c r="F5439" t="s">
        <v>5998</v>
      </c>
      <c r="G5439">
        <v>863</v>
      </c>
      <c r="H5439">
        <v>91293.919999999984</v>
      </c>
      <c r="I5439">
        <v>105.79</v>
      </c>
      <c r="J5439">
        <v>0</v>
      </c>
      <c r="K5439">
        <v>0</v>
      </c>
      <c r="L5439">
        <v>0</v>
      </c>
      <c r="M5439">
        <v>863</v>
      </c>
      <c r="N5439">
        <v>91293.919999999984</v>
      </c>
      <c r="O5439">
        <v>105.79</v>
      </c>
    </row>
    <row r="5440" spans="1:15" x14ac:dyDescent="0.35">
      <c r="A5440" t="s">
        <v>5959</v>
      </c>
      <c r="B5440" t="s">
        <v>5960</v>
      </c>
      <c r="C5440" t="s">
        <v>520</v>
      </c>
      <c r="D5440" t="s">
        <v>339</v>
      </c>
      <c r="E5440" t="s">
        <v>312</v>
      </c>
      <c r="F5440" t="s">
        <v>5999</v>
      </c>
      <c r="G5440">
        <v>730</v>
      </c>
      <c r="H5440">
        <v>66805.849999999991</v>
      </c>
      <c r="I5440">
        <v>91.51</v>
      </c>
      <c r="J5440">
        <v>0</v>
      </c>
      <c r="K5440">
        <v>0</v>
      </c>
      <c r="L5440">
        <v>0</v>
      </c>
      <c r="M5440">
        <v>730</v>
      </c>
      <c r="N5440">
        <v>66805.849999999991</v>
      </c>
      <c r="O5440">
        <v>91.51</v>
      </c>
    </row>
    <row r="5441" spans="1:15" x14ac:dyDescent="0.35">
      <c r="A5441" t="s">
        <v>5959</v>
      </c>
      <c r="B5441" t="s">
        <v>5960</v>
      </c>
      <c r="C5441" t="s">
        <v>520</v>
      </c>
      <c r="D5441" t="s">
        <v>348</v>
      </c>
      <c r="E5441" t="s">
        <v>349</v>
      </c>
      <c r="F5441" t="s">
        <v>6000</v>
      </c>
      <c r="G5441">
        <v>1049</v>
      </c>
      <c r="H5441">
        <v>91293.919999999984</v>
      </c>
      <c r="I5441">
        <v>105.79</v>
      </c>
      <c r="J5441">
        <v>127</v>
      </c>
      <c r="K5441">
        <v>20941.100000000002</v>
      </c>
      <c r="L5441">
        <v>164.89</v>
      </c>
      <c r="M5441">
        <v>1176</v>
      </c>
      <c r="N5441">
        <v>112235.01999999999</v>
      </c>
      <c r="O5441">
        <v>113.37</v>
      </c>
    </row>
    <row r="5442" spans="1:15" x14ac:dyDescent="0.35">
      <c r="A5442" t="s">
        <v>6001</v>
      </c>
      <c r="B5442" t="s">
        <v>6002</v>
      </c>
      <c r="C5442" t="s">
        <v>520</v>
      </c>
      <c r="D5442" t="s">
        <v>293</v>
      </c>
      <c r="E5442" t="s">
        <v>294</v>
      </c>
      <c r="F5442" t="s">
        <v>6003</v>
      </c>
      <c r="G5442">
        <v>115</v>
      </c>
      <c r="H5442">
        <v>11757.85</v>
      </c>
      <c r="I5442">
        <v>102.24</v>
      </c>
      <c r="J5442">
        <v>0</v>
      </c>
      <c r="K5442">
        <v>0</v>
      </c>
      <c r="L5442">
        <v>0</v>
      </c>
      <c r="M5442">
        <v>115</v>
      </c>
      <c r="N5442">
        <v>11757.85</v>
      </c>
      <c r="O5442">
        <v>102.24</v>
      </c>
    </row>
    <row r="5443" spans="1:15" x14ac:dyDescent="0.35">
      <c r="A5443" t="s">
        <v>6001</v>
      </c>
      <c r="B5443" t="s">
        <v>6002</v>
      </c>
      <c r="C5443" t="s">
        <v>520</v>
      </c>
      <c r="D5443" t="s">
        <v>293</v>
      </c>
      <c r="E5443" t="s">
        <v>296</v>
      </c>
      <c r="F5443" t="s">
        <v>6004</v>
      </c>
      <c r="G5443">
        <v>407</v>
      </c>
      <c r="H5443">
        <v>53253.56</v>
      </c>
      <c r="I5443">
        <v>130.84</v>
      </c>
      <c r="J5443">
        <v>0</v>
      </c>
      <c r="K5443">
        <v>0</v>
      </c>
      <c r="L5443">
        <v>0</v>
      </c>
      <c r="M5443">
        <v>407</v>
      </c>
      <c r="N5443">
        <v>53253.56</v>
      </c>
      <c r="O5443">
        <v>130.84</v>
      </c>
    </row>
    <row r="5444" spans="1:15" x14ac:dyDescent="0.35">
      <c r="A5444" t="s">
        <v>6001</v>
      </c>
      <c r="B5444" t="s">
        <v>6002</v>
      </c>
      <c r="C5444" t="s">
        <v>520</v>
      </c>
      <c r="D5444" t="s">
        <v>293</v>
      </c>
      <c r="E5444" t="s">
        <v>298</v>
      </c>
      <c r="F5444" t="s">
        <v>6005</v>
      </c>
      <c r="G5444">
        <v>285</v>
      </c>
      <c r="H5444">
        <v>42775.85</v>
      </c>
      <c r="I5444">
        <v>150.09</v>
      </c>
      <c r="J5444">
        <v>0</v>
      </c>
      <c r="K5444">
        <v>0</v>
      </c>
      <c r="L5444">
        <v>0</v>
      </c>
      <c r="M5444">
        <v>285</v>
      </c>
      <c r="N5444">
        <v>42775.85</v>
      </c>
      <c r="O5444">
        <v>150.09</v>
      </c>
    </row>
    <row r="5445" spans="1:15" x14ac:dyDescent="0.35">
      <c r="A5445" t="s">
        <v>6001</v>
      </c>
      <c r="B5445" t="s">
        <v>6002</v>
      </c>
      <c r="C5445" t="s">
        <v>520</v>
      </c>
      <c r="D5445" t="s">
        <v>293</v>
      </c>
      <c r="E5445" t="s">
        <v>300</v>
      </c>
      <c r="F5445" t="s">
        <v>6006</v>
      </c>
      <c r="G5445">
        <v>37</v>
      </c>
      <c r="H5445">
        <v>6666.1</v>
      </c>
      <c r="I5445">
        <v>180.16</v>
      </c>
      <c r="J5445">
        <v>0</v>
      </c>
      <c r="K5445">
        <v>0</v>
      </c>
      <c r="L5445">
        <v>0</v>
      </c>
      <c r="M5445">
        <v>37</v>
      </c>
      <c r="N5445">
        <v>6666.1</v>
      </c>
      <c r="O5445">
        <v>180.16</v>
      </c>
    </row>
    <row r="5446" spans="1:15" x14ac:dyDescent="0.35">
      <c r="A5446" t="s">
        <v>6001</v>
      </c>
      <c r="B5446" t="s">
        <v>6002</v>
      </c>
      <c r="C5446" t="s">
        <v>520</v>
      </c>
      <c r="D5446" t="s">
        <v>293</v>
      </c>
      <c r="E5446" t="s">
        <v>302</v>
      </c>
      <c r="F5446" t="s">
        <v>6007</v>
      </c>
      <c r="G5446">
        <v>1</v>
      </c>
      <c r="H5446">
        <v>148.35</v>
      </c>
      <c r="I5446">
        <v>148.35</v>
      </c>
      <c r="J5446">
        <v>0</v>
      </c>
      <c r="K5446">
        <v>0</v>
      </c>
      <c r="L5446">
        <v>0</v>
      </c>
      <c r="M5446">
        <v>1</v>
      </c>
      <c r="N5446">
        <v>148.35</v>
      </c>
      <c r="O5446">
        <v>148.35</v>
      </c>
    </row>
    <row r="5447" spans="1:15" x14ac:dyDescent="0.35">
      <c r="A5447" t="s">
        <v>6001</v>
      </c>
      <c r="B5447" t="s">
        <v>6002</v>
      </c>
      <c r="C5447" t="s">
        <v>520</v>
      </c>
      <c r="D5447" t="s">
        <v>293</v>
      </c>
      <c r="E5447" t="s">
        <v>304</v>
      </c>
      <c r="F5447" t="s">
        <v>6008</v>
      </c>
      <c r="G5447">
        <v>0</v>
      </c>
      <c r="H5447">
        <v>0</v>
      </c>
      <c r="I5447">
        <v>0</v>
      </c>
      <c r="J5447">
        <v>0</v>
      </c>
      <c r="K5447">
        <v>0</v>
      </c>
      <c r="L5447">
        <v>0</v>
      </c>
      <c r="M5447">
        <v>0</v>
      </c>
      <c r="N5447">
        <v>0</v>
      </c>
      <c r="O5447">
        <v>0</v>
      </c>
    </row>
    <row r="5448" spans="1:15" x14ac:dyDescent="0.35">
      <c r="A5448" t="s">
        <v>6001</v>
      </c>
      <c r="B5448" t="s">
        <v>6002</v>
      </c>
      <c r="C5448" t="s">
        <v>520</v>
      </c>
      <c r="D5448" t="s">
        <v>293</v>
      </c>
      <c r="E5448" t="s">
        <v>306</v>
      </c>
      <c r="F5448" t="s">
        <v>6009</v>
      </c>
      <c r="G5448">
        <v>0</v>
      </c>
      <c r="H5448">
        <v>0</v>
      </c>
      <c r="I5448">
        <v>0</v>
      </c>
      <c r="J5448">
        <v>0</v>
      </c>
      <c r="K5448">
        <v>0</v>
      </c>
      <c r="L5448">
        <v>0</v>
      </c>
      <c r="M5448">
        <v>0</v>
      </c>
      <c r="N5448">
        <v>0</v>
      </c>
      <c r="O5448">
        <v>0</v>
      </c>
    </row>
    <row r="5449" spans="1:15" x14ac:dyDescent="0.35">
      <c r="A5449" t="s">
        <v>6001</v>
      </c>
      <c r="B5449" t="s">
        <v>6002</v>
      </c>
      <c r="C5449" t="s">
        <v>520</v>
      </c>
      <c r="D5449" t="s">
        <v>293</v>
      </c>
      <c r="E5449" t="s">
        <v>308</v>
      </c>
      <c r="F5449" t="s">
        <v>6010</v>
      </c>
      <c r="G5449">
        <v>0</v>
      </c>
      <c r="H5449">
        <v>0</v>
      </c>
      <c r="I5449">
        <v>0</v>
      </c>
      <c r="J5449">
        <v>0</v>
      </c>
      <c r="K5449">
        <v>0</v>
      </c>
      <c r="L5449">
        <v>0</v>
      </c>
      <c r="M5449">
        <v>0</v>
      </c>
      <c r="N5449">
        <v>0</v>
      </c>
      <c r="O5449">
        <v>0</v>
      </c>
    </row>
    <row r="5450" spans="1:15" x14ac:dyDescent="0.35">
      <c r="A5450" t="s">
        <v>6001</v>
      </c>
      <c r="B5450" t="s">
        <v>6002</v>
      </c>
      <c r="C5450" t="s">
        <v>520</v>
      </c>
      <c r="D5450" t="s">
        <v>293</v>
      </c>
      <c r="E5450" t="s">
        <v>310</v>
      </c>
      <c r="F5450" t="s">
        <v>6011</v>
      </c>
      <c r="G5450">
        <v>845</v>
      </c>
      <c r="H5450">
        <v>114601.71</v>
      </c>
      <c r="I5450">
        <v>135.62</v>
      </c>
      <c r="J5450">
        <v>0</v>
      </c>
      <c r="K5450">
        <v>0</v>
      </c>
      <c r="L5450">
        <v>0</v>
      </c>
      <c r="M5450">
        <v>845</v>
      </c>
      <c r="N5450">
        <v>114601.71</v>
      </c>
      <c r="O5450">
        <v>135.62</v>
      </c>
    </row>
    <row r="5451" spans="1:15" x14ac:dyDescent="0.35">
      <c r="A5451" t="s">
        <v>6001</v>
      </c>
      <c r="B5451" t="s">
        <v>6002</v>
      </c>
      <c r="C5451" t="s">
        <v>520</v>
      </c>
      <c r="D5451" t="s">
        <v>293</v>
      </c>
      <c r="E5451" t="s">
        <v>312</v>
      </c>
      <c r="F5451" t="s">
        <v>6012</v>
      </c>
      <c r="G5451">
        <v>845</v>
      </c>
      <c r="H5451">
        <v>114601.71</v>
      </c>
      <c r="I5451">
        <v>135.62</v>
      </c>
      <c r="J5451">
        <v>0</v>
      </c>
      <c r="K5451">
        <v>0</v>
      </c>
      <c r="L5451">
        <v>0</v>
      </c>
      <c r="M5451">
        <v>845</v>
      </c>
      <c r="N5451">
        <v>114601.71</v>
      </c>
      <c r="O5451">
        <v>135.62</v>
      </c>
    </row>
    <row r="5452" spans="1:15" x14ac:dyDescent="0.35">
      <c r="A5452" t="s">
        <v>6001</v>
      </c>
      <c r="B5452" t="s">
        <v>6002</v>
      </c>
      <c r="C5452" t="s">
        <v>520</v>
      </c>
      <c r="D5452" t="s">
        <v>323</v>
      </c>
      <c r="E5452" t="s">
        <v>294</v>
      </c>
      <c r="F5452" t="s">
        <v>6013</v>
      </c>
      <c r="G5452">
        <v>340</v>
      </c>
      <c r="H5452">
        <v>31398.39</v>
      </c>
      <c r="I5452">
        <v>92.35</v>
      </c>
      <c r="J5452">
        <v>0</v>
      </c>
      <c r="K5452">
        <v>0</v>
      </c>
      <c r="L5452">
        <v>0</v>
      </c>
      <c r="M5452">
        <v>340</v>
      </c>
      <c r="N5452">
        <v>31398.39</v>
      </c>
      <c r="O5452">
        <v>92.35</v>
      </c>
    </row>
    <row r="5453" spans="1:15" x14ac:dyDescent="0.35">
      <c r="A5453" t="s">
        <v>6001</v>
      </c>
      <c r="B5453" t="s">
        <v>6002</v>
      </c>
      <c r="C5453" t="s">
        <v>520</v>
      </c>
      <c r="D5453" t="s">
        <v>323</v>
      </c>
      <c r="E5453" t="s">
        <v>296</v>
      </c>
      <c r="F5453" t="s">
        <v>6014</v>
      </c>
      <c r="G5453">
        <v>821</v>
      </c>
      <c r="H5453">
        <v>86357.43</v>
      </c>
      <c r="I5453">
        <v>105.19</v>
      </c>
      <c r="J5453">
        <v>0</v>
      </c>
      <c r="K5453">
        <v>0</v>
      </c>
      <c r="L5453">
        <v>0</v>
      </c>
      <c r="M5453">
        <v>821</v>
      </c>
      <c r="N5453">
        <v>86357.43</v>
      </c>
      <c r="O5453">
        <v>105.19</v>
      </c>
    </row>
    <row r="5454" spans="1:15" x14ac:dyDescent="0.35">
      <c r="A5454" t="s">
        <v>6001</v>
      </c>
      <c r="B5454" t="s">
        <v>6002</v>
      </c>
      <c r="C5454" t="s">
        <v>520</v>
      </c>
      <c r="D5454" t="s">
        <v>323</v>
      </c>
      <c r="E5454" t="s">
        <v>298</v>
      </c>
      <c r="F5454" t="s">
        <v>6015</v>
      </c>
      <c r="G5454">
        <v>634</v>
      </c>
      <c r="H5454">
        <v>73909.31</v>
      </c>
      <c r="I5454">
        <v>116.58</v>
      </c>
      <c r="J5454">
        <v>0</v>
      </c>
      <c r="K5454">
        <v>0</v>
      </c>
      <c r="L5454">
        <v>0</v>
      </c>
      <c r="M5454">
        <v>634</v>
      </c>
      <c r="N5454">
        <v>73909.31</v>
      </c>
      <c r="O5454">
        <v>116.58</v>
      </c>
    </row>
    <row r="5455" spans="1:15" x14ac:dyDescent="0.35">
      <c r="A5455" t="s">
        <v>6001</v>
      </c>
      <c r="B5455" t="s">
        <v>6002</v>
      </c>
      <c r="C5455" t="s">
        <v>520</v>
      </c>
      <c r="D5455" t="s">
        <v>323</v>
      </c>
      <c r="E5455" t="s">
        <v>300</v>
      </c>
      <c r="F5455" t="s">
        <v>6016</v>
      </c>
      <c r="G5455">
        <v>56</v>
      </c>
      <c r="H5455">
        <v>7028.99</v>
      </c>
      <c r="I5455">
        <v>125.52</v>
      </c>
      <c r="J5455">
        <v>0</v>
      </c>
      <c r="K5455">
        <v>0</v>
      </c>
      <c r="L5455">
        <v>0</v>
      </c>
      <c r="M5455">
        <v>56</v>
      </c>
      <c r="N5455">
        <v>7028.99</v>
      </c>
      <c r="O5455">
        <v>125.52</v>
      </c>
    </row>
    <row r="5456" spans="1:15" x14ac:dyDescent="0.35">
      <c r="A5456" t="s">
        <v>6001</v>
      </c>
      <c r="B5456" t="s">
        <v>6002</v>
      </c>
      <c r="C5456" t="s">
        <v>520</v>
      </c>
      <c r="D5456" t="s">
        <v>323</v>
      </c>
      <c r="E5456" t="s">
        <v>302</v>
      </c>
      <c r="F5456" t="s">
        <v>6017</v>
      </c>
      <c r="G5456">
        <v>2</v>
      </c>
      <c r="H5456">
        <v>294.82</v>
      </c>
      <c r="I5456">
        <v>147.41</v>
      </c>
      <c r="J5456">
        <v>0</v>
      </c>
      <c r="K5456">
        <v>0</v>
      </c>
      <c r="L5456">
        <v>0</v>
      </c>
      <c r="M5456">
        <v>2</v>
      </c>
      <c r="N5456">
        <v>294.82</v>
      </c>
      <c r="O5456">
        <v>147.41</v>
      </c>
    </row>
    <row r="5457" spans="1:15" x14ac:dyDescent="0.35">
      <c r="A5457" t="s">
        <v>6001</v>
      </c>
      <c r="B5457" t="s">
        <v>6002</v>
      </c>
      <c r="C5457" t="s">
        <v>520</v>
      </c>
      <c r="D5457" t="s">
        <v>323</v>
      </c>
      <c r="E5457" t="s">
        <v>304</v>
      </c>
      <c r="F5457" t="s">
        <v>6018</v>
      </c>
      <c r="G5457">
        <v>1</v>
      </c>
      <c r="H5457">
        <v>144.27000000000001</v>
      </c>
      <c r="I5457">
        <v>144.27000000000001</v>
      </c>
      <c r="J5457">
        <v>0</v>
      </c>
      <c r="K5457">
        <v>0</v>
      </c>
      <c r="L5457">
        <v>0</v>
      </c>
      <c r="M5457">
        <v>1</v>
      </c>
      <c r="N5457">
        <v>144.27000000000001</v>
      </c>
      <c r="O5457">
        <v>144.27000000000001</v>
      </c>
    </row>
    <row r="5458" spans="1:15" x14ac:dyDescent="0.35">
      <c r="A5458" t="s">
        <v>6001</v>
      </c>
      <c r="B5458" t="s">
        <v>6002</v>
      </c>
      <c r="C5458" t="s">
        <v>520</v>
      </c>
      <c r="D5458" t="s">
        <v>323</v>
      </c>
      <c r="E5458" t="s">
        <v>306</v>
      </c>
      <c r="F5458" t="s">
        <v>6019</v>
      </c>
      <c r="G5458">
        <v>0</v>
      </c>
      <c r="H5458">
        <v>0</v>
      </c>
      <c r="I5458">
        <v>0</v>
      </c>
      <c r="J5458">
        <v>0</v>
      </c>
      <c r="K5458">
        <v>0</v>
      </c>
      <c r="L5458">
        <v>0</v>
      </c>
      <c r="M5458">
        <v>0</v>
      </c>
      <c r="N5458">
        <v>0</v>
      </c>
      <c r="O5458">
        <v>0</v>
      </c>
    </row>
    <row r="5459" spans="1:15" x14ac:dyDescent="0.35">
      <c r="A5459" t="s">
        <v>6001</v>
      </c>
      <c r="B5459" t="s">
        <v>6002</v>
      </c>
      <c r="C5459" t="s">
        <v>520</v>
      </c>
      <c r="D5459" t="s">
        <v>323</v>
      </c>
      <c r="E5459" t="s">
        <v>308</v>
      </c>
      <c r="F5459" t="s">
        <v>6020</v>
      </c>
      <c r="G5459">
        <v>0</v>
      </c>
      <c r="H5459">
        <v>0</v>
      </c>
      <c r="I5459">
        <v>0</v>
      </c>
      <c r="J5459">
        <v>0</v>
      </c>
      <c r="K5459">
        <v>0</v>
      </c>
      <c r="L5459">
        <v>0</v>
      </c>
      <c r="M5459">
        <v>0</v>
      </c>
      <c r="N5459">
        <v>0</v>
      </c>
      <c r="O5459">
        <v>0</v>
      </c>
    </row>
    <row r="5460" spans="1:15" x14ac:dyDescent="0.35">
      <c r="A5460" t="s">
        <v>6001</v>
      </c>
      <c r="B5460" t="s">
        <v>6002</v>
      </c>
      <c r="C5460" t="s">
        <v>520</v>
      </c>
      <c r="D5460" t="s">
        <v>323</v>
      </c>
      <c r="E5460" t="s">
        <v>310</v>
      </c>
      <c r="F5460" t="s">
        <v>6021</v>
      </c>
      <c r="G5460">
        <v>1854</v>
      </c>
      <c r="H5460">
        <v>199133.21</v>
      </c>
      <c r="I5460">
        <v>107.41</v>
      </c>
      <c r="J5460">
        <v>0</v>
      </c>
      <c r="K5460">
        <v>0</v>
      </c>
      <c r="L5460">
        <v>0</v>
      </c>
      <c r="M5460">
        <v>1854</v>
      </c>
      <c r="N5460">
        <v>199133.21</v>
      </c>
      <c r="O5460">
        <v>107.41</v>
      </c>
    </row>
    <row r="5461" spans="1:15" x14ac:dyDescent="0.35">
      <c r="A5461" t="s">
        <v>6001</v>
      </c>
      <c r="B5461" t="s">
        <v>6002</v>
      </c>
      <c r="C5461" t="s">
        <v>520</v>
      </c>
      <c r="D5461" t="s">
        <v>323</v>
      </c>
      <c r="E5461" t="s">
        <v>312</v>
      </c>
      <c r="F5461" t="s">
        <v>6022</v>
      </c>
      <c r="G5461">
        <v>1854</v>
      </c>
      <c r="H5461">
        <v>199133.21</v>
      </c>
      <c r="I5461">
        <v>107.41</v>
      </c>
      <c r="J5461">
        <v>0</v>
      </c>
      <c r="K5461">
        <v>0</v>
      </c>
      <c r="L5461">
        <v>0</v>
      </c>
      <c r="M5461">
        <v>1854</v>
      </c>
      <c r="N5461">
        <v>199133.21</v>
      </c>
      <c r="O5461">
        <v>107.41</v>
      </c>
    </row>
    <row r="5462" spans="1:15" x14ac:dyDescent="0.35">
      <c r="A5462" t="s">
        <v>6001</v>
      </c>
      <c r="B5462" t="s">
        <v>6002</v>
      </c>
      <c r="C5462" t="s">
        <v>520</v>
      </c>
      <c r="D5462" t="s">
        <v>334</v>
      </c>
      <c r="E5462" t="s">
        <v>312</v>
      </c>
      <c r="F5462" t="s">
        <v>6023</v>
      </c>
      <c r="G5462">
        <v>2724</v>
      </c>
      <c r="H5462">
        <v>313734.92</v>
      </c>
      <c r="I5462">
        <v>116.24</v>
      </c>
      <c r="J5462">
        <v>0</v>
      </c>
      <c r="K5462">
        <v>0</v>
      </c>
      <c r="L5462">
        <v>0</v>
      </c>
      <c r="M5462">
        <v>2724</v>
      </c>
      <c r="N5462">
        <v>313734.92</v>
      </c>
      <c r="O5462">
        <v>116.24</v>
      </c>
    </row>
    <row r="5463" spans="1:15" x14ac:dyDescent="0.35">
      <c r="A5463" t="s">
        <v>6001</v>
      </c>
      <c r="B5463" t="s">
        <v>6002</v>
      </c>
      <c r="C5463" t="s">
        <v>520</v>
      </c>
      <c r="D5463" t="s">
        <v>334</v>
      </c>
      <c r="E5463" t="s">
        <v>308</v>
      </c>
      <c r="F5463" t="s">
        <v>6024</v>
      </c>
      <c r="G5463">
        <v>0</v>
      </c>
      <c r="H5463">
        <v>0</v>
      </c>
      <c r="I5463">
        <v>0</v>
      </c>
      <c r="J5463">
        <v>0</v>
      </c>
      <c r="K5463">
        <v>0</v>
      </c>
      <c r="L5463">
        <v>0</v>
      </c>
      <c r="M5463">
        <v>0</v>
      </c>
      <c r="N5463">
        <v>0</v>
      </c>
      <c r="O5463">
        <v>0</v>
      </c>
    </row>
    <row r="5464" spans="1:15" x14ac:dyDescent="0.35">
      <c r="A5464" t="s">
        <v>6001</v>
      </c>
      <c r="B5464" t="s">
        <v>6002</v>
      </c>
      <c r="C5464" t="s">
        <v>520</v>
      </c>
      <c r="D5464" t="s">
        <v>337</v>
      </c>
      <c r="E5464" t="s">
        <v>337</v>
      </c>
      <c r="F5464" t="s">
        <v>6025</v>
      </c>
      <c r="G5464">
        <v>343</v>
      </c>
      <c r="J5464">
        <v>0</v>
      </c>
      <c r="M5464">
        <v>343</v>
      </c>
    </row>
    <row r="5465" spans="1:15" x14ac:dyDescent="0.35">
      <c r="A5465" t="s">
        <v>6001</v>
      </c>
      <c r="B5465" t="s">
        <v>6002</v>
      </c>
      <c r="C5465" t="s">
        <v>520</v>
      </c>
      <c r="D5465" t="s">
        <v>339</v>
      </c>
      <c r="E5465" t="s">
        <v>294</v>
      </c>
      <c r="F5465" t="s">
        <v>6026</v>
      </c>
      <c r="G5465">
        <v>479</v>
      </c>
      <c r="H5465">
        <v>51417.21</v>
      </c>
      <c r="I5465">
        <v>107.34</v>
      </c>
      <c r="J5465">
        <v>0</v>
      </c>
      <c r="K5465">
        <v>0</v>
      </c>
      <c r="L5465">
        <v>0</v>
      </c>
      <c r="M5465">
        <v>479</v>
      </c>
      <c r="N5465">
        <v>51417.21</v>
      </c>
      <c r="O5465">
        <v>107.34</v>
      </c>
    </row>
    <row r="5466" spans="1:15" x14ac:dyDescent="0.35">
      <c r="A5466" t="s">
        <v>6001</v>
      </c>
      <c r="B5466" t="s">
        <v>6002</v>
      </c>
      <c r="C5466" t="s">
        <v>520</v>
      </c>
      <c r="D5466" t="s">
        <v>339</v>
      </c>
      <c r="E5466" t="s">
        <v>296</v>
      </c>
      <c r="F5466" t="s">
        <v>6027</v>
      </c>
      <c r="G5466">
        <v>39</v>
      </c>
      <c r="H5466">
        <v>4330.9399999999996</v>
      </c>
      <c r="I5466">
        <v>111.05</v>
      </c>
      <c r="J5466">
        <v>0</v>
      </c>
      <c r="K5466">
        <v>0</v>
      </c>
      <c r="L5466">
        <v>0</v>
      </c>
      <c r="M5466">
        <v>39</v>
      </c>
      <c r="N5466">
        <v>4330.9399999999996</v>
      </c>
      <c r="O5466">
        <v>111.05</v>
      </c>
    </row>
    <row r="5467" spans="1:15" x14ac:dyDescent="0.35">
      <c r="A5467" t="s">
        <v>6001</v>
      </c>
      <c r="B5467" t="s">
        <v>6002</v>
      </c>
      <c r="C5467" t="s">
        <v>520</v>
      </c>
      <c r="D5467" t="s">
        <v>339</v>
      </c>
      <c r="E5467" t="s">
        <v>298</v>
      </c>
      <c r="F5467" t="s">
        <v>6028</v>
      </c>
      <c r="G5467">
        <v>7</v>
      </c>
      <c r="H5467">
        <v>838.96</v>
      </c>
      <c r="I5467">
        <v>119.85</v>
      </c>
      <c r="J5467">
        <v>0</v>
      </c>
      <c r="K5467">
        <v>0</v>
      </c>
      <c r="L5467">
        <v>0</v>
      </c>
      <c r="M5467">
        <v>7</v>
      </c>
      <c r="N5467">
        <v>838.96</v>
      </c>
      <c r="O5467">
        <v>119.85</v>
      </c>
    </row>
    <row r="5468" spans="1:15" x14ac:dyDescent="0.35">
      <c r="A5468" t="s">
        <v>6001</v>
      </c>
      <c r="B5468" t="s">
        <v>6002</v>
      </c>
      <c r="C5468" t="s">
        <v>520</v>
      </c>
      <c r="D5468" t="s">
        <v>339</v>
      </c>
      <c r="E5468" t="s">
        <v>300</v>
      </c>
      <c r="F5468" t="s">
        <v>6029</v>
      </c>
      <c r="G5468">
        <v>0</v>
      </c>
      <c r="H5468">
        <v>0</v>
      </c>
      <c r="I5468">
        <v>0</v>
      </c>
      <c r="J5468">
        <v>0</v>
      </c>
      <c r="K5468">
        <v>0</v>
      </c>
      <c r="L5468">
        <v>0</v>
      </c>
      <c r="M5468">
        <v>0</v>
      </c>
      <c r="N5468">
        <v>0</v>
      </c>
      <c r="O5468">
        <v>0</v>
      </c>
    </row>
    <row r="5469" spans="1:15" x14ac:dyDescent="0.35">
      <c r="A5469" t="s">
        <v>6001</v>
      </c>
      <c r="B5469" t="s">
        <v>6002</v>
      </c>
      <c r="C5469" t="s">
        <v>520</v>
      </c>
      <c r="D5469" t="s">
        <v>339</v>
      </c>
      <c r="E5469" t="s">
        <v>306</v>
      </c>
      <c r="F5469" t="s">
        <v>6030</v>
      </c>
      <c r="G5469">
        <v>17</v>
      </c>
      <c r="H5469">
        <v>1693.34</v>
      </c>
      <c r="I5469">
        <v>99.61</v>
      </c>
      <c r="J5469">
        <v>0</v>
      </c>
      <c r="K5469">
        <v>0</v>
      </c>
      <c r="L5469">
        <v>0</v>
      </c>
      <c r="M5469">
        <v>17</v>
      </c>
      <c r="N5469">
        <v>1693.34</v>
      </c>
      <c r="O5469">
        <v>99.61</v>
      </c>
    </row>
    <row r="5470" spans="1:15" x14ac:dyDescent="0.35">
      <c r="A5470" t="s">
        <v>6001</v>
      </c>
      <c r="B5470" t="s">
        <v>6002</v>
      </c>
      <c r="C5470" t="s">
        <v>520</v>
      </c>
      <c r="D5470" t="s">
        <v>339</v>
      </c>
      <c r="E5470" t="s">
        <v>308</v>
      </c>
      <c r="F5470" t="s">
        <v>6031</v>
      </c>
      <c r="G5470">
        <v>45</v>
      </c>
      <c r="H5470">
        <v>6650.86</v>
      </c>
      <c r="I5470">
        <v>147.80000000000001</v>
      </c>
      <c r="J5470">
        <v>0</v>
      </c>
      <c r="K5470">
        <v>0</v>
      </c>
      <c r="L5470">
        <v>0</v>
      </c>
      <c r="M5470">
        <v>45</v>
      </c>
      <c r="N5470">
        <v>6650.86</v>
      </c>
      <c r="O5470">
        <v>147.80000000000001</v>
      </c>
    </row>
    <row r="5471" spans="1:15" x14ac:dyDescent="0.35">
      <c r="A5471" t="s">
        <v>6001</v>
      </c>
      <c r="B5471" t="s">
        <v>6002</v>
      </c>
      <c r="C5471" t="s">
        <v>520</v>
      </c>
      <c r="D5471" t="s">
        <v>339</v>
      </c>
      <c r="E5471" t="s">
        <v>310</v>
      </c>
      <c r="F5471" t="s">
        <v>6032</v>
      </c>
      <c r="G5471">
        <v>587</v>
      </c>
      <c r="H5471">
        <v>64931.31</v>
      </c>
      <c r="I5471">
        <v>110.62</v>
      </c>
      <c r="J5471">
        <v>0</v>
      </c>
      <c r="K5471">
        <v>0</v>
      </c>
      <c r="L5471">
        <v>0</v>
      </c>
      <c r="M5471">
        <v>587</v>
      </c>
      <c r="N5471">
        <v>64931.31</v>
      </c>
      <c r="O5471">
        <v>110.62</v>
      </c>
    </row>
    <row r="5472" spans="1:15" x14ac:dyDescent="0.35">
      <c r="A5472" t="s">
        <v>6001</v>
      </c>
      <c r="B5472" t="s">
        <v>6002</v>
      </c>
      <c r="C5472" t="s">
        <v>520</v>
      </c>
      <c r="D5472" t="s">
        <v>339</v>
      </c>
      <c r="E5472" t="s">
        <v>312</v>
      </c>
      <c r="F5472" t="s">
        <v>6033</v>
      </c>
      <c r="G5472">
        <v>542</v>
      </c>
      <c r="H5472">
        <v>58280.45</v>
      </c>
      <c r="I5472">
        <v>107.53</v>
      </c>
      <c r="J5472">
        <v>0</v>
      </c>
      <c r="K5472">
        <v>0</v>
      </c>
      <c r="L5472">
        <v>0</v>
      </c>
      <c r="M5472">
        <v>542</v>
      </c>
      <c r="N5472">
        <v>58280.45</v>
      </c>
      <c r="O5472">
        <v>107.53</v>
      </c>
    </row>
    <row r="5473" spans="1:15" x14ac:dyDescent="0.35">
      <c r="A5473" t="s">
        <v>6001</v>
      </c>
      <c r="B5473" t="s">
        <v>6002</v>
      </c>
      <c r="C5473" t="s">
        <v>520</v>
      </c>
      <c r="D5473" t="s">
        <v>348</v>
      </c>
      <c r="E5473" t="s">
        <v>349</v>
      </c>
      <c r="F5473" t="s">
        <v>6034</v>
      </c>
      <c r="G5473">
        <v>622</v>
      </c>
      <c r="H5473">
        <v>64931.31</v>
      </c>
      <c r="I5473">
        <v>110.62</v>
      </c>
      <c r="J5473">
        <v>0</v>
      </c>
      <c r="K5473">
        <v>0</v>
      </c>
      <c r="L5473">
        <v>0</v>
      </c>
      <c r="M5473">
        <v>622</v>
      </c>
      <c r="N5473">
        <v>64931.31</v>
      </c>
      <c r="O5473">
        <v>110.62</v>
      </c>
    </row>
    <row r="5474" spans="1:15" x14ac:dyDescent="0.35">
      <c r="A5474" t="s">
        <v>6035</v>
      </c>
      <c r="B5474" t="s">
        <v>6036</v>
      </c>
      <c r="C5474" t="s">
        <v>520</v>
      </c>
      <c r="D5474" t="s">
        <v>293</v>
      </c>
      <c r="E5474" t="s">
        <v>294</v>
      </c>
      <c r="F5474" t="s">
        <v>6037</v>
      </c>
      <c r="G5474">
        <v>33</v>
      </c>
      <c r="H5474">
        <v>3490.7400000000002</v>
      </c>
      <c r="I5474">
        <v>105.78</v>
      </c>
      <c r="J5474">
        <v>0</v>
      </c>
      <c r="K5474">
        <v>0</v>
      </c>
      <c r="L5474">
        <v>0</v>
      </c>
      <c r="M5474">
        <v>33</v>
      </c>
      <c r="N5474">
        <v>3490.7400000000002</v>
      </c>
      <c r="O5474">
        <v>105.78</v>
      </c>
    </row>
    <row r="5475" spans="1:15" x14ac:dyDescent="0.35">
      <c r="A5475" t="s">
        <v>6035</v>
      </c>
      <c r="B5475" t="s">
        <v>6036</v>
      </c>
      <c r="C5475" t="s">
        <v>520</v>
      </c>
      <c r="D5475" t="s">
        <v>293</v>
      </c>
      <c r="E5475" t="s">
        <v>296</v>
      </c>
      <c r="F5475" t="s">
        <v>6038</v>
      </c>
      <c r="G5475">
        <v>180</v>
      </c>
      <c r="H5475">
        <v>20643.269999999997</v>
      </c>
      <c r="I5475">
        <v>114.68</v>
      </c>
      <c r="J5475">
        <v>0</v>
      </c>
      <c r="K5475">
        <v>0</v>
      </c>
      <c r="L5475">
        <v>0</v>
      </c>
      <c r="M5475">
        <v>180</v>
      </c>
      <c r="N5475">
        <v>20643.269999999997</v>
      </c>
      <c r="O5475">
        <v>114.68</v>
      </c>
    </row>
    <row r="5476" spans="1:15" x14ac:dyDescent="0.35">
      <c r="A5476" t="s">
        <v>6035</v>
      </c>
      <c r="B5476" t="s">
        <v>6036</v>
      </c>
      <c r="C5476" t="s">
        <v>520</v>
      </c>
      <c r="D5476" t="s">
        <v>293</v>
      </c>
      <c r="E5476" t="s">
        <v>298</v>
      </c>
      <c r="F5476" t="s">
        <v>6039</v>
      </c>
      <c r="G5476">
        <v>116</v>
      </c>
      <c r="H5476">
        <v>15524.15</v>
      </c>
      <c r="I5476">
        <v>133.83000000000001</v>
      </c>
      <c r="J5476">
        <v>0</v>
      </c>
      <c r="K5476">
        <v>0</v>
      </c>
      <c r="L5476">
        <v>0</v>
      </c>
      <c r="M5476">
        <v>116</v>
      </c>
      <c r="N5476">
        <v>15524.15</v>
      </c>
      <c r="O5476">
        <v>133.83000000000001</v>
      </c>
    </row>
    <row r="5477" spans="1:15" x14ac:dyDescent="0.35">
      <c r="A5477" t="s">
        <v>6035</v>
      </c>
      <c r="B5477" t="s">
        <v>6036</v>
      </c>
      <c r="C5477" t="s">
        <v>520</v>
      </c>
      <c r="D5477" t="s">
        <v>293</v>
      </c>
      <c r="E5477" t="s">
        <v>300</v>
      </c>
      <c r="F5477" t="s">
        <v>6040</v>
      </c>
      <c r="G5477">
        <v>25</v>
      </c>
      <c r="H5477">
        <v>4201</v>
      </c>
      <c r="I5477">
        <v>168.04</v>
      </c>
      <c r="J5477">
        <v>0</v>
      </c>
      <c r="K5477">
        <v>0</v>
      </c>
      <c r="L5477">
        <v>0</v>
      </c>
      <c r="M5477">
        <v>25</v>
      </c>
      <c r="N5477">
        <v>4201</v>
      </c>
      <c r="O5477">
        <v>168.04</v>
      </c>
    </row>
    <row r="5478" spans="1:15" x14ac:dyDescent="0.35">
      <c r="A5478" t="s">
        <v>6035</v>
      </c>
      <c r="B5478" t="s">
        <v>6036</v>
      </c>
      <c r="C5478" t="s">
        <v>520</v>
      </c>
      <c r="D5478" t="s">
        <v>293</v>
      </c>
      <c r="E5478" t="s">
        <v>302</v>
      </c>
      <c r="F5478" t="s">
        <v>6041</v>
      </c>
      <c r="G5478">
        <v>0</v>
      </c>
      <c r="H5478">
        <v>0</v>
      </c>
      <c r="I5478">
        <v>0</v>
      </c>
      <c r="J5478">
        <v>0</v>
      </c>
      <c r="K5478">
        <v>0</v>
      </c>
      <c r="L5478">
        <v>0</v>
      </c>
      <c r="M5478">
        <v>0</v>
      </c>
      <c r="N5478">
        <v>0</v>
      </c>
      <c r="O5478">
        <v>0</v>
      </c>
    </row>
    <row r="5479" spans="1:15" x14ac:dyDescent="0.35">
      <c r="A5479" t="s">
        <v>6035</v>
      </c>
      <c r="B5479" t="s">
        <v>6036</v>
      </c>
      <c r="C5479" t="s">
        <v>520</v>
      </c>
      <c r="D5479" t="s">
        <v>293</v>
      </c>
      <c r="E5479" t="s">
        <v>304</v>
      </c>
      <c r="F5479" t="s">
        <v>6042</v>
      </c>
      <c r="G5479">
        <v>0</v>
      </c>
      <c r="H5479">
        <v>0</v>
      </c>
      <c r="I5479">
        <v>0</v>
      </c>
      <c r="J5479">
        <v>0</v>
      </c>
      <c r="K5479">
        <v>0</v>
      </c>
      <c r="L5479">
        <v>0</v>
      </c>
      <c r="M5479">
        <v>0</v>
      </c>
      <c r="N5479">
        <v>0</v>
      </c>
      <c r="O5479">
        <v>0</v>
      </c>
    </row>
    <row r="5480" spans="1:15" x14ac:dyDescent="0.35">
      <c r="A5480" t="s">
        <v>6035</v>
      </c>
      <c r="B5480" t="s">
        <v>6036</v>
      </c>
      <c r="C5480" t="s">
        <v>520</v>
      </c>
      <c r="D5480" t="s">
        <v>293</v>
      </c>
      <c r="E5480" t="s">
        <v>306</v>
      </c>
      <c r="F5480" t="s">
        <v>6043</v>
      </c>
      <c r="G5480">
        <v>0</v>
      </c>
      <c r="H5480">
        <v>0</v>
      </c>
      <c r="I5480">
        <v>0</v>
      </c>
      <c r="J5480">
        <v>0</v>
      </c>
      <c r="K5480">
        <v>0</v>
      </c>
      <c r="L5480">
        <v>0</v>
      </c>
      <c r="M5480">
        <v>0</v>
      </c>
      <c r="N5480">
        <v>0</v>
      </c>
      <c r="O5480">
        <v>0</v>
      </c>
    </row>
    <row r="5481" spans="1:15" x14ac:dyDescent="0.35">
      <c r="A5481" t="s">
        <v>6035</v>
      </c>
      <c r="B5481" t="s">
        <v>6036</v>
      </c>
      <c r="C5481" t="s">
        <v>520</v>
      </c>
      <c r="D5481" t="s">
        <v>293</v>
      </c>
      <c r="E5481" t="s">
        <v>308</v>
      </c>
      <c r="F5481" t="s">
        <v>6044</v>
      </c>
      <c r="G5481">
        <v>0</v>
      </c>
      <c r="H5481">
        <v>0</v>
      </c>
      <c r="I5481">
        <v>0</v>
      </c>
      <c r="J5481">
        <v>0</v>
      </c>
      <c r="K5481">
        <v>0</v>
      </c>
      <c r="L5481">
        <v>0</v>
      </c>
      <c r="M5481">
        <v>0</v>
      </c>
      <c r="N5481">
        <v>0</v>
      </c>
      <c r="O5481">
        <v>0</v>
      </c>
    </row>
    <row r="5482" spans="1:15" x14ac:dyDescent="0.35">
      <c r="A5482" t="s">
        <v>6035</v>
      </c>
      <c r="B5482" t="s">
        <v>6036</v>
      </c>
      <c r="C5482" t="s">
        <v>520</v>
      </c>
      <c r="D5482" t="s">
        <v>293</v>
      </c>
      <c r="E5482" t="s">
        <v>310</v>
      </c>
      <c r="F5482" t="s">
        <v>6045</v>
      </c>
      <c r="G5482">
        <v>354</v>
      </c>
      <c r="H5482">
        <v>43859.159999999996</v>
      </c>
      <c r="I5482">
        <v>123.9</v>
      </c>
      <c r="J5482">
        <v>0</v>
      </c>
      <c r="K5482">
        <v>0</v>
      </c>
      <c r="L5482">
        <v>0</v>
      </c>
      <c r="M5482">
        <v>354</v>
      </c>
      <c r="N5482">
        <v>43859.159999999996</v>
      </c>
      <c r="O5482">
        <v>123.9</v>
      </c>
    </row>
    <row r="5483" spans="1:15" x14ac:dyDescent="0.35">
      <c r="A5483" t="s">
        <v>6035</v>
      </c>
      <c r="B5483" t="s">
        <v>6036</v>
      </c>
      <c r="C5483" t="s">
        <v>520</v>
      </c>
      <c r="D5483" t="s">
        <v>293</v>
      </c>
      <c r="E5483" t="s">
        <v>312</v>
      </c>
      <c r="F5483" t="s">
        <v>6046</v>
      </c>
      <c r="G5483">
        <v>354</v>
      </c>
      <c r="H5483">
        <v>43859.159999999996</v>
      </c>
      <c r="I5483">
        <v>123.9</v>
      </c>
      <c r="J5483">
        <v>0</v>
      </c>
      <c r="K5483">
        <v>0</v>
      </c>
      <c r="L5483">
        <v>0</v>
      </c>
      <c r="M5483">
        <v>354</v>
      </c>
      <c r="N5483">
        <v>43859.159999999996</v>
      </c>
      <c r="O5483">
        <v>123.9</v>
      </c>
    </row>
    <row r="5484" spans="1:15" x14ac:dyDescent="0.35">
      <c r="A5484" t="s">
        <v>6035</v>
      </c>
      <c r="B5484" t="s">
        <v>6036</v>
      </c>
      <c r="C5484" t="s">
        <v>520</v>
      </c>
      <c r="D5484" t="s">
        <v>314</v>
      </c>
      <c r="E5484" t="s">
        <v>294</v>
      </c>
      <c r="F5484" t="s">
        <v>6047</v>
      </c>
      <c r="G5484">
        <v>10</v>
      </c>
      <c r="H5484">
        <v>3140.7</v>
      </c>
      <c r="I5484">
        <v>314.07</v>
      </c>
      <c r="J5484">
        <v>0</v>
      </c>
      <c r="K5484">
        <v>0</v>
      </c>
      <c r="L5484">
        <v>0</v>
      </c>
      <c r="M5484">
        <v>10</v>
      </c>
      <c r="N5484">
        <v>3140.7</v>
      </c>
      <c r="O5484">
        <v>314.07</v>
      </c>
    </row>
    <row r="5485" spans="1:15" x14ac:dyDescent="0.35">
      <c r="A5485" t="s">
        <v>6035</v>
      </c>
      <c r="B5485" t="s">
        <v>6036</v>
      </c>
      <c r="C5485" t="s">
        <v>520</v>
      </c>
      <c r="D5485" t="s">
        <v>314</v>
      </c>
      <c r="E5485" t="s">
        <v>296</v>
      </c>
      <c r="F5485" t="s">
        <v>6048</v>
      </c>
      <c r="G5485">
        <v>2</v>
      </c>
      <c r="H5485">
        <v>598.4</v>
      </c>
      <c r="I5485">
        <v>299.2</v>
      </c>
      <c r="J5485">
        <v>0</v>
      </c>
      <c r="K5485">
        <v>0</v>
      </c>
      <c r="L5485">
        <v>0</v>
      </c>
      <c r="M5485">
        <v>2</v>
      </c>
      <c r="N5485">
        <v>598.4</v>
      </c>
      <c r="O5485">
        <v>299.2</v>
      </c>
    </row>
    <row r="5486" spans="1:15" x14ac:dyDescent="0.35">
      <c r="A5486" t="s">
        <v>6035</v>
      </c>
      <c r="B5486" t="s">
        <v>6036</v>
      </c>
      <c r="C5486" t="s">
        <v>520</v>
      </c>
      <c r="D5486" t="s">
        <v>314</v>
      </c>
      <c r="E5486" t="s">
        <v>298</v>
      </c>
      <c r="F5486" t="s">
        <v>6049</v>
      </c>
      <c r="G5486">
        <v>1</v>
      </c>
      <c r="H5486">
        <v>450</v>
      </c>
      <c r="I5486">
        <v>450</v>
      </c>
      <c r="J5486">
        <v>0</v>
      </c>
      <c r="K5486">
        <v>0</v>
      </c>
      <c r="L5486">
        <v>0</v>
      </c>
      <c r="M5486">
        <v>1</v>
      </c>
      <c r="N5486">
        <v>450</v>
      </c>
      <c r="O5486">
        <v>450</v>
      </c>
    </row>
    <row r="5487" spans="1:15" x14ac:dyDescent="0.35">
      <c r="A5487" t="s">
        <v>6035</v>
      </c>
      <c r="B5487" t="s">
        <v>6036</v>
      </c>
      <c r="C5487" t="s">
        <v>520</v>
      </c>
      <c r="D5487" t="s">
        <v>314</v>
      </c>
      <c r="E5487" t="s">
        <v>300</v>
      </c>
      <c r="F5487" t="s">
        <v>6050</v>
      </c>
      <c r="G5487">
        <v>0</v>
      </c>
      <c r="H5487">
        <v>0</v>
      </c>
      <c r="I5487">
        <v>0</v>
      </c>
      <c r="J5487">
        <v>0</v>
      </c>
      <c r="K5487">
        <v>0</v>
      </c>
      <c r="L5487">
        <v>0</v>
      </c>
      <c r="M5487">
        <v>0</v>
      </c>
      <c r="N5487">
        <v>0</v>
      </c>
      <c r="O5487">
        <v>0</v>
      </c>
    </row>
    <row r="5488" spans="1:15" x14ac:dyDescent="0.35">
      <c r="A5488" t="s">
        <v>6035</v>
      </c>
      <c r="B5488" t="s">
        <v>6036</v>
      </c>
      <c r="C5488" t="s">
        <v>520</v>
      </c>
      <c r="D5488" t="s">
        <v>314</v>
      </c>
      <c r="E5488" t="s">
        <v>306</v>
      </c>
      <c r="F5488" t="s">
        <v>6051</v>
      </c>
      <c r="G5488">
        <v>0</v>
      </c>
      <c r="H5488">
        <v>0</v>
      </c>
      <c r="I5488">
        <v>0</v>
      </c>
      <c r="J5488">
        <v>0</v>
      </c>
      <c r="K5488">
        <v>0</v>
      </c>
      <c r="L5488">
        <v>0</v>
      </c>
      <c r="M5488">
        <v>0</v>
      </c>
      <c r="N5488">
        <v>0</v>
      </c>
      <c r="O5488">
        <v>0</v>
      </c>
    </row>
    <row r="5489" spans="1:15" x14ac:dyDescent="0.35">
      <c r="A5489" t="s">
        <v>6035</v>
      </c>
      <c r="B5489" t="s">
        <v>6036</v>
      </c>
      <c r="C5489" t="s">
        <v>520</v>
      </c>
      <c r="D5489" t="s">
        <v>314</v>
      </c>
      <c r="E5489" t="s">
        <v>308</v>
      </c>
      <c r="F5489" t="s">
        <v>6052</v>
      </c>
      <c r="G5489">
        <v>0</v>
      </c>
      <c r="H5489">
        <v>0</v>
      </c>
      <c r="I5489">
        <v>0</v>
      </c>
      <c r="J5489">
        <v>0</v>
      </c>
      <c r="K5489">
        <v>0</v>
      </c>
      <c r="L5489">
        <v>0</v>
      </c>
      <c r="M5489">
        <v>0</v>
      </c>
      <c r="N5489">
        <v>0</v>
      </c>
      <c r="O5489">
        <v>0</v>
      </c>
    </row>
    <row r="5490" spans="1:15" x14ac:dyDescent="0.35">
      <c r="A5490" t="s">
        <v>6035</v>
      </c>
      <c r="B5490" t="s">
        <v>6036</v>
      </c>
      <c r="C5490" t="s">
        <v>520</v>
      </c>
      <c r="D5490" t="s">
        <v>314</v>
      </c>
      <c r="E5490" t="s">
        <v>312</v>
      </c>
      <c r="F5490" t="s">
        <v>6053</v>
      </c>
      <c r="G5490">
        <v>13</v>
      </c>
      <c r="H5490">
        <v>4189.1000000000004</v>
      </c>
      <c r="I5490">
        <v>322.24</v>
      </c>
      <c r="J5490">
        <v>0</v>
      </c>
      <c r="K5490">
        <v>0</v>
      </c>
      <c r="L5490">
        <v>0</v>
      </c>
      <c r="M5490">
        <v>13</v>
      </c>
      <c r="N5490">
        <v>4189.1000000000004</v>
      </c>
      <c r="O5490">
        <v>322.24</v>
      </c>
    </row>
    <row r="5491" spans="1:15" x14ac:dyDescent="0.35">
      <c r="A5491" t="s">
        <v>6035</v>
      </c>
      <c r="B5491" t="s">
        <v>6036</v>
      </c>
      <c r="C5491" t="s">
        <v>520</v>
      </c>
      <c r="D5491" t="s">
        <v>314</v>
      </c>
      <c r="E5491" t="s">
        <v>310</v>
      </c>
      <c r="F5491" t="s">
        <v>6054</v>
      </c>
      <c r="G5491">
        <v>13</v>
      </c>
      <c r="H5491">
        <v>4189.1000000000004</v>
      </c>
      <c r="I5491">
        <v>322.24</v>
      </c>
      <c r="J5491">
        <v>0</v>
      </c>
      <c r="K5491">
        <v>0</v>
      </c>
      <c r="L5491">
        <v>0</v>
      </c>
      <c r="M5491">
        <v>13</v>
      </c>
      <c r="N5491">
        <v>4189.1000000000004</v>
      </c>
      <c r="O5491">
        <v>322.24</v>
      </c>
    </row>
    <row r="5492" spans="1:15" x14ac:dyDescent="0.35">
      <c r="A5492" t="s">
        <v>6035</v>
      </c>
      <c r="B5492" t="s">
        <v>6036</v>
      </c>
      <c r="C5492" t="s">
        <v>520</v>
      </c>
      <c r="D5492" t="s">
        <v>323</v>
      </c>
      <c r="E5492" t="s">
        <v>294</v>
      </c>
      <c r="F5492" t="s">
        <v>6055</v>
      </c>
      <c r="G5492">
        <v>504</v>
      </c>
      <c r="H5492">
        <v>41352.78</v>
      </c>
      <c r="I5492">
        <v>82.05</v>
      </c>
      <c r="J5492">
        <v>0</v>
      </c>
      <c r="K5492">
        <v>0</v>
      </c>
      <c r="L5492">
        <v>0</v>
      </c>
      <c r="M5492">
        <v>504</v>
      </c>
      <c r="N5492">
        <v>41352.78</v>
      </c>
      <c r="O5492">
        <v>82.05</v>
      </c>
    </row>
    <row r="5493" spans="1:15" x14ac:dyDescent="0.35">
      <c r="A5493" t="s">
        <v>6035</v>
      </c>
      <c r="B5493" t="s">
        <v>6036</v>
      </c>
      <c r="C5493" t="s">
        <v>520</v>
      </c>
      <c r="D5493" t="s">
        <v>323</v>
      </c>
      <c r="E5493" t="s">
        <v>296</v>
      </c>
      <c r="F5493" t="s">
        <v>6056</v>
      </c>
      <c r="G5493">
        <v>1392</v>
      </c>
      <c r="H5493">
        <v>129416.62999999999</v>
      </c>
      <c r="I5493">
        <v>92.97</v>
      </c>
      <c r="J5493">
        <v>0</v>
      </c>
      <c r="K5493">
        <v>0</v>
      </c>
      <c r="L5493">
        <v>0</v>
      </c>
      <c r="M5493">
        <v>1392</v>
      </c>
      <c r="N5493">
        <v>129416.62999999999</v>
      </c>
      <c r="O5493">
        <v>92.97</v>
      </c>
    </row>
    <row r="5494" spans="1:15" x14ac:dyDescent="0.35">
      <c r="A5494" t="s">
        <v>6035</v>
      </c>
      <c r="B5494" t="s">
        <v>6036</v>
      </c>
      <c r="C5494" t="s">
        <v>520</v>
      </c>
      <c r="D5494" t="s">
        <v>323</v>
      </c>
      <c r="E5494" t="s">
        <v>298</v>
      </c>
      <c r="F5494" t="s">
        <v>6057</v>
      </c>
      <c r="G5494">
        <v>882</v>
      </c>
      <c r="H5494">
        <v>90981.19</v>
      </c>
      <c r="I5494">
        <v>103.15</v>
      </c>
      <c r="J5494">
        <v>0</v>
      </c>
      <c r="K5494">
        <v>0</v>
      </c>
      <c r="L5494">
        <v>0</v>
      </c>
      <c r="M5494">
        <v>882</v>
      </c>
      <c r="N5494">
        <v>90981.19</v>
      </c>
      <c r="O5494">
        <v>103.15</v>
      </c>
    </row>
    <row r="5495" spans="1:15" x14ac:dyDescent="0.35">
      <c r="A5495" t="s">
        <v>6035</v>
      </c>
      <c r="B5495" t="s">
        <v>6036</v>
      </c>
      <c r="C5495" t="s">
        <v>520</v>
      </c>
      <c r="D5495" t="s">
        <v>323</v>
      </c>
      <c r="E5495" t="s">
        <v>300</v>
      </c>
      <c r="F5495" t="s">
        <v>6058</v>
      </c>
      <c r="G5495">
        <v>95</v>
      </c>
      <c r="H5495">
        <v>10914.72</v>
      </c>
      <c r="I5495">
        <v>114.89</v>
      </c>
      <c r="J5495">
        <v>0</v>
      </c>
      <c r="K5495">
        <v>0</v>
      </c>
      <c r="L5495">
        <v>0</v>
      </c>
      <c r="M5495">
        <v>95</v>
      </c>
      <c r="N5495">
        <v>10914.72</v>
      </c>
      <c r="O5495">
        <v>114.89</v>
      </c>
    </row>
    <row r="5496" spans="1:15" x14ac:dyDescent="0.35">
      <c r="A5496" t="s">
        <v>6035</v>
      </c>
      <c r="B5496" t="s">
        <v>6036</v>
      </c>
      <c r="C5496" t="s">
        <v>520</v>
      </c>
      <c r="D5496" t="s">
        <v>323</v>
      </c>
      <c r="E5496" t="s">
        <v>302</v>
      </c>
      <c r="F5496" t="s">
        <v>6059</v>
      </c>
      <c r="G5496">
        <v>4</v>
      </c>
      <c r="H5496">
        <v>535.09999999999991</v>
      </c>
      <c r="I5496">
        <v>133.78</v>
      </c>
      <c r="J5496">
        <v>0</v>
      </c>
      <c r="K5496">
        <v>0</v>
      </c>
      <c r="L5496">
        <v>0</v>
      </c>
      <c r="M5496">
        <v>4</v>
      </c>
      <c r="N5496">
        <v>535.09999999999991</v>
      </c>
      <c r="O5496">
        <v>133.78</v>
      </c>
    </row>
    <row r="5497" spans="1:15" x14ac:dyDescent="0.35">
      <c r="A5497" t="s">
        <v>6035</v>
      </c>
      <c r="B5497" t="s">
        <v>6036</v>
      </c>
      <c r="C5497" t="s">
        <v>520</v>
      </c>
      <c r="D5497" t="s">
        <v>323</v>
      </c>
      <c r="E5497" t="s">
        <v>304</v>
      </c>
      <c r="F5497" t="s">
        <v>6060</v>
      </c>
      <c r="G5497">
        <v>1</v>
      </c>
      <c r="H5497">
        <v>122.78</v>
      </c>
      <c r="I5497">
        <v>122.78</v>
      </c>
      <c r="J5497">
        <v>0</v>
      </c>
      <c r="K5497">
        <v>0</v>
      </c>
      <c r="L5497">
        <v>0</v>
      </c>
      <c r="M5497">
        <v>1</v>
      </c>
      <c r="N5497">
        <v>122.78</v>
      </c>
      <c r="O5497">
        <v>122.78</v>
      </c>
    </row>
    <row r="5498" spans="1:15" x14ac:dyDescent="0.35">
      <c r="A5498" t="s">
        <v>6035</v>
      </c>
      <c r="B5498" t="s">
        <v>6036</v>
      </c>
      <c r="C5498" t="s">
        <v>520</v>
      </c>
      <c r="D5498" t="s">
        <v>323</v>
      </c>
      <c r="E5498" t="s">
        <v>306</v>
      </c>
      <c r="F5498" t="s">
        <v>6061</v>
      </c>
      <c r="G5498">
        <v>2</v>
      </c>
      <c r="H5498">
        <v>140.61000000000001</v>
      </c>
      <c r="I5498">
        <v>70.31</v>
      </c>
      <c r="J5498">
        <v>0</v>
      </c>
      <c r="K5498">
        <v>0</v>
      </c>
      <c r="L5498">
        <v>0</v>
      </c>
      <c r="M5498">
        <v>2</v>
      </c>
      <c r="N5498">
        <v>140.61000000000001</v>
      </c>
      <c r="O5498">
        <v>70.31</v>
      </c>
    </row>
    <row r="5499" spans="1:15" x14ac:dyDescent="0.35">
      <c r="A5499" t="s">
        <v>6035</v>
      </c>
      <c r="B5499" t="s">
        <v>6036</v>
      </c>
      <c r="C5499" t="s">
        <v>520</v>
      </c>
      <c r="D5499" t="s">
        <v>323</v>
      </c>
      <c r="E5499" t="s">
        <v>308</v>
      </c>
      <c r="F5499" t="s">
        <v>6062</v>
      </c>
      <c r="G5499">
        <v>0</v>
      </c>
      <c r="H5499">
        <v>0</v>
      </c>
      <c r="I5499">
        <v>0</v>
      </c>
      <c r="J5499">
        <v>0</v>
      </c>
      <c r="K5499">
        <v>0</v>
      </c>
      <c r="L5499">
        <v>0</v>
      </c>
      <c r="M5499">
        <v>0</v>
      </c>
      <c r="N5499">
        <v>0</v>
      </c>
      <c r="O5499">
        <v>0</v>
      </c>
    </row>
    <row r="5500" spans="1:15" x14ac:dyDescent="0.35">
      <c r="A5500" t="s">
        <v>6035</v>
      </c>
      <c r="B5500" t="s">
        <v>6036</v>
      </c>
      <c r="C5500" t="s">
        <v>520</v>
      </c>
      <c r="D5500" t="s">
        <v>323</v>
      </c>
      <c r="E5500" t="s">
        <v>310</v>
      </c>
      <c r="F5500" t="s">
        <v>6063</v>
      </c>
      <c r="G5500">
        <v>2880</v>
      </c>
      <c r="H5500">
        <v>273463.80999999994</v>
      </c>
      <c r="I5500">
        <v>94.95</v>
      </c>
      <c r="J5500">
        <v>0</v>
      </c>
      <c r="K5500">
        <v>0</v>
      </c>
      <c r="L5500">
        <v>0</v>
      </c>
      <c r="M5500">
        <v>2880</v>
      </c>
      <c r="N5500">
        <v>273463.80999999994</v>
      </c>
      <c r="O5500">
        <v>94.95</v>
      </c>
    </row>
    <row r="5501" spans="1:15" x14ac:dyDescent="0.35">
      <c r="A5501" t="s">
        <v>6035</v>
      </c>
      <c r="B5501" t="s">
        <v>6036</v>
      </c>
      <c r="C5501" t="s">
        <v>520</v>
      </c>
      <c r="D5501" t="s">
        <v>323</v>
      </c>
      <c r="E5501" t="s">
        <v>312</v>
      </c>
      <c r="F5501" t="s">
        <v>6064</v>
      </c>
      <c r="G5501">
        <v>2880</v>
      </c>
      <c r="H5501">
        <v>273463.80999999994</v>
      </c>
      <c r="I5501">
        <v>94.95</v>
      </c>
      <c r="J5501">
        <v>0</v>
      </c>
      <c r="K5501">
        <v>0</v>
      </c>
      <c r="L5501">
        <v>0</v>
      </c>
      <c r="M5501">
        <v>2880</v>
      </c>
      <c r="N5501">
        <v>273463.80999999994</v>
      </c>
      <c r="O5501">
        <v>94.95</v>
      </c>
    </row>
    <row r="5502" spans="1:15" x14ac:dyDescent="0.35">
      <c r="A5502" t="s">
        <v>6035</v>
      </c>
      <c r="B5502" t="s">
        <v>6036</v>
      </c>
      <c r="C5502" t="s">
        <v>520</v>
      </c>
      <c r="D5502" t="s">
        <v>334</v>
      </c>
      <c r="E5502" t="s">
        <v>312</v>
      </c>
      <c r="F5502" t="s">
        <v>6065</v>
      </c>
      <c r="G5502">
        <v>3249</v>
      </c>
      <c r="H5502">
        <v>317322.96999999997</v>
      </c>
      <c r="I5502">
        <v>98.12</v>
      </c>
      <c r="J5502">
        <v>0</v>
      </c>
      <c r="K5502">
        <v>0</v>
      </c>
      <c r="L5502">
        <v>0</v>
      </c>
      <c r="M5502">
        <v>3249</v>
      </c>
      <c r="N5502">
        <v>317322.96999999997</v>
      </c>
      <c r="O5502">
        <v>98.12</v>
      </c>
    </row>
    <row r="5503" spans="1:15" x14ac:dyDescent="0.35">
      <c r="A5503" t="s">
        <v>6035</v>
      </c>
      <c r="B5503" t="s">
        <v>6036</v>
      </c>
      <c r="C5503" t="s">
        <v>520</v>
      </c>
      <c r="D5503" t="s">
        <v>334</v>
      </c>
      <c r="E5503" t="s">
        <v>308</v>
      </c>
      <c r="F5503" t="s">
        <v>6066</v>
      </c>
      <c r="G5503">
        <v>0</v>
      </c>
      <c r="H5503">
        <v>0</v>
      </c>
      <c r="I5503">
        <v>0</v>
      </c>
      <c r="J5503">
        <v>0</v>
      </c>
      <c r="K5503">
        <v>0</v>
      </c>
      <c r="L5503">
        <v>0</v>
      </c>
      <c r="M5503">
        <v>0</v>
      </c>
      <c r="N5503">
        <v>0</v>
      </c>
      <c r="O5503">
        <v>0</v>
      </c>
    </row>
    <row r="5504" spans="1:15" x14ac:dyDescent="0.35">
      <c r="A5504" t="s">
        <v>6035</v>
      </c>
      <c r="B5504" t="s">
        <v>6036</v>
      </c>
      <c r="C5504" t="s">
        <v>520</v>
      </c>
      <c r="D5504" t="s">
        <v>337</v>
      </c>
      <c r="E5504" t="s">
        <v>337</v>
      </c>
      <c r="F5504" t="s">
        <v>6067</v>
      </c>
      <c r="G5504">
        <v>112</v>
      </c>
      <c r="J5504">
        <v>0</v>
      </c>
      <c r="M5504">
        <v>112</v>
      </c>
    </row>
    <row r="5505" spans="1:15" x14ac:dyDescent="0.35">
      <c r="A5505" t="s">
        <v>6035</v>
      </c>
      <c r="B5505" t="s">
        <v>6036</v>
      </c>
      <c r="C5505" t="s">
        <v>520</v>
      </c>
      <c r="D5505" t="s">
        <v>339</v>
      </c>
      <c r="E5505" t="s">
        <v>294</v>
      </c>
      <c r="F5505" t="s">
        <v>6068</v>
      </c>
      <c r="G5505">
        <v>1466</v>
      </c>
      <c r="H5505">
        <v>134618.41</v>
      </c>
      <c r="I5505">
        <v>91.83</v>
      </c>
      <c r="J5505">
        <v>0</v>
      </c>
      <c r="K5505">
        <v>0</v>
      </c>
      <c r="L5505">
        <v>0</v>
      </c>
      <c r="M5505">
        <v>1466</v>
      </c>
      <c r="N5505">
        <v>134618.41</v>
      </c>
      <c r="O5505">
        <v>91.83</v>
      </c>
    </row>
    <row r="5506" spans="1:15" x14ac:dyDescent="0.35">
      <c r="A5506" t="s">
        <v>6035</v>
      </c>
      <c r="B5506" t="s">
        <v>6036</v>
      </c>
      <c r="C5506" t="s">
        <v>520</v>
      </c>
      <c r="D5506" t="s">
        <v>339</v>
      </c>
      <c r="E5506" t="s">
        <v>296</v>
      </c>
      <c r="F5506" t="s">
        <v>6069</v>
      </c>
      <c r="G5506">
        <v>48</v>
      </c>
      <c r="H5506">
        <v>4491.34</v>
      </c>
      <c r="I5506">
        <v>93.57</v>
      </c>
      <c r="J5506">
        <v>0</v>
      </c>
      <c r="K5506">
        <v>0</v>
      </c>
      <c r="L5506">
        <v>0</v>
      </c>
      <c r="M5506">
        <v>48</v>
      </c>
      <c r="N5506">
        <v>4491.34</v>
      </c>
      <c r="O5506">
        <v>93.57</v>
      </c>
    </row>
    <row r="5507" spans="1:15" x14ac:dyDescent="0.35">
      <c r="A5507" t="s">
        <v>6035</v>
      </c>
      <c r="B5507" t="s">
        <v>6036</v>
      </c>
      <c r="C5507" t="s">
        <v>520</v>
      </c>
      <c r="D5507" t="s">
        <v>339</v>
      </c>
      <c r="E5507" t="s">
        <v>298</v>
      </c>
      <c r="F5507" t="s">
        <v>6070</v>
      </c>
      <c r="G5507">
        <v>9</v>
      </c>
      <c r="H5507">
        <v>1660.9499999999998</v>
      </c>
      <c r="I5507">
        <v>184.55</v>
      </c>
      <c r="J5507">
        <v>0</v>
      </c>
      <c r="K5507">
        <v>0</v>
      </c>
      <c r="L5507">
        <v>0</v>
      </c>
      <c r="M5507">
        <v>9</v>
      </c>
      <c r="N5507">
        <v>1660.9499999999998</v>
      </c>
      <c r="O5507">
        <v>184.55</v>
      </c>
    </row>
    <row r="5508" spans="1:15" x14ac:dyDescent="0.35">
      <c r="A5508" t="s">
        <v>6035</v>
      </c>
      <c r="B5508" t="s">
        <v>6036</v>
      </c>
      <c r="C5508" t="s">
        <v>520</v>
      </c>
      <c r="D5508" t="s">
        <v>339</v>
      </c>
      <c r="E5508" t="s">
        <v>300</v>
      </c>
      <c r="F5508" t="s">
        <v>6071</v>
      </c>
      <c r="G5508">
        <v>0</v>
      </c>
      <c r="H5508">
        <v>0</v>
      </c>
      <c r="I5508">
        <v>0</v>
      </c>
      <c r="J5508">
        <v>0</v>
      </c>
      <c r="K5508">
        <v>0</v>
      </c>
      <c r="L5508">
        <v>0</v>
      </c>
      <c r="M5508">
        <v>0</v>
      </c>
      <c r="N5508">
        <v>0</v>
      </c>
      <c r="O5508">
        <v>0</v>
      </c>
    </row>
    <row r="5509" spans="1:15" x14ac:dyDescent="0.35">
      <c r="A5509" t="s">
        <v>6035</v>
      </c>
      <c r="B5509" t="s">
        <v>6036</v>
      </c>
      <c r="C5509" t="s">
        <v>520</v>
      </c>
      <c r="D5509" t="s">
        <v>339</v>
      </c>
      <c r="E5509" t="s">
        <v>306</v>
      </c>
      <c r="F5509" t="s">
        <v>6072</v>
      </c>
      <c r="G5509">
        <v>83</v>
      </c>
      <c r="H5509">
        <v>6362.04</v>
      </c>
      <c r="I5509">
        <v>76.650000000000006</v>
      </c>
      <c r="J5509">
        <v>0</v>
      </c>
      <c r="K5509">
        <v>0</v>
      </c>
      <c r="L5509">
        <v>0</v>
      </c>
      <c r="M5509">
        <v>83</v>
      </c>
      <c r="N5509">
        <v>6362.04</v>
      </c>
      <c r="O5509">
        <v>76.650000000000006</v>
      </c>
    </row>
    <row r="5510" spans="1:15" x14ac:dyDescent="0.35">
      <c r="A5510" t="s">
        <v>6035</v>
      </c>
      <c r="B5510" t="s">
        <v>6036</v>
      </c>
      <c r="C5510" t="s">
        <v>520</v>
      </c>
      <c r="D5510" t="s">
        <v>339</v>
      </c>
      <c r="E5510" t="s">
        <v>308</v>
      </c>
      <c r="F5510" t="s">
        <v>6073</v>
      </c>
      <c r="G5510">
        <v>108</v>
      </c>
      <c r="H5510">
        <v>17518.710000000003</v>
      </c>
      <c r="I5510">
        <v>162.21</v>
      </c>
      <c r="J5510">
        <v>0</v>
      </c>
      <c r="K5510">
        <v>0</v>
      </c>
      <c r="L5510">
        <v>0</v>
      </c>
      <c r="M5510">
        <v>108</v>
      </c>
      <c r="N5510">
        <v>17518.710000000003</v>
      </c>
      <c r="O5510">
        <v>162.21</v>
      </c>
    </row>
    <row r="5511" spans="1:15" x14ac:dyDescent="0.35">
      <c r="A5511" t="s">
        <v>6035</v>
      </c>
      <c r="B5511" t="s">
        <v>6036</v>
      </c>
      <c r="C5511" t="s">
        <v>520</v>
      </c>
      <c r="D5511" t="s">
        <v>339</v>
      </c>
      <c r="E5511" t="s">
        <v>310</v>
      </c>
      <c r="F5511" t="s">
        <v>6074</v>
      </c>
      <c r="G5511">
        <v>1714</v>
      </c>
      <c r="H5511">
        <v>164651.45000000001</v>
      </c>
      <c r="I5511">
        <v>96.06</v>
      </c>
      <c r="J5511">
        <v>0</v>
      </c>
      <c r="K5511">
        <v>0</v>
      </c>
      <c r="L5511">
        <v>0</v>
      </c>
      <c r="M5511">
        <v>1714</v>
      </c>
      <c r="N5511">
        <v>164651.45000000001</v>
      </c>
      <c r="O5511">
        <v>96.06</v>
      </c>
    </row>
    <row r="5512" spans="1:15" x14ac:dyDescent="0.35">
      <c r="A5512" t="s">
        <v>6035</v>
      </c>
      <c r="B5512" t="s">
        <v>6036</v>
      </c>
      <c r="C5512" t="s">
        <v>520</v>
      </c>
      <c r="D5512" t="s">
        <v>339</v>
      </c>
      <c r="E5512" t="s">
        <v>312</v>
      </c>
      <c r="F5512" t="s">
        <v>6075</v>
      </c>
      <c r="G5512">
        <v>1606</v>
      </c>
      <c r="H5512">
        <v>147132.74000000002</v>
      </c>
      <c r="I5512">
        <v>91.61</v>
      </c>
      <c r="J5512">
        <v>0</v>
      </c>
      <c r="K5512">
        <v>0</v>
      </c>
      <c r="L5512">
        <v>0</v>
      </c>
      <c r="M5512">
        <v>1606</v>
      </c>
      <c r="N5512">
        <v>147132.74000000002</v>
      </c>
      <c r="O5512">
        <v>91.61</v>
      </c>
    </row>
    <row r="5513" spans="1:15" x14ac:dyDescent="0.35">
      <c r="A5513" t="s">
        <v>6035</v>
      </c>
      <c r="B5513" t="s">
        <v>6036</v>
      </c>
      <c r="C5513" t="s">
        <v>520</v>
      </c>
      <c r="D5513" t="s">
        <v>348</v>
      </c>
      <c r="E5513" t="s">
        <v>349</v>
      </c>
      <c r="F5513" t="s">
        <v>6076</v>
      </c>
      <c r="G5513">
        <v>1862</v>
      </c>
      <c r="H5513">
        <v>168840.55000000002</v>
      </c>
      <c r="I5513">
        <v>97.77</v>
      </c>
      <c r="J5513">
        <v>0</v>
      </c>
      <c r="K5513">
        <v>0</v>
      </c>
      <c r="L5513">
        <v>0</v>
      </c>
      <c r="M5513">
        <v>1862</v>
      </c>
      <c r="N5513">
        <v>168840.55000000002</v>
      </c>
      <c r="O5513">
        <v>97.77</v>
      </c>
    </row>
    <row r="5514" spans="1:15" x14ac:dyDescent="0.35">
      <c r="A5514" t="s">
        <v>6077</v>
      </c>
      <c r="B5514" t="s">
        <v>6078</v>
      </c>
      <c r="C5514" t="s">
        <v>520</v>
      </c>
      <c r="D5514" t="s">
        <v>293</v>
      </c>
      <c r="E5514" t="s">
        <v>294</v>
      </c>
      <c r="F5514" t="s">
        <v>6079</v>
      </c>
      <c r="G5514">
        <v>191</v>
      </c>
      <c r="H5514">
        <v>20393.39</v>
      </c>
      <c r="I5514">
        <v>106.77</v>
      </c>
      <c r="J5514">
        <v>0</v>
      </c>
      <c r="K5514">
        <v>0</v>
      </c>
      <c r="L5514">
        <v>0</v>
      </c>
      <c r="M5514">
        <v>191</v>
      </c>
      <c r="N5514">
        <v>20393.39</v>
      </c>
      <c r="O5514">
        <v>106.77</v>
      </c>
    </row>
    <row r="5515" spans="1:15" x14ac:dyDescent="0.35">
      <c r="A5515" t="s">
        <v>6077</v>
      </c>
      <c r="B5515" t="s">
        <v>6078</v>
      </c>
      <c r="C5515" t="s">
        <v>520</v>
      </c>
      <c r="D5515" t="s">
        <v>293</v>
      </c>
      <c r="E5515" t="s">
        <v>296</v>
      </c>
      <c r="F5515" t="s">
        <v>6080</v>
      </c>
      <c r="G5515">
        <v>342</v>
      </c>
      <c r="H5515">
        <v>44319.4</v>
      </c>
      <c r="I5515">
        <v>129.59</v>
      </c>
      <c r="J5515">
        <v>0</v>
      </c>
      <c r="K5515">
        <v>0</v>
      </c>
      <c r="L5515">
        <v>0</v>
      </c>
      <c r="M5515">
        <v>342</v>
      </c>
      <c r="N5515">
        <v>44319.4</v>
      </c>
      <c r="O5515">
        <v>129.59</v>
      </c>
    </row>
    <row r="5516" spans="1:15" x14ac:dyDescent="0.35">
      <c r="A5516" t="s">
        <v>6077</v>
      </c>
      <c r="B5516" t="s">
        <v>6078</v>
      </c>
      <c r="C5516" t="s">
        <v>520</v>
      </c>
      <c r="D5516" t="s">
        <v>293</v>
      </c>
      <c r="E5516" t="s">
        <v>298</v>
      </c>
      <c r="F5516" t="s">
        <v>6081</v>
      </c>
      <c r="G5516">
        <v>237</v>
      </c>
      <c r="H5516">
        <v>34186.160000000003</v>
      </c>
      <c r="I5516">
        <v>144.25</v>
      </c>
      <c r="J5516">
        <v>0</v>
      </c>
      <c r="K5516">
        <v>0</v>
      </c>
      <c r="L5516">
        <v>0</v>
      </c>
      <c r="M5516">
        <v>237</v>
      </c>
      <c r="N5516">
        <v>34186.160000000003</v>
      </c>
      <c r="O5516">
        <v>144.25</v>
      </c>
    </row>
    <row r="5517" spans="1:15" x14ac:dyDescent="0.35">
      <c r="A5517" t="s">
        <v>6077</v>
      </c>
      <c r="B5517" t="s">
        <v>6078</v>
      </c>
      <c r="C5517" t="s">
        <v>520</v>
      </c>
      <c r="D5517" t="s">
        <v>293</v>
      </c>
      <c r="E5517" t="s">
        <v>300</v>
      </c>
      <c r="F5517" t="s">
        <v>6082</v>
      </c>
      <c r="G5517">
        <v>25</v>
      </c>
      <c r="H5517">
        <v>4365</v>
      </c>
      <c r="I5517">
        <v>174.6</v>
      </c>
      <c r="J5517">
        <v>0</v>
      </c>
      <c r="K5517">
        <v>0</v>
      </c>
      <c r="L5517">
        <v>0</v>
      </c>
      <c r="M5517">
        <v>25</v>
      </c>
      <c r="N5517">
        <v>4365</v>
      </c>
      <c r="O5517">
        <v>174.6</v>
      </c>
    </row>
    <row r="5518" spans="1:15" x14ac:dyDescent="0.35">
      <c r="A5518" t="s">
        <v>6077</v>
      </c>
      <c r="B5518" t="s">
        <v>6078</v>
      </c>
      <c r="C5518" t="s">
        <v>520</v>
      </c>
      <c r="D5518" t="s">
        <v>293</v>
      </c>
      <c r="E5518" t="s">
        <v>302</v>
      </c>
      <c r="F5518" t="s">
        <v>6083</v>
      </c>
      <c r="G5518">
        <v>0</v>
      </c>
      <c r="H5518">
        <v>0</v>
      </c>
      <c r="I5518">
        <v>0</v>
      </c>
      <c r="J5518">
        <v>0</v>
      </c>
      <c r="K5518">
        <v>0</v>
      </c>
      <c r="L5518">
        <v>0</v>
      </c>
      <c r="M5518">
        <v>0</v>
      </c>
      <c r="N5518">
        <v>0</v>
      </c>
      <c r="O5518">
        <v>0</v>
      </c>
    </row>
    <row r="5519" spans="1:15" x14ac:dyDescent="0.35">
      <c r="A5519" t="s">
        <v>6077</v>
      </c>
      <c r="B5519" t="s">
        <v>6078</v>
      </c>
      <c r="C5519" t="s">
        <v>520</v>
      </c>
      <c r="D5519" t="s">
        <v>293</v>
      </c>
      <c r="E5519" t="s">
        <v>304</v>
      </c>
      <c r="F5519" t="s">
        <v>6084</v>
      </c>
      <c r="G5519">
        <v>0</v>
      </c>
      <c r="H5519">
        <v>0</v>
      </c>
      <c r="I5519">
        <v>0</v>
      </c>
      <c r="J5519">
        <v>0</v>
      </c>
      <c r="K5519">
        <v>0</v>
      </c>
      <c r="L5519">
        <v>0</v>
      </c>
      <c r="M5519">
        <v>0</v>
      </c>
      <c r="N5519">
        <v>0</v>
      </c>
      <c r="O5519">
        <v>0</v>
      </c>
    </row>
    <row r="5520" spans="1:15" x14ac:dyDescent="0.35">
      <c r="A5520" t="s">
        <v>6077</v>
      </c>
      <c r="B5520" t="s">
        <v>6078</v>
      </c>
      <c r="C5520" t="s">
        <v>520</v>
      </c>
      <c r="D5520" t="s">
        <v>293</v>
      </c>
      <c r="E5520" t="s">
        <v>306</v>
      </c>
      <c r="F5520" t="s">
        <v>6085</v>
      </c>
      <c r="G5520">
        <v>1</v>
      </c>
      <c r="H5520">
        <v>96.35</v>
      </c>
      <c r="I5520">
        <v>96.35</v>
      </c>
      <c r="J5520">
        <v>0</v>
      </c>
      <c r="K5520">
        <v>0</v>
      </c>
      <c r="L5520">
        <v>0</v>
      </c>
      <c r="M5520">
        <v>1</v>
      </c>
      <c r="N5520">
        <v>96.35</v>
      </c>
      <c r="O5520">
        <v>96.35</v>
      </c>
    </row>
    <row r="5521" spans="1:15" x14ac:dyDescent="0.35">
      <c r="A5521" t="s">
        <v>6077</v>
      </c>
      <c r="B5521" t="s">
        <v>6078</v>
      </c>
      <c r="C5521" t="s">
        <v>520</v>
      </c>
      <c r="D5521" t="s">
        <v>293</v>
      </c>
      <c r="E5521" t="s">
        <v>308</v>
      </c>
      <c r="F5521" t="s">
        <v>6086</v>
      </c>
      <c r="G5521">
        <v>0</v>
      </c>
      <c r="H5521">
        <v>0</v>
      </c>
      <c r="I5521">
        <v>0</v>
      </c>
      <c r="J5521">
        <v>0</v>
      </c>
      <c r="K5521">
        <v>0</v>
      </c>
      <c r="L5521">
        <v>0</v>
      </c>
      <c r="M5521">
        <v>0</v>
      </c>
      <c r="N5521">
        <v>0</v>
      </c>
      <c r="O5521">
        <v>0</v>
      </c>
    </row>
    <row r="5522" spans="1:15" x14ac:dyDescent="0.35">
      <c r="A5522" t="s">
        <v>6077</v>
      </c>
      <c r="B5522" t="s">
        <v>6078</v>
      </c>
      <c r="C5522" t="s">
        <v>520</v>
      </c>
      <c r="D5522" t="s">
        <v>293</v>
      </c>
      <c r="E5522" t="s">
        <v>310</v>
      </c>
      <c r="F5522" t="s">
        <v>6087</v>
      </c>
      <c r="G5522">
        <v>796</v>
      </c>
      <c r="H5522">
        <v>103360.30000000002</v>
      </c>
      <c r="I5522">
        <v>129.85</v>
      </c>
      <c r="J5522">
        <v>0</v>
      </c>
      <c r="K5522">
        <v>0</v>
      </c>
      <c r="L5522">
        <v>0</v>
      </c>
      <c r="M5522">
        <v>796</v>
      </c>
      <c r="N5522">
        <v>103360.30000000002</v>
      </c>
      <c r="O5522">
        <v>129.85</v>
      </c>
    </row>
    <row r="5523" spans="1:15" x14ac:dyDescent="0.35">
      <c r="A5523" t="s">
        <v>6077</v>
      </c>
      <c r="B5523" t="s">
        <v>6078</v>
      </c>
      <c r="C5523" t="s">
        <v>520</v>
      </c>
      <c r="D5523" t="s">
        <v>293</v>
      </c>
      <c r="E5523" t="s">
        <v>312</v>
      </c>
      <c r="F5523" t="s">
        <v>6088</v>
      </c>
      <c r="G5523">
        <v>796</v>
      </c>
      <c r="H5523">
        <v>103360.30000000002</v>
      </c>
      <c r="I5523">
        <v>129.85</v>
      </c>
      <c r="J5523">
        <v>0</v>
      </c>
      <c r="K5523">
        <v>0</v>
      </c>
      <c r="L5523">
        <v>0</v>
      </c>
      <c r="M5523">
        <v>796</v>
      </c>
      <c r="N5523">
        <v>103360.30000000002</v>
      </c>
      <c r="O5523">
        <v>129.85</v>
      </c>
    </row>
    <row r="5524" spans="1:15" x14ac:dyDescent="0.35">
      <c r="A5524" t="s">
        <v>6077</v>
      </c>
      <c r="B5524" t="s">
        <v>6078</v>
      </c>
      <c r="C5524" t="s">
        <v>520</v>
      </c>
      <c r="D5524" t="s">
        <v>314</v>
      </c>
      <c r="E5524" t="s">
        <v>294</v>
      </c>
      <c r="F5524" t="s">
        <v>6089</v>
      </c>
      <c r="G5524">
        <v>17</v>
      </c>
      <c r="H5524">
        <v>4224.05</v>
      </c>
      <c r="I5524">
        <v>248.47</v>
      </c>
      <c r="J5524">
        <v>0</v>
      </c>
      <c r="K5524">
        <v>0</v>
      </c>
      <c r="L5524">
        <v>0</v>
      </c>
      <c r="M5524">
        <v>17</v>
      </c>
      <c r="N5524">
        <v>4224.05</v>
      </c>
      <c r="O5524">
        <v>248.47</v>
      </c>
    </row>
    <row r="5525" spans="1:15" x14ac:dyDescent="0.35">
      <c r="A5525" t="s">
        <v>6077</v>
      </c>
      <c r="B5525" t="s">
        <v>6078</v>
      </c>
      <c r="C5525" t="s">
        <v>520</v>
      </c>
      <c r="D5525" t="s">
        <v>314</v>
      </c>
      <c r="E5525" t="s">
        <v>296</v>
      </c>
      <c r="F5525" t="s">
        <v>6090</v>
      </c>
      <c r="G5525">
        <v>0</v>
      </c>
      <c r="H5525">
        <v>0</v>
      </c>
      <c r="I5525">
        <v>0</v>
      </c>
      <c r="J5525">
        <v>0</v>
      </c>
      <c r="K5525">
        <v>0</v>
      </c>
      <c r="L5525">
        <v>0</v>
      </c>
      <c r="M5525">
        <v>0</v>
      </c>
      <c r="N5525">
        <v>0</v>
      </c>
      <c r="O5525">
        <v>0</v>
      </c>
    </row>
    <row r="5526" spans="1:15" x14ac:dyDescent="0.35">
      <c r="A5526" t="s">
        <v>6077</v>
      </c>
      <c r="B5526" t="s">
        <v>6078</v>
      </c>
      <c r="C5526" t="s">
        <v>520</v>
      </c>
      <c r="D5526" t="s">
        <v>314</v>
      </c>
      <c r="E5526" t="s">
        <v>298</v>
      </c>
      <c r="F5526" t="s">
        <v>6091</v>
      </c>
      <c r="G5526">
        <v>0</v>
      </c>
      <c r="H5526">
        <v>0</v>
      </c>
      <c r="I5526">
        <v>0</v>
      </c>
      <c r="J5526">
        <v>0</v>
      </c>
      <c r="K5526">
        <v>0</v>
      </c>
      <c r="L5526">
        <v>0</v>
      </c>
      <c r="M5526">
        <v>0</v>
      </c>
      <c r="N5526">
        <v>0</v>
      </c>
      <c r="O5526">
        <v>0</v>
      </c>
    </row>
    <row r="5527" spans="1:15" x14ac:dyDescent="0.35">
      <c r="A5527" t="s">
        <v>6077</v>
      </c>
      <c r="B5527" t="s">
        <v>6078</v>
      </c>
      <c r="C5527" t="s">
        <v>520</v>
      </c>
      <c r="D5527" t="s">
        <v>314</v>
      </c>
      <c r="E5527" t="s">
        <v>300</v>
      </c>
      <c r="F5527" t="s">
        <v>6092</v>
      </c>
      <c r="G5527">
        <v>0</v>
      </c>
      <c r="H5527">
        <v>0</v>
      </c>
      <c r="I5527">
        <v>0</v>
      </c>
      <c r="J5527">
        <v>0</v>
      </c>
      <c r="K5527">
        <v>0</v>
      </c>
      <c r="L5527">
        <v>0</v>
      </c>
      <c r="M5527">
        <v>0</v>
      </c>
      <c r="N5527">
        <v>0</v>
      </c>
      <c r="O5527">
        <v>0</v>
      </c>
    </row>
    <row r="5528" spans="1:15" x14ac:dyDescent="0.35">
      <c r="A5528" t="s">
        <v>6077</v>
      </c>
      <c r="B5528" t="s">
        <v>6078</v>
      </c>
      <c r="C5528" t="s">
        <v>520</v>
      </c>
      <c r="D5528" t="s">
        <v>314</v>
      </c>
      <c r="E5528" t="s">
        <v>306</v>
      </c>
      <c r="F5528" t="s">
        <v>6093</v>
      </c>
      <c r="G5528">
        <v>0</v>
      </c>
      <c r="H5528">
        <v>0</v>
      </c>
      <c r="I5528">
        <v>0</v>
      </c>
      <c r="J5528">
        <v>0</v>
      </c>
      <c r="K5528">
        <v>0</v>
      </c>
      <c r="L5528">
        <v>0</v>
      </c>
      <c r="M5528">
        <v>0</v>
      </c>
      <c r="N5528">
        <v>0</v>
      </c>
      <c r="O5528">
        <v>0</v>
      </c>
    </row>
    <row r="5529" spans="1:15" x14ac:dyDescent="0.35">
      <c r="A5529" t="s">
        <v>6077</v>
      </c>
      <c r="B5529" t="s">
        <v>6078</v>
      </c>
      <c r="C5529" t="s">
        <v>520</v>
      </c>
      <c r="D5529" t="s">
        <v>314</v>
      </c>
      <c r="E5529" t="s">
        <v>308</v>
      </c>
      <c r="F5529" t="s">
        <v>6094</v>
      </c>
      <c r="G5529">
        <v>19</v>
      </c>
      <c r="H5529">
        <v>9465.42</v>
      </c>
      <c r="I5529">
        <v>498.18</v>
      </c>
      <c r="J5529">
        <v>0</v>
      </c>
      <c r="K5529">
        <v>0</v>
      </c>
      <c r="L5529">
        <v>0</v>
      </c>
      <c r="M5529">
        <v>19</v>
      </c>
      <c r="N5529">
        <v>9465.42</v>
      </c>
      <c r="O5529">
        <v>498.18</v>
      </c>
    </row>
    <row r="5530" spans="1:15" x14ac:dyDescent="0.35">
      <c r="A5530" t="s">
        <v>6077</v>
      </c>
      <c r="B5530" t="s">
        <v>6078</v>
      </c>
      <c r="C5530" t="s">
        <v>520</v>
      </c>
      <c r="D5530" t="s">
        <v>314</v>
      </c>
      <c r="E5530" t="s">
        <v>312</v>
      </c>
      <c r="F5530" t="s">
        <v>6095</v>
      </c>
      <c r="G5530">
        <v>17</v>
      </c>
      <c r="H5530">
        <v>4224.05</v>
      </c>
      <c r="I5530">
        <v>248.47</v>
      </c>
      <c r="J5530">
        <v>0</v>
      </c>
      <c r="K5530">
        <v>0</v>
      </c>
      <c r="L5530">
        <v>0</v>
      </c>
      <c r="M5530">
        <v>17</v>
      </c>
      <c r="N5530">
        <v>4224.05</v>
      </c>
      <c r="O5530">
        <v>248.47</v>
      </c>
    </row>
    <row r="5531" spans="1:15" x14ac:dyDescent="0.35">
      <c r="A5531" t="s">
        <v>6077</v>
      </c>
      <c r="B5531" t="s">
        <v>6078</v>
      </c>
      <c r="C5531" t="s">
        <v>520</v>
      </c>
      <c r="D5531" t="s">
        <v>314</v>
      </c>
      <c r="E5531" t="s">
        <v>310</v>
      </c>
      <c r="F5531" t="s">
        <v>6096</v>
      </c>
      <c r="G5531">
        <v>36</v>
      </c>
      <c r="H5531">
        <v>13689.470000000001</v>
      </c>
      <c r="I5531">
        <v>380.26</v>
      </c>
      <c r="J5531">
        <v>0</v>
      </c>
      <c r="K5531">
        <v>0</v>
      </c>
      <c r="L5531">
        <v>0</v>
      </c>
      <c r="M5531">
        <v>36</v>
      </c>
      <c r="N5531">
        <v>13689.470000000001</v>
      </c>
      <c r="O5531">
        <v>380.26</v>
      </c>
    </row>
    <row r="5532" spans="1:15" x14ac:dyDescent="0.35">
      <c r="A5532" t="s">
        <v>6077</v>
      </c>
      <c r="B5532" t="s">
        <v>6078</v>
      </c>
      <c r="C5532" t="s">
        <v>520</v>
      </c>
      <c r="D5532" t="s">
        <v>323</v>
      </c>
      <c r="E5532" t="s">
        <v>294</v>
      </c>
      <c r="F5532" t="s">
        <v>6097</v>
      </c>
      <c r="G5532">
        <v>340</v>
      </c>
      <c r="H5532">
        <v>29746.77</v>
      </c>
      <c r="I5532">
        <v>87.49</v>
      </c>
      <c r="J5532">
        <v>736</v>
      </c>
      <c r="K5532">
        <v>60749.440000000002</v>
      </c>
      <c r="L5532">
        <v>82.54</v>
      </c>
      <c r="M5532">
        <v>1076</v>
      </c>
      <c r="N5532">
        <v>90496.21</v>
      </c>
      <c r="O5532">
        <v>84.1</v>
      </c>
    </row>
    <row r="5533" spans="1:15" x14ac:dyDescent="0.35">
      <c r="A5533" t="s">
        <v>6077</v>
      </c>
      <c r="B5533" t="s">
        <v>6078</v>
      </c>
      <c r="C5533" t="s">
        <v>520</v>
      </c>
      <c r="D5533" t="s">
        <v>323</v>
      </c>
      <c r="E5533" t="s">
        <v>296</v>
      </c>
      <c r="F5533" t="s">
        <v>6098</v>
      </c>
      <c r="G5533">
        <v>533</v>
      </c>
      <c r="H5533">
        <v>54879.15</v>
      </c>
      <c r="I5533">
        <v>102.96</v>
      </c>
      <c r="J5533">
        <v>1069</v>
      </c>
      <c r="K5533">
        <v>94927.2</v>
      </c>
      <c r="L5533">
        <v>88.8</v>
      </c>
      <c r="M5533">
        <v>1602</v>
      </c>
      <c r="N5533">
        <v>149806.35</v>
      </c>
      <c r="O5533">
        <v>93.51</v>
      </c>
    </row>
    <row r="5534" spans="1:15" x14ac:dyDescent="0.35">
      <c r="A5534" t="s">
        <v>6077</v>
      </c>
      <c r="B5534" t="s">
        <v>6078</v>
      </c>
      <c r="C5534" t="s">
        <v>520</v>
      </c>
      <c r="D5534" t="s">
        <v>323</v>
      </c>
      <c r="E5534" t="s">
        <v>298</v>
      </c>
      <c r="F5534" t="s">
        <v>6099</v>
      </c>
      <c r="G5534">
        <v>360</v>
      </c>
      <c r="H5534">
        <v>41864.71</v>
      </c>
      <c r="I5534">
        <v>116.29</v>
      </c>
      <c r="J5534">
        <v>1105</v>
      </c>
      <c r="K5534">
        <v>108544.15000000001</v>
      </c>
      <c r="L5534">
        <v>98.23</v>
      </c>
      <c r="M5534">
        <v>1465</v>
      </c>
      <c r="N5534">
        <v>150408.86000000002</v>
      </c>
      <c r="O5534">
        <v>102.67</v>
      </c>
    </row>
    <row r="5535" spans="1:15" x14ac:dyDescent="0.35">
      <c r="A5535" t="s">
        <v>6077</v>
      </c>
      <c r="B5535" t="s">
        <v>6078</v>
      </c>
      <c r="C5535" t="s">
        <v>520</v>
      </c>
      <c r="D5535" t="s">
        <v>323</v>
      </c>
      <c r="E5535" t="s">
        <v>300</v>
      </c>
      <c r="F5535" t="s">
        <v>6100</v>
      </c>
      <c r="G5535">
        <v>15</v>
      </c>
      <c r="H5535">
        <v>1917.5200000000002</v>
      </c>
      <c r="I5535">
        <v>127.83</v>
      </c>
      <c r="J5535">
        <v>86</v>
      </c>
      <c r="K5535">
        <v>8998.18</v>
      </c>
      <c r="L5535">
        <v>104.63</v>
      </c>
      <c r="M5535">
        <v>101</v>
      </c>
      <c r="N5535">
        <v>10915.7</v>
      </c>
      <c r="O5535">
        <v>108.08</v>
      </c>
    </row>
    <row r="5536" spans="1:15" x14ac:dyDescent="0.35">
      <c r="A5536" t="s">
        <v>6077</v>
      </c>
      <c r="B5536" t="s">
        <v>6078</v>
      </c>
      <c r="C5536" t="s">
        <v>520</v>
      </c>
      <c r="D5536" t="s">
        <v>323</v>
      </c>
      <c r="E5536" t="s">
        <v>302</v>
      </c>
      <c r="F5536" t="s">
        <v>6101</v>
      </c>
      <c r="G5536">
        <v>4</v>
      </c>
      <c r="H5536">
        <v>578.8900000000001</v>
      </c>
      <c r="I5536">
        <v>144.72</v>
      </c>
      <c r="J5536">
        <v>3</v>
      </c>
      <c r="K5536">
        <v>326.73</v>
      </c>
      <c r="L5536">
        <v>108.91</v>
      </c>
      <c r="M5536">
        <v>7</v>
      </c>
      <c r="N5536">
        <v>905.62000000000012</v>
      </c>
      <c r="O5536">
        <v>129.37</v>
      </c>
    </row>
    <row r="5537" spans="1:15" x14ac:dyDescent="0.35">
      <c r="A5537" t="s">
        <v>6077</v>
      </c>
      <c r="B5537" t="s">
        <v>6078</v>
      </c>
      <c r="C5537" t="s">
        <v>520</v>
      </c>
      <c r="D5537" t="s">
        <v>323</v>
      </c>
      <c r="E5537" t="s">
        <v>304</v>
      </c>
      <c r="F5537" t="s">
        <v>6102</v>
      </c>
      <c r="G5537">
        <v>0</v>
      </c>
      <c r="H5537">
        <v>0</v>
      </c>
      <c r="I5537">
        <v>0</v>
      </c>
      <c r="J5537">
        <v>2</v>
      </c>
      <c r="K5537">
        <v>216.18</v>
      </c>
      <c r="L5537">
        <v>108.09</v>
      </c>
      <c r="M5537">
        <v>2</v>
      </c>
      <c r="N5537">
        <v>216.18</v>
      </c>
      <c r="O5537">
        <v>108.09</v>
      </c>
    </row>
    <row r="5538" spans="1:15" x14ac:dyDescent="0.35">
      <c r="A5538" t="s">
        <v>6077</v>
      </c>
      <c r="B5538" t="s">
        <v>6078</v>
      </c>
      <c r="C5538" t="s">
        <v>520</v>
      </c>
      <c r="D5538" t="s">
        <v>323</v>
      </c>
      <c r="E5538" t="s">
        <v>306</v>
      </c>
      <c r="F5538" t="s">
        <v>6103</v>
      </c>
      <c r="G5538">
        <v>0</v>
      </c>
      <c r="H5538">
        <v>0</v>
      </c>
      <c r="I5538">
        <v>0</v>
      </c>
      <c r="J5538">
        <v>15</v>
      </c>
      <c r="K5538">
        <v>1195.3499999999999</v>
      </c>
      <c r="L5538">
        <v>79.69</v>
      </c>
      <c r="M5538">
        <v>15</v>
      </c>
      <c r="N5538">
        <v>1195.3499999999999</v>
      </c>
      <c r="O5538">
        <v>79.69</v>
      </c>
    </row>
    <row r="5539" spans="1:15" x14ac:dyDescent="0.35">
      <c r="A5539" t="s">
        <v>6077</v>
      </c>
      <c r="B5539" t="s">
        <v>6078</v>
      </c>
      <c r="C5539" t="s">
        <v>520</v>
      </c>
      <c r="D5539" t="s">
        <v>323</v>
      </c>
      <c r="E5539" t="s">
        <v>308</v>
      </c>
      <c r="F5539" t="s">
        <v>6104</v>
      </c>
      <c r="G5539">
        <v>1</v>
      </c>
      <c r="H5539">
        <v>114.71</v>
      </c>
      <c r="I5539">
        <v>114.71</v>
      </c>
      <c r="J5539">
        <v>0</v>
      </c>
      <c r="K5539">
        <v>0</v>
      </c>
      <c r="L5539">
        <v>0</v>
      </c>
      <c r="M5539">
        <v>1</v>
      </c>
      <c r="N5539">
        <v>114.71</v>
      </c>
      <c r="O5539">
        <v>114.71</v>
      </c>
    </row>
    <row r="5540" spans="1:15" x14ac:dyDescent="0.35">
      <c r="A5540" t="s">
        <v>6077</v>
      </c>
      <c r="B5540" t="s">
        <v>6078</v>
      </c>
      <c r="C5540" t="s">
        <v>520</v>
      </c>
      <c r="D5540" t="s">
        <v>323</v>
      </c>
      <c r="E5540" t="s">
        <v>310</v>
      </c>
      <c r="F5540" t="s">
        <v>6105</v>
      </c>
      <c r="G5540">
        <v>1253</v>
      </c>
      <c r="H5540">
        <v>129101.75000000001</v>
      </c>
      <c r="I5540">
        <v>103.03</v>
      </c>
      <c r="J5540">
        <v>3016</v>
      </c>
      <c r="K5540">
        <v>274957.23</v>
      </c>
      <c r="L5540">
        <v>91.17</v>
      </c>
      <c r="M5540">
        <v>4269</v>
      </c>
      <c r="N5540">
        <v>404058.98</v>
      </c>
      <c r="O5540">
        <v>94.65</v>
      </c>
    </row>
    <row r="5541" spans="1:15" x14ac:dyDescent="0.35">
      <c r="A5541" t="s">
        <v>6077</v>
      </c>
      <c r="B5541" t="s">
        <v>6078</v>
      </c>
      <c r="C5541" t="s">
        <v>520</v>
      </c>
      <c r="D5541" t="s">
        <v>323</v>
      </c>
      <c r="E5541" t="s">
        <v>312</v>
      </c>
      <c r="F5541" t="s">
        <v>6106</v>
      </c>
      <c r="G5541">
        <v>1252</v>
      </c>
      <c r="H5541">
        <v>128987.04000000001</v>
      </c>
      <c r="I5541">
        <v>103.02</v>
      </c>
      <c r="J5541">
        <v>3016</v>
      </c>
      <c r="K5541">
        <v>274957.23</v>
      </c>
      <c r="L5541">
        <v>91.17</v>
      </c>
      <c r="M5541">
        <v>4268</v>
      </c>
      <c r="N5541">
        <v>403944.27</v>
      </c>
      <c r="O5541">
        <v>94.64</v>
      </c>
    </row>
    <row r="5542" spans="1:15" x14ac:dyDescent="0.35">
      <c r="A5542" t="s">
        <v>6077</v>
      </c>
      <c r="B5542" t="s">
        <v>6078</v>
      </c>
      <c r="C5542" t="s">
        <v>520</v>
      </c>
      <c r="D5542" t="s">
        <v>334</v>
      </c>
      <c r="E5542" t="s">
        <v>312</v>
      </c>
      <c r="F5542" t="s">
        <v>6107</v>
      </c>
      <c r="G5542">
        <v>2119</v>
      </c>
      <c r="H5542">
        <v>232347.34</v>
      </c>
      <c r="I5542">
        <v>113.45</v>
      </c>
      <c r="J5542">
        <v>3016</v>
      </c>
      <c r="K5542">
        <v>274957.23</v>
      </c>
      <c r="L5542">
        <v>91.17</v>
      </c>
      <c r="M5542">
        <v>5135</v>
      </c>
      <c r="N5542">
        <v>507304.56999999995</v>
      </c>
      <c r="O5542">
        <v>100.18</v>
      </c>
    </row>
    <row r="5543" spans="1:15" x14ac:dyDescent="0.35">
      <c r="A5543" t="s">
        <v>6077</v>
      </c>
      <c r="B5543" t="s">
        <v>6078</v>
      </c>
      <c r="C5543" t="s">
        <v>520</v>
      </c>
      <c r="D5543" t="s">
        <v>334</v>
      </c>
      <c r="E5543" t="s">
        <v>308</v>
      </c>
      <c r="F5543" t="s">
        <v>6108</v>
      </c>
      <c r="G5543">
        <v>1</v>
      </c>
      <c r="H5543">
        <v>114.71</v>
      </c>
      <c r="I5543">
        <v>114.71</v>
      </c>
      <c r="J5543">
        <v>0</v>
      </c>
      <c r="K5543">
        <v>0</v>
      </c>
      <c r="L5543">
        <v>0</v>
      </c>
      <c r="M5543">
        <v>1</v>
      </c>
      <c r="N5543">
        <v>114.71</v>
      </c>
      <c r="O5543">
        <v>114.71</v>
      </c>
    </row>
    <row r="5544" spans="1:15" x14ac:dyDescent="0.35">
      <c r="A5544" t="s">
        <v>6077</v>
      </c>
      <c r="B5544" t="s">
        <v>6078</v>
      </c>
      <c r="C5544" t="s">
        <v>520</v>
      </c>
      <c r="D5544" t="s">
        <v>337</v>
      </c>
      <c r="E5544" t="s">
        <v>337</v>
      </c>
      <c r="F5544" t="s">
        <v>6109</v>
      </c>
      <c r="G5544">
        <v>436</v>
      </c>
      <c r="J5544">
        <v>1</v>
      </c>
      <c r="M5544">
        <v>437</v>
      </c>
    </row>
    <row r="5545" spans="1:15" x14ac:dyDescent="0.35">
      <c r="A5545" t="s">
        <v>6077</v>
      </c>
      <c r="B5545" t="s">
        <v>6078</v>
      </c>
      <c r="C5545" t="s">
        <v>520</v>
      </c>
      <c r="D5545" t="s">
        <v>339</v>
      </c>
      <c r="E5545" t="s">
        <v>294</v>
      </c>
      <c r="F5545" t="s">
        <v>6110</v>
      </c>
      <c r="G5545">
        <v>394</v>
      </c>
      <c r="H5545">
        <v>44238.450000000004</v>
      </c>
      <c r="I5545">
        <v>112.28</v>
      </c>
      <c r="J5545">
        <v>461</v>
      </c>
      <c r="K5545">
        <v>40019.410000000003</v>
      </c>
      <c r="L5545">
        <v>86.81</v>
      </c>
      <c r="M5545">
        <v>855</v>
      </c>
      <c r="N5545">
        <v>84257.860000000015</v>
      </c>
      <c r="O5545">
        <v>98.55</v>
      </c>
    </row>
    <row r="5546" spans="1:15" x14ac:dyDescent="0.35">
      <c r="A5546" t="s">
        <v>6077</v>
      </c>
      <c r="B5546" t="s">
        <v>6078</v>
      </c>
      <c r="C5546" t="s">
        <v>520</v>
      </c>
      <c r="D5546" t="s">
        <v>339</v>
      </c>
      <c r="E5546" t="s">
        <v>296</v>
      </c>
      <c r="F5546" t="s">
        <v>6111</v>
      </c>
      <c r="G5546">
        <v>27</v>
      </c>
      <c r="H5546">
        <v>2867.01</v>
      </c>
      <c r="I5546">
        <v>106.19</v>
      </c>
      <c r="J5546">
        <v>55</v>
      </c>
      <c r="K5546">
        <v>5250.85</v>
      </c>
      <c r="L5546">
        <v>95.47</v>
      </c>
      <c r="M5546">
        <v>82</v>
      </c>
      <c r="N5546">
        <v>8117.8600000000006</v>
      </c>
      <c r="O5546">
        <v>99</v>
      </c>
    </row>
    <row r="5547" spans="1:15" x14ac:dyDescent="0.35">
      <c r="A5547" t="s">
        <v>6077</v>
      </c>
      <c r="B5547" t="s">
        <v>6078</v>
      </c>
      <c r="C5547" t="s">
        <v>520</v>
      </c>
      <c r="D5547" t="s">
        <v>339</v>
      </c>
      <c r="E5547" t="s">
        <v>298</v>
      </c>
      <c r="F5547" t="s">
        <v>6112</v>
      </c>
      <c r="G5547">
        <v>6</v>
      </c>
      <c r="H5547">
        <v>687.42000000000007</v>
      </c>
      <c r="I5547">
        <v>114.57</v>
      </c>
      <c r="J5547">
        <v>0</v>
      </c>
      <c r="K5547">
        <v>0</v>
      </c>
      <c r="L5547">
        <v>0</v>
      </c>
      <c r="M5547">
        <v>6</v>
      </c>
      <c r="N5547">
        <v>687.42000000000007</v>
      </c>
      <c r="O5547">
        <v>114.57</v>
      </c>
    </row>
    <row r="5548" spans="1:15" x14ac:dyDescent="0.35">
      <c r="A5548" t="s">
        <v>6077</v>
      </c>
      <c r="B5548" t="s">
        <v>6078</v>
      </c>
      <c r="C5548" t="s">
        <v>520</v>
      </c>
      <c r="D5548" t="s">
        <v>339</v>
      </c>
      <c r="E5548" t="s">
        <v>300</v>
      </c>
      <c r="F5548" t="s">
        <v>6113</v>
      </c>
      <c r="G5548">
        <v>0</v>
      </c>
      <c r="H5548">
        <v>0</v>
      </c>
      <c r="I5548">
        <v>0</v>
      </c>
      <c r="J5548">
        <v>0</v>
      </c>
      <c r="K5548">
        <v>0</v>
      </c>
      <c r="L5548">
        <v>0</v>
      </c>
      <c r="M5548">
        <v>0</v>
      </c>
      <c r="N5548">
        <v>0</v>
      </c>
      <c r="O5548">
        <v>0</v>
      </c>
    </row>
    <row r="5549" spans="1:15" x14ac:dyDescent="0.35">
      <c r="A5549" t="s">
        <v>6077</v>
      </c>
      <c r="B5549" t="s">
        <v>6078</v>
      </c>
      <c r="C5549" t="s">
        <v>520</v>
      </c>
      <c r="D5549" t="s">
        <v>339</v>
      </c>
      <c r="E5549" t="s">
        <v>306</v>
      </c>
      <c r="F5549" t="s">
        <v>6114</v>
      </c>
      <c r="G5549">
        <v>182</v>
      </c>
      <c r="H5549">
        <v>15082.79</v>
      </c>
      <c r="I5549">
        <v>82.87</v>
      </c>
      <c r="J5549">
        <v>69</v>
      </c>
      <c r="K5549">
        <v>5262.63</v>
      </c>
      <c r="L5549">
        <v>76.27</v>
      </c>
      <c r="M5549">
        <v>251</v>
      </c>
      <c r="N5549">
        <v>20345.420000000002</v>
      </c>
      <c r="O5549">
        <v>81.06</v>
      </c>
    </row>
    <row r="5550" spans="1:15" x14ac:dyDescent="0.35">
      <c r="A5550" t="s">
        <v>6077</v>
      </c>
      <c r="B5550" t="s">
        <v>6078</v>
      </c>
      <c r="C5550" t="s">
        <v>520</v>
      </c>
      <c r="D5550" t="s">
        <v>339</v>
      </c>
      <c r="E5550" t="s">
        <v>308</v>
      </c>
      <c r="F5550" t="s">
        <v>6115</v>
      </c>
      <c r="G5550">
        <v>144</v>
      </c>
      <c r="H5550">
        <v>23959.82</v>
      </c>
      <c r="I5550">
        <v>166.39</v>
      </c>
      <c r="J5550">
        <v>0</v>
      </c>
      <c r="K5550">
        <v>0</v>
      </c>
      <c r="L5550">
        <v>0</v>
      </c>
      <c r="M5550">
        <v>144</v>
      </c>
      <c r="N5550">
        <v>23959.82</v>
      </c>
      <c r="O5550">
        <v>166.39</v>
      </c>
    </row>
    <row r="5551" spans="1:15" x14ac:dyDescent="0.35">
      <c r="A5551" t="s">
        <v>6077</v>
      </c>
      <c r="B5551" t="s">
        <v>6078</v>
      </c>
      <c r="C5551" t="s">
        <v>520</v>
      </c>
      <c r="D5551" t="s">
        <v>339</v>
      </c>
      <c r="E5551" t="s">
        <v>310</v>
      </c>
      <c r="F5551" t="s">
        <v>6116</v>
      </c>
      <c r="G5551">
        <v>753</v>
      </c>
      <c r="H5551">
        <v>86835.49</v>
      </c>
      <c r="I5551">
        <v>115.32</v>
      </c>
      <c r="J5551">
        <v>585</v>
      </c>
      <c r="K5551">
        <v>50532.89</v>
      </c>
      <c r="L5551">
        <v>86.38</v>
      </c>
      <c r="M5551">
        <v>1338</v>
      </c>
      <c r="N5551">
        <v>137368.38</v>
      </c>
      <c r="O5551">
        <v>102.67</v>
      </c>
    </row>
    <row r="5552" spans="1:15" x14ac:dyDescent="0.35">
      <c r="A5552" t="s">
        <v>6077</v>
      </c>
      <c r="B5552" t="s">
        <v>6078</v>
      </c>
      <c r="C5552" t="s">
        <v>520</v>
      </c>
      <c r="D5552" t="s">
        <v>339</v>
      </c>
      <c r="E5552" t="s">
        <v>312</v>
      </c>
      <c r="F5552" t="s">
        <v>6117</v>
      </c>
      <c r="G5552">
        <v>609</v>
      </c>
      <c r="H5552">
        <v>62875.670000000006</v>
      </c>
      <c r="I5552">
        <v>103.24</v>
      </c>
      <c r="J5552">
        <v>585</v>
      </c>
      <c r="K5552">
        <v>50532.89</v>
      </c>
      <c r="L5552">
        <v>86.38</v>
      </c>
      <c r="M5552">
        <v>1194</v>
      </c>
      <c r="N5552">
        <v>113408.56</v>
      </c>
      <c r="O5552">
        <v>94.98</v>
      </c>
    </row>
    <row r="5553" spans="1:15" x14ac:dyDescent="0.35">
      <c r="A5553" t="s">
        <v>6077</v>
      </c>
      <c r="B5553" t="s">
        <v>6078</v>
      </c>
      <c r="C5553" t="s">
        <v>520</v>
      </c>
      <c r="D5553" t="s">
        <v>348</v>
      </c>
      <c r="E5553" t="s">
        <v>349</v>
      </c>
      <c r="F5553" t="s">
        <v>6118</v>
      </c>
      <c r="G5553">
        <v>948</v>
      </c>
      <c r="H5553">
        <v>100524.96000000002</v>
      </c>
      <c r="I5553">
        <v>127.41</v>
      </c>
      <c r="J5553">
        <v>585</v>
      </c>
      <c r="K5553">
        <v>50532.89</v>
      </c>
      <c r="L5553">
        <v>86.38</v>
      </c>
      <c r="M5553">
        <v>1533</v>
      </c>
      <c r="N5553">
        <v>151057.85000000003</v>
      </c>
      <c r="O5553">
        <v>109.94</v>
      </c>
    </row>
    <row r="5554" spans="1:15" x14ac:dyDescent="0.35">
      <c r="A5554" t="s">
        <v>6119</v>
      </c>
      <c r="B5554" t="s">
        <v>6120</v>
      </c>
      <c r="C5554" t="s">
        <v>520</v>
      </c>
      <c r="D5554" t="s">
        <v>293</v>
      </c>
      <c r="E5554" t="s">
        <v>294</v>
      </c>
      <c r="F5554" t="s">
        <v>6121</v>
      </c>
      <c r="G5554">
        <v>15</v>
      </c>
      <c r="H5554">
        <v>1421.93</v>
      </c>
      <c r="I5554">
        <v>94.8</v>
      </c>
      <c r="J5554">
        <v>0</v>
      </c>
      <c r="K5554">
        <v>0</v>
      </c>
      <c r="L5554">
        <v>0</v>
      </c>
      <c r="M5554">
        <v>15</v>
      </c>
      <c r="N5554">
        <v>1421.93</v>
      </c>
      <c r="O5554">
        <v>94.8</v>
      </c>
    </row>
    <row r="5555" spans="1:15" x14ac:dyDescent="0.35">
      <c r="A5555" t="s">
        <v>6119</v>
      </c>
      <c r="B5555" t="s">
        <v>6120</v>
      </c>
      <c r="C5555" t="s">
        <v>520</v>
      </c>
      <c r="D5555" t="s">
        <v>293</v>
      </c>
      <c r="E5555" t="s">
        <v>296</v>
      </c>
      <c r="F5555" t="s">
        <v>6122</v>
      </c>
      <c r="G5555">
        <v>294</v>
      </c>
      <c r="H5555">
        <v>33335.96</v>
      </c>
      <c r="I5555">
        <v>113.39</v>
      </c>
      <c r="J5555">
        <v>0</v>
      </c>
      <c r="K5555">
        <v>0</v>
      </c>
      <c r="L5555">
        <v>0</v>
      </c>
      <c r="M5555">
        <v>294</v>
      </c>
      <c r="N5555">
        <v>33335.96</v>
      </c>
      <c r="O5555">
        <v>113.39</v>
      </c>
    </row>
    <row r="5556" spans="1:15" x14ac:dyDescent="0.35">
      <c r="A5556" t="s">
        <v>6119</v>
      </c>
      <c r="B5556" t="s">
        <v>6120</v>
      </c>
      <c r="C5556" t="s">
        <v>520</v>
      </c>
      <c r="D5556" t="s">
        <v>293</v>
      </c>
      <c r="E5556" t="s">
        <v>298</v>
      </c>
      <c r="F5556" t="s">
        <v>6123</v>
      </c>
      <c r="G5556">
        <v>317</v>
      </c>
      <c r="H5556">
        <v>40842.910000000003</v>
      </c>
      <c r="I5556">
        <v>128.84</v>
      </c>
      <c r="J5556">
        <v>0</v>
      </c>
      <c r="K5556">
        <v>0</v>
      </c>
      <c r="L5556">
        <v>0</v>
      </c>
      <c r="M5556">
        <v>317</v>
      </c>
      <c r="N5556">
        <v>40842.910000000003</v>
      </c>
      <c r="O5556">
        <v>128.84</v>
      </c>
    </row>
    <row r="5557" spans="1:15" x14ac:dyDescent="0.35">
      <c r="A5557" t="s">
        <v>6119</v>
      </c>
      <c r="B5557" t="s">
        <v>6120</v>
      </c>
      <c r="C5557" t="s">
        <v>520</v>
      </c>
      <c r="D5557" t="s">
        <v>293</v>
      </c>
      <c r="E5557" t="s">
        <v>300</v>
      </c>
      <c r="F5557" t="s">
        <v>6124</v>
      </c>
      <c r="G5557">
        <v>53</v>
      </c>
      <c r="H5557">
        <v>8249.34</v>
      </c>
      <c r="I5557">
        <v>155.65</v>
      </c>
      <c r="J5557">
        <v>0</v>
      </c>
      <c r="K5557">
        <v>0</v>
      </c>
      <c r="L5557">
        <v>0</v>
      </c>
      <c r="M5557">
        <v>53</v>
      </c>
      <c r="N5557">
        <v>8249.34</v>
      </c>
      <c r="O5557">
        <v>155.65</v>
      </c>
    </row>
    <row r="5558" spans="1:15" x14ac:dyDescent="0.35">
      <c r="A5558" t="s">
        <v>6119</v>
      </c>
      <c r="B5558" t="s">
        <v>6120</v>
      </c>
      <c r="C5558" t="s">
        <v>520</v>
      </c>
      <c r="D5558" t="s">
        <v>293</v>
      </c>
      <c r="E5558" t="s">
        <v>302</v>
      </c>
      <c r="F5558" t="s">
        <v>6125</v>
      </c>
      <c r="G5558">
        <v>0</v>
      </c>
      <c r="H5558">
        <v>0</v>
      </c>
      <c r="I5558">
        <v>0</v>
      </c>
      <c r="J5558">
        <v>0</v>
      </c>
      <c r="K5558">
        <v>0</v>
      </c>
      <c r="L5558">
        <v>0</v>
      </c>
      <c r="M5558">
        <v>0</v>
      </c>
      <c r="N5558">
        <v>0</v>
      </c>
      <c r="O5558">
        <v>0</v>
      </c>
    </row>
    <row r="5559" spans="1:15" x14ac:dyDescent="0.35">
      <c r="A5559" t="s">
        <v>6119</v>
      </c>
      <c r="B5559" t="s">
        <v>6120</v>
      </c>
      <c r="C5559" t="s">
        <v>520</v>
      </c>
      <c r="D5559" t="s">
        <v>293</v>
      </c>
      <c r="E5559" t="s">
        <v>304</v>
      </c>
      <c r="F5559" t="s">
        <v>6126</v>
      </c>
      <c r="G5559">
        <v>0</v>
      </c>
      <c r="H5559">
        <v>0</v>
      </c>
      <c r="I5559">
        <v>0</v>
      </c>
      <c r="J5559">
        <v>0</v>
      </c>
      <c r="K5559">
        <v>0</v>
      </c>
      <c r="L5559">
        <v>0</v>
      </c>
      <c r="M5559">
        <v>0</v>
      </c>
      <c r="N5559">
        <v>0</v>
      </c>
      <c r="O5559">
        <v>0</v>
      </c>
    </row>
    <row r="5560" spans="1:15" x14ac:dyDescent="0.35">
      <c r="A5560" t="s">
        <v>6119</v>
      </c>
      <c r="B5560" t="s">
        <v>6120</v>
      </c>
      <c r="C5560" t="s">
        <v>520</v>
      </c>
      <c r="D5560" t="s">
        <v>293</v>
      </c>
      <c r="E5560" t="s">
        <v>306</v>
      </c>
      <c r="F5560" t="s">
        <v>6127</v>
      </c>
      <c r="G5560">
        <v>0</v>
      </c>
      <c r="H5560">
        <v>0</v>
      </c>
      <c r="I5560">
        <v>0</v>
      </c>
      <c r="J5560">
        <v>0</v>
      </c>
      <c r="K5560">
        <v>0</v>
      </c>
      <c r="L5560">
        <v>0</v>
      </c>
      <c r="M5560">
        <v>0</v>
      </c>
      <c r="N5560">
        <v>0</v>
      </c>
      <c r="O5560">
        <v>0</v>
      </c>
    </row>
    <row r="5561" spans="1:15" x14ac:dyDescent="0.35">
      <c r="A5561" t="s">
        <v>6119</v>
      </c>
      <c r="B5561" t="s">
        <v>6120</v>
      </c>
      <c r="C5561" t="s">
        <v>520</v>
      </c>
      <c r="D5561" t="s">
        <v>293</v>
      </c>
      <c r="E5561" t="s">
        <v>308</v>
      </c>
      <c r="F5561" t="s">
        <v>6128</v>
      </c>
      <c r="G5561">
        <v>0</v>
      </c>
      <c r="H5561">
        <v>0</v>
      </c>
      <c r="I5561">
        <v>0</v>
      </c>
      <c r="J5561">
        <v>0</v>
      </c>
      <c r="K5561">
        <v>0</v>
      </c>
      <c r="L5561">
        <v>0</v>
      </c>
      <c r="M5561">
        <v>0</v>
      </c>
      <c r="N5561">
        <v>0</v>
      </c>
      <c r="O5561">
        <v>0</v>
      </c>
    </row>
    <row r="5562" spans="1:15" x14ac:dyDescent="0.35">
      <c r="A5562" t="s">
        <v>6119</v>
      </c>
      <c r="B5562" t="s">
        <v>6120</v>
      </c>
      <c r="C5562" t="s">
        <v>520</v>
      </c>
      <c r="D5562" t="s">
        <v>293</v>
      </c>
      <c r="E5562" t="s">
        <v>310</v>
      </c>
      <c r="F5562" t="s">
        <v>6129</v>
      </c>
      <c r="G5562">
        <v>679</v>
      </c>
      <c r="H5562">
        <v>83850.14</v>
      </c>
      <c r="I5562">
        <v>123.49</v>
      </c>
      <c r="J5562">
        <v>0</v>
      </c>
      <c r="K5562">
        <v>0</v>
      </c>
      <c r="L5562">
        <v>0</v>
      </c>
      <c r="M5562">
        <v>679</v>
      </c>
      <c r="N5562">
        <v>83850.14</v>
      </c>
      <c r="O5562">
        <v>123.49</v>
      </c>
    </row>
    <row r="5563" spans="1:15" x14ac:dyDescent="0.35">
      <c r="A5563" t="s">
        <v>6119</v>
      </c>
      <c r="B5563" t="s">
        <v>6120</v>
      </c>
      <c r="C5563" t="s">
        <v>520</v>
      </c>
      <c r="D5563" t="s">
        <v>293</v>
      </c>
      <c r="E5563" t="s">
        <v>312</v>
      </c>
      <c r="F5563" t="s">
        <v>6130</v>
      </c>
      <c r="G5563">
        <v>679</v>
      </c>
      <c r="H5563">
        <v>83850.14</v>
      </c>
      <c r="I5563">
        <v>123.49</v>
      </c>
      <c r="J5563">
        <v>0</v>
      </c>
      <c r="K5563">
        <v>0</v>
      </c>
      <c r="L5563">
        <v>0</v>
      </c>
      <c r="M5563">
        <v>679</v>
      </c>
      <c r="N5563">
        <v>83850.14</v>
      </c>
      <c r="O5563">
        <v>123.49</v>
      </c>
    </row>
    <row r="5564" spans="1:15" x14ac:dyDescent="0.35">
      <c r="A5564" t="s">
        <v>6119</v>
      </c>
      <c r="B5564" t="s">
        <v>6120</v>
      </c>
      <c r="C5564" t="s">
        <v>520</v>
      </c>
      <c r="D5564" t="s">
        <v>314</v>
      </c>
      <c r="E5564" t="s">
        <v>294</v>
      </c>
      <c r="F5564" t="s">
        <v>6131</v>
      </c>
      <c r="G5564">
        <v>21</v>
      </c>
      <c r="H5564">
        <v>2348.64</v>
      </c>
      <c r="I5564">
        <v>111.84</v>
      </c>
      <c r="J5564">
        <v>0</v>
      </c>
      <c r="K5564">
        <v>0</v>
      </c>
      <c r="L5564">
        <v>0</v>
      </c>
      <c r="M5564">
        <v>21</v>
      </c>
      <c r="N5564">
        <v>2348.64</v>
      </c>
      <c r="O5564">
        <v>111.84</v>
      </c>
    </row>
    <row r="5565" spans="1:15" x14ac:dyDescent="0.35">
      <c r="A5565" t="s">
        <v>6119</v>
      </c>
      <c r="B5565" t="s">
        <v>6120</v>
      </c>
      <c r="C5565" t="s">
        <v>520</v>
      </c>
      <c r="D5565" t="s">
        <v>314</v>
      </c>
      <c r="E5565" t="s">
        <v>296</v>
      </c>
      <c r="F5565" t="s">
        <v>6132</v>
      </c>
      <c r="G5565">
        <v>13</v>
      </c>
      <c r="H5565">
        <v>3960.54</v>
      </c>
      <c r="I5565">
        <v>304.66000000000003</v>
      </c>
      <c r="J5565">
        <v>0</v>
      </c>
      <c r="K5565">
        <v>0</v>
      </c>
      <c r="L5565">
        <v>0</v>
      </c>
      <c r="M5565">
        <v>13</v>
      </c>
      <c r="N5565">
        <v>3960.54</v>
      </c>
      <c r="O5565">
        <v>304.66000000000003</v>
      </c>
    </row>
    <row r="5566" spans="1:15" x14ac:dyDescent="0.35">
      <c r="A5566" t="s">
        <v>6119</v>
      </c>
      <c r="B5566" t="s">
        <v>6120</v>
      </c>
      <c r="C5566" t="s">
        <v>520</v>
      </c>
      <c r="D5566" t="s">
        <v>314</v>
      </c>
      <c r="E5566" t="s">
        <v>298</v>
      </c>
      <c r="F5566" t="s">
        <v>6133</v>
      </c>
      <c r="G5566">
        <v>0</v>
      </c>
      <c r="H5566">
        <v>0</v>
      </c>
      <c r="I5566">
        <v>0</v>
      </c>
      <c r="J5566">
        <v>0</v>
      </c>
      <c r="K5566">
        <v>0</v>
      </c>
      <c r="L5566">
        <v>0</v>
      </c>
      <c r="M5566">
        <v>0</v>
      </c>
      <c r="N5566">
        <v>0</v>
      </c>
      <c r="O5566">
        <v>0</v>
      </c>
    </row>
    <row r="5567" spans="1:15" x14ac:dyDescent="0.35">
      <c r="A5567" t="s">
        <v>6119</v>
      </c>
      <c r="B5567" t="s">
        <v>6120</v>
      </c>
      <c r="C5567" t="s">
        <v>520</v>
      </c>
      <c r="D5567" t="s">
        <v>314</v>
      </c>
      <c r="E5567" t="s">
        <v>300</v>
      </c>
      <c r="F5567" t="s">
        <v>6134</v>
      </c>
      <c r="G5567">
        <v>0</v>
      </c>
      <c r="H5567">
        <v>0</v>
      </c>
      <c r="I5567">
        <v>0</v>
      </c>
      <c r="J5567">
        <v>0</v>
      </c>
      <c r="K5567">
        <v>0</v>
      </c>
      <c r="L5567">
        <v>0</v>
      </c>
      <c r="M5567">
        <v>0</v>
      </c>
      <c r="N5567">
        <v>0</v>
      </c>
      <c r="O5567">
        <v>0</v>
      </c>
    </row>
    <row r="5568" spans="1:15" x14ac:dyDescent="0.35">
      <c r="A5568" t="s">
        <v>6119</v>
      </c>
      <c r="B5568" t="s">
        <v>6120</v>
      </c>
      <c r="C5568" t="s">
        <v>520</v>
      </c>
      <c r="D5568" t="s">
        <v>314</v>
      </c>
      <c r="E5568" t="s">
        <v>306</v>
      </c>
      <c r="F5568" t="s">
        <v>6135</v>
      </c>
      <c r="G5568">
        <v>0</v>
      </c>
      <c r="H5568">
        <v>0</v>
      </c>
      <c r="I5568">
        <v>0</v>
      </c>
      <c r="J5568">
        <v>0</v>
      </c>
      <c r="K5568">
        <v>0</v>
      </c>
      <c r="L5568">
        <v>0</v>
      </c>
      <c r="M5568">
        <v>0</v>
      </c>
      <c r="N5568">
        <v>0</v>
      </c>
      <c r="O5568">
        <v>0</v>
      </c>
    </row>
    <row r="5569" spans="1:15" x14ac:dyDescent="0.35">
      <c r="A5569" t="s">
        <v>6119</v>
      </c>
      <c r="B5569" t="s">
        <v>6120</v>
      </c>
      <c r="C5569" t="s">
        <v>520</v>
      </c>
      <c r="D5569" t="s">
        <v>314</v>
      </c>
      <c r="E5569" t="s">
        <v>308</v>
      </c>
      <c r="F5569" t="s">
        <v>6136</v>
      </c>
      <c r="G5569">
        <v>6</v>
      </c>
      <c r="H5569">
        <v>2014.8000000000002</v>
      </c>
      <c r="I5569">
        <v>335.8</v>
      </c>
      <c r="J5569">
        <v>0</v>
      </c>
      <c r="K5569">
        <v>0</v>
      </c>
      <c r="L5569">
        <v>0</v>
      </c>
      <c r="M5569">
        <v>6</v>
      </c>
      <c r="N5569">
        <v>2014.8000000000002</v>
      </c>
      <c r="O5569">
        <v>335.8</v>
      </c>
    </row>
    <row r="5570" spans="1:15" x14ac:dyDescent="0.35">
      <c r="A5570" t="s">
        <v>6119</v>
      </c>
      <c r="B5570" t="s">
        <v>6120</v>
      </c>
      <c r="C5570" t="s">
        <v>520</v>
      </c>
      <c r="D5570" t="s">
        <v>314</v>
      </c>
      <c r="E5570" t="s">
        <v>312</v>
      </c>
      <c r="F5570" t="s">
        <v>6137</v>
      </c>
      <c r="G5570">
        <v>34</v>
      </c>
      <c r="H5570">
        <v>6309.18</v>
      </c>
      <c r="I5570">
        <v>185.56</v>
      </c>
      <c r="J5570">
        <v>0</v>
      </c>
      <c r="K5570">
        <v>0</v>
      </c>
      <c r="L5570">
        <v>0</v>
      </c>
      <c r="M5570">
        <v>34</v>
      </c>
      <c r="N5570">
        <v>6309.18</v>
      </c>
      <c r="O5570">
        <v>185.56</v>
      </c>
    </row>
    <row r="5571" spans="1:15" x14ac:dyDescent="0.35">
      <c r="A5571" t="s">
        <v>6119</v>
      </c>
      <c r="B5571" t="s">
        <v>6120</v>
      </c>
      <c r="C5571" t="s">
        <v>520</v>
      </c>
      <c r="D5571" t="s">
        <v>314</v>
      </c>
      <c r="E5571" t="s">
        <v>310</v>
      </c>
      <c r="F5571" t="s">
        <v>6138</v>
      </c>
      <c r="G5571">
        <v>40</v>
      </c>
      <c r="H5571">
        <v>8323.98</v>
      </c>
      <c r="I5571">
        <v>208.1</v>
      </c>
      <c r="J5571">
        <v>0</v>
      </c>
      <c r="K5571">
        <v>0</v>
      </c>
      <c r="L5571">
        <v>0</v>
      </c>
      <c r="M5571">
        <v>40</v>
      </c>
      <c r="N5571">
        <v>8323.98</v>
      </c>
      <c r="O5571">
        <v>208.1</v>
      </c>
    </row>
    <row r="5572" spans="1:15" x14ac:dyDescent="0.35">
      <c r="A5572" t="s">
        <v>6119</v>
      </c>
      <c r="B5572" t="s">
        <v>6120</v>
      </c>
      <c r="C5572" t="s">
        <v>520</v>
      </c>
      <c r="D5572" t="s">
        <v>323</v>
      </c>
      <c r="E5572" t="s">
        <v>294</v>
      </c>
      <c r="F5572" t="s">
        <v>6139</v>
      </c>
      <c r="G5572">
        <v>1715</v>
      </c>
      <c r="H5572">
        <v>139261.38</v>
      </c>
      <c r="I5572">
        <v>81.2</v>
      </c>
      <c r="J5572">
        <v>0</v>
      </c>
      <c r="K5572">
        <v>0</v>
      </c>
      <c r="L5572">
        <v>0</v>
      </c>
      <c r="M5572">
        <v>1715</v>
      </c>
      <c r="N5572">
        <v>139261.38</v>
      </c>
      <c r="O5572">
        <v>81.2</v>
      </c>
    </row>
    <row r="5573" spans="1:15" x14ac:dyDescent="0.35">
      <c r="A5573" t="s">
        <v>6119</v>
      </c>
      <c r="B5573" t="s">
        <v>6120</v>
      </c>
      <c r="C5573" t="s">
        <v>520</v>
      </c>
      <c r="D5573" t="s">
        <v>323</v>
      </c>
      <c r="E5573" t="s">
        <v>296</v>
      </c>
      <c r="F5573" t="s">
        <v>6140</v>
      </c>
      <c r="G5573">
        <v>1053</v>
      </c>
      <c r="H5573">
        <v>98183.540000000023</v>
      </c>
      <c r="I5573">
        <v>93.24</v>
      </c>
      <c r="J5573">
        <v>0</v>
      </c>
      <c r="K5573">
        <v>0</v>
      </c>
      <c r="L5573">
        <v>0</v>
      </c>
      <c r="M5573">
        <v>1053</v>
      </c>
      <c r="N5573">
        <v>98183.540000000023</v>
      </c>
      <c r="O5573">
        <v>93.24</v>
      </c>
    </row>
    <row r="5574" spans="1:15" x14ac:dyDescent="0.35">
      <c r="A5574" t="s">
        <v>6119</v>
      </c>
      <c r="B5574" t="s">
        <v>6120</v>
      </c>
      <c r="C5574" t="s">
        <v>520</v>
      </c>
      <c r="D5574" t="s">
        <v>323</v>
      </c>
      <c r="E5574" t="s">
        <v>298</v>
      </c>
      <c r="F5574" t="s">
        <v>6141</v>
      </c>
      <c r="G5574">
        <v>807</v>
      </c>
      <c r="H5574">
        <v>85159.76</v>
      </c>
      <c r="I5574">
        <v>105.53</v>
      </c>
      <c r="J5574">
        <v>0</v>
      </c>
      <c r="K5574">
        <v>0</v>
      </c>
      <c r="L5574">
        <v>0</v>
      </c>
      <c r="M5574">
        <v>807</v>
      </c>
      <c r="N5574">
        <v>85159.76</v>
      </c>
      <c r="O5574">
        <v>105.53</v>
      </c>
    </row>
    <row r="5575" spans="1:15" x14ac:dyDescent="0.35">
      <c r="A5575" t="s">
        <v>6119</v>
      </c>
      <c r="B5575" t="s">
        <v>6120</v>
      </c>
      <c r="C5575" t="s">
        <v>520</v>
      </c>
      <c r="D5575" t="s">
        <v>323</v>
      </c>
      <c r="E5575" t="s">
        <v>300</v>
      </c>
      <c r="F5575" t="s">
        <v>6142</v>
      </c>
      <c r="G5575">
        <v>60</v>
      </c>
      <c r="H5575">
        <v>6971.94</v>
      </c>
      <c r="I5575">
        <v>116.2</v>
      </c>
      <c r="J5575">
        <v>0</v>
      </c>
      <c r="K5575">
        <v>0</v>
      </c>
      <c r="L5575">
        <v>0</v>
      </c>
      <c r="M5575">
        <v>60</v>
      </c>
      <c r="N5575">
        <v>6971.94</v>
      </c>
      <c r="O5575">
        <v>116.2</v>
      </c>
    </row>
    <row r="5576" spans="1:15" x14ac:dyDescent="0.35">
      <c r="A5576" t="s">
        <v>6119</v>
      </c>
      <c r="B5576" t="s">
        <v>6120</v>
      </c>
      <c r="C5576" t="s">
        <v>520</v>
      </c>
      <c r="D5576" t="s">
        <v>323</v>
      </c>
      <c r="E5576" t="s">
        <v>302</v>
      </c>
      <c r="F5576" t="s">
        <v>6143</v>
      </c>
      <c r="G5576">
        <v>4</v>
      </c>
      <c r="H5576">
        <v>527.72</v>
      </c>
      <c r="I5576">
        <v>131.93</v>
      </c>
      <c r="J5576">
        <v>0</v>
      </c>
      <c r="K5576">
        <v>0</v>
      </c>
      <c r="L5576">
        <v>0</v>
      </c>
      <c r="M5576">
        <v>4</v>
      </c>
      <c r="N5576">
        <v>527.72</v>
      </c>
      <c r="O5576">
        <v>131.93</v>
      </c>
    </row>
    <row r="5577" spans="1:15" x14ac:dyDescent="0.35">
      <c r="A5577" t="s">
        <v>6119</v>
      </c>
      <c r="B5577" t="s">
        <v>6120</v>
      </c>
      <c r="C5577" t="s">
        <v>520</v>
      </c>
      <c r="D5577" t="s">
        <v>323</v>
      </c>
      <c r="E5577" t="s">
        <v>304</v>
      </c>
      <c r="F5577" t="s">
        <v>6144</v>
      </c>
      <c r="G5577">
        <v>1</v>
      </c>
      <c r="H5577">
        <v>132.84</v>
      </c>
      <c r="I5577">
        <v>132.84</v>
      </c>
      <c r="J5577">
        <v>0</v>
      </c>
      <c r="K5577">
        <v>0</v>
      </c>
      <c r="L5577">
        <v>0</v>
      </c>
      <c r="M5577">
        <v>1</v>
      </c>
      <c r="N5577">
        <v>132.84</v>
      </c>
      <c r="O5577">
        <v>132.84</v>
      </c>
    </row>
    <row r="5578" spans="1:15" x14ac:dyDescent="0.35">
      <c r="A5578" t="s">
        <v>6119</v>
      </c>
      <c r="B5578" t="s">
        <v>6120</v>
      </c>
      <c r="C5578" t="s">
        <v>520</v>
      </c>
      <c r="D5578" t="s">
        <v>323</v>
      </c>
      <c r="E5578" t="s">
        <v>306</v>
      </c>
      <c r="F5578" t="s">
        <v>6145</v>
      </c>
      <c r="G5578">
        <v>31</v>
      </c>
      <c r="H5578">
        <v>2193.25</v>
      </c>
      <c r="I5578">
        <v>70.75</v>
      </c>
      <c r="J5578">
        <v>0</v>
      </c>
      <c r="K5578">
        <v>0</v>
      </c>
      <c r="L5578">
        <v>0</v>
      </c>
      <c r="M5578">
        <v>31</v>
      </c>
      <c r="N5578">
        <v>2193.25</v>
      </c>
      <c r="O5578">
        <v>70.75</v>
      </c>
    </row>
    <row r="5579" spans="1:15" x14ac:dyDescent="0.35">
      <c r="A5579" t="s">
        <v>6119</v>
      </c>
      <c r="B5579" t="s">
        <v>6120</v>
      </c>
      <c r="C5579" t="s">
        <v>520</v>
      </c>
      <c r="D5579" t="s">
        <v>323</v>
      </c>
      <c r="E5579" t="s">
        <v>308</v>
      </c>
      <c r="F5579" t="s">
        <v>6146</v>
      </c>
      <c r="G5579">
        <v>0</v>
      </c>
      <c r="H5579">
        <v>0</v>
      </c>
      <c r="I5579">
        <v>0</v>
      </c>
      <c r="J5579">
        <v>0</v>
      </c>
      <c r="K5579">
        <v>0</v>
      </c>
      <c r="L5579">
        <v>0</v>
      </c>
      <c r="M5579">
        <v>0</v>
      </c>
      <c r="N5579">
        <v>0</v>
      </c>
      <c r="O5579">
        <v>0</v>
      </c>
    </row>
    <row r="5580" spans="1:15" x14ac:dyDescent="0.35">
      <c r="A5580" t="s">
        <v>6119</v>
      </c>
      <c r="B5580" t="s">
        <v>6120</v>
      </c>
      <c r="C5580" t="s">
        <v>520</v>
      </c>
      <c r="D5580" t="s">
        <v>323</v>
      </c>
      <c r="E5580" t="s">
        <v>310</v>
      </c>
      <c r="F5580" t="s">
        <v>6147</v>
      </c>
      <c r="G5580">
        <v>3671</v>
      </c>
      <c r="H5580">
        <v>332430.43000000005</v>
      </c>
      <c r="I5580">
        <v>90.56</v>
      </c>
      <c r="J5580">
        <v>0</v>
      </c>
      <c r="K5580">
        <v>0</v>
      </c>
      <c r="L5580">
        <v>0</v>
      </c>
      <c r="M5580">
        <v>3671</v>
      </c>
      <c r="N5580">
        <v>332430.43000000005</v>
      </c>
      <c r="O5580">
        <v>90.56</v>
      </c>
    </row>
    <row r="5581" spans="1:15" x14ac:dyDescent="0.35">
      <c r="A5581" t="s">
        <v>6119</v>
      </c>
      <c r="B5581" t="s">
        <v>6120</v>
      </c>
      <c r="C5581" t="s">
        <v>520</v>
      </c>
      <c r="D5581" t="s">
        <v>323</v>
      </c>
      <c r="E5581" t="s">
        <v>312</v>
      </c>
      <c r="F5581" t="s">
        <v>6148</v>
      </c>
      <c r="G5581">
        <v>3671</v>
      </c>
      <c r="H5581">
        <v>332430.43000000005</v>
      </c>
      <c r="I5581">
        <v>90.56</v>
      </c>
      <c r="J5581">
        <v>0</v>
      </c>
      <c r="K5581">
        <v>0</v>
      </c>
      <c r="L5581">
        <v>0</v>
      </c>
      <c r="M5581">
        <v>3671</v>
      </c>
      <c r="N5581">
        <v>332430.43000000005</v>
      </c>
      <c r="O5581">
        <v>90.56</v>
      </c>
    </row>
    <row r="5582" spans="1:15" x14ac:dyDescent="0.35">
      <c r="A5582" t="s">
        <v>6119</v>
      </c>
      <c r="B5582" t="s">
        <v>6120</v>
      </c>
      <c r="C5582" t="s">
        <v>520</v>
      </c>
      <c r="D5582" t="s">
        <v>334</v>
      </c>
      <c r="E5582" t="s">
        <v>312</v>
      </c>
      <c r="F5582" t="s">
        <v>6149</v>
      </c>
      <c r="G5582">
        <v>4358</v>
      </c>
      <c r="H5582">
        <v>416280.57000000007</v>
      </c>
      <c r="I5582">
        <v>95.7</v>
      </c>
      <c r="J5582">
        <v>0</v>
      </c>
      <c r="K5582">
        <v>0</v>
      </c>
      <c r="L5582">
        <v>0</v>
      </c>
      <c r="M5582">
        <v>4358</v>
      </c>
      <c r="N5582">
        <v>416280.57000000007</v>
      </c>
      <c r="O5582">
        <v>95.7</v>
      </c>
    </row>
    <row r="5583" spans="1:15" x14ac:dyDescent="0.35">
      <c r="A5583" t="s">
        <v>6119</v>
      </c>
      <c r="B5583" t="s">
        <v>6120</v>
      </c>
      <c r="C5583" t="s">
        <v>520</v>
      </c>
      <c r="D5583" t="s">
        <v>334</v>
      </c>
      <c r="E5583" t="s">
        <v>308</v>
      </c>
      <c r="F5583" t="s">
        <v>6150</v>
      </c>
      <c r="G5583">
        <v>0</v>
      </c>
      <c r="H5583">
        <v>0</v>
      </c>
      <c r="I5583">
        <v>0</v>
      </c>
      <c r="J5583">
        <v>0</v>
      </c>
      <c r="K5583">
        <v>0</v>
      </c>
      <c r="L5583">
        <v>0</v>
      </c>
      <c r="M5583">
        <v>0</v>
      </c>
      <c r="N5583">
        <v>0</v>
      </c>
      <c r="O5583">
        <v>0</v>
      </c>
    </row>
    <row r="5584" spans="1:15" x14ac:dyDescent="0.35">
      <c r="A5584" t="s">
        <v>6119</v>
      </c>
      <c r="B5584" t="s">
        <v>6120</v>
      </c>
      <c r="C5584" t="s">
        <v>520</v>
      </c>
      <c r="D5584" t="s">
        <v>337</v>
      </c>
      <c r="E5584" t="s">
        <v>337</v>
      </c>
      <c r="F5584" t="s">
        <v>6151</v>
      </c>
      <c r="G5584">
        <v>42</v>
      </c>
      <c r="J5584">
        <v>0</v>
      </c>
      <c r="M5584">
        <v>42</v>
      </c>
    </row>
    <row r="5585" spans="1:15" x14ac:dyDescent="0.35">
      <c r="A5585" t="s">
        <v>6119</v>
      </c>
      <c r="B5585" t="s">
        <v>6120</v>
      </c>
      <c r="C5585" t="s">
        <v>520</v>
      </c>
      <c r="D5585" t="s">
        <v>339</v>
      </c>
      <c r="E5585" t="s">
        <v>294</v>
      </c>
      <c r="F5585" t="s">
        <v>6152</v>
      </c>
      <c r="G5585">
        <v>211</v>
      </c>
      <c r="H5585">
        <v>29621.46</v>
      </c>
      <c r="I5585">
        <v>140.38999999999999</v>
      </c>
      <c r="J5585">
        <v>0</v>
      </c>
      <c r="K5585">
        <v>0</v>
      </c>
      <c r="L5585">
        <v>0</v>
      </c>
      <c r="M5585">
        <v>211</v>
      </c>
      <c r="N5585">
        <v>29621.46</v>
      </c>
      <c r="O5585">
        <v>140.38999999999999</v>
      </c>
    </row>
    <row r="5586" spans="1:15" x14ac:dyDescent="0.35">
      <c r="A5586" t="s">
        <v>6119</v>
      </c>
      <c r="B5586" t="s">
        <v>6120</v>
      </c>
      <c r="C5586" t="s">
        <v>520</v>
      </c>
      <c r="D5586" t="s">
        <v>339</v>
      </c>
      <c r="E5586" t="s">
        <v>296</v>
      </c>
      <c r="F5586" t="s">
        <v>6153</v>
      </c>
      <c r="G5586">
        <v>13</v>
      </c>
      <c r="H5586">
        <v>1789.7399999999998</v>
      </c>
      <c r="I5586">
        <v>137.66999999999999</v>
      </c>
      <c r="J5586">
        <v>0</v>
      </c>
      <c r="K5586">
        <v>0</v>
      </c>
      <c r="L5586">
        <v>0</v>
      </c>
      <c r="M5586">
        <v>13</v>
      </c>
      <c r="N5586">
        <v>1789.7399999999998</v>
      </c>
      <c r="O5586">
        <v>137.66999999999999</v>
      </c>
    </row>
    <row r="5587" spans="1:15" x14ac:dyDescent="0.35">
      <c r="A5587" t="s">
        <v>6119</v>
      </c>
      <c r="B5587" t="s">
        <v>6120</v>
      </c>
      <c r="C5587" t="s">
        <v>520</v>
      </c>
      <c r="D5587" t="s">
        <v>339</v>
      </c>
      <c r="E5587" t="s">
        <v>298</v>
      </c>
      <c r="F5587" t="s">
        <v>6154</v>
      </c>
      <c r="G5587">
        <v>3</v>
      </c>
      <c r="H5587">
        <v>358.11</v>
      </c>
      <c r="I5587">
        <v>119.37</v>
      </c>
      <c r="J5587">
        <v>0</v>
      </c>
      <c r="K5587">
        <v>0</v>
      </c>
      <c r="L5587">
        <v>0</v>
      </c>
      <c r="M5587">
        <v>3</v>
      </c>
      <c r="N5587">
        <v>358.11</v>
      </c>
      <c r="O5587">
        <v>119.37</v>
      </c>
    </row>
    <row r="5588" spans="1:15" x14ac:dyDescent="0.35">
      <c r="A5588" t="s">
        <v>6119</v>
      </c>
      <c r="B5588" t="s">
        <v>6120</v>
      </c>
      <c r="C5588" t="s">
        <v>520</v>
      </c>
      <c r="D5588" t="s">
        <v>339</v>
      </c>
      <c r="E5588" t="s">
        <v>300</v>
      </c>
      <c r="F5588" t="s">
        <v>6155</v>
      </c>
      <c r="G5588">
        <v>0</v>
      </c>
      <c r="H5588">
        <v>0</v>
      </c>
      <c r="I5588">
        <v>0</v>
      </c>
      <c r="J5588">
        <v>0</v>
      </c>
      <c r="K5588">
        <v>0</v>
      </c>
      <c r="L5588">
        <v>0</v>
      </c>
      <c r="M5588">
        <v>0</v>
      </c>
      <c r="N5588">
        <v>0</v>
      </c>
      <c r="O5588">
        <v>0</v>
      </c>
    </row>
    <row r="5589" spans="1:15" x14ac:dyDescent="0.35">
      <c r="A5589" t="s">
        <v>6119</v>
      </c>
      <c r="B5589" t="s">
        <v>6120</v>
      </c>
      <c r="C5589" t="s">
        <v>520</v>
      </c>
      <c r="D5589" t="s">
        <v>339</v>
      </c>
      <c r="E5589" t="s">
        <v>306</v>
      </c>
      <c r="F5589" t="s">
        <v>6156</v>
      </c>
      <c r="G5589">
        <v>58</v>
      </c>
      <c r="H5589">
        <v>4851.42</v>
      </c>
      <c r="I5589">
        <v>83.65</v>
      </c>
      <c r="J5589">
        <v>0</v>
      </c>
      <c r="K5589">
        <v>0</v>
      </c>
      <c r="L5589">
        <v>0</v>
      </c>
      <c r="M5589">
        <v>58</v>
      </c>
      <c r="N5589">
        <v>4851.42</v>
      </c>
      <c r="O5589">
        <v>83.65</v>
      </c>
    </row>
    <row r="5590" spans="1:15" x14ac:dyDescent="0.35">
      <c r="A5590" t="s">
        <v>6119</v>
      </c>
      <c r="B5590" t="s">
        <v>6120</v>
      </c>
      <c r="C5590" t="s">
        <v>520</v>
      </c>
      <c r="D5590" t="s">
        <v>339</v>
      </c>
      <c r="E5590" t="s">
        <v>308</v>
      </c>
      <c r="F5590" t="s">
        <v>6157</v>
      </c>
      <c r="G5590">
        <v>34</v>
      </c>
      <c r="H5590">
        <v>4527.8600000000006</v>
      </c>
      <c r="I5590">
        <v>133.16999999999999</v>
      </c>
      <c r="J5590">
        <v>0</v>
      </c>
      <c r="K5590">
        <v>0</v>
      </c>
      <c r="L5590">
        <v>0</v>
      </c>
      <c r="M5590">
        <v>34</v>
      </c>
      <c r="N5590">
        <v>4527.8600000000006</v>
      </c>
      <c r="O5590">
        <v>133.16999999999999</v>
      </c>
    </row>
    <row r="5591" spans="1:15" x14ac:dyDescent="0.35">
      <c r="A5591" t="s">
        <v>6119</v>
      </c>
      <c r="B5591" t="s">
        <v>6120</v>
      </c>
      <c r="C5591" t="s">
        <v>520</v>
      </c>
      <c r="D5591" t="s">
        <v>339</v>
      </c>
      <c r="E5591" t="s">
        <v>310</v>
      </c>
      <c r="F5591" t="s">
        <v>6158</v>
      </c>
      <c r="G5591">
        <v>319</v>
      </c>
      <c r="H5591">
        <v>41148.589999999997</v>
      </c>
      <c r="I5591">
        <v>128.99</v>
      </c>
      <c r="J5591">
        <v>0</v>
      </c>
      <c r="K5591">
        <v>0</v>
      </c>
      <c r="L5591">
        <v>0</v>
      </c>
      <c r="M5591">
        <v>319</v>
      </c>
      <c r="N5591">
        <v>41148.589999999997</v>
      </c>
      <c r="O5591">
        <v>128.99</v>
      </c>
    </row>
    <row r="5592" spans="1:15" x14ac:dyDescent="0.35">
      <c r="A5592" t="s">
        <v>6119</v>
      </c>
      <c r="B5592" t="s">
        <v>6120</v>
      </c>
      <c r="C5592" t="s">
        <v>520</v>
      </c>
      <c r="D5592" t="s">
        <v>339</v>
      </c>
      <c r="E5592" t="s">
        <v>312</v>
      </c>
      <c r="F5592" t="s">
        <v>6159</v>
      </c>
      <c r="G5592">
        <v>285</v>
      </c>
      <c r="H5592">
        <v>36620.729999999996</v>
      </c>
      <c r="I5592">
        <v>128.49</v>
      </c>
      <c r="J5592">
        <v>0</v>
      </c>
      <c r="K5592">
        <v>0</v>
      </c>
      <c r="L5592">
        <v>0</v>
      </c>
      <c r="M5592">
        <v>285</v>
      </c>
      <c r="N5592">
        <v>36620.729999999996</v>
      </c>
      <c r="O5592">
        <v>128.49</v>
      </c>
    </row>
    <row r="5593" spans="1:15" x14ac:dyDescent="0.35">
      <c r="A5593" t="s">
        <v>6119</v>
      </c>
      <c r="B5593" t="s">
        <v>6120</v>
      </c>
      <c r="C5593" t="s">
        <v>520</v>
      </c>
      <c r="D5593" t="s">
        <v>348</v>
      </c>
      <c r="E5593" t="s">
        <v>349</v>
      </c>
      <c r="F5593" t="s">
        <v>6160</v>
      </c>
      <c r="G5593">
        <v>490</v>
      </c>
      <c r="H5593">
        <v>49472.57</v>
      </c>
      <c r="I5593">
        <v>137.81</v>
      </c>
      <c r="J5593">
        <v>0</v>
      </c>
      <c r="K5593">
        <v>0</v>
      </c>
      <c r="L5593">
        <v>0</v>
      </c>
      <c r="M5593">
        <v>490</v>
      </c>
      <c r="N5593">
        <v>49472.57</v>
      </c>
      <c r="O5593">
        <v>137.81</v>
      </c>
    </row>
    <row r="5594" spans="1:15" x14ac:dyDescent="0.35">
      <c r="A5594" t="s">
        <v>6161</v>
      </c>
      <c r="B5594" t="s">
        <v>6162</v>
      </c>
      <c r="C5594" t="s">
        <v>520</v>
      </c>
      <c r="D5594" t="s">
        <v>293</v>
      </c>
      <c r="E5594" t="s">
        <v>294</v>
      </c>
      <c r="F5594" t="s">
        <v>6163</v>
      </c>
      <c r="G5594">
        <v>201</v>
      </c>
      <c r="H5594">
        <v>21139.22</v>
      </c>
      <c r="I5594">
        <v>105.17</v>
      </c>
      <c r="J5594">
        <v>0</v>
      </c>
      <c r="K5594">
        <v>0</v>
      </c>
      <c r="L5594">
        <v>0</v>
      </c>
      <c r="M5594">
        <v>201</v>
      </c>
      <c r="N5594">
        <v>21139.22</v>
      </c>
      <c r="O5594">
        <v>105.17</v>
      </c>
    </row>
    <row r="5595" spans="1:15" x14ac:dyDescent="0.35">
      <c r="A5595" t="s">
        <v>6161</v>
      </c>
      <c r="B5595" t="s">
        <v>6162</v>
      </c>
      <c r="C5595" t="s">
        <v>520</v>
      </c>
      <c r="D5595" t="s">
        <v>293</v>
      </c>
      <c r="E5595" t="s">
        <v>296</v>
      </c>
      <c r="F5595" t="s">
        <v>6164</v>
      </c>
      <c r="G5595">
        <v>1170</v>
      </c>
      <c r="H5595">
        <v>154174.49999999994</v>
      </c>
      <c r="I5595">
        <v>131.77000000000001</v>
      </c>
      <c r="J5595">
        <v>0</v>
      </c>
      <c r="K5595">
        <v>0</v>
      </c>
      <c r="L5595">
        <v>0</v>
      </c>
      <c r="M5595">
        <v>1170</v>
      </c>
      <c r="N5595">
        <v>154174.49999999994</v>
      </c>
      <c r="O5595">
        <v>131.77000000000001</v>
      </c>
    </row>
    <row r="5596" spans="1:15" x14ac:dyDescent="0.35">
      <c r="A5596" t="s">
        <v>6161</v>
      </c>
      <c r="B5596" t="s">
        <v>6162</v>
      </c>
      <c r="C5596" t="s">
        <v>520</v>
      </c>
      <c r="D5596" t="s">
        <v>293</v>
      </c>
      <c r="E5596" t="s">
        <v>298</v>
      </c>
      <c r="F5596" t="s">
        <v>6165</v>
      </c>
      <c r="G5596">
        <v>655</v>
      </c>
      <c r="H5596">
        <v>97020.690000000017</v>
      </c>
      <c r="I5596">
        <v>148.12</v>
      </c>
      <c r="J5596">
        <v>0</v>
      </c>
      <c r="K5596">
        <v>0</v>
      </c>
      <c r="L5596">
        <v>0</v>
      </c>
      <c r="M5596">
        <v>655</v>
      </c>
      <c r="N5596">
        <v>97020.690000000017</v>
      </c>
      <c r="O5596">
        <v>148.12</v>
      </c>
    </row>
    <row r="5597" spans="1:15" x14ac:dyDescent="0.35">
      <c r="A5597" t="s">
        <v>6161</v>
      </c>
      <c r="B5597" t="s">
        <v>6162</v>
      </c>
      <c r="C5597" t="s">
        <v>520</v>
      </c>
      <c r="D5597" t="s">
        <v>293</v>
      </c>
      <c r="E5597" t="s">
        <v>300</v>
      </c>
      <c r="F5597" t="s">
        <v>6166</v>
      </c>
      <c r="G5597">
        <v>61</v>
      </c>
      <c r="H5597">
        <v>10240.4</v>
      </c>
      <c r="I5597">
        <v>167.88</v>
      </c>
      <c r="J5597">
        <v>0</v>
      </c>
      <c r="K5597">
        <v>0</v>
      </c>
      <c r="L5597">
        <v>0</v>
      </c>
      <c r="M5597">
        <v>61</v>
      </c>
      <c r="N5597">
        <v>10240.4</v>
      </c>
      <c r="O5597">
        <v>167.88</v>
      </c>
    </row>
    <row r="5598" spans="1:15" x14ac:dyDescent="0.35">
      <c r="A5598" t="s">
        <v>6161</v>
      </c>
      <c r="B5598" t="s">
        <v>6162</v>
      </c>
      <c r="C5598" t="s">
        <v>520</v>
      </c>
      <c r="D5598" t="s">
        <v>293</v>
      </c>
      <c r="E5598" t="s">
        <v>302</v>
      </c>
      <c r="F5598" t="s">
        <v>6167</v>
      </c>
      <c r="G5598">
        <v>2</v>
      </c>
      <c r="H5598">
        <v>400.58000000000004</v>
      </c>
      <c r="I5598">
        <v>200.29</v>
      </c>
      <c r="J5598">
        <v>0</v>
      </c>
      <c r="K5598">
        <v>0</v>
      </c>
      <c r="L5598">
        <v>0</v>
      </c>
      <c r="M5598">
        <v>2</v>
      </c>
      <c r="N5598">
        <v>400.58000000000004</v>
      </c>
      <c r="O5598">
        <v>200.29</v>
      </c>
    </row>
    <row r="5599" spans="1:15" x14ac:dyDescent="0.35">
      <c r="A5599" t="s">
        <v>6161</v>
      </c>
      <c r="B5599" t="s">
        <v>6162</v>
      </c>
      <c r="C5599" t="s">
        <v>520</v>
      </c>
      <c r="D5599" t="s">
        <v>293</v>
      </c>
      <c r="E5599" t="s">
        <v>304</v>
      </c>
      <c r="F5599" t="s">
        <v>6168</v>
      </c>
      <c r="G5599">
        <v>0</v>
      </c>
      <c r="H5599">
        <v>0</v>
      </c>
      <c r="I5599">
        <v>0</v>
      </c>
      <c r="J5599">
        <v>0</v>
      </c>
      <c r="K5599">
        <v>0</v>
      </c>
      <c r="L5599">
        <v>0</v>
      </c>
      <c r="M5599">
        <v>0</v>
      </c>
      <c r="N5599">
        <v>0</v>
      </c>
      <c r="O5599">
        <v>0</v>
      </c>
    </row>
    <row r="5600" spans="1:15" x14ac:dyDescent="0.35">
      <c r="A5600" t="s">
        <v>6161</v>
      </c>
      <c r="B5600" t="s">
        <v>6162</v>
      </c>
      <c r="C5600" t="s">
        <v>520</v>
      </c>
      <c r="D5600" t="s">
        <v>293</v>
      </c>
      <c r="E5600" t="s">
        <v>306</v>
      </c>
      <c r="F5600" t="s">
        <v>6169</v>
      </c>
      <c r="G5600">
        <v>0</v>
      </c>
      <c r="H5600">
        <v>0</v>
      </c>
      <c r="I5600">
        <v>0</v>
      </c>
      <c r="J5600">
        <v>0</v>
      </c>
      <c r="K5600">
        <v>0</v>
      </c>
      <c r="L5600">
        <v>0</v>
      </c>
      <c r="M5600">
        <v>0</v>
      </c>
      <c r="N5600">
        <v>0</v>
      </c>
      <c r="O5600">
        <v>0</v>
      </c>
    </row>
    <row r="5601" spans="1:15" x14ac:dyDescent="0.35">
      <c r="A5601" t="s">
        <v>6161</v>
      </c>
      <c r="B5601" t="s">
        <v>6162</v>
      </c>
      <c r="C5601" t="s">
        <v>520</v>
      </c>
      <c r="D5601" t="s">
        <v>293</v>
      </c>
      <c r="E5601" t="s">
        <v>308</v>
      </c>
      <c r="F5601" t="s">
        <v>6170</v>
      </c>
      <c r="G5601">
        <v>0</v>
      </c>
      <c r="H5601">
        <v>0</v>
      </c>
      <c r="I5601">
        <v>0</v>
      </c>
      <c r="J5601">
        <v>0</v>
      </c>
      <c r="K5601">
        <v>0</v>
      </c>
      <c r="L5601">
        <v>0</v>
      </c>
      <c r="M5601">
        <v>0</v>
      </c>
      <c r="N5601">
        <v>0</v>
      </c>
      <c r="O5601">
        <v>0</v>
      </c>
    </row>
    <row r="5602" spans="1:15" x14ac:dyDescent="0.35">
      <c r="A5602" t="s">
        <v>6161</v>
      </c>
      <c r="B5602" t="s">
        <v>6162</v>
      </c>
      <c r="C5602" t="s">
        <v>520</v>
      </c>
      <c r="D5602" t="s">
        <v>293</v>
      </c>
      <c r="E5602" t="s">
        <v>310</v>
      </c>
      <c r="F5602" t="s">
        <v>6171</v>
      </c>
      <c r="G5602">
        <v>2089</v>
      </c>
      <c r="H5602">
        <v>282975.39</v>
      </c>
      <c r="I5602">
        <v>135.46</v>
      </c>
      <c r="J5602">
        <v>0</v>
      </c>
      <c r="K5602">
        <v>0</v>
      </c>
      <c r="L5602">
        <v>0</v>
      </c>
      <c r="M5602">
        <v>2089</v>
      </c>
      <c r="N5602">
        <v>282975.39</v>
      </c>
      <c r="O5602">
        <v>135.46</v>
      </c>
    </row>
    <row r="5603" spans="1:15" x14ac:dyDescent="0.35">
      <c r="A5603" t="s">
        <v>6161</v>
      </c>
      <c r="B5603" t="s">
        <v>6162</v>
      </c>
      <c r="C5603" t="s">
        <v>520</v>
      </c>
      <c r="D5603" t="s">
        <v>293</v>
      </c>
      <c r="E5603" t="s">
        <v>312</v>
      </c>
      <c r="F5603" t="s">
        <v>6172</v>
      </c>
      <c r="G5603">
        <v>2089</v>
      </c>
      <c r="H5603">
        <v>282975.39</v>
      </c>
      <c r="I5603">
        <v>135.46</v>
      </c>
      <c r="J5603">
        <v>0</v>
      </c>
      <c r="K5603">
        <v>0</v>
      </c>
      <c r="L5603">
        <v>0</v>
      </c>
      <c r="M5603">
        <v>2089</v>
      </c>
      <c r="N5603">
        <v>282975.39</v>
      </c>
      <c r="O5603">
        <v>135.46</v>
      </c>
    </row>
    <row r="5604" spans="1:15" x14ac:dyDescent="0.35">
      <c r="A5604" t="s">
        <v>6161</v>
      </c>
      <c r="B5604" t="s">
        <v>6162</v>
      </c>
      <c r="C5604" t="s">
        <v>520</v>
      </c>
      <c r="D5604" t="s">
        <v>314</v>
      </c>
      <c r="E5604" t="s">
        <v>294</v>
      </c>
      <c r="F5604" t="s">
        <v>6173</v>
      </c>
      <c r="G5604">
        <v>88</v>
      </c>
      <c r="H5604">
        <v>21012.639999999999</v>
      </c>
      <c r="I5604">
        <v>238.78</v>
      </c>
      <c r="J5604">
        <v>0</v>
      </c>
      <c r="K5604">
        <v>0</v>
      </c>
      <c r="L5604">
        <v>0</v>
      </c>
      <c r="M5604">
        <v>88</v>
      </c>
      <c r="N5604">
        <v>21012.639999999999</v>
      </c>
      <c r="O5604">
        <v>238.78</v>
      </c>
    </row>
    <row r="5605" spans="1:15" x14ac:dyDescent="0.35">
      <c r="A5605" t="s">
        <v>6161</v>
      </c>
      <c r="B5605" t="s">
        <v>6162</v>
      </c>
      <c r="C5605" t="s">
        <v>520</v>
      </c>
      <c r="D5605" t="s">
        <v>314</v>
      </c>
      <c r="E5605" t="s">
        <v>296</v>
      </c>
      <c r="F5605" t="s">
        <v>6174</v>
      </c>
      <c r="G5605">
        <v>108</v>
      </c>
      <c r="H5605">
        <v>24438.240000000002</v>
      </c>
      <c r="I5605">
        <v>226.28</v>
      </c>
      <c r="J5605">
        <v>0</v>
      </c>
      <c r="K5605">
        <v>0</v>
      </c>
      <c r="L5605">
        <v>0</v>
      </c>
      <c r="M5605">
        <v>108</v>
      </c>
      <c r="N5605">
        <v>24438.240000000002</v>
      </c>
      <c r="O5605">
        <v>226.28</v>
      </c>
    </row>
    <row r="5606" spans="1:15" x14ac:dyDescent="0.35">
      <c r="A5606" t="s">
        <v>6161</v>
      </c>
      <c r="B5606" t="s">
        <v>6162</v>
      </c>
      <c r="C5606" t="s">
        <v>520</v>
      </c>
      <c r="D5606" t="s">
        <v>314</v>
      </c>
      <c r="E5606" t="s">
        <v>298</v>
      </c>
      <c r="F5606" t="s">
        <v>6175</v>
      </c>
      <c r="G5606">
        <v>2</v>
      </c>
      <c r="H5606">
        <v>423.68</v>
      </c>
      <c r="I5606">
        <v>211.84</v>
      </c>
      <c r="J5606">
        <v>0</v>
      </c>
      <c r="K5606">
        <v>0</v>
      </c>
      <c r="L5606">
        <v>0</v>
      </c>
      <c r="M5606">
        <v>2</v>
      </c>
      <c r="N5606">
        <v>423.68</v>
      </c>
      <c r="O5606">
        <v>211.84</v>
      </c>
    </row>
    <row r="5607" spans="1:15" x14ac:dyDescent="0.35">
      <c r="A5607" t="s">
        <v>6161</v>
      </c>
      <c r="B5607" t="s">
        <v>6162</v>
      </c>
      <c r="C5607" t="s">
        <v>520</v>
      </c>
      <c r="D5607" t="s">
        <v>314</v>
      </c>
      <c r="E5607" t="s">
        <v>300</v>
      </c>
      <c r="F5607" t="s">
        <v>6176</v>
      </c>
      <c r="G5607">
        <v>4</v>
      </c>
      <c r="H5607">
        <v>985.56</v>
      </c>
      <c r="I5607">
        <v>246.39</v>
      </c>
      <c r="J5607">
        <v>0</v>
      </c>
      <c r="K5607">
        <v>0</v>
      </c>
      <c r="L5607">
        <v>0</v>
      </c>
      <c r="M5607">
        <v>4</v>
      </c>
      <c r="N5607">
        <v>985.56</v>
      </c>
      <c r="O5607">
        <v>246.39</v>
      </c>
    </row>
    <row r="5608" spans="1:15" x14ac:dyDescent="0.35">
      <c r="A5608" t="s">
        <v>6161</v>
      </c>
      <c r="B5608" t="s">
        <v>6162</v>
      </c>
      <c r="C5608" t="s">
        <v>520</v>
      </c>
      <c r="D5608" t="s">
        <v>314</v>
      </c>
      <c r="E5608" t="s">
        <v>306</v>
      </c>
      <c r="F5608" t="s">
        <v>6177</v>
      </c>
      <c r="G5608">
        <v>14</v>
      </c>
      <c r="H5608">
        <v>6396.18</v>
      </c>
      <c r="I5608">
        <v>456.87</v>
      </c>
      <c r="J5608">
        <v>0</v>
      </c>
      <c r="K5608">
        <v>0</v>
      </c>
      <c r="L5608">
        <v>0</v>
      </c>
      <c r="M5608">
        <v>14</v>
      </c>
      <c r="N5608">
        <v>6396.18</v>
      </c>
      <c r="O5608">
        <v>456.87</v>
      </c>
    </row>
    <row r="5609" spans="1:15" x14ac:dyDescent="0.35">
      <c r="A5609" t="s">
        <v>6161</v>
      </c>
      <c r="B5609" t="s">
        <v>6162</v>
      </c>
      <c r="C5609" t="s">
        <v>520</v>
      </c>
      <c r="D5609" t="s">
        <v>314</v>
      </c>
      <c r="E5609" t="s">
        <v>308</v>
      </c>
      <c r="F5609" t="s">
        <v>6178</v>
      </c>
      <c r="G5609">
        <v>8</v>
      </c>
      <c r="H5609">
        <v>2689.04</v>
      </c>
      <c r="I5609">
        <v>336.13</v>
      </c>
      <c r="J5609">
        <v>0</v>
      </c>
      <c r="K5609">
        <v>0</v>
      </c>
      <c r="L5609">
        <v>0</v>
      </c>
      <c r="M5609">
        <v>8</v>
      </c>
      <c r="N5609">
        <v>2689.04</v>
      </c>
      <c r="O5609">
        <v>336.13</v>
      </c>
    </row>
    <row r="5610" spans="1:15" x14ac:dyDescent="0.35">
      <c r="A5610" t="s">
        <v>6161</v>
      </c>
      <c r="B5610" t="s">
        <v>6162</v>
      </c>
      <c r="C5610" t="s">
        <v>520</v>
      </c>
      <c r="D5610" t="s">
        <v>314</v>
      </c>
      <c r="E5610" t="s">
        <v>312</v>
      </c>
      <c r="F5610" t="s">
        <v>6179</v>
      </c>
      <c r="G5610">
        <v>216</v>
      </c>
      <c r="H5610">
        <v>53256.3</v>
      </c>
      <c r="I5610">
        <v>246.56</v>
      </c>
      <c r="J5610">
        <v>0</v>
      </c>
      <c r="K5610">
        <v>0</v>
      </c>
      <c r="L5610">
        <v>0</v>
      </c>
      <c r="M5610">
        <v>216</v>
      </c>
      <c r="N5610">
        <v>53256.3</v>
      </c>
      <c r="O5610">
        <v>246.56</v>
      </c>
    </row>
    <row r="5611" spans="1:15" x14ac:dyDescent="0.35">
      <c r="A5611" t="s">
        <v>6161</v>
      </c>
      <c r="B5611" t="s">
        <v>6162</v>
      </c>
      <c r="C5611" t="s">
        <v>520</v>
      </c>
      <c r="D5611" t="s">
        <v>314</v>
      </c>
      <c r="E5611" t="s">
        <v>310</v>
      </c>
      <c r="F5611" t="s">
        <v>6180</v>
      </c>
      <c r="G5611">
        <v>224</v>
      </c>
      <c r="H5611">
        <v>55945.340000000004</v>
      </c>
      <c r="I5611">
        <v>249.76</v>
      </c>
      <c r="J5611">
        <v>0</v>
      </c>
      <c r="K5611">
        <v>0</v>
      </c>
      <c r="L5611">
        <v>0</v>
      </c>
      <c r="M5611">
        <v>224</v>
      </c>
      <c r="N5611">
        <v>55945.340000000004</v>
      </c>
      <c r="O5611">
        <v>249.76</v>
      </c>
    </row>
    <row r="5612" spans="1:15" x14ac:dyDescent="0.35">
      <c r="A5612" t="s">
        <v>6161</v>
      </c>
      <c r="B5612" t="s">
        <v>6162</v>
      </c>
      <c r="C5612" t="s">
        <v>520</v>
      </c>
      <c r="D5612" t="s">
        <v>323</v>
      </c>
      <c r="E5612" t="s">
        <v>294</v>
      </c>
      <c r="F5612" t="s">
        <v>6181</v>
      </c>
      <c r="G5612">
        <v>2660</v>
      </c>
      <c r="H5612">
        <v>221132.42999999996</v>
      </c>
      <c r="I5612">
        <v>83.13</v>
      </c>
      <c r="J5612">
        <v>0</v>
      </c>
      <c r="K5612">
        <v>0</v>
      </c>
      <c r="L5612">
        <v>0</v>
      </c>
      <c r="M5612">
        <v>2660</v>
      </c>
      <c r="N5612">
        <v>221132.42999999996</v>
      </c>
      <c r="O5612">
        <v>83.13</v>
      </c>
    </row>
    <row r="5613" spans="1:15" x14ac:dyDescent="0.35">
      <c r="A5613" t="s">
        <v>6161</v>
      </c>
      <c r="B5613" t="s">
        <v>6162</v>
      </c>
      <c r="C5613" t="s">
        <v>520</v>
      </c>
      <c r="D5613" t="s">
        <v>323</v>
      </c>
      <c r="E5613" t="s">
        <v>296</v>
      </c>
      <c r="F5613" t="s">
        <v>6182</v>
      </c>
      <c r="G5613">
        <v>2590</v>
      </c>
      <c r="H5613">
        <v>252205.93</v>
      </c>
      <c r="I5613">
        <v>97.38</v>
      </c>
      <c r="J5613">
        <v>0</v>
      </c>
      <c r="K5613">
        <v>0</v>
      </c>
      <c r="L5613">
        <v>0</v>
      </c>
      <c r="M5613">
        <v>2590</v>
      </c>
      <c r="N5613">
        <v>252205.93</v>
      </c>
      <c r="O5613">
        <v>97.38</v>
      </c>
    </row>
    <row r="5614" spans="1:15" x14ac:dyDescent="0.35">
      <c r="A5614" t="s">
        <v>6161</v>
      </c>
      <c r="B5614" t="s">
        <v>6162</v>
      </c>
      <c r="C5614" t="s">
        <v>520</v>
      </c>
      <c r="D5614" t="s">
        <v>323</v>
      </c>
      <c r="E5614" t="s">
        <v>298</v>
      </c>
      <c r="F5614" t="s">
        <v>6183</v>
      </c>
      <c r="G5614">
        <v>3177</v>
      </c>
      <c r="H5614">
        <v>341885.36</v>
      </c>
      <c r="I5614">
        <v>107.61</v>
      </c>
      <c r="J5614">
        <v>0</v>
      </c>
      <c r="K5614">
        <v>0</v>
      </c>
      <c r="L5614">
        <v>0</v>
      </c>
      <c r="M5614">
        <v>3177</v>
      </c>
      <c r="N5614">
        <v>341885.36</v>
      </c>
      <c r="O5614">
        <v>107.61</v>
      </c>
    </row>
    <row r="5615" spans="1:15" x14ac:dyDescent="0.35">
      <c r="A5615" t="s">
        <v>6161</v>
      </c>
      <c r="B5615" t="s">
        <v>6162</v>
      </c>
      <c r="C5615" t="s">
        <v>520</v>
      </c>
      <c r="D5615" t="s">
        <v>323</v>
      </c>
      <c r="E5615" t="s">
        <v>300</v>
      </c>
      <c r="F5615" t="s">
        <v>6184</v>
      </c>
      <c r="G5615">
        <v>194</v>
      </c>
      <c r="H5615">
        <v>23535.41</v>
      </c>
      <c r="I5615">
        <v>121.32</v>
      </c>
      <c r="J5615">
        <v>0</v>
      </c>
      <c r="K5615">
        <v>0</v>
      </c>
      <c r="L5615">
        <v>0</v>
      </c>
      <c r="M5615">
        <v>194</v>
      </c>
      <c r="N5615">
        <v>23535.41</v>
      </c>
      <c r="O5615">
        <v>121.32</v>
      </c>
    </row>
    <row r="5616" spans="1:15" x14ac:dyDescent="0.35">
      <c r="A5616" t="s">
        <v>6161</v>
      </c>
      <c r="B5616" t="s">
        <v>6162</v>
      </c>
      <c r="C5616" t="s">
        <v>520</v>
      </c>
      <c r="D5616" t="s">
        <v>323</v>
      </c>
      <c r="E5616" t="s">
        <v>302</v>
      </c>
      <c r="F5616" t="s">
        <v>6185</v>
      </c>
      <c r="G5616">
        <v>12</v>
      </c>
      <c r="H5616">
        <v>1605.93</v>
      </c>
      <c r="I5616">
        <v>133.83000000000001</v>
      </c>
      <c r="J5616">
        <v>0</v>
      </c>
      <c r="K5616">
        <v>0</v>
      </c>
      <c r="L5616">
        <v>0</v>
      </c>
      <c r="M5616">
        <v>12</v>
      </c>
      <c r="N5616">
        <v>1605.93</v>
      </c>
      <c r="O5616">
        <v>133.83000000000001</v>
      </c>
    </row>
    <row r="5617" spans="1:15" x14ac:dyDescent="0.35">
      <c r="A5617" t="s">
        <v>6161</v>
      </c>
      <c r="B5617" t="s">
        <v>6162</v>
      </c>
      <c r="C5617" t="s">
        <v>520</v>
      </c>
      <c r="D5617" t="s">
        <v>323</v>
      </c>
      <c r="E5617" t="s">
        <v>304</v>
      </c>
      <c r="F5617" t="s">
        <v>6186</v>
      </c>
      <c r="G5617">
        <v>1</v>
      </c>
      <c r="H5617">
        <v>154.18</v>
      </c>
      <c r="I5617">
        <v>154.18</v>
      </c>
      <c r="J5617">
        <v>0</v>
      </c>
      <c r="K5617">
        <v>0</v>
      </c>
      <c r="L5617">
        <v>0</v>
      </c>
      <c r="M5617">
        <v>1</v>
      </c>
      <c r="N5617">
        <v>154.18</v>
      </c>
      <c r="O5617">
        <v>154.18</v>
      </c>
    </row>
    <row r="5618" spans="1:15" x14ac:dyDescent="0.35">
      <c r="A5618" t="s">
        <v>6161</v>
      </c>
      <c r="B5618" t="s">
        <v>6162</v>
      </c>
      <c r="C5618" t="s">
        <v>520</v>
      </c>
      <c r="D5618" t="s">
        <v>323</v>
      </c>
      <c r="E5618" t="s">
        <v>306</v>
      </c>
      <c r="F5618" t="s">
        <v>6187</v>
      </c>
      <c r="G5618">
        <v>62</v>
      </c>
      <c r="H5618">
        <v>4654.33</v>
      </c>
      <c r="I5618">
        <v>75.069999999999993</v>
      </c>
      <c r="J5618">
        <v>0</v>
      </c>
      <c r="K5618">
        <v>0</v>
      </c>
      <c r="L5618">
        <v>0</v>
      </c>
      <c r="M5618">
        <v>62</v>
      </c>
      <c r="N5618">
        <v>4654.33</v>
      </c>
      <c r="O5618">
        <v>75.069999999999993</v>
      </c>
    </row>
    <row r="5619" spans="1:15" x14ac:dyDescent="0.35">
      <c r="A5619" t="s">
        <v>6161</v>
      </c>
      <c r="B5619" t="s">
        <v>6162</v>
      </c>
      <c r="C5619" t="s">
        <v>520</v>
      </c>
      <c r="D5619" t="s">
        <v>323</v>
      </c>
      <c r="E5619" t="s">
        <v>308</v>
      </c>
      <c r="F5619" t="s">
        <v>6188</v>
      </c>
      <c r="G5619">
        <v>0</v>
      </c>
      <c r="H5619">
        <v>0</v>
      </c>
      <c r="I5619">
        <v>0</v>
      </c>
      <c r="J5619">
        <v>0</v>
      </c>
      <c r="K5619">
        <v>0</v>
      </c>
      <c r="L5619">
        <v>0</v>
      </c>
      <c r="M5619">
        <v>0</v>
      </c>
      <c r="N5619">
        <v>0</v>
      </c>
      <c r="O5619">
        <v>0</v>
      </c>
    </row>
    <row r="5620" spans="1:15" x14ac:dyDescent="0.35">
      <c r="A5620" t="s">
        <v>6161</v>
      </c>
      <c r="B5620" t="s">
        <v>6162</v>
      </c>
      <c r="C5620" t="s">
        <v>520</v>
      </c>
      <c r="D5620" t="s">
        <v>323</v>
      </c>
      <c r="E5620" t="s">
        <v>310</v>
      </c>
      <c r="F5620" t="s">
        <v>6189</v>
      </c>
      <c r="G5620">
        <v>8696</v>
      </c>
      <c r="H5620">
        <v>845173.57000000007</v>
      </c>
      <c r="I5620">
        <v>97.19</v>
      </c>
      <c r="J5620">
        <v>0</v>
      </c>
      <c r="K5620">
        <v>0</v>
      </c>
      <c r="L5620">
        <v>0</v>
      </c>
      <c r="M5620">
        <v>8696</v>
      </c>
      <c r="N5620">
        <v>845173.57000000007</v>
      </c>
      <c r="O5620">
        <v>97.19</v>
      </c>
    </row>
    <row r="5621" spans="1:15" x14ac:dyDescent="0.35">
      <c r="A5621" t="s">
        <v>6161</v>
      </c>
      <c r="B5621" t="s">
        <v>6162</v>
      </c>
      <c r="C5621" t="s">
        <v>520</v>
      </c>
      <c r="D5621" t="s">
        <v>323</v>
      </c>
      <c r="E5621" t="s">
        <v>312</v>
      </c>
      <c r="F5621" t="s">
        <v>6190</v>
      </c>
      <c r="G5621">
        <v>8696</v>
      </c>
      <c r="H5621">
        <v>845173.57000000007</v>
      </c>
      <c r="I5621">
        <v>97.19</v>
      </c>
      <c r="J5621">
        <v>0</v>
      </c>
      <c r="K5621">
        <v>0</v>
      </c>
      <c r="L5621">
        <v>0</v>
      </c>
      <c r="M5621">
        <v>8696</v>
      </c>
      <c r="N5621">
        <v>845173.57000000007</v>
      </c>
      <c r="O5621">
        <v>97.19</v>
      </c>
    </row>
    <row r="5622" spans="1:15" x14ac:dyDescent="0.35">
      <c r="A5622" t="s">
        <v>6161</v>
      </c>
      <c r="B5622" t="s">
        <v>6162</v>
      </c>
      <c r="C5622" t="s">
        <v>520</v>
      </c>
      <c r="D5622" t="s">
        <v>334</v>
      </c>
      <c r="E5622" t="s">
        <v>312</v>
      </c>
      <c r="F5622" t="s">
        <v>6191</v>
      </c>
      <c r="G5622">
        <v>10836</v>
      </c>
      <c r="H5622">
        <v>1128148.9599999997</v>
      </c>
      <c r="I5622">
        <v>104.6</v>
      </c>
      <c r="J5622">
        <v>0</v>
      </c>
      <c r="K5622">
        <v>0</v>
      </c>
      <c r="L5622">
        <v>0</v>
      </c>
      <c r="M5622">
        <v>10836</v>
      </c>
      <c r="N5622">
        <v>1128148.9599999997</v>
      </c>
      <c r="O5622">
        <v>104.6</v>
      </c>
    </row>
    <row r="5623" spans="1:15" x14ac:dyDescent="0.35">
      <c r="A5623" t="s">
        <v>6161</v>
      </c>
      <c r="B5623" t="s">
        <v>6162</v>
      </c>
      <c r="C5623" t="s">
        <v>520</v>
      </c>
      <c r="D5623" t="s">
        <v>334</v>
      </c>
      <c r="E5623" t="s">
        <v>308</v>
      </c>
      <c r="F5623" t="s">
        <v>6192</v>
      </c>
      <c r="G5623">
        <v>0</v>
      </c>
      <c r="H5623">
        <v>0</v>
      </c>
      <c r="I5623">
        <v>0</v>
      </c>
      <c r="J5623">
        <v>0</v>
      </c>
      <c r="K5623">
        <v>0</v>
      </c>
      <c r="L5623">
        <v>0</v>
      </c>
      <c r="M5623">
        <v>0</v>
      </c>
      <c r="N5623">
        <v>0</v>
      </c>
      <c r="O5623">
        <v>0</v>
      </c>
    </row>
    <row r="5624" spans="1:15" x14ac:dyDescent="0.35">
      <c r="A5624" t="s">
        <v>6161</v>
      </c>
      <c r="B5624" t="s">
        <v>6162</v>
      </c>
      <c r="C5624" t="s">
        <v>520</v>
      </c>
      <c r="D5624" t="s">
        <v>337</v>
      </c>
      <c r="E5624" t="s">
        <v>337</v>
      </c>
      <c r="F5624" t="s">
        <v>6193</v>
      </c>
      <c r="G5624">
        <v>946</v>
      </c>
      <c r="J5624">
        <v>0</v>
      </c>
      <c r="M5624">
        <v>946</v>
      </c>
    </row>
    <row r="5625" spans="1:15" x14ac:dyDescent="0.35">
      <c r="A5625" t="s">
        <v>6161</v>
      </c>
      <c r="B5625" t="s">
        <v>6162</v>
      </c>
      <c r="C5625" t="s">
        <v>520</v>
      </c>
      <c r="D5625" t="s">
        <v>339</v>
      </c>
      <c r="E5625" t="s">
        <v>294</v>
      </c>
      <c r="F5625" t="s">
        <v>6194</v>
      </c>
      <c r="G5625">
        <v>1090</v>
      </c>
      <c r="H5625">
        <v>109438.22</v>
      </c>
      <c r="I5625">
        <v>100.4</v>
      </c>
      <c r="J5625">
        <v>0</v>
      </c>
      <c r="K5625">
        <v>0</v>
      </c>
      <c r="L5625">
        <v>0</v>
      </c>
      <c r="M5625">
        <v>1090</v>
      </c>
      <c r="N5625">
        <v>109438.22</v>
      </c>
      <c r="O5625">
        <v>100.4</v>
      </c>
    </row>
    <row r="5626" spans="1:15" x14ac:dyDescent="0.35">
      <c r="A5626" t="s">
        <v>6161</v>
      </c>
      <c r="B5626" t="s">
        <v>6162</v>
      </c>
      <c r="C5626" t="s">
        <v>520</v>
      </c>
      <c r="D5626" t="s">
        <v>339</v>
      </c>
      <c r="E5626" t="s">
        <v>296</v>
      </c>
      <c r="F5626" t="s">
        <v>6195</v>
      </c>
      <c r="G5626">
        <v>70</v>
      </c>
      <c r="H5626">
        <v>7032.4800000000005</v>
      </c>
      <c r="I5626">
        <v>100.46</v>
      </c>
      <c r="J5626">
        <v>0</v>
      </c>
      <c r="K5626">
        <v>0</v>
      </c>
      <c r="L5626">
        <v>0</v>
      </c>
      <c r="M5626">
        <v>70</v>
      </c>
      <c r="N5626">
        <v>7032.4800000000005</v>
      </c>
      <c r="O5626">
        <v>100.46</v>
      </c>
    </row>
    <row r="5627" spans="1:15" x14ac:dyDescent="0.35">
      <c r="A5627" t="s">
        <v>6161</v>
      </c>
      <c r="B5627" t="s">
        <v>6162</v>
      </c>
      <c r="C5627" t="s">
        <v>520</v>
      </c>
      <c r="D5627" t="s">
        <v>339</v>
      </c>
      <c r="E5627" t="s">
        <v>298</v>
      </c>
      <c r="F5627" t="s">
        <v>6196</v>
      </c>
      <c r="G5627">
        <v>22</v>
      </c>
      <c r="H5627">
        <v>2471.08</v>
      </c>
      <c r="I5627">
        <v>112.32</v>
      </c>
      <c r="J5627">
        <v>0</v>
      </c>
      <c r="K5627">
        <v>0</v>
      </c>
      <c r="L5627">
        <v>0</v>
      </c>
      <c r="M5627">
        <v>22</v>
      </c>
      <c r="N5627">
        <v>2471.08</v>
      </c>
      <c r="O5627">
        <v>112.32</v>
      </c>
    </row>
    <row r="5628" spans="1:15" x14ac:dyDescent="0.35">
      <c r="A5628" t="s">
        <v>6161</v>
      </c>
      <c r="B5628" t="s">
        <v>6162</v>
      </c>
      <c r="C5628" t="s">
        <v>520</v>
      </c>
      <c r="D5628" t="s">
        <v>339</v>
      </c>
      <c r="E5628" t="s">
        <v>300</v>
      </c>
      <c r="F5628" t="s">
        <v>6197</v>
      </c>
      <c r="G5628">
        <v>3</v>
      </c>
      <c r="H5628">
        <v>335.21999999999997</v>
      </c>
      <c r="I5628">
        <v>111.74</v>
      </c>
      <c r="J5628">
        <v>0</v>
      </c>
      <c r="K5628">
        <v>0</v>
      </c>
      <c r="L5628">
        <v>0</v>
      </c>
      <c r="M5628">
        <v>3</v>
      </c>
      <c r="N5628">
        <v>335.21999999999997</v>
      </c>
      <c r="O5628">
        <v>111.74</v>
      </c>
    </row>
    <row r="5629" spans="1:15" x14ac:dyDescent="0.35">
      <c r="A5629" t="s">
        <v>6161</v>
      </c>
      <c r="B5629" t="s">
        <v>6162</v>
      </c>
      <c r="C5629" t="s">
        <v>520</v>
      </c>
      <c r="D5629" t="s">
        <v>339</v>
      </c>
      <c r="E5629" t="s">
        <v>306</v>
      </c>
      <c r="F5629" t="s">
        <v>6198</v>
      </c>
      <c r="G5629">
        <v>149</v>
      </c>
      <c r="H5629">
        <v>12930.88</v>
      </c>
      <c r="I5629">
        <v>86.78</v>
      </c>
      <c r="J5629">
        <v>0</v>
      </c>
      <c r="K5629">
        <v>0</v>
      </c>
      <c r="L5629">
        <v>0</v>
      </c>
      <c r="M5629">
        <v>149</v>
      </c>
      <c r="N5629">
        <v>12930.88</v>
      </c>
      <c r="O5629">
        <v>86.78</v>
      </c>
    </row>
    <row r="5630" spans="1:15" x14ac:dyDescent="0.35">
      <c r="A5630" t="s">
        <v>6161</v>
      </c>
      <c r="B5630" t="s">
        <v>6162</v>
      </c>
      <c r="C5630" t="s">
        <v>520</v>
      </c>
      <c r="D5630" t="s">
        <v>339</v>
      </c>
      <c r="E5630" t="s">
        <v>308</v>
      </c>
      <c r="F5630" t="s">
        <v>6199</v>
      </c>
      <c r="G5630">
        <v>175</v>
      </c>
      <c r="H5630">
        <v>23504.28</v>
      </c>
      <c r="I5630">
        <v>134.31</v>
      </c>
      <c r="J5630">
        <v>0</v>
      </c>
      <c r="K5630">
        <v>0</v>
      </c>
      <c r="L5630">
        <v>0</v>
      </c>
      <c r="M5630">
        <v>175</v>
      </c>
      <c r="N5630">
        <v>23504.28</v>
      </c>
      <c r="O5630">
        <v>134.31</v>
      </c>
    </row>
    <row r="5631" spans="1:15" x14ac:dyDescent="0.35">
      <c r="A5631" t="s">
        <v>6161</v>
      </c>
      <c r="B5631" t="s">
        <v>6162</v>
      </c>
      <c r="C5631" t="s">
        <v>520</v>
      </c>
      <c r="D5631" t="s">
        <v>339</v>
      </c>
      <c r="E5631" t="s">
        <v>310</v>
      </c>
      <c r="F5631" t="s">
        <v>6200</v>
      </c>
      <c r="G5631">
        <v>1509</v>
      </c>
      <c r="H5631">
        <v>155712.16</v>
      </c>
      <c r="I5631">
        <v>103.19</v>
      </c>
      <c r="J5631">
        <v>0</v>
      </c>
      <c r="K5631">
        <v>0</v>
      </c>
      <c r="L5631">
        <v>0</v>
      </c>
      <c r="M5631">
        <v>1509</v>
      </c>
      <c r="N5631">
        <v>155712.16</v>
      </c>
      <c r="O5631">
        <v>103.19</v>
      </c>
    </row>
    <row r="5632" spans="1:15" x14ac:dyDescent="0.35">
      <c r="A5632" t="s">
        <v>6161</v>
      </c>
      <c r="B5632" t="s">
        <v>6162</v>
      </c>
      <c r="C5632" t="s">
        <v>520</v>
      </c>
      <c r="D5632" t="s">
        <v>339</v>
      </c>
      <c r="E5632" t="s">
        <v>312</v>
      </c>
      <c r="F5632" t="s">
        <v>6201</v>
      </c>
      <c r="G5632">
        <v>1334</v>
      </c>
      <c r="H5632">
        <v>132207.88</v>
      </c>
      <c r="I5632">
        <v>99.11</v>
      </c>
      <c r="J5632">
        <v>0</v>
      </c>
      <c r="K5632">
        <v>0</v>
      </c>
      <c r="L5632">
        <v>0</v>
      </c>
      <c r="M5632">
        <v>1334</v>
      </c>
      <c r="N5632">
        <v>132207.88</v>
      </c>
      <c r="O5632">
        <v>99.11</v>
      </c>
    </row>
    <row r="5633" spans="1:15" x14ac:dyDescent="0.35">
      <c r="A5633" t="s">
        <v>6161</v>
      </c>
      <c r="B5633" t="s">
        <v>6162</v>
      </c>
      <c r="C5633" t="s">
        <v>520</v>
      </c>
      <c r="D5633" t="s">
        <v>348</v>
      </c>
      <c r="E5633" t="s">
        <v>349</v>
      </c>
      <c r="F5633" t="s">
        <v>6202</v>
      </c>
      <c r="G5633">
        <v>1843</v>
      </c>
      <c r="H5633">
        <v>211657.5</v>
      </c>
      <c r="I5633">
        <v>122.13</v>
      </c>
      <c r="J5633">
        <v>0</v>
      </c>
      <c r="K5633">
        <v>0</v>
      </c>
      <c r="L5633">
        <v>0</v>
      </c>
      <c r="M5633">
        <v>1843</v>
      </c>
      <c r="N5633">
        <v>211657.5</v>
      </c>
      <c r="O5633">
        <v>122.13</v>
      </c>
    </row>
    <row r="5634" spans="1:15" x14ac:dyDescent="0.35">
      <c r="A5634" t="s">
        <v>6203</v>
      </c>
      <c r="B5634" t="s">
        <v>6204</v>
      </c>
      <c r="C5634" t="s">
        <v>520</v>
      </c>
      <c r="D5634" t="s">
        <v>293</v>
      </c>
      <c r="E5634" t="s">
        <v>294</v>
      </c>
      <c r="F5634" t="s">
        <v>6205</v>
      </c>
      <c r="G5634">
        <v>101</v>
      </c>
      <c r="H5634">
        <v>10365.25</v>
      </c>
      <c r="I5634">
        <v>102.63</v>
      </c>
      <c r="J5634">
        <v>0</v>
      </c>
      <c r="K5634">
        <v>0</v>
      </c>
      <c r="L5634">
        <v>0</v>
      </c>
      <c r="M5634">
        <v>101</v>
      </c>
      <c r="N5634">
        <v>10365.25</v>
      </c>
      <c r="O5634">
        <v>102.63</v>
      </c>
    </row>
    <row r="5635" spans="1:15" x14ac:dyDescent="0.35">
      <c r="A5635" t="s">
        <v>6203</v>
      </c>
      <c r="B5635" t="s">
        <v>6204</v>
      </c>
      <c r="C5635" t="s">
        <v>520</v>
      </c>
      <c r="D5635" t="s">
        <v>293</v>
      </c>
      <c r="E5635" t="s">
        <v>296</v>
      </c>
      <c r="F5635" t="s">
        <v>6206</v>
      </c>
      <c r="G5635">
        <v>324</v>
      </c>
      <c r="H5635">
        <v>39400.81</v>
      </c>
      <c r="I5635">
        <v>121.61</v>
      </c>
      <c r="J5635">
        <v>0</v>
      </c>
      <c r="K5635">
        <v>0</v>
      </c>
      <c r="L5635">
        <v>0</v>
      </c>
      <c r="M5635">
        <v>324</v>
      </c>
      <c r="N5635">
        <v>39400.81</v>
      </c>
      <c r="O5635">
        <v>121.61</v>
      </c>
    </row>
    <row r="5636" spans="1:15" x14ac:dyDescent="0.35">
      <c r="A5636" t="s">
        <v>6203</v>
      </c>
      <c r="B5636" t="s">
        <v>6204</v>
      </c>
      <c r="C5636" t="s">
        <v>520</v>
      </c>
      <c r="D5636" t="s">
        <v>293</v>
      </c>
      <c r="E5636" t="s">
        <v>298</v>
      </c>
      <c r="F5636" t="s">
        <v>6207</v>
      </c>
      <c r="G5636">
        <v>138</v>
      </c>
      <c r="H5636">
        <v>19275.7</v>
      </c>
      <c r="I5636">
        <v>139.68</v>
      </c>
      <c r="J5636">
        <v>0</v>
      </c>
      <c r="K5636">
        <v>0</v>
      </c>
      <c r="L5636">
        <v>0</v>
      </c>
      <c r="M5636">
        <v>138</v>
      </c>
      <c r="N5636">
        <v>19275.7</v>
      </c>
      <c r="O5636">
        <v>139.68</v>
      </c>
    </row>
    <row r="5637" spans="1:15" x14ac:dyDescent="0.35">
      <c r="A5637" t="s">
        <v>6203</v>
      </c>
      <c r="B5637" t="s">
        <v>6204</v>
      </c>
      <c r="C5637" t="s">
        <v>520</v>
      </c>
      <c r="D5637" t="s">
        <v>293</v>
      </c>
      <c r="E5637" t="s">
        <v>300</v>
      </c>
      <c r="F5637" t="s">
        <v>6208</v>
      </c>
      <c r="G5637">
        <v>15</v>
      </c>
      <c r="H5637">
        <v>2534.38</v>
      </c>
      <c r="I5637">
        <v>168.96</v>
      </c>
      <c r="J5637">
        <v>0</v>
      </c>
      <c r="K5637">
        <v>0</v>
      </c>
      <c r="L5637">
        <v>0</v>
      </c>
      <c r="M5637">
        <v>15</v>
      </c>
      <c r="N5637">
        <v>2534.38</v>
      </c>
      <c r="O5637">
        <v>168.96</v>
      </c>
    </row>
    <row r="5638" spans="1:15" x14ac:dyDescent="0.35">
      <c r="A5638" t="s">
        <v>6203</v>
      </c>
      <c r="B5638" t="s">
        <v>6204</v>
      </c>
      <c r="C5638" t="s">
        <v>520</v>
      </c>
      <c r="D5638" t="s">
        <v>293</v>
      </c>
      <c r="E5638" t="s">
        <v>302</v>
      </c>
      <c r="F5638" t="s">
        <v>6209</v>
      </c>
      <c r="G5638">
        <v>1</v>
      </c>
      <c r="H5638">
        <v>176.75</v>
      </c>
      <c r="I5638">
        <v>176.75</v>
      </c>
      <c r="J5638">
        <v>0</v>
      </c>
      <c r="K5638">
        <v>0</v>
      </c>
      <c r="L5638">
        <v>0</v>
      </c>
      <c r="M5638">
        <v>1</v>
      </c>
      <c r="N5638">
        <v>176.75</v>
      </c>
      <c r="O5638">
        <v>176.75</v>
      </c>
    </row>
    <row r="5639" spans="1:15" x14ac:dyDescent="0.35">
      <c r="A5639" t="s">
        <v>6203</v>
      </c>
      <c r="B5639" t="s">
        <v>6204</v>
      </c>
      <c r="C5639" t="s">
        <v>520</v>
      </c>
      <c r="D5639" t="s">
        <v>293</v>
      </c>
      <c r="E5639" t="s">
        <v>304</v>
      </c>
      <c r="F5639" t="s">
        <v>6210</v>
      </c>
      <c r="G5639">
        <v>0</v>
      </c>
      <c r="H5639">
        <v>0</v>
      </c>
      <c r="I5639">
        <v>0</v>
      </c>
      <c r="J5639">
        <v>0</v>
      </c>
      <c r="K5639">
        <v>0</v>
      </c>
      <c r="L5639">
        <v>0</v>
      </c>
      <c r="M5639">
        <v>0</v>
      </c>
      <c r="N5639">
        <v>0</v>
      </c>
      <c r="O5639">
        <v>0</v>
      </c>
    </row>
    <row r="5640" spans="1:15" x14ac:dyDescent="0.35">
      <c r="A5640" t="s">
        <v>6203</v>
      </c>
      <c r="B5640" t="s">
        <v>6204</v>
      </c>
      <c r="C5640" t="s">
        <v>520</v>
      </c>
      <c r="D5640" t="s">
        <v>293</v>
      </c>
      <c r="E5640" t="s">
        <v>306</v>
      </c>
      <c r="F5640" t="s">
        <v>6211</v>
      </c>
      <c r="G5640">
        <v>0</v>
      </c>
      <c r="H5640">
        <v>0</v>
      </c>
      <c r="I5640">
        <v>0</v>
      </c>
      <c r="J5640">
        <v>0</v>
      </c>
      <c r="K5640">
        <v>0</v>
      </c>
      <c r="L5640">
        <v>0</v>
      </c>
      <c r="M5640">
        <v>0</v>
      </c>
      <c r="N5640">
        <v>0</v>
      </c>
      <c r="O5640">
        <v>0</v>
      </c>
    </row>
    <row r="5641" spans="1:15" x14ac:dyDescent="0.35">
      <c r="A5641" t="s">
        <v>6203</v>
      </c>
      <c r="B5641" t="s">
        <v>6204</v>
      </c>
      <c r="C5641" t="s">
        <v>520</v>
      </c>
      <c r="D5641" t="s">
        <v>293</v>
      </c>
      <c r="E5641" t="s">
        <v>308</v>
      </c>
      <c r="F5641" t="s">
        <v>6212</v>
      </c>
      <c r="G5641">
        <v>0</v>
      </c>
      <c r="H5641">
        <v>0</v>
      </c>
      <c r="I5641">
        <v>0</v>
      </c>
      <c r="J5641">
        <v>0</v>
      </c>
      <c r="K5641">
        <v>0</v>
      </c>
      <c r="L5641">
        <v>0</v>
      </c>
      <c r="M5641">
        <v>0</v>
      </c>
      <c r="N5641">
        <v>0</v>
      </c>
      <c r="O5641">
        <v>0</v>
      </c>
    </row>
    <row r="5642" spans="1:15" x14ac:dyDescent="0.35">
      <c r="A5642" t="s">
        <v>6203</v>
      </c>
      <c r="B5642" t="s">
        <v>6204</v>
      </c>
      <c r="C5642" t="s">
        <v>520</v>
      </c>
      <c r="D5642" t="s">
        <v>293</v>
      </c>
      <c r="E5642" t="s">
        <v>310</v>
      </c>
      <c r="F5642" t="s">
        <v>6213</v>
      </c>
      <c r="G5642">
        <v>579</v>
      </c>
      <c r="H5642">
        <v>71752.89</v>
      </c>
      <c r="I5642">
        <v>123.93</v>
      </c>
      <c r="J5642">
        <v>0</v>
      </c>
      <c r="K5642">
        <v>0</v>
      </c>
      <c r="L5642">
        <v>0</v>
      </c>
      <c r="M5642">
        <v>579</v>
      </c>
      <c r="N5642">
        <v>71752.89</v>
      </c>
      <c r="O5642">
        <v>123.93</v>
      </c>
    </row>
    <row r="5643" spans="1:15" x14ac:dyDescent="0.35">
      <c r="A5643" t="s">
        <v>6203</v>
      </c>
      <c r="B5643" t="s">
        <v>6204</v>
      </c>
      <c r="C5643" t="s">
        <v>520</v>
      </c>
      <c r="D5643" t="s">
        <v>293</v>
      </c>
      <c r="E5643" t="s">
        <v>312</v>
      </c>
      <c r="F5643" t="s">
        <v>6214</v>
      </c>
      <c r="G5643">
        <v>579</v>
      </c>
      <c r="H5643">
        <v>71752.89</v>
      </c>
      <c r="I5643">
        <v>123.93</v>
      </c>
      <c r="J5643">
        <v>0</v>
      </c>
      <c r="K5643">
        <v>0</v>
      </c>
      <c r="L5643">
        <v>0</v>
      </c>
      <c r="M5643">
        <v>579</v>
      </c>
      <c r="N5643">
        <v>71752.89</v>
      </c>
      <c r="O5643">
        <v>123.93</v>
      </c>
    </row>
    <row r="5644" spans="1:15" x14ac:dyDescent="0.35">
      <c r="A5644" t="s">
        <v>6203</v>
      </c>
      <c r="B5644" t="s">
        <v>6204</v>
      </c>
      <c r="C5644" t="s">
        <v>520</v>
      </c>
      <c r="D5644" t="s">
        <v>314</v>
      </c>
      <c r="E5644" t="s">
        <v>294</v>
      </c>
      <c r="F5644" t="s">
        <v>6215</v>
      </c>
      <c r="G5644">
        <v>12</v>
      </c>
      <c r="H5644">
        <v>1768.54</v>
      </c>
      <c r="I5644">
        <v>147.38</v>
      </c>
      <c r="J5644">
        <v>0</v>
      </c>
      <c r="K5644">
        <v>0</v>
      </c>
      <c r="L5644">
        <v>0</v>
      </c>
      <c r="M5644">
        <v>12</v>
      </c>
      <c r="N5644">
        <v>1768.54</v>
      </c>
      <c r="O5644">
        <v>147.38</v>
      </c>
    </row>
    <row r="5645" spans="1:15" x14ac:dyDescent="0.35">
      <c r="A5645" t="s">
        <v>6203</v>
      </c>
      <c r="B5645" t="s">
        <v>6204</v>
      </c>
      <c r="C5645" t="s">
        <v>520</v>
      </c>
      <c r="D5645" t="s">
        <v>314</v>
      </c>
      <c r="E5645" t="s">
        <v>296</v>
      </c>
      <c r="F5645" t="s">
        <v>6216</v>
      </c>
      <c r="G5645">
        <v>0</v>
      </c>
      <c r="H5645">
        <v>0</v>
      </c>
      <c r="I5645">
        <v>0</v>
      </c>
      <c r="J5645">
        <v>0</v>
      </c>
      <c r="K5645">
        <v>0</v>
      </c>
      <c r="L5645">
        <v>0</v>
      </c>
      <c r="M5645">
        <v>0</v>
      </c>
      <c r="N5645">
        <v>0</v>
      </c>
      <c r="O5645">
        <v>0</v>
      </c>
    </row>
    <row r="5646" spans="1:15" x14ac:dyDescent="0.35">
      <c r="A5646" t="s">
        <v>6203</v>
      </c>
      <c r="B5646" t="s">
        <v>6204</v>
      </c>
      <c r="C5646" t="s">
        <v>520</v>
      </c>
      <c r="D5646" t="s">
        <v>314</v>
      </c>
      <c r="E5646" t="s">
        <v>298</v>
      </c>
      <c r="F5646" t="s">
        <v>6217</v>
      </c>
      <c r="G5646">
        <v>0</v>
      </c>
      <c r="H5646">
        <v>0</v>
      </c>
      <c r="I5646">
        <v>0</v>
      </c>
      <c r="J5646">
        <v>0</v>
      </c>
      <c r="K5646">
        <v>0</v>
      </c>
      <c r="L5646">
        <v>0</v>
      </c>
      <c r="M5646">
        <v>0</v>
      </c>
      <c r="N5646">
        <v>0</v>
      </c>
      <c r="O5646">
        <v>0</v>
      </c>
    </row>
    <row r="5647" spans="1:15" x14ac:dyDescent="0.35">
      <c r="A5647" t="s">
        <v>6203</v>
      </c>
      <c r="B5647" t="s">
        <v>6204</v>
      </c>
      <c r="C5647" t="s">
        <v>520</v>
      </c>
      <c r="D5647" t="s">
        <v>314</v>
      </c>
      <c r="E5647" t="s">
        <v>300</v>
      </c>
      <c r="F5647" t="s">
        <v>6218</v>
      </c>
      <c r="G5647">
        <v>0</v>
      </c>
      <c r="H5647">
        <v>0</v>
      </c>
      <c r="I5647">
        <v>0</v>
      </c>
      <c r="J5647">
        <v>0</v>
      </c>
      <c r="K5647">
        <v>0</v>
      </c>
      <c r="L5647">
        <v>0</v>
      </c>
      <c r="M5647">
        <v>0</v>
      </c>
      <c r="N5647">
        <v>0</v>
      </c>
      <c r="O5647">
        <v>0</v>
      </c>
    </row>
    <row r="5648" spans="1:15" x14ac:dyDescent="0.35">
      <c r="A5648" t="s">
        <v>6203</v>
      </c>
      <c r="B5648" t="s">
        <v>6204</v>
      </c>
      <c r="C5648" t="s">
        <v>520</v>
      </c>
      <c r="D5648" t="s">
        <v>314</v>
      </c>
      <c r="E5648" t="s">
        <v>306</v>
      </c>
      <c r="F5648" t="s">
        <v>6219</v>
      </c>
      <c r="G5648">
        <v>0</v>
      </c>
      <c r="H5648">
        <v>0</v>
      </c>
      <c r="I5648">
        <v>0</v>
      </c>
      <c r="J5648">
        <v>0</v>
      </c>
      <c r="K5648">
        <v>0</v>
      </c>
      <c r="L5648">
        <v>0</v>
      </c>
      <c r="M5648">
        <v>0</v>
      </c>
      <c r="N5648">
        <v>0</v>
      </c>
      <c r="O5648">
        <v>0</v>
      </c>
    </row>
    <row r="5649" spans="1:15" x14ac:dyDescent="0.35">
      <c r="A5649" t="s">
        <v>6203</v>
      </c>
      <c r="B5649" t="s">
        <v>6204</v>
      </c>
      <c r="C5649" t="s">
        <v>520</v>
      </c>
      <c r="D5649" t="s">
        <v>314</v>
      </c>
      <c r="E5649" t="s">
        <v>308</v>
      </c>
      <c r="F5649" t="s">
        <v>6220</v>
      </c>
      <c r="G5649">
        <v>0</v>
      </c>
      <c r="H5649">
        <v>0</v>
      </c>
      <c r="I5649">
        <v>0</v>
      </c>
      <c r="J5649">
        <v>0</v>
      </c>
      <c r="K5649">
        <v>0</v>
      </c>
      <c r="L5649">
        <v>0</v>
      </c>
      <c r="M5649">
        <v>0</v>
      </c>
      <c r="N5649">
        <v>0</v>
      </c>
      <c r="O5649">
        <v>0</v>
      </c>
    </row>
    <row r="5650" spans="1:15" x14ac:dyDescent="0.35">
      <c r="A5650" t="s">
        <v>6203</v>
      </c>
      <c r="B5650" t="s">
        <v>6204</v>
      </c>
      <c r="C5650" t="s">
        <v>520</v>
      </c>
      <c r="D5650" t="s">
        <v>314</v>
      </c>
      <c r="E5650" t="s">
        <v>312</v>
      </c>
      <c r="F5650" t="s">
        <v>6221</v>
      </c>
      <c r="G5650">
        <v>12</v>
      </c>
      <c r="H5650">
        <v>1768.54</v>
      </c>
      <c r="I5650">
        <v>147.38</v>
      </c>
      <c r="J5650">
        <v>0</v>
      </c>
      <c r="K5650">
        <v>0</v>
      </c>
      <c r="L5650">
        <v>0</v>
      </c>
      <c r="M5650">
        <v>12</v>
      </c>
      <c r="N5650">
        <v>1768.54</v>
      </c>
      <c r="O5650">
        <v>147.38</v>
      </c>
    </row>
    <row r="5651" spans="1:15" x14ac:dyDescent="0.35">
      <c r="A5651" t="s">
        <v>6203</v>
      </c>
      <c r="B5651" t="s">
        <v>6204</v>
      </c>
      <c r="C5651" t="s">
        <v>520</v>
      </c>
      <c r="D5651" t="s">
        <v>314</v>
      </c>
      <c r="E5651" t="s">
        <v>310</v>
      </c>
      <c r="F5651" t="s">
        <v>6222</v>
      </c>
      <c r="G5651">
        <v>12</v>
      </c>
      <c r="H5651">
        <v>1768.54</v>
      </c>
      <c r="I5651">
        <v>147.38</v>
      </c>
      <c r="J5651">
        <v>0</v>
      </c>
      <c r="K5651">
        <v>0</v>
      </c>
      <c r="L5651">
        <v>0</v>
      </c>
      <c r="M5651">
        <v>12</v>
      </c>
      <c r="N5651">
        <v>1768.54</v>
      </c>
      <c r="O5651">
        <v>147.38</v>
      </c>
    </row>
    <row r="5652" spans="1:15" x14ac:dyDescent="0.35">
      <c r="A5652" t="s">
        <v>6203</v>
      </c>
      <c r="B5652" t="s">
        <v>6204</v>
      </c>
      <c r="C5652" t="s">
        <v>520</v>
      </c>
      <c r="D5652" t="s">
        <v>323</v>
      </c>
      <c r="E5652" t="s">
        <v>294</v>
      </c>
      <c r="F5652" t="s">
        <v>6223</v>
      </c>
      <c r="G5652">
        <v>200</v>
      </c>
      <c r="H5652">
        <v>17830.490000000002</v>
      </c>
      <c r="I5652">
        <v>89.15</v>
      </c>
      <c r="J5652">
        <v>1</v>
      </c>
      <c r="K5652">
        <v>85.35</v>
      </c>
      <c r="L5652">
        <v>85.35</v>
      </c>
      <c r="M5652">
        <v>201</v>
      </c>
      <c r="N5652">
        <v>17915.84</v>
      </c>
      <c r="O5652">
        <v>89.13</v>
      </c>
    </row>
    <row r="5653" spans="1:15" x14ac:dyDescent="0.35">
      <c r="A5653" t="s">
        <v>6203</v>
      </c>
      <c r="B5653" t="s">
        <v>6204</v>
      </c>
      <c r="C5653" t="s">
        <v>520</v>
      </c>
      <c r="D5653" t="s">
        <v>323</v>
      </c>
      <c r="E5653" t="s">
        <v>296</v>
      </c>
      <c r="F5653" t="s">
        <v>6224</v>
      </c>
      <c r="G5653">
        <v>396</v>
      </c>
      <c r="H5653">
        <v>41773.519999999997</v>
      </c>
      <c r="I5653">
        <v>105.49</v>
      </c>
      <c r="J5653">
        <v>1</v>
      </c>
      <c r="K5653">
        <v>97.64</v>
      </c>
      <c r="L5653">
        <v>97.64</v>
      </c>
      <c r="M5653">
        <v>397</v>
      </c>
      <c r="N5653">
        <v>41871.159999999996</v>
      </c>
      <c r="O5653">
        <v>105.47</v>
      </c>
    </row>
    <row r="5654" spans="1:15" x14ac:dyDescent="0.35">
      <c r="A5654" t="s">
        <v>6203</v>
      </c>
      <c r="B5654" t="s">
        <v>6204</v>
      </c>
      <c r="C5654" t="s">
        <v>520</v>
      </c>
      <c r="D5654" t="s">
        <v>323</v>
      </c>
      <c r="E5654" t="s">
        <v>298</v>
      </c>
      <c r="F5654" t="s">
        <v>6225</v>
      </c>
      <c r="G5654">
        <v>334</v>
      </c>
      <c r="H5654">
        <v>37960.979999999996</v>
      </c>
      <c r="I5654">
        <v>113.66</v>
      </c>
      <c r="J5654">
        <v>0</v>
      </c>
      <c r="K5654">
        <v>0</v>
      </c>
      <c r="L5654">
        <v>0</v>
      </c>
      <c r="M5654">
        <v>334</v>
      </c>
      <c r="N5654">
        <v>37960.979999999996</v>
      </c>
      <c r="O5654">
        <v>113.66</v>
      </c>
    </row>
    <row r="5655" spans="1:15" x14ac:dyDescent="0.35">
      <c r="A5655" t="s">
        <v>6203</v>
      </c>
      <c r="B5655" t="s">
        <v>6204</v>
      </c>
      <c r="C5655" t="s">
        <v>520</v>
      </c>
      <c r="D5655" t="s">
        <v>323</v>
      </c>
      <c r="E5655" t="s">
        <v>300</v>
      </c>
      <c r="F5655" t="s">
        <v>6226</v>
      </c>
      <c r="G5655">
        <v>18</v>
      </c>
      <c r="H5655">
        <v>2335.1099999999997</v>
      </c>
      <c r="I5655">
        <v>129.72999999999999</v>
      </c>
      <c r="J5655">
        <v>0</v>
      </c>
      <c r="K5655">
        <v>0</v>
      </c>
      <c r="L5655">
        <v>0</v>
      </c>
      <c r="M5655">
        <v>18</v>
      </c>
      <c r="N5655">
        <v>2335.1099999999997</v>
      </c>
      <c r="O5655">
        <v>129.72999999999999</v>
      </c>
    </row>
    <row r="5656" spans="1:15" x14ac:dyDescent="0.35">
      <c r="A5656" t="s">
        <v>6203</v>
      </c>
      <c r="B5656" t="s">
        <v>6204</v>
      </c>
      <c r="C5656" t="s">
        <v>520</v>
      </c>
      <c r="D5656" t="s">
        <v>323</v>
      </c>
      <c r="E5656" t="s">
        <v>302</v>
      </c>
      <c r="F5656" t="s">
        <v>6227</v>
      </c>
      <c r="G5656">
        <v>0</v>
      </c>
      <c r="H5656">
        <v>0</v>
      </c>
      <c r="I5656">
        <v>0</v>
      </c>
      <c r="J5656">
        <v>0</v>
      </c>
      <c r="K5656">
        <v>0</v>
      </c>
      <c r="L5656">
        <v>0</v>
      </c>
      <c r="M5656">
        <v>0</v>
      </c>
      <c r="N5656">
        <v>0</v>
      </c>
      <c r="O5656">
        <v>0</v>
      </c>
    </row>
    <row r="5657" spans="1:15" x14ac:dyDescent="0.35">
      <c r="A5657" t="s">
        <v>6203</v>
      </c>
      <c r="B5657" t="s">
        <v>6204</v>
      </c>
      <c r="C5657" t="s">
        <v>520</v>
      </c>
      <c r="D5657" t="s">
        <v>323</v>
      </c>
      <c r="E5657" t="s">
        <v>304</v>
      </c>
      <c r="F5657" t="s">
        <v>6228</v>
      </c>
      <c r="G5657">
        <v>0</v>
      </c>
      <c r="H5657">
        <v>0</v>
      </c>
      <c r="I5657">
        <v>0</v>
      </c>
      <c r="J5657">
        <v>0</v>
      </c>
      <c r="K5657">
        <v>0</v>
      </c>
      <c r="L5657">
        <v>0</v>
      </c>
      <c r="M5657">
        <v>0</v>
      </c>
      <c r="N5657">
        <v>0</v>
      </c>
      <c r="O5657">
        <v>0</v>
      </c>
    </row>
    <row r="5658" spans="1:15" x14ac:dyDescent="0.35">
      <c r="A5658" t="s">
        <v>6203</v>
      </c>
      <c r="B5658" t="s">
        <v>6204</v>
      </c>
      <c r="C5658" t="s">
        <v>520</v>
      </c>
      <c r="D5658" t="s">
        <v>323</v>
      </c>
      <c r="E5658" t="s">
        <v>306</v>
      </c>
      <c r="F5658" t="s">
        <v>6229</v>
      </c>
      <c r="G5658">
        <v>2</v>
      </c>
      <c r="H5658">
        <v>120.64</v>
      </c>
      <c r="I5658">
        <v>60.32</v>
      </c>
      <c r="J5658">
        <v>0</v>
      </c>
      <c r="K5658">
        <v>0</v>
      </c>
      <c r="L5658">
        <v>0</v>
      </c>
      <c r="M5658">
        <v>2</v>
      </c>
      <c r="N5658">
        <v>120.64</v>
      </c>
      <c r="O5658">
        <v>60.32</v>
      </c>
    </row>
    <row r="5659" spans="1:15" x14ac:dyDescent="0.35">
      <c r="A5659" t="s">
        <v>6203</v>
      </c>
      <c r="B5659" t="s">
        <v>6204</v>
      </c>
      <c r="C5659" t="s">
        <v>520</v>
      </c>
      <c r="D5659" t="s">
        <v>323</v>
      </c>
      <c r="E5659" t="s">
        <v>308</v>
      </c>
      <c r="F5659" t="s">
        <v>6230</v>
      </c>
      <c r="G5659">
        <v>0</v>
      </c>
      <c r="H5659">
        <v>0</v>
      </c>
      <c r="I5659">
        <v>0</v>
      </c>
      <c r="J5659">
        <v>0</v>
      </c>
      <c r="K5659">
        <v>0</v>
      </c>
      <c r="L5659">
        <v>0</v>
      </c>
      <c r="M5659">
        <v>0</v>
      </c>
      <c r="N5659">
        <v>0</v>
      </c>
      <c r="O5659">
        <v>0</v>
      </c>
    </row>
    <row r="5660" spans="1:15" x14ac:dyDescent="0.35">
      <c r="A5660" t="s">
        <v>6203</v>
      </c>
      <c r="B5660" t="s">
        <v>6204</v>
      </c>
      <c r="C5660" t="s">
        <v>520</v>
      </c>
      <c r="D5660" t="s">
        <v>323</v>
      </c>
      <c r="E5660" t="s">
        <v>310</v>
      </c>
      <c r="F5660" t="s">
        <v>6231</v>
      </c>
      <c r="G5660">
        <v>950</v>
      </c>
      <c r="H5660">
        <v>100020.73999999999</v>
      </c>
      <c r="I5660">
        <v>105.28</v>
      </c>
      <c r="J5660">
        <v>2</v>
      </c>
      <c r="K5660">
        <v>182.99</v>
      </c>
      <c r="L5660">
        <v>91.5</v>
      </c>
      <c r="M5660">
        <v>952</v>
      </c>
      <c r="N5660">
        <v>100203.73</v>
      </c>
      <c r="O5660">
        <v>105.26</v>
      </c>
    </row>
    <row r="5661" spans="1:15" x14ac:dyDescent="0.35">
      <c r="A5661" t="s">
        <v>6203</v>
      </c>
      <c r="B5661" t="s">
        <v>6204</v>
      </c>
      <c r="C5661" t="s">
        <v>520</v>
      </c>
      <c r="D5661" t="s">
        <v>323</v>
      </c>
      <c r="E5661" t="s">
        <v>312</v>
      </c>
      <c r="F5661" t="s">
        <v>6232</v>
      </c>
      <c r="G5661">
        <v>950</v>
      </c>
      <c r="H5661">
        <v>100020.73999999999</v>
      </c>
      <c r="I5661">
        <v>105.28</v>
      </c>
      <c r="J5661">
        <v>2</v>
      </c>
      <c r="K5661">
        <v>182.99</v>
      </c>
      <c r="L5661">
        <v>91.5</v>
      </c>
      <c r="M5661">
        <v>952</v>
      </c>
      <c r="N5661">
        <v>100203.73</v>
      </c>
      <c r="O5661">
        <v>105.26</v>
      </c>
    </row>
    <row r="5662" spans="1:15" x14ac:dyDescent="0.35">
      <c r="A5662" t="s">
        <v>6203</v>
      </c>
      <c r="B5662" t="s">
        <v>6204</v>
      </c>
      <c r="C5662" t="s">
        <v>520</v>
      </c>
      <c r="D5662" t="s">
        <v>334</v>
      </c>
      <c r="E5662" t="s">
        <v>312</v>
      </c>
      <c r="F5662" t="s">
        <v>6233</v>
      </c>
      <c r="G5662">
        <v>1539</v>
      </c>
      <c r="H5662">
        <v>171773.63</v>
      </c>
      <c r="I5662">
        <v>112.34</v>
      </c>
      <c r="J5662">
        <v>2</v>
      </c>
      <c r="K5662">
        <v>182.99</v>
      </c>
      <c r="L5662">
        <v>91.5</v>
      </c>
      <c r="M5662">
        <v>1541</v>
      </c>
      <c r="N5662">
        <v>171956.62</v>
      </c>
      <c r="O5662">
        <v>112.32</v>
      </c>
    </row>
    <row r="5663" spans="1:15" x14ac:dyDescent="0.35">
      <c r="A5663" t="s">
        <v>6203</v>
      </c>
      <c r="B5663" t="s">
        <v>6204</v>
      </c>
      <c r="C5663" t="s">
        <v>520</v>
      </c>
      <c r="D5663" t="s">
        <v>334</v>
      </c>
      <c r="E5663" t="s">
        <v>308</v>
      </c>
      <c r="F5663" t="s">
        <v>6234</v>
      </c>
      <c r="G5663">
        <v>0</v>
      </c>
      <c r="H5663">
        <v>0</v>
      </c>
      <c r="I5663">
        <v>0</v>
      </c>
      <c r="J5663">
        <v>0</v>
      </c>
      <c r="K5663">
        <v>0</v>
      </c>
      <c r="L5663">
        <v>0</v>
      </c>
      <c r="M5663">
        <v>0</v>
      </c>
      <c r="N5663">
        <v>0</v>
      </c>
      <c r="O5663">
        <v>0</v>
      </c>
    </row>
    <row r="5664" spans="1:15" x14ac:dyDescent="0.35">
      <c r="A5664" t="s">
        <v>6203</v>
      </c>
      <c r="B5664" t="s">
        <v>6204</v>
      </c>
      <c r="C5664" t="s">
        <v>520</v>
      </c>
      <c r="D5664" t="s">
        <v>337</v>
      </c>
      <c r="E5664" t="s">
        <v>337</v>
      </c>
      <c r="F5664" t="s">
        <v>6235</v>
      </c>
      <c r="G5664">
        <v>611</v>
      </c>
      <c r="J5664">
        <v>0</v>
      </c>
      <c r="M5664">
        <v>611</v>
      </c>
    </row>
    <row r="5665" spans="1:15" x14ac:dyDescent="0.35">
      <c r="A5665" t="s">
        <v>6203</v>
      </c>
      <c r="B5665" t="s">
        <v>6204</v>
      </c>
      <c r="C5665" t="s">
        <v>520</v>
      </c>
      <c r="D5665" t="s">
        <v>339</v>
      </c>
      <c r="E5665" t="s">
        <v>294</v>
      </c>
      <c r="F5665" t="s">
        <v>6236</v>
      </c>
      <c r="G5665">
        <v>575</v>
      </c>
      <c r="H5665">
        <v>51190.070000000007</v>
      </c>
      <c r="I5665">
        <v>89.03</v>
      </c>
      <c r="J5665">
        <v>5</v>
      </c>
      <c r="K5665">
        <v>424.05</v>
      </c>
      <c r="L5665">
        <v>84.81</v>
      </c>
      <c r="M5665">
        <v>580</v>
      </c>
      <c r="N5665">
        <v>51614.12000000001</v>
      </c>
      <c r="O5665">
        <v>88.99</v>
      </c>
    </row>
    <row r="5666" spans="1:15" x14ac:dyDescent="0.35">
      <c r="A5666" t="s">
        <v>6203</v>
      </c>
      <c r="B5666" t="s">
        <v>6204</v>
      </c>
      <c r="C5666" t="s">
        <v>520</v>
      </c>
      <c r="D5666" t="s">
        <v>339</v>
      </c>
      <c r="E5666" t="s">
        <v>296</v>
      </c>
      <c r="F5666" t="s">
        <v>6237</v>
      </c>
      <c r="G5666">
        <v>82</v>
      </c>
      <c r="H5666">
        <v>8014.34</v>
      </c>
      <c r="I5666">
        <v>97.74</v>
      </c>
      <c r="J5666">
        <v>0</v>
      </c>
      <c r="K5666">
        <v>0</v>
      </c>
      <c r="L5666">
        <v>0</v>
      </c>
      <c r="M5666">
        <v>82</v>
      </c>
      <c r="N5666">
        <v>8014.34</v>
      </c>
      <c r="O5666">
        <v>97.74</v>
      </c>
    </row>
    <row r="5667" spans="1:15" x14ac:dyDescent="0.35">
      <c r="A5667" t="s">
        <v>6203</v>
      </c>
      <c r="B5667" t="s">
        <v>6204</v>
      </c>
      <c r="C5667" t="s">
        <v>520</v>
      </c>
      <c r="D5667" t="s">
        <v>339</v>
      </c>
      <c r="E5667" t="s">
        <v>298</v>
      </c>
      <c r="F5667" t="s">
        <v>6238</v>
      </c>
      <c r="G5667">
        <v>2</v>
      </c>
      <c r="H5667">
        <v>227.91</v>
      </c>
      <c r="I5667">
        <v>113.96</v>
      </c>
      <c r="J5667">
        <v>0</v>
      </c>
      <c r="K5667">
        <v>0</v>
      </c>
      <c r="L5667">
        <v>0</v>
      </c>
      <c r="M5667">
        <v>2</v>
      </c>
      <c r="N5667">
        <v>227.91</v>
      </c>
      <c r="O5667">
        <v>113.96</v>
      </c>
    </row>
    <row r="5668" spans="1:15" x14ac:dyDescent="0.35">
      <c r="A5668" t="s">
        <v>6203</v>
      </c>
      <c r="B5668" t="s">
        <v>6204</v>
      </c>
      <c r="C5668" t="s">
        <v>520</v>
      </c>
      <c r="D5668" t="s">
        <v>339</v>
      </c>
      <c r="E5668" t="s">
        <v>300</v>
      </c>
      <c r="F5668" t="s">
        <v>6239</v>
      </c>
      <c r="G5668">
        <v>0</v>
      </c>
      <c r="H5668">
        <v>0</v>
      </c>
      <c r="I5668">
        <v>0</v>
      </c>
      <c r="J5668">
        <v>0</v>
      </c>
      <c r="K5668">
        <v>0</v>
      </c>
      <c r="L5668">
        <v>0</v>
      </c>
      <c r="M5668">
        <v>0</v>
      </c>
      <c r="N5668">
        <v>0</v>
      </c>
      <c r="O5668">
        <v>0</v>
      </c>
    </row>
    <row r="5669" spans="1:15" x14ac:dyDescent="0.35">
      <c r="A5669" t="s">
        <v>6203</v>
      </c>
      <c r="B5669" t="s">
        <v>6204</v>
      </c>
      <c r="C5669" t="s">
        <v>520</v>
      </c>
      <c r="D5669" t="s">
        <v>339</v>
      </c>
      <c r="E5669" t="s">
        <v>306</v>
      </c>
      <c r="F5669" t="s">
        <v>6240</v>
      </c>
      <c r="G5669">
        <v>83</v>
      </c>
      <c r="H5669">
        <v>6236.98</v>
      </c>
      <c r="I5669">
        <v>75.14</v>
      </c>
      <c r="J5669">
        <v>3</v>
      </c>
      <c r="K5669">
        <v>216.87</v>
      </c>
      <c r="L5669">
        <v>72.290000000000006</v>
      </c>
      <c r="M5669">
        <v>86</v>
      </c>
      <c r="N5669">
        <v>6453.8499999999995</v>
      </c>
      <c r="O5669">
        <v>75.040000000000006</v>
      </c>
    </row>
    <row r="5670" spans="1:15" x14ac:dyDescent="0.35">
      <c r="A5670" t="s">
        <v>6203</v>
      </c>
      <c r="B5670" t="s">
        <v>6204</v>
      </c>
      <c r="C5670" t="s">
        <v>520</v>
      </c>
      <c r="D5670" t="s">
        <v>339</v>
      </c>
      <c r="E5670" t="s">
        <v>308</v>
      </c>
      <c r="F5670" t="s">
        <v>6241</v>
      </c>
      <c r="G5670">
        <v>28</v>
      </c>
      <c r="H5670">
        <v>5273.57</v>
      </c>
      <c r="I5670">
        <v>188.34</v>
      </c>
      <c r="J5670">
        <v>0</v>
      </c>
      <c r="K5670">
        <v>0</v>
      </c>
      <c r="L5670">
        <v>0</v>
      </c>
      <c r="M5670">
        <v>28</v>
      </c>
      <c r="N5670">
        <v>5273.57</v>
      </c>
      <c r="O5670">
        <v>188.34</v>
      </c>
    </row>
    <row r="5671" spans="1:15" x14ac:dyDescent="0.35">
      <c r="A5671" t="s">
        <v>6203</v>
      </c>
      <c r="B5671" t="s">
        <v>6204</v>
      </c>
      <c r="C5671" t="s">
        <v>520</v>
      </c>
      <c r="D5671" t="s">
        <v>339</v>
      </c>
      <c r="E5671" t="s">
        <v>310</v>
      </c>
      <c r="F5671" t="s">
        <v>6242</v>
      </c>
      <c r="G5671">
        <v>770</v>
      </c>
      <c r="H5671">
        <v>70942.87</v>
      </c>
      <c r="I5671">
        <v>92.13</v>
      </c>
      <c r="J5671">
        <v>8</v>
      </c>
      <c r="K5671">
        <v>640.92000000000007</v>
      </c>
      <c r="L5671">
        <v>80.12</v>
      </c>
      <c r="M5671">
        <v>778</v>
      </c>
      <c r="N5671">
        <v>71583.789999999994</v>
      </c>
      <c r="O5671">
        <v>92.01</v>
      </c>
    </row>
    <row r="5672" spans="1:15" x14ac:dyDescent="0.35">
      <c r="A5672" t="s">
        <v>6203</v>
      </c>
      <c r="B5672" t="s">
        <v>6204</v>
      </c>
      <c r="C5672" t="s">
        <v>520</v>
      </c>
      <c r="D5672" t="s">
        <v>339</v>
      </c>
      <c r="E5672" t="s">
        <v>312</v>
      </c>
      <c r="F5672" t="s">
        <v>6243</v>
      </c>
      <c r="G5672">
        <v>742</v>
      </c>
      <c r="H5672">
        <v>65669.3</v>
      </c>
      <c r="I5672">
        <v>88.5</v>
      </c>
      <c r="J5672">
        <v>8</v>
      </c>
      <c r="K5672">
        <v>640.92000000000007</v>
      </c>
      <c r="L5672">
        <v>80.12</v>
      </c>
      <c r="M5672">
        <v>750</v>
      </c>
      <c r="N5672">
        <v>66310.22</v>
      </c>
      <c r="O5672">
        <v>88.41</v>
      </c>
    </row>
    <row r="5673" spans="1:15" x14ac:dyDescent="0.35">
      <c r="A5673" t="s">
        <v>6203</v>
      </c>
      <c r="B5673" t="s">
        <v>6204</v>
      </c>
      <c r="C5673" t="s">
        <v>520</v>
      </c>
      <c r="D5673" t="s">
        <v>348</v>
      </c>
      <c r="E5673" t="s">
        <v>349</v>
      </c>
      <c r="F5673" t="s">
        <v>6244</v>
      </c>
      <c r="G5673">
        <v>830</v>
      </c>
      <c r="H5673">
        <v>72711.41</v>
      </c>
      <c r="I5673">
        <v>92.98</v>
      </c>
      <c r="J5673">
        <v>8</v>
      </c>
      <c r="K5673">
        <v>640.92000000000007</v>
      </c>
      <c r="L5673">
        <v>80.12</v>
      </c>
      <c r="M5673">
        <v>838</v>
      </c>
      <c r="N5673">
        <v>73352.33</v>
      </c>
      <c r="O5673">
        <v>92.85</v>
      </c>
    </row>
    <row r="5674" spans="1:15" x14ac:dyDescent="0.35">
      <c r="A5674" t="s">
        <v>6245</v>
      </c>
      <c r="B5674" t="s">
        <v>6246</v>
      </c>
      <c r="C5674" t="s">
        <v>520</v>
      </c>
      <c r="D5674" t="s">
        <v>293</v>
      </c>
      <c r="E5674" t="s">
        <v>294</v>
      </c>
      <c r="F5674" t="s">
        <v>6247</v>
      </c>
      <c r="G5674">
        <v>55</v>
      </c>
      <c r="H5674">
        <v>5040.46</v>
      </c>
      <c r="I5674">
        <v>91.64</v>
      </c>
      <c r="J5674">
        <v>0</v>
      </c>
      <c r="K5674">
        <v>0</v>
      </c>
      <c r="L5674">
        <v>0</v>
      </c>
      <c r="M5674">
        <v>55</v>
      </c>
      <c r="N5674">
        <v>5040.46</v>
      </c>
      <c r="O5674">
        <v>91.64</v>
      </c>
    </row>
    <row r="5675" spans="1:15" x14ac:dyDescent="0.35">
      <c r="A5675" t="s">
        <v>6245</v>
      </c>
      <c r="B5675" t="s">
        <v>6246</v>
      </c>
      <c r="C5675" t="s">
        <v>520</v>
      </c>
      <c r="D5675" t="s">
        <v>293</v>
      </c>
      <c r="E5675" t="s">
        <v>296</v>
      </c>
      <c r="F5675" t="s">
        <v>6248</v>
      </c>
      <c r="G5675">
        <v>316</v>
      </c>
      <c r="H5675">
        <v>34758.299999999996</v>
      </c>
      <c r="I5675">
        <v>109.99</v>
      </c>
      <c r="J5675">
        <v>1</v>
      </c>
      <c r="K5675">
        <v>115</v>
      </c>
      <c r="L5675">
        <v>115</v>
      </c>
      <c r="M5675">
        <v>317</v>
      </c>
      <c r="N5675">
        <v>34873.299999999996</v>
      </c>
      <c r="O5675">
        <v>110.01</v>
      </c>
    </row>
    <row r="5676" spans="1:15" x14ac:dyDescent="0.35">
      <c r="A5676" t="s">
        <v>6245</v>
      </c>
      <c r="B5676" t="s">
        <v>6246</v>
      </c>
      <c r="C5676" t="s">
        <v>520</v>
      </c>
      <c r="D5676" t="s">
        <v>293</v>
      </c>
      <c r="E5676" t="s">
        <v>298</v>
      </c>
      <c r="F5676" t="s">
        <v>6249</v>
      </c>
      <c r="G5676">
        <v>296</v>
      </c>
      <c r="H5676">
        <v>40175.919999999998</v>
      </c>
      <c r="I5676">
        <v>135.72999999999999</v>
      </c>
      <c r="J5676">
        <v>4</v>
      </c>
      <c r="K5676">
        <v>548</v>
      </c>
      <c r="L5676">
        <v>137</v>
      </c>
      <c r="M5676">
        <v>300</v>
      </c>
      <c r="N5676">
        <v>40723.919999999998</v>
      </c>
      <c r="O5676">
        <v>135.75</v>
      </c>
    </row>
    <row r="5677" spans="1:15" x14ac:dyDescent="0.35">
      <c r="A5677" t="s">
        <v>6245</v>
      </c>
      <c r="B5677" t="s">
        <v>6246</v>
      </c>
      <c r="C5677" t="s">
        <v>520</v>
      </c>
      <c r="D5677" t="s">
        <v>293</v>
      </c>
      <c r="E5677" t="s">
        <v>300</v>
      </c>
      <c r="F5677" t="s">
        <v>6250</v>
      </c>
      <c r="G5677">
        <v>8</v>
      </c>
      <c r="H5677">
        <v>1321.9099999999999</v>
      </c>
      <c r="I5677">
        <v>165.24</v>
      </c>
      <c r="J5677">
        <v>0</v>
      </c>
      <c r="K5677">
        <v>0</v>
      </c>
      <c r="L5677">
        <v>0</v>
      </c>
      <c r="M5677">
        <v>8</v>
      </c>
      <c r="N5677">
        <v>1321.9099999999999</v>
      </c>
      <c r="O5677">
        <v>165.24</v>
      </c>
    </row>
    <row r="5678" spans="1:15" x14ac:dyDescent="0.35">
      <c r="A5678" t="s">
        <v>6245</v>
      </c>
      <c r="B5678" t="s">
        <v>6246</v>
      </c>
      <c r="C5678" t="s">
        <v>520</v>
      </c>
      <c r="D5678" t="s">
        <v>293</v>
      </c>
      <c r="E5678" t="s">
        <v>302</v>
      </c>
      <c r="F5678" t="s">
        <v>6251</v>
      </c>
      <c r="G5678">
        <v>0</v>
      </c>
      <c r="H5678">
        <v>0</v>
      </c>
      <c r="I5678">
        <v>0</v>
      </c>
      <c r="J5678">
        <v>0</v>
      </c>
      <c r="K5678">
        <v>0</v>
      </c>
      <c r="L5678">
        <v>0</v>
      </c>
      <c r="M5678">
        <v>0</v>
      </c>
      <c r="N5678">
        <v>0</v>
      </c>
      <c r="O5678">
        <v>0</v>
      </c>
    </row>
    <row r="5679" spans="1:15" x14ac:dyDescent="0.35">
      <c r="A5679" t="s">
        <v>6245</v>
      </c>
      <c r="B5679" t="s">
        <v>6246</v>
      </c>
      <c r="C5679" t="s">
        <v>520</v>
      </c>
      <c r="D5679" t="s">
        <v>293</v>
      </c>
      <c r="E5679" t="s">
        <v>304</v>
      </c>
      <c r="F5679" t="s">
        <v>6252</v>
      </c>
      <c r="G5679">
        <v>0</v>
      </c>
      <c r="H5679">
        <v>0</v>
      </c>
      <c r="I5679">
        <v>0</v>
      </c>
      <c r="J5679">
        <v>0</v>
      </c>
      <c r="K5679">
        <v>0</v>
      </c>
      <c r="L5679">
        <v>0</v>
      </c>
      <c r="M5679">
        <v>0</v>
      </c>
      <c r="N5679">
        <v>0</v>
      </c>
      <c r="O5679">
        <v>0</v>
      </c>
    </row>
    <row r="5680" spans="1:15" x14ac:dyDescent="0.35">
      <c r="A5680" t="s">
        <v>6245</v>
      </c>
      <c r="B5680" t="s">
        <v>6246</v>
      </c>
      <c r="C5680" t="s">
        <v>520</v>
      </c>
      <c r="D5680" t="s">
        <v>293</v>
      </c>
      <c r="E5680" t="s">
        <v>306</v>
      </c>
      <c r="F5680" t="s">
        <v>6253</v>
      </c>
      <c r="G5680">
        <v>0</v>
      </c>
      <c r="H5680">
        <v>0</v>
      </c>
      <c r="I5680">
        <v>0</v>
      </c>
      <c r="J5680">
        <v>0</v>
      </c>
      <c r="K5680">
        <v>0</v>
      </c>
      <c r="L5680">
        <v>0</v>
      </c>
      <c r="M5680">
        <v>0</v>
      </c>
      <c r="N5680">
        <v>0</v>
      </c>
      <c r="O5680">
        <v>0</v>
      </c>
    </row>
    <row r="5681" spans="1:15" x14ac:dyDescent="0.35">
      <c r="A5681" t="s">
        <v>6245</v>
      </c>
      <c r="B5681" t="s">
        <v>6246</v>
      </c>
      <c r="C5681" t="s">
        <v>520</v>
      </c>
      <c r="D5681" t="s">
        <v>293</v>
      </c>
      <c r="E5681" t="s">
        <v>308</v>
      </c>
      <c r="F5681" t="s">
        <v>6254</v>
      </c>
      <c r="G5681">
        <v>0</v>
      </c>
      <c r="H5681">
        <v>0</v>
      </c>
      <c r="I5681">
        <v>0</v>
      </c>
      <c r="J5681">
        <v>0</v>
      </c>
      <c r="K5681">
        <v>0</v>
      </c>
      <c r="L5681">
        <v>0</v>
      </c>
      <c r="M5681">
        <v>0</v>
      </c>
      <c r="N5681">
        <v>0</v>
      </c>
      <c r="O5681">
        <v>0</v>
      </c>
    </row>
    <row r="5682" spans="1:15" x14ac:dyDescent="0.35">
      <c r="A5682" t="s">
        <v>6245</v>
      </c>
      <c r="B5682" t="s">
        <v>6246</v>
      </c>
      <c r="C5682" t="s">
        <v>520</v>
      </c>
      <c r="D5682" t="s">
        <v>293</v>
      </c>
      <c r="E5682" t="s">
        <v>310</v>
      </c>
      <c r="F5682" t="s">
        <v>6255</v>
      </c>
      <c r="G5682">
        <v>675</v>
      </c>
      <c r="H5682">
        <v>81296.59</v>
      </c>
      <c r="I5682">
        <v>120.44</v>
      </c>
      <c r="J5682">
        <v>5</v>
      </c>
      <c r="K5682">
        <v>663</v>
      </c>
      <c r="L5682">
        <v>132.6</v>
      </c>
      <c r="M5682">
        <v>680</v>
      </c>
      <c r="N5682">
        <v>81959.59</v>
      </c>
      <c r="O5682">
        <v>120.53</v>
      </c>
    </row>
    <row r="5683" spans="1:15" x14ac:dyDescent="0.35">
      <c r="A5683" t="s">
        <v>6245</v>
      </c>
      <c r="B5683" t="s">
        <v>6246</v>
      </c>
      <c r="C5683" t="s">
        <v>520</v>
      </c>
      <c r="D5683" t="s">
        <v>293</v>
      </c>
      <c r="E5683" t="s">
        <v>312</v>
      </c>
      <c r="F5683" t="s">
        <v>6256</v>
      </c>
      <c r="G5683">
        <v>675</v>
      </c>
      <c r="H5683">
        <v>81296.59</v>
      </c>
      <c r="I5683">
        <v>120.44</v>
      </c>
      <c r="J5683">
        <v>5</v>
      </c>
      <c r="K5683">
        <v>663</v>
      </c>
      <c r="L5683">
        <v>132.6</v>
      </c>
      <c r="M5683">
        <v>680</v>
      </c>
      <c r="N5683">
        <v>81959.59</v>
      </c>
      <c r="O5683">
        <v>120.53</v>
      </c>
    </row>
    <row r="5684" spans="1:15" x14ac:dyDescent="0.35">
      <c r="A5684" t="s">
        <v>6245</v>
      </c>
      <c r="B5684" t="s">
        <v>6246</v>
      </c>
      <c r="C5684" t="s">
        <v>520</v>
      </c>
      <c r="D5684" t="s">
        <v>314</v>
      </c>
      <c r="E5684" t="s">
        <v>294</v>
      </c>
      <c r="F5684" t="s">
        <v>6257</v>
      </c>
      <c r="G5684">
        <v>0</v>
      </c>
      <c r="H5684">
        <v>0</v>
      </c>
      <c r="I5684">
        <v>0</v>
      </c>
      <c r="J5684">
        <v>0</v>
      </c>
      <c r="K5684">
        <v>0</v>
      </c>
      <c r="L5684">
        <v>0</v>
      </c>
      <c r="M5684">
        <v>0</v>
      </c>
      <c r="N5684">
        <v>0</v>
      </c>
      <c r="O5684">
        <v>0</v>
      </c>
    </row>
    <row r="5685" spans="1:15" x14ac:dyDescent="0.35">
      <c r="A5685" t="s">
        <v>6245</v>
      </c>
      <c r="B5685" t="s">
        <v>6246</v>
      </c>
      <c r="C5685" t="s">
        <v>520</v>
      </c>
      <c r="D5685" t="s">
        <v>314</v>
      </c>
      <c r="E5685" t="s">
        <v>296</v>
      </c>
      <c r="F5685" t="s">
        <v>6258</v>
      </c>
      <c r="G5685">
        <v>0</v>
      </c>
      <c r="H5685">
        <v>0</v>
      </c>
      <c r="I5685">
        <v>0</v>
      </c>
      <c r="J5685">
        <v>0</v>
      </c>
      <c r="K5685">
        <v>0</v>
      </c>
      <c r="L5685">
        <v>0</v>
      </c>
      <c r="M5685">
        <v>0</v>
      </c>
      <c r="N5685">
        <v>0</v>
      </c>
      <c r="O5685">
        <v>0</v>
      </c>
    </row>
    <row r="5686" spans="1:15" x14ac:dyDescent="0.35">
      <c r="A5686" t="s">
        <v>6245</v>
      </c>
      <c r="B5686" t="s">
        <v>6246</v>
      </c>
      <c r="C5686" t="s">
        <v>520</v>
      </c>
      <c r="D5686" t="s">
        <v>314</v>
      </c>
      <c r="E5686" t="s">
        <v>298</v>
      </c>
      <c r="F5686" t="s">
        <v>6259</v>
      </c>
      <c r="G5686">
        <v>0</v>
      </c>
      <c r="H5686">
        <v>0</v>
      </c>
      <c r="I5686">
        <v>0</v>
      </c>
      <c r="J5686">
        <v>0</v>
      </c>
      <c r="K5686">
        <v>0</v>
      </c>
      <c r="L5686">
        <v>0</v>
      </c>
      <c r="M5686">
        <v>0</v>
      </c>
      <c r="N5686">
        <v>0</v>
      </c>
      <c r="O5686">
        <v>0</v>
      </c>
    </row>
    <row r="5687" spans="1:15" x14ac:dyDescent="0.35">
      <c r="A5687" t="s">
        <v>6245</v>
      </c>
      <c r="B5687" t="s">
        <v>6246</v>
      </c>
      <c r="C5687" t="s">
        <v>520</v>
      </c>
      <c r="D5687" t="s">
        <v>314</v>
      </c>
      <c r="E5687" t="s">
        <v>300</v>
      </c>
      <c r="F5687" t="s">
        <v>6260</v>
      </c>
      <c r="G5687">
        <v>0</v>
      </c>
      <c r="H5687">
        <v>0</v>
      </c>
      <c r="I5687">
        <v>0</v>
      </c>
      <c r="J5687">
        <v>0</v>
      </c>
      <c r="K5687">
        <v>0</v>
      </c>
      <c r="L5687">
        <v>0</v>
      </c>
      <c r="M5687">
        <v>0</v>
      </c>
      <c r="N5687">
        <v>0</v>
      </c>
      <c r="O5687">
        <v>0</v>
      </c>
    </row>
    <row r="5688" spans="1:15" x14ac:dyDescent="0.35">
      <c r="A5688" t="s">
        <v>6245</v>
      </c>
      <c r="B5688" t="s">
        <v>6246</v>
      </c>
      <c r="C5688" t="s">
        <v>520</v>
      </c>
      <c r="D5688" t="s">
        <v>314</v>
      </c>
      <c r="E5688" t="s">
        <v>306</v>
      </c>
      <c r="F5688" t="s">
        <v>6261</v>
      </c>
      <c r="G5688">
        <v>0</v>
      </c>
      <c r="H5688">
        <v>0</v>
      </c>
      <c r="I5688">
        <v>0</v>
      </c>
      <c r="J5688">
        <v>0</v>
      </c>
      <c r="K5688">
        <v>0</v>
      </c>
      <c r="L5688">
        <v>0</v>
      </c>
      <c r="M5688">
        <v>0</v>
      </c>
      <c r="N5688">
        <v>0</v>
      </c>
      <c r="O5688">
        <v>0</v>
      </c>
    </row>
    <row r="5689" spans="1:15" x14ac:dyDescent="0.35">
      <c r="A5689" t="s">
        <v>6245</v>
      </c>
      <c r="B5689" t="s">
        <v>6246</v>
      </c>
      <c r="C5689" t="s">
        <v>520</v>
      </c>
      <c r="D5689" t="s">
        <v>314</v>
      </c>
      <c r="E5689" t="s">
        <v>308</v>
      </c>
      <c r="F5689" t="s">
        <v>6262</v>
      </c>
      <c r="G5689">
        <v>0</v>
      </c>
      <c r="H5689">
        <v>0</v>
      </c>
      <c r="I5689">
        <v>0</v>
      </c>
      <c r="J5689">
        <v>0</v>
      </c>
      <c r="K5689">
        <v>0</v>
      </c>
      <c r="L5689">
        <v>0</v>
      </c>
      <c r="M5689">
        <v>0</v>
      </c>
      <c r="N5689">
        <v>0</v>
      </c>
      <c r="O5689">
        <v>0</v>
      </c>
    </row>
    <row r="5690" spans="1:15" x14ac:dyDescent="0.35">
      <c r="A5690" t="s">
        <v>6245</v>
      </c>
      <c r="B5690" t="s">
        <v>6246</v>
      </c>
      <c r="C5690" t="s">
        <v>520</v>
      </c>
      <c r="D5690" t="s">
        <v>314</v>
      </c>
      <c r="E5690" t="s">
        <v>312</v>
      </c>
      <c r="F5690" t="s">
        <v>6263</v>
      </c>
      <c r="G5690">
        <v>0</v>
      </c>
      <c r="H5690">
        <v>0</v>
      </c>
      <c r="I5690">
        <v>0</v>
      </c>
      <c r="J5690">
        <v>0</v>
      </c>
      <c r="K5690">
        <v>0</v>
      </c>
      <c r="L5690">
        <v>0</v>
      </c>
      <c r="M5690">
        <v>0</v>
      </c>
      <c r="N5690">
        <v>0</v>
      </c>
      <c r="O5690">
        <v>0</v>
      </c>
    </row>
    <row r="5691" spans="1:15" x14ac:dyDescent="0.35">
      <c r="A5691" t="s">
        <v>6245</v>
      </c>
      <c r="B5691" t="s">
        <v>6246</v>
      </c>
      <c r="C5691" t="s">
        <v>520</v>
      </c>
      <c r="D5691" t="s">
        <v>314</v>
      </c>
      <c r="E5691" t="s">
        <v>310</v>
      </c>
      <c r="F5691" t="s">
        <v>6264</v>
      </c>
      <c r="G5691">
        <v>0</v>
      </c>
      <c r="H5691">
        <v>0</v>
      </c>
      <c r="I5691">
        <v>0</v>
      </c>
      <c r="J5691">
        <v>0</v>
      </c>
      <c r="K5691">
        <v>0</v>
      </c>
      <c r="L5691">
        <v>0</v>
      </c>
      <c r="M5691">
        <v>0</v>
      </c>
      <c r="N5691">
        <v>0</v>
      </c>
      <c r="O5691">
        <v>0</v>
      </c>
    </row>
    <row r="5692" spans="1:15" x14ac:dyDescent="0.35">
      <c r="A5692" t="s">
        <v>6245</v>
      </c>
      <c r="B5692" t="s">
        <v>6246</v>
      </c>
      <c r="C5692" t="s">
        <v>520</v>
      </c>
      <c r="D5692" t="s">
        <v>323</v>
      </c>
      <c r="E5692" t="s">
        <v>294</v>
      </c>
      <c r="F5692" t="s">
        <v>6265</v>
      </c>
      <c r="G5692">
        <v>1609</v>
      </c>
      <c r="H5692">
        <v>132863.19</v>
      </c>
      <c r="I5692">
        <v>82.58</v>
      </c>
      <c r="J5692">
        <v>0</v>
      </c>
      <c r="K5692">
        <v>0</v>
      </c>
      <c r="L5692">
        <v>0</v>
      </c>
      <c r="M5692">
        <v>1609</v>
      </c>
      <c r="N5692">
        <v>132863.19</v>
      </c>
      <c r="O5692">
        <v>82.58</v>
      </c>
    </row>
    <row r="5693" spans="1:15" x14ac:dyDescent="0.35">
      <c r="A5693" t="s">
        <v>6245</v>
      </c>
      <c r="B5693" t="s">
        <v>6246</v>
      </c>
      <c r="C5693" t="s">
        <v>520</v>
      </c>
      <c r="D5693" t="s">
        <v>323</v>
      </c>
      <c r="E5693" t="s">
        <v>296</v>
      </c>
      <c r="F5693" t="s">
        <v>6266</v>
      </c>
      <c r="G5693">
        <v>1281</v>
      </c>
      <c r="H5693">
        <v>120513.43</v>
      </c>
      <c r="I5693">
        <v>94.08</v>
      </c>
      <c r="J5693">
        <v>0</v>
      </c>
      <c r="K5693">
        <v>0</v>
      </c>
      <c r="L5693">
        <v>0</v>
      </c>
      <c r="M5693">
        <v>1281</v>
      </c>
      <c r="N5693">
        <v>120513.43</v>
      </c>
      <c r="O5693">
        <v>94.08</v>
      </c>
    </row>
    <row r="5694" spans="1:15" x14ac:dyDescent="0.35">
      <c r="A5694" t="s">
        <v>6245</v>
      </c>
      <c r="B5694" t="s">
        <v>6246</v>
      </c>
      <c r="C5694" t="s">
        <v>520</v>
      </c>
      <c r="D5694" t="s">
        <v>323</v>
      </c>
      <c r="E5694" t="s">
        <v>298</v>
      </c>
      <c r="F5694" t="s">
        <v>6267</v>
      </c>
      <c r="G5694">
        <v>609</v>
      </c>
      <c r="H5694">
        <v>63972.27</v>
      </c>
      <c r="I5694">
        <v>105.04</v>
      </c>
      <c r="J5694">
        <v>0</v>
      </c>
      <c r="K5694">
        <v>0</v>
      </c>
      <c r="L5694">
        <v>0</v>
      </c>
      <c r="M5694">
        <v>609</v>
      </c>
      <c r="N5694">
        <v>63972.27</v>
      </c>
      <c r="O5694">
        <v>105.04</v>
      </c>
    </row>
    <row r="5695" spans="1:15" x14ac:dyDescent="0.35">
      <c r="A5695" t="s">
        <v>6245</v>
      </c>
      <c r="B5695" t="s">
        <v>6246</v>
      </c>
      <c r="C5695" t="s">
        <v>520</v>
      </c>
      <c r="D5695" t="s">
        <v>323</v>
      </c>
      <c r="E5695" t="s">
        <v>300</v>
      </c>
      <c r="F5695" t="s">
        <v>6268</v>
      </c>
      <c r="G5695">
        <v>54</v>
      </c>
      <c r="H5695">
        <v>6165.84</v>
      </c>
      <c r="I5695">
        <v>114.18</v>
      </c>
      <c r="J5695">
        <v>2</v>
      </c>
      <c r="K5695">
        <v>374</v>
      </c>
      <c r="L5695">
        <v>187</v>
      </c>
      <c r="M5695">
        <v>56</v>
      </c>
      <c r="N5695">
        <v>6539.84</v>
      </c>
      <c r="O5695">
        <v>116.78</v>
      </c>
    </row>
    <row r="5696" spans="1:15" x14ac:dyDescent="0.35">
      <c r="A5696" t="s">
        <v>6245</v>
      </c>
      <c r="B5696" t="s">
        <v>6246</v>
      </c>
      <c r="C5696" t="s">
        <v>520</v>
      </c>
      <c r="D5696" t="s">
        <v>323</v>
      </c>
      <c r="E5696" t="s">
        <v>302</v>
      </c>
      <c r="F5696" t="s">
        <v>6269</v>
      </c>
      <c r="G5696">
        <v>0</v>
      </c>
      <c r="H5696">
        <v>0</v>
      </c>
      <c r="I5696">
        <v>0</v>
      </c>
      <c r="J5696">
        <v>0</v>
      </c>
      <c r="K5696">
        <v>0</v>
      </c>
      <c r="L5696">
        <v>0</v>
      </c>
      <c r="M5696">
        <v>0</v>
      </c>
      <c r="N5696">
        <v>0</v>
      </c>
      <c r="O5696">
        <v>0</v>
      </c>
    </row>
    <row r="5697" spans="1:15" x14ac:dyDescent="0.35">
      <c r="A5697" t="s">
        <v>6245</v>
      </c>
      <c r="B5697" t="s">
        <v>6246</v>
      </c>
      <c r="C5697" t="s">
        <v>520</v>
      </c>
      <c r="D5697" t="s">
        <v>323</v>
      </c>
      <c r="E5697" t="s">
        <v>304</v>
      </c>
      <c r="F5697" t="s">
        <v>6270</v>
      </c>
      <c r="G5697">
        <v>1</v>
      </c>
      <c r="H5697">
        <v>138.12</v>
      </c>
      <c r="I5697">
        <v>138.12</v>
      </c>
      <c r="J5697">
        <v>0</v>
      </c>
      <c r="K5697">
        <v>0</v>
      </c>
      <c r="L5697">
        <v>0</v>
      </c>
      <c r="M5697">
        <v>1</v>
      </c>
      <c r="N5697">
        <v>138.12</v>
      </c>
      <c r="O5697">
        <v>138.12</v>
      </c>
    </row>
    <row r="5698" spans="1:15" x14ac:dyDescent="0.35">
      <c r="A5698" t="s">
        <v>6245</v>
      </c>
      <c r="B5698" t="s">
        <v>6246</v>
      </c>
      <c r="C5698" t="s">
        <v>520</v>
      </c>
      <c r="D5698" t="s">
        <v>323</v>
      </c>
      <c r="E5698" t="s">
        <v>306</v>
      </c>
      <c r="F5698" t="s">
        <v>6271</v>
      </c>
      <c r="G5698">
        <v>29</v>
      </c>
      <c r="H5698">
        <v>2106.56</v>
      </c>
      <c r="I5698">
        <v>72.64</v>
      </c>
      <c r="J5698">
        <v>0</v>
      </c>
      <c r="K5698">
        <v>0</v>
      </c>
      <c r="L5698">
        <v>0</v>
      </c>
      <c r="M5698">
        <v>29</v>
      </c>
      <c r="N5698">
        <v>2106.56</v>
      </c>
      <c r="O5698">
        <v>72.64</v>
      </c>
    </row>
    <row r="5699" spans="1:15" x14ac:dyDescent="0.35">
      <c r="A5699" t="s">
        <v>6245</v>
      </c>
      <c r="B5699" t="s">
        <v>6246</v>
      </c>
      <c r="C5699" t="s">
        <v>520</v>
      </c>
      <c r="D5699" t="s">
        <v>323</v>
      </c>
      <c r="E5699" t="s">
        <v>308</v>
      </c>
      <c r="F5699" t="s">
        <v>6272</v>
      </c>
      <c r="G5699">
        <v>0</v>
      </c>
      <c r="H5699">
        <v>0</v>
      </c>
      <c r="I5699">
        <v>0</v>
      </c>
      <c r="J5699">
        <v>0</v>
      </c>
      <c r="K5699">
        <v>0</v>
      </c>
      <c r="L5699">
        <v>0</v>
      </c>
      <c r="M5699">
        <v>0</v>
      </c>
      <c r="N5699">
        <v>0</v>
      </c>
      <c r="O5699">
        <v>0</v>
      </c>
    </row>
    <row r="5700" spans="1:15" x14ac:dyDescent="0.35">
      <c r="A5700" t="s">
        <v>6245</v>
      </c>
      <c r="B5700" t="s">
        <v>6246</v>
      </c>
      <c r="C5700" t="s">
        <v>520</v>
      </c>
      <c r="D5700" t="s">
        <v>323</v>
      </c>
      <c r="E5700" t="s">
        <v>310</v>
      </c>
      <c r="F5700" t="s">
        <v>6273</v>
      </c>
      <c r="G5700">
        <v>3583</v>
      </c>
      <c r="H5700">
        <v>325759.41000000003</v>
      </c>
      <c r="I5700">
        <v>90.92</v>
      </c>
      <c r="J5700">
        <v>2</v>
      </c>
      <c r="K5700">
        <v>374</v>
      </c>
      <c r="L5700">
        <v>187</v>
      </c>
      <c r="M5700">
        <v>3585</v>
      </c>
      <c r="N5700">
        <v>326133.41000000003</v>
      </c>
      <c r="O5700">
        <v>90.97</v>
      </c>
    </row>
    <row r="5701" spans="1:15" x14ac:dyDescent="0.35">
      <c r="A5701" t="s">
        <v>6245</v>
      </c>
      <c r="B5701" t="s">
        <v>6246</v>
      </c>
      <c r="C5701" t="s">
        <v>520</v>
      </c>
      <c r="D5701" t="s">
        <v>323</v>
      </c>
      <c r="E5701" t="s">
        <v>312</v>
      </c>
      <c r="F5701" t="s">
        <v>6274</v>
      </c>
      <c r="G5701">
        <v>3583</v>
      </c>
      <c r="H5701">
        <v>325759.41000000003</v>
      </c>
      <c r="I5701">
        <v>90.92</v>
      </c>
      <c r="J5701">
        <v>2</v>
      </c>
      <c r="K5701">
        <v>374</v>
      </c>
      <c r="L5701">
        <v>187</v>
      </c>
      <c r="M5701">
        <v>3585</v>
      </c>
      <c r="N5701">
        <v>326133.41000000003</v>
      </c>
      <c r="O5701">
        <v>90.97</v>
      </c>
    </row>
    <row r="5702" spans="1:15" x14ac:dyDescent="0.35">
      <c r="A5702" t="s">
        <v>6245</v>
      </c>
      <c r="B5702" t="s">
        <v>6246</v>
      </c>
      <c r="C5702" t="s">
        <v>520</v>
      </c>
      <c r="D5702" t="s">
        <v>334</v>
      </c>
      <c r="E5702" t="s">
        <v>312</v>
      </c>
      <c r="F5702" t="s">
        <v>6275</v>
      </c>
      <c r="G5702">
        <v>4284</v>
      </c>
      <c r="H5702">
        <v>407056</v>
      </c>
      <c r="I5702">
        <v>95.6</v>
      </c>
      <c r="J5702">
        <v>7</v>
      </c>
      <c r="K5702">
        <v>1037</v>
      </c>
      <c r="L5702">
        <v>148.13999999999999</v>
      </c>
      <c r="M5702">
        <v>4291</v>
      </c>
      <c r="N5702">
        <v>408093</v>
      </c>
      <c r="O5702">
        <v>95.68</v>
      </c>
    </row>
    <row r="5703" spans="1:15" x14ac:dyDescent="0.35">
      <c r="A5703" t="s">
        <v>6245</v>
      </c>
      <c r="B5703" t="s">
        <v>6246</v>
      </c>
      <c r="C5703" t="s">
        <v>520</v>
      </c>
      <c r="D5703" t="s">
        <v>334</v>
      </c>
      <c r="E5703" t="s">
        <v>308</v>
      </c>
      <c r="F5703" t="s">
        <v>6276</v>
      </c>
      <c r="G5703">
        <v>0</v>
      </c>
      <c r="H5703">
        <v>0</v>
      </c>
      <c r="I5703">
        <v>0</v>
      </c>
      <c r="J5703">
        <v>0</v>
      </c>
      <c r="K5703">
        <v>0</v>
      </c>
      <c r="L5703">
        <v>0</v>
      </c>
      <c r="M5703">
        <v>0</v>
      </c>
      <c r="N5703">
        <v>0</v>
      </c>
      <c r="O5703">
        <v>0</v>
      </c>
    </row>
    <row r="5704" spans="1:15" x14ac:dyDescent="0.35">
      <c r="A5704" t="s">
        <v>6245</v>
      </c>
      <c r="B5704" t="s">
        <v>6246</v>
      </c>
      <c r="C5704" t="s">
        <v>520</v>
      </c>
      <c r="D5704" t="s">
        <v>337</v>
      </c>
      <c r="E5704" t="s">
        <v>337</v>
      </c>
      <c r="F5704" t="s">
        <v>6277</v>
      </c>
      <c r="G5704">
        <v>40</v>
      </c>
      <c r="J5704">
        <v>0</v>
      </c>
      <c r="M5704">
        <v>40</v>
      </c>
    </row>
    <row r="5705" spans="1:15" x14ac:dyDescent="0.35">
      <c r="A5705" t="s">
        <v>6245</v>
      </c>
      <c r="B5705" t="s">
        <v>6246</v>
      </c>
      <c r="C5705" t="s">
        <v>520</v>
      </c>
      <c r="D5705" t="s">
        <v>339</v>
      </c>
      <c r="E5705" t="s">
        <v>294</v>
      </c>
      <c r="F5705" t="s">
        <v>6278</v>
      </c>
      <c r="G5705">
        <v>290</v>
      </c>
      <c r="H5705">
        <v>29314.360000000004</v>
      </c>
      <c r="I5705">
        <v>101.08</v>
      </c>
      <c r="J5705">
        <v>3</v>
      </c>
      <c r="K5705">
        <v>304.92</v>
      </c>
      <c r="L5705">
        <v>101.64</v>
      </c>
      <c r="M5705">
        <v>293</v>
      </c>
      <c r="N5705">
        <v>29619.280000000002</v>
      </c>
      <c r="O5705">
        <v>101.09</v>
      </c>
    </row>
    <row r="5706" spans="1:15" x14ac:dyDescent="0.35">
      <c r="A5706" t="s">
        <v>6245</v>
      </c>
      <c r="B5706" t="s">
        <v>6246</v>
      </c>
      <c r="C5706" t="s">
        <v>520</v>
      </c>
      <c r="D5706" t="s">
        <v>339</v>
      </c>
      <c r="E5706" t="s">
        <v>296</v>
      </c>
      <c r="F5706" t="s">
        <v>6279</v>
      </c>
      <c r="G5706">
        <v>55</v>
      </c>
      <c r="H5706">
        <v>6753.66</v>
      </c>
      <c r="I5706">
        <v>122.79</v>
      </c>
      <c r="J5706">
        <v>0</v>
      </c>
      <c r="K5706">
        <v>0</v>
      </c>
      <c r="L5706">
        <v>0</v>
      </c>
      <c r="M5706">
        <v>55</v>
      </c>
      <c r="N5706">
        <v>6753.66</v>
      </c>
      <c r="O5706">
        <v>122.79</v>
      </c>
    </row>
    <row r="5707" spans="1:15" x14ac:dyDescent="0.35">
      <c r="A5707" t="s">
        <v>6245</v>
      </c>
      <c r="B5707" t="s">
        <v>6246</v>
      </c>
      <c r="C5707" t="s">
        <v>520</v>
      </c>
      <c r="D5707" t="s">
        <v>339</v>
      </c>
      <c r="E5707" t="s">
        <v>298</v>
      </c>
      <c r="F5707" t="s">
        <v>6280</v>
      </c>
      <c r="G5707">
        <v>6</v>
      </c>
      <c r="H5707">
        <v>897.09999999999991</v>
      </c>
      <c r="I5707">
        <v>149.52000000000001</v>
      </c>
      <c r="J5707">
        <v>0</v>
      </c>
      <c r="K5707">
        <v>0</v>
      </c>
      <c r="L5707">
        <v>0</v>
      </c>
      <c r="M5707">
        <v>6</v>
      </c>
      <c r="N5707">
        <v>897.09999999999991</v>
      </c>
      <c r="O5707">
        <v>149.52000000000001</v>
      </c>
    </row>
    <row r="5708" spans="1:15" x14ac:dyDescent="0.35">
      <c r="A5708" t="s">
        <v>6245</v>
      </c>
      <c r="B5708" t="s">
        <v>6246</v>
      </c>
      <c r="C5708" t="s">
        <v>520</v>
      </c>
      <c r="D5708" t="s">
        <v>339</v>
      </c>
      <c r="E5708" t="s">
        <v>300</v>
      </c>
      <c r="F5708" t="s">
        <v>6281</v>
      </c>
      <c r="G5708">
        <v>0</v>
      </c>
      <c r="H5708">
        <v>0</v>
      </c>
      <c r="I5708">
        <v>0</v>
      </c>
      <c r="J5708">
        <v>0</v>
      </c>
      <c r="K5708">
        <v>0</v>
      </c>
      <c r="L5708">
        <v>0</v>
      </c>
      <c r="M5708">
        <v>0</v>
      </c>
      <c r="N5708">
        <v>0</v>
      </c>
      <c r="O5708">
        <v>0</v>
      </c>
    </row>
    <row r="5709" spans="1:15" x14ac:dyDescent="0.35">
      <c r="A5709" t="s">
        <v>6245</v>
      </c>
      <c r="B5709" t="s">
        <v>6246</v>
      </c>
      <c r="C5709" t="s">
        <v>520</v>
      </c>
      <c r="D5709" t="s">
        <v>339</v>
      </c>
      <c r="E5709" t="s">
        <v>306</v>
      </c>
      <c r="F5709" t="s">
        <v>6282</v>
      </c>
      <c r="G5709">
        <v>54</v>
      </c>
      <c r="H5709">
        <v>4531.1399999999994</v>
      </c>
      <c r="I5709">
        <v>83.91</v>
      </c>
      <c r="J5709">
        <v>7</v>
      </c>
      <c r="K5709">
        <v>711.48</v>
      </c>
      <c r="L5709">
        <v>101.64</v>
      </c>
      <c r="M5709">
        <v>61</v>
      </c>
      <c r="N5709">
        <v>5242.619999999999</v>
      </c>
      <c r="O5709">
        <v>85.94</v>
      </c>
    </row>
    <row r="5710" spans="1:15" x14ac:dyDescent="0.35">
      <c r="A5710" t="s">
        <v>6245</v>
      </c>
      <c r="B5710" t="s">
        <v>6246</v>
      </c>
      <c r="C5710" t="s">
        <v>520</v>
      </c>
      <c r="D5710" t="s">
        <v>339</v>
      </c>
      <c r="E5710" t="s">
        <v>308</v>
      </c>
      <c r="F5710" t="s">
        <v>6283</v>
      </c>
      <c r="G5710">
        <v>11</v>
      </c>
      <c r="H5710">
        <v>2789.29</v>
      </c>
      <c r="I5710">
        <v>253.57</v>
      </c>
      <c r="J5710">
        <v>4</v>
      </c>
      <c r="K5710">
        <v>406.56</v>
      </c>
      <c r="L5710">
        <v>101.64</v>
      </c>
      <c r="M5710">
        <v>15</v>
      </c>
      <c r="N5710">
        <v>3195.85</v>
      </c>
      <c r="O5710">
        <v>213.06</v>
      </c>
    </row>
    <row r="5711" spans="1:15" x14ac:dyDescent="0.35">
      <c r="A5711" t="s">
        <v>6245</v>
      </c>
      <c r="B5711" t="s">
        <v>6246</v>
      </c>
      <c r="C5711" t="s">
        <v>520</v>
      </c>
      <c r="D5711" t="s">
        <v>339</v>
      </c>
      <c r="E5711" t="s">
        <v>310</v>
      </c>
      <c r="F5711" t="s">
        <v>6284</v>
      </c>
      <c r="G5711">
        <v>416</v>
      </c>
      <c r="H5711">
        <v>44285.55</v>
      </c>
      <c r="I5711">
        <v>106.46</v>
      </c>
      <c r="J5711">
        <v>14</v>
      </c>
      <c r="K5711">
        <v>1422.96</v>
      </c>
      <c r="L5711">
        <v>101.64</v>
      </c>
      <c r="M5711">
        <v>430</v>
      </c>
      <c r="N5711">
        <v>45708.51</v>
      </c>
      <c r="O5711">
        <v>106.3</v>
      </c>
    </row>
    <row r="5712" spans="1:15" x14ac:dyDescent="0.35">
      <c r="A5712" t="s">
        <v>6245</v>
      </c>
      <c r="B5712" t="s">
        <v>6246</v>
      </c>
      <c r="C5712" t="s">
        <v>520</v>
      </c>
      <c r="D5712" t="s">
        <v>339</v>
      </c>
      <c r="E5712" t="s">
        <v>312</v>
      </c>
      <c r="F5712" t="s">
        <v>6285</v>
      </c>
      <c r="G5712">
        <v>405</v>
      </c>
      <c r="H5712">
        <v>41496.26</v>
      </c>
      <c r="I5712">
        <v>102.46</v>
      </c>
      <c r="J5712">
        <v>10</v>
      </c>
      <c r="K5712">
        <v>1016.4000000000001</v>
      </c>
      <c r="L5712">
        <v>101.64</v>
      </c>
      <c r="M5712">
        <v>415</v>
      </c>
      <c r="N5712">
        <v>42512.66</v>
      </c>
      <c r="O5712">
        <v>102.44</v>
      </c>
    </row>
    <row r="5713" spans="1:15" x14ac:dyDescent="0.35">
      <c r="A5713" t="s">
        <v>6245</v>
      </c>
      <c r="B5713" t="s">
        <v>6246</v>
      </c>
      <c r="C5713" t="s">
        <v>520</v>
      </c>
      <c r="D5713" t="s">
        <v>348</v>
      </c>
      <c r="E5713" t="s">
        <v>349</v>
      </c>
      <c r="F5713" t="s">
        <v>6286</v>
      </c>
      <c r="G5713">
        <v>456</v>
      </c>
      <c r="H5713">
        <v>44285.55</v>
      </c>
      <c r="I5713">
        <v>106.46</v>
      </c>
      <c r="J5713">
        <v>14</v>
      </c>
      <c r="K5713">
        <v>1422.96</v>
      </c>
      <c r="L5713">
        <v>101.64</v>
      </c>
      <c r="M5713">
        <v>470</v>
      </c>
      <c r="N5713">
        <v>45708.51</v>
      </c>
      <c r="O5713">
        <v>106.3</v>
      </c>
    </row>
    <row r="5714" spans="1:15" x14ac:dyDescent="0.35">
      <c r="A5714" t="s">
        <v>6287</v>
      </c>
      <c r="B5714" t="s">
        <v>6288</v>
      </c>
      <c r="C5714" t="s">
        <v>520</v>
      </c>
      <c r="D5714" t="s">
        <v>293</v>
      </c>
      <c r="E5714" t="s">
        <v>294</v>
      </c>
      <c r="F5714" t="s">
        <v>6289</v>
      </c>
      <c r="G5714">
        <v>87</v>
      </c>
      <c r="H5714">
        <v>9133.66</v>
      </c>
      <c r="I5714">
        <v>104.98</v>
      </c>
      <c r="J5714">
        <v>15</v>
      </c>
      <c r="K5714">
        <v>1746.8999999999999</v>
      </c>
      <c r="L5714">
        <v>116.46</v>
      </c>
      <c r="M5714">
        <v>102</v>
      </c>
      <c r="N5714">
        <v>10880.56</v>
      </c>
      <c r="O5714">
        <v>106.67</v>
      </c>
    </row>
    <row r="5715" spans="1:15" x14ac:dyDescent="0.35">
      <c r="A5715" t="s">
        <v>6287</v>
      </c>
      <c r="B5715" t="s">
        <v>6288</v>
      </c>
      <c r="C5715" t="s">
        <v>520</v>
      </c>
      <c r="D5715" t="s">
        <v>293</v>
      </c>
      <c r="E5715" t="s">
        <v>296</v>
      </c>
      <c r="F5715" t="s">
        <v>6290</v>
      </c>
      <c r="G5715">
        <v>359</v>
      </c>
      <c r="H5715">
        <v>46900.93</v>
      </c>
      <c r="I5715">
        <v>130.63999999999999</v>
      </c>
      <c r="J5715">
        <v>5</v>
      </c>
      <c r="K5715">
        <v>691</v>
      </c>
      <c r="L5715">
        <v>138.19999999999999</v>
      </c>
      <c r="M5715">
        <v>364</v>
      </c>
      <c r="N5715">
        <v>47591.93</v>
      </c>
      <c r="O5715">
        <v>130.75</v>
      </c>
    </row>
    <row r="5716" spans="1:15" x14ac:dyDescent="0.35">
      <c r="A5716" t="s">
        <v>6287</v>
      </c>
      <c r="B5716" t="s">
        <v>6288</v>
      </c>
      <c r="C5716" t="s">
        <v>520</v>
      </c>
      <c r="D5716" t="s">
        <v>293</v>
      </c>
      <c r="E5716" t="s">
        <v>298</v>
      </c>
      <c r="F5716" t="s">
        <v>6291</v>
      </c>
      <c r="G5716">
        <v>235</v>
      </c>
      <c r="H5716">
        <v>34185.289999999994</v>
      </c>
      <c r="I5716">
        <v>145.47</v>
      </c>
      <c r="J5716">
        <v>3</v>
      </c>
      <c r="K5716">
        <v>459.41999999999996</v>
      </c>
      <c r="L5716">
        <v>153.13999999999999</v>
      </c>
      <c r="M5716">
        <v>238</v>
      </c>
      <c r="N5716">
        <v>34644.709999999992</v>
      </c>
      <c r="O5716">
        <v>145.57</v>
      </c>
    </row>
    <row r="5717" spans="1:15" x14ac:dyDescent="0.35">
      <c r="A5717" t="s">
        <v>6287</v>
      </c>
      <c r="B5717" t="s">
        <v>6288</v>
      </c>
      <c r="C5717" t="s">
        <v>520</v>
      </c>
      <c r="D5717" t="s">
        <v>293</v>
      </c>
      <c r="E5717" t="s">
        <v>300</v>
      </c>
      <c r="F5717" t="s">
        <v>6292</v>
      </c>
      <c r="G5717">
        <v>8</v>
      </c>
      <c r="H5717">
        <v>1691.8200000000002</v>
      </c>
      <c r="I5717">
        <v>211.48</v>
      </c>
      <c r="J5717">
        <v>0</v>
      </c>
      <c r="K5717">
        <v>0</v>
      </c>
      <c r="L5717">
        <v>0</v>
      </c>
      <c r="M5717">
        <v>8</v>
      </c>
      <c r="N5717">
        <v>1691.8200000000002</v>
      </c>
      <c r="O5717">
        <v>211.48</v>
      </c>
    </row>
    <row r="5718" spans="1:15" x14ac:dyDescent="0.35">
      <c r="A5718" t="s">
        <v>6287</v>
      </c>
      <c r="B5718" t="s">
        <v>6288</v>
      </c>
      <c r="C5718" t="s">
        <v>520</v>
      </c>
      <c r="D5718" t="s">
        <v>293</v>
      </c>
      <c r="E5718" t="s">
        <v>302</v>
      </c>
      <c r="F5718" t="s">
        <v>6293</v>
      </c>
      <c r="G5718">
        <v>0</v>
      </c>
      <c r="H5718">
        <v>0</v>
      </c>
      <c r="I5718">
        <v>0</v>
      </c>
      <c r="J5718">
        <v>0</v>
      </c>
      <c r="K5718">
        <v>0</v>
      </c>
      <c r="L5718">
        <v>0</v>
      </c>
      <c r="M5718">
        <v>0</v>
      </c>
      <c r="N5718">
        <v>0</v>
      </c>
      <c r="O5718">
        <v>0</v>
      </c>
    </row>
    <row r="5719" spans="1:15" x14ac:dyDescent="0.35">
      <c r="A5719" t="s">
        <v>6287</v>
      </c>
      <c r="B5719" t="s">
        <v>6288</v>
      </c>
      <c r="C5719" t="s">
        <v>520</v>
      </c>
      <c r="D5719" t="s">
        <v>293</v>
      </c>
      <c r="E5719" t="s">
        <v>304</v>
      </c>
      <c r="F5719" t="s">
        <v>6294</v>
      </c>
      <c r="G5719">
        <v>0</v>
      </c>
      <c r="H5719">
        <v>0</v>
      </c>
      <c r="I5719">
        <v>0</v>
      </c>
      <c r="J5719">
        <v>0</v>
      </c>
      <c r="K5719">
        <v>0</v>
      </c>
      <c r="L5719">
        <v>0</v>
      </c>
      <c r="M5719">
        <v>0</v>
      </c>
      <c r="N5719">
        <v>0</v>
      </c>
      <c r="O5719">
        <v>0</v>
      </c>
    </row>
    <row r="5720" spans="1:15" x14ac:dyDescent="0.35">
      <c r="A5720" t="s">
        <v>6287</v>
      </c>
      <c r="B5720" t="s">
        <v>6288</v>
      </c>
      <c r="C5720" t="s">
        <v>520</v>
      </c>
      <c r="D5720" t="s">
        <v>293</v>
      </c>
      <c r="E5720" t="s">
        <v>306</v>
      </c>
      <c r="F5720" t="s">
        <v>6295</v>
      </c>
      <c r="G5720">
        <v>0</v>
      </c>
      <c r="H5720">
        <v>0</v>
      </c>
      <c r="I5720">
        <v>0</v>
      </c>
      <c r="J5720">
        <v>0</v>
      </c>
      <c r="K5720">
        <v>0</v>
      </c>
      <c r="L5720">
        <v>0</v>
      </c>
      <c r="M5720">
        <v>0</v>
      </c>
      <c r="N5720">
        <v>0</v>
      </c>
      <c r="O5720">
        <v>0</v>
      </c>
    </row>
    <row r="5721" spans="1:15" x14ac:dyDescent="0.35">
      <c r="A5721" t="s">
        <v>6287</v>
      </c>
      <c r="B5721" t="s">
        <v>6288</v>
      </c>
      <c r="C5721" t="s">
        <v>520</v>
      </c>
      <c r="D5721" t="s">
        <v>293</v>
      </c>
      <c r="E5721" t="s">
        <v>308</v>
      </c>
      <c r="F5721" t="s">
        <v>6296</v>
      </c>
      <c r="G5721">
        <v>0</v>
      </c>
      <c r="H5721">
        <v>0</v>
      </c>
      <c r="I5721">
        <v>0</v>
      </c>
      <c r="J5721">
        <v>0</v>
      </c>
      <c r="K5721">
        <v>0</v>
      </c>
      <c r="L5721">
        <v>0</v>
      </c>
      <c r="M5721">
        <v>0</v>
      </c>
      <c r="N5721">
        <v>0</v>
      </c>
      <c r="O5721">
        <v>0</v>
      </c>
    </row>
    <row r="5722" spans="1:15" x14ac:dyDescent="0.35">
      <c r="A5722" t="s">
        <v>6287</v>
      </c>
      <c r="B5722" t="s">
        <v>6288</v>
      </c>
      <c r="C5722" t="s">
        <v>520</v>
      </c>
      <c r="D5722" t="s">
        <v>293</v>
      </c>
      <c r="E5722" t="s">
        <v>310</v>
      </c>
      <c r="F5722" t="s">
        <v>6297</v>
      </c>
      <c r="G5722">
        <v>689</v>
      </c>
      <c r="H5722">
        <v>91911.7</v>
      </c>
      <c r="I5722">
        <v>133.4</v>
      </c>
      <c r="J5722">
        <v>23</v>
      </c>
      <c r="K5722">
        <v>2897.3199999999997</v>
      </c>
      <c r="L5722">
        <v>125.97</v>
      </c>
      <c r="M5722">
        <v>712</v>
      </c>
      <c r="N5722">
        <v>94809.01999999999</v>
      </c>
      <c r="O5722">
        <v>133.16</v>
      </c>
    </row>
    <row r="5723" spans="1:15" x14ac:dyDescent="0.35">
      <c r="A5723" t="s">
        <v>6287</v>
      </c>
      <c r="B5723" t="s">
        <v>6288</v>
      </c>
      <c r="C5723" t="s">
        <v>520</v>
      </c>
      <c r="D5723" t="s">
        <v>293</v>
      </c>
      <c r="E5723" t="s">
        <v>312</v>
      </c>
      <c r="F5723" t="s">
        <v>6298</v>
      </c>
      <c r="G5723">
        <v>689</v>
      </c>
      <c r="H5723">
        <v>91911.7</v>
      </c>
      <c r="I5723">
        <v>133.4</v>
      </c>
      <c r="J5723">
        <v>23</v>
      </c>
      <c r="K5723">
        <v>2897.3199999999997</v>
      </c>
      <c r="L5723">
        <v>125.97</v>
      </c>
      <c r="M5723">
        <v>712</v>
      </c>
      <c r="N5723">
        <v>94809.01999999999</v>
      </c>
      <c r="O5723">
        <v>133.16</v>
      </c>
    </row>
    <row r="5724" spans="1:15" x14ac:dyDescent="0.35">
      <c r="A5724" t="s">
        <v>6287</v>
      </c>
      <c r="B5724" t="s">
        <v>6288</v>
      </c>
      <c r="C5724" t="s">
        <v>520</v>
      </c>
      <c r="D5724" t="s">
        <v>314</v>
      </c>
      <c r="E5724" t="s">
        <v>294</v>
      </c>
      <c r="F5724" t="s">
        <v>6299</v>
      </c>
      <c r="G5724">
        <v>0</v>
      </c>
      <c r="H5724">
        <v>0</v>
      </c>
      <c r="I5724">
        <v>0</v>
      </c>
      <c r="J5724">
        <v>67</v>
      </c>
      <c r="K5724">
        <v>10673.1</v>
      </c>
      <c r="L5724">
        <v>159.30000000000001</v>
      </c>
      <c r="M5724">
        <v>67</v>
      </c>
      <c r="N5724">
        <v>10673.1</v>
      </c>
      <c r="O5724">
        <v>159.30000000000001</v>
      </c>
    </row>
    <row r="5725" spans="1:15" x14ac:dyDescent="0.35">
      <c r="A5725" t="s">
        <v>6287</v>
      </c>
      <c r="B5725" t="s">
        <v>6288</v>
      </c>
      <c r="C5725" t="s">
        <v>520</v>
      </c>
      <c r="D5725" t="s">
        <v>314</v>
      </c>
      <c r="E5725" t="s">
        <v>296</v>
      </c>
      <c r="F5725" t="s">
        <v>6300</v>
      </c>
      <c r="G5725">
        <v>0</v>
      </c>
      <c r="H5725">
        <v>0</v>
      </c>
      <c r="I5725">
        <v>0</v>
      </c>
      <c r="J5725">
        <v>8</v>
      </c>
      <c r="K5725">
        <v>1558.4</v>
      </c>
      <c r="L5725">
        <v>194.8</v>
      </c>
      <c r="M5725">
        <v>8</v>
      </c>
      <c r="N5725">
        <v>1558.4</v>
      </c>
      <c r="O5725">
        <v>194.8</v>
      </c>
    </row>
    <row r="5726" spans="1:15" x14ac:dyDescent="0.35">
      <c r="A5726" t="s">
        <v>6287</v>
      </c>
      <c r="B5726" t="s">
        <v>6288</v>
      </c>
      <c r="C5726" t="s">
        <v>520</v>
      </c>
      <c r="D5726" t="s">
        <v>314</v>
      </c>
      <c r="E5726" t="s">
        <v>298</v>
      </c>
      <c r="F5726" t="s">
        <v>6301</v>
      </c>
      <c r="G5726">
        <v>0</v>
      </c>
      <c r="H5726">
        <v>0</v>
      </c>
      <c r="I5726">
        <v>0</v>
      </c>
      <c r="J5726">
        <v>0</v>
      </c>
      <c r="K5726">
        <v>0</v>
      </c>
      <c r="L5726">
        <v>0</v>
      </c>
      <c r="M5726">
        <v>0</v>
      </c>
      <c r="N5726">
        <v>0</v>
      </c>
      <c r="O5726">
        <v>0</v>
      </c>
    </row>
    <row r="5727" spans="1:15" x14ac:dyDescent="0.35">
      <c r="A5727" t="s">
        <v>6287</v>
      </c>
      <c r="B5727" t="s">
        <v>6288</v>
      </c>
      <c r="C5727" t="s">
        <v>520</v>
      </c>
      <c r="D5727" t="s">
        <v>314</v>
      </c>
      <c r="E5727" t="s">
        <v>300</v>
      </c>
      <c r="F5727" t="s">
        <v>6302</v>
      </c>
      <c r="G5727">
        <v>0</v>
      </c>
      <c r="H5727">
        <v>0</v>
      </c>
      <c r="I5727">
        <v>0</v>
      </c>
      <c r="J5727">
        <v>0</v>
      </c>
      <c r="K5727">
        <v>0</v>
      </c>
      <c r="L5727">
        <v>0</v>
      </c>
      <c r="M5727">
        <v>0</v>
      </c>
      <c r="N5727">
        <v>0</v>
      </c>
      <c r="O5727">
        <v>0</v>
      </c>
    </row>
    <row r="5728" spans="1:15" x14ac:dyDescent="0.35">
      <c r="A5728" t="s">
        <v>6287</v>
      </c>
      <c r="B5728" t="s">
        <v>6288</v>
      </c>
      <c r="C5728" t="s">
        <v>520</v>
      </c>
      <c r="D5728" t="s">
        <v>314</v>
      </c>
      <c r="E5728" t="s">
        <v>306</v>
      </c>
      <c r="F5728" t="s">
        <v>6303</v>
      </c>
      <c r="G5728">
        <v>0</v>
      </c>
      <c r="H5728">
        <v>0</v>
      </c>
      <c r="I5728">
        <v>0</v>
      </c>
      <c r="J5728">
        <v>0</v>
      </c>
      <c r="K5728">
        <v>0</v>
      </c>
      <c r="L5728">
        <v>0</v>
      </c>
      <c r="M5728">
        <v>0</v>
      </c>
      <c r="N5728">
        <v>0</v>
      </c>
      <c r="O5728">
        <v>0</v>
      </c>
    </row>
    <row r="5729" spans="1:15" x14ac:dyDescent="0.35">
      <c r="A5729" t="s">
        <v>6287</v>
      </c>
      <c r="B5729" t="s">
        <v>6288</v>
      </c>
      <c r="C5729" t="s">
        <v>520</v>
      </c>
      <c r="D5729" t="s">
        <v>314</v>
      </c>
      <c r="E5729" t="s">
        <v>308</v>
      </c>
      <c r="F5729" t="s">
        <v>6304</v>
      </c>
      <c r="G5729">
        <v>0</v>
      </c>
      <c r="H5729">
        <v>0</v>
      </c>
      <c r="I5729">
        <v>0</v>
      </c>
      <c r="J5729">
        <v>0</v>
      </c>
      <c r="K5729">
        <v>0</v>
      </c>
      <c r="L5729">
        <v>0</v>
      </c>
      <c r="M5729">
        <v>0</v>
      </c>
      <c r="N5729">
        <v>0</v>
      </c>
      <c r="O5729">
        <v>0</v>
      </c>
    </row>
    <row r="5730" spans="1:15" x14ac:dyDescent="0.35">
      <c r="A5730" t="s">
        <v>6287</v>
      </c>
      <c r="B5730" t="s">
        <v>6288</v>
      </c>
      <c r="C5730" t="s">
        <v>520</v>
      </c>
      <c r="D5730" t="s">
        <v>314</v>
      </c>
      <c r="E5730" t="s">
        <v>312</v>
      </c>
      <c r="F5730" t="s">
        <v>6305</v>
      </c>
      <c r="G5730">
        <v>0</v>
      </c>
      <c r="H5730">
        <v>0</v>
      </c>
      <c r="I5730">
        <v>0</v>
      </c>
      <c r="J5730">
        <v>75</v>
      </c>
      <c r="K5730">
        <v>12231.5</v>
      </c>
      <c r="L5730">
        <v>163.09</v>
      </c>
      <c r="M5730">
        <v>75</v>
      </c>
      <c r="N5730">
        <v>12231.5</v>
      </c>
      <c r="O5730">
        <v>163.09</v>
      </c>
    </row>
    <row r="5731" spans="1:15" x14ac:dyDescent="0.35">
      <c r="A5731" t="s">
        <v>6287</v>
      </c>
      <c r="B5731" t="s">
        <v>6288</v>
      </c>
      <c r="C5731" t="s">
        <v>520</v>
      </c>
      <c r="D5731" t="s">
        <v>314</v>
      </c>
      <c r="E5731" t="s">
        <v>310</v>
      </c>
      <c r="F5731" t="s">
        <v>6306</v>
      </c>
      <c r="G5731">
        <v>0</v>
      </c>
      <c r="H5731">
        <v>0</v>
      </c>
      <c r="I5731">
        <v>0</v>
      </c>
      <c r="J5731">
        <v>75</v>
      </c>
      <c r="K5731">
        <v>12231.5</v>
      </c>
      <c r="L5731">
        <v>163.09</v>
      </c>
      <c r="M5731">
        <v>75</v>
      </c>
      <c r="N5731">
        <v>12231.5</v>
      </c>
      <c r="O5731">
        <v>163.09</v>
      </c>
    </row>
    <row r="5732" spans="1:15" x14ac:dyDescent="0.35">
      <c r="A5732" t="s">
        <v>6287</v>
      </c>
      <c r="B5732" t="s">
        <v>6288</v>
      </c>
      <c r="C5732" t="s">
        <v>520</v>
      </c>
      <c r="D5732" t="s">
        <v>323</v>
      </c>
      <c r="E5732" t="s">
        <v>294</v>
      </c>
      <c r="F5732" t="s">
        <v>6307</v>
      </c>
      <c r="G5732">
        <v>644</v>
      </c>
      <c r="H5732">
        <v>57987.22</v>
      </c>
      <c r="I5732">
        <v>90.04</v>
      </c>
      <c r="J5732">
        <v>0</v>
      </c>
      <c r="K5732">
        <v>0</v>
      </c>
      <c r="L5732">
        <v>0</v>
      </c>
      <c r="M5732">
        <v>644</v>
      </c>
      <c r="N5732">
        <v>57987.22</v>
      </c>
      <c r="O5732">
        <v>90.04</v>
      </c>
    </row>
    <row r="5733" spans="1:15" x14ac:dyDescent="0.35">
      <c r="A5733" t="s">
        <v>6287</v>
      </c>
      <c r="B5733" t="s">
        <v>6288</v>
      </c>
      <c r="C5733" t="s">
        <v>520</v>
      </c>
      <c r="D5733" t="s">
        <v>323</v>
      </c>
      <c r="E5733" t="s">
        <v>296</v>
      </c>
      <c r="F5733" t="s">
        <v>6308</v>
      </c>
      <c r="G5733">
        <v>1373</v>
      </c>
      <c r="H5733">
        <v>142600.83000000002</v>
      </c>
      <c r="I5733">
        <v>103.86</v>
      </c>
      <c r="J5733">
        <v>0</v>
      </c>
      <c r="K5733">
        <v>0</v>
      </c>
      <c r="L5733">
        <v>0</v>
      </c>
      <c r="M5733">
        <v>1373</v>
      </c>
      <c r="N5733">
        <v>142600.83000000002</v>
      </c>
      <c r="O5733">
        <v>103.86</v>
      </c>
    </row>
    <row r="5734" spans="1:15" x14ac:dyDescent="0.35">
      <c r="A5734" t="s">
        <v>6287</v>
      </c>
      <c r="B5734" t="s">
        <v>6288</v>
      </c>
      <c r="C5734" t="s">
        <v>520</v>
      </c>
      <c r="D5734" t="s">
        <v>323</v>
      </c>
      <c r="E5734" t="s">
        <v>298</v>
      </c>
      <c r="F5734" t="s">
        <v>6309</v>
      </c>
      <c r="G5734">
        <v>1501</v>
      </c>
      <c r="H5734">
        <v>175806.96</v>
      </c>
      <c r="I5734">
        <v>117.13</v>
      </c>
      <c r="J5734">
        <v>0</v>
      </c>
      <c r="K5734">
        <v>0</v>
      </c>
      <c r="L5734">
        <v>0</v>
      </c>
      <c r="M5734">
        <v>1501</v>
      </c>
      <c r="N5734">
        <v>175806.96</v>
      </c>
      <c r="O5734">
        <v>117.13</v>
      </c>
    </row>
    <row r="5735" spans="1:15" x14ac:dyDescent="0.35">
      <c r="A5735" t="s">
        <v>6287</v>
      </c>
      <c r="B5735" t="s">
        <v>6288</v>
      </c>
      <c r="C5735" t="s">
        <v>520</v>
      </c>
      <c r="D5735" t="s">
        <v>323</v>
      </c>
      <c r="E5735" t="s">
        <v>300</v>
      </c>
      <c r="F5735" t="s">
        <v>6310</v>
      </c>
      <c r="G5735">
        <v>59</v>
      </c>
      <c r="H5735">
        <v>7446.5300000000007</v>
      </c>
      <c r="I5735">
        <v>126.21</v>
      </c>
      <c r="J5735">
        <v>0</v>
      </c>
      <c r="K5735">
        <v>0</v>
      </c>
      <c r="L5735">
        <v>0</v>
      </c>
      <c r="M5735">
        <v>59</v>
      </c>
      <c r="N5735">
        <v>7446.5300000000007</v>
      </c>
      <c r="O5735">
        <v>126.21</v>
      </c>
    </row>
    <row r="5736" spans="1:15" x14ac:dyDescent="0.35">
      <c r="A5736" t="s">
        <v>6287</v>
      </c>
      <c r="B5736" t="s">
        <v>6288</v>
      </c>
      <c r="C5736" t="s">
        <v>520</v>
      </c>
      <c r="D5736" t="s">
        <v>323</v>
      </c>
      <c r="E5736" t="s">
        <v>302</v>
      </c>
      <c r="F5736" t="s">
        <v>6311</v>
      </c>
      <c r="G5736">
        <v>0</v>
      </c>
      <c r="H5736">
        <v>0</v>
      </c>
      <c r="I5736">
        <v>0</v>
      </c>
      <c r="J5736">
        <v>0</v>
      </c>
      <c r="K5736">
        <v>0</v>
      </c>
      <c r="L5736">
        <v>0</v>
      </c>
      <c r="M5736">
        <v>0</v>
      </c>
      <c r="N5736">
        <v>0</v>
      </c>
      <c r="O5736">
        <v>0</v>
      </c>
    </row>
    <row r="5737" spans="1:15" x14ac:dyDescent="0.35">
      <c r="A5737" t="s">
        <v>6287</v>
      </c>
      <c r="B5737" t="s">
        <v>6288</v>
      </c>
      <c r="C5737" t="s">
        <v>520</v>
      </c>
      <c r="D5737" t="s">
        <v>323</v>
      </c>
      <c r="E5737" t="s">
        <v>304</v>
      </c>
      <c r="F5737" t="s">
        <v>6312</v>
      </c>
      <c r="G5737">
        <v>1</v>
      </c>
      <c r="H5737">
        <v>173.28</v>
      </c>
      <c r="I5737">
        <v>173.28</v>
      </c>
      <c r="J5737">
        <v>0</v>
      </c>
      <c r="K5737">
        <v>0</v>
      </c>
      <c r="L5737">
        <v>0</v>
      </c>
      <c r="M5737">
        <v>1</v>
      </c>
      <c r="N5737">
        <v>173.28</v>
      </c>
      <c r="O5737">
        <v>173.28</v>
      </c>
    </row>
    <row r="5738" spans="1:15" x14ac:dyDescent="0.35">
      <c r="A5738" t="s">
        <v>6287</v>
      </c>
      <c r="B5738" t="s">
        <v>6288</v>
      </c>
      <c r="C5738" t="s">
        <v>520</v>
      </c>
      <c r="D5738" t="s">
        <v>323</v>
      </c>
      <c r="E5738" t="s">
        <v>306</v>
      </c>
      <c r="F5738" t="s">
        <v>6313</v>
      </c>
      <c r="G5738">
        <v>1</v>
      </c>
      <c r="H5738">
        <v>78.61</v>
      </c>
      <c r="I5738">
        <v>78.61</v>
      </c>
      <c r="J5738">
        <v>0</v>
      </c>
      <c r="K5738">
        <v>0</v>
      </c>
      <c r="L5738">
        <v>0</v>
      </c>
      <c r="M5738">
        <v>1</v>
      </c>
      <c r="N5738">
        <v>78.61</v>
      </c>
      <c r="O5738">
        <v>78.61</v>
      </c>
    </row>
    <row r="5739" spans="1:15" x14ac:dyDescent="0.35">
      <c r="A5739" t="s">
        <v>6287</v>
      </c>
      <c r="B5739" t="s">
        <v>6288</v>
      </c>
      <c r="C5739" t="s">
        <v>520</v>
      </c>
      <c r="D5739" t="s">
        <v>323</v>
      </c>
      <c r="E5739" t="s">
        <v>308</v>
      </c>
      <c r="F5739" t="s">
        <v>6314</v>
      </c>
      <c r="G5739">
        <v>0</v>
      </c>
      <c r="H5739">
        <v>0</v>
      </c>
      <c r="I5739">
        <v>0</v>
      </c>
      <c r="J5739">
        <v>0</v>
      </c>
      <c r="K5739">
        <v>0</v>
      </c>
      <c r="L5739">
        <v>0</v>
      </c>
      <c r="M5739">
        <v>0</v>
      </c>
      <c r="N5739">
        <v>0</v>
      </c>
      <c r="O5739">
        <v>0</v>
      </c>
    </row>
    <row r="5740" spans="1:15" x14ac:dyDescent="0.35">
      <c r="A5740" t="s">
        <v>6287</v>
      </c>
      <c r="B5740" t="s">
        <v>6288</v>
      </c>
      <c r="C5740" t="s">
        <v>520</v>
      </c>
      <c r="D5740" t="s">
        <v>323</v>
      </c>
      <c r="E5740" t="s">
        <v>310</v>
      </c>
      <c r="F5740" t="s">
        <v>6315</v>
      </c>
      <c r="G5740">
        <v>3579</v>
      </c>
      <c r="H5740">
        <v>384093.43000000005</v>
      </c>
      <c r="I5740">
        <v>107.32</v>
      </c>
      <c r="J5740">
        <v>0</v>
      </c>
      <c r="K5740">
        <v>0</v>
      </c>
      <c r="L5740">
        <v>0</v>
      </c>
      <c r="M5740">
        <v>3579</v>
      </c>
      <c r="N5740">
        <v>384093.43000000005</v>
      </c>
      <c r="O5740">
        <v>107.32</v>
      </c>
    </row>
    <row r="5741" spans="1:15" x14ac:dyDescent="0.35">
      <c r="A5741" t="s">
        <v>6287</v>
      </c>
      <c r="B5741" t="s">
        <v>6288</v>
      </c>
      <c r="C5741" t="s">
        <v>520</v>
      </c>
      <c r="D5741" t="s">
        <v>323</v>
      </c>
      <c r="E5741" t="s">
        <v>312</v>
      </c>
      <c r="F5741" t="s">
        <v>6316</v>
      </c>
      <c r="G5741">
        <v>3579</v>
      </c>
      <c r="H5741">
        <v>384093.43000000005</v>
      </c>
      <c r="I5741">
        <v>107.32</v>
      </c>
      <c r="J5741">
        <v>0</v>
      </c>
      <c r="K5741">
        <v>0</v>
      </c>
      <c r="L5741">
        <v>0</v>
      </c>
      <c r="M5741">
        <v>3579</v>
      </c>
      <c r="N5741">
        <v>384093.43000000005</v>
      </c>
      <c r="O5741">
        <v>107.32</v>
      </c>
    </row>
    <row r="5742" spans="1:15" x14ac:dyDescent="0.35">
      <c r="A5742" t="s">
        <v>6287</v>
      </c>
      <c r="B5742" t="s">
        <v>6288</v>
      </c>
      <c r="C5742" t="s">
        <v>520</v>
      </c>
      <c r="D5742" t="s">
        <v>334</v>
      </c>
      <c r="E5742" t="s">
        <v>312</v>
      </c>
      <c r="F5742" t="s">
        <v>6317</v>
      </c>
      <c r="G5742">
        <v>4293</v>
      </c>
      <c r="H5742">
        <v>476005.13</v>
      </c>
      <c r="I5742">
        <v>111.53</v>
      </c>
      <c r="J5742">
        <v>23</v>
      </c>
      <c r="K5742">
        <v>2897.3199999999997</v>
      </c>
      <c r="L5742">
        <v>125.97</v>
      </c>
      <c r="M5742">
        <v>4316</v>
      </c>
      <c r="N5742">
        <v>478902.45</v>
      </c>
      <c r="O5742">
        <v>111.61</v>
      </c>
    </row>
    <row r="5743" spans="1:15" x14ac:dyDescent="0.35">
      <c r="A5743" t="s">
        <v>6287</v>
      </c>
      <c r="B5743" t="s">
        <v>6288</v>
      </c>
      <c r="C5743" t="s">
        <v>520</v>
      </c>
      <c r="D5743" t="s">
        <v>334</v>
      </c>
      <c r="E5743" t="s">
        <v>308</v>
      </c>
      <c r="F5743" t="s">
        <v>6318</v>
      </c>
      <c r="G5743">
        <v>0</v>
      </c>
      <c r="H5743">
        <v>0</v>
      </c>
      <c r="I5743">
        <v>0</v>
      </c>
      <c r="J5743">
        <v>0</v>
      </c>
      <c r="K5743">
        <v>0</v>
      </c>
      <c r="L5743">
        <v>0</v>
      </c>
      <c r="M5743">
        <v>0</v>
      </c>
      <c r="N5743">
        <v>0</v>
      </c>
      <c r="O5743">
        <v>0</v>
      </c>
    </row>
    <row r="5744" spans="1:15" x14ac:dyDescent="0.35">
      <c r="A5744" t="s">
        <v>6287</v>
      </c>
      <c r="B5744" t="s">
        <v>6288</v>
      </c>
      <c r="C5744" t="s">
        <v>520</v>
      </c>
      <c r="D5744" t="s">
        <v>337</v>
      </c>
      <c r="E5744" t="s">
        <v>337</v>
      </c>
      <c r="F5744" t="s">
        <v>6319</v>
      </c>
      <c r="G5744">
        <v>517</v>
      </c>
      <c r="J5744">
        <v>0</v>
      </c>
      <c r="M5744">
        <v>517</v>
      </c>
    </row>
    <row r="5745" spans="1:15" x14ac:dyDescent="0.35">
      <c r="A5745" t="s">
        <v>6287</v>
      </c>
      <c r="B5745" t="s">
        <v>6288</v>
      </c>
      <c r="C5745" t="s">
        <v>520</v>
      </c>
      <c r="D5745" t="s">
        <v>339</v>
      </c>
      <c r="E5745" t="s">
        <v>294</v>
      </c>
      <c r="F5745" t="s">
        <v>6320</v>
      </c>
      <c r="G5745">
        <v>908</v>
      </c>
      <c r="H5745">
        <v>92013.62</v>
      </c>
      <c r="I5745">
        <v>101.34</v>
      </c>
      <c r="J5745">
        <v>0</v>
      </c>
      <c r="K5745">
        <v>0</v>
      </c>
      <c r="L5745">
        <v>0</v>
      </c>
      <c r="M5745">
        <v>908</v>
      </c>
      <c r="N5745">
        <v>92013.62</v>
      </c>
      <c r="O5745">
        <v>101.34</v>
      </c>
    </row>
    <row r="5746" spans="1:15" x14ac:dyDescent="0.35">
      <c r="A5746" t="s">
        <v>6287</v>
      </c>
      <c r="B5746" t="s">
        <v>6288</v>
      </c>
      <c r="C5746" t="s">
        <v>520</v>
      </c>
      <c r="D5746" t="s">
        <v>339</v>
      </c>
      <c r="E5746" t="s">
        <v>296</v>
      </c>
      <c r="F5746" t="s">
        <v>6321</v>
      </c>
      <c r="G5746">
        <v>130</v>
      </c>
      <c r="H5746">
        <v>14702.3</v>
      </c>
      <c r="I5746">
        <v>113.09</v>
      </c>
      <c r="J5746">
        <v>0</v>
      </c>
      <c r="K5746">
        <v>0</v>
      </c>
      <c r="L5746">
        <v>0</v>
      </c>
      <c r="M5746">
        <v>130</v>
      </c>
      <c r="N5746">
        <v>14702.3</v>
      </c>
      <c r="O5746">
        <v>113.09</v>
      </c>
    </row>
    <row r="5747" spans="1:15" x14ac:dyDescent="0.35">
      <c r="A5747" t="s">
        <v>6287</v>
      </c>
      <c r="B5747" t="s">
        <v>6288</v>
      </c>
      <c r="C5747" t="s">
        <v>520</v>
      </c>
      <c r="D5747" t="s">
        <v>339</v>
      </c>
      <c r="E5747" t="s">
        <v>298</v>
      </c>
      <c r="F5747" t="s">
        <v>6322</v>
      </c>
      <c r="G5747">
        <v>9</v>
      </c>
      <c r="H5747">
        <v>1954.1600000000003</v>
      </c>
      <c r="I5747">
        <v>217.13</v>
      </c>
      <c r="J5747">
        <v>0</v>
      </c>
      <c r="K5747">
        <v>0</v>
      </c>
      <c r="L5747">
        <v>0</v>
      </c>
      <c r="M5747">
        <v>9</v>
      </c>
      <c r="N5747">
        <v>1954.1600000000003</v>
      </c>
      <c r="O5747">
        <v>217.13</v>
      </c>
    </row>
    <row r="5748" spans="1:15" x14ac:dyDescent="0.35">
      <c r="A5748" t="s">
        <v>6287</v>
      </c>
      <c r="B5748" t="s">
        <v>6288</v>
      </c>
      <c r="C5748" t="s">
        <v>520</v>
      </c>
      <c r="D5748" t="s">
        <v>339</v>
      </c>
      <c r="E5748" t="s">
        <v>300</v>
      </c>
      <c r="F5748" t="s">
        <v>6323</v>
      </c>
      <c r="G5748">
        <v>3</v>
      </c>
      <c r="H5748">
        <v>537.24</v>
      </c>
      <c r="I5748">
        <v>179.08</v>
      </c>
      <c r="J5748">
        <v>0</v>
      </c>
      <c r="K5748">
        <v>0</v>
      </c>
      <c r="L5748">
        <v>0</v>
      </c>
      <c r="M5748">
        <v>3</v>
      </c>
      <c r="N5748">
        <v>537.24</v>
      </c>
      <c r="O5748">
        <v>179.08</v>
      </c>
    </row>
    <row r="5749" spans="1:15" x14ac:dyDescent="0.35">
      <c r="A5749" t="s">
        <v>6287</v>
      </c>
      <c r="B5749" t="s">
        <v>6288</v>
      </c>
      <c r="C5749" t="s">
        <v>520</v>
      </c>
      <c r="D5749" t="s">
        <v>339</v>
      </c>
      <c r="E5749" t="s">
        <v>306</v>
      </c>
      <c r="F5749" t="s">
        <v>6324</v>
      </c>
      <c r="G5749">
        <v>32</v>
      </c>
      <c r="H5749">
        <v>2905.3600000000006</v>
      </c>
      <c r="I5749">
        <v>90.79</v>
      </c>
      <c r="J5749">
        <v>0</v>
      </c>
      <c r="K5749">
        <v>0</v>
      </c>
      <c r="L5749">
        <v>0</v>
      </c>
      <c r="M5749">
        <v>32</v>
      </c>
      <c r="N5749">
        <v>2905.3600000000006</v>
      </c>
      <c r="O5749">
        <v>90.79</v>
      </c>
    </row>
    <row r="5750" spans="1:15" x14ac:dyDescent="0.35">
      <c r="A5750" t="s">
        <v>6287</v>
      </c>
      <c r="B5750" t="s">
        <v>6288</v>
      </c>
      <c r="C5750" t="s">
        <v>520</v>
      </c>
      <c r="D5750" t="s">
        <v>339</v>
      </c>
      <c r="E5750" t="s">
        <v>308</v>
      </c>
      <c r="F5750" t="s">
        <v>6325</v>
      </c>
      <c r="G5750">
        <v>107</v>
      </c>
      <c r="H5750">
        <v>20990.809999999998</v>
      </c>
      <c r="I5750">
        <v>196.18</v>
      </c>
      <c r="J5750">
        <v>0</v>
      </c>
      <c r="K5750">
        <v>0</v>
      </c>
      <c r="L5750">
        <v>0</v>
      </c>
      <c r="M5750">
        <v>107</v>
      </c>
      <c r="N5750">
        <v>20990.809999999998</v>
      </c>
      <c r="O5750">
        <v>196.18</v>
      </c>
    </row>
    <row r="5751" spans="1:15" x14ac:dyDescent="0.35">
      <c r="A5751" t="s">
        <v>6287</v>
      </c>
      <c r="B5751" t="s">
        <v>6288</v>
      </c>
      <c r="C5751" t="s">
        <v>520</v>
      </c>
      <c r="D5751" t="s">
        <v>339</v>
      </c>
      <c r="E5751" t="s">
        <v>310</v>
      </c>
      <c r="F5751" t="s">
        <v>6326</v>
      </c>
      <c r="G5751">
        <v>1189</v>
      </c>
      <c r="H5751">
        <v>133103.49</v>
      </c>
      <c r="I5751">
        <v>111.95</v>
      </c>
      <c r="J5751">
        <v>0</v>
      </c>
      <c r="K5751">
        <v>0</v>
      </c>
      <c r="L5751">
        <v>0</v>
      </c>
      <c r="M5751">
        <v>1189</v>
      </c>
      <c r="N5751">
        <v>133103.49</v>
      </c>
      <c r="O5751">
        <v>111.95</v>
      </c>
    </row>
    <row r="5752" spans="1:15" x14ac:dyDescent="0.35">
      <c r="A5752" t="s">
        <v>6287</v>
      </c>
      <c r="B5752" t="s">
        <v>6288</v>
      </c>
      <c r="C5752" t="s">
        <v>520</v>
      </c>
      <c r="D5752" t="s">
        <v>339</v>
      </c>
      <c r="E5752" t="s">
        <v>312</v>
      </c>
      <c r="F5752" t="s">
        <v>6327</v>
      </c>
      <c r="G5752">
        <v>1082</v>
      </c>
      <c r="H5752">
        <v>112112.68000000001</v>
      </c>
      <c r="I5752">
        <v>103.62</v>
      </c>
      <c r="J5752">
        <v>0</v>
      </c>
      <c r="K5752">
        <v>0</v>
      </c>
      <c r="L5752">
        <v>0</v>
      </c>
      <c r="M5752">
        <v>1082</v>
      </c>
      <c r="N5752">
        <v>112112.68000000001</v>
      </c>
      <c r="O5752">
        <v>103.62</v>
      </c>
    </row>
    <row r="5753" spans="1:15" x14ac:dyDescent="0.35">
      <c r="A5753" t="s">
        <v>6287</v>
      </c>
      <c r="B5753" t="s">
        <v>6288</v>
      </c>
      <c r="C5753" t="s">
        <v>520</v>
      </c>
      <c r="D5753" t="s">
        <v>348</v>
      </c>
      <c r="E5753" t="s">
        <v>349</v>
      </c>
      <c r="F5753" t="s">
        <v>6328</v>
      </c>
      <c r="G5753">
        <v>1286</v>
      </c>
      <c r="H5753">
        <v>133103.49</v>
      </c>
      <c r="I5753">
        <v>111.95</v>
      </c>
      <c r="J5753">
        <v>75</v>
      </c>
      <c r="K5753">
        <v>12231.5</v>
      </c>
      <c r="L5753">
        <v>163.09</v>
      </c>
      <c r="M5753">
        <v>1361</v>
      </c>
      <c r="N5753">
        <v>145334.99</v>
      </c>
      <c r="O5753">
        <v>114.98</v>
      </c>
    </row>
    <row r="5754" spans="1:15" x14ac:dyDescent="0.35">
      <c r="A5754" t="s">
        <v>6329</v>
      </c>
      <c r="B5754" t="s">
        <v>205</v>
      </c>
      <c r="C5754" t="s">
        <v>520</v>
      </c>
      <c r="D5754" t="s">
        <v>293</v>
      </c>
      <c r="E5754" t="s">
        <v>294</v>
      </c>
      <c r="F5754" t="s">
        <v>6330</v>
      </c>
      <c r="G5754">
        <v>120</v>
      </c>
      <c r="H5754">
        <v>13412.57</v>
      </c>
      <c r="I5754">
        <v>111.77</v>
      </c>
      <c r="J5754">
        <v>41</v>
      </c>
      <c r="K5754">
        <v>4235.71</v>
      </c>
      <c r="L5754">
        <v>103.31</v>
      </c>
      <c r="M5754">
        <v>161</v>
      </c>
      <c r="N5754">
        <v>17648.28</v>
      </c>
      <c r="O5754">
        <v>109.62</v>
      </c>
    </row>
    <row r="5755" spans="1:15" x14ac:dyDescent="0.35">
      <c r="A5755" t="s">
        <v>6329</v>
      </c>
      <c r="B5755" t="s">
        <v>205</v>
      </c>
      <c r="C5755" t="s">
        <v>520</v>
      </c>
      <c r="D5755" t="s">
        <v>293</v>
      </c>
      <c r="E5755" t="s">
        <v>296</v>
      </c>
      <c r="F5755" t="s">
        <v>6331</v>
      </c>
      <c r="G5755">
        <v>368</v>
      </c>
      <c r="H5755">
        <v>49410.329999999994</v>
      </c>
      <c r="I5755">
        <v>134.27000000000001</v>
      </c>
      <c r="J5755">
        <v>142</v>
      </c>
      <c r="K5755">
        <v>17698.88</v>
      </c>
      <c r="L5755">
        <v>124.64</v>
      </c>
      <c r="M5755">
        <v>510</v>
      </c>
      <c r="N5755">
        <v>67109.209999999992</v>
      </c>
      <c r="O5755">
        <v>131.59</v>
      </c>
    </row>
    <row r="5756" spans="1:15" x14ac:dyDescent="0.35">
      <c r="A5756" t="s">
        <v>6329</v>
      </c>
      <c r="B5756" t="s">
        <v>205</v>
      </c>
      <c r="C5756" t="s">
        <v>520</v>
      </c>
      <c r="D5756" t="s">
        <v>293</v>
      </c>
      <c r="E5756" t="s">
        <v>298</v>
      </c>
      <c r="F5756" t="s">
        <v>6332</v>
      </c>
      <c r="G5756">
        <v>202</v>
      </c>
      <c r="H5756">
        <v>29732.97</v>
      </c>
      <c r="I5756">
        <v>147.19</v>
      </c>
      <c r="J5756">
        <v>73</v>
      </c>
      <c r="K5756">
        <v>10201.02</v>
      </c>
      <c r="L5756">
        <v>139.74</v>
      </c>
      <c r="M5756">
        <v>275</v>
      </c>
      <c r="N5756">
        <v>39933.990000000005</v>
      </c>
      <c r="O5756">
        <v>145.21</v>
      </c>
    </row>
    <row r="5757" spans="1:15" x14ac:dyDescent="0.35">
      <c r="A5757" t="s">
        <v>6329</v>
      </c>
      <c r="B5757" t="s">
        <v>205</v>
      </c>
      <c r="C5757" t="s">
        <v>520</v>
      </c>
      <c r="D5757" t="s">
        <v>293</v>
      </c>
      <c r="E5757" t="s">
        <v>300</v>
      </c>
      <c r="F5757" t="s">
        <v>6333</v>
      </c>
      <c r="G5757">
        <v>14</v>
      </c>
      <c r="H5757">
        <v>2543.12</v>
      </c>
      <c r="I5757">
        <v>181.65</v>
      </c>
      <c r="J5757">
        <v>3</v>
      </c>
      <c r="K5757">
        <v>496.23</v>
      </c>
      <c r="L5757">
        <v>165.41</v>
      </c>
      <c r="M5757">
        <v>17</v>
      </c>
      <c r="N5757">
        <v>3039.35</v>
      </c>
      <c r="O5757">
        <v>178.79</v>
      </c>
    </row>
    <row r="5758" spans="1:15" x14ac:dyDescent="0.35">
      <c r="A5758" t="s">
        <v>6329</v>
      </c>
      <c r="B5758" t="s">
        <v>205</v>
      </c>
      <c r="C5758" t="s">
        <v>520</v>
      </c>
      <c r="D5758" t="s">
        <v>293</v>
      </c>
      <c r="E5758" t="s">
        <v>302</v>
      </c>
      <c r="F5758" t="s">
        <v>6334</v>
      </c>
      <c r="G5758">
        <v>1</v>
      </c>
      <c r="H5758">
        <v>204.59</v>
      </c>
      <c r="I5758">
        <v>204.59</v>
      </c>
      <c r="J5758">
        <v>0</v>
      </c>
      <c r="K5758">
        <v>0</v>
      </c>
      <c r="L5758">
        <v>0</v>
      </c>
      <c r="M5758">
        <v>1</v>
      </c>
      <c r="N5758">
        <v>204.59</v>
      </c>
      <c r="O5758">
        <v>204.59</v>
      </c>
    </row>
    <row r="5759" spans="1:15" x14ac:dyDescent="0.35">
      <c r="A5759" t="s">
        <v>6329</v>
      </c>
      <c r="B5759" t="s">
        <v>205</v>
      </c>
      <c r="C5759" t="s">
        <v>520</v>
      </c>
      <c r="D5759" t="s">
        <v>293</v>
      </c>
      <c r="E5759" t="s">
        <v>304</v>
      </c>
      <c r="F5759" t="s">
        <v>6335</v>
      </c>
      <c r="G5759">
        <v>0</v>
      </c>
      <c r="H5759">
        <v>0</v>
      </c>
      <c r="I5759">
        <v>0</v>
      </c>
      <c r="J5759">
        <v>0</v>
      </c>
      <c r="K5759">
        <v>0</v>
      </c>
      <c r="L5759">
        <v>0</v>
      </c>
      <c r="M5759">
        <v>0</v>
      </c>
      <c r="N5759">
        <v>0</v>
      </c>
      <c r="O5759">
        <v>0</v>
      </c>
    </row>
    <row r="5760" spans="1:15" x14ac:dyDescent="0.35">
      <c r="A5760" t="s">
        <v>6329</v>
      </c>
      <c r="B5760" t="s">
        <v>205</v>
      </c>
      <c r="C5760" t="s">
        <v>520</v>
      </c>
      <c r="D5760" t="s">
        <v>293</v>
      </c>
      <c r="E5760" t="s">
        <v>306</v>
      </c>
      <c r="F5760" t="s">
        <v>6336</v>
      </c>
      <c r="G5760">
        <v>0</v>
      </c>
      <c r="H5760">
        <v>0</v>
      </c>
      <c r="I5760">
        <v>0</v>
      </c>
      <c r="J5760">
        <v>0</v>
      </c>
      <c r="K5760">
        <v>0</v>
      </c>
      <c r="L5760">
        <v>0</v>
      </c>
      <c r="M5760">
        <v>0</v>
      </c>
      <c r="N5760">
        <v>0</v>
      </c>
      <c r="O5760">
        <v>0</v>
      </c>
    </row>
    <row r="5761" spans="1:15" x14ac:dyDescent="0.35">
      <c r="A5761" t="s">
        <v>6329</v>
      </c>
      <c r="B5761" t="s">
        <v>205</v>
      </c>
      <c r="C5761" t="s">
        <v>520</v>
      </c>
      <c r="D5761" t="s">
        <v>293</v>
      </c>
      <c r="E5761" t="s">
        <v>308</v>
      </c>
      <c r="F5761" t="s">
        <v>6337</v>
      </c>
      <c r="G5761">
        <v>0</v>
      </c>
      <c r="H5761">
        <v>0</v>
      </c>
      <c r="I5761">
        <v>0</v>
      </c>
      <c r="J5761">
        <v>0</v>
      </c>
      <c r="K5761">
        <v>0</v>
      </c>
      <c r="L5761">
        <v>0</v>
      </c>
      <c r="M5761">
        <v>0</v>
      </c>
      <c r="N5761">
        <v>0</v>
      </c>
      <c r="O5761">
        <v>0</v>
      </c>
    </row>
    <row r="5762" spans="1:15" x14ac:dyDescent="0.35">
      <c r="A5762" t="s">
        <v>6329</v>
      </c>
      <c r="B5762" t="s">
        <v>205</v>
      </c>
      <c r="C5762" t="s">
        <v>520</v>
      </c>
      <c r="D5762" t="s">
        <v>293</v>
      </c>
      <c r="E5762" t="s">
        <v>310</v>
      </c>
      <c r="F5762" t="s">
        <v>6338</v>
      </c>
      <c r="G5762">
        <v>705</v>
      </c>
      <c r="H5762">
        <v>95303.579999999987</v>
      </c>
      <c r="I5762">
        <v>135.18</v>
      </c>
      <c r="J5762">
        <v>259</v>
      </c>
      <c r="K5762">
        <v>32631.84</v>
      </c>
      <c r="L5762">
        <v>125.99</v>
      </c>
      <c r="M5762">
        <v>964</v>
      </c>
      <c r="N5762">
        <v>127935.41999999998</v>
      </c>
      <c r="O5762">
        <v>132.71</v>
      </c>
    </row>
    <row r="5763" spans="1:15" x14ac:dyDescent="0.35">
      <c r="A5763" t="s">
        <v>6329</v>
      </c>
      <c r="B5763" t="s">
        <v>205</v>
      </c>
      <c r="C5763" t="s">
        <v>520</v>
      </c>
      <c r="D5763" t="s">
        <v>293</v>
      </c>
      <c r="E5763" t="s">
        <v>312</v>
      </c>
      <c r="F5763" t="s">
        <v>6339</v>
      </c>
      <c r="G5763">
        <v>705</v>
      </c>
      <c r="H5763">
        <v>95303.579999999987</v>
      </c>
      <c r="I5763">
        <v>135.18</v>
      </c>
      <c r="J5763">
        <v>259</v>
      </c>
      <c r="K5763">
        <v>32631.84</v>
      </c>
      <c r="L5763">
        <v>125.99</v>
      </c>
      <c r="M5763">
        <v>964</v>
      </c>
      <c r="N5763">
        <v>127935.41999999998</v>
      </c>
      <c r="O5763">
        <v>132.71</v>
      </c>
    </row>
    <row r="5764" spans="1:15" x14ac:dyDescent="0.35">
      <c r="A5764" t="s">
        <v>6329</v>
      </c>
      <c r="B5764" t="s">
        <v>205</v>
      </c>
      <c r="C5764" t="s">
        <v>520</v>
      </c>
      <c r="D5764" t="s">
        <v>314</v>
      </c>
      <c r="E5764" t="s">
        <v>294</v>
      </c>
      <c r="F5764" t="s">
        <v>6340</v>
      </c>
      <c r="G5764">
        <v>24</v>
      </c>
      <c r="H5764">
        <v>12175.92</v>
      </c>
      <c r="I5764">
        <v>507.33</v>
      </c>
      <c r="J5764">
        <v>0</v>
      </c>
      <c r="K5764">
        <v>0</v>
      </c>
      <c r="L5764">
        <v>0</v>
      </c>
      <c r="M5764">
        <v>24</v>
      </c>
      <c r="N5764">
        <v>12175.92</v>
      </c>
      <c r="O5764">
        <v>507.33</v>
      </c>
    </row>
    <row r="5765" spans="1:15" x14ac:dyDescent="0.35">
      <c r="A5765" t="s">
        <v>6329</v>
      </c>
      <c r="B5765" t="s">
        <v>205</v>
      </c>
      <c r="C5765" t="s">
        <v>520</v>
      </c>
      <c r="D5765" t="s">
        <v>314</v>
      </c>
      <c r="E5765" t="s">
        <v>296</v>
      </c>
      <c r="F5765" t="s">
        <v>6341</v>
      </c>
      <c r="G5765">
        <v>0</v>
      </c>
      <c r="H5765">
        <v>0</v>
      </c>
      <c r="I5765">
        <v>0</v>
      </c>
      <c r="J5765">
        <v>0</v>
      </c>
      <c r="K5765">
        <v>0</v>
      </c>
      <c r="L5765">
        <v>0</v>
      </c>
      <c r="M5765">
        <v>0</v>
      </c>
      <c r="N5765">
        <v>0</v>
      </c>
      <c r="O5765">
        <v>0</v>
      </c>
    </row>
    <row r="5766" spans="1:15" x14ac:dyDescent="0.35">
      <c r="A5766" t="s">
        <v>6329</v>
      </c>
      <c r="B5766" t="s">
        <v>205</v>
      </c>
      <c r="C5766" t="s">
        <v>520</v>
      </c>
      <c r="D5766" t="s">
        <v>314</v>
      </c>
      <c r="E5766" t="s">
        <v>298</v>
      </c>
      <c r="F5766" t="s">
        <v>6342</v>
      </c>
      <c r="G5766">
        <v>0</v>
      </c>
      <c r="H5766">
        <v>0</v>
      </c>
      <c r="I5766">
        <v>0</v>
      </c>
      <c r="J5766">
        <v>0</v>
      </c>
      <c r="K5766">
        <v>0</v>
      </c>
      <c r="L5766">
        <v>0</v>
      </c>
      <c r="M5766">
        <v>0</v>
      </c>
      <c r="N5766">
        <v>0</v>
      </c>
      <c r="O5766">
        <v>0</v>
      </c>
    </row>
    <row r="5767" spans="1:15" x14ac:dyDescent="0.35">
      <c r="A5767" t="s">
        <v>6329</v>
      </c>
      <c r="B5767" t="s">
        <v>205</v>
      </c>
      <c r="C5767" t="s">
        <v>520</v>
      </c>
      <c r="D5767" t="s">
        <v>314</v>
      </c>
      <c r="E5767" t="s">
        <v>300</v>
      </c>
      <c r="F5767" t="s">
        <v>6343</v>
      </c>
      <c r="G5767">
        <v>0</v>
      </c>
      <c r="H5767">
        <v>0</v>
      </c>
      <c r="I5767">
        <v>0</v>
      </c>
      <c r="J5767">
        <v>0</v>
      </c>
      <c r="K5767">
        <v>0</v>
      </c>
      <c r="L5767">
        <v>0</v>
      </c>
      <c r="M5767">
        <v>0</v>
      </c>
      <c r="N5767">
        <v>0</v>
      </c>
      <c r="O5767">
        <v>0</v>
      </c>
    </row>
    <row r="5768" spans="1:15" x14ac:dyDescent="0.35">
      <c r="A5768" t="s">
        <v>6329</v>
      </c>
      <c r="B5768" t="s">
        <v>205</v>
      </c>
      <c r="C5768" t="s">
        <v>520</v>
      </c>
      <c r="D5768" t="s">
        <v>314</v>
      </c>
      <c r="E5768" t="s">
        <v>306</v>
      </c>
      <c r="F5768" t="s">
        <v>6344</v>
      </c>
      <c r="G5768">
        <v>0</v>
      </c>
      <c r="H5768">
        <v>0</v>
      </c>
      <c r="I5768">
        <v>0</v>
      </c>
      <c r="J5768">
        <v>0</v>
      </c>
      <c r="K5768">
        <v>0</v>
      </c>
      <c r="L5768">
        <v>0</v>
      </c>
      <c r="M5768">
        <v>0</v>
      </c>
      <c r="N5768">
        <v>0</v>
      </c>
      <c r="O5768">
        <v>0</v>
      </c>
    </row>
    <row r="5769" spans="1:15" x14ac:dyDescent="0.35">
      <c r="A5769" t="s">
        <v>6329</v>
      </c>
      <c r="B5769" t="s">
        <v>205</v>
      </c>
      <c r="C5769" t="s">
        <v>520</v>
      </c>
      <c r="D5769" t="s">
        <v>314</v>
      </c>
      <c r="E5769" t="s">
        <v>308</v>
      </c>
      <c r="F5769" t="s">
        <v>6345</v>
      </c>
      <c r="G5769">
        <v>0</v>
      </c>
      <c r="H5769">
        <v>0</v>
      </c>
      <c r="I5769">
        <v>0</v>
      </c>
      <c r="J5769">
        <v>0</v>
      </c>
      <c r="K5769">
        <v>0</v>
      </c>
      <c r="L5769">
        <v>0</v>
      </c>
      <c r="M5769">
        <v>0</v>
      </c>
      <c r="N5769">
        <v>0</v>
      </c>
      <c r="O5769">
        <v>0</v>
      </c>
    </row>
    <row r="5770" spans="1:15" x14ac:dyDescent="0.35">
      <c r="A5770" t="s">
        <v>6329</v>
      </c>
      <c r="B5770" t="s">
        <v>205</v>
      </c>
      <c r="C5770" t="s">
        <v>520</v>
      </c>
      <c r="D5770" t="s">
        <v>314</v>
      </c>
      <c r="E5770" t="s">
        <v>312</v>
      </c>
      <c r="F5770" t="s">
        <v>6346</v>
      </c>
      <c r="G5770">
        <v>24</v>
      </c>
      <c r="H5770">
        <v>12175.92</v>
      </c>
      <c r="I5770">
        <v>507.33</v>
      </c>
      <c r="J5770">
        <v>0</v>
      </c>
      <c r="K5770">
        <v>0</v>
      </c>
      <c r="L5770">
        <v>0</v>
      </c>
      <c r="M5770">
        <v>24</v>
      </c>
      <c r="N5770">
        <v>12175.92</v>
      </c>
      <c r="O5770">
        <v>507.33</v>
      </c>
    </row>
    <row r="5771" spans="1:15" x14ac:dyDescent="0.35">
      <c r="A5771" t="s">
        <v>6329</v>
      </c>
      <c r="B5771" t="s">
        <v>205</v>
      </c>
      <c r="C5771" t="s">
        <v>520</v>
      </c>
      <c r="D5771" t="s">
        <v>314</v>
      </c>
      <c r="E5771" t="s">
        <v>310</v>
      </c>
      <c r="F5771" t="s">
        <v>6347</v>
      </c>
      <c r="G5771">
        <v>24</v>
      </c>
      <c r="H5771">
        <v>12175.92</v>
      </c>
      <c r="I5771">
        <v>507.33</v>
      </c>
      <c r="J5771">
        <v>0</v>
      </c>
      <c r="K5771">
        <v>0</v>
      </c>
      <c r="L5771">
        <v>0</v>
      </c>
      <c r="M5771">
        <v>24</v>
      </c>
      <c r="N5771">
        <v>12175.92</v>
      </c>
      <c r="O5771">
        <v>507.33</v>
      </c>
    </row>
    <row r="5772" spans="1:15" x14ac:dyDescent="0.35">
      <c r="A5772" t="s">
        <v>6329</v>
      </c>
      <c r="B5772" t="s">
        <v>205</v>
      </c>
      <c r="C5772" t="s">
        <v>520</v>
      </c>
      <c r="D5772" t="s">
        <v>323</v>
      </c>
      <c r="E5772" t="s">
        <v>294</v>
      </c>
      <c r="F5772" t="s">
        <v>6348</v>
      </c>
      <c r="G5772">
        <v>110</v>
      </c>
      <c r="H5772">
        <v>10190.25</v>
      </c>
      <c r="I5772">
        <v>92.64</v>
      </c>
      <c r="J5772">
        <v>807</v>
      </c>
      <c r="K5772">
        <v>64067.73</v>
      </c>
      <c r="L5772">
        <v>79.39</v>
      </c>
      <c r="M5772">
        <v>917</v>
      </c>
      <c r="N5772">
        <v>74257.98000000001</v>
      </c>
      <c r="O5772">
        <v>80.98</v>
      </c>
    </row>
    <row r="5773" spans="1:15" x14ac:dyDescent="0.35">
      <c r="A5773" t="s">
        <v>6329</v>
      </c>
      <c r="B5773" t="s">
        <v>205</v>
      </c>
      <c r="C5773" t="s">
        <v>520</v>
      </c>
      <c r="D5773" t="s">
        <v>323</v>
      </c>
      <c r="E5773" t="s">
        <v>296</v>
      </c>
      <c r="F5773" t="s">
        <v>6349</v>
      </c>
      <c r="G5773">
        <v>225</v>
      </c>
      <c r="H5773">
        <v>25641.919999999998</v>
      </c>
      <c r="I5773">
        <v>113.96</v>
      </c>
      <c r="J5773">
        <v>1127</v>
      </c>
      <c r="K5773">
        <v>101993.5</v>
      </c>
      <c r="L5773">
        <v>90.5</v>
      </c>
      <c r="M5773">
        <v>1352</v>
      </c>
      <c r="N5773">
        <v>127635.42</v>
      </c>
      <c r="O5773">
        <v>94.4</v>
      </c>
    </row>
    <row r="5774" spans="1:15" x14ac:dyDescent="0.35">
      <c r="A5774" t="s">
        <v>6329</v>
      </c>
      <c r="B5774" t="s">
        <v>205</v>
      </c>
      <c r="C5774" t="s">
        <v>520</v>
      </c>
      <c r="D5774" t="s">
        <v>323</v>
      </c>
      <c r="E5774" t="s">
        <v>298</v>
      </c>
      <c r="F5774" t="s">
        <v>6350</v>
      </c>
      <c r="G5774">
        <v>181</v>
      </c>
      <c r="H5774">
        <v>21955.59</v>
      </c>
      <c r="I5774">
        <v>121.3</v>
      </c>
      <c r="J5774">
        <v>2143</v>
      </c>
      <c r="K5774">
        <v>215071.48</v>
      </c>
      <c r="L5774">
        <v>100.36</v>
      </c>
      <c r="M5774">
        <v>2324</v>
      </c>
      <c r="N5774">
        <v>237027.07</v>
      </c>
      <c r="O5774">
        <v>101.99</v>
      </c>
    </row>
    <row r="5775" spans="1:15" x14ac:dyDescent="0.35">
      <c r="A5775" t="s">
        <v>6329</v>
      </c>
      <c r="B5775" t="s">
        <v>205</v>
      </c>
      <c r="C5775" t="s">
        <v>520</v>
      </c>
      <c r="D5775" t="s">
        <v>323</v>
      </c>
      <c r="E5775" t="s">
        <v>300</v>
      </c>
      <c r="F5775" t="s">
        <v>6351</v>
      </c>
      <c r="G5775">
        <v>19</v>
      </c>
      <c r="H5775">
        <v>2308.3199999999997</v>
      </c>
      <c r="I5775">
        <v>121.49</v>
      </c>
      <c r="J5775">
        <v>240</v>
      </c>
      <c r="K5775">
        <v>25562.400000000001</v>
      </c>
      <c r="L5775">
        <v>106.51</v>
      </c>
      <c r="M5775">
        <v>259</v>
      </c>
      <c r="N5775">
        <v>27870.720000000001</v>
      </c>
      <c r="O5775">
        <v>107.61</v>
      </c>
    </row>
    <row r="5776" spans="1:15" x14ac:dyDescent="0.35">
      <c r="A5776" t="s">
        <v>6329</v>
      </c>
      <c r="B5776" t="s">
        <v>205</v>
      </c>
      <c r="C5776" t="s">
        <v>520</v>
      </c>
      <c r="D5776" t="s">
        <v>323</v>
      </c>
      <c r="E5776" t="s">
        <v>302</v>
      </c>
      <c r="F5776" t="s">
        <v>6352</v>
      </c>
      <c r="G5776">
        <v>0</v>
      </c>
      <c r="H5776">
        <v>0</v>
      </c>
      <c r="I5776">
        <v>0</v>
      </c>
      <c r="J5776">
        <v>76</v>
      </c>
      <c r="K5776">
        <v>8666.2800000000007</v>
      </c>
      <c r="L5776">
        <v>114.03</v>
      </c>
      <c r="M5776">
        <v>76</v>
      </c>
      <c r="N5776">
        <v>8666.2800000000007</v>
      </c>
      <c r="O5776">
        <v>114.03</v>
      </c>
    </row>
    <row r="5777" spans="1:15" x14ac:dyDescent="0.35">
      <c r="A5777" t="s">
        <v>6329</v>
      </c>
      <c r="B5777" t="s">
        <v>205</v>
      </c>
      <c r="C5777" t="s">
        <v>520</v>
      </c>
      <c r="D5777" t="s">
        <v>323</v>
      </c>
      <c r="E5777" t="s">
        <v>304</v>
      </c>
      <c r="F5777" t="s">
        <v>6353</v>
      </c>
      <c r="G5777">
        <v>0</v>
      </c>
      <c r="H5777">
        <v>0</v>
      </c>
      <c r="I5777">
        <v>0</v>
      </c>
      <c r="J5777">
        <v>0</v>
      </c>
      <c r="K5777">
        <v>0</v>
      </c>
      <c r="L5777">
        <v>0</v>
      </c>
      <c r="M5777">
        <v>0</v>
      </c>
      <c r="N5777">
        <v>0</v>
      </c>
      <c r="O5777">
        <v>0</v>
      </c>
    </row>
    <row r="5778" spans="1:15" x14ac:dyDescent="0.35">
      <c r="A5778" t="s">
        <v>6329</v>
      </c>
      <c r="B5778" t="s">
        <v>205</v>
      </c>
      <c r="C5778" t="s">
        <v>520</v>
      </c>
      <c r="D5778" t="s">
        <v>323</v>
      </c>
      <c r="E5778" t="s">
        <v>306</v>
      </c>
      <c r="F5778" t="s">
        <v>6354</v>
      </c>
      <c r="G5778">
        <v>2</v>
      </c>
      <c r="H5778">
        <v>166.88</v>
      </c>
      <c r="I5778">
        <v>83.44</v>
      </c>
      <c r="J5778">
        <v>45</v>
      </c>
      <c r="K5778">
        <v>3102.75</v>
      </c>
      <c r="L5778">
        <v>68.95</v>
      </c>
      <c r="M5778">
        <v>47</v>
      </c>
      <c r="N5778">
        <v>3269.63</v>
      </c>
      <c r="O5778">
        <v>69.569999999999993</v>
      </c>
    </row>
    <row r="5779" spans="1:15" x14ac:dyDescent="0.35">
      <c r="A5779" t="s">
        <v>6329</v>
      </c>
      <c r="B5779" t="s">
        <v>205</v>
      </c>
      <c r="C5779" t="s">
        <v>520</v>
      </c>
      <c r="D5779" t="s">
        <v>323</v>
      </c>
      <c r="E5779" t="s">
        <v>308</v>
      </c>
      <c r="F5779" t="s">
        <v>6355</v>
      </c>
      <c r="G5779">
        <v>0</v>
      </c>
      <c r="H5779">
        <v>0</v>
      </c>
      <c r="I5779">
        <v>0</v>
      </c>
      <c r="J5779">
        <v>0</v>
      </c>
      <c r="K5779">
        <v>0</v>
      </c>
      <c r="L5779">
        <v>0</v>
      </c>
      <c r="M5779">
        <v>0</v>
      </c>
      <c r="N5779">
        <v>0</v>
      </c>
      <c r="O5779">
        <v>0</v>
      </c>
    </row>
    <row r="5780" spans="1:15" x14ac:dyDescent="0.35">
      <c r="A5780" t="s">
        <v>6329</v>
      </c>
      <c r="B5780" t="s">
        <v>205</v>
      </c>
      <c r="C5780" t="s">
        <v>520</v>
      </c>
      <c r="D5780" t="s">
        <v>323</v>
      </c>
      <c r="E5780" t="s">
        <v>310</v>
      </c>
      <c r="F5780" t="s">
        <v>6356</v>
      </c>
      <c r="G5780">
        <v>537</v>
      </c>
      <c r="H5780">
        <v>60262.959999999992</v>
      </c>
      <c r="I5780">
        <v>112.22</v>
      </c>
      <c r="J5780">
        <v>4438</v>
      </c>
      <c r="K5780">
        <v>418464.14000000007</v>
      </c>
      <c r="L5780">
        <v>94.29</v>
      </c>
      <c r="M5780">
        <v>4975</v>
      </c>
      <c r="N5780">
        <v>478727.10000000009</v>
      </c>
      <c r="O5780">
        <v>96.23</v>
      </c>
    </row>
    <row r="5781" spans="1:15" x14ac:dyDescent="0.35">
      <c r="A5781" t="s">
        <v>6329</v>
      </c>
      <c r="B5781" t="s">
        <v>205</v>
      </c>
      <c r="C5781" t="s">
        <v>520</v>
      </c>
      <c r="D5781" t="s">
        <v>323</v>
      </c>
      <c r="E5781" t="s">
        <v>312</v>
      </c>
      <c r="F5781" t="s">
        <v>6357</v>
      </c>
      <c r="G5781">
        <v>537</v>
      </c>
      <c r="H5781">
        <v>60262.959999999992</v>
      </c>
      <c r="I5781">
        <v>112.22</v>
      </c>
      <c r="J5781">
        <v>4438</v>
      </c>
      <c r="K5781">
        <v>418464.14000000007</v>
      </c>
      <c r="L5781">
        <v>94.29</v>
      </c>
      <c r="M5781">
        <v>4975</v>
      </c>
      <c r="N5781">
        <v>478727.10000000009</v>
      </c>
      <c r="O5781">
        <v>96.23</v>
      </c>
    </row>
    <row r="5782" spans="1:15" x14ac:dyDescent="0.35">
      <c r="A5782" t="s">
        <v>6329</v>
      </c>
      <c r="B5782" t="s">
        <v>205</v>
      </c>
      <c r="C5782" t="s">
        <v>520</v>
      </c>
      <c r="D5782" t="s">
        <v>334</v>
      </c>
      <c r="E5782" t="s">
        <v>312</v>
      </c>
      <c r="F5782" t="s">
        <v>6358</v>
      </c>
      <c r="G5782">
        <v>1350</v>
      </c>
      <c r="H5782">
        <v>155566.54</v>
      </c>
      <c r="I5782">
        <v>125.25</v>
      </c>
      <c r="J5782">
        <v>4697</v>
      </c>
      <c r="K5782">
        <v>451095.9800000001</v>
      </c>
      <c r="L5782">
        <v>96.04</v>
      </c>
      <c r="M5782">
        <v>6047</v>
      </c>
      <c r="N5782">
        <v>606662.52000000014</v>
      </c>
      <c r="O5782">
        <v>102.15</v>
      </c>
    </row>
    <row r="5783" spans="1:15" x14ac:dyDescent="0.35">
      <c r="A5783" t="s">
        <v>6329</v>
      </c>
      <c r="B5783" t="s">
        <v>205</v>
      </c>
      <c r="C5783" t="s">
        <v>520</v>
      </c>
      <c r="D5783" t="s">
        <v>334</v>
      </c>
      <c r="E5783" t="s">
        <v>308</v>
      </c>
      <c r="F5783" t="s">
        <v>6359</v>
      </c>
      <c r="G5783">
        <v>0</v>
      </c>
      <c r="H5783">
        <v>0</v>
      </c>
      <c r="I5783">
        <v>0</v>
      </c>
      <c r="J5783">
        <v>0</v>
      </c>
      <c r="K5783">
        <v>0</v>
      </c>
      <c r="L5783">
        <v>0</v>
      </c>
      <c r="M5783">
        <v>0</v>
      </c>
      <c r="N5783">
        <v>0</v>
      </c>
      <c r="O5783">
        <v>0</v>
      </c>
    </row>
    <row r="5784" spans="1:15" x14ac:dyDescent="0.35">
      <c r="A5784" t="s">
        <v>6329</v>
      </c>
      <c r="B5784" t="s">
        <v>205</v>
      </c>
      <c r="C5784" t="s">
        <v>520</v>
      </c>
      <c r="D5784" t="s">
        <v>337</v>
      </c>
      <c r="E5784" t="s">
        <v>337</v>
      </c>
      <c r="F5784" t="s">
        <v>6360</v>
      </c>
      <c r="G5784">
        <v>611</v>
      </c>
      <c r="J5784">
        <v>1</v>
      </c>
      <c r="M5784">
        <v>612</v>
      </c>
    </row>
    <row r="5785" spans="1:15" x14ac:dyDescent="0.35">
      <c r="A5785" t="s">
        <v>6329</v>
      </c>
      <c r="B5785" t="s">
        <v>205</v>
      </c>
      <c r="C5785" t="s">
        <v>520</v>
      </c>
      <c r="D5785" t="s">
        <v>339</v>
      </c>
      <c r="E5785" t="s">
        <v>294</v>
      </c>
      <c r="F5785" t="s">
        <v>6361</v>
      </c>
      <c r="G5785">
        <v>241</v>
      </c>
      <c r="H5785">
        <v>26237.72</v>
      </c>
      <c r="I5785">
        <v>108.87</v>
      </c>
      <c r="J5785">
        <v>1050</v>
      </c>
      <c r="K5785">
        <v>92631</v>
      </c>
      <c r="L5785">
        <v>88.22</v>
      </c>
      <c r="M5785">
        <v>1291</v>
      </c>
      <c r="N5785">
        <v>118868.72</v>
      </c>
      <c r="O5785">
        <v>92.07</v>
      </c>
    </row>
    <row r="5786" spans="1:15" x14ac:dyDescent="0.35">
      <c r="A5786" t="s">
        <v>6329</v>
      </c>
      <c r="B5786" t="s">
        <v>205</v>
      </c>
      <c r="C5786" t="s">
        <v>520</v>
      </c>
      <c r="D5786" t="s">
        <v>339</v>
      </c>
      <c r="E5786" t="s">
        <v>296</v>
      </c>
      <c r="F5786" t="s">
        <v>6362</v>
      </c>
      <c r="G5786">
        <v>99</v>
      </c>
      <c r="H5786">
        <v>12559.14</v>
      </c>
      <c r="I5786">
        <v>126.86</v>
      </c>
      <c r="J5786">
        <v>23</v>
      </c>
      <c r="K5786">
        <v>2213.52</v>
      </c>
      <c r="L5786">
        <v>96.24</v>
      </c>
      <c r="M5786">
        <v>122</v>
      </c>
      <c r="N5786">
        <v>14772.66</v>
      </c>
      <c r="O5786">
        <v>121.09</v>
      </c>
    </row>
    <row r="5787" spans="1:15" x14ac:dyDescent="0.35">
      <c r="A5787" t="s">
        <v>6329</v>
      </c>
      <c r="B5787" t="s">
        <v>205</v>
      </c>
      <c r="C5787" t="s">
        <v>520</v>
      </c>
      <c r="D5787" t="s">
        <v>339</v>
      </c>
      <c r="E5787" t="s">
        <v>298</v>
      </c>
      <c r="F5787" t="s">
        <v>6363</v>
      </c>
      <c r="G5787">
        <v>5</v>
      </c>
      <c r="H5787">
        <v>797.35000000000014</v>
      </c>
      <c r="I5787">
        <v>159.47</v>
      </c>
      <c r="J5787">
        <v>12</v>
      </c>
      <c r="K5787">
        <v>1236.3600000000001</v>
      </c>
      <c r="L5787">
        <v>103.03</v>
      </c>
      <c r="M5787">
        <v>17</v>
      </c>
      <c r="N5787">
        <v>2033.7100000000003</v>
      </c>
      <c r="O5787">
        <v>119.63</v>
      </c>
    </row>
    <row r="5788" spans="1:15" x14ac:dyDescent="0.35">
      <c r="A5788" t="s">
        <v>6329</v>
      </c>
      <c r="B5788" t="s">
        <v>205</v>
      </c>
      <c r="C5788" t="s">
        <v>520</v>
      </c>
      <c r="D5788" t="s">
        <v>339</v>
      </c>
      <c r="E5788" t="s">
        <v>300</v>
      </c>
      <c r="F5788" t="s">
        <v>6364</v>
      </c>
      <c r="G5788">
        <v>0</v>
      </c>
      <c r="H5788">
        <v>0</v>
      </c>
      <c r="I5788">
        <v>0</v>
      </c>
      <c r="J5788">
        <v>0</v>
      </c>
      <c r="K5788">
        <v>0</v>
      </c>
      <c r="L5788">
        <v>0</v>
      </c>
      <c r="M5788">
        <v>0</v>
      </c>
      <c r="N5788">
        <v>0</v>
      </c>
      <c r="O5788">
        <v>0</v>
      </c>
    </row>
    <row r="5789" spans="1:15" x14ac:dyDescent="0.35">
      <c r="A5789" t="s">
        <v>6329</v>
      </c>
      <c r="B5789" t="s">
        <v>205</v>
      </c>
      <c r="C5789" t="s">
        <v>520</v>
      </c>
      <c r="D5789" t="s">
        <v>339</v>
      </c>
      <c r="E5789" t="s">
        <v>306</v>
      </c>
      <c r="F5789" t="s">
        <v>6365</v>
      </c>
      <c r="G5789">
        <v>41</v>
      </c>
      <c r="H5789">
        <v>3968.3499999999995</v>
      </c>
      <c r="I5789">
        <v>96.79</v>
      </c>
      <c r="J5789">
        <v>0</v>
      </c>
      <c r="K5789">
        <v>0</v>
      </c>
      <c r="L5789">
        <v>0</v>
      </c>
      <c r="M5789">
        <v>41</v>
      </c>
      <c r="N5789">
        <v>3968.3499999999995</v>
      </c>
      <c r="O5789">
        <v>96.79</v>
      </c>
    </row>
    <row r="5790" spans="1:15" x14ac:dyDescent="0.35">
      <c r="A5790" t="s">
        <v>6329</v>
      </c>
      <c r="B5790" t="s">
        <v>205</v>
      </c>
      <c r="C5790" t="s">
        <v>520</v>
      </c>
      <c r="D5790" t="s">
        <v>339</v>
      </c>
      <c r="E5790" t="s">
        <v>308</v>
      </c>
      <c r="F5790" t="s">
        <v>6366</v>
      </c>
      <c r="G5790">
        <v>85</v>
      </c>
      <c r="H5790">
        <v>16471.920000000002</v>
      </c>
      <c r="I5790">
        <v>193.79</v>
      </c>
      <c r="J5790">
        <v>0</v>
      </c>
      <c r="K5790">
        <v>0</v>
      </c>
      <c r="L5790">
        <v>0</v>
      </c>
      <c r="M5790">
        <v>85</v>
      </c>
      <c r="N5790">
        <v>16471.920000000002</v>
      </c>
      <c r="O5790">
        <v>193.79</v>
      </c>
    </row>
    <row r="5791" spans="1:15" x14ac:dyDescent="0.35">
      <c r="A5791" t="s">
        <v>6329</v>
      </c>
      <c r="B5791" t="s">
        <v>205</v>
      </c>
      <c r="C5791" t="s">
        <v>520</v>
      </c>
      <c r="D5791" t="s">
        <v>339</v>
      </c>
      <c r="E5791" t="s">
        <v>310</v>
      </c>
      <c r="F5791" t="s">
        <v>6367</v>
      </c>
      <c r="G5791">
        <v>471</v>
      </c>
      <c r="H5791">
        <v>60034.479999999996</v>
      </c>
      <c r="I5791">
        <v>127.46</v>
      </c>
      <c r="J5791">
        <v>1085</v>
      </c>
      <c r="K5791">
        <v>96080.88</v>
      </c>
      <c r="L5791">
        <v>88.55</v>
      </c>
      <c r="M5791">
        <v>1556</v>
      </c>
      <c r="N5791">
        <v>156115.35999999999</v>
      </c>
      <c r="O5791">
        <v>100.33</v>
      </c>
    </row>
    <row r="5792" spans="1:15" x14ac:dyDescent="0.35">
      <c r="A5792" t="s">
        <v>6329</v>
      </c>
      <c r="B5792" t="s">
        <v>205</v>
      </c>
      <c r="C5792" t="s">
        <v>520</v>
      </c>
      <c r="D5792" t="s">
        <v>339</v>
      </c>
      <c r="E5792" t="s">
        <v>312</v>
      </c>
      <c r="F5792" t="s">
        <v>6368</v>
      </c>
      <c r="G5792">
        <v>386</v>
      </c>
      <c r="H5792">
        <v>43562.559999999998</v>
      </c>
      <c r="I5792">
        <v>112.86</v>
      </c>
      <c r="J5792">
        <v>1085</v>
      </c>
      <c r="K5792">
        <v>96080.88</v>
      </c>
      <c r="L5792">
        <v>88.55</v>
      </c>
      <c r="M5792">
        <v>1471</v>
      </c>
      <c r="N5792">
        <v>139643.44</v>
      </c>
      <c r="O5792">
        <v>94.93</v>
      </c>
    </row>
    <row r="5793" spans="1:15" x14ac:dyDescent="0.35">
      <c r="A5793" t="s">
        <v>6329</v>
      </c>
      <c r="B5793" t="s">
        <v>205</v>
      </c>
      <c r="C5793" t="s">
        <v>520</v>
      </c>
      <c r="D5793" t="s">
        <v>348</v>
      </c>
      <c r="E5793" t="s">
        <v>349</v>
      </c>
      <c r="F5793" t="s">
        <v>6369</v>
      </c>
      <c r="G5793">
        <v>575</v>
      </c>
      <c r="H5793">
        <v>72210.399999999994</v>
      </c>
      <c r="I5793">
        <v>145.88</v>
      </c>
      <c r="J5793">
        <v>1085</v>
      </c>
      <c r="K5793">
        <v>96080.88</v>
      </c>
      <c r="L5793">
        <v>88.55</v>
      </c>
      <c r="M5793">
        <v>1660</v>
      </c>
      <c r="N5793">
        <v>168291.28</v>
      </c>
      <c r="O5793">
        <v>106.51</v>
      </c>
    </row>
    <row r="5794" spans="1:15" x14ac:dyDescent="0.35">
      <c r="A5794" t="s">
        <v>6370</v>
      </c>
      <c r="B5794" t="s">
        <v>223</v>
      </c>
      <c r="C5794" t="s">
        <v>520</v>
      </c>
      <c r="D5794" t="s">
        <v>293</v>
      </c>
      <c r="E5794" t="s">
        <v>294</v>
      </c>
      <c r="F5794" t="s">
        <v>6371</v>
      </c>
      <c r="G5794">
        <v>176</v>
      </c>
      <c r="H5794">
        <v>17402.900000000001</v>
      </c>
      <c r="I5794">
        <v>98.88</v>
      </c>
      <c r="J5794">
        <v>0</v>
      </c>
      <c r="K5794">
        <v>0</v>
      </c>
      <c r="L5794">
        <v>0</v>
      </c>
      <c r="M5794">
        <v>176</v>
      </c>
      <c r="N5794">
        <v>17402.900000000001</v>
      </c>
      <c r="O5794">
        <v>98.88</v>
      </c>
    </row>
    <row r="5795" spans="1:15" x14ac:dyDescent="0.35">
      <c r="A5795" t="s">
        <v>6370</v>
      </c>
      <c r="B5795" t="s">
        <v>223</v>
      </c>
      <c r="C5795" t="s">
        <v>520</v>
      </c>
      <c r="D5795" t="s">
        <v>293</v>
      </c>
      <c r="E5795" t="s">
        <v>296</v>
      </c>
      <c r="F5795" t="s">
        <v>6372</v>
      </c>
      <c r="G5795">
        <v>393</v>
      </c>
      <c r="H5795">
        <v>51575.6</v>
      </c>
      <c r="I5795">
        <v>131.24</v>
      </c>
      <c r="J5795">
        <v>0</v>
      </c>
      <c r="K5795">
        <v>0</v>
      </c>
      <c r="L5795">
        <v>0</v>
      </c>
      <c r="M5795">
        <v>393</v>
      </c>
      <c r="N5795">
        <v>51575.6</v>
      </c>
      <c r="O5795">
        <v>131.24</v>
      </c>
    </row>
    <row r="5796" spans="1:15" x14ac:dyDescent="0.35">
      <c r="A5796" t="s">
        <v>6370</v>
      </c>
      <c r="B5796" t="s">
        <v>223</v>
      </c>
      <c r="C5796" t="s">
        <v>520</v>
      </c>
      <c r="D5796" t="s">
        <v>293</v>
      </c>
      <c r="E5796" t="s">
        <v>298</v>
      </c>
      <c r="F5796" t="s">
        <v>6373</v>
      </c>
      <c r="G5796">
        <v>276</v>
      </c>
      <c r="H5796">
        <v>40676.42</v>
      </c>
      <c r="I5796">
        <v>147.38</v>
      </c>
      <c r="J5796">
        <v>0</v>
      </c>
      <c r="K5796">
        <v>0</v>
      </c>
      <c r="L5796">
        <v>0</v>
      </c>
      <c r="M5796">
        <v>276</v>
      </c>
      <c r="N5796">
        <v>40676.42</v>
      </c>
      <c r="O5796">
        <v>147.38</v>
      </c>
    </row>
    <row r="5797" spans="1:15" x14ac:dyDescent="0.35">
      <c r="A5797" t="s">
        <v>6370</v>
      </c>
      <c r="B5797" t="s">
        <v>223</v>
      </c>
      <c r="C5797" t="s">
        <v>520</v>
      </c>
      <c r="D5797" t="s">
        <v>293</v>
      </c>
      <c r="E5797" t="s">
        <v>300</v>
      </c>
      <c r="F5797" t="s">
        <v>6374</v>
      </c>
      <c r="G5797">
        <v>8</v>
      </c>
      <c r="H5797">
        <v>1279.73</v>
      </c>
      <c r="I5797">
        <v>159.97</v>
      </c>
      <c r="J5797">
        <v>0</v>
      </c>
      <c r="K5797">
        <v>0</v>
      </c>
      <c r="L5797">
        <v>0</v>
      </c>
      <c r="M5797">
        <v>8</v>
      </c>
      <c r="N5797">
        <v>1279.73</v>
      </c>
      <c r="O5797">
        <v>159.97</v>
      </c>
    </row>
    <row r="5798" spans="1:15" x14ac:dyDescent="0.35">
      <c r="A5798" t="s">
        <v>6370</v>
      </c>
      <c r="B5798" t="s">
        <v>223</v>
      </c>
      <c r="C5798" t="s">
        <v>520</v>
      </c>
      <c r="D5798" t="s">
        <v>293</v>
      </c>
      <c r="E5798" t="s">
        <v>302</v>
      </c>
      <c r="F5798" t="s">
        <v>6375</v>
      </c>
      <c r="G5798">
        <v>0</v>
      </c>
      <c r="H5798">
        <v>0</v>
      </c>
      <c r="I5798">
        <v>0</v>
      </c>
      <c r="J5798">
        <v>0</v>
      </c>
      <c r="K5798">
        <v>0</v>
      </c>
      <c r="L5798">
        <v>0</v>
      </c>
      <c r="M5798">
        <v>0</v>
      </c>
      <c r="N5798">
        <v>0</v>
      </c>
      <c r="O5798">
        <v>0</v>
      </c>
    </row>
    <row r="5799" spans="1:15" x14ac:dyDescent="0.35">
      <c r="A5799" t="s">
        <v>6370</v>
      </c>
      <c r="B5799" t="s">
        <v>223</v>
      </c>
      <c r="C5799" t="s">
        <v>520</v>
      </c>
      <c r="D5799" t="s">
        <v>293</v>
      </c>
      <c r="E5799" t="s">
        <v>304</v>
      </c>
      <c r="F5799" t="s">
        <v>6376</v>
      </c>
      <c r="G5799">
        <v>1</v>
      </c>
      <c r="H5799">
        <v>180</v>
      </c>
      <c r="I5799">
        <v>180</v>
      </c>
      <c r="J5799">
        <v>0</v>
      </c>
      <c r="K5799">
        <v>0</v>
      </c>
      <c r="L5799">
        <v>0</v>
      </c>
      <c r="M5799">
        <v>1</v>
      </c>
      <c r="N5799">
        <v>180</v>
      </c>
      <c r="O5799">
        <v>180</v>
      </c>
    </row>
    <row r="5800" spans="1:15" x14ac:dyDescent="0.35">
      <c r="A5800" t="s">
        <v>6370</v>
      </c>
      <c r="B5800" t="s">
        <v>223</v>
      </c>
      <c r="C5800" t="s">
        <v>520</v>
      </c>
      <c r="D5800" t="s">
        <v>293</v>
      </c>
      <c r="E5800" t="s">
        <v>306</v>
      </c>
      <c r="F5800" t="s">
        <v>6377</v>
      </c>
      <c r="G5800">
        <v>0</v>
      </c>
      <c r="H5800">
        <v>0</v>
      </c>
      <c r="I5800">
        <v>0</v>
      </c>
      <c r="J5800">
        <v>0</v>
      </c>
      <c r="K5800">
        <v>0</v>
      </c>
      <c r="L5800">
        <v>0</v>
      </c>
      <c r="M5800">
        <v>0</v>
      </c>
      <c r="N5800">
        <v>0</v>
      </c>
      <c r="O5800">
        <v>0</v>
      </c>
    </row>
    <row r="5801" spans="1:15" x14ac:dyDescent="0.35">
      <c r="A5801" t="s">
        <v>6370</v>
      </c>
      <c r="B5801" t="s">
        <v>223</v>
      </c>
      <c r="C5801" t="s">
        <v>520</v>
      </c>
      <c r="D5801" t="s">
        <v>293</v>
      </c>
      <c r="E5801" t="s">
        <v>308</v>
      </c>
      <c r="F5801" t="s">
        <v>6378</v>
      </c>
      <c r="G5801">
        <v>0</v>
      </c>
      <c r="H5801">
        <v>0</v>
      </c>
      <c r="I5801">
        <v>0</v>
      </c>
      <c r="J5801">
        <v>0</v>
      </c>
      <c r="K5801">
        <v>0</v>
      </c>
      <c r="L5801">
        <v>0</v>
      </c>
      <c r="M5801">
        <v>0</v>
      </c>
      <c r="N5801">
        <v>0</v>
      </c>
      <c r="O5801">
        <v>0</v>
      </c>
    </row>
    <row r="5802" spans="1:15" x14ac:dyDescent="0.35">
      <c r="A5802" t="s">
        <v>6370</v>
      </c>
      <c r="B5802" t="s">
        <v>223</v>
      </c>
      <c r="C5802" t="s">
        <v>520</v>
      </c>
      <c r="D5802" t="s">
        <v>293</v>
      </c>
      <c r="E5802" t="s">
        <v>310</v>
      </c>
      <c r="F5802" t="s">
        <v>6379</v>
      </c>
      <c r="G5802">
        <v>854</v>
      </c>
      <c r="H5802">
        <v>111114.65</v>
      </c>
      <c r="I5802">
        <v>130.11000000000001</v>
      </c>
      <c r="J5802">
        <v>0</v>
      </c>
      <c r="K5802">
        <v>0</v>
      </c>
      <c r="L5802">
        <v>0</v>
      </c>
      <c r="M5802">
        <v>854</v>
      </c>
      <c r="N5802">
        <v>111114.65</v>
      </c>
      <c r="O5802">
        <v>130.11000000000001</v>
      </c>
    </row>
    <row r="5803" spans="1:15" x14ac:dyDescent="0.35">
      <c r="A5803" t="s">
        <v>6370</v>
      </c>
      <c r="B5803" t="s">
        <v>223</v>
      </c>
      <c r="C5803" t="s">
        <v>520</v>
      </c>
      <c r="D5803" t="s">
        <v>293</v>
      </c>
      <c r="E5803" t="s">
        <v>312</v>
      </c>
      <c r="F5803" t="s">
        <v>6380</v>
      </c>
      <c r="G5803">
        <v>854</v>
      </c>
      <c r="H5803">
        <v>111114.65</v>
      </c>
      <c r="I5803">
        <v>130.11000000000001</v>
      </c>
      <c r="J5803">
        <v>0</v>
      </c>
      <c r="K5803">
        <v>0</v>
      </c>
      <c r="L5803">
        <v>0</v>
      </c>
      <c r="M5803">
        <v>854</v>
      </c>
      <c r="N5803">
        <v>111114.65</v>
      </c>
      <c r="O5803">
        <v>130.11000000000001</v>
      </c>
    </row>
    <row r="5804" spans="1:15" x14ac:dyDescent="0.35">
      <c r="A5804" t="s">
        <v>6370</v>
      </c>
      <c r="B5804" t="s">
        <v>223</v>
      </c>
      <c r="C5804" t="s">
        <v>520</v>
      </c>
      <c r="D5804" t="s">
        <v>314</v>
      </c>
      <c r="E5804" t="s">
        <v>294</v>
      </c>
      <c r="F5804" t="s">
        <v>6381</v>
      </c>
      <c r="G5804">
        <v>74</v>
      </c>
      <c r="H5804">
        <v>14839.96</v>
      </c>
      <c r="I5804">
        <v>200.54</v>
      </c>
      <c r="J5804">
        <v>0</v>
      </c>
      <c r="K5804">
        <v>0</v>
      </c>
      <c r="L5804">
        <v>0</v>
      </c>
      <c r="M5804">
        <v>74</v>
      </c>
      <c r="N5804">
        <v>14839.96</v>
      </c>
      <c r="O5804">
        <v>200.54</v>
      </c>
    </row>
    <row r="5805" spans="1:15" x14ac:dyDescent="0.35">
      <c r="A5805" t="s">
        <v>6370</v>
      </c>
      <c r="B5805" t="s">
        <v>223</v>
      </c>
      <c r="C5805" t="s">
        <v>520</v>
      </c>
      <c r="D5805" t="s">
        <v>314</v>
      </c>
      <c r="E5805" t="s">
        <v>296</v>
      </c>
      <c r="F5805" t="s">
        <v>6382</v>
      </c>
      <c r="G5805">
        <v>14</v>
      </c>
      <c r="H5805">
        <v>3049.9</v>
      </c>
      <c r="I5805">
        <v>217.85</v>
      </c>
      <c r="J5805">
        <v>0</v>
      </c>
      <c r="K5805">
        <v>0</v>
      </c>
      <c r="L5805">
        <v>0</v>
      </c>
      <c r="M5805">
        <v>14</v>
      </c>
      <c r="N5805">
        <v>3049.9</v>
      </c>
      <c r="O5805">
        <v>217.85</v>
      </c>
    </row>
    <row r="5806" spans="1:15" x14ac:dyDescent="0.35">
      <c r="A5806" t="s">
        <v>6370</v>
      </c>
      <c r="B5806" t="s">
        <v>223</v>
      </c>
      <c r="C5806" t="s">
        <v>520</v>
      </c>
      <c r="D5806" t="s">
        <v>314</v>
      </c>
      <c r="E5806" t="s">
        <v>298</v>
      </c>
      <c r="F5806" t="s">
        <v>6383</v>
      </c>
      <c r="G5806">
        <v>0</v>
      </c>
      <c r="H5806">
        <v>0</v>
      </c>
      <c r="I5806">
        <v>0</v>
      </c>
      <c r="J5806">
        <v>0</v>
      </c>
      <c r="K5806">
        <v>0</v>
      </c>
      <c r="L5806">
        <v>0</v>
      </c>
      <c r="M5806">
        <v>0</v>
      </c>
      <c r="N5806">
        <v>0</v>
      </c>
      <c r="O5806">
        <v>0</v>
      </c>
    </row>
    <row r="5807" spans="1:15" x14ac:dyDescent="0.35">
      <c r="A5807" t="s">
        <v>6370</v>
      </c>
      <c r="B5807" t="s">
        <v>223</v>
      </c>
      <c r="C5807" t="s">
        <v>520</v>
      </c>
      <c r="D5807" t="s">
        <v>314</v>
      </c>
      <c r="E5807" t="s">
        <v>300</v>
      </c>
      <c r="F5807" t="s">
        <v>6384</v>
      </c>
      <c r="G5807">
        <v>0</v>
      </c>
      <c r="H5807">
        <v>0</v>
      </c>
      <c r="I5807">
        <v>0</v>
      </c>
      <c r="J5807">
        <v>0</v>
      </c>
      <c r="K5807">
        <v>0</v>
      </c>
      <c r="L5807">
        <v>0</v>
      </c>
      <c r="M5807">
        <v>0</v>
      </c>
      <c r="N5807">
        <v>0</v>
      </c>
      <c r="O5807">
        <v>0</v>
      </c>
    </row>
    <row r="5808" spans="1:15" x14ac:dyDescent="0.35">
      <c r="A5808" t="s">
        <v>6370</v>
      </c>
      <c r="B5808" t="s">
        <v>223</v>
      </c>
      <c r="C5808" t="s">
        <v>520</v>
      </c>
      <c r="D5808" t="s">
        <v>314</v>
      </c>
      <c r="E5808" t="s">
        <v>306</v>
      </c>
      <c r="F5808" t="s">
        <v>6385</v>
      </c>
      <c r="G5808">
        <v>0</v>
      </c>
      <c r="H5808">
        <v>0</v>
      </c>
      <c r="I5808">
        <v>0</v>
      </c>
      <c r="J5808">
        <v>0</v>
      </c>
      <c r="K5808">
        <v>0</v>
      </c>
      <c r="L5808">
        <v>0</v>
      </c>
      <c r="M5808">
        <v>0</v>
      </c>
      <c r="N5808">
        <v>0</v>
      </c>
      <c r="O5808">
        <v>0</v>
      </c>
    </row>
    <row r="5809" spans="1:15" x14ac:dyDescent="0.35">
      <c r="A5809" t="s">
        <v>6370</v>
      </c>
      <c r="B5809" t="s">
        <v>223</v>
      </c>
      <c r="C5809" t="s">
        <v>520</v>
      </c>
      <c r="D5809" t="s">
        <v>314</v>
      </c>
      <c r="E5809" t="s">
        <v>308</v>
      </c>
      <c r="F5809" t="s">
        <v>6386</v>
      </c>
      <c r="G5809">
        <v>0</v>
      </c>
      <c r="H5809">
        <v>0</v>
      </c>
      <c r="I5809">
        <v>0</v>
      </c>
      <c r="J5809">
        <v>0</v>
      </c>
      <c r="K5809">
        <v>0</v>
      </c>
      <c r="L5809">
        <v>0</v>
      </c>
      <c r="M5809">
        <v>0</v>
      </c>
      <c r="N5809">
        <v>0</v>
      </c>
      <c r="O5809">
        <v>0</v>
      </c>
    </row>
    <row r="5810" spans="1:15" x14ac:dyDescent="0.35">
      <c r="A5810" t="s">
        <v>6370</v>
      </c>
      <c r="B5810" t="s">
        <v>223</v>
      </c>
      <c r="C5810" t="s">
        <v>520</v>
      </c>
      <c r="D5810" t="s">
        <v>314</v>
      </c>
      <c r="E5810" t="s">
        <v>312</v>
      </c>
      <c r="F5810" t="s">
        <v>6387</v>
      </c>
      <c r="G5810">
        <v>88</v>
      </c>
      <c r="H5810">
        <v>17889.86</v>
      </c>
      <c r="I5810">
        <v>203.29</v>
      </c>
      <c r="J5810">
        <v>0</v>
      </c>
      <c r="K5810">
        <v>0</v>
      </c>
      <c r="L5810">
        <v>0</v>
      </c>
      <c r="M5810">
        <v>88</v>
      </c>
      <c r="N5810">
        <v>17889.86</v>
      </c>
      <c r="O5810">
        <v>203.29</v>
      </c>
    </row>
    <row r="5811" spans="1:15" x14ac:dyDescent="0.35">
      <c r="A5811" t="s">
        <v>6370</v>
      </c>
      <c r="B5811" t="s">
        <v>223</v>
      </c>
      <c r="C5811" t="s">
        <v>520</v>
      </c>
      <c r="D5811" t="s">
        <v>314</v>
      </c>
      <c r="E5811" t="s">
        <v>310</v>
      </c>
      <c r="F5811" t="s">
        <v>6388</v>
      </c>
      <c r="G5811">
        <v>88</v>
      </c>
      <c r="H5811">
        <v>17889.86</v>
      </c>
      <c r="I5811">
        <v>203.29</v>
      </c>
      <c r="J5811">
        <v>0</v>
      </c>
      <c r="K5811">
        <v>0</v>
      </c>
      <c r="L5811">
        <v>0</v>
      </c>
      <c r="M5811">
        <v>88</v>
      </c>
      <c r="N5811">
        <v>17889.86</v>
      </c>
      <c r="O5811">
        <v>203.29</v>
      </c>
    </row>
    <row r="5812" spans="1:15" x14ac:dyDescent="0.35">
      <c r="A5812" t="s">
        <v>6370</v>
      </c>
      <c r="B5812" t="s">
        <v>223</v>
      </c>
      <c r="C5812" t="s">
        <v>520</v>
      </c>
      <c r="D5812" t="s">
        <v>323</v>
      </c>
      <c r="E5812" t="s">
        <v>294</v>
      </c>
      <c r="F5812" t="s">
        <v>6389</v>
      </c>
      <c r="G5812">
        <v>676</v>
      </c>
      <c r="H5812">
        <v>60352.070000000007</v>
      </c>
      <c r="I5812">
        <v>89.28</v>
      </c>
      <c r="J5812">
        <v>0</v>
      </c>
      <c r="K5812">
        <v>0</v>
      </c>
      <c r="L5812">
        <v>0</v>
      </c>
      <c r="M5812">
        <v>676</v>
      </c>
      <c r="N5812">
        <v>60352.070000000007</v>
      </c>
      <c r="O5812">
        <v>89.28</v>
      </c>
    </row>
    <row r="5813" spans="1:15" x14ac:dyDescent="0.35">
      <c r="A5813" t="s">
        <v>6370</v>
      </c>
      <c r="B5813" t="s">
        <v>223</v>
      </c>
      <c r="C5813" t="s">
        <v>520</v>
      </c>
      <c r="D5813" t="s">
        <v>323</v>
      </c>
      <c r="E5813" t="s">
        <v>296</v>
      </c>
      <c r="F5813" t="s">
        <v>6390</v>
      </c>
      <c r="G5813">
        <v>933</v>
      </c>
      <c r="H5813">
        <v>94811.520000000019</v>
      </c>
      <c r="I5813">
        <v>101.62</v>
      </c>
      <c r="J5813">
        <v>0</v>
      </c>
      <c r="K5813">
        <v>0</v>
      </c>
      <c r="L5813">
        <v>0</v>
      </c>
      <c r="M5813">
        <v>933</v>
      </c>
      <c r="N5813">
        <v>94811.520000000019</v>
      </c>
      <c r="O5813">
        <v>101.62</v>
      </c>
    </row>
    <row r="5814" spans="1:15" x14ac:dyDescent="0.35">
      <c r="A5814" t="s">
        <v>6370</v>
      </c>
      <c r="B5814" t="s">
        <v>223</v>
      </c>
      <c r="C5814" t="s">
        <v>520</v>
      </c>
      <c r="D5814" t="s">
        <v>323</v>
      </c>
      <c r="E5814" t="s">
        <v>298</v>
      </c>
      <c r="F5814" t="s">
        <v>6391</v>
      </c>
      <c r="G5814">
        <v>1144</v>
      </c>
      <c r="H5814">
        <v>127313.03</v>
      </c>
      <c r="I5814">
        <v>111.29</v>
      </c>
      <c r="J5814">
        <v>0</v>
      </c>
      <c r="K5814">
        <v>0</v>
      </c>
      <c r="L5814">
        <v>0</v>
      </c>
      <c r="M5814">
        <v>1144</v>
      </c>
      <c r="N5814">
        <v>127313.03</v>
      </c>
      <c r="O5814">
        <v>111.29</v>
      </c>
    </row>
    <row r="5815" spans="1:15" x14ac:dyDescent="0.35">
      <c r="A5815" t="s">
        <v>6370</v>
      </c>
      <c r="B5815" t="s">
        <v>223</v>
      </c>
      <c r="C5815" t="s">
        <v>520</v>
      </c>
      <c r="D5815" t="s">
        <v>323</v>
      </c>
      <c r="E5815" t="s">
        <v>300</v>
      </c>
      <c r="F5815" t="s">
        <v>6392</v>
      </c>
      <c r="G5815">
        <v>23</v>
      </c>
      <c r="H5815">
        <v>2873.2100000000005</v>
      </c>
      <c r="I5815">
        <v>124.92</v>
      </c>
      <c r="J5815">
        <v>0</v>
      </c>
      <c r="K5815">
        <v>0</v>
      </c>
      <c r="L5815">
        <v>0</v>
      </c>
      <c r="M5815">
        <v>23</v>
      </c>
      <c r="N5815">
        <v>2873.2100000000005</v>
      </c>
      <c r="O5815">
        <v>124.92</v>
      </c>
    </row>
    <row r="5816" spans="1:15" x14ac:dyDescent="0.35">
      <c r="A5816" t="s">
        <v>6370</v>
      </c>
      <c r="B5816" t="s">
        <v>223</v>
      </c>
      <c r="C5816" t="s">
        <v>520</v>
      </c>
      <c r="D5816" t="s">
        <v>323</v>
      </c>
      <c r="E5816" t="s">
        <v>302</v>
      </c>
      <c r="F5816" t="s">
        <v>6393</v>
      </c>
      <c r="G5816">
        <v>8</v>
      </c>
      <c r="H5816">
        <v>1027.4100000000001</v>
      </c>
      <c r="I5816">
        <v>128.43</v>
      </c>
      <c r="J5816">
        <v>0</v>
      </c>
      <c r="K5816">
        <v>0</v>
      </c>
      <c r="L5816">
        <v>0</v>
      </c>
      <c r="M5816">
        <v>8</v>
      </c>
      <c r="N5816">
        <v>1027.4100000000001</v>
      </c>
      <c r="O5816">
        <v>128.43</v>
      </c>
    </row>
    <row r="5817" spans="1:15" x14ac:dyDescent="0.35">
      <c r="A5817" t="s">
        <v>6370</v>
      </c>
      <c r="B5817" t="s">
        <v>223</v>
      </c>
      <c r="C5817" t="s">
        <v>520</v>
      </c>
      <c r="D5817" t="s">
        <v>323</v>
      </c>
      <c r="E5817" t="s">
        <v>304</v>
      </c>
      <c r="F5817" t="s">
        <v>6394</v>
      </c>
      <c r="G5817">
        <v>1</v>
      </c>
      <c r="H5817">
        <v>135.03</v>
      </c>
      <c r="I5817">
        <v>135.03</v>
      </c>
      <c r="J5817">
        <v>0</v>
      </c>
      <c r="K5817">
        <v>0</v>
      </c>
      <c r="L5817">
        <v>0</v>
      </c>
      <c r="M5817">
        <v>1</v>
      </c>
      <c r="N5817">
        <v>135.03</v>
      </c>
      <c r="O5817">
        <v>135.03</v>
      </c>
    </row>
    <row r="5818" spans="1:15" x14ac:dyDescent="0.35">
      <c r="A5818" t="s">
        <v>6370</v>
      </c>
      <c r="B5818" t="s">
        <v>223</v>
      </c>
      <c r="C5818" t="s">
        <v>520</v>
      </c>
      <c r="D5818" t="s">
        <v>323</v>
      </c>
      <c r="E5818" t="s">
        <v>306</v>
      </c>
      <c r="F5818" t="s">
        <v>6395</v>
      </c>
      <c r="G5818">
        <v>21</v>
      </c>
      <c r="H5818">
        <v>1672.65</v>
      </c>
      <c r="I5818">
        <v>79.650000000000006</v>
      </c>
      <c r="J5818">
        <v>0</v>
      </c>
      <c r="K5818">
        <v>0</v>
      </c>
      <c r="L5818">
        <v>0</v>
      </c>
      <c r="M5818">
        <v>21</v>
      </c>
      <c r="N5818">
        <v>1672.65</v>
      </c>
      <c r="O5818">
        <v>79.650000000000006</v>
      </c>
    </row>
    <row r="5819" spans="1:15" x14ac:dyDescent="0.35">
      <c r="A5819" t="s">
        <v>6370</v>
      </c>
      <c r="B5819" t="s">
        <v>223</v>
      </c>
      <c r="C5819" t="s">
        <v>520</v>
      </c>
      <c r="D5819" t="s">
        <v>323</v>
      </c>
      <c r="E5819" t="s">
        <v>308</v>
      </c>
      <c r="F5819" t="s">
        <v>6396</v>
      </c>
      <c r="G5819">
        <v>0</v>
      </c>
      <c r="H5819">
        <v>0</v>
      </c>
      <c r="I5819">
        <v>0</v>
      </c>
      <c r="J5819">
        <v>0</v>
      </c>
      <c r="K5819">
        <v>0</v>
      </c>
      <c r="L5819">
        <v>0</v>
      </c>
      <c r="M5819">
        <v>0</v>
      </c>
      <c r="N5819">
        <v>0</v>
      </c>
      <c r="O5819">
        <v>0</v>
      </c>
    </row>
    <row r="5820" spans="1:15" x14ac:dyDescent="0.35">
      <c r="A5820" t="s">
        <v>6370</v>
      </c>
      <c r="B5820" t="s">
        <v>223</v>
      </c>
      <c r="C5820" t="s">
        <v>520</v>
      </c>
      <c r="D5820" t="s">
        <v>323</v>
      </c>
      <c r="E5820" t="s">
        <v>310</v>
      </c>
      <c r="F5820" t="s">
        <v>6397</v>
      </c>
      <c r="G5820">
        <v>2806</v>
      </c>
      <c r="H5820">
        <v>288184.92000000004</v>
      </c>
      <c r="I5820">
        <v>102.7</v>
      </c>
      <c r="J5820">
        <v>0</v>
      </c>
      <c r="K5820">
        <v>0</v>
      </c>
      <c r="L5820">
        <v>0</v>
      </c>
      <c r="M5820">
        <v>2806</v>
      </c>
      <c r="N5820">
        <v>288184.92000000004</v>
      </c>
      <c r="O5820">
        <v>102.7</v>
      </c>
    </row>
    <row r="5821" spans="1:15" x14ac:dyDescent="0.35">
      <c r="A5821" t="s">
        <v>6370</v>
      </c>
      <c r="B5821" t="s">
        <v>223</v>
      </c>
      <c r="C5821" t="s">
        <v>520</v>
      </c>
      <c r="D5821" t="s">
        <v>323</v>
      </c>
      <c r="E5821" t="s">
        <v>312</v>
      </c>
      <c r="F5821" t="s">
        <v>6398</v>
      </c>
      <c r="G5821">
        <v>2806</v>
      </c>
      <c r="H5821">
        <v>288184.92000000004</v>
      </c>
      <c r="I5821">
        <v>102.7</v>
      </c>
      <c r="J5821">
        <v>0</v>
      </c>
      <c r="K5821">
        <v>0</v>
      </c>
      <c r="L5821">
        <v>0</v>
      </c>
      <c r="M5821">
        <v>2806</v>
      </c>
      <c r="N5821">
        <v>288184.92000000004</v>
      </c>
      <c r="O5821">
        <v>102.7</v>
      </c>
    </row>
    <row r="5822" spans="1:15" x14ac:dyDescent="0.35">
      <c r="A5822" t="s">
        <v>6370</v>
      </c>
      <c r="B5822" t="s">
        <v>223</v>
      </c>
      <c r="C5822" t="s">
        <v>520</v>
      </c>
      <c r="D5822" t="s">
        <v>334</v>
      </c>
      <c r="E5822" t="s">
        <v>312</v>
      </c>
      <c r="F5822" t="s">
        <v>6399</v>
      </c>
      <c r="G5822">
        <v>3869</v>
      </c>
      <c r="H5822">
        <v>399299.57000000007</v>
      </c>
      <c r="I5822">
        <v>109.1</v>
      </c>
      <c r="J5822">
        <v>0</v>
      </c>
      <c r="K5822">
        <v>0</v>
      </c>
      <c r="L5822">
        <v>0</v>
      </c>
      <c r="M5822">
        <v>3869</v>
      </c>
      <c r="N5822">
        <v>399299.57000000007</v>
      </c>
      <c r="O5822">
        <v>109.1</v>
      </c>
    </row>
    <row r="5823" spans="1:15" x14ac:dyDescent="0.35">
      <c r="A5823" t="s">
        <v>6370</v>
      </c>
      <c r="B5823" t="s">
        <v>223</v>
      </c>
      <c r="C5823" t="s">
        <v>520</v>
      </c>
      <c r="D5823" t="s">
        <v>334</v>
      </c>
      <c r="E5823" t="s">
        <v>308</v>
      </c>
      <c r="F5823" t="s">
        <v>6400</v>
      </c>
      <c r="G5823">
        <v>0</v>
      </c>
      <c r="H5823">
        <v>0</v>
      </c>
      <c r="I5823">
        <v>0</v>
      </c>
      <c r="J5823">
        <v>0</v>
      </c>
      <c r="K5823">
        <v>0</v>
      </c>
      <c r="L5823">
        <v>0</v>
      </c>
      <c r="M5823">
        <v>0</v>
      </c>
      <c r="N5823">
        <v>0</v>
      </c>
      <c r="O5823">
        <v>0</v>
      </c>
    </row>
    <row r="5824" spans="1:15" x14ac:dyDescent="0.35">
      <c r="A5824" t="s">
        <v>6370</v>
      </c>
      <c r="B5824" t="s">
        <v>223</v>
      </c>
      <c r="C5824" t="s">
        <v>520</v>
      </c>
      <c r="D5824" t="s">
        <v>337</v>
      </c>
      <c r="E5824" t="s">
        <v>337</v>
      </c>
      <c r="F5824" t="s">
        <v>6401</v>
      </c>
      <c r="G5824">
        <v>457</v>
      </c>
      <c r="J5824">
        <v>0</v>
      </c>
      <c r="M5824">
        <v>457</v>
      </c>
    </row>
    <row r="5825" spans="1:15" x14ac:dyDescent="0.35">
      <c r="A5825" t="s">
        <v>6370</v>
      </c>
      <c r="B5825" t="s">
        <v>223</v>
      </c>
      <c r="C5825" t="s">
        <v>520</v>
      </c>
      <c r="D5825" t="s">
        <v>339</v>
      </c>
      <c r="E5825" t="s">
        <v>294</v>
      </c>
      <c r="F5825" t="s">
        <v>6402</v>
      </c>
      <c r="G5825">
        <v>366</v>
      </c>
      <c r="H5825">
        <v>39483.259999999995</v>
      </c>
      <c r="I5825">
        <v>107.88</v>
      </c>
      <c r="J5825">
        <v>0</v>
      </c>
      <c r="K5825">
        <v>0</v>
      </c>
      <c r="L5825">
        <v>0</v>
      </c>
      <c r="M5825">
        <v>366</v>
      </c>
      <c r="N5825">
        <v>39483.259999999995</v>
      </c>
      <c r="O5825">
        <v>107.88</v>
      </c>
    </row>
    <row r="5826" spans="1:15" x14ac:dyDescent="0.35">
      <c r="A5826" t="s">
        <v>6370</v>
      </c>
      <c r="B5826" t="s">
        <v>223</v>
      </c>
      <c r="C5826" t="s">
        <v>520</v>
      </c>
      <c r="D5826" t="s">
        <v>339</v>
      </c>
      <c r="E5826" t="s">
        <v>296</v>
      </c>
      <c r="F5826" t="s">
        <v>6403</v>
      </c>
      <c r="G5826">
        <v>60</v>
      </c>
      <c r="H5826">
        <v>6656.29</v>
      </c>
      <c r="I5826">
        <v>110.94</v>
      </c>
      <c r="J5826">
        <v>0</v>
      </c>
      <c r="K5826">
        <v>0</v>
      </c>
      <c r="L5826">
        <v>0</v>
      </c>
      <c r="M5826">
        <v>60</v>
      </c>
      <c r="N5826">
        <v>6656.29</v>
      </c>
      <c r="O5826">
        <v>110.94</v>
      </c>
    </row>
    <row r="5827" spans="1:15" x14ac:dyDescent="0.35">
      <c r="A5827" t="s">
        <v>6370</v>
      </c>
      <c r="B5827" t="s">
        <v>223</v>
      </c>
      <c r="C5827" t="s">
        <v>520</v>
      </c>
      <c r="D5827" t="s">
        <v>339</v>
      </c>
      <c r="E5827" t="s">
        <v>298</v>
      </c>
      <c r="F5827" t="s">
        <v>6404</v>
      </c>
      <c r="G5827">
        <v>3</v>
      </c>
      <c r="H5827">
        <v>372.99</v>
      </c>
      <c r="I5827">
        <v>124.33</v>
      </c>
      <c r="J5827">
        <v>0</v>
      </c>
      <c r="K5827">
        <v>0</v>
      </c>
      <c r="L5827">
        <v>0</v>
      </c>
      <c r="M5827">
        <v>3</v>
      </c>
      <c r="N5827">
        <v>372.99</v>
      </c>
      <c r="O5827">
        <v>124.33</v>
      </c>
    </row>
    <row r="5828" spans="1:15" x14ac:dyDescent="0.35">
      <c r="A5828" t="s">
        <v>6370</v>
      </c>
      <c r="B5828" t="s">
        <v>223</v>
      </c>
      <c r="C5828" t="s">
        <v>520</v>
      </c>
      <c r="D5828" t="s">
        <v>339</v>
      </c>
      <c r="E5828" t="s">
        <v>300</v>
      </c>
      <c r="F5828" t="s">
        <v>6405</v>
      </c>
      <c r="G5828">
        <v>0</v>
      </c>
      <c r="H5828">
        <v>0</v>
      </c>
      <c r="I5828">
        <v>0</v>
      </c>
      <c r="J5828">
        <v>0</v>
      </c>
      <c r="K5828">
        <v>0</v>
      </c>
      <c r="L5828">
        <v>0</v>
      </c>
      <c r="M5828">
        <v>0</v>
      </c>
      <c r="N5828">
        <v>0</v>
      </c>
      <c r="O5828">
        <v>0</v>
      </c>
    </row>
    <row r="5829" spans="1:15" x14ac:dyDescent="0.35">
      <c r="A5829" t="s">
        <v>6370</v>
      </c>
      <c r="B5829" t="s">
        <v>223</v>
      </c>
      <c r="C5829" t="s">
        <v>520</v>
      </c>
      <c r="D5829" t="s">
        <v>339</v>
      </c>
      <c r="E5829" t="s">
        <v>306</v>
      </c>
      <c r="F5829" t="s">
        <v>6406</v>
      </c>
      <c r="G5829">
        <v>64</v>
      </c>
      <c r="H5829">
        <v>6146.84</v>
      </c>
      <c r="I5829">
        <v>96.04</v>
      </c>
      <c r="J5829">
        <v>0</v>
      </c>
      <c r="K5829">
        <v>0</v>
      </c>
      <c r="L5829">
        <v>0</v>
      </c>
      <c r="M5829">
        <v>64</v>
      </c>
      <c r="N5829">
        <v>6146.84</v>
      </c>
      <c r="O5829">
        <v>96.04</v>
      </c>
    </row>
    <row r="5830" spans="1:15" x14ac:dyDescent="0.35">
      <c r="A5830" t="s">
        <v>6370</v>
      </c>
      <c r="B5830" t="s">
        <v>223</v>
      </c>
      <c r="C5830" t="s">
        <v>520</v>
      </c>
      <c r="D5830" t="s">
        <v>339</v>
      </c>
      <c r="E5830" t="s">
        <v>308</v>
      </c>
      <c r="F5830" t="s">
        <v>6407</v>
      </c>
      <c r="G5830">
        <v>52</v>
      </c>
      <c r="H5830">
        <v>10528.17</v>
      </c>
      <c r="I5830">
        <v>202.46</v>
      </c>
      <c r="J5830">
        <v>0</v>
      </c>
      <c r="K5830">
        <v>0</v>
      </c>
      <c r="L5830">
        <v>0</v>
      </c>
      <c r="M5830">
        <v>52</v>
      </c>
      <c r="N5830">
        <v>10528.17</v>
      </c>
      <c r="O5830">
        <v>202.46</v>
      </c>
    </row>
    <row r="5831" spans="1:15" x14ac:dyDescent="0.35">
      <c r="A5831" t="s">
        <v>6370</v>
      </c>
      <c r="B5831" t="s">
        <v>223</v>
      </c>
      <c r="C5831" t="s">
        <v>520</v>
      </c>
      <c r="D5831" t="s">
        <v>339</v>
      </c>
      <c r="E5831" t="s">
        <v>310</v>
      </c>
      <c r="F5831" t="s">
        <v>6408</v>
      </c>
      <c r="G5831">
        <v>545</v>
      </c>
      <c r="H5831">
        <v>63187.549999999988</v>
      </c>
      <c r="I5831">
        <v>115.94</v>
      </c>
      <c r="J5831">
        <v>0</v>
      </c>
      <c r="K5831">
        <v>0</v>
      </c>
      <c r="L5831">
        <v>0</v>
      </c>
      <c r="M5831">
        <v>545</v>
      </c>
      <c r="N5831">
        <v>63187.549999999988</v>
      </c>
      <c r="O5831">
        <v>115.94</v>
      </c>
    </row>
    <row r="5832" spans="1:15" x14ac:dyDescent="0.35">
      <c r="A5832" t="s">
        <v>6370</v>
      </c>
      <c r="B5832" t="s">
        <v>223</v>
      </c>
      <c r="C5832" t="s">
        <v>520</v>
      </c>
      <c r="D5832" t="s">
        <v>339</v>
      </c>
      <c r="E5832" t="s">
        <v>312</v>
      </c>
      <c r="F5832" t="s">
        <v>6409</v>
      </c>
      <c r="G5832">
        <v>493</v>
      </c>
      <c r="H5832">
        <v>52659.37999999999</v>
      </c>
      <c r="I5832">
        <v>106.81</v>
      </c>
      <c r="J5832">
        <v>0</v>
      </c>
      <c r="K5832">
        <v>0</v>
      </c>
      <c r="L5832">
        <v>0</v>
      </c>
      <c r="M5832">
        <v>493</v>
      </c>
      <c r="N5832">
        <v>52659.37999999999</v>
      </c>
      <c r="O5832">
        <v>106.81</v>
      </c>
    </row>
    <row r="5833" spans="1:15" x14ac:dyDescent="0.35">
      <c r="A5833" t="s">
        <v>6370</v>
      </c>
      <c r="B5833" t="s">
        <v>223</v>
      </c>
      <c r="C5833" t="s">
        <v>520</v>
      </c>
      <c r="D5833" t="s">
        <v>348</v>
      </c>
      <c r="E5833" t="s">
        <v>349</v>
      </c>
      <c r="F5833" t="s">
        <v>6410</v>
      </c>
      <c r="G5833">
        <v>730</v>
      </c>
      <c r="H5833">
        <v>81077.409999999989</v>
      </c>
      <c r="I5833">
        <v>128.08000000000001</v>
      </c>
      <c r="J5833">
        <v>0</v>
      </c>
      <c r="K5833">
        <v>0</v>
      </c>
      <c r="L5833">
        <v>0</v>
      </c>
      <c r="M5833">
        <v>730</v>
      </c>
      <c r="N5833">
        <v>81077.409999999989</v>
      </c>
      <c r="O5833">
        <v>128.08000000000001</v>
      </c>
    </row>
    <row r="5834" spans="1:15" x14ac:dyDescent="0.35">
      <c r="A5834" t="s">
        <v>6411</v>
      </c>
      <c r="B5834" t="s">
        <v>6412</v>
      </c>
      <c r="C5834" t="s">
        <v>898</v>
      </c>
      <c r="D5834" t="s">
        <v>293</v>
      </c>
      <c r="E5834" t="s">
        <v>294</v>
      </c>
      <c r="F5834" t="s">
        <v>6413</v>
      </c>
      <c r="G5834">
        <v>76</v>
      </c>
      <c r="H5834">
        <v>8329.2099999999991</v>
      </c>
      <c r="I5834">
        <v>109.59</v>
      </c>
      <c r="J5834">
        <v>0</v>
      </c>
      <c r="K5834">
        <v>0</v>
      </c>
      <c r="L5834">
        <v>0</v>
      </c>
      <c r="M5834">
        <v>76</v>
      </c>
      <c r="N5834">
        <v>8329.2099999999991</v>
      </c>
      <c r="O5834">
        <v>109.59</v>
      </c>
    </row>
    <row r="5835" spans="1:15" x14ac:dyDescent="0.35">
      <c r="A5835" t="s">
        <v>6411</v>
      </c>
      <c r="B5835" t="s">
        <v>6412</v>
      </c>
      <c r="C5835" t="s">
        <v>898</v>
      </c>
      <c r="D5835" t="s">
        <v>293</v>
      </c>
      <c r="E5835" t="s">
        <v>296</v>
      </c>
      <c r="F5835" t="s">
        <v>6414</v>
      </c>
      <c r="G5835">
        <v>291</v>
      </c>
      <c r="H5835">
        <v>40025.839999999997</v>
      </c>
      <c r="I5835">
        <v>137.55000000000001</v>
      </c>
      <c r="J5835">
        <v>0</v>
      </c>
      <c r="K5835">
        <v>0</v>
      </c>
      <c r="L5835">
        <v>0</v>
      </c>
      <c r="M5835">
        <v>291</v>
      </c>
      <c r="N5835">
        <v>40025.839999999997</v>
      </c>
      <c r="O5835">
        <v>137.55000000000001</v>
      </c>
    </row>
    <row r="5836" spans="1:15" x14ac:dyDescent="0.35">
      <c r="A5836" t="s">
        <v>6411</v>
      </c>
      <c r="B5836" t="s">
        <v>6412</v>
      </c>
      <c r="C5836" t="s">
        <v>898</v>
      </c>
      <c r="D5836" t="s">
        <v>293</v>
      </c>
      <c r="E5836" t="s">
        <v>298</v>
      </c>
      <c r="F5836" t="s">
        <v>6415</v>
      </c>
      <c r="G5836">
        <v>209</v>
      </c>
      <c r="H5836">
        <v>33101.969999999994</v>
      </c>
      <c r="I5836">
        <v>158.38</v>
      </c>
      <c r="J5836">
        <v>0</v>
      </c>
      <c r="K5836">
        <v>0</v>
      </c>
      <c r="L5836">
        <v>0</v>
      </c>
      <c r="M5836">
        <v>209</v>
      </c>
      <c r="N5836">
        <v>33101.969999999994</v>
      </c>
      <c r="O5836">
        <v>158.38</v>
      </c>
    </row>
    <row r="5837" spans="1:15" x14ac:dyDescent="0.35">
      <c r="A5837" t="s">
        <v>6411</v>
      </c>
      <c r="B5837" t="s">
        <v>6412</v>
      </c>
      <c r="C5837" t="s">
        <v>898</v>
      </c>
      <c r="D5837" t="s">
        <v>293</v>
      </c>
      <c r="E5837" t="s">
        <v>300</v>
      </c>
      <c r="F5837" t="s">
        <v>6416</v>
      </c>
      <c r="G5837">
        <v>10</v>
      </c>
      <c r="H5837">
        <v>2010.96</v>
      </c>
      <c r="I5837">
        <v>201.1</v>
      </c>
      <c r="J5837">
        <v>0</v>
      </c>
      <c r="K5837">
        <v>0</v>
      </c>
      <c r="L5837">
        <v>0</v>
      </c>
      <c r="M5837">
        <v>10</v>
      </c>
      <c r="N5837">
        <v>2010.96</v>
      </c>
      <c r="O5837">
        <v>201.1</v>
      </c>
    </row>
    <row r="5838" spans="1:15" x14ac:dyDescent="0.35">
      <c r="A5838" t="s">
        <v>6411</v>
      </c>
      <c r="B5838" t="s">
        <v>6412</v>
      </c>
      <c r="C5838" t="s">
        <v>898</v>
      </c>
      <c r="D5838" t="s">
        <v>293</v>
      </c>
      <c r="E5838" t="s">
        <v>302</v>
      </c>
      <c r="F5838" t="s">
        <v>6417</v>
      </c>
      <c r="G5838">
        <v>0</v>
      </c>
      <c r="H5838">
        <v>0</v>
      </c>
      <c r="I5838">
        <v>0</v>
      </c>
      <c r="J5838">
        <v>0</v>
      </c>
      <c r="K5838">
        <v>0</v>
      </c>
      <c r="L5838">
        <v>0</v>
      </c>
      <c r="M5838">
        <v>0</v>
      </c>
      <c r="N5838">
        <v>0</v>
      </c>
      <c r="O5838">
        <v>0</v>
      </c>
    </row>
    <row r="5839" spans="1:15" x14ac:dyDescent="0.35">
      <c r="A5839" t="s">
        <v>6411</v>
      </c>
      <c r="B5839" t="s">
        <v>6412</v>
      </c>
      <c r="C5839" t="s">
        <v>898</v>
      </c>
      <c r="D5839" t="s">
        <v>293</v>
      </c>
      <c r="E5839" t="s">
        <v>304</v>
      </c>
      <c r="F5839" t="s">
        <v>6418</v>
      </c>
      <c r="G5839">
        <v>0</v>
      </c>
      <c r="H5839">
        <v>0</v>
      </c>
      <c r="I5839">
        <v>0</v>
      </c>
      <c r="J5839">
        <v>0</v>
      </c>
      <c r="K5839">
        <v>0</v>
      </c>
      <c r="L5839">
        <v>0</v>
      </c>
      <c r="M5839">
        <v>0</v>
      </c>
      <c r="N5839">
        <v>0</v>
      </c>
      <c r="O5839">
        <v>0</v>
      </c>
    </row>
    <row r="5840" spans="1:15" x14ac:dyDescent="0.35">
      <c r="A5840" t="s">
        <v>6411</v>
      </c>
      <c r="B5840" t="s">
        <v>6412</v>
      </c>
      <c r="C5840" t="s">
        <v>898</v>
      </c>
      <c r="D5840" t="s">
        <v>293</v>
      </c>
      <c r="E5840" t="s">
        <v>306</v>
      </c>
      <c r="F5840" t="s">
        <v>6419</v>
      </c>
      <c r="G5840">
        <v>2</v>
      </c>
      <c r="H5840">
        <v>242.12</v>
      </c>
      <c r="I5840">
        <v>121.06</v>
      </c>
      <c r="J5840">
        <v>0</v>
      </c>
      <c r="K5840">
        <v>0</v>
      </c>
      <c r="L5840">
        <v>0</v>
      </c>
      <c r="M5840">
        <v>2</v>
      </c>
      <c r="N5840">
        <v>242.12</v>
      </c>
      <c r="O5840">
        <v>121.06</v>
      </c>
    </row>
    <row r="5841" spans="1:15" x14ac:dyDescent="0.35">
      <c r="A5841" t="s">
        <v>6411</v>
      </c>
      <c r="B5841" t="s">
        <v>6412</v>
      </c>
      <c r="C5841" t="s">
        <v>898</v>
      </c>
      <c r="D5841" t="s">
        <v>293</v>
      </c>
      <c r="E5841" t="s">
        <v>308</v>
      </c>
      <c r="F5841" t="s">
        <v>6420</v>
      </c>
      <c r="G5841">
        <v>0</v>
      </c>
      <c r="H5841">
        <v>0</v>
      </c>
      <c r="I5841">
        <v>0</v>
      </c>
      <c r="J5841">
        <v>0</v>
      </c>
      <c r="K5841">
        <v>0</v>
      </c>
      <c r="L5841">
        <v>0</v>
      </c>
      <c r="M5841">
        <v>0</v>
      </c>
      <c r="N5841">
        <v>0</v>
      </c>
      <c r="O5841">
        <v>0</v>
      </c>
    </row>
    <row r="5842" spans="1:15" x14ac:dyDescent="0.35">
      <c r="A5842" t="s">
        <v>6411</v>
      </c>
      <c r="B5842" t="s">
        <v>6412</v>
      </c>
      <c r="C5842" t="s">
        <v>898</v>
      </c>
      <c r="D5842" t="s">
        <v>293</v>
      </c>
      <c r="E5842" t="s">
        <v>310</v>
      </c>
      <c r="F5842" t="s">
        <v>6421</v>
      </c>
      <c r="G5842">
        <v>588</v>
      </c>
      <c r="H5842">
        <v>83710.099999999991</v>
      </c>
      <c r="I5842">
        <v>142.36000000000001</v>
      </c>
      <c r="J5842">
        <v>0</v>
      </c>
      <c r="K5842">
        <v>0</v>
      </c>
      <c r="L5842">
        <v>0</v>
      </c>
      <c r="M5842">
        <v>588</v>
      </c>
      <c r="N5842">
        <v>83710.099999999991</v>
      </c>
      <c r="O5842">
        <v>142.36000000000001</v>
      </c>
    </row>
    <row r="5843" spans="1:15" x14ac:dyDescent="0.35">
      <c r="A5843" t="s">
        <v>6411</v>
      </c>
      <c r="B5843" t="s">
        <v>6412</v>
      </c>
      <c r="C5843" t="s">
        <v>898</v>
      </c>
      <c r="D5843" t="s">
        <v>293</v>
      </c>
      <c r="E5843" t="s">
        <v>312</v>
      </c>
      <c r="F5843" t="s">
        <v>6422</v>
      </c>
      <c r="G5843">
        <v>588</v>
      </c>
      <c r="H5843">
        <v>83710.099999999991</v>
      </c>
      <c r="I5843">
        <v>142.36000000000001</v>
      </c>
      <c r="J5843">
        <v>0</v>
      </c>
      <c r="K5843">
        <v>0</v>
      </c>
      <c r="L5843">
        <v>0</v>
      </c>
      <c r="M5843">
        <v>588</v>
      </c>
      <c r="N5843">
        <v>83710.099999999991</v>
      </c>
      <c r="O5843">
        <v>142.36000000000001</v>
      </c>
    </row>
    <row r="5844" spans="1:15" x14ac:dyDescent="0.35">
      <c r="A5844" t="s">
        <v>6411</v>
      </c>
      <c r="B5844" t="s">
        <v>6412</v>
      </c>
      <c r="C5844" t="s">
        <v>898</v>
      </c>
      <c r="D5844" t="s">
        <v>314</v>
      </c>
      <c r="E5844" t="s">
        <v>294</v>
      </c>
      <c r="F5844" t="s">
        <v>6423</v>
      </c>
      <c r="G5844">
        <v>69</v>
      </c>
      <c r="H5844">
        <v>19596.689999999999</v>
      </c>
      <c r="I5844">
        <v>284.01</v>
      </c>
      <c r="J5844">
        <v>0</v>
      </c>
      <c r="K5844">
        <v>0</v>
      </c>
      <c r="L5844">
        <v>0</v>
      </c>
      <c r="M5844">
        <v>69</v>
      </c>
      <c r="N5844">
        <v>19596.689999999999</v>
      </c>
      <c r="O5844">
        <v>284.01</v>
      </c>
    </row>
    <row r="5845" spans="1:15" x14ac:dyDescent="0.35">
      <c r="A5845" t="s">
        <v>6411</v>
      </c>
      <c r="B5845" t="s">
        <v>6412</v>
      </c>
      <c r="C5845" t="s">
        <v>898</v>
      </c>
      <c r="D5845" t="s">
        <v>314</v>
      </c>
      <c r="E5845" t="s">
        <v>296</v>
      </c>
      <c r="F5845" t="s">
        <v>6424</v>
      </c>
      <c r="G5845">
        <v>45</v>
      </c>
      <c r="H5845">
        <v>7577.32</v>
      </c>
      <c r="I5845">
        <v>168.38</v>
      </c>
      <c r="J5845">
        <v>0</v>
      </c>
      <c r="K5845">
        <v>0</v>
      </c>
      <c r="L5845">
        <v>0</v>
      </c>
      <c r="M5845">
        <v>45</v>
      </c>
      <c r="N5845">
        <v>7577.32</v>
      </c>
      <c r="O5845">
        <v>168.38</v>
      </c>
    </row>
    <row r="5846" spans="1:15" x14ac:dyDescent="0.35">
      <c r="A5846" t="s">
        <v>6411</v>
      </c>
      <c r="B5846" t="s">
        <v>6412</v>
      </c>
      <c r="C5846" t="s">
        <v>898</v>
      </c>
      <c r="D5846" t="s">
        <v>314</v>
      </c>
      <c r="E5846" t="s">
        <v>298</v>
      </c>
      <c r="F5846" t="s">
        <v>6425</v>
      </c>
      <c r="G5846">
        <v>1</v>
      </c>
      <c r="H5846">
        <v>138.46</v>
      </c>
      <c r="I5846">
        <v>138.46</v>
      </c>
      <c r="J5846">
        <v>0</v>
      </c>
      <c r="K5846">
        <v>0</v>
      </c>
      <c r="L5846">
        <v>0</v>
      </c>
      <c r="M5846">
        <v>1</v>
      </c>
      <c r="N5846">
        <v>138.46</v>
      </c>
      <c r="O5846">
        <v>138.46</v>
      </c>
    </row>
    <row r="5847" spans="1:15" x14ac:dyDescent="0.35">
      <c r="A5847" t="s">
        <v>6411</v>
      </c>
      <c r="B5847" t="s">
        <v>6412</v>
      </c>
      <c r="C5847" t="s">
        <v>898</v>
      </c>
      <c r="D5847" t="s">
        <v>314</v>
      </c>
      <c r="E5847" t="s">
        <v>300</v>
      </c>
      <c r="F5847" t="s">
        <v>6426</v>
      </c>
      <c r="G5847">
        <v>0</v>
      </c>
      <c r="H5847">
        <v>0</v>
      </c>
      <c r="I5847">
        <v>0</v>
      </c>
      <c r="J5847">
        <v>0</v>
      </c>
      <c r="K5847">
        <v>0</v>
      </c>
      <c r="L5847">
        <v>0</v>
      </c>
      <c r="M5847">
        <v>0</v>
      </c>
      <c r="N5847">
        <v>0</v>
      </c>
      <c r="O5847">
        <v>0</v>
      </c>
    </row>
    <row r="5848" spans="1:15" x14ac:dyDescent="0.35">
      <c r="A5848" t="s">
        <v>6411</v>
      </c>
      <c r="B5848" t="s">
        <v>6412</v>
      </c>
      <c r="C5848" t="s">
        <v>898</v>
      </c>
      <c r="D5848" t="s">
        <v>314</v>
      </c>
      <c r="E5848" t="s">
        <v>306</v>
      </c>
      <c r="F5848" t="s">
        <v>6427</v>
      </c>
      <c r="G5848">
        <v>0</v>
      </c>
      <c r="H5848">
        <v>0</v>
      </c>
      <c r="I5848">
        <v>0</v>
      </c>
      <c r="J5848">
        <v>0</v>
      </c>
      <c r="K5848">
        <v>0</v>
      </c>
      <c r="L5848">
        <v>0</v>
      </c>
      <c r="M5848">
        <v>0</v>
      </c>
      <c r="N5848">
        <v>0</v>
      </c>
      <c r="O5848">
        <v>0</v>
      </c>
    </row>
    <row r="5849" spans="1:15" x14ac:dyDescent="0.35">
      <c r="A5849" t="s">
        <v>6411</v>
      </c>
      <c r="B5849" t="s">
        <v>6412</v>
      </c>
      <c r="C5849" t="s">
        <v>898</v>
      </c>
      <c r="D5849" t="s">
        <v>314</v>
      </c>
      <c r="E5849" t="s">
        <v>308</v>
      </c>
      <c r="F5849" t="s">
        <v>6428</v>
      </c>
      <c r="G5849">
        <v>0</v>
      </c>
      <c r="H5849">
        <v>0</v>
      </c>
      <c r="I5849">
        <v>0</v>
      </c>
      <c r="J5849">
        <v>0</v>
      </c>
      <c r="K5849">
        <v>0</v>
      </c>
      <c r="L5849">
        <v>0</v>
      </c>
      <c r="M5849">
        <v>0</v>
      </c>
      <c r="N5849">
        <v>0</v>
      </c>
      <c r="O5849">
        <v>0</v>
      </c>
    </row>
    <row r="5850" spans="1:15" x14ac:dyDescent="0.35">
      <c r="A5850" t="s">
        <v>6411</v>
      </c>
      <c r="B5850" t="s">
        <v>6412</v>
      </c>
      <c r="C5850" t="s">
        <v>898</v>
      </c>
      <c r="D5850" t="s">
        <v>314</v>
      </c>
      <c r="E5850" t="s">
        <v>312</v>
      </c>
      <c r="F5850" t="s">
        <v>6429</v>
      </c>
      <c r="G5850">
        <v>115</v>
      </c>
      <c r="H5850">
        <v>27312.469999999998</v>
      </c>
      <c r="I5850">
        <v>237.5</v>
      </c>
      <c r="J5850">
        <v>0</v>
      </c>
      <c r="K5850">
        <v>0</v>
      </c>
      <c r="L5850">
        <v>0</v>
      </c>
      <c r="M5850">
        <v>115</v>
      </c>
      <c r="N5850">
        <v>27312.469999999998</v>
      </c>
      <c r="O5850">
        <v>237.5</v>
      </c>
    </row>
    <row r="5851" spans="1:15" x14ac:dyDescent="0.35">
      <c r="A5851" t="s">
        <v>6411</v>
      </c>
      <c r="B5851" t="s">
        <v>6412</v>
      </c>
      <c r="C5851" t="s">
        <v>898</v>
      </c>
      <c r="D5851" t="s">
        <v>314</v>
      </c>
      <c r="E5851" t="s">
        <v>310</v>
      </c>
      <c r="F5851" t="s">
        <v>6430</v>
      </c>
      <c r="G5851">
        <v>115</v>
      </c>
      <c r="H5851">
        <v>27312.469999999998</v>
      </c>
      <c r="I5851">
        <v>237.5</v>
      </c>
      <c r="J5851">
        <v>0</v>
      </c>
      <c r="K5851">
        <v>0</v>
      </c>
      <c r="L5851">
        <v>0</v>
      </c>
      <c r="M5851">
        <v>115</v>
      </c>
      <c r="N5851">
        <v>27312.469999999998</v>
      </c>
      <c r="O5851">
        <v>237.5</v>
      </c>
    </row>
    <row r="5852" spans="1:15" x14ac:dyDescent="0.35">
      <c r="A5852" t="s">
        <v>6411</v>
      </c>
      <c r="B5852" t="s">
        <v>6412</v>
      </c>
      <c r="C5852" t="s">
        <v>898</v>
      </c>
      <c r="D5852" t="s">
        <v>323</v>
      </c>
      <c r="E5852" t="s">
        <v>294</v>
      </c>
      <c r="F5852" t="s">
        <v>6431</v>
      </c>
      <c r="G5852">
        <v>348</v>
      </c>
      <c r="H5852">
        <v>31740.059999999998</v>
      </c>
      <c r="I5852">
        <v>91.21</v>
      </c>
      <c r="J5852">
        <v>3</v>
      </c>
      <c r="K5852">
        <v>372.81</v>
      </c>
      <c r="L5852">
        <v>124.27</v>
      </c>
      <c r="M5852">
        <v>351</v>
      </c>
      <c r="N5852">
        <v>32112.87</v>
      </c>
      <c r="O5852">
        <v>91.49</v>
      </c>
    </row>
    <row r="5853" spans="1:15" x14ac:dyDescent="0.35">
      <c r="A5853" t="s">
        <v>6411</v>
      </c>
      <c r="B5853" t="s">
        <v>6412</v>
      </c>
      <c r="C5853" t="s">
        <v>898</v>
      </c>
      <c r="D5853" t="s">
        <v>323</v>
      </c>
      <c r="E5853" t="s">
        <v>296</v>
      </c>
      <c r="F5853" t="s">
        <v>6432</v>
      </c>
      <c r="G5853">
        <v>692</v>
      </c>
      <c r="H5853">
        <v>76729.56</v>
      </c>
      <c r="I5853">
        <v>110.88</v>
      </c>
      <c r="J5853">
        <v>12</v>
      </c>
      <c r="K5853">
        <v>1795.08</v>
      </c>
      <c r="L5853">
        <v>149.59</v>
      </c>
      <c r="M5853">
        <v>704</v>
      </c>
      <c r="N5853">
        <v>78524.639999999999</v>
      </c>
      <c r="O5853">
        <v>111.54</v>
      </c>
    </row>
    <row r="5854" spans="1:15" x14ac:dyDescent="0.35">
      <c r="A5854" t="s">
        <v>6411</v>
      </c>
      <c r="B5854" t="s">
        <v>6412</v>
      </c>
      <c r="C5854" t="s">
        <v>898</v>
      </c>
      <c r="D5854" t="s">
        <v>323</v>
      </c>
      <c r="E5854" t="s">
        <v>298</v>
      </c>
      <c r="F5854" t="s">
        <v>6433</v>
      </c>
      <c r="G5854">
        <v>660</v>
      </c>
      <c r="H5854">
        <v>78930.179999999993</v>
      </c>
      <c r="I5854">
        <v>119.59</v>
      </c>
      <c r="J5854">
        <v>0</v>
      </c>
      <c r="K5854">
        <v>0</v>
      </c>
      <c r="L5854">
        <v>0</v>
      </c>
      <c r="M5854">
        <v>660</v>
      </c>
      <c r="N5854">
        <v>78930.179999999993</v>
      </c>
      <c r="O5854">
        <v>119.59</v>
      </c>
    </row>
    <row r="5855" spans="1:15" x14ac:dyDescent="0.35">
      <c r="A5855" t="s">
        <v>6411</v>
      </c>
      <c r="B5855" t="s">
        <v>6412</v>
      </c>
      <c r="C5855" t="s">
        <v>898</v>
      </c>
      <c r="D5855" t="s">
        <v>323</v>
      </c>
      <c r="E5855" t="s">
        <v>300</v>
      </c>
      <c r="F5855" t="s">
        <v>6434</v>
      </c>
      <c r="G5855">
        <v>30</v>
      </c>
      <c r="H5855">
        <v>4302.4799999999996</v>
      </c>
      <c r="I5855">
        <v>143.41999999999999</v>
      </c>
      <c r="J5855">
        <v>0</v>
      </c>
      <c r="K5855">
        <v>0</v>
      </c>
      <c r="L5855">
        <v>0</v>
      </c>
      <c r="M5855">
        <v>30</v>
      </c>
      <c r="N5855">
        <v>4302.4799999999996</v>
      </c>
      <c r="O5855">
        <v>143.41999999999999</v>
      </c>
    </row>
    <row r="5856" spans="1:15" x14ac:dyDescent="0.35">
      <c r="A5856" t="s">
        <v>6411</v>
      </c>
      <c r="B5856" t="s">
        <v>6412</v>
      </c>
      <c r="C5856" t="s">
        <v>898</v>
      </c>
      <c r="D5856" t="s">
        <v>323</v>
      </c>
      <c r="E5856" t="s">
        <v>302</v>
      </c>
      <c r="F5856" t="s">
        <v>6435</v>
      </c>
      <c r="G5856">
        <v>0</v>
      </c>
      <c r="H5856">
        <v>0</v>
      </c>
      <c r="I5856">
        <v>0</v>
      </c>
      <c r="J5856">
        <v>0</v>
      </c>
      <c r="K5856">
        <v>0</v>
      </c>
      <c r="L5856">
        <v>0</v>
      </c>
      <c r="M5856">
        <v>0</v>
      </c>
      <c r="N5856">
        <v>0</v>
      </c>
      <c r="O5856">
        <v>0</v>
      </c>
    </row>
    <row r="5857" spans="1:15" x14ac:dyDescent="0.35">
      <c r="A5857" t="s">
        <v>6411</v>
      </c>
      <c r="B5857" t="s">
        <v>6412</v>
      </c>
      <c r="C5857" t="s">
        <v>898</v>
      </c>
      <c r="D5857" t="s">
        <v>323</v>
      </c>
      <c r="E5857" t="s">
        <v>304</v>
      </c>
      <c r="F5857" t="s">
        <v>6436</v>
      </c>
      <c r="G5857">
        <v>0</v>
      </c>
      <c r="H5857">
        <v>0</v>
      </c>
      <c r="I5857">
        <v>0</v>
      </c>
      <c r="J5857">
        <v>0</v>
      </c>
      <c r="K5857">
        <v>0</v>
      </c>
      <c r="L5857">
        <v>0</v>
      </c>
      <c r="M5857">
        <v>0</v>
      </c>
      <c r="N5857">
        <v>0</v>
      </c>
      <c r="O5857">
        <v>0</v>
      </c>
    </row>
    <row r="5858" spans="1:15" x14ac:dyDescent="0.35">
      <c r="A5858" t="s">
        <v>6411</v>
      </c>
      <c r="B5858" t="s">
        <v>6412</v>
      </c>
      <c r="C5858" t="s">
        <v>898</v>
      </c>
      <c r="D5858" t="s">
        <v>323</v>
      </c>
      <c r="E5858" t="s">
        <v>306</v>
      </c>
      <c r="F5858" t="s">
        <v>6437</v>
      </c>
      <c r="G5858">
        <v>15</v>
      </c>
      <c r="H5858">
        <v>1148.01</v>
      </c>
      <c r="I5858">
        <v>76.53</v>
      </c>
      <c r="J5858">
        <v>0</v>
      </c>
      <c r="K5858">
        <v>0</v>
      </c>
      <c r="L5858">
        <v>0</v>
      </c>
      <c r="M5858">
        <v>15</v>
      </c>
      <c r="N5858">
        <v>1148.01</v>
      </c>
      <c r="O5858">
        <v>76.53</v>
      </c>
    </row>
    <row r="5859" spans="1:15" x14ac:dyDescent="0.35">
      <c r="A5859" t="s">
        <v>6411</v>
      </c>
      <c r="B5859" t="s">
        <v>6412</v>
      </c>
      <c r="C5859" t="s">
        <v>898</v>
      </c>
      <c r="D5859" t="s">
        <v>323</v>
      </c>
      <c r="E5859" t="s">
        <v>308</v>
      </c>
      <c r="F5859" t="s">
        <v>6438</v>
      </c>
      <c r="G5859">
        <v>0</v>
      </c>
      <c r="H5859">
        <v>0</v>
      </c>
      <c r="I5859">
        <v>0</v>
      </c>
      <c r="J5859">
        <v>0</v>
      </c>
      <c r="K5859">
        <v>0</v>
      </c>
      <c r="L5859">
        <v>0</v>
      </c>
      <c r="M5859">
        <v>0</v>
      </c>
      <c r="N5859">
        <v>0</v>
      </c>
      <c r="O5859">
        <v>0</v>
      </c>
    </row>
    <row r="5860" spans="1:15" x14ac:dyDescent="0.35">
      <c r="A5860" t="s">
        <v>6411</v>
      </c>
      <c r="B5860" t="s">
        <v>6412</v>
      </c>
      <c r="C5860" t="s">
        <v>898</v>
      </c>
      <c r="D5860" t="s">
        <v>323</v>
      </c>
      <c r="E5860" t="s">
        <v>310</v>
      </c>
      <c r="F5860" t="s">
        <v>6439</v>
      </c>
      <c r="G5860">
        <v>1745</v>
      </c>
      <c r="H5860">
        <v>192850.29</v>
      </c>
      <c r="I5860">
        <v>110.52</v>
      </c>
      <c r="J5860">
        <v>15</v>
      </c>
      <c r="K5860">
        <v>2167.89</v>
      </c>
      <c r="L5860">
        <v>144.53</v>
      </c>
      <c r="M5860">
        <v>1760</v>
      </c>
      <c r="N5860">
        <v>195018.18000000002</v>
      </c>
      <c r="O5860">
        <v>110.81</v>
      </c>
    </row>
    <row r="5861" spans="1:15" x14ac:dyDescent="0.35">
      <c r="A5861" t="s">
        <v>6411</v>
      </c>
      <c r="B5861" t="s">
        <v>6412</v>
      </c>
      <c r="C5861" t="s">
        <v>898</v>
      </c>
      <c r="D5861" t="s">
        <v>323</v>
      </c>
      <c r="E5861" t="s">
        <v>312</v>
      </c>
      <c r="F5861" t="s">
        <v>6440</v>
      </c>
      <c r="G5861">
        <v>1745</v>
      </c>
      <c r="H5861">
        <v>192850.29</v>
      </c>
      <c r="I5861">
        <v>110.52</v>
      </c>
      <c r="J5861">
        <v>15</v>
      </c>
      <c r="K5861">
        <v>2167.89</v>
      </c>
      <c r="L5861">
        <v>144.53</v>
      </c>
      <c r="M5861">
        <v>1760</v>
      </c>
      <c r="N5861">
        <v>195018.18000000002</v>
      </c>
      <c r="O5861">
        <v>110.81</v>
      </c>
    </row>
    <row r="5862" spans="1:15" x14ac:dyDescent="0.35">
      <c r="A5862" t="s">
        <v>6411</v>
      </c>
      <c r="B5862" t="s">
        <v>6412</v>
      </c>
      <c r="C5862" t="s">
        <v>898</v>
      </c>
      <c r="D5862" t="s">
        <v>334</v>
      </c>
      <c r="E5862" t="s">
        <v>312</v>
      </c>
      <c r="F5862" t="s">
        <v>6441</v>
      </c>
      <c r="G5862">
        <v>2424</v>
      </c>
      <c r="H5862">
        <v>276560.38999999996</v>
      </c>
      <c r="I5862">
        <v>118.54</v>
      </c>
      <c r="J5862">
        <v>15</v>
      </c>
      <c r="K5862">
        <v>2167.89</v>
      </c>
      <c r="L5862">
        <v>144.53</v>
      </c>
      <c r="M5862">
        <v>2439</v>
      </c>
      <c r="N5862">
        <v>278728.27999999997</v>
      </c>
      <c r="O5862">
        <v>118.71</v>
      </c>
    </row>
    <row r="5863" spans="1:15" x14ac:dyDescent="0.35">
      <c r="A5863" t="s">
        <v>6411</v>
      </c>
      <c r="B5863" t="s">
        <v>6412</v>
      </c>
      <c r="C5863" t="s">
        <v>898</v>
      </c>
      <c r="D5863" t="s">
        <v>334</v>
      </c>
      <c r="E5863" t="s">
        <v>308</v>
      </c>
      <c r="F5863" t="s">
        <v>6442</v>
      </c>
      <c r="G5863">
        <v>0</v>
      </c>
      <c r="H5863">
        <v>0</v>
      </c>
      <c r="I5863">
        <v>0</v>
      </c>
      <c r="J5863">
        <v>0</v>
      </c>
      <c r="K5863">
        <v>0</v>
      </c>
      <c r="L5863">
        <v>0</v>
      </c>
      <c r="M5863">
        <v>0</v>
      </c>
      <c r="N5863">
        <v>0</v>
      </c>
      <c r="O5863">
        <v>0</v>
      </c>
    </row>
    <row r="5864" spans="1:15" x14ac:dyDescent="0.35">
      <c r="A5864" t="s">
        <v>6411</v>
      </c>
      <c r="B5864" t="s">
        <v>6412</v>
      </c>
      <c r="C5864" t="s">
        <v>898</v>
      </c>
      <c r="D5864" t="s">
        <v>337</v>
      </c>
      <c r="E5864" t="s">
        <v>337</v>
      </c>
      <c r="F5864" t="s">
        <v>6443</v>
      </c>
      <c r="G5864">
        <v>477</v>
      </c>
      <c r="J5864">
        <v>0</v>
      </c>
      <c r="M5864">
        <v>477</v>
      </c>
    </row>
    <row r="5865" spans="1:15" x14ac:dyDescent="0.35">
      <c r="A5865" t="s">
        <v>6411</v>
      </c>
      <c r="B5865" t="s">
        <v>6412</v>
      </c>
      <c r="C5865" t="s">
        <v>898</v>
      </c>
      <c r="D5865" t="s">
        <v>339</v>
      </c>
      <c r="E5865" t="s">
        <v>294</v>
      </c>
      <c r="F5865" t="s">
        <v>6444</v>
      </c>
      <c r="G5865">
        <v>765</v>
      </c>
      <c r="H5865">
        <v>70497.289999999994</v>
      </c>
      <c r="I5865">
        <v>92.15</v>
      </c>
      <c r="J5865">
        <v>0</v>
      </c>
      <c r="K5865">
        <v>0</v>
      </c>
      <c r="L5865">
        <v>0</v>
      </c>
      <c r="M5865">
        <v>765</v>
      </c>
      <c r="N5865">
        <v>70497.289999999994</v>
      </c>
      <c r="O5865">
        <v>92.15</v>
      </c>
    </row>
    <row r="5866" spans="1:15" x14ac:dyDescent="0.35">
      <c r="A5866" t="s">
        <v>6411</v>
      </c>
      <c r="B5866" t="s">
        <v>6412</v>
      </c>
      <c r="C5866" t="s">
        <v>898</v>
      </c>
      <c r="D5866" t="s">
        <v>339</v>
      </c>
      <c r="E5866" t="s">
        <v>296</v>
      </c>
      <c r="F5866" t="s">
        <v>6445</v>
      </c>
      <c r="G5866">
        <v>551</v>
      </c>
      <c r="H5866">
        <v>56431.21</v>
      </c>
      <c r="I5866">
        <v>102.42</v>
      </c>
      <c r="J5866">
        <v>0</v>
      </c>
      <c r="K5866">
        <v>0</v>
      </c>
      <c r="L5866">
        <v>0</v>
      </c>
      <c r="M5866">
        <v>551</v>
      </c>
      <c r="N5866">
        <v>56431.21</v>
      </c>
      <c r="O5866">
        <v>102.42</v>
      </c>
    </row>
    <row r="5867" spans="1:15" x14ac:dyDescent="0.35">
      <c r="A5867" t="s">
        <v>6411</v>
      </c>
      <c r="B5867" t="s">
        <v>6412</v>
      </c>
      <c r="C5867" t="s">
        <v>898</v>
      </c>
      <c r="D5867" t="s">
        <v>339</v>
      </c>
      <c r="E5867" t="s">
        <v>298</v>
      </c>
      <c r="F5867" t="s">
        <v>6446</v>
      </c>
      <c r="G5867">
        <v>9</v>
      </c>
      <c r="H5867">
        <v>1085.04</v>
      </c>
      <c r="I5867">
        <v>120.56</v>
      </c>
      <c r="J5867">
        <v>0</v>
      </c>
      <c r="K5867">
        <v>0</v>
      </c>
      <c r="L5867">
        <v>0</v>
      </c>
      <c r="M5867">
        <v>9</v>
      </c>
      <c r="N5867">
        <v>1085.04</v>
      </c>
      <c r="O5867">
        <v>120.56</v>
      </c>
    </row>
    <row r="5868" spans="1:15" x14ac:dyDescent="0.35">
      <c r="A5868" t="s">
        <v>6411</v>
      </c>
      <c r="B5868" t="s">
        <v>6412</v>
      </c>
      <c r="C5868" t="s">
        <v>898</v>
      </c>
      <c r="D5868" t="s">
        <v>339</v>
      </c>
      <c r="E5868" t="s">
        <v>300</v>
      </c>
      <c r="F5868" t="s">
        <v>6447</v>
      </c>
      <c r="G5868">
        <v>0</v>
      </c>
      <c r="H5868">
        <v>0</v>
      </c>
      <c r="I5868">
        <v>0</v>
      </c>
      <c r="J5868">
        <v>0</v>
      </c>
      <c r="K5868">
        <v>0</v>
      </c>
      <c r="L5868">
        <v>0</v>
      </c>
      <c r="M5868">
        <v>0</v>
      </c>
      <c r="N5868">
        <v>0</v>
      </c>
      <c r="O5868">
        <v>0</v>
      </c>
    </row>
    <row r="5869" spans="1:15" x14ac:dyDescent="0.35">
      <c r="A5869" t="s">
        <v>6411</v>
      </c>
      <c r="B5869" t="s">
        <v>6412</v>
      </c>
      <c r="C5869" t="s">
        <v>898</v>
      </c>
      <c r="D5869" t="s">
        <v>339</v>
      </c>
      <c r="E5869" t="s">
        <v>306</v>
      </c>
      <c r="F5869" t="s">
        <v>6448</v>
      </c>
      <c r="G5869">
        <v>34</v>
      </c>
      <c r="H5869">
        <v>2749.92</v>
      </c>
      <c r="I5869">
        <v>80.88</v>
      </c>
      <c r="J5869">
        <v>0</v>
      </c>
      <c r="K5869">
        <v>0</v>
      </c>
      <c r="L5869">
        <v>0</v>
      </c>
      <c r="M5869">
        <v>34</v>
      </c>
      <c r="N5869">
        <v>2749.92</v>
      </c>
      <c r="O5869">
        <v>80.88</v>
      </c>
    </row>
    <row r="5870" spans="1:15" x14ac:dyDescent="0.35">
      <c r="A5870" t="s">
        <v>6411</v>
      </c>
      <c r="B5870" t="s">
        <v>6412</v>
      </c>
      <c r="C5870" t="s">
        <v>898</v>
      </c>
      <c r="D5870" t="s">
        <v>339</v>
      </c>
      <c r="E5870" t="s">
        <v>308</v>
      </c>
      <c r="F5870" t="s">
        <v>6449</v>
      </c>
      <c r="G5870">
        <v>16</v>
      </c>
      <c r="H5870">
        <v>2406.2200000000003</v>
      </c>
      <c r="I5870">
        <v>150.38999999999999</v>
      </c>
      <c r="J5870">
        <v>0</v>
      </c>
      <c r="K5870">
        <v>0</v>
      </c>
      <c r="L5870">
        <v>0</v>
      </c>
      <c r="M5870">
        <v>16</v>
      </c>
      <c r="N5870">
        <v>2406.2200000000003</v>
      </c>
      <c r="O5870">
        <v>150.38999999999999</v>
      </c>
    </row>
    <row r="5871" spans="1:15" x14ac:dyDescent="0.35">
      <c r="A5871" t="s">
        <v>6411</v>
      </c>
      <c r="B5871" t="s">
        <v>6412</v>
      </c>
      <c r="C5871" t="s">
        <v>898</v>
      </c>
      <c r="D5871" t="s">
        <v>339</v>
      </c>
      <c r="E5871" t="s">
        <v>310</v>
      </c>
      <c r="F5871" t="s">
        <v>6450</v>
      </c>
      <c r="G5871">
        <v>1375</v>
      </c>
      <c r="H5871">
        <v>133169.68</v>
      </c>
      <c r="I5871">
        <v>96.85</v>
      </c>
      <c r="J5871">
        <v>0</v>
      </c>
      <c r="K5871">
        <v>0</v>
      </c>
      <c r="L5871">
        <v>0</v>
      </c>
      <c r="M5871">
        <v>1375</v>
      </c>
      <c r="N5871">
        <v>133169.68</v>
      </c>
      <c r="O5871">
        <v>96.85</v>
      </c>
    </row>
    <row r="5872" spans="1:15" x14ac:dyDescent="0.35">
      <c r="A5872" t="s">
        <v>6411</v>
      </c>
      <c r="B5872" t="s">
        <v>6412</v>
      </c>
      <c r="C5872" t="s">
        <v>898</v>
      </c>
      <c r="D5872" t="s">
        <v>339</v>
      </c>
      <c r="E5872" t="s">
        <v>312</v>
      </c>
      <c r="F5872" t="s">
        <v>6451</v>
      </c>
      <c r="G5872">
        <v>1359</v>
      </c>
      <c r="H5872">
        <v>130763.45999999999</v>
      </c>
      <c r="I5872">
        <v>96.22</v>
      </c>
      <c r="J5872">
        <v>0</v>
      </c>
      <c r="K5872">
        <v>0</v>
      </c>
      <c r="L5872">
        <v>0</v>
      </c>
      <c r="M5872">
        <v>1359</v>
      </c>
      <c r="N5872">
        <v>130763.45999999999</v>
      </c>
      <c r="O5872">
        <v>96.22</v>
      </c>
    </row>
    <row r="5873" spans="1:15" x14ac:dyDescent="0.35">
      <c r="A5873" t="s">
        <v>6411</v>
      </c>
      <c r="B5873" t="s">
        <v>6412</v>
      </c>
      <c r="C5873" t="s">
        <v>898</v>
      </c>
      <c r="D5873" t="s">
        <v>348</v>
      </c>
      <c r="E5873" t="s">
        <v>349</v>
      </c>
      <c r="F5873" t="s">
        <v>6452</v>
      </c>
      <c r="G5873">
        <v>1514</v>
      </c>
      <c r="H5873">
        <v>160482.15000000002</v>
      </c>
      <c r="I5873">
        <v>107.71</v>
      </c>
      <c r="J5873">
        <v>0</v>
      </c>
      <c r="K5873">
        <v>0</v>
      </c>
      <c r="L5873">
        <v>0</v>
      </c>
      <c r="M5873">
        <v>1514</v>
      </c>
      <c r="N5873">
        <v>160482.15000000002</v>
      </c>
      <c r="O5873">
        <v>107.71</v>
      </c>
    </row>
    <row r="5874" spans="1:15" x14ac:dyDescent="0.35">
      <c r="A5874" t="s">
        <v>6453</v>
      </c>
      <c r="B5874" t="s">
        <v>6454</v>
      </c>
      <c r="C5874" t="s">
        <v>898</v>
      </c>
      <c r="D5874" t="s">
        <v>293</v>
      </c>
      <c r="E5874" t="s">
        <v>294</v>
      </c>
      <c r="F5874" t="s">
        <v>6455</v>
      </c>
      <c r="G5874">
        <v>199</v>
      </c>
      <c r="H5874">
        <v>23099.920000000002</v>
      </c>
      <c r="I5874">
        <v>116.08</v>
      </c>
      <c r="J5874">
        <v>0</v>
      </c>
      <c r="K5874">
        <v>0</v>
      </c>
      <c r="L5874">
        <v>0</v>
      </c>
      <c r="M5874">
        <v>199</v>
      </c>
      <c r="N5874">
        <v>23099.920000000002</v>
      </c>
      <c r="O5874">
        <v>116.08</v>
      </c>
    </row>
    <row r="5875" spans="1:15" x14ac:dyDescent="0.35">
      <c r="A5875" t="s">
        <v>6453</v>
      </c>
      <c r="B5875" t="s">
        <v>6454</v>
      </c>
      <c r="C5875" t="s">
        <v>898</v>
      </c>
      <c r="D5875" t="s">
        <v>293</v>
      </c>
      <c r="E5875" t="s">
        <v>296</v>
      </c>
      <c r="F5875" t="s">
        <v>6456</v>
      </c>
      <c r="G5875">
        <v>728</v>
      </c>
      <c r="H5875">
        <v>103515.42</v>
      </c>
      <c r="I5875">
        <v>142.19</v>
      </c>
      <c r="J5875">
        <v>0</v>
      </c>
      <c r="K5875">
        <v>0</v>
      </c>
      <c r="L5875">
        <v>0</v>
      </c>
      <c r="M5875">
        <v>728</v>
      </c>
      <c r="N5875">
        <v>103515.42</v>
      </c>
      <c r="O5875">
        <v>142.19</v>
      </c>
    </row>
    <row r="5876" spans="1:15" x14ac:dyDescent="0.35">
      <c r="A5876" t="s">
        <v>6453</v>
      </c>
      <c r="B5876" t="s">
        <v>6454</v>
      </c>
      <c r="C5876" t="s">
        <v>898</v>
      </c>
      <c r="D5876" t="s">
        <v>293</v>
      </c>
      <c r="E5876" t="s">
        <v>298</v>
      </c>
      <c r="F5876" t="s">
        <v>6457</v>
      </c>
      <c r="G5876">
        <v>318</v>
      </c>
      <c r="H5876">
        <v>50910.2</v>
      </c>
      <c r="I5876">
        <v>160.09</v>
      </c>
      <c r="J5876">
        <v>0</v>
      </c>
      <c r="K5876">
        <v>0</v>
      </c>
      <c r="L5876">
        <v>0</v>
      </c>
      <c r="M5876">
        <v>318</v>
      </c>
      <c r="N5876">
        <v>50910.2</v>
      </c>
      <c r="O5876">
        <v>160.09</v>
      </c>
    </row>
    <row r="5877" spans="1:15" x14ac:dyDescent="0.35">
      <c r="A5877" t="s">
        <v>6453</v>
      </c>
      <c r="B5877" t="s">
        <v>6454</v>
      </c>
      <c r="C5877" t="s">
        <v>898</v>
      </c>
      <c r="D5877" t="s">
        <v>293</v>
      </c>
      <c r="E5877" t="s">
        <v>300</v>
      </c>
      <c r="F5877" t="s">
        <v>6458</v>
      </c>
      <c r="G5877">
        <v>36</v>
      </c>
      <c r="H5877">
        <v>6693.57</v>
      </c>
      <c r="I5877">
        <v>185.93</v>
      </c>
      <c r="J5877">
        <v>0</v>
      </c>
      <c r="K5877">
        <v>0</v>
      </c>
      <c r="L5877">
        <v>0</v>
      </c>
      <c r="M5877">
        <v>36</v>
      </c>
      <c r="N5877">
        <v>6693.57</v>
      </c>
      <c r="O5877">
        <v>185.93</v>
      </c>
    </row>
    <row r="5878" spans="1:15" x14ac:dyDescent="0.35">
      <c r="A5878" t="s">
        <v>6453</v>
      </c>
      <c r="B5878" t="s">
        <v>6454</v>
      </c>
      <c r="C5878" t="s">
        <v>898</v>
      </c>
      <c r="D5878" t="s">
        <v>293</v>
      </c>
      <c r="E5878" t="s">
        <v>302</v>
      </c>
      <c r="F5878" t="s">
        <v>6459</v>
      </c>
      <c r="G5878">
        <v>0</v>
      </c>
      <c r="H5878">
        <v>0</v>
      </c>
      <c r="I5878">
        <v>0</v>
      </c>
      <c r="J5878">
        <v>0</v>
      </c>
      <c r="K5878">
        <v>0</v>
      </c>
      <c r="L5878">
        <v>0</v>
      </c>
      <c r="M5878">
        <v>0</v>
      </c>
      <c r="N5878">
        <v>0</v>
      </c>
      <c r="O5878">
        <v>0</v>
      </c>
    </row>
    <row r="5879" spans="1:15" x14ac:dyDescent="0.35">
      <c r="A5879" t="s">
        <v>6453</v>
      </c>
      <c r="B5879" t="s">
        <v>6454</v>
      </c>
      <c r="C5879" t="s">
        <v>898</v>
      </c>
      <c r="D5879" t="s">
        <v>293</v>
      </c>
      <c r="E5879" t="s">
        <v>304</v>
      </c>
      <c r="F5879" t="s">
        <v>6460</v>
      </c>
      <c r="G5879">
        <v>0</v>
      </c>
      <c r="H5879">
        <v>0</v>
      </c>
      <c r="I5879">
        <v>0</v>
      </c>
      <c r="J5879">
        <v>0</v>
      </c>
      <c r="K5879">
        <v>0</v>
      </c>
      <c r="L5879">
        <v>0</v>
      </c>
      <c r="M5879">
        <v>0</v>
      </c>
      <c r="N5879">
        <v>0</v>
      </c>
      <c r="O5879">
        <v>0</v>
      </c>
    </row>
    <row r="5880" spans="1:15" x14ac:dyDescent="0.35">
      <c r="A5880" t="s">
        <v>6453</v>
      </c>
      <c r="B5880" t="s">
        <v>6454</v>
      </c>
      <c r="C5880" t="s">
        <v>898</v>
      </c>
      <c r="D5880" t="s">
        <v>293</v>
      </c>
      <c r="E5880" t="s">
        <v>306</v>
      </c>
      <c r="F5880" t="s">
        <v>6461</v>
      </c>
      <c r="G5880">
        <v>1</v>
      </c>
      <c r="H5880">
        <v>122.28</v>
      </c>
      <c r="I5880">
        <v>122.28</v>
      </c>
      <c r="J5880">
        <v>0</v>
      </c>
      <c r="K5880">
        <v>0</v>
      </c>
      <c r="L5880">
        <v>0</v>
      </c>
      <c r="M5880">
        <v>1</v>
      </c>
      <c r="N5880">
        <v>122.28</v>
      </c>
      <c r="O5880">
        <v>122.28</v>
      </c>
    </row>
    <row r="5881" spans="1:15" x14ac:dyDescent="0.35">
      <c r="A5881" t="s">
        <v>6453</v>
      </c>
      <c r="B5881" t="s">
        <v>6454</v>
      </c>
      <c r="C5881" t="s">
        <v>898</v>
      </c>
      <c r="D5881" t="s">
        <v>293</v>
      </c>
      <c r="E5881" t="s">
        <v>308</v>
      </c>
      <c r="F5881" t="s">
        <v>6462</v>
      </c>
      <c r="G5881">
        <v>0</v>
      </c>
      <c r="H5881">
        <v>0</v>
      </c>
      <c r="I5881">
        <v>0</v>
      </c>
      <c r="J5881">
        <v>0</v>
      </c>
      <c r="K5881">
        <v>0</v>
      </c>
      <c r="L5881">
        <v>0</v>
      </c>
      <c r="M5881">
        <v>0</v>
      </c>
      <c r="N5881">
        <v>0</v>
      </c>
      <c r="O5881">
        <v>0</v>
      </c>
    </row>
    <row r="5882" spans="1:15" x14ac:dyDescent="0.35">
      <c r="A5882" t="s">
        <v>6453</v>
      </c>
      <c r="B5882" t="s">
        <v>6454</v>
      </c>
      <c r="C5882" t="s">
        <v>898</v>
      </c>
      <c r="D5882" t="s">
        <v>293</v>
      </c>
      <c r="E5882" t="s">
        <v>310</v>
      </c>
      <c r="F5882" t="s">
        <v>6463</v>
      </c>
      <c r="G5882">
        <v>1282</v>
      </c>
      <c r="H5882">
        <v>184341.38999999998</v>
      </c>
      <c r="I5882">
        <v>143.79</v>
      </c>
      <c r="J5882">
        <v>0</v>
      </c>
      <c r="K5882">
        <v>0</v>
      </c>
      <c r="L5882">
        <v>0</v>
      </c>
      <c r="M5882">
        <v>1282</v>
      </c>
      <c r="N5882">
        <v>184341.38999999998</v>
      </c>
      <c r="O5882">
        <v>143.79</v>
      </c>
    </row>
    <row r="5883" spans="1:15" x14ac:dyDescent="0.35">
      <c r="A5883" t="s">
        <v>6453</v>
      </c>
      <c r="B5883" t="s">
        <v>6454</v>
      </c>
      <c r="C5883" t="s">
        <v>898</v>
      </c>
      <c r="D5883" t="s">
        <v>293</v>
      </c>
      <c r="E5883" t="s">
        <v>312</v>
      </c>
      <c r="F5883" t="s">
        <v>6464</v>
      </c>
      <c r="G5883">
        <v>1282</v>
      </c>
      <c r="H5883">
        <v>184341.38999999998</v>
      </c>
      <c r="I5883">
        <v>143.79</v>
      </c>
      <c r="J5883">
        <v>0</v>
      </c>
      <c r="K5883">
        <v>0</v>
      </c>
      <c r="L5883">
        <v>0</v>
      </c>
      <c r="M5883">
        <v>1282</v>
      </c>
      <c r="N5883">
        <v>184341.38999999998</v>
      </c>
      <c r="O5883">
        <v>143.79</v>
      </c>
    </row>
    <row r="5884" spans="1:15" x14ac:dyDescent="0.35">
      <c r="A5884" t="s">
        <v>6453</v>
      </c>
      <c r="B5884" t="s">
        <v>6454</v>
      </c>
      <c r="C5884" t="s">
        <v>898</v>
      </c>
      <c r="D5884" t="s">
        <v>314</v>
      </c>
      <c r="E5884" t="s">
        <v>294</v>
      </c>
      <c r="F5884" t="s">
        <v>6465</v>
      </c>
      <c r="G5884">
        <v>53</v>
      </c>
      <c r="H5884">
        <v>13770.46</v>
      </c>
      <c r="I5884">
        <v>259.82</v>
      </c>
      <c r="J5884">
        <v>0</v>
      </c>
      <c r="K5884">
        <v>0</v>
      </c>
      <c r="L5884">
        <v>0</v>
      </c>
      <c r="M5884">
        <v>53</v>
      </c>
      <c r="N5884">
        <v>13770.46</v>
      </c>
      <c r="O5884">
        <v>259.82</v>
      </c>
    </row>
    <row r="5885" spans="1:15" x14ac:dyDescent="0.35">
      <c r="A5885" t="s">
        <v>6453</v>
      </c>
      <c r="B5885" t="s">
        <v>6454</v>
      </c>
      <c r="C5885" t="s">
        <v>898</v>
      </c>
      <c r="D5885" t="s">
        <v>314</v>
      </c>
      <c r="E5885" t="s">
        <v>296</v>
      </c>
      <c r="F5885" t="s">
        <v>6466</v>
      </c>
      <c r="G5885">
        <v>9</v>
      </c>
      <c r="H5885">
        <v>2494.89</v>
      </c>
      <c r="I5885">
        <v>277.20999999999998</v>
      </c>
      <c r="J5885">
        <v>0</v>
      </c>
      <c r="K5885">
        <v>0</v>
      </c>
      <c r="L5885">
        <v>0</v>
      </c>
      <c r="M5885">
        <v>9</v>
      </c>
      <c r="N5885">
        <v>2494.89</v>
      </c>
      <c r="O5885">
        <v>277.20999999999998</v>
      </c>
    </row>
    <row r="5886" spans="1:15" x14ac:dyDescent="0.35">
      <c r="A5886" t="s">
        <v>6453</v>
      </c>
      <c r="B5886" t="s">
        <v>6454</v>
      </c>
      <c r="C5886" t="s">
        <v>898</v>
      </c>
      <c r="D5886" t="s">
        <v>314</v>
      </c>
      <c r="E5886" t="s">
        <v>298</v>
      </c>
      <c r="F5886" t="s">
        <v>6467</v>
      </c>
      <c r="G5886">
        <v>0</v>
      </c>
      <c r="H5886">
        <v>0</v>
      </c>
      <c r="I5886">
        <v>0</v>
      </c>
      <c r="J5886">
        <v>0</v>
      </c>
      <c r="K5886">
        <v>0</v>
      </c>
      <c r="L5886">
        <v>0</v>
      </c>
      <c r="M5886">
        <v>0</v>
      </c>
      <c r="N5886">
        <v>0</v>
      </c>
      <c r="O5886">
        <v>0</v>
      </c>
    </row>
    <row r="5887" spans="1:15" x14ac:dyDescent="0.35">
      <c r="A5887" t="s">
        <v>6453</v>
      </c>
      <c r="B5887" t="s">
        <v>6454</v>
      </c>
      <c r="C5887" t="s">
        <v>898</v>
      </c>
      <c r="D5887" t="s">
        <v>314</v>
      </c>
      <c r="E5887" t="s">
        <v>300</v>
      </c>
      <c r="F5887" t="s">
        <v>6468</v>
      </c>
      <c r="G5887">
        <v>0</v>
      </c>
      <c r="H5887">
        <v>0</v>
      </c>
      <c r="I5887">
        <v>0</v>
      </c>
      <c r="J5887">
        <v>0</v>
      </c>
      <c r="K5887">
        <v>0</v>
      </c>
      <c r="L5887">
        <v>0</v>
      </c>
      <c r="M5887">
        <v>0</v>
      </c>
      <c r="N5887">
        <v>0</v>
      </c>
      <c r="O5887">
        <v>0</v>
      </c>
    </row>
    <row r="5888" spans="1:15" x14ac:dyDescent="0.35">
      <c r="A5888" t="s">
        <v>6453</v>
      </c>
      <c r="B5888" t="s">
        <v>6454</v>
      </c>
      <c r="C5888" t="s">
        <v>898</v>
      </c>
      <c r="D5888" t="s">
        <v>314</v>
      </c>
      <c r="E5888" t="s">
        <v>306</v>
      </c>
      <c r="F5888" t="s">
        <v>6469</v>
      </c>
      <c r="G5888">
        <v>0</v>
      </c>
      <c r="H5888">
        <v>0</v>
      </c>
      <c r="I5888">
        <v>0</v>
      </c>
      <c r="J5888">
        <v>0</v>
      </c>
      <c r="K5888">
        <v>0</v>
      </c>
      <c r="L5888">
        <v>0</v>
      </c>
      <c r="M5888">
        <v>0</v>
      </c>
      <c r="N5888">
        <v>0</v>
      </c>
      <c r="O5888">
        <v>0</v>
      </c>
    </row>
    <row r="5889" spans="1:15" x14ac:dyDescent="0.35">
      <c r="A5889" t="s">
        <v>6453</v>
      </c>
      <c r="B5889" t="s">
        <v>6454</v>
      </c>
      <c r="C5889" t="s">
        <v>898</v>
      </c>
      <c r="D5889" t="s">
        <v>314</v>
      </c>
      <c r="E5889" t="s">
        <v>308</v>
      </c>
      <c r="F5889" t="s">
        <v>6470</v>
      </c>
      <c r="G5889">
        <v>0</v>
      </c>
      <c r="H5889">
        <v>0</v>
      </c>
      <c r="I5889">
        <v>0</v>
      </c>
      <c r="J5889">
        <v>0</v>
      </c>
      <c r="K5889">
        <v>0</v>
      </c>
      <c r="L5889">
        <v>0</v>
      </c>
      <c r="M5889">
        <v>0</v>
      </c>
      <c r="N5889">
        <v>0</v>
      </c>
      <c r="O5889">
        <v>0</v>
      </c>
    </row>
    <row r="5890" spans="1:15" x14ac:dyDescent="0.35">
      <c r="A5890" t="s">
        <v>6453</v>
      </c>
      <c r="B5890" t="s">
        <v>6454</v>
      </c>
      <c r="C5890" t="s">
        <v>898</v>
      </c>
      <c r="D5890" t="s">
        <v>314</v>
      </c>
      <c r="E5890" t="s">
        <v>312</v>
      </c>
      <c r="F5890" t="s">
        <v>6471</v>
      </c>
      <c r="G5890">
        <v>62</v>
      </c>
      <c r="H5890">
        <v>16265.349999999999</v>
      </c>
      <c r="I5890">
        <v>262.33999999999997</v>
      </c>
      <c r="J5890">
        <v>0</v>
      </c>
      <c r="K5890">
        <v>0</v>
      </c>
      <c r="L5890">
        <v>0</v>
      </c>
      <c r="M5890">
        <v>62</v>
      </c>
      <c r="N5890">
        <v>16265.349999999999</v>
      </c>
      <c r="O5890">
        <v>262.33999999999997</v>
      </c>
    </row>
    <row r="5891" spans="1:15" x14ac:dyDescent="0.35">
      <c r="A5891" t="s">
        <v>6453</v>
      </c>
      <c r="B5891" t="s">
        <v>6454</v>
      </c>
      <c r="C5891" t="s">
        <v>898</v>
      </c>
      <c r="D5891" t="s">
        <v>314</v>
      </c>
      <c r="E5891" t="s">
        <v>310</v>
      </c>
      <c r="F5891" t="s">
        <v>6472</v>
      </c>
      <c r="G5891">
        <v>62</v>
      </c>
      <c r="H5891">
        <v>16265.349999999999</v>
      </c>
      <c r="I5891">
        <v>262.33999999999997</v>
      </c>
      <c r="J5891">
        <v>0</v>
      </c>
      <c r="K5891">
        <v>0</v>
      </c>
      <c r="L5891">
        <v>0</v>
      </c>
      <c r="M5891">
        <v>62</v>
      </c>
      <c r="N5891">
        <v>16265.349999999999</v>
      </c>
      <c r="O5891">
        <v>262.33999999999997</v>
      </c>
    </row>
    <row r="5892" spans="1:15" x14ac:dyDescent="0.35">
      <c r="A5892" t="s">
        <v>6453</v>
      </c>
      <c r="B5892" t="s">
        <v>6454</v>
      </c>
      <c r="C5892" t="s">
        <v>898</v>
      </c>
      <c r="D5892" t="s">
        <v>323</v>
      </c>
      <c r="E5892" t="s">
        <v>294</v>
      </c>
      <c r="F5892" t="s">
        <v>6473</v>
      </c>
      <c r="G5892">
        <v>557</v>
      </c>
      <c r="H5892">
        <v>51532.340000000004</v>
      </c>
      <c r="I5892">
        <v>92.52</v>
      </c>
      <c r="J5892">
        <v>2040</v>
      </c>
      <c r="K5892">
        <v>167851.2</v>
      </c>
      <c r="L5892">
        <v>82.28</v>
      </c>
      <c r="M5892">
        <v>2597</v>
      </c>
      <c r="N5892">
        <v>219383.54</v>
      </c>
      <c r="O5892">
        <v>84.48</v>
      </c>
    </row>
    <row r="5893" spans="1:15" x14ac:dyDescent="0.35">
      <c r="A5893" t="s">
        <v>6453</v>
      </c>
      <c r="B5893" t="s">
        <v>6454</v>
      </c>
      <c r="C5893" t="s">
        <v>898</v>
      </c>
      <c r="D5893" t="s">
        <v>323</v>
      </c>
      <c r="E5893" t="s">
        <v>296</v>
      </c>
      <c r="F5893" t="s">
        <v>6474</v>
      </c>
      <c r="G5893">
        <v>891</v>
      </c>
      <c r="H5893">
        <v>100090.93000000001</v>
      </c>
      <c r="I5893">
        <v>112.34</v>
      </c>
      <c r="J5893">
        <v>825</v>
      </c>
      <c r="K5893">
        <v>76271.25</v>
      </c>
      <c r="L5893">
        <v>92.45</v>
      </c>
      <c r="M5893">
        <v>1716</v>
      </c>
      <c r="N5893">
        <v>176362.18</v>
      </c>
      <c r="O5893">
        <v>102.78</v>
      </c>
    </row>
    <row r="5894" spans="1:15" x14ac:dyDescent="0.35">
      <c r="A5894" t="s">
        <v>6453</v>
      </c>
      <c r="B5894" t="s">
        <v>6454</v>
      </c>
      <c r="C5894" t="s">
        <v>898</v>
      </c>
      <c r="D5894" t="s">
        <v>323</v>
      </c>
      <c r="E5894" t="s">
        <v>298</v>
      </c>
      <c r="F5894" t="s">
        <v>6475</v>
      </c>
      <c r="G5894">
        <v>708</v>
      </c>
      <c r="H5894">
        <v>91216.33</v>
      </c>
      <c r="I5894">
        <v>128.84</v>
      </c>
      <c r="J5894">
        <v>1863</v>
      </c>
      <c r="K5894">
        <v>193137.21</v>
      </c>
      <c r="L5894">
        <v>103.67</v>
      </c>
      <c r="M5894">
        <v>2571</v>
      </c>
      <c r="N5894">
        <v>284353.53999999998</v>
      </c>
      <c r="O5894">
        <v>110.6</v>
      </c>
    </row>
    <row r="5895" spans="1:15" x14ac:dyDescent="0.35">
      <c r="A5895" t="s">
        <v>6453</v>
      </c>
      <c r="B5895" t="s">
        <v>6454</v>
      </c>
      <c r="C5895" t="s">
        <v>898</v>
      </c>
      <c r="D5895" t="s">
        <v>323</v>
      </c>
      <c r="E5895" t="s">
        <v>300</v>
      </c>
      <c r="F5895" t="s">
        <v>6476</v>
      </c>
      <c r="G5895">
        <v>78</v>
      </c>
      <c r="H5895">
        <v>11485.919999999998</v>
      </c>
      <c r="I5895">
        <v>147.26</v>
      </c>
      <c r="J5895">
        <v>131</v>
      </c>
      <c r="K5895">
        <v>15030.939999999999</v>
      </c>
      <c r="L5895">
        <v>114.74</v>
      </c>
      <c r="M5895">
        <v>209</v>
      </c>
      <c r="N5895">
        <v>26516.859999999997</v>
      </c>
      <c r="O5895">
        <v>126.87</v>
      </c>
    </row>
    <row r="5896" spans="1:15" x14ac:dyDescent="0.35">
      <c r="A5896" t="s">
        <v>6453</v>
      </c>
      <c r="B5896" t="s">
        <v>6454</v>
      </c>
      <c r="C5896" t="s">
        <v>898</v>
      </c>
      <c r="D5896" t="s">
        <v>323</v>
      </c>
      <c r="E5896" t="s">
        <v>302</v>
      </c>
      <c r="F5896" t="s">
        <v>6477</v>
      </c>
      <c r="G5896">
        <v>1</v>
      </c>
      <c r="H5896">
        <v>173.22</v>
      </c>
      <c r="I5896">
        <v>173.22</v>
      </c>
      <c r="J5896">
        <v>4</v>
      </c>
      <c r="K5896">
        <v>502.12</v>
      </c>
      <c r="L5896">
        <v>125.53</v>
      </c>
      <c r="M5896">
        <v>5</v>
      </c>
      <c r="N5896">
        <v>675.34</v>
      </c>
      <c r="O5896">
        <v>135.07</v>
      </c>
    </row>
    <row r="5897" spans="1:15" x14ac:dyDescent="0.35">
      <c r="A5897" t="s">
        <v>6453</v>
      </c>
      <c r="B5897" t="s">
        <v>6454</v>
      </c>
      <c r="C5897" t="s">
        <v>898</v>
      </c>
      <c r="D5897" t="s">
        <v>323</v>
      </c>
      <c r="E5897" t="s">
        <v>304</v>
      </c>
      <c r="F5897" t="s">
        <v>6478</v>
      </c>
      <c r="G5897">
        <v>0</v>
      </c>
      <c r="H5897">
        <v>0</v>
      </c>
      <c r="I5897">
        <v>0</v>
      </c>
      <c r="J5897">
        <v>2</v>
      </c>
      <c r="K5897">
        <v>248.34</v>
      </c>
      <c r="L5897">
        <v>124.17</v>
      </c>
      <c r="M5897">
        <v>2</v>
      </c>
      <c r="N5897">
        <v>248.34</v>
      </c>
      <c r="O5897">
        <v>124.17</v>
      </c>
    </row>
    <row r="5898" spans="1:15" x14ac:dyDescent="0.35">
      <c r="A5898" t="s">
        <v>6453</v>
      </c>
      <c r="B5898" t="s">
        <v>6454</v>
      </c>
      <c r="C5898" t="s">
        <v>898</v>
      </c>
      <c r="D5898" t="s">
        <v>323</v>
      </c>
      <c r="E5898" t="s">
        <v>306</v>
      </c>
      <c r="F5898" t="s">
        <v>6479</v>
      </c>
      <c r="G5898">
        <v>6</v>
      </c>
      <c r="H5898">
        <v>508.32</v>
      </c>
      <c r="I5898">
        <v>84.72</v>
      </c>
      <c r="J5898">
        <v>132</v>
      </c>
      <c r="K5898">
        <v>8572.08</v>
      </c>
      <c r="L5898">
        <v>64.94</v>
      </c>
      <c r="M5898">
        <v>138</v>
      </c>
      <c r="N5898">
        <v>9080.4</v>
      </c>
      <c r="O5898">
        <v>65.8</v>
      </c>
    </row>
    <row r="5899" spans="1:15" x14ac:dyDescent="0.35">
      <c r="A5899" t="s">
        <v>6453</v>
      </c>
      <c r="B5899" t="s">
        <v>6454</v>
      </c>
      <c r="C5899" t="s">
        <v>898</v>
      </c>
      <c r="D5899" t="s">
        <v>323</v>
      </c>
      <c r="E5899" t="s">
        <v>308</v>
      </c>
      <c r="F5899" t="s">
        <v>6480</v>
      </c>
      <c r="G5899">
        <v>0</v>
      </c>
      <c r="H5899">
        <v>0</v>
      </c>
      <c r="I5899">
        <v>0</v>
      </c>
      <c r="J5899">
        <v>0</v>
      </c>
      <c r="K5899">
        <v>0</v>
      </c>
      <c r="L5899">
        <v>0</v>
      </c>
      <c r="M5899">
        <v>0</v>
      </c>
      <c r="N5899">
        <v>0</v>
      </c>
      <c r="O5899">
        <v>0</v>
      </c>
    </row>
    <row r="5900" spans="1:15" x14ac:dyDescent="0.35">
      <c r="A5900" t="s">
        <v>6453</v>
      </c>
      <c r="B5900" t="s">
        <v>6454</v>
      </c>
      <c r="C5900" t="s">
        <v>898</v>
      </c>
      <c r="D5900" t="s">
        <v>323</v>
      </c>
      <c r="E5900" t="s">
        <v>310</v>
      </c>
      <c r="F5900" t="s">
        <v>6481</v>
      </c>
      <c r="G5900">
        <v>2241</v>
      </c>
      <c r="H5900">
        <v>255007.06000000003</v>
      </c>
      <c r="I5900">
        <v>113.79</v>
      </c>
      <c r="J5900">
        <v>4997</v>
      </c>
      <c r="K5900">
        <v>461613.14000000007</v>
      </c>
      <c r="L5900">
        <v>92.38</v>
      </c>
      <c r="M5900">
        <v>7238</v>
      </c>
      <c r="N5900">
        <v>716620.20000000007</v>
      </c>
      <c r="O5900">
        <v>99.01</v>
      </c>
    </row>
    <row r="5901" spans="1:15" x14ac:dyDescent="0.35">
      <c r="A5901" t="s">
        <v>6453</v>
      </c>
      <c r="B5901" t="s">
        <v>6454</v>
      </c>
      <c r="C5901" t="s">
        <v>898</v>
      </c>
      <c r="D5901" t="s">
        <v>323</v>
      </c>
      <c r="E5901" t="s">
        <v>312</v>
      </c>
      <c r="F5901" t="s">
        <v>6482</v>
      </c>
      <c r="G5901">
        <v>2241</v>
      </c>
      <c r="H5901">
        <v>255007.06000000003</v>
      </c>
      <c r="I5901">
        <v>113.79</v>
      </c>
      <c r="J5901">
        <v>4997</v>
      </c>
      <c r="K5901">
        <v>461613.14000000007</v>
      </c>
      <c r="L5901">
        <v>92.38</v>
      </c>
      <c r="M5901">
        <v>7238</v>
      </c>
      <c r="N5901">
        <v>716620.20000000007</v>
      </c>
      <c r="O5901">
        <v>99.01</v>
      </c>
    </row>
    <row r="5902" spans="1:15" x14ac:dyDescent="0.35">
      <c r="A5902" t="s">
        <v>6453</v>
      </c>
      <c r="B5902" t="s">
        <v>6454</v>
      </c>
      <c r="C5902" t="s">
        <v>898</v>
      </c>
      <c r="D5902" t="s">
        <v>334</v>
      </c>
      <c r="E5902" t="s">
        <v>312</v>
      </c>
      <c r="F5902" t="s">
        <v>6483</v>
      </c>
      <c r="G5902">
        <v>3651</v>
      </c>
      <c r="H5902">
        <v>439348.44999999995</v>
      </c>
      <c r="I5902">
        <v>124.71</v>
      </c>
      <c r="J5902">
        <v>4997</v>
      </c>
      <c r="K5902">
        <v>461613.14000000007</v>
      </c>
      <c r="L5902">
        <v>92.38</v>
      </c>
      <c r="M5902">
        <v>8648</v>
      </c>
      <c r="N5902">
        <v>900961.59000000008</v>
      </c>
      <c r="O5902">
        <v>105.75</v>
      </c>
    </row>
    <row r="5903" spans="1:15" x14ac:dyDescent="0.35">
      <c r="A5903" t="s">
        <v>6453</v>
      </c>
      <c r="B5903" t="s">
        <v>6454</v>
      </c>
      <c r="C5903" t="s">
        <v>898</v>
      </c>
      <c r="D5903" t="s">
        <v>334</v>
      </c>
      <c r="E5903" t="s">
        <v>308</v>
      </c>
      <c r="F5903" t="s">
        <v>6484</v>
      </c>
      <c r="G5903">
        <v>5</v>
      </c>
      <c r="H5903">
        <v>0</v>
      </c>
      <c r="I5903">
        <v>0</v>
      </c>
      <c r="J5903">
        <v>0</v>
      </c>
      <c r="K5903">
        <v>0</v>
      </c>
      <c r="L5903">
        <v>0</v>
      </c>
      <c r="M5903">
        <v>5</v>
      </c>
      <c r="N5903">
        <v>0</v>
      </c>
      <c r="O5903">
        <v>0</v>
      </c>
    </row>
    <row r="5904" spans="1:15" x14ac:dyDescent="0.35">
      <c r="A5904" t="s">
        <v>6453</v>
      </c>
      <c r="B5904" t="s">
        <v>6454</v>
      </c>
      <c r="C5904" t="s">
        <v>898</v>
      </c>
      <c r="D5904" t="s">
        <v>337</v>
      </c>
      <c r="E5904" t="s">
        <v>337</v>
      </c>
      <c r="F5904" t="s">
        <v>6485</v>
      </c>
      <c r="G5904">
        <v>794</v>
      </c>
      <c r="J5904">
        <v>0</v>
      </c>
      <c r="M5904">
        <v>794</v>
      </c>
    </row>
    <row r="5905" spans="1:15" x14ac:dyDescent="0.35">
      <c r="A5905" t="s">
        <v>6453</v>
      </c>
      <c r="B5905" t="s">
        <v>6454</v>
      </c>
      <c r="C5905" t="s">
        <v>898</v>
      </c>
      <c r="D5905" t="s">
        <v>339</v>
      </c>
      <c r="E5905" t="s">
        <v>294</v>
      </c>
      <c r="F5905" t="s">
        <v>6486</v>
      </c>
      <c r="G5905">
        <v>270</v>
      </c>
      <c r="H5905">
        <v>32056.539999999994</v>
      </c>
      <c r="I5905">
        <v>118.73</v>
      </c>
      <c r="J5905">
        <v>239</v>
      </c>
      <c r="K5905">
        <v>19174.97</v>
      </c>
      <c r="L5905">
        <v>80.23</v>
      </c>
      <c r="M5905">
        <v>509</v>
      </c>
      <c r="N5905">
        <v>51231.509999999995</v>
      </c>
      <c r="O5905">
        <v>100.65</v>
      </c>
    </row>
    <row r="5906" spans="1:15" x14ac:dyDescent="0.35">
      <c r="A5906" t="s">
        <v>6453</v>
      </c>
      <c r="B5906" t="s">
        <v>6454</v>
      </c>
      <c r="C5906" t="s">
        <v>898</v>
      </c>
      <c r="D5906" t="s">
        <v>339</v>
      </c>
      <c r="E5906" t="s">
        <v>296</v>
      </c>
      <c r="F5906" t="s">
        <v>6487</v>
      </c>
      <c r="G5906">
        <v>62</v>
      </c>
      <c r="H5906">
        <v>7650.33</v>
      </c>
      <c r="I5906">
        <v>123.39</v>
      </c>
      <c r="J5906">
        <v>18</v>
      </c>
      <c r="K5906">
        <v>1657.6200000000001</v>
      </c>
      <c r="L5906">
        <v>92.09</v>
      </c>
      <c r="M5906">
        <v>80</v>
      </c>
      <c r="N5906">
        <v>9307.9500000000007</v>
      </c>
      <c r="O5906">
        <v>116.35</v>
      </c>
    </row>
    <row r="5907" spans="1:15" x14ac:dyDescent="0.35">
      <c r="A5907" t="s">
        <v>6453</v>
      </c>
      <c r="B5907" t="s">
        <v>6454</v>
      </c>
      <c r="C5907" t="s">
        <v>898</v>
      </c>
      <c r="D5907" t="s">
        <v>339</v>
      </c>
      <c r="E5907" t="s">
        <v>298</v>
      </c>
      <c r="F5907" t="s">
        <v>6488</v>
      </c>
      <c r="G5907">
        <v>1</v>
      </c>
      <c r="H5907">
        <v>146.35</v>
      </c>
      <c r="I5907">
        <v>146.35</v>
      </c>
      <c r="J5907">
        <v>3</v>
      </c>
      <c r="K5907">
        <v>313.08</v>
      </c>
      <c r="L5907">
        <v>104.36</v>
      </c>
      <c r="M5907">
        <v>4</v>
      </c>
      <c r="N5907">
        <v>459.42999999999995</v>
      </c>
      <c r="O5907">
        <v>114.86</v>
      </c>
    </row>
    <row r="5908" spans="1:15" x14ac:dyDescent="0.35">
      <c r="A5908" t="s">
        <v>6453</v>
      </c>
      <c r="B5908" t="s">
        <v>6454</v>
      </c>
      <c r="C5908" t="s">
        <v>898</v>
      </c>
      <c r="D5908" t="s">
        <v>339</v>
      </c>
      <c r="E5908" t="s">
        <v>300</v>
      </c>
      <c r="F5908" t="s">
        <v>6489</v>
      </c>
      <c r="G5908">
        <v>0</v>
      </c>
      <c r="H5908">
        <v>0</v>
      </c>
      <c r="I5908">
        <v>0</v>
      </c>
      <c r="J5908">
        <v>0</v>
      </c>
      <c r="K5908">
        <v>0</v>
      </c>
      <c r="L5908">
        <v>0</v>
      </c>
      <c r="M5908">
        <v>0</v>
      </c>
      <c r="N5908">
        <v>0</v>
      </c>
      <c r="O5908">
        <v>0</v>
      </c>
    </row>
    <row r="5909" spans="1:15" x14ac:dyDescent="0.35">
      <c r="A5909" t="s">
        <v>6453</v>
      </c>
      <c r="B5909" t="s">
        <v>6454</v>
      </c>
      <c r="C5909" t="s">
        <v>898</v>
      </c>
      <c r="D5909" t="s">
        <v>339</v>
      </c>
      <c r="E5909" t="s">
        <v>306</v>
      </c>
      <c r="F5909" t="s">
        <v>6490</v>
      </c>
      <c r="G5909">
        <v>70</v>
      </c>
      <c r="H5909">
        <v>6262.98</v>
      </c>
      <c r="I5909">
        <v>89.47</v>
      </c>
      <c r="J5909">
        <v>161</v>
      </c>
      <c r="K5909">
        <v>10558.38</v>
      </c>
      <c r="L5909">
        <v>65.58</v>
      </c>
      <c r="M5909">
        <v>231</v>
      </c>
      <c r="N5909">
        <v>16821.36</v>
      </c>
      <c r="O5909">
        <v>72.819999999999993</v>
      </c>
    </row>
    <row r="5910" spans="1:15" x14ac:dyDescent="0.35">
      <c r="A5910" t="s">
        <v>6453</v>
      </c>
      <c r="B5910" t="s">
        <v>6454</v>
      </c>
      <c r="C5910" t="s">
        <v>898</v>
      </c>
      <c r="D5910" t="s">
        <v>339</v>
      </c>
      <c r="E5910" t="s">
        <v>308</v>
      </c>
      <c r="F5910" t="s">
        <v>6491</v>
      </c>
      <c r="G5910">
        <v>74</v>
      </c>
      <c r="H5910">
        <v>16200.830000000002</v>
      </c>
      <c r="I5910">
        <v>218.93</v>
      </c>
      <c r="J5910">
        <v>0</v>
      </c>
      <c r="K5910">
        <v>0</v>
      </c>
      <c r="L5910">
        <v>0</v>
      </c>
      <c r="M5910">
        <v>74</v>
      </c>
      <c r="N5910">
        <v>16200.830000000002</v>
      </c>
      <c r="O5910">
        <v>218.93</v>
      </c>
    </row>
    <row r="5911" spans="1:15" x14ac:dyDescent="0.35">
      <c r="A5911" t="s">
        <v>6453</v>
      </c>
      <c r="B5911" t="s">
        <v>6454</v>
      </c>
      <c r="C5911" t="s">
        <v>898</v>
      </c>
      <c r="D5911" t="s">
        <v>339</v>
      </c>
      <c r="E5911" t="s">
        <v>310</v>
      </c>
      <c r="F5911" t="s">
        <v>6492</v>
      </c>
      <c r="G5911">
        <v>477</v>
      </c>
      <c r="H5911">
        <v>62317.03</v>
      </c>
      <c r="I5911">
        <v>130.63999999999999</v>
      </c>
      <c r="J5911">
        <v>421</v>
      </c>
      <c r="K5911">
        <v>31704.050000000003</v>
      </c>
      <c r="L5911">
        <v>75.31</v>
      </c>
      <c r="M5911">
        <v>898</v>
      </c>
      <c r="N5911">
        <v>94021.08</v>
      </c>
      <c r="O5911">
        <v>104.7</v>
      </c>
    </row>
    <row r="5912" spans="1:15" x14ac:dyDescent="0.35">
      <c r="A5912" t="s">
        <v>6453</v>
      </c>
      <c r="B5912" t="s">
        <v>6454</v>
      </c>
      <c r="C5912" t="s">
        <v>898</v>
      </c>
      <c r="D5912" t="s">
        <v>339</v>
      </c>
      <c r="E5912" t="s">
        <v>312</v>
      </c>
      <c r="F5912" t="s">
        <v>6493</v>
      </c>
      <c r="G5912">
        <v>403</v>
      </c>
      <c r="H5912">
        <v>46116.2</v>
      </c>
      <c r="I5912">
        <v>114.43</v>
      </c>
      <c r="J5912">
        <v>421</v>
      </c>
      <c r="K5912">
        <v>31704.050000000003</v>
      </c>
      <c r="L5912">
        <v>75.31</v>
      </c>
      <c r="M5912">
        <v>824</v>
      </c>
      <c r="N5912">
        <v>77820.25</v>
      </c>
      <c r="O5912">
        <v>94.44</v>
      </c>
    </row>
    <row r="5913" spans="1:15" x14ac:dyDescent="0.35">
      <c r="A5913" t="s">
        <v>6453</v>
      </c>
      <c r="B5913" t="s">
        <v>6454</v>
      </c>
      <c r="C5913" t="s">
        <v>898</v>
      </c>
      <c r="D5913" t="s">
        <v>348</v>
      </c>
      <c r="E5913" t="s">
        <v>349</v>
      </c>
      <c r="F5913" t="s">
        <v>6494</v>
      </c>
      <c r="G5913">
        <v>719</v>
      </c>
      <c r="H5913">
        <v>78582.37999999999</v>
      </c>
      <c r="I5913">
        <v>145.79</v>
      </c>
      <c r="J5913">
        <v>421</v>
      </c>
      <c r="K5913">
        <v>31704.050000000003</v>
      </c>
      <c r="L5913">
        <v>75.31</v>
      </c>
      <c r="M5913">
        <v>1140</v>
      </c>
      <c r="N5913">
        <v>110286.43</v>
      </c>
      <c r="O5913">
        <v>114.88</v>
      </c>
    </row>
    <row r="5914" spans="1:15" x14ac:dyDescent="0.35">
      <c r="A5914" t="s">
        <v>6495</v>
      </c>
      <c r="B5914" t="s">
        <v>6496</v>
      </c>
      <c r="C5914" t="s">
        <v>898</v>
      </c>
      <c r="D5914" t="s">
        <v>293</v>
      </c>
      <c r="E5914" t="s">
        <v>294</v>
      </c>
      <c r="F5914" t="s">
        <v>6497</v>
      </c>
      <c r="G5914">
        <v>264</v>
      </c>
      <c r="H5914">
        <v>31775.82</v>
      </c>
      <c r="I5914">
        <v>120.36</v>
      </c>
      <c r="J5914">
        <v>0</v>
      </c>
      <c r="K5914">
        <v>0</v>
      </c>
      <c r="L5914">
        <v>0</v>
      </c>
      <c r="M5914">
        <v>264</v>
      </c>
      <c r="N5914">
        <v>31775.82</v>
      </c>
      <c r="O5914">
        <v>120.36</v>
      </c>
    </row>
    <row r="5915" spans="1:15" x14ac:dyDescent="0.35">
      <c r="A5915" t="s">
        <v>6495</v>
      </c>
      <c r="B5915" t="s">
        <v>6496</v>
      </c>
      <c r="C5915" t="s">
        <v>898</v>
      </c>
      <c r="D5915" t="s">
        <v>293</v>
      </c>
      <c r="E5915" t="s">
        <v>296</v>
      </c>
      <c r="F5915" t="s">
        <v>6498</v>
      </c>
      <c r="G5915">
        <v>503</v>
      </c>
      <c r="H5915">
        <v>73299.31</v>
      </c>
      <c r="I5915">
        <v>145.72</v>
      </c>
      <c r="J5915">
        <v>0</v>
      </c>
      <c r="K5915">
        <v>0</v>
      </c>
      <c r="L5915">
        <v>0</v>
      </c>
      <c r="M5915">
        <v>503</v>
      </c>
      <c r="N5915">
        <v>73299.31</v>
      </c>
      <c r="O5915">
        <v>145.72</v>
      </c>
    </row>
    <row r="5916" spans="1:15" x14ac:dyDescent="0.35">
      <c r="A5916" t="s">
        <v>6495</v>
      </c>
      <c r="B5916" t="s">
        <v>6496</v>
      </c>
      <c r="C5916" t="s">
        <v>898</v>
      </c>
      <c r="D5916" t="s">
        <v>293</v>
      </c>
      <c r="E5916" t="s">
        <v>298</v>
      </c>
      <c r="F5916" t="s">
        <v>6499</v>
      </c>
      <c r="G5916">
        <v>225</v>
      </c>
      <c r="H5916">
        <v>37660.039999999994</v>
      </c>
      <c r="I5916">
        <v>167.38</v>
      </c>
      <c r="J5916">
        <v>0</v>
      </c>
      <c r="K5916">
        <v>0</v>
      </c>
      <c r="L5916">
        <v>0</v>
      </c>
      <c r="M5916">
        <v>225</v>
      </c>
      <c r="N5916">
        <v>37660.039999999994</v>
      </c>
      <c r="O5916">
        <v>167.38</v>
      </c>
    </row>
    <row r="5917" spans="1:15" x14ac:dyDescent="0.35">
      <c r="A5917" t="s">
        <v>6495</v>
      </c>
      <c r="B5917" t="s">
        <v>6496</v>
      </c>
      <c r="C5917" t="s">
        <v>898</v>
      </c>
      <c r="D5917" t="s">
        <v>293</v>
      </c>
      <c r="E5917" t="s">
        <v>300</v>
      </c>
      <c r="F5917" t="s">
        <v>6500</v>
      </c>
      <c r="G5917">
        <v>29</v>
      </c>
      <c r="H5917">
        <v>6188.96</v>
      </c>
      <c r="I5917">
        <v>213.41</v>
      </c>
      <c r="J5917">
        <v>0</v>
      </c>
      <c r="K5917">
        <v>0</v>
      </c>
      <c r="L5917">
        <v>0</v>
      </c>
      <c r="M5917">
        <v>29</v>
      </c>
      <c r="N5917">
        <v>6188.96</v>
      </c>
      <c r="O5917">
        <v>213.41</v>
      </c>
    </row>
    <row r="5918" spans="1:15" x14ac:dyDescent="0.35">
      <c r="A5918" t="s">
        <v>6495</v>
      </c>
      <c r="B5918" t="s">
        <v>6496</v>
      </c>
      <c r="C5918" t="s">
        <v>898</v>
      </c>
      <c r="D5918" t="s">
        <v>293</v>
      </c>
      <c r="E5918" t="s">
        <v>302</v>
      </c>
      <c r="F5918" t="s">
        <v>6501</v>
      </c>
      <c r="G5918">
        <v>1</v>
      </c>
      <c r="H5918">
        <v>247.66</v>
      </c>
      <c r="I5918">
        <v>247.66</v>
      </c>
      <c r="J5918">
        <v>0</v>
      </c>
      <c r="K5918">
        <v>0</v>
      </c>
      <c r="L5918">
        <v>0</v>
      </c>
      <c r="M5918">
        <v>1</v>
      </c>
      <c r="N5918">
        <v>247.66</v>
      </c>
      <c r="O5918">
        <v>247.66</v>
      </c>
    </row>
    <row r="5919" spans="1:15" x14ac:dyDescent="0.35">
      <c r="A5919" t="s">
        <v>6495</v>
      </c>
      <c r="B5919" t="s">
        <v>6496</v>
      </c>
      <c r="C5919" t="s">
        <v>898</v>
      </c>
      <c r="D5919" t="s">
        <v>293</v>
      </c>
      <c r="E5919" t="s">
        <v>304</v>
      </c>
      <c r="F5919" t="s">
        <v>6502</v>
      </c>
      <c r="G5919">
        <v>0</v>
      </c>
      <c r="H5919">
        <v>0</v>
      </c>
      <c r="I5919">
        <v>0</v>
      </c>
      <c r="J5919">
        <v>0</v>
      </c>
      <c r="K5919">
        <v>0</v>
      </c>
      <c r="L5919">
        <v>0</v>
      </c>
      <c r="M5919">
        <v>0</v>
      </c>
      <c r="N5919">
        <v>0</v>
      </c>
      <c r="O5919">
        <v>0</v>
      </c>
    </row>
    <row r="5920" spans="1:15" x14ac:dyDescent="0.35">
      <c r="A5920" t="s">
        <v>6495</v>
      </c>
      <c r="B5920" t="s">
        <v>6496</v>
      </c>
      <c r="C5920" t="s">
        <v>898</v>
      </c>
      <c r="D5920" t="s">
        <v>293</v>
      </c>
      <c r="E5920" t="s">
        <v>306</v>
      </c>
      <c r="F5920" t="s">
        <v>6503</v>
      </c>
      <c r="G5920">
        <v>0</v>
      </c>
      <c r="H5920">
        <v>0</v>
      </c>
      <c r="I5920">
        <v>0</v>
      </c>
      <c r="J5920">
        <v>0</v>
      </c>
      <c r="K5920">
        <v>0</v>
      </c>
      <c r="L5920">
        <v>0</v>
      </c>
      <c r="M5920">
        <v>0</v>
      </c>
      <c r="N5920">
        <v>0</v>
      </c>
      <c r="O5920">
        <v>0</v>
      </c>
    </row>
    <row r="5921" spans="1:15" x14ac:dyDescent="0.35">
      <c r="A5921" t="s">
        <v>6495</v>
      </c>
      <c r="B5921" t="s">
        <v>6496</v>
      </c>
      <c r="C5921" t="s">
        <v>898</v>
      </c>
      <c r="D5921" t="s">
        <v>293</v>
      </c>
      <c r="E5921" t="s">
        <v>308</v>
      </c>
      <c r="F5921" t="s">
        <v>6504</v>
      </c>
      <c r="G5921">
        <v>0</v>
      </c>
      <c r="H5921">
        <v>0</v>
      </c>
      <c r="I5921">
        <v>0</v>
      </c>
      <c r="J5921">
        <v>0</v>
      </c>
      <c r="K5921">
        <v>0</v>
      </c>
      <c r="L5921">
        <v>0</v>
      </c>
      <c r="M5921">
        <v>0</v>
      </c>
      <c r="N5921">
        <v>0</v>
      </c>
      <c r="O5921">
        <v>0</v>
      </c>
    </row>
    <row r="5922" spans="1:15" x14ac:dyDescent="0.35">
      <c r="A5922" t="s">
        <v>6495</v>
      </c>
      <c r="B5922" t="s">
        <v>6496</v>
      </c>
      <c r="C5922" t="s">
        <v>898</v>
      </c>
      <c r="D5922" t="s">
        <v>293</v>
      </c>
      <c r="E5922" t="s">
        <v>310</v>
      </c>
      <c r="F5922" t="s">
        <v>6505</v>
      </c>
      <c r="G5922">
        <v>1022</v>
      </c>
      <c r="H5922">
        <v>149171.78999999998</v>
      </c>
      <c r="I5922">
        <v>145.96</v>
      </c>
      <c r="J5922">
        <v>0</v>
      </c>
      <c r="K5922">
        <v>0</v>
      </c>
      <c r="L5922">
        <v>0</v>
      </c>
      <c r="M5922">
        <v>1022</v>
      </c>
      <c r="N5922">
        <v>149171.78999999998</v>
      </c>
      <c r="O5922">
        <v>145.96</v>
      </c>
    </row>
    <row r="5923" spans="1:15" x14ac:dyDescent="0.35">
      <c r="A5923" t="s">
        <v>6495</v>
      </c>
      <c r="B5923" t="s">
        <v>6496</v>
      </c>
      <c r="C5923" t="s">
        <v>898</v>
      </c>
      <c r="D5923" t="s">
        <v>293</v>
      </c>
      <c r="E5923" t="s">
        <v>312</v>
      </c>
      <c r="F5923" t="s">
        <v>6506</v>
      </c>
      <c r="G5923">
        <v>1022</v>
      </c>
      <c r="H5923">
        <v>149171.78999999998</v>
      </c>
      <c r="I5923">
        <v>145.96</v>
      </c>
      <c r="J5923">
        <v>0</v>
      </c>
      <c r="K5923">
        <v>0</v>
      </c>
      <c r="L5923">
        <v>0</v>
      </c>
      <c r="M5923">
        <v>1022</v>
      </c>
      <c r="N5923">
        <v>149171.78999999998</v>
      </c>
      <c r="O5923">
        <v>145.96</v>
      </c>
    </row>
    <row r="5924" spans="1:15" x14ac:dyDescent="0.35">
      <c r="A5924" t="s">
        <v>6495</v>
      </c>
      <c r="B5924" t="s">
        <v>6496</v>
      </c>
      <c r="C5924" t="s">
        <v>898</v>
      </c>
      <c r="D5924" t="s">
        <v>314</v>
      </c>
      <c r="E5924" t="s">
        <v>294</v>
      </c>
      <c r="F5924" t="s">
        <v>6507</v>
      </c>
      <c r="G5924">
        <v>10</v>
      </c>
      <c r="H5924">
        <v>1455.72</v>
      </c>
      <c r="I5924">
        <v>145.57</v>
      </c>
      <c r="J5924">
        <v>0</v>
      </c>
      <c r="K5924">
        <v>0</v>
      </c>
      <c r="L5924">
        <v>0</v>
      </c>
      <c r="M5924">
        <v>10</v>
      </c>
      <c r="N5924">
        <v>1455.72</v>
      </c>
      <c r="O5924">
        <v>145.57</v>
      </c>
    </row>
    <row r="5925" spans="1:15" x14ac:dyDescent="0.35">
      <c r="A5925" t="s">
        <v>6495</v>
      </c>
      <c r="B5925" t="s">
        <v>6496</v>
      </c>
      <c r="C5925" t="s">
        <v>898</v>
      </c>
      <c r="D5925" t="s">
        <v>314</v>
      </c>
      <c r="E5925" t="s">
        <v>296</v>
      </c>
      <c r="F5925" t="s">
        <v>6508</v>
      </c>
      <c r="G5925">
        <v>7</v>
      </c>
      <c r="H5925">
        <v>1257.52</v>
      </c>
      <c r="I5925">
        <v>179.65</v>
      </c>
      <c r="J5925">
        <v>0</v>
      </c>
      <c r="K5925">
        <v>0</v>
      </c>
      <c r="L5925">
        <v>0</v>
      </c>
      <c r="M5925">
        <v>7</v>
      </c>
      <c r="N5925">
        <v>1257.52</v>
      </c>
      <c r="O5925">
        <v>179.65</v>
      </c>
    </row>
    <row r="5926" spans="1:15" x14ac:dyDescent="0.35">
      <c r="A5926" t="s">
        <v>6495</v>
      </c>
      <c r="B5926" t="s">
        <v>6496</v>
      </c>
      <c r="C5926" t="s">
        <v>898</v>
      </c>
      <c r="D5926" t="s">
        <v>314</v>
      </c>
      <c r="E5926" t="s">
        <v>298</v>
      </c>
      <c r="F5926" t="s">
        <v>6509</v>
      </c>
      <c r="G5926">
        <v>0</v>
      </c>
      <c r="H5926">
        <v>0</v>
      </c>
      <c r="I5926">
        <v>0</v>
      </c>
      <c r="J5926">
        <v>0</v>
      </c>
      <c r="K5926">
        <v>0</v>
      </c>
      <c r="L5926">
        <v>0</v>
      </c>
      <c r="M5926">
        <v>0</v>
      </c>
      <c r="N5926">
        <v>0</v>
      </c>
      <c r="O5926">
        <v>0</v>
      </c>
    </row>
    <row r="5927" spans="1:15" x14ac:dyDescent="0.35">
      <c r="A5927" t="s">
        <v>6495</v>
      </c>
      <c r="B5927" t="s">
        <v>6496</v>
      </c>
      <c r="C5927" t="s">
        <v>898</v>
      </c>
      <c r="D5927" t="s">
        <v>314</v>
      </c>
      <c r="E5927" t="s">
        <v>300</v>
      </c>
      <c r="F5927" t="s">
        <v>6510</v>
      </c>
      <c r="G5927">
        <v>0</v>
      </c>
      <c r="H5927">
        <v>0</v>
      </c>
      <c r="I5927">
        <v>0</v>
      </c>
      <c r="J5927">
        <v>0</v>
      </c>
      <c r="K5927">
        <v>0</v>
      </c>
      <c r="L5927">
        <v>0</v>
      </c>
      <c r="M5927">
        <v>0</v>
      </c>
      <c r="N5927">
        <v>0</v>
      </c>
      <c r="O5927">
        <v>0</v>
      </c>
    </row>
    <row r="5928" spans="1:15" x14ac:dyDescent="0.35">
      <c r="A5928" t="s">
        <v>6495</v>
      </c>
      <c r="B5928" t="s">
        <v>6496</v>
      </c>
      <c r="C5928" t="s">
        <v>898</v>
      </c>
      <c r="D5928" t="s">
        <v>314</v>
      </c>
      <c r="E5928" t="s">
        <v>306</v>
      </c>
      <c r="F5928" t="s">
        <v>6511</v>
      </c>
      <c r="G5928">
        <v>0</v>
      </c>
      <c r="H5928">
        <v>0</v>
      </c>
      <c r="I5928">
        <v>0</v>
      </c>
      <c r="J5928">
        <v>0</v>
      </c>
      <c r="K5928">
        <v>0</v>
      </c>
      <c r="L5928">
        <v>0</v>
      </c>
      <c r="M5928">
        <v>0</v>
      </c>
      <c r="N5928">
        <v>0</v>
      </c>
      <c r="O5928">
        <v>0</v>
      </c>
    </row>
    <row r="5929" spans="1:15" x14ac:dyDescent="0.35">
      <c r="A5929" t="s">
        <v>6495</v>
      </c>
      <c r="B5929" t="s">
        <v>6496</v>
      </c>
      <c r="C5929" t="s">
        <v>898</v>
      </c>
      <c r="D5929" t="s">
        <v>314</v>
      </c>
      <c r="E5929" t="s">
        <v>308</v>
      </c>
      <c r="F5929" t="s">
        <v>6512</v>
      </c>
      <c r="G5929">
        <v>0</v>
      </c>
      <c r="H5929">
        <v>0</v>
      </c>
      <c r="I5929">
        <v>0</v>
      </c>
      <c r="J5929">
        <v>0</v>
      </c>
      <c r="K5929">
        <v>0</v>
      </c>
      <c r="L5929">
        <v>0</v>
      </c>
      <c r="M5929">
        <v>0</v>
      </c>
      <c r="N5929">
        <v>0</v>
      </c>
      <c r="O5929">
        <v>0</v>
      </c>
    </row>
    <row r="5930" spans="1:15" x14ac:dyDescent="0.35">
      <c r="A5930" t="s">
        <v>6495</v>
      </c>
      <c r="B5930" t="s">
        <v>6496</v>
      </c>
      <c r="C5930" t="s">
        <v>898</v>
      </c>
      <c r="D5930" t="s">
        <v>314</v>
      </c>
      <c r="E5930" t="s">
        <v>312</v>
      </c>
      <c r="F5930" t="s">
        <v>6513</v>
      </c>
      <c r="G5930">
        <v>17</v>
      </c>
      <c r="H5930">
        <v>2713.24</v>
      </c>
      <c r="I5930">
        <v>159.6</v>
      </c>
      <c r="J5930">
        <v>0</v>
      </c>
      <c r="K5930">
        <v>0</v>
      </c>
      <c r="L5930">
        <v>0</v>
      </c>
      <c r="M5930">
        <v>17</v>
      </c>
      <c r="N5930">
        <v>2713.24</v>
      </c>
      <c r="O5930">
        <v>159.6</v>
      </c>
    </row>
    <row r="5931" spans="1:15" x14ac:dyDescent="0.35">
      <c r="A5931" t="s">
        <v>6495</v>
      </c>
      <c r="B5931" t="s">
        <v>6496</v>
      </c>
      <c r="C5931" t="s">
        <v>898</v>
      </c>
      <c r="D5931" t="s">
        <v>314</v>
      </c>
      <c r="E5931" t="s">
        <v>310</v>
      </c>
      <c r="F5931" t="s">
        <v>6514</v>
      </c>
      <c r="G5931">
        <v>17</v>
      </c>
      <c r="H5931">
        <v>2713.24</v>
      </c>
      <c r="I5931">
        <v>159.6</v>
      </c>
      <c r="J5931">
        <v>0</v>
      </c>
      <c r="K5931">
        <v>0</v>
      </c>
      <c r="L5931">
        <v>0</v>
      </c>
      <c r="M5931">
        <v>17</v>
      </c>
      <c r="N5931">
        <v>2713.24</v>
      </c>
      <c r="O5931">
        <v>159.6</v>
      </c>
    </row>
    <row r="5932" spans="1:15" x14ac:dyDescent="0.35">
      <c r="A5932" t="s">
        <v>6495</v>
      </c>
      <c r="B5932" t="s">
        <v>6496</v>
      </c>
      <c r="C5932" t="s">
        <v>898</v>
      </c>
      <c r="D5932" t="s">
        <v>323</v>
      </c>
      <c r="E5932" t="s">
        <v>294</v>
      </c>
      <c r="F5932" t="s">
        <v>6515</v>
      </c>
      <c r="G5932">
        <v>540</v>
      </c>
      <c r="H5932">
        <v>52141.720000000008</v>
      </c>
      <c r="I5932">
        <v>96.56</v>
      </c>
      <c r="J5932">
        <v>0</v>
      </c>
      <c r="K5932">
        <v>0</v>
      </c>
      <c r="L5932">
        <v>0</v>
      </c>
      <c r="M5932">
        <v>540</v>
      </c>
      <c r="N5932">
        <v>52141.720000000008</v>
      </c>
      <c r="O5932">
        <v>96.56</v>
      </c>
    </row>
    <row r="5933" spans="1:15" x14ac:dyDescent="0.35">
      <c r="A5933" t="s">
        <v>6495</v>
      </c>
      <c r="B5933" t="s">
        <v>6496</v>
      </c>
      <c r="C5933" t="s">
        <v>898</v>
      </c>
      <c r="D5933" t="s">
        <v>323</v>
      </c>
      <c r="E5933" t="s">
        <v>296</v>
      </c>
      <c r="F5933" t="s">
        <v>6516</v>
      </c>
      <c r="G5933">
        <v>1068</v>
      </c>
      <c r="H5933">
        <v>119217.75999999998</v>
      </c>
      <c r="I5933">
        <v>111.63</v>
      </c>
      <c r="J5933">
        <v>0</v>
      </c>
      <c r="K5933">
        <v>0</v>
      </c>
      <c r="L5933">
        <v>0</v>
      </c>
      <c r="M5933">
        <v>1068</v>
      </c>
      <c r="N5933">
        <v>119217.75999999998</v>
      </c>
      <c r="O5933">
        <v>111.63</v>
      </c>
    </row>
    <row r="5934" spans="1:15" x14ac:dyDescent="0.35">
      <c r="A5934" t="s">
        <v>6495</v>
      </c>
      <c r="B5934" t="s">
        <v>6496</v>
      </c>
      <c r="C5934" t="s">
        <v>898</v>
      </c>
      <c r="D5934" t="s">
        <v>323</v>
      </c>
      <c r="E5934" t="s">
        <v>298</v>
      </c>
      <c r="F5934" t="s">
        <v>6517</v>
      </c>
      <c r="G5934">
        <v>763</v>
      </c>
      <c r="H5934">
        <v>91784.49</v>
      </c>
      <c r="I5934">
        <v>120.29</v>
      </c>
      <c r="J5934">
        <v>0</v>
      </c>
      <c r="K5934">
        <v>0</v>
      </c>
      <c r="L5934">
        <v>0</v>
      </c>
      <c r="M5934">
        <v>763</v>
      </c>
      <c r="N5934">
        <v>91784.49</v>
      </c>
      <c r="O5934">
        <v>120.29</v>
      </c>
    </row>
    <row r="5935" spans="1:15" x14ac:dyDescent="0.35">
      <c r="A5935" t="s">
        <v>6495</v>
      </c>
      <c r="B5935" t="s">
        <v>6496</v>
      </c>
      <c r="C5935" t="s">
        <v>898</v>
      </c>
      <c r="D5935" t="s">
        <v>323</v>
      </c>
      <c r="E5935" t="s">
        <v>300</v>
      </c>
      <c r="F5935" t="s">
        <v>6518</v>
      </c>
      <c r="G5935">
        <v>31</v>
      </c>
      <c r="H5935">
        <v>4275.34</v>
      </c>
      <c r="I5935">
        <v>137.91</v>
      </c>
      <c r="J5935">
        <v>0</v>
      </c>
      <c r="K5935">
        <v>0</v>
      </c>
      <c r="L5935">
        <v>0</v>
      </c>
      <c r="M5935">
        <v>31</v>
      </c>
      <c r="N5935">
        <v>4275.34</v>
      </c>
      <c r="O5935">
        <v>137.91</v>
      </c>
    </row>
    <row r="5936" spans="1:15" x14ac:dyDescent="0.35">
      <c r="A5936" t="s">
        <v>6495</v>
      </c>
      <c r="B5936" t="s">
        <v>6496</v>
      </c>
      <c r="C5936" t="s">
        <v>898</v>
      </c>
      <c r="D5936" t="s">
        <v>323</v>
      </c>
      <c r="E5936" t="s">
        <v>302</v>
      </c>
      <c r="F5936" t="s">
        <v>6519</v>
      </c>
      <c r="G5936">
        <v>1</v>
      </c>
      <c r="H5936">
        <v>169.1</v>
      </c>
      <c r="I5936">
        <v>169.1</v>
      </c>
      <c r="J5936">
        <v>0</v>
      </c>
      <c r="K5936">
        <v>0</v>
      </c>
      <c r="L5936">
        <v>0</v>
      </c>
      <c r="M5936">
        <v>1</v>
      </c>
      <c r="N5936">
        <v>169.1</v>
      </c>
      <c r="O5936">
        <v>169.1</v>
      </c>
    </row>
    <row r="5937" spans="1:15" x14ac:dyDescent="0.35">
      <c r="A5937" t="s">
        <v>6495</v>
      </c>
      <c r="B5937" t="s">
        <v>6496</v>
      </c>
      <c r="C5937" t="s">
        <v>898</v>
      </c>
      <c r="D5937" t="s">
        <v>323</v>
      </c>
      <c r="E5937" t="s">
        <v>304</v>
      </c>
      <c r="F5937" t="s">
        <v>6520</v>
      </c>
      <c r="G5937">
        <v>0</v>
      </c>
      <c r="H5937">
        <v>0</v>
      </c>
      <c r="I5937">
        <v>0</v>
      </c>
      <c r="J5937">
        <v>0</v>
      </c>
      <c r="K5937">
        <v>0</v>
      </c>
      <c r="L5937">
        <v>0</v>
      </c>
      <c r="M5937">
        <v>0</v>
      </c>
      <c r="N5937">
        <v>0</v>
      </c>
      <c r="O5937">
        <v>0</v>
      </c>
    </row>
    <row r="5938" spans="1:15" x14ac:dyDescent="0.35">
      <c r="A5938" t="s">
        <v>6495</v>
      </c>
      <c r="B5938" t="s">
        <v>6496</v>
      </c>
      <c r="C5938" t="s">
        <v>898</v>
      </c>
      <c r="D5938" t="s">
        <v>323</v>
      </c>
      <c r="E5938" t="s">
        <v>306</v>
      </c>
      <c r="F5938" t="s">
        <v>6521</v>
      </c>
      <c r="G5938">
        <v>12</v>
      </c>
      <c r="H5938">
        <v>1024.44</v>
      </c>
      <c r="I5938">
        <v>85.37</v>
      </c>
      <c r="J5938">
        <v>0</v>
      </c>
      <c r="K5938">
        <v>0</v>
      </c>
      <c r="L5938">
        <v>0</v>
      </c>
      <c r="M5938">
        <v>12</v>
      </c>
      <c r="N5938">
        <v>1024.44</v>
      </c>
      <c r="O5938">
        <v>85.37</v>
      </c>
    </row>
    <row r="5939" spans="1:15" x14ac:dyDescent="0.35">
      <c r="A5939" t="s">
        <v>6495</v>
      </c>
      <c r="B5939" t="s">
        <v>6496</v>
      </c>
      <c r="C5939" t="s">
        <v>898</v>
      </c>
      <c r="D5939" t="s">
        <v>323</v>
      </c>
      <c r="E5939" t="s">
        <v>308</v>
      </c>
      <c r="F5939" t="s">
        <v>6522</v>
      </c>
      <c r="G5939">
        <v>0</v>
      </c>
      <c r="H5939">
        <v>0</v>
      </c>
      <c r="I5939">
        <v>0</v>
      </c>
      <c r="J5939">
        <v>0</v>
      </c>
      <c r="K5939">
        <v>0</v>
      </c>
      <c r="L5939">
        <v>0</v>
      </c>
      <c r="M5939">
        <v>0</v>
      </c>
      <c r="N5939">
        <v>0</v>
      </c>
      <c r="O5939">
        <v>0</v>
      </c>
    </row>
    <row r="5940" spans="1:15" x14ac:dyDescent="0.35">
      <c r="A5940" t="s">
        <v>6495</v>
      </c>
      <c r="B5940" t="s">
        <v>6496</v>
      </c>
      <c r="C5940" t="s">
        <v>898</v>
      </c>
      <c r="D5940" t="s">
        <v>323</v>
      </c>
      <c r="E5940" t="s">
        <v>310</v>
      </c>
      <c r="F5940" t="s">
        <v>6523</v>
      </c>
      <c r="G5940">
        <v>2415</v>
      </c>
      <c r="H5940">
        <v>268612.84999999998</v>
      </c>
      <c r="I5940">
        <v>111.23</v>
      </c>
      <c r="J5940">
        <v>0</v>
      </c>
      <c r="K5940">
        <v>0</v>
      </c>
      <c r="L5940">
        <v>0</v>
      </c>
      <c r="M5940">
        <v>2415</v>
      </c>
      <c r="N5940">
        <v>268612.84999999998</v>
      </c>
      <c r="O5940">
        <v>111.23</v>
      </c>
    </row>
    <row r="5941" spans="1:15" x14ac:dyDescent="0.35">
      <c r="A5941" t="s">
        <v>6495</v>
      </c>
      <c r="B5941" t="s">
        <v>6496</v>
      </c>
      <c r="C5941" t="s">
        <v>898</v>
      </c>
      <c r="D5941" t="s">
        <v>323</v>
      </c>
      <c r="E5941" t="s">
        <v>312</v>
      </c>
      <c r="F5941" t="s">
        <v>6524</v>
      </c>
      <c r="G5941">
        <v>2415</v>
      </c>
      <c r="H5941">
        <v>268612.84999999998</v>
      </c>
      <c r="I5941">
        <v>111.23</v>
      </c>
      <c r="J5941">
        <v>0</v>
      </c>
      <c r="K5941">
        <v>0</v>
      </c>
      <c r="L5941">
        <v>0</v>
      </c>
      <c r="M5941">
        <v>2415</v>
      </c>
      <c r="N5941">
        <v>268612.84999999998</v>
      </c>
      <c r="O5941">
        <v>111.23</v>
      </c>
    </row>
    <row r="5942" spans="1:15" x14ac:dyDescent="0.35">
      <c r="A5942" t="s">
        <v>6495</v>
      </c>
      <c r="B5942" t="s">
        <v>6496</v>
      </c>
      <c r="C5942" t="s">
        <v>898</v>
      </c>
      <c r="D5942" t="s">
        <v>334</v>
      </c>
      <c r="E5942" t="s">
        <v>312</v>
      </c>
      <c r="F5942" t="s">
        <v>6525</v>
      </c>
      <c r="G5942">
        <v>3553</v>
      </c>
      <c r="H5942">
        <v>417784.63999999996</v>
      </c>
      <c r="I5942">
        <v>121.56</v>
      </c>
      <c r="J5942">
        <v>0</v>
      </c>
      <c r="K5942">
        <v>0</v>
      </c>
      <c r="L5942">
        <v>0</v>
      </c>
      <c r="M5942">
        <v>3553</v>
      </c>
      <c r="N5942">
        <v>417784.63999999996</v>
      </c>
      <c r="O5942">
        <v>121.56</v>
      </c>
    </row>
    <row r="5943" spans="1:15" x14ac:dyDescent="0.35">
      <c r="A5943" t="s">
        <v>6495</v>
      </c>
      <c r="B5943" t="s">
        <v>6496</v>
      </c>
      <c r="C5943" t="s">
        <v>898</v>
      </c>
      <c r="D5943" t="s">
        <v>334</v>
      </c>
      <c r="E5943" t="s">
        <v>308</v>
      </c>
      <c r="F5943" t="s">
        <v>6526</v>
      </c>
      <c r="G5943">
        <v>0</v>
      </c>
      <c r="H5943">
        <v>0</v>
      </c>
      <c r="I5943">
        <v>0</v>
      </c>
      <c r="J5943">
        <v>0</v>
      </c>
      <c r="K5943">
        <v>0</v>
      </c>
      <c r="L5943">
        <v>0</v>
      </c>
      <c r="M5943">
        <v>0</v>
      </c>
      <c r="N5943">
        <v>0</v>
      </c>
      <c r="O5943">
        <v>0</v>
      </c>
    </row>
    <row r="5944" spans="1:15" x14ac:dyDescent="0.35">
      <c r="A5944" t="s">
        <v>6495</v>
      </c>
      <c r="B5944" t="s">
        <v>6496</v>
      </c>
      <c r="C5944" t="s">
        <v>898</v>
      </c>
      <c r="D5944" t="s">
        <v>337</v>
      </c>
      <c r="E5944" t="s">
        <v>337</v>
      </c>
      <c r="F5944" t="s">
        <v>6527</v>
      </c>
      <c r="G5944">
        <v>1056</v>
      </c>
      <c r="J5944">
        <v>0</v>
      </c>
      <c r="M5944">
        <v>1056</v>
      </c>
    </row>
    <row r="5945" spans="1:15" x14ac:dyDescent="0.35">
      <c r="A5945" t="s">
        <v>6495</v>
      </c>
      <c r="B5945" t="s">
        <v>6496</v>
      </c>
      <c r="C5945" t="s">
        <v>898</v>
      </c>
      <c r="D5945" t="s">
        <v>339</v>
      </c>
      <c r="E5945" t="s">
        <v>294</v>
      </c>
      <c r="F5945" t="s">
        <v>6528</v>
      </c>
      <c r="G5945">
        <v>312</v>
      </c>
      <c r="H5945">
        <v>30883.46</v>
      </c>
      <c r="I5945">
        <v>98.99</v>
      </c>
      <c r="J5945">
        <v>0</v>
      </c>
      <c r="K5945">
        <v>0</v>
      </c>
      <c r="L5945">
        <v>0</v>
      </c>
      <c r="M5945">
        <v>312</v>
      </c>
      <c r="N5945">
        <v>30883.46</v>
      </c>
      <c r="O5945">
        <v>98.99</v>
      </c>
    </row>
    <row r="5946" spans="1:15" x14ac:dyDescent="0.35">
      <c r="A5946" t="s">
        <v>6495</v>
      </c>
      <c r="B5946" t="s">
        <v>6496</v>
      </c>
      <c r="C5946" t="s">
        <v>898</v>
      </c>
      <c r="D5946" t="s">
        <v>339</v>
      </c>
      <c r="E5946" t="s">
        <v>296</v>
      </c>
      <c r="F5946" t="s">
        <v>6529</v>
      </c>
      <c r="G5946">
        <v>17</v>
      </c>
      <c r="H5946">
        <v>1891.44</v>
      </c>
      <c r="I5946">
        <v>111.26</v>
      </c>
      <c r="J5946">
        <v>0</v>
      </c>
      <c r="K5946">
        <v>0</v>
      </c>
      <c r="L5946">
        <v>0</v>
      </c>
      <c r="M5946">
        <v>17</v>
      </c>
      <c r="N5946">
        <v>1891.44</v>
      </c>
      <c r="O5946">
        <v>111.26</v>
      </c>
    </row>
    <row r="5947" spans="1:15" x14ac:dyDescent="0.35">
      <c r="A5947" t="s">
        <v>6495</v>
      </c>
      <c r="B5947" t="s">
        <v>6496</v>
      </c>
      <c r="C5947" t="s">
        <v>898</v>
      </c>
      <c r="D5947" t="s">
        <v>339</v>
      </c>
      <c r="E5947" t="s">
        <v>298</v>
      </c>
      <c r="F5947" t="s">
        <v>6530</v>
      </c>
      <c r="G5947">
        <v>1</v>
      </c>
      <c r="H5947">
        <v>109.64</v>
      </c>
      <c r="I5947">
        <v>109.64</v>
      </c>
      <c r="J5947">
        <v>0</v>
      </c>
      <c r="K5947">
        <v>0</v>
      </c>
      <c r="L5947">
        <v>0</v>
      </c>
      <c r="M5947">
        <v>1</v>
      </c>
      <c r="N5947">
        <v>109.64</v>
      </c>
      <c r="O5947">
        <v>109.64</v>
      </c>
    </row>
    <row r="5948" spans="1:15" x14ac:dyDescent="0.35">
      <c r="A5948" t="s">
        <v>6495</v>
      </c>
      <c r="B5948" t="s">
        <v>6496</v>
      </c>
      <c r="C5948" t="s">
        <v>898</v>
      </c>
      <c r="D5948" t="s">
        <v>339</v>
      </c>
      <c r="E5948" t="s">
        <v>300</v>
      </c>
      <c r="F5948" t="s">
        <v>6531</v>
      </c>
      <c r="G5948">
        <v>0</v>
      </c>
      <c r="H5948">
        <v>0</v>
      </c>
      <c r="I5948">
        <v>0</v>
      </c>
      <c r="J5948">
        <v>0</v>
      </c>
      <c r="K5948">
        <v>0</v>
      </c>
      <c r="L5948">
        <v>0</v>
      </c>
      <c r="M5948">
        <v>0</v>
      </c>
      <c r="N5948">
        <v>0</v>
      </c>
      <c r="O5948">
        <v>0</v>
      </c>
    </row>
    <row r="5949" spans="1:15" x14ac:dyDescent="0.35">
      <c r="A5949" t="s">
        <v>6495</v>
      </c>
      <c r="B5949" t="s">
        <v>6496</v>
      </c>
      <c r="C5949" t="s">
        <v>898</v>
      </c>
      <c r="D5949" t="s">
        <v>339</v>
      </c>
      <c r="E5949" t="s">
        <v>306</v>
      </c>
      <c r="F5949" t="s">
        <v>6532</v>
      </c>
      <c r="G5949">
        <v>20</v>
      </c>
      <c r="H5949">
        <v>1561.6</v>
      </c>
      <c r="I5949">
        <v>78.08</v>
      </c>
      <c r="J5949">
        <v>0</v>
      </c>
      <c r="K5949">
        <v>0</v>
      </c>
      <c r="L5949">
        <v>0</v>
      </c>
      <c r="M5949">
        <v>20</v>
      </c>
      <c r="N5949">
        <v>1561.6</v>
      </c>
      <c r="O5949">
        <v>78.08</v>
      </c>
    </row>
    <row r="5950" spans="1:15" x14ac:dyDescent="0.35">
      <c r="A5950" t="s">
        <v>6495</v>
      </c>
      <c r="B5950" t="s">
        <v>6496</v>
      </c>
      <c r="C5950" t="s">
        <v>898</v>
      </c>
      <c r="D5950" t="s">
        <v>339</v>
      </c>
      <c r="E5950" t="s">
        <v>308</v>
      </c>
      <c r="F5950" t="s">
        <v>6533</v>
      </c>
      <c r="G5950">
        <v>10</v>
      </c>
      <c r="H5950">
        <v>1408.37</v>
      </c>
      <c r="I5950">
        <v>140.84</v>
      </c>
      <c r="J5950">
        <v>0</v>
      </c>
      <c r="K5950">
        <v>0</v>
      </c>
      <c r="L5950">
        <v>0</v>
      </c>
      <c r="M5950">
        <v>10</v>
      </c>
      <c r="N5950">
        <v>1408.37</v>
      </c>
      <c r="O5950">
        <v>140.84</v>
      </c>
    </row>
    <row r="5951" spans="1:15" x14ac:dyDescent="0.35">
      <c r="A5951" t="s">
        <v>6495</v>
      </c>
      <c r="B5951" t="s">
        <v>6496</v>
      </c>
      <c r="C5951" t="s">
        <v>898</v>
      </c>
      <c r="D5951" t="s">
        <v>339</v>
      </c>
      <c r="E5951" t="s">
        <v>310</v>
      </c>
      <c r="F5951" t="s">
        <v>6534</v>
      </c>
      <c r="G5951">
        <v>360</v>
      </c>
      <c r="H5951">
        <v>35854.51</v>
      </c>
      <c r="I5951">
        <v>99.6</v>
      </c>
      <c r="J5951">
        <v>0</v>
      </c>
      <c r="K5951">
        <v>0</v>
      </c>
      <c r="L5951">
        <v>0</v>
      </c>
      <c r="M5951">
        <v>360</v>
      </c>
      <c r="N5951">
        <v>35854.51</v>
      </c>
      <c r="O5951">
        <v>99.6</v>
      </c>
    </row>
    <row r="5952" spans="1:15" x14ac:dyDescent="0.35">
      <c r="A5952" t="s">
        <v>6495</v>
      </c>
      <c r="B5952" t="s">
        <v>6496</v>
      </c>
      <c r="C5952" t="s">
        <v>898</v>
      </c>
      <c r="D5952" t="s">
        <v>339</v>
      </c>
      <c r="E5952" t="s">
        <v>312</v>
      </c>
      <c r="F5952" t="s">
        <v>6535</v>
      </c>
      <c r="G5952">
        <v>350</v>
      </c>
      <c r="H5952">
        <v>34446.14</v>
      </c>
      <c r="I5952">
        <v>98.42</v>
      </c>
      <c r="J5952">
        <v>0</v>
      </c>
      <c r="K5952">
        <v>0</v>
      </c>
      <c r="L5952">
        <v>0</v>
      </c>
      <c r="M5952">
        <v>350</v>
      </c>
      <c r="N5952">
        <v>34446.14</v>
      </c>
      <c r="O5952">
        <v>98.42</v>
      </c>
    </row>
    <row r="5953" spans="1:15" x14ac:dyDescent="0.35">
      <c r="A5953" t="s">
        <v>6495</v>
      </c>
      <c r="B5953" t="s">
        <v>6496</v>
      </c>
      <c r="C5953" t="s">
        <v>898</v>
      </c>
      <c r="D5953" t="s">
        <v>348</v>
      </c>
      <c r="E5953" t="s">
        <v>349</v>
      </c>
      <c r="F5953" t="s">
        <v>6536</v>
      </c>
      <c r="G5953">
        <v>389</v>
      </c>
      <c r="H5953">
        <v>38567.75</v>
      </c>
      <c r="I5953">
        <v>102.3</v>
      </c>
      <c r="J5953">
        <v>0</v>
      </c>
      <c r="K5953">
        <v>0</v>
      </c>
      <c r="L5953">
        <v>0</v>
      </c>
      <c r="M5953">
        <v>389</v>
      </c>
      <c r="N5953">
        <v>38567.75</v>
      </c>
      <c r="O5953">
        <v>102.3</v>
      </c>
    </row>
    <row r="5954" spans="1:15" x14ac:dyDescent="0.35">
      <c r="A5954" t="s">
        <v>6537</v>
      </c>
      <c r="B5954" t="s">
        <v>6538</v>
      </c>
      <c r="C5954" t="s">
        <v>898</v>
      </c>
      <c r="D5954" t="s">
        <v>293</v>
      </c>
      <c r="E5954" t="s">
        <v>294</v>
      </c>
      <c r="F5954" t="s">
        <v>6539</v>
      </c>
      <c r="G5954">
        <v>171</v>
      </c>
      <c r="H5954">
        <v>19214.329999999998</v>
      </c>
      <c r="I5954">
        <v>112.36</v>
      </c>
      <c r="J5954">
        <v>21</v>
      </c>
      <c r="K5954">
        <v>2221.17</v>
      </c>
      <c r="L5954">
        <v>105.77</v>
      </c>
      <c r="M5954">
        <v>192</v>
      </c>
      <c r="N5954">
        <v>21435.5</v>
      </c>
      <c r="O5954">
        <v>111.64</v>
      </c>
    </row>
    <row r="5955" spans="1:15" x14ac:dyDescent="0.35">
      <c r="A5955" t="s">
        <v>6537</v>
      </c>
      <c r="B5955" t="s">
        <v>6538</v>
      </c>
      <c r="C5955" t="s">
        <v>898</v>
      </c>
      <c r="D5955" t="s">
        <v>293</v>
      </c>
      <c r="E5955" t="s">
        <v>296</v>
      </c>
      <c r="F5955" t="s">
        <v>6540</v>
      </c>
      <c r="G5955">
        <v>489</v>
      </c>
      <c r="H5955">
        <v>69769.87999999999</v>
      </c>
      <c r="I5955">
        <v>142.68</v>
      </c>
      <c r="J5955">
        <v>41</v>
      </c>
      <c r="K5955">
        <v>5596.91</v>
      </c>
      <c r="L5955">
        <v>136.51</v>
      </c>
      <c r="M5955">
        <v>530</v>
      </c>
      <c r="N5955">
        <v>75366.789999999994</v>
      </c>
      <c r="O5955">
        <v>142.19999999999999</v>
      </c>
    </row>
    <row r="5956" spans="1:15" x14ac:dyDescent="0.35">
      <c r="A5956" t="s">
        <v>6537</v>
      </c>
      <c r="B5956" t="s">
        <v>6538</v>
      </c>
      <c r="C5956" t="s">
        <v>898</v>
      </c>
      <c r="D5956" t="s">
        <v>293</v>
      </c>
      <c r="E5956" t="s">
        <v>298</v>
      </c>
      <c r="F5956" t="s">
        <v>6541</v>
      </c>
      <c r="G5956">
        <v>220</v>
      </c>
      <c r="H5956">
        <v>35806.42</v>
      </c>
      <c r="I5956">
        <v>162.76</v>
      </c>
      <c r="J5956">
        <v>24</v>
      </c>
      <c r="K5956">
        <v>3601.68</v>
      </c>
      <c r="L5956">
        <v>150.07</v>
      </c>
      <c r="M5956">
        <v>244</v>
      </c>
      <c r="N5956">
        <v>39408.1</v>
      </c>
      <c r="O5956">
        <v>161.51</v>
      </c>
    </row>
    <row r="5957" spans="1:15" x14ac:dyDescent="0.35">
      <c r="A5957" t="s">
        <v>6537</v>
      </c>
      <c r="B5957" t="s">
        <v>6538</v>
      </c>
      <c r="C5957" t="s">
        <v>898</v>
      </c>
      <c r="D5957" t="s">
        <v>293</v>
      </c>
      <c r="E5957" t="s">
        <v>300</v>
      </c>
      <c r="F5957" t="s">
        <v>6542</v>
      </c>
      <c r="G5957">
        <v>32</v>
      </c>
      <c r="H5957">
        <v>6743.35</v>
      </c>
      <c r="I5957">
        <v>210.73</v>
      </c>
      <c r="J5957">
        <v>4</v>
      </c>
      <c r="K5957">
        <v>812.32</v>
      </c>
      <c r="L5957">
        <v>203.08</v>
      </c>
      <c r="M5957">
        <v>36</v>
      </c>
      <c r="N5957">
        <v>7555.67</v>
      </c>
      <c r="O5957">
        <v>209.88</v>
      </c>
    </row>
    <row r="5958" spans="1:15" x14ac:dyDescent="0.35">
      <c r="A5958" t="s">
        <v>6537</v>
      </c>
      <c r="B5958" t="s">
        <v>6538</v>
      </c>
      <c r="C5958" t="s">
        <v>898</v>
      </c>
      <c r="D5958" t="s">
        <v>293</v>
      </c>
      <c r="E5958" t="s">
        <v>302</v>
      </c>
      <c r="F5958" t="s">
        <v>6543</v>
      </c>
      <c r="G5958">
        <v>0</v>
      </c>
      <c r="H5958">
        <v>0</v>
      </c>
      <c r="I5958">
        <v>0</v>
      </c>
      <c r="J5958">
        <v>0</v>
      </c>
      <c r="K5958">
        <v>0</v>
      </c>
      <c r="L5958">
        <v>0</v>
      </c>
      <c r="M5958">
        <v>0</v>
      </c>
      <c r="N5958">
        <v>0</v>
      </c>
      <c r="O5958">
        <v>0</v>
      </c>
    </row>
    <row r="5959" spans="1:15" x14ac:dyDescent="0.35">
      <c r="A5959" t="s">
        <v>6537</v>
      </c>
      <c r="B5959" t="s">
        <v>6538</v>
      </c>
      <c r="C5959" t="s">
        <v>898</v>
      </c>
      <c r="D5959" t="s">
        <v>293</v>
      </c>
      <c r="E5959" t="s">
        <v>304</v>
      </c>
      <c r="F5959" t="s">
        <v>6544</v>
      </c>
      <c r="G5959">
        <v>0</v>
      </c>
      <c r="H5959">
        <v>0</v>
      </c>
      <c r="I5959">
        <v>0</v>
      </c>
      <c r="J5959">
        <v>0</v>
      </c>
      <c r="K5959">
        <v>0</v>
      </c>
      <c r="L5959">
        <v>0</v>
      </c>
      <c r="M5959">
        <v>0</v>
      </c>
      <c r="N5959">
        <v>0</v>
      </c>
      <c r="O5959">
        <v>0</v>
      </c>
    </row>
    <row r="5960" spans="1:15" x14ac:dyDescent="0.35">
      <c r="A5960" t="s">
        <v>6537</v>
      </c>
      <c r="B5960" t="s">
        <v>6538</v>
      </c>
      <c r="C5960" t="s">
        <v>898</v>
      </c>
      <c r="D5960" t="s">
        <v>293</v>
      </c>
      <c r="E5960" t="s">
        <v>306</v>
      </c>
      <c r="F5960" t="s">
        <v>6545</v>
      </c>
      <c r="G5960">
        <v>0</v>
      </c>
      <c r="H5960">
        <v>0</v>
      </c>
      <c r="I5960">
        <v>0</v>
      </c>
      <c r="J5960">
        <v>0</v>
      </c>
      <c r="K5960">
        <v>0</v>
      </c>
      <c r="L5960">
        <v>0</v>
      </c>
      <c r="M5960">
        <v>0</v>
      </c>
      <c r="N5960">
        <v>0</v>
      </c>
      <c r="O5960">
        <v>0</v>
      </c>
    </row>
    <row r="5961" spans="1:15" x14ac:dyDescent="0.35">
      <c r="A5961" t="s">
        <v>6537</v>
      </c>
      <c r="B5961" t="s">
        <v>6538</v>
      </c>
      <c r="C5961" t="s">
        <v>898</v>
      </c>
      <c r="D5961" t="s">
        <v>293</v>
      </c>
      <c r="E5961" t="s">
        <v>308</v>
      </c>
      <c r="F5961" t="s">
        <v>6546</v>
      </c>
      <c r="G5961">
        <v>0</v>
      </c>
      <c r="H5961">
        <v>0</v>
      </c>
      <c r="I5961">
        <v>0</v>
      </c>
      <c r="J5961">
        <v>0</v>
      </c>
      <c r="K5961">
        <v>0</v>
      </c>
      <c r="L5961">
        <v>0</v>
      </c>
      <c r="M5961">
        <v>0</v>
      </c>
      <c r="N5961">
        <v>0</v>
      </c>
      <c r="O5961">
        <v>0</v>
      </c>
    </row>
    <row r="5962" spans="1:15" x14ac:dyDescent="0.35">
      <c r="A5962" t="s">
        <v>6537</v>
      </c>
      <c r="B5962" t="s">
        <v>6538</v>
      </c>
      <c r="C5962" t="s">
        <v>898</v>
      </c>
      <c r="D5962" t="s">
        <v>293</v>
      </c>
      <c r="E5962" t="s">
        <v>310</v>
      </c>
      <c r="F5962" t="s">
        <v>6547</v>
      </c>
      <c r="G5962">
        <v>912</v>
      </c>
      <c r="H5962">
        <v>131533.97999999998</v>
      </c>
      <c r="I5962">
        <v>144.22999999999999</v>
      </c>
      <c r="J5962">
        <v>90</v>
      </c>
      <c r="K5962">
        <v>12232.08</v>
      </c>
      <c r="L5962">
        <v>135.91</v>
      </c>
      <c r="M5962">
        <v>1002</v>
      </c>
      <c r="N5962">
        <v>143766.05999999997</v>
      </c>
      <c r="O5962">
        <v>143.47999999999999</v>
      </c>
    </row>
    <row r="5963" spans="1:15" x14ac:dyDescent="0.35">
      <c r="A5963" t="s">
        <v>6537</v>
      </c>
      <c r="B5963" t="s">
        <v>6538</v>
      </c>
      <c r="C5963" t="s">
        <v>898</v>
      </c>
      <c r="D5963" t="s">
        <v>293</v>
      </c>
      <c r="E5963" t="s">
        <v>312</v>
      </c>
      <c r="F5963" t="s">
        <v>6548</v>
      </c>
      <c r="G5963">
        <v>912</v>
      </c>
      <c r="H5963">
        <v>131533.97999999998</v>
      </c>
      <c r="I5963">
        <v>144.22999999999999</v>
      </c>
      <c r="J5963">
        <v>90</v>
      </c>
      <c r="K5963">
        <v>12232.08</v>
      </c>
      <c r="L5963">
        <v>135.91</v>
      </c>
      <c r="M5963">
        <v>1002</v>
      </c>
      <c r="N5963">
        <v>143766.05999999997</v>
      </c>
      <c r="O5963">
        <v>143.47999999999999</v>
      </c>
    </row>
    <row r="5964" spans="1:15" x14ac:dyDescent="0.35">
      <c r="A5964" t="s">
        <v>6537</v>
      </c>
      <c r="B5964" t="s">
        <v>6538</v>
      </c>
      <c r="C5964" t="s">
        <v>898</v>
      </c>
      <c r="D5964" t="s">
        <v>314</v>
      </c>
      <c r="E5964" t="s">
        <v>294</v>
      </c>
      <c r="F5964" t="s">
        <v>6549</v>
      </c>
      <c r="G5964">
        <v>23</v>
      </c>
      <c r="H5964">
        <v>5002.96</v>
      </c>
      <c r="I5964">
        <v>217.52</v>
      </c>
      <c r="J5964">
        <v>27</v>
      </c>
      <c r="K5964">
        <v>2742.9300000000003</v>
      </c>
      <c r="L5964">
        <v>101.59</v>
      </c>
      <c r="M5964">
        <v>50</v>
      </c>
      <c r="N5964">
        <v>7745.89</v>
      </c>
      <c r="O5964">
        <v>154.91999999999999</v>
      </c>
    </row>
    <row r="5965" spans="1:15" x14ac:dyDescent="0.35">
      <c r="A5965" t="s">
        <v>6537</v>
      </c>
      <c r="B5965" t="s">
        <v>6538</v>
      </c>
      <c r="C5965" t="s">
        <v>898</v>
      </c>
      <c r="D5965" t="s">
        <v>314</v>
      </c>
      <c r="E5965" t="s">
        <v>296</v>
      </c>
      <c r="F5965" t="s">
        <v>6550</v>
      </c>
      <c r="G5965">
        <v>0</v>
      </c>
      <c r="H5965">
        <v>0</v>
      </c>
      <c r="I5965">
        <v>0</v>
      </c>
      <c r="J5965">
        <v>0</v>
      </c>
      <c r="K5965">
        <v>0</v>
      </c>
      <c r="L5965">
        <v>0</v>
      </c>
      <c r="M5965">
        <v>0</v>
      </c>
      <c r="N5965">
        <v>0</v>
      </c>
      <c r="O5965">
        <v>0</v>
      </c>
    </row>
    <row r="5966" spans="1:15" x14ac:dyDescent="0.35">
      <c r="A5966" t="s">
        <v>6537</v>
      </c>
      <c r="B5966" t="s">
        <v>6538</v>
      </c>
      <c r="C5966" t="s">
        <v>898</v>
      </c>
      <c r="D5966" t="s">
        <v>314</v>
      </c>
      <c r="E5966" t="s">
        <v>298</v>
      </c>
      <c r="F5966" t="s">
        <v>6551</v>
      </c>
      <c r="G5966">
        <v>0</v>
      </c>
      <c r="H5966">
        <v>0</v>
      </c>
      <c r="I5966">
        <v>0</v>
      </c>
      <c r="J5966">
        <v>0</v>
      </c>
      <c r="K5966">
        <v>0</v>
      </c>
      <c r="L5966">
        <v>0</v>
      </c>
      <c r="M5966">
        <v>0</v>
      </c>
      <c r="N5966">
        <v>0</v>
      </c>
      <c r="O5966">
        <v>0</v>
      </c>
    </row>
    <row r="5967" spans="1:15" x14ac:dyDescent="0.35">
      <c r="A5967" t="s">
        <v>6537</v>
      </c>
      <c r="B5967" t="s">
        <v>6538</v>
      </c>
      <c r="C5967" t="s">
        <v>898</v>
      </c>
      <c r="D5967" t="s">
        <v>314</v>
      </c>
      <c r="E5967" t="s">
        <v>300</v>
      </c>
      <c r="F5967" t="s">
        <v>6552</v>
      </c>
      <c r="G5967">
        <v>0</v>
      </c>
      <c r="H5967">
        <v>0</v>
      </c>
      <c r="I5967">
        <v>0</v>
      </c>
      <c r="J5967">
        <v>0</v>
      </c>
      <c r="K5967">
        <v>0</v>
      </c>
      <c r="L5967">
        <v>0</v>
      </c>
      <c r="M5967">
        <v>0</v>
      </c>
      <c r="N5967">
        <v>0</v>
      </c>
      <c r="O5967">
        <v>0</v>
      </c>
    </row>
    <row r="5968" spans="1:15" x14ac:dyDescent="0.35">
      <c r="A5968" t="s">
        <v>6537</v>
      </c>
      <c r="B5968" t="s">
        <v>6538</v>
      </c>
      <c r="C5968" t="s">
        <v>898</v>
      </c>
      <c r="D5968" t="s">
        <v>314</v>
      </c>
      <c r="E5968" t="s">
        <v>306</v>
      </c>
      <c r="F5968" t="s">
        <v>6553</v>
      </c>
      <c r="G5968">
        <v>0</v>
      </c>
      <c r="H5968">
        <v>0</v>
      </c>
      <c r="I5968">
        <v>0</v>
      </c>
      <c r="J5968">
        <v>0</v>
      </c>
      <c r="K5968">
        <v>0</v>
      </c>
      <c r="L5968">
        <v>0</v>
      </c>
      <c r="M5968">
        <v>0</v>
      </c>
      <c r="N5968">
        <v>0</v>
      </c>
      <c r="O5968">
        <v>0</v>
      </c>
    </row>
    <row r="5969" spans="1:15" x14ac:dyDescent="0.35">
      <c r="A5969" t="s">
        <v>6537</v>
      </c>
      <c r="B5969" t="s">
        <v>6538</v>
      </c>
      <c r="C5969" t="s">
        <v>898</v>
      </c>
      <c r="D5969" t="s">
        <v>314</v>
      </c>
      <c r="E5969" t="s">
        <v>308</v>
      </c>
      <c r="F5969" t="s">
        <v>6554</v>
      </c>
      <c r="G5969">
        <v>0</v>
      </c>
      <c r="H5969">
        <v>0</v>
      </c>
      <c r="I5969">
        <v>0</v>
      </c>
      <c r="J5969">
        <v>0</v>
      </c>
      <c r="K5969">
        <v>0</v>
      </c>
      <c r="L5969">
        <v>0</v>
      </c>
      <c r="M5969">
        <v>0</v>
      </c>
      <c r="N5969">
        <v>0</v>
      </c>
      <c r="O5969">
        <v>0</v>
      </c>
    </row>
    <row r="5970" spans="1:15" x14ac:dyDescent="0.35">
      <c r="A5970" t="s">
        <v>6537</v>
      </c>
      <c r="B5970" t="s">
        <v>6538</v>
      </c>
      <c r="C5970" t="s">
        <v>898</v>
      </c>
      <c r="D5970" t="s">
        <v>314</v>
      </c>
      <c r="E5970" t="s">
        <v>312</v>
      </c>
      <c r="F5970" t="s">
        <v>6555</v>
      </c>
      <c r="G5970">
        <v>23</v>
      </c>
      <c r="H5970">
        <v>5002.96</v>
      </c>
      <c r="I5970">
        <v>217.52</v>
      </c>
      <c r="J5970">
        <v>27</v>
      </c>
      <c r="K5970">
        <v>2742.9300000000003</v>
      </c>
      <c r="L5970">
        <v>101.59</v>
      </c>
      <c r="M5970">
        <v>50</v>
      </c>
      <c r="N5970">
        <v>7745.89</v>
      </c>
      <c r="O5970">
        <v>154.91999999999999</v>
      </c>
    </row>
    <row r="5971" spans="1:15" x14ac:dyDescent="0.35">
      <c r="A5971" t="s">
        <v>6537</v>
      </c>
      <c r="B5971" t="s">
        <v>6538</v>
      </c>
      <c r="C5971" t="s">
        <v>898</v>
      </c>
      <c r="D5971" t="s">
        <v>314</v>
      </c>
      <c r="E5971" t="s">
        <v>310</v>
      </c>
      <c r="F5971" t="s">
        <v>6556</v>
      </c>
      <c r="G5971">
        <v>23</v>
      </c>
      <c r="H5971">
        <v>5002.96</v>
      </c>
      <c r="I5971">
        <v>217.52</v>
      </c>
      <c r="J5971">
        <v>27</v>
      </c>
      <c r="K5971">
        <v>2742.9300000000003</v>
      </c>
      <c r="L5971">
        <v>101.59</v>
      </c>
      <c r="M5971">
        <v>50</v>
      </c>
      <c r="N5971">
        <v>7745.89</v>
      </c>
      <c r="O5971">
        <v>154.91999999999999</v>
      </c>
    </row>
    <row r="5972" spans="1:15" x14ac:dyDescent="0.35">
      <c r="A5972" t="s">
        <v>6537</v>
      </c>
      <c r="B5972" t="s">
        <v>6538</v>
      </c>
      <c r="C5972" t="s">
        <v>898</v>
      </c>
      <c r="D5972" t="s">
        <v>323</v>
      </c>
      <c r="E5972" t="s">
        <v>294</v>
      </c>
      <c r="F5972" t="s">
        <v>6557</v>
      </c>
      <c r="G5972">
        <v>262</v>
      </c>
      <c r="H5972">
        <v>24912.690000000002</v>
      </c>
      <c r="I5972">
        <v>95.09</v>
      </c>
      <c r="J5972">
        <v>534</v>
      </c>
      <c r="K5972">
        <v>44300.639999999999</v>
      </c>
      <c r="L5972">
        <v>82.96</v>
      </c>
      <c r="M5972">
        <v>796</v>
      </c>
      <c r="N5972">
        <v>69213.33</v>
      </c>
      <c r="O5972">
        <v>86.95</v>
      </c>
    </row>
    <row r="5973" spans="1:15" x14ac:dyDescent="0.35">
      <c r="A5973" t="s">
        <v>6537</v>
      </c>
      <c r="B5973" t="s">
        <v>6538</v>
      </c>
      <c r="C5973" t="s">
        <v>898</v>
      </c>
      <c r="D5973" t="s">
        <v>323</v>
      </c>
      <c r="E5973" t="s">
        <v>296</v>
      </c>
      <c r="F5973" t="s">
        <v>6558</v>
      </c>
      <c r="G5973">
        <v>684</v>
      </c>
      <c r="H5973">
        <v>76521.750000000015</v>
      </c>
      <c r="I5973">
        <v>111.87</v>
      </c>
      <c r="J5973">
        <v>1045</v>
      </c>
      <c r="K5973">
        <v>97676.15</v>
      </c>
      <c r="L5973">
        <v>93.47</v>
      </c>
      <c r="M5973">
        <v>1729</v>
      </c>
      <c r="N5973">
        <v>174197.90000000002</v>
      </c>
      <c r="O5973">
        <v>100.75</v>
      </c>
    </row>
    <row r="5974" spans="1:15" x14ac:dyDescent="0.35">
      <c r="A5974" t="s">
        <v>6537</v>
      </c>
      <c r="B5974" t="s">
        <v>6538</v>
      </c>
      <c r="C5974" t="s">
        <v>898</v>
      </c>
      <c r="D5974" t="s">
        <v>323</v>
      </c>
      <c r="E5974" t="s">
        <v>298</v>
      </c>
      <c r="F5974" t="s">
        <v>6559</v>
      </c>
      <c r="G5974">
        <v>416</v>
      </c>
      <c r="H5974">
        <v>50898.729999999996</v>
      </c>
      <c r="I5974">
        <v>122.35</v>
      </c>
      <c r="J5974">
        <v>1131</v>
      </c>
      <c r="K5974">
        <v>114038.73</v>
      </c>
      <c r="L5974">
        <v>100.83</v>
      </c>
      <c r="M5974">
        <v>1547</v>
      </c>
      <c r="N5974">
        <v>164937.46</v>
      </c>
      <c r="O5974">
        <v>106.62</v>
      </c>
    </row>
    <row r="5975" spans="1:15" x14ac:dyDescent="0.35">
      <c r="A5975" t="s">
        <v>6537</v>
      </c>
      <c r="B5975" t="s">
        <v>6538</v>
      </c>
      <c r="C5975" t="s">
        <v>898</v>
      </c>
      <c r="D5975" t="s">
        <v>323</v>
      </c>
      <c r="E5975" t="s">
        <v>300</v>
      </c>
      <c r="F5975" t="s">
        <v>6560</v>
      </c>
      <c r="G5975">
        <v>18</v>
      </c>
      <c r="H5975">
        <v>2737.26</v>
      </c>
      <c r="I5975">
        <v>152.07</v>
      </c>
      <c r="J5975">
        <v>17</v>
      </c>
      <c r="K5975">
        <v>1814.58</v>
      </c>
      <c r="L5975">
        <v>106.74</v>
      </c>
      <c r="M5975">
        <v>35</v>
      </c>
      <c r="N5975">
        <v>4551.84</v>
      </c>
      <c r="O5975">
        <v>130.05000000000001</v>
      </c>
    </row>
    <row r="5976" spans="1:15" x14ac:dyDescent="0.35">
      <c r="A5976" t="s">
        <v>6537</v>
      </c>
      <c r="B5976" t="s">
        <v>6538</v>
      </c>
      <c r="C5976" t="s">
        <v>898</v>
      </c>
      <c r="D5976" t="s">
        <v>323</v>
      </c>
      <c r="E5976" t="s">
        <v>302</v>
      </c>
      <c r="F5976" t="s">
        <v>6561</v>
      </c>
      <c r="G5976">
        <v>1</v>
      </c>
      <c r="H5976">
        <v>163.66999999999999</v>
      </c>
      <c r="I5976">
        <v>163.66999999999999</v>
      </c>
      <c r="J5976">
        <v>2</v>
      </c>
      <c r="K5976">
        <v>206.98</v>
      </c>
      <c r="L5976">
        <v>103.49</v>
      </c>
      <c r="M5976">
        <v>3</v>
      </c>
      <c r="N5976">
        <v>370.65</v>
      </c>
      <c r="O5976">
        <v>123.55</v>
      </c>
    </row>
    <row r="5977" spans="1:15" x14ac:dyDescent="0.35">
      <c r="A5977" t="s">
        <v>6537</v>
      </c>
      <c r="B5977" t="s">
        <v>6538</v>
      </c>
      <c r="C5977" t="s">
        <v>898</v>
      </c>
      <c r="D5977" t="s">
        <v>323</v>
      </c>
      <c r="E5977" t="s">
        <v>304</v>
      </c>
      <c r="F5977" t="s">
        <v>6562</v>
      </c>
      <c r="G5977">
        <v>0</v>
      </c>
      <c r="H5977">
        <v>0</v>
      </c>
      <c r="I5977">
        <v>0</v>
      </c>
      <c r="J5977">
        <v>0</v>
      </c>
      <c r="K5977">
        <v>0</v>
      </c>
      <c r="L5977">
        <v>0</v>
      </c>
      <c r="M5977">
        <v>0</v>
      </c>
      <c r="N5977">
        <v>0</v>
      </c>
      <c r="O5977">
        <v>0</v>
      </c>
    </row>
    <row r="5978" spans="1:15" x14ac:dyDescent="0.35">
      <c r="A5978" t="s">
        <v>6537</v>
      </c>
      <c r="B5978" t="s">
        <v>6538</v>
      </c>
      <c r="C5978" t="s">
        <v>898</v>
      </c>
      <c r="D5978" t="s">
        <v>323</v>
      </c>
      <c r="E5978" t="s">
        <v>306</v>
      </c>
      <c r="F5978" t="s">
        <v>6563</v>
      </c>
      <c r="G5978">
        <v>0</v>
      </c>
      <c r="H5978">
        <v>0</v>
      </c>
      <c r="I5978">
        <v>0</v>
      </c>
      <c r="J5978">
        <v>0</v>
      </c>
      <c r="K5978">
        <v>0</v>
      </c>
      <c r="L5978">
        <v>0</v>
      </c>
      <c r="M5978">
        <v>0</v>
      </c>
      <c r="N5978">
        <v>0</v>
      </c>
      <c r="O5978">
        <v>0</v>
      </c>
    </row>
    <row r="5979" spans="1:15" x14ac:dyDescent="0.35">
      <c r="A5979" t="s">
        <v>6537</v>
      </c>
      <c r="B5979" t="s">
        <v>6538</v>
      </c>
      <c r="C5979" t="s">
        <v>898</v>
      </c>
      <c r="D5979" t="s">
        <v>323</v>
      </c>
      <c r="E5979" t="s">
        <v>308</v>
      </c>
      <c r="F5979" t="s">
        <v>6564</v>
      </c>
      <c r="G5979">
        <v>0</v>
      </c>
      <c r="H5979">
        <v>0</v>
      </c>
      <c r="I5979">
        <v>0</v>
      </c>
      <c r="J5979">
        <v>0</v>
      </c>
      <c r="K5979">
        <v>0</v>
      </c>
      <c r="L5979">
        <v>0</v>
      </c>
      <c r="M5979">
        <v>0</v>
      </c>
      <c r="N5979">
        <v>0</v>
      </c>
      <c r="O5979">
        <v>0</v>
      </c>
    </row>
    <row r="5980" spans="1:15" x14ac:dyDescent="0.35">
      <c r="A5980" t="s">
        <v>6537</v>
      </c>
      <c r="B5980" t="s">
        <v>6538</v>
      </c>
      <c r="C5980" t="s">
        <v>898</v>
      </c>
      <c r="D5980" t="s">
        <v>323</v>
      </c>
      <c r="E5980" t="s">
        <v>310</v>
      </c>
      <c r="F5980" t="s">
        <v>6565</v>
      </c>
      <c r="G5980">
        <v>1381</v>
      </c>
      <c r="H5980">
        <v>155234.10000000003</v>
      </c>
      <c r="I5980">
        <v>112.41</v>
      </c>
      <c r="J5980">
        <v>2729</v>
      </c>
      <c r="K5980">
        <v>258037.07999999996</v>
      </c>
      <c r="L5980">
        <v>94.55</v>
      </c>
      <c r="M5980">
        <v>4110</v>
      </c>
      <c r="N5980">
        <v>413271.18</v>
      </c>
      <c r="O5980">
        <v>100.55</v>
      </c>
    </row>
    <row r="5981" spans="1:15" x14ac:dyDescent="0.35">
      <c r="A5981" t="s">
        <v>6537</v>
      </c>
      <c r="B5981" t="s">
        <v>6538</v>
      </c>
      <c r="C5981" t="s">
        <v>898</v>
      </c>
      <c r="D5981" t="s">
        <v>323</v>
      </c>
      <c r="E5981" t="s">
        <v>312</v>
      </c>
      <c r="F5981" t="s">
        <v>6566</v>
      </c>
      <c r="G5981">
        <v>1381</v>
      </c>
      <c r="H5981">
        <v>155234.10000000003</v>
      </c>
      <c r="I5981">
        <v>112.41</v>
      </c>
      <c r="J5981">
        <v>2729</v>
      </c>
      <c r="K5981">
        <v>258037.07999999996</v>
      </c>
      <c r="L5981">
        <v>94.55</v>
      </c>
      <c r="M5981">
        <v>4110</v>
      </c>
      <c r="N5981">
        <v>413271.18</v>
      </c>
      <c r="O5981">
        <v>100.55</v>
      </c>
    </row>
    <row r="5982" spans="1:15" x14ac:dyDescent="0.35">
      <c r="A5982" t="s">
        <v>6537</v>
      </c>
      <c r="B5982" t="s">
        <v>6538</v>
      </c>
      <c r="C5982" t="s">
        <v>898</v>
      </c>
      <c r="D5982" t="s">
        <v>334</v>
      </c>
      <c r="E5982" t="s">
        <v>312</v>
      </c>
      <c r="F5982" t="s">
        <v>6567</v>
      </c>
      <c r="G5982">
        <v>2354</v>
      </c>
      <c r="H5982">
        <v>286768.07999999996</v>
      </c>
      <c r="I5982">
        <v>125.06</v>
      </c>
      <c r="J5982">
        <v>2819</v>
      </c>
      <c r="K5982">
        <v>270269.15999999997</v>
      </c>
      <c r="L5982">
        <v>95.87</v>
      </c>
      <c r="M5982">
        <v>5173</v>
      </c>
      <c r="N5982">
        <v>557037.24</v>
      </c>
      <c r="O5982">
        <v>108.97</v>
      </c>
    </row>
    <row r="5983" spans="1:15" x14ac:dyDescent="0.35">
      <c r="A5983" t="s">
        <v>6537</v>
      </c>
      <c r="B5983" t="s">
        <v>6538</v>
      </c>
      <c r="C5983" t="s">
        <v>898</v>
      </c>
      <c r="D5983" t="s">
        <v>334</v>
      </c>
      <c r="E5983" t="s">
        <v>308</v>
      </c>
      <c r="F5983" t="s">
        <v>6568</v>
      </c>
      <c r="G5983">
        <v>1</v>
      </c>
      <c r="H5983">
        <v>0</v>
      </c>
      <c r="I5983">
        <v>0</v>
      </c>
      <c r="J5983">
        <v>0</v>
      </c>
      <c r="K5983">
        <v>0</v>
      </c>
      <c r="L5983">
        <v>0</v>
      </c>
      <c r="M5983">
        <v>1</v>
      </c>
      <c r="N5983">
        <v>0</v>
      </c>
      <c r="O5983">
        <v>0</v>
      </c>
    </row>
    <row r="5984" spans="1:15" x14ac:dyDescent="0.35">
      <c r="A5984" t="s">
        <v>6537</v>
      </c>
      <c r="B5984" t="s">
        <v>6538</v>
      </c>
      <c r="C5984" t="s">
        <v>898</v>
      </c>
      <c r="D5984" t="s">
        <v>337</v>
      </c>
      <c r="E5984" t="s">
        <v>337</v>
      </c>
      <c r="F5984" t="s">
        <v>6569</v>
      </c>
      <c r="G5984">
        <v>637</v>
      </c>
      <c r="J5984">
        <v>2</v>
      </c>
      <c r="M5984">
        <v>639</v>
      </c>
    </row>
    <row r="5985" spans="1:15" x14ac:dyDescent="0.35">
      <c r="A5985" t="s">
        <v>6537</v>
      </c>
      <c r="B5985" t="s">
        <v>6538</v>
      </c>
      <c r="C5985" t="s">
        <v>898</v>
      </c>
      <c r="D5985" t="s">
        <v>339</v>
      </c>
      <c r="E5985" t="s">
        <v>294</v>
      </c>
      <c r="F5985" t="s">
        <v>6570</v>
      </c>
      <c r="G5985">
        <v>130</v>
      </c>
      <c r="H5985">
        <v>16075.16</v>
      </c>
      <c r="I5985">
        <v>123.66</v>
      </c>
      <c r="J5985">
        <v>286</v>
      </c>
      <c r="K5985">
        <v>22511.059999999998</v>
      </c>
      <c r="L5985">
        <v>78.709999999999994</v>
      </c>
      <c r="M5985">
        <v>416</v>
      </c>
      <c r="N5985">
        <v>38586.22</v>
      </c>
      <c r="O5985">
        <v>92.76</v>
      </c>
    </row>
    <row r="5986" spans="1:15" x14ac:dyDescent="0.35">
      <c r="A5986" t="s">
        <v>6537</v>
      </c>
      <c r="B5986" t="s">
        <v>6538</v>
      </c>
      <c r="C5986" t="s">
        <v>898</v>
      </c>
      <c r="D5986" t="s">
        <v>339</v>
      </c>
      <c r="E5986" t="s">
        <v>296</v>
      </c>
      <c r="F5986" t="s">
        <v>6571</v>
      </c>
      <c r="G5986">
        <v>36</v>
      </c>
      <c r="H5986">
        <v>4015.4400000000005</v>
      </c>
      <c r="I5986">
        <v>111.54</v>
      </c>
      <c r="J5986">
        <v>44</v>
      </c>
      <c r="K5986">
        <v>3821.84</v>
      </c>
      <c r="L5986">
        <v>86.86</v>
      </c>
      <c r="M5986">
        <v>80</v>
      </c>
      <c r="N5986">
        <v>7837.2800000000007</v>
      </c>
      <c r="O5986">
        <v>97.97</v>
      </c>
    </row>
    <row r="5987" spans="1:15" x14ac:dyDescent="0.35">
      <c r="A5987" t="s">
        <v>6537</v>
      </c>
      <c r="B5987" t="s">
        <v>6538</v>
      </c>
      <c r="C5987" t="s">
        <v>898</v>
      </c>
      <c r="D5987" t="s">
        <v>339</v>
      </c>
      <c r="E5987" t="s">
        <v>298</v>
      </c>
      <c r="F5987" t="s">
        <v>6572</v>
      </c>
      <c r="G5987">
        <v>0</v>
      </c>
      <c r="H5987">
        <v>0</v>
      </c>
      <c r="I5987">
        <v>0</v>
      </c>
      <c r="J5987">
        <v>0</v>
      </c>
      <c r="K5987">
        <v>0</v>
      </c>
      <c r="L5987">
        <v>0</v>
      </c>
      <c r="M5987">
        <v>0</v>
      </c>
      <c r="N5987">
        <v>0</v>
      </c>
      <c r="O5987">
        <v>0</v>
      </c>
    </row>
    <row r="5988" spans="1:15" x14ac:dyDescent="0.35">
      <c r="A5988" t="s">
        <v>6537</v>
      </c>
      <c r="B5988" t="s">
        <v>6538</v>
      </c>
      <c r="C5988" t="s">
        <v>898</v>
      </c>
      <c r="D5988" t="s">
        <v>339</v>
      </c>
      <c r="E5988" t="s">
        <v>300</v>
      </c>
      <c r="F5988" t="s">
        <v>6573</v>
      </c>
      <c r="G5988">
        <v>0</v>
      </c>
      <c r="H5988">
        <v>0</v>
      </c>
      <c r="I5988">
        <v>0</v>
      </c>
      <c r="J5988">
        <v>0</v>
      </c>
      <c r="K5988">
        <v>0</v>
      </c>
      <c r="L5988">
        <v>0</v>
      </c>
      <c r="M5988">
        <v>0</v>
      </c>
      <c r="N5988">
        <v>0</v>
      </c>
      <c r="O5988">
        <v>0</v>
      </c>
    </row>
    <row r="5989" spans="1:15" x14ac:dyDescent="0.35">
      <c r="A5989" t="s">
        <v>6537</v>
      </c>
      <c r="B5989" t="s">
        <v>6538</v>
      </c>
      <c r="C5989" t="s">
        <v>898</v>
      </c>
      <c r="D5989" t="s">
        <v>339</v>
      </c>
      <c r="E5989" t="s">
        <v>306</v>
      </c>
      <c r="F5989" t="s">
        <v>6574</v>
      </c>
      <c r="G5989">
        <v>0</v>
      </c>
      <c r="H5989">
        <v>0</v>
      </c>
      <c r="I5989">
        <v>0</v>
      </c>
      <c r="J5989">
        <v>33</v>
      </c>
      <c r="K5989">
        <v>2639.34</v>
      </c>
      <c r="L5989">
        <v>79.98</v>
      </c>
      <c r="M5989">
        <v>33</v>
      </c>
      <c r="N5989">
        <v>2639.34</v>
      </c>
      <c r="O5989">
        <v>79.98</v>
      </c>
    </row>
    <row r="5990" spans="1:15" x14ac:dyDescent="0.35">
      <c r="A5990" t="s">
        <v>6537</v>
      </c>
      <c r="B5990" t="s">
        <v>6538</v>
      </c>
      <c r="C5990" t="s">
        <v>898</v>
      </c>
      <c r="D5990" t="s">
        <v>339</v>
      </c>
      <c r="E5990" t="s">
        <v>308</v>
      </c>
      <c r="F5990" t="s">
        <v>6575</v>
      </c>
      <c r="G5990">
        <v>83</v>
      </c>
      <c r="H5990">
        <v>15455.390000000003</v>
      </c>
      <c r="I5990">
        <v>186.21</v>
      </c>
      <c r="J5990">
        <v>0</v>
      </c>
      <c r="K5990">
        <v>0</v>
      </c>
      <c r="L5990">
        <v>0</v>
      </c>
      <c r="M5990">
        <v>83</v>
      </c>
      <c r="N5990">
        <v>15455.390000000003</v>
      </c>
      <c r="O5990">
        <v>186.21</v>
      </c>
    </row>
    <row r="5991" spans="1:15" x14ac:dyDescent="0.35">
      <c r="A5991" t="s">
        <v>6537</v>
      </c>
      <c r="B5991" t="s">
        <v>6538</v>
      </c>
      <c r="C5991" t="s">
        <v>898</v>
      </c>
      <c r="D5991" t="s">
        <v>339</v>
      </c>
      <c r="E5991" t="s">
        <v>310</v>
      </c>
      <c r="F5991" t="s">
        <v>6576</v>
      </c>
      <c r="G5991">
        <v>249</v>
      </c>
      <c r="H5991">
        <v>35545.990000000005</v>
      </c>
      <c r="I5991">
        <v>142.75</v>
      </c>
      <c r="J5991">
        <v>363</v>
      </c>
      <c r="K5991">
        <v>28972.239999999998</v>
      </c>
      <c r="L5991">
        <v>79.81</v>
      </c>
      <c r="M5991">
        <v>612</v>
      </c>
      <c r="N5991">
        <v>64518.23</v>
      </c>
      <c r="O5991">
        <v>105.42</v>
      </c>
    </row>
    <row r="5992" spans="1:15" x14ac:dyDescent="0.35">
      <c r="A5992" t="s">
        <v>6537</v>
      </c>
      <c r="B5992" t="s">
        <v>6538</v>
      </c>
      <c r="C5992" t="s">
        <v>898</v>
      </c>
      <c r="D5992" t="s">
        <v>339</v>
      </c>
      <c r="E5992" t="s">
        <v>312</v>
      </c>
      <c r="F5992" t="s">
        <v>6577</v>
      </c>
      <c r="G5992">
        <v>166</v>
      </c>
      <c r="H5992">
        <v>20090.599999999999</v>
      </c>
      <c r="I5992">
        <v>121.03</v>
      </c>
      <c r="J5992">
        <v>363</v>
      </c>
      <c r="K5992">
        <v>28972.239999999998</v>
      </c>
      <c r="L5992">
        <v>79.81</v>
      </c>
      <c r="M5992">
        <v>529</v>
      </c>
      <c r="N5992">
        <v>49062.84</v>
      </c>
      <c r="O5992">
        <v>92.75</v>
      </c>
    </row>
    <row r="5993" spans="1:15" x14ac:dyDescent="0.35">
      <c r="A5993" t="s">
        <v>6537</v>
      </c>
      <c r="B5993" t="s">
        <v>6538</v>
      </c>
      <c r="C5993" t="s">
        <v>898</v>
      </c>
      <c r="D5993" t="s">
        <v>348</v>
      </c>
      <c r="E5993" t="s">
        <v>349</v>
      </c>
      <c r="F5993" t="s">
        <v>6578</v>
      </c>
      <c r="G5993">
        <v>332</v>
      </c>
      <c r="H5993">
        <v>40548.949999999997</v>
      </c>
      <c r="I5993">
        <v>149.08000000000001</v>
      </c>
      <c r="J5993">
        <v>390</v>
      </c>
      <c r="K5993">
        <v>31715.17</v>
      </c>
      <c r="L5993">
        <v>81.319999999999993</v>
      </c>
      <c r="M5993">
        <v>722</v>
      </c>
      <c r="N5993">
        <v>72264.12</v>
      </c>
      <c r="O5993">
        <v>109.16</v>
      </c>
    </row>
    <row r="5994" spans="1:15" x14ac:dyDescent="0.35">
      <c r="A5994" t="s">
        <v>6579</v>
      </c>
      <c r="B5994" t="s">
        <v>6580</v>
      </c>
      <c r="C5994" t="s">
        <v>898</v>
      </c>
      <c r="D5994" t="s">
        <v>293</v>
      </c>
      <c r="E5994" t="s">
        <v>294</v>
      </c>
      <c r="F5994" t="s">
        <v>6581</v>
      </c>
      <c r="G5994">
        <v>49</v>
      </c>
      <c r="H5994">
        <v>5458.85</v>
      </c>
      <c r="I5994">
        <v>111.41</v>
      </c>
      <c r="J5994">
        <v>1</v>
      </c>
      <c r="K5994">
        <v>96.6</v>
      </c>
      <c r="L5994">
        <v>96.6</v>
      </c>
      <c r="M5994">
        <v>50</v>
      </c>
      <c r="N5994">
        <v>5555.4500000000007</v>
      </c>
      <c r="O5994">
        <v>111.11</v>
      </c>
    </row>
    <row r="5995" spans="1:15" x14ac:dyDescent="0.35">
      <c r="A5995" t="s">
        <v>6579</v>
      </c>
      <c r="B5995" t="s">
        <v>6580</v>
      </c>
      <c r="C5995" t="s">
        <v>898</v>
      </c>
      <c r="D5995" t="s">
        <v>293</v>
      </c>
      <c r="E5995" t="s">
        <v>296</v>
      </c>
      <c r="F5995" t="s">
        <v>6582</v>
      </c>
      <c r="G5995">
        <v>217</v>
      </c>
      <c r="H5995">
        <v>30098.189999999995</v>
      </c>
      <c r="I5995">
        <v>138.69999999999999</v>
      </c>
      <c r="J5995">
        <v>12</v>
      </c>
      <c r="K5995">
        <v>1605.12</v>
      </c>
      <c r="L5995">
        <v>133.76</v>
      </c>
      <c r="M5995">
        <v>229</v>
      </c>
      <c r="N5995">
        <v>31703.309999999994</v>
      </c>
      <c r="O5995">
        <v>138.44</v>
      </c>
    </row>
    <row r="5996" spans="1:15" x14ac:dyDescent="0.35">
      <c r="A5996" t="s">
        <v>6579</v>
      </c>
      <c r="B5996" t="s">
        <v>6580</v>
      </c>
      <c r="C5996" t="s">
        <v>898</v>
      </c>
      <c r="D5996" t="s">
        <v>293</v>
      </c>
      <c r="E5996" t="s">
        <v>298</v>
      </c>
      <c r="F5996" t="s">
        <v>6583</v>
      </c>
      <c r="G5996">
        <v>96</v>
      </c>
      <c r="H5996">
        <v>15445.830000000002</v>
      </c>
      <c r="I5996">
        <v>160.88999999999999</v>
      </c>
      <c r="J5996">
        <v>16</v>
      </c>
      <c r="K5996">
        <v>2567.84</v>
      </c>
      <c r="L5996">
        <v>160.49</v>
      </c>
      <c r="M5996">
        <v>112</v>
      </c>
      <c r="N5996">
        <v>18013.670000000002</v>
      </c>
      <c r="O5996">
        <v>160.84</v>
      </c>
    </row>
    <row r="5997" spans="1:15" x14ac:dyDescent="0.35">
      <c r="A5997" t="s">
        <v>6579</v>
      </c>
      <c r="B5997" t="s">
        <v>6580</v>
      </c>
      <c r="C5997" t="s">
        <v>898</v>
      </c>
      <c r="D5997" t="s">
        <v>293</v>
      </c>
      <c r="E5997" t="s">
        <v>300</v>
      </c>
      <c r="F5997" t="s">
        <v>6584</v>
      </c>
      <c r="G5997">
        <v>19</v>
      </c>
      <c r="H5997">
        <v>3653.1099999999997</v>
      </c>
      <c r="I5997">
        <v>192.27</v>
      </c>
      <c r="J5997">
        <v>0</v>
      </c>
      <c r="K5997">
        <v>0</v>
      </c>
      <c r="L5997">
        <v>0</v>
      </c>
      <c r="M5997">
        <v>19</v>
      </c>
      <c r="N5997">
        <v>3653.1099999999997</v>
      </c>
      <c r="O5997">
        <v>192.27</v>
      </c>
    </row>
    <row r="5998" spans="1:15" x14ac:dyDescent="0.35">
      <c r="A5998" t="s">
        <v>6579</v>
      </c>
      <c r="B5998" t="s">
        <v>6580</v>
      </c>
      <c r="C5998" t="s">
        <v>898</v>
      </c>
      <c r="D5998" t="s">
        <v>293</v>
      </c>
      <c r="E5998" t="s">
        <v>302</v>
      </c>
      <c r="F5998" t="s">
        <v>6585</v>
      </c>
      <c r="G5998">
        <v>0</v>
      </c>
      <c r="H5998">
        <v>0</v>
      </c>
      <c r="I5998">
        <v>0</v>
      </c>
      <c r="J5998">
        <v>0</v>
      </c>
      <c r="K5998">
        <v>0</v>
      </c>
      <c r="L5998">
        <v>0</v>
      </c>
      <c r="M5998">
        <v>0</v>
      </c>
      <c r="N5998">
        <v>0</v>
      </c>
      <c r="O5998">
        <v>0</v>
      </c>
    </row>
    <row r="5999" spans="1:15" x14ac:dyDescent="0.35">
      <c r="A5999" t="s">
        <v>6579</v>
      </c>
      <c r="B5999" t="s">
        <v>6580</v>
      </c>
      <c r="C5999" t="s">
        <v>898</v>
      </c>
      <c r="D5999" t="s">
        <v>293</v>
      </c>
      <c r="E5999" t="s">
        <v>304</v>
      </c>
      <c r="F5999" t="s">
        <v>6586</v>
      </c>
      <c r="G5999">
        <v>0</v>
      </c>
      <c r="H5999">
        <v>0</v>
      </c>
      <c r="I5999">
        <v>0</v>
      </c>
      <c r="J5999">
        <v>0</v>
      </c>
      <c r="K5999">
        <v>0</v>
      </c>
      <c r="L5999">
        <v>0</v>
      </c>
      <c r="M5999">
        <v>0</v>
      </c>
      <c r="N5999">
        <v>0</v>
      </c>
      <c r="O5999">
        <v>0</v>
      </c>
    </row>
    <row r="6000" spans="1:15" x14ac:dyDescent="0.35">
      <c r="A6000" t="s">
        <v>6579</v>
      </c>
      <c r="B6000" t="s">
        <v>6580</v>
      </c>
      <c r="C6000" t="s">
        <v>898</v>
      </c>
      <c r="D6000" t="s">
        <v>293</v>
      </c>
      <c r="E6000" t="s">
        <v>306</v>
      </c>
      <c r="F6000" t="s">
        <v>6587</v>
      </c>
      <c r="G6000">
        <v>0</v>
      </c>
      <c r="H6000">
        <v>0</v>
      </c>
      <c r="I6000">
        <v>0</v>
      </c>
      <c r="J6000">
        <v>0</v>
      </c>
      <c r="K6000">
        <v>0</v>
      </c>
      <c r="L6000">
        <v>0</v>
      </c>
      <c r="M6000">
        <v>0</v>
      </c>
      <c r="N6000">
        <v>0</v>
      </c>
      <c r="O6000">
        <v>0</v>
      </c>
    </row>
    <row r="6001" spans="1:15" x14ac:dyDescent="0.35">
      <c r="A6001" t="s">
        <v>6579</v>
      </c>
      <c r="B6001" t="s">
        <v>6580</v>
      </c>
      <c r="C6001" t="s">
        <v>898</v>
      </c>
      <c r="D6001" t="s">
        <v>293</v>
      </c>
      <c r="E6001" t="s">
        <v>308</v>
      </c>
      <c r="F6001" t="s">
        <v>6588</v>
      </c>
      <c r="G6001">
        <v>0</v>
      </c>
      <c r="H6001">
        <v>0</v>
      </c>
      <c r="I6001">
        <v>0</v>
      </c>
      <c r="J6001">
        <v>0</v>
      </c>
      <c r="K6001">
        <v>0</v>
      </c>
      <c r="L6001">
        <v>0</v>
      </c>
      <c r="M6001">
        <v>0</v>
      </c>
      <c r="N6001">
        <v>0</v>
      </c>
      <c r="O6001">
        <v>0</v>
      </c>
    </row>
    <row r="6002" spans="1:15" x14ac:dyDescent="0.35">
      <c r="A6002" t="s">
        <v>6579</v>
      </c>
      <c r="B6002" t="s">
        <v>6580</v>
      </c>
      <c r="C6002" t="s">
        <v>898</v>
      </c>
      <c r="D6002" t="s">
        <v>293</v>
      </c>
      <c r="E6002" t="s">
        <v>310</v>
      </c>
      <c r="F6002" t="s">
        <v>6589</v>
      </c>
      <c r="G6002">
        <v>381</v>
      </c>
      <c r="H6002">
        <v>54655.979999999996</v>
      </c>
      <c r="I6002">
        <v>143.44999999999999</v>
      </c>
      <c r="J6002">
        <v>29</v>
      </c>
      <c r="K6002">
        <v>4269.5599999999995</v>
      </c>
      <c r="L6002">
        <v>147.22999999999999</v>
      </c>
      <c r="M6002">
        <v>410</v>
      </c>
      <c r="N6002">
        <v>58925.539999999994</v>
      </c>
      <c r="O6002">
        <v>143.72</v>
      </c>
    </row>
    <row r="6003" spans="1:15" x14ac:dyDescent="0.35">
      <c r="A6003" t="s">
        <v>6579</v>
      </c>
      <c r="B6003" t="s">
        <v>6580</v>
      </c>
      <c r="C6003" t="s">
        <v>898</v>
      </c>
      <c r="D6003" t="s">
        <v>293</v>
      </c>
      <c r="E6003" t="s">
        <v>312</v>
      </c>
      <c r="F6003" t="s">
        <v>6590</v>
      </c>
      <c r="G6003">
        <v>381</v>
      </c>
      <c r="H6003">
        <v>54655.979999999996</v>
      </c>
      <c r="I6003">
        <v>143.44999999999999</v>
      </c>
      <c r="J6003">
        <v>29</v>
      </c>
      <c r="K6003">
        <v>4269.5599999999995</v>
      </c>
      <c r="L6003">
        <v>147.22999999999999</v>
      </c>
      <c r="M6003">
        <v>410</v>
      </c>
      <c r="N6003">
        <v>58925.539999999994</v>
      </c>
      <c r="O6003">
        <v>143.72</v>
      </c>
    </row>
    <row r="6004" spans="1:15" x14ac:dyDescent="0.35">
      <c r="A6004" t="s">
        <v>6579</v>
      </c>
      <c r="B6004" t="s">
        <v>6580</v>
      </c>
      <c r="C6004" t="s">
        <v>898</v>
      </c>
      <c r="D6004" t="s">
        <v>314</v>
      </c>
      <c r="E6004" t="s">
        <v>294</v>
      </c>
      <c r="F6004" t="s">
        <v>6591</v>
      </c>
      <c r="G6004">
        <v>0</v>
      </c>
      <c r="H6004">
        <v>0</v>
      </c>
      <c r="I6004">
        <v>0</v>
      </c>
      <c r="J6004">
        <v>0</v>
      </c>
      <c r="K6004">
        <v>0</v>
      </c>
      <c r="L6004">
        <v>0</v>
      </c>
      <c r="M6004">
        <v>0</v>
      </c>
      <c r="N6004">
        <v>0</v>
      </c>
      <c r="O6004">
        <v>0</v>
      </c>
    </row>
    <row r="6005" spans="1:15" x14ac:dyDescent="0.35">
      <c r="A6005" t="s">
        <v>6579</v>
      </c>
      <c r="B6005" t="s">
        <v>6580</v>
      </c>
      <c r="C6005" t="s">
        <v>898</v>
      </c>
      <c r="D6005" t="s">
        <v>314</v>
      </c>
      <c r="E6005" t="s">
        <v>296</v>
      </c>
      <c r="F6005" t="s">
        <v>6592</v>
      </c>
      <c r="G6005">
        <v>0</v>
      </c>
      <c r="H6005">
        <v>0</v>
      </c>
      <c r="I6005">
        <v>0</v>
      </c>
      <c r="J6005">
        <v>0</v>
      </c>
      <c r="K6005">
        <v>0</v>
      </c>
      <c r="L6005">
        <v>0</v>
      </c>
      <c r="M6005">
        <v>0</v>
      </c>
      <c r="N6005">
        <v>0</v>
      </c>
      <c r="O6005">
        <v>0</v>
      </c>
    </row>
    <row r="6006" spans="1:15" x14ac:dyDescent="0.35">
      <c r="A6006" t="s">
        <v>6579</v>
      </c>
      <c r="B6006" t="s">
        <v>6580</v>
      </c>
      <c r="C6006" t="s">
        <v>898</v>
      </c>
      <c r="D6006" t="s">
        <v>314</v>
      </c>
      <c r="E6006" t="s">
        <v>298</v>
      </c>
      <c r="F6006" t="s">
        <v>6593</v>
      </c>
      <c r="G6006">
        <v>0</v>
      </c>
      <c r="H6006">
        <v>0</v>
      </c>
      <c r="I6006">
        <v>0</v>
      </c>
      <c r="J6006">
        <v>0</v>
      </c>
      <c r="K6006">
        <v>0</v>
      </c>
      <c r="L6006">
        <v>0</v>
      </c>
      <c r="M6006">
        <v>0</v>
      </c>
      <c r="N6006">
        <v>0</v>
      </c>
      <c r="O6006">
        <v>0</v>
      </c>
    </row>
    <row r="6007" spans="1:15" x14ac:dyDescent="0.35">
      <c r="A6007" t="s">
        <v>6579</v>
      </c>
      <c r="B6007" t="s">
        <v>6580</v>
      </c>
      <c r="C6007" t="s">
        <v>898</v>
      </c>
      <c r="D6007" t="s">
        <v>314</v>
      </c>
      <c r="E6007" t="s">
        <v>300</v>
      </c>
      <c r="F6007" t="s">
        <v>6594</v>
      </c>
      <c r="G6007">
        <v>0</v>
      </c>
      <c r="H6007">
        <v>0</v>
      </c>
      <c r="I6007">
        <v>0</v>
      </c>
      <c r="J6007">
        <v>0</v>
      </c>
      <c r="K6007">
        <v>0</v>
      </c>
      <c r="L6007">
        <v>0</v>
      </c>
      <c r="M6007">
        <v>0</v>
      </c>
      <c r="N6007">
        <v>0</v>
      </c>
      <c r="O6007">
        <v>0</v>
      </c>
    </row>
    <row r="6008" spans="1:15" x14ac:dyDescent="0.35">
      <c r="A6008" t="s">
        <v>6579</v>
      </c>
      <c r="B6008" t="s">
        <v>6580</v>
      </c>
      <c r="C6008" t="s">
        <v>898</v>
      </c>
      <c r="D6008" t="s">
        <v>314</v>
      </c>
      <c r="E6008" t="s">
        <v>306</v>
      </c>
      <c r="F6008" t="s">
        <v>6595</v>
      </c>
      <c r="G6008">
        <v>0</v>
      </c>
      <c r="H6008">
        <v>0</v>
      </c>
      <c r="I6008">
        <v>0</v>
      </c>
      <c r="J6008">
        <v>0</v>
      </c>
      <c r="K6008">
        <v>0</v>
      </c>
      <c r="L6008">
        <v>0</v>
      </c>
      <c r="M6008">
        <v>0</v>
      </c>
      <c r="N6008">
        <v>0</v>
      </c>
      <c r="O6008">
        <v>0</v>
      </c>
    </row>
    <row r="6009" spans="1:15" x14ac:dyDescent="0.35">
      <c r="A6009" t="s">
        <v>6579</v>
      </c>
      <c r="B6009" t="s">
        <v>6580</v>
      </c>
      <c r="C6009" t="s">
        <v>898</v>
      </c>
      <c r="D6009" t="s">
        <v>314</v>
      </c>
      <c r="E6009" t="s">
        <v>308</v>
      </c>
      <c r="F6009" t="s">
        <v>6596</v>
      </c>
      <c r="G6009">
        <v>0</v>
      </c>
      <c r="H6009">
        <v>0</v>
      </c>
      <c r="I6009">
        <v>0</v>
      </c>
      <c r="J6009">
        <v>0</v>
      </c>
      <c r="K6009">
        <v>0</v>
      </c>
      <c r="L6009">
        <v>0</v>
      </c>
      <c r="M6009">
        <v>0</v>
      </c>
      <c r="N6009">
        <v>0</v>
      </c>
      <c r="O6009">
        <v>0</v>
      </c>
    </row>
    <row r="6010" spans="1:15" x14ac:dyDescent="0.35">
      <c r="A6010" t="s">
        <v>6579</v>
      </c>
      <c r="B6010" t="s">
        <v>6580</v>
      </c>
      <c r="C6010" t="s">
        <v>898</v>
      </c>
      <c r="D6010" t="s">
        <v>314</v>
      </c>
      <c r="E6010" t="s">
        <v>312</v>
      </c>
      <c r="F6010" t="s">
        <v>6597</v>
      </c>
      <c r="G6010">
        <v>0</v>
      </c>
      <c r="H6010">
        <v>0</v>
      </c>
      <c r="I6010">
        <v>0</v>
      </c>
      <c r="J6010">
        <v>0</v>
      </c>
      <c r="K6010">
        <v>0</v>
      </c>
      <c r="L6010">
        <v>0</v>
      </c>
      <c r="M6010">
        <v>0</v>
      </c>
      <c r="N6010">
        <v>0</v>
      </c>
      <c r="O6010">
        <v>0</v>
      </c>
    </row>
    <row r="6011" spans="1:15" x14ac:dyDescent="0.35">
      <c r="A6011" t="s">
        <v>6579</v>
      </c>
      <c r="B6011" t="s">
        <v>6580</v>
      </c>
      <c r="C6011" t="s">
        <v>898</v>
      </c>
      <c r="D6011" t="s">
        <v>314</v>
      </c>
      <c r="E6011" t="s">
        <v>310</v>
      </c>
      <c r="F6011" t="s">
        <v>6598</v>
      </c>
      <c r="G6011">
        <v>0</v>
      </c>
      <c r="H6011">
        <v>0</v>
      </c>
      <c r="I6011">
        <v>0</v>
      </c>
      <c r="J6011">
        <v>0</v>
      </c>
      <c r="K6011">
        <v>0</v>
      </c>
      <c r="L6011">
        <v>0</v>
      </c>
      <c r="M6011">
        <v>0</v>
      </c>
      <c r="N6011">
        <v>0</v>
      </c>
      <c r="O6011">
        <v>0</v>
      </c>
    </row>
    <row r="6012" spans="1:15" x14ac:dyDescent="0.35">
      <c r="A6012" t="s">
        <v>6579</v>
      </c>
      <c r="B6012" t="s">
        <v>6580</v>
      </c>
      <c r="C6012" t="s">
        <v>898</v>
      </c>
      <c r="D6012" t="s">
        <v>323</v>
      </c>
      <c r="E6012" t="s">
        <v>294</v>
      </c>
      <c r="F6012" t="s">
        <v>6599</v>
      </c>
      <c r="G6012">
        <v>40</v>
      </c>
      <c r="H6012">
        <v>3642.46</v>
      </c>
      <c r="I6012">
        <v>91.06</v>
      </c>
      <c r="J6012">
        <v>414</v>
      </c>
      <c r="K6012">
        <v>34200.54</v>
      </c>
      <c r="L6012">
        <v>82.61</v>
      </c>
      <c r="M6012">
        <v>454</v>
      </c>
      <c r="N6012">
        <v>37843</v>
      </c>
      <c r="O6012">
        <v>83.35</v>
      </c>
    </row>
    <row r="6013" spans="1:15" x14ac:dyDescent="0.35">
      <c r="A6013" t="s">
        <v>6579</v>
      </c>
      <c r="B6013" t="s">
        <v>6580</v>
      </c>
      <c r="C6013" t="s">
        <v>898</v>
      </c>
      <c r="D6013" t="s">
        <v>323</v>
      </c>
      <c r="E6013" t="s">
        <v>296</v>
      </c>
      <c r="F6013" t="s">
        <v>6600</v>
      </c>
      <c r="G6013">
        <v>239</v>
      </c>
      <c r="H6013">
        <v>27024.240000000002</v>
      </c>
      <c r="I6013">
        <v>113.07</v>
      </c>
      <c r="J6013">
        <v>510</v>
      </c>
      <c r="K6013">
        <v>48480.6</v>
      </c>
      <c r="L6013">
        <v>95.06</v>
      </c>
      <c r="M6013">
        <v>749</v>
      </c>
      <c r="N6013">
        <v>75504.84</v>
      </c>
      <c r="O6013">
        <v>100.81</v>
      </c>
    </row>
    <row r="6014" spans="1:15" x14ac:dyDescent="0.35">
      <c r="A6014" t="s">
        <v>6579</v>
      </c>
      <c r="B6014" t="s">
        <v>6580</v>
      </c>
      <c r="C6014" t="s">
        <v>898</v>
      </c>
      <c r="D6014" t="s">
        <v>323</v>
      </c>
      <c r="E6014" t="s">
        <v>298</v>
      </c>
      <c r="F6014" t="s">
        <v>6601</v>
      </c>
      <c r="G6014">
        <v>97</v>
      </c>
      <c r="H6014">
        <v>11880.88</v>
      </c>
      <c r="I6014">
        <v>122.48</v>
      </c>
      <c r="J6014">
        <v>566</v>
      </c>
      <c r="K6014">
        <v>58801.74</v>
      </c>
      <c r="L6014">
        <v>103.89</v>
      </c>
      <c r="M6014">
        <v>663</v>
      </c>
      <c r="N6014">
        <v>70682.62</v>
      </c>
      <c r="O6014">
        <v>106.61</v>
      </c>
    </row>
    <row r="6015" spans="1:15" x14ac:dyDescent="0.35">
      <c r="A6015" t="s">
        <v>6579</v>
      </c>
      <c r="B6015" t="s">
        <v>6580</v>
      </c>
      <c r="C6015" t="s">
        <v>898</v>
      </c>
      <c r="D6015" t="s">
        <v>323</v>
      </c>
      <c r="E6015" t="s">
        <v>300</v>
      </c>
      <c r="F6015" t="s">
        <v>6602</v>
      </c>
      <c r="G6015">
        <v>3</v>
      </c>
      <c r="H6015">
        <v>401.78000000000003</v>
      </c>
      <c r="I6015">
        <v>133.93</v>
      </c>
      <c r="J6015">
        <v>37</v>
      </c>
      <c r="K6015">
        <v>4228.7300000000005</v>
      </c>
      <c r="L6015">
        <v>114.29</v>
      </c>
      <c r="M6015">
        <v>40</v>
      </c>
      <c r="N6015">
        <v>4630.51</v>
      </c>
      <c r="O6015">
        <v>115.76</v>
      </c>
    </row>
    <row r="6016" spans="1:15" x14ac:dyDescent="0.35">
      <c r="A6016" t="s">
        <v>6579</v>
      </c>
      <c r="B6016" t="s">
        <v>6580</v>
      </c>
      <c r="C6016" t="s">
        <v>898</v>
      </c>
      <c r="D6016" t="s">
        <v>323</v>
      </c>
      <c r="E6016" t="s">
        <v>302</v>
      </c>
      <c r="F6016" t="s">
        <v>6603</v>
      </c>
      <c r="G6016">
        <v>0</v>
      </c>
      <c r="H6016">
        <v>0</v>
      </c>
      <c r="I6016">
        <v>0</v>
      </c>
      <c r="J6016">
        <v>0</v>
      </c>
      <c r="K6016">
        <v>0</v>
      </c>
      <c r="L6016">
        <v>0</v>
      </c>
      <c r="M6016">
        <v>0</v>
      </c>
      <c r="N6016">
        <v>0</v>
      </c>
      <c r="O6016">
        <v>0</v>
      </c>
    </row>
    <row r="6017" spans="1:15" x14ac:dyDescent="0.35">
      <c r="A6017" t="s">
        <v>6579</v>
      </c>
      <c r="B6017" t="s">
        <v>6580</v>
      </c>
      <c r="C6017" t="s">
        <v>898</v>
      </c>
      <c r="D6017" t="s">
        <v>323</v>
      </c>
      <c r="E6017" t="s">
        <v>304</v>
      </c>
      <c r="F6017" t="s">
        <v>6604</v>
      </c>
      <c r="G6017">
        <v>0</v>
      </c>
      <c r="H6017">
        <v>0</v>
      </c>
      <c r="I6017">
        <v>0</v>
      </c>
      <c r="J6017">
        <v>0</v>
      </c>
      <c r="K6017">
        <v>0</v>
      </c>
      <c r="L6017">
        <v>0</v>
      </c>
      <c r="M6017">
        <v>0</v>
      </c>
      <c r="N6017">
        <v>0</v>
      </c>
      <c r="O6017">
        <v>0</v>
      </c>
    </row>
    <row r="6018" spans="1:15" x14ac:dyDescent="0.35">
      <c r="A6018" t="s">
        <v>6579</v>
      </c>
      <c r="B6018" t="s">
        <v>6580</v>
      </c>
      <c r="C6018" t="s">
        <v>898</v>
      </c>
      <c r="D6018" t="s">
        <v>323</v>
      </c>
      <c r="E6018" t="s">
        <v>306</v>
      </c>
      <c r="F6018" t="s">
        <v>6605</v>
      </c>
      <c r="G6018">
        <v>0</v>
      </c>
      <c r="H6018">
        <v>0</v>
      </c>
      <c r="I6018">
        <v>0</v>
      </c>
      <c r="J6018">
        <v>10</v>
      </c>
      <c r="K6018">
        <v>683.6</v>
      </c>
      <c r="L6018">
        <v>68.36</v>
      </c>
      <c r="M6018">
        <v>10</v>
      </c>
      <c r="N6018">
        <v>683.6</v>
      </c>
      <c r="O6018">
        <v>68.36</v>
      </c>
    </row>
    <row r="6019" spans="1:15" x14ac:dyDescent="0.35">
      <c r="A6019" t="s">
        <v>6579</v>
      </c>
      <c r="B6019" t="s">
        <v>6580</v>
      </c>
      <c r="C6019" t="s">
        <v>898</v>
      </c>
      <c r="D6019" t="s">
        <v>323</v>
      </c>
      <c r="E6019" t="s">
        <v>308</v>
      </c>
      <c r="F6019" t="s">
        <v>6606</v>
      </c>
      <c r="G6019">
        <v>0</v>
      </c>
      <c r="H6019">
        <v>0</v>
      </c>
      <c r="I6019">
        <v>0</v>
      </c>
      <c r="J6019">
        <v>0</v>
      </c>
      <c r="K6019">
        <v>0</v>
      </c>
      <c r="L6019">
        <v>0</v>
      </c>
      <c r="M6019">
        <v>0</v>
      </c>
      <c r="N6019">
        <v>0</v>
      </c>
      <c r="O6019">
        <v>0</v>
      </c>
    </row>
    <row r="6020" spans="1:15" x14ac:dyDescent="0.35">
      <c r="A6020" t="s">
        <v>6579</v>
      </c>
      <c r="B6020" t="s">
        <v>6580</v>
      </c>
      <c r="C6020" t="s">
        <v>898</v>
      </c>
      <c r="D6020" t="s">
        <v>323</v>
      </c>
      <c r="E6020" t="s">
        <v>310</v>
      </c>
      <c r="F6020" t="s">
        <v>6607</v>
      </c>
      <c r="G6020">
        <v>379</v>
      </c>
      <c r="H6020">
        <v>42949.36</v>
      </c>
      <c r="I6020">
        <v>113.32</v>
      </c>
      <c r="J6020">
        <v>1537</v>
      </c>
      <c r="K6020">
        <v>146395.21000000002</v>
      </c>
      <c r="L6020">
        <v>95.25</v>
      </c>
      <c r="M6020">
        <v>1916</v>
      </c>
      <c r="N6020">
        <v>189344.57</v>
      </c>
      <c r="O6020">
        <v>98.82</v>
      </c>
    </row>
    <row r="6021" spans="1:15" x14ac:dyDescent="0.35">
      <c r="A6021" t="s">
        <v>6579</v>
      </c>
      <c r="B6021" t="s">
        <v>6580</v>
      </c>
      <c r="C6021" t="s">
        <v>898</v>
      </c>
      <c r="D6021" t="s">
        <v>323</v>
      </c>
      <c r="E6021" t="s">
        <v>312</v>
      </c>
      <c r="F6021" t="s">
        <v>6608</v>
      </c>
      <c r="G6021">
        <v>379</v>
      </c>
      <c r="H6021">
        <v>42949.36</v>
      </c>
      <c r="I6021">
        <v>113.32</v>
      </c>
      <c r="J6021">
        <v>1537</v>
      </c>
      <c r="K6021">
        <v>146395.21000000002</v>
      </c>
      <c r="L6021">
        <v>95.25</v>
      </c>
      <c r="M6021">
        <v>1916</v>
      </c>
      <c r="N6021">
        <v>189344.57</v>
      </c>
      <c r="O6021">
        <v>98.82</v>
      </c>
    </row>
    <row r="6022" spans="1:15" x14ac:dyDescent="0.35">
      <c r="A6022" t="s">
        <v>6579</v>
      </c>
      <c r="B6022" t="s">
        <v>6580</v>
      </c>
      <c r="C6022" t="s">
        <v>898</v>
      </c>
      <c r="D6022" t="s">
        <v>334</v>
      </c>
      <c r="E6022" t="s">
        <v>312</v>
      </c>
      <c r="F6022" t="s">
        <v>6609</v>
      </c>
      <c r="G6022">
        <v>819</v>
      </c>
      <c r="H6022">
        <v>97605.34</v>
      </c>
      <c r="I6022">
        <v>128.43</v>
      </c>
      <c r="J6022">
        <v>1566</v>
      </c>
      <c r="K6022">
        <v>150664.77000000002</v>
      </c>
      <c r="L6022">
        <v>96.21</v>
      </c>
      <c r="M6022">
        <v>2385</v>
      </c>
      <c r="N6022">
        <v>248270.11000000002</v>
      </c>
      <c r="O6022">
        <v>106.74</v>
      </c>
    </row>
    <row r="6023" spans="1:15" x14ac:dyDescent="0.35">
      <c r="A6023" t="s">
        <v>6579</v>
      </c>
      <c r="B6023" t="s">
        <v>6580</v>
      </c>
      <c r="C6023" t="s">
        <v>898</v>
      </c>
      <c r="D6023" t="s">
        <v>334</v>
      </c>
      <c r="E6023" t="s">
        <v>308</v>
      </c>
      <c r="F6023" t="s">
        <v>6610</v>
      </c>
      <c r="G6023">
        <v>0</v>
      </c>
      <c r="H6023">
        <v>0</v>
      </c>
      <c r="I6023">
        <v>0</v>
      </c>
      <c r="J6023">
        <v>0</v>
      </c>
      <c r="K6023">
        <v>0</v>
      </c>
      <c r="L6023">
        <v>0</v>
      </c>
      <c r="M6023">
        <v>0</v>
      </c>
      <c r="N6023">
        <v>0</v>
      </c>
      <c r="O6023">
        <v>0</v>
      </c>
    </row>
    <row r="6024" spans="1:15" x14ac:dyDescent="0.35">
      <c r="A6024" t="s">
        <v>6579</v>
      </c>
      <c r="B6024" t="s">
        <v>6580</v>
      </c>
      <c r="C6024" t="s">
        <v>898</v>
      </c>
      <c r="D6024" t="s">
        <v>337</v>
      </c>
      <c r="E6024" t="s">
        <v>337</v>
      </c>
      <c r="F6024" t="s">
        <v>6611</v>
      </c>
      <c r="G6024">
        <v>330</v>
      </c>
      <c r="J6024">
        <v>0</v>
      </c>
      <c r="M6024">
        <v>330</v>
      </c>
    </row>
    <row r="6025" spans="1:15" x14ac:dyDescent="0.35">
      <c r="A6025" t="s">
        <v>6579</v>
      </c>
      <c r="B6025" t="s">
        <v>6580</v>
      </c>
      <c r="C6025" t="s">
        <v>898</v>
      </c>
      <c r="D6025" t="s">
        <v>339</v>
      </c>
      <c r="E6025" t="s">
        <v>294</v>
      </c>
      <c r="F6025" t="s">
        <v>6612</v>
      </c>
      <c r="G6025">
        <v>83</v>
      </c>
      <c r="H6025">
        <v>8730.74</v>
      </c>
      <c r="I6025">
        <v>105.19</v>
      </c>
      <c r="J6025">
        <v>174</v>
      </c>
      <c r="K6025">
        <v>14619.48</v>
      </c>
      <c r="L6025">
        <v>84.02</v>
      </c>
      <c r="M6025">
        <v>257</v>
      </c>
      <c r="N6025">
        <v>23350.22</v>
      </c>
      <c r="O6025">
        <v>90.86</v>
      </c>
    </row>
    <row r="6026" spans="1:15" x14ac:dyDescent="0.35">
      <c r="A6026" t="s">
        <v>6579</v>
      </c>
      <c r="B6026" t="s">
        <v>6580</v>
      </c>
      <c r="C6026" t="s">
        <v>898</v>
      </c>
      <c r="D6026" t="s">
        <v>339</v>
      </c>
      <c r="E6026" t="s">
        <v>296</v>
      </c>
      <c r="F6026" t="s">
        <v>6613</v>
      </c>
      <c r="G6026">
        <v>19</v>
      </c>
      <c r="H6026">
        <v>2059.1200000000003</v>
      </c>
      <c r="I6026">
        <v>108.37</v>
      </c>
      <c r="J6026">
        <v>31</v>
      </c>
      <c r="K6026">
        <v>2954.2999999999997</v>
      </c>
      <c r="L6026">
        <v>95.3</v>
      </c>
      <c r="M6026">
        <v>50</v>
      </c>
      <c r="N6026">
        <v>5013.42</v>
      </c>
      <c r="O6026">
        <v>100.27</v>
      </c>
    </row>
    <row r="6027" spans="1:15" x14ac:dyDescent="0.35">
      <c r="A6027" t="s">
        <v>6579</v>
      </c>
      <c r="B6027" t="s">
        <v>6580</v>
      </c>
      <c r="C6027" t="s">
        <v>898</v>
      </c>
      <c r="D6027" t="s">
        <v>339</v>
      </c>
      <c r="E6027" t="s">
        <v>298</v>
      </c>
      <c r="F6027" t="s">
        <v>6614</v>
      </c>
      <c r="G6027">
        <v>1</v>
      </c>
      <c r="H6027">
        <v>118.22</v>
      </c>
      <c r="I6027">
        <v>118.22</v>
      </c>
      <c r="J6027">
        <v>0</v>
      </c>
      <c r="K6027">
        <v>0</v>
      </c>
      <c r="L6027">
        <v>0</v>
      </c>
      <c r="M6027">
        <v>1</v>
      </c>
      <c r="N6027">
        <v>118.22</v>
      </c>
      <c r="O6027">
        <v>118.22</v>
      </c>
    </row>
    <row r="6028" spans="1:15" x14ac:dyDescent="0.35">
      <c r="A6028" t="s">
        <v>6579</v>
      </c>
      <c r="B6028" t="s">
        <v>6580</v>
      </c>
      <c r="C6028" t="s">
        <v>898</v>
      </c>
      <c r="D6028" t="s">
        <v>339</v>
      </c>
      <c r="E6028" t="s">
        <v>300</v>
      </c>
      <c r="F6028" t="s">
        <v>6615</v>
      </c>
      <c r="G6028">
        <v>0</v>
      </c>
      <c r="H6028">
        <v>0</v>
      </c>
      <c r="I6028">
        <v>0</v>
      </c>
      <c r="J6028">
        <v>0</v>
      </c>
      <c r="K6028">
        <v>0</v>
      </c>
      <c r="L6028">
        <v>0</v>
      </c>
      <c r="M6028">
        <v>0</v>
      </c>
      <c r="N6028">
        <v>0</v>
      </c>
      <c r="O6028">
        <v>0</v>
      </c>
    </row>
    <row r="6029" spans="1:15" x14ac:dyDescent="0.35">
      <c r="A6029" t="s">
        <v>6579</v>
      </c>
      <c r="B6029" t="s">
        <v>6580</v>
      </c>
      <c r="C6029" t="s">
        <v>898</v>
      </c>
      <c r="D6029" t="s">
        <v>339</v>
      </c>
      <c r="E6029" t="s">
        <v>306</v>
      </c>
      <c r="F6029" t="s">
        <v>6616</v>
      </c>
      <c r="G6029">
        <v>34</v>
      </c>
      <c r="H6029">
        <v>3279.09</v>
      </c>
      <c r="I6029">
        <v>96.44</v>
      </c>
      <c r="J6029">
        <v>14</v>
      </c>
      <c r="K6029">
        <v>980.84</v>
      </c>
      <c r="L6029">
        <v>70.06</v>
      </c>
      <c r="M6029">
        <v>48</v>
      </c>
      <c r="N6029">
        <v>4259.93</v>
      </c>
      <c r="O6029">
        <v>88.75</v>
      </c>
    </row>
    <row r="6030" spans="1:15" x14ac:dyDescent="0.35">
      <c r="A6030" t="s">
        <v>6579</v>
      </c>
      <c r="B6030" t="s">
        <v>6580</v>
      </c>
      <c r="C6030" t="s">
        <v>898</v>
      </c>
      <c r="D6030" t="s">
        <v>339</v>
      </c>
      <c r="E6030" t="s">
        <v>308</v>
      </c>
      <c r="F6030" t="s">
        <v>6617</v>
      </c>
      <c r="G6030">
        <v>10</v>
      </c>
      <c r="H6030">
        <v>1963.86</v>
      </c>
      <c r="I6030">
        <v>196.39</v>
      </c>
      <c r="J6030">
        <v>0</v>
      </c>
      <c r="K6030">
        <v>0</v>
      </c>
      <c r="L6030">
        <v>0</v>
      </c>
      <c r="M6030">
        <v>10</v>
      </c>
      <c r="N6030">
        <v>1963.86</v>
      </c>
      <c r="O6030">
        <v>196.39</v>
      </c>
    </row>
    <row r="6031" spans="1:15" x14ac:dyDescent="0.35">
      <c r="A6031" t="s">
        <v>6579</v>
      </c>
      <c r="B6031" t="s">
        <v>6580</v>
      </c>
      <c r="C6031" t="s">
        <v>898</v>
      </c>
      <c r="D6031" t="s">
        <v>339</v>
      </c>
      <c r="E6031" t="s">
        <v>310</v>
      </c>
      <c r="F6031" t="s">
        <v>6618</v>
      </c>
      <c r="G6031">
        <v>147</v>
      </c>
      <c r="H6031">
        <v>16151.03</v>
      </c>
      <c r="I6031">
        <v>109.87</v>
      </c>
      <c r="J6031">
        <v>219</v>
      </c>
      <c r="K6031">
        <v>18554.62</v>
      </c>
      <c r="L6031">
        <v>84.72</v>
      </c>
      <c r="M6031">
        <v>366</v>
      </c>
      <c r="N6031">
        <v>34705.65</v>
      </c>
      <c r="O6031">
        <v>94.82</v>
      </c>
    </row>
    <row r="6032" spans="1:15" x14ac:dyDescent="0.35">
      <c r="A6032" t="s">
        <v>6579</v>
      </c>
      <c r="B6032" t="s">
        <v>6580</v>
      </c>
      <c r="C6032" t="s">
        <v>898</v>
      </c>
      <c r="D6032" t="s">
        <v>339</v>
      </c>
      <c r="E6032" t="s">
        <v>312</v>
      </c>
      <c r="F6032" t="s">
        <v>6619</v>
      </c>
      <c r="G6032">
        <v>137</v>
      </c>
      <c r="H6032">
        <v>14187.17</v>
      </c>
      <c r="I6032">
        <v>103.56</v>
      </c>
      <c r="J6032">
        <v>219</v>
      </c>
      <c r="K6032">
        <v>18554.62</v>
      </c>
      <c r="L6032">
        <v>84.72</v>
      </c>
      <c r="M6032">
        <v>356</v>
      </c>
      <c r="N6032">
        <v>32741.79</v>
      </c>
      <c r="O6032">
        <v>91.97</v>
      </c>
    </row>
    <row r="6033" spans="1:15" x14ac:dyDescent="0.35">
      <c r="A6033" t="s">
        <v>6579</v>
      </c>
      <c r="B6033" t="s">
        <v>6580</v>
      </c>
      <c r="C6033" t="s">
        <v>898</v>
      </c>
      <c r="D6033" t="s">
        <v>348</v>
      </c>
      <c r="E6033" t="s">
        <v>349</v>
      </c>
      <c r="F6033" t="s">
        <v>6620</v>
      </c>
      <c r="G6033">
        <v>160</v>
      </c>
      <c r="H6033">
        <v>16151.03</v>
      </c>
      <c r="I6033">
        <v>109.87</v>
      </c>
      <c r="J6033">
        <v>219</v>
      </c>
      <c r="K6033">
        <v>18554.62</v>
      </c>
      <c r="L6033">
        <v>84.72</v>
      </c>
      <c r="M6033">
        <v>379</v>
      </c>
      <c r="N6033">
        <v>34705.65</v>
      </c>
      <c r="O6033">
        <v>94.82</v>
      </c>
    </row>
    <row r="6034" spans="1:15" x14ac:dyDescent="0.35">
      <c r="A6034" t="s">
        <v>6621</v>
      </c>
      <c r="B6034" t="s">
        <v>6622</v>
      </c>
      <c r="C6034" t="s">
        <v>898</v>
      </c>
      <c r="D6034" t="s">
        <v>293</v>
      </c>
      <c r="E6034" t="s">
        <v>294</v>
      </c>
      <c r="F6034" t="s">
        <v>6623</v>
      </c>
      <c r="G6034">
        <v>217</v>
      </c>
      <c r="H6034">
        <v>24520.050000000003</v>
      </c>
      <c r="I6034">
        <v>113</v>
      </c>
      <c r="J6034">
        <v>27</v>
      </c>
      <c r="K6034">
        <v>2854.44</v>
      </c>
      <c r="L6034">
        <v>105.72</v>
      </c>
      <c r="M6034">
        <v>244</v>
      </c>
      <c r="N6034">
        <v>27374.49</v>
      </c>
      <c r="O6034">
        <v>112.19</v>
      </c>
    </row>
    <row r="6035" spans="1:15" x14ac:dyDescent="0.35">
      <c r="A6035" t="s">
        <v>6621</v>
      </c>
      <c r="B6035" t="s">
        <v>6622</v>
      </c>
      <c r="C6035" t="s">
        <v>898</v>
      </c>
      <c r="D6035" t="s">
        <v>293</v>
      </c>
      <c r="E6035" t="s">
        <v>296</v>
      </c>
      <c r="F6035" t="s">
        <v>6624</v>
      </c>
      <c r="G6035">
        <v>507</v>
      </c>
      <c r="H6035">
        <v>70286.319999999992</v>
      </c>
      <c r="I6035">
        <v>138.63</v>
      </c>
      <c r="J6035">
        <v>74</v>
      </c>
      <c r="K6035">
        <v>9992.2199999999993</v>
      </c>
      <c r="L6035">
        <v>135.03</v>
      </c>
      <c r="M6035">
        <v>581</v>
      </c>
      <c r="N6035">
        <v>80278.539999999994</v>
      </c>
      <c r="O6035">
        <v>138.16999999999999</v>
      </c>
    </row>
    <row r="6036" spans="1:15" x14ac:dyDescent="0.35">
      <c r="A6036" t="s">
        <v>6621</v>
      </c>
      <c r="B6036" t="s">
        <v>6622</v>
      </c>
      <c r="C6036" t="s">
        <v>898</v>
      </c>
      <c r="D6036" t="s">
        <v>293</v>
      </c>
      <c r="E6036" t="s">
        <v>298</v>
      </c>
      <c r="F6036" t="s">
        <v>6625</v>
      </c>
      <c r="G6036">
        <v>266</v>
      </c>
      <c r="H6036">
        <v>42503.48</v>
      </c>
      <c r="I6036">
        <v>159.79</v>
      </c>
      <c r="J6036">
        <v>31</v>
      </c>
      <c r="K6036">
        <v>4676.6600000000008</v>
      </c>
      <c r="L6036">
        <v>150.86000000000001</v>
      </c>
      <c r="M6036">
        <v>297</v>
      </c>
      <c r="N6036">
        <v>47180.140000000007</v>
      </c>
      <c r="O6036">
        <v>158.86000000000001</v>
      </c>
    </row>
    <row r="6037" spans="1:15" x14ac:dyDescent="0.35">
      <c r="A6037" t="s">
        <v>6621</v>
      </c>
      <c r="B6037" t="s">
        <v>6622</v>
      </c>
      <c r="C6037" t="s">
        <v>898</v>
      </c>
      <c r="D6037" t="s">
        <v>293</v>
      </c>
      <c r="E6037" t="s">
        <v>300</v>
      </c>
      <c r="F6037" t="s">
        <v>6626</v>
      </c>
      <c r="G6037">
        <v>14</v>
      </c>
      <c r="H6037">
        <v>2985.65</v>
      </c>
      <c r="I6037">
        <v>213.26</v>
      </c>
      <c r="J6037">
        <v>2</v>
      </c>
      <c r="K6037">
        <v>443.98</v>
      </c>
      <c r="L6037">
        <v>221.99</v>
      </c>
      <c r="M6037">
        <v>16</v>
      </c>
      <c r="N6037">
        <v>3429.63</v>
      </c>
      <c r="O6037">
        <v>214.35</v>
      </c>
    </row>
    <row r="6038" spans="1:15" x14ac:dyDescent="0.35">
      <c r="A6038" t="s">
        <v>6621</v>
      </c>
      <c r="B6038" t="s">
        <v>6622</v>
      </c>
      <c r="C6038" t="s">
        <v>898</v>
      </c>
      <c r="D6038" t="s">
        <v>293</v>
      </c>
      <c r="E6038" t="s">
        <v>302</v>
      </c>
      <c r="F6038" t="s">
        <v>6627</v>
      </c>
      <c r="G6038">
        <v>0</v>
      </c>
      <c r="H6038">
        <v>0</v>
      </c>
      <c r="I6038">
        <v>0</v>
      </c>
      <c r="J6038">
        <v>0</v>
      </c>
      <c r="K6038">
        <v>0</v>
      </c>
      <c r="L6038">
        <v>0</v>
      </c>
      <c r="M6038">
        <v>0</v>
      </c>
      <c r="N6038">
        <v>0</v>
      </c>
      <c r="O6038">
        <v>0</v>
      </c>
    </row>
    <row r="6039" spans="1:15" x14ac:dyDescent="0.35">
      <c r="A6039" t="s">
        <v>6621</v>
      </c>
      <c r="B6039" t="s">
        <v>6622</v>
      </c>
      <c r="C6039" t="s">
        <v>898</v>
      </c>
      <c r="D6039" t="s">
        <v>293</v>
      </c>
      <c r="E6039" t="s">
        <v>304</v>
      </c>
      <c r="F6039" t="s">
        <v>6628</v>
      </c>
      <c r="G6039">
        <v>0</v>
      </c>
      <c r="H6039">
        <v>0</v>
      </c>
      <c r="I6039">
        <v>0</v>
      </c>
      <c r="J6039">
        <v>0</v>
      </c>
      <c r="K6039">
        <v>0</v>
      </c>
      <c r="L6039">
        <v>0</v>
      </c>
      <c r="M6039">
        <v>0</v>
      </c>
      <c r="N6039">
        <v>0</v>
      </c>
      <c r="O6039">
        <v>0</v>
      </c>
    </row>
    <row r="6040" spans="1:15" x14ac:dyDescent="0.35">
      <c r="A6040" t="s">
        <v>6621</v>
      </c>
      <c r="B6040" t="s">
        <v>6622</v>
      </c>
      <c r="C6040" t="s">
        <v>898</v>
      </c>
      <c r="D6040" t="s">
        <v>293</v>
      </c>
      <c r="E6040" t="s">
        <v>306</v>
      </c>
      <c r="F6040" t="s">
        <v>6629</v>
      </c>
      <c r="G6040">
        <v>0</v>
      </c>
      <c r="H6040">
        <v>0</v>
      </c>
      <c r="I6040">
        <v>0</v>
      </c>
      <c r="J6040">
        <v>0</v>
      </c>
      <c r="K6040">
        <v>0</v>
      </c>
      <c r="L6040">
        <v>0</v>
      </c>
      <c r="M6040">
        <v>0</v>
      </c>
      <c r="N6040">
        <v>0</v>
      </c>
      <c r="O6040">
        <v>0</v>
      </c>
    </row>
    <row r="6041" spans="1:15" x14ac:dyDescent="0.35">
      <c r="A6041" t="s">
        <v>6621</v>
      </c>
      <c r="B6041" t="s">
        <v>6622</v>
      </c>
      <c r="C6041" t="s">
        <v>898</v>
      </c>
      <c r="D6041" t="s">
        <v>293</v>
      </c>
      <c r="E6041" t="s">
        <v>308</v>
      </c>
      <c r="F6041" t="s">
        <v>6630</v>
      </c>
      <c r="G6041">
        <v>0</v>
      </c>
      <c r="H6041">
        <v>0</v>
      </c>
      <c r="I6041">
        <v>0</v>
      </c>
      <c r="J6041">
        <v>0</v>
      </c>
      <c r="K6041">
        <v>0</v>
      </c>
      <c r="L6041">
        <v>0</v>
      </c>
      <c r="M6041">
        <v>0</v>
      </c>
      <c r="N6041">
        <v>0</v>
      </c>
      <c r="O6041">
        <v>0</v>
      </c>
    </row>
    <row r="6042" spans="1:15" x14ac:dyDescent="0.35">
      <c r="A6042" t="s">
        <v>6621</v>
      </c>
      <c r="B6042" t="s">
        <v>6622</v>
      </c>
      <c r="C6042" t="s">
        <v>898</v>
      </c>
      <c r="D6042" t="s">
        <v>293</v>
      </c>
      <c r="E6042" t="s">
        <v>310</v>
      </c>
      <c r="F6042" t="s">
        <v>6631</v>
      </c>
      <c r="G6042">
        <v>1004</v>
      </c>
      <c r="H6042">
        <v>140295.5</v>
      </c>
      <c r="I6042">
        <v>139.74</v>
      </c>
      <c r="J6042">
        <v>134</v>
      </c>
      <c r="K6042">
        <v>17967.3</v>
      </c>
      <c r="L6042">
        <v>134.08000000000001</v>
      </c>
      <c r="M6042">
        <v>1138</v>
      </c>
      <c r="N6042">
        <v>158262.79999999999</v>
      </c>
      <c r="O6042">
        <v>139.07</v>
      </c>
    </row>
    <row r="6043" spans="1:15" x14ac:dyDescent="0.35">
      <c r="A6043" t="s">
        <v>6621</v>
      </c>
      <c r="B6043" t="s">
        <v>6622</v>
      </c>
      <c r="C6043" t="s">
        <v>898</v>
      </c>
      <c r="D6043" t="s">
        <v>293</v>
      </c>
      <c r="E6043" t="s">
        <v>312</v>
      </c>
      <c r="F6043" t="s">
        <v>6632</v>
      </c>
      <c r="G6043">
        <v>1004</v>
      </c>
      <c r="H6043">
        <v>140295.5</v>
      </c>
      <c r="I6043">
        <v>139.74</v>
      </c>
      <c r="J6043">
        <v>134</v>
      </c>
      <c r="K6043">
        <v>17967.3</v>
      </c>
      <c r="L6043">
        <v>134.08000000000001</v>
      </c>
      <c r="M6043">
        <v>1138</v>
      </c>
      <c r="N6043">
        <v>158262.79999999999</v>
      </c>
      <c r="O6043">
        <v>139.07</v>
      </c>
    </row>
    <row r="6044" spans="1:15" x14ac:dyDescent="0.35">
      <c r="A6044" t="s">
        <v>6621</v>
      </c>
      <c r="B6044" t="s">
        <v>6622</v>
      </c>
      <c r="C6044" t="s">
        <v>898</v>
      </c>
      <c r="D6044" t="s">
        <v>314</v>
      </c>
      <c r="E6044" t="s">
        <v>294</v>
      </c>
      <c r="F6044" t="s">
        <v>6633</v>
      </c>
      <c r="G6044">
        <v>0</v>
      </c>
      <c r="H6044">
        <v>0</v>
      </c>
      <c r="I6044">
        <v>0</v>
      </c>
      <c r="J6044">
        <v>0</v>
      </c>
      <c r="K6044">
        <v>0</v>
      </c>
      <c r="L6044">
        <v>0</v>
      </c>
      <c r="M6044">
        <v>0</v>
      </c>
      <c r="N6044">
        <v>0</v>
      </c>
      <c r="O6044">
        <v>0</v>
      </c>
    </row>
    <row r="6045" spans="1:15" x14ac:dyDescent="0.35">
      <c r="A6045" t="s">
        <v>6621</v>
      </c>
      <c r="B6045" t="s">
        <v>6622</v>
      </c>
      <c r="C6045" t="s">
        <v>898</v>
      </c>
      <c r="D6045" t="s">
        <v>314</v>
      </c>
      <c r="E6045" t="s">
        <v>296</v>
      </c>
      <c r="F6045" t="s">
        <v>6634</v>
      </c>
      <c r="G6045">
        <v>6</v>
      </c>
      <c r="H6045">
        <v>1029.9000000000001</v>
      </c>
      <c r="I6045">
        <v>171.65</v>
      </c>
      <c r="J6045">
        <v>0</v>
      </c>
      <c r="K6045">
        <v>0</v>
      </c>
      <c r="L6045">
        <v>0</v>
      </c>
      <c r="M6045">
        <v>6</v>
      </c>
      <c r="N6045">
        <v>1029.9000000000001</v>
      </c>
      <c r="O6045">
        <v>171.65</v>
      </c>
    </row>
    <row r="6046" spans="1:15" x14ac:dyDescent="0.35">
      <c r="A6046" t="s">
        <v>6621</v>
      </c>
      <c r="B6046" t="s">
        <v>6622</v>
      </c>
      <c r="C6046" t="s">
        <v>898</v>
      </c>
      <c r="D6046" t="s">
        <v>314</v>
      </c>
      <c r="E6046" t="s">
        <v>298</v>
      </c>
      <c r="F6046" t="s">
        <v>6635</v>
      </c>
      <c r="G6046">
        <v>0</v>
      </c>
      <c r="H6046">
        <v>0</v>
      </c>
      <c r="I6046">
        <v>0</v>
      </c>
      <c r="J6046">
        <v>0</v>
      </c>
      <c r="K6046">
        <v>0</v>
      </c>
      <c r="L6046">
        <v>0</v>
      </c>
      <c r="M6046">
        <v>0</v>
      </c>
      <c r="N6046">
        <v>0</v>
      </c>
      <c r="O6046">
        <v>0</v>
      </c>
    </row>
    <row r="6047" spans="1:15" x14ac:dyDescent="0.35">
      <c r="A6047" t="s">
        <v>6621</v>
      </c>
      <c r="B6047" t="s">
        <v>6622</v>
      </c>
      <c r="C6047" t="s">
        <v>898</v>
      </c>
      <c r="D6047" t="s">
        <v>314</v>
      </c>
      <c r="E6047" t="s">
        <v>300</v>
      </c>
      <c r="F6047" t="s">
        <v>6636</v>
      </c>
      <c r="G6047">
        <v>0</v>
      </c>
      <c r="H6047">
        <v>0</v>
      </c>
      <c r="I6047">
        <v>0</v>
      </c>
      <c r="J6047">
        <v>0</v>
      </c>
      <c r="K6047">
        <v>0</v>
      </c>
      <c r="L6047">
        <v>0</v>
      </c>
      <c r="M6047">
        <v>0</v>
      </c>
      <c r="N6047">
        <v>0</v>
      </c>
      <c r="O6047">
        <v>0</v>
      </c>
    </row>
    <row r="6048" spans="1:15" x14ac:dyDescent="0.35">
      <c r="A6048" t="s">
        <v>6621</v>
      </c>
      <c r="B6048" t="s">
        <v>6622</v>
      </c>
      <c r="C6048" t="s">
        <v>898</v>
      </c>
      <c r="D6048" t="s">
        <v>314</v>
      </c>
      <c r="E6048" t="s">
        <v>306</v>
      </c>
      <c r="F6048" t="s">
        <v>6637</v>
      </c>
      <c r="G6048">
        <v>0</v>
      </c>
      <c r="H6048">
        <v>0</v>
      </c>
      <c r="I6048">
        <v>0</v>
      </c>
      <c r="J6048">
        <v>0</v>
      </c>
      <c r="K6048">
        <v>0</v>
      </c>
      <c r="L6048">
        <v>0</v>
      </c>
      <c r="M6048">
        <v>0</v>
      </c>
      <c r="N6048">
        <v>0</v>
      </c>
      <c r="O6048">
        <v>0</v>
      </c>
    </row>
    <row r="6049" spans="1:15" x14ac:dyDescent="0.35">
      <c r="A6049" t="s">
        <v>6621</v>
      </c>
      <c r="B6049" t="s">
        <v>6622</v>
      </c>
      <c r="C6049" t="s">
        <v>898</v>
      </c>
      <c r="D6049" t="s">
        <v>314</v>
      </c>
      <c r="E6049" t="s">
        <v>308</v>
      </c>
      <c r="F6049" t="s">
        <v>6638</v>
      </c>
      <c r="G6049">
        <v>0</v>
      </c>
      <c r="H6049">
        <v>0</v>
      </c>
      <c r="I6049">
        <v>0</v>
      </c>
      <c r="J6049">
        <v>0</v>
      </c>
      <c r="K6049">
        <v>0</v>
      </c>
      <c r="L6049">
        <v>0</v>
      </c>
      <c r="M6049">
        <v>0</v>
      </c>
      <c r="N6049">
        <v>0</v>
      </c>
      <c r="O6049">
        <v>0</v>
      </c>
    </row>
    <row r="6050" spans="1:15" x14ac:dyDescent="0.35">
      <c r="A6050" t="s">
        <v>6621</v>
      </c>
      <c r="B6050" t="s">
        <v>6622</v>
      </c>
      <c r="C6050" t="s">
        <v>898</v>
      </c>
      <c r="D6050" t="s">
        <v>314</v>
      </c>
      <c r="E6050" t="s">
        <v>312</v>
      </c>
      <c r="F6050" t="s">
        <v>6639</v>
      </c>
      <c r="G6050">
        <v>6</v>
      </c>
      <c r="H6050">
        <v>1029.9000000000001</v>
      </c>
      <c r="I6050">
        <v>171.65</v>
      </c>
      <c r="J6050">
        <v>0</v>
      </c>
      <c r="K6050">
        <v>0</v>
      </c>
      <c r="L6050">
        <v>0</v>
      </c>
      <c r="M6050">
        <v>6</v>
      </c>
      <c r="N6050">
        <v>1029.9000000000001</v>
      </c>
      <c r="O6050">
        <v>171.65</v>
      </c>
    </row>
    <row r="6051" spans="1:15" x14ac:dyDescent="0.35">
      <c r="A6051" t="s">
        <v>6621</v>
      </c>
      <c r="B6051" t="s">
        <v>6622</v>
      </c>
      <c r="C6051" t="s">
        <v>898</v>
      </c>
      <c r="D6051" t="s">
        <v>314</v>
      </c>
      <c r="E6051" t="s">
        <v>310</v>
      </c>
      <c r="F6051" t="s">
        <v>6640</v>
      </c>
      <c r="G6051">
        <v>6</v>
      </c>
      <c r="H6051">
        <v>1029.9000000000001</v>
      </c>
      <c r="I6051">
        <v>171.65</v>
      </c>
      <c r="J6051">
        <v>0</v>
      </c>
      <c r="K6051">
        <v>0</v>
      </c>
      <c r="L6051">
        <v>0</v>
      </c>
      <c r="M6051">
        <v>6</v>
      </c>
      <c r="N6051">
        <v>1029.9000000000001</v>
      </c>
      <c r="O6051">
        <v>171.65</v>
      </c>
    </row>
    <row r="6052" spans="1:15" x14ac:dyDescent="0.35">
      <c r="A6052" t="s">
        <v>6621</v>
      </c>
      <c r="B6052" t="s">
        <v>6622</v>
      </c>
      <c r="C6052" t="s">
        <v>898</v>
      </c>
      <c r="D6052" t="s">
        <v>323</v>
      </c>
      <c r="E6052" t="s">
        <v>294</v>
      </c>
      <c r="F6052" t="s">
        <v>6641</v>
      </c>
      <c r="G6052">
        <v>309</v>
      </c>
      <c r="H6052">
        <v>28419.350000000002</v>
      </c>
      <c r="I6052">
        <v>91.97</v>
      </c>
      <c r="J6052">
        <v>238</v>
      </c>
      <c r="K6052">
        <v>18487.84</v>
      </c>
      <c r="L6052">
        <v>77.680000000000007</v>
      </c>
      <c r="M6052">
        <v>547</v>
      </c>
      <c r="N6052">
        <v>46907.19</v>
      </c>
      <c r="O6052">
        <v>85.75</v>
      </c>
    </row>
    <row r="6053" spans="1:15" x14ac:dyDescent="0.35">
      <c r="A6053" t="s">
        <v>6621</v>
      </c>
      <c r="B6053" t="s">
        <v>6622</v>
      </c>
      <c r="C6053" t="s">
        <v>898</v>
      </c>
      <c r="D6053" t="s">
        <v>323</v>
      </c>
      <c r="E6053" t="s">
        <v>296</v>
      </c>
      <c r="F6053" t="s">
        <v>6642</v>
      </c>
      <c r="G6053">
        <v>584</v>
      </c>
      <c r="H6053">
        <v>63052.30999999999</v>
      </c>
      <c r="I6053">
        <v>107.97</v>
      </c>
      <c r="J6053">
        <v>860</v>
      </c>
      <c r="K6053">
        <v>79507</v>
      </c>
      <c r="L6053">
        <v>92.45</v>
      </c>
      <c r="M6053">
        <v>1444</v>
      </c>
      <c r="N6053">
        <v>142559.31</v>
      </c>
      <c r="O6053">
        <v>98.73</v>
      </c>
    </row>
    <row r="6054" spans="1:15" x14ac:dyDescent="0.35">
      <c r="A6054" t="s">
        <v>6621</v>
      </c>
      <c r="B6054" t="s">
        <v>6622</v>
      </c>
      <c r="C6054" t="s">
        <v>898</v>
      </c>
      <c r="D6054" t="s">
        <v>323</v>
      </c>
      <c r="E6054" t="s">
        <v>298</v>
      </c>
      <c r="F6054" t="s">
        <v>6643</v>
      </c>
      <c r="G6054">
        <v>472</v>
      </c>
      <c r="H6054">
        <v>54922.920000000013</v>
      </c>
      <c r="I6054">
        <v>116.36</v>
      </c>
      <c r="J6054">
        <v>1746</v>
      </c>
      <c r="K6054">
        <v>188410.86</v>
      </c>
      <c r="L6054">
        <v>107.91</v>
      </c>
      <c r="M6054">
        <v>2218</v>
      </c>
      <c r="N6054">
        <v>243333.78</v>
      </c>
      <c r="O6054">
        <v>109.71</v>
      </c>
    </row>
    <row r="6055" spans="1:15" x14ac:dyDescent="0.35">
      <c r="A6055" t="s">
        <v>6621</v>
      </c>
      <c r="B6055" t="s">
        <v>6622</v>
      </c>
      <c r="C6055" t="s">
        <v>898</v>
      </c>
      <c r="D6055" t="s">
        <v>323</v>
      </c>
      <c r="E6055" t="s">
        <v>300</v>
      </c>
      <c r="F6055" t="s">
        <v>6644</v>
      </c>
      <c r="G6055">
        <v>28</v>
      </c>
      <c r="H6055">
        <v>3638.44</v>
      </c>
      <c r="I6055">
        <v>129.94</v>
      </c>
      <c r="J6055">
        <v>143</v>
      </c>
      <c r="K6055">
        <v>16406.39</v>
      </c>
      <c r="L6055">
        <v>114.73</v>
      </c>
      <c r="M6055">
        <v>171</v>
      </c>
      <c r="N6055">
        <v>20044.829999999998</v>
      </c>
      <c r="O6055">
        <v>117.22</v>
      </c>
    </row>
    <row r="6056" spans="1:15" x14ac:dyDescent="0.35">
      <c r="A6056" t="s">
        <v>6621</v>
      </c>
      <c r="B6056" t="s">
        <v>6622</v>
      </c>
      <c r="C6056" t="s">
        <v>898</v>
      </c>
      <c r="D6056" t="s">
        <v>323</v>
      </c>
      <c r="E6056" t="s">
        <v>302</v>
      </c>
      <c r="F6056" t="s">
        <v>6645</v>
      </c>
      <c r="G6056">
        <v>0</v>
      </c>
      <c r="H6056">
        <v>0</v>
      </c>
      <c r="I6056">
        <v>0</v>
      </c>
      <c r="J6056">
        <v>5</v>
      </c>
      <c r="K6056">
        <v>586.79999999999995</v>
      </c>
      <c r="L6056">
        <v>117.36</v>
      </c>
      <c r="M6056">
        <v>5</v>
      </c>
      <c r="N6056">
        <v>586.79999999999995</v>
      </c>
      <c r="O6056">
        <v>117.36</v>
      </c>
    </row>
    <row r="6057" spans="1:15" x14ac:dyDescent="0.35">
      <c r="A6057" t="s">
        <v>6621</v>
      </c>
      <c r="B6057" t="s">
        <v>6622</v>
      </c>
      <c r="C6057" t="s">
        <v>898</v>
      </c>
      <c r="D6057" t="s">
        <v>323</v>
      </c>
      <c r="E6057" t="s">
        <v>304</v>
      </c>
      <c r="F6057" t="s">
        <v>6646</v>
      </c>
      <c r="G6057">
        <v>0</v>
      </c>
      <c r="H6057">
        <v>0</v>
      </c>
      <c r="I6057">
        <v>0</v>
      </c>
      <c r="J6057">
        <v>0</v>
      </c>
      <c r="K6057">
        <v>0</v>
      </c>
      <c r="L6057">
        <v>0</v>
      </c>
      <c r="M6057">
        <v>0</v>
      </c>
      <c r="N6057">
        <v>0</v>
      </c>
      <c r="O6057">
        <v>0</v>
      </c>
    </row>
    <row r="6058" spans="1:15" x14ac:dyDescent="0.35">
      <c r="A6058" t="s">
        <v>6621</v>
      </c>
      <c r="B6058" t="s">
        <v>6622</v>
      </c>
      <c r="C6058" t="s">
        <v>898</v>
      </c>
      <c r="D6058" t="s">
        <v>323</v>
      </c>
      <c r="E6058" t="s">
        <v>306</v>
      </c>
      <c r="F6058" t="s">
        <v>6647</v>
      </c>
      <c r="G6058">
        <v>12</v>
      </c>
      <c r="H6058">
        <v>914.46</v>
      </c>
      <c r="I6058">
        <v>76.209999999999994</v>
      </c>
      <c r="J6058">
        <v>39</v>
      </c>
      <c r="K6058">
        <v>2592.33</v>
      </c>
      <c r="L6058">
        <v>66.47</v>
      </c>
      <c r="M6058">
        <v>51</v>
      </c>
      <c r="N6058">
        <v>3506.79</v>
      </c>
      <c r="O6058">
        <v>68.760000000000005</v>
      </c>
    </row>
    <row r="6059" spans="1:15" x14ac:dyDescent="0.35">
      <c r="A6059" t="s">
        <v>6621</v>
      </c>
      <c r="B6059" t="s">
        <v>6622</v>
      </c>
      <c r="C6059" t="s">
        <v>898</v>
      </c>
      <c r="D6059" t="s">
        <v>323</v>
      </c>
      <c r="E6059" t="s">
        <v>308</v>
      </c>
      <c r="F6059" t="s">
        <v>6648</v>
      </c>
      <c r="G6059">
        <v>0</v>
      </c>
      <c r="H6059">
        <v>0</v>
      </c>
      <c r="I6059">
        <v>0</v>
      </c>
      <c r="J6059">
        <v>0</v>
      </c>
      <c r="K6059">
        <v>0</v>
      </c>
      <c r="L6059">
        <v>0</v>
      </c>
      <c r="M6059">
        <v>0</v>
      </c>
      <c r="N6059">
        <v>0</v>
      </c>
      <c r="O6059">
        <v>0</v>
      </c>
    </row>
    <row r="6060" spans="1:15" x14ac:dyDescent="0.35">
      <c r="A6060" t="s">
        <v>6621</v>
      </c>
      <c r="B6060" t="s">
        <v>6622</v>
      </c>
      <c r="C6060" t="s">
        <v>898</v>
      </c>
      <c r="D6060" t="s">
        <v>323</v>
      </c>
      <c r="E6060" t="s">
        <v>310</v>
      </c>
      <c r="F6060" t="s">
        <v>6649</v>
      </c>
      <c r="G6060">
        <v>1405</v>
      </c>
      <c r="H6060">
        <v>150947.48000000001</v>
      </c>
      <c r="I6060">
        <v>107.44</v>
      </c>
      <c r="J6060">
        <v>3031</v>
      </c>
      <c r="K6060">
        <v>305991.21999999997</v>
      </c>
      <c r="L6060">
        <v>100.95</v>
      </c>
      <c r="M6060">
        <v>4436</v>
      </c>
      <c r="N6060">
        <v>456938.69999999995</v>
      </c>
      <c r="O6060">
        <v>103.01</v>
      </c>
    </row>
    <row r="6061" spans="1:15" x14ac:dyDescent="0.35">
      <c r="A6061" t="s">
        <v>6621</v>
      </c>
      <c r="B6061" t="s">
        <v>6622</v>
      </c>
      <c r="C6061" t="s">
        <v>898</v>
      </c>
      <c r="D6061" t="s">
        <v>323</v>
      </c>
      <c r="E6061" t="s">
        <v>312</v>
      </c>
      <c r="F6061" t="s">
        <v>6650</v>
      </c>
      <c r="G6061">
        <v>1405</v>
      </c>
      <c r="H6061">
        <v>150947.48000000001</v>
      </c>
      <c r="I6061">
        <v>107.44</v>
      </c>
      <c r="J6061">
        <v>3031</v>
      </c>
      <c r="K6061">
        <v>305991.21999999997</v>
      </c>
      <c r="L6061">
        <v>100.95</v>
      </c>
      <c r="M6061">
        <v>4436</v>
      </c>
      <c r="N6061">
        <v>456938.69999999995</v>
      </c>
      <c r="O6061">
        <v>103.01</v>
      </c>
    </row>
    <row r="6062" spans="1:15" x14ac:dyDescent="0.35">
      <c r="A6062" t="s">
        <v>6621</v>
      </c>
      <c r="B6062" t="s">
        <v>6622</v>
      </c>
      <c r="C6062" t="s">
        <v>898</v>
      </c>
      <c r="D6062" t="s">
        <v>334</v>
      </c>
      <c r="E6062" t="s">
        <v>312</v>
      </c>
      <c r="F6062" t="s">
        <v>6651</v>
      </c>
      <c r="G6062">
        <v>2438</v>
      </c>
      <c r="H6062">
        <v>291242.98000000004</v>
      </c>
      <c r="I6062">
        <v>120.9</v>
      </c>
      <c r="J6062">
        <v>3165</v>
      </c>
      <c r="K6062">
        <v>323958.52</v>
      </c>
      <c r="L6062">
        <v>102.36</v>
      </c>
      <c r="M6062">
        <v>5603</v>
      </c>
      <c r="N6062">
        <v>615201.5</v>
      </c>
      <c r="O6062">
        <v>110.37</v>
      </c>
    </row>
    <row r="6063" spans="1:15" x14ac:dyDescent="0.35">
      <c r="A6063" t="s">
        <v>6621</v>
      </c>
      <c r="B6063" t="s">
        <v>6622</v>
      </c>
      <c r="C6063" t="s">
        <v>898</v>
      </c>
      <c r="D6063" t="s">
        <v>334</v>
      </c>
      <c r="E6063" t="s">
        <v>308</v>
      </c>
      <c r="F6063" t="s">
        <v>6652</v>
      </c>
      <c r="G6063">
        <v>2</v>
      </c>
      <c r="H6063">
        <v>0</v>
      </c>
      <c r="I6063">
        <v>0</v>
      </c>
      <c r="J6063">
        <v>0</v>
      </c>
      <c r="K6063">
        <v>0</v>
      </c>
      <c r="L6063">
        <v>0</v>
      </c>
      <c r="M6063">
        <v>2</v>
      </c>
      <c r="N6063">
        <v>0</v>
      </c>
      <c r="O6063">
        <v>0</v>
      </c>
    </row>
    <row r="6064" spans="1:15" x14ac:dyDescent="0.35">
      <c r="A6064" t="s">
        <v>6621</v>
      </c>
      <c r="B6064" t="s">
        <v>6622</v>
      </c>
      <c r="C6064" t="s">
        <v>898</v>
      </c>
      <c r="D6064" t="s">
        <v>337</v>
      </c>
      <c r="E6064" t="s">
        <v>337</v>
      </c>
      <c r="F6064" t="s">
        <v>6653</v>
      </c>
      <c r="G6064">
        <v>629</v>
      </c>
      <c r="J6064">
        <v>0</v>
      </c>
      <c r="M6064">
        <v>629</v>
      </c>
    </row>
    <row r="6065" spans="1:15" x14ac:dyDescent="0.35">
      <c r="A6065" t="s">
        <v>6621</v>
      </c>
      <c r="B6065" t="s">
        <v>6622</v>
      </c>
      <c r="C6065" t="s">
        <v>898</v>
      </c>
      <c r="D6065" t="s">
        <v>339</v>
      </c>
      <c r="E6065" t="s">
        <v>294</v>
      </c>
      <c r="F6065" t="s">
        <v>6654</v>
      </c>
      <c r="G6065">
        <v>127</v>
      </c>
      <c r="H6065">
        <v>14722.029999999999</v>
      </c>
      <c r="I6065">
        <v>115.92</v>
      </c>
      <c r="J6065">
        <v>608</v>
      </c>
      <c r="K6065">
        <v>47618.559999999998</v>
      </c>
      <c r="L6065">
        <v>78.319999999999993</v>
      </c>
      <c r="M6065">
        <v>735</v>
      </c>
      <c r="N6065">
        <v>62340.59</v>
      </c>
      <c r="O6065">
        <v>84.82</v>
      </c>
    </row>
    <row r="6066" spans="1:15" x14ac:dyDescent="0.35">
      <c r="A6066" t="s">
        <v>6621</v>
      </c>
      <c r="B6066" t="s">
        <v>6622</v>
      </c>
      <c r="C6066" t="s">
        <v>898</v>
      </c>
      <c r="D6066" t="s">
        <v>339</v>
      </c>
      <c r="E6066" t="s">
        <v>296</v>
      </c>
      <c r="F6066" t="s">
        <v>6655</v>
      </c>
      <c r="G6066">
        <v>51</v>
      </c>
      <c r="H6066">
        <v>6566.5</v>
      </c>
      <c r="I6066">
        <v>128.75</v>
      </c>
      <c r="J6066">
        <v>280</v>
      </c>
      <c r="K6066">
        <v>26129.599999999999</v>
      </c>
      <c r="L6066">
        <v>93.32</v>
      </c>
      <c r="M6066">
        <v>331</v>
      </c>
      <c r="N6066">
        <v>32696.1</v>
      </c>
      <c r="O6066">
        <v>98.78</v>
      </c>
    </row>
    <row r="6067" spans="1:15" x14ac:dyDescent="0.35">
      <c r="A6067" t="s">
        <v>6621</v>
      </c>
      <c r="B6067" t="s">
        <v>6622</v>
      </c>
      <c r="C6067" t="s">
        <v>898</v>
      </c>
      <c r="D6067" t="s">
        <v>339</v>
      </c>
      <c r="E6067" t="s">
        <v>298</v>
      </c>
      <c r="F6067" t="s">
        <v>6656</v>
      </c>
      <c r="G6067">
        <v>0</v>
      </c>
      <c r="H6067">
        <v>0</v>
      </c>
      <c r="I6067">
        <v>0</v>
      </c>
      <c r="J6067">
        <v>9</v>
      </c>
      <c r="K6067">
        <v>876.06000000000006</v>
      </c>
      <c r="L6067">
        <v>97.34</v>
      </c>
      <c r="M6067">
        <v>9</v>
      </c>
      <c r="N6067">
        <v>876.06000000000006</v>
      </c>
      <c r="O6067">
        <v>97.34</v>
      </c>
    </row>
    <row r="6068" spans="1:15" x14ac:dyDescent="0.35">
      <c r="A6068" t="s">
        <v>6621</v>
      </c>
      <c r="B6068" t="s">
        <v>6622</v>
      </c>
      <c r="C6068" t="s">
        <v>898</v>
      </c>
      <c r="D6068" t="s">
        <v>339</v>
      </c>
      <c r="E6068" t="s">
        <v>300</v>
      </c>
      <c r="F6068" t="s">
        <v>6657</v>
      </c>
      <c r="G6068">
        <v>0</v>
      </c>
      <c r="H6068">
        <v>0</v>
      </c>
      <c r="I6068">
        <v>0</v>
      </c>
      <c r="J6068">
        <v>0</v>
      </c>
      <c r="K6068">
        <v>0</v>
      </c>
      <c r="L6068">
        <v>0</v>
      </c>
      <c r="M6068">
        <v>0</v>
      </c>
      <c r="N6068">
        <v>0</v>
      </c>
      <c r="O6068">
        <v>0</v>
      </c>
    </row>
    <row r="6069" spans="1:15" x14ac:dyDescent="0.35">
      <c r="A6069" t="s">
        <v>6621</v>
      </c>
      <c r="B6069" t="s">
        <v>6622</v>
      </c>
      <c r="C6069" t="s">
        <v>898</v>
      </c>
      <c r="D6069" t="s">
        <v>339</v>
      </c>
      <c r="E6069" t="s">
        <v>306</v>
      </c>
      <c r="F6069" t="s">
        <v>6658</v>
      </c>
      <c r="G6069">
        <v>29</v>
      </c>
      <c r="H6069">
        <v>2387.86</v>
      </c>
      <c r="I6069">
        <v>82.34</v>
      </c>
      <c r="J6069">
        <v>18</v>
      </c>
      <c r="K6069">
        <v>1243.6200000000001</v>
      </c>
      <c r="L6069">
        <v>69.09</v>
      </c>
      <c r="M6069">
        <v>47</v>
      </c>
      <c r="N6069">
        <v>3631.4800000000005</v>
      </c>
      <c r="O6069">
        <v>77.27</v>
      </c>
    </row>
    <row r="6070" spans="1:15" x14ac:dyDescent="0.35">
      <c r="A6070" t="s">
        <v>6621</v>
      </c>
      <c r="B6070" t="s">
        <v>6622</v>
      </c>
      <c r="C6070" t="s">
        <v>898</v>
      </c>
      <c r="D6070" t="s">
        <v>339</v>
      </c>
      <c r="E6070" t="s">
        <v>308</v>
      </c>
      <c r="F6070" t="s">
        <v>6659</v>
      </c>
      <c r="G6070">
        <v>6</v>
      </c>
      <c r="H6070">
        <v>1297.22</v>
      </c>
      <c r="I6070">
        <v>216.2</v>
      </c>
      <c r="J6070">
        <v>0</v>
      </c>
      <c r="K6070">
        <v>0</v>
      </c>
      <c r="L6070">
        <v>0</v>
      </c>
      <c r="M6070">
        <v>6</v>
      </c>
      <c r="N6070">
        <v>1297.22</v>
      </c>
      <c r="O6070">
        <v>216.2</v>
      </c>
    </row>
    <row r="6071" spans="1:15" x14ac:dyDescent="0.35">
      <c r="A6071" t="s">
        <v>6621</v>
      </c>
      <c r="B6071" t="s">
        <v>6622</v>
      </c>
      <c r="C6071" t="s">
        <v>898</v>
      </c>
      <c r="D6071" t="s">
        <v>339</v>
      </c>
      <c r="E6071" t="s">
        <v>310</v>
      </c>
      <c r="F6071" t="s">
        <v>6660</v>
      </c>
      <c r="G6071">
        <v>213</v>
      </c>
      <c r="H6071">
        <v>24973.61</v>
      </c>
      <c r="I6071">
        <v>117.25</v>
      </c>
      <c r="J6071">
        <v>915</v>
      </c>
      <c r="K6071">
        <v>75867.839999999997</v>
      </c>
      <c r="L6071">
        <v>82.92</v>
      </c>
      <c r="M6071">
        <v>1128</v>
      </c>
      <c r="N6071">
        <v>100841.45</v>
      </c>
      <c r="O6071">
        <v>89.4</v>
      </c>
    </row>
    <row r="6072" spans="1:15" x14ac:dyDescent="0.35">
      <c r="A6072" t="s">
        <v>6621</v>
      </c>
      <c r="B6072" t="s">
        <v>6622</v>
      </c>
      <c r="C6072" t="s">
        <v>898</v>
      </c>
      <c r="D6072" t="s">
        <v>339</v>
      </c>
      <c r="E6072" t="s">
        <v>312</v>
      </c>
      <c r="F6072" t="s">
        <v>6661</v>
      </c>
      <c r="G6072">
        <v>207</v>
      </c>
      <c r="H6072">
        <v>23676.39</v>
      </c>
      <c r="I6072">
        <v>114.38</v>
      </c>
      <c r="J6072">
        <v>915</v>
      </c>
      <c r="K6072">
        <v>75867.839999999997</v>
      </c>
      <c r="L6072">
        <v>82.92</v>
      </c>
      <c r="M6072">
        <v>1122</v>
      </c>
      <c r="N6072">
        <v>99544.23</v>
      </c>
      <c r="O6072">
        <v>88.72</v>
      </c>
    </row>
    <row r="6073" spans="1:15" x14ac:dyDescent="0.35">
      <c r="A6073" t="s">
        <v>6621</v>
      </c>
      <c r="B6073" t="s">
        <v>6622</v>
      </c>
      <c r="C6073" t="s">
        <v>898</v>
      </c>
      <c r="D6073" t="s">
        <v>348</v>
      </c>
      <c r="E6073" t="s">
        <v>349</v>
      </c>
      <c r="F6073" t="s">
        <v>6662</v>
      </c>
      <c r="G6073">
        <v>250</v>
      </c>
      <c r="H6073">
        <v>26003.510000000002</v>
      </c>
      <c r="I6073">
        <v>118.74</v>
      </c>
      <c r="J6073">
        <v>915</v>
      </c>
      <c r="K6073">
        <v>75867.839999999997</v>
      </c>
      <c r="L6073">
        <v>82.92</v>
      </c>
      <c r="M6073">
        <v>1165</v>
      </c>
      <c r="N6073">
        <v>101871.35</v>
      </c>
      <c r="O6073">
        <v>89.83</v>
      </c>
    </row>
    <row r="6074" spans="1:15" x14ac:dyDescent="0.35">
      <c r="A6074" t="s">
        <v>6663</v>
      </c>
      <c r="B6074" t="s">
        <v>6664</v>
      </c>
      <c r="C6074" t="s">
        <v>898</v>
      </c>
      <c r="D6074" t="s">
        <v>293</v>
      </c>
      <c r="E6074" t="s">
        <v>294</v>
      </c>
      <c r="F6074" t="s">
        <v>6665</v>
      </c>
      <c r="G6074">
        <v>53</v>
      </c>
      <c r="H6074">
        <v>5733.63</v>
      </c>
      <c r="I6074">
        <v>108.18</v>
      </c>
      <c r="J6074">
        <v>0</v>
      </c>
      <c r="K6074">
        <v>0</v>
      </c>
      <c r="L6074">
        <v>0</v>
      </c>
      <c r="M6074">
        <v>53</v>
      </c>
      <c r="N6074">
        <v>5733.63</v>
      </c>
      <c r="O6074">
        <v>108.18</v>
      </c>
    </row>
    <row r="6075" spans="1:15" x14ac:dyDescent="0.35">
      <c r="A6075" t="s">
        <v>6663</v>
      </c>
      <c r="B6075" t="s">
        <v>6664</v>
      </c>
      <c r="C6075" t="s">
        <v>898</v>
      </c>
      <c r="D6075" t="s">
        <v>293</v>
      </c>
      <c r="E6075" t="s">
        <v>296</v>
      </c>
      <c r="F6075" t="s">
        <v>6666</v>
      </c>
      <c r="G6075">
        <v>146</v>
      </c>
      <c r="H6075">
        <v>20509.129999999997</v>
      </c>
      <c r="I6075">
        <v>140.47</v>
      </c>
      <c r="J6075">
        <v>0</v>
      </c>
      <c r="K6075">
        <v>0</v>
      </c>
      <c r="L6075">
        <v>0</v>
      </c>
      <c r="M6075">
        <v>146</v>
      </c>
      <c r="N6075">
        <v>20509.129999999997</v>
      </c>
      <c r="O6075">
        <v>140.47</v>
      </c>
    </row>
    <row r="6076" spans="1:15" x14ac:dyDescent="0.35">
      <c r="A6076" t="s">
        <v>6663</v>
      </c>
      <c r="B6076" t="s">
        <v>6664</v>
      </c>
      <c r="C6076" t="s">
        <v>898</v>
      </c>
      <c r="D6076" t="s">
        <v>293</v>
      </c>
      <c r="E6076" t="s">
        <v>298</v>
      </c>
      <c r="F6076" t="s">
        <v>6667</v>
      </c>
      <c r="G6076">
        <v>68</v>
      </c>
      <c r="H6076">
        <v>11189.719999999998</v>
      </c>
      <c r="I6076">
        <v>164.55</v>
      </c>
      <c r="J6076">
        <v>0</v>
      </c>
      <c r="K6076">
        <v>0</v>
      </c>
      <c r="L6076">
        <v>0</v>
      </c>
      <c r="M6076">
        <v>68</v>
      </c>
      <c r="N6076">
        <v>11189.719999999998</v>
      </c>
      <c r="O6076">
        <v>164.55</v>
      </c>
    </row>
    <row r="6077" spans="1:15" x14ac:dyDescent="0.35">
      <c r="A6077" t="s">
        <v>6663</v>
      </c>
      <c r="B6077" t="s">
        <v>6664</v>
      </c>
      <c r="C6077" t="s">
        <v>898</v>
      </c>
      <c r="D6077" t="s">
        <v>293</v>
      </c>
      <c r="E6077" t="s">
        <v>300</v>
      </c>
      <c r="F6077" t="s">
        <v>6668</v>
      </c>
      <c r="G6077">
        <v>13</v>
      </c>
      <c r="H6077">
        <v>2659.07</v>
      </c>
      <c r="I6077">
        <v>204.54</v>
      </c>
      <c r="J6077">
        <v>0</v>
      </c>
      <c r="K6077">
        <v>0</v>
      </c>
      <c r="L6077">
        <v>0</v>
      </c>
      <c r="M6077">
        <v>13</v>
      </c>
      <c r="N6077">
        <v>2659.07</v>
      </c>
      <c r="O6077">
        <v>204.54</v>
      </c>
    </row>
    <row r="6078" spans="1:15" x14ac:dyDescent="0.35">
      <c r="A6078" t="s">
        <v>6663</v>
      </c>
      <c r="B6078" t="s">
        <v>6664</v>
      </c>
      <c r="C6078" t="s">
        <v>898</v>
      </c>
      <c r="D6078" t="s">
        <v>293</v>
      </c>
      <c r="E6078" t="s">
        <v>302</v>
      </c>
      <c r="F6078" t="s">
        <v>6669</v>
      </c>
      <c r="G6078">
        <v>0</v>
      </c>
      <c r="H6078">
        <v>0</v>
      </c>
      <c r="I6078">
        <v>0</v>
      </c>
      <c r="J6078">
        <v>0</v>
      </c>
      <c r="K6078">
        <v>0</v>
      </c>
      <c r="L6078">
        <v>0</v>
      </c>
      <c r="M6078">
        <v>0</v>
      </c>
      <c r="N6078">
        <v>0</v>
      </c>
      <c r="O6078">
        <v>0</v>
      </c>
    </row>
    <row r="6079" spans="1:15" x14ac:dyDescent="0.35">
      <c r="A6079" t="s">
        <v>6663</v>
      </c>
      <c r="B6079" t="s">
        <v>6664</v>
      </c>
      <c r="C6079" t="s">
        <v>898</v>
      </c>
      <c r="D6079" t="s">
        <v>293</v>
      </c>
      <c r="E6079" t="s">
        <v>304</v>
      </c>
      <c r="F6079" t="s">
        <v>6670</v>
      </c>
      <c r="G6079">
        <v>0</v>
      </c>
      <c r="H6079">
        <v>0</v>
      </c>
      <c r="I6079">
        <v>0</v>
      </c>
      <c r="J6079">
        <v>0</v>
      </c>
      <c r="K6079">
        <v>0</v>
      </c>
      <c r="L6079">
        <v>0</v>
      </c>
      <c r="M6079">
        <v>0</v>
      </c>
      <c r="N6079">
        <v>0</v>
      </c>
      <c r="O6079">
        <v>0</v>
      </c>
    </row>
    <row r="6080" spans="1:15" x14ac:dyDescent="0.35">
      <c r="A6080" t="s">
        <v>6663</v>
      </c>
      <c r="B6080" t="s">
        <v>6664</v>
      </c>
      <c r="C6080" t="s">
        <v>898</v>
      </c>
      <c r="D6080" t="s">
        <v>293</v>
      </c>
      <c r="E6080" t="s">
        <v>306</v>
      </c>
      <c r="F6080" t="s">
        <v>6671</v>
      </c>
      <c r="G6080">
        <v>0</v>
      </c>
      <c r="H6080">
        <v>0</v>
      </c>
      <c r="I6080">
        <v>0</v>
      </c>
      <c r="J6080">
        <v>0</v>
      </c>
      <c r="K6080">
        <v>0</v>
      </c>
      <c r="L6080">
        <v>0</v>
      </c>
      <c r="M6080">
        <v>0</v>
      </c>
      <c r="N6080">
        <v>0</v>
      </c>
      <c r="O6080">
        <v>0</v>
      </c>
    </row>
    <row r="6081" spans="1:15" x14ac:dyDescent="0.35">
      <c r="A6081" t="s">
        <v>6663</v>
      </c>
      <c r="B6081" t="s">
        <v>6664</v>
      </c>
      <c r="C6081" t="s">
        <v>898</v>
      </c>
      <c r="D6081" t="s">
        <v>293</v>
      </c>
      <c r="E6081" t="s">
        <v>308</v>
      </c>
      <c r="F6081" t="s">
        <v>6672</v>
      </c>
      <c r="G6081">
        <v>0</v>
      </c>
      <c r="H6081">
        <v>0</v>
      </c>
      <c r="I6081">
        <v>0</v>
      </c>
      <c r="J6081">
        <v>0</v>
      </c>
      <c r="K6081">
        <v>0</v>
      </c>
      <c r="L6081">
        <v>0</v>
      </c>
      <c r="M6081">
        <v>0</v>
      </c>
      <c r="N6081">
        <v>0</v>
      </c>
      <c r="O6081">
        <v>0</v>
      </c>
    </row>
    <row r="6082" spans="1:15" x14ac:dyDescent="0.35">
      <c r="A6082" t="s">
        <v>6663</v>
      </c>
      <c r="B6082" t="s">
        <v>6664</v>
      </c>
      <c r="C6082" t="s">
        <v>898</v>
      </c>
      <c r="D6082" t="s">
        <v>293</v>
      </c>
      <c r="E6082" t="s">
        <v>310</v>
      </c>
      <c r="F6082" t="s">
        <v>6673</v>
      </c>
      <c r="G6082">
        <v>280</v>
      </c>
      <c r="H6082">
        <v>40091.549999999996</v>
      </c>
      <c r="I6082">
        <v>143.18</v>
      </c>
      <c r="J6082">
        <v>0</v>
      </c>
      <c r="K6082">
        <v>0</v>
      </c>
      <c r="L6082">
        <v>0</v>
      </c>
      <c r="M6082">
        <v>280</v>
      </c>
      <c r="N6082">
        <v>40091.549999999996</v>
      </c>
      <c r="O6082">
        <v>143.18</v>
      </c>
    </row>
    <row r="6083" spans="1:15" x14ac:dyDescent="0.35">
      <c r="A6083" t="s">
        <v>6663</v>
      </c>
      <c r="B6083" t="s">
        <v>6664</v>
      </c>
      <c r="C6083" t="s">
        <v>898</v>
      </c>
      <c r="D6083" t="s">
        <v>293</v>
      </c>
      <c r="E6083" t="s">
        <v>312</v>
      </c>
      <c r="F6083" t="s">
        <v>6674</v>
      </c>
      <c r="G6083">
        <v>280</v>
      </c>
      <c r="H6083">
        <v>40091.549999999996</v>
      </c>
      <c r="I6083">
        <v>143.18</v>
      </c>
      <c r="J6083">
        <v>0</v>
      </c>
      <c r="K6083">
        <v>0</v>
      </c>
      <c r="L6083">
        <v>0</v>
      </c>
      <c r="M6083">
        <v>280</v>
      </c>
      <c r="N6083">
        <v>40091.549999999996</v>
      </c>
      <c r="O6083">
        <v>143.18</v>
      </c>
    </row>
    <row r="6084" spans="1:15" x14ac:dyDescent="0.35">
      <c r="A6084" t="s">
        <v>6663</v>
      </c>
      <c r="B6084" t="s">
        <v>6664</v>
      </c>
      <c r="C6084" t="s">
        <v>898</v>
      </c>
      <c r="D6084" t="s">
        <v>314</v>
      </c>
      <c r="E6084" t="s">
        <v>294</v>
      </c>
      <c r="F6084" t="s">
        <v>6675</v>
      </c>
      <c r="G6084">
        <v>0</v>
      </c>
      <c r="H6084">
        <v>0</v>
      </c>
      <c r="I6084">
        <v>0</v>
      </c>
      <c r="J6084">
        <v>0</v>
      </c>
      <c r="K6084">
        <v>0</v>
      </c>
      <c r="L6084">
        <v>0</v>
      </c>
      <c r="M6084">
        <v>0</v>
      </c>
      <c r="N6084">
        <v>0</v>
      </c>
      <c r="O6084">
        <v>0</v>
      </c>
    </row>
    <row r="6085" spans="1:15" x14ac:dyDescent="0.35">
      <c r="A6085" t="s">
        <v>6663</v>
      </c>
      <c r="B6085" t="s">
        <v>6664</v>
      </c>
      <c r="C6085" t="s">
        <v>898</v>
      </c>
      <c r="D6085" t="s">
        <v>314</v>
      </c>
      <c r="E6085" t="s">
        <v>296</v>
      </c>
      <c r="F6085" t="s">
        <v>6676</v>
      </c>
      <c r="G6085">
        <v>0</v>
      </c>
      <c r="H6085">
        <v>0</v>
      </c>
      <c r="I6085">
        <v>0</v>
      </c>
      <c r="J6085">
        <v>0</v>
      </c>
      <c r="K6085">
        <v>0</v>
      </c>
      <c r="L6085">
        <v>0</v>
      </c>
      <c r="M6085">
        <v>0</v>
      </c>
      <c r="N6085">
        <v>0</v>
      </c>
      <c r="O6085">
        <v>0</v>
      </c>
    </row>
    <row r="6086" spans="1:15" x14ac:dyDescent="0.35">
      <c r="A6086" t="s">
        <v>6663</v>
      </c>
      <c r="B6086" t="s">
        <v>6664</v>
      </c>
      <c r="C6086" t="s">
        <v>898</v>
      </c>
      <c r="D6086" t="s">
        <v>314</v>
      </c>
      <c r="E6086" t="s">
        <v>298</v>
      </c>
      <c r="F6086" t="s">
        <v>6677</v>
      </c>
      <c r="G6086">
        <v>0</v>
      </c>
      <c r="H6086">
        <v>0</v>
      </c>
      <c r="I6086">
        <v>0</v>
      </c>
      <c r="J6086">
        <v>0</v>
      </c>
      <c r="K6086">
        <v>0</v>
      </c>
      <c r="L6086">
        <v>0</v>
      </c>
      <c r="M6086">
        <v>0</v>
      </c>
      <c r="N6086">
        <v>0</v>
      </c>
      <c r="O6086">
        <v>0</v>
      </c>
    </row>
    <row r="6087" spans="1:15" x14ac:dyDescent="0.35">
      <c r="A6087" t="s">
        <v>6663</v>
      </c>
      <c r="B6087" t="s">
        <v>6664</v>
      </c>
      <c r="C6087" t="s">
        <v>898</v>
      </c>
      <c r="D6087" t="s">
        <v>314</v>
      </c>
      <c r="E6087" t="s">
        <v>300</v>
      </c>
      <c r="F6087" t="s">
        <v>6678</v>
      </c>
      <c r="G6087">
        <v>0</v>
      </c>
      <c r="H6087">
        <v>0</v>
      </c>
      <c r="I6087">
        <v>0</v>
      </c>
      <c r="J6087">
        <v>0</v>
      </c>
      <c r="K6087">
        <v>0</v>
      </c>
      <c r="L6087">
        <v>0</v>
      </c>
      <c r="M6087">
        <v>0</v>
      </c>
      <c r="N6087">
        <v>0</v>
      </c>
      <c r="O6087">
        <v>0</v>
      </c>
    </row>
    <row r="6088" spans="1:15" x14ac:dyDescent="0.35">
      <c r="A6088" t="s">
        <v>6663</v>
      </c>
      <c r="B6088" t="s">
        <v>6664</v>
      </c>
      <c r="C6088" t="s">
        <v>898</v>
      </c>
      <c r="D6088" t="s">
        <v>314</v>
      </c>
      <c r="E6088" t="s">
        <v>306</v>
      </c>
      <c r="F6088" t="s">
        <v>6679</v>
      </c>
      <c r="G6088">
        <v>0</v>
      </c>
      <c r="H6088">
        <v>0</v>
      </c>
      <c r="I6088">
        <v>0</v>
      </c>
      <c r="J6088">
        <v>0</v>
      </c>
      <c r="K6088">
        <v>0</v>
      </c>
      <c r="L6088">
        <v>0</v>
      </c>
      <c r="M6088">
        <v>0</v>
      </c>
      <c r="N6088">
        <v>0</v>
      </c>
      <c r="O6088">
        <v>0</v>
      </c>
    </row>
    <row r="6089" spans="1:15" x14ac:dyDescent="0.35">
      <c r="A6089" t="s">
        <v>6663</v>
      </c>
      <c r="B6089" t="s">
        <v>6664</v>
      </c>
      <c r="C6089" t="s">
        <v>898</v>
      </c>
      <c r="D6089" t="s">
        <v>314</v>
      </c>
      <c r="E6089" t="s">
        <v>308</v>
      </c>
      <c r="F6089" t="s">
        <v>6680</v>
      </c>
      <c r="G6089">
        <v>0</v>
      </c>
      <c r="H6089">
        <v>0</v>
      </c>
      <c r="I6089">
        <v>0</v>
      </c>
      <c r="J6089">
        <v>0</v>
      </c>
      <c r="K6089">
        <v>0</v>
      </c>
      <c r="L6089">
        <v>0</v>
      </c>
      <c r="M6089">
        <v>0</v>
      </c>
      <c r="N6089">
        <v>0</v>
      </c>
      <c r="O6089">
        <v>0</v>
      </c>
    </row>
    <row r="6090" spans="1:15" x14ac:dyDescent="0.35">
      <c r="A6090" t="s">
        <v>6663</v>
      </c>
      <c r="B6090" t="s">
        <v>6664</v>
      </c>
      <c r="C6090" t="s">
        <v>898</v>
      </c>
      <c r="D6090" t="s">
        <v>314</v>
      </c>
      <c r="E6090" t="s">
        <v>312</v>
      </c>
      <c r="F6090" t="s">
        <v>6681</v>
      </c>
      <c r="G6090">
        <v>0</v>
      </c>
      <c r="H6090">
        <v>0</v>
      </c>
      <c r="I6090">
        <v>0</v>
      </c>
      <c r="J6090">
        <v>0</v>
      </c>
      <c r="K6090">
        <v>0</v>
      </c>
      <c r="L6090">
        <v>0</v>
      </c>
      <c r="M6090">
        <v>0</v>
      </c>
      <c r="N6090">
        <v>0</v>
      </c>
      <c r="O6090">
        <v>0</v>
      </c>
    </row>
    <row r="6091" spans="1:15" x14ac:dyDescent="0.35">
      <c r="A6091" t="s">
        <v>6663</v>
      </c>
      <c r="B6091" t="s">
        <v>6664</v>
      </c>
      <c r="C6091" t="s">
        <v>898</v>
      </c>
      <c r="D6091" t="s">
        <v>314</v>
      </c>
      <c r="E6091" t="s">
        <v>310</v>
      </c>
      <c r="F6091" t="s">
        <v>6682</v>
      </c>
      <c r="G6091">
        <v>0</v>
      </c>
      <c r="H6091">
        <v>0</v>
      </c>
      <c r="I6091">
        <v>0</v>
      </c>
      <c r="J6091">
        <v>0</v>
      </c>
      <c r="K6091">
        <v>0</v>
      </c>
      <c r="L6091">
        <v>0</v>
      </c>
      <c r="M6091">
        <v>0</v>
      </c>
      <c r="N6091">
        <v>0</v>
      </c>
      <c r="O6091">
        <v>0</v>
      </c>
    </row>
    <row r="6092" spans="1:15" x14ac:dyDescent="0.35">
      <c r="A6092" t="s">
        <v>6663</v>
      </c>
      <c r="B6092" t="s">
        <v>6664</v>
      </c>
      <c r="C6092" t="s">
        <v>898</v>
      </c>
      <c r="D6092" t="s">
        <v>323</v>
      </c>
      <c r="E6092" t="s">
        <v>294</v>
      </c>
      <c r="F6092" t="s">
        <v>6683</v>
      </c>
      <c r="G6092">
        <v>53</v>
      </c>
      <c r="H6092">
        <v>4909.9500000000007</v>
      </c>
      <c r="I6092">
        <v>92.64</v>
      </c>
      <c r="J6092">
        <v>245</v>
      </c>
      <c r="K6092">
        <v>20739.25</v>
      </c>
      <c r="L6092">
        <v>84.65</v>
      </c>
      <c r="M6092">
        <v>298</v>
      </c>
      <c r="N6092">
        <v>25649.200000000001</v>
      </c>
      <c r="O6092">
        <v>86.07</v>
      </c>
    </row>
    <row r="6093" spans="1:15" x14ac:dyDescent="0.35">
      <c r="A6093" t="s">
        <v>6663</v>
      </c>
      <c r="B6093" t="s">
        <v>6664</v>
      </c>
      <c r="C6093" t="s">
        <v>898</v>
      </c>
      <c r="D6093" t="s">
        <v>323</v>
      </c>
      <c r="E6093" t="s">
        <v>296</v>
      </c>
      <c r="F6093" t="s">
        <v>6684</v>
      </c>
      <c r="G6093">
        <v>124</v>
      </c>
      <c r="H6093">
        <v>13913.86</v>
      </c>
      <c r="I6093">
        <v>112.21</v>
      </c>
      <c r="J6093">
        <v>311</v>
      </c>
      <c r="K6093">
        <v>29187.35</v>
      </c>
      <c r="L6093">
        <v>93.85</v>
      </c>
      <c r="M6093">
        <v>435</v>
      </c>
      <c r="N6093">
        <v>43101.21</v>
      </c>
      <c r="O6093">
        <v>99.08</v>
      </c>
    </row>
    <row r="6094" spans="1:15" x14ac:dyDescent="0.35">
      <c r="A6094" t="s">
        <v>6663</v>
      </c>
      <c r="B6094" t="s">
        <v>6664</v>
      </c>
      <c r="C6094" t="s">
        <v>898</v>
      </c>
      <c r="D6094" t="s">
        <v>323</v>
      </c>
      <c r="E6094" t="s">
        <v>298</v>
      </c>
      <c r="F6094" t="s">
        <v>6685</v>
      </c>
      <c r="G6094">
        <v>95</v>
      </c>
      <c r="H6094">
        <v>11730.31</v>
      </c>
      <c r="I6094">
        <v>123.48</v>
      </c>
      <c r="J6094">
        <v>452</v>
      </c>
      <c r="K6094">
        <v>46732.28</v>
      </c>
      <c r="L6094">
        <v>103.39</v>
      </c>
      <c r="M6094">
        <v>547</v>
      </c>
      <c r="N6094">
        <v>58462.59</v>
      </c>
      <c r="O6094">
        <v>106.88</v>
      </c>
    </row>
    <row r="6095" spans="1:15" x14ac:dyDescent="0.35">
      <c r="A6095" t="s">
        <v>6663</v>
      </c>
      <c r="B6095" t="s">
        <v>6664</v>
      </c>
      <c r="C6095" t="s">
        <v>898</v>
      </c>
      <c r="D6095" t="s">
        <v>323</v>
      </c>
      <c r="E6095" t="s">
        <v>300</v>
      </c>
      <c r="F6095" t="s">
        <v>6686</v>
      </c>
      <c r="G6095">
        <v>7</v>
      </c>
      <c r="H6095">
        <v>951.49</v>
      </c>
      <c r="I6095">
        <v>135.93</v>
      </c>
      <c r="J6095">
        <v>14</v>
      </c>
      <c r="K6095">
        <v>1628.62</v>
      </c>
      <c r="L6095">
        <v>116.33</v>
      </c>
      <c r="M6095">
        <v>21</v>
      </c>
      <c r="N6095">
        <v>2580.1099999999997</v>
      </c>
      <c r="O6095">
        <v>122.86</v>
      </c>
    </row>
    <row r="6096" spans="1:15" x14ac:dyDescent="0.35">
      <c r="A6096" t="s">
        <v>6663</v>
      </c>
      <c r="B6096" t="s">
        <v>6664</v>
      </c>
      <c r="C6096" t="s">
        <v>898</v>
      </c>
      <c r="D6096" t="s">
        <v>323</v>
      </c>
      <c r="E6096" t="s">
        <v>302</v>
      </c>
      <c r="F6096" t="s">
        <v>6687</v>
      </c>
      <c r="G6096">
        <v>1</v>
      </c>
      <c r="H6096">
        <v>136.71</v>
      </c>
      <c r="I6096">
        <v>136.71</v>
      </c>
      <c r="J6096">
        <v>0</v>
      </c>
      <c r="K6096">
        <v>0</v>
      </c>
      <c r="L6096">
        <v>0</v>
      </c>
      <c r="M6096">
        <v>1</v>
      </c>
      <c r="N6096">
        <v>136.71</v>
      </c>
      <c r="O6096">
        <v>136.71</v>
      </c>
    </row>
    <row r="6097" spans="1:15" x14ac:dyDescent="0.35">
      <c r="A6097" t="s">
        <v>6663</v>
      </c>
      <c r="B6097" t="s">
        <v>6664</v>
      </c>
      <c r="C6097" t="s">
        <v>898</v>
      </c>
      <c r="D6097" t="s">
        <v>323</v>
      </c>
      <c r="E6097" t="s">
        <v>304</v>
      </c>
      <c r="F6097" t="s">
        <v>6688</v>
      </c>
      <c r="G6097">
        <v>0</v>
      </c>
      <c r="H6097">
        <v>0</v>
      </c>
      <c r="I6097">
        <v>0</v>
      </c>
      <c r="J6097">
        <v>0</v>
      </c>
      <c r="K6097">
        <v>0</v>
      </c>
      <c r="L6097">
        <v>0</v>
      </c>
      <c r="M6097">
        <v>0</v>
      </c>
      <c r="N6097">
        <v>0</v>
      </c>
      <c r="O6097">
        <v>0</v>
      </c>
    </row>
    <row r="6098" spans="1:15" x14ac:dyDescent="0.35">
      <c r="A6098" t="s">
        <v>6663</v>
      </c>
      <c r="B6098" t="s">
        <v>6664</v>
      </c>
      <c r="C6098" t="s">
        <v>898</v>
      </c>
      <c r="D6098" t="s">
        <v>323</v>
      </c>
      <c r="E6098" t="s">
        <v>306</v>
      </c>
      <c r="F6098" t="s">
        <v>6689</v>
      </c>
      <c r="G6098">
        <v>0</v>
      </c>
      <c r="H6098">
        <v>0</v>
      </c>
      <c r="I6098">
        <v>0</v>
      </c>
      <c r="J6098">
        <v>24</v>
      </c>
      <c r="K6098">
        <v>1693.1999999999998</v>
      </c>
      <c r="L6098">
        <v>70.55</v>
      </c>
      <c r="M6098">
        <v>24</v>
      </c>
      <c r="N6098">
        <v>1693.1999999999998</v>
      </c>
      <c r="O6098">
        <v>70.55</v>
      </c>
    </row>
    <row r="6099" spans="1:15" x14ac:dyDescent="0.35">
      <c r="A6099" t="s">
        <v>6663</v>
      </c>
      <c r="B6099" t="s">
        <v>6664</v>
      </c>
      <c r="C6099" t="s">
        <v>898</v>
      </c>
      <c r="D6099" t="s">
        <v>323</v>
      </c>
      <c r="E6099" t="s">
        <v>308</v>
      </c>
      <c r="F6099" t="s">
        <v>6690</v>
      </c>
      <c r="G6099">
        <v>0</v>
      </c>
      <c r="H6099">
        <v>0</v>
      </c>
      <c r="I6099">
        <v>0</v>
      </c>
      <c r="J6099">
        <v>0</v>
      </c>
      <c r="K6099">
        <v>0</v>
      </c>
      <c r="L6099">
        <v>0</v>
      </c>
      <c r="M6099">
        <v>0</v>
      </c>
      <c r="N6099">
        <v>0</v>
      </c>
      <c r="O6099">
        <v>0</v>
      </c>
    </row>
    <row r="6100" spans="1:15" x14ac:dyDescent="0.35">
      <c r="A6100" t="s">
        <v>6663</v>
      </c>
      <c r="B6100" t="s">
        <v>6664</v>
      </c>
      <c r="C6100" t="s">
        <v>898</v>
      </c>
      <c r="D6100" t="s">
        <v>323</v>
      </c>
      <c r="E6100" t="s">
        <v>310</v>
      </c>
      <c r="F6100" t="s">
        <v>6691</v>
      </c>
      <c r="G6100">
        <v>280</v>
      </c>
      <c r="H6100">
        <v>31642.320000000003</v>
      </c>
      <c r="I6100">
        <v>113.01</v>
      </c>
      <c r="J6100">
        <v>1046</v>
      </c>
      <c r="K6100">
        <v>99980.7</v>
      </c>
      <c r="L6100">
        <v>95.58</v>
      </c>
      <c r="M6100">
        <v>1326</v>
      </c>
      <c r="N6100">
        <v>131623.01999999999</v>
      </c>
      <c r="O6100">
        <v>99.26</v>
      </c>
    </row>
    <row r="6101" spans="1:15" x14ac:dyDescent="0.35">
      <c r="A6101" t="s">
        <v>6663</v>
      </c>
      <c r="B6101" t="s">
        <v>6664</v>
      </c>
      <c r="C6101" t="s">
        <v>898</v>
      </c>
      <c r="D6101" t="s">
        <v>323</v>
      </c>
      <c r="E6101" t="s">
        <v>312</v>
      </c>
      <c r="F6101" t="s">
        <v>6692</v>
      </c>
      <c r="G6101">
        <v>280</v>
      </c>
      <c r="H6101">
        <v>31642.320000000003</v>
      </c>
      <c r="I6101">
        <v>113.01</v>
      </c>
      <c r="J6101">
        <v>1046</v>
      </c>
      <c r="K6101">
        <v>99980.7</v>
      </c>
      <c r="L6101">
        <v>95.58</v>
      </c>
      <c r="M6101">
        <v>1326</v>
      </c>
      <c r="N6101">
        <v>131623.01999999999</v>
      </c>
      <c r="O6101">
        <v>99.26</v>
      </c>
    </row>
    <row r="6102" spans="1:15" x14ac:dyDescent="0.35">
      <c r="A6102" t="s">
        <v>6663</v>
      </c>
      <c r="B6102" t="s">
        <v>6664</v>
      </c>
      <c r="C6102" t="s">
        <v>898</v>
      </c>
      <c r="D6102" t="s">
        <v>334</v>
      </c>
      <c r="E6102" t="s">
        <v>312</v>
      </c>
      <c r="F6102" t="s">
        <v>6693</v>
      </c>
      <c r="G6102">
        <v>663</v>
      </c>
      <c r="H6102">
        <v>71733.87000000001</v>
      </c>
      <c r="I6102">
        <v>128.1</v>
      </c>
      <c r="J6102">
        <v>1046</v>
      </c>
      <c r="K6102">
        <v>99980.7</v>
      </c>
      <c r="L6102">
        <v>95.58</v>
      </c>
      <c r="M6102">
        <v>1709</v>
      </c>
      <c r="N6102">
        <v>171714.57</v>
      </c>
      <c r="O6102">
        <v>106.92</v>
      </c>
    </row>
    <row r="6103" spans="1:15" x14ac:dyDescent="0.35">
      <c r="A6103" t="s">
        <v>6663</v>
      </c>
      <c r="B6103" t="s">
        <v>6664</v>
      </c>
      <c r="C6103" t="s">
        <v>898</v>
      </c>
      <c r="D6103" t="s">
        <v>334</v>
      </c>
      <c r="E6103" t="s">
        <v>308</v>
      </c>
      <c r="F6103" t="s">
        <v>6694</v>
      </c>
      <c r="G6103">
        <v>0</v>
      </c>
      <c r="H6103">
        <v>0</v>
      </c>
      <c r="I6103">
        <v>0</v>
      </c>
      <c r="J6103">
        <v>0</v>
      </c>
      <c r="K6103">
        <v>0</v>
      </c>
      <c r="L6103">
        <v>0</v>
      </c>
      <c r="M6103">
        <v>0</v>
      </c>
      <c r="N6103">
        <v>0</v>
      </c>
      <c r="O6103">
        <v>0</v>
      </c>
    </row>
    <row r="6104" spans="1:15" x14ac:dyDescent="0.35">
      <c r="A6104" t="s">
        <v>6663</v>
      </c>
      <c r="B6104" t="s">
        <v>6664</v>
      </c>
      <c r="C6104" t="s">
        <v>898</v>
      </c>
      <c r="D6104" t="s">
        <v>337</v>
      </c>
      <c r="E6104" t="s">
        <v>337</v>
      </c>
      <c r="F6104" t="s">
        <v>6695</v>
      </c>
      <c r="G6104">
        <v>244</v>
      </c>
      <c r="J6104">
        <v>0</v>
      </c>
      <c r="M6104">
        <v>244</v>
      </c>
    </row>
    <row r="6105" spans="1:15" x14ac:dyDescent="0.35">
      <c r="A6105" t="s">
        <v>6663</v>
      </c>
      <c r="B6105" t="s">
        <v>6664</v>
      </c>
      <c r="C6105" t="s">
        <v>898</v>
      </c>
      <c r="D6105" t="s">
        <v>339</v>
      </c>
      <c r="E6105" t="s">
        <v>294</v>
      </c>
      <c r="F6105" t="s">
        <v>6696</v>
      </c>
      <c r="G6105">
        <v>38</v>
      </c>
      <c r="H6105">
        <v>3991.88</v>
      </c>
      <c r="I6105">
        <v>105.05</v>
      </c>
      <c r="J6105">
        <v>68</v>
      </c>
      <c r="K6105">
        <v>5756.2000000000007</v>
      </c>
      <c r="L6105">
        <v>84.65</v>
      </c>
      <c r="M6105">
        <v>106</v>
      </c>
      <c r="N6105">
        <v>9748.0800000000017</v>
      </c>
      <c r="O6105">
        <v>91.96</v>
      </c>
    </row>
    <row r="6106" spans="1:15" x14ac:dyDescent="0.35">
      <c r="A6106" t="s">
        <v>6663</v>
      </c>
      <c r="B6106" t="s">
        <v>6664</v>
      </c>
      <c r="C6106" t="s">
        <v>898</v>
      </c>
      <c r="D6106" t="s">
        <v>339</v>
      </c>
      <c r="E6106" t="s">
        <v>296</v>
      </c>
      <c r="F6106" t="s">
        <v>6697</v>
      </c>
      <c r="G6106">
        <v>12</v>
      </c>
      <c r="H6106">
        <v>1458.11</v>
      </c>
      <c r="I6106">
        <v>121.51</v>
      </c>
      <c r="J6106">
        <v>44</v>
      </c>
      <c r="K6106">
        <v>4026.8799999999997</v>
      </c>
      <c r="L6106">
        <v>91.52</v>
      </c>
      <c r="M6106">
        <v>56</v>
      </c>
      <c r="N6106">
        <v>5484.99</v>
      </c>
      <c r="O6106">
        <v>97.95</v>
      </c>
    </row>
    <row r="6107" spans="1:15" x14ac:dyDescent="0.35">
      <c r="A6107" t="s">
        <v>6663</v>
      </c>
      <c r="B6107" t="s">
        <v>6664</v>
      </c>
      <c r="C6107" t="s">
        <v>898</v>
      </c>
      <c r="D6107" t="s">
        <v>339</v>
      </c>
      <c r="E6107" t="s">
        <v>298</v>
      </c>
      <c r="F6107" t="s">
        <v>6698</v>
      </c>
      <c r="G6107">
        <v>1</v>
      </c>
      <c r="H6107">
        <v>143.72999999999999</v>
      </c>
      <c r="I6107">
        <v>143.72999999999999</v>
      </c>
      <c r="J6107">
        <v>0</v>
      </c>
      <c r="K6107">
        <v>0</v>
      </c>
      <c r="L6107">
        <v>0</v>
      </c>
      <c r="M6107">
        <v>1</v>
      </c>
      <c r="N6107">
        <v>143.72999999999999</v>
      </c>
      <c r="O6107">
        <v>143.72999999999999</v>
      </c>
    </row>
    <row r="6108" spans="1:15" x14ac:dyDescent="0.35">
      <c r="A6108" t="s">
        <v>6663</v>
      </c>
      <c r="B6108" t="s">
        <v>6664</v>
      </c>
      <c r="C6108" t="s">
        <v>898</v>
      </c>
      <c r="D6108" t="s">
        <v>339</v>
      </c>
      <c r="E6108" t="s">
        <v>300</v>
      </c>
      <c r="F6108" t="s">
        <v>6699</v>
      </c>
      <c r="G6108">
        <v>0</v>
      </c>
      <c r="H6108">
        <v>0</v>
      </c>
      <c r="I6108">
        <v>0</v>
      </c>
      <c r="J6108">
        <v>0</v>
      </c>
      <c r="K6108">
        <v>0</v>
      </c>
      <c r="L6108">
        <v>0</v>
      </c>
      <c r="M6108">
        <v>0</v>
      </c>
      <c r="N6108">
        <v>0</v>
      </c>
      <c r="O6108">
        <v>0</v>
      </c>
    </row>
    <row r="6109" spans="1:15" x14ac:dyDescent="0.35">
      <c r="A6109" t="s">
        <v>6663</v>
      </c>
      <c r="B6109" t="s">
        <v>6664</v>
      </c>
      <c r="C6109" t="s">
        <v>898</v>
      </c>
      <c r="D6109" t="s">
        <v>339</v>
      </c>
      <c r="E6109" t="s">
        <v>306</v>
      </c>
      <c r="F6109" t="s">
        <v>6700</v>
      </c>
      <c r="G6109">
        <v>55</v>
      </c>
      <c r="H6109">
        <v>4923.9799999999996</v>
      </c>
      <c r="I6109">
        <v>89.53</v>
      </c>
      <c r="J6109">
        <v>20</v>
      </c>
      <c r="K6109">
        <v>1468.8</v>
      </c>
      <c r="L6109">
        <v>73.44</v>
      </c>
      <c r="M6109">
        <v>75</v>
      </c>
      <c r="N6109">
        <v>6392.78</v>
      </c>
      <c r="O6109">
        <v>85.24</v>
      </c>
    </row>
    <row r="6110" spans="1:15" x14ac:dyDescent="0.35">
      <c r="A6110" t="s">
        <v>6663</v>
      </c>
      <c r="B6110" t="s">
        <v>6664</v>
      </c>
      <c r="C6110" t="s">
        <v>898</v>
      </c>
      <c r="D6110" t="s">
        <v>339</v>
      </c>
      <c r="E6110" t="s">
        <v>308</v>
      </c>
      <c r="F6110" t="s">
        <v>6701</v>
      </c>
      <c r="G6110">
        <v>29</v>
      </c>
      <c r="H6110">
        <v>7500.32</v>
      </c>
      <c r="I6110">
        <v>258.63</v>
      </c>
      <c r="J6110">
        <v>0</v>
      </c>
      <c r="K6110">
        <v>0</v>
      </c>
      <c r="L6110">
        <v>0</v>
      </c>
      <c r="M6110">
        <v>29</v>
      </c>
      <c r="N6110">
        <v>7500.32</v>
      </c>
      <c r="O6110">
        <v>258.63</v>
      </c>
    </row>
    <row r="6111" spans="1:15" x14ac:dyDescent="0.35">
      <c r="A6111" t="s">
        <v>6663</v>
      </c>
      <c r="B6111" t="s">
        <v>6664</v>
      </c>
      <c r="C6111" t="s">
        <v>898</v>
      </c>
      <c r="D6111" t="s">
        <v>339</v>
      </c>
      <c r="E6111" t="s">
        <v>310</v>
      </c>
      <c r="F6111" t="s">
        <v>6702</v>
      </c>
      <c r="G6111">
        <v>135</v>
      </c>
      <c r="H6111">
        <v>18018.019999999997</v>
      </c>
      <c r="I6111">
        <v>133.47</v>
      </c>
      <c r="J6111">
        <v>132</v>
      </c>
      <c r="K6111">
        <v>11251.88</v>
      </c>
      <c r="L6111">
        <v>85.24</v>
      </c>
      <c r="M6111">
        <v>267</v>
      </c>
      <c r="N6111">
        <v>29269.899999999994</v>
      </c>
      <c r="O6111">
        <v>109.63</v>
      </c>
    </row>
    <row r="6112" spans="1:15" x14ac:dyDescent="0.35">
      <c r="A6112" t="s">
        <v>6663</v>
      </c>
      <c r="B6112" t="s">
        <v>6664</v>
      </c>
      <c r="C6112" t="s">
        <v>898</v>
      </c>
      <c r="D6112" t="s">
        <v>339</v>
      </c>
      <c r="E6112" t="s">
        <v>312</v>
      </c>
      <c r="F6112" t="s">
        <v>6703</v>
      </c>
      <c r="G6112">
        <v>106</v>
      </c>
      <c r="H6112">
        <v>10517.699999999999</v>
      </c>
      <c r="I6112">
        <v>99.22</v>
      </c>
      <c r="J6112">
        <v>132</v>
      </c>
      <c r="K6112">
        <v>11251.88</v>
      </c>
      <c r="L6112">
        <v>85.24</v>
      </c>
      <c r="M6112">
        <v>238</v>
      </c>
      <c r="N6112">
        <v>21769.579999999998</v>
      </c>
      <c r="O6112">
        <v>91.47</v>
      </c>
    </row>
    <row r="6113" spans="1:15" x14ac:dyDescent="0.35">
      <c r="A6113" t="s">
        <v>6663</v>
      </c>
      <c r="B6113" t="s">
        <v>6664</v>
      </c>
      <c r="C6113" t="s">
        <v>898</v>
      </c>
      <c r="D6113" t="s">
        <v>348</v>
      </c>
      <c r="E6113" t="s">
        <v>349</v>
      </c>
      <c r="F6113" t="s">
        <v>6704</v>
      </c>
      <c r="G6113">
        <v>175</v>
      </c>
      <c r="H6113">
        <v>18018.019999999997</v>
      </c>
      <c r="I6113">
        <v>133.47</v>
      </c>
      <c r="J6113">
        <v>132</v>
      </c>
      <c r="K6113">
        <v>11251.88</v>
      </c>
      <c r="L6113">
        <v>85.24</v>
      </c>
      <c r="M6113">
        <v>307</v>
      </c>
      <c r="N6113">
        <v>29269.899999999994</v>
      </c>
      <c r="O6113">
        <v>109.63</v>
      </c>
    </row>
    <row r="6114" spans="1:15" x14ac:dyDescent="0.35">
      <c r="A6114" t="s">
        <v>6705</v>
      </c>
      <c r="B6114" t="s">
        <v>6706</v>
      </c>
      <c r="C6114" t="s">
        <v>898</v>
      </c>
      <c r="D6114" t="s">
        <v>293</v>
      </c>
      <c r="E6114" t="s">
        <v>294</v>
      </c>
      <c r="F6114" t="s">
        <v>6707</v>
      </c>
      <c r="G6114">
        <v>171</v>
      </c>
      <c r="H6114">
        <v>18255.690000000002</v>
      </c>
      <c r="I6114">
        <v>106.76</v>
      </c>
      <c r="J6114">
        <v>0</v>
      </c>
      <c r="K6114">
        <v>0</v>
      </c>
      <c r="L6114">
        <v>0</v>
      </c>
      <c r="M6114">
        <v>171</v>
      </c>
      <c r="N6114">
        <v>18255.690000000002</v>
      </c>
      <c r="O6114">
        <v>106.76</v>
      </c>
    </row>
    <row r="6115" spans="1:15" x14ac:dyDescent="0.35">
      <c r="A6115" t="s">
        <v>6705</v>
      </c>
      <c r="B6115" t="s">
        <v>6706</v>
      </c>
      <c r="C6115" t="s">
        <v>898</v>
      </c>
      <c r="D6115" t="s">
        <v>293</v>
      </c>
      <c r="E6115" t="s">
        <v>296</v>
      </c>
      <c r="F6115" t="s">
        <v>6708</v>
      </c>
      <c r="G6115">
        <v>291</v>
      </c>
      <c r="H6115">
        <v>38673.93</v>
      </c>
      <c r="I6115">
        <v>132.9</v>
      </c>
      <c r="J6115">
        <v>7</v>
      </c>
      <c r="K6115">
        <v>945.91</v>
      </c>
      <c r="L6115">
        <v>135.13</v>
      </c>
      <c r="M6115">
        <v>298</v>
      </c>
      <c r="N6115">
        <v>39619.840000000004</v>
      </c>
      <c r="O6115">
        <v>132.94999999999999</v>
      </c>
    </row>
    <row r="6116" spans="1:15" x14ac:dyDescent="0.35">
      <c r="A6116" t="s">
        <v>6705</v>
      </c>
      <c r="B6116" t="s">
        <v>6706</v>
      </c>
      <c r="C6116" t="s">
        <v>898</v>
      </c>
      <c r="D6116" t="s">
        <v>293</v>
      </c>
      <c r="E6116" t="s">
        <v>298</v>
      </c>
      <c r="F6116" t="s">
        <v>6709</v>
      </c>
      <c r="G6116">
        <v>117</v>
      </c>
      <c r="H6116">
        <v>17922.86</v>
      </c>
      <c r="I6116">
        <v>153.19</v>
      </c>
      <c r="J6116">
        <v>4</v>
      </c>
      <c r="K6116">
        <v>655</v>
      </c>
      <c r="L6116">
        <v>163.75</v>
      </c>
      <c r="M6116">
        <v>121</v>
      </c>
      <c r="N6116">
        <v>18577.86</v>
      </c>
      <c r="O6116">
        <v>153.54</v>
      </c>
    </row>
    <row r="6117" spans="1:15" x14ac:dyDescent="0.35">
      <c r="A6117" t="s">
        <v>6705</v>
      </c>
      <c r="B6117" t="s">
        <v>6706</v>
      </c>
      <c r="C6117" t="s">
        <v>898</v>
      </c>
      <c r="D6117" t="s">
        <v>293</v>
      </c>
      <c r="E6117" t="s">
        <v>300</v>
      </c>
      <c r="F6117" t="s">
        <v>6710</v>
      </c>
      <c r="G6117">
        <v>17</v>
      </c>
      <c r="H6117">
        <v>3123.9400000000005</v>
      </c>
      <c r="I6117">
        <v>183.76</v>
      </c>
      <c r="J6117">
        <v>1</v>
      </c>
      <c r="K6117">
        <v>199.08</v>
      </c>
      <c r="L6117">
        <v>199.08</v>
      </c>
      <c r="M6117">
        <v>18</v>
      </c>
      <c r="N6117">
        <v>3323.0200000000004</v>
      </c>
      <c r="O6117">
        <v>184.61</v>
      </c>
    </row>
    <row r="6118" spans="1:15" x14ac:dyDescent="0.35">
      <c r="A6118" t="s">
        <v>6705</v>
      </c>
      <c r="B6118" t="s">
        <v>6706</v>
      </c>
      <c r="C6118" t="s">
        <v>898</v>
      </c>
      <c r="D6118" t="s">
        <v>293</v>
      </c>
      <c r="E6118" t="s">
        <v>302</v>
      </c>
      <c r="F6118" t="s">
        <v>6711</v>
      </c>
      <c r="G6118">
        <v>0</v>
      </c>
      <c r="H6118">
        <v>0</v>
      </c>
      <c r="I6118">
        <v>0</v>
      </c>
      <c r="J6118">
        <v>0</v>
      </c>
      <c r="K6118">
        <v>0</v>
      </c>
      <c r="L6118">
        <v>0</v>
      </c>
      <c r="M6118">
        <v>0</v>
      </c>
      <c r="N6118">
        <v>0</v>
      </c>
      <c r="O6118">
        <v>0</v>
      </c>
    </row>
    <row r="6119" spans="1:15" x14ac:dyDescent="0.35">
      <c r="A6119" t="s">
        <v>6705</v>
      </c>
      <c r="B6119" t="s">
        <v>6706</v>
      </c>
      <c r="C6119" t="s">
        <v>898</v>
      </c>
      <c r="D6119" t="s">
        <v>293</v>
      </c>
      <c r="E6119" t="s">
        <v>304</v>
      </c>
      <c r="F6119" t="s">
        <v>6712</v>
      </c>
      <c r="G6119">
        <v>0</v>
      </c>
      <c r="H6119">
        <v>0</v>
      </c>
      <c r="I6119">
        <v>0</v>
      </c>
      <c r="J6119">
        <v>0</v>
      </c>
      <c r="K6119">
        <v>0</v>
      </c>
      <c r="L6119">
        <v>0</v>
      </c>
      <c r="M6119">
        <v>0</v>
      </c>
      <c r="N6119">
        <v>0</v>
      </c>
      <c r="O6119">
        <v>0</v>
      </c>
    </row>
    <row r="6120" spans="1:15" x14ac:dyDescent="0.35">
      <c r="A6120" t="s">
        <v>6705</v>
      </c>
      <c r="B6120" t="s">
        <v>6706</v>
      </c>
      <c r="C6120" t="s">
        <v>898</v>
      </c>
      <c r="D6120" t="s">
        <v>293</v>
      </c>
      <c r="E6120" t="s">
        <v>306</v>
      </c>
      <c r="F6120" t="s">
        <v>6713</v>
      </c>
      <c r="G6120">
        <v>0</v>
      </c>
      <c r="H6120">
        <v>0</v>
      </c>
      <c r="I6120">
        <v>0</v>
      </c>
      <c r="J6120">
        <v>0</v>
      </c>
      <c r="K6120">
        <v>0</v>
      </c>
      <c r="L6120">
        <v>0</v>
      </c>
      <c r="M6120">
        <v>0</v>
      </c>
      <c r="N6120">
        <v>0</v>
      </c>
      <c r="O6120">
        <v>0</v>
      </c>
    </row>
    <row r="6121" spans="1:15" x14ac:dyDescent="0.35">
      <c r="A6121" t="s">
        <v>6705</v>
      </c>
      <c r="B6121" t="s">
        <v>6706</v>
      </c>
      <c r="C6121" t="s">
        <v>898</v>
      </c>
      <c r="D6121" t="s">
        <v>293</v>
      </c>
      <c r="E6121" t="s">
        <v>308</v>
      </c>
      <c r="F6121" t="s">
        <v>6714</v>
      </c>
      <c r="G6121">
        <v>0</v>
      </c>
      <c r="H6121">
        <v>0</v>
      </c>
      <c r="I6121">
        <v>0</v>
      </c>
      <c r="J6121">
        <v>0</v>
      </c>
      <c r="K6121">
        <v>0</v>
      </c>
      <c r="L6121">
        <v>0</v>
      </c>
      <c r="M6121">
        <v>0</v>
      </c>
      <c r="N6121">
        <v>0</v>
      </c>
      <c r="O6121">
        <v>0</v>
      </c>
    </row>
    <row r="6122" spans="1:15" x14ac:dyDescent="0.35">
      <c r="A6122" t="s">
        <v>6705</v>
      </c>
      <c r="B6122" t="s">
        <v>6706</v>
      </c>
      <c r="C6122" t="s">
        <v>898</v>
      </c>
      <c r="D6122" t="s">
        <v>293</v>
      </c>
      <c r="E6122" t="s">
        <v>310</v>
      </c>
      <c r="F6122" t="s">
        <v>6715</v>
      </c>
      <c r="G6122">
        <v>596</v>
      </c>
      <c r="H6122">
        <v>77976.420000000013</v>
      </c>
      <c r="I6122">
        <v>130.83000000000001</v>
      </c>
      <c r="J6122">
        <v>12</v>
      </c>
      <c r="K6122">
        <v>1799.9899999999998</v>
      </c>
      <c r="L6122">
        <v>150</v>
      </c>
      <c r="M6122">
        <v>608</v>
      </c>
      <c r="N6122">
        <v>79776.410000000018</v>
      </c>
      <c r="O6122">
        <v>131.21</v>
      </c>
    </row>
    <row r="6123" spans="1:15" x14ac:dyDescent="0.35">
      <c r="A6123" t="s">
        <v>6705</v>
      </c>
      <c r="B6123" t="s">
        <v>6706</v>
      </c>
      <c r="C6123" t="s">
        <v>898</v>
      </c>
      <c r="D6123" t="s">
        <v>293</v>
      </c>
      <c r="E6123" t="s">
        <v>312</v>
      </c>
      <c r="F6123" t="s">
        <v>6716</v>
      </c>
      <c r="G6123">
        <v>596</v>
      </c>
      <c r="H6123">
        <v>77976.420000000013</v>
      </c>
      <c r="I6123">
        <v>130.83000000000001</v>
      </c>
      <c r="J6123">
        <v>12</v>
      </c>
      <c r="K6123">
        <v>1799.9899999999998</v>
      </c>
      <c r="L6123">
        <v>150</v>
      </c>
      <c r="M6123">
        <v>608</v>
      </c>
      <c r="N6123">
        <v>79776.410000000018</v>
      </c>
      <c r="O6123">
        <v>131.21</v>
      </c>
    </row>
    <row r="6124" spans="1:15" x14ac:dyDescent="0.35">
      <c r="A6124" t="s">
        <v>6705</v>
      </c>
      <c r="B6124" t="s">
        <v>6706</v>
      </c>
      <c r="C6124" t="s">
        <v>898</v>
      </c>
      <c r="D6124" t="s">
        <v>314</v>
      </c>
      <c r="E6124" t="s">
        <v>294</v>
      </c>
      <c r="F6124" t="s">
        <v>6717</v>
      </c>
      <c r="G6124">
        <v>6</v>
      </c>
      <c r="H6124">
        <v>2540.58</v>
      </c>
      <c r="I6124">
        <v>423.43</v>
      </c>
      <c r="J6124">
        <v>0</v>
      </c>
      <c r="K6124">
        <v>0</v>
      </c>
      <c r="L6124">
        <v>0</v>
      </c>
      <c r="M6124">
        <v>6</v>
      </c>
      <c r="N6124">
        <v>2540.58</v>
      </c>
      <c r="O6124">
        <v>423.43</v>
      </c>
    </row>
    <row r="6125" spans="1:15" x14ac:dyDescent="0.35">
      <c r="A6125" t="s">
        <v>6705</v>
      </c>
      <c r="B6125" t="s">
        <v>6706</v>
      </c>
      <c r="C6125" t="s">
        <v>898</v>
      </c>
      <c r="D6125" t="s">
        <v>314</v>
      </c>
      <c r="E6125" t="s">
        <v>296</v>
      </c>
      <c r="F6125" t="s">
        <v>6718</v>
      </c>
      <c r="G6125">
        <v>0</v>
      </c>
      <c r="H6125">
        <v>0</v>
      </c>
      <c r="I6125">
        <v>0</v>
      </c>
      <c r="J6125">
        <v>0</v>
      </c>
      <c r="K6125">
        <v>0</v>
      </c>
      <c r="L6125">
        <v>0</v>
      </c>
      <c r="M6125">
        <v>0</v>
      </c>
      <c r="N6125">
        <v>0</v>
      </c>
      <c r="O6125">
        <v>0</v>
      </c>
    </row>
    <row r="6126" spans="1:15" x14ac:dyDescent="0.35">
      <c r="A6126" t="s">
        <v>6705</v>
      </c>
      <c r="B6126" t="s">
        <v>6706</v>
      </c>
      <c r="C6126" t="s">
        <v>898</v>
      </c>
      <c r="D6126" t="s">
        <v>314</v>
      </c>
      <c r="E6126" t="s">
        <v>298</v>
      </c>
      <c r="F6126" t="s">
        <v>6719</v>
      </c>
      <c r="G6126">
        <v>0</v>
      </c>
      <c r="H6126">
        <v>0</v>
      </c>
      <c r="I6126">
        <v>0</v>
      </c>
      <c r="J6126">
        <v>0</v>
      </c>
      <c r="K6126">
        <v>0</v>
      </c>
      <c r="L6126">
        <v>0</v>
      </c>
      <c r="M6126">
        <v>0</v>
      </c>
      <c r="N6126">
        <v>0</v>
      </c>
      <c r="O6126">
        <v>0</v>
      </c>
    </row>
    <row r="6127" spans="1:15" x14ac:dyDescent="0.35">
      <c r="A6127" t="s">
        <v>6705</v>
      </c>
      <c r="B6127" t="s">
        <v>6706</v>
      </c>
      <c r="C6127" t="s">
        <v>898</v>
      </c>
      <c r="D6127" t="s">
        <v>314</v>
      </c>
      <c r="E6127" t="s">
        <v>300</v>
      </c>
      <c r="F6127" t="s">
        <v>6720</v>
      </c>
      <c r="G6127">
        <v>0</v>
      </c>
      <c r="H6127">
        <v>0</v>
      </c>
      <c r="I6127">
        <v>0</v>
      </c>
      <c r="J6127">
        <v>0</v>
      </c>
      <c r="K6127">
        <v>0</v>
      </c>
      <c r="L6127">
        <v>0</v>
      </c>
      <c r="M6127">
        <v>0</v>
      </c>
      <c r="N6127">
        <v>0</v>
      </c>
      <c r="O6127">
        <v>0</v>
      </c>
    </row>
    <row r="6128" spans="1:15" x14ac:dyDescent="0.35">
      <c r="A6128" t="s">
        <v>6705</v>
      </c>
      <c r="B6128" t="s">
        <v>6706</v>
      </c>
      <c r="C6128" t="s">
        <v>898</v>
      </c>
      <c r="D6128" t="s">
        <v>314</v>
      </c>
      <c r="E6128" t="s">
        <v>306</v>
      </c>
      <c r="F6128" t="s">
        <v>6721</v>
      </c>
      <c r="G6128">
        <v>0</v>
      </c>
      <c r="H6128">
        <v>0</v>
      </c>
      <c r="I6128">
        <v>0</v>
      </c>
      <c r="J6128">
        <v>0</v>
      </c>
      <c r="K6128">
        <v>0</v>
      </c>
      <c r="L6128">
        <v>0</v>
      </c>
      <c r="M6128">
        <v>0</v>
      </c>
      <c r="N6128">
        <v>0</v>
      </c>
      <c r="O6128">
        <v>0</v>
      </c>
    </row>
    <row r="6129" spans="1:15" x14ac:dyDescent="0.35">
      <c r="A6129" t="s">
        <v>6705</v>
      </c>
      <c r="B6129" t="s">
        <v>6706</v>
      </c>
      <c r="C6129" t="s">
        <v>898</v>
      </c>
      <c r="D6129" t="s">
        <v>314</v>
      </c>
      <c r="E6129" t="s">
        <v>308</v>
      </c>
      <c r="F6129" t="s">
        <v>6722</v>
      </c>
      <c r="G6129">
        <v>0</v>
      </c>
      <c r="H6129">
        <v>0</v>
      </c>
      <c r="I6129">
        <v>0</v>
      </c>
      <c r="J6129">
        <v>0</v>
      </c>
      <c r="K6129">
        <v>0</v>
      </c>
      <c r="L6129">
        <v>0</v>
      </c>
      <c r="M6129">
        <v>0</v>
      </c>
      <c r="N6129">
        <v>0</v>
      </c>
      <c r="O6129">
        <v>0</v>
      </c>
    </row>
    <row r="6130" spans="1:15" x14ac:dyDescent="0.35">
      <c r="A6130" t="s">
        <v>6705</v>
      </c>
      <c r="B6130" t="s">
        <v>6706</v>
      </c>
      <c r="C6130" t="s">
        <v>898</v>
      </c>
      <c r="D6130" t="s">
        <v>314</v>
      </c>
      <c r="E6130" t="s">
        <v>312</v>
      </c>
      <c r="F6130" t="s">
        <v>6723</v>
      </c>
      <c r="G6130">
        <v>6</v>
      </c>
      <c r="H6130">
        <v>2540.58</v>
      </c>
      <c r="I6130">
        <v>423.43</v>
      </c>
      <c r="J6130">
        <v>0</v>
      </c>
      <c r="K6130">
        <v>0</v>
      </c>
      <c r="L6130">
        <v>0</v>
      </c>
      <c r="M6130">
        <v>6</v>
      </c>
      <c r="N6130">
        <v>2540.58</v>
      </c>
      <c r="O6130">
        <v>423.43</v>
      </c>
    </row>
    <row r="6131" spans="1:15" x14ac:dyDescent="0.35">
      <c r="A6131" t="s">
        <v>6705</v>
      </c>
      <c r="B6131" t="s">
        <v>6706</v>
      </c>
      <c r="C6131" t="s">
        <v>898</v>
      </c>
      <c r="D6131" t="s">
        <v>314</v>
      </c>
      <c r="E6131" t="s">
        <v>310</v>
      </c>
      <c r="F6131" t="s">
        <v>6724</v>
      </c>
      <c r="G6131">
        <v>6</v>
      </c>
      <c r="H6131">
        <v>2540.58</v>
      </c>
      <c r="I6131">
        <v>423.43</v>
      </c>
      <c r="J6131">
        <v>0</v>
      </c>
      <c r="K6131">
        <v>0</v>
      </c>
      <c r="L6131">
        <v>0</v>
      </c>
      <c r="M6131">
        <v>6</v>
      </c>
      <c r="N6131">
        <v>2540.58</v>
      </c>
      <c r="O6131">
        <v>423.43</v>
      </c>
    </row>
    <row r="6132" spans="1:15" x14ac:dyDescent="0.35">
      <c r="A6132" t="s">
        <v>6705</v>
      </c>
      <c r="B6132" t="s">
        <v>6706</v>
      </c>
      <c r="C6132" t="s">
        <v>898</v>
      </c>
      <c r="D6132" t="s">
        <v>323</v>
      </c>
      <c r="E6132" t="s">
        <v>294</v>
      </c>
      <c r="F6132" t="s">
        <v>6725</v>
      </c>
      <c r="G6132">
        <v>790</v>
      </c>
      <c r="H6132">
        <v>65552.159999999989</v>
      </c>
      <c r="I6132">
        <v>82.98</v>
      </c>
      <c r="J6132">
        <v>0</v>
      </c>
      <c r="K6132">
        <v>0</v>
      </c>
      <c r="L6132">
        <v>0</v>
      </c>
      <c r="M6132">
        <v>790</v>
      </c>
      <c r="N6132">
        <v>65552.159999999989</v>
      </c>
      <c r="O6132">
        <v>82.98</v>
      </c>
    </row>
    <row r="6133" spans="1:15" x14ac:dyDescent="0.35">
      <c r="A6133" t="s">
        <v>6705</v>
      </c>
      <c r="B6133" t="s">
        <v>6706</v>
      </c>
      <c r="C6133" t="s">
        <v>898</v>
      </c>
      <c r="D6133" t="s">
        <v>323</v>
      </c>
      <c r="E6133" t="s">
        <v>296</v>
      </c>
      <c r="F6133" t="s">
        <v>6726</v>
      </c>
      <c r="G6133">
        <v>1693</v>
      </c>
      <c r="H6133">
        <v>163359.00999999998</v>
      </c>
      <c r="I6133">
        <v>96.49</v>
      </c>
      <c r="J6133">
        <v>0</v>
      </c>
      <c r="K6133">
        <v>0</v>
      </c>
      <c r="L6133">
        <v>0</v>
      </c>
      <c r="M6133">
        <v>1693</v>
      </c>
      <c r="N6133">
        <v>163359.00999999998</v>
      </c>
      <c r="O6133">
        <v>96.49</v>
      </c>
    </row>
    <row r="6134" spans="1:15" x14ac:dyDescent="0.35">
      <c r="A6134" t="s">
        <v>6705</v>
      </c>
      <c r="B6134" t="s">
        <v>6706</v>
      </c>
      <c r="C6134" t="s">
        <v>898</v>
      </c>
      <c r="D6134" t="s">
        <v>323</v>
      </c>
      <c r="E6134" t="s">
        <v>298</v>
      </c>
      <c r="F6134" t="s">
        <v>6727</v>
      </c>
      <c r="G6134">
        <v>1645</v>
      </c>
      <c r="H6134">
        <v>179765.51000000004</v>
      </c>
      <c r="I6134">
        <v>109.28</v>
      </c>
      <c r="J6134">
        <v>0</v>
      </c>
      <c r="K6134">
        <v>0</v>
      </c>
      <c r="L6134">
        <v>0</v>
      </c>
      <c r="M6134">
        <v>1645</v>
      </c>
      <c r="N6134">
        <v>179765.51000000004</v>
      </c>
      <c r="O6134">
        <v>109.28</v>
      </c>
    </row>
    <row r="6135" spans="1:15" x14ac:dyDescent="0.35">
      <c r="A6135" t="s">
        <v>6705</v>
      </c>
      <c r="B6135" t="s">
        <v>6706</v>
      </c>
      <c r="C6135" t="s">
        <v>898</v>
      </c>
      <c r="D6135" t="s">
        <v>323</v>
      </c>
      <c r="E6135" t="s">
        <v>300</v>
      </c>
      <c r="F6135" t="s">
        <v>6728</v>
      </c>
      <c r="G6135">
        <v>57</v>
      </c>
      <c r="H6135">
        <v>6898.2899999999991</v>
      </c>
      <c r="I6135">
        <v>121.02</v>
      </c>
      <c r="J6135">
        <v>0</v>
      </c>
      <c r="K6135">
        <v>0</v>
      </c>
      <c r="L6135">
        <v>0</v>
      </c>
      <c r="M6135">
        <v>57</v>
      </c>
      <c r="N6135">
        <v>6898.2899999999991</v>
      </c>
      <c r="O6135">
        <v>121.02</v>
      </c>
    </row>
    <row r="6136" spans="1:15" x14ac:dyDescent="0.35">
      <c r="A6136" t="s">
        <v>6705</v>
      </c>
      <c r="B6136" t="s">
        <v>6706</v>
      </c>
      <c r="C6136" t="s">
        <v>898</v>
      </c>
      <c r="D6136" t="s">
        <v>323</v>
      </c>
      <c r="E6136" t="s">
        <v>302</v>
      </c>
      <c r="F6136" t="s">
        <v>6729</v>
      </c>
      <c r="G6136">
        <v>3</v>
      </c>
      <c r="H6136">
        <v>356.25</v>
      </c>
      <c r="I6136">
        <v>118.75</v>
      </c>
      <c r="J6136">
        <v>0</v>
      </c>
      <c r="K6136">
        <v>0</v>
      </c>
      <c r="L6136">
        <v>0</v>
      </c>
      <c r="M6136">
        <v>3</v>
      </c>
      <c r="N6136">
        <v>356.25</v>
      </c>
      <c r="O6136">
        <v>118.75</v>
      </c>
    </row>
    <row r="6137" spans="1:15" x14ac:dyDescent="0.35">
      <c r="A6137" t="s">
        <v>6705</v>
      </c>
      <c r="B6137" t="s">
        <v>6706</v>
      </c>
      <c r="C6137" t="s">
        <v>898</v>
      </c>
      <c r="D6137" t="s">
        <v>323</v>
      </c>
      <c r="E6137" t="s">
        <v>304</v>
      </c>
      <c r="F6137" t="s">
        <v>6730</v>
      </c>
      <c r="G6137">
        <v>2</v>
      </c>
      <c r="H6137">
        <v>284.7</v>
      </c>
      <c r="I6137">
        <v>142.35</v>
      </c>
      <c r="J6137">
        <v>0</v>
      </c>
      <c r="K6137">
        <v>0</v>
      </c>
      <c r="L6137">
        <v>0</v>
      </c>
      <c r="M6137">
        <v>2</v>
      </c>
      <c r="N6137">
        <v>284.7</v>
      </c>
      <c r="O6137">
        <v>142.35</v>
      </c>
    </row>
    <row r="6138" spans="1:15" x14ac:dyDescent="0.35">
      <c r="A6138" t="s">
        <v>6705</v>
      </c>
      <c r="B6138" t="s">
        <v>6706</v>
      </c>
      <c r="C6138" t="s">
        <v>898</v>
      </c>
      <c r="D6138" t="s">
        <v>323</v>
      </c>
      <c r="E6138" t="s">
        <v>306</v>
      </c>
      <c r="F6138" t="s">
        <v>6731</v>
      </c>
      <c r="G6138">
        <v>42</v>
      </c>
      <c r="H6138">
        <v>2962.2200000000003</v>
      </c>
      <c r="I6138">
        <v>70.53</v>
      </c>
      <c r="J6138">
        <v>0</v>
      </c>
      <c r="K6138">
        <v>0</v>
      </c>
      <c r="L6138">
        <v>0</v>
      </c>
      <c r="M6138">
        <v>42</v>
      </c>
      <c r="N6138">
        <v>2962.2200000000003</v>
      </c>
      <c r="O6138">
        <v>70.53</v>
      </c>
    </row>
    <row r="6139" spans="1:15" x14ac:dyDescent="0.35">
      <c r="A6139" t="s">
        <v>6705</v>
      </c>
      <c r="B6139" t="s">
        <v>6706</v>
      </c>
      <c r="C6139" t="s">
        <v>898</v>
      </c>
      <c r="D6139" t="s">
        <v>323</v>
      </c>
      <c r="E6139" t="s">
        <v>308</v>
      </c>
      <c r="F6139" t="s">
        <v>6732</v>
      </c>
      <c r="G6139">
        <v>0</v>
      </c>
      <c r="H6139">
        <v>0</v>
      </c>
      <c r="I6139">
        <v>0</v>
      </c>
      <c r="J6139">
        <v>0</v>
      </c>
      <c r="K6139">
        <v>0</v>
      </c>
      <c r="L6139">
        <v>0</v>
      </c>
      <c r="M6139">
        <v>0</v>
      </c>
      <c r="N6139">
        <v>0</v>
      </c>
      <c r="O6139">
        <v>0</v>
      </c>
    </row>
    <row r="6140" spans="1:15" x14ac:dyDescent="0.35">
      <c r="A6140" t="s">
        <v>6705</v>
      </c>
      <c r="B6140" t="s">
        <v>6706</v>
      </c>
      <c r="C6140" t="s">
        <v>898</v>
      </c>
      <c r="D6140" t="s">
        <v>323</v>
      </c>
      <c r="E6140" t="s">
        <v>310</v>
      </c>
      <c r="F6140" t="s">
        <v>6733</v>
      </c>
      <c r="G6140">
        <v>4232</v>
      </c>
      <c r="H6140">
        <v>419178.14</v>
      </c>
      <c r="I6140">
        <v>99.05</v>
      </c>
      <c r="J6140">
        <v>0</v>
      </c>
      <c r="K6140">
        <v>0</v>
      </c>
      <c r="L6140">
        <v>0</v>
      </c>
      <c r="M6140">
        <v>4232</v>
      </c>
      <c r="N6140">
        <v>419178.14</v>
      </c>
      <c r="O6140">
        <v>99.05</v>
      </c>
    </row>
    <row r="6141" spans="1:15" x14ac:dyDescent="0.35">
      <c r="A6141" t="s">
        <v>6705</v>
      </c>
      <c r="B6141" t="s">
        <v>6706</v>
      </c>
      <c r="C6141" t="s">
        <v>898</v>
      </c>
      <c r="D6141" t="s">
        <v>323</v>
      </c>
      <c r="E6141" t="s">
        <v>312</v>
      </c>
      <c r="F6141" t="s">
        <v>6734</v>
      </c>
      <c r="G6141">
        <v>4232</v>
      </c>
      <c r="H6141">
        <v>419178.14</v>
      </c>
      <c r="I6141">
        <v>99.05</v>
      </c>
      <c r="J6141">
        <v>0</v>
      </c>
      <c r="K6141">
        <v>0</v>
      </c>
      <c r="L6141">
        <v>0</v>
      </c>
      <c r="M6141">
        <v>4232</v>
      </c>
      <c r="N6141">
        <v>419178.14</v>
      </c>
      <c r="O6141">
        <v>99.05</v>
      </c>
    </row>
    <row r="6142" spans="1:15" x14ac:dyDescent="0.35">
      <c r="A6142" t="s">
        <v>6705</v>
      </c>
      <c r="B6142" t="s">
        <v>6706</v>
      </c>
      <c r="C6142" t="s">
        <v>898</v>
      </c>
      <c r="D6142" t="s">
        <v>334</v>
      </c>
      <c r="E6142" t="s">
        <v>312</v>
      </c>
      <c r="F6142" t="s">
        <v>6735</v>
      </c>
      <c r="G6142">
        <v>5005</v>
      </c>
      <c r="H6142">
        <v>497154.55999999994</v>
      </c>
      <c r="I6142">
        <v>102.97</v>
      </c>
      <c r="J6142">
        <v>12</v>
      </c>
      <c r="K6142">
        <v>1799.9899999999998</v>
      </c>
      <c r="L6142">
        <v>150</v>
      </c>
      <c r="M6142">
        <v>5017</v>
      </c>
      <c r="N6142">
        <v>498954.54999999993</v>
      </c>
      <c r="O6142">
        <v>103.09</v>
      </c>
    </row>
    <row r="6143" spans="1:15" x14ac:dyDescent="0.35">
      <c r="A6143" t="s">
        <v>6705</v>
      </c>
      <c r="B6143" t="s">
        <v>6706</v>
      </c>
      <c r="C6143" t="s">
        <v>898</v>
      </c>
      <c r="D6143" t="s">
        <v>334</v>
      </c>
      <c r="E6143" t="s">
        <v>308</v>
      </c>
      <c r="F6143" t="s">
        <v>6736</v>
      </c>
      <c r="G6143">
        <v>0</v>
      </c>
      <c r="H6143">
        <v>0</v>
      </c>
      <c r="I6143">
        <v>0</v>
      </c>
      <c r="J6143">
        <v>0</v>
      </c>
      <c r="K6143">
        <v>0</v>
      </c>
      <c r="L6143">
        <v>0</v>
      </c>
      <c r="M6143">
        <v>0</v>
      </c>
      <c r="N6143">
        <v>0</v>
      </c>
      <c r="O6143">
        <v>0</v>
      </c>
    </row>
    <row r="6144" spans="1:15" x14ac:dyDescent="0.35">
      <c r="A6144" t="s">
        <v>6705</v>
      </c>
      <c r="B6144" t="s">
        <v>6706</v>
      </c>
      <c r="C6144" t="s">
        <v>898</v>
      </c>
      <c r="D6144" t="s">
        <v>337</v>
      </c>
      <c r="E6144" t="s">
        <v>337</v>
      </c>
      <c r="F6144" t="s">
        <v>6737</v>
      </c>
      <c r="G6144">
        <v>490</v>
      </c>
      <c r="J6144">
        <v>0</v>
      </c>
      <c r="M6144">
        <v>490</v>
      </c>
    </row>
    <row r="6145" spans="1:15" x14ac:dyDescent="0.35">
      <c r="A6145" t="s">
        <v>6705</v>
      </c>
      <c r="B6145" t="s">
        <v>6706</v>
      </c>
      <c r="C6145" t="s">
        <v>898</v>
      </c>
      <c r="D6145" t="s">
        <v>339</v>
      </c>
      <c r="E6145" t="s">
        <v>294</v>
      </c>
      <c r="F6145" t="s">
        <v>6738</v>
      </c>
      <c r="G6145">
        <v>407</v>
      </c>
      <c r="H6145">
        <v>38164.339999999997</v>
      </c>
      <c r="I6145">
        <v>93.77</v>
      </c>
      <c r="J6145">
        <v>0</v>
      </c>
      <c r="K6145">
        <v>0</v>
      </c>
      <c r="L6145">
        <v>0</v>
      </c>
      <c r="M6145">
        <v>407</v>
      </c>
      <c r="N6145">
        <v>38164.339999999997</v>
      </c>
      <c r="O6145">
        <v>93.77</v>
      </c>
    </row>
    <row r="6146" spans="1:15" x14ac:dyDescent="0.35">
      <c r="A6146" t="s">
        <v>6705</v>
      </c>
      <c r="B6146" t="s">
        <v>6706</v>
      </c>
      <c r="C6146" t="s">
        <v>898</v>
      </c>
      <c r="D6146" t="s">
        <v>339</v>
      </c>
      <c r="E6146" t="s">
        <v>296</v>
      </c>
      <c r="F6146" t="s">
        <v>6739</v>
      </c>
      <c r="G6146">
        <v>395</v>
      </c>
      <c r="H6146">
        <v>39294.659999999996</v>
      </c>
      <c r="I6146">
        <v>99.48</v>
      </c>
      <c r="J6146">
        <v>0</v>
      </c>
      <c r="K6146">
        <v>0</v>
      </c>
      <c r="L6146">
        <v>0</v>
      </c>
      <c r="M6146">
        <v>395</v>
      </c>
      <c r="N6146">
        <v>39294.659999999996</v>
      </c>
      <c r="O6146">
        <v>99.48</v>
      </c>
    </row>
    <row r="6147" spans="1:15" x14ac:dyDescent="0.35">
      <c r="A6147" t="s">
        <v>6705</v>
      </c>
      <c r="B6147" t="s">
        <v>6706</v>
      </c>
      <c r="C6147" t="s">
        <v>898</v>
      </c>
      <c r="D6147" t="s">
        <v>339</v>
      </c>
      <c r="E6147" t="s">
        <v>298</v>
      </c>
      <c r="F6147" t="s">
        <v>6740</v>
      </c>
      <c r="G6147">
        <v>11</v>
      </c>
      <c r="H6147">
        <v>1289.1099999999999</v>
      </c>
      <c r="I6147">
        <v>117.19</v>
      </c>
      <c r="J6147">
        <v>0</v>
      </c>
      <c r="K6147">
        <v>0</v>
      </c>
      <c r="L6147">
        <v>0</v>
      </c>
      <c r="M6147">
        <v>11</v>
      </c>
      <c r="N6147">
        <v>1289.1099999999999</v>
      </c>
      <c r="O6147">
        <v>117.19</v>
      </c>
    </row>
    <row r="6148" spans="1:15" x14ac:dyDescent="0.35">
      <c r="A6148" t="s">
        <v>6705</v>
      </c>
      <c r="B6148" t="s">
        <v>6706</v>
      </c>
      <c r="C6148" t="s">
        <v>898</v>
      </c>
      <c r="D6148" t="s">
        <v>339</v>
      </c>
      <c r="E6148" t="s">
        <v>300</v>
      </c>
      <c r="F6148" t="s">
        <v>6741</v>
      </c>
      <c r="G6148">
        <v>0</v>
      </c>
      <c r="H6148">
        <v>0</v>
      </c>
      <c r="I6148">
        <v>0</v>
      </c>
      <c r="J6148">
        <v>0</v>
      </c>
      <c r="K6148">
        <v>0</v>
      </c>
      <c r="L6148">
        <v>0</v>
      </c>
      <c r="M6148">
        <v>0</v>
      </c>
      <c r="N6148">
        <v>0</v>
      </c>
      <c r="O6148">
        <v>0</v>
      </c>
    </row>
    <row r="6149" spans="1:15" x14ac:dyDescent="0.35">
      <c r="A6149" t="s">
        <v>6705</v>
      </c>
      <c r="B6149" t="s">
        <v>6706</v>
      </c>
      <c r="C6149" t="s">
        <v>898</v>
      </c>
      <c r="D6149" t="s">
        <v>339</v>
      </c>
      <c r="E6149" t="s">
        <v>306</v>
      </c>
      <c r="F6149" t="s">
        <v>6742</v>
      </c>
      <c r="G6149">
        <v>161</v>
      </c>
      <c r="H6149">
        <v>12364.43</v>
      </c>
      <c r="I6149">
        <v>76.8</v>
      </c>
      <c r="J6149">
        <v>0</v>
      </c>
      <c r="K6149">
        <v>0</v>
      </c>
      <c r="L6149">
        <v>0</v>
      </c>
      <c r="M6149">
        <v>161</v>
      </c>
      <c r="N6149">
        <v>12364.43</v>
      </c>
      <c r="O6149">
        <v>76.8</v>
      </c>
    </row>
    <row r="6150" spans="1:15" x14ac:dyDescent="0.35">
      <c r="A6150" t="s">
        <v>6705</v>
      </c>
      <c r="B6150" t="s">
        <v>6706</v>
      </c>
      <c r="C6150" t="s">
        <v>898</v>
      </c>
      <c r="D6150" t="s">
        <v>339</v>
      </c>
      <c r="E6150" t="s">
        <v>308</v>
      </c>
      <c r="F6150" t="s">
        <v>6743</v>
      </c>
      <c r="G6150">
        <v>56</v>
      </c>
      <c r="H6150">
        <v>12841.419999999998</v>
      </c>
      <c r="I6150">
        <v>229.31</v>
      </c>
      <c r="J6150">
        <v>0</v>
      </c>
      <c r="K6150">
        <v>0</v>
      </c>
      <c r="L6150">
        <v>0</v>
      </c>
      <c r="M6150">
        <v>56</v>
      </c>
      <c r="N6150">
        <v>12841.419999999998</v>
      </c>
      <c r="O6150">
        <v>229.31</v>
      </c>
    </row>
    <row r="6151" spans="1:15" x14ac:dyDescent="0.35">
      <c r="A6151" t="s">
        <v>6705</v>
      </c>
      <c r="B6151" t="s">
        <v>6706</v>
      </c>
      <c r="C6151" t="s">
        <v>898</v>
      </c>
      <c r="D6151" t="s">
        <v>339</v>
      </c>
      <c r="E6151" t="s">
        <v>310</v>
      </c>
      <c r="F6151" t="s">
        <v>6744</v>
      </c>
      <c r="G6151">
        <v>1030</v>
      </c>
      <c r="H6151">
        <v>103953.96</v>
      </c>
      <c r="I6151">
        <v>100.93</v>
      </c>
      <c r="J6151">
        <v>0</v>
      </c>
      <c r="K6151">
        <v>0</v>
      </c>
      <c r="L6151">
        <v>0</v>
      </c>
      <c r="M6151">
        <v>1030</v>
      </c>
      <c r="N6151">
        <v>103953.96</v>
      </c>
      <c r="O6151">
        <v>100.93</v>
      </c>
    </row>
    <row r="6152" spans="1:15" x14ac:dyDescent="0.35">
      <c r="A6152" t="s">
        <v>6705</v>
      </c>
      <c r="B6152" t="s">
        <v>6706</v>
      </c>
      <c r="C6152" t="s">
        <v>898</v>
      </c>
      <c r="D6152" t="s">
        <v>339</v>
      </c>
      <c r="E6152" t="s">
        <v>312</v>
      </c>
      <c r="F6152" t="s">
        <v>6745</v>
      </c>
      <c r="G6152">
        <v>974</v>
      </c>
      <c r="H6152">
        <v>91112.540000000008</v>
      </c>
      <c r="I6152">
        <v>93.54</v>
      </c>
      <c r="J6152">
        <v>0</v>
      </c>
      <c r="K6152">
        <v>0</v>
      </c>
      <c r="L6152">
        <v>0</v>
      </c>
      <c r="M6152">
        <v>974</v>
      </c>
      <c r="N6152">
        <v>91112.540000000008</v>
      </c>
      <c r="O6152">
        <v>93.54</v>
      </c>
    </row>
    <row r="6153" spans="1:15" x14ac:dyDescent="0.35">
      <c r="A6153" t="s">
        <v>6705</v>
      </c>
      <c r="B6153" t="s">
        <v>6706</v>
      </c>
      <c r="C6153" t="s">
        <v>898</v>
      </c>
      <c r="D6153" t="s">
        <v>348</v>
      </c>
      <c r="E6153" t="s">
        <v>349</v>
      </c>
      <c r="F6153" t="s">
        <v>6746</v>
      </c>
      <c r="G6153">
        <v>1064</v>
      </c>
      <c r="H6153">
        <v>106494.54</v>
      </c>
      <c r="I6153">
        <v>102.79</v>
      </c>
      <c r="J6153">
        <v>0</v>
      </c>
      <c r="K6153">
        <v>0</v>
      </c>
      <c r="L6153">
        <v>0</v>
      </c>
      <c r="M6153">
        <v>1064</v>
      </c>
      <c r="N6153">
        <v>106494.54</v>
      </c>
      <c r="O6153">
        <v>102.79</v>
      </c>
    </row>
    <row r="6154" spans="1:15" x14ac:dyDescent="0.35">
      <c r="A6154" t="s">
        <v>6747</v>
      </c>
      <c r="B6154" t="s">
        <v>6748</v>
      </c>
      <c r="C6154" t="s">
        <v>898</v>
      </c>
      <c r="D6154" t="s">
        <v>293</v>
      </c>
      <c r="E6154" t="s">
        <v>294</v>
      </c>
      <c r="F6154" t="s">
        <v>6749</v>
      </c>
      <c r="G6154">
        <v>268</v>
      </c>
      <c r="H6154">
        <v>25169.03</v>
      </c>
      <c r="I6154">
        <v>93.91</v>
      </c>
      <c r="J6154">
        <v>0</v>
      </c>
      <c r="K6154">
        <v>0</v>
      </c>
      <c r="L6154">
        <v>0</v>
      </c>
      <c r="M6154">
        <v>268</v>
      </c>
      <c r="N6154">
        <v>25169.03</v>
      </c>
      <c r="O6154">
        <v>93.91</v>
      </c>
    </row>
    <row r="6155" spans="1:15" x14ac:dyDescent="0.35">
      <c r="A6155" t="s">
        <v>6747</v>
      </c>
      <c r="B6155" t="s">
        <v>6748</v>
      </c>
      <c r="C6155" t="s">
        <v>898</v>
      </c>
      <c r="D6155" t="s">
        <v>293</v>
      </c>
      <c r="E6155" t="s">
        <v>296</v>
      </c>
      <c r="F6155" t="s">
        <v>6750</v>
      </c>
      <c r="G6155">
        <v>851</v>
      </c>
      <c r="H6155">
        <v>95991.43</v>
      </c>
      <c r="I6155">
        <v>112.8</v>
      </c>
      <c r="J6155">
        <v>1</v>
      </c>
      <c r="K6155">
        <v>113.92</v>
      </c>
      <c r="L6155">
        <v>113.92</v>
      </c>
      <c r="M6155">
        <v>852</v>
      </c>
      <c r="N6155">
        <v>96105.349999999991</v>
      </c>
      <c r="O6155">
        <v>112.8</v>
      </c>
    </row>
    <row r="6156" spans="1:15" x14ac:dyDescent="0.35">
      <c r="A6156" t="s">
        <v>6747</v>
      </c>
      <c r="B6156" t="s">
        <v>6748</v>
      </c>
      <c r="C6156" t="s">
        <v>898</v>
      </c>
      <c r="D6156" t="s">
        <v>293</v>
      </c>
      <c r="E6156" t="s">
        <v>298</v>
      </c>
      <c r="F6156" t="s">
        <v>6751</v>
      </c>
      <c r="G6156">
        <v>533</v>
      </c>
      <c r="H6156">
        <v>68712.87999999999</v>
      </c>
      <c r="I6156">
        <v>128.91999999999999</v>
      </c>
      <c r="J6156">
        <v>4</v>
      </c>
      <c r="K6156">
        <v>552.32000000000005</v>
      </c>
      <c r="L6156">
        <v>138.08000000000001</v>
      </c>
      <c r="M6156">
        <v>537</v>
      </c>
      <c r="N6156">
        <v>69265.2</v>
      </c>
      <c r="O6156">
        <v>128.99</v>
      </c>
    </row>
    <row r="6157" spans="1:15" x14ac:dyDescent="0.35">
      <c r="A6157" t="s">
        <v>6747</v>
      </c>
      <c r="B6157" t="s">
        <v>6748</v>
      </c>
      <c r="C6157" t="s">
        <v>898</v>
      </c>
      <c r="D6157" t="s">
        <v>293</v>
      </c>
      <c r="E6157" t="s">
        <v>300</v>
      </c>
      <c r="F6157" t="s">
        <v>6752</v>
      </c>
      <c r="G6157">
        <v>47</v>
      </c>
      <c r="H6157">
        <v>7083.42</v>
      </c>
      <c r="I6157">
        <v>150.71</v>
      </c>
      <c r="J6157">
        <v>0</v>
      </c>
      <c r="K6157">
        <v>0</v>
      </c>
      <c r="L6157">
        <v>0</v>
      </c>
      <c r="M6157">
        <v>47</v>
      </c>
      <c r="N6157">
        <v>7083.42</v>
      </c>
      <c r="O6157">
        <v>150.71</v>
      </c>
    </row>
    <row r="6158" spans="1:15" x14ac:dyDescent="0.35">
      <c r="A6158" t="s">
        <v>6747</v>
      </c>
      <c r="B6158" t="s">
        <v>6748</v>
      </c>
      <c r="C6158" t="s">
        <v>898</v>
      </c>
      <c r="D6158" t="s">
        <v>293</v>
      </c>
      <c r="E6158" t="s">
        <v>302</v>
      </c>
      <c r="F6158" t="s">
        <v>6753</v>
      </c>
      <c r="G6158">
        <v>0</v>
      </c>
      <c r="H6158">
        <v>0</v>
      </c>
      <c r="I6158">
        <v>0</v>
      </c>
      <c r="J6158">
        <v>0</v>
      </c>
      <c r="K6158">
        <v>0</v>
      </c>
      <c r="L6158">
        <v>0</v>
      </c>
      <c r="M6158">
        <v>0</v>
      </c>
      <c r="N6158">
        <v>0</v>
      </c>
      <c r="O6158">
        <v>0</v>
      </c>
    </row>
    <row r="6159" spans="1:15" x14ac:dyDescent="0.35">
      <c r="A6159" t="s">
        <v>6747</v>
      </c>
      <c r="B6159" t="s">
        <v>6748</v>
      </c>
      <c r="C6159" t="s">
        <v>898</v>
      </c>
      <c r="D6159" t="s">
        <v>293</v>
      </c>
      <c r="E6159" t="s">
        <v>304</v>
      </c>
      <c r="F6159" t="s">
        <v>6754</v>
      </c>
      <c r="G6159">
        <v>0</v>
      </c>
      <c r="H6159">
        <v>0</v>
      </c>
      <c r="I6159">
        <v>0</v>
      </c>
      <c r="J6159">
        <v>0</v>
      </c>
      <c r="K6159">
        <v>0</v>
      </c>
      <c r="L6159">
        <v>0</v>
      </c>
      <c r="M6159">
        <v>0</v>
      </c>
      <c r="N6159">
        <v>0</v>
      </c>
      <c r="O6159">
        <v>0</v>
      </c>
    </row>
    <row r="6160" spans="1:15" x14ac:dyDescent="0.35">
      <c r="A6160" t="s">
        <v>6747</v>
      </c>
      <c r="B6160" t="s">
        <v>6748</v>
      </c>
      <c r="C6160" t="s">
        <v>898</v>
      </c>
      <c r="D6160" t="s">
        <v>293</v>
      </c>
      <c r="E6160" t="s">
        <v>306</v>
      </c>
      <c r="F6160" t="s">
        <v>6755</v>
      </c>
      <c r="G6160">
        <v>0</v>
      </c>
      <c r="H6160">
        <v>0</v>
      </c>
      <c r="I6160">
        <v>0</v>
      </c>
      <c r="J6160">
        <v>0</v>
      </c>
      <c r="K6160">
        <v>0</v>
      </c>
      <c r="L6160">
        <v>0</v>
      </c>
      <c r="M6160">
        <v>0</v>
      </c>
      <c r="N6160">
        <v>0</v>
      </c>
      <c r="O6160">
        <v>0</v>
      </c>
    </row>
    <row r="6161" spans="1:15" x14ac:dyDescent="0.35">
      <c r="A6161" t="s">
        <v>6747</v>
      </c>
      <c r="B6161" t="s">
        <v>6748</v>
      </c>
      <c r="C6161" t="s">
        <v>898</v>
      </c>
      <c r="D6161" t="s">
        <v>293</v>
      </c>
      <c r="E6161" t="s">
        <v>308</v>
      </c>
      <c r="F6161" t="s">
        <v>6756</v>
      </c>
      <c r="G6161">
        <v>0</v>
      </c>
      <c r="H6161">
        <v>0</v>
      </c>
      <c r="I6161">
        <v>0</v>
      </c>
      <c r="J6161">
        <v>0</v>
      </c>
      <c r="K6161">
        <v>0</v>
      </c>
      <c r="L6161">
        <v>0</v>
      </c>
      <c r="M6161">
        <v>0</v>
      </c>
      <c r="N6161">
        <v>0</v>
      </c>
      <c r="O6161">
        <v>0</v>
      </c>
    </row>
    <row r="6162" spans="1:15" x14ac:dyDescent="0.35">
      <c r="A6162" t="s">
        <v>6747</v>
      </c>
      <c r="B6162" t="s">
        <v>6748</v>
      </c>
      <c r="C6162" t="s">
        <v>898</v>
      </c>
      <c r="D6162" t="s">
        <v>293</v>
      </c>
      <c r="E6162" t="s">
        <v>310</v>
      </c>
      <c r="F6162" t="s">
        <v>6757</v>
      </c>
      <c r="G6162">
        <v>1699</v>
      </c>
      <c r="H6162">
        <v>196956.75999999998</v>
      </c>
      <c r="I6162">
        <v>115.93</v>
      </c>
      <c r="J6162">
        <v>5</v>
      </c>
      <c r="K6162">
        <v>666.24</v>
      </c>
      <c r="L6162">
        <v>133.25</v>
      </c>
      <c r="M6162">
        <v>1704</v>
      </c>
      <c r="N6162">
        <v>197622.99999999997</v>
      </c>
      <c r="O6162">
        <v>115.98</v>
      </c>
    </row>
    <row r="6163" spans="1:15" x14ac:dyDescent="0.35">
      <c r="A6163" t="s">
        <v>6747</v>
      </c>
      <c r="B6163" t="s">
        <v>6748</v>
      </c>
      <c r="C6163" t="s">
        <v>898</v>
      </c>
      <c r="D6163" t="s">
        <v>293</v>
      </c>
      <c r="E6163" t="s">
        <v>312</v>
      </c>
      <c r="F6163" t="s">
        <v>6758</v>
      </c>
      <c r="G6163">
        <v>1699</v>
      </c>
      <c r="H6163">
        <v>196956.75999999998</v>
      </c>
      <c r="I6163">
        <v>115.93</v>
      </c>
      <c r="J6163">
        <v>5</v>
      </c>
      <c r="K6163">
        <v>666.24</v>
      </c>
      <c r="L6163">
        <v>133.25</v>
      </c>
      <c r="M6163">
        <v>1704</v>
      </c>
      <c r="N6163">
        <v>197622.99999999997</v>
      </c>
      <c r="O6163">
        <v>115.98</v>
      </c>
    </row>
    <row r="6164" spans="1:15" x14ac:dyDescent="0.35">
      <c r="A6164" t="s">
        <v>6747</v>
      </c>
      <c r="B6164" t="s">
        <v>6748</v>
      </c>
      <c r="C6164" t="s">
        <v>898</v>
      </c>
      <c r="D6164" t="s">
        <v>314</v>
      </c>
      <c r="E6164" t="s">
        <v>294</v>
      </c>
      <c r="F6164" t="s">
        <v>6759</v>
      </c>
      <c r="G6164">
        <v>30</v>
      </c>
      <c r="H6164">
        <v>5250.2999999999993</v>
      </c>
      <c r="I6164">
        <v>175.01</v>
      </c>
      <c r="J6164">
        <v>0</v>
      </c>
      <c r="K6164">
        <v>0</v>
      </c>
      <c r="L6164">
        <v>0</v>
      </c>
      <c r="M6164">
        <v>30</v>
      </c>
      <c r="N6164">
        <v>5250.2999999999993</v>
      </c>
      <c r="O6164">
        <v>175.01</v>
      </c>
    </row>
    <row r="6165" spans="1:15" x14ac:dyDescent="0.35">
      <c r="A6165" t="s">
        <v>6747</v>
      </c>
      <c r="B6165" t="s">
        <v>6748</v>
      </c>
      <c r="C6165" t="s">
        <v>898</v>
      </c>
      <c r="D6165" t="s">
        <v>314</v>
      </c>
      <c r="E6165" t="s">
        <v>296</v>
      </c>
      <c r="F6165" t="s">
        <v>6760</v>
      </c>
      <c r="G6165">
        <v>2</v>
      </c>
      <c r="H6165">
        <v>354.76</v>
      </c>
      <c r="I6165">
        <v>177.38</v>
      </c>
      <c r="J6165">
        <v>0</v>
      </c>
      <c r="K6165">
        <v>0</v>
      </c>
      <c r="L6165">
        <v>0</v>
      </c>
      <c r="M6165">
        <v>2</v>
      </c>
      <c r="N6165">
        <v>354.76</v>
      </c>
      <c r="O6165">
        <v>177.38</v>
      </c>
    </row>
    <row r="6166" spans="1:15" x14ac:dyDescent="0.35">
      <c r="A6166" t="s">
        <v>6747</v>
      </c>
      <c r="B6166" t="s">
        <v>6748</v>
      </c>
      <c r="C6166" t="s">
        <v>898</v>
      </c>
      <c r="D6166" t="s">
        <v>314</v>
      </c>
      <c r="E6166" t="s">
        <v>298</v>
      </c>
      <c r="F6166" t="s">
        <v>6761</v>
      </c>
      <c r="G6166">
        <v>0</v>
      </c>
      <c r="H6166">
        <v>0</v>
      </c>
      <c r="I6166">
        <v>0</v>
      </c>
      <c r="J6166">
        <v>0</v>
      </c>
      <c r="K6166">
        <v>0</v>
      </c>
      <c r="L6166">
        <v>0</v>
      </c>
      <c r="M6166">
        <v>0</v>
      </c>
      <c r="N6166">
        <v>0</v>
      </c>
      <c r="O6166">
        <v>0</v>
      </c>
    </row>
    <row r="6167" spans="1:15" x14ac:dyDescent="0.35">
      <c r="A6167" t="s">
        <v>6747</v>
      </c>
      <c r="B6167" t="s">
        <v>6748</v>
      </c>
      <c r="C6167" t="s">
        <v>898</v>
      </c>
      <c r="D6167" t="s">
        <v>314</v>
      </c>
      <c r="E6167" t="s">
        <v>300</v>
      </c>
      <c r="F6167" t="s">
        <v>6762</v>
      </c>
      <c r="G6167">
        <v>0</v>
      </c>
      <c r="H6167">
        <v>0</v>
      </c>
      <c r="I6167">
        <v>0</v>
      </c>
      <c r="J6167">
        <v>0</v>
      </c>
      <c r="K6167">
        <v>0</v>
      </c>
      <c r="L6167">
        <v>0</v>
      </c>
      <c r="M6167">
        <v>0</v>
      </c>
      <c r="N6167">
        <v>0</v>
      </c>
      <c r="O6167">
        <v>0</v>
      </c>
    </row>
    <row r="6168" spans="1:15" x14ac:dyDescent="0.35">
      <c r="A6168" t="s">
        <v>6747</v>
      </c>
      <c r="B6168" t="s">
        <v>6748</v>
      </c>
      <c r="C6168" t="s">
        <v>898</v>
      </c>
      <c r="D6168" t="s">
        <v>314</v>
      </c>
      <c r="E6168" t="s">
        <v>306</v>
      </c>
      <c r="F6168" t="s">
        <v>6763</v>
      </c>
      <c r="G6168">
        <v>0</v>
      </c>
      <c r="H6168">
        <v>0</v>
      </c>
      <c r="I6168">
        <v>0</v>
      </c>
      <c r="J6168">
        <v>0</v>
      </c>
      <c r="K6168">
        <v>0</v>
      </c>
      <c r="L6168">
        <v>0</v>
      </c>
      <c r="M6168">
        <v>0</v>
      </c>
      <c r="N6168">
        <v>0</v>
      </c>
      <c r="O6168">
        <v>0</v>
      </c>
    </row>
    <row r="6169" spans="1:15" x14ac:dyDescent="0.35">
      <c r="A6169" t="s">
        <v>6747</v>
      </c>
      <c r="B6169" t="s">
        <v>6748</v>
      </c>
      <c r="C6169" t="s">
        <v>898</v>
      </c>
      <c r="D6169" t="s">
        <v>314</v>
      </c>
      <c r="E6169" t="s">
        <v>308</v>
      </c>
      <c r="F6169" t="s">
        <v>6764</v>
      </c>
      <c r="G6169">
        <v>0</v>
      </c>
      <c r="H6169">
        <v>0</v>
      </c>
      <c r="I6169">
        <v>0</v>
      </c>
      <c r="J6169">
        <v>0</v>
      </c>
      <c r="K6169">
        <v>0</v>
      </c>
      <c r="L6169">
        <v>0</v>
      </c>
      <c r="M6169">
        <v>0</v>
      </c>
      <c r="N6169">
        <v>0</v>
      </c>
      <c r="O6169">
        <v>0</v>
      </c>
    </row>
    <row r="6170" spans="1:15" x14ac:dyDescent="0.35">
      <c r="A6170" t="s">
        <v>6747</v>
      </c>
      <c r="B6170" t="s">
        <v>6748</v>
      </c>
      <c r="C6170" t="s">
        <v>898</v>
      </c>
      <c r="D6170" t="s">
        <v>314</v>
      </c>
      <c r="E6170" t="s">
        <v>312</v>
      </c>
      <c r="F6170" t="s">
        <v>6765</v>
      </c>
      <c r="G6170">
        <v>32</v>
      </c>
      <c r="H6170">
        <v>5605.0599999999995</v>
      </c>
      <c r="I6170">
        <v>175.16</v>
      </c>
      <c r="J6170">
        <v>0</v>
      </c>
      <c r="K6170">
        <v>0</v>
      </c>
      <c r="L6170">
        <v>0</v>
      </c>
      <c r="M6170">
        <v>32</v>
      </c>
      <c r="N6170">
        <v>5605.0599999999995</v>
      </c>
      <c r="O6170">
        <v>175.16</v>
      </c>
    </row>
    <row r="6171" spans="1:15" x14ac:dyDescent="0.35">
      <c r="A6171" t="s">
        <v>6747</v>
      </c>
      <c r="B6171" t="s">
        <v>6748</v>
      </c>
      <c r="C6171" t="s">
        <v>898</v>
      </c>
      <c r="D6171" t="s">
        <v>314</v>
      </c>
      <c r="E6171" t="s">
        <v>310</v>
      </c>
      <c r="F6171" t="s">
        <v>6766</v>
      </c>
      <c r="G6171">
        <v>32</v>
      </c>
      <c r="H6171">
        <v>5605.0599999999995</v>
      </c>
      <c r="I6171">
        <v>175.16</v>
      </c>
      <c r="J6171">
        <v>0</v>
      </c>
      <c r="K6171">
        <v>0</v>
      </c>
      <c r="L6171">
        <v>0</v>
      </c>
      <c r="M6171">
        <v>32</v>
      </c>
      <c r="N6171">
        <v>5605.0599999999995</v>
      </c>
      <c r="O6171">
        <v>175.16</v>
      </c>
    </row>
    <row r="6172" spans="1:15" x14ac:dyDescent="0.35">
      <c r="A6172" t="s">
        <v>6747</v>
      </c>
      <c r="B6172" t="s">
        <v>6748</v>
      </c>
      <c r="C6172" t="s">
        <v>898</v>
      </c>
      <c r="D6172" t="s">
        <v>323</v>
      </c>
      <c r="E6172" t="s">
        <v>294</v>
      </c>
      <c r="F6172" t="s">
        <v>6767</v>
      </c>
      <c r="G6172">
        <v>546</v>
      </c>
      <c r="H6172">
        <v>49611.509999999995</v>
      </c>
      <c r="I6172">
        <v>90.86</v>
      </c>
      <c r="J6172">
        <v>0</v>
      </c>
      <c r="K6172">
        <v>0</v>
      </c>
      <c r="L6172">
        <v>0</v>
      </c>
      <c r="M6172">
        <v>546</v>
      </c>
      <c r="N6172">
        <v>49611.509999999995</v>
      </c>
      <c r="O6172">
        <v>90.86</v>
      </c>
    </row>
    <row r="6173" spans="1:15" x14ac:dyDescent="0.35">
      <c r="A6173" t="s">
        <v>6747</v>
      </c>
      <c r="B6173" t="s">
        <v>6748</v>
      </c>
      <c r="C6173" t="s">
        <v>898</v>
      </c>
      <c r="D6173" t="s">
        <v>323</v>
      </c>
      <c r="E6173" t="s">
        <v>296</v>
      </c>
      <c r="F6173" t="s">
        <v>6768</v>
      </c>
      <c r="G6173">
        <v>2766</v>
      </c>
      <c r="H6173">
        <v>279666.75</v>
      </c>
      <c r="I6173">
        <v>101.11</v>
      </c>
      <c r="J6173">
        <v>0</v>
      </c>
      <c r="K6173">
        <v>0</v>
      </c>
      <c r="L6173">
        <v>0</v>
      </c>
      <c r="M6173">
        <v>2766</v>
      </c>
      <c r="N6173">
        <v>279666.75</v>
      </c>
      <c r="O6173">
        <v>101.11</v>
      </c>
    </row>
    <row r="6174" spans="1:15" x14ac:dyDescent="0.35">
      <c r="A6174" t="s">
        <v>6747</v>
      </c>
      <c r="B6174" t="s">
        <v>6748</v>
      </c>
      <c r="C6174" t="s">
        <v>898</v>
      </c>
      <c r="D6174" t="s">
        <v>323</v>
      </c>
      <c r="E6174" t="s">
        <v>298</v>
      </c>
      <c r="F6174" t="s">
        <v>6769</v>
      </c>
      <c r="G6174">
        <v>1660</v>
      </c>
      <c r="H6174">
        <v>180042.38</v>
      </c>
      <c r="I6174">
        <v>108.46</v>
      </c>
      <c r="J6174">
        <v>0</v>
      </c>
      <c r="K6174">
        <v>0</v>
      </c>
      <c r="L6174">
        <v>0</v>
      </c>
      <c r="M6174">
        <v>1660</v>
      </c>
      <c r="N6174">
        <v>180042.38</v>
      </c>
      <c r="O6174">
        <v>108.46</v>
      </c>
    </row>
    <row r="6175" spans="1:15" x14ac:dyDescent="0.35">
      <c r="A6175" t="s">
        <v>6747</v>
      </c>
      <c r="B6175" t="s">
        <v>6748</v>
      </c>
      <c r="C6175" t="s">
        <v>898</v>
      </c>
      <c r="D6175" t="s">
        <v>323</v>
      </c>
      <c r="E6175" t="s">
        <v>300</v>
      </c>
      <c r="F6175" t="s">
        <v>6770</v>
      </c>
      <c r="G6175">
        <v>91</v>
      </c>
      <c r="H6175">
        <v>10693.41</v>
      </c>
      <c r="I6175">
        <v>117.51</v>
      </c>
      <c r="J6175">
        <v>0</v>
      </c>
      <c r="K6175">
        <v>0</v>
      </c>
      <c r="L6175">
        <v>0</v>
      </c>
      <c r="M6175">
        <v>91</v>
      </c>
      <c r="N6175">
        <v>10693.41</v>
      </c>
      <c r="O6175">
        <v>117.51</v>
      </c>
    </row>
    <row r="6176" spans="1:15" x14ac:dyDescent="0.35">
      <c r="A6176" t="s">
        <v>6747</v>
      </c>
      <c r="B6176" t="s">
        <v>6748</v>
      </c>
      <c r="C6176" t="s">
        <v>898</v>
      </c>
      <c r="D6176" t="s">
        <v>323</v>
      </c>
      <c r="E6176" t="s">
        <v>302</v>
      </c>
      <c r="F6176" t="s">
        <v>6771</v>
      </c>
      <c r="G6176">
        <v>3</v>
      </c>
      <c r="H6176">
        <v>395.22</v>
      </c>
      <c r="I6176">
        <v>131.74</v>
      </c>
      <c r="J6176">
        <v>0</v>
      </c>
      <c r="K6176">
        <v>0</v>
      </c>
      <c r="L6176">
        <v>0</v>
      </c>
      <c r="M6176">
        <v>3</v>
      </c>
      <c r="N6176">
        <v>395.22</v>
      </c>
      <c r="O6176">
        <v>131.74</v>
      </c>
    </row>
    <row r="6177" spans="1:15" x14ac:dyDescent="0.35">
      <c r="A6177" t="s">
        <v>6747</v>
      </c>
      <c r="B6177" t="s">
        <v>6748</v>
      </c>
      <c r="C6177" t="s">
        <v>898</v>
      </c>
      <c r="D6177" t="s">
        <v>323</v>
      </c>
      <c r="E6177" t="s">
        <v>304</v>
      </c>
      <c r="F6177" t="s">
        <v>6772</v>
      </c>
      <c r="G6177">
        <v>0</v>
      </c>
      <c r="H6177">
        <v>0</v>
      </c>
      <c r="I6177">
        <v>0</v>
      </c>
      <c r="J6177">
        <v>0</v>
      </c>
      <c r="K6177">
        <v>0</v>
      </c>
      <c r="L6177">
        <v>0</v>
      </c>
      <c r="M6177">
        <v>0</v>
      </c>
      <c r="N6177">
        <v>0</v>
      </c>
      <c r="O6177">
        <v>0</v>
      </c>
    </row>
    <row r="6178" spans="1:15" x14ac:dyDescent="0.35">
      <c r="A6178" t="s">
        <v>6747</v>
      </c>
      <c r="B6178" t="s">
        <v>6748</v>
      </c>
      <c r="C6178" t="s">
        <v>898</v>
      </c>
      <c r="D6178" t="s">
        <v>323</v>
      </c>
      <c r="E6178" t="s">
        <v>306</v>
      </c>
      <c r="F6178" t="s">
        <v>6773</v>
      </c>
      <c r="G6178">
        <v>71</v>
      </c>
      <c r="H6178">
        <v>5966.16</v>
      </c>
      <c r="I6178">
        <v>84.03</v>
      </c>
      <c r="J6178">
        <v>0</v>
      </c>
      <c r="K6178">
        <v>0</v>
      </c>
      <c r="L6178">
        <v>0</v>
      </c>
      <c r="M6178">
        <v>71</v>
      </c>
      <c r="N6178">
        <v>5966.16</v>
      </c>
      <c r="O6178">
        <v>84.03</v>
      </c>
    </row>
    <row r="6179" spans="1:15" x14ac:dyDescent="0.35">
      <c r="A6179" t="s">
        <v>6747</v>
      </c>
      <c r="B6179" t="s">
        <v>6748</v>
      </c>
      <c r="C6179" t="s">
        <v>898</v>
      </c>
      <c r="D6179" t="s">
        <v>323</v>
      </c>
      <c r="E6179" t="s">
        <v>308</v>
      </c>
      <c r="F6179" t="s">
        <v>6774</v>
      </c>
      <c r="G6179">
        <v>0</v>
      </c>
      <c r="H6179">
        <v>0</v>
      </c>
      <c r="I6179">
        <v>0</v>
      </c>
      <c r="J6179">
        <v>0</v>
      </c>
      <c r="K6179">
        <v>0</v>
      </c>
      <c r="L6179">
        <v>0</v>
      </c>
      <c r="M6179">
        <v>0</v>
      </c>
      <c r="N6179">
        <v>0</v>
      </c>
      <c r="O6179">
        <v>0</v>
      </c>
    </row>
    <row r="6180" spans="1:15" x14ac:dyDescent="0.35">
      <c r="A6180" t="s">
        <v>6747</v>
      </c>
      <c r="B6180" t="s">
        <v>6748</v>
      </c>
      <c r="C6180" t="s">
        <v>898</v>
      </c>
      <c r="D6180" t="s">
        <v>323</v>
      </c>
      <c r="E6180" t="s">
        <v>310</v>
      </c>
      <c r="F6180" t="s">
        <v>6775</v>
      </c>
      <c r="G6180">
        <v>5137</v>
      </c>
      <c r="H6180">
        <v>526375.42999999993</v>
      </c>
      <c r="I6180">
        <v>102.47</v>
      </c>
      <c r="J6180">
        <v>0</v>
      </c>
      <c r="K6180">
        <v>0</v>
      </c>
      <c r="L6180">
        <v>0</v>
      </c>
      <c r="M6180">
        <v>5137</v>
      </c>
      <c r="N6180">
        <v>526375.42999999993</v>
      </c>
      <c r="O6180">
        <v>102.47</v>
      </c>
    </row>
    <row r="6181" spans="1:15" x14ac:dyDescent="0.35">
      <c r="A6181" t="s">
        <v>6747</v>
      </c>
      <c r="B6181" t="s">
        <v>6748</v>
      </c>
      <c r="C6181" t="s">
        <v>898</v>
      </c>
      <c r="D6181" t="s">
        <v>323</v>
      </c>
      <c r="E6181" t="s">
        <v>312</v>
      </c>
      <c r="F6181" t="s">
        <v>6776</v>
      </c>
      <c r="G6181">
        <v>5137</v>
      </c>
      <c r="H6181">
        <v>526375.42999999993</v>
      </c>
      <c r="I6181">
        <v>102.47</v>
      </c>
      <c r="J6181">
        <v>0</v>
      </c>
      <c r="K6181">
        <v>0</v>
      </c>
      <c r="L6181">
        <v>0</v>
      </c>
      <c r="M6181">
        <v>5137</v>
      </c>
      <c r="N6181">
        <v>526375.42999999993</v>
      </c>
      <c r="O6181">
        <v>102.47</v>
      </c>
    </row>
    <row r="6182" spans="1:15" x14ac:dyDescent="0.35">
      <c r="A6182" t="s">
        <v>6747</v>
      </c>
      <c r="B6182" t="s">
        <v>6748</v>
      </c>
      <c r="C6182" t="s">
        <v>898</v>
      </c>
      <c r="D6182" t="s">
        <v>334</v>
      </c>
      <c r="E6182" t="s">
        <v>312</v>
      </c>
      <c r="F6182" t="s">
        <v>6777</v>
      </c>
      <c r="G6182">
        <v>7076</v>
      </c>
      <c r="H6182">
        <v>723332.19000000006</v>
      </c>
      <c r="I6182">
        <v>105.81</v>
      </c>
      <c r="J6182">
        <v>5</v>
      </c>
      <c r="K6182">
        <v>666.24</v>
      </c>
      <c r="L6182">
        <v>133.25</v>
      </c>
      <c r="M6182">
        <v>7081</v>
      </c>
      <c r="N6182">
        <v>723998.43</v>
      </c>
      <c r="O6182">
        <v>105.83</v>
      </c>
    </row>
    <row r="6183" spans="1:15" x14ac:dyDescent="0.35">
      <c r="A6183" t="s">
        <v>6747</v>
      </c>
      <c r="B6183" t="s">
        <v>6748</v>
      </c>
      <c r="C6183" t="s">
        <v>898</v>
      </c>
      <c r="D6183" t="s">
        <v>334</v>
      </c>
      <c r="E6183" t="s">
        <v>308</v>
      </c>
      <c r="F6183" t="s">
        <v>6778</v>
      </c>
      <c r="G6183">
        <v>0</v>
      </c>
      <c r="H6183">
        <v>0</v>
      </c>
      <c r="I6183">
        <v>0</v>
      </c>
      <c r="J6183">
        <v>0</v>
      </c>
      <c r="K6183">
        <v>0</v>
      </c>
      <c r="L6183">
        <v>0</v>
      </c>
      <c r="M6183">
        <v>0</v>
      </c>
      <c r="N6183">
        <v>0</v>
      </c>
      <c r="O6183">
        <v>0</v>
      </c>
    </row>
    <row r="6184" spans="1:15" x14ac:dyDescent="0.35">
      <c r="A6184" t="s">
        <v>6747</v>
      </c>
      <c r="B6184" t="s">
        <v>6748</v>
      </c>
      <c r="C6184" t="s">
        <v>898</v>
      </c>
      <c r="D6184" t="s">
        <v>337</v>
      </c>
      <c r="E6184" t="s">
        <v>337</v>
      </c>
      <c r="F6184" t="s">
        <v>6779</v>
      </c>
      <c r="G6184">
        <v>766</v>
      </c>
      <c r="J6184">
        <v>0</v>
      </c>
      <c r="M6184">
        <v>766</v>
      </c>
    </row>
    <row r="6185" spans="1:15" x14ac:dyDescent="0.35">
      <c r="A6185" t="s">
        <v>6747</v>
      </c>
      <c r="B6185" t="s">
        <v>6748</v>
      </c>
      <c r="C6185" t="s">
        <v>898</v>
      </c>
      <c r="D6185" t="s">
        <v>339</v>
      </c>
      <c r="E6185" t="s">
        <v>294</v>
      </c>
      <c r="F6185" t="s">
        <v>6780</v>
      </c>
      <c r="G6185">
        <v>455</v>
      </c>
      <c r="H6185">
        <v>47307.72</v>
      </c>
      <c r="I6185">
        <v>103.97</v>
      </c>
      <c r="J6185">
        <v>0</v>
      </c>
      <c r="K6185">
        <v>0</v>
      </c>
      <c r="L6185">
        <v>0</v>
      </c>
      <c r="M6185">
        <v>455</v>
      </c>
      <c r="N6185">
        <v>47307.72</v>
      </c>
      <c r="O6185">
        <v>103.97</v>
      </c>
    </row>
    <row r="6186" spans="1:15" x14ac:dyDescent="0.35">
      <c r="A6186" t="s">
        <v>6747</v>
      </c>
      <c r="B6186" t="s">
        <v>6748</v>
      </c>
      <c r="C6186" t="s">
        <v>898</v>
      </c>
      <c r="D6186" t="s">
        <v>339</v>
      </c>
      <c r="E6186" t="s">
        <v>296</v>
      </c>
      <c r="F6186" t="s">
        <v>6781</v>
      </c>
      <c r="G6186">
        <v>127</v>
      </c>
      <c r="H6186">
        <v>14146.91</v>
      </c>
      <c r="I6186">
        <v>111.39</v>
      </c>
      <c r="J6186">
        <v>0</v>
      </c>
      <c r="K6186">
        <v>0</v>
      </c>
      <c r="L6186">
        <v>0</v>
      </c>
      <c r="M6186">
        <v>127</v>
      </c>
      <c r="N6186">
        <v>14146.91</v>
      </c>
      <c r="O6186">
        <v>111.39</v>
      </c>
    </row>
    <row r="6187" spans="1:15" x14ac:dyDescent="0.35">
      <c r="A6187" t="s">
        <v>6747</v>
      </c>
      <c r="B6187" t="s">
        <v>6748</v>
      </c>
      <c r="C6187" t="s">
        <v>898</v>
      </c>
      <c r="D6187" t="s">
        <v>339</v>
      </c>
      <c r="E6187" t="s">
        <v>298</v>
      </c>
      <c r="F6187" t="s">
        <v>6782</v>
      </c>
      <c r="G6187">
        <v>4</v>
      </c>
      <c r="H6187">
        <v>469.76</v>
      </c>
      <c r="I6187">
        <v>117.44</v>
      </c>
      <c r="J6187">
        <v>0</v>
      </c>
      <c r="K6187">
        <v>0</v>
      </c>
      <c r="L6187">
        <v>0</v>
      </c>
      <c r="M6187">
        <v>4</v>
      </c>
      <c r="N6187">
        <v>469.76</v>
      </c>
      <c r="O6187">
        <v>117.44</v>
      </c>
    </row>
    <row r="6188" spans="1:15" x14ac:dyDescent="0.35">
      <c r="A6188" t="s">
        <v>6747</v>
      </c>
      <c r="B6188" t="s">
        <v>6748</v>
      </c>
      <c r="C6188" t="s">
        <v>898</v>
      </c>
      <c r="D6188" t="s">
        <v>339</v>
      </c>
      <c r="E6188" t="s">
        <v>300</v>
      </c>
      <c r="F6188" t="s">
        <v>6783</v>
      </c>
      <c r="G6188">
        <v>0</v>
      </c>
      <c r="H6188">
        <v>0</v>
      </c>
      <c r="I6188">
        <v>0</v>
      </c>
      <c r="J6188">
        <v>0</v>
      </c>
      <c r="K6188">
        <v>0</v>
      </c>
      <c r="L6188">
        <v>0</v>
      </c>
      <c r="M6188">
        <v>0</v>
      </c>
      <c r="N6188">
        <v>0</v>
      </c>
      <c r="O6188">
        <v>0</v>
      </c>
    </row>
    <row r="6189" spans="1:15" x14ac:dyDescent="0.35">
      <c r="A6189" t="s">
        <v>6747</v>
      </c>
      <c r="B6189" t="s">
        <v>6748</v>
      </c>
      <c r="C6189" t="s">
        <v>898</v>
      </c>
      <c r="D6189" t="s">
        <v>339</v>
      </c>
      <c r="E6189" t="s">
        <v>306</v>
      </c>
      <c r="F6189" t="s">
        <v>6784</v>
      </c>
      <c r="G6189">
        <v>82</v>
      </c>
      <c r="H6189">
        <v>6836.21</v>
      </c>
      <c r="I6189">
        <v>83.37</v>
      </c>
      <c r="J6189">
        <v>0</v>
      </c>
      <c r="K6189">
        <v>0</v>
      </c>
      <c r="L6189">
        <v>0</v>
      </c>
      <c r="M6189">
        <v>82</v>
      </c>
      <c r="N6189">
        <v>6836.21</v>
      </c>
      <c r="O6189">
        <v>83.37</v>
      </c>
    </row>
    <row r="6190" spans="1:15" x14ac:dyDescent="0.35">
      <c r="A6190" t="s">
        <v>6747</v>
      </c>
      <c r="B6190" t="s">
        <v>6748</v>
      </c>
      <c r="C6190" t="s">
        <v>898</v>
      </c>
      <c r="D6190" t="s">
        <v>339</v>
      </c>
      <c r="E6190" t="s">
        <v>308</v>
      </c>
      <c r="F6190" t="s">
        <v>6785</v>
      </c>
      <c r="G6190">
        <v>59</v>
      </c>
      <c r="H6190">
        <v>8211.5400000000009</v>
      </c>
      <c r="I6190">
        <v>139.18</v>
      </c>
      <c r="J6190">
        <v>0</v>
      </c>
      <c r="K6190">
        <v>0</v>
      </c>
      <c r="L6190">
        <v>0</v>
      </c>
      <c r="M6190">
        <v>59</v>
      </c>
      <c r="N6190">
        <v>8211.5400000000009</v>
      </c>
      <c r="O6190">
        <v>139.18</v>
      </c>
    </row>
    <row r="6191" spans="1:15" x14ac:dyDescent="0.35">
      <c r="A6191" t="s">
        <v>6747</v>
      </c>
      <c r="B6191" t="s">
        <v>6748</v>
      </c>
      <c r="C6191" t="s">
        <v>898</v>
      </c>
      <c r="D6191" t="s">
        <v>339</v>
      </c>
      <c r="E6191" t="s">
        <v>310</v>
      </c>
      <c r="F6191" t="s">
        <v>6786</v>
      </c>
      <c r="G6191">
        <v>727</v>
      </c>
      <c r="H6191">
        <v>76972.140000000014</v>
      </c>
      <c r="I6191">
        <v>105.88</v>
      </c>
      <c r="J6191">
        <v>0</v>
      </c>
      <c r="K6191">
        <v>0</v>
      </c>
      <c r="L6191">
        <v>0</v>
      </c>
      <c r="M6191">
        <v>727</v>
      </c>
      <c r="N6191">
        <v>76972.140000000014</v>
      </c>
      <c r="O6191">
        <v>105.88</v>
      </c>
    </row>
    <row r="6192" spans="1:15" x14ac:dyDescent="0.35">
      <c r="A6192" t="s">
        <v>6747</v>
      </c>
      <c r="B6192" t="s">
        <v>6748</v>
      </c>
      <c r="C6192" t="s">
        <v>898</v>
      </c>
      <c r="D6192" t="s">
        <v>339</v>
      </c>
      <c r="E6192" t="s">
        <v>312</v>
      </c>
      <c r="F6192" t="s">
        <v>6787</v>
      </c>
      <c r="G6192">
        <v>668</v>
      </c>
      <c r="H6192">
        <v>68760.600000000006</v>
      </c>
      <c r="I6192">
        <v>102.94</v>
      </c>
      <c r="J6192">
        <v>0</v>
      </c>
      <c r="K6192">
        <v>0</v>
      </c>
      <c r="L6192">
        <v>0</v>
      </c>
      <c r="M6192">
        <v>668</v>
      </c>
      <c r="N6192">
        <v>68760.600000000006</v>
      </c>
      <c r="O6192">
        <v>102.94</v>
      </c>
    </row>
    <row r="6193" spans="1:15" x14ac:dyDescent="0.35">
      <c r="A6193" t="s">
        <v>6747</v>
      </c>
      <c r="B6193" t="s">
        <v>6748</v>
      </c>
      <c r="C6193" t="s">
        <v>898</v>
      </c>
      <c r="D6193" t="s">
        <v>348</v>
      </c>
      <c r="E6193" t="s">
        <v>349</v>
      </c>
      <c r="F6193" t="s">
        <v>6788</v>
      </c>
      <c r="G6193">
        <v>765</v>
      </c>
      <c r="H6193">
        <v>82577.200000000012</v>
      </c>
      <c r="I6193">
        <v>108.8</v>
      </c>
      <c r="J6193">
        <v>0</v>
      </c>
      <c r="K6193">
        <v>0</v>
      </c>
      <c r="L6193">
        <v>0</v>
      </c>
      <c r="M6193">
        <v>765</v>
      </c>
      <c r="N6193">
        <v>82577.200000000012</v>
      </c>
      <c r="O6193">
        <v>108.8</v>
      </c>
    </row>
    <row r="6194" spans="1:15" x14ac:dyDescent="0.35">
      <c r="A6194" t="s">
        <v>6789</v>
      </c>
      <c r="B6194" t="s">
        <v>6790</v>
      </c>
      <c r="C6194" t="s">
        <v>898</v>
      </c>
      <c r="D6194" t="s">
        <v>293</v>
      </c>
      <c r="E6194" t="s">
        <v>294</v>
      </c>
      <c r="F6194" t="s">
        <v>6791</v>
      </c>
      <c r="G6194">
        <v>34</v>
      </c>
      <c r="H6194">
        <v>3554.07</v>
      </c>
      <c r="I6194">
        <v>104.53</v>
      </c>
      <c r="J6194">
        <v>69</v>
      </c>
      <c r="K6194">
        <v>9058.32</v>
      </c>
      <c r="L6194">
        <v>131.28</v>
      </c>
      <c r="M6194">
        <v>103</v>
      </c>
      <c r="N6194">
        <v>12612.39</v>
      </c>
      <c r="O6194">
        <v>122.45</v>
      </c>
    </row>
    <row r="6195" spans="1:15" x14ac:dyDescent="0.35">
      <c r="A6195" t="s">
        <v>6789</v>
      </c>
      <c r="B6195" t="s">
        <v>6790</v>
      </c>
      <c r="C6195" t="s">
        <v>898</v>
      </c>
      <c r="D6195" t="s">
        <v>293</v>
      </c>
      <c r="E6195" t="s">
        <v>296</v>
      </c>
      <c r="F6195" t="s">
        <v>6792</v>
      </c>
      <c r="G6195">
        <v>146</v>
      </c>
      <c r="H6195">
        <v>18298.789999999997</v>
      </c>
      <c r="I6195">
        <v>125.33</v>
      </c>
      <c r="J6195">
        <v>154</v>
      </c>
      <c r="K6195">
        <v>20697.600000000002</v>
      </c>
      <c r="L6195">
        <v>134.4</v>
      </c>
      <c r="M6195">
        <v>300</v>
      </c>
      <c r="N6195">
        <v>38996.39</v>
      </c>
      <c r="O6195">
        <v>129.99</v>
      </c>
    </row>
    <row r="6196" spans="1:15" x14ac:dyDescent="0.35">
      <c r="A6196" t="s">
        <v>6789</v>
      </c>
      <c r="B6196" t="s">
        <v>6790</v>
      </c>
      <c r="C6196" t="s">
        <v>898</v>
      </c>
      <c r="D6196" t="s">
        <v>293</v>
      </c>
      <c r="E6196" t="s">
        <v>298</v>
      </c>
      <c r="F6196" t="s">
        <v>6793</v>
      </c>
      <c r="G6196">
        <v>56</v>
      </c>
      <c r="H6196">
        <v>7831.0999999999995</v>
      </c>
      <c r="I6196">
        <v>139.84</v>
      </c>
      <c r="J6196">
        <v>128</v>
      </c>
      <c r="K6196">
        <v>18508.8</v>
      </c>
      <c r="L6196">
        <v>144.6</v>
      </c>
      <c r="M6196">
        <v>184</v>
      </c>
      <c r="N6196">
        <v>26339.899999999998</v>
      </c>
      <c r="O6196">
        <v>143.15</v>
      </c>
    </row>
    <row r="6197" spans="1:15" x14ac:dyDescent="0.35">
      <c r="A6197" t="s">
        <v>6789</v>
      </c>
      <c r="B6197" t="s">
        <v>6790</v>
      </c>
      <c r="C6197" t="s">
        <v>898</v>
      </c>
      <c r="D6197" t="s">
        <v>293</v>
      </c>
      <c r="E6197" t="s">
        <v>300</v>
      </c>
      <c r="F6197" t="s">
        <v>6794</v>
      </c>
      <c r="G6197">
        <v>2</v>
      </c>
      <c r="H6197">
        <v>342.78</v>
      </c>
      <c r="I6197">
        <v>171.39</v>
      </c>
      <c r="J6197">
        <v>38</v>
      </c>
      <c r="K6197">
        <v>6276.84</v>
      </c>
      <c r="L6197">
        <v>165.18</v>
      </c>
      <c r="M6197">
        <v>40</v>
      </c>
      <c r="N6197">
        <v>6619.62</v>
      </c>
      <c r="O6197">
        <v>165.49</v>
      </c>
    </row>
    <row r="6198" spans="1:15" x14ac:dyDescent="0.35">
      <c r="A6198" t="s">
        <v>6789</v>
      </c>
      <c r="B6198" t="s">
        <v>6790</v>
      </c>
      <c r="C6198" t="s">
        <v>898</v>
      </c>
      <c r="D6198" t="s">
        <v>293</v>
      </c>
      <c r="E6198" t="s">
        <v>302</v>
      </c>
      <c r="F6198" t="s">
        <v>6795</v>
      </c>
      <c r="G6198">
        <v>0</v>
      </c>
      <c r="H6198">
        <v>0</v>
      </c>
      <c r="I6198">
        <v>0</v>
      </c>
      <c r="J6198">
        <v>1</v>
      </c>
      <c r="K6198">
        <v>228.83</v>
      </c>
      <c r="L6198">
        <v>228.83</v>
      </c>
      <c r="M6198">
        <v>1</v>
      </c>
      <c r="N6198">
        <v>228.83</v>
      </c>
      <c r="O6198">
        <v>228.83</v>
      </c>
    </row>
    <row r="6199" spans="1:15" x14ac:dyDescent="0.35">
      <c r="A6199" t="s">
        <v>6789</v>
      </c>
      <c r="B6199" t="s">
        <v>6790</v>
      </c>
      <c r="C6199" t="s">
        <v>898</v>
      </c>
      <c r="D6199" t="s">
        <v>293</v>
      </c>
      <c r="E6199" t="s">
        <v>304</v>
      </c>
      <c r="F6199" t="s">
        <v>6796</v>
      </c>
      <c r="G6199">
        <v>0</v>
      </c>
      <c r="H6199">
        <v>0</v>
      </c>
      <c r="I6199">
        <v>0</v>
      </c>
      <c r="J6199">
        <v>2</v>
      </c>
      <c r="K6199">
        <v>554.26</v>
      </c>
      <c r="L6199">
        <v>277.13</v>
      </c>
      <c r="M6199">
        <v>2</v>
      </c>
      <c r="N6199">
        <v>554.26</v>
      </c>
      <c r="O6199">
        <v>277.13</v>
      </c>
    </row>
    <row r="6200" spans="1:15" x14ac:dyDescent="0.35">
      <c r="A6200" t="s">
        <v>6789</v>
      </c>
      <c r="B6200" t="s">
        <v>6790</v>
      </c>
      <c r="C6200" t="s">
        <v>898</v>
      </c>
      <c r="D6200" t="s">
        <v>293</v>
      </c>
      <c r="E6200" t="s">
        <v>306</v>
      </c>
      <c r="F6200" t="s">
        <v>6797</v>
      </c>
      <c r="G6200">
        <v>0</v>
      </c>
      <c r="H6200">
        <v>0</v>
      </c>
      <c r="I6200">
        <v>0</v>
      </c>
      <c r="J6200">
        <v>0</v>
      </c>
      <c r="K6200">
        <v>0</v>
      </c>
      <c r="L6200">
        <v>0</v>
      </c>
      <c r="M6200">
        <v>0</v>
      </c>
      <c r="N6200">
        <v>0</v>
      </c>
      <c r="O6200">
        <v>0</v>
      </c>
    </row>
    <row r="6201" spans="1:15" x14ac:dyDescent="0.35">
      <c r="A6201" t="s">
        <v>6789</v>
      </c>
      <c r="B6201" t="s">
        <v>6790</v>
      </c>
      <c r="C6201" t="s">
        <v>898</v>
      </c>
      <c r="D6201" t="s">
        <v>293</v>
      </c>
      <c r="E6201" t="s">
        <v>308</v>
      </c>
      <c r="F6201" t="s">
        <v>6798</v>
      </c>
      <c r="G6201">
        <v>0</v>
      </c>
      <c r="H6201">
        <v>0</v>
      </c>
      <c r="I6201">
        <v>0</v>
      </c>
      <c r="J6201">
        <v>0</v>
      </c>
      <c r="K6201">
        <v>0</v>
      </c>
      <c r="L6201">
        <v>0</v>
      </c>
      <c r="M6201">
        <v>0</v>
      </c>
      <c r="N6201">
        <v>0</v>
      </c>
      <c r="O6201">
        <v>0</v>
      </c>
    </row>
    <row r="6202" spans="1:15" x14ac:dyDescent="0.35">
      <c r="A6202" t="s">
        <v>6789</v>
      </c>
      <c r="B6202" t="s">
        <v>6790</v>
      </c>
      <c r="C6202" t="s">
        <v>898</v>
      </c>
      <c r="D6202" t="s">
        <v>293</v>
      </c>
      <c r="E6202" t="s">
        <v>310</v>
      </c>
      <c r="F6202" t="s">
        <v>6799</v>
      </c>
      <c r="G6202">
        <v>238</v>
      </c>
      <c r="H6202">
        <v>30026.739999999994</v>
      </c>
      <c r="I6202">
        <v>126.16</v>
      </c>
      <c r="J6202">
        <v>392</v>
      </c>
      <c r="K6202">
        <v>55324.65</v>
      </c>
      <c r="L6202">
        <v>141.13</v>
      </c>
      <c r="M6202">
        <v>630</v>
      </c>
      <c r="N6202">
        <v>85351.39</v>
      </c>
      <c r="O6202">
        <v>135.47999999999999</v>
      </c>
    </row>
    <row r="6203" spans="1:15" x14ac:dyDescent="0.35">
      <c r="A6203" t="s">
        <v>6789</v>
      </c>
      <c r="B6203" t="s">
        <v>6790</v>
      </c>
      <c r="C6203" t="s">
        <v>898</v>
      </c>
      <c r="D6203" t="s">
        <v>293</v>
      </c>
      <c r="E6203" t="s">
        <v>312</v>
      </c>
      <c r="F6203" t="s">
        <v>6800</v>
      </c>
      <c r="G6203">
        <v>238</v>
      </c>
      <c r="H6203">
        <v>30026.739999999994</v>
      </c>
      <c r="I6203">
        <v>126.16</v>
      </c>
      <c r="J6203">
        <v>392</v>
      </c>
      <c r="K6203">
        <v>55324.65</v>
      </c>
      <c r="L6203">
        <v>141.13</v>
      </c>
      <c r="M6203">
        <v>630</v>
      </c>
      <c r="N6203">
        <v>85351.39</v>
      </c>
      <c r="O6203">
        <v>135.47999999999999</v>
      </c>
    </row>
    <row r="6204" spans="1:15" x14ac:dyDescent="0.35">
      <c r="A6204" t="s">
        <v>6789</v>
      </c>
      <c r="B6204" t="s">
        <v>6790</v>
      </c>
      <c r="C6204" t="s">
        <v>898</v>
      </c>
      <c r="D6204" t="s">
        <v>314</v>
      </c>
      <c r="E6204" t="s">
        <v>294</v>
      </c>
      <c r="F6204" t="s">
        <v>6801</v>
      </c>
      <c r="G6204">
        <v>31</v>
      </c>
      <c r="H6204">
        <v>11762.64</v>
      </c>
      <c r="I6204">
        <v>379.44</v>
      </c>
      <c r="J6204">
        <v>50</v>
      </c>
      <c r="K6204">
        <v>12385</v>
      </c>
      <c r="L6204">
        <v>247.7</v>
      </c>
      <c r="M6204">
        <v>81</v>
      </c>
      <c r="N6204">
        <v>24147.64</v>
      </c>
      <c r="O6204">
        <v>298.12</v>
      </c>
    </row>
    <row r="6205" spans="1:15" x14ac:dyDescent="0.35">
      <c r="A6205" t="s">
        <v>6789</v>
      </c>
      <c r="B6205" t="s">
        <v>6790</v>
      </c>
      <c r="C6205" t="s">
        <v>898</v>
      </c>
      <c r="D6205" t="s">
        <v>314</v>
      </c>
      <c r="E6205" t="s">
        <v>296</v>
      </c>
      <c r="F6205" t="s">
        <v>6802</v>
      </c>
      <c r="G6205">
        <v>0</v>
      </c>
      <c r="H6205">
        <v>0</v>
      </c>
      <c r="I6205">
        <v>0</v>
      </c>
      <c r="J6205">
        <v>20</v>
      </c>
      <c r="K6205">
        <v>5277.7999999999993</v>
      </c>
      <c r="L6205">
        <v>263.89</v>
      </c>
      <c r="M6205">
        <v>20</v>
      </c>
      <c r="N6205">
        <v>5277.7999999999993</v>
      </c>
      <c r="O6205">
        <v>263.89</v>
      </c>
    </row>
    <row r="6206" spans="1:15" x14ac:dyDescent="0.35">
      <c r="A6206" t="s">
        <v>6789</v>
      </c>
      <c r="B6206" t="s">
        <v>6790</v>
      </c>
      <c r="C6206" t="s">
        <v>898</v>
      </c>
      <c r="D6206" t="s">
        <v>314</v>
      </c>
      <c r="E6206" t="s">
        <v>298</v>
      </c>
      <c r="F6206" t="s">
        <v>6803</v>
      </c>
      <c r="G6206">
        <v>0</v>
      </c>
      <c r="H6206">
        <v>0</v>
      </c>
      <c r="I6206">
        <v>0</v>
      </c>
      <c r="J6206">
        <v>0</v>
      </c>
      <c r="K6206">
        <v>0</v>
      </c>
      <c r="L6206">
        <v>0</v>
      </c>
      <c r="M6206">
        <v>0</v>
      </c>
      <c r="N6206">
        <v>0</v>
      </c>
      <c r="O6206">
        <v>0</v>
      </c>
    </row>
    <row r="6207" spans="1:15" x14ac:dyDescent="0.35">
      <c r="A6207" t="s">
        <v>6789</v>
      </c>
      <c r="B6207" t="s">
        <v>6790</v>
      </c>
      <c r="C6207" t="s">
        <v>898</v>
      </c>
      <c r="D6207" t="s">
        <v>314</v>
      </c>
      <c r="E6207" t="s">
        <v>300</v>
      </c>
      <c r="F6207" t="s">
        <v>6804</v>
      </c>
      <c r="G6207">
        <v>0</v>
      </c>
      <c r="H6207">
        <v>0</v>
      </c>
      <c r="I6207">
        <v>0</v>
      </c>
      <c r="J6207">
        <v>0</v>
      </c>
      <c r="K6207">
        <v>0</v>
      </c>
      <c r="L6207">
        <v>0</v>
      </c>
      <c r="M6207">
        <v>0</v>
      </c>
      <c r="N6207">
        <v>0</v>
      </c>
      <c r="O6207">
        <v>0</v>
      </c>
    </row>
    <row r="6208" spans="1:15" x14ac:dyDescent="0.35">
      <c r="A6208" t="s">
        <v>6789</v>
      </c>
      <c r="B6208" t="s">
        <v>6790</v>
      </c>
      <c r="C6208" t="s">
        <v>898</v>
      </c>
      <c r="D6208" t="s">
        <v>314</v>
      </c>
      <c r="E6208" t="s">
        <v>306</v>
      </c>
      <c r="F6208" t="s">
        <v>6805</v>
      </c>
      <c r="G6208">
        <v>0</v>
      </c>
      <c r="H6208">
        <v>0</v>
      </c>
      <c r="I6208">
        <v>0</v>
      </c>
      <c r="J6208">
        <v>0</v>
      </c>
      <c r="K6208">
        <v>0</v>
      </c>
      <c r="L6208">
        <v>0</v>
      </c>
      <c r="M6208">
        <v>0</v>
      </c>
      <c r="N6208">
        <v>0</v>
      </c>
      <c r="O6208">
        <v>0</v>
      </c>
    </row>
    <row r="6209" spans="1:15" x14ac:dyDescent="0.35">
      <c r="A6209" t="s">
        <v>6789</v>
      </c>
      <c r="B6209" t="s">
        <v>6790</v>
      </c>
      <c r="C6209" t="s">
        <v>898</v>
      </c>
      <c r="D6209" t="s">
        <v>314</v>
      </c>
      <c r="E6209" t="s">
        <v>308</v>
      </c>
      <c r="F6209" t="s">
        <v>6806</v>
      </c>
      <c r="G6209">
        <v>0</v>
      </c>
      <c r="H6209">
        <v>0</v>
      </c>
      <c r="I6209">
        <v>0</v>
      </c>
      <c r="J6209">
        <v>0</v>
      </c>
      <c r="K6209">
        <v>0</v>
      </c>
      <c r="L6209">
        <v>0</v>
      </c>
      <c r="M6209">
        <v>0</v>
      </c>
      <c r="N6209">
        <v>0</v>
      </c>
      <c r="O6209">
        <v>0</v>
      </c>
    </row>
    <row r="6210" spans="1:15" x14ac:dyDescent="0.35">
      <c r="A6210" t="s">
        <v>6789</v>
      </c>
      <c r="B6210" t="s">
        <v>6790</v>
      </c>
      <c r="C6210" t="s">
        <v>898</v>
      </c>
      <c r="D6210" t="s">
        <v>314</v>
      </c>
      <c r="E6210" t="s">
        <v>312</v>
      </c>
      <c r="F6210" t="s">
        <v>6807</v>
      </c>
      <c r="G6210">
        <v>31</v>
      </c>
      <c r="H6210">
        <v>11762.64</v>
      </c>
      <c r="I6210">
        <v>379.44</v>
      </c>
      <c r="J6210">
        <v>70</v>
      </c>
      <c r="K6210">
        <v>17662.8</v>
      </c>
      <c r="L6210">
        <v>252.33</v>
      </c>
      <c r="M6210">
        <v>101</v>
      </c>
      <c r="N6210">
        <v>29425.439999999999</v>
      </c>
      <c r="O6210">
        <v>291.33999999999997</v>
      </c>
    </row>
    <row r="6211" spans="1:15" x14ac:dyDescent="0.35">
      <c r="A6211" t="s">
        <v>6789</v>
      </c>
      <c r="B6211" t="s">
        <v>6790</v>
      </c>
      <c r="C6211" t="s">
        <v>898</v>
      </c>
      <c r="D6211" t="s">
        <v>314</v>
      </c>
      <c r="E6211" t="s">
        <v>310</v>
      </c>
      <c r="F6211" t="s">
        <v>6808</v>
      </c>
      <c r="G6211">
        <v>31</v>
      </c>
      <c r="H6211">
        <v>11762.64</v>
      </c>
      <c r="I6211">
        <v>379.44</v>
      </c>
      <c r="J6211">
        <v>70</v>
      </c>
      <c r="K6211">
        <v>17662.8</v>
      </c>
      <c r="L6211">
        <v>252.33</v>
      </c>
      <c r="M6211">
        <v>101</v>
      </c>
      <c r="N6211">
        <v>29425.439999999999</v>
      </c>
      <c r="O6211">
        <v>291.33999999999997</v>
      </c>
    </row>
    <row r="6212" spans="1:15" x14ac:dyDescent="0.35">
      <c r="A6212" t="s">
        <v>6789</v>
      </c>
      <c r="B6212" t="s">
        <v>6790</v>
      </c>
      <c r="C6212" t="s">
        <v>898</v>
      </c>
      <c r="D6212" t="s">
        <v>323</v>
      </c>
      <c r="E6212" t="s">
        <v>294</v>
      </c>
      <c r="F6212" t="s">
        <v>6809</v>
      </c>
      <c r="G6212">
        <v>344</v>
      </c>
      <c r="H6212">
        <v>29743.980000000003</v>
      </c>
      <c r="I6212">
        <v>86.47</v>
      </c>
      <c r="J6212">
        <v>2659</v>
      </c>
      <c r="K6212">
        <v>200488.6</v>
      </c>
      <c r="L6212">
        <v>75.400000000000006</v>
      </c>
      <c r="M6212">
        <v>3003</v>
      </c>
      <c r="N6212">
        <v>230232.58000000002</v>
      </c>
      <c r="O6212">
        <v>76.67</v>
      </c>
    </row>
    <row r="6213" spans="1:15" x14ac:dyDescent="0.35">
      <c r="A6213" t="s">
        <v>6789</v>
      </c>
      <c r="B6213" t="s">
        <v>6790</v>
      </c>
      <c r="C6213" t="s">
        <v>898</v>
      </c>
      <c r="D6213" t="s">
        <v>323</v>
      </c>
      <c r="E6213" t="s">
        <v>296</v>
      </c>
      <c r="F6213" t="s">
        <v>6810</v>
      </c>
      <c r="G6213">
        <v>434</v>
      </c>
      <c r="H6213">
        <v>45048.719999999994</v>
      </c>
      <c r="I6213">
        <v>103.8</v>
      </c>
      <c r="J6213">
        <v>2573</v>
      </c>
      <c r="K6213">
        <v>220506.1</v>
      </c>
      <c r="L6213">
        <v>85.7</v>
      </c>
      <c r="M6213">
        <v>3007</v>
      </c>
      <c r="N6213">
        <v>265554.82</v>
      </c>
      <c r="O6213">
        <v>88.31</v>
      </c>
    </row>
    <row r="6214" spans="1:15" x14ac:dyDescent="0.35">
      <c r="A6214" t="s">
        <v>6789</v>
      </c>
      <c r="B6214" t="s">
        <v>6790</v>
      </c>
      <c r="C6214" t="s">
        <v>898</v>
      </c>
      <c r="D6214" t="s">
        <v>323</v>
      </c>
      <c r="E6214" t="s">
        <v>298</v>
      </c>
      <c r="F6214" t="s">
        <v>6811</v>
      </c>
      <c r="G6214">
        <v>209</v>
      </c>
      <c r="H6214">
        <v>23660.610000000004</v>
      </c>
      <c r="I6214">
        <v>113.21</v>
      </c>
      <c r="J6214">
        <v>1567</v>
      </c>
      <c r="K6214">
        <v>148676.96</v>
      </c>
      <c r="L6214">
        <v>94.88</v>
      </c>
      <c r="M6214">
        <v>1776</v>
      </c>
      <c r="N6214">
        <v>172337.57</v>
      </c>
      <c r="O6214">
        <v>97.04</v>
      </c>
    </row>
    <row r="6215" spans="1:15" x14ac:dyDescent="0.35">
      <c r="A6215" t="s">
        <v>6789</v>
      </c>
      <c r="B6215" t="s">
        <v>6790</v>
      </c>
      <c r="C6215" t="s">
        <v>898</v>
      </c>
      <c r="D6215" t="s">
        <v>323</v>
      </c>
      <c r="E6215" t="s">
        <v>300</v>
      </c>
      <c r="F6215" t="s">
        <v>6812</v>
      </c>
      <c r="G6215">
        <v>10</v>
      </c>
      <c r="H6215">
        <v>1284.52</v>
      </c>
      <c r="I6215">
        <v>128.44999999999999</v>
      </c>
      <c r="J6215">
        <v>114</v>
      </c>
      <c r="K6215">
        <v>11519.699999999999</v>
      </c>
      <c r="L6215">
        <v>101.05</v>
      </c>
      <c r="M6215">
        <v>124</v>
      </c>
      <c r="N6215">
        <v>12804.22</v>
      </c>
      <c r="O6215">
        <v>103.26</v>
      </c>
    </row>
    <row r="6216" spans="1:15" x14ac:dyDescent="0.35">
      <c r="A6216" t="s">
        <v>6789</v>
      </c>
      <c r="B6216" t="s">
        <v>6790</v>
      </c>
      <c r="C6216" t="s">
        <v>898</v>
      </c>
      <c r="D6216" t="s">
        <v>323</v>
      </c>
      <c r="E6216" t="s">
        <v>302</v>
      </c>
      <c r="F6216" t="s">
        <v>6813</v>
      </c>
      <c r="G6216">
        <v>0</v>
      </c>
      <c r="H6216">
        <v>0</v>
      </c>
      <c r="I6216">
        <v>0</v>
      </c>
      <c r="J6216">
        <v>4</v>
      </c>
      <c r="K6216">
        <v>421.16</v>
      </c>
      <c r="L6216">
        <v>105.29</v>
      </c>
      <c r="M6216">
        <v>4</v>
      </c>
      <c r="N6216">
        <v>421.16</v>
      </c>
      <c r="O6216">
        <v>105.29</v>
      </c>
    </row>
    <row r="6217" spans="1:15" x14ac:dyDescent="0.35">
      <c r="A6217" t="s">
        <v>6789</v>
      </c>
      <c r="B6217" t="s">
        <v>6790</v>
      </c>
      <c r="C6217" t="s">
        <v>898</v>
      </c>
      <c r="D6217" t="s">
        <v>323</v>
      </c>
      <c r="E6217" t="s">
        <v>304</v>
      </c>
      <c r="F6217" t="s">
        <v>6814</v>
      </c>
      <c r="G6217">
        <v>0</v>
      </c>
      <c r="H6217">
        <v>0</v>
      </c>
      <c r="I6217">
        <v>0</v>
      </c>
      <c r="J6217">
        <v>7</v>
      </c>
      <c r="K6217">
        <v>807.59</v>
      </c>
      <c r="L6217">
        <v>115.37</v>
      </c>
      <c r="M6217">
        <v>7</v>
      </c>
      <c r="N6217">
        <v>807.59</v>
      </c>
      <c r="O6217">
        <v>115.37</v>
      </c>
    </row>
    <row r="6218" spans="1:15" x14ac:dyDescent="0.35">
      <c r="A6218" t="s">
        <v>6789</v>
      </c>
      <c r="B6218" t="s">
        <v>6790</v>
      </c>
      <c r="C6218" t="s">
        <v>898</v>
      </c>
      <c r="D6218" t="s">
        <v>323</v>
      </c>
      <c r="E6218" t="s">
        <v>306</v>
      </c>
      <c r="F6218" t="s">
        <v>6815</v>
      </c>
      <c r="G6218">
        <v>26</v>
      </c>
      <c r="H6218">
        <v>1964.8199999999997</v>
      </c>
      <c r="I6218">
        <v>75.569999999999993</v>
      </c>
      <c r="J6218">
        <v>0</v>
      </c>
      <c r="K6218">
        <v>0</v>
      </c>
      <c r="L6218">
        <v>0</v>
      </c>
      <c r="M6218">
        <v>26</v>
      </c>
      <c r="N6218">
        <v>1964.8199999999997</v>
      </c>
      <c r="O6218">
        <v>75.569999999999993</v>
      </c>
    </row>
    <row r="6219" spans="1:15" x14ac:dyDescent="0.35">
      <c r="A6219" t="s">
        <v>6789</v>
      </c>
      <c r="B6219" t="s">
        <v>6790</v>
      </c>
      <c r="C6219" t="s">
        <v>898</v>
      </c>
      <c r="D6219" t="s">
        <v>323</v>
      </c>
      <c r="E6219" t="s">
        <v>308</v>
      </c>
      <c r="F6219" t="s">
        <v>6816</v>
      </c>
      <c r="G6219">
        <v>0</v>
      </c>
      <c r="H6219">
        <v>0</v>
      </c>
      <c r="I6219">
        <v>0</v>
      </c>
      <c r="J6219">
        <v>0</v>
      </c>
      <c r="K6219">
        <v>0</v>
      </c>
      <c r="L6219">
        <v>0</v>
      </c>
      <c r="M6219">
        <v>0</v>
      </c>
      <c r="N6219">
        <v>0</v>
      </c>
      <c r="O6219">
        <v>0</v>
      </c>
    </row>
    <row r="6220" spans="1:15" x14ac:dyDescent="0.35">
      <c r="A6220" t="s">
        <v>6789</v>
      </c>
      <c r="B6220" t="s">
        <v>6790</v>
      </c>
      <c r="C6220" t="s">
        <v>898</v>
      </c>
      <c r="D6220" t="s">
        <v>323</v>
      </c>
      <c r="E6220" t="s">
        <v>310</v>
      </c>
      <c r="F6220" t="s">
        <v>6817</v>
      </c>
      <c r="G6220">
        <v>1023</v>
      </c>
      <c r="H6220">
        <v>101702.65</v>
      </c>
      <c r="I6220">
        <v>99.42</v>
      </c>
      <c r="J6220">
        <v>6924</v>
      </c>
      <c r="K6220">
        <v>582420.11</v>
      </c>
      <c r="L6220">
        <v>84.12</v>
      </c>
      <c r="M6220">
        <v>7947</v>
      </c>
      <c r="N6220">
        <v>684122.76</v>
      </c>
      <c r="O6220">
        <v>86.09</v>
      </c>
    </row>
    <row r="6221" spans="1:15" x14ac:dyDescent="0.35">
      <c r="A6221" t="s">
        <v>6789</v>
      </c>
      <c r="B6221" t="s">
        <v>6790</v>
      </c>
      <c r="C6221" t="s">
        <v>898</v>
      </c>
      <c r="D6221" t="s">
        <v>323</v>
      </c>
      <c r="E6221" t="s">
        <v>312</v>
      </c>
      <c r="F6221" t="s">
        <v>6818</v>
      </c>
      <c r="G6221">
        <v>1023</v>
      </c>
      <c r="H6221">
        <v>101702.65</v>
      </c>
      <c r="I6221">
        <v>99.42</v>
      </c>
      <c r="J6221">
        <v>6924</v>
      </c>
      <c r="K6221">
        <v>582420.11</v>
      </c>
      <c r="L6221">
        <v>84.12</v>
      </c>
      <c r="M6221">
        <v>7947</v>
      </c>
      <c r="N6221">
        <v>684122.76</v>
      </c>
      <c r="O6221">
        <v>86.09</v>
      </c>
    </row>
    <row r="6222" spans="1:15" x14ac:dyDescent="0.35">
      <c r="A6222" t="s">
        <v>6789</v>
      </c>
      <c r="B6222" t="s">
        <v>6790</v>
      </c>
      <c r="C6222" t="s">
        <v>898</v>
      </c>
      <c r="D6222" t="s">
        <v>334</v>
      </c>
      <c r="E6222" t="s">
        <v>312</v>
      </c>
      <c r="F6222" t="s">
        <v>6819</v>
      </c>
      <c r="G6222">
        <v>1359</v>
      </c>
      <c r="H6222">
        <v>131729.39000000001</v>
      </c>
      <c r="I6222">
        <v>104.46</v>
      </c>
      <c r="J6222">
        <v>7316</v>
      </c>
      <c r="K6222">
        <v>637744.75999999989</v>
      </c>
      <c r="L6222">
        <v>87.17</v>
      </c>
      <c r="M6222">
        <v>8675</v>
      </c>
      <c r="N6222">
        <v>769474.14999999991</v>
      </c>
      <c r="O6222">
        <v>89.71</v>
      </c>
    </row>
    <row r="6223" spans="1:15" x14ac:dyDescent="0.35">
      <c r="A6223" t="s">
        <v>6789</v>
      </c>
      <c r="B6223" t="s">
        <v>6790</v>
      </c>
      <c r="C6223" t="s">
        <v>898</v>
      </c>
      <c r="D6223" t="s">
        <v>334</v>
      </c>
      <c r="E6223" t="s">
        <v>308</v>
      </c>
      <c r="F6223" t="s">
        <v>6820</v>
      </c>
      <c r="G6223">
        <v>0</v>
      </c>
      <c r="H6223">
        <v>0</v>
      </c>
      <c r="I6223">
        <v>0</v>
      </c>
      <c r="J6223">
        <v>0</v>
      </c>
      <c r="K6223">
        <v>0</v>
      </c>
      <c r="L6223">
        <v>0</v>
      </c>
      <c r="M6223">
        <v>0</v>
      </c>
      <c r="N6223">
        <v>0</v>
      </c>
      <c r="O6223">
        <v>0</v>
      </c>
    </row>
    <row r="6224" spans="1:15" x14ac:dyDescent="0.35">
      <c r="A6224" t="s">
        <v>6789</v>
      </c>
      <c r="B6224" t="s">
        <v>6790</v>
      </c>
      <c r="C6224" t="s">
        <v>898</v>
      </c>
      <c r="D6224" t="s">
        <v>337</v>
      </c>
      <c r="E6224" t="s">
        <v>337</v>
      </c>
      <c r="F6224" t="s">
        <v>6821</v>
      </c>
      <c r="G6224">
        <v>291</v>
      </c>
      <c r="J6224">
        <v>0</v>
      </c>
      <c r="M6224">
        <v>291</v>
      </c>
    </row>
    <row r="6225" spans="1:15" x14ac:dyDescent="0.35">
      <c r="A6225" t="s">
        <v>6789</v>
      </c>
      <c r="B6225" t="s">
        <v>6790</v>
      </c>
      <c r="C6225" t="s">
        <v>898</v>
      </c>
      <c r="D6225" t="s">
        <v>339</v>
      </c>
      <c r="E6225" t="s">
        <v>294</v>
      </c>
      <c r="F6225" t="s">
        <v>6822</v>
      </c>
      <c r="G6225">
        <v>197</v>
      </c>
      <c r="H6225">
        <v>24036.3</v>
      </c>
      <c r="I6225">
        <v>122.01</v>
      </c>
      <c r="J6225">
        <v>351</v>
      </c>
      <c r="K6225">
        <v>27177.930000000004</v>
      </c>
      <c r="L6225">
        <v>77.430000000000007</v>
      </c>
      <c r="M6225">
        <v>548</v>
      </c>
      <c r="N6225">
        <v>51214.23</v>
      </c>
      <c r="O6225">
        <v>93.46</v>
      </c>
    </row>
    <row r="6226" spans="1:15" x14ac:dyDescent="0.35">
      <c r="A6226" t="s">
        <v>6789</v>
      </c>
      <c r="B6226" t="s">
        <v>6790</v>
      </c>
      <c r="C6226" t="s">
        <v>898</v>
      </c>
      <c r="D6226" t="s">
        <v>339</v>
      </c>
      <c r="E6226" t="s">
        <v>296</v>
      </c>
      <c r="F6226" t="s">
        <v>6823</v>
      </c>
      <c r="G6226">
        <v>8</v>
      </c>
      <c r="H6226">
        <v>889.6400000000001</v>
      </c>
      <c r="I6226">
        <v>111.21</v>
      </c>
      <c r="J6226">
        <v>36</v>
      </c>
      <c r="K6226">
        <v>3291.4800000000005</v>
      </c>
      <c r="L6226">
        <v>91.43</v>
      </c>
      <c r="M6226">
        <v>44</v>
      </c>
      <c r="N6226">
        <v>4181.1200000000008</v>
      </c>
      <c r="O6226">
        <v>95.03</v>
      </c>
    </row>
    <row r="6227" spans="1:15" x14ac:dyDescent="0.35">
      <c r="A6227" t="s">
        <v>6789</v>
      </c>
      <c r="B6227" t="s">
        <v>6790</v>
      </c>
      <c r="C6227" t="s">
        <v>898</v>
      </c>
      <c r="D6227" t="s">
        <v>339</v>
      </c>
      <c r="E6227" t="s">
        <v>298</v>
      </c>
      <c r="F6227" t="s">
        <v>6824</v>
      </c>
      <c r="G6227">
        <v>0</v>
      </c>
      <c r="H6227">
        <v>0</v>
      </c>
      <c r="I6227">
        <v>0</v>
      </c>
      <c r="J6227">
        <v>7</v>
      </c>
      <c r="K6227">
        <v>715.54</v>
      </c>
      <c r="L6227">
        <v>102.22</v>
      </c>
      <c r="M6227">
        <v>7</v>
      </c>
      <c r="N6227">
        <v>715.54</v>
      </c>
      <c r="O6227">
        <v>102.22</v>
      </c>
    </row>
    <row r="6228" spans="1:15" x14ac:dyDescent="0.35">
      <c r="A6228" t="s">
        <v>6789</v>
      </c>
      <c r="B6228" t="s">
        <v>6790</v>
      </c>
      <c r="C6228" t="s">
        <v>898</v>
      </c>
      <c r="D6228" t="s">
        <v>339</v>
      </c>
      <c r="E6228" t="s">
        <v>300</v>
      </c>
      <c r="F6228" t="s">
        <v>6825</v>
      </c>
      <c r="G6228">
        <v>0</v>
      </c>
      <c r="H6228">
        <v>0</v>
      </c>
      <c r="I6228">
        <v>0</v>
      </c>
      <c r="J6228">
        <v>0</v>
      </c>
      <c r="K6228">
        <v>0</v>
      </c>
      <c r="L6228">
        <v>0</v>
      </c>
      <c r="M6228">
        <v>0</v>
      </c>
      <c r="N6228">
        <v>0</v>
      </c>
      <c r="O6228">
        <v>0</v>
      </c>
    </row>
    <row r="6229" spans="1:15" x14ac:dyDescent="0.35">
      <c r="A6229" t="s">
        <v>6789</v>
      </c>
      <c r="B6229" t="s">
        <v>6790</v>
      </c>
      <c r="C6229" t="s">
        <v>898</v>
      </c>
      <c r="D6229" t="s">
        <v>339</v>
      </c>
      <c r="E6229" t="s">
        <v>306</v>
      </c>
      <c r="F6229" t="s">
        <v>6826</v>
      </c>
      <c r="G6229">
        <v>2</v>
      </c>
      <c r="H6229">
        <v>178.98</v>
      </c>
      <c r="I6229">
        <v>89.49</v>
      </c>
      <c r="J6229">
        <v>0</v>
      </c>
      <c r="K6229">
        <v>0</v>
      </c>
      <c r="L6229">
        <v>0</v>
      </c>
      <c r="M6229">
        <v>2</v>
      </c>
      <c r="N6229">
        <v>178.98</v>
      </c>
      <c r="O6229">
        <v>89.49</v>
      </c>
    </row>
    <row r="6230" spans="1:15" x14ac:dyDescent="0.35">
      <c r="A6230" t="s">
        <v>6789</v>
      </c>
      <c r="B6230" t="s">
        <v>6790</v>
      </c>
      <c r="C6230" t="s">
        <v>898</v>
      </c>
      <c r="D6230" t="s">
        <v>339</v>
      </c>
      <c r="E6230" t="s">
        <v>308</v>
      </c>
      <c r="F6230" t="s">
        <v>6827</v>
      </c>
      <c r="G6230">
        <v>65</v>
      </c>
      <c r="H6230">
        <v>12138.1</v>
      </c>
      <c r="I6230">
        <v>186.74</v>
      </c>
      <c r="J6230">
        <v>0</v>
      </c>
      <c r="K6230">
        <v>0</v>
      </c>
      <c r="L6230">
        <v>0</v>
      </c>
      <c r="M6230">
        <v>65</v>
      </c>
      <c r="N6230">
        <v>12138.1</v>
      </c>
      <c r="O6230">
        <v>186.74</v>
      </c>
    </row>
    <row r="6231" spans="1:15" x14ac:dyDescent="0.35">
      <c r="A6231" t="s">
        <v>6789</v>
      </c>
      <c r="B6231" t="s">
        <v>6790</v>
      </c>
      <c r="C6231" t="s">
        <v>898</v>
      </c>
      <c r="D6231" t="s">
        <v>339</v>
      </c>
      <c r="E6231" t="s">
        <v>310</v>
      </c>
      <c r="F6231" t="s">
        <v>6828</v>
      </c>
      <c r="G6231">
        <v>272</v>
      </c>
      <c r="H6231">
        <v>37243.019999999997</v>
      </c>
      <c r="I6231">
        <v>136.91999999999999</v>
      </c>
      <c r="J6231">
        <v>394</v>
      </c>
      <c r="K6231">
        <v>31184.950000000004</v>
      </c>
      <c r="L6231">
        <v>79.150000000000006</v>
      </c>
      <c r="M6231">
        <v>666</v>
      </c>
      <c r="N6231">
        <v>68427.97</v>
      </c>
      <c r="O6231">
        <v>102.74</v>
      </c>
    </row>
    <row r="6232" spans="1:15" x14ac:dyDescent="0.35">
      <c r="A6232" t="s">
        <v>6789</v>
      </c>
      <c r="B6232" t="s">
        <v>6790</v>
      </c>
      <c r="C6232" t="s">
        <v>898</v>
      </c>
      <c r="D6232" t="s">
        <v>339</v>
      </c>
      <c r="E6232" t="s">
        <v>312</v>
      </c>
      <c r="F6232" t="s">
        <v>6829</v>
      </c>
      <c r="G6232">
        <v>207</v>
      </c>
      <c r="H6232">
        <v>25104.92</v>
      </c>
      <c r="I6232">
        <v>121.28</v>
      </c>
      <c r="J6232">
        <v>394</v>
      </c>
      <c r="K6232">
        <v>31184.950000000004</v>
      </c>
      <c r="L6232">
        <v>79.150000000000006</v>
      </c>
      <c r="M6232">
        <v>601</v>
      </c>
      <c r="N6232">
        <v>56289.87</v>
      </c>
      <c r="O6232">
        <v>93.66</v>
      </c>
    </row>
    <row r="6233" spans="1:15" x14ac:dyDescent="0.35">
      <c r="A6233" t="s">
        <v>6789</v>
      </c>
      <c r="B6233" t="s">
        <v>6790</v>
      </c>
      <c r="C6233" t="s">
        <v>898</v>
      </c>
      <c r="D6233" t="s">
        <v>348</v>
      </c>
      <c r="E6233" t="s">
        <v>349</v>
      </c>
      <c r="F6233" t="s">
        <v>6830</v>
      </c>
      <c r="G6233">
        <v>627</v>
      </c>
      <c r="H6233">
        <v>49005.66</v>
      </c>
      <c r="I6233">
        <v>161.72999999999999</v>
      </c>
      <c r="J6233">
        <v>464</v>
      </c>
      <c r="K6233">
        <v>48847.750000000007</v>
      </c>
      <c r="L6233">
        <v>105.28</v>
      </c>
      <c r="M6233">
        <v>1091</v>
      </c>
      <c r="N6233">
        <v>97853.41</v>
      </c>
      <c r="O6233">
        <v>127.58</v>
      </c>
    </row>
    <row r="6234" spans="1:15" x14ac:dyDescent="0.35">
      <c r="A6234" t="s">
        <v>6831</v>
      </c>
      <c r="B6234" t="s">
        <v>6832</v>
      </c>
      <c r="C6234" t="s">
        <v>898</v>
      </c>
      <c r="D6234" t="s">
        <v>293</v>
      </c>
      <c r="E6234" t="s">
        <v>294</v>
      </c>
      <c r="F6234" t="s">
        <v>6833</v>
      </c>
      <c r="G6234">
        <v>52</v>
      </c>
      <c r="H6234">
        <v>5547.82</v>
      </c>
      <c r="I6234">
        <v>106.69</v>
      </c>
      <c r="J6234">
        <v>73</v>
      </c>
      <c r="K6234">
        <v>7096.33</v>
      </c>
      <c r="L6234">
        <v>97.21</v>
      </c>
      <c r="M6234">
        <v>125</v>
      </c>
      <c r="N6234">
        <v>12644.15</v>
      </c>
      <c r="O6234">
        <v>101.15</v>
      </c>
    </row>
    <row r="6235" spans="1:15" x14ac:dyDescent="0.35">
      <c r="A6235" t="s">
        <v>6831</v>
      </c>
      <c r="B6235" t="s">
        <v>6832</v>
      </c>
      <c r="C6235" t="s">
        <v>898</v>
      </c>
      <c r="D6235" t="s">
        <v>293</v>
      </c>
      <c r="E6235" t="s">
        <v>296</v>
      </c>
      <c r="F6235" t="s">
        <v>6834</v>
      </c>
      <c r="G6235">
        <v>331</v>
      </c>
      <c r="H6235">
        <v>42768.15</v>
      </c>
      <c r="I6235">
        <v>129.21</v>
      </c>
      <c r="J6235">
        <v>171</v>
      </c>
      <c r="K6235">
        <v>21217.68</v>
      </c>
      <c r="L6235">
        <v>124.08</v>
      </c>
      <c r="M6235">
        <v>502</v>
      </c>
      <c r="N6235">
        <v>63985.83</v>
      </c>
      <c r="O6235">
        <v>127.46</v>
      </c>
    </row>
    <row r="6236" spans="1:15" x14ac:dyDescent="0.35">
      <c r="A6236" t="s">
        <v>6831</v>
      </c>
      <c r="B6236" t="s">
        <v>6832</v>
      </c>
      <c r="C6236" t="s">
        <v>898</v>
      </c>
      <c r="D6236" t="s">
        <v>293</v>
      </c>
      <c r="E6236" t="s">
        <v>298</v>
      </c>
      <c r="F6236" t="s">
        <v>6835</v>
      </c>
      <c r="G6236">
        <v>135</v>
      </c>
      <c r="H6236">
        <v>19318.670000000002</v>
      </c>
      <c r="I6236">
        <v>143.1</v>
      </c>
      <c r="J6236">
        <v>80</v>
      </c>
      <c r="K6236">
        <v>13002.4</v>
      </c>
      <c r="L6236">
        <v>162.53</v>
      </c>
      <c r="M6236">
        <v>215</v>
      </c>
      <c r="N6236">
        <v>32321.07</v>
      </c>
      <c r="O6236">
        <v>150.33000000000001</v>
      </c>
    </row>
    <row r="6237" spans="1:15" x14ac:dyDescent="0.35">
      <c r="A6237" t="s">
        <v>6831</v>
      </c>
      <c r="B6237" t="s">
        <v>6832</v>
      </c>
      <c r="C6237" t="s">
        <v>898</v>
      </c>
      <c r="D6237" t="s">
        <v>293</v>
      </c>
      <c r="E6237" t="s">
        <v>300</v>
      </c>
      <c r="F6237" t="s">
        <v>6836</v>
      </c>
      <c r="G6237">
        <v>17</v>
      </c>
      <c r="H6237">
        <v>3031</v>
      </c>
      <c r="I6237">
        <v>178.29</v>
      </c>
      <c r="J6237">
        <v>4</v>
      </c>
      <c r="K6237">
        <v>738.32</v>
      </c>
      <c r="L6237">
        <v>184.58</v>
      </c>
      <c r="M6237">
        <v>21</v>
      </c>
      <c r="N6237">
        <v>3769.32</v>
      </c>
      <c r="O6237">
        <v>179.49</v>
      </c>
    </row>
    <row r="6238" spans="1:15" x14ac:dyDescent="0.35">
      <c r="A6238" t="s">
        <v>6831</v>
      </c>
      <c r="B6238" t="s">
        <v>6832</v>
      </c>
      <c r="C6238" t="s">
        <v>898</v>
      </c>
      <c r="D6238" t="s">
        <v>293</v>
      </c>
      <c r="E6238" t="s">
        <v>302</v>
      </c>
      <c r="F6238" t="s">
        <v>6837</v>
      </c>
      <c r="G6238">
        <v>0</v>
      </c>
      <c r="H6238">
        <v>0</v>
      </c>
      <c r="I6238">
        <v>0</v>
      </c>
      <c r="J6238">
        <v>0</v>
      </c>
      <c r="K6238">
        <v>0</v>
      </c>
      <c r="L6238">
        <v>0</v>
      </c>
      <c r="M6238">
        <v>0</v>
      </c>
      <c r="N6238">
        <v>0</v>
      </c>
      <c r="O6238">
        <v>0</v>
      </c>
    </row>
    <row r="6239" spans="1:15" x14ac:dyDescent="0.35">
      <c r="A6239" t="s">
        <v>6831</v>
      </c>
      <c r="B6239" t="s">
        <v>6832</v>
      </c>
      <c r="C6239" t="s">
        <v>898</v>
      </c>
      <c r="D6239" t="s">
        <v>293</v>
      </c>
      <c r="E6239" t="s">
        <v>304</v>
      </c>
      <c r="F6239" t="s">
        <v>6838</v>
      </c>
      <c r="G6239">
        <v>0</v>
      </c>
      <c r="H6239">
        <v>0</v>
      </c>
      <c r="I6239">
        <v>0</v>
      </c>
      <c r="J6239">
        <v>0</v>
      </c>
      <c r="K6239">
        <v>0</v>
      </c>
      <c r="L6239">
        <v>0</v>
      </c>
      <c r="M6239">
        <v>0</v>
      </c>
      <c r="N6239">
        <v>0</v>
      </c>
      <c r="O6239">
        <v>0</v>
      </c>
    </row>
    <row r="6240" spans="1:15" x14ac:dyDescent="0.35">
      <c r="A6240" t="s">
        <v>6831</v>
      </c>
      <c r="B6240" t="s">
        <v>6832</v>
      </c>
      <c r="C6240" t="s">
        <v>898</v>
      </c>
      <c r="D6240" t="s">
        <v>293</v>
      </c>
      <c r="E6240" t="s">
        <v>306</v>
      </c>
      <c r="F6240" t="s">
        <v>6839</v>
      </c>
      <c r="G6240">
        <v>0</v>
      </c>
      <c r="H6240">
        <v>0</v>
      </c>
      <c r="I6240">
        <v>0</v>
      </c>
      <c r="J6240">
        <v>0</v>
      </c>
      <c r="K6240">
        <v>0</v>
      </c>
      <c r="L6240">
        <v>0</v>
      </c>
      <c r="M6240">
        <v>0</v>
      </c>
      <c r="N6240">
        <v>0</v>
      </c>
      <c r="O6240">
        <v>0</v>
      </c>
    </row>
    <row r="6241" spans="1:15" x14ac:dyDescent="0.35">
      <c r="A6241" t="s">
        <v>6831</v>
      </c>
      <c r="B6241" t="s">
        <v>6832</v>
      </c>
      <c r="C6241" t="s">
        <v>898</v>
      </c>
      <c r="D6241" t="s">
        <v>293</v>
      </c>
      <c r="E6241" t="s">
        <v>308</v>
      </c>
      <c r="F6241" t="s">
        <v>6840</v>
      </c>
      <c r="G6241">
        <v>0</v>
      </c>
      <c r="H6241">
        <v>0</v>
      </c>
      <c r="I6241">
        <v>0</v>
      </c>
      <c r="J6241">
        <v>0</v>
      </c>
      <c r="K6241">
        <v>0</v>
      </c>
      <c r="L6241">
        <v>0</v>
      </c>
      <c r="M6241">
        <v>0</v>
      </c>
      <c r="N6241">
        <v>0</v>
      </c>
      <c r="O6241">
        <v>0</v>
      </c>
    </row>
    <row r="6242" spans="1:15" x14ac:dyDescent="0.35">
      <c r="A6242" t="s">
        <v>6831</v>
      </c>
      <c r="B6242" t="s">
        <v>6832</v>
      </c>
      <c r="C6242" t="s">
        <v>898</v>
      </c>
      <c r="D6242" t="s">
        <v>293</v>
      </c>
      <c r="E6242" t="s">
        <v>310</v>
      </c>
      <c r="F6242" t="s">
        <v>6841</v>
      </c>
      <c r="G6242">
        <v>535</v>
      </c>
      <c r="H6242">
        <v>70665.64</v>
      </c>
      <c r="I6242">
        <v>132.09</v>
      </c>
      <c r="J6242">
        <v>328</v>
      </c>
      <c r="K6242">
        <v>42054.73</v>
      </c>
      <c r="L6242">
        <v>128.22</v>
      </c>
      <c r="M6242">
        <v>863</v>
      </c>
      <c r="N6242">
        <v>112720.37</v>
      </c>
      <c r="O6242">
        <v>130.61000000000001</v>
      </c>
    </row>
    <row r="6243" spans="1:15" x14ac:dyDescent="0.35">
      <c r="A6243" t="s">
        <v>6831</v>
      </c>
      <c r="B6243" t="s">
        <v>6832</v>
      </c>
      <c r="C6243" t="s">
        <v>898</v>
      </c>
      <c r="D6243" t="s">
        <v>293</v>
      </c>
      <c r="E6243" t="s">
        <v>312</v>
      </c>
      <c r="F6243" t="s">
        <v>6842</v>
      </c>
      <c r="G6243">
        <v>535</v>
      </c>
      <c r="H6243">
        <v>70665.64</v>
      </c>
      <c r="I6243">
        <v>132.09</v>
      </c>
      <c r="J6243">
        <v>328</v>
      </c>
      <c r="K6243">
        <v>42054.73</v>
      </c>
      <c r="L6243">
        <v>128.22</v>
      </c>
      <c r="M6243">
        <v>863</v>
      </c>
      <c r="N6243">
        <v>112720.37</v>
      </c>
      <c r="O6243">
        <v>130.61000000000001</v>
      </c>
    </row>
    <row r="6244" spans="1:15" x14ac:dyDescent="0.35">
      <c r="A6244" t="s">
        <v>6831</v>
      </c>
      <c r="B6244" t="s">
        <v>6832</v>
      </c>
      <c r="C6244" t="s">
        <v>898</v>
      </c>
      <c r="D6244" t="s">
        <v>314</v>
      </c>
      <c r="E6244" t="s">
        <v>294</v>
      </c>
      <c r="F6244" t="s">
        <v>6843</v>
      </c>
      <c r="G6244">
        <v>0</v>
      </c>
      <c r="H6244">
        <v>0</v>
      </c>
      <c r="I6244">
        <v>0</v>
      </c>
      <c r="J6244">
        <v>0</v>
      </c>
      <c r="K6244">
        <v>0</v>
      </c>
      <c r="L6244">
        <v>0</v>
      </c>
      <c r="M6244">
        <v>0</v>
      </c>
      <c r="N6244">
        <v>0</v>
      </c>
      <c r="O6244">
        <v>0</v>
      </c>
    </row>
    <row r="6245" spans="1:15" x14ac:dyDescent="0.35">
      <c r="A6245" t="s">
        <v>6831</v>
      </c>
      <c r="B6245" t="s">
        <v>6832</v>
      </c>
      <c r="C6245" t="s">
        <v>898</v>
      </c>
      <c r="D6245" t="s">
        <v>314</v>
      </c>
      <c r="E6245" t="s">
        <v>296</v>
      </c>
      <c r="F6245" t="s">
        <v>6844</v>
      </c>
      <c r="G6245">
        <v>0</v>
      </c>
      <c r="H6245">
        <v>0</v>
      </c>
      <c r="I6245">
        <v>0</v>
      </c>
      <c r="J6245">
        <v>0</v>
      </c>
      <c r="K6245">
        <v>0</v>
      </c>
      <c r="L6245">
        <v>0</v>
      </c>
      <c r="M6245">
        <v>0</v>
      </c>
      <c r="N6245">
        <v>0</v>
      </c>
      <c r="O6245">
        <v>0</v>
      </c>
    </row>
    <row r="6246" spans="1:15" x14ac:dyDescent="0.35">
      <c r="A6246" t="s">
        <v>6831</v>
      </c>
      <c r="B6246" t="s">
        <v>6832</v>
      </c>
      <c r="C6246" t="s">
        <v>898</v>
      </c>
      <c r="D6246" t="s">
        <v>314</v>
      </c>
      <c r="E6246" t="s">
        <v>298</v>
      </c>
      <c r="F6246" t="s">
        <v>6845</v>
      </c>
      <c r="G6246">
        <v>1</v>
      </c>
      <c r="H6246">
        <v>142.87</v>
      </c>
      <c r="I6246">
        <v>142.87</v>
      </c>
      <c r="J6246">
        <v>0</v>
      </c>
      <c r="K6246">
        <v>0</v>
      </c>
      <c r="L6246">
        <v>0</v>
      </c>
      <c r="M6246">
        <v>1</v>
      </c>
      <c r="N6246">
        <v>142.87</v>
      </c>
      <c r="O6246">
        <v>142.87</v>
      </c>
    </row>
    <row r="6247" spans="1:15" x14ac:dyDescent="0.35">
      <c r="A6247" t="s">
        <v>6831</v>
      </c>
      <c r="B6247" t="s">
        <v>6832</v>
      </c>
      <c r="C6247" t="s">
        <v>898</v>
      </c>
      <c r="D6247" t="s">
        <v>314</v>
      </c>
      <c r="E6247" t="s">
        <v>300</v>
      </c>
      <c r="F6247" t="s">
        <v>6846</v>
      </c>
      <c r="G6247">
        <v>0</v>
      </c>
      <c r="H6247">
        <v>0</v>
      </c>
      <c r="I6247">
        <v>0</v>
      </c>
      <c r="J6247">
        <v>0</v>
      </c>
      <c r="K6247">
        <v>0</v>
      </c>
      <c r="L6247">
        <v>0</v>
      </c>
      <c r="M6247">
        <v>0</v>
      </c>
      <c r="N6247">
        <v>0</v>
      </c>
      <c r="O6247">
        <v>0</v>
      </c>
    </row>
    <row r="6248" spans="1:15" x14ac:dyDescent="0.35">
      <c r="A6248" t="s">
        <v>6831</v>
      </c>
      <c r="B6248" t="s">
        <v>6832</v>
      </c>
      <c r="C6248" t="s">
        <v>898</v>
      </c>
      <c r="D6248" t="s">
        <v>314</v>
      </c>
      <c r="E6248" t="s">
        <v>306</v>
      </c>
      <c r="F6248" t="s">
        <v>6847</v>
      </c>
      <c r="G6248">
        <v>0</v>
      </c>
      <c r="H6248">
        <v>0</v>
      </c>
      <c r="I6248">
        <v>0</v>
      </c>
      <c r="J6248">
        <v>0</v>
      </c>
      <c r="K6248">
        <v>0</v>
      </c>
      <c r="L6248">
        <v>0</v>
      </c>
      <c r="M6248">
        <v>0</v>
      </c>
      <c r="N6248">
        <v>0</v>
      </c>
      <c r="O6248">
        <v>0</v>
      </c>
    </row>
    <row r="6249" spans="1:15" x14ac:dyDescent="0.35">
      <c r="A6249" t="s">
        <v>6831</v>
      </c>
      <c r="B6249" t="s">
        <v>6832</v>
      </c>
      <c r="C6249" t="s">
        <v>898</v>
      </c>
      <c r="D6249" t="s">
        <v>314</v>
      </c>
      <c r="E6249" t="s">
        <v>308</v>
      </c>
      <c r="F6249" t="s">
        <v>6848</v>
      </c>
      <c r="G6249">
        <v>0</v>
      </c>
      <c r="H6249">
        <v>0</v>
      </c>
      <c r="I6249">
        <v>0</v>
      </c>
      <c r="J6249">
        <v>0</v>
      </c>
      <c r="K6249">
        <v>0</v>
      </c>
      <c r="L6249">
        <v>0</v>
      </c>
      <c r="M6249">
        <v>0</v>
      </c>
      <c r="N6249">
        <v>0</v>
      </c>
      <c r="O6249">
        <v>0</v>
      </c>
    </row>
    <row r="6250" spans="1:15" x14ac:dyDescent="0.35">
      <c r="A6250" t="s">
        <v>6831</v>
      </c>
      <c r="B6250" t="s">
        <v>6832</v>
      </c>
      <c r="C6250" t="s">
        <v>898</v>
      </c>
      <c r="D6250" t="s">
        <v>314</v>
      </c>
      <c r="E6250" t="s">
        <v>312</v>
      </c>
      <c r="F6250" t="s">
        <v>6849</v>
      </c>
      <c r="G6250">
        <v>1</v>
      </c>
      <c r="H6250">
        <v>142.87</v>
      </c>
      <c r="I6250">
        <v>142.87</v>
      </c>
      <c r="J6250">
        <v>0</v>
      </c>
      <c r="K6250">
        <v>0</v>
      </c>
      <c r="L6250">
        <v>0</v>
      </c>
      <c r="M6250">
        <v>1</v>
      </c>
      <c r="N6250">
        <v>142.87</v>
      </c>
      <c r="O6250">
        <v>142.87</v>
      </c>
    </row>
    <row r="6251" spans="1:15" x14ac:dyDescent="0.35">
      <c r="A6251" t="s">
        <v>6831</v>
      </c>
      <c r="B6251" t="s">
        <v>6832</v>
      </c>
      <c r="C6251" t="s">
        <v>898</v>
      </c>
      <c r="D6251" t="s">
        <v>314</v>
      </c>
      <c r="E6251" t="s">
        <v>310</v>
      </c>
      <c r="F6251" t="s">
        <v>6850</v>
      </c>
      <c r="G6251">
        <v>1</v>
      </c>
      <c r="H6251">
        <v>142.87</v>
      </c>
      <c r="I6251">
        <v>142.87</v>
      </c>
      <c r="J6251">
        <v>0</v>
      </c>
      <c r="K6251">
        <v>0</v>
      </c>
      <c r="L6251">
        <v>0</v>
      </c>
      <c r="M6251">
        <v>1</v>
      </c>
      <c r="N6251">
        <v>142.87</v>
      </c>
      <c r="O6251">
        <v>142.87</v>
      </c>
    </row>
    <row r="6252" spans="1:15" x14ac:dyDescent="0.35">
      <c r="A6252" t="s">
        <v>6831</v>
      </c>
      <c r="B6252" t="s">
        <v>6832</v>
      </c>
      <c r="C6252" t="s">
        <v>898</v>
      </c>
      <c r="D6252" t="s">
        <v>323</v>
      </c>
      <c r="E6252" t="s">
        <v>294</v>
      </c>
      <c r="F6252" t="s">
        <v>6851</v>
      </c>
      <c r="G6252">
        <v>86</v>
      </c>
      <c r="H6252">
        <v>7665.83</v>
      </c>
      <c r="I6252">
        <v>89.14</v>
      </c>
      <c r="J6252">
        <v>379</v>
      </c>
      <c r="K6252">
        <v>30266.94</v>
      </c>
      <c r="L6252">
        <v>79.86</v>
      </c>
      <c r="M6252">
        <v>465</v>
      </c>
      <c r="N6252">
        <v>37932.769999999997</v>
      </c>
      <c r="O6252">
        <v>81.58</v>
      </c>
    </row>
    <row r="6253" spans="1:15" x14ac:dyDescent="0.35">
      <c r="A6253" t="s">
        <v>6831</v>
      </c>
      <c r="B6253" t="s">
        <v>6832</v>
      </c>
      <c r="C6253" t="s">
        <v>898</v>
      </c>
      <c r="D6253" t="s">
        <v>323</v>
      </c>
      <c r="E6253" t="s">
        <v>296</v>
      </c>
      <c r="F6253" t="s">
        <v>6852</v>
      </c>
      <c r="G6253">
        <v>436</v>
      </c>
      <c r="H6253">
        <v>46644.109999999993</v>
      </c>
      <c r="I6253">
        <v>106.98</v>
      </c>
      <c r="J6253">
        <v>1922</v>
      </c>
      <c r="K6253">
        <v>174652.14</v>
      </c>
      <c r="L6253">
        <v>90.87</v>
      </c>
      <c r="M6253">
        <v>2358</v>
      </c>
      <c r="N6253">
        <v>221296.25</v>
      </c>
      <c r="O6253">
        <v>93.85</v>
      </c>
    </row>
    <row r="6254" spans="1:15" x14ac:dyDescent="0.35">
      <c r="A6254" t="s">
        <v>6831</v>
      </c>
      <c r="B6254" t="s">
        <v>6832</v>
      </c>
      <c r="C6254" t="s">
        <v>898</v>
      </c>
      <c r="D6254" t="s">
        <v>323</v>
      </c>
      <c r="E6254" t="s">
        <v>298</v>
      </c>
      <c r="F6254" t="s">
        <v>6853</v>
      </c>
      <c r="G6254">
        <v>243</v>
      </c>
      <c r="H6254">
        <v>28554.45</v>
      </c>
      <c r="I6254">
        <v>117.51</v>
      </c>
      <c r="J6254">
        <v>1235</v>
      </c>
      <c r="K6254">
        <v>123080.09999999999</v>
      </c>
      <c r="L6254">
        <v>99.66</v>
      </c>
      <c r="M6254">
        <v>1478</v>
      </c>
      <c r="N6254">
        <v>151634.54999999999</v>
      </c>
      <c r="O6254">
        <v>102.59</v>
      </c>
    </row>
    <row r="6255" spans="1:15" x14ac:dyDescent="0.35">
      <c r="A6255" t="s">
        <v>6831</v>
      </c>
      <c r="B6255" t="s">
        <v>6832</v>
      </c>
      <c r="C6255" t="s">
        <v>898</v>
      </c>
      <c r="D6255" t="s">
        <v>323</v>
      </c>
      <c r="E6255" t="s">
        <v>300</v>
      </c>
      <c r="F6255" t="s">
        <v>6854</v>
      </c>
      <c r="G6255">
        <v>17</v>
      </c>
      <c r="H6255">
        <v>2300.0500000000002</v>
      </c>
      <c r="I6255">
        <v>135.30000000000001</v>
      </c>
      <c r="J6255">
        <v>49</v>
      </c>
      <c r="K6255">
        <v>5401.27</v>
      </c>
      <c r="L6255">
        <v>110.23</v>
      </c>
      <c r="M6255">
        <v>66</v>
      </c>
      <c r="N6255">
        <v>7701.3200000000006</v>
      </c>
      <c r="O6255">
        <v>116.69</v>
      </c>
    </row>
    <row r="6256" spans="1:15" x14ac:dyDescent="0.35">
      <c r="A6256" t="s">
        <v>6831</v>
      </c>
      <c r="B6256" t="s">
        <v>6832</v>
      </c>
      <c r="C6256" t="s">
        <v>898</v>
      </c>
      <c r="D6256" t="s">
        <v>323</v>
      </c>
      <c r="E6256" t="s">
        <v>302</v>
      </c>
      <c r="F6256" t="s">
        <v>6855</v>
      </c>
      <c r="G6256">
        <v>4</v>
      </c>
      <c r="H6256">
        <v>676.6</v>
      </c>
      <c r="I6256">
        <v>169.15</v>
      </c>
      <c r="J6256">
        <v>0</v>
      </c>
      <c r="K6256">
        <v>0</v>
      </c>
      <c r="L6256">
        <v>0</v>
      </c>
      <c r="M6256">
        <v>4</v>
      </c>
      <c r="N6256">
        <v>676.6</v>
      </c>
      <c r="O6256">
        <v>169.15</v>
      </c>
    </row>
    <row r="6257" spans="1:15" x14ac:dyDescent="0.35">
      <c r="A6257" t="s">
        <v>6831</v>
      </c>
      <c r="B6257" t="s">
        <v>6832</v>
      </c>
      <c r="C6257" t="s">
        <v>898</v>
      </c>
      <c r="D6257" t="s">
        <v>323</v>
      </c>
      <c r="E6257" t="s">
        <v>304</v>
      </c>
      <c r="F6257" t="s">
        <v>6856</v>
      </c>
      <c r="G6257">
        <v>0</v>
      </c>
      <c r="H6257">
        <v>0</v>
      </c>
      <c r="I6257">
        <v>0</v>
      </c>
      <c r="J6257">
        <v>0</v>
      </c>
      <c r="K6257">
        <v>0</v>
      </c>
      <c r="L6257">
        <v>0</v>
      </c>
      <c r="M6257">
        <v>0</v>
      </c>
      <c r="N6257">
        <v>0</v>
      </c>
      <c r="O6257">
        <v>0</v>
      </c>
    </row>
    <row r="6258" spans="1:15" x14ac:dyDescent="0.35">
      <c r="A6258" t="s">
        <v>6831</v>
      </c>
      <c r="B6258" t="s">
        <v>6832</v>
      </c>
      <c r="C6258" t="s">
        <v>898</v>
      </c>
      <c r="D6258" t="s">
        <v>323</v>
      </c>
      <c r="E6258" t="s">
        <v>306</v>
      </c>
      <c r="F6258" t="s">
        <v>6857</v>
      </c>
      <c r="G6258">
        <v>0</v>
      </c>
      <c r="H6258">
        <v>0</v>
      </c>
      <c r="I6258">
        <v>0</v>
      </c>
      <c r="J6258">
        <v>0</v>
      </c>
      <c r="K6258">
        <v>0</v>
      </c>
      <c r="L6258">
        <v>0</v>
      </c>
      <c r="M6258">
        <v>0</v>
      </c>
      <c r="N6258">
        <v>0</v>
      </c>
      <c r="O6258">
        <v>0</v>
      </c>
    </row>
    <row r="6259" spans="1:15" x14ac:dyDescent="0.35">
      <c r="A6259" t="s">
        <v>6831</v>
      </c>
      <c r="B6259" t="s">
        <v>6832</v>
      </c>
      <c r="C6259" t="s">
        <v>898</v>
      </c>
      <c r="D6259" t="s">
        <v>323</v>
      </c>
      <c r="E6259" t="s">
        <v>308</v>
      </c>
      <c r="F6259" t="s">
        <v>6858</v>
      </c>
      <c r="G6259">
        <v>0</v>
      </c>
      <c r="H6259">
        <v>0</v>
      </c>
      <c r="I6259">
        <v>0</v>
      </c>
      <c r="J6259">
        <v>10</v>
      </c>
      <c r="K6259">
        <v>627.4</v>
      </c>
      <c r="L6259">
        <v>62.74</v>
      </c>
      <c r="M6259">
        <v>10</v>
      </c>
      <c r="N6259">
        <v>627.4</v>
      </c>
      <c r="O6259">
        <v>62.74</v>
      </c>
    </row>
    <row r="6260" spans="1:15" x14ac:dyDescent="0.35">
      <c r="A6260" t="s">
        <v>6831</v>
      </c>
      <c r="B6260" t="s">
        <v>6832</v>
      </c>
      <c r="C6260" t="s">
        <v>898</v>
      </c>
      <c r="D6260" t="s">
        <v>323</v>
      </c>
      <c r="E6260" t="s">
        <v>310</v>
      </c>
      <c r="F6260" t="s">
        <v>6859</v>
      </c>
      <c r="G6260">
        <v>786</v>
      </c>
      <c r="H6260">
        <v>85841.040000000008</v>
      </c>
      <c r="I6260">
        <v>109.21</v>
      </c>
      <c r="J6260">
        <v>3595</v>
      </c>
      <c r="K6260">
        <v>334027.85000000003</v>
      </c>
      <c r="L6260">
        <v>92.91</v>
      </c>
      <c r="M6260">
        <v>4381</v>
      </c>
      <c r="N6260">
        <v>419868.89</v>
      </c>
      <c r="O6260">
        <v>95.84</v>
      </c>
    </row>
    <row r="6261" spans="1:15" x14ac:dyDescent="0.35">
      <c r="A6261" t="s">
        <v>6831</v>
      </c>
      <c r="B6261" t="s">
        <v>6832</v>
      </c>
      <c r="C6261" t="s">
        <v>898</v>
      </c>
      <c r="D6261" t="s">
        <v>323</v>
      </c>
      <c r="E6261" t="s">
        <v>312</v>
      </c>
      <c r="F6261" t="s">
        <v>6860</v>
      </c>
      <c r="G6261">
        <v>786</v>
      </c>
      <c r="H6261">
        <v>85841.040000000008</v>
      </c>
      <c r="I6261">
        <v>109.21</v>
      </c>
      <c r="J6261">
        <v>3585</v>
      </c>
      <c r="K6261">
        <v>333400.45</v>
      </c>
      <c r="L6261">
        <v>93</v>
      </c>
      <c r="M6261">
        <v>4371</v>
      </c>
      <c r="N6261">
        <v>419241.49</v>
      </c>
      <c r="O6261">
        <v>95.91</v>
      </c>
    </row>
    <row r="6262" spans="1:15" x14ac:dyDescent="0.35">
      <c r="A6262" t="s">
        <v>6831</v>
      </c>
      <c r="B6262" t="s">
        <v>6832</v>
      </c>
      <c r="C6262" t="s">
        <v>898</v>
      </c>
      <c r="D6262" t="s">
        <v>334</v>
      </c>
      <c r="E6262" t="s">
        <v>312</v>
      </c>
      <c r="F6262" t="s">
        <v>6861</v>
      </c>
      <c r="G6262">
        <v>1450</v>
      </c>
      <c r="H6262">
        <v>156506.68</v>
      </c>
      <c r="I6262">
        <v>118.48</v>
      </c>
      <c r="J6262">
        <v>3913</v>
      </c>
      <c r="K6262">
        <v>375455.18</v>
      </c>
      <c r="L6262">
        <v>95.95</v>
      </c>
      <c r="M6262">
        <v>5363</v>
      </c>
      <c r="N6262">
        <v>531961.86</v>
      </c>
      <c r="O6262">
        <v>101.64</v>
      </c>
    </row>
    <row r="6263" spans="1:15" x14ac:dyDescent="0.35">
      <c r="A6263" t="s">
        <v>6831</v>
      </c>
      <c r="B6263" t="s">
        <v>6832</v>
      </c>
      <c r="C6263" t="s">
        <v>898</v>
      </c>
      <c r="D6263" t="s">
        <v>334</v>
      </c>
      <c r="E6263" t="s">
        <v>308</v>
      </c>
      <c r="F6263" t="s">
        <v>6862</v>
      </c>
      <c r="G6263">
        <v>0</v>
      </c>
      <c r="H6263">
        <v>0</v>
      </c>
      <c r="I6263">
        <v>0</v>
      </c>
      <c r="J6263">
        <v>10</v>
      </c>
      <c r="K6263">
        <v>627.4</v>
      </c>
      <c r="L6263">
        <v>62.74</v>
      </c>
      <c r="M6263">
        <v>10</v>
      </c>
      <c r="N6263">
        <v>627.4</v>
      </c>
      <c r="O6263">
        <v>62.74</v>
      </c>
    </row>
    <row r="6264" spans="1:15" x14ac:dyDescent="0.35">
      <c r="A6264" t="s">
        <v>6831</v>
      </c>
      <c r="B6264" t="s">
        <v>6832</v>
      </c>
      <c r="C6264" t="s">
        <v>898</v>
      </c>
      <c r="D6264" t="s">
        <v>337</v>
      </c>
      <c r="E6264" t="s">
        <v>337</v>
      </c>
      <c r="F6264" t="s">
        <v>6863</v>
      </c>
      <c r="G6264">
        <v>685</v>
      </c>
      <c r="J6264">
        <v>0</v>
      </c>
      <c r="M6264">
        <v>685</v>
      </c>
    </row>
    <row r="6265" spans="1:15" x14ac:dyDescent="0.35">
      <c r="A6265" t="s">
        <v>6831</v>
      </c>
      <c r="B6265" t="s">
        <v>6832</v>
      </c>
      <c r="C6265" t="s">
        <v>898</v>
      </c>
      <c r="D6265" t="s">
        <v>339</v>
      </c>
      <c r="E6265" t="s">
        <v>294</v>
      </c>
      <c r="F6265" t="s">
        <v>6864</v>
      </c>
      <c r="G6265">
        <v>124</v>
      </c>
      <c r="H6265">
        <v>21924.14</v>
      </c>
      <c r="I6265">
        <v>176.81</v>
      </c>
      <c r="J6265">
        <v>0</v>
      </c>
      <c r="K6265">
        <v>0</v>
      </c>
      <c r="L6265">
        <v>0</v>
      </c>
      <c r="M6265">
        <v>124</v>
      </c>
      <c r="N6265">
        <v>21924.14</v>
      </c>
      <c r="O6265">
        <v>176.81</v>
      </c>
    </row>
    <row r="6266" spans="1:15" x14ac:dyDescent="0.35">
      <c r="A6266" t="s">
        <v>6831</v>
      </c>
      <c r="B6266" t="s">
        <v>6832</v>
      </c>
      <c r="C6266" t="s">
        <v>898</v>
      </c>
      <c r="D6266" t="s">
        <v>339</v>
      </c>
      <c r="E6266" t="s">
        <v>296</v>
      </c>
      <c r="F6266" t="s">
        <v>6865</v>
      </c>
      <c r="G6266">
        <v>0</v>
      </c>
      <c r="H6266">
        <v>0</v>
      </c>
      <c r="I6266">
        <v>0</v>
      </c>
      <c r="J6266">
        <v>0</v>
      </c>
      <c r="K6266">
        <v>0</v>
      </c>
      <c r="L6266">
        <v>0</v>
      </c>
      <c r="M6266">
        <v>0</v>
      </c>
      <c r="N6266">
        <v>0</v>
      </c>
      <c r="O6266">
        <v>0</v>
      </c>
    </row>
    <row r="6267" spans="1:15" x14ac:dyDescent="0.35">
      <c r="A6267" t="s">
        <v>6831</v>
      </c>
      <c r="B6267" t="s">
        <v>6832</v>
      </c>
      <c r="C6267" t="s">
        <v>898</v>
      </c>
      <c r="D6267" t="s">
        <v>339</v>
      </c>
      <c r="E6267" t="s">
        <v>298</v>
      </c>
      <c r="F6267" t="s">
        <v>6866</v>
      </c>
      <c r="G6267">
        <v>2</v>
      </c>
      <c r="H6267">
        <v>274.35000000000002</v>
      </c>
      <c r="I6267">
        <v>137.18</v>
      </c>
      <c r="J6267">
        <v>0</v>
      </c>
      <c r="K6267">
        <v>0</v>
      </c>
      <c r="L6267">
        <v>0</v>
      </c>
      <c r="M6267">
        <v>2</v>
      </c>
      <c r="N6267">
        <v>274.35000000000002</v>
      </c>
      <c r="O6267">
        <v>137.18</v>
      </c>
    </row>
    <row r="6268" spans="1:15" x14ac:dyDescent="0.35">
      <c r="A6268" t="s">
        <v>6831</v>
      </c>
      <c r="B6268" t="s">
        <v>6832</v>
      </c>
      <c r="C6268" t="s">
        <v>898</v>
      </c>
      <c r="D6268" t="s">
        <v>339</v>
      </c>
      <c r="E6268" t="s">
        <v>300</v>
      </c>
      <c r="F6268" t="s">
        <v>6867</v>
      </c>
      <c r="G6268">
        <v>0</v>
      </c>
      <c r="H6268">
        <v>0</v>
      </c>
      <c r="I6268">
        <v>0</v>
      </c>
      <c r="J6268">
        <v>0</v>
      </c>
      <c r="K6268">
        <v>0</v>
      </c>
      <c r="L6268">
        <v>0</v>
      </c>
      <c r="M6268">
        <v>0</v>
      </c>
      <c r="N6268">
        <v>0</v>
      </c>
      <c r="O6268">
        <v>0</v>
      </c>
    </row>
    <row r="6269" spans="1:15" x14ac:dyDescent="0.35">
      <c r="A6269" t="s">
        <v>6831</v>
      </c>
      <c r="B6269" t="s">
        <v>6832</v>
      </c>
      <c r="C6269" t="s">
        <v>898</v>
      </c>
      <c r="D6269" t="s">
        <v>339</v>
      </c>
      <c r="E6269" t="s">
        <v>306</v>
      </c>
      <c r="F6269" t="s">
        <v>6868</v>
      </c>
      <c r="G6269">
        <v>22</v>
      </c>
      <c r="H6269">
        <v>2121.02</v>
      </c>
      <c r="I6269">
        <v>96.41</v>
      </c>
      <c r="J6269">
        <v>0</v>
      </c>
      <c r="K6269">
        <v>0</v>
      </c>
      <c r="L6269">
        <v>0</v>
      </c>
      <c r="M6269">
        <v>22</v>
      </c>
      <c r="N6269">
        <v>2121.02</v>
      </c>
      <c r="O6269">
        <v>96.41</v>
      </c>
    </row>
    <row r="6270" spans="1:15" x14ac:dyDescent="0.35">
      <c r="A6270" t="s">
        <v>6831</v>
      </c>
      <c r="B6270" t="s">
        <v>6832</v>
      </c>
      <c r="C6270" t="s">
        <v>898</v>
      </c>
      <c r="D6270" t="s">
        <v>339</v>
      </c>
      <c r="E6270" t="s">
        <v>308</v>
      </c>
      <c r="F6270" t="s">
        <v>6869</v>
      </c>
      <c r="G6270">
        <v>108</v>
      </c>
      <c r="H6270">
        <v>24361.300000000003</v>
      </c>
      <c r="I6270">
        <v>225.57</v>
      </c>
      <c r="J6270">
        <v>0</v>
      </c>
      <c r="K6270">
        <v>0</v>
      </c>
      <c r="L6270">
        <v>0</v>
      </c>
      <c r="M6270">
        <v>108</v>
      </c>
      <c r="N6270">
        <v>24361.300000000003</v>
      </c>
      <c r="O6270">
        <v>225.57</v>
      </c>
    </row>
    <row r="6271" spans="1:15" x14ac:dyDescent="0.35">
      <c r="A6271" t="s">
        <v>6831</v>
      </c>
      <c r="B6271" t="s">
        <v>6832</v>
      </c>
      <c r="C6271" t="s">
        <v>898</v>
      </c>
      <c r="D6271" t="s">
        <v>339</v>
      </c>
      <c r="E6271" t="s">
        <v>310</v>
      </c>
      <c r="F6271" t="s">
        <v>6870</v>
      </c>
      <c r="G6271">
        <v>256</v>
      </c>
      <c r="H6271">
        <v>48680.81</v>
      </c>
      <c r="I6271">
        <v>190.16</v>
      </c>
      <c r="J6271">
        <v>0</v>
      </c>
      <c r="K6271">
        <v>0</v>
      </c>
      <c r="L6271">
        <v>0</v>
      </c>
      <c r="M6271">
        <v>256</v>
      </c>
      <c r="N6271">
        <v>48680.81</v>
      </c>
      <c r="O6271">
        <v>190.16</v>
      </c>
    </row>
    <row r="6272" spans="1:15" x14ac:dyDescent="0.35">
      <c r="A6272" t="s">
        <v>6831</v>
      </c>
      <c r="B6272" t="s">
        <v>6832</v>
      </c>
      <c r="C6272" t="s">
        <v>898</v>
      </c>
      <c r="D6272" t="s">
        <v>339</v>
      </c>
      <c r="E6272" t="s">
        <v>312</v>
      </c>
      <c r="F6272" t="s">
        <v>6871</v>
      </c>
      <c r="G6272">
        <v>148</v>
      </c>
      <c r="H6272">
        <v>24319.51</v>
      </c>
      <c r="I6272">
        <v>164.32</v>
      </c>
      <c r="J6272">
        <v>0</v>
      </c>
      <c r="K6272">
        <v>0</v>
      </c>
      <c r="L6272">
        <v>0</v>
      </c>
      <c r="M6272">
        <v>148</v>
      </c>
      <c r="N6272">
        <v>24319.51</v>
      </c>
      <c r="O6272">
        <v>164.32</v>
      </c>
    </row>
    <row r="6273" spans="1:15" x14ac:dyDescent="0.35">
      <c r="A6273" t="s">
        <v>6831</v>
      </c>
      <c r="B6273" t="s">
        <v>6832</v>
      </c>
      <c r="C6273" t="s">
        <v>898</v>
      </c>
      <c r="D6273" t="s">
        <v>348</v>
      </c>
      <c r="E6273" t="s">
        <v>349</v>
      </c>
      <c r="F6273" t="s">
        <v>6872</v>
      </c>
      <c r="G6273">
        <v>283</v>
      </c>
      <c r="H6273">
        <v>48823.68</v>
      </c>
      <c r="I6273">
        <v>189.98</v>
      </c>
      <c r="J6273">
        <v>0</v>
      </c>
      <c r="K6273">
        <v>0</v>
      </c>
      <c r="L6273">
        <v>0</v>
      </c>
      <c r="M6273">
        <v>283</v>
      </c>
      <c r="N6273">
        <v>48823.68</v>
      </c>
      <c r="O6273">
        <v>189.98</v>
      </c>
    </row>
    <row r="6274" spans="1:15" x14ac:dyDescent="0.35">
      <c r="A6274" t="s">
        <v>6873</v>
      </c>
      <c r="B6274" t="s">
        <v>6874</v>
      </c>
      <c r="C6274" t="s">
        <v>898</v>
      </c>
      <c r="D6274" t="s">
        <v>293</v>
      </c>
      <c r="E6274" t="s">
        <v>294</v>
      </c>
      <c r="F6274" t="s">
        <v>6875</v>
      </c>
      <c r="G6274">
        <v>161</v>
      </c>
      <c r="H6274">
        <v>17970.930000000004</v>
      </c>
      <c r="I6274">
        <v>111.62</v>
      </c>
      <c r="J6274">
        <v>26</v>
      </c>
      <c r="K6274">
        <v>2632.76</v>
      </c>
      <c r="L6274">
        <v>101.26</v>
      </c>
      <c r="M6274">
        <v>187</v>
      </c>
      <c r="N6274">
        <v>20603.690000000002</v>
      </c>
      <c r="O6274">
        <v>110.18</v>
      </c>
    </row>
    <row r="6275" spans="1:15" x14ac:dyDescent="0.35">
      <c r="A6275" t="s">
        <v>6873</v>
      </c>
      <c r="B6275" t="s">
        <v>6874</v>
      </c>
      <c r="C6275" t="s">
        <v>898</v>
      </c>
      <c r="D6275" t="s">
        <v>293</v>
      </c>
      <c r="E6275" t="s">
        <v>296</v>
      </c>
      <c r="F6275" t="s">
        <v>6876</v>
      </c>
      <c r="G6275">
        <v>275</v>
      </c>
      <c r="H6275">
        <v>39403.870000000003</v>
      </c>
      <c r="I6275">
        <v>143.29</v>
      </c>
      <c r="J6275">
        <v>66</v>
      </c>
      <c r="K6275">
        <v>8531.8200000000015</v>
      </c>
      <c r="L6275">
        <v>129.27000000000001</v>
      </c>
      <c r="M6275">
        <v>341</v>
      </c>
      <c r="N6275">
        <v>47935.69</v>
      </c>
      <c r="O6275">
        <v>140.57</v>
      </c>
    </row>
    <row r="6276" spans="1:15" x14ac:dyDescent="0.35">
      <c r="A6276" t="s">
        <v>6873</v>
      </c>
      <c r="B6276" t="s">
        <v>6874</v>
      </c>
      <c r="C6276" t="s">
        <v>898</v>
      </c>
      <c r="D6276" t="s">
        <v>293</v>
      </c>
      <c r="E6276" t="s">
        <v>298</v>
      </c>
      <c r="F6276" t="s">
        <v>6877</v>
      </c>
      <c r="G6276">
        <v>138</v>
      </c>
      <c r="H6276">
        <v>22692.77</v>
      </c>
      <c r="I6276">
        <v>164.44</v>
      </c>
      <c r="J6276">
        <v>23</v>
      </c>
      <c r="K6276">
        <v>3419.87</v>
      </c>
      <c r="L6276">
        <v>148.69</v>
      </c>
      <c r="M6276">
        <v>161</v>
      </c>
      <c r="N6276">
        <v>26112.639999999999</v>
      </c>
      <c r="O6276">
        <v>162.19</v>
      </c>
    </row>
    <row r="6277" spans="1:15" x14ac:dyDescent="0.35">
      <c r="A6277" t="s">
        <v>6873</v>
      </c>
      <c r="B6277" t="s">
        <v>6874</v>
      </c>
      <c r="C6277" t="s">
        <v>898</v>
      </c>
      <c r="D6277" t="s">
        <v>293</v>
      </c>
      <c r="E6277" t="s">
        <v>300</v>
      </c>
      <c r="F6277" t="s">
        <v>6878</v>
      </c>
      <c r="G6277">
        <v>13</v>
      </c>
      <c r="H6277">
        <v>2451.7400000000002</v>
      </c>
      <c r="I6277">
        <v>188.6</v>
      </c>
      <c r="J6277">
        <v>3</v>
      </c>
      <c r="K6277">
        <v>517.79999999999995</v>
      </c>
      <c r="L6277">
        <v>172.6</v>
      </c>
      <c r="M6277">
        <v>16</v>
      </c>
      <c r="N6277">
        <v>2969.54</v>
      </c>
      <c r="O6277">
        <v>185.6</v>
      </c>
    </row>
    <row r="6278" spans="1:15" x14ac:dyDescent="0.35">
      <c r="A6278" t="s">
        <v>6873</v>
      </c>
      <c r="B6278" t="s">
        <v>6874</v>
      </c>
      <c r="C6278" t="s">
        <v>898</v>
      </c>
      <c r="D6278" t="s">
        <v>293</v>
      </c>
      <c r="E6278" t="s">
        <v>302</v>
      </c>
      <c r="F6278" t="s">
        <v>6879</v>
      </c>
      <c r="G6278">
        <v>0</v>
      </c>
      <c r="H6278">
        <v>0</v>
      </c>
      <c r="I6278">
        <v>0</v>
      </c>
      <c r="J6278">
        <v>0</v>
      </c>
      <c r="K6278">
        <v>0</v>
      </c>
      <c r="L6278">
        <v>0</v>
      </c>
      <c r="M6278">
        <v>0</v>
      </c>
      <c r="N6278">
        <v>0</v>
      </c>
      <c r="O6278">
        <v>0</v>
      </c>
    </row>
    <row r="6279" spans="1:15" x14ac:dyDescent="0.35">
      <c r="A6279" t="s">
        <v>6873</v>
      </c>
      <c r="B6279" t="s">
        <v>6874</v>
      </c>
      <c r="C6279" t="s">
        <v>898</v>
      </c>
      <c r="D6279" t="s">
        <v>293</v>
      </c>
      <c r="E6279" t="s">
        <v>304</v>
      </c>
      <c r="F6279" t="s">
        <v>6880</v>
      </c>
      <c r="G6279">
        <v>0</v>
      </c>
      <c r="H6279">
        <v>0</v>
      </c>
      <c r="I6279">
        <v>0</v>
      </c>
      <c r="J6279">
        <v>0</v>
      </c>
      <c r="K6279">
        <v>0</v>
      </c>
      <c r="L6279">
        <v>0</v>
      </c>
      <c r="M6279">
        <v>0</v>
      </c>
      <c r="N6279">
        <v>0</v>
      </c>
      <c r="O6279">
        <v>0</v>
      </c>
    </row>
    <row r="6280" spans="1:15" x14ac:dyDescent="0.35">
      <c r="A6280" t="s">
        <v>6873</v>
      </c>
      <c r="B6280" t="s">
        <v>6874</v>
      </c>
      <c r="C6280" t="s">
        <v>898</v>
      </c>
      <c r="D6280" t="s">
        <v>293</v>
      </c>
      <c r="E6280" t="s">
        <v>306</v>
      </c>
      <c r="F6280" t="s">
        <v>6881</v>
      </c>
      <c r="G6280">
        <v>0</v>
      </c>
      <c r="H6280">
        <v>0</v>
      </c>
      <c r="I6280">
        <v>0</v>
      </c>
      <c r="J6280">
        <v>0</v>
      </c>
      <c r="K6280">
        <v>0</v>
      </c>
      <c r="L6280">
        <v>0</v>
      </c>
      <c r="M6280">
        <v>0</v>
      </c>
      <c r="N6280">
        <v>0</v>
      </c>
      <c r="O6280">
        <v>0</v>
      </c>
    </row>
    <row r="6281" spans="1:15" x14ac:dyDescent="0.35">
      <c r="A6281" t="s">
        <v>6873</v>
      </c>
      <c r="B6281" t="s">
        <v>6874</v>
      </c>
      <c r="C6281" t="s">
        <v>898</v>
      </c>
      <c r="D6281" t="s">
        <v>293</v>
      </c>
      <c r="E6281" t="s">
        <v>308</v>
      </c>
      <c r="F6281" t="s">
        <v>6882</v>
      </c>
      <c r="G6281">
        <v>0</v>
      </c>
      <c r="H6281">
        <v>0</v>
      </c>
      <c r="I6281">
        <v>0</v>
      </c>
      <c r="J6281">
        <v>0</v>
      </c>
      <c r="K6281">
        <v>0</v>
      </c>
      <c r="L6281">
        <v>0</v>
      </c>
      <c r="M6281">
        <v>0</v>
      </c>
      <c r="N6281">
        <v>0</v>
      </c>
      <c r="O6281">
        <v>0</v>
      </c>
    </row>
    <row r="6282" spans="1:15" x14ac:dyDescent="0.35">
      <c r="A6282" t="s">
        <v>6873</v>
      </c>
      <c r="B6282" t="s">
        <v>6874</v>
      </c>
      <c r="C6282" t="s">
        <v>898</v>
      </c>
      <c r="D6282" t="s">
        <v>293</v>
      </c>
      <c r="E6282" t="s">
        <v>310</v>
      </c>
      <c r="F6282" t="s">
        <v>6883</v>
      </c>
      <c r="G6282">
        <v>587</v>
      </c>
      <c r="H6282">
        <v>82519.310000000012</v>
      </c>
      <c r="I6282">
        <v>140.58000000000001</v>
      </c>
      <c r="J6282">
        <v>118</v>
      </c>
      <c r="K6282">
        <v>15102.25</v>
      </c>
      <c r="L6282">
        <v>127.99</v>
      </c>
      <c r="M6282">
        <v>705</v>
      </c>
      <c r="N6282">
        <v>97621.560000000012</v>
      </c>
      <c r="O6282">
        <v>138.47</v>
      </c>
    </row>
    <row r="6283" spans="1:15" x14ac:dyDescent="0.35">
      <c r="A6283" t="s">
        <v>6873</v>
      </c>
      <c r="B6283" t="s">
        <v>6874</v>
      </c>
      <c r="C6283" t="s">
        <v>898</v>
      </c>
      <c r="D6283" t="s">
        <v>293</v>
      </c>
      <c r="E6283" t="s">
        <v>312</v>
      </c>
      <c r="F6283" t="s">
        <v>6884</v>
      </c>
      <c r="G6283">
        <v>587</v>
      </c>
      <c r="H6283">
        <v>82519.310000000012</v>
      </c>
      <c r="I6283">
        <v>140.58000000000001</v>
      </c>
      <c r="J6283">
        <v>118</v>
      </c>
      <c r="K6283">
        <v>15102.25</v>
      </c>
      <c r="L6283">
        <v>127.99</v>
      </c>
      <c r="M6283">
        <v>705</v>
      </c>
      <c r="N6283">
        <v>97621.560000000012</v>
      </c>
      <c r="O6283">
        <v>138.47</v>
      </c>
    </row>
    <row r="6284" spans="1:15" x14ac:dyDescent="0.35">
      <c r="A6284" t="s">
        <v>6873</v>
      </c>
      <c r="B6284" t="s">
        <v>6874</v>
      </c>
      <c r="C6284" t="s">
        <v>898</v>
      </c>
      <c r="D6284" t="s">
        <v>314</v>
      </c>
      <c r="E6284" t="s">
        <v>294</v>
      </c>
      <c r="F6284" t="s">
        <v>6885</v>
      </c>
      <c r="G6284">
        <v>0</v>
      </c>
      <c r="H6284">
        <v>0</v>
      </c>
      <c r="I6284">
        <v>0</v>
      </c>
      <c r="J6284">
        <v>6</v>
      </c>
      <c r="K6284">
        <v>600.66</v>
      </c>
      <c r="L6284">
        <v>100.11</v>
      </c>
      <c r="M6284">
        <v>6</v>
      </c>
      <c r="N6284">
        <v>600.66</v>
      </c>
      <c r="O6284">
        <v>100.11</v>
      </c>
    </row>
    <row r="6285" spans="1:15" x14ac:dyDescent="0.35">
      <c r="A6285" t="s">
        <v>6873</v>
      </c>
      <c r="B6285" t="s">
        <v>6874</v>
      </c>
      <c r="C6285" t="s">
        <v>898</v>
      </c>
      <c r="D6285" t="s">
        <v>314</v>
      </c>
      <c r="E6285" t="s">
        <v>296</v>
      </c>
      <c r="F6285" t="s">
        <v>6886</v>
      </c>
      <c r="G6285">
        <v>0</v>
      </c>
      <c r="H6285">
        <v>0</v>
      </c>
      <c r="I6285">
        <v>0</v>
      </c>
      <c r="J6285">
        <v>0</v>
      </c>
      <c r="K6285">
        <v>0</v>
      </c>
      <c r="L6285">
        <v>0</v>
      </c>
      <c r="M6285">
        <v>0</v>
      </c>
      <c r="N6285">
        <v>0</v>
      </c>
      <c r="O6285">
        <v>0</v>
      </c>
    </row>
    <row r="6286" spans="1:15" x14ac:dyDescent="0.35">
      <c r="A6286" t="s">
        <v>6873</v>
      </c>
      <c r="B6286" t="s">
        <v>6874</v>
      </c>
      <c r="C6286" t="s">
        <v>898</v>
      </c>
      <c r="D6286" t="s">
        <v>314</v>
      </c>
      <c r="E6286" t="s">
        <v>298</v>
      </c>
      <c r="F6286" t="s">
        <v>6887</v>
      </c>
      <c r="G6286">
        <v>0</v>
      </c>
      <c r="H6286">
        <v>0</v>
      </c>
      <c r="I6286">
        <v>0</v>
      </c>
      <c r="J6286">
        <v>0</v>
      </c>
      <c r="K6286">
        <v>0</v>
      </c>
      <c r="L6286">
        <v>0</v>
      </c>
      <c r="M6286">
        <v>0</v>
      </c>
      <c r="N6286">
        <v>0</v>
      </c>
      <c r="O6286">
        <v>0</v>
      </c>
    </row>
    <row r="6287" spans="1:15" x14ac:dyDescent="0.35">
      <c r="A6287" t="s">
        <v>6873</v>
      </c>
      <c r="B6287" t="s">
        <v>6874</v>
      </c>
      <c r="C6287" t="s">
        <v>898</v>
      </c>
      <c r="D6287" t="s">
        <v>314</v>
      </c>
      <c r="E6287" t="s">
        <v>300</v>
      </c>
      <c r="F6287" t="s">
        <v>6888</v>
      </c>
      <c r="G6287">
        <v>0</v>
      </c>
      <c r="H6287">
        <v>0</v>
      </c>
      <c r="I6287">
        <v>0</v>
      </c>
      <c r="J6287">
        <v>0</v>
      </c>
      <c r="K6287">
        <v>0</v>
      </c>
      <c r="L6287">
        <v>0</v>
      </c>
      <c r="M6287">
        <v>0</v>
      </c>
      <c r="N6287">
        <v>0</v>
      </c>
      <c r="O6287">
        <v>0</v>
      </c>
    </row>
    <row r="6288" spans="1:15" x14ac:dyDescent="0.35">
      <c r="A6288" t="s">
        <v>6873</v>
      </c>
      <c r="B6288" t="s">
        <v>6874</v>
      </c>
      <c r="C6288" t="s">
        <v>898</v>
      </c>
      <c r="D6288" t="s">
        <v>314</v>
      </c>
      <c r="E6288" t="s">
        <v>306</v>
      </c>
      <c r="F6288" t="s">
        <v>6889</v>
      </c>
      <c r="G6288">
        <v>0</v>
      </c>
      <c r="H6288">
        <v>0</v>
      </c>
      <c r="I6288">
        <v>0</v>
      </c>
      <c r="J6288">
        <v>0</v>
      </c>
      <c r="K6288">
        <v>0</v>
      </c>
      <c r="L6288">
        <v>0</v>
      </c>
      <c r="M6288">
        <v>0</v>
      </c>
      <c r="N6288">
        <v>0</v>
      </c>
      <c r="O6288">
        <v>0</v>
      </c>
    </row>
    <row r="6289" spans="1:15" x14ac:dyDescent="0.35">
      <c r="A6289" t="s">
        <v>6873</v>
      </c>
      <c r="B6289" t="s">
        <v>6874</v>
      </c>
      <c r="C6289" t="s">
        <v>898</v>
      </c>
      <c r="D6289" t="s">
        <v>314</v>
      </c>
      <c r="E6289" t="s">
        <v>308</v>
      </c>
      <c r="F6289" t="s">
        <v>6890</v>
      </c>
      <c r="G6289">
        <v>0</v>
      </c>
      <c r="H6289">
        <v>0</v>
      </c>
      <c r="I6289">
        <v>0</v>
      </c>
      <c r="J6289">
        <v>0</v>
      </c>
      <c r="K6289">
        <v>0</v>
      </c>
      <c r="L6289">
        <v>0</v>
      </c>
      <c r="M6289">
        <v>0</v>
      </c>
      <c r="N6289">
        <v>0</v>
      </c>
      <c r="O6289">
        <v>0</v>
      </c>
    </row>
    <row r="6290" spans="1:15" x14ac:dyDescent="0.35">
      <c r="A6290" t="s">
        <v>6873</v>
      </c>
      <c r="B6290" t="s">
        <v>6874</v>
      </c>
      <c r="C6290" t="s">
        <v>898</v>
      </c>
      <c r="D6290" t="s">
        <v>314</v>
      </c>
      <c r="E6290" t="s">
        <v>312</v>
      </c>
      <c r="F6290" t="s">
        <v>6891</v>
      </c>
      <c r="G6290">
        <v>0</v>
      </c>
      <c r="H6290">
        <v>0</v>
      </c>
      <c r="I6290">
        <v>0</v>
      </c>
      <c r="J6290">
        <v>6</v>
      </c>
      <c r="K6290">
        <v>600.66</v>
      </c>
      <c r="L6290">
        <v>100.11</v>
      </c>
      <c r="M6290">
        <v>6</v>
      </c>
      <c r="N6290">
        <v>600.66</v>
      </c>
      <c r="O6290">
        <v>100.11</v>
      </c>
    </row>
    <row r="6291" spans="1:15" x14ac:dyDescent="0.35">
      <c r="A6291" t="s">
        <v>6873</v>
      </c>
      <c r="B6291" t="s">
        <v>6874</v>
      </c>
      <c r="C6291" t="s">
        <v>898</v>
      </c>
      <c r="D6291" t="s">
        <v>314</v>
      </c>
      <c r="E6291" t="s">
        <v>310</v>
      </c>
      <c r="F6291" t="s">
        <v>6892</v>
      </c>
      <c r="G6291">
        <v>0</v>
      </c>
      <c r="H6291">
        <v>0</v>
      </c>
      <c r="I6291">
        <v>0</v>
      </c>
      <c r="J6291">
        <v>6</v>
      </c>
      <c r="K6291">
        <v>600.66</v>
      </c>
      <c r="L6291">
        <v>100.11</v>
      </c>
      <c r="M6291">
        <v>6</v>
      </c>
      <c r="N6291">
        <v>600.66</v>
      </c>
      <c r="O6291">
        <v>100.11</v>
      </c>
    </row>
    <row r="6292" spans="1:15" x14ac:dyDescent="0.35">
      <c r="A6292" t="s">
        <v>6873</v>
      </c>
      <c r="B6292" t="s">
        <v>6874</v>
      </c>
      <c r="C6292" t="s">
        <v>898</v>
      </c>
      <c r="D6292" t="s">
        <v>323</v>
      </c>
      <c r="E6292" t="s">
        <v>294</v>
      </c>
      <c r="F6292" t="s">
        <v>6893</v>
      </c>
      <c r="G6292">
        <v>92</v>
      </c>
      <c r="H6292">
        <v>8148.62</v>
      </c>
      <c r="I6292">
        <v>88.57</v>
      </c>
      <c r="J6292">
        <v>166</v>
      </c>
      <c r="K6292">
        <v>13487.5</v>
      </c>
      <c r="L6292">
        <v>81.25</v>
      </c>
      <c r="M6292">
        <v>258</v>
      </c>
      <c r="N6292">
        <v>21636.12</v>
      </c>
      <c r="O6292">
        <v>83.86</v>
      </c>
    </row>
    <row r="6293" spans="1:15" x14ac:dyDescent="0.35">
      <c r="A6293" t="s">
        <v>6873</v>
      </c>
      <c r="B6293" t="s">
        <v>6874</v>
      </c>
      <c r="C6293" t="s">
        <v>898</v>
      </c>
      <c r="D6293" t="s">
        <v>323</v>
      </c>
      <c r="E6293" t="s">
        <v>296</v>
      </c>
      <c r="F6293" t="s">
        <v>6894</v>
      </c>
      <c r="G6293">
        <v>478</v>
      </c>
      <c r="H6293">
        <v>49907.969999999994</v>
      </c>
      <c r="I6293">
        <v>104.41</v>
      </c>
      <c r="J6293">
        <v>1025</v>
      </c>
      <c r="K6293">
        <v>94638.25</v>
      </c>
      <c r="L6293">
        <v>92.33</v>
      </c>
      <c r="M6293">
        <v>1503</v>
      </c>
      <c r="N6293">
        <v>144546.22</v>
      </c>
      <c r="O6293">
        <v>96.17</v>
      </c>
    </row>
    <row r="6294" spans="1:15" x14ac:dyDescent="0.35">
      <c r="A6294" t="s">
        <v>6873</v>
      </c>
      <c r="B6294" t="s">
        <v>6874</v>
      </c>
      <c r="C6294" t="s">
        <v>898</v>
      </c>
      <c r="D6294" t="s">
        <v>323</v>
      </c>
      <c r="E6294" t="s">
        <v>298</v>
      </c>
      <c r="F6294" t="s">
        <v>6895</v>
      </c>
      <c r="G6294">
        <v>216</v>
      </c>
      <c r="H6294">
        <v>24793.97</v>
      </c>
      <c r="I6294">
        <v>114.79</v>
      </c>
      <c r="J6294">
        <v>1393</v>
      </c>
      <c r="K6294">
        <v>140999.46</v>
      </c>
      <c r="L6294">
        <v>101.22</v>
      </c>
      <c r="M6294">
        <v>1609</v>
      </c>
      <c r="N6294">
        <v>165793.43</v>
      </c>
      <c r="O6294">
        <v>103.04</v>
      </c>
    </row>
    <row r="6295" spans="1:15" x14ac:dyDescent="0.35">
      <c r="A6295" t="s">
        <v>6873</v>
      </c>
      <c r="B6295" t="s">
        <v>6874</v>
      </c>
      <c r="C6295" t="s">
        <v>898</v>
      </c>
      <c r="D6295" t="s">
        <v>323</v>
      </c>
      <c r="E6295" t="s">
        <v>300</v>
      </c>
      <c r="F6295" t="s">
        <v>6896</v>
      </c>
      <c r="G6295">
        <v>19</v>
      </c>
      <c r="H6295">
        <v>2431.71</v>
      </c>
      <c r="I6295">
        <v>127.98</v>
      </c>
      <c r="J6295">
        <v>15</v>
      </c>
      <c r="K6295">
        <v>1641.75</v>
      </c>
      <c r="L6295">
        <v>109.45</v>
      </c>
      <c r="M6295">
        <v>34</v>
      </c>
      <c r="N6295">
        <v>4073.46</v>
      </c>
      <c r="O6295">
        <v>119.81</v>
      </c>
    </row>
    <row r="6296" spans="1:15" x14ac:dyDescent="0.35">
      <c r="A6296" t="s">
        <v>6873</v>
      </c>
      <c r="B6296" t="s">
        <v>6874</v>
      </c>
      <c r="C6296" t="s">
        <v>898</v>
      </c>
      <c r="D6296" t="s">
        <v>323</v>
      </c>
      <c r="E6296" t="s">
        <v>302</v>
      </c>
      <c r="F6296" t="s">
        <v>6897</v>
      </c>
      <c r="G6296">
        <v>1</v>
      </c>
      <c r="H6296">
        <v>112.05</v>
      </c>
      <c r="I6296">
        <v>112.05</v>
      </c>
      <c r="J6296">
        <v>1</v>
      </c>
      <c r="K6296">
        <v>126.38</v>
      </c>
      <c r="L6296">
        <v>126.38</v>
      </c>
      <c r="M6296">
        <v>2</v>
      </c>
      <c r="N6296">
        <v>238.43</v>
      </c>
      <c r="O6296">
        <v>119.22</v>
      </c>
    </row>
    <row r="6297" spans="1:15" x14ac:dyDescent="0.35">
      <c r="A6297" t="s">
        <v>6873</v>
      </c>
      <c r="B6297" t="s">
        <v>6874</v>
      </c>
      <c r="C6297" t="s">
        <v>898</v>
      </c>
      <c r="D6297" t="s">
        <v>323</v>
      </c>
      <c r="E6297" t="s">
        <v>304</v>
      </c>
      <c r="F6297" t="s">
        <v>6898</v>
      </c>
      <c r="G6297">
        <v>0</v>
      </c>
      <c r="H6297">
        <v>0</v>
      </c>
      <c r="I6297">
        <v>0</v>
      </c>
      <c r="J6297">
        <v>1</v>
      </c>
      <c r="K6297">
        <v>120.29</v>
      </c>
      <c r="L6297">
        <v>120.29</v>
      </c>
      <c r="M6297">
        <v>1</v>
      </c>
      <c r="N6297">
        <v>120.29</v>
      </c>
      <c r="O6297">
        <v>120.29</v>
      </c>
    </row>
    <row r="6298" spans="1:15" x14ac:dyDescent="0.35">
      <c r="A6298" t="s">
        <v>6873</v>
      </c>
      <c r="B6298" t="s">
        <v>6874</v>
      </c>
      <c r="C6298" t="s">
        <v>898</v>
      </c>
      <c r="D6298" t="s">
        <v>323</v>
      </c>
      <c r="E6298" t="s">
        <v>306</v>
      </c>
      <c r="F6298" t="s">
        <v>6899</v>
      </c>
      <c r="G6298">
        <v>1</v>
      </c>
      <c r="H6298">
        <v>73.650000000000006</v>
      </c>
      <c r="I6298">
        <v>73.650000000000006</v>
      </c>
      <c r="J6298">
        <v>0</v>
      </c>
      <c r="K6298">
        <v>0</v>
      </c>
      <c r="L6298">
        <v>0</v>
      </c>
      <c r="M6298">
        <v>1</v>
      </c>
      <c r="N6298">
        <v>73.650000000000006</v>
      </c>
      <c r="O6298">
        <v>73.650000000000006</v>
      </c>
    </row>
    <row r="6299" spans="1:15" x14ac:dyDescent="0.35">
      <c r="A6299" t="s">
        <v>6873</v>
      </c>
      <c r="B6299" t="s">
        <v>6874</v>
      </c>
      <c r="C6299" t="s">
        <v>898</v>
      </c>
      <c r="D6299" t="s">
        <v>323</v>
      </c>
      <c r="E6299" t="s">
        <v>308</v>
      </c>
      <c r="F6299" t="s">
        <v>6900</v>
      </c>
      <c r="G6299">
        <v>0</v>
      </c>
      <c r="H6299">
        <v>0</v>
      </c>
      <c r="I6299">
        <v>0</v>
      </c>
      <c r="J6299">
        <v>0</v>
      </c>
      <c r="K6299">
        <v>0</v>
      </c>
      <c r="L6299">
        <v>0</v>
      </c>
      <c r="M6299">
        <v>0</v>
      </c>
      <c r="N6299">
        <v>0</v>
      </c>
      <c r="O6299">
        <v>0</v>
      </c>
    </row>
    <row r="6300" spans="1:15" x14ac:dyDescent="0.35">
      <c r="A6300" t="s">
        <v>6873</v>
      </c>
      <c r="B6300" t="s">
        <v>6874</v>
      </c>
      <c r="C6300" t="s">
        <v>898</v>
      </c>
      <c r="D6300" t="s">
        <v>323</v>
      </c>
      <c r="E6300" t="s">
        <v>310</v>
      </c>
      <c r="F6300" t="s">
        <v>6901</v>
      </c>
      <c r="G6300">
        <v>807</v>
      </c>
      <c r="H6300">
        <v>85467.97</v>
      </c>
      <c r="I6300">
        <v>105.91</v>
      </c>
      <c r="J6300">
        <v>2601</v>
      </c>
      <c r="K6300">
        <v>251013.63</v>
      </c>
      <c r="L6300">
        <v>96.51</v>
      </c>
      <c r="M6300">
        <v>3408</v>
      </c>
      <c r="N6300">
        <v>336481.6</v>
      </c>
      <c r="O6300">
        <v>98.73</v>
      </c>
    </row>
    <row r="6301" spans="1:15" x14ac:dyDescent="0.35">
      <c r="A6301" t="s">
        <v>6873</v>
      </c>
      <c r="B6301" t="s">
        <v>6874</v>
      </c>
      <c r="C6301" t="s">
        <v>898</v>
      </c>
      <c r="D6301" t="s">
        <v>323</v>
      </c>
      <c r="E6301" t="s">
        <v>312</v>
      </c>
      <c r="F6301" t="s">
        <v>6902</v>
      </c>
      <c r="G6301">
        <v>807</v>
      </c>
      <c r="H6301">
        <v>85467.97</v>
      </c>
      <c r="I6301">
        <v>105.91</v>
      </c>
      <c r="J6301">
        <v>2601</v>
      </c>
      <c r="K6301">
        <v>251013.63</v>
      </c>
      <c r="L6301">
        <v>96.51</v>
      </c>
      <c r="M6301">
        <v>3408</v>
      </c>
      <c r="N6301">
        <v>336481.6</v>
      </c>
      <c r="O6301">
        <v>98.73</v>
      </c>
    </row>
    <row r="6302" spans="1:15" x14ac:dyDescent="0.35">
      <c r="A6302" t="s">
        <v>6873</v>
      </c>
      <c r="B6302" t="s">
        <v>6874</v>
      </c>
      <c r="C6302" t="s">
        <v>898</v>
      </c>
      <c r="D6302" t="s">
        <v>334</v>
      </c>
      <c r="E6302" t="s">
        <v>312</v>
      </c>
      <c r="F6302" t="s">
        <v>6903</v>
      </c>
      <c r="G6302">
        <v>1526</v>
      </c>
      <c r="H6302">
        <v>167987.27999999997</v>
      </c>
      <c r="I6302">
        <v>120.51</v>
      </c>
      <c r="J6302">
        <v>2719</v>
      </c>
      <c r="K6302">
        <v>266115.87999999995</v>
      </c>
      <c r="L6302">
        <v>97.87</v>
      </c>
      <c r="M6302">
        <v>4245</v>
      </c>
      <c r="N6302">
        <v>434103.15999999992</v>
      </c>
      <c r="O6302">
        <v>105.54</v>
      </c>
    </row>
    <row r="6303" spans="1:15" x14ac:dyDescent="0.35">
      <c r="A6303" t="s">
        <v>6873</v>
      </c>
      <c r="B6303" t="s">
        <v>6874</v>
      </c>
      <c r="C6303" t="s">
        <v>898</v>
      </c>
      <c r="D6303" t="s">
        <v>334</v>
      </c>
      <c r="E6303" t="s">
        <v>308</v>
      </c>
      <c r="F6303" t="s">
        <v>6904</v>
      </c>
      <c r="G6303">
        <v>0</v>
      </c>
      <c r="H6303">
        <v>0</v>
      </c>
      <c r="I6303">
        <v>0</v>
      </c>
      <c r="J6303">
        <v>0</v>
      </c>
      <c r="K6303">
        <v>0</v>
      </c>
      <c r="L6303">
        <v>0</v>
      </c>
      <c r="M6303">
        <v>0</v>
      </c>
      <c r="N6303">
        <v>0</v>
      </c>
      <c r="O6303">
        <v>0</v>
      </c>
    </row>
    <row r="6304" spans="1:15" x14ac:dyDescent="0.35">
      <c r="A6304" t="s">
        <v>6873</v>
      </c>
      <c r="B6304" t="s">
        <v>6874</v>
      </c>
      <c r="C6304" t="s">
        <v>898</v>
      </c>
      <c r="D6304" t="s">
        <v>337</v>
      </c>
      <c r="E6304" t="s">
        <v>337</v>
      </c>
      <c r="F6304" t="s">
        <v>6905</v>
      </c>
      <c r="G6304">
        <v>705</v>
      </c>
      <c r="J6304">
        <v>50</v>
      </c>
      <c r="M6304">
        <v>755</v>
      </c>
    </row>
    <row r="6305" spans="1:15" x14ac:dyDescent="0.35">
      <c r="A6305" t="s">
        <v>6873</v>
      </c>
      <c r="B6305" t="s">
        <v>6874</v>
      </c>
      <c r="C6305" t="s">
        <v>898</v>
      </c>
      <c r="D6305" t="s">
        <v>339</v>
      </c>
      <c r="E6305" t="s">
        <v>294</v>
      </c>
      <c r="F6305" t="s">
        <v>6906</v>
      </c>
      <c r="G6305">
        <v>21</v>
      </c>
      <c r="H6305">
        <v>2106.25</v>
      </c>
      <c r="I6305">
        <v>100.3</v>
      </c>
      <c r="J6305">
        <v>617</v>
      </c>
      <c r="K6305">
        <v>49810.41</v>
      </c>
      <c r="L6305">
        <v>80.73</v>
      </c>
      <c r="M6305">
        <v>638</v>
      </c>
      <c r="N6305">
        <v>51916.66</v>
      </c>
      <c r="O6305">
        <v>81.37</v>
      </c>
    </row>
    <row r="6306" spans="1:15" x14ac:dyDescent="0.35">
      <c r="A6306" t="s">
        <v>6873</v>
      </c>
      <c r="B6306" t="s">
        <v>6874</v>
      </c>
      <c r="C6306" t="s">
        <v>898</v>
      </c>
      <c r="D6306" t="s">
        <v>339</v>
      </c>
      <c r="E6306" t="s">
        <v>296</v>
      </c>
      <c r="F6306" t="s">
        <v>6907</v>
      </c>
      <c r="G6306">
        <v>0</v>
      </c>
      <c r="H6306">
        <v>0</v>
      </c>
      <c r="I6306">
        <v>0</v>
      </c>
      <c r="J6306">
        <v>426</v>
      </c>
      <c r="K6306">
        <v>39992.879999999997</v>
      </c>
      <c r="L6306">
        <v>93.88</v>
      </c>
      <c r="M6306">
        <v>426</v>
      </c>
      <c r="N6306">
        <v>39992.879999999997</v>
      </c>
      <c r="O6306">
        <v>93.88</v>
      </c>
    </row>
    <row r="6307" spans="1:15" x14ac:dyDescent="0.35">
      <c r="A6307" t="s">
        <v>6873</v>
      </c>
      <c r="B6307" t="s">
        <v>6874</v>
      </c>
      <c r="C6307" t="s">
        <v>898</v>
      </c>
      <c r="D6307" t="s">
        <v>339</v>
      </c>
      <c r="E6307" t="s">
        <v>298</v>
      </c>
      <c r="F6307" t="s">
        <v>6908</v>
      </c>
      <c r="G6307">
        <v>2</v>
      </c>
      <c r="H6307">
        <v>391.24</v>
      </c>
      <c r="I6307">
        <v>195.62</v>
      </c>
      <c r="J6307">
        <v>11</v>
      </c>
      <c r="K6307">
        <v>1594.78</v>
      </c>
      <c r="L6307">
        <v>144.97999999999999</v>
      </c>
      <c r="M6307">
        <v>13</v>
      </c>
      <c r="N6307">
        <v>1986.02</v>
      </c>
      <c r="O6307">
        <v>152.77000000000001</v>
      </c>
    </row>
    <row r="6308" spans="1:15" x14ac:dyDescent="0.35">
      <c r="A6308" t="s">
        <v>6873</v>
      </c>
      <c r="B6308" t="s">
        <v>6874</v>
      </c>
      <c r="C6308" t="s">
        <v>898</v>
      </c>
      <c r="D6308" t="s">
        <v>339</v>
      </c>
      <c r="E6308" t="s">
        <v>300</v>
      </c>
      <c r="F6308" t="s">
        <v>6909</v>
      </c>
      <c r="G6308">
        <v>6</v>
      </c>
      <c r="H6308">
        <v>1288.98</v>
      </c>
      <c r="I6308">
        <v>214.83</v>
      </c>
      <c r="J6308">
        <v>0</v>
      </c>
      <c r="K6308">
        <v>0</v>
      </c>
      <c r="L6308">
        <v>0</v>
      </c>
      <c r="M6308">
        <v>6</v>
      </c>
      <c r="N6308">
        <v>1288.98</v>
      </c>
      <c r="O6308">
        <v>214.83</v>
      </c>
    </row>
    <row r="6309" spans="1:15" x14ac:dyDescent="0.35">
      <c r="A6309" t="s">
        <v>6873</v>
      </c>
      <c r="B6309" t="s">
        <v>6874</v>
      </c>
      <c r="C6309" t="s">
        <v>898</v>
      </c>
      <c r="D6309" t="s">
        <v>339</v>
      </c>
      <c r="E6309" t="s">
        <v>306</v>
      </c>
      <c r="F6309" t="s">
        <v>6910</v>
      </c>
      <c r="G6309">
        <v>4</v>
      </c>
      <c r="H6309">
        <v>371.44</v>
      </c>
      <c r="I6309">
        <v>92.86</v>
      </c>
      <c r="J6309">
        <v>0</v>
      </c>
      <c r="K6309">
        <v>0</v>
      </c>
      <c r="L6309">
        <v>0</v>
      </c>
      <c r="M6309">
        <v>4</v>
      </c>
      <c r="N6309">
        <v>371.44</v>
      </c>
      <c r="O6309">
        <v>92.86</v>
      </c>
    </row>
    <row r="6310" spans="1:15" x14ac:dyDescent="0.35">
      <c r="A6310" t="s">
        <v>6873</v>
      </c>
      <c r="B6310" t="s">
        <v>6874</v>
      </c>
      <c r="C6310" t="s">
        <v>898</v>
      </c>
      <c r="D6310" t="s">
        <v>339</v>
      </c>
      <c r="E6310" t="s">
        <v>308</v>
      </c>
      <c r="F6310" t="s">
        <v>6911</v>
      </c>
      <c r="G6310">
        <v>60</v>
      </c>
      <c r="H6310">
        <v>10813.27</v>
      </c>
      <c r="I6310">
        <v>180.22</v>
      </c>
      <c r="J6310">
        <v>9</v>
      </c>
      <c r="K6310">
        <v>926.37000000000012</v>
      </c>
      <c r="L6310">
        <v>102.93</v>
      </c>
      <c r="M6310">
        <v>69</v>
      </c>
      <c r="N6310">
        <v>11739.640000000001</v>
      </c>
      <c r="O6310">
        <v>170.14</v>
      </c>
    </row>
    <row r="6311" spans="1:15" x14ac:dyDescent="0.35">
      <c r="A6311" t="s">
        <v>6873</v>
      </c>
      <c r="B6311" t="s">
        <v>6874</v>
      </c>
      <c r="C6311" t="s">
        <v>898</v>
      </c>
      <c r="D6311" t="s">
        <v>339</v>
      </c>
      <c r="E6311" t="s">
        <v>310</v>
      </c>
      <c r="F6311" t="s">
        <v>6912</v>
      </c>
      <c r="G6311">
        <v>93</v>
      </c>
      <c r="H6311">
        <v>14971.18</v>
      </c>
      <c r="I6311">
        <v>160.97999999999999</v>
      </c>
      <c r="J6311">
        <v>1063</v>
      </c>
      <c r="K6311">
        <v>92324.44</v>
      </c>
      <c r="L6311">
        <v>86.85</v>
      </c>
      <c r="M6311">
        <v>1156</v>
      </c>
      <c r="N6311">
        <v>107295.62</v>
      </c>
      <c r="O6311">
        <v>92.82</v>
      </c>
    </row>
    <row r="6312" spans="1:15" x14ac:dyDescent="0.35">
      <c r="A6312" t="s">
        <v>6873</v>
      </c>
      <c r="B6312" t="s">
        <v>6874</v>
      </c>
      <c r="C6312" t="s">
        <v>898</v>
      </c>
      <c r="D6312" t="s">
        <v>339</v>
      </c>
      <c r="E6312" t="s">
        <v>312</v>
      </c>
      <c r="F6312" t="s">
        <v>6913</v>
      </c>
      <c r="G6312">
        <v>33</v>
      </c>
      <c r="H6312">
        <v>4157.91</v>
      </c>
      <c r="I6312">
        <v>126</v>
      </c>
      <c r="J6312">
        <v>1054</v>
      </c>
      <c r="K6312">
        <v>91398.07</v>
      </c>
      <c r="L6312">
        <v>86.72</v>
      </c>
      <c r="M6312">
        <v>1087</v>
      </c>
      <c r="N6312">
        <v>95555.98000000001</v>
      </c>
      <c r="O6312">
        <v>87.91</v>
      </c>
    </row>
    <row r="6313" spans="1:15" x14ac:dyDescent="0.35">
      <c r="A6313" t="s">
        <v>6873</v>
      </c>
      <c r="B6313" t="s">
        <v>6874</v>
      </c>
      <c r="C6313" t="s">
        <v>898</v>
      </c>
      <c r="D6313" t="s">
        <v>348</v>
      </c>
      <c r="E6313" t="s">
        <v>349</v>
      </c>
      <c r="F6313" t="s">
        <v>6914</v>
      </c>
      <c r="G6313">
        <v>102</v>
      </c>
      <c r="H6313">
        <v>14971.18</v>
      </c>
      <c r="I6313">
        <v>160.97999999999999</v>
      </c>
      <c r="J6313">
        <v>1069</v>
      </c>
      <c r="K6313">
        <v>92925.1</v>
      </c>
      <c r="L6313">
        <v>86.93</v>
      </c>
      <c r="M6313">
        <v>1171</v>
      </c>
      <c r="N6313">
        <v>107896.28</v>
      </c>
      <c r="O6313">
        <v>92.85</v>
      </c>
    </row>
    <row r="6314" spans="1:15" x14ac:dyDescent="0.35">
      <c r="A6314" t="s">
        <v>6915</v>
      </c>
      <c r="B6314" t="s">
        <v>6916</v>
      </c>
      <c r="C6314" t="s">
        <v>898</v>
      </c>
      <c r="D6314" t="s">
        <v>293</v>
      </c>
      <c r="E6314" t="s">
        <v>294</v>
      </c>
      <c r="F6314" t="s">
        <v>6917</v>
      </c>
      <c r="G6314">
        <v>76</v>
      </c>
      <c r="H6314">
        <v>8244.630000000001</v>
      </c>
      <c r="I6314">
        <v>108.48</v>
      </c>
      <c r="J6314">
        <v>26</v>
      </c>
      <c r="K6314">
        <v>3125.72</v>
      </c>
      <c r="L6314">
        <v>120.22</v>
      </c>
      <c r="M6314">
        <v>102</v>
      </c>
      <c r="N6314">
        <v>11370.35</v>
      </c>
      <c r="O6314">
        <v>111.47</v>
      </c>
    </row>
    <row r="6315" spans="1:15" x14ac:dyDescent="0.35">
      <c r="A6315" t="s">
        <v>6915</v>
      </c>
      <c r="B6315" t="s">
        <v>6916</v>
      </c>
      <c r="C6315" t="s">
        <v>898</v>
      </c>
      <c r="D6315" t="s">
        <v>293</v>
      </c>
      <c r="E6315" t="s">
        <v>296</v>
      </c>
      <c r="F6315" t="s">
        <v>6918</v>
      </c>
      <c r="G6315">
        <v>338</v>
      </c>
      <c r="H6315">
        <v>46429.359999999993</v>
      </c>
      <c r="I6315">
        <v>137.36000000000001</v>
      </c>
      <c r="J6315">
        <v>22</v>
      </c>
      <c r="K6315">
        <v>3570.16</v>
      </c>
      <c r="L6315">
        <v>162.28</v>
      </c>
      <c r="M6315">
        <v>360</v>
      </c>
      <c r="N6315">
        <v>49999.51999999999</v>
      </c>
      <c r="O6315">
        <v>138.88999999999999</v>
      </c>
    </row>
    <row r="6316" spans="1:15" x14ac:dyDescent="0.35">
      <c r="A6316" t="s">
        <v>6915</v>
      </c>
      <c r="B6316" t="s">
        <v>6916</v>
      </c>
      <c r="C6316" t="s">
        <v>898</v>
      </c>
      <c r="D6316" t="s">
        <v>293</v>
      </c>
      <c r="E6316" t="s">
        <v>298</v>
      </c>
      <c r="F6316" t="s">
        <v>6919</v>
      </c>
      <c r="G6316">
        <v>194</v>
      </c>
      <c r="H6316">
        <v>31675.429999999997</v>
      </c>
      <c r="I6316">
        <v>163.28</v>
      </c>
      <c r="J6316">
        <v>13</v>
      </c>
      <c r="K6316">
        <v>2510.9500000000003</v>
      </c>
      <c r="L6316">
        <v>193.15</v>
      </c>
      <c r="M6316">
        <v>207</v>
      </c>
      <c r="N6316">
        <v>34186.379999999997</v>
      </c>
      <c r="O6316">
        <v>165.15</v>
      </c>
    </row>
    <row r="6317" spans="1:15" x14ac:dyDescent="0.35">
      <c r="A6317" t="s">
        <v>6915</v>
      </c>
      <c r="B6317" t="s">
        <v>6916</v>
      </c>
      <c r="C6317" t="s">
        <v>898</v>
      </c>
      <c r="D6317" t="s">
        <v>293</v>
      </c>
      <c r="E6317" t="s">
        <v>300</v>
      </c>
      <c r="F6317" t="s">
        <v>6920</v>
      </c>
      <c r="G6317">
        <v>44</v>
      </c>
      <c r="H6317">
        <v>9407.11</v>
      </c>
      <c r="I6317">
        <v>213.8</v>
      </c>
      <c r="J6317">
        <v>4</v>
      </c>
      <c r="K6317">
        <v>904.64</v>
      </c>
      <c r="L6317">
        <v>226.16</v>
      </c>
      <c r="M6317">
        <v>48</v>
      </c>
      <c r="N6317">
        <v>10311.75</v>
      </c>
      <c r="O6317">
        <v>214.83</v>
      </c>
    </row>
    <row r="6318" spans="1:15" x14ac:dyDescent="0.35">
      <c r="A6318" t="s">
        <v>6915</v>
      </c>
      <c r="B6318" t="s">
        <v>6916</v>
      </c>
      <c r="C6318" t="s">
        <v>898</v>
      </c>
      <c r="D6318" t="s">
        <v>293</v>
      </c>
      <c r="E6318" t="s">
        <v>302</v>
      </c>
      <c r="F6318" t="s">
        <v>6921</v>
      </c>
      <c r="G6318">
        <v>1</v>
      </c>
      <c r="H6318">
        <v>169.58</v>
      </c>
      <c r="I6318">
        <v>169.58</v>
      </c>
      <c r="J6318">
        <v>0</v>
      </c>
      <c r="K6318">
        <v>0</v>
      </c>
      <c r="L6318">
        <v>0</v>
      </c>
      <c r="M6318">
        <v>1</v>
      </c>
      <c r="N6318">
        <v>169.58</v>
      </c>
      <c r="O6318">
        <v>169.58</v>
      </c>
    </row>
    <row r="6319" spans="1:15" x14ac:dyDescent="0.35">
      <c r="A6319" t="s">
        <v>6915</v>
      </c>
      <c r="B6319" t="s">
        <v>6916</v>
      </c>
      <c r="C6319" t="s">
        <v>898</v>
      </c>
      <c r="D6319" t="s">
        <v>293</v>
      </c>
      <c r="E6319" t="s">
        <v>304</v>
      </c>
      <c r="F6319" t="s">
        <v>6922</v>
      </c>
      <c r="G6319">
        <v>0</v>
      </c>
      <c r="H6319">
        <v>0</v>
      </c>
      <c r="I6319">
        <v>0</v>
      </c>
      <c r="J6319">
        <v>0</v>
      </c>
      <c r="K6319">
        <v>0</v>
      </c>
      <c r="L6319">
        <v>0</v>
      </c>
      <c r="M6319">
        <v>0</v>
      </c>
      <c r="N6319">
        <v>0</v>
      </c>
      <c r="O6319">
        <v>0</v>
      </c>
    </row>
    <row r="6320" spans="1:15" x14ac:dyDescent="0.35">
      <c r="A6320" t="s">
        <v>6915</v>
      </c>
      <c r="B6320" t="s">
        <v>6916</v>
      </c>
      <c r="C6320" t="s">
        <v>898</v>
      </c>
      <c r="D6320" t="s">
        <v>293</v>
      </c>
      <c r="E6320" t="s">
        <v>306</v>
      </c>
      <c r="F6320" t="s">
        <v>6923</v>
      </c>
      <c r="G6320">
        <v>0</v>
      </c>
      <c r="H6320">
        <v>0</v>
      </c>
      <c r="I6320">
        <v>0</v>
      </c>
      <c r="J6320">
        <v>0</v>
      </c>
      <c r="K6320">
        <v>0</v>
      </c>
      <c r="L6320">
        <v>0</v>
      </c>
      <c r="M6320">
        <v>0</v>
      </c>
      <c r="N6320">
        <v>0</v>
      </c>
      <c r="O6320">
        <v>0</v>
      </c>
    </row>
    <row r="6321" spans="1:15" x14ac:dyDescent="0.35">
      <c r="A6321" t="s">
        <v>6915</v>
      </c>
      <c r="B6321" t="s">
        <v>6916</v>
      </c>
      <c r="C6321" t="s">
        <v>898</v>
      </c>
      <c r="D6321" t="s">
        <v>293</v>
      </c>
      <c r="E6321" t="s">
        <v>308</v>
      </c>
      <c r="F6321" t="s">
        <v>6924</v>
      </c>
      <c r="G6321">
        <v>0</v>
      </c>
      <c r="H6321">
        <v>0</v>
      </c>
      <c r="I6321">
        <v>0</v>
      </c>
      <c r="J6321">
        <v>0</v>
      </c>
      <c r="K6321">
        <v>0</v>
      </c>
      <c r="L6321">
        <v>0</v>
      </c>
      <c r="M6321">
        <v>0</v>
      </c>
      <c r="N6321">
        <v>0</v>
      </c>
      <c r="O6321">
        <v>0</v>
      </c>
    </row>
    <row r="6322" spans="1:15" x14ac:dyDescent="0.35">
      <c r="A6322" t="s">
        <v>6915</v>
      </c>
      <c r="B6322" t="s">
        <v>6916</v>
      </c>
      <c r="C6322" t="s">
        <v>898</v>
      </c>
      <c r="D6322" t="s">
        <v>293</v>
      </c>
      <c r="E6322" t="s">
        <v>310</v>
      </c>
      <c r="F6322" t="s">
        <v>6925</v>
      </c>
      <c r="G6322">
        <v>653</v>
      </c>
      <c r="H6322">
        <v>95926.109999999986</v>
      </c>
      <c r="I6322">
        <v>146.9</v>
      </c>
      <c r="J6322">
        <v>65</v>
      </c>
      <c r="K6322">
        <v>10111.469999999999</v>
      </c>
      <c r="L6322">
        <v>155.56</v>
      </c>
      <c r="M6322">
        <v>718</v>
      </c>
      <c r="N6322">
        <v>106037.57999999999</v>
      </c>
      <c r="O6322">
        <v>147.68</v>
      </c>
    </row>
    <row r="6323" spans="1:15" x14ac:dyDescent="0.35">
      <c r="A6323" t="s">
        <v>6915</v>
      </c>
      <c r="B6323" t="s">
        <v>6916</v>
      </c>
      <c r="C6323" t="s">
        <v>898</v>
      </c>
      <c r="D6323" t="s">
        <v>293</v>
      </c>
      <c r="E6323" t="s">
        <v>312</v>
      </c>
      <c r="F6323" t="s">
        <v>6926</v>
      </c>
      <c r="G6323">
        <v>653</v>
      </c>
      <c r="H6323">
        <v>95926.109999999986</v>
      </c>
      <c r="I6323">
        <v>146.9</v>
      </c>
      <c r="J6323">
        <v>65</v>
      </c>
      <c r="K6323">
        <v>10111.469999999999</v>
      </c>
      <c r="L6323">
        <v>155.56</v>
      </c>
      <c r="M6323">
        <v>718</v>
      </c>
      <c r="N6323">
        <v>106037.57999999999</v>
      </c>
      <c r="O6323">
        <v>147.68</v>
      </c>
    </row>
    <row r="6324" spans="1:15" x14ac:dyDescent="0.35">
      <c r="A6324" t="s">
        <v>6915</v>
      </c>
      <c r="B6324" t="s">
        <v>6916</v>
      </c>
      <c r="C6324" t="s">
        <v>898</v>
      </c>
      <c r="D6324" t="s">
        <v>314</v>
      </c>
      <c r="E6324" t="s">
        <v>294</v>
      </c>
      <c r="F6324" t="s">
        <v>6927</v>
      </c>
      <c r="G6324">
        <v>0</v>
      </c>
      <c r="H6324">
        <v>0</v>
      </c>
      <c r="I6324">
        <v>0</v>
      </c>
      <c r="J6324">
        <v>0</v>
      </c>
      <c r="K6324">
        <v>0</v>
      </c>
      <c r="L6324">
        <v>0</v>
      </c>
      <c r="M6324">
        <v>0</v>
      </c>
      <c r="N6324">
        <v>0</v>
      </c>
      <c r="O6324">
        <v>0</v>
      </c>
    </row>
    <row r="6325" spans="1:15" x14ac:dyDescent="0.35">
      <c r="A6325" t="s">
        <v>6915</v>
      </c>
      <c r="B6325" t="s">
        <v>6916</v>
      </c>
      <c r="C6325" t="s">
        <v>898</v>
      </c>
      <c r="D6325" t="s">
        <v>314</v>
      </c>
      <c r="E6325" t="s">
        <v>296</v>
      </c>
      <c r="F6325" t="s">
        <v>6928</v>
      </c>
      <c r="G6325">
        <v>0</v>
      </c>
      <c r="H6325">
        <v>0</v>
      </c>
      <c r="I6325">
        <v>0</v>
      </c>
      <c r="J6325">
        <v>0</v>
      </c>
      <c r="K6325">
        <v>0</v>
      </c>
      <c r="L6325">
        <v>0</v>
      </c>
      <c r="M6325">
        <v>0</v>
      </c>
      <c r="N6325">
        <v>0</v>
      </c>
      <c r="O6325">
        <v>0</v>
      </c>
    </row>
    <row r="6326" spans="1:15" x14ac:dyDescent="0.35">
      <c r="A6326" t="s">
        <v>6915</v>
      </c>
      <c r="B6326" t="s">
        <v>6916</v>
      </c>
      <c r="C6326" t="s">
        <v>898</v>
      </c>
      <c r="D6326" t="s">
        <v>314</v>
      </c>
      <c r="E6326" t="s">
        <v>298</v>
      </c>
      <c r="F6326" t="s">
        <v>6929</v>
      </c>
      <c r="G6326">
        <v>0</v>
      </c>
      <c r="H6326">
        <v>0</v>
      </c>
      <c r="I6326">
        <v>0</v>
      </c>
      <c r="J6326">
        <v>0</v>
      </c>
      <c r="K6326">
        <v>0</v>
      </c>
      <c r="L6326">
        <v>0</v>
      </c>
      <c r="M6326">
        <v>0</v>
      </c>
      <c r="N6326">
        <v>0</v>
      </c>
      <c r="O6326">
        <v>0</v>
      </c>
    </row>
    <row r="6327" spans="1:15" x14ac:dyDescent="0.35">
      <c r="A6327" t="s">
        <v>6915</v>
      </c>
      <c r="B6327" t="s">
        <v>6916</v>
      </c>
      <c r="C6327" t="s">
        <v>898</v>
      </c>
      <c r="D6327" t="s">
        <v>314</v>
      </c>
      <c r="E6327" t="s">
        <v>300</v>
      </c>
      <c r="F6327" t="s">
        <v>6930</v>
      </c>
      <c r="G6327">
        <v>0</v>
      </c>
      <c r="H6327">
        <v>0</v>
      </c>
      <c r="I6327">
        <v>0</v>
      </c>
      <c r="J6327">
        <v>0</v>
      </c>
      <c r="K6327">
        <v>0</v>
      </c>
      <c r="L6327">
        <v>0</v>
      </c>
      <c r="M6327">
        <v>0</v>
      </c>
      <c r="N6327">
        <v>0</v>
      </c>
      <c r="O6327">
        <v>0</v>
      </c>
    </row>
    <row r="6328" spans="1:15" x14ac:dyDescent="0.35">
      <c r="A6328" t="s">
        <v>6915</v>
      </c>
      <c r="B6328" t="s">
        <v>6916</v>
      </c>
      <c r="C6328" t="s">
        <v>898</v>
      </c>
      <c r="D6328" t="s">
        <v>314</v>
      </c>
      <c r="E6328" t="s">
        <v>306</v>
      </c>
      <c r="F6328" t="s">
        <v>6931</v>
      </c>
      <c r="G6328">
        <v>0</v>
      </c>
      <c r="H6328">
        <v>0</v>
      </c>
      <c r="I6328">
        <v>0</v>
      </c>
      <c r="J6328">
        <v>0</v>
      </c>
      <c r="K6328">
        <v>0</v>
      </c>
      <c r="L6328">
        <v>0</v>
      </c>
      <c r="M6328">
        <v>0</v>
      </c>
      <c r="N6328">
        <v>0</v>
      </c>
      <c r="O6328">
        <v>0</v>
      </c>
    </row>
    <row r="6329" spans="1:15" x14ac:dyDescent="0.35">
      <c r="A6329" t="s">
        <v>6915</v>
      </c>
      <c r="B6329" t="s">
        <v>6916</v>
      </c>
      <c r="C6329" t="s">
        <v>898</v>
      </c>
      <c r="D6329" t="s">
        <v>314</v>
      </c>
      <c r="E6329" t="s">
        <v>308</v>
      </c>
      <c r="F6329" t="s">
        <v>6932</v>
      </c>
      <c r="G6329">
        <v>0</v>
      </c>
      <c r="H6329">
        <v>0</v>
      </c>
      <c r="I6329">
        <v>0</v>
      </c>
      <c r="J6329">
        <v>0</v>
      </c>
      <c r="K6329">
        <v>0</v>
      </c>
      <c r="L6329">
        <v>0</v>
      </c>
      <c r="M6329">
        <v>0</v>
      </c>
      <c r="N6329">
        <v>0</v>
      </c>
      <c r="O6329">
        <v>0</v>
      </c>
    </row>
    <row r="6330" spans="1:15" x14ac:dyDescent="0.35">
      <c r="A6330" t="s">
        <v>6915</v>
      </c>
      <c r="B6330" t="s">
        <v>6916</v>
      </c>
      <c r="C6330" t="s">
        <v>898</v>
      </c>
      <c r="D6330" t="s">
        <v>314</v>
      </c>
      <c r="E6330" t="s">
        <v>312</v>
      </c>
      <c r="F6330" t="s">
        <v>6933</v>
      </c>
      <c r="G6330">
        <v>0</v>
      </c>
      <c r="H6330">
        <v>0</v>
      </c>
      <c r="I6330">
        <v>0</v>
      </c>
      <c r="J6330">
        <v>0</v>
      </c>
      <c r="K6330">
        <v>0</v>
      </c>
      <c r="L6330">
        <v>0</v>
      </c>
      <c r="M6330">
        <v>0</v>
      </c>
      <c r="N6330">
        <v>0</v>
      </c>
      <c r="O6330">
        <v>0</v>
      </c>
    </row>
    <row r="6331" spans="1:15" x14ac:dyDescent="0.35">
      <c r="A6331" t="s">
        <v>6915</v>
      </c>
      <c r="B6331" t="s">
        <v>6916</v>
      </c>
      <c r="C6331" t="s">
        <v>898</v>
      </c>
      <c r="D6331" t="s">
        <v>314</v>
      </c>
      <c r="E6331" t="s">
        <v>310</v>
      </c>
      <c r="F6331" t="s">
        <v>6934</v>
      </c>
      <c r="G6331">
        <v>0</v>
      </c>
      <c r="H6331">
        <v>0</v>
      </c>
      <c r="I6331">
        <v>0</v>
      </c>
      <c r="J6331">
        <v>0</v>
      </c>
      <c r="K6331">
        <v>0</v>
      </c>
      <c r="L6331">
        <v>0</v>
      </c>
      <c r="M6331">
        <v>0</v>
      </c>
      <c r="N6331">
        <v>0</v>
      </c>
      <c r="O6331">
        <v>0</v>
      </c>
    </row>
    <row r="6332" spans="1:15" x14ac:dyDescent="0.35">
      <c r="A6332" t="s">
        <v>6915</v>
      </c>
      <c r="B6332" t="s">
        <v>6916</v>
      </c>
      <c r="C6332" t="s">
        <v>898</v>
      </c>
      <c r="D6332" t="s">
        <v>323</v>
      </c>
      <c r="E6332" t="s">
        <v>294</v>
      </c>
      <c r="F6332" t="s">
        <v>6935</v>
      </c>
      <c r="G6332">
        <v>164</v>
      </c>
      <c r="H6332">
        <v>15365.340000000002</v>
      </c>
      <c r="I6332">
        <v>93.69</v>
      </c>
      <c r="J6332">
        <v>274</v>
      </c>
      <c r="K6332">
        <v>23018.74</v>
      </c>
      <c r="L6332">
        <v>84.01</v>
      </c>
      <c r="M6332">
        <v>438</v>
      </c>
      <c r="N6332">
        <v>38384.080000000002</v>
      </c>
      <c r="O6332">
        <v>87.63</v>
      </c>
    </row>
    <row r="6333" spans="1:15" x14ac:dyDescent="0.35">
      <c r="A6333" t="s">
        <v>6915</v>
      </c>
      <c r="B6333" t="s">
        <v>6916</v>
      </c>
      <c r="C6333" t="s">
        <v>898</v>
      </c>
      <c r="D6333" t="s">
        <v>323</v>
      </c>
      <c r="E6333" t="s">
        <v>296</v>
      </c>
      <c r="F6333" t="s">
        <v>6936</v>
      </c>
      <c r="G6333">
        <v>671</v>
      </c>
      <c r="H6333">
        <v>71808.52</v>
      </c>
      <c r="I6333">
        <v>107.02</v>
      </c>
      <c r="J6333">
        <v>1906</v>
      </c>
      <c r="K6333">
        <v>180021.7</v>
      </c>
      <c r="L6333">
        <v>94.45</v>
      </c>
      <c r="M6333">
        <v>2577</v>
      </c>
      <c r="N6333">
        <v>251830.22000000003</v>
      </c>
      <c r="O6333">
        <v>97.72</v>
      </c>
    </row>
    <row r="6334" spans="1:15" x14ac:dyDescent="0.35">
      <c r="A6334" t="s">
        <v>6915</v>
      </c>
      <c r="B6334" t="s">
        <v>6916</v>
      </c>
      <c r="C6334" t="s">
        <v>898</v>
      </c>
      <c r="D6334" t="s">
        <v>323</v>
      </c>
      <c r="E6334" t="s">
        <v>298</v>
      </c>
      <c r="F6334" t="s">
        <v>6937</v>
      </c>
      <c r="G6334">
        <v>386</v>
      </c>
      <c r="H6334">
        <v>44970.64</v>
      </c>
      <c r="I6334">
        <v>116.5</v>
      </c>
      <c r="J6334">
        <v>2352</v>
      </c>
      <c r="K6334">
        <v>244067.03999999998</v>
      </c>
      <c r="L6334">
        <v>103.77</v>
      </c>
      <c r="M6334">
        <v>2738</v>
      </c>
      <c r="N6334">
        <v>289037.68</v>
      </c>
      <c r="O6334">
        <v>105.57</v>
      </c>
    </row>
    <row r="6335" spans="1:15" x14ac:dyDescent="0.35">
      <c r="A6335" t="s">
        <v>6915</v>
      </c>
      <c r="B6335" t="s">
        <v>6916</v>
      </c>
      <c r="C6335" t="s">
        <v>898</v>
      </c>
      <c r="D6335" t="s">
        <v>323</v>
      </c>
      <c r="E6335" t="s">
        <v>300</v>
      </c>
      <c r="F6335" t="s">
        <v>6938</v>
      </c>
      <c r="G6335">
        <v>54</v>
      </c>
      <c r="H6335">
        <v>7080.3399999999992</v>
      </c>
      <c r="I6335">
        <v>131.12</v>
      </c>
      <c r="J6335">
        <v>121</v>
      </c>
      <c r="K6335">
        <v>13178.109999999999</v>
      </c>
      <c r="L6335">
        <v>108.91</v>
      </c>
      <c r="M6335">
        <v>175</v>
      </c>
      <c r="N6335">
        <v>20258.449999999997</v>
      </c>
      <c r="O6335">
        <v>115.76</v>
      </c>
    </row>
    <row r="6336" spans="1:15" x14ac:dyDescent="0.35">
      <c r="A6336" t="s">
        <v>6915</v>
      </c>
      <c r="B6336" t="s">
        <v>6916</v>
      </c>
      <c r="C6336" t="s">
        <v>898</v>
      </c>
      <c r="D6336" t="s">
        <v>323</v>
      </c>
      <c r="E6336" t="s">
        <v>302</v>
      </c>
      <c r="F6336" t="s">
        <v>6939</v>
      </c>
      <c r="G6336">
        <v>0</v>
      </c>
      <c r="H6336">
        <v>0</v>
      </c>
      <c r="I6336">
        <v>0</v>
      </c>
      <c r="J6336">
        <v>1</v>
      </c>
      <c r="K6336">
        <v>104.14</v>
      </c>
      <c r="L6336">
        <v>104.14</v>
      </c>
      <c r="M6336">
        <v>1</v>
      </c>
      <c r="N6336">
        <v>104.14</v>
      </c>
      <c r="O6336">
        <v>104.14</v>
      </c>
    </row>
    <row r="6337" spans="1:15" x14ac:dyDescent="0.35">
      <c r="A6337" t="s">
        <v>6915</v>
      </c>
      <c r="B6337" t="s">
        <v>6916</v>
      </c>
      <c r="C6337" t="s">
        <v>898</v>
      </c>
      <c r="D6337" t="s">
        <v>323</v>
      </c>
      <c r="E6337" t="s">
        <v>304</v>
      </c>
      <c r="F6337" t="s">
        <v>6940</v>
      </c>
      <c r="G6337">
        <v>0</v>
      </c>
      <c r="H6337">
        <v>0</v>
      </c>
      <c r="I6337">
        <v>0</v>
      </c>
      <c r="J6337">
        <v>9</v>
      </c>
      <c r="K6337">
        <v>1085.31</v>
      </c>
      <c r="L6337">
        <v>120.59</v>
      </c>
      <c r="M6337">
        <v>9</v>
      </c>
      <c r="N6337">
        <v>1085.31</v>
      </c>
      <c r="O6337">
        <v>120.59</v>
      </c>
    </row>
    <row r="6338" spans="1:15" x14ac:dyDescent="0.35">
      <c r="A6338" t="s">
        <v>6915</v>
      </c>
      <c r="B6338" t="s">
        <v>6916</v>
      </c>
      <c r="C6338" t="s">
        <v>898</v>
      </c>
      <c r="D6338" t="s">
        <v>323</v>
      </c>
      <c r="E6338" t="s">
        <v>306</v>
      </c>
      <c r="F6338" t="s">
        <v>6941</v>
      </c>
      <c r="G6338">
        <v>2</v>
      </c>
      <c r="H6338">
        <v>171.84</v>
      </c>
      <c r="I6338">
        <v>85.92</v>
      </c>
      <c r="J6338">
        <v>2</v>
      </c>
      <c r="K6338">
        <v>128.76</v>
      </c>
      <c r="L6338">
        <v>64.38</v>
      </c>
      <c r="M6338">
        <v>4</v>
      </c>
      <c r="N6338">
        <v>300.60000000000002</v>
      </c>
      <c r="O6338">
        <v>75.150000000000006</v>
      </c>
    </row>
    <row r="6339" spans="1:15" x14ac:dyDescent="0.35">
      <c r="A6339" t="s">
        <v>6915</v>
      </c>
      <c r="B6339" t="s">
        <v>6916</v>
      </c>
      <c r="C6339" t="s">
        <v>898</v>
      </c>
      <c r="D6339" t="s">
        <v>323</v>
      </c>
      <c r="E6339" t="s">
        <v>308</v>
      </c>
      <c r="F6339" t="s">
        <v>6942</v>
      </c>
      <c r="G6339">
        <v>0</v>
      </c>
      <c r="H6339">
        <v>0</v>
      </c>
      <c r="I6339">
        <v>0</v>
      </c>
      <c r="J6339">
        <v>0</v>
      </c>
      <c r="K6339">
        <v>0</v>
      </c>
      <c r="L6339">
        <v>0</v>
      </c>
      <c r="M6339">
        <v>0</v>
      </c>
      <c r="N6339">
        <v>0</v>
      </c>
      <c r="O6339">
        <v>0</v>
      </c>
    </row>
    <row r="6340" spans="1:15" x14ac:dyDescent="0.35">
      <c r="A6340" t="s">
        <v>6915</v>
      </c>
      <c r="B6340" t="s">
        <v>6916</v>
      </c>
      <c r="C6340" t="s">
        <v>898</v>
      </c>
      <c r="D6340" t="s">
        <v>323</v>
      </c>
      <c r="E6340" t="s">
        <v>310</v>
      </c>
      <c r="F6340" t="s">
        <v>6943</v>
      </c>
      <c r="G6340">
        <v>1277</v>
      </c>
      <c r="H6340">
        <v>139396.68</v>
      </c>
      <c r="I6340">
        <v>109.16</v>
      </c>
      <c r="J6340">
        <v>4665</v>
      </c>
      <c r="K6340">
        <v>461603.8</v>
      </c>
      <c r="L6340">
        <v>98.95</v>
      </c>
      <c r="M6340">
        <v>5942</v>
      </c>
      <c r="N6340">
        <v>601000.48</v>
      </c>
      <c r="O6340">
        <v>101.14</v>
      </c>
    </row>
    <row r="6341" spans="1:15" x14ac:dyDescent="0.35">
      <c r="A6341" t="s">
        <v>6915</v>
      </c>
      <c r="B6341" t="s">
        <v>6916</v>
      </c>
      <c r="C6341" t="s">
        <v>898</v>
      </c>
      <c r="D6341" t="s">
        <v>323</v>
      </c>
      <c r="E6341" t="s">
        <v>312</v>
      </c>
      <c r="F6341" t="s">
        <v>6944</v>
      </c>
      <c r="G6341">
        <v>1277</v>
      </c>
      <c r="H6341">
        <v>139396.68</v>
      </c>
      <c r="I6341">
        <v>109.16</v>
      </c>
      <c r="J6341">
        <v>4665</v>
      </c>
      <c r="K6341">
        <v>461603.8</v>
      </c>
      <c r="L6341">
        <v>98.95</v>
      </c>
      <c r="M6341">
        <v>5942</v>
      </c>
      <c r="N6341">
        <v>601000.48</v>
      </c>
      <c r="O6341">
        <v>101.14</v>
      </c>
    </row>
    <row r="6342" spans="1:15" x14ac:dyDescent="0.35">
      <c r="A6342" t="s">
        <v>6915</v>
      </c>
      <c r="B6342" t="s">
        <v>6916</v>
      </c>
      <c r="C6342" t="s">
        <v>898</v>
      </c>
      <c r="D6342" t="s">
        <v>334</v>
      </c>
      <c r="E6342" t="s">
        <v>312</v>
      </c>
      <c r="F6342" t="s">
        <v>6945</v>
      </c>
      <c r="G6342">
        <v>2246</v>
      </c>
      <c r="H6342">
        <v>235322.78999999998</v>
      </c>
      <c r="I6342">
        <v>121.93</v>
      </c>
      <c r="J6342">
        <v>4730</v>
      </c>
      <c r="K6342">
        <v>471715.26999999996</v>
      </c>
      <c r="L6342">
        <v>99.73</v>
      </c>
      <c r="M6342">
        <v>6976</v>
      </c>
      <c r="N6342">
        <v>707038.05999999994</v>
      </c>
      <c r="O6342">
        <v>106.16</v>
      </c>
    </row>
    <row r="6343" spans="1:15" x14ac:dyDescent="0.35">
      <c r="A6343" t="s">
        <v>6915</v>
      </c>
      <c r="B6343" t="s">
        <v>6916</v>
      </c>
      <c r="C6343" t="s">
        <v>898</v>
      </c>
      <c r="D6343" t="s">
        <v>334</v>
      </c>
      <c r="E6343" t="s">
        <v>308</v>
      </c>
      <c r="F6343" t="s">
        <v>6946</v>
      </c>
      <c r="G6343">
        <v>0</v>
      </c>
      <c r="H6343">
        <v>0</v>
      </c>
      <c r="I6343">
        <v>0</v>
      </c>
      <c r="J6343">
        <v>0</v>
      </c>
      <c r="K6343">
        <v>0</v>
      </c>
      <c r="L6343">
        <v>0</v>
      </c>
      <c r="M6343">
        <v>0</v>
      </c>
      <c r="N6343">
        <v>0</v>
      </c>
      <c r="O6343">
        <v>0</v>
      </c>
    </row>
    <row r="6344" spans="1:15" x14ac:dyDescent="0.35">
      <c r="A6344" t="s">
        <v>6915</v>
      </c>
      <c r="B6344" t="s">
        <v>6916</v>
      </c>
      <c r="C6344" t="s">
        <v>898</v>
      </c>
      <c r="D6344" t="s">
        <v>337</v>
      </c>
      <c r="E6344" t="s">
        <v>337</v>
      </c>
      <c r="F6344" t="s">
        <v>6947</v>
      </c>
      <c r="G6344">
        <v>807</v>
      </c>
      <c r="J6344">
        <v>50</v>
      </c>
      <c r="M6344">
        <v>857</v>
      </c>
    </row>
    <row r="6345" spans="1:15" x14ac:dyDescent="0.35">
      <c r="A6345" t="s">
        <v>6915</v>
      </c>
      <c r="B6345" t="s">
        <v>6916</v>
      </c>
      <c r="C6345" t="s">
        <v>898</v>
      </c>
      <c r="D6345" t="s">
        <v>339</v>
      </c>
      <c r="E6345" t="s">
        <v>294</v>
      </c>
      <c r="F6345" t="s">
        <v>6948</v>
      </c>
      <c r="G6345">
        <v>184</v>
      </c>
      <c r="H6345">
        <v>19208.099999999999</v>
      </c>
      <c r="I6345">
        <v>104.39</v>
      </c>
      <c r="J6345">
        <v>490</v>
      </c>
      <c r="K6345">
        <v>40807.199999999997</v>
      </c>
      <c r="L6345">
        <v>83.28</v>
      </c>
      <c r="M6345">
        <v>674</v>
      </c>
      <c r="N6345">
        <v>60015.299999999996</v>
      </c>
      <c r="O6345">
        <v>89.04</v>
      </c>
    </row>
    <row r="6346" spans="1:15" x14ac:dyDescent="0.35">
      <c r="A6346" t="s">
        <v>6915</v>
      </c>
      <c r="B6346" t="s">
        <v>6916</v>
      </c>
      <c r="C6346" t="s">
        <v>898</v>
      </c>
      <c r="D6346" t="s">
        <v>339</v>
      </c>
      <c r="E6346" t="s">
        <v>296</v>
      </c>
      <c r="F6346" t="s">
        <v>6949</v>
      </c>
      <c r="G6346">
        <v>7</v>
      </c>
      <c r="H6346">
        <v>763.12</v>
      </c>
      <c r="I6346">
        <v>109.02</v>
      </c>
      <c r="J6346">
        <v>589</v>
      </c>
      <c r="K6346">
        <v>54494.28</v>
      </c>
      <c r="L6346">
        <v>92.52</v>
      </c>
      <c r="M6346">
        <v>596</v>
      </c>
      <c r="N6346">
        <v>55257.4</v>
      </c>
      <c r="O6346">
        <v>92.71</v>
      </c>
    </row>
    <row r="6347" spans="1:15" x14ac:dyDescent="0.35">
      <c r="A6347" t="s">
        <v>6915</v>
      </c>
      <c r="B6347" t="s">
        <v>6916</v>
      </c>
      <c r="C6347" t="s">
        <v>898</v>
      </c>
      <c r="D6347" t="s">
        <v>339</v>
      </c>
      <c r="E6347" t="s">
        <v>298</v>
      </c>
      <c r="F6347" t="s">
        <v>6950</v>
      </c>
      <c r="G6347">
        <v>0</v>
      </c>
      <c r="H6347">
        <v>0</v>
      </c>
      <c r="I6347">
        <v>0</v>
      </c>
      <c r="J6347">
        <v>10</v>
      </c>
      <c r="K6347">
        <v>1032.2</v>
      </c>
      <c r="L6347">
        <v>103.22</v>
      </c>
      <c r="M6347">
        <v>10</v>
      </c>
      <c r="N6347">
        <v>1032.2</v>
      </c>
      <c r="O6347">
        <v>103.22</v>
      </c>
    </row>
    <row r="6348" spans="1:15" x14ac:dyDescent="0.35">
      <c r="A6348" t="s">
        <v>6915</v>
      </c>
      <c r="B6348" t="s">
        <v>6916</v>
      </c>
      <c r="C6348" t="s">
        <v>898</v>
      </c>
      <c r="D6348" t="s">
        <v>339</v>
      </c>
      <c r="E6348" t="s">
        <v>300</v>
      </c>
      <c r="F6348" t="s">
        <v>6951</v>
      </c>
      <c r="G6348">
        <v>0</v>
      </c>
      <c r="H6348">
        <v>0</v>
      </c>
      <c r="I6348">
        <v>0</v>
      </c>
      <c r="J6348">
        <v>1</v>
      </c>
      <c r="K6348">
        <v>68.84</v>
      </c>
      <c r="L6348">
        <v>68.84</v>
      </c>
      <c r="M6348">
        <v>1</v>
      </c>
      <c r="N6348">
        <v>68.84</v>
      </c>
      <c r="O6348">
        <v>68.84</v>
      </c>
    </row>
    <row r="6349" spans="1:15" x14ac:dyDescent="0.35">
      <c r="A6349" t="s">
        <v>6915</v>
      </c>
      <c r="B6349" t="s">
        <v>6916</v>
      </c>
      <c r="C6349" t="s">
        <v>898</v>
      </c>
      <c r="D6349" t="s">
        <v>339</v>
      </c>
      <c r="E6349" t="s">
        <v>306</v>
      </c>
      <c r="F6349" t="s">
        <v>6952</v>
      </c>
      <c r="G6349">
        <v>20</v>
      </c>
      <c r="H6349">
        <v>1918.6000000000001</v>
      </c>
      <c r="I6349">
        <v>95.93</v>
      </c>
      <c r="J6349">
        <v>28</v>
      </c>
      <c r="K6349">
        <v>1926.1200000000001</v>
      </c>
      <c r="L6349">
        <v>68.790000000000006</v>
      </c>
      <c r="M6349">
        <v>48</v>
      </c>
      <c r="N6349">
        <v>3844.7200000000003</v>
      </c>
      <c r="O6349">
        <v>80.099999999999994</v>
      </c>
    </row>
    <row r="6350" spans="1:15" x14ac:dyDescent="0.35">
      <c r="A6350" t="s">
        <v>6915</v>
      </c>
      <c r="B6350" t="s">
        <v>6916</v>
      </c>
      <c r="C6350" t="s">
        <v>898</v>
      </c>
      <c r="D6350" t="s">
        <v>339</v>
      </c>
      <c r="E6350" t="s">
        <v>308</v>
      </c>
      <c r="F6350" t="s">
        <v>6953</v>
      </c>
      <c r="G6350">
        <v>68</v>
      </c>
      <c r="H6350">
        <v>13717.26</v>
      </c>
      <c r="I6350">
        <v>201.72</v>
      </c>
      <c r="J6350">
        <v>0</v>
      </c>
      <c r="K6350">
        <v>0</v>
      </c>
      <c r="L6350">
        <v>0</v>
      </c>
      <c r="M6350">
        <v>68</v>
      </c>
      <c r="N6350">
        <v>13717.26</v>
      </c>
      <c r="O6350">
        <v>201.72</v>
      </c>
    </row>
    <row r="6351" spans="1:15" x14ac:dyDescent="0.35">
      <c r="A6351" t="s">
        <v>6915</v>
      </c>
      <c r="B6351" t="s">
        <v>6916</v>
      </c>
      <c r="C6351" t="s">
        <v>898</v>
      </c>
      <c r="D6351" t="s">
        <v>339</v>
      </c>
      <c r="E6351" t="s">
        <v>310</v>
      </c>
      <c r="F6351" t="s">
        <v>6954</v>
      </c>
      <c r="G6351">
        <v>279</v>
      </c>
      <c r="H6351">
        <v>35607.079999999994</v>
      </c>
      <c r="I6351">
        <v>127.62</v>
      </c>
      <c r="J6351">
        <v>1118</v>
      </c>
      <c r="K6351">
        <v>98328.639999999985</v>
      </c>
      <c r="L6351">
        <v>87.95</v>
      </c>
      <c r="M6351">
        <v>1397</v>
      </c>
      <c r="N6351">
        <v>133935.71999999997</v>
      </c>
      <c r="O6351">
        <v>95.87</v>
      </c>
    </row>
    <row r="6352" spans="1:15" x14ac:dyDescent="0.35">
      <c r="A6352" t="s">
        <v>6915</v>
      </c>
      <c r="B6352" t="s">
        <v>6916</v>
      </c>
      <c r="C6352" t="s">
        <v>898</v>
      </c>
      <c r="D6352" t="s">
        <v>339</v>
      </c>
      <c r="E6352" t="s">
        <v>312</v>
      </c>
      <c r="F6352" t="s">
        <v>6955</v>
      </c>
      <c r="G6352">
        <v>211</v>
      </c>
      <c r="H6352">
        <v>21889.819999999996</v>
      </c>
      <c r="I6352">
        <v>103.74</v>
      </c>
      <c r="J6352">
        <v>1118</v>
      </c>
      <c r="K6352">
        <v>98328.639999999985</v>
      </c>
      <c r="L6352">
        <v>87.95</v>
      </c>
      <c r="M6352">
        <v>1329</v>
      </c>
      <c r="N6352">
        <v>120218.45999999998</v>
      </c>
      <c r="O6352">
        <v>90.46</v>
      </c>
    </row>
    <row r="6353" spans="1:15" x14ac:dyDescent="0.35">
      <c r="A6353" t="s">
        <v>6915</v>
      </c>
      <c r="B6353" t="s">
        <v>6916</v>
      </c>
      <c r="C6353" t="s">
        <v>898</v>
      </c>
      <c r="D6353" t="s">
        <v>348</v>
      </c>
      <c r="E6353" t="s">
        <v>349</v>
      </c>
      <c r="F6353" t="s">
        <v>6956</v>
      </c>
      <c r="G6353">
        <v>405</v>
      </c>
      <c r="H6353">
        <v>35607.079999999994</v>
      </c>
      <c r="I6353">
        <v>127.62</v>
      </c>
      <c r="J6353">
        <v>1118</v>
      </c>
      <c r="K6353">
        <v>98328.639999999985</v>
      </c>
      <c r="L6353">
        <v>87.95</v>
      </c>
      <c r="M6353">
        <v>1523</v>
      </c>
      <c r="N6353">
        <v>133935.71999999997</v>
      </c>
      <c r="O6353">
        <v>95.87</v>
      </c>
    </row>
    <row r="6354" spans="1:15" x14ac:dyDescent="0.35">
      <c r="A6354" t="s">
        <v>6957</v>
      </c>
      <c r="B6354" t="s">
        <v>206</v>
      </c>
      <c r="C6354" t="s">
        <v>898</v>
      </c>
      <c r="D6354" t="s">
        <v>293</v>
      </c>
      <c r="E6354" t="s">
        <v>294</v>
      </c>
      <c r="F6354" t="s">
        <v>6958</v>
      </c>
      <c r="G6354">
        <v>237</v>
      </c>
      <c r="H6354">
        <v>36894.26</v>
      </c>
      <c r="I6354">
        <v>155.66999999999999</v>
      </c>
      <c r="J6354">
        <v>0</v>
      </c>
      <c r="K6354">
        <v>0</v>
      </c>
      <c r="L6354">
        <v>0</v>
      </c>
      <c r="M6354">
        <v>237</v>
      </c>
      <c r="N6354">
        <v>36894.26</v>
      </c>
      <c r="O6354">
        <v>155.66999999999999</v>
      </c>
    </row>
    <row r="6355" spans="1:15" x14ac:dyDescent="0.35">
      <c r="A6355" t="s">
        <v>6957</v>
      </c>
      <c r="B6355" t="s">
        <v>206</v>
      </c>
      <c r="C6355" t="s">
        <v>898</v>
      </c>
      <c r="D6355" t="s">
        <v>293</v>
      </c>
      <c r="E6355" t="s">
        <v>296</v>
      </c>
      <c r="F6355" t="s">
        <v>6959</v>
      </c>
      <c r="G6355">
        <v>401</v>
      </c>
      <c r="H6355">
        <v>51251.02</v>
      </c>
      <c r="I6355">
        <v>127.81</v>
      </c>
      <c r="J6355">
        <v>0</v>
      </c>
      <c r="K6355">
        <v>0</v>
      </c>
      <c r="L6355">
        <v>0</v>
      </c>
      <c r="M6355">
        <v>401</v>
      </c>
      <c r="N6355">
        <v>51251.02</v>
      </c>
      <c r="O6355">
        <v>127.81</v>
      </c>
    </row>
    <row r="6356" spans="1:15" x14ac:dyDescent="0.35">
      <c r="A6356" t="s">
        <v>6957</v>
      </c>
      <c r="B6356" t="s">
        <v>206</v>
      </c>
      <c r="C6356" t="s">
        <v>898</v>
      </c>
      <c r="D6356" t="s">
        <v>293</v>
      </c>
      <c r="E6356" t="s">
        <v>298</v>
      </c>
      <c r="F6356" t="s">
        <v>6960</v>
      </c>
      <c r="G6356">
        <v>161</v>
      </c>
      <c r="H6356">
        <v>22472.980000000003</v>
      </c>
      <c r="I6356">
        <v>139.58000000000001</v>
      </c>
      <c r="J6356">
        <v>0</v>
      </c>
      <c r="K6356">
        <v>0</v>
      </c>
      <c r="L6356">
        <v>0</v>
      </c>
      <c r="M6356">
        <v>161</v>
      </c>
      <c r="N6356">
        <v>22472.980000000003</v>
      </c>
      <c r="O6356">
        <v>139.58000000000001</v>
      </c>
    </row>
    <row r="6357" spans="1:15" x14ac:dyDescent="0.35">
      <c r="A6357" t="s">
        <v>6957</v>
      </c>
      <c r="B6357" t="s">
        <v>206</v>
      </c>
      <c r="C6357" t="s">
        <v>898</v>
      </c>
      <c r="D6357" t="s">
        <v>293</v>
      </c>
      <c r="E6357" t="s">
        <v>300</v>
      </c>
      <c r="F6357" t="s">
        <v>6961</v>
      </c>
      <c r="G6357">
        <v>14</v>
      </c>
      <c r="H6357">
        <v>2281.0499999999997</v>
      </c>
      <c r="I6357">
        <v>162.93</v>
      </c>
      <c r="J6357">
        <v>0</v>
      </c>
      <c r="K6357">
        <v>0</v>
      </c>
      <c r="L6357">
        <v>0</v>
      </c>
      <c r="M6357">
        <v>14</v>
      </c>
      <c r="N6357">
        <v>2281.0499999999997</v>
      </c>
      <c r="O6357">
        <v>162.93</v>
      </c>
    </row>
    <row r="6358" spans="1:15" x14ac:dyDescent="0.35">
      <c r="A6358" t="s">
        <v>6957</v>
      </c>
      <c r="B6358" t="s">
        <v>206</v>
      </c>
      <c r="C6358" t="s">
        <v>898</v>
      </c>
      <c r="D6358" t="s">
        <v>293</v>
      </c>
      <c r="E6358" t="s">
        <v>302</v>
      </c>
      <c r="F6358" t="s">
        <v>6962</v>
      </c>
      <c r="G6358">
        <v>0</v>
      </c>
      <c r="H6358">
        <v>0</v>
      </c>
      <c r="I6358">
        <v>0</v>
      </c>
      <c r="J6358">
        <v>0</v>
      </c>
      <c r="K6358">
        <v>0</v>
      </c>
      <c r="L6358">
        <v>0</v>
      </c>
      <c r="M6358">
        <v>0</v>
      </c>
      <c r="N6358">
        <v>0</v>
      </c>
      <c r="O6358">
        <v>0</v>
      </c>
    </row>
    <row r="6359" spans="1:15" x14ac:dyDescent="0.35">
      <c r="A6359" t="s">
        <v>6957</v>
      </c>
      <c r="B6359" t="s">
        <v>206</v>
      </c>
      <c r="C6359" t="s">
        <v>898</v>
      </c>
      <c r="D6359" t="s">
        <v>293</v>
      </c>
      <c r="E6359" t="s">
        <v>304</v>
      </c>
      <c r="F6359" t="s">
        <v>6963</v>
      </c>
      <c r="G6359">
        <v>0</v>
      </c>
      <c r="H6359">
        <v>0</v>
      </c>
      <c r="I6359">
        <v>0</v>
      </c>
      <c r="J6359">
        <v>0</v>
      </c>
      <c r="K6359">
        <v>0</v>
      </c>
      <c r="L6359">
        <v>0</v>
      </c>
      <c r="M6359">
        <v>0</v>
      </c>
      <c r="N6359">
        <v>0</v>
      </c>
      <c r="O6359">
        <v>0</v>
      </c>
    </row>
    <row r="6360" spans="1:15" x14ac:dyDescent="0.35">
      <c r="A6360" t="s">
        <v>6957</v>
      </c>
      <c r="B6360" t="s">
        <v>206</v>
      </c>
      <c r="C6360" t="s">
        <v>898</v>
      </c>
      <c r="D6360" t="s">
        <v>293</v>
      </c>
      <c r="E6360" t="s">
        <v>306</v>
      </c>
      <c r="F6360" t="s">
        <v>6964</v>
      </c>
      <c r="G6360">
        <v>2</v>
      </c>
      <c r="H6360">
        <v>165.6</v>
      </c>
      <c r="I6360">
        <v>82.8</v>
      </c>
      <c r="J6360">
        <v>0</v>
      </c>
      <c r="K6360">
        <v>0</v>
      </c>
      <c r="L6360">
        <v>0</v>
      </c>
      <c r="M6360">
        <v>2</v>
      </c>
      <c r="N6360">
        <v>165.6</v>
      </c>
      <c r="O6360">
        <v>82.8</v>
      </c>
    </row>
    <row r="6361" spans="1:15" x14ac:dyDescent="0.35">
      <c r="A6361" t="s">
        <v>6957</v>
      </c>
      <c r="B6361" t="s">
        <v>206</v>
      </c>
      <c r="C6361" t="s">
        <v>898</v>
      </c>
      <c r="D6361" t="s">
        <v>293</v>
      </c>
      <c r="E6361" t="s">
        <v>308</v>
      </c>
      <c r="F6361" t="s">
        <v>6965</v>
      </c>
      <c r="G6361">
        <v>0</v>
      </c>
      <c r="H6361">
        <v>0</v>
      </c>
      <c r="I6361">
        <v>0</v>
      </c>
      <c r="J6361">
        <v>0</v>
      </c>
      <c r="K6361">
        <v>0</v>
      </c>
      <c r="L6361">
        <v>0</v>
      </c>
      <c r="M6361">
        <v>0</v>
      </c>
      <c r="N6361">
        <v>0</v>
      </c>
      <c r="O6361">
        <v>0</v>
      </c>
    </row>
    <row r="6362" spans="1:15" x14ac:dyDescent="0.35">
      <c r="A6362" t="s">
        <v>6957</v>
      </c>
      <c r="B6362" t="s">
        <v>206</v>
      </c>
      <c r="C6362" t="s">
        <v>898</v>
      </c>
      <c r="D6362" t="s">
        <v>293</v>
      </c>
      <c r="E6362" t="s">
        <v>310</v>
      </c>
      <c r="F6362" t="s">
        <v>6966</v>
      </c>
      <c r="G6362">
        <v>815</v>
      </c>
      <c r="H6362">
        <v>113064.91000000002</v>
      </c>
      <c r="I6362">
        <v>138.72999999999999</v>
      </c>
      <c r="J6362">
        <v>0</v>
      </c>
      <c r="K6362">
        <v>0</v>
      </c>
      <c r="L6362">
        <v>0</v>
      </c>
      <c r="M6362">
        <v>815</v>
      </c>
      <c r="N6362">
        <v>113064.91000000002</v>
      </c>
      <c r="O6362">
        <v>138.72999999999999</v>
      </c>
    </row>
    <row r="6363" spans="1:15" x14ac:dyDescent="0.35">
      <c r="A6363" t="s">
        <v>6957</v>
      </c>
      <c r="B6363" t="s">
        <v>206</v>
      </c>
      <c r="C6363" t="s">
        <v>898</v>
      </c>
      <c r="D6363" t="s">
        <v>293</v>
      </c>
      <c r="E6363" t="s">
        <v>312</v>
      </c>
      <c r="F6363" t="s">
        <v>6967</v>
      </c>
      <c r="G6363">
        <v>815</v>
      </c>
      <c r="H6363">
        <v>113064.91000000002</v>
      </c>
      <c r="I6363">
        <v>138.72999999999999</v>
      </c>
      <c r="J6363">
        <v>0</v>
      </c>
      <c r="K6363">
        <v>0</v>
      </c>
      <c r="L6363">
        <v>0</v>
      </c>
      <c r="M6363">
        <v>815</v>
      </c>
      <c r="N6363">
        <v>113064.91000000002</v>
      </c>
      <c r="O6363">
        <v>138.72999999999999</v>
      </c>
    </row>
    <row r="6364" spans="1:15" x14ac:dyDescent="0.35">
      <c r="A6364" t="s">
        <v>6957</v>
      </c>
      <c r="B6364" t="s">
        <v>206</v>
      </c>
      <c r="C6364" t="s">
        <v>898</v>
      </c>
      <c r="D6364" t="s">
        <v>314</v>
      </c>
      <c r="E6364" t="s">
        <v>294</v>
      </c>
      <c r="F6364" t="s">
        <v>6968</v>
      </c>
      <c r="G6364">
        <v>24</v>
      </c>
      <c r="H6364">
        <v>3751.92</v>
      </c>
      <c r="I6364">
        <v>156.33000000000001</v>
      </c>
      <c r="J6364">
        <v>0</v>
      </c>
      <c r="K6364">
        <v>0</v>
      </c>
      <c r="L6364">
        <v>0</v>
      </c>
      <c r="M6364">
        <v>24</v>
      </c>
      <c r="N6364">
        <v>3751.92</v>
      </c>
      <c r="O6364">
        <v>156.33000000000001</v>
      </c>
    </row>
    <row r="6365" spans="1:15" x14ac:dyDescent="0.35">
      <c r="A6365" t="s">
        <v>6957</v>
      </c>
      <c r="B6365" t="s">
        <v>206</v>
      </c>
      <c r="C6365" t="s">
        <v>898</v>
      </c>
      <c r="D6365" t="s">
        <v>314</v>
      </c>
      <c r="E6365" t="s">
        <v>296</v>
      </c>
      <c r="F6365" t="s">
        <v>6969</v>
      </c>
      <c r="G6365">
        <v>12</v>
      </c>
      <c r="H6365">
        <v>1704.12</v>
      </c>
      <c r="I6365">
        <v>142.01</v>
      </c>
      <c r="J6365">
        <v>0</v>
      </c>
      <c r="K6365">
        <v>0</v>
      </c>
      <c r="L6365">
        <v>0</v>
      </c>
      <c r="M6365">
        <v>12</v>
      </c>
      <c r="N6365">
        <v>1704.12</v>
      </c>
      <c r="O6365">
        <v>142.01</v>
      </c>
    </row>
    <row r="6366" spans="1:15" x14ac:dyDescent="0.35">
      <c r="A6366" t="s">
        <v>6957</v>
      </c>
      <c r="B6366" t="s">
        <v>206</v>
      </c>
      <c r="C6366" t="s">
        <v>898</v>
      </c>
      <c r="D6366" t="s">
        <v>314</v>
      </c>
      <c r="E6366" t="s">
        <v>298</v>
      </c>
      <c r="F6366" t="s">
        <v>6970</v>
      </c>
      <c r="G6366">
        <v>0</v>
      </c>
      <c r="H6366">
        <v>0</v>
      </c>
      <c r="I6366">
        <v>0</v>
      </c>
      <c r="J6366">
        <v>0</v>
      </c>
      <c r="K6366">
        <v>0</v>
      </c>
      <c r="L6366">
        <v>0</v>
      </c>
      <c r="M6366">
        <v>0</v>
      </c>
      <c r="N6366">
        <v>0</v>
      </c>
      <c r="O6366">
        <v>0</v>
      </c>
    </row>
    <row r="6367" spans="1:15" x14ac:dyDescent="0.35">
      <c r="A6367" t="s">
        <v>6957</v>
      </c>
      <c r="B6367" t="s">
        <v>206</v>
      </c>
      <c r="C6367" t="s">
        <v>898</v>
      </c>
      <c r="D6367" t="s">
        <v>314</v>
      </c>
      <c r="E6367" t="s">
        <v>300</v>
      </c>
      <c r="F6367" t="s">
        <v>6971</v>
      </c>
      <c r="G6367">
        <v>0</v>
      </c>
      <c r="H6367">
        <v>0</v>
      </c>
      <c r="I6367">
        <v>0</v>
      </c>
      <c r="J6367">
        <v>0</v>
      </c>
      <c r="K6367">
        <v>0</v>
      </c>
      <c r="L6367">
        <v>0</v>
      </c>
      <c r="M6367">
        <v>0</v>
      </c>
      <c r="N6367">
        <v>0</v>
      </c>
      <c r="O6367">
        <v>0</v>
      </c>
    </row>
    <row r="6368" spans="1:15" x14ac:dyDescent="0.35">
      <c r="A6368" t="s">
        <v>6957</v>
      </c>
      <c r="B6368" t="s">
        <v>206</v>
      </c>
      <c r="C6368" t="s">
        <v>898</v>
      </c>
      <c r="D6368" t="s">
        <v>314</v>
      </c>
      <c r="E6368" t="s">
        <v>306</v>
      </c>
      <c r="F6368" t="s">
        <v>6972</v>
      </c>
      <c r="G6368">
        <v>0</v>
      </c>
      <c r="H6368">
        <v>0</v>
      </c>
      <c r="I6368">
        <v>0</v>
      </c>
      <c r="J6368">
        <v>0</v>
      </c>
      <c r="K6368">
        <v>0</v>
      </c>
      <c r="L6368">
        <v>0</v>
      </c>
      <c r="M6368">
        <v>0</v>
      </c>
      <c r="N6368">
        <v>0</v>
      </c>
      <c r="O6368">
        <v>0</v>
      </c>
    </row>
    <row r="6369" spans="1:15" x14ac:dyDescent="0.35">
      <c r="A6369" t="s">
        <v>6957</v>
      </c>
      <c r="B6369" t="s">
        <v>206</v>
      </c>
      <c r="C6369" t="s">
        <v>898</v>
      </c>
      <c r="D6369" t="s">
        <v>314</v>
      </c>
      <c r="E6369" t="s">
        <v>308</v>
      </c>
      <c r="F6369" t="s">
        <v>6973</v>
      </c>
      <c r="G6369">
        <v>0</v>
      </c>
      <c r="H6369">
        <v>0</v>
      </c>
      <c r="I6369">
        <v>0</v>
      </c>
      <c r="J6369">
        <v>0</v>
      </c>
      <c r="K6369">
        <v>0</v>
      </c>
      <c r="L6369">
        <v>0</v>
      </c>
      <c r="M6369">
        <v>0</v>
      </c>
      <c r="N6369">
        <v>0</v>
      </c>
      <c r="O6369">
        <v>0</v>
      </c>
    </row>
    <row r="6370" spans="1:15" x14ac:dyDescent="0.35">
      <c r="A6370" t="s">
        <v>6957</v>
      </c>
      <c r="B6370" t="s">
        <v>206</v>
      </c>
      <c r="C6370" t="s">
        <v>898</v>
      </c>
      <c r="D6370" t="s">
        <v>314</v>
      </c>
      <c r="E6370" t="s">
        <v>312</v>
      </c>
      <c r="F6370" t="s">
        <v>6974</v>
      </c>
      <c r="G6370">
        <v>36</v>
      </c>
      <c r="H6370">
        <v>5456.04</v>
      </c>
      <c r="I6370">
        <v>151.56</v>
      </c>
      <c r="J6370">
        <v>0</v>
      </c>
      <c r="K6370">
        <v>0</v>
      </c>
      <c r="L6370">
        <v>0</v>
      </c>
      <c r="M6370">
        <v>36</v>
      </c>
      <c r="N6370">
        <v>5456.04</v>
      </c>
      <c r="O6370">
        <v>151.56</v>
      </c>
    </row>
    <row r="6371" spans="1:15" x14ac:dyDescent="0.35">
      <c r="A6371" t="s">
        <v>6957</v>
      </c>
      <c r="B6371" t="s">
        <v>206</v>
      </c>
      <c r="C6371" t="s">
        <v>898</v>
      </c>
      <c r="D6371" t="s">
        <v>314</v>
      </c>
      <c r="E6371" t="s">
        <v>310</v>
      </c>
      <c r="F6371" t="s">
        <v>6975</v>
      </c>
      <c r="G6371">
        <v>36</v>
      </c>
      <c r="H6371">
        <v>5456.04</v>
      </c>
      <c r="I6371">
        <v>151.56</v>
      </c>
      <c r="J6371">
        <v>0</v>
      </c>
      <c r="K6371">
        <v>0</v>
      </c>
      <c r="L6371">
        <v>0</v>
      </c>
      <c r="M6371">
        <v>36</v>
      </c>
      <c r="N6371">
        <v>5456.04</v>
      </c>
      <c r="O6371">
        <v>151.56</v>
      </c>
    </row>
    <row r="6372" spans="1:15" x14ac:dyDescent="0.35">
      <c r="A6372" t="s">
        <v>6957</v>
      </c>
      <c r="B6372" t="s">
        <v>206</v>
      </c>
      <c r="C6372" t="s">
        <v>898</v>
      </c>
      <c r="D6372" t="s">
        <v>323</v>
      </c>
      <c r="E6372" t="s">
        <v>294</v>
      </c>
      <c r="F6372" t="s">
        <v>6976</v>
      </c>
      <c r="G6372">
        <v>589</v>
      </c>
      <c r="H6372">
        <v>47096.800000000003</v>
      </c>
      <c r="I6372">
        <v>79.959999999999994</v>
      </c>
      <c r="J6372">
        <v>0</v>
      </c>
      <c r="K6372">
        <v>0</v>
      </c>
      <c r="L6372">
        <v>0</v>
      </c>
      <c r="M6372">
        <v>589</v>
      </c>
      <c r="N6372">
        <v>47096.800000000003</v>
      </c>
      <c r="O6372">
        <v>79.959999999999994</v>
      </c>
    </row>
    <row r="6373" spans="1:15" x14ac:dyDescent="0.35">
      <c r="A6373" t="s">
        <v>6957</v>
      </c>
      <c r="B6373" t="s">
        <v>206</v>
      </c>
      <c r="C6373" t="s">
        <v>898</v>
      </c>
      <c r="D6373" t="s">
        <v>323</v>
      </c>
      <c r="E6373" t="s">
        <v>296</v>
      </c>
      <c r="F6373" t="s">
        <v>6977</v>
      </c>
      <c r="G6373">
        <v>1670</v>
      </c>
      <c r="H6373">
        <v>163579.73000000001</v>
      </c>
      <c r="I6373">
        <v>97.95</v>
      </c>
      <c r="J6373">
        <v>0</v>
      </c>
      <c r="K6373">
        <v>0</v>
      </c>
      <c r="L6373">
        <v>0</v>
      </c>
      <c r="M6373">
        <v>1670</v>
      </c>
      <c r="N6373">
        <v>163579.73000000001</v>
      </c>
      <c r="O6373">
        <v>97.95</v>
      </c>
    </row>
    <row r="6374" spans="1:15" x14ac:dyDescent="0.35">
      <c r="A6374" t="s">
        <v>6957</v>
      </c>
      <c r="B6374" t="s">
        <v>206</v>
      </c>
      <c r="C6374" t="s">
        <v>898</v>
      </c>
      <c r="D6374" t="s">
        <v>323</v>
      </c>
      <c r="E6374" t="s">
        <v>298</v>
      </c>
      <c r="F6374" t="s">
        <v>6978</v>
      </c>
      <c r="G6374">
        <v>1427</v>
      </c>
      <c r="H6374">
        <v>151016.18</v>
      </c>
      <c r="I6374">
        <v>105.83</v>
      </c>
      <c r="J6374">
        <v>0</v>
      </c>
      <c r="K6374">
        <v>0</v>
      </c>
      <c r="L6374">
        <v>0</v>
      </c>
      <c r="M6374">
        <v>1427</v>
      </c>
      <c r="N6374">
        <v>151016.18</v>
      </c>
      <c r="O6374">
        <v>105.83</v>
      </c>
    </row>
    <row r="6375" spans="1:15" x14ac:dyDescent="0.35">
      <c r="A6375" t="s">
        <v>6957</v>
      </c>
      <c r="B6375" t="s">
        <v>206</v>
      </c>
      <c r="C6375" t="s">
        <v>898</v>
      </c>
      <c r="D6375" t="s">
        <v>323</v>
      </c>
      <c r="E6375" t="s">
        <v>300</v>
      </c>
      <c r="F6375" t="s">
        <v>6979</v>
      </c>
      <c r="G6375">
        <v>82</v>
      </c>
      <c r="H6375">
        <v>9514.67</v>
      </c>
      <c r="I6375">
        <v>116.03</v>
      </c>
      <c r="J6375">
        <v>0</v>
      </c>
      <c r="K6375">
        <v>0</v>
      </c>
      <c r="L6375">
        <v>0</v>
      </c>
      <c r="M6375">
        <v>82</v>
      </c>
      <c r="N6375">
        <v>9514.67</v>
      </c>
      <c r="O6375">
        <v>116.03</v>
      </c>
    </row>
    <row r="6376" spans="1:15" x14ac:dyDescent="0.35">
      <c r="A6376" t="s">
        <v>6957</v>
      </c>
      <c r="B6376" t="s">
        <v>206</v>
      </c>
      <c r="C6376" t="s">
        <v>898</v>
      </c>
      <c r="D6376" t="s">
        <v>323</v>
      </c>
      <c r="E6376" t="s">
        <v>302</v>
      </c>
      <c r="F6376" t="s">
        <v>6980</v>
      </c>
      <c r="G6376">
        <v>1</v>
      </c>
      <c r="H6376">
        <v>113.7</v>
      </c>
      <c r="I6376">
        <v>113.7</v>
      </c>
      <c r="J6376">
        <v>0</v>
      </c>
      <c r="K6376">
        <v>0</v>
      </c>
      <c r="L6376">
        <v>0</v>
      </c>
      <c r="M6376">
        <v>1</v>
      </c>
      <c r="N6376">
        <v>113.7</v>
      </c>
      <c r="O6376">
        <v>113.7</v>
      </c>
    </row>
    <row r="6377" spans="1:15" x14ac:dyDescent="0.35">
      <c r="A6377" t="s">
        <v>6957</v>
      </c>
      <c r="B6377" t="s">
        <v>206</v>
      </c>
      <c r="C6377" t="s">
        <v>898</v>
      </c>
      <c r="D6377" t="s">
        <v>323</v>
      </c>
      <c r="E6377" t="s">
        <v>304</v>
      </c>
      <c r="F6377" t="s">
        <v>6981</v>
      </c>
      <c r="G6377">
        <v>0</v>
      </c>
      <c r="H6377">
        <v>0</v>
      </c>
      <c r="I6377">
        <v>0</v>
      </c>
      <c r="J6377">
        <v>0</v>
      </c>
      <c r="K6377">
        <v>0</v>
      </c>
      <c r="L6377">
        <v>0</v>
      </c>
      <c r="M6377">
        <v>0</v>
      </c>
      <c r="N6377">
        <v>0</v>
      </c>
      <c r="O6377">
        <v>0</v>
      </c>
    </row>
    <row r="6378" spans="1:15" x14ac:dyDescent="0.35">
      <c r="A6378" t="s">
        <v>6957</v>
      </c>
      <c r="B6378" t="s">
        <v>206</v>
      </c>
      <c r="C6378" t="s">
        <v>898</v>
      </c>
      <c r="D6378" t="s">
        <v>323</v>
      </c>
      <c r="E6378" t="s">
        <v>306</v>
      </c>
      <c r="F6378" t="s">
        <v>6982</v>
      </c>
      <c r="G6378">
        <v>2</v>
      </c>
      <c r="H6378">
        <v>138.66</v>
      </c>
      <c r="I6378">
        <v>69.33</v>
      </c>
      <c r="J6378">
        <v>0</v>
      </c>
      <c r="K6378">
        <v>0</v>
      </c>
      <c r="L6378">
        <v>0</v>
      </c>
      <c r="M6378">
        <v>2</v>
      </c>
      <c r="N6378">
        <v>138.66</v>
      </c>
      <c r="O6378">
        <v>69.33</v>
      </c>
    </row>
    <row r="6379" spans="1:15" x14ac:dyDescent="0.35">
      <c r="A6379" t="s">
        <v>6957</v>
      </c>
      <c r="B6379" t="s">
        <v>206</v>
      </c>
      <c r="C6379" t="s">
        <v>898</v>
      </c>
      <c r="D6379" t="s">
        <v>323</v>
      </c>
      <c r="E6379" t="s">
        <v>308</v>
      </c>
      <c r="F6379" t="s">
        <v>6983</v>
      </c>
      <c r="G6379">
        <v>0</v>
      </c>
      <c r="H6379">
        <v>0</v>
      </c>
      <c r="I6379">
        <v>0</v>
      </c>
      <c r="J6379">
        <v>0</v>
      </c>
      <c r="K6379">
        <v>0</v>
      </c>
      <c r="L6379">
        <v>0</v>
      </c>
      <c r="M6379">
        <v>0</v>
      </c>
      <c r="N6379">
        <v>0</v>
      </c>
      <c r="O6379">
        <v>0</v>
      </c>
    </row>
    <row r="6380" spans="1:15" x14ac:dyDescent="0.35">
      <c r="A6380" t="s">
        <v>6957</v>
      </c>
      <c r="B6380" t="s">
        <v>206</v>
      </c>
      <c r="C6380" t="s">
        <v>898</v>
      </c>
      <c r="D6380" t="s">
        <v>323</v>
      </c>
      <c r="E6380" t="s">
        <v>310</v>
      </c>
      <c r="F6380" t="s">
        <v>6984</v>
      </c>
      <c r="G6380">
        <v>3771</v>
      </c>
      <c r="H6380">
        <v>371459.74</v>
      </c>
      <c r="I6380">
        <v>98.5</v>
      </c>
      <c r="J6380">
        <v>0</v>
      </c>
      <c r="K6380">
        <v>0</v>
      </c>
      <c r="L6380">
        <v>0</v>
      </c>
      <c r="M6380">
        <v>3771</v>
      </c>
      <c r="N6380">
        <v>371459.74</v>
      </c>
      <c r="O6380">
        <v>98.5</v>
      </c>
    </row>
    <row r="6381" spans="1:15" x14ac:dyDescent="0.35">
      <c r="A6381" t="s">
        <v>6957</v>
      </c>
      <c r="B6381" t="s">
        <v>206</v>
      </c>
      <c r="C6381" t="s">
        <v>898</v>
      </c>
      <c r="D6381" t="s">
        <v>323</v>
      </c>
      <c r="E6381" t="s">
        <v>312</v>
      </c>
      <c r="F6381" t="s">
        <v>6985</v>
      </c>
      <c r="G6381">
        <v>3771</v>
      </c>
      <c r="H6381">
        <v>371459.74</v>
      </c>
      <c r="I6381">
        <v>98.5</v>
      </c>
      <c r="J6381">
        <v>0</v>
      </c>
      <c r="K6381">
        <v>0</v>
      </c>
      <c r="L6381">
        <v>0</v>
      </c>
      <c r="M6381">
        <v>3771</v>
      </c>
      <c r="N6381">
        <v>371459.74</v>
      </c>
      <c r="O6381">
        <v>98.5</v>
      </c>
    </row>
    <row r="6382" spans="1:15" x14ac:dyDescent="0.35">
      <c r="A6382" t="s">
        <v>6957</v>
      </c>
      <c r="B6382" t="s">
        <v>206</v>
      </c>
      <c r="C6382" t="s">
        <v>898</v>
      </c>
      <c r="D6382" t="s">
        <v>334</v>
      </c>
      <c r="E6382" t="s">
        <v>312</v>
      </c>
      <c r="F6382" t="s">
        <v>6986</v>
      </c>
      <c r="G6382">
        <v>4609</v>
      </c>
      <c r="H6382">
        <v>484524.65</v>
      </c>
      <c r="I6382">
        <v>105.65</v>
      </c>
      <c r="J6382">
        <v>0</v>
      </c>
      <c r="K6382">
        <v>0</v>
      </c>
      <c r="L6382">
        <v>0</v>
      </c>
      <c r="M6382">
        <v>4609</v>
      </c>
      <c r="N6382">
        <v>484524.65</v>
      </c>
      <c r="O6382">
        <v>105.65</v>
      </c>
    </row>
    <row r="6383" spans="1:15" x14ac:dyDescent="0.35">
      <c r="A6383" t="s">
        <v>6957</v>
      </c>
      <c r="B6383" t="s">
        <v>206</v>
      </c>
      <c r="C6383" t="s">
        <v>898</v>
      </c>
      <c r="D6383" t="s">
        <v>334</v>
      </c>
      <c r="E6383" t="s">
        <v>308</v>
      </c>
      <c r="F6383" t="s">
        <v>6987</v>
      </c>
      <c r="G6383">
        <v>0</v>
      </c>
      <c r="H6383">
        <v>0</v>
      </c>
      <c r="I6383">
        <v>0</v>
      </c>
      <c r="J6383">
        <v>0</v>
      </c>
      <c r="K6383">
        <v>0</v>
      </c>
      <c r="L6383">
        <v>0</v>
      </c>
      <c r="M6383">
        <v>0</v>
      </c>
      <c r="N6383">
        <v>0</v>
      </c>
      <c r="O6383">
        <v>0</v>
      </c>
    </row>
    <row r="6384" spans="1:15" x14ac:dyDescent="0.35">
      <c r="A6384" t="s">
        <v>6957</v>
      </c>
      <c r="B6384" t="s">
        <v>206</v>
      </c>
      <c r="C6384" t="s">
        <v>898</v>
      </c>
      <c r="D6384" t="s">
        <v>337</v>
      </c>
      <c r="E6384" t="s">
        <v>337</v>
      </c>
      <c r="F6384" t="s">
        <v>6988</v>
      </c>
      <c r="G6384">
        <v>484</v>
      </c>
      <c r="J6384">
        <v>0</v>
      </c>
      <c r="M6384">
        <v>484</v>
      </c>
    </row>
    <row r="6385" spans="1:15" x14ac:dyDescent="0.35">
      <c r="A6385" t="s">
        <v>6957</v>
      </c>
      <c r="B6385" t="s">
        <v>206</v>
      </c>
      <c r="C6385" t="s">
        <v>898</v>
      </c>
      <c r="D6385" t="s">
        <v>339</v>
      </c>
      <c r="E6385" t="s">
        <v>294</v>
      </c>
      <c r="F6385" t="s">
        <v>6989</v>
      </c>
      <c r="G6385">
        <v>285</v>
      </c>
      <c r="H6385">
        <v>23944.39</v>
      </c>
      <c r="I6385">
        <v>84.02</v>
      </c>
      <c r="J6385">
        <v>0</v>
      </c>
      <c r="K6385">
        <v>0</v>
      </c>
      <c r="L6385">
        <v>0</v>
      </c>
      <c r="M6385">
        <v>285</v>
      </c>
      <c r="N6385">
        <v>23944.39</v>
      </c>
      <c r="O6385">
        <v>84.02</v>
      </c>
    </row>
    <row r="6386" spans="1:15" x14ac:dyDescent="0.35">
      <c r="A6386" t="s">
        <v>6957</v>
      </c>
      <c r="B6386" t="s">
        <v>206</v>
      </c>
      <c r="C6386" t="s">
        <v>898</v>
      </c>
      <c r="D6386" t="s">
        <v>339</v>
      </c>
      <c r="E6386" t="s">
        <v>296</v>
      </c>
      <c r="F6386" t="s">
        <v>6990</v>
      </c>
      <c r="G6386">
        <v>147</v>
      </c>
      <c r="H6386">
        <v>15907.920000000002</v>
      </c>
      <c r="I6386">
        <v>108.22</v>
      </c>
      <c r="J6386">
        <v>0</v>
      </c>
      <c r="K6386">
        <v>0</v>
      </c>
      <c r="L6386">
        <v>0</v>
      </c>
      <c r="M6386">
        <v>147</v>
      </c>
      <c r="N6386">
        <v>15907.920000000002</v>
      </c>
      <c r="O6386">
        <v>108.22</v>
      </c>
    </row>
    <row r="6387" spans="1:15" x14ac:dyDescent="0.35">
      <c r="A6387" t="s">
        <v>6957</v>
      </c>
      <c r="B6387" t="s">
        <v>206</v>
      </c>
      <c r="C6387" t="s">
        <v>898</v>
      </c>
      <c r="D6387" t="s">
        <v>339</v>
      </c>
      <c r="E6387" t="s">
        <v>298</v>
      </c>
      <c r="F6387" t="s">
        <v>6991</v>
      </c>
      <c r="G6387">
        <v>5</v>
      </c>
      <c r="H6387">
        <v>512.34</v>
      </c>
      <c r="I6387">
        <v>102.47</v>
      </c>
      <c r="J6387">
        <v>0</v>
      </c>
      <c r="K6387">
        <v>0</v>
      </c>
      <c r="L6387">
        <v>0</v>
      </c>
      <c r="M6387">
        <v>5</v>
      </c>
      <c r="N6387">
        <v>512.34</v>
      </c>
      <c r="O6387">
        <v>102.47</v>
      </c>
    </row>
    <row r="6388" spans="1:15" x14ac:dyDescent="0.35">
      <c r="A6388" t="s">
        <v>6957</v>
      </c>
      <c r="B6388" t="s">
        <v>206</v>
      </c>
      <c r="C6388" t="s">
        <v>898</v>
      </c>
      <c r="D6388" t="s">
        <v>339</v>
      </c>
      <c r="E6388" t="s">
        <v>300</v>
      </c>
      <c r="F6388" t="s">
        <v>6992</v>
      </c>
      <c r="G6388">
        <v>0</v>
      </c>
      <c r="H6388">
        <v>0</v>
      </c>
      <c r="I6388">
        <v>0</v>
      </c>
      <c r="J6388">
        <v>0</v>
      </c>
      <c r="K6388">
        <v>0</v>
      </c>
      <c r="L6388">
        <v>0</v>
      </c>
      <c r="M6388">
        <v>0</v>
      </c>
      <c r="N6388">
        <v>0</v>
      </c>
      <c r="O6388">
        <v>0</v>
      </c>
    </row>
    <row r="6389" spans="1:15" x14ac:dyDescent="0.35">
      <c r="A6389" t="s">
        <v>6957</v>
      </c>
      <c r="B6389" t="s">
        <v>206</v>
      </c>
      <c r="C6389" t="s">
        <v>898</v>
      </c>
      <c r="D6389" t="s">
        <v>339</v>
      </c>
      <c r="E6389" t="s">
        <v>306</v>
      </c>
      <c r="F6389" t="s">
        <v>6993</v>
      </c>
      <c r="G6389">
        <v>1</v>
      </c>
      <c r="H6389">
        <v>69.099999999999994</v>
      </c>
      <c r="I6389">
        <v>69.099999999999994</v>
      </c>
      <c r="J6389">
        <v>0</v>
      </c>
      <c r="K6389">
        <v>0</v>
      </c>
      <c r="L6389">
        <v>0</v>
      </c>
      <c r="M6389">
        <v>1</v>
      </c>
      <c r="N6389">
        <v>69.099999999999994</v>
      </c>
      <c r="O6389">
        <v>69.099999999999994</v>
      </c>
    </row>
    <row r="6390" spans="1:15" x14ac:dyDescent="0.35">
      <c r="A6390" t="s">
        <v>6957</v>
      </c>
      <c r="B6390" t="s">
        <v>206</v>
      </c>
      <c r="C6390" t="s">
        <v>898</v>
      </c>
      <c r="D6390" t="s">
        <v>339</v>
      </c>
      <c r="E6390" t="s">
        <v>308</v>
      </c>
      <c r="F6390" t="s">
        <v>6994</v>
      </c>
      <c r="G6390">
        <v>27</v>
      </c>
      <c r="H6390">
        <v>4479.17</v>
      </c>
      <c r="I6390">
        <v>165.9</v>
      </c>
      <c r="J6390">
        <v>0</v>
      </c>
      <c r="K6390">
        <v>0</v>
      </c>
      <c r="L6390">
        <v>0</v>
      </c>
      <c r="M6390">
        <v>27</v>
      </c>
      <c r="N6390">
        <v>4479.17</v>
      </c>
      <c r="O6390">
        <v>165.9</v>
      </c>
    </row>
    <row r="6391" spans="1:15" x14ac:dyDescent="0.35">
      <c r="A6391" t="s">
        <v>6957</v>
      </c>
      <c r="B6391" t="s">
        <v>206</v>
      </c>
      <c r="C6391" t="s">
        <v>898</v>
      </c>
      <c r="D6391" t="s">
        <v>339</v>
      </c>
      <c r="E6391" t="s">
        <v>310</v>
      </c>
      <c r="F6391" t="s">
        <v>6995</v>
      </c>
      <c r="G6391">
        <v>465</v>
      </c>
      <c r="H6391">
        <v>44912.919999999991</v>
      </c>
      <c r="I6391">
        <v>96.59</v>
      </c>
      <c r="J6391">
        <v>0</v>
      </c>
      <c r="K6391">
        <v>0</v>
      </c>
      <c r="L6391">
        <v>0</v>
      </c>
      <c r="M6391">
        <v>465</v>
      </c>
      <c r="N6391">
        <v>44912.919999999991</v>
      </c>
      <c r="O6391">
        <v>96.59</v>
      </c>
    </row>
    <row r="6392" spans="1:15" x14ac:dyDescent="0.35">
      <c r="A6392" t="s">
        <v>6957</v>
      </c>
      <c r="B6392" t="s">
        <v>206</v>
      </c>
      <c r="C6392" t="s">
        <v>898</v>
      </c>
      <c r="D6392" t="s">
        <v>339</v>
      </c>
      <c r="E6392" t="s">
        <v>312</v>
      </c>
      <c r="F6392" t="s">
        <v>6996</v>
      </c>
      <c r="G6392">
        <v>438</v>
      </c>
      <c r="H6392">
        <v>40433.749999999993</v>
      </c>
      <c r="I6392">
        <v>92.31</v>
      </c>
      <c r="J6392">
        <v>0</v>
      </c>
      <c r="K6392">
        <v>0</v>
      </c>
      <c r="L6392">
        <v>0</v>
      </c>
      <c r="M6392">
        <v>438</v>
      </c>
      <c r="N6392">
        <v>40433.749999999993</v>
      </c>
      <c r="O6392">
        <v>92.31</v>
      </c>
    </row>
    <row r="6393" spans="1:15" x14ac:dyDescent="0.35">
      <c r="A6393" t="s">
        <v>6957</v>
      </c>
      <c r="B6393" t="s">
        <v>206</v>
      </c>
      <c r="C6393" t="s">
        <v>898</v>
      </c>
      <c r="D6393" t="s">
        <v>348</v>
      </c>
      <c r="E6393" t="s">
        <v>349</v>
      </c>
      <c r="F6393" t="s">
        <v>6997</v>
      </c>
      <c r="G6393">
        <v>526</v>
      </c>
      <c r="H6393">
        <v>50368.959999999999</v>
      </c>
      <c r="I6393">
        <v>100.54</v>
      </c>
      <c r="J6393">
        <v>0</v>
      </c>
      <c r="K6393">
        <v>0</v>
      </c>
      <c r="L6393">
        <v>0</v>
      </c>
      <c r="M6393">
        <v>526</v>
      </c>
      <c r="N6393">
        <v>50368.959999999999</v>
      </c>
      <c r="O6393">
        <v>100.54</v>
      </c>
    </row>
    <row r="6394" spans="1:15" x14ac:dyDescent="0.35">
      <c r="A6394" t="s">
        <v>6998</v>
      </c>
      <c r="B6394" t="s">
        <v>6999</v>
      </c>
      <c r="C6394" t="s">
        <v>1477</v>
      </c>
      <c r="D6394" t="s">
        <v>293</v>
      </c>
      <c r="E6394" t="s">
        <v>294</v>
      </c>
      <c r="F6394" t="s">
        <v>7000</v>
      </c>
      <c r="G6394">
        <v>269</v>
      </c>
      <c r="H6394">
        <v>32143.950000000004</v>
      </c>
      <c r="I6394">
        <v>119.49</v>
      </c>
      <c r="J6394">
        <v>0</v>
      </c>
      <c r="K6394">
        <v>0</v>
      </c>
      <c r="L6394">
        <v>0</v>
      </c>
      <c r="M6394">
        <v>269</v>
      </c>
      <c r="N6394">
        <v>32143.950000000004</v>
      </c>
      <c r="O6394">
        <v>119.49</v>
      </c>
    </row>
    <row r="6395" spans="1:15" x14ac:dyDescent="0.35">
      <c r="A6395" t="s">
        <v>6998</v>
      </c>
      <c r="B6395" t="s">
        <v>6999</v>
      </c>
      <c r="C6395" t="s">
        <v>1477</v>
      </c>
      <c r="D6395" t="s">
        <v>293</v>
      </c>
      <c r="E6395" t="s">
        <v>296</v>
      </c>
      <c r="F6395" t="s">
        <v>7001</v>
      </c>
      <c r="G6395">
        <v>625</v>
      </c>
      <c r="H6395">
        <v>91415.909999999989</v>
      </c>
      <c r="I6395">
        <v>146.27000000000001</v>
      </c>
      <c r="J6395">
        <v>0</v>
      </c>
      <c r="K6395">
        <v>0</v>
      </c>
      <c r="L6395">
        <v>0</v>
      </c>
      <c r="M6395">
        <v>625</v>
      </c>
      <c r="N6395">
        <v>91415.909999999989</v>
      </c>
      <c r="O6395">
        <v>146.27000000000001</v>
      </c>
    </row>
    <row r="6396" spans="1:15" x14ac:dyDescent="0.35">
      <c r="A6396" t="s">
        <v>6998</v>
      </c>
      <c r="B6396" t="s">
        <v>6999</v>
      </c>
      <c r="C6396" t="s">
        <v>1477</v>
      </c>
      <c r="D6396" t="s">
        <v>293</v>
      </c>
      <c r="E6396" t="s">
        <v>298</v>
      </c>
      <c r="F6396" t="s">
        <v>7002</v>
      </c>
      <c r="G6396">
        <v>305</v>
      </c>
      <c r="H6396">
        <v>52728.9</v>
      </c>
      <c r="I6396">
        <v>172.88</v>
      </c>
      <c r="J6396">
        <v>0</v>
      </c>
      <c r="K6396">
        <v>0</v>
      </c>
      <c r="L6396">
        <v>0</v>
      </c>
      <c r="M6396">
        <v>305</v>
      </c>
      <c r="N6396">
        <v>52728.9</v>
      </c>
      <c r="O6396">
        <v>172.88</v>
      </c>
    </row>
    <row r="6397" spans="1:15" x14ac:dyDescent="0.35">
      <c r="A6397" t="s">
        <v>6998</v>
      </c>
      <c r="B6397" t="s">
        <v>6999</v>
      </c>
      <c r="C6397" t="s">
        <v>1477</v>
      </c>
      <c r="D6397" t="s">
        <v>293</v>
      </c>
      <c r="E6397" t="s">
        <v>300</v>
      </c>
      <c r="F6397" t="s">
        <v>7003</v>
      </c>
      <c r="G6397">
        <v>24</v>
      </c>
      <c r="H6397">
        <v>5426.5000000000009</v>
      </c>
      <c r="I6397">
        <v>226.1</v>
      </c>
      <c r="J6397">
        <v>0</v>
      </c>
      <c r="K6397">
        <v>0</v>
      </c>
      <c r="L6397">
        <v>0</v>
      </c>
      <c r="M6397">
        <v>24</v>
      </c>
      <c r="N6397">
        <v>5426.5000000000009</v>
      </c>
      <c r="O6397">
        <v>226.1</v>
      </c>
    </row>
    <row r="6398" spans="1:15" x14ac:dyDescent="0.35">
      <c r="A6398" t="s">
        <v>6998</v>
      </c>
      <c r="B6398" t="s">
        <v>6999</v>
      </c>
      <c r="C6398" t="s">
        <v>1477</v>
      </c>
      <c r="D6398" t="s">
        <v>293</v>
      </c>
      <c r="E6398" t="s">
        <v>302</v>
      </c>
      <c r="F6398" t="s">
        <v>7004</v>
      </c>
      <c r="G6398">
        <v>1</v>
      </c>
      <c r="H6398">
        <v>220.38</v>
      </c>
      <c r="I6398">
        <v>220.38</v>
      </c>
      <c r="J6398">
        <v>0</v>
      </c>
      <c r="K6398">
        <v>0</v>
      </c>
      <c r="L6398">
        <v>0</v>
      </c>
      <c r="M6398">
        <v>1</v>
      </c>
      <c r="N6398">
        <v>220.38</v>
      </c>
      <c r="O6398">
        <v>220.38</v>
      </c>
    </row>
    <row r="6399" spans="1:15" x14ac:dyDescent="0.35">
      <c r="A6399" t="s">
        <v>6998</v>
      </c>
      <c r="B6399" t="s">
        <v>6999</v>
      </c>
      <c r="C6399" t="s">
        <v>1477</v>
      </c>
      <c r="D6399" t="s">
        <v>293</v>
      </c>
      <c r="E6399" t="s">
        <v>304</v>
      </c>
      <c r="F6399" t="s">
        <v>7005</v>
      </c>
      <c r="G6399">
        <v>0</v>
      </c>
      <c r="H6399">
        <v>0</v>
      </c>
      <c r="I6399">
        <v>0</v>
      </c>
      <c r="J6399">
        <v>0</v>
      </c>
      <c r="K6399">
        <v>0</v>
      </c>
      <c r="L6399">
        <v>0</v>
      </c>
      <c r="M6399">
        <v>0</v>
      </c>
      <c r="N6399">
        <v>0</v>
      </c>
      <c r="O6399">
        <v>0</v>
      </c>
    </row>
    <row r="6400" spans="1:15" x14ac:dyDescent="0.35">
      <c r="A6400" t="s">
        <v>6998</v>
      </c>
      <c r="B6400" t="s">
        <v>6999</v>
      </c>
      <c r="C6400" t="s">
        <v>1477</v>
      </c>
      <c r="D6400" t="s">
        <v>293</v>
      </c>
      <c r="E6400" t="s">
        <v>306</v>
      </c>
      <c r="F6400" t="s">
        <v>7006</v>
      </c>
      <c r="G6400">
        <v>0</v>
      </c>
      <c r="H6400">
        <v>0</v>
      </c>
      <c r="I6400">
        <v>0</v>
      </c>
      <c r="J6400">
        <v>0</v>
      </c>
      <c r="K6400">
        <v>0</v>
      </c>
      <c r="L6400">
        <v>0</v>
      </c>
      <c r="M6400">
        <v>0</v>
      </c>
      <c r="N6400">
        <v>0</v>
      </c>
      <c r="O6400">
        <v>0</v>
      </c>
    </row>
    <row r="6401" spans="1:15" x14ac:dyDescent="0.35">
      <c r="A6401" t="s">
        <v>6998</v>
      </c>
      <c r="B6401" t="s">
        <v>6999</v>
      </c>
      <c r="C6401" t="s">
        <v>1477</v>
      </c>
      <c r="D6401" t="s">
        <v>293</v>
      </c>
      <c r="E6401" t="s">
        <v>308</v>
      </c>
      <c r="F6401" t="s">
        <v>7007</v>
      </c>
      <c r="G6401">
        <v>0</v>
      </c>
      <c r="H6401">
        <v>0</v>
      </c>
      <c r="I6401">
        <v>0</v>
      </c>
      <c r="J6401">
        <v>0</v>
      </c>
      <c r="K6401">
        <v>0</v>
      </c>
      <c r="L6401">
        <v>0</v>
      </c>
      <c r="M6401">
        <v>0</v>
      </c>
      <c r="N6401">
        <v>0</v>
      </c>
      <c r="O6401">
        <v>0</v>
      </c>
    </row>
    <row r="6402" spans="1:15" x14ac:dyDescent="0.35">
      <c r="A6402" t="s">
        <v>6998</v>
      </c>
      <c r="B6402" t="s">
        <v>6999</v>
      </c>
      <c r="C6402" t="s">
        <v>1477</v>
      </c>
      <c r="D6402" t="s">
        <v>293</v>
      </c>
      <c r="E6402" t="s">
        <v>310</v>
      </c>
      <c r="F6402" t="s">
        <v>7008</v>
      </c>
      <c r="G6402">
        <v>1224</v>
      </c>
      <c r="H6402">
        <v>181935.63999999998</v>
      </c>
      <c r="I6402">
        <v>148.63999999999999</v>
      </c>
      <c r="J6402">
        <v>0</v>
      </c>
      <c r="K6402">
        <v>0</v>
      </c>
      <c r="L6402">
        <v>0</v>
      </c>
      <c r="M6402">
        <v>1224</v>
      </c>
      <c r="N6402">
        <v>181935.63999999998</v>
      </c>
      <c r="O6402">
        <v>148.63999999999999</v>
      </c>
    </row>
    <row r="6403" spans="1:15" x14ac:dyDescent="0.35">
      <c r="A6403" t="s">
        <v>6998</v>
      </c>
      <c r="B6403" t="s">
        <v>6999</v>
      </c>
      <c r="C6403" t="s">
        <v>1477</v>
      </c>
      <c r="D6403" t="s">
        <v>293</v>
      </c>
      <c r="E6403" t="s">
        <v>312</v>
      </c>
      <c r="F6403" t="s">
        <v>7009</v>
      </c>
      <c r="G6403">
        <v>1224</v>
      </c>
      <c r="H6403">
        <v>181935.63999999998</v>
      </c>
      <c r="I6403">
        <v>148.63999999999999</v>
      </c>
      <c r="J6403">
        <v>0</v>
      </c>
      <c r="K6403">
        <v>0</v>
      </c>
      <c r="L6403">
        <v>0</v>
      </c>
      <c r="M6403">
        <v>1224</v>
      </c>
      <c r="N6403">
        <v>181935.63999999998</v>
      </c>
      <c r="O6403">
        <v>148.63999999999999</v>
      </c>
    </row>
    <row r="6404" spans="1:15" x14ac:dyDescent="0.35">
      <c r="A6404" t="s">
        <v>6998</v>
      </c>
      <c r="B6404" t="s">
        <v>6999</v>
      </c>
      <c r="C6404" t="s">
        <v>1477</v>
      </c>
      <c r="D6404" t="s">
        <v>314</v>
      </c>
      <c r="E6404" t="s">
        <v>294</v>
      </c>
      <c r="F6404" t="s">
        <v>7010</v>
      </c>
      <c r="G6404">
        <v>5</v>
      </c>
      <c r="H6404">
        <v>795.3</v>
      </c>
      <c r="I6404">
        <v>159.06</v>
      </c>
      <c r="J6404">
        <v>0</v>
      </c>
      <c r="K6404">
        <v>0</v>
      </c>
      <c r="L6404">
        <v>0</v>
      </c>
      <c r="M6404">
        <v>5</v>
      </c>
      <c r="N6404">
        <v>795.3</v>
      </c>
      <c r="O6404">
        <v>159.06</v>
      </c>
    </row>
    <row r="6405" spans="1:15" x14ac:dyDescent="0.35">
      <c r="A6405" t="s">
        <v>6998</v>
      </c>
      <c r="B6405" t="s">
        <v>6999</v>
      </c>
      <c r="C6405" t="s">
        <v>1477</v>
      </c>
      <c r="D6405" t="s">
        <v>314</v>
      </c>
      <c r="E6405" t="s">
        <v>296</v>
      </c>
      <c r="F6405" t="s">
        <v>7011</v>
      </c>
      <c r="G6405">
        <v>0</v>
      </c>
      <c r="H6405">
        <v>0</v>
      </c>
      <c r="I6405">
        <v>0</v>
      </c>
      <c r="J6405">
        <v>0</v>
      </c>
      <c r="K6405">
        <v>0</v>
      </c>
      <c r="L6405">
        <v>0</v>
      </c>
      <c r="M6405">
        <v>0</v>
      </c>
      <c r="N6405">
        <v>0</v>
      </c>
      <c r="O6405">
        <v>0</v>
      </c>
    </row>
    <row r="6406" spans="1:15" x14ac:dyDescent="0.35">
      <c r="A6406" t="s">
        <v>6998</v>
      </c>
      <c r="B6406" t="s">
        <v>6999</v>
      </c>
      <c r="C6406" t="s">
        <v>1477</v>
      </c>
      <c r="D6406" t="s">
        <v>314</v>
      </c>
      <c r="E6406" t="s">
        <v>298</v>
      </c>
      <c r="F6406" t="s">
        <v>7012</v>
      </c>
      <c r="G6406">
        <v>0</v>
      </c>
      <c r="H6406">
        <v>0</v>
      </c>
      <c r="I6406">
        <v>0</v>
      </c>
      <c r="J6406">
        <v>0</v>
      </c>
      <c r="K6406">
        <v>0</v>
      </c>
      <c r="L6406">
        <v>0</v>
      </c>
      <c r="M6406">
        <v>0</v>
      </c>
      <c r="N6406">
        <v>0</v>
      </c>
      <c r="O6406">
        <v>0</v>
      </c>
    </row>
    <row r="6407" spans="1:15" x14ac:dyDescent="0.35">
      <c r="A6407" t="s">
        <v>6998</v>
      </c>
      <c r="B6407" t="s">
        <v>6999</v>
      </c>
      <c r="C6407" t="s">
        <v>1477</v>
      </c>
      <c r="D6407" t="s">
        <v>314</v>
      </c>
      <c r="E6407" t="s">
        <v>300</v>
      </c>
      <c r="F6407" t="s">
        <v>7013</v>
      </c>
      <c r="G6407">
        <v>0</v>
      </c>
      <c r="H6407">
        <v>0</v>
      </c>
      <c r="I6407">
        <v>0</v>
      </c>
      <c r="J6407">
        <v>0</v>
      </c>
      <c r="K6407">
        <v>0</v>
      </c>
      <c r="L6407">
        <v>0</v>
      </c>
      <c r="M6407">
        <v>0</v>
      </c>
      <c r="N6407">
        <v>0</v>
      </c>
      <c r="O6407">
        <v>0</v>
      </c>
    </row>
    <row r="6408" spans="1:15" x14ac:dyDescent="0.35">
      <c r="A6408" t="s">
        <v>6998</v>
      </c>
      <c r="B6408" t="s">
        <v>6999</v>
      </c>
      <c r="C6408" t="s">
        <v>1477</v>
      </c>
      <c r="D6408" t="s">
        <v>314</v>
      </c>
      <c r="E6408" t="s">
        <v>306</v>
      </c>
      <c r="F6408" t="s">
        <v>7014</v>
      </c>
      <c r="G6408">
        <v>0</v>
      </c>
      <c r="H6408">
        <v>0</v>
      </c>
      <c r="I6408">
        <v>0</v>
      </c>
      <c r="J6408">
        <v>0</v>
      </c>
      <c r="K6408">
        <v>0</v>
      </c>
      <c r="L6408">
        <v>0</v>
      </c>
      <c r="M6408">
        <v>0</v>
      </c>
      <c r="N6408">
        <v>0</v>
      </c>
      <c r="O6408">
        <v>0</v>
      </c>
    </row>
    <row r="6409" spans="1:15" x14ac:dyDescent="0.35">
      <c r="A6409" t="s">
        <v>6998</v>
      </c>
      <c r="B6409" t="s">
        <v>6999</v>
      </c>
      <c r="C6409" t="s">
        <v>1477</v>
      </c>
      <c r="D6409" t="s">
        <v>314</v>
      </c>
      <c r="E6409" t="s">
        <v>308</v>
      </c>
      <c r="F6409" t="s">
        <v>7015</v>
      </c>
      <c r="G6409">
        <v>0</v>
      </c>
      <c r="H6409">
        <v>0</v>
      </c>
      <c r="I6409">
        <v>0</v>
      </c>
      <c r="J6409">
        <v>0</v>
      </c>
      <c r="K6409">
        <v>0</v>
      </c>
      <c r="L6409">
        <v>0</v>
      </c>
      <c r="M6409">
        <v>0</v>
      </c>
      <c r="N6409">
        <v>0</v>
      </c>
      <c r="O6409">
        <v>0</v>
      </c>
    </row>
    <row r="6410" spans="1:15" x14ac:dyDescent="0.35">
      <c r="A6410" t="s">
        <v>6998</v>
      </c>
      <c r="B6410" t="s">
        <v>6999</v>
      </c>
      <c r="C6410" t="s">
        <v>1477</v>
      </c>
      <c r="D6410" t="s">
        <v>314</v>
      </c>
      <c r="E6410" t="s">
        <v>312</v>
      </c>
      <c r="F6410" t="s">
        <v>7016</v>
      </c>
      <c r="G6410">
        <v>5</v>
      </c>
      <c r="H6410">
        <v>795.3</v>
      </c>
      <c r="I6410">
        <v>159.06</v>
      </c>
      <c r="J6410">
        <v>0</v>
      </c>
      <c r="K6410">
        <v>0</v>
      </c>
      <c r="L6410">
        <v>0</v>
      </c>
      <c r="M6410">
        <v>5</v>
      </c>
      <c r="N6410">
        <v>795.3</v>
      </c>
      <c r="O6410">
        <v>159.06</v>
      </c>
    </row>
    <row r="6411" spans="1:15" x14ac:dyDescent="0.35">
      <c r="A6411" t="s">
        <v>6998</v>
      </c>
      <c r="B6411" t="s">
        <v>6999</v>
      </c>
      <c r="C6411" t="s">
        <v>1477</v>
      </c>
      <c r="D6411" t="s">
        <v>314</v>
      </c>
      <c r="E6411" t="s">
        <v>310</v>
      </c>
      <c r="F6411" t="s">
        <v>7017</v>
      </c>
      <c r="G6411">
        <v>5</v>
      </c>
      <c r="H6411">
        <v>795.3</v>
      </c>
      <c r="I6411">
        <v>159.06</v>
      </c>
      <c r="J6411">
        <v>0</v>
      </c>
      <c r="K6411">
        <v>0</v>
      </c>
      <c r="L6411">
        <v>0</v>
      </c>
      <c r="M6411">
        <v>5</v>
      </c>
      <c r="N6411">
        <v>795.3</v>
      </c>
      <c r="O6411">
        <v>159.06</v>
      </c>
    </row>
    <row r="6412" spans="1:15" x14ac:dyDescent="0.35">
      <c r="A6412" t="s">
        <v>6998</v>
      </c>
      <c r="B6412" t="s">
        <v>6999</v>
      </c>
      <c r="C6412" t="s">
        <v>1477</v>
      </c>
      <c r="D6412" t="s">
        <v>323</v>
      </c>
      <c r="E6412" t="s">
        <v>294</v>
      </c>
      <c r="F6412" t="s">
        <v>7018</v>
      </c>
      <c r="G6412">
        <v>1325</v>
      </c>
      <c r="H6412">
        <v>121499.14000000001</v>
      </c>
      <c r="I6412">
        <v>91.7</v>
      </c>
      <c r="J6412">
        <v>11</v>
      </c>
      <c r="K6412">
        <v>1995.9499999999998</v>
      </c>
      <c r="L6412">
        <v>181.45</v>
      </c>
      <c r="M6412">
        <v>1336</v>
      </c>
      <c r="N6412">
        <v>123495.09000000001</v>
      </c>
      <c r="O6412">
        <v>92.44</v>
      </c>
    </row>
    <row r="6413" spans="1:15" x14ac:dyDescent="0.35">
      <c r="A6413" t="s">
        <v>6998</v>
      </c>
      <c r="B6413" t="s">
        <v>6999</v>
      </c>
      <c r="C6413" t="s">
        <v>1477</v>
      </c>
      <c r="D6413" t="s">
        <v>323</v>
      </c>
      <c r="E6413" t="s">
        <v>296</v>
      </c>
      <c r="F6413" t="s">
        <v>7019</v>
      </c>
      <c r="G6413">
        <v>2918</v>
      </c>
      <c r="H6413">
        <v>313068.33</v>
      </c>
      <c r="I6413">
        <v>107.29</v>
      </c>
      <c r="J6413">
        <v>10</v>
      </c>
      <c r="K6413">
        <v>1307.4000000000001</v>
      </c>
      <c r="L6413">
        <v>130.74</v>
      </c>
      <c r="M6413">
        <v>2928</v>
      </c>
      <c r="N6413">
        <v>314375.73000000004</v>
      </c>
      <c r="O6413">
        <v>107.37</v>
      </c>
    </row>
    <row r="6414" spans="1:15" x14ac:dyDescent="0.35">
      <c r="A6414" t="s">
        <v>6998</v>
      </c>
      <c r="B6414" t="s">
        <v>6999</v>
      </c>
      <c r="C6414" t="s">
        <v>1477</v>
      </c>
      <c r="D6414" t="s">
        <v>323</v>
      </c>
      <c r="E6414" t="s">
        <v>298</v>
      </c>
      <c r="F6414" t="s">
        <v>7020</v>
      </c>
      <c r="G6414">
        <v>2830</v>
      </c>
      <c r="H6414">
        <v>326533.67</v>
      </c>
      <c r="I6414">
        <v>115.38</v>
      </c>
      <c r="J6414">
        <v>11</v>
      </c>
      <c r="K6414">
        <v>1992.3200000000002</v>
      </c>
      <c r="L6414">
        <v>181.12</v>
      </c>
      <c r="M6414">
        <v>2841</v>
      </c>
      <c r="N6414">
        <v>328525.99</v>
      </c>
      <c r="O6414">
        <v>115.64</v>
      </c>
    </row>
    <row r="6415" spans="1:15" x14ac:dyDescent="0.35">
      <c r="A6415" t="s">
        <v>6998</v>
      </c>
      <c r="B6415" t="s">
        <v>6999</v>
      </c>
      <c r="C6415" t="s">
        <v>1477</v>
      </c>
      <c r="D6415" t="s">
        <v>323</v>
      </c>
      <c r="E6415" t="s">
        <v>300</v>
      </c>
      <c r="F6415" t="s">
        <v>7021</v>
      </c>
      <c r="G6415">
        <v>213</v>
      </c>
      <c r="H6415">
        <v>26809.25</v>
      </c>
      <c r="I6415">
        <v>125.87</v>
      </c>
      <c r="J6415">
        <v>2</v>
      </c>
      <c r="K6415">
        <v>264.38</v>
      </c>
      <c r="L6415">
        <v>132.19</v>
      </c>
      <c r="M6415">
        <v>215</v>
      </c>
      <c r="N6415">
        <v>27073.63</v>
      </c>
      <c r="O6415">
        <v>125.92</v>
      </c>
    </row>
    <row r="6416" spans="1:15" x14ac:dyDescent="0.35">
      <c r="A6416" t="s">
        <v>6998</v>
      </c>
      <c r="B6416" t="s">
        <v>6999</v>
      </c>
      <c r="C6416" t="s">
        <v>1477</v>
      </c>
      <c r="D6416" t="s">
        <v>323</v>
      </c>
      <c r="E6416" t="s">
        <v>302</v>
      </c>
      <c r="F6416" t="s">
        <v>7022</v>
      </c>
      <c r="G6416">
        <v>10</v>
      </c>
      <c r="H6416">
        <v>1348.72</v>
      </c>
      <c r="I6416">
        <v>134.87</v>
      </c>
      <c r="J6416">
        <v>0</v>
      </c>
      <c r="K6416">
        <v>0</v>
      </c>
      <c r="L6416">
        <v>0</v>
      </c>
      <c r="M6416">
        <v>10</v>
      </c>
      <c r="N6416">
        <v>1348.72</v>
      </c>
      <c r="O6416">
        <v>134.87</v>
      </c>
    </row>
    <row r="6417" spans="1:15" x14ac:dyDescent="0.35">
      <c r="A6417" t="s">
        <v>6998</v>
      </c>
      <c r="B6417" t="s">
        <v>6999</v>
      </c>
      <c r="C6417" t="s">
        <v>1477</v>
      </c>
      <c r="D6417" t="s">
        <v>323</v>
      </c>
      <c r="E6417" t="s">
        <v>304</v>
      </c>
      <c r="F6417" t="s">
        <v>7023</v>
      </c>
      <c r="G6417">
        <v>11</v>
      </c>
      <c r="H6417">
        <v>1586.42</v>
      </c>
      <c r="I6417">
        <v>144.22</v>
      </c>
      <c r="J6417">
        <v>0</v>
      </c>
      <c r="K6417">
        <v>0</v>
      </c>
      <c r="L6417">
        <v>0</v>
      </c>
      <c r="M6417">
        <v>11</v>
      </c>
      <c r="N6417">
        <v>1586.42</v>
      </c>
      <c r="O6417">
        <v>144.22</v>
      </c>
    </row>
    <row r="6418" spans="1:15" x14ac:dyDescent="0.35">
      <c r="A6418" t="s">
        <v>6998</v>
      </c>
      <c r="B6418" t="s">
        <v>6999</v>
      </c>
      <c r="C6418" t="s">
        <v>1477</v>
      </c>
      <c r="D6418" t="s">
        <v>323</v>
      </c>
      <c r="E6418" t="s">
        <v>306</v>
      </c>
      <c r="F6418" t="s">
        <v>7024</v>
      </c>
      <c r="G6418">
        <v>17</v>
      </c>
      <c r="H6418">
        <v>1327.47</v>
      </c>
      <c r="I6418">
        <v>78.09</v>
      </c>
      <c r="J6418">
        <v>14</v>
      </c>
      <c r="K6418">
        <v>2565.5</v>
      </c>
      <c r="L6418">
        <v>183.25</v>
      </c>
      <c r="M6418">
        <v>31</v>
      </c>
      <c r="N6418">
        <v>3892.9700000000003</v>
      </c>
      <c r="O6418">
        <v>125.58</v>
      </c>
    </row>
    <row r="6419" spans="1:15" x14ac:dyDescent="0.35">
      <c r="A6419" t="s">
        <v>6998</v>
      </c>
      <c r="B6419" t="s">
        <v>6999</v>
      </c>
      <c r="C6419" t="s">
        <v>1477</v>
      </c>
      <c r="D6419" t="s">
        <v>323</v>
      </c>
      <c r="E6419" t="s">
        <v>308</v>
      </c>
      <c r="F6419" t="s">
        <v>7025</v>
      </c>
      <c r="G6419">
        <v>0</v>
      </c>
      <c r="H6419">
        <v>0</v>
      </c>
      <c r="I6419">
        <v>0</v>
      </c>
      <c r="J6419">
        <v>7</v>
      </c>
      <c r="K6419">
        <v>1282.75</v>
      </c>
      <c r="L6419">
        <v>183.25</v>
      </c>
      <c r="M6419">
        <v>7</v>
      </c>
      <c r="N6419">
        <v>1282.75</v>
      </c>
      <c r="O6419">
        <v>183.25</v>
      </c>
    </row>
    <row r="6420" spans="1:15" x14ac:dyDescent="0.35">
      <c r="A6420" t="s">
        <v>6998</v>
      </c>
      <c r="B6420" t="s">
        <v>6999</v>
      </c>
      <c r="C6420" t="s">
        <v>1477</v>
      </c>
      <c r="D6420" t="s">
        <v>323</v>
      </c>
      <c r="E6420" t="s">
        <v>310</v>
      </c>
      <c r="F6420" t="s">
        <v>7026</v>
      </c>
      <c r="G6420">
        <v>7324</v>
      </c>
      <c r="H6420">
        <v>792173</v>
      </c>
      <c r="I6420">
        <v>108.16</v>
      </c>
      <c r="J6420">
        <v>55</v>
      </c>
      <c r="K6420">
        <v>9408.2999999999993</v>
      </c>
      <c r="L6420">
        <v>171.06</v>
      </c>
      <c r="M6420">
        <v>7379</v>
      </c>
      <c r="N6420">
        <v>801581.3</v>
      </c>
      <c r="O6420">
        <v>108.63</v>
      </c>
    </row>
    <row r="6421" spans="1:15" x14ac:dyDescent="0.35">
      <c r="A6421" t="s">
        <v>6998</v>
      </c>
      <c r="B6421" t="s">
        <v>6999</v>
      </c>
      <c r="C6421" t="s">
        <v>1477</v>
      </c>
      <c r="D6421" t="s">
        <v>323</v>
      </c>
      <c r="E6421" t="s">
        <v>312</v>
      </c>
      <c r="F6421" t="s">
        <v>7027</v>
      </c>
      <c r="G6421">
        <v>7324</v>
      </c>
      <c r="H6421">
        <v>792173</v>
      </c>
      <c r="I6421">
        <v>108.16</v>
      </c>
      <c r="J6421">
        <v>48</v>
      </c>
      <c r="K6421">
        <v>8125.55</v>
      </c>
      <c r="L6421">
        <v>169.28</v>
      </c>
      <c r="M6421">
        <v>7372</v>
      </c>
      <c r="N6421">
        <v>800298.55</v>
      </c>
      <c r="O6421">
        <v>108.56</v>
      </c>
    </row>
    <row r="6422" spans="1:15" x14ac:dyDescent="0.35">
      <c r="A6422" t="s">
        <v>6998</v>
      </c>
      <c r="B6422" t="s">
        <v>6999</v>
      </c>
      <c r="C6422" t="s">
        <v>1477</v>
      </c>
      <c r="D6422" t="s">
        <v>334</v>
      </c>
      <c r="E6422" t="s">
        <v>312</v>
      </c>
      <c r="F6422" t="s">
        <v>7028</v>
      </c>
      <c r="G6422">
        <v>8629</v>
      </c>
      <c r="H6422">
        <v>974108.64</v>
      </c>
      <c r="I6422">
        <v>113.96</v>
      </c>
      <c r="J6422">
        <v>48</v>
      </c>
      <c r="K6422">
        <v>8125.55</v>
      </c>
      <c r="L6422">
        <v>169.28</v>
      </c>
      <c r="M6422">
        <v>8677</v>
      </c>
      <c r="N6422">
        <v>982234.19000000006</v>
      </c>
      <c r="O6422">
        <v>114.27</v>
      </c>
    </row>
    <row r="6423" spans="1:15" x14ac:dyDescent="0.35">
      <c r="A6423" t="s">
        <v>6998</v>
      </c>
      <c r="B6423" t="s">
        <v>6999</v>
      </c>
      <c r="C6423" t="s">
        <v>1477</v>
      </c>
      <c r="D6423" t="s">
        <v>334</v>
      </c>
      <c r="E6423" t="s">
        <v>308</v>
      </c>
      <c r="F6423" t="s">
        <v>7029</v>
      </c>
      <c r="G6423">
        <v>0</v>
      </c>
      <c r="H6423">
        <v>0</v>
      </c>
      <c r="I6423">
        <v>0</v>
      </c>
      <c r="J6423">
        <v>7</v>
      </c>
      <c r="K6423">
        <v>1282.75</v>
      </c>
      <c r="L6423">
        <v>183.25</v>
      </c>
      <c r="M6423">
        <v>7</v>
      </c>
      <c r="N6423">
        <v>1282.75</v>
      </c>
      <c r="O6423">
        <v>183.25</v>
      </c>
    </row>
    <row r="6424" spans="1:15" x14ac:dyDescent="0.35">
      <c r="A6424" t="s">
        <v>6998</v>
      </c>
      <c r="B6424" t="s">
        <v>6999</v>
      </c>
      <c r="C6424" t="s">
        <v>1477</v>
      </c>
      <c r="D6424" t="s">
        <v>337</v>
      </c>
      <c r="E6424" t="s">
        <v>337</v>
      </c>
      <c r="F6424" t="s">
        <v>7030</v>
      </c>
      <c r="G6424">
        <v>734</v>
      </c>
      <c r="J6424">
        <v>0</v>
      </c>
      <c r="M6424">
        <v>734</v>
      </c>
    </row>
    <row r="6425" spans="1:15" x14ac:dyDescent="0.35">
      <c r="A6425" t="s">
        <v>6998</v>
      </c>
      <c r="B6425" t="s">
        <v>6999</v>
      </c>
      <c r="C6425" t="s">
        <v>1477</v>
      </c>
      <c r="D6425" t="s">
        <v>339</v>
      </c>
      <c r="E6425" t="s">
        <v>294</v>
      </c>
      <c r="F6425" t="s">
        <v>7031</v>
      </c>
      <c r="G6425">
        <v>314</v>
      </c>
      <c r="H6425">
        <v>31709.500000000004</v>
      </c>
      <c r="I6425">
        <v>100.99</v>
      </c>
      <c r="J6425">
        <v>0</v>
      </c>
      <c r="K6425">
        <v>0</v>
      </c>
      <c r="L6425">
        <v>0</v>
      </c>
      <c r="M6425">
        <v>314</v>
      </c>
      <c r="N6425">
        <v>31709.500000000004</v>
      </c>
      <c r="O6425">
        <v>100.99</v>
      </c>
    </row>
    <row r="6426" spans="1:15" x14ac:dyDescent="0.35">
      <c r="A6426" t="s">
        <v>6998</v>
      </c>
      <c r="B6426" t="s">
        <v>6999</v>
      </c>
      <c r="C6426" t="s">
        <v>1477</v>
      </c>
      <c r="D6426" t="s">
        <v>339</v>
      </c>
      <c r="E6426" t="s">
        <v>296</v>
      </c>
      <c r="F6426" t="s">
        <v>7032</v>
      </c>
      <c r="G6426">
        <v>7</v>
      </c>
      <c r="H6426">
        <v>817.37000000000012</v>
      </c>
      <c r="I6426">
        <v>116.77</v>
      </c>
      <c r="J6426">
        <v>0</v>
      </c>
      <c r="K6426">
        <v>0</v>
      </c>
      <c r="L6426">
        <v>0</v>
      </c>
      <c r="M6426">
        <v>7</v>
      </c>
      <c r="N6426">
        <v>817.37000000000012</v>
      </c>
      <c r="O6426">
        <v>116.77</v>
      </c>
    </row>
    <row r="6427" spans="1:15" x14ac:dyDescent="0.35">
      <c r="A6427" t="s">
        <v>6998</v>
      </c>
      <c r="B6427" t="s">
        <v>6999</v>
      </c>
      <c r="C6427" t="s">
        <v>1477</v>
      </c>
      <c r="D6427" t="s">
        <v>339</v>
      </c>
      <c r="E6427" t="s">
        <v>298</v>
      </c>
      <c r="F6427" t="s">
        <v>7033</v>
      </c>
      <c r="G6427">
        <v>2</v>
      </c>
      <c r="H6427">
        <v>286.05</v>
      </c>
      <c r="I6427">
        <v>143.03</v>
      </c>
      <c r="J6427">
        <v>0</v>
      </c>
      <c r="K6427">
        <v>0</v>
      </c>
      <c r="L6427">
        <v>0</v>
      </c>
      <c r="M6427">
        <v>2</v>
      </c>
      <c r="N6427">
        <v>286.05</v>
      </c>
      <c r="O6427">
        <v>143.03</v>
      </c>
    </row>
    <row r="6428" spans="1:15" x14ac:dyDescent="0.35">
      <c r="A6428" t="s">
        <v>6998</v>
      </c>
      <c r="B6428" t="s">
        <v>6999</v>
      </c>
      <c r="C6428" t="s">
        <v>1477</v>
      </c>
      <c r="D6428" t="s">
        <v>339</v>
      </c>
      <c r="E6428" t="s">
        <v>300</v>
      </c>
      <c r="F6428" t="s">
        <v>7034</v>
      </c>
      <c r="G6428">
        <v>0</v>
      </c>
      <c r="H6428">
        <v>0</v>
      </c>
      <c r="I6428">
        <v>0</v>
      </c>
      <c r="J6428">
        <v>0</v>
      </c>
      <c r="K6428">
        <v>0</v>
      </c>
      <c r="L6428">
        <v>0</v>
      </c>
      <c r="M6428">
        <v>0</v>
      </c>
      <c r="N6428">
        <v>0</v>
      </c>
      <c r="O6428">
        <v>0</v>
      </c>
    </row>
    <row r="6429" spans="1:15" x14ac:dyDescent="0.35">
      <c r="A6429" t="s">
        <v>6998</v>
      </c>
      <c r="B6429" t="s">
        <v>6999</v>
      </c>
      <c r="C6429" t="s">
        <v>1477</v>
      </c>
      <c r="D6429" t="s">
        <v>339</v>
      </c>
      <c r="E6429" t="s">
        <v>306</v>
      </c>
      <c r="F6429" t="s">
        <v>7035</v>
      </c>
      <c r="G6429">
        <v>93</v>
      </c>
      <c r="H6429">
        <v>8936.84</v>
      </c>
      <c r="I6429">
        <v>96.1</v>
      </c>
      <c r="J6429">
        <v>0</v>
      </c>
      <c r="K6429">
        <v>0</v>
      </c>
      <c r="L6429">
        <v>0</v>
      </c>
      <c r="M6429">
        <v>93</v>
      </c>
      <c r="N6429">
        <v>8936.84</v>
      </c>
      <c r="O6429">
        <v>96.1</v>
      </c>
    </row>
    <row r="6430" spans="1:15" x14ac:dyDescent="0.35">
      <c r="A6430" t="s">
        <v>6998</v>
      </c>
      <c r="B6430" t="s">
        <v>6999</v>
      </c>
      <c r="C6430" t="s">
        <v>1477</v>
      </c>
      <c r="D6430" t="s">
        <v>339</v>
      </c>
      <c r="E6430" t="s">
        <v>308</v>
      </c>
      <c r="F6430" t="s">
        <v>7036</v>
      </c>
      <c r="G6430">
        <v>74</v>
      </c>
      <c r="H6430">
        <v>8638.82</v>
      </c>
      <c r="I6430">
        <v>116.74</v>
      </c>
      <c r="J6430">
        <v>0</v>
      </c>
      <c r="K6430">
        <v>0</v>
      </c>
      <c r="L6430">
        <v>0</v>
      </c>
      <c r="M6430">
        <v>74</v>
      </c>
      <c r="N6430">
        <v>8638.82</v>
      </c>
      <c r="O6430">
        <v>116.74</v>
      </c>
    </row>
    <row r="6431" spans="1:15" x14ac:dyDescent="0.35">
      <c r="A6431" t="s">
        <v>6998</v>
      </c>
      <c r="B6431" t="s">
        <v>6999</v>
      </c>
      <c r="C6431" t="s">
        <v>1477</v>
      </c>
      <c r="D6431" t="s">
        <v>339</v>
      </c>
      <c r="E6431" t="s">
        <v>310</v>
      </c>
      <c r="F6431" t="s">
        <v>7037</v>
      </c>
      <c r="G6431">
        <v>490</v>
      </c>
      <c r="H6431">
        <v>50388.580000000009</v>
      </c>
      <c r="I6431">
        <v>102.83</v>
      </c>
      <c r="J6431">
        <v>0</v>
      </c>
      <c r="K6431">
        <v>0</v>
      </c>
      <c r="L6431">
        <v>0</v>
      </c>
      <c r="M6431">
        <v>490</v>
      </c>
      <c r="N6431">
        <v>50388.580000000009</v>
      </c>
      <c r="O6431">
        <v>102.83</v>
      </c>
    </row>
    <row r="6432" spans="1:15" x14ac:dyDescent="0.35">
      <c r="A6432" t="s">
        <v>6998</v>
      </c>
      <c r="B6432" t="s">
        <v>6999</v>
      </c>
      <c r="C6432" t="s">
        <v>1477</v>
      </c>
      <c r="D6432" t="s">
        <v>339</v>
      </c>
      <c r="E6432" t="s">
        <v>312</v>
      </c>
      <c r="F6432" t="s">
        <v>7038</v>
      </c>
      <c r="G6432">
        <v>416</v>
      </c>
      <c r="H6432">
        <v>41749.760000000009</v>
      </c>
      <c r="I6432">
        <v>100.36</v>
      </c>
      <c r="J6432">
        <v>0</v>
      </c>
      <c r="K6432">
        <v>0</v>
      </c>
      <c r="L6432">
        <v>0</v>
      </c>
      <c r="M6432">
        <v>416</v>
      </c>
      <c r="N6432">
        <v>41749.760000000009</v>
      </c>
      <c r="O6432">
        <v>100.36</v>
      </c>
    </row>
    <row r="6433" spans="1:15" x14ac:dyDescent="0.35">
      <c r="A6433" t="s">
        <v>6998</v>
      </c>
      <c r="B6433" t="s">
        <v>6999</v>
      </c>
      <c r="C6433" t="s">
        <v>1477</v>
      </c>
      <c r="D6433" t="s">
        <v>348</v>
      </c>
      <c r="E6433" t="s">
        <v>349</v>
      </c>
      <c r="F6433" t="s">
        <v>7039</v>
      </c>
      <c r="G6433">
        <v>542</v>
      </c>
      <c r="H6433">
        <v>51183.880000000012</v>
      </c>
      <c r="I6433">
        <v>103.4</v>
      </c>
      <c r="J6433">
        <v>0</v>
      </c>
      <c r="K6433">
        <v>0</v>
      </c>
      <c r="L6433">
        <v>0</v>
      </c>
      <c r="M6433">
        <v>542</v>
      </c>
      <c r="N6433">
        <v>51183.880000000012</v>
      </c>
      <c r="O6433">
        <v>103.4</v>
      </c>
    </row>
    <row r="6434" spans="1:15" x14ac:dyDescent="0.35">
      <c r="A6434" t="s">
        <v>7040</v>
      </c>
      <c r="B6434" t="s">
        <v>7041</v>
      </c>
      <c r="C6434" t="s">
        <v>1477</v>
      </c>
      <c r="D6434" t="s">
        <v>293</v>
      </c>
      <c r="E6434" t="s">
        <v>294</v>
      </c>
      <c r="F6434" t="s">
        <v>7042</v>
      </c>
      <c r="G6434">
        <v>440</v>
      </c>
      <c r="H6434">
        <v>52866.299999999988</v>
      </c>
      <c r="I6434">
        <v>120.15</v>
      </c>
      <c r="J6434">
        <v>0</v>
      </c>
      <c r="K6434">
        <v>0</v>
      </c>
      <c r="L6434">
        <v>0</v>
      </c>
      <c r="M6434">
        <v>440</v>
      </c>
      <c r="N6434">
        <v>52866.299999999988</v>
      </c>
      <c r="O6434">
        <v>120.15</v>
      </c>
    </row>
    <row r="6435" spans="1:15" x14ac:dyDescent="0.35">
      <c r="A6435" t="s">
        <v>7040</v>
      </c>
      <c r="B6435" t="s">
        <v>7041</v>
      </c>
      <c r="C6435" t="s">
        <v>1477</v>
      </c>
      <c r="D6435" t="s">
        <v>293</v>
      </c>
      <c r="E6435" t="s">
        <v>296</v>
      </c>
      <c r="F6435" t="s">
        <v>7043</v>
      </c>
      <c r="G6435">
        <v>675</v>
      </c>
      <c r="H6435">
        <v>96077.64</v>
      </c>
      <c r="I6435">
        <v>142.34</v>
      </c>
      <c r="J6435">
        <v>0</v>
      </c>
      <c r="K6435">
        <v>0</v>
      </c>
      <c r="L6435">
        <v>0</v>
      </c>
      <c r="M6435">
        <v>675</v>
      </c>
      <c r="N6435">
        <v>96077.64</v>
      </c>
      <c r="O6435">
        <v>142.34</v>
      </c>
    </row>
    <row r="6436" spans="1:15" x14ac:dyDescent="0.35">
      <c r="A6436" t="s">
        <v>7040</v>
      </c>
      <c r="B6436" t="s">
        <v>7041</v>
      </c>
      <c r="C6436" t="s">
        <v>1477</v>
      </c>
      <c r="D6436" t="s">
        <v>293</v>
      </c>
      <c r="E6436" t="s">
        <v>298</v>
      </c>
      <c r="F6436" t="s">
        <v>7044</v>
      </c>
      <c r="G6436">
        <v>399</v>
      </c>
      <c r="H6436">
        <v>66284.490000000005</v>
      </c>
      <c r="I6436">
        <v>166.13</v>
      </c>
      <c r="J6436">
        <v>0</v>
      </c>
      <c r="K6436">
        <v>0</v>
      </c>
      <c r="L6436">
        <v>0</v>
      </c>
      <c r="M6436">
        <v>399</v>
      </c>
      <c r="N6436">
        <v>66284.490000000005</v>
      </c>
      <c r="O6436">
        <v>166.13</v>
      </c>
    </row>
    <row r="6437" spans="1:15" x14ac:dyDescent="0.35">
      <c r="A6437" t="s">
        <v>7040</v>
      </c>
      <c r="B6437" t="s">
        <v>7041</v>
      </c>
      <c r="C6437" t="s">
        <v>1477</v>
      </c>
      <c r="D6437" t="s">
        <v>293</v>
      </c>
      <c r="E6437" t="s">
        <v>300</v>
      </c>
      <c r="F6437" t="s">
        <v>7045</v>
      </c>
      <c r="G6437">
        <v>44</v>
      </c>
      <c r="H6437">
        <v>9311.52</v>
      </c>
      <c r="I6437">
        <v>211.63</v>
      </c>
      <c r="J6437">
        <v>0</v>
      </c>
      <c r="K6437">
        <v>0</v>
      </c>
      <c r="L6437">
        <v>0</v>
      </c>
      <c r="M6437">
        <v>44</v>
      </c>
      <c r="N6437">
        <v>9311.52</v>
      </c>
      <c r="O6437">
        <v>211.63</v>
      </c>
    </row>
    <row r="6438" spans="1:15" x14ac:dyDescent="0.35">
      <c r="A6438" t="s">
        <v>7040</v>
      </c>
      <c r="B6438" t="s">
        <v>7041</v>
      </c>
      <c r="C6438" t="s">
        <v>1477</v>
      </c>
      <c r="D6438" t="s">
        <v>293</v>
      </c>
      <c r="E6438" t="s">
        <v>302</v>
      </c>
      <c r="F6438" t="s">
        <v>7046</v>
      </c>
      <c r="G6438">
        <v>2</v>
      </c>
      <c r="H6438">
        <v>419.85</v>
      </c>
      <c r="I6438">
        <v>209.93</v>
      </c>
      <c r="J6438">
        <v>0</v>
      </c>
      <c r="K6438">
        <v>0</v>
      </c>
      <c r="L6438">
        <v>0</v>
      </c>
      <c r="M6438">
        <v>2</v>
      </c>
      <c r="N6438">
        <v>419.85</v>
      </c>
      <c r="O6438">
        <v>209.93</v>
      </c>
    </row>
    <row r="6439" spans="1:15" x14ac:dyDescent="0.35">
      <c r="A6439" t="s">
        <v>7040</v>
      </c>
      <c r="B6439" t="s">
        <v>7041</v>
      </c>
      <c r="C6439" t="s">
        <v>1477</v>
      </c>
      <c r="D6439" t="s">
        <v>293</v>
      </c>
      <c r="E6439" t="s">
        <v>304</v>
      </c>
      <c r="F6439" t="s">
        <v>7047</v>
      </c>
      <c r="G6439">
        <v>0</v>
      </c>
      <c r="H6439">
        <v>0</v>
      </c>
      <c r="I6439">
        <v>0</v>
      </c>
      <c r="J6439">
        <v>0</v>
      </c>
      <c r="K6439">
        <v>0</v>
      </c>
      <c r="L6439">
        <v>0</v>
      </c>
      <c r="M6439">
        <v>0</v>
      </c>
      <c r="N6439">
        <v>0</v>
      </c>
      <c r="O6439">
        <v>0</v>
      </c>
    </row>
    <row r="6440" spans="1:15" x14ac:dyDescent="0.35">
      <c r="A6440" t="s">
        <v>7040</v>
      </c>
      <c r="B6440" t="s">
        <v>7041</v>
      </c>
      <c r="C6440" t="s">
        <v>1477</v>
      </c>
      <c r="D6440" t="s">
        <v>293</v>
      </c>
      <c r="E6440" t="s">
        <v>306</v>
      </c>
      <c r="F6440" t="s">
        <v>7048</v>
      </c>
      <c r="G6440">
        <v>0</v>
      </c>
      <c r="H6440">
        <v>0</v>
      </c>
      <c r="I6440">
        <v>0</v>
      </c>
      <c r="J6440">
        <v>0</v>
      </c>
      <c r="K6440">
        <v>0</v>
      </c>
      <c r="L6440">
        <v>0</v>
      </c>
      <c r="M6440">
        <v>0</v>
      </c>
      <c r="N6440">
        <v>0</v>
      </c>
      <c r="O6440">
        <v>0</v>
      </c>
    </row>
    <row r="6441" spans="1:15" x14ac:dyDescent="0.35">
      <c r="A6441" t="s">
        <v>7040</v>
      </c>
      <c r="B6441" t="s">
        <v>7041</v>
      </c>
      <c r="C6441" t="s">
        <v>1477</v>
      </c>
      <c r="D6441" t="s">
        <v>293</v>
      </c>
      <c r="E6441" t="s">
        <v>308</v>
      </c>
      <c r="F6441" t="s">
        <v>7049</v>
      </c>
      <c r="G6441">
        <v>0</v>
      </c>
      <c r="H6441">
        <v>0</v>
      </c>
      <c r="I6441">
        <v>0</v>
      </c>
      <c r="J6441">
        <v>0</v>
      </c>
      <c r="K6441">
        <v>0</v>
      </c>
      <c r="L6441">
        <v>0</v>
      </c>
      <c r="M6441">
        <v>0</v>
      </c>
      <c r="N6441">
        <v>0</v>
      </c>
      <c r="O6441">
        <v>0</v>
      </c>
    </row>
    <row r="6442" spans="1:15" x14ac:dyDescent="0.35">
      <c r="A6442" t="s">
        <v>7040</v>
      </c>
      <c r="B6442" t="s">
        <v>7041</v>
      </c>
      <c r="C6442" t="s">
        <v>1477</v>
      </c>
      <c r="D6442" t="s">
        <v>293</v>
      </c>
      <c r="E6442" t="s">
        <v>310</v>
      </c>
      <c r="F6442" t="s">
        <v>7050</v>
      </c>
      <c r="G6442">
        <v>1560</v>
      </c>
      <c r="H6442">
        <v>224959.8</v>
      </c>
      <c r="I6442">
        <v>144.21</v>
      </c>
      <c r="J6442">
        <v>0</v>
      </c>
      <c r="K6442">
        <v>0</v>
      </c>
      <c r="L6442">
        <v>0</v>
      </c>
      <c r="M6442">
        <v>1560</v>
      </c>
      <c r="N6442">
        <v>224959.8</v>
      </c>
      <c r="O6442">
        <v>144.21</v>
      </c>
    </row>
    <row r="6443" spans="1:15" x14ac:dyDescent="0.35">
      <c r="A6443" t="s">
        <v>7040</v>
      </c>
      <c r="B6443" t="s">
        <v>7041</v>
      </c>
      <c r="C6443" t="s">
        <v>1477</v>
      </c>
      <c r="D6443" t="s">
        <v>293</v>
      </c>
      <c r="E6443" t="s">
        <v>312</v>
      </c>
      <c r="F6443" t="s">
        <v>7051</v>
      </c>
      <c r="G6443">
        <v>1560</v>
      </c>
      <c r="H6443">
        <v>224959.8</v>
      </c>
      <c r="I6443">
        <v>144.21</v>
      </c>
      <c r="J6443">
        <v>0</v>
      </c>
      <c r="K6443">
        <v>0</v>
      </c>
      <c r="L6443">
        <v>0</v>
      </c>
      <c r="M6443">
        <v>1560</v>
      </c>
      <c r="N6443">
        <v>224959.8</v>
      </c>
      <c r="O6443">
        <v>144.21</v>
      </c>
    </row>
    <row r="6444" spans="1:15" x14ac:dyDescent="0.35">
      <c r="A6444" t="s">
        <v>7040</v>
      </c>
      <c r="B6444" t="s">
        <v>7041</v>
      </c>
      <c r="C6444" t="s">
        <v>1477</v>
      </c>
      <c r="D6444" t="s">
        <v>314</v>
      </c>
      <c r="E6444" t="s">
        <v>294</v>
      </c>
      <c r="F6444" t="s">
        <v>7052</v>
      </c>
      <c r="G6444">
        <v>0</v>
      </c>
      <c r="H6444">
        <v>0</v>
      </c>
      <c r="I6444">
        <v>0</v>
      </c>
      <c r="J6444">
        <v>0</v>
      </c>
      <c r="K6444">
        <v>0</v>
      </c>
      <c r="L6444">
        <v>0</v>
      </c>
      <c r="M6444">
        <v>0</v>
      </c>
      <c r="N6444">
        <v>0</v>
      </c>
      <c r="O6444">
        <v>0</v>
      </c>
    </row>
    <row r="6445" spans="1:15" x14ac:dyDescent="0.35">
      <c r="A6445" t="s">
        <v>7040</v>
      </c>
      <c r="B6445" t="s">
        <v>7041</v>
      </c>
      <c r="C6445" t="s">
        <v>1477</v>
      </c>
      <c r="D6445" t="s">
        <v>314</v>
      </c>
      <c r="E6445" t="s">
        <v>296</v>
      </c>
      <c r="F6445" t="s">
        <v>7053</v>
      </c>
      <c r="G6445">
        <v>0</v>
      </c>
      <c r="H6445">
        <v>0</v>
      </c>
      <c r="I6445">
        <v>0</v>
      </c>
      <c r="J6445">
        <v>0</v>
      </c>
      <c r="K6445">
        <v>0</v>
      </c>
      <c r="L6445">
        <v>0</v>
      </c>
      <c r="M6445">
        <v>0</v>
      </c>
      <c r="N6445">
        <v>0</v>
      </c>
      <c r="O6445">
        <v>0</v>
      </c>
    </row>
    <row r="6446" spans="1:15" x14ac:dyDescent="0.35">
      <c r="A6446" t="s">
        <v>7040</v>
      </c>
      <c r="B6446" t="s">
        <v>7041</v>
      </c>
      <c r="C6446" t="s">
        <v>1477</v>
      </c>
      <c r="D6446" t="s">
        <v>314</v>
      </c>
      <c r="E6446" t="s">
        <v>298</v>
      </c>
      <c r="F6446" t="s">
        <v>7054</v>
      </c>
      <c r="G6446">
        <v>0</v>
      </c>
      <c r="H6446">
        <v>0</v>
      </c>
      <c r="I6446">
        <v>0</v>
      </c>
      <c r="J6446">
        <v>0</v>
      </c>
      <c r="K6446">
        <v>0</v>
      </c>
      <c r="L6446">
        <v>0</v>
      </c>
      <c r="M6446">
        <v>0</v>
      </c>
      <c r="N6446">
        <v>0</v>
      </c>
      <c r="O6446">
        <v>0</v>
      </c>
    </row>
    <row r="6447" spans="1:15" x14ac:dyDescent="0.35">
      <c r="A6447" t="s">
        <v>7040</v>
      </c>
      <c r="B6447" t="s">
        <v>7041</v>
      </c>
      <c r="C6447" t="s">
        <v>1477</v>
      </c>
      <c r="D6447" t="s">
        <v>314</v>
      </c>
      <c r="E6447" t="s">
        <v>300</v>
      </c>
      <c r="F6447" t="s">
        <v>7055</v>
      </c>
      <c r="G6447">
        <v>0</v>
      </c>
      <c r="H6447">
        <v>0</v>
      </c>
      <c r="I6447">
        <v>0</v>
      </c>
      <c r="J6447">
        <v>0</v>
      </c>
      <c r="K6447">
        <v>0</v>
      </c>
      <c r="L6447">
        <v>0</v>
      </c>
      <c r="M6447">
        <v>0</v>
      </c>
      <c r="N6447">
        <v>0</v>
      </c>
      <c r="O6447">
        <v>0</v>
      </c>
    </row>
    <row r="6448" spans="1:15" x14ac:dyDescent="0.35">
      <c r="A6448" t="s">
        <v>7040</v>
      </c>
      <c r="B6448" t="s">
        <v>7041</v>
      </c>
      <c r="C6448" t="s">
        <v>1477</v>
      </c>
      <c r="D6448" t="s">
        <v>314</v>
      </c>
      <c r="E6448" t="s">
        <v>306</v>
      </c>
      <c r="F6448" t="s">
        <v>7056</v>
      </c>
      <c r="G6448">
        <v>0</v>
      </c>
      <c r="H6448">
        <v>0</v>
      </c>
      <c r="I6448">
        <v>0</v>
      </c>
      <c r="J6448">
        <v>0</v>
      </c>
      <c r="K6448">
        <v>0</v>
      </c>
      <c r="L6448">
        <v>0</v>
      </c>
      <c r="M6448">
        <v>0</v>
      </c>
      <c r="N6448">
        <v>0</v>
      </c>
      <c r="O6448">
        <v>0</v>
      </c>
    </row>
    <row r="6449" spans="1:15" x14ac:dyDescent="0.35">
      <c r="A6449" t="s">
        <v>7040</v>
      </c>
      <c r="B6449" t="s">
        <v>7041</v>
      </c>
      <c r="C6449" t="s">
        <v>1477</v>
      </c>
      <c r="D6449" t="s">
        <v>314</v>
      </c>
      <c r="E6449" t="s">
        <v>308</v>
      </c>
      <c r="F6449" t="s">
        <v>7057</v>
      </c>
      <c r="G6449">
        <v>0</v>
      </c>
      <c r="H6449">
        <v>0</v>
      </c>
      <c r="I6449">
        <v>0</v>
      </c>
      <c r="J6449">
        <v>0</v>
      </c>
      <c r="K6449">
        <v>0</v>
      </c>
      <c r="L6449">
        <v>0</v>
      </c>
      <c r="M6449">
        <v>0</v>
      </c>
      <c r="N6449">
        <v>0</v>
      </c>
      <c r="O6449">
        <v>0</v>
      </c>
    </row>
    <row r="6450" spans="1:15" x14ac:dyDescent="0.35">
      <c r="A6450" t="s">
        <v>7040</v>
      </c>
      <c r="B6450" t="s">
        <v>7041</v>
      </c>
      <c r="C6450" t="s">
        <v>1477</v>
      </c>
      <c r="D6450" t="s">
        <v>314</v>
      </c>
      <c r="E6450" t="s">
        <v>312</v>
      </c>
      <c r="F6450" t="s">
        <v>7058</v>
      </c>
      <c r="G6450">
        <v>0</v>
      </c>
      <c r="H6450">
        <v>0</v>
      </c>
      <c r="I6450">
        <v>0</v>
      </c>
      <c r="J6450">
        <v>0</v>
      </c>
      <c r="K6450">
        <v>0</v>
      </c>
      <c r="L6450">
        <v>0</v>
      </c>
      <c r="M6450">
        <v>0</v>
      </c>
      <c r="N6450">
        <v>0</v>
      </c>
      <c r="O6450">
        <v>0</v>
      </c>
    </row>
    <row r="6451" spans="1:15" x14ac:dyDescent="0.35">
      <c r="A6451" t="s">
        <v>7040</v>
      </c>
      <c r="B6451" t="s">
        <v>7041</v>
      </c>
      <c r="C6451" t="s">
        <v>1477</v>
      </c>
      <c r="D6451" t="s">
        <v>314</v>
      </c>
      <c r="E6451" t="s">
        <v>310</v>
      </c>
      <c r="F6451" t="s">
        <v>7059</v>
      </c>
      <c r="G6451">
        <v>0</v>
      </c>
      <c r="H6451">
        <v>0</v>
      </c>
      <c r="I6451">
        <v>0</v>
      </c>
      <c r="J6451">
        <v>0</v>
      </c>
      <c r="K6451">
        <v>0</v>
      </c>
      <c r="L6451">
        <v>0</v>
      </c>
      <c r="M6451">
        <v>0</v>
      </c>
      <c r="N6451">
        <v>0</v>
      </c>
      <c r="O6451">
        <v>0</v>
      </c>
    </row>
    <row r="6452" spans="1:15" x14ac:dyDescent="0.35">
      <c r="A6452" t="s">
        <v>7040</v>
      </c>
      <c r="B6452" t="s">
        <v>7041</v>
      </c>
      <c r="C6452" t="s">
        <v>1477</v>
      </c>
      <c r="D6452" t="s">
        <v>323</v>
      </c>
      <c r="E6452" t="s">
        <v>294</v>
      </c>
      <c r="F6452" t="s">
        <v>7060</v>
      </c>
      <c r="G6452">
        <v>632</v>
      </c>
      <c r="H6452">
        <v>59775.409999999996</v>
      </c>
      <c r="I6452">
        <v>94.58</v>
      </c>
      <c r="J6452">
        <v>0</v>
      </c>
      <c r="K6452">
        <v>0</v>
      </c>
      <c r="L6452">
        <v>0</v>
      </c>
      <c r="M6452">
        <v>632</v>
      </c>
      <c r="N6452">
        <v>59775.409999999996</v>
      </c>
      <c r="O6452">
        <v>94.58</v>
      </c>
    </row>
    <row r="6453" spans="1:15" x14ac:dyDescent="0.35">
      <c r="A6453" t="s">
        <v>7040</v>
      </c>
      <c r="B6453" t="s">
        <v>7041</v>
      </c>
      <c r="C6453" t="s">
        <v>1477</v>
      </c>
      <c r="D6453" t="s">
        <v>323</v>
      </c>
      <c r="E6453" t="s">
        <v>296</v>
      </c>
      <c r="F6453" t="s">
        <v>7061</v>
      </c>
      <c r="G6453">
        <v>1591</v>
      </c>
      <c r="H6453">
        <v>176939.63</v>
      </c>
      <c r="I6453">
        <v>111.21</v>
      </c>
      <c r="J6453">
        <v>0</v>
      </c>
      <c r="K6453">
        <v>0</v>
      </c>
      <c r="L6453">
        <v>0</v>
      </c>
      <c r="M6453">
        <v>1591</v>
      </c>
      <c r="N6453">
        <v>176939.63</v>
      </c>
      <c r="O6453">
        <v>111.21</v>
      </c>
    </row>
    <row r="6454" spans="1:15" x14ac:dyDescent="0.35">
      <c r="A6454" t="s">
        <v>7040</v>
      </c>
      <c r="B6454" t="s">
        <v>7041</v>
      </c>
      <c r="C6454" t="s">
        <v>1477</v>
      </c>
      <c r="D6454" t="s">
        <v>323</v>
      </c>
      <c r="E6454" t="s">
        <v>298</v>
      </c>
      <c r="F6454" t="s">
        <v>7062</v>
      </c>
      <c r="G6454">
        <v>1409</v>
      </c>
      <c r="H6454">
        <v>172524.90000000002</v>
      </c>
      <c r="I6454">
        <v>122.44</v>
      </c>
      <c r="J6454">
        <v>4</v>
      </c>
      <c r="K6454">
        <v>519.08000000000004</v>
      </c>
      <c r="L6454">
        <v>129.77000000000001</v>
      </c>
      <c r="M6454">
        <v>1413</v>
      </c>
      <c r="N6454">
        <v>173043.98</v>
      </c>
      <c r="O6454">
        <v>122.47</v>
      </c>
    </row>
    <row r="6455" spans="1:15" x14ac:dyDescent="0.35">
      <c r="A6455" t="s">
        <v>7040</v>
      </c>
      <c r="B6455" t="s">
        <v>7041</v>
      </c>
      <c r="C6455" t="s">
        <v>1477</v>
      </c>
      <c r="D6455" t="s">
        <v>323</v>
      </c>
      <c r="E6455" t="s">
        <v>300</v>
      </c>
      <c r="F6455" t="s">
        <v>7063</v>
      </c>
      <c r="G6455">
        <v>65</v>
      </c>
      <c r="H6455">
        <v>9265.36</v>
      </c>
      <c r="I6455">
        <v>142.54</v>
      </c>
      <c r="J6455">
        <v>0</v>
      </c>
      <c r="K6455">
        <v>0</v>
      </c>
      <c r="L6455">
        <v>0</v>
      </c>
      <c r="M6455">
        <v>65</v>
      </c>
      <c r="N6455">
        <v>9265.36</v>
      </c>
      <c r="O6455">
        <v>142.54</v>
      </c>
    </row>
    <row r="6456" spans="1:15" x14ac:dyDescent="0.35">
      <c r="A6456" t="s">
        <v>7040</v>
      </c>
      <c r="B6456" t="s">
        <v>7041</v>
      </c>
      <c r="C6456" t="s">
        <v>1477</v>
      </c>
      <c r="D6456" t="s">
        <v>323</v>
      </c>
      <c r="E6456" t="s">
        <v>302</v>
      </c>
      <c r="F6456" t="s">
        <v>7064</v>
      </c>
      <c r="G6456">
        <v>1</v>
      </c>
      <c r="H6456">
        <v>129.57</v>
      </c>
      <c r="I6456">
        <v>129.57</v>
      </c>
      <c r="J6456">
        <v>0</v>
      </c>
      <c r="K6456">
        <v>0</v>
      </c>
      <c r="L6456">
        <v>0</v>
      </c>
      <c r="M6456">
        <v>1</v>
      </c>
      <c r="N6456">
        <v>129.57</v>
      </c>
      <c r="O6456">
        <v>129.57</v>
      </c>
    </row>
    <row r="6457" spans="1:15" x14ac:dyDescent="0.35">
      <c r="A6457" t="s">
        <v>7040</v>
      </c>
      <c r="B6457" t="s">
        <v>7041</v>
      </c>
      <c r="C6457" t="s">
        <v>1477</v>
      </c>
      <c r="D6457" t="s">
        <v>323</v>
      </c>
      <c r="E6457" t="s">
        <v>304</v>
      </c>
      <c r="F6457" t="s">
        <v>7065</v>
      </c>
      <c r="G6457">
        <v>1</v>
      </c>
      <c r="H6457">
        <v>148.31</v>
      </c>
      <c r="I6457">
        <v>148.31</v>
      </c>
      <c r="J6457">
        <v>0</v>
      </c>
      <c r="K6457">
        <v>0</v>
      </c>
      <c r="L6457">
        <v>0</v>
      </c>
      <c r="M6457">
        <v>1</v>
      </c>
      <c r="N6457">
        <v>148.31</v>
      </c>
      <c r="O6457">
        <v>148.31</v>
      </c>
    </row>
    <row r="6458" spans="1:15" x14ac:dyDescent="0.35">
      <c r="A6458" t="s">
        <v>7040</v>
      </c>
      <c r="B6458" t="s">
        <v>7041</v>
      </c>
      <c r="C6458" t="s">
        <v>1477</v>
      </c>
      <c r="D6458" t="s">
        <v>323</v>
      </c>
      <c r="E6458" t="s">
        <v>306</v>
      </c>
      <c r="F6458" t="s">
        <v>7066</v>
      </c>
      <c r="G6458">
        <v>1</v>
      </c>
      <c r="H6458">
        <v>89.12</v>
      </c>
      <c r="I6458">
        <v>89.12</v>
      </c>
      <c r="J6458">
        <v>0</v>
      </c>
      <c r="K6458">
        <v>0</v>
      </c>
      <c r="L6458">
        <v>0</v>
      </c>
      <c r="M6458">
        <v>1</v>
      </c>
      <c r="N6458">
        <v>89.12</v>
      </c>
      <c r="O6458">
        <v>89.12</v>
      </c>
    </row>
    <row r="6459" spans="1:15" x14ac:dyDescent="0.35">
      <c r="A6459" t="s">
        <v>7040</v>
      </c>
      <c r="B6459" t="s">
        <v>7041</v>
      </c>
      <c r="C6459" t="s">
        <v>1477</v>
      </c>
      <c r="D6459" t="s">
        <v>323</v>
      </c>
      <c r="E6459" t="s">
        <v>308</v>
      </c>
      <c r="F6459" t="s">
        <v>7067</v>
      </c>
      <c r="G6459">
        <v>0</v>
      </c>
      <c r="H6459">
        <v>0</v>
      </c>
      <c r="I6459">
        <v>0</v>
      </c>
      <c r="J6459">
        <v>35</v>
      </c>
      <c r="K6459">
        <v>2910.25</v>
      </c>
      <c r="L6459">
        <v>83.15</v>
      </c>
      <c r="M6459">
        <v>35</v>
      </c>
      <c r="N6459">
        <v>2910.25</v>
      </c>
      <c r="O6459">
        <v>83.15</v>
      </c>
    </row>
    <row r="6460" spans="1:15" x14ac:dyDescent="0.35">
      <c r="A6460" t="s">
        <v>7040</v>
      </c>
      <c r="B6460" t="s">
        <v>7041</v>
      </c>
      <c r="C6460" t="s">
        <v>1477</v>
      </c>
      <c r="D6460" t="s">
        <v>323</v>
      </c>
      <c r="E6460" t="s">
        <v>310</v>
      </c>
      <c r="F6460" t="s">
        <v>7068</v>
      </c>
      <c r="G6460">
        <v>3700</v>
      </c>
      <c r="H6460">
        <v>418872.30000000005</v>
      </c>
      <c r="I6460">
        <v>113.21</v>
      </c>
      <c r="J6460">
        <v>39</v>
      </c>
      <c r="K6460">
        <v>3429.33</v>
      </c>
      <c r="L6460">
        <v>87.93</v>
      </c>
      <c r="M6460">
        <v>3739</v>
      </c>
      <c r="N6460">
        <v>422301.63000000006</v>
      </c>
      <c r="O6460">
        <v>112.95</v>
      </c>
    </row>
    <row r="6461" spans="1:15" x14ac:dyDescent="0.35">
      <c r="A6461" t="s">
        <v>7040</v>
      </c>
      <c r="B6461" t="s">
        <v>7041</v>
      </c>
      <c r="C6461" t="s">
        <v>1477</v>
      </c>
      <c r="D6461" t="s">
        <v>323</v>
      </c>
      <c r="E6461" t="s">
        <v>312</v>
      </c>
      <c r="F6461" t="s">
        <v>7069</v>
      </c>
      <c r="G6461">
        <v>3700</v>
      </c>
      <c r="H6461">
        <v>418872.30000000005</v>
      </c>
      <c r="I6461">
        <v>113.21</v>
      </c>
      <c r="J6461">
        <v>4</v>
      </c>
      <c r="K6461">
        <v>519.08000000000004</v>
      </c>
      <c r="L6461">
        <v>129.77000000000001</v>
      </c>
      <c r="M6461">
        <v>3704</v>
      </c>
      <c r="N6461">
        <v>419391.38000000006</v>
      </c>
      <c r="O6461">
        <v>113.23</v>
      </c>
    </row>
    <row r="6462" spans="1:15" x14ac:dyDescent="0.35">
      <c r="A6462" t="s">
        <v>7040</v>
      </c>
      <c r="B6462" t="s">
        <v>7041</v>
      </c>
      <c r="C6462" t="s">
        <v>1477</v>
      </c>
      <c r="D6462" t="s">
        <v>334</v>
      </c>
      <c r="E6462" t="s">
        <v>312</v>
      </c>
      <c r="F6462" t="s">
        <v>7070</v>
      </c>
      <c r="G6462">
        <v>5488</v>
      </c>
      <c r="H6462">
        <v>643832.1</v>
      </c>
      <c r="I6462">
        <v>122.4</v>
      </c>
      <c r="J6462">
        <v>4</v>
      </c>
      <c r="K6462">
        <v>519.08000000000004</v>
      </c>
      <c r="L6462">
        <v>129.77000000000001</v>
      </c>
      <c r="M6462">
        <v>5492</v>
      </c>
      <c r="N6462">
        <v>644351.17999999993</v>
      </c>
      <c r="O6462">
        <v>122.41</v>
      </c>
    </row>
    <row r="6463" spans="1:15" x14ac:dyDescent="0.35">
      <c r="A6463" t="s">
        <v>7040</v>
      </c>
      <c r="B6463" t="s">
        <v>7041</v>
      </c>
      <c r="C6463" t="s">
        <v>1477</v>
      </c>
      <c r="D6463" t="s">
        <v>334</v>
      </c>
      <c r="E6463" t="s">
        <v>308</v>
      </c>
      <c r="F6463" t="s">
        <v>7071</v>
      </c>
      <c r="G6463">
        <v>0</v>
      </c>
      <c r="H6463">
        <v>0</v>
      </c>
      <c r="I6463">
        <v>0</v>
      </c>
      <c r="J6463">
        <v>35</v>
      </c>
      <c r="K6463">
        <v>2910.25</v>
      </c>
      <c r="L6463">
        <v>83.15</v>
      </c>
      <c r="M6463">
        <v>35</v>
      </c>
      <c r="N6463">
        <v>2910.25</v>
      </c>
      <c r="O6463">
        <v>83.15</v>
      </c>
    </row>
    <row r="6464" spans="1:15" x14ac:dyDescent="0.35">
      <c r="A6464" t="s">
        <v>7040</v>
      </c>
      <c r="B6464" t="s">
        <v>7041</v>
      </c>
      <c r="C6464" t="s">
        <v>1477</v>
      </c>
      <c r="D6464" t="s">
        <v>337</v>
      </c>
      <c r="E6464" t="s">
        <v>337</v>
      </c>
      <c r="F6464" t="s">
        <v>7072</v>
      </c>
      <c r="G6464">
        <v>919</v>
      </c>
      <c r="J6464">
        <v>0</v>
      </c>
      <c r="M6464">
        <v>919</v>
      </c>
    </row>
    <row r="6465" spans="1:15" x14ac:dyDescent="0.35">
      <c r="A6465" t="s">
        <v>7040</v>
      </c>
      <c r="B6465" t="s">
        <v>7041</v>
      </c>
      <c r="C6465" t="s">
        <v>1477</v>
      </c>
      <c r="D6465" t="s">
        <v>339</v>
      </c>
      <c r="E6465" t="s">
        <v>294</v>
      </c>
      <c r="F6465" t="s">
        <v>7073</v>
      </c>
      <c r="G6465">
        <v>573</v>
      </c>
      <c r="H6465">
        <v>58180.979999999996</v>
      </c>
      <c r="I6465">
        <v>101.54</v>
      </c>
      <c r="J6465">
        <v>0</v>
      </c>
      <c r="K6465">
        <v>0</v>
      </c>
      <c r="L6465">
        <v>0</v>
      </c>
      <c r="M6465">
        <v>573</v>
      </c>
      <c r="N6465">
        <v>58180.979999999996</v>
      </c>
      <c r="O6465">
        <v>101.54</v>
      </c>
    </row>
    <row r="6466" spans="1:15" x14ac:dyDescent="0.35">
      <c r="A6466" t="s">
        <v>7040</v>
      </c>
      <c r="B6466" t="s">
        <v>7041</v>
      </c>
      <c r="C6466" t="s">
        <v>1477</v>
      </c>
      <c r="D6466" t="s">
        <v>339</v>
      </c>
      <c r="E6466" t="s">
        <v>296</v>
      </c>
      <c r="F6466" t="s">
        <v>7074</v>
      </c>
      <c r="G6466">
        <v>12</v>
      </c>
      <c r="H6466">
        <v>1479.4500000000003</v>
      </c>
      <c r="I6466">
        <v>123.29</v>
      </c>
      <c r="J6466">
        <v>0</v>
      </c>
      <c r="K6466">
        <v>0</v>
      </c>
      <c r="L6466">
        <v>0</v>
      </c>
      <c r="M6466">
        <v>12</v>
      </c>
      <c r="N6466">
        <v>1479.4500000000003</v>
      </c>
      <c r="O6466">
        <v>123.29</v>
      </c>
    </row>
    <row r="6467" spans="1:15" x14ac:dyDescent="0.35">
      <c r="A6467" t="s">
        <v>7040</v>
      </c>
      <c r="B6467" t="s">
        <v>7041</v>
      </c>
      <c r="C6467" t="s">
        <v>1477</v>
      </c>
      <c r="D6467" t="s">
        <v>339</v>
      </c>
      <c r="E6467" t="s">
        <v>298</v>
      </c>
      <c r="F6467" t="s">
        <v>7075</v>
      </c>
      <c r="G6467">
        <v>5</v>
      </c>
      <c r="H6467">
        <v>1681.87</v>
      </c>
      <c r="I6467">
        <v>336.37</v>
      </c>
      <c r="J6467">
        <v>0</v>
      </c>
      <c r="K6467">
        <v>0</v>
      </c>
      <c r="L6467">
        <v>0</v>
      </c>
      <c r="M6467">
        <v>5</v>
      </c>
      <c r="N6467">
        <v>1681.87</v>
      </c>
      <c r="O6467">
        <v>336.37</v>
      </c>
    </row>
    <row r="6468" spans="1:15" x14ac:dyDescent="0.35">
      <c r="A6468" t="s">
        <v>7040</v>
      </c>
      <c r="B6468" t="s">
        <v>7041</v>
      </c>
      <c r="C6468" t="s">
        <v>1477</v>
      </c>
      <c r="D6468" t="s">
        <v>339</v>
      </c>
      <c r="E6468" t="s">
        <v>300</v>
      </c>
      <c r="F6468" t="s">
        <v>7076</v>
      </c>
      <c r="G6468">
        <v>0</v>
      </c>
      <c r="H6468">
        <v>0</v>
      </c>
      <c r="I6468">
        <v>0</v>
      </c>
      <c r="J6468">
        <v>0</v>
      </c>
      <c r="K6468">
        <v>0</v>
      </c>
      <c r="L6468">
        <v>0</v>
      </c>
      <c r="M6468">
        <v>0</v>
      </c>
      <c r="N6468">
        <v>0</v>
      </c>
      <c r="O6468">
        <v>0</v>
      </c>
    </row>
    <row r="6469" spans="1:15" x14ac:dyDescent="0.35">
      <c r="A6469" t="s">
        <v>7040</v>
      </c>
      <c r="B6469" t="s">
        <v>7041</v>
      </c>
      <c r="C6469" t="s">
        <v>1477</v>
      </c>
      <c r="D6469" t="s">
        <v>339</v>
      </c>
      <c r="E6469" t="s">
        <v>306</v>
      </c>
      <c r="F6469" t="s">
        <v>7077</v>
      </c>
      <c r="G6469">
        <v>90</v>
      </c>
      <c r="H6469">
        <v>9304.1999999999989</v>
      </c>
      <c r="I6469">
        <v>103.38</v>
      </c>
      <c r="J6469">
        <v>0</v>
      </c>
      <c r="K6469">
        <v>0</v>
      </c>
      <c r="L6469">
        <v>0</v>
      </c>
      <c r="M6469">
        <v>90</v>
      </c>
      <c r="N6469">
        <v>9304.1999999999989</v>
      </c>
      <c r="O6469">
        <v>103.38</v>
      </c>
    </row>
    <row r="6470" spans="1:15" x14ac:dyDescent="0.35">
      <c r="A6470" t="s">
        <v>7040</v>
      </c>
      <c r="B6470" t="s">
        <v>7041</v>
      </c>
      <c r="C6470" t="s">
        <v>1477</v>
      </c>
      <c r="D6470" t="s">
        <v>339</v>
      </c>
      <c r="E6470" t="s">
        <v>308</v>
      </c>
      <c r="F6470" t="s">
        <v>7078</v>
      </c>
      <c r="G6470">
        <v>75</v>
      </c>
      <c r="H6470">
        <v>14036.34</v>
      </c>
      <c r="I6470">
        <v>187.15</v>
      </c>
      <c r="J6470">
        <v>0</v>
      </c>
      <c r="K6470">
        <v>0</v>
      </c>
      <c r="L6470">
        <v>0</v>
      </c>
      <c r="M6470">
        <v>75</v>
      </c>
      <c r="N6470">
        <v>14036.34</v>
      </c>
      <c r="O6470">
        <v>187.15</v>
      </c>
    </row>
    <row r="6471" spans="1:15" x14ac:dyDescent="0.35">
      <c r="A6471" t="s">
        <v>7040</v>
      </c>
      <c r="B6471" t="s">
        <v>7041</v>
      </c>
      <c r="C6471" t="s">
        <v>1477</v>
      </c>
      <c r="D6471" t="s">
        <v>339</v>
      </c>
      <c r="E6471" t="s">
        <v>310</v>
      </c>
      <c r="F6471" t="s">
        <v>7079</v>
      </c>
      <c r="G6471">
        <v>755</v>
      </c>
      <c r="H6471">
        <v>84682.84</v>
      </c>
      <c r="I6471">
        <v>112.16</v>
      </c>
      <c r="J6471">
        <v>0</v>
      </c>
      <c r="K6471">
        <v>0</v>
      </c>
      <c r="L6471">
        <v>0</v>
      </c>
      <c r="M6471">
        <v>755</v>
      </c>
      <c r="N6471">
        <v>84682.84</v>
      </c>
      <c r="O6471">
        <v>112.16</v>
      </c>
    </row>
    <row r="6472" spans="1:15" x14ac:dyDescent="0.35">
      <c r="A6472" t="s">
        <v>7040</v>
      </c>
      <c r="B6472" t="s">
        <v>7041</v>
      </c>
      <c r="C6472" t="s">
        <v>1477</v>
      </c>
      <c r="D6472" t="s">
        <v>339</v>
      </c>
      <c r="E6472" t="s">
        <v>312</v>
      </c>
      <c r="F6472" t="s">
        <v>7080</v>
      </c>
      <c r="G6472">
        <v>680</v>
      </c>
      <c r="H6472">
        <v>70646.5</v>
      </c>
      <c r="I6472">
        <v>103.89</v>
      </c>
      <c r="J6472">
        <v>0</v>
      </c>
      <c r="K6472">
        <v>0</v>
      </c>
      <c r="L6472">
        <v>0</v>
      </c>
      <c r="M6472">
        <v>680</v>
      </c>
      <c r="N6472">
        <v>70646.5</v>
      </c>
      <c r="O6472">
        <v>103.89</v>
      </c>
    </row>
    <row r="6473" spans="1:15" x14ac:dyDescent="0.35">
      <c r="A6473" t="s">
        <v>7040</v>
      </c>
      <c r="B6473" t="s">
        <v>7041</v>
      </c>
      <c r="C6473" t="s">
        <v>1477</v>
      </c>
      <c r="D6473" t="s">
        <v>348</v>
      </c>
      <c r="E6473" t="s">
        <v>349</v>
      </c>
      <c r="F6473" t="s">
        <v>7081</v>
      </c>
      <c r="G6473">
        <v>757</v>
      </c>
      <c r="H6473">
        <v>84682.84</v>
      </c>
      <c r="I6473">
        <v>112.16</v>
      </c>
      <c r="J6473">
        <v>0</v>
      </c>
      <c r="K6473">
        <v>0</v>
      </c>
      <c r="L6473">
        <v>0</v>
      </c>
      <c r="M6473">
        <v>757</v>
      </c>
      <c r="N6473">
        <v>84682.84</v>
      </c>
      <c r="O6473">
        <v>112.16</v>
      </c>
    </row>
    <row r="6474" spans="1:15" x14ac:dyDescent="0.35">
      <c r="A6474" t="s">
        <v>7082</v>
      </c>
      <c r="B6474" t="s">
        <v>7083</v>
      </c>
      <c r="C6474" t="s">
        <v>1477</v>
      </c>
      <c r="D6474" t="s">
        <v>293</v>
      </c>
      <c r="E6474" t="s">
        <v>294</v>
      </c>
      <c r="F6474" t="s">
        <v>7084</v>
      </c>
      <c r="G6474">
        <v>92</v>
      </c>
      <c r="H6474">
        <v>9708.119999999999</v>
      </c>
      <c r="I6474">
        <v>105.52</v>
      </c>
      <c r="J6474">
        <v>31</v>
      </c>
      <c r="K6474">
        <v>3614.6</v>
      </c>
      <c r="L6474">
        <v>116.6</v>
      </c>
      <c r="M6474">
        <v>123</v>
      </c>
      <c r="N6474">
        <v>13322.72</v>
      </c>
      <c r="O6474">
        <v>108.31</v>
      </c>
    </row>
    <row r="6475" spans="1:15" x14ac:dyDescent="0.35">
      <c r="A6475" t="s">
        <v>7082</v>
      </c>
      <c r="B6475" t="s">
        <v>7083</v>
      </c>
      <c r="C6475" t="s">
        <v>1477</v>
      </c>
      <c r="D6475" t="s">
        <v>293</v>
      </c>
      <c r="E6475" t="s">
        <v>296</v>
      </c>
      <c r="F6475" t="s">
        <v>7085</v>
      </c>
      <c r="G6475">
        <v>163</v>
      </c>
      <c r="H6475">
        <v>20881.689999999999</v>
      </c>
      <c r="I6475">
        <v>128.11000000000001</v>
      </c>
      <c r="J6475">
        <v>51</v>
      </c>
      <c r="K6475">
        <v>6576.45</v>
      </c>
      <c r="L6475">
        <v>128.94999999999999</v>
      </c>
      <c r="M6475">
        <v>214</v>
      </c>
      <c r="N6475">
        <v>27458.14</v>
      </c>
      <c r="O6475">
        <v>128.31</v>
      </c>
    </row>
    <row r="6476" spans="1:15" x14ac:dyDescent="0.35">
      <c r="A6476" t="s">
        <v>7082</v>
      </c>
      <c r="B6476" t="s">
        <v>7083</v>
      </c>
      <c r="C6476" t="s">
        <v>1477</v>
      </c>
      <c r="D6476" t="s">
        <v>293</v>
      </c>
      <c r="E6476" t="s">
        <v>298</v>
      </c>
      <c r="F6476" t="s">
        <v>7086</v>
      </c>
      <c r="G6476">
        <v>109</v>
      </c>
      <c r="H6476">
        <v>15187.67</v>
      </c>
      <c r="I6476">
        <v>139.34</v>
      </c>
      <c r="J6476">
        <v>20</v>
      </c>
      <c r="K6476">
        <v>2746.3999999999996</v>
      </c>
      <c r="L6476">
        <v>137.32</v>
      </c>
      <c r="M6476">
        <v>129</v>
      </c>
      <c r="N6476">
        <v>17934.07</v>
      </c>
      <c r="O6476">
        <v>139.02000000000001</v>
      </c>
    </row>
    <row r="6477" spans="1:15" x14ac:dyDescent="0.35">
      <c r="A6477" t="s">
        <v>7082</v>
      </c>
      <c r="B6477" t="s">
        <v>7083</v>
      </c>
      <c r="C6477" t="s">
        <v>1477</v>
      </c>
      <c r="D6477" t="s">
        <v>293</v>
      </c>
      <c r="E6477" t="s">
        <v>300</v>
      </c>
      <c r="F6477" t="s">
        <v>7087</v>
      </c>
      <c r="G6477">
        <v>16</v>
      </c>
      <c r="H6477">
        <v>2852.35</v>
      </c>
      <c r="I6477">
        <v>178.27</v>
      </c>
      <c r="J6477">
        <v>7</v>
      </c>
      <c r="K6477">
        <v>1359.54</v>
      </c>
      <c r="L6477">
        <v>194.22</v>
      </c>
      <c r="M6477">
        <v>23</v>
      </c>
      <c r="N6477">
        <v>4211.8899999999994</v>
      </c>
      <c r="O6477">
        <v>183.13</v>
      </c>
    </row>
    <row r="6478" spans="1:15" x14ac:dyDescent="0.35">
      <c r="A6478" t="s">
        <v>7082</v>
      </c>
      <c r="B6478" t="s">
        <v>7083</v>
      </c>
      <c r="C6478" t="s">
        <v>1477</v>
      </c>
      <c r="D6478" t="s">
        <v>293</v>
      </c>
      <c r="E6478" t="s">
        <v>302</v>
      </c>
      <c r="F6478" t="s">
        <v>7088</v>
      </c>
      <c r="G6478">
        <v>0</v>
      </c>
      <c r="H6478">
        <v>0</v>
      </c>
      <c r="I6478">
        <v>0</v>
      </c>
      <c r="J6478">
        <v>5</v>
      </c>
      <c r="K6478">
        <v>999.9</v>
      </c>
      <c r="L6478">
        <v>199.98</v>
      </c>
      <c r="M6478">
        <v>5</v>
      </c>
      <c r="N6478">
        <v>999.9</v>
      </c>
      <c r="O6478">
        <v>199.98</v>
      </c>
    </row>
    <row r="6479" spans="1:15" x14ac:dyDescent="0.35">
      <c r="A6479" t="s">
        <v>7082</v>
      </c>
      <c r="B6479" t="s">
        <v>7083</v>
      </c>
      <c r="C6479" t="s">
        <v>1477</v>
      </c>
      <c r="D6479" t="s">
        <v>293</v>
      </c>
      <c r="E6479" t="s">
        <v>304</v>
      </c>
      <c r="F6479" t="s">
        <v>7089</v>
      </c>
      <c r="G6479">
        <v>1</v>
      </c>
      <c r="H6479">
        <v>164</v>
      </c>
      <c r="I6479">
        <v>164</v>
      </c>
      <c r="J6479">
        <v>1</v>
      </c>
      <c r="K6479">
        <v>242.49</v>
      </c>
      <c r="L6479">
        <v>242.49</v>
      </c>
      <c r="M6479">
        <v>2</v>
      </c>
      <c r="N6479">
        <v>406.49</v>
      </c>
      <c r="O6479">
        <v>203.25</v>
      </c>
    </row>
    <row r="6480" spans="1:15" x14ac:dyDescent="0.35">
      <c r="A6480" t="s">
        <v>7082</v>
      </c>
      <c r="B6480" t="s">
        <v>7083</v>
      </c>
      <c r="C6480" t="s">
        <v>1477</v>
      </c>
      <c r="D6480" t="s">
        <v>293</v>
      </c>
      <c r="E6480" t="s">
        <v>306</v>
      </c>
      <c r="F6480" t="s">
        <v>7090</v>
      </c>
      <c r="G6480">
        <v>0</v>
      </c>
      <c r="H6480">
        <v>0</v>
      </c>
      <c r="I6480">
        <v>0</v>
      </c>
      <c r="J6480">
        <v>0</v>
      </c>
      <c r="K6480">
        <v>0</v>
      </c>
      <c r="L6480">
        <v>0</v>
      </c>
      <c r="M6480">
        <v>0</v>
      </c>
      <c r="N6480">
        <v>0</v>
      </c>
      <c r="O6480">
        <v>0</v>
      </c>
    </row>
    <row r="6481" spans="1:15" x14ac:dyDescent="0.35">
      <c r="A6481" t="s">
        <v>7082</v>
      </c>
      <c r="B6481" t="s">
        <v>7083</v>
      </c>
      <c r="C6481" t="s">
        <v>1477</v>
      </c>
      <c r="D6481" t="s">
        <v>293</v>
      </c>
      <c r="E6481" t="s">
        <v>308</v>
      </c>
      <c r="F6481" t="s">
        <v>7091</v>
      </c>
      <c r="G6481">
        <v>0</v>
      </c>
      <c r="H6481">
        <v>0</v>
      </c>
      <c r="I6481">
        <v>0</v>
      </c>
      <c r="J6481">
        <v>0</v>
      </c>
      <c r="K6481">
        <v>0</v>
      </c>
      <c r="L6481">
        <v>0</v>
      </c>
      <c r="M6481">
        <v>0</v>
      </c>
      <c r="N6481">
        <v>0</v>
      </c>
      <c r="O6481">
        <v>0</v>
      </c>
    </row>
    <row r="6482" spans="1:15" x14ac:dyDescent="0.35">
      <c r="A6482" t="s">
        <v>7082</v>
      </c>
      <c r="B6482" t="s">
        <v>7083</v>
      </c>
      <c r="C6482" t="s">
        <v>1477</v>
      </c>
      <c r="D6482" t="s">
        <v>293</v>
      </c>
      <c r="E6482" t="s">
        <v>310</v>
      </c>
      <c r="F6482" t="s">
        <v>7092</v>
      </c>
      <c r="G6482">
        <v>381</v>
      </c>
      <c r="H6482">
        <v>48793.829999999994</v>
      </c>
      <c r="I6482">
        <v>128.07</v>
      </c>
      <c r="J6482">
        <v>115</v>
      </c>
      <c r="K6482">
        <v>15539.379999999997</v>
      </c>
      <c r="L6482">
        <v>135.13</v>
      </c>
      <c r="M6482">
        <v>496</v>
      </c>
      <c r="N6482">
        <v>64333.209999999992</v>
      </c>
      <c r="O6482">
        <v>129.69999999999999</v>
      </c>
    </row>
    <row r="6483" spans="1:15" x14ac:dyDescent="0.35">
      <c r="A6483" t="s">
        <v>7082</v>
      </c>
      <c r="B6483" t="s">
        <v>7083</v>
      </c>
      <c r="C6483" t="s">
        <v>1477</v>
      </c>
      <c r="D6483" t="s">
        <v>293</v>
      </c>
      <c r="E6483" t="s">
        <v>312</v>
      </c>
      <c r="F6483" t="s">
        <v>7093</v>
      </c>
      <c r="G6483">
        <v>381</v>
      </c>
      <c r="H6483">
        <v>48793.829999999994</v>
      </c>
      <c r="I6483">
        <v>128.07</v>
      </c>
      <c r="J6483">
        <v>115</v>
      </c>
      <c r="K6483">
        <v>15539.379999999997</v>
      </c>
      <c r="L6483">
        <v>135.13</v>
      </c>
      <c r="M6483">
        <v>496</v>
      </c>
      <c r="N6483">
        <v>64333.209999999992</v>
      </c>
      <c r="O6483">
        <v>129.69999999999999</v>
      </c>
    </row>
    <row r="6484" spans="1:15" x14ac:dyDescent="0.35">
      <c r="A6484" t="s">
        <v>7082</v>
      </c>
      <c r="B6484" t="s">
        <v>7083</v>
      </c>
      <c r="C6484" t="s">
        <v>1477</v>
      </c>
      <c r="D6484" t="s">
        <v>314</v>
      </c>
      <c r="E6484" t="s">
        <v>294</v>
      </c>
      <c r="F6484" t="s">
        <v>7094</v>
      </c>
      <c r="G6484">
        <v>0</v>
      </c>
      <c r="H6484">
        <v>0</v>
      </c>
      <c r="I6484">
        <v>0</v>
      </c>
      <c r="J6484">
        <v>12</v>
      </c>
      <c r="K6484">
        <v>1164</v>
      </c>
      <c r="L6484">
        <v>97</v>
      </c>
      <c r="M6484">
        <v>12</v>
      </c>
      <c r="N6484">
        <v>1164</v>
      </c>
      <c r="O6484">
        <v>97</v>
      </c>
    </row>
    <row r="6485" spans="1:15" x14ac:dyDescent="0.35">
      <c r="A6485" t="s">
        <v>7082</v>
      </c>
      <c r="B6485" t="s">
        <v>7083</v>
      </c>
      <c r="C6485" t="s">
        <v>1477</v>
      </c>
      <c r="D6485" t="s">
        <v>314</v>
      </c>
      <c r="E6485" t="s">
        <v>296</v>
      </c>
      <c r="F6485" t="s">
        <v>7095</v>
      </c>
      <c r="G6485">
        <v>0</v>
      </c>
      <c r="H6485">
        <v>0</v>
      </c>
      <c r="I6485">
        <v>0</v>
      </c>
      <c r="J6485">
        <v>2</v>
      </c>
      <c r="K6485">
        <v>205.06</v>
      </c>
      <c r="L6485">
        <v>102.53</v>
      </c>
      <c r="M6485">
        <v>2</v>
      </c>
      <c r="N6485">
        <v>205.06</v>
      </c>
      <c r="O6485">
        <v>102.53</v>
      </c>
    </row>
    <row r="6486" spans="1:15" x14ac:dyDescent="0.35">
      <c r="A6486" t="s">
        <v>7082</v>
      </c>
      <c r="B6486" t="s">
        <v>7083</v>
      </c>
      <c r="C6486" t="s">
        <v>1477</v>
      </c>
      <c r="D6486" t="s">
        <v>314</v>
      </c>
      <c r="E6486" t="s">
        <v>298</v>
      </c>
      <c r="F6486" t="s">
        <v>7096</v>
      </c>
      <c r="G6486">
        <v>0</v>
      </c>
      <c r="H6486">
        <v>0</v>
      </c>
      <c r="I6486">
        <v>0</v>
      </c>
      <c r="J6486">
        <v>0</v>
      </c>
      <c r="K6486">
        <v>0</v>
      </c>
      <c r="L6486">
        <v>0</v>
      </c>
      <c r="M6486">
        <v>0</v>
      </c>
      <c r="N6486">
        <v>0</v>
      </c>
      <c r="O6486">
        <v>0</v>
      </c>
    </row>
    <row r="6487" spans="1:15" x14ac:dyDescent="0.35">
      <c r="A6487" t="s">
        <v>7082</v>
      </c>
      <c r="B6487" t="s">
        <v>7083</v>
      </c>
      <c r="C6487" t="s">
        <v>1477</v>
      </c>
      <c r="D6487" t="s">
        <v>314</v>
      </c>
      <c r="E6487" t="s">
        <v>300</v>
      </c>
      <c r="F6487" t="s">
        <v>7097</v>
      </c>
      <c r="G6487">
        <v>0</v>
      </c>
      <c r="H6487">
        <v>0</v>
      </c>
      <c r="I6487">
        <v>0</v>
      </c>
      <c r="J6487">
        <v>0</v>
      </c>
      <c r="K6487">
        <v>0</v>
      </c>
      <c r="L6487">
        <v>0</v>
      </c>
      <c r="M6487">
        <v>0</v>
      </c>
      <c r="N6487">
        <v>0</v>
      </c>
      <c r="O6487">
        <v>0</v>
      </c>
    </row>
    <row r="6488" spans="1:15" x14ac:dyDescent="0.35">
      <c r="A6488" t="s">
        <v>7082</v>
      </c>
      <c r="B6488" t="s">
        <v>7083</v>
      </c>
      <c r="C6488" t="s">
        <v>1477</v>
      </c>
      <c r="D6488" t="s">
        <v>314</v>
      </c>
      <c r="E6488" t="s">
        <v>306</v>
      </c>
      <c r="F6488" t="s">
        <v>7098</v>
      </c>
      <c r="G6488">
        <v>0</v>
      </c>
      <c r="H6488">
        <v>0</v>
      </c>
      <c r="I6488">
        <v>0</v>
      </c>
      <c r="J6488">
        <v>0</v>
      </c>
      <c r="K6488">
        <v>0</v>
      </c>
      <c r="L6488">
        <v>0</v>
      </c>
      <c r="M6488">
        <v>0</v>
      </c>
      <c r="N6488">
        <v>0</v>
      </c>
      <c r="O6488">
        <v>0</v>
      </c>
    </row>
    <row r="6489" spans="1:15" x14ac:dyDescent="0.35">
      <c r="A6489" t="s">
        <v>7082</v>
      </c>
      <c r="B6489" t="s">
        <v>7083</v>
      </c>
      <c r="C6489" t="s">
        <v>1477</v>
      </c>
      <c r="D6489" t="s">
        <v>314</v>
      </c>
      <c r="E6489" t="s">
        <v>308</v>
      </c>
      <c r="F6489" t="s">
        <v>7099</v>
      </c>
      <c r="G6489">
        <v>0</v>
      </c>
      <c r="H6489">
        <v>0</v>
      </c>
      <c r="I6489">
        <v>0</v>
      </c>
      <c r="J6489">
        <v>0</v>
      </c>
      <c r="K6489">
        <v>0</v>
      </c>
      <c r="L6489">
        <v>0</v>
      </c>
      <c r="M6489">
        <v>0</v>
      </c>
      <c r="N6489">
        <v>0</v>
      </c>
      <c r="O6489">
        <v>0</v>
      </c>
    </row>
    <row r="6490" spans="1:15" x14ac:dyDescent="0.35">
      <c r="A6490" t="s">
        <v>7082</v>
      </c>
      <c r="B6490" t="s">
        <v>7083</v>
      </c>
      <c r="C6490" t="s">
        <v>1477</v>
      </c>
      <c r="D6490" t="s">
        <v>314</v>
      </c>
      <c r="E6490" t="s">
        <v>312</v>
      </c>
      <c r="F6490" t="s">
        <v>7100</v>
      </c>
      <c r="G6490">
        <v>0</v>
      </c>
      <c r="H6490">
        <v>0</v>
      </c>
      <c r="I6490">
        <v>0</v>
      </c>
      <c r="J6490">
        <v>14</v>
      </c>
      <c r="K6490">
        <v>1369.06</v>
      </c>
      <c r="L6490">
        <v>97.79</v>
      </c>
      <c r="M6490">
        <v>14</v>
      </c>
      <c r="N6490">
        <v>1369.06</v>
      </c>
      <c r="O6490">
        <v>97.79</v>
      </c>
    </row>
    <row r="6491" spans="1:15" x14ac:dyDescent="0.35">
      <c r="A6491" t="s">
        <v>7082</v>
      </c>
      <c r="B6491" t="s">
        <v>7083</v>
      </c>
      <c r="C6491" t="s">
        <v>1477</v>
      </c>
      <c r="D6491" t="s">
        <v>314</v>
      </c>
      <c r="E6491" t="s">
        <v>310</v>
      </c>
      <c r="F6491" t="s">
        <v>7101</v>
      </c>
      <c r="G6491">
        <v>0</v>
      </c>
      <c r="H6491">
        <v>0</v>
      </c>
      <c r="I6491">
        <v>0</v>
      </c>
      <c r="J6491">
        <v>14</v>
      </c>
      <c r="K6491">
        <v>1369.06</v>
      </c>
      <c r="L6491">
        <v>97.79</v>
      </c>
      <c r="M6491">
        <v>14</v>
      </c>
      <c r="N6491">
        <v>1369.06</v>
      </c>
      <c r="O6491">
        <v>97.79</v>
      </c>
    </row>
    <row r="6492" spans="1:15" x14ac:dyDescent="0.35">
      <c r="A6492" t="s">
        <v>7082</v>
      </c>
      <c r="B6492" t="s">
        <v>7083</v>
      </c>
      <c r="C6492" t="s">
        <v>1477</v>
      </c>
      <c r="D6492" t="s">
        <v>323</v>
      </c>
      <c r="E6492" t="s">
        <v>294</v>
      </c>
      <c r="F6492" t="s">
        <v>7102</v>
      </c>
      <c r="G6492">
        <v>237</v>
      </c>
      <c r="H6492">
        <v>22395.170000000002</v>
      </c>
      <c r="I6492">
        <v>94.49</v>
      </c>
      <c r="J6492">
        <v>983</v>
      </c>
      <c r="K6492">
        <v>74442.590000000011</v>
      </c>
      <c r="L6492">
        <v>75.73</v>
      </c>
      <c r="M6492">
        <v>1220</v>
      </c>
      <c r="N6492">
        <v>96837.760000000009</v>
      </c>
      <c r="O6492">
        <v>79.38</v>
      </c>
    </row>
    <row r="6493" spans="1:15" x14ac:dyDescent="0.35">
      <c r="A6493" t="s">
        <v>7082</v>
      </c>
      <c r="B6493" t="s">
        <v>7083</v>
      </c>
      <c r="C6493" t="s">
        <v>1477</v>
      </c>
      <c r="D6493" t="s">
        <v>323</v>
      </c>
      <c r="E6493" t="s">
        <v>296</v>
      </c>
      <c r="F6493" t="s">
        <v>7103</v>
      </c>
      <c r="G6493">
        <v>486</v>
      </c>
      <c r="H6493">
        <v>50359.66</v>
      </c>
      <c r="I6493">
        <v>103.62</v>
      </c>
      <c r="J6493">
        <v>1818</v>
      </c>
      <c r="K6493">
        <v>158475.06</v>
      </c>
      <c r="L6493">
        <v>87.17</v>
      </c>
      <c r="M6493">
        <v>2304</v>
      </c>
      <c r="N6493">
        <v>208834.72</v>
      </c>
      <c r="O6493">
        <v>90.64</v>
      </c>
    </row>
    <row r="6494" spans="1:15" x14ac:dyDescent="0.35">
      <c r="A6494" t="s">
        <v>7082</v>
      </c>
      <c r="B6494" t="s">
        <v>7083</v>
      </c>
      <c r="C6494" t="s">
        <v>1477</v>
      </c>
      <c r="D6494" t="s">
        <v>323</v>
      </c>
      <c r="E6494" t="s">
        <v>298</v>
      </c>
      <c r="F6494" t="s">
        <v>7104</v>
      </c>
      <c r="G6494">
        <v>353</v>
      </c>
      <c r="H6494">
        <v>41197.910000000003</v>
      </c>
      <c r="I6494">
        <v>116.71</v>
      </c>
      <c r="J6494">
        <v>1768</v>
      </c>
      <c r="K6494">
        <v>171124.72</v>
      </c>
      <c r="L6494">
        <v>96.79</v>
      </c>
      <c r="M6494">
        <v>2121</v>
      </c>
      <c r="N6494">
        <v>212322.63</v>
      </c>
      <c r="O6494">
        <v>100.1</v>
      </c>
    </row>
    <row r="6495" spans="1:15" x14ac:dyDescent="0.35">
      <c r="A6495" t="s">
        <v>7082</v>
      </c>
      <c r="B6495" t="s">
        <v>7083</v>
      </c>
      <c r="C6495" t="s">
        <v>1477</v>
      </c>
      <c r="D6495" t="s">
        <v>323</v>
      </c>
      <c r="E6495" t="s">
        <v>300</v>
      </c>
      <c r="F6495" t="s">
        <v>7105</v>
      </c>
      <c r="G6495">
        <v>37</v>
      </c>
      <c r="H6495">
        <v>4827.34</v>
      </c>
      <c r="I6495">
        <v>130.47</v>
      </c>
      <c r="J6495">
        <v>64</v>
      </c>
      <c r="K6495">
        <v>6869.76</v>
      </c>
      <c r="L6495">
        <v>107.34</v>
      </c>
      <c r="M6495">
        <v>101</v>
      </c>
      <c r="N6495">
        <v>11697.1</v>
      </c>
      <c r="O6495">
        <v>115.81</v>
      </c>
    </row>
    <row r="6496" spans="1:15" x14ac:dyDescent="0.35">
      <c r="A6496" t="s">
        <v>7082</v>
      </c>
      <c r="B6496" t="s">
        <v>7083</v>
      </c>
      <c r="C6496" t="s">
        <v>1477</v>
      </c>
      <c r="D6496" t="s">
        <v>323</v>
      </c>
      <c r="E6496" t="s">
        <v>302</v>
      </c>
      <c r="F6496" t="s">
        <v>7106</v>
      </c>
      <c r="G6496">
        <v>9</v>
      </c>
      <c r="H6496">
        <v>1232.3000000000002</v>
      </c>
      <c r="I6496">
        <v>136.91999999999999</v>
      </c>
      <c r="J6496">
        <v>1</v>
      </c>
      <c r="K6496">
        <v>116.37</v>
      </c>
      <c r="L6496">
        <v>116.37</v>
      </c>
      <c r="M6496">
        <v>10</v>
      </c>
      <c r="N6496">
        <v>1348.67</v>
      </c>
      <c r="O6496">
        <v>134.87</v>
      </c>
    </row>
    <row r="6497" spans="1:15" x14ac:dyDescent="0.35">
      <c r="A6497" t="s">
        <v>7082</v>
      </c>
      <c r="B6497" t="s">
        <v>7083</v>
      </c>
      <c r="C6497" t="s">
        <v>1477</v>
      </c>
      <c r="D6497" t="s">
        <v>323</v>
      </c>
      <c r="E6497" t="s">
        <v>304</v>
      </c>
      <c r="F6497" t="s">
        <v>7107</v>
      </c>
      <c r="G6497">
        <v>8</v>
      </c>
      <c r="H6497">
        <v>1157.6399999999999</v>
      </c>
      <c r="I6497">
        <v>144.71</v>
      </c>
      <c r="J6497">
        <v>2</v>
      </c>
      <c r="K6497">
        <v>307.3</v>
      </c>
      <c r="L6497">
        <v>153.65</v>
      </c>
      <c r="M6497">
        <v>10</v>
      </c>
      <c r="N6497">
        <v>1464.9399999999998</v>
      </c>
      <c r="O6497">
        <v>146.49</v>
      </c>
    </row>
    <row r="6498" spans="1:15" x14ac:dyDescent="0.35">
      <c r="A6498" t="s">
        <v>7082</v>
      </c>
      <c r="B6498" t="s">
        <v>7083</v>
      </c>
      <c r="C6498" t="s">
        <v>1477</v>
      </c>
      <c r="D6498" t="s">
        <v>323</v>
      </c>
      <c r="E6498" t="s">
        <v>306</v>
      </c>
      <c r="F6498" t="s">
        <v>7108</v>
      </c>
      <c r="G6498">
        <v>0</v>
      </c>
      <c r="H6498">
        <v>0</v>
      </c>
      <c r="I6498">
        <v>0</v>
      </c>
      <c r="J6498">
        <v>67</v>
      </c>
      <c r="K6498">
        <v>4478.2800000000007</v>
      </c>
      <c r="L6498">
        <v>66.84</v>
      </c>
      <c r="M6498">
        <v>67</v>
      </c>
      <c r="N6498">
        <v>4478.2800000000007</v>
      </c>
      <c r="O6498">
        <v>66.84</v>
      </c>
    </row>
    <row r="6499" spans="1:15" x14ac:dyDescent="0.35">
      <c r="A6499" t="s">
        <v>7082</v>
      </c>
      <c r="B6499" t="s">
        <v>7083</v>
      </c>
      <c r="C6499" t="s">
        <v>1477</v>
      </c>
      <c r="D6499" t="s">
        <v>323</v>
      </c>
      <c r="E6499" t="s">
        <v>308</v>
      </c>
      <c r="F6499" t="s">
        <v>7109</v>
      </c>
      <c r="G6499">
        <v>0</v>
      </c>
      <c r="H6499">
        <v>0</v>
      </c>
      <c r="I6499">
        <v>0</v>
      </c>
      <c r="J6499">
        <v>0</v>
      </c>
      <c r="K6499">
        <v>0</v>
      </c>
      <c r="L6499">
        <v>0</v>
      </c>
      <c r="M6499">
        <v>0</v>
      </c>
      <c r="N6499">
        <v>0</v>
      </c>
      <c r="O6499">
        <v>0</v>
      </c>
    </row>
    <row r="6500" spans="1:15" x14ac:dyDescent="0.35">
      <c r="A6500" t="s">
        <v>7082</v>
      </c>
      <c r="B6500" t="s">
        <v>7083</v>
      </c>
      <c r="C6500" t="s">
        <v>1477</v>
      </c>
      <c r="D6500" t="s">
        <v>323</v>
      </c>
      <c r="E6500" t="s">
        <v>310</v>
      </c>
      <c r="F6500" t="s">
        <v>7110</v>
      </c>
      <c r="G6500">
        <v>1130</v>
      </c>
      <c r="H6500">
        <v>121170.02</v>
      </c>
      <c r="I6500">
        <v>107.23</v>
      </c>
      <c r="J6500">
        <v>4703</v>
      </c>
      <c r="K6500">
        <v>415814.08</v>
      </c>
      <c r="L6500">
        <v>88.41</v>
      </c>
      <c r="M6500">
        <v>5833</v>
      </c>
      <c r="N6500">
        <v>536984.1</v>
      </c>
      <c r="O6500">
        <v>92.06</v>
      </c>
    </row>
    <row r="6501" spans="1:15" x14ac:dyDescent="0.35">
      <c r="A6501" t="s">
        <v>7082</v>
      </c>
      <c r="B6501" t="s">
        <v>7083</v>
      </c>
      <c r="C6501" t="s">
        <v>1477</v>
      </c>
      <c r="D6501" t="s">
        <v>323</v>
      </c>
      <c r="E6501" t="s">
        <v>312</v>
      </c>
      <c r="F6501" t="s">
        <v>7111</v>
      </c>
      <c r="G6501">
        <v>1130</v>
      </c>
      <c r="H6501">
        <v>121170.02</v>
      </c>
      <c r="I6501">
        <v>107.23</v>
      </c>
      <c r="J6501">
        <v>4703</v>
      </c>
      <c r="K6501">
        <v>415814.08</v>
      </c>
      <c r="L6501">
        <v>88.41</v>
      </c>
      <c r="M6501">
        <v>5833</v>
      </c>
      <c r="N6501">
        <v>536984.1</v>
      </c>
      <c r="O6501">
        <v>92.06</v>
      </c>
    </row>
    <row r="6502" spans="1:15" x14ac:dyDescent="0.35">
      <c r="A6502" t="s">
        <v>7082</v>
      </c>
      <c r="B6502" t="s">
        <v>7083</v>
      </c>
      <c r="C6502" t="s">
        <v>1477</v>
      </c>
      <c r="D6502" t="s">
        <v>334</v>
      </c>
      <c r="E6502" t="s">
        <v>312</v>
      </c>
      <c r="F6502" t="s">
        <v>7112</v>
      </c>
      <c r="G6502">
        <v>1548</v>
      </c>
      <c r="H6502">
        <v>169963.85</v>
      </c>
      <c r="I6502">
        <v>112.48</v>
      </c>
      <c r="J6502">
        <v>4818</v>
      </c>
      <c r="K6502">
        <v>431353.46</v>
      </c>
      <c r="L6502">
        <v>89.53</v>
      </c>
      <c r="M6502">
        <v>6366</v>
      </c>
      <c r="N6502">
        <v>601317.31000000006</v>
      </c>
      <c r="O6502">
        <v>95.01</v>
      </c>
    </row>
    <row r="6503" spans="1:15" x14ac:dyDescent="0.35">
      <c r="A6503" t="s">
        <v>7082</v>
      </c>
      <c r="B6503" t="s">
        <v>7083</v>
      </c>
      <c r="C6503" t="s">
        <v>1477</v>
      </c>
      <c r="D6503" t="s">
        <v>334</v>
      </c>
      <c r="E6503" t="s">
        <v>308</v>
      </c>
      <c r="F6503" t="s">
        <v>7113</v>
      </c>
      <c r="G6503">
        <v>0</v>
      </c>
      <c r="H6503">
        <v>0</v>
      </c>
      <c r="I6503">
        <v>0</v>
      </c>
      <c r="J6503">
        <v>0</v>
      </c>
      <c r="K6503">
        <v>0</v>
      </c>
      <c r="L6503">
        <v>0</v>
      </c>
      <c r="M6503">
        <v>0</v>
      </c>
      <c r="N6503">
        <v>0</v>
      </c>
      <c r="O6503">
        <v>0</v>
      </c>
    </row>
    <row r="6504" spans="1:15" x14ac:dyDescent="0.35">
      <c r="A6504" t="s">
        <v>7082</v>
      </c>
      <c r="B6504" t="s">
        <v>7083</v>
      </c>
      <c r="C6504" t="s">
        <v>1477</v>
      </c>
      <c r="D6504" t="s">
        <v>337</v>
      </c>
      <c r="E6504" t="s">
        <v>337</v>
      </c>
      <c r="F6504" t="s">
        <v>7114</v>
      </c>
      <c r="G6504">
        <v>98</v>
      </c>
      <c r="J6504">
        <v>0</v>
      </c>
      <c r="M6504">
        <v>98</v>
      </c>
    </row>
    <row r="6505" spans="1:15" x14ac:dyDescent="0.35">
      <c r="A6505" t="s">
        <v>7082</v>
      </c>
      <c r="B6505" t="s">
        <v>7083</v>
      </c>
      <c r="C6505" t="s">
        <v>1477</v>
      </c>
      <c r="D6505" t="s">
        <v>339</v>
      </c>
      <c r="E6505" t="s">
        <v>294</v>
      </c>
      <c r="F6505" t="s">
        <v>7115</v>
      </c>
      <c r="G6505">
        <v>177</v>
      </c>
      <c r="H6505">
        <v>19312.690000000002</v>
      </c>
      <c r="I6505">
        <v>109.11</v>
      </c>
      <c r="J6505">
        <v>801</v>
      </c>
      <c r="K6505">
        <v>66939.569999999992</v>
      </c>
      <c r="L6505">
        <v>83.57</v>
      </c>
      <c r="M6505">
        <v>978</v>
      </c>
      <c r="N6505">
        <v>86252.26</v>
      </c>
      <c r="O6505">
        <v>88.19</v>
      </c>
    </row>
    <row r="6506" spans="1:15" x14ac:dyDescent="0.35">
      <c r="A6506" t="s">
        <v>7082</v>
      </c>
      <c r="B6506" t="s">
        <v>7083</v>
      </c>
      <c r="C6506" t="s">
        <v>1477</v>
      </c>
      <c r="D6506" t="s">
        <v>339</v>
      </c>
      <c r="E6506" t="s">
        <v>296</v>
      </c>
      <c r="F6506" t="s">
        <v>7116</v>
      </c>
      <c r="G6506">
        <v>14</v>
      </c>
      <c r="H6506">
        <v>2089.33</v>
      </c>
      <c r="I6506">
        <v>149.24</v>
      </c>
      <c r="J6506">
        <v>152</v>
      </c>
      <c r="K6506">
        <v>15286.64</v>
      </c>
      <c r="L6506">
        <v>100.57</v>
      </c>
      <c r="M6506">
        <v>166</v>
      </c>
      <c r="N6506">
        <v>17375.97</v>
      </c>
      <c r="O6506">
        <v>104.67</v>
      </c>
    </row>
    <row r="6507" spans="1:15" x14ac:dyDescent="0.35">
      <c r="A6507" t="s">
        <v>7082</v>
      </c>
      <c r="B6507" t="s">
        <v>7083</v>
      </c>
      <c r="C6507" t="s">
        <v>1477</v>
      </c>
      <c r="D6507" t="s">
        <v>339</v>
      </c>
      <c r="E6507" t="s">
        <v>298</v>
      </c>
      <c r="F6507" t="s">
        <v>7117</v>
      </c>
      <c r="G6507">
        <v>3</v>
      </c>
      <c r="H6507">
        <v>398.25</v>
      </c>
      <c r="I6507">
        <v>132.75</v>
      </c>
      <c r="J6507">
        <v>3</v>
      </c>
      <c r="K6507">
        <v>382.17</v>
      </c>
      <c r="L6507">
        <v>127.39</v>
      </c>
      <c r="M6507">
        <v>6</v>
      </c>
      <c r="N6507">
        <v>780.42000000000007</v>
      </c>
      <c r="O6507">
        <v>130.07</v>
      </c>
    </row>
    <row r="6508" spans="1:15" x14ac:dyDescent="0.35">
      <c r="A6508" t="s">
        <v>7082</v>
      </c>
      <c r="B6508" t="s">
        <v>7083</v>
      </c>
      <c r="C6508" t="s">
        <v>1477</v>
      </c>
      <c r="D6508" t="s">
        <v>339</v>
      </c>
      <c r="E6508" t="s">
        <v>300</v>
      </c>
      <c r="F6508" t="s">
        <v>7118</v>
      </c>
      <c r="G6508">
        <v>0</v>
      </c>
      <c r="H6508">
        <v>0</v>
      </c>
      <c r="I6508">
        <v>0</v>
      </c>
      <c r="J6508">
        <v>2</v>
      </c>
      <c r="K6508">
        <v>321.60000000000002</v>
      </c>
      <c r="L6508">
        <v>160.80000000000001</v>
      </c>
      <c r="M6508">
        <v>2</v>
      </c>
      <c r="N6508">
        <v>321.60000000000002</v>
      </c>
      <c r="O6508">
        <v>160.80000000000001</v>
      </c>
    </row>
    <row r="6509" spans="1:15" x14ac:dyDescent="0.35">
      <c r="A6509" t="s">
        <v>7082</v>
      </c>
      <c r="B6509" t="s">
        <v>7083</v>
      </c>
      <c r="C6509" t="s">
        <v>1477</v>
      </c>
      <c r="D6509" t="s">
        <v>339</v>
      </c>
      <c r="E6509" t="s">
        <v>306</v>
      </c>
      <c r="F6509" t="s">
        <v>7119</v>
      </c>
      <c r="G6509">
        <v>8</v>
      </c>
      <c r="H6509">
        <v>740.88</v>
      </c>
      <c r="I6509">
        <v>92.61</v>
      </c>
      <c r="J6509">
        <v>6</v>
      </c>
      <c r="K6509">
        <v>451.43999999999994</v>
      </c>
      <c r="L6509">
        <v>75.239999999999995</v>
      </c>
      <c r="M6509">
        <v>14</v>
      </c>
      <c r="N6509">
        <v>1192.32</v>
      </c>
      <c r="O6509">
        <v>85.17</v>
      </c>
    </row>
    <row r="6510" spans="1:15" x14ac:dyDescent="0.35">
      <c r="A6510" t="s">
        <v>7082</v>
      </c>
      <c r="B6510" t="s">
        <v>7083</v>
      </c>
      <c r="C6510" t="s">
        <v>1477</v>
      </c>
      <c r="D6510" t="s">
        <v>339</v>
      </c>
      <c r="E6510" t="s">
        <v>308</v>
      </c>
      <c r="F6510" t="s">
        <v>7120</v>
      </c>
      <c r="G6510">
        <v>63</v>
      </c>
      <c r="H6510">
        <v>12705.74</v>
      </c>
      <c r="I6510">
        <v>201.68</v>
      </c>
      <c r="J6510">
        <v>0</v>
      </c>
      <c r="K6510">
        <v>0</v>
      </c>
      <c r="L6510">
        <v>0</v>
      </c>
      <c r="M6510">
        <v>63</v>
      </c>
      <c r="N6510">
        <v>12705.74</v>
      </c>
      <c r="O6510">
        <v>201.68</v>
      </c>
    </row>
    <row r="6511" spans="1:15" x14ac:dyDescent="0.35">
      <c r="A6511" t="s">
        <v>7082</v>
      </c>
      <c r="B6511" t="s">
        <v>7083</v>
      </c>
      <c r="C6511" t="s">
        <v>1477</v>
      </c>
      <c r="D6511" t="s">
        <v>339</v>
      </c>
      <c r="E6511" t="s">
        <v>310</v>
      </c>
      <c r="F6511" t="s">
        <v>7121</v>
      </c>
      <c r="G6511">
        <v>265</v>
      </c>
      <c r="H6511">
        <v>35246.890000000007</v>
      </c>
      <c r="I6511">
        <v>133.01</v>
      </c>
      <c r="J6511">
        <v>964</v>
      </c>
      <c r="K6511">
        <v>83381.42</v>
      </c>
      <c r="L6511">
        <v>86.5</v>
      </c>
      <c r="M6511">
        <v>1229</v>
      </c>
      <c r="N6511">
        <v>118628.31</v>
      </c>
      <c r="O6511">
        <v>96.52</v>
      </c>
    </row>
    <row r="6512" spans="1:15" x14ac:dyDescent="0.35">
      <c r="A6512" t="s">
        <v>7082</v>
      </c>
      <c r="B6512" t="s">
        <v>7083</v>
      </c>
      <c r="C6512" t="s">
        <v>1477</v>
      </c>
      <c r="D6512" t="s">
        <v>339</v>
      </c>
      <c r="E6512" t="s">
        <v>312</v>
      </c>
      <c r="F6512" t="s">
        <v>7122</v>
      </c>
      <c r="G6512">
        <v>202</v>
      </c>
      <c r="H6512">
        <v>22541.150000000005</v>
      </c>
      <c r="I6512">
        <v>111.59</v>
      </c>
      <c r="J6512">
        <v>964</v>
      </c>
      <c r="K6512">
        <v>83381.42</v>
      </c>
      <c r="L6512">
        <v>86.5</v>
      </c>
      <c r="M6512">
        <v>1166</v>
      </c>
      <c r="N6512">
        <v>105922.57</v>
      </c>
      <c r="O6512">
        <v>90.84</v>
      </c>
    </row>
    <row r="6513" spans="1:15" x14ac:dyDescent="0.35">
      <c r="A6513" t="s">
        <v>7082</v>
      </c>
      <c r="B6513" t="s">
        <v>7083</v>
      </c>
      <c r="C6513" t="s">
        <v>1477</v>
      </c>
      <c r="D6513" t="s">
        <v>348</v>
      </c>
      <c r="E6513" t="s">
        <v>349</v>
      </c>
      <c r="F6513" t="s">
        <v>7123</v>
      </c>
      <c r="G6513">
        <v>398</v>
      </c>
      <c r="H6513">
        <v>35246.890000000007</v>
      </c>
      <c r="I6513">
        <v>133.01</v>
      </c>
      <c r="J6513">
        <v>978</v>
      </c>
      <c r="K6513">
        <v>84750.48</v>
      </c>
      <c r="L6513">
        <v>86.66</v>
      </c>
      <c r="M6513">
        <v>1376</v>
      </c>
      <c r="N6513">
        <v>119997.37</v>
      </c>
      <c r="O6513">
        <v>96.54</v>
      </c>
    </row>
    <row r="6514" spans="1:15" x14ac:dyDescent="0.35">
      <c r="A6514" t="s">
        <v>7124</v>
      </c>
      <c r="B6514" t="s">
        <v>7125</v>
      </c>
      <c r="C6514" t="s">
        <v>1477</v>
      </c>
      <c r="D6514" t="s">
        <v>293</v>
      </c>
      <c r="E6514" t="s">
        <v>294</v>
      </c>
      <c r="F6514" t="s">
        <v>7126</v>
      </c>
      <c r="G6514">
        <v>127</v>
      </c>
      <c r="H6514">
        <v>13658.48</v>
      </c>
      <c r="I6514">
        <v>107.55</v>
      </c>
      <c r="J6514">
        <v>0</v>
      </c>
      <c r="K6514">
        <v>0</v>
      </c>
      <c r="L6514">
        <v>0</v>
      </c>
      <c r="M6514">
        <v>127</v>
      </c>
      <c r="N6514">
        <v>13658.48</v>
      </c>
      <c r="O6514">
        <v>107.55</v>
      </c>
    </row>
    <row r="6515" spans="1:15" x14ac:dyDescent="0.35">
      <c r="A6515" t="s">
        <v>7124</v>
      </c>
      <c r="B6515" t="s">
        <v>7125</v>
      </c>
      <c r="C6515" t="s">
        <v>1477</v>
      </c>
      <c r="D6515" t="s">
        <v>293</v>
      </c>
      <c r="E6515" t="s">
        <v>296</v>
      </c>
      <c r="F6515" t="s">
        <v>7127</v>
      </c>
      <c r="G6515">
        <v>399</v>
      </c>
      <c r="H6515">
        <v>53843.630000000005</v>
      </c>
      <c r="I6515">
        <v>134.94999999999999</v>
      </c>
      <c r="J6515">
        <v>3</v>
      </c>
      <c r="K6515">
        <v>450</v>
      </c>
      <c r="L6515">
        <v>150</v>
      </c>
      <c r="M6515">
        <v>402</v>
      </c>
      <c r="N6515">
        <v>54293.630000000005</v>
      </c>
      <c r="O6515">
        <v>135.06</v>
      </c>
    </row>
    <row r="6516" spans="1:15" x14ac:dyDescent="0.35">
      <c r="A6516" t="s">
        <v>7124</v>
      </c>
      <c r="B6516" t="s">
        <v>7125</v>
      </c>
      <c r="C6516" t="s">
        <v>1477</v>
      </c>
      <c r="D6516" t="s">
        <v>293</v>
      </c>
      <c r="E6516" t="s">
        <v>298</v>
      </c>
      <c r="F6516" t="s">
        <v>7128</v>
      </c>
      <c r="G6516">
        <v>341</v>
      </c>
      <c r="H6516">
        <v>49843.94</v>
      </c>
      <c r="I6516">
        <v>146.16999999999999</v>
      </c>
      <c r="J6516">
        <v>4</v>
      </c>
      <c r="K6516">
        <v>739.6</v>
      </c>
      <c r="L6516">
        <v>184.9</v>
      </c>
      <c r="M6516">
        <v>345</v>
      </c>
      <c r="N6516">
        <v>50583.54</v>
      </c>
      <c r="O6516">
        <v>146.62</v>
      </c>
    </row>
    <row r="6517" spans="1:15" x14ac:dyDescent="0.35">
      <c r="A6517" t="s">
        <v>7124</v>
      </c>
      <c r="B6517" t="s">
        <v>7125</v>
      </c>
      <c r="C6517" t="s">
        <v>1477</v>
      </c>
      <c r="D6517" t="s">
        <v>293</v>
      </c>
      <c r="E6517" t="s">
        <v>300</v>
      </c>
      <c r="F6517" t="s">
        <v>7129</v>
      </c>
      <c r="G6517">
        <v>27</v>
      </c>
      <c r="H6517">
        <v>4748.4800000000005</v>
      </c>
      <c r="I6517">
        <v>175.87</v>
      </c>
      <c r="J6517">
        <v>0</v>
      </c>
      <c r="K6517">
        <v>0</v>
      </c>
      <c r="L6517">
        <v>0</v>
      </c>
      <c r="M6517">
        <v>27</v>
      </c>
      <c r="N6517">
        <v>4748.4800000000005</v>
      </c>
      <c r="O6517">
        <v>175.87</v>
      </c>
    </row>
    <row r="6518" spans="1:15" x14ac:dyDescent="0.35">
      <c r="A6518" t="s">
        <v>7124</v>
      </c>
      <c r="B6518" t="s">
        <v>7125</v>
      </c>
      <c r="C6518" t="s">
        <v>1477</v>
      </c>
      <c r="D6518" t="s">
        <v>293</v>
      </c>
      <c r="E6518" t="s">
        <v>302</v>
      </c>
      <c r="F6518" t="s">
        <v>7130</v>
      </c>
      <c r="G6518">
        <v>4</v>
      </c>
      <c r="H6518">
        <v>648.36</v>
      </c>
      <c r="I6518">
        <v>162.09</v>
      </c>
      <c r="J6518">
        <v>0</v>
      </c>
      <c r="K6518">
        <v>0</v>
      </c>
      <c r="L6518">
        <v>0</v>
      </c>
      <c r="M6518">
        <v>4</v>
      </c>
      <c r="N6518">
        <v>648.36</v>
      </c>
      <c r="O6518">
        <v>162.09</v>
      </c>
    </row>
    <row r="6519" spans="1:15" x14ac:dyDescent="0.35">
      <c r="A6519" t="s">
        <v>7124</v>
      </c>
      <c r="B6519" t="s">
        <v>7125</v>
      </c>
      <c r="C6519" t="s">
        <v>1477</v>
      </c>
      <c r="D6519" t="s">
        <v>293</v>
      </c>
      <c r="E6519" t="s">
        <v>304</v>
      </c>
      <c r="F6519" t="s">
        <v>7131</v>
      </c>
      <c r="G6519">
        <v>0</v>
      </c>
      <c r="H6519">
        <v>0</v>
      </c>
      <c r="I6519">
        <v>0</v>
      </c>
      <c r="J6519">
        <v>0</v>
      </c>
      <c r="K6519">
        <v>0</v>
      </c>
      <c r="L6519">
        <v>0</v>
      </c>
      <c r="M6519">
        <v>0</v>
      </c>
      <c r="N6519">
        <v>0</v>
      </c>
      <c r="O6519">
        <v>0</v>
      </c>
    </row>
    <row r="6520" spans="1:15" x14ac:dyDescent="0.35">
      <c r="A6520" t="s">
        <v>7124</v>
      </c>
      <c r="B6520" t="s">
        <v>7125</v>
      </c>
      <c r="C6520" t="s">
        <v>1477</v>
      </c>
      <c r="D6520" t="s">
        <v>293</v>
      </c>
      <c r="E6520" t="s">
        <v>306</v>
      </c>
      <c r="F6520" t="s">
        <v>7132</v>
      </c>
      <c r="G6520">
        <v>1</v>
      </c>
      <c r="H6520">
        <v>89.66</v>
      </c>
      <c r="I6520">
        <v>89.66</v>
      </c>
      <c r="J6520">
        <v>0</v>
      </c>
      <c r="K6520">
        <v>0</v>
      </c>
      <c r="L6520">
        <v>0</v>
      </c>
      <c r="M6520">
        <v>1</v>
      </c>
      <c r="N6520">
        <v>89.66</v>
      </c>
      <c r="O6520">
        <v>89.66</v>
      </c>
    </row>
    <row r="6521" spans="1:15" x14ac:dyDescent="0.35">
      <c r="A6521" t="s">
        <v>7124</v>
      </c>
      <c r="B6521" t="s">
        <v>7125</v>
      </c>
      <c r="C6521" t="s">
        <v>1477</v>
      </c>
      <c r="D6521" t="s">
        <v>293</v>
      </c>
      <c r="E6521" t="s">
        <v>308</v>
      </c>
      <c r="F6521" t="s">
        <v>7133</v>
      </c>
      <c r="G6521">
        <v>0</v>
      </c>
      <c r="H6521">
        <v>0</v>
      </c>
      <c r="I6521">
        <v>0</v>
      </c>
      <c r="J6521">
        <v>0</v>
      </c>
      <c r="K6521">
        <v>0</v>
      </c>
      <c r="L6521">
        <v>0</v>
      </c>
      <c r="M6521">
        <v>0</v>
      </c>
      <c r="N6521">
        <v>0</v>
      </c>
      <c r="O6521">
        <v>0</v>
      </c>
    </row>
    <row r="6522" spans="1:15" x14ac:dyDescent="0.35">
      <c r="A6522" t="s">
        <v>7124</v>
      </c>
      <c r="B6522" t="s">
        <v>7125</v>
      </c>
      <c r="C6522" t="s">
        <v>1477</v>
      </c>
      <c r="D6522" t="s">
        <v>293</v>
      </c>
      <c r="E6522" t="s">
        <v>310</v>
      </c>
      <c r="F6522" t="s">
        <v>7134</v>
      </c>
      <c r="G6522">
        <v>899</v>
      </c>
      <c r="H6522">
        <v>122832.55</v>
      </c>
      <c r="I6522">
        <v>136.63</v>
      </c>
      <c r="J6522">
        <v>7</v>
      </c>
      <c r="K6522">
        <v>1189.5999999999999</v>
      </c>
      <c r="L6522">
        <v>169.94</v>
      </c>
      <c r="M6522">
        <v>906</v>
      </c>
      <c r="N6522">
        <v>124022.15000000001</v>
      </c>
      <c r="O6522">
        <v>136.88999999999999</v>
      </c>
    </row>
    <row r="6523" spans="1:15" x14ac:dyDescent="0.35">
      <c r="A6523" t="s">
        <v>7124</v>
      </c>
      <c r="B6523" t="s">
        <v>7125</v>
      </c>
      <c r="C6523" t="s">
        <v>1477</v>
      </c>
      <c r="D6523" t="s">
        <v>293</v>
      </c>
      <c r="E6523" t="s">
        <v>312</v>
      </c>
      <c r="F6523" t="s">
        <v>7135</v>
      </c>
      <c r="G6523">
        <v>899</v>
      </c>
      <c r="H6523">
        <v>122832.55</v>
      </c>
      <c r="I6523">
        <v>136.63</v>
      </c>
      <c r="J6523">
        <v>7</v>
      </c>
      <c r="K6523">
        <v>1189.5999999999999</v>
      </c>
      <c r="L6523">
        <v>169.94</v>
      </c>
      <c r="M6523">
        <v>906</v>
      </c>
      <c r="N6523">
        <v>124022.15000000001</v>
      </c>
      <c r="O6523">
        <v>136.88999999999999</v>
      </c>
    </row>
    <row r="6524" spans="1:15" x14ac:dyDescent="0.35">
      <c r="A6524" t="s">
        <v>7124</v>
      </c>
      <c r="B6524" t="s">
        <v>7125</v>
      </c>
      <c r="C6524" t="s">
        <v>1477</v>
      </c>
      <c r="D6524" t="s">
        <v>314</v>
      </c>
      <c r="E6524" t="s">
        <v>294</v>
      </c>
      <c r="F6524" t="s">
        <v>7136</v>
      </c>
      <c r="G6524">
        <v>22</v>
      </c>
      <c r="H6524">
        <v>2526.84</v>
      </c>
      <c r="I6524">
        <v>114.86</v>
      </c>
      <c r="J6524">
        <v>0</v>
      </c>
      <c r="K6524">
        <v>0</v>
      </c>
      <c r="L6524">
        <v>0</v>
      </c>
      <c r="M6524">
        <v>22</v>
      </c>
      <c r="N6524">
        <v>2526.84</v>
      </c>
      <c r="O6524">
        <v>114.86</v>
      </c>
    </row>
    <row r="6525" spans="1:15" x14ac:dyDescent="0.35">
      <c r="A6525" t="s">
        <v>7124</v>
      </c>
      <c r="B6525" t="s">
        <v>7125</v>
      </c>
      <c r="C6525" t="s">
        <v>1477</v>
      </c>
      <c r="D6525" t="s">
        <v>314</v>
      </c>
      <c r="E6525" t="s">
        <v>296</v>
      </c>
      <c r="F6525" t="s">
        <v>7137</v>
      </c>
      <c r="G6525">
        <v>0</v>
      </c>
      <c r="H6525">
        <v>0</v>
      </c>
      <c r="I6525">
        <v>0</v>
      </c>
      <c r="J6525">
        <v>0</v>
      </c>
      <c r="K6525">
        <v>0</v>
      </c>
      <c r="L6525">
        <v>0</v>
      </c>
      <c r="M6525">
        <v>0</v>
      </c>
      <c r="N6525">
        <v>0</v>
      </c>
      <c r="O6525">
        <v>0</v>
      </c>
    </row>
    <row r="6526" spans="1:15" x14ac:dyDescent="0.35">
      <c r="A6526" t="s">
        <v>7124</v>
      </c>
      <c r="B6526" t="s">
        <v>7125</v>
      </c>
      <c r="C6526" t="s">
        <v>1477</v>
      </c>
      <c r="D6526" t="s">
        <v>314</v>
      </c>
      <c r="E6526" t="s">
        <v>298</v>
      </c>
      <c r="F6526" t="s">
        <v>7138</v>
      </c>
      <c r="G6526">
        <v>0</v>
      </c>
      <c r="H6526">
        <v>0</v>
      </c>
      <c r="I6526">
        <v>0</v>
      </c>
      <c r="J6526">
        <v>0</v>
      </c>
      <c r="K6526">
        <v>0</v>
      </c>
      <c r="L6526">
        <v>0</v>
      </c>
      <c r="M6526">
        <v>0</v>
      </c>
      <c r="N6526">
        <v>0</v>
      </c>
      <c r="O6526">
        <v>0</v>
      </c>
    </row>
    <row r="6527" spans="1:15" x14ac:dyDescent="0.35">
      <c r="A6527" t="s">
        <v>7124</v>
      </c>
      <c r="B6527" t="s">
        <v>7125</v>
      </c>
      <c r="C6527" t="s">
        <v>1477</v>
      </c>
      <c r="D6527" t="s">
        <v>314</v>
      </c>
      <c r="E6527" t="s">
        <v>300</v>
      </c>
      <c r="F6527" t="s">
        <v>7139</v>
      </c>
      <c r="G6527">
        <v>0</v>
      </c>
      <c r="H6527">
        <v>0</v>
      </c>
      <c r="I6527">
        <v>0</v>
      </c>
      <c r="J6527">
        <v>0</v>
      </c>
      <c r="K6527">
        <v>0</v>
      </c>
      <c r="L6527">
        <v>0</v>
      </c>
      <c r="M6527">
        <v>0</v>
      </c>
      <c r="N6527">
        <v>0</v>
      </c>
      <c r="O6527">
        <v>0</v>
      </c>
    </row>
    <row r="6528" spans="1:15" x14ac:dyDescent="0.35">
      <c r="A6528" t="s">
        <v>7124</v>
      </c>
      <c r="B6528" t="s">
        <v>7125</v>
      </c>
      <c r="C6528" t="s">
        <v>1477</v>
      </c>
      <c r="D6528" t="s">
        <v>314</v>
      </c>
      <c r="E6528" t="s">
        <v>306</v>
      </c>
      <c r="F6528" t="s">
        <v>7140</v>
      </c>
      <c r="G6528">
        <v>0</v>
      </c>
      <c r="H6528">
        <v>0</v>
      </c>
      <c r="I6528">
        <v>0</v>
      </c>
      <c r="J6528">
        <v>0</v>
      </c>
      <c r="K6528">
        <v>0</v>
      </c>
      <c r="L6528">
        <v>0</v>
      </c>
      <c r="M6528">
        <v>0</v>
      </c>
      <c r="N6528">
        <v>0</v>
      </c>
      <c r="O6528">
        <v>0</v>
      </c>
    </row>
    <row r="6529" spans="1:15" x14ac:dyDescent="0.35">
      <c r="A6529" t="s">
        <v>7124</v>
      </c>
      <c r="B6529" t="s">
        <v>7125</v>
      </c>
      <c r="C6529" t="s">
        <v>1477</v>
      </c>
      <c r="D6529" t="s">
        <v>314</v>
      </c>
      <c r="E6529" t="s">
        <v>308</v>
      </c>
      <c r="F6529" t="s">
        <v>7141</v>
      </c>
      <c r="G6529">
        <v>0</v>
      </c>
      <c r="H6529">
        <v>0</v>
      </c>
      <c r="I6529">
        <v>0</v>
      </c>
      <c r="J6529">
        <v>0</v>
      </c>
      <c r="K6529">
        <v>0</v>
      </c>
      <c r="L6529">
        <v>0</v>
      </c>
      <c r="M6529">
        <v>0</v>
      </c>
      <c r="N6529">
        <v>0</v>
      </c>
      <c r="O6529">
        <v>0</v>
      </c>
    </row>
    <row r="6530" spans="1:15" x14ac:dyDescent="0.35">
      <c r="A6530" t="s">
        <v>7124</v>
      </c>
      <c r="B6530" t="s">
        <v>7125</v>
      </c>
      <c r="C6530" t="s">
        <v>1477</v>
      </c>
      <c r="D6530" t="s">
        <v>314</v>
      </c>
      <c r="E6530" t="s">
        <v>312</v>
      </c>
      <c r="F6530" t="s">
        <v>7142</v>
      </c>
      <c r="G6530">
        <v>22</v>
      </c>
      <c r="H6530">
        <v>2526.84</v>
      </c>
      <c r="I6530">
        <v>114.86</v>
      </c>
      <c r="J6530">
        <v>0</v>
      </c>
      <c r="K6530">
        <v>0</v>
      </c>
      <c r="L6530">
        <v>0</v>
      </c>
      <c r="M6530">
        <v>22</v>
      </c>
      <c r="N6530">
        <v>2526.84</v>
      </c>
      <c r="O6530">
        <v>114.86</v>
      </c>
    </row>
    <row r="6531" spans="1:15" x14ac:dyDescent="0.35">
      <c r="A6531" t="s">
        <v>7124</v>
      </c>
      <c r="B6531" t="s">
        <v>7125</v>
      </c>
      <c r="C6531" t="s">
        <v>1477</v>
      </c>
      <c r="D6531" t="s">
        <v>314</v>
      </c>
      <c r="E6531" t="s">
        <v>310</v>
      </c>
      <c r="F6531" t="s">
        <v>7143</v>
      </c>
      <c r="G6531">
        <v>22</v>
      </c>
      <c r="H6531">
        <v>2526.84</v>
      </c>
      <c r="I6531">
        <v>114.86</v>
      </c>
      <c r="J6531">
        <v>0</v>
      </c>
      <c r="K6531">
        <v>0</v>
      </c>
      <c r="L6531">
        <v>0</v>
      </c>
      <c r="M6531">
        <v>22</v>
      </c>
      <c r="N6531">
        <v>2526.84</v>
      </c>
      <c r="O6531">
        <v>114.86</v>
      </c>
    </row>
    <row r="6532" spans="1:15" x14ac:dyDescent="0.35">
      <c r="A6532" t="s">
        <v>7124</v>
      </c>
      <c r="B6532" t="s">
        <v>7125</v>
      </c>
      <c r="C6532" t="s">
        <v>1477</v>
      </c>
      <c r="D6532" t="s">
        <v>323</v>
      </c>
      <c r="E6532" t="s">
        <v>294</v>
      </c>
      <c r="F6532" t="s">
        <v>7144</v>
      </c>
      <c r="G6532">
        <v>1544</v>
      </c>
      <c r="H6532">
        <v>137865.12999999998</v>
      </c>
      <c r="I6532">
        <v>89.29</v>
      </c>
      <c r="J6532">
        <v>0</v>
      </c>
      <c r="K6532">
        <v>0</v>
      </c>
      <c r="L6532">
        <v>0</v>
      </c>
      <c r="M6532">
        <v>1544</v>
      </c>
      <c r="N6532">
        <v>137865.12999999998</v>
      </c>
      <c r="O6532">
        <v>89.29</v>
      </c>
    </row>
    <row r="6533" spans="1:15" x14ac:dyDescent="0.35">
      <c r="A6533" t="s">
        <v>7124</v>
      </c>
      <c r="B6533" t="s">
        <v>7125</v>
      </c>
      <c r="C6533" t="s">
        <v>1477</v>
      </c>
      <c r="D6533" t="s">
        <v>323</v>
      </c>
      <c r="E6533" t="s">
        <v>296</v>
      </c>
      <c r="F6533" t="s">
        <v>7145</v>
      </c>
      <c r="G6533">
        <v>3209</v>
      </c>
      <c r="H6533">
        <v>327465.28000000003</v>
      </c>
      <c r="I6533">
        <v>102.05</v>
      </c>
      <c r="J6533">
        <v>0</v>
      </c>
      <c r="K6533">
        <v>0</v>
      </c>
      <c r="L6533">
        <v>0</v>
      </c>
      <c r="M6533">
        <v>3209</v>
      </c>
      <c r="N6533">
        <v>327465.28000000003</v>
      </c>
      <c r="O6533">
        <v>102.05</v>
      </c>
    </row>
    <row r="6534" spans="1:15" x14ac:dyDescent="0.35">
      <c r="A6534" t="s">
        <v>7124</v>
      </c>
      <c r="B6534" t="s">
        <v>7125</v>
      </c>
      <c r="C6534" t="s">
        <v>1477</v>
      </c>
      <c r="D6534" t="s">
        <v>323</v>
      </c>
      <c r="E6534" t="s">
        <v>298</v>
      </c>
      <c r="F6534" t="s">
        <v>7146</v>
      </c>
      <c r="G6534">
        <v>2647</v>
      </c>
      <c r="H6534">
        <v>296283.04999999993</v>
      </c>
      <c r="I6534">
        <v>111.93</v>
      </c>
      <c r="J6534">
        <v>0</v>
      </c>
      <c r="K6534">
        <v>0</v>
      </c>
      <c r="L6534">
        <v>0</v>
      </c>
      <c r="M6534">
        <v>2647</v>
      </c>
      <c r="N6534">
        <v>296283.04999999993</v>
      </c>
      <c r="O6534">
        <v>111.93</v>
      </c>
    </row>
    <row r="6535" spans="1:15" x14ac:dyDescent="0.35">
      <c r="A6535" t="s">
        <v>7124</v>
      </c>
      <c r="B6535" t="s">
        <v>7125</v>
      </c>
      <c r="C6535" t="s">
        <v>1477</v>
      </c>
      <c r="D6535" t="s">
        <v>323</v>
      </c>
      <c r="E6535" t="s">
        <v>300</v>
      </c>
      <c r="F6535" t="s">
        <v>7147</v>
      </c>
      <c r="G6535">
        <v>143</v>
      </c>
      <c r="H6535">
        <v>17849.59</v>
      </c>
      <c r="I6535">
        <v>124.82</v>
      </c>
      <c r="J6535">
        <v>0</v>
      </c>
      <c r="K6535">
        <v>0</v>
      </c>
      <c r="L6535">
        <v>0</v>
      </c>
      <c r="M6535">
        <v>143</v>
      </c>
      <c r="N6535">
        <v>17849.59</v>
      </c>
      <c r="O6535">
        <v>124.82</v>
      </c>
    </row>
    <row r="6536" spans="1:15" x14ac:dyDescent="0.35">
      <c r="A6536" t="s">
        <v>7124</v>
      </c>
      <c r="B6536" t="s">
        <v>7125</v>
      </c>
      <c r="C6536" t="s">
        <v>1477</v>
      </c>
      <c r="D6536" t="s">
        <v>323</v>
      </c>
      <c r="E6536" t="s">
        <v>302</v>
      </c>
      <c r="F6536" t="s">
        <v>7148</v>
      </c>
      <c r="G6536">
        <v>15</v>
      </c>
      <c r="H6536">
        <v>1873.31</v>
      </c>
      <c r="I6536">
        <v>124.89</v>
      </c>
      <c r="J6536">
        <v>0</v>
      </c>
      <c r="K6536">
        <v>0</v>
      </c>
      <c r="L6536">
        <v>0</v>
      </c>
      <c r="M6536">
        <v>15</v>
      </c>
      <c r="N6536">
        <v>1873.31</v>
      </c>
      <c r="O6536">
        <v>124.89</v>
      </c>
    </row>
    <row r="6537" spans="1:15" x14ac:dyDescent="0.35">
      <c r="A6537" t="s">
        <v>7124</v>
      </c>
      <c r="B6537" t="s">
        <v>7125</v>
      </c>
      <c r="C6537" t="s">
        <v>1477</v>
      </c>
      <c r="D6537" t="s">
        <v>323</v>
      </c>
      <c r="E6537" t="s">
        <v>304</v>
      </c>
      <c r="F6537" t="s">
        <v>7149</v>
      </c>
      <c r="G6537">
        <v>3</v>
      </c>
      <c r="H6537">
        <v>393.68999999999994</v>
      </c>
      <c r="I6537">
        <v>131.22999999999999</v>
      </c>
      <c r="J6537">
        <v>0</v>
      </c>
      <c r="K6537">
        <v>0</v>
      </c>
      <c r="L6537">
        <v>0</v>
      </c>
      <c r="M6537">
        <v>3</v>
      </c>
      <c r="N6537">
        <v>393.68999999999994</v>
      </c>
      <c r="O6537">
        <v>131.22999999999999</v>
      </c>
    </row>
    <row r="6538" spans="1:15" x14ac:dyDescent="0.35">
      <c r="A6538" t="s">
        <v>7124</v>
      </c>
      <c r="B6538" t="s">
        <v>7125</v>
      </c>
      <c r="C6538" t="s">
        <v>1477</v>
      </c>
      <c r="D6538" t="s">
        <v>323</v>
      </c>
      <c r="E6538" t="s">
        <v>306</v>
      </c>
      <c r="F6538" t="s">
        <v>7150</v>
      </c>
      <c r="G6538">
        <v>47</v>
      </c>
      <c r="H6538">
        <v>3870.69</v>
      </c>
      <c r="I6538">
        <v>82.36</v>
      </c>
      <c r="J6538">
        <v>0</v>
      </c>
      <c r="K6538">
        <v>0</v>
      </c>
      <c r="L6538">
        <v>0</v>
      </c>
      <c r="M6538">
        <v>47</v>
      </c>
      <c r="N6538">
        <v>3870.69</v>
      </c>
      <c r="O6538">
        <v>82.36</v>
      </c>
    </row>
    <row r="6539" spans="1:15" x14ac:dyDescent="0.35">
      <c r="A6539" t="s">
        <v>7124</v>
      </c>
      <c r="B6539" t="s">
        <v>7125</v>
      </c>
      <c r="C6539" t="s">
        <v>1477</v>
      </c>
      <c r="D6539" t="s">
        <v>323</v>
      </c>
      <c r="E6539" t="s">
        <v>308</v>
      </c>
      <c r="F6539" t="s">
        <v>7151</v>
      </c>
      <c r="G6539">
        <v>22</v>
      </c>
      <c r="H6539">
        <v>1296.46</v>
      </c>
      <c r="I6539">
        <v>58.93</v>
      </c>
      <c r="J6539">
        <v>0</v>
      </c>
      <c r="K6539">
        <v>0</v>
      </c>
      <c r="L6539">
        <v>0</v>
      </c>
      <c r="M6539">
        <v>22</v>
      </c>
      <c r="N6539">
        <v>1296.46</v>
      </c>
      <c r="O6539">
        <v>58.93</v>
      </c>
    </row>
    <row r="6540" spans="1:15" x14ac:dyDescent="0.35">
      <c r="A6540" t="s">
        <v>7124</v>
      </c>
      <c r="B6540" t="s">
        <v>7125</v>
      </c>
      <c r="C6540" t="s">
        <v>1477</v>
      </c>
      <c r="D6540" t="s">
        <v>323</v>
      </c>
      <c r="E6540" t="s">
        <v>310</v>
      </c>
      <c r="F6540" t="s">
        <v>7152</v>
      </c>
      <c r="G6540">
        <v>7630</v>
      </c>
      <c r="H6540">
        <v>786897.19999999984</v>
      </c>
      <c r="I6540">
        <v>103.13</v>
      </c>
      <c r="J6540">
        <v>0</v>
      </c>
      <c r="K6540">
        <v>0</v>
      </c>
      <c r="L6540">
        <v>0</v>
      </c>
      <c r="M6540">
        <v>7630</v>
      </c>
      <c r="N6540">
        <v>786897.19999999984</v>
      </c>
      <c r="O6540">
        <v>103.13</v>
      </c>
    </row>
    <row r="6541" spans="1:15" x14ac:dyDescent="0.35">
      <c r="A6541" t="s">
        <v>7124</v>
      </c>
      <c r="B6541" t="s">
        <v>7125</v>
      </c>
      <c r="C6541" t="s">
        <v>1477</v>
      </c>
      <c r="D6541" t="s">
        <v>323</v>
      </c>
      <c r="E6541" t="s">
        <v>312</v>
      </c>
      <c r="F6541" t="s">
        <v>7153</v>
      </c>
      <c r="G6541">
        <v>7608</v>
      </c>
      <c r="H6541">
        <v>785600.73999999987</v>
      </c>
      <c r="I6541">
        <v>103.26</v>
      </c>
      <c r="J6541">
        <v>0</v>
      </c>
      <c r="K6541">
        <v>0</v>
      </c>
      <c r="L6541">
        <v>0</v>
      </c>
      <c r="M6541">
        <v>7608</v>
      </c>
      <c r="N6541">
        <v>785600.73999999987</v>
      </c>
      <c r="O6541">
        <v>103.26</v>
      </c>
    </row>
    <row r="6542" spans="1:15" x14ac:dyDescent="0.35">
      <c r="A6542" t="s">
        <v>7124</v>
      </c>
      <c r="B6542" t="s">
        <v>7125</v>
      </c>
      <c r="C6542" t="s">
        <v>1477</v>
      </c>
      <c r="D6542" t="s">
        <v>334</v>
      </c>
      <c r="E6542" t="s">
        <v>312</v>
      </c>
      <c r="F6542" t="s">
        <v>7154</v>
      </c>
      <c r="G6542">
        <v>8636</v>
      </c>
      <c r="H6542">
        <v>908433.2899999998</v>
      </c>
      <c r="I6542">
        <v>106.79</v>
      </c>
      <c r="J6542">
        <v>7</v>
      </c>
      <c r="K6542">
        <v>1189.5999999999999</v>
      </c>
      <c r="L6542">
        <v>169.94</v>
      </c>
      <c r="M6542">
        <v>8643</v>
      </c>
      <c r="N6542">
        <v>909622.88999999978</v>
      </c>
      <c r="O6542">
        <v>106.84</v>
      </c>
    </row>
    <row r="6543" spans="1:15" x14ac:dyDescent="0.35">
      <c r="A6543" t="s">
        <v>7124</v>
      </c>
      <c r="B6543" t="s">
        <v>7125</v>
      </c>
      <c r="C6543" t="s">
        <v>1477</v>
      </c>
      <c r="D6543" t="s">
        <v>334</v>
      </c>
      <c r="E6543" t="s">
        <v>308</v>
      </c>
      <c r="F6543" t="s">
        <v>7155</v>
      </c>
      <c r="G6543">
        <v>22</v>
      </c>
      <c r="H6543">
        <v>1296.46</v>
      </c>
      <c r="I6543">
        <v>58.93</v>
      </c>
      <c r="J6543">
        <v>0</v>
      </c>
      <c r="K6543">
        <v>0</v>
      </c>
      <c r="L6543">
        <v>0</v>
      </c>
      <c r="M6543">
        <v>22</v>
      </c>
      <c r="N6543">
        <v>1296.46</v>
      </c>
      <c r="O6543">
        <v>58.93</v>
      </c>
    </row>
    <row r="6544" spans="1:15" x14ac:dyDescent="0.35">
      <c r="A6544" t="s">
        <v>7124</v>
      </c>
      <c r="B6544" t="s">
        <v>7125</v>
      </c>
      <c r="C6544" t="s">
        <v>1477</v>
      </c>
      <c r="D6544" t="s">
        <v>337</v>
      </c>
      <c r="E6544" t="s">
        <v>337</v>
      </c>
      <c r="F6544" t="s">
        <v>7156</v>
      </c>
      <c r="G6544">
        <v>306</v>
      </c>
      <c r="J6544">
        <v>2</v>
      </c>
      <c r="M6544">
        <v>308</v>
      </c>
    </row>
    <row r="6545" spans="1:15" x14ac:dyDescent="0.35">
      <c r="A6545" t="s">
        <v>7124</v>
      </c>
      <c r="B6545" t="s">
        <v>7125</v>
      </c>
      <c r="C6545" t="s">
        <v>1477</v>
      </c>
      <c r="D6545" t="s">
        <v>339</v>
      </c>
      <c r="E6545" t="s">
        <v>294</v>
      </c>
      <c r="F6545" t="s">
        <v>7157</v>
      </c>
      <c r="G6545">
        <v>883</v>
      </c>
      <c r="H6545">
        <v>93161.469999999987</v>
      </c>
      <c r="I6545">
        <v>105.51</v>
      </c>
      <c r="J6545">
        <v>0</v>
      </c>
      <c r="K6545">
        <v>0</v>
      </c>
      <c r="L6545">
        <v>0</v>
      </c>
      <c r="M6545">
        <v>883</v>
      </c>
      <c r="N6545">
        <v>93161.469999999987</v>
      </c>
      <c r="O6545">
        <v>105.51</v>
      </c>
    </row>
    <row r="6546" spans="1:15" x14ac:dyDescent="0.35">
      <c r="A6546" t="s">
        <v>7124</v>
      </c>
      <c r="B6546" t="s">
        <v>7125</v>
      </c>
      <c r="C6546" t="s">
        <v>1477</v>
      </c>
      <c r="D6546" t="s">
        <v>339</v>
      </c>
      <c r="E6546" t="s">
        <v>296</v>
      </c>
      <c r="F6546" t="s">
        <v>7158</v>
      </c>
      <c r="G6546">
        <v>148</v>
      </c>
      <c r="H6546">
        <v>17035.7</v>
      </c>
      <c r="I6546">
        <v>115.11</v>
      </c>
      <c r="J6546">
        <v>0</v>
      </c>
      <c r="K6546">
        <v>0</v>
      </c>
      <c r="L6546">
        <v>0</v>
      </c>
      <c r="M6546">
        <v>148</v>
      </c>
      <c r="N6546">
        <v>17035.7</v>
      </c>
      <c r="O6546">
        <v>115.11</v>
      </c>
    </row>
    <row r="6547" spans="1:15" x14ac:dyDescent="0.35">
      <c r="A6547" t="s">
        <v>7124</v>
      </c>
      <c r="B6547" t="s">
        <v>7125</v>
      </c>
      <c r="C6547" t="s">
        <v>1477</v>
      </c>
      <c r="D6547" t="s">
        <v>339</v>
      </c>
      <c r="E6547" t="s">
        <v>298</v>
      </c>
      <c r="F6547" t="s">
        <v>7159</v>
      </c>
      <c r="G6547">
        <v>9</v>
      </c>
      <c r="H6547">
        <v>1109.97</v>
      </c>
      <c r="I6547">
        <v>123.33</v>
      </c>
      <c r="J6547">
        <v>0</v>
      </c>
      <c r="K6547">
        <v>0</v>
      </c>
      <c r="L6547">
        <v>0</v>
      </c>
      <c r="M6547">
        <v>9</v>
      </c>
      <c r="N6547">
        <v>1109.97</v>
      </c>
      <c r="O6547">
        <v>123.33</v>
      </c>
    </row>
    <row r="6548" spans="1:15" x14ac:dyDescent="0.35">
      <c r="A6548" t="s">
        <v>7124</v>
      </c>
      <c r="B6548" t="s">
        <v>7125</v>
      </c>
      <c r="C6548" t="s">
        <v>1477</v>
      </c>
      <c r="D6548" t="s">
        <v>339</v>
      </c>
      <c r="E6548" t="s">
        <v>300</v>
      </c>
      <c r="F6548" t="s">
        <v>7160</v>
      </c>
      <c r="G6548">
        <v>0</v>
      </c>
      <c r="H6548">
        <v>0</v>
      </c>
      <c r="I6548">
        <v>0</v>
      </c>
      <c r="J6548">
        <v>0</v>
      </c>
      <c r="K6548">
        <v>0</v>
      </c>
      <c r="L6548">
        <v>0</v>
      </c>
      <c r="M6548">
        <v>0</v>
      </c>
      <c r="N6548">
        <v>0</v>
      </c>
      <c r="O6548">
        <v>0</v>
      </c>
    </row>
    <row r="6549" spans="1:15" x14ac:dyDescent="0.35">
      <c r="A6549" t="s">
        <v>7124</v>
      </c>
      <c r="B6549" t="s">
        <v>7125</v>
      </c>
      <c r="C6549" t="s">
        <v>1477</v>
      </c>
      <c r="D6549" t="s">
        <v>339</v>
      </c>
      <c r="E6549" t="s">
        <v>306</v>
      </c>
      <c r="F6549" t="s">
        <v>7161</v>
      </c>
      <c r="G6549">
        <v>89</v>
      </c>
      <c r="H6549">
        <v>8312.1899999999987</v>
      </c>
      <c r="I6549">
        <v>93.4</v>
      </c>
      <c r="J6549">
        <v>0</v>
      </c>
      <c r="K6549">
        <v>0</v>
      </c>
      <c r="L6549">
        <v>0</v>
      </c>
      <c r="M6549">
        <v>89</v>
      </c>
      <c r="N6549">
        <v>8312.1899999999987</v>
      </c>
      <c r="O6549">
        <v>93.4</v>
      </c>
    </row>
    <row r="6550" spans="1:15" x14ac:dyDescent="0.35">
      <c r="A6550" t="s">
        <v>7124</v>
      </c>
      <c r="B6550" t="s">
        <v>7125</v>
      </c>
      <c r="C6550" t="s">
        <v>1477</v>
      </c>
      <c r="D6550" t="s">
        <v>339</v>
      </c>
      <c r="E6550" t="s">
        <v>308</v>
      </c>
      <c r="F6550" t="s">
        <v>7162</v>
      </c>
      <c r="G6550">
        <v>82</v>
      </c>
      <c r="H6550">
        <v>12802.06</v>
      </c>
      <c r="I6550">
        <v>156.12</v>
      </c>
      <c r="J6550">
        <v>0</v>
      </c>
      <c r="K6550">
        <v>0</v>
      </c>
      <c r="L6550">
        <v>0</v>
      </c>
      <c r="M6550">
        <v>82</v>
      </c>
      <c r="N6550">
        <v>12802.06</v>
      </c>
      <c r="O6550">
        <v>156.12</v>
      </c>
    </row>
    <row r="6551" spans="1:15" x14ac:dyDescent="0.35">
      <c r="A6551" t="s">
        <v>7124</v>
      </c>
      <c r="B6551" t="s">
        <v>7125</v>
      </c>
      <c r="C6551" t="s">
        <v>1477</v>
      </c>
      <c r="D6551" t="s">
        <v>339</v>
      </c>
      <c r="E6551" t="s">
        <v>310</v>
      </c>
      <c r="F6551" t="s">
        <v>7163</v>
      </c>
      <c r="G6551">
        <v>1211</v>
      </c>
      <c r="H6551">
        <v>132421.38999999998</v>
      </c>
      <c r="I6551">
        <v>109.35</v>
      </c>
      <c r="J6551">
        <v>0</v>
      </c>
      <c r="K6551">
        <v>0</v>
      </c>
      <c r="L6551">
        <v>0</v>
      </c>
      <c r="M6551">
        <v>1211</v>
      </c>
      <c r="N6551">
        <v>132421.38999999998</v>
      </c>
      <c r="O6551">
        <v>109.35</v>
      </c>
    </row>
    <row r="6552" spans="1:15" x14ac:dyDescent="0.35">
      <c r="A6552" t="s">
        <v>7124</v>
      </c>
      <c r="B6552" t="s">
        <v>7125</v>
      </c>
      <c r="C6552" t="s">
        <v>1477</v>
      </c>
      <c r="D6552" t="s">
        <v>339</v>
      </c>
      <c r="E6552" t="s">
        <v>312</v>
      </c>
      <c r="F6552" t="s">
        <v>7164</v>
      </c>
      <c r="G6552">
        <v>1129</v>
      </c>
      <c r="H6552">
        <v>119619.32999999999</v>
      </c>
      <c r="I6552">
        <v>105.95</v>
      </c>
      <c r="J6552">
        <v>0</v>
      </c>
      <c r="K6552">
        <v>0</v>
      </c>
      <c r="L6552">
        <v>0</v>
      </c>
      <c r="M6552">
        <v>1129</v>
      </c>
      <c r="N6552">
        <v>119619.32999999999</v>
      </c>
      <c r="O6552">
        <v>105.95</v>
      </c>
    </row>
    <row r="6553" spans="1:15" x14ac:dyDescent="0.35">
      <c r="A6553" t="s">
        <v>7124</v>
      </c>
      <c r="B6553" t="s">
        <v>7125</v>
      </c>
      <c r="C6553" t="s">
        <v>1477</v>
      </c>
      <c r="D6553" t="s">
        <v>348</v>
      </c>
      <c r="E6553" t="s">
        <v>349</v>
      </c>
      <c r="F6553" t="s">
        <v>7165</v>
      </c>
      <c r="G6553">
        <v>1281</v>
      </c>
      <c r="H6553">
        <v>134948.22999999998</v>
      </c>
      <c r="I6553">
        <v>109.45</v>
      </c>
      <c r="J6553">
        <v>0</v>
      </c>
      <c r="K6553">
        <v>0</v>
      </c>
      <c r="L6553">
        <v>0</v>
      </c>
      <c r="M6553">
        <v>1281</v>
      </c>
      <c r="N6553">
        <v>134948.22999999998</v>
      </c>
      <c r="O6553">
        <v>109.45</v>
      </c>
    </row>
    <row r="6554" spans="1:15" x14ac:dyDescent="0.35">
      <c r="A6554" t="s">
        <v>7166</v>
      </c>
      <c r="B6554" t="s">
        <v>7167</v>
      </c>
      <c r="C6554" t="s">
        <v>1477</v>
      </c>
      <c r="D6554" t="s">
        <v>293</v>
      </c>
      <c r="E6554" t="s">
        <v>294</v>
      </c>
      <c r="F6554" t="s">
        <v>7168</v>
      </c>
      <c r="G6554">
        <v>262</v>
      </c>
      <c r="H6554">
        <v>30458.449999999997</v>
      </c>
      <c r="I6554">
        <v>116.25</v>
      </c>
      <c r="J6554">
        <v>5</v>
      </c>
      <c r="K6554">
        <v>623.35</v>
      </c>
      <c r="L6554">
        <v>124.67</v>
      </c>
      <c r="M6554">
        <v>267</v>
      </c>
      <c r="N6554">
        <v>31081.799999999996</v>
      </c>
      <c r="O6554">
        <v>116.41</v>
      </c>
    </row>
    <row r="6555" spans="1:15" x14ac:dyDescent="0.35">
      <c r="A6555" t="s">
        <v>7166</v>
      </c>
      <c r="B6555" t="s">
        <v>7167</v>
      </c>
      <c r="C6555" t="s">
        <v>1477</v>
      </c>
      <c r="D6555" t="s">
        <v>293</v>
      </c>
      <c r="E6555" t="s">
        <v>296</v>
      </c>
      <c r="F6555" t="s">
        <v>7169</v>
      </c>
      <c r="G6555">
        <v>424</v>
      </c>
      <c r="H6555">
        <v>57448.130000000005</v>
      </c>
      <c r="I6555">
        <v>135.49</v>
      </c>
      <c r="J6555">
        <v>0</v>
      </c>
      <c r="K6555">
        <v>0</v>
      </c>
      <c r="L6555">
        <v>0</v>
      </c>
      <c r="M6555">
        <v>424</v>
      </c>
      <c r="N6555">
        <v>57448.130000000005</v>
      </c>
      <c r="O6555">
        <v>135.49</v>
      </c>
    </row>
    <row r="6556" spans="1:15" x14ac:dyDescent="0.35">
      <c r="A6556" t="s">
        <v>7166</v>
      </c>
      <c r="B6556" t="s">
        <v>7167</v>
      </c>
      <c r="C6556" t="s">
        <v>1477</v>
      </c>
      <c r="D6556" t="s">
        <v>293</v>
      </c>
      <c r="E6556" t="s">
        <v>298</v>
      </c>
      <c r="F6556" t="s">
        <v>7170</v>
      </c>
      <c r="G6556">
        <v>121</v>
      </c>
      <c r="H6556">
        <v>19287.129999999997</v>
      </c>
      <c r="I6556">
        <v>159.4</v>
      </c>
      <c r="J6556">
        <v>0</v>
      </c>
      <c r="K6556">
        <v>0</v>
      </c>
      <c r="L6556">
        <v>0</v>
      </c>
      <c r="M6556">
        <v>121</v>
      </c>
      <c r="N6556">
        <v>19287.129999999997</v>
      </c>
      <c r="O6556">
        <v>159.4</v>
      </c>
    </row>
    <row r="6557" spans="1:15" x14ac:dyDescent="0.35">
      <c r="A6557" t="s">
        <v>7166</v>
      </c>
      <c r="B6557" t="s">
        <v>7167</v>
      </c>
      <c r="C6557" t="s">
        <v>1477</v>
      </c>
      <c r="D6557" t="s">
        <v>293</v>
      </c>
      <c r="E6557" t="s">
        <v>300</v>
      </c>
      <c r="F6557" t="s">
        <v>7171</v>
      </c>
      <c r="G6557">
        <v>28</v>
      </c>
      <c r="H6557">
        <v>5624.03</v>
      </c>
      <c r="I6557">
        <v>200.86</v>
      </c>
      <c r="J6557">
        <v>0</v>
      </c>
      <c r="K6557">
        <v>0</v>
      </c>
      <c r="L6557">
        <v>0</v>
      </c>
      <c r="M6557">
        <v>28</v>
      </c>
      <c r="N6557">
        <v>5624.03</v>
      </c>
      <c r="O6557">
        <v>200.86</v>
      </c>
    </row>
    <row r="6558" spans="1:15" x14ac:dyDescent="0.35">
      <c r="A6558" t="s">
        <v>7166</v>
      </c>
      <c r="B6558" t="s">
        <v>7167</v>
      </c>
      <c r="C6558" t="s">
        <v>1477</v>
      </c>
      <c r="D6558" t="s">
        <v>293</v>
      </c>
      <c r="E6558" t="s">
        <v>302</v>
      </c>
      <c r="F6558" t="s">
        <v>7172</v>
      </c>
      <c r="G6558">
        <v>1</v>
      </c>
      <c r="H6558">
        <v>181.31</v>
      </c>
      <c r="I6558">
        <v>181.31</v>
      </c>
      <c r="J6558">
        <v>0</v>
      </c>
      <c r="K6558">
        <v>0</v>
      </c>
      <c r="L6558">
        <v>0</v>
      </c>
      <c r="M6558">
        <v>1</v>
      </c>
      <c r="N6558">
        <v>181.31</v>
      </c>
      <c r="O6558">
        <v>181.31</v>
      </c>
    </row>
    <row r="6559" spans="1:15" x14ac:dyDescent="0.35">
      <c r="A6559" t="s">
        <v>7166</v>
      </c>
      <c r="B6559" t="s">
        <v>7167</v>
      </c>
      <c r="C6559" t="s">
        <v>1477</v>
      </c>
      <c r="D6559" t="s">
        <v>293</v>
      </c>
      <c r="E6559" t="s">
        <v>304</v>
      </c>
      <c r="F6559" t="s">
        <v>7173</v>
      </c>
      <c r="G6559">
        <v>0</v>
      </c>
      <c r="H6559">
        <v>0</v>
      </c>
      <c r="I6559">
        <v>0</v>
      </c>
      <c r="J6559">
        <v>0</v>
      </c>
      <c r="K6559">
        <v>0</v>
      </c>
      <c r="L6559">
        <v>0</v>
      </c>
      <c r="M6559">
        <v>0</v>
      </c>
      <c r="N6559">
        <v>0</v>
      </c>
      <c r="O6559">
        <v>0</v>
      </c>
    </row>
    <row r="6560" spans="1:15" x14ac:dyDescent="0.35">
      <c r="A6560" t="s">
        <v>7166</v>
      </c>
      <c r="B6560" t="s">
        <v>7167</v>
      </c>
      <c r="C6560" t="s">
        <v>1477</v>
      </c>
      <c r="D6560" t="s">
        <v>293</v>
      </c>
      <c r="E6560" t="s">
        <v>306</v>
      </c>
      <c r="F6560" t="s">
        <v>7174</v>
      </c>
      <c r="G6560">
        <v>0</v>
      </c>
      <c r="H6560">
        <v>0</v>
      </c>
      <c r="I6560">
        <v>0</v>
      </c>
      <c r="J6560">
        <v>0</v>
      </c>
      <c r="K6560">
        <v>0</v>
      </c>
      <c r="L6560">
        <v>0</v>
      </c>
      <c r="M6560">
        <v>0</v>
      </c>
      <c r="N6560">
        <v>0</v>
      </c>
      <c r="O6560">
        <v>0</v>
      </c>
    </row>
    <row r="6561" spans="1:15" x14ac:dyDescent="0.35">
      <c r="A6561" t="s">
        <v>7166</v>
      </c>
      <c r="B6561" t="s">
        <v>7167</v>
      </c>
      <c r="C6561" t="s">
        <v>1477</v>
      </c>
      <c r="D6561" t="s">
        <v>293</v>
      </c>
      <c r="E6561" t="s">
        <v>308</v>
      </c>
      <c r="F6561" t="s">
        <v>7175</v>
      </c>
      <c r="G6561">
        <v>0</v>
      </c>
      <c r="H6561">
        <v>0</v>
      </c>
      <c r="I6561">
        <v>0</v>
      </c>
      <c r="J6561">
        <v>0</v>
      </c>
      <c r="K6561">
        <v>0</v>
      </c>
      <c r="L6561">
        <v>0</v>
      </c>
      <c r="M6561">
        <v>0</v>
      </c>
      <c r="N6561">
        <v>0</v>
      </c>
      <c r="O6561">
        <v>0</v>
      </c>
    </row>
    <row r="6562" spans="1:15" x14ac:dyDescent="0.35">
      <c r="A6562" t="s">
        <v>7166</v>
      </c>
      <c r="B6562" t="s">
        <v>7167</v>
      </c>
      <c r="C6562" t="s">
        <v>1477</v>
      </c>
      <c r="D6562" t="s">
        <v>293</v>
      </c>
      <c r="E6562" t="s">
        <v>310</v>
      </c>
      <c r="F6562" t="s">
        <v>7176</v>
      </c>
      <c r="G6562">
        <v>836</v>
      </c>
      <c r="H6562">
        <v>112999.04999999999</v>
      </c>
      <c r="I6562">
        <v>135.16999999999999</v>
      </c>
      <c r="J6562">
        <v>5</v>
      </c>
      <c r="K6562">
        <v>623.35</v>
      </c>
      <c r="L6562">
        <v>124.67</v>
      </c>
      <c r="M6562">
        <v>841</v>
      </c>
      <c r="N6562">
        <v>113622.39999999999</v>
      </c>
      <c r="O6562">
        <v>135.1</v>
      </c>
    </row>
    <row r="6563" spans="1:15" x14ac:dyDescent="0.35">
      <c r="A6563" t="s">
        <v>7166</v>
      </c>
      <c r="B6563" t="s">
        <v>7167</v>
      </c>
      <c r="C6563" t="s">
        <v>1477</v>
      </c>
      <c r="D6563" t="s">
        <v>293</v>
      </c>
      <c r="E6563" t="s">
        <v>312</v>
      </c>
      <c r="F6563" t="s">
        <v>7177</v>
      </c>
      <c r="G6563">
        <v>836</v>
      </c>
      <c r="H6563">
        <v>112999.04999999999</v>
      </c>
      <c r="I6563">
        <v>135.16999999999999</v>
      </c>
      <c r="J6563">
        <v>5</v>
      </c>
      <c r="K6563">
        <v>623.35</v>
      </c>
      <c r="L6563">
        <v>124.67</v>
      </c>
      <c r="M6563">
        <v>841</v>
      </c>
      <c r="N6563">
        <v>113622.39999999999</v>
      </c>
      <c r="O6563">
        <v>135.1</v>
      </c>
    </row>
    <row r="6564" spans="1:15" x14ac:dyDescent="0.35">
      <c r="A6564" t="s">
        <v>7166</v>
      </c>
      <c r="B6564" t="s">
        <v>7167</v>
      </c>
      <c r="C6564" t="s">
        <v>1477</v>
      </c>
      <c r="D6564" t="s">
        <v>314</v>
      </c>
      <c r="E6564" t="s">
        <v>294</v>
      </c>
      <c r="F6564" t="s">
        <v>7178</v>
      </c>
      <c r="G6564">
        <v>0</v>
      </c>
      <c r="H6564">
        <v>0</v>
      </c>
      <c r="I6564">
        <v>0</v>
      </c>
      <c r="J6564">
        <v>0</v>
      </c>
      <c r="K6564">
        <v>0</v>
      </c>
      <c r="L6564">
        <v>0</v>
      </c>
      <c r="M6564">
        <v>0</v>
      </c>
      <c r="N6564">
        <v>0</v>
      </c>
      <c r="O6564">
        <v>0</v>
      </c>
    </row>
    <row r="6565" spans="1:15" x14ac:dyDescent="0.35">
      <c r="A6565" t="s">
        <v>7166</v>
      </c>
      <c r="B6565" t="s">
        <v>7167</v>
      </c>
      <c r="C6565" t="s">
        <v>1477</v>
      </c>
      <c r="D6565" t="s">
        <v>314</v>
      </c>
      <c r="E6565" t="s">
        <v>296</v>
      </c>
      <c r="F6565" t="s">
        <v>7179</v>
      </c>
      <c r="G6565">
        <v>0</v>
      </c>
      <c r="H6565">
        <v>0</v>
      </c>
      <c r="I6565">
        <v>0</v>
      </c>
      <c r="J6565">
        <v>0</v>
      </c>
      <c r="K6565">
        <v>0</v>
      </c>
      <c r="L6565">
        <v>0</v>
      </c>
      <c r="M6565">
        <v>0</v>
      </c>
      <c r="N6565">
        <v>0</v>
      </c>
      <c r="O6565">
        <v>0</v>
      </c>
    </row>
    <row r="6566" spans="1:15" x14ac:dyDescent="0.35">
      <c r="A6566" t="s">
        <v>7166</v>
      </c>
      <c r="B6566" t="s">
        <v>7167</v>
      </c>
      <c r="C6566" t="s">
        <v>1477</v>
      </c>
      <c r="D6566" t="s">
        <v>314</v>
      </c>
      <c r="E6566" t="s">
        <v>298</v>
      </c>
      <c r="F6566" t="s">
        <v>7180</v>
      </c>
      <c r="G6566">
        <v>0</v>
      </c>
      <c r="H6566">
        <v>0</v>
      </c>
      <c r="I6566">
        <v>0</v>
      </c>
      <c r="J6566">
        <v>0</v>
      </c>
      <c r="K6566">
        <v>0</v>
      </c>
      <c r="L6566">
        <v>0</v>
      </c>
      <c r="M6566">
        <v>0</v>
      </c>
      <c r="N6566">
        <v>0</v>
      </c>
      <c r="O6566">
        <v>0</v>
      </c>
    </row>
    <row r="6567" spans="1:15" x14ac:dyDescent="0.35">
      <c r="A6567" t="s">
        <v>7166</v>
      </c>
      <c r="B6567" t="s">
        <v>7167</v>
      </c>
      <c r="C6567" t="s">
        <v>1477</v>
      </c>
      <c r="D6567" t="s">
        <v>314</v>
      </c>
      <c r="E6567" t="s">
        <v>300</v>
      </c>
      <c r="F6567" t="s">
        <v>7181</v>
      </c>
      <c r="G6567">
        <v>0</v>
      </c>
      <c r="H6567">
        <v>0</v>
      </c>
      <c r="I6567">
        <v>0</v>
      </c>
      <c r="J6567">
        <v>0</v>
      </c>
      <c r="K6567">
        <v>0</v>
      </c>
      <c r="L6567">
        <v>0</v>
      </c>
      <c r="M6567">
        <v>0</v>
      </c>
      <c r="N6567">
        <v>0</v>
      </c>
      <c r="O6567">
        <v>0</v>
      </c>
    </row>
    <row r="6568" spans="1:15" x14ac:dyDescent="0.35">
      <c r="A6568" t="s">
        <v>7166</v>
      </c>
      <c r="B6568" t="s">
        <v>7167</v>
      </c>
      <c r="C6568" t="s">
        <v>1477</v>
      </c>
      <c r="D6568" t="s">
        <v>314</v>
      </c>
      <c r="E6568" t="s">
        <v>306</v>
      </c>
      <c r="F6568" t="s">
        <v>7182</v>
      </c>
      <c r="G6568">
        <v>0</v>
      </c>
      <c r="H6568">
        <v>0</v>
      </c>
      <c r="I6568">
        <v>0</v>
      </c>
      <c r="J6568">
        <v>0</v>
      </c>
      <c r="K6568">
        <v>0</v>
      </c>
      <c r="L6568">
        <v>0</v>
      </c>
      <c r="M6568">
        <v>0</v>
      </c>
      <c r="N6568">
        <v>0</v>
      </c>
      <c r="O6568">
        <v>0</v>
      </c>
    </row>
    <row r="6569" spans="1:15" x14ac:dyDescent="0.35">
      <c r="A6569" t="s">
        <v>7166</v>
      </c>
      <c r="B6569" t="s">
        <v>7167</v>
      </c>
      <c r="C6569" t="s">
        <v>1477</v>
      </c>
      <c r="D6569" t="s">
        <v>314</v>
      </c>
      <c r="E6569" t="s">
        <v>308</v>
      </c>
      <c r="F6569" t="s">
        <v>7183</v>
      </c>
      <c r="G6569">
        <v>0</v>
      </c>
      <c r="H6569">
        <v>0</v>
      </c>
      <c r="I6569">
        <v>0</v>
      </c>
      <c r="J6569">
        <v>0</v>
      </c>
      <c r="K6569">
        <v>0</v>
      </c>
      <c r="L6569">
        <v>0</v>
      </c>
      <c r="M6569">
        <v>0</v>
      </c>
      <c r="N6569">
        <v>0</v>
      </c>
      <c r="O6569">
        <v>0</v>
      </c>
    </row>
    <row r="6570" spans="1:15" x14ac:dyDescent="0.35">
      <c r="A6570" t="s">
        <v>7166</v>
      </c>
      <c r="B6570" t="s">
        <v>7167</v>
      </c>
      <c r="C6570" t="s">
        <v>1477</v>
      </c>
      <c r="D6570" t="s">
        <v>314</v>
      </c>
      <c r="E6570" t="s">
        <v>312</v>
      </c>
      <c r="F6570" t="s">
        <v>7184</v>
      </c>
      <c r="G6570">
        <v>0</v>
      </c>
      <c r="H6570">
        <v>0</v>
      </c>
      <c r="I6570">
        <v>0</v>
      </c>
      <c r="J6570">
        <v>0</v>
      </c>
      <c r="K6570">
        <v>0</v>
      </c>
      <c r="L6570">
        <v>0</v>
      </c>
      <c r="M6570">
        <v>0</v>
      </c>
      <c r="N6570">
        <v>0</v>
      </c>
      <c r="O6570">
        <v>0</v>
      </c>
    </row>
    <row r="6571" spans="1:15" x14ac:dyDescent="0.35">
      <c r="A6571" t="s">
        <v>7166</v>
      </c>
      <c r="B6571" t="s">
        <v>7167</v>
      </c>
      <c r="C6571" t="s">
        <v>1477</v>
      </c>
      <c r="D6571" t="s">
        <v>314</v>
      </c>
      <c r="E6571" t="s">
        <v>310</v>
      </c>
      <c r="F6571" t="s">
        <v>7185</v>
      </c>
      <c r="G6571">
        <v>0</v>
      </c>
      <c r="H6571">
        <v>0</v>
      </c>
      <c r="I6571">
        <v>0</v>
      </c>
      <c r="J6571">
        <v>0</v>
      </c>
      <c r="K6571">
        <v>0</v>
      </c>
      <c r="L6571">
        <v>0</v>
      </c>
      <c r="M6571">
        <v>0</v>
      </c>
      <c r="N6571">
        <v>0</v>
      </c>
      <c r="O6571">
        <v>0</v>
      </c>
    </row>
    <row r="6572" spans="1:15" x14ac:dyDescent="0.35">
      <c r="A6572" t="s">
        <v>7166</v>
      </c>
      <c r="B6572" t="s">
        <v>7167</v>
      </c>
      <c r="C6572" t="s">
        <v>1477</v>
      </c>
      <c r="D6572" t="s">
        <v>323</v>
      </c>
      <c r="E6572" t="s">
        <v>294</v>
      </c>
      <c r="F6572" t="s">
        <v>7186</v>
      </c>
      <c r="G6572">
        <v>864</v>
      </c>
      <c r="H6572">
        <v>79720.240000000005</v>
      </c>
      <c r="I6572">
        <v>92.27</v>
      </c>
      <c r="J6572">
        <v>0</v>
      </c>
      <c r="K6572">
        <v>0</v>
      </c>
      <c r="L6572">
        <v>0</v>
      </c>
      <c r="M6572">
        <v>864</v>
      </c>
      <c r="N6572">
        <v>79720.240000000005</v>
      </c>
      <c r="O6572">
        <v>92.27</v>
      </c>
    </row>
    <row r="6573" spans="1:15" x14ac:dyDescent="0.35">
      <c r="A6573" t="s">
        <v>7166</v>
      </c>
      <c r="B6573" t="s">
        <v>7167</v>
      </c>
      <c r="C6573" t="s">
        <v>1477</v>
      </c>
      <c r="D6573" t="s">
        <v>323</v>
      </c>
      <c r="E6573" t="s">
        <v>296</v>
      </c>
      <c r="F6573" t="s">
        <v>7187</v>
      </c>
      <c r="G6573">
        <v>2270</v>
      </c>
      <c r="H6573">
        <v>242555.95</v>
      </c>
      <c r="I6573">
        <v>106.85</v>
      </c>
      <c r="J6573">
        <v>0</v>
      </c>
      <c r="K6573">
        <v>0</v>
      </c>
      <c r="L6573">
        <v>0</v>
      </c>
      <c r="M6573">
        <v>2270</v>
      </c>
      <c r="N6573">
        <v>242555.95</v>
      </c>
      <c r="O6573">
        <v>106.85</v>
      </c>
    </row>
    <row r="6574" spans="1:15" x14ac:dyDescent="0.35">
      <c r="A6574" t="s">
        <v>7166</v>
      </c>
      <c r="B6574" t="s">
        <v>7167</v>
      </c>
      <c r="C6574" t="s">
        <v>1477</v>
      </c>
      <c r="D6574" t="s">
        <v>323</v>
      </c>
      <c r="E6574" t="s">
        <v>298</v>
      </c>
      <c r="F6574" t="s">
        <v>7188</v>
      </c>
      <c r="G6574">
        <v>1829</v>
      </c>
      <c r="H6574">
        <v>210927.90999999997</v>
      </c>
      <c r="I6574">
        <v>115.32</v>
      </c>
      <c r="J6574">
        <v>0</v>
      </c>
      <c r="K6574">
        <v>0</v>
      </c>
      <c r="L6574">
        <v>0</v>
      </c>
      <c r="M6574">
        <v>1829</v>
      </c>
      <c r="N6574">
        <v>210927.90999999997</v>
      </c>
      <c r="O6574">
        <v>115.32</v>
      </c>
    </row>
    <row r="6575" spans="1:15" x14ac:dyDescent="0.35">
      <c r="A6575" t="s">
        <v>7166</v>
      </c>
      <c r="B6575" t="s">
        <v>7167</v>
      </c>
      <c r="C6575" t="s">
        <v>1477</v>
      </c>
      <c r="D6575" t="s">
        <v>323</v>
      </c>
      <c r="E6575" t="s">
        <v>300</v>
      </c>
      <c r="F6575" t="s">
        <v>7189</v>
      </c>
      <c r="G6575">
        <v>67</v>
      </c>
      <c r="H6575">
        <v>8458.0400000000009</v>
      </c>
      <c r="I6575">
        <v>126.24</v>
      </c>
      <c r="J6575">
        <v>0</v>
      </c>
      <c r="K6575">
        <v>0</v>
      </c>
      <c r="L6575">
        <v>0</v>
      </c>
      <c r="M6575">
        <v>67</v>
      </c>
      <c r="N6575">
        <v>8458.0400000000009</v>
      </c>
      <c r="O6575">
        <v>126.24</v>
      </c>
    </row>
    <row r="6576" spans="1:15" x14ac:dyDescent="0.35">
      <c r="A6576" t="s">
        <v>7166</v>
      </c>
      <c r="B6576" t="s">
        <v>7167</v>
      </c>
      <c r="C6576" t="s">
        <v>1477</v>
      </c>
      <c r="D6576" t="s">
        <v>323</v>
      </c>
      <c r="E6576" t="s">
        <v>302</v>
      </c>
      <c r="F6576" t="s">
        <v>7190</v>
      </c>
      <c r="G6576">
        <v>5</v>
      </c>
      <c r="H6576">
        <v>696.05000000000007</v>
      </c>
      <c r="I6576">
        <v>139.21</v>
      </c>
      <c r="J6576">
        <v>0</v>
      </c>
      <c r="K6576">
        <v>0</v>
      </c>
      <c r="L6576">
        <v>0</v>
      </c>
      <c r="M6576">
        <v>5</v>
      </c>
      <c r="N6576">
        <v>696.05000000000007</v>
      </c>
      <c r="O6576">
        <v>139.21</v>
      </c>
    </row>
    <row r="6577" spans="1:15" x14ac:dyDescent="0.35">
      <c r="A6577" t="s">
        <v>7166</v>
      </c>
      <c r="B6577" t="s">
        <v>7167</v>
      </c>
      <c r="C6577" t="s">
        <v>1477</v>
      </c>
      <c r="D6577" t="s">
        <v>323</v>
      </c>
      <c r="E6577" t="s">
        <v>304</v>
      </c>
      <c r="F6577" t="s">
        <v>7191</v>
      </c>
      <c r="G6577">
        <v>7</v>
      </c>
      <c r="H6577">
        <v>1108.83</v>
      </c>
      <c r="I6577">
        <v>158.4</v>
      </c>
      <c r="J6577">
        <v>0</v>
      </c>
      <c r="K6577">
        <v>0</v>
      </c>
      <c r="L6577">
        <v>0</v>
      </c>
      <c r="M6577">
        <v>7</v>
      </c>
      <c r="N6577">
        <v>1108.83</v>
      </c>
      <c r="O6577">
        <v>158.4</v>
      </c>
    </row>
    <row r="6578" spans="1:15" x14ac:dyDescent="0.35">
      <c r="A6578" t="s">
        <v>7166</v>
      </c>
      <c r="B6578" t="s">
        <v>7167</v>
      </c>
      <c r="C6578" t="s">
        <v>1477</v>
      </c>
      <c r="D6578" t="s">
        <v>323</v>
      </c>
      <c r="E6578" t="s">
        <v>306</v>
      </c>
      <c r="F6578" t="s">
        <v>7192</v>
      </c>
      <c r="G6578">
        <v>9</v>
      </c>
      <c r="H6578">
        <v>819</v>
      </c>
      <c r="I6578">
        <v>91</v>
      </c>
      <c r="J6578">
        <v>0</v>
      </c>
      <c r="K6578">
        <v>0</v>
      </c>
      <c r="L6578">
        <v>0</v>
      </c>
      <c r="M6578">
        <v>9</v>
      </c>
      <c r="N6578">
        <v>819</v>
      </c>
      <c r="O6578">
        <v>91</v>
      </c>
    </row>
    <row r="6579" spans="1:15" x14ac:dyDescent="0.35">
      <c r="A6579" t="s">
        <v>7166</v>
      </c>
      <c r="B6579" t="s">
        <v>7167</v>
      </c>
      <c r="C6579" t="s">
        <v>1477</v>
      </c>
      <c r="D6579" t="s">
        <v>323</v>
      </c>
      <c r="E6579" t="s">
        <v>308</v>
      </c>
      <c r="F6579" t="s">
        <v>7193</v>
      </c>
      <c r="G6579">
        <v>0</v>
      </c>
      <c r="H6579">
        <v>0</v>
      </c>
      <c r="I6579">
        <v>0</v>
      </c>
      <c r="J6579">
        <v>0</v>
      </c>
      <c r="K6579">
        <v>0</v>
      </c>
      <c r="L6579">
        <v>0</v>
      </c>
      <c r="M6579">
        <v>0</v>
      </c>
      <c r="N6579">
        <v>0</v>
      </c>
      <c r="O6579">
        <v>0</v>
      </c>
    </row>
    <row r="6580" spans="1:15" x14ac:dyDescent="0.35">
      <c r="A6580" t="s">
        <v>7166</v>
      </c>
      <c r="B6580" t="s">
        <v>7167</v>
      </c>
      <c r="C6580" t="s">
        <v>1477</v>
      </c>
      <c r="D6580" t="s">
        <v>323</v>
      </c>
      <c r="E6580" t="s">
        <v>310</v>
      </c>
      <c r="F6580" t="s">
        <v>7194</v>
      </c>
      <c r="G6580">
        <v>5051</v>
      </c>
      <c r="H6580">
        <v>544286.02</v>
      </c>
      <c r="I6580">
        <v>107.76</v>
      </c>
      <c r="J6580">
        <v>0</v>
      </c>
      <c r="K6580">
        <v>0</v>
      </c>
      <c r="L6580">
        <v>0</v>
      </c>
      <c r="M6580">
        <v>5051</v>
      </c>
      <c r="N6580">
        <v>544286.02</v>
      </c>
      <c r="O6580">
        <v>107.76</v>
      </c>
    </row>
    <row r="6581" spans="1:15" x14ac:dyDescent="0.35">
      <c r="A6581" t="s">
        <v>7166</v>
      </c>
      <c r="B6581" t="s">
        <v>7167</v>
      </c>
      <c r="C6581" t="s">
        <v>1477</v>
      </c>
      <c r="D6581" t="s">
        <v>323</v>
      </c>
      <c r="E6581" t="s">
        <v>312</v>
      </c>
      <c r="F6581" t="s">
        <v>7195</v>
      </c>
      <c r="G6581">
        <v>5051</v>
      </c>
      <c r="H6581">
        <v>544286.02</v>
      </c>
      <c r="I6581">
        <v>107.76</v>
      </c>
      <c r="J6581">
        <v>0</v>
      </c>
      <c r="K6581">
        <v>0</v>
      </c>
      <c r="L6581">
        <v>0</v>
      </c>
      <c r="M6581">
        <v>5051</v>
      </c>
      <c r="N6581">
        <v>544286.02</v>
      </c>
      <c r="O6581">
        <v>107.76</v>
      </c>
    </row>
    <row r="6582" spans="1:15" x14ac:dyDescent="0.35">
      <c r="A6582" t="s">
        <v>7166</v>
      </c>
      <c r="B6582" t="s">
        <v>7167</v>
      </c>
      <c r="C6582" t="s">
        <v>1477</v>
      </c>
      <c r="D6582" t="s">
        <v>334</v>
      </c>
      <c r="E6582" t="s">
        <v>312</v>
      </c>
      <c r="F6582" t="s">
        <v>7196</v>
      </c>
      <c r="G6582">
        <v>5916</v>
      </c>
      <c r="H6582">
        <v>657285.06999999995</v>
      </c>
      <c r="I6582">
        <v>111.65</v>
      </c>
      <c r="J6582">
        <v>5</v>
      </c>
      <c r="K6582">
        <v>623.35</v>
      </c>
      <c r="L6582">
        <v>124.67</v>
      </c>
      <c r="M6582">
        <v>5921</v>
      </c>
      <c r="N6582">
        <v>657908.41999999993</v>
      </c>
      <c r="O6582">
        <v>111.66</v>
      </c>
    </row>
    <row r="6583" spans="1:15" x14ac:dyDescent="0.35">
      <c r="A6583" t="s">
        <v>7166</v>
      </c>
      <c r="B6583" t="s">
        <v>7167</v>
      </c>
      <c r="C6583" t="s">
        <v>1477</v>
      </c>
      <c r="D6583" t="s">
        <v>334</v>
      </c>
      <c r="E6583" t="s">
        <v>308</v>
      </c>
      <c r="F6583" t="s">
        <v>7197</v>
      </c>
      <c r="G6583">
        <v>0</v>
      </c>
      <c r="H6583">
        <v>0</v>
      </c>
      <c r="I6583">
        <v>0</v>
      </c>
      <c r="J6583">
        <v>0</v>
      </c>
      <c r="K6583">
        <v>0</v>
      </c>
      <c r="L6583">
        <v>0</v>
      </c>
      <c r="M6583">
        <v>0</v>
      </c>
      <c r="N6583">
        <v>0</v>
      </c>
      <c r="O6583">
        <v>0</v>
      </c>
    </row>
    <row r="6584" spans="1:15" x14ac:dyDescent="0.35">
      <c r="A6584" t="s">
        <v>7166</v>
      </c>
      <c r="B6584" t="s">
        <v>7167</v>
      </c>
      <c r="C6584" t="s">
        <v>1477</v>
      </c>
      <c r="D6584" t="s">
        <v>337</v>
      </c>
      <c r="E6584" t="s">
        <v>337</v>
      </c>
      <c r="F6584" t="s">
        <v>7198</v>
      </c>
      <c r="G6584">
        <v>303</v>
      </c>
      <c r="J6584">
        <v>0</v>
      </c>
      <c r="M6584">
        <v>303</v>
      </c>
    </row>
    <row r="6585" spans="1:15" x14ac:dyDescent="0.35">
      <c r="A6585" t="s">
        <v>7166</v>
      </c>
      <c r="B6585" t="s">
        <v>7167</v>
      </c>
      <c r="C6585" t="s">
        <v>1477</v>
      </c>
      <c r="D6585" t="s">
        <v>339</v>
      </c>
      <c r="E6585" t="s">
        <v>294</v>
      </c>
      <c r="F6585" t="s">
        <v>7199</v>
      </c>
      <c r="G6585">
        <v>211</v>
      </c>
      <c r="H6585">
        <v>26177.300000000003</v>
      </c>
      <c r="I6585">
        <v>124.06</v>
      </c>
      <c r="J6585">
        <v>0</v>
      </c>
      <c r="K6585">
        <v>0</v>
      </c>
      <c r="L6585">
        <v>0</v>
      </c>
      <c r="M6585">
        <v>211</v>
      </c>
      <c r="N6585">
        <v>26177.300000000003</v>
      </c>
      <c r="O6585">
        <v>124.06</v>
      </c>
    </row>
    <row r="6586" spans="1:15" x14ac:dyDescent="0.35">
      <c r="A6586" t="s">
        <v>7166</v>
      </c>
      <c r="B6586" t="s">
        <v>7167</v>
      </c>
      <c r="C6586" t="s">
        <v>1477</v>
      </c>
      <c r="D6586" t="s">
        <v>339</v>
      </c>
      <c r="E6586" t="s">
        <v>296</v>
      </c>
      <c r="F6586" t="s">
        <v>7200</v>
      </c>
      <c r="G6586">
        <v>19</v>
      </c>
      <c r="H6586">
        <v>2390.67</v>
      </c>
      <c r="I6586">
        <v>125.82</v>
      </c>
      <c r="J6586">
        <v>0</v>
      </c>
      <c r="K6586">
        <v>0</v>
      </c>
      <c r="L6586">
        <v>0</v>
      </c>
      <c r="M6586">
        <v>19</v>
      </c>
      <c r="N6586">
        <v>2390.67</v>
      </c>
      <c r="O6586">
        <v>125.82</v>
      </c>
    </row>
    <row r="6587" spans="1:15" x14ac:dyDescent="0.35">
      <c r="A6587" t="s">
        <v>7166</v>
      </c>
      <c r="B6587" t="s">
        <v>7167</v>
      </c>
      <c r="C6587" t="s">
        <v>1477</v>
      </c>
      <c r="D6587" t="s">
        <v>339</v>
      </c>
      <c r="E6587" t="s">
        <v>298</v>
      </c>
      <c r="F6587" t="s">
        <v>7201</v>
      </c>
      <c r="G6587">
        <v>3</v>
      </c>
      <c r="H6587">
        <v>1192.8000000000002</v>
      </c>
      <c r="I6587">
        <v>397.6</v>
      </c>
      <c r="J6587">
        <v>0</v>
      </c>
      <c r="K6587">
        <v>0</v>
      </c>
      <c r="L6587">
        <v>0</v>
      </c>
      <c r="M6587">
        <v>3</v>
      </c>
      <c r="N6587">
        <v>1192.8000000000002</v>
      </c>
      <c r="O6587">
        <v>397.6</v>
      </c>
    </row>
    <row r="6588" spans="1:15" x14ac:dyDescent="0.35">
      <c r="A6588" t="s">
        <v>7166</v>
      </c>
      <c r="B6588" t="s">
        <v>7167</v>
      </c>
      <c r="C6588" t="s">
        <v>1477</v>
      </c>
      <c r="D6588" t="s">
        <v>339</v>
      </c>
      <c r="E6588" t="s">
        <v>300</v>
      </c>
      <c r="F6588" t="s">
        <v>7202</v>
      </c>
      <c r="G6588">
        <v>0</v>
      </c>
      <c r="H6588">
        <v>0</v>
      </c>
      <c r="I6588">
        <v>0</v>
      </c>
      <c r="J6588">
        <v>0</v>
      </c>
      <c r="K6588">
        <v>0</v>
      </c>
      <c r="L6588">
        <v>0</v>
      </c>
      <c r="M6588">
        <v>0</v>
      </c>
      <c r="N6588">
        <v>0</v>
      </c>
      <c r="O6588">
        <v>0</v>
      </c>
    </row>
    <row r="6589" spans="1:15" x14ac:dyDescent="0.35">
      <c r="A6589" t="s">
        <v>7166</v>
      </c>
      <c r="B6589" t="s">
        <v>7167</v>
      </c>
      <c r="C6589" t="s">
        <v>1477</v>
      </c>
      <c r="D6589" t="s">
        <v>339</v>
      </c>
      <c r="E6589" t="s">
        <v>306</v>
      </c>
      <c r="F6589" t="s">
        <v>7203</v>
      </c>
      <c r="G6589">
        <v>19</v>
      </c>
      <c r="H6589">
        <v>1808.6799999999998</v>
      </c>
      <c r="I6589">
        <v>95.19</v>
      </c>
      <c r="J6589">
        <v>0</v>
      </c>
      <c r="K6589">
        <v>0</v>
      </c>
      <c r="L6589">
        <v>0</v>
      </c>
      <c r="M6589">
        <v>19</v>
      </c>
      <c r="N6589">
        <v>1808.6799999999998</v>
      </c>
      <c r="O6589">
        <v>95.19</v>
      </c>
    </row>
    <row r="6590" spans="1:15" x14ac:dyDescent="0.35">
      <c r="A6590" t="s">
        <v>7166</v>
      </c>
      <c r="B6590" t="s">
        <v>7167</v>
      </c>
      <c r="C6590" t="s">
        <v>1477</v>
      </c>
      <c r="D6590" t="s">
        <v>339</v>
      </c>
      <c r="E6590" t="s">
        <v>308</v>
      </c>
      <c r="F6590" t="s">
        <v>7204</v>
      </c>
      <c r="G6590">
        <v>67</v>
      </c>
      <c r="H6590">
        <v>11527.05</v>
      </c>
      <c r="I6590">
        <v>172.05</v>
      </c>
      <c r="J6590">
        <v>0</v>
      </c>
      <c r="K6590">
        <v>0</v>
      </c>
      <c r="L6590">
        <v>0</v>
      </c>
      <c r="M6590">
        <v>67</v>
      </c>
      <c r="N6590">
        <v>11527.05</v>
      </c>
      <c r="O6590">
        <v>172.05</v>
      </c>
    </row>
    <row r="6591" spans="1:15" x14ac:dyDescent="0.35">
      <c r="A6591" t="s">
        <v>7166</v>
      </c>
      <c r="B6591" t="s">
        <v>7167</v>
      </c>
      <c r="C6591" t="s">
        <v>1477</v>
      </c>
      <c r="D6591" t="s">
        <v>339</v>
      </c>
      <c r="E6591" t="s">
        <v>310</v>
      </c>
      <c r="F6591" t="s">
        <v>7205</v>
      </c>
      <c r="G6591">
        <v>319</v>
      </c>
      <c r="H6591">
        <v>43096.5</v>
      </c>
      <c r="I6591">
        <v>135.1</v>
      </c>
      <c r="J6591">
        <v>0</v>
      </c>
      <c r="K6591">
        <v>0</v>
      </c>
      <c r="L6591">
        <v>0</v>
      </c>
      <c r="M6591">
        <v>319</v>
      </c>
      <c r="N6591">
        <v>43096.5</v>
      </c>
      <c r="O6591">
        <v>135.1</v>
      </c>
    </row>
    <row r="6592" spans="1:15" x14ac:dyDescent="0.35">
      <c r="A6592" t="s">
        <v>7166</v>
      </c>
      <c r="B6592" t="s">
        <v>7167</v>
      </c>
      <c r="C6592" t="s">
        <v>1477</v>
      </c>
      <c r="D6592" t="s">
        <v>339</v>
      </c>
      <c r="E6592" t="s">
        <v>312</v>
      </c>
      <c r="F6592" t="s">
        <v>7206</v>
      </c>
      <c r="G6592">
        <v>252</v>
      </c>
      <c r="H6592">
        <v>31569.45</v>
      </c>
      <c r="I6592">
        <v>125.28</v>
      </c>
      <c r="J6592">
        <v>0</v>
      </c>
      <c r="K6592">
        <v>0</v>
      </c>
      <c r="L6592">
        <v>0</v>
      </c>
      <c r="M6592">
        <v>252</v>
      </c>
      <c r="N6592">
        <v>31569.45</v>
      </c>
      <c r="O6592">
        <v>125.28</v>
      </c>
    </row>
    <row r="6593" spans="1:15" x14ac:dyDescent="0.35">
      <c r="A6593" t="s">
        <v>7166</v>
      </c>
      <c r="B6593" t="s">
        <v>7167</v>
      </c>
      <c r="C6593" t="s">
        <v>1477</v>
      </c>
      <c r="D6593" t="s">
        <v>348</v>
      </c>
      <c r="E6593" t="s">
        <v>349</v>
      </c>
      <c r="F6593" t="s">
        <v>7207</v>
      </c>
      <c r="G6593">
        <v>323</v>
      </c>
      <c r="H6593">
        <v>43096.5</v>
      </c>
      <c r="I6593">
        <v>135.1</v>
      </c>
      <c r="J6593">
        <v>0</v>
      </c>
      <c r="K6593">
        <v>0</v>
      </c>
      <c r="L6593">
        <v>0</v>
      </c>
      <c r="M6593">
        <v>323</v>
      </c>
      <c r="N6593">
        <v>43096.5</v>
      </c>
      <c r="O6593">
        <v>135.1</v>
      </c>
    </row>
    <row r="6594" spans="1:15" x14ac:dyDescent="0.35">
      <c r="A6594" t="s">
        <v>7208</v>
      </c>
      <c r="B6594" t="s">
        <v>7209</v>
      </c>
      <c r="C6594" t="s">
        <v>1477</v>
      </c>
      <c r="D6594" t="s">
        <v>293</v>
      </c>
      <c r="E6594" t="s">
        <v>294</v>
      </c>
      <c r="F6594" t="s">
        <v>7210</v>
      </c>
      <c r="G6594">
        <v>227</v>
      </c>
      <c r="H6594">
        <v>27833.33</v>
      </c>
      <c r="I6594">
        <v>122.61</v>
      </c>
      <c r="J6594">
        <v>0</v>
      </c>
      <c r="K6594">
        <v>0</v>
      </c>
      <c r="L6594">
        <v>0</v>
      </c>
      <c r="M6594">
        <v>227</v>
      </c>
      <c r="N6594">
        <v>27833.33</v>
      </c>
      <c r="O6594">
        <v>122.61</v>
      </c>
    </row>
    <row r="6595" spans="1:15" x14ac:dyDescent="0.35">
      <c r="A6595" t="s">
        <v>7208</v>
      </c>
      <c r="B6595" t="s">
        <v>7209</v>
      </c>
      <c r="C6595" t="s">
        <v>1477</v>
      </c>
      <c r="D6595" t="s">
        <v>293</v>
      </c>
      <c r="E6595" t="s">
        <v>296</v>
      </c>
      <c r="F6595" t="s">
        <v>7211</v>
      </c>
      <c r="G6595">
        <v>304</v>
      </c>
      <c r="H6595">
        <v>45369.64</v>
      </c>
      <c r="I6595">
        <v>149.24</v>
      </c>
      <c r="J6595">
        <v>9</v>
      </c>
      <c r="K6595">
        <v>1284.48</v>
      </c>
      <c r="L6595">
        <v>142.72</v>
      </c>
      <c r="M6595">
        <v>313</v>
      </c>
      <c r="N6595">
        <v>46654.12</v>
      </c>
      <c r="O6595">
        <v>149.05000000000001</v>
      </c>
    </row>
    <row r="6596" spans="1:15" x14ac:dyDescent="0.35">
      <c r="A6596" t="s">
        <v>7208</v>
      </c>
      <c r="B6596" t="s">
        <v>7209</v>
      </c>
      <c r="C6596" t="s">
        <v>1477</v>
      </c>
      <c r="D6596" t="s">
        <v>293</v>
      </c>
      <c r="E6596" t="s">
        <v>298</v>
      </c>
      <c r="F6596" t="s">
        <v>7212</v>
      </c>
      <c r="G6596">
        <v>61</v>
      </c>
      <c r="H6596">
        <v>9830.73</v>
      </c>
      <c r="I6596">
        <v>161.16</v>
      </c>
      <c r="J6596">
        <v>10</v>
      </c>
      <c r="K6596">
        <v>1641.6</v>
      </c>
      <c r="L6596">
        <v>164.16</v>
      </c>
      <c r="M6596">
        <v>71</v>
      </c>
      <c r="N6596">
        <v>11472.33</v>
      </c>
      <c r="O6596">
        <v>161.58000000000001</v>
      </c>
    </row>
    <row r="6597" spans="1:15" x14ac:dyDescent="0.35">
      <c r="A6597" t="s">
        <v>7208</v>
      </c>
      <c r="B6597" t="s">
        <v>7209</v>
      </c>
      <c r="C6597" t="s">
        <v>1477</v>
      </c>
      <c r="D6597" t="s">
        <v>293</v>
      </c>
      <c r="E6597" t="s">
        <v>300</v>
      </c>
      <c r="F6597" t="s">
        <v>7213</v>
      </c>
      <c r="G6597">
        <v>3</v>
      </c>
      <c r="H6597">
        <v>606.41</v>
      </c>
      <c r="I6597">
        <v>202.14</v>
      </c>
      <c r="J6597">
        <v>7</v>
      </c>
      <c r="K6597">
        <v>1650.6000000000001</v>
      </c>
      <c r="L6597">
        <v>235.8</v>
      </c>
      <c r="M6597">
        <v>10</v>
      </c>
      <c r="N6597">
        <v>2257.0100000000002</v>
      </c>
      <c r="O6597">
        <v>225.7</v>
      </c>
    </row>
    <row r="6598" spans="1:15" x14ac:dyDescent="0.35">
      <c r="A6598" t="s">
        <v>7208</v>
      </c>
      <c r="B6598" t="s">
        <v>7209</v>
      </c>
      <c r="C6598" t="s">
        <v>1477</v>
      </c>
      <c r="D6598" t="s">
        <v>293</v>
      </c>
      <c r="E6598" t="s">
        <v>302</v>
      </c>
      <c r="F6598" t="s">
        <v>7214</v>
      </c>
      <c r="G6598">
        <v>1</v>
      </c>
      <c r="H6598">
        <v>173.08</v>
      </c>
      <c r="I6598">
        <v>173.08</v>
      </c>
      <c r="J6598">
        <v>3</v>
      </c>
      <c r="K6598">
        <v>707.40000000000009</v>
      </c>
      <c r="L6598">
        <v>235.8</v>
      </c>
      <c r="M6598">
        <v>4</v>
      </c>
      <c r="N6598">
        <v>880.48000000000013</v>
      </c>
      <c r="O6598">
        <v>220.12</v>
      </c>
    </row>
    <row r="6599" spans="1:15" x14ac:dyDescent="0.35">
      <c r="A6599" t="s">
        <v>7208</v>
      </c>
      <c r="B6599" t="s">
        <v>7209</v>
      </c>
      <c r="C6599" t="s">
        <v>1477</v>
      </c>
      <c r="D6599" t="s">
        <v>293</v>
      </c>
      <c r="E6599" t="s">
        <v>304</v>
      </c>
      <c r="F6599" t="s">
        <v>7215</v>
      </c>
      <c r="G6599">
        <v>0</v>
      </c>
      <c r="H6599">
        <v>0</v>
      </c>
      <c r="I6599">
        <v>0</v>
      </c>
      <c r="J6599">
        <v>0</v>
      </c>
      <c r="K6599">
        <v>0</v>
      </c>
      <c r="L6599">
        <v>0</v>
      </c>
      <c r="M6599">
        <v>0</v>
      </c>
      <c r="N6599">
        <v>0</v>
      </c>
      <c r="O6599">
        <v>0</v>
      </c>
    </row>
    <row r="6600" spans="1:15" x14ac:dyDescent="0.35">
      <c r="A6600" t="s">
        <v>7208</v>
      </c>
      <c r="B6600" t="s">
        <v>7209</v>
      </c>
      <c r="C6600" t="s">
        <v>1477</v>
      </c>
      <c r="D6600" t="s">
        <v>293</v>
      </c>
      <c r="E6600" t="s">
        <v>306</v>
      </c>
      <c r="F6600" t="s">
        <v>7216</v>
      </c>
      <c r="G6600">
        <v>0</v>
      </c>
      <c r="H6600">
        <v>0</v>
      </c>
      <c r="I6600">
        <v>0</v>
      </c>
      <c r="J6600">
        <v>0</v>
      </c>
      <c r="K6600">
        <v>0</v>
      </c>
      <c r="L6600">
        <v>0</v>
      </c>
      <c r="M6600">
        <v>0</v>
      </c>
      <c r="N6600">
        <v>0</v>
      </c>
      <c r="O6600">
        <v>0</v>
      </c>
    </row>
    <row r="6601" spans="1:15" x14ac:dyDescent="0.35">
      <c r="A6601" t="s">
        <v>7208</v>
      </c>
      <c r="B6601" t="s">
        <v>7209</v>
      </c>
      <c r="C6601" t="s">
        <v>1477</v>
      </c>
      <c r="D6601" t="s">
        <v>293</v>
      </c>
      <c r="E6601" t="s">
        <v>308</v>
      </c>
      <c r="F6601" t="s">
        <v>7217</v>
      </c>
      <c r="G6601">
        <v>0</v>
      </c>
      <c r="H6601">
        <v>0</v>
      </c>
      <c r="I6601">
        <v>0</v>
      </c>
      <c r="J6601">
        <v>0</v>
      </c>
      <c r="K6601">
        <v>0</v>
      </c>
      <c r="L6601">
        <v>0</v>
      </c>
      <c r="M6601">
        <v>0</v>
      </c>
      <c r="N6601">
        <v>0</v>
      </c>
      <c r="O6601">
        <v>0</v>
      </c>
    </row>
    <row r="6602" spans="1:15" x14ac:dyDescent="0.35">
      <c r="A6602" t="s">
        <v>7208</v>
      </c>
      <c r="B6602" t="s">
        <v>7209</v>
      </c>
      <c r="C6602" t="s">
        <v>1477</v>
      </c>
      <c r="D6602" t="s">
        <v>293</v>
      </c>
      <c r="E6602" t="s">
        <v>310</v>
      </c>
      <c r="F6602" t="s">
        <v>7218</v>
      </c>
      <c r="G6602">
        <v>596</v>
      </c>
      <c r="H6602">
        <v>83813.19</v>
      </c>
      <c r="I6602">
        <v>140.63</v>
      </c>
      <c r="J6602">
        <v>29</v>
      </c>
      <c r="K6602">
        <v>5284.08</v>
      </c>
      <c r="L6602">
        <v>182.21</v>
      </c>
      <c r="M6602">
        <v>625</v>
      </c>
      <c r="N6602">
        <v>89097.27</v>
      </c>
      <c r="O6602">
        <v>142.56</v>
      </c>
    </row>
    <row r="6603" spans="1:15" x14ac:dyDescent="0.35">
      <c r="A6603" t="s">
        <v>7208</v>
      </c>
      <c r="B6603" t="s">
        <v>7209</v>
      </c>
      <c r="C6603" t="s">
        <v>1477</v>
      </c>
      <c r="D6603" t="s">
        <v>293</v>
      </c>
      <c r="E6603" t="s">
        <v>312</v>
      </c>
      <c r="F6603" t="s">
        <v>7219</v>
      </c>
      <c r="G6603">
        <v>596</v>
      </c>
      <c r="H6603">
        <v>83813.19</v>
      </c>
      <c r="I6603">
        <v>140.63</v>
      </c>
      <c r="J6603">
        <v>29</v>
      </c>
      <c r="K6603">
        <v>5284.08</v>
      </c>
      <c r="L6603">
        <v>182.21</v>
      </c>
      <c r="M6603">
        <v>625</v>
      </c>
      <c r="N6603">
        <v>89097.27</v>
      </c>
      <c r="O6603">
        <v>142.56</v>
      </c>
    </row>
    <row r="6604" spans="1:15" x14ac:dyDescent="0.35">
      <c r="A6604" t="s">
        <v>7208</v>
      </c>
      <c r="B6604" t="s">
        <v>7209</v>
      </c>
      <c r="C6604" t="s">
        <v>1477</v>
      </c>
      <c r="D6604" t="s">
        <v>314</v>
      </c>
      <c r="E6604" t="s">
        <v>294</v>
      </c>
      <c r="F6604" t="s">
        <v>7220</v>
      </c>
      <c r="G6604">
        <v>25</v>
      </c>
      <c r="H6604">
        <v>3354.5</v>
      </c>
      <c r="I6604">
        <v>134.18</v>
      </c>
      <c r="J6604">
        <v>0</v>
      </c>
      <c r="K6604">
        <v>0</v>
      </c>
      <c r="L6604">
        <v>0</v>
      </c>
      <c r="M6604">
        <v>25</v>
      </c>
      <c r="N6604">
        <v>3354.5</v>
      </c>
      <c r="O6604">
        <v>134.18</v>
      </c>
    </row>
    <row r="6605" spans="1:15" x14ac:dyDescent="0.35">
      <c r="A6605" t="s">
        <v>7208</v>
      </c>
      <c r="B6605" t="s">
        <v>7209</v>
      </c>
      <c r="C6605" t="s">
        <v>1477</v>
      </c>
      <c r="D6605" t="s">
        <v>314</v>
      </c>
      <c r="E6605" t="s">
        <v>296</v>
      </c>
      <c r="F6605" t="s">
        <v>7221</v>
      </c>
      <c r="G6605">
        <v>0</v>
      </c>
      <c r="H6605">
        <v>0</v>
      </c>
      <c r="I6605">
        <v>0</v>
      </c>
      <c r="J6605">
        <v>0</v>
      </c>
      <c r="K6605">
        <v>0</v>
      </c>
      <c r="L6605">
        <v>0</v>
      </c>
      <c r="M6605">
        <v>0</v>
      </c>
      <c r="N6605">
        <v>0</v>
      </c>
      <c r="O6605">
        <v>0</v>
      </c>
    </row>
    <row r="6606" spans="1:15" x14ac:dyDescent="0.35">
      <c r="A6606" t="s">
        <v>7208</v>
      </c>
      <c r="B6606" t="s">
        <v>7209</v>
      </c>
      <c r="C6606" t="s">
        <v>1477</v>
      </c>
      <c r="D6606" t="s">
        <v>314</v>
      </c>
      <c r="E6606" t="s">
        <v>298</v>
      </c>
      <c r="F6606" t="s">
        <v>7222</v>
      </c>
      <c r="G6606">
        <v>0</v>
      </c>
      <c r="H6606">
        <v>0</v>
      </c>
      <c r="I6606">
        <v>0</v>
      </c>
      <c r="J6606">
        <v>0</v>
      </c>
      <c r="K6606">
        <v>0</v>
      </c>
      <c r="L6606">
        <v>0</v>
      </c>
      <c r="M6606">
        <v>0</v>
      </c>
      <c r="N6606">
        <v>0</v>
      </c>
      <c r="O6606">
        <v>0</v>
      </c>
    </row>
    <row r="6607" spans="1:15" x14ac:dyDescent="0.35">
      <c r="A6607" t="s">
        <v>7208</v>
      </c>
      <c r="B6607" t="s">
        <v>7209</v>
      </c>
      <c r="C6607" t="s">
        <v>1477</v>
      </c>
      <c r="D6607" t="s">
        <v>314</v>
      </c>
      <c r="E6607" t="s">
        <v>300</v>
      </c>
      <c r="F6607" t="s">
        <v>7223</v>
      </c>
      <c r="G6607">
        <v>0</v>
      </c>
      <c r="H6607">
        <v>0</v>
      </c>
      <c r="I6607">
        <v>0</v>
      </c>
      <c r="J6607">
        <v>0</v>
      </c>
      <c r="K6607">
        <v>0</v>
      </c>
      <c r="L6607">
        <v>0</v>
      </c>
      <c r="M6607">
        <v>0</v>
      </c>
      <c r="N6607">
        <v>0</v>
      </c>
      <c r="O6607">
        <v>0</v>
      </c>
    </row>
    <row r="6608" spans="1:15" x14ac:dyDescent="0.35">
      <c r="A6608" t="s">
        <v>7208</v>
      </c>
      <c r="B6608" t="s">
        <v>7209</v>
      </c>
      <c r="C6608" t="s">
        <v>1477</v>
      </c>
      <c r="D6608" t="s">
        <v>314</v>
      </c>
      <c r="E6608" t="s">
        <v>306</v>
      </c>
      <c r="F6608" t="s">
        <v>7224</v>
      </c>
      <c r="G6608">
        <v>2</v>
      </c>
      <c r="H6608">
        <v>603.36</v>
      </c>
      <c r="I6608">
        <v>301.68</v>
      </c>
      <c r="J6608">
        <v>0</v>
      </c>
      <c r="K6608">
        <v>0</v>
      </c>
      <c r="L6608">
        <v>0</v>
      </c>
      <c r="M6608">
        <v>2</v>
      </c>
      <c r="N6608">
        <v>603.36</v>
      </c>
      <c r="O6608">
        <v>301.68</v>
      </c>
    </row>
    <row r="6609" spans="1:15" x14ac:dyDescent="0.35">
      <c r="A6609" t="s">
        <v>7208</v>
      </c>
      <c r="B6609" t="s">
        <v>7209</v>
      </c>
      <c r="C6609" t="s">
        <v>1477</v>
      </c>
      <c r="D6609" t="s">
        <v>314</v>
      </c>
      <c r="E6609" t="s">
        <v>308</v>
      </c>
      <c r="F6609" t="s">
        <v>7225</v>
      </c>
      <c r="G6609">
        <v>0</v>
      </c>
      <c r="H6609">
        <v>0</v>
      </c>
      <c r="I6609">
        <v>0</v>
      </c>
      <c r="J6609">
        <v>0</v>
      </c>
      <c r="K6609">
        <v>0</v>
      </c>
      <c r="L6609">
        <v>0</v>
      </c>
      <c r="M6609">
        <v>0</v>
      </c>
      <c r="N6609">
        <v>0</v>
      </c>
      <c r="O6609">
        <v>0</v>
      </c>
    </row>
    <row r="6610" spans="1:15" x14ac:dyDescent="0.35">
      <c r="A6610" t="s">
        <v>7208</v>
      </c>
      <c r="B6610" t="s">
        <v>7209</v>
      </c>
      <c r="C6610" t="s">
        <v>1477</v>
      </c>
      <c r="D6610" t="s">
        <v>314</v>
      </c>
      <c r="E6610" t="s">
        <v>312</v>
      </c>
      <c r="F6610" t="s">
        <v>7226</v>
      </c>
      <c r="G6610">
        <v>27</v>
      </c>
      <c r="H6610">
        <v>3957.86</v>
      </c>
      <c r="I6610">
        <v>146.59</v>
      </c>
      <c r="J6610">
        <v>0</v>
      </c>
      <c r="K6610">
        <v>0</v>
      </c>
      <c r="L6610">
        <v>0</v>
      </c>
      <c r="M6610">
        <v>27</v>
      </c>
      <c r="N6610">
        <v>3957.86</v>
      </c>
      <c r="O6610">
        <v>146.59</v>
      </c>
    </row>
    <row r="6611" spans="1:15" x14ac:dyDescent="0.35">
      <c r="A6611" t="s">
        <v>7208</v>
      </c>
      <c r="B6611" t="s">
        <v>7209</v>
      </c>
      <c r="C6611" t="s">
        <v>1477</v>
      </c>
      <c r="D6611" t="s">
        <v>314</v>
      </c>
      <c r="E6611" t="s">
        <v>310</v>
      </c>
      <c r="F6611" t="s">
        <v>7227</v>
      </c>
      <c r="G6611">
        <v>27</v>
      </c>
      <c r="H6611">
        <v>3957.86</v>
      </c>
      <c r="I6611">
        <v>146.59</v>
      </c>
      <c r="J6611">
        <v>0</v>
      </c>
      <c r="K6611">
        <v>0</v>
      </c>
      <c r="L6611">
        <v>0</v>
      </c>
      <c r="M6611">
        <v>27</v>
      </c>
      <c r="N6611">
        <v>3957.86</v>
      </c>
      <c r="O6611">
        <v>146.59</v>
      </c>
    </row>
    <row r="6612" spans="1:15" x14ac:dyDescent="0.35">
      <c r="A6612" t="s">
        <v>7208</v>
      </c>
      <c r="B6612" t="s">
        <v>7209</v>
      </c>
      <c r="C6612" t="s">
        <v>1477</v>
      </c>
      <c r="D6612" t="s">
        <v>323</v>
      </c>
      <c r="E6612" t="s">
        <v>294</v>
      </c>
      <c r="F6612" t="s">
        <v>7228</v>
      </c>
      <c r="G6612">
        <v>950</v>
      </c>
      <c r="H6612">
        <v>90079.62</v>
      </c>
      <c r="I6612">
        <v>94.82</v>
      </c>
      <c r="J6612">
        <v>2596</v>
      </c>
      <c r="K6612">
        <v>217259.24</v>
      </c>
      <c r="L6612">
        <v>83.69</v>
      </c>
      <c r="M6612">
        <v>3546</v>
      </c>
      <c r="N6612">
        <v>307338.86</v>
      </c>
      <c r="O6612">
        <v>86.67</v>
      </c>
    </row>
    <row r="6613" spans="1:15" x14ac:dyDescent="0.35">
      <c r="A6613" t="s">
        <v>7208</v>
      </c>
      <c r="B6613" t="s">
        <v>7209</v>
      </c>
      <c r="C6613" t="s">
        <v>1477</v>
      </c>
      <c r="D6613" t="s">
        <v>323</v>
      </c>
      <c r="E6613" t="s">
        <v>296</v>
      </c>
      <c r="F6613" t="s">
        <v>7229</v>
      </c>
      <c r="G6613">
        <v>1613</v>
      </c>
      <c r="H6613">
        <v>178877.75</v>
      </c>
      <c r="I6613">
        <v>110.9</v>
      </c>
      <c r="J6613">
        <v>4892</v>
      </c>
      <c r="K6613">
        <v>445856.88</v>
      </c>
      <c r="L6613">
        <v>91.14</v>
      </c>
      <c r="M6613">
        <v>6505</v>
      </c>
      <c r="N6613">
        <v>624734.63</v>
      </c>
      <c r="O6613">
        <v>96.04</v>
      </c>
    </row>
    <row r="6614" spans="1:15" x14ac:dyDescent="0.35">
      <c r="A6614" t="s">
        <v>7208</v>
      </c>
      <c r="B6614" t="s">
        <v>7209</v>
      </c>
      <c r="C6614" t="s">
        <v>1477</v>
      </c>
      <c r="D6614" t="s">
        <v>323</v>
      </c>
      <c r="E6614" t="s">
        <v>298</v>
      </c>
      <c r="F6614" t="s">
        <v>7230</v>
      </c>
      <c r="G6614">
        <v>730</v>
      </c>
      <c r="H6614">
        <v>89151.01999999999</v>
      </c>
      <c r="I6614">
        <v>122.12</v>
      </c>
      <c r="J6614">
        <v>5239</v>
      </c>
      <c r="K6614">
        <v>526257.55000000005</v>
      </c>
      <c r="L6614">
        <v>100.45</v>
      </c>
      <c r="M6614">
        <v>5969</v>
      </c>
      <c r="N6614">
        <v>615408.57000000007</v>
      </c>
      <c r="O6614">
        <v>103.1</v>
      </c>
    </row>
    <row r="6615" spans="1:15" x14ac:dyDescent="0.35">
      <c r="A6615" t="s">
        <v>7208</v>
      </c>
      <c r="B6615" t="s">
        <v>7209</v>
      </c>
      <c r="C6615" t="s">
        <v>1477</v>
      </c>
      <c r="D6615" t="s">
        <v>323</v>
      </c>
      <c r="E6615" t="s">
        <v>300</v>
      </c>
      <c r="F6615" t="s">
        <v>7231</v>
      </c>
      <c r="G6615">
        <v>130</v>
      </c>
      <c r="H6615">
        <v>17877.539999999997</v>
      </c>
      <c r="I6615">
        <v>137.52000000000001</v>
      </c>
      <c r="J6615">
        <v>399</v>
      </c>
      <c r="K6615">
        <v>43494.990000000005</v>
      </c>
      <c r="L6615">
        <v>109.01</v>
      </c>
      <c r="M6615">
        <v>529</v>
      </c>
      <c r="N6615">
        <v>61372.53</v>
      </c>
      <c r="O6615">
        <v>116.02</v>
      </c>
    </row>
    <row r="6616" spans="1:15" x14ac:dyDescent="0.35">
      <c r="A6616" t="s">
        <v>7208</v>
      </c>
      <c r="B6616" t="s">
        <v>7209</v>
      </c>
      <c r="C6616" t="s">
        <v>1477</v>
      </c>
      <c r="D6616" t="s">
        <v>323</v>
      </c>
      <c r="E6616" t="s">
        <v>302</v>
      </c>
      <c r="F6616" t="s">
        <v>7232</v>
      </c>
      <c r="G6616">
        <v>16</v>
      </c>
      <c r="H6616">
        <v>2386.73</v>
      </c>
      <c r="I6616">
        <v>149.16999999999999</v>
      </c>
      <c r="J6616">
        <v>38</v>
      </c>
      <c r="K6616">
        <v>4583.5600000000004</v>
      </c>
      <c r="L6616">
        <v>120.62</v>
      </c>
      <c r="M6616">
        <v>54</v>
      </c>
      <c r="N6616">
        <v>6970.2900000000009</v>
      </c>
      <c r="O6616">
        <v>129.08000000000001</v>
      </c>
    </row>
    <row r="6617" spans="1:15" x14ac:dyDescent="0.35">
      <c r="A6617" t="s">
        <v>7208</v>
      </c>
      <c r="B6617" t="s">
        <v>7209</v>
      </c>
      <c r="C6617" t="s">
        <v>1477</v>
      </c>
      <c r="D6617" t="s">
        <v>323</v>
      </c>
      <c r="E6617" t="s">
        <v>304</v>
      </c>
      <c r="F6617" t="s">
        <v>7233</v>
      </c>
      <c r="G6617">
        <v>0</v>
      </c>
      <c r="H6617">
        <v>0</v>
      </c>
      <c r="I6617">
        <v>0</v>
      </c>
      <c r="J6617">
        <v>11</v>
      </c>
      <c r="K6617">
        <v>1356.52</v>
      </c>
      <c r="L6617">
        <v>123.32</v>
      </c>
      <c r="M6617">
        <v>11</v>
      </c>
      <c r="N6617">
        <v>1356.52</v>
      </c>
      <c r="O6617">
        <v>123.32</v>
      </c>
    </row>
    <row r="6618" spans="1:15" x14ac:dyDescent="0.35">
      <c r="A6618" t="s">
        <v>7208</v>
      </c>
      <c r="B6618" t="s">
        <v>7209</v>
      </c>
      <c r="C6618" t="s">
        <v>1477</v>
      </c>
      <c r="D6618" t="s">
        <v>323</v>
      </c>
      <c r="E6618" t="s">
        <v>306</v>
      </c>
      <c r="F6618" t="s">
        <v>7234</v>
      </c>
      <c r="G6618">
        <v>95</v>
      </c>
      <c r="H6618">
        <v>6927.4000000000005</v>
      </c>
      <c r="I6618">
        <v>72.92</v>
      </c>
      <c r="J6618">
        <v>1</v>
      </c>
      <c r="K6618">
        <v>82.9</v>
      </c>
      <c r="L6618">
        <v>82.9</v>
      </c>
      <c r="M6618">
        <v>96</v>
      </c>
      <c r="N6618">
        <v>7010.3</v>
      </c>
      <c r="O6618">
        <v>73.02</v>
      </c>
    </row>
    <row r="6619" spans="1:15" x14ac:dyDescent="0.35">
      <c r="A6619" t="s">
        <v>7208</v>
      </c>
      <c r="B6619" t="s">
        <v>7209</v>
      </c>
      <c r="C6619" t="s">
        <v>1477</v>
      </c>
      <c r="D6619" t="s">
        <v>323</v>
      </c>
      <c r="E6619" t="s">
        <v>308</v>
      </c>
      <c r="F6619" t="s">
        <v>7235</v>
      </c>
      <c r="G6619">
        <v>4</v>
      </c>
      <c r="H6619">
        <v>149.52000000000001</v>
      </c>
      <c r="I6619">
        <v>37.380000000000003</v>
      </c>
      <c r="J6619">
        <v>2</v>
      </c>
      <c r="K6619">
        <v>142.9</v>
      </c>
      <c r="L6619">
        <v>71.45</v>
      </c>
      <c r="M6619">
        <v>6</v>
      </c>
      <c r="N6619">
        <v>292.42</v>
      </c>
      <c r="O6619">
        <v>48.74</v>
      </c>
    </row>
    <row r="6620" spans="1:15" x14ac:dyDescent="0.35">
      <c r="A6620" t="s">
        <v>7208</v>
      </c>
      <c r="B6620" t="s">
        <v>7209</v>
      </c>
      <c r="C6620" t="s">
        <v>1477</v>
      </c>
      <c r="D6620" t="s">
        <v>323</v>
      </c>
      <c r="E6620" t="s">
        <v>310</v>
      </c>
      <c r="F6620" t="s">
        <v>7236</v>
      </c>
      <c r="G6620">
        <v>3538</v>
      </c>
      <c r="H6620">
        <v>385449.58</v>
      </c>
      <c r="I6620">
        <v>108.95</v>
      </c>
      <c r="J6620">
        <v>13178</v>
      </c>
      <c r="K6620">
        <v>1239034.5399999998</v>
      </c>
      <c r="L6620">
        <v>94.02</v>
      </c>
      <c r="M6620">
        <v>16716</v>
      </c>
      <c r="N6620">
        <v>1624484.1199999999</v>
      </c>
      <c r="O6620">
        <v>97.18</v>
      </c>
    </row>
    <row r="6621" spans="1:15" x14ac:dyDescent="0.35">
      <c r="A6621" t="s">
        <v>7208</v>
      </c>
      <c r="B6621" t="s">
        <v>7209</v>
      </c>
      <c r="C6621" t="s">
        <v>1477</v>
      </c>
      <c r="D6621" t="s">
        <v>323</v>
      </c>
      <c r="E6621" t="s">
        <v>312</v>
      </c>
      <c r="F6621" t="s">
        <v>7237</v>
      </c>
      <c r="G6621">
        <v>3534</v>
      </c>
      <c r="H6621">
        <v>385300.06</v>
      </c>
      <c r="I6621">
        <v>109.03</v>
      </c>
      <c r="J6621">
        <v>13176</v>
      </c>
      <c r="K6621">
        <v>1238891.6399999999</v>
      </c>
      <c r="L6621">
        <v>94.03</v>
      </c>
      <c r="M6621">
        <v>16710</v>
      </c>
      <c r="N6621">
        <v>1624191.7</v>
      </c>
      <c r="O6621">
        <v>97.2</v>
      </c>
    </row>
    <row r="6622" spans="1:15" x14ac:dyDescent="0.35">
      <c r="A6622" t="s">
        <v>7208</v>
      </c>
      <c r="B6622" t="s">
        <v>7209</v>
      </c>
      <c r="C6622" t="s">
        <v>1477</v>
      </c>
      <c r="D6622" t="s">
        <v>334</v>
      </c>
      <c r="E6622" t="s">
        <v>312</v>
      </c>
      <c r="F6622" t="s">
        <v>7238</v>
      </c>
      <c r="G6622">
        <v>4213</v>
      </c>
      <c r="H6622">
        <v>469113.24999999994</v>
      </c>
      <c r="I6622">
        <v>113.59</v>
      </c>
      <c r="J6622">
        <v>13205</v>
      </c>
      <c r="K6622">
        <v>1244175.72</v>
      </c>
      <c r="L6622">
        <v>94.22</v>
      </c>
      <c r="M6622">
        <v>17418</v>
      </c>
      <c r="N6622">
        <v>1713288.97</v>
      </c>
      <c r="O6622">
        <v>98.83</v>
      </c>
    </row>
    <row r="6623" spans="1:15" x14ac:dyDescent="0.35">
      <c r="A6623" t="s">
        <v>7208</v>
      </c>
      <c r="B6623" t="s">
        <v>7209</v>
      </c>
      <c r="C6623" t="s">
        <v>1477</v>
      </c>
      <c r="D6623" t="s">
        <v>334</v>
      </c>
      <c r="E6623" t="s">
        <v>308</v>
      </c>
      <c r="F6623" t="s">
        <v>7239</v>
      </c>
      <c r="G6623">
        <v>4</v>
      </c>
      <c r="H6623">
        <v>149.52000000000001</v>
      </c>
      <c r="I6623">
        <v>37.380000000000003</v>
      </c>
      <c r="J6623">
        <v>2</v>
      </c>
      <c r="K6623">
        <v>142.9</v>
      </c>
      <c r="L6623">
        <v>71.45</v>
      </c>
      <c r="M6623">
        <v>6</v>
      </c>
      <c r="N6623">
        <v>292.42</v>
      </c>
      <c r="O6623">
        <v>48.74</v>
      </c>
    </row>
    <row r="6624" spans="1:15" x14ac:dyDescent="0.35">
      <c r="A6624" t="s">
        <v>7208</v>
      </c>
      <c r="B6624" t="s">
        <v>7209</v>
      </c>
      <c r="C6624" t="s">
        <v>1477</v>
      </c>
      <c r="D6624" t="s">
        <v>337</v>
      </c>
      <c r="E6624" t="s">
        <v>337</v>
      </c>
      <c r="F6624" t="s">
        <v>7240</v>
      </c>
      <c r="G6624">
        <v>329</v>
      </c>
      <c r="J6624">
        <v>0</v>
      </c>
      <c r="M6624">
        <v>329</v>
      </c>
    </row>
    <row r="6625" spans="1:15" x14ac:dyDescent="0.35">
      <c r="A6625" t="s">
        <v>7208</v>
      </c>
      <c r="B6625" t="s">
        <v>7209</v>
      </c>
      <c r="C6625" t="s">
        <v>1477</v>
      </c>
      <c r="D6625" t="s">
        <v>339</v>
      </c>
      <c r="E6625" t="s">
        <v>294</v>
      </c>
      <c r="F6625" t="s">
        <v>7241</v>
      </c>
      <c r="G6625">
        <v>664</v>
      </c>
      <c r="H6625">
        <v>74717.509999999995</v>
      </c>
      <c r="I6625">
        <v>112.53</v>
      </c>
      <c r="J6625">
        <v>849</v>
      </c>
      <c r="K6625">
        <v>74601.63</v>
      </c>
      <c r="L6625">
        <v>87.87</v>
      </c>
      <c r="M6625">
        <v>1513</v>
      </c>
      <c r="N6625">
        <v>149319.14000000001</v>
      </c>
      <c r="O6625">
        <v>98.69</v>
      </c>
    </row>
    <row r="6626" spans="1:15" x14ac:dyDescent="0.35">
      <c r="A6626" t="s">
        <v>7208</v>
      </c>
      <c r="B6626" t="s">
        <v>7209</v>
      </c>
      <c r="C6626" t="s">
        <v>1477</v>
      </c>
      <c r="D6626" t="s">
        <v>339</v>
      </c>
      <c r="E6626" t="s">
        <v>296</v>
      </c>
      <c r="F6626" t="s">
        <v>7242</v>
      </c>
      <c r="G6626">
        <v>42</v>
      </c>
      <c r="H6626">
        <v>5194.12</v>
      </c>
      <c r="I6626">
        <v>123.67</v>
      </c>
      <c r="J6626">
        <v>73</v>
      </c>
      <c r="K6626">
        <v>6791.92</v>
      </c>
      <c r="L6626">
        <v>93.04</v>
      </c>
      <c r="M6626">
        <v>115</v>
      </c>
      <c r="N6626">
        <v>11986.04</v>
      </c>
      <c r="O6626">
        <v>104.23</v>
      </c>
    </row>
    <row r="6627" spans="1:15" x14ac:dyDescent="0.35">
      <c r="A6627" t="s">
        <v>7208</v>
      </c>
      <c r="B6627" t="s">
        <v>7209</v>
      </c>
      <c r="C6627" t="s">
        <v>1477</v>
      </c>
      <c r="D6627" t="s">
        <v>339</v>
      </c>
      <c r="E6627" t="s">
        <v>298</v>
      </c>
      <c r="F6627" t="s">
        <v>7243</v>
      </c>
      <c r="G6627">
        <v>5</v>
      </c>
      <c r="H6627">
        <v>687.39</v>
      </c>
      <c r="I6627">
        <v>137.47999999999999</v>
      </c>
      <c r="J6627">
        <v>1</v>
      </c>
      <c r="K6627">
        <v>91.67</v>
      </c>
      <c r="L6627">
        <v>91.67</v>
      </c>
      <c r="M6627">
        <v>6</v>
      </c>
      <c r="N6627">
        <v>779.06</v>
      </c>
      <c r="O6627">
        <v>129.84</v>
      </c>
    </row>
    <row r="6628" spans="1:15" x14ac:dyDescent="0.35">
      <c r="A6628" t="s">
        <v>7208</v>
      </c>
      <c r="B6628" t="s">
        <v>7209</v>
      </c>
      <c r="C6628" t="s">
        <v>1477</v>
      </c>
      <c r="D6628" t="s">
        <v>339</v>
      </c>
      <c r="E6628" t="s">
        <v>300</v>
      </c>
      <c r="F6628" t="s">
        <v>7244</v>
      </c>
      <c r="G6628">
        <v>0</v>
      </c>
      <c r="H6628">
        <v>0</v>
      </c>
      <c r="I6628">
        <v>0</v>
      </c>
      <c r="J6628">
        <v>0</v>
      </c>
      <c r="K6628">
        <v>0</v>
      </c>
      <c r="L6628">
        <v>0</v>
      </c>
      <c r="M6628">
        <v>0</v>
      </c>
      <c r="N6628">
        <v>0</v>
      </c>
      <c r="O6628">
        <v>0</v>
      </c>
    </row>
    <row r="6629" spans="1:15" x14ac:dyDescent="0.35">
      <c r="A6629" t="s">
        <v>7208</v>
      </c>
      <c r="B6629" t="s">
        <v>7209</v>
      </c>
      <c r="C6629" t="s">
        <v>1477</v>
      </c>
      <c r="D6629" t="s">
        <v>339</v>
      </c>
      <c r="E6629" t="s">
        <v>306</v>
      </c>
      <c r="F6629" t="s">
        <v>7245</v>
      </c>
      <c r="G6629">
        <v>41</v>
      </c>
      <c r="H6629">
        <v>4254.03</v>
      </c>
      <c r="I6629">
        <v>103.76</v>
      </c>
      <c r="J6629">
        <v>0</v>
      </c>
      <c r="K6629">
        <v>0</v>
      </c>
      <c r="L6629">
        <v>0</v>
      </c>
      <c r="M6629">
        <v>41</v>
      </c>
      <c r="N6629">
        <v>4254.03</v>
      </c>
      <c r="O6629">
        <v>103.76</v>
      </c>
    </row>
    <row r="6630" spans="1:15" x14ac:dyDescent="0.35">
      <c r="A6630" t="s">
        <v>7208</v>
      </c>
      <c r="B6630" t="s">
        <v>7209</v>
      </c>
      <c r="C6630" t="s">
        <v>1477</v>
      </c>
      <c r="D6630" t="s">
        <v>339</v>
      </c>
      <c r="E6630" t="s">
        <v>308</v>
      </c>
      <c r="F6630" t="s">
        <v>7246</v>
      </c>
      <c r="G6630">
        <v>115</v>
      </c>
      <c r="H6630">
        <v>10744.37</v>
      </c>
      <c r="I6630">
        <v>93.43</v>
      </c>
      <c r="J6630">
        <v>0</v>
      </c>
      <c r="K6630">
        <v>0</v>
      </c>
      <c r="L6630">
        <v>0</v>
      </c>
      <c r="M6630">
        <v>115</v>
      </c>
      <c r="N6630">
        <v>10744.37</v>
      </c>
      <c r="O6630">
        <v>93.43</v>
      </c>
    </row>
    <row r="6631" spans="1:15" x14ac:dyDescent="0.35">
      <c r="A6631" t="s">
        <v>7208</v>
      </c>
      <c r="B6631" t="s">
        <v>7209</v>
      </c>
      <c r="C6631" t="s">
        <v>1477</v>
      </c>
      <c r="D6631" t="s">
        <v>339</v>
      </c>
      <c r="E6631" t="s">
        <v>310</v>
      </c>
      <c r="F6631" t="s">
        <v>7247</v>
      </c>
      <c r="G6631">
        <v>867</v>
      </c>
      <c r="H6631">
        <v>95597.419999999984</v>
      </c>
      <c r="I6631">
        <v>110.26</v>
      </c>
      <c r="J6631">
        <v>923</v>
      </c>
      <c r="K6631">
        <v>81485.22</v>
      </c>
      <c r="L6631">
        <v>88.28</v>
      </c>
      <c r="M6631">
        <v>1790</v>
      </c>
      <c r="N6631">
        <v>177082.63999999998</v>
      </c>
      <c r="O6631">
        <v>98.93</v>
      </c>
    </row>
    <row r="6632" spans="1:15" x14ac:dyDescent="0.35">
      <c r="A6632" t="s">
        <v>7208</v>
      </c>
      <c r="B6632" t="s">
        <v>7209</v>
      </c>
      <c r="C6632" t="s">
        <v>1477</v>
      </c>
      <c r="D6632" t="s">
        <v>339</v>
      </c>
      <c r="E6632" t="s">
        <v>312</v>
      </c>
      <c r="F6632" t="s">
        <v>7248</v>
      </c>
      <c r="G6632">
        <v>752</v>
      </c>
      <c r="H6632">
        <v>84853.049999999988</v>
      </c>
      <c r="I6632">
        <v>112.84</v>
      </c>
      <c r="J6632">
        <v>923</v>
      </c>
      <c r="K6632">
        <v>81485.22</v>
      </c>
      <c r="L6632">
        <v>88.28</v>
      </c>
      <c r="M6632">
        <v>1675</v>
      </c>
      <c r="N6632">
        <v>166338.26999999999</v>
      </c>
      <c r="O6632">
        <v>99.31</v>
      </c>
    </row>
    <row r="6633" spans="1:15" x14ac:dyDescent="0.35">
      <c r="A6633" t="s">
        <v>7208</v>
      </c>
      <c r="B6633" t="s">
        <v>7209</v>
      </c>
      <c r="C6633" t="s">
        <v>1477</v>
      </c>
      <c r="D6633" t="s">
        <v>348</v>
      </c>
      <c r="E6633" t="s">
        <v>349</v>
      </c>
      <c r="F6633" t="s">
        <v>7249</v>
      </c>
      <c r="G6633">
        <v>1615</v>
      </c>
      <c r="H6633">
        <v>99555.279999999984</v>
      </c>
      <c r="I6633">
        <v>111.36</v>
      </c>
      <c r="J6633">
        <v>923</v>
      </c>
      <c r="K6633">
        <v>81485.22</v>
      </c>
      <c r="L6633">
        <v>88.28</v>
      </c>
      <c r="M6633">
        <v>2538</v>
      </c>
      <c r="N6633">
        <v>181040.5</v>
      </c>
      <c r="O6633">
        <v>99.64</v>
      </c>
    </row>
    <row r="6634" spans="1:15" x14ac:dyDescent="0.35">
      <c r="A6634" t="s">
        <v>7250</v>
      </c>
      <c r="B6634" t="s">
        <v>7251</v>
      </c>
      <c r="C6634" t="s">
        <v>1477</v>
      </c>
      <c r="D6634" t="s">
        <v>293</v>
      </c>
      <c r="E6634" t="s">
        <v>294</v>
      </c>
      <c r="F6634" t="s">
        <v>7252</v>
      </c>
      <c r="G6634">
        <v>666</v>
      </c>
      <c r="H6634">
        <v>81976.679999999993</v>
      </c>
      <c r="I6634">
        <v>123.09</v>
      </c>
      <c r="J6634">
        <v>0</v>
      </c>
      <c r="K6634">
        <v>0</v>
      </c>
      <c r="L6634">
        <v>0</v>
      </c>
      <c r="M6634">
        <v>666</v>
      </c>
      <c r="N6634">
        <v>81976.679999999993</v>
      </c>
      <c r="O6634">
        <v>123.09</v>
      </c>
    </row>
    <row r="6635" spans="1:15" x14ac:dyDescent="0.35">
      <c r="A6635" t="s">
        <v>7250</v>
      </c>
      <c r="B6635" t="s">
        <v>7251</v>
      </c>
      <c r="C6635" t="s">
        <v>1477</v>
      </c>
      <c r="D6635" t="s">
        <v>293</v>
      </c>
      <c r="E6635" t="s">
        <v>296</v>
      </c>
      <c r="F6635" t="s">
        <v>7253</v>
      </c>
      <c r="G6635">
        <v>1303</v>
      </c>
      <c r="H6635">
        <v>188780.84999999998</v>
      </c>
      <c r="I6635">
        <v>144.88</v>
      </c>
      <c r="J6635">
        <v>0</v>
      </c>
      <c r="K6635">
        <v>0</v>
      </c>
      <c r="L6635">
        <v>0</v>
      </c>
      <c r="M6635">
        <v>1303</v>
      </c>
      <c r="N6635">
        <v>188780.84999999998</v>
      </c>
      <c r="O6635">
        <v>144.88</v>
      </c>
    </row>
    <row r="6636" spans="1:15" x14ac:dyDescent="0.35">
      <c r="A6636" t="s">
        <v>7250</v>
      </c>
      <c r="B6636" t="s">
        <v>7251</v>
      </c>
      <c r="C6636" t="s">
        <v>1477</v>
      </c>
      <c r="D6636" t="s">
        <v>293</v>
      </c>
      <c r="E6636" t="s">
        <v>298</v>
      </c>
      <c r="F6636" t="s">
        <v>7254</v>
      </c>
      <c r="G6636">
        <v>546</v>
      </c>
      <c r="H6636">
        <v>91214.16</v>
      </c>
      <c r="I6636">
        <v>167.06</v>
      </c>
      <c r="J6636">
        <v>0</v>
      </c>
      <c r="K6636">
        <v>0</v>
      </c>
      <c r="L6636">
        <v>0</v>
      </c>
      <c r="M6636">
        <v>546</v>
      </c>
      <c r="N6636">
        <v>91214.16</v>
      </c>
      <c r="O6636">
        <v>167.06</v>
      </c>
    </row>
    <row r="6637" spans="1:15" x14ac:dyDescent="0.35">
      <c r="A6637" t="s">
        <v>7250</v>
      </c>
      <c r="B6637" t="s">
        <v>7251</v>
      </c>
      <c r="C6637" t="s">
        <v>1477</v>
      </c>
      <c r="D6637" t="s">
        <v>293</v>
      </c>
      <c r="E6637" t="s">
        <v>300</v>
      </c>
      <c r="F6637" t="s">
        <v>7255</v>
      </c>
      <c r="G6637">
        <v>40</v>
      </c>
      <c r="H6637">
        <v>8707.4500000000007</v>
      </c>
      <c r="I6637">
        <v>217.69</v>
      </c>
      <c r="J6637">
        <v>0</v>
      </c>
      <c r="K6637">
        <v>0</v>
      </c>
      <c r="L6637">
        <v>0</v>
      </c>
      <c r="M6637">
        <v>40</v>
      </c>
      <c r="N6637">
        <v>8707.4500000000007</v>
      </c>
      <c r="O6637">
        <v>217.69</v>
      </c>
    </row>
    <row r="6638" spans="1:15" x14ac:dyDescent="0.35">
      <c r="A6638" t="s">
        <v>7250</v>
      </c>
      <c r="B6638" t="s">
        <v>7251</v>
      </c>
      <c r="C6638" t="s">
        <v>1477</v>
      </c>
      <c r="D6638" t="s">
        <v>293</v>
      </c>
      <c r="E6638" t="s">
        <v>302</v>
      </c>
      <c r="F6638" t="s">
        <v>7256</v>
      </c>
      <c r="G6638">
        <v>2</v>
      </c>
      <c r="H6638">
        <v>461.11</v>
      </c>
      <c r="I6638">
        <v>230.56</v>
      </c>
      <c r="J6638">
        <v>0</v>
      </c>
      <c r="K6638">
        <v>0</v>
      </c>
      <c r="L6638">
        <v>0</v>
      </c>
      <c r="M6638">
        <v>2</v>
      </c>
      <c r="N6638">
        <v>461.11</v>
      </c>
      <c r="O6638">
        <v>230.56</v>
      </c>
    </row>
    <row r="6639" spans="1:15" x14ac:dyDescent="0.35">
      <c r="A6639" t="s">
        <v>7250</v>
      </c>
      <c r="B6639" t="s">
        <v>7251</v>
      </c>
      <c r="C6639" t="s">
        <v>1477</v>
      </c>
      <c r="D6639" t="s">
        <v>293</v>
      </c>
      <c r="E6639" t="s">
        <v>304</v>
      </c>
      <c r="F6639" t="s">
        <v>7257</v>
      </c>
      <c r="G6639">
        <v>0</v>
      </c>
      <c r="H6639">
        <v>0</v>
      </c>
      <c r="I6639">
        <v>0</v>
      </c>
      <c r="J6639">
        <v>0</v>
      </c>
      <c r="K6639">
        <v>0</v>
      </c>
      <c r="L6639">
        <v>0</v>
      </c>
      <c r="M6639">
        <v>0</v>
      </c>
      <c r="N6639">
        <v>0</v>
      </c>
      <c r="O6639">
        <v>0</v>
      </c>
    </row>
    <row r="6640" spans="1:15" x14ac:dyDescent="0.35">
      <c r="A6640" t="s">
        <v>7250</v>
      </c>
      <c r="B6640" t="s">
        <v>7251</v>
      </c>
      <c r="C6640" t="s">
        <v>1477</v>
      </c>
      <c r="D6640" t="s">
        <v>293</v>
      </c>
      <c r="E6640" t="s">
        <v>306</v>
      </c>
      <c r="F6640" t="s">
        <v>7258</v>
      </c>
      <c r="G6640">
        <v>0</v>
      </c>
      <c r="H6640">
        <v>0</v>
      </c>
      <c r="I6640">
        <v>0</v>
      </c>
      <c r="J6640">
        <v>0</v>
      </c>
      <c r="K6640">
        <v>0</v>
      </c>
      <c r="L6640">
        <v>0</v>
      </c>
      <c r="M6640">
        <v>0</v>
      </c>
      <c r="N6640">
        <v>0</v>
      </c>
      <c r="O6640">
        <v>0</v>
      </c>
    </row>
    <row r="6641" spans="1:15" x14ac:dyDescent="0.35">
      <c r="A6641" t="s">
        <v>7250</v>
      </c>
      <c r="B6641" t="s">
        <v>7251</v>
      </c>
      <c r="C6641" t="s">
        <v>1477</v>
      </c>
      <c r="D6641" t="s">
        <v>293</v>
      </c>
      <c r="E6641" t="s">
        <v>308</v>
      </c>
      <c r="F6641" t="s">
        <v>7259</v>
      </c>
      <c r="G6641">
        <v>0</v>
      </c>
      <c r="H6641">
        <v>0</v>
      </c>
      <c r="I6641">
        <v>0</v>
      </c>
      <c r="J6641">
        <v>0</v>
      </c>
      <c r="K6641">
        <v>0</v>
      </c>
      <c r="L6641">
        <v>0</v>
      </c>
      <c r="M6641">
        <v>0</v>
      </c>
      <c r="N6641">
        <v>0</v>
      </c>
      <c r="O6641">
        <v>0</v>
      </c>
    </row>
    <row r="6642" spans="1:15" x14ac:dyDescent="0.35">
      <c r="A6642" t="s">
        <v>7250</v>
      </c>
      <c r="B6642" t="s">
        <v>7251</v>
      </c>
      <c r="C6642" t="s">
        <v>1477</v>
      </c>
      <c r="D6642" t="s">
        <v>293</v>
      </c>
      <c r="E6642" t="s">
        <v>310</v>
      </c>
      <c r="F6642" t="s">
        <v>7260</v>
      </c>
      <c r="G6642">
        <v>2557</v>
      </c>
      <c r="H6642">
        <v>371140.24999999994</v>
      </c>
      <c r="I6642">
        <v>145.15</v>
      </c>
      <c r="J6642">
        <v>0</v>
      </c>
      <c r="K6642">
        <v>0</v>
      </c>
      <c r="L6642">
        <v>0</v>
      </c>
      <c r="M6642">
        <v>2557</v>
      </c>
      <c r="N6642">
        <v>371140.24999999994</v>
      </c>
      <c r="O6642">
        <v>145.15</v>
      </c>
    </row>
    <row r="6643" spans="1:15" x14ac:dyDescent="0.35">
      <c r="A6643" t="s">
        <v>7250</v>
      </c>
      <c r="B6643" t="s">
        <v>7251</v>
      </c>
      <c r="C6643" t="s">
        <v>1477</v>
      </c>
      <c r="D6643" t="s">
        <v>293</v>
      </c>
      <c r="E6643" t="s">
        <v>312</v>
      </c>
      <c r="F6643" t="s">
        <v>7261</v>
      </c>
      <c r="G6643">
        <v>2557</v>
      </c>
      <c r="H6643">
        <v>371140.24999999994</v>
      </c>
      <c r="I6643">
        <v>145.15</v>
      </c>
      <c r="J6643">
        <v>0</v>
      </c>
      <c r="K6643">
        <v>0</v>
      </c>
      <c r="L6643">
        <v>0</v>
      </c>
      <c r="M6643">
        <v>2557</v>
      </c>
      <c r="N6643">
        <v>371140.24999999994</v>
      </c>
      <c r="O6643">
        <v>145.15</v>
      </c>
    </row>
    <row r="6644" spans="1:15" x14ac:dyDescent="0.35">
      <c r="A6644" t="s">
        <v>7250</v>
      </c>
      <c r="B6644" t="s">
        <v>7251</v>
      </c>
      <c r="C6644" t="s">
        <v>1477</v>
      </c>
      <c r="D6644" t="s">
        <v>314</v>
      </c>
      <c r="E6644" t="s">
        <v>294</v>
      </c>
      <c r="F6644" t="s">
        <v>7262</v>
      </c>
      <c r="G6644">
        <v>0</v>
      </c>
      <c r="H6644">
        <v>0</v>
      </c>
      <c r="I6644">
        <v>0</v>
      </c>
      <c r="J6644">
        <v>0</v>
      </c>
      <c r="K6644">
        <v>0</v>
      </c>
      <c r="L6644">
        <v>0</v>
      </c>
      <c r="M6644">
        <v>0</v>
      </c>
      <c r="N6644">
        <v>0</v>
      </c>
      <c r="O6644">
        <v>0</v>
      </c>
    </row>
    <row r="6645" spans="1:15" x14ac:dyDescent="0.35">
      <c r="A6645" t="s">
        <v>7250</v>
      </c>
      <c r="B6645" t="s">
        <v>7251</v>
      </c>
      <c r="C6645" t="s">
        <v>1477</v>
      </c>
      <c r="D6645" t="s">
        <v>314</v>
      </c>
      <c r="E6645" t="s">
        <v>296</v>
      </c>
      <c r="F6645" t="s">
        <v>7263</v>
      </c>
      <c r="G6645">
        <v>0</v>
      </c>
      <c r="H6645">
        <v>0</v>
      </c>
      <c r="I6645">
        <v>0</v>
      </c>
      <c r="J6645">
        <v>0</v>
      </c>
      <c r="K6645">
        <v>0</v>
      </c>
      <c r="L6645">
        <v>0</v>
      </c>
      <c r="M6645">
        <v>0</v>
      </c>
      <c r="N6645">
        <v>0</v>
      </c>
      <c r="O6645">
        <v>0</v>
      </c>
    </row>
    <row r="6646" spans="1:15" x14ac:dyDescent="0.35">
      <c r="A6646" t="s">
        <v>7250</v>
      </c>
      <c r="B6646" t="s">
        <v>7251</v>
      </c>
      <c r="C6646" t="s">
        <v>1477</v>
      </c>
      <c r="D6646" t="s">
        <v>314</v>
      </c>
      <c r="E6646" t="s">
        <v>298</v>
      </c>
      <c r="F6646" t="s">
        <v>7264</v>
      </c>
      <c r="G6646">
        <v>0</v>
      </c>
      <c r="H6646">
        <v>0</v>
      </c>
      <c r="I6646">
        <v>0</v>
      </c>
      <c r="J6646">
        <v>0</v>
      </c>
      <c r="K6646">
        <v>0</v>
      </c>
      <c r="L6646">
        <v>0</v>
      </c>
      <c r="M6646">
        <v>0</v>
      </c>
      <c r="N6646">
        <v>0</v>
      </c>
      <c r="O6646">
        <v>0</v>
      </c>
    </row>
    <row r="6647" spans="1:15" x14ac:dyDescent="0.35">
      <c r="A6647" t="s">
        <v>7250</v>
      </c>
      <c r="B6647" t="s">
        <v>7251</v>
      </c>
      <c r="C6647" t="s">
        <v>1477</v>
      </c>
      <c r="D6647" t="s">
        <v>314</v>
      </c>
      <c r="E6647" t="s">
        <v>300</v>
      </c>
      <c r="F6647" t="s">
        <v>7265</v>
      </c>
      <c r="G6647">
        <v>0</v>
      </c>
      <c r="H6647">
        <v>0</v>
      </c>
      <c r="I6647">
        <v>0</v>
      </c>
      <c r="J6647">
        <v>0</v>
      </c>
      <c r="K6647">
        <v>0</v>
      </c>
      <c r="L6647">
        <v>0</v>
      </c>
      <c r="M6647">
        <v>0</v>
      </c>
      <c r="N6647">
        <v>0</v>
      </c>
      <c r="O6647">
        <v>0</v>
      </c>
    </row>
    <row r="6648" spans="1:15" x14ac:dyDescent="0.35">
      <c r="A6648" t="s">
        <v>7250</v>
      </c>
      <c r="B6648" t="s">
        <v>7251</v>
      </c>
      <c r="C6648" t="s">
        <v>1477</v>
      </c>
      <c r="D6648" t="s">
        <v>314</v>
      </c>
      <c r="E6648" t="s">
        <v>306</v>
      </c>
      <c r="F6648" t="s">
        <v>7266</v>
      </c>
      <c r="G6648">
        <v>0</v>
      </c>
      <c r="H6648">
        <v>0</v>
      </c>
      <c r="I6648">
        <v>0</v>
      </c>
      <c r="J6648">
        <v>0</v>
      </c>
      <c r="K6648">
        <v>0</v>
      </c>
      <c r="L6648">
        <v>0</v>
      </c>
      <c r="M6648">
        <v>0</v>
      </c>
      <c r="N6648">
        <v>0</v>
      </c>
      <c r="O6648">
        <v>0</v>
      </c>
    </row>
    <row r="6649" spans="1:15" x14ac:dyDescent="0.35">
      <c r="A6649" t="s">
        <v>7250</v>
      </c>
      <c r="B6649" t="s">
        <v>7251</v>
      </c>
      <c r="C6649" t="s">
        <v>1477</v>
      </c>
      <c r="D6649" t="s">
        <v>314</v>
      </c>
      <c r="E6649" t="s">
        <v>308</v>
      </c>
      <c r="F6649" t="s">
        <v>7267</v>
      </c>
      <c r="G6649">
        <v>0</v>
      </c>
      <c r="H6649">
        <v>0</v>
      </c>
      <c r="I6649">
        <v>0</v>
      </c>
      <c r="J6649">
        <v>0</v>
      </c>
      <c r="K6649">
        <v>0</v>
      </c>
      <c r="L6649">
        <v>0</v>
      </c>
      <c r="M6649">
        <v>0</v>
      </c>
      <c r="N6649">
        <v>0</v>
      </c>
      <c r="O6649">
        <v>0</v>
      </c>
    </row>
    <row r="6650" spans="1:15" x14ac:dyDescent="0.35">
      <c r="A6650" t="s">
        <v>7250</v>
      </c>
      <c r="B6650" t="s">
        <v>7251</v>
      </c>
      <c r="C6650" t="s">
        <v>1477</v>
      </c>
      <c r="D6650" t="s">
        <v>314</v>
      </c>
      <c r="E6650" t="s">
        <v>312</v>
      </c>
      <c r="F6650" t="s">
        <v>7268</v>
      </c>
      <c r="G6650">
        <v>0</v>
      </c>
      <c r="H6650">
        <v>0</v>
      </c>
      <c r="I6650">
        <v>0</v>
      </c>
      <c r="J6650">
        <v>0</v>
      </c>
      <c r="K6650">
        <v>0</v>
      </c>
      <c r="L6650">
        <v>0</v>
      </c>
      <c r="M6650">
        <v>0</v>
      </c>
      <c r="N6650">
        <v>0</v>
      </c>
      <c r="O6650">
        <v>0</v>
      </c>
    </row>
    <row r="6651" spans="1:15" x14ac:dyDescent="0.35">
      <c r="A6651" t="s">
        <v>7250</v>
      </c>
      <c r="B6651" t="s">
        <v>7251</v>
      </c>
      <c r="C6651" t="s">
        <v>1477</v>
      </c>
      <c r="D6651" t="s">
        <v>314</v>
      </c>
      <c r="E6651" t="s">
        <v>310</v>
      </c>
      <c r="F6651" t="s">
        <v>7269</v>
      </c>
      <c r="G6651">
        <v>0</v>
      </c>
      <c r="H6651">
        <v>0</v>
      </c>
      <c r="I6651">
        <v>0</v>
      </c>
      <c r="J6651">
        <v>0</v>
      </c>
      <c r="K6651">
        <v>0</v>
      </c>
      <c r="L6651">
        <v>0</v>
      </c>
      <c r="M6651">
        <v>0</v>
      </c>
      <c r="N6651">
        <v>0</v>
      </c>
      <c r="O6651">
        <v>0</v>
      </c>
    </row>
    <row r="6652" spans="1:15" x14ac:dyDescent="0.35">
      <c r="A6652" t="s">
        <v>7250</v>
      </c>
      <c r="B6652" t="s">
        <v>7251</v>
      </c>
      <c r="C6652" t="s">
        <v>1477</v>
      </c>
      <c r="D6652" t="s">
        <v>323</v>
      </c>
      <c r="E6652" t="s">
        <v>294</v>
      </c>
      <c r="F6652" t="s">
        <v>7270</v>
      </c>
      <c r="G6652">
        <v>714</v>
      </c>
      <c r="H6652">
        <v>66036.209999999992</v>
      </c>
      <c r="I6652">
        <v>92.49</v>
      </c>
      <c r="J6652">
        <v>23</v>
      </c>
      <c r="K6652">
        <v>2026.0700000000002</v>
      </c>
      <c r="L6652">
        <v>88.09</v>
      </c>
      <c r="M6652">
        <v>737</v>
      </c>
      <c r="N6652">
        <v>68062.28</v>
      </c>
      <c r="O6652">
        <v>92.35</v>
      </c>
    </row>
    <row r="6653" spans="1:15" x14ac:dyDescent="0.35">
      <c r="A6653" t="s">
        <v>7250</v>
      </c>
      <c r="B6653" t="s">
        <v>7251</v>
      </c>
      <c r="C6653" t="s">
        <v>1477</v>
      </c>
      <c r="D6653" t="s">
        <v>323</v>
      </c>
      <c r="E6653" t="s">
        <v>296</v>
      </c>
      <c r="F6653" t="s">
        <v>7271</v>
      </c>
      <c r="G6653">
        <v>2022</v>
      </c>
      <c r="H6653">
        <v>214911.36000000002</v>
      </c>
      <c r="I6653">
        <v>106.29</v>
      </c>
      <c r="J6653">
        <v>4</v>
      </c>
      <c r="K6653">
        <v>384.6</v>
      </c>
      <c r="L6653">
        <v>96.15</v>
      </c>
      <c r="M6653">
        <v>2026</v>
      </c>
      <c r="N6653">
        <v>215295.96000000002</v>
      </c>
      <c r="O6653">
        <v>106.27</v>
      </c>
    </row>
    <row r="6654" spans="1:15" x14ac:dyDescent="0.35">
      <c r="A6654" t="s">
        <v>7250</v>
      </c>
      <c r="B6654" t="s">
        <v>7251</v>
      </c>
      <c r="C6654" t="s">
        <v>1477</v>
      </c>
      <c r="D6654" t="s">
        <v>323</v>
      </c>
      <c r="E6654" t="s">
        <v>298</v>
      </c>
      <c r="F6654" t="s">
        <v>7272</v>
      </c>
      <c r="G6654">
        <v>1641</v>
      </c>
      <c r="H6654">
        <v>194716.08</v>
      </c>
      <c r="I6654">
        <v>118.66</v>
      </c>
      <c r="J6654">
        <v>5</v>
      </c>
      <c r="K6654">
        <v>628.5</v>
      </c>
      <c r="L6654">
        <v>125.7</v>
      </c>
      <c r="M6654">
        <v>1646</v>
      </c>
      <c r="N6654">
        <v>195344.58</v>
      </c>
      <c r="O6654">
        <v>118.68</v>
      </c>
    </row>
    <row r="6655" spans="1:15" x14ac:dyDescent="0.35">
      <c r="A6655" t="s">
        <v>7250</v>
      </c>
      <c r="B6655" t="s">
        <v>7251</v>
      </c>
      <c r="C6655" t="s">
        <v>1477</v>
      </c>
      <c r="D6655" t="s">
        <v>323</v>
      </c>
      <c r="E6655" t="s">
        <v>300</v>
      </c>
      <c r="F6655" t="s">
        <v>7273</v>
      </c>
      <c r="G6655">
        <v>86</v>
      </c>
      <c r="H6655">
        <v>11688.580000000002</v>
      </c>
      <c r="I6655">
        <v>135.91</v>
      </c>
      <c r="J6655">
        <v>0</v>
      </c>
      <c r="K6655">
        <v>0</v>
      </c>
      <c r="L6655">
        <v>0</v>
      </c>
      <c r="M6655">
        <v>86</v>
      </c>
      <c r="N6655">
        <v>11688.580000000002</v>
      </c>
      <c r="O6655">
        <v>135.91</v>
      </c>
    </row>
    <row r="6656" spans="1:15" x14ac:dyDescent="0.35">
      <c r="A6656" t="s">
        <v>7250</v>
      </c>
      <c r="B6656" t="s">
        <v>7251</v>
      </c>
      <c r="C6656" t="s">
        <v>1477</v>
      </c>
      <c r="D6656" t="s">
        <v>323</v>
      </c>
      <c r="E6656" t="s">
        <v>302</v>
      </c>
      <c r="F6656" t="s">
        <v>7274</v>
      </c>
      <c r="G6656">
        <v>1</v>
      </c>
      <c r="H6656">
        <v>141.01</v>
      </c>
      <c r="I6656">
        <v>141.01</v>
      </c>
      <c r="J6656">
        <v>0</v>
      </c>
      <c r="K6656">
        <v>0</v>
      </c>
      <c r="L6656">
        <v>0</v>
      </c>
      <c r="M6656">
        <v>1</v>
      </c>
      <c r="N6656">
        <v>141.01</v>
      </c>
      <c r="O6656">
        <v>141.01</v>
      </c>
    </row>
    <row r="6657" spans="1:15" x14ac:dyDescent="0.35">
      <c r="A6657" t="s">
        <v>7250</v>
      </c>
      <c r="B6657" t="s">
        <v>7251</v>
      </c>
      <c r="C6657" t="s">
        <v>1477</v>
      </c>
      <c r="D6657" t="s">
        <v>323</v>
      </c>
      <c r="E6657" t="s">
        <v>304</v>
      </c>
      <c r="F6657" t="s">
        <v>7275</v>
      </c>
      <c r="G6657">
        <v>0</v>
      </c>
      <c r="H6657">
        <v>0</v>
      </c>
      <c r="I6657">
        <v>0</v>
      </c>
      <c r="J6657">
        <v>0</v>
      </c>
      <c r="K6657">
        <v>0</v>
      </c>
      <c r="L6657">
        <v>0</v>
      </c>
      <c r="M6657">
        <v>0</v>
      </c>
      <c r="N6657">
        <v>0</v>
      </c>
      <c r="O6657">
        <v>0</v>
      </c>
    </row>
    <row r="6658" spans="1:15" x14ac:dyDescent="0.35">
      <c r="A6658" t="s">
        <v>7250</v>
      </c>
      <c r="B6658" t="s">
        <v>7251</v>
      </c>
      <c r="C6658" t="s">
        <v>1477</v>
      </c>
      <c r="D6658" t="s">
        <v>323</v>
      </c>
      <c r="E6658" t="s">
        <v>306</v>
      </c>
      <c r="F6658" t="s">
        <v>7276</v>
      </c>
      <c r="G6658">
        <v>12</v>
      </c>
      <c r="H6658">
        <v>1007.52</v>
      </c>
      <c r="I6658">
        <v>83.96</v>
      </c>
      <c r="J6658">
        <v>6</v>
      </c>
      <c r="K6658">
        <v>464.34000000000003</v>
      </c>
      <c r="L6658">
        <v>77.39</v>
      </c>
      <c r="M6658">
        <v>18</v>
      </c>
      <c r="N6658">
        <v>1471.8600000000001</v>
      </c>
      <c r="O6658">
        <v>81.77</v>
      </c>
    </row>
    <row r="6659" spans="1:15" x14ac:dyDescent="0.35">
      <c r="A6659" t="s">
        <v>7250</v>
      </c>
      <c r="B6659" t="s">
        <v>7251</v>
      </c>
      <c r="C6659" t="s">
        <v>1477</v>
      </c>
      <c r="D6659" t="s">
        <v>323</v>
      </c>
      <c r="E6659" t="s">
        <v>308</v>
      </c>
      <c r="F6659" t="s">
        <v>7277</v>
      </c>
      <c r="G6659">
        <v>0</v>
      </c>
      <c r="H6659">
        <v>0</v>
      </c>
      <c r="I6659">
        <v>0</v>
      </c>
      <c r="J6659">
        <v>13</v>
      </c>
      <c r="K6659">
        <v>1063.79</v>
      </c>
      <c r="L6659">
        <v>81.83</v>
      </c>
      <c r="M6659">
        <v>13</v>
      </c>
      <c r="N6659">
        <v>1063.79</v>
      </c>
      <c r="O6659">
        <v>81.83</v>
      </c>
    </row>
    <row r="6660" spans="1:15" x14ac:dyDescent="0.35">
      <c r="A6660" t="s">
        <v>7250</v>
      </c>
      <c r="B6660" t="s">
        <v>7251</v>
      </c>
      <c r="C6660" t="s">
        <v>1477</v>
      </c>
      <c r="D6660" t="s">
        <v>323</v>
      </c>
      <c r="E6660" t="s">
        <v>310</v>
      </c>
      <c r="F6660" t="s">
        <v>7278</v>
      </c>
      <c r="G6660">
        <v>4476</v>
      </c>
      <c r="H6660">
        <v>488500.76000000007</v>
      </c>
      <c r="I6660">
        <v>109.14</v>
      </c>
      <c r="J6660">
        <v>51</v>
      </c>
      <c r="K6660">
        <v>4567.3</v>
      </c>
      <c r="L6660">
        <v>89.55</v>
      </c>
      <c r="M6660">
        <v>4527</v>
      </c>
      <c r="N6660">
        <v>493068.06000000006</v>
      </c>
      <c r="O6660">
        <v>108.92</v>
      </c>
    </row>
    <row r="6661" spans="1:15" x14ac:dyDescent="0.35">
      <c r="A6661" t="s">
        <v>7250</v>
      </c>
      <c r="B6661" t="s">
        <v>7251</v>
      </c>
      <c r="C6661" t="s">
        <v>1477</v>
      </c>
      <c r="D6661" t="s">
        <v>323</v>
      </c>
      <c r="E6661" t="s">
        <v>312</v>
      </c>
      <c r="F6661" t="s">
        <v>7279</v>
      </c>
      <c r="G6661">
        <v>4476</v>
      </c>
      <c r="H6661">
        <v>488500.76000000007</v>
      </c>
      <c r="I6661">
        <v>109.14</v>
      </c>
      <c r="J6661">
        <v>38</v>
      </c>
      <c r="K6661">
        <v>3503.51</v>
      </c>
      <c r="L6661">
        <v>92.2</v>
      </c>
      <c r="M6661">
        <v>4514</v>
      </c>
      <c r="N6661">
        <v>492004.27000000008</v>
      </c>
      <c r="O6661">
        <v>109</v>
      </c>
    </row>
    <row r="6662" spans="1:15" x14ac:dyDescent="0.35">
      <c r="A6662" t="s">
        <v>7250</v>
      </c>
      <c r="B6662" t="s">
        <v>7251</v>
      </c>
      <c r="C6662" t="s">
        <v>1477</v>
      </c>
      <c r="D6662" t="s">
        <v>334</v>
      </c>
      <c r="E6662" t="s">
        <v>312</v>
      </c>
      <c r="F6662" t="s">
        <v>7280</v>
      </c>
      <c r="G6662">
        <v>7366</v>
      </c>
      <c r="H6662">
        <v>859641.00999999989</v>
      </c>
      <c r="I6662">
        <v>122.23</v>
      </c>
      <c r="J6662">
        <v>38</v>
      </c>
      <c r="K6662">
        <v>3503.51</v>
      </c>
      <c r="L6662">
        <v>92.2</v>
      </c>
      <c r="M6662">
        <v>7404</v>
      </c>
      <c r="N6662">
        <v>863144.5199999999</v>
      </c>
      <c r="O6662">
        <v>122.07</v>
      </c>
    </row>
    <row r="6663" spans="1:15" x14ac:dyDescent="0.35">
      <c r="A6663" t="s">
        <v>7250</v>
      </c>
      <c r="B6663" t="s">
        <v>7251</v>
      </c>
      <c r="C6663" t="s">
        <v>1477</v>
      </c>
      <c r="D6663" t="s">
        <v>334</v>
      </c>
      <c r="E6663" t="s">
        <v>308</v>
      </c>
      <c r="F6663" t="s">
        <v>7281</v>
      </c>
      <c r="G6663">
        <v>0</v>
      </c>
      <c r="H6663">
        <v>0</v>
      </c>
      <c r="I6663">
        <v>0</v>
      </c>
      <c r="J6663">
        <v>13</v>
      </c>
      <c r="K6663">
        <v>1063.79</v>
      </c>
      <c r="L6663">
        <v>81.83</v>
      </c>
      <c r="M6663">
        <v>13</v>
      </c>
      <c r="N6663">
        <v>1063.79</v>
      </c>
      <c r="O6663">
        <v>81.83</v>
      </c>
    </row>
    <row r="6664" spans="1:15" x14ac:dyDescent="0.35">
      <c r="A6664" t="s">
        <v>7250</v>
      </c>
      <c r="B6664" t="s">
        <v>7251</v>
      </c>
      <c r="C6664" t="s">
        <v>1477</v>
      </c>
      <c r="D6664" t="s">
        <v>337</v>
      </c>
      <c r="E6664" t="s">
        <v>337</v>
      </c>
      <c r="F6664" t="s">
        <v>7282</v>
      </c>
      <c r="G6664">
        <v>960</v>
      </c>
      <c r="J6664">
        <v>0</v>
      </c>
      <c r="M6664">
        <v>960</v>
      </c>
    </row>
    <row r="6665" spans="1:15" x14ac:dyDescent="0.35">
      <c r="A6665" t="s">
        <v>7250</v>
      </c>
      <c r="B6665" t="s">
        <v>7251</v>
      </c>
      <c r="C6665" t="s">
        <v>1477</v>
      </c>
      <c r="D6665" t="s">
        <v>339</v>
      </c>
      <c r="E6665" t="s">
        <v>294</v>
      </c>
      <c r="F6665" t="s">
        <v>7283</v>
      </c>
      <c r="G6665">
        <v>716</v>
      </c>
      <c r="H6665">
        <v>74324.100000000006</v>
      </c>
      <c r="I6665">
        <v>103.8</v>
      </c>
      <c r="J6665">
        <v>0</v>
      </c>
      <c r="K6665">
        <v>0</v>
      </c>
      <c r="L6665">
        <v>0</v>
      </c>
      <c r="M6665">
        <v>716</v>
      </c>
      <c r="N6665">
        <v>74324.100000000006</v>
      </c>
      <c r="O6665">
        <v>103.8</v>
      </c>
    </row>
    <row r="6666" spans="1:15" x14ac:dyDescent="0.35">
      <c r="A6666" t="s">
        <v>7250</v>
      </c>
      <c r="B6666" t="s">
        <v>7251</v>
      </c>
      <c r="C6666" t="s">
        <v>1477</v>
      </c>
      <c r="D6666" t="s">
        <v>339</v>
      </c>
      <c r="E6666" t="s">
        <v>296</v>
      </c>
      <c r="F6666" t="s">
        <v>7284</v>
      </c>
      <c r="G6666">
        <v>118</v>
      </c>
      <c r="H6666">
        <v>13663.989999999998</v>
      </c>
      <c r="I6666">
        <v>115.8</v>
      </c>
      <c r="J6666">
        <v>0</v>
      </c>
      <c r="K6666">
        <v>0</v>
      </c>
      <c r="L6666">
        <v>0</v>
      </c>
      <c r="M6666">
        <v>118</v>
      </c>
      <c r="N6666">
        <v>13663.989999999998</v>
      </c>
      <c r="O6666">
        <v>115.8</v>
      </c>
    </row>
    <row r="6667" spans="1:15" x14ac:dyDescent="0.35">
      <c r="A6667" t="s">
        <v>7250</v>
      </c>
      <c r="B6667" t="s">
        <v>7251</v>
      </c>
      <c r="C6667" t="s">
        <v>1477</v>
      </c>
      <c r="D6667" t="s">
        <v>339</v>
      </c>
      <c r="E6667" t="s">
        <v>298</v>
      </c>
      <c r="F6667" t="s">
        <v>7285</v>
      </c>
      <c r="G6667">
        <v>5</v>
      </c>
      <c r="H6667">
        <v>704.68</v>
      </c>
      <c r="I6667">
        <v>140.94</v>
      </c>
      <c r="J6667">
        <v>0</v>
      </c>
      <c r="K6667">
        <v>0</v>
      </c>
      <c r="L6667">
        <v>0</v>
      </c>
      <c r="M6667">
        <v>5</v>
      </c>
      <c r="N6667">
        <v>704.68</v>
      </c>
      <c r="O6667">
        <v>140.94</v>
      </c>
    </row>
    <row r="6668" spans="1:15" x14ac:dyDescent="0.35">
      <c r="A6668" t="s">
        <v>7250</v>
      </c>
      <c r="B6668" t="s">
        <v>7251</v>
      </c>
      <c r="C6668" t="s">
        <v>1477</v>
      </c>
      <c r="D6668" t="s">
        <v>339</v>
      </c>
      <c r="E6668" t="s">
        <v>300</v>
      </c>
      <c r="F6668" t="s">
        <v>7286</v>
      </c>
      <c r="G6668">
        <v>1</v>
      </c>
      <c r="H6668">
        <v>149.29</v>
      </c>
      <c r="I6668">
        <v>149.29</v>
      </c>
      <c r="J6668">
        <v>0</v>
      </c>
      <c r="K6668">
        <v>0</v>
      </c>
      <c r="L6668">
        <v>0</v>
      </c>
      <c r="M6668">
        <v>1</v>
      </c>
      <c r="N6668">
        <v>149.29</v>
      </c>
      <c r="O6668">
        <v>149.29</v>
      </c>
    </row>
    <row r="6669" spans="1:15" x14ac:dyDescent="0.35">
      <c r="A6669" t="s">
        <v>7250</v>
      </c>
      <c r="B6669" t="s">
        <v>7251</v>
      </c>
      <c r="C6669" t="s">
        <v>1477</v>
      </c>
      <c r="D6669" t="s">
        <v>339</v>
      </c>
      <c r="E6669" t="s">
        <v>306</v>
      </c>
      <c r="F6669" t="s">
        <v>7287</v>
      </c>
      <c r="G6669">
        <v>12</v>
      </c>
      <c r="H6669">
        <v>1361.06</v>
      </c>
      <c r="I6669">
        <v>113.42</v>
      </c>
      <c r="J6669">
        <v>0</v>
      </c>
      <c r="K6669">
        <v>0</v>
      </c>
      <c r="L6669">
        <v>0</v>
      </c>
      <c r="M6669">
        <v>12</v>
      </c>
      <c r="N6669">
        <v>1361.06</v>
      </c>
      <c r="O6669">
        <v>113.42</v>
      </c>
    </row>
    <row r="6670" spans="1:15" x14ac:dyDescent="0.35">
      <c r="A6670" t="s">
        <v>7250</v>
      </c>
      <c r="B6670" t="s">
        <v>7251</v>
      </c>
      <c r="C6670" t="s">
        <v>1477</v>
      </c>
      <c r="D6670" t="s">
        <v>339</v>
      </c>
      <c r="E6670" t="s">
        <v>308</v>
      </c>
      <c r="F6670" t="s">
        <v>7288</v>
      </c>
      <c r="G6670">
        <v>90</v>
      </c>
      <c r="H6670">
        <v>14048.080000000002</v>
      </c>
      <c r="I6670">
        <v>156.09</v>
      </c>
      <c r="J6670">
        <v>0</v>
      </c>
      <c r="K6670">
        <v>0</v>
      </c>
      <c r="L6670">
        <v>0</v>
      </c>
      <c r="M6670">
        <v>90</v>
      </c>
      <c r="N6670">
        <v>14048.080000000002</v>
      </c>
      <c r="O6670">
        <v>156.09</v>
      </c>
    </row>
    <row r="6671" spans="1:15" x14ac:dyDescent="0.35">
      <c r="A6671" t="s">
        <v>7250</v>
      </c>
      <c r="B6671" t="s">
        <v>7251</v>
      </c>
      <c r="C6671" t="s">
        <v>1477</v>
      </c>
      <c r="D6671" t="s">
        <v>339</v>
      </c>
      <c r="E6671" t="s">
        <v>310</v>
      </c>
      <c r="F6671" t="s">
        <v>7289</v>
      </c>
      <c r="G6671">
        <v>942</v>
      </c>
      <c r="H6671">
        <v>104251.19999999998</v>
      </c>
      <c r="I6671">
        <v>110.67</v>
      </c>
      <c r="J6671">
        <v>0</v>
      </c>
      <c r="K6671">
        <v>0</v>
      </c>
      <c r="L6671">
        <v>0</v>
      </c>
      <c r="M6671">
        <v>942</v>
      </c>
      <c r="N6671">
        <v>104251.19999999998</v>
      </c>
      <c r="O6671">
        <v>110.67</v>
      </c>
    </row>
    <row r="6672" spans="1:15" x14ac:dyDescent="0.35">
      <c r="A6672" t="s">
        <v>7250</v>
      </c>
      <c r="B6672" t="s">
        <v>7251</v>
      </c>
      <c r="C6672" t="s">
        <v>1477</v>
      </c>
      <c r="D6672" t="s">
        <v>339</v>
      </c>
      <c r="E6672" t="s">
        <v>312</v>
      </c>
      <c r="F6672" t="s">
        <v>7290</v>
      </c>
      <c r="G6672">
        <v>852</v>
      </c>
      <c r="H6672">
        <v>90203.119999999981</v>
      </c>
      <c r="I6672">
        <v>105.87</v>
      </c>
      <c r="J6672">
        <v>0</v>
      </c>
      <c r="K6672">
        <v>0</v>
      </c>
      <c r="L6672">
        <v>0</v>
      </c>
      <c r="M6672">
        <v>852</v>
      </c>
      <c r="N6672">
        <v>90203.119999999981</v>
      </c>
      <c r="O6672">
        <v>105.87</v>
      </c>
    </row>
    <row r="6673" spans="1:15" x14ac:dyDescent="0.35">
      <c r="A6673" t="s">
        <v>7250</v>
      </c>
      <c r="B6673" t="s">
        <v>7251</v>
      </c>
      <c r="C6673" t="s">
        <v>1477</v>
      </c>
      <c r="D6673" t="s">
        <v>348</v>
      </c>
      <c r="E6673" t="s">
        <v>349</v>
      </c>
      <c r="F6673" t="s">
        <v>7291</v>
      </c>
      <c r="G6673">
        <v>991</v>
      </c>
      <c r="H6673">
        <v>104251.19999999998</v>
      </c>
      <c r="I6673">
        <v>110.67</v>
      </c>
      <c r="J6673">
        <v>0</v>
      </c>
      <c r="K6673">
        <v>0</v>
      </c>
      <c r="L6673">
        <v>0</v>
      </c>
      <c r="M6673">
        <v>991</v>
      </c>
      <c r="N6673">
        <v>104251.19999999998</v>
      </c>
      <c r="O6673">
        <v>110.67</v>
      </c>
    </row>
    <row r="6674" spans="1:15" x14ac:dyDescent="0.35">
      <c r="A6674" t="s">
        <v>7292</v>
      </c>
      <c r="B6674" t="s">
        <v>7293</v>
      </c>
      <c r="C6674" t="s">
        <v>898</v>
      </c>
      <c r="D6674" t="s">
        <v>293</v>
      </c>
      <c r="E6674" t="s">
        <v>294</v>
      </c>
      <c r="F6674" t="s">
        <v>7294</v>
      </c>
      <c r="G6674">
        <v>25</v>
      </c>
      <c r="H6674">
        <v>2731.77</v>
      </c>
      <c r="I6674">
        <v>109.27</v>
      </c>
      <c r="J6674">
        <v>12</v>
      </c>
      <c r="K6674">
        <v>1375.68</v>
      </c>
      <c r="L6674">
        <v>114.64</v>
      </c>
      <c r="M6674">
        <v>37</v>
      </c>
      <c r="N6674">
        <v>4107.45</v>
      </c>
      <c r="O6674">
        <v>111.01</v>
      </c>
    </row>
    <row r="6675" spans="1:15" x14ac:dyDescent="0.35">
      <c r="A6675" t="s">
        <v>7292</v>
      </c>
      <c r="B6675" t="s">
        <v>7293</v>
      </c>
      <c r="C6675" t="s">
        <v>898</v>
      </c>
      <c r="D6675" t="s">
        <v>293</v>
      </c>
      <c r="E6675" t="s">
        <v>296</v>
      </c>
      <c r="F6675" t="s">
        <v>7295</v>
      </c>
      <c r="G6675">
        <v>167</v>
      </c>
      <c r="H6675">
        <v>21592.68</v>
      </c>
      <c r="I6675">
        <v>129.30000000000001</v>
      </c>
      <c r="J6675">
        <v>102</v>
      </c>
      <c r="K6675">
        <v>12995.82</v>
      </c>
      <c r="L6675">
        <v>127.41</v>
      </c>
      <c r="M6675">
        <v>269</v>
      </c>
      <c r="N6675">
        <v>34588.5</v>
      </c>
      <c r="O6675">
        <v>128.58000000000001</v>
      </c>
    </row>
    <row r="6676" spans="1:15" x14ac:dyDescent="0.35">
      <c r="A6676" t="s">
        <v>7292</v>
      </c>
      <c r="B6676" t="s">
        <v>7293</v>
      </c>
      <c r="C6676" t="s">
        <v>898</v>
      </c>
      <c r="D6676" t="s">
        <v>293</v>
      </c>
      <c r="E6676" t="s">
        <v>298</v>
      </c>
      <c r="F6676" t="s">
        <v>7296</v>
      </c>
      <c r="G6676">
        <v>107</v>
      </c>
      <c r="H6676">
        <v>14647.230000000001</v>
      </c>
      <c r="I6676">
        <v>136.88999999999999</v>
      </c>
      <c r="J6676">
        <v>76</v>
      </c>
      <c r="K6676">
        <v>11295.12</v>
      </c>
      <c r="L6676">
        <v>148.62</v>
      </c>
      <c r="M6676">
        <v>183</v>
      </c>
      <c r="N6676">
        <v>25942.350000000002</v>
      </c>
      <c r="O6676">
        <v>141.76</v>
      </c>
    </row>
    <row r="6677" spans="1:15" x14ac:dyDescent="0.35">
      <c r="A6677" t="s">
        <v>7292</v>
      </c>
      <c r="B6677" t="s">
        <v>7293</v>
      </c>
      <c r="C6677" t="s">
        <v>898</v>
      </c>
      <c r="D6677" t="s">
        <v>293</v>
      </c>
      <c r="E6677" t="s">
        <v>300</v>
      </c>
      <c r="F6677" t="s">
        <v>7297</v>
      </c>
      <c r="G6677">
        <v>3</v>
      </c>
      <c r="H6677">
        <v>591.78</v>
      </c>
      <c r="I6677">
        <v>197.26</v>
      </c>
      <c r="J6677">
        <v>4</v>
      </c>
      <c r="K6677">
        <v>661.32</v>
      </c>
      <c r="L6677">
        <v>165.33</v>
      </c>
      <c r="M6677">
        <v>7</v>
      </c>
      <c r="N6677">
        <v>1253.0999999999999</v>
      </c>
      <c r="O6677">
        <v>179.01</v>
      </c>
    </row>
    <row r="6678" spans="1:15" x14ac:dyDescent="0.35">
      <c r="A6678" t="s">
        <v>7292</v>
      </c>
      <c r="B6678" t="s">
        <v>7293</v>
      </c>
      <c r="C6678" t="s">
        <v>898</v>
      </c>
      <c r="D6678" t="s">
        <v>293</v>
      </c>
      <c r="E6678" t="s">
        <v>302</v>
      </c>
      <c r="F6678" t="s">
        <v>7298</v>
      </c>
      <c r="G6678">
        <v>0</v>
      </c>
      <c r="H6678">
        <v>0</v>
      </c>
      <c r="I6678">
        <v>0</v>
      </c>
      <c r="J6678">
        <v>0</v>
      </c>
      <c r="K6678">
        <v>0</v>
      </c>
      <c r="L6678">
        <v>0</v>
      </c>
      <c r="M6678">
        <v>0</v>
      </c>
      <c r="N6678">
        <v>0</v>
      </c>
      <c r="O6678">
        <v>0</v>
      </c>
    </row>
    <row r="6679" spans="1:15" x14ac:dyDescent="0.35">
      <c r="A6679" t="s">
        <v>7292</v>
      </c>
      <c r="B6679" t="s">
        <v>7293</v>
      </c>
      <c r="C6679" t="s">
        <v>898</v>
      </c>
      <c r="D6679" t="s">
        <v>293</v>
      </c>
      <c r="E6679" t="s">
        <v>304</v>
      </c>
      <c r="F6679" t="s">
        <v>7299</v>
      </c>
      <c r="G6679">
        <v>0</v>
      </c>
      <c r="H6679">
        <v>0</v>
      </c>
      <c r="I6679">
        <v>0</v>
      </c>
      <c r="J6679">
        <v>0</v>
      </c>
      <c r="K6679">
        <v>0</v>
      </c>
      <c r="L6679">
        <v>0</v>
      </c>
      <c r="M6679">
        <v>0</v>
      </c>
      <c r="N6679">
        <v>0</v>
      </c>
      <c r="O6679">
        <v>0</v>
      </c>
    </row>
    <row r="6680" spans="1:15" x14ac:dyDescent="0.35">
      <c r="A6680" t="s">
        <v>7292</v>
      </c>
      <c r="B6680" t="s">
        <v>7293</v>
      </c>
      <c r="C6680" t="s">
        <v>898</v>
      </c>
      <c r="D6680" t="s">
        <v>293</v>
      </c>
      <c r="E6680" t="s">
        <v>306</v>
      </c>
      <c r="F6680" t="s">
        <v>7300</v>
      </c>
      <c r="G6680">
        <v>0</v>
      </c>
      <c r="H6680">
        <v>0</v>
      </c>
      <c r="I6680">
        <v>0</v>
      </c>
      <c r="J6680">
        <v>0</v>
      </c>
      <c r="K6680">
        <v>0</v>
      </c>
      <c r="L6680">
        <v>0</v>
      </c>
      <c r="M6680">
        <v>0</v>
      </c>
      <c r="N6680">
        <v>0</v>
      </c>
      <c r="O6680">
        <v>0</v>
      </c>
    </row>
    <row r="6681" spans="1:15" x14ac:dyDescent="0.35">
      <c r="A6681" t="s">
        <v>7292</v>
      </c>
      <c r="B6681" t="s">
        <v>7293</v>
      </c>
      <c r="C6681" t="s">
        <v>898</v>
      </c>
      <c r="D6681" t="s">
        <v>293</v>
      </c>
      <c r="E6681" t="s">
        <v>308</v>
      </c>
      <c r="F6681" t="s">
        <v>7301</v>
      </c>
      <c r="G6681">
        <v>0</v>
      </c>
      <c r="H6681">
        <v>0</v>
      </c>
      <c r="I6681">
        <v>0</v>
      </c>
      <c r="J6681">
        <v>0</v>
      </c>
      <c r="K6681">
        <v>0</v>
      </c>
      <c r="L6681">
        <v>0</v>
      </c>
      <c r="M6681">
        <v>0</v>
      </c>
      <c r="N6681">
        <v>0</v>
      </c>
      <c r="O6681">
        <v>0</v>
      </c>
    </row>
    <row r="6682" spans="1:15" x14ac:dyDescent="0.35">
      <c r="A6682" t="s">
        <v>7292</v>
      </c>
      <c r="B6682" t="s">
        <v>7293</v>
      </c>
      <c r="C6682" t="s">
        <v>898</v>
      </c>
      <c r="D6682" t="s">
        <v>293</v>
      </c>
      <c r="E6682" t="s">
        <v>310</v>
      </c>
      <c r="F6682" t="s">
        <v>7302</v>
      </c>
      <c r="G6682">
        <v>302</v>
      </c>
      <c r="H6682">
        <v>39563.46</v>
      </c>
      <c r="I6682">
        <v>131</v>
      </c>
      <c r="J6682">
        <v>194</v>
      </c>
      <c r="K6682">
        <v>26327.940000000002</v>
      </c>
      <c r="L6682">
        <v>135.71</v>
      </c>
      <c r="M6682">
        <v>496</v>
      </c>
      <c r="N6682">
        <v>65891.399999999994</v>
      </c>
      <c r="O6682">
        <v>132.85</v>
      </c>
    </row>
    <row r="6683" spans="1:15" x14ac:dyDescent="0.35">
      <c r="A6683" t="s">
        <v>7292</v>
      </c>
      <c r="B6683" t="s">
        <v>7293</v>
      </c>
      <c r="C6683" t="s">
        <v>898</v>
      </c>
      <c r="D6683" t="s">
        <v>293</v>
      </c>
      <c r="E6683" t="s">
        <v>312</v>
      </c>
      <c r="F6683" t="s">
        <v>7303</v>
      </c>
      <c r="G6683">
        <v>302</v>
      </c>
      <c r="H6683">
        <v>39563.46</v>
      </c>
      <c r="I6683">
        <v>131</v>
      </c>
      <c r="J6683">
        <v>194</v>
      </c>
      <c r="K6683">
        <v>26327.940000000002</v>
      </c>
      <c r="L6683">
        <v>135.71</v>
      </c>
      <c r="M6683">
        <v>496</v>
      </c>
      <c r="N6683">
        <v>65891.399999999994</v>
      </c>
      <c r="O6683">
        <v>132.85</v>
      </c>
    </row>
    <row r="6684" spans="1:15" x14ac:dyDescent="0.35">
      <c r="A6684" t="s">
        <v>7292</v>
      </c>
      <c r="B6684" t="s">
        <v>7293</v>
      </c>
      <c r="C6684" t="s">
        <v>898</v>
      </c>
      <c r="D6684" t="s">
        <v>314</v>
      </c>
      <c r="E6684" t="s">
        <v>294</v>
      </c>
      <c r="F6684" t="s">
        <v>7304</v>
      </c>
      <c r="G6684">
        <v>0</v>
      </c>
      <c r="H6684">
        <v>0</v>
      </c>
      <c r="I6684">
        <v>0</v>
      </c>
      <c r="J6684">
        <v>0</v>
      </c>
      <c r="K6684">
        <v>0</v>
      </c>
      <c r="L6684">
        <v>0</v>
      </c>
      <c r="M6684">
        <v>0</v>
      </c>
      <c r="N6684">
        <v>0</v>
      </c>
      <c r="O6684">
        <v>0</v>
      </c>
    </row>
    <row r="6685" spans="1:15" x14ac:dyDescent="0.35">
      <c r="A6685" t="s">
        <v>7292</v>
      </c>
      <c r="B6685" t="s">
        <v>7293</v>
      </c>
      <c r="C6685" t="s">
        <v>898</v>
      </c>
      <c r="D6685" t="s">
        <v>314</v>
      </c>
      <c r="E6685" t="s">
        <v>296</v>
      </c>
      <c r="F6685" t="s">
        <v>7305</v>
      </c>
      <c r="G6685">
        <v>0</v>
      </c>
      <c r="H6685">
        <v>0</v>
      </c>
      <c r="I6685">
        <v>0</v>
      </c>
      <c r="J6685">
        <v>0</v>
      </c>
      <c r="K6685">
        <v>0</v>
      </c>
      <c r="L6685">
        <v>0</v>
      </c>
      <c r="M6685">
        <v>0</v>
      </c>
      <c r="N6685">
        <v>0</v>
      </c>
      <c r="O6685">
        <v>0</v>
      </c>
    </row>
    <row r="6686" spans="1:15" x14ac:dyDescent="0.35">
      <c r="A6686" t="s">
        <v>7292</v>
      </c>
      <c r="B6686" t="s">
        <v>7293</v>
      </c>
      <c r="C6686" t="s">
        <v>898</v>
      </c>
      <c r="D6686" t="s">
        <v>314</v>
      </c>
      <c r="E6686" t="s">
        <v>298</v>
      </c>
      <c r="F6686" t="s">
        <v>7306</v>
      </c>
      <c r="G6686">
        <v>0</v>
      </c>
      <c r="H6686">
        <v>0</v>
      </c>
      <c r="I6686">
        <v>0</v>
      </c>
      <c r="J6686">
        <v>0</v>
      </c>
      <c r="K6686">
        <v>0</v>
      </c>
      <c r="L6686">
        <v>0</v>
      </c>
      <c r="M6686">
        <v>0</v>
      </c>
      <c r="N6686">
        <v>0</v>
      </c>
      <c r="O6686">
        <v>0</v>
      </c>
    </row>
    <row r="6687" spans="1:15" x14ac:dyDescent="0.35">
      <c r="A6687" t="s">
        <v>7292</v>
      </c>
      <c r="B6687" t="s">
        <v>7293</v>
      </c>
      <c r="C6687" t="s">
        <v>898</v>
      </c>
      <c r="D6687" t="s">
        <v>314</v>
      </c>
      <c r="E6687" t="s">
        <v>300</v>
      </c>
      <c r="F6687" t="s">
        <v>7307</v>
      </c>
      <c r="G6687">
        <v>0</v>
      </c>
      <c r="H6687">
        <v>0</v>
      </c>
      <c r="I6687">
        <v>0</v>
      </c>
      <c r="J6687">
        <v>0</v>
      </c>
      <c r="K6687">
        <v>0</v>
      </c>
      <c r="L6687">
        <v>0</v>
      </c>
      <c r="M6687">
        <v>0</v>
      </c>
      <c r="N6687">
        <v>0</v>
      </c>
      <c r="O6687">
        <v>0</v>
      </c>
    </row>
    <row r="6688" spans="1:15" x14ac:dyDescent="0.35">
      <c r="A6688" t="s">
        <v>7292</v>
      </c>
      <c r="B6688" t="s">
        <v>7293</v>
      </c>
      <c r="C6688" t="s">
        <v>898</v>
      </c>
      <c r="D6688" t="s">
        <v>314</v>
      </c>
      <c r="E6688" t="s">
        <v>306</v>
      </c>
      <c r="F6688" t="s">
        <v>7308</v>
      </c>
      <c r="G6688">
        <v>0</v>
      </c>
      <c r="H6688">
        <v>0</v>
      </c>
      <c r="I6688">
        <v>0</v>
      </c>
      <c r="J6688">
        <v>0</v>
      </c>
      <c r="K6688">
        <v>0</v>
      </c>
      <c r="L6688">
        <v>0</v>
      </c>
      <c r="M6688">
        <v>0</v>
      </c>
      <c r="N6688">
        <v>0</v>
      </c>
      <c r="O6688">
        <v>0</v>
      </c>
    </row>
    <row r="6689" spans="1:15" x14ac:dyDescent="0.35">
      <c r="A6689" t="s">
        <v>7292</v>
      </c>
      <c r="B6689" t="s">
        <v>7293</v>
      </c>
      <c r="C6689" t="s">
        <v>898</v>
      </c>
      <c r="D6689" t="s">
        <v>314</v>
      </c>
      <c r="E6689" t="s">
        <v>308</v>
      </c>
      <c r="F6689" t="s">
        <v>7309</v>
      </c>
      <c r="G6689">
        <v>0</v>
      </c>
      <c r="H6689">
        <v>0</v>
      </c>
      <c r="I6689">
        <v>0</v>
      </c>
      <c r="J6689">
        <v>0</v>
      </c>
      <c r="K6689">
        <v>0</v>
      </c>
      <c r="L6689">
        <v>0</v>
      </c>
      <c r="M6689">
        <v>0</v>
      </c>
      <c r="N6689">
        <v>0</v>
      </c>
      <c r="O6689">
        <v>0</v>
      </c>
    </row>
    <row r="6690" spans="1:15" x14ac:dyDescent="0.35">
      <c r="A6690" t="s">
        <v>7292</v>
      </c>
      <c r="B6690" t="s">
        <v>7293</v>
      </c>
      <c r="C6690" t="s">
        <v>898</v>
      </c>
      <c r="D6690" t="s">
        <v>314</v>
      </c>
      <c r="E6690" t="s">
        <v>312</v>
      </c>
      <c r="F6690" t="s">
        <v>7310</v>
      </c>
      <c r="G6690">
        <v>0</v>
      </c>
      <c r="H6690">
        <v>0</v>
      </c>
      <c r="I6690">
        <v>0</v>
      </c>
      <c r="J6690">
        <v>0</v>
      </c>
      <c r="K6690">
        <v>0</v>
      </c>
      <c r="L6690">
        <v>0</v>
      </c>
      <c r="M6690">
        <v>0</v>
      </c>
      <c r="N6690">
        <v>0</v>
      </c>
      <c r="O6690">
        <v>0</v>
      </c>
    </row>
    <row r="6691" spans="1:15" x14ac:dyDescent="0.35">
      <c r="A6691" t="s">
        <v>7292</v>
      </c>
      <c r="B6691" t="s">
        <v>7293</v>
      </c>
      <c r="C6691" t="s">
        <v>898</v>
      </c>
      <c r="D6691" t="s">
        <v>314</v>
      </c>
      <c r="E6691" t="s">
        <v>310</v>
      </c>
      <c r="F6691" t="s">
        <v>7311</v>
      </c>
      <c r="G6691">
        <v>0</v>
      </c>
      <c r="H6691">
        <v>0</v>
      </c>
      <c r="I6691">
        <v>0</v>
      </c>
      <c r="J6691">
        <v>0</v>
      </c>
      <c r="K6691">
        <v>0</v>
      </c>
      <c r="L6691">
        <v>0</v>
      </c>
      <c r="M6691">
        <v>0</v>
      </c>
      <c r="N6691">
        <v>0</v>
      </c>
      <c r="O6691">
        <v>0</v>
      </c>
    </row>
    <row r="6692" spans="1:15" x14ac:dyDescent="0.35">
      <c r="A6692" t="s">
        <v>7292</v>
      </c>
      <c r="B6692" t="s">
        <v>7293</v>
      </c>
      <c r="C6692" t="s">
        <v>898</v>
      </c>
      <c r="D6692" t="s">
        <v>323</v>
      </c>
      <c r="E6692" t="s">
        <v>294</v>
      </c>
      <c r="F6692" t="s">
        <v>7312</v>
      </c>
      <c r="G6692">
        <v>77</v>
      </c>
      <c r="H6692">
        <v>6563.3099999999995</v>
      </c>
      <c r="I6692">
        <v>85.24</v>
      </c>
      <c r="J6692">
        <v>982</v>
      </c>
      <c r="K6692">
        <v>73365.219999999987</v>
      </c>
      <c r="L6692">
        <v>74.709999999999994</v>
      </c>
      <c r="M6692">
        <v>1059</v>
      </c>
      <c r="N6692">
        <v>79928.529999999984</v>
      </c>
      <c r="O6692">
        <v>75.48</v>
      </c>
    </row>
    <row r="6693" spans="1:15" x14ac:dyDescent="0.35">
      <c r="A6693" t="s">
        <v>7292</v>
      </c>
      <c r="B6693" t="s">
        <v>7293</v>
      </c>
      <c r="C6693" t="s">
        <v>898</v>
      </c>
      <c r="D6693" t="s">
        <v>323</v>
      </c>
      <c r="E6693" t="s">
        <v>296</v>
      </c>
      <c r="F6693" t="s">
        <v>7313</v>
      </c>
      <c r="G6693">
        <v>649</v>
      </c>
      <c r="H6693">
        <v>67414.45</v>
      </c>
      <c r="I6693">
        <v>103.87</v>
      </c>
      <c r="J6693">
        <v>1346</v>
      </c>
      <c r="K6693">
        <v>112175.64</v>
      </c>
      <c r="L6693">
        <v>83.34</v>
      </c>
      <c r="M6693">
        <v>1995</v>
      </c>
      <c r="N6693">
        <v>179590.09</v>
      </c>
      <c r="O6693">
        <v>90.02</v>
      </c>
    </row>
    <row r="6694" spans="1:15" x14ac:dyDescent="0.35">
      <c r="A6694" t="s">
        <v>7292</v>
      </c>
      <c r="B6694" t="s">
        <v>7293</v>
      </c>
      <c r="C6694" t="s">
        <v>898</v>
      </c>
      <c r="D6694" t="s">
        <v>323</v>
      </c>
      <c r="E6694" t="s">
        <v>298</v>
      </c>
      <c r="F6694" t="s">
        <v>7314</v>
      </c>
      <c r="G6694">
        <v>582</v>
      </c>
      <c r="H6694">
        <v>64412.189999999995</v>
      </c>
      <c r="I6694">
        <v>110.67</v>
      </c>
      <c r="J6694">
        <v>2358</v>
      </c>
      <c r="K6694">
        <v>218704.5</v>
      </c>
      <c r="L6694">
        <v>92.75</v>
      </c>
      <c r="M6694">
        <v>2940</v>
      </c>
      <c r="N6694">
        <v>283116.69</v>
      </c>
      <c r="O6694">
        <v>96.3</v>
      </c>
    </row>
    <row r="6695" spans="1:15" x14ac:dyDescent="0.35">
      <c r="A6695" t="s">
        <v>7292</v>
      </c>
      <c r="B6695" t="s">
        <v>7293</v>
      </c>
      <c r="C6695" t="s">
        <v>898</v>
      </c>
      <c r="D6695" t="s">
        <v>323</v>
      </c>
      <c r="E6695" t="s">
        <v>300</v>
      </c>
      <c r="F6695" t="s">
        <v>7315</v>
      </c>
      <c r="G6695">
        <v>23</v>
      </c>
      <c r="H6695">
        <v>3134.91</v>
      </c>
      <c r="I6695">
        <v>136.30000000000001</v>
      </c>
      <c r="J6695">
        <v>64</v>
      </c>
      <c r="K6695">
        <v>6446.72</v>
      </c>
      <c r="L6695">
        <v>100.73</v>
      </c>
      <c r="M6695">
        <v>87</v>
      </c>
      <c r="N6695">
        <v>9581.630000000001</v>
      </c>
      <c r="O6695">
        <v>110.13</v>
      </c>
    </row>
    <row r="6696" spans="1:15" x14ac:dyDescent="0.35">
      <c r="A6696" t="s">
        <v>7292</v>
      </c>
      <c r="B6696" t="s">
        <v>7293</v>
      </c>
      <c r="C6696" t="s">
        <v>898</v>
      </c>
      <c r="D6696" t="s">
        <v>323</v>
      </c>
      <c r="E6696" t="s">
        <v>302</v>
      </c>
      <c r="F6696" t="s">
        <v>7316</v>
      </c>
      <c r="G6696">
        <v>0</v>
      </c>
      <c r="H6696">
        <v>0</v>
      </c>
      <c r="I6696">
        <v>0</v>
      </c>
      <c r="J6696">
        <v>0</v>
      </c>
      <c r="K6696">
        <v>0</v>
      </c>
      <c r="L6696">
        <v>0</v>
      </c>
      <c r="M6696">
        <v>0</v>
      </c>
      <c r="N6696">
        <v>0</v>
      </c>
      <c r="O6696">
        <v>0</v>
      </c>
    </row>
    <row r="6697" spans="1:15" x14ac:dyDescent="0.35">
      <c r="A6697" t="s">
        <v>7292</v>
      </c>
      <c r="B6697" t="s">
        <v>7293</v>
      </c>
      <c r="C6697" t="s">
        <v>898</v>
      </c>
      <c r="D6697" t="s">
        <v>323</v>
      </c>
      <c r="E6697" t="s">
        <v>304</v>
      </c>
      <c r="F6697" t="s">
        <v>7317</v>
      </c>
      <c r="G6697">
        <v>0</v>
      </c>
      <c r="H6697">
        <v>0</v>
      </c>
      <c r="I6697">
        <v>0</v>
      </c>
      <c r="J6697">
        <v>0</v>
      </c>
      <c r="K6697">
        <v>0</v>
      </c>
      <c r="L6697">
        <v>0</v>
      </c>
      <c r="M6697">
        <v>0</v>
      </c>
      <c r="N6697">
        <v>0</v>
      </c>
      <c r="O6697">
        <v>0</v>
      </c>
    </row>
    <row r="6698" spans="1:15" x14ac:dyDescent="0.35">
      <c r="A6698" t="s">
        <v>7292</v>
      </c>
      <c r="B6698" t="s">
        <v>7293</v>
      </c>
      <c r="C6698" t="s">
        <v>898</v>
      </c>
      <c r="D6698" t="s">
        <v>323</v>
      </c>
      <c r="E6698" t="s">
        <v>306</v>
      </c>
      <c r="F6698" t="s">
        <v>7318</v>
      </c>
      <c r="G6698">
        <v>0</v>
      </c>
      <c r="H6698">
        <v>0</v>
      </c>
      <c r="I6698">
        <v>0</v>
      </c>
      <c r="J6698">
        <v>61</v>
      </c>
      <c r="K6698">
        <v>3968.0499999999997</v>
      </c>
      <c r="L6698">
        <v>65.05</v>
      </c>
      <c r="M6698">
        <v>61</v>
      </c>
      <c r="N6698">
        <v>3968.0499999999997</v>
      </c>
      <c r="O6698">
        <v>65.05</v>
      </c>
    </row>
    <row r="6699" spans="1:15" x14ac:dyDescent="0.35">
      <c r="A6699" t="s">
        <v>7292</v>
      </c>
      <c r="B6699" t="s">
        <v>7293</v>
      </c>
      <c r="C6699" t="s">
        <v>898</v>
      </c>
      <c r="D6699" t="s">
        <v>323</v>
      </c>
      <c r="E6699" t="s">
        <v>308</v>
      </c>
      <c r="F6699" t="s">
        <v>7319</v>
      </c>
      <c r="G6699">
        <v>0</v>
      </c>
      <c r="H6699">
        <v>0</v>
      </c>
      <c r="I6699">
        <v>0</v>
      </c>
      <c r="J6699">
        <v>1</v>
      </c>
      <c r="K6699">
        <v>64.150000000000006</v>
      </c>
      <c r="L6699">
        <v>64.150000000000006</v>
      </c>
      <c r="M6699">
        <v>1</v>
      </c>
      <c r="N6699">
        <v>64.150000000000006</v>
      </c>
      <c r="O6699">
        <v>64.150000000000006</v>
      </c>
    </row>
    <row r="6700" spans="1:15" x14ac:dyDescent="0.35">
      <c r="A6700" t="s">
        <v>7292</v>
      </c>
      <c r="B6700" t="s">
        <v>7293</v>
      </c>
      <c r="C6700" t="s">
        <v>898</v>
      </c>
      <c r="D6700" t="s">
        <v>323</v>
      </c>
      <c r="E6700" t="s">
        <v>310</v>
      </c>
      <c r="F6700" t="s">
        <v>7320</v>
      </c>
      <c r="G6700">
        <v>1331</v>
      </c>
      <c r="H6700">
        <v>141524.85999999999</v>
      </c>
      <c r="I6700">
        <v>106.33</v>
      </c>
      <c r="J6700">
        <v>4812</v>
      </c>
      <c r="K6700">
        <v>414724.27999999997</v>
      </c>
      <c r="L6700">
        <v>86.19</v>
      </c>
      <c r="M6700">
        <v>6143</v>
      </c>
      <c r="N6700">
        <v>556249.1399999999</v>
      </c>
      <c r="O6700">
        <v>90.55</v>
      </c>
    </row>
    <row r="6701" spans="1:15" x14ac:dyDescent="0.35">
      <c r="A6701" t="s">
        <v>7292</v>
      </c>
      <c r="B6701" t="s">
        <v>7293</v>
      </c>
      <c r="C6701" t="s">
        <v>898</v>
      </c>
      <c r="D6701" t="s">
        <v>323</v>
      </c>
      <c r="E6701" t="s">
        <v>312</v>
      </c>
      <c r="F6701" t="s">
        <v>7321</v>
      </c>
      <c r="G6701">
        <v>1331</v>
      </c>
      <c r="H6701">
        <v>141524.85999999999</v>
      </c>
      <c r="I6701">
        <v>106.33</v>
      </c>
      <c r="J6701">
        <v>4811</v>
      </c>
      <c r="K6701">
        <v>414660.12999999995</v>
      </c>
      <c r="L6701">
        <v>86.19</v>
      </c>
      <c r="M6701">
        <v>6142</v>
      </c>
      <c r="N6701">
        <v>556184.99</v>
      </c>
      <c r="O6701">
        <v>90.55</v>
      </c>
    </row>
    <row r="6702" spans="1:15" x14ac:dyDescent="0.35">
      <c r="A6702" t="s">
        <v>7292</v>
      </c>
      <c r="B6702" t="s">
        <v>7293</v>
      </c>
      <c r="C6702" t="s">
        <v>898</v>
      </c>
      <c r="D6702" t="s">
        <v>334</v>
      </c>
      <c r="E6702" t="s">
        <v>312</v>
      </c>
      <c r="F6702" t="s">
        <v>7322</v>
      </c>
      <c r="G6702">
        <v>1726</v>
      </c>
      <c r="H6702">
        <v>181088.32</v>
      </c>
      <c r="I6702">
        <v>110.89</v>
      </c>
      <c r="J6702">
        <v>5005</v>
      </c>
      <c r="K6702">
        <v>440988.06999999995</v>
      </c>
      <c r="L6702">
        <v>88.11</v>
      </c>
      <c r="M6702">
        <v>6731</v>
      </c>
      <c r="N6702">
        <v>622076.3899999999</v>
      </c>
      <c r="O6702">
        <v>93.71</v>
      </c>
    </row>
    <row r="6703" spans="1:15" x14ac:dyDescent="0.35">
      <c r="A6703" t="s">
        <v>7292</v>
      </c>
      <c r="B6703" t="s">
        <v>7293</v>
      </c>
      <c r="C6703" t="s">
        <v>898</v>
      </c>
      <c r="D6703" t="s">
        <v>334</v>
      </c>
      <c r="E6703" t="s">
        <v>308</v>
      </c>
      <c r="F6703" t="s">
        <v>7323</v>
      </c>
      <c r="G6703">
        <v>0</v>
      </c>
      <c r="H6703">
        <v>0</v>
      </c>
      <c r="I6703">
        <v>0</v>
      </c>
      <c r="J6703">
        <v>1</v>
      </c>
      <c r="K6703">
        <v>64.150000000000006</v>
      </c>
      <c r="L6703">
        <v>64.150000000000006</v>
      </c>
      <c r="M6703">
        <v>1</v>
      </c>
      <c r="N6703">
        <v>64.150000000000006</v>
      </c>
      <c r="O6703">
        <v>64.150000000000006</v>
      </c>
    </row>
    <row r="6704" spans="1:15" x14ac:dyDescent="0.35">
      <c r="A6704" t="s">
        <v>7292</v>
      </c>
      <c r="B6704" t="s">
        <v>7293</v>
      </c>
      <c r="C6704" t="s">
        <v>898</v>
      </c>
      <c r="D6704" t="s">
        <v>337</v>
      </c>
      <c r="E6704" t="s">
        <v>337</v>
      </c>
      <c r="F6704" t="s">
        <v>7324</v>
      </c>
      <c r="G6704">
        <v>247</v>
      </c>
      <c r="J6704">
        <v>0</v>
      </c>
      <c r="M6704">
        <v>247</v>
      </c>
    </row>
    <row r="6705" spans="1:15" x14ac:dyDescent="0.35">
      <c r="A6705" t="s">
        <v>7292</v>
      </c>
      <c r="B6705" t="s">
        <v>7293</v>
      </c>
      <c r="C6705" t="s">
        <v>898</v>
      </c>
      <c r="D6705" t="s">
        <v>339</v>
      </c>
      <c r="E6705" t="s">
        <v>294</v>
      </c>
      <c r="F6705" t="s">
        <v>7325</v>
      </c>
      <c r="G6705">
        <v>229</v>
      </c>
      <c r="H6705">
        <v>28951.05</v>
      </c>
      <c r="I6705">
        <v>126.42</v>
      </c>
      <c r="J6705">
        <v>859</v>
      </c>
      <c r="K6705">
        <v>68823.08</v>
      </c>
      <c r="L6705">
        <v>80.12</v>
      </c>
      <c r="M6705">
        <v>1088</v>
      </c>
      <c r="N6705">
        <v>97774.13</v>
      </c>
      <c r="O6705">
        <v>89.87</v>
      </c>
    </row>
    <row r="6706" spans="1:15" x14ac:dyDescent="0.35">
      <c r="A6706" t="s">
        <v>7292</v>
      </c>
      <c r="B6706" t="s">
        <v>7293</v>
      </c>
      <c r="C6706" t="s">
        <v>898</v>
      </c>
      <c r="D6706" t="s">
        <v>339</v>
      </c>
      <c r="E6706" t="s">
        <v>296</v>
      </c>
      <c r="F6706" t="s">
        <v>7326</v>
      </c>
      <c r="G6706">
        <v>156</v>
      </c>
      <c r="H6706">
        <v>19288.21</v>
      </c>
      <c r="I6706">
        <v>123.64</v>
      </c>
      <c r="J6706">
        <v>679</v>
      </c>
      <c r="K6706">
        <v>61422.34</v>
      </c>
      <c r="L6706">
        <v>90.46</v>
      </c>
      <c r="M6706">
        <v>835</v>
      </c>
      <c r="N6706">
        <v>80710.549999999988</v>
      </c>
      <c r="O6706">
        <v>96.66</v>
      </c>
    </row>
    <row r="6707" spans="1:15" x14ac:dyDescent="0.35">
      <c r="A6707" t="s">
        <v>7292</v>
      </c>
      <c r="B6707" t="s">
        <v>7293</v>
      </c>
      <c r="C6707" t="s">
        <v>898</v>
      </c>
      <c r="D6707" t="s">
        <v>339</v>
      </c>
      <c r="E6707" t="s">
        <v>298</v>
      </c>
      <c r="F6707" t="s">
        <v>7327</v>
      </c>
      <c r="G6707">
        <v>0</v>
      </c>
      <c r="H6707">
        <v>0</v>
      </c>
      <c r="I6707">
        <v>0</v>
      </c>
      <c r="J6707">
        <v>11</v>
      </c>
      <c r="K6707">
        <v>1065.24</v>
      </c>
      <c r="L6707">
        <v>96.84</v>
      </c>
      <c r="M6707">
        <v>11</v>
      </c>
      <c r="N6707">
        <v>1065.24</v>
      </c>
      <c r="O6707">
        <v>96.84</v>
      </c>
    </row>
    <row r="6708" spans="1:15" x14ac:dyDescent="0.35">
      <c r="A6708" t="s">
        <v>7292</v>
      </c>
      <c r="B6708" t="s">
        <v>7293</v>
      </c>
      <c r="C6708" t="s">
        <v>898</v>
      </c>
      <c r="D6708" t="s">
        <v>339</v>
      </c>
      <c r="E6708" t="s">
        <v>300</v>
      </c>
      <c r="F6708" t="s">
        <v>7328</v>
      </c>
      <c r="G6708">
        <v>0</v>
      </c>
      <c r="H6708">
        <v>0</v>
      </c>
      <c r="I6708">
        <v>0</v>
      </c>
      <c r="J6708">
        <v>2</v>
      </c>
      <c r="K6708">
        <v>231.36</v>
      </c>
      <c r="L6708">
        <v>115.68</v>
      </c>
      <c r="M6708">
        <v>2</v>
      </c>
      <c r="N6708">
        <v>231.36</v>
      </c>
      <c r="O6708">
        <v>115.68</v>
      </c>
    </row>
    <row r="6709" spans="1:15" x14ac:dyDescent="0.35">
      <c r="A6709" t="s">
        <v>7292</v>
      </c>
      <c r="B6709" t="s">
        <v>7293</v>
      </c>
      <c r="C6709" t="s">
        <v>898</v>
      </c>
      <c r="D6709" t="s">
        <v>339</v>
      </c>
      <c r="E6709" t="s">
        <v>306</v>
      </c>
      <c r="F6709" t="s">
        <v>7329</v>
      </c>
      <c r="G6709">
        <v>20</v>
      </c>
      <c r="H6709">
        <v>2006.6599999999999</v>
      </c>
      <c r="I6709">
        <v>100.33</v>
      </c>
      <c r="J6709">
        <v>83</v>
      </c>
      <c r="K6709">
        <v>5557.6799999999994</v>
      </c>
      <c r="L6709">
        <v>66.959999999999994</v>
      </c>
      <c r="M6709">
        <v>103</v>
      </c>
      <c r="N6709">
        <v>7564.3399999999992</v>
      </c>
      <c r="O6709">
        <v>73.44</v>
      </c>
    </row>
    <row r="6710" spans="1:15" x14ac:dyDescent="0.35">
      <c r="A6710" t="s">
        <v>7292</v>
      </c>
      <c r="B6710" t="s">
        <v>7293</v>
      </c>
      <c r="C6710" t="s">
        <v>898</v>
      </c>
      <c r="D6710" t="s">
        <v>339</v>
      </c>
      <c r="E6710" t="s">
        <v>308</v>
      </c>
      <c r="F6710" t="s">
        <v>7330</v>
      </c>
      <c r="G6710">
        <v>77</v>
      </c>
      <c r="H6710">
        <v>16880.879999999997</v>
      </c>
      <c r="I6710">
        <v>219.23</v>
      </c>
      <c r="J6710">
        <v>0</v>
      </c>
      <c r="K6710">
        <v>0</v>
      </c>
      <c r="L6710">
        <v>0</v>
      </c>
      <c r="M6710">
        <v>77</v>
      </c>
      <c r="N6710">
        <v>16880.879999999997</v>
      </c>
      <c r="O6710">
        <v>219.23</v>
      </c>
    </row>
    <row r="6711" spans="1:15" x14ac:dyDescent="0.35">
      <c r="A6711" t="s">
        <v>7292</v>
      </c>
      <c r="B6711" t="s">
        <v>7293</v>
      </c>
      <c r="C6711" t="s">
        <v>898</v>
      </c>
      <c r="D6711" t="s">
        <v>339</v>
      </c>
      <c r="E6711" t="s">
        <v>310</v>
      </c>
      <c r="F6711" t="s">
        <v>7331</v>
      </c>
      <c r="G6711">
        <v>482</v>
      </c>
      <c r="H6711">
        <v>67126.799999999988</v>
      </c>
      <c r="I6711">
        <v>139.27000000000001</v>
      </c>
      <c r="J6711">
        <v>1634</v>
      </c>
      <c r="K6711">
        <v>137099.69999999998</v>
      </c>
      <c r="L6711">
        <v>83.9</v>
      </c>
      <c r="M6711">
        <v>2116</v>
      </c>
      <c r="N6711">
        <v>204226.49999999997</v>
      </c>
      <c r="O6711">
        <v>96.52</v>
      </c>
    </row>
    <row r="6712" spans="1:15" x14ac:dyDescent="0.35">
      <c r="A6712" t="s">
        <v>7292</v>
      </c>
      <c r="B6712" t="s">
        <v>7293</v>
      </c>
      <c r="C6712" t="s">
        <v>898</v>
      </c>
      <c r="D6712" t="s">
        <v>339</v>
      </c>
      <c r="E6712" t="s">
        <v>312</v>
      </c>
      <c r="F6712" t="s">
        <v>7332</v>
      </c>
      <c r="G6712">
        <v>405</v>
      </c>
      <c r="H6712">
        <v>50245.919999999998</v>
      </c>
      <c r="I6712">
        <v>124.06</v>
      </c>
      <c r="J6712">
        <v>1634</v>
      </c>
      <c r="K6712">
        <v>137099.69999999998</v>
      </c>
      <c r="L6712">
        <v>83.9</v>
      </c>
      <c r="M6712">
        <v>2039</v>
      </c>
      <c r="N6712">
        <v>187345.62</v>
      </c>
      <c r="O6712">
        <v>91.88</v>
      </c>
    </row>
    <row r="6713" spans="1:15" x14ac:dyDescent="0.35">
      <c r="A6713" t="s">
        <v>7292</v>
      </c>
      <c r="B6713" t="s">
        <v>7293</v>
      </c>
      <c r="C6713" t="s">
        <v>898</v>
      </c>
      <c r="D6713" t="s">
        <v>348</v>
      </c>
      <c r="E6713" t="s">
        <v>349</v>
      </c>
      <c r="F6713" t="s">
        <v>7333</v>
      </c>
      <c r="G6713">
        <v>483</v>
      </c>
      <c r="H6713">
        <v>67126.799999999988</v>
      </c>
      <c r="I6713">
        <v>139.27000000000001</v>
      </c>
      <c r="J6713">
        <v>1634</v>
      </c>
      <c r="K6713">
        <v>137099.69999999998</v>
      </c>
      <c r="L6713">
        <v>83.9</v>
      </c>
      <c r="M6713">
        <v>2117</v>
      </c>
      <c r="N6713">
        <v>204226.49999999997</v>
      </c>
      <c r="O6713">
        <v>96.52</v>
      </c>
    </row>
    <row r="6714" spans="1:15" x14ac:dyDescent="0.35">
      <c r="A6714" t="s">
        <v>7334</v>
      </c>
      <c r="B6714" t="s">
        <v>7335</v>
      </c>
      <c r="C6714" t="s">
        <v>898</v>
      </c>
      <c r="D6714" t="s">
        <v>293</v>
      </c>
      <c r="E6714" t="s">
        <v>294</v>
      </c>
      <c r="F6714" t="s">
        <v>7336</v>
      </c>
      <c r="G6714">
        <v>18</v>
      </c>
      <c r="H6714">
        <v>1931.4299999999998</v>
      </c>
      <c r="I6714">
        <v>107.3</v>
      </c>
      <c r="J6714">
        <v>19</v>
      </c>
      <c r="K6714">
        <v>1787.33</v>
      </c>
      <c r="L6714">
        <v>94.07</v>
      </c>
      <c r="M6714">
        <v>37</v>
      </c>
      <c r="N6714">
        <v>3718.7599999999998</v>
      </c>
      <c r="O6714">
        <v>100.51</v>
      </c>
    </row>
    <row r="6715" spans="1:15" x14ac:dyDescent="0.35">
      <c r="A6715" t="s">
        <v>7334</v>
      </c>
      <c r="B6715" t="s">
        <v>7335</v>
      </c>
      <c r="C6715" t="s">
        <v>898</v>
      </c>
      <c r="D6715" t="s">
        <v>293</v>
      </c>
      <c r="E6715" t="s">
        <v>296</v>
      </c>
      <c r="F6715" t="s">
        <v>7337</v>
      </c>
      <c r="G6715">
        <v>280</v>
      </c>
      <c r="H6715">
        <v>35540.799999999996</v>
      </c>
      <c r="I6715">
        <v>126.93</v>
      </c>
      <c r="J6715">
        <v>43</v>
      </c>
      <c r="K6715">
        <v>4528.7599999999993</v>
      </c>
      <c r="L6715">
        <v>105.32</v>
      </c>
      <c r="M6715">
        <v>323</v>
      </c>
      <c r="N6715">
        <v>40069.56</v>
      </c>
      <c r="O6715">
        <v>124.05</v>
      </c>
    </row>
    <row r="6716" spans="1:15" x14ac:dyDescent="0.35">
      <c r="A6716" t="s">
        <v>7334</v>
      </c>
      <c r="B6716" t="s">
        <v>7335</v>
      </c>
      <c r="C6716" t="s">
        <v>898</v>
      </c>
      <c r="D6716" t="s">
        <v>293</v>
      </c>
      <c r="E6716" t="s">
        <v>298</v>
      </c>
      <c r="F6716" t="s">
        <v>7338</v>
      </c>
      <c r="G6716">
        <v>209</v>
      </c>
      <c r="H6716">
        <v>29672.990000000005</v>
      </c>
      <c r="I6716">
        <v>141.97999999999999</v>
      </c>
      <c r="J6716">
        <v>45</v>
      </c>
      <c r="K6716">
        <v>5205.6000000000004</v>
      </c>
      <c r="L6716">
        <v>115.68</v>
      </c>
      <c r="M6716">
        <v>254</v>
      </c>
      <c r="N6716">
        <v>34878.590000000004</v>
      </c>
      <c r="O6716">
        <v>137.32</v>
      </c>
    </row>
    <row r="6717" spans="1:15" x14ac:dyDescent="0.35">
      <c r="A6717" t="s">
        <v>7334</v>
      </c>
      <c r="B6717" t="s">
        <v>7335</v>
      </c>
      <c r="C6717" t="s">
        <v>898</v>
      </c>
      <c r="D6717" t="s">
        <v>293</v>
      </c>
      <c r="E6717" t="s">
        <v>300</v>
      </c>
      <c r="F6717" t="s">
        <v>7339</v>
      </c>
      <c r="G6717">
        <v>29</v>
      </c>
      <c r="H6717">
        <v>5216.3900000000003</v>
      </c>
      <c r="I6717">
        <v>179.88</v>
      </c>
      <c r="J6717">
        <v>8</v>
      </c>
      <c r="K6717">
        <v>946.72</v>
      </c>
      <c r="L6717">
        <v>118.34</v>
      </c>
      <c r="M6717">
        <v>37</v>
      </c>
      <c r="N6717">
        <v>6163.1100000000006</v>
      </c>
      <c r="O6717">
        <v>166.57</v>
      </c>
    </row>
    <row r="6718" spans="1:15" x14ac:dyDescent="0.35">
      <c r="A6718" t="s">
        <v>7334</v>
      </c>
      <c r="B6718" t="s">
        <v>7335</v>
      </c>
      <c r="C6718" t="s">
        <v>898</v>
      </c>
      <c r="D6718" t="s">
        <v>293</v>
      </c>
      <c r="E6718" t="s">
        <v>302</v>
      </c>
      <c r="F6718" t="s">
        <v>7340</v>
      </c>
      <c r="G6718">
        <v>0</v>
      </c>
      <c r="H6718">
        <v>0</v>
      </c>
      <c r="I6718">
        <v>0</v>
      </c>
      <c r="J6718">
        <v>1</v>
      </c>
      <c r="K6718">
        <v>145.59</v>
      </c>
      <c r="L6718">
        <v>145.59</v>
      </c>
      <c r="M6718">
        <v>1</v>
      </c>
      <c r="N6718">
        <v>145.59</v>
      </c>
      <c r="O6718">
        <v>145.59</v>
      </c>
    </row>
    <row r="6719" spans="1:15" x14ac:dyDescent="0.35">
      <c r="A6719" t="s">
        <v>7334</v>
      </c>
      <c r="B6719" t="s">
        <v>7335</v>
      </c>
      <c r="C6719" t="s">
        <v>898</v>
      </c>
      <c r="D6719" t="s">
        <v>293</v>
      </c>
      <c r="E6719" t="s">
        <v>304</v>
      </c>
      <c r="F6719" t="s">
        <v>7341</v>
      </c>
      <c r="G6719">
        <v>0</v>
      </c>
      <c r="H6719">
        <v>0</v>
      </c>
      <c r="I6719">
        <v>0</v>
      </c>
      <c r="J6719">
        <v>0</v>
      </c>
      <c r="K6719">
        <v>0</v>
      </c>
      <c r="L6719">
        <v>0</v>
      </c>
      <c r="M6719">
        <v>0</v>
      </c>
      <c r="N6719">
        <v>0</v>
      </c>
      <c r="O6719">
        <v>0</v>
      </c>
    </row>
    <row r="6720" spans="1:15" x14ac:dyDescent="0.35">
      <c r="A6720" t="s">
        <v>7334</v>
      </c>
      <c r="B6720" t="s">
        <v>7335</v>
      </c>
      <c r="C6720" t="s">
        <v>898</v>
      </c>
      <c r="D6720" t="s">
        <v>293</v>
      </c>
      <c r="E6720" t="s">
        <v>306</v>
      </c>
      <c r="F6720" t="s">
        <v>7342</v>
      </c>
      <c r="G6720">
        <v>0</v>
      </c>
      <c r="H6720">
        <v>0</v>
      </c>
      <c r="I6720">
        <v>0</v>
      </c>
      <c r="J6720">
        <v>0</v>
      </c>
      <c r="K6720">
        <v>0</v>
      </c>
      <c r="L6720">
        <v>0</v>
      </c>
      <c r="M6720">
        <v>0</v>
      </c>
      <c r="N6720">
        <v>0</v>
      </c>
      <c r="O6720">
        <v>0</v>
      </c>
    </row>
    <row r="6721" spans="1:15" x14ac:dyDescent="0.35">
      <c r="A6721" t="s">
        <v>7334</v>
      </c>
      <c r="B6721" t="s">
        <v>7335</v>
      </c>
      <c r="C6721" t="s">
        <v>898</v>
      </c>
      <c r="D6721" t="s">
        <v>293</v>
      </c>
      <c r="E6721" t="s">
        <v>308</v>
      </c>
      <c r="F6721" t="s">
        <v>7343</v>
      </c>
      <c r="G6721">
        <v>0</v>
      </c>
      <c r="H6721">
        <v>0</v>
      </c>
      <c r="I6721">
        <v>0</v>
      </c>
      <c r="J6721">
        <v>0</v>
      </c>
      <c r="K6721">
        <v>0</v>
      </c>
      <c r="L6721">
        <v>0</v>
      </c>
      <c r="M6721">
        <v>0</v>
      </c>
      <c r="N6721">
        <v>0</v>
      </c>
      <c r="O6721">
        <v>0</v>
      </c>
    </row>
    <row r="6722" spans="1:15" x14ac:dyDescent="0.35">
      <c r="A6722" t="s">
        <v>7334</v>
      </c>
      <c r="B6722" t="s">
        <v>7335</v>
      </c>
      <c r="C6722" t="s">
        <v>898</v>
      </c>
      <c r="D6722" t="s">
        <v>293</v>
      </c>
      <c r="E6722" t="s">
        <v>310</v>
      </c>
      <c r="F6722" t="s">
        <v>7344</v>
      </c>
      <c r="G6722">
        <v>536</v>
      </c>
      <c r="H6722">
        <v>72361.61</v>
      </c>
      <c r="I6722">
        <v>135</v>
      </c>
      <c r="J6722">
        <v>116</v>
      </c>
      <c r="K6722">
        <v>12613.999999999998</v>
      </c>
      <c r="L6722">
        <v>108.74</v>
      </c>
      <c r="M6722">
        <v>652</v>
      </c>
      <c r="N6722">
        <v>84975.61</v>
      </c>
      <c r="O6722">
        <v>130.33000000000001</v>
      </c>
    </row>
    <row r="6723" spans="1:15" x14ac:dyDescent="0.35">
      <c r="A6723" t="s">
        <v>7334</v>
      </c>
      <c r="B6723" t="s">
        <v>7335</v>
      </c>
      <c r="C6723" t="s">
        <v>898</v>
      </c>
      <c r="D6723" t="s">
        <v>293</v>
      </c>
      <c r="E6723" t="s">
        <v>312</v>
      </c>
      <c r="F6723" t="s">
        <v>7345</v>
      </c>
      <c r="G6723">
        <v>536</v>
      </c>
      <c r="H6723">
        <v>72361.61</v>
      </c>
      <c r="I6723">
        <v>135</v>
      </c>
      <c r="J6723">
        <v>116</v>
      </c>
      <c r="K6723">
        <v>12613.999999999998</v>
      </c>
      <c r="L6723">
        <v>108.74</v>
      </c>
      <c r="M6723">
        <v>652</v>
      </c>
      <c r="N6723">
        <v>84975.61</v>
      </c>
      <c r="O6723">
        <v>130.33000000000001</v>
      </c>
    </row>
    <row r="6724" spans="1:15" x14ac:dyDescent="0.35">
      <c r="A6724" t="s">
        <v>7334</v>
      </c>
      <c r="B6724" t="s">
        <v>7335</v>
      </c>
      <c r="C6724" t="s">
        <v>898</v>
      </c>
      <c r="D6724" t="s">
        <v>314</v>
      </c>
      <c r="E6724" t="s">
        <v>294</v>
      </c>
      <c r="F6724" t="s">
        <v>7346</v>
      </c>
      <c r="G6724">
        <v>26</v>
      </c>
      <c r="H6724">
        <v>4442.51</v>
      </c>
      <c r="I6724">
        <v>170.87</v>
      </c>
      <c r="J6724">
        <v>28</v>
      </c>
      <c r="K6724">
        <v>5271.84</v>
      </c>
      <c r="L6724">
        <v>188.28</v>
      </c>
      <c r="M6724">
        <v>54</v>
      </c>
      <c r="N6724">
        <v>9714.35</v>
      </c>
      <c r="O6724">
        <v>179.9</v>
      </c>
    </row>
    <row r="6725" spans="1:15" x14ac:dyDescent="0.35">
      <c r="A6725" t="s">
        <v>7334</v>
      </c>
      <c r="B6725" t="s">
        <v>7335</v>
      </c>
      <c r="C6725" t="s">
        <v>898</v>
      </c>
      <c r="D6725" t="s">
        <v>314</v>
      </c>
      <c r="E6725" t="s">
        <v>296</v>
      </c>
      <c r="F6725" t="s">
        <v>7347</v>
      </c>
      <c r="G6725">
        <v>0</v>
      </c>
      <c r="H6725">
        <v>0</v>
      </c>
      <c r="I6725">
        <v>0</v>
      </c>
      <c r="J6725">
        <v>14</v>
      </c>
      <c r="K6725">
        <v>3090.64</v>
      </c>
      <c r="L6725">
        <v>220.76</v>
      </c>
      <c r="M6725">
        <v>14</v>
      </c>
      <c r="N6725">
        <v>3090.64</v>
      </c>
      <c r="O6725">
        <v>220.76</v>
      </c>
    </row>
    <row r="6726" spans="1:15" x14ac:dyDescent="0.35">
      <c r="A6726" t="s">
        <v>7334</v>
      </c>
      <c r="B6726" t="s">
        <v>7335</v>
      </c>
      <c r="C6726" t="s">
        <v>898</v>
      </c>
      <c r="D6726" t="s">
        <v>314</v>
      </c>
      <c r="E6726" t="s">
        <v>298</v>
      </c>
      <c r="F6726" t="s">
        <v>7348</v>
      </c>
      <c r="G6726">
        <v>0</v>
      </c>
      <c r="H6726">
        <v>0</v>
      </c>
      <c r="I6726">
        <v>0</v>
      </c>
      <c r="J6726">
        <v>0</v>
      </c>
      <c r="K6726">
        <v>0</v>
      </c>
      <c r="L6726">
        <v>0</v>
      </c>
      <c r="M6726">
        <v>0</v>
      </c>
      <c r="N6726">
        <v>0</v>
      </c>
      <c r="O6726">
        <v>0</v>
      </c>
    </row>
    <row r="6727" spans="1:15" x14ac:dyDescent="0.35">
      <c r="A6727" t="s">
        <v>7334</v>
      </c>
      <c r="B6727" t="s">
        <v>7335</v>
      </c>
      <c r="C6727" t="s">
        <v>898</v>
      </c>
      <c r="D6727" t="s">
        <v>314</v>
      </c>
      <c r="E6727" t="s">
        <v>300</v>
      </c>
      <c r="F6727" t="s">
        <v>7349</v>
      </c>
      <c r="G6727">
        <v>0</v>
      </c>
      <c r="H6727">
        <v>0</v>
      </c>
      <c r="I6727">
        <v>0</v>
      </c>
      <c r="J6727">
        <v>0</v>
      </c>
      <c r="K6727">
        <v>0</v>
      </c>
      <c r="L6727">
        <v>0</v>
      </c>
      <c r="M6727">
        <v>0</v>
      </c>
      <c r="N6727">
        <v>0</v>
      </c>
      <c r="O6727">
        <v>0</v>
      </c>
    </row>
    <row r="6728" spans="1:15" x14ac:dyDescent="0.35">
      <c r="A6728" t="s">
        <v>7334</v>
      </c>
      <c r="B6728" t="s">
        <v>7335</v>
      </c>
      <c r="C6728" t="s">
        <v>898</v>
      </c>
      <c r="D6728" t="s">
        <v>314</v>
      </c>
      <c r="E6728" t="s">
        <v>306</v>
      </c>
      <c r="F6728" t="s">
        <v>7350</v>
      </c>
      <c r="G6728">
        <v>0</v>
      </c>
      <c r="H6728">
        <v>0</v>
      </c>
      <c r="I6728">
        <v>0</v>
      </c>
      <c r="J6728">
        <v>0</v>
      </c>
      <c r="K6728">
        <v>0</v>
      </c>
      <c r="L6728">
        <v>0</v>
      </c>
      <c r="M6728">
        <v>0</v>
      </c>
      <c r="N6728">
        <v>0</v>
      </c>
      <c r="O6728">
        <v>0</v>
      </c>
    </row>
    <row r="6729" spans="1:15" x14ac:dyDescent="0.35">
      <c r="A6729" t="s">
        <v>7334</v>
      </c>
      <c r="B6729" t="s">
        <v>7335</v>
      </c>
      <c r="C6729" t="s">
        <v>898</v>
      </c>
      <c r="D6729" t="s">
        <v>314</v>
      </c>
      <c r="E6729" t="s">
        <v>308</v>
      </c>
      <c r="F6729" t="s">
        <v>7351</v>
      </c>
      <c r="G6729">
        <v>0</v>
      </c>
      <c r="H6729">
        <v>0</v>
      </c>
      <c r="I6729">
        <v>0</v>
      </c>
      <c r="J6729">
        <v>0</v>
      </c>
      <c r="K6729">
        <v>0</v>
      </c>
      <c r="L6729">
        <v>0</v>
      </c>
      <c r="M6729">
        <v>0</v>
      </c>
      <c r="N6729">
        <v>0</v>
      </c>
      <c r="O6729">
        <v>0</v>
      </c>
    </row>
    <row r="6730" spans="1:15" x14ac:dyDescent="0.35">
      <c r="A6730" t="s">
        <v>7334</v>
      </c>
      <c r="B6730" t="s">
        <v>7335</v>
      </c>
      <c r="C6730" t="s">
        <v>898</v>
      </c>
      <c r="D6730" t="s">
        <v>314</v>
      </c>
      <c r="E6730" t="s">
        <v>312</v>
      </c>
      <c r="F6730" t="s">
        <v>7352</v>
      </c>
      <c r="G6730">
        <v>26</v>
      </c>
      <c r="H6730">
        <v>4442.51</v>
      </c>
      <c r="I6730">
        <v>170.87</v>
      </c>
      <c r="J6730">
        <v>42</v>
      </c>
      <c r="K6730">
        <v>8362.48</v>
      </c>
      <c r="L6730">
        <v>199.11</v>
      </c>
      <c r="M6730">
        <v>68</v>
      </c>
      <c r="N6730">
        <v>12804.99</v>
      </c>
      <c r="O6730">
        <v>188.31</v>
      </c>
    </row>
    <row r="6731" spans="1:15" x14ac:dyDescent="0.35">
      <c r="A6731" t="s">
        <v>7334</v>
      </c>
      <c r="B6731" t="s">
        <v>7335</v>
      </c>
      <c r="C6731" t="s">
        <v>898</v>
      </c>
      <c r="D6731" t="s">
        <v>314</v>
      </c>
      <c r="E6731" t="s">
        <v>310</v>
      </c>
      <c r="F6731" t="s">
        <v>7353</v>
      </c>
      <c r="G6731">
        <v>26</v>
      </c>
      <c r="H6731">
        <v>4442.51</v>
      </c>
      <c r="I6731">
        <v>170.87</v>
      </c>
      <c r="J6731">
        <v>42</v>
      </c>
      <c r="K6731">
        <v>8362.48</v>
      </c>
      <c r="L6731">
        <v>199.11</v>
      </c>
      <c r="M6731">
        <v>68</v>
      </c>
      <c r="N6731">
        <v>12804.99</v>
      </c>
      <c r="O6731">
        <v>188.31</v>
      </c>
    </row>
    <row r="6732" spans="1:15" x14ac:dyDescent="0.35">
      <c r="A6732" t="s">
        <v>7334</v>
      </c>
      <c r="B6732" t="s">
        <v>7335</v>
      </c>
      <c r="C6732" t="s">
        <v>898</v>
      </c>
      <c r="D6732" t="s">
        <v>323</v>
      </c>
      <c r="E6732" t="s">
        <v>294</v>
      </c>
      <c r="F6732" t="s">
        <v>7354</v>
      </c>
      <c r="G6732">
        <v>112</v>
      </c>
      <c r="H6732">
        <v>9864.18</v>
      </c>
      <c r="I6732">
        <v>88.07</v>
      </c>
      <c r="J6732">
        <v>1629</v>
      </c>
      <c r="K6732">
        <v>131118.21</v>
      </c>
      <c r="L6732">
        <v>80.489999999999995</v>
      </c>
      <c r="M6732">
        <v>1741</v>
      </c>
      <c r="N6732">
        <v>140982.38999999998</v>
      </c>
      <c r="O6732">
        <v>80.98</v>
      </c>
    </row>
    <row r="6733" spans="1:15" x14ac:dyDescent="0.35">
      <c r="A6733" t="s">
        <v>7334</v>
      </c>
      <c r="B6733" t="s">
        <v>7335</v>
      </c>
      <c r="C6733" t="s">
        <v>898</v>
      </c>
      <c r="D6733" t="s">
        <v>323</v>
      </c>
      <c r="E6733" t="s">
        <v>296</v>
      </c>
      <c r="F6733" t="s">
        <v>7355</v>
      </c>
      <c r="G6733">
        <v>351</v>
      </c>
      <c r="H6733">
        <v>36804.939999999995</v>
      </c>
      <c r="I6733">
        <v>104.86</v>
      </c>
      <c r="J6733">
        <v>2590</v>
      </c>
      <c r="K6733">
        <v>236777.80000000002</v>
      </c>
      <c r="L6733">
        <v>91.42</v>
      </c>
      <c r="M6733">
        <v>2941</v>
      </c>
      <c r="N6733">
        <v>273582.74</v>
      </c>
      <c r="O6733">
        <v>93.02</v>
      </c>
    </row>
    <row r="6734" spans="1:15" x14ac:dyDescent="0.35">
      <c r="A6734" t="s">
        <v>7334</v>
      </c>
      <c r="B6734" t="s">
        <v>7335</v>
      </c>
      <c r="C6734" t="s">
        <v>898</v>
      </c>
      <c r="D6734" t="s">
        <v>323</v>
      </c>
      <c r="E6734" t="s">
        <v>298</v>
      </c>
      <c r="F6734" t="s">
        <v>7356</v>
      </c>
      <c r="G6734">
        <v>414</v>
      </c>
      <c r="H6734">
        <v>47499.210000000006</v>
      </c>
      <c r="I6734">
        <v>114.73</v>
      </c>
      <c r="J6734">
        <v>1901</v>
      </c>
      <c r="K6734">
        <v>184073.83</v>
      </c>
      <c r="L6734">
        <v>96.83</v>
      </c>
      <c r="M6734">
        <v>2315</v>
      </c>
      <c r="N6734">
        <v>231573.03999999998</v>
      </c>
      <c r="O6734">
        <v>100.03</v>
      </c>
    </row>
    <row r="6735" spans="1:15" x14ac:dyDescent="0.35">
      <c r="A6735" t="s">
        <v>7334</v>
      </c>
      <c r="B6735" t="s">
        <v>7335</v>
      </c>
      <c r="C6735" t="s">
        <v>898</v>
      </c>
      <c r="D6735" t="s">
        <v>323</v>
      </c>
      <c r="E6735" t="s">
        <v>300</v>
      </c>
      <c r="F6735" t="s">
        <v>7357</v>
      </c>
      <c r="G6735">
        <v>20</v>
      </c>
      <c r="H6735">
        <v>2824.8099999999995</v>
      </c>
      <c r="I6735">
        <v>141.24</v>
      </c>
      <c r="J6735">
        <v>110</v>
      </c>
      <c r="K6735">
        <v>11632.5</v>
      </c>
      <c r="L6735">
        <v>105.75</v>
      </c>
      <c r="M6735">
        <v>130</v>
      </c>
      <c r="N6735">
        <v>14457.31</v>
      </c>
      <c r="O6735">
        <v>111.21</v>
      </c>
    </row>
    <row r="6736" spans="1:15" x14ac:dyDescent="0.35">
      <c r="A6736" t="s">
        <v>7334</v>
      </c>
      <c r="B6736" t="s">
        <v>7335</v>
      </c>
      <c r="C6736" t="s">
        <v>898</v>
      </c>
      <c r="D6736" t="s">
        <v>323</v>
      </c>
      <c r="E6736" t="s">
        <v>302</v>
      </c>
      <c r="F6736" t="s">
        <v>7358</v>
      </c>
      <c r="G6736">
        <v>0</v>
      </c>
      <c r="H6736">
        <v>0</v>
      </c>
      <c r="I6736">
        <v>0</v>
      </c>
      <c r="J6736">
        <v>3</v>
      </c>
      <c r="K6736">
        <v>357.71999999999997</v>
      </c>
      <c r="L6736">
        <v>119.24</v>
      </c>
      <c r="M6736">
        <v>3</v>
      </c>
      <c r="N6736">
        <v>357.71999999999997</v>
      </c>
      <c r="O6736">
        <v>119.24</v>
      </c>
    </row>
    <row r="6737" spans="1:15" x14ac:dyDescent="0.35">
      <c r="A6737" t="s">
        <v>7334</v>
      </c>
      <c r="B6737" t="s">
        <v>7335</v>
      </c>
      <c r="C6737" t="s">
        <v>898</v>
      </c>
      <c r="D6737" t="s">
        <v>323</v>
      </c>
      <c r="E6737" t="s">
        <v>304</v>
      </c>
      <c r="F6737" t="s">
        <v>7359</v>
      </c>
      <c r="G6737">
        <v>0</v>
      </c>
      <c r="H6737">
        <v>0</v>
      </c>
      <c r="I6737">
        <v>0</v>
      </c>
      <c r="J6737">
        <v>1</v>
      </c>
      <c r="K6737">
        <v>126.46</v>
      </c>
      <c r="L6737">
        <v>126.46</v>
      </c>
      <c r="M6737">
        <v>1</v>
      </c>
      <c r="N6737">
        <v>126.46</v>
      </c>
      <c r="O6737">
        <v>126.46</v>
      </c>
    </row>
    <row r="6738" spans="1:15" x14ac:dyDescent="0.35">
      <c r="A6738" t="s">
        <v>7334</v>
      </c>
      <c r="B6738" t="s">
        <v>7335</v>
      </c>
      <c r="C6738" t="s">
        <v>898</v>
      </c>
      <c r="D6738" t="s">
        <v>323</v>
      </c>
      <c r="E6738" t="s">
        <v>306</v>
      </c>
      <c r="F6738" t="s">
        <v>7360</v>
      </c>
      <c r="G6738">
        <v>0</v>
      </c>
      <c r="H6738">
        <v>0</v>
      </c>
      <c r="I6738">
        <v>0</v>
      </c>
      <c r="J6738">
        <v>60</v>
      </c>
      <c r="K6738">
        <v>4228.8</v>
      </c>
      <c r="L6738">
        <v>70.48</v>
      </c>
      <c r="M6738">
        <v>60</v>
      </c>
      <c r="N6738">
        <v>4228.8</v>
      </c>
      <c r="O6738">
        <v>70.48</v>
      </c>
    </row>
    <row r="6739" spans="1:15" x14ac:dyDescent="0.35">
      <c r="A6739" t="s">
        <v>7334</v>
      </c>
      <c r="B6739" t="s">
        <v>7335</v>
      </c>
      <c r="C6739" t="s">
        <v>898</v>
      </c>
      <c r="D6739" t="s">
        <v>323</v>
      </c>
      <c r="E6739" t="s">
        <v>308</v>
      </c>
      <c r="F6739" t="s">
        <v>7361</v>
      </c>
      <c r="G6739">
        <v>0</v>
      </c>
      <c r="H6739">
        <v>0</v>
      </c>
      <c r="I6739">
        <v>0</v>
      </c>
      <c r="J6739">
        <v>0</v>
      </c>
      <c r="K6739">
        <v>0</v>
      </c>
      <c r="L6739">
        <v>0</v>
      </c>
      <c r="M6739">
        <v>0</v>
      </c>
      <c r="N6739">
        <v>0</v>
      </c>
      <c r="O6739">
        <v>0</v>
      </c>
    </row>
    <row r="6740" spans="1:15" x14ac:dyDescent="0.35">
      <c r="A6740" t="s">
        <v>7334</v>
      </c>
      <c r="B6740" t="s">
        <v>7335</v>
      </c>
      <c r="C6740" t="s">
        <v>898</v>
      </c>
      <c r="D6740" t="s">
        <v>323</v>
      </c>
      <c r="E6740" t="s">
        <v>310</v>
      </c>
      <c r="F6740" t="s">
        <v>7362</v>
      </c>
      <c r="G6740">
        <v>897</v>
      </c>
      <c r="H6740">
        <v>96993.14</v>
      </c>
      <c r="I6740">
        <v>108.13</v>
      </c>
      <c r="J6740">
        <v>6294</v>
      </c>
      <c r="K6740">
        <v>568315.31999999995</v>
      </c>
      <c r="L6740">
        <v>90.29</v>
      </c>
      <c r="M6740">
        <v>7191</v>
      </c>
      <c r="N6740">
        <v>665308.46</v>
      </c>
      <c r="O6740">
        <v>92.52</v>
      </c>
    </row>
    <row r="6741" spans="1:15" x14ac:dyDescent="0.35">
      <c r="A6741" t="s">
        <v>7334</v>
      </c>
      <c r="B6741" t="s">
        <v>7335</v>
      </c>
      <c r="C6741" t="s">
        <v>898</v>
      </c>
      <c r="D6741" t="s">
        <v>323</v>
      </c>
      <c r="E6741" t="s">
        <v>312</v>
      </c>
      <c r="F6741" t="s">
        <v>7363</v>
      </c>
      <c r="G6741">
        <v>897</v>
      </c>
      <c r="H6741">
        <v>96993.14</v>
      </c>
      <c r="I6741">
        <v>108.13</v>
      </c>
      <c r="J6741">
        <v>6294</v>
      </c>
      <c r="K6741">
        <v>568315.31999999995</v>
      </c>
      <c r="L6741">
        <v>90.29</v>
      </c>
      <c r="M6741">
        <v>7191</v>
      </c>
      <c r="N6741">
        <v>665308.46</v>
      </c>
      <c r="O6741">
        <v>92.52</v>
      </c>
    </row>
    <row r="6742" spans="1:15" x14ac:dyDescent="0.35">
      <c r="A6742" t="s">
        <v>7334</v>
      </c>
      <c r="B6742" t="s">
        <v>7335</v>
      </c>
      <c r="C6742" t="s">
        <v>898</v>
      </c>
      <c r="D6742" t="s">
        <v>334</v>
      </c>
      <c r="E6742" t="s">
        <v>312</v>
      </c>
      <c r="F6742" t="s">
        <v>7364</v>
      </c>
      <c r="G6742">
        <v>1480</v>
      </c>
      <c r="H6742">
        <v>169354.75</v>
      </c>
      <c r="I6742">
        <v>118.18</v>
      </c>
      <c r="J6742">
        <v>6410</v>
      </c>
      <c r="K6742">
        <v>580929.31999999995</v>
      </c>
      <c r="L6742">
        <v>90.63</v>
      </c>
      <c r="M6742">
        <v>7890</v>
      </c>
      <c r="N6742">
        <v>750284.07</v>
      </c>
      <c r="O6742">
        <v>95.66</v>
      </c>
    </row>
    <row r="6743" spans="1:15" x14ac:dyDescent="0.35">
      <c r="A6743" t="s">
        <v>7334</v>
      </c>
      <c r="B6743" t="s">
        <v>7335</v>
      </c>
      <c r="C6743" t="s">
        <v>898</v>
      </c>
      <c r="D6743" t="s">
        <v>334</v>
      </c>
      <c r="E6743" t="s">
        <v>308</v>
      </c>
      <c r="F6743" t="s">
        <v>7365</v>
      </c>
      <c r="G6743">
        <v>0</v>
      </c>
      <c r="H6743">
        <v>0</v>
      </c>
      <c r="I6743">
        <v>0</v>
      </c>
      <c r="J6743">
        <v>0</v>
      </c>
      <c r="K6743">
        <v>0</v>
      </c>
      <c r="L6743">
        <v>0</v>
      </c>
      <c r="M6743">
        <v>0</v>
      </c>
      <c r="N6743">
        <v>0</v>
      </c>
      <c r="O6743">
        <v>0</v>
      </c>
    </row>
    <row r="6744" spans="1:15" x14ac:dyDescent="0.35">
      <c r="A6744" t="s">
        <v>7334</v>
      </c>
      <c r="B6744" t="s">
        <v>7335</v>
      </c>
      <c r="C6744" t="s">
        <v>898</v>
      </c>
      <c r="D6744" t="s">
        <v>337</v>
      </c>
      <c r="E6744" t="s">
        <v>337</v>
      </c>
      <c r="F6744" t="s">
        <v>7366</v>
      </c>
      <c r="G6744">
        <v>310</v>
      </c>
      <c r="J6744">
        <v>0</v>
      </c>
      <c r="M6744">
        <v>310</v>
      </c>
    </row>
    <row r="6745" spans="1:15" x14ac:dyDescent="0.35">
      <c r="A6745" t="s">
        <v>7334</v>
      </c>
      <c r="B6745" t="s">
        <v>7335</v>
      </c>
      <c r="C6745" t="s">
        <v>898</v>
      </c>
      <c r="D6745" t="s">
        <v>339</v>
      </c>
      <c r="E6745" t="s">
        <v>294</v>
      </c>
      <c r="F6745" t="s">
        <v>7367</v>
      </c>
      <c r="G6745">
        <v>175</v>
      </c>
      <c r="H6745">
        <v>27224.239999999998</v>
      </c>
      <c r="I6745">
        <v>155.57</v>
      </c>
      <c r="J6745">
        <v>57</v>
      </c>
      <c r="K6745">
        <v>4762.92</v>
      </c>
      <c r="L6745">
        <v>83.56</v>
      </c>
      <c r="M6745">
        <v>232</v>
      </c>
      <c r="N6745">
        <v>31987.159999999996</v>
      </c>
      <c r="O6745">
        <v>137.88</v>
      </c>
    </row>
    <row r="6746" spans="1:15" x14ac:dyDescent="0.35">
      <c r="A6746" t="s">
        <v>7334</v>
      </c>
      <c r="B6746" t="s">
        <v>7335</v>
      </c>
      <c r="C6746" t="s">
        <v>898</v>
      </c>
      <c r="D6746" t="s">
        <v>339</v>
      </c>
      <c r="E6746" t="s">
        <v>296</v>
      </c>
      <c r="F6746" t="s">
        <v>7368</v>
      </c>
      <c r="G6746">
        <v>25</v>
      </c>
      <c r="H6746">
        <v>3193.08</v>
      </c>
      <c r="I6746">
        <v>127.72</v>
      </c>
      <c r="J6746">
        <v>9</v>
      </c>
      <c r="K6746">
        <v>773.55000000000007</v>
      </c>
      <c r="L6746">
        <v>85.95</v>
      </c>
      <c r="M6746">
        <v>34</v>
      </c>
      <c r="N6746">
        <v>3966.63</v>
      </c>
      <c r="O6746">
        <v>116.67</v>
      </c>
    </row>
    <row r="6747" spans="1:15" x14ac:dyDescent="0.35">
      <c r="A6747" t="s">
        <v>7334</v>
      </c>
      <c r="B6747" t="s">
        <v>7335</v>
      </c>
      <c r="C6747" t="s">
        <v>898</v>
      </c>
      <c r="D6747" t="s">
        <v>339</v>
      </c>
      <c r="E6747" t="s">
        <v>298</v>
      </c>
      <c r="F6747" t="s">
        <v>7369</v>
      </c>
      <c r="G6747">
        <v>1</v>
      </c>
      <c r="H6747">
        <v>113.25</v>
      </c>
      <c r="I6747">
        <v>113.25</v>
      </c>
      <c r="J6747">
        <v>0</v>
      </c>
      <c r="K6747">
        <v>0</v>
      </c>
      <c r="L6747">
        <v>0</v>
      </c>
      <c r="M6747">
        <v>1</v>
      </c>
      <c r="N6747">
        <v>113.25</v>
      </c>
      <c r="O6747">
        <v>113.25</v>
      </c>
    </row>
    <row r="6748" spans="1:15" x14ac:dyDescent="0.35">
      <c r="A6748" t="s">
        <v>7334</v>
      </c>
      <c r="B6748" t="s">
        <v>7335</v>
      </c>
      <c r="C6748" t="s">
        <v>898</v>
      </c>
      <c r="D6748" t="s">
        <v>339</v>
      </c>
      <c r="E6748" t="s">
        <v>300</v>
      </c>
      <c r="F6748" t="s">
        <v>7370</v>
      </c>
      <c r="G6748">
        <v>0</v>
      </c>
      <c r="H6748">
        <v>0</v>
      </c>
      <c r="I6748">
        <v>0</v>
      </c>
      <c r="J6748">
        <v>0</v>
      </c>
      <c r="K6748">
        <v>0</v>
      </c>
      <c r="L6748">
        <v>0</v>
      </c>
      <c r="M6748">
        <v>0</v>
      </c>
      <c r="N6748">
        <v>0</v>
      </c>
      <c r="O6748">
        <v>0</v>
      </c>
    </row>
    <row r="6749" spans="1:15" x14ac:dyDescent="0.35">
      <c r="A6749" t="s">
        <v>7334</v>
      </c>
      <c r="B6749" t="s">
        <v>7335</v>
      </c>
      <c r="C6749" t="s">
        <v>898</v>
      </c>
      <c r="D6749" t="s">
        <v>339</v>
      </c>
      <c r="E6749" t="s">
        <v>306</v>
      </c>
      <c r="F6749" t="s">
        <v>7371</v>
      </c>
      <c r="G6749">
        <v>50</v>
      </c>
      <c r="H6749">
        <v>4289.79</v>
      </c>
      <c r="I6749">
        <v>85.8</v>
      </c>
      <c r="J6749">
        <v>0</v>
      </c>
      <c r="K6749">
        <v>0</v>
      </c>
      <c r="L6749">
        <v>0</v>
      </c>
      <c r="M6749">
        <v>50</v>
      </c>
      <c r="N6749">
        <v>4289.79</v>
      </c>
      <c r="O6749">
        <v>85.8</v>
      </c>
    </row>
    <row r="6750" spans="1:15" x14ac:dyDescent="0.35">
      <c r="A6750" t="s">
        <v>7334</v>
      </c>
      <c r="B6750" t="s">
        <v>7335</v>
      </c>
      <c r="C6750" t="s">
        <v>898</v>
      </c>
      <c r="D6750" t="s">
        <v>339</v>
      </c>
      <c r="E6750" t="s">
        <v>308</v>
      </c>
      <c r="F6750" t="s">
        <v>7372</v>
      </c>
      <c r="G6750">
        <v>100</v>
      </c>
      <c r="H6750">
        <v>22414.739999999998</v>
      </c>
      <c r="I6750">
        <v>224.15</v>
      </c>
      <c r="J6750">
        <v>0</v>
      </c>
      <c r="K6750">
        <v>0</v>
      </c>
      <c r="L6750">
        <v>0</v>
      </c>
      <c r="M6750">
        <v>100</v>
      </c>
      <c r="N6750">
        <v>22414.739999999998</v>
      </c>
      <c r="O6750">
        <v>224.15</v>
      </c>
    </row>
    <row r="6751" spans="1:15" x14ac:dyDescent="0.35">
      <c r="A6751" t="s">
        <v>7334</v>
      </c>
      <c r="B6751" t="s">
        <v>7335</v>
      </c>
      <c r="C6751" t="s">
        <v>898</v>
      </c>
      <c r="D6751" t="s">
        <v>339</v>
      </c>
      <c r="E6751" t="s">
        <v>310</v>
      </c>
      <c r="F6751" t="s">
        <v>7373</v>
      </c>
      <c r="G6751">
        <v>351</v>
      </c>
      <c r="H6751">
        <v>57235.1</v>
      </c>
      <c r="I6751">
        <v>163.06</v>
      </c>
      <c r="J6751">
        <v>66</v>
      </c>
      <c r="K6751">
        <v>5536.47</v>
      </c>
      <c r="L6751">
        <v>83.89</v>
      </c>
      <c r="M6751">
        <v>417</v>
      </c>
      <c r="N6751">
        <v>62771.57</v>
      </c>
      <c r="O6751">
        <v>150.53</v>
      </c>
    </row>
    <row r="6752" spans="1:15" x14ac:dyDescent="0.35">
      <c r="A6752" t="s">
        <v>7334</v>
      </c>
      <c r="B6752" t="s">
        <v>7335</v>
      </c>
      <c r="C6752" t="s">
        <v>898</v>
      </c>
      <c r="D6752" t="s">
        <v>339</v>
      </c>
      <c r="E6752" t="s">
        <v>312</v>
      </c>
      <c r="F6752" t="s">
        <v>7374</v>
      </c>
      <c r="G6752">
        <v>251</v>
      </c>
      <c r="H6752">
        <v>34820.36</v>
      </c>
      <c r="I6752">
        <v>138.72999999999999</v>
      </c>
      <c r="J6752">
        <v>66</v>
      </c>
      <c r="K6752">
        <v>5536.47</v>
      </c>
      <c r="L6752">
        <v>83.89</v>
      </c>
      <c r="M6752">
        <v>317</v>
      </c>
      <c r="N6752">
        <v>40356.83</v>
      </c>
      <c r="O6752">
        <v>127.31</v>
      </c>
    </row>
    <row r="6753" spans="1:15" x14ac:dyDescent="0.35">
      <c r="A6753" t="s">
        <v>7334</v>
      </c>
      <c r="B6753" t="s">
        <v>7335</v>
      </c>
      <c r="C6753" t="s">
        <v>898</v>
      </c>
      <c r="D6753" t="s">
        <v>348</v>
      </c>
      <c r="E6753" t="s">
        <v>349</v>
      </c>
      <c r="F6753" t="s">
        <v>7375</v>
      </c>
      <c r="G6753">
        <v>419</v>
      </c>
      <c r="H6753">
        <v>61677.61</v>
      </c>
      <c r="I6753">
        <v>163.6</v>
      </c>
      <c r="J6753">
        <v>108</v>
      </c>
      <c r="K6753">
        <v>13898.949999999999</v>
      </c>
      <c r="L6753">
        <v>128.69</v>
      </c>
      <c r="M6753">
        <v>527</v>
      </c>
      <c r="N6753">
        <v>75576.56</v>
      </c>
      <c r="O6753">
        <v>155.83000000000001</v>
      </c>
    </row>
    <row r="6754" spans="1:15" x14ac:dyDescent="0.35">
      <c r="A6754" t="s">
        <v>7376</v>
      </c>
      <c r="B6754" t="s">
        <v>7377</v>
      </c>
      <c r="C6754" t="s">
        <v>898</v>
      </c>
      <c r="D6754" t="s">
        <v>293</v>
      </c>
      <c r="E6754" t="s">
        <v>294</v>
      </c>
      <c r="F6754" t="s">
        <v>7378</v>
      </c>
      <c r="G6754">
        <v>70</v>
      </c>
      <c r="H6754">
        <v>7880.36</v>
      </c>
      <c r="I6754">
        <v>112.58</v>
      </c>
      <c r="J6754">
        <v>0</v>
      </c>
      <c r="K6754">
        <v>0</v>
      </c>
      <c r="L6754">
        <v>0</v>
      </c>
      <c r="M6754">
        <v>70</v>
      </c>
      <c r="N6754">
        <v>7880.36</v>
      </c>
      <c r="O6754">
        <v>112.58</v>
      </c>
    </row>
    <row r="6755" spans="1:15" x14ac:dyDescent="0.35">
      <c r="A6755" t="s">
        <v>7376</v>
      </c>
      <c r="B6755" t="s">
        <v>7377</v>
      </c>
      <c r="C6755" t="s">
        <v>898</v>
      </c>
      <c r="D6755" t="s">
        <v>293</v>
      </c>
      <c r="E6755" t="s">
        <v>296</v>
      </c>
      <c r="F6755" t="s">
        <v>7379</v>
      </c>
      <c r="G6755">
        <v>98</v>
      </c>
      <c r="H6755">
        <v>13092.039999999999</v>
      </c>
      <c r="I6755">
        <v>133.59</v>
      </c>
      <c r="J6755">
        <v>0</v>
      </c>
      <c r="K6755">
        <v>0</v>
      </c>
      <c r="L6755">
        <v>0</v>
      </c>
      <c r="M6755">
        <v>98</v>
      </c>
      <c r="N6755">
        <v>13092.039999999999</v>
      </c>
      <c r="O6755">
        <v>133.59</v>
      </c>
    </row>
    <row r="6756" spans="1:15" x14ac:dyDescent="0.35">
      <c r="A6756" t="s">
        <v>7376</v>
      </c>
      <c r="B6756" t="s">
        <v>7377</v>
      </c>
      <c r="C6756" t="s">
        <v>898</v>
      </c>
      <c r="D6756" t="s">
        <v>293</v>
      </c>
      <c r="E6756" t="s">
        <v>298</v>
      </c>
      <c r="F6756" t="s">
        <v>7380</v>
      </c>
      <c r="G6756">
        <v>58</v>
      </c>
      <c r="H6756">
        <v>8282.52</v>
      </c>
      <c r="I6756">
        <v>142.80000000000001</v>
      </c>
      <c r="J6756">
        <v>0</v>
      </c>
      <c r="K6756">
        <v>0</v>
      </c>
      <c r="L6756">
        <v>0</v>
      </c>
      <c r="M6756">
        <v>58</v>
      </c>
      <c r="N6756">
        <v>8282.52</v>
      </c>
      <c r="O6756">
        <v>142.80000000000001</v>
      </c>
    </row>
    <row r="6757" spans="1:15" x14ac:dyDescent="0.35">
      <c r="A6757" t="s">
        <v>7376</v>
      </c>
      <c r="B6757" t="s">
        <v>7377</v>
      </c>
      <c r="C6757" t="s">
        <v>898</v>
      </c>
      <c r="D6757" t="s">
        <v>293</v>
      </c>
      <c r="E6757" t="s">
        <v>300</v>
      </c>
      <c r="F6757" t="s">
        <v>7381</v>
      </c>
      <c r="G6757">
        <v>0</v>
      </c>
      <c r="H6757">
        <v>0</v>
      </c>
      <c r="I6757">
        <v>0</v>
      </c>
      <c r="J6757">
        <v>0</v>
      </c>
      <c r="K6757">
        <v>0</v>
      </c>
      <c r="L6757">
        <v>0</v>
      </c>
      <c r="M6757">
        <v>0</v>
      </c>
      <c r="N6757">
        <v>0</v>
      </c>
      <c r="O6757">
        <v>0</v>
      </c>
    </row>
    <row r="6758" spans="1:15" x14ac:dyDescent="0.35">
      <c r="A6758" t="s">
        <v>7376</v>
      </c>
      <c r="B6758" t="s">
        <v>7377</v>
      </c>
      <c r="C6758" t="s">
        <v>898</v>
      </c>
      <c r="D6758" t="s">
        <v>293</v>
      </c>
      <c r="E6758" t="s">
        <v>302</v>
      </c>
      <c r="F6758" t="s">
        <v>7382</v>
      </c>
      <c r="G6758">
        <v>0</v>
      </c>
      <c r="H6758">
        <v>0</v>
      </c>
      <c r="I6758">
        <v>0</v>
      </c>
      <c r="J6758">
        <v>0</v>
      </c>
      <c r="K6758">
        <v>0</v>
      </c>
      <c r="L6758">
        <v>0</v>
      </c>
      <c r="M6758">
        <v>0</v>
      </c>
      <c r="N6758">
        <v>0</v>
      </c>
      <c r="O6758">
        <v>0</v>
      </c>
    </row>
    <row r="6759" spans="1:15" x14ac:dyDescent="0.35">
      <c r="A6759" t="s">
        <v>7376</v>
      </c>
      <c r="B6759" t="s">
        <v>7377</v>
      </c>
      <c r="C6759" t="s">
        <v>898</v>
      </c>
      <c r="D6759" t="s">
        <v>293</v>
      </c>
      <c r="E6759" t="s">
        <v>304</v>
      </c>
      <c r="F6759" t="s">
        <v>7383</v>
      </c>
      <c r="G6759">
        <v>0</v>
      </c>
      <c r="H6759">
        <v>0</v>
      </c>
      <c r="I6759">
        <v>0</v>
      </c>
      <c r="J6759">
        <v>0</v>
      </c>
      <c r="K6759">
        <v>0</v>
      </c>
      <c r="L6759">
        <v>0</v>
      </c>
      <c r="M6759">
        <v>0</v>
      </c>
      <c r="N6759">
        <v>0</v>
      </c>
      <c r="O6759">
        <v>0</v>
      </c>
    </row>
    <row r="6760" spans="1:15" x14ac:dyDescent="0.35">
      <c r="A6760" t="s">
        <v>7376</v>
      </c>
      <c r="B6760" t="s">
        <v>7377</v>
      </c>
      <c r="C6760" t="s">
        <v>898</v>
      </c>
      <c r="D6760" t="s">
        <v>293</v>
      </c>
      <c r="E6760" t="s">
        <v>306</v>
      </c>
      <c r="F6760" t="s">
        <v>7384</v>
      </c>
      <c r="G6760">
        <v>0</v>
      </c>
      <c r="H6760">
        <v>0</v>
      </c>
      <c r="I6760">
        <v>0</v>
      </c>
      <c r="J6760">
        <v>0</v>
      </c>
      <c r="K6760">
        <v>0</v>
      </c>
      <c r="L6760">
        <v>0</v>
      </c>
      <c r="M6760">
        <v>0</v>
      </c>
      <c r="N6760">
        <v>0</v>
      </c>
      <c r="O6760">
        <v>0</v>
      </c>
    </row>
    <row r="6761" spans="1:15" x14ac:dyDescent="0.35">
      <c r="A6761" t="s">
        <v>7376</v>
      </c>
      <c r="B6761" t="s">
        <v>7377</v>
      </c>
      <c r="C6761" t="s">
        <v>898</v>
      </c>
      <c r="D6761" t="s">
        <v>293</v>
      </c>
      <c r="E6761" t="s">
        <v>308</v>
      </c>
      <c r="F6761" t="s">
        <v>7385</v>
      </c>
      <c r="G6761">
        <v>0</v>
      </c>
      <c r="H6761">
        <v>0</v>
      </c>
      <c r="I6761">
        <v>0</v>
      </c>
      <c r="J6761">
        <v>0</v>
      </c>
      <c r="K6761">
        <v>0</v>
      </c>
      <c r="L6761">
        <v>0</v>
      </c>
      <c r="M6761">
        <v>0</v>
      </c>
      <c r="N6761">
        <v>0</v>
      </c>
      <c r="O6761">
        <v>0</v>
      </c>
    </row>
    <row r="6762" spans="1:15" x14ac:dyDescent="0.35">
      <c r="A6762" t="s">
        <v>7376</v>
      </c>
      <c r="B6762" t="s">
        <v>7377</v>
      </c>
      <c r="C6762" t="s">
        <v>898</v>
      </c>
      <c r="D6762" t="s">
        <v>293</v>
      </c>
      <c r="E6762" t="s">
        <v>310</v>
      </c>
      <c r="F6762" t="s">
        <v>7386</v>
      </c>
      <c r="G6762">
        <v>226</v>
      </c>
      <c r="H6762">
        <v>29254.92</v>
      </c>
      <c r="I6762">
        <v>129.44999999999999</v>
      </c>
      <c r="J6762">
        <v>0</v>
      </c>
      <c r="K6762">
        <v>0</v>
      </c>
      <c r="L6762">
        <v>0</v>
      </c>
      <c r="M6762">
        <v>226</v>
      </c>
      <c r="N6762">
        <v>29254.92</v>
      </c>
      <c r="O6762">
        <v>129.44999999999999</v>
      </c>
    </row>
    <row r="6763" spans="1:15" x14ac:dyDescent="0.35">
      <c r="A6763" t="s">
        <v>7376</v>
      </c>
      <c r="B6763" t="s">
        <v>7377</v>
      </c>
      <c r="C6763" t="s">
        <v>898</v>
      </c>
      <c r="D6763" t="s">
        <v>293</v>
      </c>
      <c r="E6763" t="s">
        <v>312</v>
      </c>
      <c r="F6763" t="s">
        <v>7387</v>
      </c>
      <c r="G6763">
        <v>226</v>
      </c>
      <c r="H6763">
        <v>29254.92</v>
      </c>
      <c r="I6763">
        <v>129.44999999999999</v>
      </c>
      <c r="J6763">
        <v>0</v>
      </c>
      <c r="K6763">
        <v>0</v>
      </c>
      <c r="L6763">
        <v>0</v>
      </c>
      <c r="M6763">
        <v>226</v>
      </c>
      <c r="N6763">
        <v>29254.92</v>
      </c>
      <c r="O6763">
        <v>129.44999999999999</v>
      </c>
    </row>
    <row r="6764" spans="1:15" x14ac:dyDescent="0.35">
      <c r="A6764" t="s">
        <v>7376</v>
      </c>
      <c r="B6764" t="s">
        <v>7377</v>
      </c>
      <c r="C6764" t="s">
        <v>898</v>
      </c>
      <c r="D6764" t="s">
        <v>314</v>
      </c>
      <c r="E6764" t="s">
        <v>294</v>
      </c>
      <c r="F6764" t="s">
        <v>7388</v>
      </c>
      <c r="G6764">
        <v>29</v>
      </c>
      <c r="H6764">
        <v>7226.2800000000007</v>
      </c>
      <c r="I6764">
        <v>249.18</v>
      </c>
      <c r="J6764">
        <v>0</v>
      </c>
      <c r="K6764">
        <v>0</v>
      </c>
      <c r="L6764">
        <v>0</v>
      </c>
      <c r="M6764">
        <v>29</v>
      </c>
      <c r="N6764">
        <v>7226.2800000000007</v>
      </c>
      <c r="O6764">
        <v>249.18</v>
      </c>
    </row>
    <row r="6765" spans="1:15" x14ac:dyDescent="0.35">
      <c r="A6765" t="s">
        <v>7376</v>
      </c>
      <c r="B6765" t="s">
        <v>7377</v>
      </c>
      <c r="C6765" t="s">
        <v>898</v>
      </c>
      <c r="D6765" t="s">
        <v>314</v>
      </c>
      <c r="E6765" t="s">
        <v>296</v>
      </c>
      <c r="F6765" t="s">
        <v>7389</v>
      </c>
      <c r="G6765">
        <v>4</v>
      </c>
      <c r="H6765">
        <v>1015.12</v>
      </c>
      <c r="I6765">
        <v>253.78</v>
      </c>
      <c r="J6765">
        <v>0</v>
      </c>
      <c r="K6765">
        <v>0</v>
      </c>
      <c r="L6765">
        <v>0</v>
      </c>
      <c r="M6765">
        <v>4</v>
      </c>
      <c r="N6765">
        <v>1015.12</v>
      </c>
      <c r="O6765">
        <v>253.78</v>
      </c>
    </row>
    <row r="6766" spans="1:15" x14ac:dyDescent="0.35">
      <c r="A6766" t="s">
        <v>7376</v>
      </c>
      <c r="B6766" t="s">
        <v>7377</v>
      </c>
      <c r="C6766" t="s">
        <v>898</v>
      </c>
      <c r="D6766" t="s">
        <v>314</v>
      </c>
      <c r="E6766" t="s">
        <v>298</v>
      </c>
      <c r="F6766" t="s">
        <v>7390</v>
      </c>
      <c r="G6766">
        <v>0</v>
      </c>
      <c r="H6766">
        <v>0</v>
      </c>
      <c r="I6766">
        <v>0</v>
      </c>
      <c r="J6766">
        <v>0</v>
      </c>
      <c r="K6766">
        <v>0</v>
      </c>
      <c r="L6766">
        <v>0</v>
      </c>
      <c r="M6766">
        <v>0</v>
      </c>
      <c r="N6766">
        <v>0</v>
      </c>
      <c r="O6766">
        <v>0</v>
      </c>
    </row>
    <row r="6767" spans="1:15" x14ac:dyDescent="0.35">
      <c r="A6767" t="s">
        <v>7376</v>
      </c>
      <c r="B6767" t="s">
        <v>7377</v>
      </c>
      <c r="C6767" t="s">
        <v>898</v>
      </c>
      <c r="D6767" t="s">
        <v>314</v>
      </c>
      <c r="E6767" t="s">
        <v>300</v>
      </c>
      <c r="F6767" t="s">
        <v>7391</v>
      </c>
      <c r="G6767">
        <v>0</v>
      </c>
      <c r="H6767">
        <v>0</v>
      </c>
      <c r="I6767">
        <v>0</v>
      </c>
      <c r="J6767">
        <v>0</v>
      </c>
      <c r="K6767">
        <v>0</v>
      </c>
      <c r="L6767">
        <v>0</v>
      </c>
      <c r="M6767">
        <v>0</v>
      </c>
      <c r="N6767">
        <v>0</v>
      </c>
      <c r="O6767">
        <v>0</v>
      </c>
    </row>
    <row r="6768" spans="1:15" x14ac:dyDescent="0.35">
      <c r="A6768" t="s">
        <v>7376</v>
      </c>
      <c r="B6768" t="s">
        <v>7377</v>
      </c>
      <c r="C6768" t="s">
        <v>898</v>
      </c>
      <c r="D6768" t="s">
        <v>314</v>
      </c>
      <c r="E6768" t="s">
        <v>306</v>
      </c>
      <c r="F6768" t="s">
        <v>7392</v>
      </c>
      <c r="G6768">
        <v>0</v>
      </c>
      <c r="H6768">
        <v>0</v>
      </c>
      <c r="I6768">
        <v>0</v>
      </c>
      <c r="J6768">
        <v>0</v>
      </c>
      <c r="K6768">
        <v>0</v>
      </c>
      <c r="L6768">
        <v>0</v>
      </c>
      <c r="M6768">
        <v>0</v>
      </c>
      <c r="N6768">
        <v>0</v>
      </c>
      <c r="O6768">
        <v>0</v>
      </c>
    </row>
    <row r="6769" spans="1:15" x14ac:dyDescent="0.35">
      <c r="A6769" t="s">
        <v>7376</v>
      </c>
      <c r="B6769" t="s">
        <v>7377</v>
      </c>
      <c r="C6769" t="s">
        <v>898</v>
      </c>
      <c r="D6769" t="s">
        <v>314</v>
      </c>
      <c r="E6769" t="s">
        <v>308</v>
      </c>
      <c r="F6769" t="s">
        <v>7393</v>
      </c>
      <c r="G6769">
        <v>0</v>
      </c>
      <c r="H6769">
        <v>0</v>
      </c>
      <c r="I6769">
        <v>0</v>
      </c>
      <c r="J6769">
        <v>0</v>
      </c>
      <c r="K6769">
        <v>0</v>
      </c>
      <c r="L6769">
        <v>0</v>
      </c>
      <c r="M6769">
        <v>0</v>
      </c>
      <c r="N6769">
        <v>0</v>
      </c>
      <c r="O6769">
        <v>0</v>
      </c>
    </row>
    <row r="6770" spans="1:15" x14ac:dyDescent="0.35">
      <c r="A6770" t="s">
        <v>7376</v>
      </c>
      <c r="B6770" t="s">
        <v>7377</v>
      </c>
      <c r="C6770" t="s">
        <v>898</v>
      </c>
      <c r="D6770" t="s">
        <v>314</v>
      </c>
      <c r="E6770" t="s">
        <v>312</v>
      </c>
      <c r="F6770" t="s">
        <v>7394</v>
      </c>
      <c r="G6770">
        <v>33</v>
      </c>
      <c r="H6770">
        <v>8241.4000000000015</v>
      </c>
      <c r="I6770">
        <v>249.74</v>
      </c>
      <c r="J6770">
        <v>0</v>
      </c>
      <c r="K6770">
        <v>0</v>
      </c>
      <c r="L6770">
        <v>0</v>
      </c>
      <c r="M6770">
        <v>33</v>
      </c>
      <c r="N6770">
        <v>8241.4000000000015</v>
      </c>
      <c r="O6770">
        <v>249.74</v>
      </c>
    </row>
    <row r="6771" spans="1:15" x14ac:dyDescent="0.35">
      <c r="A6771" t="s">
        <v>7376</v>
      </c>
      <c r="B6771" t="s">
        <v>7377</v>
      </c>
      <c r="C6771" t="s">
        <v>898</v>
      </c>
      <c r="D6771" t="s">
        <v>314</v>
      </c>
      <c r="E6771" t="s">
        <v>310</v>
      </c>
      <c r="F6771" t="s">
        <v>7395</v>
      </c>
      <c r="G6771">
        <v>33</v>
      </c>
      <c r="H6771">
        <v>8241.4000000000015</v>
      </c>
      <c r="I6771">
        <v>249.74</v>
      </c>
      <c r="J6771">
        <v>0</v>
      </c>
      <c r="K6771">
        <v>0</v>
      </c>
      <c r="L6771">
        <v>0</v>
      </c>
      <c r="M6771">
        <v>33</v>
      </c>
      <c r="N6771">
        <v>8241.4000000000015</v>
      </c>
      <c r="O6771">
        <v>249.74</v>
      </c>
    </row>
    <row r="6772" spans="1:15" x14ac:dyDescent="0.35">
      <c r="A6772" t="s">
        <v>7376</v>
      </c>
      <c r="B6772" t="s">
        <v>7377</v>
      </c>
      <c r="C6772" t="s">
        <v>898</v>
      </c>
      <c r="D6772" t="s">
        <v>323</v>
      </c>
      <c r="E6772" t="s">
        <v>294</v>
      </c>
      <c r="F6772" t="s">
        <v>7396</v>
      </c>
      <c r="G6772">
        <v>409</v>
      </c>
      <c r="H6772">
        <v>36599.840000000004</v>
      </c>
      <c r="I6772">
        <v>89.49</v>
      </c>
      <c r="J6772">
        <v>718</v>
      </c>
      <c r="K6772">
        <v>55637.82</v>
      </c>
      <c r="L6772">
        <v>77.489999999999995</v>
      </c>
      <c r="M6772">
        <v>1127</v>
      </c>
      <c r="N6772">
        <v>92237.66</v>
      </c>
      <c r="O6772">
        <v>81.84</v>
      </c>
    </row>
    <row r="6773" spans="1:15" x14ac:dyDescent="0.35">
      <c r="A6773" t="s">
        <v>7376</v>
      </c>
      <c r="B6773" t="s">
        <v>7377</v>
      </c>
      <c r="C6773" t="s">
        <v>898</v>
      </c>
      <c r="D6773" t="s">
        <v>323</v>
      </c>
      <c r="E6773" t="s">
        <v>296</v>
      </c>
      <c r="F6773" t="s">
        <v>7397</v>
      </c>
      <c r="G6773">
        <v>335</v>
      </c>
      <c r="H6773">
        <v>35201.07</v>
      </c>
      <c r="I6773">
        <v>105.08</v>
      </c>
      <c r="J6773">
        <v>1297</v>
      </c>
      <c r="K6773">
        <v>109700.26</v>
      </c>
      <c r="L6773">
        <v>84.58</v>
      </c>
      <c r="M6773">
        <v>1632</v>
      </c>
      <c r="N6773">
        <v>144901.32999999999</v>
      </c>
      <c r="O6773">
        <v>88.79</v>
      </c>
    </row>
    <row r="6774" spans="1:15" x14ac:dyDescent="0.35">
      <c r="A6774" t="s">
        <v>7376</v>
      </c>
      <c r="B6774" t="s">
        <v>7377</v>
      </c>
      <c r="C6774" t="s">
        <v>898</v>
      </c>
      <c r="D6774" t="s">
        <v>323</v>
      </c>
      <c r="E6774" t="s">
        <v>298</v>
      </c>
      <c r="F6774" t="s">
        <v>7398</v>
      </c>
      <c r="G6774">
        <v>183</v>
      </c>
      <c r="H6774">
        <v>21616.19</v>
      </c>
      <c r="I6774">
        <v>118.12</v>
      </c>
      <c r="J6774">
        <v>1177</v>
      </c>
      <c r="K6774">
        <v>106742.12999999999</v>
      </c>
      <c r="L6774">
        <v>90.69</v>
      </c>
      <c r="M6774">
        <v>1360</v>
      </c>
      <c r="N6774">
        <v>128358.31999999999</v>
      </c>
      <c r="O6774">
        <v>94.38</v>
      </c>
    </row>
    <row r="6775" spans="1:15" x14ac:dyDescent="0.35">
      <c r="A6775" t="s">
        <v>7376</v>
      </c>
      <c r="B6775" t="s">
        <v>7377</v>
      </c>
      <c r="C6775" t="s">
        <v>898</v>
      </c>
      <c r="D6775" t="s">
        <v>323</v>
      </c>
      <c r="E6775" t="s">
        <v>300</v>
      </c>
      <c r="F6775" t="s">
        <v>7399</v>
      </c>
      <c r="G6775">
        <v>11</v>
      </c>
      <c r="H6775">
        <v>1541.7099999999998</v>
      </c>
      <c r="I6775">
        <v>140.16</v>
      </c>
      <c r="J6775">
        <v>57</v>
      </c>
      <c r="K6775">
        <v>5535.84</v>
      </c>
      <c r="L6775">
        <v>97.12</v>
      </c>
      <c r="M6775">
        <v>68</v>
      </c>
      <c r="N6775">
        <v>7077.55</v>
      </c>
      <c r="O6775">
        <v>104.08</v>
      </c>
    </row>
    <row r="6776" spans="1:15" x14ac:dyDescent="0.35">
      <c r="A6776" t="s">
        <v>7376</v>
      </c>
      <c r="B6776" t="s">
        <v>7377</v>
      </c>
      <c r="C6776" t="s">
        <v>898</v>
      </c>
      <c r="D6776" t="s">
        <v>323</v>
      </c>
      <c r="E6776" t="s">
        <v>302</v>
      </c>
      <c r="F6776" t="s">
        <v>7400</v>
      </c>
      <c r="G6776">
        <v>2</v>
      </c>
      <c r="H6776">
        <v>258.56</v>
      </c>
      <c r="I6776">
        <v>129.28</v>
      </c>
      <c r="J6776">
        <v>0</v>
      </c>
      <c r="K6776">
        <v>0</v>
      </c>
      <c r="L6776">
        <v>0</v>
      </c>
      <c r="M6776">
        <v>2</v>
      </c>
      <c r="N6776">
        <v>258.56</v>
      </c>
      <c r="O6776">
        <v>129.28</v>
      </c>
    </row>
    <row r="6777" spans="1:15" x14ac:dyDescent="0.35">
      <c r="A6777" t="s">
        <v>7376</v>
      </c>
      <c r="B6777" t="s">
        <v>7377</v>
      </c>
      <c r="C6777" t="s">
        <v>898</v>
      </c>
      <c r="D6777" t="s">
        <v>323</v>
      </c>
      <c r="E6777" t="s">
        <v>304</v>
      </c>
      <c r="F6777" t="s">
        <v>7401</v>
      </c>
      <c r="G6777">
        <v>0</v>
      </c>
      <c r="H6777">
        <v>0</v>
      </c>
      <c r="I6777">
        <v>0</v>
      </c>
      <c r="J6777">
        <v>1</v>
      </c>
      <c r="K6777">
        <v>118.27</v>
      </c>
      <c r="L6777">
        <v>118.27</v>
      </c>
      <c r="M6777">
        <v>1</v>
      </c>
      <c r="N6777">
        <v>118.27</v>
      </c>
      <c r="O6777">
        <v>118.27</v>
      </c>
    </row>
    <row r="6778" spans="1:15" x14ac:dyDescent="0.35">
      <c r="A6778" t="s">
        <v>7376</v>
      </c>
      <c r="B6778" t="s">
        <v>7377</v>
      </c>
      <c r="C6778" t="s">
        <v>898</v>
      </c>
      <c r="D6778" t="s">
        <v>323</v>
      </c>
      <c r="E6778" t="s">
        <v>306</v>
      </c>
      <c r="F6778" t="s">
        <v>7402</v>
      </c>
      <c r="G6778">
        <v>31</v>
      </c>
      <c r="H6778">
        <v>2431.64</v>
      </c>
      <c r="I6778">
        <v>78.44</v>
      </c>
      <c r="J6778">
        <v>9</v>
      </c>
      <c r="K6778">
        <v>623.87999999999988</v>
      </c>
      <c r="L6778">
        <v>69.319999999999993</v>
      </c>
      <c r="M6778">
        <v>40</v>
      </c>
      <c r="N6778">
        <v>3055.5199999999995</v>
      </c>
      <c r="O6778">
        <v>76.39</v>
      </c>
    </row>
    <row r="6779" spans="1:15" x14ac:dyDescent="0.35">
      <c r="A6779" t="s">
        <v>7376</v>
      </c>
      <c r="B6779" t="s">
        <v>7377</v>
      </c>
      <c r="C6779" t="s">
        <v>898</v>
      </c>
      <c r="D6779" t="s">
        <v>323</v>
      </c>
      <c r="E6779" t="s">
        <v>308</v>
      </c>
      <c r="F6779" t="s">
        <v>7403</v>
      </c>
      <c r="G6779">
        <v>0</v>
      </c>
      <c r="H6779">
        <v>0</v>
      </c>
      <c r="I6779">
        <v>0</v>
      </c>
      <c r="J6779">
        <v>0</v>
      </c>
      <c r="K6779">
        <v>0</v>
      </c>
      <c r="L6779">
        <v>0</v>
      </c>
      <c r="M6779">
        <v>0</v>
      </c>
      <c r="N6779">
        <v>0</v>
      </c>
      <c r="O6779">
        <v>0</v>
      </c>
    </row>
    <row r="6780" spans="1:15" x14ac:dyDescent="0.35">
      <c r="A6780" t="s">
        <v>7376</v>
      </c>
      <c r="B6780" t="s">
        <v>7377</v>
      </c>
      <c r="C6780" t="s">
        <v>898</v>
      </c>
      <c r="D6780" t="s">
        <v>323</v>
      </c>
      <c r="E6780" t="s">
        <v>310</v>
      </c>
      <c r="F6780" t="s">
        <v>7404</v>
      </c>
      <c r="G6780">
        <v>971</v>
      </c>
      <c r="H6780">
        <v>97649.010000000009</v>
      </c>
      <c r="I6780">
        <v>100.57</v>
      </c>
      <c r="J6780">
        <v>3259</v>
      </c>
      <c r="K6780">
        <v>278358.2</v>
      </c>
      <c r="L6780">
        <v>85.41</v>
      </c>
      <c r="M6780">
        <v>4230</v>
      </c>
      <c r="N6780">
        <v>376007.21</v>
      </c>
      <c r="O6780">
        <v>88.89</v>
      </c>
    </row>
    <row r="6781" spans="1:15" x14ac:dyDescent="0.35">
      <c r="A6781" t="s">
        <v>7376</v>
      </c>
      <c r="B6781" t="s">
        <v>7377</v>
      </c>
      <c r="C6781" t="s">
        <v>898</v>
      </c>
      <c r="D6781" t="s">
        <v>323</v>
      </c>
      <c r="E6781" t="s">
        <v>312</v>
      </c>
      <c r="F6781" t="s">
        <v>7405</v>
      </c>
      <c r="G6781">
        <v>971</v>
      </c>
      <c r="H6781">
        <v>97649.010000000009</v>
      </c>
      <c r="I6781">
        <v>100.57</v>
      </c>
      <c r="J6781">
        <v>3259</v>
      </c>
      <c r="K6781">
        <v>278358.2</v>
      </c>
      <c r="L6781">
        <v>85.41</v>
      </c>
      <c r="M6781">
        <v>4230</v>
      </c>
      <c r="N6781">
        <v>376007.21</v>
      </c>
      <c r="O6781">
        <v>88.89</v>
      </c>
    </row>
    <row r="6782" spans="1:15" x14ac:dyDescent="0.35">
      <c r="A6782" t="s">
        <v>7376</v>
      </c>
      <c r="B6782" t="s">
        <v>7377</v>
      </c>
      <c r="C6782" t="s">
        <v>898</v>
      </c>
      <c r="D6782" t="s">
        <v>334</v>
      </c>
      <c r="E6782" t="s">
        <v>312</v>
      </c>
      <c r="F6782" t="s">
        <v>7406</v>
      </c>
      <c r="G6782">
        <v>1224</v>
      </c>
      <c r="H6782">
        <v>126903.93000000002</v>
      </c>
      <c r="I6782">
        <v>106.02</v>
      </c>
      <c r="J6782">
        <v>3259</v>
      </c>
      <c r="K6782">
        <v>278358.2</v>
      </c>
      <c r="L6782">
        <v>85.41</v>
      </c>
      <c r="M6782">
        <v>4483</v>
      </c>
      <c r="N6782">
        <v>405262.13</v>
      </c>
      <c r="O6782">
        <v>90.95</v>
      </c>
    </row>
    <row r="6783" spans="1:15" x14ac:dyDescent="0.35">
      <c r="A6783" t="s">
        <v>7376</v>
      </c>
      <c r="B6783" t="s">
        <v>7377</v>
      </c>
      <c r="C6783" t="s">
        <v>898</v>
      </c>
      <c r="D6783" t="s">
        <v>334</v>
      </c>
      <c r="E6783" t="s">
        <v>308</v>
      </c>
      <c r="F6783" t="s">
        <v>7407</v>
      </c>
      <c r="G6783">
        <v>0</v>
      </c>
      <c r="H6783">
        <v>0</v>
      </c>
      <c r="I6783">
        <v>0</v>
      </c>
      <c r="J6783">
        <v>0</v>
      </c>
      <c r="K6783">
        <v>0</v>
      </c>
      <c r="L6783">
        <v>0</v>
      </c>
      <c r="M6783">
        <v>0</v>
      </c>
      <c r="N6783">
        <v>0</v>
      </c>
      <c r="O6783">
        <v>0</v>
      </c>
    </row>
    <row r="6784" spans="1:15" x14ac:dyDescent="0.35">
      <c r="A6784" t="s">
        <v>7376</v>
      </c>
      <c r="B6784" t="s">
        <v>7377</v>
      </c>
      <c r="C6784" t="s">
        <v>898</v>
      </c>
      <c r="D6784" t="s">
        <v>337</v>
      </c>
      <c r="E6784" t="s">
        <v>337</v>
      </c>
      <c r="F6784" t="s">
        <v>7408</v>
      </c>
      <c r="G6784">
        <v>143</v>
      </c>
      <c r="J6784">
        <v>4</v>
      </c>
      <c r="M6784">
        <v>147</v>
      </c>
    </row>
    <row r="6785" spans="1:15" x14ac:dyDescent="0.35">
      <c r="A6785" t="s">
        <v>7376</v>
      </c>
      <c r="B6785" t="s">
        <v>7377</v>
      </c>
      <c r="C6785" t="s">
        <v>898</v>
      </c>
      <c r="D6785" t="s">
        <v>339</v>
      </c>
      <c r="E6785" t="s">
        <v>294</v>
      </c>
      <c r="F6785" t="s">
        <v>7409</v>
      </c>
      <c r="G6785">
        <v>148</v>
      </c>
      <c r="H6785">
        <v>16846.169999999998</v>
      </c>
      <c r="I6785">
        <v>113.83</v>
      </c>
      <c r="J6785">
        <v>927</v>
      </c>
      <c r="K6785">
        <v>72676.800000000003</v>
      </c>
      <c r="L6785">
        <v>78.400000000000006</v>
      </c>
      <c r="M6785">
        <v>1075</v>
      </c>
      <c r="N6785">
        <v>89522.97</v>
      </c>
      <c r="O6785">
        <v>83.28</v>
      </c>
    </row>
    <row r="6786" spans="1:15" x14ac:dyDescent="0.35">
      <c r="A6786" t="s">
        <v>7376</v>
      </c>
      <c r="B6786" t="s">
        <v>7377</v>
      </c>
      <c r="C6786" t="s">
        <v>898</v>
      </c>
      <c r="D6786" t="s">
        <v>339</v>
      </c>
      <c r="E6786" t="s">
        <v>296</v>
      </c>
      <c r="F6786" t="s">
        <v>7410</v>
      </c>
      <c r="G6786">
        <v>3</v>
      </c>
      <c r="H6786">
        <v>358.93</v>
      </c>
      <c r="I6786">
        <v>119.64</v>
      </c>
      <c r="J6786">
        <v>183</v>
      </c>
      <c r="K6786">
        <v>15635.52</v>
      </c>
      <c r="L6786">
        <v>85.44</v>
      </c>
      <c r="M6786">
        <v>186</v>
      </c>
      <c r="N6786">
        <v>15994.45</v>
      </c>
      <c r="O6786">
        <v>85.99</v>
      </c>
    </row>
    <row r="6787" spans="1:15" x14ac:dyDescent="0.35">
      <c r="A6787" t="s">
        <v>7376</v>
      </c>
      <c r="B6787" t="s">
        <v>7377</v>
      </c>
      <c r="C6787" t="s">
        <v>898</v>
      </c>
      <c r="D6787" t="s">
        <v>339</v>
      </c>
      <c r="E6787" t="s">
        <v>298</v>
      </c>
      <c r="F6787" t="s">
        <v>7411</v>
      </c>
      <c r="G6787">
        <v>1</v>
      </c>
      <c r="H6787">
        <v>130.61000000000001</v>
      </c>
      <c r="I6787">
        <v>130.61000000000001</v>
      </c>
      <c r="J6787">
        <v>10</v>
      </c>
      <c r="K6787">
        <v>939.7</v>
      </c>
      <c r="L6787">
        <v>93.97</v>
      </c>
      <c r="M6787">
        <v>11</v>
      </c>
      <c r="N6787">
        <v>1070.31</v>
      </c>
      <c r="O6787">
        <v>97.3</v>
      </c>
    </row>
    <row r="6788" spans="1:15" x14ac:dyDescent="0.35">
      <c r="A6788" t="s">
        <v>7376</v>
      </c>
      <c r="B6788" t="s">
        <v>7377</v>
      </c>
      <c r="C6788" t="s">
        <v>898</v>
      </c>
      <c r="D6788" t="s">
        <v>339</v>
      </c>
      <c r="E6788" t="s">
        <v>300</v>
      </c>
      <c r="F6788" t="s">
        <v>7412</v>
      </c>
      <c r="G6788">
        <v>0</v>
      </c>
      <c r="H6788">
        <v>0</v>
      </c>
      <c r="I6788">
        <v>0</v>
      </c>
      <c r="J6788">
        <v>0</v>
      </c>
      <c r="K6788">
        <v>0</v>
      </c>
      <c r="L6788">
        <v>0</v>
      </c>
      <c r="M6788">
        <v>0</v>
      </c>
      <c r="N6788">
        <v>0</v>
      </c>
      <c r="O6788">
        <v>0</v>
      </c>
    </row>
    <row r="6789" spans="1:15" x14ac:dyDescent="0.35">
      <c r="A6789" t="s">
        <v>7376</v>
      </c>
      <c r="B6789" t="s">
        <v>7377</v>
      </c>
      <c r="C6789" t="s">
        <v>898</v>
      </c>
      <c r="D6789" t="s">
        <v>339</v>
      </c>
      <c r="E6789" t="s">
        <v>306</v>
      </c>
      <c r="F6789" t="s">
        <v>7413</v>
      </c>
      <c r="G6789">
        <v>0</v>
      </c>
      <c r="H6789">
        <v>0</v>
      </c>
      <c r="I6789">
        <v>0</v>
      </c>
      <c r="J6789">
        <v>0</v>
      </c>
      <c r="K6789">
        <v>0</v>
      </c>
      <c r="L6789">
        <v>0</v>
      </c>
      <c r="M6789">
        <v>0</v>
      </c>
      <c r="N6789">
        <v>0</v>
      </c>
      <c r="O6789">
        <v>0</v>
      </c>
    </row>
    <row r="6790" spans="1:15" x14ac:dyDescent="0.35">
      <c r="A6790" t="s">
        <v>7376</v>
      </c>
      <c r="B6790" t="s">
        <v>7377</v>
      </c>
      <c r="C6790" t="s">
        <v>898</v>
      </c>
      <c r="D6790" t="s">
        <v>339</v>
      </c>
      <c r="E6790" t="s">
        <v>308</v>
      </c>
      <c r="F6790" t="s">
        <v>7414</v>
      </c>
      <c r="G6790">
        <v>55</v>
      </c>
      <c r="H6790">
        <v>9555.59</v>
      </c>
      <c r="I6790">
        <v>173.74</v>
      </c>
      <c r="J6790">
        <v>0</v>
      </c>
      <c r="K6790">
        <v>0</v>
      </c>
      <c r="L6790">
        <v>0</v>
      </c>
      <c r="M6790">
        <v>55</v>
      </c>
      <c r="N6790">
        <v>9555.59</v>
      </c>
      <c r="O6790">
        <v>173.74</v>
      </c>
    </row>
    <row r="6791" spans="1:15" x14ac:dyDescent="0.35">
      <c r="A6791" t="s">
        <v>7376</v>
      </c>
      <c r="B6791" t="s">
        <v>7377</v>
      </c>
      <c r="C6791" t="s">
        <v>898</v>
      </c>
      <c r="D6791" t="s">
        <v>339</v>
      </c>
      <c r="E6791" t="s">
        <v>310</v>
      </c>
      <c r="F6791" t="s">
        <v>7415</v>
      </c>
      <c r="G6791">
        <v>207</v>
      </c>
      <c r="H6791">
        <v>26891.3</v>
      </c>
      <c r="I6791">
        <v>129.91</v>
      </c>
      <c r="J6791">
        <v>1120</v>
      </c>
      <c r="K6791">
        <v>89252.02</v>
      </c>
      <c r="L6791">
        <v>79.69</v>
      </c>
      <c r="M6791">
        <v>1327</v>
      </c>
      <c r="N6791">
        <v>116143.32</v>
      </c>
      <c r="O6791">
        <v>87.52</v>
      </c>
    </row>
    <row r="6792" spans="1:15" x14ac:dyDescent="0.35">
      <c r="A6792" t="s">
        <v>7376</v>
      </c>
      <c r="B6792" t="s">
        <v>7377</v>
      </c>
      <c r="C6792" t="s">
        <v>898</v>
      </c>
      <c r="D6792" t="s">
        <v>339</v>
      </c>
      <c r="E6792" t="s">
        <v>312</v>
      </c>
      <c r="F6792" t="s">
        <v>7416</v>
      </c>
      <c r="G6792">
        <v>152</v>
      </c>
      <c r="H6792">
        <v>17335.71</v>
      </c>
      <c r="I6792">
        <v>114.05</v>
      </c>
      <c r="J6792">
        <v>1120</v>
      </c>
      <c r="K6792">
        <v>89252.02</v>
      </c>
      <c r="L6792">
        <v>79.69</v>
      </c>
      <c r="M6792">
        <v>1272</v>
      </c>
      <c r="N6792">
        <v>106587.73000000001</v>
      </c>
      <c r="O6792">
        <v>83.8</v>
      </c>
    </row>
    <row r="6793" spans="1:15" x14ac:dyDescent="0.35">
      <c r="A6793" t="s">
        <v>7376</v>
      </c>
      <c r="B6793" t="s">
        <v>7377</v>
      </c>
      <c r="C6793" t="s">
        <v>898</v>
      </c>
      <c r="D6793" t="s">
        <v>348</v>
      </c>
      <c r="E6793" t="s">
        <v>349</v>
      </c>
      <c r="F6793" t="s">
        <v>7417</v>
      </c>
      <c r="G6793">
        <v>240</v>
      </c>
      <c r="H6793">
        <v>35132.699999999997</v>
      </c>
      <c r="I6793">
        <v>146.38999999999999</v>
      </c>
      <c r="J6793">
        <v>1120</v>
      </c>
      <c r="K6793">
        <v>89252.02</v>
      </c>
      <c r="L6793">
        <v>79.69</v>
      </c>
      <c r="M6793">
        <v>1360</v>
      </c>
      <c r="N6793">
        <v>124384.72</v>
      </c>
      <c r="O6793">
        <v>91.46</v>
      </c>
    </row>
    <row r="6794" spans="1:15" x14ac:dyDescent="0.35">
      <c r="A6794" t="s">
        <v>7418</v>
      </c>
      <c r="B6794" t="s">
        <v>7419</v>
      </c>
      <c r="C6794" t="s">
        <v>898</v>
      </c>
      <c r="D6794" t="s">
        <v>293</v>
      </c>
      <c r="E6794" t="s">
        <v>294</v>
      </c>
      <c r="F6794" t="s">
        <v>7420</v>
      </c>
      <c r="G6794">
        <v>65</v>
      </c>
      <c r="H6794">
        <v>7266.5199999999995</v>
      </c>
      <c r="I6794">
        <v>111.79</v>
      </c>
      <c r="J6794">
        <v>0</v>
      </c>
      <c r="K6794">
        <v>0</v>
      </c>
      <c r="L6794">
        <v>0</v>
      </c>
      <c r="M6794">
        <v>65</v>
      </c>
      <c r="N6794">
        <v>7266.5199999999995</v>
      </c>
      <c r="O6794">
        <v>111.79</v>
      </c>
    </row>
    <row r="6795" spans="1:15" x14ac:dyDescent="0.35">
      <c r="A6795" t="s">
        <v>7418</v>
      </c>
      <c r="B6795" t="s">
        <v>7419</v>
      </c>
      <c r="C6795" t="s">
        <v>898</v>
      </c>
      <c r="D6795" t="s">
        <v>293</v>
      </c>
      <c r="E6795" t="s">
        <v>296</v>
      </c>
      <c r="F6795" t="s">
        <v>7421</v>
      </c>
      <c r="G6795">
        <v>223</v>
      </c>
      <c r="H6795">
        <v>30780.400000000001</v>
      </c>
      <c r="I6795">
        <v>138.03</v>
      </c>
      <c r="J6795">
        <v>0</v>
      </c>
      <c r="K6795">
        <v>0</v>
      </c>
      <c r="L6795">
        <v>0</v>
      </c>
      <c r="M6795">
        <v>223</v>
      </c>
      <c r="N6795">
        <v>30780.400000000001</v>
      </c>
      <c r="O6795">
        <v>138.03</v>
      </c>
    </row>
    <row r="6796" spans="1:15" x14ac:dyDescent="0.35">
      <c r="A6796" t="s">
        <v>7418</v>
      </c>
      <c r="B6796" t="s">
        <v>7419</v>
      </c>
      <c r="C6796" t="s">
        <v>898</v>
      </c>
      <c r="D6796" t="s">
        <v>293</v>
      </c>
      <c r="E6796" t="s">
        <v>298</v>
      </c>
      <c r="F6796" t="s">
        <v>7422</v>
      </c>
      <c r="G6796">
        <v>127</v>
      </c>
      <c r="H6796">
        <v>19363.27</v>
      </c>
      <c r="I6796">
        <v>152.47</v>
      </c>
      <c r="J6796">
        <v>0</v>
      </c>
      <c r="K6796">
        <v>0</v>
      </c>
      <c r="L6796">
        <v>0</v>
      </c>
      <c r="M6796">
        <v>127</v>
      </c>
      <c r="N6796">
        <v>19363.27</v>
      </c>
      <c r="O6796">
        <v>152.47</v>
      </c>
    </row>
    <row r="6797" spans="1:15" x14ac:dyDescent="0.35">
      <c r="A6797" t="s">
        <v>7418</v>
      </c>
      <c r="B6797" t="s">
        <v>7419</v>
      </c>
      <c r="C6797" t="s">
        <v>898</v>
      </c>
      <c r="D6797" t="s">
        <v>293</v>
      </c>
      <c r="E6797" t="s">
        <v>300</v>
      </c>
      <c r="F6797" t="s">
        <v>7423</v>
      </c>
      <c r="G6797">
        <v>24</v>
      </c>
      <c r="H6797">
        <v>4468.6000000000004</v>
      </c>
      <c r="I6797">
        <v>186.19</v>
      </c>
      <c r="J6797">
        <v>0</v>
      </c>
      <c r="K6797">
        <v>0</v>
      </c>
      <c r="L6797">
        <v>0</v>
      </c>
      <c r="M6797">
        <v>24</v>
      </c>
      <c r="N6797">
        <v>4468.6000000000004</v>
      </c>
      <c r="O6797">
        <v>186.19</v>
      </c>
    </row>
    <row r="6798" spans="1:15" x14ac:dyDescent="0.35">
      <c r="A6798" t="s">
        <v>7418</v>
      </c>
      <c r="B6798" t="s">
        <v>7419</v>
      </c>
      <c r="C6798" t="s">
        <v>898</v>
      </c>
      <c r="D6798" t="s">
        <v>293</v>
      </c>
      <c r="E6798" t="s">
        <v>302</v>
      </c>
      <c r="F6798" t="s">
        <v>7424</v>
      </c>
      <c r="G6798">
        <v>1</v>
      </c>
      <c r="H6798">
        <v>205.22</v>
      </c>
      <c r="I6798">
        <v>205.22</v>
      </c>
      <c r="J6798">
        <v>0</v>
      </c>
      <c r="K6798">
        <v>0</v>
      </c>
      <c r="L6798">
        <v>0</v>
      </c>
      <c r="M6798">
        <v>1</v>
      </c>
      <c r="N6798">
        <v>205.22</v>
      </c>
      <c r="O6798">
        <v>205.22</v>
      </c>
    </row>
    <row r="6799" spans="1:15" x14ac:dyDescent="0.35">
      <c r="A6799" t="s">
        <v>7418</v>
      </c>
      <c r="B6799" t="s">
        <v>7419</v>
      </c>
      <c r="C6799" t="s">
        <v>898</v>
      </c>
      <c r="D6799" t="s">
        <v>293</v>
      </c>
      <c r="E6799" t="s">
        <v>304</v>
      </c>
      <c r="F6799" t="s">
        <v>7425</v>
      </c>
      <c r="G6799">
        <v>0</v>
      </c>
      <c r="H6799">
        <v>0</v>
      </c>
      <c r="I6799">
        <v>0</v>
      </c>
      <c r="J6799">
        <v>0</v>
      </c>
      <c r="K6799">
        <v>0</v>
      </c>
      <c r="L6799">
        <v>0</v>
      </c>
      <c r="M6799">
        <v>0</v>
      </c>
      <c r="N6799">
        <v>0</v>
      </c>
      <c r="O6799">
        <v>0</v>
      </c>
    </row>
    <row r="6800" spans="1:15" x14ac:dyDescent="0.35">
      <c r="A6800" t="s">
        <v>7418</v>
      </c>
      <c r="B6800" t="s">
        <v>7419</v>
      </c>
      <c r="C6800" t="s">
        <v>898</v>
      </c>
      <c r="D6800" t="s">
        <v>293</v>
      </c>
      <c r="E6800" t="s">
        <v>306</v>
      </c>
      <c r="F6800" t="s">
        <v>7426</v>
      </c>
      <c r="G6800">
        <v>0</v>
      </c>
      <c r="H6800">
        <v>0</v>
      </c>
      <c r="I6800">
        <v>0</v>
      </c>
      <c r="J6800">
        <v>0</v>
      </c>
      <c r="K6800">
        <v>0</v>
      </c>
      <c r="L6800">
        <v>0</v>
      </c>
      <c r="M6800">
        <v>0</v>
      </c>
      <c r="N6800">
        <v>0</v>
      </c>
      <c r="O6800">
        <v>0</v>
      </c>
    </row>
    <row r="6801" spans="1:15" x14ac:dyDescent="0.35">
      <c r="A6801" t="s">
        <v>7418</v>
      </c>
      <c r="B6801" t="s">
        <v>7419</v>
      </c>
      <c r="C6801" t="s">
        <v>898</v>
      </c>
      <c r="D6801" t="s">
        <v>293</v>
      </c>
      <c r="E6801" t="s">
        <v>308</v>
      </c>
      <c r="F6801" t="s">
        <v>7427</v>
      </c>
      <c r="G6801">
        <v>0</v>
      </c>
      <c r="H6801">
        <v>0</v>
      </c>
      <c r="I6801">
        <v>0</v>
      </c>
      <c r="J6801">
        <v>0</v>
      </c>
      <c r="K6801">
        <v>0</v>
      </c>
      <c r="L6801">
        <v>0</v>
      </c>
      <c r="M6801">
        <v>0</v>
      </c>
      <c r="N6801">
        <v>0</v>
      </c>
      <c r="O6801">
        <v>0</v>
      </c>
    </row>
    <row r="6802" spans="1:15" x14ac:dyDescent="0.35">
      <c r="A6802" t="s">
        <v>7418</v>
      </c>
      <c r="B6802" t="s">
        <v>7419</v>
      </c>
      <c r="C6802" t="s">
        <v>898</v>
      </c>
      <c r="D6802" t="s">
        <v>293</v>
      </c>
      <c r="E6802" t="s">
        <v>310</v>
      </c>
      <c r="F6802" t="s">
        <v>7428</v>
      </c>
      <c r="G6802">
        <v>440</v>
      </c>
      <c r="H6802">
        <v>62084.01</v>
      </c>
      <c r="I6802">
        <v>141.1</v>
      </c>
      <c r="J6802">
        <v>0</v>
      </c>
      <c r="K6802">
        <v>0</v>
      </c>
      <c r="L6802">
        <v>0</v>
      </c>
      <c r="M6802">
        <v>440</v>
      </c>
      <c r="N6802">
        <v>62084.01</v>
      </c>
      <c r="O6802">
        <v>141.1</v>
      </c>
    </row>
    <row r="6803" spans="1:15" x14ac:dyDescent="0.35">
      <c r="A6803" t="s">
        <v>7418</v>
      </c>
      <c r="B6803" t="s">
        <v>7419</v>
      </c>
      <c r="C6803" t="s">
        <v>898</v>
      </c>
      <c r="D6803" t="s">
        <v>293</v>
      </c>
      <c r="E6803" t="s">
        <v>312</v>
      </c>
      <c r="F6803" t="s">
        <v>7429</v>
      </c>
      <c r="G6803">
        <v>440</v>
      </c>
      <c r="H6803">
        <v>62084.01</v>
      </c>
      <c r="I6803">
        <v>141.1</v>
      </c>
      <c r="J6803">
        <v>0</v>
      </c>
      <c r="K6803">
        <v>0</v>
      </c>
      <c r="L6803">
        <v>0</v>
      </c>
      <c r="M6803">
        <v>440</v>
      </c>
      <c r="N6803">
        <v>62084.01</v>
      </c>
      <c r="O6803">
        <v>141.1</v>
      </c>
    </row>
    <row r="6804" spans="1:15" x14ac:dyDescent="0.35">
      <c r="A6804" t="s">
        <v>7418</v>
      </c>
      <c r="B6804" t="s">
        <v>7419</v>
      </c>
      <c r="C6804" t="s">
        <v>898</v>
      </c>
      <c r="D6804" t="s">
        <v>314</v>
      </c>
      <c r="E6804" t="s">
        <v>294</v>
      </c>
      <c r="F6804" t="s">
        <v>7430</v>
      </c>
      <c r="G6804">
        <v>51</v>
      </c>
      <c r="H6804">
        <v>9656.6</v>
      </c>
      <c r="I6804">
        <v>189.35</v>
      </c>
      <c r="J6804">
        <v>0</v>
      </c>
      <c r="K6804">
        <v>0</v>
      </c>
      <c r="L6804">
        <v>0</v>
      </c>
      <c r="M6804">
        <v>51</v>
      </c>
      <c r="N6804">
        <v>9656.6</v>
      </c>
      <c r="O6804">
        <v>189.35</v>
      </c>
    </row>
    <row r="6805" spans="1:15" x14ac:dyDescent="0.35">
      <c r="A6805" t="s">
        <v>7418</v>
      </c>
      <c r="B6805" t="s">
        <v>7419</v>
      </c>
      <c r="C6805" t="s">
        <v>898</v>
      </c>
      <c r="D6805" t="s">
        <v>314</v>
      </c>
      <c r="E6805" t="s">
        <v>296</v>
      </c>
      <c r="F6805" t="s">
        <v>7431</v>
      </c>
      <c r="G6805">
        <v>4</v>
      </c>
      <c r="H6805">
        <v>838.04</v>
      </c>
      <c r="I6805">
        <v>209.51</v>
      </c>
      <c r="J6805">
        <v>0</v>
      </c>
      <c r="K6805">
        <v>0</v>
      </c>
      <c r="L6805">
        <v>0</v>
      </c>
      <c r="M6805">
        <v>4</v>
      </c>
      <c r="N6805">
        <v>838.04</v>
      </c>
      <c r="O6805">
        <v>209.51</v>
      </c>
    </row>
    <row r="6806" spans="1:15" x14ac:dyDescent="0.35">
      <c r="A6806" t="s">
        <v>7418</v>
      </c>
      <c r="B6806" t="s">
        <v>7419</v>
      </c>
      <c r="C6806" t="s">
        <v>898</v>
      </c>
      <c r="D6806" t="s">
        <v>314</v>
      </c>
      <c r="E6806" t="s">
        <v>298</v>
      </c>
      <c r="F6806" t="s">
        <v>7432</v>
      </c>
      <c r="G6806">
        <v>0</v>
      </c>
      <c r="H6806">
        <v>0</v>
      </c>
      <c r="I6806">
        <v>0</v>
      </c>
      <c r="J6806">
        <v>0</v>
      </c>
      <c r="K6806">
        <v>0</v>
      </c>
      <c r="L6806">
        <v>0</v>
      </c>
      <c r="M6806">
        <v>0</v>
      </c>
      <c r="N6806">
        <v>0</v>
      </c>
      <c r="O6806">
        <v>0</v>
      </c>
    </row>
    <row r="6807" spans="1:15" x14ac:dyDescent="0.35">
      <c r="A6807" t="s">
        <v>7418</v>
      </c>
      <c r="B6807" t="s">
        <v>7419</v>
      </c>
      <c r="C6807" t="s">
        <v>898</v>
      </c>
      <c r="D6807" t="s">
        <v>314</v>
      </c>
      <c r="E6807" t="s">
        <v>300</v>
      </c>
      <c r="F6807" t="s">
        <v>7433</v>
      </c>
      <c r="G6807">
        <v>0</v>
      </c>
      <c r="H6807">
        <v>0</v>
      </c>
      <c r="I6807">
        <v>0</v>
      </c>
      <c r="J6807">
        <v>0</v>
      </c>
      <c r="K6807">
        <v>0</v>
      </c>
      <c r="L6807">
        <v>0</v>
      </c>
      <c r="M6807">
        <v>0</v>
      </c>
      <c r="N6807">
        <v>0</v>
      </c>
      <c r="O6807">
        <v>0</v>
      </c>
    </row>
    <row r="6808" spans="1:15" x14ac:dyDescent="0.35">
      <c r="A6808" t="s">
        <v>7418</v>
      </c>
      <c r="B6808" t="s">
        <v>7419</v>
      </c>
      <c r="C6808" t="s">
        <v>898</v>
      </c>
      <c r="D6808" t="s">
        <v>314</v>
      </c>
      <c r="E6808" t="s">
        <v>306</v>
      </c>
      <c r="F6808" t="s">
        <v>7434</v>
      </c>
      <c r="G6808">
        <v>0</v>
      </c>
      <c r="H6808">
        <v>0</v>
      </c>
      <c r="I6808">
        <v>0</v>
      </c>
      <c r="J6808">
        <v>0</v>
      </c>
      <c r="K6808">
        <v>0</v>
      </c>
      <c r="L6808">
        <v>0</v>
      </c>
      <c r="M6808">
        <v>0</v>
      </c>
      <c r="N6808">
        <v>0</v>
      </c>
      <c r="O6808">
        <v>0</v>
      </c>
    </row>
    <row r="6809" spans="1:15" x14ac:dyDescent="0.35">
      <c r="A6809" t="s">
        <v>7418</v>
      </c>
      <c r="B6809" t="s">
        <v>7419</v>
      </c>
      <c r="C6809" t="s">
        <v>898</v>
      </c>
      <c r="D6809" t="s">
        <v>314</v>
      </c>
      <c r="E6809" t="s">
        <v>308</v>
      </c>
      <c r="F6809" t="s">
        <v>7435</v>
      </c>
      <c r="G6809">
        <v>0</v>
      </c>
      <c r="H6809">
        <v>0</v>
      </c>
      <c r="I6809">
        <v>0</v>
      </c>
      <c r="J6809">
        <v>0</v>
      </c>
      <c r="K6809">
        <v>0</v>
      </c>
      <c r="L6809">
        <v>0</v>
      </c>
      <c r="M6809">
        <v>0</v>
      </c>
      <c r="N6809">
        <v>0</v>
      </c>
      <c r="O6809">
        <v>0</v>
      </c>
    </row>
    <row r="6810" spans="1:15" x14ac:dyDescent="0.35">
      <c r="A6810" t="s">
        <v>7418</v>
      </c>
      <c r="B6810" t="s">
        <v>7419</v>
      </c>
      <c r="C6810" t="s">
        <v>898</v>
      </c>
      <c r="D6810" t="s">
        <v>314</v>
      </c>
      <c r="E6810" t="s">
        <v>312</v>
      </c>
      <c r="F6810" t="s">
        <v>7436</v>
      </c>
      <c r="G6810">
        <v>55</v>
      </c>
      <c r="H6810">
        <v>10494.64</v>
      </c>
      <c r="I6810">
        <v>190.81</v>
      </c>
      <c r="J6810">
        <v>0</v>
      </c>
      <c r="K6810">
        <v>0</v>
      </c>
      <c r="L6810">
        <v>0</v>
      </c>
      <c r="M6810">
        <v>55</v>
      </c>
      <c r="N6810">
        <v>10494.64</v>
      </c>
      <c r="O6810">
        <v>190.81</v>
      </c>
    </row>
    <row r="6811" spans="1:15" x14ac:dyDescent="0.35">
      <c r="A6811" t="s">
        <v>7418</v>
      </c>
      <c r="B6811" t="s">
        <v>7419</v>
      </c>
      <c r="C6811" t="s">
        <v>898</v>
      </c>
      <c r="D6811" t="s">
        <v>314</v>
      </c>
      <c r="E6811" t="s">
        <v>310</v>
      </c>
      <c r="F6811" t="s">
        <v>7437</v>
      </c>
      <c r="G6811">
        <v>55</v>
      </c>
      <c r="H6811">
        <v>10494.64</v>
      </c>
      <c r="I6811">
        <v>190.81</v>
      </c>
      <c r="J6811">
        <v>0</v>
      </c>
      <c r="K6811">
        <v>0</v>
      </c>
      <c r="L6811">
        <v>0</v>
      </c>
      <c r="M6811">
        <v>55</v>
      </c>
      <c r="N6811">
        <v>10494.64</v>
      </c>
      <c r="O6811">
        <v>190.81</v>
      </c>
    </row>
    <row r="6812" spans="1:15" x14ac:dyDescent="0.35">
      <c r="A6812" t="s">
        <v>7418</v>
      </c>
      <c r="B6812" t="s">
        <v>7419</v>
      </c>
      <c r="C6812" t="s">
        <v>898</v>
      </c>
      <c r="D6812" t="s">
        <v>323</v>
      </c>
      <c r="E6812" t="s">
        <v>294</v>
      </c>
      <c r="F6812" t="s">
        <v>7438</v>
      </c>
      <c r="G6812">
        <v>700</v>
      </c>
      <c r="H6812">
        <v>59859.749999999993</v>
      </c>
      <c r="I6812">
        <v>85.51</v>
      </c>
      <c r="J6812">
        <v>0</v>
      </c>
      <c r="K6812">
        <v>0</v>
      </c>
      <c r="L6812">
        <v>0</v>
      </c>
      <c r="M6812">
        <v>700</v>
      </c>
      <c r="N6812">
        <v>59859.749999999993</v>
      </c>
      <c r="O6812">
        <v>85.51</v>
      </c>
    </row>
    <row r="6813" spans="1:15" x14ac:dyDescent="0.35">
      <c r="A6813" t="s">
        <v>7418</v>
      </c>
      <c r="B6813" t="s">
        <v>7419</v>
      </c>
      <c r="C6813" t="s">
        <v>898</v>
      </c>
      <c r="D6813" t="s">
        <v>323</v>
      </c>
      <c r="E6813" t="s">
        <v>296</v>
      </c>
      <c r="F6813" t="s">
        <v>7439</v>
      </c>
      <c r="G6813">
        <v>1038</v>
      </c>
      <c r="H6813">
        <v>104703.97999999998</v>
      </c>
      <c r="I6813">
        <v>100.87</v>
      </c>
      <c r="J6813">
        <v>0</v>
      </c>
      <c r="K6813">
        <v>0</v>
      </c>
      <c r="L6813">
        <v>0</v>
      </c>
      <c r="M6813">
        <v>1038</v>
      </c>
      <c r="N6813">
        <v>104703.97999999998</v>
      </c>
      <c r="O6813">
        <v>100.87</v>
      </c>
    </row>
    <row r="6814" spans="1:15" x14ac:dyDescent="0.35">
      <c r="A6814" t="s">
        <v>7418</v>
      </c>
      <c r="B6814" t="s">
        <v>7419</v>
      </c>
      <c r="C6814" t="s">
        <v>898</v>
      </c>
      <c r="D6814" t="s">
        <v>323</v>
      </c>
      <c r="E6814" t="s">
        <v>298</v>
      </c>
      <c r="F6814" t="s">
        <v>7440</v>
      </c>
      <c r="G6814">
        <v>1528</v>
      </c>
      <c r="H6814">
        <v>167809.12</v>
      </c>
      <c r="I6814">
        <v>109.82</v>
      </c>
      <c r="J6814">
        <v>0</v>
      </c>
      <c r="K6814">
        <v>0</v>
      </c>
      <c r="L6814">
        <v>0</v>
      </c>
      <c r="M6814">
        <v>1528</v>
      </c>
      <c r="N6814">
        <v>167809.12</v>
      </c>
      <c r="O6814">
        <v>109.82</v>
      </c>
    </row>
    <row r="6815" spans="1:15" x14ac:dyDescent="0.35">
      <c r="A6815" t="s">
        <v>7418</v>
      </c>
      <c r="B6815" t="s">
        <v>7419</v>
      </c>
      <c r="C6815" t="s">
        <v>898</v>
      </c>
      <c r="D6815" t="s">
        <v>323</v>
      </c>
      <c r="E6815" t="s">
        <v>300</v>
      </c>
      <c r="F6815" t="s">
        <v>7441</v>
      </c>
      <c r="G6815">
        <v>84</v>
      </c>
      <c r="H6815">
        <v>10359.61</v>
      </c>
      <c r="I6815">
        <v>123.33</v>
      </c>
      <c r="J6815">
        <v>0</v>
      </c>
      <c r="K6815">
        <v>0</v>
      </c>
      <c r="L6815">
        <v>0</v>
      </c>
      <c r="M6815">
        <v>84</v>
      </c>
      <c r="N6815">
        <v>10359.61</v>
      </c>
      <c r="O6815">
        <v>123.33</v>
      </c>
    </row>
    <row r="6816" spans="1:15" x14ac:dyDescent="0.35">
      <c r="A6816" t="s">
        <v>7418</v>
      </c>
      <c r="B6816" t="s">
        <v>7419</v>
      </c>
      <c r="C6816" t="s">
        <v>898</v>
      </c>
      <c r="D6816" t="s">
        <v>323</v>
      </c>
      <c r="E6816" t="s">
        <v>302</v>
      </c>
      <c r="F6816" t="s">
        <v>7442</v>
      </c>
      <c r="G6816">
        <v>5</v>
      </c>
      <c r="H6816">
        <v>660.15</v>
      </c>
      <c r="I6816">
        <v>132.03</v>
      </c>
      <c r="J6816">
        <v>0</v>
      </c>
      <c r="K6816">
        <v>0</v>
      </c>
      <c r="L6816">
        <v>0</v>
      </c>
      <c r="M6816">
        <v>5</v>
      </c>
      <c r="N6816">
        <v>660.15</v>
      </c>
      <c r="O6816">
        <v>132.03</v>
      </c>
    </row>
    <row r="6817" spans="1:15" x14ac:dyDescent="0.35">
      <c r="A6817" t="s">
        <v>7418</v>
      </c>
      <c r="B6817" t="s">
        <v>7419</v>
      </c>
      <c r="C6817" t="s">
        <v>898</v>
      </c>
      <c r="D6817" t="s">
        <v>323</v>
      </c>
      <c r="E6817" t="s">
        <v>304</v>
      </c>
      <c r="F6817" t="s">
        <v>7443</v>
      </c>
      <c r="G6817">
        <v>0</v>
      </c>
      <c r="H6817">
        <v>0</v>
      </c>
      <c r="I6817">
        <v>0</v>
      </c>
      <c r="J6817">
        <v>0</v>
      </c>
      <c r="K6817">
        <v>0</v>
      </c>
      <c r="L6817">
        <v>0</v>
      </c>
      <c r="M6817">
        <v>0</v>
      </c>
      <c r="N6817">
        <v>0</v>
      </c>
      <c r="O6817">
        <v>0</v>
      </c>
    </row>
    <row r="6818" spans="1:15" x14ac:dyDescent="0.35">
      <c r="A6818" t="s">
        <v>7418</v>
      </c>
      <c r="B6818" t="s">
        <v>7419</v>
      </c>
      <c r="C6818" t="s">
        <v>898</v>
      </c>
      <c r="D6818" t="s">
        <v>323</v>
      </c>
      <c r="E6818" t="s">
        <v>306</v>
      </c>
      <c r="F6818" t="s">
        <v>7444</v>
      </c>
      <c r="G6818">
        <v>51</v>
      </c>
      <c r="H6818">
        <v>3805.6200000000003</v>
      </c>
      <c r="I6818">
        <v>74.62</v>
      </c>
      <c r="J6818">
        <v>0</v>
      </c>
      <c r="K6818">
        <v>0</v>
      </c>
      <c r="L6818">
        <v>0</v>
      </c>
      <c r="M6818">
        <v>51</v>
      </c>
      <c r="N6818">
        <v>3805.6200000000003</v>
      </c>
      <c r="O6818">
        <v>74.62</v>
      </c>
    </row>
    <row r="6819" spans="1:15" x14ac:dyDescent="0.35">
      <c r="A6819" t="s">
        <v>7418</v>
      </c>
      <c r="B6819" t="s">
        <v>7419</v>
      </c>
      <c r="C6819" t="s">
        <v>898</v>
      </c>
      <c r="D6819" t="s">
        <v>323</v>
      </c>
      <c r="E6819" t="s">
        <v>308</v>
      </c>
      <c r="F6819" t="s">
        <v>7445</v>
      </c>
      <c r="G6819">
        <v>0</v>
      </c>
      <c r="H6819">
        <v>0</v>
      </c>
      <c r="I6819">
        <v>0</v>
      </c>
      <c r="J6819">
        <v>0</v>
      </c>
      <c r="K6819">
        <v>0</v>
      </c>
      <c r="L6819">
        <v>0</v>
      </c>
      <c r="M6819">
        <v>0</v>
      </c>
      <c r="N6819">
        <v>0</v>
      </c>
      <c r="O6819">
        <v>0</v>
      </c>
    </row>
    <row r="6820" spans="1:15" x14ac:dyDescent="0.35">
      <c r="A6820" t="s">
        <v>7418</v>
      </c>
      <c r="B6820" t="s">
        <v>7419</v>
      </c>
      <c r="C6820" t="s">
        <v>898</v>
      </c>
      <c r="D6820" t="s">
        <v>323</v>
      </c>
      <c r="E6820" t="s">
        <v>310</v>
      </c>
      <c r="F6820" t="s">
        <v>7446</v>
      </c>
      <c r="G6820">
        <v>3406</v>
      </c>
      <c r="H6820">
        <v>347198.23</v>
      </c>
      <c r="I6820">
        <v>101.94</v>
      </c>
      <c r="J6820">
        <v>0</v>
      </c>
      <c r="K6820">
        <v>0</v>
      </c>
      <c r="L6820">
        <v>0</v>
      </c>
      <c r="M6820">
        <v>3406</v>
      </c>
      <c r="N6820">
        <v>347198.23</v>
      </c>
      <c r="O6820">
        <v>101.94</v>
      </c>
    </row>
    <row r="6821" spans="1:15" x14ac:dyDescent="0.35">
      <c r="A6821" t="s">
        <v>7418</v>
      </c>
      <c r="B6821" t="s">
        <v>7419</v>
      </c>
      <c r="C6821" t="s">
        <v>898</v>
      </c>
      <c r="D6821" t="s">
        <v>323</v>
      </c>
      <c r="E6821" t="s">
        <v>312</v>
      </c>
      <c r="F6821" t="s">
        <v>7447</v>
      </c>
      <c r="G6821">
        <v>3406</v>
      </c>
      <c r="H6821">
        <v>347198.23</v>
      </c>
      <c r="I6821">
        <v>101.94</v>
      </c>
      <c r="J6821">
        <v>0</v>
      </c>
      <c r="K6821">
        <v>0</v>
      </c>
      <c r="L6821">
        <v>0</v>
      </c>
      <c r="M6821">
        <v>3406</v>
      </c>
      <c r="N6821">
        <v>347198.23</v>
      </c>
      <c r="O6821">
        <v>101.94</v>
      </c>
    </row>
    <row r="6822" spans="1:15" x14ac:dyDescent="0.35">
      <c r="A6822" t="s">
        <v>7418</v>
      </c>
      <c r="B6822" t="s">
        <v>7419</v>
      </c>
      <c r="C6822" t="s">
        <v>898</v>
      </c>
      <c r="D6822" t="s">
        <v>334</v>
      </c>
      <c r="E6822" t="s">
        <v>312</v>
      </c>
      <c r="F6822" t="s">
        <v>7448</v>
      </c>
      <c r="G6822">
        <v>3873</v>
      </c>
      <c r="H6822">
        <v>409282.24</v>
      </c>
      <c r="I6822">
        <v>106.42</v>
      </c>
      <c r="J6822">
        <v>0</v>
      </c>
      <c r="K6822">
        <v>0</v>
      </c>
      <c r="L6822">
        <v>0</v>
      </c>
      <c r="M6822">
        <v>3873</v>
      </c>
      <c r="N6822">
        <v>409282.24</v>
      </c>
      <c r="O6822">
        <v>106.42</v>
      </c>
    </row>
    <row r="6823" spans="1:15" x14ac:dyDescent="0.35">
      <c r="A6823" t="s">
        <v>7418</v>
      </c>
      <c r="B6823" t="s">
        <v>7419</v>
      </c>
      <c r="C6823" t="s">
        <v>898</v>
      </c>
      <c r="D6823" t="s">
        <v>334</v>
      </c>
      <c r="E6823" t="s">
        <v>308</v>
      </c>
      <c r="F6823" t="s">
        <v>7449</v>
      </c>
      <c r="G6823">
        <v>0</v>
      </c>
      <c r="H6823">
        <v>0</v>
      </c>
      <c r="I6823">
        <v>0</v>
      </c>
      <c r="J6823">
        <v>0</v>
      </c>
      <c r="K6823">
        <v>0</v>
      </c>
      <c r="L6823">
        <v>0</v>
      </c>
      <c r="M6823">
        <v>0</v>
      </c>
      <c r="N6823">
        <v>0</v>
      </c>
      <c r="O6823">
        <v>0</v>
      </c>
    </row>
    <row r="6824" spans="1:15" x14ac:dyDescent="0.35">
      <c r="A6824" t="s">
        <v>7418</v>
      </c>
      <c r="B6824" t="s">
        <v>7419</v>
      </c>
      <c r="C6824" t="s">
        <v>898</v>
      </c>
      <c r="D6824" t="s">
        <v>337</v>
      </c>
      <c r="E6824" t="s">
        <v>337</v>
      </c>
      <c r="F6824" t="s">
        <v>7450</v>
      </c>
      <c r="G6824">
        <v>297</v>
      </c>
      <c r="J6824">
        <v>0</v>
      </c>
      <c r="M6824">
        <v>297</v>
      </c>
    </row>
    <row r="6825" spans="1:15" x14ac:dyDescent="0.35">
      <c r="A6825" t="s">
        <v>7418</v>
      </c>
      <c r="B6825" t="s">
        <v>7419</v>
      </c>
      <c r="C6825" t="s">
        <v>898</v>
      </c>
      <c r="D6825" t="s">
        <v>339</v>
      </c>
      <c r="E6825" t="s">
        <v>294</v>
      </c>
      <c r="F6825" t="s">
        <v>7451</v>
      </c>
      <c r="G6825">
        <v>953</v>
      </c>
      <c r="H6825">
        <v>103874.45999999999</v>
      </c>
      <c r="I6825">
        <v>109</v>
      </c>
      <c r="J6825">
        <v>0</v>
      </c>
      <c r="K6825">
        <v>0</v>
      </c>
      <c r="L6825">
        <v>0</v>
      </c>
      <c r="M6825">
        <v>953</v>
      </c>
      <c r="N6825">
        <v>103874.45999999999</v>
      </c>
      <c r="O6825">
        <v>109</v>
      </c>
    </row>
    <row r="6826" spans="1:15" x14ac:dyDescent="0.35">
      <c r="A6826" t="s">
        <v>7418</v>
      </c>
      <c r="B6826" t="s">
        <v>7419</v>
      </c>
      <c r="C6826" t="s">
        <v>898</v>
      </c>
      <c r="D6826" t="s">
        <v>339</v>
      </c>
      <c r="E6826" t="s">
        <v>296</v>
      </c>
      <c r="F6826" t="s">
        <v>7452</v>
      </c>
      <c r="G6826">
        <v>264</v>
      </c>
      <c r="H6826">
        <v>30917.52</v>
      </c>
      <c r="I6826">
        <v>117.11</v>
      </c>
      <c r="J6826">
        <v>0</v>
      </c>
      <c r="K6826">
        <v>0</v>
      </c>
      <c r="L6826">
        <v>0</v>
      </c>
      <c r="M6826">
        <v>264</v>
      </c>
      <c r="N6826">
        <v>30917.52</v>
      </c>
      <c r="O6826">
        <v>117.11</v>
      </c>
    </row>
    <row r="6827" spans="1:15" x14ac:dyDescent="0.35">
      <c r="A6827" t="s">
        <v>7418</v>
      </c>
      <c r="B6827" t="s">
        <v>7419</v>
      </c>
      <c r="C6827" t="s">
        <v>898</v>
      </c>
      <c r="D6827" t="s">
        <v>339</v>
      </c>
      <c r="E6827" t="s">
        <v>298</v>
      </c>
      <c r="F6827" t="s">
        <v>7453</v>
      </c>
      <c r="G6827">
        <v>9</v>
      </c>
      <c r="H6827">
        <v>1005.7900000000001</v>
      </c>
      <c r="I6827">
        <v>111.75</v>
      </c>
      <c r="J6827">
        <v>0</v>
      </c>
      <c r="K6827">
        <v>0</v>
      </c>
      <c r="L6827">
        <v>0</v>
      </c>
      <c r="M6827">
        <v>9</v>
      </c>
      <c r="N6827">
        <v>1005.7900000000001</v>
      </c>
      <c r="O6827">
        <v>111.75</v>
      </c>
    </row>
    <row r="6828" spans="1:15" x14ac:dyDescent="0.35">
      <c r="A6828" t="s">
        <v>7418</v>
      </c>
      <c r="B6828" t="s">
        <v>7419</v>
      </c>
      <c r="C6828" t="s">
        <v>898</v>
      </c>
      <c r="D6828" t="s">
        <v>339</v>
      </c>
      <c r="E6828" t="s">
        <v>300</v>
      </c>
      <c r="F6828" t="s">
        <v>7454</v>
      </c>
      <c r="G6828">
        <v>0</v>
      </c>
      <c r="H6828">
        <v>0</v>
      </c>
      <c r="I6828">
        <v>0</v>
      </c>
      <c r="J6828">
        <v>0</v>
      </c>
      <c r="K6828">
        <v>0</v>
      </c>
      <c r="L6828">
        <v>0</v>
      </c>
      <c r="M6828">
        <v>0</v>
      </c>
      <c r="N6828">
        <v>0</v>
      </c>
      <c r="O6828">
        <v>0</v>
      </c>
    </row>
    <row r="6829" spans="1:15" x14ac:dyDescent="0.35">
      <c r="A6829" t="s">
        <v>7418</v>
      </c>
      <c r="B6829" t="s">
        <v>7419</v>
      </c>
      <c r="C6829" t="s">
        <v>898</v>
      </c>
      <c r="D6829" t="s">
        <v>339</v>
      </c>
      <c r="E6829" t="s">
        <v>306</v>
      </c>
      <c r="F6829" t="s">
        <v>7455</v>
      </c>
      <c r="G6829">
        <v>79</v>
      </c>
      <c r="H6829">
        <v>6690.3700000000008</v>
      </c>
      <c r="I6829">
        <v>84.69</v>
      </c>
      <c r="J6829">
        <v>0</v>
      </c>
      <c r="K6829">
        <v>0</v>
      </c>
      <c r="L6829">
        <v>0</v>
      </c>
      <c r="M6829">
        <v>79</v>
      </c>
      <c r="N6829">
        <v>6690.3700000000008</v>
      </c>
      <c r="O6829">
        <v>84.69</v>
      </c>
    </row>
    <row r="6830" spans="1:15" x14ac:dyDescent="0.35">
      <c r="A6830" t="s">
        <v>7418</v>
      </c>
      <c r="B6830" t="s">
        <v>7419</v>
      </c>
      <c r="C6830" t="s">
        <v>898</v>
      </c>
      <c r="D6830" t="s">
        <v>339</v>
      </c>
      <c r="E6830" t="s">
        <v>308</v>
      </c>
      <c r="F6830" t="s">
        <v>7456</v>
      </c>
      <c r="G6830">
        <v>101</v>
      </c>
      <c r="H6830">
        <v>20828.079999999998</v>
      </c>
      <c r="I6830">
        <v>206.22</v>
      </c>
      <c r="J6830">
        <v>0</v>
      </c>
      <c r="K6830">
        <v>0</v>
      </c>
      <c r="L6830">
        <v>0</v>
      </c>
      <c r="M6830">
        <v>101</v>
      </c>
      <c r="N6830">
        <v>20828.079999999998</v>
      </c>
      <c r="O6830">
        <v>206.22</v>
      </c>
    </row>
    <row r="6831" spans="1:15" x14ac:dyDescent="0.35">
      <c r="A6831" t="s">
        <v>7418</v>
      </c>
      <c r="B6831" t="s">
        <v>7419</v>
      </c>
      <c r="C6831" t="s">
        <v>898</v>
      </c>
      <c r="D6831" t="s">
        <v>339</v>
      </c>
      <c r="E6831" t="s">
        <v>310</v>
      </c>
      <c r="F6831" t="s">
        <v>7457</v>
      </c>
      <c r="G6831">
        <v>1406</v>
      </c>
      <c r="H6831">
        <v>163316.21999999997</v>
      </c>
      <c r="I6831">
        <v>116.16</v>
      </c>
      <c r="J6831">
        <v>0</v>
      </c>
      <c r="K6831">
        <v>0</v>
      </c>
      <c r="L6831">
        <v>0</v>
      </c>
      <c r="M6831">
        <v>1406</v>
      </c>
      <c r="N6831">
        <v>163316.21999999997</v>
      </c>
      <c r="O6831">
        <v>116.16</v>
      </c>
    </row>
    <row r="6832" spans="1:15" x14ac:dyDescent="0.35">
      <c r="A6832" t="s">
        <v>7418</v>
      </c>
      <c r="B6832" t="s">
        <v>7419</v>
      </c>
      <c r="C6832" t="s">
        <v>898</v>
      </c>
      <c r="D6832" t="s">
        <v>339</v>
      </c>
      <c r="E6832" t="s">
        <v>312</v>
      </c>
      <c r="F6832" t="s">
        <v>7458</v>
      </c>
      <c r="G6832">
        <v>1305</v>
      </c>
      <c r="H6832">
        <v>142488.13999999998</v>
      </c>
      <c r="I6832">
        <v>109.19</v>
      </c>
      <c r="J6832">
        <v>0</v>
      </c>
      <c r="K6832">
        <v>0</v>
      </c>
      <c r="L6832">
        <v>0</v>
      </c>
      <c r="M6832">
        <v>1305</v>
      </c>
      <c r="N6832">
        <v>142488.13999999998</v>
      </c>
      <c r="O6832">
        <v>109.19</v>
      </c>
    </row>
    <row r="6833" spans="1:15" x14ac:dyDescent="0.35">
      <c r="A6833" t="s">
        <v>7418</v>
      </c>
      <c r="B6833" t="s">
        <v>7419</v>
      </c>
      <c r="C6833" t="s">
        <v>898</v>
      </c>
      <c r="D6833" t="s">
        <v>348</v>
      </c>
      <c r="E6833" t="s">
        <v>349</v>
      </c>
      <c r="F6833" t="s">
        <v>7459</v>
      </c>
      <c r="G6833">
        <v>1478</v>
      </c>
      <c r="H6833">
        <v>173810.86</v>
      </c>
      <c r="I6833">
        <v>118.97</v>
      </c>
      <c r="J6833">
        <v>0</v>
      </c>
      <c r="K6833">
        <v>0</v>
      </c>
      <c r="L6833">
        <v>0</v>
      </c>
      <c r="M6833">
        <v>1478</v>
      </c>
      <c r="N6833">
        <v>173810.86</v>
      </c>
      <c r="O6833">
        <v>118.97</v>
      </c>
    </row>
    <row r="6834" spans="1:15" x14ac:dyDescent="0.35">
      <c r="A6834" t="s">
        <v>7460</v>
      </c>
      <c r="B6834" t="s">
        <v>7461</v>
      </c>
      <c r="C6834" t="s">
        <v>898</v>
      </c>
      <c r="D6834" t="s">
        <v>293</v>
      </c>
      <c r="E6834" t="s">
        <v>294</v>
      </c>
      <c r="F6834" t="s">
        <v>7462</v>
      </c>
      <c r="G6834">
        <v>27</v>
      </c>
      <c r="H6834">
        <v>2887.74</v>
      </c>
      <c r="I6834">
        <v>106.95</v>
      </c>
      <c r="J6834">
        <v>12</v>
      </c>
      <c r="K6834">
        <v>1165.32</v>
      </c>
      <c r="L6834">
        <v>97.11</v>
      </c>
      <c r="M6834">
        <v>39</v>
      </c>
      <c r="N6834">
        <v>4053.0599999999995</v>
      </c>
      <c r="O6834">
        <v>103.92</v>
      </c>
    </row>
    <row r="6835" spans="1:15" x14ac:dyDescent="0.35">
      <c r="A6835" t="s">
        <v>7460</v>
      </c>
      <c r="B6835" t="s">
        <v>7461</v>
      </c>
      <c r="C6835" t="s">
        <v>898</v>
      </c>
      <c r="D6835" t="s">
        <v>293</v>
      </c>
      <c r="E6835" t="s">
        <v>296</v>
      </c>
      <c r="F6835" t="s">
        <v>7463</v>
      </c>
      <c r="G6835">
        <v>54</v>
      </c>
      <c r="H6835">
        <v>6633.67</v>
      </c>
      <c r="I6835">
        <v>122.85</v>
      </c>
      <c r="J6835">
        <v>23</v>
      </c>
      <c r="K6835">
        <v>2790.59</v>
      </c>
      <c r="L6835">
        <v>121.33</v>
      </c>
      <c r="M6835">
        <v>77</v>
      </c>
      <c r="N6835">
        <v>9424.26</v>
      </c>
      <c r="O6835">
        <v>122.39</v>
      </c>
    </row>
    <row r="6836" spans="1:15" x14ac:dyDescent="0.35">
      <c r="A6836" t="s">
        <v>7460</v>
      </c>
      <c r="B6836" t="s">
        <v>7461</v>
      </c>
      <c r="C6836" t="s">
        <v>898</v>
      </c>
      <c r="D6836" t="s">
        <v>293</v>
      </c>
      <c r="E6836" t="s">
        <v>298</v>
      </c>
      <c r="F6836" t="s">
        <v>7464</v>
      </c>
      <c r="G6836">
        <v>37</v>
      </c>
      <c r="H6836">
        <v>4790.9699999999993</v>
      </c>
      <c r="I6836">
        <v>129.49</v>
      </c>
      <c r="J6836">
        <v>13</v>
      </c>
      <c r="K6836">
        <v>1805.05</v>
      </c>
      <c r="L6836">
        <v>138.85</v>
      </c>
      <c r="M6836">
        <v>50</v>
      </c>
      <c r="N6836">
        <v>6596.0199999999995</v>
      </c>
      <c r="O6836">
        <v>131.91999999999999</v>
      </c>
    </row>
    <row r="6837" spans="1:15" x14ac:dyDescent="0.35">
      <c r="A6837" t="s">
        <v>7460</v>
      </c>
      <c r="B6837" t="s">
        <v>7461</v>
      </c>
      <c r="C6837" t="s">
        <v>898</v>
      </c>
      <c r="D6837" t="s">
        <v>293</v>
      </c>
      <c r="E6837" t="s">
        <v>300</v>
      </c>
      <c r="F6837" t="s">
        <v>7465</v>
      </c>
      <c r="G6837">
        <v>4</v>
      </c>
      <c r="H6837">
        <v>525.67999999999995</v>
      </c>
      <c r="I6837">
        <v>131.41999999999999</v>
      </c>
      <c r="J6837">
        <v>0</v>
      </c>
      <c r="K6837">
        <v>0</v>
      </c>
      <c r="L6837">
        <v>0</v>
      </c>
      <c r="M6837">
        <v>4</v>
      </c>
      <c r="N6837">
        <v>525.67999999999995</v>
      </c>
      <c r="O6837">
        <v>131.41999999999999</v>
      </c>
    </row>
    <row r="6838" spans="1:15" x14ac:dyDescent="0.35">
      <c r="A6838" t="s">
        <v>7460</v>
      </c>
      <c r="B6838" t="s">
        <v>7461</v>
      </c>
      <c r="C6838" t="s">
        <v>898</v>
      </c>
      <c r="D6838" t="s">
        <v>293</v>
      </c>
      <c r="E6838" t="s">
        <v>302</v>
      </c>
      <c r="F6838" t="s">
        <v>7466</v>
      </c>
      <c r="G6838">
        <v>0</v>
      </c>
      <c r="H6838">
        <v>0</v>
      </c>
      <c r="I6838">
        <v>0</v>
      </c>
      <c r="J6838">
        <v>0</v>
      </c>
      <c r="K6838">
        <v>0</v>
      </c>
      <c r="L6838">
        <v>0</v>
      </c>
      <c r="M6838">
        <v>0</v>
      </c>
      <c r="N6838">
        <v>0</v>
      </c>
      <c r="O6838">
        <v>0</v>
      </c>
    </row>
    <row r="6839" spans="1:15" x14ac:dyDescent="0.35">
      <c r="A6839" t="s">
        <v>7460</v>
      </c>
      <c r="B6839" t="s">
        <v>7461</v>
      </c>
      <c r="C6839" t="s">
        <v>898</v>
      </c>
      <c r="D6839" t="s">
        <v>293</v>
      </c>
      <c r="E6839" t="s">
        <v>304</v>
      </c>
      <c r="F6839" t="s">
        <v>7467</v>
      </c>
      <c r="G6839">
        <v>0</v>
      </c>
      <c r="H6839">
        <v>0</v>
      </c>
      <c r="I6839">
        <v>0</v>
      </c>
      <c r="J6839">
        <v>0</v>
      </c>
      <c r="K6839">
        <v>0</v>
      </c>
      <c r="L6839">
        <v>0</v>
      </c>
      <c r="M6839">
        <v>0</v>
      </c>
      <c r="N6839">
        <v>0</v>
      </c>
      <c r="O6839">
        <v>0</v>
      </c>
    </row>
    <row r="6840" spans="1:15" x14ac:dyDescent="0.35">
      <c r="A6840" t="s">
        <v>7460</v>
      </c>
      <c r="B6840" t="s">
        <v>7461</v>
      </c>
      <c r="C6840" t="s">
        <v>898</v>
      </c>
      <c r="D6840" t="s">
        <v>293</v>
      </c>
      <c r="E6840" t="s">
        <v>306</v>
      </c>
      <c r="F6840" t="s">
        <v>7468</v>
      </c>
      <c r="G6840">
        <v>0</v>
      </c>
      <c r="H6840">
        <v>0</v>
      </c>
      <c r="I6840">
        <v>0</v>
      </c>
      <c r="J6840">
        <v>0</v>
      </c>
      <c r="K6840">
        <v>0</v>
      </c>
      <c r="L6840">
        <v>0</v>
      </c>
      <c r="M6840">
        <v>0</v>
      </c>
      <c r="N6840">
        <v>0</v>
      </c>
      <c r="O6840">
        <v>0</v>
      </c>
    </row>
    <row r="6841" spans="1:15" x14ac:dyDescent="0.35">
      <c r="A6841" t="s">
        <v>7460</v>
      </c>
      <c r="B6841" t="s">
        <v>7461</v>
      </c>
      <c r="C6841" t="s">
        <v>898</v>
      </c>
      <c r="D6841" t="s">
        <v>293</v>
      </c>
      <c r="E6841" t="s">
        <v>308</v>
      </c>
      <c r="F6841" t="s">
        <v>7469</v>
      </c>
      <c r="G6841">
        <v>0</v>
      </c>
      <c r="H6841">
        <v>0</v>
      </c>
      <c r="I6841">
        <v>0</v>
      </c>
      <c r="J6841">
        <v>0</v>
      </c>
      <c r="K6841">
        <v>0</v>
      </c>
      <c r="L6841">
        <v>0</v>
      </c>
      <c r="M6841">
        <v>0</v>
      </c>
      <c r="N6841">
        <v>0</v>
      </c>
      <c r="O6841">
        <v>0</v>
      </c>
    </row>
    <row r="6842" spans="1:15" x14ac:dyDescent="0.35">
      <c r="A6842" t="s">
        <v>7460</v>
      </c>
      <c r="B6842" t="s">
        <v>7461</v>
      </c>
      <c r="C6842" t="s">
        <v>898</v>
      </c>
      <c r="D6842" t="s">
        <v>293</v>
      </c>
      <c r="E6842" t="s">
        <v>310</v>
      </c>
      <c r="F6842" t="s">
        <v>7470</v>
      </c>
      <c r="G6842">
        <v>122</v>
      </c>
      <c r="H6842">
        <v>14838.06</v>
      </c>
      <c r="I6842">
        <v>121.62</v>
      </c>
      <c r="J6842">
        <v>48</v>
      </c>
      <c r="K6842">
        <v>5760.96</v>
      </c>
      <c r="L6842">
        <v>120.02</v>
      </c>
      <c r="M6842">
        <v>170</v>
      </c>
      <c r="N6842">
        <v>20599.02</v>
      </c>
      <c r="O6842">
        <v>121.17</v>
      </c>
    </row>
    <row r="6843" spans="1:15" x14ac:dyDescent="0.35">
      <c r="A6843" t="s">
        <v>7460</v>
      </c>
      <c r="B6843" t="s">
        <v>7461</v>
      </c>
      <c r="C6843" t="s">
        <v>898</v>
      </c>
      <c r="D6843" t="s">
        <v>293</v>
      </c>
      <c r="E6843" t="s">
        <v>312</v>
      </c>
      <c r="F6843" t="s">
        <v>7471</v>
      </c>
      <c r="G6843">
        <v>122</v>
      </c>
      <c r="H6843">
        <v>14838.06</v>
      </c>
      <c r="I6843">
        <v>121.62</v>
      </c>
      <c r="J6843">
        <v>48</v>
      </c>
      <c r="K6843">
        <v>5760.96</v>
      </c>
      <c r="L6843">
        <v>120.02</v>
      </c>
      <c r="M6843">
        <v>170</v>
      </c>
      <c r="N6843">
        <v>20599.02</v>
      </c>
      <c r="O6843">
        <v>121.17</v>
      </c>
    </row>
    <row r="6844" spans="1:15" x14ac:dyDescent="0.35">
      <c r="A6844" t="s">
        <v>7460</v>
      </c>
      <c r="B6844" t="s">
        <v>7461</v>
      </c>
      <c r="C6844" t="s">
        <v>898</v>
      </c>
      <c r="D6844" t="s">
        <v>314</v>
      </c>
      <c r="E6844" t="s">
        <v>294</v>
      </c>
      <c r="F6844" t="s">
        <v>7472</v>
      </c>
      <c r="G6844">
        <v>5</v>
      </c>
      <c r="H6844">
        <v>1134.55</v>
      </c>
      <c r="I6844">
        <v>226.91</v>
      </c>
      <c r="J6844">
        <v>41</v>
      </c>
      <c r="K6844">
        <v>5410.7699999999995</v>
      </c>
      <c r="L6844">
        <v>131.97</v>
      </c>
      <c r="M6844">
        <v>46</v>
      </c>
      <c r="N6844">
        <v>6545.32</v>
      </c>
      <c r="O6844">
        <v>142.29</v>
      </c>
    </row>
    <row r="6845" spans="1:15" x14ac:dyDescent="0.35">
      <c r="A6845" t="s">
        <v>7460</v>
      </c>
      <c r="B6845" t="s">
        <v>7461</v>
      </c>
      <c r="C6845" t="s">
        <v>898</v>
      </c>
      <c r="D6845" t="s">
        <v>314</v>
      </c>
      <c r="E6845" t="s">
        <v>296</v>
      </c>
      <c r="F6845" t="s">
        <v>7473</v>
      </c>
      <c r="G6845">
        <v>0</v>
      </c>
      <c r="H6845">
        <v>0</v>
      </c>
      <c r="I6845">
        <v>0</v>
      </c>
      <c r="J6845">
        <v>100</v>
      </c>
      <c r="K6845">
        <v>14553</v>
      </c>
      <c r="L6845">
        <v>145.53</v>
      </c>
      <c r="M6845">
        <v>100</v>
      </c>
      <c r="N6845">
        <v>14553</v>
      </c>
      <c r="O6845">
        <v>145.53</v>
      </c>
    </row>
    <row r="6846" spans="1:15" x14ac:dyDescent="0.35">
      <c r="A6846" t="s">
        <v>7460</v>
      </c>
      <c r="B6846" t="s">
        <v>7461</v>
      </c>
      <c r="C6846" t="s">
        <v>898</v>
      </c>
      <c r="D6846" t="s">
        <v>314</v>
      </c>
      <c r="E6846" t="s">
        <v>298</v>
      </c>
      <c r="F6846" t="s">
        <v>7474</v>
      </c>
      <c r="G6846">
        <v>0</v>
      </c>
      <c r="H6846">
        <v>0</v>
      </c>
      <c r="I6846">
        <v>0</v>
      </c>
      <c r="J6846">
        <v>0</v>
      </c>
      <c r="K6846">
        <v>0</v>
      </c>
      <c r="L6846">
        <v>0</v>
      </c>
      <c r="M6846">
        <v>0</v>
      </c>
      <c r="N6846">
        <v>0</v>
      </c>
      <c r="O6846">
        <v>0</v>
      </c>
    </row>
    <row r="6847" spans="1:15" x14ac:dyDescent="0.35">
      <c r="A6847" t="s">
        <v>7460</v>
      </c>
      <c r="B6847" t="s">
        <v>7461</v>
      </c>
      <c r="C6847" t="s">
        <v>898</v>
      </c>
      <c r="D6847" t="s">
        <v>314</v>
      </c>
      <c r="E6847" t="s">
        <v>300</v>
      </c>
      <c r="F6847" t="s">
        <v>7475</v>
      </c>
      <c r="G6847">
        <v>0</v>
      </c>
      <c r="H6847">
        <v>0</v>
      </c>
      <c r="I6847">
        <v>0</v>
      </c>
      <c r="J6847">
        <v>0</v>
      </c>
      <c r="K6847">
        <v>0</v>
      </c>
      <c r="L6847">
        <v>0</v>
      </c>
      <c r="M6847">
        <v>0</v>
      </c>
      <c r="N6847">
        <v>0</v>
      </c>
      <c r="O6847">
        <v>0</v>
      </c>
    </row>
    <row r="6848" spans="1:15" x14ac:dyDescent="0.35">
      <c r="A6848" t="s">
        <v>7460</v>
      </c>
      <c r="B6848" t="s">
        <v>7461</v>
      </c>
      <c r="C6848" t="s">
        <v>898</v>
      </c>
      <c r="D6848" t="s">
        <v>314</v>
      </c>
      <c r="E6848" t="s">
        <v>306</v>
      </c>
      <c r="F6848" t="s">
        <v>7476</v>
      </c>
      <c r="G6848">
        <v>0</v>
      </c>
      <c r="H6848">
        <v>0</v>
      </c>
      <c r="I6848">
        <v>0</v>
      </c>
      <c r="J6848">
        <v>0</v>
      </c>
      <c r="K6848">
        <v>0</v>
      </c>
      <c r="L6848">
        <v>0</v>
      </c>
      <c r="M6848">
        <v>0</v>
      </c>
      <c r="N6848">
        <v>0</v>
      </c>
      <c r="O6848">
        <v>0</v>
      </c>
    </row>
    <row r="6849" spans="1:15" x14ac:dyDescent="0.35">
      <c r="A6849" t="s">
        <v>7460</v>
      </c>
      <c r="B6849" t="s">
        <v>7461</v>
      </c>
      <c r="C6849" t="s">
        <v>898</v>
      </c>
      <c r="D6849" t="s">
        <v>314</v>
      </c>
      <c r="E6849" t="s">
        <v>308</v>
      </c>
      <c r="F6849" t="s">
        <v>7477</v>
      </c>
      <c r="G6849">
        <v>0</v>
      </c>
      <c r="H6849">
        <v>0</v>
      </c>
      <c r="I6849">
        <v>0</v>
      </c>
      <c r="J6849">
        <v>0</v>
      </c>
      <c r="K6849">
        <v>0</v>
      </c>
      <c r="L6849">
        <v>0</v>
      </c>
      <c r="M6849">
        <v>0</v>
      </c>
      <c r="N6849">
        <v>0</v>
      </c>
      <c r="O6849">
        <v>0</v>
      </c>
    </row>
    <row r="6850" spans="1:15" x14ac:dyDescent="0.35">
      <c r="A6850" t="s">
        <v>7460</v>
      </c>
      <c r="B6850" t="s">
        <v>7461</v>
      </c>
      <c r="C6850" t="s">
        <v>898</v>
      </c>
      <c r="D6850" t="s">
        <v>314</v>
      </c>
      <c r="E6850" t="s">
        <v>312</v>
      </c>
      <c r="F6850" t="s">
        <v>7478</v>
      </c>
      <c r="G6850">
        <v>5</v>
      </c>
      <c r="H6850">
        <v>1134.55</v>
      </c>
      <c r="I6850">
        <v>226.91</v>
      </c>
      <c r="J6850">
        <v>141</v>
      </c>
      <c r="K6850">
        <v>19963.77</v>
      </c>
      <c r="L6850">
        <v>141.59</v>
      </c>
      <c r="M6850">
        <v>146</v>
      </c>
      <c r="N6850">
        <v>21098.32</v>
      </c>
      <c r="O6850">
        <v>144.51</v>
      </c>
    </row>
    <row r="6851" spans="1:15" x14ac:dyDescent="0.35">
      <c r="A6851" t="s">
        <v>7460</v>
      </c>
      <c r="B6851" t="s">
        <v>7461</v>
      </c>
      <c r="C6851" t="s">
        <v>898</v>
      </c>
      <c r="D6851" t="s">
        <v>314</v>
      </c>
      <c r="E6851" t="s">
        <v>310</v>
      </c>
      <c r="F6851" t="s">
        <v>7479</v>
      </c>
      <c r="G6851">
        <v>5</v>
      </c>
      <c r="H6851">
        <v>1134.55</v>
      </c>
      <c r="I6851">
        <v>226.91</v>
      </c>
      <c r="J6851">
        <v>141</v>
      </c>
      <c r="K6851">
        <v>19963.77</v>
      </c>
      <c r="L6851">
        <v>141.59</v>
      </c>
      <c r="M6851">
        <v>146</v>
      </c>
      <c r="N6851">
        <v>21098.32</v>
      </c>
      <c r="O6851">
        <v>144.51</v>
      </c>
    </row>
    <row r="6852" spans="1:15" x14ac:dyDescent="0.35">
      <c r="A6852" t="s">
        <v>7460</v>
      </c>
      <c r="B6852" t="s">
        <v>7461</v>
      </c>
      <c r="C6852" t="s">
        <v>898</v>
      </c>
      <c r="D6852" t="s">
        <v>323</v>
      </c>
      <c r="E6852" t="s">
        <v>294</v>
      </c>
      <c r="F6852" t="s">
        <v>7480</v>
      </c>
      <c r="G6852">
        <v>220</v>
      </c>
      <c r="H6852">
        <v>18670.559999999998</v>
      </c>
      <c r="I6852">
        <v>84.87</v>
      </c>
      <c r="J6852">
        <v>1008</v>
      </c>
      <c r="K6852">
        <v>78906.240000000005</v>
      </c>
      <c r="L6852">
        <v>78.28</v>
      </c>
      <c r="M6852">
        <v>1228</v>
      </c>
      <c r="N6852">
        <v>97576.8</v>
      </c>
      <c r="O6852">
        <v>79.459999999999994</v>
      </c>
    </row>
    <row r="6853" spans="1:15" x14ac:dyDescent="0.35">
      <c r="A6853" t="s">
        <v>7460</v>
      </c>
      <c r="B6853" t="s">
        <v>7461</v>
      </c>
      <c r="C6853" t="s">
        <v>898</v>
      </c>
      <c r="D6853" t="s">
        <v>323</v>
      </c>
      <c r="E6853" t="s">
        <v>296</v>
      </c>
      <c r="F6853" t="s">
        <v>7481</v>
      </c>
      <c r="G6853">
        <v>699</v>
      </c>
      <c r="H6853">
        <v>69697.97</v>
      </c>
      <c r="I6853">
        <v>99.71</v>
      </c>
      <c r="J6853">
        <v>1307</v>
      </c>
      <c r="K6853">
        <v>117081.06</v>
      </c>
      <c r="L6853">
        <v>89.58</v>
      </c>
      <c r="M6853">
        <v>2006</v>
      </c>
      <c r="N6853">
        <v>186779.03</v>
      </c>
      <c r="O6853">
        <v>93.11</v>
      </c>
    </row>
    <row r="6854" spans="1:15" x14ac:dyDescent="0.35">
      <c r="A6854" t="s">
        <v>7460</v>
      </c>
      <c r="B6854" t="s">
        <v>7461</v>
      </c>
      <c r="C6854" t="s">
        <v>898</v>
      </c>
      <c r="D6854" t="s">
        <v>323</v>
      </c>
      <c r="E6854" t="s">
        <v>298</v>
      </c>
      <c r="F6854" t="s">
        <v>7482</v>
      </c>
      <c r="G6854">
        <v>682</v>
      </c>
      <c r="H6854">
        <v>73459.450000000012</v>
      </c>
      <c r="I6854">
        <v>107.71</v>
      </c>
      <c r="J6854">
        <v>1699</v>
      </c>
      <c r="K6854">
        <v>166569.96000000002</v>
      </c>
      <c r="L6854">
        <v>98.04</v>
      </c>
      <c r="M6854">
        <v>2381</v>
      </c>
      <c r="N6854">
        <v>240029.41000000003</v>
      </c>
      <c r="O6854">
        <v>100.81</v>
      </c>
    </row>
    <row r="6855" spans="1:15" x14ac:dyDescent="0.35">
      <c r="A6855" t="s">
        <v>7460</v>
      </c>
      <c r="B6855" t="s">
        <v>7461</v>
      </c>
      <c r="C6855" t="s">
        <v>898</v>
      </c>
      <c r="D6855" t="s">
        <v>323</v>
      </c>
      <c r="E6855" t="s">
        <v>300</v>
      </c>
      <c r="F6855" t="s">
        <v>7483</v>
      </c>
      <c r="G6855">
        <v>33</v>
      </c>
      <c r="H6855">
        <v>3898.04</v>
      </c>
      <c r="I6855">
        <v>118.12</v>
      </c>
      <c r="J6855">
        <v>108</v>
      </c>
      <c r="K6855">
        <v>11267.64</v>
      </c>
      <c r="L6855">
        <v>104.33</v>
      </c>
      <c r="M6855">
        <v>141</v>
      </c>
      <c r="N6855">
        <v>15165.68</v>
      </c>
      <c r="O6855">
        <v>107.56</v>
      </c>
    </row>
    <row r="6856" spans="1:15" x14ac:dyDescent="0.35">
      <c r="A6856" t="s">
        <v>7460</v>
      </c>
      <c r="B6856" t="s">
        <v>7461</v>
      </c>
      <c r="C6856" t="s">
        <v>898</v>
      </c>
      <c r="D6856" t="s">
        <v>323</v>
      </c>
      <c r="E6856" t="s">
        <v>302</v>
      </c>
      <c r="F6856" t="s">
        <v>7484</v>
      </c>
      <c r="G6856">
        <v>0</v>
      </c>
      <c r="H6856">
        <v>0</v>
      </c>
      <c r="I6856">
        <v>0</v>
      </c>
      <c r="J6856">
        <v>2</v>
      </c>
      <c r="K6856">
        <v>216.74</v>
      </c>
      <c r="L6856">
        <v>108.37</v>
      </c>
      <c r="M6856">
        <v>2</v>
      </c>
      <c r="N6856">
        <v>216.74</v>
      </c>
      <c r="O6856">
        <v>108.37</v>
      </c>
    </row>
    <row r="6857" spans="1:15" x14ac:dyDescent="0.35">
      <c r="A6857" t="s">
        <v>7460</v>
      </c>
      <c r="B6857" t="s">
        <v>7461</v>
      </c>
      <c r="C6857" t="s">
        <v>898</v>
      </c>
      <c r="D6857" t="s">
        <v>323</v>
      </c>
      <c r="E6857" t="s">
        <v>304</v>
      </c>
      <c r="F6857" t="s">
        <v>7485</v>
      </c>
      <c r="G6857">
        <v>0</v>
      </c>
      <c r="H6857">
        <v>0</v>
      </c>
      <c r="I6857">
        <v>0</v>
      </c>
      <c r="J6857">
        <v>0</v>
      </c>
      <c r="K6857">
        <v>0</v>
      </c>
      <c r="L6857">
        <v>0</v>
      </c>
      <c r="M6857">
        <v>0</v>
      </c>
      <c r="N6857">
        <v>0</v>
      </c>
      <c r="O6857">
        <v>0</v>
      </c>
    </row>
    <row r="6858" spans="1:15" x14ac:dyDescent="0.35">
      <c r="A6858" t="s">
        <v>7460</v>
      </c>
      <c r="B6858" t="s">
        <v>7461</v>
      </c>
      <c r="C6858" t="s">
        <v>898</v>
      </c>
      <c r="D6858" t="s">
        <v>323</v>
      </c>
      <c r="E6858" t="s">
        <v>306</v>
      </c>
      <c r="F6858" t="s">
        <v>7486</v>
      </c>
      <c r="G6858">
        <v>13</v>
      </c>
      <c r="H6858">
        <v>930.41</v>
      </c>
      <c r="I6858">
        <v>71.569999999999993</v>
      </c>
      <c r="J6858">
        <v>32</v>
      </c>
      <c r="K6858">
        <v>2243.84</v>
      </c>
      <c r="L6858">
        <v>70.12</v>
      </c>
      <c r="M6858">
        <v>45</v>
      </c>
      <c r="N6858">
        <v>3174.25</v>
      </c>
      <c r="O6858">
        <v>70.540000000000006</v>
      </c>
    </row>
    <row r="6859" spans="1:15" x14ac:dyDescent="0.35">
      <c r="A6859" t="s">
        <v>7460</v>
      </c>
      <c r="B6859" t="s">
        <v>7461</v>
      </c>
      <c r="C6859" t="s">
        <v>898</v>
      </c>
      <c r="D6859" t="s">
        <v>323</v>
      </c>
      <c r="E6859" t="s">
        <v>308</v>
      </c>
      <c r="F6859" t="s">
        <v>7487</v>
      </c>
      <c r="G6859">
        <v>0</v>
      </c>
      <c r="H6859">
        <v>0</v>
      </c>
      <c r="I6859">
        <v>0</v>
      </c>
      <c r="J6859">
        <v>0</v>
      </c>
      <c r="K6859">
        <v>0</v>
      </c>
      <c r="L6859">
        <v>0</v>
      </c>
      <c r="M6859">
        <v>0</v>
      </c>
      <c r="N6859">
        <v>0</v>
      </c>
      <c r="O6859">
        <v>0</v>
      </c>
    </row>
    <row r="6860" spans="1:15" x14ac:dyDescent="0.35">
      <c r="A6860" t="s">
        <v>7460</v>
      </c>
      <c r="B6860" t="s">
        <v>7461</v>
      </c>
      <c r="C6860" t="s">
        <v>898</v>
      </c>
      <c r="D6860" t="s">
        <v>323</v>
      </c>
      <c r="E6860" t="s">
        <v>310</v>
      </c>
      <c r="F6860" t="s">
        <v>7488</v>
      </c>
      <c r="G6860">
        <v>1647</v>
      </c>
      <c r="H6860">
        <v>166656.43000000002</v>
      </c>
      <c r="I6860">
        <v>101.19</v>
      </c>
      <c r="J6860">
        <v>4156</v>
      </c>
      <c r="K6860">
        <v>376285.48000000004</v>
      </c>
      <c r="L6860">
        <v>90.54</v>
      </c>
      <c r="M6860">
        <v>5803</v>
      </c>
      <c r="N6860">
        <v>542941.91</v>
      </c>
      <c r="O6860">
        <v>93.56</v>
      </c>
    </row>
    <row r="6861" spans="1:15" x14ac:dyDescent="0.35">
      <c r="A6861" t="s">
        <v>7460</v>
      </c>
      <c r="B6861" t="s">
        <v>7461</v>
      </c>
      <c r="C6861" t="s">
        <v>898</v>
      </c>
      <c r="D6861" t="s">
        <v>323</v>
      </c>
      <c r="E6861" t="s">
        <v>312</v>
      </c>
      <c r="F6861" t="s">
        <v>7489</v>
      </c>
      <c r="G6861">
        <v>1647</v>
      </c>
      <c r="H6861">
        <v>166656.43000000002</v>
      </c>
      <c r="I6861">
        <v>101.19</v>
      </c>
      <c r="J6861">
        <v>4156</v>
      </c>
      <c r="K6861">
        <v>376285.48000000004</v>
      </c>
      <c r="L6861">
        <v>90.54</v>
      </c>
      <c r="M6861">
        <v>5803</v>
      </c>
      <c r="N6861">
        <v>542941.91</v>
      </c>
      <c r="O6861">
        <v>93.56</v>
      </c>
    </row>
    <row r="6862" spans="1:15" x14ac:dyDescent="0.35">
      <c r="A6862" t="s">
        <v>7460</v>
      </c>
      <c r="B6862" t="s">
        <v>7461</v>
      </c>
      <c r="C6862" t="s">
        <v>898</v>
      </c>
      <c r="D6862" t="s">
        <v>334</v>
      </c>
      <c r="E6862" t="s">
        <v>312</v>
      </c>
      <c r="F6862" t="s">
        <v>7490</v>
      </c>
      <c r="G6862">
        <v>1788</v>
      </c>
      <c r="H6862">
        <v>181494.49000000002</v>
      </c>
      <c r="I6862">
        <v>102.6</v>
      </c>
      <c r="J6862">
        <v>4204</v>
      </c>
      <c r="K6862">
        <v>382046.44000000006</v>
      </c>
      <c r="L6862">
        <v>90.88</v>
      </c>
      <c r="M6862">
        <v>5992</v>
      </c>
      <c r="N6862">
        <v>563540.93000000005</v>
      </c>
      <c r="O6862">
        <v>94.35</v>
      </c>
    </row>
    <row r="6863" spans="1:15" x14ac:dyDescent="0.35">
      <c r="A6863" t="s">
        <v>7460</v>
      </c>
      <c r="B6863" t="s">
        <v>7461</v>
      </c>
      <c r="C6863" t="s">
        <v>898</v>
      </c>
      <c r="D6863" t="s">
        <v>334</v>
      </c>
      <c r="E6863" t="s">
        <v>308</v>
      </c>
      <c r="F6863" t="s">
        <v>7491</v>
      </c>
      <c r="G6863">
        <v>0</v>
      </c>
      <c r="H6863">
        <v>0</v>
      </c>
      <c r="I6863">
        <v>0</v>
      </c>
      <c r="J6863">
        <v>0</v>
      </c>
      <c r="K6863">
        <v>0</v>
      </c>
      <c r="L6863">
        <v>0</v>
      </c>
      <c r="M6863">
        <v>0</v>
      </c>
      <c r="N6863">
        <v>0</v>
      </c>
      <c r="O6863">
        <v>0</v>
      </c>
    </row>
    <row r="6864" spans="1:15" x14ac:dyDescent="0.35">
      <c r="A6864" t="s">
        <v>7460</v>
      </c>
      <c r="B6864" t="s">
        <v>7461</v>
      </c>
      <c r="C6864" t="s">
        <v>898</v>
      </c>
      <c r="D6864" t="s">
        <v>337</v>
      </c>
      <c r="E6864" t="s">
        <v>337</v>
      </c>
      <c r="F6864" t="s">
        <v>7492</v>
      </c>
      <c r="G6864">
        <v>175</v>
      </c>
      <c r="J6864">
        <v>16</v>
      </c>
      <c r="M6864">
        <v>191</v>
      </c>
    </row>
    <row r="6865" spans="1:15" x14ac:dyDescent="0.35">
      <c r="A6865" t="s">
        <v>7460</v>
      </c>
      <c r="B6865" t="s">
        <v>7461</v>
      </c>
      <c r="C6865" t="s">
        <v>898</v>
      </c>
      <c r="D6865" t="s">
        <v>339</v>
      </c>
      <c r="E6865" t="s">
        <v>294</v>
      </c>
      <c r="F6865" t="s">
        <v>7493</v>
      </c>
      <c r="G6865">
        <v>223</v>
      </c>
      <c r="H6865">
        <v>32717.02</v>
      </c>
      <c r="I6865">
        <v>146.71</v>
      </c>
      <c r="J6865">
        <v>1295</v>
      </c>
      <c r="K6865">
        <v>114076.55</v>
      </c>
      <c r="L6865">
        <v>88.09</v>
      </c>
      <c r="M6865">
        <v>1518</v>
      </c>
      <c r="N6865">
        <v>146793.57</v>
      </c>
      <c r="O6865">
        <v>96.7</v>
      </c>
    </row>
    <row r="6866" spans="1:15" x14ac:dyDescent="0.35">
      <c r="A6866" t="s">
        <v>7460</v>
      </c>
      <c r="B6866" t="s">
        <v>7461</v>
      </c>
      <c r="C6866" t="s">
        <v>898</v>
      </c>
      <c r="D6866" t="s">
        <v>339</v>
      </c>
      <c r="E6866" t="s">
        <v>296</v>
      </c>
      <c r="F6866" t="s">
        <v>7494</v>
      </c>
      <c r="G6866">
        <v>30</v>
      </c>
      <c r="H6866">
        <v>3219.6499999999996</v>
      </c>
      <c r="I6866">
        <v>107.32</v>
      </c>
      <c r="J6866">
        <v>605</v>
      </c>
      <c r="K6866">
        <v>58902.8</v>
      </c>
      <c r="L6866">
        <v>97.36</v>
      </c>
      <c r="M6866">
        <v>635</v>
      </c>
      <c r="N6866">
        <v>62122.450000000004</v>
      </c>
      <c r="O6866">
        <v>97.83</v>
      </c>
    </row>
    <row r="6867" spans="1:15" x14ac:dyDescent="0.35">
      <c r="A6867" t="s">
        <v>7460</v>
      </c>
      <c r="B6867" t="s">
        <v>7461</v>
      </c>
      <c r="C6867" t="s">
        <v>898</v>
      </c>
      <c r="D6867" t="s">
        <v>339</v>
      </c>
      <c r="E6867" t="s">
        <v>298</v>
      </c>
      <c r="F6867" t="s">
        <v>7495</v>
      </c>
      <c r="G6867">
        <v>4</v>
      </c>
      <c r="H6867">
        <v>534.32999999999993</v>
      </c>
      <c r="I6867">
        <v>133.58000000000001</v>
      </c>
      <c r="J6867">
        <v>26</v>
      </c>
      <c r="K6867">
        <v>2819.96</v>
      </c>
      <c r="L6867">
        <v>108.46</v>
      </c>
      <c r="M6867">
        <v>30</v>
      </c>
      <c r="N6867">
        <v>3354.29</v>
      </c>
      <c r="O6867">
        <v>111.81</v>
      </c>
    </row>
    <row r="6868" spans="1:15" x14ac:dyDescent="0.35">
      <c r="A6868" t="s">
        <v>7460</v>
      </c>
      <c r="B6868" t="s">
        <v>7461</v>
      </c>
      <c r="C6868" t="s">
        <v>898</v>
      </c>
      <c r="D6868" t="s">
        <v>339</v>
      </c>
      <c r="E6868" t="s">
        <v>300</v>
      </c>
      <c r="F6868" t="s">
        <v>7496</v>
      </c>
      <c r="G6868">
        <v>0</v>
      </c>
      <c r="H6868">
        <v>0</v>
      </c>
      <c r="I6868">
        <v>0</v>
      </c>
      <c r="J6868">
        <v>3</v>
      </c>
      <c r="K6868">
        <v>347.04</v>
      </c>
      <c r="L6868">
        <v>115.68</v>
      </c>
      <c r="M6868">
        <v>3</v>
      </c>
      <c r="N6868">
        <v>347.04</v>
      </c>
      <c r="O6868">
        <v>115.68</v>
      </c>
    </row>
    <row r="6869" spans="1:15" x14ac:dyDescent="0.35">
      <c r="A6869" t="s">
        <v>7460</v>
      </c>
      <c r="B6869" t="s">
        <v>7461</v>
      </c>
      <c r="C6869" t="s">
        <v>898</v>
      </c>
      <c r="D6869" t="s">
        <v>339</v>
      </c>
      <c r="E6869" t="s">
        <v>306</v>
      </c>
      <c r="F6869" t="s">
        <v>7497</v>
      </c>
      <c r="G6869">
        <v>14</v>
      </c>
      <c r="H6869">
        <v>1326.72</v>
      </c>
      <c r="I6869">
        <v>94.77</v>
      </c>
      <c r="J6869">
        <v>14</v>
      </c>
      <c r="K6869">
        <v>1022.9799999999999</v>
      </c>
      <c r="L6869">
        <v>73.069999999999993</v>
      </c>
      <c r="M6869">
        <v>28</v>
      </c>
      <c r="N6869">
        <v>2349.6999999999998</v>
      </c>
      <c r="O6869">
        <v>83.92</v>
      </c>
    </row>
    <row r="6870" spans="1:15" x14ac:dyDescent="0.35">
      <c r="A6870" t="s">
        <v>7460</v>
      </c>
      <c r="B6870" t="s">
        <v>7461</v>
      </c>
      <c r="C6870" t="s">
        <v>898</v>
      </c>
      <c r="D6870" t="s">
        <v>339</v>
      </c>
      <c r="E6870" t="s">
        <v>308</v>
      </c>
      <c r="F6870" t="s">
        <v>7498</v>
      </c>
      <c r="G6870">
        <v>92</v>
      </c>
      <c r="H6870">
        <v>18191.189999999999</v>
      </c>
      <c r="I6870">
        <v>197.73</v>
      </c>
      <c r="J6870">
        <v>0</v>
      </c>
      <c r="K6870">
        <v>0</v>
      </c>
      <c r="L6870">
        <v>0</v>
      </c>
      <c r="M6870">
        <v>92</v>
      </c>
      <c r="N6870">
        <v>18191.189999999999</v>
      </c>
      <c r="O6870">
        <v>197.73</v>
      </c>
    </row>
    <row r="6871" spans="1:15" x14ac:dyDescent="0.35">
      <c r="A6871" t="s">
        <v>7460</v>
      </c>
      <c r="B6871" t="s">
        <v>7461</v>
      </c>
      <c r="C6871" t="s">
        <v>898</v>
      </c>
      <c r="D6871" t="s">
        <v>339</v>
      </c>
      <c r="E6871" t="s">
        <v>310</v>
      </c>
      <c r="F6871" t="s">
        <v>7499</v>
      </c>
      <c r="G6871">
        <v>363</v>
      </c>
      <c r="H6871">
        <v>55988.91</v>
      </c>
      <c r="I6871">
        <v>154.24</v>
      </c>
      <c r="J6871">
        <v>1943</v>
      </c>
      <c r="K6871">
        <v>177169.33000000002</v>
      </c>
      <c r="L6871">
        <v>91.18</v>
      </c>
      <c r="M6871">
        <v>2306</v>
      </c>
      <c r="N6871">
        <v>233158.24000000002</v>
      </c>
      <c r="O6871">
        <v>101.11</v>
      </c>
    </row>
    <row r="6872" spans="1:15" x14ac:dyDescent="0.35">
      <c r="A6872" t="s">
        <v>7460</v>
      </c>
      <c r="B6872" t="s">
        <v>7461</v>
      </c>
      <c r="C6872" t="s">
        <v>898</v>
      </c>
      <c r="D6872" t="s">
        <v>339</v>
      </c>
      <c r="E6872" t="s">
        <v>312</v>
      </c>
      <c r="F6872" t="s">
        <v>7500</v>
      </c>
      <c r="G6872">
        <v>271</v>
      </c>
      <c r="H6872">
        <v>37797.72</v>
      </c>
      <c r="I6872">
        <v>139.47</v>
      </c>
      <c r="J6872">
        <v>1943</v>
      </c>
      <c r="K6872">
        <v>177169.33000000002</v>
      </c>
      <c r="L6872">
        <v>91.18</v>
      </c>
      <c r="M6872">
        <v>2214</v>
      </c>
      <c r="N6872">
        <v>214967.05000000002</v>
      </c>
      <c r="O6872">
        <v>97.09</v>
      </c>
    </row>
    <row r="6873" spans="1:15" x14ac:dyDescent="0.35">
      <c r="A6873" t="s">
        <v>7460</v>
      </c>
      <c r="B6873" t="s">
        <v>7461</v>
      </c>
      <c r="C6873" t="s">
        <v>898</v>
      </c>
      <c r="D6873" t="s">
        <v>348</v>
      </c>
      <c r="E6873" t="s">
        <v>349</v>
      </c>
      <c r="F6873" t="s">
        <v>7501</v>
      </c>
      <c r="G6873">
        <v>566</v>
      </c>
      <c r="H6873">
        <v>57123.460000000006</v>
      </c>
      <c r="I6873">
        <v>155.22999999999999</v>
      </c>
      <c r="J6873">
        <v>2084</v>
      </c>
      <c r="K6873">
        <v>197133.1</v>
      </c>
      <c r="L6873">
        <v>94.59</v>
      </c>
      <c r="M6873">
        <v>2650</v>
      </c>
      <c r="N6873">
        <v>254256.56</v>
      </c>
      <c r="O6873">
        <v>103.69</v>
      </c>
    </row>
    <row r="6874" spans="1:15" x14ac:dyDescent="0.35">
      <c r="A6874" t="s">
        <v>7502</v>
      </c>
      <c r="B6874" t="s">
        <v>7503</v>
      </c>
      <c r="C6874" t="s">
        <v>898</v>
      </c>
      <c r="D6874" t="s">
        <v>293</v>
      </c>
      <c r="E6874" t="s">
        <v>294</v>
      </c>
      <c r="F6874" t="s">
        <v>7504</v>
      </c>
      <c r="G6874">
        <v>111</v>
      </c>
      <c r="H6874">
        <v>11594.310000000001</v>
      </c>
      <c r="I6874">
        <v>104.45</v>
      </c>
      <c r="J6874">
        <v>133</v>
      </c>
      <c r="K6874">
        <v>14016.87</v>
      </c>
      <c r="L6874">
        <v>105.39</v>
      </c>
      <c r="M6874">
        <v>244</v>
      </c>
      <c r="N6874">
        <v>25611.18</v>
      </c>
      <c r="O6874">
        <v>104.96</v>
      </c>
    </row>
    <row r="6875" spans="1:15" x14ac:dyDescent="0.35">
      <c r="A6875" t="s">
        <v>7502</v>
      </c>
      <c r="B6875" t="s">
        <v>7503</v>
      </c>
      <c r="C6875" t="s">
        <v>898</v>
      </c>
      <c r="D6875" t="s">
        <v>293</v>
      </c>
      <c r="E6875" t="s">
        <v>296</v>
      </c>
      <c r="F6875" t="s">
        <v>7505</v>
      </c>
      <c r="G6875">
        <v>281</v>
      </c>
      <c r="H6875">
        <v>35121.480000000003</v>
      </c>
      <c r="I6875">
        <v>124.99</v>
      </c>
      <c r="J6875">
        <v>128</v>
      </c>
      <c r="K6875">
        <v>16166.4</v>
      </c>
      <c r="L6875">
        <v>126.3</v>
      </c>
      <c r="M6875">
        <v>409</v>
      </c>
      <c r="N6875">
        <v>51287.880000000005</v>
      </c>
      <c r="O6875">
        <v>125.4</v>
      </c>
    </row>
    <row r="6876" spans="1:15" x14ac:dyDescent="0.35">
      <c r="A6876" t="s">
        <v>7502</v>
      </c>
      <c r="B6876" t="s">
        <v>7503</v>
      </c>
      <c r="C6876" t="s">
        <v>898</v>
      </c>
      <c r="D6876" t="s">
        <v>293</v>
      </c>
      <c r="E6876" t="s">
        <v>298</v>
      </c>
      <c r="F6876" t="s">
        <v>7506</v>
      </c>
      <c r="G6876">
        <v>143</v>
      </c>
      <c r="H6876">
        <v>19842.310000000001</v>
      </c>
      <c r="I6876">
        <v>138.76</v>
      </c>
      <c r="J6876">
        <v>18</v>
      </c>
      <c r="K6876">
        <v>2624.22</v>
      </c>
      <c r="L6876">
        <v>145.79</v>
      </c>
      <c r="M6876">
        <v>161</v>
      </c>
      <c r="N6876">
        <v>22466.530000000002</v>
      </c>
      <c r="O6876">
        <v>139.54</v>
      </c>
    </row>
    <row r="6877" spans="1:15" x14ac:dyDescent="0.35">
      <c r="A6877" t="s">
        <v>7502</v>
      </c>
      <c r="B6877" t="s">
        <v>7503</v>
      </c>
      <c r="C6877" t="s">
        <v>898</v>
      </c>
      <c r="D6877" t="s">
        <v>293</v>
      </c>
      <c r="E6877" t="s">
        <v>300</v>
      </c>
      <c r="F6877" t="s">
        <v>7507</v>
      </c>
      <c r="G6877">
        <v>13</v>
      </c>
      <c r="H6877">
        <v>2398.4</v>
      </c>
      <c r="I6877">
        <v>184.49</v>
      </c>
      <c r="J6877">
        <v>0</v>
      </c>
      <c r="K6877">
        <v>0</v>
      </c>
      <c r="L6877">
        <v>0</v>
      </c>
      <c r="M6877">
        <v>13</v>
      </c>
      <c r="N6877">
        <v>2398.4</v>
      </c>
      <c r="O6877">
        <v>184.49</v>
      </c>
    </row>
    <row r="6878" spans="1:15" x14ac:dyDescent="0.35">
      <c r="A6878" t="s">
        <v>7502</v>
      </c>
      <c r="B6878" t="s">
        <v>7503</v>
      </c>
      <c r="C6878" t="s">
        <v>898</v>
      </c>
      <c r="D6878" t="s">
        <v>293</v>
      </c>
      <c r="E6878" t="s">
        <v>302</v>
      </c>
      <c r="F6878" t="s">
        <v>7508</v>
      </c>
      <c r="G6878">
        <v>0</v>
      </c>
      <c r="H6878">
        <v>0</v>
      </c>
      <c r="I6878">
        <v>0</v>
      </c>
      <c r="J6878">
        <v>0</v>
      </c>
      <c r="K6878">
        <v>0</v>
      </c>
      <c r="L6878">
        <v>0</v>
      </c>
      <c r="M6878">
        <v>0</v>
      </c>
      <c r="N6878">
        <v>0</v>
      </c>
      <c r="O6878">
        <v>0</v>
      </c>
    </row>
    <row r="6879" spans="1:15" x14ac:dyDescent="0.35">
      <c r="A6879" t="s">
        <v>7502</v>
      </c>
      <c r="B6879" t="s">
        <v>7503</v>
      </c>
      <c r="C6879" t="s">
        <v>898</v>
      </c>
      <c r="D6879" t="s">
        <v>293</v>
      </c>
      <c r="E6879" t="s">
        <v>304</v>
      </c>
      <c r="F6879" t="s">
        <v>7509</v>
      </c>
      <c r="G6879">
        <v>0</v>
      </c>
      <c r="H6879">
        <v>0</v>
      </c>
      <c r="I6879">
        <v>0</v>
      </c>
      <c r="J6879">
        <v>0</v>
      </c>
      <c r="K6879">
        <v>0</v>
      </c>
      <c r="L6879">
        <v>0</v>
      </c>
      <c r="M6879">
        <v>0</v>
      </c>
      <c r="N6879">
        <v>0</v>
      </c>
      <c r="O6879">
        <v>0</v>
      </c>
    </row>
    <row r="6880" spans="1:15" x14ac:dyDescent="0.35">
      <c r="A6880" t="s">
        <v>7502</v>
      </c>
      <c r="B6880" t="s">
        <v>7503</v>
      </c>
      <c r="C6880" t="s">
        <v>898</v>
      </c>
      <c r="D6880" t="s">
        <v>293</v>
      </c>
      <c r="E6880" t="s">
        <v>306</v>
      </c>
      <c r="F6880" t="s">
        <v>7510</v>
      </c>
      <c r="G6880">
        <v>2</v>
      </c>
      <c r="H6880">
        <v>194.5</v>
      </c>
      <c r="I6880">
        <v>97.25</v>
      </c>
      <c r="J6880">
        <v>0</v>
      </c>
      <c r="K6880">
        <v>0</v>
      </c>
      <c r="L6880">
        <v>0</v>
      </c>
      <c r="M6880">
        <v>2</v>
      </c>
      <c r="N6880">
        <v>194.5</v>
      </c>
      <c r="O6880">
        <v>97.25</v>
      </c>
    </row>
    <row r="6881" spans="1:15" x14ac:dyDescent="0.35">
      <c r="A6881" t="s">
        <v>7502</v>
      </c>
      <c r="B6881" t="s">
        <v>7503</v>
      </c>
      <c r="C6881" t="s">
        <v>898</v>
      </c>
      <c r="D6881" t="s">
        <v>293</v>
      </c>
      <c r="E6881" t="s">
        <v>308</v>
      </c>
      <c r="F6881" t="s">
        <v>7511</v>
      </c>
      <c r="G6881">
        <v>0</v>
      </c>
      <c r="H6881">
        <v>0</v>
      </c>
      <c r="I6881">
        <v>0</v>
      </c>
      <c r="J6881">
        <v>0</v>
      </c>
      <c r="K6881">
        <v>0</v>
      </c>
      <c r="L6881">
        <v>0</v>
      </c>
      <c r="M6881">
        <v>0</v>
      </c>
      <c r="N6881">
        <v>0</v>
      </c>
      <c r="O6881">
        <v>0</v>
      </c>
    </row>
    <row r="6882" spans="1:15" x14ac:dyDescent="0.35">
      <c r="A6882" t="s">
        <v>7502</v>
      </c>
      <c r="B6882" t="s">
        <v>7503</v>
      </c>
      <c r="C6882" t="s">
        <v>898</v>
      </c>
      <c r="D6882" t="s">
        <v>293</v>
      </c>
      <c r="E6882" t="s">
        <v>310</v>
      </c>
      <c r="F6882" t="s">
        <v>7512</v>
      </c>
      <c r="G6882">
        <v>550</v>
      </c>
      <c r="H6882">
        <v>69151</v>
      </c>
      <c r="I6882">
        <v>125.73</v>
      </c>
      <c r="J6882">
        <v>279</v>
      </c>
      <c r="K6882">
        <v>32807.49</v>
      </c>
      <c r="L6882">
        <v>117.59</v>
      </c>
      <c r="M6882">
        <v>829</v>
      </c>
      <c r="N6882">
        <v>101958.48999999999</v>
      </c>
      <c r="O6882">
        <v>122.99</v>
      </c>
    </row>
    <row r="6883" spans="1:15" x14ac:dyDescent="0.35">
      <c r="A6883" t="s">
        <v>7502</v>
      </c>
      <c r="B6883" t="s">
        <v>7503</v>
      </c>
      <c r="C6883" t="s">
        <v>898</v>
      </c>
      <c r="D6883" t="s">
        <v>293</v>
      </c>
      <c r="E6883" t="s">
        <v>312</v>
      </c>
      <c r="F6883" t="s">
        <v>7513</v>
      </c>
      <c r="G6883">
        <v>550</v>
      </c>
      <c r="H6883">
        <v>69151</v>
      </c>
      <c r="I6883">
        <v>125.73</v>
      </c>
      <c r="J6883">
        <v>279</v>
      </c>
      <c r="K6883">
        <v>32807.49</v>
      </c>
      <c r="L6883">
        <v>117.59</v>
      </c>
      <c r="M6883">
        <v>829</v>
      </c>
      <c r="N6883">
        <v>101958.48999999999</v>
      </c>
      <c r="O6883">
        <v>122.99</v>
      </c>
    </row>
    <row r="6884" spans="1:15" x14ac:dyDescent="0.35">
      <c r="A6884" t="s">
        <v>7502</v>
      </c>
      <c r="B6884" t="s">
        <v>7503</v>
      </c>
      <c r="C6884" t="s">
        <v>898</v>
      </c>
      <c r="D6884" t="s">
        <v>314</v>
      </c>
      <c r="E6884" t="s">
        <v>294</v>
      </c>
      <c r="F6884" t="s">
        <v>7514</v>
      </c>
      <c r="G6884">
        <v>5</v>
      </c>
      <c r="H6884">
        <v>1006.4499999999999</v>
      </c>
      <c r="I6884">
        <v>201.29</v>
      </c>
      <c r="J6884">
        <v>84</v>
      </c>
      <c r="K6884">
        <v>16647.96</v>
      </c>
      <c r="L6884">
        <v>198.19</v>
      </c>
      <c r="M6884">
        <v>89</v>
      </c>
      <c r="N6884">
        <v>17654.41</v>
      </c>
      <c r="O6884">
        <v>198.36</v>
      </c>
    </row>
    <row r="6885" spans="1:15" x14ac:dyDescent="0.35">
      <c r="A6885" t="s">
        <v>7502</v>
      </c>
      <c r="B6885" t="s">
        <v>7503</v>
      </c>
      <c r="C6885" t="s">
        <v>898</v>
      </c>
      <c r="D6885" t="s">
        <v>314</v>
      </c>
      <c r="E6885" t="s">
        <v>296</v>
      </c>
      <c r="F6885" t="s">
        <v>7515</v>
      </c>
      <c r="G6885">
        <v>0</v>
      </c>
      <c r="H6885">
        <v>0</v>
      </c>
      <c r="I6885">
        <v>0</v>
      </c>
      <c r="J6885">
        <v>56</v>
      </c>
      <c r="K6885">
        <v>9962.9599999999991</v>
      </c>
      <c r="L6885">
        <v>177.91</v>
      </c>
      <c r="M6885">
        <v>56</v>
      </c>
      <c r="N6885">
        <v>9962.9599999999991</v>
      </c>
      <c r="O6885">
        <v>177.91</v>
      </c>
    </row>
    <row r="6886" spans="1:15" x14ac:dyDescent="0.35">
      <c r="A6886" t="s">
        <v>7502</v>
      </c>
      <c r="B6886" t="s">
        <v>7503</v>
      </c>
      <c r="C6886" t="s">
        <v>898</v>
      </c>
      <c r="D6886" t="s">
        <v>314</v>
      </c>
      <c r="E6886" t="s">
        <v>298</v>
      </c>
      <c r="F6886" t="s">
        <v>7516</v>
      </c>
      <c r="G6886">
        <v>0</v>
      </c>
      <c r="H6886">
        <v>0</v>
      </c>
      <c r="I6886">
        <v>0</v>
      </c>
      <c r="J6886">
        <v>0</v>
      </c>
      <c r="K6886">
        <v>0</v>
      </c>
      <c r="L6886">
        <v>0</v>
      </c>
      <c r="M6886">
        <v>0</v>
      </c>
      <c r="N6886">
        <v>0</v>
      </c>
      <c r="O6886">
        <v>0</v>
      </c>
    </row>
    <row r="6887" spans="1:15" x14ac:dyDescent="0.35">
      <c r="A6887" t="s">
        <v>7502</v>
      </c>
      <c r="B6887" t="s">
        <v>7503</v>
      </c>
      <c r="C6887" t="s">
        <v>898</v>
      </c>
      <c r="D6887" t="s">
        <v>314</v>
      </c>
      <c r="E6887" t="s">
        <v>300</v>
      </c>
      <c r="F6887" t="s">
        <v>7517</v>
      </c>
      <c r="G6887">
        <v>0</v>
      </c>
      <c r="H6887">
        <v>0</v>
      </c>
      <c r="I6887">
        <v>0</v>
      </c>
      <c r="J6887">
        <v>0</v>
      </c>
      <c r="K6887">
        <v>0</v>
      </c>
      <c r="L6887">
        <v>0</v>
      </c>
      <c r="M6887">
        <v>0</v>
      </c>
      <c r="N6887">
        <v>0</v>
      </c>
      <c r="O6887">
        <v>0</v>
      </c>
    </row>
    <row r="6888" spans="1:15" x14ac:dyDescent="0.35">
      <c r="A6888" t="s">
        <v>7502</v>
      </c>
      <c r="B6888" t="s">
        <v>7503</v>
      </c>
      <c r="C6888" t="s">
        <v>898</v>
      </c>
      <c r="D6888" t="s">
        <v>314</v>
      </c>
      <c r="E6888" t="s">
        <v>306</v>
      </c>
      <c r="F6888" t="s">
        <v>7518</v>
      </c>
      <c r="G6888">
        <v>0</v>
      </c>
      <c r="H6888">
        <v>0</v>
      </c>
      <c r="I6888">
        <v>0</v>
      </c>
      <c r="J6888">
        <v>0</v>
      </c>
      <c r="K6888">
        <v>0</v>
      </c>
      <c r="L6888">
        <v>0</v>
      </c>
      <c r="M6888">
        <v>0</v>
      </c>
      <c r="N6888">
        <v>0</v>
      </c>
      <c r="O6888">
        <v>0</v>
      </c>
    </row>
    <row r="6889" spans="1:15" x14ac:dyDescent="0.35">
      <c r="A6889" t="s">
        <v>7502</v>
      </c>
      <c r="B6889" t="s">
        <v>7503</v>
      </c>
      <c r="C6889" t="s">
        <v>898</v>
      </c>
      <c r="D6889" t="s">
        <v>314</v>
      </c>
      <c r="E6889" t="s">
        <v>308</v>
      </c>
      <c r="F6889" t="s">
        <v>7519</v>
      </c>
      <c r="G6889">
        <v>0</v>
      </c>
      <c r="H6889">
        <v>0</v>
      </c>
      <c r="I6889">
        <v>0</v>
      </c>
      <c r="J6889">
        <v>0</v>
      </c>
      <c r="K6889">
        <v>0</v>
      </c>
      <c r="L6889">
        <v>0</v>
      </c>
      <c r="M6889">
        <v>0</v>
      </c>
      <c r="N6889">
        <v>0</v>
      </c>
      <c r="O6889">
        <v>0</v>
      </c>
    </row>
    <row r="6890" spans="1:15" x14ac:dyDescent="0.35">
      <c r="A6890" t="s">
        <v>7502</v>
      </c>
      <c r="B6890" t="s">
        <v>7503</v>
      </c>
      <c r="C6890" t="s">
        <v>898</v>
      </c>
      <c r="D6890" t="s">
        <v>314</v>
      </c>
      <c r="E6890" t="s">
        <v>312</v>
      </c>
      <c r="F6890" t="s">
        <v>7520</v>
      </c>
      <c r="G6890">
        <v>5</v>
      </c>
      <c r="H6890">
        <v>1006.4499999999999</v>
      </c>
      <c r="I6890">
        <v>201.29</v>
      </c>
      <c r="J6890">
        <v>140</v>
      </c>
      <c r="K6890">
        <v>26610.92</v>
      </c>
      <c r="L6890">
        <v>190.08</v>
      </c>
      <c r="M6890">
        <v>145</v>
      </c>
      <c r="N6890">
        <v>27617.37</v>
      </c>
      <c r="O6890">
        <v>190.46</v>
      </c>
    </row>
    <row r="6891" spans="1:15" x14ac:dyDescent="0.35">
      <c r="A6891" t="s">
        <v>7502</v>
      </c>
      <c r="B6891" t="s">
        <v>7503</v>
      </c>
      <c r="C6891" t="s">
        <v>898</v>
      </c>
      <c r="D6891" t="s">
        <v>314</v>
      </c>
      <c r="E6891" t="s">
        <v>310</v>
      </c>
      <c r="F6891" t="s">
        <v>7521</v>
      </c>
      <c r="G6891">
        <v>5</v>
      </c>
      <c r="H6891">
        <v>1006.4499999999999</v>
      </c>
      <c r="I6891">
        <v>201.29</v>
      </c>
      <c r="J6891">
        <v>140</v>
      </c>
      <c r="K6891">
        <v>26610.92</v>
      </c>
      <c r="L6891">
        <v>190.08</v>
      </c>
      <c r="M6891">
        <v>145</v>
      </c>
      <c r="N6891">
        <v>27617.37</v>
      </c>
      <c r="O6891">
        <v>190.46</v>
      </c>
    </row>
    <row r="6892" spans="1:15" x14ac:dyDescent="0.35">
      <c r="A6892" t="s">
        <v>7502</v>
      </c>
      <c r="B6892" t="s">
        <v>7503</v>
      </c>
      <c r="C6892" t="s">
        <v>898</v>
      </c>
      <c r="D6892" t="s">
        <v>323</v>
      </c>
      <c r="E6892" t="s">
        <v>294</v>
      </c>
      <c r="F6892" t="s">
        <v>7522</v>
      </c>
      <c r="G6892">
        <v>271</v>
      </c>
      <c r="H6892">
        <v>25190.829999999998</v>
      </c>
      <c r="I6892">
        <v>92.96</v>
      </c>
      <c r="J6892">
        <v>138</v>
      </c>
      <c r="K6892">
        <v>10819.2</v>
      </c>
      <c r="L6892">
        <v>78.400000000000006</v>
      </c>
      <c r="M6892">
        <v>409</v>
      </c>
      <c r="N6892">
        <v>36010.03</v>
      </c>
      <c r="O6892">
        <v>88.04</v>
      </c>
    </row>
    <row r="6893" spans="1:15" x14ac:dyDescent="0.35">
      <c r="A6893" t="s">
        <v>7502</v>
      </c>
      <c r="B6893" t="s">
        <v>7503</v>
      </c>
      <c r="C6893" t="s">
        <v>898</v>
      </c>
      <c r="D6893" t="s">
        <v>323</v>
      </c>
      <c r="E6893" t="s">
        <v>296</v>
      </c>
      <c r="F6893" t="s">
        <v>7523</v>
      </c>
      <c r="G6893">
        <v>674</v>
      </c>
      <c r="H6893">
        <v>74203.58</v>
      </c>
      <c r="I6893">
        <v>110.09</v>
      </c>
      <c r="J6893">
        <v>565</v>
      </c>
      <c r="K6893">
        <v>49296.25</v>
      </c>
      <c r="L6893">
        <v>87.25</v>
      </c>
      <c r="M6893">
        <v>1239</v>
      </c>
      <c r="N6893">
        <v>123499.83</v>
      </c>
      <c r="O6893">
        <v>99.68</v>
      </c>
    </row>
    <row r="6894" spans="1:15" x14ac:dyDescent="0.35">
      <c r="A6894" t="s">
        <v>7502</v>
      </c>
      <c r="B6894" t="s">
        <v>7503</v>
      </c>
      <c r="C6894" t="s">
        <v>898</v>
      </c>
      <c r="D6894" t="s">
        <v>323</v>
      </c>
      <c r="E6894" t="s">
        <v>298</v>
      </c>
      <c r="F6894" t="s">
        <v>7524</v>
      </c>
      <c r="G6894">
        <v>535</v>
      </c>
      <c r="H6894">
        <v>60146.21</v>
      </c>
      <c r="I6894">
        <v>112.42</v>
      </c>
      <c r="J6894">
        <v>1841</v>
      </c>
      <c r="K6894">
        <v>183547.7</v>
      </c>
      <c r="L6894">
        <v>99.7</v>
      </c>
      <c r="M6894">
        <v>2376</v>
      </c>
      <c r="N6894">
        <v>243693.91</v>
      </c>
      <c r="O6894">
        <v>102.56</v>
      </c>
    </row>
    <row r="6895" spans="1:15" x14ac:dyDescent="0.35">
      <c r="A6895" t="s">
        <v>7502</v>
      </c>
      <c r="B6895" t="s">
        <v>7503</v>
      </c>
      <c r="C6895" t="s">
        <v>898</v>
      </c>
      <c r="D6895" t="s">
        <v>323</v>
      </c>
      <c r="E6895" t="s">
        <v>300</v>
      </c>
      <c r="F6895" t="s">
        <v>7525</v>
      </c>
      <c r="G6895">
        <v>30</v>
      </c>
      <c r="H6895">
        <v>3711.39</v>
      </c>
      <c r="I6895">
        <v>123.71</v>
      </c>
      <c r="J6895">
        <v>118</v>
      </c>
      <c r="K6895">
        <v>12778.220000000001</v>
      </c>
      <c r="L6895">
        <v>108.29</v>
      </c>
      <c r="M6895">
        <v>148</v>
      </c>
      <c r="N6895">
        <v>16489.61</v>
      </c>
      <c r="O6895">
        <v>111.42</v>
      </c>
    </row>
    <row r="6896" spans="1:15" x14ac:dyDescent="0.35">
      <c r="A6896" t="s">
        <v>7502</v>
      </c>
      <c r="B6896" t="s">
        <v>7503</v>
      </c>
      <c r="C6896" t="s">
        <v>898</v>
      </c>
      <c r="D6896" t="s">
        <v>323</v>
      </c>
      <c r="E6896" t="s">
        <v>302</v>
      </c>
      <c r="F6896" t="s">
        <v>7526</v>
      </c>
      <c r="G6896">
        <v>1</v>
      </c>
      <c r="H6896">
        <v>117.44</v>
      </c>
      <c r="I6896">
        <v>117.44</v>
      </c>
      <c r="J6896">
        <v>6</v>
      </c>
      <c r="K6896">
        <v>684.72</v>
      </c>
      <c r="L6896">
        <v>114.12</v>
      </c>
      <c r="M6896">
        <v>7</v>
      </c>
      <c r="N6896">
        <v>802.16000000000008</v>
      </c>
      <c r="O6896">
        <v>114.59</v>
      </c>
    </row>
    <row r="6897" spans="1:15" x14ac:dyDescent="0.35">
      <c r="A6897" t="s">
        <v>7502</v>
      </c>
      <c r="B6897" t="s">
        <v>7503</v>
      </c>
      <c r="C6897" t="s">
        <v>898</v>
      </c>
      <c r="D6897" t="s">
        <v>323</v>
      </c>
      <c r="E6897" t="s">
        <v>304</v>
      </c>
      <c r="F6897" t="s">
        <v>7527</v>
      </c>
      <c r="G6897">
        <v>0</v>
      </c>
      <c r="H6897">
        <v>0</v>
      </c>
      <c r="I6897">
        <v>0</v>
      </c>
      <c r="J6897">
        <v>1</v>
      </c>
      <c r="K6897">
        <v>130.58000000000001</v>
      </c>
      <c r="L6897">
        <v>130.58000000000001</v>
      </c>
      <c r="M6897">
        <v>1</v>
      </c>
      <c r="N6897">
        <v>130.58000000000001</v>
      </c>
      <c r="O6897">
        <v>130.58000000000001</v>
      </c>
    </row>
    <row r="6898" spans="1:15" x14ac:dyDescent="0.35">
      <c r="A6898" t="s">
        <v>7502</v>
      </c>
      <c r="B6898" t="s">
        <v>7503</v>
      </c>
      <c r="C6898" t="s">
        <v>898</v>
      </c>
      <c r="D6898" t="s">
        <v>323</v>
      </c>
      <c r="E6898" t="s">
        <v>306</v>
      </c>
      <c r="F6898" t="s">
        <v>7528</v>
      </c>
      <c r="G6898">
        <v>6</v>
      </c>
      <c r="H6898">
        <v>429.65999999999997</v>
      </c>
      <c r="I6898">
        <v>71.61</v>
      </c>
      <c r="J6898">
        <v>7</v>
      </c>
      <c r="K6898">
        <v>495.73999999999995</v>
      </c>
      <c r="L6898">
        <v>70.819999999999993</v>
      </c>
      <c r="M6898">
        <v>13</v>
      </c>
      <c r="N6898">
        <v>925.39999999999986</v>
      </c>
      <c r="O6898">
        <v>71.180000000000007</v>
      </c>
    </row>
    <row r="6899" spans="1:15" x14ac:dyDescent="0.35">
      <c r="A6899" t="s">
        <v>7502</v>
      </c>
      <c r="B6899" t="s">
        <v>7503</v>
      </c>
      <c r="C6899" t="s">
        <v>898</v>
      </c>
      <c r="D6899" t="s">
        <v>323</v>
      </c>
      <c r="E6899" t="s">
        <v>308</v>
      </c>
      <c r="F6899" t="s">
        <v>7529</v>
      </c>
      <c r="G6899">
        <v>0</v>
      </c>
      <c r="H6899">
        <v>0</v>
      </c>
      <c r="I6899">
        <v>0</v>
      </c>
      <c r="J6899">
        <v>0</v>
      </c>
      <c r="K6899">
        <v>0</v>
      </c>
      <c r="L6899">
        <v>0</v>
      </c>
      <c r="M6899">
        <v>0</v>
      </c>
      <c r="N6899">
        <v>0</v>
      </c>
      <c r="O6899">
        <v>0</v>
      </c>
    </row>
    <row r="6900" spans="1:15" x14ac:dyDescent="0.35">
      <c r="A6900" t="s">
        <v>7502</v>
      </c>
      <c r="B6900" t="s">
        <v>7503</v>
      </c>
      <c r="C6900" t="s">
        <v>898</v>
      </c>
      <c r="D6900" t="s">
        <v>323</v>
      </c>
      <c r="E6900" t="s">
        <v>310</v>
      </c>
      <c r="F6900" t="s">
        <v>7530</v>
      </c>
      <c r="G6900">
        <v>1517</v>
      </c>
      <c r="H6900">
        <v>163799.11000000002</v>
      </c>
      <c r="I6900">
        <v>107.98</v>
      </c>
      <c r="J6900">
        <v>2676</v>
      </c>
      <c r="K6900">
        <v>257752.41</v>
      </c>
      <c r="L6900">
        <v>96.32</v>
      </c>
      <c r="M6900">
        <v>4193</v>
      </c>
      <c r="N6900">
        <v>421551.52</v>
      </c>
      <c r="O6900">
        <v>100.54</v>
      </c>
    </row>
    <row r="6901" spans="1:15" x14ac:dyDescent="0.35">
      <c r="A6901" t="s">
        <v>7502</v>
      </c>
      <c r="B6901" t="s">
        <v>7503</v>
      </c>
      <c r="C6901" t="s">
        <v>898</v>
      </c>
      <c r="D6901" t="s">
        <v>323</v>
      </c>
      <c r="E6901" t="s">
        <v>312</v>
      </c>
      <c r="F6901" t="s">
        <v>7531</v>
      </c>
      <c r="G6901">
        <v>1517</v>
      </c>
      <c r="H6901">
        <v>163799.11000000002</v>
      </c>
      <c r="I6901">
        <v>107.98</v>
      </c>
      <c r="J6901">
        <v>2676</v>
      </c>
      <c r="K6901">
        <v>257752.41</v>
      </c>
      <c r="L6901">
        <v>96.32</v>
      </c>
      <c r="M6901">
        <v>4193</v>
      </c>
      <c r="N6901">
        <v>421551.52</v>
      </c>
      <c r="O6901">
        <v>100.54</v>
      </c>
    </row>
    <row r="6902" spans="1:15" x14ac:dyDescent="0.35">
      <c r="A6902" t="s">
        <v>7502</v>
      </c>
      <c r="B6902" t="s">
        <v>7503</v>
      </c>
      <c r="C6902" t="s">
        <v>898</v>
      </c>
      <c r="D6902" t="s">
        <v>334</v>
      </c>
      <c r="E6902" t="s">
        <v>312</v>
      </c>
      <c r="F6902" t="s">
        <v>7532</v>
      </c>
      <c r="G6902">
        <v>2155</v>
      </c>
      <c r="H6902">
        <v>232950.11000000002</v>
      </c>
      <c r="I6902">
        <v>112.7</v>
      </c>
      <c r="J6902">
        <v>2955</v>
      </c>
      <c r="K6902">
        <v>290559.89999999997</v>
      </c>
      <c r="L6902">
        <v>98.33</v>
      </c>
      <c r="M6902">
        <v>5110</v>
      </c>
      <c r="N6902">
        <v>523510.01</v>
      </c>
      <c r="O6902">
        <v>104.24</v>
      </c>
    </row>
    <row r="6903" spans="1:15" x14ac:dyDescent="0.35">
      <c r="A6903" t="s">
        <v>7502</v>
      </c>
      <c r="B6903" t="s">
        <v>7503</v>
      </c>
      <c r="C6903" t="s">
        <v>898</v>
      </c>
      <c r="D6903" t="s">
        <v>334</v>
      </c>
      <c r="E6903" t="s">
        <v>308</v>
      </c>
      <c r="F6903" t="s">
        <v>7533</v>
      </c>
      <c r="G6903">
        <v>0</v>
      </c>
      <c r="H6903">
        <v>0</v>
      </c>
      <c r="I6903">
        <v>0</v>
      </c>
      <c r="J6903">
        <v>0</v>
      </c>
      <c r="K6903">
        <v>0</v>
      </c>
      <c r="L6903">
        <v>0</v>
      </c>
      <c r="M6903">
        <v>0</v>
      </c>
      <c r="N6903">
        <v>0</v>
      </c>
      <c r="O6903">
        <v>0</v>
      </c>
    </row>
    <row r="6904" spans="1:15" x14ac:dyDescent="0.35">
      <c r="A6904" t="s">
        <v>7502</v>
      </c>
      <c r="B6904" t="s">
        <v>7503</v>
      </c>
      <c r="C6904" t="s">
        <v>898</v>
      </c>
      <c r="D6904" t="s">
        <v>337</v>
      </c>
      <c r="E6904" t="s">
        <v>337</v>
      </c>
      <c r="F6904" t="s">
        <v>7534</v>
      </c>
      <c r="G6904">
        <v>488</v>
      </c>
      <c r="J6904">
        <v>0</v>
      </c>
      <c r="M6904">
        <v>488</v>
      </c>
    </row>
    <row r="6905" spans="1:15" x14ac:dyDescent="0.35">
      <c r="A6905" t="s">
        <v>7502</v>
      </c>
      <c r="B6905" t="s">
        <v>7503</v>
      </c>
      <c r="C6905" t="s">
        <v>898</v>
      </c>
      <c r="D6905" t="s">
        <v>339</v>
      </c>
      <c r="E6905" t="s">
        <v>294</v>
      </c>
      <c r="F6905" t="s">
        <v>7535</v>
      </c>
      <c r="G6905">
        <v>266</v>
      </c>
      <c r="H6905">
        <v>36043.879999999997</v>
      </c>
      <c r="I6905">
        <v>135.5</v>
      </c>
      <c r="J6905">
        <v>1069</v>
      </c>
      <c r="K6905">
        <v>93152.66</v>
      </c>
      <c r="L6905">
        <v>87.14</v>
      </c>
      <c r="M6905">
        <v>1335</v>
      </c>
      <c r="N6905">
        <v>129196.54000000001</v>
      </c>
      <c r="O6905">
        <v>96.78</v>
      </c>
    </row>
    <row r="6906" spans="1:15" x14ac:dyDescent="0.35">
      <c r="A6906" t="s">
        <v>7502</v>
      </c>
      <c r="B6906" t="s">
        <v>7503</v>
      </c>
      <c r="C6906" t="s">
        <v>898</v>
      </c>
      <c r="D6906" t="s">
        <v>339</v>
      </c>
      <c r="E6906" t="s">
        <v>296</v>
      </c>
      <c r="F6906" t="s">
        <v>7536</v>
      </c>
      <c r="G6906">
        <v>61</v>
      </c>
      <c r="H6906">
        <v>6945.2100000000009</v>
      </c>
      <c r="I6906">
        <v>113.86</v>
      </c>
      <c r="J6906">
        <v>1443</v>
      </c>
      <c r="K6906">
        <v>140533.76999999999</v>
      </c>
      <c r="L6906">
        <v>97.39</v>
      </c>
      <c r="M6906">
        <v>1504</v>
      </c>
      <c r="N6906">
        <v>147478.97999999998</v>
      </c>
      <c r="O6906">
        <v>98.06</v>
      </c>
    </row>
    <row r="6907" spans="1:15" x14ac:dyDescent="0.35">
      <c r="A6907" t="s">
        <v>7502</v>
      </c>
      <c r="B6907" t="s">
        <v>7503</v>
      </c>
      <c r="C6907" t="s">
        <v>898</v>
      </c>
      <c r="D6907" t="s">
        <v>339</v>
      </c>
      <c r="E6907" t="s">
        <v>298</v>
      </c>
      <c r="F6907" t="s">
        <v>7537</v>
      </c>
      <c r="G6907">
        <v>1</v>
      </c>
      <c r="H6907">
        <v>138.66</v>
      </c>
      <c r="I6907">
        <v>138.66</v>
      </c>
      <c r="J6907">
        <v>12</v>
      </c>
      <c r="K6907">
        <v>1250.1600000000001</v>
      </c>
      <c r="L6907">
        <v>104.18</v>
      </c>
      <c r="M6907">
        <v>13</v>
      </c>
      <c r="N6907">
        <v>1388.8200000000002</v>
      </c>
      <c r="O6907">
        <v>106.83</v>
      </c>
    </row>
    <row r="6908" spans="1:15" x14ac:dyDescent="0.35">
      <c r="A6908" t="s">
        <v>7502</v>
      </c>
      <c r="B6908" t="s">
        <v>7503</v>
      </c>
      <c r="C6908" t="s">
        <v>898</v>
      </c>
      <c r="D6908" t="s">
        <v>339</v>
      </c>
      <c r="E6908" t="s">
        <v>300</v>
      </c>
      <c r="F6908" t="s">
        <v>7538</v>
      </c>
      <c r="G6908">
        <v>0</v>
      </c>
      <c r="H6908">
        <v>0</v>
      </c>
      <c r="I6908">
        <v>0</v>
      </c>
      <c r="J6908">
        <v>0</v>
      </c>
      <c r="K6908">
        <v>0</v>
      </c>
      <c r="L6908">
        <v>0</v>
      </c>
      <c r="M6908">
        <v>0</v>
      </c>
      <c r="N6908">
        <v>0</v>
      </c>
      <c r="O6908">
        <v>0</v>
      </c>
    </row>
    <row r="6909" spans="1:15" x14ac:dyDescent="0.35">
      <c r="A6909" t="s">
        <v>7502</v>
      </c>
      <c r="B6909" t="s">
        <v>7503</v>
      </c>
      <c r="C6909" t="s">
        <v>898</v>
      </c>
      <c r="D6909" t="s">
        <v>339</v>
      </c>
      <c r="E6909" t="s">
        <v>306</v>
      </c>
      <c r="F6909" t="s">
        <v>7539</v>
      </c>
      <c r="G6909">
        <v>27</v>
      </c>
      <c r="H6909">
        <v>3746.9799999999996</v>
      </c>
      <c r="I6909">
        <v>138.78</v>
      </c>
      <c r="J6909">
        <v>2</v>
      </c>
      <c r="K6909">
        <v>135.06</v>
      </c>
      <c r="L6909">
        <v>67.53</v>
      </c>
      <c r="M6909">
        <v>29</v>
      </c>
      <c r="N6909">
        <v>3882.0399999999995</v>
      </c>
      <c r="O6909">
        <v>133.86000000000001</v>
      </c>
    </row>
    <row r="6910" spans="1:15" x14ac:dyDescent="0.35">
      <c r="A6910" t="s">
        <v>7502</v>
      </c>
      <c r="B6910" t="s">
        <v>7503</v>
      </c>
      <c r="C6910" t="s">
        <v>898</v>
      </c>
      <c r="D6910" t="s">
        <v>339</v>
      </c>
      <c r="E6910" t="s">
        <v>308</v>
      </c>
      <c r="F6910" t="s">
        <v>7540</v>
      </c>
      <c r="G6910">
        <v>121</v>
      </c>
      <c r="H6910">
        <v>24032.660000000003</v>
      </c>
      <c r="I6910">
        <v>198.62</v>
      </c>
      <c r="J6910">
        <v>0</v>
      </c>
      <c r="K6910">
        <v>0</v>
      </c>
      <c r="L6910">
        <v>0</v>
      </c>
      <c r="M6910">
        <v>121</v>
      </c>
      <c r="N6910">
        <v>24032.660000000003</v>
      </c>
      <c r="O6910">
        <v>198.62</v>
      </c>
    </row>
    <row r="6911" spans="1:15" x14ac:dyDescent="0.35">
      <c r="A6911" t="s">
        <v>7502</v>
      </c>
      <c r="B6911" t="s">
        <v>7503</v>
      </c>
      <c r="C6911" t="s">
        <v>898</v>
      </c>
      <c r="D6911" t="s">
        <v>339</v>
      </c>
      <c r="E6911" t="s">
        <v>310</v>
      </c>
      <c r="F6911" t="s">
        <v>7541</v>
      </c>
      <c r="G6911">
        <v>476</v>
      </c>
      <c r="H6911">
        <v>70907.39</v>
      </c>
      <c r="I6911">
        <v>148.97</v>
      </c>
      <c r="J6911">
        <v>2526</v>
      </c>
      <c r="K6911">
        <v>235071.65</v>
      </c>
      <c r="L6911">
        <v>93.06</v>
      </c>
      <c r="M6911">
        <v>3002</v>
      </c>
      <c r="N6911">
        <v>305979.03999999998</v>
      </c>
      <c r="O6911">
        <v>101.93</v>
      </c>
    </row>
    <row r="6912" spans="1:15" x14ac:dyDescent="0.35">
      <c r="A6912" t="s">
        <v>7502</v>
      </c>
      <c r="B6912" t="s">
        <v>7503</v>
      </c>
      <c r="C6912" t="s">
        <v>898</v>
      </c>
      <c r="D6912" t="s">
        <v>339</v>
      </c>
      <c r="E6912" t="s">
        <v>312</v>
      </c>
      <c r="F6912" t="s">
        <v>7542</v>
      </c>
      <c r="G6912">
        <v>355</v>
      </c>
      <c r="H6912">
        <v>46874.729999999996</v>
      </c>
      <c r="I6912">
        <v>132.04</v>
      </c>
      <c r="J6912">
        <v>2526</v>
      </c>
      <c r="K6912">
        <v>235071.65</v>
      </c>
      <c r="L6912">
        <v>93.06</v>
      </c>
      <c r="M6912">
        <v>2881</v>
      </c>
      <c r="N6912">
        <v>281946.38</v>
      </c>
      <c r="O6912">
        <v>97.86</v>
      </c>
    </row>
    <row r="6913" spans="1:15" x14ac:dyDescent="0.35">
      <c r="A6913" t="s">
        <v>7502</v>
      </c>
      <c r="B6913" t="s">
        <v>7503</v>
      </c>
      <c r="C6913" t="s">
        <v>898</v>
      </c>
      <c r="D6913" t="s">
        <v>348</v>
      </c>
      <c r="E6913" t="s">
        <v>349</v>
      </c>
      <c r="F6913" t="s">
        <v>7543</v>
      </c>
      <c r="G6913">
        <v>632</v>
      </c>
      <c r="H6913">
        <v>71913.84</v>
      </c>
      <c r="I6913">
        <v>149.51</v>
      </c>
      <c r="J6913">
        <v>2666</v>
      </c>
      <c r="K6913">
        <v>261682.56999999998</v>
      </c>
      <c r="L6913">
        <v>98.16</v>
      </c>
      <c r="M6913">
        <v>3298</v>
      </c>
      <c r="N6913">
        <v>333596.40999999997</v>
      </c>
      <c r="O6913">
        <v>106</v>
      </c>
    </row>
    <row r="6914" spans="1:15" x14ac:dyDescent="0.35">
      <c r="A6914" t="s">
        <v>7544</v>
      </c>
      <c r="B6914" t="s">
        <v>7545</v>
      </c>
      <c r="C6914" t="s">
        <v>898</v>
      </c>
      <c r="D6914" t="s">
        <v>293</v>
      </c>
      <c r="E6914" t="s">
        <v>294</v>
      </c>
      <c r="F6914" t="s">
        <v>7546</v>
      </c>
      <c r="G6914">
        <v>134</v>
      </c>
      <c r="H6914">
        <v>16233.98</v>
      </c>
      <c r="I6914">
        <v>121.15</v>
      </c>
      <c r="J6914">
        <v>0</v>
      </c>
      <c r="K6914">
        <v>0</v>
      </c>
      <c r="L6914">
        <v>0</v>
      </c>
      <c r="M6914">
        <v>134</v>
      </c>
      <c r="N6914">
        <v>16233.98</v>
      </c>
      <c r="O6914">
        <v>121.15</v>
      </c>
    </row>
    <row r="6915" spans="1:15" x14ac:dyDescent="0.35">
      <c r="A6915" t="s">
        <v>7544</v>
      </c>
      <c r="B6915" t="s">
        <v>7545</v>
      </c>
      <c r="C6915" t="s">
        <v>898</v>
      </c>
      <c r="D6915" t="s">
        <v>293</v>
      </c>
      <c r="E6915" t="s">
        <v>296</v>
      </c>
      <c r="F6915" t="s">
        <v>7547</v>
      </c>
      <c r="G6915">
        <v>353</v>
      </c>
      <c r="H6915">
        <v>50444.469999999987</v>
      </c>
      <c r="I6915">
        <v>142.9</v>
      </c>
      <c r="J6915">
        <v>0</v>
      </c>
      <c r="K6915">
        <v>0</v>
      </c>
      <c r="L6915">
        <v>0</v>
      </c>
      <c r="M6915">
        <v>353</v>
      </c>
      <c r="N6915">
        <v>50444.469999999987</v>
      </c>
      <c r="O6915">
        <v>142.9</v>
      </c>
    </row>
    <row r="6916" spans="1:15" x14ac:dyDescent="0.35">
      <c r="A6916" t="s">
        <v>7544</v>
      </c>
      <c r="B6916" t="s">
        <v>7545</v>
      </c>
      <c r="C6916" t="s">
        <v>898</v>
      </c>
      <c r="D6916" t="s">
        <v>293</v>
      </c>
      <c r="E6916" t="s">
        <v>298</v>
      </c>
      <c r="F6916" t="s">
        <v>7548</v>
      </c>
      <c r="G6916">
        <v>202</v>
      </c>
      <c r="H6916">
        <v>33284.35</v>
      </c>
      <c r="I6916">
        <v>164.77</v>
      </c>
      <c r="J6916">
        <v>0</v>
      </c>
      <c r="K6916">
        <v>0</v>
      </c>
      <c r="L6916">
        <v>0</v>
      </c>
      <c r="M6916">
        <v>202</v>
      </c>
      <c r="N6916">
        <v>33284.35</v>
      </c>
      <c r="O6916">
        <v>164.77</v>
      </c>
    </row>
    <row r="6917" spans="1:15" x14ac:dyDescent="0.35">
      <c r="A6917" t="s">
        <v>7544</v>
      </c>
      <c r="B6917" t="s">
        <v>7545</v>
      </c>
      <c r="C6917" t="s">
        <v>898</v>
      </c>
      <c r="D6917" t="s">
        <v>293</v>
      </c>
      <c r="E6917" t="s">
        <v>300</v>
      </c>
      <c r="F6917" t="s">
        <v>7549</v>
      </c>
      <c r="G6917">
        <v>28</v>
      </c>
      <c r="H6917">
        <v>5861.23</v>
      </c>
      <c r="I6917">
        <v>209.33</v>
      </c>
      <c r="J6917">
        <v>0</v>
      </c>
      <c r="K6917">
        <v>0</v>
      </c>
      <c r="L6917">
        <v>0</v>
      </c>
      <c r="M6917">
        <v>28</v>
      </c>
      <c r="N6917">
        <v>5861.23</v>
      </c>
      <c r="O6917">
        <v>209.33</v>
      </c>
    </row>
    <row r="6918" spans="1:15" x14ac:dyDescent="0.35">
      <c r="A6918" t="s">
        <v>7544</v>
      </c>
      <c r="B6918" t="s">
        <v>7545</v>
      </c>
      <c r="C6918" t="s">
        <v>898</v>
      </c>
      <c r="D6918" t="s">
        <v>293</v>
      </c>
      <c r="E6918" t="s">
        <v>302</v>
      </c>
      <c r="F6918" t="s">
        <v>7550</v>
      </c>
      <c r="G6918">
        <v>0</v>
      </c>
      <c r="H6918">
        <v>0</v>
      </c>
      <c r="I6918">
        <v>0</v>
      </c>
      <c r="J6918">
        <v>0</v>
      </c>
      <c r="K6918">
        <v>0</v>
      </c>
      <c r="L6918">
        <v>0</v>
      </c>
      <c r="M6918">
        <v>0</v>
      </c>
      <c r="N6918">
        <v>0</v>
      </c>
      <c r="O6918">
        <v>0</v>
      </c>
    </row>
    <row r="6919" spans="1:15" x14ac:dyDescent="0.35">
      <c r="A6919" t="s">
        <v>7544</v>
      </c>
      <c r="B6919" t="s">
        <v>7545</v>
      </c>
      <c r="C6919" t="s">
        <v>898</v>
      </c>
      <c r="D6919" t="s">
        <v>293</v>
      </c>
      <c r="E6919" t="s">
        <v>304</v>
      </c>
      <c r="F6919" t="s">
        <v>7551</v>
      </c>
      <c r="G6919">
        <v>0</v>
      </c>
      <c r="H6919">
        <v>0</v>
      </c>
      <c r="I6919">
        <v>0</v>
      </c>
      <c r="J6919">
        <v>0</v>
      </c>
      <c r="K6919">
        <v>0</v>
      </c>
      <c r="L6919">
        <v>0</v>
      </c>
      <c r="M6919">
        <v>0</v>
      </c>
      <c r="N6919">
        <v>0</v>
      </c>
      <c r="O6919">
        <v>0</v>
      </c>
    </row>
    <row r="6920" spans="1:15" x14ac:dyDescent="0.35">
      <c r="A6920" t="s">
        <v>7544</v>
      </c>
      <c r="B6920" t="s">
        <v>7545</v>
      </c>
      <c r="C6920" t="s">
        <v>898</v>
      </c>
      <c r="D6920" t="s">
        <v>293</v>
      </c>
      <c r="E6920" t="s">
        <v>306</v>
      </c>
      <c r="F6920" t="s">
        <v>7552</v>
      </c>
      <c r="G6920">
        <v>0</v>
      </c>
      <c r="H6920">
        <v>0</v>
      </c>
      <c r="I6920">
        <v>0</v>
      </c>
      <c r="J6920">
        <v>0</v>
      </c>
      <c r="K6920">
        <v>0</v>
      </c>
      <c r="L6920">
        <v>0</v>
      </c>
      <c r="M6920">
        <v>0</v>
      </c>
      <c r="N6920">
        <v>0</v>
      </c>
      <c r="O6920">
        <v>0</v>
      </c>
    </row>
    <row r="6921" spans="1:15" x14ac:dyDescent="0.35">
      <c r="A6921" t="s">
        <v>7544</v>
      </c>
      <c r="B6921" t="s">
        <v>7545</v>
      </c>
      <c r="C6921" t="s">
        <v>898</v>
      </c>
      <c r="D6921" t="s">
        <v>293</v>
      </c>
      <c r="E6921" t="s">
        <v>308</v>
      </c>
      <c r="F6921" t="s">
        <v>7553</v>
      </c>
      <c r="G6921">
        <v>0</v>
      </c>
      <c r="H6921">
        <v>0</v>
      </c>
      <c r="I6921">
        <v>0</v>
      </c>
      <c r="J6921">
        <v>0</v>
      </c>
      <c r="K6921">
        <v>0</v>
      </c>
      <c r="L6921">
        <v>0</v>
      </c>
      <c r="M6921">
        <v>0</v>
      </c>
      <c r="N6921">
        <v>0</v>
      </c>
      <c r="O6921">
        <v>0</v>
      </c>
    </row>
    <row r="6922" spans="1:15" x14ac:dyDescent="0.35">
      <c r="A6922" t="s">
        <v>7544</v>
      </c>
      <c r="B6922" t="s">
        <v>7545</v>
      </c>
      <c r="C6922" t="s">
        <v>898</v>
      </c>
      <c r="D6922" t="s">
        <v>293</v>
      </c>
      <c r="E6922" t="s">
        <v>310</v>
      </c>
      <c r="F6922" t="s">
        <v>7554</v>
      </c>
      <c r="G6922">
        <v>717</v>
      </c>
      <c r="H6922">
        <v>105824.02999999998</v>
      </c>
      <c r="I6922">
        <v>147.59</v>
      </c>
      <c r="J6922">
        <v>0</v>
      </c>
      <c r="K6922">
        <v>0</v>
      </c>
      <c r="L6922">
        <v>0</v>
      </c>
      <c r="M6922">
        <v>717</v>
      </c>
      <c r="N6922">
        <v>105824.02999999998</v>
      </c>
      <c r="O6922">
        <v>147.59</v>
      </c>
    </row>
    <row r="6923" spans="1:15" x14ac:dyDescent="0.35">
      <c r="A6923" t="s">
        <v>7544</v>
      </c>
      <c r="B6923" t="s">
        <v>7545</v>
      </c>
      <c r="C6923" t="s">
        <v>898</v>
      </c>
      <c r="D6923" t="s">
        <v>293</v>
      </c>
      <c r="E6923" t="s">
        <v>312</v>
      </c>
      <c r="F6923" t="s">
        <v>7555</v>
      </c>
      <c r="G6923">
        <v>717</v>
      </c>
      <c r="H6923">
        <v>105824.02999999998</v>
      </c>
      <c r="I6923">
        <v>147.59</v>
      </c>
      <c r="J6923">
        <v>0</v>
      </c>
      <c r="K6923">
        <v>0</v>
      </c>
      <c r="L6923">
        <v>0</v>
      </c>
      <c r="M6923">
        <v>717</v>
      </c>
      <c r="N6923">
        <v>105824.02999999998</v>
      </c>
      <c r="O6923">
        <v>147.59</v>
      </c>
    </row>
    <row r="6924" spans="1:15" x14ac:dyDescent="0.35">
      <c r="A6924" t="s">
        <v>7544</v>
      </c>
      <c r="B6924" t="s">
        <v>7545</v>
      </c>
      <c r="C6924" t="s">
        <v>898</v>
      </c>
      <c r="D6924" t="s">
        <v>314</v>
      </c>
      <c r="E6924" t="s">
        <v>294</v>
      </c>
      <c r="F6924" t="s">
        <v>7556</v>
      </c>
      <c r="G6924">
        <v>9</v>
      </c>
      <c r="H6924">
        <v>1375.38</v>
      </c>
      <c r="I6924">
        <v>152.82</v>
      </c>
      <c r="J6924">
        <v>0</v>
      </c>
      <c r="K6924">
        <v>0</v>
      </c>
      <c r="L6924">
        <v>0</v>
      </c>
      <c r="M6924">
        <v>9</v>
      </c>
      <c r="N6924">
        <v>1375.38</v>
      </c>
      <c r="O6924">
        <v>152.82</v>
      </c>
    </row>
    <row r="6925" spans="1:15" x14ac:dyDescent="0.35">
      <c r="A6925" t="s">
        <v>7544</v>
      </c>
      <c r="B6925" t="s">
        <v>7545</v>
      </c>
      <c r="C6925" t="s">
        <v>898</v>
      </c>
      <c r="D6925" t="s">
        <v>314</v>
      </c>
      <c r="E6925" t="s">
        <v>296</v>
      </c>
      <c r="F6925" t="s">
        <v>7557</v>
      </c>
      <c r="G6925">
        <v>0</v>
      </c>
      <c r="H6925">
        <v>0</v>
      </c>
      <c r="I6925">
        <v>0</v>
      </c>
      <c r="J6925">
        <v>0</v>
      </c>
      <c r="K6925">
        <v>0</v>
      </c>
      <c r="L6925">
        <v>0</v>
      </c>
      <c r="M6925">
        <v>0</v>
      </c>
      <c r="N6925">
        <v>0</v>
      </c>
      <c r="O6925">
        <v>0</v>
      </c>
    </row>
    <row r="6926" spans="1:15" x14ac:dyDescent="0.35">
      <c r="A6926" t="s">
        <v>7544</v>
      </c>
      <c r="B6926" t="s">
        <v>7545</v>
      </c>
      <c r="C6926" t="s">
        <v>898</v>
      </c>
      <c r="D6926" t="s">
        <v>314</v>
      </c>
      <c r="E6926" t="s">
        <v>298</v>
      </c>
      <c r="F6926" t="s">
        <v>7558</v>
      </c>
      <c r="G6926">
        <v>0</v>
      </c>
      <c r="H6926">
        <v>0</v>
      </c>
      <c r="I6926">
        <v>0</v>
      </c>
      <c r="J6926">
        <v>0</v>
      </c>
      <c r="K6926">
        <v>0</v>
      </c>
      <c r="L6926">
        <v>0</v>
      </c>
      <c r="M6926">
        <v>0</v>
      </c>
      <c r="N6926">
        <v>0</v>
      </c>
      <c r="O6926">
        <v>0</v>
      </c>
    </row>
    <row r="6927" spans="1:15" x14ac:dyDescent="0.35">
      <c r="A6927" t="s">
        <v>7544</v>
      </c>
      <c r="B6927" t="s">
        <v>7545</v>
      </c>
      <c r="C6927" t="s">
        <v>898</v>
      </c>
      <c r="D6927" t="s">
        <v>314</v>
      </c>
      <c r="E6927" t="s">
        <v>300</v>
      </c>
      <c r="F6927" t="s">
        <v>7559</v>
      </c>
      <c r="G6927">
        <v>0</v>
      </c>
      <c r="H6927">
        <v>0</v>
      </c>
      <c r="I6927">
        <v>0</v>
      </c>
      <c r="J6927">
        <v>0</v>
      </c>
      <c r="K6927">
        <v>0</v>
      </c>
      <c r="L6927">
        <v>0</v>
      </c>
      <c r="M6927">
        <v>0</v>
      </c>
      <c r="N6927">
        <v>0</v>
      </c>
      <c r="O6927">
        <v>0</v>
      </c>
    </row>
    <row r="6928" spans="1:15" x14ac:dyDescent="0.35">
      <c r="A6928" t="s">
        <v>7544</v>
      </c>
      <c r="B6928" t="s">
        <v>7545</v>
      </c>
      <c r="C6928" t="s">
        <v>898</v>
      </c>
      <c r="D6928" t="s">
        <v>314</v>
      </c>
      <c r="E6928" t="s">
        <v>306</v>
      </c>
      <c r="F6928" t="s">
        <v>7560</v>
      </c>
      <c r="G6928">
        <v>0</v>
      </c>
      <c r="H6928">
        <v>0</v>
      </c>
      <c r="I6928">
        <v>0</v>
      </c>
      <c r="J6928">
        <v>0</v>
      </c>
      <c r="K6928">
        <v>0</v>
      </c>
      <c r="L6928">
        <v>0</v>
      </c>
      <c r="M6928">
        <v>0</v>
      </c>
      <c r="N6928">
        <v>0</v>
      </c>
      <c r="O6928">
        <v>0</v>
      </c>
    </row>
    <row r="6929" spans="1:15" x14ac:dyDescent="0.35">
      <c r="A6929" t="s">
        <v>7544</v>
      </c>
      <c r="B6929" t="s">
        <v>7545</v>
      </c>
      <c r="C6929" t="s">
        <v>898</v>
      </c>
      <c r="D6929" t="s">
        <v>314</v>
      </c>
      <c r="E6929" t="s">
        <v>308</v>
      </c>
      <c r="F6929" t="s">
        <v>7561</v>
      </c>
      <c r="G6929">
        <v>0</v>
      </c>
      <c r="H6929">
        <v>0</v>
      </c>
      <c r="I6929">
        <v>0</v>
      </c>
      <c r="J6929">
        <v>0</v>
      </c>
      <c r="K6929">
        <v>0</v>
      </c>
      <c r="L6929">
        <v>0</v>
      </c>
      <c r="M6929">
        <v>0</v>
      </c>
      <c r="N6929">
        <v>0</v>
      </c>
      <c r="O6929">
        <v>0</v>
      </c>
    </row>
    <row r="6930" spans="1:15" x14ac:dyDescent="0.35">
      <c r="A6930" t="s">
        <v>7544</v>
      </c>
      <c r="B6930" t="s">
        <v>7545</v>
      </c>
      <c r="C6930" t="s">
        <v>898</v>
      </c>
      <c r="D6930" t="s">
        <v>314</v>
      </c>
      <c r="E6930" t="s">
        <v>312</v>
      </c>
      <c r="F6930" t="s">
        <v>7562</v>
      </c>
      <c r="G6930">
        <v>9</v>
      </c>
      <c r="H6930">
        <v>1375.38</v>
      </c>
      <c r="I6930">
        <v>152.82</v>
      </c>
      <c r="J6930">
        <v>0</v>
      </c>
      <c r="K6930">
        <v>0</v>
      </c>
      <c r="L6930">
        <v>0</v>
      </c>
      <c r="M6930">
        <v>9</v>
      </c>
      <c r="N6930">
        <v>1375.38</v>
      </c>
      <c r="O6930">
        <v>152.82</v>
      </c>
    </row>
    <row r="6931" spans="1:15" x14ac:dyDescent="0.35">
      <c r="A6931" t="s">
        <v>7544</v>
      </c>
      <c r="B6931" t="s">
        <v>7545</v>
      </c>
      <c r="C6931" t="s">
        <v>898</v>
      </c>
      <c r="D6931" t="s">
        <v>314</v>
      </c>
      <c r="E6931" t="s">
        <v>310</v>
      </c>
      <c r="F6931" t="s">
        <v>7563</v>
      </c>
      <c r="G6931">
        <v>9</v>
      </c>
      <c r="H6931">
        <v>1375.38</v>
      </c>
      <c r="I6931">
        <v>152.82</v>
      </c>
      <c r="J6931">
        <v>0</v>
      </c>
      <c r="K6931">
        <v>0</v>
      </c>
      <c r="L6931">
        <v>0</v>
      </c>
      <c r="M6931">
        <v>9</v>
      </c>
      <c r="N6931">
        <v>1375.38</v>
      </c>
      <c r="O6931">
        <v>152.82</v>
      </c>
    </row>
    <row r="6932" spans="1:15" x14ac:dyDescent="0.35">
      <c r="A6932" t="s">
        <v>7544</v>
      </c>
      <c r="B6932" t="s">
        <v>7545</v>
      </c>
      <c r="C6932" t="s">
        <v>898</v>
      </c>
      <c r="D6932" t="s">
        <v>323</v>
      </c>
      <c r="E6932" t="s">
        <v>294</v>
      </c>
      <c r="F6932" t="s">
        <v>7564</v>
      </c>
      <c r="G6932">
        <v>333</v>
      </c>
      <c r="H6932">
        <v>32749.540000000005</v>
      </c>
      <c r="I6932">
        <v>98.35</v>
      </c>
      <c r="J6932">
        <v>0</v>
      </c>
      <c r="K6932">
        <v>0</v>
      </c>
      <c r="L6932">
        <v>0</v>
      </c>
      <c r="M6932">
        <v>333</v>
      </c>
      <c r="N6932">
        <v>32749.540000000005</v>
      </c>
      <c r="O6932">
        <v>98.35</v>
      </c>
    </row>
    <row r="6933" spans="1:15" x14ac:dyDescent="0.35">
      <c r="A6933" t="s">
        <v>7544</v>
      </c>
      <c r="B6933" t="s">
        <v>7545</v>
      </c>
      <c r="C6933" t="s">
        <v>898</v>
      </c>
      <c r="D6933" t="s">
        <v>323</v>
      </c>
      <c r="E6933" t="s">
        <v>296</v>
      </c>
      <c r="F6933" t="s">
        <v>7565</v>
      </c>
      <c r="G6933">
        <v>1136</v>
      </c>
      <c r="H6933">
        <v>129295.24</v>
      </c>
      <c r="I6933">
        <v>113.82</v>
      </c>
      <c r="J6933">
        <v>0</v>
      </c>
      <c r="K6933">
        <v>0</v>
      </c>
      <c r="L6933">
        <v>0</v>
      </c>
      <c r="M6933">
        <v>1136</v>
      </c>
      <c r="N6933">
        <v>129295.24</v>
      </c>
      <c r="O6933">
        <v>113.82</v>
      </c>
    </row>
    <row r="6934" spans="1:15" x14ac:dyDescent="0.35">
      <c r="A6934" t="s">
        <v>7544</v>
      </c>
      <c r="B6934" t="s">
        <v>7545</v>
      </c>
      <c r="C6934" t="s">
        <v>898</v>
      </c>
      <c r="D6934" t="s">
        <v>323</v>
      </c>
      <c r="E6934" t="s">
        <v>298</v>
      </c>
      <c r="F6934" t="s">
        <v>7566</v>
      </c>
      <c r="G6934">
        <v>1358</v>
      </c>
      <c r="H6934">
        <v>173124.16999999995</v>
      </c>
      <c r="I6934">
        <v>127.48</v>
      </c>
      <c r="J6934">
        <v>0</v>
      </c>
      <c r="K6934">
        <v>0</v>
      </c>
      <c r="L6934">
        <v>0</v>
      </c>
      <c r="M6934">
        <v>1358</v>
      </c>
      <c r="N6934">
        <v>173124.16999999995</v>
      </c>
      <c r="O6934">
        <v>127.48</v>
      </c>
    </row>
    <row r="6935" spans="1:15" x14ac:dyDescent="0.35">
      <c r="A6935" t="s">
        <v>7544</v>
      </c>
      <c r="B6935" t="s">
        <v>7545</v>
      </c>
      <c r="C6935" t="s">
        <v>898</v>
      </c>
      <c r="D6935" t="s">
        <v>323</v>
      </c>
      <c r="E6935" t="s">
        <v>300</v>
      </c>
      <c r="F6935" t="s">
        <v>7567</v>
      </c>
      <c r="G6935">
        <v>114</v>
      </c>
      <c r="H6935">
        <v>16094.3</v>
      </c>
      <c r="I6935">
        <v>141.18</v>
      </c>
      <c r="J6935">
        <v>0</v>
      </c>
      <c r="K6935">
        <v>0</v>
      </c>
      <c r="L6935">
        <v>0</v>
      </c>
      <c r="M6935">
        <v>114</v>
      </c>
      <c r="N6935">
        <v>16094.3</v>
      </c>
      <c r="O6935">
        <v>141.18</v>
      </c>
    </row>
    <row r="6936" spans="1:15" x14ac:dyDescent="0.35">
      <c r="A6936" t="s">
        <v>7544</v>
      </c>
      <c r="B6936" t="s">
        <v>7545</v>
      </c>
      <c r="C6936" t="s">
        <v>898</v>
      </c>
      <c r="D6936" t="s">
        <v>323</v>
      </c>
      <c r="E6936" t="s">
        <v>302</v>
      </c>
      <c r="F6936" t="s">
        <v>7568</v>
      </c>
      <c r="G6936">
        <v>1</v>
      </c>
      <c r="H6936">
        <v>177.38</v>
      </c>
      <c r="I6936">
        <v>177.38</v>
      </c>
      <c r="J6936">
        <v>0</v>
      </c>
      <c r="K6936">
        <v>0</v>
      </c>
      <c r="L6936">
        <v>0</v>
      </c>
      <c r="M6936">
        <v>1</v>
      </c>
      <c r="N6936">
        <v>177.38</v>
      </c>
      <c r="O6936">
        <v>177.38</v>
      </c>
    </row>
    <row r="6937" spans="1:15" x14ac:dyDescent="0.35">
      <c r="A6937" t="s">
        <v>7544</v>
      </c>
      <c r="B6937" t="s">
        <v>7545</v>
      </c>
      <c r="C6937" t="s">
        <v>898</v>
      </c>
      <c r="D6937" t="s">
        <v>323</v>
      </c>
      <c r="E6937" t="s">
        <v>304</v>
      </c>
      <c r="F6937" t="s">
        <v>7569</v>
      </c>
      <c r="G6937">
        <v>0</v>
      </c>
      <c r="H6937">
        <v>0</v>
      </c>
      <c r="I6937">
        <v>0</v>
      </c>
      <c r="J6937">
        <v>0</v>
      </c>
      <c r="K6937">
        <v>0</v>
      </c>
      <c r="L6937">
        <v>0</v>
      </c>
      <c r="M6937">
        <v>0</v>
      </c>
      <c r="N6937">
        <v>0</v>
      </c>
      <c r="O6937">
        <v>0</v>
      </c>
    </row>
    <row r="6938" spans="1:15" x14ac:dyDescent="0.35">
      <c r="A6938" t="s">
        <v>7544</v>
      </c>
      <c r="B6938" t="s">
        <v>7545</v>
      </c>
      <c r="C6938" t="s">
        <v>898</v>
      </c>
      <c r="D6938" t="s">
        <v>323</v>
      </c>
      <c r="E6938" t="s">
        <v>306</v>
      </c>
      <c r="F6938" t="s">
        <v>7570</v>
      </c>
      <c r="G6938">
        <v>5</v>
      </c>
      <c r="H6938">
        <v>444.91000000000008</v>
      </c>
      <c r="I6938">
        <v>88.98</v>
      </c>
      <c r="J6938">
        <v>0</v>
      </c>
      <c r="K6938">
        <v>0</v>
      </c>
      <c r="L6938">
        <v>0</v>
      </c>
      <c r="M6938">
        <v>5</v>
      </c>
      <c r="N6938">
        <v>444.91000000000008</v>
      </c>
      <c r="O6938">
        <v>88.98</v>
      </c>
    </row>
    <row r="6939" spans="1:15" x14ac:dyDescent="0.35">
      <c r="A6939" t="s">
        <v>7544</v>
      </c>
      <c r="B6939" t="s">
        <v>7545</v>
      </c>
      <c r="C6939" t="s">
        <v>898</v>
      </c>
      <c r="D6939" t="s">
        <v>323</v>
      </c>
      <c r="E6939" t="s">
        <v>308</v>
      </c>
      <c r="F6939" t="s">
        <v>7571</v>
      </c>
      <c r="G6939">
        <v>0</v>
      </c>
      <c r="H6939">
        <v>0</v>
      </c>
      <c r="I6939">
        <v>0</v>
      </c>
      <c r="J6939">
        <v>0</v>
      </c>
      <c r="K6939">
        <v>0</v>
      </c>
      <c r="L6939">
        <v>0</v>
      </c>
      <c r="M6939">
        <v>0</v>
      </c>
      <c r="N6939">
        <v>0</v>
      </c>
      <c r="O6939">
        <v>0</v>
      </c>
    </row>
    <row r="6940" spans="1:15" x14ac:dyDescent="0.35">
      <c r="A6940" t="s">
        <v>7544</v>
      </c>
      <c r="B6940" t="s">
        <v>7545</v>
      </c>
      <c r="C6940" t="s">
        <v>898</v>
      </c>
      <c r="D6940" t="s">
        <v>323</v>
      </c>
      <c r="E6940" t="s">
        <v>310</v>
      </c>
      <c r="F6940" t="s">
        <v>7572</v>
      </c>
      <c r="G6940">
        <v>2947</v>
      </c>
      <c r="H6940">
        <v>351885.53999999992</v>
      </c>
      <c r="I6940">
        <v>119.4</v>
      </c>
      <c r="J6940">
        <v>0</v>
      </c>
      <c r="K6940">
        <v>0</v>
      </c>
      <c r="L6940">
        <v>0</v>
      </c>
      <c r="M6940">
        <v>2947</v>
      </c>
      <c r="N6940">
        <v>351885.53999999992</v>
      </c>
      <c r="O6940">
        <v>119.4</v>
      </c>
    </row>
    <row r="6941" spans="1:15" x14ac:dyDescent="0.35">
      <c r="A6941" t="s">
        <v>7544</v>
      </c>
      <c r="B6941" t="s">
        <v>7545</v>
      </c>
      <c r="C6941" t="s">
        <v>898</v>
      </c>
      <c r="D6941" t="s">
        <v>323</v>
      </c>
      <c r="E6941" t="s">
        <v>312</v>
      </c>
      <c r="F6941" t="s">
        <v>7573</v>
      </c>
      <c r="G6941">
        <v>2947</v>
      </c>
      <c r="H6941">
        <v>351885.53999999992</v>
      </c>
      <c r="I6941">
        <v>119.4</v>
      </c>
      <c r="J6941">
        <v>0</v>
      </c>
      <c r="K6941">
        <v>0</v>
      </c>
      <c r="L6941">
        <v>0</v>
      </c>
      <c r="M6941">
        <v>2947</v>
      </c>
      <c r="N6941">
        <v>351885.53999999992</v>
      </c>
      <c r="O6941">
        <v>119.4</v>
      </c>
    </row>
    <row r="6942" spans="1:15" x14ac:dyDescent="0.35">
      <c r="A6942" t="s">
        <v>7544</v>
      </c>
      <c r="B6942" t="s">
        <v>7545</v>
      </c>
      <c r="C6942" t="s">
        <v>898</v>
      </c>
      <c r="D6942" t="s">
        <v>334</v>
      </c>
      <c r="E6942" t="s">
        <v>312</v>
      </c>
      <c r="F6942" t="s">
        <v>7574</v>
      </c>
      <c r="G6942">
        <v>3679</v>
      </c>
      <c r="H6942">
        <v>457709.56999999995</v>
      </c>
      <c r="I6942">
        <v>124.92</v>
      </c>
      <c r="J6942">
        <v>0</v>
      </c>
      <c r="K6942">
        <v>0</v>
      </c>
      <c r="L6942">
        <v>0</v>
      </c>
      <c r="M6942">
        <v>3679</v>
      </c>
      <c r="N6942">
        <v>457709.56999999995</v>
      </c>
      <c r="O6942">
        <v>124.92</v>
      </c>
    </row>
    <row r="6943" spans="1:15" x14ac:dyDescent="0.35">
      <c r="A6943" t="s">
        <v>7544</v>
      </c>
      <c r="B6943" t="s">
        <v>7545</v>
      </c>
      <c r="C6943" t="s">
        <v>898</v>
      </c>
      <c r="D6943" t="s">
        <v>334</v>
      </c>
      <c r="E6943" t="s">
        <v>308</v>
      </c>
      <c r="F6943" t="s">
        <v>7575</v>
      </c>
      <c r="G6943">
        <v>0</v>
      </c>
      <c r="H6943">
        <v>0</v>
      </c>
      <c r="I6943">
        <v>0</v>
      </c>
      <c r="J6943">
        <v>0</v>
      </c>
      <c r="K6943">
        <v>0</v>
      </c>
      <c r="L6943">
        <v>0</v>
      </c>
      <c r="M6943">
        <v>0</v>
      </c>
      <c r="N6943">
        <v>0</v>
      </c>
      <c r="O6943">
        <v>0</v>
      </c>
    </row>
    <row r="6944" spans="1:15" x14ac:dyDescent="0.35">
      <c r="A6944" t="s">
        <v>7544</v>
      </c>
      <c r="B6944" t="s">
        <v>7545</v>
      </c>
      <c r="C6944" t="s">
        <v>898</v>
      </c>
      <c r="D6944" t="s">
        <v>337</v>
      </c>
      <c r="E6944" t="s">
        <v>337</v>
      </c>
      <c r="F6944" t="s">
        <v>7576</v>
      </c>
      <c r="G6944">
        <v>953</v>
      </c>
      <c r="J6944">
        <v>0</v>
      </c>
      <c r="M6944">
        <v>953</v>
      </c>
    </row>
    <row r="6945" spans="1:15" x14ac:dyDescent="0.35">
      <c r="A6945" t="s">
        <v>7544</v>
      </c>
      <c r="B6945" t="s">
        <v>7545</v>
      </c>
      <c r="C6945" t="s">
        <v>898</v>
      </c>
      <c r="D6945" t="s">
        <v>339</v>
      </c>
      <c r="E6945" t="s">
        <v>294</v>
      </c>
      <c r="F6945" t="s">
        <v>7577</v>
      </c>
      <c r="G6945">
        <v>687</v>
      </c>
      <c r="H6945">
        <v>75776.539999999994</v>
      </c>
      <c r="I6945">
        <v>110.3</v>
      </c>
      <c r="J6945">
        <v>0</v>
      </c>
      <c r="K6945">
        <v>0</v>
      </c>
      <c r="L6945">
        <v>0</v>
      </c>
      <c r="M6945">
        <v>687</v>
      </c>
      <c r="N6945">
        <v>75776.539999999994</v>
      </c>
      <c r="O6945">
        <v>110.3</v>
      </c>
    </row>
    <row r="6946" spans="1:15" x14ac:dyDescent="0.35">
      <c r="A6946" t="s">
        <v>7544</v>
      </c>
      <c r="B6946" t="s">
        <v>7545</v>
      </c>
      <c r="C6946" t="s">
        <v>898</v>
      </c>
      <c r="D6946" t="s">
        <v>339</v>
      </c>
      <c r="E6946" t="s">
        <v>296</v>
      </c>
      <c r="F6946" t="s">
        <v>7578</v>
      </c>
      <c r="G6946">
        <v>652</v>
      </c>
      <c r="H6946">
        <v>80835.399999999994</v>
      </c>
      <c r="I6946">
        <v>123.98</v>
      </c>
      <c r="J6946">
        <v>0</v>
      </c>
      <c r="K6946">
        <v>0</v>
      </c>
      <c r="L6946">
        <v>0</v>
      </c>
      <c r="M6946">
        <v>652</v>
      </c>
      <c r="N6946">
        <v>80835.399999999994</v>
      </c>
      <c r="O6946">
        <v>123.98</v>
      </c>
    </row>
    <row r="6947" spans="1:15" x14ac:dyDescent="0.35">
      <c r="A6947" t="s">
        <v>7544</v>
      </c>
      <c r="B6947" t="s">
        <v>7545</v>
      </c>
      <c r="C6947" t="s">
        <v>898</v>
      </c>
      <c r="D6947" t="s">
        <v>339</v>
      </c>
      <c r="E6947" t="s">
        <v>298</v>
      </c>
      <c r="F6947" t="s">
        <v>7579</v>
      </c>
      <c r="G6947">
        <v>4</v>
      </c>
      <c r="H6947">
        <v>544.7399999999999</v>
      </c>
      <c r="I6947">
        <v>136.19</v>
      </c>
      <c r="J6947">
        <v>0</v>
      </c>
      <c r="K6947">
        <v>0</v>
      </c>
      <c r="L6947">
        <v>0</v>
      </c>
      <c r="M6947">
        <v>4</v>
      </c>
      <c r="N6947">
        <v>544.7399999999999</v>
      </c>
      <c r="O6947">
        <v>136.19</v>
      </c>
    </row>
    <row r="6948" spans="1:15" x14ac:dyDescent="0.35">
      <c r="A6948" t="s">
        <v>7544</v>
      </c>
      <c r="B6948" t="s">
        <v>7545</v>
      </c>
      <c r="C6948" t="s">
        <v>898</v>
      </c>
      <c r="D6948" t="s">
        <v>339</v>
      </c>
      <c r="E6948" t="s">
        <v>300</v>
      </c>
      <c r="F6948" t="s">
        <v>7580</v>
      </c>
      <c r="G6948">
        <v>0</v>
      </c>
      <c r="H6948">
        <v>0</v>
      </c>
      <c r="I6948">
        <v>0</v>
      </c>
      <c r="J6948">
        <v>0</v>
      </c>
      <c r="K6948">
        <v>0</v>
      </c>
      <c r="L6948">
        <v>0</v>
      </c>
      <c r="M6948">
        <v>0</v>
      </c>
      <c r="N6948">
        <v>0</v>
      </c>
      <c r="O6948">
        <v>0</v>
      </c>
    </row>
    <row r="6949" spans="1:15" x14ac:dyDescent="0.35">
      <c r="A6949" t="s">
        <v>7544</v>
      </c>
      <c r="B6949" t="s">
        <v>7545</v>
      </c>
      <c r="C6949" t="s">
        <v>898</v>
      </c>
      <c r="D6949" t="s">
        <v>339</v>
      </c>
      <c r="E6949" t="s">
        <v>306</v>
      </c>
      <c r="F6949" t="s">
        <v>7581</v>
      </c>
      <c r="G6949">
        <v>44</v>
      </c>
      <c r="H6949">
        <v>3613.8099999999995</v>
      </c>
      <c r="I6949">
        <v>82.13</v>
      </c>
      <c r="J6949">
        <v>0</v>
      </c>
      <c r="K6949">
        <v>0</v>
      </c>
      <c r="L6949">
        <v>0</v>
      </c>
      <c r="M6949">
        <v>44</v>
      </c>
      <c r="N6949">
        <v>3613.8099999999995</v>
      </c>
      <c r="O6949">
        <v>82.13</v>
      </c>
    </row>
    <row r="6950" spans="1:15" x14ac:dyDescent="0.35">
      <c r="A6950" t="s">
        <v>7544</v>
      </c>
      <c r="B6950" t="s">
        <v>7545</v>
      </c>
      <c r="C6950" t="s">
        <v>898</v>
      </c>
      <c r="D6950" t="s">
        <v>339</v>
      </c>
      <c r="E6950" t="s">
        <v>308</v>
      </c>
      <c r="F6950" t="s">
        <v>7582</v>
      </c>
      <c r="G6950">
        <v>59</v>
      </c>
      <c r="H6950">
        <v>10912.63</v>
      </c>
      <c r="I6950">
        <v>184.96</v>
      </c>
      <c r="J6950">
        <v>0</v>
      </c>
      <c r="K6950">
        <v>0</v>
      </c>
      <c r="L6950">
        <v>0</v>
      </c>
      <c r="M6950">
        <v>59</v>
      </c>
      <c r="N6950">
        <v>10912.63</v>
      </c>
      <c r="O6950">
        <v>184.96</v>
      </c>
    </row>
    <row r="6951" spans="1:15" x14ac:dyDescent="0.35">
      <c r="A6951" t="s">
        <v>7544</v>
      </c>
      <c r="B6951" t="s">
        <v>7545</v>
      </c>
      <c r="C6951" t="s">
        <v>898</v>
      </c>
      <c r="D6951" t="s">
        <v>339</v>
      </c>
      <c r="E6951" t="s">
        <v>310</v>
      </c>
      <c r="F6951" t="s">
        <v>7583</v>
      </c>
      <c r="G6951">
        <v>1446</v>
      </c>
      <c r="H6951">
        <v>171683.12</v>
      </c>
      <c r="I6951">
        <v>118.73</v>
      </c>
      <c r="J6951">
        <v>0</v>
      </c>
      <c r="K6951">
        <v>0</v>
      </c>
      <c r="L6951">
        <v>0</v>
      </c>
      <c r="M6951">
        <v>1446</v>
      </c>
      <c r="N6951">
        <v>171683.12</v>
      </c>
      <c r="O6951">
        <v>118.73</v>
      </c>
    </row>
    <row r="6952" spans="1:15" x14ac:dyDescent="0.35">
      <c r="A6952" t="s">
        <v>7544</v>
      </c>
      <c r="B6952" t="s">
        <v>7545</v>
      </c>
      <c r="C6952" t="s">
        <v>898</v>
      </c>
      <c r="D6952" t="s">
        <v>339</v>
      </c>
      <c r="E6952" t="s">
        <v>312</v>
      </c>
      <c r="F6952" t="s">
        <v>7584</v>
      </c>
      <c r="G6952">
        <v>1387</v>
      </c>
      <c r="H6952">
        <v>160770.49</v>
      </c>
      <c r="I6952">
        <v>115.91</v>
      </c>
      <c r="J6952">
        <v>0</v>
      </c>
      <c r="K6952">
        <v>0</v>
      </c>
      <c r="L6952">
        <v>0</v>
      </c>
      <c r="M6952">
        <v>1387</v>
      </c>
      <c r="N6952">
        <v>160770.49</v>
      </c>
      <c r="O6952">
        <v>115.91</v>
      </c>
    </row>
    <row r="6953" spans="1:15" x14ac:dyDescent="0.35">
      <c r="A6953" t="s">
        <v>7544</v>
      </c>
      <c r="B6953" t="s">
        <v>7545</v>
      </c>
      <c r="C6953" t="s">
        <v>898</v>
      </c>
      <c r="D6953" t="s">
        <v>348</v>
      </c>
      <c r="E6953" t="s">
        <v>349</v>
      </c>
      <c r="F6953" t="s">
        <v>7585</v>
      </c>
      <c r="G6953">
        <v>1474</v>
      </c>
      <c r="H6953">
        <v>173058.5</v>
      </c>
      <c r="I6953">
        <v>118.94</v>
      </c>
      <c r="J6953">
        <v>0</v>
      </c>
      <c r="K6953">
        <v>0</v>
      </c>
      <c r="L6953">
        <v>0</v>
      </c>
      <c r="M6953">
        <v>1474</v>
      </c>
      <c r="N6953">
        <v>173058.5</v>
      </c>
      <c r="O6953">
        <v>118.94</v>
      </c>
    </row>
    <row r="6954" spans="1:15" x14ac:dyDescent="0.35">
      <c r="A6954" t="s">
        <v>7586</v>
      </c>
      <c r="B6954" t="s">
        <v>7587</v>
      </c>
      <c r="C6954" t="s">
        <v>1644</v>
      </c>
      <c r="D6954" t="s">
        <v>293</v>
      </c>
      <c r="E6954" t="s">
        <v>294</v>
      </c>
      <c r="F6954" t="s">
        <v>7588</v>
      </c>
      <c r="G6954">
        <v>485</v>
      </c>
      <c r="H6954">
        <v>79000.34</v>
      </c>
      <c r="I6954">
        <v>162.88999999999999</v>
      </c>
      <c r="J6954">
        <v>21</v>
      </c>
      <c r="K6954">
        <v>2881.62</v>
      </c>
      <c r="L6954">
        <v>137.22</v>
      </c>
      <c r="M6954">
        <v>506</v>
      </c>
      <c r="N6954">
        <v>81881.959999999992</v>
      </c>
      <c r="O6954">
        <v>161.82</v>
      </c>
    </row>
    <row r="6955" spans="1:15" x14ac:dyDescent="0.35">
      <c r="A6955" t="s">
        <v>7586</v>
      </c>
      <c r="B6955" t="s">
        <v>7587</v>
      </c>
      <c r="C6955" t="s">
        <v>1644</v>
      </c>
      <c r="D6955" t="s">
        <v>293</v>
      </c>
      <c r="E6955" t="s">
        <v>296</v>
      </c>
      <c r="F6955" t="s">
        <v>7589</v>
      </c>
      <c r="G6955">
        <v>1165</v>
      </c>
      <c r="H6955">
        <v>226994.16</v>
      </c>
      <c r="I6955">
        <v>194.84</v>
      </c>
      <c r="J6955">
        <v>25</v>
      </c>
      <c r="K6955">
        <v>4515.5</v>
      </c>
      <c r="L6955">
        <v>180.62</v>
      </c>
      <c r="M6955">
        <v>1190</v>
      </c>
      <c r="N6955">
        <v>231509.66</v>
      </c>
      <c r="O6955">
        <v>194.55</v>
      </c>
    </row>
    <row r="6956" spans="1:15" x14ac:dyDescent="0.35">
      <c r="A6956" t="s">
        <v>7586</v>
      </c>
      <c r="B6956" t="s">
        <v>7587</v>
      </c>
      <c r="C6956" t="s">
        <v>1644</v>
      </c>
      <c r="D6956" t="s">
        <v>293</v>
      </c>
      <c r="E6956" t="s">
        <v>298</v>
      </c>
      <c r="F6956" t="s">
        <v>7590</v>
      </c>
      <c r="G6956">
        <v>768</v>
      </c>
      <c r="H6956">
        <v>168630.82</v>
      </c>
      <c r="I6956">
        <v>219.57</v>
      </c>
      <c r="J6956">
        <v>3</v>
      </c>
      <c r="K6956">
        <v>615.81000000000006</v>
      </c>
      <c r="L6956">
        <v>205.27</v>
      </c>
      <c r="M6956">
        <v>771</v>
      </c>
      <c r="N6956">
        <v>169246.63</v>
      </c>
      <c r="O6956">
        <v>219.52</v>
      </c>
    </row>
    <row r="6957" spans="1:15" x14ac:dyDescent="0.35">
      <c r="A6957" t="s">
        <v>7586</v>
      </c>
      <c r="B6957" t="s">
        <v>7587</v>
      </c>
      <c r="C6957" t="s">
        <v>1644</v>
      </c>
      <c r="D6957" t="s">
        <v>293</v>
      </c>
      <c r="E6957" t="s">
        <v>300</v>
      </c>
      <c r="F6957" t="s">
        <v>7591</v>
      </c>
      <c r="G6957">
        <v>110</v>
      </c>
      <c r="H6957">
        <v>31668.57</v>
      </c>
      <c r="I6957">
        <v>287.89999999999998</v>
      </c>
      <c r="J6957">
        <v>2</v>
      </c>
      <c r="K6957">
        <v>687.82</v>
      </c>
      <c r="L6957">
        <v>343.91</v>
      </c>
      <c r="M6957">
        <v>112</v>
      </c>
      <c r="N6957">
        <v>32356.39</v>
      </c>
      <c r="O6957">
        <v>288.89999999999998</v>
      </c>
    </row>
    <row r="6958" spans="1:15" x14ac:dyDescent="0.35">
      <c r="A6958" t="s">
        <v>7586</v>
      </c>
      <c r="B6958" t="s">
        <v>7587</v>
      </c>
      <c r="C6958" t="s">
        <v>1644</v>
      </c>
      <c r="D6958" t="s">
        <v>293</v>
      </c>
      <c r="E6958" t="s">
        <v>302</v>
      </c>
      <c r="F6958" t="s">
        <v>7592</v>
      </c>
      <c r="G6958">
        <v>0</v>
      </c>
      <c r="H6958">
        <v>0</v>
      </c>
      <c r="I6958">
        <v>0</v>
      </c>
      <c r="J6958">
        <v>0</v>
      </c>
      <c r="K6958">
        <v>0</v>
      </c>
      <c r="L6958">
        <v>0</v>
      </c>
      <c r="M6958">
        <v>0</v>
      </c>
      <c r="N6958">
        <v>0</v>
      </c>
      <c r="O6958">
        <v>0</v>
      </c>
    </row>
    <row r="6959" spans="1:15" x14ac:dyDescent="0.35">
      <c r="A6959" t="s">
        <v>7586</v>
      </c>
      <c r="B6959" t="s">
        <v>7587</v>
      </c>
      <c r="C6959" t="s">
        <v>1644</v>
      </c>
      <c r="D6959" t="s">
        <v>293</v>
      </c>
      <c r="E6959" t="s">
        <v>304</v>
      </c>
      <c r="F6959" t="s">
        <v>7593</v>
      </c>
      <c r="G6959">
        <v>0</v>
      </c>
      <c r="H6959">
        <v>0</v>
      </c>
      <c r="I6959">
        <v>0</v>
      </c>
      <c r="J6959">
        <v>0</v>
      </c>
      <c r="K6959">
        <v>0</v>
      </c>
      <c r="L6959">
        <v>0</v>
      </c>
      <c r="M6959">
        <v>0</v>
      </c>
      <c r="N6959">
        <v>0</v>
      </c>
      <c r="O6959">
        <v>0</v>
      </c>
    </row>
    <row r="6960" spans="1:15" x14ac:dyDescent="0.35">
      <c r="A6960" t="s">
        <v>7586</v>
      </c>
      <c r="B6960" t="s">
        <v>7587</v>
      </c>
      <c r="C6960" t="s">
        <v>1644</v>
      </c>
      <c r="D6960" t="s">
        <v>293</v>
      </c>
      <c r="E6960" t="s">
        <v>306</v>
      </c>
      <c r="F6960" t="s">
        <v>7594</v>
      </c>
      <c r="G6960">
        <v>0</v>
      </c>
      <c r="H6960">
        <v>0</v>
      </c>
      <c r="I6960">
        <v>0</v>
      </c>
      <c r="J6960">
        <v>0</v>
      </c>
      <c r="K6960">
        <v>0</v>
      </c>
      <c r="L6960">
        <v>0</v>
      </c>
      <c r="M6960">
        <v>0</v>
      </c>
      <c r="N6960">
        <v>0</v>
      </c>
      <c r="O6960">
        <v>0</v>
      </c>
    </row>
    <row r="6961" spans="1:15" x14ac:dyDescent="0.35">
      <c r="A6961" t="s">
        <v>7586</v>
      </c>
      <c r="B6961" t="s">
        <v>7587</v>
      </c>
      <c r="C6961" t="s">
        <v>1644</v>
      </c>
      <c r="D6961" t="s">
        <v>293</v>
      </c>
      <c r="E6961" t="s">
        <v>308</v>
      </c>
      <c r="F6961" t="s">
        <v>7595</v>
      </c>
      <c r="G6961">
        <v>0</v>
      </c>
      <c r="H6961">
        <v>0</v>
      </c>
      <c r="I6961">
        <v>0</v>
      </c>
      <c r="J6961">
        <v>1</v>
      </c>
      <c r="K6961">
        <v>88.2</v>
      </c>
      <c r="L6961">
        <v>88.2</v>
      </c>
      <c r="M6961">
        <v>1</v>
      </c>
      <c r="N6961">
        <v>88.2</v>
      </c>
      <c r="O6961">
        <v>88.2</v>
      </c>
    </row>
    <row r="6962" spans="1:15" x14ac:dyDescent="0.35">
      <c r="A6962" t="s">
        <v>7586</v>
      </c>
      <c r="B6962" t="s">
        <v>7587</v>
      </c>
      <c r="C6962" t="s">
        <v>1644</v>
      </c>
      <c r="D6962" t="s">
        <v>293</v>
      </c>
      <c r="E6962" t="s">
        <v>310</v>
      </c>
      <c r="F6962" t="s">
        <v>7596</v>
      </c>
      <c r="G6962">
        <v>2528</v>
      </c>
      <c r="H6962">
        <v>506293.89</v>
      </c>
      <c r="I6962">
        <v>200.27</v>
      </c>
      <c r="J6962">
        <v>52</v>
      </c>
      <c r="K6962">
        <v>8788.9500000000007</v>
      </c>
      <c r="L6962">
        <v>169.02</v>
      </c>
      <c r="M6962">
        <v>2580</v>
      </c>
      <c r="N6962">
        <v>515082.84</v>
      </c>
      <c r="O6962">
        <v>199.64</v>
      </c>
    </row>
    <row r="6963" spans="1:15" x14ac:dyDescent="0.35">
      <c r="A6963" t="s">
        <v>7586</v>
      </c>
      <c r="B6963" t="s">
        <v>7587</v>
      </c>
      <c r="C6963" t="s">
        <v>1644</v>
      </c>
      <c r="D6963" t="s">
        <v>293</v>
      </c>
      <c r="E6963" t="s">
        <v>312</v>
      </c>
      <c r="F6963" t="s">
        <v>7597</v>
      </c>
      <c r="G6963">
        <v>2528</v>
      </c>
      <c r="H6963">
        <v>506293.89</v>
      </c>
      <c r="I6963">
        <v>200.27</v>
      </c>
      <c r="J6963">
        <v>51</v>
      </c>
      <c r="K6963">
        <v>8700.75</v>
      </c>
      <c r="L6963">
        <v>170.6</v>
      </c>
      <c r="M6963">
        <v>2579</v>
      </c>
      <c r="N6963">
        <v>514994.64</v>
      </c>
      <c r="O6963">
        <v>199.69</v>
      </c>
    </row>
    <row r="6964" spans="1:15" x14ac:dyDescent="0.35">
      <c r="A6964" t="s">
        <v>7586</v>
      </c>
      <c r="B6964" t="s">
        <v>7587</v>
      </c>
      <c r="C6964" t="s">
        <v>1644</v>
      </c>
      <c r="D6964" t="s">
        <v>314</v>
      </c>
      <c r="E6964" t="s">
        <v>294</v>
      </c>
      <c r="F6964" t="s">
        <v>7598</v>
      </c>
      <c r="G6964">
        <v>67</v>
      </c>
      <c r="H6964">
        <v>12109</v>
      </c>
      <c r="I6964">
        <v>180.73</v>
      </c>
      <c r="J6964">
        <v>22</v>
      </c>
      <c r="K6964">
        <v>6713.2999999999993</v>
      </c>
      <c r="L6964">
        <v>305.14999999999998</v>
      </c>
      <c r="M6964">
        <v>89</v>
      </c>
      <c r="N6964">
        <v>18822.3</v>
      </c>
      <c r="O6964">
        <v>211.49</v>
      </c>
    </row>
    <row r="6965" spans="1:15" x14ac:dyDescent="0.35">
      <c r="A6965" t="s">
        <v>7586</v>
      </c>
      <c r="B6965" t="s">
        <v>7587</v>
      </c>
      <c r="C6965" t="s">
        <v>1644</v>
      </c>
      <c r="D6965" t="s">
        <v>314</v>
      </c>
      <c r="E6965" t="s">
        <v>296</v>
      </c>
      <c r="F6965" t="s">
        <v>7599</v>
      </c>
      <c r="G6965">
        <v>6</v>
      </c>
      <c r="H6965">
        <v>1453.64</v>
      </c>
      <c r="I6965">
        <v>242.27</v>
      </c>
      <c r="J6965">
        <v>0</v>
      </c>
      <c r="K6965">
        <v>0</v>
      </c>
      <c r="L6965">
        <v>0</v>
      </c>
      <c r="M6965">
        <v>6</v>
      </c>
      <c r="N6965">
        <v>1453.64</v>
      </c>
      <c r="O6965">
        <v>242.27</v>
      </c>
    </row>
    <row r="6966" spans="1:15" x14ac:dyDescent="0.35">
      <c r="A6966" t="s">
        <v>7586</v>
      </c>
      <c r="B6966" t="s">
        <v>7587</v>
      </c>
      <c r="C6966" t="s">
        <v>1644</v>
      </c>
      <c r="D6966" t="s">
        <v>314</v>
      </c>
      <c r="E6966" t="s">
        <v>298</v>
      </c>
      <c r="F6966" t="s">
        <v>7600</v>
      </c>
      <c r="G6966">
        <v>0</v>
      </c>
      <c r="H6966">
        <v>0</v>
      </c>
      <c r="I6966">
        <v>0</v>
      </c>
      <c r="J6966">
        <v>0</v>
      </c>
      <c r="K6966">
        <v>0</v>
      </c>
      <c r="L6966">
        <v>0</v>
      </c>
      <c r="M6966">
        <v>0</v>
      </c>
      <c r="N6966">
        <v>0</v>
      </c>
      <c r="O6966">
        <v>0</v>
      </c>
    </row>
    <row r="6967" spans="1:15" x14ac:dyDescent="0.35">
      <c r="A6967" t="s">
        <v>7586</v>
      </c>
      <c r="B6967" t="s">
        <v>7587</v>
      </c>
      <c r="C6967" t="s">
        <v>1644</v>
      </c>
      <c r="D6967" t="s">
        <v>314</v>
      </c>
      <c r="E6967" t="s">
        <v>300</v>
      </c>
      <c r="F6967" t="s">
        <v>7601</v>
      </c>
      <c r="G6967">
        <v>0</v>
      </c>
      <c r="H6967">
        <v>0</v>
      </c>
      <c r="I6967">
        <v>0</v>
      </c>
      <c r="J6967">
        <v>0</v>
      </c>
      <c r="K6967">
        <v>0</v>
      </c>
      <c r="L6967">
        <v>0</v>
      </c>
      <c r="M6967">
        <v>0</v>
      </c>
      <c r="N6967">
        <v>0</v>
      </c>
      <c r="O6967">
        <v>0</v>
      </c>
    </row>
    <row r="6968" spans="1:15" x14ac:dyDescent="0.35">
      <c r="A6968" t="s">
        <v>7586</v>
      </c>
      <c r="B6968" t="s">
        <v>7587</v>
      </c>
      <c r="C6968" t="s">
        <v>1644</v>
      </c>
      <c r="D6968" t="s">
        <v>314</v>
      </c>
      <c r="E6968" t="s">
        <v>306</v>
      </c>
      <c r="F6968" t="s">
        <v>7602</v>
      </c>
      <c r="G6968">
        <v>0</v>
      </c>
      <c r="H6968">
        <v>0</v>
      </c>
      <c r="I6968">
        <v>0</v>
      </c>
      <c r="J6968">
        <v>2</v>
      </c>
      <c r="K6968">
        <v>473</v>
      </c>
      <c r="L6968">
        <v>236.5</v>
      </c>
      <c r="M6968">
        <v>2</v>
      </c>
      <c r="N6968">
        <v>473</v>
      </c>
      <c r="O6968">
        <v>236.5</v>
      </c>
    </row>
    <row r="6969" spans="1:15" x14ac:dyDescent="0.35">
      <c r="A6969" t="s">
        <v>7586</v>
      </c>
      <c r="B6969" t="s">
        <v>7587</v>
      </c>
      <c r="C6969" t="s">
        <v>1644</v>
      </c>
      <c r="D6969" t="s">
        <v>314</v>
      </c>
      <c r="E6969" t="s">
        <v>308</v>
      </c>
      <c r="F6969" t="s">
        <v>7603</v>
      </c>
      <c r="G6969">
        <v>0</v>
      </c>
      <c r="H6969">
        <v>0</v>
      </c>
      <c r="I6969">
        <v>0</v>
      </c>
      <c r="J6969">
        <v>27</v>
      </c>
      <c r="K6969">
        <v>3959.2799999999997</v>
      </c>
      <c r="L6969">
        <v>146.63999999999999</v>
      </c>
      <c r="M6969">
        <v>27</v>
      </c>
      <c r="N6969">
        <v>3959.2799999999997</v>
      </c>
      <c r="O6969">
        <v>146.63999999999999</v>
      </c>
    </row>
    <row r="6970" spans="1:15" x14ac:dyDescent="0.35">
      <c r="A6970" t="s">
        <v>7586</v>
      </c>
      <c r="B6970" t="s">
        <v>7587</v>
      </c>
      <c r="C6970" t="s">
        <v>1644</v>
      </c>
      <c r="D6970" t="s">
        <v>314</v>
      </c>
      <c r="E6970" t="s">
        <v>312</v>
      </c>
      <c r="F6970" t="s">
        <v>7604</v>
      </c>
      <c r="G6970">
        <v>73</v>
      </c>
      <c r="H6970">
        <v>13562.64</v>
      </c>
      <c r="I6970">
        <v>185.79</v>
      </c>
      <c r="J6970">
        <v>24</v>
      </c>
      <c r="K6970">
        <v>7186.2999999999993</v>
      </c>
      <c r="L6970">
        <v>299.43</v>
      </c>
      <c r="M6970">
        <v>97</v>
      </c>
      <c r="N6970">
        <v>20748.939999999999</v>
      </c>
      <c r="O6970">
        <v>213.91</v>
      </c>
    </row>
    <row r="6971" spans="1:15" x14ac:dyDescent="0.35">
      <c r="A6971" t="s">
        <v>7586</v>
      </c>
      <c r="B6971" t="s">
        <v>7587</v>
      </c>
      <c r="C6971" t="s">
        <v>1644</v>
      </c>
      <c r="D6971" t="s">
        <v>314</v>
      </c>
      <c r="E6971" t="s">
        <v>310</v>
      </c>
      <c r="F6971" t="s">
        <v>7605</v>
      </c>
      <c r="G6971">
        <v>73</v>
      </c>
      <c r="H6971">
        <v>13562.64</v>
      </c>
      <c r="I6971">
        <v>185.79</v>
      </c>
      <c r="J6971">
        <v>51</v>
      </c>
      <c r="K6971">
        <v>11145.579999999998</v>
      </c>
      <c r="L6971">
        <v>218.54</v>
      </c>
      <c r="M6971">
        <v>124</v>
      </c>
      <c r="N6971">
        <v>24708.219999999998</v>
      </c>
      <c r="O6971">
        <v>199.26</v>
      </c>
    </row>
    <row r="6972" spans="1:15" x14ac:dyDescent="0.35">
      <c r="A6972" t="s">
        <v>7586</v>
      </c>
      <c r="B6972" t="s">
        <v>7587</v>
      </c>
      <c r="C6972" t="s">
        <v>1644</v>
      </c>
      <c r="D6972" t="s">
        <v>323</v>
      </c>
      <c r="E6972" t="s">
        <v>294</v>
      </c>
      <c r="F6972" t="s">
        <v>7606</v>
      </c>
      <c r="G6972">
        <v>710</v>
      </c>
      <c r="H6972">
        <v>77831.459999999992</v>
      </c>
      <c r="I6972">
        <v>109.62</v>
      </c>
      <c r="J6972">
        <v>0</v>
      </c>
      <c r="K6972">
        <v>0</v>
      </c>
      <c r="L6972">
        <v>0</v>
      </c>
      <c r="M6972">
        <v>710</v>
      </c>
      <c r="N6972">
        <v>77831.459999999992</v>
      </c>
      <c r="O6972">
        <v>109.62</v>
      </c>
    </row>
    <row r="6973" spans="1:15" x14ac:dyDescent="0.35">
      <c r="A6973" t="s">
        <v>7586</v>
      </c>
      <c r="B6973" t="s">
        <v>7587</v>
      </c>
      <c r="C6973" t="s">
        <v>1644</v>
      </c>
      <c r="D6973" t="s">
        <v>323</v>
      </c>
      <c r="E6973" t="s">
        <v>296</v>
      </c>
      <c r="F6973" t="s">
        <v>7607</v>
      </c>
      <c r="G6973">
        <v>1637</v>
      </c>
      <c r="H6973">
        <v>205483.58000000002</v>
      </c>
      <c r="I6973">
        <v>125.52</v>
      </c>
      <c r="J6973">
        <v>0</v>
      </c>
      <c r="K6973">
        <v>0</v>
      </c>
      <c r="L6973">
        <v>0</v>
      </c>
      <c r="M6973">
        <v>1637</v>
      </c>
      <c r="N6973">
        <v>205483.58000000002</v>
      </c>
      <c r="O6973">
        <v>125.52</v>
      </c>
    </row>
    <row r="6974" spans="1:15" x14ac:dyDescent="0.35">
      <c r="A6974" t="s">
        <v>7586</v>
      </c>
      <c r="B6974" t="s">
        <v>7587</v>
      </c>
      <c r="C6974" t="s">
        <v>1644</v>
      </c>
      <c r="D6974" t="s">
        <v>323</v>
      </c>
      <c r="E6974" t="s">
        <v>298</v>
      </c>
      <c r="F6974" t="s">
        <v>7608</v>
      </c>
      <c r="G6974">
        <v>2547</v>
      </c>
      <c r="H6974">
        <v>347116.84999999992</v>
      </c>
      <c r="I6974">
        <v>136.28</v>
      </c>
      <c r="J6974">
        <v>0</v>
      </c>
      <c r="K6974">
        <v>0</v>
      </c>
      <c r="L6974">
        <v>0</v>
      </c>
      <c r="M6974">
        <v>2547</v>
      </c>
      <c r="N6974">
        <v>347116.84999999992</v>
      </c>
      <c r="O6974">
        <v>136.28</v>
      </c>
    </row>
    <row r="6975" spans="1:15" x14ac:dyDescent="0.35">
      <c r="A6975" t="s">
        <v>7586</v>
      </c>
      <c r="B6975" t="s">
        <v>7587</v>
      </c>
      <c r="C6975" t="s">
        <v>1644</v>
      </c>
      <c r="D6975" t="s">
        <v>323</v>
      </c>
      <c r="E6975" t="s">
        <v>300</v>
      </c>
      <c r="F6975" t="s">
        <v>7609</v>
      </c>
      <c r="G6975">
        <v>212</v>
      </c>
      <c r="H6975">
        <v>33247.970000000008</v>
      </c>
      <c r="I6975">
        <v>156.83000000000001</v>
      </c>
      <c r="J6975">
        <v>0</v>
      </c>
      <c r="K6975">
        <v>0</v>
      </c>
      <c r="L6975">
        <v>0</v>
      </c>
      <c r="M6975">
        <v>212</v>
      </c>
      <c r="N6975">
        <v>33247.970000000008</v>
      </c>
      <c r="O6975">
        <v>156.83000000000001</v>
      </c>
    </row>
    <row r="6976" spans="1:15" x14ac:dyDescent="0.35">
      <c r="A6976" t="s">
        <v>7586</v>
      </c>
      <c r="B6976" t="s">
        <v>7587</v>
      </c>
      <c r="C6976" t="s">
        <v>1644</v>
      </c>
      <c r="D6976" t="s">
        <v>323</v>
      </c>
      <c r="E6976" t="s">
        <v>302</v>
      </c>
      <c r="F6976" t="s">
        <v>7610</v>
      </c>
      <c r="G6976">
        <v>4</v>
      </c>
      <c r="H6976">
        <v>670.53</v>
      </c>
      <c r="I6976">
        <v>167.63</v>
      </c>
      <c r="J6976">
        <v>0</v>
      </c>
      <c r="K6976">
        <v>0</v>
      </c>
      <c r="L6976">
        <v>0</v>
      </c>
      <c r="M6976">
        <v>4</v>
      </c>
      <c r="N6976">
        <v>670.53</v>
      </c>
      <c r="O6976">
        <v>167.63</v>
      </c>
    </row>
    <row r="6977" spans="1:15" x14ac:dyDescent="0.35">
      <c r="A6977" t="s">
        <v>7586</v>
      </c>
      <c r="B6977" t="s">
        <v>7587</v>
      </c>
      <c r="C6977" t="s">
        <v>1644</v>
      </c>
      <c r="D6977" t="s">
        <v>323</v>
      </c>
      <c r="E6977" t="s">
        <v>304</v>
      </c>
      <c r="F6977" t="s">
        <v>7611</v>
      </c>
      <c r="G6977">
        <v>0</v>
      </c>
      <c r="H6977">
        <v>0</v>
      </c>
      <c r="I6977">
        <v>0</v>
      </c>
      <c r="J6977">
        <v>0</v>
      </c>
      <c r="K6977">
        <v>0</v>
      </c>
      <c r="L6977">
        <v>0</v>
      </c>
      <c r="M6977">
        <v>0</v>
      </c>
      <c r="N6977">
        <v>0</v>
      </c>
      <c r="O6977">
        <v>0</v>
      </c>
    </row>
    <row r="6978" spans="1:15" x14ac:dyDescent="0.35">
      <c r="A6978" t="s">
        <v>7586</v>
      </c>
      <c r="B6978" t="s">
        <v>7587</v>
      </c>
      <c r="C6978" t="s">
        <v>1644</v>
      </c>
      <c r="D6978" t="s">
        <v>323</v>
      </c>
      <c r="E6978" t="s">
        <v>306</v>
      </c>
      <c r="F6978" t="s">
        <v>7612</v>
      </c>
      <c r="G6978">
        <v>7</v>
      </c>
      <c r="H6978">
        <v>653.32000000000005</v>
      </c>
      <c r="I6978">
        <v>93.33</v>
      </c>
      <c r="J6978">
        <v>0</v>
      </c>
      <c r="K6978">
        <v>0</v>
      </c>
      <c r="L6978">
        <v>0</v>
      </c>
      <c r="M6978">
        <v>7</v>
      </c>
      <c r="N6978">
        <v>653.32000000000005</v>
      </c>
      <c r="O6978">
        <v>93.33</v>
      </c>
    </row>
    <row r="6979" spans="1:15" x14ac:dyDescent="0.35">
      <c r="A6979" t="s">
        <v>7586</v>
      </c>
      <c r="B6979" t="s">
        <v>7587</v>
      </c>
      <c r="C6979" t="s">
        <v>1644</v>
      </c>
      <c r="D6979" t="s">
        <v>323</v>
      </c>
      <c r="E6979" t="s">
        <v>308</v>
      </c>
      <c r="F6979" t="s">
        <v>7613</v>
      </c>
      <c r="G6979">
        <v>5</v>
      </c>
      <c r="H6979">
        <v>475.95</v>
      </c>
      <c r="I6979">
        <v>95.19</v>
      </c>
      <c r="J6979">
        <v>0</v>
      </c>
      <c r="K6979">
        <v>0</v>
      </c>
      <c r="L6979">
        <v>0</v>
      </c>
      <c r="M6979">
        <v>5</v>
      </c>
      <c r="N6979">
        <v>475.95</v>
      </c>
      <c r="O6979">
        <v>95.19</v>
      </c>
    </row>
    <row r="6980" spans="1:15" x14ac:dyDescent="0.35">
      <c r="A6980" t="s">
        <v>7586</v>
      </c>
      <c r="B6980" t="s">
        <v>7587</v>
      </c>
      <c r="C6980" t="s">
        <v>1644</v>
      </c>
      <c r="D6980" t="s">
        <v>323</v>
      </c>
      <c r="E6980" t="s">
        <v>310</v>
      </c>
      <c r="F6980" t="s">
        <v>7614</v>
      </c>
      <c r="G6980">
        <v>5122</v>
      </c>
      <c r="H6980">
        <v>665479.6599999998</v>
      </c>
      <c r="I6980">
        <v>129.93</v>
      </c>
      <c r="J6980">
        <v>0</v>
      </c>
      <c r="K6980">
        <v>0</v>
      </c>
      <c r="L6980">
        <v>0</v>
      </c>
      <c r="M6980">
        <v>5122</v>
      </c>
      <c r="N6980">
        <v>665479.6599999998</v>
      </c>
      <c r="O6980">
        <v>129.93</v>
      </c>
    </row>
    <row r="6981" spans="1:15" x14ac:dyDescent="0.35">
      <c r="A6981" t="s">
        <v>7586</v>
      </c>
      <c r="B6981" t="s">
        <v>7587</v>
      </c>
      <c r="C6981" t="s">
        <v>1644</v>
      </c>
      <c r="D6981" t="s">
        <v>323</v>
      </c>
      <c r="E6981" t="s">
        <v>312</v>
      </c>
      <c r="F6981" t="s">
        <v>7615</v>
      </c>
      <c r="G6981">
        <v>5117</v>
      </c>
      <c r="H6981">
        <v>665003.70999999985</v>
      </c>
      <c r="I6981">
        <v>129.96</v>
      </c>
      <c r="J6981">
        <v>0</v>
      </c>
      <c r="K6981">
        <v>0</v>
      </c>
      <c r="L6981">
        <v>0</v>
      </c>
      <c r="M6981">
        <v>5117</v>
      </c>
      <c r="N6981">
        <v>665003.70999999985</v>
      </c>
      <c r="O6981">
        <v>129.96</v>
      </c>
    </row>
    <row r="6982" spans="1:15" x14ac:dyDescent="0.35">
      <c r="A6982" t="s">
        <v>7586</v>
      </c>
      <c r="B6982" t="s">
        <v>7587</v>
      </c>
      <c r="C6982" t="s">
        <v>1644</v>
      </c>
      <c r="D6982" t="s">
        <v>334</v>
      </c>
      <c r="E6982" t="s">
        <v>312</v>
      </c>
      <c r="F6982" t="s">
        <v>7616</v>
      </c>
      <c r="G6982">
        <v>7699</v>
      </c>
      <c r="H6982">
        <v>1171297.5999999999</v>
      </c>
      <c r="I6982">
        <v>153.21</v>
      </c>
      <c r="J6982">
        <v>51</v>
      </c>
      <c r="K6982">
        <v>8700.75</v>
      </c>
      <c r="L6982">
        <v>170.6</v>
      </c>
      <c r="M6982">
        <v>7750</v>
      </c>
      <c r="N6982">
        <v>1179998.3499999999</v>
      </c>
      <c r="O6982">
        <v>153.33000000000001</v>
      </c>
    </row>
    <row r="6983" spans="1:15" x14ac:dyDescent="0.35">
      <c r="A6983" t="s">
        <v>7586</v>
      </c>
      <c r="B6983" t="s">
        <v>7587</v>
      </c>
      <c r="C6983" t="s">
        <v>1644</v>
      </c>
      <c r="D6983" t="s">
        <v>334</v>
      </c>
      <c r="E6983" t="s">
        <v>308</v>
      </c>
      <c r="F6983" t="s">
        <v>7617</v>
      </c>
      <c r="G6983">
        <v>5</v>
      </c>
      <c r="H6983">
        <v>475.95</v>
      </c>
      <c r="I6983">
        <v>95.19</v>
      </c>
      <c r="J6983">
        <v>1</v>
      </c>
      <c r="K6983">
        <v>88.2</v>
      </c>
      <c r="L6983">
        <v>88.2</v>
      </c>
      <c r="M6983">
        <v>6</v>
      </c>
      <c r="N6983">
        <v>564.15</v>
      </c>
      <c r="O6983">
        <v>94.03</v>
      </c>
    </row>
    <row r="6984" spans="1:15" x14ac:dyDescent="0.35">
      <c r="A6984" t="s">
        <v>7586</v>
      </c>
      <c r="B6984" t="s">
        <v>7587</v>
      </c>
      <c r="C6984" t="s">
        <v>1644</v>
      </c>
      <c r="D6984" t="s">
        <v>337</v>
      </c>
      <c r="E6984" t="s">
        <v>337</v>
      </c>
      <c r="F6984" t="s">
        <v>7618</v>
      </c>
      <c r="G6984">
        <v>1321</v>
      </c>
      <c r="J6984">
        <v>100</v>
      </c>
      <c r="M6984">
        <v>1421</v>
      </c>
    </row>
    <row r="6985" spans="1:15" x14ac:dyDescent="0.35">
      <c r="A6985" t="s">
        <v>7586</v>
      </c>
      <c r="B6985" t="s">
        <v>7587</v>
      </c>
      <c r="C6985" t="s">
        <v>1644</v>
      </c>
      <c r="D6985" t="s">
        <v>339</v>
      </c>
      <c r="E6985" t="s">
        <v>294</v>
      </c>
      <c r="F6985" t="s">
        <v>7619</v>
      </c>
      <c r="G6985">
        <v>992</v>
      </c>
      <c r="H6985">
        <v>121601.21</v>
      </c>
      <c r="I6985">
        <v>122.58</v>
      </c>
      <c r="J6985">
        <v>0</v>
      </c>
      <c r="K6985">
        <v>0</v>
      </c>
      <c r="L6985">
        <v>0</v>
      </c>
      <c r="M6985">
        <v>992</v>
      </c>
      <c r="N6985">
        <v>121601.21</v>
      </c>
      <c r="O6985">
        <v>122.58</v>
      </c>
    </row>
    <row r="6986" spans="1:15" x14ac:dyDescent="0.35">
      <c r="A6986" t="s">
        <v>7586</v>
      </c>
      <c r="B6986" t="s">
        <v>7587</v>
      </c>
      <c r="C6986" t="s">
        <v>1644</v>
      </c>
      <c r="D6986" t="s">
        <v>339</v>
      </c>
      <c r="E6986" t="s">
        <v>296</v>
      </c>
      <c r="F6986" t="s">
        <v>7620</v>
      </c>
      <c r="G6986">
        <v>416</v>
      </c>
      <c r="H6986">
        <v>58572.630000000005</v>
      </c>
      <c r="I6986">
        <v>140.80000000000001</v>
      </c>
      <c r="J6986">
        <v>0</v>
      </c>
      <c r="K6986">
        <v>0</v>
      </c>
      <c r="L6986">
        <v>0</v>
      </c>
      <c r="M6986">
        <v>416</v>
      </c>
      <c r="N6986">
        <v>58572.630000000005</v>
      </c>
      <c r="O6986">
        <v>140.80000000000001</v>
      </c>
    </row>
    <row r="6987" spans="1:15" x14ac:dyDescent="0.35">
      <c r="A6987" t="s">
        <v>7586</v>
      </c>
      <c r="B6987" t="s">
        <v>7587</v>
      </c>
      <c r="C6987" t="s">
        <v>1644</v>
      </c>
      <c r="D6987" t="s">
        <v>339</v>
      </c>
      <c r="E6987" t="s">
        <v>298</v>
      </c>
      <c r="F6987" t="s">
        <v>7621</v>
      </c>
      <c r="G6987">
        <v>21</v>
      </c>
      <c r="H6987">
        <v>2924.0800000000004</v>
      </c>
      <c r="I6987">
        <v>139.24</v>
      </c>
      <c r="J6987">
        <v>0</v>
      </c>
      <c r="K6987">
        <v>0</v>
      </c>
      <c r="L6987">
        <v>0</v>
      </c>
      <c r="M6987">
        <v>21</v>
      </c>
      <c r="N6987">
        <v>2924.0800000000004</v>
      </c>
      <c r="O6987">
        <v>139.24</v>
      </c>
    </row>
    <row r="6988" spans="1:15" x14ac:dyDescent="0.35">
      <c r="A6988" t="s">
        <v>7586</v>
      </c>
      <c r="B6988" t="s">
        <v>7587</v>
      </c>
      <c r="C6988" t="s">
        <v>1644</v>
      </c>
      <c r="D6988" t="s">
        <v>339</v>
      </c>
      <c r="E6988" t="s">
        <v>300</v>
      </c>
      <c r="F6988" t="s">
        <v>7622</v>
      </c>
      <c r="G6988">
        <v>1</v>
      </c>
      <c r="H6988">
        <v>141.43</v>
      </c>
      <c r="I6988">
        <v>141.43</v>
      </c>
      <c r="J6988">
        <v>0</v>
      </c>
      <c r="K6988">
        <v>0</v>
      </c>
      <c r="L6988">
        <v>0</v>
      </c>
      <c r="M6988">
        <v>1</v>
      </c>
      <c r="N6988">
        <v>141.43</v>
      </c>
      <c r="O6988">
        <v>141.43</v>
      </c>
    </row>
    <row r="6989" spans="1:15" x14ac:dyDescent="0.35">
      <c r="A6989" t="s">
        <v>7586</v>
      </c>
      <c r="B6989" t="s">
        <v>7587</v>
      </c>
      <c r="C6989" t="s">
        <v>1644</v>
      </c>
      <c r="D6989" t="s">
        <v>339</v>
      </c>
      <c r="E6989" t="s">
        <v>306</v>
      </c>
      <c r="F6989" t="s">
        <v>7623</v>
      </c>
      <c r="G6989">
        <v>97</v>
      </c>
      <c r="H6989">
        <v>10173.779999999999</v>
      </c>
      <c r="I6989">
        <v>104.88</v>
      </c>
      <c r="J6989">
        <v>0</v>
      </c>
      <c r="K6989">
        <v>0</v>
      </c>
      <c r="L6989">
        <v>0</v>
      </c>
      <c r="M6989">
        <v>97</v>
      </c>
      <c r="N6989">
        <v>10173.779999999999</v>
      </c>
      <c r="O6989">
        <v>104.88</v>
      </c>
    </row>
    <row r="6990" spans="1:15" x14ac:dyDescent="0.35">
      <c r="A6990" t="s">
        <v>7586</v>
      </c>
      <c r="B6990" t="s">
        <v>7587</v>
      </c>
      <c r="C6990" t="s">
        <v>1644</v>
      </c>
      <c r="D6990" t="s">
        <v>339</v>
      </c>
      <c r="E6990" t="s">
        <v>308</v>
      </c>
      <c r="F6990" t="s">
        <v>7624</v>
      </c>
      <c r="G6990">
        <v>95</v>
      </c>
      <c r="H6990">
        <v>11023.340000000002</v>
      </c>
      <c r="I6990">
        <v>116.04</v>
      </c>
      <c r="J6990">
        <v>0</v>
      </c>
      <c r="K6990">
        <v>0</v>
      </c>
      <c r="L6990">
        <v>0</v>
      </c>
      <c r="M6990">
        <v>95</v>
      </c>
      <c r="N6990">
        <v>11023.340000000002</v>
      </c>
      <c r="O6990">
        <v>116.04</v>
      </c>
    </row>
    <row r="6991" spans="1:15" x14ac:dyDescent="0.35">
      <c r="A6991" t="s">
        <v>7586</v>
      </c>
      <c r="B6991" t="s">
        <v>7587</v>
      </c>
      <c r="C6991" t="s">
        <v>1644</v>
      </c>
      <c r="D6991" t="s">
        <v>339</v>
      </c>
      <c r="E6991" t="s">
        <v>310</v>
      </c>
      <c r="F6991" t="s">
        <v>7625</v>
      </c>
      <c r="G6991">
        <v>1622</v>
      </c>
      <c r="H6991">
        <v>204436.47</v>
      </c>
      <c r="I6991">
        <v>126.04</v>
      </c>
      <c r="J6991">
        <v>0</v>
      </c>
      <c r="K6991">
        <v>0</v>
      </c>
      <c r="L6991">
        <v>0</v>
      </c>
      <c r="M6991">
        <v>1622</v>
      </c>
      <c r="N6991">
        <v>204436.47</v>
      </c>
      <c r="O6991">
        <v>126.04</v>
      </c>
    </row>
    <row r="6992" spans="1:15" x14ac:dyDescent="0.35">
      <c r="A6992" t="s">
        <v>7586</v>
      </c>
      <c r="B6992" t="s">
        <v>7587</v>
      </c>
      <c r="C6992" t="s">
        <v>1644</v>
      </c>
      <c r="D6992" t="s">
        <v>339</v>
      </c>
      <c r="E6992" t="s">
        <v>312</v>
      </c>
      <c r="F6992" t="s">
        <v>7626</v>
      </c>
      <c r="G6992">
        <v>1527</v>
      </c>
      <c r="H6992">
        <v>193413.13</v>
      </c>
      <c r="I6992">
        <v>126.66</v>
      </c>
      <c r="J6992">
        <v>0</v>
      </c>
      <c r="K6992">
        <v>0</v>
      </c>
      <c r="L6992">
        <v>0</v>
      </c>
      <c r="M6992">
        <v>1527</v>
      </c>
      <c r="N6992">
        <v>193413.13</v>
      </c>
      <c r="O6992">
        <v>126.66</v>
      </c>
    </row>
    <row r="6993" spans="1:15" x14ac:dyDescent="0.35">
      <c r="A6993" t="s">
        <v>7586</v>
      </c>
      <c r="B6993" t="s">
        <v>7587</v>
      </c>
      <c r="C6993" t="s">
        <v>1644</v>
      </c>
      <c r="D6993" t="s">
        <v>348</v>
      </c>
      <c r="E6993" t="s">
        <v>349</v>
      </c>
      <c r="F6993" t="s">
        <v>7627</v>
      </c>
      <c r="G6993">
        <v>1734</v>
      </c>
      <c r="H6993">
        <v>217999.11</v>
      </c>
      <c r="I6993">
        <v>128.61000000000001</v>
      </c>
      <c r="J6993">
        <v>51</v>
      </c>
      <c r="K6993">
        <v>11145.579999999998</v>
      </c>
      <c r="L6993">
        <v>218.54</v>
      </c>
      <c r="M6993">
        <v>1785</v>
      </c>
      <c r="N6993">
        <v>229144.68999999997</v>
      </c>
      <c r="O6993">
        <v>131.24</v>
      </c>
    </row>
    <row r="6994" spans="1:15" x14ac:dyDescent="0.35">
      <c r="A6994" t="s">
        <v>7628</v>
      </c>
      <c r="B6994" t="s">
        <v>7629</v>
      </c>
      <c r="C6994" t="s">
        <v>1644</v>
      </c>
      <c r="D6994" t="s">
        <v>293</v>
      </c>
      <c r="E6994" t="s">
        <v>294</v>
      </c>
      <c r="F6994" t="s">
        <v>7630</v>
      </c>
      <c r="G6994">
        <v>25</v>
      </c>
      <c r="H6994">
        <v>4762.4800000000005</v>
      </c>
      <c r="I6994">
        <v>190.5</v>
      </c>
      <c r="J6994">
        <v>9</v>
      </c>
      <c r="K6994">
        <v>1655.55</v>
      </c>
      <c r="L6994">
        <v>183.95</v>
      </c>
      <c r="M6994">
        <v>34</v>
      </c>
      <c r="N6994">
        <v>6418.0300000000007</v>
      </c>
      <c r="O6994">
        <v>188.77</v>
      </c>
    </row>
    <row r="6995" spans="1:15" x14ac:dyDescent="0.35">
      <c r="A6995" t="s">
        <v>7628</v>
      </c>
      <c r="B6995" t="s">
        <v>7629</v>
      </c>
      <c r="C6995" t="s">
        <v>1644</v>
      </c>
      <c r="D6995" t="s">
        <v>293</v>
      </c>
      <c r="E6995" t="s">
        <v>296</v>
      </c>
      <c r="F6995" t="s">
        <v>7631</v>
      </c>
      <c r="G6995">
        <v>63</v>
      </c>
      <c r="H6995">
        <v>13921.56</v>
      </c>
      <c r="I6995">
        <v>220.98</v>
      </c>
      <c r="J6995">
        <v>26</v>
      </c>
      <c r="K6995">
        <v>5650.84</v>
      </c>
      <c r="L6995">
        <v>217.34</v>
      </c>
      <c r="M6995">
        <v>89</v>
      </c>
      <c r="N6995">
        <v>19572.400000000001</v>
      </c>
      <c r="O6995">
        <v>219.91</v>
      </c>
    </row>
    <row r="6996" spans="1:15" x14ac:dyDescent="0.35">
      <c r="A6996" t="s">
        <v>7628</v>
      </c>
      <c r="B6996" t="s">
        <v>7629</v>
      </c>
      <c r="C6996" t="s">
        <v>1644</v>
      </c>
      <c r="D6996" t="s">
        <v>293</v>
      </c>
      <c r="E6996" t="s">
        <v>298</v>
      </c>
      <c r="F6996" t="s">
        <v>7632</v>
      </c>
      <c r="G6996">
        <v>12</v>
      </c>
      <c r="H6996">
        <v>2932.99</v>
      </c>
      <c r="I6996">
        <v>244.42</v>
      </c>
      <c r="J6996">
        <v>31</v>
      </c>
      <c r="K6996">
        <v>8073.33</v>
      </c>
      <c r="L6996">
        <v>260.43</v>
      </c>
      <c r="M6996">
        <v>43</v>
      </c>
      <c r="N6996">
        <v>11006.32</v>
      </c>
      <c r="O6996">
        <v>255.96</v>
      </c>
    </row>
    <row r="6997" spans="1:15" x14ac:dyDescent="0.35">
      <c r="A6997" t="s">
        <v>7628</v>
      </c>
      <c r="B6997" t="s">
        <v>7629</v>
      </c>
      <c r="C6997" t="s">
        <v>1644</v>
      </c>
      <c r="D6997" t="s">
        <v>293</v>
      </c>
      <c r="E6997" t="s">
        <v>300</v>
      </c>
      <c r="F6997" t="s">
        <v>7633</v>
      </c>
      <c r="G6997">
        <v>2</v>
      </c>
      <c r="H6997">
        <v>728.66</v>
      </c>
      <c r="I6997">
        <v>364.33</v>
      </c>
      <c r="J6997">
        <v>1</v>
      </c>
      <c r="K6997">
        <v>402.74</v>
      </c>
      <c r="L6997">
        <v>402.74</v>
      </c>
      <c r="M6997">
        <v>3</v>
      </c>
      <c r="N6997">
        <v>1131.4000000000001</v>
      </c>
      <c r="O6997">
        <v>377.13</v>
      </c>
    </row>
    <row r="6998" spans="1:15" x14ac:dyDescent="0.35">
      <c r="A6998" t="s">
        <v>7628</v>
      </c>
      <c r="B6998" t="s">
        <v>7629</v>
      </c>
      <c r="C6998" t="s">
        <v>1644</v>
      </c>
      <c r="D6998" t="s">
        <v>293</v>
      </c>
      <c r="E6998" t="s">
        <v>302</v>
      </c>
      <c r="F6998" t="s">
        <v>7634</v>
      </c>
      <c r="G6998">
        <v>0</v>
      </c>
      <c r="H6998">
        <v>0</v>
      </c>
      <c r="I6998">
        <v>0</v>
      </c>
      <c r="J6998">
        <v>0</v>
      </c>
      <c r="K6998">
        <v>0</v>
      </c>
      <c r="L6998">
        <v>0</v>
      </c>
      <c r="M6998">
        <v>0</v>
      </c>
      <c r="N6998">
        <v>0</v>
      </c>
      <c r="O6998">
        <v>0</v>
      </c>
    </row>
    <row r="6999" spans="1:15" x14ac:dyDescent="0.35">
      <c r="A6999" t="s">
        <v>7628</v>
      </c>
      <c r="B6999" t="s">
        <v>7629</v>
      </c>
      <c r="C6999" t="s">
        <v>1644</v>
      </c>
      <c r="D6999" t="s">
        <v>293</v>
      </c>
      <c r="E6999" t="s">
        <v>304</v>
      </c>
      <c r="F6999" t="s">
        <v>7635</v>
      </c>
      <c r="G6999">
        <v>0</v>
      </c>
      <c r="H6999">
        <v>0</v>
      </c>
      <c r="I6999">
        <v>0</v>
      </c>
      <c r="J6999">
        <v>0</v>
      </c>
      <c r="K6999">
        <v>0</v>
      </c>
      <c r="L6999">
        <v>0</v>
      </c>
      <c r="M6999">
        <v>0</v>
      </c>
      <c r="N6999">
        <v>0</v>
      </c>
      <c r="O6999">
        <v>0</v>
      </c>
    </row>
    <row r="7000" spans="1:15" x14ac:dyDescent="0.35">
      <c r="A7000" t="s">
        <v>7628</v>
      </c>
      <c r="B7000" t="s">
        <v>7629</v>
      </c>
      <c r="C7000" t="s">
        <v>1644</v>
      </c>
      <c r="D7000" t="s">
        <v>293</v>
      </c>
      <c r="E7000" t="s">
        <v>306</v>
      </c>
      <c r="F7000" t="s">
        <v>7636</v>
      </c>
      <c r="G7000">
        <v>0</v>
      </c>
      <c r="H7000">
        <v>0</v>
      </c>
      <c r="I7000">
        <v>0</v>
      </c>
      <c r="J7000">
        <v>0</v>
      </c>
      <c r="K7000">
        <v>0</v>
      </c>
      <c r="L7000">
        <v>0</v>
      </c>
      <c r="M7000">
        <v>0</v>
      </c>
      <c r="N7000">
        <v>0</v>
      </c>
      <c r="O7000">
        <v>0</v>
      </c>
    </row>
    <row r="7001" spans="1:15" x14ac:dyDescent="0.35">
      <c r="A7001" t="s">
        <v>7628</v>
      </c>
      <c r="B7001" t="s">
        <v>7629</v>
      </c>
      <c r="C7001" t="s">
        <v>1644</v>
      </c>
      <c r="D7001" t="s">
        <v>293</v>
      </c>
      <c r="E7001" t="s">
        <v>308</v>
      </c>
      <c r="F7001" t="s">
        <v>7637</v>
      </c>
      <c r="G7001">
        <v>0</v>
      </c>
      <c r="H7001">
        <v>0</v>
      </c>
      <c r="I7001">
        <v>0</v>
      </c>
      <c r="J7001">
        <v>0</v>
      </c>
      <c r="K7001">
        <v>0</v>
      </c>
      <c r="L7001">
        <v>0</v>
      </c>
      <c r="M7001">
        <v>0</v>
      </c>
      <c r="N7001">
        <v>0</v>
      </c>
      <c r="O7001">
        <v>0</v>
      </c>
    </row>
    <row r="7002" spans="1:15" x14ac:dyDescent="0.35">
      <c r="A7002" t="s">
        <v>7628</v>
      </c>
      <c r="B7002" t="s">
        <v>7629</v>
      </c>
      <c r="C7002" t="s">
        <v>1644</v>
      </c>
      <c r="D7002" t="s">
        <v>293</v>
      </c>
      <c r="E7002" t="s">
        <v>310</v>
      </c>
      <c r="F7002" t="s">
        <v>7638</v>
      </c>
      <c r="G7002">
        <v>102</v>
      </c>
      <c r="H7002">
        <v>22345.69</v>
      </c>
      <c r="I7002">
        <v>219.08</v>
      </c>
      <c r="J7002">
        <v>67</v>
      </c>
      <c r="K7002">
        <v>15782.460000000001</v>
      </c>
      <c r="L7002">
        <v>235.56</v>
      </c>
      <c r="M7002">
        <v>169</v>
      </c>
      <c r="N7002">
        <v>38128.15</v>
      </c>
      <c r="O7002">
        <v>225.61</v>
      </c>
    </row>
    <row r="7003" spans="1:15" x14ac:dyDescent="0.35">
      <c r="A7003" t="s">
        <v>7628</v>
      </c>
      <c r="B7003" t="s">
        <v>7629</v>
      </c>
      <c r="C7003" t="s">
        <v>1644</v>
      </c>
      <c r="D7003" t="s">
        <v>293</v>
      </c>
      <c r="E7003" t="s">
        <v>312</v>
      </c>
      <c r="F7003" t="s">
        <v>7639</v>
      </c>
      <c r="G7003">
        <v>102</v>
      </c>
      <c r="H7003">
        <v>22345.69</v>
      </c>
      <c r="I7003">
        <v>219.08</v>
      </c>
      <c r="J7003">
        <v>67</v>
      </c>
      <c r="K7003">
        <v>15782.460000000001</v>
      </c>
      <c r="L7003">
        <v>235.56</v>
      </c>
      <c r="M7003">
        <v>169</v>
      </c>
      <c r="N7003">
        <v>38128.15</v>
      </c>
      <c r="O7003">
        <v>225.61</v>
      </c>
    </row>
    <row r="7004" spans="1:15" x14ac:dyDescent="0.35">
      <c r="A7004" t="s">
        <v>7628</v>
      </c>
      <c r="B7004" t="s">
        <v>7629</v>
      </c>
      <c r="C7004" t="s">
        <v>1644</v>
      </c>
      <c r="D7004" t="s">
        <v>314</v>
      </c>
      <c r="E7004" t="s">
        <v>294</v>
      </c>
      <c r="F7004" t="s">
        <v>7640</v>
      </c>
      <c r="G7004">
        <v>0</v>
      </c>
      <c r="H7004">
        <v>0</v>
      </c>
      <c r="I7004">
        <v>0</v>
      </c>
      <c r="J7004">
        <v>0</v>
      </c>
      <c r="K7004">
        <v>0</v>
      </c>
      <c r="L7004">
        <v>0</v>
      </c>
      <c r="M7004">
        <v>0</v>
      </c>
      <c r="N7004">
        <v>0</v>
      </c>
      <c r="O7004">
        <v>0</v>
      </c>
    </row>
    <row r="7005" spans="1:15" x14ac:dyDescent="0.35">
      <c r="A7005" t="s">
        <v>7628</v>
      </c>
      <c r="B7005" t="s">
        <v>7629</v>
      </c>
      <c r="C7005" t="s">
        <v>1644</v>
      </c>
      <c r="D7005" t="s">
        <v>314</v>
      </c>
      <c r="E7005" t="s">
        <v>296</v>
      </c>
      <c r="F7005" t="s">
        <v>7641</v>
      </c>
      <c r="G7005">
        <v>0</v>
      </c>
      <c r="H7005">
        <v>0</v>
      </c>
      <c r="I7005">
        <v>0</v>
      </c>
      <c r="J7005">
        <v>0</v>
      </c>
      <c r="K7005">
        <v>0</v>
      </c>
      <c r="L7005">
        <v>0</v>
      </c>
      <c r="M7005">
        <v>0</v>
      </c>
      <c r="N7005">
        <v>0</v>
      </c>
      <c r="O7005">
        <v>0</v>
      </c>
    </row>
    <row r="7006" spans="1:15" x14ac:dyDescent="0.35">
      <c r="A7006" t="s">
        <v>7628</v>
      </c>
      <c r="B7006" t="s">
        <v>7629</v>
      </c>
      <c r="C7006" t="s">
        <v>1644</v>
      </c>
      <c r="D7006" t="s">
        <v>314</v>
      </c>
      <c r="E7006" t="s">
        <v>298</v>
      </c>
      <c r="F7006" t="s">
        <v>7642</v>
      </c>
      <c r="G7006">
        <v>0</v>
      </c>
      <c r="H7006">
        <v>0</v>
      </c>
      <c r="I7006">
        <v>0</v>
      </c>
      <c r="J7006">
        <v>0</v>
      </c>
      <c r="K7006">
        <v>0</v>
      </c>
      <c r="L7006">
        <v>0</v>
      </c>
      <c r="M7006">
        <v>0</v>
      </c>
      <c r="N7006">
        <v>0</v>
      </c>
      <c r="O7006">
        <v>0</v>
      </c>
    </row>
    <row r="7007" spans="1:15" x14ac:dyDescent="0.35">
      <c r="A7007" t="s">
        <v>7628</v>
      </c>
      <c r="B7007" t="s">
        <v>7629</v>
      </c>
      <c r="C7007" t="s">
        <v>1644</v>
      </c>
      <c r="D7007" t="s">
        <v>314</v>
      </c>
      <c r="E7007" t="s">
        <v>300</v>
      </c>
      <c r="F7007" t="s">
        <v>7643</v>
      </c>
      <c r="G7007">
        <v>0</v>
      </c>
      <c r="H7007">
        <v>0</v>
      </c>
      <c r="I7007">
        <v>0</v>
      </c>
      <c r="J7007">
        <v>0</v>
      </c>
      <c r="K7007">
        <v>0</v>
      </c>
      <c r="L7007">
        <v>0</v>
      </c>
      <c r="M7007">
        <v>0</v>
      </c>
      <c r="N7007">
        <v>0</v>
      </c>
      <c r="O7007">
        <v>0</v>
      </c>
    </row>
    <row r="7008" spans="1:15" x14ac:dyDescent="0.35">
      <c r="A7008" t="s">
        <v>7628</v>
      </c>
      <c r="B7008" t="s">
        <v>7629</v>
      </c>
      <c r="C7008" t="s">
        <v>1644</v>
      </c>
      <c r="D7008" t="s">
        <v>314</v>
      </c>
      <c r="E7008" t="s">
        <v>306</v>
      </c>
      <c r="F7008" t="s">
        <v>7644</v>
      </c>
      <c r="G7008">
        <v>0</v>
      </c>
      <c r="H7008">
        <v>0</v>
      </c>
      <c r="I7008">
        <v>0</v>
      </c>
      <c r="J7008">
        <v>0</v>
      </c>
      <c r="K7008">
        <v>0</v>
      </c>
      <c r="L7008">
        <v>0</v>
      </c>
      <c r="M7008">
        <v>0</v>
      </c>
      <c r="N7008">
        <v>0</v>
      </c>
      <c r="O7008">
        <v>0</v>
      </c>
    </row>
    <row r="7009" spans="1:15" x14ac:dyDescent="0.35">
      <c r="A7009" t="s">
        <v>7628</v>
      </c>
      <c r="B7009" t="s">
        <v>7629</v>
      </c>
      <c r="C7009" t="s">
        <v>1644</v>
      </c>
      <c r="D7009" t="s">
        <v>314</v>
      </c>
      <c r="E7009" t="s">
        <v>308</v>
      </c>
      <c r="F7009" t="s">
        <v>7645</v>
      </c>
      <c r="G7009">
        <v>0</v>
      </c>
      <c r="H7009">
        <v>0</v>
      </c>
      <c r="I7009">
        <v>0</v>
      </c>
      <c r="J7009">
        <v>0</v>
      </c>
      <c r="K7009">
        <v>0</v>
      </c>
      <c r="L7009">
        <v>0</v>
      </c>
      <c r="M7009">
        <v>0</v>
      </c>
      <c r="N7009">
        <v>0</v>
      </c>
      <c r="O7009">
        <v>0</v>
      </c>
    </row>
    <row r="7010" spans="1:15" x14ac:dyDescent="0.35">
      <c r="A7010" t="s">
        <v>7628</v>
      </c>
      <c r="B7010" t="s">
        <v>7629</v>
      </c>
      <c r="C7010" t="s">
        <v>1644</v>
      </c>
      <c r="D7010" t="s">
        <v>314</v>
      </c>
      <c r="E7010" t="s">
        <v>312</v>
      </c>
      <c r="F7010" t="s">
        <v>7646</v>
      </c>
      <c r="G7010">
        <v>0</v>
      </c>
      <c r="H7010">
        <v>0</v>
      </c>
      <c r="I7010">
        <v>0</v>
      </c>
      <c r="J7010">
        <v>0</v>
      </c>
      <c r="K7010">
        <v>0</v>
      </c>
      <c r="L7010">
        <v>0</v>
      </c>
      <c r="M7010">
        <v>0</v>
      </c>
      <c r="N7010">
        <v>0</v>
      </c>
      <c r="O7010">
        <v>0</v>
      </c>
    </row>
    <row r="7011" spans="1:15" x14ac:dyDescent="0.35">
      <c r="A7011" t="s">
        <v>7628</v>
      </c>
      <c r="B7011" t="s">
        <v>7629</v>
      </c>
      <c r="C7011" t="s">
        <v>1644</v>
      </c>
      <c r="D7011" t="s">
        <v>314</v>
      </c>
      <c r="E7011" t="s">
        <v>310</v>
      </c>
      <c r="F7011" t="s">
        <v>7647</v>
      </c>
      <c r="G7011">
        <v>0</v>
      </c>
      <c r="H7011">
        <v>0</v>
      </c>
      <c r="I7011">
        <v>0</v>
      </c>
      <c r="J7011">
        <v>0</v>
      </c>
      <c r="K7011">
        <v>0</v>
      </c>
      <c r="L7011">
        <v>0</v>
      </c>
      <c r="M7011">
        <v>0</v>
      </c>
      <c r="N7011">
        <v>0</v>
      </c>
      <c r="O7011">
        <v>0</v>
      </c>
    </row>
    <row r="7012" spans="1:15" x14ac:dyDescent="0.35">
      <c r="A7012" t="s">
        <v>7628</v>
      </c>
      <c r="B7012" t="s">
        <v>7629</v>
      </c>
      <c r="C7012" t="s">
        <v>1644</v>
      </c>
      <c r="D7012" t="s">
        <v>323</v>
      </c>
      <c r="E7012" t="s">
        <v>294</v>
      </c>
      <c r="F7012" t="s">
        <v>7648</v>
      </c>
      <c r="G7012">
        <v>761</v>
      </c>
      <c r="H7012">
        <v>88833.82</v>
      </c>
      <c r="I7012">
        <v>116.73</v>
      </c>
      <c r="J7012">
        <v>1820</v>
      </c>
      <c r="K7012">
        <v>202475</v>
      </c>
      <c r="L7012">
        <v>111.25</v>
      </c>
      <c r="M7012">
        <v>2581</v>
      </c>
      <c r="N7012">
        <v>291308.82</v>
      </c>
      <c r="O7012">
        <v>112.87</v>
      </c>
    </row>
    <row r="7013" spans="1:15" x14ac:dyDescent="0.35">
      <c r="A7013" t="s">
        <v>7628</v>
      </c>
      <c r="B7013" t="s">
        <v>7629</v>
      </c>
      <c r="C7013" t="s">
        <v>1644</v>
      </c>
      <c r="D7013" t="s">
        <v>323</v>
      </c>
      <c r="E7013" t="s">
        <v>296</v>
      </c>
      <c r="F7013" t="s">
        <v>7649</v>
      </c>
      <c r="G7013">
        <v>1157</v>
      </c>
      <c r="H7013">
        <v>163378.13999999998</v>
      </c>
      <c r="I7013">
        <v>141.21</v>
      </c>
      <c r="J7013">
        <v>2640</v>
      </c>
      <c r="K7013">
        <v>336362.39999999997</v>
      </c>
      <c r="L7013">
        <v>127.41</v>
      </c>
      <c r="M7013">
        <v>3797</v>
      </c>
      <c r="N7013">
        <v>499740.53999999992</v>
      </c>
      <c r="O7013">
        <v>131.61000000000001</v>
      </c>
    </row>
    <row r="7014" spans="1:15" x14ac:dyDescent="0.35">
      <c r="A7014" t="s">
        <v>7628</v>
      </c>
      <c r="B7014" t="s">
        <v>7629</v>
      </c>
      <c r="C7014" t="s">
        <v>1644</v>
      </c>
      <c r="D7014" t="s">
        <v>323</v>
      </c>
      <c r="E7014" t="s">
        <v>298</v>
      </c>
      <c r="F7014" t="s">
        <v>7650</v>
      </c>
      <c r="G7014">
        <v>868</v>
      </c>
      <c r="H7014">
        <v>135345.10999999999</v>
      </c>
      <c r="I7014">
        <v>155.93</v>
      </c>
      <c r="J7014">
        <v>2977</v>
      </c>
      <c r="K7014">
        <v>429938.33999999997</v>
      </c>
      <c r="L7014">
        <v>144.41999999999999</v>
      </c>
      <c r="M7014">
        <v>3845</v>
      </c>
      <c r="N7014">
        <v>565283.44999999995</v>
      </c>
      <c r="O7014">
        <v>147.02000000000001</v>
      </c>
    </row>
    <row r="7015" spans="1:15" x14ac:dyDescent="0.35">
      <c r="A7015" t="s">
        <v>7628</v>
      </c>
      <c r="B7015" t="s">
        <v>7629</v>
      </c>
      <c r="C7015" t="s">
        <v>1644</v>
      </c>
      <c r="D7015" t="s">
        <v>323</v>
      </c>
      <c r="E7015" t="s">
        <v>300</v>
      </c>
      <c r="F7015" t="s">
        <v>7651</v>
      </c>
      <c r="G7015">
        <v>182</v>
      </c>
      <c r="H7015">
        <v>31611.879999999997</v>
      </c>
      <c r="I7015">
        <v>173.69</v>
      </c>
      <c r="J7015">
        <v>287</v>
      </c>
      <c r="K7015">
        <v>46057.759999999995</v>
      </c>
      <c r="L7015">
        <v>160.47999999999999</v>
      </c>
      <c r="M7015">
        <v>469</v>
      </c>
      <c r="N7015">
        <v>77669.639999999985</v>
      </c>
      <c r="O7015">
        <v>165.61</v>
      </c>
    </row>
    <row r="7016" spans="1:15" x14ac:dyDescent="0.35">
      <c r="A7016" t="s">
        <v>7628</v>
      </c>
      <c r="B7016" t="s">
        <v>7629</v>
      </c>
      <c r="C7016" t="s">
        <v>1644</v>
      </c>
      <c r="D7016" t="s">
        <v>323</v>
      </c>
      <c r="E7016" t="s">
        <v>302</v>
      </c>
      <c r="F7016" t="s">
        <v>7652</v>
      </c>
      <c r="G7016">
        <v>25</v>
      </c>
      <c r="H7016">
        <v>4802.0200000000004</v>
      </c>
      <c r="I7016">
        <v>192.08</v>
      </c>
      <c r="J7016">
        <v>33</v>
      </c>
      <c r="K7016">
        <v>5504.7300000000005</v>
      </c>
      <c r="L7016">
        <v>166.81</v>
      </c>
      <c r="M7016">
        <v>58</v>
      </c>
      <c r="N7016">
        <v>10306.75</v>
      </c>
      <c r="O7016">
        <v>177.7</v>
      </c>
    </row>
    <row r="7017" spans="1:15" x14ac:dyDescent="0.35">
      <c r="A7017" t="s">
        <v>7628</v>
      </c>
      <c r="B7017" t="s">
        <v>7629</v>
      </c>
      <c r="C7017" t="s">
        <v>1644</v>
      </c>
      <c r="D7017" t="s">
        <v>323</v>
      </c>
      <c r="E7017" t="s">
        <v>304</v>
      </c>
      <c r="F7017" t="s">
        <v>7653</v>
      </c>
      <c r="G7017">
        <v>1</v>
      </c>
      <c r="H7017">
        <v>194.05</v>
      </c>
      <c r="I7017">
        <v>194.05</v>
      </c>
      <c r="J7017">
        <v>6</v>
      </c>
      <c r="K7017">
        <v>1095.18</v>
      </c>
      <c r="L7017">
        <v>182.53</v>
      </c>
      <c r="M7017">
        <v>7</v>
      </c>
      <c r="N7017">
        <v>1289.23</v>
      </c>
      <c r="O7017">
        <v>184.18</v>
      </c>
    </row>
    <row r="7018" spans="1:15" x14ac:dyDescent="0.35">
      <c r="A7018" t="s">
        <v>7628</v>
      </c>
      <c r="B7018" t="s">
        <v>7629</v>
      </c>
      <c r="C7018" t="s">
        <v>1644</v>
      </c>
      <c r="D7018" t="s">
        <v>323</v>
      </c>
      <c r="E7018" t="s">
        <v>306</v>
      </c>
      <c r="F7018" t="s">
        <v>7654</v>
      </c>
      <c r="G7018">
        <v>63</v>
      </c>
      <c r="H7018">
        <v>6309.21</v>
      </c>
      <c r="I7018">
        <v>100.15</v>
      </c>
      <c r="J7018">
        <v>163</v>
      </c>
      <c r="K7018">
        <v>13661.03</v>
      </c>
      <c r="L7018">
        <v>83.81</v>
      </c>
      <c r="M7018">
        <v>226</v>
      </c>
      <c r="N7018">
        <v>19970.240000000002</v>
      </c>
      <c r="O7018">
        <v>88.36</v>
      </c>
    </row>
    <row r="7019" spans="1:15" x14ac:dyDescent="0.35">
      <c r="A7019" t="s">
        <v>7628</v>
      </c>
      <c r="B7019" t="s">
        <v>7629</v>
      </c>
      <c r="C7019" t="s">
        <v>1644</v>
      </c>
      <c r="D7019" t="s">
        <v>323</v>
      </c>
      <c r="E7019" t="s">
        <v>308</v>
      </c>
      <c r="F7019" t="s">
        <v>7655</v>
      </c>
      <c r="G7019">
        <v>2</v>
      </c>
      <c r="H7019">
        <v>209.18</v>
      </c>
      <c r="I7019">
        <v>104.59</v>
      </c>
      <c r="J7019">
        <v>0</v>
      </c>
      <c r="K7019">
        <v>0</v>
      </c>
      <c r="L7019">
        <v>0</v>
      </c>
      <c r="M7019">
        <v>2</v>
      </c>
      <c r="N7019">
        <v>209.18</v>
      </c>
      <c r="O7019">
        <v>104.59</v>
      </c>
    </row>
    <row r="7020" spans="1:15" x14ac:dyDescent="0.35">
      <c r="A7020" t="s">
        <v>7628</v>
      </c>
      <c r="B7020" t="s">
        <v>7629</v>
      </c>
      <c r="C7020" t="s">
        <v>1644</v>
      </c>
      <c r="D7020" t="s">
        <v>323</v>
      </c>
      <c r="E7020" t="s">
        <v>310</v>
      </c>
      <c r="F7020" t="s">
        <v>7656</v>
      </c>
      <c r="G7020">
        <v>3059</v>
      </c>
      <c r="H7020">
        <v>430683.41</v>
      </c>
      <c r="I7020">
        <v>140.79</v>
      </c>
      <c r="J7020">
        <v>7926</v>
      </c>
      <c r="K7020">
        <v>1035094.44</v>
      </c>
      <c r="L7020">
        <v>130.59</v>
      </c>
      <c r="M7020">
        <v>10985</v>
      </c>
      <c r="N7020">
        <v>1465777.8499999999</v>
      </c>
      <c r="O7020">
        <v>133.43</v>
      </c>
    </row>
    <row r="7021" spans="1:15" x14ac:dyDescent="0.35">
      <c r="A7021" t="s">
        <v>7628</v>
      </c>
      <c r="B7021" t="s">
        <v>7629</v>
      </c>
      <c r="C7021" t="s">
        <v>1644</v>
      </c>
      <c r="D7021" t="s">
        <v>323</v>
      </c>
      <c r="E7021" t="s">
        <v>312</v>
      </c>
      <c r="F7021" t="s">
        <v>7657</v>
      </c>
      <c r="G7021">
        <v>3057</v>
      </c>
      <c r="H7021">
        <v>430474.23</v>
      </c>
      <c r="I7021">
        <v>140.82</v>
      </c>
      <c r="J7021">
        <v>7926</v>
      </c>
      <c r="K7021">
        <v>1035094.44</v>
      </c>
      <c r="L7021">
        <v>130.59</v>
      </c>
      <c r="M7021">
        <v>10983</v>
      </c>
      <c r="N7021">
        <v>1465568.67</v>
      </c>
      <c r="O7021">
        <v>133.44</v>
      </c>
    </row>
    <row r="7022" spans="1:15" x14ac:dyDescent="0.35">
      <c r="A7022" t="s">
        <v>7628</v>
      </c>
      <c r="B7022" t="s">
        <v>7629</v>
      </c>
      <c r="C7022" t="s">
        <v>1644</v>
      </c>
      <c r="D7022" t="s">
        <v>334</v>
      </c>
      <c r="E7022" t="s">
        <v>312</v>
      </c>
      <c r="F7022" t="s">
        <v>7658</v>
      </c>
      <c r="G7022">
        <v>3210</v>
      </c>
      <c r="H7022">
        <v>452819.92000000004</v>
      </c>
      <c r="I7022">
        <v>143.34</v>
      </c>
      <c r="J7022">
        <v>7993</v>
      </c>
      <c r="K7022">
        <v>1050876.8999999999</v>
      </c>
      <c r="L7022">
        <v>131.47</v>
      </c>
      <c r="M7022">
        <v>11203</v>
      </c>
      <c r="N7022">
        <v>1503696.8199999998</v>
      </c>
      <c r="O7022">
        <v>134.84</v>
      </c>
    </row>
    <row r="7023" spans="1:15" x14ac:dyDescent="0.35">
      <c r="A7023" t="s">
        <v>7628</v>
      </c>
      <c r="B7023" t="s">
        <v>7629</v>
      </c>
      <c r="C7023" t="s">
        <v>1644</v>
      </c>
      <c r="D7023" t="s">
        <v>334</v>
      </c>
      <c r="E7023" t="s">
        <v>308</v>
      </c>
      <c r="F7023" t="s">
        <v>7659</v>
      </c>
      <c r="G7023">
        <v>53</v>
      </c>
      <c r="H7023">
        <v>209.18</v>
      </c>
      <c r="I7023">
        <v>104.59</v>
      </c>
      <c r="J7023">
        <v>0</v>
      </c>
      <c r="K7023">
        <v>0</v>
      </c>
      <c r="L7023">
        <v>0</v>
      </c>
      <c r="M7023">
        <v>53</v>
      </c>
      <c r="N7023">
        <v>209.18</v>
      </c>
      <c r="O7023">
        <v>104.59</v>
      </c>
    </row>
    <row r="7024" spans="1:15" x14ac:dyDescent="0.35">
      <c r="A7024" t="s">
        <v>7628</v>
      </c>
      <c r="B7024" t="s">
        <v>7629</v>
      </c>
      <c r="C7024" t="s">
        <v>1644</v>
      </c>
      <c r="D7024" t="s">
        <v>337</v>
      </c>
      <c r="E7024" t="s">
        <v>337</v>
      </c>
      <c r="F7024" t="s">
        <v>7660</v>
      </c>
      <c r="G7024">
        <v>796</v>
      </c>
      <c r="J7024">
        <v>69</v>
      </c>
      <c r="M7024">
        <v>865</v>
      </c>
    </row>
    <row r="7025" spans="1:15" x14ac:dyDescent="0.35">
      <c r="A7025" t="s">
        <v>7628</v>
      </c>
      <c r="B7025" t="s">
        <v>7629</v>
      </c>
      <c r="C7025" t="s">
        <v>1644</v>
      </c>
      <c r="D7025" t="s">
        <v>339</v>
      </c>
      <c r="E7025" t="s">
        <v>294</v>
      </c>
      <c r="F7025" t="s">
        <v>7661</v>
      </c>
      <c r="G7025">
        <v>541</v>
      </c>
      <c r="H7025">
        <v>69496.52</v>
      </c>
      <c r="I7025">
        <v>128.46</v>
      </c>
      <c r="J7025">
        <v>0</v>
      </c>
      <c r="K7025">
        <v>0</v>
      </c>
      <c r="L7025">
        <v>0</v>
      </c>
      <c r="M7025">
        <v>541</v>
      </c>
      <c r="N7025">
        <v>69496.52</v>
      </c>
      <c r="O7025">
        <v>128.46</v>
      </c>
    </row>
    <row r="7026" spans="1:15" x14ac:dyDescent="0.35">
      <c r="A7026" t="s">
        <v>7628</v>
      </c>
      <c r="B7026" t="s">
        <v>7629</v>
      </c>
      <c r="C7026" t="s">
        <v>1644</v>
      </c>
      <c r="D7026" t="s">
        <v>339</v>
      </c>
      <c r="E7026" t="s">
        <v>296</v>
      </c>
      <c r="F7026" t="s">
        <v>7662</v>
      </c>
      <c r="G7026">
        <v>118</v>
      </c>
      <c r="H7026">
        <v>17868.989999999998</v>
      </c>
      <c r="I7026">
        <v>151.43</v>
      </c>
      <c r="J7026">
        <v>0</v>
      </c>
      <c r="K7026">
        <v>0</v>
      </c>
      <c r="L7026">
        <v>0</v>
      </c>
      <c r="M7026">
        <v>118</v>
      </c>
      <c r="N7026">
        <v>17868.989999999998</v>
      </c>
      <c r="O7026">
        <v>151.43</v>
      </c>
    </row>
    <row r="7027" spans="1:15" x14ac:dyDescent="0.35">
      <c r="A7027" t="s">
        <v>7628</v>
      </c>
      <c r="B7027" t="s">
        <v>7629</v>
      </c>
      <c r="C7027" t="s">
        <v>1644</v>
      </c>
      <c r="D7027" t="s">
        <v>339</v>
      </c>
      <c r="E7027" t="s">
        <v>298</v>
      </c>
      <c r="F7027" t="s">
        <v>7663</v>
      </c>
      <c r="G7027">
        <v>8</v>
      </c>
      <c r="H7027">
        <v>1171.97</v>
      </c>
      <c r="I7027">
        <v>146.5</v>
      </c>
      <c r="J7027">
        <v>0</v>
      </c>
      <c r="K7027">
        <v>0</v>
      </c>
      <c r="L7027">
        <v>0</v>
      </c>
      <c r="M7027">
        <v>8</v>
      </c>
      <c r="N7027">
        <v>1171.97</v>
      </c>
      <c r="O7027">
        <v>146.5</v>
      </c>
    </row>
    <row r="7028" spans="1:15" x14ac:dyDescent="0.35">
      <c r="A7028" t="s">
        <v>7628</v>
      </c>
      <c r="B7028" t="s">
        <v>7629</v>
      </c>
      <c r="C7028" t="s">
        <v>1644</v>
      </c>
      <c r="D7028" t="s">
        <v>339</v>
      </c>
      <c r="E7028" t="s">
        <v>300</v>
      </c>
      <c r="F7028" t="s">
        <v>7664</v>
      </c>
      <c r="G7028">
        <v>1</v>
      </c>
      <c r="H7028">
        <v>212.51</v>
      </c>
      <c r="I7028">
        <v>212.51</v>
      </c>
      <c r="J7028">
        <v>0</v>
      </c>
      <c r="K7028">
        <v>0</v>
      </c>
      <c r="L7028">
        <v>0</v>
      </c>
      <c r="M7028">
        <v>1</v>
      </c>
      <c r="N7028">
        <v>212.51</v>
      </c>
      <c r="O7028">
        <v>212.51</v>
      </c>
    </row>
    <row r="7029" spans="1:15" x14ac:dyDescent="0.35">
      <c r="A7029" t="s">
        <v>7628</v>
      </c>
      <c r="B7029" t="s">
        <v>7629</v>
      </c>
      <c r="C7029" t="s">
        <v>1644</v>
      </c>
      <c r="D7029" t="s">
        <v>339</v>
      </c>
      <c r="E7029" t="s">
        <v>306</v>
      </c>
      <c r="F7029" t="s">
        <v>7665</v>
      </c>
      <c r="G7029">
        <v>174</v>
      </c>
      <c r="H7029">
        <v>17937.260000000002</v>
      </c>
      <c r="I7029">
        <v>103.09</v>
      </c>
      <c r="J7029">
        <v>0</v>
      </c>
      <c r="K7029">
        <v>0</v>
      </c>
      <c r="L7029">
        <v>0</v>
      </c>
      <c r="M7029">
        <v>174</v>
      </c>
      <c r="N7029">
        <v>17937.260000000002</v>
      </c>
      <c r="O7029">
        <v>103.09</v>
      </c>
    </row>
    <row r="7030" spans="1:15" x14ac:dyDescent="0.35">
      <c r="A7030" t="s">
        <v>7628</v>
      </c>
      <c r="B7030" t="s">
        <v>7629</v>
      </c>
      <c r="C7030" t="s">
        <v>1644</v>
      </c>
      <c r="D7030" t="s">
        <v>339</v>
      </c>
      <c r="E7030" t="s">
        <v>308</v>
      </c>
      <c r="F7030" t="s">
        <v>7666</v>
      </c>
      <c r="G7030">
        <v>318</v>
      </c>
      <c r="H7030">
        <v>37361.42</v>
      </c>
      <c r="I7030">
        <v>117.49</v>
      </c>
      <c r="J7030">
        <v>0</v>
      </c>
      <c r="K7030">
        <v>0</v>
      </c>
      <c r="L7030">
        <v>0</v>
      </c>
      <c r="M7030">
        <v>318</v>
      </c>
      <c r="N7030">
        <v>37361.42</v>
      </c>
      <c r="O7030">
        <v>117.49</v>
      </c>
    </row>
    <row r="7031" spans="1:15" x14ac:dyDescent="0.35">
      <c r="A7031" t="s">
        <v>7628</v>
      </c>
      <c r="B7031" t="s">
        <v>7629</v>
      </c>
      <c r="C7031" t="s">
        <v>1644</v>
      </c>
      <c r="D7031" t="s">
        <v>339</v>
      </c>
      <c r="E7031" t="s">
        <v>310</v>
      </c>
      <c r="F7031" t="s">
        <v>7667</v>
      </c>
      <c r="G7031">
        <v>1160</v>
      </c>
      <c r="H7031">
        <v>144048.66999999998</v>
      </c>
      <c r="I7031">
        <v>124.18</v>
      </c>
      <c r="J7031">
        <v>0</v>
      </c>
      <c r="K7031">
        <v>0</v>
      </c>
      <c r="L7031">
        <v>0</v>
      </c>
      <c r="M7031">
        <v>1160</v>
      </c>
      <c r="N7031">
        <v>144048.66999999998</v>
      </c>
      <c r="O7031">
        <v>124.18</v>
      </c>
    </row>
    <row r="7032" spans="1:15" x14ac:dyDescent="0.35">
      <c r="A7032" t="s">
        <v>7628</v>
      </c>
      <c r="B7032" t="s">
        <v>7629</v>
      </c>
      <c r="C7032" t="s">
        <v>1644</v>
      </c>
      <c r="D7032" t="s">
        <v>339</v>
      </c>
      <c r="E7032" t="s">
        <v>312</v>
      </c>
      <c r="F7032" t="s">
        <v>7668</v>
      </c>
      <c r="G7032">
        <v>842</v>
      </c>
      <c r="H7032">
        <v>106687.25</v>
      </c>
      <c r="I7032">
        <v>126.71</v>
      </c>
      <c r="J7032">
        <v>0</v>
      </c>
      <c r="K7032">
        <v>0</v>
      </c>
      <c r="L7032">
        <v>0</v>
      </c>
      <c r="M7032">
        <v>842</v>
      </c>
      <c r="N7032">
        <v>106687.25</v>
      </c>
      <c r="O7032">
        <v>126.71</v>
      </c>
    </row>
    <row r="7033" spans="1:15" x14ac:dyDescent="0.35">
      <c r="A7033" t="s">
        <v>7628</v>
      </c>
      <c r="B7033" t="s">
        <v>7629</v>
      </c>
      <c r="C7033" t="s">
        <v>1644</v>
      </c>
      <c r="D7033" t="s">
        <v>348</v>
      </c>
      <c r="E7033" t="s">
        <v>349</v>
      </c>
      <c r="F7033" t="s">
        <v>7669</v>
      </c>
      <c r="G7033">
        <v>1228</v>
      </c>
      <c r="H7033">
        <v>144048.66999999998</v>
      </c>
      <c r="I7033">
        <v>124.18</v>
      </c>
      <c r="J7033">
        <v>0</v>
      </c>
      <c r="K7033">
        <v>0</v>
      </c>
      <c r="L7033">
        <v>0</v>
      </c>
      <c r="M7033">
        <v>1228</v>
      </c>
      <c r="N7033">
        <v>144048.66999999998</v>
      </c>
      <c r="O7033">
        <v>124.18</v>
      </c>
    </row>
    <row r="7034" spans="1:15" x14ac:dyDescent="0.35">
      <c r="A7034" t="s">
        <v>7670</v>
      </c>
      <c r="B7034" t="s">
        <v>7671</v>
      </c>
      <c r="C7034" t="s">
        <v>1644</v>
      </c>
      <c r="D7034" t="s">
        <v>293</v>
      </c>
      <c r="E7034" t="s">
        <v>294</v>
      </c>
      <c r="F7034" t="s">
        <v>7672</v>
      </c>
      <c r="G7034">
        <v>313</v>
      </c>
      <c r="H7034">
        <v>55115.479999999989</v>
      </c>
      <c r="I7034">
        <v>176.09</v>
      </c>
      <c r="J7034">
        <v>0</v>
      </c>
      <c r="K7034">
        <v>0</v>
      </c>
      <c r="L7034">
        <v>0</v>
      </c>
      <c r="M7034">
        <v>313</v>
      </c>
      <c r="N7034">
        <v>55115.479999999989</v>
      </c>
      <c r="O7034">
        <v>176.09</v>
      </c>
    </row>
    <row r="7035" spans="1:15" x14ac:dyDescent="0.35">
      <c r="A7035" t="s">
        <v>7670</v>
      </c>
      <c r="B7035" t="s">
        <v>7671</v>
      </c>
      <c r="C7035" t="s">
        <v>1644</v>
      </c>
      <c r="D7035" t="s">
        <v>293</v>
      </c>
      <c r="E7035" t="s">
        <v>296</v>
      </c>
      <c r="F7035" t="s">
        <v>7673</v>
      </c>
      <c r="G7035">
        <v>898</v>
      </c>
      <c r="H7035">
        <v>192167.75</v>
      </c>
      <c r="I7035">
        <v>214</v>
      </c>
      <c r="J7035">
        <v>0</v>
      </c>
      <c r="K7035">
        <v>0</v>
      </c>
      <c r="L7035">
        <v>0</v>
      </c>
      <c r="M7035">
        <v>898</v>
      </c>
      <c r="N7035">
        <v>192167.75</v>
      </c>
      <c r="O7035">
        <v>214</v>
      </c>
    </row>
    <row r="7036" spans="1:15" x14ac:dyDescent="0.35">
      <c r="A7036" t="s">
        <v>7670</v>
      </c>
      <c r="B7036" t="s">
        <v>7671</v>
      </c>
      <c r="C7036" t="s">
        <v>1644</v>
      </c>
      <c r="D7036" t="s">
        <v>293</v>
      </c>
      <c r="E7036" t="s">
        <v>298</v>
      </c>
      <c r="F7036" t="s">
        <v>7674</v>
      </c>
      <c r="G7036">
        <v>399</v>
      </c>
      <c r="H7036">
        <v>105741.95999999998</v>
      </c>
      <c r="I7036">
        <v>265.02</v>
      </c>
      <c r="J7036">
        <v>0</v>
      </c>
      <c r="K7036">
        <v>0</v>
      </c>
      <c r="L7036">
        <v>0</v>
      </c>
      <c r="M7036">
        <v>399</v>
      </c>
      <c r="N7036">
        <v>105741.95999999998</v>
      </c>
      <c r="O7036">
        <v>265.02</v>
      </c>
    </row>
    <row r="7037" spans="1:15" x14ac:dyDescent="0.35">
      <c r="A7037" t="s">
        <v>7670</v>
      </c>
      <c r="B7037" t="s">
        <v>7671</v>
      </c>
      <c r="C7037" t="s">
        <v>1644</v>
      </c>
      <c r="D7037" t="s">
        <v>293</v>
      </c>
      <c r="E7037" t="s">
        <v>300</v>
      </c>
      <c r="F7037" t="s">
        <v>7675</v>
      </c>
      <c r="G7037">
        <v>74</v>
      </c>
      <c r="H7037">
        <v>23570.3</v>
      </c>
      <c r="I7037">
        <v>318.52</v>
      </c>
      <c r="J7037">
        <v>0</v>
      </c>
      <c r="K7037">
        <v>0</v>
      </c>
      <c r="L7037">
        <v>0</v>
      </c>
      <c r="M7037">
        <v>74</v>
      </c>
      <c r="N7037">
        <v>23570.3</v>
      </c>
      <c r="O7037">
        <v>318.52</v>
      </c>
    </row>
    <row r="7038" spans="1:15" x14ac:dyDescent="0.35">
      <c r="A7038" t="s">
        <v>7670</v>
      </c>
      <c r="B7038" t="s">
        <v>7671</v>
      </c>
      <c r="C7038" t="s">
        <v>1644</v>
      </c>
      <c r="D7038" t="s">
        <v>293</v>
      </c>
      <c r="E7038" t="s">
        <v>302</v>
      </c>
      <c r="F7038" t="s">
        <v>7676</v>
      </c>
      <c r="G7038">
        <v>0</v>
      </c>
      <c r="H7038">
        <v>0</v>
      </c>
      <c r="I7038">
        <v>0</v>
      </c>
      <c r="J7038">
        <v>0</v>
      </c>
      <c r="K7038">
        <v>0</v>
      </c>
      <c r="L7038">
        <v>0</v>
      </c>
      <c r="M7038">
        <v>0</v>
      </c>
      <c r="N7038">
        <v>0</v>
      </c>
      <c r="O7038">
        <v>0</v>
      </c>
    </row>
    <row r="7039" spans="1:15" x14ac:dyDescent="0.35">
      <c r="A7039" t="s">
        <v>7670</v>
      </c>
      <c r="B7039" t="s">
        <v>7671</v>
      </c>
      <c r="C7039" t="s">
        <v>1644</v>
      </c>
      <c r="D7039" t="s">
        <v>293</v>
      </c>
      <c r="E7039" t="s">
        <v>304</v>
      </c>
      <c r="F7039" t="s">
        <v>7677</v>
      </c>
      <c r="G7039">
        <v>0</v>
      </c>
      <c r="H7039">
        <v>0</v>
      </c>
      <c r="I7039">
        <v>0</v>
      </c>
      <c r="J7039">
        <v>0</v>
      </c>
      <c r="K7039">
        <v>0</v>
      </c>
      <c r="L7039">
        <v>0</v>
      </c>
      <c r="M7039">
        <v>0</v>
      </c>
      <c r="N7039">
        <v>0</v>
      </c>
      <c r="O7039">
        <v>0</v>
      </c>
    </row>
    <row r="7040" spans="1:15" x14ac:dyDescent="0.35">
      <c r="A7040" t="s">
        <v>7670</v>
      </c>
      <c r="B7040" t="s">
        <v>7671</v>
      </c>
      <c r="C7040" t="s">
        <v>1644</v>
      </c>
      <c r="D7040" t="s">
        <v>293</v>
      </c>
      <c r="E7040" t="s">
        <v>306</v>
      </c>
      <c r="F7040" t="s">
        <v>7678</v>
      </c>
      <c r="G7040">
        <v>3</v>
      </c>
      <c r="H7040">
        <v>743.4799999999999</v>
      </c>
      <c r="I7040">
        <v>247.83</v>
      </c>
      <c r="J7040">
        <v>0</v>
      </c>
      <c r="K7040">
        <v>0</v>
      </c>
      <c r="L7040">
        <v>0</v>
      </c>
      <c r="M7040">
        <v>3</v>
      </c>
      <c r="N7040">
        <v>743.4799999999999</v>
      </c>
      <c r="O7040">
        <v>247.83</v>
      </c>
    </row>
    <row r="7041" spans="1:15" x14ac:dyDescent="0.35">
      <c r="A7041" t="s">
        <v>7670</v>
      </c>
      <c r="B7041" t="s">
        <v>7671</v>
      </c>
      <c r="C7041" t="s">
        <v>1644</v>
      </c>
      <c r="D7041" t="s">
        <v>293</v>
      </c>
      <c r="E7041" t="s">
        <v>308</v>
      </c>
      <c r="F7041" t="s">
        <v>7679</v>
      </c>
      <c r="G7041">
        <v>0</v>
      </c>
      <c r="H7041">
        <v>0</v>
      </c>
      <c r="I7041">
        <v>0</v>
      </c>
      <c r="J7041">
        <v>0</v>
      </c>
      <c r="K7041">
        <v>0</v>
      </c>
      <c r="L7041">
        <v>0</v>
      </c>
      <c r="M7041">
        <v>0</v>
      </c>
      <c r="N7041">
        <v>0</v>
      </c>
      <c r="O7041">
        <v>0</v>
      </c>
    </row>
    <row r="7042" spans="1:15" x14ac:dyDescent="0.35">
      <c r="A7042" t="s">
        <v>7670</v>
      </c>
      <c r="B7042" t="s">
        <v>7671</v>
      </c>
      <c r="C7042" t="s">
        <v>1644</v>
      </c>
      <c r="D7042" t="s">
        <v>293</v>
      </c>
      <c r="E7042" t="s">
        <v>310</v>
      </c>
      <c r="F7042" t="s">
        <v>7680</v>
      </c>
      <c r="G7042">
        <v>1687</v>
      </c>
      <c r="H7042">
        <v>377338.96999999991</v>
      </c>
      <c r="I7042">
        <v>223.67</v>
      </c>
      <c r="J7042">
        <v>0</v>
      </c>
      <c r="K7042">
        <v>0</v>
      </c>
      <c r="L7042">
        <v>0</v>
      </c>
      <c r="M7042">
        <v>1687</v>
      </c>
      <c r="N7042">
        <v>377338.96999999991</v>
      </c>
      <c r="O7042">
        <v>223.67</v>
      </c>
    </row>
    <row r="7043" spans="1:15" x14ac:dyDescent="0.35">
      <c r="A7043" t="s">
        <v>7670</v>
      </c>
      <c r="B7043" t="s">
        <v>7671</v>
      </c>
      <c r="C7043" t="s">
        <v>1644</v>
      </c>
      <c r="D7043" t="s">
        <v>293</v>
      </c>
      <c r="E7043" t="s">
        <v>312</v>
      </c>
      <c r="F7043" t="s">
        <v>7681</v>
      </c>
      <c r="G7043">
        <v>1687</v>
      </c>
      <c r="H7043">
        <v>377338.96999999991</v>
      </c>
      <c r="I7043">
        <v>223.67</v>
      </c>
      <c r="J7043">
        <v>0</v>
      </c>
      <c r="K7043">
        <v>0</v>
      </c>
      <c r="L7043">
        <v>0</v>
      </c>
      <c r="M7043">
        <v>1687</v>
      </c>
      <c r="N7043">
        <v>377338.96999999991</v>
      </c>
      <c r="O7043">
        <v>223.67</v>
      </c>
    </row>
    <row r="7044" spans="1:15" x14ac:dyDescent="0.35">
      <c r="A7044" t="s">
        <v>7670</v>
      </c>
      <c r="B7044" t="s">
        <v>7671</v>
      </c>
      <c r="C7044" t="s">
        <v>1644</v>
      </c>
      <c r="D7044" t="s">
        <v>314</v>
      </c>
      <c r="E7044" t="s">
        <v>294</v>
      </c>
      <c r="F7044" t="s">
        <v>7682</v>
      </c>
      <c r="G7044">
        <v>44</v>
      </c>
      <c r="H7044">
        <v>8401.84</v>
      </c>
      <c r="I7044">
        <v>190.95</v>
      </c>
      <c r="J7044">
        <v>0</v>
      </c>
      <c r="K7044">
        <v>0</v>
      </c>
      <c r="L7044">
        <v>0</v>
      </c>
      <c r="M7044">
        <v>44</v>
      </c>
      <c r="N7044">
        <v>8401.84</v>
      </c>
      <c r="O7044">
        <v>190.95</v>
      </c>
    </row>
    <row r="7045" spans="1:15" x14ac:dyDescent="0.35">
      <c r="A7045" t="s">
        <v>7670</v>
      </c>
      <c r="B7045" t="s">
        <v>7671</v>
      </c>
      <c r="C7045" t="s">
        <v>1644</v>
      </c>
      <c r="D7045" t="s">
        <v>314</v>
      </c>
      <c r="E7045" t="s">
        <v>296</v>
      </c>
      <c r="F7045" t="s">
        <v>7683</v>
      </c>
      <c r="G7045">
        <v>32</v>
      </c>
      <c r="H7045">
        <v>6775.52</v>
      </c>
      <c r="I7045">
        <v>211.74</v>
      </c>
      <c r="J7045">
        <v>0</v>
      </c>
      <c r="K7045">
        <v>0</v>
      </c>
      <c r="L7045">
        <v>0</v>
      </c>
      <c r="M7045">
        <v>32</v>
      </c>
      <c r="N7045">
        <v>6775.52</v>
      </c>
      <c r="O7045">
        <v>211.74</v>
      </c>
    </row>
    <row r="7046" spans="1:15" x14ac:dyDescent="0.35">
      <c r="A7046" t="s">
        <v>7670</v>
      </c>
      <c r="B7046" t="s">
        <v>7671</v>
      </c>
      <c r="C7046" t="s">
        <v>1644</v>
      </c>
      <c r="D7046" t="s">
        <v>314</v>
      </c>
      <c r="E7046" t="s">
        <v>298</v>
      </c>
      <c r="F7046" t="s">
        <v>7684</v>
      </c>
      <c r="G7046">
        <v>0</v>
      </c>
      <c r="H7046">
        <v>0</v>
      </c>
      <c r="I7046">
        <v>0</v>
      </c>
      <c r="J7046">
        <v>0</v>
      </c>
      <c r="K7046">
        <v>0</v>
      </c>
      <c r="L7046">
        <v>0</v>
      </c>
      <c r="M7046">
        <v>0</v>
      </c>
      <c r="N7046">
        <v>0</v>
      </c>
      <c r="O7046">
        <v>0</v>
      </c>
    </row>
    <row r="7047" spans="1:15" x14ac:dyDescent="0.35">
      <c r="A7047" t="s">
        <v>7670</v>
      </c>
      <c r="B7047" t="s">
        <v>7671</v>
      </c>
      <c r="C7047" t="s">
        <v>1644</v>
      </c>
      <c r="D7047" t="s">
        <v>314</v>
      </c>
      <c r="E7047" t="s">
        <v>300</v>
      </c>
      <c r="F7047" t="s">
        <v>7685</v>
      </c>
      <c r="G7047">
        <v>0</v>
      </c>
      <c r="H7047">
        <v>0</v>
      </c>
      <c r="I7047">
        <v>0</v>
      </c>
      <c r="J7047">
        <v>0</v>
      </c>
      <c r="K7047">
        <v>0</v>
      </c>
      <c r="L7047">
        <v>0</v>
      </c>
      <c r="M7047">
        <v>0</v>
      </c>
      <c r="N7047">
        <v>0</v>
      </c>
      <c r="O7047">
        <v>0</v>
      </c>
    </row>
    <row r="7048" spans="1:15" x14ac:dyDescent="0.35">
      <c r="A7048" t="s">
        <v>7670</v>
      </c>
      <c r="B7048" t="s">
        <v>7671</v>
      </c>
      <c r="C7048" t="s">
        <v>1644</v>
      </c>
      <c r="D7048" t="s">
        <v>314</v>
      </c>
      <c r="E7048" t="s">
        <v>306</v>
      </c>
      <c r="F7048" t="s">
        <v>7686</v>
      </c>
      <c r="G7048">
        <v>0</v>
      </c>
      <c r="H7048">
        <v>0</v>
      </c>
      <c r="I7048">
        <v>0</v>
      </c>
      <c r="J7048">
        <v>0</v>
      </c>
      <c r="K7048">
        <v>0</v>
      </c>
      <c r="L7048">
        <v>0</v>
      </c>
      <c r="M7048">
        <v>0</v>
      </c>
      <c r="N7048">
        <v>0</v>
      </c>
      <c r="O7048">
        <v>0</v>
      </c>
    </row>
    <row r="7049" spans="1:15" x14ac:dyDescent="0.35">
      <c r="A7049" t="s">
        <v>7670</v>
      </c>
      <c r="B7049" t="s">
        <v>7671</v>
      </c>
      <c r="C7049" t="s">
        <v>1644</v>
      </c>
      <c r="D7049" t="s">
        <v>314</v>
      </c>
      <c r="E7049" t="s">
        <v>308</v>
      </c>
      <c r="F7049" t="s">
        <v>7687</v>
      </c>
      <c r="G7049">
        <v>0</v>
      </c>
      <c r="H7049">
        <v>0</v>
      </c>
      <c r="I7049">
        <v>0</v>
      </c>
      <c r="J7049">
        <v>0</v>
      </c>
      <c r="K7049">
        <v>0</v>
      </c>
      <c r="L7049">
        <v>0</v>
      </c>
      <c r="M7049">
        <v>0</v>
      </c>
      <c r="N7049">
        <v>0</v>
      </c>
      <c r="O7049">
        <v>0</v>
      </c>
    </row>
    <row r="7050" spans="1:15" x14ac:dyDescent="0.35">
      <c r="A7050" t="s">
        <v>7670</v>
      </c>
      <c r="B7050" t="s">
        <v>7671</v>
      </c>
      <c r="C7050" t="s">
        <v>1644</v>
      </c>
      <c r="D7050" t="s">
        <v>314</v>
      </c>
      <c r="E7050" t="s">
        <v>312</v>
      </c>
      <c r="F7050" t="s">
        <v>7688</v>
      </c>
      <c r="G7050">
        <v>76</v>
      </c>
      <c r="H7050">
        <v>15177.36</v>
      </c>
      <c r="I7050">
        <v>199.7</v>
      </c>
      <c r="J7050">
        <v>0</v>
      </c>
      <c r="K7050">
        <v>0</v>
      </c>
      <c r="L7050">
        <v>0</v>
      </c>
      <c r="M7050">
        <v>76</v>
      </c>
      <c r="N7050">
        <v>15177.36</v>
      </c>
      <c r="O7050">
        <v>199.7</v>
      </c>
    </row>
    <row r="7051" spans="1:15" x14ac:dyDescent="0.35">
      <c r="A7051" t="s">
        <v>7670</v>
      </c>
      <c r="B7051" t="s">
        <v>7671</v>
      </c>
      <c r="C7051" t="s">
        <v>1644</v>
      </c>
      <c r="D7051" t="s">
        <v>314</v>
      </c>
      <c r="E7051" t="s">
        <v>310</v>
      </c>
      <c r="F7051" t="s">
        <v>7689</v>
      </c>
      <c r="G7051">
        <v>76</v>
      </c>
      <c r="H7051">
        <v>15177.36</v>
      </c>
      <c r="I7051">
        <v>199.7</v>
      </c>
      <c r="J7051">
        <v>0</v>
      </c>
      <c r="K7051">
        <v>0</v>
      </c>
      <c r="L7051">
        <v>0</v>
      </c>
      <c r="M7051">
        <v>76</v>
      </c>
      <c r="N7051">
        <v>15177.36</v>
      </c>
      <c r="O7051">
        <v>199.7</v>
      </c>
    </row>
    <row r="7052" spans="1:15" x14ac:dyDescent="0.35">
      <c r="A7052" t="s">
        <v>7670</v>
      </c>
      <c r="B7052" t="s">
        <v>7671</v>
      </c>
      <c r="C7052" t="s">
        <v>1644</v>
      </c>
      <c r="D7052" t="s">
        <v>323</v>
      </c>
      <c r="E7052" t="s">
        <v>294</v>
      </c>
      <c r="F7052" t="s">
        <v>7690</v>
      </c>
      <c r="G7052">
        <v>967</v>
      </c>
      <c r="H7052">
        <v>110016.43999999999</v>
      </c>
      <c r="I7052">
        <v>113.77</v>
      </c>
      <c r="J7052">
        <v>1</v>
      </c>
      <c r="K7052">
        <v>204.34</v>
      </c>
      <c r="L7052">
        <v>204.34</v>
      </c>
      <c r="M7052">
        <v>968</v>
      </c>
      <c r="N7052">
        <v>110220.77999999998</v>
      </c>
      <c r="O7052">
        <v>113.86</v>
      </c>
    </row>
    <row r="7053" spans="1:15" x14ac:dyDescent="0.35">
      <c r="A7053" t="s">
        <v>7670</v>
      </c>
      <c r="B7053" t="s">
        <v>7671</v>
      </c>
      <c r="C7053" t="s">
        <v>1644</v>
      </c>
      <c r="D7053" t="s">
        <v>323</v>
      </c>
      <c r="E7053" t="s">
        <v>296</v>
      </c>
      <c r="F7053" t="s">
        <v>7691</v>
      </c>
      <c r="G7053">
        <v>2045</v>
      </c>
      <c r="H7053">
        <v>271494.71000000002</v>
      </c>
      <c r="I7053">
        <v>132.76</v>
      </c>
      <c r="J7053">
        <v>21</v>
      </c>
      <c r="K7053">
        <v>3964.5899999999997</v>
      </c>
      <c r="L7053">
        <v>188.79</v>
      </c>
      <c r="M7053">
        <v>2066</v>
      </c>
      <c r="N7053">
        <v>275459.30000000005</v>
      </c>
      <c r="O7053">
        <v>133.33000000000001</v>
      </c>
    </row>
    <row r="7054" spans="1:15" x14ac:dyDescent="0.35">
      <c r="A7054" t="s">
        <v>7670</v>
      </c>
      <c r="B7054" t="s">
        <v>7671</v>
      </c>
      <c r="C7054" t="s">
        <v>1644</v>
      </c>
      <c r="D7054" t="s">
        <v>323</v>
      </c>
      <c r="E7054" t="s">
        <v>298</v>
      </c>
      <c r="F7054" t="s">
        <v>7692</v>
      </c>
      <c r="G7054">
        <v>2177</v>
      </c>
      <c r="H7054">
        <v>323918.67999999993</v>
      </c>
      <c r="I7054">
        <v>148.79</v>
      </c>
      <c r="J7054">
        <v>8</v>
      </c>
      <c r="K7054">
        <v>1769.84</v>
      </c>
      <c r="L7054">
        <v>221.23</v>
      </c>
      <c r="M7054">
        <v>2185</v>
      </c>
      <c r="N7054">
        <v>325688.51999999996</v>
      </c>
      <c r="O7054">
        <v>149.06</v>
      </c>
    </row>
    <row r="7055" spans="1:15" x14ac:dyDescent="0.35">
      <c r="A7055" t="s">
        <v>7670</v>
      </c>
      <c r="B7055" t="s">
        <v>7671</v>
      </c>
      <c r="C7055" t="s">
        <v>1644</v>
      </c>
      <c r="D7055" t="s">
        <v>323</v>
      </c>
      <c r="E7055" t="s">
        <v>300</v>
      </c>
      <c r="F7055" t="s">
        <v>7693</v>
      </c>
      <c r="G7055">
        <v>165</v>
      </c>
      <c r="H7055">
        <v>27824.449999999997</v>
      </c>
      <c r="I7055">
        <v>168.63</v>
      </c>
      <c r="J7055">
        <v>3</v>
      </c>
      <c r="K7055">
        <v>724.8</v>
      </c>
      <c r="L7055">
        <v>241.6</v>
      </c>
      <c r="M7055">
        <v>168</v>
      </c>
      <c r="N7055">
        <v>28549.249999999996</v>
      </c>
      <c r="O7055">
        <v>169.94</v>
      </c>
    </row>
    <row r="7056" spans="1:15" x14ac:dyDescent="0.35">
      <c r="A7056" t="s">
        <v>7670</v>
      </c>
      <c r="B7056" t="s">
        <v>7671</v>
      </c>
      <c r="C7056" t="s">
        <v>1644</v>
      </c>
      <c r="D7056" t="s">
        <v>323</v>
      </c>
      <c r="E7056" t="s">
        <v>302</v>
      </c>
      <c r="F7056" t="s">
        <v>7694</v>
      </c>
      <c r="G7056">
        <v>0</v>
      </c>
      <c r="H7056">
        <v>0</v>
      </c>
      <c r="I7056">
        <v>0</v>
      </c>
      <c r="J7056">
        <v>0</v>
      </c>
      <c r="K7056">
        <v>0</v>
      </c>
      <c r="L7056">
        <v>0</v>
      </c>
      <c r="M7056">
        <v>0</v>
      </c>
      <c r="N7056">
        <v>0</v>
      </c>
      <c r="O7056">
        <v>0</v>
      </c>
    </row>
    <row r="7057" spans="1:15" x14ac:dyDescent="0.35">
      <c r="A7057" t="s">
        <v>7670</v>
      </c>
      <c r="B7057" t="s">
        <v>7671</v>
      </c>
      <c r="C7057" t="s">
        <v>1644</v>
      </c>
      <c r="D7057" t="s">
        <v>323</v>
      </c>
      <c r="E7057" t="s">
        <v>304</v>
      </c>
      <c r="F7057" t="s">
        <v>7695</v>
      </c>
      <c r="G7057">
        <v>3</v>
      </c>
      <c r="H7057">
        <v>517.32000000000005</v>
      </c>
      <c r="I7057">
        <v>172.44</v>
      </c>
      <c r="J7057">
        <v>0</v>
      </c>
      <c r="K7057">
        <v>0</v>
      </c>
      <c r="L7057">
        <v>0</v>
      </c>
      <c r="M7057">
        <v>3</v>
      </c>
      <c r="N7057">
        <v>517.32000000000005</v>
      </c>
      <c r="O7057">
        <v>172.44</v>
      </c>
    </row>
    <row r="7058" spans="1:15" x14ac:dyDescent="0.35">
      <c r="A7058" t="s">
        <v>7670</v>
      </c>
      <c r="B7058" t="s">
        <v>7671</v>
      </c>
      <c r="C7058" t="s">
        <v>1644</v>
      </c>
      <c r="D7058" t="s">
        <v>323</v>
      </c>
      <c r="E7058" t="s">
        <v>306</v>
      </c>
      <c r="F7058" t="s">
        <v>7696</v>
      </c>
      <c r="G7058">
        <v>11</v>
      </c>
      <c r="H7058">
        <v>1006.6700000000001</v>
      </c>
      <c r="I7058">
        <v>91.52</v>
      </c>
      <c r="J7058">
        <v>0</v>
      </c>
      <c r="K7058">
        <v>0</v>
      </c>
      <c r="L7058">
        <v>0</v>
      </c>
      <c r="M7058">
        <v>11</v>
      </c>
      <c r="N7058">
        <v>1006.6700000000001</v>
      </c>
      <c r="O7058">
        <v>91.52</v>
      </c>
    </row>
    <row r="7059" spans="1:15" x14ac:dyDescent="0.35">
      <c r="A7059" t="s">
        <v>7670</v>
      </c>
      <c r="B7059" t="s">
        <v>7671</v>
      </c>
      <c r="C7059" t="s">
        <v>1644</v>
      </c>
      <c r="D7059" t="s">
        <v>323</v>
      </c>
      <c r="E7059" t="s">
        <v>308</v>
      </c>
      <c r="F7059" t="s">
        <v>7697</v>
      </c>
      <c r="G7059">
        <v>0</v>
      </c>
      <c r="H7059">
        <v>0</v>
      </c>
      <c r="I7059">
        <v>0</v>
      </c>
      <c r="J7059">
        <v>0</v>
      </c>
      <c r="K7059">
        <v>0</v>
      </c>
      <c r="L7059">
        <v>0</v>
      </c>
      <c r="M7059">
        <v>0</v>
      </c>
      <c r="N7059">
        <v>0</v>
      </c>
      <c r="O7059">
        <v>0</v>
      </c>
    </row>
    <row r="7060" spans="1:15" x14ac:dyDescent="0.35">
      <c r="A7060" t="s">
        <v>7670</v>
      </c>
      <c r="B7060" t="s">
        <v>7671</v>
      </c>
      <c r="C7060" t="s">
        <v>1644</v>
      </c>
      <c r="D7060" t="s">
        <v>323</v>
      </c>
      <c r="E7060" t="s">
        <v>310</v>
      </c>
      <c r="F7060" t="s">
        <v>7698</v>
      </c>
      <c r="G7060">
        <v>5368</v>
      </c>
      <c r="H7060">
        <v>734778.2699999999</v>
      </c>
      <c r="I7060">
        <v>136.88</v>
      </c>
      <c r="J7060">
        <v>33</v>
      </c>
      <c r="K7060">
        <v>6663.57</v>
      </c>
      <c r="L7060">
        <v>201.93</v>
      </c>
      <c r="M7060">
        <v>5401</v>
      </c>
      <c r="N7060">
        <v>741441.83999999985</v>
      </c>
      <c r="O7060">
        <v>137.28</v>
      </c>
    </row>
    <row r="7061" spans="1:15" x14ac:dyDescent="0.35">
      <c r="A7061" t="s">
        <v>7670</v>
      </c>
      <c r="B7061" t="s">
        <v>7671</v>
      </c>
      <c r="C7061" t="s">
        <v>1644</v>
      </c>
      <c r="D7061" t="s">
        <v>323</v>
      </c>
      <c r="E7061" t="s">
        <v>312</v>
      </c>
      <c r="F7061" t="s">
        <v>7699</v>
      </c>
      <c r="G7061">
        <v>5368</v>
      </c>
      <c r="H7061">
        <v>734778.2699999999</v>
      </c>
      <c r="I7061">
        <v>136.88</v>
      </c>
      <c r="J7061">
        <v>33</v>
      </c>
      <c r="K7061">
        <v>6663.57</v>
      </c>
      <c r="L7061">
        <v>201.93</v>
      </c>
      <c r="M7061">
        <v>5401</v>
      </c>
      <c r="N7061">
        <v>741441.83999999985</v>
      </c>
      <c r="O7061">
        <v>137.28</v>
      </c>
    </row>
    <row r="7062" spans="1:15" x14ac:dyDescent="0.35">
      <c r="A7062" t="s">
        <v>7670</v>
      </c>
      <c r="B7062" t="s">
        <v>7671</v>
      </c>
      <c r="C7062" t="s">
        <v>1644</v>
      </c>
      <c r="D7062" t="s">
        <v>334</v>
      </c>
      <c r="E7062" t="s">
        <v>312</v>
      </c>
      <c r="F7062" t="s">
        <v>7700</v>
      </c>
      <c r="G7062">
        <v>7176</v>
      </c>
      <c r="H7062">
        <v>1112117.2399999998</v>
      </c>
      <c r="I7062">
        <v>157.63999999999999</v>
      </c>
      <c r="J7062">
        <v>33</v>
      </c>
      <c r="K7062">
        <v>6663.57</v>
      </c>
      <c r="L7062">
        <v>201.93</v>
      </c>
      <c r="M7062">
        <v>7209</v>
      </c>
      <c r="N7062">
        <v>1118780.8099999998</v>
      </c>
      <c r="O7062">
        <v>157.84</v>
      </c>
    </row>
    <row r="7063" spans="1:15" x14ac:dyDescent="0.35">
      <c r="A7063" t="s">
        <v>7670</v>
      </c>
      <c r="B7063" t="s">
        <v>7671</v>
      </c>
      <c r="C7063" t="s">
        <v>1644</v>
      </c>
      <c r="D7063" t="s">
        <v>334</v>
      </c>
      <c r="E7063" t="s">
        <v>308</v>
      </c>
      <c r="F7063" t="s">
        <v>7701</v>
      </c>
      <c r="G7063">
        <v>0</v>
      </c>
      <c r="H7063">
        <v>0</v>
      </c>
      <c r="I7063">
        <v>0</v>
      </c>
      <c r="J7063">
        <v>0</v>
      </c>
      <c r="K7063">
        <v>0</v>
      </c>
      <c r="L7063">
        <v>0</v>
      </c>
      <c r="M7063">
        <v>0</v>
      </c>
      <c r="N7063">
        <v>0</v>
      </c>
      <c r="O7063">
        <v>0</v>
      </c>
    </row>
    <row r="7064" spans="1:15" x14ac:dyDescent="0.35">
      <c r="A7064" t="s">
        <v>7670</v>
      </c>
      <c r="B7064" t="s">
        <v>7671</v>
      </c>
      <c r="C7064" t="s">
        <v>1644</v>
      </c>
      <c r="D7064" t="s">
        <v>337</v>
      </c>
      <c r="E7064" t="s">
        <v>337</v>
      </c>
      <c r="F7064" t="s">
        <v>7702</v>
      </c>
      <c r="G7064">
        <v>1487</v>
      </c>
      <c r="J7064">
        <v>0</v>
      </c>
      <c r="M7064">
        <v>1487</v>
      </c>
    </row>
    <row r="7065" spans="1:15" x14ac:dyDescent="0.35">
      <c r="A7065" t="s">
        <v>7670</v>
      </c>
      <c r="B7065" t="s">
        <v>7671</v>
      </c>
      <c r="C7065" t="s">
        <v>1644</v>
      </c>
      <c r="D7065" t="s">
        <v>339</v>
      </c>
      <c r="E7065" t="s">
        <v>294</v>
      </c>
      <c r="F7065" t="s">
        <v>7703</v>
      </c>
      <c r="G7065">
        <v>603</v>
      </c>
      <c r="H7065">
        <v>72909.649999999994</v>
      </c>
      <c r="I7065">
        <v>120.91</v>
      </c>
      <c r="J7065">
        <v>0</v>
      </c>
      <c r="K7065">
        <v>0</v>
      </c>
      <c r="L7065">
        <v>0</v>
      </c>
      <c r="M7065">
        <v>603</v>
      </c>
      <c r="N7065">
        <v>72909.649999999994</v>
      </c>
      <c r="O7065">
        <v>120.91</v>
      </c>
    </row>
    <row r="7066" spans="1:15" x14ac:dyDescent="0.35">
      <c r="A7066" t="s">
        <v>7670</v>
      </c>
      <c r="B7066" t="s">
        <v>7671</v>
      </c>
      <c r="C7066" t="s">
        <v>1644</v>
      </c>
      <c r="D7066" t="s">
        <v>339</v>
      </c>
      <c r="E7066" t="s">
        <v>296</v>
      </c>
      <c r="F7066" t="s">
        <v>7704</v>
      </c>
      <c r="G7066">
        <v>192</v>
      </c>
      <c r="H7066">
        <v>24741.94</v>
      </c>
      <c r="I7066">
        <v>128.86000000000001</v>
      </c>
      <c r="J7066">
        <v>0</v>
      </c>
      <c r="K7066">
        <v>0</v>
      </c>
      <c r="L7066">
        <v>0</v>
      </c>
      <c r="M7066">
        <v>192</v>
      </c>
      <c r="N7066">
        <v>24741.94</v>
      </c>
      <c r="O7066">
        <v>128.86000000000001</v>
      </c>
    </row>
    <row r="7067" spans="1:15" x14ac:dyDescent="0.35">
      <c r="A7067" t="s">
        <v>7670</v>
      </c>
      <c r="B7067" t="s">
        <v>7671</v>
      </c>
      <c r="C7067" t="s">
        <v>1644</v>
      </c>
      <c r="D7067" t="s">
        <v>339</v>
      </c>
      <c r="E7067" t="s">
        <v>298</v>
      </c>
      <c r="F7067" t="s">
        <v>7705</v>
      </c>
      <c r="G7067">
        <v>0</v>
      </c>
      <c r="H7067">
        <v>0</v>
      </c>
      <c r="I7067">
        <v>0</v>
      </c>
      <c r="J7067">
        <v>0</v>
      </c>
      <c r="K7067">
        <v>0</v>
      </c>
      <c r="L7067">
        <v>0</v>
      </c>
      <c r="M7067">
        <v>0</v>
      </c>
      <c r="N7067">
        <v>0</v>
      </c>
      <c r="O7067">
        <v>0</v>
      </c>
    </row>
    <row r="7068" spans="1:15" x14ac:dyDescent="0.35">
      <c r="A7068" t="s">
        <v>7670</v>
      </c>
      <c r="B7068" t="s">
        <v>7671</v>
      </c>
      <c r="C7068" t="s">
        <v>1644</v>
      </c>
      <c r="D7068" t="s">
        <v>339</v>
      </c>
      <c r="E7068" t="s">
        <v>300</v>
      </c>
      <c r="F7068" t="s">
        <v>7706</v>
      </c>
      <c r="G7068">
        <v>1</v>
      </c>
      <c r="H7068">
        <v>197.18</v>
      </c>
      <c r="I7068">
        <v>197.18</v>
      </c>
      <c r="J7068">
        <v>0</v>
      </c>
      <c r="K7068">
        <v>0</v>
      </c>
      <c r="L7068">
        <v>0</v>
      </c>
      <c r="M7068">
        <v>1</v>
      </c>
      <c r="N7068">
        <v>197.18</v>
      </c>
      <c r="O7068">
        <v>197.18</v>
      </c>
    </row>
    <row r="7069" spans="1:15" x14ac:dyDescent="0.35">
      <c r="A7069" t="s">
        <v>7670</v>
      </c>
      <c r="B7069" t="s">
        <v>7671</v>
      </c>
      <c r="C7069" t="s">
        <v>1644</v>
      </c>
      <c r="D7069" t="s">
        <v>339</v>
      </c>
      <c r="E7069" t="s">
        <v>306</v>
      </c>
      <c r="F7069" t="s">
        <v>7707</v>
      </c>
      <c r="G7069">
        <v>34</v>
      </c>
      <c r="H7069">
        <v>3466.5299999999997</v>
      </c>
      <c r="I7069">
        <v>101.96</v>
      </c>
      <c r="J7069">
        <v>0</v>
      </c>
      <c r="K7069">
        <v>0</v>
      </c>
      <c r="L7069">
        <v>0</v>
      </c>
      <c r="M7069">
        <v>34</v>
      </c>
      <c r="N7069">
        <v>3466.5299999999997</v>
      </c>
      <c r="O7069">
        <v>101.96</v>
      </c>
    </row>
    <row r="7070" spans="1:15" x14ac:dyDescent="0.35">
      <c r="A7070" t="s">
        <v>7670</v>
      </c>
      <c r="B7070" t="s">
        <v>7671</v>
      </c>
      <c r="C7070" t="s">
        <v>1644</v>
      </c>
      <c r="D7070" t="s">
        <v>339</v>
      </c>
      <c r="E7070" t="s">
        <v>308</v>
      </c>
      <c r="F7070" t="s">
        <v>7708</v>
      </c>
      <c r="G7070">
        <v>75</v>
      </c>
      <c r="H7070">
        <v>9507.93</v>
      </c>
      <c r="I7070">
        <v>126.77</v>
      </c>
      <c r="J7070">
        <v>0</v>
      </c>
      <c r="K7070">
        <v>0</v>
      </c>
      <c r="L7070">
        <v>0</v>
      </c>
      <c r="M7070">
        <v>75</v>
      </c>
      <c r="N7070">
        <v>9507.93</v>
      </c>
      <c r="O7070">
        <v>126.77</v>
      </c>
    </row>
    <row r="7071" spans="1:15" x14ac:dyDescent="0.35">
      <c r="A7071" t="s">
        <v>7670</v>
      </c>
      <c r="B7071" t="s">
        <v>7671</v>
      </c>
      <c r="C7071" t="s">
        <v>1644</v>
      </c>
      <c r="D7071" t="s">
        <v>339</v>
      </c>
      <c r="E7071" t="s">
        <v>310</v>
      </c>
      <c r="F7071" t="s">
        <v>7709</v>
      </c>
      <c r="G7071">
        <v>905</v>
      </c>
      <c r="H7071">
        <v>110823.22999999998</v>
      </c>
      <c r="I7071">
        <v>122.46</v>
      </c>
      <c r="J7071">
        <v>0</v>
      </c>
      <c r="K7071">
        <v>0</v>
      </c>
      <c r="L7071">
        <v>0</v>
      </c>
      <c r="M7071">
        <v>905</v>
      </c>
      <c r="N7071">
        <v>110823.22999999998</v>
      </c>
      <c r="O7071">
        <v>122.46</v>
      </c>
    </row>
    <row r="7072" spans="1:15" x14ac:dyDescent="0.35">
      <c r="A7072" t="s">
        <v>7670</v>
      </c>
      <c r="B7072" t="s">
        <v>7671</v>
      </c>
      <c r="C7072" t="s">
        <v>1644</v>
      </c>
      <c r="D7072" t="s">
        <v>339</v>
      </c>
      <c r="E7072" t="s">
        <v>312</v>
      </c>
      <c r="F7072" t="s">
        <v>7710</v>
      </c>
      <c r="G7072">
        <v>830</v>
      </c>
      <c r="H7072">
        <v>101315.29999999999</v>
      </c>
      <c r="I7072">
        <v>122.07</v>
      </c>
      <c r="J7072">
        <v>0</v>
      </c>
      <c r="K7072">
        <v>0</v>
      </c>
      <c r="L7072">
        <v>0</v>
      </c>
      <c r="M7072">
        <v>830</v>
      </c>
      <c r="N7072">
        <v>101315.29999999999</v>
      </c>
      <c r="O7072">
        <v>122.07</v>
      </c>
    </row>
    <row r="7073" spans="1:15" x14ac:dyDescent="0.35">
      <c r="A7073" t="s">
        <v>7670</v>
      </c>
      <c r="B7073" t="s">
        <v>7671</v>
      </c>
      <c r="C7073" t="s">
        <v>1644</v>
      </c>
      <c r="D7073" t="s">
        <v>348</v>
      </c>
      <c r="E7073" t="s">
        <v>349</v>
      </c>
      <c r="F7073" t="s">
        <v>7711</v>
      </c>
      <c r="G7073">
        <v>1128</v>
      </c>
      <c r="H7073">
        <v>126000.59</v>
      </c>
      <c r="I7073">
        <v>128.44</v>
      </c>
      <c r="J7073">
        <v>0</v>
      </c>
      <c r="K7073">
        <v>0</v>
      </c>
      <c r="L7073">
        <v>0</v>
      </c>
      <c r="M7073">
        <v>1128</v>
      </c>
      <c r="N7073">
        <v>126000.59</v>
      </c>
      <c r="O7073">
        <v>128.44</v>
      </c>
    </row>
    <row r="7074" spans="1:15" x14ac:dyDescent="0.35">
      <c r="A7074" t="s">
        <v>7712</v>
      </c>
      <c r="B7074" t="s">
        <v>192</v>
      </c>
      <c r="C7074" t="s">
        <v>1644</v>
      </c>
      <c r="D7074" t="s">
        <v>293</v>
      </c>
      <c r="E7074" t="s">
        <v>294</v>
      </c>
      <c r="F7074" t="s">
        <v>7713</v>
      </c>
      <c r="G7074">
        <v>549</v>
      </c>
      <c r="H7074">
        <v>91708.36</v>
      </c>
      <c r="I7074">
        <v>167.05</v>
      </c>
      <c r="J7074">
        <v>0</v>
      </c>
      <c r="K7074">
        <v>0</v>
      </c>
      <c r="L7074">
        <v>0</v>
      </c>
      <c r="M7074">
        <v>549</v>
      </c>
      <c r="N7074">
        <v>91708.36</v>
      </c>
      <c r="O7074">
        <v>167.05</v>
      </c>
    </row>
    <row r="7075" spans="1:15" x14ac:dyDescent="0.35">
      <c r="A7075" t="s">
        <v>7712</v>
      </c>
      <c r="B7075" t="s">
        <v>192</v>
      </c>
      <c r="C7075" t="s">
        <v>1644</v>
      </c>
      <c r="D7075" t="s">
        <v>293</v>
      </c>
      <c r="E7075" t="s">
        <v>296</v>
      </c>
      <c r="F7075" t="s">
        <v>7714</v>
      </c>
      <c r="G7075">
        <v>1530</v>
      </c>
      <c r="H7075">
        <v>319640.57000000007</v>
      </c>
      <c r="I7075">
        <v>208.92</v>
      </c>
      <c r="J7075">
        <v>0</v>
      </c>
      <c r="K7075">
        <v>0</v>
      </c>
      <c r="L7075">
        <v>0</v>
      </c>
      <c r="M7075">
        <v>1530</v>
      </c>
      <c r="N7075">
        <v>319640.57000000007</v>
      </c>
      <c r="O7075">
        <v>208.92</v>
      </c>
    </row>
    <row r="7076" spans="1:15" x14ac:dyDescent="0.35">
      <c r="A7076" t="s">
        <v>7712</v>
      </c>
      <c r="B7076" t="s">
        <v>192</v>
      </c>
      <c r="C7076" t="s">
        <v>1644</v>
      </c>
      <c r="D7076" t="s">
        <v>293</v>
      </c>
      <c r="E7076" t="s">
        <v>298</v>
      </c>
      <c r="F7076" t="s">
        <v>7715</v>
      </c>
      <c r="G7076">
        <v>815</v>
      </c>
      <c r="H7076">
        <v>201290.63999999998</v>
      </c>
      <c r="I7076">
        <v>246.98</v>
      </c>
      <c r="J7076">
        <v>0</v>
      </c>
      <c r="K7076">
        <v>0</v>
      </c>
      <c r="L7076">
        <v>0</v>
      </c>
      <c r="M7076">
        <v>815</v>
      </c>
      <c r="N7076">
        <v>201290.63999999998</v>
      </c>
      <c r="O7076">
        <v>246.98</v>
      </c>
    </row>
    <row r="7077" spans="1:15" x14ac:dyDescent="0.35">
      <c r="A7077" t="s">
        <v>7712</v>
      </c>
      <c r="B7077" t="s">
        <v>192</v>
      </c>
      <c r="C7077" t="s">
        <v>1644</v>
      </c>
      <c r="D7077" t="s">
        <v>293</v>
      </c>
      <c r="E7077" t="s">
        <v>300</v>
      </c>
      <c r="F7077" t="s">
        <v>7716</v>
      </c>
      <c r="G7077">
        <v>200</v>
      </c>
      <c r="H7077">
        <v>57426.009999999995</v>
      </c>
      <c r="I7077">
        <v>287.13</v>
      </c>
      <c r="J7077">
        <v>0</v>
      </c>
      <c r="K7077">
        <v>0</v>
      </c>
      <c r="L7077">
        <v>0</v>
      </c>
      <c r="M7077">
        <v>200</v>
      </c>
      <c r="N7077">
        <v>57426.009999999995</v>
      </c>
      <c r="O7077">
        <v>287.13</v>
      </c>
    </row>
    <row r="7078" spans="1:15" x14ac:dyDescent="0.35">
      <c r="A7078" t="s">
        <v>7712</v>
      </c>
      <c r="B7078" t="s">
        <v>192</v>
      </c>
      <c r="C7078" t="s">
        <v>1644</v>
      </c>
      <c r="D7078" t="s">
        <v>293</v>
      </c>
      <c r="E7078" t="s">
        <v>302</v>
      </c>
      <c r="F7078" t="s">
        <v>7717</v>
      </c>
      <c r="G7078">
        <v>0</v>
      </c>
      <c r="H7078">
        <v>0</v>
      </c>
      <c r="I7078">
        <v>0</v>
      </c>
      <c r="J7078">
        <v>0</v>
      </c>
      <c r="K7078">
        <v>0</v>
      </c>
      <c r="L7078">
        <v>0</v>
      </c>
      <c r="M7078">
        <v>0</v>
      </c>
      <c r="N7078">
        <v>0</v>
      </c>
      <c r="O7078">
        <v>0</v>
      </c>
    </row>
    <row r="7079" spans="1:15" x14ac:dyDescent="0.35">
      <c r="A7079" t="s">
        <v>7712</v>
      </c>
      <c r="B7079" t="s">
        <v>192</v>
      </c>
      <c r="C7079" t="s">
        <v>1644</v>
      </c>
      <c r="D7079" t="s">
        <v>293</v>
      </c>
      <c r="E7079" t="s">
        <v>304</v>
      </c>
      <c r="F7079" t="s">
        <v>7718</v>
      </c>
      <c r="G7079">
        <v>0</v>
      </c>
      <c r="H7079">
        <v>0</v>
      </c>
      <c r="I7079">
        <v>0</v>
      </c>
      <c r="J7079">
        <v>0</v>
      </c>
      <c r="K7079">
        <v>0</v>
      </c>
      <c r="L7079">
        <v>0</v>
      </c>
      <c r="M7079">
        <v>0</v>
      </c>
      <c r="N7079">
        <v>0</v>
      </c>
      <c r="O7079">
        <v>0</v>
      </c>
    </row>
    <row r="7080" spans="1:15" x14ac:dyDescent="0.35">
      <c r="A7080" t="s">
        <v>7712</v>
      </c>
      <c r="B7080" t="s">
        <v>192</v>
      </c>
      <c r="C7080" t="s">
        <v>1644</v>
      </c>
      <c r="D7080" t="s">
        <v>293</v>
      </c>
      <c r="E7080" t="s">
        <v>306</v>
      </c>
      <c r="F7080" t="s">
        <v>7719</v>
      </c>
      <c r="G7080">
        <v>0</v>
      </c>
      <c r="H7080">
        <v>0</v>
      </c>
      <c r="I7080">
        <v>0</v>
      </c>
      <c r="J7080">
        <v>0</v>
      </c>
      <c r="K7080">
        <v>0</v>
      </c>
      <c r="L7080">
        <v>0</v>
      </c>
      <c r="M7080">
        <v>0</v>
      </c>
      <c r="N7080">
        <v>0</v>
      </c>
      <c r="O7080">
        <v>0</v>
      </c>
    </row>
    <row r="7081" spans="1:15" x14ac:dyDescent="0.35">
      <c r="A7081" t="s">
        <v>7712</v>
      </c>
      <c r="B7081" t="s">
        <v>192</v>
      </c>
      <c r="C7081" t="s">
        <v>1644</v>
      </c>
      <c r="D7081" t="s">
        <v>293</v>
      </c>
      <c r="E7081" t="s">
        <v>308</v>
      </c>
      <c r="F7081" t="s">
        <v>7720</v>
      </c>
      <c r="G7081">
        <v>0</v>
      </c>
      <c r="H7081">
        <v>0</v>
      </c>
      <c r="I7081">
        <v>0</v>
      </c>
      <c r="J7081">
        <v>0</v>
      </c>
      <c r="K7081">
        <v>0</v>
      </c>
      <c r="L7081">
        <v>0</v>
      </c>
      <c r="M7081">
        <v>0</v>
      </c>
      <c r="N7081">
        <v>0</v>
      </c>
      <c r="O7081">
        <v>0</v>
      </c>
    </row>
    <row r="7082" spans="1:15" x14ac:dyDescent="0.35">
      <c r="A7082" t="s">
        <v>7712</v>
      </c>
      <c r="B7082" t="s">
        <v>192</v>
      </c>
      <c r="C7082" t="s">
        <v>1644</v>
      </c>
      <c r="D7082" t="s">
        <v>293</v>
      </c>
      <c r="E7082" t="s">
        <v>310</v>
      </c>
      <c r="F7082" t="s">
        <v>7721</v>
      </c>
      <c r="G7082">
        <v>3094</v>
      </c>
      <c r="H7082">
        <v>670065.58000000007</v>
      </c>
      <c r="I7082">
        <v>216.57</v>
      </c>
      <c r="J7082">
        <v>0</v>
      </c>
      <c r="K7082">
        <v>0</v>
      </c>
      <c r="L7082">
        <v>0</v>
      </c>
      <c r="M7082">
        <v>3094</v>
      </c>
      <c r="N7082">
        <v>670065.58000000007</v>
      </c>
      <c r="O7082">
        <v>216.57</v>
      </c>
    </row>
    <row r="7083" spans="1:15" x14ac:dyDescent="0.35">
      <c r="A7083" t="s">
        <v>7712</v>
      </c>
      <c r="B7083" t="s">
        <v>192</v>
      </c>
      <c r="C7083" t="s">
        <v>1644</v>
      </c>
      <c r="D7083" t="s">
        <v>293</v>
      </c>
      <c r="E7083" t="s">
        <v>312</v>
      </c>
      <c r="F7083" t="s">
        <v>7722</v>
      </c>
      <c r="G7083">
        <v>3094</v>
      </c>
      <c r="H7083">
        <v>670065.58000000007</v>
      </c>
      <c r="I7083">
        <v>216.57</v>
      </c>
      <c r="J7083">
        <v>0</v>
      </c>
      <c r="K7083">
        <v>0</v>
      </c>
      <c r="L7083">
        <v>0</v>
      </c>
      <c r="M7083">
        <v>3094</v>
      </c>
      <c r="N7083">
        <v>670065.58000000007</v>
      </c>
      <c r="O7083">
        <v>216.57</v>
      </c>
    </row>
    <row r="7084" spans="1:15" x14ac:dyDescent="0.35">
      <c r="A7084" t="s">
        <v>7712</v>
      </c>
      <c r="B7084" t="s">
        <v>192</v>
      </c>
      <c r="C7084" t="s">
        <v>1644</v>
      </c>
      <c r="D7084" t="s">
        <v>314</v>
      </c>
      <c r="E7084" t="s">
        <v>294</v>
      </c>
      <c r="F7084" t="s">
        <v>7723</v>
      </c>
      <c r="G7084">
        <v>11</v>
      </c>
      <c r="H7084">
        <v>2163.81</v>
      </c>
      <c r="I7084">
        <v>196.71</v>
      </c>
      <c r="J7084">
        <v>0</v>
      </c>
      <c r="K7084">
        <v>0</v>
      </c>
      <c r="L7084">
        <v>0</v>
      </c>
      <c r="M7084">
        <v>11</v>
      </c>
      <c r="N7084">
        <v>2163.81</v>
      </c>
      <c r="O7084">
        <v>196.71</v>
      </c>
    </row>
    <row r="7085" spans="1:15" x14ac:dyDescent="0.35">
      <c r="A7085" t="s">
        <v>7712</v>
      </c>
      <c r="B7085" t="s">
        <v>192</v>
      </c>
      <c r="C7085" t="s">
        <v>1644</v>
      </c>
      <c r="D7085" t="s">
        <v>314</v>
      </c>
      <c r="E7085" t="s">
        <v>296</v>
      </c>
      <c r="F7085" t="s">
        <v>7724</v>
      </c>
      <c r="G7085">
        <v>16</v>
      </c>
      <c r="H7085">
        <v>3692.64</v>
      </c>
      <c r="I7085">
        <v>230.79</v>
      </c>
      <c r="J7085">
        <v>0</v>
      </c>
      <c r="K7085">
        <v>0</v>
      </c>
      <c r="L7085">
        <v>0</v>
      </c>
      <c r="M7085">
        <v>16</v>
      </c>
      <c r="N7085">
        <v>3692.64</v>
      </c>
      <c r="O7085">
        <v>230.79</v>
      </c>
    </row>
    <row r="7086" spans="1:15" x14ac:dyDescent="0.35">
      <c r="A7086" t="s">
        <v>7712</v>
      </c>
      <c r="B7086" t="s">
        <v>192</v>
      </c>
      <c r="C7086" t="s">
        <v>1644</v>
      </c>
      <c r="D7086" t="s">
        <v>314</v>
      </c>
      <c r="E7086" t="s">
        <v>298</v>
      </c>
      <c r="F7086" t="s">
        <v>7725</v>
      </c>
      <c r="G7086">
        <v>0</v>
      </c>
      <c r="H7086">
        <v>0</v>
      </c>
      <c r="I7086">
        <v>0</v>
      </c>
      <c r="J7086">
        <v>0</v>
      </c>
      <c r="K7086">
        <v>0</v>
      </c>
      <c r="L7086">
        <v>0</v>
      </c>
      <c r="M7086">
        <v>0</v>
      </c>
      <c r="N7086">
        <v>0</v>
      </c>
      <c r="O7086">
        <v>0</v>
      </c>
    </row>
    <row r="7087" spans="1:15" x14ac:dyDescent="0.35">
      <c r="A7087" t="s">
        <v>7712</v>
      </c>
      <c r="B7087" t="s">
        <v>192</v>
      </c>
      <c r="C7087" t="s">
        <v>1644</v>
      </c>
      <c r="D7087" t="s">
        <v>314</v>
      </c>
      <c r="E7087" t="s">
        <v>300</v>
      </c>
      <c r="F7087" t="s">
        <v>7726</v>
      </c>
      <c r="G7087">
        <v>0</v>
      </c>
      <c r="H7087">
        <v>0</v>
      </c>
      <c r="I7087">
        <v>0</v>
      </c>
      <c r="J7087">
        <v>0</v>
      </c>
      <c r="K7087">
        <v>0</v>
      </c>
      <c r="L7087">
        <v>0</v>
      </c>
      <c r="M7087">
        <v>0</v>
      </c>
      <c r="N7087">
        <v>0</v>
      </c>
      <c r="O7087">
        <v>0</v>
      </c>
    </row>
    <row r="7088" spans="1:15" x14ac:dyDescent="0.35">
      <c r="A7088" t="s">
        <v>7712</v>
      </c>
      <c r="B7088" t="s">
        <v>192</v>
      </c>
      <c r="C7088" t="s">
        <v>1644</v>
      </c>
      <c r="D7088" t="s">
        <v>314</v>
      </c>
      <c r="E7088" t="s">
        <v>306</v>
      </c>
      <c r="F7088" t="s">
        <v>7727</v>
      </c>
      <c r="G7088">
        <v>0</v>
      </c>
      <c r="H7088">
        <v>0</v>
      </c>
      <c r="I7088">
        <v>0</v>
      </c>
      <c r="J7088">
        <v>0</v>
      </c>
      <c r="K7088">
        <v>0</v>
      </c>
      <c r="L7088">
        <v>0</v>
      </c>
      <c r="M7088">
        <v>0</v>
      </c>
      <c r="N7088">
        <v>0</v>
      </c>
      <c r="O7088">
        <v>0</v>
      </c>
    </row>
    <row r="7089" spans="1:15" x14ac:dyDescent="0.35">
      <c r="A7089" t="s">
        <v>7712</v>
      </c>
      <c r="B7089" t="s">
        <v>192</v>
      </c>
      <c r="C7089" t="s">
        <v>1644</v>
      </c>
      <c r="D7089" t="s">
        <v>314</v>
      </c>
      <c r="E7089" t="s">
        <v>308</v>
      </c>
      <c r="F7089" t="s">
        <v>7728</v>
      </c>
      <c r="G7089">
        <v>0</v>
      </c>
      <c r="H7089">
        <v>0</v>
      </c>
      <c r="I7089">
        <v>0</v>
      </c>
      <c r="J7089">
        <v>0</v>
      </c>
      <c r="K7089">
        <v>0</v>
      </c>
      <c r="L7089">
        <v>0</v>
      </c>
      <c r="M7089">
        <v>0</v>
      </c>
      <c r="N7089">
        <v>0</v>
      </c>
      <c r="O7089">
        <v>0</v>
      </c>
    </row>
    <row r="7090" spans="1:15" x14ac:dyDescent="0.35">
      <c r="A7090" t="s">
        <v>7712</v>
      </c>
      <c r="B7090" t="s">
        <v>192</v>
      </c>
      <c r="C7090" t="s">
        <v>1644</v>
      </c>
      <c r="D7090" t="s">
        <v>314</v>
      </c>
      <c r="E7090" t="s">
        <v>312</v>
      </c>
      <c r="F7090" t="s">
        <v>7729</v>
      </c>
      <c r="G7090">
        <v>27</v>
      </c>
      <c r="H7090">
        <v>5856.45</v>
      </c>
      <c r="I7090">
        <v>216.91</v>
      </c>
      <c r="J7090">
        <v>0</v>
      </c>
      <c r="K7090">
        <v>0</v>
      </c>
      <c r="L7090">
        <v>0</v>
      </c>
      <c r="M7090">
        <v>27</v>
      </c>
      <c r="N7090">
        <v>5856.45</v>
      </c>
      <c r="O7090">
        <v>216.91</v>
      </c>
    </row>
    <row r="7091" spans="1:15" x14ac:dyDescent="0.35">
      <c r="A7091" t="s">
        <v>7712</v>
      </c>
      <c r="B7091" t="s">
        <v>192</v>
      </c>
      <c r="C7091" t="s">
        <v>1644</v>
      </c>
      <c r="D7091" t="s">
        <v>314</v>
      </c>
      <c r="E7091" t="s">
        <v>310</v>
      </c>
      <c r="F7091" t="s">
        <v>7730</v>
      </c>
      <c r="G7091">
        <v>27</v>
      </c>
      <c r="H7091">
        <v>5856.45</v>
      </c>
      <c r="I7091">
        <v>216.91</v>
      </c>
      <c r="J7091">
        <v>0</v>
      </c>
      <c r="K7091">
        <v>0</v>
      </c>
      <c r="L7091">
        <v>0</v>
      </c>
      <c r="M7091">
        <v>27</v>
      </c>
      <c r="N7091">
        <v>5856.45</v>
      </c>
      <c r="O7091">
        <v>216.91</v>
      </c>
    </row>
    <row r="7092" spans="1:15" x14ac:dyDescent="0.35">
      <c r="A7092" t="s">
        <v>7712</v>
      </c>
      <c r="B7092" t="s">
        <v>192</v>
      </c>
      <c r="C7092" t="s">
        <v>1644</v>
      </c>
      <c r="D7092" t="s">
        <v>323</v>
      </c>
      <c r="E7092" t="s">
        <v>294</v>
      </c>
      <c r="F7092" t="s">
        <v>7731</v>
      </c>
      <c r="G7092">
        <v>1000</v>
      </c>
      <c r="H7092">
        <v>111176.12000000001</v>
      </c>
      <c r="I7092">
        <v>111.18</v>
      </c>
      <c r="J7092">
        <v>0</v>
      </c>
      <c r="K7092">
        <v>0</v>
      </c>
      <c r="L7092">
        <v>0</v>
      </c>
      <c r="M7092">
        <v>1000</v>
      </c>
      <c r="N7092">
        <v>111176.12000000001</v>
      </c>
      <c r="O7092">
        <v>111.18</v>
      </c>
    </row>
    <row r="7093" spans="1:15" x14ac:dyDescent="0.35">
      <c r="A7093" t="s">
        <v>7712</v>
      </c>
      <c r="B7093" t="s">
        <v>192</v>
      </c>
      <c r="C7093" t="s">
        <v>1644</v>
      </c>
      <c r="D7093" t="s">
        <v>323</v>
      </c>
      <c r="E7093" t="s">
        <v>296</v>
      </c>
      <c r="F7093" t="s">
        <v>7732</v>
      </c>
      <c r="G7093">
        <v>2009</v>
      </c>
      <c r="H7093">
        <v>255419.11</v>
      </c>
      <c r="I7093">
        <v>127.14</v>
      </c>
      <c r="J7093">
        <v>10</v>
      </c>
      <c r="K7093">
        <v>1830.9</v>
      </c>
      <c r="L7093">
        <v>183.09</v>
      </c>
      <c r="M7093">
        <v>2019</v>
      </c>
      <c r="N7093">
        <v>257250.00999999998</v>
      </c>
      <c r="O7093">
        <v>127.41</v>
      </c>
    </row>
    <row r="7094" spans="1:15" x14ac:dyDescent="0.35">
      <c r="A7094" t="s">
        <v>7712</v>
      </c>
      <c r="B7094" t="s">
        <v>192</v>
      </c>
      <c r="C7094" t="s">
        <v>1644</v>
      </c>
      <c r="D7094" t="s">
        <v>323</v>
      </c>
      <c r="E7094" t="s">
        <v>298</v>
      </c>
      <c r="F7094" t="s">
        <v>7733</v>
      </c>
      <c r="G7094">
        <v>2246</v>
      </c>
      <c r="H7094">
        <v>327478.17999999993</v>
      </c>
      <c r="I7094">
        <v>145.81</v>
      </c>
      <c r="J7094">
        <v>6</v>
      </c>
      <c r="K7094">
        <v>1415.94</v>
      </c>
      <c r="L7094">
        <v>235.99</v>
      </c>
      <c r="M7094">
        <v>2252</v>
      </c>
      <c r="N7094">
        <v>328894.11999999994</v>
      </c>
      <c r="O7094">
        <v>146.05000000000001</v>
      </c>
    </row>
    <row r="7095" spans="1:15" x14ac:dyDescent="0.35">
      <c r="A7095" t="s">
        <v>7712</v>
      </c>
      <c r="B7095" t="s">
        <v>192</v>
      </c>
      <c r="C7095" t="s">
        <v>1644</v>
      </c>
      <c r="D7095" t="s">
        <v>323</v>
      </c>
      <c r="E7095" t="s">
        <v>300</v>
      </c>
      <c r="F7095" t="s">
        <v>7734</v>
      </c>
      <c r="G7095">
        <v>137</v>
      </c>
      <c r="H7095">
        <v>22503.94</v>
      </c>
      <c r="I7095">
        <v>164.26</v>
      </c>
      <c r="J7095">
        <v>1</v>
      </c>
      <c r="K7095">
        <v>284.98</v>
      </c>
      <c r="L7095">
        <v>284.98</v>
      </c>
      <c r="M7095">
        <v>138</v>
      </c>
      <c r="N7095">
        <v>22788.92</v>
      </c>
      <c r="O7095">
        <v>165.14</v>
      </c>
    </row>
    <row r="7096" spans="1:15" x14ac:dyDescent="0.35">
      <c r="A7096" t="s">
        <v>7712</v>
      </c>
      <c r="B7096" t="s">
        <v>192</v>
      </c>
      <c r="C7096" t="s">
        <v>1644</v>
      </c>
      <c r="D7096" t="s">
        <v>323</v>
      </c>
      <c r="E7096" t="s">
        <v>302</v>
      </c>
      <c r="F7096" t="s">
        <v>7735</v>
      </c>
      <c r="G7096">
        <v>8</v>
      </c>
      <c r="H7096">
        <v>1244.24</v>
      </c>
      <c r="I7096">
        <v>155.53</v>
      </c>
      <c r="J7096">
        <v>1</v>
      </c>
      <c r="K7096">
        <v>284.98</v>
      </c>
      <c r="L7096">
        <v>284.98</v>
      </c>
      <c r="M7096">
        <v>9</v>
      </c>
      <c r="N7096">
        <v>1529.22</v>
      </c>
      <c r="O7096">
        <v>169.91</v>
      </c>
    </row>
    <row r="7097" spans="1:15" x14ac:dyDescent="0.35">
      <c r="A7097" t="s">
        <v>7712</v>
      </c>
      <c r="B7097" t="s">
        <v>192</v>
      </c>
      <c r="C7097" t="s">
        <v>1644</v>
      </c>
      <c r="D7097" t="s">
        <v>323</v>
      </c>
      <c r="E7097" t="s">
        <v>304</v>
      </c>
      <c r="F7097" t="s">
        <v>7736</v>
      </c>
      <c r="G7097">
        <v>0</v>
      </c>
      <c r="H7097">
        <v>0</v>
      </c>
      <c r="I7097">
        <v>0</v>
      </c>
      <c r="J7097">
        <v>0</v>
      </c>
      <c r="K7097">
        <v>0</v>
      </c>
      <c r="L7097">
        <v>0</v>
      </c>
      <c r="M7097">
        <v>0</v>
      </c>
      <c r="N7097">
        <v>0</v>
      </c>
      <c r="O7097">
        <v>0</v>
      </c>
    </row>
    <row r="7098" spans="1:15" x14ac:dyDescent="0.35">
      <c r="A7098" t="s">
        <v>7712</v>
      </c>
      <c r="B7098" t="s">
        <v>192</v>
      </c>
      <c r="C7098" t="s">
        <v>1644</v>
      </c>
      <c r="D7098" t="s">
        <v>323</v>
      </c>
      <c r="E7098" t="s">
        <v>306</v>
      </c>
      <c r="F7098" t="s">
        <v>7737</v>
      </c>
      <c r="G7098">
        <v>62</v>
      </c>
      <c r="H7098">
        <v>5516.56</v>
      </c>
      <c r="I7098">
        <v>88.98</v>
      </c>
      <c r="J7098">
        <v>16</v>
      </c>
      <c r="K7098">
        <v>3555.2</v>
      </c>
      <c r="L7098">
        <v>222.2</v>
      </c>
      <c r="M7098">
        <v>78</v>
      </c>
      <c r="N7098">
        <v>9071.76</v>
      </c>
      <c r="O7098">
        <v>116.3</v>
      </c>
    </row>
    <row r="7099" spans="1:15" x14ac:dyDescent="0.35">
      <c r="A7099" t="s">
        <v>7712</v>
      </c>
      <c r="B7099" t="s">
        <v>192</v>
      </c>
      <c r="C7099" t="s">
        <v>1644</v>
      </c>
      <c r="D7099" t="s">
        <v>323</v>
      </c>
      <c r="E7099" t="s">
        <v>308</v>
      </c>
      <c r="F7099" t="s">
        <v>7738</v>
      </c>
      <c r="G7099">
        <v>0</v>
      </c>
      <c r="H7099">
        <v>0</v>
      </c>
      <c r="I7099">
        <v>0</v>
      </c>
      <c r="J7099">
        <v>0</v>
      </c>
      <c r="K7099">
        <v>0</v>
      </c>
      <c r="L7099">
        <v>0</v>
      </c>
      <c r="M7099">
        <v>0</v>
      </c>
      <c r="N7099">
        <v>0</v>
      </c>
      <c r="O7099">
        <v>0</v>
      </c>
    </row>
    <row r="7100" spans="1:15" x14ac:dyDescent="0.35">
      <c r="A7100" t="s">
        <v>7712</v>
      </c>
      <c r="B7100" t="s">
        <v>192</v>
      </c>
      <c r="C7100" t="s">
        <v>1644</v>
      </c>
      <c r="D7100" t="s">
        <v>323</v>
      </c>
      <c r="E7100" t="s">
        <v>310</v>
      </c>
      <c r="F7100" t="s">
        <v>7739</v>
      </c>
      <c r="G7100">
        <v>5462</v>
      </c>
      <c r="H7100">
        <v>723338.14999999991</v>
      </c>
      <c r="I7100">
        <v>132.43</v>
      </c>
      <c r="J7100">
        <v>34</v>
      </c>
      <c r="K7100">
        <v>7372</v>
      </c>
      <c r="L7100">
        <v>216.82</v>
      </c>
      <c r="M7100">
        <v>5496</v>
      </c>
      <c r="N7100">
        <v>730710.14999999991</v>
      </c>
      <c r="O7100">
        <v>132.94999999999999</v>
      </c>
    </row>
    <row r="7101" spans="1:15" x14ac:dyDescent="0.35">
      <c r="A7101" t="s">
        <v>7712</v>
      </c>
      <c r="B7101" t="s">
        <v>192</v>
      </c>
      <c r="C7101" t="s">
        <v>1644</v>
      </c>
      <c r="D7101" t="s">
        <v>323</v>
      </c>
      <c r="E7101" t="s">
        <v>312</v>
      </c>
      <c r="F7101" t="s">
        <v>7740</v>
      </c>
      <c r="G7101">
        <v>5462</v>
      </c>
      <c r="H7101">
        <v>723338.14999999991</v>
      </c>
      <c r="I7101">
        <v>132.43</v>
      </c>
      <c r="J7101">
        <v>34</v>
      </c>
      <c r="K7101">
        <v>7372</v>
      </c>
      <c r="L7101">
        <v>216.82</v>
      </c>
      <c r="M7101">
        <v>5496</v>
      </c>
      <c r="N7101">
        <v>730710.14999999991</v>
      </c>
      <c r="O7101">
        <v>132.94999999999999</v>
      </c>
    </row>
    <row r="7102" spans="1:15" x14ac:dyDescent="0.35">
      <c r="A7102" t="s">
        <v>7712</v>
      </c>
      <c r="B7102" t="s">
        <v>192</v>
      </c>
      <c r="C7102" t="s">
        <v>1644</v>
      </c>
      <c r="D7102" t="s">
        <v>334</v>
      </c>
      <c r="E7102" t="s">
        <v>312</v>
      </c>
      <c r="F7102" t="s">
        <v>7741</v>
      </c>
      <c r="G7102">
        <v>8568</v>
      </c>
      <c r="H7102">
        <v>1393403.73</v>
      </c>
      <c r="I7102">
        <v>162.86000000000001</v>
      </c>
      <c r="J7102">
        <v>34</v>
      </c>
      <c r="K7102">
        <v>7372</v>
      </c>
      <c r="L7102">
        <v>216.82</v>
      </c>
      <c r="M7102">
        <v>8602</v>
      </c>
      <c r="N7102">
        <v>1400775.73</v>
      </c>
      <c r="O7102">
        <v>163.07</v>
      </c>
    </row>
    <row r="7103" spans="1:15" x14ac:dyDescent="0.35">
      <c r="A7103" t="s">
        <v>7712</v>
      </c>
      <c r="B7103" t="s">
        <v>192</v>
      </c>
      <c r="C7103" t="s">
        <v>1644</v>
      </c>
      <c r="D7103" t="s">
        <v>334</v>
      </c>
      <c r="E7103" t="s">
        <v>308</v>
      </c>
      <c r="F7103" t="s">
        <v>7742</v>
      </c>
      <c r="G7103">
        <v>0</v>
      </c>
      <c r="H7103">
        <v>0</v>
      </c>
      <c r="I7103">
        <v>0</v>
      </c>
      <c r="J7103">
        <v>0</v>
      </c>
      <c r="K7103">
        <v>0</v>
      </c>
      <c r="L7103">
        <v>0</v>
      </c>
      <c r="M7103">
        <v>0</v>
      </c>
      <c r="N7103">
        <v>0</v>
      </c>
      <c r="O7103">
        <v>0</v>
      </c>
    </row>
    <row r="7104" spans="1:15" x14ac:dyDescent="0.35">
      <c r="A7104" t="s">
        <v>7712</v>
      </c>
      <c r="B7104" t="s">
        <v>192</v>
      </c>
      <c r="C7104" t="s">
        <v>1644</v>
      </c>
      <c r="D7104" t="s">
        <v>337</v>
      </c>
      <c r="E7104" t="s">
        <v>337</v>
      </c>
      <c r="F7104" t="s">
        <v>7743</v>
      </c>
      <c r="G7104">
        <v>1266</v>
      </c>
      <c r="J7104">
        <v>0</v>
      </c>
      <c r="M7104">
        <v>1266</v>
      </c>
    </row>
    <row r="7105" spans="1:15" x14ac:dyDescent="0.35">
      <c r="A7105" t="s">
        <v>7712</v>
      </c>
      <c r="B7105" t="s">
        <v>192</v>
      </c>
      <c r="C7105" t="s">
        <v>1644</v>
      </c>
      <c r="D7105" t="s">
        <v>339</v>
      </c>
      <c r="E7105" t="s">
        <v>294</v>
      </c>
      <c r="F7105" t="s">
        <v>7744</v>
      </c>
      <c r="G7105">
        <v>390</v>
      </c>
      <c r="H7105">
        <v>50381.659999999996</v>
      </c>
      <c r="I7105">
        <v>129.18</v>
      </c>
      <c r="J7105">
        <v>0</v>
      </c>
      <c r="K7105">
        <v>0</v>
      </c>
      <c r="L7105">
        <v>0</v>
      </c>
      <c r="M7105">
        <v>390</v>
      </c>
      <c r="N7105">
        <v>50381.659999999996</v>
      </c>
      <c r="O7105">
        <v>129.18</v>
      </c>
    </row>
    <row r="7106" spans="1:15" x14ac:dyDescent="0.35">
      <c r="A7106" t="s">
        <v>7712</v>
      </c>
      <c r="B7106" t="s">
        <v>192</v>
      </c>
      <c r="C7106" t="s">
        <v>1644</v>
      </c>
      <c r="D7106" t="s">
        <v>339</v>
      </c>
      <c r="E7106" t="s">
        <v>296</v>
      </c>
      <c r="F7106" t="s">
        <v>7745</v>
      </c>
      <c r="G7106">
        <v>38</v>
      </c>
      <c r="H7106">
        <v>4954.6100000000006</v>
      </c>
      <c r="I7106">
        <v>130.38</v>
      </c>
      <c r="J7106">
        <v>0</v>
      </c>
      <c r="K7106">
        <v>0</v>
      </c>
      <c r="L7106">
        <v>0</v>
      </c>
      <c r="M7106">
        <v>38</v>
      </c>
      <c r="N7106">
        <v>4954.6100000000006</v>
      </c>
      <c r="O7106">
        <v>130.38</v>
      </c>
    </row>
    <row r="7107" spans="1:15" x14ac:dyDescent="0.35">
      <c r="A7107" t="s">
        <v>7712</v>
      </c>
      <c r="B7107" t="s">
        <v>192</v>
      </c>
      <c r="C7107" t="s">
        <v>1644</v>
      </c>
      <c r="D7107" t="s">
        <v>339</v>
      </c>
      <c r="E7107" t="s">
        <v>298</v>
      </c>
      <c r="F7107" t="s">
        <v>7746</v>
      </c>
      <c r="G7107">
        <v>3</v>
      </c>
      <c r="H7107">
        <v>421.86</v>
      </c>
      <c r="I7107">
        <v>140.62</v>
      </c>
      <c r="J7107">
        <v>0</v>
      </c>
      <c r="K7107">
        <v>0</v>
      </c>
      <c r="L7107">
        <v>0</v>
      </c>
      <c r="M7107">
        <v>3</v>
      </c>
      <c r="N7107">
        <v>421.86</v>
      </c>
      <c r="O7107">
        <v>140.62</v>
      </c>
    </row>
    <row r="7108" spans="1:15" x14ac:dyDescent="0.35">
      <c r="A7108" t="s">
        <v>7712</v>
      </c>
      <c r="B7108" t="s">
        <v>192</v>
      </c>
      <c r="C7108" t="s">
        <v>1644</v>
      </c>
      <c r="D7108" t="s">
        <v>339</v>
      </c>
      <c r="E7108" t="s">
        <v>300</v>
      </c>
      <c r="F7108" t="s">
        <v>7747</v>
      </c>
      <c r="G7108">
        <v>0</v>
      </c>
      <c r="H7108">
        <v>0</v>
      </c>
      <c r="I7108">
        <v>0</v>
      </c>
      <c r="J7108">
        <v>0</v>
      </c>
      <c r="K7108">
        <v>0</v>
      </c>
      <c r="L7108">
        <v>0</v>
      </c>
      <c r="M7108">
        <v>0</v>
      </c>
      <c r="N7108">
        <v>0</v>
      </c>
      <c r="O7108">
        <v>0</v>
      </c>
    </row>
    <row r="7109" spans="1:15" x14ac:dyDescent="0.35">
      <c r="A7109" t="s">
        <v>7712</v>
      </c>
      <c r="B7109" t="s">
        <v>192</v>
      </c>
      <c r="C7109" t="s">
        <v>1644</v>
      </c>
      <c r="D7109" t="s">
        <v>339</v>
      </c>
      <c r="E7109" t="s">
        <v>306</v>
      </c>
      <c r="F7109" t="s">
        <v>7748</v>
      </c>
      <c r="G7109">
        <v>77</v>
      </c>
      <c r="H7109">
        <v>7883.3</v>
      </c>
      <c r="I7109">
        <v>102.38</v>
      </c>
      <c r="J7109">
        <v>0</v>
      </c>
      <c r="K7109">
        <v>0</v>
      </c>
      <c r="L7109">
        <v>0</v>
      </c>
      <c r="M7109">
        <v>77</v>
      </c>
      <c r="N7109">
        <v>7883.3</v>
      </c>
      <c r="O7109">
        <v>102.38</v>
      </c>
    </row>
    <row r="7110" spans="1:15" x14ac:dyDescent="0.35">
      <c r="A7110" t="s">
        <v>7712</v>
      </c>
      <c r="B7110" t="s">
        <v>192</v>
      </c>
      <c r="C7110" t="s">
        <v>1644</v>
      </c>
      <c r="D7110" t="s">
        <v>339</v>
      </c>
      <c r="E7110" t="s">
        <v>308</v>
      </c>
      <c r="F7110" t="s">
        <v>7749</v>
      </c>
      <c r="G7110">
        <v>44</v>
      </c>
      <c r="H7110">
        <v>7305.53</v>
      </c>
      <c r="I7110">
        <v>166.03</v>
      </c>
      <c r="J7110">
        <v>0</v>
      </c>
      <c r="K7110">
        <v>0</v>
      </c>
      <c r="L7110">
        <v>0</v>
      </c>
      <c r="M7110">
        <v>44</v>
      </c>
      <c r="N7110">
        <v>7305.53</v>
      </c>
      <c r="O7110">
        <v>166.03</v>
      </c>
    </row>
    <row r="7111" spans="1:15" x14ac:dyDescent="0.35">
      <c r="A7111" t="s">
        <v>7712</v>
      </c>
      <c r="B7111" t="s">
        <v>192</v>
      </c>
      <c r="C7111" t="s">
        <v>1644</v>
      </c>
      <c r="D7111" t="s">
        <v>339</v>
      </c>
      <c r="E7111" t="s">
        <v>310</v>
      </c>
      <c r="F7111" t="s">
        <v>7750</v>
      </c>
      <c r="G7111">
        <v>552</v>
      </c>
      <c r="H7111">
        <v>70946.960000000006</v>
      </c>
      <c r="I7111">
        <v>128.53</v>
      </c>
      <c r="J7111">
        <v>0</v>
      </c>
      <c r="K7111">
        <v>0</v>
      </c>
      <c r="L7111">
        <v>0</v>
      </c>
      <c r="M7111">
        <v>552</v>
      </c>
      <c r="N7111">
        <v>70946.960000000006</v>
      </c>
      <c r="O7111">
        <v>128.53</v>
      </c>
    </row>
    <row r="7112" spans="1:15" x14ac:dyDescent="0.35">
      <c r="A7112" t="s">
        <v>7712</v>
      </c>
      <c r="B7112" t="s">
        <v>192</v>
      </c>
      <c r="C7112" t="s">
        <v>1644</v>
      </c>
      <c r="D7112" t="s">
        <v>339</v>
      </c>
      <c r="E7112" t="s">
        <v>312</v>
      </c>
      <c r="F7112" t="s">
        <v>7751</v>
      </c>
      <c r="G7112">
        <v>508</v>
      </c>
      <c r="H7112">
        <v>63641.43</v>
      </c>
      <c r="I7112">
        <v>125.28</v>
      </c>
      <c r="J7112">
        <v>0</v>
      </c>
      <c r="K7112">
        <v>0</v>
      </c>
      <c r="L7112">
        <v>0</v>
      </c>
      <c r="M7112">
        <v>508</v>
      </c>
      <c r="N7112">
        <v>63641.43</v>
      </c>
      <c r="O7112">
        <v>125.28</v>
      </c>
    </row>
    <row r="7113" spans="1:15" x14ac:dyDescent="0.35">
      <c r="A7113" t="s">
        <v>7712</v>
      </c>
      <c r="B7113" t="s">
        <v>192</v>
      </c>
      <c r="C7113" t="s">
        <v>1644</v>
      </c>
      <c r="D7113" t="s">
        <v>348</v>
      </c>
      <c r="E7113" t="s">
        <v>349</v>
      </c>
      <c r="F7113" t="s">
        <v>7752</v>
      </c>
      <c r="G7113">
        <v>648</v>
      </c>
      <c r="H7113">
        <v>76803.409999999989</v>
      </c>
      <c r="I7113">
        <v>132.65</v>
      </c>
      <c r="J7113">
        <v>0</v>
      </c>
      <c r="K7113">
        <v>0</v>
      </c>
      <c r="L7113">
        <v>0</v>
      </c>
      <c r="M7113">
        <v>648</v>
      </c>
      <c r="N7113">
        <v>76803.409999999989</v>
      </c>
      <c r="O7113">
        <v>132.65</v>
      </c>
    </row>
    <row r="7114" spans="1:15" x14ac:dyDescent="0.35">
      <c r="A7114" t="s">
        <v>7753</v>
      </c>
      <c r="B7114" t="s">
        <v>208</v>
      </c>
      <c r="C7114" t="s">
        <v>1644</v>
      </c>
      <c r="D7114" t="s">
        <v>293</v>
      </c>
      <c r="E7114" t="s">
        <v>294</v>
      </c>
      <c r="F7114" t="s">
        <v>7754</v>
      </c>
      <c r="G7114">
        <v>253</v>
      </c>
      <c r="H7114">
        <v>41722.689999999995</v>
      </c>
      <c r="I7114">
        <v>164.91</v>
      </c>
      <c r="J7114">
        <v>0</v>
      </c>
      <c r="K7114">
        <v>0</v>
      </c>
      <c r="L7114">
        <v>0</v>
      </c>
      <c r="M7114">
        <v>253</v>
      </c>
      <c r="N7114">
        <v>41722.689999999995</v>
      </c>
      <c r="O7114">
        <v>164.91</v>
      </c>
    </row>
    <row r="7115" spans="1:15" x14ac:dyDescent="0.35">
      <c r="A7115" t="s">
        <v>7753</v>
      </c>
      <c r="B7115" t="s">
        <v>208</v>
      </c>
      <c r="C7115" t="s">
        <v>1644</v>
      </c>
      <c r="D7115" t="s">
        <v>293</v>
      </c>
      <c r="E7115" t="s">
        <v>296</v>
      </c>
      <c r="F7115" t="s">
        <v>7755</v>
      </c>
      <c r="G7115">
        <v>849</v>
      </c>
      <c r="H7115">
        <v>175472.5</v>
      </c>
      <c r="I7115">
        <v>206.68</v>
      </c>
      <c r="J7115">
        <v>0</v>
      </c>
      <c r="K7115">
        <v>0</v>
      </c>
      <c r="L7115">
        <v>0</v>
      </c>
      <c r="M7115">
        <v>849</v>
      </c>
      <c r="N7115">
        <v>175472.5</v>
      </c>
      <c r="O7115">
        <v>206.68</v>
      </c>
    </row>
    <row r="7116" spans="1:15" x14ac:dyDescent="0.35">
      <c r="A7116" t="s">
        <v>7753</v>
      </c>
      <c r="B7116" t="s">
        <v>208</v>
      </c>
      <c r="C7116" t="s">
        <v>1644</v>
      </c>
      <c r="D7116" t="s">
        <v>293</v>
      </c>
      <c r="E7116" t="s">
        <v>298</v>
      </c>
      <c r="F7116" t="s">
        <v>7756</v>
      </c>
      <c r="G7116">
        <v>471</v>
      </c>
      <c r="H7116">
        <v>114139.22000000003</v>
      </c>
      <c r="I7116">
        <v>242.33</v>
      </c>
      <c r="J7116">
        <v>0</v>
      </c>
      <c r="K7116">
        <v>0</v>
      </c>
      <c r="L7116">
        <v>0</v>
      </c>
      <c r="M7116">
        <v>471</v>
      </c>
      <c r="N7116">
        <v>114139.22000000003</v>
      </c>
      <c r="O7116">
        <v>242.33</v>
      </c>
    </row>
    <row r="7117" spans="1:15" x14ac:dyDescent="0.35">
      <c r="A7117" t="s">
        <v>7753</v>
      </c>
      <c r="B7117" t="s">
        <v>208</v>
      </c>
      <c r="C7117" t="s">
        <v>1644</v>
      </c>
      <c r="D7117" t="s">
        <v>293</v>
      </c>
      <c r="E7117" t="s">
        <v>300</v>
      </c>
      <c r="F7117" t="s">
        <v>7757</v>
      </c>
      <c r="G7117">
        <v>37</v>
      </c>
      <c r="H7117">
        <v>11062.02</v>
      </c>
      <c r="I7117">
        <v>298.97000000000003</v>
      </c>
      <c r="J7117">
        <v>0</v>
      </c>
      <c r="K7117">
        <v>0</v>
      </c>
      <c r="L7117">
        <v>0</v>
      </c>
      <c r="M7117">
        <v>37</v>
      </c>
      <c r="N7117">
        <v>11062.02</v>
      </c>
      <c r="O7117">
        <v>298.97000000000003</v>
      </c>
    </row>
    <row r="7118" spans="1:15" x14ac:dyDescent="0.35">
      <c r="A7118" t="s">
        <v>7753</v>
      </c>
      <c r="B7118" t="s">
        <v>208</v>
      </c>
      <c r="C7118" t="s">
        <v>1644</v>
      </c>
      <c r="D7118" t="s">
        <v>293</v>
      </c>
      <c r="E7118" t="s">
        <v>302</v>
      </c>
      <c r="F7118" t="s">
        <v>7758</v>
      </c>
      <c r="G7118">
        <v>0</v>
      </c>
      <c r="H7118">
        <v>0</v>
      </c>
      <c r="I7118">
        <v>0</v>
      </c>
      <c r="J7118">
        <v>0</v>
      </c>
      <c r="K7118">
        <v>0</v>
      </c>
      <c r="L7118">
        <v>0</v>
      </c>
      <c r="M7118">
        <v>0</v>
      </c>
      <c r="N7118">
        <v>0</v>
      </c>
      <c r="O7118">
        <v>0</v>
      </c>
    </row>
    <row r="7119" spans="1:15" x14ac:dyDescent="0.35">
      <c r="A7119" t="s">
        <v>7753</v>
      </c>
      <c r="B7119" t="s">
        <v>208</v>
      </c>
      <c r="C7119" t="s">
        <v>1644</v>
      </c>
      <c r="D7119" t="s">
        <v>293</v>
      </c>
      <c r="E7119" t="s">
        <v>304</v>
      </c>
      <c r="F7119" t="s">
        <v>7759</v>
      </c>
      <c r="G7119">
        <v>0</v>
      </c>
      <c r="H7119">
        <v>0</v>
      </c>
      <c r="I7119">
        <v>0</v>
      </c>
      <c r="J7119">
        <v>0</v>
      </c>
      <c r="K7119">
        <v>0</v>
      </c>
      <c r="L7119">
        <v>0</v>
      </c>
      <c r="M7119">
        <v>0</v>
      </c>
      <c r="N7119">
        <v>0</v>
      </c>
      <c r="O7119">
        <v>0</v>
      </c>
    </row>
    <row r="7120" spans="1:15" x14ac:dyDescent="0.35">
      <c r="A7120" t="s">
        <v>7753</v>
      </c>
      <c r="B7120" t="s">
        <v>208</v>
      </c>
      <c r="C7120" t="s">
        <v>1644</v>
      </c>
      <c r="D7120" t="s">
        <v>293</v>
      </c>
      <c r="E7120" t="s">
        <v>306</v>
      </c>
      <c r="F7120" t="s">
        <v>7760</v>
      </c>
      <c r="G7120">
        <v>0</v>
      </c>
      <c r="H7120">
        <v>0</v>
      </c>
      <c r="I7120">
        <v>0</v>
      </c>
      <c r="J7120">
        <v>0</v>
      </c>
      <c r="K7120">
        <v>0</v>
      </c>
      <c r="L7120">
        <v>0</v>
      </c>
      <c r="M7120">
        <v>0</v>
      </c>
      <c r="N7120">
        <v>0</v>
      </c>
      <c r="O7120">
        <v>0</v>
      </c>
    </row>
    <row r="7121" spans="1:15" x14ac:dyDescent="0.35">
      <c r="A7121" t="s">
        <v>7753</v>
      </c>
      <c r="B7121" t="s">
        <v>208</v>
      </c>
      <c r="C7121" t="s">
        <v>1644</v>
      </c>
      <c r="D7121" t="s">
        <v>293</v>
      </c>
      <c r="E7121" t="s">
        <v>308</v>
      </c>
      <c r="F7121" t="s">
        <v>7761</v>
      </c>
      <c r="G7121">
        <v>0</v>
      </c>
      <c r="H7121">
        <v>0</v>
      </c>
      <c r="I7121">
        <v>0</v>
      </c>
      <c r="J7121">
        <v>0</v>
      </c>
      <c r="K7121">
        <v>0</v>
      </c>
      <c r="L7121">
        <v>0</v>
      </c>
      <c r="M7121">
        <v>0</v>
      </c>
      <c r="N7121">
        <v>0</v>
      </c>
      <c r="O7121">
        <v>0</v>
      </c>
    </row>
    <row r="7122" spans="1:15" x14ac:dyDescent="0.35">
      <c r="A7122" t="s">
        <v>7753</v>
      </c>
      <c r="B7122" t="s">
        <v>208</v>
      </c>
      <c r="C7122" t="s">
        <v>1644</v>
      </c>
      <c r="D7122" t="s">
        <v>293</v>
      </c>
      <c r="E7122" t="s">
        <v>310</v>
      </c>
      <c r="F7122" t="s">
        <v>7762</v>
      </c>
      <c r="G7122">
        <v>1610</v>
      </c>
      <c r="H7122">
        <v>342396.43000000005</v>
      </c>
      <c r="I7122">
        <v>212.67</v>
      </c>
      <c r="J7122">
        <v>0</v>
      </c>
      <c r="K7122">
        <v>0</v>
      </c>
      <c r="L7122">
        <v>0</v>
      </c>
      <c r="M7122">
        <v>1610</v>
      </c>
      <c r="N7122">
        <v>342396.43000000005</v>
      </c>
      <c r="O7122">
        <v>212.67</v>
      </c>
    </row>
    <row r="7123" spans="1:15" x14ac:dyDescent="0.35">
      <c r="A7123" t="s">
        <v>7753</v>
      </c>
      <c r="B7123" t="s">
        <v>208</v>
      </c>
      <c r="C7123" t="s">
        <v>1644</v>
      </c>
      <c r="D7123" t="s">
        <v>293</v>
      </c>
      <c r="E7123" t="s">
        <v>312</v>
      </c>
      <c r="F7123" t="s">
        <v>7763</v>
      </c>
      <c r="G7123">
        <v>1610</v>
      </c>
      <c r="H7123">
        <v>342396.43000000005</v>
      </c>
      <c r="I7123">
        <v>212.67</v>
      </c>
      <c r="J7123">
        <v>0</v>
      </c>
      <c r="K7123">
        <v>0</v>
      </c>
      <c r="L7123">
        <v>0</v>
      </c>
      <c r="M7123">
        <v>1610</v>
      </c>
      <c r="N7123">
        <v>342396.43000000005</v>
      </c>
      <c r="O7123">
        <v>212.67</v>
      </c>
    </row>
    <row r="7124" spans="1:15" x14ac:dyDescent="0.35">
      <c r="A7124" t="s">
        <v>7753</v>
      </c>
      <c r="B7124" t="s">
        <v>208</v>
      </c>
      <c r="C7124" t="s">
        <v>1644</v>
      </c>
      <c r="D7124" t="s">
        <v>314</v>
      </c>
      <c r="E7124" t="s">
        <v>294</v>
      </c>
      <c r="F7124" t="s">
        <v>7764</v>
      </c>
      <c r="G7124">
        <v>0</v>
      </c>
      <c r="H7124">
        <v>0</v>
      </c>
      <c r="I7124">
        <v>0</v>
      </c>
      <c r="J7124">
        <v>0</v>
      </c>
      <c r="K7124">
        <v>0</v>
      </c>
      <c r="L7124">
        <v>0</v>
      </c>
      <c r="M7124">
        <v>0</v>
      </c>
      <c r="N7124">
        <v>0</v>
      </c>
      <c r="O7124">
        <v>0</v>
      </c>
    </row>
    <row r="7125" spans="1:15" x14ac:dyDescent="0.35">
      <c r="A7125" t="s">
        <v>7753</v>
      </c>
      <c r="B7125" t="s">
        <v>208</v>
      </c>
      <c r="C7125" t="s">
        <v>1644</v>
      </c>
      <c r="D7125" t="s">
        <v>314</v>
      </c>
      <c r="E7125" t="s">
        <v>296</v>
      </c>
      <c r="F7125" t="s">
        <v>7765</v>
      </c>
      <c r="G7125">
        <v>2</v>
      </c>
      <c r="H7125">
        <v>395.28</v>
      </c>
      <c r="I7125">
        <v>197.64</v>
      </c>
      <c r="J7125">
        <v>0</v>
      </c>
      <c r="K7125">
        <v>0</v>
      </c>
      <c r="L7125">
        <v>0</v>
      </c>
      <c r="M7125">
        <v>2</v>
      </c>
      <c r="N7125">
        <v>395.28</v>
      </c>
      <c r="O7125">
        <v>197.64</v>
      </c>
    </row>
    <row r="7126" spans="1:15" x14ac:dyDescent="0.35">
      <c r="A7126" t="s">
        <v>7753</v>
      </c>
      <c r="B7126" t="s">
        <v>208</v>
      </c>
      <c r="C7126" t="s">
        <v>1644</v>
      </c>
      <c r="D7126" t="s">
        <v>314</v>
      </c>
      <c r="E7126" t="s">
        <v>298</v>
      </c>
      <c r="F7126" t="s">
        <v>7766</v>
      </c>
      <c r="G7126">
        <v>0</v>
      </c>
      <c r="H7126">
        <v>0</v>
      </c>
      <c r="I7126">
        <v>0</v>
      </c>
      <c r="J7126">
        <v>0</v>
      </c>
      <c r="K7126">
        <v>0</v>
      </c>
      <c r="L7126">
        <v>0</v>
      </c>
      <c r="M7126">
        <v>0</v>
      </c>
      <c r="N7126">
        <v>0</v>
      </c>
      <c r="O7126">
        <v>0</v>
      </c>
    </row>
    <row r="7127" spans="1:15" x14ac:dyDescent="0.35">
      <c r="A7127" t="s">
        <v>7753</v>
      </c>
      <c r="B7127" t="s">
        <v>208</v>
      </c>
      <c r="C7127" t="s">
        <v>1644</v>
      </c>
      <c r="D7127" t="s">
        <v>314</v>
      </c>
      <c r="E7127" t="s">
        <v>300</v>
      </c>
      <c r="F7127" t="s">
        <v>7767</v>
      </c>
      <c r="G7127">
        <v>0</v>
      </c>
      <c r="H7127">
        <v>0</v>
      </c>
      <c r="I7127">
        <v>0</v>
      </c>
      <c r="J7127">
        <v>0</v>
      </c>
      <c r="K7127">
        <v>0</v>
      </c>
      <c r="L7127">
        <v>0</v>
      </c>
      <c r="M7127">
        <v>0</v>
      </c>
      <c r="N7127">
        <v>0</v>
      </c>
      <c r="O7127">
        <v>0</v>
      </c>
    </row>
    <row r="7128" spans="1:15" x14ac:dyDescent="0.35">
      <c r="A7128" t="s">
        <v>7753</v>
      </c>
      <c r="B7128" t="s">
        <v>208</v>
      </c>
      <c r="C7128" t="s">
        <v>1644</v>
      </c>
      <c r="D7128" t="s">
        <v>314</v>
      </c>
      <c r="E7128" t="s">
        <v>306</v>
      </c>
      <c r="F7128" t="s">
        <v>7768</v>
      </c>
      <c r="G7128">
        <v>0</v>
      </c>
      <c r="H7128">
        <v>0</v>
      </c>
      <c r="I7128">
        <v>0</v>
      </c>
      <c r="J7128">
        <v>0</v>
      </c>
      <c r="K7128">
        <v>0</v>
      </c>
      <c r="L7128">
        <v>0</v>
      </c>
      <c r="M7128">
        <v>0</v>
      </c>
      <c r="N7128">
        <v>0</v>
      </c>
      <c r="O7128">
        <v>0</v>
      </c>
    </row>
    <row r="7129" spans="1:15" x14ac:dyDescent="0.35">
      <c r="A7129" t="s">
        <v>7753</v>
      </c>
      <c r="B7129" t="s">
        <v>208</v>
      </c>
      <c r="C7129" t="s">
        <v>1644</v>
      </c>
      <c r="D7129" t="s">
        <v>314</v>
      </c>
      <c r="E7129" t="s">
        <v>308</v>
      </c>
      <c r="F7129" t="s">
        <v>7769</v>
      </c>
      <c r="G7129">
        <v>0</v>
      </c>
      <c r="H7129">
        <v>0</v>
      </c>
      <c r="I7129">
        <v>0</v>
      </c>
      <c r="J7129">
        <v>0</v>
      </c>
      <c r="K7129">
        <v>0</v>
      </c>
      <c r="L7129">
        <v>0</v>
      </c>
      <c r="M7129">
        <v>0</v>
      </c>
      <c r="N7129">
        <v>0</v>
      </c>
      <c r="O7129">
        <v>0</v>
      </c>
    </row>
    <row r="7130" spans="1:15" x14ac:dyDescent="0.35">
      <c r="A7130" t="s">
        <v>7753</v>
      </c>
      <c r="B7130" t="s">
        <v>208</v>
      </c>
      <c r="C7130" t="s">
        <v>1644</v>
      </c>
      <c r="D7130" t="s">
        <v>314</v>
      </c>
      <c r="E7130" t="s">
        <v>312</v>
      </c>
      <c r="F7130" t="s">
        <v>7770</v>
      </c>
      <c r="G7130">
        <v>2</v>
      </c>
      <c r="H7130">
        <v>395.28</v>
      </c>
      <c r="I7130">
        <v>197.64</v>
      </c>
      <c r="J7130">
        <v>0</v>
      </c>
      <c r="K7130">
        <v>0</v>
      </c>
      <c r="L7130">
        <v>0</v>
      </c>
      <c r="M7130">
        <v>2</v>
      </c>
      <c r="N7130">
        <v>395.28</v>
      </c>
      <c r="O7130">
        <v>197.64</v>
      </c>
    </row>
    <row r="7131" spans="1:15" x14ac:dyDescent="0.35">
      <c r="A7131" t="s">
        <v>7753</v>
      </c>
      <c r="B7131" t="s">
        <v>208</v>
      </c>
      <c r="C7131" t="s">
        <v>1644</v>
      </c>
      <c r="D7131" t="s">
        <v>314</v>
      </c>
      <c r="E7131" t="s">
        <v>310</v>
      </c>
      <c r="F7131" t="s">
        <v>7771</v>
      </c>
      <c r="G7131">
        <v>2</v>
      </c>
      <c r="H7131">
        <v>395.28</v>
      </c>
      <c r="I7131">
        <v>197.64</v>
      </c>
      <c r="J7131">
        <v>0</v>
      </c>
      <c r="K7131">
        <v>0</v>
      </c>
      <c r="L7131">
        <v>0</v>
      </c>
      <c r="M7131">
        <v>2</v>
      </c>
      <c r="N7131">
        <v>395.28</v>
      </c>
      <c r="O7131">
        <v>197.64</v>
      </c>
    </row>
    <row r="7132" spans="1:15" x14ac:dyDescent="0.35">
      <c r="A7132" t="s">
        <v>7753</v>
      </c>
      <c r="B7132" t="s">
        <v>208</v>
      </c>
      <c r="C7132" t="s">
        <v>1644</v>
      </c>
      <c r="D7132" t="s">
        <v>323</v>
      </c>
      <c r="E7132" t="s">
        <v>294</v>
      </c>
      <c r="F7132" t="s">
        <v>7772</v>
      </c>
      <c r="G7132">
        <v>700</v>
      </c>
      <c r="H7132">
        <v>82028.22</v>
      </c>
      <c r="I7132">
        <v>117.18</v>
      </c>
      <c r="J7132">
        <v>0</v>
      </c>
      <c r="K7132">
        <v>0</v>
      </c>
      <c r="L7132">
        <v>0</v>
      </c>
      <c r="M7132">
        <v>700</v>
      </c>
      <c r="N7132">
        <v>82028.22</v>
      </c>
      <c r="O7132">
        <v>117.18</v>
      </c>
    </row>
    <row r="7133" spans="1:15" x14ac:dyDescent="0.35">
      <c r="A7133" t="s">
        <v>7753</v>
      </c>
      <c r="B7133" t="s">
        <v>208</v>
      </c>
      <c r="C7133" t="s">
        <v>1644</v>
      </c>
      <c r="D7133" t="s">
        <v>323</v>
      </c>
      <c r="E7133" t="s">
        <v>296</v>
      </c>
      <c r="F7133" t="s">
        <v>7773</v>
      </c>
      <c r="G7133">
        <v>2257</v>
      </c>
      <c r="H7133">
        <v>304282.41000000003</v>
      </c>
      <c r="I7133">
        <v>134.82</v>
      </c>
      <c r="J7133">
        <v>0</v>
      </c>
      <c r="K7133">
        <v>0</v>
      </c>
      <c r="L7133">
        <v>0</v>
      </c>
      <c r="M7133">
        <v>2257</v>
      </c>
      <c r="N7133">
        <v>304282.41000000003</v>
      </c>
      <c r="O7133">
        <v>134.82</v>
      </c>
    </row>
    <row r="7134" spans="1:15" x14ac:dyDescent="0.35">
      <c r="A7134" t="s">
        <v>7753</v>
      </c>
      <c r="B7134" t="s">
        <v>208</v>
      </c>
      <c r="C7134" t="s">
        <v>1644</v>
      </c>
      <c r="D7134" t="s">
        <v>323</v>
      </c>
      <c r="E7134" t="s">
        <v>298</v>
      </c>
      <c r="F7134" t="s">
        <v>7774</v>
      </c>
      <c r="G7134">
        <v>1940</v>
      </c>
      <c r="H7134">
        <v>281211.16000000003</v>
      </c>
      <c r="I7134">
        <v>144.94999999999999</v>
      </c>
      <c r="J7134">
        <v>0</v>
      </c>
      <c r="K7134">
        <v>0</v>
      </c>
      <c r="L7134">
        <v>0</v>
      </c>
      <c r="M7134">
        <v>1940</v>
      </c>
      <c r="N7134">
        <v>281211.16000000003</v>
      </c>
      <c r="O7134">
        <v>144.94999999999999</v>
      </c>
    </row>
    <row r="7135" spans="1:15" x14ac:dyDescent="0.35">
      <c r="A7135" t="s">
        <v>7753</v>
      </c>
      <c r="B7135" t="s">
        <v>208</v>
      </c>
      <c r="C7135" t="s">
        <v>1644</v>
      </c>
      <c r="D7135" t="s">
        <v>323</v>
      </c>
      <c r="E7135" t="s">
        <v>300</v>
      </c>
      <c r="F7135" t="s">
        <v>7775</v>
      </c>
      <c r="G7135">
        <v>120</v>
      </c>
      <c r="H7135">
        <v>19564.059999999998</v>
      </c>
      <c r="I7135">
        <v>163.03</v>
      </c>
      <c r="J7135">
        <v>0</v>
      </c>
      <c r="K7135">
        <v>0</v>
      </c>
      <c r="L7135">
        <v>0</v>
      </c>
      <c r="M7135">
        <v>120</v>
      </c>
      <c r="N7135">
        <v>19564.059999999998</v>
      </c>
      <c r="O7135">
        <v>163.03</v>
      </c>
    </row>
    <row r="7136" spans="1:15" x14ac:dyDescent="0.35">
      <c r="A7136" t="s">
        <v>7753</v>
      </c>
      <c r="B7136" t="s">
        <v>208</v>
      </c>
      <c r="C7136" t="s">
        <v>1644</v>
      </c>
      <c r="D7136" t="s">
        <v>323</v>
      </c>
      <c r="E7136" t="s">
        <v>302</v>
      </c>
      <c r="F7136" t="s">
        <v>7776</v>
      </c>
      <c r="G7136">
        <v>4</v>
      </c>
      <c r="H7136">
        <v>705.64</v>
      </c>
      <c r="I7136">
        <v>176.41</v>
      </c>
      <c r="J7136">
        <v>0</v>
      </c>
      <c r="K7136">
        <v>0</v>
      </c>
      <c r="L7136">
        <v>0</v>
      </c>
      <c r="M7136">
        <v>4</v>
      </c>
      <c r="N7136">
        <v>705.64</v>
      </c>
      <c r="O7136">
        <v>176.41</v>
      </c>
    </row>
    <row r="7137" spans="1:15" x14ac:dyDescent="0.35">
      <c r="A7137" t="s">
        <v>7753</v>
      </c>
      <c r="B7137" t="s">
        <v>208</v>
      </c>
      <c r="C7137" t="s">
        <v>1644</v>
      </c>
      <c r="D7137" t="s">
        <v>323</v>
      </c>
      <c r="E7137" t="s">
        <v>304</v>
      </c>
      <c r="F7137" t="s">
        <v>7777</v>
      </c>
      <c r="G7137">
        <v>0</v>
      </c>
      <c r="H7137">
        <v>0</v>
      </c>
      <c r="I7137">
        <v>0</v>
      </c>
      <c r="J7137">
        <v>0</v>
      </c>
      <c r="K7137">
        <v>0</v>
      </c>
      <c r="L7137">
        <v>0</v>
      </c>
      <c r="M7137">
        <v>0</v>
      </c>
      <c r="N7137">
        <v>0</v>
      </c>
      <c r="O7137">
        <v>0</v>
      </c>
    </row>
    <row r="7138" spans="1:15" x14ac:dyDescent="0.35">
      <c r="A7138" t="s">
        <v>7753</v>
      </c>
      <c r="B7138" t="s">
        <v>208</v>
      </c>
      <c r="C7138" t="s">
        <v>1644</v>
      </c>
      <c r="D7138" t="s">
        <v>323</v>
      </c>
      <c r="E7138" t="s">
        <v>306</v>
      </c>
      <c r="F7138" t="s">
        <v>7778</v>
      </c>
      <c r="G7138">
        <v>30</v>
      </c>
      <c r="H7138">
        <v>2984.1</v>
      </c>
      <c r="I7138">
        <v>99.47</v>
      </c>
      <c r="J7138">
        <v>0</v>
      </c>
      <c r="K7138">
        <v>0</v>
      </c>
      <c r="L7138">
        <v>0</v>
      </c>
      <c r="M7138">
        <v>30</v>
      </c>
      <c r="N7138">
        <v>2984.1</v>
      </c>
      <c r="O7138">
        <v>99.47</v>
      </c>
    </row>
    <row r="7139" spans="1:15" x14ac:dyDescent="0.35">
      <c r="A7139" t="s">
        <v>7753</v>
      </c>
      <c r="B7139" t="s">
        <v>208</v>
      </c>
      <c r="C7139" t="s">
        <v>1644</v>
      </c>
      <c r="D7139" t="s">
        <v>323</v>
      </c>
      <c r="E7139" t="s">
        <v>308</v>
      </c>
      <c r="F7139" t="s">
        <v>7779</v>
      </c>
      <c r="G7139">
        <v>2</v>
      </c>
      <c r="H7139">
        <v>195.92</v>
      </c>
      <c r="I7139">
        <v>97.96</v>
      </c>
      <c r="J7139">
        <v>0</v>
      </c>
      <c r="K7139">
        <v>0</v>
      </c>
      <c r="L7139">
        <v>0</v>
      </c>
      <c r="M7139">
        <v>2</v>
      </c>
      <c r="N7139">
        <v>195.92</v>
      </c>
      <c r="O7139">
        <v>97.96</v>
      </c>
    </row>
    <row r="7140" spans="1:15" x14ac:dyDescent="0.35">
      <c r="A7140" t="s">
        <v>7753</v>
      </c>
      <c r="B7140" t="s">
        <v>208</v>
      </c>
      <c r="C7140" t="s">
        <v>1644</v>
      </c>
      <c r="D7140" t="s">
        <v>323</v>
      </c>
      <c r="E7140" t="s">
        <v>310</v>
      </c>
      <c r="F7140" t="s">
        <v>7780</v>
      </c>
      <c r="G7140">
        <v>5053</v>
      </c>
      <c r="H7140">
        <v>690971.51000000013</v>
      </c>
      <c r="I7140">
        <v>136.74</v>
      </c>
      <c r="J7140">
        <v>0</v>
      </c>
      <c r="K7140">
        <v>0</v>
      </c>
      <c r="L7140">
        <v>0</v>
      </c>
      <c r="M7140">
        <v>5053</v>
      </c>
      <c r="N7140">
        <v>690971.51000000013</v>
      </c>
      <c r="O7140">
        <v>136.74</v>
      </c>
    </row>
    <row r="7141" spans="1:15" x14ac:dyDescent="0.35">
      <c r="A7141" t="s">
        <v>7753</v>
      </c>
      <c r="B7141" t="s">
        <v>208</v>
      </c>
      <c r="C7141" t="s">
        <v>1644</v>
      </c>
      <c r="D7141" t="s">
        <v>323</v>
      </c>
      <c r="E7141" t="s">
        <v>312</v>
      </c>
      <c r="F7141" t="s">
        <v>7781</v>
      </c>
      <c r="G7141">
        <v>5051</v>
      </c>
      <c r="H7141">
        <v>690775.59000000008</v>
      </c>
      <c r="I7141">
        <v>136.76</v>
      </c>
      <c r="J7141">
        <v>0</v>
      </c>
      <c r="K7141">
        <v>0</v>
      </c>
      <c r="L7141">
        <v>0</v>
      </c>
      <c r="M7141">
        <v>5051</v>
      </c>
      <c r="N7141">
        <v>690775.59000000008</v>
      </c>
      <c r="O7141">
        <v>136.76</v>
      </c>
    </row>
    <row r="7142" spans="1:15" x14ac:dyDescent="0.35">
      <c r="A7142" t="s">
        <v>7753</v>
      </c>
      <c r="B7142" t="s">
        <v>208</v>
      </c>
      <c r="C7142" t="s">
        <v>1644</v>
      </c>
      <c r="D7142" t="s">
        <v>334</v>
      </c>
      <c r="E7142" t="s">
        <v>312</v>
      </c>
      <c r="F7142" t="s">
        <v>7782</v>
      </c>
      <c r="G7142">
        <v>6656</v>
      </c>
      <c r="H7142">
        <v>1033172.02</v>
      </c>
      <c r="I7142">
        <v>155.11000000000001</v>
      </c>
      <c r="J7142">
        <v>0</v>
      </c>
      <c r="K7142">
        <v>0</v>
      </c>
      <c r="L7142">
        <v>0</v>
      </c>
      <c r="M7142">
        <v>6656</v>
      </c>
      <c r="N7142">
        <v>1033172.02</v>
      </c>
      <c r="O7142">
        <v>155.11000000000001</v>
      </c>
    </row>
    <row r="7143" spans="1:15" x14ac:dyDescent="0.35">
      <c r="A7143" t="s">
        <v>7753</v>
      </c>
      <c r="B7143" t="s">
        <v>208</v>
      </c>
      <c r="C7143" t="s">
        <v>1644</v>
      </c>
      <c r="D7143" t="s">
        <v>334</v>
      </c>
      <c r="E7143" t="s">
        <v>308</v>
      </c>
      <c r="F7143" t="s">
        <v>7783</v>
      </c>
      <c r="G7143">
        <v>2</v>
      </c>
      <c r="H7143">
        <v>195.92</v>
      </c>
      <c r="I7143">
        <v>97.96</v>
      </c>
      <c r="J7143">
        <v>0</v>
      </c>
      <c r="K7143">
        <v>0</v>
      </c>
      <c r="L7143">
        <v>0</v>
      </c>
      <c r="M7143">
        <v>2</v>
      </c>
      <c r="N7143">
        <v>195.92</v>
      </c>
      <c r="O7143">
        <v>97.96</v>
      </c>
    </row>
    <row r="7144" spans="1:15" x14ac:dyDescent="0.35">
      <c r="A7144" t="s">
        <v>7753</v>
      </c>
      <c r="B7144" t="s">
        <v>208</v>
      </c>
      <c r="C7144" t="s">
        <v>1644</v>
      </c>
      <c r="D7144" t="s">
        <v>337</v>
      </c>
      <c r="E7144" t="s">
        <v>337</v>
      </c>
      <c r="F7144" t="s">
        <v>7784</v>
      </c>
      <c r="G7144">
        <v>1201</v>
      </c>
      <c r="J7144">
        <v>0</v>
      </c>
      <c r="M7144">
        <v>1201</v>
      </c>
    </row>
    <row r="7145" spans="1:15" x14ac:dyDescent="0.35">
      <c r="A7145" t="s">
        <v>7753</v>
      </c>
      <c r="B7145" t="s">
        <v>208</v>
      </c>
      <c r="C7145" t="s">
        <v>1644</v>
      </c>
      <c r="D7145" t="s">
        <v>339</v>
      </c>
      <c r="E7145" t="s">
        <v>294</v>
      </c>
      <c r="F7145" t="s">
        <v>7785</v>
      </c>
      <c r="G7145">
        <v>142</v>
      </c>
      <c r="H7145">
        <v>20537.589999999997</v>
      </c>
      <c r="I7145">
        <v>144.63</v>
      </c>
      <c r="J7145">
        <v>0</v>
      </c>
      <c r="K7145">
        <v>0</v>
      </c>
      <c r="L7145">
        <v>0</v>
      </c>
      <c r="M7145">
        <v>142</v>
      </c>
      <c r="N7145">
        <v>20537.589999999997</v>
      </c>
      <c r="O7145">
        <v>144.63</v>
      </c>
    </row>
    <row r="7146" spans="1:15" x14ac:dyDescent="0.35">
      <c r="A7146" t="s">
        <v>7753</v>
      </c>
      <c r="B7146" t="s">
        <v>208</v>
      </c>
      <c r="C7146" t="s">
        <v>1644</v>
      </c>
      <c r="D7146" t="s">
        <v>339</v>
      </c>
      <c r="E7146" t="s">
        <v>296</v>
      </c>
      <c r="F7146" t="s">
        <v>7786</v>
      </c>
      <c r="G7146">
        <v>73</v>
      </c>
      <c r="H7146">
        <v>10797.650000000001</v>
      </c>
      <c r="I7146">
        <v>147.91</v>
      </c>
      <c r="J7146">
        <v>0</v>
      </c>
      <c r="K7146">
        <v>0</v>
      </c>
      <c r="L7146">
        <v>0</v>
      </c>
      <c r="M7146">
        <v>73</v>
      </c>
      <c r="N7146">
        <v>10797.650000000001</v>
      </c>
      <c r="O7146">
        <v>147.91</v>
      </c>
    </row>
    <row r="7147" spans="1:15" x14ac:dyDescent="0.35">
      <c r="A7147" t="s">
        <v>7753</v>
      </c>
      <c r="B7147" t="s">
        <v>208</v>
      </c>
      <c r="C7147" t="s">
        <v>1644</v>
      </c>
      <c r="D7147" t="s">
        <v>339</v>
      </c>
      <c r="E7147" t="s">
        <v>298</v>
      </c>
      <c r="F7147" t="s">
        <v>7787</v>
      </c>
      <c r="G7147">
        <v>3</v>
      </c>
      <c r="H7147">
        <v>440.61</v>
      </c>
      <c r="I7147">
        <v>146.87</v>
      </c>
      <c r="J7147">
        <v>0</v>
      </c>
      <c r="K7147">
        <v>0</v>
      </c>
      <c r="L7147">
        <v>0</v>
      </c>
      <c r="M7147">
        <v>3</v>
      </c>
      <c r="N7147">
        <v>440.61</v>
      </c>
      <c r="O7147">
        <v>146.87</v>
      </c>
    </row>
    <row r="7148" spans="1:15" x14ac:dyDescent="0.35">
      <c r="A7148" t="s">
        <v>7753</v>
      </c>
      <c r="B7148" t="s">
        <v>208</v>
      </c>
      <c r="C7148" t="s">
        <v>1644</v>
      </c>
      <c r="D7148" t="s">
        <v>339</v>
      </c>
      <c r="E7148" t="s">
        <v>300</v>
      </c>
      <c r="F7148" t="s">
        <v>7788</v>
      </c>
      <c r="G7148">
        <v>0</v>
      </c>
      <c r="H7148">
        <v>0</v>
      </c>
      <c r="I7148">
        <v>0</v>
      </c>
      <c r="J7148">
        <v>0</v>
      </c>
      <c r="K7148">
        <v>0</v>
      </c>
      <c r="L7148">
        <v>0</v>
      </c>
      <c r="M7148">
        <v>0</v>
      </c>
      <c r="N7148">
        <v>0</v>
      </c>
      <c r="O7148">
        <v>0</v>
      </c>
    </row>
    <row r="7149" spans="1:15" x14ac:dyDescent="0.35">
      <c r="A7149" t="s">
        <v>7753</v>
      </c>
      <c r="B7149" t="s">
        <v>208</v>
      </c>
      <c r="C7149" t="s">
        <v>1644</v>
      </c>
      <c r="D7149" t="s">
        <v>339</v>
      </c>
      <c r="E7149" t="s">
        <v>306</v>
      </c>
      <c r="F7149" t="s">
        <v>7789</v>
      </c>
      <c r="G7149">
        <v>19</v>
      </c>
      <c r="H7149">
        <v>2045.15</v>
      </c>
      <c r="I7149">
        <v>107.64</v>
      </c>
      <c r="J7149">
        <v>0</v>
      </c>
      <c r="K7149">
        <v>0</v>
      </c>
      <c r="L7149">
        <v>0</v>
      </c>
      <c r="M7149">
        <v>19</v>
      </c>
      <c r="N7149">
        <v>2045.15</v>
      </c>
      <c r="O7149">
        <v>107.64</v>
      </c>
    </row>
    <row r="7150" spans="1:15" x14ac:dyDescent="0.35">
      <c r="A7150" t="s">
        <v>7753</v>
      </c>
      <c r="B7150" t="s">
        <v>208</v>
      </c>
      <c r="C7150" t="s">
        <v>1644</v>
      </c>
      <c r="D7150" t="s">
        <v>339</v>
      </c>
      <c r="E7150" t="s">
        <v>308</v>
      </c>
      <c r="F7150" t="s">
        <v>7790</v>
      </c>
      <c r="G7150">
        <v>111</v>
      </c>
      <c r="H7150">
        <v>13038.5</v>
      </c>
      <c r="I7150">
        <v>117.46</v>
      </c>
      <c r="J7150">
        <v>0</v>
      </c>
      <c r="K7150">
        <v>0</v>
      </c>
      <c r="L7150">
        <v>0</v>
      </c>
      <c r="M7150">
        <v>111</v>
      </c>
      <c r="N7150">
        <v>13038.5</v>
      </c>
      <c r="O7150">
        <v>117.46</v>
      </c>
    </row>
    <row r="7151" spans="1:15" x14ac:dyDescent="0.35">
      <c r="A7151" t="s">
        <v>7753</v>
      </c>
      <c r="B7151" t="s">
        <v>208</v>
      </c>
      <c r="C7151" t="s">
        <v>1644</v>
      </c>
      <c r="D7151" t="s">
        <v>339</v>
      </c>
      <c r="E7151" t="s">
        <v>310</v>
      </c>
      <c r="F7151" t="s">
        <v>7791</v>
      </c>
      <c r="G7151">
        <v>348</v>
      </c>
      <c r="H7151">
        <v>46859.5</v>
      </c>
      <c r="I7151">
        <v>134.65</v>
      </c>
      <c r="J7151">
        <v>0</v>
      </c>
      <c r="K7151">
        <v>0</v>
      </c>
      <c r="L7151">
        <v>0</v>
      </c>
      <c r="M7151">
        <v>348</v>
      </c>
      <c r="N7151">
        <v>46859.5</v>
      </c>
      <c r="O7151">
        <v>134.65</v>
      </c>
    </row>
    <row r="7152" spans="1:15" x14ac:dyDescent="0.35">
      <c r="A7152" t="s">
        <v>7753</v>
      </c>
      <c r="B7152" t="s">
        <v>208</v>
      </c>
      <c r="C7152" t="s">
        <v>1644</v>
      </c>
      <c r="D7152" t="s">
        <v>339</v>
      </c>
      <c r="E7152" t="s">
        <v>312</v>
      </c>
      <c r="F7152" t="s">
        <v>7792</v>
      </c>
      <c r="G7152">
        <v>237</v>
      </c>
      <c r="H7152">
        <v>33821</v>
      </c>
      <c r="I7152">
        <v>142.69999999999999</v>
      </c>
      <c r="J7152">
        <v>0</v>
      </c>
      <c r="K7152">
        <v>0</v>
      </c>
      <c r="L7152">
        <v>0</v>
      </c>
      <c r="M7152">
        <v>237</v>
      </c>
      <c r="N7152">
        <v>33821</v>
      </c>
      <c r="O7152">
        <v>142.69999999999999</v>
      </c>
    </row>
    <row r="7153" spans="1:15" x14ac:dyDescent="0.35">
      <c r="A7153" t="s">
        <v>7753</v>
      </c>
      <c r="B7153" t="s">
        <v>208</v>
      </c>
      <c r="C7153" t="s">
        <v>1644</v>
      </c>
      <c r="D7153" t="s">
        <v>348</v>
      </c>
      <c r="E7153" t="s">
        <v>349</v>
      </c>
      <c r="F7153" t="s">
        <v>7793</v>
      </c>
      <c r="G7153">
        <v>365</v>
      </c>
      <c r="H7153">
        <v>47254.78</v>
      </c>
      <c r="I7153">
        <v>135.01</v>
      </c>
      <c r="J7153">
        <v>0</v>
      </c>
      <c r="K7153">
        <v>0</v>
      </c>
      <c r="L7153">
        <v>0</v>
      </c>
      <c r="M7153">
        <v>365</v>
      </c>
      <c r="N7153">
        <v>47254.78</v>
      </c>
      <c r="O7153">
        <v>135.01</v>
      </c>
    </row>
    <row r="7154" spans="1:15" x14ac:dyDescent="0.35">
      <c r="A7154" t="s">
        <v>7794</v>
      </c>
      <c r="B7154" t="s">
        <v>7795</v>
      </c>
      <c r="C7154" t="s">
        <v>1059</v>
      </c>
      <c r="D7154" t="s">
        <v>293</v>
      </c>
      <c r="E7154" t="s">
        <v>294</v>
      </c>
      <c r="F7154" t="s">
        <v>7796</v>
      </c>
      <c r="G7154">
        <v>67</v>
      </c>
      <c r="H7154">
        <v>7639.9500000000007</v>
      </c>
      <c r="I7154">
        <v>114.03</v>
      </c>
      <c r="J7154">
        <v>29</v>
      </c>
      <c r="K7154">
        <v>2561.2799999999997</v>
      </c>
      <c r="L7154">
        <v>88.32</v>
      </c>
      <c r="M7154">
        <v>96</v>
      </c>
      <c r="N7154">
        <v>10201.23</v>
      </c>
      <c r="O7154">
        <v>106.26</v>
      </c>
    </row>
    <row r="7155" spans="1:15" x14ac:dyDescent="0.35">
      <c r="A7155" t="s">
        <v>7794</v>
      </c>
      <c r="B7155" t="s">
        <v>7795</v>
      </c>
      <c r="C7155" t="s">
        <v>1059</v>
      </c>
      <c r="D7155" t="s">
        <v>293</v>
      </c>
      <c r="E7155" t="s">
        <v>296</v>
      </c>
      <c r="F7155" t="s">
        <v>7797</v>
      </c>
      <c r="G7155">
        <v>341</v>
      </c>
      <c r="H7155">
        <v>48598.739999999991</v>
      </c>
      <c r="I7155">
        <v>142.52000000000001</v>
      </c>
      <c r="J7155">
        <v>88</v>
      </c>
      <c r="K7155">
        <v>9260.24</v>
      </c>
      <c r="L7155">
        <v>105.23</v>
      </c>
      <c r="M7155">
        <v>429</v>
      </c>
      <c r="N7155">
        <v>57858.979999999989</v>
      </c>
      <c r="O7155">
        <v>134.87</v>
      </c>
    </row>
    <row r="7156" spans="1:15" x14ac:dyDescent="0.35">
      <c r="A7156" t="s">
        <v>7794</v>
      </c>
      <c r="B7156" t="s">
        <v>7795</v>
      </c>
      <c r="C7156" t="s">
        <v>1059</v>
      </c>
      <c r="D7156" t="s">
        <v>293</v>
      </c>
      <c r="E7156" t="s">
        <v>298</v>
      </c>
      <c r="F7156" t="s">
        <v>7798</v>
      </c>
      <c r="G7156">
        <v>201</v>
      </c>
      <c r="H7156">
        <v>32194.270000000004</v>
      </c>
      <c r="I7156">
        <v>160.16999999999999</v>
      </c>
      <c r="J7156">
        <v>26</v>
      </c>
      <c r="K7156">
        <v>3046.16</v>
      </c>
      <c r="L7156">
        <v>117.16</v>
      </c>
      <c r="M7156">
        <v>227</v>
      </c>
      <c r="N7156">
        <v>35240.430000000008</v>
      </c>
      <c r="O7156">
        <v>155.24</v>
      </c>
    </row>
    <row r="7157" spans="1:15" x14ac:dyDescent="0.35">
      <c r="A7157" t="s">
        <v>7794</v>
      </c>
      <c r="B7157" t="s">
        <v>7795</v>
      </c>
      <c r="C7157" t="s">
        <v>1059</v>
      </c>
      <c r="D7157" t="s">
        <v>293</v>
      </c>
      <c r="E7157" t="s">
        <v>300</v>
      </c>
      <c r="F7157" t="s">
        <v>7799</v>
      </c>
      <c r="G7157">
        <v>17</v>
      </c>
      <c r="H7157">
        <v>3316.38</v>
      </c>
      <c r="I7157">
        <v>195.08</v>
      </c>
      <c r="J7157">
        <v>8</v>
      </c>
      <c r="K7157">
        <v>1036.56</v>
      </c>
      <c r="L7157">
        <v>129.57</v>
      </c>
      <c r="M7157">
        <v>25</v>
      </c>
      <c r="N7157">
        <v>4352.9400000000005</v>
      </c>
      <c r="O7157">
        <v>174.12</v>
      </c>
    </row>
    <row r="7158" spans="1:15" x14ac:dyDescent="0.35">
      <c r="A7158" t="s">
        <v>7794</v>
      </c>
      <c r="B7158" t="s">
        <v>7795</v>
      </c>
      <c r="C7158" t="s">
        <v>1059</v>
      </c>
      <c r="D7158" t="s">
        <v>293</v>
      </c>
      <c r="E7158" t="s">
        <v>302</v>
      </c>
      <c r="F7158" t="s">
        <v>7800</v>
      </c>
      <c r="G7158">
        <v>0</v>
      </c>
      <c r="H7158">
        <v>0</v>
      </c>
      <c r="I7158">
        <v>0</v>
      </c>
      <c r="J7158">
        <v>0</v>
      </c>
      <c r="K7158">
        <v>0</v>
      </c>
      <c r="L7158">
        <v>0</v>
      </c>
      <c r="M7158">
        <v>0</v>
      </c>
      <c r="N7158">
        <v>0</v>
      </c>
      <c r="O7158">
        <v>0</v>
      </c>
    </row>
    <row r="7159" spans="1:15" x14ac:dyDescent="0.35">
      <c r="A7159" t="s">
        <v>7794</v>
      </c>
      <c r="B7159" t="s">
        <v>7795</v>
      </c>
      <c r="C7159" t="s">
        <v>1059</v>
      </c>
      <c r="D7159" t="s">
        <v>293</v>
      </c>
      <c r="E7159" t="s">
        <v>304</v>
      </c>
      <c r="F7159" t="s">
        <v>7801</v>
      </c>
      <c r="G7159">
        <v>0</v>
      </c>
      <c r="H7159">
        <v>0</v>
      </c>
      <c r="I7159">
        <v>0</v>
      </c>
      <c r="J7159">
        <v>0</v>
      </c>
      <c r="K7159">
        <v>0</v>
      </c>
      <c r="L7159">
        <v>0</v>
      </c>
      <c r="M7159">
        <v>0</v>
      </c>
      <c r="N7159">
        <v>0</v>
      </c>
      <c r="O7159">
        <v>0</v>
      </c>
    </row>
    <row r="7160" spans="1:15" x14ac:dyDescent="0.35">
      <c r="A7160" t="s">
        <v>7794</v>
      </c>
      <c r="B7160" t="s">
        <v>7795</v>
      </c>
      <c r="C7160" t="s">
        <v>1059</v>
      </c>
      <c r="D7160" t="s">
        <v>293</v>
      </c>
      <c r="E7160" t="s">
        <v>306</v>
      </c>
      <c r="F7160" t="s">
        <v>7802</v>
      </c>
      <c r="G7160">
        <v>0</v>
      </c>
      <c r="H7160">
        <v>0</v>
      </c>
      <c r="I7160">
        <v>0</v>
      </c>
      <c r="J7160">
        <v>0</v>
      </c>
      <c r="K7160">
        <v>0</v>
      </c>
      <c r="L7160">
        <v>0</v>
      </c>
      <c r="M7160">
        <v>0</v>
      </c>
      <c r="N7160">
        <v>0</v>
      </c>
      <c r="O7160">
        <v>0</v>
      </c>
    </row>
    <row r="7161" spans="1:15" x14ac:dyDescent="0.35">
      <c r="A7161" t="s">
        <v>7794</v>
      </c>
      <c r="B7161" t="s">
        <v>7795</v>
      </c>
      <c r="C7161" t="s">
        <v>1059</v>
      </c>
      <c r="D7161" t="s">
        <v>293</v>
      </c>
      <c r="E7161" t="s">
        <v>308</v>
      </c>
      <c r="F7161" t="s">
        <v>7803</v>
      </c>
      <c r="G7161">
        <v>0</v>
      </c>
      <c r="H7161">
        <v>0</v>
      </c>
      <c r="I7161">
        <v>0</v>
      </c>
      <c r="J7161">
        <v>0</v>
      </c>
      <c r="K7161">
        <v>0</v>
      </c>
      <c r="L7161">
        <v>0</v>
      </c>
      <c r="M7161">
        <v>0</v>
      </c>
      <c r="N7161">
        <v>0</v>
      </c>
      <c r="O7161">
        <v>0</v>
      </c>
    </row>
    <row r="7162" spans="1:15" x14ac:dyDescent="0.35">
      <c r="A7162" t="s">
        <v>7794</v>
      </c>
      <c r="B7162" t="s">
        <v>7795</v>
      </c>
      <c r="C7162" t="s">
        <v>1059</v>
      </c>
      <c r="D7162" t="s">
        <v>293</v>
      </c>
      <c r="E7162" t="s">
        <v>310</v>
      </c>
      <c r="F7162" t="s">
        <v>7804</v>
      </c>
      <c r="G7162">
        <v>626</v>
      </c>
      <c r="H7162">
        <v>91749.34</v>
      </c>
      <c r="I7162">
        <v>146.56</v>
      </c>
      <c r="J7162">
        <v>151</v>
      </c>
      <c r="K7162">
        <v>15904.24</v>
      </c>
      <c r="L7162">
        <v>105.33</v>
      </c>
      <c r="M7162">
        <v>777</v>
      </c>
      <c r="N7162">
        <v>107653.58</v>
      </c>
      <c r="O7162">
        <v>138.55000000000001</v>
      </c>
    </row>
    <row r="7163" spans="1:15" x14ac:dyDescent="0.35">
      <c r="A7163" t="s">
        <v>7794</v>
      </c>
      <c r="B7163" t="s">
        <v>7795</v>
      </c>
      <c r="C7163" t="s">
        <v>1059</v>
      </c>
      <c r="D7163" t="s">
        <v>293</v>
      </c>
      <c r="E7163" t="s">
        <v>312</v>
      </c>
      <c r="F7163" t="s">
        <v>7805</v>
      </c>
      <c r="G7163">
        <v>626</v>
      </c>
      <c r="H7163">
        <v>91749.34</v>
      </c>
      <c r="I7163">
        <v>146.56</v>
      </c>
      <c r="J7163">
        <v>151</v>
      </c>
      <c r="K7163">
        <v>15904.24</v>
      </c>
      <c r="L7163">
        <v>105.33</v>
      </c>
      <c r="M7163">
        <v>777</v>
      </c>
      <c r="N7163">
        <v>107653.58</v>
      </c>
      <c r="O7163">
        <v>138.55000000000001</v>
      </c>
    </row>
    <row r="7164" spans="1:15" x14ac:dyDescent="0.35">
      <c r="A7164" t="s">
        <v>7794</v>
      </c>
      <c r="B7164" t="s">
        <v>7795</v>
      </c>
      <c r="C7164" t="s">
        <v>1059</v>
      </c>
      <c r="D7164" t="s">
        <v>314</v>
      </c>
      <c r="E7164" t="s">
        <v>294</v>
      </c>
      <c r="F7164" t="s">
        <v>7806</v>
      </c>
      <c r="G7164">
        <v>15</v>
      </c>
      <c r="H7164">
        <v>3488.01</v>
      </c>
      <c r="I7164">
        <v>232.53</v>
      </c>
      <c r="J7164">
        <v>0</v>
      </c>
      <c r="K7164">
        <v>0</v>
      </c>
      <c r="L7164">
        <v>0</v>
      </c>
      <c r="M7164">
        <v>15</v>
      </c>
      <c r="N7164">
        <v>3488.01</v>
      </c>
      <c r="O7164">
        <v>232.53</v>
      </c>
    </row>
    <row r="7165" spans="1:15" x14ac:dyDescent="0.35">
      <c r="A7165" t="s">
        <v>7794</v>
      </c>
      <c r="B7165" t="s">
        <v>7795</v>
      </c>
      <c r="C7165" t="s">
        <v>1059</v>
      </c>
      <c r="D7165" t="s">
        <v>314</v>
      </c>
      <c r="E7165" t="s">
        <v>296</v>
      </c>
      <c r="F7165" t="s">
        <v>7807</v>
      </c>
      <c r="G7165">
        <v>54</v>
      </c>
      <c r="H7165">
        <v>16315.02</v>
      </c>
      <c r="I7165">
        <v>302.13</v>
      </c>
      <c r="J7165">
        <v>0</v>
      </c>
      <c r="K7165">
        <v>0</v>
      </c>
      <c r="L7165">
        <v>0</v>
      </c>
      <c r="M7165">
        <v>54</v>
      </c>
      <c r="N7165">
        <v>16315.02</v>
      </c>
      <c r="O7165">
        <v>302.13</v>
      </c>
    </row>
    <row r="7166" spans="1:15" x14ac:dyDescent="0.35">
      <c r="A7166" t="s">
        <v>7794</v>
      </c>
      <c r="B7166" t="s">
        <v>7795</v>
      </c>
      <c r="C7166" t="s">
        <v>1059</v>
      </c>
      <c r="D7166" t="s">
        <v>314</v>
      </c>
      <c r="E7166" t="s">
        <v>298</v>
      </c>
      <c r="F7166" t="s">
        <v>7808</v>
      </c>
      <c r="G7166">
        <v>0</v>
      </c>
      <c r="H7166">
        <v>0</v>
      </c>
      <c r="I7166">
        <v>0</v>
      </c>
      <c r="J7166">
        <v>0</v>
      </c>
      <c r="K7166">
        <v>0</v>
      </c>
      <c r="L7166">
        <v>0</v>
      </c>
      <c r="M7166">
        <v>0</v>
      </c>
      <c r="N7166">
        <v>0</v>
      </c>
      <c r="O7166">
        <v>0</v>
      </c>
    </row>
    <row r="7167" spans="1:15" x14ac:dyDescent="0.35">
      <c r="A7167" t="s">
        <v>7794</v>
      </c>
      <c r="B7167" t="s">
        <v>7795</v>
      </c>
      <c r="C7167" t="s">
        <v>1059</v>
      </c>
      <c r="D7167" t="s">
        <v>314</v>
      </c>
      <c r="E7167" t="s">
        <v>300</v>
      </c>
      <c r="F7167" t="s">
        <v>7809</v>
      </c>
      <c r="G7167">
        <v>0</v>
      </c>
      <c r="H7167">
        <v>0</v>
      </c>
      <c r="I7167">
        <v>0</v>
      </c>
      <c r="J7167">
        <v>0</v>
      </c>
      <c r="K7167">
        <v>0</v>
      </c>
      <c r="L7167">
        <v>0</v>
      </c>
      <c r="M7167">
        <v>0</v>
      </c>
      <c r="N7167">
        <v>0</v>
      </c>
      <c r="O7167">
        <v>0</v>
      </c>
    </row>
    <row r="7168" spans="1:15" x14ac:dyDescent="0.35">
      <c r="A7168" t="s">
        <v>7794</v>
      </c>
      <c r="B7168" t="s">
        <v>7795</v>
      </c>
      <c r="C7168" t="s">
        <v>1059</v>
      </c>
      <c r="D7168" t="s">
        <v>314</v>
      </c>
      <c r="E7168" t="s">
        <v>306</v>
      </c>
      <c r="F7168" t="s">
        <v>7810</v>
      </c>
      <c r="G7168">
        <v>0</v>
      </c>
      <c r="H7168">
        <v>0</v>
      </c>
      <c r="I7168">
        <v>0</v>
      </c>
      <c r="J7168">
        <v>0</v>
      </c>
      <c r="K7168">
        <v>0</v>
      </c>
      <c r="L7168">
        <v>0</v>
      </c>
      <c r="M7168">
        <v>0</v>
      </c>
      <c r="N7168">
        <v>0</v>
      </c>
      <c r="O7168">
        <v>0</v>
      </c>
    </row>
    <row r="7169" spans="1:15" x14ac:dyDescent="0.35">
      <c r="A7169" t="s">
        <v>7794</v>
      </c>
      <c r="B7169" t="s">
        <v>7795</v>
      </c>
      <c r="C7169" t="s">
        <v>1059</v>
      </c>
      <c r="D7169" t="s">
        <v>314</v>
      </c>
      <c r="E7169" t="s">
        <v>308</v>
      </c>
      <c r="F7169" t="s">
        <v>7811</v>
      </c>
      <c r="G7169">
        <v>0</v>
      </c>
      <c r="H7169">
        <v>0</v>
      </c>
      <c r="I7169">
        <v>0</v>
      </c>
      <c r="J7169">
        <v>0</v>
      </c>
      <c r="K7169">
        <v>0</v>
      </c>
      <c r="L7169">
        <v>0</v>
      </c>
      <c r="M7169">
        <v>0</v>
      </c>
      <c r="N7169">
        <v>0</v>
      </c>
      <c r="O7169">
        <v>0</v>
      </c>
    </row>
    <row r="7170" spans="1:15" x14ac:dyDescent="0.35">
      <c r="A7170" t="s">
        <v>7794</v>
      </c>
      <c r="B7170" t="s">
        <v>7795</v>
      </c>
      <c r="C7170" t="s">
        <v>1059</v>
      </c>
      <c r="D7170" t="s">
        <v>314</v>
      </c>
      <c r="E7170" t="s">
        <v>312</v>
      </c>
      <c r="F7170" t="s">
        <v>7812</v>
      </c>
      <c r="G7170">
        <v>69</v>
      </c>
      <c r="H7170">
        <v>19803.03</v>
      </c>
      <c r="I7170">
        <v>287</v>
      </c>
      <c r="J7170">
        <v>0</v>
      </c>
      <c r="K7170">
        <v>0</v>
      </c>
      <c r="L7170">
        <v>0</v>
      </c>
      <c r="M7170">
        <v>69</v>
      </c>
      <c r="N7170">
        <v>19803.03</v>
      </c>
      <c r="O7170">
        <v>287</v>
      </c>
    </row>
    <row r="7171" spans="1:15" x14ac:dyDescent="0.35">
      <c r="A7171" t="s">
        <v>7794</v>
      </c>
      <c r="B7171" t="s">
        <v>7795</v>
      </c>
      <c r="C7171" t="s">
        <v>1059</v>
      </c>
      <c r="D7171" t="s">
        <v>314</v>
      </c>
      <c r="E7171" t="s">
        <v>310</v>
      </c>
      <c r="F7171" t="s">
        <v>7813</v>
      </c>
      <c r="G7171">
        <v>69</v>
      </c>
      <c r="H7171">
        <v>19803.03</v>
      </c>
      <c r="I7171">
        <v>287</v>
      </c>
      <c r="J7171">
        <v>0</v>
      </c>
      <c r="K7171">
        <v>0</v>
      </c>
      <c r="L7171">
        <v>0</v>
      </c>
      <c r="M7171">
        <v>69</v>
      </c>
      <c r="N7171">
        <v>19803.03</v>
      </c>
      <c r="O7171">
        <v>287</v>
      </c>
    </row>
    <row r="7172" spans="1:15" x14ac:dyDescent="0.35">
      <c r="A7172" t="s">
        <v>7794</v>
      </c>
      <c r="B7172" t="s">
        <v>7795</v>
      </c>
      <c r="C7172" t="s">
        <v>1059</v>
      </c>
      <c r="D7172" t="s">
        <v>323</v>
      </c>
      <c r="E7172" t="s">
        <v>294</v>
      </c>
      <c r="F7172" t="s">
        <v>7814</v>
      </c>
      <c r="G7172">
        <v>222</v>
      </c>
      <c r="H7172">
        <v>20346.14</v>
      </c>
      <c r="I7172">
        <v>91.65</v>
      </c>
      <c r="J7172">
        <v>1956</v>
      </c>
      <c r="K7172">
        <v>160744.08000000002</v>
      </c>
      <c r="L7172">
        <v>82.18</v>
      </c>
      <c r="M7172">
        <v>2178</v>
      </c>
      <c r="N7172">
        <v>181090.22000000003</v>
      </c>
      <c r="O7172">
        <v>83.15</v>
      </c>
    </row>
    <row r="7173" spans="1:15" x14ac:dyDescent="0.35">
      <c r="A7173" t="s">
        <v>7794</v>
      </c>
      <c r="B7173" t="s">
        <v>7795</v>
      </c>
      <c r="C7173" t="s">
        <v>1059</v>
      </c>
      <c r="D7173" t="s">
        <v>323</v>
      </c>
      <c r="E7173" t="s">
        <v>296</v>
      </c>
      <c r="F7173" t="s">
        <v>7815</v>
      </c>
      <c r="G7173">
        <v>623</v>
      </c>
      <c r="H7173">
        <v>68101.159999999989</v>
      </c>
      <c r="I7173">
        <v>109.31</v>
      </c>
      <c r="J7173">
        <v>1331</v>
      </c>
      <c r="K7173">
        <v>123916.09999999999</v>
      </c>
      <c r="L7173">
        <v>93.1</v>
      </c>
      <c r="M7173">
        <v>1954</v>
      </c>
      <c r="N7173">
        <v>192017.25999999998</v>
      </c>
      <c r="O7173">
        <v>98.27</v>
      </c>
    </row>
    <row r="7174" spans="1:15" x14ac:dyDescent="0.35">
      <c r="A7174" t="s">
        <v>7794</v>
      </c>
      <c r="B7174" t="s">
        <v>7795</v>
      </c>
      <c r="C7174" t="s">
        <v>1059</v>
      </c>
      <c r="D7174" t="s">
        <v>323</v>
      </c>
      <c r="E7174" t="s">
        <v>298</v>
      </c>
      <c r="F7174" t="s">
        <v>7816</v>
      </c>
      <c r="G7174">
        <v>503</v>
      </c>
      <c r="H7174">
        <v>60949.029999999992</v>
      </c>
      <c r="I7174">
        <v>121.17</v>
      </c>
      <c r="J7174">
        <v>1429</v>
      </c>
      <c r="K7174">
        <v>140199.19</v>
      </c>
      <c r="L7174">
        <v>98.11</v>
      </c>
      <c r="M7174">
        <v>1932</v>
      </c>
      <c r="N7174">
        <v>201148.22</v>
      </c>
      <c r="O7174">
        <v>104.11</v>
      </c>
    </row>
    <row r="7175" spans="1:15" x14ac:dyDescent="0.35">
      <c r="A7175" t="s">
        <v>7794</v>
      </c>
      <c r="B7175" t="s">
        <v>7795</v>
      </c>
      <c r="C7175" t="s">
        <v>1059</v>
      </c>
      <c r="D7175" t="s">
        <v>323</v>
      </c>
      <c r="E7175" t="s">
        <v>300</v>
      </c>
      <c r="F7175" t="s">
        <v>7817</v>
      </c>
      <c r="G7175">
        <v>78</v>
      </c>
      <c r="H7175">
        <v>10878.360000000002</v>
      </c>
      <c r="I7175">
        <v>139.47</v>
      </c>
      <c r="J7175">
        <v>52</v>
      </c>
      <c r="K7175">
        <v>5546.32</v>
      </c>
      <c r="L7175">
        <v>106.66</v>
      </c>
      <c r="M7175">
        <v>130</v>
      </c>
      <c r="N7175">
        <v>16424.68</v>
      </c>
      <c r="O7175">
        <v>126.34</v>
      </c>
    </row>
    <row r="7176" spans="1:15" x14ac:dyDescent="0.35">
      <c r="A7176" t="s">
        <v>7794</v>
      </c>
      <c r="B7176" t="s">
        <v>7795</v>
      </c>
      <c r="C7176" t="s">
        <v>1059</v>
      </c>
      <c r="D7176" t="s">
        <v>323</v>
      </c>
      <c r="E7176" t="s">
        <v>302</v>
      </c>
      <c r="F7176" t="s">
        <v>7818</v>
      </c>
      <c r="G7176">
        <v>0</v>
      </c>
      <c r="H7176">
        <v>0</v>
      </c>
      <c r="I7176">
        <v>0</v>
      </c>
      <c r="J7176">
        <v>1</v>
      </c>
      <c r="K7176">
        <v>103.06</v>
      </c>
      <c r="L7176">
        <v>103.06</v>
      </c>
      <c r="M7176">
        <v>1</v>
      </c>
      <c r="N7176">
        <v>103.06</v>
      </c>
      <c r="O7176">
        <v>103.06</v>
      </c>
    </row>
    <row r="7177" spans="1:15" x14ac:dyDescent="0.35">
      <c r="A7177" t="s">
        <v>7794</v>
      </c>
      <c r="B7177" t="s">
        <v>7795</v>
      </c>
      <c r="C7177" t="s">
        <v>1059</v>
      </c>
      <c r="D7177" t="s">
        <v>323</v>
      </c>
      <c r="E7177" t="s">
        <v>304</v>
      </c>
      <c r="F7177" t="s">
        <v>7819</v>
      </c>
      <c r="G7177">
        <v>0</v>
      </c>
      <c r="H7177">
        <v>0</v>
      </c>
      <c r="I7177">
        <v>0</v>
      </c>
      <c r="J7177">
        <v>0</v>
      </c>
      <c r="K7177">
        <v>0</v>
      </c>
      <c r="L7177">
        <v>0</v>
      </c>
      <c r="M7177">
        <v>0</v>
      </c>
      <c r="N7177">
        <v>0</v>
      </c>
      <c r="O7177">
        <v>0</v>
      </c>
    </row>
    <row r="7178" spans="1:15" x14ac:dyDescent="0.35">
      <c r="A7178" t="s">
        <v>7794</v>
      </c>
      <c r="B7178" t="s">
        <v>7795</v>
      </c>
      <c r="C7178" t="s">
        <v>1059</v>
      </c>
      <c r="D7178" t="s">
        <v>323</v>
      </c>
      <c r="E7178" t="s">
        <v>306</v>
      </c>
      <c r="F7178" t="s">
        <v>7820</v>
      </c>
      <c r="G7178">
        <v>0</v>
      </c>
      <c r="H7178">
        <v>0</v>
      </c>
      <c r="I7178">
        <v>0</v>
      </c>
      <c r="J7178">
        <v>0</v>
      </c>
      <c r="K7178">
        <v>0</v>
      </c>
      <c r="L7178">
        <v>0</v>
      </c>
      <c r="M7178">
        <v>0</v>
      </c>
      <c r="N7178">
        <v>0</v>
      </c>
      <c r="O7178">
        <v>0</v>
      </c>
    </row>
    <row r="7179" spans="1:15" x14ac:dyDescent="0.35">
      <c r="A7179" t="s">
        <v>7794</v>
      </c>
      <c r="B7179" t="s">
        <v>7795</v>
      </c>
      <c r="C7179" t="s">
        <v>1059</v>
      </c>
      <c r="D7179" t="s">
        <v>323</v>
      </c>
      <c r="E7179" t="s">
        <v>308</v>
      </c>
      <c r="F7179" t="s">
        <v>7821</v>
      </c>
      <c r="G7179">
        <v>2</v>
      </c>
      <c r="H7179">
        <v>169.76</v>
      </c>
      <c r="I7179">
        <v>84.88</v>
      </c>
      <c r="J7179">
        <v>0</v>
      </c>
      <c r="K7179">
        <v>0</v>
      </c>
      <c r="L7179">
        <v>0</v>
      </c>
      <c r="M7179">
        <v>2</v>
      </c>
      <c r="N7179">
        <v>169.76</v>
      </c>
      <c r="O7179">
        <v>84.88</v>
      </c>
    </row>
    <row r="7180" spans="1:15" x14ac:dyDescent="0.35">
      <c r="A7180" t="s">
        <v>7794</v>
      </c>
      <c r="B7180" t="s">
        <v>7795</v>
      </c>
      <c r="C7180" t="s">
        <v>1059</v>
      </c>
      <c r="D7180" t="s">
        <v>323</v>
      </c>
      <c r="E7180" t="s">
        <v>310</v>
      </c>
      <c r="F7180" t="s">
        <v>7822</v>
      </c>
      <c r="G7180">
        <v>1428</v>
      </c>
      <c r="H7180">
        <v>160444.45000000001</v>
      </c>
      <c r="I7180">
        <v>112.36</v>
      </c>
      <c r="J7180">
        <v>4769</v>
      </c>
      <c r="K7180">
        <v>430508.75</v>
      </c>
      <c r="L7180">
        <v>90.27</v>
      </c>
      <c r="M7180">
        <v>6197</v>
      </c>
      <c r="N7180">
        <v>590953.19999999995</v>
      </c>
      <c r="O7180">
        <v>95.36</v>
      </c>
    </row>
    <row r="7181" spans="1:15" x14ac:dyDescent="0.35">
      <c r="A7181" t="s">
        <v>7794</v>
      </c>
      <c r="B7181" t="s">
        <v>7795</v>
      </c>
      <c r="C7181" t="s">
        <v>1059</v>
      </c>
      <c r="D7181" t="s">
        <v>323</v>
      </c>
      <c r="E7181" t="s">
        <v>312</v>
      </c>
      <c r="F7181" t="s">
        <v>7823</v>
      </c>
      <c r="G7181">
        <v>1426</v>
      </c>
      <c r="H7181">
        <v>160274.69</v>
      </c>
      <c r="I7181">
        <v>112.39</v>
      </c>
      <c r="J7181">
        <v>4769</v>
      </c>
      <c r="K7181">
        <v>430508.75</v>
      </c>
      <c r="L7181">
        <v>90.27</v>
      </c>
      <c r="M7181">
        <v>6195</v>
      </c>
      <c r="N7181">
        <v>590783.43999999994</v>
      </c>
      <c r="O7181">
        <v>95.36</v>
      </c>
    </row>
    <row r="7182" spans="1:15" x14ac:dyDescent="0.35">
      <c r="A7182" t="s">
        <v>7794</v>
      </c>
      <c r="B7182" t="s">
        <v>7795</v>
      </c>
      <c r="C7182" t="s">
        <v>1059</v>
      </c>
      <c r="D7182" t="s">
        <v>334</v>
      </c>
      <c r="E7182" t="s">
        <v>312</v>
      </c>
      <c r="F7182" t="s">
        <v>7824</v>
      </c>
      <c r="G7182">
        <v>2102</v>
      </c>
      <c r="H7182">
        <v>252024.03</v>
      </c>
      <c r="I7182">
        <v>122.82</v>
      </c>
      <c r="J7182">
        <v>4920</v>
      </c>
      <c r="K7182">
        <v>446412.99</v>
      </c>
      <c r="L7182">
        <v>90.73</v>
      </c>
      <c r="M7182">
        <v>7022</v>
      </c>
      <c r="N7182">
        <v>698437.02</v>
      </c>
      <c r="O7182">
        <v>100.18</v>
      </c>
    </row>
    <row r="7183" spans="1:15" x14ac:dyDescent="0.35">
      <c r="A7183" t="s">
        <v>7794</v>
      </c>
      <c r="B7183" t="s">
        <v>7795</v>
      </c>
      <c r="C7183" t="s">
        <v>1059</v>
      </c>
      <c r="D7183" t="s">
        <v>334</v>
      </c>
      <c r="E7183" t="s">
        <v>308</v>
      </c>
      <c r="F7183" t="s">
        <v>7825</v>
      </c>
      <c r="G7183">
        <v>2</v>
      </c>
      <c r="H7183">
        <v>169.76</v>
      </c>
      <c r="I7183">
        <v>84.88</v>
      </c>
      <c r="J7183">
        <v>0</v>
      </c>
      <c r="K7183">
        <v>0</v>
      </c>
      <c r="L7183">
        <v>0</v>
      </c>
      <c r="M7183">
        <v>2</v>
      </c>
      <c r="N7183">
        <v>169.76</v>
      </c>
      <c r="O7183">
        <v>84.88</v>
      </c>
    </row>
    <row r="7184" spans="1:15" x14ac:dyDescent="0.35">
      <c r="A7184" t="s">
        <v>7794</v>
      </c>
      <c r="B7184" t="s">
        <v>7795</v>
      </c>
      <c r="C7184" t="s">
        <v>1059</v>
      </c>
      <c r="D7184" t="s">
        <v>337</v>
      </c>
      <c r="E7184" t="s">
        <v>337</v>
      </c>
      <c r="F7184" t="s">
        <v>7826</v>
      </c>
      <c r="G7184">
        <v>320</v>
      </c>
      <c r="J7184">
        <v>0</v>
      </c>
      <c r="M7184">
        <v>320</v>
      </c>
    </row>
    <row r="7185" spans="1:15" x14ac:dyDescent="0.35">
      <c r="A7185" t="s">
        <v>7794</v>
      </c>
      <c r="B7185" t="s">
        <v>7795</v>
      </c>
      <c r="C7185" t="s">
        <v>1059</v>
      </c>
      <c r="D7185" t="s">
        <v>339</v>
      </c>
      <c r="E7185" t="s">
        <v>294</v>
      </c>
      <c r="F7185" t="s">
        <v>7827</v>
      </c>
      <c r="G7185">
        <v>262</v>
      </c>
      <c r="H7185">
        <v>34752.67</v>
      </c>
      <c r="I7185">
        <v>132.63999999999999</v>
      </c>
      <c r="J7185">
        <v>35</v>
      </c>
      <c r="K7185">
        <v>2891.35</v>
      </c>
      <c r="L7185">
        <v>82.61</v>
      </c>
      <c r="M7185">
        <v>297</v>
      </c>
      <c r="N7185">
        <v>37644.019999999997</v>
      </c>
      <c r="O7185">
        <v>126.75</v>
      </c>
    </row>
    <row r="7186" spans="1:15" x14ac:dyDescent="0.35">
      <c r="A7186" t="s">
        <v>7794</v>
      </c>
      <c r="B7186" t="s">
        <v>7795</v>
      </c>
      <c r="C7186" t="s">
        <v>1059</v>
      </c>
      <c r="D7186" t="s">
        <v>339</v>
      </c>
      <c r="E7186" t="s">
        <v>296</v>
      </c>
      <c r="F7186" t="s">
        <v>7828</v>
      </c>
      <c r="G7186">
        <v>54</v>
      </c>
      <c r="H7186">
        <v>6199.7900000000009</v>
      </c>
      <c r="I7186">
        <v>114.81</v>
      </c>
      <c r="J7186">
        <v>3</v>
      </c>
      <c r="K7186">
        <v>270.89999999999998</v>
      </c>
      <c r="L7186">
        <v>90.3</v>
      </c>
      <c r="M7186">
        <v>57</v>
      </c>
      <c r="N7186">
        <v>6470.6900000000005</v>
      </c>
      <c r="O7186">
        <v>113.52</v>
      </c>
    </row>
    <row r="7187" spans="1:15" x14ac:dyDescent="0.35">
      <c r="A7187" t="s">
        <v>7794</v>
      </c>
      <c r="B7187" t="s">
        <v>7795</v>
      </c>
      <c r="C7187" t="s">
        <v>1059</v>
      </c>
      <c r="D7187" t="s">
        <v>339</v>
      </c>
      <c r="E7187" t="s">
        <v>298</v>
      </c>
      <c r="F7187" t="s">
        <v>7829</v>
      </c>
      <c r="G7187">
        <v>0</v>
      </c>
      <c r="H7187">
        <v>0</v>
      </c>
      <c r="I7187">
        <v>0</v>
      </c>
      <c r="J7187">
        <v>0</v>
      </c>
      <c r="K7187">
        <v>0</v>
      </c>
      <c r="L7187">
        <v>0</v>
      </c>
      <c r="M7187">
        <v>0</v>
      </c>
      <c r="N7187">
        <v>0</v>
      </c>
      <c r="O7187">
        <v>0</v>
      </c>
    </row>
    <row r="7188" spans="1:15" x14ac:dyDescent="0.35">
      <c r="A7188" t="s">
        <v>7794</v>
      </c>
      <c r="B7188" t="s">
        <v>7795</v>
      </c>
      <c r="C7188" t="s">
        <v>1059</v>
      </c>
      <c r="D7188" t="s">
        <v>339</v>
      </c>
      <c r="E7188" t="s">
        <v>300</v>
      </c>
      <c r="F7188" t="s">
        <v>7830</v>
      </c>
      <c r="G7188">
        <v>0</v>
      </c>
      <c r="H7188">
        <v>0</v>
      </c>
      <c r="I7188">
        <v>0</v>
      </c>
      <c r="J7188">
        <v>0</v>
      </c>
      <c r="K7188">
        <v>0</v>
      </c>
      <c r="L7188">
        <v>0</v>
      </c>
      <c r="M7188">
        <v>0</v>
      </c>
      <c r="N7188">
        <v>0</v>
      </c>
      <c r="O7188">
        <v>0</v>
      </c>
    </row>
    <row r="7189" spans="1:15" x14ac:dyDescent="0.35">
      <c r="A7189" t="s">
        <v>7794</v>
      </c>
      <c r="B7189" t="s">
        <v>7795</v>
      </c>
      <c r="C7189" t="s">
        <v>1059</v>
      </c>
      <c r="D7189" t="s">
        <v>339</v>
      </c>
      <c r="E7189" t="s">
        <v>306</v>
      </c>
      <c r="F7189" t="s">
        <v>7831</v>
      </c>
      <c r="G7189">
        <v>8</v>
      </c>
      <c r="H7189">
        <v>777.93000000000006</v>
      </c>
      <c r="I7189">
        <v>97.24</v>
      </c>
      <c r="J7189">
        <v>56</v>
      </c>
      <c r="K7189">
        <v>4170.88</v>
      </c>
      <c r="L7189">
        <v>74.48</v>
      </c>
      <c r="M7189">
        <v>64</v>
      </c>
      <c r="N7189">
        <v>4948.8100000000004</v>
      </c>
      <c r="O7189">
        <v>77.33</v>
      </c>
    </row>
    <row r="7190" spans="1:15" x14ac:dyDescent="0.35">
      <c r="A7190" t="s">
        <v>7794</v>
      </c>
      <c r="B7190" t="s">
        <v>7795</v>
      </c>
      <c r="C7190" t="s">
        <v>1059</v>
      </c>
      <c r="D7190" t="s">
        <v>339</v>
      </c>
      <c r="E7190" t="s">
        <v>308</v>
      </c>
      <c r="F7190" t="s">
        <v>7832</v>
      </c>
      <c r="G7190">
        <v>16</v>
      </c>
      <c r="H7190">
        <v>4187.0999999999995</v>
      </c>
      <c r="I7190">
        <v>261.69</v>
      </c>
      <c r="J7190">
        <v>0</v>
      </c>
      <c r="K7190">
        <v>0</v>
      </c>
      <c r="L7190">
        <v>0</v>
      </c>
      <c r="M7190">
        <v>16</v>
      </c>
      <c r="N7190">
        <v>4187.0999999999995</v>
      </c>
      <c r="O7190">
        <v>261.69</v>
      </c>
    </row>
    <row r="7191" spans="1:15" x14ac:dyDescent="0.35">
      <c r="A7191" t="s">
        <v>7794</v>
      </c>
      <c r="B7191" t="s">
        <v>7795</v>
      </c>
      <c r="C7191" t="s">
        <v>1059</v>
      </c>
      <c r="D7191" t="s">
        <v>339</v>
      </c>
      <c r="E7191" t="s">
        <v>310</v>
      </c>
      <c r="F7191" t="s">
        <v>7833</v>
      </c>
      <c r="G7191">
        <v>340</v>
      </c>
      <c r="H7191">
        <v>45917.49</v>
      </c>
      <c r="I7191">
        <v>135.05000000000001</v>
      </c>
      <c r="J7191">
        <v>94</v>
      </c>
      <c r="K7191">
        <v>7333.13</v>
      </c>
      <c r="L7191">
        <v>78.010000000000005</v>
      </c>
      <c r="M7191">
        <v>434</v>
      </c>
      <c r="N7191">
        <v>53250.619999999995</v>
      </c>
      <c r="O7191">
        <v>122.7</v>
      </c>
    </row>
    <row r="7192" spans="1:15" x14ac:dyDescent="0.35">
      <c r="A7192" t="s">
        <v>7794</v>
      </c>
      <c r="B7192" t="s">
        <v>7795</v>
      </c>
      <c r="C7192" t="s">
        <v>1059</v>
      </c>
      <c r="D7192" t="s">
        <v>339</v>
      </c>
      <c r="E7192" t="s">
        <v>312</v>
      </c>
      <c r="F7192" t="s">
        <v>7834</v>
      </c>
      <c r="G7192">
        <v>324</v>
      </c>
      <c r="H7192">
        <v>41730.39</v>
      </c>
      <c r="I7192">
        <v>128.80000000000001</v>
      </c>
      <c r="J7192">
        <v>94</v>
      </c>
      <c r="K7192">
        <v>7333.13</v>
      </c>
      <c r="L7192">
        <v>78.010000000000005</v>
      </c>
      <c r="M7192">
        <v>418</v>
      </c>
      <c r="N7192">
        <v>49063.519999999997</v>
      </c>
      <c r="O7192">
        <v>117.38</v>
      </c>
    </row>
    <row r="7193" spans="1:15" x14ac:dyDescent="0.35">
      <c r="A7193" t="s">
        <v>7794</v>
      </c>
      <c r="B7193" t="s">
        <v>7795</v>
      </c>
      <c r="C7193" t="s">
        <v>1059</v>
      </c>
      <c r="D7193" t="s">
        <v>348</v>
      </c>
      <c r="E7193" t="s">
        <v>349</v>
      </c>
      <c r="F7193" t="s">
        <v>7835</v>
      </c>
      <c r="G7193">
        <v>486</v>
      </c>
      <c r="H7193">
        <v>65720.52</v>
      </c>
      <c r="I7193">
        <v>160.69</v>
      </c>
      <c r="J7193">
        <v>94</v>
      </c>
      <c r="K7193">
        <v>7333.13</v>
      </c>
      <c r="L7193">
        <v>78.010000000000005</v>
      </c>
      <c r="M7193">
        <v>580</v>
      </c>
      <c r="N7193">
        <v>73053.650000000009</v>
      </c>
      <c r="O7193">
        <v>145.24</v>
      </c>
    </row>
    <row r="7194" spans="1:15" x14ac:dyDescent="0.35">
      <c r="A7194" t="s">
        <v>7836</v>
      </c>
      <c r="B7194" t="s">
        <v>7837</v>
      </c>
      <c r="C7194" t="s">
        <v>1059</v>
      </c>
      <c r="D7194" t="s">
        <v>293</v>
      </c>
      <c r="E7194" t="s">
        <v>294</v>
      </c>
      <c r="F7194" t="s">
        <v>7838</v>
      </c>
      <c r="G7194">
        <v>354</v>
      </c>
      <c r="H7194">
        <v>36470.550000000003</v>
      </c>
      <c r="I7194">
        <v>103.02</v>
      </c>
      <c r="J7194">
        <v>0</v>
      </c>
      <c r="K7194">
        <v>0</v>
      </c>
      <c r="L7194">
        <v>0</v>
      </c>
      <c r="M7194">
        <v>354</v>
      </c>
      <c r="N7194">
        <v>36470.550000000003</v>
      </c>
      <c r="O7194">
        <v>103.02</v>
      </c>
    </row>
    <row r="7195" spans="1:15" x14ac:dyDescent="0.35">
      <c r="A7195" t="s">
        <v>7836</v>
      </c>
      <c r="B7195" t="s">
        <v>7837</v>
      </c>
      <c r="C7195" t="s">
        <v>1059</v>
      </c>
      <c r="D7195" t="s">
        <v>293</v>
      </c>
      <c r="E7195" t="s">
        <v>296</v>
      </c>
      <c r="F7195" t="s">
        <v>7839</v>
      </c>
      <c r="G7195">
        <v>660</v>
      </c>
      <c r="H7195">
        <v>83615.87</v>
      </c>
      <c r="I7195">
        <v>126.69</v>
      </c>
      <c r="J7195">
        <v>0</v>
      </c>
      <c r="K7195">
        <v>0</v>
      </c>
      <c r="L7195">
        <v>0</v>
      </c>
      <c r="M7195">
        <v>660</v>
      </c>
      <c r="N7195">
        <v>83615.87</v>
      </c>
      <c r="O7195">
        <v>126.69</v>
      </c>
    </row>
    <row r="7196" spans="1:15" x14ac:dyDescent="0.35">
      <c r="A7196" t="s">
        <v>7836</v>
      </c>
      <c r="B7196" t="s">
        <v>7837</v>
      </c>
      <c r="C7196" t="s">
        <v>1059</v>
      </c>
      <c r="D7196" t="s">
        <v>293</v>
      </c>
      <c r="E7196" t="s">
        <v>298</v>
      </c>
      <c r="F7196" t="s">
        <v>7840</v>
      </c>
      <c r="G7196">
        <v>472</v>
      </c>
      <c r="H7196">
        <v>68441.760000000009</v>
      </c>
      <c r="I7196">
        <v>145</v>
      </c>
      <c r="J7196">
        <v>0</v>
      </c>
      <c r="K7196">
        <v>0</v>
      </c>
      <c r="L7196">
        <v>0</v>
      </c>
      <c r="M7196">
        <v>472</v>
      </c>
      <c r="N7196">
        <v>68441.760000000009</v>
      </c>
      <c r="O7196">
        <v>145</v>
      </c>
    </row>
    <row r="7197" spans="1:15" x14ac:dyDescent="0.35">
      <c r="A7197" t="s">
        <v>7836</v>
      </c>
      <c r="B7197" t="s">
        <v>7837</v>
      </c>
      <c r="C7197" t="s">
        <v>1059</v>
      </c>
      <c r="D7197" t="s">
        <v>293</v>
      </c>
      <c r="E7197" t="s">
        <v>300</v>
      </c>
      <c r="F7197" t="s">
        <v>7841</v>
      </c>
      <c r="G7197">
        <v>64</v>
      </c>
      <c r="H7197">
        <v>11869.71</v>
      </c>
      <c r="I7197">
        <v>185.46</v>
      </c>
      <c r="J7197">
        <v>0</v>
      </c>
      <c r="K7197">
        <v>0</v>
      </c>
      <c r="L7197">
        <v>0</v>
      </c>
      <c r="M7197">
        <v>64</v>
      </c>
      <c r="N7197">
        <v>11869.71</v>
      </c>
      <c r="O7197">
        <v>185.46</v>
      </c>
    </row>
    <row r="7198" spans="1:15" x14ac:dyDescent="0.35">
      <c r="A7198" t="s">
        <v>7836</v>
      </c>
      <c r="B7198" t="s">
        <v>7837</v>
      </c>
      <c r="C7198" t="s">
        <v>1059</v>
      </c>
      <c r="D7198" t="s">
        <v>293</v>
      </c>
      <c r="E7198" t="s">
        <v>302</v>
      </c>
      <c r="F7198" t="s">
        <v>7842</v>
      </c>
      <c r="G7198">
        <v>3</v>
      </c>
      <c r="H7198">
        <v>417.18</v>
      </c>
      <c r="I7198">
        <v>139.06</v>
      </c>
      <c r="J7198">
        <v>0</v>
      </c>
      <c r="K7198">
        <v>0</v>
      </c>
      <c r="L7198">
        <v>0</v>
      </c>
      <c r="M7198">
        <v>3</v>
      </c>
      <c r="N7198">
        <v>417.18</v>
      </c>
      <c r="O7198">
        <v>139.06</v>
      </c>
    </row>
    <row r="7199" spans="1:15" x14ac:dyDescent="0.35">
      <c r="A7199" t="s">
        <v>7836</v>
      </c>
      <c r="B7199" t="s">
        <v>7837</v>
      </c>
      <c r="C7199" t="s">
        <v>1059</v>
      </c>
      <c r="D7199" t="s">
        <v>293</v>
      </c>
      <c r="E7199" t="s">
        <v>304</v>
      </c>
      <c r="F7199" t="s">
        <v>7843</v>
      </c>
      <c r="G7199">
        <v>0</v>
      </c>
      <c r="H7199">
        <v>0</v>
      </c>
      <c r="I7199">
        <v>0</v>
      </c>
      <c r="J7199">
        <v>0</v>
      </c>
      <c r="K7199">
        <v>0</v>
      </c>
      <c r="L7199">
        <v>0</v>
      </c>
      <c r="M7199">
        <v>0</v>
      </c>
      <c r="N7199">
        <v>0</v>
      </c>
      <c r="O7199">
        <v>0</v>
      </c>
    </row>
    <row r="7200" spans="1:15" x14ac:dyDescent="0.35">
      <c r="A7200" t="s">
        <v>7836</v>
      </c>
      <c r="B7200" t="s">
        <v>7837</v>
      </c>
      <c r="C7200" t="s">
        <v>1059</v>
      </c>
      <c r="D7200" t="s">
        <v>293</v>
      </c>
      <c r="E7200" t="s">
        <v>306</v>
      </c>
      <c r="F7200" t="s">
        <v>7844</v>
      </c>
      <c r="G7200">
        <v>0</v>
      </c>
      <c r="H7200">
        <v>0</v>
      </c>
      <c r="I7200">
        <v>0</v>
      </c>
      <c r="J7200">
        <v>0</v>
      </c>
      <c r="K7200">
        <v>0</v>
      </c>
      <c r="L7200">
        <v>0</v>
      </c>
      <c r="M7200">
        <v>0</v>
      </c>
      <c r="N7200">
        <v>0</v>
      </c>
      <c r="O7200">
        <v>0</v>
      </c>
    </row>
    <row r="7201" spans="1:15" x14ac:dyDescent="0.35">
      <c r="A7201" t="s">
        <v>7836</v>
      </c>
      <c r="B7201" t="s">
        <v>7837</v>
      </c>
      <c r="C7201" t="s">
        <v>1059</v>
      </c>
      <c r="D7201" t="s">
        <v>293</v>
      </c>
      <c r="E7201" t="s">
        <v>308</v>
      </c>
      <c r="F7201" t="s">
        <v>7845</v>
      </c>
      <c r="G7201">
        <v>0</v>
      </c>
      <c r="H7201">
        <v>0</v>
      </c>
      <c r="I7201">
        <v>0</v>
      </c>
      <c r="J7201">
        <v>0</v>
      </c>
      <c r="K7201">
        <v>0</v>
      </c>
      <c r="L7201">
        <v>0</v>
      </c>
      <c r="M7201">
        <v>0</v>
      </c>
      <c r="N7201">
        <v>0</v>
      </c>
      <c r="O7201">
        <v>0</v>
      </c>
    </row>
    <row r="7202" spans="1:15" x14ac:dyDescent="0.35">
      <c r="A7202" t="s">
        <v>7836</v>
      </c>
      <c r="B7202" t="s">
        <v>7837</v>
      </c>
      <c r="C7202" t="s">
        <v>1059</v>
      </c>
      <c r="D7202" t="s">
        <v>293</v>
      </c>
      <c r="E7202" t="s">
        <v>310</v>
      </c>
      <c r="F7202" t="s">
        <v>7846</v>
      </c>
      <c r="G7202">
        <v>1553</v>
      </c>
      <c r="H7202">
        <v>200815.06999999998</v>
      </c>
      <c r="I7202">
        <v>129.31</v>
      </c>
      <c r="J7202">
        <v>0</v>
      </c>
      <c r="K7202">
        <v>0</v>
      </c>
      <c r="L7202">
        <v>0</v>
      </c>
      <c r="M7202">
        <v>1553</v>
      </c>
      <c r="N7202">
        <v>200815.06999999998</v>
      </c>
      <c r="O7202">
        <v>129.31</v>
      </c>
    </row>
    <row r="7203" spans="1:15" x14ac:dyDescent="0.35">
      <c r="A7203" t="s">
        <v>7836</v>
      </c>
      <c r="B7203" t="s">
        <v>7837</v>
      </c>
      <c r="C7203" t="s">
        <v>1059</v>
      </c>
      <c r="D7203" t="s">
        <v>293</v>
      </c>
      <c r="E7203" t="s">
        <v>312</v>
      </c>
      <c r="F7203" t="s">
        <v>7847</v>
      </c>
      <c r="G7203">
        <v>1553</v>
      </c>
      <c r="H7203">
        <v>200815.06999999998</v>
      </c>
      <c r="I7203">
        <v>129.31</v>
      </c>
      <c r="J7203">
        <v>0</v>
      </c>
      <c r="K7203">
        <v>0</v>
      </c>
      <c r="L7203">
        <v>0</v>
      </c>
      <c r="M7203">
        <v>1553</v>
      </c>
      <c r="N7203">
        <v>200815.06999999998</v>
      </c>
      <c r="O7203">
        <v>129.31</v>
      </c>
    </row>
    <row r="7204" spans="1:15" x14ac:dyDescent="0.35">
      <c r="A7204" t="s">
        <v>7836</v>
      </c>
      <c r="B7204" t="s">
        <v>7837</v>
      </c>
      <c r="C7204" t="s">
        <v>1059</v>
      </c>
      <c r="D7204" t="s">
        <v>323</v>
      </c>
      <c r="E7204" t="s">
        <v>294</v>
      </c>
      <c r="F7204" t="s">
        <v>7848</v>
      </c>
      <c r="G7204">
        <v>1327</v>
      </c>
      <c r="H7204">
        <v>119479.55</v>
      </c>
      <c r="I7204">
        <v>90.04</v>
      </c>
      <c r="J7204">
        <v>0</v>
      </c>
      <c r="K7204">
        <v>0</v>
      </c>
      <c r="L7204">
        <v>0</v>
      </c>
      <c r="M7204">
        <v>1327</v>
      </c>
      <c r="N7204">
        <v>119479.55</v>
      </c>
      <c r="O7204">
        <v>90.04</v>
      </c>
    </row>
    <row r="7205" spans="1:15" x14ac:dyDescent="0.35">
      <c r="A7205" t="s">
        <v>7836</v>
      </c>
      <c r="B7205" t="s">
        <v>7837</v>
      </c>
      <c r="C7205" t="s">
        <v>1059</v>
      </c>
      <c r="D7205" t="s">
        <v>323</v>
      </c>
      <c r="E7205" t="s">
        <v>296</v>
      </c>
      <c r="F7205" t="s">
        <v>7849</v>
      </c>
      <c r="G7205">
        <v>1946</v>
      </c>
      <c r="H7205">
        <v>198026.41999999998</v>
      </c>
      <c r="I7205">
        <v>101.76</v>
      </c>
      <c r="J7205">
        <v>0</v>
      </c>
      <c r="K7205">
        <v>0</v>
      </c>
      <c r="L7205">
        <v>0</v>
      </c>
      <c r="M7205">
        <v>1946</v>
      </c>
      <c r="N7205">
        <v>198026.41999999998</v>
      </c>
      <c r="O7205">
        <v>101.76</v>
      </c>
    </row>
    <row r="7206" spans="1:15" x14ac:dyDescent="0.35">
      <c r="A7206" t="s">
        <v>7836</v>
      </c>
      <c r="B7206" t="s">
        <v>7837</v>
      </c>
      <c r="C7206" t="s">
        <v>1059</v>
      </c>
      <c r="D7206" t="s">
        <v>323</v>
      </c>
      <c r="E7206" t="s">
        <v>298</v>
      </c>
      <c r="F7206" t="s">
        <v>7850</v>
      </c>
      <c r="G7206">
        <v>1645</v>
      </c>
      <c r="H7206">
        <v>185027.58</v>
      </c>
      <c r="I7206">
        <v>112.48</v>
      </c>
      <c r="J7206">
        <v>0</v>
      </c>
      <c r="K7206">
        <v>0</v>
      </c>
      <c r="L7206">
        <v>0</v>
      </c>
      <c r="M7206">
        <v>1645</v>
      </c>
      <c r="N7206">
        <v>185027.58</v>
      </c>
      <c r="O7206">
        <v>112.48</v>
      </c>
    </row>
    <row r="7207" spans="1:15" x14ac:dyDescent="0.35">
      <c r="A7207" t="s">
        <v>7836</v>
      </c>
      <c r="B7207" t="s">
        <v>7837</v>
      </c>
      <c r="C7207" t="s">
        <v>1059</v>
      </c>
      <c r="D7207" t="s">
        <v>323</v>
      </c>
      <c r="E7207" t="s">
        <v>300</v>
      </c>
      <c r="F7207" t="s">
        <v>7851</v>
      </c>
      <c r="G7207">
        <v>112</v>
      </c>
      <c r="H7207">
        <v>14448.25</v>
      </c>
      <c r="I7207">
        <v>129</v>
      </c>
      <c r="J7207">
        <v>0</v>
      </c>
      <c r="K7207">
        <v>0</v>
      </c>
      <c r="L7207">
        <v>0</v>
      </c>
      <c r="M7207">
        <v>112</v>
      </c>
      <c r="N7207">
        <v>14448.25</v>
      </c>
      <c r="O7207">
        <v>129</v>
      </c>
    </row>
    <row r="7208" spans="1:15" x14ac:dyDescent="0.35">
      <c r="A7208" t="s">
        <v>7836</v>
      </c>
      <c r="B7208" t="s">
        <v>7837</v>
      </c>
      <c r="C7208" t="s">
        <v>1059</v>
      </c>
      <c r="D7208" t="s">
        <v>323</v>
      </c>
      <c r="E7208" t="s">
        <v>302</v>
      </c>
      <c r="F7208" t="s">
        <v>7852</v>
      </c>
      <c r="G7208">
        <v>3</v>
      </c>
      <c r="H7208">
        <v>402.84000000000003</v>
      </c>
      <c r="I7208">
        <v>134.28</v>
      </c>
      <c r="J7208">
        <v>0</v>
      </c>
      <c r="K7208">
        <v>0</v>
      </c>
      <c r="L7208">
        <v>0</v>
      </c>
      <c r="M7208">
        <v>3</v>
      </c>
      <c r="N7208">
        <v>402.84000000000003</v>
      </c>
      <c r="O7208">
        <v>134.28</v>
      </c>
    </row>
    <row r="7209" spans="1:15" x14ac:dyDescent="0.35">
      <c r="A7209" t="s">
        <v>7836</v>
      </c>
      <c r="B7209" t="s">
        <v>7837</v>
      </c>
      <c r="C7209" t="s">
        <v>1059</v>
      </c>
      <c r="D7209" t="s">
        <v>323</v>
      </c>
      <c r="E7209" t="s">
        <v>304</v>
      </c>
      <c r="F7209" t="s">
        <v>7853</v>
      </c>
      <c r="G7209">
        <v>1</v>
      </c>
      <c r="H7209">
        <v>142.16</v>
      </c>
      <c r="I7209">
        <v>142.16</v>
      </c>
      <c r="J7209">
        <v>0</v>
      </c>
      <c r="K7209">
        <v>0</v>
      </c>
      <c r="L7209">
        <v>0</v>
      </c>
      <c r="M7209">
        <v>1</v>
      </c>
      <c r="N7209">
        <v>142.16</v>
      </c>
      <c r="O7209">
        <v>142.16</v>
      </c>
    </row>
    <row r="7210" spans="1:15" x14ac:dyDescent="0.35">
      <c r="A7210" t="s">
        <v>7836</v>
      </c>
      <c r="B7210" t="s">
        <v>7837</v>
      </c>
      <c r="C7210" t="s">
        <v>1059</v>
      </c>
      <c r="D7210" t="s">
        <v>323</v>
      </c>
      <c r="E7210" t="s">
        <v>306</v>
      </c>
      <c r="F7210" t="s">
        <v>7854</v>
      </c>
      <c r="G7210">
        <v>151</v>
      </c>
      <c r="H7210">
        <v>12053.2</v>
      </c>
      <c r="I7210">
        <v>79.819999999999993</v>
      </c>
      <c r="J7210">
        <v>0</v>
      </c>
      <c r="K7210">
        <v>0</v>
      </c>
      <c r="L7210">
        <v>0</v>
      </c>
      <c r="M7210">
        <v>151</v>
      </c>
      <c r="N7210">
        <v>12053.2</v>
      </c>
      <c r="O7210">
        <v>79.819999999999993</v>
      </c>
    </row>
    <row r="7211" spans="1:15" x14ac:dyDescent="0.35">
      <c r="A7211" t="s">
        <v>7836</v>
      </c>
      <c r="B7211" t="s">
        <v>7837</v>
      </c>
      <c r="C7211" t="s">
        <v>1059</v>
      </c>
      <c r="D7211" t="s">
        <v>323</v>
      </c>
      <c r="E7211" t="s">
        <v>308</v>
      </c>
      <c r="F7211" t="s">
        <v>7855</v>
      </c>
      <c r="G7211">
        <v>0</v>
      </c>
      <c r="H7211">
        <v>0</v>
      </c>
      <c r="I7211">
        <v>0</v>
      </c>
      <c r="J7211">
        <v>0</v>
      </c>
      <c r="K7211">
        <v>0</v>
      </c>
      <c r="L7211">
        <v>0</v>
      </c>
      <c r="M7211">
        <v>0</v>
      </c>
      <c r="N7211">
        <v>0</v>
      </c>
      <c r="O7211">
        <v>0</v>
      </c>
    </row>
    <row r="7212" spans="1:15" x14ac:dyDescent="0.35">
      <c r="A7212" t="s">
        <v>7836</v>
      </c>
      <c r="B7212" t="s">
        <v>7837</v>
      </c>
      <c r="C7212" t="s">
        <v>1059</v>
      </c>
      <c r="D7212" t="s">
        <v>323</v>
      </c>
      <c r="E7212" t="s">
        <v>310</v>
      </c>
      <c r="F7212" t="s">
        <v>7856</v>
      </c>
      <c r="G7212">
        <v>5185</v>
      </c>
      <c r="H7212">
        <v>529579.99999999988</v>
      </c>
      <c r="I7212">
        <v>102.14</v>
      </c>
      <c r="J7212">
        <v>0</v>
      </c>
      <c r="K7212">
        <v>0</v>
      </c>
      <c r="L7212">
        <v>0</v>
      </c>
      <c r="M7212">
        <v>5185</v>
      </c>
      <c r="N7212">
        <v>529579.99999999988</v>
      </c>
      <c r="O7212">
        <v>102.14</v>
      </c>
    </row>
    <row r="7213" spans="1:15" x14ac:dyDescent="0.35">
      <c r="A7213" t="s">
        <v>7836</v>
      </c>
      <c r="B7213" t="s">
        <v>7837</v>
      </c>
      <c r="C7213" t="s">
        <v>1059</v>
      </c>
      <c r="D7213" t="s">
        <v>323</v>
      </c>
      <c r="E7213" t="s">
        <v>312</v>
      </c>
      <c r="F7213" t="s">
        <v>7857</v>
      </c>
      <c r="G7213">
        <v>5185</v>
      </c>
      <c r="H7213">
        <v>529579.99999999988</v>
      </c>
      <c r="I7213">
        <v>102.14</v>
      </c>
      <c r="J7213">
        <v>0</v>
      </c>
      <c r="K7213">
        <v>0</v>
      </c>
      <c r="L7213">
        <v>0</v>
      </c>
      <c r="M7213">
        <v>5185</v>
      </c>
      <c r="N7213">
        <v>529579.99999999988</v>
      </c>
      <c r="O7213">
        <v>102.14</v>
      </c>
    </row>
    <row r="7214" spans="1:15" x14ac:dyDescent="0.35">
      <c r="A7214" t="s">
        <v>7836</v>
      </c>
      <c r="B7214" t="s">
        <v>7837</v>
      </c>
      <c r="C7214" t="s">
        <v>1059</v>
      </c>
      <c r="D7214" t="s">
        <v>334</v>
      </c>
      <c r="E7214" t="s">
        <v>312</v>
      </c>
      <c r="F7214" t="s">
        <v>7858</v>
      </c>
      <c r="G7214">
        <v>6774</v>
      </c>
      <c r="H7214">
        <v>730395.07</v>
      </c>
      <c r="I7214">
        <v>108.4</v>
      </c>
      <c r="J7214">
        <v>0</v>
      </c>
      <c r="K7214">
        <v>0</v>
      </c>
      <c r="L7214">
        <v>0</v>
      </c>
      <c r="M7214">
        <v>6774</v>
      </c>
      <c r="N7214">
        <v>730395.07</v>
      </c>
      <c r="O7214">
        <v>108.4</v>
      </c>
    </row>
    <row r="7215" spans="1:15" x14ac:dyDescent="0.35">
      <c r="A7215" t="s">
        <v>7836</v>
      </c>
      <c r="B7215" t="s">
        <v>7837</v>
      </c>
      <c r="C7215" t="s">
        <v>1059</v>
      </c>
      <c r="D7215" t="s">
        <v>334</v>
      </c>
      <c r="E7215" t="s">
        <v>308</v>
      </c>
      <c r="F7215" t="s">
        <v>7859</v>
      </c>
      <c r="G7215">
        <v>0</v>
      </c>
      <c r="H7215">
        <v>0</v>
      </c>
      <c r="I7215">
        <v>0</v>
      </c>
      <c r="J7215">
        <v>0</v>
      </c>
      <c r="K7215">
        <v>0</v>
      </c>
      <c r="L7215">
        <v>0</v>
      </c>
      <c r="M7215">
        <v>0</v>
      </c>
      <c r="N7215">
        <v>0</v>
      </c>
      <c r="O7215">
        <v>0</v>
      </c>
    </row>
    <row r="7216" spans="1:15" x14ac:dyDescent="0.35">
      <c r="A7216" t="s">
        <v>7836</v>
      </c>
      <c r="B7216" t="s">
        <v>7837</v>
      </c>
      <c r="C7216" t="s">
        <v>1059</v>
      </c>
      <c r="D7216" t="s">
        <v>337</v>
      </c>
      <c r="E7216" t="s">
        <v>337</v>
      </c>
      <c r="F7216" t="s">
        <v>7860</v>
      </c>
      <c r="G7216">
        <v>477</v>
      </c>
      <c r="J7216">
        <v>0</v>
      </c>
      <c r="M7216">
        <v>477</v>
      </c>
    </row>
    <row r="7217" spans="1:15" x14ac:dyDescent="0.35">
      <c r="A7217" t="s">
        <v>7836</v>
      </c>
      <c r="B7217" t="s">
        <v>7837</v>
      </c>
      <c r="C7217" t="s">
        <v>1059</v>
      </c>
      <c r="D7217" t="s">
        <v>339</v>
      </c>
      <c r="E7217" t="s">
        <v>294</v>
      </c>
      <c r="F7217" t="s">
        <v>7861</v>
      </c>
      <c r="G7217">
        <v>344</v>
      </c>
      <c r="H7217">
        <v>35212.120000000003</v>
      </c>
      <c r="I7217">
        <v>102.36</v>
      </c>
      <c r="J7217">
        <v>0</v>
      </c>
      <c r="K7217">
        <v>0</v>
      </c>
      <c r="L7217">
        <v>0</v>
      </c>
      <c r="M7217">
        <v>344</v>
      </c>
      <c r="N7217">
        <v>35212.120000000003</v>
      </c>
      <c r="O7217">
        <v>102.36</v>
      </c>
    </row>
    <row r="7218" spans="1:15" x14ac:dyDescent="0.35">
      <c r="A7218" t="s">
        <v>7836</v>
      </c>
      <c r="B7218" t="s">
        <v>7837</v>
      </c>
      <c r="C7218" t="s">
        <v>1059</v>
      </c>
      <c r="D7218" t="s">
        <v>339</v>
      </c>
      <c r="E7218" t="s">
        <v>296</v>
      </c>
      <c r="F7218" t="s">
        <v>7862</v>
      </c>
      <c r="G7218">
        <v>21</v>
      </c>
      <c r="H7218">
        <v>2706.2299999999996</v>
      </c>
      <c r="I7218">
        <v>128.87</v>
      </c>
      <c r="J7218">
        <v>0</v>
      </c>
      <c r="K7218">
        <v>0</v>
      </c>
      <c r="L7218">
        <v>0</v>
      </c>
      <c r="M7218">
        <v>21</v>
      </c>
      <c r="N7218">
        <v>2706.2299999999996</v>
      </c>
      <c r="O7218">
        <v>128.87</v>
      </c>
    </row>
    <row r="7219" spans="1:15" x14ac:dyDescent="0.35">
      <c r="A7219" t="s">
        <v>7836</v>
      </c>
      <c r="B7219" t="s">
        <v>7837</v>
      </c>
      <c r="C7219" t="s">
        <v>1059</v>
      </c>
      <c r="D7219" t="s">
        <v>339</v>
      </c>
      <c r="E7219" t="s">
        <v>298</v>
      </c>
      <c r="F7219" t="s">
        <v>7863</v>
      </c>
      <c r="G7219">
        <v>1</v>
      </c>
      <c r="H7219">
        <v>107</v>
      </c>
      <c r="I7219">
        <v>107</v>
      </c>
      <c r="J7219">
        <v>0</v>
      </c>
      <c r="K7219">
        <v>0</v>
      </c>
      <c r="L7219">
        <v>0</v>
      </c>
      <c r="M7219">
        <v>1</v>
      </c>
      <c r="N7219">
        <v>107</v>
      </c>
      <c r="O7219">
        <v>107</v>
      </c>
    </row>
    <row r="7220" spans="1:15" x14ac:dyDescent="0.35">
      <c r="A7220" t="s">
        <v>7836</v>
      </c>
      <c r="B7220" t="s">
        <v>7837</v>
      </c>
      <c r="C7220" t="s">
        <v>1059</v>
      </c>
      <c r="D7220" t="s">
        <v>339</v>
      </c>
      <c r="E7220" t="s">
        <v>300</v>
      </c>
      <c r="F7220" t="s">
        <v>7864</v>
      </c>
      <c r="G7220">
        <v>0</v>
      </c>
      <c r="H7220">
        <v>0</v>
      </c>
      <c r="I7220">
        <v>0</v>
      </c>
      <c r="J7220">
        <v>0</v>
      </c>
      <c r="K7220">
        <v>0</v>
      </c>
      <c r="L7220">
        <v>0</v>
      </c>
      <c r="M7220">
        <v>0</v>
      </c>
      <c r="N7220">
        <v>0</v>
      </c>
      <c r="O7220">
        <v>0</v>
      </c>
    </row>
    <row r="7221" spans="1:15" x14ac:dyDescent="0.35">
      <c r="A7221" t="s">
        <v>7836</v>
      </c>
      <c r="B7221" t="s">
        <v>7837</v>
      </c>
      <c r="C7221" t="s">
        <v>1059</v>
      </c>
      <c r="D7221" t="s">
        <v>339</v>
      </c>
      <c r="E7221" t="s">
        <v>306</v>
      </c>
      <c r="F7221" t="s">
        <v>7865</v>
      </c>
      <c r="G7221">
        <v>55</v>
      </c>
      <c r="H7221">
        <v>5389.4</v>
      </c>
      <c r="I7221">
        <v>97.99</v>
      </c>
      <c r="J7221">
        <v>0</v>
      </c>
      <c r="K7221">
        <v>0</v>
      </c>
      <c r="L7221">
        <v>0</v>
      </c>
      <c r="M7221">
        <v>55</v>
      </c>
      <c r="N7221">
        <v>5389.4</v>
      </c>
      <c r="O7221">
        <v>97.99</v>
      </c>
    </row>
    <row r="7222" spans="1:15" x14ac:dyDescent="0.35">
      <c r="A7222" t="s">
        <v>7836</v>
      </c>
      <c r="B7222" t="s">
        <v>7837</v>
      </c>
      <c r="C7222" t="s">
        <v>1059</v>
      </c>
      <c r="D7222" t="s">
        <v>339</v>
      </c>
      <c r="E7222" t="s">
        <v>308</v>
      </c>
      <c r="F7222" t="s">
        <v>7866</v>
      </c>
      <c r="G7222">
        <v>31</v>
      </c>
      <c r="H7222">
        <v>3034.81</v>
      </c>
      <c r="I7222">
        <v>97.9</v>
      </c>
      <c r="J7222">
        <v>0</v>
      </c>
      <c r="K7222">
        <v>0</v>
      </c>
      <c r="L7222">
        <v>0</v>
      </c>
      <c r="M7222">
        <v>31</v>
      </c>
      <c r="N7222">
        <v>3034.81</v>
      </c>
      <c r="O7222">
        <v>97.9</v>
      </c>
    </row>
    <row r="7223" spans="1:15" x14ac:dyDescent="0.35">
      <c r="A7223" t="s">
        <v>7836</v>
      </c>
      <c r="B7223" t="s">
        <v>7837</v>
      </c>
      <c r="C7223" t="s">
        <v>1059</v>
      </c>
      <c r="D7223" t="s">
        <v>339</v>
      </c>
      <c r="E7223" t="s">
        <v>310</v>
      </c>
      <c r="F7223" t="s">
        <v>7867</v>
      </c>
      <c r="G7223">
        <v>452</v>
      </c>
      <c r="H7223">
        <v>46449.560000000005</v>
      </c>
      <c r="I7223">
        <v>102.76</v>
      </c>
      <c r="J7223">
        <v>0</v>
      </c>
      <c r="K7223">
        <v>0</v>
      </c>
      <c r="L7223">
        <v>0</v>
      </c>
      <c r="M7223">
        <v>452</v>
      </c>
      <c r="N7223">
        <v>46449.560000000005</v>
      </c>
      <c r="O7223">
        <v>102.76</v>
      </c>
    </row>
    <row r="7224" spans="1:15" x14ac:dyDescent="0.35">
      <c r="A7224" t="s">
        <v>7836</v>
      </c>
      <c r="B7224" t="s">
        <v>7837</v>
      </c>
      <c r="C7224" t="s">
        <v>1059</v>
      </c>
      <c r="D7224" t="s">
        <v>339</v>
      </c>
      <c r="E7224" t="s">
        <v>312</v>
      </c>
      <c r="F7224" t="s">
        <v>7868</v>
      </c>
      <c r="G7224">
        <v>421</v>
      </c>
      <c r="H7224">
        <v>43414.750000000007</v>
      </c>
      <c r="I7224">
        <v>103.12</v>
      </c>
      <c r="J7224">
        <v>0</v>
      </c>
      <c r="K7224">
        <v>0</v>
      </c>
      <c r="L7224">
        <v>0</v>
      </c>
      <c r="M7224">
        <v>421</v>
      </c>
      <c r="N7224">
        <v>43414.750000000007</v>
      </c>
      <c r="O7224">
        <v>103.12</v>
      </c>
    </row>
    <row r="7225" spans="1:15" x14ac:dyDescent="0.35">
      <c r="A7225" t="s">
        <v>7836</v>
      </c>
      <c r="B7225" t="s">
        <v>7837</v>
      </c>
      <c r="C7225" t="s">
        <v>1059</v>
      </c>
      <c r="D7225" t="s">
        <v>348</v>
      </c>
      <c r="E7225" t="s">
        <v>349</v>
      </c>
      <c r="F7225" t="s">
        <v>7869</v>
      </c>
      <c r="G7225">
        <v>458</v>
      </c>
      <c r="H7225">
        <v>46449.560000000005</v>
      </c>
      <c r="I7225">
        <v>102.76</v>
      </c>
      <c r="J7225">
        <v>0</v>
      </c>
      <c r="K7225">
        <v>0</v>
      </c>
      <c r="L7225">
        <v>0</v>
      </c>
      <c r="M7225">
        <v>458</v>
      </c>
      <c r="N7225">
        <v>46449.560000000005</v>
      </c>
      <c r="O7225">
        <v>102.76</v>
      </c>
    </row>
    <row r="7226" spans="1:15" x14ac:dyDescent="0.35">
      <c r="A7226" t="s">
        <v>7870</v>
      </c>
      <c r="B7226" t="s">
        <v>7871</v>
      </c>
      <c r="C7226" t="s">
        <v>1059</v>
      </c>
      <c r="D7226" t="s">
        <v>293</v>
      </c>
      <c r="E7226" t="s">
        <v>294</v>
      </c>
      <c r="F7226" t="s">
        <v>7872</v>
      </c>
      <c r="G7226">
        <v>83</v>
      </c>
      <c r="H7226">
        <v>9389.9599999999991</v>
      </c>
      <c r="I7226">
        <v>113.13</v>
      </c>
      <c r="J7226">
        <v>0</v>
      </c>
      <c r="K7226">
        <v>0</v>
      </c>
      <c r="L7226">
        <v>0</v>
      </c>
      <c r="M7226">
        <v>83</v>
      </c>
      <c r="N7226">
        <v>9389.9599999999991</v>
      </c>
      <c r="O7226">
        <v>113.13</v>
      </c>
    </row>
    <row r="7227" spans="1:15" x14ac:dyDescent="0.35">
      <c r="A7227" t="s">
        <v>7870</v>
      </c>
      <c r="B7227" t="s">
        <v>7871</v>
      </c>
      <c r="C7227" t="s">
        <v>1059</v>
      </c>
      <c r="D7227" t="s">
        <v>293</v>
      </c>
      <c r="E7227" t="s">
        <v>296</v>
      </c>
      <c r="F7227" t="s">
        <v>7873</v>
      </c>
      <c r="G7227">
        <v>339</v>
      </c>
      <c r="H7227">
        <v>46259.46</v>
      </c>
      <c r="I7227">
        <v>136.46</v>
      </c>
      <c r="J7227">
        <v>0</v>
      </c>
      <c r="K7227">
        <v>0</v>
      </c>
      <c r="L7227">
        <v>0</v>
      </c>
      <c r="M7227">
        <v>339</v>
      </c>
      <c r="N7227">
        <v>46259.46</v>
      </c>
      <c r="O7227">
        <v>136.46</v>
      </c>
    </row>
    <row r="7228" spans="1:15" x14ac:dyDescent="0.35">
      <c r="A7228" t="s">
        <v>7870</v>
      </c>
      <c r="B7228" t="s">
        <v>7871</v>
      </c>
      <c r="C7228" t="s">
        <v>1059</v>
      </c>
      <c r="D7228" t="s">
        <v>293</v>
      </c>
      <c r="E7228" t="s">
        <v>298</v>
      </c>
      <c r="F7228" t="s">
        <v>7874</v>
      </c>
      <c r="G7228">
        <v>173</v>
      </c>
      <c r="H7228">
        <v>26401.929999999997</v>
      </c>
      <c r="I7228">
        <v>152.61000000000001</v>
      </c>
      <c r="J7228">
        <v>0</v>
      </c>
      <c r="K7228">
        <v>0</v>
      </c>
      <c r="L7228">
        <v>0</v>
      </c>
      <c r="M7228">
        <v>173</v>
      </c>
      <c r="N7228">
        <v>26401.929999999997</v>
      </c>
      <c r="O7228">
        <v>152.61000000000001</v>
      </c>
    </row>
    <row r="7229" spans="1:15" x14ac:dyDescent="0.35">
      <c r="A7229" t="s">
        <v>7870</v>
      </c>
      <c r="B7229" t="s">
        <v>7871</v>
      </c>
      <c r="C7229" t="s">
        <v>1059</v>
      </c>
      <c r="D7229" t="s">
        <v>293</v>
      </c>
      <c r="E7229" t="s">
        <v>300</v>
      </c>
      <c r="F7229" t="s">
        <v>7875</v>
      </c>
      <c r="G7229">
        <v>10</v>
      </c>
      <c r="H7229">
        <v>1944.5</v>
      </c>
      <c r="I7229">
        <v>194.45</v>
      </c>
      <c r="J7229">
        <v>0</v>
      </c>
      <c r="K7229">
        <v>0</v>
      </c>
      <c r="L7229">
        <v>0</v>
      </c>
      <c r="M7229">
        <v>10</v>
      </c>
      <c r="N7229">
        <v>1944.5</v>
      </c>
      <c r="O7229">
        <v>194.45</v>
      </c>
    </row>
    <row r="7230" spans="1:15" x14ac:dyDescent="0.35">
      <c r="A7230" t="s">
        <v>7870</v>
      </c>
      <c r="B7230" t="s">
        <v>7871</v>
      </c>
      <c r="C7230" t="s">
        <v>1059</v>
      </c>
      <c r="D7230" t="s">
        <v>293</v>
      </c>
      <c r="E7230" t="s">
        <v>302</v>
      </c>
      <c r="F7230" t="s">
        <v>7876</v>
      </c>
      <c r="G7230">
        <v>0</v>
      </c>
      <c r="H7230">
        <v>0</v>
      </c>
      <c r="I7230">
        <v>0</v>
      </c>
      <c r="J7230">
        <v>0</v>
      </c>
      <c r="K7230">
        <v>0</v>
      </c>
      <c r="L7230">
        <v>0</v>
      </c>
      <c r="M7230">
        <v>0</v>
      </c>
      <c r="N7230">
        <v>0</v>
      </c>
      <c r="O7230">
        <v>0</v>
      </c>
    </row>
    <row r="7231" spans="1:15" x14ac:dyDescent="0.35">
      <c r="A7231" t="s">
        <v>7870</v>
      </c>
      <c r="B7231" t="s">
        <v>7871</v>
      </c>
      <c r="C7231" t="s">
        <v>1059</v>
      </c>
      <c r="D7231" t="s">
        <v>293</v>
      </c>
      <c r="E7231" t="s">
        <v>304</v>
      </c>
      <c r="F7231" t="s">
        <v>7877</v>
      </c>
      <c r="G7231">
        <v>0</v>
      </c>
      <c r="H7231">
        <v>0</v>
      </c>
      <c r="I7231">
        <v>0</v>
      </c>
      <c r="J7231">
        <v>0</v>
      </c>
      <c r="K7231">
        <v>0</v>
      </c>
      <c r="L7231">
        <v>0</v>
      </c>
      <c r="M7231">
        <v>0</v>
      </c>
      <c r="N7231">
        <v>0</v>
      </c>
      <c r="O7231">
        <v>0</v>
      </c>
    </row>
    <row r="7232" spans="1:15" x14ac:dyDescent="0.35">
      <c r="A7232" t="s">
        <v>7870</v>
      </c>
      <c r="B7232" t="s">
        <v>7871</v>
      </c>
      <c r="C7232" t="s">
        <v>1059</v>
      </c>
      <c r="D7232" t="s">
        <v>293</v>
      </c>
      <c r="E7232" t="s">
        <v>306</v>
      </c>
      <c r="F7232" t="s">
        <v>7878</v>
      </c>
      <c r="G7232">
        <v>0</v>
      </c>
      <c r="H7232">
        <v>0</v>
      </c>
      <c r="I7232">
        <v>0</v>
      </c>
      <c r="J7232">
        <v>0</v>
      </c>
      <c r="K7232">
        <v>0</v>
      </c>
      <c r="L7232">
        <v>0</v>
      </c>
      <c r="M7232">
        <v>0</v>
      </c>
      <c r="N7232">
        <v>0</v>
      </c>
      <c r="O7232">
        <v>0</v>
      </c>
    </row>
    <row r="7233" spans="1:15" x14ac:dyDescent="0.35">
      <c r="A7233" t="s">
        <v>7870</v>
      </c>
      <c r="B7233" t="s">
        <v>7871</v>
      </c>
      <c r="C7233" t="s">
        <v>1059</v>
      </c>
      <c r="D7233" t="s">
        <v>293</v>
      </c>
      <c r="E7233" t="s">
        <v>308</v>
      </c>
      <c r="F7233" t="s">
        <v>7879</v>
      </c>
      <c r="G7233">
        <v>0</v>
      </c>
      <c r="H7233">
        <v>0</v>
      </c>
      <c r="I7233">
        <v>0</v>
      </c>
      <c r="J7233">
        <v>0</v>
      </c>
      <c r="K7233">
        <v>0</v>
      </c>
      <c r="L7233">
        <v>0</v>
      </c>
      <c r="M7233">
        <v>0</v>
      </c>
      <c r="N7233">
        <v>0</v>
      </c>
      <c r="O7233">
        <v>0</v>
      </c>
    </row>
    <row r="7234" spans="1:15" x14ac:dyDescent="0.35">
      <c r="A7234" t="s">
        <v>7870</v>
      </c>
      <c r="B7234" t="s">
        <v>7871</v>
      </c>
      <c r="C7234" t="s">
        <v>1059</v>
      </c>
      <c r="D7234" t="s">
        <v>293</v>
      </c>
      <c r="E7234" t="s">
        <v>310</v>
      </c>
      <c r="F7234" t="s">
        <v>7880</v>
      </c>
      <c r="G7234">
        <v>605</v>
      </c>
      <c r="H7234">
        <v>83995.849999999991</v>
      </c>
      <c r="I7234">
        <v>138.84</v>
      </c>
      <c r="J7234">
        <v>0</v>
      </c>
      <c r="K7234">
        <v>0</v>
      </c>
      <c r="L7234">
        <v>0</v>
      </c>
      <c r="M7234">
        <v>605</v>
      </c>
      <c r="N7234">
        <v>83995.849999999991</v>
      </c>
      <c r="O7234">
        <v>138.84</v>
      </c>
    </row>
    <row r="7235" spans="1:15" x14ac:dyDescent="0.35">
      <c r="A7235" t="s">
        <v>7870</v>
      </c>
      <c r="B7235" t="s">
        <v>7871</v>
      </c>
      <c r="C7235" t="s">
        <v>1059</v>
      </c>
      <c r="D7235" t="s">
        <v>293</v>
      </c>
      <c r="E7235" t="s">
        <v>312</v>
      </c>
      <c r="F7235" t="s">
        <v>7881</v>
      </c>
      <c r="G7235">
        <v>605</v>
      </c>
      <c r="H7235">
        <v>83995.849999999991</v>
      </c>
      <c r="I7235">
        <v>138.84</v>
      </c>
      <c r="J7235">
        <v>0</v>
      </c>
      <c r="K7235">
        <v>0</v>
      </c>
      <c r="L7235">
        <v>0</v>
      </c>
      <c r="M7235">
        <v>605</v>
      </c>
      <c r="N7235">
        <v>83995.849999999991</v>
      </c>
      <c r="O7235">
        <v>138.84</v>
      </c>
    </row>
    <row r="7236" spans="1:15" x14ac:dyDescent="0.35">
      <c r="A7236" t="s">
        <v>7870</v>
      </c>
      <c r="B7236" t="s">
        <v>7871</v>
      </c>
      <c r="C7236" t="s">
        <v>1059</v>
      </c>
      <c r="D7236" t="s">
        <v>314</v>
      </c>
      <c r="E7236" t="s">
        <v>294</v>
      </c>
      <c r="F7236" t="s">
        <v>7882</v>
      </c>
      <c r="G7236">
        <v>0</v>
      </c>
      <c r="H7236">
        <v>0</v>
      </c>
      <c r="I7236">
        <v>0</v>
      </c>
      <c r="J7236">
        <v>0</v>
      </c>
      <c r="K7236">
        <v>0</v>
      </c>
      <c r="L7236">
        <v>0</v>
      </c>
      <c r="M7236">
        <v>0</v>
      </c>
      <c r="N7236">
        <v>0</v>
      </c>
      <c r="O7236">
        <v>0</v>
      </c>
    </row>
    <row r="7237" spans="1:15" x14ac:dyDescent="0.35">
      <c r="A7237" t="s">
        <v>7870</v>
      </c>
      <c r="B7237" t="s">
        <v>7871</v>
      </c>
      <c r="C7237" t="s">
        <v>1059</v>
      </c>
      <c r="D7237" t="s">
        <v>314</v>
      </c>
      <c r="E7237" t="s">
        <v>296</v>
      </c>
      <c r="F7237" t="s">
        <v>7883</v>
      </c>
      <c r="G7237">
        <v>0</v>
      </c>
      <c r="H7237">
        <v>0</v>
      </c>
      <c r="I7237">
        <v>0</v>
      </c>
      <c r="J7237">
        <v>0</v>
      </c>
      <c r="K7237">
        <v>0</v>
      </c>
      <c r="L7237">
        <v>0</v>
      </c>
      <c r="M7237">
        <v>0</v>
      </c>
      <c r="N7237">
        <v>0</v>
      </c>
      <c r="O7237">
        <v>0</v>
      </c>
    </row>
    <row r="7238" spans="1:15" x14ac:dyDescent="0.35">
      <c r="A7238" t="s">
        <v>7870</v>
      </c>
      <c r="B7238" t="s">
        <v>7871</v>
      </c>
      <c r="C7238" t="s">
        <v>1059</v>
      </c>
      <c r="D7238" t="s">
        <v>314</v>
      </c>
      <c r="E7238" t="s">
        <v>298</v>
      </c>
      <c r="F7238" t="s">
        <v>7884</v>
      </c>
      <c r="G7238">
        <v>0</v>
      </c>
      <c r="H7238">
        <v>0</v>
      </c>
      <c r="I7238">
        <v>0</v>
      </c>
      <c r="J7238">
        <v>0</v>
      </c>
      <c r="K7238">
        <v>0</v>
      </c>
      <c r="L7238">
        <v>0</v>
      </c>
      <c r="M7238">
        <v>0</v>
      </c>
      <c r="N7238">
        <v>0</v>
      </c>
      <c r="O7238">
        <v>0</v>
      </c>
    </row>
    <row r="7239" spans="1:15" x14ac:dyDescent="0.35">
      <c r="A7239" t="s">
        <v>7870</v>
      </c>
      <c r="B7239" t="s">
        <v>7871</v>
      </c>
      <c r="C7239" t="s">
        <v>1059</v>
      </c>
      <c r="D7239" t="s">
        <v>314</v>
      </c>
      <c r="E7239" t="s">
        <v>300</v>
      </c>
      <c r="F7239" t="s">
        <v>7885</v>
      </c>
      <c r="G7239">
        <v>0</v>
      </c>
      <c r="H7239">
        <v>0</v>
      </c>
      <c r="I7239">
        <v>0</v>
      </c>
      <c r="J7239">
        <v>0</v>
      </c>
      <c r="K7239">
        <v>0</v>
      </c>
      <c r="L7239">
        <v>0</v>
      </c>
      <c r="M7239">
        <v>0</v>
      </c>
      <c r="N7239">
        <v>0</v>
      </c>
      <c r="O7239">
        <v>0</v>
      </c>
    </row>
    <row r="7240" spans="1:15" x14ac:dyDescent="0.35">
      <c r="A7240" t="s">
        <v>7870</v>
      </c>
      <c r="B7240" t="s">
        <v>7871</v>
      </c>
      <c r="C7240" t="s">
        <v>1059</v>
      </c>
      <c r="D7240" t="s">
        <v>314</v>
      </c>
      <c r="E7240" t="s">
        <v>306</v>
      </c>
      <c r="F7240" t="s">
        <v>7886</v>
      </c>
      <c r="G7240">
        <v>0</v>
      </c>
      <c r="H7240">
        <v>0</v>
      </c>
      <c r="I7240">
        <v>0</v>
      </c>
      <c r="J7240">
        <v>0</v>
      </c>
      <c r="K7240">
        <v>0</v>
      </c>
      <c r="L7240">
        <v>0</v>
      </c>
      <c r="M7240">
        <v>0</v>
      </c>
      <c r="N7240">
        <v>0</v>
      </c>
      <c r="O7240">
        <v>0</v>
      </c>
    </row>
    <row r="7241" spans="1:15" x14ac:dyDescent="0.35">
      <c r="A7241" t="s">
        <v>7870</v>
      </c>
      <c r="B7241" t="s">
        <v>7871</v>
      </c>
      <c r="C7241" t="s">
        <v>1059</v>
      </c>
      <c r="D7241" t="s">
        <v>314</v>
      </c>
      <c r="E7241" t="s">
        <v>308</v>
      </c>
      <c r="F7241" t="s">
        <v>7887</v>
      </c>
      <c r="G7241">
        <v>0</v>
      </c>
      <c r="H7241">
        <v>0</v>
      </c>
      <c r="I7241">
        <v>0</v>
      </c>
      <c r="J7241">
        <v>0</v>
      </c>
      <c r="K7241">
        <v>0</v>
      </c>
      <c r="L7241">
        <v>0</v>
      </c>
      <c r="M7241">
        <v>0</v>
      </c>
      <c r="N7241">
        <v>0</v>
      </c>
      <c r="O7241">
        <v>0</v>
      </c>
    </row>
    <row r="7242" spans="1:15" x14ac:dyDescent="0.35">
      <c r="A7242" t="s">
        <v>7870</v>
      </c>
      <c r="B7242" t="s">
        <v>7871</v>
      </c>
      <c r="C7242" t="s">
        <v>1059</v>
      </c>
      <c r="D7242" t="s">
        <v>314</v>
      </c>
      <c r="E7242" t="s">
        <v>312</v>
      </c>
      <c r="F7242" t="s">
        <v>7888</v>
      </c>
      <c r="G7242">
        <v>0</v>
      </c>
      <c r="H7242">
        <v>0</v>
      </c>
      <c r="I7242">
        <v>0</v>
      </c>
      <c r="J7242">
        <v>0</v>
      </c>
      <c r="K7242">
        <v>0</v>
      </c>
      <c r="L7242">
        <v>0</v>
      </c>
      <c r="M7242">
        <v>0</v>
      </c>
      <c r="N7242">
        <v>0</v>
      </c>
      <c r="O7242">
        <v>0</v>
      </c>
    </row>
    <row r="7243" spans="1:15" x14ac:dyDescent="0.35">
      <c r="A7243" t="s">
        <v>7870</v>
      </c>
      <c r="B7243" t="s">
        <v>7871</v>
      </c>
      <c r="C7243" t="s">
        <v>1059</v>
      </c>
      <c r="D7243" t="s">
        <v>314</v>
      </c>
      <c r="E7243" t="s">
        <v>310</v>
      </c>
      <c r="F7243" t="s">
        <v>7889</v>
      </c>
      <c r="G7243">
        <v>0</v>
      </c>
      <c r="H7243">
        <v>0</v>
      </c>
      <c r="I7243">
        <v>0</v>
      </c>
      <c r="J7243">
        <v>0</v>
      </c>
      <c r="K7243">
        <v>0</v>
      </c>
      <c r="L7243">
        <v>0</v>
      </c>
      <c r="M7243">
        <v>0</v>
      </c>
      <c r="N7243">
        <v>0</v>
      </c>
      <c r="O7243">
        <v>0</v>
      </c>
    </row>
    <row r="7244" spans="1:15" x14ac:dyDescent="0.35">
      <c r="A7244" t="s">
        <v>7870</v>
      </c>
      <c r="B7244" t="s">
        <v>7871</v>
      </c>
      <c r="C7244" t="s">
        <v>1059</v>
      </c>
      <c r="D7244" t="s">
        <v>323</v>
      </c>
      <c r="E7244" t="s">
        <v>294</v>
      </c>
      <c r="F7244" t="s">
        <v>7890</v>
      </c>
      <c r="G7244">
        <v>1293</v>
      </c>
      <c r="H7244">
        <v>123058.87000000001</v>
      </c>
      <c r="I7244">
        <v>95.17</v>
      </c>
      <c r="J7244">
        <v>3</v>
      </c>
      <c r="K7244">
        <v>329.61</v>
      </c>
      <c r="L7244">
        <v>109.87</v>
      </c>
      <c r="M7244">
        <v>1296</v>
      </c>
      <c r="N7244">
        <v>123388.48000000001</v>
      </c>
      <c r="O7244">
        <v>95.21</v>
      </c>
    </row>
    <row r="7245" spans="1:15" x14ac:dyDescent="0.35">
      <c r="A7245" t="s">
        <v>7870</v>
      </c>
      <c r="B7245" t="s">
        <v>7871</v>
      </c>
      <c r="C7245" t="s">
        <v>1059</v>
      </c>
      <c r="D7245" t="s">
        <v>323</v>
      </c>
      <c r="E7245" t="s">
        <v>296</v>
      </c>
      <c r="F7245" t="s">
        <v>7891</v>
      </c>
      <c r="G7245">
        <v>2207</v>
      </c>
      <c r="H7245">
        <v>245044.63000000003</v>
      </c>
      <c r="I7245">
        <v>111.03</v>
      </c>
      <c r="J7245">
        <v>3</v>
      </c>
      <c r="K7245">
        <v>329.61</v>
      </c>
      <c r="L7245">
        <v>109.87</v>
      </c>
      <c r="M7245">
        <v>2210</v>
      </c>
      <c r="N7245">
        <v>245374.24000000002</v>
      </c>
      <c r="O7245">
        <v>111.03</v>
      </c>
    </row>
    <row r="7246" spans="1:15" x14ac:dyDescent="0.35">
      <c r="A7246" t="s">
        <v>7870</v>
      </c>
      <c r="B7246" t="s">
        <v>7871</v>
      </c>
      <c r="C7246" t="s">
        <v>1059</v>
      </c>
      <c r="D7246" t="s">
        <v>323</v>
      </c>
      <c r="E7246" t="s">
        <v>298</v>
      </c>
      <c r="F7246" t="s">
        <v>7892</v>
      </c>
      <c r="G7246">
        <v>1779</v>
      </c>
      <c r="H7246">
        <v>219072.78999999998</v>
      </c>
      <c r="I7246">
        <v>123.14</v>
      </c>
      <c r="J7246">
        <v>0</v>
      </c>
      <c r="K7246">
        <v>0</v>
      </c>
      <c r="L7246">
        <v>0</v>
      </c>
      <c r="M7246">
        <v>1779</v>
      </c>
      <c r="N7246">
        <v>219072.78999999998</v>
      </c>
      <c r="O7246">
        <v>123.14</v>
      </c>
    </row>
    <row r="7247" spans="1:15" x14ac:dyDescent="0.35">
      <c r="A7247" t="s">
        <v>7870</v>
      </c>
      <c r="B7247" t="s">
        <v>7871</v>
      </c>
      <c r="C7247" t="s">
        <v>1059</v>
      </c>
      <c r="D7247" t="s">
        <v>323</v>
      </c>
      <c r="E7247" t="s">
        <v>300</v>
      </c>
      <c r="F7247" t="s">
        <v>7893</v>
      </c>
      <c r="G7247">
        <v>85</v>
      </c>
      <c r="H7247">
        <v>12108.84</v>
      </c>
      <c r="I7247">
        <v>142.46</v>
      </c>
      <c r="J7247">
        <v>0</v>
      </c>
      <c r="K7247">
        <v>0</v>
      </c>
      <c r="L7247">
        <v>0</v>
      </c>
      <c r="M7247">
        <v>85</v>
      </c>
      <c r="N7247">
        <v>12108.84</v>
      </c>
      <c r="O7247">
        <v>142.46</v>
      </c>
    </row>
    <row r="7248" spans="1:15" x14ac:dyDescent="0.35">
      <c r="A7248" t="s">
        <v>7870</v>
      </c>
      <c r="B7248" t="s">
        <v>7871</v>
      </c>
      <c r="C7248" t="s">
        <v>1059</v>
      </c>
      <c r="D7248" t="s">
        <v>323</v>
      </c>
      <c r="E7248" t="s">
        <v>302</v>
      </c>
      <c r="F7248" t="s">
        <v>7894</v>
      </c>
      <c r="G7248">
        <v>4</v>
      </c>
      <c r="H7248">
        <v>569.20000000000005</v>
      </c>
      <c r="I7248">
        <v>142.30000000000001</v>
      </c>
      <c r="J7248">
        <v>0</v>
      </c>
      <c r="K7248">
        <v>0</v>
      </c>
      <c r="L7248">
        <v>0</v>
      </c>
      <c r="M7248">
        <v>4</v>
      </c>
      <c r="N7248">
        <v>569.20000000000005</v>
      </c>
      <c r="O7248">
        <v>142.30000000000001</v>
      </c>
    </row>
    <row r="7249" spans="1:15" x14ac:dyDescent="0.35">
      <c r="A7249" t="s">
        <v>7870</v>
      </c>
      <c r="B7249" t="s">
        <v>7871</v>
      </c>
      <c r="C7249" t="s">
        <v>1059</v>
      </c>
      <c r="D7249" t="s">
        <v>323</v>
      </c>
      <c r="E7249" t="s">
        <v>304</v>
      </c>
      <c r="F7249" t="s">
        <v>7895</v>
      </c>
      <c r="G7249">
        <v>0</v>
      </c>
      <c r="H7249">
        <v>0</v>
      </c>
      <c r="I7249">
        <v>0</v>
      </c>
      <c r="J7249">
        <v>0</v>
      </c>
      <c r="K7249">
        <v>0</v>
      </c>
      <c r="L7249">
        <v>0</v>
      </c>
      <c r="M7249">
        <v>0</v>
      </c>
      <c r="N7249">
        <v>0</v>
      </c>
      <c r="O7249">
        <v>0</v>
      </c>
    </row>
    <row r="7250" spans="1:15" x14ac:dyDescent="0.35">
      <c r="A7250" t="s">
        <v>7870</v>
      </c>
      <c r="B7250" t="s">
        <v>7871</v>
      </c>
      <c r="C7250" t="s">
        <v>1059</v>
      </c>
      <c r="D7250" t="s">
        <v>323</v>
      </c>
      <c r="E7250" t="s">
        <v>306</v>
      </c>
      <c r="F7250" t="s">
        <v>7896</v>
      </c>
      <c r="G7250">
        <v>16</v>
      </c>
      <c r="H7250">
        <v>1357.45</v>
      </c>
      <c r="I7250">
        <v>84.84</v>
      </c>
      <c r="J7250">
        <v>5</v>
      </c>
      <c r="K7250">
        <v>633.20000000000005</v>
      </c>
      <c r="L7250">
        <v>126.64</v>
      </c>
      <c r="M7250">
        <v>21</v>
      </c>
      <c r="N7250">
        <v>1990.65</v>
      </c>
      <c r="O7250">
        <v>94.79</v>
      </c>
    </row>
    <row r="7251" spans="1:15" x14ac:dyDescent="0.35">
      <c r="A7251" t="s">
        <v>7870</v>
      </c>
      <c r="B7251" t="s">
        <v>7871</v>
      </c>
      <c r="C7251" t="s">
        <v>1059</v>
      </c>
      <c r="D7251" t="s">
        <v>323</v>
      </c>
      <c r="E7251" t="s">
        <v>308</v>
      </c>
      <c r="F7251" t="s">
        <v>7897</v>
      </c>
      <c r="G7251">
        <v>0</v>
      </c>
      <c r="H7251">
        <v>0</v>
      </c>
      <c r="I7251">
        <v>0</v>
      </c>
      <c r="J7251">
        <v>0</v>
      </c>
      <c r="K7251">
        <v>0</v>
      </c>
      <c r="L7251">
        <v>0</v>
      </c>
      <c r="M7251">
        <v>0</v>
      </c>
      <c r="N7251">
        <v>0</v>
      </c>
      <c r="O7251">
        <v>0</v>
      </c>
    </row>
    <row r="7252" spans="1:15" x14ac:dyDescent="0.35">
      <c r="A7252" t="s">
        <v>7870</v>
      </c>
      <c r="B7252" t="s">
        <v>7871</v>
      </c>
      <c r="C7252" t="s">
        <v>1059</v>
      </c>
      <c r="D7252" t="s">
        <v>323</v>
      </c>
      <c r="E7252" t="s">
        <v>310</v>
      </c>
      <c r="F7252" t="s">
        <v>7898</v>
      </c>
      <c r="G7252">
        <v>5384</v>
      </c>
      <c r="H7252">
        <v>601211.77999999991</v>
      </c>
      <c r="I7252">
        <v>111.67</v>
      </c>
      <c r="J7252">
        <v>11</v>
      </c>
      <c r="K7252">
        <v>1292.42</v>
      </c>
      <c r="L7252">
        <v>117.49</v>
      </c>
      <c r="M7252">
        <v>5395</v>
      </c>
      <c r="N7252">
        <v>602504.19999999995</v>
      </c>
      <c r="O7252">
        <v>111.68</v>
      </c>
    </row>
    <row r="7253" spans="1:15" x14ac:dyDescent="0.35">
      <c r="A7253" t="s">
        <v>7870</v>
      </c>
      <c r="B7253" t="s">
        <v>7871</v>
      </c>
      <c r="C7253" t="s">
        <v>1059</v>
      </c>
      <c r="D7253" t="s">
        <v>323</v>
      </c>
      <c r="E7253" t="s">
        <v>312</v>
      </c>
      <c r="F7253" t="s">
        <v>7899</v>
      </c>
      <c r="G7253">
        <v>5384</v>
      </c>
      <c r="H7253">
        <v>601211.77999999991</v>
      </c>
      <c r="I7253">
        <v>111.67</v>
      </c>
      <c r="J7253">
        <v>11</v>
      </c>
      <c r="K7253">
        <v>1292.42</v>
      </c>
      <c r="L7253">
        <v>117.49</v>
      </c>
      <c r="M7253">
        <v>5395</v>
      </c>
      <c r="N7253">
        <v>602504.19999999995</v>
      </c>
      <c r="O7253">
        <v>111.68</v>
      </c>
    </row>
    <row r="7254" spans="1:15" x14ac:dyDescent="0.35">
      <c r="A7254" t="s">
        <v>7870</v>
      </c>
      <c r="B7254" t="s">
        <v>7871</v>
      </c>
      <c r="C7254" t="s">
        <v>1059</v>
      </c>
      <c r="D7254" t="s">
        <v>334</v>
      </c>
      <c r="E7254" t="s">
        <v>312</v>
      </c>
      <c r="F7254" t="s">
        <v>7900</v>
      </c>
      <c r="G7254">
        <v>5998</v>
      </c>
      <c r="H7254">
        <v>685207.62999999989</v>
      </c>
      <c r="I7254">
        <v>114.41</v>
      </c>
      <c r="J7254">
        <v>11</v>
      </c>
      <c r="K7254">
        <v>1292.42</v>
      </c>
      <c r="L7254">
        <v>117.49</v>
      </c>
      <c r="M7254">
        <v>6009</v>
      </c>
      <c r="N7254">
        <v>686500.04999999993</v>
      </c>
      <c r="O7254">
        <v>114.42</v>
      </c>
    </row>
    <row r="7255" spans="1:15" x14ac:dyDescent="0.35">
      <c r="A7255" t="s">
        <v>7870</v>
      </c>
      <c r="B7255" t="s">
        <v>7871</v>
      </c>
      <c r="C7255" t="s">
        <v>1059</v>
      </c>
      <c r="D7255" t="s">
        <v>334</v>
      </c>
      <c r="E7255" t="s">
        <v>308</v>
      </c>
      <c r="F7255" t="s">
        <v>7901</v>
      </c>
      <c r="G7255">
        <v>0</v>
      </c>
      <c r="H7255">
        <v>0</v>
      </c>
      <c r="I7255">
        <v>0</v>
      </c>
      <c r="J7255">
        <v>0</v>
      </c>
      <c r="K7255">
        <v>0</v>
      </c>
      <c r="L7255">
        <v>0</v>
      </c>
      <c r="M7255">
        <v>0</v>
      </c>
      <c r="N7255">
        <v>0</v>
      </c>
      <c r="O7255">
        <v>0</v>
      </c>
    </row>
    <row r="7256" spans="1:15" x14ac:dyDescent="0.35">
      <c r="A7256" t="s">
        <v>7870</v>
      </c>
      <c r="B7256" t="s">
        <v>7871</v>
      </c>
      <c r="C7256" t="s">
        <v>1059</v>
      </c>
      <c r="D7256" t="s">
        <v>337</v>
      </c>
      <c r="E7256" t="s">
        <v>337</v>
      </c>
      <c r="F7256" t="s">
        <v>7902</v>
      </c>
      <c r="G7256">
        <v>791</v>
      </c>
      <c r="J7256">
        <v>0</v>
      </c>
      <c r="M7256">
        <v>791</v>
      </c>
    </row>
    <row r="7257" spans="1:15" x14ac:dyDescent="0.35">
      <c r="A7257" t="s">
        <v>7870</v>
      </c>
      <c r="B7257" t="s">
        <v>7871</v>
      </c>
      <c r="C7257" t="s">
        <v>1059</v>
      </c>
      <c r="D7257" t="s">
        <v>339</v>
      </c>
      <c r="E7257" t="s">
        <v>294</v>
      </c>
      <c r="F7257" t="s">
        <v>7903</v>
      </c>
      <c r="G7257">
        <v>263</v>
      </c>
      <c r="H7257">
        <v>34168.559999999998</v>
      </c>
      <c r="I7257">
        <v>129.91999999999999</v>
      </c>
      <c r="J7257">
        <v>0</v>
      </c>
      <c r="K7257">
        <v>0</v>
      </c>
      <c r="L7257">
        <v>0</v>
      </c>
      <c r="M7257">
        <v>263</v>
      </c>
      <c r="N7257">
        <v>34168.559999999998</v>
      </c>
      <c r="O7257">
        <v>129.91999999999999</v>
      </c>
    </row>
    <row r="7258" spans="1:15" x14ac:dyDescent="0.35">
      <c r="A7258" t="s">
        <v>7870</v>
      </c>
      <c r="B7258" t="s">
        <v>7871</v>
      </c>
      <c r="C7258" t="s">
        <v>1059</v>
      </c>
      <c r="D7258" t="s">
        <v>339</v>
      </c>
      <c r="E7258" t="s">
        <v>296</v>
      </c>
      <c r="F7258" t="s">
        <v>7904</v>
      </c>
      <c r="G7258">
        <v>118</v>
      </c>
      <c r="H7258">
        <v>16297.98</v>
      </c>
      <c r="I7258">
        <v>138.12</v>
      </c>
      <c r="J7258">
        <v>0</v>
      </c>
      <c r="K7258">
        <v>0</v>
      </c>
      <c r="L7258">
        <v>0</v>
      </c>
      <c r="M7258">
        <v>118</v>
      </c>
      <c r="N7258">
        <v>16297.98</v>
      </c>
      <c r="O7258">
        <v>138.12</v>
      </c>
    </row>
    <row r="7259" spans="1:15" x14ac:dyDescent="0.35">
      <c r="A7259" t="s">
        <v>7870</v>
      </c>
      <c r="B7259" t="s">
        <v>7871</v>
      </c>
      <c r="C7259" t="s">
        <v>1059</v>
      </c>
      <c r="D7259" t="s">
        <v>339</v>
      </c>
      <c r="E7259" t="s">
        <v>298</v>
      </c>
      <c r="F7259" t="s">
        <v>7905</v>
      </c>
      <c r="G7259">
        <v>4</v>
      </c>
      <c r="H7259">
        <v>648.64</v>
      </c>
      <c r="I7259">
        <v>162.16</v>
      </c>
      <c r="J7259">
        <v>0</v>
      </c>
      <c r="K7259">
        <v>0</v>
      </c>
      <c r="L7259">
        <v>0</v>
      </c>
      <c r="M7259">
        <v>4</v>
      </c>
      <c r="N7259">
        <v>648.64</v>
      </c>
      <c r="O7259">
        <v>162.16</v>
      </c>
    </row>
    <row r="7260" spans="1:15" x14ac:dyDescent="0.35">
      <c r="A7260" t="s">
        <v>7870</v>
      </c>
      <c r="B7260" t="s">
        <v>7871</v>
      </c>
      <c r="C7260" t="s">
        <v>1059</v>
      </c>
      <c r="D7260" t="s">
        <v>339</v>
      </c>
      <c r="E7260" t="s">
        <v>300</v>
      </c>
      <c r="F7260" t="s">
        <v>7906</v>
      </c>
      <c r="G7260">
        <v>1</v>
      </c>
      <c r="H7260">
        <v>174.02</v>
      </c>
      <c r="I7260">
        <v>174.02</v>
      </c>
      <c r="J7260">
        <v>0</v>
      </c>
      <c r="K7260">
        <v>0</v>
      </c>
      <c r="L7260">
        <v>0</v>
      </c>
      <c r="M7260">
        <v>1</v>
      </c>
      <c r="N7260">
        <v>174.02</v>
      </c>
      <c r="O7260">
        <v>174.02</v>
      </c>
    </row>
    <row r="7261" spans="1:15" x14ac:dyDescent="0.35">
      <c r="A7261" t="s">
        <v>7870</v>
      </c>
      <c r="B7261" t="s">
        <v>7871</v>
      </c>
      <c r="C7261" t="s">
        <v>1059</v>
      </c>
      <c r="D7261" t="s">
        <v>339</v>
      </c>
      <c r="E7261" t="s">
        <v>306</v>
      </c>
      <c r="F7261" t="s">
        <v>7907</v>
      </c>
      <c r="G7261">
        <v>29</v>
      </c>
      <c r="H7261">
        <v>3082.2999999999997</v>
      </c>
      <c r="I7261">
        <v>106.29</v>
      </c>
      <c r="J7261">
        <v>0</v>
      </c>
      <c r="K7261">
        <v>0</v>
      </c>
      <c r="L7261">
        <v>0</v>
      </c>
      <c r="M7261">
        <v>29</v>
      </c>
      <c r="N7261">
        <v>3082.2999999999997</v>
      </c>
      <c r="O7261">
        <v>106.29</v>
      </c>
    </row>
    <row r="7262" spans="1:15" x14ac:dyDescent="0.35">
      <c r="A7262" t="s">
        <v>7870</v>
      </c>
      <c r="B7262" t="s">
        <v>7871</v>
      </c>
      <c r="C7262" t="s">
        <v>1059</v>
      </c>
      <c r="D7262" t="s">
        <v>339</v>
      </c>
      <c r="E7262" t="s">
        <v>308</v>
      </c>
      <c r="F7262" t="s">
        <v>7908</v>
      </c>
      <c r="G7262">
        <v>18</v>
      </c>
      <c r="H7262">
        <v>1797.04</v>
      </c>
      <c r="I7262">
        <v>99.84</v>
      </c>
      <c r="J7262">
        <v>0</v>
      </c>
      <c r="K7262">
        <v>0</v>
      </c>
      <c r="L7262">
        <v>0</v>
      </c>
      <c r="M7262">
        <v>18</v>
      </c>
      <c r="N7262">
        <v>1797.04</v>
      </c>
      <c r="O7262">
        <v>99.84</v>
      </c>
    </row>
    <row r="7263" spans="1:15" x14ac:dyDescent="0.35">
      <c r="A7263" t="s">
        <v>7870</v>
      </c>
      <c r="B7263" t="s">
        <v>7871</v>
      </c>
      <c r="C7263" t="s">
        <v>1059</v>
      </c>
      <c r="D7263" t="s">
        <v>339</v>
      </c>
      <c r="E7263" t="s">
        <v>310</v>
      </c>
      <c r="F7263" t="s">
        <v>7909</v>
      </c>
      <c r="G7263">
        <v>433</v>
      </c>
      <c r="H7263">
        <v>56168.539999999994</v>
      </c>
      <c r="I7263">
        <v>129.72</v>
      </c>
      <c r="J7263">
        <v>0</v>
      </c>
      <c r="K7263">
        <v>0</v>
      </c>
      <c r="L7263">
        <v>0</v>
      </c>
      <c r="M7263">
        <v>433</v>
      </c>
      <c r="N7263">
        <v>56168.539999999994</v>
      </c>
      <c r="O7263">
        <v>129.72</v>
      </c>
    </row>
    <row r="7264" spans="1:15" x14ac:dyDescent="0.35">
      <c r="A7264" t="s">
        <v>7870</v>
      </c>
      <c r="B7264" t="s">
        <v>7871</v>
      </c>
      <c r="C7264" t="s">
        <v>1059</v>
      </c>
      <c r="D7264" t="s">
        <v>339</v>
      </c>
      <c r="E7264" t="s">
        <v>312</v>
      </c>
      <c r="F7264" t="s">
        <v>7910</v>
      </c>
      <c r="G7264">
        <v>415</v>
      </c>
      <c r="H7264">
        <v>54371.499999999993</v>
      </c>
      <c r="I7264">
        <v>131.02000000000001</v>
      </c>
      <c r="J7264">
        <v>0</v>
      </c>
      <c r="K7264">
        <v>0</v>
      </c>
      <c r="L7264">
        <v>0</v>
      </c>
      <c r="M7264">
        <v>415</v>
      </c>
      <c r="N7264">
        <v>54371.499999999993</v>
      </c>
      <c r="O7264">
        <v>131.02000000000001</v>
      </c>
    </row>
    <row r="7265" spans="1:15" x14ac:dyDescent="0.35">
      <c r="A7265" t="s">
        <v>7870</v>
      </c>
      <c r="B7265" t="s">
        <v>7871</v>
      </c>
      <c r="C7265" t="s">
        <v>1059</v>
      </c>
      <c r="D7265" t="s">
        <v>348</v>
      </c>
      <c r="E7265" t="s">
        <v>349</v>
      </c>
      <c r="F7265" t="s">
        <v>7911</v>
      </c>
      <c r="G7265">
        <v>441</v>
      </c>
      <c r="H7265">
        <v>56168.539999999994</v>
      </c>
      <c r="I7265">
        <v>129.72</v>
      </c>
      <c r="J7265">
        <v>0</v>
      </c>
      <c r="K7265">
        <v>0</v>
      </c>
      <c r="L7265">
        <v>0</v>
      </c>
      <c r="M7265">
        <v>441</v>
      </c>
      <c r="N7265">
        <v>56168.539999999994</v>
      </c>
      <c r="O7265">
        <v>129.72</v>
      </c>
    </row>
    <row r="7266" spans="1:15" x14ac:dyDescent="0.35">
      <c r="A7266" t="s">
        <v>7912</v>
      </c>
      <c r="B7266" t="s">
        <v>7913</v>
      </c>
      <c r="C7266" t="s">
        <v>1059</v>
      </c>
      <c r="D7266" t="s">
        <v>293</v>
      </c>
      <c r="E7266" t="s">
        <v>294</v>
      </c>
      <c r="F7266" t="s">
        <v>7914</v>
      </c>
      <c r="G7266">
        <v>128</v>
      </c>
      <c r="H7266">
        <v>13550.99</v>
      </c>
      <c r="I7266">
        <v>105.87</v>
      </c>
      <c r="J7266">
        <v>0</v>
      </c>
      <c r="K7266">
        <v>0</v>
      </c>
      <c r="L7266">
        <v>0</v>
      </c>
      <c r="M7266">
        <v>128</v>
      </c>
      <c r="N7266">
        <v>13550.99</v>
      </c>
      <c r="O7266">
        <v>105.87</v>
      </c>
    </row>
    <row r="7267" spans="1:15" x14ac:dyDescent="0.35">
      <c r="A7267" t="s">
        <v>7912</v>
      </c>
      <c r="B7267" t="s">
        <v>7913</v>
      </c>
      <c r="C7267" t="s">
        <v>1059</v>
      </c>
      <c r="D7267" t="s">
        <v>293</v>
      </c>
      <c r="E7267" t="s">
        <v>296</v>
      </c>
      <c r="F7267" t="s">
        <v>7915</v>
      </c>
      <c r="G7267">
        <v>313</v>
      </c>
      <c r="H7267">
        <v>36626.200000000004</v>
      </c>
      <c r="I7267">
        <v>117.02</v>
      </c>
      <c r="J7267">
        <v>0</v>
      </c>
      <c r="K7267">
        <v>0</v>
      </c>
      <c r="L7267">
        <v>0</v>
      </c>
      <c r="M7267">
        <v>313</v>
      </c>
      <c r="N7267">
        <v>36626.200000000004</v>
      </c>
      <c r="O7267">
        <v>117.02</v>
      </c>
    </row>
    <row r="7268" spans="1:15" x14ac:dyDescent="0.35">
      <c r="A7268" t="s">
        <v>7912</v>
      </c>
      <c r="B7268" t="s">
        <v>7913</v>
      </c>
      <c r="C7268" t="s">
        <v>1059</v>
      </c>
      <c r="D7268" t="s">
        <v>293</v>
      </c>
      <c r="E7268" t="s">
        <v>298</v>
      </c>
      <c r="F7268" t="s">
        <v>7916</v>
      </c>
      <c r="G7268">
        <v>226</v>
      </c>
      <c r="H7268">
        <v>29203.55</v>
      </c>
      <c r="I7268">
        <v>129.22</v>
      </c>
      <c r="J7268">
        <v>0</v>
      </c>
      <c r="K7268">
        <v>0</v>
      </c>
      <c r="L7268">
        <v>0</v>
      </c>
      <c r="M7268">
        <v>226</v>
      </c>
      <c r="N7268">
        <v>29203.55</v>
      </c>
      <c r="O7268">
        <v>129.22</v>
      </c>
    </row>
    <row r="7269" spans="1:15" x14ac:dyDescent="0.35">
      <c r="A7269" t="s">
        <v>7912</v>
      </c>
      <c r="B7269" t="s">
        <v>7913</v>
      </c>
      <c r="C7269" t="s">
        <v>1059</v>
      </c>
      <c r="D7269" t="s">
        <v>293</v>
      </c>
      <c r="E7269" t="s">
        <v>300</v>
      </c>
      <c r="F7269" t="s">
        <v>7917</v>
      </c>
      <c r="G7269">
        <v>32</v>
      </c>
      <c r="H7269">
        <v>4808.3700000000008</v>
      </c>
      <c r="I7269">
        <v>150.26</v>
      </c>
      <c r="J7269">
        <v>0</v>
      </c>
      <c r="K7269">
        <v>0</v>
      </c>
      <c r="L7269">
        <v>0</v>
      </c>
      <c r="M7269">
        <v>32</v>
      </c>
      <c r="N7269">
        <v>4808.3700000000008</v>
      </c>
      <c r="O7269">
        <v>150.26</v>
      </c>
    </row>
    <row r="7270" spans="1:15" x14ac:dyDescent="0.35">
      <c r="A7270" t="s">
        <v>7912</v>
      </c>
      <c r="B7270" t="s">
        <v>7913</v>
      </c>
      <c r="C7270" t="s">
        <v>1059</v>
      </c>
      <c r="D7270" t="s">
        <v>293</v>
      </c>
      <c r="E7270" t="s">
        <v>302</v>
      </c>
      <c r="F7270" t="s">
        <v>7918</v>
      </c>
      <c r="G7270">
        <v>2</v>
      </c>
      <c r="H7270">
        <v>365.22</v>
      </c>
      <c r="I7270">
        <v>182.61</v>
      </c>
      <c r="J7270">
        <v>0</v>
      </c>
      <c r="K7270">
        <v>0</v>
      </c>
      <c r="L7270">
        <v>0</v>
      </c>
      <c r="M7270">
        <v>2</v>
      </c>
      <c r="N7270">
        <v>365.22</v>
      </c>
      <c r="O7270">
        <v>182.61</v>
      </c>
    </row>
    <row r="7271" spans="1:15" x14ac:dyDescent="0.35">
      <c r="A7271" t="s">
        <v>7912</v>
      </c>
      <c r="B7271" t="s">
        <v>7913</v>
      </c>
      <c r="C7271" t="s">
        <v>1059</v>
      </c>
      <c r="D7271" t="s">
        <v>293</v>
      </c>
      <c r="E7271" t="s">
        <v>304</v>
      </c>
      <c r="F7271" t="s">
        <v>7919</v>
      </c>
      <c r="G7271">
        <v>0</v>
      </c>
      <c r="H7271">
        <v>0</v>
      </c>
      <c r="I7271">
        <v>0</v>
      </c>
      <c r="J7271">
        <v>0</v>
      </c>
      <c r="K7271">
        <v>0</v>
      </c>
      <c r="L7271">
        <v>0</v>
      </c>
      <c r="M7271">
        <v>0</v>
      </c>
      <c r="N7271">
        <v>0</v>
      </c>
      <c r="O7271">
        <v>0</v>
      </c>
    </row>
    <row r="7272" spans="1:15" x14ac:dyDescent="0.35">
      <c r="A7272" t="s">
        <v>7912</v>
      </c>
      <c r="B7272" t="s">
        <v>7913</v>
      </c>
      <c r="C7272" t="s">
        <v>1059</v>
      </c>
      <c r="D7272" t="s">
        <v>293</v>
      </c>
      <c r="E7272" t="s">
        <v>306</v>
      </c>
      <c r="F7272" t="s">
        <v>7920</v>
      </c>
      <c r="G7272">
        <v>0</v>
      </c>
      <c r="H7272">
        <v>0</v>
      </c>
      <c r="I7272">
        <v>0</v>
      </c>
      <c r="J7272">
        <v>0</v>
      </c>
      <c r="K7272">
        <v>0</v>
      </c>
      <c r="L7272">
        <v>0</v>
      </c>
      <c r="M7272">
        <v>0</v>
      </c>
      <c r="N7272">
        <v>0</v>
      </c>
      <c r="O7272">
        <v>0</v>
      </c>
    </row>
    <row r="7273" spans="1:15" x14ac:dyDescent="0.35">
      <c r="A7273" t="s">
        <v>7912</v>
      </c>
      <c r="B7273" t="s">
        <v>7913</v>
      </c>
      <c r="C7273" t="s">
        <v>1059</v>
      </c>
      <c r="D7273" t="s">
        <v>293</v>
      </c>
      <c r="E7273" t="s">
        <v>308</v>
      </c>
      <c r="F7273" t="s">
        <v>7921</v>
      </c>
      <c r="G7273">
        <v>0</v>
      </c>
      <c r="H7273">
        <v>0</v>
      </c>
      <c r="I7273">
        <v>0</v>
      </c>
      <c r="J7273">
        <v>0</v>
      </c>
      <c r="K7273">
        <v>0</v>
      </c>
      <c r="L7273">
        <v>0</v>
      </c>
      <c r="M7273">
        <v>0</v>
      </c>
      <c r="N7273">
        <v>0</v>
      </c>
      <c r="O7273">
        <v>0</v>
      </c>
    </row>
    <row r="7274" spans="1:15" x14ac:dyDescent="0.35">
      <c r="A7274" t="s">
        <v>7912</v>
      </c>
      <c r="B7274" t="s">
        <v>7913</v>
      </c>
      <c r="C7274" t="s">
        <v>1059</v>
      </c>
      <c r="D7274" t="s">
        <v>293</v>
      </c>
      <c r="E7274" t="s">
        <v>310</v>
      </c>
      <c r="F7274" t="s">
        <v>7922</v>
      </c>
      <c r="G7274">
        <v>701</v>
      </c>
      <c r="H7274">
        <v>84554.33</v>
      </c>
      <c r="I7274">
        <v>120.62</v>
      </c>
      <c r="J7274">
        <v>0</v>
      </c>
      <c r="K7274">
        <v>0</v>
      </c>
      <c r="L7274">
        <v>0</v>
      </c>
      <c r="M7274">
        <v>701</v>
      </c>
      <c r="N7274">
        <v>84554.33</v>
      </c>
      <c r="O7274">
        <v>120.62</v>
      </c>
    </row>
    <row r="7275" spans="1:15" x14ac:dyDescent="0.35">
      <c r="A7275" t="s">
        <v>7912</v>
      </c>
      <c r="B7275" t="s">
        <v>7913</v>
      </c>
      <c r="C7275" t="s">
        <v>1059</v>
      </c>
      <c r="D7275" t="s">
        <v>293</v>
      </c>
      <c r="E7275" t="s">
        <v>312</v>
      </c>
      <c r="F7275" t="s">
        <v>7923</v>
      </c>
      <c r="G7275">
        <v>701</v>
      </c>
      <c r="H7275">
        <v>84554.33</v>
      </c>
      <c r="I7275">
        <v>120.62</v>
      </c>
      <c r="J7275">
        <v>0</v>
      </c>
      <c r="K7275">
        <v>0</v>
      </c>
      <c r="L7275">
        <v>0</v>
      </c>
      <c r="M7275">
        <v>701</v>
      </c>
      <c r="N7275">
        <v>84554.33</v>
      </c>
      <c r="O7275">
        <v>120.62</v>
      </c>
    </row>
    <row r="7276" spans="1:15" x14ac:dyDescent="0.35">
      <c r="A7276" t="s">
        <v>7912</v>
      </c>
      <c r="B7276" t="s">
        <v>7913</v>
      </c>
      <c r="C7276" t="s">
        <v>1059</v>
      </c>
      <c r="D7276" t="s">
        <v>314</v>
      </c>
      <c r="E7276" t="s">
        <v>294</v>
      </c>
      <c r="F7276" t="s">
        <v>7924</v>
      </c>
      <c r="G7276">
        <v>34</v>
      </c>
      <c r="H7276">
        <v>9282.6</v>
      </c>
      <c r="I7276">
        <v>273.02</v>
      </c>
      <c r="J7276">
        <v>0</v>
      </c>
      <c r="K7276">
        <v>0</v>
      </c>
      <c r="L7276">
        <v>0</v>
      </c>
      <c r="M7276">
        <v>34</v>
      </c>
      <c r="N7276">
        <v>9282.6</v>
      </c>
      <c r="O7276">
        <v>273.02</v>
      </c>
    </row>
    <row r="7277" spans="1:15" x14ac:dyDescent="0.35">
      <c r="A7277" t="s">
        <v>7912</v>
      </c>
      <c r="B7277" t="s">
        <v>7913</v>
      </c>
      <c r="C7277" t="s">
        <v>1059</v>
      </c>
      <c r="D7277" t="s">
        <v>314</v>
      </c>
      <c r="E7277" t="s">
        <v>296</v>
      </c>
      <c r="F7277" t="s">
        <v>7925</v>
      </c>
      <c r="G7277">
        <v>38</v>
      </c>
      <c r="H7277">
        <v>12856.179999999998</v>
      </c>
      <c r="I7277">
        <v>338.32</v>
      </c>
      <c r="J7277">
        <v>0</v>
      </c>
      <c r="K7277">
        <v>0</v>
      </c>
      <c r="L7277">
        <v>0</v>
      </c>
      <c r="M7277">
        <v>38</v>
      </c>
      <c r="N7277">
        <v>12856.179999999998</v>
      </c>
      <c r="O7277">
        <v>338.32</v>
      </c>
    </row>
    <row r="7278" spans="1:15" x14ac:dyDescent="0.35">
      <c r="A7278" t="s">
        <v>7912</v>
      </c>
      <c r="B7278" t="s">
        <v>7913</v>
      </c>
      <c r="C7278" t="s">
        <v>1059</v>
      </c>
      <c r="D7278" t="s">
        <v>314</v>
      </c>
      <c r="E7278" t="s">
        <v>298</v>
      </c>
      <c r="F7278" t="s">
        <v>7926</v>
      </c>
      <c r="G7278">
        <v>0</v>
      </c>
      <c r="H7278">
        <v>0</v>
      </c>
      <c r="I7278">
        <v>0</v>
      </c>
      <c r="J7278">
        <v>0</v>
      </c>
      <c r="K7278">
        <v>0</v>
      </c>
      <c r="L7278">
        <v>0</v>
      </c>
      <c r="M7278">
        <v>0</v>
      </c>
      <c r="N7278">
        <v>0</v>
      </c>
      <c r="O7278">
        <v>0</v>
      </c>
    </row>
    <row r="7279" spans="1:15" x14ac:dyDescent="0.35">
      <c r="A7279" t="s">
        <v>7912</v>
      </c>
      <c r="B7279" t="s">
        <v>7913</v>
      </c>
      <c r="C7279" t="s">
        <v>1059</v>
      </c>
      <c r="D7279" t="s">
        <v>314</v>
      </c>
      <c r="E7279" t="s">
        <v>300</v>
      </c>
      <c r="F7279" t="s">
        <v>7927</v>
      </c>
      <c r="G7279">
        <v>0</v>
      </c>
      <c r="H7279">
        <v>0</v>
      </c>
      <c r="I7279">
        <v>0</v>
      </c>
      <c r="J7279">
        <v>0</v>
      </c>
      <c r="K7279">
        <v>0</v>
      </c>
      <c r="L7279">
        <v>0</v>
      </c>
      <c r="M7279">
        <v>0</v>
      </c>
      <c r="N7279">
        <v>0</v>
      </c>
      <c r="O7279">
        <v>0</v>
      </c>
    </row>
    <row r="7280" spans="1:15" x14ac:dyDescent="0.35">
      <c r="A7280" t="s">
        <v>7912</v>
      </c>
      <c r="B7280" t="s">
        <v>7913</v>
      </c>
      <c r="C7280" t="s">
        <v>1059</v>
      </c>
      <c r="D7280" t="s">
        <v>314</v>
      </c>
      <c r="E7280" t="s">
        <v>306</v>
      </c>
      <c r="F7280" t="s">
        <v>7928</v>
      </c>
      <c r="G7280">
        <v>0</v>
      </c>
      <c r="H7280">
        <v>0</v>
      </c>
      <c r="I7280">
        <v>0</v>
      </c>
      <c r="J7280">
        <v>0</v>
      </c>
      <c r="K7280">
        <v>0</v>
      </c>
      <c r="L7280">
        <v>0</v>
      </c>
      <c r="M7280">
        <v>0</v>
      </c>
      <c r="N7280">
        <v>0</v>
      </c>
      <c r="O7280">
        <v>0</v>
      </c>
    </row>
    <row r="7281" spans="1:15" x14ac:dyDescent="0.35">
      <c r="A7281" t="s">
        <v>7912</v>
      </c>
      <c r="B7281" t="s">
        <v>7913</v>
      </c>
      <c r="C7281" t="s">
        <v>1059</v>
      </c>
      <c r="D7281" t="s">
        <v>314</v>
      </c>
      <c r="E7281" t="s">
        <v>308</v>
      </c>
      <c r="F7281" t="s">
        <v>7929</v>
      </c>
      <c r="G7281">
        <v>0</v>
      </c>
      <c r="H7281">
        <v>0</v>
      </c>
      <c r="I7281">
        <v>0</v>
      </c>
      <c r="J7281">
        <v>0</v>
      </c>
      <c r="K7281">
        <v>0</v>
      </c>
      <c r="L7281">
        <v>0</v>
      </c>
      <c r="M7281">
        <v>0</v>
      </c>
      <c r="N7281">
        <v>0</v>
      </c>
      <c r="O7281">
        <v>0</v>
      </c>
    </row>
    <row r="7282" spans="1:15" x14ac:dyDescent="0.35">
      <c r="A7282" t="s">
        <v>7912</v>
      </c>
      <c r="B7282" t="s">
        <v>7913</v>
      </c>
      <c r="C7282" t="s">
        <v>1059</v>
      </c>
      <c r="D7282" t="s">
        <v>314</v>
      </c>
      <c r="E7282" t="s">
        <v>312</v>
      </c>
      <c r="F7282" t="s">
        <v>7930</v>
      </c>
      <c r="G7282">
        <v>72</v>
      </c>
      <c r="H7282">
        <v>22138.78</v>
      </c>
      <c r="I7282">
        <v>307.48</v>
      </c>
      <c r="J7282">
        <v>0</v>
      </c>
      <c r="K7282">
        <v>0</v>
      </c>
      <c r="L7282">
        <v>0</v>
      </c>
      <c r="M7282">
        <v>72</v>
      </c>
      <c r="N7282">
        <v>22138.78</v>
      </c>
      <c r="O7282">
        <v>307.48</v>
      </c>
    </row>
    <row r="7283" spans="1:15" x14ac:dyDescent="0.35">
      <c r="A7283" t="s">
        <v>7912</v>
      </c>
      <c r="B7283" t="s">
        <v>7913</v>
      </c>
      <c r="C7283" t="s">
        <v>1059</v>
      </c>
      <c r="D7283" t="s">
        <v>314</v>
      </c>
      <c r="E7283" t="s">
        <v>310</v>
      </c>
      <c r="F7283" t="s">
        <v>7931</v>
      </c>
      <c r="G7283">
        <v>72</v>
      </c>
      <c r="H7283">
        <v>22138.78</v>
      </c>
      <c r="I7283">
        <v>307.48</v>
      </c>
      <c r="J7283">
        <v>0</v>
      </c>
      <c r="K7283">
        <v>0</v>
      </c>
      <c r="L7283">
        <v>0</v>
      </c>
      <c r="M7283">
        <v>72</v>
      </c>
      <c r="N7283">
        <v>22138.78</v>
      </c>
      <c r="O7283">
        <v>307.48</v>
      </c>
    </row>
    <row r="7284" spans="1:15" x14ac:dyDescent="0.35">
      <c r="A7284" t="s">
        <v>7912</v>
      </c>
      <c r="B7284" t="s">
        <v>7913</v>
      </c>
      <c r="C7284" t="s">
        <v>1059</v>
      </c>
      <c r="D7284" t="s">
        <v>323</v>
      </c>
      <c r="E7284" t="s">
        <v>294</v>
      </c>
      <c r="F7284" t="s">
        <v>7932</v>
      </c>
      <c r="G7284">
        <v>2410</v>
      </c>
      <c r="H7284">
        <v>207743.62</v>
      </c>
      <c r="I7284">
        <v>86.2</v>
      </c>
      <c r="J7284">
        <v>0</v>
      </c>
      <c r="K7284">
        <v>0</v>
      </c>
      <c r="L7284">
        <v>0</v>
      </c>
      <c r="M7284">
        <v>2410</v>
      </c>
      <c r="N7284">
        <v>207743.62</v>
      </c>
      <c r="O7284">
        <v>86.2</v>
      </c>
    </row>
    <row r="7285" spans="1:15" x14ac:dyDescent="0.35">
      <c r="A7285" t="s">
        <v>7912</v>
      </c>
      <c r="B7285" t="s">
        <v>7913</v>
      </c>
      <c r="C7285" t="s">
        <v>1059</v>
      </c>
      <c r="D7285" t="s">
        <v>323</v>
      </c>
      <c r="E7285" t="s">
        <v>296</v>
      </c>
      <c r="F7285" t="s">
        <v>7933</v>
      </c>
      <c r="G7285">
        <v>2912</v>
      </c>
      <c r="H7285">
        <v>282206.14</v>
      </c>
      <c r="I7285">
        <v>96.91</v>
      </c>
      <c r="J7285">
        <v>0</v>
      </c>
      <c r="K7285">
        <v>0</v>
      </c>
      <c r="L7285">
        <v>0</v>
      </c>
      <c r="M7285">
        <v>2912</v>
      </c>
      <c r="N7285">
        <v>282206.14</v>
      </c>
      <c r="O7285">
        <v>96.91</v>
      </c>
    </row>
    <row r="7286" spans="1:15" x14ac:dyDescent="0.35">
      <c r="A7286" t="s">
        <v>7912</v>
      </c>
      <c r="B7286" t="s">
        <v>7913</v>
      </c>
      <c r="C7286" t="s">
        <v>1059</v>
      </c>
      <c r="D7286" t="s">
        <v>323</v>
      </c>
      <c r="E7286" t="s">
        <v>298</v>
      </c>
      <c r="F7286" t="s">
        <v>7934</v>
      </c>
      <c r="G7286">
        <v>2446</v>
      </c>
      <c r="H7286">
        <v>256646.56999999998</v>
      </c>
      <c r="I7286">
        <v>104.93</v>
      </c>
      <c r="J7286">
        <v>0</v>
      </c>
      <c r="K7286">
        <v>0</v>
      </c>
      <c r="L7286">
        <v>0</v>
      </c>
      <c r="M7286">
        <v>2446</v>
      </c>
      <c r="N7286">
        <v>256646.56999999998</v>
      </c>
      <c r="O7286">
        <v>104.93</v>
      </c>
    </row>
    <row r="7287" spans="1:15" x14ac:dyDescent="0.35">
      <c r="A7287" t="s">
        <v>7912</v>
      </c>
      <c r="B7287" t="s">
        <v>7913</v>
      </c>
      <c r="C7287" t="s">
        <v>1059</v>
      </c>
      <c r="D7287" t="s">
        <v>323</v>
      </c>
      <c r="E7287" t="s">
        <v>300</v>
      </c>
      <c r="F7287" t="s">
        <v>7935</v>
      </c>
      <c r="G7287">
        <v>135</v>
      </c>
      <c r="H7287">
        <v>15336.39</v>
      </c>
      <c r="I7287">
        <v>113.6</v>
      </c>
      <c r="J7287">
        <v>0</v>
      </c>
      <c r="K7287">
        <v>0</v>
      </c>
      <c r="L7287">
        <v>0</v>
      </c>
      <c r="M7287">
        <v>135</v>
      </c>
      <c r="N7287">
        <v>15336.39</v>
      </c>
      <c r="O7287">
        <v>113.6</v>
      </c>
    </row>
    <row r="7288" spans="1:15" x14ac:dyDescent="0.35">
      <c r="A7288" t="s">
        <v>7912</v>
      </c>
      <c r="B7288" t="s">
        <v>7913</v>
      </c>
      <c r="C7288" t="s">
        <v>1059</v>
      </c>
      <c r="D7288" t="s">
        <v>323</v>
      </c>
      <c r="E7288" t="s">
        <v>302</v>
      </c>
      <c r="F7288" t="s">
        <v>7936</v>
      </c>
      <c r="G7288">
        <v>2</v>
      </c>
      <c r="H7288">
        <v>289.3</v>
      </c>
      <c r="I7288">
        <v>144.65</v>
      </c>
      <c r="J7288">
        <v>0</v>
      </c>
      <c r="K7288">
        <v>0</v>
      </c>
      <c r="L7288">
        <v>0</v>
      </c>
      <c r="M7288">
        <v>2</v>
      </c>
      <c r="N7288">
        <v>289.3</v>
      </c>
      <c r="O7288">
        <v>144.65</v>
      </c>
    </row>
    <row r="7289" spans="1:15" x14ac:dyDescent="0.35">
      <c r="A7289" t="s">
        <v>7912</v>
      </c>
      <c r="B7289" t="s">
        <v>7913</v>
      </c>
      <c r="C7289" t="s">
        <v>1059</v>
      </c>
      <c r="D7289" t="s">
        <v>323</v>
      </c>
      <c r="E7289" t="s">
        <v>304</v>
      </c>
      <c r="F7289" t="s">
        <v>7937</v>
      </c>
      <c r="G7289">
        <v>0</v>
      </c>
      <c r="H7289">
        <v>0</v>
      </c>
      <c r="I7289">
        <v>0</v>
      </c>
      <c r="J7289">
        <v>0</v>
      </c>
      <c r="K7289">
        <v>0</v>
      </c>
      <c r="L7289">
        <v>0</v>
      </c>
      <c r="M7289">
        <v>0</v>
      </c>
      <c r="N7289">
        <v>0</v>
      </c>
      <c r="O7289">
        <v>0</v>
      </c>
    </row>
    <row r="7290" spans="1:15" x14ac:dyDescent="0.35">
      <c r="A7290" t="s">
        <v>7912</v>
      </c>
      <c r="B7290" t="s">
        <v>7913</v>
      </c>
      <c r="C7290" t="s">
        <v>1059</v>
      </c>
      <c r="D7290" t="s">
        <v>323</v>
      </c>
      <c r="E7290" t="s">
        <v>306</v>
      </c>
      <c r="F7290" t="s">
        <v>7938</v>
      </c>
      <c r="G7290">
        <v>11</v>
      </c>
      <c r="H7290">
        <v>874.19999999999993</v>
      </c>
      <c r="I7290">
        <v>79.47</v>
      </c>
      <c r="J7290">
        <v>0</v>
      </c>
      <c r="K7290">
        <v>0</v>
      </c>
      <c r="L7290">
        <v>0</v>
      </c>
      <c r="M7290">
        <v>11</v>
      </c>
      <c r="N7290">
        <v>874.19999999999993</v>
      </c>
      <c r="O7290">
        <v>79.47</v>
      </c>
    </row>
    <row r="7291" spans="1:15" x14ac:dyDescent="0.35">
      <c r="A7291" t="s">
        <v>7912</v>
      </c>
      <c r="B7291" t="s">
        <v>7913</v>
      </c>
      <c r="C7291" t="s">
        <v>1059</v>
      </c>
      <c r="D7291" t="s">
        <v>323</v>
      </c>
      <c r="E7291" t="s">
        <v>308</v>
      </c>
      <c r="F7291" t="s">
        <v>7939</v>
      </c>
      <c r="G7291">
        <v>0</v>
      </c>
      <c r="H7291">
        <v>0</v>
      </c>
      <c r="I7291">
        <v>0</v>
      </c>
      <c r="J7291">
        <v>0</v>
      </c>
      <c r="K7291">
        <v>0</v>
      </c>
      <c r="L7291">
        <v>0</v>
      </c>
      <c r="M7291">
        <v>0</v>
      </c>
      <c r="N7291">
        <v>0</v>
      </c>
      <c r="O7291">
        <v>0</v>
      </c>
    </row>
    <row r="7292" spans="1:15" x14ac:dyDescent="0.35">
      <c r="A7292" t="s">
        <v>7912</v>
      </c>
      <c r="B7292" t="s">
        <v>7913</v>
      </c>
      <c r="C7292" t="s">
        <v>1059</v>
      </c>
      <c r="D7292" t="s">
        <v>323</v>
      </c>
      <c r="E7292" t="s">
        <v>310</v>
      </c>
      <c r="F7292" t="s">
        <v>7940</v>
      </c>
      <c r="G7292">
        <v>7916</v>
      </c>
      <c r="H7292">
        <v>763096.22</v>
      </c>
      <c r="I7292">
        <v>96.4</v>
      </c>
      <c r="J7292">
        <v>0</v>
      </c>
      <c r="K7292">
        <v>0</v>
      </c>
      <c r="L7292">
        <v>0</v>
      </c>
      <c r="M7292">
        <v>7916</v>
      </c>
      <c r="N7292">
        <v>763096.22</v>
      </c>
      <c r="O7292">
        <v>96.4</v>
      </c>
    </row>
    <row r="7293" spans="1:15" x14ac:dyDescent="0.35">
      <c r="A7293" t="s">
        <v>7912</v>
      </c>
      <c r="B7293" t="s">
        <v>7913</v>
      </c>
      <c r="C7293" t="s">
        <v>1059</v>
      </c>
      <c r="D7293" t="s">
        <v>323</v>
      </c>
      <c r="E7293" t="s">
        <v>312</v>
      </c>
      <c r="F7293" t="s">
        <v>7941</v>
      </c>
      <c r="G7293">
        <v>7916</v>
      </c>
      <c r="H7293">
        <v>763096.22</v>
      </c>
      <c r="I7293">
        <v>96.4</v>
      </c>
      <c r="J7293">
        <v>0</v>
      </c>
      <c r="K7293">
        <v>0</v>
      </c>
      <c r="L7293">
        <v>0</v>
      </c>
      <c r="M7293">
        <v>7916</v>
      </c>
      <c r="N7293">
        <v>763096.22</v>
      </c>
      <c r="O7293">
        <v>96.4</v>
      </c>
    </row>
    <row r="7294" spans="1:15" x14ac:dyDescent="0.35">
      <c r="A7294" t="s">
        <v>7912</v>
      </c>
      <c r="B7294" t="s">
        <v>7913</v>
      </c>
      <c r="C7294" t="s">
        <v>1059</v>
      </c>
      <c r="D7294" t="s">
        <v>334</v>
      </c>
      <c r="E7294" t="s">
        <v>312</v>
      </c>
      <c r="F7294" t="s">
        <v>7942</v>
      </c>
      <c r="G7294">
        <v>8655</v>
      </c>
      <c r="H7294">
        <v>847650.55</v>
      </c>
      <c r="I7294">
        <v>98.37</v>
      </c>
      <c r="J7294">
        <v>0</v>
      </c>
      <c r="K7294">
        <v>0</v>
      </c>
      <c r="L7294">
        <v>0</v>
      </c>
      <c r="M7294">
        <v>8655</v>
      </c>
      <c r="N7294">
        <v>847650.55</v>
      </c>
      <c r="O7294">
        <v>98.37</v>
      </c>
    </row>
    <row r="7295" spans="1:15" x14ac:dyDescent="0.35">
      <c r="A7295" t="s">
        <v>7912</v>
      </c>
      <c r="B7295" t="s">
        <v>7913</v>
      </c>
      <c r="C7295" t="s">
        <v>1059</v>
      </c>
      <c r="D7295" t="s">
        <v>334</v>
      </c>
      <c r="E7295" t="s">
        <v>308</v>
      </c>
      <c r="F7295" t="s">
        <v>7943</v>
      </c>
      <c r="G7295">
        <v>10</v>
      </c>
      <c r="H7295">
        <v>0</v>
      </c>
      <c r="I7295">
        <v>0</v>
      </c>
      <c r="J7295">
        <v>0</v>
      </c>
      <c r="K7295">
        <v>0</v>
      </c>
      <c r="L7295">
        <v>0</v>
      </c>
      <c r="M7295">
        <v>10</v>
      </c>
      <c r="N7295">
        <v>0</v>
      </c>
      <c r="O7295">
        <v>0</v>
      </c>
    </row>
    <row r="7296" spans="1:15" x14ac:dyDescent="0.35">
      <c r="A7296" t="s">
        <v>7912</v>
      </c>
      <c r="B7296" t="s">
        <v>7913</v>
      </c>
      <c r="C7296" t="s">
        <v>1059</v>
      </c>
      <c r="D7296" t="s">
        <v>337</v>
      </c>
      <c r="E7296" t="s">
        <v>337</v>
      </c>
      <c r="F7296" t="s">
        <v>7944</v>
      </c>
      <c r="G7296">
        <v>303</v>
      </c>
      <c r="J7296">
        <v>0</v>
      </c>
      <c r="M7296">
        <v>303</v>
      </c>
    </row>
    <row r="7297" spans="1:15" x14ac:dyDescent="0.35">
      <c r="A7297" t="s">
        <v>7912</v>
      </c>
      <c r="B7297" t="s">
        <v>7913</v>
      </c>
      <c r="C7297" t="s">
        <v>1059</v>
      </c>
      <c r="D7297" t="s">
        <v>339</v>
      </c>
      <c r="E7297" t="s">
        <v>294</v>
      </c>
      <c r="F7297" t="s">
        <v>7945</v>
      </c>
      <c r="G7297">
        <v>592</v>
      </c>
      <c r="H7297">
        <v>58031.520000000004</v>
      </c>
      <c r="I7297">
        <v>98.03</v>
      </c>
      <c r="J7297">
        <v>0</v>
      </c>
      <c r="K7297">
        <v>0</v>
      </c>
      <c r="L7297">
        <v>0</v>
      </c>
      <c r="M7297">
        <v>592</v>
      </c>
      <c r="N7297">
        <v>58031.520000000004</v>
      </c>
      <c r="O7297">
        <v>98.03</v>
      </c>
    </row>
    <row r="7298" spans="1:15" x14ac:dyDescent="0.35">
      <c r="A7298" t="s">
        <v>7912</v>
      </c>
      <c r="B7298" t="s">
        <v>7913</v>
      </c>
      <c r="C7298" t="s">
        <v>1059</v>
      </c>
      <c r="D7298" t="s">
        <v>339</v>
      </c>
      <c r="E7298" t="s">
        <v>296</v>
      </c>
      <c r="F7298" t="s">
        <v>7946</v>
      </c>
      <c r="G7298">
        <v>137</v>
      </c>
      <c r="H7298">
        <v>17322.16</v>
      </c>
      <c r="I7298">
        <v>126.44</v>
      </c>
      <c r="J7298">
        <v>0</v>
      </c>
      <c r="K7298">
        <v>0</v>
      </c>
      <c r="L7298">
        <v>0</v>
      </c>
      <c r="M7298">
        <v>137</v>
      </c>
      <c r="N7298">
        <v>17322.16</v>
      </c>
      <c r="O7298">
        <v>126.44</v>
      </c>
    </row>
    <row r="7299" spans="1:15" x14ac:dyDescent="0.35">
      <c r="A7299" t="s">
        <v>7912</v>
      </c>
      <c r="B7299" t="s">
        <v>7913</v>
      </c>
      <c r="C7299" t="s">
        <v>1059</v>
      </c>
      <c r="D7299" t="s">
        <v>339</v>
      </c>
      <c r="E7299" t="s">
        <v>298</v>
      </c>
      <c r="F7299" t="s">
        <v>7947</v>
      </c>
      <c r="G7299">
        <v>3</v>
      </c>
      <c r="H7299">
        <v>350.94</v>
      </c>
      <c r="I7299">
        <v>116.98</v>
      </c>
      <c r="J7299">
        <v>0</v>
      </c>
      <c r="K7299">
        <v>0</v>
      </c>
      <c r="L7299">
        <v>0</v>
      </c>
      <c r="M7299">
        <v>3</v>
      </c>
      <c r="N7299">
        <v>350.94</v>
      </c>
      <c r="O7299">
        <v>116.98</v>
      </c>
    </row>
    <row r="7300" spans="1:15" x14ac:dyDescent="0.35">
      <c r="A7300" t="s">
        <v>7912</v>
      </c>
      <c r="B7300" t="s">
        <v>7913</v>
      </c>
      <c r="C7300" t="s">
        <v>1059</v>
      </c>
      <c r="D7300" t="s">
        <v>339</v>
      </c>
      <c r="E7300" t="s">
        <v>300</v>
      </c>
      <c r="F7300" t="s">
        <v>7948</v>
      </c>
      <c r="G7300">
        <v>0</v>
      </c>
      <c r="H7300">
        <v>0</v>
      </c>
      <c r="I7300">
        <v>0</v>
      </c>
      <c r="J7300">
        <v>0</v>
      </c>
      <c r="K7300">
        <v>0</v>
      </c>
      <c r="L7300">
        <v>0</v>
      </c>
      <c r="M7300">
        <v>0</v>
      </c>
      <c r="N7300">
        <v>0</v>
      </c>
      <c r="O7300">
        <v>0</v>
      </c>
    </row>
    <row r="7301" spans="1:15" x14ac:dyDescent="0.35">
      <c r="A7301" t="s">
        <v>7912</v>
      </c>
      <c r="B7301" t="s">
        <v>7913</v>
      </c>
      <c r="C7301" t="s">
        <v>1059</v>
      </c>
      <c r="D7301" t="s">
        <v>339</v>
      </c>
      <c r="E7301" t="s">
        <v>306</v>
      </c>
      <c r="F7301" t="s">
        <v>7949</v>
      </c>
      <c r="G7301">
        <v>30</v>
      </c>
      <c r="H7301">
        <v>2549.1600000000003</v>
      </c>
      <c r="I7301">
        <v>84.97</v>
      </c>
      <c r="J7301">
        <v>0</v>
      </c>
      <c r="K7301">
        <v>0</v>
      </c>
      <c r="L7301">
        <v>0</v>
      </c>
      <c r="M7301">
        <v>30</v>
      </c>
      <c r="N7301">
        <v>2549.1600000000003</v>
      </c>
      <c r="O7301">
        <v>84.97</v>
      </c>
    </row>
    <row r="7302" spans="1:15" x14ac:dyDescent="0.35">
      <c r="A7302" t="s">
        <v>7912</v>
      </c>
      <c r="B7302" t="s">
        <v>7913</v>
      </c>
      <c r="C7302" t="s">
        <v>1059</v>
      </c>
      <c r="D7302" t="s">
        <v>339</v>
      </c>
      <c r="E7302" t="s">
        <v>308</v>
      </c>
      <c r="F7302" t="s">
        <v>7950</v>
      </c>
      <c r="G7302">
        <v>18</v>
      </c>
      <c r="H7302">
        <v>2760.21</v>
      </c>
      <c r="I7302">
        <v>153.35</v>
      </c>
      <c r="J7302">
        <v>0</v>
      </c>
      <c r="K7302">
        <v>0</v>
      </c>
      <c r="L7302">
        <v>0</v>
      </c>
      <c r="M7302">
        <v>18</v>
      </c>
      <c r="N7302">
        <v>2760.21</v>
      </c>
      <c r="O7302">
        <v>153.35</v>
      </c>
    </row>
    <row r="7303" spans="1:15" x14ac:dyDescent="0.35">
      <c r="A7303" t="s">
        <v>7912</v>
      </c>
      <c r="B7303" t="s">
        <v>7913</v>
      </c>
      <c r="C7303" t="s">
        <v>1059</v>
      </c>
      <c r="D7303" t="s">
        <v>339</v>
      </c>
      <c r="E7303" t="s">
        <v>310</v>
      </c>
      <c r="F7303" t="s">
        <v>7951</v>
      </c>
      <c r="G7303">
        <v>780</v>
      </c>
      <c r="H7303">
        <v>81013.99000000002</v>
      </c>
      <c r="I7303">
        <v>103.86</v>
      </c>
      <c r="J7303">
        <v>0</v>
      </c>
      <c r="K7303">
        <v>0</v>
      </c>
      <c r="L7303">
        <v>0</v>
      </c>
      <c r="M7303">
        <v>780</v>
      </c>
      <c r="N7303">
        <v>81013.99000000002</v>
      </c>
      <c r="O7303">
        <v>103.86</v>
      </c>
    </row>
    <row r="7304" spans="1:15" x14ac:dyDescent="0.35">
      <c r="A7304" t="s">
        <v>7912</v>
      </c>
      <c r="B7304" t="s">
        <v>7913</v>
      </c>
      <c r="C7304" t="s">
        <v>1059</v>
      </c>
      <c r="D7304" t="s">
        <v>339</v>
      </c>
      <c r="E7304" t="s">
        <v>312</v>
      </c>
      <c r="F7304" t="s">
        <v>7952</v>
      </c>
      <c r="G7304">
        <v>762</v>
      </c>
      <c r="H7304">
        <v>78253.780000000013</v>
      </c>
      <c r="I7304">
        <v>102.7</v>
      </c>
      <c r="J7304">
        <v>0</v>
      </c>
      <c r="K7304">
        <v>0</v>
      </c>
      <c r="L7304">
        <v>0</v>
      </c>
      <c r="M7304">
        <v>762</v>
      </c>
      <c r="N7304">
        <v>78253.780000000013</v>
      </c>
      <c r="O7304">
        <v>102.7</v>
      </c>
    </row>
    <row r="7305" spans="1:15" x14ac:dyDescent="0.35">
      <c r="A7305" t="s">
        <v>7912</v>
      </c>
      <c r="B7305" t="s">
        <v>7913</v>
      </c>
      <c r="C7305" t="s">
        <v>1059</v>
      </c>
      <c r="D7305" t="s">
        <v>348</v>
      </c>
      <c r="E7305" t="s">
        <v>349</v>
      </c>
      <c r="F7305" t="s">
        <v>7953</v>
      </c>
      <c r="G7305">
        <v>937</v>
      </c>
      <c r="H7305">
        <v>103152.77000000002</v>
      </c>
      <c r="I7305">
        <v>121.07</v>
      </c>
      <c r="J7305">
        <v>0</v>
      </c>
      <c r="K7305">
        <v>0</v>
      </c>
      <c r="L7305">
        <v>0</v>
      </c>
      <c r="M7305">
        <v>937</v>
      </c>
      <c r="N7305">
        <v>103152.77000000002</v>
      </c>
      <c r="O7305">
        <v>121.07</v>
      </c>
    </row>
    <row r="7306" spans="1:15" x14ac:dyDescent="0.35">
      <c r="A7306" t="s">
        <v>7954</v>
      </c>
      <c r="B7306" t="s">
        <v>7955</v>
      </c>
      <c r="C7306" t="s">
        <v>1059</v>
      </c>
      <c r="D7306" t="s">
        <v>293</v>
      </c>
      <c r="E7306" t="s">
        <v>294</v>
      </c>
      <c r="F7306" t="s">
        <v>7956</v>
      </c>
      <c r="G7306">
        <v>11</v>
      </c>
      <c r="H7306">
        <v>1242.24</v>
      </c>
      <c r="I7306">
        <v>112.93</v>
      </c>
      <c r="J7306">
        <v>0</v>
      </c>
      <c r="K7306">
        <v>0</v>
      </c>
      <c r="L7306">
        <v>0</v>
      </c>
      <c r="M7306">
        <v>11</v>
      </c>
      <c r="N7306">
        <v>1242.24</v>
      </c>
      <c r="O7306">
        <v>112.93</v>
      </c>
    </row>
    <row r="7307" spans="1:15" x14ac:dyDescent="0.35">
      <c r="A7307" t="s">
        <v>7954</v>
      </c>
      <c r="B7307" t="s">
        <v>7955</v>
      </c>
      <c r="C7307" t="s">
        <v>1059</v>
      </c>
      <c r="D7307" t="s">
        <v>293</v>
      </c>
      <c r="E7307" t="s">
        <v>296</v>
      </c>
      <c r="F7307" t="s">
        <v>7957</v>
      </c>
      <c r="G7307">
        <v>89</v>
      </c>
      <c r="H7307">
        <v>11456.560000000001</v>
      </c>
      <c r="I7307">
        <v>128.72999999999999</v>
      </c>
      <c r="J7307">
        <v>0</v>
      </c>
      <c r="K7307">
        <v>0</v>
      </c>
      <c r="L7307">
        <v>0</v>
      </c>
      <c r="M7307">
        <v>89</v>
      </c>
      <c r="N7307">
        <v>11456.560000000001</v>
      </c>
      <c r="O7307">
        <v>128.72999999999999</v>
      </c>
    </row>
    <row r="7308" spans="1:15" x14ac:dyDescent="0.35">
      <c r="A7308" t="s">
        <v>7954</v>
      </c>
      <c r="B7308" t="s">
        <v>7955</v>
      </c>
      <c r="C7308" t="s">
        <v>1059</v>
      </c>
      <c r="D7308" t="s">
        <v>293</v>
      </c>
      <c r="E7308" t="s">
        <v>298</v>
      </c>
      <c r="F7308" t="s">
        <v>7958</v>
      </c>
      <c r="G7308">
        <v>31</v>
      </c>
      <c r="H7308">
        <v>4659.92</v>
      </c>
      <c r="I7308">
        <v>150.32</v>
      </c>
      <c r="J7308">
        <v>0</v>
      </c>
      <c r="K7308">
        <v>0</v>
      </c>
      <c r="L7308">
        <v>0</v>
      </c>
      <c r="M7308">
        <v>31</v>
      </c>
      <c r="N7308">
        <v>4659.92</v>
      </c>
      <c r="O7308">
        <v>150.32</v>
      </c>
    </row>
    <row r="7309" spans="1:15" x14ac:dyDescent="0.35">
      <c r="A7309" t="s">
        <v>7954</v>
      </c>
      <c r="B7309" t="s">
        <v>7955</v>
      </c>
      <c r="C7309" t="s">
        <v>1059</v>
      </c>
      <c r="D7309" t="s">
        <v>293</v>
      </c>
      <c r="E7309" t="s">
        <v>300</v>
      </c>
      <c r="F7309" t="s">
        <v>7959</v>
      </c>
      <c r="G7309">
        <v>0</v>
      </c>
      <c r="H7309">
        <v>0</v>
      </c>
      <c r="I7309">
        <v>0</v>
      </c>
      <c r="J7309">
        <v>0</v>
      </c>
      <c r="K7309">
        <v>0</v>
      </c>
      <c r="L7309">
        <v>0</v>
      </c>
      <c r="M7309">
        <v>0</v>
      </c>
      <c r="N7309">
        <v>0</v>
      </c>
      <c r="O7309">
        <v>0</v>
      </c>
    </row>
    <row r="7310" spans="1:15" x14ac:dyDescent="0.35">
      <c r="A7310" t="s">
        <v>7954</v>
      </c>
      <c r="B7310" t="s">
        <v>7955</v>
      </c>
      <c r="C7310" t="s">
        <v>1059</v>
      </c>
      <c r="D7310" t="s">
        <v>293</v>
      </c>
      <c r="E7310" t="s">
        <v>302</v>
      </c>
      <c r="F7310" t="s">
        <v>7960</v>
      </c>
      <c r="G7310">
        <v>0</v>
      </c>
      <c r="H7310">
        <v>0</v>
      </c>
      <c r="I7310">
        <v>0</v>
      </c>
      <c r="J7310">
        <v>0</v>
      </c>
      <c r="K7310">
        <v>0</v>
      </c>
      <c r="L7310">
        <v>0</v>
      </c>
      <c r="M7310">
        <v>0</v>
      </c>
      <c r="N7310">
        <v>0</v>
      </c>
      <c r="O7310">
        <v>0</v>
      </c>
    </row>
    <row r="7311" spans="1:15" x14ac:dyDescent="0.35">
      <c r="A7311" t="s">
        <v>7954</v>
      </c>
      <c r="B7311" t="s">
        <v>7955</v>
      </c>
      <c r="C7311" t="s">
        <v>1059</v>
      </c>
      <c r="D7311" t="s">
        <v>293</v>
      </c>
      <c r="E7311" t="s">
        <v>304</v>
      </c>
      <c r="F7311" t="s">
        <v>7961</v>
      </c>
      <c r="G7311">
        <v>0</v>
      </c>
      <c r="H7311">
        <v>0</v>
      </c>
      <c r="I7311">
        <v>0</v>
      </c>
      <c r="J7311">
        <v>0</v>
      </c>
      <c r="K7311">
        <v>0</v>
      </c>
      <c r="L7311">
        <v>0</v>
      </c>
      <c r="M7311">
        <v>0</v>
      </c>
      <c r="N7311">
        <v>0</v>
      </c>
      <c r="O7311">
        <v>0</v>
      </c>
    </row>
    <row r="7312" spans="1:15" x14ac:dyDescent="0.35">
      <c r="A7312" t="s">
        <v>7954</v>
      </c>
      <c r="B7312" t="s">
        <v>7955</v>
      </c>
      <c r="C7312" t="s">
        <v>1059</v>
      </c>
      <c r="D7312" t="s">
        <v>293</v>
      </c>
      <c r="E7312" t="s">
        <v>306</v>
      </c>
      <c r="F7312" t="s">
        <v>7962</v>
      </c>
      <c r="G7312">
        <v>0</v>
      </c>
      <c r="H7312">
        <v>0</v>
      </c>
      <c r="I7312">
        <v>0</v>
      </c>
      <c r="J7312">
        <v>0</v>
      </c>
      <c r="K7312">
        <v>0</v>
      </c>
      <c r="L7312">
        <v>0</v>
      </c>
      <c r="M7312">
        <v>0</v>
      </c>
      <c r="N7312">
        <v>0</v>
      </c>
      <c r="O7312">
        <v>0</v>
      </c>
    </row>
    <row r="7313" spans="1:15" x14ac:dyDescent="0.35">
      <c r="A7313" t="s">
        <v>7954</v>
      </c>
      <c r="B7313" t="s">
        <v>7955</v>
      </c>
      <c r="C7313" t="s">
        <v>1059</v>
      </c>
      <c r="D7313" t="s">
        <v>293</v>
      </c>
      <c r="E7313" t="s">
        <v>308</v>
      </c>
      <c r="F7313" t="s">
        <v>7963</v>
      </c>
      <c r="G7313">
        <v>0</v>
      </c>
      <c r="H7313">
        <v>0</v>
      </c>
      <c r="I7313">
        <v>0</v>
      </c>
      <c r="J7313">
        <v>0</v>
      </c>
      <c r="K7313">
        <v>0</v>
      </c>
      <c r="L7313">
        <v>0</v>
      </c>
      <c r="M7313">
        <v>0</v>
      </c>
      <c r="N7313">
        <v>0</v>
      </c>
      <c r="O7313">
        <v>0</v>
      </c>
    </row>
    <row r="7314" spans="1:15" x14ac:dyDescent="0.35">
      <c r="A7314" t="s">
        <v>7954</v>
      </c>
      <c r="B7314" t="s">
        <v>7955</v>
      </c>
      <c r="C7314" t="s">
        <v>1059</v>
      </c>
      <c r="D7314" t="s">
        <v>293</v>
      </c>
      <c r="E7314" t="s">
        <v>310</v>
      </c>
      <c r="F7314" t="s">
        <v>7964</v>
      </c>
      <c r="G7314">
        <v>131</v>
      </c>
      <c r="H7314">
        <v>17358.72</v>
      </c>
      <c r="I7314">
        <v>132.51</v>
      </c>
      <c r="J7314">
        <v>0</v>
      </c>
      <c r="K7314">
        <v>0</v>
      </c>
      <c r="L7314">
        <v>0</v>
      </c>
      <c r="M7314">
        <v>131</v>
      </c>
      <c r="N7314">
        <v>17358.72</v>
      </c>
      <c r="O7314">
        <v>132.51</v>
      </c>
    </row>
    <row r="7315" spans="1:15" x14ac:dyDescent="0.35">
      <c r="A7315" t="s">
        <v>7954</v>
      </c>
      <c r="B7315" t="s">
        <v>7955</v>
      </c>
      <c r="C7315" t="s">
        <v>1059</v>
      </c>
      <c r="D7315" t="s">
        <v>293</v>
      </c>
      <c r="E7315" t="s">
        <v>312</v>
      </c>
      <c r="F7315" t="s">
        <v>7965</v>
      </c>
      <c r="G7315">
        <v>131</v>
      </c>
      <c r="H7315">
        <v>17358.72</v>
      </c>
      <c r="I7315">
        <v>132.51</v>
      </c>
      <c r="J7315">
        <v>0</v>
      </c>
      <c r="K7315">
        <v>0</v>
      </c>
      <c r="L7315">
        <v>0</v>
      </c>
      <c r="M7315">
        <v>131</v>
      </c>
      <c r="N7315">
        <v>17358.72</v>
      </c>
      <c r="O7315">
        <v>132.51</v>
      </c>
    </row>
    <row r="7316" spans="1:15" x14ac:dyDescent="0.35">
      <c r="A7316" t="s">
        <v>7954</v>
      </c>
      <c r="B7316" t="s">
        <v>7955</v>
      </c>
      <c r="C7316" t="s">
        <v>1059</v>
      </c>
      <c r="D7316" t="s">
        <v>314</v>
      </c>
      <c r="E7316" t="s">
        <v>294</v>
      </c>
      <c r="F7316" t="s">
        <v>7966</v>
      </c>
      <c r="G7316">
        <v>67</v>
      </c>
      <c r="H7316">
        <v>13959.310000000001</v>
      </c>
      <c r="I7316">
        <v>208.35</v>
      </c>
      <c r="J7316">
        <v>0</v>
      </c>
      <c r="K7316">
        <v>0</v>
      </c>
      <c r="L7316">
        <v>0</v>
      </c>
      <c r="M7316">
        <v>67</v>
      </c>
      <c r="N7316">
        <v>13959.310000000001</v>
      </c>
      <c r="O7316">
        <v>208.35</v>
      </c>
    </row>
    <row r="7317" spans="1:15" x14ac:dyDescent="0.35">
      <c r="A7317" t="s">
        <v>7954</v>
      </c>
      <c r="B7317" t="s">
        <v>7955</v>
      </c>
      <c r="C7317" t="s">
        <v>1059</v>
      </c>
      <c r="D7317" t="s">
        <v>314</v>
      </c>
      <c r="E7317" t="s">
        <v>296</v>
      </c>
      <c r="F7317" t="s">
        <v>7967</v>
      </c>
      <c r="G7317">
        <v>72</v>
      </c>
      <c r="H7317">
        <v>18485.52</v>
      </c>
      <c r="I7317">
        <v>256.74</v>
      </c>
      <c r="J7317">
        <v>0</v>
      </c>
      <c r="K7317">
        <v>0</v>
      </c>
      <c r="L7317">
        <v>0</v>
      </c>
      <c r="M7317">
        <v>72</v>
      </c>
      <c r="N7317">
        <v>18485.52</v>
      </c>
      <c r="O7317">
        <v>256.74</v>
      </c>
    </row>
    <row r="7318" spans="1:15" x14ac:dyDescent="0.35">
      <c r="A7318" t="s">
        <v>7954</v>
      </c>
      <c r="B7318" t="s">
        <v>7955</v>
      </c>
      <c r="C7318" t="s">
        <v>1059</v>
      </c>
      <c r="D7318" t="s">
        <v>314</v>
      </c>
      <c r="E7318" t="s">
        <v>298</v>
      </c>
      <c r="F7318" t="s">
        <v>7968</v>
      </c>
      <c r="G7318">
        <v>0</v>
      </c>
      <c r="H7318">
        <v>0</v>
      </c>
      <c r="I7318">
        <v>0</v>
      </c>
      <c r="J7318">
        <v>0</v>
      </c>
      <c r="K7318">
        <v>0</v>
      </c>
      <c r="L7318">
        <v>0</v>
      </c>
      <c r="M7318">
        <v>0</v>
      </c>
      <c r="N7318">
        <v>0</v>
      </c>
      <c r="O7318">
        <v>0</v>
      </c>
    </row>
    <row r="7319" spans="1:15" x14ac:dyDescent="0.35">
      <c r="A7319" t="s">
        <v>7954</v>
      </c>
      <c r="B7319" t="s">
        <v>7955</v>
      </c>
      <c r="C7319" t="s">
        <v>1059</v>
      </c>
      <c r="D7319" t="s">
        <v>314</v>
      </c>
      <c r="E7319" t="s">
        <v>300</v>
      </c>
      <c r="F7319" t="s">
        <v>7969</v>
      </c>
      <c r="G7319">
        <v>0</v>
      </c>
      <c r="H7319">
        <v>0</v>
      </c>
      <c r="I7319">
        <v>0</v>
      </c>
      <c r="J7319">
        <v>0</v>
      </c>
      <c r="K7319">
        <v>0</v>
      </c>
      <c r="L7319">
        <v>0</v>
      </c>
      <c r="M7319">
        <v>0</v>
      </c>
      <c r="N7319">
        <v>0</v>
      </c>
      <c r="O7319">
        <v>0</v>
      </c>
    </row>
    <row r="7320" spans="1:15" x14ac:dyDescent="0.35">
      <c r="A7320" t="s">
        <v>7954</v>
      </c>
      <c r="B7320" t="s">
        <v>7955</v>
      </c>
      <c r="C7320" t="s">
        <v>1059</v>
      </c>
      <c r="D7320" t="s">
        <v>314</v>
      </c>
      <c r="E7320" t="s">
        <v>306</v>
      </c>
      <c r="F7320" t="s">
        <v>7970</v>
      </c>
      <c r="G7320">
        <v>0</v>
      </c>
      <c r="H7320">
        <v>0</v>
      </c>
      <c r="I7320">
        <v>0</v>
      </c>
      <c r="J7320">
        <v>0</v>
      </c>
      <c r="K7320">
        <v>0</v>
      </c>
      <c r="L7320">
        <v>0</v>
      </c>
      <c r="M7320">
        <v>0</v>
      </c>
      <c r="N7320">
        <v>0</v>
      </c>
      <c r="O7320">
        <v>0</v>
      </c>
    </row>
    <row r="7321" spans="1:15" x14ac:dyDescent="0.35">
      <c r="A7321" t="s">
        <v>7954</v>
      </c>
      <c r="B7321" t="s">
        <v>7955</v>
      </c>
      <c r="C7321" t="s">
        <v>1059</v>
      </c>
      <c r="D7321" t="s">
        <v>314</v>
      </c>
      <c r="E7321" t="s">
        <v>308</v>
      </c>
      <c r="F7321" t="s">
        <v>7971</v>
      </c>
      <c r="G7321">
        <v>0</v>
      </c>
      <c r="H7321">
        <v>0</v>
      </c>
      <c r="I7321">
        <v>0</v>
      </c>
      <c r="J7321">
        <v>0</v>
      </c>
      <c r="K7321">
        <v>0</v>
      </c>
      <c r="L7321">
        <v>0</v>
      </c>
      <c r="M7321">
        <v>0</v>
      </c>
      <c r="N7321">
        <v>0</v>
      </c>
      <c r="O7321">
        <v>0</v>
      </c>
    </row>
    <row r="7322" spans="1:15" x14ac:dyDescent="0.35">
      <c r="A7322" t="s">
        <v>7954</v>
      </c>
      <c r="B7322" t="s">
        <v>7955</v>
      </c>
      <c r="C7322" t="s">
        <v>1059</v>
      </c>
      <c r="D7322" t="s">
        <v>314</v>
      </c>
      <c r="E7322" t="s">
        <v>312</v>
      </c>
      <c r="F7322" t="s">
        <v>7972</v>
      </c>
      <c r="G7322">
        <v>139</v>
      </c>
      <c r="H7322">
        <v>32444.83</v>
      </c>
      <c r="I7322">
        <v>233.42</v>
      </c>
      <c r="J7322">
        <v>0</v>
      </c>
      <c r="K7322">
        <v>0</v>
      </c>
      <c r="L7322">
        <v>0</v>
      </c>
      <c r="M7322">
        <v>139</v>
      </c>
      <c r="N7322">
        <v>32444.83</v>
      </c>
      <c r="O7322">
        <v>233.42</v>
      </c>
    </row>
    <row r="7323" spans="1:15" x14ac:dyDescent="0.35">
      <c r="A7323" t="s">
        <v>7954</v>
      </c>
      <c r="B7323" t="s">
        <v>7955</v>
      </c>
      <c r="C7323" t="s">
        <v>1059</v>
      </c>
      <c r="D7323" t="s">
        <v>314</v>
      </c>
      <c r="E7323" t="s">
        <v>310</v>
      </c>
      <c r="F7323" t="s">
        <v>7973</v>
      </c>
      <c r="G7323">
        <v>139</v>
      </c>
      <c r="H7323">
        <v>32444.83</v>
      </c>
      <c r="I7323">
        <v>233.42</v>
      </c>
      <c r="J7323">
        <v>0</v>
      </c>
      <c r="K7323">
        <v>0</v>
      </c>
      <c r="L7323">
        <v>0</v>
      </c>
      <c r="M7323">
        <v>139</v>
      </c>
      <c r="N7323">
        <v>32444.83</v>
      </c>
      <c r="O7323">
        <v>233.42</v>
      </c>
    </row>
    <row r="7324" spans="1:15" x14ac:dyDescent="0.35">
      <c r="A7324" t="s">
        <v>7954</v>
      </c>
      <c r="B7324" t="s">
        <v>7955</v>
      </c>
      <c r="C7324" t="s">
        <v>1059</v>
      </c>
      <c r="D7324" t="s">
        <v>323</v>
      </c>
      <c r="E7324" t="s">
        <v>294</v>
      </c>
      <c r="F7324" t="s">
        <v>7974</v>
      </c>
      <c r="G7324">
        <v>1016</v>
      </c>
      <c r="H7324">
        <v>97245.31</v>
      </c>
      <c r="I7324">
        <v>95.71</v>
      </c>
      <c r="J7324">
        <v>0</v>
      </c>
      <c r="K7324">
        <v>0</v>
      </c>
      <c r="L7324">
        <v>0</v>
      </c>
      <c r="M7324">
        <v>1016</v>
      </c>
      <c r="N7324">
        <v>97245.31</v>
      </c>
      <c r="O7324">
        <v>95.71</v>
      </c>
    </row>
    <row r="7325" spans="1:15" x14ac:dyDescent="0.35">
      <c r="A7325" t="s">
        <v>7954</v>
      </c>
      <c r="B7325" t="s">
        <v>7955</v>
      </c>
      <c r="C7325" t="s">
        <v>1059</v>
      </c>
      <c r="D7325" t="s">
        <v>323</v>
      </c>
      <c r="E7325" t="s">
        <v>296</v>
      </c>
      <c r="F7325" t="s">
        <v>7975</v>
      </c>
      <c r="G7325">
        <v>2816</v>
      </c>
      <c r="H7325">
        <v>303296.83999999997</v>
      </c>
      <c r="I7325">
        <v>107.7</v>
      </c>
      <c r="J7325">
        <v>0</v>
      </c>
      <c r="K7325">
        <v>0</v>
      </c>
      <c r="L7325">
        <v>0</v>
      </c>
      <c r="M7325">
        <v>2816</v>
      </c>
      <c r="N7325">
        <v>303296.83999999997</v>
      </c>
      <c r="O7325">
        <v>107.7</v>
      </c>
    </row>
    <row r="7326" spans="1:15" x14ac:dyDescent="0.35">
      <c r="A7326" t="s">
        <v>7954</v>
      </c>
      <c r="B7326" t="s">
        <v>7955</v>
      </c>
      <c r="C7326" t="s">
        <v>1059</v>
      </c>
      <c r="D7326" t="s">
        <v>323</v>
      </c>
      <c r="E7326" t="s">
        <v>298</v>
      </c>
      <c r="F7326" t="s">
        <v>7976</v>
      </c>
      <c r="G7326">
        <v>1882</v>
      </c>
      <c r="H7326">
        <v>223709.65999999997</v>
      </c>
      <c r="I7326">
        <v>118.87</v>
      </c>
      <c r="J7326">
        <v>0</v>
      </c>
      <c r="K7326">
        <v>0</v>
      </c>
      <c r="L7326">
        <v>0</v>
      </c>
      <c r="M7326">
        <v>1882</v>
      </c>
      <c r="N7326">
        <v>223709.65999999997</v>
      </c>
      <c r="O7326">
        <v>118.87</v>
      </c>
    </row>
    <row r="7327" spans="1:15" x14ac:dyDescent="0.35">
      <c r="A7327" t="s">
        <v>7954</v>
      </c>
      <c r="B7327" t="s">
        <v>7955</v>
      </c>
      <c r="C7327" t="s">
        <v>1059</v>
      </c>
      <c r="D7327" t="s">
        <v>323</v>
      </c>
      <c r="E7327" t="s">
        <v>300</v>
      </c>
      <c r="F7327" t="s">
        <v>7977</v>
      </c>
      <c r="G7327">
        <v>111</v>
      </c>
      <c r="H7327">
        <v>14929.44</v>
      </c>
      <c r="I7327">
        <v>134.5</v>
      </c>
      <c r="J7327">
        <v>0</v>
      </c>
      <c r="K7327">
        <v>0</v>
      </c>
      <c r="L7327">
        <v>0</v>
      </c>
      <c r="M7327">
        <v>111</v>
      </c>
      <c r="N7327">
        <v>14929.44</v>
      </c>
      <c r="O7327">
        <v>134.5</v>
      </c>
    </row>
    <row r="7328" spans="1:15" x14ac:dyDescent="0.35">
      <c r="A7328" t="s">
        <v>7954</v>
      </c>
      <c r="B7328" t="s">
        <v>7955</v>
      </c>
      <c r="C7328" t="s">
        <v>1059</v>
      </c>
      <c r="D7328" t="s">
        <v>323</v>
      </c>
      <c r="E7328" t="s">
        <v>302</v>
      </c>
      <c r="F7328" t="s">
        <v>7978</v>
      </c>
      <c r="G7328">
        <v>0</v>
      </c>
      <c r="H7328">
        <v>0</v>
      </c>
      <c r="I7328">
        <v>0</v>
      </c>
      <c r="J7328">
        <v>0</v>
      </c>
      <c r="K7328">
        <v>0</v>
      </c>
      <c r="L7328">
        <v>0</v>
      </c>
      <c r="M7328">
        <v>0</v>
      </c>
      <c r="N7328">
        <v>0</v>
      </c>
      <c r="O7328">
        <v>0</v>
      </c>
    </row>
    <row r="7329" spans="1:15" x14ac:dyDescent="0.35">
      <c r="A7329" t="s">
        <v>7954</v>
      </c>
      <c r="B7329" t="s">
        <v>7955</v>
      </c>
      <c r="C7329" t="s">
        <v>1059</v>
      </c>
      <c r="D7329" t="s">
        <v>323</v>
      </c>
      <c r="E7329" t="s">
        <v>304</v>
      </c>
      <c r="F7329" t="s">
        <v>7979</v>
      </c>
      <c r="G7329">
        <v>0</v>
      </c>
      <c r="H7329">
        <v>0</v>
      </c>
      <c r="I7329">
        <v>0</v>
      </c>
      <c r="J7329">
        <v>0</v>
      </c>
      <c r="K7329">
        <v>0</v>
      </c>
      <c r="L7329">
        <v>0</v>
      </c>
      <c r="M7329">
        <v>0</v>
      </c>
      <c r="N7329">
        <v>0</v>
      </c>
      <c r="O7329">
        <v>0</v>
      </c>
    </row>
    <row r="7330" spans="1:15" x14ac:dyDescent="0.35">
      <c r="A7330" t="s">
        <v>7954</v>
      </c>
      <c r="B7330" t="s">
        <v>7955</v>
      </c>
      <c r="C7330" t="s">
        <v>1059</v>
      </c>
      <c r="D7330" t="s">
        <v>323</v>
      </c>
      <c r="E7330" t="s">
        <v>306</v>
      </c>
      <c r="F7330" t="s">
        <v>7980</v>
      </c>
      <c r="G7330">
        <v>1</v>
      </c>
      <c r="H7330">
        <v>76.11</v>
      </c>
      <c r="I7330">
        <v>76.11</v>
      </c>
      <c r="J7330">
        <v>0</v>
      </c>
      <c r="K7330">
        <v>0</v>
      </c>
      <c r="L7330">
        <v>0</v>
      </c>
      <c r="M7330">
        <v>1</v>
      </c>
      <c r="N7330">
        <v>76.11</v>
      </c>
      <c r="O7330">
        <v>76.11</v>
      </c>
    </row>
    <row r="7331" spans="1:15" x14ac:dyDescent="0.35">
      <c r="A7331" t="s">
        <v>7954</v>
      </c>
      <c r="B7331" t="s">
        <v>7955</v>
      </c>
      <c r="C7331" t="s">
        <v>1059</v>
      </c>
      <c r="D7331" t="s">
        <v>323</v>
      </c>
      <c r="E7331" t="s">
        <v>308</v>
      </c>
      <c r="F7331" t="s">
        <v>7981</v>
      </c>
      <c r="G7331">
        <v>0</v>
      </c>
      <c r="H7331">
        <v>0</v>
      </c>
      <c r="I7331">
        <v>0</v>
      </c>
      <c r="J7331">
        <v>0</v>
      </c>
      <c r="K7331">
        <v>0</v>
      </c>
      <c r="L7331">
        <v>0</v>
      </c>
      <c r="M7331">
        <v>0</v>
      </c>
      <c r="N7331">
        <v>0</v>
      </c>
      <c r="O7331">
        <v>0</v>
      </c>
    </row>
    <row r="7332" spans="1:15" x14ac:dyDescent="0.35">
      <c r="A7332" t="s">
        <v>7954</v>
      </c>
      <c r="B7332" t="s">
        <v>7955</v>
      </c>
      <c r="C7332" t="s">
        <v>1059</v>
      </c>
      <c r="D7332" t="s">
        <v>323</v>
      </c>
      <c r="E7332" t="s">
        <v>310</v>
      </c>
      <c r="F7332" t="s">
        <v>7982</v>
      </c>
      <c r="G7332">
        <v>5826</v>
      </c>
      <c r="H7332">
        <v>639257.35999999987</v>
      </c>
      <c r="I7332">
        <v>109.72</v>
      </c>
      <c r="J7332">
        <v>0</v>
      </c>
      <c r="K7332">
        <v>0</v>
      </c>
      <c r="L7332">
        <v>0</v>
      </c>
      <c r="M7332">
        <v>5826</v>
      </c>
      <c r="N7332">
        <v>639257.35999999987</v>
      </c>
      <c r="O7332">
        <v>109.72</v>
      </c>
    </row>
    <row r="7333" spans="1:15" x14ac:dyDescent="0.35">
      <c r="A7333" t="s">
        <v>7954</v>
      </c>
      <c r="B7333" t="s">
        <v>7955</v>
      </c>
      <c r="C7333" t="s">
        <v>1059</v>
      </c>
      <c r="D7333" t="s">
        <v>323</v>
      </c>
      <c r="E7333" t="s">
        <v>312</v>
      </c>
      <c r="F7333" t="s">
        <v>7983</v>
      </c>
      <c r="G7333">
        <v>5826</v>
      </c>
      <c r="H7333">
        <v>639257.35999999987</v>
      </c>
      <c r="I7333">
        <v>109.72</v>
      </c>
      <c r="J7333">
        <v>0</v>
      </c>
      <c r="K7333">
        <v>0</v>
      </c>
      <c r="L7333">
        <v>0</v>
      </c>
      <c r="M7333">
        <v>5826</v>
      </c>
      <c r="N7333">
        <v>639257.35999999987</v>
      </c>
      <c r="O7333">
        <v>109.72</v>
      </c>
    </row>
    <row r="7334" spans="1:15" x14ac:dyDescent="0.35">
      <c r="A7334" t="s">
        <v>7954</v>
      </c>
      <c r="B7334" t="s">
        <v>7955</v>
      </c>
      <c r="C7334" t="s">
        <v>1059</v>
      </c>
      <c r="D7334" t="s">
        <v>334</v>
      </c>
      <c r="E7334" t="s">
        <v>312</v>
      </c>
      <c r="F7334" t="s">
        <v>7984</v>
      </c>
      <c r="G7334">
        <v>5997</v>
      </c>
      <c r="H7334">
        <v>656616.07999999996</v>
      </c>
      <c r="I7334">
        <v>110.23</v>
      </c>
      <c r="J7334">
        <v>0</v>
      </c>
      <c r="K7334">
        <v>0</v>
      </c>
      <c r="L7334">
        <v>0</v>
      </c>
      <c r="M7334">
        <v>5997</v>
      </c>
      <c r="N7334">
        <v>656616.07999999996</v>
      </c>
      <c r="O7334">
        <v>110.23</v>
      </c>
    </row>
    <row r="7335" spans="1:15" x14ac:dyDescent="0.35">
      <c r="A7335" t="s">
        <v>7954</v>
      </c>
      <c r="B7335" t="s">
        <v>7955</v>
      </c>
      <c r="C7335" t="s">
        <v>1059</v>
      </c>
      <c r="D7335" t="s">
        <v>334</v>
      </c>
      <c r="E7335" t="s">
        <v>308</v>
      </c>
      <c r="F7335" t="s">
        <v>7985</v>
      </c>
      <c r="G7335">
        <v>0</v>
      </c>
      <c r="H7335">
        <v>0</v>
      </c>
      <c r="I7335">
        <v>0</v>
      </c>
      <c r="J7335">
        <v>0</v>
      </c>
      <c r="K7335">
        <v>0</v>
      </c>
      <c r="L7335">
        <v>0</v>
      </c>
      <c r="M7335">
        <v>0</v>
      </c>
      <c r="N7335">
        <v>0</v>
      </c>
      <c r="O7335">
        <v>0</v>
      </c>
    </row>
    <row r="7336" spans="1:15" x14ac:dyDescent="0.35">
      <c r="A7336" t="s">
        <v>7954</v>
      </c>
      <c r="B7336" t="s">
        <v>7955</v>
      </c>
      <c r="C7336" t="s">
        <v>1059</v>
      </c>
      <c r="D7336" t="s">
        <v>337</v>
      </c>
      <c r="E7336" t="s">
        <v>337</v>
      </c>
      <c r="F7336" t="s">
        <v>7986</v>
      </c>
      <c r="G7336">
        <v>702</v>
      </c>
      <c r="J7336">
        <v>0</v>
      </c>
      <c r="M7336">
        <v>702</v>
      </c>
    </row>
    <row r="7337" spans="1:15" x14ac:dyDescent="0.35">
      <c r="A7337" t="s">
        <v>7954</v>
      </c>
      <c r="B7337" t="s">
        <v>7955</v>
      </c>
      <c r="C7337" t="s">
        <v>1059</v>
      </c>
      <c r="D7337" t="s">
        <v>339</v>
      </c>
      <c r="E7337" t="s">
        <v>294</v>
      </c>
      <c r="F7337" t="s">
        <v>7987</v>
      </c>
      <c r="G7337">
        <v>253</v>
      </c>
      <c r="H7337">
        <v>26022.5</v>
      </c>
      <c r="I7337">
        <v>102.86</v>
      </c>
      <c r="J7337">
        <v>0</v>
      </c>
      <c r="K7337">
        <v>0</v>
      </c>
      <c r="L7337">
        <v>0</v>
      </c>
      <c r="M7337">
        <v>253</v>
      </c>
      <c r="N7337">
        <v>26022.5</v>
      </c>
      <c r="O7337">
        <v>102.86</v>
      </c>
    </row>
    <row r="7338" spans="1:15" x14ac:dyDescent="0.35">
      <c r="A7338" t="s">
        <v>7954</v>
      </c>
      <c r="B7338" t="s">
        <v>7955</v>
      </c>
      <c r="C7338" t="s">
        <v>1059</v>
      </c>
      <c r="D7338" t="s">
        <v>339</v>
      </c>
      <c r="E7338" t="s">
        <v>296</v>
      </c>
      <c r="F7338" t="s">
        <v>7988</v>
      </c>
      <c r="G7338">
        <v>272</v>
      </c>
      <c r="H7338">
        <v>30830.66</v>
      </c>
      <c r="I7338">
        <v>113.35</v>
      </c>
      <c r="J7338">
        <v>0</v>
      </c>
      <c r="K7338">
        <v>0</v>
      </c>
      <c r="L7338">
        <v>0</v>
      </c>
      <c r="M7338">
        <v>272</v>
      </c>
      <c r="N7338">
        <v>30830.66</v>
      </c>
      <c r="O7338">
        <v>113.35</v>
      </c>
    </row>
    <row r="7339" spans="1:15" x14ac:dyDescent="0.35">
      <c r="A7339" t="s">
        <v>7954</v>
      </c>
      <c r="B7339" t="s">
        <v>7955</v>
      </c>
      <c r="C7339" t="s">
        <v>1059</v>
      </c>
      <c r="D7339" t="s">
        <v>339</v>
      </c>
      <c r="E7339" t="s">
        <v>298</v>
      </c>
      <c r="F7339" t="s">
        <v>7989</v>
      </c>
      <c r="G7339">
        <v>0</v>
      </c>
      <c r="H7339">
        <v>0</v>
      </c>
      <c r="I7339">
        <v>0</v>
      </c>
      <c r="J7339">
        <v>0</v>
      </c>
      <c r="K7339">
        <v>0</v>
      </c>
      <c r="L7339">
        <v>0</v>
      </c>
      <c r="M7339">
        <v>0</v>
      </c>
      <c r="N7339">
        <v>0</v>
      </c>
      <c r="O7339">
        <v>0</v>
      </c>
    </row>
    <row r="7340" spans="1:15" x14ac:dyDescent="0.35">
      <c r="A7340" t="s">
        <v>7954</v>
      </c>
      <c r="B7340" t="s">
        <v>7955</v>
      </c>
      <c r="C7340" t="s">
        <v>1059</v>
      </c>
      <c r="D7340" t="s">
        <v>339</v>
      </c>
      <c r="E7340" t="s">
        <v>300</v>
      </c>
      <c r="F7340" t="s">
        <v>7990</v>
      </c>
      <c r="G7340">
        <v>1</v>
      </c>
      <c r="H7340">
        <v>134.44</v>
      </c>
      <c r="I7340">
        <v>134.44</v>
      </c>
      <c r="J7340">
        <v>0</v>
      </c>
      <c r="K7340">
        <v>0</v>
      </c>
      <c r="L7340">
        <v>0</v>
      </c>
      <c r="M7340">
        <v>1</v>
      </c>
      <c r="N7340">
        <v>134.44</v>
      </c>
      <c r="O7340">
        <v>134.44</v>
      </c>
    </row>
    <row r="7341" spans="1:15" x14ac:dyDescent="0.35">
      <c r="A7341" t="s">
        <v>7954</v>
      </c>
      <c r="B7341" t="s">
        <v>7955</v>
      </c>
      <c r="C7341" t="s">
        <v>1059</v>
      </c>
      <c r="D7341" t="s">
        <v>339</v>
      </c>
      <c r="E7341" t="s">
        <v>306</v>
      </c>
      <c r="F7341" t="s">
        <v>7991</v>
      </c>
      <c r="G7341">
        <v>192</v>
      </c>
      <c r="H7341">
        <v>16218.289999999999</v>
      </c>
      <c r="I7341">
        <v>84.47</v>
      </c>
      <c r="J7341">
        <v>0</v>
      </c>
      <c r="K7341">
        <v>0</v>
      </c>
      <c r="L7341">
        <v>0</v>
      </c>
      <c r="M7341">
        <v>192</v>
      </c>
      <c r="N7341">
        <v>16218.289999999999</v>
      </c>
      <c r="O7341">
        <v>84.47</v>
      </c>
    </row>
    <row r="7342" spans="1:15" x14ac:dyDescent="0.35">
      <c r="A7342" t="s">
        <v>7954</v>
      </c>
      <c r="B7342" t="s">
        <v>7955</v>
      </c>
      <c r="C7342" t="s">
        <v>1059</v>
      </c>
      <c r="D7342" t="s">
        <v>339</v>
      </c>
      <c r="E7342" t="s">
        <v>308</v>
      </c>
      <c r="F7342" t="s">
        <v>7992</v>
      </c>
      <c r="G7342">
        <v>21</v>
      </c>
      <c r="H7342">
        <v>4066.94</v>
      </c>
      <c r="I7342">
        <v>193.66</v>
      </c>
      <c r="J7342">
        <v>0</v>
      </c>
      <c r="K7342">
        <v>0</v>
      </c>
      <c r="L7342">
        <v>0</v>
      </c>
      <c r="M7342">
        <v>21</v>
      </c>
      <c r="N7342">
        <v>4066.94</v>
      </c>
      <c r="O7342">
        <v>193.66</v>
      </c>
    </row>
    <row r="7343" spans="1:15" x14ac:dyDescent="0.35">
      <c r="A7343" t="s">
        <v>7954</v>
      </c>
      <c r="B7343" t="s">
        <v>7955</v>
      </c>
      <c r="C7343" t="s">
        <v>1059</v>
      </c>
      <c r="D7343" t="s">
        <v>339</v>
      </c>
      <c r="E7343" t="s">
        <v>310</v>
      </c>
      <c r="F7343" t="s">
        <v>7993</v>
      </c>
      <c r="G7343">
        <v>739</v>
      </c>
      <c r="H7343">
        <v>77272.83</v>
      </c>
      <c r="I7343">
        <v>104.56</v>
      </c>
      <c r="J7343">
        <v>0</v>
      </c>
      <c r="K7343">
        <v>0</v>
      </c>
      <c r="L7343">
        <v>0</v>
      </c>
      <c r="M7343">
        <v>739</v>
      </c>
      <c r="N7343">
        <v>77272.83</v>
      </c>
      <c r="O7343">
        <v>104.56</v>
      </c>
    </row>
    <row r="7344" spans="1:15" x14ac:dyDescent="0.35">
      <c r="A7344" t="s">
        <v>7954</v>
      </c>
      <c r="B7344" t="s">
        <v>7955</v>
      </c>
      <c r="C7344" t="s">
        <v>1059</v>
      </c>
      <c r="D7344" t="s">
        <v>339</v>
      </c>
      <c r="E7344" t="s">
        <v>312</v>
      </c>
      <c r="F7344" t="s">
        <v>7994</v>
      </c>
      <c r="G7344">
        <v>718</v>
      </c>
      <c r="H7344">
        <v>73205.89</v>
      </c>
      <c r="I7344">
        <v>101.96</v>
      </c>
      <c r="J7344">
        <v>0</v>
      </c>
      <c r="K7344">
        <v>0</v>
      </c>
      <c r="L7344">
        <v>0</v>
      </c>
      <c r="M7344">
        <v>718</v>
      </c>
      <c r="N7344">
        <v>73205.89</v>
      </c>
      <c r="O7344">
        <v>101.96</v>
      </c>
    </row>
    <row r="7345" spans="1:15" x14ac:dyDescent="0.35">
      <c r="A7345" t="s">
        <v>7954</v>
      </c>
      <c r="B7345" t="s">
        <v>7955</v>
      </c>
      <c r="C7345" t="s">
        <v>1059</v>
      </c>
      <c r="D7345" t="s">
        <v>348</v>
      </c>
      <c r="E7345" t="s">
        <v>349</v>
      </c>
      <c r="F7345" t="s">
        <v>7995</v>
      </c>
      <c r="G7345">
        <v>892</v>
      </c>
      <c r="H7345">
        <v>109717.66</v>
      </c>
      <c r="I7345">
        <v>124.96</v>
      </c>
      <c r="J7345">
        <v>0</v>
      </c>
      <c r="K7345">
        <v>0</v>
      </c>
      <c r="L7345">
        <v>0</v>
      </c>
      <c r="M7345">
        <v>892</v>
      </c>
      <c r="N7345">
        <v>109717.66</v>
      </c>
      <c r="O7345">
        <v>124.96</v>
      </c>
    </row>
    <row r="7346" spans="1:15" x14ac:dyDescent="0.35">
      <c r="A7346" t="s">
        <v>7996</v>
      </c>
      <c r="B7346" t="s">
        <v>161</v>
      </c>
      <c r="C7346" t="s">
        <v>1059</v>
      </c>
      <c r="D7346" t="s">
        <v>293</v>
      </c>
      <c r="E7346" t="s">
        <v>294</v>
      </c>
      <c r="F7346" t="s">
        <v>7997</v>
      </c>
      <c r="G7346">
        <v>151</v>
      </c>
      <c r="H7346">
        <v>16371.25</v>
      </c>
      <c r="I7346">
        <v>108.42</v>
      </c>
      <c r="J7346">
        <v>0</v>
      </c>
      <c r="K7346">
        <v>0</v>
      </c>
      <c r="L7346">
        <v>0</v>
      </c>
      <c r="M7346">
        <v>151</v>
      </c>
      <c r="N7346">
        <v>16371.25</v>
      </c>
      <c r="O7346">
        <v>108.42</v>
      </c>
    </row>
    <row r="7347" spans="1:15" x14ac:dyDescent="0.35">
      <c r="A7347" t="s">
        <v>7996</v>
      </c>
      <c r="B7347" t="s">
        <v>161</v>
      </c>
      <c r="C7347" t="s">
        <v>1059</v>
      </c>
      <c r="D7347" t="s">
        <v>293</v>
      </c>
      <c r="E7347" t="s">
        <v>296</v>
      </c>
      <c r="F7347" t="s">
        <v>7998</v>
      </c>
      <c r="G7347">
        <v>544</v>
      </c>
      <c r="H7347">
        <v>71521.55</v>
      </c>
      <c r="I7347">
        <v>131.47</v>
      </c>
      <c r="J7347">
        <v>0</v>
      </c>
      <c r="K7347">
        <v>0</v>
      </c>
      <c r="L7347">
        <v>0</v>
      </c>
      <c r="M7347">
        <v>544</v>
      </c>
      <c r="N7347">
        <v>71521.55</v>
      </c>
      <c r="O7347">
        <v>131.47</v>
      </c>
    </row>
    <row r="7348" spans="1:15" x14ac:dyDescent="0.35">
      <c r="A7348" t="s">
        <v>7996</v>
      </c>
      <c r="B7348" t="s">
        <v>161</v>
      </c>
      <c r="C7348" t="s">
        <v>1059</v>
      </c>
      <c r="D7348" t="s">
        <v>293</v>
      </c>
      <c r="E7348" t="s">
        <v>298</v>
      </c>
      <c r="F7348" t="s">
        <v>7999</v>
      </c>
      <c r="G7348">
        <v>201</v>
      </c>
      <c r="H7348">
        <v>31297.24</v>
      </c>
      <c r="I7348">
        <v>155.71</v>
      </c>
      <c r="J7348">
        <v>0</v>
      </c>
      <c r="K7348">
        <v>0</v>
      </c>
      <c r="L7348">
        <v>0</v>
      </c>
      <c r="M7348">
        <v>201</v>
      </c>
      <c r="N7348">
        <v>31297.24</v>
      </c>
      <c r="O7348">
        <v>155.71</v>
      </c>
    </row>
    <row r="7349" spans="1:15" x14ac:dyDescent="0.35">
      <c r="A7349" t="s">
        <v>7996</v>
      </c>
      <c r="B7349" t="s">
        <v>161</v>
      </c>
      <c r="C7349" t="s">
        <v>1059</v>
      </c>
      <c r="D7349" t="s">
        <v>293</v>
      </c>
      <c r="E7349" t="s">
        <v>300</v>
      </c>
      <c r="F7349" t="s">
        <v>8000</v>
      </c>
      <c r="G7349">
        <v>20</v>
      </c>
      <c r="H7349">
        <v>3406.1800000000003</v>
      </c>
      <c r="I7349">
        <v>170.31</v>
      </c>
      <c r="J7349">
        <v>0</v>
      </c>
      <c r="K7349">
        <v>0</v>
      </c>
      <c r="L7349">
        <v>0</v>
      </c>
      <c r="M7349">
        <v>20</v>
      </c>
      <c r="N7349">
        <v>3406.1800000000003</v>
      </c>
      <c r="O7349">
        <v>170.31</v>
      </c>
    </row>
    <row r="7350" spans="1:15" x14ac:dyDescent="0.35">
      <c r="A7350" t="s">
        <v>7996</v>
      </c>
      <c r="B7350" t="s">
        <v>161</v>
      </c>
      <c r="C7350" t="s">
        <v>1059</v>
      </c>
      <c r="D7350" t="s">
        <v>293</v>
      </c>
      <c r="E7350" t="s">
        <v>302</v>
      </c>
      <c r="F7350" t="s">
        <v>8001</v>
      </c>
      <c r="G7350">
        <v>0</v>
      </c>
      <c r="H7350">
        <v>0</v>
      </c>
      <c r="I7350">
        <v>0</v>
      </c>
      <c r="J7350">
        <v>0</v>
      </c>
      <c r="K7350">
        <v>0</v>
      </c>
      <c r="L7350">
        <v>0</v>
      </c>
      <c r="M7350">
        <v>0</v>
      </c>
      <c r="N7350">
        <v>0</v>
      </c>
      <c r="O7350">
        <v>0</v>
      </c>
    </row>
    <row r="7351" spans="1:15" x14ac:dyDescent="0.35">
      <c r="A7351" t="s">
        <v>7996</v>
      </c>
      <c r="B7351" t="s">
        <v>161</v>
      </c>
      <c r="C7351" t="s">
        <v>1059</v>
      </c>
      <c r="D7351" t="s">
        <v>293</v>
      </c>
      <c r="E7351" t="s">
        <v>304</v>
      </c>
      <c r="F7351" t="s">
        <v>8002</v>
      </c>
      <c r="G7351">
        <v>0</v>
      </c>
      <c r="H7351">
        <v>0</v>
      </c>
      <c r="I7351">
        <v>0</v>
      </c>
      <c r="J7351">
        <v>0</v>
      </c>
      <c r="K7351">
        <v>0</v>
      </c>
      <c r="L7351">
        <v>0</v>
      </c>
      <c r="M7351">
        <v>0</v>
      </c>
      <c r="N7351">
        <v>0</v>
      </c>
      <c r="O7351">
        <v>0</v>
      </c>
    </row>
    <row r="7352" spans="1:15" x14ac:dyDescent="0.35">
      <c r="A7352" t="s">
        <v>7996</v>
      </c>
      <c r="B7352" t="s">
        <v>161</v>
      </c>
      <c r="C7352" t="s">
        <v>1059</v>
      </c>
      <c r="D7352" t="s">
        <v>293</v>
      </c>
      <c r="E7352" t="s">
        <v>306</v>
      </c>
      <c r="F7352" t="s">
        <v>8003</v>
      </c>
      <c r="G7352">
        <v>1</v>
      </c>
      <c r="H7352">
        <v>88.61</v>
      </c>
      <c r="I7352">
        <v>88.61</v>
      </c>
      <c r="J7352">
        <v>0</v>
      </c>
      <c r="K7352">
        <v>0</v>
      </c>
      <c r="L7352">
        <v>0</v>
      </c>
      <c r="M7352">
        <v>1</v>
      </c>
      <c r="N7352">
        <v>88.61</v>
      </c>
      <c r="O7352">
        <v>88.61</v>
      </c>
    </row>
    <row r="7353" spans="1:15" x14ac:dyDescent="0.35">
      <c r="A7353" t="s">
        <v>7996</v>
      </c>
      <c r="B7353" t="s">
        <v>161</v>
      </c>
      <c r="C7353" t="s">
        <v>1059</v>
      </c>
      <c r="D7353" t="s">
        <v>293</v>
      </c>
      <c r="E7353" t="s">
        <v>308</v>
      </c>
      <c r="F7353" t="s">
        <v>8004</v>
      </c>
      <c r="G7353">
        <v>0</v>
      </c>
      <c r="H7353">
        <v>0</v>
      </c>
      <c r="I7353">
        <v>0</v>
      </c>
      <c r="J7353">
        <v>0</v>
      </c>
      <c r="K7353">
        <v>0</v>
      </c>
      <c r="L7353">
        <v>0</v>
      </c>
      <c r="M7353">
        <v>0</v>
      </c>
      <c r="N7353">
        <v>0</v>
      </c>
      <c r="O7353">
        <v>0</v>
      </c>
    </row>
    <row r="7354" spans="1:15" x14ac:dyDescent="0.35">
      <c r="A7354" t="s">
        <v>7996</v>
      </c>
      <c r="B7354" t="s">
        <v>161</v>
      </c>
      <c r="C7354" t="s">
        <v>1059</v>
      </c>
      <c r="D7354" t="s">
        <v>293</v>
      </c>
      <c r="E7354" t="s">
        <v>310</v>
      </c>
      <c r="F7354" t="s">
        <v>8005</v>
      </c>
      <c r="G7354">
        <v>917</v>
      </c>
      <c r="H7354">
        <v>122684.83</v>
      </c>
      <c r="I7354">
        <v>133.79</v>
      </c>
      <c r="J7354">
        <v>0</v>
      </c>
      <c r="K7354">
        <v>0</v>
      </c>
      <c r="L7354">
        <v>0</v>
      </c>
      <c r="M7354">
        <v>917</v>
      </c>
      <c r="N7354">
        <v>122684.83</v>
      </c>
      <c r="O7354">
        <v>133.79</v>
      </c>
    </row>
    <row r="7355" spans="1:15" x14ac:dyDescent="0.35">
      <c r="A7355" t="s">
        <v>7996</v>
      </c>
      <c r="B7355" t="s">
        <v>161</v>
      </c>
      <c r="C7355" t="s">
        <v>1059</v>
      </c>
      <c r="D7355" t="s">
        <v>293</v>
      </c>
      <c r="E7355" t="s">
        <v>312</v>
      </c>
      <c r="F7355" t="s">
        <v>8006</v>
      </c>
      <c r="G7355">
        <v>917</v>
      </c>
      <c r="H7355">
        <v>122684.83</v>
      </c>
      <c r="I7355">
        <v>133.79</v>
      </c>
      <c r="J7355">
        <v>0</v>
      </c>
      <c r="K7355">
        <v>0</v>
      </c>
      <c r="L7355">
        <v>0</v>
      </c>
      <c r="M7355">
        <v>917</v>
      </c>
      <c r="N7355">
        <v>122684.83</v>
      </c>
      <c r="O7355">
        <v>133.79</v>
      </c>
    </row>
    <row r="7356" spans="1:15" x14ac:dyDescent="0.35">
      <c r="A7356" t="s">
        <v>7996</v>
      </c>
      <c r="B7356" t="s">
        <v>161</v>
      </c>
      <c r="C7356" t="s">
        <v>1059</v>
      </c>
      <c r="D7356" t="s">
        <v>314</v>
      </c>
      <c r="E7356" t="s">
        <v>294</v>
      </c>
      <c r="F7356" t="s">
        <v>8007</v>
      </c>
      <c r="G7356">
        <v>92</v>
      </c>
      <c r="H7356">
        <v>19014.560000000001</v>
      </c>
      <c r="I7356">
        <v>206.68</v>
      </c>
      <c r="J7356">
        <v>0</v>
      </c>
      <c r="K7356">
        <v>0</v>
      </c>
      <c r="L7356">
        <v>0</v>
      </c>
      <c r="M7356">
        <v>92</v>
      </c>
      <c r="N7356">
        <v>19014.560000000001</v>
      </c>
      <c r="O7356">
        <v>206.68</v>
      </c>
    </row>
    <row r="7357" spans="1:15" x14ac:dyDescent="0.35">
      <c r="A7357" t="s">
        <v>7996</v>
      </c>
      <c r="B7357" t="s">
        <v>161</v>
      </c>
      <c r="C7357" t="s">
        <v>1059</v>
      </c>
      <c r="D7357" t="s">
        <v>314</v>
      </c>
      <c r="E7357" t="s">
        <v>296</v>
      </c>
      <c r="F7357" t="s">
        <v>8008</v>
      </c>
      <c r="G7357">
        <v>77</v>
      </c>
      <c r="H7357">
        <v>19314.59</v>
      </c>
      <c r="I7357">
        <v>250.84</v>
      </c>
      <c r="J7357">
        <v>0</v>
      </c>
      <c r="K7357">
        <v>0</v>
      </c>
      <c r="L7357">
        <v>0</v>
      </c>
      <c r="M7357">
        <v>77</v>
      </c>
      <c r="N7357">
        <v>19314.59</v>
      </c>
      <c r="O7357">
        <v>250.84</v>
      </c>
    </row>
    <row r="7358" spans="1:15" x14ac:dyDescent="0.35">
      <c r="A7358" t="s">
        <v>7996</v>
      </c>
      <c r="B7358" t="s">
        <v>161</v>
      </c>
      <c r="C7358" t="s">
        <v>1059</v>
      </c>
      <c r="D7358" t="s">
        <v>314</v>
      </c>
      <c r="E7358" t="s">
        <v>298</v>
      </c>
      <c r="F7358" t="s">
        <v>8009</v>
      </c>
      <c r="G7358">
        <v>0</v>
      </c>
      <c r="H7358">
        <v>0</v>
      </c>
      <c r="I7358">
        <v>0</v>
      </c>
      <c r="J7358">
        <v>0</v>
      </c>
      <c r="K7358">
        <v>0</v>
      </c>
      <c r="L7358">
        <v>0</v>
      </c>
      <c r="M7358">
        <v>0</v>
      </c>
      <c r="N7358">
        <v>0</v>
      </c>
      <c r="O7358">
        <v>0</v>
      </c>
    </row>
    <row r="7359" spans="1:15" x14ac:dyDescent="0.35">
      <c r="A7359" t="s">
        <v>7996</v>
      </c>
      <c r="B7359" t="s">
        <v>161</v>
      </c>
      <c r="C7359" t="s">
        <v>1059</v>
      </c>
      <c r="D7359" t="s">
        <v>314</v>
      </c>
      <c r="E7359" t="s">
        <v>300</v>
      </c>
      <c r="F7359" t="s">
        <v>8010</v>
      </c>
      <c r="G7359">
        <v>0</v>
      </c>
      <c r="H7359">
        <v>0</v>
      </c>
      <c r="I7359">
        <v>0</v>
      </c>
      <c r="J7359">
        <v>0</v>
      </c>
      <c r="K7359">
        <v>0</v>
      </c>
      <c r="L7359">
        <v>0</v>
      </c>
      <c r="M7359">
        <v>0</v>
      </c>
      <c r="N7359">
        <v>0</v>
      </c>
      <c r="O7359">
        <v>0</v>
      </c>
    </row>
    <row r="7360" spans="1:15" x14ac:dyDescent="0.35">
      <c r="A7360" t="s">
        <v>7996</v>
      </c>
      <c r="B7360" t="s">
        <v>161</v>
      </c>
      <c r="C7360" t="s">
        <v>1059</v>
      </c>
      <c r="D7360" t="s">
        <v>314</v>
      </c>
      <c r="E7360" t="s">
        <v>306</v>
      </c>
      <c r="F7360" t="s">
        <v>8011</v>
      </c>
      <c r="G7360">
        <v>0</v>
      </c>
      <c r="H7360">
        <v>0</v>
      </c>
      <c r="I7360">
        <v>0</v>
      </c>
      <c r="J7360">
        <v>0</v>
      </c>
      <c r="K7360">
        <v>0</v>
      </c>
      <c r="L7360">
        <v>0</v>
      </c>
      <c r="M7360">
        <v>0</v>
      </c>
      <c r="N7360">
        <v>0</v>
      </c>
      <c r="O7360">
        <v>0</v>
      </c>
    </row>
    <row r="7361" spans="1:15" x14ac:dyDescent="0.35">
      <c r="A7361" t="s">
        <v>7996</v>
      </c>
      <c r="B7361" t="s">
        <v>161</v>
      </c>
      <c r="C7361" t="s">
        <v>1059</v>
      </c>
      <c r="D7361" t="s">
        <v>314</v>
      </c>
      <c r="E7361" t="s">
        <v>308</v>
      </c>
      <c r="F7361" t="s">
        <v>8012</v>
      </c>
      <c r="G7361">
        <v>0</v>
      </c>
      <c r="H7361">
        <v>0</v>
      </c>
      <c r="I7361">
        <v>0</v>
      </c>
      <c r="J7361">
        <v>0</v>
      </c>
      <c r="K7361">
        <v>0</v>
      </c>
      <c r="L7361">
        <v>0</v>
      </c>
      <c r="M7361">
        <v>0</v>
      </c>
      <c r="N7361">
        <v>0</v>
      </c>
      <c r="O7361">
        <v>0</v>
      </c>
    </row>
    <row r="7362" spans="1:15" x14ac:dyDescent="0.35">
      <c r="A7362" t="s">
        <v>7996</v>
      </c>
      <c r="B7362" t="s">
        <v>161</v>
      </c>
      <c r="C7362" t="s">
        <v>1059</v>
      </c>
      <c r="D7362" t="s">
        <v>314</v>
      </c>
      <c r="E7362" t="s">
        <v>312</v>
      </c>
      <c r="F7362" t="s">
        <v>8013</v>
      </c>
      <c r="G7362">
        <v>169</v>
      </c>
      <c r="H7362">
        <v>38329.15</v>
      </c>
      <c r="I7362">
        <v>226.8</v>
      </c>
      <c r="J7362">
        <v>0</v>
      </c>
      <c r="K7362">
        <v>0</v>
      </c>
      <c r="L7362">
        <v>0</v>
      </c>
      <c r="M7362">
        <v>169</v>
      </c>
      <c r="N7362">
        <v>38329.15</v>
      </c>
      <c r="O7362">
        <v>226.8</v>
      </c>
    </row>
    <row r="7363" spans="1:15" x14ac:dyDescent="0.35">
      <c r="A7363" t="s">
        <v>7996</v>
      </c>
      <c r="B7363" t="s">
        <v>161</v>
      </c>
      <c r="C7363" t="s">
        <v>1059</v>
      </c>
      <c r="D7363" t="s">
        <v>314</v>
      </c>
      <c r="E7363" t="s">
        <v>310</v>
      </c>
      <c r="F7363" t="s">
        <v>8014</v>
      </c>
      <c r="G7363">
        <v>169</v>
      </c>
      <c r="H7363">
        <v>38329.15</v>
      </c>
      <c r="I7363">
        <v>226.8</v>
      </c>
      <c r="J7363">
        <v>0</v>
      </c>
      <c r="K7363">
        <v>0</v>
      </c>
      <c r="L7363">
        <v>0</v>
      </c>
      <c r="M7363">
        <v>169</v>
      </c>
      <c r="N7363">
        <v>38329.15</v>
      </c>
      <c r="O7363">
        <v>226.8</v>
      </c>
    </row>
    <row r="7364" spans="1:15" x14ac:dyDescent="0.35">
      <c r="A7364" t="s">
        <v>7996</v>
      </c>
      <c r="B7364" t="s">
        <v>161</v>
      </c>
      <c r="C7364" t="s">
        <v>1059</v>
      </c>
      <c r="D7364" t="s">
        <v>323</v>
      </c>
      <c r="E7364" t="s">
        <v>294</v>
      </c>
      <c r="F7364" t="s">
        <v>8015</v>
      </c>
      <c r="G7364">
        <v>1413</v>
      </c>
      <c r="H7364">
        <v>126656.70000000001</v>
      </c>
      <c r="I7364">
        <v>89.64</v>
      </c>
      <c r="J7364">
        <v>0</v>
      </c>
      <c r="K7364">
        <v>0</v>
      </c>
      <c r="L7364">
        <v>0</v>
      </c>
      <c r="M7364">
        <v>1413</v>
      </c>
      <c r="N7364">
        <v>126656.70000000001</v>
      </c>
      <c r="O7364">
        <v>89.64</v>
      </c>
    </row>
    <row r="7365" spans="1:15" x14ac:dyDescent="0.35">
      <c r="A7365" t="s">
        <v>7996</v>
      </c>
      <c r="B7365" t="s">
        <v>161</v>
      </c>
      <c r="C7365" t="s">
        <v>1059</v>
      </c>
      <c r="D7365" t="s">
        <v>323</v>
      </c>
      <c r="E7365" t="s">
        <v>296</v>
      </c>
      <c r="F7365" t="s">
        <v>8016</v>
      </c>
      <c r="G7365">
        <v>2565</v>
      </c>
      <c r="H7365">
        <v>263321.55</v>
      </c>
      <c r="I7365">
        <v>102.66</v>
      </c>
      <c r="J7365">
        <v>0</v>
      </c>
      <c r="K7365">
        <v>0</v>
      </c>
      <c r="L7365">
        <v>0</v>
      </c>
      <c r="M7365">
        <v>2565</v>
      </c>
      <c r="N7365">
        <v>263321.55</v>
      </c>
      <c r="O7365">
        <v>102.66</v>
      </c>
    </row>
    <row r="7366" spans="1:15" x14ac:dyDescent="0.35">
      <c r="A7366" t="s">
        <v>7996</v>
      </c>
      <c r="B7366" t="s">
        <v>161</v>
      </c>
      <c r="C7366" t="s">
        <v>1059</v>
      </c>
      <c r="D7366" t="s">
        <v>323</v>
      </c>
      <c r="E7366" t="s">
        <v>298</v>
      </c>
      <c r="F7366" t="s">
        <v>8017</v>
      </c>
      <c r="G7366">
        <v>2420</v>
      </c>
      <c r="H7366">
        <v>270327.14</v>
      </c>
      <c r="I7366">
        <v>111.71</v>
      </c>
      <c r="J7366">
        <v>0</v>
      </c>
      <c r="K7366">
        <v>0</v>
      </c>
      <c r="L7366">
        <v>0</v>
      </c>
      <c r="M7366">
        <v>2420</v>
      </c>
      <c r="N7366">
        <v>270327.14</v>
      </c>
      <c r="O7366">
        <v>111.71</v>
      </c>
    </row>
    <row r="7367" spans="1:15" x14ac:dyDescent="0.35">
      <c r="A7367" t="s">
        <v>7996</v>
      </c>
      <c r="B7367" t="s">
        <v>161</v>
      </c>
      <c r="C7367" t="s">
        <v>1059</v>
      </c>
      <c r="D7367" t="s">
        <v>323</v>
      </c>
      <c r="E7367" t="s">
        <v>300</v>
      </c>
      <c r="F7367" t="s">
        <v>8018</v>
      </c>
      <c r="G7367">
        <v>127</v>
      </c>
      <c r="H7367">
        <v>15678.44</v>
      </c>
      <c r="I7367">
        <v>123.45</v>
      </c>
      <c r="J7367">
        <v>0</v>
      </c>
      <c r="K7367">
        <v>0</v>
      </c>
      <c r="L7367">
        <v>0</v>
      </c>
      <c r="M7367">
        <v>127</v>
      </c>
      <c r="N7367">
        <v>15678.44</v>
      </c>
      <c r="O7367">
        <v>123.45</v>
      </c>
    </row>
    <row r="7368" spans="1:15" x14ac:dyDescent="0.35">
      <c r="A7368" t="s">
        <v>7996</v>
      </c>
      <c r="B7368" t="s">
        <v>161</v>
      </c>
      <c r="C7368" t="s">
        <v>1059</v>
      </c>
      <c r="D7368" t="s">
        <v>323</v>
      </c>
      <c r="E7368" t="s">
        <v>302</v>
      </c>
      <c r="F7368" t="s">
        <v>8019</v>
      </c>
      <c r="G7368">
        <v>0</v>
      </c>
      <c r="H7368">
        <v>0</v>
      </c>
      <c r="I7368">
        <v>0</v>
      </c>
      <c r="J7368">
        <v>0</v>
      </c>
      <c r="K7368">
        <v>0</v>
      </c>
      <c r="L7368">
        <v>0</v>
      </c>
      <c r="M7368">
        <v>0</v>
      </c>
      <c r="N7368">
        <v>0</v>
      </c>
      <c r="O7368">
        <v>0</v>
      </c>
    </row>
    <row r="7369" spans="1:15" x14ac:dyDescent="0.35">
      <c r="A7369" t="s">
        <v>7996</v>
      </c>
      <c r="B7369" t="s">
        <v>161</v>
      </c>
      <c r="C7369" t="s">
        <v>1059</v>
      </c>
      <c r="D7369" t="s">
        <v>323</v>
      </c>
      <c r="E7369" t="s">
        <v>304</v>
      </c>
      <c r="F7369" t="s">
        <v>8020</v>
      </c>
      <c r="G7369">
        <v>0</v>
      </c>
      <c r="H7369">
        <v>0</v>
      </c>
      <c r="I7369">
        <v>0</v>
      </c>
      <c r="J7369">
        <v>0</v>
      </c>
      <c r="K7369">
        <v>0</v>
      </c>
      <c r="L7369">
        <v>0</v>
      </c>
      <c r="M7369">
        <v>0</v>
      </c>
      <c r="N7369">
        <v>0</v>
      </c>
      <c r="O7369">
        <v>0</v>
      </c>
    </row>
    <row r="7370" spans="1:15" x14ac:dyDescent="0.35">
      <c r="A7370" t="s">
        <v>7996</v>
      </c>
      <c r="B7370" t="s">
        <v>161</v>
      </c>
      <c r="C7370" t="s">
        <v>1059</v>
      </c>
      <c r="D7370" t="s">
        <v>323</v>
      </c>
      <c r="E7370" t="s">
        <v>306</v>
      </c>
      <c r="F7370" t="s">
        <v>8021</v>
      </c>
      <c r="G7370">
        <v>46</v>
      </c>
      <c r="H7370">
        <v>3495.7999999999997</v>
      </c>
      <c r="I7370">
        <v>76</v>
      </c>
      <c r="J7370">
        <v>0</v>
      </c>
      <c r="K7370">
        <v>0</v>
      </c>
      <c r="L7370">
        <v>0</v>
      </c>
      <c r="M7370">
        <v>46</v>
      </c>
      <c r="N7370">
        <v>3495.7999999999997</v>
      </c>
      <c r="O7370">
        <v>76</v>
      </c>
    </row>
    <row r="7371" spans="1:15" x14ac:dyDescent="0.35">
      <c r="A7371" t="s">
        <v>7996</v>
      </c>
      <c r="B7371" t="s">
        <v>161</v>
      </c>
      <c r="C7371" t="s">
        <v>1059</v>
      </c>
      <c r="D7371" t="s">
        <v>323</v>
      </c>
      <c r="E7371" t="s">
        <v>308</v>
      </c>
      <c r="F7371" t="s">
        <v>8022</v>
      </c>
      <c r="G7371">
        <v>0</v>
      </c>
      <c r="H7371">
        <v>0</v>
      </c>
      <c r="I7371">
        <v>0</v>
      </c>
      <c r="J7371">
        <v>0</v>
      </c>
      <c r="K7371">
        <v>0</v>
      </c>
      <c r="L7371">
        <v>0</v>
      </c>
      <c r="M7371">
        <v>0</v>
      </c>
      <c r="N7371">
        <v>0</v>
      </c>
      <c r="O7371">
        <v>0</v>
      </c>
    </row>
    <row r="7372" spans="1:15" x14ac:dyDescent="0.35">
      <c r="A7372" t="s">
        <v>7996</v>
      </c>
      <c r="B7372" t="s">
        <v>161</v>
      </c>
      <c r="C7372" t="s">
        <v>1059</v>
      </c>
      <c r="D7372" t="s">
        <v>323</v>
      </c>
      <c r="E7372" t="s">
        <v>310</v>
      </c>
      <c r="F7372" t="s">
        <v>8023</v>
      </c>
      <c r="G7372">
        <v>6571</v>
      </c>
      <c r="H7372">
        <v>679479.63</v>
      </c>
      <c r="I7372">
        <v>103.41</v>
      </c>
      <c r="J7372">
        <v>0</v>
      </c>
      <c r="K7372">
        <v>0</v>
      </c>
      <c r="L7372">
        <v>0</v>
      </c>
      <c r="M7372">
        <v>6571</v>
      </c>
      <c r="N7372">
        <v>679479.63</v>
      </c>
      <c r="O7372">
        <v>103.41</v>
      </c>
    </row>
    <row r="7373" spans="1:15" x14ac:dyDescent="0.35">
      <c r="A7373" t="s">
        <v>7996</v>
      </c>
      <c r="B7373" t="s">
        <v>161</v>
      </c>
      <c r="C7373" t="s">
        <v>1059</v>
      </c>
      <c r="D7373" t="s">
        <v>323</v>
      </c>
      <c r="E7373" t="s">
        <v>312</v>
      </c>
      <c r="F7373" t="s">
        <v>8024</v>
      </c>
      <c r="G7373">
        <v>6571</v>
      </c>
      <c r="H7373">
        <v>679479.63</v>
      </c>
      <c r="I7373">
        <v>103.41</v>
      </c>
      <c r="J7373">
        <v>0</v>
      </c>
      <c r="K7373">
        <v>0</v>
      </c>
      <c r="L7373">
        <v>0</v>
      </c>
      <c r="M7373">
        <v>6571</v>
      </c>
      <c r="N7373">
        <v>679479.63</v>
      </c>
      <c r="O7373">
        <v>103.41</v>
      </c>
    </row>
    <row r="7374" spans="1:15" x14ac:dyDescent="0.35">
      <c r="A7374" t="s">
        <v>7996</v>
      </c>
      <c r="B7374" t="s">
        <v>161</v>
      </c>
      <c r="C7374" t="s">
        <v>1059</v>
      </c>
      <c r="D7374" t="s">
        <v>334</v>
      </c>
      <c r="E7374" t="s">
        <v>312</v>
      </c>
      <c r="F7374" t="s">
        <v>8025</v>
      </c>
      <c r="G7374">
        <v>7521</v>
      </c>
      <c r="H7374">
        <v>802164.46</v>
      </c>
      <c r="I7374">
        <v>107.13</v>
      </c>
      <c r="J7374">
        <v>0</v>
      </c>
      <c r="K7374">
        <v>0</v>
      </c>
      <c r="L7374">
        <v>0</v>
      </c>
      <c r="M7374">
        <v>7521</v>
      </c>
      <c r="N7374">
        <v>802164.46</v>
      </c>
      <c r="O7374">
        <v>107.13</v>
      </c>
    </row>
    <row r="7375" spans="1:15" x14ac:dyDescent="0.35">
      <c r="A7375" t="s">
        <v>7996</v>
      </c>
      <c r="B7375" t="s">
        <v>161</v>
      </c>
      <c r="C7375" t="s">
        <v>1059</v>
      </c>
      <c r="D7375" t="s">
        <v>334</v>
      </c>
      <c r="E7375" t="s">
        <v>308</v>
      </c>
      <c r="F7375" t="s">
        <v>8026</v>
      </c>
      <c r="G7375">
        <v>0</v>
      </c>
      <c r="H7375">
        <v>0</v>
      </c>
      <c r="I7375">
        <v>0</v>
      </c>
      <c r="J7375">
        <v>0</v>
      </c>
      <c r="K7375">
        <v>0</v>
      </c>
      <c r="L7375">
        <v>0</v>
      </c>
      <c r="M7375">
        <v>0</v>
      </c>
      <c r="N7375">
        <v>0</v>
      </c>
      <c r="O7375">
        <v>0</v>
      </c>
    </row>
    <row r="7376" spans="1:15" x14ac:dyDescent="0.35">
      <c r="A7376" t="s">
        <v>7996</v>
      </c>
      <c r="B7376" t="s">
        <v>161</v>
      </c>
      <c r="C7376" t="s">
        <v>1059</v>
      </c>
      <c r="D7376" t="s">
        <v>337</v>
      </c>
      <c r="E7376" t="s">
        <v>337</v>
      </c>
      <c r="F7376" t="s">
        <v>8027</v>
      </c>
      <c r="G7376">
        <v>631</v>
      </c>
      <c r="J7376">
        <v>0</v>
      </c>
      <c r="M7376">
        <v>631</v>
      </c>
    </row>
    <row r="7377" spans="1:15" x14ac:dyDescent="0.35">
      <c r="A7377" t="s">
        <v>7996</v>
      </c>
      <c r="B7377" t="s">
        <v>161</v>
      </c>
      <c r="C7377" t="s">
        <v>1059</v>
      </c>
      <c r="D7377" t="s">
        <v>339</v>
      </c>
      <c r="E7377" t="s">
        <v>294</v>
      </c>
      <c r="F7377" t="s">
        <v>8028</v>
      </c>
      <c r="G7377">
        <v>1031</v>
      </c>
      <c r="H7377">
        <v>115794.95000000001</v>
      </c>
      <c r="I7377">
        <v>112.31</v>
      </c>
      <c r="J7377">
        <v>0</v>
      </c>
      <c r="K7377">
        <v>0</v>
      </c>
      <c r="L7377">
        <v>0</v>
      </c>
      <c r="M7377">
        <v>1031</v>
      </c>
      <c r="N7377">
        <v>115794.95000000001</v>
      </c>
      <c r="O7377">
        <v>112.31</v>
      </c>
    </row>
    <row r="7378" spans="1:15" x14ac:dyDescent="0.35">
      <c r="A7378" t="s">
        <v>7996</v>
      </c>
      <c r="B7378" t="s">
        <v>161</v>
      </c>
      <c r="C7378" t="s">
        <v>1059</v>
      </c>
      <c r="D7378" t="s">
        <v>339</v>
      </c>
      <c r="E7378" t="s">
        <v>296</v>
      </c>
      <c r="F7378" t="s">
        <v>8029</v>
      </c>
      <c r="G7378">
        <v>137</v>
      </c>
      <c r="H7378">
        <v>16049.439999999999</v>
      </c>
      <c r="I7378">
        <v>117.15</v>
      </c>
      <c r="J7378">
        <v>0</v>
      </c>
      <c r="K7378">
        <v>0</v>
      </c>
      <c r="L7378">
        <v>0</v>
      </c>
      <c r="M7378">
        <v>137</v>
      </c>
      <c r="N7378">
        <v>16049.439999999999</v>
      </c>
      <c r="O7378">
        <v>117.15</v>
      </c>
    </row>
    <row r="7379" spans="1:15" x14ac:dyDescent="0.35">
      <c r="A7379" t="s">
        <v>7996</v>
      </c>
      <c r="B7379" t="s">
        <v>161</v>
      </c>
      <c r="C7379" t="s">
        <v>1059</v>
      </c>
      <c r="D7379" t="s">
        <v>339</v>
      </c>
      <c r="E7379" t="s">
        <v>298</v>
      </c>
      <c r="F7379" t="s">
        <v>8030</v>
      </c>
      <c r="G7379">
        <v>2</v>
      </c>
      <c r="H7379">
        <v>370.76</v>
      </c>
      <c r="I7379">
        <v>185.38</v>
      </c>
      <c r="J7379">
        <v>0</v>
      </c>
      <c r="K7379">
        <v>0</v>
      </c>
      <c r="L7379">
        <v>0</v>
      </c>
      <c r="M7379">
        <v>2</v>
      </c>
      <c r="N7379">
        <v>370.76</v>
      </c>
      <c r="O7379">
        <v>185.38</v>
      </c>
    </row>
    <row r="7380" spans="1:15" x14ac:dyDescent="0.35">
      <c r="A7380" t="s">
        <v>7996</v>
      </c>
      <c r="B7380" t="s">
        <v>161</v>
      </c>
      <c r="C7380" t="s">
        <v>1059</v>
      </c>
      <c r="D7380" t="s">
        <v>339</v>
      </c>
      <c r="E7380" t="s">
        <v>300</v>
      </c>
      <c r="F7380" t="s">
        <v>8031</v>
      </c>
      <c r="G7380">
        <v>0</v>
      </c>
      <c r="H7380">
        <v>0</v>
      </c>
      <c r="I7380">
        <v>0</v>
      </c>
      <c r="J7380">
        <v>0</v>
      </c>
      <c r="K7380">
        <v>0</v>
      </c>
      <c r="L7380">
        <v>0</v>
      </c>
      <c r="M7380">
        <v>0</v>
      </c>
      <c r="N7380">
        <v>0</v>
      </c>
      <c r="O7380">
        <v>0</v>
      </c>
    </row>
    <row r="7381" spans="1:15" x14ac:dyDescent="0.35">
      <c r="A7381" t="s">
        <v>7996</v>
      </c>
      <c r="B7381" t="s">
        <v>161</v>
      </c>
      <c r="C7381" t="s">
        <v>1059</v>
      </c>
      <c r="D7381" t="s">
        <v>339</v>
      </c>
      <c r="E7381" t="s">
        <v>306</v>
      </c>
      <c r="F7381" t="s">
        <v>8032</v>
      </c>
      <c r="G7381">
        <v>23</v>
      </c>
      <c r="H7381">
        <v>2032.6399999999999</v>
      </c>
      <c r="I7381">
        <v>88.38</v>
      </c>
      <c r="J7381">
        <v>0</v>
      </c>
      <c r="K7381">
        <v>0</v>
      </c>
      <c r="L7381">
        <v>0</v>
      </c>
      <c r="M7381">
        <v>23</v>
      </c>
      <c r="N7381">
        <v>2032.6399999999999</v>
      </c>
      <c r="O7381">
        <v>88.38</v>
      </c>
    </row>
    <row r="7382" spans="1:15" x14ac:dyDescent="0.35">
      <c r="A7382" t="s">
        <v>7996</v>
      </c>
      <c r="B7382" t="s">
        <v>161</v>
      </c>
      <c r="C7382" t="s">
        <v>1059</v>
      </c>
      <c r="D7382" t="s">
        <v>339</v>
      </c>
      <c r="E7382" t="s">
        <v>308</v>
      </c>
      <c r="F7382" t="s">
        <v>8033</v>
      </c>
      <c r="G7382">
        <v>17</v>
      </c>
      <c r="H7382">
        <v>1945.48</v>
      </c>
      <c r="I7382">
        <v>114.44</v>
      </c>
      <c r="J7382">
        <v>0</v>
      </c>
      <c r="K7382">
        <v>0</v>
      </c>
      <c r="L7382">
        <v>0</v>
      </c>
      <c r="M7382">
        <v>17</v>
      </c>
      <c r="N7382">
        <v>1945.48</v>
      </c>
      <c r="O7382">
        <v>114.44</v>
      </c>
    </row>
    <row r="7383" spans="1:15" x14ac:dyDescent="0.35">
      <c r="A7383" t="s">
        <v>7996</v>
      </c>
      <c r="B7383" t="s">
        <v>161</v>
      </c>
      <c r="C7383" t="s">
        <v>1059</v>
      </c>
      <c r="D7383" t="s">
        <v>339</v>
      </c>
      <c r="E7383" t="s">
        <v>310</v>
      </c>
      <c r="F7383" t="s">
        <v>8034</v>
      </c>
      <c r="G7383">
        <v>1210</v>
      </c>
      <c r="H7383">
        <v>136193.27000000005</v>
      </c>
      <c r="I7383">
        <v>112.56</v>
      </c>
      <c r="J7383">
        <v>0</v>
      </c>
      <c r="K7383">
        <v>0</v>
      </c>
      <c r="L7383">
        <v>0</v>
      </c>
      <c r="M7383">
        <v>1210</v>
      </c>
      <c r="N7383">
        <v>136193.27000000005</v>
      </c>
      <c r="O7383">
        <v>112.56</v>
      </c>
    </row>
    <row r="7384" spans="1:15" x14ac:dyDescent="0.35">
      <c r="A7384" t="s">
        <v>7996</v>
      </c>
      <c r="B7384" t="s">
        <v>161</v>
      </c>
      <c r="C7384" t="s">
        <v>1059</v>
      </c>
      <c r="D7384" t="s">
        <v>339</v>
      </c>
      <c r="E7384" t="s">
        <v>312</v>
      </c>
      <c r="F7384" t="s">
        <v>8035</v>
      </c>
      <c r="G7384">
        <v>1193</v>
      </c>
      <c r="H7384">
        <v>134247.79000000004</v>
      </c>
      <c r="I7384">
        <v>112.53</v>
      </c>
      <c r="J7384">
        <v>0</v>
      </c>
      <c r="K7384">
        <v>0</v>
      </c>
      <c r="L7384">
        <v>0</v>
      </c>
      <c r="M7384">
        <v>1193</v>
      </c>
      <c r="N7384">
        <v>134247.79000000004</v>
      </c>
      <c r="O7384">
        <v>112.53</v>
      </c>
    </row>
    <row r="7385" spans="1:15" x14ac:dyDescent="0.35">
      <c r="A7385" t="s">
        <v>7996</v>
      </c>
      <c r="B7385" t="s">
        <v>161</v>
      </c>
      <c r="C7385" t="s">
        <v>1059</v>
      </c>
      <c r="D7385" t="s">
        <v>348</v>
      </c>
      <c r="E7385" t="s">
        <v>349</v>
      </c>
      <c r="F7385" t="s">
        <v>8036</v>
      </c>
      <c r="G7385">
        <v>1398</v>
      </c>
      <c r="H7385">
        <v>174522.42000000004</v>
      </c>
      <c r="I7385">
        <v>126.56</v>
      </c>
      <c r="J7385">
        <v>0</v>
      </c>
      <c r="K7385">
        <v>0</v>
      </c>
      <c r="L7385">
        <v>0</v>
      </c>
      <c r="M7385">
        <v>1398</v>
      </c>
      <c r="N7385">
        <v>174522.42000000004</v>
      </c>
      <c r="O7385">
        <v>126.56</v>
      </c>
    </row>
    <row r="7386" spans="1:15" x14ac:dyDescent="0.35">
      <c r="A7386" t="s">
        <v>8037</v>
      </c>
      <c r="B7386" t="s">
        <v>162</v>
      </c>
      <c r="C7386" t="s">
        <v>1059</v>
      </c>
      <c r="D7386" t="s">
        <v>293</v>
      </c>
      <c r="E7386" t="s">
        <v>294</v>
      </c>
      <c r="F7386" t="s">
        <v>8038</v>
      </c>
      <c r="G7386">
        <v>59</v>
      </c>
      <c r="H7386">
        <v>6416.35</v>
      </c>
      <c r="I7386">
        <v>108.75</v>
      </c>
      <c r="J7386">
        <v>0</v>
      </c>
      <c r="K7386">
        <v>0</v>
      </c>
      <c r="L7386">
        <v>0</v>
      </c>
      <c r="M7386">
        <v>59</v>
      </c>
      <c r="N7386">
        <v>6416.35</v>
      </c>
      <c r="O7386">
        <v>108.75</v>
      </c>
    </row>
    <row r="7387" spans="1:15" x14ac:dyDescent="0.35">
      <c r="A7387" t="s">
        <v>8037</v>
      </c>
      <c r="B7387" t="s">
        <v>162</v>
      </c>
      <c r="C7387" t="s">
        <v>1059</v>
      </c>
      <c r="D7387" t="s">
        <v>293</v>
      </c>
      <c r="E7387" t="s">
        <v>296</v>
      </c>
      <c r="F7387" t="s">
        <v>8039</v>
      </c>
      <c r="G7387">
        <v>134</v>
      </c>
      <c r="H7387">
        <v>17112.23</v>
      </c>
      <c r="I7387">
        <v>127.7</v>
      </c>
      <c r="J7387">
        <v>0</v>
      </c>
      <c r="K7387">
        <v>0</v>
      </c>
      <c r="L7387">
        <v>0</v>
      </c>
      <c r="M7387">
        <v>134</v>
      </c>
      <c r="N7387">
        <v>17112.23</v>
      </c>
      <c r="O7387">
        <v>127.7</v>
      </c>
    </row>
    <row r="7388" spans="1:15" x14ac:dyDescent="0.35">
      <c r="A7388" t="s">
        <v>8037</v>
      </c>
      <c r="B7388" t="s">
        <v>162</v>
      </c>
      <c r="C7388" t="s">
        <v>1059</v>
      </c>
      <c r="D7388" t="s">
        <v>293</v>
      </c>
      <c r="E7388" t="s">
        <v>298</v>
      </c>
      <c r="F7388" t="s">
        <v>8040</v>
      </c>
      <c r="G7388">
        <v>130</v>
      </c>
      <c r="H7388">
        <v>17269.98</v>
      </c>
      <c r="I7388">
        <v>132.85</v>
      </c>
      <c r="J7388">
        <v>0</v>
      </c>
      <c r="K7388">
        <v>0</v>
      </c>
      <c r="L7388">
        <v>0</v>
      </c>
      <c r="M7388">
        <v>130</v>
      </c>
      <c r="N7388">
        <v>17269.98</v>
      </c>
      <c r="O7388">
        <v>132.85</v>
      </c>
    </row>
    <row r="7389" spans="1:15" x14ac:dyDescent="0.35">
      <c r="A7389" t="s">
        <v>8037</v>
      </c>
      <c r="B7389" t="s">
        <v>162</v>
      </c>
      <c r="C7389" t="s">
        <v>1059</v>
      </c>
      <c r="D7389" t="s">
        <v>293</v>
      </c>
      <c r="E7389" t="s">
        <v>300</v>
      </c>
      <c r="F7389" t="s">
        <v>8041</v>
      </c>
      <c r="G7389">
        <v>5</v>
      </c>
      <c r="H7389">
        <v>753.94999999999993</v>
      </c>
      <c r="I7389">
        <v>150.79</v>
      </c>
      <c r="J7389">
        <v>0</v>
      </c>
      <c r="K7389">
        <v>0</v>
      </c>
      <c r="L7389">
        <v>0</v>
      </c>
      <c r="M7389">
        <v>5</v>
      </c>
      <c r="N7389">
        <v>753.94999999999993</v>
      </c>
      <c r="O7389">
        <v>150.79</v>
      </c>
    </row>
    <row r="7390" spans="1:15" x14ac:dyDescent="0.35">
      <c r="A7390" t="s">
        <v>8037</v>
      </c>
      <c r="B7390" t="s">
        <v>162</v>
      </c>
      <c r="C7390" t="s">
        <v>1059</v>
      </c>
      <c r="D7390" t="s">
        <v>293</v>
      </c>
      <c r="E7390" t="s">
        <v>302</v>
      </c>
      <c r="F7390" t="s">
        <v>8042</v>
      </c>
      <c r="G7390">
        <v>0</v>
      </c>
      <c r="H7390">
        <v>0</v>
      </c>
      <c r="I7390">
        <v>0</v>
      </c>
      <c r="J7390">
        <v>0</v>
      </c>
      <c r="K7390">
        <v>0</v>
      </c>
      <c r="L7390">
        <v>0</v>
      </c>
      <c r="M7390">
        <v>0</v>
      </c>
      <c r="N7390">
        <v>0</v>
      </c>
      <c r="O7390">
        <v>0</v>
      </c>
    </row>
    <row r="7391" spans="1:15" x14ac:dyDescent="0.35">
      <c r="A7391" t="s">
        <v>8037</v>
      </c>
      <c r="B7391" t="s">
        <v>162</v>
      </c>
      <c r="C7391" t="s">
        <v>1059</v>
      </c>
      <c r="D7391" t="s">
        <v>293</v>
      </c>
      <c r="E7391" t="s">
        <v>304</v>
      </c>
      <c r="F7391" t="s">
        <v>8043</v>
      </c>
      <c r="G7391">
        <v>0</v>
      </c>
      <c r="H7391">
        <v>0</v>
      </c>
      <c r="I7391">
        <v>0</v>
      </c>
      <c r="J7391">
        <v>0</v>
      </c>
      <c r="K7391">
        <v>0</v>
      </c>
      <c r="L7391">
        <v>0</v>
      </c>
      <c r="M7391">
        <v>0</v>
      </c>
      <c r="N7391">
        <v>0</v>
      </c>
      <c r="O7391">
        <v>0</v>
      </c>
    </row>
    <row r="7392" spans="1:15" x14ac:dyDescent="0.35">
      <c r="A7392" t="s">
        <v>8037</v>
      </c>
      <c r="B7392" t="s">
        <v>162</v>
      </c>
      <c r="C7392" t="s">
        <v>1059</v>
      </c>
      <c r="D7392" t="s">
        <v>293</v>
      </c>
      <c r="E7392" t="s">
        <v>306</v>
      </c>
      <c r="F7392" t="s">
        <v>8044</v>
      </c>
      <c r="G7392">
        <v>0</v>
      </c>
      <c r="H7392">
        <v>0</v>
      </c>
      <c r="I7392">
        <v>0</v>
      </c>
      <c r="J7392">
        <v>0</v>
      </c>
      <c r="K7392">
        <v>0</v>
      </c>
      <c r="L7392">
        <v>0</v>
      </c>
      <c r="M7392">
        <v>0</v>
      </c>
      <c r="N7392">
        <v>0</v>
      </c>
      <c r="O7392">
        <v>0</v>
      </c>
    </row>
    <row r="7393" spans="1:15" x14ac:dyDescent="0.35">
      <c r="A7393" t="s">
        <v>8037</v>
      </c>
      <c r="B7393" t="s">
        <v>162</v>
      </c>
      <c r="C7393" t="s">
        <v>1059</v>
      </c>
      <c r="D7393" t="s">
        <v>293</v>
      </c>
      <c r="E7393" t="s">
        <v>308</v>
      </c>
      <c r="F7393" t="s">
        <v>8045</v>
      </c>
      <c r="G7393">
        <v>0</v>
      </c>
      <c r="H7393">
        <v>0</v>
      </c>
      <c r="I7393">
        <v>0</v>
      </c>
      <c r="J7393">
        <v>0</v>
      </c>
      <c r="K7393">
        <v>0</v>
      </c>
      <c r="L7393">
        <v>0</v>
      </c>
      <c r="M7393">
        <v>0</v>
      </c>
      <c r="N7393">
        <v>0</v>
      </c>
      <c r="O7393">
        <v>0</v>
      </c>
    </row>
    <row r="7394" spans="1:15" x14ac:dyDescent="0.35">
      <c r="A7394" t="s">
        <v>8037</v>
      </c>
      <c r="B7394" t="s">
        <v>162</v>
      </c>
      <c r="C7394" t="s">
        <v>1059</v>
      </c>
      <c r="D7394" t="s">
        <v>293</v>
      </c>
      <c r="E7394" t="s">
        <v>310</v>
      </c>
      <c r="F7394" t="s">
        <v>8046</v>
      </c>
      <c r="G7394">
        <v>328</v>
      </c>
      <c r="H7394">
        <v>41552.509999999995</v>
      </c>
      <c r="I7394">
        <v>126.68</v>
      </c>
      <c r="J7394">
        <v>0</v>
      </c>
      <c r="K7394">
        <v>0</v>
      </c>
      <c r="L7394">
        <v>0</v>
      </c>
      <c r="M7394">
        <v>328</v>
      </c>
      <c r="N7394">
        <v>41552.509999999995</v>
      </c>
      <c r="O7394">
        <v>126.68</v>
      </c>
    </row>
    <row r="7395" spans="1:15" x14ac:dyDescent="0.35">
      <c r="A7395" t="s">
        <v>8037</v>
      </c>
      <c r="B7395" t="s">
        <v>162</v>
      </c>
      <c r="C7395" t="s">
        <v>1059</v>
      </c>
      <c r="D7395" t="s">
        <v>293</v>
      </c>
      <c r="E7395" t="s">
        <v>312</v>
      </c>
      <c r="F7395" t="s">
        <v>8047</v>
      </c>
      <c r="G7395">
        <v>328</v>
      </c>
      <c r="H7395">
        <v>41552.509999999995</v>
      </c>
      <c r="I7395">
        <v>126.68</v>
      </c>
      <c r="J7395">
        <v>0</v>
      </c>
      <c r="K7395">
        <v>0</v>
      </c>
      <c r="L7395">
        <v>0</v>
      </c>
      <c r="M7395">
        <v>328</v>
      </c>
      <c r="N7395">
        <v>41552.509999999995</v>
      </c>
      <c r="O7395">
        <v>126.68</v>
      </c>
    </row>
    <row r="7396" spans="1:15" x14ac:dyDescent="0.35">
      <c r="A7396" t="s">
        <v>8037</v>
      </c>
      <c r="B7396" t="s">
        <v>162</v>
      </c>
      <c r="C7396" t="s">
        <v>1059</v>
      </c>
      <c r="D7396" t="s">
        <v>314</v>
      </c>
      <c r="E7396" t="s">
        <v>294</v>
      </c>
      <c r="F7396" t="s">
        <v>8048</v>
      </c>
      <c r="G7396">
        <v>57</v>
      </c>
      <c r="H7396">
        <v>9623.4200000000019</v>
      </c>
      <c r="I7396">
        <v>168.83</v>
      </c>
      <c r="J7396">
        <v>0</v>
      </c>
      <c r="K7396">
        <v>0</v>
      </c>
      <c r="L7396">
        <v>0</v>
      </c>
      <c r="M7396">
        <v>57</v>
      </c>
      <c r="N7396">
        <v>9623.4200000000019</v>
      </c>
      <c r="O7396">
        <v>168.83</v>
      </c>
    </row>
    <row r="7397" spans="1:15" x14ac:dyDescent="0.35">
      <c r="A7397" t="s">
        <v>8037</v>
      </c>
      <c r="B7397" t="s">
        <v>162</v>
      </c>
      <c r="C7397" t="s">
        <v>1059</v>
      </c>
      <c r="D7397" t="s">
        <v>314</v>
      </c>
      <c r="E7397" t="s">
        <v>296</v>
      </c>
      <c r="F7397" t="s">
        <v>8049</v>
      </c>
      <c r="G7397">
        <v>24</v>
      </c>
      <c r="H7397">
        <v>4256.42</v>
      </c>
      <c r="I7397">
        <v>177.35</v>
      </c>
      <c r="J7397">
        <v>0</v>
      </c>
      <c r="K7397">
        <v>0</v>
      </c>
      <c r="L7397">
        <v>0</v>
      </c>
      <c r="M7397">
        <v>24</v>
      </c>
      <c r="N7397">
        <v>4256.42</v>
      </c>
      <c r="O7397">
        <v>177.35</v>
      </c>
    </row>
    <row r="7398" spans="1:15" x14ac:dyDescent="0.35">
      <c r="A7398" t="s">
        <v>8037</v>
      </c>
      <c r="B7398" t="s">
        <v>162</v>
      </c>
      <c r="C7398" t="s">
        <v>1059</v>
      </c>
      <c r="D7398" t="s">
        <v>314</v>
      </c>
      <c r="E7398" t="s">
        <v>298</v>
      </c>
      <c r="F7398" t="s">
        <v>8050</v>
      </c>
      <c r="G7398">
        <v>0</v>
      </c>
      <c r="H7398">
        <v>0</v>
      </c>
      <c r="I7398">
        <v>0</v>
      </c>
      <c r="J7398">
        <v>0</v>
      </c>
      <c r="K7398">
        <v>0</v>
      </c>
      <c r="L7398">
        <v>0</v>
      </c>
      <c r="M7398">
        <v>0</v>
      </c>
      <c r="N7398">
        <v>0</v>
      </c>
      <c r="O7398">
        <v>0</v>
      </c>
    </row>
    <row r="7399" spans="1:15" x14ac:dyDescent="0.35">
      <c r="A7399" t="s">
        <v>8037</v>
      </c>
      <c r="B7399" t="s">
        <v>162</v>
      </c>
      <c r="C7399" t="s">
        <v>1059</v>
      </c>
      <c r="D7399" t="s">
        <v>314</v>
      </c>
      <c r="E7399" t="s">
        <v>300</v>
      </c>
      <c r="F7399" t="s">
        <v>8051</v>
      </c>
      <c r="G7399">
        <v>0</v>
      </c>
      <c r="H7399">
        <v>0</v>
      </c>
      <c r="I7399">
        <v>0</v>
      </c>
      <c r="J7399">
        <v>0</v>
      </c>
      <c r="K7399">
        <v>0</v>
      </c>
      <c r="L7399">
        <v>0</v>
      </c>
      <c r="M7399">
        <v>0</v>
      </c>
      <c r="N7399">
        <v>0</v>
      </c>
      <c r="O7399">
        <v>0</v>
      </c>
    </row>
    <row r="7400" spans="1:15" x14ac:dyDescent="0.35">
      <c r="A7400" t="s">
        <v>8037</v>
      </c>
      <c r="B7400" t="s">
        <v>162</v>
      </c>
      <c r="C7400" t="s">
        <v>1059</v>
      </c>
      <c r="D7400" t="s">
        <v>314</v>
      </c>
      <c r="E7400" t="s">
        <v>306</v>
      </c>
      <c r="F7400" t="s">
        <v>8052</v>
      </c>
      <c r="G7400">
        <v>0</v>
      </c>
      <c r="H7400">
        <v>0</v>
      </c>
      <c r="I7400">
        <v>0</v>
      </c>
      <c r="J7400">
        <v>0</v>
      </c>
      <c r="K7400">
        <v>0</v>
      </c>
      <c r="L7400">
        <v>0</v>
      </c>
      <c r="M7400">
        <v>0</v>
      </c>
      <c r="N7400">
        <v>0</v>
      </c>
      <c r="O7400">
        <v>0</v>
      </c>
    </row>
    <row r="7401" spans="1:15" x14ac:dyDescent="0.35">
      <c r="A7401" t="s">
        <v>8037</v>
      </c>
      <c r="B7401" t="s">
        <v>162</v>
      </c>
      <c r="C7401" t="s">
        <v>1059</v>
      </c>
      <c r="D7401" t="s">
        <v>314</v>
      </c>
      <c r="E7401" t="s">
        <v>308</v>
      </c>
      <c r="F7401" t="s">
        <v>8053</v>
      </c>
      <c r="G7401">
        <v>0</v>
      </c>
      <c r="H7401">
        <v>0</v>
      </c>
      <c r="I7401">
        <v>0</v>
      </c>
      <c r="J7401">
        <v>0</v>
      </c>
      <c r="K7401">
        <v>0</v>
      </c>
      <c r="L7401">
        <v>0</v>
      </c>
      <c r="M7401">
        <v>0</v>
      </c>
      <c r="N7401">
        <v>0</v>
      </c>
      <c r="O7401">
        <v>0</v>
      </c>
    </row>
    <row r="7402" spans="1:15" x14ac:dyDescent="0.35">
      <c r="A7402" t="s">
        <v>8037</v>
      </c>
      <c r="B7402" t="s">
        <v>162</v>
      </c>
      <c r="C7402" t="s">
        <v>1059</v>
      </c>
      <c r="D7402" t="s">
        <v>314</v>
      </c>
      <c r="E7402" t="s">
        <v>312</v>
      </c>
      <c r="F7402" t="s">
        <v>8054</v>
      </c>
      <c r="G7402">
        <v>81</v>
      </c>
      <c r="H7402">
        <v>13879.840000000002</v>
      </c>
      <c r="I7402">
        <v>171.36</v>
      </c>
      <c r="J7402">
        <v>0</v>
      </c>
      <c r="K7402">
        <v>0</v>
      </c>
      <c r="L7402">
        <v>0</v>
      </c>
      <c r="M7402">
        <v>81</v>
      </c>
      <c r="N7402">
        <v>13879.840000000002</v>
      </c>
      <c r="O7402">
        <v>171.36</v>
      </c>
    </row>
    <row r="7403" spans="1:15" x14ac:dyDescent="0.35">
      <c r="A7403" t="s">
        <v>8037</v>
      </c>
      <c r="B7403" t="s">
        <v>162</v>
      </c>
      <c r="C7403" t="s">
        <v>1059</v>
      </c>
      <c r="D7403" t="s">
        <v>314</v>
      </c>
      <c r="E7403" t="s">
        <v>310</v>
      </c>
      <c r="F7403" t="s">
        <v>8055</v>
      </c>
      <c r="G7403">
        <v>81</v>
      </c>
      <c r="H7403">
        <v>13879.840000000002</v>
      </c>
      <c r="I7403">
        <v>171.36</v>
      </c>
      <c r="J7403">
        <v>0</v>
      </c>
      <c r="K7403">
        <v>0</v>
      </c>
      <c r="L7403">
        <v>0</v>
      </c>
      <c r="M7403">
        <v>81</v>
      </c>
      <c r="N7403">
        <v>13879.840000000002</v>
      </c>
      <c r="O7403">
        <v>171.36</v>
      </c>
    </row>
    <row r="7404" spans="1:15" x14ac:dyDescent="0.35">
      <c r="A7404" t="s">
        <v>8037</v>
      </c>
      <c r="B7404" t="s">
        <v>162</v>
      </c>
      <c r="C7404" t="s">
        <v>1059</v>
      </c>
      <c r="D7404" t="s">
        <v>323</v>
      </c>
      <c r="E7404" t="s">
        <v>294</v>
      </c>
      <c r="F7404" t="s">
        <v>8056</v>
      </c>
      <c r="G7404">
        <v>957</v>
      </c>
      <c r="H7404">
        <v>91958.75</v>
      </c>
      <c r="I7404">
        <v>96.09</v>
      </c>
      <c r="J7404">
        <v>0</v>
      </c>
      <c r="K7404">
        <v>0</v>
      </c>
      <c r="L7404">
        <v>0</v>
      </c>
      <c r="M7404">
        <v>957</v>
      </c>
      <c r="N7404">
        <v>91958.75</v>
      </c>
      <c r="O7404">
        <v>96.09</v>
      </c>
    </row>
    <row r="7405" spans="1:15" x14ac:dyDescent="0.35">
      <c r="A7405" t="s">
        <v>8037</v>
      </c>
      <c r="B7405" t="s">
        <v>162</v>
      </c>
      <c r="C7405" t="s">
        <v>1059</v>
      </c>
      <c r="D7405" t="s">
        <v>323</v>
      </c>
      <c r="E7405" t="s">
        <v>296</v>
      </c>
      <c r="F7405" t="s">
        <v>8057</v>
      </c>
      <c r="G7405">
        <v>907</v>
      </c>
      <c r="H7405">
        <v>93631.61</v>
      </c>
      <c r="I7405">
        <v>103.23</v>
      </c>
      <c r="J7405">
        <v>0</v>
      </c>
      <c r="K7405">
        <v>0</v>
      </c>
      <c r="L7405">
        <v>0</v>
      </c>
      <c r="M7405">
        <v>907</v>
      </c>
      <c r="N7405">
        <v>93631.61</v>
      </c>
      <c r="O7405">
        <v>103.23</v>
      </c>
    </row>
    <row r="7406" spans="1:15" x14ac:dyDescent="0.35">
      <c r="A7406" t="s">
        <v>8037</v>
      </c>
      <c r="B7406" t="s">
        <v>162</v>
      </c>
      <c r="C7406" t="s">
        <v>1059</v>
      </c>
      <c r="D7406" t="s">
        <v>323</v>
      </c>
      <c r="E7406" t="s">
        <v>298</v>
      </c>
      <c r="F7406" t="s">
        <v>8058</v>
      </c>
      <c r="G7406">
        <v>1110</v>
      </c>
      <c r="H7406">
        <v>125079</v>
      </c>
      <c r="I7406">
        <v>112.68</v>
      </c>
      <c r="J7406">
        <v>0</v>
      </c>
      <c r="K7406">
        <v>0</v>
      </c>
      <c r="L7406">
        <v>0</v>
      </c>
      <c r="M7406">
        <v>1110</v>
      </c>
      <c r="N7406">
        <v>125079</v>
      </c>
      <c r="O7406">
        <v>112.68</v>
      </c>
    </row>
    <row r="7407" spans="1:15" x14ac:dyDescent="0.35">
      <c r="A7407" t="s">
        <v>8037</v>
      </c>
      <c r="B7407" t="s">
        <v>162</v>
      </c>
      <c r="C7407" t="s">
        <v>1059</v>
      </c>
      <c r="D7407" t="s">
        <v>323</v>
      </c>
      <c r="E7407" t="s">
        <v>300</v>
      </c>
      <c r="F7407" t="s">
        <v>8059</v>
      </c>
      <c r="G7407">
        <v>29</v>
      </c>
      <c r="H7407">
        <v>3468.37</v>
      </c>
      <c r="I7407">
        <v>119.6</v>
      </c>
      <c r="J7407">
        <v>0</v>
      </c>
      <c r="K7407">
        <v>0</v>
      </c>
      <c r="L7407">
        <v>0</v>
      </c>
      <c r="M7407">
        <v>29</v>
      </c>
      <c r="N7407">
        <v>3468.37</v>
      </c>
      <c r="O7407">
        <v>119.6</v>
      </c>
    </row>
    <row r="7408" spans="1:15" x14ac:dyDescent="0.35">
      <c r="A7408" t="s">
        <v>8037</v>
      </c>
      <c r="B7408" t="s">
        <v>162</v>
      </c>
      <c r="C7408" t="s">
        <v>1059</v>
      </c>
      <c r="D7408" t="s">
        <v>323</v>
      </c>
      <c r="E7408" t="s">
        <v>302</v>
      </c>
      <c r="F7408" t="s">
        <v>8060</v>
      </c>
      <c r="G7408">
        <v>0</v>
      </c>
      <c r="H7408">
        <v>0</v>
      </c>
      <c r="I7408">
        <v>0</v>
      </c>
      <c r="J7408">
        <v>0</v>
      </c>
      <c r="K7408">
        <v>0</v>
      </c>
      <c r="L7408">
        <v>0</v>
      </c>
      <c r="M7408">
        <v>0</v>
      </c>
      <c r="N7408">
        <v>0</v>
      </c>
      <c r="O7408">
        <v>0</v>
      </c>
    </row>
    <row r="7409" spans="1:15" x14ac:dyDescent="0.35">
      <c r="A7409" t="s">
        <v>8037</v>
      </c>
      <c r="B7409" t="s">
        <v>162</v>
      </c>
      <c r="C7409" t="s">
        <v>1059</v>
      </c>
      <c r="D7409" t="s">
        <v>323</v>
      </c>
      <c r="E7409" t="s">
        <v>304</v>
      </c>
      <c r="F7409" t="s">
        <v>8061</v>
      </c>
      <c r="G7409">
        <v>0</v>
      </c>
      <c r="H7409">
        <v>0</v>
      </c>
      <c r="I7409">
        <v>0</v>
      </c>
      <c r="J7409">
        <v>0</v>
      </c>
      <c r="K7409">
        <v>0</v>
      </c>
      <c r="L7409">
        <v>0</v>
      </c>
      <c r="M7409">
        <v>0</v>
      </c>
      <c r="N7409">
        <v>0</v>
      </c>
      <c r="O7409">
        <v>0</v>
      </c>
    </row>
    <row r="7410" spans="1:15" x14ac:dyDescent="0.35">
      <c r="A7410" t="s">
        <v>8037</v>
      </c>
      <c r="B7410" t="s">
        <v>162</v>
      </c>
      <c r="C7410" t="s">
        <v>1059</v>
      </c>
      <c r="D7410" t="s">
        <v>323</v>
      </c>
      <c r="E7410" t="s">
        <v>306</v>
      </c>
      <c r="F7410" t="s">
        <v>8062</v>
      </c>
      <c r="G7410">
        <v>12</v>
      </c>
      <c r="H7410">
        <v>973.92</v>
      </c>
      <c r="I7410">
        <v>81.16</v>
      </c>
      <c r="J7410">
        <v>0</v>
      </c>
      <c r="K7410">
        <v>0</v>
      </c>
      <c r="L7410">
        <v>0</v>
      </c>
      <c r="M7410">
        <v>12</v>
      </c>
      <c r="N7410">
        <v>973.92</v>
      </c>
      <c r="O7410">
        <v>81.16</v>
      </c>
    </row>
    <row r="7411" spans="1:15" x14ac:dyDescent="0.35">
      <c r="A7411" t="s">
        <v>8037</v>
      </c>
      <c r="B7411" t="s">
        <v>162</v>
      </c>
      <c r="C7411" t="s">
        <v>1059</v>
      </c>
      <c r="D7411" t="s">
        <v>323</v>
      </c>
      <c r="E7411" t="s">
        <v>308</v>
      </c>
      <c r="F7411" t="s">
        <v>8063</v>
      </c>
      <c r="G7411">
        <v>0</v>
      </c>
      <c r="H7411">
        <v>0</v>
      </c>
      <c r="I7411">
        <v>0</v>
      </c>
      <c r="J7411">
        <v>0</v>
      </c>
      <c r="K7411">
        <v>0</v>
      </c>
      <c r="L7411">
        <v>0</v>
      </c>
      <c r="M7411">
        <v>0</v>
      </c>
      <c r="N7411">
        <v>0</v>
      </c>
      <c r="O7411">
        <v>0</v>
      </c>
    </row>
    <row r="7412" spans="1:15" x14ac:dyDescent="0.35">
      <c r="A7412" t="s">
        <v>8037</v>
      </c>
      <c r="B7412" t="s">
        <v>162</v>
      </c>
      <c r="C7412" t="s">
        <v>1059</v>
      </c>
      <c r="D7412" t="s">
        <v>323</v>
      </c>
      <c r="E7412" t="s">
        <v>310</v>
      </c>
      <c r="F7412" t="s">
        <v>8064</v>
      </c>
      <c r="G7412">
        <v>3015</v>
      </c>
      <c r="H7412">
        <v>315111.64999999997</v>
      </c>
      <c r="I7412">
        <v>104.51</v>
      </c>
      <c r="J7412">
        <v>0</v>
      </c>
      <c r="K7412">
        <v>0</v>
      </c>
      <c r="L7412">
        <v>0</v>
      </c>
      <c r="M7412">
        <v>3015</v>
      </c>
      <c r="N7412">
        <v>315111.64999999997</v>
      </c>
      <c r="O7412">
        <v>104.51</v>
      </c>
    </row>
    <row r="7413" spans="1:15" x14ac:dyDescent="0.35">
      <c r="A7413" t="s">
        <v>8037</v>
      </c>
      <c r="B7413" t="s">
        <v>162</v>
      </c>
      <c r="C7413" t="s">
        <v>1059</v>
      </c>
      <c r="D7413" t="s">
        <v>323</v>
      </c>
      <c r="E7413" t="s">
        <v>312</v>
      </c>
      <c r="F7413" t="s">
        <v>8065</v>
      </c>
      <c r="G7413">
        <v>3015</v>
      </c>
      <c r="H7413">
        <v>315111.64999999997</v>
      </c>
      <c r="I7413">
        <v>104.51</v>
      </c>
      <c r="J7413">
        <v>0</v>
      </c>
      <c r="K7413">
        <v>0</v>
      </c>
      <c r="L7413">
        <v>0</v>
      </c>
      <c r="M7413">
        <v>3015</v>
      </c>
      <c r="N7413">
        <v>315111.64999999997</v>
      </c>
      <c r="O7413">
        <v>104.51</v>
      </c>
    </row>
    <row r="7414" spans="1:15" x14ac:dyDescent="0.35">
      <c r="A7414" t="s">
        <v>8037</v>
      </c>
      <c r="B7414" t="s">
        <v>162</v>
      </c>
      <c r="C7414" t="s">
        <v>1059</v>
      </c>
      <c r="D7414" t="s">
        <v>334</v>
      </c>
      <c r="E7414" t="s">
        <v>312</v>
      </c>
      <c r="F7414" t="s">
        <v>8066</v>
      </c>
      <c r="G7414">
        <v>3423</v>
      </c>
      <c r="H7414">
        <v>356664.16</v>
      </c>
      <c r="I7414">
        <v>106.69</v>
      </c>
      <c r="J7414">
        <v>0</v>
      </c>
      <c r="K7414">
        <v>0</v>
      </c>
      <c r="L7414">
        <v>0</v>
      </c>
      <c r="M7414">
        <v>3423</v>
      </c>
      <c r="N7414">
        <v>356664.16</v>
      </c>
      <c r="O7414">
        <v>106.69</v>
      </c>
    </row>
    <row r="7415" spans="1:15" x14ac:dyDescent="0.35">
      <c r="A7415" t="s">
        <v>8037</v>
      </c>
      <c r="B7415" t="s">
        <v>162</v>
      </c>
      <c r="C7415" t="s">
        <v>1059</v>
      </c>
      <c r="D7415" t="s">
        <v>334</v>
      </c>
      <c r="E7415" t="s">
        <v>308</v>
      </c>
      <c r="F7415" t="s">
        <v>8067</v>
      </c>
      <c r="G7415">
        <v>11</v>
      </c>
      <c r="H7415">
        <v>0</v>
      </c>
      <c r="I7415">
        <v>0</v>
      </c>
      <c r="J7415">
        <v>0</v>
      </c>
      <c r="K7415">
        <v>0</v>
      </c>
      <c r="L7415">
        <v>0</v>
      </c>
      <c r="M7415">
        <v>11</v>
      </c>
      <c r="N7415">
        <v>0</v>
      </c>
      <c r="O7415">
        <v>0</v>
      </c>
    </row>
    <row r="7416" spans="1:15" x14ac:dyDescent="0.35">
      <c r="A7416" t="s">
        <v>8037</v>
      </c>
      <c r="B7416" t="s">
        <v>162</v>
      </c>
      <c r="C7416" t="s">
        <v>1059</v>
      </c>
      <c r="D7416" t="s">
        <v>337</v>
      </c>
      <c r="E7416" t="s">
        <v>337</v>
      </c>
      <c r="F7416" t="s">
        <v>8068</v>
      </c>
      <c r="G7416">
        <v>125</v>
      </c>
      <c r="J7416">
        <v>0</v>
      </c>
      <c r="M7416">
        <v>125</v>
      </c>
    </row>
    <row r="7417" spans="1:15" x14ac:dyDescent="0.35">
      <c r="A7417" t="s">
        <v>8037</v>
      </c>
      <c r="B7417" t="s">
        <v>162</v>
      </c>
      <c r="C7417" t="s">
        <v>1059</v>
      </c>
      <c r="D7417" t="s">
        <v>339</v>
      </c>
      <c r="E7417" t="s">
        <v>294</v>
      </c>
      <c r="F7417" t="s">
        <v>8069</v>
      </c>
      <c r="G7417">
        <v>270</v>
      </c>
      <c r="H7417">
        <v>33881.519999999997</v>
      </c>
      <c r="I7417">
        <v>125.49</v>
      </c>
      <c r="J7417">
        <v>0</v>
      </c>
      <c r="K7417">
        <v>0</v>
      </c>
      <c r="L7417">
        <v>0</v>
      </c>
      <c r="M7417">
        <v>270</v>
      </c>
      <c r="N7417">
        <v>33881.519999999997</v>
      </c>
      <c r="O7417">
        <v>125.49</v>
      </c>
    </row>
    <row r="7418" spans="1:15" x14ac:dyDescent="0.35">
      <c r="A7418" t="s">
        <v>8037</v>
      </c>
      <c r="B7418" t="s">
        <v>162</v>
      </c>
      <c r="C7418" t="s">
        <v>1059</v>
      </c>
      <c r="D7418" t="s">
        <v>339</v>
      </c>
      <c r="E7418" t="s">
        <v>296</v>
      </c>
      <c r="F7418" t="s">
        <v>8070</v>
      </c>
      <c r="G7418">
        <v>6</v>
      </c>
      <c r="H7418">
        <v>606</v>
      </c>
      <c r="I7418">
        <v>101</v>
      </c>
      <c r="J7418">
        <v>0</v>
      </c>
      <c r="K7418">
        <v>0</v>
      </c>
      <c r="L7418">
        <v>0</v>
      </c>
      <c r="M7418">
        <v>6</v>
      </c>
      <c r="N7418">
        <v>606</v>
      </c>
      <c r="O7418">
        <v>101</v>
      </c>
    </row>
    <row r="7419" spans="1:15" x14ac:dyDescent="0.35">
      <c r="A7419" t="s">
        <v>8037</v>
      </c>
      <c r="B7419" t="s">
        <v>162</v>
      </c>
      <c r="C7419" t="s">
        <v>1059</v>
      </c>
      <c r="D7419" t="s">
        <v>339</v>
      </c>
      <c r="E7419" t="s">
        <v>298</v>
      </c>
      <c r="F7419" t="s">
        <v>8071</v>
      </c>
      <c r="G7419">
        <v>0</v>
      </c>
      <c r="H7419">
        <v>0</v>
      </c>
      <c r="I7419">
        <v>0</v>
      </c>
      <c r="J7419">
        <v>0</v>
      </c>
      <c r="K7419">
        <v>0</v>
      </c>
      <c r="L7419">
        <v>0</v>
      </c>
      <c r="M7419">
        <v>0</v>
      </c>
      <c r="N7419">
        <v>0</v>
      </c>
      <c r="O7419">
        <v>0</v>
      </c>
    </row>
    <row r="7420" spans="1:15" x14ac:dyDescent="0.35">
      <c r="A7420" t="s">
        <v>8037</v>
      </c>
      <c r="B7420" t="s">
        <v>162</v>
      </c>
      <c r="C7420" t="s">
        <v>1059</v>
      </c>
      <c r="D7420" t="s">
        <v>339</v>
      </c>
      <c r="E7420" t="s">
        <v>300</v>
      </c>
      <c r="F7420" t="s">
        <v>8072</v>
      </c>
      <c r="G7420">
        <v>0</v>
      </c>
      <c r="H7420">
        <v>0</v>
      </c>
      <c r="I7420">
        <v>0</v>
      </c>
      <c r="J7420">
        <v>0</v>
      </c>
      <c r="K7420">
        <v>0</v>
      </c>
      <c r="L7420">
        <v>0</v>
      </c>
      <c r="M7420">
        <v>0</v>
      </c>
      <c r="N7420">
        <v>0</v>
      </c>
      <c r="O7420">
        <v>0</v>
      </c>
    </row>
    <row r="7421" spans="1:15" x14ac:dyDescent="0.35">
      <c r="A7421" t="s">
        <v>8037</v>
      </c>
      <c r="B7421" t="s">
        <v>162</v>
      </c>
      <c r="C7421" t="s">
        <v>1059</v>
      </c>
      <c r="D7421" t="s">
        <v>339</v>
      </c>
      <c r="E7421" t="s">
        <v>306</v>
      </c>
      <c r="F7421" t="s">
        <v>8073</v>
      </c>
      <c r="G7421">
        <v>30</v>
      </c>
      <c r="H7421">
        <v>2688.95</v>
      </c>
      <c r="I7421">
        <v>89.63</v>
      </c>
      <c r="J7421">
        <v>0</v>
      </c>
      <c r="K7421">
        <v>0</v>
      </c>
      <c r="L7421">
        <v>0</v>
      </c>
      <c r="M7421">
        <v>30</v>
      </c>
      <c r="N7421">
        <v>2688.95</v>
      </c>
      <c r="O7421">
        <v>89.63</v>
      </c>
    </row>
    <row r="7422" spans="1:15" x14ac:dyDescent="0.35">
      <c r="A7422" t="s">
        <v>8037</v>
      </c>
      <c r="B7422" t="s">
        <v>162</v>
      </c>
      <c r="C7422" t="s">
        <v>1059</v>
      </c>
      <c r="D7422" t="s">
        <v>339</v>
      </c>
      <c r="E7422" t="s">
        <v>308</v>
      </c>
      <c r="F7422" t="s">
        <v>8074</v>
      </c>
      <c r="G7422">
        <v>33</v>
      </c>
      <c r="H7422">
        <v>4472.75</v>
      </c>
      <c r="I7422">
        <v>135.54</v>
      </c>
      <c r="J7422">
        <v>0</v>
      </c>
      <c r="K7422">
        <v>0</v>
      </c>
      <c r="L7422">
        <v>0</v>
      </c>
      <c r="M7422">
        <v>33</v>
      </c>
      <c r="N7422">
        <v>4472.75</v>
      </c>
      <c r="O7422">
        <v>135.54</v>
      </c>
    </row>
    <row r="7423" spans="1:15" x14ac:dyDescent="0.35">
      <c r="A7423" t="s">
        <v>8037</v>
      </c>
      <c r="B7423" t="s">
        <v>162</v>
      </c>
      <c r="C7423" t="s">
        <v>1059</v>
      </c>
      <c r="D7423" t="s">
        <v>339</v>
      </c>
      <c r="E7423" t="s">
        <v>310</v>
      </c>
      <c r="F7423" t="s">
        <v>8075</v>
      </c>
      <c r="G7423">
        <v>339</v>
      </c>
      <c r="H7423">
        <v>41649.219999999994</v>
      </c>
      <c r="I7423">
        <v>122.86</v>
      </c>
      <c r="J7423">
        <v>0</v>
      </c>
      <c r="K7423">
        <v>0</v>
      </c>
      <c r="L7423">
        <v>0</v>
      </c>
      <c r="M7423">
        <v>339</v>
      </c>
      <c r="N7423">
        <v>41649.219999999994</v>
      </c>
      <c r="O7423">
        <v>122.86</v>
      </c>
    </row>
    <row r="7424" spans="1:15" x14ac:dyDescent="0.35">
      <c r="A7424" t="s">
        <v>8037</v>
      </c>
      <c r="B7424" t="s">
        <v>162</v>
      </c>
      <c r="C7424" t="s">
        <v>1059</v>
      </c>
      <c r="D7424" t="s">
        <v>339</v>
      </c>
      <c r="E7424" t="s">
        <v>312</v>
      </c>
      <c r="F7424" t="s">
        <v>8076</v>
      </c>
      <c r="G7424">
        <v>306</v>
      </c>
      <c r="H7424">
        <v>37176.469999999994</v>
      </c>
      <c r="I7424">
        <v>121.49</v>
      </c>
      <c r="J7424">
        <v>0</v>
      </c>
      <c r="K7424">
        <v>0</v>
      </c>
      <c r="L7424">
        <v>0</v>
      </c>
      <c r="M7424">
        <v>306</v>
      </c>
      <c r="N7424">
        <v>37176.469999999994</v>
      </c>
      <c r="O7424">
        <v>121.49</v>
      </c>
    </row>
    <row r="7425" spans="1:15" x14ac:dyDescent="0.35">
      <c r="A7425" t="s">
        <v>8037</v>
      </c>
      <c r="B7425" t="s">
        <v>162</v>
      </c>
      <c r="C7425" t="s">
        <v>1059</v>
      </c>
      <c r="D7425" t="s">
        <v>348</v>
      </c>
      <c r="E7425" t="s">
        <v>349</v>
      </c>
      <c r="F7425" t="s">
        <v>8077</v>
      </c>
      <c r="G7425">
        <v>438</v>
      </c>
      <c r="H7425">
        <v>55529.06</v>
      </c>
      <c r="I7425">
        <v>132.21</v>
      </c>
      <c r="J7425">
        <v>0</v>
      </c>
      <c r="K7425">
        <v>0</v>
      </c>
      <c r="L7425">
        <v>0</v>
      </c>
      <c r="M7425">
        <v>438</v>
      </c>
      <c r="N7425">
        <v>55529.06</v>
      </c>
      <c r="O7425">
        <v>132.21</v>
      </c>
    </row>
    <row r="7426" spans="1:15" x14ac:dyDescent="0.35">
      <c r="A7426" t="s">
        <v>8078</v>
      </c>
      <c r="B7426" t="s">
        <v>175</v>
      </c>
      <c r="C7426" t="s">
        <v>1059</v>
      </c>
      <c r="D7426" t="s">
        <v>293</v>
      </c>
      <c r="E7426" t="s">
        <v>294</v>
      </c>
      <c r="F7426" t="s">
        <v>8079</v>
      </c>
      <c r="G7426">
        <v>101</v>
      </c>
      <c r="H7426">
        <v>11641.09</v>
      </c>
      <c r="I7426">
        <v>115.26</v>
      </c>
      <c r="J7426">
        <v>62</v>
      </c>
      <c r="K7426">
        <v>7369.9400000000005</v>
      </c>
      <c r="L7426">
        <v>118.87</v>
      </c>
      <c r="M7426">
        <v>163</v>
      </c>
      <c r="N7426">
        <v>19011.03</v>
      </c>
      <c r="O7426">
        <v>116.63</v>
      </c>
    </row>
    <row r="7427" spans="1:15" x14ac:dyDescent="0.35">
      <c r="A7427" t="s">
        <v>8078</v>
      </c>
      <c r="B7427" t="s">
        <v>175</v>
      </c>
      <c r="C7427" t="s">
        <v>1059</v>
      </c>
      <c r="D7427" t="s">
        <v>293</v>
      </c>
      <c r="E7427" t="s">
        <v>296</v>
      </c>
      <c r="F7427" t="s">
        <v>8080</v>
      </c>
      <c r="G7427">
        <v>316</v>
      </c>
      <c r="H7427">
        <v>45821.1</v>
      </c>
      <c r="I7427">
        <v>145</v>
      </c>
      <c r="J7427">
        <v>150</v>
      </c>
      <c r="K7427">
        <v>21790.5</v>
      </c>
      <c r="L7427">
        <v>145.27000000000001</v>
      </c>
      <c r="M7427">
        <v>466</v>
      </c>
      <c r="N7427">
        <v>67611.600000000006</v>
      </c>
      <c r="O7427">
        <v>145.09</v>
      </c>
    </row>
    <row r="7428" spans="1:15" x14ac:dyDescent="0.35">
      <c r="A7428" t="s">
        <v>8078</v>
      </c>
      <c r="B7428" t="s">
        <v>175</v>
      </c>
      <c r="C7428" t="s">
        <v>1059</v>
      </c>
      <c r="D7428" t="s">
        <v>293</v>
      </c>
      <c r="E7428" t="s">
        <v>298</v>
      </c>
      <c r="F7428" t="s">
        <v>8081</v>
      </c>
      <c r="G7428">
        <v>110</v>
      </c>
      <c r="H7428">
        <v>18086.12</v>
      </c>
      <c r="I7428">
        <v>164.42</v>
      </c>
      <c r="J7428">
        <v>47</v>
      </c>
      <c r="K7428">
        <v>7869.21</v>
      </c>
      <c r="L7428">
        <v>167.43</v>
      </c>
      <c r="M7428">
        <v>157</v>
      </c>
      <c r="N7428">
        <v>25955.329999999998</v>
      </c>
      <c r="O7428">
        <v>165.32</v>
      </c>
    </row>
    <row r="7429" spans="1:15" x14ac:dyDescent="0.35">
      <c r="A7429" t="s">
        <v>8078</v>
      </c>
      <c r="B7429" t="s">
        <v>175</v>
      </c>
      <c r="C7429" t="s">
        <v>1059</v>
      </c>
      <c r="D7429" t="s">
        <v>293</v>
      </c>
      <c r="E7429" t="s">
        <v>300</v>
      </c>
      <c r="F7429" t="s">
        <v>8082</v>
      </c>
      <c r="G7429">
        <v>11</v>
      </c>
      <c r="H7429">
        <v>2213.4299999999998</v>
      </c>
      <c r="I7429">
        <v>201.22</v>
      </c>
      <c r="J7429">
        <v>6</v>
      </c>
      <c r="K7429">
        <v>1172.52</v>
      </c>
      <c r="L7429">
        <v>195.42</v>
      </c>
      <c r="M7429">
        <v>17</v>
      </c>
      <c r="N7429">
        <v>3385.95</v>
      </c>
      <c r="O7429">
        <v>199.17</v>
      </c>
    </row>
    <row r="7430" spans="1:15" x14ac:dyDescent="0.35">
      <c r="A7430" t="s">
        <v>8078</v>
      </c>
      <c r="B7430" t="s">
        <v>175</v>
      </c>
      <c r="C7430" t="s">
        <v>1059</v>
      </c>
      <c r="D7430" t="s">
        <v>293</v>
      </c>
      <c r="E7430" t="s">
        <v>302</v>
      </c>
      <c r="F7430" t="s">
        <v>8083</v>
      </c>
      <c r="G7430">
        <v>0</v>
      </c>
      <c r="H7430">
        <v>0</v>
      </c>
      <c r="I7430">
        <v>0</v>
      </c>
      <c r="J7430">
        <v>2</v>
      </c>
      <c r="K7430">
        <v>391.32</v>
      </c>
      <c r="L7430">
        <v>195.66</v>
      </c>
      <c r="M7430">
        <v>2</v>
      </c>
      <c r="N7430">
        <v>391.32</v>
      </c>
      <c r="O7430">
        <v>195.66</v>
      </c>
    </row>
    <row r="7431" spans="1:15" x14ac:dyDescent="0.35">
      <c r="A7431" t="s">
        <v>8078</v>
      </c>
      <c r="B7431" t="s">
        <v>175</v>
      </c>
      <c r="C7431" t="s">
        <v>1059</v>
      </c>
      <c r="D7431" t="s">
        <v>293</v>
      </c>
      <c r="E7431" t="s">
        <v>304</v>
      </c>
      <c r="F7431" t="s">
        <v>8084</v>
      </c>
      <c r="G7431">
        <v>0</v>
      </c>
      <c r="H7431">
        <v>0</v>
      </c>
      <c r="I7431">
        <v>0</v>
      </c>
      <c r="J7431">
        <v>0</v>
      </c>
      <c r="K7431">
        <v>0</v>
      </c>
      <c r="L7431">
        <v>0</v>
      </c>
      <c r="M7431">
        <v>0</v>
      </c>
      <c r="N7431">
        <v>0</v>
      </c>
      <c r="O7431">
        <v>0</v>
      </c>
    </row>
    <row r="7432" spans="1:15" x14ac:dyDescent="0.35">
      <c r="A7432" t="s">
        <v>8078</v>
      </c>
      <c r="B7432" t="s">
        <v>175</v>
      </c>
      <c r="C7432" t="s">
        <v>1059</v>
      </c>
      <c r="D7432" t="s">
        <v>293</v>
      </c>
      <c r="E7432" t="s">
        <v>306</v>
      </c>
      <c r="F7432" t="s">
        <v>8085</v>
      </c>
      <c r="G7432">
        <v>0</v>
      </c>
      <c r="H7432">
        <v>0</v>
      </c>
      <c r="I7432">
        <v>0</v>
      </c>
      <c r="J7432">
        <v>0</v>
      </c>
      <c r="K7432">
        <v>0</v>
      </c>
      <c r="L7432">
        <v>0</v>
      </c>
      <c r="M7432">
        <v>0</v>
      </c>
      <c r="N7432">
        <v>0</v>
      </c>
      <c r="O7432">
        <v>0</v>
      </c>
    </row>
    <row r="7433" spans="1:15" x14ac:dyDescent="0.35">
      <c r="A7433" t="s">
        <v>8078</v>
      </c>
      <c r="B7433" t="s">
        <v>175</v>
      </c>
      <c r="C7433" t="s">
        <v>1059</v>
      </c>
      <c r="D7433" t="s">
        <v>293</v>
      </c>
      <c r="E7433" t="s">
        <v>308</v>
      </c>
      <c r="F7433" t="s">
        <v>8086</v>
      </c>
      <c r="G7433">
        <v>0</v>
      </c>
      <c r="H7433">
        <v>0</v>
      </c>
      <c r="I7433">
        <v>0</v>
      </c>
      <c r="J7433">
        <v>0</v>
      </c>
      <c r="K7433">
        <v>0</v>
      </c>
      <c r="L7433">
        <v>0</v>
      </c>
      <c r="M7433">
        <v>0</v>
      </c>
      <c r="N7433">
        <v>0</v>
      </c>
      <c r="O7433">
        <v>0</v>
      </c>
    </row>
    <row r="7434" spans="1:15" x14ac:dyDescent="0.35">
      <c r="A7434" t="s">
        <v>8078</v>
      </c>
      <c r="B7434" t="s">
        <v>175</v>
      </c>
      <c r="C7434" t="s">
        <v>1059</v>
      </c>
      <c r="D7434" t="s">
        <v>293</v>
      </c>
      <c r="E7434" t="s">
        <v>310</v>
      </c>
      <c r="F7434" t="s">
        <v>8087</v>
      </c>
      <c r="G7434">
        <v>538</v>
      </c>
      <c r="H7434">
        <v>77761.739999999991</v>
      </c>
      <c r="I7434">
        <v>144.54</v>
      </c>
      <c r="J7434">
        <v>267</v>
      </c>
      <c r="K7434">
        <v>38593.49</v>
      </c>
      <c r="L7434">
        <v>144.54</v>
      </c>
      <c r="M7434">
        <v>805</v>
      </c>
      <c r="N7434">
        <v>116355.22999999998</v>
      </c>
      <c r="O7434">
        <v>144.54</v>
      </c>
    </row>
    <row r="7435" spans="1:15" x14ac:dyDescent="0.35">
      <c r="A7435" t="s">
        <v>8078</v>
      </c>
      <c r="B7435" t="s">
        <v>175</v>
      </c>
      <c r="C7435" t="s">
        <v>1059</v>
      </c>
      <c r="D7435" t="s">
        <v>293</v>
      </c>
      <c r="E7435" t="s">
        <v>312</v>
      </c>
      <c r="F7435" t="s">
        <v>8088</v>
      </c>
      <c r="G7435">
        <v>538</v>
      </c>
      <c r="H7435">
        <v>77761.739999999991</v>
      </c>
      <c r="I7435">
        <v>144.54</v>
      </c>
      <c r="J7435">
        <v>267</v>
      </c>
      <c r="K7435">
        <v>38593.49</v>
      </c>
      <c r="L7435">
        <v>144.54</v>
      </c>
      <c r="M7435">
        <v>805</v>
      </c>
      <c r="N7435">
        <v>116355.22999999998</v>
      </c>
      <c r="O7435">
        <v>144.54</v>
      </c>
    </row>
    <row r="7436" spans="1:15" x14ac:dyDescent="0.35">
      <c r="A7436" t="s">
        <v>8078</v>
      </c>
      <c r="B7436" t="s">
        <v>175</v>
      </c>
      <c r="C7436" t="s">
        <v>1059</v>
      </c>
      <c r="D7436" t="s">
        <v>314</v>
      </c>
      <c r="E7436" t="s">
        <v>294</v>
      </c>
      <c r="F7436" t="s">
        <v>8089</v>
      </c>
      <c r="G7436">
        <v>0</v>
      </c>
      <c r="H7436">
        <v>0</v>
      </c>
      <c r="I7436">
        <v>0</v>
      </c>
      <c r="J7436">
        <v>0</v>
      </c>
      <c r="K7436">
        <v>0</v>
      </c>
      <c r="L7436">
        <v>0</v>
      </c>
      <c r="M7436">
        <v>0</v>
      </c>
      <c r="N7436">
        <v>0</v>
      </c>
      <c r="O7436">
        <v>0</v>
      </c>
    </row>
    <row r="7437" spans="1:15" x14ac:dyDescent="0.35">
      <c r="A7437" t="s">
        <v>8078</v>
      </c>
      <c r="B7437" t="s">
        <v>175</v>
      </c>
      <c r="C7437" t="s">
        <v>1059</v>
      </c>
      <c r="D7437" t="s">
        <v>314</v>
      </c>
      <c r="E7437" t="s">
        <v>296</v>
      </c>
      <c r="F7437" t="s">
        <v>8090</v>
      </c>
      <c r="G7437">
        <v>0</v>
      </c>
      <c r="H7437">
        <v>0</v>
      </c>
      <c r="I7437">
        <v>0</v>
      </c>
      <c r="J7437">
        <v>0</v>
      </c>
      <c r="K7437">
        <v>0</v>
      </c>
      <c r="L7437">
        <v>0</v>
      </c>
      <c r="M7437">
        <v>0</v>
      </c>
      <c r="N7437">
        <v>0</v>
      </c>
      <c r="O7437">
        <v>0</v>
      </c>
    </row>
    <row r="7438" spans="1:15" x14ac:dyDescent="0.35">
      <c r="A7438" t="s">
        <v>8078</v>
      </c>
      <c r="B7438" t="s">
        <v>175</v>
      </c>
      <c r="C7438" t="s">
        <v>1059</v>
      </c>
      <c r="D7438" t="s">
        <v>314</v>
      </c>
      <c r="E7438" t="s">
        <v>298</v>
      </c>
      <c r="F7438" t="s">
        <v>8091</v>
      </c>
      <c r="G7438">
        <v>0</v>
      </c>
      <c r="H7438">
        <v>0</v>
      </c>
      <c r="I7438">
        <v>0</v>
      </c>
      <c r="J7438">
        <v>0</v>
      </c>
      <c r="K7438">
        <v>0</v>
      </c>
      <c r="L7438">
        <v>0</v>
      </c>
      <c r="M7438">
        <v>0</v>
      </c>
      <c r="N7438">
        <v>0</v>
      </c>
      <c r="O7438">
        <v>0</v>
      </c>
    </row>
    <row r="7439" spans="1:15" x14ac:dyDescent="0.35">
      <c r="A7439" t="s">
        <v>8078</v>
      </c>
      <c r="B7439" t="s">
        <v>175</v>
      </c>
      <c r="C7439" t="s">
        <v>1059</v>
      </c>
      <c r="D7439" t="s">
        <v>314</v>
      </c>
      <c r="E7439" t="s">
        <v>300</v>
      </c>
      <c r="F7439" t="s">
        <v>8092</v>
      </c>
      <c r="G7439">
        <v>0</v>
      </c>
      <c r="H7439">
        <v>0</v>
      </c>
      <c r="I7439">
        <v>0</v>
      </c>
      <c r="J7439">
        <v>0</v>
      </c>
      <c r="K7439">
        <v>0</v>
      </c>
      <c r="L7439">
        <v>0</v>
      </c>
      <c r="M7439">
        <v>0</v>
      </c>
      <c r="N7439">
        <v>0</v>
      </c>
      <c r="O7439">
        <v>0</v>
      </c>
    </row>
    <row r="7440" spans="1:15" x14ac:dyDescent="0.35">
      <c r="A7440" t="s">
        <v>8078</v>
      </c>
      <c r="B7440" t="s">
        <v>175</v>
      </c>
      <c r="C7440" t="s">
        <v>1059</v>
      </c>
      <c r="D7440" t="s">
        <v>314</v>
      </c>
      <c r="E7440" t="s">
        <v>306</v>
      </c>
      <c r="F7440" t="s">
        <v>8093</v>
      </c>
      <c r="G7440">
        <v>0</v>
      </c>
      <c r="H7440">
        <v>0</v>
      </c>
      <c r="I7440">
        <v>0</v>
      </c>
      <c r="J7440">
        <v>0</v>
      </c>
      <c r="K7440">
        <v>0</v>
      </c>
      <c r="L7440">
        <v>0</v>
      </c>
      <c r="M7440">
        <v>0</v>
      </c>
      <c r="N7440">
        <v>0</v>
      </c>
      <c r="O7440">
        <v>0</v>
      </c>
    </row>
    <row r="7441" spans="1:15" x14ac:dyDescent="0.35">
      <c r="A7441" t="s">
        <v>8078</v>
      </c>
      <c r="B7441" t="s">
        <v>175</v>
      </c>
      <c r="C7441" t="s">
        <v>1059</v>
      </c>
      <c r="D7441" t="s">
        <v>314</v>
      </c>
      <c r="E7441" t="s">
        <v>308</v>
      </c>
      <c r="F7441" t="s">
        <v>8094</v>
      </c>
      <c r="G7441">
        <v>0</v>
      </c>
      <c r="H7441">
        <v>0</v>
      </c>
      <c r="I7441">
        <v>0</v>
      </c>
      <c r="J7441">
        <v>0</v>
      </c>
      <c r="K7441">
        <v>0</v>
      </c>
      <c r="L7441">
        <v>0</v>
      </c>
      <c r="M7441">
        <v>0</v>
      </c>
      <c r="N7441">
        <v>0</v>
      </c>
      <c r="O7441">
        <v>0</v>
      </c>
    </row>
    <row r="7442" spans="1:15" x14ac:dyDescent="0.35">
      <c r="A7442" t="s">
        <v>8078</v>
      </c>
      <c r="B7442" t="s">
        <v>175</v>
      </c>
      <c r="C7442" t="s">
        <v>1059</v>
      </c>
      <c r="D7442" t="s">
        <v>314</v>
      </c>
      <c r="E7442" t="s">
        <v>312</v>
      </c>
      <c r="F7442" t="s">
        <v>8095</v>
      </c>
      <c r="G7442">
        <v>0</v>
      </c>
      <c r="H7442">
        <v>0</v>
      </c>
      <c r="I7442">
        <v>0</v>
      </c>
      <c r="J7442">
        <v>0</v>
      </c>
      <c r="K7442">
        <v>0</v>
      </c>
      <c r="L7442">
        <v>0</v>
      </c>
      <c r="M7442">
        <v>0</v>
      </c>
      <c r="N7442">
        <v>0</v>
      </c>
      <c r="O7442">
        <v>0</v>
      </c>
    </row>
    <row r="7443" spans="1:15" x14ac:dyDescent="0.35">
      <c r="A7443" t="s">
        <v>8078</v>
      </c>
      <c r="B7443" t="s">
        <v>175</v>
      </c>
      <c r="C7443" t="s">
        <v>1059</v>
      </c>
      <c r="D7443" t="s">
        <v>314</v>
      </c>
      <c r="E7443" t="s">
        <v>310</v>
      </c>
      <c r="F7443" t="s">
        <v>8096</v>
      </c>
      <c r="G7443">
        <v>0</v>
      </c>
      <c r="H7443">
        <v>0</v>
      </c>
      <c r="I7443">
        <v>0</v>
      </c>
      <c r="J7443">
        <v>0</v>
      </c>
      <c r="K7443">
        <v>0</v>
      </c>
      <c r="L7443">
        <v>0</v>
      </c>
      <c r="M7443">
        <v>0</v>
      </c>
      <c r="N7443">
        <v>0</v>
      </c>
      <c r="O7443">
        <v>0</v>
      </c>
    </row>
    <row r="7444" spans="1:15" x14ac:dyDescent="0.35">
      <c r="A7444" t="s">
        <v>8078</v>
      </c>
      <c r="B7444" t="s">
        <v>175</v>
      </c>
      <c r="C7444" t="s">
        <v>1059</v>
      </c>
      <c r="D7444" t="s">
        <v>323</v>
      </c>
      <c r="E7444" t="s">
        <v>294</v>
      </c>
      <c r="F7444" t="s">
        <v>8097</v>
      </c>
      <c r="G7444">
        <v>266</v>
      </c>
      <c r="H7444">
        <v>23672.32</v>
      </c>
      <c r="I7444">
        <v>88.99</v>
      </c>
      <c r="J7444">
        <v>1160</v>
      </c>
      <c r="K7444">
        <v>101511.6</v>
      </c>
      <c r="L7444">
        <v>87.51</v>
      </c>
      <c r="M7444">
        <v>1426</v>
      </c>
      <c r="N7444">
        <v>125183.92000000001</v>
      </c>
      <c r="O7444">
        <v>87.79</v>
      </c>
    </row>
    <row r="7445" spans="1:15" x14ac:dyDescent="0.35">
      <c r="A7445" t="s">
        <v>8078</v>
      </c>
      <c r="B7445" t="s">
        <v>175</v>
      </c>
      <c r="C7445" t="s">
        <v>1059</v>
      </c>
      <c r="D7445" t="s">
        <v>323</v>
      </c>
      <c r="E7445" t="s">
        <v>296</v>
      </c>
      <c r="F7445" t="s">
        <v>8098</v>
      </c>
      <c r="G7445">
        <v>529</v>
      </c>
      <c r="H7445">
        <v>57465.4</v>
      </c>
      <c r="I7445">
        <v>108.63</v>
      </c>
      <c r="J7445">
        <v>998</v>
      </c>
      <c r="K7445">
        <v>97185.239999999991</v>
      </c>
      <c r="L7445">
        <v>97.38</v>
      </c>
      <c r="M7445">
        <v>1527</v>
      </c>
      <c r="N7445">
        <v>154650.63999999998</v>
      </c>
      <c r="O7445">
        <v>101.28</v>
      </c>
    </row>
    <row r="7446" spans="1:15" x14ac:dyDescent="0.35">
      <c r="A7446" t="s">
        <v>8078</v>
      </c>
      <c r="B7446" t="s">
        <v>175</v>
      </c>
      <c r="C7446" t="s">
        <v>1059</v>
      </c>
      <c r="D7446" t="s">
        <v>323</v>
      </c>
      <c r="E7446" t="s">
        <v>298</v>
      </c>
      <c r="F7446" t="s">
        <v>8099</v>
      </c>
      <c r="G7446">
        <v>385</v>
      </c>
      <c r="H7446">
        <v>45264.83</v>
      </c>
      <c r="I7446">
        <v>117.57</v>
      </c>
      <c r="J7446">
        <v>1670</v>
      </c>
      <c r="K7446">
        <v>180142.9</v>
      </c>
      <c r="L7446">
        <v>107.87</v>
      </c>
      <c r="M7446">
        <v>2055</v>
      </c>
      <c r="N7446">
        <v>225407.72999999998</v>
      </c>
      <c r="O7446">
        <v>109.69</v>
      </c>
    </row>
    <row r="7447" spans="1:15" x14ac:dyDescent="0.35">
      <c r="A7447" t="s">
        <v>8078</v>
      </c>
      <c r="B7447" t="s">
        <v>175</v>
      </c>
      <c r="C7447" t="s">
        <v>1059</v>
      </c>
      <c r="D7447" t="s">
        <v>323</v>
      </c>
      <c r="E7447" t="s">
        <v>300</v>
      </c>
      <c r="F7447" t="s">
        <v>8100</v>
      </c>
      <c r="G7447">
        <v>44</v>
      </c>
      <c r="H7447">
        <v>5741.35</v>
      </c>
      <c r="I7447">
        <v>130.49</v>
      </c>
      <c r="J7447">
        <v>137</v>
      </c>
      <c r="K7447">
        <v>16467.400000000001</v>
      </c>
      <c r="L7447">
        <v>120.2</v>
      </c>
      <c r="M7447">
        <v>181</v>
      </c>
      <c r="N7447">
        <v>22208.75</v>
      </c>
      <c r="O7447">
        <v>122.7</v>
      </c>
    </row>
    <row r="7448" spans="1:15" x14ac:dyDescent="0.35">
      <c r="A7448" t="s">
        <v>8078</v>
      </c>
      <c r="B7448" t="s">
        <v>175</v>
      </c>
      <c r="C7448" t="s">
        <v>1059</v>
      </c>
      <c r="D7448" t="s">
        <v>323</v>
      </c>
      <c r="E7448" t="s">
        <v>302</v>
      </c>
      <c r="F7448" t="s">
        <v>8101</v>
      </c>
      <c r="G7448">
        <v>1</v>
      </c>
      <c r="H7448">
        <v>121.87</v>
      </c>
      <c r="I7448">
        <v>121.87</v>
      </c>
      <c r="J7448">
        <v>8</v>
      </c>
      <c r="K7448">
        <v>1017.12</v>
      </c>
      <c r="L7448">
        <v>127.14</v>
      </c>
      <c r="M7448">
        <v>9</v>
      </c>
      <c r="N7448">
        <v>1138.99</v>
      </c>
      <c r="O7448">
        <v>126.55</v>
      </c>
    </row>
    <row r="7449" spans="1:15" x14ac:dyDescent="0.35">
      <c r="A7449" t="s">
        <v>8078</v>
      </c>
      <c r="B7449" t="s">
        <v>175</v>
      </c>
      <c r="C7449" t="s">
        <v>1059</v>
      </c>
      <c r="D7449" t="s">
        <v>323</v>
      </c>
      <c r="E7449" t="s">
        <v>304</v>
      </c>
      <c r="F7449" t="s">
        <v>8102</v>
      </c>
      <c r="G7449">
        <v>1</v>
      </c>
      <c r="H7449">
        <v>156.34</v>
      </c>
      <c r="I7449">
        <v>156.34</v>
      </c>
      <c r="J7449">
        <v>1</v>
      </c>
      <c r="K7449">
        <v>133.19</v>
      </c>
      <c r="L7449">
        <v>133.19</v>
      </c>
      <c r="M7449">
        <v>2</v>
      </c>
      <c r="N7449">
        <v>289.52999999999997</v>
      </c>
      <c r="O7449">
        <v>144.77000000000001</v>
      </c>
    </row>
    <row r="7450" spans="1:15" x14ac:dyDescent="0.35">
      <c r="A7450" t="s">
        <v>8078</v>
      </c>
      <c r="B7450" t="s">
        <v>175</v>
      </c>
      <c r="C7450" t="s">
        <v>1059</v>
      </c>
      <c r="D7450" t="s">
        <v>323</v>
      </c>
      <c r="E7450" t="s">
        <v>306</v>
      </c>
      <c r="F7450" t="s">
        <v>8103</v>
      </c>
      <c r="G7450">
        <v>0</v>
      </c>
      <c r="H7450">
        <v>0</v>
      </c>
      <c r="I7450">
        <v>0</v>
      </c>
      <c r="J7450">
        <v>25</v>
      </c>
      <c r="K7450">
        <v>1970</v>
      </c>
      <c r="L7450">
        <v>78.8</v>
      </c>
      <c r="M7450">
        <v>25</v>
      </c>
      <c r="N7450">
        <v>1970</v>
      </c>
      <c r="O7450">
        <v>78.8</v>
      </c>
    </row>
    <row r="7451" spans="1:15" x14ac:dyDescent="0.35">
      <c r="A7451" t="s">
        <v>8078</v>
      </c>
      <c r="B7451" t="s">
        <v>175</v>
      </c>
      <c r="C7451" t="s">
        <v>1059</v>
      </c>
      <c r="D7451" t="s">
        <v>323</v>
      </c>
      <c r="E7451" t="s">
        <v>308</v>
      </c>
      <c r="F7451" t="s">
        <v>8104</v>
      </c>
      <c r="G7451">
        <v>0</v>
      </c>
      <c r="H7451">
        <v>0</v>
      </c>
      <c r="I7451">
        <v>0</v>
      </c>
      <c r="J7451">
        <v>0</v>
      </c>
      <c r="K7451">
        <v>0</v>
      </c>
      <c r="L7451">
        <v>0</v>
      </c>
      <c r="M7451">
        <v>0</v>
      </c>
      <c r="N7451">
        <v>0</v>
      </c>
      <c r="O7451">
        <v>0</v>
      </c>
    </row>
    <row r="7452" spans="1:15" x14ac:dyDescent="0.35">
      <c r="A7452" t="s">
        <v>8078</v>
      </c>
      <c r="B7452" t="s">
        <v>175</v>
      </c>
      <c r="C7452" t="s">
        <v>1059</v>
      </c>
      <c r="D7452" t="s">
        <v>323</v>
      </c>
      <c r="E7452" t="s">
        <v>310</v>
      </c>
      <c r="F7452" t="s">
        <v>8105</v>
      </c>
      <c r="G7452">
        <v>1226</v>
      </c>
      <c r="H7452">
        <v>132422.10999999999</v>
      </c>
      <c r="I7452">
        <v>108.01</v>
      </c>
      <c r="J7452">
        <v>3999</v>
      </c>
      <c r="K7452">
        <v>398427.45</v>
      </c>
      <c r="L7452">
        <v>99.63</v>
      </c>
      <c r="M7452">
        <v>5225</v>
      </c>
      <c r="N7452">
        <v>530849.56000000006</v>
      </c>
      <c r="O7452">
        <v>101.6</v>
      </c>
    </row>
    <row r="7453" spans="1:15" x14ac:dyDescent="0.35">
      <c r="A7453" t="s">
        <v>8078</v>
      </c>
      <c r="B7453" t="s">
        <v>175</v>
      </c>
      <c r="C7453" t="s">
        <v>1059</v>
      </c>
      <c r="D7453" t="s">
        <v>323</v>
      </c>
      <c r="E7453" t="s">
        <v>312</v>
      </c>
      <c r="F7453" t="s">
        <v>8106</v>
      </c>
      <c r="G7453">
        <v>1226</v>
      </c>
      <c r="H7453">
        <v>132422.10999999999</v>
      </c>
      <c r="I7453">
        <v>108.01</v>
      </c>
      <c r="J7453">
        <v>3999</v>
      </c>
      <c r="K7453">
        <v>398427.45</v>
      </c>
      <c r="L7453">
        <v>99.63</v>
      </c>
      <c r="M7453">
        <v>5225</v>
      </c>
      <c r="N7453">
        <v>530849.56000000006</v>
      </c>
      <c r="O7453">
        <v>101.6</v>
      </c>
    </row>
    <row r="7454" spans="1:15" x14ac:dyDescent="0.35">
      <c r="A7454" t="s">
        <v>8078</v>
      </c>
      <c r="B7454" t="s">
        <v>175</v>
      </c>
      <c r="C7454" t="s">
        <v>1059</v>
      </c>
      <c r="D7454" t="s">
        <v>334</v>
      </c>
      <c r="E7454" t="s">
        <v>312</v>
      </c>
      <c r="F7454" t="s">
        <v>8107</v>
      </c>
      <c r="G7454">
        <v>1775</v>
      </c>
      <c r="H7454">
        <v>210183.84999999998</v>
      </c>
      <c r="I7454">
        <v>119.15</v>
      </c>
      <c r="J7454">
        <v>4266</v>
      </c>
      <c r="K7454">
        <v>437020.94</v>
      </c>
      <c r="L7454">
        <v>102.44</v>
      </c>
      <c r="M7454">
        <v>6041</v>
      </c>
      <c r="N7454">
        <v>647204.79</v>
      </c>
      <c r="O7454">
        <v>107.33</v>
      </c>
    </row>
    <row r="7455" spans="1:15" x14ac:dyDescent="0.35">
      <c r="A7455" t="s">
        <v>8078</v>
      </c>
      <c r="B7455" t="s">
        <v>175</v>
      </c>
      <c r="C7455" t="s">
        <v>1059</v>
      </c>
      <c r="D7455" t="s">
        <v>334</v>
      </c>
      <c r="E7455" t="s">
        <v>308</v>
      </c>
      <c r="F7455" t="s">
        <v>8108</v>
      </c>
      <c r="G7455">
        <v>0</v>
      </c>
      <c r="H7455">
        <v>0</v>
      </c>
      <c r="I7455">
        <v>0</v>
      </c>
      <c r="J7455">
        <v>0</v>
      </c>
      <c r="K7455">
        <v>0</v>
      </c>
      <c r="L7455">
        <v>0</v>
      </c>
      <c r="M7455">
        <v>0</v>
      </c>
      <c r="N7455">
        <v>0</v>
      </c>
      <c r="O7455">
        <v>0</v>
      </c>
    </row>
    <row r="7456" spans="1:15" x14ac:dyDescent="0.35">
      <c r="A7456" t="s">
        <v>8078</v>
      </c>
      <c r="B7456" t="s">
        <v>175</v>
      </c>
      <c r="C7456" t="s">
        <v>1059</v>
      </c>
      <c r="D7456" t="s">
        <v>337</v>
      </c>
      <c r="E7456" t="s">
        <v>337</v>
      </c>
      <c r="F7456" t="s">
        <v>8109</v>
      </c>
      <c r="G7456">
        <v>259</v>
      </c>
      <c r="J7456">
        <v>0</v>
      </c>
      <c r="M7456">
        <v>259</v>
      </c>
    </row>
    <row r="7457" spans="1:15" x14ac:dyDescent="0.35">
      <c r="A7457" t="s">
        <v>8078</v>
      </c>
      <c r="B7457" t="s">
        <v>175</v>
      </c>
      <c r="C7457" t="s">
        <v>1059</v>
      </c>
      <c r="D7457" t="s">
        <v>339</v>
      </c>
      <c r="E7457" t="s">
        <v>294</v>
      </c>
      <c r="F7457" t="s">
        <v>8110</v>
      </c>
      <c r="G7457">
        <v>167</v>
      </c>
      <c r="H7457">
        <v>16819.43</v>
      </c>
      <c r="I7457">
        <v>100.72</v>
      </c>
      <c r="J7457">
        <v>4</v>
      </c>
      <c r="K7457">
        <v>342.2</v>
      </c>
      <c r="L7457">
        <v>85.55</v>
      </c>
      <c r="M7457">
        <v>171</v>
      </c>
      <c r="N7457">
        <v>17161.63</v>
      </c>
      <c r="O7457">
        <v>100.36</v>
      </c>
    </row>
    <row r="7458" spans="1:15" x14ac:dyDescent="0.35">
      <c r="A7458" t="s">
        <v>8078</v>
      </c>
      <c r="B7458" t="s">
        <v>175</v>
      </c>
      <c r="C7458" t="s">
        <v>1059</v>
      </c>
      <c r="D7458" t="s">
        <v>339</v>
      </c>
      <c r="E7458" t="s">
        <v>296</v>
      </c>
      <c r="F7458" t="s">
        <v>8111</v>
      </c>
      <c r="G7458">
        <v>19</v>
      </c>
      <c r="H7458">
        <v>2158.21</v>
      </c>
      <c r="I7458">
        <v>113.59</v>
      </c>
      <c r="J7458">
        <v>16</v>
      </c>
      <c r="K7458">
        <v>1623.84</v>
      </c>
      <c r="L7458">
        <v>101.49</v>
      </c>
      <c r="M7458">
        <v>35</v>
      </c>
      <c r="N7458">
        <v>3782.05</v>
      </c>
      <c r="O7458">
        <v>108.06</v>
      </c>
    </row>
    <row r="7459" spans="1:15" x14ac:dyDescent="0.35">
      <c r="A7459" t="s">
        <v>8078</v>
      </c>
      <c r="B7459" t="s">
        <v>175</v>
      </c>
      <c r="C7459" t="s">
        <v>1059</v>
      </c>
      <c r="D7459" t="s">
        <v>339</v>
      </c>
      <c r="E7459" t="s">
        <v>298</v>
      </c>
      <c r="F7459" t="s">
        <v>8112</v>
      </c>
      <c r="G7459">
        <v>1</v>
      </c>
      <c r="H7459">
        <v>122.64</v>
      </c>
      <c r="I7459">
        <v>122.64</v>
      </c>
      <c r="J7459">
        <v>0</v>
      </c>
      <c r="K7459">
        <v>0</v>
      </c>
      <c r="L7459">
        <v>0</v>
      </c>
      <c r="M7459">
        <v>1</v>
      </c>
      <c r="N7459">
        <v>122.64</v>
      </c>
      <c r="O7459">
        <v>122.64</v>
      </c>
    </row>
    <row r="7460" spans="1:15" x14ac:dyDescent="0.35">
      <c r="A7460" t="s">
        <v>8078</v>
      </c>
      <c r="B7460" t="s">
        <v>175</v>
      </c>
      <c r="C7460" t="s">
        <v>1059</v>
      </c>
      <c r="D7460" t="s">
        <v>339</v>
      </c>
      <c r="E7460" t="s">
        <v>300</v>
      </c>
      <c r="F7460" t="s">
        <v>8113</v>
      </c>
      <c r="G7460">
        <v>0</v>
      </c>
      <c r="H7460">
        <v>0</v>
      </c>
      <c r="I7460">
        <v>0</v>
      </c>
      <c r="J7460">
        <v>0</v>
      </c>
      <c r="K7460">
        <v>0</v>
      </c>
      <c r="L7460">
        <v>0</v>
      </c>
      <c r="M7460">
        <v>0</v>
      </c>
      <c r="N7460">
        <v>0</v>
      </c>
      <c r="O7460">
        <v>0</v>
      </c>
    </row>
    <row r="7461" spans="1:15" x14ac:dyDescent="0.35">
      <c r="A7461" t="s">
        <v>8078</v>
      </c>
      <c r="B7461" t="s">
        <v>175</v>
      </c>
      <c r="C7461" t="s">
        <v>1059</v>
      </c>
      <c r="D7461" t="s">
        <v>339</v>
      </c>
      <c r="E7461" t="s">
        <v>306</v>
      </c>
      <c r="F7461" t="s">
        <v>8114</v>
      </c>
      <c r="G7461">
        <v>0</v>
      </c>
      <c r="H7461">
        <v>0</v>
      </c>
      <c r="I7461">
        <v>0</v>
      </c>
      <c r="J7461">
        <v>0</v>
      </c>
      <c r="K7461">
        <v>0</v>
      </c>
      <c r="L7461">
        <v>0</v>
      </c>
      <c r="M7461">
        <v>0</v>
      </c>
      <c r="N7461">
        <v>0</v>
      </c>
      <c r="O7461">
        <v>0</v>
      </c>
    </row>
    <row r="7462" spans="1:15" x14ac:dyDescent="0.35">
      <c r="A7462" t="s">
        <v>8078</v>
      </c>
      <c r="B7462" t="s">
        <v>175</v>
      </c>
      <c r="C7462" t="s">
        <v>1059</v>
      </c>
      <c r="D7462" t="s">
        <v>339</v>
      </c>
      <c r="E7462" t="s">
        <v>308</v>
      </c>
      <c r="F7462" t="s">
        <v>8115</v>
      </c>
      <c r="G7462">
        <v>6</v>
      </c>
      <c r="H7462">
        <v>787.98</v>
      </c>
      <c r="I7462">
        <v>131.33000000000001</v>
      </c>
      <c r="J7462">
        <v>0</v>
      </c>
      <c r="K7462">
        <v>0</v>
      </c>
      <c r="L7462">
        <v>0</v>
      </c>
      <c r="M7462">
        <v>6</v>
      </c>
      <c r="N7462">
        <v>787.98</v>
      </c>
      <c r="O7462">
        <v>131.33000000000001</v>
      </c>
    </row>
    <row r="7463" spans="1:15" x14ac:dyDescent="0.35">
      <c r="A7463" t="s">
        <v>8078</v>
      </c>
      <c r="B7463" t="s">
        <v>175</v>
      </c>
      <c r="C7463" t="s">
        <v>1059</v>
      </c>
      <c r="D7463" t="s">
        <v>339</v>
      </c>
      <c r="E7463" t="s">
        <v>310</v>
      </c>
      <c r="F7463" t="s">
        <v>8116</v>
      </c>
      <c r="G7463">
        <v>193</v>
      </c>
      <c r="H7463">
        <v>19888.259999999998</v>
      </c>
      <c r="I7463">
        <v>103.05</v>
      </c>
      <c r="J7463">
        <v>20</v>
      </c>
      <c r="K7463">
        <v>1966.04</v>
      </c>
      <c r="L7463">
        <v>98.3</v>
      </c>
      <c r="M7463">
        <v>213</v>
      </c>
      <c r="N7463">
        <v>21854.3</v>
      </c>
      <c r="O7463">
        <v>102.6</v>
      </c>
    </row>
    <row r="7464" spans="1:15" x14ac:dyDescent="0.35">
      <c r="A7464" t="s">
        <v>8078</v>
      </c>
      <c r="B7464" t="s">
        <v>175</v>
      </c>
      <c r="C7464" t="s">
        <v>1059</v>
      </c>
      <c r="D7464" t="s">
        <v>339</v>
      </c>
      <c r="E7464" t="s">
        <v>312</v>
      </c>
      <c r="F7464" t="s">
        <v>8117</v>
      </c>
      <c r="G7464">
        <v>187</v>
      </c>
      <c r="H7464">
        <v>19100.28</v>
      </c>
      <c r="I7464">
        <v>102.14</v>
      </c>
      <c r="J7464">
        <v>20</v>
      </c>
      <c r="K7464">
        <v>1966.04</v>
      </c>
      <c r="L7464">
        <v>98.3</v>
      </c>
      <c r="M7464">
        <v>207</v>
      </c>
      <c r="N7464">
        <v>21066.32</v>
      </c>
      <c r="O7464">
        <v>101.77</v>
      </c>
    </row>
    <row r="7465" spans="1:15" x14ac:dyDescent="0.35">
      <c r="A7465" t="s">
        <v>8078</v>
      </c>
      <c r="B7465" t="s">
        <v>175</v>
      </c>
      <c r="C7465" t="s">
        <v>1059</v>
      </c>
      <c r="D7465" t="s">
        <v>348</v>
      </c>
      <c r="E7465" t="s">
        <v>349</v>
      </c>
      <c r="F7465" t="s">
        <v>8118</v>
      </c>
      <c r="G7465">
        <v>243</v>
      </c>
      <c r="H7465">
        <v>19888.259999999998</v>
      </c>
      <c r="I7465">
        <v>103.05</v>
      </c>
      <c r="J7465">
        <v>20</v>
      </c>
      <c r="K7465">
        <v>1966.04</v>
      </c>
      <c r="L7465">
        <v>98.3</v>
      </c>
      <c r="M7465">
        <v>263</v>
      </c>
      <c r="N7465">
        <v>21854.3</v>
      </c>
      <c r="O7465">
        <v>102.6</v>
      </c>
    </row>
    <row r="7466" spans="1:15" x14ac:dyDescent="0.35">
      <c r="A7466" t="s">
        <v>8119</v>
      </c>
      <c r="B7466" t="s">
        <v>8120</v>
      </c>
      <c r="C7466" t="s">
        <v>1477</v>
      </c>
      <c r="D7466" t="s">
        <v>293</v>
      </c>
      <c r="E7466" t="s">
        <v>294</v>
      </c>
      <c r="F7466" t="s">
        <v>8121</v>
      </c>
      <c r="G7466">
        <v>228</v>
      </c>
      <c r="H7466">
        <v>29107.53</v>
      </c>
      <c r="I7466">
        <v>127.66</v>
      </c>
      <c r="J7466">
        <v>60</v>
      </c>
      <c r="K7466">
        <v>7671</v>
      </c>
      <c r="L7466">
        <v>127.85</v>
      </c>
      <c r="M7466">
        <v>288</v>
      </c>
      <c r="N7466">
        <v>36778.53</v>
      </c>
      <c r="O7466">
        <v>127.7</v>
      </c>
    </row>
    <row r="7467" spans="1:15" x14ac:dyDescent="0.35">
      <c r="A7467" t="s">
        <v>8119</v>
      </c>
      <c r="B7467" t="s">
        <v>8120</v>
      </c>
      <c r="C7467" t="s">
        <v>1477</v>
      </c>
      <c r="D7467" t="s">
        <v>293</v>
      </c>
      <c r="E7467" t="s">
        <v>296</v>
      </c>
      <c r="F7467" t="s">
        <v>8122</v>
      </c>
      <c r="G7467">
        <v>512</v>
      </c>
      <c r="H7467">
        <v>82051.58</v>
      </c>
      <c r="I7467">
        <v>160.26</v>
      </c>
      <c r="J7467">
        <v>114</v>
      </c>
      <c r="K7467">
        <v>18260.52</v>
      </c>
      <c r="L7467">
        <v>160.18</v>
      </c>
      <c r="M7467">
        <v>626</v>
      </c>
      <c r="N7467">
        <v>100312.1</v>
      </c>
      <c r="O7467">
        <v>160.24</v>
      </c>
    </row>
    <row r="7468" spans="1:15" x14ac:dyDescent="0.35">
      <c r="A7468" t="s">
        <v>8119</v>
      </c>
      <c r="B7468" t="s">
        <v>8120</v>
      </c>
      <c r="C7468" t="s">
        <v>1477</v>
      </c>
      <c r="D7468" t="s">
        <v>293</v>
      </c>
      <c r="E7468" t="s">
        <v>298</v>
      </c>
      <c r="F7468" t="s">
        <v>8123</v>
      </c>
      <c r="G7468">
        <v>223</v>
      </c>
      <c r="H7468">
        <v>41009.520000000004</v>
      </c>
      <c r="I7468">
        <v>183.9</v>
      </c>
      <c r="J7468">
        <v>51</v>
      </c>
      <c r="K7468">
        <v>9417.15</v>
      </c>
      <c r="L7468">
        <v>184.65</v>
      </c>
      <c r="M7468">
        <v>274</v>
      </c>
      <c r="N7468">
        <v>50426.670000000006</v>
      </c>
      <c r="O7468">
        <v>184.04</v>
      </c>
    </row>
    <row r="7469" spans="1:15" x14ac:dyDescent="0.35">
      <c r="A7469" t="s">
        <v>8119</v>
      </c>
      <c r="B7469" t="s">
        <v>8120</v>
      </c>
      <c r="C7469" t="s">
        <v>1477</v>
      </c>
      <c r="D7469" t="s">
        <v>293</v>
      </c>
      <c r="E7469" t="s">
        <v>300</v>
      </c>
      <c r="F7469" t="s">
        <v>8124</v>
      </c>
      <c r="G7469">
        <v>21</v>
      </c>
      <c r="H7469">
        <v>4449.49</v>
      </c>
      <c r="I7469">
        <v>211.88</v>
      </c>
      <c r="J7469">
        <v>0</v>
      </c>
      <c r="K7469">
        <v>0</v>
      </c>
      <c r="L7469">
        <v>0</v>
      </c>
      <c r="M7469">
        <v>21</v>
      </c>
      <c r="N7469">
        <v>4449.49</v>
      </c>
      <c r="O7469">
        <v>211.88</v>
      </c>
    </row>
    <row r="7470" spans="1:15" x14ac:dyDescent="0.35">
      <c r="A7470" t="s">
        <v>8119</v>
      </c>
      <c r="B7470" t="s">
        <v>8120</v>
      </c>
      <c r="C7470" t="s">
        <v>1477</v>
      </c>
      <c r="D7470" t="s">
        <v>293</v>
      </c>
      <c r="E7470" t="s">
        <v>302</v>
      </c>
      <c r="F7470" t="s">
        <v>8125</v>
      </c>
      <c r="G7470">
        <v>1</v>
      </c>
      <c r="H7470">
        <v>297.22000000000003</v>
      </c>
      <c r="I7470">
        <v>297.22000000000003</v>
      </c>
      <c r="J7470">
        <v>0</v>
      </c>
      <c r="K7470">
        <v>0</v>
      </c>
      <c r="L7470">
        <v>0</v>
      </c>
      <c r="M7470">
        <v>1</v>
      </c>
      <c r="N7470">
        <v>297.22000000000003</v>
      </c>
      <c r="O7470">
        <v>297.22000000000003</v>
      </c>
    </row>
    <row r="7471" spans="1:15" x14ac:dyDescent="0.35">
      <c r="A7471" t="s">
        <v>8119</v>
      </c>
      <c r="B7471" t="s">
        <v>8120</v>
      </c>
      <c r="C7471" t="s">
        <v>1477</v>
      </c>
      <c r="D7471" t="s">
        <v>293</v>
      </c>
      <c r="E7471" t="s">
        <v>304</v>
      </c>
      <c r="F7471" t="s">
        <v>8126</v>
      </c>
      <c r="G7471">
        <v>0</v>
      </c>
      <c r="H7471">
        <v>0</v>
      </c>
      <c r="I7471">
        <v>0</v>
      </c>
      <c r="J7471">
        <v>0</v>
      </c>
      <c r="K7471">
        <v>0</v>
      </c>
      <c r="L7471">
        <v>0</v>
      </c>
      <c r="M7471">
        <v>0</v>
      </c>
      <c r="N7471">
        <v>0</v>
      </c>
      <c r="O7471">
        <v>0</v>
      </c>
    </row>
    <row r="7472" spans="1:15" x14ac:dyDescent="0.35">
      <c r="A7472" t="s">
        <v>8119</v>
      </c>
      <c r="B7472" t="s">
        <v>8120</v>
      </c>
      <c r="C7472" t="s">
        <v>1477</v>
      </c>
      <c r="D7472" t="s">
        <v>293</v>
      </c>
      <c r="E7472" t="s">
        <v>306</v>
      </c>
      <c r="F7472" t="s">
        <v>8127</v>
      </c>
      <c r="G7472">
        <v>0</v>
      </c>
      <c r="H7472">
        <v>0</v>
      </c>
      <c r="I7472">
        <v>0</v>
      </c>
      <c r="J7472">
        <v>0</v>
      </c>
      <c r="K7472">
        <v>0</v>
      </c>
      <c r="L7472">
        <v>0</v>
      </c>
      <c r="M7472">
        <v>0</v>
      </c>
      <c r="N7472">
        <v>0</v>
      </c>
      <c r="O7472">
        <v>0</v>
      </c>
    </row>
    <row r="7473" spans="1:15" x14ac:dyDescent="0.35">
      <c r="A7473" t="s">
        <v>8119</v>
      </c>
      <c r="B7473" t="s">
        <v>8120</v>
      </c>
      <c r="C7473" t="s">
        <v>1477</v>
      </c>
      <c r="D7473" t="s">
        <v>293</v>
      </c>
      <c r="E7473" t="s">
        <v>308</v>
      </c>
      <c r="F7473" t="s">
        <v>8128</v>
      </c>
      <c r="G7473">
        <v>0</v>
      </c>
      <c r="H7473">
        <v>0</v>
      </c>
      <c r="I7473">
        <v>0</v>
      </c>
      <c r="J7473">
        <v>0</v>
      </c>
      <c r="K7473">
        <v>0</v>
      </c>
      <c r="L7473">
        <v>0</v>
      </c>
      <c r="M7473">
        <v>0</v>
      </c>
      <c r="N7473">
        <v>0</v>
      </c>
      <c r="O7473">
        <v>0</v>
      </c>
    </row>
    <row r="7474" spans="1:15" x14ac:dyDescent="0.35">
      <c r="A7474" t="s">
        <v>8119</v>
      </c>
      <c r="B7474" t="s">
        <v>8120</v>
      </c>
      <c r="C7474" t="s">
        <v>1477</v>
      </c>
      <c r="D7474" t="s">
        <v>293</v>
      </c>
      <c r="E7474" t="s">
        <v>310</v>
      </c>
      <c r="F7474" t="s">
        <v>8129</v>
      </c>
      <c r="G7474">
        <v>985</v>
      </c>
      <c r="H7474">
        <v>156915.34</v>
      </c>
      <c r="I7474">
        <v>159.30000000000001</v>
      </c>
      <c r="J7474">
        <v>225</v>
      </c>
      <c r="K7474">
        <v>35348.67</v>
      </c>
      <c r="L7474">
        <v>157.11000000000001</v>
      </c>
      <c r="M7474">
        <v>1210</v>
      </c>
      <c r="N7474">
        <v>192264.01</v>
      </c>
      <c r="O7474">
        <v>158.9</v>
      </c>
    </row>
    <row r="7475" spans="1:15" x14ac:dyDescent="0.35">
      <c r="A7475" t="s">
        <v>8119</v>
      </c>
      <c r="B7475" t="s">
        <v>8120</v>
      </c>
      <c r="C7475" t="s">
        <v>1477</v>
      </c>
      <c r="D7475" t="s">
        <v>293</v>
      </c>
      <c r="E7475" t="s">
        <v>312</v>
      </c>
      <c r="F7475" t="s">
        <v>8130</v>
      </c>
      <c r="G7475">
        <v>985</v>
      </c>
      <c r="H7475">
        <v>156915.34</v>
      </c>
      <c r="I7475">
        <v>159.30000000000001</v>
      </c>
      <c r="J7475">
        <v>225</v>
      </c>
      <c r="K7475">
        <v>35348.67</v>
      </c>
      <c r="L7475">
        <v>157.11000000000001</v>
      </c>
      <c r="M7475">
        <v>1210</v>
      </c>
      <c r="N7475">
        <v>192264.01</v>
      </c>
      <c r="O7475">
        <v>158.9</v>
      </c>
    </row>
    <row r="7476" spans="1:15" x14ac:dyDescent="0.35">
      <c r="A7476" t="s">
        <v>8119</v>
      </c>
      <c r="B7476" t="s">
        <v>8120</v>
      </c>
      <c r="C7476" t="s">
        <v>1477</v>
      </c>
      <c r="D7476" t="s">
        <v>314</v>
      </c>
      <c r="E7476" t="s">
        <v>294</v>
      </c>
      <c r="F7476" t="s">
        <v>8131</v>
      </c>
      <c r="G7476">
        <v>0</v>
      </c>
      <c r="H7476">
        <v>0</v>
      </c>
      <c r="I7476">
        <v>0</v>
      </c>
      <c r="J7476">
        <v>0</v>
      </c>
      <c r="K7476">
        <v>0</v>
      </c>
      <c r="L7476">
        <v>0</v>
      </c>
      <c r="M7476">
        <v>0</v>
      </c>
      <c r="N7476">
        <v>0</v>
      </c>
      <c r="O7476">
        <v>0</v>
      </c>
    </row>
    <row r="7477" spans="1:15" x14ac:dyDescent="0.35">
      <c r="A7477" t="s">
        <v>8119</v>
      </c>
      <c r="B7477" t="s">
        <v>8120</v>
      </c>
      <c r="C7477" t="s">
        <v>1477</v>
      </c>
      <c r="D7477" t="s">
        <v>314</v>
      </c>
      <c r="E7477" t="s">
        <v>296</v>
      </c>
      <c r="F7477" t="s">
        <v>8132</v>
      </c>
      <c r="G7477">
        <v>0</v>
      </c>
      <c r="H7477">
        <v>0</v>
      </c>
      <c r="I7477">
        <v>0</v>
      </c>
      <c r="J7477">
        <v>0</v>
      </c>
      <c r="K7477">
        <v>0</v>
      </c>
      <c r="L7477">
        <v>0</v>
      </c>
      <c r="M7477">
        <v>0</v>
      </c>
      <c r="N7477">
        <v>0</v>
      </c>
      <c r="O7477">
        <v>0</v>
      </c>
    </row>
    <row r="7478" spans="1:15" x14ac:dyDescent="0.35">
      <c r="A7478" t="s">
        <v>8119</v>
      </c>
      <c r="B7478" t="s">
        <v>8120</v>
      </c>
      <c r="C7478" t="s">
        <v>1477</v>
      </c>
      <c r="D7478" t="s">
        <v>314</v>
      </c>
      <c r="E7478" t="s">
        <v>298</v>
      </c>
      <c r="F7478" t="s">
        <v>8133</v>
      </c>
      <c r="G7478">
        <v>0</v>
      </c>
      <c r="H7478">
        <v>0</v>
      </c>
      <c r="I7478">
        <v>0</v>
      </c>
      <c r="J7478">
        <v>0</v>
      </c>
      <c r="K7478">
        <v>0</v>
      </c>
      <c r="L7478">
        <v>0</v>
      </c>
      <c r="M7478">
        <v>0</v>
      </c>
      <c r="N7478">
        <v>0</v>
      </c>
      <c r="O7478">
        <v>0</v>
      </c>
    </row>
    <row r="7479" spans="1:15" x14ac:dyDescent="0.35">
      <c r="A7479" t="s">
        <v>8119</v>
      </c>
      <c r="B7479" t="s">
        <v>8120</v>
      </c>
      <c r="C7479" t="s">
        <v>1477</v>
      </c>
      <c r="D7479" t="s">
        <v>314</v>
      </c>
      <c r="E7479" t="s">
        <v>300</v>
      </c>
      <c r="F7479" t="s">
        <v>8134</v>
      </c>
      <c r="G7479">
        <v>0</v>
      </c>
      <c r="H7479">
        <v>0</v>
      </c>
      <c r="I7479">
        <v>0</v>
      </c>
      <c r="J7479">
        <v>0</v>
      </c>
      <c r="K7479">
        <v>0</v>
      </c>
      <c r="L7479">
        <v>0</v>
      </c>
      <c r="M7479">
        <v>0</v>
      </c>
      <c r="N7479">
        <v>0</v>
      </c>
      <c r="O7479">
        <v>0</v>
      </c>
    </row>
    <row r="7480" spans="1:15" x14ac:dyDescent="0.35">
      <c r="A7480" t="s">
        <v>8119</v>
      </c>
      <c r="B7480" t="s">
        <v>8120</v>
      </c>
      <c r="C7480" t="s">
        <v>1477</v>
      </c>
      <c r="D7480" t="s">
        <v>314</v>
      </c>
      <c r="E7480" t="s">
        <v>306</v>
      </c>
      <c r="F7480" t="s">
        <v>8135</v>
      </c>
      <c r="G7480">
        <v>0</v>
      </c>
      <c r="H7480">
        <v>0</v>
      </c>
      <c r="I7480">
        <v>0</v>
      </c>
      <c r="J7480">
        <v>0</v>
      </c>
      <c r="K7480">
        <v>0</v>
      </c>
      <c r="L7480">
        <v>0</v>
      </c>
      <c r="M7480">
        <v>0</v>
      </c>
      <c r="N7480">
        <v>0</v>
      </c>
      <c r="O7480">
        <v>0</v>
      </c>
    </row>
    <row r="7481" spans="1:15" x14ac:dyDescent="0.35">
      <c r="A7481" t="s">
        <v>8119</v>
      </c>
      <c r="B7481" t="s">
        <v>8120</v>
      </c>
      <c r="C7481" t="s">
        <v>1477</v>
      </c>
      <c r="D7481" t="s">
        <v>314</v>
      </c>
      <c r="E7481" t="s">
        <v>308</v>
      </c>
      <c r="F7481" t="s">
        <v>8136</v>
      </c>
      <c r="G7481">
        <v>0</v>
      </c>
      <c r="H7481">
        <v>0</v>
      </c>
      <c r="I7481">
        <v>0</v>
      </c>
      <c r="J7481">
        <v>0</v>
      </c>
      <c r="K7481">
        <v>0</v>
      </c>
      <c r="L7481">
        <v>0</v>
      </c>
      <c r="M7481">
        <v>0</v>
      </c>
      <c r="N7481">
        <v>0</v>
      </c>
      <c r="O7481">
        <v>0</v>
      </c>
    </row>
    <row r="7482" spans="1:15" x14ac:dyDescent="0.35">
      <c r="A7482" t="s">
        <v>8119</v>
      </c>
      <c r="B7482" t="s">
        <v>8120</v>
      </c>
      <c r="C7482" t="s">
        <v>1477</v>
      </c>
      <c r="D7482" t="s">
        <v>314</v>
      </c>
      <c r="E7482" t="s">
        <v>312</v>
      </c>
      <c r="F7482" t="s">
        <v>8137</v>
      </c>
      <c r="G7482">
        <v>0</v>
      </c>
      <c r="H7482">
        <v>0</v>
      </c>
      <c r="I7482">
        <v>0</v>
      </c>
      <c r="J7482">
        <v>0</v>
      </c>
      <c r="K7482">
        <v>0</v>
      </c>
      <c r="L7482">
        <v>0</v>
      </c>
      <c r="M7482">
        <v>0</v>
      </c>
      <c r="N7482">
        <v>0</v>
      </c>
      <c r="O7482">
        <v>0</v>
      </c>
    </row>
    <row r="7483" spans="1:15" x14ac:dyDescent="0.35">
      <c r="A7483" t="s">
        <v>8119</v>
      </c>
      <c r="B7483" t="s">
        <v>8120</v>
      </c>
      <c r="C7483" t="s">
        <v>1477</v>
      </c>
      <c r="D7483" t="s">
        <v>314</v>
      </c>
      <c r="E7483" t="s">
        <v>310</v>
      </c>
      <c r="F7483" t="s">
        <v>8138</v>
      </c>
      <c r="G7483">
        <v>0</v>
      </c>
      <c r="H7483">
        <v>0</v>
      </c>
      <c r="I7483">
        <v>0</v>
      </c>
      <c r="J7483">
        <v>0</v>
      </c>
      <c r="K7483">
        <v>0</v>
      </c>
      <c r="L7483">
        <v>0</v>
      </c>
      <c r="M7483">
        <v>0</v>
      </c>
      <c r="N7483">
        <v>0</v>
      </c>
      <c r="O7483">
        <v>0</v>
      </c>
    </row>
    <row r="7484" spans="1:15" x14ac:dyDescent="0.35">
      <c r="A7484" t="s">
        <v>8119</v>
      </c>
      <c r="B7484" t="s">
        <v>8120</v>
      </c>
      <c r="C7484" t="s">
        <v>1477</v>
      </c>
      <c r="D7484" t="s">
        <v>323</v>
      </c>
      <c r="E7484" t="s">
        <v>294</v>
      </c>
      <c r="F7484" t="s">
        <v>8139</v>
      </c>
      <c r="G7484">
        <v>172</v>
      </c>
      <c r="H7484">
        <v>15984.52</v>
      </c>
      <c r="I7484">
        <v>92.93</v>
      </c>
      <c r="J7484">
        <v>530</v>
      </c>
      <c r="K7484">
        <v>52459.4</v>
      </c>
      <c r="L7484">
        <v>98.98</v>
      </c>
      <c r="M7484">
        <v>702</v>
      </c>
      <c r="N7484">
        <v>68443.92</v>
      </c>
      <c r="O7484">
        <v>97.5</v>
      </c>
    </row>
    <row r="7485" spans="1:15" x14ac:dyDescent="0.35">
      <c r="A7485" t="s">
        <v>8119</v>
      </c>
      <c r="B7485" t="s">
        <v>8120</v>
      </c>
      <c r="C7485" t="s">
        <v>1477</v>
      </c>
      <c r="D7485" t="s">
        <v>323</v>
      </c>
      <c r="E7485" t="s">
        <v>296</v>
      </c>
      <c r="F7485" t="s">
        <v>8140</v>
      </c>
      <c r="G7485">
        <v>664</v>
      </c>
      <c r="H7485">
        <v>75133.119999999995</v>
      </c>
      <c r="I7485">
        <v>113.15</v>
      </c>
      <c r="J7485">
        <v>1196</v>
      </c>
      <c r="K7485">
        <v>133413.79999999999</v>
      </c>
      <c r="L7485">
        <v>111.55</v>
      </c>
      <c r="M7485">
        <v>1860</v>
      </c>
      <c r="N7485">
        <v>208546.91999999998</v>
      </c>
      <c r="O7485">
        <v>112.12</v>
      </c>
    </row>
    <row r="7486" spans="1:15" x14ac:dyDescent="0.35">
      <c r="A7486" t="s">
        <v>8119</v>
      </c>
      <c r="B7486" t="s">
        <v>8120</v>
      </c>
      <c r="C7486" t="s">
        <v>1477</v>
      </c>
      <c r="D7486" t="s">
        <v>323</v>
      </c>
      <c r="E7486" t="s">
        <v>298</v>
      </c>
      <c r="F7486" t="s">
        <v>8141</v>
      </c>
      <c r="G7486">
        <v>425</v>
      </c>
      <c r="H7486">
        <v>53002.16</v>
      </c>
      <c r="I7486">
        <v>124.71</v>
      </c>
      <c r="J7486">
        <v>1195</v>
      </c>
      <c r="K7486">
        <v>138859</v>
      </c>
      <c r="L7486">
        <v>116.2</v>
      </c>
      <c r="M7486">
        <v>1620</v>
      </c>
      <c r="N7486">
        <v>191861.16</v>
      </c>
      <c r="O7486">
        <v>118.43</v>
      </c>
    </row>
    <row r="7487" spans="1:15" x14ac:dyDescent="0.35">
      <c r="A7487" t="s">
        <v>8119</v>
      </c>
      <c r="B7487" t="s">
        <v>8120</v>
      </c>
      <c r="C7487" t="s">
        <v>1477</v>
      </c>
      <c r="D7487" t="s">
        <v>323</v>
      </c>
      <c r="E7487" t="s">
        <v>300</v>
      </c>
      <c r="F7487" t="s">
        <v>8142</v>
      </c>
      <c r="G7487">
        <v>37</v>
      </c>
      <c r="H7487">
        <v>5096.84</v>
      </c>
      <c r="I7487">
        <v>137.75</v>
      </c>
      <c r="J7487">
        <v>62</v>
      </c>
      <c r="K7487">
        <v>7836.8</v>
      </c>
      <c r="L7487">
        <v>126.4</v>
      </c>
      <c r="M7487">
        <v>99</v>
      </c>
      <c r="N7487">
        <v>12933.64</v>
      </c>
      <c r="O7487">
        <v>130.63999999999999</v>
      </c>
    </row>
    <row r="7488" spans="1:15" x14ac:dyDescent="0.35">
      <c r="A7488" t="s">
        <v>8119</v>
      </c>
      <c r="B7488" t="s">
        <v>8120</v>
      </c>
      <c r="C7488" t="s">
        <v>1477</v>
      </c>
      <c r="D7488" t="s">
        <v>323</v>
      </c>
      <c r="E7488" t="s">
        <v>302</v>
      </c>
      <c r="F7488" t="s">
        <v>8143</v>
      </c>
      <c r="G7488">
        <v>0</v>
      </c>
      <c r="H7488">
        <v>0</v>
      </c>
      <c r="I7488">
        <v>0</v>
      </c>
      <c r="J7488">
        <v>1</v>
      </c>
      <c r="K7488">
        <v>139.4</v>
      </c>
      <c r="L7488">
        <v>139.4</v>
      </c>
      <c r="M7488">
        <v>1</v>
      </c>
      <c r="N7488">
        <v>139.4</v>
      </c>
      <c r="O7488">
        <v>139.4</v>
      </c>
    </row>
    <row r="7489" spans="1:15" x14ac:dyDescent="0.35">
      <c r="A7489" t="s">
        <v>8119</v>
      </c>
      <c r="B7489" t="s">
        <v>8120</v>
      </c>
      <c r="C7489" t="s">
        <v>1477</v>
      </c>
      <c r="D7489" t="s">
        <v>323</v>
      </c>
      <c r="E7489" t="s">
        <v>304</v>
      </c>
      <c r="F7489" t="s">
        <v>8144</v>
      </c>
      <c r="G7489">
        <v>0</v>
      </c>
      <c r="H7489">
        <v>0</v>
      </c>
      <c r="I7489">
        <v>0</v>
      </c>
      <c r="J7489">
        <v>1</v>
      </c>
      <c r="K7489">
        <v>174.19</v>
      </c>
      <c r="L7489">
        <v>174.19</v>
      </c>
      <c r="M7489">
        <v>1</v>
      </c>
      <c r="N7489">
        <v>174.19</v>
      </c>
      <c r="O7489">
        <v>174.19</v>
      </c>
    </row>
    <row r="7490" spans="1:15" x14ac:dyDescent="0.35">
      <c r="A7490" t="s">
        <v>8119</v>
      </c>
      <c r="B7490" t="s">
        <v>8120</v>
      </c>
      <c r="C7490" t="s">
        <v>1477</v>
      </c>
      <c r="D7490" t="s">
        <v>323</v>
      </c>
      <c r="E7490" t="s">
        <v>306</v>
      </c>
      <c r="F7490" t="s">
        <v>8145</v>
      </c>
      <c r="G7490">
        <v>0</v>
      </c>
      <c r="H7490">
        <v>0</v>
      </c>
      <c r="I7490">
        <v>0</v>
      </c>
      <c r="J7490">
        <v>9</v>
      </c>
      <c r="K7490">
        <v>744.84</v>
      </c>
      <c r="L7490">
        <v>82.76</v>
      </c>
      <c r="M7490">
        <v>9</v>
      </c>
      <c r="N7490">
        <v>744.84</v>
      </c>
      <c r="O7490">
        <v>82.76</v>
      </c>
    </row>
    <row r="7491" spans="1:15" x14ac:dyDescent="0.35">
      <c r="A7491" t="s">
        <v>8119</v>
      </c>
      <c r="B7491" t="s">
        <v>8120</v>
      </c>
      <c r="C7491" t="s">
        <v>1477</v>
      </c>
      <c r="D7491" t="s">
        <v>323</v>
      </c>
      <c r="E7491" t="s">
        <v>308</v>
      </c>
      <c r="F7491" t="s">
        <v>8146</v>
      </c>
      <c r="G7491">
        <v>0</v>
      </c>
      <c r="H7491">
        <v>0</v>
      </c>
      <c r="I7491">
        <v>0</v>
      </c>
      <c r="J7491">
        <v>22</v>
      </c>
      <c r="K7491">
        <v>1617.22</v>
      </c>
      <c r="L7491">
        <v>73.510000000000005</v>
      </c>
      <c r="M7491">
        <v>22</v>
      </c>
      <c r="N7491">
        <v>1617.22</v>
      </c>
      <c r="O7491">
        <v>73.510000000000005</v>
      </c>
    </row>
    <row r="7492" spans="1:15" x14ac:dyDescent="0.35">
      <c r="A7492" t="s">
        <v>8119</v>
      </c>
      <c r="B7492" t="s">
        <v>8120</v>
      </c>
      <c r="C7492" t="s">
        <v>1477</v>
      </c>
      <c r="D7492" t="s">
        <v>323</v>
      </c>
      <c r="E7492" t="s">
        <v>310</v>
      </c>
      <c r="F7492" t="s">
        <v>8147</v>
      </c>
      <c r="G7492">
        <v>1298</v>
      </c>
      <c r="H7492">
        <v>149216.63999999998</v>
      </c>
      <c r="I7492">
        <v>114.96</v>
      </c>
      <c r="J7492">
        <v>3016</v>
      </c>
      <c r="K7492">
        <v>335244.64999999997</v>
      </c>
      <c r="L7492">
        <v>111.16</v>
      </c>
      <c r="M7492">
        <v>4314</v>
      </c>
      <c r="N7492">
        <v>484461.28999999992</v>
      </c>
      <c r="O7492">
        <v>112.3</v>
      </c>
    </row>
    <row r="7493" spans="1:15" x14ac:dyDescent="0.35">
      <c r="A7493" t="s">
        <v>8119</v>
      </c>
      <c r="B7493" t="s">
        <v>8120</v>
      </c>
      <c r="C7493" t="s">
        <v>1477</v>
      </c>
      <c r="D7493" t="s">
        <v>323</v>
      </c>
      <c r="E7493" t="s">
        <v>312</v>
      </c>
      <c r="F7493" t="s">
        <v>8148</v>
      </c>
      <c r="G7493">
        <v>1298</v>
      </c>
      <c r="H7493">
        <v>149216.63999999998</v>
      </c>
      <c r="I7493">
        <v>114.96</v>
      </c>
      <c r="J7493">
        <v>2994</v>
      </c>
      <c r="K7493">
        <v>333627.43</v>
      </c>
      <c r="L7493">
        <v>111.43</v>
      </c>
      <c r="M7493">
        <v>4292</v>
      </c>
      <c r="N7493">
        <v>482844.06999999995</v>
      </c>
      <c r="O7493">
        <v>112.5</v>
      </c>
    </row>
    <row r="7494" spans="1:15" x14ac:dyDescent="0.35">
      <c r="A7494" t="s">
        <v>8119</v>
      </c>
      <c r="B7494" t="s">
        <v>8120</v>
      </c>
      <c r="C7494" t="s">
        <v>1477</v>
      </c>
      <c r="D7494" t="s">
        <v>334</v>
      </c>
      <c r="E7494" t="s">
        <v>312</v>
      </c>
      <c r="F7494" t="s">
        <v>8149</v>
      </c>
      <c r="G7494">
        <v>2333</v>
      </c>
      <c r="H7494">
        <v>306131.98000000004</v>
      </c>
      <c r="I7494">
        <v>134.09</v>
      </c>
      <c r="J7494">
        <v>3219</v>
      </c>
      <c r="K7494">
        <v>368976.10000000003</v>
      </c>
      <c r="L7494">
        <v>114.62</v>
      </c>
      <c r="M7494">
        <v>5552</v>
      </c>
      <c r="N7494">
        <v>675108.08000000007</v>
      </c>
      <c r="O7494">
        <v>122.7</v>
      </c>
    </row>
    <row r="7495" spans="1:15" x14ac:dyDescent="0.35">
      <c r="A7495" t="s">
        <v>8119</v>
      </c>
      <c r="B7495" t="s">
        <v>8120</v>
      </c>
      <c r="C7495" t="s">
        <v>1477</v>
      </c>
      <c r="D7495" t="s">
        <v>334</v>
      </c>
      <c r="E7495" t="s">
        <v>308</v>
      </c>
      <c r="F7495" t="s">
        <v>8150</v>
      </c>
      <c r="G7495">
        <v>0</v>
      </c>
      <c r="H7495">
        <v>0</v>
      </c>
      <c r="I7495">
        <v>0</v>
      </c>
      <c r="J7495">
        <v>22</v>
      </c>
      <c r="K7495">
        <v>1617.22</v>
      </c>
      <c r="L7495">
        <v>73.510000000000005</v>
      </c>
      <c r="M7495">
        <v>22</v>
      </c>
      <c r="N7495">
        <v>1617.22</v>
      </c>
      <c r="O7495">
        <v>73.510000000000005</v>
      </c>
    </row>
    <row r="7496" spans="1:15" x14ac:dyDescent="0.35">
      <c r="A7496" t="s">
        <v>8119</v>
      </c>
      <c r="B7496" t="s">
        <v>8120</v>
      </c>
      <c r="C7496" t="s">
        <v>1477</v>
      </c>
      <c r="D7496" t="s">
        <v>337</v>
      </c>
      <c r="E7496" t="s">
        <v>337</v>
      </c>
      <c r="F7496" t="s">
        <v>8151</v>
      </c>
      <c r="G7496">
        <v>378</v>
      </c>
      <c r="J7496">
        <v>61</v>
      </c>
      <c r="M7496">
        <v>439</v>
      </c>
    </row>
    <row r="7497" spans="1:15" x14ac:dyDescent="0.35">
      <c r="A7497" t="s">
        <v>8119</v>
      </c>
      <c r="B7497" t="s">
        <v>8120</v>
      </c>
      <c r="C7497" t="s">
        <v>1477</v>
      </c>
      <c r="D7497" t="s">
        <v>339</v>
      </c>
      <c r="E7497" t="s">
        <v>294</v>
      </c>
      <c r="F7497" t="s">
        <v>8152</v>
      </c>
      <c r="G7497">
        <v>82</v>
      </c>
      <c r="H7497">
        <v>11366.64</v>
      </c>
      <c r="I7497">
        <v>138.62</v>
      </c>
      <c r="J7497">
        <v>204</v>
      </c>
      <c r="K7497">
        <v>19512.600000000002</v>
      </c>
      <c r="L7497">
        <v>95.65</v>
      </c>
      <c r="M7497">
        <v>286</v>
      </c>
      <c r="N7497">
        <v>30879.24</v>
      </c>
      <c r="O7497">
        <v>107.97</v>
      </c>
    </row>
    <row r="7498" spans="1:15" x14ac:dyDescent="0.35">
      <c r="A7498" t="s">
        <v>8119</v>
      </c>
      <c r="B7498" t="s">
        <v>8120</v>
      </c>
      <c r="C7498" t="s">
        <v>1477</v>
      </c>
      <c r="D7498" t="s">
        <v>339</v>
      </c>
      <c r="E7498" t="s">
        <v>296</v>
      </c>
      <c r="F7498" t="s">
        <v>8153</v>
      </c>
      <c r="G7498">
        <v>30</v>
      </c>
      <c r="H7498">
        <v>4000.46</v>
      </c>
      <c r="I7498">
        <v>133.35</v>
      </c>
      <c r="J7498">
        <v>52</v>
      </c>
      <c r="K7498">
        <v>5796.44</v>
      </c>
      <c r="L7498">
        <v>111.47</v>
      </c>
      <c r="M7498">
        <v>82</v>
      </c>
      <c r="N7498">
        <v>9796.9</v>
      </c>
      <c r="O7498">
        <v>119.47</v>
      </c>
    </row>
    <row r="7499" spans="1:15" x14ac:dyDescent="0.35">
      <c r="A7499" t="s">
        <v>8119</v>
      </c>
      <c r="B7499" t="s">
        <v>8120</v>
      </c>
      <c r="C7499" t="s">
        <v>1477</v>
      </c>
      <c r="D7499" t="s">
        <v>339</v>
      </c>
      <c r="E7499" t="s">
        <v>298</v>
      </c>
      <c r="F7499" t="s">
        <v>8154</v>
      </c>
      <c r="G7499">
        <v>0</v>
      </c>
      <c r="H7499">
        <v>0</v>
      </c>
      <c r="I7499">
        <v>0</v>
      </c>
      <c r="J7499">
        <v>1</v>
      </c>
      <c r="K7499">
        <v>113.57</v>
      </c>
      <c r="L7499">
        <v>113.57</v>
      </c>
      <c r="M7499">
        <v>1</v>
      </c>
      <c r="N7499">
        <v>113.57</v>
      </c>
      <c r="O7499">
        <v>113.57</v>
      </c>
    </row>
    <row r="7500" spans="1:15" x14ac:dyDescent="0.35">
      <c r="A7500" t="s">
        <v>8119</v>
      </c>
      <c r="B7500" t="s">
        <v>8120</v>
      </c>
      <c r="C7500" t="s">
        <v>1477</v>
      </c>
      <c r="D7500" t="s">
        <v>339</v>
      </c>
      <c r="E7500" t="s">
        <v>300</v>
      </c>
      <c r="F7500" t="s">
        <v>8155</v>
      </c>
      <c r="G7500">
        <v>0</v>
      </c>
      <c r="H7500">
        <v>0</v>
      </c>
      <c r="I7500">
        <v>0</v>
      </c>
      <c r="J7500">
        <v>0</v>
      </c>
      <c r="K7500">
        <v>0</v>
      </c>
      <c r="L7500">
        <v>0</v>
      </c>
      <c r="M7500">
        <v>0</v>
      </c>
      <c r="N7500">
        <v>0</v>
      </c>
      <c r="O7500">
        <v>0</v>
      </c>
    </row>
    <row r="7501" spans="1:15" x14ac:dyDescent="0.35">
      <c r="A7501" t="s">
        <v>8119</v>
      </c>
      <c r="B7501" t="s">
        <v>8120</v>
      </c>
      <c r="C7501" t="s">
        <v>1477</v>
      </c>
      <c r="D7501" t="s">
        <v>339</v>
      </c>
      <c r="E7501" t="s">
        <v>306</v>
      </c>
      <c r="F7501" t="s">
        <v>8156</v>
      </c>
      <c r="G7501">
        <v>4</v>
      </c>
      <c r="H7501">
        <v>64.2</v>
      </c>
      <c r="I7501">
        <v>16.05</v>
      </c>
      <c r="J7501">
        <v>3</v>
      </c>
      <c r="K7501">
        <v>251.25</v>
      </c>
      <c r="L7501">
        <v>83.75</v>
      </c>
      <c r="M7501">
        <v>7</v>
      </c>
      <c r="N7501">
        <v>315.45</v>
      </c>
      <c r="O7501">
        <v>45.06</v>
      </c>
    </row>
    <row r="7502" spans="1:15" x14ac:dyDescent="0.35">
      <c r="A7502" t="s">
        <v>8119</v>
      </c>
      <c r="B7502" t="s">
        <v>8120</v>
      </c>
      <c r="C7502" t="s">
        <v>1477</v>
      </c>
      <c r="D7502" t="s">
        <v>339</v>
      </c>
      <c r="E7502" t="s">
        <v>308</v>
      </c>
      <c r="F7502" t="s">
        <v>8157</v>
      </c>
      <c r="G7502">
        <v>80</v>
      </c>
      <c r="H7502">
        <v>13371.73</v>
      </c>
      <c r="I7502">
        <v>167.15</v>
      </c>
      <c r="J7502">
        <v>0</v>
      </c>
      <c r="K7502">
        <v>0</v>
      </c>
      <c r="L7502">
        <v>0</v>
      </c>
      <c r="M7502">
        <v>80</v>
      </c>
      <c r="N7502">
        <v>13371.73</v>
      </c>
      <c r="O7502">
        <v>167.15</v>
      </c>
    </row>
    <row r="7503" spans="1:15" x14ac:dyDescent="0.35">
      <c r="A7503" t="s">
        <v>8119</v>
      </c>
      <c r="B7503" t="s">
        <v>8120</v>
      </c>
      <c r="C7503" t="s">
        <v>1477</v>
      </c>
      <c r="D7503" t="s">
        <v>339</v>
      </c>
      <c r="E7503" t="s">
        <v>310</v>
      </c>
      <c r="F7503" t="s">
        <v>8158</v>
      </c>
      <c r="G7503">
        <v>196</v>
      </c>
      <c r="H7503">
        <v>28803.03</v>
      </c>
      <c r="I7503">
        <v>146.94999999999999</v>
      </c>
      <c r="J7503">
        <v>260</v>
      </c>
      <c r="K7503">
        <v>25673.86</v>
      </c>
      <c r="L7503">
        <v>98.75</v>
      </c>
      <c r="M7503">
        <v>456</v>
      </c>
      <c r="N7503">
        <v>54476.89</v>
      </c>
      <c r="O7503">
        <v>119.47</v>
      </c>
    </row>
    <row r="7504" spans="1:15" x14ac:dyDescent="0.35">
      <c r="A7504" t="s">
        <v>8119</v>
      </c>
      <c r="B7504" t="s">
        <v>8120</v>
      </c>
      <c r="C7504" t="s">
        <v>1477</v>
      </c>
      <c r="D7504" t="s">
        <v>339</v>
      </c>
      <c r="E7504" t="s">
        <v>312</v>
      </c>
      <c r="F7504" t="s">
        <v>8159</v>
      </c>
      <c r="G7504">
        <v>116</v>
      </c>
      <c r="H7504">
        <v>15431.3</v>
      </c>
      <c r="I7504">
        <v>133.03</v>
      </c>
      <c r="J7504">
        <v>260</v>
      </c>
      <c r="K7504">
        <v>25673.86</v>
      </c>
      <c r="L7504">
        <v>98.75</v>
      </c>
      <c r="M7504">
        <v>376</v>
      </c>
      <c r="N7504">
        <v>41105.160000000003</v>
      </c>
      <c r="O7504">
        <v>109.32</v>
      </c>
    </row>
    <row r="7505" spans="1:15" x14ac:dyDescent="0.35">
      <c r="A7505" t="s">
        <v>8119</v>
      </c>
      <c r="B7505" t="s">
        <v>8120</v>
      </c>
      <c r="C7505" t="s">
        <v>1477</v>
      </c>
      <c r="D7505" t="s">
        <v>348</v>
      </c>
      <c r="E7505" t="s">
        <v>349</v>
      </c>
      <c r="F7505" t="s">
        <v>8160</v>
      </c>
      <c r="G7505">
        <v>230</v>
      </c>
      <c r="H7505">
        <v>28803.03</v>
      </c>
      <c r="I7505">
        <v>146.94999999999999</v>
      </c>
      <c r="J7505">
        <v>260</v>
      </c>
      <c r="K7505">
        <v>25673.86</v>
      </c>
      <c r="L7505">
        <v>98.75</v>
      </c>
      <c r="M7505">
        <v>490</v>
      </c>
      <c r="N7505">
        <v>54476.89</v>
      </c>
      <c r="O7505">
        <v>119.47</v>
      </c>
    </row>
    <row r="7506" spans="1:15" x14ac:dyDescent="0.35">
      <c r="A7506" t="s">
        <v>8161</v>
      </c>
      <c r="B7506" t="s">
        <v>8162</v>
      </c>
      <c r="C7506" t="s">
        <v>1477</v>
      </c>
      <c r="D7506" t="s">
        <v>293</v>
      </c>
      <c r="E7506" t="s">
        <v>294</v>
      </c>
      <c r="F7506" t="s">
        <v>8163</v>
      </c>
      <c r="G7506">
        <v>192</v>
      </c>
      <c r="H7506">
        <v>21789.200000000001</v>
      </c>
      <c r="I7506">
        <v>113.49</v>
      </c>
      <c r="J7506">
        <v>18</v>
      </c>
      <c r="K7506">
        <v>2278.98</v>
      </c>
      <c r="L7506">
        <v>126.61</v>
      </c>
      <c r="M7506">
        <v>210</v>
      </c>
      <c r="N7506">
        <v>24068.18</v>
      </c>
      <c r="O7506">
        <v>114.61</v>
      </c>
    </row>
    <row r="7507" spans="1:15" x14ac:dyDescent="0.35">
      <c r="A7507" t="s">
        <v>8161</v>
      </c>
      <c r="B7507" t="s">
        <v>8162</v>
      </c>
      <c r="C7507" t="s">
        <v>1477</v>
      </c>
      <c r="D7507" t="s">
        <v>293</v>
      </c>
      <c r="E7507" t="s">
        <v>296</v>
      </c>
      <c r="F7507" t="s">
        <v>8164</v>
      </c>
      <c r="G7507">
        <v>272</v>
      </c>
      <c r="H7507">
        <v>38013.520000000004</v>
      </c>
      <c r="I7507">
        <v>139.76</v>
      </c>
      <c r="J7507">
        <v>68</v>
      </c>
      <c r="K7507">
        <v>10776.64</v>
      </c>
      <c r="L7507">
        <v>158.47999999999999</v>
      </c>
      <c r="M7507">
        <v>340</v>
      </c>
      <c r="N7507">
        <v>48790.16</v>
      </c>
      <c r="O7507">
        <v>143.5</v>
      </c>
    </row>
    <row r="7508" spans="1:15" x14ac:dyDescent="0.35">
      <c r="A7508" t="s">
        <v>8161</v>
      </c>
      <c r="B7508" t="s">
        <v>8162</v>
      </c>
      <c r="C7508" t="s">
        <v>1477</v>
      </c>
      <c r="D7508" t="s">
        <v>293</v>
      </c>
      <c r="E7508" t="s">
        <v>298</v>
      </c>
      <c r="F7508" t="s">
        <v>8165</v>
      </c>
      <c r="G7508">
        <v>88</v>
      </c>
      <c r="H7508">
        <v>13237.699999999997</v>
      </c>
      <c r="I7508">
        <v>150.43</v>
      </c>
      <c r="J7508">
        <v>28</v>
      </c>
      <c r="K7508">
        <v>5127.6399999999994</v>
      </c>
      <c r="L7508">
        <v>183.13</v>
      </c>
      <c r="M7508">
        <v>116</v>
      </c>
      <c r="N7508">
        <v>18365.339999999997</v>
      </c>
      <c r="O7508">
        <v>158.32</v>
      </c>
    </row>
    <row r="7509" spans="1:15" x14ac:dyDescent="0.35">
      <c r="A7509" t="s">
        <v>8161</v>
      </c>
      <c r="B7509" t="s">
        <v>8162</v>
      </c>
      <c r="C7509" t="s">
        <v>1477</v>
      </c>
      <c r="D7509" t="s">
        <v>293</v>
      </c>
      <c r="E7509" t="s">
        <v>300</v>
      </c>
      <c r="F7509" t="s">
        <v>8166</v>
      </c>
      <c r="G7509">
        <v>10</v>
      </c>
      <c r="H7509">
        <v>1706.52</v>
      </c>
      <c r="I7509">
        <v>170.65</v>
      </c>
      <c r="J7509">
        <v>0</v>
      </c>
      <c r="K7509">
        <v>0</v>
      </c>
      <c r="L7509">
        <v>0</v>
      </c>
      <c r="M7509">
        <v>10</v>
      </c>
      <c r="N7509">
        <v>1706.52</v>
      </c>
      <c r="O7509">
        <v>170.65</v>
      </c>
    </row>
    <row r="7510" spans="1:15" x14ac:dyDescent="0.35">
      <c r="A7510" t="s">
        <v>8161</v>
      </c>
      <c r="B7510" t="s">
        <v>8162</v>
      </c>
      <c r="C7510" t="s">
        <v>1477</v>
      </c>
      <c r="D7510" t="s">
        <v>293</v>
      </c>
      <c r="E7510" t="s">
        <v>302</v>
      </c>
      <c r="F7510" t="s">
        <v>8167</v>
      </c>
      <c r="G7510">
        <v>0</v>
      </c>
      <c r="H7510">
        <v>0</v>
      </c>
      <c r="I7510">
        <v>0</v>
      </c>
      <c r="J7510">
        <v>3</v>
      </c>
      <c r="K7510">
        <v>718.02</v>
      </c>
      <c r="L7510">
        <v>239.34</v>
      </c>
      <c r="M7510">
        <v>3</v>
      </c>
      <c r="N7510">
        <v>718.02</v>
      </c>
      <c r="O7510">
        <v>239.34</v>
      </c>
    </row>
    <row r="7511" spans="1:15" x14ac:dyDescent="0.35">
      <c r="A7511" t="s">
        <v>8161</v>
      </c>
      <c r="B7511" t="s">
        <v>8162</v>
      </c>
      <c r="C7511" t="s">
        <v>1477</v>
      </c>
      <c r="D7511" t="s">
        <v>293</v>
      </c>
      <c r="E7511" t="s">
        <v>304</v>
      </c>
      <c r="F7511" t="s">
        <v>8168</v>
      </c>
      <c r="G7511">
        <v>0</v>
      </c>
      <c r="H7511">
        <v>0</v>
      </c>
      <c r="I7511">
        <v>0</v>
      </c>
      <c r="J7511">
        <v>0</v>
      </c>
      <c r="K7511">
        <v>0</v>
      </c>
      <c r="L7511">
        <v>0</v>
      </c>
      <c r="M7511">
        <v>0</v>
      </c>
      <c r="N7511">
        <v>0</v>
      </c>
      <c r="O7511">
        <v>0</v>
      </c>
    </row>
    <row r="7512" spans="1:15" x14ac:dyDescent="0.35">
      <c r="A7512" t="s">
        <v>8161</v>
      </c>
      <c r="B7512" t="s">
        <v>8162</v>
      </c>
      <c r="C7512" t="s">
        <v>1477</v>
      </c>
      <c r="D7512" t="s">
        <v>293</v>
      </c>
      <c r="E7512" t="s">
        <v>306</v>
      </c>
      <c r="F7512" t="s">
        <v>8169</v>
      </c>
      <c r="G7512">
        <v>2</v>
      </c>
      <c r="H7512">
        <v>215.76</v>
      </c>
      <c r="I7512">
        <v>107.88</v>
      </c>
      <c r="J7512">
        <v>0</v>
      </c>
      <c r="K7512">
        <v>0</v>
      </c>
      <c r="L7512">
        <v>0</v>
      </c>
      <c r="M7512">
        <v>2</v>
      </c>
      <c r="N7512">
        <v>215.76</v>
      </c>
      <c r="O7512">
        <v>107.88</v>
      </c>
    </row>
    <row r="7513" spans="1:15" x14ac:dyDescent="0.35">
      <c r="A7513" t="s">
        <v>8161</v>
      </c>
      <c r="B7513" t="s">
        <v>8162</v>
      </c>
      <c r="C7513" t="s">
        <v>1477</v>
      </c>
      <c r="D7513" t="s">
        <v>293</v>
      </c>
      <c r="E7513" t="s">
        <v>308</v>
      </c>
      <c r="F7513" t="s">
        <v>8170</v>
      </c>
      <c r="G7513">
        <v>0</v>
      </c>
      <c r="H7513">
        <v>0</v>
      </c>
      <c r="I7513">
        <v>0</v>
      </c>
      <c r="J7513">
        <v>0</v>
      </c>
      <c r="K7513">
        <v>0</v>
      </c>
      <c r="L7513">
        <v>0</v>
      </c>
      <c r="M7513">
        <v>0</v>
      </c>
      <c r="N7513">
        <v>0</v>
      </c>
      <c r="O7513">
        <v>0</v>
      </c>
    </row>
    <row r="7514" spans="1:15" x14ac:dyDescent="0.35">
      <c r="A7514" t="s">
        <v>8161</v>
      </c>
      <c r="B7514" t="s">
        <v>8162</v>
      </c>
      <c r="C7514" t="s">
        <v>1477</v>
      </c>
      <c r="D7514" t="s">
        <v>293</v>
      </c>
      <c r="E7514" t="s">
        <v>310</v>
      </c>
      <c r="F7514" t="s">
        <v>8171</v>
      </c>
      <c r="G7514">
        <v>564</v>
      </c>
      <c r="H7514">
        <v>74962.7</v>
      </c>
      <c r="I7514">
        <v>132.91</v>
      </c>
      <c r="J7514">
        <v>117</v>
      </c>
      <c r="K7514">
        <v>18901.28</v>
      </c>
      <c r="L7514">
        <v>161.55000000000001</v>
      </c>
      <c r="M7514">
        <v>681</v>
      </c>
      <c r="N7514">
        <v>93863.98</v>
      </c>
      <c r="O7514">
        <v>137.83000000000001</v>
      </c>
    </row>
    <row r="7515" spans="1:15" x14ac:dyDescent="0.35">
      <c r="A7515" t="s">
        <v>8161</v>
      </c>
      <c r="B7515" t="s">
        <v>8162</v>
      </c>
      <c r="C7515" t="s">
        <v>1477</v>
      </c>
      <c r="D7515" t="s">
        <v>293</v>
      </c>
      <c r="E7515" t="s">
        <v>312</v>
      </c>
      <c r="F7515" t="s">
        <v>8172</v>
      </c>
      <c r="G7515">
        <v>564</v>
      </c>
      <c r="H7515">
        <v>74962.7</v>
      </c>
      <c r="I7515">
        <v>132.91</v>
      </c>
      <c r="J7515">
        <v>117</v>
      </c>
      <c r="K7515">
        <v>18901.28</v>
      </c>
      <c r="L7515">
        <v>161.55000000000001</v>
      </c>
      <c r="M7515">
        <v>681</v>
      </c>
      <c r="N7515">
        <v>93863.98</v>
      </c>
      <c r="O7515">
        <v>137.83000000000001</v>
      </c>
    </row>
    <row r="7516" spans="1:15" x14ac:dyDescent="0.35">
      <c r="A7516" t="s">
        <v>8161</v>
      </c>
      <c r="B7516" t="s">
        <v>8162</v>
      </c>
      <c r="C7516" t="s">
        <v>1477</v>
      </c>
      <c r="D7516" t="s">
        <v>314</v>
      </c>
      <c r="E7516" t="s">
        <v>294</v>
      </c>
      <c r="F7516" t="s">
        <v>8173</v>
      </c>
      <c r="G7516">
        <v>0</v>
      </c>
      <c r="H7516">
        <v>0</v>
      </c>
      <c r="I7516">
        <v>0</v>
      </c>
      <c r="J7516">
        <v>0</v>
      </c>
      <c r="K7516">
        <v>0</v>
      </c>
      <c r="L7516">
        <v>0</v>
      </c>
      <c r="M7516">
        <v>0</v>
      </c>
      <c r="N7516">
        <v>0</v>
      </c>
      <c r="O7516">
        <v>0</v>
      </c>
    </row>
    <row r="7517" spans="1:15" x14ac:dyDescent="0.35">
      <c r="A7517" t="s">
        <v>8161</v>
      </c>
      <c r="B7517" t="s">
        <v>8162</v>
      </c>
      <c r="C7517" t="s">
        <v>1477</v>
      </c>
      <c r="D7517" t="s">
        <v>314</v>
      </c>
      <c r="E7517" t="s">
        <v>296</v>
      </c>
      <c r="F7517" t="s">
        <v>8174</v>
      </c>
      <c r="G7517">
        <v>0</v>
      </c>
      <c r="H7517">
        <v>0</v>
      </c>
      <c r="I7517">
        <v>0</v>
      </c>
      <c r="J7517">
        <v>0</v>
      </c>
      <c r="K7517">
        <v>0</v>
      </c>
      <c r="L7517">
        <v>0</v>
      </c>
      <c r="M7517">
        <v>0</v>
      </c>
      <c r="N7517">
        <v>0</v>
      </c>
      <c r="O7517">
        <v>0</v>
      </c>
    </row>
    <row r="7518" spans="1:15" x14ac:dyDescent="0.35">
      <c r="A7518" t="s">
        <v>8161</v>
      </c>
      <c r="B7518" t="s">
        <v>8162</v>
      </c>
      <c r="C7518" t="s">
        <v>1477</v>
      </c>
      <c r="D7518" t="s">
        <v>314</v>
      </c>
      <c r="E7518" t="s">
        <v>298</v>
      </c>
      <c r="F7518" t="s">
        <v>8175</v>
      </c>
      <c r="G7518">
        <v>0</v>
      </c>
      <c r="H7518">
        <v>0</v>
      </c>
      <c r="I7518">
        <v>0</v>
      </c>
      <c r="J7518">
        <v>0</v>
      </c>
      <c r="K7518">
        <v>0</v>
      </c>
      <c r="L7518">
        <v>0</v>
      </c>
      <c r="M7518">
        <v>0</v>
      </c>
      <c r="N7518">
        <v>0</v>
      </c>
      <c r="O7518">
        <v>0</v>
      </c>
    </row>
    <row r="7519" spans="1:15" x14ac:dyDescent="0.35">
      <c r="A7519" t="s">
        <v>8161</v>
      </c>
      <c r="B7519" t="s">
        <v>8162</v>
      </c>
      <c r="C7519" t="s">
        <v>1477</v>
      </c>
      <c r="D7519" t="s">
        <v>314</v>
      </c>
      <c r="E7519" t="s">
        <v>300</v>
      </c>
      <c r="F7519" t="s">
        <v>8176</v>
      </c>
      <c r="G7519">
        <v>0</v>
      </c>
      <c r="H7519">
        <v>0</v>
      </c>
      <c r="I7519">
        <v>0</v>
      </c>
      <c r="J7519">
        <v>0</v>
      </c>
      <c r="K7519">
        <v>0</v>
      </c>
      <c r="L7519">
        <v>0</v>
      </c>
      <c r="M7519">
        <v>0</v>
      </c>
      <c r="N7519">
        <v>0</v>
      </c>
      <c r="O7519">
        <v>0</v>
      </c>
    </row>
    <row r="7520" spans="1:15" x14ac:dyDescent="0.35">
      <c r="A7520" t="s">
        <v>8161</v>
      </c>
      <c r="B7520" t="s">
        <v>8162</v>
      </c>
      <c r="C7520" t="s">
        <v>1477</v>
      </c>
      <c r="D7520" t="s">
        <v>314</v>
      </c>
      <c r="E7520" t="s">
        <v>306</v>
      </c>
      <c r="F7520" t="s">
        <v>8177</v>
      </c>
      <c r="G7520">
        <v>0</v>
      </c>
      <c r="H7520">
        <v>0</v>
      </c>
      <c r="I7520">
        <v>0</v>
      </c>
      <c r="J7520">
        <v>0</v>
      </c>
      <c r="K7520">
        <v>0</v>
      </c>
      <c r="L7520">
        <v>0</v>
      </c>
      <c r="M7520">
        <v>0</v>
      </c>
      <c r="N7520">
        <v>0</v>
      </c>
      <c r="O7520">
        <v>0</v>
      </c>
    </row>
    <row r="7521" spans="1:15" x14ac:dyDescent="0.35">
      <c r="A7521" t="s">
        <v>8161</v>
      </c>
      <c r="B7521" t="s">
        <v>8162</v>
      </c>
      <c r="C7521" t="s">
        <v>1477</v>
      </c>
      <c r="D7521" t="s">
        <v>314</v>
      </c>
      <c r="E7521" t="s">
        <v>308</v>
      </c>
      <c r="F7521" t="s">
        <v>8178</v>
      </c>
      <c r="G7521">
        <v>0</v>
      </c>
      <c r="H7521">
        <v>0</v>
      </c>
      <c r="I7521">
        <v>0</v>
      </c>
      <c r="J7521">
        <v>0</v>
      </c>
      <c r="K7521">
        <v>0</v>
      </c>
      <c r="L7521">
        <v>0</v>
      </c>
      <c r="M7521">
        <v>0</v>
      </c>
      <c r="N7521">
        <v>0</v>
      </c>
      <c r="O7521">
        <v>0</v>
      </c>
    </row>
    <row r="7522" spans="1:15" x14ac:dyDescent="0.35">
      <c r="A7522" t="s">
        <v>8161</v>
      </c>
      <c r="B7522" t="s">
        <v>8162</v>
      </c>
      <c r="C7522" t="s">
        <v>1477</v>
      </c>
      <c r="D7522" t="s">
        <v>314</v>
      </c>
      <c r="E7522" t="s">
        <v>312</v>
      </c>
      <c r="F7522" t="s">
        <v>8179</v>
      </c>
      <c r="G7522">
        <v>0</v>
      </c>
      <c r="H7522">
        <v>0</v>
      </c>
      <c r="I7522">
        <v>0</v>
      </c>
      <c r="J7522">
        <v>0</v>
      </c>
      <c r="K7522">
        <v>0</v>
      </c>
      <c r="L7522">
        <v>0</v>
      </c>
      <c r="M7522">
        <v>0</v>
      </c>
      <c r="N7522">
        <v>0</v>
      </c>
      <c r="O7522">
        <v>0</v>
      </c>
    </row>
    <row r="7523" spans="1:15" x14ac:dyDescent="0.35">
      <c r="A7523" t="s">
        <v>8161</v>
      </c>
      <c r="B7523" t="s">
        <v>8162</v>
      </c>
      <c r="C7523" t="s">
        <v>1477</v>
      </c>
      <c r="D7523" t="s">
        <v>314</v>
      </c>
      <c r="E7523" t="s">
        <v>310</v>
      </c>
      <c r="F7523" t="s">
        <v>8180</v>
      </c>
      <c r="G7523">
        <v>0</v>
      </c>
      <c r="H7523">
        <v>0</v>
      </c>
      <c r="I7523">
        <v>0</v>
      </c>
      <c r="J7523">
        <v>0</v>
      </c>
      <c r="K7523">
        <v>0</v>
      </c>
      <c r="L7523">
        <v>0</v>
      </c>
      <c r="M7523">
        <v>0</v>
      </c>
      <c r="N7523">
        <v>0</v>
      </c>
      <c r="O7523">
        <v>0</v>
      </c>
    </row>
    <row r="7524" spans="1:15" x14ac:dyDescent="0.35">
      <c r="A7524" t="s">
        <v>8161</v>
      </c>
      <c r="B7524" t="s">
        <v>8162</v>
      </c>
      <c r="C7524" t="s">
        <v>1477</v>
      </c>
      <c r="D7524" t="s">
        <v>323</v>
      </c>
      <c r="E7524" t="s">
        <v>294</v>
      </c>
      <c r="F7524" t="s">
        <v>8181</v>
      </c>
      <c r="G7524">
        <v>678</v>
      </c>
      <c r="H7524">
        <v>61013.950000000012</v>
      </c>
      <c r="I7524">
        <v>89.99</v>
      </c>
      <c r="J7524">
        <v>2147</v>
      </c>
      <c r="K7524">
        <v>181850.9</v>
      </c>
      <c r="L7524">
        <v>84.7</v>
      </c>
      <c r="M7524">
        <v>2825</v>
      </c>
      <c r="N7524">
        <v>242864.85</v>
      </c>
      <c r="O7524">
        <v>85.97</v>
      </c>
    </row>
    <row r="7525" spans="1:15" x14ac:dyDescent="0.35">
      <c r="A7525" t="s">
        <v>8161</v>
      </c>
      <c r="B7525" t="s">
        <v>8162</v>
      </c>
      <c r="C7525" t="s">
        <v>1477</v>
      </c>
      <c r="D7525" t="s">
        <v>323</v>
      </c>
      <c r="E7525" t="s">
        <v>296</v>
      </c>
      <c r="F7525" t="s">
        <v>8182</v>
      </c>
      <c r="G7525">
        <v>1423</v>
      </c>
      <c r="H7525">
        <v>155689.35</v>
      </c>
      <c r="I7525">
        <v>109.41</v>
      </c>
      <c r="J7525">
        <v>2066</v>
      </c>
      <c r="K7525">
        <v>204141.46</v>
      </c>
      <c r="L7525">
        <v>98.81</v>
      </c>
      <c r="M7525">
        <v>3489</v>
      </c>
      <c r="N7525">
        <v>359830.81</v>
      </c>
      <c r="O7525">
        <v>103.13</v>
      </c>
    </row>
    <row r="7526" spans="1:15" x14ac:dyDescent="0.35">
      <c r="A7526" t="s">
        <v>8161</v>
      </c>
      <c r="B7526" t="s">
        <v>8162</v>
      </c>
      <c r="C7526" t="s">
        <v>1477</v>
      </c>
      <c r="D7526" t="s">
        <v>323</v>
      </c>
      <c r="E7526" t="s">
        <v>298</v>
      </c>
      <c r="F7526" t="s">
        <v>8183</v>
      </c>
      <c r="G7526">
        <v>707</v>
      </c>
      <c r="H7526">
        <v>88352.49</v>
      </c>
      <c r="I7526">
        <v>124.97</v>
      </c>
      <c r="J7526">
        <v>3281</v>
      </c>
      <c r="K7526">
        <v>366290.84</v>
      </c>
      <c r="L7526">
        <v>111.64</v>
      </c>
      <c r="M7526">
        <v>3988</v>
      </c>
      <c r="N7526">
        <v>454643.33</v>
      </c>
      <c r="O7526">
        <v>114</v>
      </c>
    </row>
    <row r="7527" spans="1:15" x14ac:dyDescent="0.35">
      <c r="A7527" t="s">
        <v>8161</v>
      </c>
      <c r="B7527" t="s">
        <v>8162</v>
      </c>
      <c r="C7527" t="s">
        <v>1477</v>
      </c>
      <c r="D7527" t="s">
        <v>323</v>
      </c>
      <c r="E7527" t="s">
        <v>300</v>
      </c>
      <c r="F7527" t="s">
        <v>8184</v>
      </c>
      <c r="G7527">
        <v>104</v>
      </c>
      <c r="H7527">
        <v>14790.9</v>
      </c>
      <c r="I7527">
        <v>142.22</v>
      </c>
      <c r="J7527">
        <v>145</v>
      </c>
      <c r="K7527">
        <v>17604.45</v>
      </c>
      <c r="L7527">
        <v>121.41</v>
      </c>
      <c r="M7527">
        <v>249</v>
      </c>
      <c r="N7527">
        <v>32395.35</v>
      </c>
      <c r="O7527">
        <v>130.1</v>
      </c>
    </row>
    <row r="7528" spans="1:15" x14ac:dyDescent="0.35">
      <c r="A7528" t="s">
        <v>8161</v>
      </c>
      <c r="B7528" t="s">
        <v>8162</v>
      </c>
      <c r="C7528" t="s">
        <v>1477</v>
      </c>
      <c r="D7528" t="s">
        <v>323</v>
      </c>
      <c r="E7528" t="s">
        <v>302</v>
      </c>
      <c r="F7528" t="s">
        <v>8185</v>
      </c>
      <c r="G7528">
        <v>18</v>
      </c>
      <c r="H7528">
        <v>2835.75</v>
      </c>
      <c r="I7528">
        <v>157.54</v>
      </c>
      <c r="J7528">
        <v>6</v>
      </c>
      <c r="K7528">
        <v>902.58</v>
      </c>
      <c r="L7528">
        <v>150.43</v>
      </c>
      <c r="M7528">
        <v>24</v>
      </c>
      <c r="N7528">
        <v>3738.33</v>
      </c>
      <c r="O7528">
        <v>155.76</v>
      </c>
    </row>
    <row r="7529" spans="1:15" x14ac:dyDescent="0.35">
      <c r="A7529" t="s">
        <v>8161</v>
      </c>
      <c r="B7529" t="s">
        <v>8162</v>
      </c>
      <c r="C7529" t="s">
        <v>1477</v>
      </c>
      <c r="D7529" t="s">
        <v>323</v>
      </c>
      <c r="E7529" t="s">
        <v>304</v>
      </c>
      <c r="F7529" t="s">
        <v>8186</v>
      </c>
      <c r="G7529">
        <v>3</v>
      </c>
      <c r="H7529">
        <v>504.87</v>
      </c>
      <c r="I7529">
        <v>168.29</v>
      </c>
      <c r="J7529">
        <v>1</v>
      </c>
      <c r="K7529">
        <v>141.69999999999999</v>
      </c>
      <c r="L7529">
        <v>141.69999999999999</v>
      </c>
      <c r="M7529">
        <v>4</v>
      </c>
      <c r="N7529">
        <v>646.56999999999994</v>
      </c>
      <c r="O7529">
        <v>161.63999999999999</v>
      </c>
    </row>
    <row r="7530" spans="1:15" x14ac:dyDescent="0.35">
      <c r="A7530" t="s">
        <v>8161</v>
      </c>
      <c r="B7530" t="s">
        <v>8162</v>
      </c>
      <c r="C7530" t="s">
        <v>1477</v>
      </c>
      <c r="D7530" t="s">
        <v>323</v>
      </c>
      <c r="E7530" t="s">
        <v>306</v>
      </c>
      <c r="F7530" t="s">
        <v>8187</v>
      </c>
      <c r="G7530">
        <v>52</v>
      </c>
      <c r="H7530">
        <v>3959.5600000000004</v>
      </c>
      <c r="I7530">
        <v>76.150000000000006</v>
      </c>
      <c r="J7530">
        <v>0</v>
      </c>
      <c r="K7530">
        <v>0</v>
      </c>
      <c r="L7530">
        <v>0</v>
      </c>
      <c r="M7530">
        <v>52</v>
      </c>
      <c r="N7530">
        <v>3959.5600000000004</v>
      </c>
      <c r="O7530">
        <v>76.150000000000006</v>
      </c>
    </row>
    <row r="7531" spans="1:15" x14ac:dyDescent="0.35">
      <c r="A7531" t="s">
        <v>8161</v>
      </c>
      <c r="B7531" t="s">
        <v>8162</v>
      </c>
      <c r="C7531" t="s">
        <v>1477</v>
      </c>
      <c r="D7531" t="s">
        <v>323</v>
      </c>
      <c r="E7531" t="s">
        <v>308</v>
      </c>
      <c r="F7531" t="s">
        <v>8188</v>
      </c>
      <c r="G7531">
        <v>0</v>
      </c>
      <c r="H7531">
        <v>0</v>
      </c>
      <c r="I7531">
        <v>0</v>
      </c>
      <c r="J7531">
        <v>0</v>
      </c>
      <c r="K7531">
        <v>0</v>
      </c>
      <c r="L7531">
        <v>0</v>
      </c>
      <c r="M7531">
        <v>0</v>
      </c>
      <c r="N7531">
        <v>0</v>
      </c>
      <c r="O7531">
        <v>0</v>
      </c>
    </row>
    <row r="7532" spans="1:15" x14ac:dyDescent="0.35">
      <c r="A7532" t="s">
        <v>8161</v>
      </c>
      <c r="B7532" t="s">
        <v>8162</v>
      </c>
      <c r="C7532" t="s">
        <v>1477</v>
      </c>
      <c r="D7532" t="s">
        <v>323</v>
      </c>
      <c r="E7532" t="s">
        <v>310</v>
      </c>
      <c r="F7532" t="s">
        <v>8189</v>
      </c>
      <c r="G7532">
        <v>2985</v>
      </c>
      <c r="H7532">
        <v>327146.87000000005</v>
      </c>
      <c r="I7532">
        <v>109.6</v>
      </c>
      <c r="J7532">
        <v>7646</v>
      </c>
      <c r="K7532">
        <v>770931.92999999982</v>
      </c>
      <c r="L7532">
        <v>100.83</v>
      </c>
      <c r="M7532">
        <v>10631</v>
      </c>
      <c r="N7532">
        <v>1098078.7999999998</v>
      </c>
      <c r="O7532">
        <v>103.29</v>
      </c>
    </row>
    <row r="7533" spans="1:15" x14ac:dyDescent="0.35">
      <c r="A7533" t="s">
        <v>8161</v>
      </c>
      <c r="B7533" t="s">
        <v>8162</v>
      </c>
      <c r="C7533" t="s">
        <v>1477</v>
      </c>
      <c r="D7533" t="s">
        <v>323</v>
      </c>
      <c r="E7533" t="s">
        <v>312</v>
      </c>
      <c r="F7533" t="s">
        <v>8190</v>
      </c>
      <c r="G7533">
        <v>2985</v>
      </c>
      <c r="H7533">
        <v>327146.87000000005</v>
      </c>
      <c r="I7533">
        <v>109.6</v>
      </c>
      <c r="J7533">
        <v>7646</v>
      </c>
      <c r="K7533">
        <v>770931.92999999982</v>
      </c>
      <c r="L7533">
        <v>100.83</v>
      </c>
      <c r="M7533">
        <v>10631</v>
      </c>
      <c r="N7533">
        <v>1098078.7999999998</v>
      </c>
      <c r="O7533">
        <v>103.29</v>
      </c>
    </row>
    <row r="7534" spans="1:15" x14ac:dyDescent="0.35">
      <c r="A7534" t="s">
        <v>8161</v>
      </c>
      <c r="B7534" t="s">
        <v>8162</v>
      </c>
      <c r="C7534" t="s">
        <v>1477</v>
      </c>
      <c r="D7534" t="s">
        <v>334</v>
      </c>
      <c r="E7534" t="s">
        <v>312</v>
      </c>
      <c r="F7534" t="s">
        <v>8191</v>
      </c>
      <c r="G7534">
        <v>3739</v>
      </c>
      <c r="H7534">
        <v>402109.57</v>
      </c>
      <c r="I7534">
        <v>113.3</v>
      </c>
      <c r="J7534">
        <v>7763</v>
      </c>
      <c r="K7534">
        <v>789833.20999999985</v>
      </c>
      <c r="L7534">
        <v>101.74</v>
      </c>
      <c r="M7534">
        <v>11502</v>
      </c>
      <c r="N7534">
        <v>1191942.7799999998</v>
      </c>
      <c r="O7534">
        <v>105.37</v>
      </c>
    </row>
    <row r="7535" spans="1:15" x14ac:dyDescent="0.35">
      <c r="A7535" t="s">
        <v>8161</v>
      </c>
      <c r="B7535" t="s">
        <v>8162</v>
      </c>
      <c r="C7535" t="s">
        <v>1477</v>
      </c>
      <c r="D7535" t="s">
        <v>334</v>
      </c>
      <c r="E7535" t="s">
        <v>308</v>
      </c>
      <c r="F7535" t="s">
        <v>8192</v>
      </c>
      <c r="G7535">
        <v>0</v>
      </c>
      <c r="H7535">
        <v>0</v>
      </c>
      <c r="I7535">
        <v>0</v>
      </c>
      <c r="J7535">
        <v>0</v>
      </c>
      <c r="K7535">
        <v>0</v>
      </c>
      <c r="L7535">
        <v>0</v>
      </c>
      <c r="M7535">
        <v>0</v>
      </c>
      <c r="N7535">
        <v>0</v>
      </c>
      <c r="O7535">
        <v>0</v>
      </c>
    </row>
    <row r="7536" spans="1:15" x14ac:dyDescent="0.35">
      <c r="A7536" t="s">
        <v>8161</v>
      </c>
      <c r="B7536" t="s">
        <v>8162</v>
      </c>
      <c r="C7536" t="s">
        <v>1477</v>
      </c>
      <c r="D7536" t="s">
        <v>337</v>
      </c>
      <c r="E7536" t="s">
        <v>337</v>
      </c>
      <c r="F7536" t="s">
        <v>8193</v>
      </c>
      <c r="G7536">
        <v>312</v>
      </c>
      <c r="J7536">
        <v>0</v>
      </c>
      <c r="M7536">
        <v>312</v>
      </c>
    </row>
    <row r="7537" spans="1:15" x14ac:dyDescent="0.35">
      <c r="A7537" t="s">
        <v>8161</v>
      </c>
      <c r="B7537" t="s">
        <v>8162</v>
      </c>
      <c r="C7537" t="s">
        <v>1477</v>
      </c>
      <c r="D7537" t="s">
        <v>339</v>
      </c>
      <c r="E7537" t="s">
        <v>294</v>
      </c>
      <c r="F7537" t="s">
        <v>8194</v>
      </c>
      <c r="G7537">
        <v>593</v>
      </c>
      <c r="H7537">
        <v>58594.630000000005</v>
      </c>
      <c r="I7537">
        <v>98.81</v>
      </c>
      <c r="J7537">
        <v>0</v>
      </c>
      <c r="K7537">
        <v>0</v>
      </c>
      <c r="L7537">
        <v>0</v>
      </c>
      <c r="M7537">
        <v>593</v>
      </c>
      <c r="N7537">
        <v>58594.630000000005</v>
      </c>
      <c r="O7537">
        <v>98.81</v>
      </c>
    </row>
    <row r="7538" spans="1:15" x14ac:dyDescent="0.35">
      <c r="A7538" t="s">
        <v>8161</v>
      </c>
      <c r="B7538" t="s">
        <v>8162</v>
      </c>
      <c r="C7538" t="s">
        <v>1477</v>
      </c>
      <c r="D7538" t="s">
        <v>339</v>
      </c>
      <c r="E7538" t="s">
        <v>296</v>
      </c>
      <c r="F7538" t="s">
        <v>8195</v>
      </c>
      <c r="G7538">
        <v>37</v>
      </c>
      <c r="H7538">
        <v>4324.8499999999995</v>
      </c>
      <c r="I7538">
        <v>116.89</v>
      </c>
      <c r="J7538">
        <v>0</v>
      </c>
      <c r="K7538">
        <v>0</v>
      </c>
      <c r="L7538">
        <v>0</v>
      </c>
      <c r="M7538">
        <v>37</v>
      </c>
      <c r="N7538">
        <v>4324.8499999999995</v>
      </c>
      <c r="O7538">
        <v>116.89</v>
      </c>
    </row>
    <row r="7539" spans="1:15" x14ac:dyDescent="0.35">
      <c r="A7539" t="s">
        <v>8161</v>
      </c>
      <c r="B7539" t="s">
        <v>8162</v>
      </c>
      <c r="C7539" t="s">
        <v>1477</v>
      </c>
      <c r="D7539" t="s">
        <v>339</v>
      </c>
      <c r="E7539" t="s">
        <v>298</v>
      </c>
      <c r="F7539" t="s">
        <v>8196</v>
      </c>
      <c r="G7539">
        <v>6</v>
      </c>
      <c r="H7539">
        <v>837.31</v>
      </c>
      <c r="I7539">
        <v>139.55000000000001</v>
      </c>
      <c r="J7539">
        <v>0</v>
      </c>
      <c r="K7539">
        <v>0</v>
      </c>
      <c r="L7539">
        <v>0</v>
      </c>
      <c r="M7539">
        <v>6</v>
      </c>
      <c r="N7539">
        <v>837.31</v>
      </c>
      <c r="O7539">
        <v>139.55000000000001</v>
      </c>
    </row>
    <row r="7540" spans="1:15" x14ac:dyDescent="0.35">
      <c r="A7540" t="s">
        <v>8161</v>
      </c>
      <c r="B7540" t="s">
        <v>8162</v>
      </c>
      <c r="C7540" t="s">
        <v>1477</v>
      </c>
      <c r="D7540" t="s">
        <v>339</v>
      </c>
      <c r="E7540" t="s">
        <v>300</v>
      </c>
      <c r="F7540" t="s">
        <v>8197</v>
      </c>
      <c r="G7540">
        <v>0</v>
      </c>
      <c r="H7540">
        <v>0</v>
      </c>
      <c r="I7540">
        <v>0</v>
      </c>
      <c r="J7540">
        <v>0</v>
      </c>
      <c r="K7540">
        <v>0</v>
      </c>
      <c r="L7540">
        <v>0</v>
      </c>
      <c r="M7540">
        <v>0</v>
      </c>
      <c r="N7540">
        <v>0</v>
      </c>
      <c r="O7540">
        <v>0</v>
      </c>
    </row>
    <row r="7541" spans="1:15" x14ac:dyDescent="0.35">
      <c r="A7541" t="s">
        <v>8161</v>
      </c>
      <c r="B7541" t="s">
        <v>8162</v>
      </c>
      <c r="C7541" t="s">
        <v>1477</v>
      </c>
      <c r="D7541" t="s">
        <v>339</v>
      </c>
      <c r="E7541" t="s">
        <v>306</v>
      </c>
      <c r="F7541" t="s">
        <v>8198</v>
      </c>
      <c r="G7541">
        <v>105</v>
      </c>
      <c r="H7541">
        <v>9077.36</v>
      </c>
      <c r="I7541">
        <v>86.45</v>
      </c>
      <c r="J7541">
        <v>0</v>
      </c>
      <c r="K7541">
        <v>0</v>
      </c>
      <c r="L7541">
        <v>0</v>
      </c>
      <c r="M7541">
        <v>105</v>
      </c>
      <c r="N7541">
        <v>9077.36</v>
      </c>
      <c r="O7541">
        <v>86.45</v>
      </c>
    </row>
    <row r="7542" spans="1:15" x14ac:dyDescent="0.35">
      <c r="A7542" t="s">
        <v>8161</v>
      </c>
      <c r="B7542" t="s">
        <v>8162</v>
      </c>
      <c r="C7542" t="s">
        <v>1477</v>
      </c>
      <c r="D7542" t="s">
        <v>339</v>
      </c>
      <c r="E7542" t="s">
        <v>308</v>
      </c>
      <c r="F7542" t="s">
        <v>8199</v>
      </c>
      <c r="G7542">
        <v>252</v>
      </c>
      <c r="H7542">
        <v>28784.999999999996</v>
      </c>
      <c r="I7542">
        <v>114.23</v>
      </c>
      <c r="J7542">
        <v>0</v>
      </c>
      <c r="K7542">
        <v>0</v>
      </c>
      <c r="L7542">
        <v>0</v>
      </c>
      <c r="M7542">
        <v>252</v>
      </c>
      <c r="N7542">
        <v>28784.999999999996</v>
      </c>
      <c r="O7542">
        <v>114.23</v>
      </c>
    </row>
    <row r="7543" spans="1:15" x14ac:dyDescent="0.35">
      <c r="A7543" t="s">
        <v>8161</v>
      </c>
      <c r="B7543" t="s">
        <v>8162</v>
      </c>
      <c r="C7543" t="s">
        <v>1477</v>
      </c>
      <c r="D7543" t="s">
        <v>339</v>
      </c>
      <c r="E7543" t="s">
        <v>310</v>
      </c>
      <c r="F7543" t="s">
        <v>8200</v>
      </c>
      <c r="G7543">
        <v>993</v>
      </c>
      <c r="H7543">
        <v>101619.15</v>
      </c>
      <c r="I7543">
        <v>102.34</v>
      </c>
      <c r="J7543">
        <v>0</v>
      </c>
      <c r="K7543">
        <v>0</v>
      </c>
      <c r="L7543">
        <v>0</v>
      </c>
      <c r="M7543">
        <v>993</v>
      </c>
      <c r="N7543">
        <v>101619.15</v>
      </c>
      <c r="O7543">
        <v>102.34</v>
      </c>
    </row>
    <row r="7544" spans="1:15" x14ac:dyDescent="0.35">
      <c r="A7544" t="s">
        <v>8161</v>
      </c>
      <c r="B7544" t="s">
        <v>8162</v>
      </c>
      <c r="C7544" t="s">
        <v>1477</v>
      </c>
      <c r="D7544" t="s">
        <v>339</v>
      </c>
      <c r="E7544" t="s">
        <v>312</v>
      </c>
      <c r="F7544" t="s">
        <v>8201</v>
      </c>
      <c r="G7544">
        <v>741</v>
      </c>
      <c r="H7544">
        <v>72834.149999999994</v>
      </c>
      <c r="I7544">
        <v>98.29</v>
      </c>
      <c r="J7544">
        <v>0</v>
      </c>
      <c r="K7544">
        <v>0</v>
      </c>
      <c r="L7544">
        <v>0</v>
      </c>
      <c r="M7544">
        <v>741</v>
      </c>
      <c r="N7544">
        <v>72834.149999999994</v>
      </c>
      <c r="O7544">
        <v>98.29</v>
      </c>
    </row>
    <row r="7545" spans="1:15" x14ac:dyDescent="0.35">
      <c r="A7545" t="s">
        <v>8161</v>
      </c>
      <c r="B7545" t="s">
        <v>8162</v>
      </c>
      <c r="C7545" t="s">
        <v>1477</v>
      </c>
      <c r="D7545" t="s">
        <v>348</v>
      </c>
      <c r="E7545" t="s">
        <v>349</v>
      </c>
      <c r="F7545" t="s">
        <v>8202</v>
      </c>
      <c r="G7545">
        <v>1242</v>
      </c>
      <c r="H7545">
        <v>101619.15</v>
      </c>
      <c r="I7545">
        <v>102.34</v>
      </c>
      <c r="J7545">
        <v>0</v>
      </c>
      <c r="K7545">
        <v>0</v>
      </c>
      <c r="L7545">
        <v>0</v>
      </c>
      <c r="M7545">
        <v>1242</v>
      </c>
      <c r="N7545">
        <v>101619.15</v>
      </c>
      <c r="O7545">
        <v>102.34</v>
      </c>
    </row>
    <row r="7546" spans="1:15" x14ac:dyDescent="0.35">
      <c r="A7546" t="s">
        <v>8203</v>
      </c>
      <c r="B7546" t="s">
        <v>8204</v>
      </c>
      <c r="C7546" t="s">
        <v>1477</v>
      </c>
      <c r="D7546" t="s">
        <v>293</v>
      </c>
      <c r="E7546" t="s">
        <v>294</v>
      </c>
      <c r="F7546" t="s">
        <v>8205</v>
      </c>
      <c r="G7546">
        <v>352</v>
      </c>
      <c r="H7546">
        <v>43887.179999999993</v>
      </c>
      <c r="I7546">
        <v>124.68</v>
      </c>
      <c r="J7546">
        <v>52</v>
      </c>
      <c r="K7546">
        <v>6372.5999999999995</v>
      </c>
      <c r="L7546">
        <v>122.55</v>
      </c>
      <c r="M7546">
        <v>404</v>
      </c>
      <c r="N7546">
        <v>50259.779999999992</v>
      </c>
      <c r="O7546">
        <v>124.41</v>
      </c>
    </row>
    <row r="7547" spans="1:15" x14ac:dyDescent="0.35">
      <c r="A7547" t="s">
        <v>8203</v>
      </c>
      <c r="B7547" t="s">
        <v>8204</v>
      </c>
      <c r="C7547" t="s">
        <v>1477</v>
      </c>
      <c r="D7547" t="s">
        <v>293</v>
      </c>
      <c r="E7547" t="s">
        <v>296</v>
      </c>
      <c r="F7547" t="s">
        <v>8206</v>
      </c>
      <c r="G7547">
        <v>595</v>
      </c>
      <c r="H7547">
        <v>93197.22</v>
      </c>
      <c r="I7547">
        <v>156.63</v>
      </c>
      <c r="J7547">
        <v>182</v>
      </c>
      <c r="K7547">
        <v>27512.94</v>
      </c>
      <c r="L7547">
        <v>151.16999999999999</v>
      </c>
      <c r="M7547">
        <v>777</v>
      </c>
      <c r="N7547">
        <v>120710.16</v>
      </c>
      <c r="O7547">
        <v>155.35</v>
      </c>
    </row>
    <row r="7548" spans="1:15" x14ac:dyDescent="0.35">
      <c r="A7548" t="s">
        <v>8203</v>
      </c>
      <c r="B7548" t="s">
        <v>8204</v>
      </c>
      <c r="C7548" t="s">
        <v>1477</v>
      </c>
      <c r="D7548" t="s">
        <v>293</v>
      </c>
      <c r="E7548" t="s">
        <v>298</v>
      </c>
      <c r="F7548" t="s">
        <v>8207</v>
      </c>
      <c r="G7548">
        <v>207</v>
      </c>
      <c r="H7548">
        <v>36762.970000000008</v>
      </c>
      <c r="I7548">
        <v>177.6</v>
      </c>
      <c r="J7548">
        <v>75</v>
      </c>
      <c r="K7548">
        <v>12717.75</v>
      </c>
      <c r="L7548">
        <v>169.57</v>
      </c>
      <c r="M7548">
        <v>282</v>
      </c>
      <c r="N7548">
        <v>49480.720000000008</v>
      </c>
      <c r="O7548">
        <v>175.46</v>
      </c>
    </row>
    <row r="7549" spans="1:15" x14ac:dyDescent="0.35">
      <c r="A7549" t="s">
        <v>8203</v>
      </c>
      <c r="B7549" t="s">
        <v>8204</v>
      </c>
      <c r="C7549" t="s">
        <v>1477</v>
      </c>
      <c r="D7549" t="s">
        <v>293</v>
      </c>
      <c r="E7549" t="s">
        <v>300</v>
      </c>
      <c r="F7549" t="s">
        <v>8208</v>
      </c>
      <c r="G7549">
        <v>12</v>
      </c>
      <c r="H7549">
        <v>2376.9299999999998</v>
      </c>
      <c r="I7549">
        <v>198.08</v>
      </c>
      <c r="J7549">
        <v>1</v>
      </c>
      <c r="K7549">
        <v>253.15</v>
      </c>
      <c r="L7549">
        <v>253.15</v>
      </c>
      <c r="M7549">
        <v>13</v>
      </c>
      <c r="N7549">
        <v>2630.08</v>
      </c>
      <c r="O7549">
        <v>202.31</v>
      </c>
    </row>
    <row r="7550" spans="1:15" x14ac:dyDescent="0.35">
      <c r="A7550" t="s">
        <v>8203</v>
      </c>
      <c r="B7550" t="s">
        <v>8204</v>
      </c>
      <c r="C7550" t="s">
        <v>1477</v>
      </c>
      <c r="D7550" t="s">
        <v>293</v>
      </c>
      <c r="E7550" t="s">
        <v>302</v>
      </c>
      <c r="F7550" t="s">
        <v>8209</v>
      </c>
      <c r="G7550">
        <v>1</v>
      </c>
      <c r="H7550">
        <v>235.15</v>
      </c>
      <c r="I7550">
        <v>235.15</v>
      </c>
      <c r="J7550">
        <v>1</v>
      </c>
      <c r="K7550">
        <v>253.15</v>
      </c>
      <c r="L7550">
        <v>253.15</v>
      </c>
      <c r="M7550">
        <v>2</v>
      </c>
      <c r="N7550">
        <v>488.3</v>
      </c>
      <c r="O7550">
        <v>244.15</v>
      </c>
    </row>
    <row r="7551" spans="1:15" x14ac:dyDescent="0.35">
      <c r="A7551" t="s">
        <v>8203</v>
      </c>
      <c r="B7551" t="s">
        <v>8204</v>
      </c>
      <c r="C7551" t="s">
        <v>1477</v>
      </c>
      <c r="D7551" t="s">
        <v>293</v>
      </c>
      <c r="E7551" t="s">
        <v>304</v>
      </c>
      <c r="F7551" t="s">
        <v>8210</v>
      </c>
      <c r="G7551">
        <v>0</v>
      </c>
      <c r="H7551">
        <v>0</v>
      </c>
      <c r="I7551">
        <v>0</v>
      </c>
      <c r="J7551">
        <v>0</v>
      </c>
      <c r="K7551">
        <v>0</v>
      </c>
      <c r="L7551">
        <v>0</v>
      </c>
      <c r="M7551">
        <v>0</v>
      </c>
      <c r="N7551">
        <v>0</v>
      </c>
      <c r="O7551">
        <v>0</v>
      </c>
    </row>
    <row r="7552" spans="1:15" x14ac:dyDescent="0.35">
      <c r="A7552" t="s">
        <v>8203</v>
      </c>
      <c r="B7552" t="s">
        <v>8204</v>
      </c>
      <c r="C7552" t="s">
        <v>1477</v>
      </c>
      <c r="D7552" t="s">
        <v>293</v>
      </c>
      <c r="E7552" t="s">
        <v>306</v>
      </c>
      <c r="F7552" t="s">
        <v>8211</v>
      </c>
      <c r="G7552">
        <v>0</v>
      </c>
      <c r="H7552">
        <v>0</v>
      </c>
      <c r="I7552">
        <v>0</v>
      </c>
      <c r="J7552">
        <v>0</v>
      </c>
      <c r="K7552">
        <v>0</v>
      </c>
      <c r="L7552">
        <v>0</v>
      </c>
      <c r="M7552">
        <v>0</v>
      </c>
      <c r="N7552">
        <v>0</v>
      </c>
      <c r="O7552">
        <v>0</v>
      </c>
    </row>
    <row r="7553" spans="1:15" x14ac:dyDescent="0.35">
      <c r="A7553" t="s">
        <v>8203</v>
      </c>
      <c r="B7553" t="s">
        <v>8204</v>
      </c>
      <c r="C7553" t="s">
        <v>1477</v>
      </c>
      <c r="D7553" t="s">
        <v>293</v>
      </c>
      <c r="E7553" t="s">
        <v>308</v>
      </c>
      <c r="F7553" t="s">
        <v>8212</v>
      </c>
      <c r="G7553">
        <v>0</v>
      </c>
      <c r="H7553">
        <v>0</v>
      </c>
      <c r="I7553">
        <v>0</v>
      </c>
      <c r="J7553">
        <v>0</v>
      </c>
      <c r="K7553">
        <v>0</v>
      </c>
      <c r="L7553">
        <v>0</v>
      </c>
      <c r="M7553">
        <v>0</v>
      </c>
      <c r="N7553">
        <v>0</v>
      </c>
      <c r="O7553">
        <v>0</v>
      </c>
    </row>
    <row r="7554" spans="1:15" x14ac:dyDescent="0.35">
      <c r="A7554" t="s">
        <v>8203</v>
      </c>
      <c r="B7554" t="s">
        <v>8204</v>
      </c>
      <c r="C7554" t="s">
        <v>1477</v>
      </c>
      <c r="D7554" t="s">
        <v>293</v>
      </c>
      <c r="E7554" t="s">
        <v>310</v>
      </c>
      <c r="F7554" t="s">
        <v>8213</v>
      </c>
      <c r="G7554">
        <v>1167</v>
      </c>
      <c r="H7554">
        <v>176459.44999999998</v>
      </c>
      <c r="I7554">
        <v>151.21</v>
      </c>
      <c r="J7554">
        <v>311</v>
      </c>
      <c r="K7554">
        <v>47109.590000000004</v>
      </c>
      <c r="L7554">
        <v>151.47999999999999</v>
      </c>
      <c r="M7554">
        <v>1478</v>
      </c>
      <c r="N7554">
        <v>223569.03999999998</v>
      </c>
      <c r="O7554">
        <v>151.26</v>
      </c>
    </row>
    <row r="7555" spans="1:15" x14ac:dyDescent="0.35">
      <c r="A7555" t="s">
        <v>8203</v>
      </c>
      <c r="B7555" t="s">
        <v>8204</v>
      </c>
      <c r="C7555" t="s">
        <v>1477</v>
      </c>
      <c r="D7555" t="s">
        <v>293</v>
      </c>
      <c r="E7555" t="s">
        <v>312</v>
      </c>
      <c r="F7555" t="s">
        <v>8214</v>
      </c>
      <c r="G7555">
        <v>1167</v>
      </c>
      <c r="H7555">
        <v>176459.44999999998</v>
      </c>
      <c r="I7555">
        <v>151.21</v>
      </c>
      <c r="J7555">
        <v>311</v>
      </c>
      <c r="K7555">
        <v>47109.590000000004</v>
      </c>
      <c r="L7555">
        <v>151.47999999999999</v>
      </c>
      <c r="M7555">
        <v>1478</v>
      </c>
      <c r="N7555">
        <v>223569.03999999998</v>
      </c>
      <c r="O7555">
        <v>151.26</v>
      </c>
    </row>
    <row r="7556" spans="1:15" x14ac:dyDescent="0.35">
      <c r="A7556" t="s">
        <v>8203</v>
      </c>
      <c r="B7556" t="s">
        <v>8204</v>
      </c>
      <c r="C7556" t="s">
        <v>1477</v>
      </c>
      <c r="D7556" t="s">
        <v>314</v>
      </c>
      <c r="E7556" t="s">
        <v>294</v>
      </c>
      <c r="F7556" t="s">
        <v>8215</v>
      </c>
      <c r="G7556">
        <v>0</v>
      </c>
      <c r="H7556">
        <v>0</v>
      </c>
      <c r="I7556">
        <v>0</v>
      </c>
      <c r="J7556">
        <v>0</v>
      </c>
      <c r="K7556">
        <v>0</v>
      </c>
      <c r="L7556">
        <v>0</v>
      </c>
      <c r="M7556">
        <v>0</v>
      </c>
      <c r="N7556">
        <v>0</v>
      </c>
      <c r="O7556">
        <v>0</v>
      </c>
    </row>
    <row r="7557" spans="1:15" x14ac:dyDescent="0.35">
      <c r="A7557" t="s">
        <v>8203</v>
      </c>
      <c r="B7557" t="s">
        <v>8204</v>
      </c>
      <c r="C7557" t="s">
        <v>1477</v>
      </c>
      <c r="D7557" t="s">
        <v>314</v>
      </c>
      <c r="E7557" t="s">
        <v>296</v>
      </c>
      <c r="F7557" t="s">
        <v>8216</v>
      </c>
      <c r="G7557">
        <v>1</v>
      </c>
      <c r="H7557">
        <v>147.16</v>
      </c>
      <c r="I7557">
        <v>147.16</v>
      </c>
      <c r="J7557">
        <v>0</v>
      </c>
      <c r="K7557">
        <v>0</v>
      </c>
      <c r="L7557">
        <v>0</v>
      </c>
      <c r="M7557">
        <v>1</v>
      </c>
      <c r="N7557">
        <v>147.16</v>
      </c>
      <c r="O7557">
        <v>147.16</v>
      </c>
    </row>
    <row r="7558" spans="1:15" x14ac:dyDescent="0.35">
      <c r="A7558" t="s">
        <v>8203</v>
      </c>
      <c r="B7558" t="s">
        <v>8204</v>
      </c>
      <c r="C7558" t="s">
        <v>1477</v>
      </c>
      <c r="D7558" t="s">
        <v>314</v>
      </c>
      <c r="E7558" t="s">
        <v>298</v>
      </c>
      <c r="F7558" t="s">
        <v>8217</v>
      </c>
      <c r="G7558">
        <v>0</v>
      </c>
      <c r="H7558">
        <v>0</v>
      </c>
      <c r="I7558">
        <v>0</v>
      </c>
      <c r="J7558">
        <v>0</v>
      </c>
      <c r="K7558">
        <v>0</v>
      </c>
      <c r="L7558">
        <v>0</v>
      </c>
      <c r="M7558">
        <v>0</v>
      </c>
      <c r="N7558">
        <v>0</v>
      </c>
      <c r="O7558">
        <v>0</v>
      </c>
    </row>
    <row r="7559" spans="1:15" x14ac:dyDescent="0.35">
      <c r="A7559" t="s">
        <v>8203</v>
      </c>
      <c r="B7559" t="s">
        <v>8204</v>
      </c>
      <c r="C7559" t="s">
        <v>1477</v>
      </c>
      <c r="D7559" t="s">
        <v>314</v>
      </c>
      <c r="E7559" t="s">
        <v>300</v>
      </c>
      <c r="F7559" t="s">
        <v>8218</v>
      </c>
      <c r="G7559">
        <v>0</v>
      </c>
      <c r="H7559">
        <v>0</v>
      </c>
      <c r="I7559">
        <v>0</v>
      </c>
      <c r="J7559">
        <v>0</v>
      </c>
      <c r="K7559">
        <v>0</v>
      </c>
      <c r="L7559">
        <v>0</v>
      </c>
      <c r="M7559">
        <v>0</v>
      </c>
      <c r="N7559">
        <v>0</v>
      </c>
      <c r="O7559">
        <v>0</v>
      </c>
    </row>
    <row r="7560" spans="1:15" x14ac:dyDescent="0.35">
      <c r="A7560" t="s">
        <v>8203</v>
      </c>
      <c r="B7560" t="s">
        <v>8204</v>
      </c>
      <c r="C7560" t="s">
        <v>1477</v>
      </c>
      <c r="D7560" t="s">
        <v>314</v>
      </c>
      <c r="E7560" t="s">
        <v>306</v>
      </c>
      <c r="F7560" t="s">
        <v>8219</v>
      </c>
      <c r="G7560">
        <v>0</v>
      </c>
      <c r="H7560">
        <v>0</v>
      </c>
      <c r="I7560">
        <v>0</v>
      </c>
      <c r="J7560">
        <v>0</v>
      </c>
      <c r="K7560">
        <v>0</v>
      </c>
      <c r="L7560">
        <v>0</v>
      </c>
      <c r="M7560">
        <v>0</v>
      </c>
      <c r="N7560">
        <v>0</v>
      </c>
      <c r="O7560">
        <v>0</v>
      </c>
    </row>
    <row r="7561" spans="1:15" x14ac:dyDescent="0.35">
      <c r="A7561" t="s">
        <v>8203</v>
      </c>
      <c r="B7561" t="s">
        <v>8204</v>
      </c>
      <c r="C7561" t="s">
        <v>1477</v>
      </c>
      <c r="D7561" t="s">
        <v>314</v>
      </c>
      <c r="E7561" t="s">
        <v>308</v>
      </c>
      <c r="F7561" t="s">
        <v>8220</v>
      </c>
      <c r="G7561">
        <v>0</v>
      </c>
      <c r="H7561">
        <v>0</v>
      </c>
      <c r="I7561">
        <v>0</v>
      </c>
      <c r="J7561">
        <v>0</v>
      </c>
      <c r="K7561">
        <v>0</v>
      </c>
      <c r="L7561">
        <v>0</v>
      </c>
      <c r="M7561">
        <v>0</v>
      </c>
      <c r="N7561">
        <v>0</v>
      </c>
      <c r="O7561">
        <v>0</v>
      </c>
    </row>
    <row r="7562" spans="1:15" x14ac:dyDescent="0.35">
      <c r="A7562" t="s">
        <v>8203</v>
      </c>
      <c r="B7562" t="s">
        <v>8204</v>
      </c>
      <c r="C7562" t="s">
        <v>1477</v>
      </c>
      <c r="D7562" t="s">
        <v>314</v>
      </c>
      <c r="E7562" t="s">
        <v>312</v>
      </c>
      <c r="F7562" t="s">
        <v>8221</v>
      </c>
      <c r="G7562">
        <v>1</v>
      </c>
      <c r="H7562">
        <v>147.16</v>
      </c>
      <c r="I7562">
        <v>147.16</v>
      </c>
      <c r="J7562">
        <v>0</v>
      </c>
      <c r="K7562">
        <v>0</v>
      </c>
      <c r="L7562">
        <v>0</v>
      </c>
      <c r="M7562">
        <v>1</v>
      </c>
      <c r="N7562">
        <v>147.16</v>
      </c>
      <c r="O7562">
        <v>147.16</v>
      </c>
    </row>
    <row r="7563" spans="1:15" x14ac:dyDescent="0.35">
      <c r="A7563" t="s">
        <v>8203</v>
      </c>
      <c r="B7563" t="s">
        <v>8204</v>
      </c>
      <c r="C7563" t="s">
        <v>1477</v>
      </c>
      <c r="D7563" t="s">
        <v>314</v>
      </c>
      <c r="E7563" t="s">
        <v>310</v>
      </c>
      <c r="F7563" t="s">
        <v>8222</v>
      </c>
      <c r="G7563">
        <v>1</v>
      </c>
      <c r="H7563">
        <v>147.16</v>
      </c>
      <c r="I7563">
        <v>147.16</v>
      </c>
      <c r="J7563">
        <v>0</v>
      </c>
      <c r="K7563">
        <v>0</v>
      </c>
      <c r="L7563">
        <v>0</v>
      </c>
      <c r="M7563">
        <v>1</v>
      </c>
      <c r="N7563">
        <v>147.16</v>
      </c>
      <c r="O7563">
        <v>147.16</v>
      </c>
    </row>
    <row r="7564" spans="1:15" x14ac:dyDescent="0.35">
      <c r="A7564" t="s">
        <v>8203</v>
      </c>
      <c r="B7564" t="s">
        <v>8204</v>
      </c>
      <c r="C7564" t="s">
        <v>1477</v>
      </c>
      <c r="D7564" t="s">
        <v>323</v>
      </c>
      <c r="E7564" t="s">
        <v>294</v>
      </c>
      <c r="F7564" t="s">
        <v>8223</v>
      </c>
      <c r="G7564">
        <v>118</v>
      </c>
      <c r="H7564">
        <v>10821.49</v>
      </c>
      <c r="I7564">
        <v>91.71</v>
      </c>
      <c r="J7564">
        <v>606</v>
      </c>
      <c r="K7564">
        <v>52958.340000000004</v>
      </c>
      <c r="L7564">
        <v>87.39</v>
      </c>
      <c r="M7564">
        <v>724</v>
      </c>
      <c r="N7564">
        <v>63779.83</v>
      </c>
      <c r="O7564">
        <v>88.09</v>
      </c>
    </row>
    <row r="7565" spans="1:15" x14ac:dyDescent="0.35">
      <c r="A7565" t="s">
        <v>8203</v>
      </c>
      <c r="B7565" t="s">
        <v>8204</v>
      </c>
      <c r="C7565" t="s">
        <v>1477</v>
      </c>
      <c r="D7565" t="s">
        <v>323</v>
      </c>
      <c r="E7565" t="s">
        <v>296</v>
      </c>
      <c r="F7565" t="s">
        <v>8224</v>
      </c>
      <c r="G7565">
        <v>561</v>
      </c>
      <c r="H7565">
        <v>62934.49</v>
      </c>
      <c r="I7565">
        <v>112.18</v>
      </c>
      <c r="J7565">
        <v>1072</v>
      </c>
      <c r="K7565">
        <v>109290.40000000001</v>
      </c>
      <c r="L7565">
        <v>101.95</v>
      </c>
      <c r="M7565">
        <v>1633</v>
      </c>
      <c r="N7565">
        <v>172224.89</v>
      </c>
      <c r="O7565">
        <v>105.47</v>
      </c>
    </row>
    <row r="7566" spans="1:15" x14ac:dyDescent="0.35">
      <c r="A7566" t="s">
        <v>8203</v>
      </c>
      <c r="B7566" t="s">
        <v>8204</v>
      </c>
      <c r="C7566" t="s">
        <v>1477</v>
      </c>
      <c r="D7566" t="s">
        <v>323</v>
      </c>
      <c r="E7566" t="s">
        <v>298</v>
      </c>
      <c r="F7566" t="s">
        <v>8225</v>
      </c>
      <c r="G7566">
        <v>246</v>
      </c>
      <c r="H7566">
        <v>31449.690000000002</v>
      </c>
      <c r="I7566">
        <v>127.84</v>
      </c>
      <c r="J7566">
        <v>1081</v>
      </c>
      <c r="K7566">
        <v>121731.41</v>
      </c>
      <c r="L7566">
        <v>112.61</v>
      </c>
      <c r="M7566">
        <v>1327</v>
      </c>
      <c r="N7566">
        <v>153181.1</v>
      </c>
      <c r="O7566">
        <v>115.43</v>
      </c>
    </row>
    <row r="7567" spans="1:15" x14ac:dyDescent="0.35">
      <c r="A7567" t="s">
        <v>8203</v>
      </c>
      <c r="B7567" t="s">
        <v>8204</v>
      </c>
      <c r="C7567" t="s">
        <v>1477</v>
      </c>
      <c r="D7567" t="s">
        <v>323</v>
      </c>
      <c r="E7567" t="s">
        <v>300</v>
      </c>
      <c r="F7567" t="s">
        <v>8226</v>
      </c>
      <c r="G7567">
        <v>25</v>
      </c>
      <c r="H7567">
        <v>3513.25</v>
      </c>
      <c r="I7567">
        <v>140.53</v>
      </c>
      <c r="J7567">
        <v>30</v>
      </c>
      <c r="K7567">
        <v>3720.6</v>
      </c>
      <c r="L7567">
        <v>124.02</v>
      </c>
      <c r="M7567">
        <v>55</v>
      </c>
      <c r="N7567">
        <v>7233.85</v>
      </c>
      <c r="O7567">
        <v>131.52000000000001</v>
      </c>
    </row>
    <row r="7568" spans="1:15" x14ac:dyDescent="0.35">
      <c r="A7568" t="s">
        <v>8203</v>
      </c>
      <c r="B7568" t="s">
        <v>8204</v>
      </c>
      <c r="C7568" t="s">
        <v>1477</v>
      </c>
      <c r="D7568" t="s">
        <v>323</v>
      </c>
      <c r="E7568" t="s">
        <v>302</v>
      </c>
      <c r="F7568" t="s">
        <v>8227</v>
      </c>
      <c r="G7568">
        <v>4</v>
      </c>
      <c r="H7568">
        <v>622.43000000000006</v>
      </c>
      <c r="I7568">
        <v>155.61000000000001</v>
      </c>
      <c r="J7568">
        <v>0</v>
      </c>
      <c r="K7568">
        <v>0</v>
      </c>
      <c r="L7568">
        <v>0</v>
      </c>
      <c r="M7568">
        <v>4</v>
      </c>
      <c r="N7568">
        <v>622.43000000000006</v>
      </c>
      <c r="O7568">
        <v>155.61000000000001</v>
      </c>
    </row>
    <row r="7569" spans="1:15" x14ac:dyDescent="0.35">
      <c r="A7569" t="s">
        <v>8203</v>
      </c>
      <c r="B7569" t="s">
        <v>8204</v>
      </c>
      <c r="C7569" t="s">
        <v>1477</v>
      </c>
      <c r="D7569" t="s">
        <v>323</v>
      </c>
      <c r="E7569" t="s">
        <v>304</v>
      </c>
      <c r="F7569" t="s">
        <v>8228</v>
      </c>
      <c r="G7569">
        <v>1</v>
      </c>
      <c r="H7569">
        <v>168.66</v>
      </c>
      <c r="I7569">
        <v>168.66</v>
      </c>
      <c r="J7569">
        <v>0</v>
      </c>
      <c r="K7569">
        <v>0</v>
      </c>
      <c r="L7569">
        <v>0</v>
      </c>
      <c r="M7569">
        <v>1</v>
      </c>
      <c r="N7569">
        <v>168.66</v>
      </c>
      <c r="O7569">
        <v>168.66</v>
      </c>
    </row>
    <row r="7570" spans="1:15" x14ac:dyDescent="0.35">
      <c r="A7570" t="s">
        <v>8203</v>
      </c>
      <c r="B7570" t="s">
        <v>8204</v>
      </c>
      <c r="C7570" t="s">
        <v>1477</v>
      </c>
      <c r="D7570" t="s">
        <v>323</v>
      </c>
      <c r="E7570" t="s">
        <v>306</v>
      </c>
      <c r="F7570" t="s">
        <v>8229</v>
      </c>
      <c r="G7570">
        <v>1</v>
      </c>
      <c r="H7570">
        <v>66.209999999999994</v>
      </c>
      <c r="I7570">
        <v>66.209999999999994</v>
      </c>
      <c r="J7570">
        <v>4</v>
      </c>
      <c r="K7570">
        <v>312.24</v>
      </c>
      <c r="L7570">
        <v>78.06</v>
      </c>
      <c r="M7570">
        <v>5</v>
      </c>
      <c r="N7570">
        <v>378.45</v>
      </c>
      <c r="O7570">
        <v>75.69</v>
      </c>
    </row>
    <row r="7571" spans="1:15" x14ac:dyDescent="0.35">
      <c r="A7571" t="s">
        <v>8203</v>
      </c>
      <c r="B7571" t="s">
        <v>8204</v>
      </c>
      <c r="C7571" t="s">
        <v>1477</v>
      </c>
      <c r="D7571" t="s">
        <v>323</v>
      </c>
      <c r="E7571" t="s">
        <v>308</v>
      </c>
      <c r="F7571" t="s">
        <v>8230</v>
      </c>
      <c r="G7571">
        <v>0</v>
      </c>
      <c r="H7571">
        <v>0</v>
      </c>
      <c r="I7571">
        <v>0</v>
      </c>
      <c r="J7571">
        <v>22</v>
      </c>
      <c r="K7571">
        <v>1662.76</v>
      </c>
      <c r="L7571">
        <v>75.58</v>
      </c>
      <c r="M7571">
        <v>22</v>
      </c>
      <c r="N7571">
        <v>1662.76</v>
      </c>
      <c r="O7571">
        <v>75.58</v>
      </c>
    </row>
    <row r="7572" spans="1:15" x14ac:dyDescent="0.35">
      <c r="A7572" t="s">
        <v>8203</v>
      </c>
      <c r="B7572" t="s">
        <v>8204</v>
      </c>
      <c r="C7572" t="s">
        <v>1477</v>
      </c>
      <c r="D7572" t="s">
        <v>323</v>
      </c>
      <c r="E7572" t="s">
        <v>310</v>
      </c>
      <c r="F7572" t="s">
        <v>8231</v>
      </c>
      <c r="G7572">
        <v>956</v>
      </c>
      <c r="H7572">
        <v>109576.22</v>
      </c>
      <c r="I7572">
        <v>114.62</v>
      </c>
      <c r="J7572">
        <v>2815</v>
      </c>
      <c r="K7572">
        <v>289675.75</v>
      </c>
      <c r="L7572">
        <v>102.9</v>
      </c>
      <c r="M7572">
        <v>3771</v>
      </c>
      <c r="N7572">
        <v>399251.97</v>
      </c>
      <c r="O7572">
        <v>105.87</v>
      </c>
    </row>
    <row r="7573" spans="1:15" x14ac:dyDescent="0.35">
      <c r="A7573" t="s">
        <v>8203</v>
      </c>
      <c r="B7573" t="s">
        <v>8204</v>
      </c>
      <c r="C7573" t="s">
        <v>1477</v>
      </c>
      <c r="D7573" t="s">
        <v>323</v>
      </c>
      <c r="E7573" t="s">
        <v>312</v>
      </c>
      <c r="F7573" t="s">
        <v>8232</v>
      </c>
      <c r="G7573">
        <v>956</v>
      </c>
      <c r="H7573">
        <v>109576.22</v>
      </c>
      <c r="I7573">
        <v>114.62</v>
      </c>
      <c r="J7573">
        <v>2793</v>
      </c>
      <c r="K7573">
        <v>288012.99</v>
      </c>
      <c r="L7573">
        <v>103.12</v>
      </c>
      <c r="M7573">
        <v>3749</v>
      </c>
      <c r="N7573">
        <v>397589.20999999996</v>
      </c>
      <c r="O7573">
        <v>106.05</v>
      </c>
    </row>
    <row r="7574" spans="1:15" x14ac:dyDescent="0.35">
      <c r="A7574" t="s">
        <v>8203</v>
      </c>
      <c r="B7574" t="s">
        <v>8204</v>
      </c>
      <c r="C7574" t="s">
        <v>1477</v>
      </c>
      <c r="D7574" t="s">
        <v>334</v>
      </c>
      <c r="E7574" t="s">
        <v>312</v>
      </c>
      <c r="F7574" t="s">
        <v>8233</v>
      </c>
      <c r="G7574">
        <v>2190</v>
      </c>
      <c r="H7574">
        <v>286035.67</v>
      </c>
      <c r="I7574">
        <v>134.72999999999999</v>
      </c>
      <c r="J7574">
        <v>3104</v>
      </c>
      <c r="K7574">
        <v>335122.57999999996</v>
      </c>
      <c r="L7574">
        <v>107.96</v>
      </c>
      <c r="M7574">
        <v>5294</v>
      </c>
      <c r="N7574">
        <v>621158.25</v>
      </c>
      <c r="O7574">
        <v>118.84</v>
      </c>
    </row>
    <row r="7575" spans="1:15" x14ac:dyDescent="0.35">
      <c r="A7575" t="s">
        <v>8203</v>
      </c>
      <c r="B7575" t="s">
        <v>8204</v>
      </c>
      <c r="C7575" t="s">
        <v>1477</v>
      </c>
      <c r="D7575" t="s">
        <v>334</v>
      </c>
      <c r="E7575" t="s">
        <v>308</v>
      </c>
      <c r="F7575" t="s">
        <v>8234</v>
      </c>
      <c r="G7575">
        <v>0</v>
      </c>
      <c r="H7575">
        <v>0</v>
      </c>
      <c r="I7575">
        <v>0</v>
      </c>
      <c r="J7575">
        <v>22</v>
      </c>
      <c r="K7575">
        <v>1662.76</v>
      </c>
      <c r="L7575">
        <v>75.58</v>
      </c>
      <c r="M7575">
        <v>22</v>
      </c>
      <c r="N7575">
        <v>1662.76</v>
      </c>
      <c r="O7575">
        <v>75.58</v>
      </c>
    </row>
    <row r="7576" spans="1:15" x14ac:dyDescent="0.35">
      <c r="A7576" t="s">
        <v>8203</v>
      </c>
      <c r="B7576" t="s">
        <v>8204</v>
      </c>
      <c r="C7576" t="s">
        <v>1477</v>
      </c>
      <c r="D7576" t="s">
        <v>337</v>
      </c>
      <c r="E7576" t="s">
        <v>337</v>
      </c>
      <c r="F7576" t="s">
        <v>8235</v>
      </c>
      <c r="G7576">
        <v>857</v>
      </c>
      <c r="J7576">
        <v>109</v>
      </c>
      <c r="M7576">
        <v>966</v>
      </c>
    </row>
    <row r="7577" spans="1:15" x14ac:dyDescent="0.35">
      <c r="A7577" t="s">
        <v>8203</v>
      </c>
      <c r="B7577" t="s">
        <v>8204</v>
      </c>
      <c r="C7577" t="s">
        <v>1477</v>
      </c>
      <c r="D7577" t="s">
        <v>339</v>
      </c>
      <c r="E7577" t="s">
        <v>294</v>
      </c>
      <c r="F7577" t="s">
        <v>8236</v>
      </c>
      <c r="G7577">
        <v>188</v>
      </c>
      <c r="H7577">
        <v>19098.509999999998</v>
      </c>
      <c r="I7577">
        <v>101.59</v>
      </c>
      <c r="J7577">
        <v>254</v>
      </c>
      <c r="K7577">
        <v>21821.14</v>
      </c>
      <c r="L7577">
        <v>85.91</v>
      </c>
      <c r="M7577">
        <v>442</v>
      </c>
      <c r="N7577">
        <v>40919.649999999994</v>
      </c>
      <c r="O7577">
        <v>92.58</v>
      </c>
    </row>
    <row r="7578" spans="1:15" x14ac:dyDescent="0.35">
      <c r="A7578" t="s">
        <v>8203</v>
      </c>
      <c r="B7578" t="s">
        <v>8204</v>
      </c>
      <c r="C7578" t="s">
        <v>1477</v>
      </c>
      <c r="D7578" t="s">
        <v>339</v>
      </c>
      <c r="E7578" t="s">
        <v>296</v>
      </c>
      <c r="F7578" t="s">
        <v>8237</v>
      </c>
      <c r="G7578">
        <v>45</v>
      </c>
      <c r="H7578">
        <v>5205.4699999999993</v>
      </c>
      <c r="I7578">
        <v>115.68</v>
      </c>
      <c r="J7578">
        <v>18</v>
      </c>
      <c r="K7578">
        <v>1823.7599999999998</v>
      </c>
      <c r="L7578">
        <v>101.32</v>
      </c>
      <c r="M7578">
        <v>63</v>
      </c>
      <c r="N7578">
        <v>7029.23</v>
      </c>
      <c r="O7578">
        <v>111.58</v>
      </c>
    </row>
    <row r="7579" spans="1:15" x14ac:dyDescent="0.35">
      <c r="A7579" t="s">
        <v>8203</v>
      </c>
      <c r="B7579" t="s">
        <v>8204</v>
      </c>
      <c r="C7579" t="s">
        <v>1477</v>
      </c>
      <c r="D7579" t="s">
        <v>339</v>
      </c>
      <c r="E7579" t="s">
        <v>298</v>
      </c>
      <c r="F7579" t="s">
        <v>8238</v>
      </c>
      <c r="G7579">
        <v>1</v>
      </c>
      <c r="H7579">
        <v>113.36</v>
      </c>
      <c r="I7579">
        <v>113.36</v>
      </c>
      <c r="J7579">
        <v>0</v>
      </c>
      <c r="K7579">
        <v>0</v>
      </c>
      <c r="L7579">
        <v>0</v>
      </c>
      <c r="M7579">
        <v>1</v>
      </c>
      <c r="N7579">
        <v>113.36</v>
      </c>
      <c r="O7579">
        <v>113.36</v>
      </c>
    </row>
    <row r="7580" spans="1:15" x14ac:dyDescent="0.35">
      <c r="A7580" t="s">
        <v>8203</v>
      </c>
      <c r="B7580" t="s">
        <v>8204</v>
      </c>
      <c r="C7580" t="s">
        <v>1477</v>
      </c>
      <c r="D7580" t="s">
        <v>339</v>
      </c>
      <c r="E7580" t="s">
        <v>300</v>
      </c>
      <c r="F7580" t="s">
        <v>8239</v>
      </c>
      <c r="G7580">
        <v>0</v>
      </c>
      <c r="H7580">
        <v>0</v>
      </c>
      <c r="I7580">
        <v>0</v>
      </c>
      <c r="J7580">
        <v>0</v>
      </c>
      <c r="K7580">
        <v>0</v>
      </c>
      <c r="L7580">
        <v>0</v>
      </c>
      <c r="M7580">
        <v>0</v>
      </c>
      <c r="N7580">
        <v>0</v>
      </c>
      <c r="O7580">
        <v>0</v>
      </c>
    </row>
    <row r="7581" spans="1:15" x14ac:dyDescent="0.35">
      <c r="A7581" t="s">
        <v>8203</v>
      </c>
      <c r="B7581" t="s">
        <v>8204</v>
      </c>
      <c r="C7581" t="s">
        <v>1477</v>
      </c>
      <c r="D7581" t="s">
        <v>339</v>
      </c>
      <c r="E7581" t="s">
        <v>306</v>
      </c>
      <c r="F7581" t="s">
        <v>8240</v>
      </c>
      <c r="G7581">
        <v>0</v>
      </c>
      <c r="H7581">
        <v>0</v>
      </c>
      <c r="I7581">
        <v>0</v>
      </c>
      <c r="J7581">
        <v>8</v>
      </c>
      <c r="K7581">
        <v>677.52</v>
      </c>
      <c r="L7581">
        <v>84.69</v>
      </c>
      <c r="M7581">
        <v>8</v>
      </c>
      <c r="N7581">
        <v>677.52</v>
      </c>
      <c r="O7581">
        <v>84.69</v>
      </c>
    </row>
    <row r="7582" spans="1:15" x14ac:dyDescent="0.35">
      <c r="A7582" t="s">
        <v>8203</v>
      </c>
      <c r="B7582" t="s">
        <v>8204</v>
      </c>
      <c r="C7582" t="s">
        <v>1477</v>
      </c>
      <c r="D7582" t="s">
        <v>339</v>
      </c>
      <c r="E7582" t="s">
        <v>308</v>
      </c>
      <c r="F7582" t="s">
        <v>8241</v>
      </c>
      <c r="G7582">
        <v>38</v>
      </c>
      <c r="H7582">
        <v>3631.02</v>
      </c>
      <c r="I7582">
        <v>95.55</v>
      </c>
      <c r="J7582">
        <v>0</v>
      </c>
      <c r="K7582">
        <v>0</v>
      </c>
      <c r="L7582">
        <v>0</v>
      </c>
      <c r="M7582">
        <v>38</v>
      </c>
      <c r="N7582">
        <v>3631.02</v>
      </c>
      <c r="O7582">
        <v>95.55</v>
      </c>
    </row>
    <row r="7583" spans="1:15" x14ac:dyDescent="0.35">
      <c r="A7583" t="s">
        <v>8203</v>
      </c>
      <c r="B7583" t="s">
        <v>8204</v>
      </c>
      <c r="C7583" t="s">
        <v>1477</v>
      </c>
      <c r="D7583" t="s">
        <v>339</v>
      </c>
      <c r="E7583" t="s">
        <v>310</v>
      </c>
      <c r="F7583" t="s">
        <v>8242</v>
      </c>
      <c r="G7583">
        <v>272</v>
      </c>
      <c r="H7583">
        <v>28048.359999999997</v>
      </c>
      <c r="I7583">
        <v>103.12</v>
      </c>
      <c r="J7583">
        <v>280</v>
      </c>
      <c r="K7583">
        <v>24322.42</v>
      </c>
      <c r="L7583">
        <v>86.87</v>
      </c>
      <c r="M7583">
        <v>552</v>
      </c>
      <c r="N7583">
        <v>52370.78</v>
      </c>
      <c r="O7583">
        <v>94.87</v>
      </c>
    </row>
    <row r="7584" spans="1:15" x14ac:dyDescent="0.35">
      <c r="A7584" t="s">
        <v>8203</v>
      </c>
      <c r="B7584" t="s">
        <v>8204</v>
      </c>
      <c r="C7584" t="s">
        <v>1477</v>
      </c>
      <c r="D7584" t="s">
        <v>339</v>
      </c>
      <c r="E7584" t="s">
        <v>312</v>
      </c>
      <c r="F7584" t="s">
        <v>8243</v>
      </c>
      <c r="G7584">
        <v>234</v>
      </c>
      <c r="H7584">
        <v>24417.339999999997</v>
      </c>
      <c r="I7584">
        <v>104.35</v>
      </c>
      <c r="J7584">
        <v>280</v>
      </c>
      <c r="K7584">
        <v>24322.42</v>
      </c>
      <c r="L7584">
        <v>86.87</v>
      </c>
      <c r="M7584">
        <v>514</v>
      </c>
      <c r="N7584">
        <v>48739.759999999995</v>
      </c>
      <c r="O7584">
        <v>94.82</v>
      </c>
    </row>
    <row r="7585" spans="1:15" x14ac:dyDescent="0.35">
      <c r="A7585" t="s">
        <v>8203</v>
      </c>
      <c r="B7585" t="s">
        <v>8204</v>
      </c>
      <c r="C7585" t="s">
        <v>1477</v>
      </c>
      <c r="D7585" t="s">
        <v>348</v>
      </c>
      <c r="E7585" t="s">
        <v>349</v>
      </c>
      <c r="F7585" t="s">
        <v>8244</v>
      </c>
      <c r="G7585">
        <v>296</v>
      </c>
      <c r="H7585">
        <v>28195.52</v>
      </c>
      <c r="I7585">
        <v>103.28</v>
      </c>
      <c r="J7585">
        <v>280</v>
      </c>
      <c r="K7585">
        <v>24322.42</v>
      </c>
      <c r="L7585">
        <v>86.87</v>
      </c>
      <c r="M7585">
        <v>576</v>
      </c>
      <c r="N7585">
        <v>52517.94</v>
      </c>
      <c r="O7585">
        <v>94.97</v>
      </c>
    </row>
    <row r="7586" spans="1:15" x14ac:dyDescent="0.35">
      <c r="A7586" t="s">
        <v>8245</v>
      </c>
      <c r="B7586" t="s">
        <v>8246</v>
      </c>
      <c r="C7586" t="s">
        <v>1644</v>
      </c>
      <c r="D7586" t="s">
        <v>293</v>
      </c>
      <c r="E7586" t="s">
        <v>294</v>
      </c>
      <c r="F7586" t="s">
        <v>8247</v>
      </c>
      <c r="G7586">
        <v>216</v>
      </c>
      <c r="H7586">
        <v>43479.02</v>
      </c>
      <c r="I7586">
        <v>201.29</v>
      </c>
      <c r="J7586">
        <v>16</v>
      </c>
      <c r="K7586">
        <v>3231.52</v>
      </c>
      <c r="L7586">
        <v>201.97</v>
      </c>
      <c r="M7586">
        <v>232</v>
      </c>
      <c r="N7586">
        <v>46710.539999999994</v>
      </c>
      <c r="O7586">
        <v>201.34</v>
      </c>
    </row>
    <row r="7587" spans="1:15" x14ac:dyDescent="0.35">
      <c r="A7587" t="s">
        <v>8245</v>
      </c>
      <c r="B7587" t="s">
        <v>8246</v>
      </c>
      <c r="C7587" t="s">
        <v>1644</v>
      </c>
      <c r="D7587" t="s">
        <v>293</v>
      </c>
      <c r="E7587" t="s">
        <v>296</v>
      </c>
      <c r="F7587" t="s">
        <v>8248</v>
      </c>
      <c r="G7587">
        <v>318</v>
      </c>
      <c r="H7587">
        <v>79514.16</v>
      </c>
      <c r="I7587">
        <v>250.04</v>
      </c>
      <c r="J7587">
        <v>21</v>
      </c>
      <c r="K7587">
        <v>5399.94</v>
      </c>
      <c r="L7587">
        <v>257.14</v>
      </c>
      <c r="M7587">
        <v>339</v>
      </c>
      <c r="N7587">
        <v>84914.1</v>
      </c>
      <c r="O7587">
        <v>250.48</v>
      </c>
    </row>
    <row r="7588" spans="1:15" x14ac:dyDescent="0.35">
      <c r="A7588" t="s">
        <v>8245</v>
      </c>
      <c r="B7588" t="s">
        <v>8246</v>
      </c>
      <c r="C7588" t="s">
        <v>1644</v>
      </c>
      <c r="D7588" t="s">
        <v>293</v>
      </c>
      <c r="E7588" t="s">
        <v>298</v>
      </c>
      <c r="F7588" t="s">
        <v>8249</v>
      </c>
      <c r="G7588">
        <v>201</v>
      </c>
      <c r="H7588">
        <v>59744.01</v>
      </c>
      <c r="I7588">
        <v>297.23</v>
      </c>
      <c r="J7588">
        <v>6</v>
      </c>
      <c r="K7588">
        <v>1609.2599999999998</v>
      </c>
      <c r="L7588">
        <v>268.20999999999998</v>
      </c>
      <c r="M7588">
        <v>207</v>
      </c>
      <c r="N7588">
        <v>61353.270000000004</v>
      </c>
      <c r="O7588">
        <v>296.39</v>
      </c>
    </row>
    <row r="7589" spans="1:15" x14ac:dyDescent="0.35">
      <c r="A7589" t="s">
        <v>8245</v>
      </c>
      <c r="B7589" t="s">
        <v>8246</v>
      </c>
      <c r="C7589" t="s">
        <v>1644</v>
      </c>
      <c r="D7589" t="s">
        <v>293</v>
      </c>
      <c r="E7589" t="s">
        <v>300</v>
      </c>
      <c r="F7589" t="s">
        <v>8250</v>
      </c>
      <c r="G7589">
        <v>19</v>
      </c>
      <c r="H7589">
        <v>6286.81</v>
      </c>
      <c r="I7589">
        <v>330.88</v>
      </c>
      <c r="J7589">
        <v>3</v>
      </c>
      <c r="K7589">
        <v>1120.3799999999999</v>
      </c>
      <c r="L7589">
        <v>373.46</v>
      </c>
      <c r="M7589">
        <v>22</v>
      </c>
      <c r="N7589">
        <v>7407.1900000000005</v>
      </c>
      <c r="O7589">
        <v>336.69</v>
      </c>
    </row>
    <row r="7590" spans="1:15" x14ac:dyDescent="0.35">
      <c r="A7590" t="s">
        <v>8245</v>
      </c>
      <c r="B7590" t="s">
        <v>8246</v>
      </c>
      <c r="C7590" t="s">
        <v>1644</v>
      </c>
      <c r="D7590" t="s">
        <v>293</v>
      </c>
      <c r="E7590" t="s">
        <v>302</v>
      </c>
      <c r="F7590" t="s">
        <v>8251</v>
      </c>
      <c r="G7590">
        <v>1</v>
      </c>
      <c r="H7590">
        <v>318.25</v>
      </c>
      <c r="I7590">
        <v>318.25</v>
      </c>
      <c r="J7590">
        <v>1</v>
      </c>
      <c r="K7590">
        <v>347.7</v>
      </c>
      <c r="L7590">
        <v>347.7</v>
      </c>
      <c r="M7590">
        <v>2</v>
      </c>
      <c r="N7590">
        <v>665.95</v>
      </c>
      <c r="O7590">
        <v>332.98</v>
      </c>
    </row>
    <row r="7591" spans="1:15" x14ac:dyDescent="0.35">
      <c r="A7591" t="s">
        <v>8245</v>
      </c>
      <c r="B7591" t="s">
        <v>8246</v>
      </c>
      <c r="C7591" t="s">
        <v>1644</v>
      </c>
      <c r="D7591" t="s">
        <v>293</v>
      </c>
      <c r="E7591" t="s">
        <v>304</v>
      </c>
      <c r="F7591" t="s">
        <v>8252</v>
      </c>
      <c r="G7591">
        <v>0</v>
      </c>
      <c r="H7591">
        <v>0</v>
      </c>
      <c r="I7591">
        <v>0</v>
      </c>
      <c r="J7591">
        <v>1</v>
      </c>
      <c r="K7591">
        <v>369.44</v>
      </c>
      <c r="L7591">
        <v>369.44</v>
      </c>
      <c r="M7591">
        <v>1</v>
      </c>
      <c r="N7591">
        <v>369.44</v>
      </c>
      <c r="O7591">
        <v>369.44</v>
      </c>
    </row>
    <row r="7592" spans="1:15" x14ac:dyDescent="0.35">
      <c r="A7592" t="s">
        <v>8245</v>
      </c>
      <c r="B7592" t="s">
        <v>8246</v>
      </c>
      <c r="C7592" t="s">
        <v>1644</v>
      </c>
      <c r="D7592" t="s">
        <v>293</v>
      </c>
      <c r="E7592" t="s">
        <v>306</v>
      </c>
      <c r="F7592" t="s">
        <v>8253</v>
      </c>
      <c r="G7592">
        <v>12</v>
      </c>
      <c r="H7592">
        <v>2128.6799999999998</v>
      </c>
      <c r="I7592">
        <v>177.39</v>
      </c>
      <c r="J7592">
        <v>0</v>
      </c>
      <c r="K7592">
        <v>0</v>
      </c>
      <c r="L7592">
        <v>0</v>
      </c>
      <c r="M7592">
        <v>12</v>
      </c>
      <c r="N7592">
        <v>2128.6799999999998</v>
      </c>
      <c r="O7592">
        <v>177.39</v>
      </c>
    </row>
    <row r="7593" spans="1:15" x14ac:dyDescent="0.35">
      <c r="A7593" t="s">
        <v>8245</v>
      </c>
      <c r="B7593" t="s">
        <v>8246</v>
      </c>
      <c r="C7593" t="s">
        <v>1644</v>
      </c>
      <c r="D7593" t="s">
        <v>293</v>
      </c>
      <c r="E7593" t="s">
        <v>308</v>
      </c>
      <c r="F7593" t="s">
        <v>8254</v>
      </c>
      <c r="G7593">
        <v>0</v>
      </c>
      <c r="H7593">
        <v>0</v>
      </c>
      <c r="I7593">
        <v>0</v>
      </c>
      <c r="J7593">
        <v>0</v>
      </c>
      <c r="K7593">
        <v>0</v>
      </c>
      <c r="L7593">
        <v>0</v>
      </c>
      <c r="M7593">
        <v>0</v>
      </c>
      <c r="N7593">
        <v>0</v>
      </c>
      <c r="O7593">
        <v>0</v>
      </c>
    </row>
    <row r="7594" spans="1:15" x14ac:dyDescent="0.35">
      <c r="A7594" t="s">
        <v>8245</v>
      </c>
      <c r="B7594" t="s">
        <v>8246</v>
      </c>
      <c r="C7594" t="s">
        <v>1644</v>
      </c>
      <c r="D7594" t="s">
        <v>293</v>
      </c>
      <c r="E7594" t="s">
        <v>310</v>
      </c>
      <c r="F7594" t="s">
        <v>8255</v>
      </c>
      <c r="G7594">
        <v>767</v>
      </c>
      <c r="H7594">
        <v>191470.93</v>
      </c>
      <c r="I7594">
        <v>249.64</v>
      </c>
      <c r="J7594">
        <v>48</v>
      </c>
      <c r="K7594">
        <v>12078.24</v>
      </c>
      <c r="L7594">
        <v>251.63</v>
      </c>
      <c r="M7594">
        <v>815</v>
      </c>
      <c r="N7594">
        <v>203549.16999999998</v>
      </c>
      <c r="O7594">
        <v>249.75</v>
      </c>
    </row>
    <row r="7595" spans="1:15" x14ac:dyDescent="0.35">
      <c r="A7595" t="s">
        <v>8245</v>
      </c>
      <c r="B7595" t="s">
        <v>8246</v>
      </c>
      <c r="C7595" t="s">
        <v>1644</v>
      </c>
      <c r="D7595" t="s">
        <v>293</v>
      </c>
      <c r="E7595" t="s">
        <v>312</v>
      </c>
      <c r="F7595" t="s">
        <v>8256</v>
      </c>
      <c r="G7595">
        <v>767</v>
      </c>
      <c r="H7595">
        <v>191470.93</v>
      </c>
      <c r="I7595">
        <v>249.64</v>
      </c>
      <c r="J7595">
        <v>48</v>
      </c>
      <c r="K7595">
        <v>12078.24</v>
      </c>
      <c r="L7595">
        <v>251.63</v>
      </c>
      <c r="M7595">
        <v>815</v>
      </c>
      <c r="N7595">
        <v>203549.16999999998</v>
      </c>
      <c r="O7595">
        <v>249.75</v>
      </c>
    </row>
    <row r="7596" spans="1:15" x14ac:dyDescent="0.35">
      <c r="A7596" t="s">
        <v>8245</v>
      </c>
      <c r="B7596" t="s">
        <v>8246</v>
      </c>
      <c r="C7596" t="s">
        <v>1644</v>
      </c>
      <c r="D7596" t="s">
        <v>314</v>
      </c>
      <c r="E7596" t="s">
        <v>294</v>
      </c>
      <c r="F7596" t="s">
        <v>8257</v>
      </c>
      <c r="G7596">
        <v>62</v>
      </c>
      <c r="H7596">
        <v>15236.2</v>
      </c>
      <c r="I7596">
        <v>245.75</v>
      </c>
      <c r="J7596">
        <v>0</v>
      </c>
      <c r="K7596">
        <v>0</v>
      </c>
      <c r="L7596">
        <v>0</v>
      </c>
      <c r="M7596">
        <v>62</v>
      </c>
      <c r="N7596">
        <v>15236.2</v>
      </c>
      <c r="O7596">
        <v>245.75</v>
      </c>
    </row>
    <row r="7597" spans="1:15" x14ac:dyDescent="0.35">
      <c r="A7597" t="s">
        <v>8245</v>
      </c>
      <c r="B7597" t="s">
        <v>8246</v>
      </c>
      <c r="C7597" t="s">
        <v>1644</v>
      </c>
      <c r="D7597" t="s">
        <v>314</v>
      </c>
      <c r="E7597" t="s">
        <v>296</v>
      </c>
      <c r="F7597" t="s">
        <v>8258</v>
      </c>
      <c r="G7597">
        <v>0</v>
      </c>
      <c r="H7597">
        <v>0</v>
      </c>
      <c r="I7597">
        <v>0</v>
      </c>
      <c r="J7597">
        <v>0</v>
      </c>
      <c r="K7597">
        <v>0</v>
      </c>
      <c r="L7597">
        <v>0</v>
      </c>
      <c r="M7597">
        <v>0</v>
      </c>
      <c r="N7597">
        <v>0</v>
      </c>
      <c r="O7597">
        <v>0</v>
      </c>
    </row>
    <row r="7598" spans="1:15" x14ac:dyDescent="0.35">
      <c r="A7598" t="s">
        <v>8245</v>
      </c>
      <c r="B7598" t="s">
        <v>8246</v>
      </c>
      <c r="C7598" t="s">
        <v>1644</v>
      </c>
      <c r="D7598" t="s">
        <v>314</v>
      </c>
      <c r="E7598" t="s">
        <v>298</v>
      </c>
      <c r="F7598" t="s">
        <v>8259</v>
      </c>
      <c r="G7598">
        <v>0</v>
      </c>
      <c r="H7598">
        <v>0</v>
      </c>
      <c r="I7598">
        <v>0</v>
      </c>
      <c r="J7598">
        <v>0</v>
      </c>
      <c r="K7598">
        <v>0</v>
      </c>
      <c r="L7598">
        <v>0</v>
      </c>
      <c r="M7598">
        <v>0</v>
      </c>
      <c r="N7598">
        <v>0</v>
      </c>
      <c r="O7598">
        <v>0</v>
      </c>
    </row>
    <row r="7599" spans="1:15" x14ac:dyDescent="0.35">
      <c r="A7599" t="s">
        <v>8245</v>
      </c>
      <c r="B7599" t="s">
        <v>8246</v>
      </c>
      <c r="C7599" t="s">
        <v>1644</v>
      </c>
      <c r="D7599" t="s">
        <v>314</v>
      </c>
      <c r="E7599" t="s">
        <v>300</v>
      </c>
      <c r="F7599" t="s">
        <v>8260</v>
      </c>
      <c r="G7599">
        <v>0</v>
      </c>
      <c r="H7599">
        <v>0</v>
      </c>
      <c r="I7599">
        <v>0</v>
      </c>
      <c r="J7599">
        <v>0</v>
      </c>
      <c r="K7599">
        <v>0</v>
      </c>
      <c r="L7599">
        <v>0</v>
      </c>
      <c r="M7599">
        <v>0</v>
      </c>
      <c r="N7599">
        <v>0</v>
      </c>
      <c r="O7599">
        <v>0</v>
      </c>
    </row>
    <row r="7600" spans="1:15" x14ac:dyDescent="0.35">
      <c r="A7600" t="s">
        <v>8245</v>
      </c>
      <c r="B7600" t="s">
        <v>8246</v>
      </c>
      <c r="C7600" t="s">
        <v>1644</v>
      </c>
      <c r="D7600" t="s">
        <v>314</v>
      </c>
      <c r="E7600" t="s">
        <v>306</v>
      </c>
      <c r="F7600" t="s">
        <v>8261</v>
      </c>
      <c r="G7600">
        <v>0</v>
      </c>
      <c r="H7600">
        <v>0</v>
      </c>
      <c r="I7600">
        <v>0</v>
      </c>
      <c r="J7600">
        <v>0</v>
      </c>
      <c r="K7600">
        <v>0</v>
      </c>
      <c r="L7600">
        <v>0</v>
      </c>
      <c r="M7600">
        <v>0</v>
      </c>
      <c r="N7600">
        <v>0</v>
      </c>
      <c r="O7600">
        <v>0</v>
      </c>
    </row>
    <row r="7601" spans="1:15" x14ac:dyDescent="0.35">
      <c r="A7601" t="s">
        <v>8245</v>
      </c>
      <c r="B7601" t="s">
        <v>8246</v>
      </c>
      <c r="C7601" t="s">
        <v>1644</v>
      </c>
      <c r="D7601" t="s">
        <v>314</v>
      </c>
      <c r="E7601" t="s">
        <v>308</v>
      </c>
      <c r="F7601" t="s">
        <v>8262</v>
      </c>
      <c r="G7601">
        <v>0</v>
      </c>
      <c r="H7601">
        <v>0</v>
      </c>
      <c r="I7601">
        <v>0</v>
      </c>
      <c r="J7601">
        <v>0</v>
      </c>
      <c r="K7601">
        <v>0</v>
      </c>
      <c r="L7601">
        <v>0</v>
      </c>
      <c r="M7601">
        <v>0</v>
      </c>
      <c r="N7601">
        <v>0</v>
      </c>
      <c r="O7601">
        <v>0</v>
      </c>
    </row>
    <row r="7602" spans="1:15" x14ac:dyDescent="0.35">
      <c r="A7602" t="s">
        <v>8245</v>
      </c>
      <c r="B7602" t="s">
        <v>8246</v>
      </c>
      <c r="C7602" t="s">
        <v>1644</v>
      </c>
      <c r="D7602" t="s">
        <v>314</v>
      </c>
      <c r="E7602" t="s">
        <v>312</v>
      </c>
      <c r="F7602" t="s">
        <v>8263</v>
      </c>
      <c r="G7602">
        <v>62</v>
      </c>
      <c r="H7602">
        <v>15236.2</v>
      </c>
      <c r="I7602">
        <v>245.75</v>
      </c>
      <c r="J7602">
        <v>0</v>
      </c>
      <c r="K7602">
        <v>0</v>
      </c>
      <c r="L7602">
        <v>0</v>
      </c>
      <c r="M7602">
        <v>62</v>
      </c>
      <c r="N7602">
        <v>15236.2</v>
      </c>
      <c r="O7602">
        <v>245.75</v>
      </c>
    </row>
    <row r="7603" spans="1:15" x14ac:dyDescent="0.35">
      <c r="A7603" t="s">
        <v>8245</v>
      </c>
      <c r="B7603" t="s">
        <v>8246</v>
      </c>
      <c r="C7603" t="s">
        <v>1644</v>
      </c>
      <c r="D7603" t="s">
        <v>314</v>
      </c>
      <c r="E7603" t="s">
        <v>310</v>
      </c>
      <c r="F7603" t="s">
        <v>8264</v>
      </c>
      <c r="G7603">
        <v>62</v>
      </c>
      <c r="H7603">
        <v>15236.2</v>
      </c>
      <c r="I7603">
        <v>245.75</v>
      </c>
      <c r="J7603">
        <v>0</v>
      </c>
      <c r="K7603">
        <v>0</v>
      </c>
      <c r="L7603">
        <v>0</v>
      </c>
      <c r="M7603">
        <v>62</v>
      </c>
      <c r="N7603">
        <v>15236.2</v>
      </c>
      <c r="O7603">
        <v>245.75</v>
      </c>
    </row>
    <row r="7604" spans="1:15" x14ac:dyDescent="0.35">
      <c r="A7604" t="s">
        <v>8245</v>
      </c>
      <c r="B7604" t="s">
        <v>8246</v>
      </c>
      <c r="C7604" t="s">
        <v>1644</v>
      </c>
      <c r="D7604" t="s">
        <v>323</v>
      </c>
      <c r="E7604" t="s">
        <v>294</v>
      </c>
      <c r="F7604" t="s">
        <v>8265</v>
      </c>
      <c r="G7604">
        <v>926</v>
      </c>
      <c r="H7604">
        <v>120152.69</v>
      </c>
      <c r="I7604">
        <v>129.75</v>
      </c>
      <c r="J7604">
        <v>38</v>
      </c>
      <c r="K7604">
        <v>4488.5600000000004</v>
      </c>
      <c r="L7604">
        <v>118.12</v>
      </c>
      <c r="M7604">
        <v>964</v>
      </c>
      <c r="N7604">
        <v>124641.25</v>
      </c>
      <c r="O7604">
        <v>129.30000000000001</v>
      </c>
    </row>
    <row r="7605" spans="1:15" x14ac:dyDescent="0.35">
      <c r="A7605" t="s">
        <v>8245</v>
      </c>
      <c r="B7605" t="s">
        <v>8246</v>
      </c>
      <c r="C7605" t="s">
        <v>1644</v>
      </c>
      <c r="D7605" t="s">
        <v>323</v>
      </c>
      <c r="E7605" t="s">
        <v>296</v>
      </c>
      <c r="F7605" t="s">
        <v>8266</v>
      </c>
      <c r="G7605">
        <v>1305</v>
      </c>
      <c r="H7605">
        <v>200543.19</v>
      </c>
      <c r="I7605">
        <v>153.66999999999999</v>
      </c>
      <c r="J7605">
        <v>9</v>
      </c>
      <c r="K7605">
        <v>1195.3799999999999</v>
      </c>
      <c r="L7605">
        <v>132.82</v>
      </c>
      <c r="M7605">
        <v>1314</v>
      </c>
      <c r="N7605">
        <v>201738.57</v>
      </c>
      <c r="O7605">
        <v>153.53</v>
      </c>
    </row>
    <row r="7606" spans="1:15" x14ac:dyDescent="0.35">
      <c r="A7606" t="s">
        <v>8245</v>
      </c>
      <c r="B7606" t="s">
        <v>8246</v>
      </c>
      <c r="C7606" t="s">
        <v>1644</v>
      </c>
      <c r="D7606" t="s">
        <v>323</v>
      </c>
      <c r="E7606" t="s">
        <v>298</v>
      </c>
      <c r="F7606" t="s">
        <v>8267</v>
      </c>
      <c r="G7606">
        <v>1434</v>
      </c>
      <c r="H7606">
        <v>254420.56</v>
      </c>
      <c r="I7606">
        <v>177.42</v>
      </c>
      <c r="J7606">
        <v>0</v>
      </c>
      <c r="K7606">
        <v>0</v>
      </c>
      <c r="L7606">
        <v>0</v>
      </c>
      <c r="M7606">
        <v>1434</v>
      </c>
      <c r="N7606">
        <v>254420.56</v>
      </c>
      <c r="O7606">
        <v>177.42</v>
      </c>
    </row>
    <row r="7607" spans="1:15" x14ac:dyDescent="0.35">
      <c r="A7607" t="s">
        <v>8245</v>
      </c>
      <c r="B7607" t="s">
        <v>8246</v>
      </c>
      <c r="C7607" t="s">
        <v>1644</v>
      </c>
      <c r="D7607" t="s">
        <v>323</v>
      </c>
      <c r="E7607" t="s">
        <v>300</v>
      </c>
      <c r="F7607" t="s">
        <v>8268</v>
      </c>
      <c r="G7607">
        <v>92</v>
      </c>
      <c r="H7607">
        <v>17982.23</v>
      </c>
      <c r="I7607">
        <v>195.46</v>
      </c>
      <c r="J7607">
        <v>0</v>
      </c>
      <c r="K7607">
        <v>0</v>
      </c>
      <c r="L7607">
        <v>0</v>
      </c>
      <c r="M7607">
        <v>92</v>
      </c>
      <c r="N7607">
        <v>17982.23</v>
      </c>
      <c r="O7607">
        <v>195.46</v>
      </c>
    </row>
    <row r="7608" spans="1:15" x14ac:dyDescent="0.35">
      <c r="A7608" t="s">
        <v>8245</v>
      </c>
      <c r="B7608" t="s">
        <v>8246</v>
      </c>
      <c r="C7608" t="s">
        <v>1644</v>
      </c>
      <c r="D7608" t="s">
        <v>323</v>
      </c>
      <c r="E7608" t="s">
        <v>302</v>
      </c>
      <c r="F7608" t="s">
        <v>8269</v>
      </c>
      <c r="G7608">
        <v>8</v>
      </c>
      <c r="H7608">
        <v>1653.92</v>
      </c>
      <c r="I7608">
        <v>206.74</v>
      </c>
      <c r="J7608">
        <v>0</v>
      </c>
      <c r="K7608">
        <v>0</v>
      </c>
      <c r="L7608">
        <v>0</v>
      </c>
      <c r="M7608">
        <v>8</v>
      </c>
      <c r="N7608">
        <v>1653.92</v>
      </c>
      <c r="O7608">
        <v>206.74</v>
      </c>
    </row>
    <row r="7609" spans="1:15" x14ac:dyDescent="0.35">
      <c r="A7609" t="s">
        <v>8245</v>
      </c>
      <c r="B7609" t="s">
        <v>8246</v>
      </c>
      <c r="C7609" t="s">
        <v>1644</v>
      </c>
      <c r="D7609" t="s">
        <v>323</v>
      </c>
      <c r="E7609" t="s">
        <v>304</v>
      </c>
      <c r="F7609" t="s">
        <v>8270</v>
      </c>
      <c r="G7609">
        <v>0</v>
      </c>
      <c r="H7609">
        <v>0</v>
      </c>
      <c r="I7609">
        <v>0</v>
      </c>
      <c r="J7609">
        <v>0</v>
      </c>
      <c r="K7609">
        <v>0</v>
      </c>
      <c r="L7609">
        <v>0</v>
      </c>
      <c r="M7609">
        <v>0</v>
      </c>
      <c r="N7609">
        <v>0</v>
      </c>
      <c r="O7609">
        <v>0</v>
      </c>
    </row>
    <row r="7610" spans="1:15" x14ac:dyDescent="0.35">
      <c r="A7610" t="s">
        <v>8245</v>
      </c>
      <c r="B7610" t="s">
        <v>8246</v>
      </c>
      <c r="C7610" t="s">
        <v>1644</v>
      </c>
      <c r="D7610" t="s">
        <v>323</v>
      </c>
      <c r="E7610" t="s">
        <v>306</v>
      </c>
      <c r="F7610" t="s">
        <v>8271</v>
      </c>
      <c r="G7610">
        <v>54</v>
      </c>
      <c r="H7610">
        <v>6166.8600000000006</v>
      </c>
      <c r="I7610">
        <v>114.2</v>
      </c>
      <c r="J7610">
        <v>1</v>
      </c>
      <c r="K7610">
        <v>95.61</v>
      </c>
      <c r="L7610">
        <v>95.61</v>
      </c>
      <c r="M7610">
        <v>55</v>
      </c>
      <c r="N7610">
        <v>6262.47</v>
      </c>
      <c r="O7610">
        <v>113.86</v>
      </c>
    </row>
    <row r="7611" spans="1:15" x14ac:dyDescent="0.35">
      <c r="A7611" t="s">
        <v>8245</v>
      </c>
      <c r="B7611" t="s">
        <v>8246</v>
      </c>
      <c r="C7611" t="s">
        <v>1644</v>
      </c>
      <c r="D7611" t="s">
        <v>323</v>
      </c>
      <c r="E7611" t="s">
        <v>308</v>
      </c>
      <c r="F7611" t="s">
        <v>8272</v>
      </c>
      <c r="G7611">
        <v>0</v>
      </c>
      <c r="H7611">
        <v>0</v>
      </c>
      <c r="I7611">
        <v>0</v>
      </c>
      <c r="J7611">
        <v>0</v>
      </c>
      <c r="K7611">
        <v>0</v>
      </c>
      <c r="L7611">
        <v>0</v>
      </c>
      <c r="M7611">
        <v>0</v>
      </c>
      <c r="N7611">
        <v>0</v>
      </c>
      <c r="O7611">
        <v>0</v>
      </c>
    </row>
    <row r="7612" spans="1:15" x14ac:dyDescent="0.35">
      <c r="A7612" t="s">
        <v>8245</v>
      </c>
      <c r="B7612" t="s">
        <v>8246</v>
      </c>
      <c r="C7612" t="s">
        <v>1644</v>
      </c>
      <c r="D7612" t="s">
        <v>323</v>
      </c>
      <c r="E7612" t="s">
        <v>310</v>
      </c>
      <c r="F7612" t="s">
        <v>8273</v>
      </c>
      <c r="G7612">
        <v>3819</v>
      </c>
      <c r="H7612">
        <v>600919.44999999995</v>
      </c>
      <c r="I7612">
        <v>157.35</v>
      </c>
      <c r="J7612">
        <v>48</v>
      </c>
      <c r="K7612">
        <v>5779.55</v>
      </c>
      <c r="L7612">
        <v>120.41</v>
      </c>
      <c r="M7612">
        <v>3867</v>
      </c>
      <c r="N7612">
        <v>606699</v>
      </c>
      <c r="O7612">
        <v>156.88999999999999</v>
      </c>
    </row>
    <row r="7613" spans="1:15" x14ac:dyDescent="0.35">
      <c r="A7613" t="s">
        <v>8245</v>
      </c>
      <c r="B7613" t="s">
        <v>8246</v>
      </c>
      <c r="C7613" t="s">
        <v>1644</v>
      </c>
      <c r="D7613" t="s">
        <v>323</v>
      </c>
      <c r="E7613" t="s">
        <v>312</v>
      </c>
      <c r="F7613" t="s">
        <v>8274</v>
      </c>
      <c r="G7613">
        <v>3819</v>
      </c>
      <c r="H7613">
        <v>600919.44999999995</v>
      </c>
      <c r="I7613">
        <v>157.35</v>
      </c>
      <c r="J7613">
        <v>48</v>
      </c>
      <c r="K7613">
        <v>5779.55</v>
      </c>
      <c r="L7613">
        <v>120.41</v>
      </c>
      <c r="M7613">
        <v>3867</v>
      </c>
      <c r="N7613">
        <v>606699</v>
      </c>
      <c r="O7613">
        <v>156.88999999999999</v>
      </c>
    </row>
    <row r="7614" spans="1:15" x14ac:dyDescent="0.35">
      <c r="A7614" t="s">
        <v>8245</v>
      </c>
      <c r="B7614" t="s">
        <v>8246</v>
      </c>
      <c r="C7614" t="s">
        <v>1644</v>
      </c>
      <c r="D7614" t="s">
        <v>334</v>
      </c>
      <c r="E7614" t="s">
        <v>312</v>
      </c>
      <c r="F7614" t="s">
        <v>8275</v>
      </c>
      <c r="G7614">
        <v>4691</v>
      </c>
      <c r="H7614">
        <v>792390.38</v>
      </c>
      <c r="I7614">
        <v>172.78</v>
      </c>
      <c r="J7614">
        <v>96</v>
      </c>
      <c r="K7614">
        <v>17857.79</v>
      </c>
      <c r="L7614">
        <v>186.02</v>
      </c>
      <c r="M7614">
        <v>4787</v>
      </c>
      <c r="N7614">
        <v>810248.17</v>
      </c>
      <c r="O7614">
        <v>173.06</v>
      </c>
    </row>
    <row r="7615" spans="1:15" x14ac:dyDescent="0.35">
      <c r="A7615" t="s">
        <v>8245</v>
      </c>
      <c r="B7615" t="s">
        <v>8246</v>
      </c>
      <c r="C7615" t="s">
        <v>1644</v>
      </c>
      <c r="D7615" t="s">
        <v>334</v>
      </c>
      <c r="E7615" t="s">
        <v>308</v>
      </c>
      <c r="F7615" t="s">
        <v>8276</v>
      </c>
      <c r="G7615">
        <v>16</v>
      </c>
      <c r="H7615">
        <v>0</v>
      </c>
      <c r="I7615">
        <v>0</v>
      </c>
      <c r="J7615">
        <v>0</v>
      </c>
      <c r="K7615">
        <v>0</v>
      </c>
      <c r="L7615">
        <v>0</v>
      </c>
      <c r="M7615">
        <v>16</v>
      </c>
      <c r="N7615">
        <v>0</v>
      </c>
      <c r="O7615">
        <v>0</v>
      </c>
    </row>
    <row r="7616" spans="1:15" x14ac:dyDescent="0.35">
      <c r="A7616" t="s">
        <v>8245</v>
      </c>
      <c r="B7616" t="s">
        <v>8246</v>
      </c>
      <c r="C7616" t="s">
        <v>1644</v>
      </c>
      <c r="D7616" t="s">
        <v>337</v>
      </c>
      <c r="E7616" t="s">
        <v>337</v>
      </c>
      <c r="F7616" t="s">
        <v>8277</v>
      </c>
      <c r="G7616">
        <v>623</v>
      </c>
      <c r="J7616">
        <v>0</v>
      </c>
      <c r="M7616">
        <v>623</v>
      </c>
    </row>
    <row r="7617" spans="1:15" x14ac:dyDescent="0.35">
      <c r="A7617" t="s">
        <v>8245</v>
      </c>
      <c r="B7617" t="s">
        <v>8246</v>
      </c>
      <c r="C7617" t="s">
        <v>1644</v>
      </c>
      <c r="D7617" t="s">
        <v>339</v>
      </c>
      <c r="E7617" t="s">
        <v>294</v>
      </c>
      <c r="F7617" t="s">
        <v>8278</v>
      </c>
      <c r="G7617">
        <v>680</v>
      </c>
      <c r="H7617">
        <v>99854.49000000002</v>
      </c>
      <c r="I7617">
        <v>146.84</v>
      </c>
      <c r="J7617">
        <v>0</v>
      </c>
      <c r="K7617">
        <v>0</v>
      </c>
      <c r="L7617">
        <v>0</v>
      </c>
      <c r="M7617">
        <v>680</v>
      </c>
      <c r="N7617">
        <v>99854.49000000002</v>
      </c>
      <c r="O7617">
        <v>146.84</v>
      </c>
    </row>
    <row r="7618" spans="1:15" x14ac:dyDescent="0.35">
      <c r="A7618" t="s">
        <v>8245</v>
      </c>
      <c r="B7618" t="s">
        <v>8246</v>
      </c>
      <c r="C7618" t="s">
        <v>1644</v>
      </c>
      <c r="D7618" t="s">
        <v>339</v>
      </c>
      <c r="E7618" t="s">
        <v>296</v>
      </c>
      <c r="F7618" t="s">
        <v>8279</v>
      </c>
      <c r="G7618">
        <v>102</v>
      </c>
      <c r="H7618">
        <v>17518.5</v>
      </c>
      <c r="I7618">
        <v>171.75</v>
      </c>
      <c r="J7618">
        <v>0</v>
      </c>
      <c r="K7618">
        <v>0</v>
      </c>
      <c r="L7618">
        <v>0</v>
      </c>
      <c r="M7618">
        <v>102</v>
      </c>
      <c r="N7618">
        <v>17518.5</v>
      </c>
      <c r="O7618">
        <v>171.75</v>
      </c>
    </row>
    <row r="7619" spans="1:15" x14ac:dyDescent="0.35">
      <c r="A7619" t="s">
        <v>8245</v>
      </c>
      <c r="B7619" t="s">
        <v>8246</v>
      </c>
      <c r="C7619" t="s">
        <v>1644</v>
      </c>
      <c r="D7619" t="s">
        <v>339</v>
      </c>
      <c r="E7619" t="s">
        <v>298</v>
      </c>
      <c r="F7619" t="s">
        <v>8280</v>
      </c>
      <c r="G7619">
        <v>1</v>
      </c>
      <c r="H7619">
        <v>196.62</v>
      </c>
      <c r="I7619">
        <v>196.62</v>
      </c>
      <c r="J7619">
        <v>0</v>
      </c>
      <c r="K7619">
        <v>0</v>
      </c>
      <c r="L7619">
        <v>0</v>
      </c>
      <c r="M7619">
        <v>1</v>
      </c>
      <c r="N7619">
        <v>196.62</v>
      </c>
      <c r="O7619">
        <v>196.62</v>
      </c>
    </row>
    <row r="7620" spans="1:15" x14ac:dyDescent="0.35">
      <c r="A7620" t="s">
        <v>8245</v>
      </c>
      <c r="B7620" t="s">
        <v>8246</v>
      </c>
      <c r="C7620" t="s">
        <v>1644</v>
      </c>
      <c r="D7620" t="s">
        <v>339</v>
      </c>
      <c r="E7620" t="s">
        <v>300</v>
      </c>
      <c r="F7620" t="s">
        <v>8281</v>
      </c>
      <c r="G7620">
        <v>0</v>
      </c>
      <c r="H7620">
        <v>0</v>
      </c>
      <c r="I7620">
        <v>0</v>
      </c>
      <c r="J7620">
        <v>0</v>
      </c>
      <c r="K7620">
        <v>0</v>
      </c>
      <c r="L7620">
        <v>0</v>
      </c>
      <c r="M7620">
        <v>0</v>
      </c>
      <c r="N7620">
        <v>0</v>
      </c>
      <c r="O7620">
        <v>0</v>
      </c>
    </row>
    <row r="7621" spans="1:15" x14ac:dyDescent="0.35">
      <c r="A7621" t="s">
        <v>8245</v>
      </c>
      <c r="B7621" t="s">
        <v>8246</v>
      </c>
      <c r="C7621" t="s">
        <v>1644</v>
      </c>
      <c r="D7621" t="s">
        <v>339</v>
      </c>
      <c r="E7621" t="s">
        <v>306</v>
      </c>
      <c r="F7621" t="s">
        <v>8282</v>
      </c>
      <c r="G7621">
        <v>7</v>
      </c>
      <c r="H7621">
        <v>857.01</v>
      </c>
      <c r="I7621">
        <v>122.43</v>
      </c>
      <c r="J7621">
        <v>0</v>
      </c>
      <c r="K7621">
        <v>0</v>
      </c>
      <c r="L7621">
        <v>0</v>
      </c>
      <c r="M7621">
        <v>7</v>
      </c>
      <c r="N7621">
        <v>857.01</v>
      </c>
      <c r="O7621">
        <v>122.43</v>
      </c>
    </row>
    <row r="7622" spans="1:15" x14ac:dyDescent="0.35">
      <c r="A7622" t="s">
        <v>8245</v>
      </c>
      <c r="B7622" t="s">
        <v>8246</v>
      </c>
      <c r="C7622" t="s">
        <v>1644</v>
      </c>
      <c r="D7622" t="s">
        <v>339</v>
      </c>
      <c r="E7622" t="s">
        <v>308</v>
      </c>
      <c r="F7622" t="s">
        <v>8283</v>
      </c>
      <c r="G7622">
        <v>76</v>
      </c>
      <c r="H7622">
        <v>14598.08</v>
      </c>
      <c r="I7622">
        <v>192.08</v>
      </c>
      <c r="J7622">
        <v>0</v>
      </c>
      <c r="K7622">
        <v>0</v>
      </c>
      <c r="L7622">
        <v>0</v>
      </c>
      <c r="M7622">
        <v>76</v>
      </c>
      <c r="N7622">
        <v>14598.08</v>
      </c>
      <c r="O7622">
        <v>192.08</v>
      </c>
    </row>
    <row r="7623" spans="1:15" x14ac:dyDescent="0.35">
      <c r="A7623" t="s">
        <v>8245</v>
      </c>
      <c r="B7623" t="s">
        <v>8246</v>
      </c>
      <c r="C7623" t="s">
        <v>1644</v>
      </c>
      <c r="D7623" t="s">
        <v>339</v>
      </c>
      <c r="E7623" t="s">
        <v>310</v>
      </c>
      <c r="F7623" t="s">
        <v>8284</v>
      </c>
      <c r="G7623">
        <v>866</v>
      </c>
      <c r="H7623">
        <v>133024.70000000001</v>
      </c>
      <c r="I7623">
        <v>153.61000000000001</v>
      </c>
      <c r="J7623">
        <v>0</v>
      </c>
      <c r="K7623">
        <v>0</v>
      </c>
      <c r="L7623">
        <v>0</v>
      </c>
      <c r="M7623">
        <v>866</v>
      </c>
      <c r="N7623">
        <v>133024.70000000001</v>
      </c>
      <c r="O7623">
        <v>153.61000000000001</v>
      </c>
    </row>
    <row r="7624" spans="1:15" x14ac:dyDescent="0.35">
      <c r="A7624" t="s">
        <v>8245</v>
      </c>
      <c r="B7624" t="s">
        <v>8246</v>
      </c>
      <c r="C7624" t="s">
        <v>1644</v>
      </c>
      <c r="D7624" t="s">
        <v>339</v>
      </c>
      <c r="E7624" t="s">
        <v>312</v>
      </c>
      <c r="F7624" t="s">
        <v>8285</v>
      </c>
      <c r="G7624">
        <v>790</v>
      </c>
      <c r="H7624">
        <v>118426.62000000001</v>
      </c>
      <c r="I7624">
        <v>149.91</v>
      </c>
      <c r="J7624">
        <v>0</v>
      </c>
      <c r="K7624">
        <v>0</v>
      </c>
      <c r="L7624">
        <v>0</v>
      </c>
      <c r="M7624">
        <v>790</v>
      </c>
      <c r="N7624">
        <v>118426.62000000001</v>
      </c>
      <c r="O7624">
        <v>149.91</v>
      </c>
    </row>
    <row r="7625" spans="1:15" x14ac:dyDescent="0.35">
      <c r="A7625" t="s">
        <v>8245</v>
      </c>
      <c r="B7625" t="s">
        <v>8246</v>
      </c>
      <c r="C7625" t="s">
        <v>1644</v>
      </c>
      <c r="D7625" t="s">
        <v>348</v>
      </c>
      <c r="E7625" t="s">
        <v>349</v>
      </c>
      <c r="F7625" t="s">
        <v>8286</v>
      </c>
      <c r="G7625">
        <v>1378</v>
      </c>
      <c r="H7625">
        <v>148260.9</v>
      </c>
      <c r="I7625">
        <v>159.76</v>
      </c>
      <c r="J7625">
        <v>0</v>
      </c>
      <c r="K7625">
        <v>0</v>
      </c>
      <c r="L7625">
        <v>0</v>
      </c>
      <c r="M7625">
        <v>1378</v>
      </c>
      <c r="N7625">
        <v>148260.9</v>
      </c>
      <c r="O7625">
        <v>159.76</v>
      </c>
    </row>
    <row r="7626" spans="1:15" x14ac:dyDescent="0.35">
      <c r="A7626" t="s">
        <v>8287</v>
      </c>
      <c r="B7626" t="s">
        <v>8288</v>
      </c>
      <c r="C7626" t="s">
        <v>1644</v>
      </c>
      <c r="D7626" t="s">
        <v>293</v>
      </c>
      <c r="E7626" t="s">
        <v>294</v>
      </c>
      <c r="F7626" t="s">
        <v>8289</v>
      </c>
      <c r="G7626">
        <v>97</v>
      </c>
      <c r="H7626">
        <v>18085.71</v>
      </c>
      <c r="I7626">
        <v>186.45</v>
      </c>
      <c r="J7626">
        <v>0</v>
      </c>
      <c r="K7626">
        <v>0</v>
      </c>
      <c r="L7626">
        <v>0</v>
      </c>
      <c r="M7626">
        <v>97</v>
      </c>
      <c r="N7626">
        <v>18085.71</v>
      </c>
      <c r="O7626">
        <v>186.45</v>
      </c>
    </row>
    <row r="7627" spans="1:15" x14ac:dyDescent="0.35">
      <c r="A7627" t="s">
        <v>8287</v>
      </c>
      <c r="B7627" t="s">
        <v>8288</v>
      </c>
      <c r="C7627" t="s">
        <v>1644</v>
      </c>
      <c r="D7627" t="s">
        <v>293</v>
      </c>
      <c r="E7627" t="s">
        <v>296</v>
      </c>
      <c r="F7627" t="s">
        <v>8290</v>
      </c>
      <c r="G7627">
        <v>181</v>
      </c>
      <c r="H7627">
        <v>45614.51</v>
      </c>
      <c r="I7627">
        <v>252.01</v>
      </c>
      <c r="J7627">
        <v>0</v>
      </c>
      <c r="K7627">
        <v>0</v>
      </c>
      <c r="L7627">
        <v>0</v>
      </c>
      <c r="M7627">
        <v>181</v>
      </c>
      <c r="N7627">
        <v>45614.51</v>
      </c>
      <c r="O7627">
        <v>252.01</v>
      </c>
    </row>
    <row r="7628" spans="1:15" x14ac:dyDescent="0.35">
      <c r="A7628" t="s">
        <v>8287</v>
      </c>
      <c r="B7628" t="s">
        <v>8288</v>
      </c>
      <c r="C7628" t="s">
        <v>1644</v>
      </c>
      <c r="D7628" t="s">
        <v>293</v>
      </c>
      <c r="E7628" t="s">
        <v>298</v>
      </c>
      <c r="F7628" t="s">
        <v>8291</v>
      </c>
      <c r="G7628">
        <v>48</v>
      </c>
      <c r="H7628">
        <v>15191.689999999999</v>
      </c>
      <c r="I7628">
        <v>316.49</v>
      </c>
      <c r="J7628">
        <v>0</v>
      </c>
      <c r="K7628">
        <v>0</v>
      </c>
      <c r="L7628">
        <v>0</v>
      </c>
      <c r="M7628">
        <v>48</v>
      </c>
      <c r="N7628">
        <v>15191.689999999999</v>
      </c>
      <c r="O7628">
        <v>316.49</v>
      </c>
    </row>
    <row r="7629" spans="1:15" x14ac:dyDescent="0.35">
      <c r="A7629" t="s">
        <v>8287</v>
      </c>
      <c r="B7629" t="s">
        <v>8288</v>
      </c>
      <c r="C7629" t="s">
        <v>1644</v>
      </c>
      <c r="D7629" t="s">
        <v>293</v>
      </c>
      <c r="E7629" t="s">
        <v>300</v>
      </c>
      <c r="F7629" t="s">
        <v>8292</v>
      </c>
      <c r="G7629">
        <v>8</v>
      </c>
      <c r="H7629">
        <v>2794.0699999999997</v>
      </c>
      <c r="I7629">
        <v>349.26</v>
      </c>
      <c r="J7629">
        <v>0</v>
      </c>
      <c r="K7629">
        <v>0</v>
      </c>
      <c r="L7629">
        <v>0</v>
      </c>
      <c r="M7629">
        <v>8</v>
      </c>
      <c r="N7629">
        <v>2794.0699999999997</v>
      </c>
      <c r="O7629">
        <v>349.26</v>
      </c>
    </row>
    <row r="7630" spans="1:15" x14ac:dyDescent="0.35">
      <c r="A7630" t="s">
        <v>8287</v>
      </c>
      <c r="B7630" t="s">
        <v>8288</v>
      </c>
      <c r="C7630" t="s">
        <v>1644</v>
      </c>
      <c r="D7630" t="s">
        <v>293</v>
      </c>
      <c r="E7630" t="s">
        <v>302</v>
      </c>
      <c r="F7630" t="s">
        <v>8293</v>
      </c>
      <c r="G7630">
        <v>2</v>
      </c>
      <c r="H7630">
        <v>741.52</v>
      </c>
      <c r="I7630">
        <v>370.76</v>
      </c>
      <c r="J7630">
        <v>0</v>
      </c>
      <c r="K7630">
        <v>0</v>
      </c>
      <c r="L7630">
        <v>0</v>
      </c>
      <c r="M7630">
        <v>2</v>
      </c>
      <c r="N7630">
        <v>741.52</v>
      </c>
      <c r="O7630">
        <v>370.76</v>
      </c>
    </row>
    <row r="7631" spans="1:15" x14ac:dyDescent="0.35">
      <c r="A7631" t="s">
        <v>8287</v>
      </c>
      <c r="B7631" t="s">
        <v>8288</v>
      </c>
      <c r="C7631" t="s">
        <v>1644</v>
      </c>
      <c r="D7631" t="s">
        <v>293</v>
      </c>
      <c r="E7631" t="s">
        <v>304</v>
      </c>
      <c r="F7631" t="s">
        <v>8294</v>
      </c>
      <c r="G7631">
        <v>0</v>
      </c>
      <c r="H7631">
        <v>0</v>
      </c>
      <c r="I7631">
        <v>0</v>
      </c>
      <c r="J7631">
        <v>0</v>
      </c>
      <c r="K7631">
        <v>0</v>
      </c>
      <c r="L7631">
        <v>0</v>
      </c>
      <c r="M7631">
        <v>0</v>
      </c>
      <c r="N7631">
        <v>0</v>
      </c>
      <c r="O7631">
        <v>0</v>
      </c>
    </row>
    <row r="7632" spans="1:15" x14ac:dyDescent="0.35">
      <c r="A7632" t="s">
        <v>8287</v>
      </c>
      <c r="B7632" t="s">
        <v>8288</v>
      </c>
      <c r="C7632" t="s">
        <v>1644</v>
      </c>
      <c r="D7632" t="s">
        <v>293</v>
      </c>
      <c r="E7632" t="s">
        <v>306</v>
      </c>
      <c r="F7632" t="s">
        <v>8295</v>
      </c>
      <c r="G7632">
        <v>1</v>
      </c>
      <c r="H7632">
        <v>184.61</v>
      </c>
      <c r="I7632">
        <v>184.61</v>
      </c>
      <c r="J7632">
        <v>0</v>
      </c>
      <c r="K7632">
        <v>0</v>
      </c>
      <c r="L7632">
        <v>0</v>
      </c>
      <c r="M7632">
        <v>1</v>
      </c>
      <c r="N7632">
        <v>184.61</v>
      </c>
      <c r="O7632">
        <v>184.61</v>
      </c>
    </row>
    <row r="7633" spans="1:15" x14ac:dyDescent="0.35">
      <c r="A7633" t="s">
        <v>8287</v>
      </c>
      <c r="B7633" t="s">
        <v>8288</v>
      </c>
      <c r="C7633" t="s">
        <v>1644</v>
      </c>
      <c r="D7633" t="s">
        <v>293</v>
      </c>
      <c r="E7633" t="s">
        <v>308</v>
      </c>
      <c r="F7633" t="s">
        <v>8296</v>
      </c>
      <c r="G7633">
        <v>0</v>
      </c>
      <c r="H7633">
        <v>0</v>
      </c>
      <c r="I7633">
        <v>0</v>
      </c>
      <c r="J7633">
        <v>0</v>
      </c>
      <c r="K7633">
        <v>0</v>
      </c>
      <c r="L7633">
        <v>0</v>
      </c>
      <c r="M7633">
        <v>0</v>
      </c>
      <c r="N7633">
        <v>0</v>
      </c>
      <c r="O7633">
        <v>0</v>
      </c>
    </row>
    <row r="7634" spans="1:15" x14ac:dyDescent="0.35">
      <c r="A7634" t="s">
        <v>8287</v>
      </c>
      <c r="B7634" t="s">
        <v>8288</v>
      </c>
      <c r="C7634" t="s">
        <v>1644</v>
      </c>
      <c r="D7634" t="s">
        <v>293</v>
      </c>
      <c r="E7634" t="s">
        <v>310</v>
      </c>
      <c r="F7634" t="s">
        <v>8297</v>
      </c>
      <c r="G7634">
        <v>337</v>
      </c>
      <c r="H7634">
        <v>82612.110000000015</v>
      </c>
      <c r="I7634">
        <v>245.14</v>
      </c>
      <c r="J7634">
        <v>0</v>
      </c>
      <c r="K7634">
        <v>0</v>
      </c>
      <c r="L7634">
        <v>0</v>
      </c>
      <c r="M7634">
        <v>337</v>
      </c>
      <c r="N7634">
        <v>82612.110000000015</v>
      </c>
      <c r="O7634">
        <v>245.14</v>
      </c>
    </row>
    <row r="7635" spans="1:15" x14ac:dyDescent="0.35">
      <c r="A7635" t="s">
        <v>8287</v>
      </c>
      <c r="B7635" t="s">
        <v>8288</v>
      </c>
      <c r="C7635" t="s">
        <v>1644</v>
      </c>
      <c r="D7635" t="s">
        <v>293</v>
      </c>
      <c r="E7635" t="s">
        <v>312</v>
      </c>
      <c r="F7635" t="s">
        <v>8298</v>
      </c>
      <c r="G7635">
        <v>337</v>
      </c>
      <c r="H7635">
        <v>82612.110000000015</v>
      </c>
      <c r="I7635">
        <v>245.14</v>
      </c>
      <c r="J7635">
        <v>0</v>
      </c>
      <c r="K7635">
        <v>0</v>
      </c>
      <c r="L7635">
        <v>0</v>
      </c>
      <c r="M7635">
        <v>337</v>
      </c>
      <c r="N7635">
        <v>82612.110000000015</v>
      </c>
      <c r="O7635">
        <v>245.14</v>
      </c>
    </row>
    <row r="7636" spans="1:15" x14ac:dyDescent="0.35">
      <c r="A7636" t="s">
        <v>8287</v>
      </c>
      <c r="B7636" t="s">
        <v>8288</v>
      </c>
      <c r="C7636" t="s">
        <v>1644</v>
      </c>
      <c r="D7636" t="s">
        <v>314</v>
      </c>
      <c r="E7636" t="s">
        <v>294</v>
      </c>
      <c r="F7636" t="s">
        <v>8299</v>
      </c>
      <c r="G7636">
        <v>35</v>
      </c>
      <c r="H7636">
        <v>10051.14</v>
      </c>
      <c r="I7636">
        <v>287.18</v>
      </c>
      <c r="J7636">
        <v>0</v>
      </c>
      <c r="K7636">
        <v>0</v>
      </c>
      <c r="L7636">
        <v>0</v>
      </c>
      <c r="M7636">
        <v>35</v>
      </c>
      <c r="N7636">
        <v>10051.14</v>
      </c>
      <c r="O7636">
        <v>287.18</v>
      </c>
    </row>
    <row r="7637" spans="1:15" x14ac:dyDescent="0.35">
      <c r="A7637" t="s">
        <v>8287</v>
      </c>
      <c r="B7637" t="s">
        <v>8288</v>
      </c>
      <c r="C7637" t="s">
        <v>1644</v>
      </c>
      <c r="D7637" t="s">
        <v>314</v>
      </c>
      <c r="E7637" t="s">
        <v>296</v>
      </c>
      <c r="F7637" t="s">
        <v>8300</v>
      </c>
      <c r="G7637">
        <v>0</v>
      </c>
      <c r="H7637">
        <v>0</v>
      </c>
      <c r="I7637">
        <v>0</v>
      </c>
      <c r="J7637">
        <v>0</v>
      </c>
      <c r="K7637">
        <v>0</v>
      </c>
      <c r="L7637">
        <v>0</v>
      </c>
      <c r="M7637">
        <v>0</v>
      </c>
      <c r="N7637">
        <v>0</v>
      </c>
      <c r="O7637">
        <v>0</v>
      </c>
    </row>
    <row r="7638" spans="1:15" x14ac:dyDescent="0.35">
      <c r="A7638" t="s">
        <v>8287</v>
      </c>
      <c r="B7638" t="s">
        <v>8288</v>
      </c>
      <c r="C7638" t="s">
        <v>1644</v>
      </c>
      <c r="D7638" t="s">
        <v>314</v>
      </c>
      <c r="E7638" t="s">
        <v>298</v>
      </c>
      <c r="F7638" t="s">
        <v>8301</v>
      </c>
      <c r="G7638">
        <v>0</v>
      </c>
      <c r="H7638">
        <v>0</v>
      </c>
      <c r="I7638">
        <v>0</v>
      </c>
      <c r="J7638">
        <v>0</v>
      </c>
      <c r="K7638">
        <v>0</v>
      </c>
      <c r="L7638">
        <v>0</v>
      </c>
      <c r="M7638">
        <v>0</v>
      </c>
      <c r="N7638">
        <v>0</v>
      </c>
      <c r="O7638">
        <v>0</v>
      </c>
    </row>
    <row r="7639" spans="1:15" x14ac:dyDescent="0.35">
      <c r="A7639" t="s">
        <v>8287</v>
      </c>
      <c r="B7639" t="s">
        <v>8288</v>
      </c>
      <c r="C7639" t="s">
        <v>1644</v>
      </c>
      <c r="D7639" t="s">
        <v>314</v>
      </c>
      <c r="E7639" t="s">
        <v>300</v>
      </c>
      <c r="F7639" t="s">
        <v>8302</v>
      </c>
      <c r="G7639">
        <v>0</v>
      </c>
      <c r="H7639">
        <v>0</v>
      </c>
      <c r="I7639">
        <v>0</v>
      </c>
      <c r="J7639">
        <v>0</v>
      </c>
      <c r="K7639">
        <v>0</v>
      </c>
      <c r="L7639">
        <v>0</v>
      </c>
      <c r="M7639">
        <v>0</v>
      </c>
      <c r="N7639">
        <v>0</v>
      </c>
      <c r="O7639">
        <v>0</v>
      </c>
    </row>
    <row r="7640" spans="1:15" x14ac:dyDescent="0.35">
      <c r="A7640" t="s">
        <v>8287</v>
      </c>
      <c r="B7640" t="s">
        <v>8288</v>
      </c>
      <c r="C7640" t="s">
        <v>1644</v>
      </c>
      <c r="D7640" t="s">
        <v>314</v>
      </c>
      <c r="E7640" t="s">
        <v>306</v>
      </c>
      <c r="F7640" t="s">
        <v>8303</v>
      </c>
      <c r="G7640">
        <v>21</v>
      </c>
      <c r="H7640">
        <v>6543.1799999999994</v>
      </c>
      <c r="I7640">
        <v>311.58</v>
      </c>
      <c r="J7640">
        <v>0</v>
      </c>
      <c r="K7640">
        <v>0</v>
      </c>
      <c r="L7640">
        <v>0</v>
      </c>
      <c r="M7640">
        <v>21</v>
      </c>
      <c r="N7640">
        <v>6543.1799999999994</v>
      </c>
      <c r="O7640">
        <v>311.58</v>
      </c>
    </row>
    <row r="7641" spans="1:15" x14ac:dyDescent="0.35">
      <c r="A7641" t="s">
        <v>8287</v>
      </c>
      <c r="B7641" t="s">
        <v>8288</v>
      </c>
      <c r="C7641" t="s">
        <v>1644</v>
      </c>
      <c r="D7641" t="s">
        <v>314</v>
      </c>
      <c r="E7641" t="s">
        <v>308</v>
      </c>
      <c r="F7641" t="s">
        <v>8304</v>
      </c>
      <c r="G7641">
        <v>0</v>
      </c>
      <c r="H7641">
        <v>0</v>
      </c>
      <c r="I7641">
        <v>0</v>
      </c>
      <c r="J7641">
        <v>0</v>
      </c>
      <c r="K7641">
        <v>0</v>
      </c>
      <c r="L7641">
        <v>0</v>
      </c>
      <c r="M7641">
        <v>0</v>
      </c>
      <c r="N7641">
        <v>0</v>
      </c>
      <c r="O7641">
        <v>0</v>
      </c>
    </row>
    <row r="7642" spans="1:15" x14ac:dyDescent="0.35">
      <c r="A7642" t="s">
        <v>8287</v>
      </c>
      <c r="B7642" t="s">
        <v>8288</v>
      </c>
      <c r="C7642" t="s">
        <v>1644</v>
      </c>
      <c r="D7642" t="s">
        <v>314</v>
      </c>
      <c r="E7642" t="s">
        <v>312</v>
      </c>
      <c r="F7642" t="s">
        <v>8305</v>
      </c>
      <c r="G7642">
        <v>56</v>
      </c>
      <c r="H7642">
        <v>16594.32</v>
      </c>
      <c r="I7642">
        <v>296.33</v>
      </c>
      <c r="J7642">
        <v>0</v>
      </c>
      <c r="K7642">
        <v>0</v>
      </c>
      <c r="L7642">
        <v>0</v>
      </c>
      <c r="M7642">
        <v>56</v>
      </c>
      <c r="N7642">
        <v>16594.32</v>
      </c>
      <c r="O7642">
        <v>296.33</v>
      </c>
    </row>
    <row r="7643" spans="1:15" x14ac:dyDescent="0.35">
      <c r="A7643" t="s">
        <v>8287</v>
      </c>
      <c r="B7643" t="s">
        <v>8288</v>
      </c>
      <c r="C7643" t="s">
        <v>1644</v>
      </c>
      <c r="D7643" t="s">
        <v>314</v>
      </c>
      <c r="E7643" t="s">
        <v>310</v>
      </c>
      <c r="F7643" t="s">
        <v>8306</v>
      </c>
      <c r="G7643">
        <v>56</v>
      </c>
      <c r="H7643">
        <v>16594.32</v>
      </c>
      <c r="I7643">
        <v>296.33</v>
      </c>
      <c r="J7643">
        <v>0</v>
      </c>
      <c r="K7643">
        <v>0</v>
      </c>
      <c r="L7643">
        <v>0</v>
      </c>
      <c r="M7643">
        <v>56</v>
      </c>
      <c r="N7643">
        <v>16594.32</v>
      </c>
      <c r="O7643">
        <v>296.33</v>
      </c>
    </row>
    <row r="7644" spans="1:15" x14ac:dyDescent="0.35">
      <c r="A7644" t="s">
        <v>8287</v>
      </c>
      <c r="B7644" t="s">
        <v>8288</v>
      </c>
      <c r="C7644" t="s">
        <v>1644</v>
      </c>
      <c r="D7644" t="s">
        <v>323</v>
      </c>
      <c r="E7644" t="s">
        <v>294</v>
      </c>
      <c r="F7644" t="s">
        <v>8307</v>
      </c>
      <c r="G7644">
        <v>465</v>
      </c>
      <c r="H7644">
        <v>58119.279999999992</v>
      </c>
      <c r="I7644">
        <v>124.99</v>
      </c>
      <c r="J7644">
        <v>0</v>
      </c>
      <c r="K7644">
        <v>0</v>
      </c>
      <c r="L7644">
        <v>0</v>
      </c>
      <c r="M7644">
        <v>465</v>
      </c>
      <c r="N7644">
        <v>58119.279999999992</v>
      </c>
      <c r="O7644">
        <v>124.99</v>
      </c>
    </row>
    <row r="7645" spans="1:15" x14ac:dyDescent="0.35">
      <c r="A7645" t="s">
        <v>8287</v>
      </c>
      <c r="B7645" t="s">
        <v>8288</v>
      </c>
      <c r="C7645" t="s">
        <v>1644</v>
      </c>
      <c r="D7645" t="s">
        <v>323</v>
      </c>
      <c r="E7645" t="s">
        <v>296</v>
      </c>
      <c r="F7645" t="s">
        <v>8308</v>
      </c>
      <c r="G7645">
        <v>653</v>
      </c>
      <c r="H7645">
        <v>94162.23</v>
      </c>
      <c r="I7645">
        <v>144.19999999999999</v>
      </c>
      <c r="J7645">
        <v>0</v>
      </c>
      <c r="K7645">
        <v>0</v>
      </c>
      <c r="L7645">
        <v>0</v>
      </c>
      <c r="M7645">
        <v>653</v>
      </c>
      <c r="N7645">
        <v>94162.23</v>
      </c>
      <c r="O7645">
        <v>144.19999999999999</v>
      </c>
    </row>
    <row r="7646" spans="1:15" x14ac:dyDescent="0.35">
      <c r="A7646" t="s">
        <v>8287</v>
      </c>
      <c r="B7646" t="s">
        <v>8288</v>
      </c>
      <c r="C7646" t="s">
        <v>1644</v>
      </c>
      <c r="D7646" t="s">
        <v>323</v>
      </c>
      <c r="E7646" t="s">
        <v>298</v>
      </c>
      <c r="F7646" t="s">
        <v>8309</v>
      </c>
      <c r="G7646">
        <v>694</v>
      </c>
      <c r="H7646">
        <v>116194.08999999998</v>
      </c>
      <c r="I7646">
        <v>167.43</v>
      </c>
      <c r="J7646">
        <v>0</v>
      </c>
      <c r="K7646">
        <v>0</v>
      </c>
      <c r="L7646">
        <v>0</v>
      </c>
      <c r="M7646">
        <v>694</v>
      </c>
      <c r="N7646">
        <v>116194.08999999998</v>
      </c>
      <c r="O7646">
        <v>167.43</v>
      </c>
    </row>
    <row r="7647" spans="1:15" x14ac:dyDescent="0.35">
      <c r="A7647" t="s">
        <v>8287</v>
      </c>
      <c r="B7647" t="s">
        <v>8288</v>
      </c>
      <c r="C7647" t="s">
        <v>1644</v>
      </c>
      <c r="D7647" t="s">
        <v>323</v>
      </c>
      <c r="E7647" t="s">
        <v>300</v>
      </c>
      <c r="F7647" t="s">
        <v>8310</v>
      </c>
      <c r="G7647">
        <v>54</v>
      </c>
      <c r="H7647">
        <v>10020.780000000001</v>
      </c>
      <c r="I7647">
        <v>185.57</v>
      </c>
      <c r="J7647">
        <v>0</v>
      </c>
      <c r="K7647">
        <v>0</v>
      </c>
      <c r="L7647">
        <v>0</v>
      </c>
      <c r="M7647">
        <v>54</v>
      </c>
      <c r="N7647">
        <v>10020.780000000001</v>
      </c>
      <c r="O7647">
        <v>185.57</v>
      </c>
    </row>
    <row r="7648" spans="1:15" x14ac:dyDescent="0.35">
      <c r="A7648" t="s">
        <v>8287</v>
      </c>
      <c r="B7648" t="s">
        <v>8288</v>
      </c>
      <c r="C7648" t="s">
        <v>1644</v>
      </c>
      <c r="D7648" t="s">
        <v>323</v>
      </c>
      <c r="E7648" t="s">
        <v>302</v>
      </c>
      <c r="F7648" t="s">
        <v>8311</v>
      </c>
      <c r="G7648">
        <v>3</v>
      </c>
      <c r="H7648">
        <v>614.22</v>
      </c>
      <c r="I7648">
        <v>204.74</v>
      </c>
      <c r="J7648">
        <v>0</v>
      </c>
      <c r="K7648">
        <v>0</v>
      </c>
      <c r="L7648">
        <v>0</v>
      </c>
      <c r="M7648">
        <v>3</v>
      </c>
      <c r="N7648">
        <v>614.22</v>
      </c>
      <c r="O7648">
        <v>204.74</v>
      </c>
    </row>
    <row r="7649" spans="1:15" x14ac:dyDescent="0.35">
      <c r="A7649" t="s">
        <v>8287</v>
      </c>
      <c r="B7649" t="s">
        <v>8288</v>
      </c>
      <c r="C7649" t="s">
        <v>1644</v>
      </c>
      <c r="D7649" t="s">
        <v>323</v>
      </c>
      <c r="E7649" t="s">
        <v>304</v>
      </c>
      <c r="F7649" t="s">
        <v>8312</v>
      </c>
      <c r="G7649">
        <v>0</v>
      </c>
      <c r="H7649">
        <v>0</v>
      </c>
      <c r="I7649">
        <v>0</v>
      </c>
      <c r="J7649">
        <v>0</v>
      </c>
      <c r="K7649">
        <v>0</v>
      </c>
      <c r="L7649">
        <v>0</v>
      </c>
      <c r="M7649">
        <v>0</v>
      </c>
      <c r="N7649">
        <v>0</v>
      </c>
      <c r="O7649">
        <v>0</v>
      </c>
    </row>
    <row r="7650" spans="1:15" x14ac:dyDescent="0.35">
      <c r="A7650" t="s">
        <v>8287</v>
      </c>
      <c r="B7650" t="s">
        <v>8288</v>
      </c>
      <c r="C7650" t="s">
        <v>1644</v>
      </c>
      <c r="D7650" t="s">
        <v>323</v>
      </c>
      <c r="E7650" t="s">
        <v>306</v>
      </c>
      <c r="F7650" t="s">
        <v>8313</v>
      </c>
      <c r="G7650">
        <v>43</v>
      </c>
      <c r="H7650">
        <v>8350.6</v>
      </c>
      <c r="I7650">
        <v>194.2</v>
      </c>
      <c r="J7650">
        <v>0</v>
      </c>
      <c r="K7650">
        <v>0</v>
      </c>
      <c r="L7650">
        <v>0</v>
      </c>
      <c r="M7650">
        <v>43</v>
      </c>
      <c r="N7650">
        <v>8350.6</v>
      </c>
      <c r="O7650">
        <v>194.2</v>
      </c>
    </row>
    <row r="7651" spans="1:15" x14ac:dyDescent="0.35">
      <c r="A7651" t="s">
        <v>8287</v>
      </c>
      <c r="B7651" t="s">
        <v>8288</v>
      </c>
      <c r="C7651" t="s">
        <v>1644</v>
      </c>
      <c r="D7651" t="s">
        <v>323</v>
      </c>
      <c r="E7651" t="s">
        <v>308</v>
      </c>
      <c r="F7651" t="s">
        <v>8314</v>
      </c>
      <c r="G7651">
        <v>0</v>
      </c>
      <c r="H7651">
        <v>0</v>
      </c>
      <c r="I7651">
        <v>0</v>
      </c>
      <c r="J7651">
        <v>0</v>
      </c>
      <c r="K7651">
        <v>0</v>
      </c>
      <c r="L7651">
        <v>0</v>
      </c>
      <c r="M7651">
        <v>0</v>
      </c>
      <c r="N7651">
        <v>0</v>
      </c>
      <c r="O7651">
        <v>0</v>
      </c>
    </row>
    <row r="7652" spans="1:15" x14ac:dyDescent="0.35">
      <c r="A7652" t="s">
        <v>8287</v>
      </c>
      <c r="B7652" t="s">
        <v>8288</v>
      </c>
      <c r="C7652" t="s">
        <v>1644</v>
      </c>
      <c r="D7652" t="s">
        <v>323</v>
      </c>
      <c r="E7652" t="s">
        <v>310</v>
      </c>
      <c r="F7652" t="s">
        <v>8315</v>
      </c>
      <c r="G7652">
        <v>1912</v>
      </c>
      <c r="H7652">
        <v>287461.19999999995</v>
      </c>
      <c r="I7652">
        <v>150.35</v>
      </c>
      <c r="J7652">
        <v>0</v>
      </c>
      <c r="K7652">
        <v>0</v>
      </c>
      <c r="L7652">
        <v>0</v>
      </c>
      <c r="M7652">
        <v>1912</v>
      </c>
      <c r="N7652">
        <v>287461.19999999995</v>
      </c>
      <c r="O7652">
        <v>150.35</v>
      </c>
    </row>
    <row r="7653" spans="1:15" x14ac:dyDescent="0.35">
      <c r="A7653" t="s">
        <v>8287</v>
      </c>
      <c r="B7653" t="s">
        <v>8288</v>
      </c>
      <c r="C7653" t="s">
        <v>1644</v>
      </c>
      <c r="D7653" t="s">
        <v>323</v>
      </c>
      <c r="E7653" t="s">
        <v>312</v>
      </c>
      <c r="F7653" t="s">
        <v>8316</v>
      </c>
      <c r="G7653">
        <v>1912</v>
      </c>
      <c r="H7653">
        <v>287461.19999999995</v>
      </c>
      <c r="I7653">
        <v>150.35</v>
      </c>
      <c r="J7653">
        <v>0</v>
      </c>
      <c r="K7653">
        <v>0</v>
      </c>
      <c r="L7653">
        <v>0</v>
      </c>
      <c r="M7653">
        <v>1912</v>
      </c>
      <c r="N7653">
        <v>287461.19999999995</v>
      </c>
      <c r="O7653">
        <v>150.35</v>
      </c>
    </row>
    <row r="7654" spans="1:15" x14ac:dyDescent="0.35">
      <c r="A7654" t="s">
        <v>8287</v>
      </c>
      <c r="B7654" t="s">
        <v>8288</v>
      </c>
      <c r="C7654" t="s">
        <v>1644</v>
      </c>
      <c r="D7654" t="s">
        <v>334</v>
      </c>
      <c r="E7654" t="s">
        <v>312</v>
      </c>
      <c r="F7654" t="s">
        <v>8317</v>
      </c>
      <c r="G7654">
        <v>2296</v>
      </c>
      <c r="H7654">
        <v>370073.30999999994</v>
      </c>
      <c r="I7654">
        <v>164.55</v>
      </c>
      <c r="J7654">
        <v>0</v>
      </c>
      <c r="K7654">
        <v>0</v>
      </c>
      <c r="L7654">
        <v>0</v>
      </c>
      <c r="M7654">
        <v>2296</v>
      </c>
      <c r="N7654">
        <v>370073.30999999994</v>
      </c>
      <c r="O7654">
        <v>164.55</v>
      </c>
    </row>
    <row r="7655" spans="1:15" x14ac:dyDescent="0.35">
      <c r="A7655" t="s">
        <v>8287</v>
      </c>
      <c r="B7655" t="s">
        <v>8288</v>
      </c>
      <c r="C7655" t="s">
        <v>1644</v>
      </c>
      <c r="D7655" t="s">
        <v>334</v>
      </c>
      <c r="E7655" t="s">
        <v>308</v>
      </c>
      <c r="F7655" t="s">
        <v>8318</v>
      </c>
      <c r="G7655">
        <v>0</v>
      </c>
      <c r="H7655">
        <v>0</v>
      </c>
      <c r="I7655">
        <v>0</v>
      </c>
      <c r="J7655">
        <v>0</v>
      </c>
      <c r="K7655">
        <v>0</v>
      </c>
      <c r="L7655">
        <v>0</v>
      </c>
      <c r="M7655">
        <v>0</v>
      </c>
      <c r="N7655">
        <v>0</v>
      </c>
      <c r="O7655">
        <v>0</v>
      </c>
    </row>
    <row r="7656" spans="1:15" x14ac:dyDescent="0.35">
      <c r="A7656" t="s">
        <v>8287</v>
      </c>
      <c r="B7656" t="s">
        <v>8288</v>
      </c>
      <c r="C7656" t="s">
        <v>1644</v>
      </c>
      <c r="D7656" t="s">
        <v>337</v>
      </c>
      <c r="E7656" t="s">
        <v>337</v>
      </c>
      <c r="F7656" t="s">
        <v>8319</v>
      </c>
      <c r="G7656">
        <v>347</v>
      </c>
      <c r="J7656">
        <v>0</v>
      </c>
      <c r="M7656">
        <v>347</v>
      </c>
    </row>
    <row r="7657" spans="1:15" x14ac:dyDescent="0.35">
      <c r="A7657" t="s">
        <v>8287</v>
      </c>
      <c r="B7657" t="s">
        <v>8288</v>
      </c>
      <c r="C7657" t="s">
        <v>1644</v>
      </c>
      <c r="D7657" t="s">
        <v>339</v>
      </c>
      <c r="E7657" t="s">
        <v>294</v>
      </c>
      <c r="F7657" t="s">
        <v>8320</v>
      </c>
      <c r="G7657">
        <v>251</v>
      </c>
      <c r="H7657">
        <v>35370.520000000004</v>
      </c>
      <c r="I7657">
        <v>140.91999999999999</v>
      </c>
      <c r="J7657">
        <v>0</v>
      </c>
      <c r="K7657">
        <v>0</v>
      </c>
      <c r="L7657">
        <v>0</v>
      </c>
      <c r="M7657">
        <v>251</v>
      </c>
      <c r="N7657">
        <v>35370.520000000004</v>
      </c>
      <c r="O7657">
        <v>140.91999999999999</v>
      </c>
    </row>
    <row r="7658" spans="1:15" x14ac:dyDescent="0.35">
      <c r="A7658" t="s">
        <v>8287</v>
      </c>
      <c r="B7658" t="s">
        <v>8288</v>
      </c>
      <c r="C7658" t="s">
        <v>1644</v>
      </c>
      <c r="D7658" t="s">
        <v>339</v>
      </c>
      <c r="E7658" t="s">
        <v>296</v>
      </c>
      <c r="F7658" t="s">
        <v>8321</v>
      </c>
      <c r="G7658">
        <v>7</v>
      </c>
      <c r="H7658">
        <v>1054.33</v>
      </c>
      <c r="I7658">
        <v>150.62</v>
      </c>
      <c r="J7658">
        <v>0</v>
      </c>
      <c r="K7658">
        <v>0</v>
      </c>
      <c r="L7658">
        <v>0</v>
      </c>
      <c r="M7658">
        <v>7</v>
      </c>
      <c r="N7658">
        <v>1054.33</v>
      </c>
      <c r="O7658">
        <v>150.62</v>
      </c>
    </row>
    <row r="7659" spans="1:15" x14ac:dyDescent="0.35">
      <c r="A7659" t="s">
        <v>8287</v>
      </c>
      <c r="B7659" t="s">
        <v>8288</v>
      </c>
      <c r="C7659" t="s">
        <v>1644</v>
      </c>
      <c r="D7659" t="s">
        <v>339</v>
      </c>
      <c r="E7659" t="s">
        <v>298</v>
      </c>
      <c r="F7659" t="s">
        <v>8322</v>
      </c>
      <c r="G7659">
        <v>0</v>
      </c>
      <c r="H7659">
        <v>0</v>
      </c>
      <c r="I7659">
        <v>0</v>
      </c>
      <c r="J7659">
        <v>0</v>
      </c>
      <c r="K7659">
        <v>0</v>
      </c>
      <c r="L7659">
        <v>0</v>
      </c>
      <c r="M7659">
        <v>0</v>
      </c>
      <c r="N7659">
        <v>0</v>
      </c>
      <c r="O7659">
        <v>0</v>
      </c>
    </row>
    <row r="7660" spans="1:15" x14ac:dyDescent="0.35">
      <c r="A7660" t="s">
        <v>8287</v>
      </c>
      <c r="B7660" t="s">
        <v>8288</v>
      </c>
      <c r="C7660" t="s">
        <v>1644</v>
      </c>
      <c r="D7660" t="s">
        <v>339</v>
      </c>
      <c r="E7660" t="s">
        <v>300</v>
      </c>
      <c r="F7660" t="s">
        <v>8323</v>
      </c>
      <c r="G7660">
        <v>0</v>
      </c>
      <c r="H7660">
        <v>0</v>
      </c>
      <c r="I7660">
        <v>0</v>
      </c>
      <c r="J7660">
        <v>0</v>
      </c>
      <c r="K7660">
        <v>0</v>
      </c>
      <c r="L7660">
        <v>0</v>
      </c>
      <c r="M7660">
        <v>0</v>
      </c>
      <c r="N7660">
        <v>0</v>
      </c>
      <c r="O7660">
        <v>0</v>
      </c>
    </row>
    <row r="7661" spans="1:15" x14ac:dyDescent="0.35">
      <c r="A7661" t="s">
        <v>8287</v>
      </c>
      <c r="B7661" t="s">
        <v>8288</v>
      </c>
      <c r="C7661" t="s">
        <v>1644</v>
      </c>
      <c r="D7661" t="s">
        <v>339</v>
      </c>
      <c r="E7661" t="s">
        <v>306</v>
      </c>
      <c r="F7661" t="s">
        <v>8324</v>
      </c>
      <c r="G7661">
        <v>51</v>
      </c>
      <c r="H7661">
        <v>5948.3099999999995</v>
      </c>
      <c r="I7661">
        <v>116.63</v>
      </c>
      <c r="J7661">
        <v>0</v>
      </c>
      <c r="K7661">
        <v>0</v>
      </c>
      <c r="L7661">
        <v>0</v>
      </c>
      <c r="M7661">
        <v>51</v>
      </c>
      <c r="N7661">
        <v>5948.3099999999995</v>
      </c>
      <c r="O7661">
        <v>116.63</v>
      </c>
    </row>
    <row r="7662" spans="1:15" x14ac:dyDescent="0.35">
      <c r="A7662" t="s">
        <v>8287</v>
      </c>
      <c r="B7662" t="s">
        <v>8288</v>
      </c>
      <c r="C7662" t="s">
        <v>1644</v>
      </c>
      <c r="D7662" t="s">
        <v>339</v>
      </c>
      <c r="E7662" t="s">
        <v>308</v>
      </c>
      <c r="F7662" t="s">
        <v>8325</v>
      </c>
      <c r="G7662">
        <v>23</v>
      </c>
      <c r="H7662">
        <v>4958.78</v>
      </c>
      <c r="I7662">
        <v>215.6</v>
      </c>
      <c r="J7662">
        <v>0</v>
      </c>
      <c r="K7662">
        <v>0</v>
      </c>
      <c r="L7662">
        <v>0</v>
      </c>
      <c r="M7662">
        <v>23</v>
      </c>
      <c r="N7662">
        <v>4958.78</v>
      </c>
      <c r="O7662">
        <v>215.6</v>
      </c>
    </row>
    <row r="7663" spans="1:15" x14ac:dyDescent="0.35">
      <c r="A7663" t="s">
        <v>8287</v>
      </c>
      <c r="B7663" t="s">
        <v>8288</v>
      </c>
      <c r="C7663" t="s">
        <v>1644</v>
      </c>
      <c r="D7663" t="s">
        <v>339</v>
      </c>
      <c r="E7663" t="s">
        <v>310</v>
      </c>
      <c r="F7663" t="s">
        <v>8326</v>
      </c>
      <c r="G7663">
        <v>332</v>
      </c>
      <c r="H7663">
        <v>47331.94</v>
      </c>
      <c r="I7663">
        <v>142.57</v>
      </c>
      <c r="J7663">
        <v>0</v>
      </c>
      <c r="K7663">
        <v>0</v>
      </c>
      <c r="L7663">
        <v>0</v>
      </c>
      <c r="M7663">
        <v>332</v>
      </c>
      <c r="N7663">
        <v>47331.94</v>
      </c>
      <c r="O7663">
        <v>142.57</v>
      </c>
    </row>
    <row r="7664" spans="1:15" x14ac:dyDescent="0.35">
      <c r="A7664" t="s">
        <v>8287</v>
      </c>
      <c r="B7664" t="s">
        <v>8288</v>
      </c>
      <c r="C7664" t="s">
        <v>1644</v>
      </c>
      <c r="D7664" t="s">
        <v>339</v>
      </c>
      <c r="E7664" t="s">
        <v>312</v>
      </c>
      <c r="F7664" t="s">
        <v>8327</v>
      </c>
      <c r="G7664">
        <v>309</v>
      </c>
      <c r="H7664">
        <v>42373.16</v>
      </c>
      <c r="I7664">
        <v>137.13</v>
      </c>
      <c r="J7664">
        <v>0</v>
      </c>
      <c r="K7664">
        <v>0</v>
      </c>
      <c r="L7664">
        <v>0</v>
      </c>
      <c r="M7664">
        <v>309</v>
      </c>
      <c r="N7664">
        <v>42373.16</v>
      </c>
      <c r="O7664">
        <v>137.13</v>
      </c>
    </row>
    <row r="7665" spans="1:15" x14ac:dyDescent="0.35">
      <c r="A7665" t="s">
        <v>8287</v>
      </c>
      <c r="B7665" t="s">
        <v>8288</v>
      </c>
      <c r="C7665" t="s">
        <v>1644</v>
      </c>
      <c r="D7665" t="s">
        <v>348</v>
      </c>
      <c r="E7665" t="s">
        <v>349</v>
      </c>
      <c r="F7665" t="s">
        <v>8328</v>
      </c>
      <c r="G7665">
        <v>555</v>
      </c>
      <c r="H7665">
        <v>63926.26</v>
      </c>
      <c r="I7665">
        <v>164.76</v>
      </c>
      <c r="J7665">
        <v>0</v>
      </c>
      <c r="K7665">
        <v>0</v>
      </c>
      <c r="L7665">
        <v>0</v>
      </c>
      <c r="M7665">
        <v>555</v>
      </c>
      <c r="N7665">
        <v>63926.26</v>
      </c>
      <c r="O7665">
        <v>164.76</v>
      </c>
    </row>
    <row r="7666" spans="1:15" x14ac:dyDescent="0.35">
      <c r="A7666" t="s">
        <v>8329</v>
      </c>
      <c r="B7666" t="s">
        <v>8330</v>
      </c>
      <c r="C7666" t="s">
        <v>1644</v>
      </c>
      <c r="D7666" t="s">
        <v>293</v>
      </c>
      <c r="E7666" t="s">
        <v>294</v>
      </c>
      <c r="F7666" t="s">
        <v>8331</v>
      </c>
      <c r="G7666">
        <v>238</v>
      </c>
      <c r="H7666">
        <v>44279.880000000005</v>
      </c>
      <c r="I7666">
        <v>186.05</v>
      </c>
      <c r="J7666">
        <v>64</v>
      </c>
      <c r="K7666">
        <v>11331.84</v>
      </c>
      <c r="L7666">
        <v>177.06</v>
      </c>
      <c r="M7666">
        <v>302</v>
      </c>
      <c r="N7666">
        <v>55611.72</v>
      </c>
      <c r="O7666">
        <v>184.14</v>
      </c>
    </row>
    <row r="7667" spans="1:15" x14ac:dyDescent="0.35">
      <c r="A7667" t="s">
        <v>8329</v>
      </c>
      <c r="B7667" t="s">
        <v>8330</v>
      </c>
      <c r="C7667" t="s">
        <v>1644</v>
      </c>
      <c r="D7667" t="s">
        <v>293</v>
      </c>
      <c r="E7667" t="s">
        <v>296</v>
      </c>
      <c r="F7667" t="s">
        <v>8332</v>
      </c>
      <c r="G7667">
        <v>320</v>
      </c>
      <c r="H7667">
        <v>73614.00999999998</v>
      </c>
      <c r="I7667">
        <v>230.04</v>
      </c>
      <c r="J7667">
        <v>87</v>
      </c>
      <c r="K7667">
        <v>18826.8</v>
      </c>
      <c r="L7667">
        <v>216.4</v>
      </c>
      <c r="M7667">
        <v>407</v>
      </c>
      <c r="N7667">
        <v>92440.809999999983</v>
      </c>
      <c r="O7667">
        <v>227.13</v>
      </c>
    </row>
    <row r="7668" spans="1:15" x14ac:dyDescent="0.35">
      <c r="A7668" t="s">
        <v>8329</v>
      </c>
      <c r="B7668" t="s">
        <v>8330</v>
      </c>
      <c r="C7668" t="s">
        <v>1644</v>
      </c>
      <c r="D7668" t="s">
        <v>293</v>
      </c>
      <c r="E7668" t="s">
        <v>298</v>
      </c>
      <c r="F7668" t="s">
        <v>8333</v>
      </c>
      <c r="G7668">
        <v>101</v>
      </c>
      <c r="H7668">
        <v>27983.890000000003</v>
      </c>
      <c r="I7668">
        <v>277.07</v>
      </c>
      <c r="J7668">
        <v>49</v>
      </c>
      <c r="K7668">
        <v>12004.019999999999</v>
      </c>
      <c r="L7668">
        <v>244.98</v>
      </c>
      <c r="M7668">
        <v>150</v>
      </c>
      <c r="N7668">
        <v>39987.910000000003</v>
      </c>
      <c r="O7668">
        <v>266.58999999999997</v>
      </c>
    </row>
    <row r="7669" spans="1:15" x14ac:dyDescent="0.35">
      <c r="A7669" t="s">
        <v>8329</v>
      </c>
      <c r="B7669" t="s">
        <v>8330</v>
      </c>
      <c r="C7669" t="s">
        <v>1644</v>
      </c>
      <c r="D7669" t="s">
        <v>293</v>
      </c>
      <c r="E7669" t="s">
        <v>300</v>
      </c>
      <c r="F7669" t="s">
        <v>8334</v>
      </c>
      <c r="G7669">
        <v>5</v>
      </c>
      <c r="H7669">
        <v>2041.87</v>
      </c>
      <c r="I7669">
        <v>408.37</v>
      </c>
      <c r="J7669">
        <v>4</v>
      </c>
      <c r="K7669">
        <v>1077.6400000000001</v>
      </c>
      <c r="L7669">
        <v>269.41000000000003</v>
      </c>
      <c r="M7669">
        <v>9</v>
      </c>
      <c r="N7669">
        <v>3119.51</v>
      </c>
      <c r="O7669">
        <v>346.61</v>
      </c>
    </row>
    <row r="7670" spans="1:15" x14ac:dyDescent="0.35">
      <c r="A7670" t="s">
        <v>8329</v>
      </c>
      <c r="B7670" t="s">
        <v>8330</v>
      </c>
      <c r="C7670" t="s">
        <v>1644</v>
      </c>
      <c r="D7670" t="s">
        <v>293</v>
      </c>
      <c r="E7670" t="s">
        <v>302</v>
      </c>
      <c r="F7670" t="s">
        <v>8335</v>
      </c>
      <c r="G7670">
        <v>0</v>
      </c>
      <c r="H7670">
        <v>0</v>
      </c>
      <c r="I7670">
        <v>0</v>
      </c>
      <c r="J7670">
        <v>0</v>
      </c>
      <c r="K7670">
        <v>0</v>
      </c>
      <c r="L7670">
        <v>0</v>
      </c>
      <c r="M7670">
        <v>0</v>
      </c>
      <c r="N7670">
        <v>0</v>
      </c>
      <c r="O7670">
        <v>0</v>
      </c>
    </row>
    <row r="7671" spans="1:15" x14ac:dyDescent="0.35">
      <c r="A7671" t="s">
        <v>8329</v>
      </c>
      <c r="B7671" t="s">
        <v>8330</v>
      </c>
      <c r="C7671" t="s">
        <v>1644</v>
      </c>
      <c r="D7671" t="s">
        <v>293</v>
      </c>
      <c r="E7671" t="s">
        <v>304</v>
      </c>
      <c r="F7671" t="s">
        <v>8336</v>
      </c>
      <c r="G7671">
        <v>0</v>
      </c>
      <c r="H7671">
        <v>0</v>
      </c>
      <c r="I7671">
        <v>0</v>
      </c>
      <c r="J7671">
        <v>0</v>
      </c>
      <c r="K7671">
        <v>0</v>
      </c>
      <c r="L7671">
        <v>0</v>
      </c>
      <c r="M7671">
        <v>0</v>
      </c>
      <c r="N7671">
        <v>0</v>
      </c>
      <c r="O7671">
        <v>0</v>
      </c>
    </row>
    <row r="7672" spans="1:15" x14ac:dyDescent="0.35">
      <c r="A7672" t="s">
        <v>8329</v>
      </c>
      <c r="B7672" t="s">
        <v>8330</v>
      </c>
      <c r="C7672" t="s">
        <v>1644</v>
      </c>
      <c r="D7672" t="s">
        <v>293</v>
      </c>
      <c r="E7672" t="s">
        <v>306</v>
      </c>
      <c r="F7672" t="s">
        <v>8337</v>
      </c>
      <c r="G7672">
        <v>0</v>
      </c>
      <c r="H7672">
        <v>0</v>
      </c>
      <c r="I7672">
        <v>0</v>
      </c>
      <c r="J7672">
        <v>1</v>
      </c>
      <c r="K7672">
        <v>129.22999999999999</v>
      </c>
      <c r="L7672">
        <v>129.22999999999999</v>
      </c>
      <c r="M7672">
        <v>1</v>
      </c>
      <c r="N7672">
        <v>129.22999999999999</v>
      </c>
      <c r="O7672">
        <v>129.22999999999999</v>
      </c>
    </row>
    <row r="7673" spans="1:15" x14ac:dyDescent="0.35">
      <c r="A7673" t="s">
        <v>8329</v>
      </c>
      <c r="B7673" t="s">
        <v>8330</v>
      </c>
      <c r="C7673" t="s">
        <v>1644</v>
      </c>
      <c r="D7673" t="s">
        <v>293</v>
      </c>
      <c r="E7673" t="s">
        <v>308</v>
      </c>
      <c r="F7673" t="s">
        <v>8338</v>
      </c>
      <c r="G7673">
        <v>0</v>
      </c>
      <c r="H7673">
        <v>0</v>
      </c>
      <c r="I7673">
        <v>0</v>
      </c>
      <c r="J7673">
        <v>0</v>
      </c>
      <c r="K7673">
        <v>0</v>
      </c>
      <c r="L7673">
        <v>0</v>
      </c>
      <c r="M7673">
        <v>0</v>
      </c>
      <c r="N7673">
        <v>0</v>
      </c>
      <c r="O7673">
        <v>0</v>
      </c>
    </row>
    <row r="7674" spans="1:15" x14ac:dyDescent="0.35">
      <c r="A7674" t="s">
        <v>8329</v>
      </c>
      <c r="B7674" t="s">
        <v>8330</v>
      </c>
      <c r="C7674" t="s">
        <v>1644</v>
      </c>
      <c r="D7674" t="s">
        <v>293</v>
      </c>
      <c r="E7674" t="s">
        <v>310</v>
      </c>
      <c r="F7674" t="s">
        <v>8339</v>
      </c>
      <c r="G7674">
        <v>664</v>
      </c>
      <c r="H7674">
        <v>147919.65</v>
      </c>
      <c r="I7674">
        <v>222.77</v>
      </c>
      <c r="J7674">
        <v>205</v>
      </c>
      <c r="K7674">
        <v>43369.53</v>
      </c>
      <c r="L7674">
        <v>211.56</v>
      </c>
      <c r="M7674">
        <v>869</v>
      </c>
      <c r="N7674">
        <v>191289.18</v>
      </c>
      <c r="O7674">
        <v>220.13</v>
      </c>
    </row>
    <row r="7675" spans="1:15" x14ac:dyDescent="0.35">
      <c r="A7675" t="s">
        <v>8329</v>
      </c>
      <c r="B7675" t="s">
        <v>8330</v>
      </c>
      <c r="C7675" t="s">
        <v>1644</v>
      </c>
      <c r="D7675" t="s">
        <v>293</v>
      </c>
      <c r="E7675" t="s">
        <v>312</v>
      </c>
      <c r="F7675" t="s">
        <v>8340</v>
      </c>
      <c r="G7675">
        <v>664</v>
      </c>
      <c r="H7675">
        <v>147919.65</v>
      </c>
      <c r="I7675">
        <v>222.77</v>
      </c>
      <c r="J7675">
        <v>205</v>
      </c>
      <c r="K7675">
        <v>43369.53</v>
      </c>
      <c r="L7675">
        <v>211.56</v>
      </c>
      <c r="M7675">
        <v>869</v>
      </c>
      <c r="N7675">
        <v>191289.18</v>
      </c>
      <c r="O7675">
        <v>220.13</v>
      </c>
    </row>
    <row r="7676" spans="1:15" x14ac:dyDescent="0.35">
      <c r="A7676" t="s">
        <v>8329</v>
      </c>
      <c r="B7676" t="s">
        <v>8330</v>
      </c>
      <c r="C7676" t="s">
        <v>1644</v>
      </c>
      <c r="D7676" t="s">
        <v>314</v>
      </c>
      <c r="E7676" t="s">
        <v>294</v>
      </c>
      <c r="F7676" t="s">
        <v>8341</v>
      </c>
      <c r="G7676">
        <v>5</v>
      </c>
      <c r="H7676">
        <v>904.55</v>
      </c>
      <c r="I7676">
        <v>180.91</v>
      </c>
      <c r="J7676">
        <v>0</v>
      </c>
      <c r="K7676">
        <v>0</v>
      </c>
      <c r="L7676">
        <v>0</v>
      </c>
      <c r="M7676">
        <v>5</v>
      </c>
      <c r="N7676">
        <v>904.55</v>
      </c>
      <c r="O7676">
        <v>180.91</v>
      </c>
    </row>
    <row r="7677" spans="1:15" x14ac:dyDescent="0.35">
      <c r="A7677" t="s">
        <v>8329</v>
      </c>
      <c r="B7677" t="s">
        <v>8330</v>
      </c>
      <c r="C7677" t="s">
        <v>1644</v>
      </c>
      <c r="D7677" t="s">
        <v>314</v>
      </c>
      <c r="E7677" t="s">
        <v>296</v>
      </c>
      <c r="F7677" t="s">
        <v>8342</v>
      </c>
      <c r="G7677">
        <v>0</v>
      </c>
      <c r="H7677">
        <v>0</v>
      </c>
      <c r="I7677">
        <v>0</v>
      </c>
      <c r="J7677">
        <v>0</v>
      </c>
      <c r="K7677">
        <v>0</v>
      </c>
      <c r="L7677">
        <v>0</v>
      </c>
      <c r="M7677">
        <v>0</v>
      </c>
      <c r="N7677">
        <v>0</v>
      </c>
      <c r="O7677">
        <v>0</v>
      </c>
    </row>
    <row r="7678" spans="1:15" x14ac:dyDescent="0.35">
      <c r="A7678" t="s">
        <v>8329</v>
      </c>
      <c r="B7678" t="s">
        <v>8330</v>
      </c>
      <c r="C7678" t="s">
        <v>1644</v>
      </c>
      <c r="D7678" t="s">
        <v>314</v>
      </c>
      <c r="E7678" t="s">
        <v>298</v>
      </c>
      <c r="F7678" t="s">
        <v>8343</v>
      </c>
      <c r="G7678">
        <v>0</v>
      </c>
      <c r="H7678">
        <v>0</v>
      </c>
      <c r="I7678">
        <v>0</v>
      </c>
      <c r="J7678">
        <v>0</v>
      </c>
      <c r="K7678">
        <v>0</v>
      </c>
      <c r="L7678">
        <v>0</v>
      </c>
      <c r="M7678">
        <v>0</v>
      </c>
      <c r="N7678">
        <v>0</v>
      </c>
      <c r="O7678">
        <v>0</v>
      </c>
    </row>
    <row r="7679" spans="1:15" x14ac:dyDescent="0.35">
      <c r="A7679" t="s">
        <v>8329</v>
      </c>
      <c r="B7679" t="s">
        <v>8330</v>
      </c>
      <c r="C7679" t="s">
        <v>1644</v>
      </c>
      <c r="D7679" t="s">
        <v>314</v>
      </c>
      <c r="E7679" t="s">
        <v>300</v>
      </c>
      <c r="F7679" t="s">
        <v>8344</v>
      </c>
      <c r="G7679">
        <v>0</v>
      </c>
      <c r="H7679">
        <v>0</v>
      </c>
      <c r="I7679">
        <v>0</v>
      </c>
      <c r="J7679">
        <v>0</v>
      </c>
      <c r="K7679">
        <v>0</v>
      </c>
      <c r="L7679">
        <v>0</v>
      </c>
      <c r="M7679">
        <v>0</v>
      </c>
      <c r="N7679">
        <v>0</v>
      </c>
      <c r="O7679">
        <v>0</v>
      </c>
    </row>
    <row r="7680" spans="1:15" x14ac:dyDescent="0.35">
      <c r="A7680" t="s">
        <v>8329</v>
      </c>
      <c r="B7680" t="s">
        <v>8330</v>
      </c>
      <c r="C7680" t="s">
        <v>1644</v>
      </c>
      <c r="D7680" t="s">
        <v>314</v>
      </c>
      <c r="E7680" t="s">
        <v>306</v>
      </c>
      <c r="F7680" t="s">
        <v>8345</v>
      </c>
      <c r="G7680">
        <v>22</v>
      </c>
      <c r="H7680">
        <v>8646</v>
      </c>
      <c r="I7680">
        <v>393</v>
      </c>
      <c r="J7680">
        <v>0</v>
      </c>
      <c r="K7680">
        <v>0</v>
      </c>
      <c r="L7680">
        <v>0</v>
      </c>
      <c r="M7680">
        <v>22</v>
      </c>
      <c r="N7680">
        <v>8646</v>
      </c>
      <c r="O7680">
        <v>393</v>
      </c>
    </row>
    <row r="7681" spans="1:15" x14ac:dyDescent="0.35">
      <c r="A7681" t="s">
        <v>8329</v>
      </c>
      <c r="B7681" t="s">
        <v>8330</v>
      </c>
      <c r="C7681" t="s">
        <v>1644</v>
      </c>
      <c r="D7681" t="s">
        <v>314</v>
      </c>
      <c r="E7681" t="s">
        <v>308</v>
      </c>
      <c r="F7681" t="s">
        <v>8346</v>
      </c>
      <c r="G7681">
        <v>11</v>
      </c>
      <c r="H7681">
        <v>4367</v>
      </c>
      <c r="I7681">
        <v>397</v>
      </c>
      <c r="J7681">
        <v>0</v>
      </c>
      <c r="K7681">
        <v>0</v>
      </c>
      <c r="L7681">
        <v>0</v>
      </c>
      <c r="M7681">
        <v>11</v>
      </c>
      <c r="N7681">
        <v>4367</v>
      </c>
      <c r="O7681">
        <v>397</v>
      </c>
    </row>
    <row r="7682" spans="1:15" x14ac:dyDescent="0.35">
      <c r="A7682" t="s">
        <v>8329</v>
      </c>
      <c r="B7682" t="s">
        <v>8330</v>
      </c>
      <c r="C7682" t="s">
        <v>1644</v>
      </c>
      <c r="D7682" t="s">
        <v>314</v>
      </c>
      <c r="E7682" t="s">
        <v>312</v>
      </c>
      <c r="F7682" t="s">
        <v>8347</v>
      </c>
      <c r="G7682">
        <v>27</v>
      </c>
      <c r="H7682">
        <v>9550.5499999999993</v>
      </c>
      <c r="I7682">
        <v>353.72</v>
      </c>
      <c r="J7682">
        <v>0</v>
      </c>
      <c r="K7682">
        <v>0</v>
      </c>
      <c r="L7682">
        <v>0</v>
      </c>
      <c r="M7682">
        <v>27</v>
      </c>
      <c r="N7682">
        <v>9550.5499999999993</v>
      </c>
      <c r="O7682">
        <v>353.72</v>
      </c>
    </row>
    <row r="7683" spans="1:15" x14ac:dyDescent="0.35">
      <c r="A7683" t="s">
        <v>8329</v>
      </c>
      <c r="B7683" t="s">
        <v>8330</v>
      </c>
      <c r="C7683" t="s">
        <v>1644</v>
      </c>
      <c r="D7683" t="s">
        <v>314</v>
      </c>
      <c r="E7683" t="s">
        <v>310</v>
      </c>
      <c r="F7683" t="s">
        <v>8348</v>
      </c>
      <c r="G7683">
        <v>38</v>
      </c>
      <c r="H7683">
        <v>13917.55</v>
      </c>
      <c r="I7683">
        <v>366.25</v>
      </c>
      <c r="J7683">
        <v>0</v>
      </c>
      <c r="K7683">
        <v>0</v>
      </c>
      <c r="L7683">
        <v>0</v>
      </c>
      <c r="M7683">
        <v>38</v>
      </c>
      <c r="N7683">
        <v>13917.55</v>
      </c>
      <c r="O7683">
        <v>366.25</v>
      </c>
    </row>
    <row r="7684" spans="1:15" x14ac:dyDescent="0.35">
      <c r="A7684" t="s">
        <v>8329</v>
      </c>
      <c r="B7684" t="s">
        <v>8330</v>
      </c>
      <c r="C7684" t="s">
        <v>1644</v>
      </c>
      <c r="D7684" t="s">
        <v>323</v>
      </c>
      <c r="E7684" t="s">
        <v>294</v>
      </c>
      <c r="F7684" t="s">
        <v>8349</v>
      </c>
      <c r="G7684">
        <v>344</v>
      </c>
      <c r="H7684">
        <v>43502.520000000004</v>
      </c>
      <c r="I7684">
        <v>126.46</v>
      </c>
      <c r="J7684">
        <v>1407</v>
      </c>
      <c r="K7684">
        <v>159919.62</v>
      </c>
      <c r="L7684">
        <v>113.66</v>
      </c>
      <c r="M7684">
        <v>1751</v>
      </c>
      <c r="N7684">
        <v>203422.14</v>
      </c>
      <c r="O7684">
        <v>116.17</v>
      </c>
    </row>
    <row r="7685" spans="1:15" x14ac:dyDescent="0.35">
      <c r="A7685" t="s">
        <v>8329</v>
      </c>
      <c r="B7685" t="s">
        <v>8330</v>
      </c>
      <c r="C7685" t="s">
        <v>1644</v>
      </c>
      <c r="D7685" t="s">
        <v>323</v>
      </c>
      <c r="E7685" t="s">
        <v>296</v>
      </c>
      <c r="F7685" t="s">
        <v>8350</v>
      </c>
      <c r="G7685">
        <v>625</v>
      </c>
      <c r="H7685">
        <v>94603.779999999984</v>
      </c>
      <c r="I7685">
        <v>151.37</v>
      </c>
      <c r="J7685">
        <v>1444</v>
      </c>
      <c r="K7685">
        <v>196095.2</v>
      </c>
      <c r="L7685">
        <v>135.80000000000001</v>
      </c>
      <c r="M7685">
        <v>2069</v>
      </c>
      <c r="N7685">
        <v>290698.98</v>
      </c>
      <c r="O7685">
        <v>140.5</v>
      </c>
    </row>
    <row r="7686" spans="1:15" x14ac:dyDescent="0.35">
      <c r="A7686" t="s">
        <v>8329</v>
      </c>
      <c r="B7686" t="s">
        <v>8330</v>
      </c>
      <c r="C7686" t="s">
        <v>1644</v>
      </c>
      <c r="D7686" t="s">
        <v>323</v>
      </c>
      <c r="E7686" t="s">
        <v>298</v>
      </c>
      <c r="F7686" t="s">
        <v>8351</v>
      </c>
      <c r="G7686">
        <v>459</v>
      </c>
      <c r="H7686">
        <v>77205.169999999984</v>
      </c>
      <c r="I7686">
        <v>168.2</v>
      </c>
      <c r="J7686">
        <v>1556</v>
      </c>
      <c r="K7686">
        <v>239764.04</v>
      </c>
      <c r="L7686">
        <v>154.09</v>
      </c>
      <c r="M7686">
        <v>2015</v>
      </c>
      <c r="N7686">
        <v>316969.20999999996</v>
      </c>
      <c r="O7686">
        <v>157.30000000000001</v>
      </c>
    </row>
    <row r="7687" spans="1:15" x14ac:dyDescent="0.35">
      <c r="A7687" t="s">
        <v>8329</v>
      </c>
      <c r="B7687" t="s">
        <v>8330</v>
      </c>
      <c r="C7687" t="s">
        <v>1644</v>
      </c>
      <c r="D7687" t="s">
        <v>323</v>
      </c>
      <c r="E7687" t="s">
        <v>300</v>
      </c>
      <c r="F7687" t="s">
        <v>8352</v>
      </c>
      <c r="G7687">
        <v>53</v>
      </c>
      <c r="H7687">
        <v>9975.4399999999987</v>
      </c>
      <c r="I7687">
        <v>188.22</v>
      </c>
      <c r="J7687">
        <v>71</v>
      </c>
      <c r="K7687">
        <v>11802.33</v>
      </c>
      <c r="L7687">
        <v>166.23</v>
      </c>
      <c r="M7687">
        <v>124</v>
      </c>
      <c r="N7687">
        <v>21777.769999999997</v>
      </c>
      <c r="O7687">
        <v>175.63</v>
      </c>
    </row>
    <row r="7688" spans="1:15" x14ac:dyDescent="0.35">
      <c r="A7688" t="s">
        <v>8329</v>
      </c>
      <c r="B7688" t="s">
        <v>8330</v>
      </c>
      <c r="C7688" t="s">
        <v>1644</v>
      </c>
      <c r="D7688" t="s">
        <v>323</v>
      </c>
      <c r="E7688" t="s">
        <v>302</v>
      </c>
      <c r="F7688" t="s">
        <v>8353</v>
      </c>
      <c r="G7688">
        <v>1</v>
      </c>
      <c r="H7688">
        <v>208.84</v>
      </c>
      <c r="I7688">
        <v>208.84</v>
      </c>
      <c r="J7688">
        <v>2</v>
      </c>
      <c r="K7688">
        <v>354.32</v>
      </c>
      <c r="L7688">
        <v>177.16</v>
      </c>
      <c r="M7688">
        <v>3</v>
      </c>
      <c r="N7688">
        <v>563.16</v>
      </c>
      <c r="O7688">
        <v>187.72</v>
      </c>
    </row>
    <row r="7689" spans="1:15" x14ac:dyDescent="0.35">
      <c r="A7689" t="s">
        <v>8329</v>
      </c>
      <c r="B7689" t="s">
        <v>8330</v>
      </c>
      <c r="C7689" t="s">
        <v>1644</v>
      </c>
      <c r="D7689" t="s">
        <v>323</v>
      </c>
      <c r="E7689" t="s">
        <v>304</v>
      </c>
      <c r="F7689" t="s">
        <v>8354</v>
      </c>
      <c r="G7689">
        <v>0</v>
      </c>
      <c r="H7689">
        <v>0</v>
      </c>
      <c r="I7689">
        <v>0</v>
      </c>
      <c r="J7689">
        <v>2</v>
      </c>
      <c r="K7689">
        <v>409.06</v>
      </c>
      <c r="L7689">
        <v>204.53</v>
      </c>
      <c r="M7689">
        <v>2</v>
      </c>
      <c r="N7689">
        <v>409.06</v>
      </c>
      <c r="O7689">
        <v>204.53</v>
      </c>
    </row>
    <row r="7690" spans="1:15" x14ac:dyDescent="0.35">
      <c r="A7690" t="s">
        <v>8329</v>
      </c>
      <c r="B7690" t="s">
        <v>8330</v>
      </c>
      <c r="C7690" t="s">
        <v>1644</v>
      </c>
      <c r="D7690" t="s">
        <v>323</v>
      </c>
      <c r="E7690" t="s">
        <v>306</v>
      </c>
      <c r="F7690" t="s">
        <v>8355</v>
      </c>
      <c r="G7690">
        <v>1</v>
      </c>
      <c r="H7690">
        <v>128.74</v>
      </c>
      <c r="I7690">
        <v>128.74</v>
      </c>
      <c r="J7690">
        <v>293</v>
      </c>
      <c r="K7690">
        <v>30389.96</v>
      </c>
      <c r="L7690">
        <v>103.72</v>
      </c>
      <c r="M7690">
        <v>294</v>
      </c>
      <c r="N7690">
        <v>30518.7</v>
      </c>
      <c r="O7690">
        <v>103.81</v>
      </c>
    </row>
    <row r="7691" spans="1:15" x14ac:dyDescent="0.35">
      <c r="A7691" t="s">
        <v>8329</v>
      </c>
      <c r="B7691" t="s">
        <v>8330</v>
      </c>
      <c r="C7691" t="s">
        <v>1644</v>
      </c>
      <c r="D7691" t="s">
        <v>323</v>
      </c>
      <c r="E7691" t="s">
        <v>308</v>
      </c>
      <c r="F7691" t="s">
        <v>8356</v>
      </c>
      <c r="G7691">
        <v>0</v>
      </c>
      <c r="H7691">
        <v>0</v>
      </c>
      <c r="I7691">
        <v>0</v>
      </c>
      <c r="J7691">
        <v>0</v>
      </c>
      <c r="K7691">
        <v>0</v>
      </c>
      <c r="L7691">
        <v>0</v>
      </c>
      <c r="M7691">
        <v>0</v>
      </c>
      <c r="N7691">
        <v>0</v>
      </c>
      <c r="O7691">
        <v>0</v>
      </c>
    </row>
    <row r="7692" spans="1:15" x14ac:dyDescent="0.35">
      <c r="A7692" t="s">
        <v>8329</v>
      </c>
      <c r="B7692" t="s">
        <v>8330</v>
      </c>
      <c r="C7692" t="s">
        <v>1644</v>
      </c>
      <c r="D7692" t="s">
        <v>323</v>
      </c>
      <c r="E7692" t="s">
        <v>310</v>
      </c>
      <c r="F7692" t="s">
        <v>8357</v>
      </c>
      <c r="G7692">
        <v>1483</v>
      </c>
      <c r="H7692">
        <v>225624.48999999996</v>
      </c>
      <c r="I7692">
        <v>152.13999999999999</v>
      </c>
      <c r="J7692">
        <v>4775</v>
      </c>
      <c r="K7692">
        <v>638734.52999999991</v>
      </c>
      <c r="L7692">
        <v>133.77000000000001</v>
      </c>
      <c r="M7692">
        <v>6258</v>
      </c>
      <c r="N7692">
        <v>864359.0199999999</v>
      </c>
      <c r="O7692">
        <v>138.12</v>
      </c>
    </row>
    <row r="7693" spans="1:15" x14ac:dyDescent="0.35">
      <c r="A7693" t="s">
        <v>8329</v>
      </c>
      <c r="B7693" t="s">
        <v>8330</v>
      </c>
      <c r="C7693" t="s">
        <v>1644</v>
      </c>
      <c r="D7693" t="s">
        <v>323</v>
      </c>
      <c r="E7693" t="s">
        <v>312</v>
      </c>
      <c r="F7693" t="s">
        <v>8358</v>
      </c>
      <c r="G7693">
        <v>1483</v>
      </c>
      <c r="H7693">
        <v>225624.48999999996</v>
      </c>
      <c r="I7693">
        <v>152.13999999999999</v>
      </c>
      <c r="J7693">
        <v>4775</v>
      </c>
      <c r="K7693">
        <v>638734.52999999991</v>
      </c>
      <c r="L7693">
        <v>133.77000000000001</v>
      </c>
      <c r="M7693">
        <v>6258</v>
      </c>
      <c r="N7693">
        <v>864359.0199999999</v>
      </c>
      <c r="O7693">
        <v>138.12</v>
      </c>
    </row>
    <row r="7694" spans="1:15" x14ac:dyDescent="0.35">
      <c r="A7694" t="s">
        <v>8329</v>
      </c>
      <c r="B7694" t="s">
        <v>8330</v>
      </c>
      <c r="C7694" t="s">
        <v>1644</v>
      </c>
      <c r="D7694" t="s">
        <v>334</v>
      </c>
      <c r="E7694" t="s">
        <v>312</v>
      </c>
      <c r="F7694" t="s">
        <v>8359</v>
      </c>
      <c r="G7694">
        <v>2202</v>
      </c>
      <c r="H7694">
        <v>373544.13999999996</v>
      </c>
      <c r="I7694">
        <v>173.98</v>
      </c>
      <c r="J7694">
        <v>4980</v>
      </c>
      <c r="K7694">
        <v>682104.05999999994</v>
      </c>
      <c r="L7694">
        <v>136.97</v>
      </c>
      <c r="M7694">
        <v>7182</v>
      </c>
      <c r="N7694">
        <v>1055648.2</v>
      </c>
      <c r="O7694">
        <v>148.12</v>
      </c>
    </row>
    <row r="7695" spans="1:15" x14ac:dyDescent="0.35">
      <c r="A7695" t="s">
        <v>8329</v>
      </c>
      <c r="B7695" t="s">
        <v>8330</v>
      </c>
      <c r="C7695" t="s">
        <v>1644</v>
      </c>
      <c r="D7695" t="s">
        <v>334</v>
      </c>
      <c r="E7695" t="s">
        <v>308</v>
      </c>
      <c r="F7695" t="s">
        <v>8360</v>
      </c>
      <c r="G7695">
        <v>0</v>
      </c>
      <c r="H7695">
        <v>0</v>
      </c>
      <c r="I7695">
        <v>0</v>
      </c>
      <c r="J7695">
        <v>0</v>
      </c>
      <c r="K7695">
        <v>0</v>
      </c>
      <c r="L7695">
        <v>0</v>
      </c>
      <c r="M7695">
        <v>0</v>
      </c>
      <c r="N7695">
        <v>0</v>
      </c>
      <c r="O7695">
        <v>0</v>
      </c>
    </row>
    <row r="7696" spans="1:15" x14ac:dyDescent="0.35">
      <c r="A7696" t="s">
        <v>8329</v>
      </c>
      <c r="B7696" t="s">
        <v>8330</v>
      </c>
      <c r="C7696" t="s">
        <v>1644</v>
      </c>
      <c r="D7696" t="s">
        <v>337</v>
      </c>
      <c r="E7696" t="s">
        <v>337</v>
      </c>
      <c r="F7696" t="s">
        <v>8361</v>
      </c>
      <c r="G7696">
        <v>675</v>
      </c>
      <c r="J7696">
        <v>191</v>
      </c>
      <c r="M7696">
        <v>866</v>
      </c>
    </row>
    <row r="7697" spans="1:15" x14ac:dyDescent="0.35">
      <c r="A7697" t="s">
        <v>8329</v>
      </c>
      <c r="B7697" t="s">
        <v>8330</v>
      </c>
      <c r="C7697" t="s">
        <v>1644</v>
      </c>
      <c r="D7697" t="s">
        <v>339</v>
      </c>
      <c r="E7697" t="s">
        <v>294</v>
      </c>
      <c r="F7697" t="s">
        <v>8362</v>
      </c>
      <c r="G7697">
        <v>59</v>
      </c>
      <c r="H7697">
        <v>7742.5</v>
      </c>
      <c r="I7697">
        <v>131.22999999999999</v>
      </c>
      <c r="J7697">
        <v>14</v>
      </c>
      <c r="K7697">
        <v>1834.2800000000002</v>
      </c>
      <c r="L7697">
        <v>131.02000000000001</v>
      </c>
      <c r="M7697">
        <v>73</v>
      </c>
      <c r="N7697">
        <v>9576.7800000000007</v>
      </c>
      <c r="O7697">
        <v>131.19</v>
      </c>
    </row>
    <row r="7698" spans="1:15" x14ac:dyDescent="0.35">
      <c r="A7698" t="s">
        <v>8329</v>
      </c>
      <c r="B7698" t="s">
        <v>8330</v>
      </c>
      <c r="C7698" t="s">
        <v>1644</v>
      </c>
      <c r="D7698" t="s">
        <v>339</v>
      </c>
      <c r="E7698" t="s">
        <v>296</v>
      </c>
      <c r="F7698" t="s">
        <v>8363</v>
      </c>
      <c r="G7698">
        <v>4</v>
      </c>
      <c r="H7698">
        <v>677.51</v>
      </c>
      <c r="I7698">
        <v>169.38</v>
      </c>
      <c r="J7698">
        <v>0</v>
      </c>
      <c r="K7698">
        <v>0</v>
      </c>
      <c r="L7698">
        <v>0</v>
      </c>
      <c r="M7698">
        <v>4</v>
      </c>
      <c r="N7698">
        <v>677.51</v>
      </c>
      <c r="O7698">
        <v>169.38</v>
      </c>
    </row>
    <row r="7699" spans="1:15" x14ac:dyDescent="0.35">
      <c r="A7699" t="s">
        <v>8329</v>
      </c>
      <c r="B7699" t="s">
        <v>8330</v>
      </c>
      <c r="C7699" t="s">
        <v>1644</v>
      </c>
      <c r="D7699" t="s">
        <v>339</v>
      </c>
      <c r="E7699" t="s">
        <v>298</v>
      </c>
      <c r="F7699" t="s">
        <v>8364</v>
      </c>
      <c r="G7699">
        <v>0</v>
      </c>
      <c r="H7699">
        <v>0</v>
      </c>
      <c r="I7699">
        <v>0</v>
      </c>
      <c r="J7699">
        <v>0</v>
      </c>
      <c r="K7699">
        <v>0</v>
      </c>
      <c r="L7699">
        <v>0</v>
      </c>
      <c r="M7699">
        <v>0</v>
      </c>
      <c r="N7699">
        <v>0</v>
      </c>
      <c r="O7699">
        <v>0</v>
      </c>
    </row>
    <row r="7700" spans="1:15" x14ac:dyDescent="0.35">
      <c r="A7700" t="s">
        <v>8329</v>
      </c>
      <c r="B7700" t="s">
        <v>8330</v>
      </c>
      <c r="C7700" t="s">
        <v>1644</v>
      </c>
      <c r="D7700" t="s">
        <v>339</v>
      </c>
      <c r="E7700" t="s">
        <v>300</v>
      </c>
      <c r="F7700" t="s">
        <v>8365</v>
      </c>
      <c r="G7700">
        <v>0</v>
      </c>
      <c r="H7700">
        <v>0</v>
      </c>
      <c r="I7700">
        <v>0</v>
      </c>
      <c r="J7700">
        <v>0</v>
      </c>
      <c r="K7700">
        <v>0</v>
      </c>
      <c r="L7700">
        <v>0</v>
      </c>
      <c r="M7700">
        <v>0</v>
      </c>
      <c r="N7700">
        <v>0</v>
      </c>
      <c r="O7700">
        <v>0</v>
      </c>
    </row>
    <row r="7701" spans="1:15" x14ac:dyDescent="0.35">
      <c r="A7701" t="s">
        <v>8329</v>
      </c>
      <c r="B7701" t="s">
        <v>8330</v>
      </c>
      <c r="C7701" t="s">
        <v>1644</v>
      </c>
      <c r="D7701" t="s">
        <v>339</v>
      </c>
      <c r="E7701" t="s">
        <v>306</v>
      </c>
      <c r="F7701" t="s">
        <v>8366</v>
      </c>
      <c r="G7701">
        <v>7</v>
      </c>
      <c r="H7701">
        <v>824.32</v>
      </c>
      <c r="I7701">
        <v>117.76</v>
      </c>
      <c r="J7701">
        <v>27</v>
      </c>
      <c r="K7701">
        <v>3291.5699999999997</v>
      </c>
      <c r="L7701">
        <v>121.91</v>
      </c>
      <c r="M7701">
        <v>34</v>
      </c>
      <c r="N7701">
        <v>4115.8899999999994</v>
      </c>
      <c r="O7701">
        <v>121.06</v>
      </c>
    </row>
    <row r="7702" spans="1:15" x14ac:dyDescent="0.35">
      <c r="A7702" t="s">
        <v>8329</v>
      </c>
      <c r="B7702" t="s">
        <v>8330</v>
      </c>
      <c r="C7702" t="s">
        <v>1644</v>
      </c>
      <c r="D7702" t="s">
        <v>339</v>
      </c>
      <c r="E7702" t="s">
        <v>308</v>
      </c>
      <c r="F7702" t="s">
        <v>8367</v>
      </c>
      <c r="G7702">
        <v>127</v>
      </c>
      <c r="H7702">
        <v>14677.259999999998</v>
      </c>
      <c r="I7702">
        <v>115.57</v>
      </c>
      <c r="J7702">
        <v>5</v>
      </c>
      <c r="K7702">
        <v>568.04999999999995</v>
      </c>
      <c r="L7702">
        <v>113.61</v>
      </c>
      <c r="M7702">
        <v>132</v>
      </c>
      <c r="N7702">
        <v>15245.309999999998</v>
      </c>
      <c r="O7702">
        <v>115.49</v>
      </c>
    </row>
    <row r="7703" spans="1:15" x14ac:dyDescent="0.35">
      <c r="A7703" t="s">
        <v>8329</v>
      </c>
      <c r="B7703" t="s">
        <v>8330</v>
      </c>
      <c r="C7703" t="s">
        <v>1644</v>
      </c>
      <c r="D7703" t="s">
        <v>339</v>
      </c>
      <c r="E7703" t="s">
        <v>310</v>
      </c>
      <c r="F7703" t="s">
        <v>8368</v>
      </c>
      <c r="G7703">
        <v>197</v>
      </c>
      <c r="H7703">
        <v>23921.589999999997</v>
      </c>
      <c r="I7703">
        <v>121.43</v>
      </c>
      <c r="J7703">
        <v>46</v>
      </c>
      <c r="K7703">
        <v>5693.9000000000005</v>
      </c>
      <c r="L7703">
        <v>123.78</v>
      </c>
      <c r="M7703">
        <v>243</v>
      </c>
      <c r="N7703">
        <v>29615.489999999998</v>
      </c>
      <c r="O7703">
        <v>121.87</v>
      </c>
    </row>
    <row r="7704" spans="1:15" x14ac:dyDescent="0.35">
      <c r="A7704" t="s">
        <v>8329</v>
      </c>
      <c r="B7704" t="s">
        <v>8330</v>
      </c>
      <c r="C7704" t="s">
        <v>1644</v>
      </c>
      <c r="D7704" t="s">
        <v>339</v>
      </c>
      <c r="E7704" t="s">
        <v>312</v>
      </c>
      <c r="F7704" t="s">
        <v>8369</v>
      </c>
      <c r="G7704">
        <v>70</v>
      </c>
      <c r="H7704">
        <v>9244.33</v>
      </c>
      <c r="I7704">
        <v>132.06</v>
      </c>
      <c r="J7704">
        <v>41</v>
      </c>
      <c r="K7704">
        <v>5125.8500000000004</v>
      </c>
      <c r="L7704">
        <v>125.02</v>
      </c>
      <c r="M7704">
        <v>111</v>
      </c>
      <c r="N7704">
        <v>14370.18</v>
      </c>
      <c r="O7704">
        <v>129.46</v>
      </c>
    </row>
    <row r="7705" spans="1:15" x14ac:dyDescent="0.35">
      <c r="A7705" t="s">
        <v>8329</v>
      </c>
      <c r="B7705" t="s">
        <v>8330</v>
      </c>
      <c r="C7705" t="s">
        <v>1644</v>
      </c>
      <c r="D7705" t="s">
        <v>348</v>
      </c>
      <c r="E7705" t="s">
        <v>349</v>
      </c>
      <c r="F7705" t="s">
        <v>8370</v>
      </c>
      <c r="G7705">
        <v>464</v>
      </c>
      <c r="H7705">
        <v>37839.14</v>
      </c>
      <c r="I7705">
        <v>161.02000000000001</v>
      </c>
      <c r="J7705">
        <v>46</v>
      </c>
      <c r="K7705">
        <v>5693.9000000000005</v>
      </c>
      <c r="L7705">
        <v>123.78</v>
      </c>
      <c r="M7705">
        <v>510</v>
      </c>
      <c r="N7705">
        <v>43533.04</v>
      </c>
      <c r="O7705">
        <v>154.91999999999999</v>
      </c>
    </row>
    <row r="7706" spans="1:15" x14ac:dyDescent="0.35">
      <c r="A7706" t="s">
        <v>8371</v>
      </c>
      <c r="B7706" t="s">
        <v>8372</v>
      </c>
      <c r="C7706" t="s">
        <v>1644</v>
      </c>
      <c r="D7706" t="s">
        <v>293</v>
      </c>
      <c r="E7706" t="s">
        <v>294</v>
      </c>
      <c r="F7706" t="s">
        <v>8373</v>
      </c>
      <c r="G7706">
        <v>196</v>
      </c>
      <c r="H7706">
        <v>31282.54</v>
      </c>
      <c r="I7706">
        <v>159.6</v>
      </c>
      <c r="J7706">
        <v>0</v>
      </c>
      <c r="K7706">
        <v>0</v>
      </c>
      <c r="L7706">
        <v>0</v>
      </c>
      <c r="M7706">
        <v>196</v>
      </c>
      <c r="N7706">
        <v>31282.54</v>
      </c>
      <c r="O7706">
        <v>159.6</v>
      </c>
    </row>
    <row r="7707" spans="1:15" x14ac:dyDescent="0.35">
      <c r="A7707" t="s">
        <v>8371</v>
      </c>
      <c r="B7707" t="s">
        <v>8372</v>
      </c>
      <c r="C7707" t="s">
        <v>1644</v>
      </c>
      <c r="D7707" t="s">
        <v>293</v>
      </c>
      <c r="E7707" t="s">
        <v>296</v>
      </c>
      <c r="F7707" t="s">
        <v>8374</v>
      </c>
      <c r="G7707">
        <v>207</v>
      </c>
      <c r="H7707">
        <v>44812.68</v>
      </c>
      <c r="I7707">
        <v>216.49</v>
      </c>
      <c r="J7707">
        <v>1</v>
      </c>
      <c r="K7707">
        <v>164.73</v>
      </c>
      <c r="L7707">
        <v>164.73</v>
      </c>
      <c r="M7707">
        <v>208</v>
      </c>
      <c r="N7707">
        <v>44977.41</v>
      </c>
      <c r="O7707">
        <v>216.24</v>
      </c>
    </row>
    <row r="7708" spans="1:15" x14ac:dyDescent="0.35">
      <c r="A7708" t="s">
        <v>8371</v>
      </c>
      <c r="B7708" t="s">
        <v>8372</v>
      </c>
      <c r="C7708" t="s">
        <v>1644</v>
      </c>
      <c r="D7708" t="s">
        <v>293</v>
      </c>
      <c r="E7708" t="s">
        <v>298</v>
      </c>
      <c r="F7708" t="s">
        <v>8375</v>
      </c>
      <c r="G7708">
        <v>83</v>
      </c>
      <c r="H7708">
        <v>22183.199999999997</v>
      </c>
      <c r="I7708">
        <v>267.27</v>
      </c>
      <c r="J7708">
        <v>0</v>
      </c>
      <c r="K7708">
        <v>0</v>
      </c>
      <c r="L7708">
        <v>0</v>
      </c>
      <c r="M7708">
        <v>83</v>
      </c>
      <c r="N7708">
        <v>22183.199999999997</v>
      </c>
      <c r="O7708">
        <v>267.27</v>
      </c>
    </row>
    <row r="7709" spans="1:15" x14ac:dyDescent="0.35">
      <c r="A7709" t="s">
        <v>8371</v>
      </c>
      <c r="B7709" t="s">
        <v>8372</v>
      </c>
      <c r="C7709" t="s">
        <v>1644</v>
      </c>
      <c r="D7709" t="s">
        <v>293</v>
      </c>
      <c r="E7709" t="s">
        <v>300</v>
      </c>
      <c r="F7709" t="s">
        <v>8376</v>
      </c>
      <c r="G7709">
        <v>6</v>
      </c>
      <c r="H7709">
        <v>2329.9499999999998</v>
      </c>
      <c r="I7709">
        <v>388.33</v>
      </c>
      <c r="J7709">
        <v>0</v>
      </c>
      <c r="K7709">
        <v>0</v>
      </c>
      <c r="L7709">
        <v>0</v>
      </c>
      <c r="M7709">
        <v>6</v>
      </c>
      <c r="N7709">
        <v>2329.9499999999998</v>
      </c>
      <c r="O7709">
        <v>388.33</v>
      </c>
    </row>
    <row r="7710" spans="1:15" x14ac:dyDescent="0.35">
      <c r="A7710" t="s">
        <v>8371</v>
      </c>
      <c r="B7710" t="s">
        <v>8372</v>
      </c>
      <c r="C7710" t="s">
        <v>1644</v>
      </c>
      <c r="D7710" t="s">
        <v>293</v>
      </c>
      <c r="E7710" t="s">
        <v>302</v>
      </c>
      <c r="F7710" t="s">
        <v>8377</v>
      </c>
      <c r="G7710">
        <v>0</v>
      </c>
      <c r="H7710">
        <v>0</v>
      </c>
      <c r="I7710">
        <v>0</v>
      </c>
      <c r="J7710">
        <v>0</v>
      </c>
      <c r="K7710">
        <v>0</v>
      </c>
      <c r="L7710">
        <v>0</v>
      </c>
      <c r="M7710">
        <v>0</v>
      </c>
      <c r="N7710">
        <v>0</v>
      </c>
      <c r="O7710">
        <v>0</v>
      </c>
    </row>
    <row r="7711" spans="1:15" x14ac:dyDescent="0.35">
      <c r="A7711" t="s">
        <v>8371</v>
      </c>
      <c r="B7711" t="s">
        <v>8372</v>
      </c>
      <c r="C7711" t="s">
        <v>1644</v>
      </c>
      <c r="D7711" t="s">
        <v>293</v>
      </c>
      <c r="E7711" t="s">
        <v>304</v>
      </c>
      <c r="F7711" t="s">
        <v>8378</v>
      </c>
      <c r="G7711">
        <v>0</v>
      </c>
      <c r="H7711">
        <v>0</v>
      </c>
      <c r="I7711">
        <v>0</v>
      </c>
      <c r="J7711">
        <v>0</v>
      </c>
      <c r="K7711">
        <v>0</v>
      </c>
      <c r="L7711">
        <v>0</v>
      </c>
      <c r="M7711">
        <v>0</v>
      </c>
      <c r="N7711">
        <v>0</v>
      </c>
      <c r="O7711">
        <v>0</v>
      </c>
    </row>
    <row r="7712" spans="1:15" x14ac:dyDescent="0.35">
      <c r="A7712" t="s">
        <v>8371</v>
      </c>
      <c r="B7712" t="s">
        <v>8372</v>
      </c>
      <c r="C7712" t="s">
        <v>1644</v>
      </c>
      <c r="D7712" t="s">
        <v>293</v>
      </c>
      <c r="E7712" t="s">
        <v>306</v>
      </c>
      <c r="F7712" t="s">
        <v>8379</v>
      </c>
      <c r="G7712">
        <v>0</v>
      </c>
      <c r="H7712">
        <v>0</v>
      </c>
      <c r="I7712">
        <v>0</v>
      </c>
      <c r="J7712">
        <v>0</v>
      </c>
      <c r="K7712">
        <v>0</v>
      </c>
      <c r="L7712">
        <v>0</v>
      </c>
      <c r="M7712">
        <v>0</v>
      </c>
      <c r="N7712">
        <v>0</v>
      </c>
      <c r="O7712">
        <v>0</v>
      </c>
    </row>
    <row r="7713" spans="1:15" x14ac:dyDescent="0.35">
      <c r="A7713" t="s">
        <v>8371</v>
      </c>
      <c r="B7713" t="s">
        <v>8372</v>
      </c>
      <c r="C7713" t="s">
        <v>1644</v>
      </c>
      <c r="D7713" t="s">
        <v>293</v>
      </c>
      <c r="E7713" t="s">
        <v>308</v>
      </c>
      <c r="F7713" t="s">
        <v>8380</v>
      </c>
      <c r="G7713">
        <v>0</v>
      </c>
      <c r="H7713">
        <v>0</v>
      </c>
      <c r="I7713">
        <v>0</v>
      </c>
      <c r="J7713">
        <v>0</v>
      </c>
      <c r="K7713">
        <v>0</v>
      </c>
      <c r="L7713">
        <v>0</v>
      </c>
      <c r="M7713">
        <v>0</v>
      </c>
      <c r="N7713">
        <v>0</v>
      </c>
      <c r="O7713">
        <v>0</v>
      </c>
    </row>
    <row r="7714" spans="1:15" x14ac:dyDescent="0.35">
      <c r="A7714" t="s">
        <v>8371</v>
      </c>
      <c r="B7714" t="s">
        <v>8372</v>
      </c>
      <c r="C7714" t="s">
        <v>1644</v>
      </c>
      <c r="D7714" t="s">
        <v>293</v>
      </c>
      <c r="E7714" t="s">
        <v>310</v>
      </c>
      <c r="F7714" t="s">
        <v>8381</v>
      </c>
      <c r="G7714">
        <v>492</v>
      </c>
      <c r="H7714">
        <v>100608.37</v>
      </c>
      <c r="I7714">
        <v>204.49</v>
      </c>
      <c r="J7714">
        <v>1</v>
      </c>
      <c r="K7714">
        <v>164.73</v>
      </c>
      <c r="L7714">
        <v>164.73</v>
      </c>
      <c r="M7714">
        <v>493</v>
      </c>
      <c r="N7714">
        <v>100773.09999999999</v>
      </c>
      <c r="O7714">
        <v>204.41</v>
      </c>
    </row>
    <row r="7715" spans="1:15" x14ac:dyDescent="0.35">
      <c r="A7715" t="s">
        <v>8371</v>
      </c>
      <c r="B7715" t="s">
        <v>8372</v>
      </c>
      <c r="C7715" t="s">
        <v>1644</v>
      </c>
      <c r="D7715" t="s">
        <v>293</v>
      </c>
      <c r="E7715" t="s">
        <v>312</v>
      </c>
      <c r="F7715" t="s">
        <v>8382</v>
      </c>
      <c r="G7715">
        <v>492</v>
      </c>
      <c r="H7715">
        <v>100608.37</v>
      </c>
      <c r="I7715">
        <v>204.49</v>
      </c>
      <c r="J7715">
        <v>1</v>
      </c>
      <c r="K7715">
        <v>164.73</v>
      </c>
      <c r="L7715">
        <v>164.73</v>
      </c>
      <c r="M7715">
        <v>493</v>
      </c>
      <c r="N7715">
        <v>100773.09999999999</v>
      </c>
      <c r="O7715">
        <v>204.41</v>
      </c>
    </row>
    <row r="7716" spans="1:15" x14ac:dyDescent="0.35">
      <c r="A7716" t="s">
        <v>8371</v>
      </c>
      <c r="B7716" t="s">
        <v>8372</v>
      </c>
      <c r="C7716" t="s">
        <v>1644</v>
      </c>
      <c r="D7716" t="s">
        <v>314</v>
      </c>
      <c r="E7716" t="s">
        <v>294</v>
      </c>
      <c r="F7716" t="s">
        <v>8383</v>
      </c>
      <c r="G7716">
        <v>0</v>
      </c>
      <c r="H7716">
        <v>0</v>
      </c>
      <c r="I7716">
        <v>0</v>
      </c>
      <c r="J7716">
        <v>0</v>
      </c>
      <c r="K7716">
        <v>0</v>
      </c>
      <c r="L7716">
        <v>0</v>
      </c>
      <c r="M7716">
        <v>0</v>
      </c>
      <c r="N7716">
        <v>0</v>
      </c>
      <c r="O7716">
        <v>0</v>
      </c>
    </row>
    <row r="7717" spans="1:15" x14ac:dyDescent="0.35">
      <c r="A7717" t="s">
        <v>8371</v>
      </c>
      <c r="B7717" t="s">
        <v>8372</v>
      </c>
      <c r="C7717" t="s">
        <v>1644</v>
      </c>
      <c r="D7717" t="s">
        <v>314</v>
      </c>
      <c r="E7717" t="s">
        <v>296</v>
      </c>
      <c r="F7717" t="s">
        <v>8384</v>
      </c>
      <c r="G7717">
        <v>0</v>
      </c>
      <c r="H7717">
        <v>0</v>
      </c>
      <c r="I7717">
        <v>0</v>
      </c>
      <c r="J7717">
        <v>0</v>
      </c>
      <c r="K7717">
        <v>0</v>
      </c>
      <c r="L7717">
        <v>0</v>
      </c>
      <c r="M7717">
        <v>0</v>
      </c>
      <c r="N7717">
        <v>0</v>
      </c>
      <c r="O7717">
        <v>0</v>
      </c>
    </row>
    <row r="7718" spans="1:15" x14ac:dyDescent="0.35">
      <c r="A7718" t="s">
        <v>8371</v>
      </c>
      <c r="B7718" t="s">
        <v>8372</v>
      </c>
      <c r="C7718" t="s">
        <v>1644</v>
      </c>
      <c r="D7718" t="s">
        <v>314</v>
      </c>
      <c r="E7718" t="s">
        <v>298</v>
      </c>
      <c r="F7718" t="s">
        <v>8385</v>
      </c>
      <c r="G7718">
        <v>1</v>
      </c>
      <c r="H7718">
        <v>310.69</v>
      </c>
      <c r="I7718">
        <v>310.69</v>
      </c>
      <c r="J7718">
        <v>0</v>
      </c>
      <c r="K7718">
        <v>0</v>
      </c>
      <c r="L7718">
        <v>0</v>
      </c>
      <c r="M7718">
        <v>1</v>
      </c>
      <c r="N7718">
        <v>310.69</v>
      </c>
      <c r="O7718">
        <v>310.69</v>
      </c>
    </row>
    <row r="7719" spans="1:15" x14ac:dyDescent="0.35">
      <c r="A7719" t="s">
        <v>8371</v>
      </c>
      <c r="B7719" t="s">
        <v>8372</v>
      </c>
      <c r="C7719" t="s">
        <v>1644</v>
      </c>
      <c r="D7719" t="s">
        <v>314</v>
      </c>
      <c r="E7719" t="s">
        <v>300</v>
      </c>
      <c r="F7719" t="s">
        <v>8386</v>
      </c>
      <c r="G7719">
        <v>0</v>
      </c>
      <c r="H7719">
        <v>0</v>
      </c>
      <c r="I7719">
        <v>0</v>
      </c>
      <c r="J7719">
        <v>0</v>
      </c>
      <c r="K7719">
        <v>0</v>
      </c>
      <c r="L7719">
        <v>0</v>
      </c>
      <c r="M7719">
        <v>0</v>
      </c>
      <c r="N7719">
        <v>0</v>
      </c>
      <c r="O7719">
        <v>0</v>
      </c>
    </row>
    <row r="7720" spans="1:15" x14ac:dyDescent="0.35">
      <c r="A7720" t="s">
        <v>8371</v>
      </c>
      <c r="B7720" t="s">
        <v>8372</v>
      </c>
      <c r="C7720" t="s">
        <v>1644</v>
      </c>
      <c r="D7720" t="s">
        <v>314</v>
      </c>
      <c r="E7720" t="s">
        <v>306</v>
      </c>
      <c r="F7720" t="s">
        <v>8387</v>
      </c>
      <c r="G7720">
        <v>0</v>
      </c>
      <c r="H7720">
        <v>0</v>
      </c>
      <c r="I7720">
        <v>0</v>
      </c>
      <c r="J7720">
        <v>0</v>
      </c>
      <c r="K7720">
        <v>0</v>
      </c>
      <c r="L7720">
        <v>0</v>
      </c>
      <c r="M7720">
        <v>0</v>
      </c>
      <c r="N7720">
        <v>0</v>
      </c>
      <c r="O7720">
        <v>0</v>
      </c>
    </row>
    <row r="7721" spans="1:15" x14ac:dyDescent="0.35">
      <c r="A7721" t="s">
        <v>8371</v>
      </c>
      <c r="B7721" t="s">
        <v>8372</v>
      </c>
      <c r="C7721" t="s">
        <v>1644</v>
      </c>
      <c r="D7721" t="s">
        <v>314</v>
      </c>
      <c r="E7721" t="s">
        <v>308</v>
      </c>
      <c r="F7721" t="s">
        <v>8388</v>
      </c>
      <c r="G7721">
        <v>0</v>
      </c>
      <c r="H7721">
        <v>0</v>
      </c>
      <c r="I7721">
        <v>0</v>
      </c>
      <c r="J7721">
        <v>0</v>
      </c>
      <c r="K7721">
        <v>0</v>
      </c>
      <c r="L7721">
        <v>0</v>
      </c>
      <c r="M7721">
        <v>0</v>
      </c>
      <c r="N7721">
        <v>0</v>
      </c>
      <c r="O7721">
        <v>0</v>
      </c>
    </row>
    <row r="7722" spans="1:15" x14ac:dyDescent="0.35">
      <c r="A7722" t="s">
        <v>8371</v>
      </c>
      <c r="B7722" t="s">
        <v>8372</v>
      </c>
      <c r="C7722" t="s">
        <v>1644</v>
      </c>
      <c r="D7722" t="s">
        <v>314</v>
      </c>
      <c r="E7722" t="s">
        <v>312</v>
      </c>
      <c r="F7722" t="s">
        <v>8389</v>
      </c>
      <c r="G7722">
        <v>1</v>
      </c>
      <c r="H7722">
        <v>310.69</v>
      </c>
      <c r="I7722">
        <v>310.69</v>
      </c>
      <c r="J7722">
        <v>0</v>
      </c>
      <c r="K7722">
        <v>0</v>
      </c>
      <c r="L7722">
        <v>0</v>
      </c>
      <c r="M7722">
        <v>1</v>
      </c>
      <c r="N7722">
        <v>310.69</v>
      </c>
      <c r="O7722">
        <v>310.69</v>
      </c>
    </row>
    <row r="7723" spans="1:15" x14ac:dyDescent="0.35">
      <c r="A7723" t="s">
        <v>8371</v>
      </c>
      <c r="B7723" t="s">
        <v>8372</v>
      </c>
      <c r="C7723" t="s">
        <v>1644</v>
      </c>
      <c r="D7723" t="s">
        <v>314</v>
      </c>
      <c r="E7723" t="s">
        <v>310</v>
      </c>
      <c r="F7723" t="s">
        <v>8390</v>
      </c>
      <c r="G7723">
        <v>1</v>
      </c>
      <c r="H7723">
        <v>310.69</v>
      </c>
      <c r="I7723">
        <v>310.69</v>
      </c>
      <c r="J7723">
        <v>0</v>
      </c>
      <c r="K7723">
        <v>0</v>
      </c>
      <c r="L7723">
        <v>0</v>
      </c>
      <c r="M7723">
        <v>1</v>
      </c>
      <c r="N7723">
        <v>310.69</v>
      </c>
      <c r="O7723">
        <v>310.69</v>
      </c>
    </row>
    <row r="7724" spans="1:15" x14ac:dyDescent="0.35">
      <c r="A7724" t="s">
        <v>8371</v>
      </c>
      <c r="B7724" t="s">
        <v>8372</v>
      </c>
      <c r="C7724" t="s">
        <v>1644</v>
      </c>
      <c r="D7724" t="s">
        <v>323</v>
      </c>
      <c r="E7724" t="s">
        <v>294</v>
      </c>
      <c r="F7724" t="s">
        <v>8391</v>
      </c>
      <c r="G7724">
        <v>1008</v>
      </c>
      <c r="H7724">
        <v>120122.64</v>
      </c>
      <c r="I7724">
        <v>119.17</v>
      </c>
      <c r="J7724">
        <v>0</v>
      </c>
      <c r="K7724">
        <v>0</v>
      </c>
      <c r="L7724">
        <v>0</v>
      </c>
      <c r="M7724">
        <v>1008</v>
      </c>
      <c r="N7724">
        <v>120122.64</v>
      </c>
      <c r="O7724">
        <v>119.17</v>
      </c>
    </row>
    <row r="7725" spans="1:15" x14ac:dyDescent="0.35">
      <c r="A7725" t="s">
        <v>8371</v>
      </c>
      <c r="B7725" t="s">
        <v>8372</v>
      </c>
      <c r="C7725" t="s">
        <v>1644</v>
      </c>
      <c r="D7725" t="s">
        <v>323</v>
      </c>
      <c r="E7725" t="s">
        <v>296</v>
      </c>
      <c r="F7725" t="s">
        <v>8392</v>
      </c>
      <c r="G7725">
        <v>831</v>
      </c>
      <c r="H7725">
        <v>117537.11</v>
      </c>
      <c r="I7725">
        <v>141.44</v>
      </c>
      <c r="J7725">
        <v>0</v>
      </c>
      <c r="K7725">
        <v>0</v>
      </c>
      <c r="L7725">
        <v>0</v>
      </c>
      <c r="M7725">
        <v>831</v>
      </c>
      <c r="N7725">
        <v>117537.11</v>
      </c>
      <c r="O7725">
        <v>141.44</v>
      </c>
    </row>
    <row r="7726" spans="1:15" x14ac:dyDescent="0.35">
      <c r="A7726" t="s">
        <v>8371</v>
      </c>
      <c r="B7726" t="s">
        <v>8372</v>
      </c>
      <c r="C7726" t="s">
        <v>1644</v>
      </c>
      <c r="D7726" t="s">
        <v>323</v>
      </c>
      <c r="E7726" t="s">
        <v>298</v>
      </c>
      <c r="F7726" t="s">
        <v>8393</v>
      </c>
      <c r="G7726">
        <v>1027</v>
      </c>
      <c r="H7726">
        <v>161727.58000000002</v>
      </c>
      <c r="I7726">
        <v>157.47999999999999</v>
      </c>
      <c r="J7726">
        <v>0</v>
      </c>
      <c r="K7726">
        <v>0</v>
      </c>
      <c r="L7726">
        <v>0</v>
      </c>
      <c r="M7726">
        <v>1027</v>
      </c>
      <c r="N7726">
        <v>161727.58000000002</v>
      </c>
      <c r="O7726">
        <v>157.47999999999999</v>
      </c>
    </row>
    <row r="7727" spans="1:15" x14ac:dyDescent="0.35">
      <c r="A7727" t="s">
        <v>8371</v>
      </c>
      <c r="B7727" t="s">
        <v>8372</v>
      </c>
      <c r="C7727" t="s">
        <v>1644</v>
      </c>
      <c r="D7727" t="s">
        <v>323</v>
      </c>
      <c r="E7727" t="s">
        <v>300</v>
      </c>
      <c r="F7727" t="s">
        <v>8394</v>
      </c>
      <c r="G7727">
        <v>55</v>
      </c>
      <c r="H7727">
        <v>9745.16</v>
      </c>
      <c r="I7727">
        <v>177.18</v>
      </c>
      <c r="J7727">
        <v>0</v>
      </c>
      <c r="K7727">
        <v>0</v>
      </c>
      <c r="L7727">
        <v>0</v>
      </c>
      <c r="M7727">
        <v>55</v>
      </c>
      <c r="N7727">
        <v>9745.16</v>
      </c>
      <c r="O7727">
        <v>177.18</v>
      </c>
    </row>
    <row r="7728" spans="1:15" x14ac:dyDescent="0.35">
      <c r="A7728" t="s">
        <v>8371</v>
      </c>
      <c r="B7728" t="s">
        <v>8372</v>
      </c>
      <c r="C7728" t="s">
        <v>1644</v>
      </c>
      <c r="D7728" t="s">
        <v>323</v>
      </c>
      <c r="E7728" t="s">
        <v>302</v>
      </c>
      <c r="F7728" t="s">
        <v>8395</v>
      </c>
      <c r="G7728">
        <v>1</v>
      </c>
      <c r="H7728">
        <v>192.08</v>
      </c>
      <c r="I7728">
        <v>192.08</v>
      </c>
      <c r="J7728">
        <v>0</v>
      </c>
      <c r="K7728">
        <v>0</v>
      </c>
      <c r="L7728">
        <v>0</v>
      </c>
      <c r="M7728">
        <v>1</v>
      </c>
      <c r="N7728">
        <v>192.08</v>
      </c>
      <c r="O7728">
        <v>192.08</v>
      </c>
    </row>
    <row r="7729" spans="1:15" x14ac:dyDescent="0.35">
      <c r="A7729" t="s">
        <v>8371</v>
      </c>
      <c r="B7729" t="s">
        <v>8372</v>
      </c>
      <c r="C7729" t="s">
        <v>1644</v>
      </c>
      <c r="D7729" t="s">
        <v>323</v>
      </c>
      <c r="E7729" t="s">
        <v>304</v>
      </c>
      <c r="F7729" t="s">
        <v>8396</v>
      </c>
      <c r="G7729">
        <v>0</v>
      </c>
      <c r="H7729">
        <v>0</v>
      </c>
      <c r="I7729">
        <v>0</v>
      </c>
      <c r="J7729">
        <v>0</v>
      </c>
      <c r="K7729">
        <v>0</v>
      </c>
      <c r="L7729">
        <v>0</v>
      </c>
      <c r="M7729">
        <v>0</v>
      </c>
      <c r="N7729">
        <v>0</v>
      </c>
      <c r="O7729">
        <v>0</v>
      </c>
    </row>
    <row r="7730" spans="1:15" x14ac:dyDescent="0.35">
      <c r="A7730" t="s">
        <v>8371</v>
      </c>
      <c r="B7730" t="s">
        <v>8372</v>
      </c>
      <c r="C7730" t="s">
        <v>1644</v>
      </c>
      <c r="D7730" t="s">
        <v>323</v>
      </c>
      <c r="E7730" t="s">
        <v>306</v>
      </c>
      <c r="F7730" t="s">
        <v>8397</v>
      </c>
      <c r="G7730">
        <v>67</v>
      </c>
      <c r="H7730">
        <v>8090.42</v>
      </c>
      <c r="I7730">
        <v>120.75</v>
      </c>
      <c r="J7730">
        <v>0</v>
      </c>
      <c r="K7730">
        <v>0</v>
      </c>
      <c r="L7730">
        <v>0</v>
      </c>
      <c r="M7730">
        <v>67</v>
      </c>
      <c r="N7730">
        <v>8090.42</v>
      </c>
      <c r="O7730">
        <v>120.75</v>
      </c>
    </row>
    <row r="7731" spans="1:15" x14ac:dyDescent="0.35">
      <c r="A7731" t="s">
        <v>8371</v>
      </c>
      <c r="B7731" t="s">
        <v>8372</v>
      </c>
      <c r="C7731" t="s">
        <v>1644</v>
      </c>
      <c r="D7731" t="s">
        <v>323</v>
      </c>
      <c r="E7731" t="s">
        <v>308</v>
      </c>
      <c r="F7731" t="s">
        <v>8398</v>
      </c>
      <c r="G7731">
        <v>0</v>
      </c>
      <c r="H7731">
        <v>0</v>
      </c>
      <c r="I7731">
        <v>0</v>
      </c>
      <c r="J7731">
        <v>0</v>
      </c>
      <c r="K7731">
        <v>0</v>
      </c>
      <c r="L7731">
        <v>0</v>
      </c>
      <c r="M7731">
        <v>0</v>
      </c>
      <c r="N7731">
        <v>0</v>
      </c>
      <c r="O7731">
        <v>0</v>
      </c>
    </row>
    <row r="7732" spans="1:15" x14ac:dyDescent="0.35">
      <c r="A7732" t="s">
        <v>8371</v>
      </c>
      <c r="B7732" t="s">
        <v>8372</v>
      </c>
      <c r="C7732" t="s">
        <v>1644</v>
      </c>
      <c r="D7732" t="s">
        <v>323</v>
      </c>
      <c r="E7732" t="s">
        <v>310</v>
      </c>
      <c r="F7732" t="s">
        <v>8399</v>
      </c>
      <c r="G7732">
        <v>2989</v>
      </c>
      <c r="H7732">
        <v>417414.99</v>
      </c>
      <c r="I7732">
        <v>139.65</v>
      </c>
      <c r="J7732">
        <v>0</v>
      </c>
      <c r="K7732">
        <v>0</v>
      </c>
      <c r="L7732">
        <v>0</v>
      </c>
      <c r="M7732">
        <v>2989</v>
      </c>
      <c r="N7732">
        <v>417414.99</v>
      </c>
      <c r="O7732">
        <v>139.65</v>
      </c>
    </row>
    <row r="7733" spans="1:15" x14ac:dyDescent="0.35">
      <c r="A7733" t="s">
        <v>8371</v>
      </c>
      <c r="B7733" t="s">
        <v>8372</v>
      </c>
      <c r="C7733" t="s">
        <v>1644</v>
      </c>
      <c r="D7733" t="s">
        <v>323</v>
      </c>
      <c r="E7733" t="s">
        <v>312</v>
      </c>
      <c r="F7733" t="s">
        <v>8400</v>
      </c>
      <c r="G7733">
        <v>2989</v>
      </c>
      <c r="H7733">
        <v>417414.99</v>
      </c>
      <c r="I7733">
        <v>139.65</v>
      </c>
      <c r="J7733">
        <v>0</v>
      </c>
      <c r="K7733">
        <v>0</v>
      </c>
      <c r="L7733">
        <v>0</v>
      </c>
      <c r="M7733">
        <v>2989</v>
      </c>
      <c r="N7733">
        <v>417414.99</v>
      </c>
      <c r="O7733">
        <v>139.65</v>
      </c>
    </row>
    <row r="7734" spans="1:15" x14ac:dyDescent="0.35">
      <c r="A7734" t="s">
        <v>8371</v>
      </c>
      <c r="B7734" t="s">
        <v>8372</v>
      </c>
      <c r="C7734" t="s">
        <v>1644</v>
      </c>
      <c r="D7734" t="s">
        <v>334</v>
      </c>
      <c r="E7734" t="s">
        <v>312</v>
      </c>
      <c r="F7734" t="s">
        <v>8401</v>
      </c>
      <c r="G7734">
        <v>3519</v>
      </c>
      <c r="H7734">
        <v>518023.36</v>
      </c>
      <c r="I7734">
        <v>148.81</v>
      </c>
      <c r="J7734">
        <v>1</v>
      </c>
      <c r="K7734">
        <v>164.73</v>
      </c>
      <c r="L7734">
        <v>164.73</v>
      </c>
      <c r="M7734">
        <v>3520</v>
      </c>
      <c r="N7734">
        <v>518188.08999999997</v>
      </c>
      <c r="O7734">
        <v>148.82</v>
      </c>
    </row>
    <row r="7735" spans="1:15" x14ac:dyDescent="0.35">
      <c r="A7735" t="s">
        <v>8371</v>
      </c>
      <c r="B7735" t="s">
        <v>8372</v>
      </c>
      <c r="C7735" t="s">
        <v>1644</v>
      </c>
      <c r="D7735" t="s">
        <v>334</v>
      </c>
      <c r="E7735" t="s">
        <v>308</v>
      </c>
      <c r="F7735" t="s">
        <v>8402</v>
      </c>
      <c r="G7735">
        <v>0</v>
      </c>
      <c r="H7735">
        <v>0</v>
      </c>
      <c r="I7735">
        <v>0</v>
      </c>
      <c r="J7735">
        <v>0</v>
      </c>
      <c r="K7735">
        <v>0</v>
      </c>
      <c r="L7735">
        <v>0</v>
      </c>
      <c r="M7735">
        <v>0</v>
      </c>
      <c r="N7735">
        <v>0</v>
      </c>
      <c r="O7735">
        <v>0</v>
      </c>
    </row>
    <row r="7736" spans="1:15" x14ac:dyDescent="0.35">
      <c r="A7736" t="s">
        <v>8371</v>
      </c>
      <c r="B7736" t="s">
        <v>8372</v>
      </c>
      <c r="C7736" t="s">
        <v>1644</v>
      </c>
      <c r="D7736" t="s">
        <v>337</v>
      </c>
      <c r="E7736" t="s">
        <v>337</v>
      </c>
      <c r="F7736" t="s">
        <v>8403</v>
      </c>
      <c r="G7736">
        <v>322</v>
      </c>
      <c r="J7736">
        <v>0</v>
      </c>
      <c r="M7736">
        <v>322</v>
      </c>
    </row>
    <row r="7737" spans="1:15" x14ac:dyDescent="0.35">
      <c r="A7737" t="s">
        <v>8371</v>
      </c>
      <c r="B7737" t="s">
        <v>8372</v>
      </c>
      <c r="C7737" t="s">
        <v>1644</v>
      </c>
      <c r="D7737" t="s">
        <v>339</v>
      </c>
      <c r="E7737" t="s">
        <v>294</v>
      </c>
      <c r="F7737" t="s">
        <v>8404</v>
      </c>
      <c r="G7737">
        <v>377</v>
      </c>
      <c r="H7737">
        <v>49451.429999999993</v>
      </c>
      <c r="I7737">
        <v>131.16999999999999</v>
      </c>
      <c r="J7737">
        <v>0</v>
      </c>
      <c r="K7737">
        <v>0</v>
      </c>
      <c r="L7737">
        <v>0</v>
      </c>
      <c r="M7737">
        <v>377</v>
      </c>
      <c r="N7737">
        <v>49451.429999999993</v>
      </c>
      <c r="O7737">
        <v>131.16999999999999</v>
      </c>
    </row>
    <row r="7738" spans="1:15" x14ac:dyDescent="0.35">
      <c r="A7738" t="s">
        <v>8371</v>
      </c>
      <c r="B7738" t="s">
        <v>8372</v>
      </c>
      <c r="C7738" t="s">
        <v>1644</v>
      </c>
      <c r="D7738" t="s">
        <v>339</v>
      </c>
      <c r="E7738" t="s">
        <v>296</v>
      </c>
      <c r="F7738" t="s">
        <v>8405</v>
      </c>
      <c r="G7738">
        <v>27</v>
      </c>
      <c r="H7738">
        <v>3830.8</v>
      </c>
      <c r="I7738">
        <v>141.88</v>
      </c>
      <c r="J7738">
        <v>0</v>
      </c>
      <c r="K7738">
        <v>0</v>
      </c>
      <c r="L7738">
        <v>0</v>
      </c>
      <c r="M7738">
        <v>27</v>
      </c>
      <c r="N7738">
        <v>3830.8</v>
      </c>
      <c r="O7738">
        <v>141.88</v>
      </c>
    </row>
    <row r="7739" spans="1:15" x14ac:dyDescent="0.35">
      <c r="A7739" t="s">
        <v>8371</v>
      </c>
      <c r="B7739" t="s">
        <v>8372</v>
      </c>
      <c r="C7739" t="s">
        <v>1644</v>
      </c>
      <c r="D7739" t="s">
        <v>339</v>
      </c>
      <c r="E7739" t="s">
        <v>298</v>
      </c>
      <c r="F7739" t="s">
        <v>8406</v>
      </c>
      <c r="G7739">
        <v>2</v>
      </c>
      <c r="H7739">
        <v>298.68</v>
      </c>
      <c r="I7739">
        <v>149.34</v>
      </c>
      <c r="J7739">
        <v>0</v>
      </c>
      <c r="K7739">
        <v>0</v>
      </c>
      <c r="L7739">
        <v>0</v>
      </c>
      <c r="M7739">
        <v>2</v>
      </c>
      <c r="N7739">
        <v>298.68</v>
      </c>
      <c r="O7739">
        <v>149.34</v>
      </c>
    </row>
    <row r="7740" spans="1:15" x14ac:dyDescent="0.35">
      <c r="A7740" t="s">
        <v>8371</v>
      </c>
      <c r="B7740" t="s">
        <v>8372</v>
      </c>
      <c r="C7740" t="s">
        <v>1644</v>
      </c>
      <c r="D7740" t="s">
        <v>339</v>
      </c>
      <c r="E7740" t="s">
        <v>300</v>
      </c>
      <c r="F7740" t="s">
        <v>8407</v>
      </c>
      <c r="G7740">
        <v>0</v>
      </c>
      <c r="H7740">
        <v>0</v>
      </c>
      <c r="I7740">
        <v>0</v>
      </c>
      <c r="J7740">
        <v>0</v>
      </c>
      <c r="K7740">
        <v>0</v>
      </c>
      <c r="L7740">
        <v>0</v>
      </c>
      <c r="M7740">
        <v>0</v>
      </c>
      <c r="N7740">
        <v>0</v>
      </c>
      <c r="O7740">
        <v>0</v>
      </c>
    </row>
    <row r="7741" spans="1:15" x14ac:dyDescent="0.35">
      <c r="A7741" t="s">
        <v>8371</v>
      </c>
      <c r="B7741" t="s">
        <v>8372</v>
      </c>
      <c r="C7741" t="s">
        <v>1644</v>
      </c>
      <c r="D7741" t="s">
        <v>339</v>
      </c>
      <c r="E7741" t="s">
        <v>306</v>
      </c>
      <c r="F7741" t="s">
        <v>8408</v>
      </c>
      <c r="G7741">
        <v>229</v>
      </c>
      <c r="H7741">
        <v>25794.729999999996</v>
      </c>
      <c r="I7741">
        <v>112.64</v>
      </c>
      <c r="J7741">
        <v>0</v>
      </c>
      <c r="K7741">
        <v>0</v>
      </c>
      <c r="L7741">
        <v>0</v>
      </c>
      <c r="M7741">
        <v>229</v>
      </c>
      <c r="N7741">
        <v>25794.729999999996</v>
      </c>
      <c r="O7741">
        <v>112.64</v>
      </c>
    </row>
    <row r="7742" spans="1:15" x14ac:dyDescent="0.35">
      <c r="A7742" t="s">
        <v>8371</v>
      </c>
      <c r="B7742" t="s">
        <v>8372</v>
      </c>
      <c r="C7742" t="s">
        <v>1644</v>
      </c>
      <c r="D7742" t="s">
        <v>339</v>
      </c>
      <c r="E7742" t="s">
        <v>308</v>
      </c>
      <c r="F7742" t="s">
        <v>8409</v>
      </c>
      <c r="G7742">
        <v>48</v>
      </c>
      <c r="H7742">
        <v>7580.2300000000005</v>
      </c>
      <c r="I7742">
        <v>157.91999999999999</v>
      </c>
      <c r="J7742">
        <v>0</v>
      </c>
      <c r="K7742">
        <v>0</v>
      </c>
      <c r="L7742">
        <v>0</v>
      </c>
      <c r="M7742">
        <v>48</v>
      </c>
      <c r="N7742">
        <v>7580.2300000000005</v>
      </c>
      <c r="O7742">
        <v>157.91999999999999</v>
      </c>
    </row>
    <row r="7743" spans="1:15" x14ac:dyDescent="0.35">
      <c r="A7743" t="s">
        <v>8371</v>
      </c>
      <c r="B7743" t="s">
        <v>8372</v>
      </c>
      <c r="C7743" t="s">
        <v>1644</v>
      </c>
      <c r="D7743" t="s">
        <v>339</v>
      </c>
      <c r="E7743" t="s">
        <v>310</v>
      </c>
      <c r="F7743" t="s">
        <v>8410</v>
      </c>
      <c r="G7743">
        <v>683</v>
      </c>
      <c r="H7743">
        <v>86955.869999999981</v>
      </c>
      <c r="I7743">
        <v>127.31</v>
      </c>
      <c r="J7743">
        <v>0</v>
      </c>
      <c r="K7743">
        <v>0</v>
      </c>
      <c r="L7743">
        <v>0</v>
      </c>
      <c r="M7743">
        <v>683</v>
      </c>
      <c r="N7743">
        <v>86955.869999999981</v>
      </c>
      <c r="O7743">
        <v>127.31</v>
      </c>
    </row>
    <row r="7744" spans="1:15" x14ac:dyDescent="0.35">
      <c r="A7744" t="s">
        <v>8371</v>
      </c>
      <c r="B7744" t="s">
        <v>8372</v>
      </c>
      <c r="C7744" t="s">
        <v>1644</v>
      </c>
      <c r="D7744" t="s">
        <v>339</v>
      </c>
      <c r="E7744" t="s">
        <v>312</v>
      </c>
      <c r="F7744" t="s">
        <v>8411</v>
      </c>
      <c r="G7744">
        <v>635</v>
      </c>
      <c r="H7744">
        <v>79375.639999999985</v>
      </c>
      <c r="I7744">
        <v>125</v>
      </c>
      <c r="J7744">
        <v>0</v>
      </c>
      <c r="K7744">
        <v>0</v>
      </c>
      <c r="L7744">
        <v>0</v>
      </c>
      <c r="M7744">
        <v>635</v>
      </c>
      <c r="N7744">
        <v>79375.639999999985</v>
      </c>
      <c r="O7744">
        <v>125</v>
      </c>
    </row>
    <row r="7745" spans="1:15" x14ac:dyDescent="0.35">
      <c r="A7745" t="s">
        <v>8371</v>
      </c>
      <c r="B7745" t="s">
        <v>8372</v>
      </c>
      <c r="C7745" t="s">
        <v>1644</v>
      </c>
      <c r="D7745" t="s">
        <v>348</v>
      </c>
      <c r="E7745" t="s">
        <v>349</v>
      </c>
      <c r="F7745" t="s">
        <v>8412</v>
      </c>
      <c r="G7745">
        <v>870</v>
      </c>
      <c r="H7745">
        <v>87266.559999999983</v>
      </c>
      <c r="I7745">
        <v>127.58</v>
      </c>
      <c r="J7745">
        <v>0</v>
      </c>
      <c r="K7745">
        <v>0</v>
      </c>
      <c r="L7745">
        <v>0</v>
      </c>
      <c r="M7745">
        <v>870</v>
      </c>
      <c r="N7745">
        <v>87266.559999999983</v>
      </c>
      <c r="O7745">
        <v>127.58</v>
      </c>
    </row>
    <row r="7746" spans="1:15" x14ac:dyDescent="0.35">
      <c r="A7746" t="s">
        <v>8413</v>
      </c>
      <c r="B7746" t="s">
        <v>8414</v>
      </c>
      <c r="C7746" t="s">
        <v>1644</v>
      </c>
      <c r="D7746" t="s">
        <v>293</v>
      </c>
      <c r="E7746" t="s">
        <v>294</v>
      </c>
      <c r="F7746" t="s">
        <v>8415</v>
      </c>
      <c r="G7746">
        <v>291</v>
      </c>
      <c r="H7746">
        <v>46231.65</v>
      </c>
      <c r="I7746">
        <v>158.87</v>
      </c>
      <c r="J7746">
        <v>16</v>
      </c>
      <c r="K7746">
        <v>3025.12</v>
      </c>
      <c r="L7746">
        <v>189.07</v>
      </c>
      <c r="M7746">
        <v>307</v>
      </c>
      <c r="N7746">
        <v>49256.770000000004</v>
      </c>
      <c r="O7746">
        <v>160.44999999999999</v>
      </c>
    </row>
    <row r="7747" spans="1:15" x14ac:dyDescent="0.35">
      <c r="A7747" t="s">
        <v>8413</v>
      </c>
      <c r="B7747" t="s">
        <v>8414</v>
      </c>
      <c r="C7747" t="s">
        <v>1644</v>
      </c>
      <c r="D7747" t="s">
        <v>293</v>
      </c>
      <c r="E7747" t="s">
        <v>296</v>
      </c>
      <c r="F7747" t="s">
        <v>8416</v>
      </c>
      <c r="G7747">
        <v>543</v>
      </c>
      <c r="H7747">
        <v>106682.95</v>
      </c>
      <c r="I7747">
        <v>196.47</v>
      </c>
      <c r="J7747">
        <v>16</v>
      </c>
      <c r="K7747">
        <v>3854.08</v>
      </c>
      <c r="L7747">
        <v>240.88</v>
      </c>
      <c r="M7747">
        <v>559</v>
      </c>
      <c r="N7747">
        <v>110537.03</v>
      </c>
      <c r="O7747">
        <v>197.74</v>
      </c>
    </row>
    <row r="7748" spans="1:15" x14ac:dyDescent="0.35">
      <c r="A7748" t="s">
        <v>8413</v>
      </c>
      <c r="B7748" t="s">
        <v>8414</v>
      </c>
      <c r="C7748" t="s">
        <v>1644</v>
      </c>
      <c r="D7748" t="s">
        <v>293</v>
      </c>
      <c r="E7748" t="s">
        <v>298</v>
      </c>
      <c r="F7748" t="s">
        <v>8417</v>
      </c>
      <c r="G7748">
        <v>96</v>
      </c>
      <c r="H7748">
        <v>25103.360000000001</v>
      </c>
      <c r="I7748">
        <v>261.49</v>
      </c>
      <c r="J7748">
        <v>0</v>
      </c>
      <c r="K7748">
        <v>0</v>
      </c>
      <c r="L7748">
        <v>0</v>
      </c>
      <c r="M7748">
        <v>96</v>
      </c>
      <c r="N7748">
        <v>25103.360000000001</v>
      </c>
      <c r="O7748">
        <v>261.49</v>
      </c>
    </row>
    <row r="7749" spans="1:15" x14ac:dyDescent="0.35">
      <c r="A7749" t="s">
        <v>8413</v>
      </c>
      <c r="B7749" t="s">
        <v>8414</v>
      </c>
      <c r="C7749" t="s">
        <v>1644</v>
      </c>
      <c r="D7749" t="s">
        <v>293</v>
      </c>
      <c r="E7749" t="s">
        <v>300</v>
      </c>
      <c r="F7749" t="s">
        <v>8418</v>
      </c>
      <c r="G7749">
        <v>9</v>
      </c>
      <c r="H7749">
        <v>3362.4700000000003</v>
      </c>
      <c r="I7749">
        <v>373.61</v>
      </c>
      <c r="J7749">
        <v>0</v>
      </c>
      <c r="K7749">
        <v>0</v>
      </c>
      <c r="L7749">
        <v>0</v>
      </c>
      <c r="M7749">
        <v>9</v>
      </c>
      <c r="N7749">
        <v>3362.4700000000003</v>
      </c>
      <c r="O7749">
        <v>373.61</v>
      </c>
    </row>
    <row r="7750" spans="1:15" x14ac:dyDescent="0.35">
      <c r="A7750" t="s">
        <v>8413</v>
      </c>
      <c r="B7750" t="s">
        <v>8414</v>
      </c>
      <c r="C7750" t="s">
        <v>1644</v>
      </c>
      <c r="D7750" t="s">
        <v>293</v>
      </c>
      <c r="E7750" t="s">
        <v>302</v>
      </c>
      <c r="F7750" t="s">
        <v>8419</v>
      </c>
      <c r="G7750">
        <v>0</v>
      </c>
      <c r="H7750">
        <v>0</v>
      </c>
      <c r="I7750">
        <v>0</v>
      </c>
      <c r="J7750">
        <v>0</v>
      </c>
      <c r="K7750">
        <v>0</v>
      </c>
      <c r="L7750">
        <v>0</v>
      </c>
      <c r="M7750">
        <v>0</v>
      </c>
      <c r="N7750">
        <v>0</v>
      </c>
      <c r="O7750">
        <v>0</v>
      </c>
    </row>
    <row r="7751" spans="1:15" x14ac:dyDescent="0.35">
      <c r="A7751" t="s">
        <v>8413</v>
      </c>
      <c r="B7751" t="s">
        <v>8414</v>
      </c>
      <c r="C7751" t="s">
        <v>1644</v>
      </c>
      <c r="D7751" t="s">
        <v>293</v>
      </c>
      <c r="E7751" t="s">
        <v>304</v>
      </c>
      <c r="F7751" t="s">
        <v>8420</v>
      </c>
      <c r="G7751">
        <v>0</v>
      </c>
      <c r="H7751">
        <v>0</v>
      </c>
      <c r="I7751">
        <v>0</v>
      </c>
      <c r="J7751">
        <v>0</v>
      </c>
      <c r="K7751">
        <v>0</v>
      </c>
      <c r="L7751">
        <v>0</v>
      </c>
      <c r="M7751">
        <v>0</v>
      </c>
      <c r="N7751">
        <v>0</v>
      </c>
      <c r="O7751">
        <v>0</v>
      </c>
    </row>
    <row r="7752" spans="1:15" x14ac:dyDescent="0.35">
      <c r="A7752" t="s">
        <v>8413</v>
      </c>
      <c r="B7752" t="s">
        <v>8414</v>
      </c>
      <c r="C7752" t="s">
        <v>1644</v>
      </c>
      <c r="D7752" t="s">
        <v>293</v>
      </c>
      <c r="E7752" t="s">
        <v>306</v>
      </c>
      <c r="F7752" t="s">
        <v>8421</v>
      </c>
      <c r="G7752">
        <v>5</v>
      </c>
      <c r="H7752">
        <v>798.42000000000007</v>
      </c>
      <c r="I7752">
        <v>159.68</v>
      </c>
      <c r="J7752">
        <v>0</v>
      </c>
      <c r="K7752">
        <v>0</v>
      </c>
      <c r="L7752">
        <v>0</v>
      </c>
      <c r="M7752">
        <v>5</v>
      </c>
      <c r="N7752">
        <v>798.42000000000007</v>
      </c>
      <c r="O7752">
        <v>159.68</v>
      </c>
    </row>
    <row r="7753" spans="1:15" x14ac:dyDescent="0.35">
      <c r="A7753" t="s">
        <v>8413</v>
      </c>
      <c r="B7753" t="s">
        <v>8414</v>
      </c>
      <c r="C7753" t="s">
        <v>1644</v>
      </c>
      <c r="D7753" t="s">
        <v>293</v>
      </c>
      <c r="E7753" t="s">
        <v>308</v>
      </c>
      <c r="F7753" t="s">
        <v>8422</v>
      </c>
      <c r="G7753">
        <v>0</v>
      </c>
      <c r="H7753">
        <v>0</v>
      </c>
      <c r="I7753">
        <v>0</v>
      </c>
      <c r="J7753">
        <v>0</v>
      </c>
      <c r="K7753">
        <v>0</v>
      </c>
      <c r="L7753">
        <v>0</v>
      </c>
      <c r="M7753">
        <v>0</v>
      </c>
      <c r="N7753">
        <v>0</v>
      </c>
      <c r="O7753">
        <v>0</v>
      </c>
    </row>
    <row r="7754" spans="1:15" x14ac:dyDescent="0.35">
      <c r="A7754" t="s">
        <v>8413</v>
      </c>
      <c r="B7754" t="s">
        <v>8414</v>
      </c>
      <c r="C7754" t="s">
        <v>1644</v>
      </c>
      <c r="D7754" t="s">
        <v>293</v>
      </c>
      <c r="E7754" t="s">
        <v>310</v>
      </c>
      <c r="F7754" t="s">
        <v>8423</v>
      </c>
      <c r="G7754">
        <v>944</v>
      </c>
      <c r="H7754">
        <v>182178.85000000003</v>
      </c>
      <c r="I7754">
        <v>192.99</v>
      </c>
      <c r="J7754">
        <v>32</v>
      </c>
      <c r="K7754">
        <v>6879.2</v>
      </c>
      <c r="L7754">
        <v>214.98</v>
      </c>
      <c r="M7754">
        <v>976</v>
      </c>
      <c r="N7754">
        <v>189058.05000000005</v>
      </c>
      <c r="O7754">
        <v>193.71</v>
      </c>
    </row>
    <row r="7755" spans="1:15" x14ac:dyDescent="0.35">
      <c r="A7755" t="s">
        <v>8413</v>
      </c>
      <c r="B7755" t="s">
        <v>8414</v>
      </c>
      <c r="C7755" t="s">
        <v>1644</v>
      </c>
      <c r="D7755" t="s">
        <v>293</v>
      </c>
      <c r="E7755" t="s">
        <v>312</v>
      </c>
      <c r="F7755" t="s">
        <v>8424</v>
      </c>
      <c r="G7755">
        <v>944</v>
      </c>
      <c r="H7755">
        <v>182178.85000000003</v>
      </c>
      <c r="I7755">
        <v>192.99</v>
      </c>
      <c r="J7755">
        <v>32</v>
      </c>
      <c r="K7755">
        <v>6879.2</v>
      </c>
      <c r="L7755">
        <v>214.98</v>
      </c>
      <c r="M7755">
        <v>976</v>
      </c>
      <c r="N7755">
        <v>189058.05000000005</v>
      </c>
      <c r="O7755">
        <v>193.71</v>
      </c>
    </row>
    <row r="7756" spans="1:15" x14ac:dyDescent="0.35">
      <c r="A7756" t="s">
        <v>8413</v>
      </c>
      <c r="B7756" t="s">
        <v>8414</v>
      </c>
      <c r="C7756" t="s">
        <v>1644</v>
      </c>
      <c r="D7756" t="s">
        <v>314</v>
      </c>
      <c r="E7756" t="s">
        <v>294</v>
      </c>
      <c r="F7756" t="s">
        <v>8425</v>
      </c>
      <c r="G7756">
        <v>7</v>
      </c>
      <c r="H7756">
        <v>1300.04</v>
      </c>
      <c r="I7756">
        <v>185.72</v>
      </c>
      <c r="J7756">
        <v>0</v>
      </c>
      <c r="K7756">
        <v>0</v>
      </c>
      <c r="L7756">
        <v>0</v>
      </c>
      <c r="M7756">
        <v>7</v>
      </c>
      <c r="N7756">
        <v>1300.04</v>
      </c>
      <c r="O7756">
        <v>185.72</v>
      </c>
    </row>
    <row r="7757" spans="1:15" x14ac:dyDescent="0.35">
      <c r="A7757" t="s">
        <v>8413</v>
      </c>
      <c r="B7757" t="s">
        <v>8414</v>
      </c>
      <c r="C7757" t="s">
        <v>1644</v>
      </c>
      <c r="D7757" t="s">
        <v>314</v>
      </c>
      <c r="E7757" t="s">
        <v>296</v>
      </c>
      <c r="F7757" t="s">
        <v>8426</v>
      </c>
      <c r="G7757">
        <v>11</v>
      </c>
      <c r="H7757">
        <v>2539.13</v>
      </c>
      <c r="I7757">
        <v>230.83</v>
      </c>
      <c r="J7757">
        <v>0</v>
      </c>
      <c r="K7757">
        <v>0</v>
      </c>
      <c r="L7757">
        <v>0</v>
      </c>
      <c r="M7757">
        <v>11</v>
      </c>
      <c r="N7757">
        <v>2539.13</v>
      </c>
      <c r="O7757">
        <v>230.83</v>
      </c>
    </row>
    <row r="7758" spans="1:15" x14ac:dyDescent="0.35">
      <c r="A7758" t="s">
        <v>8413</v>
      </c>
      <c r="B7758" t="s">
        <v>8414</v>
      </c>
      <c r="C7758" t="s">
        <v>1644</v>
      </c>
      <c r="D7758" t="s">
        <v>314</v>
      </c>
      <c r="E7758" t="s">
        <v>298</v>
      </c>
      <c r="F7758" t="s">
        <v>8427</v>
      </c>
      <c r="G7758">
        <v>0</v>
      </c>
      <c r="H7758">
        <v>0</v>
      </c>
      <c r="I7758">
        <v>0</v>
      </c>
      <c r="J7758">
        <v>0</v>
      </c>
      <c r="K7758">
        <v>0</v>
      </c>
      <c r="L7758">
        <v>0</v>
      </c>
      <c r="M7758">
        <v>0</v>
      </c>
      <c r="N7758">
        <v>0</v>
      </c>
      <c r="O7758">
        <v>0</v>
      </c>
    </row>
    <row r="7759" spans="1:15" x14ac:dyDescent="0.35">
      <c r="A7759" t="s">
        <v>8413</v>
      </c>
      <c r="B7759" t="s">
        <v>8414</v>
      </c>
      <c r="C7759" t="s">
        <v>1644</v>
      </c>
      <c r="D7759" t="s">
        <v>314</v>
      </c>
      <c r="E7759" t="s">
        <v>300</v>
      </c>
      <c r="F7759" t="s">
        <v>8428</v>
      </c>
      <c r="G7759">
        <v>0</v>
      </c>
      <c r="H7759">
        <v>0</v>
      </c>
      <c r="I7759">
        <v>0</v>
      </c>
      <c r="J7759">
        <v>0</v>
      </c>
      <c r="K7759">
        <v>0</v>
      </c>
      <c r="L7759">
        <v>0</v>
      </c>
      <c r="M7759">
        <v>0</v>
      </c>
      <c r="N7759">
        <v>0</v>
      </c>
      <c r="O7759">
        <v>0</v>
      </c>
    </row>
    <row r="7760" spans="1:15" x14ac:dyDescent="0.35">
      <c r="A7760" t="s">
        <v>8413</v>
      </c>
      <c r="B7760" t="s">
        <v>8414</v>
      </c>
      <c r="C7760" t="s">
        <v>1644</v>
      </c>
      <c r="D7760" t="s">
        <v>314</v>
      </c>
      <c r="E7760" t="s">
        <v>306</v>
      </c>
      <c r="F7760" t="s">
        <v>8429</v>
      </c>
      <c r="G7760">
        <v>0</v>
      </c>
      <c r="H7760">
        <v>0</v>
      </c>
      <c r="I7760">
        <v>0</v>
      </c>
      <c r="J7760">
        <v>0</v>
      </c>
      <c r="K7760">
        <v>0</v>
      </c>
      <c r="L7760">
        <v>0</v>
      </c>
      <c r="M7760">
        <v>0</v>
      </c>
      <c r="N7760">
        <v>0</v>
      </c>
      <c r="O7760">
        <v>0</v>
      </c>
    </row>
    <row r="7761" spans="1:15" x14ac:dyDescent="0.35">
      <c r="A7761" t="s">
        <v>8413</v>
      </c>
      <c r="B7761" t="s">
        <v>8414</v>
      </c>
      <c r="C7761" t="s">
        <v>1644</v>
      </c>
      <c r="D7761" t="s">
        <v>314</v>
      </c>
      <c r="E7761" t="s">
        <v>308</v>
      </c>
      <c r="F7761" t="s">
        <v>8430</v>
      </c>
      <c r="G7761">
        <v>0</v>
      </c>
      <c r="H7761">
        <v>0</v>
      </c>
      <c r="I7761">
        <v>0</v>
      </c>
      <c r="J7761">
        <v>0</v>
      </c>
      <c r="K7761">
        <v>0</v>
      </c>
      <c r="L7761">
        <v>0</v>
      </c>
      <c r="M7761">
        <v>0</v>
      </c>
      <c r="N7761">
        <v>0</v>
      </c>
      <c r="O7761">
        <v>0</v>
      </c>
    </row>
    <row r="7762" spans="1:15" x14ac:dyDescent="0.35">
      <c r="A7762" t="s">
        <v>8413</v>
      </c>
      <c r="B7762" t="s">
        <v>8414</v>
      </c>
      <c r="C7762" t="s">
        <v>1644</v>
      </c>
      <c r="D7762" t="s">
        <v>314</v>
      </c>
      <c r="E7762" t="s">
        <v>312</v>
      </c>
      <c r="F7762" t="s">
        <v>8431</v>
      </c>
      <c r="G7762">
        <v>18</v>
      </c>
      <c r="H7762">
        <v>3839.17</v>
      </c>
      <c r="I7762">
        <v>213.29</v>
      </c>
      <c r="J7762">
        <v>0</v>
      </c>
      <c r="K7762">
        <v>0</v>
      </c>
      <c r="L7762">
        <v>0</v>
      </c>
      <c r="M7762">
        <v>18</v>
      </c>
      <c r="N7762">
        <v>3839.17</v>
      </c>
      <c r="O7762">
        <v>213.29</v>
      </c>
    </row>
    <row r="7763" spans="1:15" x14ac:dyDescent="0.35">
      <c r="A7763" t="s">
        <v>8413</v>
      </c>
      <c r="B7763" t="s">
        <v>8414</v>
      </c>
      <c r="C7763" t="s">
        <v>1644</v>
      </c>
      <c r="D7763" t="s">
        <v>314</v>
      </c>
      <c r="E7763" t="s">
        <v>310</v>
      </c>
      <c r="F7763" t="s">
        <v>8432</v>
      </c>
      <c r="G7763">
        <v>18</v>
      </c>
      <c r="H7763">
        <v>3839.17</v>
      </c>
      <c r="I7763">
        <v>213.29</v>
      </c>
      <c r="J7763">
        <v>0</v>
      </c>
      <c r="K7763">
        <v>0</v>
      </c>
      <c r="L7763">
        <v>0</v>
      </c>
      <c r="M7763">
        <v>18</v>
      </c>
      <c r="N7763">
        <v>3839.17</v>
      </c>
      <c r="O7763">
        <v>213.29</v>
      </c>
    </row>
    <row r="7764" spans="1:15" x14ac:dyDescent="0.35">
      <c r="A7764" t="s">
        <v>8413</v>
      </c>
      <c r="B7764" t="s">
        <v>8414</v>
      </c>
      <c r="C7764" t="s">
        <v>1644</v>
      </c>
      <c r="D7764" t="s">
        <v>323</v>
      </c>
      <c r="E7764" t="s">
        <v>294</v>
      </c>
      <c r="F7764" t="s">
        <v>8433</v>
      </c>
      <c r="G7764">
        <v>1063</v>
      </c>
      <c r="H7764">
        <v>129077.13</v>
      </c>
      <c r="I7764">
        <v>121.43</v>
      </c>
      <c r="J7764">
        <v>2</v>
      </c>
      <c r="K7764">
        <v>223.58</v>
      </c>
      <c r="L7764">
        <v>111.79</v>
      </c>
      <c r="M7764">
        <v>1065</v>
      </c>
      <c r="N7764">
        <v>129300.71</v>
      </c>
      <c r="O7764">
        <v>121.41</v>
      </c>
    </row>
    <row r="7765" spans="1:15" x14ac:dyDescent="0.35">
      <c r="A7765" t="s">
        <v>8413</v>
      </c>
      <c r="B7765" t="s">
        <v>8414</v>
      </c>
      <c r="C7765" t="s">
        <v>1644</v>
      </c>
      <c r="D7765" t="s">
        <v>323</v>
      </c>
      <c r="E7765" t="s">
        <v>296</v>
      </c>
      <c r="F7765" t="s">
        <v>8434</v>
      </c>
      <c r="G7765">
        <v>1836</v>
      </c>
      <c r="H7765">
        <v>259446.86000000002</v>
      </c>
      <c r="I7765">
        <v>141.31</v>
      </c>
      <c r="J7765">
        <v>9</v>
      </c>
      <c r="K7765">
        <v>1126.08</v>
      </c>
      <c r="L7765">
        <v>125.12</v>
      </c>
      <c r="M7765">
        <v>1845</v>
      </c>
      <c r="N7765">
        <v>260572.94</v>
      </c>
      <c r="O7765">
        <v>141.22999999999999</v>
      </c>
    </row>
    <row r="7766" spans="1:15" x14ac:dyDescent="0.35">
      <c r="A7766" t="s">
        <v>8413</v>
      </c>
      <c r="B7766" t="s">
        <v>8414</v>
      </c>
      <c r="C7766" t="s">
        <v>1644</v>
      </c>
      <c r="D7766" t="s">
        <v>323</v>
      </c>
      <c r="E7766" t="s">
        <v>298</v>
      </c>
      <c r="F7766" t="s">
        <v>8435</v>
      </c>
      <c r="G7766">
        <v>2015</v>
      </c>
      <c r="H7766">
        <v>324609.45999999996</v>
      </c>
      <c r="I7766">
        <v>161.1</v>
      </c>
      <c r="J7766">
        <v>10</v>
      </c>
      <c r="K7766">
        <v>1435.2</v>
      </c>
      <c r="L7766">
        <v>143.52000000000001</v>
      </c>
      <c r="M7766">
        <v>2025</v>
      </c>
      <c r="N7766">
        <v>326044.65999999997</v>
      </c>
      <c r="O7766">
        <v>161.01</v>
      </c>
    </row>
    <row r="7767" spans="1:15" x14ac:dyDescent="0.35">
      <c r="A7767" t="s">
        <v>8413</v>
      </c>
      <c r="B7767" t="s">
        <v>8414</v>
      </c>
      <c r="C7767" t="s">
        <v>1644</v>
      </c>
      <c r="D7767" t="s">
        <v>323</v>
      </c>
      <c r="E7767" t="s">
        <v>300</v>
      </c>
      <c r="F7767" t="s">
        <v>8436</v>
      </c>
      <c r="G7767">
        <v>178</v>
      </c>
      <c r="H7767">
        <v>31352.07</v>
      </c>
      <c r="I7767">
        <v>176.14</v>
      </c>
      <c r="J7767">
        <v>0</v>
      </c>
      <c r="K7767">
        <v>0</v>
      </c>
      <c r="L7767">
        <v>0</v>
      </c>
      <c r="M7767">
        <v>178</v>
      </c>
      <c r="N7767">
        <v>31352.07</v>
      </c>
      <c r="O7767">
        <v>176.14</v>
      </c>
    </row>
    <row r="7768" spans="1:15" x14ac:dyDescent="0.35">
      <c r="A7768" t="s">
        <v>8413</v>
      </c>
      <c r="B7768" t="s">
        <v>8414</v>
      </c>
      <c r="C7768" t="s">
        <v>1644</v>
      </c>
      <c r="D7768" t="s">
        <v>323</v>
      </c>
      <c r="E7768" t="s">
        <v>302</v>
      </c>
      <c r="F7768" t="s">
        <v>8437</v>
      </c>
      <c r="G7768">
        <v>16</v>
      </c>
      <c r="H7768">
        <v>2954.14</v>
      </c>
      <c r="I7768">
        <v>184.63</v>
      </c>
      <c r="J7768">
        <v>0</v>
      </c>
      <c r="K7768">
        <v>0</v>
      </c>
      <c r="L7768">
        <v>0</v>
      </c>
      <c r="M7768">
        <v>16</v>
      </c>
      <c r="N7768">
        <v>2954.14</v>
      </c>
      <c r="O7768">
        <v>184.63</v>
      </c>
    </row>
    <row r="7769" spans="1:15" x14ac:dyDescent="0.35">
      <c r="A7769" t="s">
        <v>8413</v>
      </c>
      <c r="B7769" t="s">
        <v>8414</v>
      </c>
      <c r="C7769" t="s">
        <v>1644</v>
      </c>
      <c r="D7769" t="s">
        <v>323</v>
      </c>
      <c r="E7769" t="s">
        <v>304</v>
      </c>
      <c r="F7769" t="s">
        <v>8438</v>
      </c>
      <c r="G7769">
        <v>2</v>
      </c>
      <c r="H7769">
        <v>400.54</v>
      </c>
      <c r="I7769">
        <v>200.27</v>
      </c>
      <c r="J7769">
        <v>0</v>
      </c>
      <c r="K7769">
        <v>0</v>
      </c>
      <c r="L7769">
        <v>0</v>
      </c>
      <c r="M7769">
        <v>2</v>
      </c>
      <c r="N7769">
        <v>400.54</v>
      </c>
      <c r="O7769">
        <v>200.27</v>
      </c>
    </row>
    <row r="7770" spans="1:15" x14ac:dyDescent="0.35">
      <c r="A7770" t="s">
        <v>8413</v>
      </c>
      <c r="B7770" t="s">
        <v>8414</v>
      </c>
      <c r="C7770" t="s">
        <v>1644</v>
      </c>
      <c r="D7770" t="s">
        <v>323</v>
      </c>
      <c r="E7770" t="s">
        <v>306</v>
      </c>
      <c r="F7770" t="s">
        <v>8439</v>
      </c>
      <c r="G7770">
        <v>88</v>
      </c>
      <c r="H7770">
        <v>9990.2199999999993</v>
      </c>
      <c r="I7770">
        <v>113.53</v>
      </c>
      <c r="J7770">
        <v>0</v>
      </c>
      <c r="K7770">
        <v>0</v>
      </c>
      <c r="L7770">
        <v>0</v>
      </c>
      <c r="M7770">
        <v>88</v>
      </c>
      <c r="N7770">
        <v>9990.2199999999993</v>
      </c>
      <c r="O7770">
        <v>113.53</v>
      </c>
    </row>
    <row r="7771" spans="1:15" x14ac:dyDescent="0.35">
      <c r="A7771" t="s">
        <v>8413</v>
      </c>
      <c r="B7771" t="s">
        <v>8414</v>
      </c>
      <c r="C7771" t="s">
        <v>1644</v>
      </c>
      <c r="D7771" t="s">
        <v>323</v>
      </c>
      <c r="E7771" t="s">
        <v>308</v>
      </c>
      <c r="F7771" t="s">
        <v>8440</v>
      </c>
      <c r="G7771">
        <v>0</v>
      </c>
      <c r="H7771">
        <v>0</v>
      </c>
      <c r="I7771">
        <v>0</v>
      </c>
      <c r="J7771">
        <v>0</v>
      </c>
      <c r="K7771">
        <v>0</v>
      </c>
      <c r="L7771">
        <v>0</v>
      </c>
      <c r="M7771">
        <v>0</v>
      </c>
      <c r="N7771">
        <v>0</v>
      </c>
      <c r="O7771">
        <v>0</v>
      </c>
    </row>
    <row r="7772" spans="1:15" x14ac:dyDescent="0.35">
      <c r="A7772" t="s">
        <v>8413</v>
      </c>
      <c r="B7772" t="s">
        <v>8414</v>
      </c>
      <c r="C7772" t="s">
        <v>1644</v>
      </c>
      <c r="D7772" t="s">
        <v>323</v>
      </c>
      <c r="E7772" t="s">
        <v>310</v>
      </c>
      <c r="F7772" t="s">
        <v>8441</v>
      </c>
      <c r="G7772">
        <v>5198</v>
      </c>
      <c r="H7772">
        <v>757830.41999999993</v>
      </c>
      <c r="I7772">
        <v>145.79</v>
      </c>
      <c r="J7772">
        <v>21</v>
      </c>
      <c r="K7772">
        <v>2784.8599999999997</v>
      </c>
      <c r="L7772">
        <v>132.61000000000001</v>
      </c>
      <c r="M7772">
        <v>5219</v>
      </c>
      <c r="N7772">
        <v>760615.27999999991</v>
      </c>
      <c r="O7772">
        <v>145.74</v>
      </c>
    </row>
    <row r="7773" spans="1:15" x14ac:dyDescent="0.35">
      <c r="A7773" t="s">
        <v>8413</v>
      </c>
      <c r="B7773" t="s">
        <v>8414</v>
      </c>
      <c r="C7773" t="s">
        <v>1644</v>
      </c>
      <c r="D7773" t="s">
        <v>323</v>
      </c>
      <c r="E7773" t="s">
        <v>312</v>
      </c>
      <c r="F7773" t="s">
        <v>8442</v>
      </c>
      <c r="G7773">
        <v>5198</v>
      </c>
      <c r="H7773">
        <v>757830.41999999993</v>
      </c>
      <c r="I7773">
        <v>145.79</v>
      </c>
      <c r="J7773">
        <v>21</v>
      </c>
      <c r="K7773">
        <v>2784.8599999999997</v>
      </c>
      <c r="L7773">
        <v>132.61000000000001</v>
      </c>
      <c r="M7773">
        <v>5219</v>
      </c>
      <c r="N7773">
        <v>760615.27999999991</v>
      </c>
      <c r="O7773">
        <v>145.74</v>
      </c>
    </row>
    <row r="7774" spans="1:15" x14ac:dyDescent="0.35">
      <c r="A7774" t="s">
        <v>8413</v>
      </c>
      <c r="B7774" t="s">
        <v>8414</v>
      </c>
      <c r="C7774" t="s">
        <v>1644</v>
      </c>
      <c r="D7774" t="s">
        <v>334</v>
      </c>
      <c r="E7774" t="s">
        <v>312</v>
      </c>
      <c r="F7774" t="s">
        <v>8443</v>
      </c>
      <c r="G7774">
        <v>6256</v>
      </c>
      <c r="H7774">
        <v>940009.27</v>
      </c>
      <c r="I7774">
        <v>153.05000000000001</v>
      </c>
      <c r="J7774">
        <v>53</v>
      </c>
      <c r="K7774">
        <v>9664.0600000000013</v>
      </c>
      <c r="L7774">
        <v>182.34</v>
      </c>
      <c r="M7774">
        <v>6309</v>
      </c>
      <c r="N7774">
        <v>949673.33000000007</v>
      </c>
      <c r="O7774">
        <v>153.30000000000001</v>
      </c>
    </row>
    <row r="7775" spans="1:15" x14ac:dyDescent="0.35">
      <c r="A7775" t="s">
        <v>8413</v>
      </c>
      <c r="B7775" t="s">
        <v>8414</v>
      </c>
      <c r="C7775" t="s">
        <v>1644</v>
      </c>
      <c r="D7775" t="s">
        <v>334</v>
      </c>
      <c r="E7775" t="s">
        <v>308</v>
      </c>
      <c r="F7775" t="s">
        <v>8444</v>
      </c>
      <c r="G7775">
        <v>0</v>
      </c>
      <c r="H7775">
        <v>0</v>
      </c>
      <c r="I7775">
        <v>0</v>
      </c>
      <c r="J7775">
        <v>0</v>
      </c>
      <c r="K7775">
        <v>0</v>
      </c>
      <c r="L7775">
        <v>0</v>
      </c>
      <c r="M7775">
        <v>0</v>
      </c>
      <c r="N7775">
        <v>0</v>
      </c>
      <c r="O7775">
        <v>0</v>
      </c>
    </row>
    <row r="7776" spans="1:15" x14ac:dyDescent="0.35">
      <c r="A7776" t="s">
        <v>8413</v>
      </c>
      <c r="B7776" t="s">
        <v>8414</v>
      </c>
      <c r="C7776" t="s">
        <v>1644</v>
      </c>
      <c r="D7776" t="s">
        <v>337</v>
      </c>
      <c r="E7776" t="s">
        <v>337</v>
      </c>
      <c r="F7776" t="s">
        <v>8445</v>
      </c>
      <c r="G7776">
        <v>1036</v>
      </c>
      <c r="J7776">
        <v>0</v>
      </c>
      <c r="M7776">
        <v>1036</v>
      </c>
    </row>
    <row r="7777" spans="1:15" x14ac:dyDescent="0.35">
      <c r="A7777" t="s">
        <v>8413</v>
      </c>
      <c r="B7777" t="s">
        <v>8414</v>
      </c>
      <c r="C7777" t="s">
        <v>1644</v>
      </c>
      <c r="D7777" t="s">
        <v>339</v>
      </c>
      <c r="E7777" t="s">
        <v>294</v>
      </c>
      <c r="F7777" t="s">
        <v>8446</v>
      </c>
      <c r="G7777">
        <v>397</v>
      </c>
      <c r="H7777">
        <v>54815.66</v>
      </c>
      <c r="I7777">
        <v>138.07</v>
      </c>
      <c r="J7777">
        <v>4</v>
      </c>
      <c r="K7777">
        <v>466.28</v>
      </c>
      <c r="L7777">
        <v>116.57</v>
      </c>
      <c r="M7777">
        <v>401</v>
      </c>
      <c r="N7777">
        <v>55281.94</v>
      </c>
      <c r="O7777">
        <v>137.86000000000001</v>
      </c>
    </row>
    <row r="7778" spans="1:15" x14ac:dyDescent="0.35">
      <c r="A7778" t="s">
        <v>8413</v>
      </c>
      <c r="B7778" t="s">
        <v>8414</v>
      </c>
      <c r="C7778" t="s">
        <v>1644</v>
      </c>
      <c r="D7778" t="s">
        <v>339</v>
      </c>
      <c r="E7778" t="s">
        <v>296</v>
      </c>
      <c r="F7778" t="s">
        <v>8447</v>
      </c>
      <c r="G7778">
        <v>122</v>
      </c>
      <c r="H7778">
        <v>18179.32</v>
      </c>
      <c r="I7778">
        <v>149.01</v>
      </c>
      <c r="J7778">
        <v>0</v>
      </c>
      <c r="K7778">
        <v>0</v>
      </c>
      <c r="L7778">
        <v>0</v>
      </c>
      <c r="M7778">
        <v>122</v>
      </c>
      <c r="N7778">
        <v>18179.32</v>
      </c>
      <c r="O7778">
        <v>149.01</v>
      </c>
    </row>
    <row r="7779" spans="1:15" x14ac:dyDescent="0.35">
      <c r="A7779" t="s">
        <v>8413</v>
      </c>
      <c r="B7779" t="s">
        <v>8414</v>
      </c>
      <c r="C7779" t="s">
        <v>1644</v>
      </c>
      <c r="D7779" t="s">
        <v>339</v>
      </c>
      <c r="E7779" t="s">
        <v>298</v>
      </c>
      <c r="F7779" t="s">
        <v>8448</v>
      </c>
      <c r="G7779">
        <v>0</v>
      </c>
      <c r="H7779">
        <v>0</v>
      </c>
      <c r="I7779">
        <v>0</v>
      </c>
      <c r="J7779">
        <v>0</v>
      </c>
      <c r="K7779">
        <v>0</v>
      </c>
      <c r="L7779">
        <v>0</v>
      </c>
      <c r="M7779">
        <v>0</v>
      </c>
      <c r="N7779">
        <v>0</v>
      </c>
      <c r="O7779">
        <v>0</v>
      </c>
    </row>
    <row r="7780" spans="1:15" x14ac:dyDescent="0.35">
      <c r="A7780" t="s">
        <v>8413</v>
      </c>
      <c r="B7780" t="s">
        <v>8414</v>
      </c>
      <c r="C7780" t="s">
        <v>1644</v>
      </c>
      <c r="D7780" t="s">
        <v>339</v>
      </c>
      <c r="E7780" t="s">
        <v>300</v>
      </c>
      <c r="F7780" t="s">
        <v>8449</v>
      </c>
      <c r="G7780">
        <v>0</v>
      </c>
      <c r="H7780">
        <v>0</v>
      </c>
      <c r="I7780">
        <v>0</v>
      </c>
      <c r="J7780">
        <v>0</v>
      </c>
      <c r="K7780">
        <v>0</v>
      </c>
      <c r="L7780">
        <v>0</v>
      </c>
      <c r="M7780">
        <v>0</v>
      </c>
      <c r="N7780">
        <v>0</v>
      </c>
      <c r="O7780">
        <v>0</v>
      </c>
    </row>
    <row r="7781" spans="1:15" x14ac:dyDescent="0.35">
      <c r="A7781" t="s">
        <v>8413</v>
      </c>
      <c r="B7781" t="s">
        <v>8414</v>
      </c>
      <c r="C7781" t="s">
        <v>1644</v>
      </c>
      <c r="D7781" t="s">
        <v>339</v>
      </c>
      <c r="E7781" t="s">
        <v>306</v>
      </c>
      <c r="F7781" t="s">
        <v>8450</v>
      </c>
      <c r="G7781">
        <v>27</v>
      </c>
      <c r="H7781">
        <v>3090.96</v>
      </c>
      <c r="I7781">
        <v>114.48</v>
      </c>
      <c r="J7781">
        <v>0</v>
      </c>
      <c r="K7781">
        <v>0</v>
      </c>
      <c r="L7781">
        <v>0</v>
      </c>
      <c r="M7781">
        <v>27</v>
      </c>
      <c r="N7781">
        <v>3090.96</v>
      </c>
      <c r="O7781">
        <v>114.48</v>
      </c>
    </row>
    <row r="7782" spans="1:15" x14ac:dyDescent="0.35">
      <c r="A7782" t="s">
        <v>8413</v>
      </c>
      <c r="B7782" t="s">
        <v>8414</v>
      </c>
      <c r="C7782" t="s">
        <v>1644</v>
      </c>
      <c r="D7782" t="s">
        <v>339</v>
      </c>
      <c r="E7782" t="s">
        <v>308</v>
      </c>
      <c r="F7782" t="s">
        <v>8451</v>
      </c>
      <c r="G7782">
        <v>156</v>
      </c>
      <c r="H7782">
        <v>37649.67</v>
      </c>
      <c r="I7782">
        <v>241.34</v>
      </c>
      <c r="J7782">
        <v>10</v>
      </c>
      <c r="K7782">
        <v>933.7</v>
      </c>
      <c r="L7782">
        <v>93.37</v>
      </c>
      <c r="M7782">
        <v>166</v>
      </c>
      <c r="N7782">
        <v>38583.369999999995</v>
      </c>
      <c r="O7782">
        <v>232.43</v>
      </c>
    </row>
    <row r="7783" spans="1:15" x14ac:dyDescent="0.35">
      <c r="A7783" t="s">
        <v>8413</v>
      </c>
      <c r="B7783" t="s">
        <v>8414</v>
      </c>
      <c r="C7783" t="s">
        <v>1644</v>
      </c>
      <c r="D7783" t="s">
        <v>339</v>
      </c>
      <c r="E7783" t="s">
        <v>310</v>
      </c>
      <c r="F7783" t="s">
        <v>8452</v>
      </c>
      <c r="G7783">
        <v>702</v>
      </c>
      <c r="H7783">
        <v>113735.61000000002</v>
      </c>
      <c r="I7783">
        <v>162.02000000000001</v>
      </c>
      <c r="J7783">
        <v>14</v>
      </c>
      <c r="K7783">
        <v>1399.98</v>
      </c>
      <c r="L7783">
        <v>100</v>
      </c>
      <c r="M7783">
        <v>716</v>
      </c>
      <c r="N7783">
        <v>115135.59000000001</v>
      </c>
      <c r="O7783">
        <v>160.80000000000001</v>
      </c>
    </row>
    <row r="7784" spans="1:15" x14ac:dyDescent="0.35">
      <c r="A7784" t="s">
        <v>8413</v>
      </c>
      <c r="B7784" t="s">
        <v>8414</v>
      </c>
      <c r="C7784" t="s">
        <v>1644</v>
      </c>
      <c r="D7784" t="s">
        <v>339</v>
      </c>
      <c r="E7784" t="s">
        <v>312</v>
      </c>
      <c r="F7784" t="s">
        <v>8453</v>
      </c>
      <c r="G7784">
        <v>546</v>
      </c>
      <c r="H7784">
        <v>76085.940000000017</v>
      </c>
      <c r="I7784">
        <v>139.35</v>
      </c>
      <c r="J7784">
        <v>4</v>
      </c>
      <c r="K7784">
        <v>466.28</v>
      </c>
      <c r="L7784">
        <v>116.57</v>
      </c>
      <c r="M7784">
        <v>550</v>
      </c>
      <c r="N7784">
        <v>76552.220000000016</v>
      </c>
      <c r="O7784">
        <v>139.19</v>
      </c>
    </row>
    <row r="7785" spans="1:15" x14ac:dyDescent="0.35">
      <c r="A7785" t="s">
        <v>8413</v>
      </c>
      <c r="B7785" t="s">
        <v>8414</v>
      </c>
      <c r="C7785" t="s">
        <v>1644</v>
      </c>
      <c r="D7785" t="s">
        <v>348</v>
      </c>
      <c r="E7785" t="s">
        <v>349</v>
      </c>
      <c r="F7785" t="s">
        <v>8454</v>
      </c>
      <c r="G7785">
        <v>1037</v>
      </c>
      <c r="H7785">
        <v>117574.78</v>
      </c>
      <c r="I7785">
        <v>163.30000000000001</v>
      </c>
      <c r="J7785">
        <v>14</v>
      </c>
      <c r="K7785">
        <v>1399.98</v>
      </c>
      <c r="L7785">
        <v>100</v>
      </c>
      <c r="M7785">
        <v>1051</v>
      </c>
      <c r="N7785">
        <v>118974.76</v>
      </c>
      <c r="O7785">
        <v>162.09</v>
      </c>
    </row>
    <row r="7786" spans="1:15" x14ac:dyDescent="0.35">
      <c r="A7786" t="s">
        <v>8455</v>
      </c>
      <c r="B7786" t="s">
        <v>8456</v>
      </c>
      <c r="C7786" t="s">
        <v>1644</v>
      </c>
      <c r="D7786" t="s">
        <v>293</v>
      </c>
      <c r="E7786" t="s">
        <v>294</v>
      </c>
      <c r="F7786" t="s">
        <v>8457</v>
      </c>
      <c r="G7786">
        <v>96</v>
      </c>
      <c r="H7786">
        <v>19357.260000000002</v>
      </c>
      <c r="I7786">
        <v>201.64</v>
      </c>
      <c r="J7786">
        <v>4</v>
      </c>
      <c r="K7786">
        <v>757.28</v>
      </c>
      <c r="L7786">
        <v>189.32</v>
      </c>
      <c r="M7786">
        <v>100</v>
      </c>
      <c r="N7786">
        <v>20114.54</v>
      </c>
      <c r="O7786">
        <v>201.15</v>
      </c>
    </row>
    <row r="7787" spans="1:15" x14ac:dyDescent="0.35">
      <c r="A7787" t="s">
        <v>8455</v>
      </c>
      <c r="B7787" t="s">
        <v>8456</v>
      </c>
      <c r="C7787" t="s">
        <v>1644</v>
      </c>
      <c r="D7787" t="s">
        <v>293</v>
      </c>
      <c r="E7787" t="s">
        <v>296</v>
      </c>
      <c r="F7787" t="s">
        <v>8458</v>
      </c>
      <c r="G7787">
        <v>256</v>
      </c>
      <c r="H7787">
        <v>66819.240000000005</v>
      </c>
      <c r="I7787">
        <v>261.01</v>
      </c>
      <c r="J7787">
        <v>26</v>
      </c>
      <c r="K7787">
        <v>6121.96</v>
      </c>
      <c r="L7787">
        <v>235.46</v>
      </c>
      <c r="M7787">
        <v>282</v>
      </c>
      <c r="N7787">
        <v>72941.200000000012</v>
      </c>
      <c r="O7787">
        <v>258.66000000000003</v>
      </c>
    </row>
    <row r="7788" spans="1:15" x14ac:dyDescent="0.35">
      <c r="A7788" t="s">
        <v>8455</v>
      </c>
      <c r="B7788" t="s">
        <v>8456</v>
      </c>
      <c r="C7788" t="s">
        <v>1644</v>
      </c>
      <c r="D7788" t="s">
        <v>293</v>
      </c>
      <c r="E7788" t="s">
        <v>298</v>
      </c>
      <c r="F7788" t="s">
        <v>8459</v>
      </c>
      <c r="G7788">
        <v>41</v>
      </c>
      <c r="H7788">
        <v>12006.52</v>
      </c>
      <c r="I7788">
        <v>292.83999999999997</v>
      </c>
      <c r="J7788">
        <v>6</v>
      </c>
      <c r="K7788">
        <v>1666.3200000000002</v>
      </c>
      <c r="L7788">
        <v>277.72000000000003</v>
      </c>
      <c r="M7788">
        <v>47</v>
      </c>
      <c r="N7788">
        <v>13672.84</v>
      </c>
      <c r="O7788">
        <v>290.91000000000003</v>
      </c>
    </row>
    <row r="7789" spans="1:15" x14ac:dyDescent="0.35">
      <c r="A7789" t="s">
        <v>8455</v>
      </c>
      <c r="B7789" t="s">
        <v>8456</v>
      </c>
      <c r="C7789" t="s">
        <v>1644</v>
      </c>
      <c r="D7789" t="s">
        <v>293</v>
      </c>
      <c r="E7789" t="s">
        <v>300</v>
      </c>
      <c r="F7789" t="s">
        <v>8460</v>
      </c>
      <c r="G7789">
        <v>8</v>
      </c>
      <c r="H7789">
        <v>2717.78</v>
      </c>
      <c r="I7789">
        <v>339.72</v>
      </c>
      <c r="J7789">
        <v>2</v>
      </c>
      <c r="K7789">
        <v>560.36</v>
      </c>
      <c r="L7789">
        <v>280.18</v>
      </c>
      <c r="M7789">
        <v>10</v>
      </c>
      <c r="N7789">
        <v>3278.1400000000003</v>
      </c>
      <c r="O7789">
        <v>327.81</v>
      </c>
    </row>
    <row r="7790" spans="1:15" x14ac:dyDescent="0.35">
      <c r="A7790" t="s">
        <v>8455</v>
      </c>
      <c r="B7790" t="s">
        <v>8456</v>
      </c>
      <c r="C7790" t="s">
        <v>1644</v>
      </c>
      <c r="D7790" t="s">
        <v>293</v>
      </c>
      <c r="E7790" t="s">
        <v>302</v>
      </c>
      <c r="F7790" t="s">
        <v>8461</v>
      </c>
      <c r="G7790">
        <v>0</v>
      </c>
      <c r="H7790">
        <v>0</v>
      </c>
      <c r="I7790">
        <v>0</v>
      </c>
      <c r="J7790">
        <v>0</v>
      </c>
      <c r="K7790">
        <v>0</v>
      </c>
      <c r="L7790">
        <v>0</v>
      </c>
      <c r="M7790">
        <v>0</v>
      </c>
      <c r="N7790">
        <v>0</v>
      </c>
      <c r="O7790">
        <v>0</v>
      </c>
    </row>
    <row r="7791" spans="1:15" x14ac:dyDescent="0.35">
      <c r="A7791" t="s">
        <v>8455</v>
      </c>
      <c r="B7791" t="s">
        <v>8456</v>
      </c>
      <c r="C7791" t="s">
        <v>1644</v>
      </c>
      <c r="D7791" t="s">
        <v>293</v>
      </c>
      <c r="E7791" t="s">
        <v>304</v>
      </c>
      <c r="F7791" t="s">
        <v>8462</v>
      </c>
      <c r="G7791">
        <v>0</v>
      </c>
      <c r="H7791">
        <v>0</v>
      </c>
      <c r="I7791">
        <v>0</v>
      </c>
      <c r="J7791">
        <v>0</v>
      </c>
      <c r="K7791">
        <v>0</v>
      </c>
      <c r="L7791">
        <v>0</v>
      </c>
      <c r="M7791">
        <v>0</v>
      </c>
      <c r="N7791">
        <v>0</v>
      </c>
      <c r="O7791">
        <v>0</v>
      </c>
    </row>
    <row r="7792" spans="1:15" x14ac:dyDescent="0.35">
      <c r="A7792" t="s">
        <v>8455</v>
      </c>
      <c r="B7792" t="s">
        <v>8456</v>
      </c>
      <c r="C7792" t="s">
        <v>1644</v>
      </c>
      <c r="D7792" t="s">
        <v>293</v>
      </c>
      <c r="E7792" t="s">
        <v>306</v>
      </c>
      <c r="F7792" t="s">
        <v>8463</v>
      </c>
      <c r="G7792">
        <v>0</v>
      </c>
      <c r="H7792">
        <v>0</v>
      </c>
      <c r="I7792">
        <v>0</v>
      </c>
      <c r="J7792">
        <v>2</v>
      </c>
      <c r="K7792">
        <v>327.08</v>
      </c>
      <c r="L7792">
        <v>163.54</v>
      </c>
      <c r="M7792">
        <v>2</v>
      </c>
      <c r="N7792">
        <v>327.08</v>
      </c>
      <c r="O7792">
        <v>163.54</v>
      </c>
    </row>
    <row r="7793" spans="1:15" x14ac:dyDescent="0.35">
      <c r="A7793" t="s">
        <v>8455</v>
      </c>
      <c r="B7793" t="s">
        <v>8456</v>
      </c>
      <c r="C7793" t="s">
        <v>1644</v>
      </c>
      <c r="D7793" t="s">
        <v>293</v>
      </c>
      <c r="E7793" t="s">
        <v>308</v>
      </c>
      <c r="F7793" t="s">
        <v>8464</v>
      </c>
      <c r="G7793">
        <v>0</v>
      </c>
      <c r="H7793">
        <v>0</v>
      </c>
      <c r="I7793">
        <v>0</v>
      </c>
      <c r="J7793">
        <v>8</v>
      </c>
      <c r="K7793">
        <v>870.56</v>
      </c>
      <c r="L7793">
        <v>108.82</v>
      </c>
      <c r="M7793">
        <v>8</v>
      </c>
      <c r="N7793">
        <v>870.56</v>
      </c>
      <c r="O7793">
        <v>108.82</v>
      </c>
    </row>
    <row r="7794" spans="1:15" x14ac:dyDescent="0.35">
      <c r="A7794" t="s">
        <v>8455</v>
      </c>
      <c r="B7794" t="s">
        <v>8456</v>
      </c>
      <c r="C7794" t="s">
        <v>1644</v>
      </c>
      <c r="D7794" t="s">
        <v>293</v>
      </c>
      <c r="E7794" t="s">
        <v>310</v>
      </c>
      <c r="F7794" t="s">
        <v>8465</v>
      </c>
      <c r="G7794">
        <v>401</v>
      </c>
      <c r="H7794">
        <v>100900.8</v>
      </c>
      <c r="I7794">
        <v>251.62</v>
      </c>
      <c r="J7794">
        <v>48</v>
      </c>
      <c r="K7794">
        <v>10303.56</v>
      </c>
      <c r="L7794">
        <v>214.66</v>
      </c>
      <c r="M7794">
        <v>449</v>
      </c>
      <c r="N7794">
        <v>111204.36</v>
      </c>
      <c r="O7794">
        <v>247.67</v>
      </c>
    </row>
    <row r="7795" spans="1:15" x14ac:dyDescent="0.35">
      <c r="A7795" t="s">
        <v>8455</v>
      </c>
      <c r="B7795" t="s">
        <v>8456</v>
      </c>
      <c r="C7795" t="s">
        <v>1644</v>
      </c>
      <c r="D7795" t="s">
        <v>293</v>
      </c>
      <c r="E7795" t="s">
        <v>312</v>
      </c>
      <c r="F7795" t="s">
        <v>8466</v>
      </c>
      <c r="G7795">
        <v>401</v>
      </c>
      <c r="H7795">
        <v>100900.8</v>
      </c>
      <c r="I7795">
        <v>251.62</v>
      </c>
      <c r="J7795">
        <v>40</v>
      </c>
      <c r="K7795">
        <v>9433</v>
      </c>
      <c r="L7795">
        <v>235.83</v>
      </c>
      <c r="M7795">
        <v>441</v>
      </c>
      <c r="N7795">
        <v>110333.8</v>
      </c>
      <c r="O7795">
        <v>250.19</v>
      </c>
    </row>
    <row r="7796" spans="1:15" x14ac:dyDescent="0.35">
      <c r="A7796" t="s">
        <v>8455</v>
      </c>
      <c r="B7796" t="s">
        <v>8456</v>
      </c>
      <c r="C7796" t="s">
        <v>1644</v>
      </c>
      <c r="D7796" t="s">
        <v>314</v>
      </c>
      <c r="E7796" t="s">
        <v>294</v>
      </c>
      <c r="F7796" t="s">
        <v>8467</v>
      </c>
      <c r="G7796">
        <v>37</v>
      </c>
      <c r="H7796">
        <v>6904.53</v>
      </c>
      <c r="I7796">
        <v>186.61</v>
      </c>
      <c r="J7796">
        <v>0</v>
      </c>
      <c r="K7796">
        <v>0</v>
      </c>
      <c r="L7796">
        <v>0</v>
      </c>
      <c r="M7796">
        <v>37</v>
      </c>
      <c r="N7796">
        <v>6904.53</v>
      </c>
      <c r="O7796">
        <v>186.61</v>
      </c>
    </row>
    <row r="7797" spans="1:15" x14ac:dyDescent="0.35">
      <c r="A7797" t="s">
        <v>8455</v>
      </c>
      <c r="B7797" t="s">
        <v>8456</v>
      </c>
      <c r="C7797" t="s">
        <v>1644</v>
      </c>
      <c r="D7797" t="s">
        <v>314</v>
      </c>
      <c r="E7797" t="s">
        <v>296</v>
      </c>
      <c r="F7797" t="s">
        <v>8468</v>
      </c>
      <c r="G7797">
        <v>2</v>
      </c>
      <c r="H7797">
        <v>534.96</v>
      </c>
      <c r="I7797">
        <v>267.48</v>
      </c>
      <c r="J7797">
        <v>0</v>
      </c>
      <c r="K7797">
        <v>0</v>
      </c>
      <c r="L7797">
        <v>0</v>
      </c>
      <c r="M7797">
        <v>2</v>
      </c>
      <c r="N7797">
        <v>534.96</v>
      </c>
      <c r="O7797">
        <v>267.48</v>
      </c>
    </row>
    <row r="7798" spans="1:15" x14ac:dyDescent="0.35">
      <c r="A7798" t="s">
        <v>8455</v>
      </c>
      <c r="B7798" t="s">
        <v>8456</v>
      </c>
      <c r="C7798" t="s">
        <v>1644</v>
      </c>
      <c r="D7798" t="s">
        <v>314</v>
      </c>
      <c r="E7798" t="s">
        <v>298</v>
      </c>
      <c r="F7798" t="s">
        <v>8469</v>
      </c>
      <c r="G7798">
        <v>0</v>
      </c>
      <c r="H7798">
        <v>0</v>
      </c>
      <c r="I7798">
        <v>0</v>
      </c>
      <c r="J7798">
        <v>0</v>
      </c>
      <c r="K7798">
        <v>0</v>
      </c>
      <c r="L7798">
        <v>0</v>
      </c>
      <c r="M7798">
        <v>0</v>
      </c>
      <c r="N7798">
        <v>0</v>
      </c>
      <c r="O7798">
        <v>0</v>
      </c>
    </row>
    <row r="7799" spans="1:15" x14ac:dyDescent="0.35">
      <c r="A7799" t="s">
        <v>8455</v>
      </c>
      <c r="B7799" t="s">
        <v>8456</v>
      </c>
      <c r="C7799" t="s">
        <v>1644</v>
      </c>
      <c r="D7799" t="s">
        <v>314</v>
      </c>
      <c r="E7799" t="s">
        <v>300</v>
      </c>
      <c r="F7799" t="s">
        <v>8470</v>
      </c>
      <c r="G7799">
        <v>0</v>
      </c>
      <c r="H7799">
        <v>0</v>
      </c>
      <c r="I7799">
        <v>0</v>
      </c>
      <c r="J7799">
        <v>0</v>
      </c>
      <c r="K7799">
        <v>0</v>
      </c>
      <c r="L7799">
        <v>0</v>
      </c>
      <c r="M7799">
        <v>0</v>
      </c>
      <c r="N7799">
        <v>0</v>
      </c>
      <c r="O7799">
        <v>0</v>
      </c>
    </row>
    <row r="7800" spans="1:15" x14ac:dyDescent="0.35">
      <c r="A7800" t="s">
        <v>8455</v>
      </c>
      <c r="B7800" t="s">
        <v>8456</v>
      </c>
      <c r="C7800" t="s">
        <v>1644</v>
      </c>
      <c r="D7800" t="s">
        <v>314</v>
      </c>
      <c r="E7800" t="s">
        <v>306</v>
      </c>
      <c r="F7800" t="s">
        <v>8471</v>
      </c>
      <c r="G7800">
        <v>0</v>
      </c>
      <c r="H7800">
        <v>0</v>
      </c>
      <c r="I7800">
        <v>0</v>
      </c>
      <c r="J7800">
        <v>0</v>
      </c>
      <c r="K7800">
        <v>0</v>
      </c>
      <c r="L7800">
        <v>0</v>
      </c>
      <c r="M7800">
        <v>0</v>
      </c>
      <c r="N7800">
        <v>0</v>
      </c>
      <c r="O7800">
        <v>0</v>
      </c>
    </row>
    <row r="7801" spans="1:15" x14ac:dyDescent="0.35">
      <c r="A7801" t="s">
        <v>8455</v>
      </c>
      <c r="B7801" t="s">
        <v>8456</v>
      </c>
      <c r="C7801" t="s">
        <v>1644</v>
      </c>
      <c r="D7801" t="s">
        <v>314</v>
      </c>
      <c r="E7801" t="s">
        <v>308</v>
      </c>
      <c r="F7801" t="s">
        <v>8472</v>
      </c>
      <c r="G7801">
        <v>0</v>
      </c>
      <c r="H7801">
        <v>0</v>
      </c>
      <c r="I7801">
        <v>0</v>
      </c>
      <c r="J7801">
        <v>0</v>
      </c>
      <c r="K7801">
        <v>0</v>
      </c>
      <c r="L7801">
        <v>0</v>
      </c>
      <c r="M7801">
        <v>0</v>
      </c>
      <c r="N7801">
        <v>0</v>
      </c>
      <c r="O7801">
        <v>0</v>
      </c>
    </row>
    <row r="7802" spans="1:15" x14ac:dyDescent="0.35">
      <c r="A7802" t="s">
        <v>8455</v>
      </c>
      <c r="B7802" t="s">
        <v>8456</v>
      </c>
      <c r="C7802" t="s">
        <v>1644</v>
      </c>
      <c r="D7802" t="s">
        <v>314</v>
      </c>
      <c r="E7802" t="s">
        <v>312</v>
      </c>
      <c r="F7802" t="s">
        <v>8473</v>
      </c>
      <c r="G7802">
        <v>39</v>
      </c>
      <c r="H7802">
        <v>7439.49</v>
      </c>
      <c r="I7802">
        <v>190.76</v>
      </c>
      <c r="J7802">
        <v>0</v>
      </c>
      <c r="K7802">
        <v>0</v>
      </c>
      <c r="L7802">
        <v>0</v>
      </c>
      <c r="M7802">
        <v>39</v>
      </c>
      <c r="N7802">
        <v>7439.49</v>
      </c>
      <c r="O7802">
        <v>190.76</v>
      </c>
    </row>
    <row r="7803" spans="1:15" x14ac:dyDescent="0.35">
      <c r="A7803" t="s">
        <v>8455</v>
      </c>
      <c r="B7803" t="s">
        <v>8456</v>
      </c>
      <c r="C7803" t="s">
        <v>1644</v>
      </c>
      <c r="D7803" t="s">
        <v>314</v>
      </c>
      <c r="E7803" t="s">
        <v>310</v>
      </c>
      <c r="F7803" t="s">
        <v>8474</v>
      </c>
      <c r="G7803">
        <v>39</v>
      </c>
      <c r="H7803">
        <v>7439.49</v>
      </c>
      <c r="I7803">
        <v>190.76</v>
      </c>
      <c r="J7803">
        <v>0</v>
      </c>
      <c r="K7803">
        <v>0</v>
      </c>
      <c r="L7803">
        <v>0</v>
      </c>
      <c r="M7803">
        <v>39</v>
      </c>
      <c r="N7803">
        <v>7439.49</v>
      </c>
      <c r="O7803">
        <v>190.76</v>
      </c>
    </row>
    <row r="7804" spans="1:15" x14ac:dyDescent="0.35">
      <c r="A7804" t="s">
        <v>8455</v>
      </c>
      <c r="B7804" t="s">
        <v>8456</v>
      </c>
      <c r="C7804" t="s">
        <v>1644</v>
      </c>
      <c r="D7804" t="s">
        <v>323</v>
      </c>
      <c r="E7804" t="s">
        <v>294</v>
      </c>
      <c r="F7804" t="s">
        <v>8475</v>
      </c>
      <c r="G7804">
        <v>256</v>
      </c>
      <c r="H7804">
        <v>32092.76</v>
      </c>
      <c r="I7804">
        <v>125.36</v>
      </c>
      <c r="J7804">
        <v>691</v>
      </c>
      <c r="K7804">
        <v>79064.22</v>
      </c>
      <c r="L7804">
        <v>114.42</v>
      </c>
      <c r="M7804">
        <v>947</v>
      </c>
      <c r="N7804">
        <v>111156.98</v>
      </c>
      <c r="O7804">
        <v>117.38</v>
      </c>
    </row>
    <row r="7805" spans="1:15" x14ac:dyDescent="0.35">
      <c r="A7805" t="s">
        <v>8455</v>
      </c>
      <c r="B7805" t="s">
        <v>8456</v>
      </c>
      <c r="C7805" t="s">
        <v>1644</v>
      </c>
      <c r="D7805" t="s">
        <v>323</v>
      </c>
      <c r="E7805" t="s">
        <v>296</v>
      </c>
      <c r="F7805" t="s">
        <v>8476</v>
      </c>
      <c r="G7805">
        <v>393</v>
      </c>
      <c r="H7805">
        <v>59217.510000000009</v>
      </c>
      <c r="I7805">
        <v>150.68</v>
      </c>
      <c r="J7805">
        <v>703</v>
      </c>
      <c r="K7805">
        <v>94982.330000000016</v>
      </c>
      <c r="L7805">
        <v>135.11000000000001</v>
      </c>
      <c r="M7805">
        <v>1096</v>
      </c>
      <c r="N7805">
        <v>154199.84000000003</v>
      </c>
      <c r="O7805">
        <v>140.69</v>
      </c>
    </row>
    <row r="7806" spans="1:15" x14ac:dyDescent="0.35">
      <c r="A7806" t="s">
        <v>8455</v>
      </c>
      <c r="B7806" t="s">
        <v>8456</v>
      </c>
      <c r="C7806" t="s">
        <v>1644</v>
      </c>
      <c r="D7806" t="s">
        <v>323</v>
      </c>
      <c r="E7806" t="s">
        <v>298</v>
      </c>
      <c r="F7806" t="s">
        <v>8477</v>
      </c>
      <c r="G7806">
        <v>225</v>
      </c>
      <c r="H7806">
        <v>37961.25</v>
      </c>
      <c r="I7806">
        <v>168.72</v>
      </c>
      <c r="J7806">
        <v>1037</v>
      </c>
      <c r="K7806">
        <v>153507.11000000002</v>
      </c>
      <c r="L7806">
        <v>148.03</v>
      </c>
      <c r="M7806">
        <v>1262</v>
      </c>
      <c r="N7806">
        <v>191468.36000000002</v>
      </c>
      <c r="O7806">
        <v>151.72</v>
      </c>
    </row>
    <row r="7807" spans="1:15" x14ac:dyDescent="0.35">
      <c r="A7807" t="s">
        <v>8455</v>
      </c>
      <c r="B7807" t="s">
        <v>8456</v>
      </c>
      <c r="C7807" t="s">
        <v>1644</v>
      </c>
      <c r="D7807" t="s">
        <v>323</v>
      </c>
      <c r="E7807" t="s">
        <v>300</v>
      </c>
      <c r="F7807" t="s">
        <v>8478</v>
      </c>
      <c r="G7807">
        <v>16</v>
      </c>
      <c r="H7807">
        <v>2899.46</v>
      </c>
      <c r="I7807">
        <v>181.22</v>
      </c>
      <c r="J7807">
        <v>122</v>
      </c>
      <c r="K7807">
        <v>19743.260000000002</v>
      </c>
      <c r="L7807">
        <v>161.83000000000001</v>
      </c>
      <c r="M7807">
        <v>138</v>
      </c>
      <c r="N7807">
        <v>22642.720000000001</v>
      </c>
      <c r="O7807">
        <v>164.08</v>
      </c>
    </row>
    <row r="7808" spans="1:15" x14ac:dyDescent="0.35">
      <c r="A7808" t="s">
        <v>8455</v>
      </c>
      <c r="B7808" t="s">
        <v>8456</v>
      </c>
      <c r="C7808" t="s">
        <v>1644</v>
      </c>
      <c r="D7808" t="s">
        <v>323</v>
      </c>
      <c r="E7808" t="s">
        <v>302</v>
      </c>
      <c r="F7808" t="s">
        <v>8479</v>
      </c>
      <c r="G7808">
        <v>0</v>
      </c>
      <c r="H7808">
        <v>0</v>
      </c>
      <c r="I7808">
        <v>0</v>
      </c>
      <c r="J7808">
        <v>12</v>
      </c>
      <c r="K7808">
        <v>2195.52</v>
      </c>
      <c r="L7808">
        <v>182.96</v>
      </c>
      <c r="M7808">
        <v>12</v>
      </c>
      <c r="N7808">
        <v>2195.52</v>
      </c>
      <c r="O7808">
        <v>182.96</v>
      </c>
    </row>
    <row r="7809" spans="1:15" x14ac:dyDescent="0.35">
      <c r="A7809" t="s">
        <v>8455</v>
      </c>
      <c r="B7809" t="s">
        <v>8456</v>
      </c>
      <c r="C7809" t="s">
        <v>1644</v>
      </c>
      <c r="D7809" t="s">
        <v>323</v>
      </c>
      <c r="E7809" t="s">
        <v>304</v>
      </c>
      <c r="F7809" t="s">
        <v>8480</v>
      </c>
      <c r="G7809">
        <v>0</v>
      </c>
      <c r="H7809">
        <v>0</v>
      </c>
      <c r="I7809">
        <v>0</v>
      </c>
      <c r="J7809">
        <v>1</v>
      </c>
      <c r="K7809">
        <v>200.2</v>
      </c>
      <c r="L7809">
        <v>200.2</v>
      </c>
      <c r="M7809">
        <v>1</v>
      </c>
      <c r="N7809">
        <v>200.2</v>
      </c>
      <c r="O7809">
        <v>200.2</v>
      </c>
    </row>
    <row r="7810" spans="1:15" x14ac:dyDescent="0.35">
      <c r="A7810" t="s">
        <v>8455</v>
      </c>
      <c r="B7810" t="s">
        <v>8456</v>
      </c>
      <c r="C7810" t="s">
        <v>1644</v>
      </c>
      <c r="D7810" t="s">
        <v>323</v>
      </c>
      <c r="E7810" t="s">
        <v>306</v>
      </c>
      <c r="F7810" t="s">
        <v>8481</v>
      </c>
      <c r="G7810">
        <v>8</v>
      </c>
      <c r="H7810">
        <v>811.12</v>
      </c>
      <c r="I7810">
        <v>101.39</v>
      </c>
      <c r="J7810">
        <v>14</v>
      </c>
      <c r="K7810">
        <v>1250.76</v>
      </c>
      <c r="L7810">
        <v>89.34</v>
      </c>
      <c r="M7810">
        <v>22</v>
      </c>
      <c r="N7810">
        <v>2061.88</v>
      </c>
      <c r="O7810">
        <v>93.72</v>
      </c>
    </row>
    <row r="7811" spans="1:15" x14ac:dyDescent="0.35">
      <c r="A7811" t="s">
        <v>8455</v>
      </c>
      <c r="B7811" t="s">
        <v>8456</v>
      </c>
      <c r="C7811" t="s">
        <v>1644</v>
      </c>
      <c r="D7811" t="s">
        <v>323</v>
      </c>
      <c r="E7811" t="s">
        <v>308</v>
      </c>
      <c r="F7811" t="s">
        <v>8482</v>
      </c>
      <c r="G7811">
        <v>0</v>
      </c>
      <c r="H7811">
        <v>0</v>
      </c>
      <c r="I7811">
        <v>0</v>
      </c>
      <c r="J7811">
        <v>0</v>
      </c>
      <c r="K7811">
        <v>0</v>
      </c>
      <c r="L7811">
        <v>0</v>
      </c>
      <c r="M7811">
        <v>0</v>
      </c>
      <c r="N7811">
        <v>0</v>
      </c>
      <c r="O7811">
        <v>0</v>
      </c>
    </row>
    <row r="7812" spans="1:15" x14ac:dyDescent="0.35">
      <c r="A7812" t="s">
        <v>8455</v>
      </c>
      <c r="B7812" t="s">
        <v>8456</v>
      </c>
      <c r="C7812" t="s">
        <v>1644</v>
      </c>
      <c r="D7812" t="s">
        <v>323</v>
      </c>
      <c r="E7812" t="s">
        <v>310</v>
      </c>
      <c r="F7812" t="s">
        <v>8483</v>
      </c>
      <c r="G7812">
        <v>898</v>
      </c>
      <c r="H7812">
        <v>132982.1</v>
      </c>
      <c r="I7812">
        <v>148.09</v>
      </c>
      <c r="J7812">
        <v>2580</v>
      </c>
      <c r="K7812">
        <v>350943.40000000008</v>
      </c>
      <c r="L7812">
        <v>136.02000000000001</v>
      </c>
      <c r="M7812">
        <v>3478</v>
      </c>
      <c r="N7812">
        <v>483925.50000000012</v>
      </c>
      <c r="O7812">
        <v>139.13999999999999</v>
      </c>
    </row>
    <row r="7813" spans="1:15" x14ac:dyDescent="0.35">
      <c r="A7813" t="s">
        <v>8455</v>
      </c>
      <c r="B7813" t="s">
        <v>8456</v>
      </c>
      <c r="C7813" t="s">
        <v>1644</v>
      </c>
      <c r="D7813" t="s">
        <v>323</v>
      </c>
      <c r="E7813" t="s">
        <v>312</v>
      </c>
      <c r="F7813" t="s">
        <v>8484</v>
      </c>
      <c r="G7813">
        <v>898</v>
      </c>
      <c r="H7813">
        <v>132982.1</v>
      </c>
      <c r="I7813">
        <v>148.09</v>
      </c>
      <c r="J7813">
        <v>2580</v>
      </c>
      <c r="K7813">
        <v>350943.40000000008</v>
      </c>
      <c r="L7813">
        <v>136.02000000000001</v>
      </c>
      <c r="M7813">
        <v>3478</v>
      </c>
      <c r="N7813">
        <v>483925.50000000012</v>
      </c>
      <c r="O7813">
        <v>139.13999999999999</v>
      </c>
    </row>
    <row r="7814" spans="1:15" x14ac:dyDescent="0.35">
      <c r="A7814" t="s">
        <v>8455</v>
      </c>
      <c r="B7814" t="s">
        <v>8456</v>
      </c>
      <c r="C7814" t="s">
        <v>1644</v>
      </c>
      <c r="D7814" t="s">
        <v>334</v>
      </c>
      <c r="E7814" t="s">
        <v>312</v>
      </c>
      <c r="F7814" t="s">
        <v>8485</v>
      </c>
      <c r="G7814">
        <v>1470</v>
      </c>
      <c r="H7814">
        <v>233882.9</v>
      </c>
      <c r="I7814">
        <v>180.05</v>
      </c>
      <c r="J7814">
        <v>2620</v>
      </c>
      <c r="K7814">
        <v>360376.40000000008</v>
      </c>
      <c r="L7814">
        <v>137.55000000000001</v>
      </c>
      <c r="M7814">
        <v>4090</v>
      </c>
      <c r="N7814">
        <v>594259.30000000005</v>
      </c>
      <c r="O7814">
        <v>151.63999999999999</v>
      </c>
    </row>
    <row r="7815" spans="1:15" x14ac:dyDescent="0.35">
      <c r="A7815" t="s">
        <v>8455</v>
      </c>
      <c r="B7815" t="s">
        <v>8456</v>
      </c>
      <c r="C7815" t="s">
        <v>1644</v>
      </c>
      <c r="D7815" t="s">
        <v>334</v>
      </c>
      <c r="E7815" t="s">
        <v>308</v>
      </c>
      <c r="F7815" t="s">
        <v>8486</v>
      </c>
      <c r="G7815">
        <v>288</v>
      </c>
      <c r="H7815">
        <v>0</v>
      </c>
      <c r="I7815">
        <v>0</v>
      </c>
      <c r="J7815">
        <v>8</v>
      </c>
      <c r="K7815">
        <v>870.56</v>
      </c>
      <c r="L7815">
        <v>108.82</v>
      </c>
      <c r="M7815">
        <v>296</v>
      </c>
      <c r="N7815">
        <v>870.56</v>
      </c>
      <c r="O7815">
        <v>108.82</v>
      </c>
    </row>
    <row r="7816" spans="1:15" x14ac:dyDescent="0.35">
      <c r="A7816" t="s">
        <v>8455</v>
      </c>
      <c r="B7816" t="s">
        <v>8456</v>
      </c>
      <c r="C7816" t="s">
        <v>1644</v>
      </c>
      <c r="D7816" t="s">
        <v>337</v>
      </c>
      <c r="E7816" t="s">
        <v>337</v>
      </c>
      <c r="F7816" t="s">
        <v>8487</v>
      </c>
      <c r="G7816">
        <v>434</v>
      </c>
      <c r="J7816">
        <v>55</v>
      </c>
      <c r="M7816">
        <v>489</v>
      </c>
    </row>
    <row r="7817" spans="1:15" x14ac:dyDescent="0.35">
      <c r="A7817" t="s">
        <v>8455</v>
      </c>
      <c r="B7817" t="s">
        <v>8456</v>
      </c>
      <c r="C7817" t="s">
        <v>1644</v>
      </c>
      <c r="D7817" t="s">
        <v>339</v>
      </c>
      <c r="E7817" t="s">
        <v>294</v>
      </c>
      <c r="F7817" t="s">
        <v>8488</v>
      </c>
      <c r="G7817">
        <v>255</v>
      </c>
      <c r="H7817">
        <v>36780.92</v>
      </c>
      <c r="I7817">
        <v>144.24</v>
      </c>
      <c r="J7817">
        <v>176</v>
      </c>
      <c r="K7817">
        <v>18925.28</v>
      </c>
      <c r="L7817">
        <v>107.53</v>
      </c>
      <c r="M7817">
        <v>431</v>
      </c>
      <c r="N7817">
        <v>55706.2</v>
      </c>
      <c r="O7817">
        <v>129.25</v>
      </c>
    </row>
    <row r="7818" spans="1:15" x14ac:dyDescent="0.35">
      <c r="A7818" t="s">
        <v>8455</v>
      </c>
      <c r="B7818" t="s">
        <v>8456</v>
      </c>
      <c r="C7818" t="s">
        <v>1644</v>
      </c>
      <c r="D7818" t="s">
        <v>339</v>
      </c>
      <c r="E7818" t="s">
        <v>296</v>
      </c>
      <c r="F7818" t="s">
        <v>8489</v>
      </c>
      <c r="G7818">
        <v>19</v>
      </c>
      <c r="H7818">
        <v>2957.9600000000005</v>
      </c>
      <c r="I7818">
        <v>155.68</v>
      </c>
      <c r="J7818">
        <v>7</v>
      </c>
      <c r="K7818">
        <v>854.69999999999993</v>
      </c>
      <c r="L7818">
        <v>122.1</v>
      </c>
      <c r="M7818">
        <v>26</v>
      </c>
      <c r="N7818">
        <v>3812.6600000000003</v>
      </c>
      <c r="O7818">
        <v>146.63999999999999</v>
      </c>
    </row>
    <row r="7819" spans="1:15" x14ac:dyDescent="0.35">
      <c r="A7819" t="s">
        <v>8455</v>
      </c>
      <c r="B7819" t="s">
        <v>8456</v>
      </c>
      <c r="C7819" t="s">
        <v>1644</v>
      </c>
      <c r="D7819" t="s">
        <v>339</v>
      </c>
      <c r="E7819" t="s">
        <v>298</v>
      </c>
      <c r="F7819" t="s">
        <v>8490</v>
      </c>
      <c r="G7819">
        <v>0</v>
      </c>
      <c r="H7819">
        <v>0</v>
      </c>
      <c r="I7819">
        <v>0</v>
      </c>
      <c r="J7819">
        <v>0</v>
      </c>
      <c r="K7819">
        <v>0</v>
      </c>
      <c r="L7819">
        <v>0</v>
      </c>
      <c r="M7819">
        <v>0</v>
      </c>
      <c r="N7819">
        <v>0</v>
      </c>
      <c r="O7819">
        <v>0</v>
      </c>
    </row>
    <row r="7820" spans="1:15" x14ac:dyDescent="0.35">
      <c r="A7820" t="s">
        <v>8455</v>
      </c>
      <c r="B7820" t="s">
        <v>8456</v>
      </c>
      <c r="C7820" t="s">
        <v>1644</v>
      </c>
      <c r="D7820" t="s">
        <v>339</v>
      </c>
      <c r="E7820" t="s">
        <v>300</v>
      </c>
      <c r="F7820" t="s">
        <v>8491</v>
      </c>
      <c r="G7820">
        <v>0</v>
      </c>
      <c r="H7820">
        <v>0</v>
      </c>
      <c r="I7820">
        <v>0</v>
      </c>
      <c r="J7820">
        <v>0</v>
      </c>
      <c r="K7820">
        <v>0</v>
      </c>
      <c r="L7820">
        <v>0</v>
      </c>
      <c r="M7820">
        <v>0</v>
      </c>
      <c r="N7820">
        <v>0</v>
      </c>
      <c r="O7820">
        <v>0</v>
      </c>
    </row>
    <row r="7821" spans="1:15" x14ac:dyDescent="0.35">
      <c r="A7821" t="s">
        <v>8455</v>
      </c>
      <c r="B7821" t="s">
        <v>8456</v>
      </c>
      <c r="C7821" t="s">
        <v>1644</v>
      </c>
      <c r="D7821" t="s">
        <v>339</v>
      </c>
      <c r="E7821" t="s">
        <v>306</v>
      </c>
      <c r="F7821" t="s">
        <v>8492</v>
      </c>
      <c r="G7821">
        <v>21</v>
      </c>
      <c r="H7821">
        <v>2135.4899999999998</v>
      </c>
      <c r="I7821">
        <v>101.69</v>
      </c>
      <c r="J7821">
        <v>25</v>
      </c>
      <c r="K7821">
        <v>1954.75</v>
      </c>
      <c r="L7821">
        <v>78.19</v>
      </c>
      <c r="M7821">
        <v>46</v>
      </c>
      <c r="N7821">
        <v>4090.24</v>
      </c>
      <c r="O7821">
        <v>88.92</v>
      </c>
    </row>
    <row r="7822" spans="1:15" x14ac:dyDescent="0.35">
      <c r="A7822" t="s">
        <v>8455</v>
      </c>
      <c r="B7822" t="s">
        <v>8456</v>
      </c>
      <c r="C7822" t="s">
        <v>1644</v>
      </c>
      <c r="D7822" t="s">
        <v>339</v>
      </c>
      <c r="E7822" t="s">
        <v>308</v>
      </c>
      <c r="F7822" t="s">
        <v>8493</v>
      </c>
      <c r="G7822">
        <v>17</v>
      </c>
      <c r="H7822">
        <v>2139.2799999999997</v>
      </c>
      <c r="I7822">
        <v>125.84</v>
      </c>
      <c r="J7822">
        <v>0</v>
      </c>
      <c r="K7822">
        <v>0</v>
      </c>
      <c r="L7822">
        <v>0</v>
      </c>
      <c r="M7822">
        <v>17</v>
      </c>
      <c r="N7822">
        <v>2139.2799999999997</v>
      </c>
      <c r="O7822">
        <v>125.84</v>
      </c>
    </row>
    <row r="7823" spans="1:15" x14ac:dyDescent="0.35">
      <c r="A7823" t="s">
        <v>8455</v>
      </c>
      <c r="B7823" t="s">
        <v>8456</v>
      </c>
      <c r="C7823" t="s">
        <v>1644</v>
      </c>
      <c r="D7823" t="s">
        <v>339</v>
      </c>
      <c r="E7823" t="s">
        <v>310</v>
      </c>
      <c r="F7823" t="s">
        <v>8494</v>
      </c>
      <c r="G7823">
        <v>312</v>
      </c>
      <c r="H7823">
        <v>44013.649999999994</v>
      </c>
      <c r="I7823">
        <v>141.07</v>
      </c>
      <c r="J7823">
        <v>208</v>
      </c>
      <c r="K7823">
        <v>21734.73</v>
      </c>
      <c r="L7823">
        <v>104.49</v>
      </c>
      <c r="M7823">
        <v>520</v>
      </c>
      <c r="N7823">
        <v>65748.37999999999</v>
      </c>
      <c r="O7823">
        <v>126.44</v>
      </c>
    </row>
    <row r="7824" spans="1:15" x14ac:dyDescent="0.35">
      <c r="A7824" t="s">
        <v>8455</v>
      </c>
      <c r="B7824" t="s">
        <v>8456</v>
      </c>
      <c r="C7824" t="s">
        <v>1644</v>
      </c>
      <c r="D7824" t="s">
        <v>339</v>
      </c>
      <c r="E7824" t="s">
        <v>312</v>
      </c>
      <c r="F7824" t="s">
        <v>8495</v>
      </c>
      <c r="G7824">
        <v>295</v>
      </c>
      <c r="H7824">
        <v>41874.369999999995</v>
      </c>
      <c r="I7824">
        <v>141.94999999999999</v>
      </c>
      <c r="J7824">
        <v>208</v>
      </c>
      <c r="K7824">
        <v>21734.73</v>
      </c>
      <c r="L7824">
        <v>104.49</v>
      </c>
      <c r="M7824">
        <v>503</v>
      </c>
      <c r="N7824">
        <v>63609.099999999991</v>
      </c>
      <c r="O7824">
        <v>126.46</v>
      </c>
    </row>
    <row r="7825" spans="1:15" x14ac:dyDescent="0.35">
      <c r="A7825" t="s">
        <v>8455</v>
      </c>
      <c r="B7825" t="s">
        <v>8456</v>
      </c>
      <c r="C7825" t="s">
        <v>1644</v>
      </c>
      <c r="D7825" t="s">
        <v>348</v>
      </c>
      <c r="E7825" t="s">
        <v>349</v>
      </c>
      <c r="F7825" t="s">
        <v>8496</v>
      </c>
      <c r="G7825">
        <v>385</v>
      </c>
      <c r="H7825">
        <v>51453.139999999992</v>
      </c>
      <c r="I7825">
        <v>146.59</v>
      </c>
      <c r="J7825">
        <v>208</v>
      </c>
      <c r="K7825">
        <v>21734.73</v>
      </c>
      <c r="L7825">
        <v>104.49</v>
      </c>
      <c r="M7825">
        <v>593</v>
      </c>
      <c r="N7825">
        <v>73187.87</v>
      </c>
      <c r="O7825">
        <v>130.93</v>
      </c>
    </row>
    <row r="7826" spans="1:15" x14ac:dyDescent="0.35">
      <c r="A7826" t="s">
        <v>8497</v>
      </c>
      <c r="B7826" t="s">
        <v>158</v>
      </c>
      <c r="C7826" t="s">
        <v>1644</v>
      </c>
      <c r="D7826" t="s">
        <v>293</v>
      </c>
      <c r="E7826" t="s">
        <v>294</v>
      </c>
      <c r="F7826" t="s">
        <v>8498</v>
      </c>
      <c r="G7826">
        <v>52</v>
      </c>
      <c r="H7826">
        <v>10619.379999999997</v>
      </c>
      <c r="I7826">
        <v>204.22</v>
      </c>
      <c r="J7826">
        <v>0</v>
      </c>
      <c r="K7826">
        <v>0</v>
      </c>
      <c r="L7826">
        <v>0</v>
      </c>
      <c r="M7826">
        <v>52</v>
      </c>
      <c r="N7826">
        <v>10619.379999999997</v>
      </c>
      <c r="O7826">
        <v>204.22</v>
      </c>
    </row>
    <row r="7827" spans="1:15" x14ac:dyDescent="0.35">
      <c r="A7827" t="s">
        <v>8497</v>
      </c>
      <c r="B7827" t="s">
        <v>158</v>
      </c>
      <c r="C7827" t="s">
        <v>1644</v>
      </c>
      <c r="D7827" t="s">
        <v>293</v>
      </c>
      <c r="E7827" t="s">
        <v>296</v>
      </c>
      <c r="F7827" t="s">
        <v>8499</v>
      </c>
      <c r="G7827">
        <v>169</v>
      </c>
      <c r="H7827">
        <v>43986.79</v>
      </c>
      <c r="I7827">
        <v>260.27999999999997</v>
      </c>
      <c r="J7827">
        <v>0</v>
      </c>
      <c r="K7827">
        <v>0</v>
      </c>
      <c r="L7827">
        <v>0</v>
      </c>
      <c r="M7827">
        <v>169</v>
      </c>
      <c r="N7827">
        <v>43986.79</v>
      </c>
      <c r="O7827">
        <v>260.27999999999997</v>
      </c>
    </row>
    <row r="7828" spans="1:15" x14ac:dyDescent="0.35">
      <c r="A7828" t="s">
        <v>8497</v>
      </c>
      <c r="B7828" t="s">
        <v>158</v>
      </c>
      <c r="C7828" t="s">
        <v>1644</v>
      </c>
      <c r="D7828" t="s">
        <v>293</v>
      </c>
      <c r="E7828" t="s">
        <v>298</v>
      </c>
      <c r="F7828" t="s">
        <v>8500</v>
      </c>
      <c r="G7828">
        <v>32</v>
      </c>
      <c r="H7828">
        <v>10219.56</v>
      </c>
      <c r="I7828">
        <v>319.36</v>
      </c>
      <c r="J7828">
        <v>0</v>
      </c>
      <c r="K7828">
        <v>0</v>
      </c>
      <c r="L7828">
        <v>0</v>
      </c>
      <c r="M7828">
        <v>32</v>
      </c>
      <c r="N7828">
        <v>10219.56</v>
      </c>
      <c r="O7828">
        <v>319.36</v>
      </c>
    </row>
    <row r="7829" spans="1:15" x14ac:dyDescent="0.35">
      <c r="A7829" t="s">
        <v>8497</v>
      </c>
      <c r="B7829" t="s">
        <v>158</v>
      </c>
      <c r="C7829" t="s">
        <v>1644</v>
      </c>
      <c r="D7829" t="s">
        <v>293</v>
      </c>
      <c r="E7829" t="s">
        <v>300</v>
      </c>
      <c r="F7829" t="s">
        <v>8501</v>
      </c>
      <c r="G7829">
        <v>4</v>
      </c>
      <c r="H7829">
        <v>1435.1399999999999</v>
      </c>
      <c r="I7829">
        <v>358.79</v>
      </c>
      <c r="J7829">
        <v>0</v>
      </c>
      <c r="K7829">
        <v>0</v>
      </c>
      <c r="L7829">
        <v>0</v>
      </c>
      <c r="M7829">
        <v>4</v>
      </c>
      <c r="N7829">
        <v>1435.1399999999999</v>
      </c>
      <c r="O7829">
        <v>358.79</v>
      </c>
    </row>
    <row r="7830" spans="1:15" x14ac:dyDescent="0.35">
      <c r="A7830" t="s">
        <v>8497</v>
      </c>
      <c r="B7830" t="s">
        <v>158</v>
      </c>
      <c r="C7830" t="s">
        <v>1644</v>
      </c>
      <c r="D7830" t="s">
        <v>293</v>
      </c>
      <c r="E7830" t="s">
        <v>302</v>
      </c>
      <c r="F7830" t="s">
        <v>8502</v>
      </c>
      <c r="G7830">
        <v>0</v>
      </c>
      <c r="H7830">
        <v>0</v>
      </c>
      <c r="I7830">
        <v>0</v>
      </c>
      <c r="J7830">
        <v>0</v>
      </c>
      <c r="K7830">
        <v>0</v>
      </c>
      <c r="L7830">
        <v>0</v>
      </c>
      <c r="M7830">
        <v>0</v>
      </c>
      <c r="N7830">
        <v>0</v>
      </c>
      <c r="O7830">
        <v>0</v>
      </c>
    </row>
    <row r="7831" spans="1:15" x14ac:dyDescent="0.35">
      <c r="A7831" t="s">
        <v>8497</v>
      </c>
      <c r="B7831" t="s">
        <v>158</v>
      </c>
      <c r="C7831" t="s">
        <v>1644</v>
      </c>
      <c r="D7831" t="s">
        <v>293</v>
      </c>
      <c r="E7831" t="s">
        <v>304</v>
      </c>
      <c r="F7831" t="s">
        <v>8503</v>
      </c>
      <c r="G7831">
        <v>0</v>
      </c>
      <c r="H7831">
        <v>0</v>
      </c>
      <c r="I7831">
        <v>0</v>
      </c>
      <c r="J7831">
        <v>0</v>
      </c>
      <c r="K7831">
        <v>0</v>
      </c>
      <c r="L7831">
        <v>0</v>
      </c>
      <c r="M7831">
        <v>0</v>
      </c>
      <c r="N7831">
        <v>0</v>
      </c>
      <c r="O7831">
        <v>0</v>
      </c>
    </row>
    <row r="7832" spans="1:15" x14ac:dyDescent="0.35">
      <c r="A7832" t="s">
        <v>8497</v>
      </c>
      <c r="B7832" t="s">
        <v>158</v>
      </c>
      <c r="C7832" t="s">
        <v>1644</v>
      </c>
      <c r="D7832" t="s">
        <v>293</v>
      </c>
      <c r="E7832" t="s">
        <v>306</v>
      </c>
      <c r="F7832" t="s">
        <v>8504</v>
      </c>
      <c r="G7832">
        <v>0</v>
      </c>
      <c r="H7832">
        <v>0</v>
      </c>
      <c r="I7832">
        <v>0</v>
      </c>
      <c r="J7832">
        <v>0</v>
      </c>
      <c r="K7832">
        <v>0</v>
      </c>
      <c r="L7832">
        <v>0</v>
      </c>
      <c r="M7832">
        <v>0</v>
      </c>
      <c r="N7832">
        <v>0</v>
      </c>
      <c r="O7832">
        <v>0</v>
      </c>
    </row>
    <row r="7833" spans="1:15" x14ac:dyDescent="0.35">
      <c r="A7833" t="s">
        <v>8497</v>
      </c>
      <c r="B7833" t="s">
        <v>158</v>
      </c>
      <c r="C7833" t="s">
        <v>1644</v>
      </c>
      <c r="D7833" t="s">
        <v>293</v>
      </c>
      <c r="E7833" t="s">
        <v>308</v>
      </c>
      <c r="F7833" t="s">
        <v>8505</v>
      </c>
      <c r="G7833">
        <v>0</v>
      </c>
      <c r="H7833">
        <v>0</v>
      </c>
      <c r="I7833">
        <v>0</v>
      </c>
      <c r="J7833">
        <v>0</v>
      </c>
      <c r="K7833">
        <v>0</v>
      </c>
      <c r="L7833">
        <v>0</v>
      </c>
      <c r="M7833">
        <v>0</v>
      </c>
      <c r="N7833">
        <v>0</v>
      </c>
      <c r="O7833">
        <v>0</v>
      </c>
    </row>
    <row r="7834" spans="1:15" x14ac:dyDescent="0.35">
      <c r="A7834" t="s">
        <v>8497</v>
      </c>
      <c r="B7834" t="s">
        <v>158</v>
      </c>
      <c r="C7834" t="s">
        <v>1644</v>
      </c>
      <c r="D7834" t="s">
        <v>293</v>
      </c>
      <c r="E7834" t="s">
        <v>310</v>
      </c>
      <c r="F7834" t="s">
        <v>8506</v>
      </c>
      <c r="G7834">
        <v>257</v>
      </c>
      <c r="H7834">
        <v>66260.87</v>
      </c>
      <c r="I7834">
        <v>257.82</v>
      </c>
      <c r="J7834">
        <v>0</v>
      </c>
      <c r="K7834">
        <v>0</v>
      </c>
      <c r="L7834">
        <v>0</v>
      </c>
      <c r="M7834">
        <v>257</v>
      </c>
      <c r="N7834">
        <v>66260.87</v>
      </c>
      <c r="O7834">
        <v>257.82</v>
      </c>
    </row>
    <row r="7835" spans="1:15" x14ac:dyDescent="0.35">
      <c r="A7835" t="s">
        <v>8497</v>
      </c>
      <c r="B7835" t="s">
        <v>158</v>
      </c>
      <c r="C7835" t="s">
        <v>1644</v>
      </c>
      <c r="D7835" t="s">
        <v>293</v>
      </c>
      <c r="E7835" t="s">
        <v>312</v>
      </c>
      <c r="F7835" t="s">
        <v>8507</v>
      </c>
      <c r="G7835">
        <v>257</v>
      </c>
      <c r="H7835">
        <v>66260.87</v>
      </c>
      <c r="I7835">
        <v>257.82</v>
      </c>
      <c r="J7835">
        <v>0</v>
      </c>
      <c r="K7835">
        <v>0</v>
      </c>
      <c r="L7835">
        <v>0</v>
      </c>
      <c r="M7835">
        <v>257</v>
      </c>
      <c r="N7835">
        <v>66260.87</v>
      </c>
      <c r="O7835">
        <v>257.82</v>
      </c>
    </row>
    <row r="7836" spans="1:15" x14ac:dyDescent="0.35">
      <c r="A7836" t="s">
        <v>8497</v>
      </c>
      <c r="B7836" t="s">
        <v>158</v>
      </c>
      <c r="C7836" t="s">
        <v>1644</v>
      </c>
      <c r="D7836" t="s">
        <v>314</v>
      </c>
      <c r="E7836" t="s">
        <v>294</v>
      </c>
      <c r="F7836" t="s">
        <v>8508</v>
      </c>
      <c r="G7836">
        <v>10</v>
      </c>
      <c r="H7836">
        <v>1934.19</v>
      </c>
      <c r="I7836">
        <v>193.42</v>
      </c>
      <c r="J7836">
        <v>0</v>
      </c>
      <c r="K7836">
        <v>0</v>
      </c>
      <c r="L7836">
        <v>0</v>
      </c>
      <c r="M7836">
        <v>10</v>
      </c>
      <c r="N7836">
        <v>1934.19</v>
      </c>
      <c r="O7836">
        <v>193.42</v>
      </c>
    </row>
    <row r="7837" spans="1:15" x14ac:dyDescent="0.35">
      <c r="A7837" t="s">
        <v>8497</v>
      </c>
      <c r="B7837" t="s">
        <v>158</v>
      </c>
      <c r="C7837" t="s">
        <v>1644</v>
      </c>
      <c r="D7837" t="s">
        <v>314</v>
      </c>
      <c r="E7837" t="s">
        <v>296</v>
      </c>
      <c r="F7837" t="s">
        <v>8509</v>
      </c>
      <c r="G7837">
        <v>0</v>
      </c>
      <c r="H7837">
        <v>0</v>
      </c>
      <c r="I7837">
        <v>0</v>
      </c>
      <c r="J7837">
        <v>0</v>
      </c>
      <c r="K7837">
        <v>0</v>
      </c>
      <c r="L7837">
        <v>0</v>
      </c>
      <c r="M7837">
        <v>0</v>
      </c>
      <c r="N7837">
        <v>0</v>
      </c>
      <c r="O7837">
        <v>0</v>
      </c>
    </row>
    <row r="7838" spans="1:15" x14ac:dyDescent="0.35">
      <c r="A7838" t="s">
        <v>8497</v>
      </c>
      <c r="B7838" t="s">
        <v>158</v>
      </c>
      <c r="C7838" t="s">
        <v>1644</v>
      </c>
      <c r="D7838" t="s">
        <v>314</v>
      </c>
      <c r="E7838" t="s">
        <v>298</v>
      </c>
      <c r="F7838" t="s">
        <v>8510</v>
      </c>
      <c r="G7838">
        <v>0</v>
      </c>
      <c r="H7838">
        <v>0</v>
      </c>
      <c r="I7838">
        <v>0</v>
      </c>
      <c r="J7838">
        <v>0</v>
      </c>
      <c r="K7838">
        <v>0</v>
      </c>
      <c r="L7838">
        <v>0</v>
      </c>
      <c r="M7838">
        <v>0</v>
      </c>
      <c r="N7838">
        <v>0</v>
      </c>
      <c r="O7838">
        <v>0</v>
      </c>
    </row>
    <row r="7839" spans="1:15" x14ac:dyDescent="0.35">
      <c r="A7839" t="s">
        <v>8497</v>
      </c>
      <c r="B7839" t="s">
        <v>158</v>
      </c>
      <c r="C7839" t="s">
        <v>1644</v>
      </c>
      <c r="D7839" t="s">
        <v>314</v>
      </c>
      <c r="E7839" t="s">
        <v>300</v>
      </c>
      <c r="F7839" t="s">
        <v>8511</v>
      </c>
      <c r="G7839">
        <v>0</v>
      </c>
      <c r="H7839">
        <v>0</v>
      </c>
      <c r="I7839">
        <v>0</v>
      </c>
      <c r="J7839">
        <v>0</v>
      </c>
      <c r="K7839">
        <v>0</v>
      </c>
      <c r="L7839">
        <v>0</v>
      </c>
      <c r="M7839">
        <v>0</v>
      </c>
      <c r="N7839">
        <v>0</v>
      </c>
      <c r="O7839">
        <v>0</v>
      </c>
    </row>
    <row r="7840" spans="1:15" x14ac:dyDescent="0.35">
      <c r="A7840" t="s">
        <v>8497</v>
      </c>
      <c r="B7840" t="s">
        <v>158</v>
      </c>
      <c r="C7840" t="s">
        <v>1644</v>
      </c>
      <c r="D7840" t="s">
        <v>314</v>
      </c>
      <c r="E7840" t="s">
        <v>306</v>
      </c>
      <c r="F7840" t="s">
        <v>8512</v>
      </c>
      <c r="G7840">
        <v>1</v>
      </c>
      <c r="H7840">
        <v>195.62</v>
      </c>
      <c r="I7840">
        <v>195.62</v>
      </c>
      <c r="J7840">
        <v>0</v>
      </c>
      <c r="K7840">
        <v>0</v>
      </c>
      <c r="L7840">
        <v>0</v>
      </c>
      <c r="M7840">
        <v>1</v>
      </c>
      <c r="N7840">
        <v>195.62</v>
      </c>
      <c r="O7840">
        <v>195.62</v>
      </c>
    </row>
    <row r="7841" spans="1:15" x14ac:dyDescent="0.35">
      <c r="A7841" t="s">
        <v>8497</v>
      </c>
      <c r="B7841" t="s">
        <v>158</v>
      </c>
      <c r="C7841" t="s">
        <v>1644</v>
      </c>
      <c r="D7841" t="s">
        <v>314</v>
      </c>
      <c r="E7841" t="s">
        <v>308</v>
      </c>
      <c r="F7841" t="s">
        <v>8513</v>
      </c>
      <c r="G7841">
        <v>0</v>
      </c>
      <c r="H7841">
        <v>0</v>
      </c>
      <c r="I7841">
        <v>0</v>
      </c>
      <c r="J7841">
        <v>0</v>
      </c>
      <c r="K7841">
        <v>0</v>
      </c>
      <c r="L7841">
        <v>0</v>
      </c>
      <c r="M7841">
        <v>0</v>
      </c>
      <c r="N7841">
        <v>0</v>
      </c>
      <c r="O7841">
        <v>0</v>
      </c>
    </row>
    <row r="7842" spans="1:15" x14ac:dyDescent="0.35">
      <c r="A7842" t="s">
        <v>8497</v>
      </c>
      <c r="B7842" t="s">
        <v>158</v>
      </c>
      <c r="C7842" t="s">
        <v>1644</v>
      </c>
      <c r="D7842" t="s">
        <v>314</v>
      </c>
      <c r="E7842" t="s">
        <v>312</v>
      </c>
      <c r="F7842" t="s">
        <v>8514</v>
      </c>
      <c r="G7842">
        <v>11</v>
      </c>
      <c r="H7842">
        <v>2129.81</v>
      </c>
      <c r="I7842">
        <v>193.62</v>
      </c>
      <c r="J7842">
        <v>0</v>
      </c>
      <c r="K7842">
        <v>0</v>
      </c>
      <c r="L7842">
        <v>0</v>
      </c>
      <c r="M7842">
        <v>11</v>
      </c>
      <c r="N7842">
        <v>2129.81</v>
      </c>
      <c r="O7842">
        <v>193.62</v>
      </c>
    </row>
    <row r="7843" spans="1:15" x14ac:dyDescent="0.35">
      <c r="A7843" t="s">
        <v>8497</v>
      </c>
      <c r="B7843" t="s">
        <v>158</v>
      </c>
      <c r="C7843" t="s">
        <v>1644</v>
      </c>
      <c r="D7843" t="s">
        <v>314</v>
      </c>
      <c r="E7843" t="s">
        <v>310</v>
      </c>
      <c r="F7843" t="s">
        <v>8515</v>
      </c>
      <c r="G7843">
        <v>11</v>
      </c>
      <c r="H7843">
        <v>2129.81</v>
      </c>
      <c r="I7843">
        <v>193.62</v>
      </c>
      <c r="J7843">
        <v>0</v>
      </c>
      <c r="K7843">
        <v>0</v>
      </c>
      <c r="L7843">
        <v>0</v>
      </c>
      <c r="M7843">
        <v>11</v>
      </c>
      <c r="N7843">
        <v>2129.81</v>
      </c>
      <c r="O7843">
        <v>193.62</v>
      </c>
    </row>
    <row r="7844" spans="1:15" x14ac:dyDescent="0.35">
      <c r="A7844" t="s">
        <v>8497</v>
      </c>
      <c r="B7844" t="s">
        <v>158</v>
      </c>
      <c r="C7844" t="s">
        <v>1644</v>
      </c>
      <c r="D7844" t="s">
        <v>323</v>
      </c>
      <c r="E7844" t="s">
        <v>294</v>
      </c>
      <c r="F7844" t="s">
        <v>8516</v>
      </c>
      <c r="G7844">
        <v>1453</v>
      </c>
      <c r="H7844">
        <v>177880.69</v>
      </c>
      <c r="I7844">
        <v>122.42</v>
      </c>
      <c r="J7844">
        <v>0</v>
      </c>
      <c r="K7844">
        <v>0</v>
      </c>
      <c r="L7844">
        <v>0</v>
      </c>
      <c r="M7844">
        <v>1453</v>
      </c>
      <c r="N7844">
        <v>177880.69</v>
      </c>
      <c r="O7844">
        <v>122.42</v>
      </c>
    </row>
    <row r="7845" spans="1:15" x14ac:dyDescent="0.35">
      <c r="A7845" t="s">
        <v>8497</v>
      </c>
      <c r="B7845" t="s">
        <v>158</v>
      </c>
      <c r="C7845" t="s">
        <v>1644</v>
      </c>
      <c r="D7845" t="s">
        <v>323</v>
      </c>
      <c r="E7845" t="s">
        <v>296</v>
      </c>
      <c r="F7845" t="s">
        <v>8517</v>
      </c>
      <c r="G7845">
        <v>1312</v>
      </c>
      <c r="H7845">
        <v>189692.09</v>
      </c>
      <c r="I7845">
        <v>144.58000000000001</v>
      </c>
      <c r="J7845">
        <v>0</v>
      </c>
      <c r="K7845">
        <v>0</v>
      </c>
      <c r="L7845">
        <v>0</v>
      </c>
      <c r="M7845">
        <v>1312</v>
      </c>
      <c r="N7845">
        <v>189692.09</v>
      </c>
      <c r="O7845">
        <v>144.58000000000001</v>
      </c>
    </row>
    <row r="7846" spans="1:15" x14ac:dyDescent="0.35">
      <c r="A7846" t="s">
        <v>8497</v>
      </c>
      <c r="B7846" t="s">
        <v>158</v>
      </c>
      <c r="C7846" t="s">
        <v>1644</v>
      </c>
      <c r="D7846" t="s">
        <v>323</v>
      </c>
      <c r="E7846" t="s">
        <v>298</v>
      </c>
      <c r="F7846" t="s">
        <v>8518</v>
      </c>
      <c r="G7846">
        <v>1627</v>
      </c>
      <c r="H7846">
        <v>264598.46999999997</v>
      </c>
      <c r="I7846">
        <v>162.63</v>
      </c>
      <c r="J7846">
        <v>0</v>
      </c>
      <c r="K7846">
        <v>0</v>
      </c>
      <c r="L7846">
        <v>0</v>
      </c>
      <c r="M7846">
        <v>1627</v>
      </c>
      <c r="N7846">
        <v>264598.46999999997</v>
      </c>
      <c r="O7846">
        <v>162.63</v>
      </c>
    </row>
    <row r="7847" spans="1:15" x14ac:dyDescent="0.35">
      <c r="A7847" t="s">
        <v>8497</v>
      </c>
      <c r="B7847" t="s">
        <v>158</v>
      </c>
      <c r="C7847" t="s">
        <v>1644</v>
      </c>
      <c r="D7847" t="s">
        <v>323</v>
      </c>
      <c r="E7847" t="s">
        <v>300</v>
      </c>
      <c r="F7847" t="s">
        <v>8519</v>
      </c>
      <c r="G7847">
        <v>132</v>
      </c>
      <c r="H7847">
        <v>23535.63</v>
      </c>
      <c r="I7847">
        <v>178.3</v>
      </c>
      <c r="J7847">
        <v>0</v>
      </c>
      <c r="K7847">
        <v>0</v>
      </c>
      <c r="L7847">
        <v>0</v>
      </c>
      <c r="M7847">
        <v>132</v>
      </c>
      <c r="N7847">
        <v>23535.63</v>
      </c>
      <c r="O7847">
        <v>178.3</v>
      </c>
    </row>
    <row r="7848" spans="1:15" x14ac:dyDescent="0.35">
      <c r="A7848" t="s">
        <v>8497</v>
      </c>
      <c r="B7848" t="s">
        <v>158</v>
      </c>
      <c r="C7848" t="s">
        <v>1644</v>
      </c>
      <c r="D7848" t="s">
        <v>323</v>
      </c>
      <c r="E7848" t="s">
        <v>302</v>
      </c>
      <c r="F7848" t="s">
        <v>8520</v>
      </c>
      <c r="G7848">
        <v>4</v>
      </c>
      <c r="H7848">
        <v>777.74</v>
      </c>
      <c r="I7848">
        <v>194.44</v>
      </c>
      <c r="J7848">
        <v>0</v>
      </c>
      <c r="K7848">
        <v>0</v>
      </c>
      <c r="L7848">
        <v>0</v>
      </c>
      <c r="M7848">
        <v>4</v>
      </c>
      <c r="N7848">
        <v>777.74</v>
      </c>
      <c r="O7848">
        <v>194.44</v>
      </c>
    </row>
    <row r="7849" spans="1:15" x14ac:dyDescent="0.35">
      <c r="A7849" t="s">
        <v>8497</v>
      </c>
      <c r="B7849" t="s">
        <v>158</v>
      </c>
      <c r="C7849" t="s">
        <v>1644</v>
      </c>
      <c r="D7849" t="s">
        <v>323</v>
      </c>
      <c r="E7849" t="s">
        <v>304</v>
      </c>
      <c r="F7849" t="s">
        <v>8521</v>
      </c>
      <c r="G7849">
        <v>1</v>
      </c>
      <c r="H7849">
        <v>225.5</v>
      </c>
      <c r="I7849">
        <v>225.5</v>
      </c>
      <c r="J7849">
        <v>0</v>
      </c>
      <c r="K7849">
        <v>0</v>
      </c>
      <c r="L7849">
        <v>0</v>
      </c>
      <c r="M7849">
        <v>1</v>
      </c>
      <c r="N7849">
        <v>225.5</v>
      </c>
      <c r="O7849">
        <v>225.5</v>
      </c>
    </row>
    <row r="7850" spans="1:15" x14ac:dyDescent="0.35">
      <c r="A7850" t="s">
        <v>8497</v>
      </c>
      <c r="B7850" t="s">
        <v>158</v>
      </c>
      <c r="C7850" t="s">
        <v>1644</v>
      </c>
      <c r="D7850" t="s">
        <v>323</v>
      </c>
      <c r="E7850" t="s">
        <v>306</v>
      </c>
      <c r="F7850" t="s">
        <v>8522</v>
      </c>
      <c r="G7850">
        <v>183</v>
      </c>
      <c r="H7850">
        <v>19124.43</v>
      </c>
      <c r="I7850">
        <v>104.51</v>
      </c>
      <c r="J7850">
        <v>0</v>
      </c>
      <c r="K7850">
        <v>0</v>
      </c>
      <c r="L7850">
        <v>0</v>
      </c>
      <c r="M7850">
        <v>183</v>
      </c>
      <c r="N7850">
        <v>19124.43</v>
      </c>
      <c r="O7850">
        <v>104.51</v>
      </c>
    </row>
    <row r="7851" spans="1:15" x14ac:dyDescent="0.35">
      <c r="A7851" t="s">
        <v>8497</v>
      </c>
      <c r="B7851" t="s">
        <v>158</v>
      </c>
      <c r="C7851" t="s">
        <v>1644</v>
      </c>
      <c r="D7851" t="s">
        <v>323</v>
      </c>
      <c r="E7851" t="s">
        <v>308</v>
      </c>
      <c r="F7851" t="s">
        <v>8523</v>
      </c>
      <c r="G7851">
        <v>0</v>
      </c>
      <c r="H7851">
        <v>0</v>
      </c>
      <c r="I7851">
        <v>0</v>
      </c>
      <c r="J7851">
        <v>0</v>
      </c>
      <c r="K7851">
        <v>0</v>
      </c>
      <c r="L7851">
        <v>0</v>
      </c>
      <c r="M7851">
        <v>0</v>
      </c>
      <c r="N7851">
        <v>0</v>
      </c>
      <c r="O7851">
        <v>0</v>
      </c>
    </row>
    <row r="7852" spans="1:15" x14ac:dyDescent="0.35">
      <c r="A7852" t="s">
        <v>8497</v>
      </c>
      <c r="B7852" t="s">
        <v>158</v>
      </c>
      <c r="C7852" t="s">
        <v>1644</v>
      </c>
      <c r="D7852" t="s">
        <v>323</v>
      </c>
      <c r="E7852" t="s">
        <v>310</v>
      </c>
      <c r="F7852" t="s">
        <v>8524</v>
      </c>
      <c r="G7852">
        <v>4712</v>
      </c>
      <c r="H7852">
        <v>675834.55</v>
      </c>
      <c r="I7852">
        <v>143.43</v>
      </c>
      <c r="J7852">
        <v>0</v>
      </c>
      <c r="K7852">
        <v>0</v>
      </c>
      <c r="L7852">
        <v>0</v>
      </c>
      <c r="M7852">
        <v>4712</v>
      </c>
      <c r="N7852">
        <v>675834.55</v>
      </c>
      <c r="O7852">
        <v>143.43</v>
      </c>
    </row>
    <row r="7853" spans="1:15" x14ac:dyDescent="0.35">
      <c r="A7853" t="s">
        <v>8497</v>
      </c>
      <c r="B7853" t="s">
        <v>158</v>
      </c>
      <c r="C7853" t="s">
        <v>1644</v>
      </c>
      <c r="D7853" t="s">
        <v>323</v>
      </c>
      <c r="E7853" t="s">
        <v>312</v>
      </c>
      <c r="F7853" t="s">
        <v>8525</v>
      </c>
      <c r="G7853">
        <v>4712</v>
      </c>
      <c r="H7853">
        <v>675834.55</v>
      </c>
      <c r="I7853">
        <v>143.43</v>
      </c>
      <c r="J7853">
        <v>0</v>
      </c>
      <c r="K7853">
        <v>0</v>
      </c>
      <c r="L7853">
        <v>0</v>
      </c>
      <c r="M7853">
        <v>4712</v>
      </c>
      <c r="N7853">
        <v>675834.55</v>
      </c>
      <c r="O7853">
        <v>143.43</v>
      </c>
    </row>
    <row r="7854" spans="1:15" x14ac:dyDescent="0.35">
      <c r="A7854" t="s">
        <v>8497</v>
      </c>
      <c r="B7854" t="s">
        <v>158</v>
      </c>
      <c r="C7854" t="s">
        <v>1644</v>
      </c>
      <c r="D7854" t="s">
        <v>334</v>
      </c>
      <c r="E7854" t="s">
        <v>312</v>
      </c>
      <c r="F7854" t="s">
        <v>8526</v>
      </c>
      <c r="G7854">
        <v>4986</v>
      </c>
      <c r="H7854">
        <v>742095.42</v>
      </c>
      <c r="I7854">
        <v>149.35</v>
      </c>
      <c r="J7854">
        <v>0</v>
      </c>
      <c r="K7854">
        <v>0</v>
      </c>
      <c r="L7854">
        <v>0</v>
      </c>
      <c r="M7854">
        <v>4986</v>
      </c>
      <c r="N7854">
        <v>742095.42</v>
      </c>
      <c r="O7854">
        <v>149.35</v>
      </c>
    </row>
    <row r="7855" spans="1:15" x14ac:dyDescent="0.35">
      <c r="A7855" t="s">
        <v>8497</v>
      </c>
      <c r="B7855" t="s">
        <v>158</v>
      </c>
      <c r="C7855" t="s">
        <v>1644</v>
      </c>
      <c r="D7855" t="s">
        <v>334</v>
      </c>
      <c r="E7855" t="s">
        <v>308</v>
      </c>
      <c r="F7855" t="s">
        <v>8527</v>
      </c>
      <c r="G7855">
        <v>0</v>
      </c>
      <c r="H7855">
        <v>0</v>
      </c>
      <c r="I7855">
        <v>0</v>
      </c>
      <c r="J7855">
        <v>0</v>
      </c>
      <c r="K7855">
        <v>0</v>
      </c>
      <c r="L7855">
        <v>0</v>
      </c>
      <c r="M7855">
        <v>0</v>
      </c>
      <c r="N7855">
        <v>0</v>
      </c>
      <c r="O7855">
        <v>0</v>
      </c>
    </row>
    <row r="7856" spans="1:15" x14ac:dyDescent="0.35">
      <c r="A7856" t="s">
        <v>8497</v>
      </c>
      <c r="B7856" t="s">
        <v>158</v>
      </c>
      <c r="C7856" t="s">
        <v>1644</v>
      </c>
      <c r="D7856" t="s">
        <v>337</v>
      </c>
      <c r="E7856" t="s">
        <v>337</v>
      </c>
      <c r="F7856" t="s">
        <v>8528</v>
      </c>
      <c r="G7856">
        <v>767</v>
      </c>
      <c r="J7856">
        <v>0</v>
      </c>
      <c r="M7856">
        <v>767</v>
      </c>
    </row>
    <row r="7857" spans="1:15" x14ac:dyDescent="0.35">
      <c r="A7857" t="s">
        <v>8497</v>
      </c>
      <c r="B7857" t="s">
        <v>158</v>
      </c>
      <c r="C7857" t="s">
        <v>1644</v>
      </c>
      <c r="D7857" t="s">
        <v>339</v>
      </c>
      <c r="E7857" t="s">
        <v>294</v>
      </c>
      <c r="F7857" t="s">
        <v>8529</v>
      </c>
      <c r="G7857">
        <v>283</v>
      </c>
      <c r="H7857">
        <v>38055.53</v>
      </c>
      <c r="I7857">
        <v>134.47</v>
      </c>
      <c r="J7857">
        <v>3</v>
      </c>
      <c r="K7857">
        <v>343.08</v>
      </c>
      <c r="L7857">
        <v>114.36</v>
      </c>
      <c r="M7857">
        <v>286</v>
      </c>
      <c r="N7857">
        <v>38398.61</v>
      </c>
      <c r="O7857">
        <v>134.26</v>
      </c>
    </row>
    <row r="7858" spans="1:15" x14ac:dyDescent="0.35">
      <c r="A7858" t="s">
        <v>8497</v>
      </c>
      <c r="B7858" t="s">
        <v>158</v>
      </c>
      <c r="C7858" t="s">
        <v>1644</v>
      </c>
      <c r="D7858" t="s">
        <v>339</v>
      </c>
      <c r="E7858" t="s">
        <v>296</v>
      </c>
      <c r="F7858" t="s">
        <v>8530</v>
      </c>
      <c r="G7858">
        <v>35</v>
      </c>
      <c r="H7858">
        <v>5670.99</v>
      </c>
      <c r="I7858">
        <v>162.03</v>
      </c>
      <c r="J7858">
        <v>0</v>
      </c>
      <c r="K7858">
        <v>0</v>
      </c>
      <c r="L7858">
        <v>0</v>
      </c>
      <c r="M7858">
        <v>35</v>
      </c>
      <c r="N7858">
        <v>5670.99</v>
      </c>
      <c r="O7858">
        <v>162.03</v>
      </c>
    </row>
    <row r="7859" spans="1:15" x14ac:dyDescent="0.35">
      <c r="A7859" t="s">
        <v>8497</v>
      </c>
      <c r="B7859" t="s">
        <v>158</v>
      </c>
      <c r="C7859" t="s">
        <v>1644</v>
      </c>
      <c r="D7859" t="s">
        <v>339</v>
      </c>
      <c r="E7859" t="s">
        <v>298</v>
      </c>
      <c r="F7859" t="s">
        <v>8531</v>
      </c>
      <c r="G7859">
        <v>1</v>
      </c>
      <c r="H7859">
        <v>182.85</v>
      </c>
      <c r="I7859">
        <v>182.85</v>
      </c>
      <c r="J7859">
        <v>0</v>
      </c>
      <c r="K7859">
        <v>0</v>
      </c>
      <c r="L7859">
        <v>0</v>
      </c>
      <c r="M7859">
        <v>1</v>
      </c>
      <c r="N7859">
        <v>182.85</v>
      </c>
      <c r="O7859">
        <v>182.85</v>
      </c>
    </row>
    <row r="7860" spans="1:15" x14ac:dyDescent="0.35">
      <c r="A7860" t="s">
        <v>8497</v>
      </c>
      <c r="B7860" t="s">
        <v>158</v>
      </c>
      <c r="C7860" t="s">
        <v>1644</v>
      </c>
      <c r="D7860" t="s">
        <v>339</v>
      </c>
      <c r="E7860" t="s">
        <v>300</v>
      </c>
      <c r="F7860" t="s">
        <v>8532</v>
      </c>
      <c r="G7860">
        <v>0</v>
      </c>
      <c r="H7860">
        <v>0</v>
      </c>
      <c r="I7860">
        <v>0</v>
      </c>
      <c r="J7860">
        <v>0</v>
      </c>
      <c r="K7860">
        <v>0</v>
      </c>
      <c r="L7860">
        <v>0</v>
      </c>
      <c r="M7860">
        <v>0</v>
      </c>
      <c r="N7860">
        <v>0</v>
      </c>
      <c r="O7860">
        <v>0</v>
      </c>
    </row>
    <row r="7861" spans="1:15" x14ac:dyDescent="0.35">
      <c r="A7861" t="s">
        <v>8497</v>
      </c>
      <c r="B7861" t="s">
        <v>158</v>
      </c>
      <c r="C7861" t="s">
        <v>1644</v>
      </c>
      <c r="D7861" t="s">
        <v>339</v>
      </c>
      <c r="E7861" t="s">
        <v>306</v>
      </c>
      <c r="F7861" t="s">
        <v>8533</v>
      </c>
      <c r="G7861">
        <v>7</v>
      </c>
      <c r="H7861">
        <v>861</v>
      </c>
      <c r="I7861">
        <v>123</v>
      </c>
      <c r="J7861">
        <v>28</v>
      </c>
      <c r="K7861">
        <v>2500.96</v>
      </c>
      <c r="L7861">
        <v>89.32</v>
      </c>
      <c r="M7861">
        <v>35</v>
      </c>
      <c r="N7861">
        <v>3361.96</v>
      </c>
      <c r="O7861">
        <v>96.06</v>
      </c>
    </row>
    <row r="7862" spans="1:15" x14ac:dyDescent="0.35">
      <c r="A7862" t="s">
        <v>8497</v>
      </c>
      <c r="B7862" t="s">
        <v>158</v>
      </c>
      <c r="C7862" t="s">
        <v>1644</v>
      </c>
      <c r="D7862" t="s">
        <v>339</v>
      </c>
      <c r="E7862" t="s">
        <v>308</v>
      </c>
      <c r="F7862" t="s">
        <v>8534</v>
      </c>
      <c r="G7862">
        <v>11</v>
      </c>
      <c r="H7862">
        <v>1218.3800000000001</v>
      </c>
      <c r="I7862">
        <v>110.76</v>
      </c>
      <c r="J7862">
        <v>0</v>
      </c>
      <c r="K7862">
        <v>0</v>
      </c>
      <c r="L7862">
        <v>0</v>
      </c>
      <c r="M7862">
        <v>11</v>
      </c>
      <c r="N7862">
        <v>1218.3800000000001</v>
      </c>
      <c r="O7862">
        <v>110.76</v>
      </c>
    </row>
    <row r="7863" spans="1:15" x14ac:dyDescent="0.35">
      <c r="A7863" t="s">
        <v>8497</v>
      </c>
      <c r="B7863" t="s">
        <v>158</v>
      </c>
      <c r="C7863" t="s">
        <v>1644</v>
      </c>
      <c r="D7863" t="s">
        <v>339</v>
      </c>
      <c r="E7863" t="s">
        <v>310</v>
      </c>
      <c r="F7863" t="s">
        <v>8535</v>
      </c>
      <c r="G7863">
        <v>337</v>
      </c>
      <c r="H7863">
        <v>45988.749999999993</v>
      </c>
      <c r="I7863">
        <v>136.47</v>
      </c>
      <c r="J7863">
        <v>31</v>
      </c>
      <c r="K7863">
        <v>2844.04</v>
      </c>
      <c r="L7863">
        <v>91.74</v>
      </c>
      <c r="M7863">
        <v>368</v>
      </c>
      <c r="N7863">
        <v>48832.789999999994</v>
      </c>
      <c r="O7863">
        <v>132.69999999999999</v>
      </c>
    </row>
    <row r="7864" spans="1:15" x14ac:dyDescent="0.35">
      <c r="A7864" t="s">
        <v>8497</v>
      </c>
      <c r="B7864" t="s">
        <v>158</v>
      </c>
      <c r="C7864" t="s">
        <v>1644</v>
      </c>
      <c r="D7864" t="s">
        <v>339</v>
      </c>
      <c r="E7864" t="s">
        <v>312</v>
      </c>
      <c r="F7864" t="s">
        <v>8536</v>
      </c>
      <c r="G7864">
        <v>326</v>
      </c>
      <c r="H7864">
        <v>44770.369999999995</v>
      </c>
      <c r="I7864">
        <v>137.33000000000001</v>
      </c>
      <c r="J7864">
        <v>31</v>
      </c>
      <c r="K7864">
        <v>2844.04</v>
      </c>
      <c r="L7864">
        <v>91.74</v>
      </c>
      <c r="M7864">
        <v>357</v>
      </c>
      <c r="N7864">
        <v>47614.409999999996</v>
      </c>
      <c r="O7864">
        <v>133.37</v>
      </c>
    </row>
    <row r="7865" spans="1:15" x14ac:dyDescent="0.35">
      <c r="A7865" t="s">
        <v>8497</v>
      </c>
      <c r="B7865" t="s">
        <v>158</v>
      </c>
      <c r="C7865" t="s">
        <v>1644</v>
      </c>
      <c r="D7865" t="s">
        <v>348</v>
      </c>
      <c r="E7865" t="s">
        <v>349</v>
      </c>
      <c r="F7865" t="s">
        <v>8537</v>
      </c>
      <c r="G7865">
        <v>445</v>
      </c>
      <c r="H7865">
        <v>48118.55999999999</v>
      </c>
      <c r="I7865">
        <v>138.27000000000001</v>
      </c>
      <c r="J7865">
        <v>31</v>
      </c>
      <c r="K7865">
        <v>2844.04</v>
      </c>
      <c r="L7865">
        <v>91.74</v>
      </c>
      <c r="M7865">
        <v>476</v>
      </c>
      <c r="N7865">
        <v>50962.599999999991</v>
      </c>
      <c r="O7865">
        <v>134.47</v>
      </c>
    </row>
    <row r="7866" spans="1:15" x14ac:dyDescent="0.35">
      <c r="A7866" t="s">
        <v>8538</v>
      </c>
      <c r="B7866" t="s">
        <v>170</v>
      </c>
      <c r="C7866" t="s">
        <v>1644</v>
      </c>
      <c r="D7866" t="s">
        <v>293</v>
      </c>
      <c r="E7866" t="s">
        <v>294</v>
      </c>
      <c r="F7866" t="s">
        <v>8539</v>
      </c>
      <c r="G7866">
        <v>82</v>
      </c>
      <c r="H7866">
        <v>15653.89</v>
      </c>
      <c r="I7866">
        <v>190.9</v>
      </c>
      <c r="J7866">
        <v>0</v>
      </c>
      <c r="K7866">
        <v>0</v>
      </c>
      <c r="L7866">
        <v>0</v>
      </c>
      <c r="M7866">
        <v>82</v>
      </c>
      <c r="N7866">
        <v>15653.89</v>
      </c>
      <c r="O7866">
        <v>190.9</v>
      </c>
    </row>
    <row r="7867" spans="1:15" x14ac:dyDescent="0.35">
      <c r="A7867" t="s">
        <v>8538</v>
      </c>
      <c r="B7867" t="s">
        <v>170</v>
      </c>
      <c r="C7867" t="s">
        <v>1644</v>
      </c>
      <c r="D7867" t="s">
        <v>293</v>
      </c>
      <c r="E7867" t="s">
        <v>296</v>
      </c>
      <c r="F7867" t="s">
        <v>8540</v>
      </c>
      <c r="G7867">
        <v>114</v>
      </c>
      <c r="H7867">
        <v>28247.78</v>
      </c>
      <c r="I7867">
        <v>247.79</v>
      </c>
      <c r="J7867">
        <v>0</v>
      </c>
      <c r="K7867">
        <v>0</v>
      </c>
      <c r="L7867">
        <v>0</v>
      </c>
      <c r="M7867">
        <v>114</v>
      </c>
      <c r="N7867">
        <v>28247.78</v>
      </c>
      <c r="O7867">
        <v>247.79</v>
      </c>
    </row>
    <row r="7868" spans="1:15" x14ac:dyDescent="0.35">
      <c r="A7868" t="s">
        <v>8538</v>
      </c>
      <c r="B7868" t="s">
        <v>170</v>
      </c>
      <c r="C7868" t="s">
        <v>1644</v>
      </c>
      <c r="D7868" t="s">
        <v>293</v>
      </c>
      <c r="E7868" t="s">
        <v>298</v>
      </c>
      <c r="F7868" t="s">
        <v>8541</v>
      </c>
      <c r="G7868">
        <v>58</v>
      </c>
      <c r="H7868">
        <v>17696.810000000001</v>
      </c>
      <c r="I7868">
        <v>305.12</v>
      </c>
      <c r="J7868">
        <v>0</v>
      </c>
      <c r="K7868">
        <v>0</v>
      </c>
      <c r="L7868">
        <v>0</v>
      </c>
      <c r="M7868">
        <v>58</v>
      </c>
      <c r="N7868">
        <v>17696.810000000001</v>
      </c>
      <c r="O7868">
        <v>305.12</v>
      </c>
    </row>
    <row r="7869" spans="1:15" x14ac:dyDescent="0.35">
      <c r="A7869" t="s">
        <v>8538</v>
      </c>
      <c r="B7869" t="s">
        <v>170</v>
      </c>
      <c r="C7869" t="s">
        <v>1644</v>
      </c>
      <c r="D7869" t="s">
        <v>293</v>
      </c>
      <c r="E7869" t="s">
        <v>300</v>
      </c>
      <c r="F7869" t="s">
        <v>8542</v>
      </c>
      <c r="G7869">
        <v>14</v>
      </c>
      <c r="H7869">
        <v>5237.3999999999996</v>
      </c>
      <c r="I7869">
        <v>374.1</v>
      </c>
      <c r="J7869">
        <v>0</v>
      </c>
      <c r="K7869">
        <v>0</v>
      </c>
      <c r="L7869">
        <v>0</v>
      </c>
      <c r="M7869">
        <v>14</v>
      </c>
      <c r="N7869">
        <v>5237.3999999999996</v>
      </c>
      <c r="O7869">
        <v>374.1</v>
      </c>
    </row>
    <row r="7870" spans="1:15" x14ac:dyDescent="0.35">
      <c r="A7870" t="s">
        <v>8538</v>
      </c>
      <c r="B7870" t="s">
        <v>170</v>
      </c>
      <c r="C7870" t="s">
        <v>1644</v>
      </c>
      <c r="D7870" t="s">
        <v>293</v>
      </c>
      <c r="E7870" t="s">
        <v>302</v>
      </c>
      <c r="F7870" t="s">
        <v>8543</v>
      </c>
      <c r="G7870">
        <v>0</v>
      </c>
      <c r="H7870">
        <v>0</v>
      </c>
      <c r="I7870">
        <v>0</v>
      </c>
      <c r="J7870">
        <v>0</v>
      </c>
      <c r="K7870">
        <v>0</v>
      </c>
      <c r="L7870">
        <v>0</v>
      </c>
      <c r="M7870">
        <v>0</v>
      </c>
      <c r="N7870">
        <v>0</v>
      </c>
      <c r="O7870">
        <v>0</v>
      </c>
    </row>
    <row r="7871" spans="1:15" x14ac:dyDescent="0.35">
      <c r="A7871" t="s">
        <v>8538</v>
      </c>
      <c r="B7871" t="s">
        <v>170</v>
      </c>
      <c r="C7871" t="s">
        <v>1644</v>
      </c>
      <c r="D7871" t="s">
        <v>293</v>
      </c>
      <c r="E7871" t="s">
        <v>304</v>
      </c>
      <c r="F7871" t="s">
        <v>8544</v>
      </c>
      <c r="G7871">
        <v>1</v>
      </c>
      <c r="H7871">
        <v>380</v>
      </c>
      <c r="I7871">
        <v>380</v>
      </c>
      <c r="J7871">
        <v>0</v>
      </c>
      <c r="K7871">
        <v>0</v>
      </c>
      <c r="L7871">
        <v>0</v>
      </c>
      <c r="M7871">
        <v>1</v>
      </c>
      <c r="N7871">
        <v>380</v>
      </c>
      <c r="O7871">
        <v>380</v>
      </c>
    </row>
    <row r="7872" spans="1:15" x14ac:dyDescent="0.35">
      <c r="A7872" t="s">
        <v>8538</v>
      </c>
      <c r="B7872" t="s">
        <v>170</v>
      </c>
      <c r="C7872" t="s">
        <v>1644</v>
      </c>
      <c r="D7872" t="s">
        <v>293</v>
      </c>
      <c r="E7872" t="s">
        <v>306</v>
      </c>
      <c r="F7872" t="s">
        <v>8545</v>
      </c>
      <c r="G7872">
        <v>0</v>
      </c>
      <c r="H7872">
        <v>0</v>
      </c>
      <c r="I7872">
        <v>0</v>
      </c>
      <c r="J7872">
        <v>0</v>
      </c>
      <c r="K7872">
        <v>0</v>
      </c>
      <c r="L7872">
        <v>0</v>
      </c>
      <c r="M7872">
        <v>0</v>
      </c>
      <c r="N7872">
        <v>0</v>
      </c>
      <c r="O7872">
        <v>0</v>
      </c>
    </row>
    <row r="7873" spans="1:15" x14ac:dyDescent="0.35">
      <c r="A7873" t="s">
        <v>8538</v>
      </c>
      <c r="B7873" t="s">
        <v>170</v>
      </c>
      <c r="C7873" t="s">
        <v>1644</v>
      </c>
      <c r="D7873" t="s">
        <v>293</v>
      </c>
      <c r="E7873" t="s">
        <v>308</v>
      </c>
      <c r="F7873" t="s">
        <v>8546</v>
      </c>
      <c r="G7873">
        <v>0</v>
      </c>
      <c r="H7873">
        <v>0</v>
      </c>
      <c r="I7873">
        <v>0</v>
      </c>
      <c r="J7873">
        <v>0</v>
      </c>
      <c r="K7873">
        <v>0</v>
      </c>
      <c r="L7873">
        <v>0</v>
      </c>
      <c r="M7873">
        <v>0</v>
      </c>
      <c r="N7873">
        <v>0</v>
      </c>
      <c r="O7873">
        <v>0</v>
      </c>
    </row>
    <row r="7874" spans="1:15" x14ac:dyDescent="0.35">
      <c r="A7874" t="s">
        <v>8538</v>
      </c>
      <c r="B7874" t="s">
        <v>170</v>
      </c>
      <c r="C7874" t="s">
        <v>1644</v>
      </c>
      <c r="D7874" t="s">
        <v>293</v>
      </c>
      <c r="E7874" t="s">
        <v>310</v>
      </c>
      <c r="F7874" t="s">
        <v>8547</v>
      </c>
      <c r="G7874">
        <v>269</v>
      </c>
      <c r="H7874">
        <v>67215.87999999999</v>
      </c>
      <c r="I7874">
        <v>249.87</v>
      </c>
      <c r="J7874">
        <v>0</v>
      </c>
      <c r="K7874">
        <v>0</v>
      </c>
      <c r="L7874">
        <v>0</v>
      </c>
      <c r="M7874">
        <v>269</v>
      </c>
      <c r="N7874">
        <v>67215.87999999999</v>
      </c>
      <c r="O7874">
        <v>249.87</v>
      </c>
    </row>
    <row r="7875" spans="1:15" x14ac:dyDescent="0.35">
      <c r="A7875" t="s">
        <v>8538</v>
      </c>
      <c r="B7875" t="s">
        <v>170</v>
      </c>
      <c r="C7875" t="s">
        <v>1644</v>
      </c>
      <c r="D7875" t="s">
        <v>293</v>
      </c>
      <c r="E7875" t="s">
        <v>312</v>
      </c>
      <c r="F7875" t="s">
        <v>8548</v>
      </c>
      <c r="G7875">
        <v>269</v>
      </c>
      <c r="H7875">
        <v>67215.87999999999</v>
      </c>
      <c r="I7875">
        <v>249.87</v>
      </c>
      <c r="J7875">
        <v>0</v>
      </c>
      <c r="K7875">
        <v>0</v>
      </c>
      <c r="L7875">
        <v>0</v>
      </c>
      <c r="M7875">
        <v>269</v>
      </c>
      <c r="N7875">
        <v>67215.87999999999</v>
      </c>
      <c r="O7875">
        <v>249.87</v>
      </c>
    </row>
    <row r="7876" spans="1:15" x14ac:dyDescent="0.35">
      <c r="A7876" t="s">
        <v>8538</v>
      </c>
      <c r="B7876" t="s">
        <v>170</v>
      </c>
      <c r="C7876" t="s">
        <v>1644</v>
      </c>
      <c r="D7876" t="s">
        <v>323</v>
      </c>
      <c r="E7876" t="s">
        <v>294</v>
      </c>
      <c r="F7876" t="s">
        <v>8549</v>
      </c>
      <c r="G7876">
        <v>720</v>
      </c>
      <c r="H7876">
        <v>83747.34</v>
      </c>
      <c r="I7876">
        <v>116.32</v>
      </c>
      <c r="J7876">
        <v>0</v>
      </c>
      <c r="K7876">
        <v>0</v>
      </c>
      <c r="L7876">
        <v>0</v>
      </c>
      <c r="M7876">
        <v>720</v>
      </c>
      <c r="N7876">
        <v>83747.34</v>
      </c>
      <c r="O7876">
        <v>116.32</v>
      </c>
    </row>
    <row r="7877" spans="1:15" x14ac:dyDescent="0.35">
      <c r="A7877" t="s">
        <v>8538</v>
      </c>
      <c r="B7877" t="s">
        <v>170</v>
      </c>
      <c r="C7877" t="s">
        <v>1644</v>
      </c>
      <c r="D7877" t="s">
        <v>323</v>
      </c>
      <c r="E7877" t="s">
        <v>296</v>
      </c>
      <c r="F7877" t="s">
        <v>8550</v>
      </c>
      <c r="G7877">
        <v>945</v>
      </c>
      <c r="H7877">
        <v>127439.43000000001</v>
      </c>
      <c r="I7877">
        <v>134.86000000000001</v>
      </c>
      <c r="J7877">
        <v>0</v>
      </c>
      <c r="K7877">
        <v>0</v>
      </c>
      <c r="L7877">
        <v>0</v>
      </c>
      <c r="M7877">
        <v>945</v>
      </c>
      <c r="N7877">
        <v>127439.43000000001</v>
      </c>
      <c r="O7877">
        <v>134.86000000000001</v>
      </c>
    </row>
    <row r="7878" spans="1:15" x14ac:dyDescent="0.35">
      <c r="A7878" t="s">
        <v>8538</v>
      </c>
      <c r="B7878" t="s">
        <v>170</v>
      </c>
      <c r="C7878" t="s">
        <v>1644</v>
      </c>
      <c r="D7878" t="s">
        <v>323</v>
      </c>
      <c r="E7878" t="s">
        <v>298</v>
      </c>
      <c r="F7878" t="s">
        <v>8551</v>
      </c>
      <c r="G7878">
        <v>1185</v>
      </c>
      <c r="H7878">
        <v>181008.78000000003</v>
      </c>
      <c r="I7878">
        <v>152.75</v>
      </c>
      <c r="J7878">
        <v>0</v>
      </c>
      <c r="K7878">
        <v>0</v>
      </c>
      <c r="L7878">
        <v>0</v>
      </c>
      <c r="M7878">
        <v>1185</v>
      </c>
      <c r="N7878">
        <v>181008.78000000003</v>
      </c>
      <c r="O7878">
        <v>152.75</v>
      </c>
    </row>
    <row r="7879" spans="1:15" x14ac:dyDescent="0.35">
      <c r="A7879" t="s">
        <v>8538</v>
      </c>
      <c r="B7879" t="s">
        <v>170</v>
      </c>
      <c r="C7879" t="s">
        <v>1644</v>
      </c>
      <c r="D7879" t="s">
        <v>323</v>
      </c>
      <c r="E7879" t="s">
        <v>300</v>
      </c>
      <c r="F7879" t="s">
        <v>8552</v>
      </c>
      <c r="G7879">
        <v>45</v>
      </c>
      <c r="H7879">
        <v>7492.83</v>
      </c>
      <c r="I7879">
        <v>166.51</v>
      </c>
      <c r="J7879">
        <v>0</v>
      </c>
      <c r="K7879">
        <v>0</v>
      </c>
      <c r="L7879">
        <v>0</v>
      </c>
      <c r="M7879">
        <v>45</v>
      </c>
      <c r="N7879">
        <v>7492.83</v>
      </c>
      <c r="O7879">
        <v>166.51</v>
      </c>
    </row>
    <row r="7880" spans="1:15" x14ac:dyDescent="0.35">
      <c r="A7880" t="s">
        <v>8538</v>
      </c>
      <c r="B7880" t="s">
        <v>170</v>
      </c>
      <c r="C7880" t="s">
        <v>1644</v>
      </c>
      <c r="D7880" t="s">
        <v>323</v>
      </c>
      <c r="E7880" t="s">
        <v>302</v>
      </c>
      <c r="F7880" t="s">
        <v>8553</v>
      </c>
      <c r="G7880">
        <v>0</v>
      </c>
      <c r="H7880">
        <v>0</v>
      </c>
      <c r="I7880">
        <v>0</v>
      </c>
      <c r="J7880">
        <v>0</v>
      </c>
      <c r="K7880">
        <v>0</v>
      </c>
      <c r="L7880">
        <v>0</v>
      </c>
      <c r="M7880">
        <v>0</v>
      </c>
      <c r="N7880">
        <v>0</v>
      </c>
      <c r="O7880">
        <v>0</v>
      </c>
    </row>
    <row r="7881" spans="1:15" x14ac:dyDescent="0.35">
      <c r="A7881" t="s">
        <v>8538</v>
      </c>
      <c r="B7881" t="s">
        <v>170</v>
      </c>
      <c r="C7881" t="s">
        <v>1644</v>
      </c>
      <c r="D7881" t="s">
        <v>323</v>
      </c>
      <c r="E7881" t="s">
        <v>304</v>
      </c>
      <c r="F7881" t="s">
        <v>8554</v>
      </c>
      <c r="G7881">
        <v>0</v>
      </c>
      <c r="H7881">
        <v>0</v>
      </c>
      <c r="I7881">
        <v>0</v>
      </c>
      <c r="J7881">
        <v>0</v>
      </c>
      <c r="K7881">
        <v>0</v>
      </c>
      <c r="L7881">
        <v>0</v>
      </c>
      <c r="M7881">
        <v>0</v>
      </c>
      <c r="N7881">
        <v>0</v>
      </c>
      <c r="O7881">
        <v>0</v>
      </c>
    </row>
    <row r="7882" spans="1:15" x14ac:dyDescent="0.35">
      <c r="A7882" t="s">
        <v>8538</v>
      </c>
      <c r="B7882" t="s">
        <v>170</v>
      </c>
      <c r="C7882" t="s">
        <v>1644</v>
      </c>
      <c r="D7882" t="s">
        <v>323</v>
      </c>
      <c r="E7882" t="s">
        <v>306</v>
      </c>
      <c r="F7882" t="s">
        <v>8555</v>
      </c>
      <c r="G7882">
        <v>20</v>
      </c>
      <c r="H7882">
        <v>2016.6</v>
      </c>
      <c r="I7882">
        <v>100.83</v>
      </c>
      <c r="J7882">
        <v>0</v>
      </c>
      <c r="K7882">
        <v>0</v>
      </c>
      <c r="L7882">
        <v>0</v>
      </c>
      <c r="M7882">
        <v>20</v>
      </c>
      <c r="N7882">
        <v>2016.6</v>
      </c>
      <c r="O7882">
        <v>100.83</v>
      </c>
    </row>
    <row r="7883" spans="1:15" x14ac:dyDescent="0.35">
      <c r="A7883" t="s">
        <v>8538</v>
      </c>
      <c r="B7883" t="s">
        <v>170</v>
      </c>
      <c r="C7883" t="s">
        <v>1644</v>
      </c>
      <c r="D7883" t="s">
        <v>323</v>
      </c>
      <c r="E7883" t="s">
        <v>308</v>
      </c>
      <c r="F7883" t="s">
        <v>8556</v>
      </c>
      <c r="G7883">
        <v>44</v>
      </c>
      <c r="H7883">
        <v>5473.16</v>
      </c>
      <c r="I7883">
        <v>124.39</v>
      </c>
      <c r="J7883">
        <v>0</v>
      </c>
      <c r="K7883">
        <v>0</v>
      </c>
      <c r="L7883">
        <v>0</v>
      </c>
      <c r="M7883">
        <v>44</v>
      </c>
      <c r="N7883">
        <v>5473.16</v>
      </c>
      <c r="O7883">
        <v>124.39</v>
      </c>
    </row>
    <row r="7884" spans="1:15" x14ac:dyDescent="0.35">
      <c r="A7884" t="s">
        <v>8538</v>
      </c>
      <c r="B7884" t="s">
        <v>170</v>
      </c>
      <c r="C7884" t="s">
        <v>1644</v>
      </c>
      <c r="D7884" t="s">
        <v>323</v>
      </c>
      <c r="E7884" t="s">
        <v>310</v>
      </c>
      <c r="F7884" t="s">
        <v>8557</v>
      </c>
      <c r="G7884">
        <v>2959</v>
      </c>
      <c r="H7884">
        <v>407178.14</v>
      </c>
      <c r="I7884">
        <v>137.61000000000001</v>
      </c>
      <c r="J7884">
        <v>0</v>
      </c>
      <c r="K7884">
        <v>0</v>
      </c>
      <c r="L7884">
        <v>0</v>
      </c>
      <c r="M7884">
        <v>2959</v>
      </c>
      <c r="N7884">
        <v>407178.14</v>
      </c>
      <c r="O7884">
        <v>137.61000000000001</v>
      </c>
    </row>
    <row r="7885" spans="1:15" x14ac:dyDescent="0.35">
      <c r="A7885" t="s">
        <v>8538</v>
      </c>
      <c r="B7885" t="s">
        <v>170</v>
      </c>
      <c r="C7885" t="s">
        <v>1644</v>
      </c>
      <c r="D7885" t="s">
        <v>323</v>
      </c>
      <c r="E7885" t="s">
        <v>312</v>
      </c>
      <c r="F7885" t="s">
        <v>8558</v>
      </c>
      <c r="G7885">
        <v>2915</v>
      </c>
      <c r="H7885">
        <v>401704.98000000004</v>
      </c>
      <c r="I7885">
        <v>137.81</v>
      </c>
      <c r="J7885">
        <v>0</v>
      </c>
      <c r="K7885">
        <v>0</v>
      </c>
      <c r="L7885">
        <v>0</v>
      </c>
      <c r="M7885">
        <v>2915</v>
      </c>
      <c r="N7885">
        <v>401704.98000000004</v>
      </c>
      <c r="O7885">
        <v>137.81</v>
      </c>
    </row>
    <row r="7886" spans="1:15" x14ac:dyDescent="0.35">
      <c r="A7886" t="s">
        <v>8538</v>
      </c>
      <c r="B7886" t="s">
        <v>170</v>
      </c>
      <c r="C7886" t="s">
        <v>1644</v>
      </c>
      <c r="D7886" t="s">
        <v>334</v>
      </c>
      <c r="E7886" t="s">
        <v>312</v>
      </c>
      <c r="F7886" t="s">
        <v>8559</v>
      </c>
      <c r="G7886">
        <v>3200</v>
      </c>
      <c r="H7886">
        <v>468920.86</v>
      </c>
      <c r="I7886">
        <v>147.27000000000001</v>
      </c>
      <c r="J7886">
        <v>0</v>
      </c>
      <c r="K7886">
        <v>0</v>
      </c>
      <c r="L7886">
        <v>0</v>
      </c>
      <c r="M7886">
        <v>3200</v>
      </c>
      <c r="N7886">
        <v>468920.86</v>
      </c>
      <c r="O7886">
        <v>147.27000000000001</v>
      </c>
    </row>
    <row r="7887" spans="1:15" x14ac:dyDescent="0.35">
      <c r="A7887" t="s">
        <v>8538</v>
      </c>
      <c r="B7887" t="s">
        <v>170</v>
      </c>
      <c r="C7887" t="s">
        <v>1644</v>
      </c>
      <c r="D7887" t="s">
        <v>334</v>
      </c>
      <c r="E7887" t="s">
        <v>308</v>
      </c>
      <c r="F7887" t="s">
        <v>8560</v>
      </c>
      <c r="G7887">
        <v>120</v>
      </c>
      <c r="H7887">
        <v>5473.16</v>
      </c>
      <c r="I7887">
        <v>124.39</v>
      </c>
      <c r="J7887">
        <v>0</v>
      </c>
      <c r="K7887">
        <v>0</v>
      </c>
      <c r="L7887">
        <v>0</v>
      </c>
      <c r="M7887">
        <v>120</v>
      </c>
      <c r="N7887">
        <v>5473.16</v>
      </c>
      <c r="O7887">
        <v>124.39</v>
      </c>
    </row>
    <row r="7888" spans="1:15" x14ac:dyDescent="0.35">
      <c r="A7888" t="s">
        <v>8538</v>
      </c>
      <c r="B7888" t="s">
        <v>170</v>
      </c>
      <c r="C7888" t="s">
        <v>1644</v>
      </c>
      <c r="D7888" t="s">
        <v>337</v>
      </c>
      <c r="E7888" t="s">
        <v>337</v>
      </c>
      <c r="F7888" t="s">
        <v>8561</v>
      </c>
      <c r="G7888">
        <v>488</v>
      </c>
      <c r="J7888">
        <v>0</v>
      </c>
      <c r="M7888">
        <v>488</v>
      </c>
    </row>
    <row r="7889" spans="1:15" x14ac:dyDescent="0.35">
      <c r="A7889" t="s">
        <v>8538</v>
      </c>
      <c r="B7889" t="s">
        <v>170</v>
      </c>
      <c r="C7889" t="s">
        <v>1644</v>
      </c>
      <c r="D7889" t="s">
        <v>339</v>
      </c>
      <c r="E7889" t="s">
        <v>294</v>
      </c>
      <c r="F7889" t="s">
        <v>8562</v>
      </c>
      <c r="G7889">
        <v>208</v>
      </c>
      <c r="H7889">
        <v>26760.14</v>
      </c>
      <c r="I7889">
        <v>128.65</v>
      </c>
      <c r="J7889">
        <v>0</v>
      </c>
      <c r="K7889">
        <v>0</v>
      </c>
      <c r="L7889">
        <v>0</v>
      </c>
      <c r="M7889">
        <v>208</v>
      </c>
      <c r="N7889">
        <v>26760.14</v>
      </c>
      <c r="O7889">
        <v>128.65</v>
      </c>
    </row>
    <row r="7890" spans="1:15" x14ac:dyDescent="0.35">
      <c r="A7890" t="s">
        <v>8538</v>
      </c>
      <c r="B7890" t="s">
        <v>170</v>
      </c>
      <c r="C7890" t="s">
        <v>1644</v>
      </c>
      <c r="D7890" t="s">
        <v>339</v>
      </c>
      <c r="E7890" t="s">
        <v>296</v>
      </c>
      <c r="F7890" t="s">
        <v>8563</v>
      </c>
      <c r="G7890">
        <v>12</v>
      </c>
      <c r="H7890">
        <v>1687.1399999999999</v>
      </c>
      <c r="I7890">
        <v>140.6</v>
      </c>
      <c r="J7890">
        <v>0</v>
      </c>
      <c r="K7890">
        <v>0</v>
      </c>
      <c r="L7890">
        <v>0</v>
      </c>
      <c r="M7890">
        <v>12</v>
      </c>
      <c r="N7890">
        <v>1687.1399999999999</v>
      </c>
      <c r="O7890">
        <v>140.6</v>
      </c>
    </row>
    <row r="7891" spans="1:15" x14ac:dyDescent="0.35">
      <c r="A7891" t="s">
        <v>8538</v>
      </c>
      <c r="B7891" t="s">
        <v>170</v>
      </c>
      <c r="C7891" t="s">
        <v>1644</v>
      </c>
      <c r="D7891" t="s">
        <v>339</v>
      </c>
      <c r="E7891" t="s">
        <v>298</v>
      </c>
      <c r="F7891" t="s">
        <v>8564</v>
      </c>
      <c r="G7891">
        <v>1</v>
      </c>
      <c r="H7891">
        <v>167.76</v>
      </c>
      <c r="I7891">
        <v>167.76</v>
      </c>
      <c r="J7891">
        <v>0</v>
      </c>
      <c r="K7891">
        <v>0</v>
      </c>
      <c r="L7891">
        <v>0</v>
      </c>
      <c r="M7891">
        <v>1</v>
      </c>
      <c r="N7891">
        <v>167.76</v>
      </c>
      <c r="O7891">
        <v>167.76</v>
      </c>
    </row>
    <row r="7892" spans="1:15" x14ac:dyDescent="0.35">
      <c r="A7892" t="s">
        <v>8538</v>
      </c>
      <c r="B7892" t="s">
        <v>170</v>
      </c>
      <c r="C7892" t="s">
        <v>1644</v>
      </c>
      <c r="D7892" t="s">
        <v>339</v>
      </c>
      <c r="E7892" t="s">
        <v>300</v>
      </c>
      <c r="F7892" t="s">
        <v>8565</v>
      </c>
      <c r="G7892">
        <v>1</v>
      </c>
      <c r="H7892">
        <v>196.47</v>
      </c>
      <c r="I7892">
        <v>196.47</v>
      </c>
      <c r="J7892">
        <v>0</v>
      </c>
      <c r="K7892">
        <v>0</v>
      </c>
      <c r="L7892">
        <v>0</v>
      </c>
      <c r="M7892">
        <v>1</v>
      </c>
      <c r="N7892">
        <v>196.47</v>
      </c>
      <c r="O7892">
        <v>196.47</v>
      </c>
    </row>
    <row r="7893" spans="1:15" x14ac:dyDescent="0.35">
      <c r="A7893" t="s">
        <v>8538</v>
      </c>
      <c r="B7893" t="s">
        <v>170</v>
      </c>
      <c r="C7893" t="s">
        <v>1644</v>
      </c>
      <c r="D7893" t="s">
        <v>339</v>
      </c>
      <c r="E7893" t="s">
        <v>306</v>
      </c>
      <c r="F7893" t="s">
        <v>8566</v>
      </c>
      <c r="G7893">
        <v>83</v>
      </c>
      <c r="H7893">
        <v>8540.7000000000007</v>
      </c>
      <c r="I7893">
        <v>102.9</v>
      </c>
      <c r="J7893">
        <v>0</v>
      </c>
      <c r="K7893">
        <v>0</v>
      </c>
      <c r="L7893">
        <v>0</v>
      </c>
      <c r="M7893">
        <v>83</v>
      </c>
      <c r="N7893">
        <v>8540.7000000000007</v>
      </c>
      <c r="O7893">
        <v>102.9</v>
      </c>
    </row>
    <row r="7894" spans="1:15" x14ac:dyDescent="0.35">
      <c r="A7894" t="s">
        <v>8538</v>
      </c>
      <c r="B7894" t="s">
        <v>170</v>
      </c>
      <c r="C7894" t="s">
        <v>1644</v>
      </c>
      <c r="D7894" t="s">
        <v>339</v>
      </c>
      <c r="E7894" t="s">
        <v>308</v>
      </c>
      <c r="F7894" t="s">
        <v>8567</v>
      </c>
      <c r="G7894">
        <v>39</v>
      </c>
      <c r="H7894">
        <v>10803.04</v>
      </c>
      <c r="I7894">
        <v>277</v>
      </c>
      <c r="J7894">
        <v>0</v>
      </c>
      <c r="K7894">
        <v>0</v>
      </c>
      <c r="L7894">
        <v>0</v>
      </c>
      <c r="M7894">
        <v>39</v>
      </c>
      <c r="N7894">
        <v>10803.04</v>
      </c>
      <c r="O7894">
        <v>277</v>
      </c>
    </row>
    <row r="7895" spans="1:15" x14ac:dyDescent="0.35">
      <c r="A7895" t="s">
        <v>8538</v>
      </c>
      <c r="B7895" t="s">
        <v>170</v>
      </c>
      <c r="C7895" t="s">
        <v>1644</v>
      </c>
      <c r="D7895" t="s">
        <v>339</v>
      </c>
      <c r="E7895" t="s">
        <v>310</v>
      </c>
      <c r="F7895" t="s">
        <v>8568</v>
      </c>
      <c r="G7895">
        <v>344</v>
      </c>
      <c r="H7895">
        <v>48155.25</v>
      </c>
      <c r="I7895">
        <v>139.99</v>
      </c>
      <c r="J7895">
        <v>0</v>
      </c>
      <c r="K7895">
        <v>0</v>
      </c>
      <c r="L7895">
        <v>0</v>
      </c>
      <c r="M7895">
        <v>344</v>
      </c>
      <c r="N7895">
        <v>48155.25</v>
      </c>
      <c r="O7895">
        <v>139.99</v>
      </c>
    </row>
    <row r="7896" spans="1:15" x14ac:dyDescent="0.35">
      <c r="A7896" t="s">
        <v>8538</v>
      </c>
      <c r="B7896" t="s">
        <v>170</v>
      </c>
      <c r="C7896" t="s">
        <v>1644</v>
      </c>
      <c r="D7896" t="s">
        <v>339</v>
      </c>
      <c r="E7896" t="s">
        <v>312</v>
      </c>
      <c r="F7896" t="s">
        <v>8569</v>
      </c>
      <c r="G7896">
        <v>305</v>
      </c>
      <c r="H7896">
        <v>37352.21</v>
      </c>
      <c r="I7896">
        <v>122.47</v>
      </c>
      <c r="J7896">
        <v>0</v>
      </c>
      <c r="K7896">
        <v>0</v>
      </c>
      <c r="L7896">
        <v>0</v>
      </c>
      <c r="M7896">
        <v>305</v>
      </c>
      <c r="N7896">
        <v>37352.21</v>
      </c>
      <c r="O7896">
        <v>122.47</v>
      </c>
    </row>
    <row r="7897" spans="1:15" x14ac:dyDescent="0.35">
      <c r="A7897" t="s">
        <v>8538</v>
      </c>
      <c r="B7897" t="s">
        <v>170</v>
      </c>
      <c r="C7897" t="s">
        <v>1644</v>
      </c>
      <c r="D7897" t="s">
        <v>348</v>
      </c>
      <c r="E7897" t="s">
        <v>349</v>
      </c>
      <c r="F7897" t="s">
        <v>8570</v>
      </c>
      <c r="G7897">
        <v>398</v>
      </c>
      <c r="H7897">
        <v>48155.25</v>
      </c>
      <c r="I7897">
        <v>139.99</v>
      </c>
      <c r="J7897">
        <v>0</v>
      </c>
      <c r="K7897">
        <v>0</v>
      </c>
      <c r="L7897">
        <v>0</v>
      </c>
      <c r="M7897">
        <v>398</v>
      </c>
      <c r="N7897">
        <v>48155.25</v>
      </c>
      <c r="O7897">
        <v>139.99</v>
      </c>
    </row>
    <row r="7898" spans="1:15" x14ac:dyDescent="0.35">
      <c r="A7898" t="s">
        <v>8571</v>
      </c>
      <c r="B7898" t="s">
        <v>176</v>
      </c>
      <c r="C7898" t="s">
        <v>1644</v>
      </c>
      <c r="D7898" t="s">
        <v>293</v>
      </c>
      <c r="E7898" t="s">
        <v>294</v>
      </c>
      <c r="F7898" t="s">
        <v>8572</v>
      </c>
      <c r="G7898">
        <v>109</v>
      </c>
      <c r="H7898">
        <v>19879.099999999999</v>
      </c>
      <c r="I7898">
        <v>182.38</v>
      </c>
      <c r="J7898">
        <v>10</v>
      </c>
      <c r="K7898">
        <v>1836.6999999999998</v>
      </c>
      <c r="L7898">
        <v>183.67</v>
      </c>
      <c r="M7898">
        <v>119</v>
      </c>
      <c r="N7898">
        <v>21715.8</v>
      </c>
      <c r="O7898">
        <v>182.49</v>
      </c>
    </row>
    <row r="7899" spans="1:15" x14ac:dyDescent="0.35">
      <c r="A7899" t="s">
        <v>8571</v>
      </c>
      <c r="B7899" t="s">
        <v>176</v>
      </c>
      <c r="C7899" t="s">
        <v>1644</v>
      </c>
      <c r="D7899" t="s">
        <v>293</v>
      </c>
      <c r="E7899" t="s">
        <v>296</v>
      </c>
      <c r="F7899" t="s">
        <v>8573</v>
      </c>
      <c r="G7899">
        <v>242</v>
      </c>
      <c r="H7899">
        <v>57158.06</v>
      </c>
      <c r="I7899">
        <v>236.19</v>
      </c>
      <c r="J7899">
        <v>64</v>
      </c>
      <c r="K7899">
        <v>14583.04</v>
      </c>
      <c r="L7899">
        <v>227.86</v>
      </c>
      <c r="M7899">
        <v>306</v>
      </c>
      <c r="N7899">
        <v>71741.100000000006</v>
      </c>
      <c r="O7899">
        <v>234.45</v>
      </c>
    </row>
    <row r="7900" spans="1:15" x14ac:dyDescent="0.35">
      <c r="A7900" t="s">
        <v>8571</v>
      </c>
      <c r="B7900" t="s">
        <v>176</v>
      </c>
      <c r="C7900" t="s">
        <v>1644</v>
      </c>
      <c r="D7900" t="s">
        <v>293</v>
      </c>
      <c r="E7900" t="s">
        <v>298</v>
      </c>
      <c r="F7900" t="s">
        <v>8574</v>
      </c>
      <c r="G7900">
        <v>77</v>
      </c>
      <c r="H7900">
        <v>21003.87</v>
      </c>
      <c r="I7900">
        <v>272.77999999999997</v>
      </c>
      <c r="J7900">
        <v>36</v>
      </c>
      <c r="K7900">
        <v>9657.36</v>
      </c>
      <c r="L7900">
        <v>268.26</v>
      </c>
      <c r="M7900">
        <v>113</v>
      </c>
      <c r="N7900">
        <v>30661.23</v>
      </c>
      <c r="O7900">
        <v>271.33999999999997</v>
      </c>
    </row>
    <row r="7901" spans="1:15" x14ac:dyDescent="0.35">
      <c r="A7901" t="s">
        <v>8571</v>
      </c>
      <c r="B7901" t="s">
        <v>176</v>
      </c>
      <c r="C7901" t="s">
        <v>1644</v>
      </c>
      <c r="D7901" t="s">
        <v>293</v>
      </c>
      <c r="E7901" t="s">
        <v>300</v>
      </c>
      <c r="F7901" t="s">
        <v>8575</v>
      </c>
      <c r="G7901">
        <v>4</v>
      </c>
      <c r="H7901">
        <v>1210.24</v>
      </c>
      <c r="I7901">
        <v>302.56</v>
      </c>
      <c r="J7901">
        <v>2</v>
      </c>
      <c r="K7901">
        <v>589.14</v>
      </c>
      <c r="L7901">
        <v>294.57</v>
      </c>
      <c r="M7901">
        <v>6</v>
      </c>
      <c r="N7901">
        <v>1799.38</v>
      </c>
      <c r="O7901">
        <v>299.89999999999998</v>
      </c>
    </row>
    <row r="7902" spans="1:15" x14ac:dyDescent="0.35">
      <c r="A7902" t="s">
        <v>8571</v>
      </c>
      <c r="B7902" t="s">
        <v>176</v>
      </c>
      <c r="C7902" t="s">
        <v>1644</v>
      </c>
      <c r="D7902" t="s">
        <v>293</v>
      </c>
      <c r="E7902" t="s">
        <v>302</v>
      </c>
      <c r="F7902" t="s">
        <v>8576</v>
      </c>
      <c r="G7902">
        <v>0</v>
      </c>
      <c r="H7902">
        <v>0</v>
      </c>
      <c r="I7902">
        <v>0</v>
      </c>
      <c r="J7902">
        <v>1</v>
      </c>
      <c r="K7902">
        <v>433.44</v>
      </c>
      <c r="L7902">
        <v>433.44</v>
      </c>
      <c r="M7902">
        <v>1</v>
      </c>
      <c r="N7902">
        <v>433.44</v>
      </c>
      <c r="O7902">
        <v>433.44</v>
      </c>
    </row>
    <row r="7903" spans="1:15" x14ac:dyDescent="0.35">
      <c r="A7903" t="s">
        <v>8571</v>
      </c>
      <c r="B7903" t="s">
        <v>176</v>
      </c>
      <c r="C7903" t="s">
        <v>1644</v>
      </c>
      <c r="D7903" t="s">
        <v>293</v>
      </c>
      <c r="E7903" t="s">
        <v>304</v>
      </c>
      <c r="F7903" t="s">
        <v>8577</v>
      </c>
      <c r="G7903">
        <v>0</v>
      </c>
      <c r="H7903">
        <v>0</v>
      </c>
      <c r="I7903">
        <v>0</v>
      </c>
      <c r="J7903">
        <v>0</v>
      </c>
      <c r="K7903">
        <v>0</v>
      </c>
      <c r="L7903">
        <v>0</v>
      </c>
      <c r="M7903">
        <v>0</v>
      </c>
      <c r="N7903">
        <v>0</v>
      </c>
      <c r="O7903">
        <v>0</v>
      </c>
    </row>
    <row r="7904" spans="1:15" x14ac:dyDescent="0.35">
      <c r="A7904" t="s">
        <v>8571</v>
      </c>
      <c r="B7904" t="s">
        <v>176</v>
      </c>
      <c r="C7904" t="s">
        <v>1644</v>
      </c>
      <c r="D7904" t="s">
        <v>293</v>
      </c>
      <c r="E7904" t="s">
        <v>306</v>
      </c>
      <c r="F7904" t="s">
        <v>8578</v>
      </c>
      <c r="G7904">
        <v>0</v>
      </c>
      <c r="H7904">
        <v>0</v>
      </c>
      <c r="I7904">
        <v>0</v>
      </c>
      <c r="J7904">
        <v>1</v>
      </c>
      <c r="K7904">
        <v>136.83000000000001</v>
      </c>
      <c r="L7904">
        <v>136.83000000000001</v>
      </c>
      <c r="M7904">
        <v>1</v>
      </c>
      <c r="N7904">
        <v>136.83000000000001</v>
      </c>
      <c r="O7904">
        <v>136.83000000000001</v>
      </c>
    </row>
    <row r="7905" spans="1:15" x14ac:dyDescent="0.35">
      <c r="A7905" t="s">
        <v>8571</v>
      </c>
      <c r="B7905" t="s">
        <v>176</v>
      </c>
      <c r="C7905" t="s">
        <v>1644</v>
      </c>
      <c r="D7905" t="s">
        <v>293</v>
      </c>
      <c r="E7905" t="s">
        <v>308</v>
      </c>
      <c r="F7905" t="s">
        <v>8579</v>
      </c>
      <c r="G7905">
        <v>0</v>
      </c>
      <c r="H7905">
        <v>0</v>
      </c>
      <c r="I7905">
        <v>0</v>
      </c>
      <c r="J7905">
        <v>0</v>
      </c>
      <c r="K7905">
        <v>0</v>
      </c>
      <c r="L7905">
        <v>0</v>
      </c>
      <c r="M7905">
        <v>0</v>
      </c>
      <c r="N7905">
        <v>0</v>
      </c>
      <c r="O7905">
        <v>0</v>
      </c>
    </row>
    <row r="7906" spans="1:15" x14ac:dyDescent="0.35">
      <c r="A7906" t="s">
        <v>8571</v>
      </c>
      <c r="B7906" t="s">
        <v>176</v>
      </c>
      <c r="C7906" t="s">
        <v>1644</v>
      </c>
      <c r="D7906" t="s">
        <v>293</v>
      </c>
      <c r="E7906" t="s">
        <v>310</v>
      </c>
      <c r="F7906" t="s">
        <v>8580</v>
      </c>
      <c r="G7906">
        <v>432</v>
      </c>
      <c r="H7906">
        <v>99251.27</v>
      </c>
      <c r="I7906">
        <v>229.75</v>
      </c>
      <c r="J7906">
        <v>114</v>
      </c>
      <c r="K7906">
        <v>27236.510000000002</v>
      </c>
      <c r="L7906">
        <v>238.92</v>
      </c>
      <c r="M7906">
        <v>546</v>
      </c>
      <c r="N7906">
        <v>126487.78</v>
      </c>
      <c r="O7906">
        <v>231.66</v>
      </c>
    </row>
    <row r="7907" spans="1:15" x14ac:dyDescent="0.35">
      <c r="A7907" t="s">
        <v>8571</v>
      </c>
      <c r="B7907" t="s">
        <v>176</v>
      </c>
      <c r="C7907" t="s">
        <v>1644</v>
      </c>
      <c r="D7907" t="s">
        <v>293</v>
      </c>
      <c r="E7907" t="s">
        <v>312</v>
      </c>
      <c r="F7907" t="s">
        <v>8581</v>
      </c>
      <c r="G7907">
        <v>432</v>
      </c>
      <c r="H7907">
        <v>99251.27</v>
      </c>
      <c r="I7907">
        <v>229.75</v>
      </c>
      <c r="J7907">
        <v>114</v>
      </c>
      <c r="K7907">
        <v>27236.510000000002</v>
      </c>
      <c r="L7907">
        <v>238.92</v>
      </c>
      <c r="M7907">
        <v>546</v>
      </c>
      <c r="N7907">
        <v>126487.78</v>
      </c>
      <c r="O7907">
        <v>231.66</v>
      </c>
    </row>
    <row r="7908" spans="1:15" x14ac:dyDescent="0.35">
      <c r="A7908" t="s">
        <v>8571</v>
      </c>
      <c r="B7908" t="s">
        <v>176</v>
      </c>
      <c r="C7908" t="s">
        <v>1644</v>
      </c>
      <c r="D7908" t="s">
        <v>314</v>
      </c>
      <c r="E7908" t="s">
        <v>294</v>
      </c>
      <c r="F7908" t="s">
        <v>8582</v>
      </c>
      <c r="G7908">
        <v>8</v>
      </c>
      <c r="H7908">
        <v>1435.68</v>
      </c>
      <c r="I7908">
        <v>179.46</v>
      </c>
      <c r="J7908">
        <v>21</v>
      </c>
      <c r="K7908">
        <v>4148.97</v>
      </c>
      <c r="L7908">
        <v>197.57</v>
      </c>
      <c r="M7908">
        <v>29</v>
      </c>
      <c r="N7908">
        <v>5584.6500000000005</v>
      </c>
      <c r="O7908">
        <v>192.57</v>
      </c>
    </row>
    <row r="7909" spans="1:15" x14ac:dyDescent="0.35">
      <c r="A7909" t="s">
        <v>8571</v>
      </c>
      <c r="B7909" t="s">
        <v>176</v>
      </c>
      <c r="C7909" t="s">
        <v>1644</v>
      </c>
      <c r="D7909" t="s">
        <v>314</v>
      </c>
      <c r="E7909" t="s">
        <v>296</v>
      </c>
      <c r="F7909" t="s">
        <v>8583</v>
      </c>
      <c r="G7909">
        <v>0</v>
      </c>
      <c r="H7909">
        <v>0</v>
      </c>
      <c r="I7909">
        <v>0</v>
      </c>
      <c r="J7909">
        <v>0</v>
      </c>
      <c r="K7909">
        <v>0</v>
      </c>
      <c r="L7909">
        <v>0</v>
      </c>
      <c r="M7909">
        <v>0</v>
      </c>
      <c r="N7909">
        <v>0</v>
      </c>
      <c r="O7909">
        <v>0</v>
      </c>
    </row>
    <row r="7910" spans="1:15" x14ac:dyDescent="0.35">
      <c r="A7910" t="s">
        <v>8571</v>
      </c>
      <c r="B7910" t="s">
        <v>176</v>
      </c>
      <c r="C7910" t="s">
        <v>1644</v>
      </c>
      <c r="D7910" t="s">
        <v>314</v>
      </c>
      <c r="E7910" t="s">
        <v>298</v>
      </c>
      <c r="F7910" t="s">
        <v>8584</v>
      </c>
      <c r="G7910">
        <v>0</v>
      </c>
      <c r="H7910">
        <v>0</v>
      </c>
      <c r="I7910">
        <v>0</v>
      </c>
      <c r="J7910">
        <v>0</v>
      </c>
      <c r="K7910">
        <v>0</v>
      </c>
      <c r="L7910">
        <v>0</v>
      </c>
      <c r="M7910">
        <v>0</v>
      </c>
      <c r="N7910">
        <v>0</v>
      </c>
      <c r="O7910">
        <v>0</v>
      </c>
    </row>
    <row r="7911" spans="1:15" x14ac:dyDescent="0.35">
      <c r="A7911" t="s">
        <v>8571</v>
      </c>
      <c r="B7911" t="s">
        <v>176</v>
      </c>
      <c r="C7911" t="s">
        <v>1644</v>
      </c>
      <c r="D7911" t="s">
        <v>314</v>
      </c>
      <c r="E7911" t="s">
        <v>300</v>
      </c>
      <c r="F7911" t="s">
        <v>8585</v>
      </c>
      <c r="G7911">
        <v>0</v>
      </c>
      <c r="H7911">
        <v>0</v>
      </c>
      <c r="I7911">
        <v>0</v>
      </c>
      <c r="J7911">
        <v>0</v>
      </c>
      <c r="K7911">
        <v>0</v>
      </c>
      <c r="L7911">
        <v>0</v>
      </c>
      <c r="M7911">
        <v>0</v>
      </c>
      <c r="N7911">
        <v>0</v>
      </c>
      <c r="O7911">
        <v>0</v>
      </c>
    </row>
    <row r="7912" spans="1:15" x14ac:dyDescent="0.35">
      <c r="A7912" t="s">
        <v>8571</v>
      </c>
      <c r="B7912" t="s">
        <v>176</v>
      </c>
      <c r="C7912" t="s">
        <v>1644</v>
      </c>
      <c r="D7912" t="s">
        <v>314</v>
      </c>
      <c r="E7912" t="s">
        <v>306</v>
      </c>
      <c r="F7912" t="s">
        <v>8586</v>
      </c>
      <c r="G7912">
        <v>0</v>
      </c>
      <c r="H7912">
        <v>0</v>
      </c>
      <c r="I7912">
        <v>0</v>
      </c>
      <c r="J7912">
        <v>0</v>
      </c>
      <c r="K7912">
        <v>0</v>
      </c>
      <c r="L7912">
        <v>0</v>
      </c>
      <c r="M7912">
        <v>0</v>
      </c>
      <c r="N7912">
        <v>0</v>
      </c>
      <c r="O7912">
        <v>0</v>
      </c>
    </row>
    <row r="7913" spans="1:15" x14ac:dyDescent="0.35">
      <c r="A7913" t="s">
        <v>8571</v>
      </c>
      <c r="B7913" t="s">
        <v>176</v>
      </c>
      <c r="C7913" t="s">
        <v>1644</v>
      </c>
      <c r="D7913" t="s">
        <v>314</v>
      </c>
      <c r="E7913" t="s">
        <v>308</v>
      </c>
      <c r="F7913" t="s">
        <v>8587</v>
      </c>
      <c r="G7913">
        <v>0</v>
      </c>
      <c r="H7913">
        <v>0</v>
      </c>
      <c r="I7913">
        <v>0</v>
      </c>
      <c r="J7913">
        <v>0</v>
      </c>
      <c r="K7913">
        <v>0</v>
      </c>
      <c r="L7913">
        <v>0</v>
      </c>
      <c r="M7913">
        <v>0</v>
      </c>
      <c r="N7913">
        <v>0</v>
      </c>
      <c r="O7913">
        <v>0</v>
      </c>
    </row>
    <row r="7914" spans="1:15" x14ac:dyDescent="0.35">
      <c r="A7914" t="s">
        <v>8571</v>
      </c>
      <c r="B7914" t="s">
        <v>176</v>
      </c>
      <c r="C7914" t="s">
        <v>1644</v>
      </c>
      <c r="D7914" t="s">
        <v>314</v>
      </c>
      <c r="E7914" t="s">
        <v>312</v>
      </c>
      <c r="F7914" t="s">
        <v>8588</v>
      </c>
      <c r="G7914">
        <v>8</v>
      </c>
      <c r="H7914">
        <v>1435.68</v>
      </c>
      <c r="I7914">
        <v>179.46</v>
      </c>
      <c r="J7914">
        <v>21</v>
      </c>
      <c r="K7914">
        <v>4148.97</v>
      </c>
      <c r="L7914">
        <v>197.57</v>
      </c>
      <c r="M7914">
        <v>29</v>
      </c>
      <c r="N7914">
        <v>5584.6500000000005</v>
      </c>
      <c r="O7914">
        <v>192.57</v>
      </c>
    </row>
    <row r="7915" spans="1:15" x14ac:dyDescent="0.35">
      <c r="A7915" t="s">
        <v>8571</v>
      </c>
      <c r="B7915" t="s">
        <v>176</v>
      </c>
      <c r="C7915" t="s">
        <v>1644</v>
      </c>
      <c r="D7915" t="s">
        <v>314</v>
      </c>
      <c r="E7915" t="s">
        <v>310</v>
      </c>
      <c r="F7915" t="s">
        <v>8589</v>
      </c>
      <c r="G7915">
        <v>8</v>
      </c>
      <c r="H7915">
        <v>1435.68</v>
      </c>
      <c r="I7915">
        <v>179.46</v>
      </c>
      <c r="J7915">
        <v>21</v>
      </c>
      <c r="K7915">
        <v>4148.97</v>
      </c>
      <c r="L7915">
        <v>197.57</v>
      </c>
      <c r="M7915">
        <v>29</v>
      </c>
      <c r="N7915">
        <v>5584.6500000000005</v>
      </c>
      <c r="O7915">
        <v>192.57</v>
      </c>
    </row>
    <row r="7916" spans="1:15" x14ac:dyDescent="0.35">
      <c r="A7916" t="s">
        <v>8571</v>
      </c>
      <c r="B7916" t="s">
        <v>176</v>
      </c>
      <c r="C7916" t="s">
        <v>1644</v>
      </c>
      <c r="D7916" t="s">
        <v>323</v>
      </c>
      <c r="E7916" t="s">
        <v>294</v>
      </c>
      <c r="F7916" t="s">
        <v>8590</v>
      </c>
      <c r="G7916">
        <v>173</v>
      </c>
      <c r="H7916">
        <v>21150.47</v>
      </c>
      <c r="I7916">
        <v>122.26</v>
      </c>
      <c r="J7916">
        <v>623</v>
      </c>
      <c r="K7916">
        <v>64268.68</v>
      </c>
      <c r="L7916">
        <v>103.16</v>
      </c>
      <c r="M7916">
        <v>796</v>
      </c>
      <c r="N7916">
        <v>85419.15</v>
      </c>
      <c r="O7916">
        <v>107.31</v>
      </c>
    </row>
    <row r="7917" spans="1:15" x14ac:dyDescent="0.35">
      <c r="A7917" t="s">
        <v>8571</v>
      </c>
      <c r="B7917" t="s">
        <v>176</v>
      </c>
      <c r="C7917" t="s">
        <v>1644</v>
      </c>
      <c r="D7917" t="s">
        <v>323</v>
      </c>
      <c r="E7917" t="s">
        <v>296</v>
      </c>
      <c r="F7917" t="s">
        <v>8591</v>
      </c>
      <c r="G7917">
        <v>337</v>
      </c>
      <c r="H7917">
        <v>50365.06</v>
      </c>
      <c r="I7917">
        <v>149.44999999999999</v>
      </c>
      <c r="J7917">
        <v>650</v>
      </c>
      <c r="K7917">
        <v>77753</v>
      </c>
      <c r="L7917">
        <v>119.62</v>
      </c>
      <c r="M7917">
        <v>987</v>
      </c>
      <c r="N7917">
        <v>128118.06</v>
      </c>
      <c r="O7917">
        <v>129.81</v>
      </c>
    </row>
    <row r="7918" spans="1:15" x14ac:dyDescent="0.35">
      <c r="A7918" t="s">
        <v>8571</v>
      </c>
      <c r="B7918" t="s">
        <v>176</v>
      </c>
      <c r="C7918" t="s">
        <v>1644</v>
      </c>
      <c r="D7918" t="s">
        <v>323</v>
      </c>
      <c r="E7918" t="s">
        <v>298</v>
      </c>
      <c r="F7918" t="s">
        <v>8592</v>
      </c>
      <c r="G7918">
        <v>225</v>
      </c>
      <c r="H7918">
        <v>39072.07</v>
      </c>
      <c r="I7918">
        <v>173.65</v>
      </c>
      <c r="J7918">
        <v>745</v>
      </c>
      <c r="K7918">
        <v>107555.65000000001</v>
      </c>
      <c r="L7918">
        <v>144.37</v>
      </c>
      <c r="M7918">
        <v>970</v>
      </c>
      <c r="N7918">
        <v>146627.72</v>
      </c>
      <c r="O7918">
        <v>151.16</v>
      </c>
    </row>
    <row r="7919" spans="1:15" x14ac:dyDescent="0.35">
      <c r="A7919" t="s">
        <v>8571</v>
      </c>
      <c r="B7919" t="s">
        <v>176</v>
      </c>
      <c r="C7919" t="s">
        <v>1644</v>
      </c>
      <c r="D7919" t="s">
        <v>323</v>
      </c>
      <c r="E7919" t="s">
        <v>300</v>
      </c>
      <c r="F7919" t="s">
        <v>8593</v>
      </c>
      <c r="G7919">
        <v>18</v>
      </c>
      <c r="H7919">
        <v>3458.8799999999997</v>
      </c>
      <c r="I7919">
        <v>192.16</v>
      </c>
      <c r="J7919">
        <v>41</v>
      </c>
      <c r="K7919">
        <v>6277.0999999999995</v>
      </c>
      <c r="L7919">
        <v>153.1</v>
      </c>
      <c r="M7919">
        <v>59</v>
      </c>
      <c r="N7919">
        <v>9735.98</v>
      </c>
      <c r="O7919">
        <v>165.02</v>
      </c>
    </row>
    <row r="7920" spans="1:15" x14ac:dyDescent="0.35">
      <c r="A7920" t="s">
        <v>8571</v>
      </c>
      <c r="B7920" t="s">
        <v>176</v>
      </c>
      <c r="C7920" t="s">
        <v>1644</v>
      </c>
      <c r="D7920" t="s">
        <v>323</v>
      </c>
      <c r="E7920" t="s">
        <v>302</v>
      </c>
      <c r="F7920" t="s">
        <v>8594</v>
      </c>
      <c r="G7920">
        <v>0</v>
      </c>
      <c r="H7920">
        <v>0</v>
      </c>
      <c r="I7920">
        <v>0</v>
      </c>
      <c r="J7920">
        <v>3</v>
      </c>
      <c r="K7920">
        <v>493.71</v>
      </c>
      <c r="L7920">
        <v>164.57</v>
      </c>
      <c r="M7920">
        <v>3</v>
      </c>
      <c r="N7920">
        <v>493.71</v>
      </c>
      <c r="O7920">
        <v>164.57</v>
      </c>
    </row>
    <row r="7921" spans="1:15" x14ac:dyDescent="0.35">
      <c r="A7921" t="s">
        <v>8571</v>
      </c>
      <c r="B7921" t="s">
        <v>176</v>
      </c>
      <c r="C7921" t="s">
        <v>1644</v>
      </c>
      <c r="D7921" t="s">
        <v>323</v>
      </c>
      <c r="E7921" t="s">
        <v>304</v>
      </c>
      <c r="F7921" t="s">
        <v>8595</v>
      </c>
      <c r="G7921">
        <v>0</v>
      </c>
      <c r="H7921">
        <v>0</v>
      </c>
      <c r="I7921">
        <v>0</v>
      </c>
      <c r="J7921">
        <v>0</v>
      </c>
      <c r="K7921">
        <v>0</v>
      </c>
      <c r="L7921">
        <v>0</v>
      </c>
      <c r="M7921">
        <v>0</v>
      </c>
      <c r="N7921">
        <v>0</v>
      </c>
      <c r="O7921">
        <v>0</v>
      </c>
    </row>
    <row r="7922" spans="1:15" x14ac:dyDescent="0.35">
      <c r="A7922" t="s">
        <v>8571</v>
      </c>
      <c r="B7922" t="s">
        <v>176</v>
      </c>
      <c r="C7922" t="s">
        <v>1644</v>
      </c>
      <c r="D7922" t="s">
        <v>323</v>
      </c>
      <c r="E7922" t="s">
        <v>306</v>
      </c>
      <c r="F7922" t="s">
        <v>8596</v>
      </c>
      <c r="G7922">
        <v>0</v>
      </c>
      <c r="H7922">
        <v>0</v>
      </c>
      <c r="I7922">
        <v>0</v>
      </c>
      <c r="J7922">
        <v>70</v>
      </c>
      <c r="K7922">
        <v>6386.1</v>
      </c>
      <c r="L7922">
        <v>91.23</v>
      </c>
      <c r="M7922">
        <v>70</v>
      </c>
      <c r="N7922">
        <v>6386.1</v>
      </c>
      <c r="O7922">
        <v>91.23</v>
      </c>
    </row>
    <row r="7923" spans="1:15" x14ac:dyDescent="0.35">
      <c r="A7923" t="s">
        <v>8571</v>
      </c>
      <c r="B7923" t="s">
        <v>176</v>
      </c>
      <c r="C7923" t="s">
        <v>1644</v>
      </c>
      <c r="D7923" t="s">
        <v>323</v>
      </c>
      <c r="E7923" t="s">
        <v>308</v>
      </c>
      <c r="F7923" t="s">
        <v>8597</v>
      </c>
      <c r="G7923">
        <v>0</v>
      </c>
      <c r="H7923">
        <v>0</v>
      </c>
      <c r="I7923">
        <v>0</v>
      </c>
      <c r="J7923">
        <v>0</v>
      </c>
      <c r="K7923">
        <v>0</v>
      </c>
      <c r="L7923">
        <v>0</v>
      </c>
      <c r="M7923">
        <v>0</v>
      </c>
      <c r="N7923">
        <v>0</v>
      </c>
      <c r="O7923">
        <v>0</v>
      </c>
    </row>
    <row r="7924" spans="1:15" x14ac:dyDescent="0.35">
      <c r="A7924" t="s">
        <v>8571</v>
      </c>
      <c r="B7924" t="s">
        <v>176</v>
      </c>
      <c r="C7924" t="s">
        <v>1644</v>
      </c>
      <c r="D7924" t="s">
        <v>323</v>
      </c>
      <c r="E7924" t="s">
        <v>310</v>
      </c>
      <c r="F7924" t="s">
        <v>8598</v>
      </c>
      <c r="G7924">
        <v>753</v>
      </c>
      <c r="H7924">
        <v>114046.48000000001</v>
      </c>
      <c r="I7924">
        <v>151.46</v>
      </c>
      <c r="J7924">
        <v>2132</v>
      </c>
      <c r="K7924">
        <v>262734.24</v>
      </c>
      <c r="L7924">
        <v>123.23</v>
      </c>
      <c r="M7924">
        <v>2885</v>
      </c>
      <c r="N7924">
        <v>376780.72</v>
      </c>
      <c r="O7924">
        <v>130.6</v>
      </c>
    </row>
    <row r="7925" spans="1:15" x14ac:dyDescent="0.35">
      <c r="A7925" t="s">
        <v>8571</v>
      </c>
      <c r="B7925" t="s">
        <v>176</v>
      </c>
      <c r="C7925" t="s">
        <v>1644</v>
      </c>
      <c r="D7925" t="s">
        <v>323</v>
      </c>
      <c r="E7925" t="s">
        <v>312</v>
      </c>
      <c r="F7925" t="s">
        <v>8599</v>
      </c>
      <c r="G7925">
        <v>753</v>
      </c>
      <c r="H7925">
        <v>114046.48000000001</v>
      </c>
      <c r="I7925">
        <v>151.46</v>
      </c>
      <c r="J7925">
        <v>2132</v>
      </c>
      <c r="K7925">
        <v>262734.24</v>
      </c>
      <c r="L7925">
        <v>123.23</v>
      </c>
      <c r="M7925">
        <v>2885</v>
      </c>
      <c r="N7925">
        <v>376780.72</v>
      </c>
      <c r="O7925">
        <v>130.6</v>
      </c>
    </row>
    <row r="7926" spans="1:15" x14ac:dyDescent="0.35">
      <c r="A7926" t="s">
        <v>8571</v>
      </c>
      <c r="B7926" t="s">
        <v>176</v>
      </c>
      <c r="C7926" t="s">
        <v>1644</v>
      </c>
      <c r="D7926" t="s">
        <v>334</v>
      </c>
      <c r="E7926" t="s">
        <v>312</v>
      </c>
      <c r="F7926" t="s">
        <v>8600</v>
      </c>
      <c r="G7926">
        <v>1297</v>
      </c>
      <c r="H7926">
        <v>213297.75</v>
      </c>
      <c r="I7926">
        <v>180</v>
      </c>
      <c r="J7926">
        <v>2246</v>
      </c>
      <c r="K7926">
        <v>289970.75</v>
      </c>
      <c r="L7926">
        <v>129.11000000000001</v>
      </c>
      <c r="M7926">
        <v>3543</v>
      </c>
      <c r="N7926">
        <v>503268.5</v>
      </c>
      <c r="O7926">
        <v>146.68</v>
      </c>
    </row>
    <row r="7927" spans="1:15" x14ac:dyDescent="0.35">
      <c r="A7927" t="s">
        <v>8571</v>
      </c>
      <c r="B7927" t="s">
        <v>176</v>
      </c>
      <c r="C7927" t="s">
        <v>1644</v>
      </c>
      <c r="D7927" t="s">
        <v>334</v>
      </c>
      <c r="E7927" t="s">
        <v>308</v>
      </c>
      <c r="F7927" t="s">
        <v>8601</v>
      </c>
      <c r="G7927">
        <v>0</v>
      </c>
      <c r="H7927">
        <v>0</v>
      </c>
      <c r="I7927">
        <v>0</v>
      </c>
      <c r="J7927">
        <v>0</v>
      </c>
      <c r="K7927">
        <v>0</v>
      </c>
      <c r="L7927">
        <v>0</v>
      </c>
      <c r="M7927">
        <v>0</v>
      </c>
      <c r="N7927">
        <v>0</v>
      </c>
      <c r="O7927">
        <v>0</v>
      </c>
    </row>
    <row r="7928" spans="1:15" x14ac:dyDescent="0.35">
      <c r="A7928" t="s">
        <v>8571</v>
      </c>
      <c r="B7928" t="s">
        <v>176</v>
      </c>
      <c r="C7928" t="s">
        <v>1644</v>
      </c>
      <c r="D7928" t="s">
        <v>337</v>
      </c>
      <c r="E7928" t="s">
        <v>337</v>
      </c>
      <c r="F7928" t="s">
        <v>8602</v>
      </c>
      <c r="G7928">
        <v>388</v>
      </c>
      <c r="J7928">
        <v>0</v>
      </c>
      <c r="M7928">
        <v>388</v>
      </c>
    </row>
    <row r="7929" spans="1:15" x14ac:dyDescent="0.35">
      <c r="A7929" t="s">
        <v>8571</v>
      </c>
      <c r="B7929" t="s">
        <v>176</v>
      </c>
      <c r="C7929" t="s">
        <v>1644</v>
      </c>
      <c r="D7929" t="s">
        <v>339</v>
      </c>
      <c r="E7929" t="s">
        <v>294</v>
      </c>
      <c r="F7929" t="s">
        <v>8603</v>
      </c>
      <c r="G7929">
        <v>38</v>
      </c>
      <c r="H7929">
        <v>5441.69</v>
      </c>
      <c r="I7929">
        <v>143.19999999999999</v>
      </c>
      <c r="J7929">
        <v>287</v>
      </c>
      <c r="K7929">
        <v>30025.940000000002</v>
      </c>
      <c r="L7929">
        <v>104.62</v>
      </c>
      <c r="M7929">
        <v>325</v>
      </c>
      <c r="N7929">
        <v>35467.630000000005</v>
      </c>
      <c r="O7929">
        <v>109.13</v>
      </c>
    </row>
    <row r="7930" spans="1:15" x14ac:dyDescent="0.35">
      <c r="A7930" t="s">
        <v>8571</v>
      </c>
      <c r="B7930" t="s">
        <v>176</v>
      </c>
      <c r="C7930" t="s">
        <v>1644</v>
      </c>
      <c r="D7930" t="s">
        <v>339</v>
      </c>
      <c r="E7930" t="s">
        <v>296</v>
      </c>
      <c r="F7930" t="s">
        <v>8604</v>
      </c>
      <c r="G7930">
        <v>2</v>
      </c>
      <c r="H7930">
        <v>244.76</v>
      </c>
      <c r="I7930">
        <v>122.38</v>
      </c>
      <c r="J7930">
        <v>9</v>
      </c>
      <c r="K7930">
        <v>1000.98</v>
      </c>
      <c r="L7930">
        <v>111.22</v>
      </c>
      <c r="M7930">
        <v>11</v>
      </c>
      <c r="N7930">
        <v>1245.74</v>
      </c>
      <c r="O7930">
        <v>113.25</v>
      </c>
    </row>
    <row r="7931" spans="1:15" x14ac:dyDescent="0.35">
      <c r="A7931" t="s">
        <v>8571</v>
      </c>
      <c r="B7931" t="s">
        <v>176</v>
      </c>
      <c r="C7931" t="s">
        <v>1644</v>
      </c>
      <c r="D7931" t="s">
        <v>339</v>
      </c>
      <c r="E7931" t="s">
        <v>298</v>
      </c>
      <c r="F7931" t="s">
        <v>8605</v>
      </c>
      <c r="G7931">
        <v>0</v>
      </c>
      <c r="H7931">
        <v>0</v>
      </c>
      <c r="I7931">
        <v>0</v>
      </c>
      <c r="J7931">
        <v>0</v>
      </c>
      <c r="K7931">
        <v>0</v>
      </c>
      <c r="L7931">
        <v>0</v>
      </c>
      <c r="M7931">
        <v>0</v>
      </c>
      <c r="N7931">
        <v>0</v>
      </c>
      <c r="O7931">
        <v>0</v>
      </c>
    </row>
    <row r="7932" spans="1:15" x14ac:dyDescent="0.35">
      <c r="A7932" t="s">
        <v>8571</v>
      </c>
      <c r="B7932" t="s">
        <v>176</v>
      </c>
      <c r="C7932" t="s">
        <v>1644</v>
      </c>
      <c r="D7932" t="s">
        <v>339</v>
      </c>
      <c r="E7932" t="s">
        <v>300</v>
      </c>
      <c r="F7932" t="s">
        <v>8606</v>
      </c>
      <c r="G7932">
        <v>0</v>
      </c>
      <c r="H7932">
        <v>0</v>
      </c>
      <c r="I7932">
        <v>0</v>
      </c>
      <c r="J7932">
        <v>0</v>
      </c>
      <c r="K7932">
        <v>0</v>
      </c>
      <c r="L7932">
        <v>0</v>
      </c>
      <c r="M7932">
        <v>0</v>
      </c>
      <c r="N7932">
        <v>0</v>
      </c>
      <c r="O7932">
        <v>0</v>
      </c>
    </row>
    <row r="7933" spans="1:15" x14ac:dyDescent="0.35">
      <c r="A7933" t="s">
        <v>8571</v>
      </c>
      <c r="B7933" t="s">
        <v>176</v>
      </c>
      <c r="C7933" t="s">
        <v>1644</v>
      </c>
      <c r="D7933" t="s">
        <v>339</v>
      </c>
      <c r="E7933" t="s">
        <v>306</v>
      </c>
      <c r="F7933" t="s">
        <v>8607</v>
      </c>
      <c r="G7933">
        <v>5</v>
      </c>
      <c r="H7933">
        <v>639.09999999999991</v>
      </c>
      <c r="I7933">
        <v>127.82</v>
      </c>
      <c r="J7933">
        <v>19</v>
      </c>
      <c r="K7933">
        <v>1724.25</v>
      </c>
      <c r="L7933">
        <v>90.75</v>
      </c>
      <c r="M7933">
        <v>24</v>
      </c>
      <c r="N7933">
        <v>2363.35</v>
      </c>
      <c r="O7933">
        <v>98.47</v>
      </c>
    </row>
    <row r="7934" spans="1:15" x14ac:dyDescent="0.35">
      <c r="A7934" t="s">
        <v>8571</v>
      </c>
      <c r="B7934" t="s">
        <v>176</v>
      </c>
      <c r="C7934" t="s">
        <v>1644</v>
      </c>
      <c r="D7934" t="s">
        <v>339</v>
      </c>
      <c r="E7934" t="s">
        <v>308</v>
      </c>
      <c r="F7934" t="s">
        <v>8608</v>
      </c>
      <c r="G7934">
        <v>43</v>
      </c>
      <c r="H7934">
        <v>10381.370000000001</v>
      </c>
      <c r="I7934">
        <v>241.43</v>
      </c>
      <c r="J7934">
        <v>5</v>
      </c>
      <c r="K7934">
        <v>528.15</v>
      </c>
      <c r="L7934">
        <v>105.63</v>
      </c>
      <c r="M7934">
        <v>48</v>
      </c>
      <c r="N7934">
        <v>10909.52</v>
      </c>
      <c r="O7934">
        <v>227.28</v>
      </c>
    </row>
    <row r="7935" spans="1:15" x14ac:dyDescent="0.35">
      <c r="A7935" t="s">
        <v>8571</v>
      </c>
      <c r="B7935" t="s">
        <v>176</v>
      </c>
      <c r="C7935" t="s">
        <v>1644</v>
      </c>
      <c r="D7935" t="s">
        <v>339</v>
      </c>
      <c r="E7935" t="s">
        <v>310</v>
      </c>
      <c r="F7935" t="s">
        <v>8609</v>
      </c>
      <c r="G7935">
        <v>88</v>
      </c>
      <c r="H7935">
        <v>16706.919999999998</v>
      </c>
      <c r="I7935">
        <v>189.85</v>
      </c>
      <c r="J7935">
        <v>320</v>
      </c>
      <c r="K7935">
        <v>33279.32</v>
      </c>
      <c r="L7935">
        <v>104</v>
      </c>
      <c r="M7935">
        <v>408</v>
      </c>
      <c r="N7935">
        <v>49986.239999999998</v>
      </c>
      <c r="O7935">
        <v>122.52</v>
      </c>
    </row>
    <row r="7936" spans="1:15" x14ac:dyDescent="0.35">
      <c r="A7936" t="s">
        <v>8571</v>
      </c>
      <c r="B7936" t="s">
        <v>176</v>
      </c>
      <c r="C7936" t="s">
        <v>1644</v>
      </c>
      <c r="D7936" t="s">
        <v>339</v>
      </c>
      <c r="E7936" t="s">
        <v>312</v>
      </c>
      <c r="F7936" t="s">
        <v>8610</v>
      </c>
      <c r="G7936">
        <v>45</v>
      </c>
      <c r="H7936">
        <v>6325.5499999999993</v>
      </c>
      <c r="I7936">
        <v>140.57</v>
      </c>
      <c r="J7936">
        <v>315</v>
      </c>
      <c r="K7936">
        <v>32751.170000000002</v>
      </c>
      <c r="L7936">
        <v>103.97</v>
      </c>
      <c r="M7936">
        <v>360</v>
      </c>
      <c r="N7936">
        <v>39076.720000000001</v>
      </c>
      <c r="O7936">
        <v>108.55</v>
      </c>
    </row>
    <row r="7937" spans="1:15" x14ac:dyDescent="0.35">
      <c r="A7937" t="s">
        <v>8571</v>
      </c>
      <c r="B7937" t="s">
        <v>176</v>
      </c>
      <c r="C7937" t="s">
        <v>1644</v>
      </c>
      <c r="D7937" t="s">
        <v>348</v>
      </c>
      <c r="E7937" t="s">
        <v>349</v>
      </c>
      <c r="F7937" t="s">
        <v>8611</v>
      </c>
      <c r="G7937">
        <v>205</v>
      </c>
      <c r="H7937">
        <v>18142.599999999999</v>
      </c>
      <c r="I7937">
        <v>188.99</v>
      </c>
      <c r="J7937">
        <v>341</v>
      </c>
      <c r="K7937">
        <v>37428.290000000008</v>
      </c>
      <c r="L7937">
        <v>109.76</v>
      </c>
      <c r="M7937">
        <v>546</v>
      </c>
      <c r="N7937">
        <v>55570.890000000007</v>
      </c>
      <c r="O7937">
        <v>127.16</v>
      </c>
    </row>
    <row r="7938" spans="1:15" x14ac:dyDescent="0.35">
      <c r="A7938" t="s">
        <v>8612</v>
      </c>
      <c r="B7938" t="s">
        <v>200</v>
      </c>
      <c r="C7938" t="s">
        <v>1644</v>
      </c>
      <c r="D7938" t="s">
        <v>293</v>
      </c>
      <c r="E7938" t="s">
        <v>294</v>
      </c>
      <c r="F7938" t="s">
        <v>8613</v>
      </c>
      <c r="G7938">
        <v>297</v>
      </c>
      <c r="H7938">
        <v>55889.449999999983</v>
      </c>
      <c r="I7938">
        <v>188.18</v>
      </c>
      <c r="J7938">
        <v>28</v>
      </c>
      <c r="K7938">
        <v>5053.4399999999996</v>
      </c>
      <c r="L7938">
        <v>180.48</v>
      </c>
      <c r="M7938">
        <v>325</v>
      </c>
      <c r="N7938">
        <v>60942.889999999985</v>
      </c>
      <c r="O7938">
        <v>187.52</v>
      </c>
    </row>
    <row r="7939" spans="1:15" x14ac:dyDescent="0.35">
      <c r="A7939" t="s">
        <v>8612</v>
      </c>
      <c r="B7939" t="s">
        <v>200</v>
      </c>
      <c r="C7939" t="s">
        <v>1644</v>
      </c>
      <c r="D7939" t="s">
        <v>293</v>
      </c>
      <c r="E7939" t="s">
        <v>296</v>
      </c>
      <c r="F7939" t="s">
        <v>8614</v>
      </c>
      <c r="G7939">
        <v>279</v>
      </c>
      <c r="H7939">
        <v>68850.710000000006</v>
      </c>
      <c r="I7939">
        <v>246.78</v>
      </c>
      <c r="J7939">
        <v>42</v>
      </c>
      <c r="K7939">
        <v>9701.58</v>
      </c>
      <c r="L7939">
        <v>230.99</v>
      </c>
      <c r="M7939">
        <v>321</v>
      </c>
      <c r="N7939">
        <v>78552.290000000008</v>
      </c>
      <c r="O7939">
        <v>244.71</v>
      </c>
    </row>
    <row r="7940" spans="1:15" x14ac:dyDescent="0.35">
      <c r="A7940" t="s">
        <v>8612</v>
      </c>
      <c r="B7940" t="s">
        <v>200</v>
      </c>
      <c r="C7940" t="s">
        <v>1644</v>
      </c>
      <c r="D7940" t="s">
        <v>293</v>
      </c>
      <c r="E7940" t="s">
        <v>298</v>
      </c>
      <c r="F7940" t="s">
        <v>8615</v>
      </c>
      <c r="G7940">
        <v>161</v>
      </c>
      <c r="H7940">
        <v>47330.500000000007</v>
      </c>
      <c r="I7940">
        <v>293.98</v>
      </c>
      <c r="J7940">
        <v>16</v>
      </c>
      <c r="K7940">
        <v>4277.12</v>
      </c>
      <c r="L7940">
        <v>267.32</v>
      </c>
      <c r="M7940">
        <v>177</v>
      </c>
      <c r="N7940">
        <v>51607.62000000001</v>
      </c>
      <c r="O7940">
        <v>291.57</v>
      </c>
    </row>
    <row r="7941" spans="1:15" x14ac:dyDescent="0.35">
      <c r="A7941" t="s">
        <v>8612</v>
      </c>
      <c r="B7941" t="s">
        <v>200</v>
      </c>
      <c r="C7941" t="s">
        <v>1644</v>
      </c>
      <c r="D7941" t="s">
        <v>293</v>
      </c>
      <c r="E7941" t="s">
        <v>300</v>
      </c>
      <c r="F7941" t="s">
        <v>8616</v>
      </c>
      <c r="G7941">
        <v>7</v>
      </c>
      <c r="H7941">
        <v>2625.3500000000004</v>
      </c>
      <c r="I7941">
        <v>375.05</v>
      </c>
      <c r="J7941">
        <v>0</v>
      </c>
      <c r="K7941">
        <v>0</v>
      </c>
      <c r="L7941">
        <v>0</v>
      </c>
      <c r="M7941">
        <v>7</v>
      </c>
      <c r="N7941">
        <v>2625.3500000000004</v>
      </c>
      <c r="O7941">
        <v>375.05</v>
      </c>
    </row>
    <row r="7942" spans="1:15" x14ac:dyDescent="0.35">
      <c r="A7942" t="s">
        <v>8612</v>
      </c>
      <c r="B7942" t="s">
        <v>200</v>
      </c>
      <c r="C7942" t="s">
        <v>1644</v>
      </c>
      <c r="D7942" t="s">
        <v>293</v>
      </c>
      <c r="E7942" t="s">
        <v>302</v>
      </c>
      <c r="F7942" t="s">
        <v>8617</v>
      </c>
      <c r="G7942">
        <v>0</v>
      </c>
      <c r="H7942">
        <v>0</v>
      </c>
      <c r="I7942">
        <v>0</v>
      </c>
      <c r="J7942">
        <v>0</v>
      </c>
      <c r="K7942">
        <v>0</v>
      </c>
      <c r="L7942">
        <v>0</v>
      </c>
      <c r="M7942">
        <v>0</v>
      </c>
      <c r="N7942">
        <v>0</v>
      </c>
      <c r="O7942">
        <v>0</v>
      </c>
    </row>
    <row r="7943" spans="1:15" x14ac:dyDescent="0.35">
      <c r="A7943" t="s">
        <v>8612</v>
      </c>
      <c r="B7943" t="s">
        <v>200</v>
      </c>
      <c r="C7943" t="s">
        <v>1644</v>
      </c>
      <c r="D7943" t="s">
        <v>293</v>
      </c>
      <c r="E7943" t="s">
        <v>304</v>
      </c>
      <c r="F7943" t="s">
        <v>8618</v>
      </c>
      <c r="G7943">
        <v>0</v>
      </c>
      <c r="H7943">
        <v>0</v>
      </c>
      <c r="I7943">
        <v>0</v>
      </c>
      <c r="J7943">
        <v>0</v>
      </c>
      <c r="K7943">
        <v>0</v>
      </c>
      <c r="L7943">
        <v>0</v>
      </c>
      <c r="M7943">
        <v>0</v>
      </c>
      <c r="N7943">
        <v>0</v>
      </c>
      <c r="O7943">
        <v>0</v>
      </c>
    </row>
    <row r="7944" spans="1:15" x14ac:dyDescent="0.35">
      <c r="A7944" t="s">
        <v>8612</v>
      </c>
      <c r="B7944" t="s">
        <v>200</v>
      </c>
      <c r="C7944" t="s">
        <v>1644</v>
      </c>
      <c r="D7944" t="s">
        <v>293</v>
      </c>
      <c r="E7944" t="s">
        <v>306</v>
      </c>
      <c r="F7944" t="s">
        <v>8619</v>
      </c>
      <c r="G7944">
        <v>0</v>
      </c>
      <c r="H7944">
        <v>0</v>
      </c>
      <c r="I7944">
        <v>0</v>
      </c>
      <c r="J7944">
        <v>0</v>
      </c>
      <c r="K7944">
        <v>0</v>
      </c>
      <c r="L7944">
        <v>0</v>
      </c>
      <c r="M7944">
        <v>0</v>
      </c>
      <c r="N7944">
        <v>0</v>
      </c>
      <c r="O7944">
        <v>0</v>
      </c>
    </row>
    <row r="7945" spans="1:15" x14ac:dyDescent="0.35">
      <c r="A7945" t="s">
        <v>8612</v>
      </c>
      <c r="B7945" t="s">
        <v>200</v>
      </c>
      <c r="C7945" t="s">
        <v>1644</v>
      </c>
      <c r="D7945" t="s">
        <v>293</v>
      </c>
      <c r="E7945" t="s">
        <v>308</v>
      </c>
      <c r="F7945" t="s">
        <v>8620</v>
      </c>
      <c r="G7945">
        <v>0</v>
      </c>
      <c r="H7945">
        <v>0</v>
      </c>
      <c r="I7945">
        <v>0</v>
      </c>
      <c r="J7945">
        <v>0</v>
      </c>
      <c r="K7945">
        <v>0</v>
      </c>
      <c r="L7945">
        <v>0</v>
      </c>
      <c r="M7945">
        <v>0</v>
      </c>
      <c r="N7945">
        <v>0</v>
      </c>
      <c r="O7945">
        <v>0</v>
      </c>
    </row>
    <row r="7946" spans="1:15" x14ac:dyDescent="0.35">
      <c r="A7946" t="s">
        <v>8612</v>
      </c>
      <c r="B7946" t="s">
        <v>200</v>
      </c>
      <c r="C7946" t="s">
        <v>1644</v>
      </c>
      <c r="D7946" t="s">
        <v>293</v>
      </c>
      <c r="E7946" t="s">
        <v>310</v>
      </c>
      <c r="F7946" t="s">
        <v>8621</v>
      </c>
      <c r="G7946">
        <v>744</v>
      </c>
      <c r="H7946">
        <v>174696.01</v>
      </c>
      <c r="I7946">
        <v>234.81</v>
      </c>
      <c r="J7946">
        <v>86</v>
      </c>
      <c r="K7946">
        <v>19032.14</v>
      </c>
      <c r="L7946">
        <v>221.3</v>
      </c>
      <c r="M7946">
        <v>830</v>
      </c>
      <c r="N7946">
        <v>193728.15000000002</v>
      </c>
      <c r="O7946">
        <v>233.41</v>
      </c>
    </row>
    <row r="7947" spans="1:15" x14ac:dyDescent="0.35">
      <c r="A7947" t="s">
        <v>8612</v>
      </c>
      <c r="B7947" t="s">
        <v>200</v>
      </c>
      <c r="C7947" t="s">
        <v>1644</v>
      </c>
      <c r="D7947" t="s">
        <v>293</v>
      </c>
      <c r="E7947" t="s">
        <v>312</v>
      </c>
      <c r="F7947" t="s">
        <v>8622</v>
      </c>
      <c r="G7947">
        <v>744</v>
      </c>
      <c r="H7947">
        <v>174696.01</v>
      </c>
      <c r="I7947">
        <v>234.81</v>
      </c>
      <c r="J7947">
        <v>86</v>
      </c>
      <c r="K7947">
        <v>19032.14</v>
      </c>
      <c r="L7947">
        <v>221.3</v>
      </c>
      <c r="M7947">
        <v>830</v>
      </c>
      <c r="N7947">
        <v>193728.15000000002</v>
      </c>
      <c r="O7947">
        <v>233.41</v>
      </c>
    </row>
    <row r="7948" spans="1:15" x14ac:dyDescent="0.35">
      <c r="A7948" t="s">
        <v>8612</v>
      </c>
      <c r="B7948" t="s">
        <v>200</v>
      </c>
      <c r="C7948" t="s">
        <v>1644</v>
      </c>
      <c r="D7948" t="s">
        <v>314</v>
      </c>
      <c r="E7948" t="s">
        <v>294</v>
      </c>
      <c r="F7948" t="s">
        <v>8623</v>
      </c>
      <c r="G7948">
        <v>2</v>
      </c>
      <c r="H7948">
        <v>389.84</v>
      </c>
      <c r="I7948">
        <v>194.92</v>
      </c>
      <c r="J7948">
        <v>0</v>
      </c>
      <c r="K7948">
        <v>0</v>
      </c>
      <c r="L7948">
        <v>0</v>
      </c>
      <c r="M7948">
        <v>2</v>
      </c>
      <c r="N7948">
        <v>389.84</v>
      </c>
      <c r="O7948">
        <v>194.92</v>
      </c>
    </row>
    <row r="7949" spans="1:15" x14ac:dyDescent="0.35">
      <c r="A7949" t="s">
        <v>8612</v>
      </c>
      <c r="B7949" t="s">
        <v>200</v>
      </c>
      <c r="C7949" t="s">
        <v>1644</v>
      </c>
      <c r="D7949" t="s">
        <v>314</v>
      </c>
      <c r="E7949" t="s">
        <v>296</v>
      </c>
      <c r="F7949" t="s">
        <v>8624</v>
      </c>
      <c r="G7949">
        <v>0</v>
      </c>
      <c r="H7949">
        <v>0</v>
      </c>
      <c r="I7949">
        <v>0</v>
      </c>
      <c r="J7949">
        <v>0</v>
      </c>
      <c r="K7949">
        <v>0</v>
      </c>
      <c r="L7949">
        <v>0</v>
      </c>
      <c r="M7949">
        <v>0</v>
      </c>
      <c r="N7949">
        <v>0</v>
      </c>
      <c r="O7949">
        <v>0</v>
      </c>
    </row>
    <row r="7950" spans="1:15" x14ac:dyDescent="0.35">
      <c r="A7950" t="s">
        <v>8612</v>
      </c>
      <c r="B7950" t="s">
        <v>200</v>
      </c>
      <c r="C7950" t="s">
        <v>1644</v>
      </c>
      <c r="D7950" t="s">
        <v>314</v>
      </c>
      <c r="E7950" t="s">
        <v>298</v>
      </c>
      <c r="F7950" t="s">
        <v>8625</v>
      </c>
      <c r="G7950">
        <v>0</v>
      </c>
      <c r="H7950">
        <v>0</v>
      </c>
      <c r="I7950">
        <v>0</v>
      </c>
      <c r="J7950">
        <v>0</v>
      </c>
      <c r="K7950">
        <v>0</v>
      </c>
      <c r="L7950">
        <v>0</v>
      </c>
      <c r="M7950">
        <v>0</v>
      </c>
      <c r="N7950">
        <v>0</v>
      </c>
      <c r="O7950">
        <v>0</v>
      </c>
    </row>
    <row r="7951" spans="1:15" x14ac:dyDescent="0.35">
      <c r="A7951" t="s">
        <v>8612</v>
      </c>
      <c r="B7951" t="s">
        <v>200</v>
      </c>
      <c r="C7951" t="s">
        <v>1644</v>
      </c>
      <c r="D7951" t="s">
        <v>314</v>
      </c>
      <c r="E7951" t="s">
        <v>300</v>
      </c>
      <c r="F7951" t="s">
        <v>8626</v>
      </c>
      <c r="G7951">
        <v>0</v>
      </c>
      <c r="H7951">
        <v>0</v>
      </c>
      <c r="I7951">
        <v>0</v>
      </c>
      <c r="J7951">
        <v>0</v>
      </c>
      <c r="K7951">
        <v>0</v>
      </c>
      <c r="L7951">
        <v>0</v>
      </c>
      <c r="M7951">
        <v>0</v>
      </c>
      <c r="N7951">
        <v>0</v>
      </c>
      <c r="O7951">
        <v>0</v>
      </c>
    </row>
    <row r="7952" spans="1:15" x14ac:dyDescent="0.35">
      <c r="A7952" t="s">
        <v>8612</v>
      </c>
      <c r="B7952" t="s">
        <v>200</v>
      </c>
      <c r="C7952" t="s">
        <v>1644</v>
      </c>
      <c r="D7952" t="s">
        <v>314</v>
      </c>
      <c r="E7952" t="s">
        <v>306</v>
      </c>
      <c r="F7952" t="s">
        <v>8627</v>
      </c>
      <c r="G7952">
        <v>0</v>
      </c>
      <c r="H7952">
        <v>0</v>
      </c>
      <c r="I7952">
        <v>0</v>
      </c>
      <c r="J7952">
        <v>0</v>
      </c>
      <c r="K7952">
        <v>0</v>
      </c>
      <c r="L7952">
        <v>0</v>
      </c>
      <c r="M7952">
        <v>0</v>
      </c>
      <c r="N7952">
        <v>0</v>
      </c>
      <c r="O7952">
        <v>0</v>
      </c>
    </row>
    <row r="7953" spans="1:15" x14ac:dyDescent="0.35">
      <c r="A7953" t="s">
        <v>8612</v>
      </c>
      <c r="B7953" t="s">
        <v>200</v>
      </c>
      <c r="C7953" t="s">
        <v>1644</v>
      </c>
      <c r="D7953" t="s">
        <v>314</v>
      </c>
      <c r="E7953" t="s">
        <v>308</v>
      </c>
      <c r="F7953" t="s">
        <v>8628</v>
      </c>
      <c r="G7953">
        <v>0</v>
      </c>
      <c r="H7953">
        <v>0</v>
      </c>
      <c r="I7953">
        <v>0</v>
      </c>
      <c r="J7953">
        <v>0</v>
      </c>
      <c r="K7953">
        <v>0</v>
      </c>
      <c r="L7953">
        <v>0</v>
      </c>
      <c r="M7953">
        <v>0</v>
      </c>
      <c r="N7953">
        <v>0</v>
      </c>
      <c r="O7953">
        <v>0</v>
      </c>
    </row>
    <row r="7954" spans="1:15" x14ac:dyDescent="0.35">
      <c r="A7954" t="s">
        <v>8612</v>
      </c>
      <c r="B7954" t="s">
        <v>200</v>
      </c>
      <c r="C7954" t="s">
        <v>1644</v>
      </c>
      <c r="D7954" t="s">
        <v>314</v>
      </c>
      <c r="E7954" t="s">
        <v>312</v>
      </c>
      <c r="F7954" t="s">
        <v>8629</v>
      </c>
      <c r="G7954">
        <v>2</v>
      </c>
      <c r="H7954">
        <v>389.84</v>
      </c>
      <c r="I7954">
        <v>194.92</v>
      </c>
      <c r="J7954">
        <v>0</v>
      </c>
      <c r="K7954">
        <v>0</v>
      </c>
      <c r="L7954">
        <v>0</v>
      </c>
      <c r="M7954">
        <v>2</v>
      </c>
      <c r="N7954">
        <v>389.84</v>
      </c>
      <c r="O7954">
        <v>194.92</v>
      </c>
    </row>
    <row r="7955" spans="1:15" x14ac:dyDescent="0.35">
      <c r="A7955" t="s">
        <v>8612</v>
      </c>
      <c r="B7955" t="s">
        <v>200</v>
      </c>
      <c r="C7955" t="s">
        <v>1644</v>
      </c>
      <c r="D7955" t="s">
        <v>314</v>
      </c>
      <c r="E7955" t="s">
        <v>310</v>
      </c>
      <c r="F7955" t="s">
        <v>8630</v>
      </c>
      <c r="G7955">
        <v>2</v>
      </c>
      <c r="H7955">
        <v>389.84</v>
      </c>
      <c r="I7955">
        <v>194.92</v>
      </c>
      <c r="J7955">
        <v>0</v>
      </c>
      <c r="K7955">
        <v>0</v>
      </c>
      <c r="L7955">
        <v>0</v>
      </c>
      <c r="M7955">
        <v>2</v>
      </c>
      <c r="N7955">
        <v>389.84</v>
      </c>
      <c r="O7955">
        <v>194.92</v>
      </c>
    </row>
    <row r="7956" spans="1:15" x14ac:dyDescent="0.35">
      <c r="A7956" t="s">
        <v>8612</v>
      </c>
      <c r="B7956" t="s">
        <v>200</v>
      </c>
      <c r="C7956" t="s">
        <v>1644</v>
      </c>
      <c r="D7956" t="s">
        <v>323</v>
      </c>
      <c r="E7956" t="s">
        <v>294</v>
      </c>
      <c r="F7956" t="s">
        <v>8631</v>
      </c>
      <c r="G7956">
        <v>181</v>
      </c>
      <c r="H7956">
        <v>22537.05</v>
      </c>
      <c r="I7956">
        <v>124.51</v>
      </c>
      <c r="J7956">
        <v>1715</v>
      </c>
      <c r="K7956">
        <v>203004.55000000002</v>
      </c>
      <c r="L7956">
        <v>118.37</v>
      </c>
      <c r="M7956">
        <v>1896</v>
      </c>
      <c r="N7956">
        <v>225541.6</v>
      </c>
      <c r="O7956">
        <v>118.96</v>
      </c>
    </row>
    <row r="7957" spans="1:15" x14ac:dyDescent="0.35">
      <c r="A7957" t="s">
        <v>8612</v>
      </c>
      <c r="B7957" t="s">
        <v>200</v>
      </c>
      <c r="C7957" t="s">
        <v>1644</v>
      </c>
      <c r="D7957" t="s">
        <v>323</v>
      </c>
      <c r="E7957" t="s">
        <v>296</v>
      </c>
      <c r="F7957" t="s">
        <v>8632</v>
      </c>
      <c r="G7957">
        <v>484</v>
      </c>
      <c r="H7957">
        <v>71326.780000000013</v>
      </c>
      <c r="I7957">
        <v>147.37</v>
      </c>
      <c r="J7957">
        <v>1329</v>
      </c>
      <c r="K7957">
        <v>183481.74</v>
      </c>
      <c r="L7957">
        <v>138.06</v>
      </c>
      <c r="M7957">
        <v>1813</v>
      </c>
      <c r="N7957">
        <v>254808.52000000002</v>
      </c>
      <c r="O7957">
        <v>140.55000000000001</v>
      </c>
    </row>
    <row r="7958" spans="1:15" x14ac:dyDescent="0.35">
      <c r="A7958" t="s">
        <v>8612</v>
      </c>
      <c r="B7958" t="s">
        <v>200</v>
      </c>
      <c r="C7958" t="s">
        <v>1644</v>
      </c>
      <c r="D7958" t="s">
        <v>323</v>
      </c>
      <c r="E7958" t="s">
        <v>298</v>
      </c>
      <c r="F7958" t="s">
        <v>8633</v>
      </c>
      <c r="G7958">
        <v>334</v>
      </c>
      <c r="H7958">
        <v>53319.98</v>
      </c>
      <c r="I7958">
        <v>159.63999999999999</v>
      </c>
      <c r="J7958">
        <v>1476</v>
      </c>
      <c r="K7958">
        <v>233901.72</v>
      </c>
      <c r="L7958">
        <v>158.47</v>
      </c>
      <c r="M7958">
        <v>1810</v>
      </c>
      <c r="N7958">
        <v>287221.7</v>
      </c>
      <c r="O7958">
        <v>158.69</v>
      </c>
    </row>
    <row r="7959" spans="1:15" x14ac:dyDescent="0.35">
      <c r="A7959" t="s">
        <v>8612</v>
      </c>
      <c r="B7959" t="s">
        <v>200</v>
      </c>
      <c r="C7959" t="s">
        <v>1644</v>
      </c>
      <c r="D7959" t="s">
        <v>323</v>
      </c>
      <c r="E7959" t="s">
        <v>300</v>
      </c>
      <c r="F7959" t="s">
        <v>8634</v>
      </c>
      <c r="G7959">
        <v>14</v>
      </c>
      <c r="H7959">
        <v>2570.1400000000003</v>
      </c>
      <c r="I7959">
        <v>183.58</v>
      </c>
      <c r="J7959">
        <v>37</v>
      </c>
      <c r="K7959">
        <v>6256.33</v>
      </c>
      <c r="L7959">
        <v>169.09</v>
      </c>
      <c r="M7959">
        <v>51</v>
      </c>
      <c r="N7959">
        <v>8826.4700000000012</v>
      </c>
      <c r="O7959">
        <v>173.07</v>
      </c>
    </row>
    <row r="7960" spans="1:15" x14ac:dyDescent="0.35">
      <c r="A7960" t="s">
        <v>8612</v>
      </c>
      <c r="B7960" t="s">
        <v>200</v>
      </c>
      <c r="C7960" t="s">
        <v>1644</v>
      </c>
      <c r="D7960" t="s">
        <v>323</v>
      </c>
      <c r="E7960" t="s">
        <v>302</v>
      </c>
      <c r="F7960" t="s">
        <v>8635</v>
      </c>
      <c r="G7960">
        <v>0</v>
      </c>
      <c r="H7960">
        <v>0</v>
      </c>
      <c r="I7960">
        <v>0</v>
      </c>
      <c r="J7960">
        <v>1</v>
      </c>
      <c r="K7960">
        <v>188.27</v>
      </c>
      <c r="L7960">
        <v>188.27</v>
      </c>
      <c r="M7960">
        <v>1</v>
      </c>
      <c r="N7960">
        <v>188.27</v>
      </c>
      <c r="O7960">
        <v>188.27</v>
      </c>
    </row>
    <row r="7961" spans="1:15" x14ac:dyDescent="0.35">
      <c r="A7961" t="s">
        <v>8612</v>
      </c>
      <c r="B7961" t="s">
        <v>200</v>
      </c>
      <c r="C7961" t="s">
        <v>1644</v>
      </c>
      <c r="D7961" t="s">
        <v>323</v>
      </c>
      <c r="E7961" t="s">
        <v>304</v>
      </c>
      <c r="F7961" t="s">
        <v>8636</v>
      </c>
      <c r="G7961">
        <v>0</v>
      </c>
      <c r="H7961">
        <v>0</v>
      </c>
      <c r="I7961">
        <v>0</v>
      </c>
      <c r="J7961">
        <v>1</v>
      </c>
      <c r="K7961">
        <v>185.87</v>
      </c>
      <c r="L7961">
        <v>185.87</v>
      </c>
      <c r="M7961">
        <v>1</v>
      </c>
      <c r="N7961">
        <v>185.87</v>
      </c>
      <c r="O7961">
        <v>185.87</v>
      </c>
    </row>
    <row r="7962" spans="1:15" x14ac:dyDescent="0.35">
      <c r="A7962" t="s">
        <v>8612</v>
      </c>
      <c r="B7962" t="s">
        <v>200</v>
      </c>
      <c r="C7962" t="s">
        <v>1644</v>
      </c>
      <c r="D7962" t="s">
        <v>323</v>
      </c>
      <c r="E7962" t="s">
        <v>306</v>
      </c>
      <c r="F7962" t="s">
        <v>8637</v>
      </c>
      <c r="G7962">
        <v>0</v>
      </c>
      <c r="H7962">
        <v>0</v>
      </c>
      <c r="I7962">
        <v>0</v>
      </c>
      <c r="J7962">
        <v>78</v>
      </c>
      <c r="K7962">
        <v>7919.34</v>
      </c>
      <c r="L7962">
        <v>101.53</v>
      </c>
      <c r="M7962">
        <v>78</v>
      </c>
      <c r="N7962">
        <v>7919.34</v>
      </c>
      <c r="O7962">
        <v>101.53</v>
      </c>
    </row>
    <row r="7963" spans="1:15" x14ac:dyDescent="0.35">
      <c r="A7963" t="s">
        <v>8612</v>
      </c>
      <c r="B7963" t="s">
        <v>200</v>
      </c>
      <c r="C7963" t="s">
        <v>1644</v>
      </c>
      <c r="D7963" t="s">
        <v>323</v>
      </c>
      <c r="E7963" t="s">
        <v>308</v>
      </c>
      <c r="F7963" t="s">
        <v>8638</v>
      </c>
      <c r="G7963">
        <v>0</v>
      </c>
      <c r="H7963">
        <v>0</v>
      </c>
      <c r="I7963">
        <v>0</v>
      </c>
      <c r="J7963">
        <v>0</v>
      </c>
      <c r="K7963">
        <v>0</v>
      </c>
      <c r="L7963">
        <v>0</v>
      </c>
      <c r="M7963">
        <v>0</v>
      </c>
      <c r="N7963">
        <v>0</v>
      </c>
      <c r="O7963">
        <v>0</v>
      </c>
    </row>
    <row r="7964" spans="1:15" x14ac:dyDescent="0.35">
      <c r="A7964" t="s">
        <v>8612</v>
      </c>
      <c r="B7964" t="s">
        <v>200</v>
      </c>
      <c r="C7964" t="s">
        <v>1644</v>
      </c>
      <c r="D7964" t="s">
        <v>323</v>
      </c>
      <c r="E7964" t="s">
        <v>310</v>
      </c>
      <c r="F7964" t="s">
        <v>8639</v>
      </c>
      <c r="G7964">
        <v>1013</v>
      </c>
      <c r="H7964">
        <v>149753.95000000004</v>
      </c>
      <c r="I7964">
        <v>147.83000000000001</v>
      </c>
      <c r="J7964">
        <v>4637</v>
      </c>
      <c r="K7964">
        <v>634937.81999999995</v>
      </c>
      <c r="L7964">
        <v>136.93</v>
      </c>
      <c r="M7964">
        <v>5650</v>
      </c>
      <c r="N7964">
        <v>784691.77</v>
      </c>
      <c r="O7964">
        <v>138.88</v>
      </c>
    </row>
    <row r="7965" spans="1:15" x14ac:dyDescent="0.35">
      <c r="A7965" t="s">
        <v>8612</v>
      </c>
      <c r="B7965" t="s">
        <v>200</v>
      </c>
      <c r="C7965" t="s">
        <v>1644</v>
      </c>
      <c r="D7965" t="s">
        <v>323</v>
      </c>
      <c r="E7965" t="s">
        <v>312</v>
      </c>
      <c r="F7965" t="s">
        <v>8640</v>
      </c>
      <c r="G7965">
        <v>1013</v>
      </c>
      <c r="H7965">
        <v>149753.95000000004</v>
      </c>
      <c r="I7965">
        <v>147.83000000000001</v>
      </c>
      <c r="J7965">
        <v>4637</v>
      </c>
      <c r="K7965">
        <v>634937.81999999995</v>
      </c>
      <c r="L7965">
        <v>136.93</v>
      </c>
      <c r="M7965">
        <v>5650</v>
      </c>
      <c r="N7965">
        <v>784691.77</v>
      </c>
      <c r="O7965">
        <v>138.88</v>
      </c>
    </row>
    <row r="7966" spans="1:15" x14ac:dyDescent="0.35">
      <c r="A7966" t="s">
        <v>8612</v>
      </c>
      <c r="B7966" t="s">
        <v>200</v>
      </c>
      <c r="C7966" t="s">
        <v>1644</v>
      </c>
      <c r="D7966" t="s">
        <v>334</v>
      </c>
      <c r="E7966" t="s">
        <v>312</v>
      </c>
      <c r="F7966" t="s">
        <v>8641</v>
      </c>
      <c r="G7966">
        <v>1815</v>
      </c>
      <c r="H7966">
        <v>324449.96000000002</v>
      </c>
      <c r="I7966">
        <v>184.66</v>
      </c>
      <c r="J7966">
        <v>4723</v>
      </c>
      <c r="K7966">
        <v>653969.96</v>
      </c>
      <c r="L7966">
        <v>138.46</v>
      </c>
      <c r="M7966">
        <v>6538</v>
      </c>
      <c r="N7966">
        <v>978419.91999999993</v>
      </c>
      <c r="O7966">
        <v>150.99</v>
      </c>
    </row>
    <row r="7967" spans="1:15" x14ac:dyDescent="0.35">
      <c r="A7967" t="s">
        <v>8612</v>
      </c>
      <c r="B7967" t="s">
        <v>200</v>
      </c>
      <c r="C7967" t="s">
        <v>1644</v>
      </c>
      <c r="D7967" t="s">
        <v>334</v>
      </c>
      <c r="E7967" t="s">
        <v>308</v>
      </c>
      <c r="F7967" t="s">
        <v>8642</v>
      </c>
      <c r="G7967">
        <v>0</v>
      </c>
      <c r="H7967">
        <v>0</v>
      </c>
      <c r="I7967">
        <v>0</v>
      </c>
      <c r="J7967">
        <v>0</v>
      </c>
      <c r="K7967">
        <v>0</v>
      </c>
      <c r="L7967">
        <v>0</v>
      </c>
      <c r="M7967">
        <v>0</v>
      </c>
      <c r="N7967">
        <v>0</v>
      </c>
      <c r="O7967">
        <v>0</v>
      </c>
    </row>
    <row r="7968" spans="1:15" x14ac:dyDescent="0.35">
      <c r="A7968" t="s">
        <v>8612</v>
      </c>
      <c r="B7968" t="s">
        <v>200</v>
      </c>
      <c r="C7968" t="s">
        <v>1644</v>
      </c>
      <c r="D7968" t="s">
        <v>337</v>
      </c>
      <c r="E7968" t="s">
        <v>337</v>
      </c>
      <c r="F7968" t="s">
        <v>8643</v>
      </c>
      <c r="G7968">
        <v>910</v>
      </c>
      <c r="J7968">
        <v>54</v>
      </c>
      <c r="M7968">
        <v>964</v>
      </c>
    </row>
    <row r="7969" spans="1:15" x14ac:dyDescent="0.35">
      <c r="A7969" t="s">
        <v>8612</v>
      </c>
      <c r="B7969" t="s">
        <v>200</v>
      </c>
      <c r="C7969" t="s">
        <v>1644</v>
      </c>
      <c r="D7969" t="s">
        <v>339</v>
      </c>
      <c r="E7969" t="s">
        <v>294</v>
      </c>
      <c r="F7969" t="s">
        <v>8644</v>
      </c>
      <c r="G7969">
        <v>116</v>
      </c>
      <c r="H7969">
        <v>17133.48</v>
      </c>
      <c r="I7969">
        <v>147.69999999999999</v>
      </c>
      <c r="J7969">
        <v>0</v>
      </c>
      <c r="K7969">
        <v>0</v>
      </c>
      <c r="L7969">
        <v>0</v>
      </c>
      <c r="M7969">
        <v>116</v>
      </c>
      <c r="N7969">
        <v>17133.48</v>
      </c>
      <c r="O7969">
        <v>147.69999999999999</v>
      </c>
    </row>
    <row r="7970" spans="1:15" x14ac:dyDescent="0.35">
      <c r="A7970" t="s">
        <v>8612</v>
      </c>
      <c r="B7970" t="s">
        <v>200</v>
      </c>
      <c r="C7970" t="s">
        <v>1644</v>
      </c>
      <c r="D7970" t="s">
        <v>339</v>
      </c>
      <c r="E7970" t="s">
        <v>296</v>
      </c>
      <c r="F7970" t="s">
        <v>8645</v>
      </c>
      <c r="G7970">
        <v>6</v>
      </c>
      <c r="H7970">
        <v>1072</v>
      </c>
      <c r="I7970">
        <v>178.67</v>
      </c>
      <c r="J7970">
        <v>0</v>
      </c>
      <c r="K7970">
        <v>0</v>
      </c>
      <c r="L7970">
        <v>0</v>
      </c>
      <c r="M7970">
        <v>6</v>
      </c>
      <c r="N7970">
        <v>1072</v>
      </c>
      <c r="O7970">
        <v>178.67</v>
      </c>
    </row>
    <row r="7971" spans="1:15" x14ac:dyDescent="0.35">
      <c r="A7971" t="s">
        <v>8612</v>
      </c>
      <c r="B7971" t="s">
        <v>200</v>
      </c>
      <c r="C7971" t="s">
        <v>1644</v>
      </c>
      <c r="D7971" t="s">
        <v>339</v>
      </c>
      <c r="E7971" t="s">
        <v>298</v>
      </c>
      <c r="F7971" t="s">
        <v>8646</v>
      </c>
      <c r="G7971">
        <v>1</v>
      </c>
      <c r="H7971">
        <v>161.13</v>
      </c>
      <c r="I7971">
        <v>161.13</v>
      </c>
      <c r="J7971">
        <v>0</v>
      </c>
      <c r="K7971">
        <v>0</v>
      </c>
      <c r="L7971">
        <v>0</v>
      </c>
      <c r="M7971">
        <v>1</v>
      </c>
      <c r="N7971">
        <v>161.13</v>
      </c>
      <c r="O7971">
        <v>161.13</v>
      </c>
    </row>
    <row r="7972" spans="1:15" x14ac:dyDescent="0.35">
      <c r="A7972" t="s">
        <v>8612</v>
      </c>
      <c r="B7972" t="s">
        <v>200</v>
      </c>
      <c r="C7972" t="s">
        <v>1644</v>
      </c>
      <c r="D7972" t="s">
        <v>339</v>
      </c>
      <c r="E7972" t="s">
        <v>300</v>
      </c>
      <c r="F7972" t="s">
        <v>8647</v>
      </c>
      <c r="G7972">
        <v>0</v>
      </c>
      <c r="H7972">
        <v>0</v>
      </c>
      <c r="I7972">
        <v>0</v>
      </c>
      <c r="J7972">
        <v>0</v>
      </c>
      <c r="K7972">
        <v>0</v>
      </c>
      <c r="L7972">
        <v>0</v>
      </c>
      <c r="M7972">
        <v>0</v>
      </c>
      <c r="N7972">
        <v>0</v>
      </c>
      <c r="O7972">
        <v>0</v>
      </c>
    </row>
    <row r="7973" spans="1:15" x14ac:dyDescent="0.35">
      <c r="A7973" t="s">
        <v>8612</v>
      </c>
      <c r="B7973" t="s">
        <v>200</v>
      </c>
      <c r="C7973" t="s">
        <v>1644</v>
      </c>
      <c r="D7973" t="s">
        <v>339</v>
      </c>
      <c r="E7973" t="s">
        <v>306</v>
      </c>
      <c r="F7973" t="s">
        <v>8648</v>
      </c>
      <c r="G7973">
        <v>7</v>
      </c>
      <c r="H7973">
        <v>788.27</v>
      </c>
      <c r="I7973">
        <v>112.61</v>
      </c>
      <c r="J7973">
        <v>0</v>
      </c>
      <c r="K7973">
        <v>0</v>
      </c>
      <c r="L7973">
        <v>0</v>
      </c>
      <c r="M7973">
        <v>7</v>
      </c>
      <c r="N7973">
        <v>788.27</v>
      </c>
      <c r="O7973">
        <v>112.61</v>
      </c>
    </row>
    <row r="7974" spans="1:15" x14ac:dyDescent="0.35">
      <c r="A7974" t="s">
        <v>8612</v>
      </c>
      <c r="B7974" t="s">
        <v>200</v>
      </c>
      <c r="C7974" t="s">
        <v>1644</v>
      </c>
      <c r="D7974" t="s">
        <v>339</v>
      </c>
      <c r="E7974" t="s">
        <v>308</v>
      </c>
      <c r="F7974" t="s">
        <v>8649</v>
      </c>
      <c r="G7974">
        <v>19</v>
      </c>
      <c r="H7974">
        <v>3798.68</v>
      </c>
      <c r="I7974">
        <v>199.93</v>
      </c>
      <c r="J7974">
        <v>0</v>
      </c>
      <c r="K7974">
        <v>0</v>
      </c>
      <c r="L7974">
        <v>0</v>
      </c>
      <c r="M7974">
        <v>19</v>
      </c>
      <c r="N7974">
        <v>3798.68</v>
      </c>
      <c r="O7974">
        <v>199.93</v>
      </c>
    </row>
    <row r="7975" spans="1:15" x14ac:dyDescent="0.35">
      <c r="A7975" t="s">
        <v>8612</v>
      </c>
      <c r="B7975" t="s">
        <v>200</v>
      </c>
      <c r="C7975" t="s">
        <v>1644</v>
      </c>
      <c r="D7975" t="s">
        <v>339</v>
      </c>
      <c r="E7975" t="s">
        <v>310</v>
      </c>
      <c r="F7975" t="s">
        <v>8650</v>
      </c>
      <c r="G7975">
        <v>149</v>
      </c>
      <c r="H7975">
        <v>22953.56</v>
      </c>
      <c r="I7975">
        <v>154.05000000000001</v>
      </c>
      <c r="J7975">
        <v>0</v>
      </c>
      <c r="K7975">
        <v>0</v>
      </c>
      <c r="L7975">
        <v>0</v>
      </c>
      <c r="M7975">
        <v>149</v>
      </c>
      <c r="N7975">
        <v>22953.56</v>
      </c>
      <c r="O7975">
        <v>154.05000000000001</v>
      </c>
    </row>
    <row r="7976" spans="1:15" x14ac:dyDescent="0.35">
      <c r="A7976" t="s">
        <v>8612</v>
      </c>
      <c r="B7976" t="s">
        <v>200</v>
      </c>
      <c r="C7976" t="s">
        <v>1644</v>
      </c>
      <c r="D7976" t="s">
        <v>339</v>
      </c>
      <c r="E7976" t="s">
        <v>312</v>
      </c>
      <c r="F7976" t="s">
        <v>8651</v>
      </c>
      <c r="G7976">
        <v>130</v>
      </c>
      <c r="H7976">
        <v>19154.88</v>
      </c>
      <c r="I7976">
        <v>147.35</v>
      </c>
      <c r="J7976">
        <v>0</v>
      </c>
      <c r="K7976">
        <v>0</v>
      </c>
      <c r="L7976">
        <v>0</v>
      </c>
      <c r="M7976">
        <v>130</v>
      </c>
      <c r="N7976">
        <v>19154.88</v>
      </c>
      <c r="O7976">
        <v>147.35</v>
      </c>
    </row>
    <row r="7977" spans="1:15" x14ac:dyDescent="0.35">
      <c r="A7977" t="s">
        <v>8612</v>
      </c>
      <c r="B7977" t="s">
        <v>200</v>
      </c>
      <c r="C7977" t="s">
        <v>1644</v>
      </c>
      <c r="D7977" t="s">
        <v>348</v>
      </c>
      <c r="E7977" t="s">
        <v>349</v>
      </c>
      <c r="F7977" t="s">
        <v>8652</v>
      </c>
      <c r="G7977">
        <v>314</v>
      </c>
      <c r="H7977">
        <v>23343.4</v>
      </c>
      <c r="I7977">
        <v>154.59</v>
      </c>
      <c r="J7977">
        <v>0</v>
      </c>
      <c r="K7977">
        <v>0</v>
      </c>
      <c r="L7977">
        <v>0</v>
      </c>
      <c r="M7977">
        <v>314</v>
      </c>
      <c r="N7977">
        <v>23343.4</v>
      </c>
      <c r="O7977">
        <v>154.59</v>
      </c>
    </row>
    <row r="7978" spans="1:15" x14ac:dyDescent="0.35">
      <c r="A7978" t="s">
        <v>8653</v>
      </c>
      <c r="B7978" t="s">
        <v>217</v>
      </c>
      <c r="C7978" t="s">
        <v>1644</v>
      </c>
      <c r="D7978" t="s">
        <v>293</v>
      </c>
      <c r="E7978" t="s">
        <v>294</v>
      </c>
      <c r="F7978" t="s">
        <v>8654</v>
      </c>
      <c r="G7978">
        <v>24</v>
      </c>
      <c r="H7978">
        <v>5244.27</v>
      </c>
      <c r="I7978">
        <v>218.51</v>
      </c>
      <c r="J7978">
        <v>5</v>
      </c>
      <c r="K7978">
        <v>1197.95</v>
      </c>
      <c r="L7978">
        <v>239.59</v>
      </c>
      <c r="M7978">
        <v>29</v>
      </c>
      <c r="N7978">
        <v>6442.22</v>
      </c>
      <c r="O7978">
        <v>222.15</v>
      </c>
    </row>
    <row r="7979" spans="1:15" x14ac:dyDescent="0.35">
      <c r="A7979" t="s">
        <v>8653</v>
      </c>
      <c r="B7979" t="s">
        <v>217</v>
      </c>
      <c r="C7979" t="s">
        <v>1644</v>
      </c>
      <c r="D7979" t="s">
        <v>293</v>
      </c>
      <c r="E7979" t="s">
        <v>296</v>
      </c>
      <c r="F7979" t="s">
        <v>8655</v>
      </c>
      <c r="G7979">
        <v>27</v>
      </c>
      <c r="H7979">
        <v>6955.16</v>
      </c>
      <c r="I7979">
        <v>257.60000000000002</v>
      </c>
      <c r="J7979">
        <v>1</v>
      </c>
      <c r="K7979">
        <v>291.73</v>
      </c>
      <c r="L7979">
        <v>291.73</v>
      </c>
      <c r="M7979">
        <v>28</v>
      </c>
      <c r="N7979">
        <v>7246.8899999999994</v>
      </c>
      <c r="O7979">
        <v>258.82</v>
      </c>
    </row>
    <row r="7980" spans="1:15" x14ac:dyDescent="0.35">
      <c r="A7980" t="s">
        <v>8653</v>
      </c>
      <c r="B7980" t="s">
        <v>217</v>
      </c>
      <c r="C7980" t="s">
        <v>1644</v>
      </c>
      <c r="D7980" t="s">
        <v>293</v>
      </c>
      <c r="E7980" t="s">
        <v>298</v>
      </c>
      <c r="F7980" t="s">
        <v>8656</v>
      </c>
      <c r="G7980">
        <v>13</v>
      </c>
      <c r="H7980">
        <v>3550.37</v>
      </c>
      <c r="I7980">
        <v>273.11</v>
      </c>
      <c r="J7980">
        <v>1</v>
      </c>
      <c r="K7980">
        <v>271.7</v>
      </c>
      <c r="L7980">
        <v>271.7</v>
      </c>
      <c r="M7980">
        <v>14</v>
      </c>
      <c r="N7980">
        <v>3822.0699999999997</v>
      </c>
      <c r="O7980">
        <v>273.01</v>
      </c>
    </row>
    <row r="7981" spans="1:15" x14ac:dyDescent="0.35">
      <c r="A7981" t="s">
        <v>8653</v>
      </c>
      <c r="B7981" t="s">
        <v>217</v>
      </c>
      <c r="C7981" t="s">
        <v>1644</v>
      </c>
      <c r="D7981" t="s">
        <v>293</v>
      </c>
      <c r="E7981" t="s">
        <v>300</v>
      </c>
      <c r="F7981" t="s">
        <v>8657</v>
      </c>
      <c r="G7981">
        <v>9</v>
      </c>
      <c r="H7981">
        <v>3209.9100000000003</v>
      </c>
      <c r="I7981">
        <v>356.66</v>
      </c>
      <c r="J7981">
        <v>5</v>
      </c>
      <c r="K7981">
        <v>1802.25</v>
      </c>
      <c r="L7981">
        <v>360.45</v>
      </c>
      <c r="M7981">
        <v>14</v>
      </c>
      <c r="N7981">
        <v>5012.16</v>
      </c>
      <c r="O7981">
        <v>358.01</v>
      </c>
    </row>
    <row r="7982" spans="1:15" x14ac:dyDescent="0.35">
      <c r="A7982" t="s">
        <v>8653</v>
      </c>
      <c r="B7982" t="s">
        <v>217</v>
      </c>
      <c r="C7982" t="s">
        <v>1644</v>
      </c>
      <c r="D7982" t="s">
        <v>293</v>
      </c>
      <c r="E7982" t="s">
        <v>302</v>
      </c>
      <c r="F7982" t="s">
        <v>8658</v>
      </c>
      <c r="G7982">
        <v>0</v>
      </c>
      <c r="H7982">
        <v>0</v>
      </c>
      <c r="I7982">
        <v>0</v>
      </c>
      <c r="J7982">
        <v>3</v>
      </c>
      <c r="K7982">
        <v>979.98</v>
      </c>
      <c r="L7982">
        <v>326.66000000000003</v>
      </c>
      <c r="M7982">
        <v>3</v>
      </c>
      <c r="N7982">
        <v>979.98</v>
      </c>
      <c r="O7982">
        <v>326.66000000000003</v>
      </c>
    </row>
    <row r="7983" spans="1:15" x14ac:dyDescent="0.35">
      <c r="A7983" t="s">
        <v>8653</v>
      </c>
      <c r="B7983" t="s">
        <v>217</v>
      </c>
      <c r="C7983" t="s">
        <v>1644</v>
      </c>
      <c r="D7983" t="s">
        <v>293</v>
      </c>
      <c r="E7983" t="s">
        <v>304</v>
      </c>
      <c r="F7983" t="s">
        <v>8659</v>
      </c>
      <c r="G7983">
        <v>0</v>
      </c>
      <c r="H7983">
        <v>0</v>
      </c>
      <c r="I7983">
        <v>0</v>
      </c>
      <c r="J7983">
        <v>0</v>
      </c>
      <c r="K7983">
        <v>0</v>
      </c>
      <c r="L7983">
        <v>0</v>
      </c>
      <c r="M7983">
        <v>0</v>
      </c>
      <c r="N7983">
        <v>0</v>
      </c>
      <c r="O7983">
        <v>0</v>
      </c>
    </row>
    <row r="7984" spans="1:15" x14ac:dyDescent="0.35">
      <c r="A7984" t="s">
        <v>8653</v>
      </c>
      <c r="B7984" t="s">
        <v>217</v>
      </c>
      <c r="C7984" t="s">
        <v>1644</v>
      </c>
      <c r="D7984" t="s">
        <v>293</v>
      </c>
      <c r="E7984" t="s">
        <v>306</v>
      </c>
      <c r="F7984" t="s">
        <v>8660</v>
      </c>
      <c r="G7984">
        <v>0</v>
      </c>
      <c r="H7984">
        <v>0</v>
      </c>
      <c r="I7984">
        <v>0</v>
      </c>
      <c r="J7984">
        <v>3</v>
      </c>
      <c r="K7984">
        <v>569.66999999999996</v>
      </c>
      <c r="L7984">
        <v>189.89</v>
      </c>
      <c r="M7984">
        <v>3</v>
      </c>
      <c r="N7984">
        <v>569.66999999999996</v>
      </c>
      <c r="O7984">
        <v>189.89</v>
      </c>
    </row>
    <row r="7985" spans="1:15" x14ac:dyDescent="0.35">
      <c r="A7985" t="s">
        <v>8653</v>
      </c>
      <c r="B7985" t="s">
        <v>217</v>
      </c>
      <c r="C7985" t="s">
        <v>1644</v>
      </c>
      <c r="D7985" t="s">
        <v>293</v>
      </c>
      <c r="E7985" t="s">
        <v>308</v>
      </c>
      <c r="F7985" t="s">
        <v>8661</v>
      </c>
      <c r="G7985">
        <v>0</v>
      </c>
      <c r="H7985">
        <v>0</v>
      </c>
      <c r="I7985">
        <v>0</v>
      </c>
      <c r="J7985">
        <v>0</v>
      </c>
      <c r="K7985">
        <v>0</v>
      </c>
      <c r="L7985">
        <v>0</v>
      </c>
      <c r="M7985">
        <v>0</v>
      </c>
      <c r="N7985">
        <v>0</v>
      </c>
      <c r="O7985">
        <v>0</v>
      </c>
    </row>
    <row r="7986" spans="1:15" x14ac:dyDescent="0.35">
      <c r="A7986" t="s">
        <v>8653</v>
      </c>
      <c r="B7986" t="s">
        <v>217</v>
      </c>
      <c r="C7986" t="s">
        <v>1644</v>
      </c>
      <c r="D7986" t="s">
        <v>293</v>
      </c>
      <c r="E7986" t="s">
        <v>310</v>
      </c>
      <c r="F7986" t="s">
        <v>8662</v>
      </c>
      <c r="G7986">
        <v>73</v>
      </c>
      <c r="H7986">
        <v>18959.71</v>
      </c>
      <c r="I7986">
        <v>259.72000000000003</v>
      </c>
      <c r="J7986">
        <v>18</v>
      </c>
      <c r="K7986">
        <v>5113.2800000000007</v>
      </c>
      <c r="L7986">
        <v>284.07</v>
      </c>
      <c r="M7986">
        <v>91</v>
      </c>
      <c r="N7986">
        <v>24072.989999999998</v>
      </c>
      <c r="O7986">
        <v>264.54000000000002</v>
      </c>
    </row>
    <row r="7987" spans="1:15" x14ac:dyDescent="0.35">
      <c r="A7987" t="s">
        <v>8653</v>
      </c>
      <c r="B7987" t="s">
        <v>217</v>
      </c>
      <c r="C7987" t="s">
        <v>1644</v>
      </c>
      <c r="D7987" t="s">
        <v>293</v>
      </c>
      <c r="E7987" t="s">
        <v>312</v>
      </c>
      <c r="F7987" t="s">
        <v>8663</v>
      </c>
      <c r="G7987">
        <v>73</v>
      </c>
      <c r="H7987">
        <v>18959.71</v>
      </c>
      <c r="I7987">
        <v>259.72000000000003</v>
      </c>
      <c r="J7987">
        <v>18</v>
      </c>
      <c r="K7987">
        <v>5113.2800000000007</v>
      </c>
      <c r="L7987">
        <v>284.07</v>
      </c>
      <c r="M7987">
        <v>91</v>
      </c>
      <c r="N7987">
        <v>24072.989999999998</v>
      </c>
      <c r="O7987">
        <v>264.54000000000002</v>
      </c>
    </row>
    <row r="7988" spans="1:15" x14ac:dyDescent="0.35">
      <c r="A7988" t="s">
        <v>8653</v>
      </c>
      <c r="B7988" t="s">
        <v>217</v>
      </c>
      <c r="C7988" t="s">
        <v>1644</v>
      </c>
      <c r="D7988" t="s">
        <v>314</v>
      </c>
      <c r="E7988" t="s">
        <v>294</v>
      </c>
      <c r="F7988" t="s">
        <v>8664</v>
      </c>
      <c r="G7988">
        <v>29</v>
      </c>
      <c r="H7988">
        <v>5804.68</v>
      </c>
      <c r="I7988">
        <v>200.16</v>
      </c>
      <c r="J7988">
        <v>0</v>
      </c>
      <c r="K7988">
        <v>0</v>
      </c>
      <c r="L7988">
        <v>0</v>
      </c>
      <c r="M7988">
        <v>29</v>
      </c>
      <c r="N7988">
        <v>5804.68</v>
      </c>
      <c r="O7988">
        <v>200.16</v>
      </c>
    </row>
    <row r="7989" spans="1:15" x14ac:dyDescent="0.35">
      <c r="A7989" t="s">
        <v>8653</v>
      </c>
      <c r="B7989" t="s">
        <v>217</v>
      </c>
      <c r="C7989" t="s">
        <v>1644</v>
      </c>
      <c r="D7989" t="s">
        <v>314</v>
      </c>
      <c r="E7989" t="s">
        <v>296</v>
      </c>
      <c r="F7989" t="s">
        <v>8665</v>
      </c>
      <c r="G7989">
        <v>2</v>
      </c>
      <c r="H7989">
        <v>520.88</v>
      </c>
      <c r="I7989">
        <v>260.44</v>
      </c>
      <c r="J7989">
        <v>0</v>
      </c>
      <c r="K7989">
        <v>0</v>
      </c>
      <c r="L7989">
        <v>0</v>
      </c>
      <c r="M7989">
        <v>2</v>
      </c>
      <c r="N7989">
        <v>520.88</v>
      </c>
      <c r="O7989">
        <v>260.44</v>
      </c>
    </row>
    <row r="7990" spans="1:15" x14ac:dyDescent="0.35">
      <c r="A7990" t="s">
        <v>8653</v>
      </c>
      <c r="B7990" t="s">
        <v>217</v>
      </c>
      <c r="C7990" t="s">
        <v>1644</v>
      </c>
      <c r="D7990" t="s">
        <v>314</v>
      </c>
      <c r="E7990" t="s">
        <v>298</v>
      </c>
      <c r="F7990" t="s">
        <v>8666</v>
      </c>
      <c r="G7990">
        <v>0</v>
      </c>
      <c r="H7990">
        <v>0</v>
      </c>
      <c r="I7990">
        <v>0</v>
      </c>
      <c r="J7990">
        <v>0</v>
      </c>
      <c r="K7990">
        <v>0</v>
      </c>
      <c r="L7990">
        <v>0</v>
      </c>
      <c r="M7990">
        <v>0</v>
      </c>
      <c r="N7990">
        <v>0</v>
      </c>
      <c r="O7990">
        <v>0</v>
      </c>
    </row>
    <row r="7991" spans="1:15" x14ac:dyDescent="0.35">
      <c r="A7991" t="s">
        <v>8653</v>
      </c>
      <c r="B7991" t="s">
        <v>217</v>
      </c>
      <c r="C7991" t="s">
        <v>1644</v>
      </c>
      <c r="D7991" t="s">
        <v>314</v>
      </c>
      <c r="E7991" t="s">
        <v>300</v>
      </c>
      <c r="F7991" t="s">
        <v>8667</v>
      </c>
      <c r="G7991">
        <v>0</v>
      </c>
      <c r="H7991">
        <v>0</v>
      </c>
      <c r="I7991">
        <v>0</v>
      </c>
      <c r="J7991">
        <v>0</v>
      </c>
      <c r="K7991">
        <v>0</v>
      </c>
      <c r="L7991">
        <v>0</v>
      </c>
      <c r="M7991">
        <v>0</v>
      </c>
      <c r="N7991">
        <v>0</v>
      </c>
      <c r="O7991">
        <v>0</v>
      </c>
    </row>
    <row r="7992" spans="1:15" x14ac:dyDescent="0.35">
      <c r="A7992" t="s">
        <v>8653</v>
      </c>
      <c r="B7992" t="s">
        <v>217</v>
      </c>
      <c r="C7992" t="s">
        <v>1644</v>
      </c>
      <c r="D7992" t="s">
        <v>314</v>
      </c>
      <c r="E7992" t="s">
        <v>306</v>
      </c>
      <c r="F7992" t="s">
        <v>8668</v>
      </c>
      <c r="G7992">
        <v>0</v>
      </c>
      <c r="H7992">
        <v>0</v>
      </c>
      <c r="I7992">
        <v>0</v>
      </c>
      <c r="J7992">
        <v>0</v>
      </c>
      <c r="K7992">
        <v>0</v>
      </c>
      <c r="L7992">
        <v>0</v>
      </c>
      <c r="M7992">
        <v>0</v>
      </c>
      <c r="N7992">
        <v>0</v>
      </c>
      <c r="O7992">
        <v>0</v>
      </c>
    </row>
    <row r="7993" spans="1:15" x14ac:dyDescent="0.35">
      <c r="A7993" t="s">
        <v>8653</v>
      </c>
      <c r="B7993" t="s">
        <v>217</v>
      </c>
      <c r="C7993" t="s">
        <v>1644</v>
      </c>
      <c r="D7993" t="s">
        <v>314</v>
      </c>
      <c r="E7993" t="s">
        <v>308</v>
      </c>
      <c r="F7993" t="s">
        <v>8669</v>
      </c>
      <c r="G7993">
        <v>0</v>
      </c>
      <c r="H7993">
        <v>0</v>
      </c>
      <c r="I7993">
        <v>0</v>
      </c>
      <c r="J7993">
        <v>0</v>
      </c>
      <c r="K7993">
        <v>0</v>
      </c>
      <c r="L7993">
        <v>0</v>
      </c>
      <c r="M7993">
        <v>0</v>
      </c>
      <c r="N7993">
        <v>0</v>
      </c>
      <c r="O7993">
        <v>0</v>
      </c>
    </row>
    <row r="7994" spans="1:15" x14ac:dyDescent="0.35">
      <c r="A7994" t="s">
        <v>8653</v>
      </c>
      <c r="B7994" t="s">
        <v>217</v>
      </c>
      <c r="C7994" t="s">
        <v>1644</v>
      </c>
      <c r="D7994" t="s">
        <v>314</v>
      </c>
      <c r="E7994" t="s">
        <v>312</v>
      </c>
      <c r="F7994" t="s">
        <v>8670</v>
      </c>
      <c r="G7994">
        <v>31</v>
      </c>
      <c r="H7994">
        <v>6325.56</v>
      </c>
      <c r="I7994">
        <v>204.05</v>
      </c>
      <c r="J7994">
        <v>0</v>
      </c>
      <c r="K7994">
        <v>0</v>
      </c>
      <c r="L7994">
        <v>0</v>
      </c>
      <c r="M7994">
        <v>31</v>
      </c>
      <c r="N7994">
        <v>6325.56</v>
      </c>
      <c r="O7994">
        <v>204.05</v>
      </c>
    </row>
    <row r="7995" spans="1:15" x14ac:dyDescent="0.35">
      <c r="A7995" t="s">
        <v>8653</v>
      </c>
      <c r="B7995" t="s">
        <v>217</v>
      </c>
      <c r="C7995" t="s">
        <v>1644</v>
      </c>
      <c r="D7995" t="s">
        <v>314</v>
      </c>
      <c r="E7995" t="s">
        <v>310</v>
      </c>
      <c r="F7995" t="s">
        <v>8671</v>
      </c>
      <c r="G7995">
        <v>31</v>
      </c>
      <c r="H7995">
        <v>6325.56</v>
      </c>
      <c r="I7995">
        <v>204.05</v>
      </c>
      <c r="J7995">
        <v>0</v>
      </c>
      <c r="K7995">
        <v>0</v>
      </c>
      <c r="L7995">
        <v>0</v>
      </c>
      <c r="M7995">
        <v>31</v>
      </c>
      <c r="N7995">
        <v>6325.56</v>
      </c>
      <c r="O7995">
        <v>204.05</v>
      </c>
    </row>
    <row r="7996" spans="1:15" x14ac:dyDescent="0.35">
      <c r="A7996" t="s">
        <v>8653</v>
      </c>
      <c r="B7996" t="s">
        <v>217</v>
      </c>
      <c r="C7996" t="s">
        <v>1644</v>
      </c>
      <c r="D7996" t="s">
        <v>323</v>
      </c>
      <c r="E7996" t="s">
        <v>294</v>
      </c>
      <c r="F7996" t="s">
        <v>8672</v>
      </c>
      <c r="G7996">
        <v>188</v>
      </c>
      <c r="H7996">
        <v>24157.85</v>
      </c>
      <c r="I7996">
        <v>128.5</v>
      </c>
      <c r="J7996">
        <v>821</v>
      </c>
      <c r="K7996">
        <v>93938.82</v>
      </c>
      <c r="L7996">
        <v>114.42</v>
      </c>
      <c r="M7996">
        <v>1009</v>
      </c>
      <c r="N7996">
        <v>118096.67000000001</v>
      </c>
      <c r="O7996">
        <v>117.04</v>
      </c>
    </row>
    <row r="7997" spans="1:15" x14ac:dyDescent="0.35">
      <c r="A7997" t="s">
        <v>8653</v>
      </c>
      <c r="B7997" t="s">
        <v>217</v>
      </c>
      <c r="C7997" t="s">
        <v>1644</v>
      </c>
      <c r="D7997" t="s">
        <v>323</v>
      </c>
      <c r="E7997" t="s">
        <v>296</v>
      </c>
      <c r="F7997" t="s">
        <v>8673</v>
      </c>
      <c r="G7997">
        <v>358</v>
      </c>
      <c r="H7997">
        <v>55404.46</v>
      </c>
      <c r="I7997">
        <v>154.76</v>
      </c>
      <c r="J7997">
        <v>791</v>
      </c>
      <c r="K7997">
        <v>101841.25</v>
      </c>
      <c r="L7997">
        <v>128.75</v>
      </c>
      <c r="M7997">
        <v>1149</v>
      </c>
      <c r="N7997">
        <v>157245.71</v>
      </c>
      <c r="O7997">
        <v>136.85</v>
      </c>
    </row>
    <row r="7998" spans="1:15" x14ac:dyDescent="0.35">
      <c r="A7998" t="s">
        <v>8653</v>
      </c>
      <c r="B7998" t="s">
        <v>217</v>
      </c>
      <c r="C7998" t="s">
        <v>1644</v>
      </c>
      <c r="D7998" t="s">
        <v>323</v>
      </c>
      <c r="E7998" t="s">
        <v>298</v>
      </c>
      <c r="F7998" t="s">
        <v>8674</v>
      </c>
      <c r="G7998">
        <v>487</v>
      </c>
      <c r="H7998">
        <v>83173.59</v>
      </c>
      <c r="I7998">
        <v>170.79</v>
      </c>
      <c r="J7998">
        <v>1051</v>
      </c>
      <c r="K7998">
        <v>155054.03</v>
      </c>
      <c r="L7998">
        <v>147.53</v>
      </c>
      <c r="M7998">
        <v>1538</v>
      </c>
      <c r="N7998">
        <v>238227.62</v>
      </c>
      <c r="O7998">
        <v>154.88999999999999</v>
      </c>
    </row>
    <row r="7999" spans="1:15" x14ac:dyDescent="0.35">
      <c r="A7999" t="s">
        <v>8653</v>
      </c>
      <c r="B7999" t="s">
        <v>217</v>
      </c>
      <c r="C7999" t="s">
        <v>1644</v>
      </c>
      <c r="D7999" t="s">
        <v>323</v>
      </c>
      <c r="E7999" t="s">
        <v>300</v>
      </c>
      <c r="F7999" t="s">
        <v>8675</v>
      </c>
      <c r="G7999">
        <v>48</v>
      </c>
      <c r="H7999">
        <v>9430.76</v>
      </c>
      <c r="I7999">
        <v>196.47</v>
      </c>
      <c r="J7999">
        <v>71</v>
      </c>
      <c r="K7999">
        <v>11614.18</v>
      </c>
      <c r="L7999">
        <v>163.58000000000001</v>
      </c>
      <c r="M7999">
        <v>119</v>
      </c>
      <c r="N7999">
        <v>21044.940000000002</v>
      </c>
      <c r="O7999">
        <v>176.85</v>
      </c>
    </row>
    <row r="8000" spans="1:15" x14ac:dyDescent="0.35">
      <c r="A8000" t="s">
        <v>8653</v>
      </c>
      <c r="B8000" t="s">
        <v>217</v>
      </c>
      <c r="C8000" t="s">
        <v>1644</v>
      </c>
      <c r="D8000" t="s">
        <v>323</v>
      </c>
      <c r="E8000" t="s">
        <v>302</v>
      </c>
      <c r="F8000" t="s">
        <v>8676</v>
      </c>
      <c r="G8000">
        <v>1</v>
      </c>
      <c r="H8000">
        <v>203.33</v>
      </c>
      <c r="I8000">
        <v>203.33</v>
      </c>
      <c r="J8000">
        <v>6</v>
      </c>
      <c r="K8000">
        <v>1041.72</v>
      </c>
      <c r="L8000">
        <v>173.62</v>
      </c>
      <c r="M8000">
        <v>7</v>
      </c>
      <c r="N8000">
        <v>1245.05</v>
      </c>
      <c r="O8000">
        <v>177.86</v>
      </c>
    </row>
    <row r="8001" spans="1:15" x14ac:dyDescent="0.35">
      <c r="A8001" t="s">
        <v>8653</v>
      </c>
      <c r="B8001" t="s">
        <v>217</v>
      </c>
      <c r="C8001" t="s">
        <v>1644</v>
      </c>
      <c r="D8001" t="s">
        <v>323</v>
      </c>
      <c r="E8001" t="s">
        <v>304</v>
      </c>
      <c r="F8001" t="s">
        <v>8677</v>
      </c>
      <c r="G8001">
        <v>0</v>
      </c>
      <c r="H8001">
        <v>0</v>
      </c>
      <c r="I8001">
        <v>0</v>
      </c>
      <c r="J8001">
        <v>0</v>
      </c>
      <c r="K8001">
        <v>0</v>
      </c>
      <c r="L8001">
        <v>0</v>
      </c>
      <c r="M8001">
        <v>0</v>
      </c>
      <c r="N8001">
        <v>0</v>
      </c>
      <c r="O8001">
        <v>0</v>
      </c>
    </row>
    <row r="8002" spans="1:15" x14ac:dyDescent="0.35">
      <c r="A8002" t="s">
        <v>8653</v>
      </c>
      <c r="B8002" t="s">
        <v>217</v>
      </c>
      <c r="C8002" t="s">
        <v>1644</v>
      </c>
      <c r="D8002" t="s">
        <v>323</v>
      </c>
      <c r="E8002" t="s">
        <v>306</v>
      </c>
      <c r="F8002" t="s">
        <v>8678</v>
      </c>
      <c r="G8002">
        <v>20</v>
      </c>
      <c r="H8002">
        <v>1914.24</v>
      </c>
      <c r="I8002">
        <v>95.71</v>
      </c>
      <c r="J8002">
        <v>174</v>
      </c>
      <c r="K8002">
        <v>20210.100000000002</v>
      </c>
      <c r="L8002">
        <v>116.15</v>
      </c>
      <c r="M8002">
        <v>194</v>
      </c>
      <c r="N8002">
        <v>22124.340000000004</v>
      </c>
      <c r="O8002">
        <v>114.04</v>
      </c>
    </row>
    <row r="8003" spans="1:15" x14ac:dyDescent="0.35">
      <c r="A8003" t="s">
        <v>8653</v>
      </c>
      <c r="B8003" t="s">
        <v>217</v>
      </c>
      <c r="C8003" t="s">
        <v>1644</v>
      </c>
      <c r="D8003" t="s">
        <v>323</v>
      </c>
      <c r="E8003" t="s">
        <v>308</v>
      </c>
      <c r="F8003" t="s">
        <v>8679</v>
      </c>
      <c r="G8003">
        <v>7</v>
      </c>
      <c r="H8003">
        <v>750.4</v>
      </c>
      <c r="I8003">
        <v>107.2</v>
      </c>
      <c r="J8003">
        <v>0</v>
      </c>
      <c r="K8003">
        <v>0</v>
      </c>
      <c r="L8003">
        <v>0</v>
      </c>
      <c r="M8003">
        <v>7</v>
      </c>
      <c r="N8003">
        <v>750.4</v>
      </c>
      <c r="O8003">
        <v>107.2</v>
      </c>
    </row>
    <row r="8004" spans="1:15" x14ac:dyDescent="0.35">
      <c r="A8004" t="s">
        <v>8653</v>
      </c>
      <c r="B8004" t="s">
        <v>217</v>
      </c>
      <c r="C8004" t="s">
        <v>1644</v>
      </c>
      <c r="D8004" t="s">
        <v>323</v>
      </c>
      <c r="E8004" t="s">
        <v>310</v>
      </c>
      <c r="F8004" t="s">
        <v>8680</v>
      </c>
      <c r="G8004">
        <v>1109</v>
      </c>
      <c r="H8004">
        <v>175034.62999999998</v>
      </c>
      <c r="I8004">
        <v>157.83000000000001</v>
      </c>
      <c r="J8004">
        <v>2914</v>
      </c>
      <c r="K8004">
        <v>383700.09999999992</v>
      </c>
      <c r="L8004">
        <v>131.66999999999999</v>
      </c>
      <c r="M8004">
        <v>4023</v>
      </c>
      <c r="N8004">
        <v>558734.72999999986</v>
      </c>
      <c r="O8004">
        <v>138.88999999999999</v>
      </c>
    </row>
    <row r="8005" spans="1:15" x14ac:dyDescent="0.35">
      <c r="A8005" t="s">
        <v>8653</v>
      </c>
      <c r="B8005" t="s">
        <v>217</v>
      </c>
      <c r="C8005" t="s">
        <v>1644</v>
      </c>
      <c r="D8005" t="s">
        <v>323</v>
      </c>
      <c r="E8005" t="s">
        <v>312</v>
      </c>
      <c r="F8005" t="s">
        <v>8681</v>
      </c>
      <c r="G8005">
        <v>1102</v>
      </c>
      <c r="H8005">
        <v>174284.22999999998</v>
      </c>
      <c r="I8005">
        <v>158.15</v>
      </c>
      <c r="J8005">
        <v>2914</v>
      </c>
      <c r="K8005">
        <v>383700.09999999992</v>
      </c>
      <c r="L8005">
        <v>131.66999999999999</v>
      </c>
      <c r="M8005">
        <v>4016</v>
      </c>
      <c r="N8005">
        <v>557984.32999999984</v>
      </c>
      <c r="O8005">
        <v>138.94</v>
      </c>
    </row>
    <row r="8006" spans="1:15" x14ac:dyDescent="0.35">
      <c r="A8006" t="s">
        <v>8653</v>
      </c>
      <c r="B8006" t="s">
        <v>217</v>
      </c>
      <c r="C8006" t="s">
        <v>1644</v>
      </c>
      <c r="D8006" t="s">
        <v>334</v>
      </c>
      <c r="E8006" t="s">
        <v>312</v>
      </c>
      <c r="F8006" t="s">
        <v>8682</v>
      </c>
      <c r="G8006">
        <v>1196</v>
      </c>
      <c r="H8006">
        <v>193243.93999999997</v>
      </c>
      <c r="I8006">
        <v>164.46</v>
      </c>
      <c r="J8006">
        <v>2932</v>
      </c>
      <c r="K8006">
        <v>388813.37999999995</v>
      </c>
      <c r="L8006">
        <v>132.61000000000001</v>
      </c>
      <c r="M8006">
        <v>4128</v>
      </c>
      <c r="N8006">
        <v>582057.31999999995</v>
      </c>
      <c r="O8006">
        <v>141.72</v>
      </c>
    </row>
    <row r="8007" spans="1:15" x14ac:dyDescent="0.35">
      <c r="A8007" t="s">
        <v>8653</v>
      </c>
      <c r="B8007" t="s">
        <v>217</v>
      </c>
      <c r="C8007" t="s">
        <v>1644</v>
      </c>
      <c r="D8007" t="s">
        <v>334</v>
      </c>
      <c r="E8007" t="s">
        <v>308</v>
      </c>
      <c r="F8007" t="s">
        <v>8683</v>
      </c>
      <c r="G8007">
        <v>7</v>
      </c>
      <c r="H8007">
        <v>750.4</v>
      </c>
      <c r="I8007">
        <v>107.2</v>
      </c>
      <c r="J8007">
        <v>0</v>
      </c>
      <c r="K8007">
        <v>0</v>
      </c>
      <c r="L8007">
        <v>0</v>
      </c>
      <c r="M8007">
        <v>7</v>
      </c>
      <c r="N8007">
        <v>750.4</v>
      </c>
      <c r="O8007">
        <v>107.2</v>
      </c>
    </row>
    <row r="8008" spans="1:15" x14ac:dyDescent="0.35">
      <c r="A8008" t="s">
        <v>8653</v>
      </c>
      <c r="B8008" t="s">
        <v>217</v>
      </c>
      <c r="C8008" t="s">
        <v>1644</v>
      </c>
      <c r="D8008" t="s">
        <v>337</v>
      </c>
      <c r="E8008" t="s">
        <v>337</v>
      </c>
      <c r="F8008" t="s">
        <v>8684</v>
      </c>
      <c r="G8008">
        <v>257</v>
      </c>
      <c r="J8008">
        <v>70</v>
      </c>
      <c r="M8008">
        <v>327</v>
      </c>
    </row>
    <row r="8009" spans="1:15" x14ac:dyDescent="0.35">
      <c r="A8009" t="s">
        <v>8653</v>
      </c>
      <c r="B8009" t="s">
        <v>217</v>
      </c>
      <c r="C8009" t="s">
        <v>1644</v>
      </c>
      <c r="D8009" t="s">
        <v>339</v>
      </c>
      <c r="E8009" t="s">
        <v>294</v>
      </c>
      <c r="F8009" t="s">
        <v>8685</v>
      </c>
      <c r="G8009">
        <v>194</v>
      </c>
      <c r="H8009">
        <v>24525.949999999997</v>
      </c>
      <c r="I8009">
        <v>126.42</v>
      </c>
      <c r="J8009">
        <v>298</v>
      </c>
      <c r="K8009">
        <v>34547.14</v>
      </c>
      <c r="L8009">
        <v>115.93</v>
      </c>
      <c r="M8009">
        <v>492</v>
      </c>
      <c r="N8009">
        <v>59073.09</v>
      </c>
      <c r="O8009">
        <v>120.07</v>
      </c>
    </row>
    <row r="8010" spans="1:15" x14ac:dyDescent="0.35">
      <c r="A8010" t="s">
        <v>8653</v>
      </c>
      <c r="B8010" t="s">
        <v>217</v>
      </c>
      <c r="C8010" t="s">
        <v>1644</v>
      </c>
      <c r="D8010" t="s">
        <v>339</v>
      </c>
      <c r="E8010" t="s">
        <v>296</v>
      </c>
      <c r="F8010" t="s">
        <v>8686</v>
      </c>
      <c r="G8010">
        <v>17</v>
      </c>
      <c r="H8010">
        <v>2510.5</v>
      </c>
      <c r="I8010">
        <v>147.68</v>
      </c>
      <c r="J8010">
        <v>10</v>
      </c>
      <c r="K8010">
        <v>1331.9</v>
      </c>
      <c r="L8010">
        <v>133.19</v>
      </c>
      <c r="M8010">
        <v>27</v>
      </c>
      <c r="N8010">
        <v>3842.4</v>
      </c>
      <c r="O8010">
        <v>142.31</v>
      </c>
    </row>
    <row r="8011" spans="1:15" x14ac:dyDescent="0.35">
      <c r="A8011" t="s">
        <v>8653</v>
      </c>
      <c r="B8011" t="s">
        <v>217</v>
      </c>
      <c r="C8011" t="s">
        <v>1644</v>
      </c>
      <c r="D8011" t="s">
        <v>339</v>
      </c>
      <c r="E8011" t="s">
        <v>298</v>
      </c>
      <c r="F8011" t="s">
        <v>8687</v>
      </c>
      <c r="G8011">
        <v>2</v>
      </c>
      <c r="H8011">
        <v>347.24</v>
      </c>
      <c r="I8011">
        <v>173.62</v>
      </c>
      <c r="J8011">
        <v>0</v>
      </c>
      <c r="K8011">
        <v>0</v>
      </c>
      <c r="L8011">
        <v>0</v>
      </c>
      <c r="M8011">
        <v>2</v>
      </c>
      <c r="N8011">
        <v>347.24</v>
      </c>
      <c r="O8011">
        <v>173.62</v>
      </c>
    </row>
    <row r="8012" spans="1:15" x14ac:dyDescent="0.35">
      <c r="A8012" t="s">
        <v>8653</v>
      </c>
      <c r="B8012" t="s">
        <v>217</v>
      </c>
      <c r="C8012" t="s">
        <v>1644</v>
      </c>
      <c r="D8012" t="s">
        <v>339</v>
      </c>
      <c r="E8012" t="s">
        <v>300</v>
      </c>
      <c r="F8012" t="s">
        <v>8688</v>
      </c>
      <c r="G8012">
        <v>0</v>
      </c>
      <c r="H8012">
        <v>0</v>
      </c>
      <c r="I8012">
        <v>0</v>
      </c>
      <c r="J8012">
        <v>0</v>
      </c>
      <c r="K8012">
        <v>0</v>
      </c>
      <c r="L8012">
        <v>0</v>
      </c>
      <c r="M8012">
        <v>0</v>
      </c>
      <c r="N8012">
        <v>0</v>
      </c>
      <c r="O8012">
        <v>0</v>
      </c>
    </row>
    <row r="8013" spans="1:15" x14ac:dyDescent="0.35">
      <c r="A8013" t="s">
        <v>8653</v>
      </c>
      <c r="B8013" t="s">
        <v>217</v>
      </c>
      <c r="C8013" t="s">
        <v>1644</v>
      </c>
      <c r="D8013" t="s">
        <v>339</v>
      </c>
      <c r="E8013" t="s">
        <v>306</v>
      </c>
      <c r="F8013" t="s">
        <v>8689</v>
      </c>
      <c r="G8013">
        <v>103</v>
      </c>
      <c r="H8013">
        <v>10125.17</v>
      </c>
      <c r="I8013">
        <v>98.3</v>
      </c>
      <c r="J8013">
        <v>53</v>
      </c>
      <c r="K8013">
        <v>5041.8899999999994</v>
      </c>
      <c r="L8013">
        <v>95.13</v>
      </c>
      <c r="M8013">
        <v>156</v>
      </c>
      <c r="N8013">
        <v>15167.06</v>
      </c>
      <c r="O8013">
        <v>97.22</v>
      </c>
    </row>
    <row r="8014" spans="1:15" x14ac:dyDescent="0.35">
      <c r="A8014" t="s">
        <v>8653</v>
      </c>
      <c r="B8014" t="s">
        <v>217</v>
      </c>
      <c r="C8014" t="s">
        <v>1644</v>
      </c>
      <c r="D8014" t="s">
        <v>339</v>
      </c>
      <c r="E8014" t="s">
        <v>308</v>
      </c>
      <c r="F8014" t="s">
        <v>8690</v>
      </c>
      <c r="G8014">
        <v>34</v>
      </c>
      <c r="H8014">
        <v>4783.7299999999996</v>
      </c>
      <c r="I8014">
        <v>140.69999999999999</v>
      </c>
      <c r="J8014">
        <v>0</v>
      </c>
      <c r="K8014">
        <v>0</v>
      </c>
      <c r="L8014">
        <v>0</v>
      </c>
      <c r="M8014">
        <v>34</v>
      </c>
      <c r="N8014">
        <v>4783.7299999999996</v>
      </c>
      <c r="O8014">
        <v>140.69999999999999</v>
      </c>
    </row>
    <row r="8015" spans="1:15" x14ac:dyDescent="0.35">
      <c r="A8015" t="s">
        <v>8653</v>
      </c>
      <c r="B8015" t="s">
        <v>217</v>
      </c>
      <c r="C8015" t="s">
        <v>1644</v>
      </c>
      <c r="D8015" t="s">
        <v>339</v>
      </c>
      <c r="E8015" t="s">
        <v>310</v>
      </c>
      <c r="F8015" t="s">
        <v>8691</v>
      </c>
      <c r="G8015">
        <v>350</v>
      </c>
      <c r="H8015">
        <v>42292.59</v>
      </c>
      <c r="I8015">
        <v>120.84</v>
      </c>
      <c r="J8015">
        <v>361</v>
      </c>
      <c r="K8015">
        <v>40920.93</v>
      </c>
      <c r="L8015">
        <v>113.35</v>
      </c>
      <c r="M8015">
        <v>711</v>
      </c>
      <c r="N8015">
        <v>83213.51999999999</v>
      </c>
      <c r="O8015">
        <v>117.04</v>
      </c>
    </row>
    <row r="8016" spans="1:15" x14ac:dyDescent="0.35">
      <c r="A8016" t="s">
        <v>8653</v>
      </c>
      <c r="B8016" t="s">
        <v>217</v>
      </c>
      <c r="C8016" t="s">
        <v>1644</v>
      </c>
      <c r="D8016" t="s">
        <v>339</v>
      </c>
      <c r="E8016" t="s">
        <v>312</v>
      </c>
      <c r="F8016" t="s">
        <v>8692</v>
      </c>
      <c r="G8016">
        <v>316</v>
      </c>
      <c r="H8016">
        <v>37508.86</v>
      </c>
      <c r="I8016">
        <v>118.7</v>
      </c>
      <c r="J8016">
        <v>361</v>
      </c>
      <c r="K8016">
        <v>40920.93</v>
      </c>
      <c r="L8016">
        <v>113.35</v>
      </c>
      <c r="M8016">
        <v>677</v>
      </c>
      <c r="N8016">
        <v>78429.790000000008</v>
      </c>
      <c r="O8016">
        <v>115.85</v>
      </c>
    </row>
    <row r="8017" spans="1:15" x14ac:dyDescent="0.35">
      <c r="A8017" t="s">
        <v>8653</v>
      </c>
      <c r="B8017" t="s">
        <v>217</v>
      </c>
      <c r="C8017" t="s">
        <v>1644</v>
      </c>
      <c r="D8017" t="s">
        <v>348</v>
      </c>
      <c r="E8017" t="s">
        <v>349</v>
      </c>
      <c r="F8017" t="s">
        <v>8693</v>
      </c>
      <c r="G8017">
        <v>492</v>
      </c>
      <c r="H8017">
        <v>48618.149999999994</v>
      </c>
      <c r="I8017">
        <v>127.61</v>
      </c>
      <c r="J8017">
        <v>361</v>
      </c>
      <c r="K8017">
        <v>40920.93</v>
      </c>
      <c r="L8017">
        <v>113.35</v>
      </c>
      <c r="M8017">
        <v>853</v>
      </c>
      <c r="N8017">
        <v>89539.079999999987</v>
      </c>
      <c r="O8017">
        <v>120.67</v>
      </c>
    </row>
    <row r="8018" spans="1:15" x14ac:dyDescent="0.35">
      <c r="A8018" t="s">
        <v>8694</v>
      </c>
      <c r="B8018" t="s">
        <v>8695</v>
      </c>
      <c r="C8018" t="s">
        <v>1059</v>
      </c>
      <c r="D8018" t="s">
        <v>293</v>
      </c>
      <c r="E8018" t="s">
        <v>294</v>
      </c>
      <c r="F8018" t="s">
        <v>8696</v>
      </c>
      <c r="G8018">
        <v>29</v>
      </c>
      <c r="H8018">
        <v>3520.0199999999995</v>
      </c>
      <c r="I8018">
        <v>121.38</v>
      </c>
      <c r="J8018">
        <v>11</v>
      </c>
      <c r="K8018">
        <v>1267.8600000000001</v>
      </c>
      <c r="L8018">
        <v>115.26</v>
      </c>
      <c r="M8018">
        <v>40</v>
      </c>
      <c r="N8018">
        <v>4787.8799999999992</v>
      </c>
      <c r="O8018">
        <v>119.7</v>
      </c>
    </row>
    <row r="8019" spans="1:15" x14ac:dyDescent="0.35">
      <c r="A8019" t="s">
        <v>8694</v>
      </c>
      <c r="B8019" t="s">
        <v>8695</v>
      </c>
      <c r="C8019" t="s">
        <v>1059</v>
      </c>
      <c r="D8019" t="s">
        <v>293</v>
      </c>
      <c r="E8019" t="s">
        <v>296</v>
      </c>
      <c r="F8019" t="s">
        <v>8697</v>
      </c>
      <c r="G8019">
        <v>216</v>
      </c>
      <c r="H8019">
        <v>30780.579999999998</v>
      </c>
      <c r="I8019">
        <v>142.5</v>
      </c>
      <c r="J8019">
        <v>65</v>
      </c>
      <c r="K8019">
        <v>9084.4</v>
      </c>
      <c r="L8019">
        <v>139.76</v>
      </c>
      <c r="M8019">
        <v>281</v>
      </c>
      <c r="N8019">
        <v>39864.979999999996</v>
      </c>
      <c r="O8019">
        <v>141.87</v>
      </c>
    </row>
    <row r="8020" spans="1:15" x14ac:dyDescent="0.35">
      <c r="A8020" t="s">
        <v>8694</v>
      </c>
      <c r="B8020" t="s">
        <v>8695</v>
      </c>
      <c r="C8020" t="s">
        <v>1059</v>
      </c>
      <c r="D8020" t="s">
        <v>293</v>
      </c>
      <c r="E8020" t="s">
        <v>298</v>
      </c>
      <c r="F8020" t="s">
        <v>8698</v>
      </c>
      <c r="G8020">
        <v>121</v>
      </c>
      <c r="H8020">
        <v>19435.05</v>
      </c>
      <c r="I8020">
        <v>160.62</v>
      </c>
      <c r="J8020">
        <v>12</v>
      </c>
      <c r="K8020">
        <v>1911.72</v>
      </c>
      <c r="L8020">
        <v>159.31</v>
      </c>
      <c r="M8020">
        <v>133</v>
      </c>
      <c r="N8020">
        <v>21346.77</v>
      </c>
      <c r="O8020">
        <v>160.5</v>
      </c>
    </row>
    <row r="8021" spans="1:15" x14ac:dyDescent="0.35">
      <c r="A8021" t="s">
        <v>8694</v>
      </c>
      <c r="B8021" t="s">
        <v>8695</v>
      </c>
      <c r="C8021" t="s">
        <v>1059</v>
      </c>
      <c r="D8021" t="s">
        <v>293</v>
      </c>
      <c r="E8021" t="s">
        <v>300</v>
      </c>
      <c r="F8021" t="s">
        <v>8699</v>
      </c>
      <c r="G8021">
        <v>21</v>
      </c>
      <c r="H8021">
        <v>4180.7900000000009</v>
      </c>
      <c r="I8021">
        <v>199.09</v>
      </c>
      <c r="J8021">
        <v>0</v>
      </c>
      <c r="K8021">
        <v>0</v>
      </c>
      <c r="L8021">
        <v>0</v>
      </c>
      <c r="M8021">
        <v>21</v>
      </c>
      <c r="N8021">
        <v>4180.7900000000009</v>
      </c>
      <c r="O8021">
        <v>199.09</v>
      </c>
    </row>
    <row r="8022" spans="1:15" x14ac:dyDescent="0.35">
      <c r="A8022" t="s">
        <v>8694</v>
      </c>
      <c r="B8022" t="s">
        <v>8695</v>
      </c>
      <c r="C8022" t="s">
        <v>1059</v>
      </c>
      <c r="D8022" t="s">
        <v>293</v>
      </c>
      <c r="E8022" t="s">
        <v>302</v>
      </c>
      <c r="F8022" t="s">
        <v>8700</v>
      </c>
      <c r="G8022">
        <v>0</v>
      </c>
      <c r="H8022">
        <v>0</v>
      </c>
      <c r="I8022">
        <v>0</v>
      </c>
      <c r="J8022">
        <v>0</v>
      </c>
      <c r="K8022">
        <v>0</v>
      </c>
      <c r="L8022">
        <v>0</v>
      </c>
      <c r="M8022">
        <v>0</v>
      </c>
      <c r="N8022">
        <v>0</v>
      </c>
      <c r="O8022">
        <v>0</v>
      </c>
    </row>
    <row r="8023" spans="1:15" x14ac:dyDescent="0.35">
      <c r="A8023" t="s">
        <v>8694</v>
      </c>
      <c r="B8023" t="s">
        <v>8695</v>
      </c>
      <c r="C8023" t="s">
        <v>1059</v>
      </c>
      <c r="D8023" t="s">
        <v>293</v>
      </c>
      <c r="E8023" t="s">
        <v>304</v>
      </c>
      <c r="F8023" t="s">
        <v>8701</v>
      </c>
      <c r="G8023">
        <v>0</v>
      </c>
      <c r="H8023">
        <v>0</v>
      </c>
      <c r="I8023">
        <v>0</v>
      </c>
      <c r="J8023">
        <v>0</v>
      </c>
      <c r="K8023">
        <v>0</v>
      </c>
      <c r="L8023">
        <v>0</v>
      </c>
      <c r="M8023">
        <v>0</v>
      </c>
      <c r="N8023">
        <v>0</v>
      </c>
      <c r="O8023">
        <v>0</v>
      </c>
    </row>
    <row r="8024" spans="1:15" x14ac:dyDescent="0.35">
      <c r="A8024" t="s">
        <v>8694</v>
      </c>
      <c r="B8024" t="s">
        <v>8695</v>
      </c>
      <c r="C8024" t="s">
        <v>1059</v>
      </c>
      <c r="D8024" t="s">
        <v>293</v>
      </c>
      <c r="E8024" t="s">
        <v>306</v>
      </c>
      <c r="F8024" t="s">
        <v>8702</v>
      </c>
      <c r="G8024">
        <v>0</v>
      </c>
      <c r="H8024">
        <v>0</v>
      </c>
      <c r="I8024">
        <v>0</v>
      </c>
      <c r="J8024">
        <v>0</v>
      </c>
      <c r="K8024">
        <v>0</v>
      </c>
      <c r="L8024">
        <v>0</v>
      </c>
      <c r="M8024">
        <v>0</v>
      </c>
      <c r="N8024">
        <v>0</v>
      </c>
      <c r="O8024">
        <v>0</v>
      </c>
    </row>
    <row r="8025" spans="1:15" x14ac:dyDescent="0.35">
      <c r="A8025" t="s">
        <v>8694</v>
      </c>
      <c r="B8025" t="s">
        <v>8695</v>
      </c>
      <c r="C8025" t="s">
        <v>1059</v>
      </c>
      <c r="D8025" t="s">
        <v>293</v>
      </c>
      <c r="E8025" t="s">
        <v>308</v>
      </c>
      <c r="F8025" t="s">
        <v>8703</v>
      </c>
      <c r="G8025">
        <v>0</v>
      </c>
      <c r="H8025">
        <v>0</v>
      </c>
      <c r="I8025">
        <v>0</v>
      </c>
      <c r="J8025">
        <v>0</v>
      </c>
      <c r="K8025">
        <v>0</v>
      </c>
      <c r="L8025">
        <v>0</v>
      </c>
      <c r="M8025">
        <v>0</v>
      </c>
      <c r="N8025">
        <v>0</v>
      </c>
      <c r="O8025">
        <v>0</v>
      </c>
    </row>
    <row r="8026" spans="1:15" x14ac:dyDescent="0.35">
      <c r="A8026" t="s">
        <v>8694</v>
      </c>
      <c r="B8026" t="s">
        <v>8695</v>
      </c>
      <c r="C8026" t="s">
        <v>1059</v>
      </c>
      <c r="D8026" t="s">
        <v>293</v>
      </c>
      <c r="E8026" t="s">
        <v>310</v>
      </c>
      <c r="F8026" t="s">
        <v>8704</v>
      </c>
      <c r="G8026">
        <v>387</v>
      </c>
      <c r="H8026">
        <v>57916.439999999995</v>
      </c>
      <c r="I8026">
        <v>149.65</v>
      </c>
      <c r="J8026">
        <v>88</v>
      </c>
      <c r="K8026">
        <v>12263.98</v>
      </c>
      <c r="L8026">
        <v>139.36000000000001</v>
      </c>
      <c r="M8026">
        <v>475</v>
      </c>
      <c r="N8026">
        <v>70180.42</v>
      </c>
      <c r="O8026">
        <v>147.75</v>
      </c>
    </row>
    <row r="8027" spans="1:15" x14ac:dyDescent="0.35">
      <c r="A8027" t="s">
        <v>8694</v>
      </c>
      <c r="B8027" t="s">
        <v>8695</v>
      </c>
      <c r="C8027" t="s">
        <v>1059</v>
      </c>
      <c r="D8027" t="s">
        <v>293</v>
      </c>
      <c r="E8027" t="s">
        <v>312</v>
      </c>
      <c r="F8027" t="s">
        <v>8705</v>
      </c>
      <c r="G8027">
        <v>387</v>
      </c>
      <c r="H8027">
        <v>57916.439999999995</v>
      </c>
      <c r="I8027">
        <v>149.65</v>
      </c>
      <c r="J8027">
        <v>88</v>
      </c>
      <c r="K8027">
        <v>12263.98</v>
      </c>
      <c r="L8027">
        <v>139.36000000000001</v>
      </c>
      <c r="M8027">
        <v>475</v>
      </c>
      <c r="N8027">
        <v>70180.42</v>
      </c>
      <c r="O8027">
        <v>147.75</v>
      </c>
    </row>
    <row r="8028" spans="1:15" x14ac:dyDescent="0.35">
      <c r="A8028" t="s">
        <v>8694</v>
      </c>
      <c r="B8028" t="s">
        <v>8695</v>
      </c>
      <c r="C8028" t="s">
        <v>1059</v>
      </c>
      <c r="D8028" t="s">
        <v>314</v>
      </c>
      <c r="E8028" t="s">
        <v>294</v>
      </c>
      <c r="F8028" t="s">
        <v>8706</v>
      </c>
      <c r="G8028">
        <v>0</v>
      </c>
      <c r="H8028">
        <v>0</v>
      </c>
      <c r="I8028">
        <v>0</v>
      </c>
      <c r="J8028">
        <v>0</v>
      </c>
      <c r="K8028">
        <v>0</v>
      </c>
      <c r="L8028">
        <v>0</v>
      </c>
      <c r="M8028">
        <v>0</v>
      </c>
      <c r="N8028">
        <v>0</v>
      </c>
      <c r="O8028">
        <v>0</v>
      </c>
    </row>
    <row r="8029" spans="1:15" x14ac:dyDescent="0.35">
      <c r="A8029" t="s">
        <v>8694</v>
      </c>
      <c r="B8029" t="s">
        <v>8695</v>
      </c>
      <c r="C8029" t="s">
        <v>1059</v>
      </c>
      <c r="D8029" t="s">
        <v>314</v>
      </c>
      <c r="E8029" t="s">
        <v>296</v>
      </c>
      <c r="F8029" t="s">
        <v>8707</v>
      </c>
      <c r="G8029">
        <v>0</v>
      </c>
      <c r="H8029">
        <v>0</v>
      </c>
      <c r="I8029">
        <v>0</v>
      </c>
      <c r="J8029">
        <v>0</v>
      </c>
      <c r="K8029">
        <v>0</v>
      </c>
      <c r="L8029">
        <v>0</v>
      </c>
      <c r="M8029">
        <v>0</v>
      </c>
      <c r="N8029">
        <v>0</v>
      </c>
      <c r="O8029">
        <v>0</v>
      </c>
    </row>
    <row r="8030" spans="1:15" x14ac:dyDescent="0.35">
      <c r="A8030" t="s">
        <v>8694</v>
      </c>
      <c r="B8030" t="s">
        <v>8695</v>
      </c>
      <c r="C8030" t="s">
        <v>1059</v>
      </c>
      <c r="D8030" t="s">
        <v>314</v>
      </c>
      <c r="E8030" t="s">
        <v>298</v>
      </c>
      <c r="F8030" t="s">
        <v>8708</v>
      </c>
      <c r="G8030">
        <v>0</v>
      </c>
      <c r="H8030">
        <v>0</v>
      </c>
      <c r="I8030">
        <v>0</v>
      </c>
      <c r="J8030">
        <v>0</v>
      </c>
      <c r="K8030">
        <v>0</v>
      </c>
      <c r="L8030">
        <v>0</v>
      </c>
      <c r="M8030">
        <v>0</v>
      </c>
      <c r="N8030">
        <v>0</v>
      </c>
      <c r="O8030">
        <v>0</v>
      </c>
    </row>
    <row r="8031" spans="1:15" x14ac:dyDescent="0.35">
      <c r="A8031" t="s">
        <v>8694</v>
      </c>
      <c r="B8031" t="s">
        <v>8695</v>
      </c>
      <c r="C8031" t="s">
        <v>1059</v>
      </c>
      <c r="D8031" t="s">
        <v>314</v>
      </c>
      <c r="E8031" t="s">
        <v>300</v>
      </c>
      <c r="F8031" t="s">
        <v>8709</v>
      </c>
      <c r="G8031">
        <v>0</v>
      </c>
      <c r="H8031">
        <v>0</v>
      </c>
      <c r="I8031">
        <v>0</v>
      </c>
      <c r="J8031">
        <v>0</v>
      </c>
      <c r="K8031">
        <v>0</v>
      </c>
      <c r="L8031">
        <v>0</v>
      </c>
      <c r="M8031">
        <v>0</v>
      </c>
      <c r="N8031">
        <v>0</v>
      </c>
      <c r="O8031">
        <v>0</v>
      </c>
    </row>
    <row r="8032" spans="1:15" x14ac:dyDescent="0.35">
      <c r="A8032" t="s">
        <v>8694</v>
      </c>
      <c r="B8032" t="s">
        <v>8695</v>
      </c>
      <c r="C8032" t="s">
        <v>1059</v>
      </c>
      <c r="D8032" t="s">
        <v>314</v>
      </c>
      <c r="E8032" t="s">
        <v>306</v>
      </c>
      <c r="F8032" t="s">
        <v>8710</v>
      </c>
      <c r="G8032">
        <v>0</v>
      </c>
      <c r="H8032">
        <v>0</v>
      </c>
      <c r="I8032">
        <v>0</v>
      </c>
      <c r="J8032">
        <v>0</v>
      </c>
      <c r="K8032">
        <v>0</v>
      </c>
      <c r="L8032">
        <v>0</v>
      </c>
      <c r="M8032">
        <v>0</v>
      </c>
      <c r="N8032">
        <v>0</v>
      </c>
      <c r="O8032">
        <v>0</v>
      </c>
    </row>
    <row r="8033" spans="1:15" x14ac:dyDescent="0.35">
      <c r="A8033" t="s">
        <v>8694</v>
      </c>
      <c r="B8033" t="s">
        <v>8695</v>
      </c>
      <c r="C8033" t="s">
        <v>1059</v>
      </c>
      <c r="D8033" t="s">
        <v>314</v>
      </c>
      <c r="E8033" t="s">
        <v>308</v>
      </c>
      <c r="F8033" t="s">
        <v>8711</v>
      </c>
      <c r="G8033">
        <v>0</v>
      </c>
      <c r="H8033">
        <v>0</v>
      </c>
      <c r="I8033">
        <v>0</v>
      </c>
      <c r="J8033">
        <v>0</v>
      </c>
      <c r="K8033">
        <v>0</v>
      </c>
      <c r="L8033">
        <v>0</v>
      </c>
      <c r="M8033">
        <v>0</v>
      </c>
      <c r="N8033">
        <v>0</v>
      </c>
      <c r="O8033">
        <v>0</v>
      </c>
    </row>
    <row r="8034" spans="1:15" x14ac:dyDescent="0.35">
      <c r="A8034" t="s">
        <v>8694</v>
      </c>
      <c r="B8034" t="s">
        <v>8695</v>
      </c>
      <c r="C8034" t="s">
        <v>1059</v>
      </c>
      <c r="D8034" t="s">
        <v>314</v>
      </c>
      <c r="E8034" t="s">
        <v>312</v>
      </c>
      <c r="F8034" t="s">
        <v>8712</v>
      </c>
      <c r="G8034">
        <v>0</v>
      </c>
      <c r="H8034">
        <v>0</v>
      </c>
      <c r="I8034">
        <v>0</v>
      </c>
      <c r="J8034">
        <v>0</v>
      </c>
      <c r="K8034">
        <v>0</v>
      </c>
      <c r="L8034">
        <v>0</v>
      </c>
      <c r="M8034">
        <v>0</v>
      </c>
      <c r="N8034">
        <v>0</v>
      </c>
      <c r="O8034">
        <v>0</v>
      </c>
    </row>
    <row r="8035" spans="1:15" x14ac:dyDescent="0.35">
      <c r="A8035" t="s">
        <v>8694</v>
      </c>
      <c r="B8035" t="s">
        <v>8695</v>
      </c>
      <c r="C8035" t="s">
        <v>1059</v>
      </c>
      <c r="D8035" t="s">
        <v>314</v>
      </c>
      <c r="E8035" t="s">
        <v>310</v>
      </c>
      <c r="F8035" t="s">
        <v>8713</v>
      </c>
      <c r="G8035">
        <v>0</v>
      </c>
      <c r="H8035">
        <v>0</v>
      </c>
      <c r="I8035">
        <v>0</v>
      </c>
      <c r="J8035">
        <v>0</v>
      </c>
      <c r="K8035">
        <v>0</v>
      </c>
      <c r="L8035">
        <v>0</v>
      </c>
      <c r="M8035">
        <v>0</v>
      </c>
      <c r="N8035">
        <v>0</v>
      </c>
      <c r="O8035">
        <v>0</v>
      </c>
    </row>
    <row r="8036" spans="1:15" x14ac:dyDescent="0.35">
      <c r="A8036" t="s">
        <v>8694</v>
      </c>
      <c r="B8036" t="s">
        <v>8695</v>
      </c>
      <c r="C8036" t="s">
        <v>1059</v>
      </c>
      <c r="D8036" t="s">
        <v>323</v>
      </c>
      <c r="E8036" t="s">
        <v>294</v>
      </c>
      <c r="F8036" t="s">
        <v>8714</v>
      </c>
      <c r="G8036">
        <v>114</v>
      </c>
      <c r="H8036">
        <v>11316.25</v>
      </c>
      <c r="I8036">
        <v>99.27</v>
      </c>
      <c r="J8036">
        <v>770</v>
      </c>
      <c r="K8036">
        <v>72272.2</v>
      </c>
      <c r="L8036">
        <v>93.86</v>
      </c>
      <c r="M8036">
        <v>884</v>
      </c>
      <c r="N8036">
        <v>83588.45</v>
      </c>
      <c r="O8036">
        <v>94.56</v>
      </c>
    </row>
    <row r="8037" spans="1:15" x14ac:dyDescent="0.35">
      <c r="A8037" t="s">
        <v>8694</v>
      </c>
      <c r="B8037" t="s">
        <v>8695</v>
      </c>
      <c r="C8037" t="s">
        <v>1059</v>
      </c>
      <c r="D8037" t="s">
        <v>323</v>
      </c>
      <c r="E8037" t="s">
        <v>296</v>
      </c>
      <c r="F8037" t="s">
        <v>8715</v>
      </c>
      <c r="G8037">
        <v>376</v>
      </c>
      <c r="H8037">
        <v>44563.78</v>
      </c>
      <c r="I8037">
        <v>118.52</v>
      </c>
      <c r="J8037">
        <v>816</v>
      </c>
      <c r="K8037">
        <v>85598.400000000009</v>
      </c>
      <c r="L8037">
        <v>104.9</v>
      </c>
      <c r="M8037">
        <v>1192</v>
      </c>
      <c r="N8037">
        <v>130162.18000000001</v>
      </c>
      <c r="O8037">
        <v>109.2</v>
      </c>
    </row>
    <row r="8038" spans="1:15" x14ac:dyDescent="0.35">
      <c r="A8038" t="s">
        <v>8694</v>
      </c>
      <c r="B8038" t="s">
        <v>8695</v>
      </c>
      <c r="C8038" t="s">
        <v>1059</v>
      </c>
      <c r="D8038" t="s">
        <v>323</v>
      </c>
      <c r="E8038" t="s">
        <v>298</v>
      </c>
      <c r="F8038" t="s">
        <v>8716</v>
      </c>
      <c r="G8038">
        <v>340</v>
      </c>
      <c r="H8038">
        <v>43558.3</v>
      </c>
      <c r="I8038">
        <v>128.11000000000001</v>
      </c>
      <c r="J8038">
        <v>857</v>
      </c>
      <c r="K8038">
        <v>95007.02</v>
      </c>
      <c r="L8038">
        <v>110.86</v>
      </c>
      <c r="M8038">
        <v>1197</v>
      </c>
      <c r="N8038">
        <v>138565.32</v>
      </c>
      <c r="O8038">
        <v>115.76</v>
      </c>
    </row>
    <row r="8039" spans="1:15" x14ac:dyDescent="0.35">
      <c r="A8039" t="s">
        <v>8694</v>
      </c>
      <c r="B8039" t="s">
        <v>8695</v>
      </c>
      <c r="C8039" t="s">
        <v>1059</v>
      </c>
      <c r="D8039" t="s">
        <v>323</v>
      </c>
      <c r="E8039" t="s">
        <v>300</v>
      </c>
      <c r="F8039" t="s">
        <v>8717</v>
      </c>
      <c r="G8039">
        <v>35</v>
      </c>
      <c r="H8039">
        <v>5225.53</v>
      </c>
      <c r="I8039">
        <v>149.30000000000001</v>
      </c>
      <c r="J8039">
        <v>52</v>
      </c>
      <c r="K8039">
        <v>6526</v>
      </c>
      <c r="L8039">
        <v>125.5</v>
      </c>
      <c r="M8039">
        <v>87</v>
      </c>
      <c r="N8039">
        <v>11751.529999999999</v>
      </c>
      <c r="O8039">
        <v>135.08000000000001</v>
      </c>
    </row>
    <row r="8040" spans="1:15" x14ac:dyDescent="0.35">
      <c r="A8040" t="s">
        <v>8694</v>
      </c>
      <c r="B8040" t="s">
        <v>8695</v>
      </c>
      <c r="C8040" t="s">
        <v>1059</v>
      </c>
      <c r="D8040" t="s">
        <v>323</v>
      </c>
      <c r="E8040" t="s">
        <v>302</v>
      </c>
      <c r="F8040" t="s">
        <v>8718</v>
      </c>
      <c r="G8040">
        <v>0</v>
      </c>
      <c r="H8040">
        <v>0</v>
      </c>
      <c r="I8040">
        <v>0</v>
      </c>
      <c r="J8040">
        <v>0</v>
      </c>
      <c r="K8040">
        <v>0</v>
      </c>
      <c r="L8040">
        <v>0</v>
      </c>
      <c r="M8040">
        <v>0</v>
      </c>
      <c r="N8040">
        <v>0</v>
      </c>
      <c r="O8040">
        <v>0</v>
      </c>
    </row>
    <row r="8041" spans="1:15" x14ac:dyDescent="0.35">
      <c r="A8041" t="s">
        <v>8694</v>
      </c>
      <c r="B8041" t="s">
        <v>8695</v>
      </c>
      <c r="C8041" t="s">
        <v>1059</v>
      </c>
      <c r="D8041" t="s">
        <v>323</v>
      </c>
      <c r="E8041" t="s">
        <v>304</v>
      </c>
      <c r="F8041" t="s">
        <v>8719</v>
      </c>
      <c r="G8041">
        <v>0</v>
      </c>
      <c r="H8041">
        <v>0</v>
      </c>
      <c r="I8041">
        <v>0</v>
      </c>
      <c r="J8041">
        <v>0</v>
      </c>
      <c r="K8041">
        <v>0</v>
      </c>
      <c r="L8041">
        <v>0</v>
      </c>
      <c r="M8041">
        <v>0</v>
      </c>
      <c r="N8041">
        <v>0</v>
      </c>
      <c r="O8041">
        <v>0</v>
      </c>
    </row>
    <row r="8042" spans="1:15" x14ac:dyDescent="0.35">
      <c r="A8042" t="s">
        <v>8694</v>
      </c>
      <c r="B8042" t="s">
        <v>8695</v>
      </c>
      <c r="C8042" t="s">
        <v>1059</v>
      </c>
      <c r="D8042" t="s">
        <v>323</v>
      </c>
      <c r="E8042" t="s">
        <v>306</v>
      </c>
      <c r="F8042" t="s">
        <v>8720</v>
      </c>
      <c r="G8042">
        <v>0</v>
      </c>
      <c r="H8042">
        <v>0</v>
      </c>
      <c r="I8042">
        <v>0</v>
      </c>
      <c r="J8042">
        <v>0</v>
      </c>
      <c r="K8042">
        <v>0</v>
      </c>
      <c r="L8042">
        <v>0</v>
      </c>
      <c r="M8042">
        <v>0</v>
      </c>
      <c r="N8042">
        <v>0</v>
      </c>
      <c r="O8042">
        <v>0</v>
      </c>
    </row>
    <row r="8043" spans="1:15" x14ac:dyDescent="0.35">
      <c r="A8043" t="s">
        <v>8694</v>
      </c>
      <c r="B8043" t="s">
        <v>8695</v>
      </c>
      <c r="C8043" t="s">
        <v>1059</v>
      </c>
      <c r="D8043" t="s">
        <v>323</v>
      </c>
      <c r="E8043" t="s">
        <v>308</v>
      </c>
      <c r="F8043" t="s">
        <v>8721</v>
      </c>
      <c r="G8043">
        <v>0</v>
      </c>
      <c r="H8043">
        <v>0</v>
      </c>
      <c r="I8043">
        <v>0</v>
      </c>
      <c r="J8043">
        <v>0</v>
      </c>
      <c r="K8043">
        <v>0</v>
      </c>
      <c r="L8043">
        <v>0</v>
      </c>
      <c r="M8043">
        <v>0</v>
      </c>
      <c r="N8043">
        <v>0</v>
      </c>
      <c r="O8043">
        <v>0</v>
      </c>
    </row>
    <row r="8044" spans="1:15" x14ac:dyDescent="0.35">
      <c r="A8044" t="s">
        <v>8694</v>
      </c>
      <c r="B8044" t="s">
        <v>8695</v>
      </c>
      <c r="C8044" t="s">
        <v>1059</v>
      </c>
      <c r="D8044" t="s">
        <v>323</v>
      </c>
      <c r="E8044" t="s">
        <v>310</v>
      </c>
      <c r="F8044" t="s">
        <v>8722</v>
      </c>
      <c r="G8044">
        <v>865</v>
      </c>
      <c r="H8044">
        <v>104663.86</v>
      </c>
      <c r="I8044">
        <v>121</v>
      </c>
      <c r="J8044">
        <v>2495</v>
      </c>
      <c r="K8044">
        <v>259403.62</v>
      </c>
      <c r="L8044">
        <v>103.97</v>
      </c>
      <c r="M8044">
        <v>3360</v>
      </c>
      <c r="N8044">
        <v>364067.48</v>
      </c>
      <c r="O8044">
        <v>108.35</v>
      </c>
    </row>
    <row r="8045" spans="1:15" x14ac:dyDescent="0.35">
      <c r="A8045" t="s">
        <v>8694</v>
      </c>
      <c r="B8045" t="s">
        <v>8695</v>
      </c>
      <c r="C8045" t="s">
        <v>1059</v>
      </c>
      <c r="D8045" t="s">
        <v>323</v>
      </c>
      <c r="E8045" t="s">
        <v>312</v>
      </c>
      <c r="F8045" t="s">
        <v>8723</v>
      </c>
      <c r="G8045">
        <v>865</v>
      </c>
      <c r="H8045">
        <v>104663.86</v>
      </c>
      <c r="I8045">
        <v>121</v>
      </c>
      <c r="J8045">
        <v>2495</v>
      </c>
      <c r="K8045">
        <v>259403.62</v>
      </c>
      <c r="L8045">
        <v>103.97</v>
      </c>
      <c r="M8045">
        <v>3360</v>
      </c>
      <c r="N8045">
        <v>364067.48</v>
      </c>
      <c r="O8045">
        <v>108.35</v>
      </c>
    </row>
    <row r="8046" spans="1:15" x14ac:dyDescent="0.35">
      <c r="A8046" t="s">
        <v>8694</v>
      </c>
      <c r="B8046" t="s">
        <v>8695</v>
      </c>
      <c r="C8046" t="s">
        <v>1059</v>
      </c>
      <c r="D8046" t="s">
        <v>334</v>
      </c>
      <c r="E8046" t="s">
        <v>312</v>
      </c>
      <c r="F8046" t="s">
        <v>8724</v>
      </c>
      <c r="G8046">
        <v>1254</v>
      </c>
      <c r="H8046">
        <v>162580.30000000002</v>
      </c>
      <c r="I8046">
        <v>129.86000000000001</v>
      </c>
      <c r="J8046">
        <v>2583</v>
      </c>
      <c r="K8046">
        <v>271667.60000000003</v>
      </c>
      <c r="L8046">
        <v>105.18</v>
      </c>
      <c r="M8046">
        <v>3837</v>
      </c>
      <c r="N8046">
        <v>434247.9</v>
      </c>
      <c r="O8046">
        <v>113.23</v>
      </c>
    </row>
    <row r="8047" spans="1:15" x14ac:dyDescent="0.35">
      <c r="A8047" t="s">
        <v>8694</v>
      </c>
      <c r="B8047" t="s">
        <v>8695</v>
      </c>
      <c r="C8047" t="s">
        <v>1059</v>
      </c>
      <c r="D8047" t="s">
        <v>334</v>
      </c>
      <c r="E8047" t="s">
        <v>308</v>
      </c>
      <c r="F8047" t="s">
        <v>8725</v>
      </c>
      <c r="G8047">
        <v>0</v>
      </c>
      <c r="H8047">
        <v>0</v>
      </c>
      <c r="I8047">
        <v>0</v>
      </c>
      <c r="J8047">
        <v>0</v>
      </c>
      <c r="K8047">
        <v>0</v>
      </c>
      <c r="L8047">
        <v>0</v>
      </c>
      <c r="M8047">
        <v>0</v>
      </c>
      <c r="N8047">
        <v>0</v>
      </c>
      <c r="O8047">
        <v>0</v>
      </c>
    </row>
    <row r="8048" spans="1:15" x14ac:dyDescent="0.35">
      <c r="A8048" t="s">
        <v>8694</v>
      </c>
      <c r="B8048" t="s">
        <v>8695</v>
      </c>
      <c r="C8048" t="s">
        <v>1059</v>
      </c>
      <c r="D8048" t="s">
        <v>337</v>
      </c>
      <c r="E8048" t="s">
        <v>337</v>
      </c>
      <c r="F8048" t="s">
        <v>8726</v>
      </c>
      <c r="G8048">
        <v>301</v>
      </c>
      <c r="J8048">
        <v>0</v>
      </c>
      <c r="M8048">
        <v>301</v>
      </c>
    </row>
    <row r="8049" spans="1:15" x14ac:dyDescent="0.35">
      <c r="A8049" t="s">
        <v>8694</v>
      </c>
      <c r="B8049" t="s">
        <v>8695</v>
      </c>
      <c r="C8049" t="s">
        <v>1059</v>
      </c>
      <c r="D8049" t="s">
        <v>339</v>
      </c>
      <c r="E8049" t="s">
        <v>294</v>
      </c>
      <c r="F8049" t="s">
        <v>8727</v>
      </c>
      <c r="G8049">
        <v>44</v>
      </c>
      <c r="H8049">
        <v>7047.5199999999995</v>
      </c>
      <c r="I8049">
        <v>160.16999999999999</v>
      </c>
      <c r="J8049">
        <v>0</v>
      </c>
      <c r="K8049">
        <v>0</v>
      </c>
      <c r="L8049">
        <v>0</v>
      </c>
      <c r="M8049">
        <v>44</v>
      </c>
      <c r="N8049">
        <v>7047.5199999999995</v>
      </c>
      <c r="O8049">
        <v>160.16999999999999</v>
      </c>
    </row>
    <row r="8050" spans="1:15" x14ac:dyDescent="0.35">
      <c r="A8050" t="s">
        <v>8694</v>
      </c>
      <c r="B8050" t="s">
        <v>8695</v>
      </c>
      <c r="C8050" t="s">
        <v>1059</v>
      </c>
      <c r="D8050" t="s">
        <v>339</v>
      </c>
      <c r="E8050" t="s">
        <v>296</v>
      </c>
      <c r="F8050" t="s">
        <v>8728</v>
      </c>
      <c r="G8050">
        <v>7</v>
      </c>
      <c r="H8050">
        <v>867.59</v>
      </c>
      <c r="I8050">
        <v>123.94</v>
      </c>
      <c r="J8050">
        <v>0</v>
      </c>
      <c r="K8050">
        <v>0</v>
      </c>
      <c r="L8050">
        <v>0</v>
      </c>
      <c r="M8050">
        <v>7</v>
      </c>
      <c r="N8050">
        <v>867.59</v>
      </c>
      <c r="O8050">
        <v>123.94</v>
      </c>
    </row>
    <row r="8051" spans="1:15" x14ac:dyDescent="0.35">
      <c r="A8051" t="s">
        <v>8694</v>
      </c>
      <c r="B8051" t="s">
        <v>8695</v>
      </c>
      <c r="C8051" t="s">
        <v>1059</v>
      </c>
      <c r="D8051" t="s">
        <v>339</v>
      </c>
      <c r="E8051" t="s">
        <v>298</v>
      </c>
      <c r="F8051" t="s">
        <v>8729</v>
      </c>
      <c r="G8051">
        <v>1</v>
      </c>
      <c r="H8051">
        <v>143.65</v>
      </c>
      <c r="I8051">
        <v>143.65</v>
      </c>
      <c r="J8051">
        <v>0</v>
      </c>
      <c r="K8051">
        <v>0</v>
      </c>
      <c r="L8051">
        <v>0</v>
      </c>
      <c r="M8051">
        <v>1</v>
      </c>
      <c r="N8051">
        <v>143.65</v>
      </c>
      <c r="O8051">
        <v>143.65</v>
      </c>
    </row>
    <row r="8052" spans="1:15" x14ac:dyDescent="0.35">
      <c r="A8052" t="s">
        <v>8694</v>
      </c>
      <c r="B8052" t="s">
        <v>8695</v>
      </c>
      <c r="C8052" t="s">
        <v>1059</v>
      </c>
      <c r="D8052" t="s">
        <v>339</v>
      </c>
      <c r="E8052" t="s">
        <v>300</v>
      </c>
      <c r="F8052" t="s">
        <v>8730</v>
      </c>
      <c r="G8052">
        <v>0</v>
      </c>
      <c r="H8052">
        <v>0</v>
      </c>
      <c r="I8052">
        <v>0</v>
      </c>
      <c r="J8052">
        <v>0</v>
      </c>
      <c r="K8052">
        <v>0</v>
      </c>
      <c r="L8052">
        <v>0</v>
      </c>
      <c r="M8052">
        <v>0</v>
      </c>
      <c r="N8052">
        <v>0</v>
      </c>
      <c r="O8052">
        <v>0</v>
      </c>
    </row>
    <row r="8053" spans="1:15" x14ac:dyDescent="0.35">
      <c r="A8053" t="s">
        <v>8694</v>
      </c>
      <c r="B8053" t="s">
        <v>8695</v>
      </c>
      <c r="C8053" t="s">
        <v>1059</v>
      </c>
      <c r="D8053" t="s">
        <v>339</v>
      </c>
      <c r="E8053" t="s">
        <v>306</v>
      </c>
      <c r="F8053" t="s">
        <v>8731</v>
      </c>
      <c r="G8053">
        <v>18</v>
      </c>
      <c r="H8053">
        <v>1668.78</v>
      </c>
      <c r="I8053">
        <v>92.71</v>
      </c>
      <c r="J8053">
        <v>0</v>
      </c>
      <c r="K8053">
        <v>0</v>
      </c>
      <c r="L8053">
        <v>0</v>
      </c>
      <c r="M8053">
        <v>18</v>
      </c>
      <c r="N8053">
        <v>1668.78</v>
      </c>
      <c r="O8053">
        <v>92.71</v>
      </c>
    </row>
    <row r="8054" spans="1:15" x14ac:dyDescent="0.35">
      <c r="A8054" t="s">
        <v>8694</v>
      </c>
      <c r="B8054" t="s">
        <v>8695</v>
      </c>
      <c r="C8054" t="s">
        <v>1059</v>
      </c>
      <c r="D8054" t="s">
        <v>339</v>
      </c>
      <c r="E8054" t="s">
        <v>308</v>
      </c>
      <c r="F8054" t="s">
        <v>8732</v>
      </c>
      <c r="G8054">
        <v>0</v>
      </c>
      <c r="H8054">
        <v>0</v>
      </c>
      <c r="I8054">
        <v>0</v>
      </c>
      <c r="J8054">
        <v>0</v>
      </c>
      <c r="K8054">
        <v>0</v>
      </c>
      <c r="L8054">
        <v>0</v>
      </c>
      <c r="M8054">
        <v>0</v>
      </c>
      <c r="N8054">
        <v>0</v>
      </c>
      <c r="O8054">
        <v>0</v>
      </c>
    </row>
    <row r="8055" spans="1:15" x14ac:dyDescent="0.35">
      <c r="A8055" t="s">
        <v>8694</v>
      </c>
      <c r="B8055" t="s">
        <v>8695</v>
      </c>
      <c r="C8055" t="s">
        <v>1059</v>
      </c>
      <c r="D8055" t="s">
        <v>339</v>
      </c>
      <c r="E8055" t="s">
        <v>310</v>
      </c>
      <c r="F8055" t="s">
        <v>8733</v>
      </c>
      <c r="G8055">
        <v>70</v>
      </c>
      <c r="H8055">
        <v>9727.5399999999991</v>
      </c>
      <c r="I8055">
        <v>138.96</v>
      </c>
      <c r="J8055">
        <v>0</v>
      </c>
      <c r="K8055">
        <v>0</v>
      </c>
      <c r="L8055">
        <v>0</v>
      </c>
      <c r="M8055">
        <v>70</v>
      </c>
      <c r="N8055">
        <v>9727.5399999999991</v>
      </c>
      <c r="O8055">
        <v>138.96</v>
      </c>
    </row>
    <row r="8056" spans="1:15" x14ac:dyDescent="0.35">
      <c r="A8056" t="s">
        <v>8694</v>
      </c>
      <c r="B8056" t="s">
        <v>8695</v>
      </c>
      <c r="C8056" t="s">
        <v>1059</v>
      </c>
      <c r="D8056" t="s">
        <v>339</v>
      </c>
      <c r="E8056" t="s">
        <v>312</v>
      </c>
      <c r="F8056" t="s">
        <v>8734</v>
      </c>
      <c r="G8056">
        <v>70</v>
      </c>
      <c r="H8056">
        <v>9727.5399999999991</v>
      </c>
      <c r="I8056">
        <v>138.96</v>
      </c>
      <c r="J8056">
        <v>0</v>
      </c>
      <c r="K8056">
        <v>0</v>
      </c>
      <c r="L8056">
        <v>0</v>
      </c>
      <c r="M8056">
        <v>70</v>
      </c>
      <c r="N8056">
        <v>9727.5399999999991</v>
      </c>
      <c r="O8056">
        <v>138.96</v>
      </c>
    </row>
    <row r="8057" spans="1:15" x14ac:dyDescent="0.35">
      <c r="A8057" t="s">
        <v>8694</v>
      </c>
      <c r="B8057" t="s">
        <v>8695</v>
      </c>
      <c r="C8057" t="s">
        <v>1059</v>
      </c>
      <c r="D8057" t="s">
        <v>348</v>
      </c>
      <c r="E8057" t="s">
        <v>349</v>
      </c>
      <c r="F8057" t="s">
        <v>8735</v>
      </c>
      <c r="G8057">
        <v>86</v>
      </c>
      <c r="H8057">
        <v>9727.5399999999991</v>
      </c>
      <c r="I8057">
        <v>138.96</v>
      </c>
      <c r="J8057">
        <v>0</v>
      </c>
      <c r="K8057">
        <v>0</v>
      </c>
      <c r="L8057">
        <v>0</v>
      </c>
      <c r="M8057">
        <v>86</v>
      </c>
      <c r="N8057">
        <v>9727.5399999999991</v>
      </c>
      <c r="O8057">
        <v>138.96</v>
      </c>
    </row>
    <row r="8058" spans="1:15" x14ac:dyDescent="0.35">
      <c r="A8058" t="s">
        <v>8736</v>
      </c>
      <c r="B8058" t="s">
        <v>8737</v>
      </c>
      <c r="C8058" t="s">
        <v>1059</v>
      </c>
      <c r="D8058" t="s">
        <v>293</v>
      </c>
      <c r="E8058" t="s">
        <v>294</v>
      </c>
      <c r="F8058" t="s">
        <v>8738</v>
      </c>
      <c r="G8058">
        <v>236</v>
      </c>
      <c r="H8058">
        <v>28096.99</v>
      </c>
      <c r="I8058">
        <v>119.06</v>
      </c>
      <c r="J8058">
        <v>24</v>
      </c>
      <c r="K8058">
        <v>2671.44</v>
      </c>
      <c r="L8058">
        <v>111.31</v>
      </c>
      <c r="M8058">
        <v>260</v>
      </c>
      <c r="N8058">
        <v>30768.43</v>
      </c>
      <c r="O8058">
        <v>118.34</v>
      </c>
    </row>
    <row r="8059" spans="1:15" x14ac:dyDescent="0.35">
      <c r="A8059" t="s">
        <v>8736</v>
      </c>
      <c r="B8059" t="s">
        <v>8737</v>
      </c>
      <c r="C8059" t="s">
        <v>1059</v>
      </c>
      <c r="D8059" t="s">
        <v>293</v>
      </c>
      <c r="E8059" t="s">
        <v>296</v>
      </c>
      <c r="F8059" t="s">
        <v>8739</v>
      </c>
      <c r="G8059">
        <v>603</v>
      </c>
      <c r="H8059">
        <v>88733.4</v>
      </c>
      <c r="I8059">
        <v>147.15</v>
      </c>
      <c r="J8059">
        <v>46</v>
      </c>
      <c r="K8059">
        <v>5835.0999999999995</v>
      </c>
      <c r="L8059">
        <v>126.85</v>
      </c>
      <c r="M8059">
        <v>649</v>
      </c>
      <c r="N8059">
        <v>94568.5</v>
      </c>
      <c r="O8059">
        <v>145.71</v>
      </c>
    </row>
    <row r="8060" spans="1:15" x14ac:dyDescent="0.35">
      <c r="A8060" t="s">
        <v>8736</v>
      </c>
      <c r="B8060" t="s">
        <v>8737</v>
      </c>
      <c r="C8060" t="s">
        <v>1059</v>
      </c>
      <c r="D8060" t="s">
        <v>293</v>
      </c>
      <c r="E8060" t="s">
        <v>298</v>
      </c>
      <c r="F8060" t="s">
        <v>8740</v>
      </c>
      <c r="G8060">
        <v>445</v>
      </c>
      <c r="H8060">
        <v>73383.049999999988</v>
      </c>
      <c r="I8060">
        <v>164.91</v>
      </c>
      <c r="J8060">
        <v>17</v>
      </c>
      <c r="K8060">
        <v>2627.86</v>
      </c>
      <c r="L8060">
        <v>154.58000000000001</v>
      </c>
      <c r="M8060">
        <v>462</v>
      </c>
      <c r="N8060">
        <v>76010.909999999989</v>
      </c>
      <c r="O8060">
        <v>164.53</v>
      </c>
    </row>
    <row r="8061" spans="1:15" x14ac:dyDescent="0.35">
      <c r="A8061" t="s">
        <v>8736</v>
      </c>
      <c r="B8061" t="s">
        <v>8737</v>
      </c>
      <c r="C8061" t="s">
        <v>1059</v>
      </c>
      <c r="D8061" t="s">
        <v>293</v>
      </c>
      <c r="E8061" t="s">
        <v>300</v>
      </c>
      <c r="F8061" t="s">
        <v>8741</v>
      </c>
      <c r="G8061">
        <v>43</v>
      </c>
      <c r="H8061">
        <v>8982.89</v>
      </c>
      <c r="I8061">
        <v>208.9</v>
      </c>
      <c r="J8061">
        <v>4</v>
      </c>
      <c r="K8061">
        <v>708.08</v>
      </c>
      <c r="L8061">
        <v>177.02</v>
      </c>
      <c r="M8061">
        <v>47</v>
      </c>
      <c r="N8061">
        <v>9690.9699999999993</v>
      </c>
      <c r="O8061">
        <v>206.19</v>
      </c>
    </row>
    <row r="8062" spans="1:15" x14ac:dyDescent="0.35">
      <c r="A8062" t="s">
        <v>8736</v>
      </c>
      <c r="B8062" t="s">
        <v>8737</v>
      </c>
      <c r="C8062" t="s">
        <v>1059</v>
      </c>
      <c r="D8062" t="s">
        <v>293</v>
      </c>
      <c r="E8062" t="s">
        <v>302</v>
      </c>
      <c r="F8062" t="s">
        <v>8742</v>
      </c>
      <c r="G8062">
        <v>0</v>
      </c>
      <c r="H8062">
        <v>0</v>
      </c>
      <c r="I8062">
        <v>0</v>
      </c>
      <c r="J8062">
        <v>0</v>
      </c>
      <c r="K8062">
        <v>0</v>
      </c>
      <c r="L8062">
        <v>0</v>
      </c>
      <c r="M8062">
        <v>0</v>
      </c>
      <c r="N8062">
        <v>0</v>
      </c>
      <c r="O8062">
        <v>0</v>
      </c>
    </row>
    <row r="8063" spans="1:15" x14ac:dyDescent="0.35">
      <c r="A8063" t="s">
        <v>8736</v>
      </c>
      <c r="B8063" t="s">
        <v>8737</v>
      </c>
      <c r="C8063" t="s">
        <v>1059</v>
      </c>
      <c r="D8063" t="s">
        <v>293</v>
      </c>
      <c r="E8063" t="s">
        <v>304</v>
      </c>
      <c r="F8063" t="s">
        <v>8743</v>
      </c>
      <c r="G8063">
        <v>0</v>
      </c>
      <c r="H8063">
        <v>0</v>
      </c>
      <c r="I8063">
        <v>0</v>
      </c>
      <c r="J8063">
        <v>0</v>
      </c>
      <c r="K8063">
        <v>0</v>
      </c>
      <c r="L8063">
        <v>0</v>
      </c>
      <c r="M8063">
        <v>0</v>
      </c>
      <c r="N8063">
        <v>0</v>
      </c>
      <c r="O8063">
        <v>0</v>
      </c>
    </row>
    <row r="8064" spans="1:15" x14ac:dyDescent="0.35">
      <c r="A8064" t="s">
        <v>8736</v>
      </c>
      <c r="B8064" t="s">
        <v>8737</v>
      </c>
      <c r="C8064" t="s">
        <v>1059</v>
      </c>
      <c r="D8064" t="s">
        <v>293</v>
      </c>
      <c r="E8064" t="s">
        <v>306</v>
      </c>
      <c r="F8064" t="s">
        <v>8744</v>
      </c>
      <c r="G8064">
        <v>0</v>
      </c>
      <c r="H8064">
        <v>0</v>
      </c>
      <c r="I8064">
        <v>0</v>
      </c>
      <c r="J8064">
        <v>0</v>
      </c>
      <c r="K8064">
        <v>0</v>
      </c>
      <c r="L8064">
        <v>0</v>
      </c>
      <c r="M8064">
        <v>0</v>
      </c>
      <c r="N8064">
        <v>0</v>
      </c>
      <c r="O8064">
        <v>0</v>
      </c>
    </row>
    <row r="8065" spans="1:15" x14ac:dyDescent="0.35">
      <c r="A8065" t="s">
        <v>8736</v>
      </c>
      <c r="B8065" t="s">
        <v>8737</v>
      </c>
      <c r="C8065" t="s">
        <v>1059</v>
      </c>
      <c r="D8065" t="s">
        <v>293</v>
      </c>
      <c r="E8065" t="s">
        <v>308</v>
      </c>
      <c r="F8065" t="s">
        <v>8745</v>
      </c>
      <c r="G8065">
        <v>0</v>
      </c>
      <c r="H8065">
        <v>0</v>
      </c>
      <c r="I8065">
        <v>0</v>
      </c>
      <c r="J8065">
        <v>0</v>
      </c>
      <c r="K8065">
        <v>0</v>
      </c>
      <c r="L8065">
        <v>0</v>
      </c>
      <c r="M8065">
        <v>0</v>
      </c>
      <c r="N8065">
        <v>0</v>
      </c>
      <c r="O8065">
        <v>0</v>
      </c>
    </row>
    <row r="8066" spans="1:15" x14ac:dyDescent="0.35">
      <c r="A8066" t="s">
        <v>8736</v>
      </c>
      <c r="B8066" t="s">
        <v>8737</v>
      </c>
      <c r="C8066" t="s">
        <v>1059</v>
      </c>
      <c r="D8066" t="s">
        <v>293</v>
      </c>
      <c r="E8066" t="s">
        <v>310</v>
      </c>
      <c r="F8066" t="s">
        <v>8746</v>
      </c>
      <c r="G8066">
        <v>1327</v>
      </c>
      <c r="H8066">
        <v>199196.33000000002</v>
      </c>
      <c r="I8066">
        <v>150.11000000000001</v>
      </c>
      <c r="J8066">
        <v>91</v>
      </c>
      <c r="K8066">
        <v>11842.48</v>
      </c>
      <c r="L8066">
        <v>130.13999999999999</v>
      </c>
      <c r="M8066">
        <v>1418</v>
      </c>
      <c r="N8066">
        <v>211038.81000000003</v>
      </c>
      <c r="O8066">
        <v>148.83000000000001</v>
      </c>
    </row>
    <row r="8067" spans="1:15" x14ac:dyDescent="0.35">
      <c r="A8067" t="s">
        <v>8736</v>
      </c>
      <c r="B8067" t="s">
        <v>8737</v>
      </c>
      <c r="C8067" t="s">
        <v>1059</v>
      </c>
      <c r="D8067" t="s">
        <v>293</v>
      </c>
      <c r="E8067" t="s">
        <v>312</v>
      </c>
      <c r="F8067" t="s">
        <v>8747</v>
      </c>
      <c r="G8067">
        <v>1327</v>
      </c>
      <c r="H8067">
        <v>199196.33000000002</v>
      </c>
      <c r="I8067">
        <v>150.11000000000001</v>
      </c>
      <c r="J8067">
        <v>91</v>
      </c>
      <c r="K8067">
        <v>11842.48</v>
      </c>
      <c r="L8067">
        <v>130.13999999999999</v>
      </c>
      <c r="M8067">
        <v>1418</v>
      </c>
      <c r="N8067">
        <v>211038.81000000003</v>
      </c>
      <c r="O8067">
        <v>148.83000000000001</v>
      </c>
    </row>
    <row r="8068" spans="1:15" x14ac:dyDescent="0.35">
      <c r="A8068" t="s">
        <v>8736</v>
      </c>
      <c r="B8068" t="s">
        <v>8737</v>
      </c>
      <c r="C8068" t="s">
        <v>1059</v>
      </c>
      <c r="D8068" t="s">
        <v>314</v>
      </c>
      <c r="E8068" t="s">
        <v>294</v>
      </c>
      <c r="F8068" t="s">
        <v>8748</v>
      </c>
      <c r="G8068">
        <v>25</v>
      </c>
      <c r="H8068">
        <v>2419.75</v>
      </c>
      <c r="I8068">
        <v>96.79</v>
      </c>
      <c r="J8068">
        <v>0</v>
      </c>
      <c r="K8068">
        <v>0</v>
      </c>
      <c r="L8068">
        <v>0</v>
      </c>
      <c r="M8068">
        <v>25</v>
      </c>
      <c r="N8068">
        <v>2419.75</v>
      </c>
      <c r="O8068">
        <v>96.79</v>
      </c>
    </row>
    <row r="8069" spans="1:15" x14ac:dyDescent="0.35">
      <c r="A8069" t="s">
        <v>8736</v>
      </c>
      <c r="B8069" t="s">
        <v>8737</v>
      </c>
      <c r="C8069" t="s">
        <v>1059</v>
      </c>
      <c r="D8069" t="s">
        <v>314</v>
      </c>
      <c r="E8069" t="s">
        <v>296</v>
      </c>
      <c r="F8069" t="s">
        <v>8749</v>
      </c>
      <c r="G8069">
        <v>3</v>
      </c>
      <c r="H8069">
        <v>319.83</v>
      </c>
      <c r="I8069">
        <v>106.61</v>
      </c>
      <c r="J8069">
        <v>0</v>
      </c>
      <c r="K8069">
        <v>0</v>
      </c>
      <c r="L8069">
        <v>0</v>
      </c>
      <c r="M8069">
        <v>3</v>
      </c>
      <c r="N8069">
        <v>319.83</v>
      </c>
      <c r="O8069">
        <v>106.61</v>
      </c>
    </row>
    <row r="8070" spans="1:15" x14ac:dyDescent="0.35">
      <c r="A8070" t="s">
        <v>8736</v>
      </c>
      <c r="B8070" t="s">
        <v>8737</v>
      </c>
      <c r="C8070" t="s">
        <v>1059</v>
      </c>
      <c r="D8070" t="s">
        <v>314</v>
      </c>
      <c r="E8070" t="s">
        <v>298</v>
      </c>
      <c r="F8070" t="s">
        <v>8750</v>
      </c>
      <c r="G8070">
        <v>0</v>
      </c>
      <c r="H8070">
        <v>0</v>
      </c>
      <c r="I8070">
        <v>0</v>
      </c>
      <c r="J8070">
        <v>0</v>
      </c>
      <c r="K8070">
        <v>0</v>
      </c>
      <c r="L8070">
        <v>0</v>
      </c>
      <c r="M8070">
        <v>0</v>
      </c>
      <c r="N8070">
        <v>0</v>
      </c>
      <c r="O8070">
        <v>0</v>
      </c>
    </row>
    <row r="8071" spans="1:15" x14ac:dyDescent="0.35">
      <c r="A8071" t="s">
        <v>8736</v>
      </c>
      <c r="B8071" t="s">
        <v>8737</v>
      </c>
      <c r="C8071" t="s">
        <v>1059</v>
      </c>
      <c r="D8071" t="s">
        <v>314</v>
      </c>
      <c r="E8071" t="s">
        <v>300</v>
      </c>
      <c r="F8071" t="s">
        <v>8751</v>
      </c>
      <c r="G8071">
        <v>0</v>
      </c>
      <c r="H8071">
        <v>0</v>
      </c>
      <c r="I8071">
        <v>0</v>
      </c>
      <c r="J8071">
        <v>0</v>
      </c>
      <c r="K8071">
        <v>0</v>
      </c>
      <c r="L8071">
        <v>0</v>
      </c>
      <c r="M8071">
        <v>0</v>
      </c>
      <c r="N8071">
        <v>0</v>
      </c>
      <c r="O8071">
        <v>0</v>
      </c>
    </row>
    <row r="8072" spans="1:15" x14ac:dyDescent="0.35">
      <c r="A8072" t="s">
        <v>8736</v>
      </c>
      <c r="B8072" t="s">
        <v>8737</v>
      </c>
      <c r="C8072" t="s">
        <v>1059</v>
      </c>
      <c r="D8072" t="s">
        <v>314</v>
      </c>
      <c r="E8072" t="s">
        <v>306</v>
      </c>
      <c r="F8072" t="s">
        <v>8752</v>
      </c>
      <c r="G8072">
        <v>0</v>
      </c>
      <c r="H8072">
        <v>0</v>
      </c>
      <c r="I8072">
        <v>0</v>
      </c>
      <c r="J8072">
        <v>0</v>
      </c>
      <c r="K8072">
        <v>0</v>
      </c>
      <c r="L8072">
        <v>0</v>
      </c>
      <c r="M8072">
        <v>0</v>
      </c>
      <c r="N8072">
        <v>0</v>
      </c>
      <c r="O8072">
        <v>0</v>
      </c>
    </row>
    <row r="8073" spans="1:15" x14ac:dyDescent="0.35">
      <c r="A8073" t="s">
        <v>8736</v>
      </c>
      <c r="B8073" t="s">
        <v>8737</v>
      </c>
      <c r="C8073" t="s">
        <v>1059</v>
      </c>
      <c r="D8073" t="s">
        <v>314</v>
      </c>
      <c r="E8073" t="s">
        <v>308</v>
      </c>
      <c r="F8073" t="s">
        <v>8753</v>
      </c>
      <c r="G8073">
        <v>0</v>
      </c>
      <c r="H8073">
        <v>0</v>
      </c>
      <c r="I8073">
        <v>0</v>
      </c>
      <c r="J8073">
        <v>0</v>
      </c>
      <c r="K8073">
        <v>0</v>
      </c>
      <c r="L8073">
        <v>0</v>
      </c>
      <c r="M8073">
        <v>0</v>
      </c>
      <c r="N8073">
        <v>0</v>
      </c>
      <c r="O8073">
        <v>0</v>
      </c>
    </row>
    <row r="8074" spans="1:15" x14ac:dyDescent="0.35">
      <c r="A8074" t="s">
        <v>8736</v>
      </c>
      <c r="B8074" t="s">
        <v>8737</v>
      </c>
      <c r="C8074" t="s">
        <v>1059</v>
      </c>
      <c r="D8074" t="s">
        <v>314</v>
      </c>
      <c r="E8074" t="s">
        <v>312</v>
      </c>
      <c r="F8074" t="s">
        <v>8754</v>
      </c>
      <c r="G8074">
        <v>28</v>
      </c>
      <c r="H8074">
        <v>2739.58</v>
      </c>
      <c r="I8074">
        <v>97.84</v>
      </c>
      <c r="J8074">
        <v>0</v>
      </c>
      <c r="K8074">
        <v>0</v>
      </c>
      <c r="L8074">
        <v>0</v>
      </c>
      <c r="M8074">
        <v>28</v>
      </c>
      <c r="N8074">
        <v>2739.58</v>
      </c>
      <c r="O8074">
        <v>97.84</v>
      </c>
    </row>
    <row r="8075" spans="1:15" x14ac:dyDescent="0.35">
      <c r="A8075" t="s">
        <v>8736</v>
      </c>
      <c r="B8075" t="s">
        <v>8737</v>
      </c>
      <c r="C8075" t="s">
        <v>1059</v>
      </c>
      <c r="D8075" t="s">
        <v>314</v>
      </c>
      <c r="E8075" t="s">
        <v>310</v>
      </c>
      <c r="F8075" t="s">
        <v>8755</v>
      </c>
      <c r="G8075">
        <v>28</v>
      </c>
      <c r="H8075">
        <v>2739.58</v>
      </c>
      <c r="I8075">
        <v>97.84</v>
      </c>
      <c r="J8075">
        <v>0</v>
      </c>
      <c r="K8075">
        <v>0</v>
      </c>
      <c r="L8075">
        <v>0</v>
      </c>
      <c r="M8075">
        <v>28</v>
      </c>
      <c r="N8075">
        <v>2739.58</v>
      </c>
      <c r="O8075">
        <v>97.84</v>
      </c>
    </row>
    <row r="8076" spans="1:15" x14ac:dyDescent="0.35">
      <c r="A8076" t="s">
        <v>8736</v>
      </c>
      <c r="B8076" t="s">
        <v>8737</v>
      </c>
      <c r="C8076" t="s">
        <v>1059</v>
      </c>
      <c r="D8076" t="s">
        <v>323</v>
      </c>
      <c r="E8076" t="s">
        <v>294</v>
      </c>
      <c r="F8076" t="s">
        <v>8756</v>
      </c>
      <c r="G8076">
        <v>374</v>
      </c>
      <c r="H8076">
        <v>36462.68</v>
      </c>
      <c r="I8076">
        <v>97.49</v>
      </c>
      <c r="J8076">
        <v>1667</v>
      </c>
      <c r="K8076">
        <v>143795.42000000001</v>
      </c>
      <c r="L8076">
        <v>86.26</v>
      </c>
      <c r="M8076">
        <v>2041</v>
      </c>
      <c r="N8076">
        <v>180258.1</v>
      </c>
      <c r="O8076">
        <v>88.32</v>
      </c>
    </row>
    <row r="8077" spans="1:15" x14ac:dyDescent="0.35">
      <c r="A8077" t="s">
        <v>8736</v>
      </c>
      <c r="B8077" t="s">
        <v>8737</v>
      </c>
      <c r="C8077" t="s">
        <v>1059</v>
      </c>
      <c r="D8077" t="s">
        <v>323</v>
      </c>
      <c r="E8077" t="s">
        <v>296</v>
      </c>
      <c r="F8077" t="s">
        <v>8757</v>
      </c>
      <c r="G8077">
        <v>708</v>
      </c>
      <c r="H8077">
        <v>83034.750000000015</v>
      </c>
      <c r="I8077">
        <v>117.28</v>
      </c>
      <c r="J8077">
        <v>1636</v>
      </c>
      <c r="K8077">
        <v>157137.79999999999</v>
      </c>
      <c r="L8077">
        <v>96.05</v>
      </c>
      <c r="M8077">
        <v>2344</v>
      </c>
      <c r="N8077">
        <v>240172.55</v>
      </c>
      <c r="O8077">
        <v>102.46</v>
      </c>
    </row>
    <row r="8078" spans="1:15" x14ac:dyDescent="0.35">
      <c r="A8078" t="s">
        <v>8736</v>
      </c>
      <c r="B8078" t="s">
        <v>8737</v>
      </c>
      <c r="C8078" t="s">
        <v>1059</v>
      </c>
      <c r="D8078" t="s">
        <v>323</v>
      </c>
      <c r="E8078" t="s">
        <v>298</v>
      </c>
      <c r="F8078" t="s">
        <v>8758</v>
      </c>
      <c r="G8078">
        <v>585</v>
      </c>
      <c r="H8078">
        <v>76510.45</v>
      </c>
      <c r="I8078">
        <v>130.79</v>
      </c>
      <c r="J8078">
        <v>1795</v>
      </c>
      <c r="K8078">
        <v>190593.1</v>
      </c>
      <c r="L8078">
        <v>106.18</v>
      </c>
      <c r="M8078">
        <v>2380</v>
      </c>
      <c r="N8078">
        <v>267103.55</v>
      </c>
      <c r="O8078">
        <v>112.23</v>
      </c>
    </row>
    <row r="8079" spans="1:15" x14ac:dyDescent="0.35">
      <c r="A8079" t="s">
        <v>8736</v>
      </c>
      <c r="B8079" t="s">
        <v>8737</v>
      </c>
      <c r="C8079" t="s">
        <v>1059</v>
      </c>
      <c r="D8079" t="s">
        <v>323</v>
      </c>
      <c r="E8079" t="s">
        <v>300</v>
      </c>
      <c r="F8079" t="s">
        <v>8759</v>
      </c>
      <c r="G8079">
        <v>51</v>
      </c>
      <c r="H8079">
        <v>7596.2500000000009</v>
      </c>
      <c r="I8079">
        <v>148.94999999999999</v>
      </c>
      <c r="J8079">
        <v>90</v>
      </c>
      <c r="K8079">
        <v>10326.6</v>
      </c>
      <c r="L8079">
        <v>114.74</v>
      </c>
      <c r="M8079">
        <v>141</v>
      </c>
      <c r="N8079">
        <v>17922.850000000002</v>
      </c>
      <c r="O8079">
        <v>127.11</v>
      </c>
    </row>
    <row r="8080" spans="1:15" x14ac:dyDescent="0.35">
      <c r="A8080" t="s">
        <v>8736</v>
      </c>
      <c r="B8080" t="s">
        <v>8737</v>
      </c>
      <c r="C8080" t="s">
        <v>1059</v>
      </c>
      <c r="D8080" t="s">
        <v>323</v>
      </c>
      <c r="E8080" t="s">
        <v>302</v>
      </c>
      <c r="F8080" t="s">
        <v>8760</v>
      </c>
      <c r="G8080">
        <v>5</v>
      </c>
      <c r="H8080">
        <v>763.06</v>
      </c>
      <c r="I8080">
        <v>152.61000000000001</v>
      </c>
      <c r="J8080">
        <v>9</v>
      </c>
      <c r="K8080">
        <v>1067.8500000000001</v>
      </c>
      <c r="L8080">
        <v>118.65</v>
      </c>
      <c r="M8080">
        <v>14</v>
      </c>
      <c r="N8080">
        <v>1830.91</v>
      </c>
      <c r="O8080">
        <v>130.78</v>
      </c>
    </row>
    <row r="8081" spans="1:15" x14ac:dyDescent="0.35">
      <c r="A8081" t="s">
        <v>8736</v>
      </c>
      <c r="B8081" t="s">
        <v>8737</v>
      </c>
      <c r="C8081" t="s">
        <v>1059</v>
      </c>
      <c r="D8081" t="s">
        <v>323</v>
      </c>
      <c r="E8081" t="s">
        <v>304</v>
      </c>
      <c r="F8081" t="s">
        <v>8761</v>
      </c>
      <c r="G8081">
        <v>0</v>
      </c>
      <c r="H8081">
        <v>0</v>
      </c>
      <c r="I8081">
        <v>0</v>
      </c>
      <c r="J8081">
        <v>0</v>
      </c>
      <c r="K8081">
        <v>0</v>
      </c>
      <c r="L8081">
        <v>0</v>
      </c>
      <c r="M8081">
        <v>0</v>
      </c>
      <c r="N8081">
        <v>0</v>
      </c>
      <c r="O8081">
        <v>0</v>
      </c>
    </row>
    <row r="8082" spans="1:15" x14ac:dyDescent="0.35">
      <c r="A8082" t="s">
        <v>8736</v>
      </c>
      <c r="B8082" t="s">
        <v>8737</v>
      </c>
      <c r="C8082" t="s">
        <v>1059</v>
      </c>
      <c r="D8082" t="s">
        <v>323</v>
      </c>
      <c r="E8082" t="s">
        <v>306</v>
      </c>
      <c r="F8082" t="s">
        <v>8762</v>
      </c>
      <c r="G8082">
        <v>0</v>
      </c>
      <c r="H8082">
        <v>0</v>
      </c>
      <c r="I8082">
        <v>0</v>
      </c>
      <c r="J8082">
        <v>337</v>
      </c>
      <c r="K8082">
        <v>25335.660000000003</v>
      </c>
      <c r="L8082">
        <v>75.180000000000007</v>
      </c>
      <c r="M8082">
        <v>337</v>
      </c>
      <c r="N8082">
        <v>25335.660000000003</v>
      </c>
      <c r="O8082">
        <v>75.180000000000007</v>
      </c>
    </row>
    <row r="8083" spans="1:15" x14ac:dyDescent="0.35">
      <c r="A8083" t="s">
        <v>8736</v>
      </c>
      <c r="B8083" t="s">
        <v>8737</v>
      </c>
      <c r="C8083" t="s">
        <v>1059</v>
      </c>
      <c r="D8083" t="s">
        <v>323</v>
      </c>
      <c r="E8083" t="s">
        <v>308</v>
      </c>
      <c r="F8083" t="s">
        <v>8763</v>
      </c>
      <c r="G8083">
        <v>0</v>
      </c>
      <c r="H8083">
        <v>0</v>
      </c>
      <c r="I8083">
        <v>0</v>
      </c>
      <c r="J8083">
        <v>0</v>
      </c>
      <c r="K8083">
        <v>0</v>
      </c>
      <c r="L8083">
        <v>0</v>
      </c>
      <c r="M8083">
        <v>0</v>
      </c>
      <c r="N8083">
        <v>0</v>
      </c>
      <c r="O8083">
        <v>0</v>
      </c>
    </row>
    <row r="8084" spans="1:15" x14ac:dyDescent="0.35">
      <c r="A8084" t="s">
        <v>8736</v>
      </c>
      <c r="B8084" t="s">
        <v>8737</v>
      </c>
      <c r="C8084" t="s">
        <v>1059</v>
      </c>
      <c r="D8084" t="s">
        <v>323</v>
      </c>
      <c r="E8084" t="s">
        <v>310</v>
      </c>
      <c r="F8084" t="s">
        <v>8764</v>
      </c>
      <c r="G8084">
        <v>1723</v>
      </c>
      <c r="H8084">
        <v>204367.19</v>
      </c>
      <c r="I8084">
        <v>118.61</v>
      </c>
      <c r="J8084">
        <v>5534</v>
      </c>
      <c r="K8084">
        <v>528256.42999999993</v>
      </c>
      <c r="L8084">
        <v>95.46</v>
      </c>
      <c r="M8084">
        <v>7257</v>
      </c>
      <c r="N8084">
        <v>732623.61999999988</v>
      </c>
      <c r="O8084">
        <v>100.95</v>
      </c>
    </row>
    <row r="8085" spans="1:15" x14ac:dyDescent="0.35">
      <c r="A8085" t="s">
        <v>8736</v>
      </c>
      <c r="B8085" t="s">
        <v>8737</v>
      </c>
      <c r="C8085" t="s">
        <v>1059</v>
      </c>
      <c r="D8085" t="s">
        <v>323</v>
      </c>
      <c r="E8085" t="s">
        <v>312</v>
      </c>
      <c r="F8085" t="s">
        <v>8765</v>
      </c>
      <c r="G8085">
        <v>1723</v>
      </c>
      <c r="H8085">
        <v>204367.19</v>
      </c>
      <c r="I8085">
        <v>118.61</v>
      </c>
      <c r="J8085">
        <v>5534</v>
      </c>
      <c r="K8085">
        <v>528256.42999999993</v>
      </c>
      <c r="L8085">
        <v>95.46</v>
      </c>
      <c r="M8085">
        <v>7257</v>
      </c>
      <c r="N8085">
        <v>732623.61999999988</v>
      </c>
      <c r="O8085">
        <v>100.95</v>
      </c>
    </row>
    <row r="8086" spans="1:15" x14ac:dyDescent="0.35">
      <c r="A8086" t="s">
        <v>8736</v>
      </c>
      <c r="B8086" t="s">
        <v>8737</v>
      </c>
      <c r="C8086" t="s">
        <v>1059</v>
      </c>
      <c r="D8086" t="s">
        <v>334</v>
      </c>
      <c r="E8086" t="s">
        <v>312</v>
      </c>
      <c r="F8086" t="s">
        <v>8766</v>
      </c>
      <c r="G8086">
        <v>3071</v>
      </c>
      <c r="H8086">
        <v>403563.52000000002</v>
      </c>
      <c r="I8086">
        <v>132.32</v>
      </c>
      <c r="J8086">
        <v>5625</v>
      </c>
      <c r="K8086">
        <v>540098.91</v>
      </c>
      <c r="L8086">
        <v>96.02</v>
      </c>
      <c r="M8086">
        <v>8696</v>
      </c>
      <c r="N8086">
        <v>943662.43</v>
      </c>
      <c r="O8086">
        <v>108.78</v>
      </c>
    </row>
    <row r="8087" spans="1:15" x14ac:dyDescent="0.35">
      <c r="A8087" t="s">
        <v>8736</v>
      </c>
      <c r="B8087" t="s">
        <v>8737</v>
      </c>
      <c r="C8087" t="s">
        <v>1059</v>
      </c>
      <c r="D8087" t="s">
        <v>334</v>
      </c>
      <c r="E8087" t="s">
        <v>308</v>
      </c>
      <c r="F8087" t="s">
        <v>8767</v>
      </c>
      <c r="G8087">
        <v>0</v>
      </c>
      <c r="H8087">
        <v>0</v>
      </c>
      <c r="I8087">
        <v>0</v>
      </c>
      <c r="J8087">
        <v>0</v>
      </c>
      <c r="K8087">
        <v>0</v>
      </c>
      <c r="L8087">
        <v>0</v>
      </c>
      <c r="M8087">
        <v>0</v>
      </c>
      <c r="N8087">
        <v>0</v>
      </c>
      <c r="O8087">
        <v>0</v>
      </c>
    </row>
    <row r="8088" spans="1:15" x14ac:dyDescent="0.35">
      <c r="A8088" t="s">
        <v>8736</v>
      </c>
      <c r="B8088" t="s">
        <v>8737</v>
      </c>
      <c r="C8088" t="s">
        <v>1059</v>
      </c>
      <c r="D8088" t="s">
        <v>337</v>
      </c>
      <c r="E8088" t="s">
        <v>337</v>
      </c>
      <c r="F8088" t="s">
        <v>8768</v>
      </c>
      <c r="G8088">
        <v>863</v>
      </c>
      <c r="J8088">
        <v>0</v>
      </c>
      <c r="M8088">
        <v>863</v>
      </c>
    </row>
    <row r="8089" spans="1:15" x14ac:dyDescent="0.35">
      <c r="A8089" t="s">
        <v>8736</v>
      </c>
      <c r="B8089" t="s">
        <v>8737</v>
      </c>
      <c r="C8089" t="s">
        <v>1059</v>
      </c>
      <c r="D8089" t="s">
        <v>339</v>
      </c>
      <c r="E8089" t="s">
        <v>294</v>
      </c>
      <c r="F8089" t="s">
        <v>8769</v>
      </c>
      <c r="G8089">
        <v>280</v>
      </c>
      <c r="H8089">
        <v>50456.43</v>
      </c>
      <c r="I8089">
        <v>180.2</v>
      </c>
      <c r="J8089">
        <v>0</v>
      </c>
      <c r="K8089">
        <v>0</v>
      </c>
      <c r="L8089">
        <v>0</v>
      </c>
      <c r="M8089">
        <v>280</v>
      </c>
      <c r="N8089">
        <v>50456.43</v>
      </c>
      <c r="O8089">
        <v>180.2</v>
      </c>
    </row>
    <row r="8090" spans="1:15" x14ac:dyDescent="0.35">
      <c r="A8090" t="s">
        <v>8736</v>
      </c>
      <c r="B8090" t="s">
        <v>8737</v>
      </c>
      <c r="C8090" t="s">
        <v>1059</v>
      </c>
      <c r="D8090" t="s">
        <v>339</v>
      </c>
      <c r="E8090" t="s">
        <v>296</v>
      </c>
      <c r="F8090" t="s">
        <v>8770</v>
      </c>
      <c r="G8090">
        <v>105</v>
      </c>
      <c r="H8090">
        <v>15191.769999999999</v>
      </c>
      <c r="I8090">
        <v>144.68</v>
      </c>
      <c r="J8090">
        <v>0</v>
      </c>
      <c r="K8090">
        <v>0</v>
      </c>
      <c r="L8090">
        <v>0</v>
      </c>
      <c r="M8090">
        <v>105</v>
      </c>
      <c r="N8090">
        <v>15191.769999999999</v>
      </c>
      <c r="O8090">
        <v>144.68</v>
      </c>
    </row>
    <row r="8091" spans="1:15" x14ac:dyDescent="0.35">
      <c r="A8091" t="s">
        <v>8736</v>
      </c>
      <c r="B8091" t="s">
        <v>8737</v>
      </c>
      <c r="C8091" t="s">
        <v>1059</v>
      </c>
      <c r="D8091" t="s">
        <v>339</v>
      </c>
      <c r="E8091" t="s">
        <v>298</v>
      </c>
      <c r="F8091" t="s">
        <v>8771</v>
      </c>
      <c r="G8091">
        <v>1</v>
      </c>
      <c r="H8091">
        <v>127.19</v>
      </c>
      <c r="I8091">
        <v>127.19</v>
      </c>
      <c r="J8091">
        <v>0</v>
      </c>
      <c r="K8091">
        <v>0</v>
      </c>
      <c r="L8091">
        <v>0</v>
      </c>
      <c r="M8091">
        <v>1</v>
      </c>
      <c r="N8091">
        <v>127.19</v>
      </c>
      <c r="O8091">
        <v>127.19</v>
      </c>
    </row>
    <row r="8092" spans="1:15" x14ac:dyDescent="0.35">
      <c r="A8092" t="s">
        <v>8736</v>
      </c>
      <c r="B8092" t="s">
        <v>8737</v>
      </c>
      <c r="C8092" t="s">
        <v>1059</v>
      </c>
      <c r="D8092" t="s">
        <v>339</v>
      </c>
      <c r="E8092" t="s">
        <v>300</v>
      </c>
      <c r="F8092" t="s">
        <v>8772</v>
      </c>
      <c r="G8092">
        <v>0</v>
      </c>
      <c r="H8092">
        <v>0</v>
      </c>
      <c r="I8092">
        <v>0</v>
      </c>
      <c r="J8092">
        <v>0</v>
      </c>
      <c r="K8092">
        <v>0</v>
      </c>
      <c r="L8092">
        <v>0</v>
      </c>
      <c r="M8092">
        <v>0</v>
      </c>
      <c r="N8092">
        <v>0</v>
      </c>
      <c r="O8092">
        <v>0</v>
      </c>
    </row>
    <row r="8093" spans="1:15" x14ac:dyDescent="0.35">
      <c r="A8093" t="s">
        <v>8736</v>
      </c>
      <c r="B8093" t="s">
        <v>8737</v>
      </c>
      <c r="C8093" t="s">
        <v>1059</v>
      </c>
      <c r="D8093" t="s">
        <v>339</v>
      </c>
      <c r="E8093" t="s">
        <v>306</v>
      </c>
      <c r="F8093" t="s">
        <v>8773</v>
      </c>
      <c r="G8093">
        <v>38</v>
      </c>
      <c r="H8093">
        <v>3790.3</v>
      </c>
      <c r="I8093">
        <v>99.74</v>
      </c>
      <c r="J8093">
        <v>0</v>
      </c>
      <c r="K8093">
        <v>0</v>
      </c>
      <c r="L8093">
        <v>0</v>
      </c>
      <c r="M8093">
        <v>38</v>
      </c>
      <c r="N8093">
        <v>3790.3</v>
      </c>
      <c r="O8093">
        <v>99.74</v>
      </c>
    </row>
    <row r="8094" spans="1:15" x14ac:dyDescent="0.35">
      <c r="A8094" t="s">
        <v>8736</v>
      </c>
      <c r="B8094" t="s">
        <v>8737</v>
      </c>
      <c r="C8094" t="s">
        <v>1059</v>
      </c>
      <c r="D8094" t="s">
        <v>339</v>
      </c>
      <c r="E8094" t="s">
        <v>308</v>
      </c>
      <c r="F8094" t="s">
        <v>8774</v>
      </c>
      <c r="G8094">
        <v>72</v>
      </c>
      <c r="H8094">
        <v>13380.42</v>
      </c>
      <c r="I8094">
        <v>185.84</v>
      </c>
      <c r="J8094">
        <v>0</v>
      </c>
      <c r="K8094">
        <v>0</v>
      </c>
      <c r="L8094">
        <v>0</v>
      </c>
      <c r="M8094">
        <v>72</v>
      </c>
      <c r="N8094">
        <v>13380.42</v>
      </c>
      <c r="O8094">
        <v>185.84</v>
      </c>
    </row>
    <row r="8095" spans="1:15" x14ac:dyDescent="0.35">
      <c r="A8095" t="s">
        <v>8736</v>
      </c>
      <c r="B8095" t="s">
        <v>8737</v>
      </c>
      <c r="C8095" t="s">
        <v>1059</v>
      </c>
      <c r="D8095" t="s">
        <v>339</v>
      </c>
      <c r="E8095" t="s">
        <v>310</v>
      </c>
      <c r="F8095" t="s">
        <v>8775</v>
      </c>
      <c r="G8095">
        <v>496</v>
      </c>
      <c r="H8095">
        <v>82946.11</v>
      </c>
      <c r="I8095">
        <v>167.23</v>
      </c>
      <c r="J8095">
        <v>0</v>
      </c>
      <c r="K8095">
        <v>0</v>
      </c>
      <c r="L8095">
        <v>0</v>
      </c>
      <c r="M8095">
        <v>496</v>
      </c>
      <c r="N8095">
        <v>82946.11</v>
      </c>
      <c r="O8095">
        <v>167.23</v>
      </c>
    </row>
    <row r="8096" spans="1:15" x14ac:dyDescent="0.35">
      <c r="A8096" t="s">
        <v>8736</v>
      </c>
      <c r="B8096" t="s">
        <v>8737</v>
      </c>
      <c r="C8096" t="s">
        <v>1059</v>
      </c>
      <c r="D8096" t="s">
        <v>339</v>
      </c>
      <c r="E8096" t="s">
        <v>312</v>
      </c>
      <c r="F8096" t="s">
        <v>8776</v>
      </c>
      <c r="G8096">
        <v>424</v>
      </c>
      <c r="H8096">
        <v>69565.69</v>
      </c>
      <c r="I8096">
        <v>164.07</v>
      </c>
      <c r="J8096">
        <v>0</v>
      </c>
      <c r="K8096">
        <v>0</v>
      </c>
      <c r="L8096">
        <v>0</v>
      </c>
      <c r="M8096">
        <v>424</v>
      </c>
      <c r="N8096">
        <v>69565.69</v>
      </c>
      <c r="O8096">
        <v>164.07</v>
      </c>
    </row>
    <row r="8097" spans="1:15" x14ac:dyDescent="0.35">
      <c r="A8097" t="s">
        <v>8736</v>
      </c>
      <c r="B8097" t="s">
        <v>8737</v>
      </c>
      <c r="C8097" t="s">
        <v>1059</v>
      </c>
      <c r="D8097" t="s">
        <v>348</v>
      </c>
      <c r="E8097" t="s">
        <v>349</v>
      </c>
      <c r="F8097" t="s">
        <v>8777</v>
      </c>
      <c r="G8097">
        <v>604</v>
      </c>
      <c r="H8097">
        <v>85685.69</v>
      </c>
      <c r="I8097">
        <v>163.52000000000001</v>
      </c>
      <c r="J8097">
        <v>0</v>
      </c>
      <c r="K8097">
        <v>0</v>
      </c>
      <c r="L8097">
        <v>0</v>
      </c>
      <c r="M8097">
        <v>604</v>
      </c>
      <c r="N8097">
        <v>85685.69</v>
      </c>
      <c r="O8097">
        <v>163.52000000000001</v>
      </c>
    </row>
    <row r="8098" spans="1:15" x14ac:dyDescent="0.35">
      <c r="A8098" t="s">
        <v>8778</v>
      </c>
      <c r="B8098" t="s">
        <v>8779</v>
      </c>
      <c r="C8098" t="s">
        <v>1059</v>
      </c>
      <c r="D8098" t="s">
        <v>293</v>
      </c>
      <c r="E8098" t="s">
        <v>294</v>
      </c>
      <c r="F8098" t="s">
        <v>8780</v>
      </c>
      <c r="G8098">
        <v>49</v>
      </c>
      <c r="H8098">
        <v>6035.5800000000008</v>
      </c>
      <c r="I8098">
        <v>123.18</v>
      </c>
      <c r="J8098">
        <v>0</v>
      </c>
      <c r="K8098">
        <v>0</v>
      </c>
      <c r="L8098">
        <v>0</v>
      </c>
      <c r="M8098">
        <v>49</v>
      </c>
      <c r="N8098">
        <v>6035.5800000000008</v>
      </c>
      <c r="O8098">
        <v>123.18</v>
      </c>
    </row>
    <row r="8099" spans="1:15" x14ac:dyDescent="0.35">
      <c r="A8099" t="s">
        <v>8778</v>
      </c>
      <c r="B8099" t="s">
        <v>8779</v>
      </c>
      <c r="C8099" t="s">
        <v>1059</v>
      </c>
      <c r="D8099" t="s">
        <v>293</v>
      </c>
      <c r="E8099" t="s">
        <v>296</v>
      </c>
      <c r="F8099" t="s">
        <v>8781</v>
      </c>
      <c r="G8099">
        <v>235</v>
      </c>
      <c r="H8099">
        <v>35552.280000000006</v>
      </c>
      <c r="I8099">
        <v>151.29</v>
      </c>
      <c r="J8099">
        <v>9</v>
      </c>
      <c r="K8099">
        <v>1440.54</v>
      </c>
      <c r="L8099">
        <v>160.06</v>
      </c>
      <c r="M8099">
        <v>244</v>
      </c>
      <c r="N8099">
        <v>36992.820000000007</v>
      </c>
      <c r="O8099">
        <v>151.61000000000001</v>
      </c>
    </row>
    <row r="8100" spans="1:15" x14ac:dyDescent="0.35">
      <c r="A8100" t="s">
        <v>8778</v>
      </c>
      <c r="B8100" t="s">
        <v>8779</v>
      </c>
      <c r="C8100" t="s">
        <v>1059</v>
      </c>
      <c r="D8100" t="s">
        <v>293</v>
      </c>
      <c r="E8100" t="s">
        <v>298</v>
      </c>
      <c r="F8100" t="s">
        <v>8782</v>
      </c>
      <c r="G8100">
        <v>125</v>
      </c>
      <c r="H8100">
        <v>22519.079999999998</v>
      </c>
      <c r="I8100">
        <v>180.15</v>
      </c>
      <c r="J8100">
        <v>13</v>
      </c>
      <c r="K8100">
        <v>2383.42</v>
      </c>
      <c r="L8100">
        <v>183.34</v>
      </c>
      <c r="M8100">
        <v>138</v>
      </c>
      <c r="N8100">
        <v>24902.5</v>
      </c>
      <c r="O8100">
        <v>180.45</v>
      </c>
    </row>
    <row r="8101" spans="1:15" x14ac:dyDescent="0.35">
      <c r="A8101" t="s">
        <v>8778</v>
      </c>
      <c r="B8101" t="s">
        <v>8779</v>
      </c>
      <c r="C8101" t="s">
        <v>1059</v>
      </c>
      <c r="D8101" t="s">
        <v>293</v>
      </c>
      <c r="E8101" t="s">
        <v>300</v>
      </c>
      <c r="F8101" t="s">
        <v>8783</v>
      </c>
      <c r="G8101">
        <v>8</v>
      </c>
      <c r="H8101">
        <v>2038.53</v>
      </c>
      <c r="I8101">
        <v>254.82</v>
      </c>
      <c r="J8101">
        <v>3</v>
      </c>
      <c r="K8101">
        <v>885.39</v>
      </c>
      <c r="L8101">
        <v>295.13</v>
      </c>
      <c r="M8101">
        <v>11</v>
      </c>
      <c r="N8101">
        <v>2923.92</v>
      </c>
      <c r="O8101">
        <v>265.81</v>
      </c>
    </row>
    <row r="8102" spans="1:15" x14ac:dyDescent="0.35">
      <c r="A8102" t="s">
        <v>8778</v>
      </c>
      <c r="B8102" t="s">
        <v>8779</v>
      </c>
      <c r="C8102" t="s">
        <v>1059</v>
      </c>
      <c r="D8102" t="s">
        <v>293</v>
      </c>
      <c r="E8102" t="s">
        <v>302</v>
      </c>
      <c r="F8102" t="s">
        <v>8784</v>
      </c>
      <c r="G8102">
        <v>0</v>
      </c>
      <c r="H8102">
        <v>0</v>
      </c>
      <c r="I8102">
        <v>0</v>
      </c>
      <c r="J8102">
        <v>0</v>
      </c>
      <c r="K8102">
        <v>0</v>
      </c>
      <c r="L8102">
        <v>0</v>
      </c>
      <c r="M8102">
        <v>0</v>
      </c>
      <c r="N8102">
        <v>0</v>
      </c>
      <c r="O8102">
        <v>0</v>
      </c>
    </row>
    <row r="8103" spans="1:15" x14ac:dyDescent="0.35">
      <c r="A8103" t="s">
        <v>8778</v>
      </c>
      <c r="B8103" t="s">
        <v>8779</v>
      </c>
      <c r="C8103" t="s">
        <v>1059</v>
      </c>
      <c r="D8103" t="s">
        <v>293</v>
      </c>
      <c r="E8103" t="s">
        <v>304</v>
      </c>
      <c r="F8103" t="s">
        <v>8785</v>
      </c>
      <c r="G8103">
        <v>0</v>
      </c>
      <c r="H8103">
        <v>0</v>
      </c>
      <c r="I8103">
        <v>0</v>
      </c>
      <c r="J8103">
        <v>0</v>
      </c>
      <c r="K8103">
        <v>0</v>
      </c>
      <c r="L8103">
        <v>0</v>
      </c>
      <c r="M8103">
        <v>0</v>
      </c>
      <c r="N8103">
        <v>0</v>
      </c>
      <c r="O8103">
        <v>0</v>
      </c>
    </row>
    <row r="8104" spans="1:15" x14ac:dyDescent="0.35">
      <c r="A8104" t="s">
        <v>8778</v>
      </c>
      <c r="B8104" t="s">
        <v>8779</v>
      </c>
      <c r="C8104" t="s">
        <v>1059</v>
      </c>
      <c r="D8104" t="s">
        <v>293</v>
      </c>
      <c r="E8104" t="s">
        <v>306</v>
      </c>
      <c r="F8104" t="s">
        <v>8786</v>
      </c>
      <c r="G8104">
        <v>1</v>
      </c>
      <c r="H8104">
        <v>112.63</v>
      </c>
      <c r="I8104">
        <v>112.63</v>
      </c>
      <c r="J8104">
        <v>0</v>
      </c>
      <c r="K8104">
        <v>0</v>
      </c>
      <c r="L8104">
        <v>0</v>
      </c>
      <c r="M8104">
        <v>1</v>
      </c>
      <c r="N8104">
        <v>112.63</v>
      </c>
      <c r="O8104">
        <v>112.63</v>
      </c>
    </row>
    <row r="8105" spans="1:15" x14ac:dyDescent="0.35">
      <c r="A8105" t="s">
        <v>8778</v>
      </c>
      <c r="B8105" t="s">
        <v>8779</v>
      </c>
      <c r="C8105" t="s">
        <v>1059</v>
      </c>
      <c r="D8105" t="s">
        <v>293</v>
      </c>
      <c r="E8105" t="s">
        <v>308</v>
      </c>
      <c r="F8105" t="s">
        <v>8787</v>
      </c>
      <c r="G8105">
        <v>0</v>
      </c>
      <c r="H8105">
        <v>0</v>
      </c>
      <c r="I8105">
        <v>0</v>
      </c>
      <c r="J8105">
        <v>0</v>
      </c>
      <c r="K8105">
        <v>0</v>
      </c>
      <c r="L8105">
        <v>0</v>
      </c>
      <c r="M8105">
        <v>0</v>
      </c>
      <c r="N8105">
        <v>0</v>
      </c>
      <c r="O8105">
        <v>0</v>
      </c>
    </row>
    <row r="8106" spans="1:15" x14ac:dyDescent="0.35">
      <c r="A8106" t="s">
        <v>8778</v>
      </c>
      <c r="B8106" t="s">
        <v>8779</v>
      </c>
      <c r="C8106" t="s">
        <v>1059</v>
      </c>
      <c r="D8106" t="s">
        <v>293</v>
      </c>
      <c r="E8106" t="s">
        <v>310</v>
      </c>
      <c r="F8106" t="s">
        <v>8788</v>
      </c>
      <c r="G8106">
        <v>418</v>
      </c>
      <c r="H8106">
        <v>66258.100000000006</v>
      </c>
      <c r="I8106">
        <v>158.51</v>
      </c>
      <c r="J8106">
        <v>25</v>
      </c>
      <c r="K8106">
        <v>4709.3500000000004</v>
      </c>
      <c r="L8106">
        <v>188.37</v>
      </c>
      <c r="M8106">
        <v>443</v>
      </c>
      <c r="N8106">
        <v>70967.450000000012</v>
      </c>
      <c r="O8106">
        <v>160.19999999999999</v>
      </c>
    </row>
    <row r="8107" spans="1:15" x14ac:dyDescent="0.35">
      <c r="A8107" t="s">
        <v>8778</v>
      </c>
      <c r="B8107" t="s">
        <v>8779</v>
      </c>
      <c r="C8107" t="s">
        <v>1059</v>
      </c>
      <c r="D8107" t="s">
        <v>293</v>
      </c>
      <c r="E8107" t="s">
        <v>312</v>
      </c>
      <c r="F8107" t="s">
        <v>8789</v>
      </c>
      <c r="G8107">
        <v>418</v>
      </c>
      <c r="H8107">
        <v>66258.100000000006</v>
      </c>
      <c r="I8107">
        <v>158.51</v>
      </c>
      <c r="J8107">
        <v>25</v>
      </c>
      <c r="K8107">
        <v>4709.3500000000004</v>
      </c>
      <c r="L8107">
        <v>188.37</v>
      </c>
      <c r="M8107">
        <v>443</v>
      </c>
      <c r="N8107">
        <v>70967.450000000012</v>
      </c>
      <c r="O8107">
        <v>160.19999999999999</v>
      </c>
    </row>
    <row r="8108" spans="1:15" x14ac:dyDescent="0.35">
      <c r="A8108" t="s">
        <v>8778</v>
      </c>
      <c r="B8108" t="s">
        <v>8779</v>
      </c>
      <c r="C8108" t="s">
        <v>1059</v>
      </c>
      <c r="D8108" t="s">
        <v>314</v>
      </c>
      <c r="E8108" t="s">
        <v>294</v>
      </c>
      <c r="F8108" t="s">
        <v>8790</v>
      </c>
      <c r="G8108">
        <v>0</v>
      </c>
      <c r="H8108">
        <v>0</v>
      </c>
      <c r="I8108">
        <v>0</v>
      </c>
      <c r="J8108">
        <v>0</v>
      </c>
      <c r="K8108">
        <v>0</v>
      </c>
      <c r="L8108">
        <v>0</v>
      </c>
      <c r="M8108">
        <v>0</v>
      </c>
      <c r="N8108">
        <v>0</v>
      </c>
      <c r="O8108">
        <v>0</v>
      </c>
    </row>
    <row r="8109" spans="1:15" x14ac:dyDescent="0.35">
      <c r="A8109" t="s">
        <v>8778</v>
      </c>
      <c r="B8109" t="s">
        <v>8779</v>
      </c>
      <c r="C8109" t="s">
        <v>1059</v>
      </c>
      <c r="D8109" t="s">
        <v>314</v>
      </c>
      <c r="E8109" t="s">
        <v>296</v>
      </c>
      <c r="F8109" t="s">
        <v>8791</v>
      </c>
      <c r="G8109">
        <v>0</v>
      </c>
      <c r="H8109">
        <v>0</v>
      </c>
      <c r="I8109">
        <v>0</v>
      </c>
      <c r="J8109">
        <v>0</v>
      </c>
      <c r="K8109">
        <v>0</v>
      </c>
      <c r="L8109">
        <v>0</v>
      </c>
      <c r="M8109">
        <v>0</v>
      </c>
      <c r="N8109">
        <v>0</v>
      </c>
      <c r="O8109">
        <v>0</v>
      </c>
    </row>
    <row r="8110" spans="1:15" x14ac:dyDescent="0.35">
      <c r="A8110" t="s">
        <v>8778</v>
      </c>
      <c r="B8110" t="s">
        <v>8779</v>
      </c>
      <c r="C8110" t="s">
        <v>1059</v>
      </c>
      <c r="D8110" t="s">
        <v>314</v>
      </c>
      <c r="E8110" t="s">
        <v>298</v>
      </c>
      <c r="F8110" t="s">
        <v>8792</v>
      </c>
      <c r="G8110">
        <v>0</v>
      </c>
      <c r="H8110">
        <v>0</v>
      </c>
      <c r="I8110">
        <v>0</v>
      </c>
      <c r="J8110">
        <v>0</v>
      </c>
      <c r="K8110">
        <v>0</v>
      </c>
      <c r="L8110">
        <v>0</v>
      </c>
      <c r="M8110">
        <v>0</v>
      </c>
      <c r="N8110">
        <v>0</v>
      </c>
      <c r="O8110">
        <v>0</v>
      </c>
    </row>
    <row r="8111" spans="1:15" x14ac:dyDescent="0.35">
      <c r="A8111" t="s">
        <v>8778</v>
      </c>
      <c r="B8111" t="s">
        <v>8779</v>
      </c>
      <c r="C8111" t="s">
        <v>1059</v>
      </c>
      <c r="D8111" t="s">
        <v>314</v>
      </c>
      <c r="E8111" t="s">
        <v>300</v>
      </c>
      <c r="F8111" t="s">
        <v>8793</v>
      </c>
      <c r="G8111">
        <v>0</v>
      </c>
      <c r="H8111">
        <v>0</v>
      </c>
      <c r="I8111">
        <v>0</v>
      </c>
      <c r="J8111">
        <v>0</v>
      </c>
      <c r="K8111">
        <v>0</v>
      </c>
      <c r="L8111">
        <v>0</v>
      </c>
      <c r="M8111">
        <v>0</v>
      </c>
      <c r="N8111">
        <v>0</v>
      </c>
      <c r="O8111">
        <v>0</v>
      </c>
    </row>
    <row r="8112" spans="1:15" x14ac:dyDescent="0.35">
      <c r="A8112" t="s">
        <v>8778</v>
      </c>
      <c r="B8112" t="s">
        <v>8779</v>
      </c>
      <c r="C8112" t="s">
        <v>1059</v>
      </c>
      <c r="D8112" t="s">
        <v>314</v>
      </c>
      <c r="E8112" t="s">
        <v>306</v>
      </c>
      <c r="F8112" t="s">
        <v>8794</v>
      </c>
      <c r="G8112">
        <v>0</v>
      </c>
      <c r="H8112">
        <v>0</v>
      </c>
      <c r="I8112">
        <v>0</v>
      </c>
      <c r="J8112">
        <v>0</v>
      </c>
      <c r="K8112">
        <v>0</v>
      </c>
      <c r="L8112">
        <v>0</v>
      </c>
      <c r="M8112">
        <v>0</v>
      </c>
      <c r="N8112">
        <v>0</v>
      </c>
      <c r="O8112">
        <v>0</v>
      </c>
    </row>
    <row r="8113" spans="1:15" x14ac:dyDescent="0.35">
      <c r="A8113" t="s">
        <v>8778</v>
      </c>
      <c r="B8113" t="s">
        <v>8779</v>
      </c>
      <c r="C8113" t="s">
        <v>1059</v>
      </c>
      <c r="D8113" t="s">
        <v>314</v>
      </c>
      <c r="E8113" t="s">
        <v>308</v>
      </c>
      <c r="F8113" t="s">
        <v>8795</v>
      </c>
      <c r="G8113">
        <v>0</v>
      </c>
      <c r="H8113">
        <v>0</v>
      </c>
      <c r="I8113">
        <v>0</v>
      </c>
      <c r="J8113">
        <v>0</v>
      </c>
      <c r="K8113">
        <v>0</v>
      </c>
      <c r="L8113">
        <v>0</v>
      </c>
      <c r="M8113">
        <v>0</v>
      </c>
      <c r="N8113">
        <v>0</v>
      </c>
      <c r="O8113">
        <v>0</v>
      </c>
    </row>
    <row r="8114" spans="1:15" x14ac:dyDescent="0.35">
      <c r="A8114" t="s">
        <v>8778</v>
      </c>
      <c r="B8114" t="s">
        <v>8779</v>
      </c>
      <c r="C8114" t="s">
        <v>1059</v>
      </c>
      <c r="D8114" t="s">
        <v>314</v>
      </c>
      <c r="E8114" t="s">
        <v>312</v>
      </c>
      <c r="F8114" t="s">
        <v>8796</v>
      </c>
      <c r="G8114">
        <v>0</v>
      </c>
      <c r="H8114">
        <v>0</v>
      </c>
      <c r="I8114">
        <v>0</v>
      </c>
      <c r="J8114">
        <v>0</v>
      </c>
      <c r="K8114">
        <v>0</v>
      </c>
      <c r="L8114">
        <v>0</v>
      </c>
      <c r="M8114">
        <v>0</v>
      </c>
      <c r="N8114">
        <v>0</v>
      </c>
      <c r="O8114">
        <v>0</v>
      </c>
    </row>
    <row r="8115" spans="1:15" x14ac:dyDescent="0.35">
      <c r="A8115" t="s">
        <v>8778</v>
      </c>
      <c r="B8115" t="s">
        <v>8779</v>
      </c>
      <c r="C8115" t="s">
        <v>1059</v>
      </c>
      <c r="D8115" t="s">
        <v>314</v>
      </c>
      <c r="E8115" t="s">
        <v>310</v>
      </c>
      <c r="F8115" t="s">
        <v>8797</v>
      </c>
      <c r="G8115">
        <v>0</v>
      </c>
      <c r="H8115">
        <v>0</v>
      </c>
      <c r="I8115">
        <v>0</v>
      </c>
      <c r="J8115">
        <v>0</v>
      </c>
      <c r="K8115">
        <v>0</v>
      </c>
      <c r="L8115">
        <v>0</v>
      </c>
      <c r="M8115">
        <v>0</v>
      </c>
      <c r="N8115">
        <v>0</v>
      </c>
      <c r="O8115">
        <v>0</v>
      </c>
    </row>
    <row r="8116" spans="1:15" x14ac:dyDescent="0.35">
      <c r="A8116" t="s">
        <v>8778</v>
      </c>
      <c r="B8116" t="s">
        <v>8779</v>
      </c>
      <c r="C8116" t="s">
        <v>1059</v>
      </c>
      <c r="D8116" t="s">
        <v>323</v>
      </c>
      <c r="E8116" t="s">
        <v>294</v>
      </c>
      <c r="F8116" t="s">
        <v>8798</v>
      </c>
      <c r="G8116">
        <v>396</v>
      </c>
      <c r="H8116">
        <v>39596.929999999993</v>
      </c>
      <c r="I8116">
        <v>99.99</v>
      </c>
      <c r="J8116">
        <v>1261</v>
      </c>
      <c r="K8116">
        <v>127625.81</v>
      </c>
      <c r="L8116">
        <v>101.21</v>
      </c>
      <c r="M8116">
        <v>1657</v>
      </c>
      <c r="N8116">
        <v>167222.74</v>
      </c>
      <c r="O8116">
        <v>100.92</v>
      </c>
    </row>
    <row r="8117" spans="1:15" x14ac:dyDescent="0.35">
      <c r="A8117" t="s">
        <v>8778</v>
      </c>
      <c r="B8117" t="s">
        <v>8779</v>
      </c>
      <c r="C8117" t="s">
        <v>1059</v>
      </c>
      <c r="D8117" t="s">
        <v>323</v>
      </c>
      <c r="E8117" t="s">
        <v>296</v>
      </c>
      <c r="F8117" t="s">
        <v>8799</v>
      </c>
      <c r="G8117">
        <v>1089</v>
      </c>
      <c r="H8117">
        <v>132447.54</v>
      </c>
      <c r="I8117">
        <v>121.62</v>
      </c>
      <c r="J8117">
        <v>1006</v>
      </c>
      <c r="K8117">
        <v>115951.56000000001</v>
      </c>
      <c r="L8117">
        <v>115.26</v>
      </c>
      <c r="M8117">
        <v>2095</v>
      </c>
      <c r="N8117">
        <v>248399.10000000003</v>
      </c>
      <c r="O8117">
        <v>118.57</v>
      </c>
    </row>
    <row r="8118" spans="1:15" x14ac:dyDescent="0.35">
      <c r="A8118" t="s">
        <v>8778</v>
      </c>
      <c r="B8118" t="s">
        <v>8779</v>
      </c>
      <c r="C8118" t="s">
        <v>1059</v>
      </c>
      <c r="D8118" t="s">
        <v>323</v>
      </c>
      <c r="E8118" t="s">
        <v>298</v>
      </c>
      <c r="F8118" t="s">
        <v>8800</v>
      </c>
      <c r="G8118">
        <v>951</v>
      </c>
      <c r="H8118">
        <v>125868.35999999999</v>
      </c>
      <c r="I8118">
        <v>132.35</v>
      </c>
      <c r="J8118">
        <v>1059</v>
      </c>
      <c r="K8118">
        <v>131400.72</v>
      </c>
      <c r="L8118">
        <v>124.08</v>
      </c>
      <c r="M8118">
        <v>2010</v>
      </c>
      <c r="N8118">
        <v>257269.08</v>
      </c>
      <c r="O8118">
        <v>127.99</v>
      </c>
    </row>
    <row r="8119" spans="1:15" x14ac:dyDescent="0.35">
      <c r="A8119" t="s">
        <v>8778</v>
      </c>
      <c r="B8119" t="s">
        <v>8779</v>
      </c>
      <c r="C8119" t="s">
        <v>1059</v>
      </c>
      <c r="D8119" t="s">
        <v>323</v>
      </c>
      <c r="E8119" t="s">
        <v>300</v>
      </c>
      <c r="F8119" t="s">
        <v>8801</v>
      </c>
      <c r="G8119">
        <v>90</v>
      </c>
      <c r="H8119">
        <v>14099.650000000001</v>
      </c>
      <c r="I8119">
        <v>156.66</v>
      </c>
      <c r="J8119">
        <v>47</v>
      </c>
      <c r="K8119">
        <v>6371.79</v>
      </c>
      <c r="L8119">
        <v>135.57</v>
      </c>
      <c r="M8119">
        <v>137</v>
      </c>
      <c r="N8119">
        <v>20471.440000000002</v>
      </c>
      <c r="O8119">
        <v>149.43</v>
      </c>
    </row>
    <row r="8120" spans="1:15" x14ac:dyDescent="0.35">
      <c r="A8120" t="s">
        <v>8778</v>
      </c>
      <c r="B8120" t="s">
        <v>8779</v>
      </c>
      <c r="C8120" t="s">
        <v>1059</v>
      </c>
      <c r="D8120" t="s">
        <v>323</v>
      </c>
      <c r="E8120" t="s">
        <v>302</v>
      </c>
      <c r="F8120" t="s">
        <v>8802</v>
      </c>
      <c r="G8120">
        <v>1</v>
      </c>
      <c r="H8120">
        <v>187.33</v>
      </c>
      <c r="I8120">
        <v>187.33</v>
      </c>
      <c r="J8120">
        <v>5</v>
      </c>
      <c r="K8120">
        <v>815.15</v>
      </c>
      <c r="L8120">
        <v>163.03</v>
      </c>
      <c r="M8120">
        <v>6</v>
      </c>
      <c r="N8120">
        <v>1002.48</v>
      </c>
      <c r="O8120">
        <v>167.08</v>
      </c>
    </row>
    <row r="8121" spans="1:15" x14ac:dyDescent="0.35">
      <c r="A8121" t="s">
        <v>8778</v>
      </c>
      <c r="B8121" t="s">
        <v>8779</v>
      </c>
      <c r="C8121" t="s">
        <v>1059</v>
      </c>
      <c r="D8121" t="s">
        <v>323</v>
      </c>
      <c r="E8121" t="s">
        <v>304</v>
      </c>
      <c r="F8121" t="s">
        <v>8803</v>
      </c>
      <c r="G8121">
        <v>0</v>
      </c>
      <c r="H8121">
        <v>0</v>
      </c>
      <c r="I8121">
        <v>0</v>
      </c>
      <c r="J8121">
        <v>0</v>
      </c>
      <c r="K8121">
        <v>0</v>
      </c>
      <c r="L8121">
        <v>0</v>
      </c>
      <c r="M8121">
        <v>0</v>
      </c>
      <c r="N8121">
        <v>0</v>
      </c>
      <c r="O8121">
        <v>0</v>
      </c>
    </row>
    <row r="8122" spans="1:15" x14ac:dyDescent="0.35">
      <c r="A8122" t="s">
        <v>8778</v>
      </c>
      <c r="B8122" t="s">
        <v>8779</v>
      </c>
      <c r="C8122" t="s">
        <v>1059</v>
      </c>
      <c r="D8122" t="s">
        <v>323</v>
      </c>
      <c r="E8122" t="s">
        <v>306</v>
      </c>
      <c r="F8122" t="s">
        <v>8804</v>
      </c>
      <c r="G8122">
        <v>43</v>
      </c>
      <c r="H8122">
        <v>3495.21</v>
      </c>
      <c r="I8122">
        <v>81.28</v>
      </c>
      <c r="J8122">
        <v>1</v>
      </c>
      <c r="K8122">
        <v>88.37</v>
      </c>
      <c r="L8122">
        <v>88.37</v>
      </c>
      <c r="M8122">
        <v>44</v>
      </c>
      <c r="N8122">
        <v>3583.58</v>
      </c>
      <c r="O8122">
        <v>81.45</v>
      </c>
    </row>
    <row r="8123" spans="1:15" x14ac:dyDescent="0.35">
      <c r="A8123" t="s">
        <v>8778</v>
      </c>
      <c r="B8123" t="s">
        <v>8779</v>
      </c>
      <c r="C8123" t="s">
        <v>1059</v>
      </c>
      <c r="D8123" t="s">
        <v>323</v>
      </c>
      <c r="E8123" t="s">
        <v>308</v>
      </c>
      <c r="F8123" t="s">
        <v>8805</v>
      </c>
      <c r="G8123">
        <v>0</v>
      </c>
      <c r="H8123">
        <v>0</v>
      </c>
      <c r="I8123">
        <v>0</v>
      </c>
      <c r="J8123">
        <v>0</v>
      </c>
      <c r="K8123">
        <v>0</v>
      </c>
      <c r="L8123">
        <v>0</v>
      </c>
      <c r="M8123">
        <v>0</v>
      </c>
      <c r="N8123">
        <v>0</v>
      </c>
      <c r="O8123">
        <v>0</v>
      </c>
    </row>
    <row r="8124" spans="1:15" x14ac:dyDescent="0.35">
      <c r="A8124" t="s">
        <v>8778</v>
      </c>
      <c r="B8124" t="s">
        <v>8779</v>
      </c>
      <c r="C8124" t="s">
        <v>1059</v>
      </c>
      <c r="D8124" t="s">
        <v>323</v>
      </c>
      <c r="E8124" t="s">
        <v>310</v>
      </c>
      <c r="F8124" t="s">
        <v>8806</v>
      </c>
      <c r="G8124">
        <v>2570</v>
      </c>
      <c r="H8124">
        <v>315695.02</v>
      </c>
      <c r="I8124">
        <v>122.84</v>
      </c>
      <c r="J8124">
        <v>3379</v>
      </c>
      <c r="K8124">
        <v>382253.39999999997</v>
      </c>
      <c r="L8124">
        <v>113.13</v>
      </c>
      <c r="M8124">
        <v>5949</v>
      </c>
      <c r="N8124">
        <v>697948.41999999993</v>
      </c>
      <c r="O8124">
        <v>117.32</v>
      </c>
    </row>
    <row r="8125" spans="1:15" x14ac:dyDescent="0.35">
      <c r="A8125" t="s">
        <v>8778</v>
      </c>
      <c r="B8125" t="s">
        <v>8779</v>
      </c>
      <c r="C8125" t="s">
        <v>1059</v>
      </c>
      <c r="D8125" t="s">
        <v>323</v>
      </c>
      <c r="E8125" t="s">
        <v>312</v>
      </c>
      <c r="F8125" t="s">
        <v>8807</v>
      </c>
      <c r="G8125">
        <v>2570</v>
      </c>
      <c r="H8125">
        <v>315695.02</v>
      </c>
      <c r="I8125">
        <v>122.84</v>
      </c>
      <c r="J8125">
        <v>3379</v>
      </c>
      <c r="K8125">
        <v>382253.39999999997</v>
      </c>
      <c r="L8125">
        <v>113.13</v>
      </c>
      <c r="M8125">
        <v>5949</v>
      </c>
      <c r="N8125">
        <v>697948.41999999993</v>
      </c>
      <c r="O8125">
        <v>117.32</v>
      </c>
    </row>
    <row r="8126" spans="1:15" x14ac:dyDescent="0.35">
      <c r="A8126" t="s">
        <v>8778</v>
      </c>
      <c r="B8126" t="s">
        <v>8779</v>
      </c>
      <c r="C8126" t="s">
        <v>1059</v>
      </c>
      <c r="D8126" t="s">
        <v>334</v>
      </c>
      <c r="E8126" t="s">
        <v>312</v>
      </c>
      <c r="F8126" t="s">
        <v>8808</v>
      </c>
      <c r="G8126">
        <v>3040</v>
      </c>
      <c r="H8126">
        <v>381953.12000000005</v>
      </c>
      <c r="I8126">
        <v>127.83</v>
      </c>
      <c r="J8126">
        <v>3404</v>
      </c>
      <c r="K8126">
        <v>386962.75000000006</v>
      </c>
      <c r="L8126">
        <v>113.68</v>
      </c>
      <c r="M8126">
        <v>6444</v>
      </c>
      <c r="N8126">
        <v>768915.87000000011</v>
      </c>
      <c r="O8126">
        <v>120.29</v>
      </c>
    </row>
    <row r="8127" spans="1:15" x14ac:dyDescent="0.35">
      <c r="A8127" t="s">
        <v>8778</v>
      </c>
      <c r="B8127" t="s">
        <v>8779</v>
      </c>
      <c r="C8127" t="s">
        <v>1059</v>
      </c>
      <c r="D8127" t="s">
        <v>334</v>
      </c>
      <c r="E8127" t="s">
        <v>308</v>
      </c>
      <c r="F8127" t="s">
        <v>8809</v>
      </c>
      <c r="G8127">
        <v>0</v>
      </c>
      <c r="H8127">
        <v>0</v>
      </c>
      <c r="I8127">
        <v>0</v>
      </c>
      <c r="J8127">
        <v>0</v>
      </c>
      <c r="K8127">
        <v>0</v>
      </c>
      <c r="L8127">
        <v>0</v>
      </c>
      <c r="M8127">
        <v>0</v>
      </c>
      <c r="N8127">
        <v>0</v>
      </c>
      <c r="O8127">
        <v>0</v>
      </c>
    </row>
    <row r="8128" spans="1:15" x14ac:dyDescent="0.35">
      <c r="A8128" t="s">
        <v>8778</v>
      </c>
      <c r="B8128" t="s">
        <v>8779</v>
      </c>
      <c r="C8128" t="s">
        <v>1059</v>
      </c>
      <c r="D8128" t="s">
        <v>337</v>
      </c>
      <c r="E8128" t="s">
        <v>337</v>
      </c>
      <c r="F8128" t="s">
        <v>8810</v>
      </c>
      <c r="G8128">
        <v>796</v>
      </c>
      <c r="J8128">
        <v>7</v>
      </c>
      <c r="M8128">
        <v>803</v>
      </c>
    </row>
    <row r="8129" spans="1:15" x14ac:dyDescent="0.35">
      <c r="A8129" t="s">
        <v>8778</v>
      </c>
      <c r="B8129" t="s">
        <v>8779</v>
      </c>
      <c r="C8129" t="s">
        <v>1059</v>
      </c>
      <c r="D8129" t="s">
        <v>339</v>
      </c>
      <c r="E8129" t="s">
        <v>294</v>
      </c>
      <c r="F8129" t="s">
        <v>8811</v>
      </c>
      <c r="G8129">
        <v>127</v>
      </c>
      <c r="H8129">
        <v>14750.47</v>
      </c>
      <c r="I8129">
        <v>116.15</v>
      </c>
      <c r="J8129">
        <v>0</v>
      </c>
      <c r="K8129">
        <v>0</v>
      </c>
      <c r="L8129">
        <v>0</v>
      </c>
      <c r="M8129">
        <v>127</v>
      </c>
      <c r="N8129">
        <v>14750.47</v>
      </c>
      <c r="O8129">
        <v>116.15</v>
      </c>
    </row>
    <row r="8130" spans="1:15" x14ac:dyDescent="0.35">
      <c r="A8130" t="s">
        <v>8778</v>
      </c>
      <c r="B8130" t="s">
        <v>8779</v>
      </c>
      <c r="C8130" t="s">
        <v>1059</v>
      </c>
      <c r="D8130" t="s">
        <v>339</v>
      </c>
      <c r="E8130" t="s">
        <v>296</v>
      </c>
      <c r="F8130" t="s">
        <v>8812</v>
      </c>
      <c r="G8130">
        <v>92</v>
      </c>
      <c r="H8130">
        <v>14367.45</v>
      </c>
      <c r="I8130">
        <v>156.16999999999999</v>
      </c>
      <c r="J8130">
        <v>0</v>
      </c>
      <c r="K8130">
        <v>0</v>
      </c>
      <c r="L8130">
        <v>0</v>
      </c>
      <c r="M8130">
        <v>92</v>
      </c>
      <c r="N8130">
        <v>14367.45</v>
      </c>
      <c r="O8130">
        <v>156.16999999999999</v>
      </c>
    </row>
    <row r="8131" spans="1:15" x14ac:dyDescent="0.35">
      <c r="A8131" t="s">
        <v>8778</v>
      </c>
      <c r="B8131" t="s">
        <v>8779</v>
      </c>
      <c r="C8131" t="s">
        <v>1059</v>
      </c>
      <c r="D8131" t="s">
        <v>339</v>
      </c>
      <c r="E8131" t="s">
        <v>298</v>
      </c>
      <c r="F8131" t="s">
        <v>8813</v>
      </c>
      <c r="G8131">
        <v>0</v>
      </c>
      <c r="H8131">
        <v>0</v>
      </c>
      <c r="I8131">
        <v>0</v>
      </c>
      <c r="J8131">
        <v>0</v>
      </c>
      <c r="K8131">
        <v>0</v>
      </c>
      <c r="L8131">
        <v>0</v>
      </c>
      <c r="M8131">
        <v>0</v>
      </c>
      <c r="N8131">
        <v>0</v>
      </c>
      <c r="O8131">
        <v>0</v>
      </c>
    </row>
    <row r="8132" spans="1:15" x14ac:dyDescent="0.35">
      <c r="A8132" t="s">
        <v>8778</v>
      </c>
      <c r="B8132" t="s">
        <v>8779</v>
      </c>
      <c r="C8132" t="s">
        <v>1059</v>
      </c>
      <c r="D8132" t="s">
        <v>339</v>
      </c>
      <c r="E8132" t="s">
        <v>300</v>
      </c>
      <c r="F8132" t="s">
        <v>8814</v>
      </c>
      <c r="G8132">
        <v>0</v>
      </c>
      <c r="H8132">
        <v>0</v>
      </c>
      <c r="I8132">
        <v>0</v>
      </c>
      <c r="J8132">
        <v>0</v>
      </c>
      <c r="K8132">
        <v>0</v>
      </c>
      <c r="L8132">
        <v>0</v>
      </c>
      <c r="M8132">
        <v>0</v>
      </c>
      <c r="N8132">
        <v>0</v>
      </c>
      <c r="O8132">
        <v>0</v>
      </c>
    </row>
    <row r="8133" spans="1:15" x14ac:dyDescent="0.35">
      <c r="A8133" t="s">
        <v>8778</v>
      </c>
      <c r="B8133" t="s">
        <v>8779</v>
      </c>
      <c r="C8133" t="s">
        <v>1059</v>
      </c>
      <c r="D8133" t="s">
        <v>339</v>
      </c>
      <c r="E8133" t="s">
        <v>306</v>
      </c>
      <c r="F8133" t="s">
        <v>8815</v>
      </c>
      <c r="G8133">
        <v>13</v>
      </c>
      <c r="H8133">
        <v>1122.22</v>
      </c>
      <c r="I8133">
        <v>86.32</v>
      </c>
      <c r="J8133">
        <v>0</v>
      </c>
      <c r="K8133">
        <v>0</v>
      </c>
      <c r="L8133">
        <v>0</v>
      </c>
      <c r="M8133">
        <v>13</v>
      </c>
      <c r="N8133">
        <v>1122.22</v>
      </c>
      <c r="O8133">
        <v>86.32</v>
      </c>
    </row>
    <row r="8134" spans="1:15" x14ac:dyDescent="0.35">
      <c r="A8134" t="s">
        <v>8778</v>
      </c>
      <c r="B8134" t="s">
        <v>8779</v>
      </c>
      <c r="C8134" t="s">
        <v>1059</v>
      </c>
      <c r="D8134" t="s">
        <v>339</v>
      </c>
      <c r="E8134" t="s">
        <v>308</v>
      </c>
      <c r="F8134" t="s">
        <v>8816</v>
      </c>
      <c r="G8134">
        <v>19</v>
      </c>
      <c r="H8134">
        <v>2014.8000000000002</v>
      </c>
      <c r="I8134">
        <v>106.04</v>
      </c>
      <c r="J8134">
        <v>0</v>
      </c>
      <c r="K8134">
        <v>0</v>
      </c>
      <c r="L8134">
        <v>0</v>
      </c>
      <c r="M8134">
        <v>19</v>
      </c>
      <c r="N8134">
        <v>2014.8000000000002</v>
      </c>
      <c r="O8134">
        <v>106.04</v>
      </c>
    </row>
    <row r="8135" spans="1:15" x14ac:dyDescent="0.35">
      <c r="A8135" t="s">
        <v>8778</v>
      </c>
      <c r="B8135" t="s">
        <v>8779</v>
      </c>
      <c r="C8135" t="s">
        <v>1059</v>
      </c>
      <c r="D8135" t="s">
        <v>339</v>
      </c>
      <c r="E8135" t="s">
        <v>310</v>
      </c>
      <c r="F8135" t="s">
        <v>8817</v>
      </c>
      <c r="G8135">
        <v>251</v>
      </c>
      <c r="H8135">
        <v>32254.94</v>
      </c>
      <c r="I8135">
        <v>128.51</v>
      </c>
      <c r="J8135">
        <v>0</v>
      </c>
      <c r="K8135">
        <v>0</v>
      </c>
      <c r="L8135">
        <v>0</v>
      </c>
      <c r="M8135">
        <v>251</v>
      </c>
      <c r="N8135">
        <v>32254.94</v>
      </c>
      <c r="O8135">
        <v>128.51</v>
      </c>
    </row>
    <row r="8136" spans="1:15" x14ac:dyDescent="0.35">
      <c r="A8136" t="s">
        <v>8778</v>
      </c>
      <c r="B8136" t="s">
        <v>8779</v>
      </c>
      <c r="C8136" t="s">
        <v>1059</v>
      </c>
      <c r="D8136" t="s">
        <v>339</v>
      </c>
      <c r="E8136" t="s">
        <v>312</v>
      </c>
      <c r="F8136" t="s">
        <v>8818</v>
      </c>
      <c r="G8136">
        <v>232</v>
      </c>
      <c r="H8136">
        <v>30240.14</v>
      </c>
      <c r="I8136">
        <v>130.35</v>
      </c>
      <c r="J8136">
        <v>0</v>
      </c>
      <c r="K8136">
        <v>0</v>
      </c>
      <c r="L8136">
        <v>0</v>
      </c>
      <c r="M8136">
        <v>232</v>
      </c>
      <c r="N8136">
        <v>30240.14</v>
      </c>
      <c r="O8136">
        <v>130.35</v>
      </c>
    </row>
    <row r="8137" spans="1:15" x14ac:dyDescent="0.35">
      <c r="A8137" t="s">
        <v>8778</v>
      </c>
      <c r="B8137" t="s">
        <v>8779</v>
      </c>
      <c r="C8137" t="s">
        <v>1059</v>
      </c>
      <c r="D8137" t="s">
        <v>348</v>
      </c>
      <c r="E8137" t="s">
        <v>349</v>
      </c>
      <c r="F8137" t="s">
        <v>8819</v>
      </c>
      <c r="G8137">
        <v>291</v>
      </c>
      <c r="H8137">
        <v>32254.94</v>
      </c>
      <c r="I8137">
        <v>128.51</v>
      </c>
      <c r="J8137">
        <v>0</v>
      </c>
      <c r="K8137">
        <v>0</v>
      </c>
      <c r="L8137">
        <v>0</v>
      </c>
      <c r="M8137">
        <v>291</v>
      </c>
      <c r="N8137">
        <v>32254.94</v>
      </c>
      <c r="O8137">
        <v>128.51</v>
      </c>
    </row>
    <row r="8138" spans="1:15" x14ac:dyDescent="0.35">
      <c r="A8138" t="s">
        <v>8820</v>
      </c>
      <c r="B8138" t="s">
        <v>167</v>
      </c>
      <c r="C8138" t="s">
        <v>1059</v>
      </c>
      <c r="D8138" t="s">
        <v>293</v>
      </c>
      <c r="E8138" t="s">
        <v>294</v>
      </c>
      <c r="F8138" t="s">
        <v>8821</v>
      </c>
      <c r="G8138">
        <v>56</v>
      </c>
      <c r="H8138">
        <v>8070.869999999999</v>
      </c>
      <c r="I8138">
        <v>144.12</v>
      </c>
      <c r="J8138">
        <v>0</v>
      </c>
      <c r="K8138">
        <v>0</v>
      </c>
      <c r="L8138">
        <v>0</v>
      </c>
      <c r="M8138">
        <v>56</v>
      </c>
      <c r="N8138">
        <v>8070.869999999999</v>
      </c>
      <c r="O8138">
        <v>144.12</v>
      </c>
    </row>
    <row r="8139" spans="1:15" x14ac:dyDescent="0.35">
      <c r="A8139" t="s">
        <v>8820</v>
      </c>
      <c r="B8139" t="s">
        <v>167</v>
      </c>
      <c r="C8139" t="s">
        <v>1059</v>
      </c>
      <c r="D8139" t="s">
        <v>293</v>
      </c>
      <c r="E8139" t="s">
        <v>296</v>
      </c>
      <c r="F8139" t="s">
        <v>8822</v>
      </c>
      <c r="G8139">
        <v>330</v>
      </c>
      <c r="H8139">
        <v>57579.48</v>
      </c>
      <c r="I8139">
        <v>174.48</v>
      </c>
      <c r="J8139">
        <v>0</v>
      </c>
      <c r="K8139">
        <v>0</v>
      </c>
      <c r="L8139">
        <v>0</v>
      </c>
      <c r="M8139">
        <v>330</v>
      </c>
      <c r="N8139">
        <v>57579.48</v>
      </c>
      <c r="O8139">
        <v>174.48</v>
      </c>
    </row>
    <row r="8140" spans="1:15" x14ac:dyDescent="0.35">
      <c r="A8140" t="s">
        <v>8820</v>
      </c>
      <c r="B8140" t="s">
        <v>167</v>
      </c>
      <c r="C8140" t="s">
        <v>1059</v>
      </c>
      <c r="D8140" t="s">
        <v>293</v>
      </c>
      <c r="E8140" t="s">
        <v>298</v>
      </c>
      <c r="F8140" t="s">
        <v>8823</v>
      </c>
      <c r="G8140">
        <v>147</v>
      </c>
      <c r="H8140">
        <v>29537.08</v>
      </c>
      <c r="I8140">
        <v>200.93</v>
      </c>
      <c r="J8140">
        <v>0</v>
      </c>
      <c r="K8140">
        <v>0</v>
      </c>
      <c r="L8140">
        <v>0</v>
      </c>
      <c r="M8140">
        <v>147</v>
      </c>
      <c r="N8140">
        <v>29537.08</v>
      </c>
      <c r="O8140">
        <v>200.93</v>
      </c>
    </row>
    <row r="8141" spans="1:15" x14ac:dyDescent="0.35">
      <c r="A8141" t="s">
        <v>8820</v>
      </c>
      <c r="B8141" t="s">
        <v>167</v>
      </c>
      <c r="C8141" t="s">
        <v>1059</v>
      </c>
      <c r="D8141" t="s">
        <v>293</v>
      </c>
      <c r="E8141" t="s">
        <v>300</v>
      </c>
      <c r="F8141" t="s">
        <v>8824</v>
      </c>
      <c r="G8141">
        <v>16</v>
      </c>
      <c r="H8141">
        <v>3796.25</v>
      </c>
      <c r="I8141">
        <v>237.27</v>
      </c>
      <c r="J8141">
        <v>0</v>
      </c>
      <c r="K8141">
        <v>0</v>
      </c>
      <c r="L8141">
        <v>0</v>
      </c>
      <c r="M8141">
        <v>16</v>
      </c>
      <c r="N8141">
        <v>3796.25</v>
      </c>
      <c r="O8141">
        <v>237.27</v>
      </c>
    </row>
    <row r="8142" spans="1:15" x14ac:dyDescent="0.35">
      <c r="A8142" t="s">
        <v>8820</v>
      </c>
      <c r="B8142" t="s">
        <v>167</v>
      </c>
      <c r="C8142" t="s">
        <v>1059</v>
      </c>
      <c r="D8142" t="s">
        <v>293</v>
      </c>
      <c r="E8142" t="s">
        <v>302</v>
      </c>
      <c r="F8142" t="s">
        <v>8825</v>
      </c>
      <c r="G8142">
        <v>0</v>
      </c>
      <c r="H8142">
        <v>0</v>
      </c>
      <c r="I8142">
        <v>0</v>
      </c>
      <c r="J8142">
        <v>0</v>
      </c>
      <c r="K8142">
        <v>0</v>
      </c>
      <c r="L8142">
        <v>0</v>
      </c>
      <c r="M8142">
        <v>0</v>
      </c>
      <c r="N8142">
        <v>0</v>
      </c>
      <c r="O8142">
        <v>0</v>
      </c>
    </row>
    <row r="8143" spans="1:15" x14ac:dyDescent="0.35">
      <c r="A8143" t="s">
        <v>8820</v>
      </c>
      <c r="B8143" t="s">
        <v>167</v>
      </c>
      <c r="C8143" t="s">
        <v>1059</v>
      </c>
      <c r="D8143" t="s">
        <v>293</v>
      </c>
      <c r="E8143" t="s">
        <v>304</v>
      </c>
      <c r="F8143" t="s">
        <v>8826</v>
      </c>
      <c r="G8143">
        <v>0</v>
      </c>
      <c r="H8143">
        <v>0</v>
      </c>
      <c r="I8143">
        <v>0</v>
      </c>
      <c r="J8143">
        <v>0</v>
      </c>
      <c r="K8143">
        <v>0</v>
      </c>
      <c r="L8143">
        <v>0</v>
      </c>
      <c r="M8143">
        <v>0</v>
      </c>
      <c r="N8143">
        <v>0</v>
      </c>
      <c r="O8143">
        <v>0</v>
      </c>
    </row>
    <row r="8144" spans="1:15" x14ac:dyDescent="0.35">
      <c r="A8144" t="s">
        <v>8820</v>
      </c>
      <c r="B8144" t="s">
        <v>167</v>
      </c>
      <c r="C8144" t="s">
        <v>1059</v>
      </c>
      <c r="D8144" t="s">
        <v>293</v>
      </c>
      <c r="E8144" t="s">
        <v>306</v>
      </c>
      <c r="F8144" t="s">
        <v>8827</v>
      </c>
      <c r="G8144">
        <v>0</v>
      </c>
      <c r="H8144">
        <v>0</v>
      </c>
      <c r="I8144">
        <v>0</v>
      </c>
      <c r="J8144">
        <v>0</v>
      </c>
      <c r="K8144">
        <v>0</v>
      </c>
      <c r="L8144">
        <v>0</v>
      </c>
      <c r="M8144">
        <v>0</v>
      </c>
      <c r="N8144">
        <v>0</v>
      </c>
      <c r="O8144">
        <v>0</v>
      </c>
    </row>
    <row r="8145" spans="1:15" x14ac:dyDescent="0.35">
      <c r="A8145" t="s">
        <v>8820</v>
      </c>
      <c r="B8145" t="s">
        <v>167</v>
      </c>
      <c r="C8145" t="s">
        <v>1059</v>
      </c>
      <c r="D8145" t="s">
        <v>293</v>
      </c>
      <c r="E8145" t="s">
        <v>308</v>
      </c>
      <c r="F8145" t="s">
        <v>8828</v>
      </c>
      <c r="G8145">
        <v>2</v>
      </c>
      <c r="H8145">
        <v>194.64</v>
      </c>
      <c r="I8145">
        <v>97.32</v>
      </c>
      <c r="J8145">
        <v>0</v>
      </c>
      <c r="K8145">
        <v>0</v>
      </c>
      <c r="L8145">
        <v>0</v>
      </c>
      <c r="M8145">
        <v>2</v>
      </c>
      <c r="N8145">
        <v>194.64</v>
      </c>
      <c r="O8145">
        <v>97.32</v>
      </c>
    </row>
    <row r="8146" spans="1:15" x14ac:dyDescent="0.35">
      <c r="A8146" t="s">
        <v>8820</v>
      </c>
      <c r="B8146" t="s">
        <v>167</v>
      </c>
      <c r="C8146" t="s">
        <v>1059</v>
      </c>
      <c r="D8146" t="s">
        <v>293</v>
      </c>
      <c r="E8146" t="s">
        <v>310</v>
      </c>
      <c r="F8146" t="s">
        <v>8829</v>
      </c>
      <c r="G8146">
        <v>551</v>
      </c>
      <c r="H8146">
        <v>99178.32</v>
      </c>
      <c r="I8146">
        <v>180</v>
      </c>
      <c r="J8146">
        <v>0</v>
      </c>
      <c r="K8146">
        <v>0</v>
      </c>
      <c r="L8146">
        <v>0</v>
      </c>
      <c r="M8146">
        <v>551</v>
      </c>
      <c r="N8146">
        <v>99178.32</v>
      </c>
      <c r="O8146">
        <v>180</v>
      </c>
    </row>
    <row r="8147" spans="1:15" x14ac:dyDescent="0.35">
      <c r="A8147" t="s">
        <v>8820</v>
      </c>
      <c r="B8147" t="s">
        <v>167</v>
      </c>
      <c r="C8147" t="s">
        <v>1059</v>
      </c>
      <c r="D8147" t="s">
        <v>293</v>
      </c>
      <c r="E8147" t="s">
        <v>312</v>
      </c>
      <c r="F8147" t="s">
        <v>8830</v>
      </c>
      <c r="G8147">
        <v>549</v>
      </c>
      <c r="H8147">
        <v>98983.680000000008</v>
      </c>
      <c r="I8147">
        <v>180.3</v>
      </c>
      <c r="J8147">
        <v>0</v>
      </c>
      <c r="K8147">
        <v>0</v>
      </c>
      <c r="L8147">
        <v>0</v>
      </c>
      <c r="M8147">
        <v>549</v>
      </c>
      <c r="N8147">
        <v>98983.680000000008</v>
      </c>
      <c r="O8147">
        <v>180.3</v>
      </c>
    </row>
    <row r="8148" spans="1:15" x14ac:dyDescent="0.35">
      <c r="A8148" t="s">
        <v>8820</v>
      </c>
      <c r="B8148" t="s">
        <v>167</v>
      </c>
      <c r="C8148" t="s">
        <v>1059</v>
      </c>
      <c r="D8148" t="s">
        <v>314</v>
      </c>
      <c r="E8148" t="s">
        <v>294</v>
      </c>
      <c r="F8148" t="s">
        <v>8831</v>
      </c>
      <c r="G8148">
        <v>38</v>
      </c>
      <c r="H8148">
        <v>7588.22</v>
      </c>
      <c r="I8148">
        <v>199.69</v>
      </c>
      <c r="J8148">
        <v>0</v>
      </c>
      <c r="K8148">
        <v>0</v>
      </c>
      <c r="L8148">
        <v>0</v>
      </c>
      <c r="M8148">
        <v>38</v>
      </c>
      <c r="N8148">
        <v>7588.22</v>
      </c>
      <c r="O8148">
        <v>199.69</v>
      </c>
    </row>
    <row r="8149" spans="1:15" x14ac:dyDescent="0.35">
      <c r="A8149" t="s">
        <v>8820</v>
      </c>
      <c r="B8149" t="s">
        <v>167</v>
      </c>
      <c r="C8149" t="s">
        <v>1059</v>
      </c>
      <c r="D8149" t="s">
        <v>314</v>
      </c>
      <c r="E8149" t="s">
        <v>296</v>
      </c>
      <c r="F8149" t="s">
        <v>8832</v>
      </c>
      <c r="G8149">
        <v>53</v>
      </c>
      <c r="H8149">
        <v>11511.07</v>
      </c>
      <c r="I8149">
        <v>217.19</v>
      </c>
      <c r="J8149">
        <v>0</v>
      </c>
      <c r="K8149">
        <v>0</v>
      </c>
      <c r="L8149">
        <v>0</v>
      </c>
      <c r="M8149">
        <v>53</v>
      </c>
      <c r="N8149">
        <v>11511.07</v>
      </c>
      <c r="O8149">
        <v>217.19</v>
      </c>
    </row>
    <row r="8150" spans="1:15" x14ac:dyDescent="0.35">
      <c r="A8150" t="s">
        <v>8820</v>
      </c>
      <c r="B8150" t="s">
        <v>167</v>
      </c>
      <c r="C8150" t="s">
        <v>1059</v>
      </c>
      <c r="D8150" t="s">
        <v>314</v>
      </c>
      <c r="E8150" t="s">
        <v>298</v>
      </c>
      <c r="F8150" t="s">
        <v>8833</v>
      </c>
      <c r="G8150">
        <v>0</v>
      </c>
      <c r="H8150">
        <v>0</v>
      </c>
      <c r="I8150">
        <v>0</v>
      </c>
      <c r="J8150">
        <v>0</v>
      </c>
      <c r="K8150">
        <v>0</v>
      </c>
      <c r="L8150">
        <v>0</v>
      </c>
      <c r="M8150">
        <v>0</v>
      </c>
      <c r="N8150">
        <v>0</v>
      </c>
      <c r="O8150">
        <v>0</v>
      </c>
    </row>
    <row r="8151" spans="1:15" x14ac:dyDescent="0.35">
      <c r="A8151" t="s">
        <v>8820</v>
      </c>
      <c r="B8151" t="s">
        <v>167</v>
      </c>
      <c r="C8151" t="s">
        <v>1059</v>
      </c>
      <c r="D8151" t="s">
        <v>314</v>
      </c>
      <c r="E8151" t="s">
        <v>300</v>
      </c>
      <c r="F8151" t="s">
        <v>8834</v>
      </c>
      <c r="G8151">
        <v>0</v>
      </c>
      <c r="H8151">
        <v>0</v>
      </c>
      <c r="I8151">
        <v>0</v>
      </c>
      <c r="J8151">
        <v>0</v>
      </c>
      <c r="K8151">
        <v>0</v>
      </c>
      <c r="L8151">
        <v>0</v>
      </c>
      <c r="M8151">
        <v>0</v>
      </c>
      <c r="N8151">
        <v>0</v>
      </c>
      <c r="O8151">
        <v>0</v>
      </c>
    </row>
    <row r="8152" spans="1:15" x14ac:dyDescent="0.35">
      <c r="A8152" t="s">
        <v>8820</v>
      </c>
      <c r="B8152" t="s">
        <v>167</v>
      </c>
      <c r="C8152" t="s">
        <v>1059</v>
      </c>
      <c r="D8152" t="s">
        <v>314</v>
      </c>
      <c r="E8152" t="s">
        <v>306</v>
      </c>
      <c r="F8152" t="s">
        <v>8835</v>
      </c>
      <c r="G8152">
        <v>0</v>
      </c>
      <c r="H8152">
        <v>0</v>
      </c>
      <c r="I8152">
        <v>0</v>
      </c>
      <c r="J8152">
        <v>0</v>
      </c>
      <c r="K8152">
        <v>0</v>
      </c>
      <c r="L8152">
        <v>0</v>
      </c>
      <c r="M8152">
        <v>0</v>
      </c>
      <c r="N8152">
        <v>0</v>
      </c>
      <c r="O8152">
        <v>0</v>
      </c>
    </row>
    <row r="8153" spans="1:15" x14ac:dyDescent="0.35">
      <c r="A8153" t="s">
        <v>8820</v>
      </c>
      <c r="B8153" t="s">
        <v>167</v>
      </c>
      <c r="C8153" t="s">
        <v>1059</v>
      </c>
      <c r="D8153" t="s">
        <v>314</v>
      </c>
      <c r="E8153" t="s">
        <v>308</v>
      </c>
      <c r="F8153" t="s">
        <v>8836</v>
      </c>
      <c r="G8153">
        <v>0</v>
      </c>
      <c r="H8153">
        <v>0</v>
      </c>
      <c r="I8153">
        <v>0</v>
      </c>
      <c r="J8153">
        <v>0</v>
      </c>
      <c r="K8153">
        <v>0</v>
      </c>
      <c r="L8153">
        <v>0</v>
      </c>
      <c r="M8153">
        <v>0</v>
      </c>
      <c r="N8153">
        <v>0</v>
      </c>
      <c r="O8153">
        <v>0</v>
      </c>
    </row>
    <row r="8154" spans="1:15" x14ac:dyDescent="0.35">
      <c r="A8154" t="s">
        <v>8820</v>
      </c>
      <c r="B8154" t="s">
        <v>167</v>
      </c>
      <c r="C8154" t="s">
        <v>1059</v>
      </c>
      <c r="D8154" t="s">
        <v>314</v>
      </c>
      <c r="E8154" t="s">
        <v>312</v>
      </c>
      <c r="F8154" t="s">
        <v>8837</v>
      </c>
      <c r="G8154">
        <v>91</v>
      </c>
      <c r="H8154">
        <v>19099.29</v>
      </c>
      <c r="I8154">
        <v>209.88</v>
      </c>
      <c r="J8154">
        <v>0</v>
      </c>
      <c r="K8154">
        <v>0</v>
      </c>
      <c r="L8154">
        <v>0</v>
      </c>
      <c r="M8154">
        <v>91</v>
      </c>
      <c r="N8154">
        <v>19099.29</v>
      </c>
      <c r="O8154">
        <v>209.88</v>
      </c>
    </row>
    <row r="8155" spans="1:15" x14ac:dyDescent="0.35">
      <c r="A8155" t="s">
        <v>8820</v>
      </c>
      <c r="B8155" t="s">
        <v>167</v>
      </c>
      <c r="C8155" t="s">
        <v>1059</v>
      </c>
      <c r="D8155" t="s">
        <v>314</v>
      </c>
      <c r="E8155" t="s">
        <v>310</v>
      </c>
      <c r="F8155" t="s">
        <v>8838</v>
      </c>
      <c r="G8155">
        <v>91</v>
      </c>
      <c r="H8155">
        <v>19099.29</v>
      </c>
      <c r="I8155">
        <v>209.88</v>
      </c>
      <c r="J8155">
        <v>0</v>
      </c>
      <c r="K8155">
        <v>0</v>
      </c>
      <c r="L8155">
        <v>0</v>
      </c>
      <c r="M8155">
        <v>91</v>
      </c>
      <c r="N8155">
        <v>19099.29</v>
      </c>
      <c r="O8155">
        <v>209.88</v>
      </c>
    </row>
    <row r="8156" spans="1:15" x14ac:dyDescent="0.35">
      <c r="A8156" t="s">
        <v>8820</v>
      </c>
      <c r="B8156" t="s">
        <v>167</v>
      </c>
      <c r="C8156" t="s">
        <v>1059</v>
      </c>
      <c r="D8156" t="s">
        <v>323</v>
      </c>
      <c r="E8156" t="s">
        <v>294</v>
      </c>
      <c r="F8156" t="s">
        <v>8839</v>
      </c>
      <c r="G8156">
        <v>1097</v>
      </c>
      <c r="H8156">
        <v>121514.13999999998</v>
      </c>
      <c r="I8156">
        <v>110.77</v>
      </c>
      <c r="J8156">
        <v>0</v>
      </c>
      <c r="K8156">
        <v>0</v>
      </c>
      <c r="L8156">
        <v>0</v>
      </c>
      <c r="M8156">
        <v>1097</v>
      </c>
      <c r="N8156">
        <v>121514.13999999998</v>
      </c>
      <c r="O8156">
        <v>110.77</v>
      </c>
    </row>
    <row r="8157" spans="1:15" x14ac:dyDescent="0.35">
      <c r="A8157" t="s">
        <v>8820</v>
      </c>
      <c r="B8157" t="s">
        <v>167</v>
      </c>
      <c r="C8157" t="s">
        <v>1059</v>
      </c>
      <c r="D8157" t="s">
        <v>323</v>
      </c>
      <c r="E8157" t="s">
        <v>296</v>
      </c>
      <c r="F8157" t="s">
        <v>8840</v>
      </c>
      <c r="G8157">
        <v>3259</v>
      </c>
      <c r="H8157">
        <v>418289.94</v>
      </c>
      <c r="I8157">
        <v>128.35</v>
      </c>
      <c r="J8157">
        <v>0</v>
      </c>
      <c r="K8157">
        <v>0</v>
      </c>
      <c r="L8157">
        <v>0</v>
      </c>
      <c r="M8157">
        <v>3259</v>
      </c>
      <c r="N8157">
        <v>418289.94</v>
      </c>
      <c r="O8157">
        <v>128.35</v>
      </c>
    </row>
    <row r="8158" spans="1:15" x14ac:dyDescent="0.35">
      <c r="A8158" t="s">
        <v>8820</v>
      </c>
      <c r="B8158" t="s">
        <v>167</v>
      </c>
      <c r="C8158" t="s">
        <v>1059</v>
      </c>
      <c r="D8158" t="s">
        <v>323</v>
      </c>
      <c r="E8158" t="s">
        <v>298</v>
      </c>
      <c r="F8158" t="s">
        <v>8841</v>
      </c>
      <c r="G8158">
        <v>2537</v>
      </c>
      <c r="H8158">
        <v>360518.61</v>
      </c>
      <c r="I8158">
        <v>142.1</v>
      </c>
      <c r="J8158">
        <v>0</v>
      </c>
      <c r="K8158">
        <v>0</v>
      </c>
      <c r="L8158">
        <v>0</v>
      </c>
      <c r="M8158">
        <v>2537</v>
      </c>
      <c r="N8158">
        <v>360518.61</v>
      </c>
      <c r="O8158">
        <v>142.1</v>
      </c>
    </row>
    <row r="8159" spans="1:15" x14ac:dyDescent="0.35">
      <c r="A8159" t="s">
        <v>8820</v>
      </c>
      <c r="B8159" t="s">
        <v>167</v>
      </c>
      <c r="C8159" t="s">
        <v>1059</v>
      </c>
      <c r="D8159" t="s">
        <v>323</v>
      </c>
      <c r="E8159" t="s">
        <v>300</v>
      </c>
      <c r="F8159" t="s">
        <v>8842</v>
      </c>
      <c r="G8159">
        <v>367</v>
      </c>
      <c r="H8159">
        <v>64458.030000000006</v>
      </c>
      <c r="I8159">
        <v>175.63</v>
      </c>
      <c r="J8159">
        <v>0</v>
      </c>
      <c r="K8159">
        <v>0</v>
      </c>
      <c r="L8159">
        <v>0</v>
      </c>
      <c r="M8159">
        <v>367</v>
      </c>
      <c r="N8159">
        <v>64458.030000000006</v>
      </c>
      <c r="O8159">
        <v>175.63</v>
      </c>
    </row>
    <row r="8160" spans="1:15" x14ac:dyDescent="0.35">
      <c r="A8160" t="s">
        <v>8820</v>
      </c>
      <c r="B8160" t="s">
        <v>167</v>
      </c>
      <c r="C8160" t="s">
        <v>1059</v>
      </c>
      <c r="D8160" t="s">
        <v>323</v>
      </c>
      <c r="E8160" t="s">
        <v>302</v>
      </c>
      <c r="F8160" t="s">
        <v>8843</v>
      </c>
      <c r="G8160">
        <v>4</v>
      </c>
      <c r="H8160">
        <v>687.72</v>
      </c>
      <c r="I8160">
        <v>171.93</v>
      </c>
      <c r="J8160">
        <v>0</v>
      </c>
      <c r="K8160">
        <v>0</v>
      </c>
      <c r="L8160">
        <v>0</v>
      </c>
      <c r="M8160">
        <v>4</v>
      </c>
      <c r="N8160">
        <v>687.72</v>
      </c>
      <c r="O8160">
        <v>171.93</v>
      </c>
    </row>
    <row r="8161" spans="1:15" x14ac:dyDescent="0.35">
      <c r="A8161" t="s">
        <v>8820</v>
      </c>
      <c r="B8161" t="s">
        <v>167</v>
      </c>
      <c r="C8161" t="s">
        <v>1059</v>
      </c>
      <c r="D8161" t="s">
        <v>323</v>
      </c>
      <c r="E8161" t="s">
        <v>304</v>
      </c>
      <c r="F8161" t="s">
        <v>8844</v>
      </c>
      <c r="G8161">
        <v>0</v>
      </c>
      <c r="H8161">
        <v>0</v>
      </c>
      <c r="I8161">
        <v>0</v>
      </c>
      <c r="J8161">
        <v>0</v>
      </c>
      <c r="K8161">
        <v>0</v>
      </c>
      <c r="L8161">
        <v>0</v>
      </c>
      <c r="M8161">
        <v>0</v>
      </c>
      <c r="N8161">
        <v>0</v>
      </c>
      <c r="O8161">
        <v>0</v>
      </c>
    </row>
    <row r="8162" spans="1:15" x14ac:dyDescent="0.35">
      <c r="A8162" t="s">
        <v>8820</v>
      </c>
      <c r="B8162" t="s">
        <v>167</v>
      </c>
      <c r="C8162" t="s">
        <v>1059</v>
      </c>
      <c r="D8162" t="s">
        <v>323</v>
      </c>
      <c r="E8162" t="s">
        <v>306</v>
      </c>
      <c r="F8162" t="s">
        <v>8845</v>
      </c>
      <c r="G8162">
        <v>1</v>
      </c>
      <c r="H8162">
        <v>102.18</v>
      </c>
      <c r="I8162">
        <v>102.18</v>
      </c>
      <c r="J8162">
        <v>0</v>
      </c>
      <c r="K8162">
        <v>0</v>
      </c>
      <c r="L8162">
        <v>0</v>
      </c>
      <c r="M8162">
        <v>1</v>
      </c>
      <c r="N8162">
        <v>102.18</v>
      </c>
      <c r="O8162">
        <v>102.18</v>
      </c>
    </row>
    <row r="8163" spans="1:15" x14ac:dyDescent="0.35">
      <c r="A8163" t="s">
        <v>8820</v>
      </c>
      <c r="B8163" t="s">
        <v>167</v>
      </c>
      <c r="C8163" t="s">
        <v>1059</v>
      </c>
      <c r="D8163" t="s">
        <v>323</v>
      </c>
      <c r="E8163" t="s">
        <v>308</v>
      </c>
      <c r="F8163" t="s">
        <v>8846</v>
      </c>
      <c r="G8163">
        <v>0</v>
      </c>
      <c r="H8163">
        <v>0</v>
      </c>
      <c r="I8163">
        <v>0</v>
      </c>
      <c r="J8163">
        <v>0</v>
      </c>
      <c r="K8163">
        <v>0</v>
      </c>
      <c r="L8163">
        <v>0</v>
      </c>
      <c r="M8163">
        <v>0</v>
      </c>
      <c r="N8163">
        <v>0</v>
      </c>
      <c r="O8163">
        <v>0</v>
      </c>
    </row>
    <row r="8164" spans="1:15" x14ac:dyDescent="0.35">
      <c r="A8164" t="s">
        <v>8820</v>
      </c>
      <c r="B8164" t="s">
        <v>167</v>
      </c>
      <c r="C8164" t="s">
        <v>1059</v>
      </c>
      <c r="D8164" t="s">
        <v>323</v>
      </c>
      <c r="E8164" t="s">
        <v>310</v>
      </c>
      <c r="F8164" t="s">
        <v>8847</v>
      </c>
      <c r="G8164">
        <v>7265</v>
      </c>
      <c r="H8164">
        <v>965570.62</v>
      </c>
      <c r="I8164">
        <v>132.91</v>
      </c>
      <c r="J8164">
        <v>0</v>
      </c>
      <c r="K8164">
        <v>0</v>
      </c>
      <c r="L8164">
        <v>0</v>
      </c>
      <c r="M8164">
        <v>7265</v>
      </c>
      <c r="N8164">
        <v>965570.62</v>
      </c>
      <c r="O8164">
        <v>132.91</v>
      </c>
    </row>
    <row r="8165" spans="1:15" x14ac:dyDescent="0.35">
      <c r="A8165" t="s">
        <v>8820</v>
      </c>
      <c r="B8165" t="s">
        <v>167</v>
      </c>
      <c r="C8165" t="s">
        <v>1059</v>
      </c>
      <c r="D8165" t="s">
        <v>323</v>
      </c>
      <c r="E8165" t="s">
        <v>312</v>
      </c>
      <c r="F8165" t="s">
        <v>8848</v>
      </c>
      <c r="G8165">
        <v>7265</v>
      </c>
      <c r="H8165">
        <v>965570.62</v>
      </c>
      <c r="I8165">
        <v>132.91</v>
      </c>
      <c r="J8165">
        <v>0</v>
      </c>
      <c r="K8165">
        <v>0</v>
      </c>
      <c r="L8165">
        <v>0</v>
      </c>
      <c r="M8165">
        <v>7265</v>
      </c>
      <c r="N8165">
        <v>965570.62</v>
      </c>
      <c r="O8165">
        <v>132.91</v>
      </c>
    </row>
    <row r="8166" spans="1:15" x14ac:dyDescent="0.35">
      <c r="A8166" t="s">
        <v>8820</v>
      </c>
      <c r="B8166" t="s">
        <v>167</v>
      </c>
      <c r="C8166" t="s">
        <v>1059</v>
      </c>
      <c r="D8166" t="s">
        <v>334</v>
      </c>
      <c r="E8166" t="s">
        <v>312</v>
      </c>
      <c r="F8166" t="s">
        <v>8849</v>
      </c>
      <c r="G8166">
        <v>8174</v>
      </c>
      <c r="H8166">
        <v>1064554.2999999998</v>
      </c>
      <c r="I8166">
        <v>136.24</v>
      </c>
      <c r="J8166">
        <v>0</v>
      </c>
      <c r="K8166">
        <v>0</v>
      </c>
      <c r="L8166">
        <v>0</v>
      </c>
      <c r="M8166">
        <v>8174</v>
      </c>
      <c r="N8166">
        <v>1064554.2999999998</v>
      </c>
      <c r="O8166">
        <v>136.24</v>
      </c>
    </row>
    <row r="8167" spans="1:15" x14ac:dyDescent="0.35">
      <c r="A8167" t="s">
        <v>8820</v>
      </c>
      <c r="B8167" t="s">
        <v>167</v>
      </c>
      <c r="C8167" t="s">
        <v>1059</v>
      </c>
      <c r="D8167" t="s">
        <v>334</v>
      </c>
      <c r="E8167" t="s">
        <v>308</v>
      </c>
      <c r="F8167" t="s">
        <v>8850</v>
      </c>
      <c r="G8167">
        <v>2</v>
      </c>
      <c r="H8167">
        <v>194.64</v>
      </c>
      <c r="I8167">
        <v>97.32</v>
      </c>
      <c r="J8167">
        <v>0</v>
      </c>
      <c r="K8167">
        <v>0</v>
      </c>
      <c r="L8167">
        <v>0</v>
      </c>
      <c r="M8167">
        <v>2</v>
      </c>
      <c r="N8167">
        <v>194.64</v>
      </c>
      <c r="O8167">
        <v>97.32</v>
      </c>
    </row>
    <row r="8168" spans="1:15" x14ac:dyDescent="0.35">
      <c r="A8168" t="s">
        <v>8820</v>
      </c>
      <c r="B8168" t="s">
        <v>167</v>
      </c>
      <c r="C8168" t="s">
        <v>1059</v>
      </c>
      <c r="D8168" t="s">
        <v>337</v>
      </c>
      <c r="E8168" t="s">
        <v>337</v>
      </c>
      <c r="F8168" t="s">
        <v>8851</v>
      </c>
      <c r="G8168">
        <v>1390</v>
      </c>
      <c r="J8168">
        <v>0</v>
      </c>
      <c r="M8168">
        <v>1390</v>
      </c>
    </row>
    <row r="8169" spans="1:15" x14ac:dyDescent="0.35">
      <c r="A8169" t="s">
        <v>8820</v>
      </c>
      <c r="B8169" t="s">
        <v>167</v>
      </c>
      <c r="C8169" t="s">
        <v>1059</v>
      </c>
      <c r="D8169" t="s">
        <v>339</v>
      </c>
      <c r="E8169" t="s">
        <v>294</v>
      </c>
      <c r="F8169" t="s">
        <v>8852</v>
      </c>
      <c r="G8169">
        <v>513</v>
      </c>
      <c r="H8169">
        <v>60152.740000000005</v>
      </c>
      <c r="I8169">
        <v>117.26</v>
      </c>
      <c r="J8169">
        <v>0</v>
      </c>
      <c r="K8169">
        <v>0</v>
      </c>
      <c r="L8169">
        <v>0</v>
      </c>
      <c r="M8169">
        <v>513</v>
      </c>
      <c r="N8169">
        <v>60152.740000000005</v>
      </c>
      <c r="O8169">
        <v>117.26</v>
      </c>
    </row>
    <row r="8170" spans="1:15" x14ac:dyDescent="0.35">
      <c r="A8170" t="s">
        <v>8820</v>
      </c>
      <c r="B8170" t="s">
        <v>167</v>
      </c>
      <c r="C8170" t="s">
        <v>1059</v>
      </c>
      <c r="D8170" t="s">
        <v>339</v>
      </c>
      <c r="E8170" t="s">
        <v>296</v>
      </c>
      <c r="F8170" t="s">
        <v>8853</v>
      </c>
      <c r="G8170">
        <v>207</v>
      </c>
      <c r="H8170">
        <v>31249.379999999997</v>
      </c>
      <c r="I8170">
        <v>150.96</v>
      </c>
      <c r="J8170">
        <v>0</v>
      </c>
      <c r="K8170">
        <v>0</v>
      </c>
      <c r="L8170">
        <v>0</v>
      </c>
      <c r="M8170">
        <v>207</v>
      </c>
      <c r="N8170">
        <v>31249.379999999997</v>
      </c>
      <c r="O8170">
        <v>150.96</v>
      </c>
    </row>
    <row r="8171" spans="1:15" x14ac:dyDescent="0.35">
      <c r="A8171" t="s">
        <v>8820</v>
      </c>
      <c r="B8171" t="s">
        <v>167</v>
      </c>
      <c r="C8171" t="s">
        <v>1059</v>
      </c>
      <c r="D8171" t="s">
        <v>339</v>
      </c>
      <c r="E8171" t="s">
        <v>298</v>
      </c>
      <c r="F8171" t="s">
        <v>8854</v>
      </c>
      <c r="G8171">
        <v>10</v>
      </c>
      <c r="H8171">
        <v>1368.1</v>
      </c>
      <c r="I8171">
        <v>136.81</v>
      </c>
      <c r="J8171">
        <v>0</v>
      </c>
      <c r="K8171">
        <v>0</v>
      </c>
      <c r="L8171">
        <v>0</v>
      </c>
      <c r="M8171">
        <v>10</v>
      </c>
      <c r="N8171">
        <v>1368.1</v>
      </c>
      <c r="O8171">
        <v>136.81</v>
      </c>
    </row>
    <row r="8172" spans="1:15" x14ac:dyDescent="0.35">
      <c r="A8172" t="s">
        <v>8820</v>
      </c>
      <c r="B8172" t="s">
        <v>167</v>
      </c>
      <c r="C8172" t="s">
        <v>1059</v>
      </c>
      <c r="D8172" t="s">
        <v>339</v>
      </c>
      <c r="E8172" t="s">
        <v>300</v>
      </c>
      <c r="F8172" t="s">
        <v>8855</v>
      </c>
      <c r="G8172">
        <v>0</v>
      </c>
      <c r="H8172">
        <v>0</v>
      </c>
      <c r="I8172">
        <v>0</v>
      </c>
      <c r="J8172">
        <v>0</v>
      </c>
      <c r="K8172">
        <v>0</v>
      </c>
      <c r="L8172">
        <v>0</v>
      </c>
      <c r="M8172">
        <v>0</v>
      </c>
      <c r="N8172">
        <v>0</v>
      </c>
      <c r="O8172">
        <v>0</v>
      </c>
    </row>
    <row r="8173" spans="1:15" x14ac:dyDescent="0.35">
      <c r="A8173" t="s">
        <v>8820</v>
      </c>
      <c r="B8173" t="s">
        <v>167</v>
      </c>
      <c r="C8173" t="s">
        <v>1059</v>
      </c>
      <c r="D8173" t="s">
        <v>339</v>
      </c>
      <c r="E8173" t="s">
        <v>306</v>
      </c>
      <c r="F8173" t="s">
        <v>8856</v>
      </c>
      <c r="G8173">
        <v>13</v>
      </c>
      <c r="H8173">
        <v>1288.04</v>
      </c>
      <c r="I8173">
        <v>99.08</v>
      </c>
      <c r="J8173">
        <v>0</v>
      </c>
      <c r="K8173">
        <v>0</v>
      </c>
      <c r="L8173">
        <v>0</v>
      </c>
      <c r="M8173">
        <v>13</v>
      </c>
      <c r="N8173">
        <v>1288.04</v>
      </c>
      <c r="O8173">
        <v>99.08</v>
      </c>
    </row>
    <row r="8174" spans="1:15" x14ac:dyDescent="0.35">
      <c r="A8174" t="s">
        <v>8820</v>
      </c>
      <c r="B8174" t="s">
        <v>167</v>
      </c>
      <c r="C8174" t="s">
        <v>1059</v>
      </c>
      <c r="D8174" t="s">
        <v>339</v>
      </c>
      <c r="E8174" t="s">
        <v>308</v>
      </c>
      <c r="F8174" t="s">
        <v>8857</v>
      </c>
      <c r="G8174">
        <v>21</v>
      </c>
      <c r="H8174">
        <v>4426.91</v>
      </c>
      <c r="I8174">
        <v>210.81</v>
      </c>
      <c r="J8174">
        <v>0</v>
      </c>
      <c r="K8174">
        <v>0</v>
      </c>
      <c r="L8174">
        <v>0</v>
      </c>
      <c r="M8174">
        <v>21</v>
      </c>
      <c r="N8174">
        <v>4426.91</v>
      </c>
      <c r="O8174">
        <v>210.81</v>
      </c>
    </row>
    <row r="8175" spans="1:15" x14ac:dyDescent="0.35">
      <c r="A8175" t="s">
        <v>8820</v>
      </c>
      <c r="B8175" t="s">
        <v>167</v>
      </c>
      <c r="C8175" t="s">
        <v>1059</v>
      </c>
      <c r="D8175" t="s">
        <v>339</v>
      </c>
      <c r="E8175" t="s">
        <v>310</v>
      </c>
      <c r="F8175" t="s">
        <v>8858</v>
      </c>
      <c r="G8175">
        <v>764</v>
      </c>
      <c r="H8175">
        <v>98485.17</v>
      </c>
      <c r="I8175">
        <v>128.91</v>
      </c>
      <c r="J8175">
        <v>0</v>
      </c>
      <c r="K8175">
        <v>0</v>
      </c>
      <c r="L8175">
        <v>0</v>
      </c>
      <c r="M8175">
        <v>764</v>
      </c>
      <c r="N8175">
        <v>98485.17</v>
      </c>
      <c r="O8175">
        <v>128.91</v>
      </c>
    </row>
    <row r="8176" spans="1:15" x14ac:dyDescent="0.35">
      <c r="A8176" t="s">
        <v>8820</v>
      </c>
      <c r="B8176" t="s">
        <v>167</v>
      </c>
      <c r="C8176" t="s">
        <v>1059</v>
      </c>
      <c r="D8176" t="s">
        <v>339</v>
      </c>
      <c r="E8176" t="s">
        <v>312</v>
      </c>
      <c r="F8176" t="s">
        <v>8859</v>
      </c>
      <c r="G8176">
        <v>743</v>
      </c>
      <c r="H8176">
        <v>94058.26</v>
      </c>
      <c r="I8176">
        <v>126.59</v>
      </c>
      <c r="J8176">
        <v>0</v>
      </c>
      <c r="K8176">
        <v>0</v>
      </c>
      <c r="L8176">
        <v>0</v>
      </c>
      <c r="M8176">
        <v>743</v>
      </c>
      <c r="N8176">
        <v>94058.26</v>
      </c>
      <c r="O8176">
        <v>126.59</v>
      </c>
    </row>
    <row r="8177" spans="1:15" x14ac:dyDescent="0.35">
      <c r="A8177" t="s">
        <v>8820</v>
      </c>
      <c r="B8177" t="s">
        <v>167</v>
      </c>
      <c r="C8177" t="s">
        <v>1059</v>
      </c>
      <c r="D8177" t="s">
        <v>348</v>
      </c>
      <c r="E8177" t="s">
        <v>349</v>
      </c>
      <c r="F8177" t="s">
        <v>8860</v>
      </c>
      <c r="G8177">
        <v>942</v>
      </c>
      <c r="H8177">
        <v>117584.46</v>
      </c>
      <c r="I8177">
        <v>137.53</v>
      </c>
      <c r="J8177">
        <v>0</v>
      </c>
      <c r="K8177">
        <v>0</v>
      </c>
      <c r="L8177">
        <v>0</v>
      </c>
      <c r="M8177">
        <v>942</v>
      </c>
      <c r="N8177">
        <v>117584.46</v>
      </c>
      <c r="O8177">
        <v>137.53</v>
      </c>
    </row>
    <row r="8178" spans="1:15" x14ac:dyDescent="0.35">
      <c r="A8178" t="s">
        <v>8861</v>
      </c>
      <c r="B8178" t="s">
        <v>198</v>
      </c>
      <c r="C8178" t="s">
        <v>1059</v>
      </c>
      <c r="D8178" t="s">
        <v>293</v>
      </c>
      <c r="E8178" t="s">
        <v>294</v>
      </c>
      <c r="F8178" t="s">
        <v>8862</v>
      </c>
      <c r="G8178">
        <v>181</v>
      </c>
      <c r="H8178">
        <v>26793.79</v>
      </c>
      <c r="I8178">
        <v>148.03</v>
      </c>
      <c r="J8178">
        <v>36</v>
      </c>
      <c r="K8178">
        <v>5484.9600000000009</v>
      </c>
      <c r="L8178">
        <v>152.36000000000001</v>
      </c>
      <c r="M8178">
        <v>217</v>
      </c>
      <c r="N8178">
        <v>32278.75</v>
      </c>
      <c r="O8178">
        <v>148.75</v>
      </c>
    </row>
    <row r="8179" spans="1:15" x14ac:dyDescent="0.35">
      <c r="A8179" t="s">
        <v>8861</v>
      </c>
      <c r="B8179" t="s">
        <v>198</v>
      </c>
      <c r="C8179" t="s">
        <v>1059</v>
      </c>
      <c r="D8179" t="s">
        <v>293</v>
      </c>
      <c r="E8179" t="s">
        <v>296</v>
      </c>
      <c r="F8179" t="s">
        <v>8863</v>
      </c>
      <c r="G8179">
        <v>540</v>
      </c>
      <c r="H8179">
        <v>97849.790000000008</v>
      </c>
      <c r="I8179">
        <v>181.2</v>
      </c>
      <c r="J8179">
        <v>86</v>
      </c>
      <c r="K8179">
        <v>16895.560000000001</v>
      </c>
      <c r="L8179">
        <v>196.46</v>
      </c>
      <c r="M8179">
        <v>626</v>
      </c>
      <c r="N8179">
        <v>114745.35</v>
      </c>
      <c r="O8179">
        <v>183.3</v>
      </c>
    </row>
    <row r="8180" spans="1:15" x14ac:dyDescent="0.35">
      <c r="A8180" t="s">
        <v>8861</v>
      </c>
      <c r="B8180" t="s">
        <v>198</v>
      </c>
      <c r="C8180" t="s">
        <v>1059</v>
      </c>
      <c r="D8180" t="s">
        <v>293</v>
      </c>
      <c r="E8180" t="s">
        <v>298</v>
      </c>
      <c r="F8180" t="s">
        <v>8864</v>
      </c>
      <c r="G8180">
        <v>218</v>
      </c>
      <c r="H8180">
        <v>46479.35</v>
      </c>
      <c r="I8180">
        <v>213.21</v>
      </c>
      <c r="J8180">
        <v>69</v>
      </c>
      <c r="K8180">
        <v>17855.82</v>
      </c>
      <c r="L8180">
        <v>258.77999999999997</v>
      </c>
      <c r="M8180">
        <v>287</v>
      </c>
      <c r="N8180">
        <v>64335.17</v>
      </c>
      <c r="O8180">
        <v>224.16</v>
      </c>
    </row>
    <row r="8181" spans="1:15" x14ac:dyDescent="0.35">
      <c r="A8181" t="s">
        <v>8861</v>
      </c>
      <c r="B8181" t="s">
        <v>198</v>
      </c>
      <c r="C8181" t="s">
        <v>1059</v>
      </c>
      <c r="D8181" t="s">
        <v>293</v>
      </c>
      <c r="E8181" t="s">
        <v>300</v>
      </c>
      <c r="F8181" t="s">
        <v>8865</v>
      </c>
      <c r="G8181">
        <v>36</v>
      </c>
      <c r="H8181">
        <v>9333.36</v>
      </c>
      <c r="I8181">
        <v>259.26</v>
      </c>
      <c r="J8181">
        <v>18</v>
      </c>
      <c r="K8181">
        <v>5704.2</v>
      </c>
      <c r="L8181">
        <v>316.89999999999998</v>
      </c>
      <c r="M8181">
        <v>54</v>
      </c>
      <c r="N8181">
        <v>15037.560000000001</v>
      </c>
      <c r="O8181">
        <v>278.47000000000003</v>
      </c>
    </row>
    <row r="8182" spans="1:15" x14ac:dyDescent="0.35">
      <c r="A8182" t="s">
        <v>8861</v>
      </c>
      <c r="B8182" t="s">
        <v>198</v>
      </c>
      <c r="C8182" t="s">
        <v>1059</v>
      </c>
      <c r="D8182" t="s">
        <v>293</v>
      </c>
      <c r="E8182" t="s">
        <v>302</v>
      </c>
      <c r="F8182" t="s">
        <v>8866</v>
      </c>
      <c r="G8182">
        <v>0</v>
      </c>
      <c r="H8182">
        <v>0</v>
      </c>
      <c r="I8182">
        <v>0</v>
      </c>
      <c r="J8182">
        <v>0</v>
      </c>
      <c r="K8182">
        <v>0</v>
      </c>
      <c r="L8182">
        <v>0</v>
      </c>
      <c r="M8182">
        <v>0</v>
      </c>
      <c r="N8182">
        <v>0</v>
      </c>
      <c r="O8182">
        <v>0</v>
      </c>
    </row>
    <row r="8183" spans="1:15" x14ac:dyDescent="0.35">
      <c r="A8183" t="s">
        <v>8861</v>
      </c>
      <c r="B8183" t="s">
        <v>198</v>
      </c>
      <c r="C8183" t="s">
        <v>1059</v>
      </c>
      <c r="D8183" t="s">
        <v>293</v>
      </c>
      <c r="E8183" t="s">
        <v>304</v>
      </c>
      <c r="F8183" t="s">
        <v>8867</v>
      </c>
      <c r="G8183">
        <v>0</v>
      </c>
      <c r="H8183">
        <v>0</v>
      </c>
      <c r="I8183">
        <v>0</v>
      </c>
      <c r="J8183">
        <v>0</v>
      </c>
      <c r="K8183">
        <v>0</v>
      </c>
      <c r="L8183">
        <v>0</v>
      </c>
      <c r="M8183">
        <v>0</v>
      </c>
      <c r="N8183">
        <v>0</v>
      </c>
      <c r="O8183">
        <v>0</v>
      </c>
    </row>
    <row r="8184" spans="1:15" x14ac:dyDescent="0.35">
      <c r="A8184" t="s">
        <v>8861</v>
      </c>
      <c r="B8184" t="s">
        <v>198</v>
      </c>
      <c r="C8184" t="s">
        <v>1059</v>
      </c>
      <c r="D8184" t="s">
        <v>293</v>
      </c>
      <c r="E8184" t="s">
        <v>306</v>
      </c>
      <c r="F8184" t="s">
        <v>8868</v>
      </c>
      <c r="G8184">
        <v>4</v>
      </c>
      <c r="H8184">
        <v>331.72</v>
      </c>
      <c r="I8184">
        <v>82.93</v>
      </c>
      <c r="J8184">
        <v>0</v>
      </c>
      <c r="K8184">
        <v>0</v>
      </c>
      <c r="L8184">
        <v>0</v>
      </c>
      <c r="M8184">
        <v>4</v>
      </c>
      <c r="N8184">
        <v>331.72</v>
      </c>
      <c r="O8184">
        <v>82.93</v>
      </c>
    </row>
    <row r="8185" spans="1:15" x14ac:dyDescent="0.35">
      <c r="A8185" t="s">
        <v>8861</v>
      </c>
      <c r="B8185" t="s">
        <v>198</v>
      </c>
      <c r="C8185" t="s">
        <v>1059</v>
      </c>
      <c r="D8185" t="s">
        <v>293</v>
      </c>
      <c r="E8185" t="s">
        <v>308</v>
      </c>
      <c r="F8185" t="s">
        <v>8869</v>
      </c>
      <c r="G8185">
        <v>0</v>
      </c>
      <c r="H8185">
        <v>0</v>
      </c>
      <c r="I8185">
        <v>0</v>
      </c>
      <c r="J8185">
        <v>0</v>
      </c>
      <c r="K8185">
        <v>0</v>
      </c>
      <c r="L8185">
        <v>0</v>
      </c>
      <c r="M8185">
        <v>0</v>
      </c>
      <c r="N8185">
        <v>0</v>
      </c>
      <c r="O8185">
        <v>0</v>
      </c>
    </row>
    <row r="8186" spans="1:15" x14ac:dyDescent="0.35">
      <c r="A8186" t="s">
        <v>8861</v>
      </c>
      <c r="B8186" t="s">
        <v>198</v>
      </c>
      <c r="C8186" t="s">
        <v>1059</v>
      </c>
      <c r="D8186" t="s">
        <v>293</v>
      </c>
      <c r="E8186" t="s">
        <v>310</v>
      </c>
      <c r="F8186" t="s">
        <v>8870</v>
      </c>
      <c r="G8186">
        <v>979</v>
      </c>
      <c r="H8186">
        <v>180788.01000000004</v>
      </c>
      <c r="I8186">
        <v>184.67</v>
      </c>
      <c r="J8186">
        <v>209</v>
      </c>
      <c r="K8186">
        <v>45940.54</v>
      </c>
      <c r="L8186">
        <v>219.81</v>
      </c>
      <c r="M8186">
        <v>1188</v>
      </c>
      <c r="N8186">
        <v>226728.55000000005</v>
      </c>
      <c r="O8186">
        <v>190.85</v>
      </c>
    </row>
    <row r="8187" spans="1:15" x14ac:dyDescent="0.35">
      <c r="A8187" t="s">
        <v>8861</v>
      </c>
      <c r="B8187" t="s">
        <v>198</v>
      </c>
      <c r="C8187" t="s">
        <v>1059</v>
      </c>
      <c r="D8187" t="s">
        <v>293</v>
      </c>
      <c r="E8187" t="s">
        <v>312</v>
      </c>
      <c r="F8187" t="s">
        <v>8871</v>
      </c>
      <c r="G8187">
        <v>979</v>
      </c>
      <c r="H8187">
        <v>180788.01000000004</v>
      </c>
      <c r="I8187">
        <v>184.67</v>
      </c>
      <c r="J8187">
        <v>209</v>
      </c>
      <c r="K8187">
        <v>45940.54</v>
      </c>
      <c r="L8187">
        <v>219.81</v>
      </c>
      <c r="M8187">
        <v>1188</v>
      </c>
      <c r="N8187">
        <v>226728.55000000005</v>
      </c>
      <c r="O8187">
        <v>190.85</v>
      </c>
    </row>
    <row r="8188" spans="1:15" x14ac:dyDescent="0.35">
      <c r="A8188" t="s">
        <v>8861</v>
      </c>
      <c r="B8188" t="s">
        <v>198</v>
      </c>
      <c r="C8188" t="s">
        <v>1059</v>
      </c>
      <c r="D8188" t="s">
        <v>314</v>
      </c>
      <c r="E8188" t="s">
        <v>294</v>
      </c>
      <c r="F8188" t="s">
        <v>8872</v>
      </c>
      <c r="G8188">
        <v>3</v>
      </c>
      <c r="H8188">
        <v>541.14</v>
      </c>
      <c r="I8188">
        <v>180.38</v>
      </c>
      <c r="J8188">
        <v>0</v>
      </c>
      <c r="K8188">
        <v>0</v>
      </c>
      <c r="L8188">
        <v>0</v>
      </c>
      <c r="M8188">
        <v>3</v>
      </c>
      <c r="N8188">
        <v>541.14</v>
      </c>
      <c r="O8188">
        <v>180.38</v>
      </c>
    </row>
    <row r="8189" spans="1:15" x14ac:dyDescent="0.35">
      <c r="A8189" t="s">
        <v>8861</v>
      </c>
      <c r="B8189" t="s">
        <v>198</v>
      </c>
      <c r="C8189" t="s">
        <v>1059</v>
      </c>
      <c r="D8189" t="s">
        <v>314</v>
      </c>
      <c r="E8189" t="s">
        <v>296</v>
      </c>
      <c r="F8189" t="s">
        <v>8873</v>
      </c>
      <c r="G8189">
        <v>22</v>
      </c>
      <c r="H8189">
        <v>4411.88</v>
      </c>
      <c r="I8189">
        <v>200.54</v>
      </c>
      <c r="J8189">
        <v>0</v>
      </c>
      <c r="K8189">
        <v>0</v>
      </c>
      <c r="L8189">
        <v>0</v>
      </c>
      <c r="M8189">
        <v>22</v>
      </c>
      <c r="N8189">
        <v>4411.88</v>
      </c>
      <c r="O8189">
        <v>200.54</v>
      </c>
    </row>
    <row r="8190" spans="1:15" x14ac:dyDescent="0.35">
      <c r="A8190" t="s">
        <v>8861</v>
      </c>
      <c r="B8190" t="s">
        <v>198</v>
      </c>
      <c r="C8190" t="s">
        <v>1059</v>
      </c>
      <c r="D8190" t="s">
        <v>314</v>
      </c>
      <c r="E8190" t="s">
        <v>298</v>
      </c>
      <c r="F8190" t="s">
        <v>8874</v>
      </c>
      <c r="G8190">
        <v>0</v>
      </c>
      <c r="H8190">
        <v>0</v>
      </c>
      <c r="I8190">
        <v>0</v>
      </c>
      <c r="J8190">
        <v>0</v>
      </c>
      <c r="K8190">
        <v>0</v>
      </c>
      <c r="L8190">
        <v>0</v>
      </c>
      <c r="M8190">
        <v>0</v>
      </c>
      <c r="N8190">
        <v>0</v>
      </c>
      <c r="O8190">
        <v>0</v>
      </c>
    </row>
    <row r="8191" spans="1:15" x14ac:dyDescent="0.35">
      <c r="A8191" t="s">
        <v>8861</v>
      </c>
      <c r="B8191" t="s">
        <v>198</v>
      </c>
      <c r="C8191" t="s">
        <v>1059</v>
      </c>
      <c r="D8191" t="s">
        <v>314</v>
      </c>
      <c r="E8191" t="s">
        <v>300</v>
      </c>
      <c r="F8191" t="s">
        <v>8875</v>
      </c>
      <c r="G8191">
        <v>0</v>
      </c>
      <c r="H8191">
        <v>0</v>
      </c>
      <c r="I8191">
        <v>0</v>
      </c>
      <c r="J8191">
        <v>0</v>
      </c>
      <c r="K8191">
        <v>0</v>
      </c>
      <c r="L8191">
        <v>0</v>
      </c>
      <c r="M8191">
        <v>0</v>
      </c>
      <c r="N8191">
        <v>0</v>
      </c>
      <c r="O8191">
        <v>0</v>
      </c>
    </row>
    <row r="8192" spans="1:15" x14ac:dyDescent="0.35">
      <c r="A8192" t="s">
        <v>8861</v>
      </c>
      <c r="B8192" t="s">
        <v>198</v>
      </c>
      <c r="C8192" t="s">
        <v>1059</v>
      </c>
      <c r="D8192" t="s">
        <v>314</v>
      </c>
      <c r="E8192" t="s">
        <v>306</v>
      </c>
      <c r="F8192" t="s">
        <v>8876</v>
      </c>
      <c r="G8192">
        <v>0</v>
      </c>
      <c r="H8192">
        <v>0</v>
      </c>
      <c r="I8192">
        <v>0</v>
      </c>
      <c r="J8192">
        <v>0</v>
      </c>
      <c r="K8192">
        <v>0</v>
      </c>
      <c r="L8192">
        <v>0</v>
      </c>
      <c r="M8192">
        <v>0</v>
      </c>
      <c r="N8192">
        <v>0</v>
      </c>
      <c r="O8192">
        <v>0</v>
      </c>
    </row>
    <row r="8193" spans="1:15" x14ac:dyDescent="0.35">
      <c r="A8193" t="s">
        <v>8861</v>
      </c>
      <c r="B8193" t="s">
        <v>198</v>
      </c>
      <c r="C8193" t="s">
        <v>1059</v>
      </c>
      <c r="D8193" t="s">
        <v>314</v>
      </c>
      <c r="E8193" t="s">
        <v>308</v>
      </c>
      <c r="F8193" t="s">
        <v>8877</v>
      </c>
      <c r="G8193">
        <v>0</v>
      </c>
      <c r="H8193">
        <v>0</v>
      </c>
      <c r="I8193">
        <v>0</v>
      </c>
      <c r="J8193">
        <v>0</v>
      </c>
      <c r="K8193">
        <v>0</v>
      </c>
      <c r="L8193">
        <v>0</v>
      </c>
      <c r="M8193">
        <v>0</v>
      </c>
      <c r="N8193">
        <v>0</v>
      </c>
      <c r="O8193">
        <v>0</v>
      </c>
    </row>
    <row r="8194" spans="1:15" x14ac:dyDescent="0.35">
      <c r="A8194" t="s">
        <v>8861</v>
      </c>
      <c r="B8194" t="s">
        <v>198</v>
      </c>
      <c r="C8194" t="s">
        <v>1059</v>
      </c>
      <c r="D8194" t="s">
        <v>314</v>
      </c>
      <c r="E8194" t="s">
        <v>312</v>
      </c>
      <c r="F8194" t="s">
        <v>8878</v>
      </c>
      <c r="G8194">
        <v>25</v>
      </c>
      <c r="H8194">
        <v>4953.0200000000004</v>
      </c>
      <c r="I8194">
        <v>198.12</v>
      </c>
      <c r="J8194">
        <v>0</v>
      </c>
      <c r="K8194">
        <v>0</v>
      </c>
      <c r="L8194">
        <v>0</v>
      </c>
      <c r="M8194">
        <v>25</v>
      </c>
      <c r="N8194">
        <v>4953.0200000000004</v>
      </c>
      <c r="O8194">
        <v>198.12</v>
      </c>
    </row>
    <row r="8195" spans="1:15" x14ac:dyDescent="0.35">
      <c r="A8195" t="s">
        <v>8861</v>
      </c>
      <c r="B8195" t="s">
        <v>198</v>
      </c>
      <c r="C8195" t="s">
        <v>1059</v>
      </c>
      <c r="D8195" t="s">
        <v>314</v>
      </c>
      <c r="E8195" t="s">
        <v>310</v>
      </c>
      <c r="F8195" t="s">
        <v>8879</v>
      </c>
      <c r="G8195">
        <v>25</v>
      </c>
      <c r="H8195">
        <v>4953.0200000000004</v>
      </c>
      <c r="I8195">
        <v>198.12</v>
      </c>
      <c r="J8195">
        <v>0</v>
      </c>
      <c r="K8195">
        <v>0</v>
      </c>
      <c r="L8195">
        <v>0</v>
      </c>
      <c r="M8195">
        <v>25</v>
      </c>
      <c r="N8195">
        <v>4953.0200000000004</v>
      </c>
      <c r="O8195">
        <v>198.12</v>
      </c>
    </row>
    <row r="8196" spans="1:15" x14ac:dyDescent="0.35">
      <c r="A8196" t="s">
        <v>8861</v>
      </c>
      <c r="B8196" t="s">
        <v>198</v>
      </c>
      <c r="C8196" t="s">
        <v>1059</v>
      </c>
      <c r="D8196" t="s">
        <v>323</v>
      </c>
      <c r="E8196" t="s">
        <v>294</v>
      </c>
      <c r="F8196" t="s">
        <v>8880</v>
      </c>
      <c r="G8196">
        <v>739</v>
      </c>
      <c r="H8196">
        <v>82294.760000000009</v>
      </c>
      <c r="I8196">
        <v>111.36</v>
      </c>
      <c r="J8196">
        <v>1485</v>
      </c>
      <c r="K8196">
        <v>152197.65</v>
      </c>
      <c r="L8196">
        <v>102.49</v>
      </c>
      <c r="M8196">
        <v>2224</v>
      </c>
      <c r="N8196">
        <v>234492.41</v>
      </c>
      <c r="O8196">
        <v>105.44</v>
      </c>
    </row>
    <row r="8197" spans="1:15" x14ac:dyDescent="0.35">
      <c r="A8197" t="s">
        <v>8861</v>
      </c>
      <c r="B8197" t="s">
        <v>198</v>
      </c>
      <c r="C8197" t="s">
        <v>1059</v>
      </c>
      <c r="D8197" t="s">
        <v>323</v>
      </c>
      <c r="E8197" t="s">
        <v>296</v>
      </c>
      <c r="F8197" t="s">
        <v>8881</v>
      </c>
      <c r="G8197">
        <v>1378</v>
      </c>
      <c r="H8197">
        <v>185734.25999999995</v>
      </c>
      <c r="I8197">
        <v>134.79</v>
      </c>
      <c r="J8197">
        <v>1937</v>
      </c>
      <c r="K8197">
        <v>214987.62999999998</v>
      </c>
      <c r="L8197">
        <v>110.99</v>
      </c>
      <c r="M8197">
        <v>3315</v>
      </c>
      <c r="N8197">
        <v>400721.8899999999</v>
      </c>
      <c r="O8197">
        <v>120.88</v>
      </c>
    </row>
    <row r="8198" spans="1:15" x14ac:dyDescent="0.35">
      <c r="A8198" t="s">
        <v>8861</v>
      </c>
      <c r="B8198" t="s">
        <v>198</v>
      </c>
      <c r="C8198" t="s">
        <v>1059</v>
      </c>
      <c r="D8198" t="s">
        <v>323</v>
      </c>
      <c r="E8198" t="s">
        <v>298</v>
      </c>
      <c r="F8198" t="s">
        <v>8882</v>
      </c>
      <c r="G8198">
        <v>720</v>
      </c>
      <c r="H8198">
        <v>110351.11</v>
      </c>
      <c r="I8198">
        <v>153.27000000000001</v>
      </c>
      <c r="J8198">
        <v>1868</v>
      </c>
      <c r="K8198">
        <v>230380.44</v>
      </c>
      <c r="L8198">
        <v>123.33</v>
      </c>
      <c r="M8198">
        <v>2588</v>
      </c>
      <c r="N8198">
        <v>340731.55</v>
      </c>
      <c r="O8198">
        <v>131.66</v>
      </c>
    </row>
    <row r="8199" spans="1:15" x14ac:dyDescent="0.35">
      <c r="A8199" t="s">
        <v>8861</v>
      </c>
      <c r="B8199" t="s">
        <v>198</v>
      </c>
      <c r="C8199" t="s">
        <v>1059</v>
      </c>
      <c r="D8199" t="s">
        <v>323</v>
      </c>
      <c r="E8199" t="s">
        <v>300</v>
      </c>
      <c r="F8199" t="s">
        <v>8883</v>
      </c>
      <c r="G8199">
        <v>105</v>
      </c>
      <c r="H8199">
        <v>18518.439999999999</v>
      </c>
      <c r="I8199">
        <v>176.37</v>
      </c>
      <c r="J8199">
        <v>69</v>
      </c>
      <c r="K8199">
        <v>9584.1</v>
      </c>
      <c r="L8199">
        <v>138.9</v>
      </c>
      <c r="M8199">
        <v>174</v>
      </c>
      <c r="N8199">
        <v>28102.54</v>
      </c>
      <c r="O8199">
        <v>161.51</v>
      </c>
    </row>
    <row r="8200" spans="1:15" x14ac:dyDescent="0.35">
      <c r="A8200" t="s">
        <v>8861</v>
      </c>
      <c r="B8200" t="s">
        <v>198</v>
      </c>
      <c r="C8200" t="s">
        <v>1059</v>
      </c>
      <c r="D8200" t="s">
        <v>323</v>
      </c>
      <c r="E8200" t="s">
        <v>302</v>
      </c>
      <c r="F8200" t="s">
        <v>8884</v>
      </c>
      <c r="G8200">
        <v>2</v>
      </c>
      <c r="H8200">
        <v>326.32</v>
      </c>
      <c r="I8200">
        <v>163.16</v>
      </c>
      <c r="J8200">
        <v>4</v>
      </c>
      <c r="K8200">
        <v>636.4</v>
      </c>
      <c r="L8200">
        <v>159.1</v>
      </c>
      <c r="M8200">
        <v>6</v>
      </c>
      <c r="N8200">
        <v>962.72</v>
      </c>
      <c r="O8200">
        <v>160.44999999999999</v>
      </c>
    </row>
    <row r="8201" spans="1:15" x14ac:dyDescent="0.35">
      <c r="A8201" t="s">
        <v>8861</v>
      </c>
      <c r="B8201" t="s">
        <v>198</v>
      </c>
      <c r="C8201" t="s">
        <v>1059</v>
      </c>
      <c r="D8201" t="s">
        <v>323</v>
      </c>
      <c r="E8201" t="s">
        <v>304</v>
      </c>
      <c r="F8201" t="s">
        <v>8885</v>
      </c>
      <c r="G8201">
        <v>0</v>
      </c>
      <c r="H8201">
        <v>0</v>
      </c>
      <c r="I8201">
        <v>0</v>
      </c>
      <c r="J8201">
        <v>0</v>
      </c>
      <c r="K8201">
        <v>0</v>
      </c>
      <c r="L8201">
        <v>0</v>
      </c>
      <c r="M8201">
        <v>0</v>
      </c>
      <c r="N8201">
        <v>0</v>
      </c>
      <c r="O8201">
        <v>0</v>
      </c>
    </row>
    <row r="8202" spans="1:15" x14ac:dyDescent="0.35">
      <c r="A8202" t="s">
        <v>8861</v>
      </c>
      <c r="B8202" t="s">
        <v>198</v>
      </c>
      <c r="C8202" t="s">
        <v>1059</v>
      </c>
      <c r="D8202" t="s">
        <v>323</v>
      </c>
      <c r="E8202" t="s">
        <v>306</v>
      </c>
      <c r="F8202" t="s">
        <v>8886</v>
      </c>
      <c r="G8202">
        <v>43</v>
      </c>
      <c r="H8202">
        <v>3905.9300000000003</v>
      </c>
      <c r="I8202">
        <v>90.84</v>
      </c>
      <c r="J8202">
        <v>63</v>
      </c>
      <c r="K8202">
        <v>5010.3900000000003</v>
      </c>
      <c r="L8202">
        <v>79.53</v>
      </c>
      <c r="M8202">
        <v>106</v>
      </c>
      <c r="N8202">
        <v>8916.32</v>
      </c>
      <c r="O8202">
        <v>84.12</v>
      </c>
    </row>
    <row r="8203" spans="1:15" x14ac:dyDescent="0.35">
      <c r="A8203" t="s">
        <v>8861</v>
      </c>
      <c r="B8203" t="s">
        <v>198</v>
      </c>
      <c r="C8203" t="s">
        <v>1059</v>
      </c>
      <c r="D8203" t="s">
        <v>323</v>
      </c>
      <c r="E8203" t="s">
        <v>308</v>
      </c>
      <c r="F8203" t="s">
        <v>8887</v>
      </c>
      <c r="G8203">
        <v>0</v>
      </c>
      <c r="H8203">
        <v>0</v>
      </c>
      <c r="I8203">
        <v>0</v>
      </c>
      <c r="J8203">
        <v>0</v>
      </c>
      <c r="K8203">
        <v>0</v>
      </c>
      <c r="L8203">
        <v>0</v>
      </c>
      <c r="M8203">
        <v>0</v>
      </c>
      <c r="N8203">
        <v>0</v>
      </c>
      <c r="O8203">
        <v>0</v>
      </c>
    </row>
    <row r="8204" spans="1:15" x14ac:dyDescent="0.35">
      <c r="A8204" t="s">
        <v>8861</v>
      </c>
      <c r="B8204" t="s">
        <v>198</v>
      </c>
      <c r="C8204" t="s">
        <v>1059</v>
      </c>
      <c r="D8204" t="s">
        <v>323</v>
      </c>
      <c r="E8204" t="s">
        <v>310</v>
      </c>
      <c r="F8204" t="s">
        <v>8888</v>
      </c>
      <c r="G8204">
        <v>2987</v>
      </c>
      <c r="H8204">
        <v>401130.81999999995</v>
      </c>
      <c r="I8204">
        <v>134.29</v>
      </c>
      <c r="J8204">
        <v>5426</v>
      </c>
      <c r="K8204">
        <v>612796.61</v>
      </c>
      <c r="L8204">
        <v>112.94</v>
      </c>
      <c r="M8204">
        <v>8413</v>
      </c>
      <c r="N8204">
        <v>1013927.4299999999</v>
      </c>
      <c r="O8204">
        <v>120.52</v>
      </c>
    </row>
    <row r="8205" spans="1:15" x14ac:dyDescent="0.35">
      <c r="A8205" t="s">
        <v>8861</v>
      </c>
      <c r="B8205" t="s">
        <v>198</v>
      </c>
      <c r="C8205" t="s">
        <v>1059</v>
      </c>
      <c r="D8205" t="s">
        <v>323</v>
      </c>
      <c r="E8205" t="s">
        <v>312</v>
      </c>
      <c r="F8205" t="s">
        <v>8889</v>
      </c>
      <c r="G8205">
        <v>2987</v>
      </c>
      <c r="H8205">
        <v>401130.81999999995</v>
      </c>
      <c r="I8205">
        <v>134.29</v>
      </c>
      <c r="J8205">
        <v>5426</v>
      </c>
      <c r="K8205">
        <v>612796.61</v>
      </c>
      <c r="L8205">
        <v>112.94</v>
      </c>
      <c r="M8205">
        <v>8413</v>
      </c>
      <c r="N8205">
        <v>1013927.4299999999</v>
      </c>
      <c r="O8205">
        <v>120.52</v>
      </c>
    </row>
    <row r="8206" spans="1:15" x14ac:dyDescent="0.35">
      <c r="A8206" t="s">
        <v>8861</v>
      </c>
      <c r="B8206" t="s">
        <v>198</v>
      </c>
      <c r="C8206" t="s">
        <v>1059</v>
      </c>
      <c r="D8206" t="s">
        <v>334</v>
      </c>
      <c r="E8206" t="s">
        <v>312</v>
      </c>
      <c r="F8206" t="s">
        <v>8890</v>
      </c>
      <c r="G8206">
        <v>4053</v>
      </c>
      <c r="H8206">
        <v>581918.82999999996</v>
      </c>
      <c r="I8206">
        <v>146.72999999999999</v>
      </c>
      <c r="J8206">
        <v>5635</v>
      </c>
      <c r="K8206">
        <v>658737.15</v>
      </c>
      <c r="L8206">
        <v>116.9</v>
      </c>
      <c r="M8206">
        <v>9688</v>
      </c>
      <c r="N8206">
        <v>1240655.98</v>
      </c>
      <c r="O8206">
        <v>129.22</v>
      </c>
    </row>
    <row r="8207" spans="1:15" x14ac:dyDescent="0.35">
      <c r="A8207" t="s">
        <v>8861</v>
      </c>
      <c r="B8207" t="s">
        <v>198</v>
      </c>
      <c r="C8207" t="s">
        <v>1059</v>
      </c>
      <c r="D8207" t="s">
        <v>334</v>
      </c>
      <c r="E8207" t="s">
        <v>308</v>
      </c>
      <c r="F8207" t="s">
        <v>8891</v>
      </c>
      <c r="G8207">
        <v>0</v>
      </c>
      <c r="H8207">
        <v>0</v>
      </c>
      <c r="I8207">
        <v>0</v>
      </c>
      <c r="J8207">
        <v>0</v>
      </c>
      <c r="K8207">
        <v>0</v>
      </c>
      <c r="L8207">
        <v>0</v>
      </c>
      <c r="M8207">
        <v>0</v>
      </c>
      <c r="N8207">
        <v>0</v>
      </c>
      <c r="O8207">
        <v>0</v>
      </c>
    </row>
    <row r="8208" spans="1:15" x14ac:dyDescent="0.35">
      <c r="A8208" t="s">
        <v>8861</v>
      </c>
      <c r="B8208" t="s">
        <v>198</v>
      </c>
      <c r="C8208" t="s">
        <v>1059</v>
      </c>
      <c r="D8208" t="s">
        <v>337</v>
      </c>
      <c r="E8208" t="s">
        <v>337</v>
      </c>
      <c r="F8208" t="s">
        <v>8892</v>
      </c>
      <c r="G8208">
        <v>1145</v>
      </c>
      <c r="J8208">
        <v>65</v>
      </c>
      <c r="M8208">
        <v>1210</v>
      </c>
    </row>
    <row r="8209" spans="1:15" x14ac:dyDescent="0.35">
      <c r="A8209" t="s">
        <v>8861</v>
      </c>
      <c r="B8209" t="s">
        <v>198</v>
      </c>
      <c r="C8209" t="s">
        <v>1059</v>
      </c>
      <c r="D8209" t="s">
        <v>339</v>
      </c>
      <c r="E8209" t="s">
        <v>294</v>
      </c>
      <c r="F8209" t="s">
        <v>8893</v>
      </c>
      <c r="G8209">
        <v>324</v>
      </c>
      <c r="H8209">
        <v>43373.380000000005</v>
      </c>
      <c r="I8209">
        <v>133.87</v>
      </c>
      <c r="J8209">
        <v>5</v>
      </c>
      <c r="K8209">
        <v>460</v>
      </c>
      <c r="L8209">
        <v>92</v>
      </c>
      <c r="M8209">
        <v>329</v>
      </c>
      <c r="N8209">
        <v>43833.380000000005</v>
      </c>
      <c r="O8209">
        <v>133.22999999999999</v>
      </c>
    </row>
    <row r="8210" spans="1:15" x14ac:dyDescent="0.35">
      <c r="A8210" t="s">
        <v>8861</v>
      </c>
      <c r="B8210" t="s">
        <v>198</v>
      </c>
      <c r="C8210" t="s">
        <v>1059</v>
      </c>
      <c r="D8210" t="s">
        <v>339</v>
      </c>
      <c r="E8210" t="s">
        <v>296</v>
      </c>
      <c r="F8210" t="s">
        <v>8894</v>
      </c>
      <c r="G8210">
        <v>150</v>
      </c>
      <c r="H8210">
        <v>23626.059999999998</v>
      </c>
      <c r="I8210">
        <v>157.51</v>
      </c>
      <c r="J8210">
        <v>0</v>
      </c>
      <c r="K8210">
        <v>0</v>
      </c>
      <c r="L8210">
        <v>0</v>
      </c>
      <c r="M8210">
        <v>150</v>
      </c>
      <c r="N8210">
        <v>23626.059999999998</v>
      </c>
      <c r="O8210">
        <v>157.51</v>
      </c>
    </row>
    <row r="8211" spans="1:15" x14ac:dyDescent="0.35">
      <c r="A8211" t="s">
        <v>8861</v>
      </c>
      <c r="B8211" t="s">
        <v>198</v>
      </c>
      <c r="C8211" t="s">
        <v>1059</v>
      </c>
      <c r="D8211" t="s">
        <v>339</v>
      </c>
      <c r="E8211" t="s">
        <v>298</v>
      </c>
      <c r="F8211" t="s">
        <v>8895</v>
      </c>
      <c r="G8211">
        <v>1</v>
      </c>
      <c r="H8211">
        <v>137.97</v>
      </c>
      <c r="I8211">
        <v>137.97</v>
      </c>
      <c r="J8211">
        <v>0</v>
      </c>
      <c r="K8211">
        <v>0</v>
      </c>
      <c r="L8211">
        <v>0</v>
      </c>
      <c r="M8211">
        <v>1</v>
      </c>
      <c r="N8211">
        <v>137.97</v>
      </c>
      <c r="O8211">
        <v>137.97</v>
      </c>
    </row>
    <row r="8212" spans="1:15" x14ac:dyDescent="0.35">
      <c r="A8212" t="s">
        <v>8861</v>
      </c>
      <c r="B8212" t="s">
        <v>198</v>
      </c>
      <c r="C8212" t="s">
        <v>1059</v>
      </c>
      <c r="D8212" t="s">
        <v>339</v>
      </c>
      <c r="E8212" t="s">
        <v>300</v>
      </c>
      <c r="F8212" t="s">
        <v>8896</v>
      </c>
      <c r="G8212">
        <v>0</v>
      </c>
      <c r="H8212">
        <v>0</v>
      </c>
      <c r="I8212">
        <v>0</v>
      </c>
      <c r="J8212">
        <v>0</v>
      </c>
      <c r="K8212">
        <v>0</v>
      </c>
      <c r="L8212">
        <v>0</v>
      </c>
      <c r="M8212">
        <v>0</v>
      </c>
      <c r="N8212">
        <v>0</v>
      </c>
      <c r="O8212">
        <v>0</v>
      </c>
    </row>
    <row r="8213" spans="1:15" x14ac:dyDescent="0.35">
      <c r="A8213" t="s">
        <v>8861</v>
      </c>
      <c r="B8213" t="s">
        <v>198</v>
      </c>
      <c r="C8213" t="s">
        <v>1059</v>
      </c>
      <c r="D8213" t="s">
        <v>339</v>
      </c>
      <c r="E8213" t="s">
        <v>306</v>
      </c>
      <c r="F8213" t="s">
        <v>8897</v>
      </c>
      <c r="G8213">
        <v>29</v>
      </c>
      <c r="H8213">
        <v>3164.6299999999997</v>
      </c>
      <c r="I8213">
        <v>109.13</v>
      </c>
      <c r="J8213">
        <v>8</v>
      </c>
      <c r="K8213">
        <v>651.84</v>
      </c>
      <c r="L8213">
        <v>81.48</v>
      </c>
      <c r="M8213">
        <v>37</v>
      </c>
      <c r="N8213">
        <v>3816.47</v>
      </c>
      <c r="O8213">
        <v>103.15</v>
      </c>
    </row>
    <row r="8214" spans="1:15" x14ac:dyDescent="0.35">
      <c r="A8214" t="s">
        <v>8861</v>
      </c>
      <c r="B8214" t="s">
        <v>198</v>
      </c>
      <c r="C8214" t="s">
        <v>1059</v>
      </c>
      <c r="D8214" t="s">
        <v>339</v>
      </c>
      <c r="E8214" t="s">
        <v>308</v>
      </c>
      <c r="F8214" t="s">
        <v>8898</v>
      </c>
      <c r="G8214">
        <v>86</v>
      </c>
      <c r="H8214">
        <v>8852.83</v>
      </c>
      <c r="I8214">
        <v>102.94</v>
      </c>
      <c r="J8214">
        <v>0</v>
      </c>
      <c r="K8214">
        <v>0</v>
      </c>
      <c r="L8214">
        <v>0</v>
      </c>
      <c r="M8214">
        <v>86</v>
      </c>
      <c r="N8214">
        <v>8852.83</v>
      </c>
      <c r="O8214">
        <v>102.94</v>
      </c>
    </row>
    <row r="8215" spans="1:15" x14ac:dyDescent="0.35">
      <c r="A8215" t="s">
        <v>8861</v>
      </c>
      <c r="B8215" t="s">
        <v>198</v>
      </c>
      <c r="C8215" t="s">
        <v>1059</v>
      </c>
      <c r="D8215" t="s">
        <v>339</v>
      </c>
      <c r="E8215" t="s">
        <v>310</v>
      </c>
      <c r="F8215" t="s">
        <v>8899</v>
      </c>
      <c r="G8215">
        <v>590</v>
      </c>
      <c r="H8215">
        <v>79154.87000000001</v>
      </c>
      <c r="I8215">
        <v>134.16</v>
      </c>
      <c r="J8215">
        <v>13</v>
      </c>
      <c r="K8215">
        <v>1111.8400000000001</v>
      </c>
      <c r="L8215">
        <v>85.53</v>
      </c>
      <c r="M8215">
        <v>603</v>
      </c>
      <c r="N8215">
        <v>80266.710000000006</v>
      </c>
      <c r="O8215">
        <v>133.11000000000001</v>
      </c>
    </row>
    <row r="8216" spans="1:15" x14ac:dyDescent="0.35">
      <c r="A8216" t="s">
        <v>8861</v>
      </c>
      <c r="B8216" t="s">
        <v>198</v>
      </c>
      <c r="C8216" t="s">
        <v>1059</v>
      </c>
      <c r="D8216" t="s">
        <v>339</v>
      </c>
      <c r="E8216" t="s">
        <v>312</v>
      </c>
      <c r="F8216" t="s">
        <v>8900</v>
      </c>
      <c r="G8216">
        <v>504</v>
      </c>
      <c r="H8216">
        <v>70302.040000000008</v>
      </c>
      <c r="I8216">
        <v>139.49</v>
      </c>
      <c r="J8216">
        <v>13</v>
      </c>
      <c r="K8216">
        <v>1111.8400000000001</v>
      </c>
      <c r="L8216">
        <v>85.53</v>
      </c>
      <c r="M8216">
        <v>517</v>
      </c>
      <c r="N8216">
        <v>71413.88</v>
      </c>
      <c r="O8216">
        <v>138.13</v>
      </c>
    </row>
    <row r="8217" spans="1:15" x14ac:dyDescent="0.35">
      <c r="A8217" t="s">
        <v>8861</v>
      </c>
      <c r="B8217" t="s">
        <v>198</v>
      </c>
      <c r="C8217" t="s">
        <v>1059</v>
      </c>
      <c r="D8217" t="s">
        <v>348</v>
      </c>
      <c r="E8217" t="s">
        <v>349</v>
      </c>
      <c r="F8217" t="s">
        <v>8901</v>
      </c>
      <c r="G8217">
        <v>697</v>
      </c>
      <c r="H8217">
        <v>84107.890000000014</v>
      </c>
      <c r="I8217">
        <v>136.76</v>
      </c>
      <c r="J8217">
        <v>13</v>
      </c>
      <c r="K8217">
        <v>1111.8400000000001</v>
      </c>
      <c r="L8217">
        <v>85.53</v>
      </c>
      <c r="M8217">
        <v>710</v>
      </c>
      <c r="N8217">
        <v>85219.73000000001</v>
      </c>
      <c r="O8217">
        <v>135.69999999999999</v>
      </c>
    </row>
    <row r="8218" spans="1:15" x14ac:dyDescent="0.35">
      <c r="A8218" t="s">
        <v>8902</v>
      </c>
      <c r="B8218" t="s">
        <v>8903</v>
      </c>
      <c r="C8218" t="s">
        <v>1644</v>
      </c>
      <c r="D8218" t="s">
        <v>293</v>
      </c>
      <c r="E8218" t="s">
        <v>294</v>
      </c>
      <c r="F8218" t="s">
        <v>8904</v>
      </c>
      <c r="G8218">
        <v>36</v>
      </c>
      <c r="H8218">
        <v>5824.9</v>
      </c>
      <c r="I8218">
        <v>161.80000000000001</v>
      </c>
      <c r="J8218">
        <v>1</v>
      </c>
      <c r="K8218">
        <v>247.13</v>
      </c>
      <c r="L8218">
        <v>247.13</v>
      </c>
      <c r="M8218">
        <v>37</v>
      </c>
      <c r="N8218">
        <v>6072.03</v>
      </c>
      <c r="O8218">
        <v>164.11</v>
      </c>
    </row>
    <row r="8219" spans="1:15" x14ac:dyDescent="0.35">
      <c r="A8219" t="s">
        <v>8902</v>
      </c>
      <c r="B8219" t="s">
        <v>8903</v>
      </c>
      <c r="C8219" t="s">
        <v>1644</v>
      </c>
      <c r="D8219" t="s">
        <v>293</v>
      </c>
      <c r="E8219" t="s">
        <v>296</v>
      </c>
      <c r="F8219" t="s">
        <v>8905</v>
      </c>
      <c r="G8219">
        <v>104</v>
      </c>
      <c r="H8219">
        <v>20526.509999999998</v>
      </c>
      <c r="I8219">
        <v>197.37</v>
      </c>
      <c r="J8219">
        <v>4</v>
      </c>
      <c r="K8219">
        <v>988.52</v>
      </c>
      <c r="L8219">
        <v>247.13</v>
      </c>
      <c r="M8219">
        <v>108</v>
      </c>
      <c r="N8219">
        <v>21515.03</v>
      </c>
      <c r="O8219">
        <v>199.21</v>
      </c>
    </row>
    <row r="8220" spans="1:15" x14ac:dyDescent="0.35">
      <c r="A8220" t="s">
        <v>8902</v>
      </c>
      <c r="B8220" t="s">
        <v>8903</v>
      </c>
      <c r="C8220" t="s">
        <v>1644</v>
      </c>
      <c r="D8220" t="s">
        <v>293</v>
      </c>
      <c r="E8220" t="s">
        <v>298</v>
      </c>
      <c r="F8220" t="s">
        <v>8906</v>
      </c>
      <c r="G8220">
        <v>45</v>
      </c>
      <c r="H8220">
        <v>9808.869999999999</v>
      </c>
      <c r="I8220">
        <v>217.97</v>
      </c>
      <c r="J8220">
        <v>0</v>
      </c>
      <c r="K8220">
        <v>0</v>
      </c>
      <c r="L8220">
        <v>0</v>
      </c>
      <c r="M8220">
        <v>45</v>
      </c>
      <c r="N8220">
        <v>9808.869999999999</v>
      </c>
      <c r="O8220">
        <v>217.97</v>
      </c>
    </row>
    <row r="8221" spans="1:15" x14ac:dyDescent="0.35">
      <c r="A8221" t="s">
        <v>8902</v>
      </c>
      <c r="B8221" t="s">
        <v>8903</v>
      </c>
      <c r="C8221" t="s">
        <v>1644</v>
      </c>
      <c r="D8221" t="s">
        <v>293</v>
      </c>
      <c r="E8221" t="s">
        <v>300</v>
      </c>
      <c r="F8221" t="s">
        <v>8907</v>
      </c>
      <c r="G8221">
        <v>2</v>
      </c>
      <c r="H8221">
        <v>396.54</v>
      </c>
      <c r="I8221">
        <v>198.27</v>
      </c>
      <c r="J8221">
        <v>0</v>
      </c>
      <c r="K8221">
        <v>0</v>
      </c>
      <c r="L8221">
        <v>0</v>
      </c>
      <c r="M8221">
        <v>2</v>
      </c>
      <c r="N8221">
        <v>396.54</v>
      </c>
      <c r="O8221">
        <v>198.27</v>
      </c>
    </row>
    <row r="8222" spans="1:15" x14ac:dyDescent="0.35">
      <c r="A8222" t="s">
        <v>8902</v>
      </c>
      <c r="B8222" t="s">
        <v>8903</v>
      </c>
      <c r="C8222" t="s">
        <v>1644</v>
      </c>
      <c r="D8222" t="s">
        <v>293</v>
      </c>
      <c r="E8222" t="s">
        <v>302</v>
      </c>
      <c r="F8222" t="s">
        <v>8908</v>
      </c>
      <c r="G8222">
        <v>0</v>
      </c>
      <c r="H8222">
        <v>0</v>
      </c>
      <c r="I8222">
        <v>0</v>
      </c>
      <c r="J8222">
        <v>0</v>
      </c>
      <c r="K8222">
        <v>0</v>
      </c>
      <c r="L8222">
        <v>0</v>
      </c>
      <c r="M8222">
        <v>0</v>
      </c>
      <c r="N8222">
        <v>0</v>
      </c>
      <c r="O8222">
        <v>0</v>
      </c>
    </row>
    <row r="8223" spans="1:15" x14ac:dyDescent="0.35">
      <c r="A8223" t="s">
        <v>8902</v>
      </c>
      <c r="B8223" t="s">
        <v>8903</v>
      </c>
      <c r="C8223" t="s">
        <v>1644</v>
      </c>
      <c r="D8223" t="s">
        <v>293</v>
      </c>
      <c r="E8223" t="s">
        <v>304</v>
      </c>
      <c r="F8223" t="s">
        <v>8909</v>
      </c>
      <c r="G8223">
        <v>0</v>
      </c>
      <c r="H8223">
        <v>0</v>
      </c>
      <c r="I8223">
        <v>0</v>
      </c>
      <c r="J8223">
        <v>0</v>
      </c>
      <c r="K8223">
        <v>0</v>
      </c>
      <c r="L8223">
        <v>0</v>
      </c>
      <c r="M8223">
        <v>0</v>
      </c>
      <c r="N8223">
        <v>0</v>
      </c>
      <c r="O8223">
        <v>0</v>
      </c>
    </row>
    <row r="8224" spans="1:15" x14ac:dyDescent="0.35">
      <c r="A8224" t="s">
        <v>8902</v>
      </c>
      <c r="B8224" t="s">
        <v>8903</v>
      </c>
      <c r="C8224" t="s">
        <v>1644</v>
      </c>
      <c r="D8224" t="s">
        <v>293</v>
      </c>
      <c r="E8224" t="s">
        <v>306</v>
      </c>
      <c r="F8224" t="s">
        <v>8910</v>
      </c>
      <c r="G8224">
        <v>0</v>
      </c>
      <c r="H8224">
        <v>0</v>
      </c>
      <c r="I8224">
        <v>0</v>
      </c>
      <c r="J8224">
        <v>0</v>
      </c>
      <c r="K8224">
        <v>0</v>
      </c>
      <c r="L8224">
        <v>0</v>
      </c>
      <c r="M8224">
        <v>0</v>
      </c>
      <c r="N8224">
        <v>0</v>
      </c>
      <c r="O8224">
        <v>0</v>
      </c>
    </row>
    <row r="8225" spans="1:15" x14ac:dyDescent="0.35">
      <c r="A8225" t="s">
        <v>8902</v>
      </c>
      <c r="B8225" t="s">
        <v>8903</v>
      </c>
      <c r="C8225" t="s">
        <v>1644</v>
      </c>
      <c r="D8225" t="s">
        <v>293</v>
      </c>
      <c r="E8225" t="s">
        <v>308</v>
      </c>
      <c r="F8225" t="s">
        <v>8911</v>
      </c>
      <c r="G8225">
        <v>0</v>
      </c>
      <c r="H8225">
        <v>0</v>
      </c>
      <c r="I8225">
        <v>0</v>
      </c>
      <c r="J8225">
        <v>0</v>
      </c>
      <c r="K8225">
        <v>0</v>
      </c>
      <c r="L8225">
        <v>0</v>
      </c>
      <c r="M8225">
        <v>0</v>
      </c>
      <c r="N8225">
        <v>0</v>
      </c>
      <c r="O8225">
        <v>0</v>
      </c>
    </row>
    <row r="8226" spans="1:15" x14ac:dyDescent="0.35">
      <c r="A8226" t="s">
        <v>8902</v>
      </c>
      <c r="B8226" t="s">
        <v>8903</v>
      </c>
      <c r="C8226" t="s">
        <v>1644</v>
      </c>
      <c r="D8226" t="s">
        <v>293</v>
      </c>
      <c r="E8226" t="s">
        <v>310</v>
      </c>
      <c r="F8226" t="s">
        <v>8912</v>
      </c>
      <c r="G8226">
        <v>187</v>
      </c>
      <c r="H8226">
        <v>36556.82</v>
      </c>
      <c r="I8226">
        <v>195.49</v>
      </c>
      <c r="J8226">
        <v>5</v>
      </c>
      <c r="K8226">
        <v>1235.6500000000001</v>
      </c>
      <c r="L8226">
        <v>247.13</v>
      </c>
      <c r="M8226">
        <v>192</v>
      </c>
      <c r="N8226">
        <v>37792.47</v>
      </c>
      <c r="O8226">
        <v>196.84</v>
      </c>
    </row>
    <row r="8227" spans="1:15" x14ac:dyDescent="0.35">
      <c r="A8227" t="s">
        <v>8902</v>
      </c>
      <c r="B8227" t="s">
        <v>8903</v>
      </c>
      <c r="C8227" t="s">
        <v>1644</v>
      </c>
      <c r="D8227" t="s">
        <v>293</v>
      </c>
      <c r="E8227" t="s">
        <v>312</v>
      </c>
      <c r="F8227" t="s">
        <v>8913</v>
      </c>
      <c r="G8227">
        <v>187</v>
      </c>
      <c r="H8227">
        <v>36556.82</v>
      </c>
      <c r="I8227">
        <v>195.49</v>
      </c>
      <c r="J8227">
        <v>5</v>
      </c>
      <c r="K8227">
        <v>1235.6500000000001</v>
      </c>
      <c r="L8227">
        <v>247.13</v>
      </c>
      <c r="M8227">
        <v>192</v>
      </c>
      <c r="N8227">
        <v>37792.47</v>
      </c>
      <c r="O8227">
        <v>196.84</v>
      </c>
    </row>
    <row r="8228" spans="1:15" x14ac:dyDescent="0.35">
      <c r="A8228" t="s">
        <v>8902</v>
      </c>
      <c r="B8228" t="s">
        <v>8903</v>
      </c>
      <c r="C8228" t="s">
        <v>1644</v>
      </c>
      <c r="D8228" t="s">
        <v>314</v>
      </c>
      <c r="E8228" t="s">
        <v>294</v>
      </c>
      <c r="F8228" t="s">
        <v>8914</v>
      </c>
      <c r="G8228">
        <v>0</v>
      </c>
      <c r="H8228">
        <v>0</v>
      </c>
      <c r="I8228">
        <v>0</v>
      </c>
      <c r="J8228">
        <v>0</v>
      </c>
      <c r="K8228">
        <v>0</v>
      </c>
      <c r="L8228">
        <v>0</v>
      </c>
      <c r="M8228">
        <v>0</v>
      </c>
      <c r="N8228">
        <v>0</v>
      </c>
      <c r="O8228">
        <v>0</v>
      </c>
    </row>
    <row r="8229" spans="1:15" x14ac:dyDescent="0.35">
      <c r="A8229" t="s">
        <v>8902</v>
      </c>
      <c r="B8229" t="s">
        <v>8903</v>
      </c>
      <c r="C8229" t="s">
        <v>1644</v>
      </c>
      <c r="D8229" t="s">
        <v>314</v>
      </c>
      <c r="E8229" t="s">
        <v>296</v>
      </c>
      <c r="F8229" t="s">
        <v>8915</v>
      </c>
      <c r="G8229">
        <v>0</v>
      </c>
      <c r="H8229">
        <v>0</v>
      </c>
      <c r="I8229">
        <v>0</v>
      </c>
      <c r="J8229">
        <v>0</v>
      </c>
      <c r="K8229">
        <v>0</v>
      </c>
      <c r="L8229">
        <v>0</v>
      </c>
      <c r="M8229">
        <v>0</v>
      </c>
      <c r="N8229">
        <v>0</v>
      </c>
      <c r="O8229">
        <v>0</v>
      </c>
    </row>
    <row r="8230" spans="1:15" x14ac:dyDescent="0.35">
      <c r="A8230" t="s">
        <v>8902</v>
      </c>
      <c r="B8230" t="s">
        <v>8903</v>
      </c>
      <c r="C8230" t="s">
        <v>1644</v>
      </c>
      <c r="D8230" t="s">
        <v>314</v>
      </c>
      <c r="E8230" t="s">
        <v>298</v>
      </c>
      <c r="F8230" t="s">
        <v>8916</v>
      </c>
      <c r="G8230">
        <v>0</v>
      </c>
      <c r="H8230">
        <v>0</v>
      </c>
      <c r="I8230">
        <v>0</v>
      </c>
      <c r="J8230">
        <v>0</v>
      </c>
      <c r="K8230">
        <v>0</v>
      </c>
      <c r="L8230">
        <v>0</v>
      </c>
      <c r="M8230">
        <v>0</v>
      </c>
      <c r="N8230">
        <v>0</v>
      </c>
      <c r="O8230">
        <v>0</v>
      </c>
    </row>
    <row r="8231" spans="1:15" x14ac:dyDescent="0.35">
      <c r="A8231" t="s">
        <v>8902</v>
      </c>
      <c r="B8231" t="s">
        <v>8903</v>
      </c>
      <c r="C8231" t="s">
        <v>1644</v>
      </c>
      <c r="D8231" t="s">
        <v>314</v>
      </c>
      <c r="E8231" t="s">
        <v>300</v>
      </c>
      <c r="F8231" t="s">
        <v>8917</v>
      </c>
      <c r="G8231">
        <v>0</v>
      </c>
      <c r="H8231">
        <v>0</v>
      </c>
      <c r="I8231">
        <v>0</v>
      </c>
      <c r="J8231">
        <v>0</v>
      </c>
      <c r="K8231">
        <v>0</v>
      </c>
      <c r="L8231">
        <v>0</v>
      </c>
      <c r="M8231">
        <v>0</v>
      </c>
      <c r="N8231">
        <v>0</v>
      </c>
      <c r="O8231">
        <v>0</v>
      </c>
    </row>
    <row r="8232" spans="1:15" x14ac:dyDescent="0.35">
      <c r="A8232" t="s">
        <v>8902</v>
      </c>
      <c r="B8232" t="s">
        <v>8903</v>
      </c>
      <c r="C8232" t="s">
        <v>1644</v>
      </c>
      <c r="D8232" t="s">
        <v>314</v>
      </c>
      <c r="E8232" t="s">
        <v>306</v>
      </c>
      <c r="F8232" t="s">
        <v>8918</v>
      </c>
      <c r="G8232">
        <v>0</v>
      </c>
      <c r="H8232">
        <v>0</v>
      </c>
      <c r="I8232">
        <v>0</v>
      </c>
      <c r="J8232">
        <v>0</v>
      </c>
      <c r="K8232">
        <v>0</v>
      </c>
      <c r="L8232">
        <v>0</v>
      </c>
      <c r="M8232">
        <v>0</v>
      </c>
      <c r="N8232">
        <v>0</v>
      </c>
      <c r="O8232">
        <v>0</v>
      </c>
    </row>
    <row r="8233" spans="1:15" x14ac:dyDescent="0.35">
      <c r="A8233" t="s">
        <v>8902</v>
      </c>
      <c r="B8233" t="s">
        <v>8903</v>
      </c>
      <c r="C8233" t="s">
        <v>1644</v>
      </c>
      <c r="D8233" t="s">
        <v>314</v>
      </c>
      <c r="E8233" t="s">
        <v>308</v>
      </c>
      <c r="F8233" t="s">
        <v>8919</v>
      </c>
      <c r="G8233">
        <v>0</v>
      </c>
      <c r="H8233">
        <v>0</v>
      </c>
      <c r="I8233">
        <v>0</v>
      </c>
      <c r="J8233">
        <v>0</v>
      </c>
      <c r="K8233">
        <v>0</v>
      </c>
      <c r="L8233">
        <v>0</v>
      </c>
      <c r="M8233">
        <v>0</v>
      </c>
      <c r="N8233">
        <v>0</v>
      </c>
      <c r="O8233">
        <v>0</v>
      </c>
    </row>
    <row r="8234" spans="1:15" x14ac:dyDescent="0.35">
      <c r="A8234" t="s">
        <v>8902</v>
      </c>
      <c r="B8234" t="s">
        <v>8903</v>
      </c>
      <c r="C8234" t="s">
        <v>1644</v>
      </c>
      <c r="D8234" t="s">
        <v>314</v>
      </c>
      <c r="E8234" t="s">
        <v>312</v>
      </c>
      <c r="F8234" t="s">
        <v>8920</v>
      </c>
      <c r="G8234">
        <v>0</v>
      </c>
      <c r="H8234">
        <v>0</v>
      </c>
      <c r="I8234">
        <v>0</v>
      </c>
      <c r="J8234">
        <v>0</v>
      </c>
      <c r="K8234">
        <v>0</v>
      </c>
      <c r="L8234">
        <v>0</v>
      </c>
      <c r="M8234">
        <v>0</v>
      </c>
      <c r="N8234">
        <v>0</v>
      </c>
      <c r="O8234">
        <v>0</v>
      </c>
    </row>
    <row r="8235" spans="1:15" x14ac:dyDescent="0.35">
      <c r="A8235" t="s">
        <v>8902</v>
      </c>
      <c r="B8235" t="s">
        <v>8903</v>
      </c>
      <c r="C8235" t="s">
        <v>1644</v>
      </c>
      <c r="D8235" t="s">
        <v>314</v>
      </c>
      <c r="E8235" t="s">
        <v>310</v>
      </c>
      <c r="F8235" t="s">
        <v>8921</v>
      </c>
      <c r="G8235">
        <v>0</v>
      </c>
      <c r="H8235">
        <v>0</v>
      </c>
      <c r="I8235">
        <v>0</v>
      </c>
      <c r="J8235">
        <v>0</v>
      </c>
      <c r="K8235">
        <v>0</v>
      </c>
      <c r="L8235">
        <v>0</v>
      </c>
      <c r="M8235">
        <v>0</v>
      </c>
      <c r="N8235">
        <v>0</v>
      </c>
      <c r="O8235">
        <v>0</v>
      </c>
    </row>
    <row r="8236" spans="1:15" x14ac:dyDescent="0.35">
      <c r="A8236" t="s">
        <v>8902</v>
      </c>
      <c r="B8236" t="s">
        <v>8903</v>
      </c>
      <c r="C8236" t="s">
        <v>1644</v>
      </c>
      <c r="D8236" t="s">
        <v>323</v>
      </c>
      <c r="E8236" t="s">
        <v>294</v>
      </c>
      <c r="F8236" t="s">
        <v>8922</v>
      </c>
      <c r="G8236">
        <v>76</v>
      </c>
      <c r="H8236">
        <v>8586.77</v>
      </c>
      <c r="I8236">
        <v>112.98</v>
      </c>
      <c r="J8236">
        <v>454</v>
      </c>
      <c r="K8236">
        <v>45885.78</v>
      </c>
      <c r="L8236">
        <v>101.07</v>
      </c>
      <c r="M8236">
        <v>530</v>
      </c>
      <c r="N8236">
        <v>54472.55</v>
      </c>
      <c r="O8236">
        <v>102.78</v>
      </c>
    </row>
    <row r="8237" spans="1:15" x14ac:dyDescent="0.35">
      <c r="A8237" t="s">
        <v>8902</v>
      </c>
      <c r="B8237" t="s">
        <v>8903</v>
      </c>
      <c r="C8237" t="s">
        <v>1644</v>
      </c>
      <c r="D8237" t="s">
        <v>323</v>
      </c>
      <c r="E8237" t="s">
        <v>296</v>
      </c>
      <c r="F8237" t="s">
        <v>8923</v>
      </c>
      <c r="G8237">
        <v>243</v>
      </c>
      <c r="H8237">
        <v>32241.48</v>
      </c>
      <c r="I8237">
        <v>132.68</v>
      </c>
      <c r="J8237">
        <v>896</v>
      </c>
      <c r="K8237">
        <v>102833.92</v>
      </c>
      <c r="L8237">
        <v>114.77</v>
      </c>
      <c r="M8237">
        <v>1139</v>
      </c>
      <c r="N8237">
        <v>135075.4</v>
      </c>
      <c r="O8237">
        <v>118.59</v>
      </c>
    </row>
    <row r="8238" spans="1:15" x14ac:dyDescent="0.35">
      <c r="A8238" t="s">
        <v>8902</v>
      </c>
      <c r="B8238" t="s">
        <v>8903</v>
      </c>
      <c r="C8238" t="s">
        <v>1644</v>
      </c>
      <c r="D8238" t="s">
        <v>323</v>
      </c>
      <c r="E8238" t="s">
        <v>298</v>
      </c>
      <c r="F8238" t="s">
        <v>8924</v>
      </c>
      <c r="G8238">
        <v>359</v>
      </c>
      <c r="H8238">
        <v>52808.800000000003</v>
      </c>
      <c r="I8238">
        <v>147.1</v>
      </c>
      <c r="J8238">
        <v>748</v>
      </c>
      <c r="K8238">
        <v>96185.32</v>
      </c>
      <c r="L8238">
        <v>128.59</v>
      </c>
      <c r="M8238">
        <v>1107</v>
      </c>
      <c r="N8238">
        <v>148994.12</v>
      </c>
      <c r="O8238">
        <v>134.59</v>
      </c>
    </row>
    <row r="8239" spans="1:15" x14ac:dyDescent="0.35">
      <c r="A8239" t="s">
        <v>8902</v>
      </c>
      <c r="B8239" t="s">
        <v>8903</v>
      </c>
      <c r="C8239" t="s">
        <v>1644</v>
      </c>
      <c r="D8239" t="s">
        <v>323</v>
      </c>
      <c r="E8239" t="s">
        <v>300</v>
      </c>
      <c r="F8239" t="s">
        <v>8925</v>
      </c>
      <c r="G8239">
        <v>30</v>
      </c>
      <c r="H8239">
        <v>4967.16</v>
      </c>
      <c r="I8239">
        <v>165.57</v>
      </c>
      <c r="J8239">
        <v>33</v>
      </c>
      <c r="K8239">
        <v>4690.29</v>
      </c>
      <c r="L8239">
        <v>142.13</v>
      </c>
      <c r="M8239">
        <v>63</v>
      </c>
      <c r="N8239">
        <v>9657.4500000000007</v>
      </c>
      <c r="O8239">
        <v>153.29</v>
      </c>
    </row>
    <row r="8240" spans="1:15" x14ac:dyDescent="0.35">
      <c r="A8240" t="s">
        <v>8902</v>
      </c>
      <c r="B8240" t="s">
        <v>8903</v>
      </c>
      <c r="C8240" t="s">
        <v>1644</v>
      </c>
      <c r="D8240" t="s">
        <v>323</v>
      </c>
      <c r="E8240" t="s">
        <v>302</v>
      </c>
      <c r="F8240" t="s">
        <v>8926</v>
      </c>
      <c r="G8240">
        <v>0</v>
      </c>
      <c r="H8240">
        <v>0</v>
      </c>
      <c r="I8240">
        <v>0</v>
      </c>
      <c r="J8240">
        <v>1</v>
      </c>
      <c r="K8240">
        <v>159.21</v>
      </c>
      <c r="L8240">
        <v>159.21</v>
      </c>
      <c r="M8240">
        <v>1</v>
      </c>
      <c r="N8240">
        <v>159.21</v>
      </c>
      <c r="O8240">
        <v>159.21</v>
      </c>
    </row>
    <row r="8241" spans="1:15" x14ac:dyDescent="0.35">
      <c r="A8241" t="s">
        <v>8902</v>
      </c>
      <c r="B8241" t="s">
        <v>8903</v>
      </c>
      <c r="C8241" t="s">
        <v>1644</v>
      </c>
      <c r="D8241" t="s">
        <v>323</v>
      </c>
      <c r="E8241" t="s">
        <v>304</v>
      </c>
      <c r="F8241" t="s">
        <v>8927</v>
      </c>
      <c r="G8241">
        <v>0</v>
      </c>
      <c r="H8241">
        <v>0</v>
      </c>
      <c r="I8241">
        <v>0</v>
      </c>
      <c r="J8241">
        <v>0</v>
      </c>
      <c r="K8241">
        <v>0</v>
      </c>
      <c r="L8241">
        <v>0</v>
      </c>
      <c r="M8241">
        <v>0</v>
      </c>
      <c r="N8241">
        <v>0</v>
      </c>
      <c r="O8241">
        <v>0</v>
      </c>
    </row>
    <row r="8242" spans="1:15" x14ac:dyDescent="0.35">
      <c r="A8242" t="s">
        <v>8902</v>
      </c>
      <c r="B8242" t="s">
        <v>8903</v>
      </c>
      <c r="C8242" t="s">
        <v>1644</v>
      </c>
      <c r="D8242" t="s">
        <v>323</v>
      </c>
      <c r="E8242" t="s">
        <v>306</v>
      </c>
      <c r="F8242" t="s">
        <v>8928</v>
      </c>
      <c r="G8242">
        <v>0</v>
      </c>
      <c r="H8242">
        <v>0</v>
      </c>
      <c r="I8242">
        <v>0</v>
      </c>
      <c r="J8242">
        <v>124</v>
      </c>
      <c r="K8242">
        <v>10511.48</v>
      </c>
      <c r="L8242">
        <v>84.77</v>
      </c>
      <c r="M8242">
        <v>124</v>
      </c>
      <c r="N8242">
        <v>10511.48</v>
      </c>
      <c r="O8242">
        <v>84.77</v>
      </c>
    </row>
    <row r="8243" spans="1:15" x14ac:dyDescent="0.35">
      <c r="A8243" t="s">
        <v>8902</v>
      </c>
      <c r="B8243" t="s">
        <v>8903</v>
      </c>
      <c r="C8243" t="s">
        <v>1644</v>
      </c>
      <c r="D8243" t="s">
        <v>323</v>
      </c>
      <c r="E8243" t="s">
        <v>308</v>
      </c>
      <c r="F8243" t="s">
        <v>8929</v>
      </c>
      <c r="G8243">
        <v>0</v>
      </c>
      <c r="H8243">
        <v>0</v>
      </c>
      <c r="I8243">
        <v>0</v>
      </c>
      <c r="J8243">
        <v>0</v>
      </c>
      <c r="K8243">
        <v>0</v>
      </c>
      <c r="L8243">
        <v>0</v>
      </c>
      <c r="M8243">
        <v>0</v>
      </c>
      <c r="N8243">
        <v>0</v>
      </c>
      <c r="O8243">
        <v>0</v>
      </c>
    </row>
    <row r="8244" spans="1:15" x14ac:dyDescent="0.35">
      <c r="A8244" t="s">
        <v>8902</v>
      </c>
      <c r="B8244" t="s">
        <v>8903</v>
      </c>
      <c r="C8244" t="s">
        <v>1644</v>
      </c>
      <c r="D8244" t="s">
        <v>323</v>
      </c>
      <c r="E8244" t="s">
        <v>310</v>
      </c>
      <c r="F8244" t="s">
        <v>8930</v>
      </c>
      <c r="G8244">
        <v>708</v>
      </c>
      <c r="H8244">
        <v>98604.21</v>
      </c>
      <c r="I8244">
        <v>139.27000000000001</v>
      </c>
      <c r="J8244">
        <v>2256</v>
      </c>
      <c r="K8244">
        <v>260266.00000000003</v>
      </c>
      <c r="L8244">
        <v>115.37</v>
      </c>
      <c r="M8244">
        <v>2964</v>
      </c>
      <c r="N8244">
        <v>358870.21</v>
      </c>
      <c r="O8244">
        <v>121.08</v>
      </c>
    </row>
    <row r="8245" spans="1:15" x14ac:dyDescent="0.35">
      <c r="A8245" t="s">
        <v>8902</v>
      </c>
      <c r="B8245" t="s">
        <v>8903</v>
      </c>
      <c r="C8245" t="s">
        <v>1644</v>
      </c>
      <c r="D8245" t="s">
        <v>323</v>
      </c>
      <c r="E8245" t="s">
        <v>312</v>
      </c>
      <c r="F8245" t="s">
        <v>8931</v>
      </c>
      <c r="G8245">
        <v>708</v>
      </c>
      <c r="H8245">
        <v>98604.21</v>
      </c>
      <c r="I8245">
        <v>139.27000000000001</v>
      </c>
      <c r="J8245">
        <v>2256</v>
      </c>
      <c r="K8245">
        <v>260266.00000000003</v>
      </c>
      <c r="L8245">
        <v>115.37</v>
      </c>
      <c r="M8245">
        <v>2964</v>
      </c>
      <c r="N8245">
        <v>358870.21</v>
      </c>
      <c r="O8245">
        <v>121.08</v>
      </c>
    </row>
    <row r="8246" spans="1:15" x14ac:dyDescent="0.35">
      <c r="A8246" t="s">
        <v>8902</v>
      </c>
      <c r="B8246" t="s">
        <v>8903</v>
      </c>
      <c r="C8246" t="s">
        <v>1644</v>
      </c>
      <c r="D8246" t="s">
        <v>334</v>
      </c>
      <c r="E8246" t="s">
        <v>312</v>
      </c>
      <c r="F8246" t="s">
        <v>8932</v>
      </c>
      <c r="G8246">
        <v>928</v>
      </c>
      <c r="H8246">
        <v>135161.03</v>
      </c>
      <c r="I8246">
        <v>151.02000000000001</v>
      </c>
      <c r="J8246">
        <v>2261</v>
      </c>
      <c r="K8246">
        <v>261501.65000000002</v>
      </c>
      <c r="L8246">
        <v>115.66</v>
      </c>
      <c r="M8246">
        <v>3189</v>
      </c>
      <c r="N8246">
        <v>396662.68000000005</v>
      </c>
      <c r="O8246">
        <v>125.69</v>
      </c>
    </row>
    <row r="8247" spans="1:15" x14ac:dyDescent="0.35">
      <c r="A8247" t="s">
        <v>8902</v>
      </c>
      <c r="B8247" t="s">
        <v>8903</v>
      </c>
      <c r="C8247" t="s">
        <v>1644</v>
      </c>
      <c r="D8247" t="s">
        <v>334</v>
      </c>
      <c r="E8247" t="s">
        <v>308</v>
      </c>
      <c r="F8247" t="s">
        <v>8933</v>
      </c>
      <c r="G8247">
        <v>0</v>
      </c>
      <c r="H8247">
        <v>0</v>
      </c>
      <c r="I8247">
        <v>0</v>
      </c>
      <c r="J8247">
        <v>0</v>
      </c>
      <c r="K8247">
        <v>0</v>
      </c>
      <c r="L8247">
        <v>0</v>
      </c>
      <c r="M8247">
        <v>0</v>
      </c>
      <c r="N8247">
        <v>0</v>
      </c>
      <c r="O8247">
        <v>0</v>
      </c>
    </row>
    <row r="8248" spans="1:15" x14ac:dyDescent="0.35">
      <c r="A8248" t="s">
        <v>8902</v>
      </c>
      <c r="B8248" t="s">
        <v>8903</v>
      </c>
      <c r="C8248" t="s">
        <v>1644</v>
      </c>
      <c r="D8248" t="s">
        <v>337</v>
      </c>
      <c r="E8248" t="s">
        <v>337</v>
      </c>
      <c r="F8248" t="s">
        <v>8934</v>
      </c>
      <c r="G8248">
        <v>182</v>
      </c>
      <c r="J8248">
        <v>0</v>
      </c>
      <c r="M8248">
        <v>182</v>
      </c>
    </row>
    <row r="8249" spans="1:15" x14ac:dyDescent="0.35">
      <c r="A8249" t="s">
        <v>8902</v>
      </c>
      <c r="B8249" t="s">
        <v>8903</v>
      </c>
      <c r="C8249" t="s">
        <v>1644</v>
      </c>
      <c r="D8249" t="s">
        <v>339</v>
      </c>
      <c r="E8249" t="s">
        <v>294</v>
      </c>
      <c r="F8249" t="s">
        <v>8935</v>
      </c>
      <c r="G8249">
        <v>107</v>
      </c>
      <c r="H8249">
        <v>11979.929999999998</v>
      </c>
      <c r="I8249">
        <v>111.96</v>
      </c>
      <c r="J8249">
        <v>237</v>
      </c>
      <c r="K8249">
        <v>25268.940000000002</v>
      </c>
      <c r="L8249">
        <v>106.62</v>
      </c>
      <c r="M8249">
        <v>344</v>
      </c>
      <c r="N8249">
        <v>37248.870000000003</v>
      </c>
      <c r="O8249">
        <v>108.28</v>
      </c>
    </row>
    <row r="8250" spans="1:15" x14ac:dyDescent="0.35">
      <c r="A8250" t="s">
        <v>8902</v>
      </c>
      <c r="B8250" t="s">
        <v>8903</v>
      </c>
      <c r="C8250" t="s">
        <v>1644</v>
      </c>
      <c r="D8250" t="s">
        <v>339</v>
      </c>
      <c r="E8250" t="s">
        <v>296</v>
      </c>
      <c r="F8250" t="s">
        <v>8936</v>
      </c>
      <c r="G8250">
        <v>0</v>
      </c>
      <c r="H8250">
        <v>0</v>
      </c>
      <c r="I8250">
        <v>0</v>
      </c>
      <c r="J8250">
        <v>6</v>
      </c>
      <c r="K8250">
        <v>711.72</v>
      </c>
      <c r="L8250">
        <v>118.62</v>
      </c>
      <c r="M8250">
        <v>6</v>
      </c>
      <c r="N8250">
        <v>711.72</v>
      </c>
      <c r="O8250">
        <v>118.62</v>
      </c>
    </row>
    <row r="8251" spans="1:15" x14ac:dyDescent="0.35">
      <c r="A8251" t="s">
        <v>8902</v>
      </c>
      <c r="B8251" t="s">
        <v>8903</v>
      </c>
      <c r="C8251" t="s">
        <v>1644</v>
      </c>
      <c r="D8251" t="s">
        <v>339</v>
      </c>
      <c r="E8251" t="s">
        <v>298</v>
      </c>
      <c r="F8251" t="s">
        <v>8937</v>
      </c>
      <c r="G8251">
        <v>1</v>
      </c>
      <c r="H8251">
        <v>125.12</v>
      </c>
      <c r="I8251">
        <v>125.12</v>
      </c>
      <c r="J8251">
        <v>2</v>
      </c>
      <c r="K8251">
        <v>265.56</v>
      </c>
      <c r="L8251">
        <v>132.78</v>
      </c>
      <c r="M8251">
        <v>3</v>
      </c>
      <c r="N8251">
        <v>390.68</v>
      </c>
      <c r="O8251">
        <v>130.22999999999999</v>
      </c>
    </row>
    <row r="8252" spans="1:15" x14ac:dyDescent="0.35">
      <c r="A8252" t="s">
        <v>8902</v>
      </c>
      <c r="B8252" t="s">
        <v>8903</v>
      </c>
      <c r="C8252" t="s">
        <v>1644</v>
      </c>
      <c r="D8252" t="s">
        <v>339</v>
      </c>
      <c r="E8252" t="s">
        <v>300</v>
      </c>
      <c r="F8252" t="s">
        <v>8938</v>
      </c>
      <c r="G8252">
        <v>0</v>
      </c>
      <c r="H8252">
        <v>0</v>
      </c>
      <c r="I8252">
        <v>0</v>
      </c>
      <c r="J8252">
        <v>0</v>
      </c>
      <c r="K8252">
        <v>0</v>
      </c>
      <c r="L8252">
        <v>0</v>
      </c>
      <c r="M8252">
        <v>0</v>
      </c>
      <c r="N8252">
        <v>0</v>
      </c>
      <c r="O8252">
        <v>0</v>
      </c>
    </row>
    <row r="8253" spans="1:15" x14ac:dyDescent="0.35">
      <c r="A8253" t="s">
        <v>8902</v>
      </c>
      <c r="B8253" t="s">
        <v>8903</v>
      </c>
      <c r="C8253" t="s">
        <v>1644</v>
      </c>
      <c r="D8253" t="s">
        <v>339</v>
      </c>
      <c r="E8253" t="s">
        <v>306</v>
      </c>
      <c r="F8253" t="s">
        <v>8939</v>
      </c>
      <c r="G8253">
        <v>54</v>
      </c>
      <c r="H8253">
        <v>4979.9400000000005</v>
      </c>
      <c r="I8253">
        <v>92.22</v>
      </c>
      <c r="J8253">
        <v>22</v>
      </c>
      <c r="K8253">
        <v>2012.12</v>
      </c>
      <c r="L8253">
        <v>91.46</v>
      </c>
      <c r="M8253">
        <v>76</v>
      </c>
      <c r="N8253">
        <v>6992.06</v>
      </c>
      <c r="O8253">
        <v>92</v>
      </c>
    </row>
    <row r="8254" spans="1:15" x14ac:dyDescent="0.35">
      <c r="A8254" t="s">
        <v>8902</v>
      </c>
      <c r="B8254" t="s">
        <v>8903</v>
      </c>
      <c r="C8254" t="s">
        <v>1644</v>
      </c>
      <c r="D8254" t="s">
        <v>339</v>
      </c>
      <c r="E8254" t="s">
        <v>308</v>
      </c>
      <c r="F8254" t="s">
        <v>8940</v>
      </c>
      <c r="G8254">
        <v>17</v>
      </c>
      <c r="H8254">
        <v>1856.63</v>
      </c>
      <c r="I8254">
        <v>109.21</v>
      </c>
      <c r="J8254">
        <v>0</v>
      </c>
      <c r="K8254">
        <v>0</v>
      </c>
      <c r="L8254">
        <v>0</v>
      </c>
      <c r="M8254">
        <v>17</v>
      </c>
      <c r="N8254">
        <v>1856.63</v>
      </c>
      <c r="O8254">
        <v>109.21</v>
      </c>
    </row>
    <row r="8255" spans="1:15" x14ac:dyDescent="0.35">
      <c r="A8255" t="s">
        <v>8902</v>
      </c>
      <c r="B8255" t="s">
        <v>8903</v>
      </c>
      <c r="C8255" t="s">
        <v>1644</v>
      </c>
      <c r="D8255" t="s">
        <v>339</v>
      </c>
      <c r="E8255" t="s">
        <v>310</v>
      </c>
      <c r="F8255" t="s">
        <v>8941</v>
      </c>
      <c r="G8255">
        <v>179</v>
      </c>
      <c r="H8255">
        <v>18941.62</v>
      </c>
      <c r="I8255">
        <v>105.82</v>
      </c>
      <c r="J8255">
        <v>267</v>
      </c>
      <c r="K8255">
        <v>28258.340000000004</v>
      </c>
      <c r="L8255">
        <v>105.84</v>
      </c>
      <c r="M8255">
        <v>446</v>
      </c>
      <c r="N8255">
        <v>47199.960000000006</v>
      </c>
      <c r="O8255">
        <v>105.83</v>
      </c>
    </row>
    <row r="8256" spans="1:15" x14ac:dyDescent="0.35">
      <c r="A8256" t="s">
        <v>8902</v>
      </c>
      <c r="B8256" t="s">
        <v>8903</v>
      </c>
      <c r="C8256" t="s">
        <v>1644</v>
      </c>
      <c r="D8256" t="s">
        <v>339</v>
      </c>
      <c r="E8256" t="s">
        <v>312</v>
      </c>
      <c r="F8256" t="s">
        <v>8942</v>
      </c>
      <c r="G8256">
        <v>162</v>
      </c>
      <c r="H8256">
        <v>17084.989999999998</v>
      </c>
      <c r="I8256">
        <v>105.46</v>
      </c>
      <c r="J8256">
        <v>267</v>
      </c>
      <c r="K8256">
        <v>28258.340000000004</v>
      </c>
      <c r="L8256">
        <v>105.84</v>
      </c>
      <c r="M8256">
        <v>429</v>
      </c>
      <c r="N8256">
        <v>45343.33</v>
      </c>
      <c r="O8256">
        <v>105.7</v>
      </c>
    </row>
    <row r="8257" spans="1:15" x14ac:dyDescent="0.35">
      <c r="A8257" t="s">
        <v>8902</v>
      </c>
      <c r="B8257" t="s">
        <v>8903</v>
      </c>
      <c r="C8257" t="s">
        <v>1644</v>
      </c>
      <c r="D8257" t="s">
        <v>348</v>
      </c>
      <c r="E8257" t="s">
        <v>349</v>
      </c>
      <c r="F8257" t="s">
        <v>8943</v>
      </c>
      <c r="G8257">
        <v>191</v>
      </c>
      <c r="H8257">
        <v>18941.62</v>
      </c>
      <c r="I8257">
        <v>105.82</v>
      </c>
      <c r="J8257">
        <v>267</v>
      </c>
      <c r="K8257">
        <v>28258.340000000004</v>
      </c>
      <c r="L8257">
        <v>105.84</v>
      </c>
      <c r="M8257">
        <v>458</v>
      </c>
      <c r="N8257">
        <v>47199.960000000006</v>
      </c>
      <c r="O8257">
        <v>105.83</v>
      </c>
    </row>
    <row r="8258" spans="1:15" x14ac:dyDescent="0.35">
      <c r="A8258" t="s">
        <v>8944</v>
      </c>
      <c r="B8258" t="s">
        <v>8945</v>
      </c>
      <c r="C8258" t="s">
        <v>1644</v>
      </c>
      <c r="D8258" t="s">
        <v>293</v>
      </c>
      <c r="E8258" t="s">
        <v>294</v>
      </c>
      <c r="F8258" t="s">
        <v>8946</v>
      </c>
      <c r="G8258">
        <v>239</v>
      </c>
      <c r="H8258">
        <v>36433</v>
      </c>
      <c r="I8258">
        <v>152.44</v>
      </c>
      <c r="J8258">
        <v>14</v>
      </c>
      <c r="K8258">
        <v>2039.1000000000001</v>
      </c>
      <c r="L8258">
        <v>145.65</v>
      </c>
      <c r="M8258">
        <v>253</v>
      </c>
      <c r="N8258">
        <v>38472.1</v>
      </c>
      <c r="O8258">
        <v>152.06</v>
      </c>
    </row>
    <row r="8259" spans="1:15" x14ac:dyDescent="0.35">
      <c r="A8259" t="s">
        <v>8944</v>
      </c>
      <c r="B8259" t="s">
        <v>8945</v>
      </c>
      <c r="C8259" t="s">
        <v>1644</v>
      </c>
      <c r="D8259" t="s">
        <v>293</v>
      </c>
      <c r="E8259" t="s">
        <v>296</v>
      </c>
      <c r="F8259" t="s">
        <v>8947</v>
      </c>
      <c r="G8259">
        <v>572</v>
      </c>
      <c r="H8259">
        <v>109751.29</v>
      </c>
      <c r="I8259">
        <v>191.87</v>
      </c>
      <c r="J8259">
        <v>84</v>
      </c>
      <c r="K8259">
        <v>16426.2</v>
      </c>
      <c r="L8259">
        <v>195.55</v>
      </c>
      <c r="M8259">
        <v>656</v>
      </c>
      <c r="N8259">
        <v>126177.48999999999</v>
      </c>
      <c r="O8259">
        <v>192.34</v>
      </c>
    </row>
    <row r="8260" spans="1:15" x14ac:dyDescent="0.35">
      <c r="A8260" t="s">
        <v>8944</v>
      </c>
      <c r="B8260" t="s">
        <v>8945</v>
      </c>
      <c r="C8260" t="s">
        <v>1644</v>
      </c>
      <c r="D8260" t="s">
        <v>293</v>
      </c>
      <c r="E8260" t="s">
        <v>298</v>
      </c>
      <c r="F8260" t="s">
        <v>8948</v>
      </c>
      <c r="G8260">
        <v>344</v>
      </c>
      <c r="H8260">
        <v>77488.539999999994</v>
      </c>
      <c r="I8260">
        <v>225.26</v>
      </c>
      <c r="J8260">
        <v>17</v>
      </c>
      <c r="K8260">
        <v>4046.51</v>
      </c>
      <c r="L8260">
        <v>238.03</v>
      </c>
      <c r="M8260">
        <v>361</v>
      </c>
      <c r="N8260">
        <v>81535.049999999988</v>
      </c>
      <c r="O8260">
        <v>225.86</v>
      </c>
    </row>
    <row r="8261" spans="1:15" x14ac:dyDescent="0.35">
      <c r="A8261" t="s">
        <v>8944</v>
      </c>
      <c r="B8261" t="s">
        <v>8945</v>
      </c>
      <c r="C8261" t="s">
        <v>1644</v>
      </c>
      <c r="D8261" t="s">
        <v>293</v>
      </c>
      <c r="E8261" t="s">
        <v>300</v>
      </c>
      <c r="F8261" t="s">
        <v>8949</v>
      </c>
      <c r="G8261">
        <v>53</v>
      </c>
      <c r="H8261">
        <v>14365.34</v>
      </c>
      <c r="I8261">
        <v>271.04000000000002</v>
      </c>
      <c r="J8261">
        <v>1</v>
      </c>
      <c r="K8261">
        <v>331</v>
      </c>
      <c r="L8261">
        <v>331</v>
      </c>
      <c r="M8261">
        <v>54</v>
      </c>
      <c r="N8261">
        <v>14696.34</v>
      </c>
      <c r="O8261">
        <v>272.14999999999998</v>
      </c>
    </row>
    <row r="8262" spans="1:15" x14ac:dyDescent="0.35">
      <c r="A8262" t="s">
        <v>8944</v>
      </c>
      <c r="B8262" t="s">
        <v>8945</v>
      </c>
      <c r="C8262" t="s">
        <v>1644</v>
      </c>
      <c r="D8262" t="s">
        <v>293</v>
      </c>
      <c r="E8262" t="s">
        <v>302</v>
      </c>
      <c r="F8262" t="s">
        <v>8950</v>
      </c>
      <c r="G8262">
        <v>0</v>
      </c>
      <c r="H8262">
        <v>0</v>
      </c>
      <c r="I8262">
        <v>0</v>
      </c>
      <c r="J8262">
        <v>0</v>
      </c>
      <c r="K8262">
        <v>0</v>
      </c>
      <c r="L8262">
        <v>0</v>
      </c>
      <c r="M8262">
        <v>0</v>
      </c>
      <c r="N8262">
        <v>0</v>
      </c>
      <c r="O8262">
        <v>0</v>
      </c>
    </row>
    <row r="8263" spans="1:15" x14ac:dyDescent="0.35">
      <c r="A8263" t="s">
        <v>8944</v>
      </c>
      <c r="B8263" t="s">
        <v>8945</v>
      </c>
      <c r="C8263" t="s">
        <v>1644</v>
      </c>
      <c r="D8263" t="s">
        <v>293</v>
      </c>
      <c r="E8263" t="s">
        <v>304</v>
      </c>
      <c r="F8263" t="s">
        <v>8951</v>
      </c>
      <c r="G8263">
        <v>0</v>
      </c>
      <c r="H8263">
        <v>0</v>
      </c>
      <c r="I8263">
        <v>0</v>
      </c>
      <c r="J8263">
        <v>0</v>
      </c>
      <c r="K8263">
        <v>0</v>
      </c>
      <c r="L8263">
        <v>0</v>
      </c>
      <c r="M8263">
        <v>0</v>
      </c>
      <c r="N8263">
        <v>0</v>
      </c>
      <c r="O8263">
        <v>0</v>
      </c>
    </row>
    <row r="8264" spans="1:15" x14ac:dyDescent="0.35">
      <c r="A8264" t="s">
        <v>8944</v>
      </c>
      <c r="B8264" t="s">
        <v>8945</v>
      </c>
      <c r="C8264" t="s">
        <v>1644</v>
      </c>
      <c r="D8264" t="s">
        <v>293</v>
      </c>
      <c r="E8264" t="s">
        <v>306</v>
      </c>
      <c r="F8264" t="s">
        <v>8952</v>
      </c>
      <c r="G8264">
        <v>0</v>
      </c>
      <c r="H8264">
        <v>0</v>
      </c>
      <c r="I8264">
        <v>0</v>
      </c>
      <c r="J8264">
        <v>0</v>
      </c>
      <c r="K8264">
        <v>0</v>
      </c>
      <c r="L8264">
        <v>0</v>
      </c>
      <c r="M8264">
        <v>0</v>
      </c>
      <c r="N8264">
        <v>0</v>
      </c>
      <c r="O8264">
        <v>0</v>
      </c>
    </row>
    <row r="8265" spans="1:15" x14ac:dyDescent="0.35">
      <c r="A8265" t="s">
        <v>8944</v>
      </c>
      <c r="B8265" t="s">
        <v>8945</v>
      </c>
      <c r="C8265" t="s">
        <v>1644</v>
      </c>
      <c r="D8265" t="s">
        <v>293</v>
      </c>
      <c r="E8265" t="s">
        <v>308</v>
      </c>
      <c r="F8265" t="s">
        <v>8953</v>
      </c>
      <c r="G8265">
        <v>0</v>
      </c>
      <c r="H8265">
        <v>0</v>
      </c>
      <c r="I8265">
        <v>0</v>
      </c>
      <c r="J8265">
        <v>0</v>
      </c>
      <c r="K8265">
        <v>0</v>
      </c>
      <c r="L8265">
        <v>0</v>
      </c>
      <c r="M8265">
        <v>0</v>
      </c>
      <c r="N8265">
        <v>0</v>
      </c>
      <c r="O8265">
        <v>0</v>
      </c>
    </row>
    <row r="8266" spans="1:15" x14ac:dyDescent="0.35">
      <c r="A8266" t="s">
        <v>8944</v>
      </c>
      <c r="B8266" t="s">
        <v>8945</v>
      </c>
      <c r="C8266" t="s">
        <v>1644</v>
      </c>
      <c r="D8266" t="s">
        <v>293</v>
      </c>
      <c r="E8266" t="s">
        <v>310</v>
      </c>
      <c r="F8266" t="s">
        <v>8954</v>
      </c>
      <c r="G8266">
        <v>1208</v>
      </c>
      <c r="H8266">
        <v>238038.16999999995</v>
      </c>
      <c r="I8266">
        <v>197.05</v>
      </c>
      <c r="J8266">
        <v>116</v>
      </c>
      <c r="K8266">
        <v>22842.809999999998</v>
      </c>
      <c r="L8266">
        <v>196.92</v>
      </c>
      <c r="M8266">
        <v>1324</v>
      </c>
      <c r="N8266">
        <v>260880.97999999995</v>
      </c>
      <c r="O8266">
        <v>197.04</v>
      </c>
    </row>
    <row r="8267" spans="1:15" x14ac:dyDescent="0.35">
      <c r="A8267" t="s">
        <v>8944</v>
      </c>
      <c r="B8267" t="s">
        <v>8945</v>
      </c>
      <c r="C8267" t="s">
        <v>1644</v>
      </c>
      <c r="D8267" t="s">
        <v>293</v>
      </c>
      <c r="E8267" t="s">
        <v>312</v>
      </c>
      <c r="F8267" t="s">
        <v>8955</v>
      </c>
      <c r="G8267">
        <v>1208</v>
      </c>
      <c r="H8267">
        <v>238038.16999999995</v>
      </c>
      <c r="I8267">
        <v>197.05</v>
      </c>
      <c r="J8267">
        <v>116</v>
      </c>
      <c r="K8267">
        <v>22842.809999999998</v>
      </c>
      <c r="L8267">
        <v>196.92</v>
      </c>
      <c r="M8267">
        <v>1324</v>
      </c>
      <c r="N8267">
        <v>260880.97999999995</v>
      </c>
      <c r="O8267">
        <v>197.04</v>
      </c>
    </row>
    <row r="8268" spans="1:15" x14ac:dyDescent="0.35">
      <c r="A8268" t="s">
        <v>8944</v>
      </c>
      <c r="B8268" t="s">
        <v>8945</v>
      </c>
      <c r="C8268" t="s">
        <v>1644</v>
      </c>
      <c r="D8268" t="s">
        <v>314</v>
      </c>
      <c r="E8268" t="s">
        <v>294</v>
      </c>
      <c r="F8268" t="s">
        <v>8956</v>
      </c>
      <c r="G8268">
        <v>0</v>
      </c>
      <c r="H8268">
        <v>0</v>
      </c>
      <c r="I8268">
        <v>0</v>
      </c>
      <c r="J8268">
        <v>0</v>
      </c>
      <c r="K8268">
        <v>0</v>
      </c>
      <c r="L8268">
        <v>0</v>
      </c>
      <c r="M8268">
        <v>0</v>
      </c>
      <c r="N8268">
        <v>0</v>
      </c>
      <c r="O8268">
        <v>0</v>
      </c>
    </row>
    <row r="8269" spans="1:15" x14ac:dyDescent="0.35">
      <c r="A8269" t="s">
        <v>8944</v>
      </c>
      <c r="B8269" t="s">
        <v>8945</v>
      </c>
      <c r="C8269" t="s">
        <v>1644</v>
      </c>
      <c r="D8269" t="s">
        <v>314</v>
      </c>
      <c r="E8269" t="s">
        <v>296</v>
      </c>
      <c r="F8269" t="s">
        <v>8957</v>
      </c>
      <c r="G8269">
        <v>0</v>
      </c>
      <c r="H8269">
        <v>0</v>
      </c>
      <c r="I8269">
        <v>0</v>
      </c>
      <c r="J8269">
        <v>0</v>
      </c>
      <c r="K8269">
        <v>0</v>
      </c>
      <c r="L8269">
        <v>0</v>
      </c>
      <c r="M8269">
        <v>0</v>
      </c>
      <c r="N8269">
        <v>0</v>
      </c>
      <c r="O8269">
        <v>0</v>
      </c>
    </row>
    <row r="8270" spans="1:15" x14ac:dyDescent="0.35">
      <c r="A8270" t="s">
        <v>8944</v>
      </c>
      <c r="B8270" t="s">
        <v>8945</v>
      </c>
      <c r="C8270" t="s">
        <v>1644</v>
      </c>
      <c r="D8270" t="s">
        <v>314</v>
      </c>
      <c r="E8270" t="s">
        <v>298</v>
      </c>
      <c r="F8270" t="s">
        <v>8958</v>
      </c>
      <c r="G8270">
        <v>0</v>
      </c>
      <c r="H8270">
        <v>0</v>
      </c>
      <c r="I8270">
        <v>0</v>
      </c>
      <c r="J8270">
        <v>0</v>
      </c>
      <c r="K8270">
        <v>0</v>
      </c>
      <c r="L8270">
        <v>0</v>
      </c>
      <c r="M8270">
        <v>0</v>
      </c>
      <c r="N8270">
        <v>0</v>
      </c>
      <c r="O8270">
        <v>0</v>
      </c>
    </row>
    <row r="8271" spans="1:15" x14ac:dyDescent="0.35">
      <c r="A8271" t="s">
        <v>8944</v>
      </c>
      <c r="B8271" t="s">
        <v>8945</v>
      </c>
      <c r="C8271" t="s">
        <v>1644</v>
      </c>
      <c r="D8271" t="s">
        <v>314</v>
      </c>
      <c r="E8271" t="s">
        <v>300</v>
      </c>
      <c r="F8271" t="s">
        <v>8959</v>
      </c>
      <c r="G8271">
        <v>0</v>
      </c>
      <c r="H8271">
        <v>0</v>
      </c>
      <c r="I8271">
        <v>0</v>
      </c>
      <c r="J8271">
        <v>0</v>
      </c>
      <c r="K8271">
        <v>0</v>
      </c>
      <c r="L8271">
        <v>0</v>
      </c>
      <c r="M8271">
        <v>0</v>
      </c>
      <c r="N8271">
        <v>0</v>
      </c>
      <c r="O8271">
        <v>0</v>
      </c>
    </row>
    <row r="8272" spans="1:15" x14ac:dyDescent="0.35">
      <c r="A8272" t="s">
        <v>8944</v>
      </c>
      <c r="B8272" t="s">
        <v>8945</v>
      </c>
      <c r="C8272" t="s">
        <v>1644</v>
      </c>
      <c r="D8272" t="s">
        <v>314</v>
      </c>
      <c r="E8272" t="s">
        <v>306</v>
      </c>
      <c r="F8272" t="s">
        <v>8960</v>
      </c>
      <c r="G8272">
        <v>0</v>
      </c>
      <c r="H8272">
        <v>0</v>
      </c>
      <c r="I8272">
        <v>0</v>
      </c>
      <c r="J8272">
        <v>0</v>
      </c>
      <c r="K8272">
        <v>0</v>
      </c>
      <c r="L8272">
        <v>0</v>
      </c>
      <c r="M8272">
        <v>0</v>
      </c>
      <c r="N8272">
        <v>0</v>
      </c>
      <c r="O8272">
        <v>0</v>
      </c>
    </row>
    <row r="8273" spans="1:15" x14ac:dyDescent="0.35">
      <c r="A8273" t="s">
        <v>8944</v>
      </c>
      <c r="B8273" t="s">
        <v>8945</v>
      </c>
      <c r="C8273" t="s">
        <v>1644</v>
      </c>
      <c r="D8273" t="s">
        <v>314</v>
      </c>
      <c r="E8273" t="s">
        <v>308</v>
      </c>
      <c r="F8273" t="s">
        <v>8961</v>
      </c>
      <c r="G8273">
        <v>0</v>
      </c>
      <c r="H8273">
        <v>0</v>
      </c>
      <c r="I8273">
        <v>0</v>
      </c>
      <c r="J8273">
        <v>0</v>
      </c>
      <c r="K8273">
        <v>0</v>
      </c>
      <c r="L8273">
        <v>0</v>
      </c>
      <c r="M8273">
        <v>0</v>
      </c>
      <c r="N8273">
        <v>0</v>
      </c>
      <c r="O8273">
        <v>0</v>
      </c>
    </row>
    <row r="8274" spans="1:15" x14ac:dyDescent="0.35">
      <c r="A8274" t="s">
        <v>8944</v>
      </c>
      <c r="B8274" t="s">
        <v>8945</v>
      </c>
      <c r="C8274" t="s">
        <v>1644</v>
      </c>
      <c r="D8274" t="s">
        <v>314</v>
      </c>
      <c r="E8274" t="s">
        <v>312</v>
      </c>
      <c r="F8274" t="s">
        <v>8962</v>
      </c>
      <c r="G8274">
        <v>0</v>
      </c>
      <c r="H8274">
        <v>0</v>
      </c>
      <c r="I8274">
        <v>0</v>
      </c>
      <c r="J8274">
        <v>0</v>
      </c>
      <c r="K8274">
        <v>0</v>
      </c>
      <c r="L8274">
        <v>0</v>
      </c>
      <c r="M8274">
        <v>0</v>
      </c>
      <c r="N8274">
        <v>0</v>
      </c>
      <c r="O8274">
        <v>0</v>
      </c>
    </row>
    <row r="8275" spans="1:15" x14ac:dyDescent="0.35">
      <c r="A8275" t="s">
        <v>8944</v>
      </c>
      <c r="B8275" t="s">
        <v>8945</v>
      </c>
      <c r="C8275" t="s">
        <v>1644</v>
      </c>
      <c r="D8275" t="s">
        <v>314</v>
      </c>
      <c r="E8275" t="s">
        <v>310</v>
      </c>
      <c r="F8275" t="s">
        <v>8963</v>
      </c>
      <c r="G8275">
        <v>0</v>
      </c>
      <c r="H8275">
        <v>0</v>
      </c>
      <c r="I8275">
        <v>0</v>
      </c>
      <c r="J8275">
        <v>0</v>
      </c>
      <c r="K8275">
        <v>0</v>
      </c>
      <c r="L8275">
        <v>0</v>
      </c>
      <c r="M8275">
        <v>0</v>
      </c>
      <c r="N8275">
        <v>0</v>
      </c>
      <c r="O8275">
        <v>0</v>
      </c>
    </row>
    <row r="8276" spans="1:15" x14ac:dyDescent="0.35">
      <c r="A8276" t="s">
        <v>8944</v>
      </c>
      <c r="B8276" t="s">
        <v>8945</v>
      </c>
      <c r="C8276" t="s">
        <v>1644</v>
      </c>
      <c r="D8276" t="s">
        <v>323</v>
      </c>
      <c r="E8276" t="s">
        <v>294</v>
      </c>
      <c r="F8276" t="s">
        <v>8964</v>
      </c>
      <c r="G8276">
        <v>241</v>
      </c>
      <c r="H8276">
        <v>26242.080000000002</v>
      </c>
      <c r="I8276">
        <v>108.89</v>
      </c>
      <c r="J8276">
        <v>707</v>
      </c>
      <c r="K8276">
        <v>69943.510000000009</v>
      </c>
      <c r="L8276">
        <v>98.93</v>
      </c>
      <c r="M8276">
        <v>948</v>
      </c>
      <c r="N8276">
        <v>96185.590000000011</v>
      </c>
      <c r="O8276">
        <v>101.46</v>
      </c>
    </row>
    <row r="8277" spans="1:15" x14ac:dyDescent="0.35">
      <c r="A8277" t="s">
        <v>8944</v>
      </c>
      <c r="B8277" t="s">
        <v>8945</v>
      </c>
      <c r="C8277" t="s">
        <v>1644</v>
      </c>
      <c r="D8277" t="s">
        <v>323</v>
      </c>
      <c r="E8277" t="s">
        <v>296</v>
      </c>
      <c r="F8277" t="s">
        <v>8965</v>
      </c>
      <c r="G8277">
        <v>1113</v>
      </c>
      <c r="H8277">
        <v>142011.9</v>
      </c>
      <c r="I8277">
        <v>127.59</v>
      </c>
      <c r="J8277">
        <v>899</v>
      </c>
      <c r="K8277">
        <v>102782.67</v>
      </c>
      <c r="L8277">
        <v>114.33</v>
      </c>
      <c r="M8277">
        <v>2012</v>
      </c>
      <c r="N8277">
        <v>244794.57</v>
      </c>
      <c r="O8277">
        <v>121.67</v>
      </c>
    </row>
    <row r="8278" spans="1:15" x14ac:dyDescent="0.35">
      <c r="A8278" t="s">
        <v>8944</v>
      </c>
      <c r="B8278" t="s">
        <v>8945</v>
      </c>
      <c r="C8278" t="s">
        <v>1644</v>
      </c>
      <c r="D8278" t="s">
        <v>323</v>
      </c>
      <c r="E8278" t="s">
        <v>298</v>
      </c>
      <c r="F8278" t="s">
        <v>8966</v>
      </c>
      <c r="G8278">
        <v>917</v>
      </c>
      <c r="H8278">
        <v>135199.75</v>
      </c>
      <c r="I8278">
        <v>147.44</v>
      </c>
      <c r="J8278">
        <v>946</v>
      </c>
      <c r="K8278">
        <v>118590.56</v>
      </c>
      <c r="L8278">
        <v>125.36</v>
      </c>
      <c r="M8278">
        <v>1863</v>
      </c>
      <c r="N8278">
        <v>253790.31</v>
      </c>
      <c r="O8278">
        <v>136.22999999999999</v>
      </c>
    </row>
    <row r="8279" spans="1:15" x14ac:dyDescent="0.35">
      <c r="A8279" t="s">
        <v>8944</v>
      </c>
      <c r="B8279" t="s">
        <v>8945</v>
      </c>
      <c r="C8279" t="s">
        <v>1644</v>
      </c>
      <c r="D8279" t="s">
        <v>323</v>
      </c>
      <c r="E8279" t="s">
        <v>300</v>
      </c>
      <c r="F8279" t="s">
        <v>8967</v>
      </c>
      <c r="G8279">
        <v>117</v>
      </c>
      <c r="H8279">
        <v>19409.120000000003</v>
      </c>
      <c r="I8279">
        <v>165.89</v>
      </c>
      <c r="J8279">
        <v>51</v>
      </c>
      <c r="K8279">
        <v>7085.43</v>
      </c>
      <c r="L8279">
        <v>138.93</v>
      </c>
      <c r="M8279">
        <v>168</v>
      </c>
      <c r="N8279">
        <v>26494.550000000003</v>
      </c>
      <c r="O8279">
        <v>157.71</v>
      </c>
    </row>
    <row r="8280" spans="1:15" x14ac:dyDescent="0.35">
      <c r="A8280" t="s">
        <v>8944</v>
      </c>
      <c r="B8280" t="s">
        <v>8945</v>
      </c>
      <c r="C8280" t="s">
        <v>1644</v>
      </c>
      <c r="D8280" t="s">
        <v>323</v>
      </c>
      <c r="E8280" t="s">
        <v>302</v>
      </c>
      <c r="F8280" t="s">
        <v>8968</v>
      </c>
      <c r="G8280">
        <v>2</v>
      </c>
      <c r="H8280">
        <v>317</v>
      </c>
      <c r="I8280">
        <v>158.5</v>
      </c>
      <c r="J8280">
        <v>6</v>
      </c>
      <c r="K8280">
        <v>869.46</v>
      </c>
      <c r="L8280">
        <v>144.91</v>
      </c>
      <c r="M8280">
        <v>8</v>
      </c>
      <c r="N8280">
        <v>1186.46</v>
      </c>
      <c r="O8280">
        <v>148.31</v>
      </c>
    </row>
    <row r="8281" spans="1:15" x14ac:dyDescent="0.35">
      <c r="A8281" t="s">
        <v>8944</v>
      </c>
      <c r="B8281" t="s">
        <v>8945</v>
      </c>
      <c r="C8281" t="s">
        <v>1644</v>
      </c>
      <c r="D8281" t="s">
        <v>323</v>
      </c>
      <c r="E8281" t="s">
        <v>304</v>
      </c>
      <c r="F8281" t="s">
        <v>8969</v>
      </c>
      <c r="G8281">
        <v>0</v>
      </c>
      <c r="H8281">
        <v>0</v>
      </c>
      <c r="I8281">
        <v>0</v>
      </c>
      <c r="J8281">
        <v>0</v>
      </c>
      <c r="K8281">
        <v>0</v>
      </c>
      <c r="L8281">
        <v>0</v>
      </c>
      <c r="M8281">
        <v>0</v>
      </c>
      <c r="N8281">
        <v>0</v>
      </c>
      <c r="O8281">
        <v>0</v>
      </c>
    </row>
    <row r="8282" spans="1:15" x14ac:dyDescent="0.35">
      <c r="A8282" t="s">
        <v>8944</v>
      </c>
      <c r="B8282" t="s">
        <v>8945</v>
      </c>
      <c r="C8282" t="s">
        <v>1644</v>
      </c>
      <c r="D8282" t="s">
        <v>323</v>
      </c>
      <c r="E8282" t="s">
        <v>306</v>
      </c>
      <c r="F8282" t="s">
        <v>8970</v>
      </c>
      <c r="G8282">
        <v>3</v>
      </c>
      <c r="H8282">
        <v>246.42000000000002</v>
      </c>
      <c r="I8282">
        <v>82.14</v>
      </c>
      <c r="J8282">
        <v>13</v>
      </c>
      <c r="K8282">
        <v>1197.3</v>
      </c>
      <c r="L8282">
        <v>92.1</v>
      </c>
      <c r="M8282">
        <v>16</v>
      </c>
      <c r="N8282">
        <v>1443.72</v>
      </c>
      <c r="O8282">
        <v>90.23</v>
      </c>
    </row>
    <row r="8283" spans="1:15" x14ac:dyDescent="0.35">
      <c r="A8283" t="s">
        <v>8944</v>
      </c>
      <c r="B8283" t="s">
        <v>8945</v>
      </c>
      <c r="C8283" t="s">
        <v>1644</v>
      </c>
      <c r="D8283" t="s">
        <v>323</v>
      </c>
      <c r="E8283" t="s">
        <v>308</v>
      </c>
      <c r="F8283" t="s">
        <v>8971</v>
      </c>
      <c r="G8283">
        <v>0</v>
      </c>
      <c r="H8283">
        <v>0</v>
      </c>
      <c r="I8283">
        <v>0</v>
      </c>
      <c r="J8283">
        <v>10</v>
      </c>
      <c r="K8283">
        <v>1043.3</v>
      </c>
      <c r="L8283">
        <v>104.33</v>
      </c>
      <c r="M8283">
        <v>10</v>
      </c>
      <c r="N8283">
        <v>1043.3</v>
      </c>
      <c r="O8283">
        <v>104.33</v>
      </c>
    </row>
    <row r="8284" spans="1:15" x14ac:dyDescent="0.35">
      <c r="A8284" t="s">
        <v>8944</v>
      </c>
      <c r="B8284" t="s">
        <v>8945</v>
      </c>
      <c r="C8284" t="s">
        <v>1644</v>
      </c>
      <c r="D8284" t="s">
        <v>323</v>
      </c>
      <c r="E8284" t="s">
        <v>310</v>
      </c>
      <c r="F8284" t="s">
        <v>8972</v>
      </c>
      <c r="G8284">
        <v>2393</v>
      </c>
      <c r="H8284">
        <v>323426.26999999996</v>
      </c>
      <c r="I8284">
        <v>135.16</v>
      </c>
      <c r="J8284">
        <v>2632</v>
      </c>
      <c r="K8284">
        <v>301512.23</v>
      </c>
      <c r="L8284">
        <v>114.56</v>
      </c>
      <c r="M8284">
        <v>5025</v>
      </c>
      <c r="N8284">
        <v>624938.5</v>
      </c>
      <c r="O8284">
        <v>124.37</v>
      </c>
    </row>
    <row r="8285" spans="1:15" x14ac:dyDescent="0.35">
      <c r="A8285" t="s">
        <v>8944</v>
      </c>
      <c r="B8285" t="s">
        <v>8945</v>
      </c>
      <c r="C8285" t="s">
        <v>1644</v>
      </c>
      <c r="D8285" t="s">
        <v>323</v>
      </c>
      <c r="E8285" t="s">
        <v>312</v>
      </c>
      <c r="F8285" t="s">
        <v>8973</v>
      </c>
      <c r="G8285">
        <v>2393</v>
      </c>
      <c r="H8285">
        <v>323426.26999999996</v>
      </c>
      <c r="I8285">
        <v>135.16</v>
      </c>
      <c r="J8285">
        <v>2622</v>
      </c>
      <c r="K8285">
        <v>300468.93</v>
      </c>
      <c r="L8285">
        <v>114.6</v>
      </c>
      <c r="M8285">
        <v>5015</v>
      </c>
      <c r="N8285">
        <v>623895.19999999995</v>
      </c>
      <c r="O8285">
        <v>124.41</v>
      </c>
    </row>
    <row r="8286" spans="1:15" x14ac:dyDescent="0.35">
      <c r="A8286" t="s">
        <v>8944</v>
      </c>
      <c r="B8286" t="s">
        <v>8945</v>
      </c>
      <c r="C8286" t="s">
        <v>1644</v>
      </c>
      <c r="D8286" t="s">
        <v>334</v>
      </c>
      <c r="E8286" t="s">
        <v>312</v>
      </c>
      <c r="F8286" t="s">
        <v>8974</v>
      </c>
      <c r="G8286">
        <v>3690</v>
      </c>
      <c r="H8286">
        <v>561464.43999999994</v>
      </c>
      <c r="I8286">
        <v>155.91999999999999</v>
      </c>
      <c r="J8286">
        <v>2738</v>
      </c>
      <c r="K8286">
        <v>323311.74</v>
      </c>
      <c r="L8286">
        <v>118.08</v>
      </c>
      <c r="M8286">
        <v>6428</v>
      </c>
      <c r="N8286">
        <v>884776.17999999993</v>
      </c>
      <c r="O8286">
        <v>139.58000000000001</v>
      </c>
    </row>
    <row r="8287" spans="1:15" x14ac:dyDescent="0.35">
      <c r="A8287" t="s">
        <v>8944</v>
      </c>
      <c r="B8287" t="s">
        <v>8945</v>
      </c>
      <c r="C8287" t="s">
        <v>1644</v>
      </c>
      <c r="D8287" t="s">
        <v>334</v>
      </c>
      <c r="E8287" t="s">
        <v>308</v>
      </c>
      <c r="F8287" t="s">
        <v>8975</v>
      </c>
      <c r="G8287">
        <v>1</v>
      </c>
      <c r="H8287">
        <v>0</v>
      </c>
      <c r="I8287">
        <v>0</v>
      </c>
      <c r="J8287">
        <v>10</v>
      </c>
      <c r="K8287">
        <v>1043.3</v>
      </c>
      <c r="L8287">
        <v>104.33</v>
      </c>
      <c r="M8287">
        <v>11</v>
      </c>
      <c r="N8287">
        <v>1043.3</v>
      </c>
      <c r="O8287">
        <v>104.33</v>
      </c>
    </row>
    <row r="8288" spans="1:15" x14ac:dyDescent="0.35">
      <c r="A8288" t="s">
        <v>8944</v>
      </c>
      <c r="B8288" t="s">
        <v>8945</v>
      </c>
      <c r="C8288" t="s">
        <v>1644</v>
      </c>
      <c r="D8288" t="s">
        <v>337</v>
      </c>
      <c r="E8288" t="s">
        <v>337</v>
      </c>
      <c r="F8288" t="s">
        <v>8976</v>
      </c>
      <c r="G8288">
        <v>1183</v>
      </c>
      <c r="J8288">
        <v>44</v>
      </c>
      <c r="M8288">
        <v>1227</v>
      </c>
    </row>
    <row r="8289" spans="1:15" x14ac:dyDescent="0.35">
      <c r="A8289" t="s">
        <v>8944</v>
      </c>
      <c r="B8289" t="s">
        <v>8945</v>
      </c>
      <c r="C8289" t="s">
        <v>1644</v>
      </c>
      <c r="D8289" t="s">
        <v>339</v>
      </c>
      <c r="E8289" t="s">
        <v>294</v>
      </c>
      <c r="F8289" t="s">
        <v>8977</v>
      </c>
      <c r="G8289">
        <v>242</v>
      </c>
      <c r="H8289">
        <v>28190.889999999996</v>
      </c>
      <c r="I8289">
        <v>116.49</v>
      </c>
      <c r="J8289">
        <v>515</v>
      </c>
      <c r="K8289">
        <v>50274.3</v>
      </c>
      <c r="L8289">
        <v>97.62</v>
      </c>
      <c r="M8289">
        <v>757</v>
      </c>
      <c r="N8289">
        <v>78465.19</v>
      </c>
      <c r="O8289">
        <v>103.65</v>
      </c>
    </row>
    <row r="8290" spans="1:15" x14ac:dyDescent="0.35">
      <c r="A8290" t="s">
        <v>8944</v>
      </c>
      <c r="B8290" t="s">
        <v>8945</v>
      </c>
      <c r="C8290" t="s">
        <v>1644</v>
      </c>
      <c r="D8290" t="s">
        <v>339</v>
      </c>
      <c r="E8290" t="s">
        <v>296</v>
      </c>
      <c r="F8290" t="s">
        <v>8978</v>
      </c>
      <c r="G8290">
        <v>34</v>
      </c>
      <c r="H8290">
        <v>4755.6200000000008</v>
      </c>
      <c r="I8290">
        <v>139.87</v>
      </c>
      <c r="J8290">
        <v>15</v>
      </c>
      <c r="K8290">
        <v>1641.1499999999999</v>
      </c>
      <c r="L8290">
        <v>109.41</v>
      </c>
      <c r="M8290">
        <v>49</v>
      </c>
      <c r="N8290">
        <v>6396.77</v>
      </c>
      <c r="O8290">
        <v>130.55000000000001</v>
      </c>
    </row>
    <row r="8291" spans="1:15" x14ac:dyDescent="0.35">
      <c r="A8291" t="s">
        <v>8944</v>
      </c>
      <c r="B8291" t="s">
        <v>8945</v>
      </c>
      <c r="C8291" t="s">
        <v>1644</v>
      </c>
      <c r="D8291" t="s">
        <v>339</v>
      </c>
      <c r="E8291" t="s">
        <v>298</v>
      </c>
      <c r="F8291" t="s">
        <v>8979</v>
      </c>
      <c r="G8291">
        <v>1</v>
      </c>
      <c r="H8291">
        <v>131.51</v>
      </c>
      <c r="I8291">
        <v>131.51</v>
      </c>
      <c r="J8291">
        <v>2</v>
      </c>
      <c r="K8291">
        <v>259.39999999999998</v>
      </c>
      <c r="L8291">
        <v>129.69999999999999</v>
      </c>
      <c r="M8291">
        <v>3</v>
      </c>
      <c r="N8291">
        <v>390.90999999999997</v>
      </c>
      <c r="O8291">
        <v>130.30000000000001</v>
      </c>
    </row>
    <row r="8292" spans="1:15" x14ac:dyDescent="0.35">
      <c r="A8292" t="s">
        <v>8944</v>
      </c>
      <c r="B8292" t="s">
        <v>8945</v>
      </c>
      <c r="C8292" t="s">
        <v>1644</v>
      </c>
      <c r="D8292" t="s">
        <v>339</v>
      </c>
      <c r="E8292" t="s">
        <v>300</v>
      </c>
      <c r="F8292" t="s">
        <v>8980</v>
      </c>
      <c r="G8292">
        <v>0</v>
      </c>
      <c r="H8292">
        <v>0</v>
      </c>
      <c r="I8292">
        <v>0</v>
      </c>
      <c r="J8292">
        <v>0</v>
      </c>
      <c r="K8292">
        <v>0</v>
      </c>
      <c r="L8292">
        <v>0</v>
      </c>
      <c r="M8292">
        <v>0</v>
      </c>
      <c r="N8292">
        <v>0</v>
      </c>
      <c r="O8292">
        <v>0</v>
      </c>
    </row>
    <row r="8293" spans="1:15" x14ac:dyDescent="0.35">
      <c r="A8293" t="s">
        <v>8944</v>
      </c>
      <c r="B8293" t="s">
        <v>8945</v>
      </c>
      <c r="C8293" t="s">
        <v>1644</v>
      </c>
      <c r="D8293" t="s">
        <v>339</v>
      </c>
      <c r="E8293" t="s">
        <v>306</v>
      </c>
      <c r="F8293" t="s">
        <v>8981</v>
      </c>
      <c r="G8293">
        <v>50</v>
      </c>
      <c r="H8293">
        <v>4586.43</v>
      </c>
      <c r="I8293">
        <v>91.73</v>
      </c>
      <c r="J8293">
        <v>159</v>
      </c>
      <c r="K8293">
        <v>13654.92</v>
      </c>
      <c r="L8293">
        <v>85.88</v>
      </c>
      <c r="M8293">
        <v>209</v>
      </c>
      <c r="N8293">
        <v>18241.349999999999</v>
      </c>
      <c r="O8293">
        <v>87.28</v>
      </c>
    </row>
    <row r="8294" spans="1:15" x14ac:dyDescent="0.35">
      <c r="A8294" t="s">
        <v>8944</v>
      </c>
      <c r="B8294" t="s">
        <v>8945</v>
      </c>
      <c r="C8294" t="s">
        <v>1644</v>
      </c>
      <c r="D8294" t="s">
        <v>339</v>
      </c>
      <c r="E8294" t="s">
        <v>308</v>
      </c>
      <c r="F8294" t="s">
        <v>8982</v>
      </c>
      <c r="G8294">
        <v>92</v>
      </c>
      <c r="H8294">
        <v>10649.7</v>
      </c>
      <c r="I8294">
        <v>115.76</v>
      </c>
      <c r="J8294">
        <v>0</v>
      </c>
      <c r="K8294">
        <v>0</v>
      </c>
      <c r="L8294">
        <v>0</v>
      </c>
      <c r="M8294">
        <v>92</v>
      </c>
      <c r="N8294">
        <v>10649.7</v>
      </c>
      <c r="O8294">
        <v>115.76</v>
      </c>
    </row>
    <row r="8295" spans="1:15" x14ac:dyDescent="0.35">
      <c r="A8295" t="s">
        <v>8944</v>
      </c>
      <c r="B8295" t="s">
        <v>8945</v>
      </c>
      <c r="C8295" t="s">
        <v>1644</v>
      </c>
      <c r="D8295" t="s">
        <v>339</v>
      </c>
      <c r="E8295" t="s">
        <v>310</v>
      </c>
      <c r="F8295" t="s">
        <v>8983</v>
      </c>
      <c r="G8295">
        <v>419</v>
      </c>
      <c r="H8295">
        <v>48314.149999999994</v>
      </c>
      <c r="I8295">
        <v>115.31</v>
      </c>
      <c r="J8295">
        <v>691</v>
      </c>
      <c r="K8295">
        <v>65829.77</v>
      </c>
      <c r="L8295">
        <v>95.27</v>
      </c>
      <c r="M8295">
        <v>1110</v>
      </c>
      <c r="N8295">
        <v>114143.92</v>
      </c>
      <c r="O8295">
        <v>102.83</v>
      </c>
    </row>
    <row r="8296" spans="1:15" x14ac:dyDescent="0.35">
      <c r="A8296" t="s">
        <v>8944</v>
      </c>
      <c r="B8296" t="s">
        <v>8945</v>
      </c>
      <c r="C8296" t="s">
        <v>1644</v>
      </c>
      <c r="D8296" t="s">
        <v>339</v>
      </c>
      <c r="E8296" t="s">
        <v>312</v>
      </c>
      <c r="F8296" t="s">
        <v>8984</v>
      </c>
      <c r="G8296">
        <v>327</v>
      </c>
      <c r="H8296">
        <v>37664.449999999997</v>
      </c>
      <c r="I8296">
        <v>115.18</v>
      </c>
      <c r="J8296">
        <v>691</v>
      </c>
      <c r="K8296">
        <v>65829.77</v>
      </c>
      <c r="L8296">
        <v>95.27</v>
      </c>
      <c r="M8296">
        <v>1018</v>
      </c>
      <c r="N8296">
        <v>103494.22</v>
      </c>
      <c r="O8296">
        <v>101.66</v>
      </c>
    </row>
    <row r="8297" spans="1:15" x14ac:dyDescent="0.35">
      <c r="A8297" t="s">
        <v>8944</v>
      </c>
      <c r="B8297" t="s">
        <v>8945</v>
      </c>
      <c r="C8297" t="s">
        <v>1644</v>
      </c>
      <c r="D8297" t="s">
        <v>348</v>
      </c>
      <c r="E8297" t="s">
        <v>349</v>
      </c>
      <c r="F8297" t="s">
        <v>8985</v>
      </c>
      <c r="G8297">
        <v>602</v>
      </c>
      <c r="H8297">
        <v>48314.149999999994</v>
      </c>
      <c r="I8297">
        <v>115.31</v>
      </c>
      <c r="J8297">
        <v>691</v>
      </c>
      <c r="K8297">
        <v>65829.77</v>
      </c>
      <c r="L8297">
        <v>95.27</v>
      </c>
      <c r="M8297">
        <v>1293</v>
      </c>
      <c r="N8297">
        <v>114143.92</v>
      </c>
      <c r="O8297">
        <v>102.83</v>
      </c>
    </row>
    <row r="8298" spans="1:15" x14ac:dyDescent="0.35">
      <c r="A8298" t="s">
        <v>8986</v>
      </c>
      <c r="B8298" t="s">
        <v>8987</v>
      </c>
      <c r="C8298" t="s">
        <v>1644</v>
      </c>
      <c r="D8298" t="s">
        <v>293</v>
      </c>
      <c r="E8298" t="s">
        <v>294</v>
      </c>
      <c r="F8298" t="s">
        <v>8988</v>
      </c>
      <c r="G8298">
        <v>345</v>
      </c>
      <c r="H8298">
        <v>54828.28</v>
      </c>
      <c r="I8298">
        <v>158.91999999999999</v>
      </c>
      <c r="J8298">
        <v>0</v>
      </c>
      <c r="K8298">
        <v>0</v>
      </c>
      <c r="L8298">
        <v>0</v>
      </c>
      <c r="M8298">
        <v>345</v>
      </c>
      <c r="N8298">
        <v>54828.28</v>
      </c>
      <c r="O8298">
        <v>158.91999999999999</v>
      </c>
    </row>
    <row r="8299" spans="1:15" x14ac:dyDescent="0.35">
      <c r="A8299" t="s">
        <v>8986</v>
      </c>
      <c r="B8299" t="s">
        <v>8987</v>
      </c>
      <c r="C8299" t="s">
        <v>1644</v>
      </c>
      <c r="D8299" t="s">
        <v>293</v>
      </c>
      <c r="E8299" t="s">
        <v>296</v>
      </c>
      <c r="F8299" t="s">
        <v>8989</v>
      </c>
      <c r="G8299">
        <v>665</v>
      </c>
      <c r="H8299">
        <v>130106.57</v>
      </c>
      <c r="I8299">
        <v>195.65</v>
      </c>
      <c r="J8299">
        <v>0</v>
      </c>
      <c r="K8299">
        <v>0</v>
      </c>
      <c r="L8299">
        <v>0</v>
      </c>
      <c r="M8299">
        <v>665</v>
      </c>
      <c r="N8299">
        <v>130106.57</v>
      </c>
      <c r="O8299">
        <v>195.65</v>
      </c>
    </row>
    <row r="8300" spans="1:15" x14ac:dyDescent="0.35">
      <c r="A8300" t="s">
        <v>8986</v>
      </c>
      <c r="B8300" t="s">
        <v>8987</v>
      </c>
      <c r="C8300" t="s">
        <v>1644</v>
      </c>
      <c r="D8300" t="s">
        <v>293</v>
      </c>
      <c r="E8300" t="s">
        <v>298</v>
      </c>
      <c r="F8300" t="s">
        <v>8990</v>
      </c>
      <c r="G8300">
        <v>474</v>
      </c>
      <c r="H8300">
        <v>113024.14</v>
      </c>
      <c r="I8300">
        <v>238.45</v>
      </c>
      <c r="J8300">
        <v>0</v>
      </c>
      <c r="K8300">
        <v>0</v>
      </c>
      <c r="L8300">
        <v>0</v>
      </c>
      <c r="M8300">
        <v>474</v>
      </c>
      <c r="N8300">
        <v>113024.14</v>
      </c>
      <c r="O8300">
        <v>238.45</v>
      </c>
    </row>
    <row r="8301" spans="1:15" x14ac:dyDescent="0.35">
      <c r="A8301" t="s">
        <v>8986</v>
      </c>
      <c r="B8301" t="s">
        <v>8987</v>
      </c>
      <c r="C8301" t="s">
        <v>1644</v>
      </c>
      <c r="D8301" t="s">
        <v>293</v>
      </c>
      <c r="E8301" t="s">
        <v>300</v>
      </c>
      <c r="F8301" t="s">
        <v>8991</v>
      </c>
      <c r="G8301">
        <v>141</v>
      </c>
      <c r="H8301">
        <v>41607.17</v>
      </c>
      <c r="I8301">
        <v>295.08999999999997</v>
      </c>
      <c r="J8301">
        <v>0</v>
      </c>
      <c r="K8301">
        <v>0</v>
      </c>
      <c r="L8301">
        <v>0</v>
      </c>
      <c r="M8301">
        <v>141</v>
      </c>
      <c r="N8301">
        <v>41607.17</v>
      </c>
      <c r="O8301">
        <v>295.08999999999997</v>
      </c>
    </row>
    <row r="8302" spans="1:15" x14ac:dyDescent="0.35">
      <c r="A8302" t="s">
        <v>8986</v>
      </c>
      <c r="B8302" t="s">
        <v>8987</v>
      </c>
      <c r="C8302" t="s">
        <v>1644</v>
      </c>
      <c r="D8302" t="s">
        <v>293</v>
      </c>
      <c r="E8302" t="s">
        <v>302</v>
      </c>
      <c r="F8302" t="s">
        <v>8992</v>
      </c>
      <c r="G8302">
        <v>0</v>
      </c>
      <c r="H8302">
        <v>0</v>
      </c>
      <c r="I8302">
        <v>0</v>
      </c>
      <c r="J8302">
        <v>0</v>
      </c>
      <c r="K8302">
        <v>0</v>
      </c>
      <c r="L8302">
        <v>0</v>
      </c>
      <c r="M8302">
        <v>0</v>
      </c>
      <c r="N8302">
        <v>0</v>
      </c>
      <c r="O8302">
        <v>0</v>
      </c>
    </row>
    <row r="8303" spans="1:15" x14ac:dyDescent="0.35">
      <c r="A8303" t="s">
        <v>8986</v>
      </c>
      <c r="B8303" t="s">
        <v>8987</v>
      </c>
      <c r="C8303" t="s">
        <v>1644</v>
      </c>
      <c r="D8303" t="s">
        <v>293</v>
      </c>
      <c r="E8303" t="s">
        <v>304</v>
      </c>
      <c r="F8303" t="s">
        <v>8993</v>
      </c>
      <c r="G8303">
        <v>0</v>
      </c>
      <c r="H8303">
        <v>0</v>
      </c>
      <c r="I8303">
        <v>0</v>
      </c>
      <c r="J8303">
        <v>0</v>
      </c>
      <c r="K8303">
        <v>0</v>
      </c>
      <c r="L8303">
        <v>0</v>
      </c>
      <c r="M8303">
        <v>0</v>
      </c>
      <c r="N8303">
        <v>0</v>
      </c>
      <c r="O8303">
        <v>0</v>
      </c>
    </row>
    <row r="8304" spans="1:15" x14ac:dyDescent="0.35">
      <c r="A8304" t="s">
        <v>8986</v>
      </c>
      <c r="B8304" t="s">
        <v>8987</v>
      </c>
      <c r="C8304" t="s">
        <v>1644</v>
      </c>
      <c r="D8304" t="s">
        <v>293</v>
      </c>
      <c r="E8304" t="s">
        <v>306</v>
      </c>
      <c r="F8304" t="s">
        <v>8994</v>
      </c>
      <c r="G8304">
        <v>0</v>
      </c>
      <c r="H8304">
        <v>0</v>
      </c>
      <c r="I8304">
        <v>0</v>
      </c>
      <c r="J8304">
        <v>0</v>
      </c>
      <c r="K8304">
        <v>0</v>
      </c>
      <c r="L8304">
        <v>0</v>
      </c>
      <c r="M8304">
        <v>0</v>
      </c>
      <c r="N8304">
        <v>0</v>
      </c>
      <c r="O8304">
        <v>0</v>
      </c>
    </row>
    <row r="8305" spans="1:15" x14ac:dyDescent="0.35">
      <c r="A8305" t="s">
        <v>8986</v>
      </c>
      <c r="B8305" t="s">
        <v>8987</v>
      </c>
      <c r="C8305" t="s">
        <v>1644</v>
      </c>
      <c r="D8305" t="s">
        <v>293</v>
      </c>
      <c r="E8305" t="s">
        <v>308</v>
      </c>
      <c r="F8305" t="s">
        <v>8995</v>
      </c>
      <c r="G8305">
        <v>0</v>
      </c>
      <c r="H8305">
        <v>0</v>
      </c>
      <c r="I8305">
        <v>0</v>
      </c>
      <c r="J8305">
        <v>0</v>
      </c>
      <c r="K8305">
        <v>0</v>
      </c>
      <c r="L8305">
        <v>0</v>
      </c>
      <c r="M8305">
        <v>0</v>
      </c>
      <c r="N8305">
        <v>0</v>
      </c>
      <c r="O8305">
        <v>0</v>
      </c>
    </row>
    <row r="8306" spans="1:15" x14ac:dyDescent="0.35">
      <c r="A8306" t="s">
        <v>8986</v>
      </c>
      <c r="B8306" t="s">
        <v>8987</v>
      </c>
      <c r="C8306" t="s">
        <v>1644</v>
      </c>
      <c r="D8306" t="s">
        <v>293</v>
      </c>
      <c r="E8306" t="s">
        <v>310</v>
      </c>
      <c r="F8306" t="s">
        <v>8996</v>
      </c>
      <c r="G8306">
        <v>1625</v>
      </c>
      <c r="H8306">
        <v>339566.16</v>
      </c>
      <c r="I8306">
        <v>208.96</v>
      </c>
      <c r="J8306">
        <v>0</v>
      </c>
      <c r="K8306">
        <v>0</v>
      </c>
      <c r="L8306">
        <v>0</v>
      </c>
      <c r="M8306">
        <v>1625</v>
      </c>
      <c r="N8306">
        <v>339566.16</v>
      </c>
      <c r="O8306">
        <v>208.96</v>
      </c>
    </row>
    <row r="8307" spans="1:15" x14ac:dyDescent="0.35">
      <c r="A8307" t="s">
        <v>8986</v>
      </c>
      <c r="B8307" t="s">
        <v>8987</v>
      </c>
      <c r="C8307" t="s">
        <v>1644</v>
      </c>
      <c r="D8307" t="s">
        <v>293</v>
      </c>
      <c r="E8307" t="s">
        <v>312</v>
      </c>
      <c r="F8307" t="s">
        <v>8997</v>
      </c>
      <c r="G8307">
        <v>1625</v>
      </c>
      <c r="H8307">
        <v>339566.16</v>
      </c>
      <c r="I8307">
        <v>208.96</v>
      </c>
      <c r="J8307">
        <v>0</v>
      </c>
      <c r="K8307">
        <v>0</v>
      </c>
      <c r="L8307">
        <v>0</v>
      </c>
      <c r="M8307">
        <v>1625</v>
      </c>
      <c r="N8307">
        <v>339566.16</v>
      </c>
      <c r="O8307">
        <v>208.96</v>
      </c>
    </row>
    <row r="8308" spans="1:15" x14ac:dyDescent="0.35">
      <c r="A8308" t="s">
        <v>8986</v>
      </c>
      <c r="B8308" t="s">
        <v>8987</v>
      </c>
      <c r="C8308" t="s">
        <v>1644</v>
      </c>
      <c r="D8308" t="s">
        <v>314</v>
      </c>
      <c r="E8308" t="s">
        <v>294</v>
      </c>
      <c r="F8308" t="s">
        <v>8998</v>
      </c>
      <c r="G8308">
        <v>2</v>
      </c>
      <c r="H8308">
        <v>322.10000000000002</v>
      </c>
      <c r="I8308">
        <v>161.05000000000001</v>
      </c>
      <c r="J8308">
        <v>0</v>
      </c>
      <c r="K8308">
        <v>0</v>
      </c>
      <c r="L8308">
        <v>0</v>
      </c>
      <c r="M8308">
        <v>2</v>
      </c>
      <c r="N8308">
        <v>322.10000000000002</v>
      </c>
      <c r="O8308">
        <v>161.05000000000001</v>
      </c>
    </row>
    <row r="8309" spans="1:15" x14ac:dyDescent="0.35">
      <c r="A8309" t="s">
        <v>8986</v>
      </c>
      <c r="B8309" t="s">
        <v>8987</v>
      </c>
      <c r="C8309" t="s">
        <v>1644</v>
      </c>
      <c r="D8309" t="s">
        <v>314</v>
      </c>
      <c r="E8309" t="s">
        <v>296</v>
      </c>
      <c r="F8309" t="s">
        <v>8999</v>
      </c>
      <c r="G8309">
        <v>2</v>
      </c>
      <c r="H8309">
        <v>362.14</v>
      </c>
      <c r="I8309">
        <v>181.07</v>
      </c>
      <c r="J8309">
        <v>0</v>
      </c>
      <c r="K8309">
        <v>0</v>
      </c>
      <c r="L8309">
        <v>0</v>
      </c>
      <c r="M8309">
        <v>2</v>
      </c>
      <c r="N8309">
        <v>362.14</v>
      </c>
      <c r="O8309">
        <v>181.07</v>
      </c>
    </row>
    <row r="8310" spans="1:15" x14ac:dyDescent="0.35">
      <c r="A8310" t="s">
        <v>8986</v>
      </c>
      <c r="B8310" t="s">
        <v>8987</v>
      </c>
      <c r="C8310" t="s">
        <v>1644</v>
      </c>
      <c r="D8310" t="s">
        <v>314</v>
      </c>
      <c r="E8310" t="s">
        <v>298</v>
      </c>
      <c r="F8310" t="s">
        <v>9000</v>
      </c>
      <c r="G8310">
        <v>0</v>
      </c>
      <c r="H8310">
        <v>0</v>
      </c>
      <c r="I8310">
        <v>0</v>
      </c>
      <c r="J8310">
        <v>0</v>
      </c>
      <c r="K8310">
        <v>0</v>
      </c>
      <c r="L8310">
        <v>0</v>
      </c>
      <c r="M8310">
        <v>0</v>
      </c>
      <c r="N8310">
        <v>0</v>
      </c>
      <c r="O8310">
        <v>0</v>
      </c>
    </row>
    <row r="8311" spans="1:15" x14ac:dyDescent="0.35">
      <c r="A8311" t="s">
        <v>8986</v>
      </c>
      <c r="B8311" t="s">
        <v>8987</v>
      </c>
      <c r="C8311" t="s">
        <v>1644</v>
      </c>
      <c r="D8311" t="s">
        <v>314</v>
      </c>
      <c r="E8311" t="s">
        <v>300</v>
      </c>
      <c r="F8311" t="s">
        <v>9001</v>
      </c>
      <c r="G8311">
        <v>0</v>
      </c>
      <c r="H8311">
        <v>0</v>
      </c>
      <c r="I8311">
        <v>0</v>
      </c>
      <c r="J8311">
        <v>0</v>
      </c>
      <c r="K8311">
        <v>0</v>
      </c>
      <c r="L8311">
        <v>0</v>
      </c>
      <c r="M8311">
        <v>0</v>
      </c>
      <c r="N8311">
        <v>0</v>
      </c>
      <c r="O8311">
        <v>0</v>
      </c>
    </row>
    <row r="8312" spans="1:15" x14ac:dyDescent="0.35">
      <c r="A8312" t="s">
        <v>8986</v>
      </c>
      <c r="B8312" t="s">
        <v>8987</v>
      </c>
      <c r="C8312" t="s">
        <v>1644</v>
      </c>
      <c r="D8312" t="s">
        <v>314</v>
      </c>
      <c r="E8312" t="s">
        <v>306</v>
      </c>
      <c r="F8312" t="s">
        <v>9002</v>
      </c>
      <c r="G8312">
        <v>0</v>
      </c>
      <c r="H8312">
        <v>0</v>
      </c>
      <c r="I8312">
        <v>0</v>
      </c>
      <c r="J8312">
        <v>0</v>
      </c>
      <c r="K8312">
        <v>0</v>
      </c>
      <c r="L8312">
        <v>0</v>
      </c>
      <c r="M8312">
        <v>0</v>
      </c>
      <c r="N8312">
        <v>0</v>
      </c>
      <c r="O8312">
        <v>0</v>
      </c>
    </row>
    <row r="8313" spans="1:15" x14ac:dyDescent="0.35">
      <c r="A8313" t="s">
        <v>8986</v>
      </c>
      <c r="B8313" t="s">
        <v>8987</v>
      </c>
      <c r="C8313" t="s">
        <v>1644</v>
      </c>
      <c r="D8313" t="s">
        <v>314</v>
      </c>
      <c r="E8313" t="s">
        <v>308</v>
      </c>
      <c r="F8313" t="s">
        <v>9003</v>
      </c>
      <c r="G8313">
        <v>0</v>
      </c>
      <c r="H8313">
        <v>0</v>
      </c>
      <c r="I8313">
        <v>0</v>
      </c>
      <c r="J8313">
        <v>0</v>
      </c>
      <c r="K8313">
        <v>0</v>
      </c>
      <c r="L8313">
        <v>0</v>
      </c>
      <c r="M8313">
        <v>0</v>
      </c>
      <c r="N8313">
        <v>0</v>
      </c>
      <c r="O8313">
        <v>0</v>
      </c>
    </row>
    <row r="8314" spans="1:15" x14ac:dyDescent="0.35">
      <c r="A8314" t="s">
        <v>8986</v>
      </c>
      <c r="B8314" t="s">
        <v>8987</v>
      </c>
      <c r="C8314" t="s">
        <v>1644</v>
      </c>
      <c r="D8314" t="s">
        <v>314</v>
      </c>
      <c r="E8314" t="s">
        <v>312</v>
      </c>
      <c r="F8314" t="s">
        <v>9004</v>
      </c>
      <c r="G8314">
        <v>4</v>
      </c>
      <c r="H8314">
        <v>684.24</v>
      </c>
      <c r="I8314">
        <v>171.06</v>
      </c>
      <c r="J8314">
        <v>0</v>
      </c>
      <c r="K8314">
        <v>0</v>
      </c>
      <c r="L8314">
        <v>0</v>
      </c>
      <c r="M8314">
        <v>4</v>
      </c>
      <c r="N8314">
        <v>684.24</v>
      </c>
      <c r="O8314">
        <v>171.06</v>
      </c>
    </row>
    <row r="8315" spans="1:15" x14ac:dyDescent="0.35">
      <c r="A8315" t="s">
        <v>8986</v>
      </c>
      <c r="B8315" t="s">
        <v>8987</v>
      </c>
      <c r="C8315" t="s">
        <v>1644</v>
      </c>
      <c r="D8315" t="s">
        <v>314</v>
      </c>
      <c r="E8315" t="s">
        <v>310</v>
      </c>
      <c r="F8315" t="s">
        <v>9005</v>
      </c>
      <c r="G8315">
        <v>4</v>
      </c>
      <c r="H8315">
        <v>684.24</v>
      </c>
      <c r="I8315">
        <v>171.06</v>
      </c>
      <c r="J8315">
        <v>0</v>
      </c>
      <c r="K8315">
        <v>0</v>
      </c>
      <c r="L8315">
        <v>0</v>
      </c>
      <c r="M8315">
        <v>4</v>
      </c>
      <c r="N8315">
        <v>684.24</v>
      </c>
      <c r="O8315">
        <v>171.06</v>
      </c>
    </row>
    <row r="8316" spans="1:15" x14ac:dyDescent="0.35">
      <c r="A8316" t="s">
        <v>8986</v>
      </c>
      <c r="B8316" t="s">
        <v>8987</v>
      </c>
      <c r="C8316" t="s">
        <v>1644</v>
      </c>
      <c r="D8316" t="s">
        <v>323</v>
      </c>
      <c r="E8316" t="s">
        <v>294</v>
      </c>
      <c r="F8316" t="s">
        <v>9006</v>
      </c>
      <c r="G8316">
        <v>1168</v>
      </c>
      <c r="H8316">
        <v>130625.74</v>
      </c>
      <c r="I8316">
        <v>111.84</v>
      </c>
      <c r="J8316">
        <v>0</v>
      </c>
      <c r="K8316">
        <v>0</v>
      </c>
      <c r="L8316">
        <v>0</v>
      </c>
      <c r="M8316">
        <v>1168</v>
      </c>
      <c r="N8316">
        <v>130625.74</v>
      </c>
      <c r="O8316">
        <v>111.84</v>
      </c>
    </row>
    <row r="8317" spans="1:15" x14ac:dyDescent="0.35">
      <c r="A8317" t="s">
        <v>8986</v>
      </c>
      <c r="B8317" t="s">
        <v>8987</v>
      </c>
      <c r="C8317" t="s">
        <v>1644</v>
      </c>
      <c r="D8317" t="s">
        <v>323</v>
      </c>
      <c r="E8317" t="s">
        <v>296</v>
      </c>
      <c r="F8317" t="s">
        <v>9007</v>
      </c>
      <c r="G8317">
        <v>2917</v>
      </c>
      <c r="H8317">
        <v>374784.49000000005</v>
      </c>
      <c r="I8317">
        <v>128.47999999999999</v>
      </c>
      <c r="J8317">
        <v>0</v>
      </c>
      <c r="K8317">
        <v>0</v>
      </c>
      <c r="L8317">
        <v>0</v>
      </c>
      <c r="M8317">
        <v>2917</v>
      </c>
      <c r="N8317">
        <v>374784.49000000005</v>
      </c>
      <c r="O8317">
        <v>128.47999999999999</v>
      </c>
    </row>
    <row r="8318" spans="1:15" x14ac:dyDescent="0.35">
      <c r="A8318" t="s">
        <v>8986</v>
      </c>
      <c r="B8318" t="s">
        <v>8987</v>
      </c>
      <c r="C8318" t="s">
        <v>1644</v>
      </c>
      <c r="D8318" t="s">
        <v>323</v>
      </c>
      <c r="E8318" t="s">
        <v>298</v>
      </c>
      <c r="F8318" t="s">
        <v>9008</v>
      </c>
      <c r="G8318">
        <v>1958</v>
      </c>
      <c r="H8318">
        <v>285635.5</v>
      </c>
      <c r="I8318">
        <v>145.88</v>
      </c>
      <c r="J8318">
        <v>0</v>
      </c>
      <c r="K8318">
        <v>0</v>
      </c>
      <c r="L8318">
        <v>0</v>
      </c>
      <c r="M8318">
        <v>1958</v>
      </c>
      <c r="N8318">
        <v>285635.5</v>
      </c>
      <c r="O8318">
        <v>145.88</v>
      </c>
    </row>
    <row r="8319" spans="1:15" x14ac:dyDescent="0.35">
      <c r="A8319" t="s">
        <v>8986</v>
      </c>
      <c r="B8319" t="s">
        <v>8987</v>
      </c>
      <c r="C8319" t="s">
        <v>1644</v>
      </c>
      <c r="D8319" t="s">
        <v>323</v>
      </c>
      <c r="E8319" t="s">
        <v>300</v>
      </c>
      <c r="F8319" t="s">
        <v>9009</v>
      </c>
      <c r="G8319">
        <v>141</v>
      </c>
      <c r="H8319">
        <v>22811.03</v>
      </c>
      <c r="I8319">
        <v>161.78</v>
      </c>
      <c r="J8319">
        <v>0</v>
      </c>
      <c r="K8319">
        <v>0</v>
      </c>
      <c r="L8319">
        <v>0</v>
      </c>
      <c r="M8319">
        <v>141</v>
      </c>
      <c r="N8319">
        <v>22811.03</v>
      </c>
      <c r="O8319">
        <v>161.78</v>
      </c>
    </row>
    <row r="8320" spans="1:15" x14ac:dyDescent="0.35">
      <c r="A8320" t="s">
        <v>8986</v>
      </c>
      <c r="B8320" t="s">
        <v>8987</v>
      </c>
      <c r="C8320" t="s">
        <v>1644</v>
      </c>
      <c r="D8320" t="s">
        <v>323</v>
      </c>
      <c r="E8320" t="s">
        <v>302</v>
      </c>
      <c r="F8320" t="s">
        <v>9010</v>
      </c>
      <c r="G8320">
        <v>3</v>
      </c>
      <c r="H8320">
        <v>534.80999999999995</v>
      </c>
      <c r="I8320">
        <v>178.27</v>
      </c>
      <c r="J8320">
        <v>0</v>
      </c>
      <c r="K8320">
        <v>0</v>
      </c>
      <c r="L8320">
        <v>0</v>
      </c>
      <c r="M8320">
        <v>3</v>
      </c>
      <c r="N8320">
        <v>534.80999999999995</v>
      </c>
      <c r="O8320">
        <v>178.27</v>
      </c>
    </row>
    <row r="8321" spans="1:15" x14ac:dyDescent="0.35">
      <c r="A8321" t="s">
        <v>8986</v>
      </c>
      <c r="B8321" t="s">
        <v>8987</v>
      </c>
      <c r="C8321" t="s">
        <v>1644</v>
      </c>
      <c r="D8321" t="s">
        <v>323</v>
      </c>
      <c r="E8321" t="s">
        <v>304</v>
      </c>
      <c r="F8321" t="s">
        <v>9011</v>
      </c>
      <c r="G8321">
        <v>0</v>
      </c>
      <c r="H8321">
        <v>0</v>
      </c>
      <c r="I8321">
        <v>0</v>
      </c>
      <c r="J8321">
        <v>0</v>
      </c>
      <c r="K8321">
        <v>0</v>
      </c>
      <c r="L8321">
        <v>0</v>
      </c>
      <c r="M8321">
        <v>0</v>
      </c>
      <c r="N8321">
        <v>0</v>
      </c>
      <c r="O8321">
        <v>0</v>
      </c>
    </row>
    <row r="8322" spans="1:15" x14ac:dyDescent="0.35">
      <c r="A8322" t="s">
        <v>8986</v>
      </c>
      <c r="B8322" t="s">
        <v>8987</v>
      </c>
      <c r="C8322" t="s">
        <v>1644</v>
      </c>
      <c r="D8322" t="s">
        <v>323</v>
      </c>
      <c r="E8322" t="s">
        <v>306</v>
      </c>
      <c r="F8322" t="s">
        <v>9012</v>
      </c>
      <c r="G8322">
        <v>79</v>
      </c>
      <c r="H8322">
        <v>7380.97</v>
      </c>
      <c r="I8322">
        <v>93.43</v>
      </c>
      <c r="J8322">
        <v>0</v>
      </c>
      <c r="K8322">
        <v>0</v>
      </c>
      <c r="L8322">
        <v>0</v>
      </c>
      <c r="M8322">
        <v>79</v>
      </c>
      <c r="N8322">
        <v>7380.97</v>
      </c>
      <c r="O8322">
        <v>93.43</v>
      </c>
    </row>
    <row r="8323" spans="1:15" x14ac:dyDescent="0.35">
      <c r="A8323" t="s">
        <v>8986</v>
      </c>
      <c r="B8323" t="s">
        <v>8987</v>
      </c>
      <c r="C8323" t="s">
        <v>1644</v>
      </c>
      <c r="D8323" t="s">
        <v>323</v>
      </c>
      <c r="E8323" t="s">
        <v>308</v>
      </c>
      <c r="F8323" t="s">
        <v>9013</v>
      </c>
      <c r="G8323">
        <v>0</v>
      </c>
      <c r="H8323">
        <v>0</v>
      </c>
      <c r="I8323">
        <v>0</v>
      </c>
      <c r="J8323">
        <v>0</v>
      </c>
      <c r="K8323">
        <v>0</v>
      </c>
      <c r="L8323">
        <v>0</v>
      </c>
      <c r="M8323">
        <v>0</v>
      </c>
      <c r="N8323">
        <v>0</v>
      </c>
      <c r="O8323">
        <v>0</v>
      </c>
    </row>
    <row r="8324" spans="1:15" x14ac:dyDescent="0.35">
      <c r="A8324" t="s">
        <v>8986</v>
      </c>
      <c r="B8324" t="s">
        <v>8987</v>
      </c>
      <c r="C8324" t="s">
        <v>1644</v>
      </c>
      <c r="D8324" t="s">
        <v>323</v>
      </c>
      <c r="E8324" t="s">
        <v>310</v>
      </c>
      <c r="F8324" t="s">
        <v>9014</v>
      </c>
      <c r="G8324">
        <v>6266</v>
      </c>
      <c r="H8324">
        <v>821772.54</v>
      </c>
      <c r="I8324">
        <v>131.15</v>
      </c>
      <c r="J8324">
        <v>0</v>
      </c>
      <c r="K8324">
        <v>0</v>
      </c>
      <c r="L8324">
        <v>0</v>
      </c>
      <c r="M8324">
        <v>6266</v>
      </c>
      <c r="N8324">
        <v>821772.54</v>
      </c>
      <c r="O8324">
        <v>131.15</v>
      </c>
    </row>
    <row r="8325" spans="1:15" x14ac:dyDescent="0.35">
      <c r="A8325" t="s">
        <v>8986</v>
      </c>
      <c r="B8325" t="s">
        <v>8987</v>
      </c>
      <c r="C8325" t="s">
        <v>1644</v>
      </c>
      <c r="D8325" t="s">
        <v>323</v>
      </c>
      <c r="E8325" t="s">
        <v>312</v>
      </c>
      <c r="F8325" t="s">
        <v>9015</v>
      </c>
      <c r="G8325">
        <v>6266</v>
      </c>
      <c r="H8325">
        <v>821772.54</v>
      </c>
      <c r="I8325">
        <v>131.15</v>
      </c>
      <c r="J8325">
        <v>0</v>
      </c>
      <c r="K8325">
        <v>0</v>
      </c>
      <c r="L8325">
        <v>0</v>
      </c>
      <c r="M8325">
        <v>6266</v>
      </c>
      <c r="N8325">
        <v>821772.54</v>
      </c>
      <c r="O8325">
        <v>131.15</v>
      </c>
    </row>
    <row r="8326" spans="1:15" x14ac:dyDescent="0.35">
      <c r="A8326" t="s">
        <v>8986</v>
      </c>
      <c r="B8326" t="s">
        <v>8987</v>
      </c>
      <c r="C8326" t="s">
        <v>1644</v>
      </c>
      <c r="D8326" t="s">
        <v>334</v>
      </c>
      <c r="E8326" t="s">
        <v>312</v>
      </c>
      <c r="F8326" t="s">
        <v>9016</v>
      </c>
      <c r="G8326">
        <v>7942</v>
      </c>
      <c r="H8326">
        <v>1161338.7000000002</v>
      </c>
      <c r="I8326">
        <v>147.16999999999999</v>
      </c>
      <c r="J8326">
        <v>0</v>
      </c>
      <c r="K8326">
        <v>0</v>
      </c>
      <c r="L8326">
        <v>0</v>
      </c>
      <c r="M8326">
        <v>7942</v>
      </c>
      <c r="N8326">
        <v>1161338.7000000002</v>
      </c>
      <c r="O8326">
        <v>147.16999999999999</v>
      </c>
    </row>
    <row r="8327" spans="1:15" x14ac:dyDescent="0.35">
      <c r="A8327" t="s">
        <v>8986</v>
      </c>
      <c r="B8327" t="s">
        <v>8987</v>
      </c>
      <c r="C8327" t="s">
        <v>1644</v>
      </c>
      <c r="D8327" t="s">
        <v>334</v>
      </c>
      <c r="E8327" t="s">
        <v>308</v>
      </c>
      <c r="F8327" t="s">
        <v>9017</v>
      </c>
      <c r="G8327">
        <v>0</v>
      </c>
      <c r="H8327">
        <v>0</v>
      </c>
      <c r="I8327">
        <v>0</v>
      </c>
      <c r="J8327">
        <v>0</v>
      </c>
      <c r="K8327">
        <v>0</v>
      </c>
      <c r="L8327">
        <v>0</v>
      </c>
      <c r="M8327">
        <v>0</v>
      </c>
      <c r="N8327">
        <v>0</v>
      </c>
      <c r="O8327">
        <v>0</v>
      </c>
    </row>
    <row r="8328" spans="1:15" x14ac:dyDescent="0.35">
      <c r="A8328" t="s">
        <v>8986</v>
      </c>
      <c r="B8328" t="s">
        <v>8987</v>
      </c>
      <c r="C8328" t="s">
        <v>1644</v>
      </c>
      <c r="D8328" t="s">
        <v>337</v>
      </c>
      <c r="E8328" t="s">
        <v>337</v>
      </c>
      <c r="F8328" t="s">
        <v>9018</v>
      </c>
      <c r="G8328">
        <v>1138</v>
      </c>
      <c r="J8328">
        <v>0</v>
      </c>
      <c r="M8328">
        <v>1138</v>
      </c>
    </row>
    <row r="8329" spans="1:15" x14ac:dyDescent="0.35">
      <c r="A8329" t="s">
        <v>8986</v>
      </c>
      <c r="B8329" t="s">
        <v>8987</v>
      </c>
      <c r="C8329" t="s">
        <v>1644</v>
      </c>
      <c r="D8329" t="s">
        <v>339</v>
      </c>
      <c r="E8329" t="s">
        <v>294</v>
      </c>
      <c r="F8329" t="s">
        <v>9019</v>
      </c>
      <c r="G8329">
        <v>556</v>
      </c>
      <c r="H8329">
        <v>67635.510000000009</v>
      </c>
      <c r="I8329">
        <v>121.65</v>
      </c>
      <c r="J8329">
        <v>0</v>
      </c>
      <c r="K8329">
        <v>0</v>
      </c>
      <c r="L8329">
        <v>0</v>
      </c>
      <c r="M8329">
        <v>556</v>
      </c>
      <c r="N8329">
        <v>67635.510000000009</v>
      </c>
      <c r="O8329">
        <v>121.65</v>
      </c>
    </row>
    <row r="8330" spans="1:15" x14ac:dyDescent="0.35">
      <c r="A8330" t="s">
        <v>8986</v>
      </c>
      <c r="B8330" t="s">
        <v>8987</v>
      </c>
      <c r="C8330" t="s">
        <v>1644</v>
      </c>
      <c r="D8330" t="s">
        <v>339</v>
      </c>
      <c r="E8330" t="s">
        <v>296</v>
      </c>
      <c r="F8330" t="s">
        <v>9020</v>
      </c>
      <c r="G8330">
        <v>63</v>
      </c>
      <c r="H8330">
        <v>8710.1099999999988</v>
      </c>
      <c r="I8330">
        <v>138.26</v>
      </c>
      <c r="J8330">
        <v>0</v>
      </c>
      <c r="K8330">
        <v>0</v>
      </c>
      <c r="L8330">
        <v>0</v>
      </c>
      <c r="M8330">
        <v>63</v>
      </c>
      <c r="N8330">
        <v>8710.1099999999988</v>
      </c>
      <c r="O8330">
        <v>138.26</v>
      </c>
    </row>
    <row r="8331" spans="1:15" x14ac:dyDescent="0.35">
      <c r="A8331" t="s">
        <v>8986</v>
      </c>
      <c r="B8331" t="s">
        <v>8987</v>
      </c>
      <c r="C8331" t="s">
        <v>1644</v>
      </c>
      <c r="D8331" t="s">
        <v>339</v>
      </c>
      <c r="E8331" t="s">
        <v>298</v>
      </c>
      <c r="F8331" t="s">
        <v>9021</v>
      </c>
      <c r="G8331">
        <v>6</v>
      </c>
      <c r="H8331">
        <v>795.59999999999991</v>
      </c>
      <c r="I8331">
        <v>132.6</v>
      </c>
      <c r="J8331">
        <v>0</v>
      </c>
      <c r="K8331">
        <v>0</v>
      </c>
      <c r="L8331">
        <v>0</v>
      </c>
      <c r="M8331">
        <v>6</v>
      </c>
      <c r="N8331">
        <v>795.59999999999991</v>
      </c>
      <c r="O8331">
        <v>132.6</v>
      </c>
    </row>
    <row r="8332" spans="1:15" x14ac:dyDescent="0.35">
      <c r="A8332" t="s">
        <v>8986</v>
      </c>
      <c r="B8332" t="s">
        <v>8987</v>
      </c>
      <c r="C8332" t="s">
        <v>1644</v>
      </c>
      <c r="D8332" t="s">
        <v>339</v>
      </c>
      <c r="E8332" t="s">
        <v>300</v>
      </c>
      <c r="F8332" t="s">
        <v>9022</v>
      </c>
      <c r="G8332">
        <v>1</v>
      </c>
      <c r="H8332">
        <v>199.64</v>
      </c>
      <c r="I8332">
        <v>199.64</v>
      </c>
      <c r="J8332">
        <v>0</v>
      </c>
      <c r="K8332">
        <v>0</v>
      </c>
      <c r="L8332">
        <v>0</v>
      </c>
      <c r="M8332">
        <v>1</v>
      </c>
      <c r="N8332">
        <v>199.64</v>
      </c>
      <c r="O8332">
        <v>199.64</v>
      </c>
    </row>
    <row r="8333" spans="1:15" x14ac:dyDescent="0.35">
      <c r="A8333" t="s">
        <v>8986</v>
      </c>
      <c r="B8333" t="s">
        <v>8987</v>
      </c>
      <c r="C8333" t="s">
        <v>1644</v>
      </c>
      <c r="D8333" t="s">
        <v>339</v>
      </c>
      <c r="E8333" t="s">
        <v>306</v>
      </c>
      <c r="F8333" t="s">
        <v>9023</v>
      </c>
      <c r="G8333">
        <v>45</v>
      </c>
      <c r="H8333">
        <v>4436.54</v>
      </c>
      <c r="I8333">
        <v>98.59</v>
      </c>
      <c r="J8333">
        <v>0</v>
      </c>
      <c r="K8333">
        <v>0</v>
      </c>
      <c r="L8333">
        <v>0</v>
      </c>
      <c r="M8333">
        <v>45</v>
      </c>
      <c r="N8333">
        <v>4436.54</v>
      </c>
      <c r="O8333">
        <v>98.59</v>
      </c>
    </row>
    <row r="8334" spans="1:15" x14ac:dyDescent="0.35">
      <c r="A8334" t="s">
        <v>8986</v>
      </c>
      <c r="B8334" t="s">
        <v>8987</v>
      </c>
      <c r="C8334" t="s">
        <v>1644</v>
      </c>
      <c r="D8334" t="s">
        <v>339</v>
      </c>
      <c r="E8334" t="s">
        <v>308</v>
      </c>
      <c r="F8334" t="s">
        <v>9024</v>
      </c>
      <c r="G8334">
        <v>45</v>
      </c>
      <c r="H8334">
        <v>6208.74</v>
      </c>
      <c r="I8334">
        <v>137.97</v>
      </c>
      <c r="J8334">
        <v>0</v>
      </c>
      <c r="K8334">
        <v>0</v>
      </c>
      <c r="L8334">
        <v>0</v>
      </c>
      <c r="M8334">
        <v>45</v>
      </c>
      <c r="N8334">
        <v>6208.74</v>
      </c>
      <c r="O8334">
        <v>137.97</v>
      </c>
    </row>
    <row r="8335" spans="1:15" x14ac:dyDescent="0.35">
      <c r="A8335" t="s">
        <v>8986</v>
      </c>
      <c r="B8335" t="s">
        <v>8987</v>
      </c>
      <c r="C8335" t="s">
        <v>1644</v>
      </c>
      <c r="D8335" t="s">
        <v>339</v>
      </c>
      <c r="E8335" t="s">
        <v>310</v>
      </c>
      <c r="F8335" t="s">
        <v>9025</v>
      </c>
      <c r="G8335">
        <v>716</v>
      </c>
      <c r="H8335">
        <v>87986.140000000014</v>
      </c>
      <c r="I8335">
        <v>122.89</v>
      </c>
      <c r="J8335">
        <v>0</v>
      </c>
      <c r="K8335">
        <v>0</v>
      </c>
      <c r="L8335">
        <v>0</v>
      </c>
      <c r="M8335">
        <v>716</v>
      </c>
      <c r="N8335">
        <v>87986.140000000014</v>
      </c>
      <c r="O8335">
        <v>122.89</v>
      </c>
    </row>
    <row r="8336" spans="1:15" x14ac:dyDescent="0.35">
      <c r="A8336" t="s">
        <v>8986</v>
      </c>
      <c r="B8336" t="s">
        <v>8987</v>
      </c>
      <c r="C8336" t="s">
        <v>1644</v>
      </c>
      <c r="D8336" t="s">
        <v>339</v>
      </c>
      <c r="E8336" t="s">
        <v>312</v>
      </c>
      <c r="F8336" t="s">
        <v>9026</v>
      </c>
      <c r="G8336">
        <v>671</v>
      </c>
      <c r="H8336">
        <v>81777.400000000009</v>
      </c>
      <c r="I8336">
        <v>121.87</v>
      </c>
      <c r="J8336">
        <v>0</v>
      </c>
      <c r="K8336">
        <v>0</v>
      </c>
      <c r="L8336">
        <v>0</v>
      </c>
      <c r="M8336">
        <v>671</v>
      </c>
      <c r="N8336">
        <v>81777.400000000009</v>
      </c>
      <c r="O8336">
        <v>121.87</v>
      </c>
    </row>
    <row r="8337" spans="1:15" x14ac:dyDescent="0.35">
      <c r="A8337" t="s">
        <v>8986</v>
      </c>
      <c r="B8337" t="s">
        <v>8987</v>
      </c>
      <c r="C8337" t="s">
        <v>1644</v>
      </c>
      <c r="D8337" t="s">
        <v>348</v>
      </c>
      <c r="E8337" t="s">
        <v>349</v>
      </c>
      <c r="F8337" t="s">
        <v>9027</v>
      </c>
      <c r="G8337">
        <v>934</v>
      </c>
      <c r="H8337">
        <v>88670.380000000019</v>
      </c>
      <c r="I8337">
        <v>123.15</v>
      </c>
      <c r="J8337">
        <v>0</v>
      </c>
      <c r="K8337">
        <v>0</v>
      </c>
      <c r="L8337">
        <v>0</v>
      </c>
      <c r="M8337">
        <v>934</v>
      </c>
      <c r="N8337">
        <v>88670.380000000019</v>
      </c>
      <c r="O8337">
        <v>123.15</v>
      </c>
    </row>
    <row r="8338" spans="1:15" x14ac:dyDescent="0.35">
      <c r="A8338" t="s">
        <v>9028</v>
      </c>
      <c r="B8338" t="s">
        <v>9029</v>
      </c>
      <c r="C8338" t="s">
        <v>1644</v>
      </c>
      <c r="D8338" t="s">
        <v>293</v>
      </c>
      <c r="E8338" t="s">
        <v>294</v>
      </c>
      <c r="F8338" t="s">
        <v>9030</v>
      </c>
      <c r="G8338">
        <v>174</v>
      </c>
      <c r="H8338">
        <v>31566.129999999997</v>
      </c>
      <c r="I8338">
        <v>181.41</v>
      </c>
      <c r="J8338">
        <v>89</v>
      </c>
      <c r="K8338">
        <v>15412.13</v>
      </c>
      <c r="L8338">
        <v>173.17</v>
      </c>
      <c r="M8338">
        <v>263</v>
      </c>
      <c r="N8338">
        <v>46978.259999999995</v>
      </c>
      <c r="O8338">
        <v>178.62</v>
      </c>
    </row>
    <row r="8339" spans="1:15" x14ac:dyDescent="0.35">
      <c r="A8339" t="s">
        <v>9028</v>
      </c>
      <c r="B8339" t="s">
        <v>9029</v>
      </c>
      <c r="C8339" t="s">
        <v>1644</v>
      </c>
      <c r="D8339" t="s">
        <v>293</v>
      </c>
      <c r="E8339" t="s">
        <v>296</v>
      </c>
      <c r="F8339" t="s">
        <v>9031</v>
      </c>
      <c r="G8339">
        <v>297</v>
      </c>
      <c r="H8339">
        <v>64074.139999999992</v>
      </c>
      <c r="I8339">
        <v>215.74</v>
      </c>
      <c r="J8339">
        <v>164</v>
      </c>
      <c r="K8339">
        <v>35653.599999999999</v>
      </c>
      <c r="L8339">
        <v>217.4</v>
      </c>
      <c r="M8339">
        <v>461</v>
      </c>
      <c r="N8339">
        <v>99727.739999999991</v>
      </c>
      <c r="O8339">
        <v>216.33</v>
      </c>
    </row>
    <row r="8340" spans="1:15" x14ac:dyDescent="0.35">
      <c r="A8340" t="s">
        <v>9028</v>
      </c>
      <c r="B8340" t="s">
        <v>9029</v>
      </c>
      <c r="C8340" t="s">
        <v>1644</v>
      </c>
      <c r="D8340" t="s">
        <v>293</v>
      </c>
      <c r="E8340" t="s">
        <v>298</v>
      </c>
      <c r="F8340" t="s">
        <v>9032</v>
      </c>
      <c r="G8340">
        <v>53</v>
      </c>
      <c r="H8340">
        <v>12768.05</v>
      </c>
      <c r="I8340">
        <v>240.91</v>
      </c>
      <c r="J8340">
        <v>28</v>
      </c>
      <c r="K8340">
        <v>7236.04</v>
      </c>
      <c r="L8340">
        <v>258.43</v>
      </c>
      <c r="M8340">
        <v>81</v>
      </c>
      <c r="N8340">
        <v>20004.09</v>
      </c>
      <c r="O8340">
        <v>246.96</v>
      </c>
    </row>
    <row r="8341" spans="1:15" x14ac:dyDescent="0.35">
      <c r="A8341" t="s">
        <v>9028</v>
      </c>
      <c r="B8341" t="s">
        <v>9029</v>
      </c>
      <c r="C8341" t="s">
        <v>1644</v>
      </c>
      <c r="D8341" t="s">
        <v>293</v>
      </c>
      <c r="E8341" t="s">
        <v>300</v>
      </c>
      <c r="F8341" t="s">
        <v>9033</v>
      </c>
      <c r="G8341">
        <v>5</v>
      </c>
      <c r="H8341">
        <v>1481.14</v>
      </c>
      <c r="I8341">
        <v>296.23</v>
      </c>
      <c r="J8341">
        <v>1</v>
      </c>
      <c r="K8341">
        <v>353.4</v>
      </c>
      <c r="L8341">
        <v>353.4</v>
      </c>
      <c r="M8341">
        <v>6</v>
      </c>
      <c r="N8341">
        <v>1834.54</v>
      </c>
      <c r="O8341">
        <v>305.76</v>
      </c>
    </row>
    <row r="8342" spans="1:15" x14ac:dyDescent="0.35">
      <c r="A8342" t="s">
        <v>9028</v>
      </c>
      <c r="B8342" t="s">
        <v>9029</v>
      </c>
      <c r="C8342" t="s">
        <v>1644</v>
      </c>
      <c r="D8342" t="s">
        <v>293</v>
      </c>
      <c r="E8342" t="s">
        <v>302</v>
      </c>
      <c r="F8342" t="s">
        <v>9034</v>
      </c>
      <c r="G8342">
        <v>0</v>
      </c>
      <c r="H8342">
        <v>0</v>
      </c>
      <c r="I8342">
        <v>0</v>
      </c>
      <c r="J8342">
        <v>0</v>
      </c>
      <c r="K8342">
        <v>0</v>
      </c>
      <c r="L8342">
        <v>0</v>
      </c>
      <c r="M8342">
        <v>0</v>
      </c>
      <c r="N8342">
        <v>0</v>
      </c>
      <c r="O8342">
        <v>0</v>
      </c>
    </row>
    <row r="8343" spans="1:15" x14ac:dyDescent="0.35">
      <c r="A8343" t="s">
        <v>9028</v>
      </c>
      <c r="B8343" t="s">
        <v>9029</v>
      </c>
      <c r="C8343" t="s">
        <v>1644</v>
      </c>
      <c r="D8343" t="s">
        <v>293</v>
      </c>
      <c r="E8343" t="s">
        <v>304</v>
      </c>
      <c r="F8343" t="s">
        <v>9035</v>
      </c>
      <c r="G8343">
        <v>0</v>
      </c>
      <c r="H8343">
        <v>0</v>
      </c>
      <c r="I8343">
        <v>0</v>
      </c>
      <c r="J8343">
        <v>0</v>
      </c>
      <c r="K8343">
        <v>0</v>
      </c>
      <c r="L8343">
        <v>0</v>
      </c>
      <c r="M8343">
        <v>0</v>
      </c>
      <c r="N8343">
        <v>0</v>
      </c>
      <c r="O8343">
        <v>0</v>
      </c>
    </row>
    <row r="8344" spans="1:15" x14ac:dyDescent="0.35">
      <c r="A8344" t="s">
        <v>9028</v>
      </c>
      <c r="B8344" t="s">
        <v>9029</v>
      </c>
      <c r="C8344" t="s">
        <v>1644</v>
      </c>
      <c r="D8344" t="s">
        <v>293</v>
      </c>
      <c r="E8344" t="s">
        <v>306</v>
      </c>
      <c r="F8344" t="s">
        <v>9036</v>
      </c>
      <c r="G8344">
        <v>6</v>
      </c>
      <c r="H8344">
        <v>888.54</v>
      </c>
      <c r="I8344">
        <v>148.09</v>
      </c>
      <c r="J8344">
        <v>0</v>
      </c>
      <c r="K8344">
        <v>0</v>
      </c>
      <c r="L8344">
        <v>0</v>
      </c>
      <c r="M8344">
        <v>6</v>
      </c>
      <c r="N8344">
        <v>888.54</v>
      </c>
      <c r="O8344">
        <v>148.09</v>
      </c>
    </row>
    <row r="8345" spans="1:15" x14ac:dyDescent="0.35">
      <c r="A8345" t="s">
        <v>9028</v>
      </c>
      <c r="B8345" t="s">
        <v>9029</v>
      </c>
      <c r="C8345" t="s">
        <v>1644</v>
      </c>
      <c r="D8345" t="s">
        <v>293</v>
      </c>
      <c r="E8345" t="s">
        <v>308</v>
      </c>
      <c r="F8345" t="s">
        <v>9037</v>
      </c>
      <c r="G8345">
        <v>0</v>
      </c>
      <c r="H8345">
        <v>0</v>
      </c>
      <c r="I8345">
        <v>0</v>
      </c>
      <c r="J8345">
        <v>0</v>
      </c>
      <c r="K8345">
        <v>0</v>
      </c>
      <c r="L8345">
        <v>0</v>
      </c>
      <c r="M8345">
        <v>0</v>
      </c>
      <c r="N8345">
        <v>0</v>
      </c>
      <c r="O8345">
        <v>0</v>
      </c>
    </row>
    <row r="8346" spans="1:15" x14ac:dyDescent="0.35">
      <c r="A8346" t="s">
        <v>9028</v>
      </c>
      <c r="B8346" t="s">
        <v>9029</v>
      </c>
      <c r="C8346" t="s">
        <v>1644</v>
      </c>
      <c r="D8346" t="s">
        <v>293</v>
      </c>
      <c r="E8346" t="s">
        <v>310</v>
      </c>
      <c r="F8346" t="s">
        <v>9038</v>
      </c>
      <c r="G8346">
        <v>535</v>
      </c>
      <c r="H8346">
        <v>110777.99999999999</v>
      </c>
      <c r="I8346">
        <v>207.06</v>
      </c>
      <c r="J8346">
        <v>282</v>
      </c>
      <c r="K8346">
        <v>58655.17</v>
      </c>
      <c r="L8346">
        <v>208</v>
      </c>
      <c r="M8346">
        <v>817</v>
      </c>
      <c r="N8346">
        <v>169433.16999999998</v>
      </c>
      <c r="O8346">
        <v>207.38</v>
      </c>
    </row>
    <row r="8347" spans="1:15" x14ac:dyDescent="0.35">
      <c r="A8347" t="s">
        <v>9028</v>
      </c>
      <c r="B8347" t="s">
        <v>9029</v>
      </c>
      <c r="C8347" t="s">
        <v>1644</v>
      </c>
      <c r="D8347" t="s">
        <v>293</v>
      </c>
      <c r="E8347" t="s">
        <v>312</v>
      </c>
      <c r="F8347" t="s">
        <v>9039</v>
      </c>
      <c r="G8347">
        <v>535</v>
      </c>
      <c r="H8347">
        <v>110777.99999999999</v>
      </c>
      <c r="I8347">
        <v>207.06</v>
      </c>
      <c r="J8347">
        <v>282</v>
      </c>
      <c r="K8347">
        <v>58655.17</v>
      </c>
      <c r="L8347">
        <v>208</v>
      </c>
      <c r="M8347">
        <v>817</v>
      </c>
      <c r="N8347">
        <v>169433.16999999998</v>
      </c>
      <c r="O8347">
        <v>207.38</v>
      </c>
    </row>
    <row r="8348" spans="1:15" x14ac:dyDescent="0.35">
      <c r="A8348" t="s">
        <v>9028</v>
      </c>
      <c r="B8348" t="s">
        <v>9029</v>
      </c>
      <c r="C8348" t="s">
        <v>1644</v>
      </c>
      <c r="D8348" t="s">
        <v>314</v>
      </c>
      <c r="E8348" t="s">
        <v>294</v>
      </c>
      <c r="F8348" t="s">
        <v>9040</v>
      </c>
      <c r="G8348">
        <v>0</v>
      </c>
      <c r="H8348">
        <v>0</v>
      </c>
      <c r="I8348">
        <v>0</v>
      </c>
      <c r="J8348">
        <v>0</v>
      </c>
      <c r="K8348">
        <v>0</v>
      </c>
      <c r="L8348">
        <v>0</v>
      </c>
      <c r="M8348">
        <v>0</v>
      </c>
      <c r="N8348">
        <v>0</v>
      </c>
      <c r="O8348">
        <v>0</v>
      </c>
    </row>
    <row r="8349" spans="1:15" x14ac:dyDescent="0.35">
      <c r="A8349" t="s">
        <v>9028</v>
      </c>
      <c r="B8349" t="s">
        <v>9029</v>
      </c>
      <c r="C8349" t="s">
        <v>1644</v>
      </c>
      <c r="D8349" t="s">
        <v>314</v>
      </c>
      <c r="E8349" t="s">
        <v>296</v>
      </c>
      <c r="F8349" t="s">
        <v>9041</v>
      </c>
      <c r="G8349">
        <v>0</v>
      </c>
      <c r="H8349">
        <v>0</v>
      </c>
      <c r="I8349">
        <v>0</v>
      </c>
      <c r="J8349">
        <v>0</v>
      </c>
      <c r="K8349">
        <v>0</v>
      </c>
      <c r="L8349">
        <v>0</v>
      </c>
      <c r="M8349">
        <v>0</v>
      </c>
      <c r="N8349">
        <v>0</v>
      </c>
      <c r="O8349">
        <v>0</v>
      </c>
    </row>
    <row r="8350" spans="1:15" x14ac:dyDescent="0.35">
      <c r="A8350" t="s">
        <v>9028</v>
      </c>
      <c r="B8350" t="s">
        <v>9029</v>
      </c>
      <c r="C8350" t="s">
        <v>1644</v>
      </c>
      <c r="D8350" t="s">
        <v>314</v>
      </c>
      <c r="E8350" t="s">
        <v>298</v>
      </c>
      <c r="F8350" t="s">
        <v>9042</v>
      </c>
      <c r="G8350">
        <v>0</v>
      </c>
      <c r="H8350">
        <v>0</v>
      </c>
      <c r="I8350">
        <v>0</v>
      </c>
      <c r="J8350">
        <v>0</v>
      </c>
      <c r="K8350">
        <v>0</v>
      </c>
      <c r="L8350">
        <v>0</v>
      </c>
      <c r="M8350">
        <v>0</v>
      </c>
      <c r="N8350">
        <v>0</v>
      </c>
      <c r="O8350">
        <v>0</v>
      </c>
    </row>
    <row r="8351" spans="1:15" x14ac:dyDescent="0.35">
      <c r="A8351" t="s">
        <v>9028</v>
      </c>
      <c r="B8351" t="s">
        <v>9029</v>
      </c>
      <c r="C8351" t="s">
        <v>1644</v>
      </c>
      <c r="D8351" t="s">
        <v>314</v>
      </c>
      <c r="E8351" t="s">
        <v>300</v>
      </c>
      <c r="F8351" t="s">
        <v>9043</v>
      </c>
      <c r="G8351">
        <v>0</v>
      </c>
      <c r="H8351">
        <v>0</v>
      </c>
      <c r="I8351">
        <v>0</v>
      </c>
      <c r="J8351">
        <v>0</v>
      </c>
      <c r="K8351">
        <v>0</v>
      </c>
      <c r="L8351">
        <v>0</v>
      </c>
      <c r="M8351">
        <v>0</v>
      </c>
      <c r="N8351">
        <v>0</v>
      </c>
      <c r="O8351">
        <v>0</v>
      </c>
    </row>
    <row r="8352" spans="1:15" x14ac:dyDescent="0.35">
      <c r="A8352" t="s">
        <v>9028</v>
      </c>
      <c r="B8352" t="s">
        <v>9029</v>
      </c>
      <c r="C8352" t="s">
        <v>1644</v>
      </c>
      <c r="D8352" t="s">
        <v>314</v>
      </c>
      <c r="E8352" t="s">
        <v>306</v>
      </c>
      <c r="F8352" t="s">
        <v>9044</v>
      </c>
      <c r="G8352">
        <v>0</v>
      </c>
      <c r="H8352">
        <v>0</v>
      </c>
      <c r="I8352">
        <v>0</v>
      </c>
      <c r="J8352">
        <v>0</v>
      </c>
      <c r="K8352">
        <v>0</v>
      </c>
      <c r="L8352">
        <v>0</v>
      </c>
      <c r="M8352">
        <v>0</v>
      </c>
      <c r="N8352">
        <v>0</v>
      </c>
      <c r="O8352">
        <v>0</v>
      </c>
    </row>
    <row r="8353" spans="1:15" x14ac:dyDescent="0.35">
      <c r="A8353" t="s">
        <v>9028</v>
      </c>
      <c r="B8353" t="s">
        <v>9029</v>
      </c>
      <c r="C8353" t="s">
        <v>1644</v>
      </c>
      <c r="D8353" t="s">
        <v>314</v>
      </c>
      <c r="E8353" t="s">
        <v>308</v>
      </c>
      <c r="F8353" t="s">
        <v>9045</v>
      </c>
      <c r="G8353">
        <v>0</v>
      </c>
      <c r="H8353">
        <v>0</v>
      </c>
      <c r="I8353">
        <v>0</v>
      </c>
      <c r="J8353">
        <v>0</v>
      </c>
      <c r="K8353">
        <v>0</v>
      </c>
      <c r="L8353">
        <v>0</v>
      </c>
      <c r="M8353">
        <v>0</v>
      </c>
      <c r="N8353">
        <v>0</v>
      </c>
      <c r="O8353">
        <v>0</v>
      </c>
    </row>
    <row r="8354" spans="1:15" x14ac:dyDescent="0.35">
      <c r="A8354" t="s">
        <v>9028</v>
      </c>
      <c r="B8354" t="s">
        <v>9029</v>
      </c>
      <c r="C8354" t="s">
        <v>1644</v>
      </c>
      <c r="D8354" t="s">
        <v>314</v>
      </c>
      <c r="E8354" t="s">
        <v>312</v>
      </c>
      <c r="F8354" t="s">
        <v>9046</v>
      </c>
      <c r="G8354">
        <v>0</v>
      </c>
      <c r="H8354">
        <v>0</v>
      </c>
      <c r="I8354">
        <v>0</v>
      </c>
      <c r="J8354">
        <v>0</v>
      </c>
      <c r="K8354">
        <v>0</v>
      </c>
      <c r="L8354">
        <v>0</v>
      </c>
      <c r="M8354">
        <v>0</v>
      </c>
      <c r="N8354">
        <v>0</v>
      </c>
      <c r="O8354">
        <v>0</v>
      </c>
    </row>
    <row r="8355" spans="1:15" x14ac:dyDescent="0.35">
      <c r="A8355" t="s">
        <v>9028</v>
      </c>
      <c r="B8355" t="s">
        <v>9029</v>
      </c>
      <c r="C8355" t="s">
        <v>1644</v>
      </c>
      <c r="D8355" t="s">
        <v>314</v>
      </c>
      <c r="E8355" t="s">
        <v>310</v>
      </c>
      <c r="F8355" t="s">
        <v>9047</v>
      </c>
      <c r="G8355">
        <v>0</v>
      </c>
      <c r="H8355">
        <v>0</v>
      </c>
      <c r="I8355">
        <v>0</v>
      </c>
      <c r="J8355">
        <v>0</v>
      </c>
      <c r="K8355">
        <v>0</v>
      </c>
      <c r="L8355">
        <v>0</v>
      </c>
      <c r="M8355">
        <v>0</v>
      </c>
      <c r="N8355">
        <v>0</v>
      </c>
      <c r="O8355">
        <v>0</v>
      </c>
    </row>
    <row r="8356" spans="1:15" x14ac:dyDescent="0.35">
      <c r="A8356" t="s">
        <v>9028</v>
      </c>
      <c r="B8356" t="s">
        <v>9029</v>
      </c>
      <c r="C8356" t="s">
        <v>1644</v>
      </c>
      <c r="D8356" t="s">
        <v>323</v>
      </c>
      <c r="E8356" t="s">
        <v>294</v>
      </c>
      <c r="F8356" t="s">
        <v>9048</v>
      </c>
      <c r="G8356">
        <v>422</v>
      </c>
      <c r="H8356">
        <v>49522.489999999991</v>
      </c>
      <c r="I8356">
        <v>117.35</v>
      </c>
      <c r="J8356">
        <v>1164</v>
      </c>
      <c r="K8356">
        <v>123733.2</v>
      </c>
      <c r="L8356">
        <v>106.3</v>
      </c>
      <c r="M8356">
        <v>1586</v>
      </c>
      <c r="N8356">
        <v>173255.69</v>
      </c>
      <c r="O8356">
        <v>109.24</v>
      </c>
    </row>
    <row r="8357" spans="1:15" x14ac:dyDescent="0.35">
      <c r="A8357" t="s">
        <v>9028</v>
      </c>
      <c r="B8357" t="s">
        <v>9029</v>
      </c>
      <c r="C8357" t="s">
        <v>1644</v>
      </c>
      <c r="D8357" t="s">
        <v>323</v>
      </c>
      <c r="E8357" t="s">
        <v>296</v>
      </c>
      <c r="F8357" t="s">
        <v>9049</v>
      </c>
      <c r="G8357">
        <v>687</v>
      </c>
      <c r="H8357">
        <v>94386.41</v>
      </c>
      <c r="I8357">
        <v>137.38999999999999</v>
      </c>
      <c r="J8357">
        <v>2240</v>
      </c>
      <c r="K8357">
        <v>275699.20000000001</v>
      </c>
      <c r="L8357">
        <v>123.08</v>
      </c>
      <c r="M8357">
        <v>2927</v>
      </c>
      <c r="N8357">
        <v>370085.61</v>
      </c>
      <c r="O8357">
        <v>126.44</v>
      </c>
    </row>
    <row r="8358" spans="1:15" x14ac:dyDescent="0.35">
      <c r="A8358" t="s">
        <v>9028</v>
      </c>
      <c r="B8358" t="s">
        <v>9029</v>
      </c>
      <c r="C8358" t="s">
        <v>1644</v>
      </c>
      <c r="D8358" t="s">
        <v>323</v>
      </c>
      <c r="E8358" t="s">
        <v>298</v>
      </c>
      <c r="F8358" t="s">
        <v>9050</v>
      </c>
      <c r="G8358">
        <v>448</v>
      </c>
      <c r="H8358">
        <v>66557.510000000009</v>
      </c>
      <c r="I8358">
        <v>148.57</v>
      </c>
      <c r="J8358">
        <v>3493</v>
      </c>
      <c r="K8358">
        <v>484199.66000000003</v>
      </c>
      <c r="L8358">
        <v>138.62</v>
      </c>
      <c r="M8358">
        <v>3941</v>
      </c>
      <c r="N8358">
        <v>550757.17000000004</v>
      </c>
      <c r="O8358">
        <v>139.75</v>
      </c>
    </row>
    <row r="8359" spans="1:15" x14ac:dyDescent="0.35">
      <c r="A8359" t="s">
        <v>9028</v>
      </c>
      <c r="B8359" t="s">
        <v>9029</v>
      </c>
      <c r="C8359" t="s">
        <v>1644</v>
      </c>
      <c r="D8359" t="s">
        <v>323</v>
      </c>
      <c r="E8359" t="s">
        <v>300</v>
      </c>
      <c r="F8359" t="s">
        <v>9051</v>
      </c>
      <c r="G8359">
        <v>41</v>
      </c>
      <c r="H8359">
        <v>6636.8099999999995</v>
      </c>
      <c r="I8359">
        <v>161.87</v>
      </c>
      <c r="J8359">
        <v>246</v>
      </c>
      <c r="K8359">
        <v>36988.560000000005</v>
      </c>
      <c r="L8359">
        <v>150.36000000000001</v>
      </c>
      <c r="M8359">
        <v>287</v>
      </c>
      <c r="N8359">
        <v>43625.37</v>
      </c>
      <c r="O8359">
        <v>152</v>
      </c>
    </row>
    <row r="8360" spans="1:15" x14ac:dyDescent="0.35">
      <c r="A8360" t="s">
        <v>9028</v>
      </c>
      <c r="B8360" t="s">
        <v>9029</v>
      </c>
      <c r="C8360" t="s">
        <v>1644</v>
      </c>
      <c r="D8360" t="s">
        <v>323</v>
      </c>
      <c r="E8360" t="s">
        <v>302</v>
      </c>
      <c r="F8360" t="s">
        <v>9052</v>
      </c>
      <c r="G8360">
        <v>0</v>
      </c>
      <c r="H8360">
        <v>0</v>
      </c>
      <c r="I8360">
        <v>0</v>
      </c>
      <c r="J8360">
        <v>7</v>
      </c>
      <c r="K8360">
        <v>1167.46</v>
      </c>
      <c r="L8360">
        <v>166.78</v>
      </c>
      <c r="M8360">
        <v>7</v>
      </c>
      <c r="N8360">
        <v>1167.46</v>
      </c>
      <c r="O8360">
        <v>166.78</v>
      </c>
    </row>
    <row r="8361" spans="1:15" x14ac:dyDescent="0.35">
      <c r="A8361" t="s">
        <v>9028</v>
      </c>
      <c r="B8361" t="s">
        <v>9029</v>
      </c>
      <c r="C8361" t="s">
        <v>1644</v>
      </c>
      <c r="D8361" t="s">
        <v>323</v>
      </c>
      <c r="E8361" t="s">
        <v>304</v>
      </c>
      <c r="F8361" t="s">
        <v>9053</v>
      </c>
      <c r="G8361">
        <v>0</v>
      </c>
      <c r="H8361">
        <v>0</v>
      </c>
      <c r="I8361">
        <v>0</v>
      </c>
      <c r="J8361">
        <v>0</v>
      </c>
      <c r="K8361">
        <v>0</v>
      </c>
      <c r="L8361">
        <v>0</v>
      </c>
      <c r="M8361">
        <v>0</v>
      </c>
      <c r="N8361">
        <v>0</v>
      </c>
      <c r="O8361">
        <v>0</v>
      </c>
    </row>
    <row r="8362" spans="1:15" x14ac:dyDescent="0.35">
      <c r="A8362" t="s">
        <v>9028</v>
      </c>
      <c r="B8362" t="s">
        <v>9029</v>
      </c>
      <c r="C8362" t="s">
        <v>1644</v>
      </c>
      <c r="D8362" t="s">
        <v>323</v>
      </c>
      <c r="E8362" t="s">
        <v>306</v>
      </c>
      <c r="F8362" t="s">
        <v>9054</v>
      </c>
      <c r="G8362">
        <v>15</v>
      </c>
      <c r="H8362">
        <v>1453.8</v>
      </c>
      <c r="I8362">
        <v>96.92</v>
      </c>
      <c r="J8362">
        <v>68</v>
      </c>
      <c r="K8362">
        <v>6118.64</v>
      </c>
      <c r="L8362">
        <v>89.98</v>
      </c>
      <c r="M8362">
        <v>83</v>
      </c>
      <c r="N8362">
        <v>7572.4400000000005</v>
      </c>
      <c r="O8362">
        <v>91.23</v>
      </c>
    </row>
    <row r="8363" spans="1:15" x14ac:dyDescent="0.35">
      <c r="A8363" t="s">
        <v>9028</v>
      </c>
      <c r="B8363" t="s">
        <v>9029</v>
      </c>
      <c r="C8363" t="s">
        <v>1644</v>
      </c>
      <c r="D8363" t="s">
        <v>323</v>
      </c>
      <c r="E8363" t="s">
        <v>308</v>
      </c>
      <c r="F8363" t="s">
        <v>9055</v>
      </c>
      <c r="G8363">
        <v>0</v>
      </c>
      <c r="H8363">
        <v>0</v>
      </c>
      <c r="I8363">
        <v>0</v>
      </c>
      <c r="J8363">
        <v>0</v>
      </c>
      <c r="K8363">
        <v>0</v>
      </c>
      <c r="L8363">
        <v>0</v>
      </c>
      <c r="M8363">
        <v>0</v>
      </c>
      <c r="N8363">
        <v>0</v>
      </c>
      <c r="O8363">
        <v>0</v>
      </c>
    </row>
    <row r="8364" spans="1:15" x14ac:dyDescent="0.35">
      <c r="A8364" t="s">
        <v>9028</v>
      </c>
      <c r="B8364" t="s">
        <v>9029</v>
      </c>
      <c r="C8364" t="s">
        <v>1644</v>
      </c>
      <c r="D8364" t="s">
        <v>323</v>
      </c>
      <c r="E8364" t="s">
        <v>310</v>
      </c>
      <c r="F8364" t="s">
        <v>9056</v>
      </c>
      <c r="G8364">
        <v>1613</v>
      </c>
      <c r="H8364">
        <v>218557.02</v>
      </c>
      <c r="I8364">
        <v>135.5</v>
      </c>
      <c r="J8364">
        <v>7218</v>
      </c>
      <c r="K8364">
        <v>927906.72000000009</v>
      </c>
      <c r="L8364">
        <v>128.55000000000001</v>
      </c>
      <c r="M8364">
        <v>8831</v>
      </c>
      <c r="N8364">
        <v>1146463.74</v>
      </c>
      <c r="O8364">
        <v>129.82</v>
      </c>
    </row>
    <row r="8365" spans="1:15" x14ac:dyDescent="0.35">
      <c r="A8365" t="s">
        <v>9028</v>
      </c>
      <c r="B8365" t="s">
        <v>9029</v>
      </c>
      <c r="C8365" t="s">
        <v>1644</v>
      </c>
      <c r="D8365" t="s">
        <v>323</v>
      </c>
      <c r="E8365" t="s">
        <v>312</v>
      </c>
      <c r="F8365" t="s">
        <v>9057</v>
      </c>
      <c r="G8365">
        <v>1613</v>
      </c>
      <c r="H8365">
        <v>218557.02</v>
      </c>
      <c r="I8365">
        <v>135.5</v>
      </c>
      <c r="J8365">
        <v>7218</v>
      </c>
      <c r="K8365">
        <v>927906.72000000009</v>
      </c>
      <c r="L8365">
        <v>128.55000000000001</v>
      </c>
      <c r="M8365">
        <v>8831</v>
      </c>
      <c r="N8365">
        <v>1146463.74</v>
      </c>
      <c r="O8365">
        <v>129.82</v>
      </c>
    </row>
    <row r="8366" spans="1:15" x14ac:dyDescent="0.35">
      <c r="A8366" t="s">
        <v>9028</v>
      </c>
      <c r="B8366" t="s">
        <v>9029</v>
      </c>
      <c r="C8366" t="s">
        <v>1644</v>
      </c>
      <c r="D8366" t="s">
        <v>334</v>
      </c>
      <c r="E8366" t="s">
        <v>312</v>
      </c>
      <c r="F8366" t="s">
        <v>9058</v>
      </c>
      <c r="G8366">
        <v>2256</v>
      </c>
      <c r="H8366">
        <v>329335.02</v>
      </c>
      <c r="I8366">
        <v>153.32</v>
      </c>
      <c r="J8366">
        <v>7500</v>
      </c>
      <c r="K8366">
        <v>986561.89</v>
      </c>
      <c r="L8366">
        <v>131.54</v>
      </c>
      <c r="M8366">
        <v>9756</v>
      </c>
      <c r="N8366">
        <v>1315896.9100000001</v>
      </c>
      <c r="O8366">
        <v>136.38999999999999</v>
      </c>
    </row>
    <row r="8367" spans="1:15" x14ac:dyDescent="0.35">
      <c r="A8367" t="s">
        <v>9028</v>
      </c>
      <c r="B8367" t="s">
        <v>9029</v>
      </c>
      <c r="C8367" t="s">
        <v>1644</v>
      </c>
      <c r="D8367" t="s">
        <v>334</v>
      </c>
      <c r="E8367" t="s">
        <v>308</v>
      </c>
      <c r="F8367" t="s">
        <v>9059</v>
      </c>
      <c r="G8367">
        <v>0</v>
      </c>
      <c r="H8367">
        <v>0</v>
      </c>
      <c r="I8367">
        <v>0</v>
      </c>
      <c r="J8367">
        <v>0</v>
      </c>
      <c r="K8367">
        <v>0</v>
      </c>
      <c r="L8367">
        <v>0</v>
      </c>
      <c r="M8367">
        <v>0</v>
      </c>
      <c r="N8367">
        <v>0</v>
      </c>
      <c r="O8367">
        <v>0</v>
      </c>
    </row>
    <row r="8368" spans="1:15" x14ac:dyDescent="0.35">
      <c r="A8368" t="s">
        <v>9028</v>
      </c>
      <c r="B8368" t="s">
        <v>9029</v>
      </c>
      <c r="C8368" t="s">
        <v>1644</v>
      </c>
      <c r="D8368" t="s">
        <v>337</v>
      </c>
      <c r="E8368" t="s">
        <v>337</v>
      </c>
      <c r="F8368" t="s">
        <v>9060</v>
      </c>
      <c r="G8368">
        <v>428</v>
      </c>
      <c r="J8368">
        <v>113</v>
      </c>
      <c r="M8368">
        <v>541</v>
      </c>
    </row>
    <row r="8369" spans="1:15" x14ac:dyDescent="0.35">
      <c r="A8369" t="s">
        <v>9028</v>
      </c>
      <c r="B8369" t="s">
        <v>9029</v>
      </c>
      <c r="C8369" t="s">
        <v>1644</v>
      </c>
      <c r="D8369" t="s">
        <v>339</v>
      </c>
      <c r="E8369" t="s">
        <v>294</v>
      </c>
      <c r="F8369" t="s">
        <v>9061</v>
      </c>
      <c r="G8369">
        <v>191</v>
      </c>
      <c r="H8369">
        <v>29610.31</v>
      </c>
      <c r="I8369">
        <v>155.03</v>
      </c>
      <c r="J8369">
        <v>364</v>
      </c>
      <c r="K8369">
        <v>38816.959999999999</v>
      </c>
      <c r="L8369">
        <v>106.64</v>
      </c>
      <c r="M8369">
        <v>555</v>
      </c>
      <c r="N8369">
        <v>68427.27</v>
      </c>
      <c r="O8369">
        <v>123.29</v>
      </c>
    </row>
    <row r="8370" spans="1:15" x14ac:dyDescent="0.35">
      <c r="A8370" t="s">
        <v>9028</v>
      </c>
      <c r="B8370" t="s">
        <v>9029</v>
      </c>
      <c r="C8370" t="s">
        <v>1644</v>
      </c>
      <c r="D8370" t="s">
        <v>339</v>
      </c>
      <c r="E8370" t="s">
        <v>296</v>
      </c>
      <c r="F8370" t="s">
        <v>9062</v>
      </c>
      <c r="G8370">
        <v>17</v>
      </c>
      <c r="H8370">
        <v>2984.01</v>
      </c>
      <c r="I8370">
        <v>175.53</v>
      </c>
      <c r="J8370">
        <v>195</v>
      </c>
      <c r="K8370">
        <v>23050.949999999997</v>
      </c>
      <c r="L8370">
        <v>118.21</v>
      </c>
      <c r="M8370">
        <v>212</v>
      </c>
      <c r="N8370">
        <v>26034.959999999999</v>
      </c>
      <c r="O8370">
        <v>122.81</v>
      </c>
    </row>
    <row r="8371" spans="1:15" x14ac:dyDescent="0.35">
      <c r="A8371" t="s">
        <v>9028</v>
      </c>
      <c r="B8371" t="s">
        <v>9029</v>
      </c>
      <c r="C8371" t="s">
        <v>1644</v>
      </c>
      <c r="D8371" t="s">
        <v>339</v>
      </c>
      <c r="E8371" t="s">
        <v>298</v>
      </c>
      <c r="F8371" t="s">
        <v>9063</v>
      </c>
      <c r="G8371">
        <v>1</v>
      </c>
      <c r="H8371">
        <v>188.18</v>
      </c>
      <c r="I8371">
        <v>188.18</v>
      </c>
      <c r="J8371">
        <v>1</v>
      </c>
      <c r="K8371">
        <v>112.05</v>
      </c>
      <c r="L8371">
        <v>112.05</v>
      </c>
      <c r="M8371">
        <v>2</v>
      </c>
      <c r="N8371">
        <v>300.23</v>
      </c>
      <c r="O8371">
        <v>150.12</v>
      </c>
    </row>
    <row r="8372" spans="1:15" x14ac:dyDescent="0.35">
      <c r="A8372" t="s">
        <v>9028</v>
      </c>
      <c r="B8372" t="s">
        <v>9029</v>
      </c>
      <c r="C8372" t="s">
        <v>1644</v>
      </c>
      <c r="D8372" t="s">
        <v>339</v>
      </c>
      <c r="E8372" t="s">
        <v>300</v>
      </c>
      <c r="F8372" t="s">
        <v>9064</v>
      </c>
      <c r="G8372">
        <v>0</v>
      </c>
      <c r="H8372">
        <v>0</v>
      </c>
      <c r="I8372">
        <v>0</v>
      </c>
      <c r="J8372">
        <v>0</v>
      </c>
      <c r="K8372">
        <v>0</v>
      </c>
      <c r="L8372">
        <v>0</v>
      </c>
      <c r="M8372">
        <v>0</v>
      </c>
      <c r="N8372">
        <v>0</v>
      </c>
      <c r="O8372">
        <v>0</v>
      </c>
    </row>
    <row r="8373" spans="1:15" x14ac:dyDescent="0.35">
      <c r="A8373" t="s">
        <v>9028</v>
      </c>
      <c r="B8373" t="s">
        <v>9029</v>
      </c>
      <c r="C8373" t="s">
        <v>1644</v>
      </c>
      <c r="D8373" t="s">
        <v>339</v>
      </c>
      <c r="E8373" t="s">
        <v>306</v>
      </c>
      <c r="F8373" t="s">
        <v>9065</v>
      </c>
      <c r="G8373">
        <v>12</v>
      </c>
      <c r="H8373">
        <v>1389.48</v>
      </c>
      <c r="I8373">
        <v>115.79</v>
      </c>
      <c r="J8373">
        <v>0</v>
      </c>
      <c r="K8373">
        <v>0</v>
      </c>
      <c r="L8373">
        <v>0</v>
      </c>
      <c r="M8373">
        <v>12</v>
      </c>
      <c r="N8373">
        <v>1389.48</v>
      </c>
      <c r="O8373">
        <v>115.79</v>
      </c>
    </row>
    <row r="8374" spans="1:15" x14ac:dyDescent="0.35">
      <c r="A8374" t="s">
        <v>9028</v>
      </c>
      <c r="B8374" t="s">
        <v>9029</v>
      </c>
      <c r="C8374" t="s">
        <v>1644</v>
      </c>
      <c r="D8374" t="s">
        <v>339</v>
      </c>
      <c r="E8374" t="s">
        <v>308</v>
      </c>
      <c r="F8374" t="s">
        <v>9066</v>
      </c>
      <c r="G8374">
        <v>7</v>
      </c>
      <c r="H8374">
        <v>2056.6</v>
      </c>
      <c r="I8374">
        <v>293.8</v>
      </c>
      <c r="J8374">
        <v>0</v>
      </c>
      <c r="K8374">
        <v>0</v>
      </c>
      <c r="L8374">
        <v>0</v>
      </c>
      <c r="M8374">
        <v>7</v>
      </c>
      <c r="N8374">
        <v>2056.6</v>
      </c>
      <c r="O8374">
        <v>293.8</v>
      </c>
    </row>
    <row r="8375" spans="1:15" x14ac:dyDescent="0.35">
      <c r="A8375" t="s">
        <v>9028</v>
      </c>
      <c r="B8375" t="s">
        <v>9029</v>
      </c>
      <c r="C8375" t="s">
        <v>1644</v>
      </c>
      <c r="D8375" t="s">
        <v>339</v>
      </c>
      <c r="E8375" t="s">
        <v>310</v>
      </c>
      <c r="F8375" t="s">
        <v>9067</v>
      </c>
      <c r="G8375">
        <v>228</v>
      </c>
      <c r="H8375">
        <v>36228.58</v>
      </c>
      <c r="I8375">
        <v>158.9</v>
      </c>
      <c r="J8375">
        <v>560</v>
      </c>
      <c r="K8375">
        <v>61979.96</v>
      </c>
      <c r="L8375">
        <v>110.68</v>
      </c>
      <c r="M8375">
        <v>788</v>
      </c>
      <c r="N8375">
        <v>98208.540000000008</v>
      </c>
      <c r="O8375">
        <v>124.63</v>
      </c>
    </row>
    <row r="8376" spans="1:15" x14ac:dyDescent="0.35">
      <c r="A8376" t="s">
        <v>9028</v>
      </c>
      <c r="B8376" t="s">
        <v>9029</v>
      </c>
      <c r="C8376" t="s">
        <v>1644</v>
      </c>
      <c r="D8376" t="s">
        <v>339</v>
      </c>
      <c r="E8376" t="s">
        <v>312</v>
      </c>
      <c r="F8376" t="s">
        <v>9068</v>
      </c>
      <c r="G8376">
        <v>221</v>
      </c>
      <c r="H8376">
        <v>34171.980000000003</v>
      </c>
      <c r="I8376">
        <v>154.62</v>
      </c>
      <c r="J8376">
        <v>560</v>
      </c>
      <c r="K8376">
        <v>61979.96</v>
      </c>
      <c r="L8376">
        <v>110.68</v>
      </c>
      <c r="M8376">
        <v>781</v>
      </c>
      <c r="N8376">
        <v>96151.94</v>
      </c>
      <c r="O8376">
        <v>123.11</v>
      </c>
    </row>
    <row r="8377" spans="1:15" x14ac:dyDescent="0.35">
      <c r="A8377" t="s">
        <v>9028</v>
      </c>
      <c r="B8377" t="s">
        <v>9029</v>
      </c>
      <c r="C8377" t="s">
        <v>1644</v>
      </c>
      <c r="D8377" t="s">
        <v>348</v>
      </c>
      <c r="E8377" t="s">
        <v>349</v>
      </c>
      <c r="F8377" t="s">
        <v>9069</v>
      </c>
      <c r="G8377">
        <v>435</v>
      </c>
      <c r="H8377">
        <v>36228.58</v>
      </c>
      <c r="I8377">
        <v>158.9</v>
      </c>
      <c r="J8377">
        <v>560</v>
      </c>
      <c r="K8377">
        <v>61979.96</v>
      </c>
      <c r="L8377">
        <v>110.68</v>
      </c>
      <c r="M8377">
        <v>995</v>
      </c>
      <c r="N8377">
        <v>98208.540000000008</v>
      </c>
      <c r="O8377">
        <v>124.63</v>
      </c>
    </row>
    <row r="8378" spans="1:15" x14ac:dyDescent="0.35">
      <c r="A8378" t="s">
        <v>9070</v>
      </c>
      <c r="B8378" t="s">
        <v>9071</v>
      </c>
      <c r="C8378" t="s">
        <v>1644</v>
      </c>
      <c r="D8378" t="s">
        <v>293</v>
      </c>
      <c r="E8378" t="s">
        <v>294</v>
      </c>
      <c r="F8378" t="s">
        <v>9072</v>
      </c>
      <c r="G8378">
        <v>360</v>
      </c>
      <c r="H8378">
        <v>61370.719999999987</v>
      </c>
      <c r="I8378">
        <v>170.47</v>
      </c>
      <c r="J8378">
        <v>0</v>
      </c>
      <c r="K8378">
        <v>0</v>
      </c>
      <c r="L8378">
        <v>0</v>
      </c>
      <c r="M8378">
        <v>360</v>
      </c>
      <c r="N8378">
        <v>61370.719999999987</v>
      </c>
      <c r="O8378">
        <v>170.47</v>
      </c>
    </row>
    <row r="8379" spans="1:15" x14ac:dyDescent="0.35">
      <c r="A8379" t="s">
        <v>9070</v>
      </c>
      <c r="B8379" t="s">
        <v>9071</v>
      </c>
      <c r="C8379" t="s">
        <v>1644</v>
      </c>
      <c r="D8379" t="s">
        <v>293</v>
      </c>
      <c r="E8379" t="s">
        <v>296</v>
      </c>
      <c r="F8379" t="s">
        <v>9073</v>
      </c>
      <c r="G8379">
        <v>845</v>
      </c>
      <c r="H8379">
        <v>180078.35</v>
      </c>
      <c r="I8379">
        <v>213.11</v>
      </c>
      <c r="J8379">
        <v>0</v>
      </c>
      <c r="K8379">
        <v>0</v>
      </c>
      <c r="L8379">
        <v>0</v>
      </c>
      <c r="M8379">
        <v>845</v>
      </c>
      <c r="N8379">
        <v>180078.35</v>
      </c>
      <c r="O8379">
        <v>213.11</v>
      </c>
    </row>
    <row r="8380" spans="1:15" x14ac:dyDescent="0.35">
      <c r="A8380" t="s">
        <v>9070</v>
      </c>
      <c r="B8380" t="s">
        <v>9071</v>
      </c>
      <c r="C8380" t="s">
        <v>1644</v>
      </c>
      <c r="D8380" t="s">
        <v>293</v>
      </c>
      <c r="E8380" t="s">
        <v>298</v>
      </c>
      <c r="F8380" t="s">
        <v>9074</v>
      </c>
      <c r="G8380">
        <v>344</v>
      </c>
      <c r="H8380">
        <v>83758.92</v>
      </c>
      <c r="I8380">
        <v>243.49</v>
      </c>
      <c r="J8380">
        <v>0</v>
      </c>
      <c r="K8380">
        <v>0</v>
      </c>
      <c r="L8380">
        <v>0</v>
      </c>
      <c r="M8380">
        <v>344</v>
      </c>
      <c r="N8380">
        <v>83758.92</v>
      </c>
      <c r="O8380">
        <v>243.49</v>
      </c>
    </row>
    <row r="8381" spans="1:15" x14ac:dyDescent="0.35">
      <c r="A8381" t="s">
        <v>9070</v>
      </c>
      <c r="B8381" t="s">
        <v>9071</v>
      </c>
      <c r="C8381" t="s">
        <v>1644</v>
      </c>
      <c r="D8381" t="s">
        <v>293</v>
      </c>
      <c r="E8381" t="s">
        <v>300</v>
      </c>
      <c r="F8381" t="s">
        <v>9075</v>
      </c>
      <c r="G8381">
        <v>50</v>
      </c>
      <c r="H8381">
        <v>14064.16</v>
      </c>
      <c r="I8381">
        <v>281.27999999999997</v>
      </c>
      <c r="J8381">
        <v>0</v>
      </c>
      <c r="K8381">
        <v>0</v>
      </c>
      <c r="L8381">
        <v>0</v>
      </c>
      <c r="M8381">
        <v>50</v>
      </c>
      <c r="N8381">
        <v>14064.16</v>
      </c>
      <c r="O8381">
        <v>281.27999999999997</v>
      </c>
    </row>
    <row r="8382" spans="1:15" x14ac:dyDescent="0.35">
      <c r="A8382" t="s">
        <v>9070</v>
      </c>
      <c r="B8382" t="s">
        <v>9071</v>
      </c>
      <c r="C8382" t="s">
        <v>1644</v>
      </c>
      <c r="D8382" t="s">
        <v>293</v>
      </c>
      <c r="E8382" t="s">
        <v>302</v>
      </c>
      <c r="F8382" t="s">
        <v>9076</v>
      </c>
      <c r="G8382">
        <v>0</v>
      </c>
      <c r="H8382">
        <v>0</v>
      </c>
      <c r="I8382">
        <v>0</v>
      </c>
      <c r="J8382">
        <v>0</v>
      </c>
      <c r="K8382">
        <v>0</v>
      </c>
      <c r="L8382">
        <v>0</v>
      </c>
      <c r="M8382">
        <v>0</v>
      </c>
      <c r="N8382">
        <v>0</v>
      </c>
      <c r="O8382">
        <v>0</v>
      </c>
    </row>
    <row r="8383" spans="1:15" x14ac:dyDescent="0.35">
      <c r="A8383" t="s">
        <v>9070</v>
      </c>
      <c r="B8383" t="s">
        <v>9071</v>
      </c>
      <c r="C8383" t="s">
        <v>1644</v>
      </c>
      <c r="D8383" t="s">
        <v>293</v>
      </c>
      <c r="E8383" t="s">
        <v>304</v>
      </c>
      <c r="F8383" t="s">
        <v>9077</v>
      </c>
      <c r="G8383">
        <v>0</v>
      </c>
      <c r="H8383">
        <v>0</v>
      </c>
      <c r="I8383">
        <v>0</v>
      </c>
      <c r="J8383">
        <v>0</v>
      </c>
      <c r="K8383">
        <v>0</v>
      </c>
      <c r="L8383">
        <v>0</v>
      </c>
      <c r="M8383">
        <v>0</v>
      </c>
      <c r="N8383">
        <v>0</v>
      </c>
      <c r="O8383">
        <v>0</v>
      </c>
    </row>
    <row r="8384" spans="1:15" x14ac:dyDescent="0.35">
      <c r="A8384" t="s">
        <v>9070</v>
      </c>
      <c r="B8384" t="s">
        <v>9071</v>
      </c>
      <c r="C8384" t="s">
        <v>1644</v>
      </c>
      <c r="D8384" t="s">
        <v>293</v>
      </c>
      <c r="E8384" t="s">
        <v>306</v>
      </c>
      <c r="F8384" t="s">
        <v>9078</v>
      </c>
      <c r="G8384">
        <v>4</v>
      </c>
      <c r="H8384">
        <v>478.77</v>
      </c>
      <c r="I8384">
        <v>119.69</v>
      </c>
      <c r="J8384">
        <v>0</v>
      </c>
      <c r="K8384">
        <v>0</v>
      </c>
      <c r="L8384">
        <v>0</v>
      </c>
      <c r="M8384">
        <v>4</v>
      </c>
      <c r="N8384">
        <v>478.77</v>
      </c>
      <c r="O8384">
        <v>119.69</v>
      </c>
    </row>
    <row r="8385" spans="1:15" x14ac:dyDescent="0.35">
      <c r="A8385" t="s">
        <v>9070</v>
      </c>
      <c r="B8385" t="s">
        <v>9071</v>
      </c>
      <c r="C8385" t="s">
        <v>1644</v>
      </c>
      <c r="D8385" t="s">
        <v>293</v>
      </c>
      <c r="E8385" t="s">
        <v>308</v>
      </c>
      <c r="F8385" t="s">
        <v>9079</v>
      </c>
      <c r="G8385">
        <v>0</v>
      </c>
      <c r="H8385">
        <v>0</v>
      </c>
      <c r="I8385">
        <v>0</v>
      </c>
      <c r="J8385">
        <v>0</v>
      </c>
      <c r="K8385">
        <v>0</v>
      </c>
      <c r="L8385">
        <v>0</v>
      </c>
      <c r="M8385">
        <v>0</v>
      </c>
      <c r="N8385">
        <v>0</v>
      </c>
      <c r="O8385">
        <v>0</v>
      </c>
    </row>
    <row r="8386" spans="1:15" x14ac:dyDescent="0.35">
      <c r="A8386" t="s">
        <v>9070</v>
      </c>
      <c r="B8386" t="s">
        <v>9071</v>
      </c>
      <c r="C8386" t="s">
        <v>1644</v>
      </c>
      <c r="D8386" t="s">
        <v>293</v>
      </c>
      <c r="E8386" t="s">
        <v>310</v>
      </c>
      <c r="F8386" t="s">
        <v>9080</v>
      </c>
      <c r="G8386">
        <v>1603</v>
      </c>
      <c r="H8386">
        <v>339750.92</v>
      </c>
      <c r="I8386">
        <v>211.95</v>
      </c>
      <c r="J8386">
        <v>0</v>
      </c>
      <c r="K8386">
        <v>0</v>
      </c>
      <c r="L8386">
        <v>0</v>
      </c>
      <c r="M8386">
        <v>1603</v>
      </c>
      <c r="N8386">
        <v>339750.92</v>
      </c>
      <c r="O8386">
        <v>211.95</v>
      </c>
    </row>
    <row r="8387" spans="1:15" x14ac:dyDescent="0.35">
      <c r="A8387" t="s">
        <v>9070</v>
      </c>
      <c r="B8387" t="s">
        <v>9071</v>
      </c>
      <c r="C8387" t="s">
        <v>1644</v>
      </c>
      <c r="D8387" t="s">
        <v>293</v>
      </c>
      <c r="E8387" t="s">
        <v>312</v>
      </c>
      <c r="F8387" t="s">
        <v>9081</v>
      </c>
      <c r="G8387">
        <v>1603</v>
      </c>
      <c r="H8387">
        <v>339750.92</v>
      </c>
      <c r="I8387">
        <v>211.95</v>
      </c>
      <c r="J8387">
        <v>0</v>
      </c>
      <c r="K8387">
        <v>0</v>
      </c>
      <c r="L8387">
        <v>0</v>
      </c>
      <c r="M8387">
        <v>1603</v>
      </c>
      <c r="N8387">
        <v>339750.92</v>
      </c>
      <c r="O8387">
        <v>211.95</v>
      </c>
    </row>
    <row r="8388" spans="1:15" x14ac:dyDescent="0.35">
      <c r="A8388" t="s">
        <v>9070</v>
      </c>
      <c r="B8388" t="s">
        <v>9071</v>
      </c>
      <c r="C8388" t="s">
        <v>1644</v>
      </c>
      <c r="D8388" t="s">
        <v>314</v>
      </c>
      <c r="E8388" t="s">
        <v>294</v>
      </c>
      <c r="F8388" t="s">
        <v>9082</v>
      </c>
      <c r="G8388">
        <v>72</v>
      </c>
      <c r="H8388">
        <v>17832.68</v>
      </c>
      <c r="I8388">
        <v>247.68</v>
      </c>
      <c r="J8388">
        <v>0</v>
      </c>
      <c r="K8388">
        <v>0</v>
      </c>
      <c r="L8388">
        <v>0</v>
      </c>
      <c r="M8388">
        <v>72</v>
      </c>
      <c r="N8388">
        <v>17832.68</v>
      </c>
      <c r="O8388">
        <v>247.68</v>
      </c>
    </row>
    <row r="8389" spans="1:15" x14ac:dyDescent="0.35">
      <c r="A8389" t="s">
        <v>9070</v>
      </c>
      <c r="B8389" t="s">
        <v>9071</v>
      </c>
      <c r="C8389" t="s">
        <v>1644</v>
      </c>
      <c r="D8389" t="s">
        <v>314</v>
      </c>
      <c r="E8389" t="s">
        <v>296</v>
      </c>
      <c r="F8389" t="s">
        <v>9083</v>
      </c>
      <c r="G8389">
        <v>45</v>
      </c>
      <c r="H8389">
        <v>13929.93</v>
      </c>
      <c r="I8389">
        <v>309.55</v>
      </c>
      <c r="J8389">
        <v>0</v>
      </c>
      <c r="K8389">
        <v>0</v>
      </c>
      <c r="L8389">
        <v>0</v>
      </c>
      <c r="M8389">
        <v>45</v>
      </c>
      <c r="N8389">
        <v>13929.93</v>
      </c>
      <c r="O8389">
        <v>309.55</v>
      </c>
    </row>
    <row r="8390" spans="1:15" x14ac:dyDescent="0.35">
      <c r="A8390" t="s">
        <v>9070</v>
      </c>
      <c r="B8390" t="s">
        <v>9071</v>
      </c>
      <c r="C8390" t="s">
        <v>1644</v>
      </c>
      <c r="D8390" t="s">
        <v>314</v>
      </c>
      <c r="E8390" t="s">
        <v>298</v>
      </c>
      <c r="F8390" t="s">
        <v>9084</v>
      </c>
      <c r="G8390">
        <v>0</v>
      </c>
      <c r="H8390">
        <v>0</v>
      </c>
      <c r="I8390">
        <v>0</v>
      </c>
      <c r="J8390">
        <v>0</v>
      </c>
      <c r="K8390">
        <v>0</v>
      </c>
      <c r="L8390">
        <v>0</v>
      </c>
      <c r="M8390">
        <v>0</v>
      </c>
      <c r="N8390">
        <v>0</v>
      </c>
      <c r="O8390">
        <v>0</v>
      </c>
    </row>
    <row r="8391" spans="1:15" x14ac:dyDescent="0.35">
      <c r="A8391" t="s">
        <v>9070</v>
      </c>
      <c r="B8391" t="s">
        <v>9071</v>
      </c>
      <c r="C8391" t="s">
        <v>1644</v>
      </c>
      <c r="D8391" t="s">
        <v>314</v>
      </c>
      <c r="E8391" t="s">
        <v>300</v>
      </c>
      <c r="F8391" t="s">
        <v>9085</v>
      </c>
      <c r="G8391">
        <v>0</v>
      </c>
      <c r="H8391">
        <v>0</v>
      </c>
      <c r="I8391">
        <v>0</v>
      </c>
      <c r="J8391">
        <v>0</v>
      </c>
      <c r="K8391">
        <v>0</v>
      </c>
      <c r="L8391">
        <v>0</v>
      </c>
      <c r="M8391">
        <v>0</v>
      </c>
      <c r="N8391">
        <v>0</v>
      </c>
      <c r="O8391">
        <v>0</v>
      </c>
    </row>
    <row r="8392" spans="1:15" x14ac:dyDescent="0.35">
      <c r="A8392" t="s">
        <v>9070</v>
      </c>
      <c r="B8392" t="s">
        <v>9071</v>
      </c>
      <c r="C8392" t="s">
        <v>1644</v>
      </c>
      <c r="D8392" t="s">
        <v>314</v>
      </c>
      <c r="E8392" t="s">
        <v>306</v>
      </c>
      <c r="F8392" t="s">
        <v>9086</v>
      </c>
      <c r="G8392">
        <v>0</v>
      </c>
      <c r="H8392">
        <v>0</v>
      </c>
      <c r="I8392">
        <v>0</v>
      </c>
      <c r="J8392">
        <v>0</v>
      </c>
      <c r="K8392">
        <v>0</v>
      </c>
      <c r="L8392">
        <v>0</v>
      </c>
      <c r="M8392">
        <v>0</v>
      </c>
      <c r="N8392">
        <v>0</v>
      </c>
      <c r="O8392">
        <v>0</v>
      </c>
    </row>
    <row r="8393" spans="1:15" x14ac:dyDescent="0.35">
      <c r="A8393" t="s">
        <v>9070</v>
      </c>
      <c r="B8393" t="s">
        <v>9071</v>
      </c>
      <c r="C8393" t="s">
        <v>1644</v>
      </c>
      <c r="D8393" t="s">
        <v>314</v>
      </c>
      <c r="E8393" t="s">
        <v>308</v>
      </c>
      <c r="F8393" t="s">
        <v>9087</v>
      </c>
      <c r="G8393">
        <v>0</v>
      </c>
      <c r="H8393">
        <v>0</v>
      </c>
      <c r="I8393">
        <v>0</v>
      </c>
      <c r="J8393">
        <v>0</v>
      </c>
      <c r="K8393">
        <v>0</v>
      </c>
      <c r="L8393">
        <v>0</v>
      </c>
      <c r="M8393">
        <v>0</v>
      </c>
      <c r="N8393">
        <v>0</v>
      </c>
      <c r="O8393">
        <v>0</v>
      </c>
    </row>
    <row r="8394" spans="1:15" x14ac:dyDescent="0.35">
      <c r="A8394" t="s">
        <v>9070</v>
      </c>
      <c r="B8394" t="s">
        <v>9071</v>
      </c>
      <c r="C8394" t="s">
        <v>1644</v>
      </c>
      <c r="D8394" t="s">
        <v>314</v>
      </c>
      <c r="E8394" t="s">
        <v>312</v>
      </c>
      <c r="F8394" t="s">
        <v>9088</v>
      </c>
      <c r="G8394">
        <v>117</v>
      </c>
      <c r="H8394">
        <v>31762.61</v>
      </c>
      <c r="I8394">
        <v>271.48</v>
      </c>
      <c r="J8394">
        <v>0</v>
      </c>
      <c r="K8394">
        <v>0</v>
      </c>
      <c r="L8394">
        <v>0</v>
      </c>
      <c r="M8394">
        <v>117</v>
      </c>
      <c r="N8394">
        <v>31762.61</v>
      </c>
      <c r="O8394">
        <v>271.48</v>
      </c>
    </row>
    <row r="8395" spans="1:15" x14ac:dyDescent="0.35">
      <c r="A8395" t="s">
        <v>9070</v>
      </c>
      <c r="B8395" t="s">
        <v>9071</v>
      </c>
      <c r="C8395" t="s">
        <v>1644</v>
      </c>
      <c r="D8395" t="s">
        <v>314</v>
      </c>
      <c r="E8395" t="s">
        <v>310</v>
      </c>
      <c r="F8395" t="s">
        <v>9089</v>
      </c>
      <c r="G8395">
        <v>117</v>
      </c>
      <c r="H8395">
        <v>31762.61</v>
      </c>
      <c r="I8395">
        <v>271.48</v>
      </c>
      <c r="J8395">
        <v>0</v>
      </c>
      <c r="K8395">
        <v>0</v>
      </c>
      <c r="L8395">
        <v>0</v>
      </c>
      <c r="M8395">
        <v>117</v>
      </c>
      <c r="N8395">
        <v>31762.61</v>
      </c>
      <c r="O8395">
        <v>271.48</v>
      </c>
    </row>
    <row r="8396" spans="1:15" x14ac:dyDescent="0.35">
      <c r="A8396" t="s">
        <v>9070</v>
      </c>
      <c r="B8396" t="s">
        <v>9071</v>
      </c>
      <c r="C8396" t="s">
        <v>1644</v>
      </c>
      <c r="D8396" t="s">
        <v>323</v>
      </c>
      <c r="E8396" t="s">
        <v>294</v>
      </c>
      <c r="F8396" t="s">
        <v>9090</v>
      </c>
      <c r="G8396">
        <v>1065</v>
      </c>
      <c r="H8396">
        <v>122646.54999999999</v>
      </c>
      <c r="I8396">
        <v>115.16</v>
      </c>
      <c r="J8396">
        <v>0</v>
      </c>
      <c r="K8396">
        <v>0</v>
      </c>
      <c r="L8396">
        <v>0</v>
      </c>
      <c r="M8396">
        <v>1065</v>
      </c>
      <c r="N8396">
        <v>122646.54999999999</v>
      </c>
      <c r="O8396">
        <v>115.16</v>
      </c>
    </row>
    <row r="8397" spans="1:15" x14ac:dyDescent="0.35">
      <c r="A8397" t="s">
        <v>9070</v>
      </c>
      <c r="B8397" t="s">
        <v>9071</v>
      </c>
      <c r="C8397" t="s">
        <v>1644</v>
      </c>
      <c r="D8397" t="s">
        <v>323</v>
      </c>
      <c r="E8397" t="s">
        <v>296</v>
      </c>
      <c r="F8397" t="s">
        <v>9091</v>
      </c>
      <c r="G8397">
        <v>1663</v>
      </c>
      <c r="H8397">
        <v>224002.07000000004</v>
      </c>
      <c r="I8397">
        <v>134.69999999999999</v>
      </c>
      <c r="J8397">
        <v>0</v>
      </c>
      <c r="K8397">
        <v>0</v>
      </c>
      <c r="L8397">
        <v>0</v>
      </c>
      <c r="M8397">
        <v>1663</v>
      </c>
      <c r="N8397">
        <v>224002.07000000004</v>
      </c>
      <c r="O8397">
        <v>134.69999999999999</v>
      </c>
    </row>
    <row r="8398" spans="1:15" x14ac:dyDescent="0.35">
      <c r="A8398" t="s">
        <v>9070</v>
      </c>
      <c r="B8398" t="s">
        <v>9071</v>
      </c>
      <c r="C8398" t="s">
        <v>1644</v>
      </c>
      <c r="D8398" t="s">
        <v>323</v>
      </c>
      <c r="E8398" t="s">
        <v>298</v>
      </c>
      <c r="F8398" t="s">
        <v>9092</v>
      </c>
      <c r="G8398">
        <v>1750</v>
      </c>
      <c r="H8398">
        <v>270671.46999999997</v>
      </c>
      <c r="I8398">
        <v>154.66999999999999</v>
      </c>
      <c r="J8398">
        <v>0</v>
      </c>
      <c r="K8398">
        <v>0</v>
      </c>
      <c r="L8398">
        <v>0</v>
      </c>
      <c r="M8398">
        <v>1750</v>
      </c>
      <c r="N8398">
        <v>270671.46999999997</v>
      </c>
      <c r="O8398">
        <v>154.66999999999999</v>
      </c>
    </row>
    <row r="8399" spans="1:15" x14ac:dyDescent="0.35">
      <c r="A8399" t="s">
        <v>9070</v>
      </c>
      <c r="B8399" t="s">
        <v>9071</v>
      </c>
      <c r="C8399" t="s">
        <v>1644</v>
      </c>
      <c r="D8399" t="s">
        <v>323</v>
      </c>
      <c r="E8399" t="s">
        <v>300</v>
      </c>
      <c r="F8399" t="s">
        <v>9093</v>
      </c>
      <c r="G8399">
        <v>58</v>
      </c>
      <c r="H8399">
        <v>9952.8700000000008</v>
      </c>
      <c r="I8399">
        <v>171.6</v>
      </c>
      <c r="J8399">
        <v>0</v>
      </c>
      <c r="K8399">
        <v>0</v>
      </c>
      <c r="L8399">
        <v>0</v>
      </c>
      <c r="M8399">
        <v>58</v>
      </c>
      <c r="N8399">
        <v>9952.8700000000008</v>
      </c>
      <c r="O8399">
        <v>171.6</v>
      </c>
    </row>
    <row r="8400" spans="1:15" x14ac:dyDescent="0.35">
      <c r="A8400" t="s">
        <v>9070</v>
      </c>
      <c r="B8400" t="s">
        <v>9071</v>
      </c>
      <c r="C8400" t="s">
        <v>1644</v>
      </c>
      <c r="D8400" t="s">
        <v>323</v>
      </c>
      <c r="E8400" t="s">
        <v>302</v>
      </c>
      <c r="F8400" t="s">
        <v>9094</v>
      </c>
      <c r="G8400">
        <v>0</v>
      </c>
      <c r="H8400">
        <v>0</v>
      </c>
      <c r="I8400">
        <v>0</v>
      </c>
      <c r="J8400">
        <v>0</v>
      </c>
      <c r="K8400">
        <v>0</v>
      </c>
      <c r="L8400">
        <v>0</v>
      </c>
      <c r="M8400">
        <v>0</v>
      </c>
      <c r="N8400">
        <v>0</v>
      </c>
      <c r="O8400">
        <v>0</v>
      </c>
    </row>
    <row r="8401" spans="1:15" x14ac:dyDescent="0.35">
      <c r="A8401" t="s">
        <v>9070</v>
      </c>
      <c r="B8401" t="s">
        <v>9071</v>
      </c>
      <c r="C8401" t="s">
        <v>1644</v>
      </c>
      <c r="D8401" t="s">
        <v>323</v>
      </c>
      <c r="E8401" t="s">
        <v>304</v>
      </c>
      <c r="F8401" t="s">
        <v>9095</v>
      </c>
      <c r="G8401">
        <v>0</v>
      </c>
      <c r="H8401">
        <v>0</v>
      </c>
      <c r="I8401">
        <v>0</v>
      </c>
      <c r="J8401">
        <v>0</v>
      </c>
      <c r="K8401">
        <v>0</v>
      </c>
      <c r="L8401">
        <v>0</v>
      </c>
      <c r="M8401">
        <v>0</v>
      </c>
      <c r="N8401">
        <v>0</v>
      </c>
      <c r="O8401">
        <v>0</v>
      </c>
    </row>
    <row r="8402" spans="1:15" x14ac:dyDescent="0.35">
      <c r="A8402" t="s">
        <v>9070</v>
      </c>
      <c r="B8402" t="s">
        <v>9071</v>
      </c>
      <c r="C8402" t="s">
        <v>1644</v>
      </c>
      <c r="D8402" t="s">
        <v>323</v>
      </c>
      <c r="E8402" t="s">
        <v>306</v>
      </c>
      <c r="F8402" t="s">
        <v>9096</v>
      </c>
      <c r="G8402">
        <v>112</v>
      </c>
      <c r="H8402">
        <v>10929.95</v>
      </c>
      <c r="I8402">
        <v>97.59</v>
      </c>
      <c r="J8402">
        <v>0</v>
      </c>
      <c r="K8402">
        <v>0</v>
      </c>
      <c r="L8402">
        <v>0</v>
      </c>
      <c r="M8402">
        <v>112</v>
      </c>
      <c r="N8402">
        <v>10929.95</v>
      </c>
      <c r="O8402">
        <v>97.59</v>
      </c>
    </row>
    <row r="8403" spans="1:15" x14ac:dyDescent="0.35">
      <c r="A8403" t="s">
        <v>9070</v>
      </c>
      <c r="B8403" t="s">
        <v>9071</v>
      </c>
      <c r="C8403" t="s">
        <v>1644</v>
      </c>
      <c r="D8403" t="s">
        <v>323</v>
      </c>
      <c r="E8403" t="s">
        <v>308</v>
      </c>
      <c r="F8403" t="s">
        <v>9097</v>
      </c>
      <c r="G8403">
        <v>0</v>
      </c>
      <c r="H8403">
        <v>0</v>
      </c>
      <c r="I8403">
        <v>0</v>
      </c>
      <c r="J8403">
        <v>0</v>
      </c>
      <c r="K8403">
        <v>0</v>
      </c>
      <c r="L8403">
        <v>0</v>
      </c>
      <c r="M8403">
        <v>0</v>
      </c>
      <c r="N8403">
        <v>0</v>
      </c>
      <c r="O8403">
        <v>0</v>
      </c>
    </row>
    <row r="8404" spans="1:15" x14ac:dyDescent="0.35">
      <c r="A8404" t="s">
        <v>9070</v>
      </c>
      <c r="B8404" t="s">
        <v>9071</v>
      </c>
      <c r="C8404" t="s">
        <v>1644</v>
      </c>
      <c r="D8404" t="s">
        <v>323</v>
      </c>
      <c r="E8404" t="s">
        <v>310</v>
      </c>
      <c r="F8404" t="s">
        <v>9098</v>
      </c>
      <c r="G8404">
        <v>4648</v>
      </c>
      <c r="H8404">
        <v>638202.90999999992</v>
      </c>
      <c r="I8404">
        <v>137.31</v>
      </c>
      <c r="J8404">
        <v>0</v>
      </c>
      <c r="K8404">
        <v>0</v>
      </c>
      <c r="L8404">
        <v>0</v>
      </c>
      <c r="M8404">
        <v>4648</v>
      </c>
      <c r="N8404">
        <v>638202.90999999992</v>
      </c>
      <c r="O8404">
        <v>137.31</v>
      </c>
    </row>
    <row r="8405" spans="1:15" x14ac:dyDescent="0.35">
      <c r="A8405" t="s">
        <v>9070</v>
      </c>
      <c r="B8405" t="s">
        <v>9071</v>
      </c>
      <c r="C8405" t="s">
        <v>1644</v>
      </c>
      <c r="D8405" t="s">
        <v>323</v>
      </c>
      <c r="E8405" t="s">
        <v>312</v>
      </c>
      <c r="F8405" t="s">
        <v>9099</v>
      </c>
      <c r="G8405">
        <v>4648</v>
      </c>
      <c r="H8405">
        <v>638202.90999999992</v>
      </c>
      <c r="I8405">
        <v>137.31</v>
      </c>
      <c r="J8405">
        <v>0</v>
      </c>
      <c r="K8405">
        <v>0</v>
      </c>
      <c r="L8405">
        <v>0</v>
      </c>
      <c r="M8405">
        <v>4648</v>
      </c>
      <c r="N8405">
        <v>638202.90999999992</v>
      </c>
      <c r="O8405">
        <v>137.31</v>
      </c>
    </row>
    <row r="8406" spans="1:15" x14ac:dyDescent="0.35">
      <c r="A8406" t="s">
        <v>9070</v>
      </c>
      <c r="B8406" t="s">
        <v>9071</v>
      </c>
      <c r="C8406" t="s">
        <v>1644</v>
      </c>
      <c r="D8406" t="s">
        <v>334</v>
      </c>
      <c r="E8406" t="s">
        <v>312</v>
      </c>
      <c r="F8406" t="s">
        <v>9100</v>
      </c>
      <c r="G8406">
        <v>6269</v>
      </c>
      <c r="H8406">
        <v>977953.83</v>
      </c>
      <c r="I8406">
        <v>156.44999999999999</v>
      </c>
      <c r="J8406">
        <v>0</v>
      </c>
      <c r="K8406">
        <v>0</v>
      </c>
      <c r="L8406">
        <v>0</v>
      </c>
      <c r="M8406">
        <v>6269</v>
      </c>
      <c r="N8406">
        <v>977953.83</v>
      </c>
      <c r="O8406">
        <v>156.44999999999999</v>
      </c>
    </row>
    <row r="8407" spans="1:15" x14ac:dyDescent="0.35">
      <c r="A8407" t="s">
        <v>9070</v>
      </c>
      <c r="B8407" t="s">
        <v>9071</v>
      </c>
      <c r="C8407" t="s">
        <v>1644</v>
      </c>
      <c r="D8407" t="s">
        <v>334</v>
      </c>
      <c r="E8407" t="s">
        <v>308</v>
      </c>
      <c r="F8407" t="s">
        <v>9101</v>
      </c>
      <c r="G8407">
        <v>0</v>
      </c>
      <c r="H8407">
        <v>0</v>
      </c>
      <c r="I8407">
        <v>0</v>
      </c>
      <c r="J8407">
        <v>0</v>
      </c>
      <c r="K8407">
        <v>0</v>
      </c>
      <c r="L8407">
        <v>0</v>
      </c>
      <c r="M8407">
        <v>0</v>
      </c>
      <c r="N8407">
        <v>0</v>
      </c>
      <c r="O8407">
        <v>0</v>
      </c>
    </row>
    <row r="8408" spans="1:15" x14ac:dyDescent="0.35">
      <c r="A8408" t="s">
        <v>9070</v>
      </c>
      <c r="B8408" t="s">
        <v>9071</v>
      </c>
      <c r="C8408" t="s">
        <v>1644</v>
      </c>
      <c r="D8408" t="s">
        <v>337</v>
      </c>
      <c r="E8408" t="s">
        <v>337</v>
      </c>
      <c r="F8408" t="s">
        <v>9102</v>
      </c>
      <c r="G8408">
        <v>1164</v>
      </c>
      <c r="J8408">
        <v>0</v>
      </c>
      <c r="M8408">
        <v>1164</v>
      </c>
    </row>
    <row r="8409" spans="1:15" x14ac:dyDescent="0.35">
      <c r="A8409" t="s">
        <v>9070</v>
      </c>
      <c r="B8409" t="s">
        <v>9071</v>
      </c>
      <c r="C8409" t="s">
        <v>1644</v>
      </c>
      <c r="D8409" t="s">
        <v>339</v>
      </c>
      <c r="E8409" t="s">
        <v>294</v>
      </c>
      <c r="F8409" t="s">
        <v>9103</v>
      </c>
      <c r="G8409">
        <v>584</v>
      </c>
      <c r="H8409">
        <v>71574.25</v>
      </c>
      <c r="I8409">
        <v>122.56</v>
      </c>
      <c r="J8409">
        <v>0</v>
      </c>
      <c r="K8409">
        <v>0</v>
      </c>
      <c r="L8409">
        <v>0</v>
      </c>
      <c r="M8409">
        <v>584</v>
      </c>
      <c r="N8409">
        <v>71574.25</v>
      </c>
      <c r="O8409">
        <v>122.56</v>
      </c>
    </row>
    <row r="8410" spans="1:15" x14ac:dyDescent="0.35">
      <c r="A8410" t="s">
        <v>9070</v>
      </c>
      <c r="B8410" t="s">
        <v>9071</v>
      </c>
      <c r="C8410" t="s">
        <v>1644</v>
      </c>
      <c r="D8410" t="s">
        <v>339</v>
      </c>
      <c r="E8410" t="s">
        <v>296</v>
      </c>
      <c r="F8410" t="s">
        <v>9104</v>
      </c>
      <c r="G8410">
        <v>135</v>
      </c>
      <c r="H8410">
        <v>19420.819999999996</v>
      </c>
      <c r="I8410">
        <v>143.86000000000001</v>
      </c>
      <c r="J8410">
        <v>0</v>
      </c>
      <c r="K8410">
        <v>0</v>
      </c>
      <c r="L8410">
        <v>0</v>
      </c>
      <c r="M8410">
        <v>135</v>
      </c>
      <c r="N8410">
        <v>19420.819999999996</v>
      </c>
      <c r="O8410">
        <v>143.86000000000001</v>
      </c>
    </row>
    <row r="8411" spans="1:15" x14ac:dyDescent="0.35">
      <c r="A8411" t="s">
        <v>9070</v>
      </c>
      <c r="B8411" t="s">
        <v>9071</v>
      </c>
      <c r="C8411" t="s">
        <v>1644</v>
      </c>
      <c r="D8411" t="s">
        <v>339</v>
      </c>
      <c r="E8411" t="s">
        <v>298</v>
      </c>
      <c r="F8411" t="s">
        <v>9105</v>
      </c>
      <c r="G8411">
        <v>7</v>
      </c>
      <c r="H8411">
        <v>1095.3699999999999</v>
      </c>
      <c r="I8411">
        <v>156.47999999999999</v>
      </c>
      <c r="J8411">
        <v>0</v>
      </c>
      <c r="K8411">
        <v>0</v>
      </c>
      <c r="L8411">
        <v>0</v>
      </c>
      <c r="M8411">
        <v>7</v>
      </c>
      <c r="N8411">
        <v>1095.3699999999999</v>
      </c>
      <c r="O8411">
        <v>156.47999999999999</v>
      </c>
    </row>
    <row r="8412" spans="1:15" x14ac:dyDescent="0.35">
      <c r="A8412" t="s">
        <v>9070</v>
      </c>
      <c r="B8412" t="s">
        <v>9071</v>
      </c>
      <c r="C8412" t="s">
        <v>1644</v>
      </c>
      <c r="D8412" t="s">
        <v>339</v>
      </c>
      <c r="E8412" t="s">
        <v>300</v>
      </c>
      <c r="F8412" t="s">
        <v>9106</v>
      </c>
      <c r="G8412">
        <v>0</v>
      </c>
      <c r="H8412">
        <v>0</v>
      </c>
      <c r="I8412">
        <v>0</v>
      </c>
      <c r="J8412">
        <v>0</v>
      </c>
      <c r="K8412">
        <v>0</v>
      </c>
      <c r="L8412">
        <v>0</v>
      </c>
      <c r="M8412">
        <v>0</v>
      </c>
      <c r="N8412">
        <v>0</v>
      </c>
      <c r="O8412">
        <v>0</v>
      </c>
    </row>
    <row r="8413" spans="1:15" x14ac:dyDescent="0.35">
      <c r="A8413" t="s">
        <v>9070</v>
      </c>
      <c r="B8413" t="s">
        <v>9071</v>
      </c>
      <c r="C8413" t="s">
        <v>1644</v>
      </c>
      <c r="D8413" t="s">
        <v>339</v>
      </c>
      <c r="E8413" t="s">
        <v>306</v>
      </c>
      <c r="F8413" t="s">
        <v>9107</v>
      </c>
      <c r="G8413">
        <v>173</v>
      </c>
      <c r="H8413">
        <v>16693.07</v>
      </c>
      <c r="I8413">
        <v>96.49</v>
      </c>
      <c r="J8413">
        <v>0</v>
      </c>
      <c r="K8413">
        <v>0</v>
      </c>
      <c r="L8413">
        <v>0</v>
      </c>
      <c r="M8413">
        <v>173</v>
      </c>
      <c r="N8413">
        <v>16693.07</v>
      </c>
      <c r="O8413">
        <v>96.49</v>
      </c>
    </row>
    <row r="8414" spans="1:15" x14ac:dyDescent="0.35">
      <c r="A8414" t="s">
        <v>9070</v>
      </c>
      <c r="B8414" t="s">
        <v>9071</v>
      </c>
      <c r="C8414" t="s">
        <v>1644</v>
      </c>
      <c r="D8414" t="s">
        <v>339</v>
      </c>
      <c r="E8414" t="s">
        <v>308</v>
      </c>
      <c r="F8414" t="s">
        <v>9108</v>
      </c>
      <c r="G8414">
        <v>2</v>
      </c>
      <c r="H8414">
        <v>206.2</v>
      </c>
      <c r="I8414">
        <v>103.1</v>
      </c>
      <c r="J8414">
        <v>0</v>
      </c>
      <c r="K8414">
        <v>0</v>
      </c>
      <c r="L8414">
        <v>0</v>
      </c>
      <c r="M8414">
        <v>2</v>
      </c>
      <c r="N8414">
        <v>206.2</v>
      </c>
      <c r="O8414">
        <v>103.1</v>
      </c>
    </row>
    <row r="8415" spans="1:15" x14ac:dyDescent="0.35">
      <c r="A8415" t="s">
        <v>9070</v>
      </c>
      <c r="B8415" t="s">
        <v>9071</v>
      </c>
      <c r="C8415" t="s">
        <v>1644</v>
      </c>
      <c r="D8415" t="s">
        <v>339</v>
      </c>
      <c r="E8415" t="s">
        <v>310</v>
      </c>
      <c r="F8415" t="s">
        <v>9109</v>
      </c>
      <c r="G8415">
        <v>901</v>
      </c>
      <c r="H8415">
        <v>108989.70999999998</v>
      </c>
      <c r="I8415">
        <v>120.97</v>
      </c>
      <c r="J8415">
        <v>0</v>
      </c>
      <c r="K8415">
        <v>0</v>
      </c>
      <c r="L8415">
        <v>0</v>
      </c>
      <c r="M8415">
        <v>901</v>
      </c>
      <c r="N8415">
        <v>108989.70999999998</v>
      </c>
      <c r="O8415">
        <v>120.97</v>
      </c>
    </row>
    <row r="8416" spans="1:15" x14ac:dyDescent="0.35">
      <c r="A8416" t="s">
        <v>9070</v>
      </c>
      <c r="B8416" t="s">
        <v>9071</v>
      </c>
      <c r="C8416" t="s">
        <v>1644</v>
      </c>
      <c r="D8416" t="s">
        <v>339</v>
      </c>
      <c r="E8416" t="s">
        <v>312</v>
      </c>
      <c r="F8416" t="s">
        <v>9110</v>
      </c>
      <c r="G8416">
        <v>899</v>
      </c>
      <c r="H8416">
        <v>108783.50999999998</v>
      </c>
      <c r="I8416">
        <v>121.01</v>
      </c>
      <c r="J8416">
        <v>0</v>
      </c>
      <c r="K8416">
        <v>0</v>
      </c>
      <c r="L8416">
        <v>0</v>
      </c>
      <c r="M8416">
        <v>899</v>
      </c>
      <c r="N8416">
        <v>108783.50999999998</v>
      </c>
      <c r="O8416">
        <v>121.01</v>
      </c>
    </row>
    <row r="8417" spans="1:15" x14ac:dyDescent="0.35">
      <c r="A8417" t="s">
        <v>9070</v>
      </c>
      <c r="B8417" t="s">
        <v>9071</v>
      </c>
      <c r="C8417" t="s">
        <v>1644</v>
      </c>
      <c r="D8417" t="s">
        <v>348</v>
      </c>
      <c r="E8417" t="s">
        <v>349</v>
      </c>
      <c r="F8417" t="s">
        <v>9111</v>
      </c>
      <c r="G8417">
        <v>1140</v>
      </c>
      <c r="H8417">
        <v>140752.32000000001</v>
      </c>
      <c r="I8417">
        <v>138.26</v>
      </c>
      <c r="J8417">
        <v>0</v>
      </c>
      <c r="K8417">
        <v>0</v>
      </c>
      <c r="L8417">
        <v>0</v>
      </c>
      <c r="M8417">
        <v>1140</v>
      </c>
      <c r="N8417">
        <v>140752.32000000001</v>
      </c>
      <c r="O8417">
        <v>138.26</v>
      </c>
    </row>
    <row r="8418" spans="1:15" x14ac:dyDescent="0.35">
      <c r="A8418" t="s">
        <v>9112</v>
      </c>
      <c r="B8418" t="s">
        <v>9113</v>
      </c>
      <c r="C8418" t="s">
        <v>1644</v>
      </c>
      <c r="D8418" t="s">
        <v>293</v>
      </c>
      <c r="E8418" t="s">
        <v>294</v>
      </c>
      <c r="F8418" t="s">
        <v>9114</v>
      </c>
      <c r="G8418">
        <v>711</v>
      </c>
      <c r="H8418">
        <v>123905.01</v>
      </c>
      <c r="I8418">
        <v>174.27</v>
      </c>
      <c r="J8418">
        <v>0</v>
      </c>
      <c r="K8418">
        <v>0</v>
      </c>
      <c r="L8418">
        <v>0</v>
      </c>
      <c r="M8418">
        <v>711</v>
      </c>
      <c r="N8418">
        <v>123905.01</v>
      </c>
      <c r="O8418">
        <v>174.27</v>
      </c>
    </row>
    <row r="8419" spans="1:15" x14ac:dyDescent="0.35">
      <c r="A8419" t="s">
        <v>9112</v>
      </c>
      <c r="B8419" t="s">
        <v>9113</v>
      </c>
      <c r="C8419" t="s">
        <v>1644</v>
      </c>
      <c r="D8419" t="s">
        <v>293</v>
      </c>
      <c r="E8419" t="s">
        <v>296</v>
      </c>
      <c r="F8419" t="s">
        <v>9115</v>
      </c>
      <c r="G8419">
        <v>1295</v>
      </c>
      <c r="H8419">
        <v>292825.74</v>
      </c>
      <c r="I8419">
        <v>226.12</v>
      </c>
      <c r="J8419">
        <v>0</v>
      </c>
      <c r="K8419">
        <v>0</v>
      </c>
      <c r="L8419">
        <v>0</v>
      </c>
      <c r="M8419">
        <v>1295</v>
      </c>
      <c r="N8419">
        <v>292825.74</v>
      </c>
      <c r="O8419">
        <v>226.12</v>
      </c>
    </row>
    <row r="8420" spans="1:15" x14ac:dyDescent="0.35">
      <c r="A8420" t="s">
        <v>9112</v>
      </c>
      <c r="B8420" t="s">
        <v>9113</v>
      </c>
      <c r="C8420" t="s">
        <v>1644</v>
      </c>
      <c r="D8420" t="s">
        <v>293</v>
      </c>
      <c r="E8420" t="s">
        <v>298</v>
      </c>
      <c r="F8420" t="s">
        <v>9116</v>
      </c>
      <c r="G8420">
        <v>497</v>
      </c>
      <c r="H8420">
        <v>125583.69</v>
      </c>
      <c r="I8420">
        <v>252.68</v>
      </c>
      <c r="J8420">
        <v>0</v>
      </c>
      <c r="K8420">
        <v>0</v>
      </c>
      <c r="L8420">
        <v>0</v>
      </c>
      <c r="M8420">
        <v>497</v>
      </c>
      <c r="N8420">
        <v>125583.69</v>
      </c>
      <c r="O8420">
        <v>252.68</v>
      </c>
    </row>
    <row r="8421" spans="1:15" x14ac:dyDescent="0.35">
      <c r="A8421" t="s">
        <v>9112</v>
      </c>
      <c r="B8421" t="s">
        <v>9113</v>
      </c>
      <c r="C8421" t="s">
        <v>1644</v>
      </c>
      <c r="D8421" t="s">
        <v>293</v>
      </c>
      <c r="E8421" t="s">
        <v>300</v>
      </c>
      <c r="F8421" t="s">
        <v>9117</v>
      </c>
      <c r="G8421">
        <v>43</v>
      </c>
      <c r="H8421">
        <v>13211.129999999997</v>
      </c>
      <c r="I8421">
        <v>307.24</v>
      </c>
      <c r="J8421">
        <v>0</v>
      </c>
      <c r="K8421">
        <v>0</v>
      </c>
      <c r="L8421">
        <v>0</v>
      </c>
      <c r="M8421">
        <v>43</v>
      </c>
      <c r="N8421">
        <v>13211.129999999997</v>
      </c>
      <c r="O8421">
        <v>307.24</v>
      </c>
    </row>
    <row r="8422" spans="1:15" x14ac:dyDescent="0.35">
      <c r="A8422" t="s">
        <v>9112</v>
      </c>
      <c r="B8422" t="s">
        <v>9113</v>
      </c>
      <c r="C8422" t="s">
        <v>1644</v>
      </c>
      <c r="D8422" t="s">
        <v>293</v>
      </c>
      <c r="E8422" t="s">
        <v>302</v>
      </c>
      <c r="F8422" t="s">
        <v>9118</v>
      </c>
      <c r="G8422">
        <v>0</v>
      </c>
      <c r="H8422">
        <v>0</v>
      </c>
      <c r="I8422">
        <v>0</v>
      </c>
      <c r="J8422">
        <v>0</v>
      </c>
      <c r="K8422">
        <v>0</v>
      </c>
      <c r="L8422">
        <v>0</v>
      </c>
      <c r="M8422">
        <v>0</v>
      </c>
      <c r="N8422">
        <v>0</v>
      </c>
      <c r="O8422">
        <v>0</v>
      </c>
    </row>
    <row r="8423" spans="1:15" x14ac:dyDescent="0.35">
      <c r="A8423" t="s">
        <v>9112</v>
      </c>
      <c r="B8423" t="s">
        <v>9113</v>
      </c>
      <c r="C8423" t="s">
        <v>1644</v>
      </c>
      <c r="D8423" t="s">
        <v>293</v>
      </c>
      <c r="E8423" t="s">
        <v>304</v>
      </c>
      <c r="F8423" t="s">
        <v>9119</v>
      </c>
      <c r="G8423">
        <v>0</v>
      </c>
      <c r="H8423">
        <v>0</v>
      </c>
      <c r="I8423">
        <v>0</v>
      </c>
      <c r="J8423">
        <v>0</v>
      </c>
      <c r="K8423">
        <v>0</v>
      </c>
      <c r="L8423">
        <v>0</v>
      </c>
      <c r="M8423">
        <v>0</v>
      </c>
      <c r="N8423">
        <v>0</v>
      </c>
      <c r="O8423">
        <v>0</v>
      </c>
    </row>
    <row r="8424" spans="1:15" x14ac:dyDescent="0.35">
      <c r="A8424" t="s">
        <v>9112</v>
      </c>
      <c r="B8424" t="s">
        <v>9113</v>
      </c>
      <c r="C8424" t="s">
        <v>1644</v>
      </c>
      <c r="D8424" t="s">
        <v>293</v>
      </c>
      <c r="E8424" t="s">
        <v>306</v>
      </c>
      <c r="F8424" t="s">
        <v>9120</v>
      </c>
      <c r="G8424">
        <v>2</v>
      </c>
      <c r="H8424">
        <v>261.74</v>
      </c>
      <c r="I8424">
        <v>130.87</v>
      </c>
      <c r="J8424">
        <v>0</v>
      </c>
      <c r="K8424">
        <v>0</v>
      </c>
      <c r="L8424">
        <v>0</v>
      </c>
      <c r="M8424">
        <v>2</v>
      </c>
      <c r="N8424">
        <v>261.74</v>
      </c>
      <c r="O8424">
        <v>130.87</v>
      </c>
    </row>
    <row r="8425" spans="1:15" x14ac:dyDescent="0.35">
      <c r="A8425" t="s">
        <v>9112</v>
      </c>
      <c r="B8425" t="s">
        <v>9113</v>
      </c>
      <c r="C8425" t="s">
        <v>1644</v>
      </c>
      <c r="D8425" t="s">
        <v>293</v>
      </c>
      <c r="E8425" t="s">
        <v>308</v>
      </c>
      <c r="F8425" t="s">
        <v>9121</v>
      </c>
      <c r="G8425">
        <v>0</v>
      </c>
      <c r="H8425">
        <v>0</v>
      </c>
      <c r="I8425">
        <v>0</v>
      </c>
      <c r="J8425">
        <v>0</v>
      </c>
      <c r="K8425">
        <v>0</v>
      </c>
      <c r="L8425">
        <v>0</v>
      </c>
      <c r="M8425">
        <v>0</v>
      </c>
      <c r="N8425">
        <v>0</v>
      </c>
      <c r="O8425">
        <v>0</v>
      </c>
    </row>
    <row r="8426" spans="1:15" x14ac:dyDescent="0.35">
      <c r="A8426" t="s">
        <v>9112</v>
      </c>
      <c r="B8426" t="s">
        <v>9113</v>
      </c>
      <c r="C8426" t="s">
        <v>1644</v>
      </c>
      <c r="D8426" t="s">
        <v>293</v>
      </c>
      <c r="E8426" t="s">
        <v>310</v>
      </c>
      <c r="F8426" t="s">
        <v>9122</v>
      </c>
      <c r="G8426">
        <v>2548</v>
      </c>
      <c r="H8426">
        <v>555787.30999999994</v>
      </c>
      <c r="I8426">
        <v>218.13</v>
      </c>
      <c r="J8426">
        <v>0</v>
      </c>
      <c r="K8426">
        <v>0</v>
      </c>
      <c r="L8426">
        <v>0</v>
      </c>
      <c r="M8426">
        <v>2548</v>
      </c>
      <c r="N8426">
        <v>555787.30999999994</v>
      </c>
      <c r="O8426">
        <v>218.13</v>
      </c>
    </row>
    <row r="8427" spans="1:15" x14ac:dyDescent="0.35">
      <c r="A8427" t="s">
        <v>9112</v>
      </c>
      <c r="B8427" t="s">
        <v>9113</v>
      </c>
      <c r="C8427" t="s">
        <v>1644</v>
      </c>
      <c r="D8427" t="s">
        <v>293</v>
      </c>
      <c r="E8427" t="s">
        <v>312</v>
      </c>
      <c r="F8427" t="s">
        <v>9123</v>
      </c>
      <c r="G8427">
        <v>2548</v>
      </c>
      <c r="H8427">
        <v>555787.30999999994</v>
      </c>
      <c r="I8427">
        <v>218.13</v>
      </c>
      <c r="J8427">
        <v>0</v>
      </c>
      <c r="K8427">
        <v>0</v>
      </c>
      <c r="L8427">
        <v>0</v>
      </c>
      <c r="M8427">
        <v>2548</v>
      </c>
      <c r="N8427">
        <v>555787.30999999994</v>
      </c>
      <c r="O8427">
        <v>218.13</v>
      </c>
    </row>
    <row r="8428" spans="1:15" x14ac:dyDescent="0.35">
      <c r="A8428" t="s">
        <v>9112</v>
      </c>
      <c r="B8428" t="s">
        <v>9113</v>
      </c>
      <c r="C8428" t="s">
        <v>1644</v>
      </c>
      <c r="D8428" t="s">
        <v>314</v>
      </c>
      <c r="E8428" t="s">
        <v>294</v>
      </c>
      <c r="F8428" t="s">
        <v>9124</v>
      </c>
      <c r="G8428">
        <v>70</v>
      </c>
      <c r="H8428">
        <v>16805.89</v>
      </c>
      <c r="I8428">
        <v>240.08</v>
      </c>
      <c r="J8428">
        <v>0</v>
      </c>
      <c r="K8428">
        <v>0</v>
      </c>
      <c r="L8428">
        <v>0</v>
      </c>
      <c r="M8428">
        <v>70</v>
      </c>
      <c r="N8428">
        <v>16805.89</v>
      </c>
      <c r="O8428">
        <v>240.08</v>
      </c>
    </row>
    <row r="8429" spans="1:15" x14ac:dyDescent="0.35">
      <c r="A8429" t="s">
        <v>9112</v>
      </c>
      <c r="B8429" t="s">
        <v>9113</v>
      </c>
      <c r="C8429" t="s">
        <v>1644</v>
      </c>
      <c r="D8429" t="s">
        <v>314</v>
      </c>
      <c r="E8429" t="s">
        <v>296</v>
      </c>
      <c r="F8429" t="s">
        <v>9125</v>
      </c>
      <c r="G8429">
        <v>13</v>
      </c>
      <c r="H8429">
        <v>3787.93</v>
      </c>
      <c r="I8429">
        <v>291.38</v>
      </c>
      <c r="J8429">
        <v>0</v>
      </c>
      <c r="K8429">
        <v>0</v>
      </c>
      <c r="L8429">
        <v>0</v>
      </c>
      <c r="M8429">
        <v>13</v>
      </c>
      <c r="N8429">
        <v>3787.93</v>
      </c>
      <c r="O8429">
        <v>291.38</v>
      </c>
    </row>
    <row r="8430" spans="1:15" x14ac:dyDescent="0.35">
      <c r="A8430" t="s">
        <v>9112</v>
      </c>
      <c r="B8430" t="s">
        <v>9113</v>
      </c>
      <c r="C8430" t="s">
        <v>1644</v>
      </c>
      <c r="D8430" t="s">
        <v>314</v>
      </c>
      <c r="E8430" t="s">
        <v>298</v>
      </c>
      <c r="F8430" t="s">
        <v>9126</v>
      </c>
      <c r="G8430">
        <v>0</v>
      </c>
      <c r="H8430">
        <v>0</v>
      </c>
      <c r="I8430">
        <v>0</v>
      </c>
      <c r="J8430">
        <v>0</v>
      </c>
      <c r="K8430">
        <v>0</v>
      </c>
      <c r="L8430">
        <v>0</v>
      </c>
      <c r="M8430">
        <v>0</v>
      </c>
      <c r="N8430">
        <v>0</v>
      </c>
      <c r="O8430">
        <v>0</v>
      </c>
    </row>
    <row r="8431" spans="1:15" x14ac:dyDescent="0.35">
      <c r="A8431" t="s">
        <v>9112</v>
      </c>
      <c r="B8431" t="s">
        <v>9113</v>
      </c>
      <c r="C8431" t="s">
        <v>1644</v>
      </c>
      <c r="D8431" t="s">
        <v>314</v>
      </c>
      <c r="E8431" t="s">
        <v>300</v>
      </c>
      <c r="F8431" t="s">
        <v>9127</v>
      </c>
      <c r="G8431">
        <v>0</v>
      </c>
      <c r="H8431">
        <v>0</v>
      </c>
      <c r="I8431">
        <v>0</v>
      </c>
      <c r="J8431">
        <v>0</v>
      </c>
      <c r="K8431">
        <v>0</v>
      </c>
      <c r="L8431">
        <v>0</v>
      </c>
      <c r="M8431">
        <v>0</v>
      </c>
      <c r="N8431">
        <v>0</v>
      </c>
      <c r="O8431">
        <v>0</v>
      </c>
    </row>
    <row r="8432" spans="1:15" x14ac:dyDescent="0.35">
      <c r="A8432" t="s">
        <v>9112</v>
      </c>
      <c r="B8432" t="s">
        <v>9113</v>
      </c>
      <c r="C8432" t="s">
        <v>1644</v>
      </c>
      <c r="D8432" t="s">
        <v>314</v>
      </c>
      <c r="E8432" t="s">
        <v>306</v>
      </c>
      <c r="F8432" t="s">
        <v>9128</v>
      </c>
      <c r="G8432">
        <v>0</v>
      </c>
      <c r="H8432">
        <v>0</v>
      </c>
      <c r="I8432">
        <v>0</v>
      </c>
      <c r="J8432">
        <v>0</v>
      </c>
      <c r="K8432">
        <v>0</v>
      </c>
      <c r="L8432">
        <v>0</v>
      </c>
      <c r="M8432">
        <v>0</v>
      </c>
      <c r="N8432">
        <v>0</v>
      </c>
      <c r="O8432">
        <v>0</v>
      </c>
    </row>
    <row r="8433" spans="1:15" x14ac:dyDescent="0.35">
      <c r="A8433" t="s">
        <v>9112</v>
      </c>
      <c r="B8433" t="s">
        <v>9113</v>
      </c>
      <c r="C8433" t="s">
        <v>1644</v>
      </c>
      <c r="D8433" t="s">
        <v>314</v>
      </c>
      <c r="E8433" t="s">
        <v>308</v>
      </c>
      <c r="F8433" t="s">
        <v>9129</v>
      </c>
      <c r="G8433">
        <v>0</v>
      </c>
      <c r="H8433">
        <v>0</v>
      </c>
      <c r="I8433">
        <v>0</v>
      </c>
      <c r="J8433">
        <v>0</v>
      </c>
      <c r="K8433">
        <v>0</v>
      </c>
      <c r="L8433">
        <v>0</v>
      </c>
      <c r="M8433">
        <v>0</v>
      </c>
      <c r="N8433">
        <v>0</v>
      </c>
      <c r="O8433">
        <v>0</v>
      </c>
    </row>
    <row r="8434" spans="1:15" x14ac:dyDescent="0.35">
      <c r="A8434" t="s">
        <v>9112</v>
      </c>
      <c r="B8434" t="s">
        <v>9113</v>
      </c>
      <c r="C8434" t="s">
        <v>1644</v>
      </c>
      <c r="D8434" t="s">
        <v>314</v>
      </c>
      <c r="E8434" t="s">
        <v>312</v>
      </c>
      <c r="F8434" t="s">
        <v>9130</v>
      </c>
      <c r="G8434">
        <v>83</v>
      </c>
      <c r="H8434">
        <v>20593.82</v>
      </c>
      <c r="I8434">
        <v>248.12</v>
      </c>
      <c r="J8434">
        <v>0</v>
      </c>
      <c r="K8434">
        <v>0</v>
      </c>
      <c r="L8434">
        <v>0</v>
      </c>
      <c r="M8434">
        <v>83</v>
      </c>
      <c r="N8434">
        <v>20593.82</v>
      </c>
      <c r="O8434">
        <v>248.12</v>
      </c>
    </row>
    <row r="8435" spans="1:15" x14ac:dyDescent="0.35">
      <c r="A8435" t="s">
        <v>9112</v>
      </c>
      <c r="B8435" t="s">
        <v>9113</v>
      </c>
      <c r="C8435" t="s">
        <v>1644</v>
      </c>
      <c r="D8435" t="s">
        <v>314</v>
      </c>
      <c r="E8435" t="s">
        <v>310</v>
      </c>
      <c r="F8435" t="s">
        <v>9131</v>
      </c>
      <c r="G8435">
        <v>83</v>
      </c>
      <c r="H8435">
        <v>20593.82</v>
      </c>
      <c r="I8435">
        <v>248.12</v>
      </c>
      <c r="J8435">
        <v>0</v>
      </c>
      <c r="K8435">
        <v>0</v>
      </c>
      <c r="L8435">
        <v>0</v>
      </c>
      <c r="M8435">
        <v>83</v>
      </c>
      <c r="N8435">
        <v>20593.82</v>
      </c>
      <c r="O8435">
        <v>248.12</v>
      </c>
    </row>
    <row r="8436" spans="1:15" x14ac:dyDescent="0.35">
      <c r="A8436" t="s">
        <v>9112</v>
      </c>
      <c r="B8436" t="s">
        <v>9113</v>
      </c>
      <c r="C8436" t="s">
        <v>1644</v>
      </c>
      <c r="D8436" t="s">
        <v>323</v>
      </c>
      <c r="E8436" t="s">
        <v>294</v>
      </c>
      <c r="F8436" t="s">
        <v>9132</v>
      </c>
      <c r="G8436">
        <v>1140</v>
      </c>
      <c r="H8436">
        <v>132628.28</v>
      </c>
      <c r="I8436">
        <v>116.34</v>
      </c>
      <c r="J8436">
        <v>0</v>
      </c>
      <c r="K8436">
        <v>0</v>
      </c>
      <c r="L8436">
        <v>0</v>
      </c>
      <c r="M8436">
        <v>1140</v>
      </c>
      <c r="N8436">
        <v>132628.28</v>
      </c>
      <c r="O8436">
        <v>116.34</v>
      </c>
    </row>
    <row r="8437" spans="1:15" x14ac:dyDescent="0.35">
      <c r="A8437" t="s">
        <v>9112</v>
      </c>
      <c r="B8437" t="s">
        <v>9113</v>
      </c>
      <c r="C8437" t="s">
        <v>1644</v>
      </c>
      <c r="D8437" t="s">
        <v>323</v>
      </c>
      <c r="E8437" t="s">
        <v>296</v>
      </c>
      <c r="F8437" t="s">
        <v>9133</v>
      </c>
      <c r="G8437">
        <v>1394</v>
      </c>
      <c r="H8437">
        <v>193561.22999999998</v>
      </c>
      <c r="I8437">
        <v>138.85</v>
      </c>
      <c r="J8437">
        <v>0</v>
      </c>
      <c r="K8437">
        <v>0</v>
      </c>
      <c r="L8437">
        <v>0</v>
      </c>
      <c r="M8437">
        <v>1394</v>
      </c>
      <c r="N8437">
        <v>193561.22999999998</v>
      </c>
      <c r="O8437">
        <v>138.85</v>
      </c>
    </row>
    <row r="8438" spans="1:15" x14ac:dyDescent="0.35">
      <c r="A8438" t="s">
        <v>9112</v>
      </c>
      <c r="B8438" t="s">
        <v>9113</v>
      </c>
      <c r="C8438" t="s">
        <v>1644</v>
      </c>
      <c r="D8438" t="s">
        <v>323</v>
      </c>
      <c r="E8438" t="s">
        <v>298</v>
      </c>
      <c r="F8438" t="s">
        <v>9134</v>
      </c>
      <c r="G8438">
        <v>1483</v>
      </c>
      <c r="H8438">
        <v>239571.36000000002</v>
      </c>
      <c r="I8438">
        <v>161.55000000000001</v>
      </c>
      <c r="J8438">
        <v>0</v>
      </c>
      <c r="K8438">
        <v>0</v>
      </c>
      <c r="L8438">
        <v>0</v>
      </c>
      <c r="M8438">
        <v>1483</v>
      </c>
      <c r="N8438">
        <v>239571.36000000002</v>
      </c>
      <c r="O8438">
        <v>161.55000000000001</v>
      </c>
    </row>
    <row r="8439" spans="1:15" x14ac:dyDescent="0.35">
      <c r="A8439" t="s">
        <v>9112</v>
      </c>
      <c r="B8439" t="s">
        <v>9113</v>
      </c>
      <c r="C8439" t="s">
        <v>1644</v>
      </c>
      <c r="D8439" t="s">
        <v>323</v>
      </c>
      <c r="E8439" t="s">
        <v>300</v>
      </c>
      <c r="F8439" t="s">
        <v>9135</v>
      </c>
      <c r="G8439">
        <v>110</v>
      </c>
      <c r="H8439">
        <v>19824.55</v>
      </c>
      <c r="I8439">
        <v>180.22</v>
      </c>
      <c r="J8439">
        <v>0</v>
      </c>
      <c r="K8439">
        <v>0</v>
      </c>
      <c r="L8439">
        <v>0</v>
      </c>
      <c r="M8439">
        <v>110</v>
      </c>
      <c r="N8439">
        <v>19824.55</v>
      </c>
      <c r="O8439">
        <v>180.22</v>
      </c>
    </row>
    <row r="8440" spans="1:15" x14ac:dyDescent="0.35">
      <c r="A8440" t="s">
        <v>9112</v>
      </c>
      <c r="B8440" t="s">
        <v>9113</v>
      </c>
      <c r="C8440" t="s">
        <v>1644</v>
      </c>
      <c r="D8440" t="s">
        <v>323</v>
      </c>
      <c r="E8440" t="s">
        <v>302</v>
      </c>
      <c r="F8440" t="s">
        <v>9136</v>
      </c>
      <c r="G8440">
        <v>1</v>
      </c>
      <c r="H8440">
        <v>170.95</v>
      </c>
      <c r="I8440">
        <v>170.95</v>
      </c>
      <c r="J8440">
        <v>0</v>
      </c>
      <c r="K8440">
        <v>0</v>
      </c>
      <c r="L8440">
        <v>0</v>
      </c>
      <c r="M8440">
        <v>1</v>
      </c>
      <c r="N8440">
        <v>170.95</v>
      </c>
      <c r="O8440">
        <v>170.95</v>
      </c>
    </row>
    <row r="8441" spans="1:15" x14ac:dyDescent="0.35">
      <c r="A8441" t="s">
        <v>9112</v>
      </c>
      <c r="B8441" t="s">
        <v>9113</v>
      </c>
      <c r="C8441" t="s">
        <v>1644</v>
      </c>
      <c r="D8441" t="s">
        <v>323</v>
      </c>
      <c r="E8441" t="s">
        <v>304</v>
      </c>
      <c r="F8441" t="s">
        <v>9137</v>
      </c>
      <c r="G8441">
        <v>0</v>
      </c>
      <c r="H8441">
        <v>0</v>
      </c>
      <c r="I8441">
        <v>0</v>
      </c>
      <c r="J8441">
        <v>0</v>
      </c>
      <c r="K8441">
        <v>0</v>
      </c>
      <c r="L8441">
        <v>0</v>
      </c>
      <c r="M8441">
        <v>0</v>
      </c>
      <c r="N8441">
        <v>0</v>
      </c>
      <c r="O8441">
        <v>0</v>
      </c>
    </row>
    <row r="8442" spans="1:15" x14ac:dyDescent="0.35">
      <c r="A8442" t="s">
        <v>9112</v>
      </c>
      <c r="B8442" t="s">
        <v>9113</v>
      </c>
      <c r="C8442" t="s">
        <v>1644</v>
      </c>
      <c r="D8442" t="s">
        <v>323</v>
      </c>
      <c r="E8442" t="s">
        <v>306</v>
      </c>
      <c r="F8442" t="s">
        <v>9138</v>
      </c>
      <c r="G8442">
        <v>17</v>
      </c>
      <c r="H8442">
        <v>1605.18</v>
      </c>
      <c r="I8442">
        <v>94.42</v>
      </c>
      <c r="J8442">
        <v>0</v>
      </c>
      <c r="K8442">
        <v>0</v>
      </c>
      <c r="L8442">
        <v>0</v>
      </c>
      <c r="M8442">
        <v>17</v>
      </c>
      <c r="N8442">
        <v>1605.18</v>
      </c>
      <c r="O8442">
        <v>94.42</v>
      </c>
    </row>
    <row r="8443" spans="1:15" x14ac:dyDescent="0.35">
      <c r="A8443" t="s">
        <v>9112</v>
      </c>
      <c r="B8443" t="s">
        <v>9113</v>
      </c>
      <c r="C8443" t="s">
        <v>1644</v>
      </c>
      <c r="D8443" t="s">
        <v>323</v>
      </c>
      <c r="E8443" t="s">
        <v>308</v>
      </c>
      <c r="F8443" t="s">
        <v>9139</v>
      </c>
      <c r="G8443">
        <v>0</v>
      </c>
      <c r="H8443">
        <v>0</v>
      </c>
      <c r="I8443">
        <v>0</v>
      </c>
      <c r="J8443">
        <v>0</v>
      </c>
      <c r="K8443">
        <v>0</v>
      </c>
      <c r="L8443">
        <v>0</v>
      </c>
      <c r="M8443">
        <v>0</v>
      </c>
      <c r="N8443">
        <v>0</v>
      </c>
      <c r="O8443">
        <v>0</v>
      </c>
    </row>
    <row r="8444" spans="1:15" x14ac:dyDescent="0.35">
      <c r="A8444" t="s">
        <v>9112</v>
      </c>
      <c r="B8444" t="s">
        <v>9113</v>
      </c>
      <c r="C8444" t="s">
        <v>1644</v>
      </c>
      <c r="D8444" t="s">
        <v>323</v>
      </c>
      <c r="E8444" t="s">
        <v>310</v>
      </c>
      <c r="F8444" t="s">
        <v>9140</v>
      </c>
      <c r="G8444">
        <v>4145</v>
      </c>
      <c r="H8444">
        <v>587361.55000000005</v>
      </c>
      <c r="I8444">
        <v>141.69999999999999</v>
      </c>
      <c r="J8444">
        <v>0</v>
      </c>
      <c r="K8444">
        <v>0</v>
      </c>
      <c r="L8444">
        <v>0</v>
      </c>
      <c r="M8444">
        <v>4145</v>
      </c>
      <c r="N8444">
        <v>587361.55000000005</v>
      </c>
      <c r="O8444">
        <v>141.69999999999999</v>
      </c>
    </row>
    <row r="8445" spans="1:15" x14ac:dyDescent="0.35">
      <c r="A8445" t="s">
        <v>9112</v>
      </c>
      <c r="B8445" t="s">
        <v>9113</v>
      </c>
      <c r="C8445" t="s">
        <v>1644</v>
      </c>
      <c r="D8445" t="s">
        <v>323</v>
      </c>
      <c r="E8445" t="s">
        <v>312</v>
      </c>
      <c r="F8445" t="s">
        <v>9141</v>
      </c>
      <c r="G8445">
        <v>4145</v>
      </c>
      <c r="H8445">
        <v>587361.55000000005</v>
      </c>
      <c r="I8445">
        <v>141.69999999999999</v>
      </c>
      <c r="J8445">
        <v>0</v>
      </c>
      <c r="K8445">
        <v>0</v>
      </c>
      <c r="L8445">
        <v>0</v>
      </c>
      <c r="M8445">
        <v>4145</v>
      </c>
      <c r="N8445">
        <v>587361.55000000005</v>
      </c>
      <c r="O8445">
        <v>141.69999999999999</v>
      </c>
    </row>
    <row r="8446" spans="1:15" x14ac:dyDescent="0.35">
      <c r="A8446" t="s">
        <v>9112</v>
      </c>
      <c r="B8446" t="s">
        <v>9113</v>
      </c>
      <c r="C8446" t="s">
        <v>1644</v>
      </c>
      <c r="D8446" t="s">
        <v>334</v>
      </c>
      <c r="E8446" t="s">
        <v>312</v>
      </c>
      <c r="F8446" t="s">
        <v>9142</v>
      </c>
      <c r="G8446">
        <v>7095</v>
      </c>
      <c r="H8446">
        <v>1143148.8599999999</v>
      </c>
      <c r="I8446">
        <v>170.8</v>
      </c>
      <c r="J8446">
        <v>0</v>
      </c>
      <c r="K8446">
        <v>0</v>
      </c>
      <c r="L8446">
        <v>0</v>
      </c>
      <c r="M8446">
        <v>7095</v>
      </c>
      <c r="N8446">
        <v>1143148.8599999999</v>
      </c>
      <c r="O8446">
        <v>170.8</v>
      </c>
    </row>
    <row r="8447" spans="1:15" x14ac:dyDescent="0.35">
      <c r="A8447" t="s">
        <v>9112</v>
      </c>
      <c r="B8447" t="s">
        <v>9113</v>
      </c>
      <c r="C8447" t="s">
        <v>1644</v>
      </c>
      <c r="D8447" t="s">
        <v>334</v>
      </c>
      <c r="E8447" t="s">
        <v>308</v>
      </c>
      <c r="F8447" t="s">
        <v>9143</v>
      </c>
      <c r="G8447">
        <v>0</v>
      </c>
      <c r="H8447">
        <v>0</v>
      </c>
      <c r="I8447">
        <v>0</v>
      </c>
      <c r="J8447">
        <v>0</v>
      </c>
      <c r="K8447">
        <v>0</v>
      </c>
      <c r="L8447">
        <v>0</v>
      </c>
      <c r="M8447">
        <v>0</v>
      </c>
      <c r="N8447">
        <v>0</v>
      </c>
      <c r="O8447">
        <v>0</v>
      </c>
    </row>
    <row r="8448" spans="1:15" x14ac:dyDescent="0.35">
      <c r="A8448" t="s">
        <v>9112</v>
      </c>
      <c r="B8448" t="s">
        <v>9113</v>
      </c>
      <c r="C8448" t="s">
        <v>1644</v>
      </c>
      <c r="D8448" t="s">
        <v>337</v>
      </c>
      <c r="E8448" t="s">
        <v>337</v>
      </c>
      <c r="F8448" t="s">
        <v>9144</v>
      </c>
      <c r="G8448">
        <v>1024</v>
      </c>
      <c r="J8448">
        <v>0</v>
      </c>
      <c r="M8448">
        <v>1024</v>
      </c>
    </row>
    <row r="8449" spans="1:15" x14ac:dyDescent="0.35">
      <c r="A8449" t="s">
        <v>9112</v>
      </c>
      <c r="B8449" t="s">
        <v>9113</v>
      </c>
      <c r="C8449" t="s">
        <v>1644</v>
      </c>
      <c r="D8449" t="s">
        <v>339</v>
      </c>
      <c r="E8449" t="s">
        <v>294</v>
      </c>
      <c r="F8449" t="s">
        <v>9145</v>
      </c>
      <c r="G8449">
        <v>662</v>
      </c>
      <c r="H8449">
        <v>81126.259999999995</v>
      </c>
      <c r="I8449">
        <v>122.55</v>
      </c>
      <c r="J8449">
        <v>0</v>
      </c>
      <c r="K8449">
        <v>0</v>
      </c>
      <c r="L8449">
        <v>0</v>
      </c>
      <c r="M8449">
        <v>662</v>
      </c>
      <c r="N8449">
        <v>81126.259999999995</v>
      </c>
      <c r="O8449">
        <v>122.55</v>
      </c>
    </row>
    <row r="8450" spans="1:15" x14ac:dyDescent="0.35">
      <c r="A8450" t="s">
        <v>9112</v>
      </c>
      <c r="B8450" t="s">
        <v>9113</v>
      </c>
      <c r="C8450" t="s">
        <v>1644</v>
      </c>
      <c r="D8450" t="s">
        <v>339</v>
      </c>
      <c r="E8450" t="s">
        <v>296</v>
      </c>
      <c r="F8450" t="s">
        <v>9146</v>
      </c>
      <c r="G8450">
        <v>42</v>
      </c>
      <c r="H8450">
        <v>5660.81</v>
      </c>
      <c r="I8450">
        <v>134.78</v>
      </c>
      <c r="J8450">
        <v>0</v>
      </c>
      <c r="K8450">
        <v>0</v>
      </c>
      <c r="L8450">
        <v>0</v>
      </c>
      <c r="M8450">
        <v>42</v>
      </c>
      <c r="N8450">
        <v>5660.81</v>
      </c>
      <c r="O8450">
        <v>134.78</v>
      </c>
    </row>
    <row r="8451" spans="1:15" x14ac:dyDescent="0.35">
      <c r="A8451" t="s">
        <v>9112</v>
      </c>
      <c r="B8451" t="s">
        <v>9113</v>
      </c>
      <c r="C8451" t="s">
        <v>1644</v>
      </c>
      <c r="D8451" t="s">
        <v>339</v>
      </c>
      <c r="E8451" t="s">
        <v>298</v>
      </c>
      <c r="F8451" t="s">
        <v>9147</v>
      </c>
      <c r="G8451">
        <v>1</v>
      </c>
      <c r="H8451">
        <v>160.15</v>
      </c>
      <c r="I8451">
        <v>160.15</v>
      </c>
      <c r="J8451">
        <v>0</v>
      </c>
      <c r="K8451">
        <v>0</v>
      </c>
      <c r="L8451">
        <v>0</v>
      </c>
      <c r="M8451">
        <v>1</v>
      </c>
      <c r="N8451">
        <v>160.15</v>
      </c>
      <c r="O8451">
        <v>160.15</v>
      </c>
    </row>
    <row r="8452" spans="1:15" x14ac:dyDescent="0.35">
      <c r="A8452" t="s">
        <v>9112</v>
      </c>
      <c r="B8452" t="s">
        <v>9113</v>
      </c>
      <c r="C8452" t="s">
        <v>1644</v>
      </c>
      <c r="D8452" t="s">
        <v>339</v>
      </c>
      <c r="E8452" t="s">
        <v>300</v>
      </c>
      <c r="F8452" t="s">
        <v>9148</v>
      </c>
      <c r="G8452">
        <v>0</v>
      </c>
      <c r="H8452">
        <v>0</v>
      </c>
      <c r="I8452">
        <v>0</v>
      </c>
      <c r="J8452">
        <v>0</v>
      </c>
      <c r="K8452">
        <v>0</v>
      </c>
      <c r="L8452">
        <v>0</v>
      </c>
      <c r="M8452">
        <v>0</v>
      </c>
      <c r="N8452">
        <v>0</v>
      </c>
      <c r="O8452">
        <v>0</v>
      </c>
    </row>
    <row r="8453" spans="1:15" x14ac:dyDescent="0.35">
      <c r="A8453" t="s">
        <v>9112</v>
      </c>
      <c r="B8453" t="s">
        <v>9113</v>
      </c>
      <c r="C8453" t="s">
        <v>1644</v>
      </c>
      <c r="D8453" t="s">
        <v>339</v>
      </c>
      <c r="E8453" t="s">
        <v>306</v>
      </c>
      <c r="F8453" t="s">
        <v>9149</v>
      </c>
      <c r="G8453">
        <v>16</v>
      </c>
      <c r="H8453">
        <v>1448.7199999999998</v>
      </c>
      <c r="I8453">
        <v>90.55</v>
      </c>
      <c r="J8453">
        <v>0</v>
      </c>
      <c r="K8453">
        <v>0</v>
      </c>
      <c r="L8453">
        <v>0</v>
      </c>
      <c r="M8453">
        <v>16</v>
      </c>
      <c r="N8453">
        <v>1448.7199999999998</v>
      </c>
      <c r="O8453">
        <v>90.55</v>
      </c>
    </row>
    <row r="8454" spans="1:15" x14ac:dyDescent="0.35">
      <c r="A8454" t="s">
        <v>9112</v>
      </c>
      <c r="B8454" t="s">
        <v>9113</v>
      </c>
      <c r="C8454" t="s">
        <v>1644</v>
      </c>
      <c r="D8454" t="s">
        <v>339</v>
      </c>
      <c r="E8454" t="s">
        <v>308</v>
      </c>
      <c r="F8454" t="s">
        <v>9150</v>
      </c>
      <c r="G8454">
        <v>27</v>
      </c>
      <c r="H8454">
        <v>3315.75</v>
      </c>
      <c r="I8454">
        <v>122.81</v>
      </c>
      <c r="J8454">
        <v>0</v>
      </c>
      <c r="K8454">
        <v>0</v>
      </c>
      <c r="L8454">
        <v>0</v>
      </c>
      <c r="M8454">
        <v>27</v>
      </c>
      <c r="N8454">
        <v>3315.75</v>
      </c>
      <c r="O8454">
        <v>122.81</v>
      </c>
    </row>
    <row r="8455" spans="1:15" x14ac:dyDescent="0.35">
      <c r="A8455" t="s">
        <v>9112</v>
      </c>
      <c r="B8455" t="s">
        <v>9113</v>
      </c>
      <c r="C8455" t="s">
        <v>1644</v>
      </c>
      <c r="D8455" t="s">
        <v>339</v>
      </c>
      <c r="E8455" t="s">
        <v>310</v>
      </c>
      <c r="F8455" t="s">
        <v>9151</v>
      </c>
      <c r="G8455">
        <v>748</v>
      </c>
      <c r="H8455">
        <v>91711.689999999988</v>
      </c>
      <c r="I8455">
        <v>122.61</v>
      </c>
      <c r="J8455">
        <v>0</v>
      </c>
      <c r="K8455">
        <v>0</v>
      </c>
      <c r="L8455">
        <v>0</v>
      </c>
      <c r="M8455">
        <v>748</v>
      </c>
      <c r="N8455">
        <v>91711.689999999988</v>
      </c>
      <c r="O8455">
        <v>122.61</v>
      </c>
    </row>
    <row r="8456" spans="1:15" x14ac:dyDescent="0.35">
      <c r="A8456" t="s">
        <v>9112</v>
      </c>
      <c r="B8456" t="s">
        <v>9113</v>
      </c>
      <c r="C8456" t="s">
        <v>1644</v>
      </c>
      <c r="D8456" t="s">
        <v>339</v>
      </c>
      <c r="E8456" t="s">
        <v>312</v>
      </c>
      <c r="F8456" t="s">
        <v>9152</v>
      </c>
      <c r="G8456">
        <v>721</v>
      </c>
      <c r="H8456">
        <v>88395.939999999988</v>
      </c>
      <c r="I8456">
        <v>122.6</v>
      </c>
      <c r="J8456">
        <v>0</v>
      </c>
      <c r="K8456">
        <v>0</v>
      </c>
      <c r="L8456">
        <v>0</v>
      </c>
      <c r="M8456">
        <v>721</v>
      </c>
      <c r="N8456">
        <v>88395.939999999988</v>
      </c>
      <c r="O8456">
        <v>122.6</v>
      </c>
    </row>
    <row r="8457" spans="1:15" x14ac:dyDescent="0.35">
      <c r="A8457" t="s">
        <v>9112</v>
      </c>
      <c r="B8457" t="s">
        <v>9113</v>
      </c>
      <c r="C8457" t="s">
        <v>1644</v>
      </c>
      <c r="D8457" t="s">
        <v>348</v>
      </c>
      <c r="E8457" t="s">
        <v>349</v>
      </c>
      <c r="F8457" t="s">
        <v>9153</v>
      </c>
      <c r="G8457">
        <v>959</v>
      </c>
      <c r="H8457">
        <v>112305.50999999998</v>
      </c>
      <c r="I8457">
        <v>135.15</v>
      </c>
      <c r="J8457">
        <v>0</v>
      </c>
      <c r="K8457">
        <v>0</v>
      </c>
      <c r="L8457">
        <v>0</v>
      </c>
      <c r="M8457">
        <v>959</v>
      </c>
      <c r="N8457">
        <v>112305.50999999998</v>
      </c>
      <c r="O8457">
        <v>135.15</v>
      </c>
    </row>
    <row r="8458" spans="1:15" x14ac:dyDescent="0.35">
      <c r="A8458" t="s">
        <v>9154</v>
      </c>
      <c r="B8458" t="s">
        <v>221</v>
      </c>
      <c r="C8458" t="s">
        <v>1644</v>
      </c>
      <c r="D8458" t="s">
        <v>293</v>
      </c>
      <c r="E8458" t="s">
        <v>294</v>
      </c>
      <c r="F8458" t="s">
        <v>9155</v>
      </c>
      <c r="G8458">
        <v>91</v>
      </c>
      <c r="H8458">
        <v>13999.410000000002</v>
      </c>
      <c r="I8458">
        <v>153.84</v>
      </c>
      <c r="J8458">
        <v>0</v>
      </c>
      <c r="K8458">
        <v>0</v>
      </c>
      <c r="L8458">
        <v>0</v>
      </c>
      <c r="M8458">
        <v>91</v>
      </c>
      <c r="N8458">
        <v>13999.410000000002</v>
      </c>
      <c r="O8458">
        <v>153.84</v>
      </c>
    </row>
    <row r="8459" spans="1:15" x14ac:dyDescent="0.35">
      <c r="A8459" t="s">
        <v>9154</v>
      </c>
      <c r="B8459" t="s">
        <v>221</v>
      </c>
      <c r="C8459" t="s">
        <v>1644</v>
      </c>
      <c r="D8459" t="s">
        <v>293</v>
      </c>
      <c r="E8459" t="s">
        <v>296</v>
      </c>
      <c r="F8459" t="s">
        <v>9156</v>
      </c>
      <c r="G8459">
        <v>211</v>
      </c>
      <c r="H8459">
        <v>42063.960000000006</v>
      </c>
      <c r="I8459">
        <v>199.36</v>
      </c>
      <c r="J8459">
        <v>0</v>
      </c>
      <c r="K8459">
        <v>0</v>
      </c>
      <c r="L8459">
        <v>0</v>
      </c>
      <c r="M8459">
        <v>211</v>
      </c>
      <c r="N8459">
        <v>42063.960000000006</v>
      </c>
      <c r="O8459">
        <v>199.36</v>
      </c>
    </row>
    <row r="8460" spans="1:15" x14ac:dyDescent="0.35">
      <c r="A8460" t="s">
        <v>9154</v>
      </c>
      <c r="B8460" t="s">
        <v>221</v>
      </c>
      <c r="C8460" t="s">
        <v>1644</v>
      </c>
      <c r="D8460" t="s">
        <v>293</v>
      </c>
      <c r="E8460" t="s">
        <v>298</v>
      </c>
      <c r="F8460" t="s">
        <v>9157</v>
      </c>
      <c r="G8460">
        <v>46</v>
      </c>
      <c r="H8460">
        <v>10619.99</v>
      </c>
      <c r="I8460">
        <v>230.87</v>
      </c>
      <c r="J8460">
        <v>0</v>
      </c>
      <c r="K8460">
        <v>0</v>
      </c>
      <c r="L8460">
        <v>0</v>
      </c>
      <c r="M8460">
        <v>46</v>
      </c>
      <c r="N8460">
        <v>10619.99</v>
      </c>
      <c r="O8460">
        <v>230.87</v>
      </c>
    </row>
    <row r="8461" spans="1:15" x14ac:dyDescent="0.35">
      <c r="A8461" t="s">
        <v>9154</v>
      </c>
      <c r="B8461" t="s">
        <v>221</v>
      </c>
      <c r="C8461" t="s">
        <v>1644</v>
      </c>
      <c r="D8461" t="s">
        <v>293</v>
      </c>
      <c r="E8461" t="s">
        <v>300</v>
      </c>
      <c r="F8461" t="s">
        <v>9158</v>
      </c>
      <c r="G8461">
        <v>9</v>
      </c>
      <c r="H8461">
        <v>2554.1</v>
      </c>
      <c r="I8461">
        <v>283.79000000000002</v>
      </c>
      <c r="J8461">
        <v>0</v>
      </c>
      <c r="K8461">
        <v>0</v>
      </c>
      <c r="L8461">
        <v>0</v>
      </c>
      <c r="M8461">
        <v>9</v>
      </c>
      <c r="N8461">
        <v>2554.1</v>
      </c>
      <c r="O8461">
        <v>283.79000000000002</v>
      </c>
    </row>
    <row r="8462" spans="1:15" x14ac:dyDescent="0.35">
      <c r="A8462" t="s">
        <v>9154</v>
      </c>
      <c r="B8462" t="s">
        <v>221</v>
      </c>
      <c r="C8462" t="s">
        <v>1644</v>
      </c>
      <c r="D8462" t="s">
        <v>293</v>
      </c>
      <c r="E8462" t="s">
        <v>302</v>
      </c>
      <c r="F8462" t="s">
        <v>9159</v>
      </c>
      <c r="G8462">
        <v>0</v>
      </c>
      <c r="H8462">
        <v>0</v>
      </c>
      <c r="I8462">
        <v>0</v>
      </c>
      <c r="J8462">
        <v>0</v>
      </c>
      <c r="K8462">
        <v>0</v>
      </c>
      <c r="L8462">
        <v>0</v>
      </c>
      <c r="M8462">
        <v>0</v>
      </c>
      <c r="N8462">
        <v>0</v>
      </c>
      <c r="O8462">
        <v>0</v>
      </c>
    </row>
    <row r="8463" spans="1:15" x14ac:dyDescent="0.35">
      <c r="A8463" t="s">
        <v>9154</v>
      </c>
      <c r="B8463" t="s">
        <v>221</v>
      </c>
      <c r="C8463" t="s">
        <v>1644</v>
      </c>
      <c r="D8463" t="s">
        <v>293</v>
      </c>
      <c r="E8463" t="s">
        <v>304</v>
      </c>
      <c r="F8463" t="s">
        <v>9160</v>
      </c>
      <c r="G8463">
        <v>0</v>
      </c>
      <c r="H8463">
        <v>0</v>
      </c>
      <c r="I8463">
        <v>0</v>
      </c>
      <c r="J8463">
        <v>0</v>
      </c>
      <c r="K8463">
        <v>0</v>
      </c>
      <c r="L8463">
        <v>0</v>
      </c>
      <c r="M8463">
        <v>0</v>
      </c>
      <c r="N8463">
        <v>0</v>
      </c>
      <c r="O8463">
        <v>0</v>
      </c>
    </row>
    <row r="8464" spans="1:15" x14ac:dyDescent="0.35">
      <c r="A8464" t="s">
        <v>9154</v>
      </c>
      <c r="B8464" t="s">
        <v>221</v>
      </c>
      <c r="C8464" t="s">
        <v>1644</v>
      </c>
      <c r="D8464" t="s">
        <v>293</v>
      </c>
      <c r="E8464" t="s">
        <v>306</v>
      </c>
      <c r="F8464" t="s">
        <v>9161</v>
      </c>
      <c r="G8464">
        <v>0</v>
      </c>
      <c r="H8464">
        <v>0</v>
      </c>
      <c r="I8464">
        <v>0</v>
      </c>
      <c r="J8464">
        <v>0</v>
      </c>
      <c r="K8464">
        <v>0</v>
      </c>
      <c r="L8464">
        <v>0</v>
      </c>
      <c r="M8464">
        <v>0</v>
      </c>
      <c r="N8464">
        <v>0</v>
      </c>
      <c r="O8464">
        <v>0</v>
      </c>
    </row>
    <row r="8465" spans="1:15" x14ac:dyDescent="0.35">
      <c r="A8465" t="s">
        <v>9154</v>
      </c>
      <c r="B8465" t="s">
        <v>221</v>
      </c>
      <c r="C8465" t="s">
        <v>1644</v>
      </c>
      <c r="D8465" t="s">
        <v>293</v>
      </c>
      <c r="E8465" t="s">
        <v>308</v>
      </c>
      <c r="F8465" t="s">
        <v>9162</v>
      </c>
      <c r="G8465">
        <v>0</v>
      </c>
      <c r="H8465">
        <v>0</v>
      </c>
      <c r="I8465">
        <v>0</v>
      </c>
      <c r="J8465">
        <v>0</v>
      </c>
      <c r="K8465">
        <v>0</v>
      </c>
      <c r="L8465">
        <v>0</v>
      </c>
      <c r="M8465">
        <v>0</v>
      </c>
      <c r="N8465">
        <v>0</v>
      </c>
      <c r="O8465">
        <v>0</v>
      </c>
    </row>
    <row r="8466" spans="1:15" x14ac:dyDescent="0.35">
      <c r="A8466" t="s">
        <v>9154</v>
      </c>
      <c r="B8466" t="s">
        <v>221</v>
      </c>
      <c r="C8466" t="s">
        <v>1644</v>
      </c>
      <c r="D8466" t="s">
        <v>293</v>
      </c>
      <c r="E8466" t="s">
        <v>310</v>
      </c>
      <c r="F8466" t="s">
        <v>9163</v>
      </c>
      <c r="G8466">
        <v>357</v>
      </c>
      <c r="H8466">
        <v>69237.460000000021</v>
      </c>
      <c r="I8466">
        <v>193.94</v>
      </c>
      <c r="J8466">
        <v>0</v>
      </c>
      <c r="K8466">
        <v>0</v>
      </c>
      <c r="L8466">
        <v>0</v>
      </c>
      <c r="M8466">
        <v>357</v>
      </c>
      <c r="N8466">
        <v>69237.460000000021</v>
      </c>
      <c r="O8466">
        <v>193.94</v>
      </c>
    </row>
    <row r="8467" spans="1:15" x14ac:dyDescent="0.35">
      <c r="A8467" t="s">
        <v>9154</v>
      </c>
      <c r="B8467" t="s">
        <v>221</v>
      </c>
      <c r="C8467" t="s">
        <v>1644</v>
      </c>
      <c r="D8467" t="s">
        <v>293</v>
      </c>
      <c r="E8467" t="s">
        <v>312</v>
      </c>
      <c r="F8467" t="s">
        <v>9164</v>
      </c>
      <c r="G8467">
        <v>357</v>
      </c>
      <c r="H8467">
        <v>69237.460000000021</v>
      </c>
      <c r="I8467">
        <v>193.94</v>
      </c>
      <c r="J8467">
        <v>0</v>
      </c>
      <c r="K8467">
        <v>0</v>
      </c>
      <c r="L8467">
        <v>0</v>
      </c>
      <c r="M8467">
        <v>357</v>
      </c>
      <c r="N8467">
        <v>69237.460000000021</v>
      </c>
      <c r="O8467">
        <v>193.94</v>
      </c>
    </row>
    <row r="8468" spans="1:15" x14ac:dyDescent="0.35">
      <c r="A8468" t="s">
        <v>9154</v>
      </c>
      <c r="B8468" t="s">
        <v>221</v>
      </c>
      <c r="C8468" t="s">
        <v>1644</v>
      </c>
      <c r="D8468" t="s">
        <v>314</v>
      </c>
      <c r="E8468" t="s">
        <v>294</v>
      </c>
      <c r="F8468" t="s">
        <v>9165</v>
      </c>
      <c r="G8468">
        <v>0</v>
      </c>
      <c r="H8468">
        <v>0</v>
      </c>
      <c r="I8468">
        <v>0</v>
      </c>
      <c r="J8468">
        <v>0</v>
      </c>
      <c r="K8468">
        <v>0</v>
      </c>
      <c r="L8468">
        <v>0</v>
      </c>
      <c r="M8468">
        <v>0</v>
      </c>
      <c r="N8468">
        <v>0</v>
      </c>
      <c r="O8468">
        <v>0</v>
      </c>
    </row>
    <row r="8469" spans="1:15" x14ac:dyDescent="0.35">
      <c r="A8469" t="s">
        <v>9154</v>
      </c>
      <c r="B8469" t="s">
        <v>221</v>
      </c>
      <c r="C8469" t="s">
        <v>1644</v>
      </c>
      <c r="D8469" t="s">
        <v>314</v>
      </c>
      <c r="E8469" t="s">
        <v>296</v>
      </c>
      <c r="F8469" t="s">
        <v>9166</v>
      </c>
      <c r="G8469">
        <v>0</v>
      </c>
      <c r="H8469">
        <v>0</v>
      </c>
      <c r="I8469">
        <v>0</v>
      </c>
      <c r="J8469">
        <v>0</v>
      </c>
      <c r="K8469">
        <v>0</v>
      </c>
      <c r="L8469">
        <v>0</v>
      </c>
      <c r="M8469">
        <v>0</v>
      </c>
      <c r="N8469">
        <v>0</v>
      </c>
      <c r="O8469">
        <v>0</v>
      </c>
    </row>
    <row r="8470" spans="1:15" x14ac:dyDescent="0.35">
      <c r="A8470" t="s">
        <v>9154</v>
      </c>
      <c r="B8470" t="s">
        <v>221</v>
      </c>
      <c r="C8470" t="s">
        <v>1644</v>
      </c>
      <c r="D8470" t="s">
        <v>314</v>
      </c>
      <c r="E8470" t="s">
        <v>298</v>
      </c>
      <c r="F8470" t="s">
        <v>9167</v>
      </c>
      <c r="G8470">
        <v>0</v>
      </c>
      <c r="H8470">
        <v>0</v>
      </c>
      <c r="I8470">
        <v>0</v>
      </c>
      <c r="J8470">
        <v>0</v>
      </c>
      <c r="K8470">
        <v>0</v>
      </c>
      <c r="L8470">
        <v>0</v>
      </c>
      <c r="M8470">
        <v>0</v>
      </c>
      <c r="N8470">
        <v>0</v>
      </c>
      <c r="O8470">
        <v>0</v>
      </c>
    </row>
    <row r="8471" spans="1:15" x14ac:dyDescent="0.35">
      <c r="A8471" t="s">
        <v>9154</v>
      </c>
      <c r="B8471" t="s">
        <v>221</v>
      </c>
      <c r="C8471" t="s">
        <v>1644</v>
      </c>
      <c r="D8471" t="s">
        <v>314</v>
      </c>
      <c r="E8471" t="s">
        <v>300</v>
      </c>
      <c r="F8471" t="s">
        <v>9168</v>
      </c>
      <c r="G8471">
        <v>0</v>
      </c>
      <c r="H8471">
        <v>0</v>
      </c>
      <c r="I8471">
        <v>0</v>
      </c>
      <c r="J8471">
        <v>0</v>
      </c>
      <c r="K8471">
        <v>0</v>
      </c>
      <c r="L8471">
        <v>0</v>
      </c>
      <c r="M8471">
        <v>0</v>
      </c>
      <c r="N8471">
        <v>0</v>
      </c>
      <c r="O8471">
        <v>0</v>
      </c>
    </row>
    <row r="8472" spans="1:15" x14ac:dyDescent="0.35">
      <c r="A8472" t="s">
        <v>9154</v>
      </c>
      <c r="B8472" t="s">
        <v>221</v>
      </c>
      <c r="C8472" t="s">
        <v>1644</v>
      </c>
      <c r="D8472" t="s">
        <v>314</v>
      </c>
      <c r="E8472" t="s">
        <v>306</v>
      </c>
      <c r="F8472" t="s">
        <v>9169</v>
      </c>
      <c r="G8472">
        <v>0</v>
      </c>
      <c r="H8472">
        <v>0</v>
      </c>
      <c r="I8472">
        <v>0</v>
      </c>
      <c r="J8472">
        <v>0</v>
      </c>
      <c r="K8472">
        <v>0</v>
      </c>
      <c r="L8472">
        <v>0</v>
      </c>
      <c r="M8472">
        <v>0</v>
      </c>
      <c r="N8472">
        <v>0</v>
      </c>
      <c r="O8472">
        <v>0</v>
      </c>
    </row>
    <row r="8473" spans="1:15" x14ac:dyDescent="0.35">
      <c r="A8473" t="s">
        <v>9154</v>
      </c>
      <c r="B8473" t="s">
        <v>221</v>
      </c>
      <c r="C8473" t="s">
        <v>1644</v>
      </c>
      <c r="D8473" t="s">
        <v>314</v>
      </c>
      <c r="E8473" t="s">
        <v>308</v>
      </c>
      <c r="F8473" t="s">
        <v>9170</v>
      </c>
      <c r="G8473">
        <v>0</v>
      </c>
      <c r="H8473">
        <v>0</v>
      </c>
      <c r="I8473">
        <v>0</v>
      </c>
      <c r="J8473">
        <v>0</v>
      </c>
      <c r="K8473">
        <v>0</v>
      </c>
      <c r="L8473">
        <v>0</v>
      </c>
      <c r="M8473">
        <v>0</v>
      </c>
      <c r="N8473">
        <v>0</v>
      </c>
      <c r="O8473">
        <v>0</v>
      </c>
    </row>
    <row r="8474" spans="1:15" x14ac:dyDescent="0.35">
      <c r="A8474" t="s">
        <v>9154</v>
      </c>
      <c r="B8474" t="s">
        <v>221</v>
      </c>
      <c r="C8474" t="s">
        <v>1644</v>
      </c>
      <c r="D8474" t="s">
        <v>314</v>
      </c>
      <c r="E8474" t="s">
        <v>312</v>
      </c>
      <c r="F8474" t="s">
        <v>9171</v>
      </c>
      <c r="G8474">
        <v>0</v>
      </c>
      <c r="H8474">
        <v>0</v>
      </c>
      <c r="I8474">
        <v>0</v>
      </c>
      <c r="J8474">
        <v>0</v>
      </c>
      <c r="K8474">
        <v>0</v>
      </c>
      <c r="L8474">
        <v>0</v>
      </c>
      <c r="M8474">
        <v>0</v>
      </c>
      <c r="N8474">
        <v>0</v>
      </c>
      <c r="O8474">
        <v>0</v>
      </c>
    </row>
    <row r="8475" spans="1:15" x14ac:dyDescent="0.35">
      <c r="A8475" t="s">
        <v>9154</v>
      </c>
      <c r="B8475" t="s">
        <v>221</v>
      </c>
      <c r="C8475" t="s">
        <v>1644</v>
      </c>
      <c r="D8475" t="s">
        <v>314</v>
      </c>
      <c r="E8475" t="s">
        <v>310</v>
      </c>
      <c r="F8475" t="s">
        <v>9172</v>
      </c>
      <c r="G8475">
        <v>0</v>
      </c>
      <c r="H8475">
        <v>0</v>
      </c>
      <c r="I8475">
        <v>0</v>
      </c>
      <c r="J8475">
        <v>0</v>
      </c>
      <c r="K8475">
        <v>0</v>
      </c>
      <c r="L8475">
        <v>0</v>
      </c>
      <c r="M8475">
        <v>0</v>
      </c>
      <c r="N8475">
        <v>0</v>
      </c>
      <c r="O8475">
        <v>0</v>
      </c>
    </row>
    <row r="8476" spans="1:15" x14ac:dyDescent="0.35">
      <c r="A8476" t="s">
        <v>9154</v>
      </c>
      <c r="B8476" t="s">
        <v>221</v>
      </c>
      <c r="C8476" t="s">
        <v>1644</v>
      </c>
      <c r="D8476" t="s">
        <v>323</v>
      </c>
      <c r="E8476" t="s">
        <v>294</v>
      </c>
      <c r="F8476" t="s">
        <v>9173</v>
      </c>
      <c r="G8476">
        <v>1040</v>
      </c>
      <c r="H8476">
        <v>111192.5</v>
      </c>
      <c r="I8476">
        <v>106.92</v>
      </c>
      <c r="J8476">
        <v>26</v>
      </c>
      <c r="K8476">
        <v>2835.04</v>
      </c>
      <c r="L8476">
        <v>109.04</v>
      </c>
      <c r="M8476">
        <v>1066</v>
      </c>
      <c r="N8476">
        <v>114027.54</v>
      </c>
      <c r="O8476">
        <v>106.97</v>
      </c>
    </row>
    <row r="8477" spans="1:15" x14ac:dyDescent="0.35">
      <c r="A8477" t="s">
        <v>9154</v>
      </c>
      <c r="B8477" t="s">
        <v>221</v>
      </c>
      <c r="C8477" t="s">
        <v>1644</v>
      </c>
      <c r="D8477" t="s">
        <v>323</v>
      </c>
      <c r="E8477" t="s">
        <v>296</v>
      </c>
      <c r="F8477" t="s">
        <v>9174</v>
      </c>
      <c r="G8477">
        <v>1230</v>
      </c>
      <c r="H8477">
        <v>154612.34999999998</v>
      </c>
      <c r="I8477">
        <v>125.7</v>
      </c>
      <c r="J8477">
        <v>9</v>
      </c>
      <c r="K8477">
        <v>1261.71</v>
      </c>
      <c r="L8477">
        <v>140.19</v>
      </c>
      <c r="M8477">
        <v>1239</v>
      </c>
      <c r="N8477">
        <v>155874.05999999997</v>
      </c>
      <c r="O8477">
        <v>125.81</v>
      </c>
    </row>
    <row r="8478" spans="1:15" x14ac:dyDescent="0.35">
      <c r="A8478" t="s">
        <v>9154</v>
      </c>
      <c r="B8478" t="s">
        <v>221</v>
      </c>
      <c r="C8478" t="s">
        <v>1644</v>
      </c>
      <c r="D8478" t="s">
        <v>323</v>
      </c>
      <c r="E8478" t="s">
        <v>298</v>
      </c>
      <c r="F8478" t="s">
        <v>9175</v>
      </c>
      <c r="G8478">
        <v>1294</v>
      </c>
      <c r="H8478">
        <v>180745.05000000002</v>
      </c>
      <c r="I8478">
        <v>139.68</v>
      </c>
      <c r="J8478">
        <v>1</v>
      </c>
      <c r="K8478">
        <v>103.42</v>
      </c>
      <c r="L8478">
        <v>103.42</v>
      </c>
      <c r="M8478">
        <v>1295</v>
      </c>
      <c r="N8478">
        <v>180848.47000000003</v>
      </c>
      <c r="O8478">
        <v>139.65</v>
      </c>
    </row>
    <row r="8479" spans="1:15" x14ac:dyDescent="0.35">
      <c r="A8479" t="s">
        <v>9154</v>
      </c>
      <c r="B8479" t="s">
        <v>221</v>
      </c>
      <c r="C8479" t="s">
        <v>1644</v>
      </c>
      <c r="D8479" t="s">
        <v>323</v>
      </c>
      <c r="E8479" t="s">
        <v>300</v>
      </c>
      <c r="F8479" t="s">
        <v>9176</v>
      </c>
      <c r="G8479">
        <v>68</v>
      </c>
      <c r="H8479">
        <v>10727.77</v>
      </c>
      <c r="I8479">
        <v>157.76</v>
      </c>
      <c r="J8479">
        <v>0</v>
      </c>
      <c r="K8479">
        <v>0</v>
      </c>
      <c r="L8479">
        <v>0</v>
      </c>
      <c r="M8479">
        <v>68</v>
      </c>
      <c r="N8479">
        <v>10727.77</v>
      </c>
      <c r="O8479">
        <v>157.76</v>
      </c>
    </row>
    <row r="8480" spans="1:15" x14ac:dyDescent="0.35">
      <c r="A8480" t="s">
        <v>9154</v>
      </c>
      <c r="B8480" t="s">
        <v>221</v>
      </c>
      <c r="C8480" t="s">
        <v>1644</v>
      </c>
      <c r="D8480" t="s">
        <v>323</v>
      </c>
      <c r="E8480" t="s">
        <v>302</v>
      </c>
      <c r="F8480" t="s">
        <v>9177</v>
      </c>
      <c r="G8480">
        <v>2</v>
      </c>
      <c r="H8480">
        <v>293.52</v>
      </c>
      <c r="I8480">
        <v>146.76</v>
      </c>
      <c r="J8480">
        <v>0</v>
      </c>
      <c r="K8480">
        <v>0</v>
      </c>
      <c r="L8480">
        <v>0</v>
      </c>
      <c r="M8480">
        <v>2</v>
      </c>
      <c r="N8480">
        <v>293.52</v>
      </c>
      <c r="O8480">
        <v>146.76</v>
      </c>
    </row>
    <row r="8481" spans="1:15" x14ac:dyDescent="0.35">
      <c r="A8481" t="s">
        <v>9154</v>
      </c>
      <c r="B8481" t="s">
        <v>221</v>
      </c>
      <c r="C8481" t="s">
        <v>1644</v>
      </c>
      <c r="D8481" t="s">
        <v>323</v>
      </c>
      <c r="E8481" t="s">
        <v>304</v>
      </c>
      <c r="F8481" t="s">
        <v>9178</v>
      </c>
      <c r="G8481">
        <v>3</v>
      </c>
      <c r="H8481">
        <v>548.6</v>
      </c>
      <c r="I8481">
        <v>182.87</v>
      </c>
      <c r="J8481">
        <v>0</v>
      </c>
      <c r="K8481">
        <v>0</v>
      </c>
      <c r="L8481">
        <v>0</v>
      </c>
      <c r="M8481">
        <v>3</v>
      </c>
      <c r="N8481">
        <v>548.6</v>
      </c>
      <c r="O8481">
        <v>182.87</v>
      </c>
    </row>
    <row r="8482" spans="1:15" x14ac:dyDescent="0.35">
      <c r="A8482" t="s">
        <v>9154</v>
      </c>
      <c r="B8482" t="s">
        <v>221</v>
      </c>
      <c r="C8482" t="s">
        <v>1644</v>
      </c>
      <c r="D8482" t="s">
        <v>323</v>
      </c>
      <c r="E8482" t="s">
        <v>306</v>
      </c>
      <c r="F8482" t="s">
        <v>9179</v>
      </c>
      <c r="G8482">
        <v>113</v>
      </c>
      <c r="H8482">
        <v>10106.58</v>
      </c>
      <c r="I8482">
        <v>89.44</v>
      </c>
      <c r="J8482">
        <v>1</v>
      </c>
      <c r="K8482">
        <v>109.04</v>
      </c>
      <c r="L8482">
        <v>109.04</v>
      </c>
      <c r="M8482">
        <v>114</v>
      </c>
      <c r="N8482">
        <v>10215.620000000001</v>
      </c>
      <c r="O8482">
        <v>89.61</v>
      </c>
    </row>
    <row r="8483" spans="1:15" x14ac:dyDescent="0.35">
      <c r="A8483" t="s">
        <v>9154</v>
      </c>
      <c r="B8483" t="s">
        <v>221</v>
      </c>
      <c r="C8483" t="s">
        <v>1644</v>
      </c>
      <c r="D8483" t="s">
        <v>323</v>
      </c>
      <c r="E8483" t="s">
        <v>308</v>
      </c>
      <c r="F8483" t="s">
        <v>9180</v>
      </c>
      <c r="G8483">
        <v>0</v>
      </c>
      <c r="H8483">
        <v>0</v>
      </c>
      <c r="I8483">
        <v>0</v>
      </c>
      <c r="J8483">
        <v>0</v>
      </c>
      <c r="K8483">
        <v>0</v>
      </c>
      <c r="L8483">
        <v>0</v>
      </c>
      <c r="M8483">
        <v>0</v>
      </c>
      <c r="N8483">
        <v>0</v>
      </c>
      <c r="O8483">
        <v>0</v>
      </c>
    </row>
    <row r="8484" spans="1:15" x14ac:dyDescent="0.35">
      <c r="A8484" t="s">
        <v>9154</v>
      </c>
      <c r="B8484" t="s">
        <v>221</v>
      </c>
      <c r="C8484" t="s">
        <v>1644</v>
      </c>
      <c r="D8484" t="s">
        <v>323</v>
      </c>
      <c r="E8484" t="s">
        <v>310</v>
      </c>
      <c r="F8484" t="s">
        <v>9181</v>
      </c>
      <c r="G8484">
        <v>3750</v>
      </c>
      <c r="H8484">
        <v>468226.37000000005</v>
      </c>
      <c r="I8484">
        <v>124.86</v>
      </c>
      <c r="J8484">
        <v>37</v>
      </c>
      <c r="K8484">
        <v>4309.21</v>
      </c>
      <c r="L8484">
        <v>116.47</v>
      </c>
      <c r="M8484">
        <v>3787</v>
      </c>
      <c r="N8484">
        <v>472535.58000000007</v>
      </c>
      <c r="O8484">
        <v>124.78</v>
      </c>
    </row>
    <row r="8485" spans="1:15" x14ac:dyDescent="0.35">
      <c r="A8485" t="s">
        <v>9154</v>
      </c>
      <c r="B8485" t="s">
        <v>221</v>
      </c>
      <c r="C8485" t="s">
        <v>1644</v>
      </c>
      <c r="D8485" t="s">
        <v>323</v>
      </c>
      <c r="E8485" t="s">
        <v>312</v>
      </c>
      <c r="F8485" t="s">
        <v>9182</v>
      </c>
      <c r="G8485">
        <v>3750</v>
      </c>
      <c r="H8485">
        <v>468226.37000000005</v>
      </c>
      <c r="I8485">
        <v>124.86</v>
      </c>
      <c r="J8485">
        <v>37</v>
      </c>
      <c r="K8485">
        <v>4309.21</v>
      </c>
      <c r="L8485">
        <v>116.47</v>
      </c>
      <c r="M8485">
        <v>3787</v>
      </c>
      <c r="N8485">
        <v>472535.58000000007</v>
      </c>
      <c r="O8485">
        <v>124.78</v>
      </c>
    </row>
    <row r="8486" spans="1:15" x14ac:dyDescent="0.35">
      <c r="A8486" t="s">
        <v>9154</v>
      </c>
      <c r="B8486" t="s">
        <v>221</v>
      </c>
      <c r="C8486" t="s">
        <v>1644</v>
      </c>
      <c r="D8486" t="s">
        <v>334</v>
      </c>
      <c r="E8486" t="s">
        <v>312</v>
      </c>
      <c r="F8486" t="s">
        <v>9183</v>
      </c>
      <c r="G8486">
        <v>4239</v>
      </c>
      <c r="H8486">
        <v>537463.82999999996</v>
      </c>
      <c r="I8486">
        <v>130.87</v>
      </c>
      <c r="J8486">
        <v>37</v>
      </c>
      <c r="K8486">
        <v>4309.21</v>
      </c>
      <c r="L8486">
        <v>116.47</v>
      </c>
      <c r="M8486">
        <v>4276</v>
      </c>
      <c r="N8486">
        <v>541773.03999999992</v>
      </c>
      <c r="O8486">
        <v>130.74</v>
      </c>
    </row>
    <row r="8487" spans="1:15" x14ac:dyDescent="0.35">
      <c r="A8487" t="s">
        <v>9154</v>
      </c>
      <c r="B8487" t="s">
        <v>221</v>
      </c>
      <c r="C8487" t="s">
        <v>1644</v>
      </c>
      <c r="D8487" t="s">
        <v>334</v>
      </c>
      <c r="E8487" t="s">
        <v>308</v>
      </c>
      <c r="F8487" t="s">
        <v>9184</v>
      </c>
      <c r="G8487">
        <v>0</v>
      </c>
      <c r="H8487">
        <v>0</v>
      </c>
      <c r="I8487">
        <v>0</v>
      </c>
      <c r="J8487">
        <v>0</v>
      </c>
      <c r="K8487">
        <v>0</v>
      </c>
      <c r="L8487">
        <v>0</v>
      </c>
      <c r="M8487">
        <v>0</v>
      </c>
      <c r="N8487">
        <v>0</v>
      </c>
      <c r="O8487">
        <v>0</v>
      </c>
    </row>
    <row r="8488" spans="1:15" x14ac:dyDescent="0.35">
      <c r="A8488" t="s">
        <v>9154</v>
      </c>
      <c r="B8488" t="s">
        <v>221</v>
      </c>
      <c r="C8488" t="s">
        <v>1644</v>
      </c>
      <c r="D8488" t="s">
        <v>337</v>
      </c>
      <c r="E8488" t="s">
        <v>337</v>
      </c>
      <c r="F8488" t="s">
        <v>9185</v>
      </c>
      <c r="G8488">
        <v>381</v>
      </c>
      <c r="J8488">
        <v>0</v>
      </c>
      <c r="M8488">
        <v>381</v>
      </c>
    </row>
    <row r="8489" spans="1:15" x14ac:dyDescent="0.35">
      <c r="A8489" t="s">
        <v>9154</v>
      </c>
      <c r="B8489" t="s">
        <v>221</v>
      </c>
      <c r="C8489" t="s">
        <v>1644</v>
      </c>
      <c r="D8489" t="s">
        <v>339</v>
      </c>
      <c r="E8489" t="s">
        <v>294</v>
      </c>
      <c r="F8489" t="s">
        <v>9186</v>
      </c>
      <c r="G8489">
        <v>372</v>
      </c>
      <c r="H8489">
        <v>45754.209999999992</v>
      </c>
      <c r="I8489">
        <v>123</v>
      </c>
      <c r="J8489">
        <v>0</v>
      </c>
      <c r="K8489">
        <v>0</v>
      </c>
      <c r="L8489">
        <v>0</v>
      </c>
      <c r="M8489">
        <v>372</v>
      </c>
      <c r="N8489">
        <v>45754.209999999992</v>
      </c>
      <c r="O8489">
        <v>123</v>
      </c>
    </row>
    <row r="8490" spans="1:15" x14ac:dyDescent="0.35">
      <c r="A8490" t="s">
        <v>9154</v>
      </c>
      <c r="B8490" t="s">
        <v>221</v>
      </c>
      <c r="C8490" t="s">
        <v>1644</v>
      </c>
      <c r="D8490" t="s">
        <v>339</v>
      </c>
      <c r="E8490" t="s">
        <v>296</v>
      </c>
      <c r="F8490" t="s">
        <v>9187</v>
      </c>
      <c r="G8490">
        <v>22</v>
      </c>
      <c r="H8490">
        <v>3063.0800000000004</v>
      </c>
      <c r="I8490">
        <v>139.22999999999999</v>
      </c>
      <c r="J8490">
        <v>0</v>
      </c>
      <c r="K8490">
        <v>0</v>
      </c>
      <c r="L8490">
        <v>0</v>
      </c>
      <c r="M8490">
        <v>22</v>
      </c>
      <c r="N8490">
        <v>3063.0800000000004</v>
      </c>
      <c r="O8490">
        <v>139.22999999999999</v>
      </c>
    </row>
    <row r="8491" spans="1:15" x14ac:dyDescent="0.35">
      <c r="A8491" t="s">
        <v>9154</v>
      </c>
      <c r="B8491" t="s">
        <v>221</v>
      </c>
      <c r="C8491" t="s">
        <v>1644</v>
      </c>
      <c r="D8491" t="s">
        <v>339</v>
      </c>
      <c r="E8491" t="s">
        <v>298</v>
      </c>
      <c r="F8491" t="s">
        <v>9188</v>
      </c>
      <c r="G8491">
        <v>2</v>
      </c>
      <c r="H8491">
        <v>314.45000000000005</v>
      </c>
      <c r="I8491">
        <v>157.22999999999999</v>
      </c>
      <c r="J8491">
        <v>0</v>
      </c>
      <c r="K8491">
        <v>0</v>
      </c>
      <c r="L8491">
        <v>0</v>
      </c>
      <c r="M8491">
        <v>2</v>
      </c>
      <c r="N8491">
        <v>314.45000000000005</v>
      </c>
      <c r="O8491">
        <v>157.22999999999999</v>
      </c>
    </row>
    <row r="8492" spans="1:15" x14ac:dyDescent="0.35">
      <c r="A8492" t="s">
        <v>9154</v>
      </c>
      <c r="B8492" t="s">
        <v>221</v>
      </c>
      <c r="C8492" t="s">
        <v>1644</v>
      </c>
      <c r="D8492" t="s">
        <v>339</v>
      </c>
      <c r="E8492" t="s">
        <v>300</v>
      </c>
      <c r="F8492" t="s">
        <v>9189</v>
      </c>
      <c r="G8492">
        <v>0</v>
      </c>
      <c r="H8492">
        <v>0</v>
      </c>
      <c r="I8492">
        <v>0</v>
      </c>
      <c r="J8492">
        <v>0</v>
      </c>
      <c r="K8492">
        <v>0</v>
      </c>
      <c r="L8492">
        <v>0</v>
      </c>
      <c r="M8492">
        <v>0</v>
      </c>
      <c r="N8492">
        <v>0</v>
      </c>
      <c r="O8492">
        <v>0</v>
      </c>
    </row>
    <row r="8493" spans="1:15" x14ac:dyDescent="0.35">
      <c r="A8493" t="s">
        <v>9154</v>
      </c>
      <c r="B8493" t="s">
        <v>221</v>
      </c>
      <c r="C8493" t="s">
        <v>1644</v>
      </c>
      <c r="D8493" t="s">
        <v>339</v>
      </c>
      <c r="E8493" t="s">
        <v>306</v>
      </c>
      <c r="F8493" t="s">
        <v>9190</v>
      </c>
      <c r="G8493">
        <v>122</v>
      </c>
      <c r="H8493">
        <v>11661.92</v>
      </c>
      <c r="I8493">
        <v>95.59</v>
      </c>
      <c r="J8493">
        <v>0</v>
      </c>
      <c r="K8493">
        <v>0</v>
      </c>
      <c r="L8493">
        <v>0</v>
      </c>
      <c r="M8493">
        <v>122</v>
      </c>
      <c r="N8493">
        <v>11661.92</v>
      </c>
      <c r="O8493">
        <v>95.59</v>
      </c>
    </row>
    <row r="8494" spans="1:15" x14ac:dyDescent="0.35">
      <c r="A8494" t="s">
        <v>9154</v>
      </c>
      <c r="B8494" t="s">
        <v>221</v>
      </c>
      <c r="C8494" t="s">
        <v>1644</v>
      </c>
      <c r="D8494" t="s">
        <v>339</v>
      </c>
      <c r="E8494" t="s">
        <v>308</v>
      </c>
      <c r="F8494" t="s">
        <v>9191</v>
      </c>
      <c r="G8494">
        <v>27</v>
      </c>
      <c r="H8494">
        <v>4433.46</v>
      </c>
      <c r="I8494">
        <v>164.2</v>
      </c>
      <c r="J8494">
        <v>0</v>
      </c>
      <c r="K8494">
        <v>0</v>
      </c>
      <c r="L8494">
        <v>0</v>
      </c>
      <c r="M8494">
        <v>27</v>
      </c>
      <c r="N8494">
        <v>4433.46</v>
      </c>
      <c r="O8494">
        <v>164.2</v>
      </c>
    </row>
    <row r="8495" spans="1:15" x14ac:dyDescent="0.35">
      <c r="A8495" t="s">
        <v>9154</v>
      </c>
      <c r="B8495" t="s">
        <v>221</v>
      </c>
      <c r="C8495" t="s">
        <v>1644</v>
      </c>
      <c r="D8495" t="s">
        <v>339</v>
      </c>
      <c r="E8495" t="s">
        <v>310</v>
      </c>
      <c r="F8495" t="s">
        <v>9192</v>
      </c>
      <c r="G8495">
        <v>545</v>
      </c>
      <c r="H8495">
        <v>65227.119999999988</v>
      </c>
      <c r="I8495">
        <v>119.68</v>
      </c>
      <c r="J8495">
        <v>0</v>
      </c>
      <c r="K8495">
        <v>0</v>
      </c>
      <c r="L8495">
        <v>0</v>
      </c>
      <c r="M8495">
        <v>545</v>
      </c>
      <c r="N8495">
        <v>65227.119999999988</v>
      </c>
      <c r="O8495">
        <v>119.68</v>
      </c>
    </row>
    <row r="8496" spans="1:15" x14ac:dyDescent="0.35">
      <c r="A8496" t="s">
        <v>9154</v>
      </c>
      <c r="B8496" t="s">
        <v>221</v>
      </c>
      <c r="C8496" t="s">
        <v>1644</v>
      </c>
      <c r="D8496" t="s">
        <v>339</v>
      </c>
      <c r="E8496" t="s">
        <v>312</v>
      </c>
      <c r="F8496" t="s">
        <v>9193</v>
      </c>
      <c r="G8496">
        <v>518</v>
      </c>
      <c r="H8496">
        <v>60793.659999999989</v>
      </c>
      <c r="I8496">
        <v>117.36</v>
      </c>
      <c r="J8496">
        <v>0</v>
      </c>
      <c r="K8496">
        <v>0</v>
      </c>
      <c r="L8496">
        <v>0</v>
      </c>
      <c r="M8496">
        <v>518</v>
      </c>
      <c r="N8496">
        <v>60793.659999999989</v>
      </c>
      <c r="O8496">
        <v>117.36</v>
      </c>
    </row>
    <row r="8497" spans="1:15" x14ac:dyDescent="0.35">
      <c r="A8497" t="s">
        <v>9154</v>
      </c>
      <c r="B8497" t="s">
        <v>221</v>
      </c>
      <c r="C8497" t="s">
        <v>1644</v>
      </c>
      <c r="D8497" t="s">
        <v>348</v>
      </c>
      <c r="E8497" t="s">
        <v>349</v>
      </c>
      <c r="F8497" t="s">
        <v>9194</v>
      </c>
      <c r="G8497">
        <v>712</v>
      </c>
      <c r="H8497">
        <v>65227.119999999988</v>
      </c>
      <c r="I8497">
        <v>119.68</v>
      </c>
      <c r="J8497">
        <v>0</v>
      </c>
      <c r="K8497">
        <v>0</v>
      </c>
      <c r="L8497">
        <v>0</v>
      </c>
      <c r="M8497">
        <v>712</v>
      </c>
      <c r="N8497">
        <v>65227.119999999988</v>
      </c>
      <c r="O8497">
        <v>119.68</v>
      </c>
    </row>
    <row r="8498" spans="1:15" x14ac:dyDescent="0.35">
      <c r="A8498" t="s">
        <v>9195</v>
      </c>
      <c r="B8498" t="s">
        <v>9196</v>
      </c>
      <c r="C8498" t="s">
        <v>1059</v>
      </c>
      <c r="D8498" t="s">
        <v>293</v>
      </c>
      <c r="E8498" t="s">
        <v>294</v>
      </c>
      <c r="F8498" t="s">
        <v>9197</v>
      </c>
      <c r="G8498">
        <v>103</v>
      </c>
      <c r="H8498">
        <v>12300.4</v>
      </c>
      <c r="I8498">
        <v>119.42</v>
      </c>
      <c r="J8498">
        <v>0</v>
      </c>
      <c r="K8498">
        <v>0</v>
      </c>
      <c r="L8498">
        <v>0</v>
      </c>
      <c r="M8498">
        <v>103</v>
      </c>
      <c r="N8498">
        <v>12300.4</v>
      </c>
      <c r="O8498">
        <v>119.42</v>
      </c>
    </row>
    <row r="8499" spans="1:15" x14ac:dyDescent="0.35">
      <c r="A8499" t="s">
        <v>9195</v>
      </c>
      <c r="B8499" t="s">
        <v>9196</v>
      </c>
      <c r="C8499" t="s">
        <v>1059</v>
      </c>
      <c r="D8499" t="s">
        <v>293</v>
      </c>
      <c r="E8499" t="s">
        <v>296</v>
      </c>
      <c r="F8499" t="s">
        <v>9198</v>
      </c>
      <c r="G8499">
        <v>151</v>
      </c>
      <c r="H8499">
        <v>22424.199999999997</v>
      </c>
      <c r="I8499">
        <v>148.5</v>
      </c>
      <c r="J8499">
        <v>0</v>
      </c>
      <c r="K8499">
        <v>0</v>
      </c>
      <c r="L8499">
        <v>0</v>
      </c>
      <c r="M8499">
        <v>151</v>
      </c>
      <c r="N8499">
        <v>22424.199999999997</v>
      </c>
      <c r="O8499">
        <v>148.5</v>
      </c>
    </row>
    <row r="8500" spans="1:15" x14ac:dyDescent="0.35">
      <c r="A8500" t="s">
        <v>9195</v>
      </c>
      <c r="B8500" t="s">
        <v>9196</v>
      </c>
      <c r="C8500" t="s">
        <v>1059</v>
      </c>
      <c r="D8500" t="s">
        <v>293</v>
      </c>
      <c r="E8500" t="s">
        <v>298</v>
      </c>
      <c r="F8500" t="s">
        <v>9199</v>
      </c>
      <c r="G8500">
        <v>110</v>
      </c>
      <c r="H8500">
        <v>17833.03</v>
      </c>
      <c r="I8500">
        <v>162.12</v>
      </c>
      <c r="J8500">
        <v>0</v>
      </c>
      <c r="K8500">
        <v>0</v>
      </c>
      <c r="L8500">
        <v>0</v>
      </c>
      <c r="M8500">
        <v>110</v>
      </c>
      <c r="N8500">
        <v>17833.03</v>
      </c>
      <c r="O8500">
        <v>162.12</v>
      </c>
    </row>
    <row r="8501" spans="1:15" x14ac:dyDescent="0.35">
      <c r="A8501" t="s">
        <v>9195</v>
      </c>
      <c r="B8501" t="s">
        <v>9196</v>
      </c>
      <c r="C8501" t="s">
        <v>1059</v>
      </c>
      <c r="D8501" t="s">
        <v>293</v>
      </c>
      <c r="E8501" t="s">
        <v>300</v>
      </c>
      <c r="F8501" t="s">
        <v>9200</v>
      </c>
      <c r="G8501">
        <v>6</v>
      </c>
      <c r="H8501">
        <v>1159.8600000000001</v>
      </c>
      <c r="I8501">
        <v>193.31</v>
      </c>
      <c r="J8501">
        <v>0</v>
      </c>
      <c r="K8501">
        <v>0</v>
      </c>
      <c r="L8501">
        <v>0</v>
      </c>
      <c r="M8501">
        <v>6</v>
      </c>
      <c r="N8501">
        <v>1159.8600000000001</v>
      </c>
      <c r="O8501">
        <v>193.31</v>
      </c>
    </row>
    <row r="8502" spans="1:15" x14ac:dyDescent="0.35">
      <c r="A8502" t="s">
        <v>9195</v>
      </c>
      <c r="B8502" t="s">
        <v>9196</v>
      </c>
      <c r="C8502" t="s">
        <v>1059</v>
      </c>
      <c r="D8502" t="s">
        <v>293</v>
      </c>
      <c r="E8502" t="s">
        <v>302</v>
      </c>
      <c r="F8502" t="s">
        <v>9201</v>
      </c>
      <c r="G8502">
        <v>0</v>
      </c>
      <c r="H8502">
        <v>0</v>
      </c>
      <c r="I8502">
        <v>0</v>
      </c>
      <c r="J8502">
        <v>0</v>
      </c>
      <c r="K8502">
        <v>0</v>
      </c>
      <c r="L8502">
        <v>0</v>
      </c>
      <c r="M8502">
        <v>0</v>
      </c>
      <c r="N8502">
        <v>0</v>
      </c>
      <c r="O8502">
        <v>0</v>
      </c>
    </row>
    <row r="8503" spans="1:15" x14ac:dyDescent="0.35">
      <c r="A8503" t="s">
        <v>9195</v>
      </c>
      <c r="B8503" t="s">
        <v>9196</v>
      </c>
      <c r="C8503" t="s">
        <v>1059</v>
      </c>
      <c r="D8503" t="s">
        <v>293</v>
      </c>
      <c r="E8503" t="s">
        <v>304</v>
      </c>
      <c r="F8503" t="s">
        <v>9202</v>
      </c>
      <c r="G8503">
        <v>0</v>
      </c>
      <c r="H8503">
        <v>0</v>
      </c>
      <c r="I8503">
        <v>0</v>
      </c>
      <c r="J8503">
        <v>0</v>
      </c>
      <c r="K8503">
        <v>0</v>
      </c>
      <c r="L8503">
        <v>0</v>
      </c>
      <c r="M8503">
        <v>0</v>
      </c>
      <c r="N8503">
        <v>0</v>
      </c>
      <c r="O8503">
        <v>0</v>
      </c>
    </row>
    <row r="8504" spans="1:15" x14ac:dyDescent="0.35">
      <c r="A8504" t="s">
        <v>9195</v>
      </c>
      <c r="B8504" t="s">
        <v>9196</v>
      </c>
      <c r="C8504" t="s">
        <v>1059</v>
      </c>
      <c r="D8504" t="s">
        <v>293</v>
      </c>
      <c r="E8504" t="s">
        <v>306</v>
      </c>
      <c r="F8504" t="s">
        <v>9203</v>
      </c>
      <c r="G8504">
        <v>0</v>
      </c>
      <c r="H8504">
        <v>0</v>
      </c>
      <c r="I8504">
        <v>0</v>
      </c>
      <c r="J8504">
        <v>0</v>
      </c>
      <c r="K8504">
        <v>0</v>
      </c>
      <c r="L8504">
        <v>0</v>
      </c>
      <c r="M8504">
        <v>0</v>
      </c>
      <c r="N8504">
        <v>0</v>
      </c>
      <c r="O8504">
        <v>0</v>
      </c>
    </row>
    <row r="8505" spans="1:15" x14ac:dyDescent="0.35">
      <c r="A8505" t="s">
        <v>9195</v>
      </c>
      <c r="B8505" t="s">
        <v>9196</v>
      </c>
      <c r="C8505" t="s">
        <v>1059</v>
      </c>
      <c r="D8505" t="s">
        <v>293</v>
      </c>
      <c r="E8505" t="s">
        <v>308</v>
      </c>
      <c r="F8505" t="s">
        <v>9204</v>
      </c>
      <c r="G8505">
        <v>0</v>
      </c>
      <c r="H8505">
        <v>0</v>
      </c>
      <c r="I8505">
        <v>0</v>
      </c>
      <c r="J8505">
        <v>0</v>
      </c>
      <c r="K8505">
        <v>0</v>
      </c>
      <c r="L8505">
        <v>0</v>
      </c>
      <c r="M8505">
        <v>0</v>
      </c>
      <c r="N8505">
        <v>0</v>
      </c>
      <c r="O8505">
        <v>0</v>
      </c>
    </row>
    <row r="8506" spans="1:15" x14ac:dyDescent="0.35">
      <c r="A8506" t="s">
        <v>9195</v>
      </c>
      <c r="B8506" t="s">
        <v>9196</v>
      </c>
      <c r="C8506" t="s">
        <v>1059</v>
      </c>
      <c r="D8506" t="s">
        <v>293</v>
      </c>
      <c r="E8506" t="s">
        <v>310</v>
      </c>
      <c r="F8506" t="s">
        <v>9205</v>
      </c>
      <c r="G8506">
        <v>370</v>
      </c>
      <c r="H8506">
        <v>53717.49</v>
      </c>
      <c r="I8506">
        <v>145.18</v>
      </c>
      <c r="J8506">
        <v>0</v>
      </c>
      <c r="K8506">
        <v>0</v>
      </c>
      <c r="L8506">
        <v>0</v>
      </c>
      <c r="M8506">
        <v>370</v>
      </c>
      <c r="N8506">
        <v>53717.49</v>
      </c>
      <c r="O8506">
        <v>145.18</v>
      </c>
    </row>
    <row r="8507" spans="1:15" x14ac:dyDescent="0.35">
      <c r="A8507" t="s">
        <v>9195</v>
      </c>
      <c r="B8507" t="s">
        <v>9196</v>
      </c>
      <c r="C8507" t="s">
        <v>1059</v>
      </c>
      <c r="D8507" t="s">
        <v>293</v>
      </c>
      <c r="E8507" t="s">
        <v>312</v>
      </c>
      <c r="F8507" t="s">
        <v>9206</v>
      </c>
      <c r="G8507">
        <v>370</v>
      </c>
      <c r="H8507">
        <v>53717.49</v>
      </c>
      <c r="I8507">
        <v>145.18</v>
      </c>
      <c r="J8507">
        <v>0</v>
      </c>
      <c r="K8507">
        <v>0</v>
      </c>
      <c r="L8507">
        <v>0</v>
      </c>
      <c r="M8507">
        <v>370</v>
      </c>
      <c r="N8507">
        <v>53717.49</v>
      </c>
      <c r="O8507">
        <v>145.18</v>
      </c>
    </row>
    <row r="8508" spans="1:15" x14ac:dyDescent="0.35">
      <c r="A8508" t="s">
        <v>9195</v>
      </c>
      <c r="B8508" t="s">
        <v>9196</v>
      </c>
      <c r="C8508" t="s">
        <v>1059</v>
      </c>
      <c r="D8508" t="s">
        <v>323</v>
      </c>
      <c r="E8508" t="s">
        <v>294</v>
      </c>
      <c r="F8508" t="s">
        <v>9207</v>
      </c>
      <c r="G8508">
        <v>644</v>
      </c>
      <c r="H8508">
        <v>60357.400000000009</v>
      </c>
      <c r="I8508">
        <v>93.72</v>
      </c>
      <c r="J8508">
        <v>0</v>
      </c>
      <c r="K8508">
        <v>0</v>
      </c>
      <c r="L8508">
        <v>0</v>
      </c>
      <c r="M8508">
        <v>644</v>
      </c>
      <c r="N8508">
        <v>60357.400000000009</v>
      </c>
      <c r="O8508">
        <v>93.72</v>
      </c>
    </row>
    <row r="8509" spans="1:15" x14ac:dyDescent="0.35">
      <c r="A8509" t="s">
        <v>9195</v>
      </c>
      <c r="B8509" t="s">
        <v>9196</v>
      </c>
      <c r="C8509" t="s">
        <v>1059</v>
      </c>
      <c r="D8509" t="s">
        <v>323</v>
      </c>
      <c r="E8509" t="s">
        <v>296</v>
      </c>
      <c r="F8509" t="s">
        <v>9208</v>
      </c>
      <c r="G8509">
        <v>1156</v>
      </c>
      <c r="H8509">
        <v>128051.25</v>
      </c>
      <c r="I8509">
        <v>110.77</v>
      </c>
      <c r="J8509">
        <v>0</v>
      </c>
      <c r="K8509">
        <v>0</v>
      </c>
      <c r="L8509">
        <v>0</v>
      </c>
      <c r="M8509">
        <v>1156</v>
      </c>
      <c r="N8509">
        <v>128051.25</v>
      </c>
      <c r="O8509">
        <v>110.77</v>
      </c>
    </row>
    <row r="8510" spans="1:15" x14ac:dyDescent="0.35">
      <c r="A8510" t="s">
        <v>9195</v>
      </c>
      <c r="B8510" t="s">
        <v>9196</v>
      </c>
      <c r="C8510" t="s">
        <v>1059</v>
      </c>
      <c r="D8510" t="s">
        <v>323</v>
      </c>
      <c r="E8510" t="s">
        <v>298</v>
      </c>
      <c r="F8510" t="s">
        <v>9209</v>
      </c>
      <c r="G8510">
        <v>1241</v>
      </c>
      <c r="H8510">
        <v>154571.79999999999</v>
      </c>
      <c r="I8510">
        <v>124.55</v>
      </c>
      <c r="J8510">
        <v>0</v>
      </c>
      <c r="K8510">
        <v>0</v>
      </c>
      <c r="L8510">
        <v>0</v>
      </c>
      <c r="M8510">
        <v>1241</v>
      </c>
      <c r="N8510">
        <v>154571.79999999999</v>
      </c>
      <c r="O8510">
        <v>124.55</v>
      </c>
    </row>
    <row r="8511" spans="1:15" x14ac:dyDescent="0.35">
      <c r="A8511" t="s">
        <v>9195</v>
      </c>
      <c r="B8511" t="s">
        <v>9196</v>
      </c>
      <c r="C8511" t="s">
        <v>1059</v>
      </c>
      <c r="D8511" t="s">
        <v>323</v>
      </c>
      <c r="E8511" t="s">
        <v>300</v>
      </c>
      <c r="F8511" t="s">
        <v>9210</v>
      </c>
      <c r="G8511">
        <v>83</v>
      </c>
      <c r="H8511">
        <v>11771.46</v>
      </c>
      <c r="I8511">
        <v>141.82</v>
      </c>
      <c r="J8511">
        <v>0</v>
      </c>
      <c r="K8511">
        <v>0</v>
      </c>
      <c r="L8511">
        <v>0</v>
      </c>
      <c r="M8511">
        <v>83</v>
      </c>
      <c r="N8511">
        <v>11771.46</v>
      </c>
      <c r="O8511">
        <v>141.82</v>
      </c>
    </row>
    <row r="8512" spans="1:15" x14ac:dyDescent="0.35">
      <c r="A8512" t="s">
        <v>9195</v>
      </c>
      <c r="B8512" t="s">
        <v>9196</v>
      </c>
      <c r="C8512" t="s">
        <v>1059</v>
      </c>
      <c r="D8512" t="s">
        <v>323</v>
      </c>
      <c r="E8512" t="s">
        <v>302</v>
      </c>
      <c r="F8512" t="s">
        <v>9211</v>
      </c>
      <c r="G8512">
        <v>1</v>
      </c>
      <c r="H8512">
        <v>136.19</v>
      </c>
      <c r="I8512">
        <v>136.19</v>
      </c>
      <c r="J8512">
        <v>0</v>
      </c>
      <c r="K8512">
        <v>0</v>
      </c>
      <c r="L8512">
        <v>0</v>
      </c>
      <c r="M8512">
        <v>1</v>
      </c>
      <c r="N8512">
        <v>136.19</v>
      </c>
      <c r="O8512">
        <v>136.19</v>
      </c>
    </row>
    <row r="8513" spans="1:15" x14ac:dyDescent="0.35">
      <c r="A8513" t="s">
        <v>9195</v>
      </c>
      <c r="B8513" t="s">
        <v>9196</v>
      </c>
      <c r="C8513" t="s">
        <v>1059</v>
      </c>
      <c r="D8513" t="s">
        <v>323</v>
      </c>
      <c r="E8513" t="s">
        <v>304</v>
      </c>
      <c r="F8513" t="s">
        <v>9212</v>
      </c>
      <c r="G8513">
        <v>0</v>
      </c>
      <c r="H8513">
        <v>0</v>
      </c>
      <c r="I8513">
        <v>0</v>
      </c>
      <c r="J8513">
        <v>0</v>
      </c>
      <c r="K8513">
        <v>0</v>
      </c>
      <c r="L8513">
        <v>0</v>
      </c>
      <c r="M8513">
        <v>0</v>
      </c>
      <c r="N8513">
        <v>0</v>
      </c>
      <c r="O8513">
        <v>0</v>
      </c>
    </row>
    <row r="8514" spans="1:15" x14ac:dyDescent="0.35">
      <c r="A8514" t="s">
        <v>9195</v>
      </c>
      <c r="B8514" t="s">
        <v>9196</v>
      </c>
      <c r="C8514" t="s">
        <v>1059</v>
      </c>
      <c r="D8514" t="s">
        <v>323</v>
      </c>
      <c r="E8514" t="s">
        <v>306</v>
      </c>
      <c r="F8514" t="s">
        <v>9213</v>
      </c>
      <c r="G8514">
        <v>0</v>
      </c>
      <c r="H8514">
        <v>0</v>
      </c>
      <c r="I8514">
        <v>0</v>
      </c>
      <c r="J8514">
        <v>0</v>
      </c>
      <c r="K8514">
        <v>0</v>
      </c>
      <c r="L8514">
        <v>0</v>
      </c>
      <c r="M8514">
        <v>0</v>
      </c>
      <c r="N8514">
        <v>0</v>
      </c>
      <c r="O8514">
        <v>0</v>
      </c>
    </row>
    <row r="8515" spans="1:15" x14ac:dyDescent="0.35">
      <c r="A8515" t="s">
        <v>9195</v>
      </c>
      <c r="B8515" t="s">
        <v>9196</v>
      </c>
      <c r="C8515" t="s">
        <v>1059</v>
      </c>
      <c r="D8515" t="s">
        <v>323</v>
      </c>
      <c r="E8515" t="s">
        <v>308</v>
      </c>
      <c r="F8515" t="s">
        <v>9214</v>
      </c>
      <c r="G8515">
        <v>0</v>
      </c>
      <c r="H8515">
        <v>0</v>
      </c>
      <c r="I8515">
        <v>0</v>
      </c>
      <c r="J8515">
        <v>0</v>
      </c>
      <c r="K8515">
        <v>0</v>
      </c>
      <c r="L8515">
        <v>0</v>
      </c>
      <c r="M8515">
        <v>0</v>
      </c>
      <c r="N8515">
        <v>0</v>
      </c>
      <c r="O8515">
        <v>0</v>
      </c>
    </row>
    <row r="8516" spans="1:15" x14ac:dyDescent="0.35">
      <c r="A8516" t="s">
        <v>9195</v>
      </c>
      <c r="B8516" t="s">
        <v>9196</v>
      </c>
      <c r="C8516" t="s">
        <v>1059</v>
      </c>
      <c r="D8516" t="s">
        <v>323</v>
      </c>
      <c r="E8516" t="s">
        <v>310</v>
      </c>
      <c r="F8516" t="s">
        <v>9215</v>
      </c>
      <c r="G8516">
        <v>3125</v>
      </c>
      <c r="H8516">
        <v>354888.10000000003</v>
      </c>
      <c r="I8516">
        <v>113.56</v>
      </c>
      <c r="J8516">
        <v>0</v>
      </c>
      <c r="K8516">
        <v>0</v>
      </c>
      <c r="L8516">
        <v>0</v>
      </c>
      <c r="M8516">
        <v>3125</v>
      </c>
      <c r="N8516">
        <v>354888.10000000003</v>
      </c>
      <c r="O8516">
        <v>113.56</v>
      </c>
    </row>
    <row r="8517" spans="1:15" x14ac:dyDescent="0.35">
      <c r="A8517" t="s">
        <v>9195</v>
      </c>
      <c r="B8517" t="s">
        <v>9196</v>
      </c>
      <c r="C8517" t="s">
        <v>1059</v>
      </c>
      <c r="D8517" t="s">
        <v>323</v>
      </c>
      <c r="E8517" t="s">
        <v>312</v>
      </c>
      <c r="F8517" t="s">
        <v>9216</v>
      </c>
      <c r="G8517">
        <v>3125</v>
      </c>
      <c r="H8517">
        <v>354888.10000000003</v>
      </c>
      <c r="I8517">
        <v>113.56</v>
      </c>
      <c r="J8517">
        <v>0</v>
      </c>
      <c r="K8517">
        <v>0</v>
      </c>
      <c r="L8517">
        <v>0</v>
      </c>
      <c r="M8517">
        <v>3125</v>
      </c>
      <c r="N8517">
        <v>354888.10000000003</v>
      </c>
      <c r="O8517">
        <v>113.56</v>
      </c>
    </row>
    <row r="8518" spans="1:15" x14ac:dyDescent="0.35">
      <c r="A8518" t="s">
        <v>9195</v>
      </c>
      <c r="B8518" t="s">
        <v>9196</v>
      </c>
      <c r="C8518" t="s">
        <v>1059</v>
      </c>
      <c r="D8518" t="s">
        <v>334</v>
      </c>
      <c r="E8518" t="s">
        <v>312</v>
      </c>
      <c r="F8518" t="s">
        <v>9217</v>
      </c>
      <c r="G8518">
        <v>3542</v>
      </c>
      <c r="H8518">
        <v>408605.59</v>
      </c>
      <c r="I8518">
        <v>116.91</v>
      </c>
      <c r="J8518">
        <v>0</v>
      </c>
      <c r="K8518">
        <v>0</v>
      </c>
      <c r="L8518">
        <v>0</v>
      </c>
      <c r="M8518">
        <v>3542</v>
      </c>
      <c r="N8518">
        <v>408605.59</v>
      </c>
      <c r="O8518">
        <v>116.91</v>
      </c>
    </row>
    <row r="8519" spans="1:15" x14ac:dyDescent="0.35">
      <c r="A8519" t="s">
        <v>9195</v>
      </c>
      <c r="B8519" t="s">
        <v>9196</v>
      </c>
      <c r="C8519" t="s">
        <v>1059</v>
      </c>
      <c r="D8519" t="s">
        <v>334</v>
      </c>
      <c r="E8519" t="s">
        <v>308</v>
      </c>
      <c r="F8519" t="s">
        <v>9218</v>
      </c>
      <c r="G8519">
        <v>0</v>
      </c>
      <c r="H8519">
        <v>0</v>
      </c>
      <c r="I8519">
        <v>0</v>
      </c>
      <c r="J8519">
        <v>0</v>
      </c>
      <c r="K8519">
        <v>0</v>
      </c>
      <c r="L8519">
        <v>0</v>
      </c>
      <c r="M8519">
        <v>0</v>
      </c>
      <c r="N8519">
        <v>0</v>
      </c>
      <c r="O8519">
        <v>0</v>
      </c>
    </row>
    <row r="8520" spans="1:15" x14ac:dyDescent="0.35">
      <c r="A8520" t="s">
        <v>9195</v>
      </c>
      <c r="B8520" t="s">
        <v>9196</v>
      </c>
      <c r="C8520" t="s">
        <v>1059</v>
      </c>
      <c r="D8520" t="s">
        <v>337</v>
      </c>
      <c r="E8520" t="s">
        <v>337</v>
      </c>
      <c r="F8520" t="s">
        <v>9219</v>
      </c>
      <c r="G8520">
        <v>437</v>
      </c>
      <c r="J8520">
        <v>0</v>
      </c>
      <c r="M8520">
        <v>437</v>
      </c>
    </row>
    <row r="8521" spans="1:15" x14ac:dyDescent="0.35">
      <c r="A8521" t="s">
        <v>9195</v>
      </c>
      <c r="B8521" t="s">
        <v>9196</v>
      </c>
      <c r="C8521" t="s">
        <v>1059</v>
      </c>
      <c r="D8521" t="s">
        <v>339</v>
      </c>
      <c r="E8521" t="s">
        <v>294</v>
      </c>
      <c r="F8521" t="s">
        <v>9220</v>
      </c>
      <c r="G8521">
        <v>884</v>
      </c>
      <c r="H8521">
        <v>91831.410000000018</v>
      </c>
      <c r="I8521">
        <v>103.88</v>
      </c>
      <c r="J8521">
        <v>0</v>
      </c>
      <c r="K8521">
        <v>0</v>
      </c>
      <c r="L8521">
        <v>0</v>
      </c>
      <c r="M8521">
        <v>884</v>
      </c>
      <c r="N8521">
        <v>91831.410000000018</v>
      </c>
      <c r="O8521">
        <v>103.88</v>
      </c>
    </row>
    <row r="8522" spans="1:15" x14ac:dyDescent="0.35">
      <c r="A8522" t="s">
        <v>9195</v>
      </c>
      <c r="B8522" t="s">
        <v>9196</v>
      </c>
      <c r="C8522" t="s">
        <v>1059</v>
      </c>
      <c r="D8522" t="s">
        <v>339</v>
      </c>
      <c r="E8522" t="s">
        <v>296</v>
      </c>
      <c r="F8522" t="s">
        <v>9221</v>
      </c>
      <c r="G8522">
        <v>83</v>
      </c>
      <c r="H8522">
        <v>9824.7099999999991</v>
      </c>
      <c r="I8522">
        <v>118.37</v>
      </c>
      <c r="J8522">
        <v>0</v>
      </c>
      <c r="K8522">
        <v>0</v>
      </c>
      <c r="L8522">
        <v>0</v>
      </c>
      <c r="M8522">
        <v>83</v>
      </c>
      <c r="N8522">
        <v>9824.7099999999991</v>
      </c>
      <c r="O8522">
        <v>118.37</v>
      </c>
    </row>
    <row r="8523" spans="1:15" x14ac:dyDescent="0.35">
      <c r="A8523" t="s">
        <v>9195</v>
      </c>
      <c r="B8523" t="s">
        <v>9196</v>
      </c>
      <c r="C8523" t="s">
        <v>1059</v>
      </c>
      <c r="D8523" t="s">
        <v>339</v>
      </c>
      <c r="E8523" t="s">
        <v>298</v>
      </c>
      <c r="F8523" t="s">
        <v>9222</v>
      </c>
      <c r="G8523">
        <v>4</v>
      </c>
      <c r="H8523">
        <v>531.88</v>
      </c>
      <c r="I8523">
        <v>132.97</v>
      </c>
      <c r="J8523">
        <v>0</v>
      </c>
      <c r="K8523">
        <v>0</v>
      </c>
      <c r="L8523">
        <v>0</v>
      </c>
      <c r="M8523">
        <v>4</v>
      </c>
      <c r="N8523">
        <v>531.88</v>
      </c>
      <c r="O8523">
        <v>132.97</v>
      </c>
    </row>
    <row r="8524" spans="1:15" x14ac:dyDescent="0.35">
      <c r="A8524" t="s">
        <v>9195</v>
      </c>
      <c r="B8524" t="s">
        <v>9196</v>
      </c>
      <c r="C8524" t="s">
        <v>1059</v>
      </c>
      <c r="D8524" t="s">
        <v>339</v>
      </c>
      <c r="E8524" t="s">
        <v>300</v>
      </c>
      <c r="F8524" t="s">
        <v>9223</v>
      </c>
      <c r="G8524">
        <v>0</v>
      </c>
      <c r="H8524">
        <v>0</v>
      </c>
      <c r="I8524">
        <v>0</v>
      </c>
      <c r="J8524">
        <v>0</v>
      </c>
      <c r="K8524">
        <v>0</v>
      </c>
      <c r="L8524">
        <v>0</v>
      </c>
      <c r="M8524">
        <v>0</v>
      </c>
      <c r="N8524">
        <v>0</v>
      </c>
      <c r="O8524">
        <v>0</v>
      </c>
    </row>
    <row r="8525" spans="1:15" x14ac:dyDescent="0.35">
      <c r="A8525" t="s">
        <v>9195</v>
      </c>
      <c r="B8525" t="s">
        <v>9196</v>
      </c>
      <c r="C8525" t="s">
        <v>1059</v>
      </c>
      <c r="D8525" t="s">
        <v>339</v>
      </c>
      <c r="E8525" t="s">
        <v>306</v>
      </c>
      <c r="F8525" t="s">
        <v>9224</v>
      </c>
      <c r="G8525">
        <v>37</v>
      </c>
      <c r="H8525">
        <v>3425.59</v>
      </c>
      <c r="I8525">
        <v>92.58</v>
      </c>
      <c r="J8525">
        <v>0</v>
      </c>
      <c r="K8525">
        <v>0</v>
      </c>
      <c r="L8525">
        <v>0</v>
      </c>
      <c r="M8525">
        <v>37</v>
      </c>
      <c r="N8525">
        <v>3425.59</v>
      </c>
      <c r="O8525">
        <v>92.58</v>
      </c>
    </row>
    <row r="8526" spans="1:15" x14ac:dyDescent="0.35">
      <c r="A8526" t="s">
        <v>9195</v>
      </c>
      <c r="B8526" t="s">
        <v>9196</v>
      </c>
      <c r="C8526" t="s">
        <v>1059</v>
      </c>
      <c r="D8526" t="s">
        <v>339</v>
      </c>
      <c r="E8526" t="s">
        <v>308</v>
      </c>
      <c r="F8526" t="s">
        <v>9225</v>
      </c>
      <c r="G8526">
        <v>37</v>
      </c>
      <c r="H8526">
        <v>4293.1799999999994</v>
      </c>
      <c r="I8526">
        <v>116.03</v>
      </c>
      <c r="J8526">
        <v>0</v>
      </c>
      <c r="K8526">
        <v>0</v>
      </c>
      <c r="L8526">
        <v>0</v>
      </c>
      <c r="M8526">
        <v>37</v>
      </c>
      <c r="N8526">
        <v>4293.1799999999994</v>
      </c>
      <c r="O8526">
        <v>116.03</v>
      </c>
    </row>
    <row r="8527" spans="1:15" x14ac:dyDescent="0.35">
      <c r="A8527" t="s">
        <v>9195</v>
      </c>
      <c r="B8527" t="s">
        <v>9196</v>
      </c>
      <c r="C8527" t="s">
        <v>1059</v>
      </c>
      <c r="D8527" t="s">
        <v>339</v>
      </c>
      <c r="E8527" t="s">
        <v>310</v>
      </c>
      <c r="F8527" t="s">
        <v>9226</v>
      </c>
      <c r="G8527">
        <v>1045</v>
      </c>
      <c r="H8527">
        <v>109906.77000000002</v>
      </c>
      <c r="I8527">
        <v>105.17</v>
      </c>
      <c r="J8527">
        <v>0</v>
      </c>
      <c r="K8527">
        <v>0</v>
      </c>
      <c r="L8527">
        <v>0</v>
      </c>
      <c r="M8527">
        <v>1045</v>
      </c>
      <c r="N8527">
        <v>109906.77000000002</v>
      </c>
      <c r="O8527">
        <v>105.17</v>
      </c>
    </row>
    <row r="8528" spans="1:15" x14ac:dyDescent="0.35">
      <c r="A8528" t="s">
        <v>9195</v>
      </c>
      <c r="B8528" t="s">
        <v>9196</v>
      </c>
      <c r="C8528" t="s">
        <v>1059</v>
      </c>
      <c r="D8528" t="s">
        <v>339</v>
      </c>
      <c r="E8528" t="s">
        <v>312</v>
      </c>
      <c r="F8528" t="s">
        <v>9227</v>
      </c>
      <c r="G8528">
        <v>1008</v>
      </c>
      <c r="H8528">
        <v>105613.59000000003</v>
      </c>
      <c r="I8528">
        <v>104.78</v>
      </c>
      <c r="J8528">
        <v>0</v>
      </c>
      <c r="K8528">
        <v>0</v>
      </c>
      <c r="L8528">
        <v>0</v>
      </c>
      <c r="M8528">
        <v>1008</v>
      </c>
      <c r="N8528">
        <v>105613.59000000003</v>
      </c>
      <c r="O8528">
        <v>104.78</v>
      </c>
    </row>
    <row r="8529" spans="1:15" x14ac:dyDescent="0.35">
      <c r="A8529" t="s">
        <v>9195</v>
      </c>
      <c r="B8529" t="s">
        <v>9196</v>
      </c>
      <c r="C8529" t="s">
        <v>1059</v>
      </c>
      <c r="D8529" t="s">
        <v>348</v>
      </c>
      <c r="E8529" t="s">
        <v>349</v>
      </c>
      <c r="F8529" t="s">
        <v>9228</v>
      </c>
      <c r="G8529">
        <v>1089</v>
      </c>
      <c r="H8529">
        <v>109906.77000000002</v>
      </c>
      <c r="I8529">
        <v>105.17</v>
      </c>
      <c r="J8529">
        <v>0</v>
      </c>
      <c r="K8529">
        <v>0</v>
      </c>
      <c r="L8529">
        <v>0</v>
      </c>
      <c r="M8529">
        <v>1089</v>
      </c>
      <c r="N8529">
        <v>109906.77000000002</v>
      </c>
      <c r="O8529">
        <v>105.17</v>
      </c>
    </row>
    <row r="8530" spans="1:15" x14ac:dyDescent="0.35">
      <c r="A8530" t="s">
        <v>9229</v>
      </c>
      <c r="B8530" t="s">
        <v>9230</v>
      </c>
      <c r="C8530" t="s">
        <v>1059</v>
      </c>
      <c r="D8530" t="s">
        <v>293</v>
      </c>
      <c r="E8530" t="s">
        <v>294</v>
      </c>
      <c r="F8530" t="s">
        <v>9231</v>
      </c>
      <c r="G8530">
        <v>59</v>
      </c>
      <c r="H8530">
        <v>6981.0900000000011</v>
      </c>
      <c r="I8530">
        <v>118.32</v>
      </c>
      <c r="J8530">
        <v>0</v>
      </c>
      <c r="K8530">
        <v>0</v>
      </c>
      <c r="L8530">
        <v>0</v>
      </c>
      <c r="M8530">
        <v>59</v>
      </c>
      <c r="N8530">
        <v>6981.0900000000011</v>
      </c>
      <c r="O8530">
        <v>118.32</v>
      </c>
    </row>
    <row r="8531" spans="1:15" x14ac:dyDescent="0.35">
      <c r="A8531" t="s">
        <v>9229</v>
      </c>
      <c r="B8531" t="s">
        <v>9230</v>
      </c>
      <c r="C8531" t="s">
        <v>1059</v>
      </c>
      <c r="D8531" t="s">
        <v>293</v>
      </c>
      <c r="E8531" t="s">
        <v>296</v>
      </c>
      <c r="F8531" t="s">
        <v>9232</v>
      </c>
      <c r="G8531">
        <v>224</v>
      </c>
      <c r="H8531">
        <v>32417.729999999996</v>
      </c>
      <c r="I8531">
        <v>144.72</v>
      </c>
      <c r="J8531">
        <v>0</v>
      </c>
      <c r="K8531">
        <v>0</v>
      </c>
      <c r="L8531">
        <v>0</v>
      </c>
      <c r="M8531">
        <v>224</v>
      </c>
      <c r="N8531">
        <v>32417.729999999996</v>
      </c>
      <c r="O8531">
        <v>144.72</v>
      </c>
    </row>
    <row r="8532" spans="1:15" x14ac:dyDescent="0.35">
      <c r="A8532" t="s">
        <v>9229</v>
      </c>
      <c r="B8532" t="s">
        <v>9230</v>
      </c>
      <c r="C8532" t="s">
        <v>1059</v>
      </c>
      <c r="D8532" t="s">
        <v>293</v>
      </c>
      <c r="E8532" t="s">
        <v>298</v>
      </c>
      <c r="F8532" t="s">
        <v>9233</v>
      </c>
      <c r="G8532">
        <v>162</v>
      </c>
      <c r="H8532">
        <v>26235.03</v>
      </c>
      <c r="I8532">
        <v>161.94</v>
      </c>
      <c r="J8532">
        <v>0</v>
      </c>
      <c r="K8532">
        <v>0</v>
      </c>
      <c r="L8532">
        <v>0</v>
      </c>
      <c r="M8532">
        <v>162</v>
      </c>
      <c r="N8532">
        <v>26235.03</v>
      </c>
      <c r="O8532">
        <v>161.94</v>
      </c>
    </row>
    <row r="8533" spans="1:15" x14ac:dyDescent="0.35">
      <c r="A8533" t="s">
        <v>9229</v>
      </c>
      <c r="B8533" t="s">
        <v>9230</v>
      </c>
      <c r="C8533" t="s">
        <v>1059</v>
      </c>
      <c r="D8533" t="s">
        <v>293</v>
      </c>
      <c r="E8533" t="s">
        <v>300</v>
      </c>
      <c r="F8533" t="s">
        <v>9234</v>
      </c>
      <c r="G8533">
        <v>9</v>
      </c>
      <c r="H8533">
        <v>1891.51</v>
      </c>
      <c r="I8533">
        <v>210.17</v>
      </c>
      <c r="J8533">
        <v>0</v>
      </c>
      <c r="K8533">
        <v>0</v>
      </c>
      <c r="L8533">
        <v>0</v>
      </c>
      <c r="M8533">
        <v>9</v>
      </c>
      <c r="N8533">
        <v>1891.51</v>
      </c>
      <c r="O8533">
        <v>210.17</v>
      </c>
    </row>
    <row r="8534" spans="1:15" x14ac:dyDescent="0.35">
      <c r="A8534" t="s">
        <v>9229</v>
      </c>
      <c r="B8534" t="s">
        <v>9230</v>
      </c>
      <c r="C8534" t="s">
        <v>1059</v>
      </c>
      <c r="D8534" t="s">
        <v>293</v>
      </c>
      <c r="E8534" t="s">
        <v>302</v>
      </c>
      <c r="F8534" t="s">
        <v>9235</v>
      </c>
      <c r="G8534">
        <v>0</v>
      </c>
      <c r="H8534">
        <v>0</v>
      </c>
      <c r="I8534">
        <v>0</v>
      </c>
      <c r="J8534">
        <v>0</v>
      </c>
      <c r="K8534">
        <v>0</v>
      </c>
      <c r="L8534">
        <v>0</v>
      </c>
      <c r="M8534">
        <v>0</v>
      </c>
      <c r="N8534">
        <v>0</v>
      </c>
      <c r="O8534">
        <v>0</v>
      </c>
    </row>
    <row r="8535" spans="1:15" x14ac:dyDescent="0.35">
      <c r="A8535" t="s">
        <v>9229</v>
      </c>
      <c r="B8535" t="s">
        <v>9230</v>
      </c>
      <c r="C8535" t="s">
        <v>1059</v>
      </c>
      <c r="D8535" t="s">
        <v>293</v>
      </c>
      <c r="E8535" t="s">
        <v>304</v>
      </c>
      <c r="F8535" t="s">
        <v>9236</v>
      </c>
      <c r="G8535">
        <v>0</v>
      </c>
      <c r="H8535">
        <v>0</v>
      </c>
      <c r="I8535">
        <v>0</v>
      </c>
      <c r="J8535">
        <v>0</v>
      </c>
      <c r="K8535">
        <v>0</v>
      </c>
      <c r="L8535">
        <v>0</v>
      </c>
      <c r="M8535">
        <v>0</v>
      </c>
      <c r="N8535">
        <v>0</v>
      </c>
      <c r="O8535">
        <v>0</v>
      </c>
    </row>
    <row r="8536" spans="1:15" x14ac:dyDescent="0.35">
      <c r="A8536" t="s">
        <v>9229</v>
      </c>
      <c r="B8536" t="s">
        <v>9230</v>
      </c>
      <c r="C8536" t="s">
        <v>1059</v>
      </c>
      <c r="D8536" t="s">
        <v>293</v>
      </c>
      <c r="E8536" t="s">
        <v>306</v>
      </c>
      <c r="F8536" t="s">
        <v>9237</v>
      </c>
      <c r="G8536">
        <v>0</v>
      </c>
      <c r="H8536">
        <v>0</v>
      </c>
      <c r="I8536">
        <v>0</v>
      </c>
      <c r="J8536">
        <v>0</v>
      </c>
      <c r="K8536">
        <v>0</v>
      </c>
      <c r="L8536">
        <v>0</v>
      </c>
      <c r="M8536">
        <v>0</v>
      </c>
      <c r="N8536">
        <v>0</v>
      </c>
      <c r="O8536">
        <v>0</v>
      </c>
    </row>
    <row r="8537" spans="1:15" x14ac:dyDescent="0.35">
      <c r="A8537" t="s">
        <v>9229</v>
      </c>
      <c r="B8537" t="s">
        <v>9230</v>
      </c>
      <c r="C8537" t="s">
        <v>1059</v>
      </c>
      <c r="D8537" t="s">
        <v>293</v>
      </c>
      <c r="E8537" t="s">
        <v>308</v>
      </c>
      <c r="F8537" t="s">
        <v>9238</v>
      </c>
      <c r="G8537">
        <v>0</v>
      </c>
      <c r="H8537">
        <v>0</v>
      </c>
      <c r="I8537">
        <v>0</v>
      </c>
      <c r="J8537">
        <v>0</v>
      </c>
      <c r="K8537">
        <v>0</v>
      </c>
      <c r="L8537">
        <v>0</v>
      </c>
      <c r="M8537">
        <v>0</v>
      </c>
      <c r="N8537">
        <v>0</v>
      </c>
      <c r="O8537">
        <v>0</v>
      </c>
    </row>
    <row r="8538" spans="1:15" x14ac:dyDescent="0.35">
      <c r="A8538" t="s">
        <v>9229</v>
      </c>
      <c r="B8538" t="s">
        <v>9230</v>
      </c>
      <c r="C8538" t="s">
        <v>1059</v>
      </c>
      <c r="D8538" t="s">
        <v>293</v>
      </c>
      <c r="E8538" t="s">
        <v>310</v>
      </c>
      <c r="F8538" t="s">
        <v>9239</v>
      </c>
      <c r="G8538">
        <v>454</v>
      </c>
      <c r="H8538">
        <v>67525.36</v>
      </c>
      <c r="I8538">
        <v>148.72999999999999</v>
      </c>
      <c r="J8538">
        <v>0</v>
      </c>
      <c r="K8538">
        <v>0</v>
      </c>
      <c r="L8538">
        <v>0</v>
      </c>
      <c r="M8538">
        <v>454</v>
      </c>
      <c r="N8538">
        <v>67525.36</v>
      </c>
      <c r="O8538">
        <v>148.72999999999999</v>
      </c>
    </row>
    <row r="8539" spans="1:15" x14ac:dyDescent="0.35">
      <c r="A8539" t="s">
        <v>9229</v>
      </c>
      <c r="B8539" t="s">
        <v>9230</v>
      </c>
      <c r="C8539" t="s">
        <v>1059</v>
      </c>
      <c r="D8539" t="s">
        <v>293</v>
      </c>
      <c r="E8539" t="s">
        <v>312</v>
      </c>
      <c r="F8539" t="s">
        <v>9240</v>
      </c>
      <c r="G8539">
        <v>454</v>
      </c>
      <c r="H8539">
        <v>67525.36</v>
      </c>
      <c r="I8539">
        <v>148.72999999999999</v>
      </c>
      <c r="J8539">
        <v>0</v>
      </c>
      <c r="K8539">
        <v>0</v>
      </c>
      <c r="L8539">
        <v>0</v>
      </c>
      <c r="M8539">
        <v>454</v>
      </c>
      <c r="N8539">
        <v>67525.36</v>
      </c>
      <c r="O8539">
        <v>148.72999999999999</v>
      </c>
    </row>
    <row r="8540" spans="1:15" x14ac:dyDescent="0.35">
      <c r="A8540" t="s">
        <v>9229</v>
      </c>
      <c r="B8540" t="s">
        <v>9230</v>
      </c>
      <c r="C8540" t="s">
        <v>1059</v>
      </c>
      <c r="D8540" t="s">
        <v>314</v>
      </c>
      <c r="E8540" t="s">
        <v>294</v>
      </c>
      <c r="F8540" t="s">
        <v>9241</v>
      </c>
      <c r="G8540">
        <v>24</v>
      </c>
      <c r="H8540">
        <v>5802.24</v>
      </c>
      <c r="I8540">
        <v>241.76</v>
      </c>
      <c r="J8540">
        <v>0</v>
      </c>
      <c r="K8540">
        <v>0</v>
      </c>
      <c r="L8540">
        <v>0</v>
      </c>
      <c r="M8540">
        <v>24</v>
      </c>
      <c r="N8540">
        <v>5802.24</v>
      </c>
      <c r="O8540">
        <v>241.76</v>
      </c>
    </row>
    <row r="8541" spans="1:15" x14ac:dyDescent="0.35">
      <c r="A8541" t="s">
        <v>9229</v>
      </c>
      <c r="B8541" t="s">
        <v>9230</v>
      </c>
      <c r="C8541" t="s">
        <v>1059</v>
      </c>
      <c r="D8541" t="s">
        <v>314</v>
      </c>
      <c r="E8541" t="s">
        <v>296</v>
      </c>
      <c r="F8541" t="s">
        <v>9242</v>
      </c>
      <c r="G8541">
        <v>36</v>
      </c>
      <c r="H8541">
        <v>7912.8</v>
      </c>
      <c r="I8541">
        <v>219.8</v>
      </c>
      <c r="J8541">
        <v>0</v>
      </c>
      <c r="K8541">
        <v>0</v>
      </c>
      <c r="L8541">
        <v>0</v>
      </c>
      <c r="M8541">
        <v>36</v>
      </c>
      <c r="N8541">
        <v>7912.8</v>
      </c>
      <c r="O8541">
        <v>219.8</v>
      </c>
    </row>
    <row r="8542" spans="1:15" x14ac:dyDescent="0.35">
      <c r="A8542" t="s">
        <v>9229</v>
      </c>
      <c r="B8542" t="s">
        <v>9230</v>
      </c>
      <c r="C8542" t="s">
        <v>1059</v>
      </c>
      <c r="D8542" t="s">
        <v>314</v>
      </c>
      <c r="E8542" t="s">
        <v>298</v>
      </c>
      <c r="F8542" t="s">
        <v>9243</v>
      </c>
      <c r="G8542">
        <v>0</v>
      </c>
      <c r="H8542">
        <v>0</v>
      </c>
      <c r="I8542">
        <v>0</v>
      </c>
      <c r="J8542">
        <v>0</v>
      </c>
      <c r="K8542">
        <v>0</v>
      </c>
      <c r="L8542">
        <v>0</v>
      </c>
      <c r="M8542">
        <v>0</v>
      </c>
      <c r="N8542">
        <v>0</v>
      </c>
      <c r="O8542">
        <v>0</v>
      </c>
    </row>
    <row r="8543" spans="1:15" x14ac:dyDescent="0.35">
      <c r="A8543" t="s">
        <v>9229</v>
      </c>
      <c r="B8543" t="s">
        <v>9230</v>
      </c>
      <c r="C8543" t="s">
        <v>1059</v>
      </c>
      <c r="D8543" t="s">
        <v>314</v>
      </c>
      <c r="E8543" t="s">
        <v>300</v>
      </c>
      <c r="F8543" t="s">
        <v>9244</v>
      </c>
      <c r="G8543">
        <v>0</v>
      </c>
      <c r="H8543">
        <v>0</v>
      </c>
      <c r="I8543">
        <v>0</v>
      </c>
      <c r="J8543">
        <v>0</v>
      </c>
      <c r="K8543">
        <v>0</v>
      </c>
      <c r="L8543">
        <v>0</v>
      </c>
      <c r="M8543">
        <v>0</v>
      </c>
      <c r="N8543">
        <v>0</v>
      </c>
      <c r="O8543">
        <v>0</v>
      </c>
    </row>
    <row r="8544" spans="1:15" x14ac:dyDescent="0.35">
      <c r="A8544" t="s">
        <v>9229</v>
      </c>
      <c r="B8544" t="s">
        <v>9230</v>
      </c>
      <c r="C8544" t="s">
        <v>1059</v>
      </c>
      <c r="D8544" t="s">
        <v>314</v>
      </c>
      <c r="E8544" t="s">
        <v>306</v>
      </c>
      <c r="F8544" t="s">
        <v>9245</v>
      </c>
      <c r="G8544">
        <v>0</v>
      </c>
      <c r="H8544">
        <v>0</v>
      </c>
      <c r="I8544">
        <v>0</v>
      </c>
      <c r="J8544">
        <v>0</v>
      </c>
      <c r="K8544">
        <v>0</v>
      </c>
      <c r="L8544">
        <v>0</v>
      </c>
      <c r="M8544">
        <v>0</v>
      </c>
      <c r="N8544">
        <v>0</v>
      </c>
      <c r="O8544">
        <v>0</v>
      </c>
    </row>
    <row r="8545" spans="1:15" x14ac:dyDescent="0.35">
      <c r="A8545" t="s">
        <v>9229</v>
      </c>
      <c r="B8545" t="s">
        <v>9230</v>
      </c>
      <c r="C8545" t="s">
        <v>1059</v>
      </c>
      <c r="D8545" t="s">
        <v>314</v>
      </c>
      <c r="E8545" t="s">
        <v>308</v>
      </c>
      <c r="F8545" t="s">
        <v>9246</v>
      </c>
      <c r="G8545">
        <v>0</v>
      </c>
      <c r="H8545">
        <v>0</v>
      </c>
      <c r="I8545">
        <v>0</v>
      </c>
      <c r="J8545">
        <v>0</v>
      </c>
      <c r="K8545">
        <v>0</v>
      </c>
      <c r="L8545">
        <v>0</v>
      </c>
      <c r="M8545">
        <v>0</v>
      </c>
      <c r="N8545">
        <v>0</v>
      </c>
      <c r="O8545">
        <v>0</v>
      </c>
    </row>
    <row r="8546" spans="1:15" x14ac:dyDescent="0.35">
      <c r="A8546" t="s">
        <v>9229</v>
      </c>
      <c r="B8546" t="s">
        <v>9230</v>
      </c>
      <c r="C8546" t="s">
        <v>1059</v>
      </c>
      <c r="D8546" t="s">
        <v>314</v>
      </c>
      <c r="E8546" t="s">
        <v>312</v>
      </c>
      <c r="F8546" t="s">
        <v>9247</v>
      </c>
      <c r="G8546">
        <v>60</v>
      </c>
      <c r="H8546">
        <v>13715.04</v>
      </c>
      <c r="I8546">
        <v>228.58</v>
      </c>
      <c r="J8546">
        <v>0</v>
      </c>
      <c r="K8546">
        <v>0</v>
      </c>
      <c r="L8546">
        <v>0</v>
      </c>
      <c r="M8546">
        <v>60</v>
      </c>
      <c r="N8546">
        <v>13715.04</v>
      </c>
      <c r="O8546">
        <v>228.58</v>
      </c>
    </row>
    <row r="8547" spans="1:15" x14ac:dyDescent="0.35">
      <c r="A8547" t="s">
        <v>9229</v>
      </c>
      <c r="B8547" t="s">
        <v>9230</v>
      </c>
      <c r="C8547" t="s">
        <v>1059</v>
      </c>
      <c r="D8547" t="s">
        <v>314</v>
      </c>
      <c r="E8547" t="s">
        <v>310</v>
      </c>
      <c r="F8547" t="s">
        <v>9248</v>
      </c>
      <c r="G8547">
        <v>60</v>
      </c>
      <c r="H8547">
        <v>13715.04</v>
      </c>
      <c r="I8547">
        <v>228.58</v>
      </c>
      <c r="J8547">
        <v>0</v>
      </c>
      <c r="K8547">
        <v>0</v>
      </c>
      <c r="L8547">
        <v>0</v>
      </c>
      <c r="M8547">
        <v>60</v>
      </c>
      <c r="N8547">
        <v>13715.04</v>
      </c>
      <c r="O8547">
        <v>228.58</v>
      </c>
    </row>
    <row r="8548" spans="1:15" x14ac:dyDescent="0.35">
      <c r="A8548" t="s">
        <v>9229</v>
      </c>
      <c r="B8548" t="s">
        <v>9230</v>
      </c>
      <c r="C8548" t="s">
        <v>1059</v>
      </c>
      <c r="D8548" t="s">
        <v>323</v>
      </c>
      <c r="E8548" t="s">
        <v>294</v>
      </c>
      <c r="F8548" t="s">
        <v>9249</v>
      </c>
      <c r="G8548">
        <v>979</v>
      </c>
      <c r="H8548">
        <v>100383.85999999999</v>
      </c>
      <c r="I8548">
        <v>102.54</v>
      </c>
      <c r="J8548">
        <v>0</v>
      </c>
      <c r="K8548">
        <v>0</v>
      </c>
      <c r="L8548">
        <v>0</v>
      </c>
      <c r="M8548">
        <v>979</v>
      </c>
      <c r="N8548">
        <v>100383.85999999999</v>
      </c>
      <c r="O8548">
        <v>102.54</v>
      </c>
    </row>
    <row r="8549" spans="1:15" x14ac:dyDescent="0.35">
      <c r="A8549" t="s">
        <v>9229</v>
      </c>
      <c r="B8549" t="s">
        <v>9230</v>
      </c>
      <c r="C8549" t="s">
        <v>1059</v>
      </c>
      <c r="D8549" t="s">
        <v>323</v>
      </c>
      <c r="E8549" t="s">
        <v>296</v>
      </c>
      <c r="F8549" t="s">
        <v>9250</v>
      </c>
      <c r="G8549">
        <v>1843</v>
      </c>
      <c r="H8549">
        <v>216311.89</v>
      </c>
      <c r="I8549">
        <v>117.37</v>
      </c>
      <c r="J8549">
        <v>0</v>
      </c>
      <c r="K8549">
        <v>0</v>
      </c>
      <c r="L8549">
        <v>0</v>
      </c>
      <c r="M8549">
        <v>1843</v>
      </c>
      <c r="N8549">
        <v>216311.89</v>
      </c>
      <c r="O8549">
        <v>117.37</v>
      </c>
    </row>
    <row r="8550" spans="1:15" x14ac:dyDescent="0.35">
      <c r="A8550" t="s">
        <v>9229</v>
      </c>
      <c r="B8550" t="s">
        <v>9230</v>
      </c>
      <c r="C8550" t="s">
        <v>1059</v>
      </c>
      <c r="D8550" t="s">
        <v>323</v>
      </c>
      <c r="E8550" t="s">
        <v>298</v>
      </c>
      <c r="F8550" t="s">
        <v>9251</v>
      </c>
      <c r="G8550">
        <v>1463</v>
      </c>
      <c r="H8550">
        <v>193782.14999999997</v>
      </c>
      <c r="I8550">
        <v>132.46</v>
      </c>
      <c r="J8550">
        <v>0</v>
      </c>
      <c r="K8550">
        <v>0</v>
      </c>
      <c r="L8550">
        <v>0</v>
      </c>
      <c r="M8550">
        <v>1463</v>
      </c>
      <c r="N8550">
        <v>193782.14999999997</v>
      </c>
      <c r="O8550">
        <v>132.46</v>
      </c>
    </row>
    <row r="8551" spans="1:15" x14ac:dyDescent="0.35">
      <c r="A8551" t="s">
        <v>9229</v>
      </c>
      <c r="B8551" t="s">
        <v>9230</v>
      </c>
      <c r="C8551" t="s">
        <v>1059</v>
      </c>
      <c r="D8551" t="s">
        <v>323</v>
      </c>
      <c r="E8551" t="s">
        <v>300</v>
      </c>
      <c r="F8551" t="s">
        <v>9252</v>
      </c>
      <c r="G8551">
        <v>99</v>
      </c>
      <c r="H8551">
        <v>14705.75</v>
      </c>
      <c r="I8551">
        <v>148.54</v>
      </c>
      <c r="J8551">
        <v>0</v>
      </c>
      <c r="K8551">
        <v>0</v>
      </c>
      <c r="L8551">
        <v>0</v>
      </c>
      <c r="M8551">
        <v>99</v>
      </c>
      <c r="N8551">
        <v>14705.75</v>
      </c>
      <c r="O8551">
        <v>148.54</v>
      </c>
    </row>
    <row r="8552" spans="1:15" x14ac:dyDescent="0.35">
      <c r="A8552" t="s">
        <v>9229</v>
      </c>
      <c r="B8552" t="s">
        <v>9230</v>
      </c>
      <c r="C8552" t="s">
        <v>1059</v>
      </c>
      <c r="D8552" t="s">
        <v>323</v>
      </c>
      <c r="E8552" t="s">
        <v>302</v>
      </c>
      <c r="F8552" t="s">
        <v>9253</v>
      </c>
      <c r="G8552">
        <v>0</v>
      </c>
      <c r="H8552">
        <v>0</v>
      </c>
      <c r="I8552">
        <v>0</v>
      </c>
      <c r="J8552">
        <v>0</v>
      </c>
      <c r="K8552">
        <v>0</v>
      </c>
      <c r="L8552">
        <v>0</v>
      </c>
      <c r="M8552">
        <v>0</v>
      </c>
      <c r="N8552">
        <v>0</v>
      </c>
      <c r="O8552">
        <v>0</v>
      </c>
    </row>
    <row r="8553" spans="1:15" x14ac:dyDescent="0.35">
      <c r="A8553" t="s">
        <v>9229</v>
      </c>
      <c r="B8553" t="s">
        <v>9230</v>
      </c>
      <c r="C8553" t="s">
        <v>1059</v>
      </c>
      <c r="D8553" t="s">
        <v>323</v>
      </c>
      <c r="E8553" t="s">
        <v>304</v>
      </c>
      <c r="F8553" t="s">
        <v>9254</v>
      </c>
      <c r="G8553">
        <v>0</v>
      </c>
      <c r="H8553">
        <v>0</v>
      </c>
      <c r="I8553">
        <v>0</v>
      </c>
      <c r="J8553">
        <v>0</v>
      </c>
      <c r="K8553">
        <v>0</v>
      </c>
      <c r="L8553">
        <v>0</v>
      </c>
      <c r="M8553">
        <v>0</v>
      </c>
      <c r="N8553">
        <v>0</v>
      </c>
      <c r="O8553">
        <v>0</v>
      </c>
    </row>
    <row r="8554" spans="1:15" x14ac:dyDescent="0.35">
      <c r="A8554" t="s">
        <v>9229</v>
      </c>
      <c r="B8554" t="s">
        <v>9230</v>
      </c>
      <c r="C8554" t="s">
        <v>1059</v>
      </c>
      <c r="D8554" t="s">
        <v>323</v>
      </c>
      <c r="E8554" t="s">
        <v>306</v>
      </c>
      <c r="F8554" t="s">
        <v>9255</v>
      </c>
      <c r="G8554">
        <v>13</v>
      </c>
      <c r="H8554">
        <v>1060.67</v>
      </c>
      <c r="I8554">
        <v>81.59</v>
      </c>
      <c r="J8554">
        <v>0</v>
      </c>
      <c r="K8554">
        <v>0</v>
      </c>
      <c r="L8554">
        <v>0</v>
      </c>
      <c r="M8554">
        <v>13</v>
      </c>
      <c r="N8554">
        <v>1060.67</v>
      </c>
      <c r="O8554">
        <v>81.59</v>
      </c>
    </row>
    <row r="8555" spans="1:15" x14ac:dyDescent="0.35">
      <c r="A8555" t="s">
        <v>9229</v>
      </c>
      <c r="B8555" t="s">
        <v>9230</v>
      </c>
      <c r="C8555" t="s">
        <v>1059</v>
      </c>
      <c r="D8555" t="s">
        <v>323</v>
      </c>
      <c r="E8555" t="s">
        <v>308</v>
      </c>
      <c r="F8555" t="s">
        <v>9256</v>
      </c>
      <c r="G8555">
        <v>0</v>
      </c>
      <c r="H8555">
        <v>0</v>
      </c>
      <c r="I8555">
        <v>0</v>
      </c>
      <c r="J8555">
        <v>0</v>
      </c>
      <c r="K8555">
        <v>0</v>
      </c>
      <c r="L8555">
        <v>0</v>
      </c>
      <c r="M8555">
        <v>0</v>
      </c>
      <c r="N8555">
        <v>0</v>
      </c>
      <c r="O8555">
        <v>0</v>
      </c>
    </row>
    <row r="8556" spans="1:15" x14ac:dyDescent="0.35">
      <c r="A8556" t="s">
        <v>9229</v>
      </c>
      <c r="B8556" t="s">
        <v>9230</v>
      </c>
      <c r="C8556" t="s">
        <v>1059</v>
      </c>
      <c r="D8556" t="s">
        <v>323</v>
      </c>
      <c r="E8556" t="s">
        <v>310</v>
      </c>
      <c r="F8556" t="s">
        <v>9257</v>
      </c>
      <c r="G8556">
        <v>4397</v>
      </c>
      <c r="H8556">
        <v>526244.31999999995</v>
      </c>
      <c r="I8556">
        <v>119.68</v>
      </c>
      <c r="J8556">
        <v>0</v>
      </c>
      <c r="K8556">
        <v>0</v>
      </c>
      <c r="L8556">
        <v>0</v>
      </c>
      <c r="M8556">
        <v>4397</v>
      </c>
      <c r="N8556">
        <v>526244.31999999995</v>
      </c>
      <c r="O8556">
        <v>119.68</v>
      </c>
    </row>
    <row r="8557" spans="1:15" x14ac:dyDescent="0.35">
      <c r="A8557" t="s">
        <v>9229</v>
      </c>
      <c r="B8557" t="s">
        <v>9230</v>
      </c>
      <c r="C8557" t="s">
        <v>1059</v>
      </c>
      <c r="D8557" t="s">
        <v>323</v>
      </c>
      <c r="E8557" t="s">
        <v>312</v>
      </c>
      <c r="F8557" t="s">
        <v>9258</v>
      </c>
      <c r="G8557">
        <v>4397</v>
      </c>
      <c r="H8557">
        <v>526244.31999999995</v>
      </c>
      <c r="I8557">
        <v>119.68</v>
      </c>
      <c r="J8557">
        <v>0</v>
      </c>
      <c r="K8557">
        <v>0</v>
      </c>
      <c r="L8557">
        <v>0</v>
      </c>
      <c r="M8557">
        <v>4397</v>
      </c>
      <c r="N8557">
        <v>526244.31999999995</v>
      </c>
      <c r="O8557">
        <v>119.68</v>
      </c>
    </row>
    <row r="8558" spans="1:15" x14ac:dyDescent="0.35">
      <c r="A8558" t="s">
        <v>9229</v>
      </c>
      <c r="B8558" t="s">
        <v>9230</v>
      </c>
      <c r="C8558" t="s">
        <v>1059</v>
      </c>
      <c r="D8558" t="s">
        <v>334</v>
      </c>
      <c r="E8558" t="s">
        <v>312</v>
      </c>
      <c r="F8558" t="s">
        <v>9259</v>
      </c>
      <c r="G8558">
        <v>4922</v>
      </c>
      <c r="H8558">
        <v>593769.68000000005</v>
      </c>
      <c r="I8558">
        <v>122.4</v>
      </c>
      <c r="J8558">
        <v>0</v>
      </c>
      <c r="K8558">
        <v>0</v>
      </c>
      <c r="L8558">
        <v>0</v>
      </c>
      <c r="M8558">
        <v>4922</v>
      </c>
      <c r="N8558">
        <v>593769.68000000005</v>
      </c>
      <c r="O8558">
        <v>122.4</v>
      </c>
    </row>
    <row r="8559" spans="1:15" x14ac:dyDescent="0.35">
      <c r="A8559" t="s">
        <v>9229</v>
      </c>
      <c r="B8559" t="s">
        <v>9230</v>
      </c>
      <c r="C8559" t="s">
        <v>1059</v>
      </c>
      <c r="D8559" t="s">
        <v>334</v>
      </c>
      <c r="E8559" t="s">
        <v>308</v>
      </c>
      <c r="F8559" t="s">
        <v>9260</v>
      </c>
      <c r="G8559">
        <v>0</v>
      </c>
      <c r="H8559">
        <v>0</v>
      </c>
      <c r="I8559">
        <v>0</v>
      </c>
      <c r="J8559">
        <v>0</v>
      </c>
      <c r="K8559">
        <v>0</v>
      </c>
      <c r="L8559">
        <v>0</v>
      </c>
      <c r="M8559">
        <v>0</v>
      </c>
      <c r="N8559">
        <v>0</v>
      </c>
      <c r="O8559">
        <v>0</v>
      </c>
    </row>
    <row r="8560" spans="1:15" x14ac:dyDescent="0.35">
      <c r="A8560" t="s">
        <v>9229</v>
      </c>
      <c r="B8560" t="s">
        <v>9230</v>
      </c>
      <c r="C8560" t="s">
        <v>1059</v>
      </c>
      <c r="D8560" t="s">
        <v>337</v>
      </c>
      <c r="E8560" t="s">
        <v>337</v>
      </c>
      <c r="F8560" t="s">
        <v>9261</v>
      </c>
      <c r="G8560">
        <v>640</v>
      </c>
      <c r="J8560">
        <v>0</v>
      </c>
      <c r="M8560">
        <v>640</v>
      </c>
    </row>
    <row r="8561" spans="1:15" x14ac:dyDescent="0.35">
      <c r="A8561" t="s">
        <v>9229</v>
      </c>
      <c r="B8561" t="s">
        <v>9230</v>
      </c>
      <c r="C8561" t="s">
        <v>1059</v>
      </c>
      <c r="D8561" t="s">
        <v>339</v>
      </c>
      <c r="E8561" t="s">
        <v>294</v>
      </c>
      <c r="F8561" t="s">
        <v>9262</v>
      </c>
      <c r="G8561">
        <v>439</v>
      </c>
      <c r="H8561">
        <v>48523.670000000006</v>
      </c>
      <c r="I8561">
        <v>110.53</v>
      </c>
      <c r="J8561">
        <v>0</v>
      </c>
      <c r="K8561">
        <v>0</v>
      </c>
      <c r="L8561">
        <v>0</v>
      </c>
      <c r="M8561">
        <v>439</v>
      </c>
      <c r="N8561">
        <v>48523.670000000006</v>
      </c>
      <c r="O8561">
        <v>110.53</v>
      </c>
    </row>
    <row r="8562" spans="1:15" x14ac:dyDescent="0.35">
      <c r="A8562" t="s">
        <v>9229</v>
      </c>
      <c r="B8562" t="s">
        <v>9230</v>
      </c>
      <c r="C8562" t="s">
        <v>1059</v>
      </c>
      <c r="D8562" t="s">
        <v>339</v>
      </c>
      <c r="E8562" t="s">
        <v>296</v>
      </c>
      <c r="F8562" t="s">
        <v>9263</v>
      </c>
      <c r="G8562">
        <v>106</v>
      </c>
      <c r="H8562">
        <v>13872.779999999999</v>
      </c>
      <c r="I8562">
        <v>130.88</v>
      </c>
      <c r="J8562">
        <v>0</v>
      </c>
      <c r="K8562">
        <v>0</v>
      </c>
      <c r="L8562">
        <v>0</v>
      </c>
      <c r="M8562">
        <v>106</v>
      </c>
      <c r="N8562">
        <v>13872.779999999999</v>
      </c>
      <c r="O8562">
        <v>130.88</v>
      </c>
    </row>
    <row r="8563" spans="1:15" x14ac:dyDescent="0.35">
      <c r="A8563" t="s">
        <v>9229</v>
      </c>
      <c r="B8563" t="s">
        <v>9230</v>
      </c>
      <c r="C8563" t="s">
        <v>1059</v>
      </c>
      <c r="D8563" t="s">
        <v>339</v>
      </c>
      <c r="E8563" t="s">
        <v>298</v>
      </c>
      <c r="F8563" t="s">
        <v>9264</v>
      </c>
      <c r="G8563">
        <v>0</v>
      </c>
      <c r="H8563">
        <v>0</v>
      </c>
      <c r="I8563">
        <v>0</v>
      </c>
      <c r="J8563">
        <v>0</v>
      </c>
      <c r="K8563">
        <v>0</v>
      </c>
      <c r="L8563">
        <v>0</v>
      </c>
      <c r="M8563">
        <v>0</v>
      </c>
      <c r="N8563">
        <v>0</v>
      </c>
      <c r="O8563">
        <v>0</v>
      </c>
    </row>
    <row r="8564" spans="1:15" x14ac:dyDescent="0.35">
      <c r="A8564" t="s">
        <v>9229</v>
      </c>
      <c r="B8564" t="s">
        <v>9230</v>
      </c>
      <c r="C8564" t="s">
        <v>1059</v>
      </c>
      <c r="D8564" t="s">
        <v>339</v>
      </c>
      <c r="E8564" t="s">
        <v>300</v>
      </c>
      <c r="F8564" t="s">
        <v>9265</v>
      </c>
      <c r="G8564">
        <v>0</v>
      </c>
      <c r="H8564">
        <v>0</v>
      </c>
      <c r="I8564">
        <v>0</v>
      </c>
      <c r="J8564">
        <v>0</v>
      </c>
      <c r="K8564">
        <v>0</v>
      </c>
      <c r="L8564">
        <v>0</v>
      </c>
      <c r="M8564">
        <v>0</v>
      </c>
      <c r="N8564">
        <v>0</v>
      </c>
      <c r="O8564">
        <v>0</v>
      </c>
    </row>
    <row r="8565" spans="1:15" x14ac:dyDescent="0.35">
      <c r="A8565" t="s">
        <v>9229</v>
      </c>
      <c r="B8565" t="s">
        <v>9230</v>
      </c>
      <c r="C8565" t="s">
        <v>1059</v>
      </c>
      <c r="D8565" t="s">
        <v>339</v>
      </c>
      <c r="E8565" t="s">
        <v>306</v>
      </c>
      <c r="F8565" t="s">
        <v>9266</v>
      </c>
      <c r="G8565">
        <v>25</v>
      </c>
      <c r="H8565">
        <v>2067.19</v>
      </c>
      <c r="I8565">
        <v>82.69</v>
      </c>
      <c r="J8565">
        <v>0</v>
      </c>
      <c r="K8565">
        <v>0</v>
      </c>
      <c r="L8565">
        <v>0</v>
      </c>
      <c r="M8565">
        <v>25</v>
      </c>
      <c r="N8565">
        <v>2067.19</v>
      </c>
      <c r="O8565">
        <v>82.69</v>
      </c>
    </row>
    <row r="8566" spans="1:15" x14ac:dyDescent="0.35">
      <c r="A8566" t="s">
        <v>9229</v>
      </c>
      <c r="B8566" t="s">
        <v>9230</v>
      </c>
      <c r="C8566" t="s">
        <v>1059</v>
      </c>
      <c r="D8566" t="s">
        <v>339</v>
      </c>
      <c r="E8566" t="s">
        <v>308</v>
      </c>
      <c r="F8566" t="s">
        <v>9267</v>
      </c>
      <c r="G8566">
        <v>38</v>
      </c>
      <c r="H8566">
        <v>5027.5999999999995</v>
      </c>
      <c r="I8566">
        <v>132.31</v>
      </c>
      <c r="J8566">
        <v>0</v>
      </c>
      <c r="K8566">
        <v>0</v>
      </c>
      <c r="L8566">
        <v>0</v>
      </c>
      <c r="M8566">
        <v>38</v>
      </c>
      <c r="N8566">
        <v>5027.5999999999995</v>
      </c>
      <c r="O8566">
        <v>132.31</v>
      </c>
    </row>
    <row r="8567" spans="1:15" x14ac:dyDescent="0.35">
      <c r="A8567" t="s">
        <v>9229</v>
      </c>
      <c r="B8567" t="s">
        <v>9230</v>
      </c>
      <c r="C8567" t="s">
        <v>1059</v>
      </c>
      <c r="D8567" t="s">
        <v>339</v>
      </c>
      <c r="E8567" t="s">
        <v>310</v>
      </c>
      <c r="F8567" t="s">
        <v>9268</v>
      </c>
      <c r="G8567">
        <v>608</v>
      </c>
      <c r="H8567">
        <v>69491.240000000005</v>
      </c>
      <c r="I8567">
        <v>114.29</v>
      </c>
      <c r="J8567">
        <v>0</v>
      </c>
      <c r="K8567">
        <v>0</v>
      </c>
      <c r="L8567">
        <v>0</v>
      </c>
      <c r="M8567">
        <v>608</v>
      </c>
      <c r="N8567">
        <v>69491.240000000005</v>
      </c>
      <c r="O8567">
        <v>114.29</v>
      </c>
    </row>
    <row r="8568" spans="1:15" x14ac:dyDescent="0.35">
      <c r="A8568" t="s">
        <v>9229</v>
      </c>
      <c r="B8568" t="s">
        <v>9230</v>
      </c>
      <c r="C8568" t="s">
        <v>1059</v>
      </c>
      <c r="D8568" t="s">
        <v>339</v>
      </c>
      <c r="E8568" t="s">
        <v>312</v>
      </c>
      <c r="F8568" t="s">
        <v>9269</v>
      </c>
      <c r="G8568">
        <v>570</v>
      </c>
      <c r="H8568">
        <v>64463.640000000007</v>
      </c>
      <c r="I8568">
        <v>113.09</v>
      </c>
      <c r="J8568">
        <v>0</v>
      </c>
      <c r="K8568">
        <v>0</v>
      </c>
      <c r="L8568">
        <v>0</v>
      </c>
      <c r="M8568">
        <v>570</v>
      </c>
      <c r="N8568">
        <v>64463.640000000007</v>
      </c>
      <c r="O8568">
        <v>113.09</v>
      </c>
    </row>
    <row r="8569" spans="1:15" x14ac:dyDescent="0.35">
      <c r="A8569" t="s">
        <v>9229</v>
      </c>
      <c r="B8569" t="s">
        <v>9230</v>
      </c>
      <c r="C8569" t="s">
        <v>1059</v>
      </c>
      <c r="D8569" t="s">
        <v>348</v>
      </c>
      <c r="E8569" t="s">
        <v>349</v>
      </c>
      <c r="F8569" t="s">
        <v>9270</v>
      </c>
      <c r="G8569">
        <v>672</v>
      </c>
      <c r="H8569">
        <v>83206.280000000013</v>
      </c>
      <c r="I8569">
        <v>124.56</v>
      </c>
      <c r="J8569">
        <v>0</v>
      </c>
      <c r="K8569">
        <v>0</v>
      </c>
      <c r="L8569">
        <v>0</v>
      </c>
      <c r="M8569">
        <v>672</v>
      </c>
      <c r="N8569">
        <v>83206.280000000013</v>
      </c>
      <c r="O8569">
        <v>124.56</v>
      </c>
    </row>
    <row r="8570" spans="1:15" x14ac:dyDescent="0.35">
      <c r="A8570" t="s">
        <v>9271</v>
      </c>
      <c r="B8570" t="s">
        <v>9272</v>
      </c>
      <c r="C8570" t="s">
        <v>1059</v>
      </c>
      <c r="D8570" t="s">
        <v>293</v>
      </c>
      <c r="E8570" t="s">
        <v>294</v>
      </c>
      <c r="F8570" t="s">
        <v>9273</v>
      </c>
      <c r="G8570">
        <v>49</v>
      </c>
      <c r="H8570">
        <v>6025.26</v>
      </c>
      <c r="I8570">
        <v>122.96</v>
      </c>
      <c r="J8570">
        <v>7</v>
      </c>
      <c r="K8570">
        <v>916.93000000000006</v>
      </c>
      <c r="L8570">
        <v>130.99</v>
      </c>
      <c r="M8570">
        <v>56</v>
      </c>
      <c r="N8570">
        <v>6942.1900000000005</v>
      </c>
      <c r="O8570">
        <v>123.97</v>
      </c>
    </row>
    <row r="8571" spans="1:15" x14ac:dyDescent="0.35">
      <c r="A8571" t="s">
        <v>9271</v>
      </c>
      <c r="B8571" t="s">
        <v>9272</v>
      </c>
      <c r="C8571" t="s">
        <v>1059</v>
      </c>
      <c r="D8571" t="s">
        <v>293</v>
      </c>
      <c r="E8571" t="s">
        <v>296</v>
      </c>
      <c r="F8571" t="s">
        <v>9274</v>
      </c>
      <c r="G8571">
        <v>117</v>
      </c>
      <c r="H8571">
        <v>17052.949999999997</v>
      </c>
      <c r="I8571">
        <v>145.75</v>
      </c>
      <c r="J8571">
        <v>27</v>
      </c>
      <c r="K8571">
        <v>3920.94</v>
      </c>
      <c r="L8571">
        <v>145.22</v>
      </c>
      <c r="M8571">
        <v>144</v>
      </c>
      <c r="N8571">
        <v>20973.889999999996</v>
      </c>
      <c r="O8571">
        <v>145.65</v>
      </c>
    </row>
    <row r="8572" spans="1:15" x14ac:dyDescent="0.35">
      <c r="A8572" t="s">
        <v>9271</v>
      </c>
      <c r="B8572" t="s">
        <v>9272</v>
      </c>
      <c r="C8572" t="s">
        <v>1059</v>
      </c>
      <c r="D8572" t="s">
        <v>293</v>
      </c>
      <c r="E8572" t="s">
        <v>298</v>
      </c>
      <c r="F8572" t="s">
        <v>9275</v>
      </c>
      <c r="G8572">
        <v>41</v>
      </c>
      <c r="H8572">
        <v>6955.3099999999995</v>
      </c>
      <c r="I8572">
        <v>169.64</v>
      </c>
      <c r="J8572">
        <v>54</v>
      </c>
      <c r="K8572">
        <v>8140.5</v>
      </c>
      <c r="L8572">
        <v>150.75</v>
      </c>
      <c r="M8572">
        <v>95</v>
      </c>
      <c r="N8572">
        <v>15095.81</v>
      </c>
      <c r="O8572">
        <v>158.9</v>
      </c>
    </row>
    <row r="8573" spans="1:15" x14ac:dyDescent="0.35">
      <c r="A8573" t="s">
        <v>9271</v>
      </c>
      <c r="B8573" t="s">
        <v>9272</v>
      </c>
      <c r="C8573" t="s">
        <v>1059</v>
      </c>
      <c r="D8573" t="s">
        <v>293</v>
      </c>
      <c r="E8573" t="s">
        <v>300</v>
      </c>
      <c r="F8573" t="s">
        <v>9276</v>
      </c>
      <c r="G8573">
        <v>7</v>
      </c>
      <c r="H8573">
        <v>1276.52</v>
      </c>
      <c r="I8573">
        <v>182.36</v>
      </c>
      <c r="J8573">
        <v>7</v>
      </c>
      <c r="K8573">
        <v>1191.1199999999999</v>
      </c>
      <c r="L8573">
        <v>170.16</v>
      </c>
      <c r="M8573">
        <v>14</v>
      </c>
      <c r="N8573">
        <v>2467.64</v>
      </c>
      <c r="O8573">
        <v>176.26</v>
      </c>
    </row>
    <row r="8574" spans="1:15" x14ac:dyDescent="0.35">
      <c r="A8574" t="s">
        <v>9271</v>
      </c>
      <c r="B8574" t="s">
        <v>9272</v>
      </c>
      <c r="C8574" t="s">
        <v>1059</v>
      </c>
      <c r="D8574" t="s">
        <v>293</v>
      </c>
      <c r="E8574" t="s">
        <v>302</v>
      </c>
      <c r="F8574" t="s">
        <v>9277</v>
      </c>
      <c r="G8574">
        <v>0</v>
      </c>
      <c r="H8574">
        <v>0</v>
      </c>
      <c r="I8574">
        <v>0</v>
      </c>
      <c r="J8574">
        <v>1</v>
      </c>
      <c r="K8574">
        <v>120.49</v>
      </c>
      <c r="L8574">
        <v>120.49</v>
      </c>
      <c r="M8574">
        <v>1</v>
      </c>
      <c r="N8574">
        <v>120.49</v>
      </c>
      <c r="O8574">
        <v>120.49</v>
      </c>
    </row>
    <row r="8575" spans="1:15" x14ac:dyDescent="0.35">
      <c r="A8575" t="s">
        <v>9271</v>
      </c>
      <c r="B8575" t="s">
        <v>9272</v>
      </c>
      <c r="C8575" t="s">
        <v>1059</v>
      </c>
      <c r="D8575" t="s">
        <v>293</v>
      </c>
      <c r="E8575" t="s">
        <v>304</v>
      </c>
      <c r="F8575" t="s">
        <v>9278</v>
      </c>
      <c r="G8575">
        <v>0</v>
      </c>
      <c r="H8575">
        <v>0</v>
      </c>
      <c r="I8575">
        <v>0</v>
      </c>
      <c r="J8575">
        <v>0</v>
      </c>
      <c r="K8575">
        <v>0</v>
      </c>
      <c r="L8575">
        <v>0</v>
      </c>
      <c r="M8575">
        <v>0</v>
      </c>
      <c r="N8575">
        <v>0</v>
      </c>
      <c r="O8575">
        <v>0</v>
      </c>
    </row>
    <row r="8576" spans="1:15" x14ac:dyDescent="0.35">
      <c r="A8576" t="s">
        <v>9271</v>
      </c>
      <c r="B8576" t="s">
        <v>9272</v>
      </c>
      <c r="C8576" t="s">
        <v>1059</v>
      </c>
      <c r="D8576" t="s">
        <v>293</v>
      </c>
      <c r="E8576" t="s">
        <v>306</v>
      </c>
      <c r="F8576" t="s">
        <v>9279</v>
      </c>
      <c r="G8576">
        <v>0</v>
      </c>
      <c r="H8576">
        <v>0</v>
      </c>
      <c r="I8576">
        <v>0</v>
      </c>
      <c r="J8576">
        <v>0</v>
      </c>
      <c r="K8576">
        <v>0</v>
      </c>
      <c r="L8576">
        <v>0</v>
      </c>
      <c r="M8576">
        <v>0</v>
      </c>
      <c r="N8576">
        <v>0</v>
      </c>
      <c r="O8576">
        <v>0</v>
      </c>
    </row>
    <row r="8577" spans="1:15" x14ac:dyDescent="0.35">
      <c r="A8577" t="s">
        <v>9271</v>
      </c>
      <c r="B8577" t="s">
        <v>9272</v>
      </c>
      <c r="C8577" t="s">
        <v>1059</v>
      </c>
      <c r="D8577" t="s">
        <v>293</v>
      </c>
      <c r="E8577" t="s">
        <v>308</v>
      </c>
      <c r="F8577" t="s">
        <v>9280</v>
      </c>
      <c r="G8577">
        <v>0</v>
      </c>
      <c r="H8577">
        <v>0</v>
      </c>
      <c r="I8577">
        <v>0</v>
      </c>
      <c r="J8577">
        <v>0</v>
      </c>
      <c r="K8577">
        <v>0</v>
      </c>
      <c r="L8577">
        <v>0</v>
      </c>
      <c r="M8577">
        <v>0</v>
      </c>
      <c r="N8577">
        <v>0</v>
      </c>
      <c r="O8577">
        <v>0</v>
      </c>
    </row>
    <row r="8578" spans="1:15" x14ac:dyDescent="0.35">
      <c r="A8578" t="s">
        <v>9271</v>
      </c>
      <c r="B8578" t="s">
        <v>9272</v>
      </c>
      <c r="C8578" t="s">
        <v>1059</v>
      </c>
      <c r="D8578" t="s">
        <v>293</v>
      </c>
      <c r="E8578" t="s">
        <v>310</v>
      </c>
      <c r="F8578" t="s">
        <v>9281</v>
      </c>
      <c r="G8578">
        <v>214</v>
      </c>
      <c r="H8578">
        <v>31310.039999999997</v>
      </c>
      <c r="I8578">
        <v>146.31</v>
      </c>
      <c r="J8578">
        <v>96</v>
      </c>
      <c r="K8578">
        <v>14289.979999999998</v>
      </c>
      <c r="L8578">
        <v>148.85</v>
      </c>
      <c r="M8578">
        <v>310</v>
      </c>
      <c r="N8578">
        <v>45600.02</v>
      </c>
      <c r="O8578">
        <v>147.1</v>
      </c>
    </row>
    <row r="8579" spans="1:15" x14ac:dyDescent="0.35">
      <c r="A8579" t="s">
        <v>9271</v>
      </c>
      <c r="B8579" t="s">
        <v>9272</v>
      </c>
      <c r="C8579" t="s">
        <v>1059</v>
      </c>
      <c r="D8579" t="s">
        <v>293</v>
      </c>
      <c r="E8579" t="s">
        <v>312</v>
      </c>
      <c r="F8579" t="s">
        <v>9282</v>
      </c>
      <c r="G8579">
        <v>214</v>
      </c>
      <c r="H8579">
        <v>31310.039999999997</v>
      </c>
      <c r="I8579">
        <v>146.31</v>
      </c>
      <c r="J8579">
        <v>96</v>
      </c>
      <c r="K8579">
        <v>14289.979999999998</v>
      </c>
      <c r="L8579">
        <v>148.85</v>
      </c>
      <c r="M8579">
        <v>310</v>
      </c>
      <c r="N8579">
        <v>45600.02</v>
      </c>
      <c r="O8579">
        <v>147.1</v>
      </c>
    </row>
    <row r="8580" spans="1:15" x14ac:dyDescent="0.35">
      <c r="A8580" t="s">
        <v>9271</v>
      </c>
      <c r="B8580" t="s">
        <v>9272</v>
      </c>
      <c r="C8580" t="s">
        <v>1059</v>
      </c>
      <c r="D8580" t="s">
        <v>314</v>
      </c>
      <c r="E8580" t="s">
        <v>294</v>
      </c>
      <c r="F8580" t="s">
        <v>9283</v>
      </c>
      <c r="G8580">
        <v>3</v>
      </c>
      <c r="H8580">
        <v>753.26</v>
      </c>
      <c r="I8580">
        <v>251.09</v>
      </c>
      <c r="J8580">
        <v>0</v>
      </c>
      <c r="K8580">
        <v>0</v>
      </c>
      <c r="L8580">
        <v>0</v>
      </c>
      <c r="M8580">
        <v>3</v>
      </c>
      <c r="N8580">
        <v>753.26</v>
      </c>
      <c r="O8580">
        <v>251.09</v>
      </c>
    </row>
    <row r="8581" spans="1:15" x14ac:dyDescent="0.35">
      <c r="A8581" t="s">
        <v>9271</v>
      </c>
      <c r="B8581" t="s">
        <v>9272</v>
      </c>
      <c r="C8581" t="s">
        <v>1059</v>
      </c>
      <c r="D8581" t="s">
        <v>314</v>
      </c>
      <c r="E8581" t="s">
        <v>296</v>
      </c>
      <c r="F8581" t="s">
        <v>9284</v>
      </c>
      <c r="G8581">
        <v>3</v>
      </c>
      <c r="H8581">
        <v>825.36</v>
      </c>
      <c r="I8581">
        <v>275.12</v>
      </c>
      <c r="J8581">
        <v>0</v>
      </c>
      <c r="K8581">
        <v>0</v>
      </c>
      <c r="L8581">
        <v>0</v>
      </c>
      <c r="M8581">
        <v>3</v>
      </c>
      <c r="N8581">
        <v>825.36</v>
      </c>
      <c r="O8581">
        <v>275.12</v>
      </c>
    </row>
    <row r="8582" spans="1:15" x14ac:dyDescent="0.35">
      <c r="A8582" t="s">
        <v>9271</v>
      </c>
      <c r="B8582" t="s">
        <v>9272</v>
      </c>
      <c r="C8582" t="s">
        <v>1059</v>
      </c>
      <c r="D8582" t="s">
        <v>314</v>
      </c>
      <c r="E8582" t="s">
        <v>298</v>
      </c>
      <c r="F8582" t="s">
        <v>9285</v>
      </c>
      <c r="G8582">
        <v>0</v>
      </c>
      <c r="H8582">
        <v>0</v>
      </c>
      <c r="I8582">
        <v>0</v>
      </c>
      <c r="J8582">
        <v>0</v>
      </c>
      <c r="K8582">
        <v>0</v>
      </c>
      <c r="L8582">
        <v>0</v>
      </c>
      <c r="M8582">
        <v>0</v>
      </c>
      <c r="N8582">
        <v>0</v>
      </c>
      <c r="O8582">
        <v>0</v>
      </c>
    </row>
    <row r="8583" spans="1:15" x14ac:dyDescent="0.35">
      <c r="A8583" t="s">
        <v>9271</v>
      </c>
      <c r="B8583" t="s">
        <v>9272</v>
      </c>
      <c r="C8583" t="s">
        <v>1059</v>
      </c>
      <c r="D8583" t="s">
        <v>314</v>
      </c>
      <c r="E8583" t="s">
        <v>300</v>
      </c>
      <c r="F8583" t="s">
        <v>9286</v>
      </c>
      <c r="G8583">
        <v>0</v>
      </c>
      <c r="H8583">
        <v>0</v>
      </c>
      <c r="I8583">
        <v>0</v>
      </c>
      <c r="J8583">
        <v>0</v>
      </c>
      <c r="K8583">
        <v>0</v>
      </c>
      <c r="L8583">
        <v>0</v>
      </c>
      <c r="M8583">
        <v>0</v>
      </c>
      <c r="N8583">
        <v>0</v>
      </c>
      <c r="O8583">
        <v>0</v>
      </c>
    </row>
    <row r="8584" spans="1:15" x14ac:dyDescent="0.35">
      <c r="A8584" t="s">
        <v>9271</v>
      </c>
      <c r="B8584" t="s">
        <v>9272</v>
      </c>
      <c r="C8584" t="s">
        <v>1059</v>
      </c>
      <c r="D8584" t="s">
        <v>314</v>
      </c>
      <c r="E8584" t="s">
        <v>306</v>
      </c>
      <c r="F8584" t="s">
        <v>9287</v>
      </c>
      <c r="G8584">
        <v>0</v>
      </c>
      <c r="H8584">
        <v>0</v>
      </c>
      <c r="I8584">
        <v>0</v>
      </c>
      <c r="J8584">
        <v>0</v>
      </c>
      <c r="K8584">
        <v>0</v>
      </c>
      <c r="L8584">
        <v>0</v>
      </c>
      <c r="M8584">
        <v>0</v>
      </c>
      <c r="N8584">
        <v>0</v>
      </c>
      <c r="O8584">
        <v>0</v>
      </c>
    </row>
    <row r="8585" spans="1:15" x14ac:dyDescent="0.35">
      <c r="A8585" t="s">
        <v>9271</v>
      </c>
      <c r="B8585" t="s">
        <v>9272</v>
      </c>
      <c r="C8585" t="s">
        <v>1059</v>
      </c>
      <c r="D8585" t="s">
        <v>314</v>
      </c>
      <c r="E8585" t="s">
        <v>308</v>
      </c>
      <c r="F8585" t="s">
        <v>9288</v>
      </c>
      <c r="G8585">
        <v>0</v>
      </c>
      <c r="H8585">
        <v>0</v>
      </c>
      <c r="I8585">
        <v>0</v>
      </c>
      <c r="J8585">
        <v>0</v>
      </c>
      <c r="K8585">
        <v>0</v>
      </c>
      <c r="L8585">
        <v>0</v>
      </c>
      <c r="M8585">
        <v>0</v>
      </c>
      <c r="N8585">
        <v>0</v>
      </c>
      <c r="O8585">
        <v>0</v>
      </c>
    </row>
    <row r="8586" spans="1:15" x14ac:dyDescent="0.35">
      <c r="A8586" t="s">
        <v>9271</v>
      </c>
      <c r="B8586" t="s">
        <v>9272</v>
      </c>
      <c r="C8586" t="s">
        <v>1059</v>
      </c>
      <c r="D8586" t="s">
        <v>314</v>
      </c>
      <c r="E8586" t="s">
        <v>312</v>
      </c>
      <c r="F8586" t="s">
        <v>9289</v>
      </c>
      <c r="G8586">
        <v>6</v>
      </c>
      <c r="H8586">
        <v>1578.62</v>
      </c>
      <c r="I8586">
        <v>263.10000000000002</v>
      </c>
      <c r="J8586">
        <v>0</v>
      </c>
      <c r="K8586">
        <v>0</v>
      </c>
      <c r="L8586">
        <v>0</v>
      </c>
      <c r="M8586">
        <v>6</v>
      </c>
      <c r="N8586">
        <v>1578.62</v>
      </c>
      <c r="O8586">
        <v>263.10000000000002</v>
      </c>
    </row>
    <row r="8587" spans="1:15" x14ac:dyDescent="0.35">
      <c r="A8587" t="s">
        <v>9271</v>
      </c>
      <c r="B8587" t="s">
        <v>9272</v>
      </c>
      <c r="C8587" t="s">
        <v>1059</v>
      </c>
      <c r="D8587" t="s">
        <v>314</v>
      </c>
      <c r="E8587" t="s">
        <v>310</v>
      </c>
      <c r="F8587" t="s">
        <v>9290</v>
      </c>
      <c r="G8587">
        <v>6</v>
      </c>
      <c r="H8587">
        <v>1578.62</v>
      </c>
      <c r="I8587">
        <v>263.10000000000002</v>
      </c>
      <c r="J8587">
        <v>0</v>
      </c>
      <c r="K8587">
        <v>0</v>
      </c>
      <c r="L8587">
        <v>0</v>
      </c>
      <c r="M8587">
        <v>6</v>
      </c>
      <c r="N8587">
        <v>1578.62</v>
      </c>
      <c r="O8587">
        <v>263.10000000000002</v>
      </c>
    </row>
    <row r="8588" spans="1:15" x14ac:dyDescent="0.35">
      <c r="A8588" t="s">
        <v>9271</v>
      </c>
      <c r="B8588" t="s">
        <v>9272</v>
      </c>
      <c r="C8588" t="s">
        <v>1059</v>
      </c>
      <c r="D8588" t="s">
        <v>323</v>
      </c>
      <c r="E8588" t="s">
        <v>294</v>
      </c>
      <c r="F8588" t="s">
        <v>9291</v>
      </c>
      <c r="G8588">
        <v>458</v>
      </c>
      <c r="H8588">
        <v>43428.450000000004</v>
      </c>
      <c r="I8588">
        <v>94.82</v>
      </c>
      <c r="J8588">
        <v>1993</v>
      </c>
      <c r="K8588">
        <v>171477.72</v>
      </c>
      <c r="L8588">
        <v>86.04</v>
      </c>
      <c r="M8588">
        <v>2451</v>
      </c>
      <c r="N8588">
        <v>214906.17</v>
      </c>
      <c r="O8588">
        <v>87.68</v>
      </c>
    </row>
    <row r="8589" spans="1:15" x14ac:dyDescent="0.35">
      <c r="A8589" t="s">
        <v>9271</v>
      </c>
      <c r="B8589" t="s">
        <v>9272</v>
      </c>
      <c r="C8589" t="s">
        <v>1059</v>
      </c>
      <c r="D8589" t="s">
        <v>323</v>
      </c>
      <c r="E8589" t="s">
        <v>296</v>
      </c>
      <c r="F8589" t="s">
        <v>9292</v>
      </c>
      <c r="G8589">
        <v>794</v>
      </c>
      <c r="H8589">
        <v>90123.430000000008</v>
      </c>
      <c r="I8589">
        <v>113.51</v>
      </c>
      <c r="J8589">
        <v>1355</v>
      </c>
      <c r="K8589">
        <v>130459.40000000001</v>
      </c>
      <c r="L8589">
        <v>96.28</v>
      </c>
      <c r="M8589">
        <v>2149</v>
      </c>
      <c r="N8589">
        <v>220582.83000000002</v>
      </c>
      <c r="O8589">
        <v>102.64</v>
      </c>
    </row>
    <row r="8590" spans="1:15" x14ac:dyDescent="0.35">
      <c r="A8590" t="s">
        <v>9271</v>
      </c>
      <c r="B8590" t="s">
        <v>9272</v>
      </c>
      <c r="C8590" t="s">
        <v>1059</v>
      </c>
      <c r="D8590" t="s">
        <v>323</v>
      </c>
      <c r="E8590" t="s">
        <v>298</v>
      </c>
      <c r="F8590" t="s">
        <v>9293</v>
      </c>
      <c r="G8590">
        <v>281</v>
      </c>
      <c r="H8590">
        <v>36010.239999999998</v>
      </c>
      <c r="I8590">
        <v>128.15</v>
      </c>
      <c r="J8590">
        <v>1760</v>
      </c>
      <c r="K8590">
        <v>186507.2</v>
      </c>
      <c r="L8590">
        <v>105.97</v>
      </c>
      <c r="M8590">
        <v>2041</v>
      </c>
      <c r="N8590">
        <v>222517.44</v>
      </c>
      <c r="O8590">
        <v>109.02</v>
      </c>
    </row>
    <row r="8591" spans="1:15" x14ac:dyDescent="0.35">
      <c r="A8591" t="s">
        <v>9271</v>
      </c>
      <c r="B8591" t="s">
        <v>9272</v>
      </c>
      <c r="C8591" t="s">
        <v>1059</v>
      </c>
      <c r="D8591" t="s">
        <v>323</v>
      </c>
      <c r="E8591" t="s">
        <v>300</v>
      </c>
      <c r="F8591" t="s">
        <v>9294</v>
      </c>
      <c r="G8591">
        <v>72</v>
      </c>
      <c r="H8591">
        <v>10856.15</v>
      </c>
      <c r="I8591">
        <v>150.78</v>
      </c>
      <c r="J8591">
        <v>132</v>
      </c>
      <c r="K8591">
        <v>14933.16</v>
      </c>
      <c r="L8591">
        <v>113.13</v>
      </c>
      <c r="M8591">
        <v>204</v>
      </c>
      <c r="N8591">
        <v>25789.309999999998</v>
      </c>
      <c r="O8591">
        <v>126.42</v>
      </c>
    </row>
    <row r="8592" spans="1:15" x14ac:dyDescent="0.35">
      <c r="A8592" t="s">
        <v>9271</v>
      </c>
      <c r="B8592" t="s">
        <v>9272</v>
      </c>
      <c r="C8592" t="s">
        <v>1059</v>
      </c>
      <c r="D8592" t="s">
        <v>323</v>
      </c>
      <c r="E8592" t="s">
        <v>302</v>
      </c>
      <c r="F8592" t="s">
        <v>9295</v>
      </c>
      <c r="G8592">
        <v>2</v>
      </c>
      <c r="H8592">
        <v>341.34000000000003</v>
      </c>
      <c r="I8592">
        <v>170.67</v>
      </c>
      <c r="J8592">
        <v>19</v>
      </c>
      <c r="K8592">
        <v>2302.9899999999998</v>
      </c>
      <c r="L8592">
        <v>121.21</v>
      </c>
      <c r="M8592">
        <v>21</v>
      </c>
      <c r="N8592">
        <v>2644.33</v>
      </c>
      <c r="O8592">
        <v>125.92</v>
      </c>
    </row>
    <row r="8593" spans="1:15" x14ac:dyDescent="0.35">
      <c r="A8593" t="s">
        <v>9271</v>
      </c>
      <c r="B8593" t="s">
        <v>9272</v>
      </c>
      <c r="C8593" t="s">
        <v>1059</v>
      </c>
      <c r="D8593" t="s">
        <v>323</v>
      </c>
      <c r="E8593" t="s">
        <v>304</v>
      </c>
      <c r="F8593" t="s">
        <v>9296</v>
      </c>
      <c r="G8593">
        <v>0</v>
      </c>
      <c r="H8593">
        <v>0</v>
      </c>
      <c r="I8593">
        <v>0</v>
      </c>
      <c r="J8593">
        <v>3</v>
      </c>
      <c r="K8593">
        <v>448.89</v>
      </c>
      <c r="L8593">
        <v>149.63</v>
      </c>
      <c r="M8593">
        <v>3</v>
      </c>
      <c r="N8593">
        <v>448.89</v>
      </c>
      <c r="O8593">
        <v>149.63</v>
      </c>
    </row>
    <row r="8594" spans="1:15" x14ac:dyDescent="0.35">
      <c r="A8594" t="s">
        <v>9271</v>
      </c>
      <c r="B8594" t="s">
        <v>9272</v>
      </c>
      <c r="C8594" t="s">
        <v>1059</v>
      </c>
      <c r="D8594" t="s">
        <v>323</v>
      </c>
      <c r="E8594" t="s">
        <v>306</v>
      </c>
      <c r="F8594" t="s">
        <v>9297</v>
      </c>
      <c r="G8594">
        <v>0</v>
      </c>
      <c r="H8594">
        <v>0</v>
      </c>
      <c r="I8594">
        <v>0</v>
      </c>
      <c r="J8594">
        <v>119</v>
      </c>
      <c r="K8594">
        <v>8671.5300000000007</v>
      </c>
      <c r="L8594">
        <v>72.87</v>
      </c>
      <c r="M8594">
        <v>119</v>
      </c>
      <c r="N8594">
        <v>8671.5300000000007</v>
      </c>
      <c r="O8594">
        <v>72.87</v>
      </c>
    </row>
    <row r="8595" spans="1:15" x14ac:dyDescent="0.35">
      <c r="A8595" t="s">
        <v>9271</v>
      </c>
      <c r="B8595" t="s">
        <v>9272</v>
      </c>
      <c r="C8595" t="s">
        <v>1059</v>
      </c>
      <c r="D8595" t="s">
        <v>323</v>
      </c>
      <c r="E8595" t="s">
        <v>308</v>
      </c>
      <c r="F8595" t="s">
        <v>9298</v>
      </c>
      <c r="G8595">
        <v>0</v>
      </c>
      <c r="H8595">
        <v>0</v>
      </c>
      <c r="I8595">
        <v>0</v>
      </c>
      <c r="J8595">
        <v>0</v>
      </c>
      <c r="K8595">
        <v>0</v>
      </c>
      <c r="L8595">
        <v>0</v>
      </c>
      <c r="M8595">
        <v>0</v>
      </c>
      <c r="N8595">
        <v>0</v>
      </c>
      <c r="O8595">
        <v>0</v>
      </c>
    </row>
    <row r="8596" spans="1:15" x14ac:dyDescent="0.35">
      <c r="A8596" t="s">
        <v>9271</v>
      </c>
      <c r="B8596" t="s">
        <v>9272</v>
      </c>
      <c r="C8596" t="s">
        <v>1059</v>
      </c>
      <c r="D8596" t="s">
        <v>323</v>
      </c>
      <c r="E8596" t="s">
        <v>310</v>
      </c>
      <c r="F8596" t="s">
        <v>9299</v>
      </c>
      <c r="G8596">
        <v>1607</v>
      </c>
      <c r="H8596">
        <v>180759.61</v>
      </c>
      <c r="I8596">
        <v>112.48</v>
      </c>
      <c r="J8596">
        <v>5381</v>
      </c>
      <c r="K8596">
        <v>514800.89</v>
      </c>
      <c r="L8596">
        <v>95.67</v>
      </c>
      <c r="M8596">
        <v>6988</v>
      </c>
      <c r="N8596">
        <v>695560.5</v>
      </c>
      <c r="O8596">
        <v>99.54</v>
      </c>
    </row>
    <row r="8597" spans="1:15" x14ac:dyDescent="0.35">
      <c r="A8597" t="s">
        <v>9271</v>
      </c>
      <c r="B8597" t="s">
        <v>9272</v>
      </c>
      <c r="C8597" t="s">
        <v>1059</v>
      </c>
      <c r="D8597" t="s">
        <v>323</v>
      </c>
      <c r="E8597" t="s">
        <v>312</v>
      </c>
      <c r="F8597" t="s">
        <v>9300</v>
      </c>
      <c r="G8597">
        <v>1607</v>
      </c>
      <c r="H8597">
        <v>180759.61</v>
      </c>
      <c r="I8597">
        <v>112.48</v>
      </c>
      <c r="J8597">
        <v>5381</v>
      </c>
      <c r="K8597">
        <v>514800.89</v>
      </c>
      <c r="L8597">
        <v>95.67</v>
      </c>
      <c r="M8597">
        <v>6988</v>
      </c>
      <c r="N8597">
        <v>695560.5</v>
      </c>
      <c r="O8597">
        <v>99.54</v>
      </c>
    </row>
    <row r="8598" spans="1:15" x14ac:dyDescent="0.35">
      <c r="A8598" t="s">
        <v>9271</v>
      </c>
      <c r="B8598" t="s">
        <v>9272</v>
      </c>
      <c r="C8598" t="s">
        <v>1059</v>
      </c>
      <c r="D8598" t="s">
        <v>334</v>
      </c>
      <c r="E8598" t="s">
        <v>312</v>
      </c>
      <c r="F8598" t="s">
        <v>9301</v>
      </c>
      <c r="G8598">
        <v>2031</v>
      </c>
      <c r="H8598">
        <v>212069.65</v>
      </c>
      <c r="I8598">
        <v>116.46</v>
      </c>
      <c r="J8598">
        <v>5477</v>
      </c>
      <c r="K8598">
        <v>529090.87</v>
      </c>
      <c r="L8598">
        <v>96.6</v>
      </c>
      <c r="M8598">
        <v>7508</v>
      </c>
      <c r="N8598">
        <v>741160.52</v>
      </c>
      <c r="O8598">
        <v>101.56</v>
      </c>
    </row>
    <row r="8599" spans="1:15" x14ac:dyDescent="0.35">
      <c r="A8599" t="s">
        <v>9271</v>
      </c>
      <c r="B8599" t="s">
        <v>9272</v>
      </c>
      <c r="C8599" t="s">
        <v>1059</v>
      </c>
      <c r="D8599" t="s">
        <v>334</v>
      </c>
      <c r="E8599" t="s">
        <v>308</v>
      </c>
      <c r="F8599" t="s">
        <v>9302</v>
      </c>
      <c r="G8599">
        <v>0</v>
      </c>
      <c r="H8599">
        <v>0</v>
      </c>
      <c r="I8599">
        <v>0</v>
      </c>
      <c r="J8599">
        <v>0</v>
      </c>
      <c r="K8599">
        <v>0</v>
      </c>
      <c r="L8599">
        <v>0</v>
      </c>
      <c r="M8599">
        <v>0</v>
      </c>
      <c r="N8599">
        <v>0</v>
      </c>
      <c r="O8599">
        <v>0</v>
      </c>
    </row>
    <row r="8600" spans="1:15" x14ac:dyDescent="0.35">
      <c r="A8600" t="s">
        <v>9271</v>
      </c>
      <c r="B8600" t="s">
        <v>9272</v>
      </c>
      <c r="C8600" t="s">
        <v>1059</v>
      </c>
      <c r="D8600" t="s">
        <v>337</v>
      </c>
      <c r="E8600" t="s">
        <v>337</v>
      </c>
      <c r="F8600" t="s">
        <v>9303</v>
      </c>
      <c r="G8600">
        <v>280</v>
      </c>
      <c r="J8600">
        <v>0</v>
      </c>
      <c r="M8600">
        <v>280</v>
      </c>
    </row>
    <row r="8601" spans="1:15" x14ac:dyDescent="0.35">
      <c r="A8601" t="s">
        <v>9271</v>
      </c>
      <c r="B8601" t="s">
        <v>9272</v>
      </c>
      <c r="C8601" t="s">
        <v>1059</v>
      </c>
      <c r="D8601" t="s">
        <v>339</v>
      </c>
      <c r="E8601" t="s">
        <v>294</v>
      </c>
      <c r="F8601" t="s">
        <v>9304</v>
      </c>
      <c r="G8601">
        <v>215</v>
      </c>
      <c r="H8601">
        <v>32705.640000000003</v>
      </c>
      <c r="I8601">
        <v>152.12</v>
      </c>
      <c r="J8601">
        <v>51</v>
      </c>
      <c r="K8601">
        <v>4411.5</v>
      </c>
      <c r="L8601">
        <v>86.5</v>
      </c>
      <c r="M8601">
        <v>266</v>
      </c>
      <c r="N8601">
        <v>37117.14</v>
      </c>
      <c r="O8601">
        <v>139.54</v>
      </c>
    </row>
    <row r="8602" spans="1:15" x14ac:dyDescent="0.35">
      <c r="A8602" t="s">
        <v>9271</v>
      </c>
      <c r="B8602" t="s">
        <v>9272</v>
      </c>
      <c r="C8602" t="s">
        <v>1059</v>
      </c>
      <c r="D8602" t="s">
        <v>339</v>
      </c>
      <c r="E8602" t="s">
        <v>296</v>
      </c>
      <c r="F8602" t="s">
        <v>9305</v>
      </c>
      <c r="G8602">
        <v>28</v>
      </c>
      <c r="H8602">
        <v>4046.58</v>
      </c>
      <c r="I8602">
        <v>144.52000000000001</v>
      </c>
      <c r="J8602">
        <v>3</v>
      </c>
      <c r="K8602">
        <v>306.81</v>
      </c>
      <c r="L8602">
        <v>102.27</v>
      </c>
      <c r="M8602">
        <v>31</v>
      </c>
      <c r="N8602">
        <v>4353.3900000000003</v>
      </c>
      <c r="O8602">
        <v>140.43</v>
      </c>
    </row>
    <row r="8603" spans="1:15" x14ac:dyDescent="0.35">
      <c r="A8603" t="s">
        <v>9271</v>
      </c>
      <c r="B8603" t="s">
        <v>9272</v>
      </c>
      <c r="C8603" t="s">
        <v>1059</v>
      </c>
      <c r="D8603" t="s">
        <v>339</v>
      </c>
      <c r="E8603" t="s">
        <v>298</v>
      </c>
      <c r="F8603" t="s">
        <v>9306</v>
      </c>
      <c r="G8603">
        <v>1</v>
      </c>
      <c r="H8603">
        <v>158.57</v>
      </c>
      <c r="I8603">
        <v>158.57</v>
      </c>
      <c r="J8603">
        <v>0</v>
      </c>
      <c r="K8603">
        <v>0</v>
      </c>
      <c r="L8603">
        <v>0</v>
      </c>
      <c r="M8603">
        <v>1</v>
      </c>
      <c r="N8603">
        <v>158.57</v>
      </c>
      <c r="O8603">
        <v>158.57</v>
      </c>
    </row>
    <row r="8604" spans="1:15" x14ac:dyDescent="0.35">
      <c r="A8604" t="s">
        <v>9271</v>
      </c>
      <c r="B8604" t="s">
        <v>9272</v>
      </c>
      <c r="C8604" t="s">
        <v>1059</v>
      </c>
      <c r="D8604" t="s">
        <v>339</v>
      </c>
      <c r="E8604" t="s">
        <v>300</v>
      </c>
      <c r="F8604" t="s">
        <v>9307</v>
      </c>
      <c r="G8604">
        <v>0</v>
      </c>
      <c r="H8604">
        <v>0</v>
      </c>
      <c r="I8604">
        <v>0</v>
      </c>
      <c r="J8604">
        <v>0</v>
      </c>
      <c r="K8604">
        <v>0</v>
      </c>
      <c r="L8604">
        <v>0</v>
      </c>
      <c r="M8604">
        <v>0</v>
      </c>
      <c r="N8604">
        <v>0</v>
      </c>
      <c r="O8604">
        <v>0</v>
      </c>
    </row>
    <row r="8605" spans="1:15" x14ac:dyDescent="0.35">
      <c r="A8605" t="s">
        <v>9271</v>
      </c>
      <c r="B8605" t="s">
        <v>9272</v>
      </c>
      <c r="C8605" t="s">
        <v>1059</v>
      </c>
      <c r="D8605" t="s">
        <v>339</v>
      </c>
      <c r="E8605" t="s">
        <v>306</v>
      </c>
      <c r="F8605" t="s">
        <v>9308</v>
      </c>
      <c r="G8605">
        <v>14</v>
      </c>
      <c r="H8605">
        <v>1449.42</v>
      </c>
      <c r="I8605">
        <v>103.53</v>
      </c>
      <c r="J8605">
        <v>0</v>
      </c>
      <c r="K8605">
        <v>0</v>
      </c>
      <c r="L8605">
        <v>0</v>
      </c>
      <c r="M8605">
        <v>14</v>
      </c>
      <c r="N8605">
        <v>1449.42</v>
      </c>
      <c r="O8605">
        <v>103.53</v>
      </c>
    </row>
    <row r="8606" spans="1:15" x14ac:dyDescent="0.35">
      <c r="A8606" t="s">
        <v>9271</v>
      </c>
      <c r="B8606" t="s">
        <v>9272</v>
      </c>
      <c r="C8606" t="s">
        <v>1059</v>
      </c>
      <c r="D8606" t="s">
        <v>339</v>
      </c>
      <c r="E8606" t="s">
        <v>308</v>
      </c>
      <c r="F8606" t="s">
        <v>9309</v>
      </c>
      <c r="G8606">
        <v>29</v>
      </c>
      <c r="H8606">
        <v>2725.3500000000004</v>
      </c>
      <c r="I8606">
        <v>93.98</v>
      </c>
      <c r="J8606">
        <v>0</v>
      </c>
      <c r="K8606">
        <v>0</v>
      </c>
      <c r="L8606">
        <v>0</v>
      </c>
      <c r="M8606">
        <v>29</v>
      </c>
      <c r="N8606">
        <v>2725.3500000000004</v>
      </c>
      <c r="O8606">
        <v>93.98</v>
      </c>
    </row>
    <row r="8607" spans="1:15" x14ac:dyDescent="0.35">
      <c r="A8607" t="s">
        <v>9271</v>
      </c>
      <c r="B8607" t="s">
        <v>9272</v>
      </c>
      <c r="C8607" t="s">
        <v>1059</v>
      </c>
      <c r="D8607" t="s">
        <v>339</v>
      </c>
      <c r="E8607" t="s">
        <v>310</v>
      </c>
      <c r="F8607" t="s">
        <v>9310</v>
      </c>
      <c r="G8607">
        <v>287</v>
      </c>
      <c r="H8607">
        <v>41085.56</v>
      </c>
      <c r="I8607">
        <v>143.16</v>
      </c>
      <c r="J8607">
        <v>54</v>
      </c>
      <c r="K8607">
        <v>4718.3100000000004</v>
      </c>
      <c r="L8607">
        <v>87.38</v>
      </c>
      <c r="M8607">
        <v>341</v>
      </c>
      <c r="N8607">
        <v>45803.869999999995</v>
      </c>
      <c r="O8607">
        <v>134.32</v>
      </c>
    </row>
    <row r="8608" spans="1:15" x14ac:dyDescent="0.35">
      <c r="A8608" t="s">
        <v>9271</v>
      </c>
      <c r="B8608" t="s">
        <v>9272</v>
      </c>
      <c r="C8608" t="s">
        <v>1059</v>
      </c>
      <c r="D8608" t="s">
        <v>339</v>
      </c>
      <c r="E8608" t="s">
        <v>312</v>
      </c>
      <c r="F8608" t="s">
        <v>9311</v>
      </c>
      <c r="G8608">
        <v>258</v>
      </c>
      <c r="H8608">
        <v>38360.21</v>
      </c>
      <c r="I8608">
        <v>148.68</v>
      </c>
      <c r="J8608">
        <v>54</v>
      </c>
      <c r="K8608">
        <v>4718.3100000000004</v>
      </c>
      <c r="L8608">
        <v>87.38</v>
      </c>
      <c r="M8608">
        <v>312</v>
      </c>
      <c r="N8608">
        <v>43078.52</v>
      </c>
      <c r="O8608">
        <v>138.07</v>
      </c>
    </row>
    <row r="8609" spans="1:15" x14ac:dyDescent="0.35">
      <c r="A8609" t="s">
        <v>9271</v>
      </c>
      <c r="B8609" t="s">
        <v>9272</v>
      </c>
      <c r="C8609" t="s">
        <v>1059</v>
      </c>
      <c r="D8609" t="s">
        <v>348</v>
      </c>
      <c r="E8609" t="s">
        <v>349</v>
      </c>
      <c r="F8609" t="s">
        <v>9312</v>
      </c>
      <c r="G8609">
        <v>403</v>
      </c>
      <c r="H8609">
        <v>42664.18</v>
      </c>
      <c r="I8609">
        <v>145.61000000000001</v>
      </c>
      <c r="J8609">
        <v>54</v>
      </c>
      <c r="K8609">
        <v>4718.3100000000004</v>
      </c>
      <c r="L8609">
        <v>87.38</v>
      </c>
      <c r="M8609">
        <v>457</v>
      </c>
      <c r="N8609">
        <v>47382.49</v>
      </c>
      <c r="O8609">
        <v>136.55000000000001</v>
      </c>
    </row>
    <row r="8610" spans="1:15" x14ac:dyDescent="0.35">
      <c r="A8610" t="s">
        <v>9313</v>
      </c>
      <c r="B8610" t="s">
        <v>220</v>
      </c>
      <c r="C8610" t="s">
        <v>1059</v>
      </c>
      <c r="D8610" t="s">
        <v>293</v>
      </c>
      <c r="E8610" t="s">
        <v>294</v>
      </c>
      <c r="F8610" t="s">
        <v>9314</v>
      </c>
      <c r="G8610">
        <v>189</v>
      </c>
      <c r="H8610">
        <v>23684.14</v>
      </c>
      <c r="I8610">
        <v>125.31</v>
      </c>
      <c r="J8610">
        <v>0</v>
      </c>
      <c r="K8610">
        <v>0</v>
      </c>
      <c r="L8610">
        <v>0</v>
      </c>
      <c r="M8610">
        <v>189</v>
      </c>
      <c r="N8610">
        <v>23684.14</v>
      </c>
      <c r="O8610">
        <v>125.31</v>
      </c>
    </row>
    <row r="8611" spans="1:15" x14ac:dyDescent="0.35">
      <c r="A8611" t="s">
        <v>9313</v>
      </c>
      <c r="B8611" t="s">
        <v>220</v>
      </c>
      <c r="C8611" t="s">
        <v>1059</v>
      </c>
      <c r="D8611" t="s">
        <v>293</v>
      </c>
      <c r="E8611" t="s">
        <v>296</v>
      </c>
      <c r="F8611" t="s">
        <v>9315</v>
      </c>
      <c r="G8611">
        <v>428</v>
      </c>
      <c r="H8611">
        <v>61823.029999999992</v>
      </c>
      <c r="I8611">
        <v>144.44999999999999</v>
      </c>
      <c r="J8611">
        <v>1</v>
      </c>
      <c r="K8611">
        <v>161.5</v>
      </c>
      <c r="L8611">
        <v>161.5</v>
      </c>
      <c r="M8611">
        <v>429</v>
      </c>
      <c r="N8611">
        <v>61984.529999999992</v>
      </c>
      <c r="O8611">
        <v>144.49</v>
      </c>
    </row>
    <row r="8612" spans="1:15" x14ac:dyDescent="0.35">
      <c r="A8612" t="s">
        <v>9313</v>
      </c>
      <c r="B8612" t="s">
        <v>220</v>
      </c>
      <c r="C8612" t="s">
        <v>1059</v>
      </c>
      <c r="D8612" t="s">
        <v>293</v>
      </c>
      <c r="E8612" t="s">
        <v>298</v>
      </c>
      <c r="F8612" t="s">
        <v>9316</v>
      </c>
      <c r="G8612">
        <v>366</v>
      </c>
      <c r="H8612">
        <v>53383.359999999993</v>
      </c>
      <c r="I8612">
        <v>145.86000000000001</v>
      </c>
      <c r="J8612">
        <v>1</v>
      </c>
      <c r="K8612">
        <v>190.4</v>
      </c>
      <c r="L8612">
        <v>190.4</v>
      </c>
      <c r="M8612">
        <v>367</v>
      </c>
      <c r="N8612">
        <v>53573.759999999995</v>
      </c>
      <c r="O8612">
        <v>145.97999999999999</v>
      </c>
    </row>
    <row r="8613" spans="1:15" x14ac:dyDescent="0.35">
      <c r="A8613" t="s">
        <v>9313</v>
      </c>
      <c r="B8613" t="s">
        <v>220</v>
      </c>
      <c r="C8613" t="s">
        <v>1059</v>
      </c>
      <c r="D8613" t="s">
        <v>293</v>
      </c>
      <c r="E8613" t="s">
        <v>300</v>
      </c>
      <c r="F8613" t="s">
        <v>9317</v>
      </c>
      <c r="G8613">
        <v>38</v>
      </c>
      <c r="H8613">
        <v>7015.09</v>
      </c>
      <c r="I8613">
        <v>184.61</v>
      </c>
      <c r="J8613">
        <v>0</v>
      </c>
      <c r="K8613">
        <v>0</v>
      </c>
      <c r="L8613">
        <v>0</v>
      </c>
      <c r="M8613">
        <v>38</v>
      </c>
      <c r="N8613">
        <v>7015.09</v>
      </c>
      <c r="O8613">
        <v>184.61</v>
      </c>
    </row>
    <row r="8614" spans="1:15" x14ac:dyDescent="0.35">
      <c r="A8614" t="s">
        <v>9313</v>
      </c>
      <c r="B8614" t="s">
        <v>220</v>
      </c>
      <c r="C8614" t="s">
        <v>1059</v>
      </c>
      <c r="D8614" t="s">
        <v>293</v>
      </c>
      <c r="E8614" t="s">
        <v>302</v>
      </c>
      <c r="F8614" t="s">
        <v>9318</v>
      </c>
      <c r="G8614">
        <v>0</v>
      </c>
      <c r="H8614">
        <v>0</v>
      </c>
      <c r="I8614">
        <v>0</v>
      </c>
      <c r="J8614">
        <v>0</v>
      </c>
      <c r="K8614">
        <v>0</v>
      </c>
      <c r="L8614">
        <v>0</v>
      </c>
      <c r="M8614">
        <v>0</v>
      </c>
      <c r="N8614">
        <v>0</v>
      </c>
      <c r="O8614">
        <v>0</v>
      </c>
    </row>
    <row r="8615" spans="1:15" x14ac:dyDescent="0.35">
      <c r="A8615" t="s">
        <v>9313</v>
      </c>
      <c r="B8615" t="s">
        <v>220</v>
      </c>
      <c r="C8615" t="s">
        <v>1059</v>
      </c>
      <c r="D8615" t="s">
        <v>293</v>
      </c>
      <c r="E8615" t="s">
        <v>304</v>
      </c>
      <c r="F8615" t="s">
        <v>9319</v>
      </c>
      <c r="G8615">
        <v>0</v>
      </c>
      <c r="H8615">
        <v>0</v>
      </c>
      <c r="I8615">
        <v>0</v>
      </c>
      <c r="J8615">
        <v>0</v>
      </c>
      <c r="K8615">
        <v>0</v>
      </c>
      <c r="L8615">
        <v>0</v>
      </c>
      <c r="M8615">
        <v>0</v>
      </c>
      <c r="N8615">
        <v>0</v>
      </c>
      <c r="O8615">
        <v>0</v>
      </c>
    </row>
    <row r="8616" spans="1:15" x14ac:dyDescent="0.35">
      <c r="A8616" t="s">
        <v>9313</v>
      </c>
      <c r="B8616" t="s">
        <v>220</v>
      </c>
      <c r="C8616" t="s">
        <v>1059</v>
      </c>
      <c r="D8616" t="s">
        <v>293</v>
      </c>
      <c r="E8616" t="s">
        <v>306</v>
      </c>
      <c r="F8616" t="s">
        <v>9320</v>
      </c>
      <c r="G8616">
        <v>4</v>
      </c>
      <c r="H8616">
        <v>484.48</v>
      </c>
      <c r="I8616">
        <v>121.12</v>
      </c>
      <c r="J8616">
        <v>0</v>
      </c>
      <c r="K8616">
        <v>0</v>
      </c>
      <c r="L8616">
        <v>0</v>
      </c>
      <c r="M8616">
        <v>4</v>
      </c>
      <c r="N8616">
        <v>484.48</v>
      </c>
      <c r="O8616">
        <v>121.12</v>
      </c>
    </row>
    <row r="8617" spans="1:15" x14ac:dyDescent="0.35">
      <c r="A8617" t="s">
        <v>9313</v>
      </c>
      <c r="B8617" t="s">
        <v>220</v>
      </c>
      <c r="C8617" t="s">
        <v>1059</v>
      </c>
      <c r="D8617" t="s">
        <v>293</v>
      </c>
      <c r="E8617" t="s">
        <v>308</v>
      </c>
      <c r="F8617" t="s">
        <v>9321</v>
      </c>
      <c r="G8617">
        <v>0</v>
      </c>
      <c r="H8617">
        <v>0</v>
      </c>
      <c r="I8617">
        <v>0</v>
      </c>
      <c r="J8617">
        <v>0</v>
      </c>
      <c r="K8617">
        <v>0</v>
      </c>
      <c r="L8617">
        <v>0</v>
      </c>
      <c r="M8617">
        <v>0</v>
      </c>
      <c r="N8617">
        <v>0</v>
      </c>
      <c r="O8617">
        <v>0</v>
      </c>
    </row>
    <row r="8618" spans="1:15" x14ac:dyDescent="0.35">
      <c r="A8618" t="s">
        <v>9313</v>
      </c>
      <c r="B8618" t="s">
        <v>220</v>
      </c>
      <c r="C8618" t="s">
        <v>1059</v>
      </c>
      <c r="D8618" t="s">
        <v>293</v>
      </c>
      <c r="E8618" t="s">
        <v>310</v>
      </c>
      <c r="F8618" t="s">
        <v>9322</v>
      </c>
      <c r="G8618">
        <v>1025</v>
      </c>
      <c r="H8618">
        <v>146390.09999999998</v>
      </c>
      <c r="I8618">
        <v>142.82</v>
      </c>
      <c r="J8618">
        <v>2</v>
      </c>
      <c r="K8618">
        <v>351.9</v>
      </c>
      <c r="L8618">
        <v>175.95</v>
      </c>
      <c r="M8618">
        <v>1027</v>
      </c>
      <c r="N8618">
        <v>146741.99999999997</v>
      </c>
      <c r="O8618">
        <v>142.88</v>
      </c>
    </row>
    <row r="8619" spans="1:15" x14ac:dyDescent="0.35">
      <c r="A8619" t="s">
        <v>9313</v>
      </c>
      <c r="B8619" t="s">
        <v>220</v>
      </c>
      <c r="C8619" t="s">
        <v>1059</v>
      </c>
      <c r="D8619" t="s">
        <v>293</v>
      </c>
      <c r="E8619" t="s">
        <v>312</v>
      </c>
      <c r="F8619" t="s">
        <v>9323</v>
      </c>
      <c r="G8619">
        <v>1025</v>
      </c>
      <c r="H8619">
        <v>146390.09999999998</v>
      </c>
      <c r="I8619">
        <v>142.82</v>
      </c>
      <c r="J8619">
        <v>2</v>
      </c>
      <c r="K8619">
        <v>351.9</v>
      </c>
      <c r="L8619">
        <v>175.95</v>
      </c>
      <c r="M8619">
        <v>1027</v>
      </c>
      <c r="N8619">
        <v>146741.99999999997</v>
      </c>
      <c r="O8619">
        <v>142.88</v>
      </c>
    </row>
    <row r="8620" spans="1:15" x14ac:dyDescent="0.35">
      <c r="A8620" t="s">
        <v>9313</v>
      </c>
      <c r="B8620" t="s">
        <v>220</v>
      </c>
      <c r="C8620" t="s">
        <v>1059</v>
      </c>
      <c r="D8620" t="s">
        <v>314</v>
      </c>
      <c r="E8620" t="s">
        <v>294</v>
      </c>
      <c r="F8620" t="s">
        <v>9324</v>
      </c>
      <c r="G8620">
        <v>108</v>
      </c>
      <c r="H8620">
        <v>27119.68</v>
      </c>
      <c r="I8620">
        <v>251.11</v>
      </c>
      <c r="J8620">
        <v>0</v>
      </c>
      <c r="K8620">
        <v>0</v>
      </c>
      <c r="L8620">
        <v>0</v>
      </c>
      <c r="M8620">
        <v>108</v>
      </c>
      <c r="N8620">
        <v>27119.68</v>
      </c>
      <c r="O8620">
        <v>251.11</v>
      </c>
    </row>
    <row r="8621" spans="1:15" x14ac:dyDescent="0.35">
      <c r="A8621" t="s">
        <v>9313</v>
      </c>
      <c r="B8621" t="s">
        <v>220</v>
      </c>
      <c r="C8621" t="s">
        <v>1059</v>
      </c>
      <c r="D8621" t="s">
        <v>314</v>
      </c>
      <c r="E8621" t="s">
        <v>296</v>
      </c>
      <c r="F8621" t="s">
        <v>9325</v>
      </c>
      <c r="G8621">
        <v>64</v>
      </c>
      <c r="H8621">
        <v>16283.24</v>
      </c>
      <c r="I8621">
        <v>254.43</v>
      </c>
      <c r="J8621">
        <v>0</v>
      </c>
      <c r="K8621">
        <v>0</v>
      </c>
      <c r="L8621">
        <v>0</v>
      </c>
      <c r="M8621">
        <v>64</v>
      </c>
      <c r="N8621">
        <v>16283.24</v>
      </c>
      <c r="O8621">
        <v>254.43</v>
      </c>
    </row>
    <row r="8622" spans="1:15" x14ac:dyDescent="0.35">
      <c r="A8622" t="s">
        <v>9313</v>
      </c>
      <c r="B8622" t="s">
        <v>220</v>
      </c>
      <c r="C8622" t="s">
        <v>1059</v>
      </c>
      <c r="D8622" t="s">
        <v>314</v>
      </c>
      <c r="E8622" t="s">
        <v>298</v>
      </c>
      <c r="F8622" t="s">
        <v>9326</v>
      </c>
      <c r="G8622">
        <v>0</v>
      </c>
      <c r="H8622">
        <v>0</v>
      </c>
      <c r="I8622">
        <v>0</v>
      </c>
      <c r="J8622">
        <v>0</v>
      </c>
      <c r="K8622">
        <v>0</v>
      </c>
      <c r="L8622">
        <v>0</v>
      </c>
      <c r="M8622">
        <v>0</v>
      </c>
      <c r="N8622">
        <v>0</v>
      </c>
      <c r="O8622">
        <v>0</v>
      </c>
    </row>
    <row r="8623" spans="1:15" x14ac:dyDescent="0.35">
      <c r="A8623" t="s">
        <v>9313</v>
      </c>
      <c r="B8623" t="s">
        <v>220</v>
      </c>
      <c r="C8623" t="s">
        <v>1059</v>
      </c>
      <c r="D8623" t="s">
        <v>314</v>
      </c>
      <c r="E8623" t="s">
        <v>300</v>
      </c>
      <c r="F8623" t="s">
        <v>9327</v>
      </c>
      <c r="G8623">
        <v>0</v>
      </c>
      <c r="H8623">
        <v>0</v>
      </c>
      <c r="I8623">
        <v>0</v>
      </c>
      <c r="J8623">
        <v>0</v>
      </c>
      <c r="K8623">
        <v>0</v>
      </c>
      <c r="L8623">
        <v>0</v>
      </c>
      <c r="M8623">
        <v>0</v>
      </c>
      <c r="N8623">
        <v>0</v>
      </c>
      <c r="O8623">
        <v>0</v>
      </c>
    </row>
    <row r="8624" spans="1:15" x14ac:dyDescent="0.35">
      <c r="A8624" t="s">
        <v>9313</v>
      </c>
      <c r="B8624" t="s">
        <v>220</v>
      </c>
      <c r="C8624" t="s">
        <v>1059</v>
      </c>
      <c r="D8624" t="s">
        <v>314</v>
      </c>
      <c r="E8624" t="s">
        <v>306</v>
      </c>
      <c r="F8624" t="s">
        <v>9328</v>
      </c>
      <c r="G8624">
        <v>0</v>
      </c>
      <c r="H8624">
        <v>0</v>
      </c>
      <c r="I8624">
        <v>0</v>
      </c>
      <c r="J8624">
        <v>0</v>
      </c>
      <c r="K8624">
        <v>0</v>
      </c>
      <c r="L8624">
        <v>0</v>
      </c>
      <c r="M8624">
        <v>0</v>
      </c>
      <c r="N8624">
        <v>0</v>
      </c>
      <c r="O8624">
        <v>0</v>
      </c>
    </row>
    <row r="8625" spans="1:15" x14ac:dyDescent="0.35">
      <c r="A8625" t="s">
        <v>9313</v>
      </c>
      <c r="B8625" t="s">
        <v>220</v>
      </c>
      <c r="C8625" t="s">
        <v>1059</v>
      </c>
      <c r="D8625" t="s">
        <v>314</v>
      </c>
      <c r="E8625" t="s">
        <v>308</v>
      </c>
      <c r="F8625" t="s">
        <v>9329</v>
      </c>
      <c r="G8625">
        <v>0</v>
      </c>
      <c r="H8625">
        <v>0</v>
      </c>
      <c r="I8625">
        <v>0</v>
      </c>
      <c r="J8625">
        <v>0</v>
      </c>
      <c r="K8625">
        <v>0</v>
      </c>
      <c r="L8625">
        <v>0</v>
      </c>
      <c r="M8625">
        <v>0</v>
      </c>
      <c r="N8625">
        <v>0</v>
      </c>
      <c r="O8625">
        <v>0</v>
      </c>
    </row>
    <row r="8626" spans="1:15" x14ac:dyDescent="0.35">
      <c r="A8626" t="s">
        <v>9313</v>
      </c>
      <c r="B8626" t="s">
        <v>220</v>
      </c>
      <c r="C8626" t="s">
        <v>1059</v>
      </c>
      <c r="D8626" t="s">
        <v>314</v>
      </c>
      <c r="E8626" t="s">
        <v>312</v>
      </c>
      <c r="F8626" t="s">
        <v>9330</v>
      </c>
      <c r="G8626">
        <v>172</v>
      </c>
      <c r="H8626">
        <v>43402.92</v>
      </c>
      <c r="I8626">
        <v>252.34</v>
      </c>
      <c r="J8626">
        <v>0</v>
      </c>
      <c r="K8626">
        <v>0</v>
      </c>
      <c r="L8626">
        <v>0</v>
      </c>
      <c r="M8626">
        <v>172</v>
      </c>
      <c r="N8626">
        <v>43402.92</v>
      </c>
      <c r="O8626">
        <v>252.34</v>
      </c>
    </row>
    <row r="8627" spans="1:15" x14ac:dyDescent="0.35">
      <c r="A8627" t="s">
        <v>9313</v>
      </c>
      <c r="B8627" t="s">
        <v>220</v>
      </c>
      <c r="C8627" t="s">
        <v>1059</v>
      </c>
      <c r="D8627" t="s">
        <v>314</v>
      </c>
      <c r="E8627" t="s">
        <v>310</v>
      </c>
      <c r="F8627" t="s">
        <v>9331</v>
      </c>
      <c r="G8627">
        <v>172</v>
      </c>
      <c r="H8627">
        <v>43402.92</v>
      </c>
      <c r="I8627">
        <v>252.34</v>
      </c>
      <c r="J8627">
        <v>0</v>
      </c>
      <c r="K8627">
        <v>0</v>
      </c>
      <c r="L8627">
        <v>0</v>
      </c>
      <c r="M8627">
        <v>172</v>
      </c>
      <c r="N8627">
        <v>43402.92</v>
      </c>
      <c r="O8627">
        <v>252.34</v>
      </c>
    </row>
    <row r="8628" spans="1:15" x14ac:dyDescent="0.35">
      <c r="A8628" t="s">
        <v>9313</v>
      </c>
      <c r="B8628" t="s">
        <v>220</v>
      </c>
      <c r="C8628" t="s">
        <v>1059</v>
      </c>
      <c r="D8628" t="s">
        <v>323</v>
      </c>
      <c r="E8628" t="s">
        <v>294</v>
      </c>
      <c r="F8628" t="s">
        <v>9332</v>
      </c>
      <c r="G8628">
        <v>1187</v>
      </c>
      <c r="H8628">
        <v>107814.88</v>
      </c>
      <c r="I8628">
        <v>90.83</v>
      </c>
      <c r="J8628">
        <v>0</v>
      </c>
      <c r="K8628">
        <v>0</v>
      </c>
      <c r="L8628">
        <v>0</v>
      </c>
      <c r="M8628">
        <v>1187</v>
      </c>
      <c r="N8628">
        <v>107814.88</v>
      </c>
      <c r="O8628">
        <v>90.83</v>
      </c>
    </row>
    <row r="8629" spans="1:15" x14ac:dyDescent="0.35">
      <c r="A8629" t="s">
        <v>9313</v>
      </c>
      <c r="B8629" t="s">
        <v>220</v>
      </c>
      <c r="C8629" t="s">
        <v>1059</v>
      </c>
      <c r="D8629" t="s">
        <v>323</v>
      </c>
      <c r="E8629" t="s">
        <v>296</v>
      </c>
      <c r="F8629" t="s">
        <v>9333</v>
      </c>
      <c r="G8629">
        <v>1827</v>
      </c>
      <c r="H8629">
        <v>196730.29</v>
      </c>
      <c r="I8629">
        <v>107.68</v>
      </c>
      <c r="J8629">
        <v>0</v>
      </c>
      <c r="K8629">
        <v>0</v>
      </c>
      <c r="L8629">
        <v>0</v>
      </c>
      <c r="M8629">
        <v>1827</v>
      </c>
      <c r="N8629">
        <v>196730.29</v>
      </c>
      <c r="O8629">
        <v>107.68</v>
      </c>
    </row>
    <row r="8630" spans="1:15" x14ac:dyDescent="0.35">
      <c r="A8630" t="s">
        <v>9313</v>
      </c>
      <c r="B8630" t="s">
        <v>220</v>
      </c>
      <c r="C8630" t="s">
        <v>1059</v>
      </c>
      <c r="D8630" t="s">
        <v>323</v>
      </c>
      <c r="E8630" t="s">
        <v>298</v>
      </c>
      <c r="F8630" t="s">
        <v>9334</v>
      </c>
      <c r="G8630">
        <v>2053</v>
      </c>
      <c r="H8630">
        <v>242230.75</v>
      </c>
      <c r="I8630">
        <v>117.99</v>
      </c>
      <c r="J8630">
        <v>0</v>
      </c>
      <c r="K8630">
        <v>0</v>
      </c>
      <c r="L8630">
        <v>0</v>
      </c>
      <c r="M8630">
        <v>2053</v>
      </c>
      <c r="N8630">
        <v>242230.75</v>
      </c>
      <c r="O8630">
        <v>117.99</v>
      </c>
    </row>
    <row r="8631" spans="1:15" x14ac:dyDescent="0.35">
      <c r="A8631" t="s">
        <v>9313</v>
      </c>
      <c r="B8631" t="s">
        <v>220</v>
      </c>
      <c r="C8631" t="s">
        <v>1059</v>
      </c>
      <c r="D8631" t="s">
        <v>323</v>
      </c>
      <c r="E8631" t="s">
        <v>300</v>
      </c>
      <c r="F8631" t="s">
        <v>9335</v>
      </c>
      <c r="G8631">
        <v>171</v>
      </c>
      <c r="H8631">
        <v>23762.699999999997</v>
      </c>
      <c r="I8631">
        <v>138.96</v>
      </c>
      <c r="J8631">
        <v>0</v>
      </c>
      <c r="K8631">
        <v>0</v>
      </c>
      <c r="L8631">
        <v>0</v>
      </c>
      <c r="M8631">
        <v>171</v>
      </c>
      <c r="N8631">
        <v>23762.699999999997</v>
      </c>
      <c r="O8631">
        <v>138.96</v>
      </c>
    </row>
    <row r="8632" spans="1:15" x14ac:dyDescent="0.35">
      <c r="A8632" t="s">
        <v>9313</v>
      </c>
      <c r="B8632" t="s">
        <v>220</v>
      </c>
      <c r="C8632" t="s">
        <v>1059</v>
      </c>
      <c r="D8632" t="s">
        <v>323</v>
      </c>
      <c r="E8632" t="s">
        <v>302</v>
      </c>
      <c r="F8632" t="s">
        <v>9336</v>
      </c>
      <c r="G8632">
        <v>1</v>
      </c>
      <c r="H8632">
        <v>170.12</v>
      </c>
      <c r="I8632">
        <v>170.12</v>
      </c>
      <c r="J8632">
        <v>0</v>
      </c>
      <c r="K8632">
        <v>0</v>
      </c>
      <c r="L8632">
        <v>0</v>
      </c>
      <c r="M8632">
        <v>1</v>
      </c>
      <c r="N8632">
        <v>170.12</v>
      </c>
      <c r="O8632">
        <v>170.12</v>
      </c>
    </row>
    <row r="8633" spans="1:15" x14ac:dyDescent="0.35">
      <c r="A8633" t="s">
        <v>9313</v>
      </c>
      <c r="B8633" t="s">
        <v>220</v>
      </c>
      <c r="C8633" t="s">
        <v>1059</v>
      </c>
      <c r="D8633" t="s">
        <v>323</v>
      </c>
      <c r="E8633" t="s">
        <v>304</v>
      </c>
      <c r="F8633" t="s">
        <v>9337</v>
      </c>
      <c r="G8633">
        <v>1</v>
      </c>
      <c r="H8633">
        <v>195.31</v>
      </c>
      <c r="I8633">
        <v>195.31</v>
      </c>
      <c r="J8633">
        <v>0</v>
      </c>
      <c r="K8633">
        <v>0</v>
      </c>
      <c r="L8633">
        <v>0</v>
      </c>
      <c r="M8633">
        <v>1</v>
      </c>
      <c r="N8633">
        <v>195.31</v>
      </c>
      <c r="O8633">
        <v>195.31</v>
      </c>
    </row>
    <row r="8634" spans="1:15" x14ac:dyDescent="0.35">
      <c r="A8634" t="s">
        <v>9313</v>
      </c>
      <c r="B8634" t="s">
        <v>220</v>
      </c>
      <c r="C8634" t="s">
        <v>1059</v>
      </c>
      <c r="D8634" t="s">
        <v>323</v>
      </c>
      <c r="E8634" t="s">
        <v>306</v>
      </c>
      <c r="F8634" t="s">
        <v>9338</v>
      </c>
      <c r="G8634">
        <v>177</v>
      </c>
      <c r="H8634">
        <v>13465.400000000001</v>
      </c>
      <c r="I8634">
        <v>76.08</v>
      </c>
      <c r="J8634">
        <v>0</v>
      </c>
      <c r="K8634">
        <v>0</v>
      </c>
      <c r="L8634">
        <v>0</v>
      </c>
      <c r="M8634">
        <v>177</v>
      </c>
      <c r="N8634">
        <v>13465.400000000001</v>
      </c>
      <c r="O8634">
        <v>76.08</v>
      </c>
    </row>
    <row r="8635" spans="1:15" x14ac:dyDescent="0.35">
      <c r="A8635" t="s">
        <v>9313</v>
      </c>
      <c r="B8635" t="s">
        <v>220</v>
      </c>
      <c r="C8635" t="s">
        <v>1059</v>
      </c>
      <c r="D8635" t="s">
        <v>323</v>
      </c>
      <c r="E8635" t="s">
        <v>308</v>
      </c>
      <c r="F8635" t="s">
        <v>9339</v>
      </c>
      <c r="G8635">
        <v>0</v>
      </c>
      <c r="H8635">
        <v>0</v>
      </c>
      <c r="I8635">
        <v>0</v>
      </c>
      <c r="J8635">
        <v>0</v>
      </c>
      <c r="K8635">
        <v>0</v>
      </c>
      <c r="L8635">
        <v>0</v>
      </c>
      <c r="M8635">
        <v>0</v>
      </c>
      <c r="N8635">
        <v>0</v>
      </c>
      <c r="O8635">
        <v>0</v>
      </c>
    </row>
    <row r="8636" spans="1:15" x14ac:dyDescent="0.35">
      <c r="A8636" t="s">
        <v>9313</v>
      </c>
      <c r="B8636" t="s">
        <v>220</v>
      </c>
      <c r="C8636" t="s">
        <v>1059</v>
      </c>
      <c r="D8636" t="s">
        <v>323</v>
      </c>
      <c r="E8636" t="s">
        <v>310</v>
      </c>
      <c r="F8636" t="s">
        <v>9340</v>
      </c>
      <c r="G8636">
        <v>5417</v>
      </c>
      <c r="H8636">
        <v>584369.45000000007</v>
      </c>
      <c r="I8636">
        <v>107.88</v>
      </c>
      <c r="J8636">
        <v>0</v>
      </c>
      <c r="K8636">
        <v>0</v>
      </c>
      <c r="L8636">
        <v>0</v>
      </c>
      <c r="M8636">
        <v>5417</v>
      </c>
      <c r="N8636">
        <v>584369.45000000007</v>
      </c>
      <c r="O8636">
        <v>107.88</v>
      </c>
    </row>
    <row r="8637" spans="1:15" x14ac:dyDescent="0.35">
      <c r="A8637" t="s">
        <v>9313</v>
      </c>
      <c r="B8637" t="s">
        <v>220</v>
      </c>
      <c r="C8637" t="s">
        <v>1059</v>
      </c>
      <c r="D8637" t="s">
        <v>323</v>
      </c>
      <c r="E8637" t="s">
        <v>312</v>
      </c>
      <c r="F8637" t="s">
        <v>9341</v>
      </c>
      <c r="G8637">
        <v>5417</v>
      </c>
      <c r="H8637">
        <v>584369.45000000007</v>
      </c>
      <c r="I8637">
        <v>107.88</v>
      </c>
      <c r="J8637">
        <v>0</v>
      </c>
      <c r="K8637">
        <v>0</v>
      </c>
      <c r="L8637">
        <v>0</v>
      </c>
      <c r="M8637">
        <v>5417</v>
      </c>
      <c r="N8637">
        <v>584369.45000000007</v>
      </c>
      <c r="O8637">
        <v>107.88</v>
      </c>
    </row>
    <row r="8638" spans="1:15" x14ac:dyDescent="0.35">
      <c r="A8638" t="s">
        <v>9313</v>
      </c>
      <c r="B8638" t="s">
        <v>220</v>
      </c>
      <c r="C8638" t="s">
        <v>1059</v>
      </c>
      <c r="D8638" t="s">
        <v>334</v>
      </c>
      <c r="E8638" t="s">
        <v>312</v>
      </c>
      <c r="F8638" t="s">
        <v>9342</v>
      </c>
      <c r="G8638">
        <v>6514</v>
      </c>
      <c r="H8638">
        <v>730759.55</v>
      </c>
      <c r="I8638">
        <v>113.44</v>
      </c>
      <c r="J8638">
        <v>2</v>
      </c>
      <c r="K8638">
        <v>351.9</v>
      </c>
      <c r="L8638">
        <v>175.95</v>
      </c>
      <c r="M8638">
        <v>6516</v>
      </c>
      <c r="N8638">
        <v>731111.45000000007</v>
      </c>
      <c r="O8638">
        <v>113.46</v>
      </c>
    </row>
    <row r="8639" spans="1:15" x14ac:dyDescent="0.35">
      <c r="A8639" t="s">
        <v>9313</v>
      </c>
      <c r="B8639" t="s">
        <v>220</v>
      </c>
      <c r="C8639" t="s">
        <v>1059</v>
      </c>
      <c r="D8639" t="s">
        <v>334</v>
      </c>
      <c r="E8639" t="s">
        <v>308</v>
      </c>
      <c r="F8639" t="s">
        <v>9343</v>
      </c>
      <c r="G8639">
        <v>46</v>
      </c>
      <c r="H8639">
        <v>0</v>
      </c>
      <c r="I8639">
        <v>0</v>
      </c>
      <c r="J8639">
        <v>0</v>
      </c>
      <c r="K8639">
        <v>0</v>
      </c>
      <c r="L8639">
        <v>0</v>
      </c>
      <c r="M8639">
        <v>46</v>
      </c>
      <c r="N8639">
        <v>0</v>
      </c>
      <c r="O8639">
        <v>0</v>
      </c>
    </row>
    <row r="8640" spans="1:15" x14ac:dyDescent="0.35">
      <c r="A8640" t="s">
        <v>9313</v>
      </c>
      <c r="B8640" t="s">
        <v>220</v>
      </c>
      <c r="C8640" t="s">
        <v>1059</v>
      </c>
      <c r="D8640" t="s">
        <v>337</v>
      </c>
      <c r="E8640" t="s">
        <v>337</v>
      </c>
      <c r="F8640" t="s">
        <v>9344</v>
      </c>
      <c r="G8640">
        <v>589</v>
      </c>
      <c r="J8640">
        <v>0</v>
      </c>
      <c r="M8640">
        <v>589</v>
      </c>
    </row>
    <row r="8641" spans="1:15" x14ac:dyDescent="0.35">
      <c r="A8641" t="s">
        <v>9313</v>
      </c>
      <c r="B8641" t="s">
        <v>220</v>
      </c>
      <c r="C8641" t="s">
        <v>1059</v>
      </c>
      <c r="D8641" t="s">
        <v>339</v>
      </c>
      <c r="E8641" t="s">
        <v>294</v>
      </c>
      <c r="F8641" t="s">
        <v>9345</v>
      </c>
      <c r="G8641">
        <v>786</v>
      </c>
      <c r="H8641">
        <v>81795.040000000008</v>
      </c>
      <c r="I8641">
        <v>104.06</v>
      </c>
      <c r="J8641">
        <v>0</v>
      </c>
      <c r="K8641">
        <v>0</v>
      </c>
      <c r="L8641">
        <v>0</v>
      </c>
      <c r="M8641">
        <v>786</v>
      </c>
      <c r="N8641">
        <v>81795.040000000008</v>
      </c>
      <c r="O8641">
        <v>104.06</v>
      </c>
    </row>
    <row r="8642" spans="1:15" x14ac:dyDescent="0.35">
      <c r="A8642" t="s">
        <v>9313</v>
      </c>
      <c r="B8642" t="s">
        <v>220</v>
      </c>
      <c r="C8642" t="s">
        <v>1059</v>
      </c>
      <c r="D8642" t="s">
        <v>339</v>
      </c>
      <c r="E8642" t="s">
        <v>296</v>
      </c>
      <c r="F8642" t="s">
        <v>9346</v>
      </c>
      <c r="G8642">
        <v>191</v>
      </c>
      <c r="H8642">
        <v>24217.149999999998</v>
      </c>
      <c r="I8642">
        <v>126.79</v>
      </c>
      <c r="J8642">
        <v>0</v>
      </c>
      <c r="K8642">
        <v>0</v>
      </c>
      <c r="L8642">
        <v>0</v>
      </c>
      <c r="M8642">
        <v>191</v>
      </c>
      <c r="N8642">
        <v>24217.149999999998</v>
      </c>
      <c r="O8642">
        <v>126.79</v>
      </c>
    </row>
    <row r="8643" spans="1:15" x14ac:dyDescent="0.35">
      <c r="A8643" t="s">
        <v>9313</v>
      </c>
      <c r="B8643" t="s">
        <v>220</v>
      </c>
      <c r="C8643" t="s">
        <v>1059</v>
      </c>
      <c r="D8643" t="s">
        <v>339</v>
      </c>
      <c r="E8643" t="s">
        <v>298</v>
      </c>
      <c r="F8643" t="s">
        <v>9347</v>
      </c>
      <c r="G8643">
        <v>1</v>
      </c>
      <c r="H8643">
        <v>156.80000000000001</v>
      </c>
      <c r="I8643">
        <v>156.80000000000001</v>
      </c>
      <c r="J8643">
        <v>0</v>
      </c>
      <c r="K8643">
        <v>0</v>
      </c>
      <c r="L8643">
        <v>0</v>
      </c>
      <c r="M8643">
        <v>1</v>
      </c>
      <c r="N8643">
        <v>156.80000000000001</v>
      </c>
      <c r="O8643">
        <v>156.80000000000001</v>
      </c>
    </row>
    <row r="8644" spans="1:15" x14ac:dyDescent="0.35">
      <c r="A8644" t="s">
        <v>9313</v>
      </c>
      <c r="B8644" t="s">
        <v>220</v>
      </c>
      <c r="C8644" t="s">
        <v>1059</v>
      </c>
      <c r="D8644" t="s">
        <v>339</v>
      </c>
      <c r="E8644" t="s">
        <v>300</v>
      </c>
      <c r="F8644" t="s">
        <v>9348</v>
      </c>
      <c r="G8644">
        <v>0</v>
      </c>
      <c r="H8644">
        <v>0</v>
      </c>
      <c r="I8644">
        <v>0</v>
      </c>
      <c r="J8644">
        <v>0</v>
      </c>
      <c r="K8644">
        <v>0</v>
      </c>
      <c r="L8644">
        <v>0</v>
      </c>
      <c r="M8644">
        <v>0</v>
      </c>
      <c r="N8644">
        <v>0</v>
      </c>
      <c r="O8644">
        <v>0</v>
      </c>
    </row>
    <row r="8645" spans="1:15" x14ac:dyDescent="0.35">
      <c r="A8645" t="s">
        <v>9313</v>
      </c>
      <c r="B8645" t="s">
        <v>220</v>
      </c>
      <c r="C8645" t="s">
        <v>1059</v>
      </c>
      <c r="D8645" t="s">
        <v>339</v>
      </c>
      <c r="E8645" t="s">
        <v>306</v>
      </c>
      <c r="F8645" t="s">
        <v>9349</v>
      </c>
      <c r="G8645">
        <v>37</v>
      </c>
      <c r="H8645">
        <v>3398.08</v>
      </c>
      <c r="I8645">
        <v>91.84</v>
      </c>
      <c r="J8645">
        <v>0</v>
      </c>
      <c r="K8645">
        <v>0</v>
      </c>
      <c r="L8645">
        <v>0</v>
      </c>
      <c r="M8645">
        <v>37</v>
      </c>
      <c r="N8645">
        <v>3398.08</v>
      </c>
      <c r="O8645">
        <v>91.84</v>
      </c>
    </row>
    <row r="8646" spans="1:15" x14ac:dyDescent="0.35">
      <c r="A8646" t="s">
        <v>9313</v>
      </c>
      <c r="B8646" t="s">
        <v>220</v>
      </c>
      <c r="C8646" t="s">
        <v>1059</v>
      </c>
      <c r="D8646" t="s">
        <v>339</v>
      </c>
      <c r="E8646" t="s">
        <v>308</v>
      </c>
      <c r="F8646" t="s">
        <v>9350</v>
      </c>
      <c r="G8646">
        <v>123</v>
      </c>
      <c r="H8646">
        <v>14697.320000000002</v>
      </c>
      <c r="I8646">
        <v>119.49</v>
      </c>
      <c r="J8646">
        <v>0</v>
      </c>
      <c r="K8646">
        <v>0</v>
      </c>
      <c r="L8646">
        <v>0</v>
      </c>
      <c r="M8646">
        <v>123</v>
      </c>
      <c r="N8646">
        <v>14697.320000000002</v>
      </c>
      <c r="O8646">
        <v>119.49</v>
      </c>
    </row>
    <row r="8647" spans="1:15" x14ac:dyDescent="0.35">
      <c r="A8647" t="s">
        <v>9313</v>
      </c>
      <c r="B8647" t="s">
        <v>220</v>
      </c>
      <c r="C8647" t="s">
        <v>1059</v>
      </c>
      <c r="D8647" t="s">
        <v>339</v>
      </c>
      <c r="E8647" t="s">
        <v>310</v>
      </c>
      <c r="F8647" t="s">
        <v>9351</v>
      </c>
      <c r="G8647">
        <v>1138</v>
      </c>
      <c r="H8647">
        <v>124264.39000000001</v>
      </c>
      <c r="I8647">
        <v>109.2</v>
      </c>
      <c r="J8647">
        <v>0</v>
      </c>
      <c r="K8647">
        <v>0</v>
      </c>
      <c r="L8647">
        <v>0</v>
      </c>
      <c r="M8647">
        <v>1138</v>
      </c>
      <c r="N8647">
        <v>124264.39000000001</v>
      </c>
      <c r="O8647">
        <v>109.2</v>
      </c>
    </row>
    <row r="8648" spans="1:15" x14ac:dyDescent="0.35">
      <c r="A8648" t="s">
        <v>9313</v>
      </c>
      <c r="B8648" t="s">
        <v>220</v>
      </c>
      <c r="C8648" t="s">
        <v>1059</v>
      </c>
      <c r="D8648" t="s">
        <v>339</v>
      </c>
      <c r="E8648" t="s">
        <v>312</v>
      </c>
      <c r="F8648" t="s">
        <v>9352</v>
      </c>
      <c r="G8648">
        <v>1015</v>
      </c>
      <c r="H8648">
        <v>109567.07</v>
      </c>
      <c r="I8648">
        <v>107.95</v>
      </c>
      <c r="J8648">
        <v>0</v>
      </c>
      <c r="K8648">
        <v>0</v>
      </c>
      <c r="L8648">
        <v>0</v>
      </c>
      <c r="M8648">
        <v>1015</v>
      </c>
      <c r="N8648">
        <v>109567.07</v>
      </c>
      <c r="O8648">
        <v>107.95</v>
      </c>
    </row>
    <row r="8649" spans="1:15" x14ac:dyDescent="0.35">
      <c r="A8649" t="s">
        <v>9313</v>
      </c>
      <c r="B8649" t="s">
        <v>220</v>
      </c>
      <c r="C8649" t="s">
        <v>1059</v>
      </c>
      <c r="D8649" t="s">
        <v>348</v>
      </c>
      <c r="E8649" t="s">
        <v>349</v>
      </c>
      <c r="F8649" t="s">
        <v>9353</v>
      </c>
      <c r="G8649">
        <v>1445</v>
      </c>
      <c r="H8649">
        <v>167667.31</v>
      </c>
      <c r="I8649">
        <v>127.99</v>
      </c>
      <c r="J8649">
        <v>0</v>
      </c>
      <c r="K8649">
        <v>0</v>
      </c>
      <c r="L8649">
        <v>0</v>
      </c>
      <c r="M8649">
        <v>1445</v>
      </c>
      <c r="N8649">
        <v>167667.31</v>
      </c>
      <c r="O8649">
        <v>127.99</v>
      </c>
    </row>
    <row r="8650" spans="1:15" x14ac:dyDescent="0.35">
      <c r="A8650" t="s">
        <v>9354</v>
      </c>
      <c r="B8650" t="s">
        <v>222</v>
      </c>
      <c r="C8650" t="s">
        <v>1059</v>
      </c>
      <c r="D8650" t="s">
        <v>293</v>
      </c>
      <c r="E8650" t="s">
        <v>294</v>
      </c>
      <c r="F8650" t="s">
        <v>9355</v>
      </c>
      <c r="G8650">
        <v>288</v>
      </c>
      <c r="H8650">
        <v>34870.65</v>
      </c>
      <c r="I8650">
        <v>121.08</v>
      </c>
      <c r="J8650">
        <v>0</v>
      </c>
      <c r="K8650">
        <v>0</v>
      </c>
      <c r="L8650">
        <v>0</v>
      </c>
      <c r="M8650">
        <v>288</v>
      </c>
      <c r="N8650">
        <v>34870.65</v>
      </c>
      <c r="O8650">
        <v>121.08</v>
      </c>
    </row>
    <row r="8651" spans="1:15" x14ac:dyDescent="0.35">
      <c r="A8651" t="s">
        <v>9354</v>
      </c>
      <c r="B8651" t="s">
        <v>222</v>
      </c>
      <c r="C8651" t="s">
        <v>1059</v>
      </c>
      <c r="D8651" t="s">
        <v>293</v>
      </c>
      <c r="E8651" t="s">
        <v>296</v>
      </c>
      <c r="F8651" t="s">
        <v>9356</v>
      </c>
      <c r="G8651">
        <v>564</v>
      </c>
      <c r="H8651">
        <v>83352.649999999994</v>
      </c>
      <c r="I8651">
        <v>147.79</v>
      </c>
      <c r="J8651">
        <v>0</v>
      </c>
      <c r="K8651">
        <v>0</v>
      </c>
      <c r="L8651">
        <v>0</v>
      </c>
      <c r="M8651">
        <v>564</v>
      </c>
      <c r="N8651">
        <v>83352.649999999994</v>
      </c>
      <c r="O8651">
        <v>147.79</v>
      </c>
    </row>
    <row r="8652" spans="1:15" x14ac:dyDescent="0.35">
      <c r="A8652" t="s">
        <v>9354</v>
      </c>
      <c r="B8652" t="s">
        <v>222</v>
      </c>
      <c r="C8652" t="s">
        <v>1059</v>
      </c>
      <c r="D8652" t="s">
        <v>293</v>
      </c>
      <c r="E8652" t="s">
        <v>298</v>
      </c>
      <c r="F8652" t="s">
        <v>9357</v>
      </c>
      <c r="G8652">
        <v>382</v>
      </c>
      <c r="H8652">
        <v>65392.140000000007</v>
      </c>
      <c r="I8652">
        <v>171.18</v>
      </c>
      <c r="J8652">
        <v>0</v>
      </c>
      <c r="K8652">
        <v>0</v>
      </c>
      <c r="L8652">
        <v>0</v>
      </c>
      <c r="M8652">
        <v>382</v>
      </c>
      <c r="N8652">
        <v>65392.140000000007</v>
      </c>
      <c r="O8652">
        <v>171.18</v>
      </c>
    </row>
    <row r="8653" spans="1:15" x14ac:dyDescent="0.35">
      <c r="A8653" t="s">
        <v>9354</v>
      </c>
      <c r="B8653" t="s">
        <v>222</v>
      </c>
      <c r="C8653" t="s">
        <v>1059</v>
      </c>
      <c r="D8653" t="s">
        <v>293</v>
      </c>
      <c r="E8653" t="s">
        <v>300</v>
      </c>
      <c r="F8653" t="s">
        <v>9358</v>
      </c>
      <c r="G8653">
        <v>50</v>
      </c>
      <c r="H8653">
        <v>10970.25</v>
      </c>
      <c r="I8653">
        <v>219.41</v>
      </c>
      <c r="J8653">
        <v>0</v>
      </c>
      <c r="K8653">
        <v>0</v>
      </c>
      <c r="L8653">
        <v>0</v>
      </c>
      <c r="M8653">
        <v>50</v>
      </c>
      <c r="N8653">
        <v>10970.25</v>
      </c>
      <c r="O8653">
        <v>219.41</v>
      </c>
    </row>
    <row r="8654" spans="1:15" x14ac:dyDescent="0.35">
      <c r="A8654" t="s">
        <v>9354</v>
      </c>
      <c r="B8654" t="s">
        <v>222</v>
      </c>
      <c r="C8654" t="s">
        <v>1059</v>
      </c>
      <c r="D8654" t="s">
        <v>293</v>
      </c>
      <c r="E8654" t="s">
        <v>302</v>
      </c>
      <c r="F8654" t="s">
        <v>9359</v>
      </c>
      <c r="G8654">
        <v>0</v>
      </c>
      <c r="H8654">
        <v>0</v>
      </c>
      <c r="I8654">
        <v>0</v>
      </c>
      <c r="J8654">
        <v>0</v>
      </c>
      <c r="K8654">
        <v>0</v>
      </c>
      <c r="L8654">
        <v>0</v>
      </c>
      <c r="M8654">
        <v>0</v>
      </c>
      <c r="N8654">
        <v>0</v>
      </c>
      <c r="O8654">
        <v>0</v>
      </c>
    </row>
    <row r="8655" spans="1:15" x14ac:dyDescent="0.35">
      <c r="A8655" t="s">
        <v>9354</v>
      </c>
      <c r="B8655" t="s">
        <v>222</v>
      </c>
      <c r="C8655" t="s">
        <v>1059</v>
      </c>
      <c r="D8655" t="s">
        <v>293</v>
      </c>
      <c r="E8655" t="s">
        <v>304</v>
      </c>
      <c r="F8655" t="s">
        <v>9360</v>
      </c>
      <c r="G8655">
        <v>0</v>
      </c>
      <c r="H8655">
        <v>0</v>
      </c>
      <c r="I8655">
        <v>0</v>
      </c>
      <c r="J8655">
        <v>0</v>
      </c>
      <c r="K8655">
        <v>0</v>
      </c>
      <c r="L8655">
        <v>0</v>
      </c>
      <c r="M8655">
        <v>0</v>
      </c>
      <c r="N8655">
        <v>0</v>
      </c>
      <c r="O8655">
        <v>0</v>
      </c>
    </row>
    <row r="8656" spans="1:15" x14ac:dyDescent="0.35">
      <c r="A8656" t="s">
        <v>9354</v>
      </c>
      <c r="B8656" t="s">
        <v>222</v>
      </c>
      <c r="C8656" t="s">
        <v>1059</v>
      </c>
      <c r="D8656" t="s">
        <v>293</v>
      </c>
      <c r="E8656" t="s">
        <v>306</v>
      </c>
      <c r="F8656" t="s">
        <v>9361</v>
      </c>
      <c r="G8656">
        <v>2</v>
      </c>
      <c r="H8656">
        <v>239.53</v>
      </c>
      <c r="I8656">
        <v>119.77</v>
      </c>
      <c r="J8656">
        <v>0</v>
      </c>
      <c r="K8656">
        <v>0</v>
      </c>
      <c r="L8656">
        <v>0</v>
      </c>
      <c r="M8656">
        <v>2</v>
      </c>
      <c r="N8656">
        <v>239.53</v>
      </c>
      <c r="O8656">
        <v>119.77</v>
      </c>
    </row>
    <row r="8657" spans="1:15" x14ac:dyDescent="0.35">
      <c r="A8657" t="s">
        <v>9354</v>
      </c>
      <c r="B8657" t="s">
        <v>222</v>
      </c>
      <c r="C8657" t="s">
        <v>1059</v>
      </c>
      <c r="D8657" t="s">
        <v>293</v>
      </c>
      <c r="E8657" t="s">
        <v>308</v>
      </c>
      <c r="F8657" t="s">
        <v>9362</v>
      </c>
      <c r="G8657">
        <v>0</v>
      </c>
      <c r="H8657">
        <v>0</v>
      </c>
      <c r="I8657">
        <v>0</v>
      </c>
      <c r="J8657">
        <v>0</v>
      </c>
      <c r="K8657">
        <v>0</v>
      </c>
      <c r="L8657">
        <v>0</v>
      </c>
      <c r="M8657">
        <v>0</v>
      </c>
      <c r="N8657">
        <v>0</v>
      </c>
      <c r="O8657">
        <v>0</v>
      </c>
    </row>
    <row r="8658" spans="1:15" x14ac:dyDescent="0.35">
      <c r="A8658" t="s">
        <v>9354</v>
      </c>
      <c r="B8658" t="s">
        <v>222</v>
      </c>
      <c r="C8658" t="s">
        <v>1059</v>
      </c>
      <c r="D8658" t="s">
        <v>293</v>
      </c>
      <c r="E8658" t="s">
        <v>310</v>
      </c>
      <c r="F8658" t="s">
        <v>9363</v>
      </c>
      <c r="G8658">
        <v>1286</v>
      </c>
      <c r="H8658">
        <v>194825.22</v>
      </c>
      <c r="I8658">
        <v>151.5</v>
      </c>
      <c r="J8658">
        <v>0</v>
      </c>
      <c r="K8658">
        <v>0</v>
      </c>
      <c r="L8658">
        <v>0</v>
      </c>
      <c r="M8658">
        <v>1286</v>
      </c>
      <c r="N8658">
        <v>194825.22</v>
      </c>
      <c r="O8658">
        <v>151.5</v>
      </c>
    </row>
    <row r="8659" spans="1:15" x14ac:dyDescent="0.35">
      <c r="A8659" t="s">
        <v>9354</v>
      </c>
      <c r="B8659" t="s">
        <v>222</v>
      </c>
      <c r="C8659" t="s">
        <v>1059</v>
      </c>
      <c r="D8659" t="s">
        <v>293</v>
      </c>
      <c r="E8659" t="s">
        <v>312</v>
      </c>
      <c r="F8659" t="s">
        <v>9364</v>
      </c>
      <c r="G8659">
        <v>1286</v>
      </c>
      <c r="H8659">
        <v>194825.22</v>
      </c>
      <c r="I8659">
        <v>151.5</v>
      </c>
      <c r="J8659">
        <v>0</v>
      </c>
      <c r="K8659">
        <v>0</v>
      </c>
      <c r="L8659">
        <v>0</v>
      </c>
      <c r="M8659">
        <v>1286</v>
      </c>
      <c r="N8659">
        <v>194825.22</v>
      </c>
      <c r="O8659">
        <v>151.5</v>
      </c>
    </row>
    <row r="8660" spans="1:15" x14ac:dyDescent="0.35">
      <c r="A8660" t="s">
        <v>9354</v>
      </c>
      <c r="B8660" t="s">
        <v>222</v>
      </c>
      <c r="C8660" t="s">
        <v>1059</v>
      </c>
      <c r="D8660" t="s">
        <v>314</v>
      </c>
      <c r="E8660" t="s">
        <v>294</v>
      </c>
      <c r="F8660" t="s">
        <v>9365</v>
      </c>
      <c r="G8660">
        <v>64</v>
      </c>
      <c r="H8660">
        <v>18531.579999999998</v>
      </c>
      <c r="I8660">
        <v>289.56</v>
      </c>
      <c r="J8660">
        <v>0</v>
      </c>
      <c r="K8660">
        <v>0</v>
      </c>
      <c r="L8660">
        <v>0</v>
      </c>
      <c r="M8660">
        <v>64</v>
      </c>
      <c r="N8660">
        <v>18531.579999999998</v>
      </c>
      <c r="O8660">
        <v>289.56</v>
      </c>
    </row>
    <row r="8661" spans="1:15" x14ac:dyDescent="0.35">
      <c r="A8661" t="s">
        <v>9354</v>
      </c>
      <c r="B8661" t="s">
        <v>222</v>
      </c>
      <c r="C8661" t="s">
        <v>1059</v>
      </c>
      <c r="D8661" t="s">
        <v>314</v>
      </c>
      <c r="E8661" t="s">
        <v>296</v>
      </c>
      <c r="F8661" t="s">
        <v>9366</v>
      </c>
      <c r="G8661">
        <v>19</v>
      </c>
      <c r="H8661">
        <v>5829.89</v>
      </c>
      <c r="I8661">
        <v>306.83999999999997</v>
      </c>
      <c r="J8661">
        <v>0</v>
      </c>
      <c r="K8661">
        <v>0</v>
      </c>
      <c r="L8661">
        <v>0</v>
      </c>
      <c r="M8661">
        <v>19</v>
      </c>
      <c r="N8661">
        <v>5829.89</v>
      </c>
      <c r="O8661">
        <v>306.83999999999997</v>
      </c>
    </row>
    <row r="8662" spans="1:15" x14ac:dyDescent="0.35">
      <c r="A8662" t="s">
        <v>9354</v>
      </c>
      <c r="B8662" t="s">
        <v>222</v>
      </c>
      <c r="C8662" t="s">
        <v>1059</v>
      </c>
      <c r="D8662" t="s">
        <v>314</v>
      </c>
      <c r="E8662" t="s">
        <v>298</v>
      </c>
      <c r="F8662" t="s">
        <v>9367</v>
      </c>
      <c r="G8662">
        <v>0</v>
      </c>
      <c r="H8662">
        <v>0</v>
      </c>
      <c r="I8662">
        <v>0</v>
      </c>
      <c r="J8662">
        <v>0</v>
      </c>
      <c r="K8662">
        <v>0</v>
      </c>
      <c r="L8662">
        <v>0</v>
      </c>
      <c r="M8662">
        <v>0</v>
      </c>
      <c r="N8662">
        <v>0</v>
      </c>
      <c r="O8662">
        <v>0</v>
      </c>
    </row>
    <row r="8663" spans="1:15" x14ac:dyDescent="0.35">
      <c r="A8663" t="s">
        <v>9354</v>
      </c>
      <c r="B8663" t="s">
        <v>222</v>
      </c>
      <c r="C8663" t="s">
        <v>1059</v>
      </c>
      <c r="D8663" t="s">
        <v>314</v>
      </c>
      <c r="E8663" t="s">
        <v>300</v>
      </c>
      <c r="F8663" t="s">
        <v>9368</v>
      </c>
      <c r="G8663">
        <v>0</v>
      </c>
      <c r="H8663">
        <v>0</v>
      </c>
      <c r="I8663">
        <v>0</v>
      </c>
      <c r="J8663">
        <v>0</v>
      </c>
      <c r="K8663">
        <v>0</v>
      </c>
      <c r="L8663">
        <v>0</v>
      </c>
      <c r="M8663">
        <v>0</v>
      </c>
      <c r="N8663">
        <v>0</v>
      </c>
      <c r="O8663">
        <v>0</v>
      </c>
    </row>
    <row r="8664" spans="1:15" x14ac:dyDescent="0.35">
      <c r="A8664" t="s">
        <v>9354</v>
      </c>
      <c r="B8664" t="s">
        <v>222</v>
      </c>
      <c r="C8664" t="s">
        <v>1059</v>
      </c>
      <c r="D8664" t="s">
        <v>314</v>
      </c>
      <c r="E8664" t="s">
        <v>306</v>
      </c>
      <c r="F8664" t="s">
        <v>9369</v>
      </c>
      <c r="G8664">
        <v>0</v>
      </c>
      <c r="H8664">
        <v>0</v>
      </c>
      <c r="I8664">
        <v>0</v>
      </c>
      <c r="J8664">
        <v>0</v>
      </c>
      <c r="K8664">
        <v>0</v>
      </c>
      <c r="L8664">
        <v>0</v>
      </c>
      <c r="M8664">
        <v>0</v>
      </c>
      <c r="N8664">
        <v>0</v>
      </c>
      <c r="O8664">
        <v>0</v>
      </c>
    </row>
    <row r="8665" spans="1:15" x14ac:dyDescent="0.35">
      <c r="A8665" t="s">
        <v>9354</v>
      </c>
      <c r="B8665" t="s">
        <v>222</v>
      </c>
      <c r="C8665" t="s">
        <v>1059</v>
      </c>
      <c r="D8665" t="s">
        <v>314</v>
      </c>
      <c r="E8665" t="s">
        <v>308</v>
      </c>
      <c r="F8665" t="s">
        <v>9370</v>
      </c>
      <c r="G8665">
        <v>0</v>
      </c>
      <c r="H8665">
        <v>0</v>
      </c>
      <c r="I8665">
        <v>0</v>
      </c>
      <c r="J8665">
        <v>0</v>
      </c>
      <c r="K8665">
        <v>0</v>
      </c>
      <c r="L8665">
        <v>0</v>
      </c>
      <c r="M8665">
        <v>0</v>
      </c>
      <c r="N8665">
        <v>0</v>
      </c>
      <c r="O8665">
        <v>0</v>
      </c>
    </row>
    <row r="8666" spans="1:15" x14ac:dyDescent="0.35">
      <c r="A8666" t="s">
        <v>9354</v>
      </c>
      <c r="B8666" t="s">
        <v>222</v>
      </c>
      <c r="C8666" t="s">
        <v>1059</v>
      </c>
      <c r="D8666" t="s">
        <v>314</v>
      </c>
      <c r="E8666" t="s">
        <v>312</v>
      </c>
      <c r="F8666" t="s">
        <v>9371</v>
      </c>
      <c r="G8666">
        <v>83</v>
      </c>
      <c r="H8666">
        <v>24361.469999999998</v>
      </c>
      <c r="I8666">
        <v>293.51</v>
      </c>
      <c r="J8666">
        <v>0</v>
      </c>
      <c r="K8666">
        <v>0</v>
      </c>
      <c r="L8666">
        <v>0</v>
      </c>
      <c r="M8666">
        <v>83</v>
      </c>
      <c r="N8666">
        <v>24361.469999999998</v>
      </c>
      <c r="O8666">
        <v>293.51</v>
      </c>
    </row>
    <row r="8667" spans="1:15" x14ac:dyDescent="0.35">
      <c r="A8667" t="s">
        <v>9354</v>
      </c>
      <c r="B8667" t="s">
        <v>222</v>
      </c>
      <c r="C8667" t="s">
        <v>1059</v>
      </c>
      <c r="D8667" t="s">
        <v>314</v>
      </c>
      <c r="E8667" t="s">
        <v>310</v>
      </c>
      <c r="F8667" t="s">
        <v>9372</v>
      </c>
      <c r="G8667">
        <v>83</v>
      </c>
      <c r="H8667">
        <v>24361.469999999998</v>
      </c>
      <c r="I8667">
        <v>293.51</v>
      </c>
      <c r="J8667">
        <v>0</v>
      </c>
      <c r="K8667">
        <v>0</v>
      </c>
      <c r="L8667">
        <v>0</v>
      </c>
      <c r="M8667">
        <v>83</v>
      </c>
      <c r="N8667">
        <v>24361.469999999998</v>
      </c>
      <c r="O8667">
        <v>293.51</v>
      </c>
    </row>
    <row r="8668" spans="1:15" x14ac:dyDescent="0.35">
      <c r="A8668" t="s">
        <v>9354</v>
      </c>
      <c r="B8668" t="s">
        <v>222</v>
      </c>
      <c r="C8668" t="s">
        <v>1059</v>
      </c>
      <c r="D8668" t="s">
        <v>323</v>
      </c>
      <c r="E8668" t="s">
        <v>294</v>
      </c>
      <c r="F8668" t="s">
        <v>9373</v>
      </c>
      <c r="G8668">
        <v>1719</v>
      </c>
      <c r="H8668">
        <v>169871.02000000002</v>
      </c>
      <c r="I8668">
        <v>98.82</v>
      </c>
      <c r="J8668">
        <v>0</v>
      </c>
      <c r="K8668">
        <v>0</v>
      </c>
      <c r="L8668">
        <v>0</v>
      </c>
      <c r="M8668">
        <v>1719</v>
      </c>
      <c r="N8668">
        <v>169871.02000000002</v>
      </c>
      <c r="O8668">
        <v>98.82</v>
      </c>
    </row>
    <row r="8669" spans="1:15" x14ac:dyDescent="0.35">
      <c r="A8669" t="s">
        <v>9354</v>
      </c>
      <c r="B8669" t="s">
        <v>222</v>
      </c>
      <c r="C8669" t="s">
        <v>1059</v>
      </c>
      <c r="D8669" t="s">
        <v>323</v>
      </c>
      <c r="E8669" t="s">
        <v>296</v>
      </c>
      <c r="F8669" t="s">
        <v>9374</v>
      </c>
      <c r="G8669">
        <v>3014</v>
      </c>
      <c r="H8669">
        <v>353635.23000000004</v>
      </c>
      <c r="I8669">
        <v>117.33</v>
      </c>
      <c r="J8669">
        <v>0</v>
      </c>
      <c r="K8669">
        <v>0</v>
      </c>
      <c r="L8669">
        <v>0</v>
      </c>
      <c r="M8669">
        <v>3014</v>
      </c>
      <c r="N8669">
        <v>353635.23000000004</v>
      </c>
      <c r="O8669">
        <v>117.33</v>
      </c>
    </row>
    <row r="8670" spans="1:15" x14ac:dyDescent="0.35">
      <c r="A8670" t="s">
        <v>9354</v>
      </c>
      <c r="B8670" t="s">
        <v>222</v>
      </c>
      <c r="C8670" t="s">
        <v>1059</v>
      </c>
      <c r="D8670" t="s">
        <v>323</v>
      </c>
      <c r="E8670" t="s">
        <v>298</v>
      </c>
      <c r="F8670" t="s">
        <v>9375</v>
      </c>
      <c r="G8670">
        <v>2537</v>
      </c>
      <c r="H8670">
        <v>330549.27</v>
      </c>
      <c r="I8670">
        <v>130.29</v>
      </c>
      <c r="J8670">
        <v>0</v>
      </c>
      <c r="K8670">
        <v>0</v>
      </c>
      <c r="L8670">
        <v>0</v>
      </c>
      <c r="M8670">
        <v>2537</v>
      </c>
      <c r="N8670">
        <v>330549.27</v>
      </c>
      <c r="O8670">
        <v>130.29</v>
      </c>
    </row>
    <row r="8671" spans="1:15" x14ac:dyDescent="0.35">
      <c r="A8671" t="s">
        <v>9354</v>
      </c>
      <c r="B8671" t="s">
        <v>222</v>
      </c>
      <c r="C8671" t="s">
        <v>1059</v>
      </c>
      <c r="D8671" t="s">
        <v>323</v>
      </c>
      <c r="E8671" t="s">
        <v>300</v>
      </c>
      <c r="F8671" t="s">
        <v>9376</v>
      </c>
      <c r="G8671">
        <v>218</v>
      </c>
      <c r="H8671">
        <v>31072.140000000003</v>
      </c>
      <c r="I8671">
        <v>142.53</v>
      </c>
      <c r="J8671">
        <v>0</v>
      </c>
      <c r="K8671">
        <v>0</v>
      </c>
      <c r="L8671">
        <v>0</v>
      </c>
      <c r="M8671">
        <v>218</v>
      </c>
      <c r="N8671">
        <v>31072.140000000003</v>
      </c>
      <c r="O8671">
        <v>142.53</v>
      </c>
    </row>
    <row r="8672" spans="1:15" x14ac:dyDescent="0.35">
      <c r="A8672" t="s">
        <v>9354</v>
      </c>
      <c r="B8672" t="s">
        <v>222</v>
      </c>
      <c r="C8672" t="s">
        <v>1059</v>
      </c>
      <c r="D8672" t="s">
        <v>323</v>
      </c>
      <c r="E8672" t="s">
        <v>302</v>
      </c>
      <c r="F8672" t="s">
        <v>9377</v>
      </c>
      <c r="G8672">
        <v>2</v>
      </c>
      <c r="H8672">
        <v>185.5</v>
      </c>
      <c r="I8672">
        <v>92.75</v>
      </c>
      <c r="J8672">
        <v>0</v>
      </c>
      <c r="K8672">
        <v>0</v>
      </c>
      <c r="L8672">
        <v>0</v>
      </c>
      <c r="M8672">
        <v>2</v>
      </c>
      <c r="N8672">
        <v>185.5</v>
      </c>
      <c r="O8672">
        <v>92.75</v>
      </c>
    </row>
    <row r="8673" spans="1:15" x14ac:dyDescent="0.35">
      <c r="A8673" t="s">
        <v>9354</v>
      </c>
      <c r="B8673" t="s">
        <v>222</v>
      </c>
      <c r="C8673" t="s">
        <v>1059</v>
      </c>
      <c r="D8673" t="s">
        <v>323</v>
      </c>
      <c r="E8673" t="s">
        <v>304</v>
      </c>
      <c r="F8673" t="s">
        <v>9378</v>
      </c>
      <c r="G8673">
        <v>1</v>
      </c>
      <c r="H8673">
        <v>187.73</v>
      </c>
      <c r="I8673">
        <v>187.73</v>
      </c>
      <c r="J8673">
        <v>0</v>
      </c>
      <c r="K8673">
        <v>0</v>
      </c>
      <c r="L8673">
        <v>0</v>
      </c>
      <c r="M8673">
        <v>1</v>
      </c>
      <c r="N8673">
        <v>187.73</v>
      </c>
      <c r="O8673">
        <v>187.73</v>
      </c>
    </row>
    <row r="8674" spans="1:15" x14ac:dyDescent="0.35">
      <c r="A8674" t="s">
        <v>9354</v>
      </c>
      <c r="B8674" t="s">
        <v>222</v>
      </c>
      <c r="C8674" t="s">
        <v>1059</v>
      </c>
      <c r="D8674" t="s">
        <v>323</v>
      </c>
      <c r="E8674" t="s">
        <v>306</v>
      </c>
      <c r="F8674" t="s">
        <v>9379</v>
      </c>
      <c r="G8674">
        <v>85</v>
      </c>
      <c r="H8674">
        <v>6738.95</v>
      </c>
      <c r="I8674">
        <v>79.28</v>
      </c>
      <c r="J8674">
        <v>0</v>
      </c>
      <c r="K8674">
        <v>0</v>
      </c>
      <c r="L8674">
        <v>0</v>
      </c>
      <c r="M8674">
        <v>85</v>
      </c>
      <c r="N8674">
        <v>6738.95</v>
      </c>
      <c r="O8674">
        <v>79.28</v>
      </c>
    </row>
    <row r="8675" spans="1:15" x14ac:dyDescent="0.35">
      <c r="A8675" t="s">
        <v>9354</v>
      </c>
      <c r="B8675" t="s">
        <v>222</v>
      </c>
      <c r="C8675" t="s">
        <v>1059</v>
      </c>
      <c r="D8675" t="s">
        <v>323</v>
      </c>
      <c r="E8675" t="s">
        <v>308</v>
      </c>
      <c r="F8675" t="s">
        <v>9380</v>
      </c>
      <c r="G8675">
        <v>0</v>
      </c>
      <c r="H8675">
        <v>0</v>
      </c>
      <c r="I8675">
        <v>0</v>
      </c>
      <c r="J8675">
        <v>0</v>
      </c>
      <c r="K8675">
        <v>0</v>
      </c>
      <c r="L8675">
        <v>0</v>
      </c>
      <c r="M8675">
        <v>0</v>
      </c>
      <c r="N8675">
        <v>0</v>
      </c>
      <c r="O8675">
        <v>0</v>
      </c>
    </row>
    <row r="8676" spans="1:15" x14ac:dyDescent="0.35">
      <c r="A8676" t="s">
        <v>9354</v>
      </c>
      <c r="B8676" t="s">
        <v>222</v>
      </c>
      <c r="C8676" t="s">
        <v>1059</v>
      </c>
      <c r="D8676" t="s">
        <v>323</v>
      </c>
      <c r="E8676" t="s">
        <v>310</v>
      </c>
      <c r="F8676" t="s">
        <v>9381</v>
      </c>
      <c r="G8676">
        <v>7576</v>
      </c>
      <c r="H8676">
        <v>892239.84</v>
      </c>
      <c r="I8676">
        <v>117.77</v>
      </c>
      <c r="J8676">
        <v>0</v>
      </c>
      <c r="K8676">
        <v>0</v>
      </c>
      <c r="L8676">
        <v>0</v>
      </c>
      <c r="M8676">
        <v>7576</v>
      </c>
      <c r="N8676">
        <v>892239.84</v>
      </c>
      <c r="O8676">
        <v>117.77</v>
      </c>
    </row>
    <row r="8677" spans="1:15" x14ac:dyDescent="0.35">
      <c r="A8677" t="s">
        <v>9354</v>
      </c>
      <c r="B8677" t="s">
        <v>222</v>
      </c>
      <c r="C8677" t="s">
        <v>1059</v>
      </c>
      <c r="D8677" t="s">
        <v>323</v>
      </c>
      <c r="E8677" t="s">
        <v>312</v>
      </c>
      <c r="F8677" t="s">
        <v>9382</v>
      </c>
      <c r="G8677">
        <v>7576</v>
      </c>
      <c r="H8677">
        <v>892239.84</v>
      </c>
      <c r="I8677">
        <v>117.77</v>
      </c>
      <c r="J8677">
        <v>0</v>
      </c>
      <c r="K8677">
        <v>0</v>
      </c>
      <c r="L8677">
        <v>0</v>
      </c>
      <c r="M8677">
        <v>7576</v>
      </c>
      <c r="N8677">
        <v>892239.84</v>
      </c>
      <c r="O8677">
        <v>117.77</v>
      </c>
    </row>
    <row r="8678" spans="1:15" x14ac:dyDescent="0.35">
      <c r="A8678" t="s">
        <v>9354</v>
      </c>
      <c r="B8678" t="s">
        <v>222</v>
      </c>
      <c r="C8678" t="s">
        <v>1059</v>
      </c>
      <c r="D8678" t="s">
        <v>334</v>
      </c>
      <c r="E8678" t="s">
        <v>312</v>
      </c>
      <c r="F8678" t="s">
        <v>9383</v>
      </c>
      <c r="G8678">
        <v>8870</v>
      </c>
      <c r="H8678">
        <v>1087065.0599999998</v>
      </c>
      <c r="I8678">
        <v>122.67</v>
      </c>
      <c r="J8678">
        <v>0</v>
      </c>
      <c r="K8678">
        <v>0</v>
      </c>
      <c r="L8678">
        <v>0</v>
      </c>
      <c r="M8678">
        <v>8870</v>
      </c>
      <c r="N8678">
        <v>1087065.0599999998</v>
      </c>
      <c r="O8678">
        <v>122.67</v>
      </c>
    </row>
    <row r="8679" spans="1:15" x14ac:dyDescent="0.35">
      <c r="A8679" t="s">
        <v>9354</v>
      </c>
      <c r="B8679" t="s">
        <v>222</v>
      </c>
      <c r="C8679" t="s">
        <v>1059</v>
      </c>
      <c r="D8679" t="s">
        <v>334</v>
      </c>
      <c r="E8679" t="s">
        <v>308</v>
      </c>
      <c r="F8679" t="s">
        <v>9384</v>
      </c>
      <c r="G8679">
        <v>0</v>
      </c>
      <c r="H8679">
        <v>0</v>
      </c>
      <c r="I8679">
        <v>0</v>
      </c>
      <c r="J8679">
        <v>0</v>
      </c>
      <c r="K8679">
        <v>0</v>
      </c>
      <c r="L8679">
        <v>0</v>
      </c>
      <c r="M8679">
        <v>0</v>
      </c>
      <c r="N8679">
        <v>0</v>
      </c>
      <c r="O8679">
        <v>0</v>
      </c>
    </row>
    <row r="8680" spans="1:15" x14ac:dyDescent="0.35">
      <c r="A8680" t="s">
        <v>9354</v>
      </c>
      <c r="B8680" t="s">
        <v>222</v>
      </c>
      <c r="C8680" t="s">
        <v>1059</v>
      </c>
      <c r="D8680" t="s">
        <v>337</v>
      </c>
      <c r="E8680" t="s">
        <v>337</v>
      </c>
      <c r="F8680" t="s">
        <v>9385</v>
      </c>
      <c r="G8680">
        <v>916</v>
      </c>
      <c r="J8680">
        <v>0</v>
      </c>
      <c r="M8680">
        <v>916</v>
      </c>
    </row>
    <row r="8681" spans="1:15" x14ac:dyDescent="0.35">
      <c r="A8681" t="s">
        <v>9354</v>
      </c>
      <c r="B8681" t="s">
        <v>222</v>
      </c>
      <c r="C8681" t="s">
        <v>1059</v>
      </c>
      <c r="D8681" t="s">
        <v>339</v>
      </c>
      <c r="E8681" t="s">
        <v>294</v>
      </c>
      <c r="F8681" t="s">
        <v>9386</v>
      </c>
      <c r="G8681">
        <v>646</v>
      </c>
      <c r="H8681">
        <v>70100.789999999994</v>
      </c>
      <c r="I8681">
        <v>108.52</v>
      </c>
      <c r="J8681">
        <v>0</v>
      </c>
      <c r="K8681">
        <v>0</v>
      </c>
      <c r="L8681">
        <v>0</v>
      </c>
      <c r="M8681">
        <v>646</v>
      </c>
      <c r="N8681">
        <v>70100.789999999994</v>
      </c>
      <c r="O8681">
        <v>108.52</v>
      </c>
    </row>
    <row r="8682" spans="1:15" x14ac:dyDescent="0.35">
      <c r="A8682" t="s">
        <v>9354</v>
      </c>
      <c r="B8682" t="s">
        <v>222</v>
      </c>
      <c r="C8682" t="s">
        <v>1059</v>
      </c>
      <c r="D8682" t="s">
        <v>339</v>
      </c>
      <c r="E8682" t="s">
        <v>296</v>
      </c>
      <c r="F8682" t="s">
        <v>9387</v>
      </c>
      <c r="G8682">
        <v>100</v>
      </c>
      <c r="H8682">
        <v>12197.849999999999</v>
      </c>
      <c r="I8682">
        <v>121.98</v>
      </c>
      <c r="J8682">
        <v>0</v>
      </c>
      <c r="K8682">
        <v>0</v>
      </c>
      <c r="L8682">
        <v>0</v>
      </c>
      <c r="M8682">
        <v>100</v>
      </c>
      <c r="N8682">
        <v>12197.849999999999</v>
      </c>
      <c r="O8682">
        <v>121.98</v>
      </c>
    </row>
    <row r="8683" spans="1:15" x14ac:dyDescent="0.35">
      <c r="A8683" t="s">
        <v>9354</v>
      </c>
      <c r="B8683" t="s">
        <v>222</v>
      </c>
      <c r="C8683" t="s">
        <v>1059</v>
      </c>
      <c r="D8683" t="s">
        <v>339</v>
      </c>
      <c r="E8683" t="s">
        <v>298</v>
      </c>
      <c r="F8683" t="s">
        <v>9388</v>
      </c>
      <c r="G8683">
        <v>6</v>
      </c>
      <c r="H8683">
        <v>814.07999999999993</v>
      </c>
      <c r="I8683">
        <v>135.68</v>
      </c>
      <c r="J8683">
        <v>0</v>
      </c>
      <c r="K8683">
        <v>0</v>
      </c>
      <c r="L8683">
        <v>0</v>
      </c>
      <c r="M8683">
        <v>6</v>
      </c>
      <c r="N8683">
        <v>814.07999999999993</v>
      </c>
      <c r="O8683">
        <v>135.68</v>
      </c>
    </row>
    <row r="8684" spans="1:15" x14ac:dyDescent="0.35">
      <c r="A8684" t="s">
        <v>9354</v>
      </c>
      <c r="B8684" t="s">
        <v>222</v>
      </c>
      <c r="C8684" t="s">
        <v>1059</v>
      </c>
      <c r="D8684" t="s">
        <v>339</v>
      </c>
      <c r="E8684" t="s">
        <v>300</v>
      </c>
      <c r="F8684" t="s">
        <v>9389</v>
      </c>
      <c r="G8684">
        <v>0</v>
      </c>
      <c r="H8684">
        <v>0</v>
      </c>
      <c r="I8684">
        <v>0</v>
      </c>
      <c r="J8684">
        <v>0</v>
      </c>
      <c r="K8684">
        <v>0</v>
      </c>
      <c r="L8684">
        <v>0</v>
      </c>
      <c r="M8684">
        <v>0</v>
      </c>
      <c r="N8684">
        <v>0</v>
      </c>
      <c r="O8684">
        <v>0</v>
      </c>
    </row>
    <row r="8685" spans="1:15" x14ac:dyDescent="0.35">
      <c r="A8685" t="s">
        <v>9354</v>
      </c>
      <c r="B8685" t="s">
        <v>222</v>
      </c>
      <c r="C8685" t="s">
        <v>1059</v>
      </c>
      <c r="D8685" t="s">
        <v>339</v>
      </c>
      <c r="E8685" t="s">
        <v>306</v>
      </c>
      <c r="F8685" t="s">
        <v>9390</v>
      </c>
      <c r="G8685">
        <v>55</v>
      </c>
      <c r="H8685">
        <v>4766.43</v>
      </c>
      <c r="I8685">
        <v>86.66</v>
      </c>
      <c r="J8685">
        <v>0</v>
      </c>
      <c r="K8685">
        <v>0</v>
      </c>
      <c r="L8685">
        <v>0</v>
      </c>
      <c r="M8685">
        <v>55</v>
      </c>
      <c r="N8685">
        <v>4766.43</v>
      </c>
      <c r="O8685">
        <v>86.66</v>
      </c>
    </row>
    <row r="8686" spans="1:15" x14ac:dyDescent="0.35">
      <c r="A8686" t="s">
        <v>9354</v>
      </c>
      <c r="B8686" t="s">
        <v>222</v>
      </c>
      <c r="C8686" t="s">
        <v>1059</v>
      </c>
      <c r="D8686" t="s">
        <v>339</v>
      </c>
      <c r="E8686" t="s">
        <v>308</v>
      </c>
      <c r="F8686" t="s">
        <v>9391</v>
      </c>
      <c r="G8686">
        <v>26</v>
      </c>
      <c r="H8686">
        <v>4694.04</v>
      </c>
      <c r="I8686">
        <v>180.54</v>
      </c>
      <c r="J8686">
        <v>0</v>
      </c>
      <c r="K8686">
        <v>0</v>
      </c>
      <c r="L8686">
        <v>0</v>
      </c>
      <c r="M8686">
        <v>26</v>
      </c>
      <c r="N8686">
        <v>4694.04</v>
      </c>
      <c r="O8686">
        <v>180.54</v>
      </c>
    </row>
    <row r="8687" spans="1:15" x14ac:dyDescent="0.35">
      <c r="A8687" t="s">
        <v>9354</v>
      </c>
      <c r="B8687" t="s">
        <v>222</v>
      </c>
      <c r="C8687" t="s">
        <v>1059</v>
      </c>
      <c r="D8687" t="s">
        <v>339</v>
      </c>
      <c r="E8687" t="s">
        <v>310</v>
      </c>
      <c r="F8687" t="s">
        <v>9392</v>
      </c>
      <c r="G8687">
        <v>833</v>
      </c>
      <c r="H8687">
        <v>92573.189999999988</v>
      </c>
      <c r="I8687">
        <v>111.13</v>
      </c>
      <c r="J8687">
        <v>0</v>
      </c>
      <c r="K8687">
        <v>0</v>
      </c>
      <c r="L8687">
        <v>0</v>
      </c>
      <c r="M8687">
        <v>833</v>
      </c>
      <c r="N8687">
        <v>92573.189999999988</v>
      </c>
      <c r="O8687">
        <v>111.13</v>
      </c>
    </row>
    <row r="8688" spans="1:15" x14ac:dyDescent="0.35">
      <c r="A8688" t="s">
        <v>9354</v>
      </c>
      <c r="B8688" t="s">
        <v>222</v>
      </c>
      <c r="C8688" t="s">
        <v>1059</v>
      </c>
      <c r="D8688" t="s">
        <v>339</v>
      </c>
      <c r="E8688" t="s">
        <v>312</v>
      </c>
      <c r="F8688" t="s">
        <v>9393</v>
      </c>
      <c r="G8688">
        <v>807</v>
      </c>
      <c r="H8688">
        <v>87879.15</v>
      </c>
      <c r="I8688">
        <v>108.9</v>
      </c>
      <c r="J8688">
        <v>0</v>
      </c>
      <c r="K8688">
        <v>0</v>
      </c>
      <c r="L8688">
        <v>0</v>
      </c>
      <c r="M8688">
        <v>807</v>
      </c>
      <c r="N8688">
        <v>87879.15</v>
      </c>
      <c r="O8688">
        <v>108.9</v>
      </c>
    </row>
    <row r="8689" spans="1:15" x14ac:dyDescent="0.35">
      <c r="A8689" t="s">
        <v>9354</v>
      </c>
      <c r="B8689" t="s">
        <v>222</v>
      </c>
      <c r="C8689" t="s">
        <v>1059</v>
      </c>
      <c r="D8689" t="s">
        <v>348</v>
      </c>
      <c r="E8689" t="s">
        <v>349</v>
      </c>
      <c r="F8689" t="s">
        <v>9394</v>
      </c>
      <c r="G8689">
        <v>988</v>
      </c>
      <c r="H8689">
        <v>116934.65999999999</v>
      </c>
      <c r="I8689">
        <v>127.66</v>
      </c>
      <c r="J8689">
        <v>0</v>
      </c>
      <c r="K8689">
        <v>0</v>
      </c>
      <c r="L8689">
        <v>0</v>
      </c>
      <c r="M8689">
        <v>988</v>
      </c>
      <c r="N8689">
        <v>116934.65999999999</v>
      </c>
      <c r="O8689">
        <v>127.66</v>
      </c>
    </row>
    <row r="8690" spans="1:15" x14ac:dyDescent="0.35">
      <c r="A8690" t="s">
        <v>9395</v>
      </c>
      <c r="B8690" t="s">
        <v>224</v>
      </c>
      <c r="C8690" t="s">
        <v>1059</v>
      </c>
      <c r="D8690" t="s">
        <v>293</v>
      </c>
      <c r="E8690" t="s">
        <v>294</v>
      </c>
      <c r="F8690" t="s">
        <v>9396</v>
      </c>
      <c r="G8690">
        <v>110</v>
      </c>
      <c r="H8690">
        <v>12459.89</v>
      </c>
      <c r="I8690">
        <v>113.27</v>
      </c>
      <c r="J8690">
        <v>0</v>
      </c>
      <c r="K8690">
        <v>0</v>
      </c>
      <c r="L8690">
        <v>0</v>
      </c>
      <c r="M8690">
        <v>110</v>
      </c>
      <c r="N8690">
        <v>12459.89</v>
      </c>
      <c r="O8690">
        <v>113.27</v>
      </c>
    </row>
    <row r="8691" spans="1:15" x14ac:dyDescent="0.35">
      <c r="A8691" t="s">
        <v>9395</v>
      </c>
      <c r="B8691" t="s">
        <v>224</v>
      </c>
      <c r="C8691" t="s">
        <v>1059</v>
      </c>
      <c r="D8691" t="s">
        <v>293</v>
      </c>
      <c r="E8691" t="s">
        <v>296</v>
      </c>
      <c r="F8691" t="s">
        <v>9397</v>
      </c>
      <c r="G8691">
        <v>323</v>
      </c>
      <c r="H8691">
        <v>43620.94</v>
      </c>
      <c r="I8691">
        <v>135.05000000000001</v>
      </c>
      <c r="J8691">
        <v>0</v>
      </c>
      <c r="K8691">
        <v>0</v>
      </c>
      <c r="L8691">
        <v>0</v>
      </c>
      <c r="M8691">
        <v>323</v>
      </c>
      <c r="N8691">
        <v>43620.94</v>
      </c>
      <c r="O8691">
        <v>135.05000000000001</v>
      </c>
    </row>
    <row r="8692" spans="1:15" x14ac:dyDescent="0.35">
      <c r="A8692" t="s">
        <v>9395</v>
      </c>
      <c r="B8692" t="s">
        <v>224</v>
      </c>
      <c r="C8692" t="s">
        <v>1059</v>
      </c>
      <c r="D8692" t="s">
        <v>293</v>
      </c>
      <c r="E8692" t="s">
        <v>298</v>
      </c>
      <c r="F8692" t="s">
        <v>9398</v>
      </c>
      <c r="G8692">
        <v>206</v>
      </c>
      <c r="H8692">
        <v>34853.22</v>
      </c>
      <c r="I8692">
        <v>169.19</v>
      </c>
      <c r="J8692">
        <v>0</v>
      </c>
      <c r="K8692">
        <v>0</v>
      </c>
      <c r="L8692">
        <v>0</v>
      </c>
      <c r="M8692">
        <v>206</v>
      </c>
      <c r="N8692">
        <v>34853.22</v>
      </c>
      <c r="O8692">
        <v>169.19</v>
      </c>
    </row>
    <row r="8693" spans="1:15" x14ac:dyDescent="0.35">
      <c r="A8693" t="s">
        <v>9395</v>
      </c>
      <c r="B8693" t="s">
        <v>224</v>
      </c>
      <c r="C8693" t="s">
        <v>1059</v>
      </c>
      <c r="D8693" t="s">
        <v>293</v>
      </c>
      <c r="E8693" t="s">
        <v>300</v>
      </c>
      <c r="F8693" t="s">
        <v>9399</v>
      </c>
      <c r="G8693">
        <v>16</v>
      </c>
      <c r="H8693">
        <v>2436.3200000000002</v>
      </c>
      <c r="I8693">
        <v>152.27000000000001</v>
      </c>
      <c r="J8693">
        <v>0</v>
      </c>
      <c r="K8693">
        <v>0</v>
      </c>
      <c r="L8693">
        <v>0</v>
      </c>
      <c r="M8693">
        <v>16</v>
      </c>
      <c r="N8693">
        <v>2436.3200000000002</v>
      </c>
      <c r="O8693">
        <v>152.27000000000001</v>
      </c>
    </row>
    <row r="8694" spans="1:15" x14ac:dyDescent="0.35">
      <c r="A8694" t="s">
        <v>9395</v>
      </c>
      <c r="B8694" t="s">
        <v>224</v>
      </c>
      <c r="C8694" t="s">
        <v>1059</v>
      </c>
      <c r="D8694" t="s">
        <v>293</v>
      </c>
      <c r="E8694" t="s">
        <v>302</v>
      </c>
      <c r="F8694" t="s">
        <v>9400</v>
      </c>
      <c r="G8694">
        <v>0</v>
      </c>
      <c r="H8694">
        <v>0</v>
      </c>
      <c r="I8694">
        <v>0</v>
      </c>
      <c r="J8694">
        <v>0</v>
      </c>
      <c r="K8694">
        <v>0</v>
      </c>
      <c r="L8694">
        <v>0</v>
      </c>
      <c r="M8694">
        <v>0</v>
      </c>
      <c r="N8694">
        <v>0</v>
      </c>
      <c r="O8694">
        <v>0</v>
      </c>
    </row>
    <row r="8695" spans="1:15" x14ac:dyDescent="0.35">
      <c r="A8695" t="s">
        <v>9395</v>
      </c>
      <c r="B8695" t="s">
        <v>224</v>
      </c>
      <c r="C8695" t="s">
        <v>1059</v>
      </c>
      <c r="D8695" t="s">
        <v>293</v>
      </c>
      <c r="E8695" t="s">
        <v>304</v>
      </c>
      <c r="F8695" t="s">
        <v>9401</v>
      </c>
      <c r="G8695">
        <v>0</v>
      </c>
      <c r="H8695">
        <v>0</v>
      </c>
      <c r="I8695">
        <v>0</v>
      </c>
      <c r="J8695">
        <v>0</v>
      </c>
      <c r="K8695">
        <v>0</v>
      </c>
      <c r="L8695">
        <v>0</v>
      </c>
      <c r="M8695">
        <v>0</v>
      </c>
      <c r="N8695">
        <v>0</v>
      </c>
      <c r="O8695">
        <v>0</v>
      </c>
    </row>
    <row r="8696" spans="1:15" x14ac:dyDescent="0.35">
      <c r="A8696" t="s">
        <v>9395</v>
      </c>
      <c r="B8696" t="s">
        <v>224</v>
      </c>
      <c r="C8696" t="s">
        <v>1059</v>
      </c>
      <c r="D8696" t="s">
        <v>293</v>
      </c>
      <c r="E8696" t="s">
        <v>306</v>
      </c>
      <c r="F8696" t="s">
        <v>9402</v>
      </c>
      <c r="G8696">
        <v>0</v>
      </c>
      <c r="H8696">
        <v>0</v>
      </c>
      <c r="I8696">
        <v>0</v>
      </c>
      <c r="J8696">
        <v>0</v>
      </c>
      <c r="K8696">
        <v>0</v>
      </c>
      <c r="L8696">
        <v>0</v>
      </c>
      <c r="M8696">
        <v>0</v>
      </c>
      <c r="N8696">
        <v>0</v>
      </c>
      <c r="O8696">
        <v>0</v>
      </c>
    </row>
    <row r="8697" spans="1:15" x14ac:dyDescent="0.35">
      <c r="A8697" t="s">
        <v>9395</v>
      </c>
      <c r="B8697" t="s">
        <v>224</v>
      </c>
      <c r="C8697" t="s">
        <v>1059</v>
      </c>
      <c r="D8697" t="s">
        <v>293</v>
      </c>
      <c r="E8697" t="s">
        <v>308</v>
      </c>
      <c r="F8697" t="s">
        <v>9403</v>
      </c>
      <c r="G8697">
        <v>0</v>
      </c>
      <c r="H8697">
        <v>0</v>
      </c>
      <c r="I8697">
        <v>0</v>
      </c>
      <c r="J8697">
        <v>0</v>
      </c>
      <c r="K8697">
        <v>0</v>
      </c>
      <c r="L8697">
        <v>0</v>
      </c>
      <c r="M8697">
        <v>0</v>
      </c>
      <c r="N8697">
        <v>0</v>
      </c>
      <c r="O8697">
        <v>0</v>
      </c>
    </row>
    <row r="8698" spans="1:15" x14ac:dyDescent="0.35">
      <c r="A8698" t="s">
        <v>9395</v>
      </c>
      <c r="B8698" t="s">
        <v>224</v>
      </c>
      <c r="C8698" t="s">
        <v>1059</v>
      </c>
      <c r="D8698" t="s">
        <v>293</v>
      </c>
      <c r="E8698" t="s">
        <v>310</v>
      </c>
      <c r="F8698" t="s">
        <v>9404</v>
      </c>
      <c r="G8698">
        <v>655</v>
      </c>
      <c r="H8698">
        <v>93370.37000000001</v>
      </c>
      <c r="I8698">
        <v>142.55000000000001</v>
      </c>
      <c r="J8698">
        <v>0</v>
      </c>
      <c r="K8698">
        <v>0</v>
      </c>
      <c r="L8698">
        <v>0</v>
      </c>
      <c r="M8698">
        <v>655</v>
      </c>
      <c r="N8698">
        <v>93370.37000000001</v>
      </c>
      <c r="O8698">
        <v>142.55000000000001</v>
      </c>
    </row>
    <row r="8699" spans="1:15" x14ac:dyDescent="0.35">
      <c r="A8699" t="s">
        <v>9395</v>
      </c>
      <c r="B8699" t="s">
        <v>224</v>
      </c>
      <c r="C8699" t="s">
        <v>1059</v>
      </c>
      <c r="D8699" t="s">
        <v>293</v>
      </c>
      <c r="E8699" t="s">
        <v>312</v>
      </c>
      <c r="F8699" t="s">
        <v>9405</v>
      </c>
      <c r="G8699">
        <v>655</v>
      </c>
      <c r="H8699">
        <v>93370.37000000001</v>
      </c>
      <c r="I8699">
        <v>142.55000000000001</v>
      </c>
      <c r="J8699">
        <v>0</v>
      </c>
      <c r="K8699">
        <v>0</v>
      </c>
      <c r="L8699">
        <v>0</v>
      </c>
      <c r="M8699">
        <v>655</v>
      </c>
      <c r="N8699">
        <v>93370.37000000001</v>
      </c>
      <c r="O8699">
        <v>142.55000000000001</v>
      </c>
    </row>
    <row r="8700" spans="1:15" x14ac:dyDescent="0.35">
      <c r="A8700" t="s">
        <v>9395</v>
      </c>
      <c r="B8700" t="s">
        <v>224</v>
      </c>
      <c r="C8700" t="s">
        <v>1059</v>
      </c>
      <c r="D8700" t="s">
        <v>314</v>
      </c>
      <c r="E8700" t="s">
        <v>294</v>
      </c>
      <c r="F8700" t="s">
        <v>9406</v>
      </c>
      <c r="G8700">
        <v>86</v>
      </c>
      <c r="H8700">
        <v>21672.690000000002</v>
      </c>
      <c r="I8700">
        <v>252.01</v>
      </c>
      <c r="J8700">
        <v>0</v>
      </c>
      <c r="K8700">
        <v>0</v>
      </c>
      <c r="L8700">
        <v>0</v>
      </c>
      <c r="M8700">
        <v>86</v>
      </c>
      <c r="N8700">
        <v>21672.690000000002</v>
      </c>
      <c r="O8700">
        <v>252.01</v>
      </c>
    </row>
    <row r="8701" spans="1:15" x14ac:dyDescent="0.35">
      <c r="A8701" t="s">
        <v>9395</v>
      </c>
      <c r="B8701" t="s">
        <v>224</v>
      </c>
      <c r="C8701" t="s">
        <v>1059</v>
      </c>
      <c r="D8701" t="s">
        <v>314</v>
      </c>
      <c r="E8701" t="s">
        <v>296</v>
      </c>
      <c r="F8701" t="s">
        <v>9407</v>
      </c>
      <c r="G8701">
        <v>113</v>
      </c>
      <c r="H8701">
        <v>30617.379999999997</v>
      </c>
      <c r="I8701">
        <v>270.95</v>
      </c>
      <c r="J8701">
        <v>0</v>
      </c>
      <c r="K8701">
        <v>0</v>
      </c>
      <c r="L8701">
        <v>0</v>
      </c>
      <c r="M8701">
        <v>113</v>
      </c>
      <c r="N8701">
        <v>30617.379999999997</v>
      </c>
      <c r="O8701">
        <v>270.95</v>
      </c>
    </row>
    <row r="8702" spans="1:15" x14ac:dyDescent="0.35">
      <c r="A8702" t="s">
        <v>9395</v>
      </c>
      <c r="B8702" t="s">
        <v>224</v>
      </c>
      <c r="C8702" t="s">
        <v>1059</v>
      </c>
      <c r="D8702" t="s">
        <v>314</v>
      </c>
      <c r="E8702" t="s">
        <v>298</v>
      </c>
      <c r="F8702" t="s">
        <v>9408</v>
      </c>
      <c r="G8702">
        <v>1</v>
      </c>
      <c r="H8702">
        <v>192.52</v>
      </c>
      <c r="I8702">
        <v>192.52</v>
      </c>
      <c r="J8702">
        <v>0</v>
      </c>
      <c r="K8702">
        <v>0</v>
      </c>
      <c r="L8702">
        <v>0</v>
      </c>
      <c r="M8702">
        <v>1</v>
      </c>
      <c r="N8702">
        <v>192.52</v>
      </c>
      <c r="O8702">
        <v>192.52</v>
      </c>
    </row>
    <row r="8703" spans="1:15" x14ac:dyDescent="0.35">
      <c r="A8703" t="s">
        <v>9395</v>
      </c>
      <c r="B8703" t="s">
        <v>224</v>
      </c>
      <c r="C8703" t="s">
        <v>1059</v>
      </c>
      <c r="D8703" t="s">
        <v>314</v>
      </c>
      <c r="E8703" t="s">
        <v>300</v>
      </c>
      <c r="F8703" t="s">
        <v>9409</v>
      </c>
      <c r="G8703">
        <v>0</v>
      </c>
      <c r="H8703">
        <v>0</v>
      </c>
      <c r="I8703">
        <v>0</v>
      </c>
      <c r="J8703">
        <v>0</v>
      </c>
      <c r="K8703">
        <v>0</v>
      </c>
      <c r="L8703">
        <v>0</v>
      </c>
      <c r="M8703">
        <v>0</v>
      </c>
      <c r="N8703">
        <v>0</v>
      </c>
      <c r="O8703">
        <v>0</v>
      </c>
    </row>
    <row r="8704" spans="1:15" x14ac:dyDescent="0.35">
      <c r="A8704" t="s">
        <v>9395</v>
      </c>
      <c r="B8704" t="s">
        <v>224</v>
      </c>
      <c r="C8704" t="s">
        <v>1059</v>
      </c>
      <c r="D8704" t="s">
        <v>314</v>
      </c>
      <c r="E8704" t="s">
        <v>306</v>
      </c>
      <c r="F8704" t="s">
        <v>9410</v>
      </c>
      <c r="G8704">
        <v>0</v>
      </c>
      <c r="H8704">
        <v>0</v>
      </c>
      <c r="I8704">
        <v>0</v>
      </c>
      <c r="J8704">
        <v>0</v>
      </c>
      <c r="K8704">
        <v>0</v>
      </c>
      <c r="L8704">
        <v>0</v>
      </c>
      <c r="M8704">
        <v>0</v>
      </c>
      <c r="N8704">
        <v>0</v>
      </c>
      <c r="O8704">
        <v>0</v>
      </c>
    </row>
    <row r="8705" spans="1:15" x14ac:dyDescent="0.35">
      <c r="A8705" t="s">
        <v>9395</v>
      </c>
      <c r="B8705" t="s">
        <v>224</v>
      </c>
      <c r="C8705" t="s">
        <v>1059</v>
      </c>
      <c r="D8705" t="s">
        <v>314</v>
      </c>
      <c r="E8705" t="s">
        <v>308</v>
      </c>
      <c r="F8705" t="s">
        <v>9411</v>
      </c>
      <c r="G8705">
        <v>0</v>
      </c>
      <c r="H8705">
        <v>0</v>
      </c>
      <c r="I8705">
        <v>0</v>
      </c>
      <c r="J8705">
        <v>0</v>
      </c>
      <c r="K8705">
        <v>0</v>
      </c>
      <c r="L8705">
        <v>0</v>
      </c>
      <c r="M8705">
        <v>0</v>
      </c>
      <c r="N8705">
        <v>0</v>
      </c>
      <c r="O8705">
        <v>0</v>
      </c>
    </row>
    <row r="8706" spans="1:15" x14ac:dyDescent="0.35">
      <c r="A8706" t="s">
        <v>9395</v>
      </c>
      <c r="B8706" t="s">
        <v>224</v>
      </c>
      <c r="C8706" t="s">
        <v>1059</v>
      </c>
      <c r="D8706" t="s">
        <v>314</v>
      </c>
      <c r="E8706" t="s">
        <v>312</v>
      </c>
      <c r="F8706" t="s">
        <v>9412</v>
      </c>
      <c r="G8706">
        <v>200</v>
      </c>
      <c r="H8706">
        <v>52482.59</v>
      </c>
      <c r="I8706">
        <v>262.41000000000003</v>
      </c>
      <c r="J8706">
        <v>0</v>
      </c>
      <c r="K8706">
        <v>0</v>
      </c>
      <c r="L8706">
        <v>0</v>
      </c>
      <c r="M8706">
        <v>200</v>
      </c>
      <c r="N8706">
        <v>52482.59</v>
      </c>
      <c r="O8706">
        <v>262.41000000000003</v>
      </c>
    </row>
    <row r="8707" spans="1:15" x14ac:dyDescent="0.35">
      <c r="A8707" t="s">
        <v>9395</v>
      </c>
      <c r="B8707" t="s">
        <v>224</v>
      </c>
      <c r="C8707" t="s">
        <v>1059</v>
      </c>
      <c r="D8707" t="s">
        <v>314</v>
      </c>
      <c r="E8707" t="s">
        <v>310</v>
      </c>
      <c r="F8707" t="s">
        <v>9413</v>
      </c>
      <c r="G8707">
        <v>200</v>
      </c>
      <c r="H8707">
        <v>52482.59</v>
      </c>
      <c r="I8707">
        <v>262.41000000000003</v>
      </c>
      <c r="J8707">
        <v>0</v>
      </c>
      <c r="K8707">
        <v>0</v>
      </c>
      <c r="L8707">
        <v>0</v>
      </c>
      <c r="M8707">
        <v>200</v>
      </c>
      <c r="N8707">
        <v>52482.59</v>
      </c>
      <c r="O8707">
        <v>262.41000000000003</v>
      </c>
    </row>
    <row r="8708" spans="1:15" x14ac:dyDescent="0.35">
      <c r="A8708" t="s">
        <v>9395</v>
      </c>
      <c r="B8708" t="s">
        <v>224</v>
      </c>
      <c r="C8708" t="s">
        <v>1059</v>
      </c>
      <c r="D8708" t="s">
        <v>323</v>
      </c>
      <c r="E8708" t="s">
        <v>294</v>
      </c>
      <c r="F8708" t="s">
        <v>9414</v>
      </c>
      <c r="G8708">
        <v>560</v>
      </c>
      <c r="H8708">
        <v>50684.37</v>
      </c>
      <c r="I8708">
        <v>90.51</v>
      </c>
      <c r="J8708">
        <v>0</v>
      </c>
      <c r="K8708">
        <v>0</v>
      </c>
      <c r="L8708">
        <v>0</v>
      </c>
      <c r="M8708">
        <v>560</v>
      </c>
      <c r="N8708">
        <v>50684.37</v>
      </c>
      <c r="O8708">
        <v>90.51</v>
      </c>
    </row>
    <row r="8709" spans="1:15" x14ac:dyDescent="0.35">
      <c r="A8709" t="s">
        <v>9395</v>
      </c>
      <c r="B8709" t="s">
        <v>224</v>
      </c>
      <c r="C8709" t="s">
        <v>1059</v>
      </c>
      <c r="D8709" t="s">
        <v>323</v>
      </c>
      <c r="E8709" t="s">
        <v>296</v>
      </c>
      <c r="F8709" t="s">
        <v>9415</v>
      </c>
      <c r="G8709">
        <v>1458</v>
      </c>
      <c r="H8709">
        <v>155789.6</v>
      </c>
      <c r="I8709">
        <v>106.85</v>
      </c>
      <c r="J8709">
        <v>0</v>
      </c>
      <c r="K8709">
        <v>0</v>
      </c>
      <c r="L8709">
        <v>0</v>
      </c>
      <c r="M8709">
        <v>1458</v>
      </c>
      <c r="N8709">
        <v>155789.6</v>
      </c>
      <c r="O8709">
        <v>106.85</v>
      </c>
    </row>
    <row r="8710" spans="1:15" x14ac:dyDescent="0.35">
      <c r="A8710" t="s">
        <v>9395</v>
      </c>
      <c r="B8710" t="s">
        <v>224</v>
      </c>
      <c r="C8710" t="s">
        <v>1059</v>
      </c>
      <c r="D8710" t="s">
        <v>323</v>
      </c>
      <c r="E8710" t="s">
        <v>298</v>
      </c>
      <c r="F8710" t="s">
        <v>9416</v>
      </c>
      <c r="G8710">
        <v>1894</v>
      </c>
      <c r="H8710">
        <v>219593.05000000002</v>
      </c>
      <c r="I8710">
        <v>115.94</v>
      </c>
      <c r="J8710">
        <v>0</v>
      </c>
      <c r="K8710">
        <v>0</v>
      </c>
      <c r="L8710">
        <v>0</v>
      </c>
      <c r="M8710">
        <v>1894</v>
      </c>
      <c r="N8710">
        <v>219593.05000000002</v>
      </c>
      <c r="O8710">
        <v>115.94</v>
      </c>
    </row>
    <row r="8711" spans="1:15" x14ac:dyDescent="0.35">
      <c r="A8711" t="s">
        <v>9395</v>
      </c>
      <c r="B8711" t="s">
        <v>224</v>
      </c>
      <c r="C8711" t="s">
        <v>1059</v>
      </c>
      <c r="D8711" t="s">
        <v>323</v>
      </c>
      <c r="E8711" t="s">
        <v>300</v>
      </c>
      <c r="F8711" t="s">
        <v>9417</v>
      </c>
      <c r="G8711">
        <v>111</v>
      </c>
      <c r="H8711">
        <v>14216.32</v>
      </c>
      <c r="I8711">
        <v>128.07</v>
      </c>
      <c r="J8711">
        <v>0</v>
      </c>
      <c r="K8711">
        <v>0</v>
      </c>
      <c r="L8711">
        <v>0</v>
      </c>
      <c r="M8711">
        <v>111</v>
      </c>
      <c r="N8711">
        <v>14216.32</v>
      </c>
      <c r="O8711">
        <v>128.07</v>
      </c>
    </row>
    <row r="8712" spans="1:15" x14ac:dyDescent="0.35">
      <c r="A8712" t="s">
        <v>9395</v>
      </c>
      <c r="B8712" t="s">
        <v>224</v>
      </c>
      <c r="C8712" t="s">
        <v>1059</v>
      </c>
      <c r="D8712" t="s">
        <v>323</v>
      </c>
      <c r="E8712" t="s">
        <v>302</v>
      </c>
      <c r="F8712" t="s">
        <v>9418</v>
      </c>
      <c r="G8712">
        <v>7</v>
      </c>
      <c r="H8712">
        <v>932.6099999999999</v>
      </c>
      <c r="I8712">
        <v>133.22999999999999</v>
      </c>
      <c r="J8712">
        <v>0</v>
      </c>
      <c r="K8712">
        <v>0</v>
      </c>
      <c r="L8712">
        <v>0</v>
      </c>
      <c r="M8712">
        <v>7</v>
      </c>
      <c r="N8712">
        <v>932.6099999999999</v>
      </c>
      <c r="O8712">
        <v>133.22999999999999</v>
      </c>
    </row>
    <row r="8713" spans="1:15" x14ac:dyDescent="0.35">
      <c r="A8713" t="s">
        <v>9395</v>
      </c>
      <c r="B8713" t="s">
        <v>224</v>
      </c>
      <c r="C8713" t="s">
        <v>1059</v>
      </c>
      <c r="D8713" t="s">
        <v>323</v>
      </c>
      <c r="E8713" t="s">
        <v>304</v>
      </c>
      <c r="F8713" t="s">
        <v>9419</v>
      </c>
      <c r="G8713">
        <v>0</v>
      </c>
      <c r="H8713">
        <v>0</v>
      </c>
      <c r="I8713">
        <v>0</v>
      </c>
      <c r="J8713">
        <v>0</v>
      </c>
      <c r="K8713">
        <v>0</v>
      </c>
      <c r="L8713">
        <v>0</v>
      </c>
      <c r="M8713">
        <v>0</v>
      </c>
      <c r="N8713">
        <v>0</v>
      </c>
      <c r="O8713">
        <v>0</v>
      </c>
    </row>
    <row r="8714" spans="1:15" x14ac:dyDescent="0.35">
      <c r="A8714" t="s">
        <v>9395</v>
      </c>
      <c r="B8714" t="s">
        <v>224</v>
      </c>
      <c r="C8714" t="s">
        <v>1059</v>
      </c>
      <c r="D8714" t="s">
        <v>323</v>
      </c>
      <c r="E8714" t="s">
        <v>306</v>
      </c>
      <c r="F8714" t="s">
        <v>9420</v>
      </c>
      <c r="G8714">
        <v>1</v>
      </c>
      <c r="H8714">
        <v>77.489999999999995</v>
      </c>
      <c r="I8714">
        <v>77.489999999999995</v>
      </c>
      <c r="J8714">
        <v>0</v>
      </c>
      <c r="K8714">
        <v>0</v>
      </c>
      <c r="L8714">
        <v>0</v>
      </c>
      <c r="M8714">
        <v>1</v>
      </c>
      <c r="N8714">
        <v>77.489999999999995</v>
      </c>
      <c r="O8714">
        <v>77.489999999999995</v>
      </c>
    </row>
    <row r="8715" spans="1:15" x14ac:dyDescent="0.35">
      <c r="A8715" t="s">
        <v>9395</v>
      </c>
      <c r="B8715" t="s">
        <v>224</v>
      </c>
      <c r="C8715" t="s">
        <v>1059</v>
      </c>
      <c r="D8715" t="s">
        <v>323</v>
      </c>
      <c r="E8715" t="s">
        <v>308</v>
      </c>
      <c r="F8715" t="s">
        <v>9421</v>
      </c>
      <c r="G8715">
        <v>0</v>
      </c>
      <c r="H8715">
        <v>0</v>
      </c>
      <c r="I8715">
        <v>0</v>
      </c>
      <c r="J8715">
        <v>0</v>
      </c>
      <c r="K8715">
        <v>0</v>
      </c>
      <c r="L8715">
        <v>0</v>
      </c>
      <c r="M8715">
        <v>0</v>
      </c>
      <c r="N8715">
        <v>0</v>
      </c>
      <c r="O8715">
        <v>0</v>
      </c>
    </row>
    <row r="8716" spans="1:15" x14ac:dyDescent="0.35">
      <c r="A8716" t="s">
        <v>9395</v>
      </c>
      <c r="B8716" t="s">
        <v>224</v>
      </c>
      <c r="C8716" t="s">
        <v>1059</v>
      </c>
      <c r="D8716" t="s">
        <v>323</v>
      </c>
      <c r="E8716" t="s">
        <v>310</v>
      </c>
      <c r="F8716" t="s">
        <v>9422</v>
      </c>
      <c r="G8716">
        <v>4031</v>
      </c>
      <c r="H8716">
        <v>441293.44</v>
      </c>
      <c r="I8716">
        <v>109.47</v>
      </c>
      <c r="J8716">
        <v>0</v>
      </c>
      <c r="K8716">
        <v>0</v>
      </c>
      <c r="L8716">
        <v>0</v>
      </c>
      <c r="M8716">
        <v>4031</v>
      </c>
      <c r="N8716">
        <v>441293.44</v>
      </c>
      <c r="O8716">
        <v>109.47</v>
      </c>
    </row>
    <row r="8717" spans="1:15" x14ac:dyDescent="0.35">
      <c r="A8717" t="s">
        <v>9395</v>
      </c>
      <c r="B8717" t="s">
        <v>224</v>
      </c>
      <c r="C8717" t="s">
        <v>1059</v>
      </c>
      <c r="D8717" t="s">
        <v>323</v>
      </c>
      <c r="E8717" t="s">
        <v>312</v>
      </c>
      <c r="F8717" t="s">
        <v>9423</v>
      </c>
      <c r="G8717">
        <v>4031</v>
      </c>
      <c r="H8717">
        <v>441293.44</v>
      </c>
      <c r="I8717">
        <v>109.47</v>
      </c>
      <c r="J8717">
        <v>0</v>
      </c>
      <c r="K8717">
        <v>0</v>
      </c>
      <c r="L8717">
        <v>0</v>
      </c>
      <c r="M8717">
        <v>4031</v>
      </c>
      <c r="N8717">
        <v>441293.44</v>
      </c>
      <c r="O8717">
        <v>109.47</v>
      </c>
    </row>
    <row r="8718" spans="1:15" x14ac:dyDescent="0.35">
      <c r="A8718" t="s">
        <v>9395</v>
      </c>
      <c r="B8718" t="s">
        <v>224</v>
      </c>
      <c r="C8718" t="s">
        <v>1059</v>
      </c>
      <c r="D8718" t="s">
        <v>334</v>
      </c>
      <c r="E8718" t="s">
        <v>312</v>
      </c>
      <c r="F8718" t="s">
        <v>9424</v>
      </c>
      <c r="G8718">
        <v>4717</v>
      </c>
      <c r="H8718">
        <v>534663.80999999994</v>
      </c>
      <c r="I8718">
        <v>114.1</v>
      </c>
      <c r="J8718">
        <v>0</v>
      </c>
      <c r="K8718">
        <v>0</v>
      </c>
      <c r="L8718">
        <v>0</v>
      </c>
      <c r="M8718">
        <v>4717</v>
      </c>
      <c r="N8718">
        <v>534663.80999999994</v>
      </c>
      <c r="O8718">
        <v>114.1</v>
      </c>
    </row>
    <row r="8719" spans="1:15" x14ac:dyDescent="0.35">
      <c r="A8719" t="s">
        <v>9395</v>
      </c>
      <c r="B8719" t="s">
        <v>224</v>
      </c>
      <c r="C8719" t="s">
        <v>1059</v>
      </c>
      <c r="D8719" t="s">
        <v>334</v>
      </c>
      <c r="E8719" t="s">
        <v>308</v>
      </c>
      <c r="F8719" t="s">
        <v>9425</v>
      </c>
      <c r="G8719">
        <v>0</v>
      </c>
      <c r="H8719">
        <v>0</v>
      </c>
      <c r="I8719">
        <v>0</v>
      </c>
      <c r="J8719">
        <v>0</v>
      </c>
      <c r="K8719">
        <v>0</v>
      </c>
      <c r="L8719">
        <v>0</v>
      </c>
      <c r="M8719">
        <v>0</v>
      </c>
      <c r="N8719">
        <v>0</v>
      </c>
      <c r="O8719">
        <v>0</v>
      </c>
    </row>
    <row r="8720" spans="1:15" x14ac:dyDescent="0.35">
      <c r="A8720" t="s">
        <v>9395</v>
      </c>
      <c r="B8720" t="s">
        <v>224</v>
      </c>
      <c r="C8720" t="s">
        <v>1059</v>
      </c>
      <c r="D8720" t="s">
        <v>337</v>
      </c>
      <c r="E8720" t="s">
        <v>337</v>
      </c>
      <c r="F8720" t="s">
        <v>9426</v>
      </c>
      <c r="G8720">
        <v>708</v>
      </c>
      <c r="J8720">
        <v>0</v>
      </c>
      <c r="M8720">
        <v>708</v>
      </c>
    </row>
    <row r="8721" spans="1:15" x14ac:dyDescent="0.35">
      <c r="A8721" t="s">
        <v>9395</v>
      </c>
      <c r="B8721" t="s">
        <v>224</v>
      </c>
      <c r="C8721" t="s">
        <v>1059</v>
      </c>
      <c r="D8721" t="s">
        <v>339</v>
      </c>
      <c r="E8721" t="s">
        <v>294</v>
      </c>
      <c r="F8721" t="s">
        <v>9427</v>
      </c>
      <c r="G8721">
        <v>1432</v>
      </c>
      <c r="H8721">
        <v>150436.50999999998</v>
      </c>
      <c r="I8721">
        <v>105.05</v>
      </c>
      <c r="J8721">
        <v>0</v>
      </c>
      <c r="K8721">
        <v>0</v>
      </c>
      <c r="L8721">
        <v>0</v>
      </c>
      <c r="M8721">
        <v>1432</v>
      </c>
      <c r="N8721">
        <v>150436.50999999998</v>
      </c>
      <c r="O8721">
        <v>105.05</v>
      </c>
    </row>
    <row r="8722" spans="1:15" x14ac:dyDescent="0.35">
      <c r="A8722" t="s">
        <v>9395</v>
      </c>
      <c r="B8722" t="s">
        <v>224</v>
      </c>
      <c r="C8722" t="s">
        <v>1059</v>
      </c>
      <c r="D8722" t="s">
        <v>339</v>
      </c>
      <c r="E8722" t="s">
        <v>296</v>
      </c>
      <c r="F8722" t="s">
        <v>9428</v>
      </c>
      <c r="G8722">
        <v>510</v>
      </c>
      <c r="H8722">
        <v>60419.7</v>
      </c>
      <c r="I8722">
        <v>118.47</v>
      </c>
      <c r="J8722">
        <v>0</v>
      </c>
      <c r="K8722">
        <v>0</v>
      </c>
      <c r="L8722">
        <v>0</v>
      </c>
      <c r="M8722">
        <v>510</v>
      </c>
      <c r="N8722">
        <v>60419.7</v>
      </c>
      <c r="O8722">
        <v>118.47</v>
      </c>
    </row>
    <row r="8723" spans="1:15" x14ac:dyDescent="0.35">
      <c r="A8723" t="s">
        <v>9395</v>
      </c>
      <c r="B8723" t="s">
        <v>224</v>
      </c>
      <c r="C8723" t="s">
        <v>1059</v>
      </c>
      <c r="D8723" t="s">
        <v>339</v>
      </c>
      <c r="E8723" t="s">
        <v>298</v>
      </c>
      <c r="F8723" t="s">
        <v>9429</v>
      </c>
      <c r="G8723">
        <v>9</v>
      </c>
      <c r="H8723">
        <v>1117.6500000000001</v>
      </c>
      <c r="I8723">
        <v>124.18</v>
      </c>
      <c r="J8723">
        <v>0</v>
      </c>
      <c r="K8723">
        <v>0</v>
      </c>
      <c r="L8723">
        <v>0</v>
      </c>
      <c r="M8723">
        <v>9</v>
      </c>
      <c r="N8723">
        <v>1117.6500000000001</v>
      </c>
      <c r="O8723">
        <v>124.18</v>
      </c>
    </row>
    <row r="8724" spans="1:15" x14ac:dyDescent="0.35">
      <c r="A8724" t="s">
        <v>9395</v>
      </c>
      <c r="B8724" t="s">
        <v>224</v>
      </c>
      <c r="C8724" t="s">
        <v>1059</v>
      </c>
      <c r="D8724" t="s">
        <v>339</v>
      </c>
      <c r="E8724" t="s">
        <v>300</v>
      </c>
      <c r="F8724" t="s">
        <v>9430</v>
      </c>
      <c r="G8724">
        <v>0</v>
      </c>
      <c r="H8724">
        <v>0</v>
      </c>
      <c r="I8724">
        <v>0</v>
      </c>
      <c r="J8724">
        <v>0</v>
      </c>
      <c r="K8724">
        <v>0</v>
      </c>
      <c r="L8724">
        <v>0</v>
      </c>
      <c r="M8724">
        <v>0</v>
      </c>
      <c r="N8724">
        <v>0</v>
      </c>
      <c r="O8724">
        <v>0</v>
      </c>
    </row>
    <row r="8725" spans="1:15" x14ac:dyDescent="0.35">
      <c r="A8725" t="s">
        <v>9395</v>
      </c>
      <c r="B8725" t="s">
        <v>224</v>
      </c>
      <c r="C8725" t="s">
        <v>1059</v>
      </c>
      <c r="D8725" t="s">
        <v>339</v>
      </c>
      <c r="E8725" t="s">
        <v>306</v>
      </c>
      <c r="F8725" t="s">
        <v>9431</v>
      </c>
      <c r="G8725">
        <v>30</v>
      </c>
      <c r="H8725">
        <v>2794.89</v>
      </c>
      <c r="I8725">
        <v>93.16</v>
      </c>
      <c r="J8725">
        <v>0</v>
      </c>
      <c r="K8725">
        <v>0</v>
      </c>
      <c r="L8725">
        <v>0</v>
      </c>
      <c r="M8725">
        <v>30</v>
      </c>
      <c r="N8725">
        <v>2794.89</v>
      </c>
      <c r="O8725">
        <v>93.16</v>
      </c>
    </row>
    <row r="8726" spans="1:15" x14ac:dyDescent="0.35">
      <c r="A8726" t="s">
        <v>9395</v>
      </c>
      <c r="B8726" t="s">
        <v>224</v>
      </c>
      <c r="C8726" t="s">
        <v>1059</v>
      </c>
      <c r="D8726" t="s">
        <v>339</v>
      </c>
      <c r="E8726" t="s">
        <v>308</v>
      </c>
      <c r="F8726" t="s">
        <v>9432</v>
      </c>
      <c r="G8726">
        <v>52</v>
      </c>
      <c r="H8726">
        <v>7728.57</v>
      </c>
      <c r="I8726">
        <v>148.63</v>
      </c>
      <c r="J8726">
        <v>0</v>
      </c>
      <c r="K8726">
        <v>0</v>
      </c>
      <c r="L8726">
        <v>0</v>
      </c>
      <c r="M8726">
        <v>52</v>
      </c>
      <c r="N8726">
        <v>7728.57</v>
      </c>
      <c r="O8726">
        <v>148.63</v>
      </c>
    </row>
    <row r="8727" spans="1:15" x14ac:dyDescent="0.35">
      <c r="A8727" t="s">
        <v>9395</v>
      </c>
      <c r="B8727" t="s">
        <v>224</v>
      </c>
      <c r="C8727" t="s">
        <v>1059</v>
      </c>
      <c r="D8727" t="s">
        <v>339</v>
      </c>
      <c r="E8727" t="s">
        <v>310</v>
      </c>
      <c r="F8727" t="s">
        <v>9433</v>
      </c>
      <c r="G8727">
        <v>2033</v>
      </c>
      <c r="H8727">
        <v>222497.31999999998</v>
      </c>
      <c r="I8727">
        <v>109.44</v>
      </c>
      <c r="J8727">
        <v>0</v>
      </c>
      <c r="K8727">
        <v>0</v>
      </c>
      <c r="L8727">
        <v>0</v>
      </c>
      <c r="M8727">
        <v>2033</v>
      </c>
      <c r="N8727">
        <v>222497.31999999998</v>
      </c>
      <c r="O8727">
        <v>109.44</v>
      </c>
    </row>
    <row r="8728" spans="1:15" x14ac:dyDescent="0.35">
      <c r="A8728" t="s">
        <v>9395</v>
      </c>
      <c r="B8728" t="s">
        <v>224</v>
      </c>
      <c r="C8728" t="s">
        <v>1059</v>
      </c>
      <c r="D8728" t="s">
        <v>339</v>
      </c>
      <c r="E8728" t="s">
        <v>312</v>
      </c>
      <c r="F8728" t="s">
        <v>9434</v>
      </c>
      <c r="G8728">
        <v>1981</v>
      </c>
      <c r="H8728">
        <v>214768.74999999997</v>
      </c>
      <c r="I8728">
        <v>108.41</v>
      </c>
      <c r="J8728">
        <v>0</v>
      </c>
      <c r="K8728">
        <v>0</v>
      </c>
      <c r="L8728">
        <v>0</v>
      </c>
      <c r="M8728">
        <v>1981</v>
      </c>
      <c r="N8728">
        <v>214768.74999999997</v>
      </c>
      <c r="O8728">
        <v>108.41</v>
      </c>
    </row>
    <row r="8729" spans="1:15" x14ac:dyDescent="0.35">
      <c r="A8729" t="s">
        <v>9395</v>
      </c>
      <c r="B8729" t="s">
        <v>224</v>
      </c>
      <c r="C8729" t="s">
        <v>1059</v>
      </c>
      <c r="D8729" t="s">
        <v>348</v>
      </c>
      <c r="E8729" t="s">
        <v>349</v>
      </c>
      <c r="F8729" t="s">
        <v>9435</v>
      </c>
      <c r="G8729">
        <v>2267</v>
      </c>
      <c r="H8729">
        <v>274979.91000000003</v>
      </c>
      <c r="I8729">
        <v>123.14</v>
      </c>
      <c r="J8729">
        <v>0</v>
      </c>
      <c r="K8729">
        <v>0</v>
      </c>
      <c r="L8729">
        <v>0</v>
      </c>
      <c r="M8729">
        <v>2267</v>
      </c>
      <c r="N8729">
        <v>274979.91000000003</v>
      </c>
      <c r="O8729">
        <v>123.14</v>
      </c>
    </row>
    <row r="8730" spans="1:15" x14ac:dyDescent="0.35">
      <c r="A8730" t="s">
        <v>9436</v>
      </c>
      <c r="B8730" t="s">
        <v>159</v>
      </c>
      <c r="C8730" t="s">
        <v>1477</v>
      </c>
      <c r="D8730" t="s">
        <v>293</v>
      </c>
      <c r="E8730" t="s">
        <v>294</v>
      </c>
      <c r="F8730" t="s">
        <v>9437</v>
      </c>
      <c r="G8730">
        <v>123</v>
      </c>
      <c r="H8730">
        <v>24410.510000000006</v>
      </c>
      <c r="I8730">
        <v>198.46</v>
      </c>
      <c r="J8730">
        <v>0</v>
      </c>
      <c r="K8730">
        <v>0</v>
      </c>
      <c r="L8730">
        <v>0</v>
      </c>
      <c r="M8730">
        <v>123</v>
      </c>
      <c r="N8730">
        <v>24410.510000000006</v>
      </c>
      <c r="O8730">
        <v>198.46</v>
      </c>
    </row>
    <row r="8731" spans="1:15" x14ac:dyDescent="0.35">
      <c r="A8731" t="s">
        <v>9436</v>
      </c>
      <c r="B8731" t="s">
        <v>159</v>
      </c>
      <c r="C8731" t="s">
        <v>1477</v>
      </c>
      <c r="D8731" t="s">
        <v>293</v>
      </c>
      <c r="E8731" t="s">
        <v>296</v>
      </c>
      <c r="F8731" t="s">
        <v>9438</v>
      </c>
      <c r="G8731">
        <v>235</v>
      </c>
      <c r="H8731">
        <v>60538.399999999994</v>
      </c>
      <c r="I8731">
        <v>257.61</v>
      </c>
      <c r="J8731">
        <v>0</v>
      </c>
      <c r="K8731">
        <v>0</v>
      </c>
      <c r="L8731">
        <v>0</v>
      </c>
      <c r="M8731">
        <v>235</v>
      </c>
      <c r="N8731">
        <v>60538.399999999994</v>
      </c>
      <c r="O8731">
        <v>257.61</v>
      </c>
    </row>
    <row r="8732" spans="1:15" x14ac:dyDescent="0.35">
      <c r="A8732" t="s">
        <v>9436</v>
      </c>
      <c r="B8732" t="s">
        <v>159</v>
      </c>
      <c r="C8732" t="s">
        <v>1477</v>
      </c>
      <c r="D8732" t="s">
        <v>293</v>
      </c>
      <c r="E8732" t="s">
        <v>298</v>
      </c>
      <c r="F8732" t="s">
        <v>9439</v>
      </c>
      <c r="G8732">
        <v>73</v>
      </c>
      <c r="H8732">
        <v>23605.879999999997</v>
      </c>
      <c r="I8732">
        <v>323.37</v>
      </c>
      <c r="J8732">
        <v>0</v>
      </c>
      <c r="K8732">
        <v>0</v>
      </c>
      <c r="L8732">
        <v>0</v>
      </c>
      <c r="M8732">
        <v>73</v>
      </c>
      <c r="N8732">
        <v>23605.879999999997</v>
      </c>
      <c r="O8732">
        <v>323.37</v>
      </c>
    </row>
    <row r="8733" spans="1:15" x14ac:dyDescent="0.35">
      <c r="A8733" t="s">
        <v>9436</v>
      </c>
      <c r="B8733" t="s">
        <v>159</v>
      </c>
      <c r="C8733" t="s">
        <v>1477</v>
      </c>
      <c r="D8733" t="s">
        <v>293</v>
      </c>
      <c r="E8733" t="s">
        <v>300</v>
      </c>
      <c r="F8733" t="s">
        <v>9440</v>
      </c>
      <c r="G8733">
        <v>7</v>
      </c>
      <c r="H8733">
        <v>2100.8199999999997</v>
      </c>
      <c r="I8733">
        <v>300.12</v>
      </c>
      <c r="J8733">
        <v>0</v>
      </c>
      <c r="K8733">
        <v>0</v>
      </c>
      <c r="L8733">
        <v>0</v>
      </c>
      <c r="M8733">
        <v>7</v>
      </c>
      <c r="N8733">
        <v>2100.8199999999997</v>
      </c>
      <c r="O8733">
        <v>300.12</v>
      </c>
    </row>
    <row r="8734" spans="1:15" x14ac:dyDescent="0.35">
      <c r="A8734" t="s">
        <v>9436</v>
      </c>
      <c r="B8734" t="s">
        <v>159</v>
      </c>
      <c r="C8734" t="s">
        <v>1477</v>
      </c>
      <c r="D8734" t="s">
        <v>293</v>
      </c>
      <c r="E8734" t="s">
        <v>302</v>
      </c>
      <c r="F8734" t="s">
        <v>9441</v>
      </c>
      <c r="G8734">
        <v>0</v>
      </c>
      <c r="H8734">
        <v>0</v>
      </c>
      <c r="I8734">
        <v>0</v>
      </c>
      <c r="J8734">
        <v>0</v>
      </c>
      <c r="K8734">
        <v>0</v>
      </c>
      <c r="L8734">
        <v>0</v>
      </c>
      <c r="M8734">
        <v>0</v>
      </c>
      <c r="N8734">
        <v>0</v>
      </c>
      <c r="O8734">
        <v>0</v>
      </c>
    </row>
    <row r="8735" spans="1:15" x14ac:dyDescent="0.35">
      <c r="A8735" t="s">
        <v>9436</v>
      </c>
      <c r="B8735" t="s">
        <v>159</v>
      </c>
      <c r="C8735" t="s">
        <v>1477</v>
      </c>
      <c r="D8735" t="s">
        <v>293</v>
      </c>
      <c r="E8735" t="s">
        <v>304</v>
      </c>
      <c r="F8735" t="s">
        <v>9442</v>
      </c>
      <c r="G8735">
        <v>0</v>
      </c>
      <c r="H8735">
        <v>0</v>
      </c>
      <c r="I8735">
        <v>0</v>
      </c>
      <c r="J8735">
        <v>0</v>
      </c>
      <c r="K8735">
        <v>0</v>
      </c>
      <c r="L8735">
        <v>0</v>
      </c>
      <c r="M8735">
        <v>0</v>
      </c>
      <c r="N8735">
        <v>0</v>
      </c>
      <c r="O8735">
        <v>0</v>
      </c>
    </row>
    <row r="8736" spans="1:15" x14ac:dyDescent="0.35">
      <c r="A8736" t="s">
        <v>9436</v>
      </c>
      <c r="B8736" t="s">
        <v>159</v>
      </c>
      <c r="C8736" t="s">
        <v>1477</v>
      </c>
      <c r="D8736" t="s">
        <v>293</v>
      </c>
      <c r="E8736" t="s">
        <v>306</v>
      </c>
      <c r="F8736" t="s">
        <v>9443</v>
      </c>
      <c r="G8736">
        <v>1</v>
      </c>
      <c r="H8736">
        <v>174.71</v>
      </c>
      <c r="I8736">
        <v>174.71</v>
      </c>
      <c r="J8736">
        <v>0</v>
      </c>
      <c r="K8736">
        <v>0</v>
      </c>
      <c r="L8736">
        <v>0</v>
      </c>
      <c r="M8736">
        <v>1</v>
      </c>
      <c r="N8736">
        <v>174.71</v>
      </c>
      <c r="O8736">
        <v>174.71</v>
      </c>
    </row>
    <row r="8737" spans="1:15" x14ac:dyDescent="0.35">
      <c r="A8737" t="s">
        <v>9436</v>
      </c>
      <c r="B8737" t="s">
        <v>159</v>
      </c>
      <c r="C8737" t="s">
        <v>1477</v>
      </c>
      <c r="D8737" t="s">
        <v>293</v>
      </c>
      <c r="E8737" t="s">
        <v>308</v>
      </c>
      <c r="F8737" t="s">
        <v>9444</v>
      </c>
      <c r="G8737">
        <v>0</v>
      </c>
      <c r="H8737">
        <v>0</v>
      </c>
      <c r="I8737">
        <v>0</v>
      </c>
      <c r="J8737">
        <v>0</v>
      </c>
      <c r="K8737">
        <v>0</v>
      </c>
      <c r="L8737">
        <v>0</v>
      </c>
      <c r="M8737">
        <v>0</v>
      </c>
      <c r="N8737">
        <v>0</v>
      </c>
      <c r="O8737">
        <v>0</v>
      </c>
    </row>
    <row r="8738" spans="1:15" x14ac:dyDescent="0.35">
      <c r="A8738" t="s">
        <v>9436</v>
      </c>
      <c r="B8738" t="s">
        <v>159</v>
      </c>
      <c r="C8738" t="s">
        <v>1477</v>
      </c>
      <c r="D8738" t="s">
        <v>293</v>
      </c>
      <c r="E8738" t="s">
        <v>310</v>
      </c>
      <c r="F8738" t="s">
        <v>9445</v>
      </c>
      <c r="G8738">
        <v>439</v>
      </c>
      <c r="H8738">
        <v>110830.32000000002</v>
      </c>
      <c r="I8738">
        <v>252.46</v>
      </c>
      <c r="J8738">
        <v>0</v>
      </c>
      <c r="K8738">
        <v>0</v>
      </c>
      <c r="L8738">
        <v>0</v>
      </c>
      <c r="M8738">
        <v>439</v>
      </c>
      <c r="N8738">
        <v>110830.32000000002</v>
      </c>
      <c r="O8738">
        <v>252.46</v>
      </c>
    </row>
    <row r="8739" spans="1:15" x14ac:dyDescent="0.35">
      <c r="A8739" t="s">
        <v>9436</v>
      </c>
      <c r="B8739" t="s">
        <v>159</v>
      </c>
      <c r="C8739" t="s">
        <v>1477</v>
      </c>
      <c r="D8739" t="s">
        <v>293</v>
      </c>
      <c r="E8739" t="s">
        <v>312</v>
      </c>
      <c r="F8739" t="s">
        <v>9446</v>
      </c>
      <c r="G8739">
        <v>439</v>
      </c>
      <c r="H8739">
        <v>110830.32000000002</v>
      </c>
      <c r="I8739">
        <v>252.46</v>
      </c>
      <c r="J8739">
        <v>0</v>
      </c>
      <c r="K8739">
        <v>0</v>
      </c>
      <c r="L8739">
        <v>0</v>
      </c>
      <c r="M8739">
        <v>439</v>
      </c>
      <c r="N8739">
        <v>110830.32000000002</v>
      </c>
      <c r="O8739">
        <v>252.46</v>
      </c>
    </row>
    <row r="8740" spans="1:15" x14ac:dyDescent="0.35">
      <c r="A8740" t="s">
        <v>9436</v>
      </c>
      <c r="B8740" t="s">
        <v>159</v>
      </c>
      <c r="C8740" t="s">
        <v>1477</v>
      </c>
      <c r="D8740" t="s">
        <v>314</v>
      </c>
      <c r="E8740" t="s">
        <v>294</v>
      </c>
      <c r="F8740" t="s">
        <v>9447</v>
      </c>
      <c r="G8740">
        <v>15</v>
      </c>
      <c r="H8740">
        <v>3429.29</v>
      </c>
      <c r="I8740">
        <v>228.62</v>
      </c>
      <c r="J8740">
        <v>0</v>
      </c>
      <c r="K8740">
        <v>0</v>
      </c>
      <c r="L8740">
        <v>0</v>
      </c>
      <c r="M8740">
        <v>15</v>
      </c>
      <c r="N8740">
        <v>3429.29</v>
      </c>
      <c r="O8740">
        <v>228.62</v>
      </c>
    </row>
    <row r="8741" spans="1:15" x14ac:dyDescent="0.35">
      <c r="A8741" t="s">
        <v>9436</v>
      </c>
      <c r="B8741" t="s">
        <v>159</v>
      </c>
      <c r="C8741" t="s">
        <v>1477</v>
      </c>
      <c r="D8741" t="s">
        <v>314</v>
      </c>
      <c r="E8741" t="s">
        <v>296</v>
      </c>
      <c r="F8741" t="s">
        <v>9448</v>
      </c>
      <c r="G8741">
        <v>2</v>
      </c>
      <c r="H8741">
        <v>614.48</v>
      </c>
      <c r="I8741">
        <v>307.24</v>
      </c>
      <c r="J8741">
        <v>0</v>
      </c>
      <c r="K8741">
        <v>0</v>
      </c>
      <c r="L8741">
        <v>0</v>
      </c>
      <c r="M8741">
        <v>2</v>
      </c>
      <c r="N8741">
        <v>614.48</v>
      </c>
      <c r="O8741">
        <v>307.24</v>
      </c>
    </row>
    <row r="8742" spans="1:15" x14ac:dyDescent="0.35">
      <c r="A8742" t="s">
        <v>9436</v>
      </c>
      <c r="B8742" t="s">
        <v>159</v>
      </c>
      <c r="C8742" t="s">
        <v>1477</v>
      </c>
      <c r="D8742" t="s">
        <v>314</v>
      </c>
      <c r="E8742" t="s">
        <v>298</v>
      </c>
      <c r="F8742" t="s">
        <v>9449</v>
      </c>
      <c r="G8742">
        <v>0</v>
      </c>
      <c r="H8742">
        <v>0</v>
      </c>
      <c r="I8742">
        <v>0</v>
      </c>
      <c r="J8742">
        <v>0</v>
      </c>
      <c r="K8742">
        <v>0</v>
      </c>
      <c r="L8742">
        <v>0</v>
      </c>
      <c r="M8742">
        <v>0</v>
      </c>
      <c r="N8742">
        <v>0</v>
      </c>
      <c r="O8742">
        <v>0</v>
      </c>
    </row>
    <row r="8743" spans="1:15" x14ac:dyDescent="0.35">
      <c r="A8743" t="s">
        <v>9436</v>
      </c>
      <c r="B8743" t="s">
        <v>159</v>
      </c>
      <c r="C8743" t="s">
        <v>1477</v>
      </c>
      <c r="D8743" t="s">
        <v>314</v>
      </c>
      <c r="E8743" t="s">
        <v>300</v>
      </c>
      <c r="F8743" t="s">
        <v>9450</v>
      </c>
      <c r="G8743">
        <v>0</v>
      </c>
      <c r="H8743">
        <v>0</v>
      </c>
      <c r="I8743">
        <v>0</v>
      </c>
      <c r="J8743">
        <v>0</v>
      </c>
      <c r="K8743">
        <v>0</v>
      </c>
      <c r="L8743">
        <v>0</v>
      </c>
      <c r="M8743">
        <v>0</v>
      </c>
      <c r="N8743">
        <v>0</v>
      </c>
      <c r="O8743">
        <v>0</v>
      </c>
    </row>
    <row r="8744" spans="1:15" x14ac:dyDescent="0.35">
      <c r="A8744" t="s">
        <v>9436</v>
      </c>
      <c r="B8744" t="s">
        <v>159</v>
      </c>
      <c r="C8744" t="s">
        <v>1477</v>
      </c>
      <c r="D8744" t="s">
        <v>314</v>
      </c>
      <c r="E8744" t="s">
        <v>306</v>
      </c>
      <c r="F8744" t="s">
        <v>9451</v>
      </c>
      <c r="G8744">
        <v>0</v>
      </c>
      <c r="H8744">
        <v>0</v>
      </c>
      <c r="I8744">
        <v>0</v>
      </c>
      <c r="J8744">
        <v>0</v>
      </c>
      <c r="K8744">
        <v>0</v>
      </c>
      <c r="L8744">
        <v>0</v>
      </c>
      <c r="M8744">
        <v>0</v>
      </c>
      <c r="N8744">
        <v>0</v>
      </c>
      <c r="O8744">
        <v>0</v>
      </c>
    </row>
    <row r="8745" spans="1:15" x14ac:dyDescent="0.35">
      <c r="A8745" t="s">
        <v>9436</v>
      </c>
      <c r="B8745" t="s">
        <v>159</v>
      </c>
      <c r="C8745" t="s">
        <v>1477</v>
      </c>
      <c r="D8745" t="s">
        <v>314</v>
      </c>
      <c r="E8745" t="s">
        <v>308</v>
      </c>
      <c r="F8745" t="s">
        <v>9452</v>
      </c>
      <c r="G8745">
        <v>0</v>
      </c>
      <c r="H8745">
        <v>0</v>
      </c>
      <c r="I8745">
        <v>0</v>
      </c>
      <c r="J8745">
        <v>0</v>
      </c>
      <c r="K8745">
        <v>0</v>
      </c>
      <c r="L8745">
        <v>0</v>
      </c>
      <c r="M8745">
        <v>0</v>
      </c>
      <c r="N8745">
        <v>0</v>
      </c>
      <c r="O8745">
        <v>0</v>
      </c>
    </row>
    <row r="8746" spans="1:15" x14ac:dyDescent="0.35">
      <c r="A8746" t="s">
        <v>9436</v>
      </c>
      <c r="B8746" t="s">
        <v>159</v>
      </c>
      <c r="C8746" t="s">
        <v>1477</v>
      </c>
      <c r="D8746" t="s">
        <v>314</v>
      </c>
      <c r="E8746" t="s">
        <v>312</v>
      </c>
      <c r="F8746" t="s">
        <v>9453</v>
      </c>
      <c r="G8746">
        <v>17</v>
      </c>
      <c r="H8746">
        <v>4043.77</v>
      </c>
      <c r="I8746">
        <v>237.87</v>
      </c>
      <c r="J8746">
        <v>0</v>
      </c>
      <c r="K8746">
        <v>0</v>
      </c>
      <c r="L8746">
        <v>0</v>
      </c>
      <c r="M8746">
        <v>17</v>
      </c>
      <c r="N8746">
        <v>4043.77</v>
      </c>
      <c r="O8746">
        <v>237.87</v>
      </c>
    </row>
    <row r="8747" spans="1:15" x14ac:dyDescent="0.35">
      <c r="A8747" t="s">
        <v>9436</v>
      </c>
      <c r="B8747" t="s">
        <v>159</v>
      </c>
      <c r="C8747" t="s">
        <v>1477</v>
      </c>
      <c r="D8747" t="s">
        <v>314</v>
      </c>
      <c r="E8747" t="s">
        <v>310</v>
      </c>
      <c r="F8747" t="s">
        <v>9454</v>
      </c>
      <c r="G8747">
        <v>17</v>
      </c>
      <c r="H8747">
        <v>4043.77</v>
      </c>
      <c r="I8747">
        <v>237.87</v>
      </c>
      <c r="J8747">
        <v>0</v>
      </c>
      <c r="K8747">
        <v>0</v>
      </c>
      <c r="L8747">
        <v>0</v>
      </c>
      <c r="M8747">
        <v>17</v>
      </c>
      <c r="N8747">
        <v>4043.77</v>
      </c>
      <c r="O8747">
        <v>237.87</v>
      </c>
    </row>
    <row r="8748" spans="1:15" x14ac:dyDescent="0.35">
      <c r="A8748" t="s">
        <v>9436</v>
      </c>
      <c r="B8748" t="s">
        <v>159</v>
      </c>
      <c r="C8748" t="s">
        <v>1477</v>
      </c>
      <c r="D8748" t="s">
        <v>323</v>
      </c>
      <c r="E8748" t="s">
        <v>294</v>
      </c>
      <c r="F8748" t="s">
        <v>9455</v>
      </c>
      <c r="G8748">
        <v>517</v>
      </c>
      <c r="H8748">
        <v>66191.11</v>
      </c>
      <c r="I8748">
        <v>128.03</v>
      </c>
      <c r="J8748">
        <v>1302</v>
      </c>
      <c r="K8748">
        <v>145498.5</v>
      </c>
      <c r="L8748">
        <v>111.75</v>
      </c>
      <c r="M8748">
        <v>1819</v>
      </c>
      <c r="N8748">
        <v>211689.61</v>
      </c>
      <c r="O8748">
        <v>116.38</v>
      </c>
    </row>
    <row r="8749" spans="1:15" x14ac:dyDescent="0.35">
      <c r="A8749" t="s">
        <v>9436</v>
      </c>
      <c r="B8749" t="s">
        <v>159</v>
      </c>
      <c r="C8749" t="s">
        <v>1477</v>
      </c>
      <c r="D8749" t="s">
        <v>323</v>
      </c>
      <c r="E8749" t="s">
        <v>296</v>
      </c>
      <c r="F8749" t="s">
        <v>9456</v>
      </c>
      <c r="G8749">
        <v>670</v>
      </c>
      <c r="H8749">
        <v>102103.77</v>
      </c>
      <c r="I8749">
        <v>152.38999999999999</v>
      </c>
      <c r="J8749">
        <v>1350</v>
      </c>
      <c r="K8749">
        <v>172489.5</v>
      </c>
      <c r="L8749">
        <v>127.77</v>
      </c>
      <c r="M8749">
        <v>2020</v>
      </c>
      <c r="N8749">
        <v>274593.27</v>
      </c>
      <c r="O8749">
        <v>135.94</v>
      </c>
    </row>
    <row r="8750" spans="1:15" x14ac:dyDescent="0.35">
      <c r="A8750" t="s">
        <v>9436</v>
      </c>
      <c r="B8750" t="s">
        <v>159</v>
      </c>
      <c r="C8750" t="s">
        <v>1477</v>
      </c>
      <c r="D8750" t="s">
        <v>323</v>
      </c>
      <c r="E8750" t="s">
        <v>298</v>
      </c>
      <c r="F8750" t="s">
        <v>9457</v>
      </c>
      <c r="G8750">
        <v>434</v>
      </c>
      <c r="H8750">
        <v>75700.37</v>
      </c>
      <c r="I8750">
        <v>174.42</v>
      </c>
      <c r="J8750">
        <v>1884</v>
      </c>
      <c r="K8750">
        <v>274272.72000000003</v>
      </c>
      <c r="L8750">
        <v>145.58000000000001</v>
      </c>
      <c r="M8750">
        <v>2318</v>
      </c>
      <c r="N8750">
        <v>349973.09</v>
      </c>
      <c r="O8750">
        <v>150.97999999999999</v>
      </c>
    </row>
    <row r="8751" spans="1:15" x14ac:dyDescent="0.35">
      <c r="A8751" t="s">
        <v>9436</v>
      </c>
      <c r="B8751" t="s">
        <v>159</v>
      </c>
      <c r="C8751" t="s">
        <v>1477</v>
      </c>
      <c r="D8751" t="s">
        <v>323</v>
      </c>
      <c r="E8751" t="s">
        <v>300</v>
      </c>
      <c r="F8751" t="s">
        <v>9458</v>
      </c>
      <c r="G8751">
        <v>53</v>
      </c>
      <c r="H8751">
        <v>10218.15</v>
      </c>
      <c r="I8751">
        <v>192.8</v>
      </c>
      <c r="J8751">
        <v>84</v>
      </c>
      <c r="K8751">
        <v>13668.48</v>
      </c>
      <c r="L8751">
        <v>162.72</v>
      </c>
      <c r="M8751">
        <v>137</v>
      </c>
      <c r="N8751">
        <v>23886.629999999997</v>
      </c>
      <c r="O8751">
        <v>174.35</v>
      </c>
    </row>
    <row r="8752" spans="1:15" x14ac:dyDescent="0.35">
      <c r="A8752" t="s">
        <v>9436</v>
      </c>
      <c r="B8752" t="s">
        <v>159</v>
      </c>
      <c r="C8752" t="s">
        <v>1477</v>
      </c>
      <c r="D8752" t="s">
        <v>323</v>
      </c>
      <c r="E8752" t="s">
        <v>302</v>
      </c>
      <c r="F8752" t="s">
        <v>9459</v>
      </c>
      <c r="G8752">
        <v>0</v>
      </c>
      <c r="H8752">
        <v>0</v>
      </c>
      <c r="I8752">
        <v>0</v>
      </c>
      <c r="J8752">
        <v>6</v>
      </c>
      <c r="K8752">
        <v>1051.68</v>
      </c>
      <c r="L8752">
        <v>175.28</v>
      </c>
      <c r="M8752">
        <v>6</v>
      </c>
      <c r="N8752">
        <v>1051.68</v>
      </c>
      <c r="O8752">
        <v>175.28</v>
      </c>
    </row>
    <row r="8753" spans="1:15" x14ac:dyDescent="0.35">
      <c r="A8753" t="s">
        <v>9436</v>
      </c>
      <c r="B8753" t="s">
        <v>159</v>
      </c>
      <c r="C8753" t="s">
        <v>1477</v>
      </c>
      <c r="D8753" t="s">
        <v>323</v>
      </c>
      <c r="E8753" t="s">
        <v>304</v>
      </c>
      <c r="F8753" t="s">
        <v>9460</v>
      </c>
      <c r="G8753">
        <v>0</v>
      </c>
      <c r="H8753">
        <v>0</v>
      </c>
      <c r="I8753">
        <v>0</v>
      </c>
      <c r="J8753">
        <v>3</v>
      </c>
      <c r="K8753">
        <v>583.98</v>
      </c>
      <c r="L8753">
        <v>194.66</v>
      </c>
      <c r="M8753">
        <v>3</v>
      </c>
      <c r="N8753">
        <v>583.98</v>
      </c>
      <c r="O8753">
        <v>194.66</v>
      </c>
    </row>
    <row r="8754" spans="1:15" x14ac:dyDescent="0.35">
      <c r="A8754" t="s">
        <v>9436</v>
      </c>
      <c r="B8754" t="s">
        <v>159</v>
      </c>
      <c r="C8754" t="s">
        <v>1477</v>
      </c>
      <c r="D8754" t="s">
        <v>323</v>
      </c>
      <c r="E8754" t="s">
        <v>306</v>
      </c>
      <c r="F8754" t="s">
        <v>9461</v>
      </c>
      <c r="G8754">
        <v>13</v>
      </c>
      <c r="H8754">
        <v>1300.3999999999999</v>
      </c>
      <c r="I8754">
        <v>100.03</v>
      </c>
      <c r="J8754">
        <v>44</v>
      </c>
      <c r="K8754">
        <v>4042.72</v>
      </c>
      <c r="L8754">
        <v>91.88</v>
      </c>
      <c r="M8754">
        <v>57</v>
      </c>
      <c r="N8754">
        <v>5343.12</v>
      </c>
      <c r="O8754">
        <v>93.74</v>
      </c>
    </row>
    <row r="8755" spans="1:15" x14ac:dyDescent="0.35">
      <c r="A8755" t="s">
        <v>9436</v>
      </c>
      <c r="B8755" t="s">
        <v>159</v>
      </c>
      <c r="C8755" t="s">
        <v>1477</v>
      </c>
      <c r="D8755" t="s">
        <v>323</v>
      </c>
      <c r="E8755" t="s">
        <v>308</v>
      </c>
      <c r="F8755" t="s">
        <v>9462</v>
      </c>
      <c r="G8755">
        <v>0</v>
      </c>
      <c r="H8755">
        <v>0</v>
      </c>
      <c r="I8755">
        <v>0</v>
      </c>
      <c r="J8755">
        <v>0</v>
      </c>
      <c r="K8755">
        <v>0</v>
      </c>
      <c r="L8755">
        <v>0</v>
      </c>
      <c r="M8755">
        <v>0</v>
      </c>
      <c r="N8755">
        <v>0</v>
      </c>
      <c r="O8755">
        <v>0</v>
      </c>
    </row>
    <row r="8756" spans="1:15" x14ac:dyDescent="0.35">
      <c r="A8756" t="s">
        <v>9436</v>
      </c>
      <c r="B8756" t="s">
        <v>159</v>
      </c>
      <c r="C8756" t="s">
        <v>1477</v>
      </c>
      <c r="D8756" t="s">
        <v>323</v>
      </c>
      <c r="E8756" t="s">
        <v>310</v>
      </c>
      <c r="F8756" t="s">
        <v>9463</v>
      </c>
      <c r="G8756">
        <v>1687</v>
      </c>
      <c r="H8756">
        <v>255513.8</v>
      </c>
      <c r="I8756">
        <v>151.46</v>
      </c>
      <c r="J8756">
        <v>4673</v>
      </c>
      <c r="K8756">
        <v>611607.57999999996</v>
      </c>
      <c r="L8756">
        <v>130.88</v>
      </c>
      <c r="M8756">
        <v>6360</v>
      </c>
      <c r="N8756">
        <v>867121.37999999989</v>
      </c>
      <c r="O8756">
        <v>136.34</v>
      </c>
    </row>
    <row r="8757" spans="1:15" x14ac:dyDescent="0.35">
      <c r="A8757" t="s">
        <v>9436</v>
      </c>
      <c r="B8757" t="s">
        <v>159</v>
      </c>
      <c r="C8757" t="s">
        <v>1477</v>
      </c>
      <c r="D8757" t="s">
        <v>323</v>
      </c>
      <c r="E8757" t="s">
        <v>312</v>
      </c>
      <c r="F8757" t="s">
        <v>9464</v>
      </c>
      <c r="G8757">
        <v>1687</v>
      </c>
      <c r="H8757">
        <v>255513.8</v>
      </c>
      <c r="I8757">
        <v>151.46</v>
      </c>
      <c r="J8757">
        <v>4673</v>
      </c>
      <c r="K8757">
        <v>611607.57999999996</v>
      </c>
      <c r="L8757">
        <v>130.88</v>
      </c>
      <c r="M8757">
        <v>6360</v>
      </c>
      <c r="N8757">
        <v>867121.37999999989</v>
      </c>
      <c r="O8757">
        <v>136.34</v>
      </c>
    </row>
    <row r="8758" spans="1:15" x14ac:dyDescent="0.35">
      <c r="A8758" t="s">
        <v>9436</v>
      </c>
      <c r="B8758" t="s">
        <v>159</v>
      </c>
      <c r="C8758" t="s">
        <v>1477</v>
      </c>
      <c r="D8758" t="s">
        <v>334</v>
      </c>
      <c r="E8758" t="s">
        <v>312</v>
      </c>
      <c r="F8758" t="s">
        <v>9465</v>
      </c>
      <c r="G8758">
        <v>2311</v>
      </c>
      <c r="H8758">
        <v>366344.12000000005</v>
      </c>
      <c r="I8758">
        <v>172.32</v>
      </c>
      <c r="J8758">
        <v>4673</v>
      </c>
      <c r="K8758">
        <v>611607.57999999996</v>
      </c>
      <c r="L8758">
        <v>130.88</v>
      </c>
      <c r="M8758">
        <v>6984</v>
      </c>
      <c r="N8758">
        <v>977951.7</v>
      </c>
      <c r="O8758">
        <v>143.84</v>
      </c>
    </row>
    <row r="8759" spans="1:15" x14ac:dyDescent="0.35">
      <c r="A8759" t="s">
        <v>9436</v>
      </c>
      <c r="B8759" t="s">
        <v>159</v>
      </c>
      <c r="C8759" t="s">
        <v>1477</v>
      </c>
      <c r="D8759" t="s">
        <v>334</v>
      </c>
      <c r="E8759" t="s">
        <v>308</v>
      </c>
      <c r="F8759" t="s">
        <v>9466</v>
      </c>
      <c r="G8759">
        <v>88</v>
      </c>
      <c r="H8759">
        <v>0</v>
      </c>
      <c r="I8759">
        <v>0</v>
      </c>
      <c r="J8759">
        <v>0</v>
      </c>
      <c r="K8759">
        <v>0</v>
      </c>
      <c r="L8759">
        <v>0</v>
      </c>
      <c r="M8759">
        <v>88</v>
      </c>
      <c r="N8759">
        <v>0</v>
      </c>
      <c r="O8759">
        <v>0</v>
      </c>
    </row>
    <row r="8760" spans="1:15" x14ac:dyDescent="0.35">
      <c r="A8760" t="s">
        <v>9436</v>
      </c>
      <c r="B8760" t="s">
        <v>159</v>
      </c>
      <c r="C8760" t="s">
        <v>1477</v>
      </c>
      <c r="D8760" t="s">
        <v>337</v>
      </c>
      <c r="E8760" t="s">
        <v>337</v>
      </c>
      <c r="F8760" t="s">
        <v>9467</v>
      </c>
      <c r="G8760">
        <v>344</v>
      </c>
      <c r="J8760">
        <v>0</v>
      </c>
      <c r="M8760">
        <v>344</v>
      </c>
    </row>
    <row r="8761" spans="1:15" x14ac:dyDescent="0.35">
      <c r="A8761" t="s">
        <v>9436</v>
      </c>
      <c r="B8761" t="s">
        <v>159</v>
      </c>
      <c r="C8761" t="s">
        <v>1477</v>
      </c>
      <c r="D8761" t="s">
        <v>339</v>
      </c>
      <c r="E8761" t="s">
        <v>294</v>
      </c>
      <c r="F8761" t="s">
        <v>9468</v>
      </c>
      <c r="G8761">
        <v>330</v>
      </c>
      <c r="H8761">
        <v>48024.81</v>
      </c>
      <c r="I8761">
        <v>145.53</v>
      </c>
      <c r="J8761">
        <v>0</v>
      </c>
      <c r="K8761">
        <v>0</v>
      </c>
      <c r="L8761">
        <v>0</v>
      </c>
      <c r="M8761">
        <v>330</v>
      </c>
      <c r="N8761">
        <v>48024.81</v>
      </c>
      <c r="O8761">
        <v>145.53</v>
      </c>
    </row>
    <row r="8762" spans="1:15" x14ac:dyDescent="0.35">
      <c r="A8762" t="s">
        <v>9436</v>
      </c>
      <c r="B8762" t="s">
        <v>159</v>
      </c>
      <c r="C8762" t="s">
        <v>1477</v>
      </c>
      <c r="D8762" t="s">
        <v>339</v>
      </c>
      <c r="E8762" t="s">
        <v>296</v>
      </c>
      <c r="F8762" t="s">
        <v>9469</v>
      </c>
      <c r="G8762">
        <v>21</v>
      </c>
      <c r="H8762">
        <v>4053.9700000000003</v>
      </c>
      <c r="I8762">
        <v>193.05</v>
      </c>
      <c r="J8762">
        <v>0</v>
      </c>
      <c r="K8762">
        <v>0</v>
      </c>
      <c r="L8762">
        <v>0</v>
      </c>
      <c r="M8762">
        <v>21</v>
      </c>
      <c r="N8762">
        <v>4053.9700000000003</v>
      </c>
      <c r="O8762">
        <v>193.05</v>
      </c>
    </row>
    <row r="8763" spans="1:15" x14ac:dyDescent="0.35">
      <c r="A8763" t="s">
        <v>9436</v>
      </c>
      <c r="B8763" t="s">
        <v>159</v>
      </c>
      <c r="C8763" t="s">
        <v>1477</v>
      </c>
      <c r="D8763" t="s">
        <v>339</v>
      </c>
      <c r="E8763" t="s">
        <v>298</v>
      </c>
      <c r="F8763" t="s">
        <v>9470</v>
      </c>
      <c r="G8763">
        <v>1</v>
      </c>
      <c r="H8763">
        <v>153.49</v>
      </c>
      <c r="I8763">
        <v>153.49</v>
      </c>
      <c r="J8763">
        <v>0</v>
      </c>
      <c r="K8763">
        <v>0</v>
      </c>
      <c r="L8763">
        <v>0</v>
      </c>
      <c r="M8763">
        <v>1</v>
      </c>
      <c r="N8763">
        <v>153.49</v>
      </c>
      <c r="O8763">
        <v>153.49</v>
      </c>
    </row>
    <row r="8764" spans="1:15" x14ac:dyDescent="0.35">
      <c r="A8764" t="s">
        <v>9436</v>
      </c>
      <c r="B8764" t="s">
        <v>159</v>
      </c>
      <c r="C8764" t="s">
        <v>1477</v>
      </c>
      <c r="D8764" t="s">
        <v>339</v>
      </c>
      <c r="E8764" t="s">
        <v>300</v>
      </c>
      <c r="F8764" t="s">
        <v>9471</v>
      </c>
      <c r="G8764">
        <v>1</v>
      </c>
      <c r="H8764">
        <v>188.04</v>
      </c>
      <c r="I8764">
        <v>188.04</v>
      </c>
      <c r="J8764">
        <v>0</v>
      </c>
      <c r="K8764">
        <v>0</v>
      </c>
      <c r="L8764">
        <v>0</v>
      </c>
      <c r="M8764">
        <v>1</v>
      </c>
      <c r="N8764">
        <v>188.04</v>
      </c>
      <c r="O8764">
        <v>188.04</v>
      </c>
    </row>
    <row r="8765" spans="1:15" x14ac:dyDescent="0.35">
      <c r="A8765" t="s">
        <v>9436</v>
      </c>
      <c r="B8765" t="s">
        <v>159</v>
      </c>
      <c r="C8765" t="s">
        <v>1477</v>
      </c>
      <c r="D8765" t="s">
        <v>339</v>
      </c>
      <c r="E8765" t="s">
        <v>306</v>
      </c>
      <c r="F8765" t="s">
        <v>9472</v>
      </c>
      <c r="G8765">
        <v>46</v>
      </c>
      <c r="H8765">
        <v>5212.2199999999993</v>
      </c>
      <c r="I8765">
        <v>113.31</v>
      </c>
      <c r="J8765">
        <v>0</v>
      </c>
      <c r="K8765">
        <v>0</v>
      </c>
      <c r="L8765">
        <v>0</v>
      </c>
      <c r="M8765">
        <v>46</v>
      </c>
      <c r="N8765">
        <v>5212.2199999999993</v>
      </c>
      <c r="O8765">
        <v>113.31</v>
      </c>
    </row>
    <row r="8766" spans="1:15" x14ac:dyDescent="0.35">
      <c r="A8766" t="s">
        <v>9436</v>
      </c>
      <c r="B8766" t="s">
        <v>159</v>
      </c>
      <c r="C8766" t="s">
        <v>1477</v>
      </c>
      <c r="D8766" t="s">
        <v>339</v>
      </c>
      <c r="E8766" t="s">
        <v>308</v>
      </c>
      <c r="F8766" t="s">
        <v>9473</v>
      </c>
      <c r="G8766">
        <v>56</v>
      </c>
      <c r="H8766">
        <v>6567.0300000000007</v>
      </c>
      <c r="I8766">
        <v>117.27</v>
      </c>
      <c r="J8766">
        <v>0</v>
      </c>
      <c r="K8766">
        <v>0</v>
      </c>
      <c r="L8766">
        <v>0</v>
      </c>
      <c r="M8766">
        <v>56</v>
      </c>
      <c r="N8766">
        <v>6567.0300000000007</v>
      </c>
      <c r="O8766">
        <v>117.27</v>
      </c>
    </row>
    <row r="8767" spans="1:15" x14ac:dyDescent="0.35">
      <c r="A8767" t="s">
        <v>9436</v>
      </c>
      <c r="B8767" t="s">
        <v>159</v>
      </c>
      <c r="C8767" t="s">
        <v>1477</v>
      </c>
      <c r="D8767" t="s">
        <v>339</v>
      </c>
      <c r="E8767" t="s">
        <v>310</v>
      </c>
      <c r="F8767" t="s">
        <v>9474</v>
      </c>
      <c r="G8767">
        <v>455</v>
      </c>
      <c r="H8767">
        <v>64199.56</v>
      </c>
      <c r="I8767">
        <v>141.1</v>
      </c>
      <c r="J8767">
        <v>0</v>
      </c>
      <c r="K8767">
        <v>0</v>
      </c>
      <c r="L8767">
        <v>0</v>
      </c>
      <c r="M8767">
        <v>455</v>
      </c>
      <c r="N8767">
        <v>64199.56</v>
      </c>
      <c r="O8767">
        <v>141.1</v>
      </c>
    </row>
    <row r="8768" spans="1:15" x14ac:dyDescent="0.35">
      <c r="A8768" t="s">
        <v>9436</v>
      </c>
      <c r="B8768" t="s">
        <v>159</v>
      </c>
      <c r="C8768" t="s">
        <v>1477</v>
      </c>
      <c r="D8768" t="s">
        <v>339</v>
      </c>
      <c r="E8768" t="s">
        <v>312</v>
      </c>
      <c r="F8768" t="s">
        <v>9475</v>
      </c>
      <c r="G8768">
        <v>399</v>
      </c>
      <c r="H8768">
        <v>57632.53</v>
      </c>
      <c r="I8768">
        <v>144.44</v>
      </c>
      <c r="J8768">
        <v>0</v>
      </c>
      <c r="K8768">
        <v>0</v>
      </c>
      <c r="L8768">
        <v>0</v>
      </c>
      <c r="M8768">
        <v>399</v>
      </c>
      <c r="N8768">
        <v>57632.53</v>
      </c>
      <c r="O8768">
        <v>144.44</v>
      </c>
    </row>
    <row r="8769" spans="1:15" x14ac:dyDescent="0.35">
      <c r="A8769" t="s">
        <v>9436</v>
      </c>
      <c r="B8769" t="s">
        <v>159</v>
      </c>
      <c r="C8769" t="s">
        <v>1477</v>
      </c>
      <c r="D8769" t="s">
        <v>348</v>
      </c>
      <c r="E8769" t="s">
        <v>349</v>
      </c>
      <c r="F8769" t="s">
        <v>9476</v>
      </c>
      <c r="G8769">
        <v>512</v>
      </c>
      <c r="H8769">
        <v>68243.33</v>
      </c>
      <c r="I8769">
        <v>144.58000000000001</v>
      </c>
      <c r="J8769">
        <v>0</v>
      </c>
      <c r="K8769">
        <v>0</v>
      </c>
      <c r="L8769">
        <v>0</v>
      </c>
      <c r="M8769">
        <v>512</v>
      </c>
      <c r="N8769">
        <v>68243.33</v>
      </c>
      <c r="O8769">
        <v>144.58000000000001</v>
      </c>
    </row>
    <row r="8770" spans="1:15" x14ac:dyDescent="0.35">
      <c r="A8770" t="s">
        <v>9477</v>
      </c>
      <c r="B8770" t="s">
        <v>202</v>
      </c>
      <c r="C8770" t="s">
        <v>1477</v>
      </c>
      <c r="D8770" t="s">
        <v>293</v>
      </c>
      <c r="E8770" t="s">
        <v>294</v>
      </c>
      <c r="F8770" t="s">
        <v>9478</v>
      </c>
      <c r="G8770">
        <v>246</v>
      </c>
      <c r="H8770">
        <v>41060.909999999996</v>
      </c>
      <c r="I8770">
        <v>166.91</v>
      </c>
      <c r="J8770">
        <v>0</v>
      </c>
      <c r="K8770">
        <v>0</v>
      </c>
      <c r="L8770">
        <v>0</v>
      </c>
      <c r="M8770">
        <v>246</v>
      </c>
      <c r="N8770">
        <v>41060.909999999996</v>
      </c>
      <c r="O8770">
        <v>166.91</v>
      </c>
    </row>
    <row r="8771" spans="1:15" x14ac:dyDescent="0.35">
      <c r="A8771" t="s">
        <v>9477</v>
      </c>
      <c r="B8771" t="s">
        <v>202</v>
      </c>
      <c r="C8771" t="s">
        <v>1477</v>
      </c>
      <c r="D8771" t="s">
        <v>293</v>
      </c>
      <c r="E8771" t="s">
        <v>296</v>
      </c>
      <c r="F8771" t="s">
        <v>9479</v>
      </c>
      <c r="G8771">
        <v>308</v>
      </c>
      <c r="H8771">
        <v>65183.409999999982</v>
      </c>
      <c r="I8771">
        <v>211.63</v>
      </c>
      <c r="J8771">
        <v>0</v>
      </c>
      <c r="K8771">
        <v>0</v>
      </c>
      <c r="L8771">
        <v>0</v>
      </c>
      <c r="M8771">
        <v>308</v>
      </c>
      <c r="N8771">
        <v>65183.409999999982</v>
      </c>
      <c r="O8771">
        <v>211.63</v>
      </c>
    </row>
    <row r="8772" spans="1:15" x14ac:dyDescent="0.35">
      <c r="A8772" t="s">
        <v>9477</v>
      </c>
      <c r="B8772" t="s">
        <v>202</v>
      </c>
      <c r="C8772" t="s">
        <v>1477</v>
      </c>
      <c r="D8772" t="s">
        <v>293</v>
      </c>
      <c r="E8772" t="s">
        <v>298</v>
      </c>
      <c r="F8772" t="s">
        <v>9480</v>
      </c>
      <c r="G8772">
        <v>83</v>
      </c>
      <c r="H8772">
        <v>20371.97</v>
      </c>
      <c r="I8772">
        <v>245.45</v>
      </c>
      <c r="J8772">
        <v>0</v>
      </c>
      <c r="K8772">
        <v>0</v>
      </c>
      <c r="L8772">
        <v>0</v>
      </c>
      <c r="M8772">
        <v>83</v>
      </c>
      <c r="N8772">
        <v>20371.97</v>
      </c>
      <c r="O8772">
        <v>245.45</v>
      </c>
    </row>
    <row r="8773" spans="1:15" x14ac:dyDescent="0.35">
      <c r="A8773" t="s">
        <v>9477</v>
      </c>
      <c r="B8773" t="s">
        <v>202</v>
      </c>
      <c r="C8773" t="s">
        <v>1477</v>
      </c>
      <c r="D8773" t="s">
        <v>293</v>
      </c>
      <c r="E8773" t="s">
        <v>300</v>
      </c>
      <c r="F8773" t="s">
        <v>9481</v>
      </c>
      <c r="G8773">
        <v>4</v>
      </c>
      <c r="H8773">
        <v>768.75</v>
      </c>
      <c r="I8773">
        <v>192.19</v>
      </c>
      <c r="J8773">
        <v>0</v>
      </c>
      <c r="K8773">
        <v>0</v>
      </c>
      <c r="L8773">
        <v>0</v>
      </c>
      <c r="M8773">
        <v>4</v>
      </c>
      <c r="N8773">
        <v>768.75</v>
      </c>
      <c r="O8773">
        <v>192.19</v>
      </c>
    </row>
    <row r="8774" spans="1:15" x14ac:dyDescent="0.35">
      <c r="A8774" t="s">
        <v>9477</v>
      </c>
      <c r="B8774" t="s">
        <v>202</v>
      </c>
      <c r="C8774" t="s">
        <v>1477</v>
      </c>
      <c r="D8774" t="s">
        <v>293</v>
      </c>
      <c r="E8774" t="s">
        <v>302</v>
      </c>
      <c r="F8774" t="s">
        <v>9482</v>
      </c>
      <c r="G8774">
        <v>0</v>
      </c>
      <c r="H8774">
        <v>0</v>
      </c>
      <c r="I8774">
        <v>0</v>
      </c>
      <c r="J8774">
        <v>0</v>
      </c>
      <c r="K8774">
        <v>0</v>
      </c>
      <c r="L8774">
        <v>0</v>
      </c>
      <c r="M8774">
        <v>0</v>
      </c>
      <c r="N8774">
        <v>0</v>
      </c>
      <c r="O8774">
        <v>0</v>
      </c>
    </row>
    <row r="8775" spans="1:15" x14ac:dyDescent="0.35">
      <c r="A8775" t="s">
        <v>9477</v>
      </c>
      <c r="B8775" t="s">
        <v>202</v>
      </c>
      <c r="C8775" t="s">
        <v>1477</v>
      </c>
      <c r="D8775" t="s">
        <v>293</v>
      </c>
      <c r="E8775" t="s">
        <v>304</v>
      </c>
      <c r="F8775" t="s">
        <v>9483</v>
      </c>
      <c r="G8775">
        <v>0</v>
      </c>
      <c r="H8775">
        <v>0</v>
      </c>
      <c r="I8775">
        <v>0</v>
      </c>
      <c r="J8775">
        <v>0</v>
      </c>
      <c r="K8775">
        <v>0</v>
      </c>
      <c r="L8775">
        <v>0</v>
      </c>
      <c r="M8775">
        <v>0</v>
      </c>
      <c r="N8775">
        <v>0</v>
      </c>
      <c r="O8775">
        <v>0</v>
      </c>
    </row>
    <row r="8776" spans="1:15" x14ac:dyDescent="0.35">
      <c r="A8776" t="s">
        <v>9477</v>
      </c>
      <c r="B8776" t="s">
        <v>202</v>
      </c>
      <c r="C8776" t="s">
        <v>1477</v>
      </c>
      <c r="D8776" t="s">
        <v>293</v>
      </c>
      <c r="E8776" t="s">
        <v>306</v>
      </c>
      <c r="F8776" t="s">
        <v>9484</v>
      </c>
      <c r="G8776">
        <v>1</v>
      </c>
      <c r="H8776">
        <v>191.48</v>
      </c>
      <c r="I8776">
        <v>191.48</v>
      </c>
      <c r="J8776">
        <v>0</v>
      </c>
      <c r="K8776">
        <v>0</v>
      </c>
      <c r="L8776">
        <v>0</v>
      </c>
      <c r="M8776">
        <v>1</v>
      </c>
      <c r="N8776">
        <v>191.48</v>
      </c>
      <c r="O8776">
        <v>191.48</v>
      </c>
    </row>
    <row r="8777" spans="1:15" x14ac:dyDescent="0.35">
      <c r="A8777" t="s">
        <v>9477</v>
      </c>
      <c r="B8777" t="s">
        <v>202</v>
      </c>
      <c r="C8777" t="s">
        <v>1477</v>
      </c>
      <c r="D8777" t="s">
        <v>293</v>
      </c>
      <c r="E8777" t="s">
        <v>308</v>
      </c>
      <c r="F8777" t="s">
        <v>9485</v>
      </c>
      <c r="G8777">
        <v>0</v>
      </c>
      <c r="H8777">
        <v>0</v>
      </c>
      <c r="I8777">
        <v>0</v>
      </c>
      <c r="J8777">
        <v>0</v>
      </c>
      <c r="K8777">
        <v>0</v>
      </c>
      <c r="L8777">
        <v>0</v>
      </c>
      <c r="M8777">
        <v>0</v>
      </c>
      <c r="N8777">
        <v>0</v>
      </c>
      <c r="O8777">
        <v>0</v>
      </c>
    </row>
    <row r="8778" spans="1:15" x14ac:dyDescent="0.35">
      <c r="A8778" t="s">
        <v>9477</v>
      </c>
      <c r="B8778" t="s">
        <v>202</v>
      </c>
      <c r="C8778" t="s">
        <v>1477</v>
      </c>
      <c r="D8778" t="s">
        <v>293</v>
      </c>
      <c r="E8778" t="s">
        <v>310</v>
      </c>
      <c r="F8778" t="s">
        <v>9486</v>
      </c>
      <c r="G8778">
        <v>642</v>
      </c>
      <c r="H8778">
        <v>127576.51999999997</v>
      </c>
      <c r="I8778">
        <v>198.72</v>
      </c>
      <c r="J8778">
        <v>0</v>
      </c>
      <c r="K8778">
        <v>0</v>
      </c>
      <c r="L8778">
        <v>0</v>
      </c>
      <c r="M8778">
        <v>642</v>
      </c>
      <c r="N8778">
        <v>127576.51999999997</v>
      </c>
      <c r="O8778">
        <v>198.72</v>
      </c>
    </row>
    <row r="8779" spans="1:15" x14ac:dyDescent="0.35">
      <c r="A8779" t="s">
        <v>9477</v>
      </c>
      <c r="B8779" t="s">
        <v>202</v>
      </c>
      <c r="C8779" t="s">
        <v>1477</v>
      </c>
      <c r="D8779" t="s">
        <v>293</v>
      </c>
      <c r="E8779" t="s">
        <v>312</v>
      </c>
      <c r="F8779" t="s">
        <v>9487</v>
      </c>
      <c r="G8779">
        <v>642</v>
      </c>
      <c r="H8779">
        <v>127576.51999999997</v>
      </c>
      <c r="I8779">
        <v>198.72</v>
      </c>
      <c r="J8779">
        <v>0</v>
      </c>
      <c r="K8779">
        <v>0</v>
      </c>
      <c r="L8779">
        <v>0</v>
      </c>
      <c r="M8779">
        <v>642</v>
      </c>
      <c r="N8779">
        <v>127576.51999999997</v>
      </c>
      <c r="O8779">
        <v>198.72</v>
      </c>
    </row>
    <row r="8780" spans="1:15" x14ac:dyDescent="0.35">
      <c r="A8780" t="s">
        <v>9477</v>
      </c>
      <c r="B8780" t="s">
        <v>202</v>
      </c>
      <c r="C8780" t="s">
        <v>1477</v>
      </c>
      <c r="D8780" t="s">
        <v>314</v>
      </c>
      <c r="E8780" t="s">
        <v>294</v>
      </c>
      <c r="F8780" t="s">
        <v>9488</v>
      </c>
      <c r="G8780">
        <v>0</v>
      </c>
      <c r="H8780">
        <v>0</v>
      </c>
      <c r="I8780">
        <v>0</v>
      </c>
      <c r="J8780">
        <v>0</v>
      </c>
      <c r="K8780">
        <v>0</v>
      </c>
      <c r="L8780">
        <v>0</v>
      </c>
      <c r="M8780">
        <v>0</v>
      </c>
      <c r="N8780">
        <v>0</v>
      </c>
      <c r="O8780">
        <v>0</v>
      </c>
    </row>
    <row r="8781" spans="1:15" x14ac:dyDescent="0.35">
      <c r="A8781" t="s">
        <v>9477</v>
      </c>
      <c r="B8781" t="s">
        <v>202</v>
      </c>
      <c r="C8781" t="s">
        <v>1477</v>
      </c>
      <c r="D8781" t="s">
        <v>314</v>
      </c>
      <c r="E8781" t="s">
        <v>296</v>
      </c>
      <c r="F8781" t="s">
        <v>9489</v>
      </c>
      <c r="G8781">
        <v>0</v>
      </c>
      <c r="H8781">
        <v>0</v>
      </c>
      <c r="I8781">
        <v>0</v>
      </c>
      <c r="J8781">
        <v>0</v>
      </c>
      <c r="K8781">
        <v>0</v>
      </c>
      <c r="L8781">
        <v>0</v>
      </c>
      <c r="M8781">
        <v>0</v>
      </c>
      <c r="N8781">
        <v>0</v>
      </c>
      <c r="O8781">
        <v>0</v>
      </c>
    </row>
    <row r="8782" spans="1:15" x14ac:dyDescent="0.35">
      <c r="A8782" t="s">
        <v>9477</v>
      </c>
      <c r="B8782" t="s">
        <v>202</v>
      </c>
      <c r="C8782" t="s">
        <v>1477</v>
      </c>
      <c r="D8782" t="s">
        <v>314</v>
      </c>
      <c r="E8782" t="s">
        <v>298</v>
      </c>
      <c r="F8782" t="s">
        <v>9490</v>
      </c>
      <c r="G8782">
        <v>0</v>
      </c>
      <c r="H8782">
        <v>0</v>
      </c>
      <c r="I8782">
        <v>0</v>
      </c>
      <c r="J8782">
        <v>0</v>
      </c>
      <c r="K8782">
        <v>0</v>
      </c>
      <c r="L8782">
        <v>0</v>
      </c>
      <c r="M8782">
        <v>0</v>
      </c>
      <c r="N8782">
        <v>0</v>
      </c>
      <c r="O8782">
        <v>0</v>
      </c>
    </row>
    <row r="8783" spans="1:15" x14ac:dyDescent="0.35">
      <c r="A8783" t="s">
        <v>9477</v>
      </c>
      <c r="B8783" t="s">
        <v>202</v>
      </c>
      <c r="C8783" t="s">
        <v>1477</v>
      </c>
      <c r="D8783" t="s">
        <v>314</v>
      </c>
      <c r="E8783" t="s">
        <v>300</v>
      </c>
      <c r="F8783" t="s">
        <v>9491</v>
      </c>
      <c r="G8783">
        <v>0</v>
      </c>
      <c r="H8783">
        <v>0</v>
      </c>
      <c r="I8783">
        <v>0</v>
      </c>
      <c r="J8783">
        <v>0</v>
      </c>
      <c r="K8783">
        <v>0</v>
      </c>
      <c r="L8783">
        <v>0</v>
      </c>
      <c r="M8783">
        <v>0</v>
      </c>
      <c r="N8783">
        <v>0</v>
      </c>
      <c r="O8783">
        <v>0</v>
      </c>
    </row>
    <row r="8784" spans="1:15" x14ac:dyDescent="0.35">
      <c r="A8784" t="s">
        <v>9477</v>
      </c>
      <c r="B8784" t="s">
        <v>202</v>
      </c>
      <c r="C8784" t="s">
        <v>1477</v>
      </c>
      <c r="D8784" t="s">
        <v>314</v>
      </c>
      <c r="E8784" t="s">
        <v>306</v>
      </c>
      <c r="F8784" t="s">
        <v>9492</v>
      </c>
      <c r="G8784">
        <v>0</v>
      </c>
      <c r="H8784">
        <v>0</v>
      </c>
      <c r="I8784">
        <v>0</v>
      </c>
      <c r="J8784">
        <v>0</v>
      </c>
      <c r="K8784">
        <v>0</v>
      </c>
      <c r="L8784">
        <v>0</v>
      </c>
      <c r="M8784">
        <v>0</v>
      </c>
      <c r="N8784">
        <v>0</v>
      </c>
      <c r="O8784">
        <v>0</v>
      </c>
    </row>
    <row r="8785" spans="1:15" x14ac:dyDescent="0.35">
      <c r="A8785" t="s">
        <v>9477</v>
      </c>
      <c r="B8785" t="s">
        <v>202</v>
      </c>
      <c r="C8785" t="s">
        <v>1477</v>
      </c>
      <c r="D8785" t="s">
        <v>314</v>
      </c>
      <c r="E8785" t="s">
        <v>308</v>
      </c>
      <c r="F8785" t="s">
        <v>9493</v>
      </c>
      <c r="G8785">
        <v>0</v>
      </c>
      <c r="H8785">
        <v>0</v>
      </c>
      <c r="I8785">
        <v>0</v>
      </c>
      <c r="J8785">
        <v>0</v>
      </c>
      <c r="K8785">
        <v>0</v>
      </c>
      <c r="L8785">
        <v>0</v>
      </c>
      <c r="M8785">
        <v>0</v>
      </c>
      <c r="N8785">
        <v>0</v>
      </c>
      <c r="O8785">
        <v>0</v>
      </c>
    </row>
    <row r="8786" spans="1:15" x14ac:dyDescent="0.35">
      <c r="A8786" t="s">
        <v>9477</v>
      </c>
      <c r="B8786" t="s">
        <v>202</v>
      </c>
      <c r="C8786" t="s">
        <v>1477</v>
      </c>
      <c r="D8786" t="s">
        <v>314</v>
      </c>
      <c r="E8786" t="s">
        <v>312</v>
      </c>
      <c r="F8786" t="s">
        <v>9494</v>
      </c>
      <c r="G8786">
        <v>0</v>
      </c>
      <c r="H8786">
        <v>0</v>
      </c>
      <c r="I8786">
        <v>0</v>
      </c>
      <c r="J8786">
        <v>0</v>
      </c>
      <c r="K8786">
        <v>0</v>
      </c>
      <c r="L8786">
        <v>0</v>
      </c>
      <c r="M8786">
        <v>0</v>
      </c>
      <c r="N8786">
        <v>0</v>
      </c>
      <c r="O8786">
        <v>0</v>
      </c>
    </row>
    <row r="8787" spans="1:15" x14ac:dyDescent="0.35">
      <c r="A8787" t="s">
        <v>9477</v>
      </c>
      <c r="B8787" t="s">
        <v>202</v>
      </c>
      <c r="C8787" t="s">
        <v>1477</v>
      </c>
      <c r="D8787" t="s">
        <v>314</v>
      </c>
      <c r="E8787" t="s">
        <v>310</v>
      </c>
      <c r="F8787" t="s">
        <v>9495</v>
      </c>
      <c r="G8787">
        <v>0</v>
      </c>
      <c r="H8787">
        <v>0</v>
      </c>
      <c r="I8787">
        <v>0</v>
      </c>
      <c r="J8787">
        <v>0</v>
      </c>
      <c r="K8787">
        <v>0</v>
      </c>
      <c r="L8787">
        <v>0</v>
      </c>
      <c r="M8787">
        <v>0</v>
      </c>
      <c r="N8787">
        <v>0</v>
      </c>
      <c r="O8787">
        <v>0</v>
      </c>
    </row>
    <row r="8788" spans="1:15" x14ac:dyDescent="0.35">
      <c r="A8788" t="s">
        <v>9477</v>
      </c>
      <c r="B8788" t="s">
        <v>202</v>
      </c>
      <c r="C8788" t="s">
        <v>1477</v>
      </c>
      <c r="D8788" t="s">
        <v>323</v>
      </c>
      <c r="E8788" t="s">
        <v>294</v>
      </c>
      <c r="F8788" t="s">
        <v>9496</v>
      </c>
      <c r="G8788">
        <v>811</v>
      </c>
      <c r="H8788">
        <v>96634.660000000018</v>
      </c>
      <c r="I8788">
        <v>119.15</v>
      </c>
      <c r="J8788">
        <v>1038</v>
      </c>
      <c r="K8788">
        <v>110764.98</v>
      </c>
      <c r="L8788">
        <v>106.71</v>
      </c>
      <c r="M8788">
        <v>1849</v>
      </c>
      <c r="N8788">
        <v>207399.64</v>
      </c>
      <c r="O8788">
        <v>112.17</v>
      </c>
    </row>
    <row r="8789" spans="1:15" x14ac:dyDescent="0.35">
      <c r="A8789" t="s">
        <v>9477</v>
      </c>
      <c r="B8789" t="s">
        <v>202</v>
      </c>
      <c r="C8789" t="s">
        <v>1477</v>
      </c>
      <c r="D8789" t="s">
        <v>323</v>
      </c>
      <c r="E8789" t="s">
        <v>296</v>
      </c>
      <c r="F8789" t="s">
        <v>9497</v>
      </c>
      <c r="G8789">
        <v>842</v>
      </c>
      <c r="H8789">
        <v>118216.54999999997</v>
      </c>
      <c r="I8789">
        <v>140.4</v>
      </c>
      <c r="J8789">
        <v>1860</v>
      </c>
      <c r="K8789">
        <v>236871</v>
      </c>
      <c r="L8789">
        <v>127.35</v>
      </c>
      <c r="M8789">
        <v>2702</v>
      </c>
      <c r="N8789">
        <v>355087.55</v>
      </c>
      <c r="O8789">
        <v>131.41999999999999</v>
      </c>
    </row>
    <row r="8790" spans="1:15" x14ac:dyDescent="0.35">
      <c r="A8790" t="s">
        <v>9477</v>
      </c>
      <c r="B8790" t="s">
        <v>202</v>
      </c>
      <c r="C8790" t="s">
        <v>1477</v>
      </c>
      <c r="D8790" t="s">
        <v>323</v>
      </c>
      <c r="E8790" t="s">
        <v>298</v>
      </c>
      <c r="F8790" t="s">
        <v>9498</v>
      </c>
      <c r="G8790">
        <v>592</v>
      </c>
      <c r="H8790">
        <v>92816.89</v>
      </c>
      <c r="I8790">
        <v>156.79</v>
      </c>
      <c r="J8790">
        <v>3796</v>
      </c>
      <c r="K8790">
        <v>543701.07999999996</v>
      </c>
      <c r="L8790">
        <v>143.22999999999999</v>
      </c>
      <c r="M8790">
        <v>4388</v>
      </c>
      <c r="N8790">
        <v>636517.97</v>
      </c>
      <c r="O8790">
        <v>145.06</v>
      </c>
    </row>
    <row r="8791" spans="1:15" x14ac:dyDescent="0.35">
      <c r="A8791" t="s">
        <v>9477</v>
      </c>
      <c r="B8791" t="s">
        <v>202</v>
      </c>
      <c r="C8791" t="s">
        <v>1477</v>
      </c>
      <c r="D8791" t="s">
        <v>323</v>
      </c>
      <c r="E8791" t="s">
        <v>300</v>
      </c>
      <c r="F8791" t="s">
        <v>9499</v>
      </c>
      <c r="G8791">
        <v>60</v>
      </c>
      <c r="H8791">
        <v>10619.14</v>
      </c>
      <c r="I8791">
        <v>176.99</v>
      </c>
      <c r="J8791">
        <v>300</v>
      </c>
      <c r="K8791">
        <v>47337</v>
      </c>
      <c r="L8791">
        <v>157.79</v>
      </c>
      <c r="M8791">
        <v>360</v>
      </c>
      <c r="N8791">
        <v>57956.14</v>
      </c>
      <c r="O8791">
        <v>160.99</v>
      </c>
    </row>
    <row r="8792" spans="1:15" x14ac:dyDescent="0.35">
      <c r="A8792" t="s">
        <v>9477</v>
      </c>
      <c r="B8792" t="s">
        <v>202</v>
      </c>
      <c r="C8792" t="s">
        <v>1477</v>
      </c>
      <c r="D8792" t="s">
        <v>323</v>
      </c>
      <c r="E8792" t="s">
        <v>302</v>
      </c>
      <c r="F8792" t="s">
        <v>9500</v>
      </c>
      <c r="G8792">
        <v>5</v>
      </c>
      <c r="H8792">
        <v>989.13</v>
      </c>
      <c r="I8792">
        <v>197.83</v>
      </c>
      <c r="J8792">
        <v>14</v>
      </c>
      <c r="K8792">
        <v>2502.2199999999998</v>
      </c>
      <c r="L8792">
        <v>178.73</v>
      </c>
      <c r="M8792">
        <v>19</v>
      </c>
      <c r="N8792">
        <v>3491.35</v>
      </c>
      <c r="O8792">
        <v>183.76</v>
      </c>
    </row>
    <row r="8793" spans="1:15" x14ac:dyDescent="0.35">
      <c r="A8793" t="s">
        <v>9477</v>
      </c>
      <c r="B8793" t="s">
        <v>202</v>
      </c>
      <c r="C8793" t="s">
        <v>1477</v>
      </c>
      <c r="D8793" t="s">
        <v>323</v>
      </c>
      <c r="E8793" t="s">
        <v>304</v>
      </c>
      <c r="F8793" t="s">
        <v>9501</v>
      </c>
      <c r="G8793">
        <v>0</v>
      </c>
      <c r="H8793">
        <v>0</v>
      </c>
      <c r="I8793">
        <v>0</v>
      </c>
      <c r="J8793">
        <v>3</v>
      </c>
      <c r="K8793">
        <v>543.21</v>
      </c>
      <c r="L8793">
        <v>181.07</v>
      </c>
      <c r="M8793">
        <v>3</v>
      </c>
      <c r="N8793">
        <v>543.21</v>
      </c>
      <c r="O8793">
        <v>181.07</v>
      </c>
    </row>
    <row r="8794" spans="1:15" x14ac:dyDescent="0.35">
      <c r="A8794" t="s">
        <v>9477</v>
      </c>
      <c r="B8794" t="s">
        <v>202</v>
      </c>
      <c r="C8794" t="s">
        <v>1477</v>
      </c>
      <c r="D8794" t="s">
        <v>323</v>
      </c>
      <c r="E8794" t="s">
        <v>306</v>
      </c>
      <c r="F8794" t="s">
        <v>9502</v>
      </c>
      <c r="G8794">
        <v>76</v>
      </c>
      <c r="H8794">
        <v>7742.48</v>
      </c>
      <c r="I8794">
        <v>101.87</v>
      </c>
      <c r="J8794">
        <v>135</v>
      </c>
      <c r="K8794">
        <v>12442.95</v>
      </c>
      <c r="L8794">
        <v>92.17</v>
      </c>
      <c r="M8794">
        <v>211</v>
      </c>
      <c r="N8794">
        <v>20185.43</v>
      </c>
      <c r="O8794">
        <v>95.67</v>
      </c>
    </row>
    <row r="8795" spans="1:15" x14ac:dyDescent="0.35">
      <c r="A8795" t="s">
        <v>9477</v>
      </c>
      <c r="B8795" t="s">
        <v>202</v>
      </c>
      <c r="C8795" t="s">
        <v>1477</v>
      </c>
      <c r="D8795" t="s">
        <v>323</v>
      </c>
      <c r="E8795" t="s">
        <v>308</v>
      </c>
      <c r="F8795" t="s">
        <v>9503</v>
      </c>
      <c r="G8795">
        <v>0</v>
      </c>
      <c r="H8795">
        <v>0</v>
      </c>
      <c r="I8795">
        <v>0</v>
      </c>
      <c r="J8795">
        <v>0</v>
      </c>
      <c r="K8795">
        <v>0</v>
      </c>
      <c r="L8795">
        <v>0</v>
      </c>
      <c r="M8795">
        <v>0</v>
      </c>
      <c r="N8795">
        <v>0</v>
      </c>
      <c r="O8795">
        <v>0</v>
      </c>
    </row>
    <row r="8796" spans="1:15" x14ac:dyDescent="0.35">
      <c r="A8796" t="s">
        <v>9477</v>
      </c>
      <c r="B8796" t="s">
        <v>202</v>
      </c>
      <c r="C8796" t="s">
        <v>1477</v>
      </c>
      <c r="D8796" t="s">
        <v>323</v>
      </c>
      <c r="E8796" t="s">
        <v>310</v>
      </c>
      <c r="F8796" t="s">
        <v>9504</v>
      </c>
      <c r="G8796">
        <v>2386</v>
      </c>
      <c r="H8796">
        <v>327018.84999999998</v>
      </c>
      <c r="I8796">
        <v>137.06</v>
      </c>
      <c r="J8796">
        <v>7146</v>
      </c>
      <c r="K8796">
        <v>954162.43999999983</v>
      </c>
      <c r="L8796">
        <v>133.52000000000001</v>
      </c>
      <c r="M8796">
        <v>9532</v>
      </c>
      <c r="N8796">
        <v>1281181.2899999998</v>
      </c>
      <c r="O8796">
        <v>134.41</v>
      </c>
    </row>
    <row r="8797" spans="1:15" x14ac:dyDescent="0.35">
      <c r="A8797" t="s">
        <v>9477</v>
      </c>
      <c r="B8797" t="s">
        <v>202</v>
      </c>
      <c r="C8797" t="s">
        <v>1477</v>
      </c>
      <c r="D8797" t="s">
        <v>323</v>
      </c>
      <c r="E8797" t="s">
        <v>312</v>
      </c>
      <c r="F8797" t="s">
        <v>9505</v>
      </c>
      <c r="G8797">
        <v>2386</v>
      </c>
      <c r="H8797">
        <v>327018.84999999998</v>
      </c>
      <c r="I8797">
        <v>137.06</v>
      </c>
      <c r="J8797">
        <v>7146</v>
      </c>
      <c r="K8797">
        <v>954162.43999999983</v>
      </c>
      <c r="L8797">
        <v>133.52000000000001</v>
      </c>
      <c r="M8797">
        <v>9532</v>
      </c>
      <c r="N8797">
        <v>1281181.2899999998</v>
      </c>
      <c r="O8797">
        <v>134.41</v>
      </c>
    </row>
    <row r="8798" spans="1:15" x14ac:dyDescent="0.35">
      <c r="A8798" t="s">
        <v>9477</v>
      </c>
      <c r="B8798" t="s">
        <v>202</v>
      </c>
      <c r="C8798" t="s">
        <v>1477</v>
      </c>
      <c r="D8798" t="s">
        <v>334</v>
      </c>
      <c r="E8798" t="s">
        <v>312</v>
      </c>
      <c r="F8798" t="s">
        <v>9506</v>
      </c>
      <c r="G8798">
        <v>3094</v>
      </c>
      <c r="H8798">
        <v>454595.37</v>
      </c>
      <c r="I8798">
        <v>150.13</v>
      </c>
      <c r="J8798">
        <v>7146</v>
      </c>
      <c r="K8798">
        <v>954162.43999999983</v>
      </c>
      <c r="L8798">
        <v>133.52000000000001</v>
      </c>
      <c r="M8798">
        <v>10240</v>
      </c>
      <c r="N8798">
        <v>1408757.8099999998</v>
      </c>
      <c r="O8798">
        <v>138.47</v>
      </c>
    </row>
    <row r="8799" spans="1:15" x14ac:dyDescent="0.35">
      <c r="A8799" t="s">
        <v>9477</v>
      </c>
      <c r="B8799" t="s">
        <v>202</v>
      </c>
      <c r="C8799" t="s">
        <v>1477</v>
      </c>
      <c r="D8799" t="s">
        <v>334</v>
      </c>
      <c r="E8799" t="s">
        <v>308</v>
      </c>
      <c r="F8799" t="s">
        <v>9507</v>
      </c>
      <c r="G8799">
        <v>0</v>
      </c>
      <c r="H8799">
        <v>0</v>
      </c>
      <c r="I8799">
        <v>0</v>
      </c>
      <c r="J8799">
        <v>0</v>
      </c>
      <c r="K8799">
        <v>0</v>
      </c>
      <c r="L8799">
        <v>0</v>
      </c>
      <c r="M8799">
        <v>0</v>
      </c>
      <c r="N8799">
        <v>0</v>
      </c>
      <c r="O8799">
        <v>0</v>
      </c>
    </row>
    <row r="8800" spans="1:15" x14ac:dyDescent="0.35">
      <c r="A8800" t="s">
        <v>9477</v>
      </c>
      <c r="B8800" t="s">
        <v>202</v>
      </c>
      <c r="C8800" t="s">
        <v>1477</v>
      </c>
      <c r="D8800" t="s">
        <v>337</v>
      </c>
      <c r="E8800" t="s">
        <v>337</v>
      </c>
      <c r="F8800" t="s">
        <v>9508</v>
      </c>
      <c r="G8800">
        <v>799</v>
      </c>
      <c r="J8800">
        <v>8</v>
      </c>
      <c r="M8800">
        <v>807</v>
      </c>
    </row>
    <row r="8801" spans="1:15" x14ac:dyDescent="0.35">
      <c r="A8801" t="s">
        <v>9477</v>
      </c>
      <c r="B8801" t="s">
        <v>202</v>
      </c>
      <c r="C8801" t="s">
        <v>1477</v>
      </c>
      <c r="D8801" t="s">
        <v>339</v>
      </c>
      <c r="E8801" t="s">
        <v>294</v>
      </c>
      <c r="F8801" t="s">
        <v>9509</v>
      </c>
      <c r="G8801">
        <v>356</v>
      </c>
      <c r="H8801">
        <v>46805.789999999986</v>
      </c>
      <c r="I8801">
        <v>131.47999999999999</v>
      </c>
      <c r="J8801">
        <v>823</v>
      </c>
      <c r="K8801">
        <v>94011.290000000008</v>
      </c>
      <c r="L8801">
        <v>114.23</v>
      </c>
      <c r="M8801">
        <v>1179</v>
      </c>
      <c r="N8801">
        <v>140817.07999999999</v>
      </c>
      <c r="O8801">
        <v>119.44</v>
      </c>
    </row>
    <row r="8802" spans="1:15" x14ac:dyDescent="0.35">
      <c r="A8802" t="s">
        <v>9477</v>
      </c>
      <c r="B8802" t="s">
        <v>202</v>
      </c>
      <c r="C8802" t="s">
        <v>1477</v>
      </c>
      <c r="D8802" t="s">
        <v>339</v>
      </c>
      <c r="E8802" t="s">
        <v>296</v>
      </c>
      <c r="F8802" t="s">
        <v>9510</v>
      </c>
      <c r="G8802">
        <v>135</v>
      </c>
      <c r="H8802">
        <v>21300.95</v>
      </c>
      <c r="I8802">
        <v>157.78</v>
      </c>
      <c r="J8802">
        <v>831</v>
      </c>
      <c r="K8802">
        <v>111445.41000000002</v>
      </c>
      <c r="L8802">
        <v>134.11000000000001</v>
      </c>
      <c r="M8802">
        <v>966</v>
      </c>
      <c r="N8802">
        <v>132746.36000000002</v>
      </c>
      <c r="O8802">
        <v>137.41999999999999</v>
      </c>
    </row>
    <row r="8803" spans="1:15" x14ac:dyDescent="0.35">
      <c r="A8803" t="s">
        <v>9477</v>
      </c>
      <c r="B8803" t="s">
        <v>202</v>
      </c>
      <c r="C8803" t="s">
        <v>1477</v>
      </c>
      <c r="D8803" t="s">
        <v>339</v>
      </c>
      <c r="E8803" t="s">
        <v>298</v>
      </c>
      <c r="F8803" t="s">
        <v>9511</v>
      </c>
      <c r="G8803">
        <v>0</v>
      </c>
      <c r="H8803">
        <v>0</v>
      </c>
      <c r="I8803">
        <v>0</v>
      </c>
      <c r="J8803">
        <v>5</v>
      </c>
      <c r="K8803">
        <v>683.40000000000009</v>
      </c>
      <c r="L8803">
        <v>136.68</v>
      </c>
      <c r="M8803">
        <v>5</v>
      </c>
      <c r="N8803">
        <v>683.40000000000009</v>
      </c>
      <c r="O8803">
        <v>136.68</v>
      </c>
    </row>
    <row r="8804" spans="1:15" x14ac:dyDescent="0.35">
      <c r="A8804" t="s">
        <v>9477</v>
      </c>
      <c r="B8804" t="s">
        <v>202</v>
      </c>
      <c r="C8804" t="s">
        <v>1477</v>
      </c>
      <c r="D8804" t="s">
        <v>339</v>
      </c>
      <c r="E8804" t="s">
        <v>300</v>
      </c>
      <c r="F8804" t="s">
        <v>9512</v>
      </c>
      <c r="G8804">
        <v>0</v>
      </c>
      <c r="H8804">
        <v>0</v>
      </c>
      <c r="I8804">
        <v>0</v>
      </c>
      <c r="J8804">
        <v>0</v>
      </c>
      <c r="K8804">
        <v>0</v>
      </c>
      <c r="L8804">
        <v>0</v>
      </c>
      <c r="M8804">
        <v>0</v>
      </c>
      <c r="N8804">
        <v>0</v>
      </c>
      <c r="O8804">
        <v>0</v>
      </c>
    </row>
    <row r="8805" spans="1:15" x14ac:dyDescent="0.35">
      <c r="A8805" t="s">
        <v>9477</v>
      </c>
      <c r="B8805" t="s">
        <v>202</v>
      </c>
      <c r="C8805" t="s">
        <v>1477</v>
      </c>
      <c r="D8805" t="s">
        <v>339</v>
      </c>
      <c r="E8805" t="s">
        <v>306</v>
      </c>
      <c r="F8805" t="s">
        <v>9513</v>
      </c>
      <c r="G8805">
        <v>42</v>
      </c>
      <c r="H8805">
        <v>4500.22</v>
      </c>
      <c r="I8805">
        <v>107.15</v>
      </c>
      <c r="J8805">
        <v>4</v>
      </c>
      <c r="K8805">
        <v>418.96</v>
      </c>
      <c r="L8805">
        <v>104.74</v>
      </c>
      <c r="M8805">
        <v>46</v>
      </c>
      <c r="N8805">
        <v>4919.18</v>
      </c>
      <c r="O8805">
        <v>106.94</v>
      </c>
    </row>
    <row r="8806" spans="1:15" x14ac:dyDescent="0.35">
      <c r="A8806" t="s">
        <v>9477</v>
      </c>
      <c r="B8806" t="s">
        <v>202</v>
      </c>
      <c r="C8806" t="s">
        <v>1477</v>
      </c>
      <c r="D8806" t="s">
        <v>339</v>
      </c>
      <c r="E8806" t="s">
        <v>308</v>
      </c>
      <c r="F8806" t="s">
        <v>9514</v>
      </c>
      <c r="G8806">
        <v>63</v>
      </c>
      <c r="H8806">
        <v>8958.5</v>
      </c>
      <c r="I8806">
        <v>142.19999999999999</v>
      </c>
      <c r="J8806">
        <v>0</v>
      </c>
      <c r="K8806">
        <v>0</v>
      </c>
      <c r="L8806">
        <v>0</v>
      </c>
      <c r="M8806">
        <v>63</v>
      </c>
      <c r="N8806">
        <v>8958.5</v>
      </c>
      <c r="O8806">
        <v>142.19999999999999</v>
      </c>
    </row>
    <row r="8807" spans="1:15" x14ac:dyDescent="0.35">
      <c r="A8807" t="s">
        <v>9477</v>
      </c>
      <c r="B8807" t="s">
        <v>202</v>
      </c>
      <c r="C8807" t="s">
        <v>1477</v>
      </c>
      <c r="D8807" t="s">
        <v>339</v>
      </c>
      <c r="E8807" t="s">
        <v>310</v>
      </c>
      <c r="F8807" t="s">
        <v>9515</v>
      </c>
      <c r="G8807">
        <v>596</v>
      </c>
      <c r="H8807">
        <v>81565.459999999992</v>
      </c>
      <c r="I8807">
        <v>136.85</v>
      </c>
      <c r="J8807">
        <v>1663</v>
      </c>
      <c r="K8807">
        <v>206559.06</v>
      </c>
      <c r="L8807">
        <v>124.21</v>
      </c>
      <c r="M8807">
        <v>2259</v>
      </c>
      <c r="N8807">
        <v>288124.52</v>
      </c>
      <c r="O8807">
        <v>127.55</v>
      </c>
    </row>
    <row r="8808" spans="1:15" x14ac:dyDescent="0.35">
      <c r="A8808" t="s">
        <v>9477</v>
      </c>
      <c r="B8808" t="s">
        <v>202</v>
      </c>
      <c r="C8808" t="s">
        <v>1477</v>
      </c>
      <c r="D8808" t="s">
        <v>339</v>
      </c>
      <c r="E8808" t="s">
        <v>312</v>
      </c>
      <c r="F8808" t="s">
        <v>9516</v>
      </c>
      <c r="G8808">
        <v>533</v>
      </c>
      <c r="H8808">
        <v>72606.959999999992</v>
      </c>
      <c r="I8808">
        <v>136.22</v>
      </c>
      <c r="J8808">
        <v>1663</v>
      </c>
      <c r="K8808">
        <v>206559.06</v>
      </c>
      <c r="L8808">
        <v>124.21</v>
      </c>
      <c r="M8808">
        <v>2196</v>
      </c>
      <c r="N8808">
        <v>279166.02</v>
      </c>
      <c r="O8808">
        <v>127.12</v>
      </c>
    </row>
    <row r="8809" spans="1:15" x14ac:dyDescent="0.35">
      <c r="A8809" t="s">
        <v>9477</v>
      </c>
      <c r="B8809" t="s">
        <v>202</v>
      </c>
      <c r="C8809" t="s">
        <v>1477</v>
      </c>
      <c r="D8809" t="s">
        <v>348</v>
      </c>
      <c r="E8809" t="s">
        <v>349</v>
      </c>
      <c r="F8809" t="s">
        <v>9517</v>
      </c>
      <c r="G8809">
        <v>750</v>
      </c>
      <c r="H8809">
        <v>81565.459999999992</v>
      </c>
      <c r="I8809">
        <v>136.85</v>
      </c>
      <c r="J8809">
        <v>1663</v>
      </c>
      <c r="K8809">
        <v>206559.06</v>
      </c>
      <c r="L8809">
        <v>124.21</v>
      </c>
      <c r="M8809">
        <v>2413</v>
      </c>
      <c r="N8809">
        <v>288124.52</v>
      </c>
      <c r="O8809">
        <v>127.55</v>
      </c>
    </row>
    <row r="8810" spans="1:15" x14ac:dyDescent="0.35">
      <c r="A8810" t="s">
        <v>9518</v>
      </c>
      <c r="B8810" t="s">
        <v>9519</v>
      </c>
      <c r="C8810" t="s">
        <v>1477</v>
      </c>
      <c r="D8810" t="s">
        <v>293</v>
      </c>
      <c r="E8810" t="s">
        <v>294</v>
      </c>
      <c r="F8810" t="s">
        <v>9520</v>
      </c>
      <c r="G8810">
        <v>709</v>
      </c>
      <c r="H8810">
        <v>118250.15000000001</v>
      </c>
      <c r="I8810">
        <v>166.78</v>
      </c>
      <c r="J8810">
        <v>0</v>
      </c>
      <c r="K8810">
        <v>0</v>
      </c>
      <c r="L8810">
        <v>0</v>
      </c>
      <c r="M8810">
        <v>709</v>
      </c>
      <c r="N8810">
        <v>118250.15000000001</v>
      </c>
      <c r="O8810">
        <v>166.78</v>
      </c>
    </row>
    <row r="8811" spans="1:15" x14ac:dyDescent="0.35">
      <c r="A8811" t="s">
        <v>9518</v>
      </c>
      <c r="B8811" t="s">
        <v>9519</v>
      </c>
      <c r="C8811" t="s">
        <v>1477</v>
      </c>
      <c r="D8811" t="s">
        <v>293</v>
      </c>
      <c r="E8811" t="s">
        <v>296</v>
      </c>
      <c r="F8811" t="s">
        <v>9521</v>
      </c>
      <c r="G8811">
        <v>1277</v>
      </c>
      <c r="H8811">
        <v>272450.06</v>
      </c>
      <c r="I8811">
        <v>213.35</v>
      </c>
      <c r="J8811">
        <v>0</v>
      </c>
      <c r="K8811">
        <v>0</v>
      </c>
      <c r="L8811">
        <v>0</v>
      </c>
      <c r="M8811">
        <v>1277</v>
      </c>
      <c r="N8811">
        <v>272450.06</v>
      </c>
      <c r="O8811">
        <v>213.35</v>
      </c>
    </row>
    <row r="8812" spans="1:15" x14ac:dyDescent="0.35">
      <c r="A8812" t="s">
        <v>9518</v>
      </c>
      <c r="B8812" t="s">
        <v>9519</v>
      </c>
      <c r="C8812" t="s">
        <v>1477</v>
      </c>
      <c r="D8812" t="s">
        <v>293</v>
      </c>
      <c r="E8812" t="s">
        <v>298</v>
      </c>
      <c r="F8812" t="s">
        <v>9522</v>
      </c>
      <c r="G8812">
        <v>706</v>
      </c>
      <c r="H8812">
        <v>182921.59999999998</v>
      </c>
      <c r="I8812">
        <v>259.10000000000002</v>
      </c>
      <c r="J8812">
        <v>0</v>
      </c>
      <c r="K8812">
        <v>0</v>
      </c>
      <c r="L8812">
        <v>0</v>
      </c>
      <c r="M8812">
        <v>706</v>
      </c>
      <c r="N8812">
        <v>182921.59999999998</v>
      </c>
      <c r="O8812">
        <v>259.10000000000002</v>
      </c>
    </row>
    <row r="8813" spans="1:15" x14ac:dyDescent="0.35">
      <c r="A8813" t="s">
        <v>9518</v>
      </c>
      <c r="B8813" t="s">
        <v>9519</v>
      </c>
      <c r="C8813" t="s">
        <v>1477</v>
      </c>
      <c r="D8813" t="s">
        <v>293</v>
      </c>
      <c r="E8813" t="s">
        <v>300</v>
      </c>
      <c r="F8813" t="s">
        <v>9523</v>
      </c>
      <c r="G8813">
        <v>57</v>
      </c>
      <c r="H8813">
        <v>17889.18</v>
      </c>
      <c r="I8813">
        <v>313.85000000000002</v>
      </c>
      <c r="J8813">
        <v>0</v>
      </c>
      <c r="K8813">
        <v>0</v>
      </c>
      <c r="L8813">
        <v>0</v>
      </c>
      <c r="M8813">
        <v>57</v>
      </c>
      <c r="N8813">
        <v>17889.18</v>
      </c>
      <c r="O8813">
        <v>313.85000000000002</v>
      </c>
    </row>
    <row r="8814" spans="1:15" x14ac:dyDescent="0.35">
      <c r="A8814" t="s">
        <v>9518</v>
      </c>
      <c r="B8814" t="s">
        <v>9519</v>
      </c>
      <c r="C8814" t="s">
        <v>1477</v>
      </c>
      <c r="D8814" t="s">
        <v>293</v>
      </c>
      <c r="E8814" t="s">
        <v>302</v>
      </c>
      <c r="F8814" t="s">
        <v>9524</v>
      </c>
      <c r="G8814">
        <v>0</v>
      </c>
      <c r="H8814">
        <v>0</v>
      </c>
      <c r="I8814">
        <v>0</v>
      </c>
      <c r="J8814">
        <v>0</v>
      </c>
      <c r="K8814">
        <v>0</v>
      </c>
      <c r="L8814">
        <v>0</v>
      </c>
      <c r="M8814">
        <v>0</v>
      </c>
      <c r="N8814">
        <v>0</v>
      </c>
      <c r="O8814">
        <v>0</v>
      </c>
    </row>
    <row r="8815" spans="1:15" x14ac:dyDescent="0.35">
      <c r="A8815" t="s">
        <v>9518</v>
      </c>
      <c r="B8815" t="s">
        <v>9519</v>
      </c>
      <c r="C8815" t="s">
        <v>1477</v>
      </c>
      <c r="D8815" t="s">
        <v>293</v>
      </c>
      <c r="E8815" t="s">
        <v>304</v>
      </c>
      <c r="F8815" t="s">
        <v>9525</v>
      </c>
      <c r="G8815">
        <v>0</v>
      </c>
      <c r="H8815">
        <v>0</v>
      </c>
      <c r="I8815">
        <v>0</v>
      </c>
      <c r="J8815">
        <v>0</v>
      </c>
      <c r="K8815">
        <v>0</v>
      </c>
      <c r="L8815">
        <v>0</v>
      </c>
      <c r="M8815">
        <v>0</v>
      </c>
      <c r="N8815">
        <v>0</v>
      </c>
      <c r="O8815">
        <v>0</v>
      </c>
    </row>
    <row r="8816" spans="1:15" x14ac:dyDescent="0.35">
      <c r="A8816" t="s">
        <v>9518</v>
      </c>
      <c r="B8816" t="s">
        <v>9519</v>
      </c>
      <c r="C8816" t="s">
        <v>1477</v>
      </c>
      <c r="D8816" t="s">
        <v>293</v>
      </c>
      <c r="E8816" t="s">
        <v>306</v>
      </c>
      <c r="F8816" t="s">
        <v>9526</v>
      </c>
      <c r="G8816">
        <v>0</v>
      </c>
      <c r="H8816">
        <v>0</v>
      </c>
      <c r="I8816">
        <v>0</v>
      </c>
      <c r="J8816">
        <v>0</v>
      </c>
      <c r="K8816">
        <v>0</v>
      </c>
      <c r="L8816">
        <v>0</v>
      </c>
      <c r="M8816">
        <v>0</v>
      </c>
      <c r="N8816">
        <v>0</v>
      </c>
      <c r="O8816">
        <v>0</v>
      </c>
    </row>
    <row r="8817" spans="1:15" x14ac:dyDescent="0.35">
      <c r="A8817" t="s">
        <v>9518</v>
      </c>
      <c r="B8817" t="s">
        <v>9519</v>
      </c>
      <c r="C8817" t="s">
        <v>1477</v>
      </c>
      <c r="D8817" t="s">
        <v>293</v>
      </c>
      <c r="E8817" t="s">
        <v>308</v>
      </c>
      <c r="F8817" t="s">
        <v>9527</v>
      </c>
      <c r="G8817">
        <v>0</v>
      </c>
      <c r="H8817">
        <v>0</v>
      </c>
      <c r="I8817">
        <v>0</v>
      </c>
      <c r="J8817">
        <v>0</v>
      </c>
      <c r="K8817">
        <v>0</v>
      </c>
      <c r="L8817">
        <v>0</v>
      </c>
      <c r="M8817">
        <v>0</v>
      </c>
      <c r="N8817">
        <v>0</v>
      </c>
      <c r="O8817">
        <v>0</v>
      </c>
    </row>
    <row r="8818" spans="1:15" x14ac:dyDescent="0.35">
      <c r="A8818" t="s">
        <v>9518</v>
      </c>
      <c r="B8818" t="s">
        <v>9519</v>
      </c>
      <c r="C8818" t="s">
        <v>1477</v>
      </c>
      <c r="D8818" t="s">
        <v>293</v>
      </c>
      <c r="E8818" t="s">
        <v>310</v>
      </c>
      <c r="F8818" t="s">
        <v>9528</v>
      </c>
      <c r="G8818">
        <v>2749</v>
      </c>
      <c r="H8818">
        <v>591510.99000000011</v>
      </c>
      <c r="I8818">
        <v>215.17</v>
      </c>
      <c r="J8818">
        <v>0</v>
      </c>
      <c r="K8818">
        <v>0</v>
      </c>
      <c r="L8818">
        <v>0</v>
      </c>
      <c r="M8818">
        <v>2749</v>
      </c>
      <c r="N8818">
        <v>591510.99000000011</v>
      </c>
      <c r="O8818">
        <v>215.17</v>
      </c>
    </row>
    <row r="8819" spans="1:15" x14ac:dyDescent="0.35">
      <c r="A8819" t="s">
        <v>9518</v>
      </c>
      <c r="B8819" t="s">
        <v>9519</v>
      </c>
      <c r="C8819" t="s">
        <v>1477</v>
      </c>
      <c r="D8819" t="s">
        <v>293</v>
      </c>
      <c r="E8819" t="s">
        <v>312</v>
      </c>
      <c r="F8819" t="s">
        <v>9529</v>
      </c>
      <c r="G8819">
        <v>2749</v>
      </c>
      <c r="H8819">
        <v>591510.99000000011</v>
      </c>
      <c r="I8819">
        <v>215.17</v>
      </c>
      <c r="J8819">
        <v>0</v>
      </c>
      <c r="K8819">
        <v>0</v>
      </c>
      <c r="L8819">
        <v>0</v>
      </c>
      <c r="M8819">
        <v>2749</v>
      </c>
      <c r="N8819">
        <v>591510.99000000011</v>
      </c>
      <c r="O8819">
        <v>215.17</v>
      </c>
    </row>
    <row r="8820" spans="1:15" x14ac:dyDescent="0.35">
      <c r="A8820" t="s">
        <v>9518</v>
      </c>
      <c r="B8820" t="s">
        <v>9519</v>
      </c>
      <c r="C8820" t="s">
        <v>1477</v>
      </c>
      <c r="D8820" t="s">
        <v>314</v>
      </c>
      <c r="E8820" t="s">
        <v>294</v>
      </c>
      <c r="F8820" t="s">
        <v>9530</v>
      </c>
      <c r="G8820">
        <v>0</v>
      </c>
      <c r="H8820">
        <v>0</v>
      </c>
      <c r="I8820">
        <v>0</v>
      </c>
      <c r="J8820">
        <v>0</v>
      </c>
      <c r="K8820">
        <v>0</v>
      </c>
      <c r="L8820">
        <v>0</v>
      </c>
      <c r="M8820">
        <v>0</v>
      </c>
      <c r="N8820">
        <v>0</v>
      </c>
      <c r="O8820">
        <v>0</v>
      </c>
    </row>
    <row r="8821" spans="1:15" x14ac:dyDescent="0.35">
      <c r="A8821" t="s">
        <v>9518</v>
      </c>
      <c r="B8821" t="s">
        <v>9519</v>
      </c>
      <c r="C8821" t="s">
        <v>1477</v>
      </c>
      <c r="D8821" t="s">
        <v>314</v>
      </c>
      <c r="E8821" t="s">
        <v>296</v>
      </c>
      <c r="F8821" t="s">
        <v>9531</v>
      </c>
      <c r="G8821">
        <v>0</v>
      </c>
      <c r="H8821">
        <v>0</v>
      </c>
      <c r="I8821">
        <v>0</v>
      </c>
      <c r="J8821">
        <v>0</v>
      </c>
      <c r="K8821">
        <v>0</v>
      </c>
      <c r="L8821">
        <v>0</v>
      </c>
      <c r="M8821">
        <v>0</v>
      </c>
      <c r="N8821">
        <v>0</v>
      </c>
      <c r="O8821">
        <v>0</v>
      </c>
    </row>
    <row r="8822" spans="1:15" x14ac:dyDescent="0.35">
      <c r="A8822" t="s">
        <v>9518</v>
      </c>
      <c r="B8822" t="s">
        <v>9519</v>
      </c>
      <c r="C8822" t="s">
        <v>1477</v>
      </c>
      <c r="D8822" t="s">
        <v>314</v>
      </c>
      <c r="E8822" t="s">
        <v>298</v>
      </c>
      <c r="F8822" t="s">
        <v>9532</v>
      </c>
      <c r="G8822">
        <v>0</v>
      </c>
      <c r="H8822">
        <v>0</v>
      </c>
      <c r="I8822">
        <v>0</v>
      </c>
      <c r="J8822">
        <v>0</v>
      </c>
      <c r="K8822">
        <v>0</v>
      </c>
      <c r="L8822">
        <v>0</v>
      </c>
      <c r="M8822">
        <v>0</v>
      </c>
      <c r="N8822">
        <v>0</v>
      </c>
      <c r="O8822">
        <v>0</v>
      </c>
    </row>
    <row r="8823" spans="1:15" x14ac:dyDescent="0.35">
      <c r="A8823" t="s">
        <v>9518</v>
      </c>
      <c r="B8823" t="s">
        <v>9519</v>
      </c>
      <c r="C8823" t="s">
        <v>1477</v>
      </c>
      <c r="D8823" t="s">
        <v>314</v>
      </c>
      <c r="E8823" t="s">
        <v>300</v>
      </c>
      <c r="F8823" t="s">
        <v>9533</v>
      </c>
      <c r="G8823">
        <v>0</v>
      </c>
      <c r="H8823">
        <v>0</v>
      </c>
      <c r="I8823">
        <v>0</v>
      </c>
      <c r="J8823">
        <v>0</v>
      </c>
      <c r="K8823">
        <v>0</v>
      </c>
      <c r="L8823">
        <v>0</v>
      </c>
      <c r="M8823">
        <v>0</v>
      </c>
      <c r="N8823">
        <v>0</v>
      </c>
      <c r="O8823">
        <v>0</v>
      </c>
    </row>
    <row r="8824" spans="1:15" x14ac:dyDescent="0.35">
      <c r="A8824" t="s">
        <v>9518</v>
      </c>
      <c r="B8824" t="s">
        <v>9519</v>
      </c>
      <c r="C8824" t="s">
        <v>1477</v>
      </c>
      <c r="D8824" t="s">
        <v>314</v>
      </c>
      <c r="E8824" t="s">
        <v>306</v>
      </c>
      <c r="F8824" t="s">
        <v>9534</v>
      </c>
      <c r="G8824">
        <v>0</v>
      </c>
      <c r="H8824">
        <v>0</v>
      </c>
      <c r="I8824">
        <v>0</v>
      </c>
      <c r="J8824">
        <v>0</v>
      </c>
      <c r="K8824">
        <v>0</v>
      </c>
      <c r="L8824">
        <v>0</v>
      </c>
      <c r="M8824">
        <v>0</v>
      </c>
      <c r="N8824">
        <v>0</v>
      </c>
      <c r="O8824">
        <v>0</v>
      </c>
    </row>
    <row r="8825" spans="1:15" x14ac:dyDescent="0.35">
      <c r="A8825" t="s">
        <v>9518</v>
      </c>
      <c r="B8825" t="s">
        <v>9519</v>
      </c>
      <c r="C8825" t="s">
        <v>1477</v>
      </c>
      <c r="D8825" t="s">
        <v>314</v>
      </c>
      <c r="E8825" t="s">
        <v>308</v>
      </c>
      <c r="F8825" t="s">
        <v>9535</v>
      </c>
      <c r="G8825">
        <v>0</v>
      </c>
      <c r="H8825">
        <v>0</v>
      </c>
      <c r="I8825">
        <v>0</v>
      </c>
      <c r="J8825">
        <v>0</v>
      </c>
      <c r="K8825">
        <v>0</v>
      </c>
      <c r="L8825">
        <v>0</v>
      </c>
      <c r="M8825">
        <v>0</v>
      </c>
      <c r="N8825">
        <v>0</v>
      </c>
      <c r="O8825">
        <v>0</v>
      </c>
    </row>
    <row r="8826" spans="1:15" x14ac:dyDescent="0.35">
      <c r="A8826" t="s">
        <v>9518</v>
      </c>
      <c r="B8826" t="s">
        <v>9519</v>
      </c>
      <c r="C8826" t="s">
        <v>1477</v>
      </c>
      <c r="D8826" t="s">
        <v>314</v>
      </c>
      <c r="E8826" t="s">
        <v>312</v>
      </c>
      <c r="F8826" t="s">
        <v>9536</v>
      </c>
      <c r="G8826">
        <v>0</v>
      </c>
      <c r="H8826">
        <v>0</v>
      </c>
      <c r="I8826">
        <v>0</v>
      </c>
      <c r="J8826">
        <v>0</v>
      </c>
      <c r="K8826">
        <v>0</v>
      </c>
      <c r="L8826">
        <v>0</v>
      </c>
      <c r="M8826">
        <v>0</v>
      </c>
      <c r="N8826">
        <v>0</v>
      </c>
      <c r="O8826">
        <v>0</v>
      </c>
    </row>
    <row r="8827" spans="1:15" x14ac:dyDescent="0.35">
      <c r="A8827" t="s">
        <v>9518</v>
      </c>
      <c r="B8827" t="s">
        <v>9519</v>
      </c>
      <c r="C8827" t="s">
        <v>1477</v>
      </c>
      <c r="D8827" t="s">
        <v>314</v>
      </c>
      <c r="E8827" t="s">
        <v>310</v>
      </c>
      <c r="F8827" t="s">
        <v>9537</v>
      </c>
      <c r="G8827">
        <v>0</v>
      </c>
      <c r="H8827">
        <v>0</v>
      </c>
      <c r="I8827">
        <v>0</v>
      </c>
      <c r="J8827">
        <v>0</v>
      </c>
      <c r="K8827">
        <v>0</v>
      </c>
      <c r="L8827">
        <v>0</v>
      </c>
      <c r="M8827">
        <v>0</v>
      </c>
      <c r="N8827">
        <v>0</v>
      </c>
      <c r="O8827">
        <v>0</v>
      </c>
    </row>
    <row r="8828" spans="1:15" x14ac:dyDescent="0.35">
      <c r="A8828" t="s">
        <v>9518</v>
      </c>
      <c r="B8828" t="s">
        <v>9519</v>
      </c>
      <c r="C8828" t="s">
        <v>1477</v>
      </c>
      <c r="D8828" t="s">
        <v>323</v>
      </c>
      <c r="E8828" t="s">
        <v>294</v>
      </c>
      <c r="F8828" t="s">
        <v>9538</v>
      </c>
      <c r="G8828">
        <v>1024</v>
      </c>
      <c r="H8828">
        <v>121319.26999999999</v>
      </c>
      <c r="I8828">
        <v>118.48</v>
      </c>
      <c r="J8828">
        <v>0</v>
      </c>
      <c r="K8828">
        <v>0</v>
      </c>
      <c r="L8828">
        <v>0</v>
      </c>
      <c r="M8828">
        <v>1024</v>
      </c>
      <c r="N8828">
        <v>121319.26999999999</v>
      </c>
      <c r="O8828">
        <v>118.48</v>
      </c>
    </row>
    <row r="8829" spans="1:15" x14ac:dyDescent="0.35">
      <c r="A8829" t="s">
        <v>9518</v>
      </c>
      <c r="B8829" t="s">
        <v>9519</v>
      </c>
      <c r="C8829" t="s">
        <v>1477</v>
      </c>
      <c r="D8829" t="s">
        <v>323</v>
      </c>
      <c r="E8829" t="s">
        <v>296</v>
      </c>
      <c r="F8829" t="s">
        <v>9539</v>
      </c>
      <c r="G8829">
        <v>1796</v>
      </c>
      <c r="H8829">
        <v>249842.55</v>
      </c>
      <c r="I8829">
        <v>139.11000000000001</v>
      </c>
      <c r="J8829">
        <v>0</v>
      </c>
      <c r="K8829">
        <v>0</v>
      </c>
      <c r="L8829">
        <v>0</v>
      </c>
      <c r="M8829">
        <v>1796</v>
      </c>
      <c r="N8829">
        <v>249842.55</v>
      </c>
      <c r="O8829">
        <v>139.11000000000001</v>
      </c>
    </row>
    <row r="8830" spans="1:15" x14ac:dyDescent="0.35">
      <c r="A8830" t="s">
        <v>9518</v>
      </c>
      <c r="B8830" t="s">
        <v>9519</v>
      </c>
      <c r="C8830" t="s">
        <v>1477</v>
      </c>
      <c r="D8830" t="s">
        <v>323</v>
      </c>
      <c r="E8830" t="s">
        <v>298</v>
      </c>
      <c r="F8830" t="s">
        <v>9540</v>
      </c>
      <c r="G8830">
        <v>2100</v>
      </c>
      <c r="H8830">
        <v>333429.89999999991</v>
      </c>
      <c r="I8830">
        <v>158.78</v>
      </c>
      <c r="J8830">
        <v>0</v>
      </c>
      <c r="K8830">
        <v>0</v>
      </c>
      <c r="L8830">
        <v>0</v>
      </c>
      <c r="M8830">
        <v>2100</v>
      </c>
      <c r="N8830">
        <v>333429.89999999991</v>
      </c>
      <c r="O8830">
        <v>158.78</v>
      </c>
    </row>
    <row r="8831" spans="1:15" x14ac:dyDescent="0.35">
      <c r="A8831" t="s">
        <v>9518</v>
      </c>
      <c r="B8831" t="s">
        <v>9519</v>
      </c>
      <c r="C8831" t="s">
        <v>1477</v>
      </c>
      <c r="D8831" t="s">
        <v>323</v>
      </c>
      <c r="E8831" t="s">
        <v>300</v>
      </c>
      <c r="F8831" t="s">
        <v>9541</v>
      </c>
      <c r="G8831">
        <v>92</v>
      </c>
      <c r="H8831">
        <v>15950.160000000002</v>
      </c>
      <c r="I8831">
        <v>173.37</v>
      </c>
      <c r="J8831">
        <v>0</v>
      </c>
      <c r="K8831">
        <v>0</v>
      </c>
      <c r="L8831">
        <v>0</v>
      </c>
      <c r="M8831">
        <v>92</v>
      </c>
      <c r="N8831">
        <v>15950.160000000002</v>
      </c>
      <c r="O8831">
        <v>173.37</v>
      </c>
    </row>
    <row r="8832" spans="1:15" x14ac:dyDescent="0.35">
      <c r="A8832" t="s">
        <v>9518</v>
      </c>
      <c r="B8832" t="s">
        <v>9519</v>
      </c>
      <c r="C8832" t="s">
        <v>1477</v>
      </c>
      <c r="D8832" t="s">
        <v>323</v>
      </c>
      <c r="E8832" t="s">
        <v>302</v>
      </c>
      <c r="F8832" t="s">
        <v>9542</v>
      </c>
      <c r="G8832">
        <v>5</v>
      </c>
      <c r="H8832">
        <v>934.94</v>
      </c>
      <c r="I8832">
        <v>186.99</v>
      </c>
      <c r="J8832">
        <v>0</v>
      </c>
      <c r="K8832">
        <v>0</v>
      </c>
      <c r="L8832">
        <v>0</v>
      </c>
      <c r="M8832">
        <v>5</v>
      </c>
      <c r="N8832">
        <v>934.94</v>
      </c>
      <c r="O8832">
        <v>186.99</v>
      </c>
    </row>
    <row r="8833" spans="1:15" x14ac:dyDescent="0.35">
      <c r="A8833" t="s">
        <v>9518</v>
      </c>
      <c r="B8833" t="s">
        <v>9519</v>
      </c>
      <c r="C8833" t="s">
        <v>1477</v>
      </c>
      <c r="D8833" t="s">
        <v>323</v>
      </c>
      <c r="E8833" t="s">
        <v>304</v>
      </c>
      <c r="F8833" t="s">
        <v>9543</v>
      </c>
      <c r="G8833">
        <v>1</v>
      </c>
      <c r="H8833">
        <v>206.87</v>
      </c>
      <c r="I8833">
        <v>206.87</v>
      </c>
      <c r="J8833">
        <v>0</v>
      </c>
      <c r="K8833">
        <v>0</v>
      </c>
      <c r="L8833">
        <v>0</v>
      </c>
      <c r="M8833">
        <v>1</v>
      </c>
      <c r="N8833">
        <v>206.87</v>
      </c>
      <c r="O8833">
        <v>206.87</v>
      </c>
    </row>
    <row r="8834" spans="1:15" x14ac:dyDescent="0.35">
      <c r="A8834" t="s">
        <v>9518</v>
      </c>
      <c r="B8834" t="s">
        <v>9519</v>
      </c>
      <c r="C8834" t="s">
        <v>1477</v>
      </c>
      <c r="D8834" t="s">
        <v>323</v>
      </c>
      <c r="E8834" t="s">
        <v>306</v>
      </c>
      <c r="F8834" t="s">
        <v>9544</v>
      </c>
      <c r="G8834">
        <v>102</v>
      </c>
      <c r="H8834">
        <v>10132.6</v>
      </c>
      <c r="I8834">
        <v>99.34</v>
      </c>
      <c r="J8834">
        <v>0</v>
      </c>
      <c r="K8834">
        <v>0</v>
      </c>
      <c r="L8834">
        <v>0</v>
      </c>
      <c r="M8834">
        <v>102</v>
      </c>
      <c r="N8834">
        <v>10132.6</v>
      </c>
      <c r="O8834">
        <v>99.34</v>
      </c>
    </row>
    <row r="8835" spans="1:15" x14ac:dyDescent="0.35">
      <c r="A8835" t="s">
        <v>9518</v>
      </c>
      <c r="B8835" t="s">
        <v>9519</v>
      </c>
      <c r="C8835" t="s">
        <v>1477</v>
      </c>
      <c r="D8835" t="s">
        <v>323</v>
      </c>
      <c r="E8835" t="s">
        <v>308</v>
      </c>
      <c r="F8835" t="s">
        <v>9545</v>
      </c>
      <c r="G8835">
        <v>0</v>
      </c>
      <c r="H8835">
        <v>0</v>
      </c>
      <c r="I8835">
        <v>0</v>
      </c>
      <c r="J8835">
        <v>0</v>
      </c>
      <c r="K8835">
        <v>0</v>
      </c>
      <c r="L8835">
        <v>0</v>
      </c>
      <c r="M8835">
        <v>0</v>
      </c>
      <c r="N8835">
        <v>0</v>
      </c>
      <c r="O8835">
        <v>0</v>
      </c>
    </row>
    <row r="8836" spans="1:15" x14ac:dyDescent="0.35">
      <c r="A8836" t="s">
        <v>9518</v>
      </c>
      <c r="B8836" t="s">
        <v>9519</v>
      </c>
      <c r="C8836" t="s">
        <v>1477</v>
      </c>
      <c r="D8836" t="s">
        <v>323</v>
      </c>
      <c r="E8836" t="s">
        <v>310</v>
      </c>
      <c r="F8836" t="s">
        <v>9546</v>
      </c>
      <c r="G8836">
        <v>5120</v>
      </c>
      <c r="H8836">
        <v>731816.2899999998</v>
      </c>
      <c r="I8836">
        <v>142.93</v>
      </c>
      <c r="J8836">
        <v>0</v>
      </c>
      <c r="K8836">
        <v>0</v>
      </c>
      <c r="L8836">
        <v>0</v>
      </c>
      <c r="M8836">
        <v>5120</v>
      </c>
      <c r="N8836">
        <v>731816.2899999998</v>
      </c>
      <c r="O8836">
        <v>142.93</v>
      </c>
    </row>
    <row r="8837" spans="1:15" x14ac:dyDescent="0.35">
      <c r="A8837" t="s">
        <v>9518</v>
      </c>
      <c r="B8837" t="s">
        <v>9519</v>
      </c>
      <c r="C8837" t="s">
        <v>1477</v>
      </c>
      <c r="D8837" t="s">
        <v>323</v>
      </c>
      <c r="E8837" t="s">
        <v>312</v>
      </c>
      <c r="F8837" t="s">
        <v>9547</v>
      </c>
      <c r="G8837">
        <v>5120</v>
      </c>
      <c r="H8837">
        <v>731816.2899999998</v>
      </c>
      <c r="I8837">
        <v>142.93</v>
      </c>
      <c r="J8837">
        <v>0</v>
      </c>
      <c r="K8837">
        <v>0</v>
      </c>
      <c r="L8837">
        <v>0</v>
      </c>
      <c r="M8837">
        <v>5120</v>
      </c>
      <c r="N8837">
        <v>731816.2899999998</v>
      </c>
      <c r="O8837">
        <v>142.93</v>
      </c>
    </row>
    <row r="8838" spans="1:15" x14ac:dyDescent="0.35">
      <c r="A8838" t="s">
        <v>9518</v>
      </c>
      <c r="B8838" t="s">
        <v>9519</v>
      </c>
      <c r="C8838" t="s">
        <v>1477</v>
      </c>
      <c r="D8838" t="s">
        <v>334</v>
      </c>
      <c r="E8838" t="s">
        <v>312</v>
      </c>
      <c r="F8838" t="s">
        <v>9548</v>
      </c>
      <c r="G8838">
        <v>7957</v>
      </c>
      <c r="H8838">
        <v>1323327.28</v>
      </c>
      <c r="I8838">
        <v>168.17</v>
      </c>
      <c r="J8838">
        <v>0</v>
      </c>
      <c r="K8838">
        <v>0</v>
      </c>
      <c r="L8838">
        <v>0</v>
      </c>
      <c r="M8838">
        <v>7957</v>
      </c>
      <c r="N8838">
        <v>1323327.28</v>
      </c>
      <c r="O8838">
        <v>168.17</v>
      </c>
    </row>
    <row r="8839" spans="1:15" x14ac:dyDescent="0.35">
      <c r="A8839" t="s">
        <v>9518</v>
      </c>
      <c r="B8839" t="s">
        <v>9519</v>
      </c>
      <c r="C8839" t="s">
        <v>1477</v>
      </c>
      <c r="D8839" t="s">
        <v>334</v>
      </c>
      <c r="E8839" t="s">
        <v>308</v>
      </c>
      <c r="F8839" t="s">
        <v>9549</v>
      </c>
      <c r="G8839">
        <v>0</v>
      </c>
      <c r="H8839">
        <v>0</v>
      </c>
      <c r="I8839">
        <v>0</v>
      </c>
      <c r="J8839">
        <v>0</v>
      </c>
      <c r="K8839">
        <v>0</v>
      </c>
      <c r="L8839">
        <v>0</v>
      </c>
      <c r="M8839">
        <v>0</v>
      </c>
      <c r="N8839">
        <v>0</v>
      </c>
      <c r="O8839">
        <v>0</v>
      </c>
    </row>
    <row r="8840" spans="1:15" x14ac:dyDescent="0.35">
      <c r="A8840" t="s">
        <v>9518</v>
      </c>
      <c r="B8840" t="s">
        <v>9519</v>
      </c>
      <c r="C8840" t="s">
        <v>1477</v>
      </c>
      <c r="D8840" t="s">
        <v>337</v>
      </c>
      <c r="E8840" t="s">
        <v>337</v>
      </c>
      <c r="F8840" t="s">
        <v>9550</v>
      </c>
      <c r="G8840">
        <v>1204</v>
      </c>
      <c r="J8840">
        <v>0</v>
      </c>
      <c r="M8840">
        <v>1204</v>
      </c>
    </row>
    <row r="8841" spans="1:15" x14ac:dyDescent="0.35">
      <c r="A8841" t="s">
        <v>9518</v>
      </c>
      <c r="B8841" t="s">
        <v>9519</v>
      </c>
      <c r="C8841" t="s">
        <v>1477</v>
      </c>
      <c r="D8841" t="s">
        <v>339</v>
      </c>
      <c r="E8841" t="s">
        <v>294</v>
      </c>
      <c r="F8841" t="s">
        <v>9551</v>
      </c>
      <c r="G8841">
        <v>814</v>
      </c>
      <c r="H8841">
        <v>102326.41000000002</v>
      </c>
      <c r="I8841">
        <v>125.71</v>
      </c>
      <c r="J8841">
        <v>0</v>
      </c>
      <c r="K8841">
        <v>0</v>
      </c>
      <c r="L8841">
        <v>0</v>
      </c>
      <c r="M8841">
        <v>814</v>
      </c>
      <c r="N8841">
        <v>102326.41000000002</v>
      </c>
      <c r="O8841">
        <v>125.71</v>
      </c>
    </row>
    <row r="8842" spans="1:15" x14ac:dyDescent="0.35">
      <c r="A8842" t="s">
        <v>9518</v>
      </c>
      <c r="B8842" t="s">
        <v>9519</v>
      </c>
      <c r="C8842" t="s">
        <v>1477</v>
      </c>
      <c r="D8842" t="s">
        <v>339</v>
      </c>
      <c r="E8842" t="s">
        <v>296</v>
      </c>
      <c r="F8842" t="s">
        <v>9552</v>
      </c>
      <c r="G8842">
        <v>253</v>
      </c>
      <c r="H8842">
        <v>36756.11</v>
      </c>
      <c r="I8842">
        <v>145.28</v>
      </c>
      <c r="J8842">
        <v>0</v>
      </c>
      <c r="K8842">
        <v>0</v>
      </c>
      <c r="L8842">
        <v>0</v>
      </c>
      <c r="M8842">
        <v>253</v>
      </c>
      <c r="N8842">
        <v>36756.11</v>
      </c>
      <c r="O8842">
        <v>145.28</v>
      </c>
    </row>
    <row r="8843" spans="1:15" x14ac:dyDescent="0.35">
      <c r="A8843" t="s">
        <v>9518</v>
      </c>
      <c r="B8843" t="s">
        <v>9519</v>
      </c>
      <c r="C8843" t="s">
        <v>1477</v>
      </c>
      <c r="D8843" t="s">
        <v>339</v>
      </c>
      <c r="E8843" t="s">
        <v>298</v>
      </c>
      <c r="F8843" t="s">
        <v>9553</v>
      </c>
      <c r="G8843">
        <v>3</v>
      </c>
      <c r="H8843">
        <v>586.01</v>
      </c>
      <c r="I8843">
        <v>195.34</v>
      </c>
      <c r="J8843">
        <v>0</v>
      </c>
      <c r="K8843">
        <v>0</v>
      </c>
      <c r="L8843">
        <v>0</v>
      </c>
      <c r="M8843">
        <v>3</v>
      </c>
      <c r="N8843">
        <v>586.01</v>
      </c>
      <c r="O8843">
        <v>195.34</v>
      </c>
    </row>
    <row r="8844" spans="1:15" x14ac:dyDescent="0.35">
      <c r="A8844" t="s">
        <v>9518</v>
      </c>
      <c r="B8844" t="s">
        <v>9519</v>
      </c>
      <c r="C8844" t="s">
        <v>1477</v>
      </c>
      <c r="D8844" t="s">
        <v>339</v>
      </c>
      <c r="E8844" t="s">
        <v>300</v>
      </c>
      <c r="F8844" t="s">
        <v>9554</v>
      </c>
      <c r="G8844">
        <v>0</v>
      </c>
      <c r="H8844">
        <v>0</v>
      </c>
      <c r="I8844">
        <v>0</v>
      </c>
      <c r="J8844">
        <v>0</v>
      </c>
      <c r="K8844">
        <v>0</v>
      </c>
      <c r="L8844">
        <v>0</v>
      </c>
      <c r="M8844">
        <v>0</v>
      </c>
      <c r="N8844">
        <v>0</v>
      </c>
      <c r="O8844">
        <v>0</v>
      </c>
    </row>
    <row r="8845" spans="1:15" x14ac:dyDescent="0.35">
      <c r="A8845" t="s">
        <v>9518</v>
      </c>
      <c r="B8845" t="s">
        <v>9519</v>
      </c>
      <c r="C8845" t="s">
        <v>1477</v>
      </c>
      <c r="D8845" t="s">
        <v>339</v>
      </c>
      <c r="E8845" t="s">
        <v>306</v>
      </c>
      <c r="F8845" t="s">
        <v>9555</v>
      </c>
      <c r="G8845">
        <v>47</v>
      </c>
      <c r="H8845">
        <v>5163.2199999999993</v>
      </c>
      <c r="I8845">
        <v>109.86</v>
      </c>
      <c r="J8845">
        <v>0</v>
      </c>
      <c r="K8845">
        <v>0</v>
      </c>
      <c r="L8845">
        <v>0</v>
      </c>
      <c r="M8845">
        <v>47</v>
      </c>
      <c r="N8845">
        <v>5163.2199999999993</v>
      </c>
      <c r="O8845">
        <v>109.86</v>
      </c>
    </row>
    <row r="8846" spans="1:15" x14ac:dyDescent="0.35">
      <c r="A8846" t="s">
        <v>9518</v>
      </c>
      <c r="B8846" t="s">
        <v>9519</v>
      </c>
      <c r="C8846" t="s">
        <v>1477</v>
      </c>
      <c r="D8846" t="s">
        <v>339</v>
      </c>
      <c r="E8846" t="s">
        <v>308</v>
      </c>
      <c r="F8846" t="s">
        <v>9556</v>
      </c>
      <c r="G8846">
        <v>93</v>
      </c>
      <c r="H8846">
        <v>13367.09</v>
      </c>
      <c r="I8846">
        <v>143.72999999999999</v>
      </c>
      <c r="J8846">
        <v>0</v>
      </c>
      <c r="K8846">
        <v>0</v>
      </c>
      <c r="L8846">
        <v>0</v>
      </c>
      <c r="M8846">
        <v>93</v>
      </c>
      <c r="N8846">
        <v>13367.09</v>
      </c>
      <c r="O8846">
        <v>143.72999999999999</v>
      </c>
    </row>
    <row r="8847" spans="1:15" x14ac:dyDescent="0.35">
      <c r="A8847" t="s">
        <v>9518</v>
      </c>
      <c r="B8847" t="s">
        <v>9519</v>
      </c>
      <c r="C8847" t="s">
        <v>1477</v>
      </c>
      <c r="D8847" t="s">
        <v>339</v>
      </c>
      <c r="E8847" t="s">
        <v>310</v>
      </c>
      <c r="F8847" t="s">
        <v>9557</v>
      </c>
      <c r="G8847">
        <v>1210</v>
      </c>
      <c r="H8847">
        <v>158198.84000000003</v>
      </c>
      <c r="I8847">
        <v>130.74</v>
      </c>
      <c r="J8847">
        <v>0</v>
      </c>
      <c r="K8847">
        <v>0</v>
      </c>
      <c r="L8847">
        <v>0</v>
      </c>
      <c r="M8847">
        <v>1210</v>
      </c>
      <c r="N8847">
        <v>158198.84000000003</v>
      </c>
      <c r="O8847">
        <v>130.74</v>
      </c>
    </row>
    <row r="8848" spans="1:15" x14ac:dyDescent="0.35">
      <c r="A8848" t="s">
        <v>9518</v>
      </c>
      <c r="B8848" t="s">
        <v>9519</v>
      </c>
      <c r="C8848" t="s">
        <v>1477</v>
      </c>
      <c r="D8848" t="s">
        <v>339</v>
      </c>
      <c r="E8848" t="s">
        <v>312</v>
      </c>
      <c r="F8848" t="s">
        <v>9558</v>
      </c>
      <c r="G8848">
        <v>1117</v>
      </c>
      <c r="H8848">
        <v>144831.75000000003</v>
      </c>
      <c r="I8848">
        <v>129.66</v>
      </c>
      <c r="J8848">
        <v>0</v>
      </c>
      <c r="K8848">
        <v>0</v>
      </c>
      <c r="L8848">
        <v>0</v>
      </c>
      <c r="M8848">
        <v>1117</v>
      </c>
      <c r="N8848">
        <v>144831.75000000003</v>
      </c>
      <c r="O8848">
        <v>129.66</v>
      </c>
    </row>
    <row r="8849" spans="1:15" x14ac:dyDescent="0.35">
      <c r="A8849" t="s">
        <v>9518</v>
      </c>
      <c r="B8849" t="s">
        <v>9519</v>
      </c>
      <c r="C8849" t="s">
        <v>1477</v>
      </c>
      <c r="D8849" t="s">
        <v>348</v>
      </c>
      <c r="E8849" t="s">
        <v>349</v>
      </c>
      <c r="F8849" t="s">
        <v>9559</v>
      </c>
      <c r="G8849">
        <v>1251</v>
      </c>
      <c r="H8849">
        <v>158198.84000000003</v>
      </c>
      <c r="I8849">
        <v>130.74</v>
      </c>
      <c r="J8849">
        <v>0</v>
      </c>
      <c r="K8849">
        <v>0</v>
      </c>
      <c r="L8849">
        <v>0</v>
      </c>
      <c r="M8849">
        <v>1251</v>
      </c>
      <c r="N8849">
        <v>158198.84000000003</v>
      </c>
      <c r="O8849">
        <v>130.74</v>
      </c>
    </row>
    <row r="8850" spans="1:15" x14ac:dyDescent="0.35">
      <c r="A8850" t="s">
        <v>9560</v>
      </c>
      <c r="B8850" t="s">
        <v>163</v>
      </c>
      <c r="C8850" t="s">
        <v>1477</v>
      </c>
      <c r="D8850" t="s">
        <v>293</v>
      </c>
      <c r="E8850" t="s">
        <v>294</v>
      </c>
      <c r="F8850" t="s">
        <v>9561</v>
      </c>
      <c r="G8850">
        <v>58</v>
      </c>
      <c r="H8850">
        <v>9161.630000000001</v>
      </c>
      <c r="I8850">
        <v>157.96</v>
      </c>
      <c r="J8850">
        <v>21</v>
      </c>
      <c r="K8850">
        <v>3266.55</v>
      </c>
      <c r="L8850">
        <v>155.55000000000001</v>
      </c>
      <c r="M8850">
        <v>79</v>
      </c>
      <c r="N8850">
        <v>12428.18</v>
      </c>
      <c r="O8850">
        <v>157.32</v>
      </c>
    </row>
    <row r="8851" spans="1:15" x14ac:dyDescent="0.35">
      <c r="A8851" t="s">
        <v>9560</v>
      </c>
      <c r="B8851" t="s">
        <v>163</v>
      </c>
      <c r="C8851" t="s">
        <v>1477</v>
      </c>
      <c r="D8851" t="s">
        <v>293</v>
      </c>
      <c r="E8851" t="s">
        <v>296</v>
      </c>
      <c r="F8851" t="s">
        <v>9562</v>
      </c>
      <c r="G8851">
        <v>131</v>
      </c>
      <c r="H8851">
        <v>26726.100000000002</v>
      </c>
      <c r="I8851">
        <v>204.02</v>
      </c>
      <c r="J8851">
        <v>40</v>
      </c>
      <c r="K8851">
        <v>7813.6</v>
      </c>
      <c r="L8851">
        <v>195.34</v>
      </c>
      <c r="M8851">
        <v>171</v>
      </c>
      <c r="N8851">
        <v>34539.700000000004</v>
      </c>
      <c r="O8851">
        <v>201.99</v>
      </c>
    </row>
    <row r="8852" spans="1:15" x14ac:dyDescent="0.35">
      <c r="A8852" t="s">
        <v>9560</v>
      </c>
      <c r="B8852" t="s">
        <v>163</v>
      </c>
      <c r="C8852" t="s">
        <v>1477</v>
      </c>
      <c r="D8852" t="s">
        <v>293</v>
      </c>
      <c r="E8852" t="s">
        <v>298</v>
      </c>
      <c r="F8852" t="s">
        <v>9563</v>
      </c>
      <c r="G8852">
        <v>56</v>
      </c>
      <c r="H8852">
        <v>12810.660000000002</v>
      </c>
      <c r="I8852">
        <v>228.76</v>
      </c>
      <c r="J8852">
        <v>3</v>
      </c>
      <c r="K8852">
        <v>716.01</v>
      </c>
      <c r="L8852">
        <v>238.67</v>
      </c>
      <c r="M8852">
        <v>59</v>
      </c>
      <c r="N8852">
        <v>13526.670000000002</v>
      </c>
      <c r="O8852">
        <v>229.27</v>
      </c>
    </row>
    <row r="8853" spans="1:15" x14ac:dyDescent="0.35">
      <c r="A8853" t="s">
        <v>9560</v>
      </c>
      <c r="B8853" t="s">
        <v>163</v>
      </c>
      <c r="C8853" t="s">
        <v>1477</v>
      </c>
      <c r="D8853" t="s">
        <v>293</v>
      </c>
      <c r="E8853" t="s">
        <v>300</v>
      </c>
      <c r="F8853" t="s">
        <v>9564</v>
      </c>
      <c r="G8853">
        <v>2</v>
      </c>
      <c r="H8853">
        <v>409.56</v>
      </c>
      <c r="I8853">
        <v>204.78</v>
      </c>
      <c r="J8853">
        <v>1</v>
      </c>
      <c r="K8853">
        <v>279.58</v>
      </c>
      <c r="L8853">
        <v>279.58</v>
      </c>
      <c r="M8853">
        <v>3</v>
      </c>
      <c r="N8853">
        <v>689.14</v>
      </c>
      <c r="O8853">
        <v>229.71</v>
      </c>
    </row>
    <row r="8854" spans="1:15" x14ac:dyDescent="0.35">
      <c r="A8854" t="s">
        <v>9560</v>
      </c>
      <c r="B8854" t="s">
        <v>163</v>
      </c>
      <c r="C8854" t="s">
        <v>1477</v>
      </c>
      <c r="D8854" t="s">
        <v>293</v>
      </c>
      <c r="E8854" t="s">
        <v>302</v>
      </c>
      <c r="F8854" t="s">
        <v>9565</v>
      </c>
      <c r="G8854">
        <v>0</v>
      </c>
      <c r="H8854">
        <v>0</v>
      </c>
      <c r="I8854">
        <v>0</v>
      </c>
      <c r="J8854">
        <v>0</v>
      </c>
      <c r="K8854">
        <v>0</v>
      </c>
      <c r="L8854">
        <v>0</v>
      </c>
      <c r="M8854">
        <v>0</v>
      </c>
      <c r="N8854">
        <v>0</v>
      </c>
      <c r="O8854">
        <v>0</v>
      </c>
    </row>
    <row r="8855" spans="1:15" x14ac:dyDescent="0.35">
      <c r="A8855" t="s">
        <v>9560</v>
      </c>
      <c r="B8855" t="s">
        <v>163</v>
      </c>
      <c r="C8855" t="s">
        <v>1477</v>
      </c>
      <c r="D8855" t="s">
        <v>293</v>
      </c>
      <c r="E8855" t="s">
        <v>304</v>
      </c>
      <c r="F8855" t="s">
        <v>9566</v>
      </c>
      <c r="G8855">
        <v>0</v>
      </c>
      <c r="H8855">
        <v>0</v>
      </c>
      <c r="I8855">
        <v>0</v>
      </c>
      <c r="J8855">
        <v>0</v>
      </c>
      <c r="K8855">
        <v>0</v>
      </c>
      <c r="L8855">
        <v>0</v>
      </c>
      <c r="M8855">
        <v>0</v>
      </c>
      <c r="N8855">
        <v>0</v>
      </c>
      <c r="O8855">
        <v>0</v>
      </c>
    </row>
    <row r="8856" spans="1:15" x14ac:dyDescent="0.35">
      <c r="A8856" t="s">
        <v>9560</v>
      </c>
      <c r="B8856" t="s">
        <v>163</v>
      </c>
      <c r="C8856" t="s">
        <v>1477</v>
      </c>
      <c r="D8856" t="s">
        <v>293</v>
      </c>
      <c r="E8856" t="s">
        <v>306</v>
      </c>
      <c r="F8856" t="s">
        <v>9567</v>
      </c>
      <c r="G8856">
        <v>11</v>
      </c>
      <c r="H8856">
        <v>1484.67</v>
      </c>
      <c r="I8856">
        <v>134.97</v>
      </c>
      <c r="J8856">
        <v>0</v>
      </c>
      <c r="K8856">
        <v>0</v>
      </c>
      <c r="L8856">
        <v>0</v>
      </c>
      <c r="M8856">
        <v>11</v>
      </c>
      <c r="N8856">
        <v>1484.67</v>
      </c>
      <c r="O8856">
        <v>134.97</v>
      </c>
    </row>
    <row r="8857" spans="1:15" x14ac:dyDescent="0.35">
      <c r="A8857" t="s">
        <v>9560</v>
      </c>
      <c r="B8857" t="s">
        <v>163</v>
      </c>
      <c r="C8857" t="s">
        <v>1477</v>
      </c>
      <c r="D8857" t="s">
        <v>293</v>
      </c>
      <c r="E8857" t="s">
        <v>308</v>
      </c>
      <c r="F8857" t="s">
        <v>9568</v>
      </c>
      <c r="G8857">
        <v>0</v>
      </c>
      <c r="H8857">
        <v>0</v>
      </c>
      <c r="I8857">
        <v>0</v>
      </c>
      <c r="J8857">
        <v>0</v>
      </c>
      <c r="K8857">
        <v>0</v>
      </c>
      <c r="L8857">
        <v>0</v>
      </c>
      <c r="M8857">
        <v>0</v>
      </c>
      <c r="N8857">
        <v>0</v>
      </c>
      <c r="O8857">
        <v>0</v>
      </c>
    </row>
    <row r="8858" spans="1:15" x14ac:dyDescent="0.35">
      <c r="A8858" t="s">
        <v>9560</v>
      </c>
      <c r="B8858" t="s">
        <v>163</v>
      </c>
      <c r="C8858" t="s">
        <v>1477</v>
      </c>
      <c r="D8858" t="s">
        <v>293</v>
      </c>
      <c r="E8858" t="s">
        <v>310</v>
      </c>
      <c r="F8858" t="s">
        <v>9569</v>
      </c>
      <c r="G8858">
        <v>258</v>
      </c>
      <c r="H8858">
        <v>50592.62</v>
      </c>
      <c r="I8858">
        <v>196.1</v>
      </c>
      <c r="J8858">
        <v>65</v>
      </c>
      <c r="K8858">
        <v>12075.740000000002</v>
      </c>
      <c r="L8858">
        <v>185.78</v>
      </c>
      <c r="M8858">
        <v>323</v>
      </c>
      <c r="N8858">
        <v>62668.36</v>
      </c>
      <c r="O8858">
        <v>194.02</v>
      </c>
    </row>
    <row r="8859" spans="1:15" x14ac:dyDescent="0.35">
      <c r="A8859" t="s">
        <v>9560</v>
      </c>
      <c r="B8859" t="s">
        <v>163</v>
      </c>
      <c r="C8859" t="s">
        <v>1477</v>
      </c>
      <c r="D8859" t="s">
        <v>293</v>
      </c>
      <c r="E8859" t="s">
        <v>312</v>
      </c>
      <c r="F8859" t="s">
        <v>9570</v>
      </c>
      <c r="G8859">
        <v>258</v>
      </c>
      <c r="H8859">
        <v>50592.62</v>
      </c>
      <c r="I8859">
        <v>196.1</v>
      </c>
      <c r="J8859">
        <v>65</v>
      </c>
      <c r="K8859">
        <v>12075.740000000002</v>
      </c>
      <c r="L8859">
        <v>185.78</v>
      </c>
      <c r="M8859">
        <v>323</v>
      </c>
      <c r="N8859">
        <v>62668.36</v>
      </c>
      <c r="O8859">
        <v>194.02</v>
      </c>
    </row>
    <row r="8860" spans="1:15" x14ac:dyDescent="0.35">
      <c r="A8860" t="s">
        <v>9560</v>
      </c>
      <c r="B8860" t="s">
        <v>163</v>
      </c>
      <c r="C8860" t="s">
        <v>1477</v>
      </c>
      <c r="D8860" t="s">
        <v>314</v>
      </c>
      <c r="E8860" t="s">
        <v>294</v>
      </c>
      <c r="F8860" t="s">
        <v>9571</v>
      </c>
      <c r="G8860">
        <v>0</v>
      </c>
      <c r="H8860">
        <v>0</v>
      </c>
      <c r="I8860">
        <v>0</v>
      </c>
      <c r="J8860">
        <v>20</v>
      </c>
      <c r="K8860">
        <v>3011.6000000000004</v>
      </c>
      <c r="L8860">
        <v>150.58000000000001</v>
      </c>
      <c r="M8860">
        <v>20</v>
      </c>
      <c r="N8860">
        <v>3011.6000000000004</v>
      </c>
      <c r="O8860">
        <v>150.58000000000001</v>
      </c>
    </row>
    <row r="8861" spans="1:15" x14ac:dyDescent="0.35">
      <c r="A8861" t="s">
        <v>9560</v>
      </c>
      <c r="B8861" t="s">
        <v>163</v>
      </c>
      <c r="C8861" t="s">
        <v>1477</v>
      </c>
      <c r="D8861" t="s">
        <v>314</v>
      </c>
      <c r="E8861" t="s">
        <v>296</v>
      </c>
      <c r="F8861" t="s">
        <v>9572</v>
      </c>
      <c r="G8861">
        <v>0</v>
      </c>
      <c r="H8861">
        <v>0</v>
      </c>
      <c r="I8861">
        <v>0</v>
      </c>
      <c r="J8861">
        <v>13</v>
      </c>
      <c r="K8861">
        <v>2562.4300000000003</v>
      </c>
      <c r="L8861">
        <v>197.11</v>
      </c>
      <c r="M8861">
        <v>13</v>
      </c>
      <c r="N8861">
        <v>2562.4300000000003</v>
      </c>
      <c r="O8861">
        <v>197.11</v>
      </c>
    </row>
    <row r="8862" spans="1:15" x14ac:dyDescent="0.35">
      <c r="A8862" t="s">
        <v>9560</v>
      </c>
      <c r="B8862" t="s">
        <v>163</v>
      </c>
      <c r="C8862" t="s">
        <v>1477</v>
      </c>
      <c r="D8862" t="s">
        <v>314</v>
      </c>
      <c r="E8862" t="s">
        <v>298</v>
      </c>
      <c r="F8862" t="s">
        <v>9573</v>
      </c>
      <c r="G8862">
        <v>0</v>
      </c>
      <c r="H8862">
        <v>0</v>
      </c>
      <c r="I8862">
        <v>0</v>
      </c>
      <c r="J8862">
        <v>0</v>
      </c>
      <c r="K8862">
        <v>0</v>
      </c>
      <c r="L8862">
        <v>0</v>
      </c>
      <c r="M8862">
        <v>0</v>
      </c>
      <c r="N8862">
        <v>0</v>
      </c>
      <c r="O8862">
        <v>0</v>
      </c>
    </row>
    <row r="8863" spans="1:15" x14ac:dyDescent="0.35">
      <c r="A8863" t="s">
        <v>9560</v>
      </c>
      <c r="B8863" t="s">
        <v>163</v>
      </c>
      <c r="C8863" t="s">
        <v>1477</v>
      </c>
      <c r="D8863" t="s">
        <v>314</v>
      </c>
      <c r="E8863" t="s">
        <v>300</v>
      </c>
      <c r="F8863" t="s">
        <v>9574</v>
      </c>
      <c r="G8863">
        <v>0</v>
      </c>
      <c r="H8863">
        <v>0</v>
      </c>
      <c r="I8863">
        <v>0</v>
      </c>
      <c r="J8863">
        <v>0</v>
      </c>
      <c r="K8863">
        <v>0</v>
      </c>
      <c r="L8863">
        <v>0</v>
      </c>
      <c r="M8863">
        <v>0</v>
      </c>
      <c r="N8863">
        <v>0</v>
      </c>
      <c r="O8863">
        <v>0</v>
      </c>
    </row>
    <row r="8864" spans="1:15" x14ac:dyDescent="0.35">
      <c r="A8864" t="s">
        <v>9560</v>
      </c>
      <c r="B8864" t="s">
        <v>163</v>
      </c>
      <c r="C8864" t="s">
        <v>1477</v>
      </c>
      <c r="D8864" t="s">
        <v>314</v>
      </c>
      <c r="E8864" t="s">
        <v>306</v>
      </c>
      <c r="F8864" t="s">
        <v>9575</v>
      </c>
      <c r="G8864">
        <v>0</v>
      </c>
      <c r="H8864">
        <v>0</v>
      </c>
      <c r="I8864">
        <v>0</v>
      </c>
      <c r="J8864">
        <v>0</v>
      </c>
      <c r="K8864">
        <v>0</v>
      </c>
      <c r="L8864">
        <v>0</v>
      </c>
      <c r="M8864">
        <v>0</v>
      </c>
      <c r="N8864">
        <v>0</v>
      </c>
      <c r="O8864">
        <v>0</v>
      </c>
    </row>
    <row r="8865" spans="1:15" x14ac:dyDescent="0.35">
      <c r="A8865" t="s">
        <v>9560</v>
      </c>
      <c r="B8865" t="s">
        <v>163</v>
      </c>
      <c r="C8865" t="s">
        <v>1477</v>
      </c>
      <c r="D8865" t="s">
        <v>314</v>
      </c>
      <c r="E8865" t="s">
        <v>308</v>
      </c>
      <c r="F8865" t="s">
        <v>9576</v>
      </c>
      <c r="G8865">
        <v>0</v>
      </c>
      <c r="H8865">
        <v>0</v>
      </c>
      <c r="I8865">
        <v>0</v>
      </c>
      <c r="J8865">
        <v>0</v>
      </c>
      <c r="K8865">
        <v>0</v>
      </c>
      <c r="L8865">
        <v>0</v>
      </c>
      <c r="M8865">
        <v>0</v>
      </c>
      <c r="N8865">
        <v>0</v>
      </c>
      <c r="O8865">
        <v>0</v>
      </c>
    </row>
    <row r="8866" spans="1:15" x14ac:dyDescent="0.35">
      <c r="A8866" t="s">
        <v>9560</v>
      </c>
      <c r="B8866" t="s">
        <v>163</v>
      </c>
      <c r="C8866" t="s">
        <v>1477</v>
      </c>
      <c r="D8866" t="s">
        <v>314</v>
      </c>
      <c r="E8866" t="s">
        <v>312</v>
      </c>
      <c r="F8866" t="s">
        <v>9577</v>
      </c>
      <c r="G8866">
        <v>0</v>
      </c>
      <c r="H8866">
        <v>0</v>
      </c>
      <c r="I8866">
        <v>0</v>
      </c>
      <c r="J8866">
        <v>33</v>
      </c>
      <c r="K8866">
        <v>5574.0300000000007</v>
      </c>
      <c r="L8866">
        <v>168.91</v>
      </c>
      <c r="M8866">
        <v>33</v>
      </c>
      <c r="N8866">
        <v>5574.0300000000007</v>
      </c>
      <c r="O8866">
        <v>168.91</v>
      </c>
    </row>
    <row r="8867" spans="1:15" x14ac:dyDescent="0.35">
      <c r="A8867" t="s">
        <v>9560</v>
      </c>
      <c r="B8867" t="s">
        <v>163</v>
      </c>
      <c r="C8867" t="s">
        <v>1477</v>
      </c>
      <c r="D8867" t="s">
        <v>314</v>
      </c>
      <c r="E8867" t="s">
        <v>310</v>
      </c>
      <c r="F8867" t="s">
        <v>9578</v>
      </c>
      <c r="G8867">
        <v>0</v>
      </c>
      <c r="H8867">
        <v>0</v>
      </c>
      <c r="I8867">
        <v>0</v>
      </c>
      <c r="J8867">
        <v>33</v>
      </c>
      <c r="K8867">
        <v>5574.0300000000007</v>
      </c>
      <c r="L8867">
        <v>168.91</v>
      </c>
      <c r="M8867">
        <v>33</v>
      </c>
      <c r="N8867">
        <v>5574.0300000000007</v>
      </c>
      <c r="O8867">
        <v>168.91</v>
      </c>
    </row>
    <row r="8868" spans="1:15" x14ac:dyDescent="0.35">
      <c r="A8868" t="s">
        <v>9560</v>
      </c>
      <c r="B8868" t="s">
        <v>163</v>
      </c>
      <c r="C8868" t="s">
        <v>1477</v>
      </c>
      <c r="D8868" t="s">
        <v>323</v>
      </c>
      <c r="E8868" t="s">
        <v>294</v>
      </c>
      <c r="F8868" t="s">
        <v>9579</v>
      </c>
      <c r="G8868">
        <v>298</v>
      </c>
      <c r="H8868">
        <v>32784.559999999998</v>
      </c>
      <c r="I8868">
        <v>110.02</v>
      </c>
      <c r="J8868">
        <v>1177</v>
      </c>
      <c r="K8868">
        <v>118406.2</v>
      </c>
      <c r="L8868">
        <v>100.6</v>
      </c>
      <c r="M8868">
        <v>1475</v>
      </c>
      <c r="N8868">
        <v>151190.76</v>
      </c>
      <c r="O8868">
        <v>102.5</v>
      </c>
    </row>
    <row r="8869" spans="1:15" x14ac:dyDescent="0.35">
      <c r="A8869" t="s">
        <v>9560</v>
      </c>
      <c r="B8869" t="s">
        <v>163</v>
      </c>
      <c r="C8869" t="s">
        <v>1477</v>
      </c>
      <c r="D8869" t="s">
        <v>323</v>
      </c>
      <c r="E8869" t="s">
        <v>296</v>
      </c>
      <c r="F8869" t="s">
        <v>9580</v>
      </c>
      <c r="G8869">
        <v>608</v>
      </c>
      <c r="H8869">
        <v>82887.549999999988</v>
      </c>
      <c r="I8869">
        <v>136.33000000000001</v>
      </c>
      <c r="J8869">
        <v>1886</v>
      </c>
      <c r="K8869">
        <v>223943.63999999998</v>
      </c>
      <c r="L8869">
        <v>118.74</v>
      </c>
      <c r="M8869">
        <v>2494</v>
      </c>
      <c r="N8869">
        <v>306831.18999999994</v>
      </c>
      <c r="O8869">
        <v>123.03</v>
      </c>
    </row>
    <row r="8870" spans="1:15" x14ac:dyDescent="0.35">
      <c r="A8870" t="s">
        <v>9560</v>
      </c>
      <c r="B8870" t="s">
        <v>163</v>
      </c>
      <c r="C8870" t="s">
        <v>1477</v>
      </c>
      <c r="D8870" t="s">
        <v>323</v>
      </c>
      <c r="E8870" t="s">
        <v>298</v>
      </c>
      <c r="F8870" t="s">
        <v>9581</v>
      </c>
      <c r="G8870">
        <v>412</v>
      </c>
      <c r="H8870">
        <v>65392.159999999989</v>
      </c>
      <c r="I8870">
        <v>158.72</v>
      </c>
      <c r="J8870">
        <v>2975</v>
      </c>
      <c r="K8870">
        <v>392878.5</v>
      </c>
      <c r="L8870">
        <v>132.06</v>
      </c>
      <c r="M8870">
        <v>3387</v>
      </c>
      <c r="N8870">
        <v>458270.66</v>
      </c>
      <c r="O8870">
        <v>135.30000000000001</v>
      </c>
    </row>
    <row r="8871" spans="1:15" x14ac:dyDescent="0.35">
      <c r="A8871" t="s">
        <v>9560</v>
      </c>
      <c r="B8871" t="s">
        <v>163</v>
      </c>
      <c r="C8871" t="s">
        <v>1477</v>
      </c>
      <c r="D8871" t="s">
        <v>323</v>
      </c>
      <c r="E8871" t="s">
        <v>300</v>
      </c>
      <c r="F8871" t="s">
        <v>9582</v>
      </c>
      <c r="G8871">
        <v>75</v>
      </c>
      <c r="H8871">
        <v>13549.17</v>
      </c>
      <c r="I8871">
        <v>180.66</v>
      </c>
      <c r="J8871">
        <v>351</v>
      </c>
      <c r="K8871">
        <v>51246</v>
      </c>
      <c r="L8871">
        <v>146</v>
      </c>
      <c r="M8871">
        <v>426</v>
      </c>
      <c r="N8871">
        <v>64795.17</v>
      </c>
      <c r="O8871">
        <v>152.1</v>
      </c>
    </row>
    <row r="8872" spans="1:15" x14ac:dyDescent="0.35">
      <c r="A8872" t="s">
        <v>9560</v>
      </c>
      <c r="B8872" t="s">
        <v>163</v>
      </c>
      <c r="C8872" t="s">
        <v>1477</v>
      </c>
      <c r="D8872" t="s">
        <v>323</v>
      </c>
      <c r="E8872" t="s">
        <v>302</v>
      </c>
      <c r="F8872" t="s">
        <v>9583</v>
      </c>
      <c r="G8872">
        <v>2</v>
      </c>
      <c r="H8872">
        <v>357.44</v>
      </c>
      <c r="I8872">
        <v>178.72</v>
      </c>
      <c r="J8872">
        <v>47</v>
      </c>
      <c r="K8872">
        <v>7268.079999999999</v>
      </c>
      <c r="L8872">
        <v>154.63999999999999</v>
      </c>
      <c r="M8872">
        <v>49</v>
      </c>
      <c r="N8872">
        <v>7625.5199999999986</v>
      </c>
      <c r="O8872">
        <v>155.62</v>
      </c>
    </row>
    <row r="8873" spans="1:15" x14ac:dyDescent="0.35">
      <c r="A8873" t="s">
        <v>9560</v>
      </c>
      <c r="B8873" t="s">
        <v>163</v>
      </c>
      <c r="C8873" t="s">
        <v>1477</v>
      </c>
      <c r="D8873" t="s">
        <v>323</v>
      </c>
      <c r="E8873" t="s">
        <v>304</v>
      </c>
      <c r="F8873" t="s">
        <v>9584</v>
      </c>
      <c r="G8873">
        <v>0</v>
      </c>
      <c r="H8873">
        <v>0</v>
      </c>
      <c r="I8873">
        <v>0</v>
      </c>
      <c r="J8873">
        <v>4</v>
      </c>
      <c r="K8873">
        <v>658.44</v>
      </c>
      <c r="L8873">
        <v>164.61</v>
      </c>
      <c r="M8873">
        <v>4</v>
      </c>
      <c r="N8873">
        <v>658.44</v>
      </c>
      <c r="O8873">
        <v>164.61</v>
      </c>
    </row>
    <row r="8874" spans="1:15" x14ac:dyDescent="0.35">
      <c r="A8874" t="s">
        <v>9560</v>
      </c>
      <c r="B8874" t="s">
        <v>163</v>
      </c>
      <c r="C8874" t="s">
        <v>1477</v>
      </c>
      <c r="D8874" t="s">
        <v>323</v>
      </c>
      <c r="E8874" t="s">
        <v>306</v>
      </c>
      <c r="F8874" t="s">
        <v>9585</v>
      </c>
      <c r="G8874">
        <v>22</v>
      </c>
      <c r="H8874">
        <v>2039.3100000000002</v>
      </c>
      <c r="I8874">
        <v>92.7</v>
      </c>
      <c r="J8874">
        <v>293</v>
      </c>
      <c r="K8874">
        <v>24928.44</v>
      </c>
      <c r="L8874">
        <v>85.08</v>
      </c>
      <c r="M8874">
        <v>315</v>
      </c>
      <c r="N8874">
        <v>26967.75</v>
      </c>
      <c r="O8874">
        <v>85.61</v>
      </c>
    </row>
    <row r="8875" spans="1:15" x14ac:dyDescent="0.35">
      <c r="A8875" t="s">
        <v>9560</v>
      </c>
      <c r="B8875" t="s">
        <v>163</v>
      </c>
      <c r="C8875" t="s">
        <v>1477</v>
      </c>
      <c r="D8875" t="s">
        <v>323</v>
      </c>
      <c r="E8875" t="s">
        <v>308</v>
      </c>
      <c r="F8875" t="s">
        <v>9586</v>
      </c>
      <c r="G8875">
        <v>0</v>
      </c>
      <c r="H8875">
        <v>0</v>
      </c>
      <c r="I8875">
        <v>0</v>
      </c>
      <c r="J8875">
        <v>0</v>
      </c>
      <c r="K8875">
        <v>0</v>
      </c>
      <c r="L8875">
        <v>0</v>
      </c>
      <c r="M8875">
        <v>0</v>
      </c>
      <c r="N8875">
        <v>0</v>
      </c>
      <c r="O8875">
        <v>0</v>
      </c>
    </row>
    <row r="8876" spans="1:15" x14ac:dyDescent="0.35">
      <c r="A8876" t="s">
        <v>9560</v>
      </c>
      <c r="B8876" t="s">
        <v>163</v>
      </c>
      <c r="C8876" t="s">
        <v>1477</v>
      </c>
      <c r="D8876" t="s">
        <v>323</v>
      </c>
      <c r="E8876" t="s">
        <v>310</v>
      </c>
      <c r="F8876" t="s">
        <v>9587</v>
      </c>
      <c r="G8876">
        <v>1417</v>
      </c>
      <c r="H8876">
        <v>197010.18999999997</v>
      </c>
      <c r="I8876">
        <v>139.03</v>
      </c>
      <c r="J8876">
        <v>6733</v>
      </c>
      <c r="K8876">
        <v>819329.29999999981</v>
      </c>
      <c r="L8876">
        <v>121.69</v>
      </c>
      <c r="M8876">
        <v>8150</v>
      </c>
      <c r="N8876">
        <v>1016339.4899999998</v>
      </c>
      <c r="O8876">
        <v>124.7</v>
      </c>
    </row>
    <row r="8877" spans="1:15" x14ac:dyDescent="0.35">
      <c r="A8877" t="s">
        <v>9560</v>
      </c>
      <c r="B8877" t="s">
        <v>163</v>
      </c>
      <c r="C8877" t="s">
        <v>1477</v>
      </c>
      <c r="D8877" t="s">
        <v>323</v>
      </c>
      <c r="E8877" t="s">
        <v>312</v>
      </c>
      <c r="F8877" t="s">
        <v>9588</v>
      </c>
      <c r="G8877">
        <v>1417</v>
      </c>
      <c r="H8877">
        <v>197010.18999999997</v>
      </c>
      <c r="I8877">
        <v>139.03</v>
      </c>
      <c r="J8877">
        <v>6733</v>
      </c>
      <c r="K8877">
        <v>819329.29999999981</v>
      </c>
      <c r="L8877">
        <v>121.69</v>
      </c>
      <c r="M8877">
        <v>8150</v>
      </c>
      <c r="N8877">
        <v>1016339.4899999998</v>
      </c>
      <c r="O8877">
        <v>124.7</v>
      </c>
    </row>
    <row r="8878" spans="1:15" x14ac:dyDescent="0.35">
      <c r="A8878" t="s">
        <v>9560</v>
      </c>
      <c r="B8878" t="s">
        <v>163</v>
      </c>
      <c r="C8878" t="s">
        <v>1477</v>
      </c>
      <c r="D8878" t="s">
        <v>334</v>
      </c>
      <c r="E8878" t="s">
        <v>312</v>
      </c>
      <c r="F8878" t="s">
        <v>9589</v>
      </c>
      <c r="G8878">
        <v>1808</v>
      </c>
      <c r="H8878">
        <v>247602.80999999997</v>
      </c>
      <c r="I8878">
        <v>147.82</v>
      </c>
      <c r="J8878">
        <v>6798</v>
      </c>
      <c r="K8878">
        <v>831405.0399999998</v>
      </c>
      <c r="L8878">
        <v>122.3</v>
      </c>
      <c r="M8878">
        <v>8606</v>
      </c>
      <c r="N8878">
        <v>1079007.8499999999</v>
      </c>
      <c r="O8878">
        <v>127.35</v>
      </c>
    </row>
    <row r="8879" spans="1:15" x14ac:dyDescent="0.35">
      <c r="A8879" t="s">
        <v>9560</v>
      </c>
      <c r="B8879" t="s">
        <v>163</v>
      </c>
      <c r="C8879" t="s">
        <v>1477</v>
      </c>
      <c r="D8879" t="s">
        <v>334</v>
      </c>
      <c r="E8879" t="s">
        <v>308</v>
      </c>
      <c r="F8879" t="s">
        <v>9590</v>
      </c>
      <c r="G8879">
        <v>0</v>
      </c>
      <c r="H8879">
        <v>0</v>
      </c>
      <c r="I8879">
        <v>0</v>
      </c>
      <c r="J8879">
        <v>0</v>
      </c>
      <c r="K8879">
        <v>0</v>
      </c>
      <c r="L8879">
        <v>0</v>
      </c>
      <c r="M8879">
        <v>0</v>
      </c>
      <c r="N8879">
        <v>0</v>
      </c>
      <c r="O8879">
        <v>0</v>
      </c>
    </row>
    <row r="8880" spans="1:15" x14ac:dyDescent="0.35">
      <c r="A8880" t="s">
        <v>9560</v>
      </c>
      <c r="B8880" t="s">
        <v>163</v>
      </c>
      <c r="C8880" t="s">
        <v>1477</v>
      </c>
      <c r="D8880" t="s">
        <v>337</v>
      </c>
      <c r="E8880" t="s">
        <v>337</v>
      </c>
      <c r="F8880" t="s">
        <v>9591</v>
      </c>
      <c r="G8880">
        <v>580</v>
      </c>
      <c r="J8880">
        <v>80</v>
      </c>
      <c r="M8880">
        <v>660</v>
      </c>
    </row>
    <row r="8881" spans="1:15" x14ac:dyDescent="0.35">
      <c r="A8881" t="s">
        <v>9560</v>
      </c>
      <c r="B8881" t="s">
        <v>163</v>
      </c>
      <c r="C8881" t="s">
        <v>1477</v>
      </c>
      <c r="D8881" t="s">
        <v>339</v>
      </c>
      <c r="E8881" t="s">
        <v>294</v>
      </c>
      <c r="F8881" t="s">
        <v>9592</v>
      </c>
      <c r="G8881">
        <v>281</v>
      </c>
      <c r="H8881">
        <v>37058.61</v>
      </c>
      <c r="I8881">
        <v>131.88</v>
      </c>
      <c r="J8881">
        <v>765</v>
      </c>
      <c r="K8881">
        <v>81411.3</v>
      </c>
      <c r="L8881">
        <v>106.42</v>
      </c>
      <c r="M8881">
        <v>1046</v>
      </c>
      <c r="N8881">
        <v>118469.91</v>
      </c>
      <c r="O8881">
        <v>113.26</v>
      </c>
    </row>
    <row r="8882" spans="1:15" x14ac:dyDescent="0.35">
      <c r="A8882" t="s">
        <v>9560</v>
      </c>
      <c r="B8882" t="s">
        <v>163</v>
      </c>
      <c r="C8882" t="s">
        <v>1477</v>
      </c>
      <c r="D8882" t="s">
        <v>339</v>
      </c>
      <c r="E8882" t="s">
        <v>296</v>
      </c>
      <c r="F8882" t="s">
        <v>9593</v>
      </c>
      <c r="G8882">
        <v>30</v>
      </c>
      <c r="H8882">
        <v>4509.57</v>
      </c>
      <c r="I8882">
        <v>150.32</v>
      </c>
      <c r="J8882">
        <v>96</v>
      </c>
      <c r="K8882">
        <v>11682.24</v>
      </c>
      <c r="L8882">
        <v>121.69</v>
      </c>
      <c r="M8882">
        <v>126</v>
      </c>
      <c r="N8882">
        <v>16191.81</v>
      </c>
      <c r="O8882">
        <v>128.51</v>
      </c>
    </row>
    <row r="8883" spans="1:15" x14ac:dyDescent="0.35">
      <c r="A8883" t="s">
        <v>9560</v>
      </c>
      <c r="B8883" t="s">
        <v>163</v>
      </c>
      <c r="C8883" t="s">
        <v>1477</v>
      </c>
      <c r="D8883" t="s">
        <v>339</v>
      </c>
      <c r="E8883" t="s">
        <v>298</v>
      </c>
      <c r="F8883" t="s">
        <v>9594</v>
      </c>
      <c r="G8883">
        <v>3</v>
      </c>
      <c r="H8883">
        <v>501.38</v>
      </c>
      <c r="I8883">
        <v>167.13</v>
      </c>
      <c r="J8883">
        <v>34</v>
      </c>
      <c r="K8883">
        <v>4507.38</v>
      </c>
      <c r="L8883">
        <v>132.57</v>
      </c>
      <c r="M8883">
        <v>37</v>
      </c>
      <c r="N8883">
        <v>5008.76</v>
      </c>
      <c r="O8883">
        <v>135.37</v>
      </c>
    </row>
    <row r="8884" spans="1:15" x14ac:dyDescent="0.35">
      <c r="A8884" t="s">
        <v>9560</v>
      </c>
      <c r="B8884" t="s">
        <v>163</v>
      </c>
      <c r="C8884" t="s">
        <v>1477</v>
      </c>
      <c r="D8884" t="s">
        <v>339</v>
      </c>
      <c r="E8884" t="s">
        <v>300</v>
      </c>
      <c r="F8884" t="s">
        <v>9595</v>
      </c>
      <c r="G8884">
        <v>0</v>
      </c>
      <c r="H8884">
        <v>0</v>
      </c>
      <c r="I8884">
        <v>0</v>
      </c>
      <c r="J8884">
        <v>2</v>
      </c>
      <c r="K8884">
        <v>296</v>
      </c>
      <c r="L8884">
        <v>148</v>
      </c>
      <c r="M8884">
        <v>2</v>
      </c>
      <c r="N8884">
        <v>296</v>
      </c>
      <c r="O8884">
        <v>148</v>
      </c>
    </row>
    <row r="8885" spans="1:15" x14ac:dyDescent="0.35">
      <c r="A8885" t="s">
        <v>9560</v>
      </c>
      <c r="B8885" t="s">
        <v>163</v>
      </c>
      <c r="C8885" t="s">
        <v>1477</v>
      </c>
      <c r="D8885" t="s">
        <v>339</v>
      </c>
      <c r="E8885" t="s">
        <v>306</v>
      </c>
      <c r="F8885" t="s">
        <v>9596</v>
      </c>
      <c r="G8885">
        <v>64</v>
      </c>
      <c r="H8885">
        <v>6341.2800000000007</v>
      </c>
      <c r="I8885">
        <v>99.08</v>
      </c>
      <c r="J8885">
        <v>96</v>
      </c>
      <c r="K8885">
        <v>8489.2800000000007</v>
      </c>
      <c r="L8885">
        <v>88.43</v>
      </c>
      <c r="M8885">
        <v>160</v>
      </c>
      <c r="N8885">
        <v>14830.560000000001</v>
      </c>
      <c r="O8885">
        <v>92.69</v>
      </c>
    </row>
    <row r="8886" spans="1:15" x14ac:dyDescent="0.35">
      <c r="A8886" t="s">
        <v>9560</v>
      </c>
      <c r="B8886" t="s">
        <v>163</v>
      </c>
      <c r="C8886" t="s">
        <v>1477</v>
      </c>
      <c r="D8886" t="s">
        <v>339</v>
      </c>
      <c r="E8886" t="s">
        <v>308</v>
      </c>
      <c r="F8886" t="s">
        <v>9597</v>
      </c>
      <c r="G8886">
        <v>58</v>
      </c>
      <c r="H8886">
        <v>10681.67</v>
      </c>
      <c r="I8886">
        <v>184.17</v>
      </c>
      <c r="J8886">
        <v>67</v>
      </c>
      <c r="K8886">
        <v>5443.08</v>
      </c>
      <c r="L8886">
        <v>81.239999999999995</v>
      </c>
      <c r="M8886">
        <v>125</v>
      </c>
      <c r="N8886">
        <v>16124.75</v>
      </c>
      <c r="O8886">
        <v>129</v>
      </c>
    </row>
    <row r="8887" spans="1:15" x14ac:dyDescent="0.35">
      <c r="A8887" t="s">
        <v>9560</v>
      </c>
      <c r="B8887" t="s">
        <v>163</v>
      </c>
      <c r="C8887" t="s">
        <v>1477</v>
      </c>
      <c r="D8887" t="s">
        <v>339</v>
      </c>
      <c r="E8887" t="s">
        <v>310</v>
      </c>
      <c r="F8887" t="s">
        <v>9598</v>
      </c>
      <c r="G8887">
        <v>436</v>
      </c>
      <c r="H8887">
        <v>59092.509999999995</v>
      </c>
      <c r="I8887">
        <v>135.53</v>
      </c>
      <c r="J8887">
        <v>1060</v>
      </c>
      <c r="K8887">
        <v>111829.28000000001</v>
      </c>
      <c r="L8887">
        <v>105.5</v>
      </c>
      <c r="M8887">
        <v>1496</v>
      </c>
      <c r="N8887">
        <v>170921.79</v>
      </c>
      <c r="O8887">
        <v>114.25</v>
      </c>
    </row>
    <row r="8888" spans="1:15" x14ac:dyDescent="0.35">
      <c r="A8888" t="s">
        <v>9560</v>
      </c>
      <c r="B8888" t="s">
        <v>163</v>
      </c>
      <c r="C8888" t="s">
        <v>1477</v>
      </c>
      <c r="D8888" t="s">
        <v>339</v>
      </c>
      <c r="E8888" t="s">
        <v>312</v>
      </c>
      <c r="F8888" t="s">
        <v>9599</v>
      </c>
      <c r="G8888">
        <v>378</v>
      </c>
      <c r="H8888">
        <v>48410.84</v>
      </c>
      <c r="I8888">
        <v>128.07</v>
      </c>
      <c r="J8888">
        <v>993</v>
      </c>
      <c r="K8888">
        <v>106386.20000000001</v>
      </c>
      <c r="L8888">
        <v>107.14</v>
      </c>
      <c r="M8888">
        <v>1371</v>
      </c>
      <c r="N8888">
        <v>154797.04</v>
      </c>
      <c r="O8888">
        <v>112.91</v>
      </c>
    </row>
    <row r="8889" spans="1:15" x14ac:dyDescent="0.35">
      <c r="A8889" t="s">
        <v>9560</v>
      </c>
      <c r="B8889" t="s">
        <v>163</v>
      </c>
      <c r="C8889" t="s">
        <v>1477</v>
      </c>
      <c r="D8889" t="s">
        <v>348</v>
      </c>
      <c r="E8889" t="s">
        <v>349</v>
      </c>
      <c r="F8889" t="s">
        <v>9600</v>
      </c>
      <c r="G8889">
        <v>524</v>
      </c>
      <c r="H8889">
        <v>59092.509999999995</v>
      </c>
      <c r="I8889">
        <v>135.53</v>
      </c>
      <c r="J8889">
        <v>1093</v>
      </c>
      <c r="K8889">
        <v>117403.31000000001</v>
      </c>
      <c r="L8889">
        <v>107.41</v>
      </c>
      <c r="M8889">
        <v>1617</v>
      </c>
      <c r="N8889">
        <v>176495.82</v>
      </c>
      <c r="O8889">
        <v>115.43</v>
      </c>
    </row>
    <row r="8890" spans="1:15" x14ac:dyDescent="0.35">
      <c r="A8890" t="s">
        <v>9601</v>
      </c>
      <c r="B8890" t="s">
        <v>9602</v>
      </c>
      <c r="C8890" t="s">
        <v>1477</v>
      </c>
      <c r="D8890" t="s">
        <v>293</v>
      </c>
      <c r="E8890" t="s">
        <v>294</v>
      </c>
      <c r="F8890" t="s">
        <v>9603</v>
      </c>
      <c r="G8890">
        <v>609</v>
      </c>
      <c r="H8890">
        <v>68279.890000000014</v>
      </c>
      <c r="I8890">
        <v>112.12</v>
      </c>
      <c r="J8890">
        <v>55</v>
      </c>
      <c r="K8890">
        <v>5550.6</v>
      </c>
      <c r="L8890">
        <v>100.92</v>
      </c>
      <c r="M8890">
        <v>664</v>
      </c>
      <c r="N8890">
        <v>73830.49000000002</v>
      </c>
      <c r="O8890">
        <v>111.19</v>
      </c>
    </row>
    <row r="8891" spans="1:15" x14ac:dyDescent="0.35">
      <c r="A8891" t="s">
        <v>9601</v>
      </c>
      <c r="B8891" t="s">
        <v>9602</v>
      </c>
      <c r="C8891" t="s">
        <v>1477</v>
      </c>
      <c r="D8891" t="s">
        <v>293</v>
      </c>
      <c r="E8891" t="s">
        <v>296</v>
      </c>
      <c r="F8891" t="s">
        <v>9604</v>
      </c>
      <c r="G8891">
        <v>701</v>
      </c>
      <c r="H8891">
        <v>97446.000000000015</v>
      </c>
      <c r="I8891">
        <v>139.01</v>
      </c>
      <c r="J8891">
        <v>57</v>
      </c>
      <c r="K8891">
        <v>7258.95</v>
      </c>
      <c r="L8891">
        <v>127.35</v>
      </c>
      <c r="M8891">
        <v>758</v>
      </c>
      <c r="N8891">
        <v>104704.95000000001</v>
      </c>
      <c r="O8891">
        <v>138.13</v>
      </c>
    </row>
    <row r="8892" spans="1:15" x14ac:dyDescent="0.35">
      <c r="A8892" t="s">
        <v>9601</v>
      </c>
      <c r="B8892" t="s">
        <v>9602</v>
      </c>
      <c r="C8892" t="s">
        <v>1477</v>
      </c>
      <c r="D8892" t="s">
        <v>293</v>
      </c>
      <c r="E8892" t="s">
        <v>298</v>
      </c>
      <c r="F8892" t="s">
        <v>9605</v>
      </c>
      <c r="G8892">
        <v>294</v>
      </c>
      <c r="H8892">
        <v>45976.71</v>
      </c>
      <c r="I8892">
        <v>156.38</v>
      </c>
      <c r="J8892">
        <v>18</v>
      </c>
      <c r="K8892">
        <v>2407.14</v>
      </c>
      <c r="L8892">
        <v>133.72999999999999</v>
      </c>
      <c r="M8892">
        <v>312</v>
      </c>
      <c r="N8892">
        <v>48383.85</v>
      </c>
      <c r="O8892">
        <v>155.08000000000001</v>
      </c>
    </row>
    <row r="8893" spans="1:15" x14ac:dyDescent="0.35">
      <c r="A8893" t="s">
        <v>9601</v>
      </c>
      <c r="B8893" t="s">
        <v>9602</v>
      </c>
      <c r="C8893" t="s">
        <v>1477</v>
      </c>
      <c r="D8893" t="s">
        <v>293</v>
      </c>
      <c r="E8893" t="s">
        <v>300</v>
      </c>
      <c r="F8893" t="s">
        <v>9606</v>
      </c>
      <c r="G8893">
        <v>39</v>
      </c>
      <c r="H8893">
        <v>7699.17</v>
      </c>
      <c r="I8893">
        <v>197.41</v>
      </c>
      <c r="J8893">
        <v>6</v>
      </c>
      <c r="K8893">
        <v>930.72</v>
      </c>
      <c r="L8893">
        <v>155.12</v>
      </c>
      <c r="M8893">
        <v>45</v>
      </c>
      <c r="N8893">
        <v>8629.89</v>
      </c>
      <c r="O8893">
        <v>191.78</v>
      </c>
    </row>
    <row r="8894" spans="1:15" x14ac:dyDescent="0.35">
      <c r="A8894" t="s">
        <v>9601</v>
      </c>
      <c r="B8894" t="s">
        <v>9602</v>
      </c>
      <c r="C8894" t="s">
        <v>1477</v>
      </c>
      <c r="D8894" t="s">
        <v>293</v>
      </c>
      <c r="E8894" t="s">
        <v>302</v>
      </c>
      <c r="F8894" t="s">
        <v>9607</v>
      </c>
      <c r="G8894">
        <v>0</v>
      </c>
      <c r="H8894">
        <v>0</v>
      </c>
      <c r="I8894">
        <v>0</v>
      </c>
      <c r="J8894">
        <v>0</v>
      </c>
      <c r="K8894">
        <v>0</v>
      </c>
      <c r="L8894">
        <v>0</v>
      </c>
      <c r="M8894">
        <v>0</v>
      </c>
      <c r="N8894">
        <v>0</v>
      </c>
      <c r="O8894">
        <v>0</v>
      </c>
    </row>
    <row r="8895" spans="1:15" x14ac:dyDescent="0.35">
      <c r="A8895" t="s">
        <v>9601</v>
      </c>
      <c r="B8895" t="s">
        <v>9602</v>
      </c>
      <c r="C8895" t="s">
        <v>1477</v>
      </c>
      <c r="D8895" t="s">
        <v>293</v>
      </c>
      <c r="E8895" t="s">
        <v>304</v>
      </c>
      <c r="F8895" t="s">
        <v>9608</v>
      </c>
      <c r="G8895">
        <v>0</v>
      </c>
      <c r="H8895">
        <v>0</v>
      </c>
      <c r="I8895">
        <v>0</v>
      </c>
      <c r="J8895">
        <v>1</v>
      </c>
      <c r="K8895">
        <v>189.86</v>
      </c>
      <c r="L8895">
        <v>189.86</v>
      </c>
      <c r="M8895">
        <v>1</v>
      </c>
      <c r="N8895">
        <v>189.86</v>
      </c>
      <c r="O8895">
        <v>189.86</v>
      </c>
    </row>
    <row r="8896" spans="1:15" x14ac:dyDescent="0.35">
      <c r="A8896" t="s">
        <v>9601</v>
      </c>
      <c r="B8896" t="s">
        <v>9602</v>
      </c>
      <c r="C8896" t="s">
        <v>1477</v>
      </c>
      <c r="D8896" t="s">
        <v>293</v>
      </c>
      <c r="E8896" t="s">
        <v>306</v>
      </c>
      <c r="F8896" t="s">
        <v>9609</v>
      </c>
      <c r="G8896">
        <v>0</v>
      </c>
      <c r="H8896">
        <v>0</v>
      </c>
      <c r="I8896">
        <v>0</v>
      </c>
      <c r="J8896">
        <v>0</v>
      </c>
      <c r="K8896">
        <v>0</v>
      </c>
      <c r="L8896">
        <v>0</v>
      </c>
      <c r="M8896">
        <v>0</v>
      </c>
      <c r="N8896">
        <v>0</v>
      </c>
      <c r="O8896">
        <v>0</v>
      </c>
    </row>
    <row r="8897" spans="1:15" x14ac:dyDescent="0.35">
      <c r="A8897" t="s">
        <v>9601</v>
      </c>
      <c r="B8897" t="s">
        <v>9602</v>
      </c>
      <c r="C8897" t="s">
        <v>1477</v>
      </c>
      <c r="D8897" t="s">
        <v>293</v>
      </c>
      <c r="E8897" t="s">
        <v>308</v>
      </c>
      <c r="F8897" t="s">
        <v>9610</v>
      </c>
      <c r="G8897">
        <v>0</v>
      </c>
      <c r="H8897">
        <v>0</v>
      </c>
      <c r="I8897">
        <v>0</v>
      </c>
      <c r="J8897">
        <v>7</v>
      </c>
      <c r="K8897">
        <v>606.27</v>
      </c>
      <c r="L8897">
        <v>86.61</v>
      </c>
      <c r="M8897">
        <v>7</v>
      </c>
      <c r="N8897">
        <v>606.27</v>
      </c>
      <c r="O8897">
        <v>86.61</v>
      </c>
    </row>
    <row r="8898" spans="1:15" x14ac:dyDescent="0.35">
      <c r="A8898" t="s">
        <v>9601</v>
      </c>
      <c r="B8898" t="s">
        <v>9602</v>
      </c>
      <c r="C8898" t="s">
        <v>1477</v>
      </c>
      <c r="D8898" t="s">
        <v>293</v>
      </c>
      <c r="E8898" t="s">
        <v>310</v>
      </c>
      <c r="F8898" t="s">
        <v>9611</v>
      </c>
      <c r="G8898">
        <v>1643</v>
      </c>
      <c r="H8898">
        <v>219401.77000000002</v>
      </c>
      <c r="I8898">
        <v>133.54</v>
      </c>
      <c r="J8898">
        <v>144</v>
      </c>
      <c r="K8898">
        <v>16943.539999999997</v>
      </c>
      <c r="L8898">
        <v>117.66</v>
      </c>
      <c r="M8898">
        <v>1787</v>
      </c>
      <c r="N8898">
        <v>236345.31000000003</v>
      </c>
      <c r="O8898">
        <v>132.26</v>
      </c>
    </row>
    <row r="8899" spans="1:15" x14ac:dyDescent="0.35">
      <c r="A8899" t="s">
        <v>9601</v>
      </c>
      <c r="B8899" t="s">
        <v>9602</v>
      </c>
      <c r="C8899" t="s">
        <v>1477</v>
      </c>
      <c r="D8899" t="s">
        <v>293</v>
      </c>
      <c r="E8899" t="s">
        <v>312</v>
      </c>
      <c r="F8899" t="s">
        <v>9612</v>
      </c>
      <c r="G8899">
        <v>1643</v>
      </c>
      <c r="H8899">
        <v>219401.77000000002</v>
      </c>
      <c r="I8899">
        <v>133.54</v>
      </c>
      <c r="J8899">
        <v>137</v>
      </c>
      <c r="K8899">
        <v>16337.269999999999</v>
      </c>
      <c r="L8899">
        <v>119.25</v>
      </c>
      <c r="M8899">
        <v>1780</v>
      </c>
      <c r="N8899">
        <v>235739.04</v>
      </c>
      <c r="O8899">
        <v>132.44</v>
      </c>
    </row>
    <row r="8900" spans="1:15" x14ac:dyDescent="0.35">
      <c r="A8900" t="s">
        <v>9601</v>
      </c>
      <c r="B8900" t="s">
        <v>9602</v>
      </c>
      <c r="C8900" t="s">
        <v>1477</v>
      </c>
      <c r="D8900" t="s">
        <v>314</v>
      </c>
      <c r="E8900" t="s">
        <v>294</v>
      </c>
      <c r="F8900" t="s">
        <v>9613</v>
      </c>
      <c r="G8900">
        <v>16</v>
      </c>
      <c r="H8900">
        <v>2335.6799999999998</v>
      </c>
      <c r="I8900">
        <v>145.97999999999999</v>
      </c>
      <c r="J8900">
        <v>0</v>
      </c>
      <c r="K8900">
        <v>0</v>
      </c>
      <c r="L8900">
        <v>0</v>
      </c>
      <c r="M8900">
        <v>16</v>
      </c>
      <c r="N8900">
        <v>2335.6799999999998</v>
      </c>
      <c r="O8900">
        <v>145.97999999999999</v>
      </c>
    </row>
    <row r="8901" spans="1:15" x14ac:dyDescent="0.35">
      <c r="A8901" t="s">
        <v>9601</v>
      </c>
      <c r="B8901" t="s">
        <v>9602</v>
      </c>
      <c r="C8901" t="s">
        <v>1477</v>
      </c>
      <c r="D8901" t="s">
        <v>314</v>
      </c>
      <c r="E8901" t="s">
        <v>296</v>
      </c>
      <c r="F8901" t="s">
        <v>9614</v>
      </c>
      <c r="G8901">
        <v>1</v>
      </c>
      <c r="H8901">
        <v>163.58000000000001</v>
      </c>
      <c r="I8901">
        <v>163.58000000000001</v>
      </c>
      <c r="J8901">
        <v>0</v>
      </c>
      <c r="K8901">
        <v>0</v>
      </c>
      <c r="L8901">
        <v>0</v>
      </c>
      <c r="M8901">
        <v>1</v>
      </c>
      <c r="N8901">
        <v>163.58000000000001</v>
      </c>
      <c r="O8901">
        <v>163.58000000000001</v>
      </c>
    </row>
    <row r="8902" spans="1:15" x14ac:dyDescent="0.35">
      <c r="A8902" t="s">
        <v>9601</v>
      </c>
      <c r="B8902" t="s">
        <v>9602</v>
      </c>
      <c r="C8902" t="s">
        <v>1477</v>
      </c>
      <c r="D8902" t="s">
        <v>314</v>
      </c>
      <c r="E8902" t="s">
        <v>298</v>
      </c>
      <c r="F8902" t="s">
        <v>9615</v>
      </c>
      <c r="G8902">
        <v>0</v>
      </c>
      <c r="H8902">
        <v>0</v>
      </c>
      <c r="I8902">
        <v>0</v>
      </c>
      <c r="J8902">
        <v>0</v>
      </c>
      <c r="K8902">
        <v>0</v>
      </c>
      <c r="L8902">
        <v>0</v>
      </c>
      <c r="M8902">
        <v>0</v>
      </c>
      <c r="N8902">
        <v>0</v>
      </c>
      <c r="O8902">
        <v>0</v>
      </c>
    </row>
    <row r="8903" spans="1:15" x14ac:dyDescent="0.35">
      <c r="A8903" t="s">
        <v>9601</v>
      </c>
      <c r="B8903" t="s">
        <v>9602</v>
      </c>
      <c r="C8903" t="s">
        <v>1477</v>
      </c>
      <c r="D8903" t="s">
        <v>314</v>
      </c>
      <c r="E8903" t="s">
        <v>300</v>
      </c>
      <c r="F8903" t="s">
        <v>9616</v>
      </c>
      <c r="G8903">
        <v>0</v>
      </c>
      <c r="H8903">
        <v>0</v>
      </c>
      <c r="I8903">
        <v>0</v>
      </c>
      <c r="J8903">
        <v>0</v>
      </c>
      <c r="K8903">
        <v>0</v>
      </c>
      <c r="L8903">
        <v>0</v>
      </c>
      <c r="M8903">
        <v>0</v>
      </c>
      <c r="N8903">
        <v>0</v>
      </c>
      <c r="O8903">
        <v>0</v>
      </c>
    </row>
    <row r="8904" spans="1:15" x14ac:dyDescent="0.35">
      <c r="A8904" t="s">
        <v>9601</v>
      </c>
      <c r="B8904" t="s">
        <v>9602</v>
      </c>
      <c r="C8904" t="s">
        <v>1477</v>
      </c>
      <c r="D8904" t="s">
        <v>314</v>
      </c>
      <c r="E8904" t="s">
        <v>306</v>
      </c>
      <c r="F8904" t="s">
        <v>9617</v>
      </c>
      <c r="G8904">
        <v>0</v>
      </c>
      <c r="H8904">
        <v>0</v>
      </c>
      <c r="I8904">
        <v>0</v>
      </c>
      <c r="J8904">
        <v>0</v>
      </c>
      <c r="K8904">
        <v>0</v>
      </c>
      <c r="L8904">
        <v>0</v>
      </c>
      <c r="M8904">
        <v>0</v>
      </c>
      <c r="N8904">
        <v>0</v>
      </c>
      <c r="O8904">
        <v>0</v>
      </c>
    </row>
    <row r="8905" spans="1:15" x14ac:dyDescent="0.35">
      <c r="A8905" t="s">
        <v>9601</v>
      </c>
      <c r="B8905" t="s">
        <v>9602</v>
      </c>
      <c r="C8905" t="s">
        <v>1477</v>
      </c>
      <c r="D8905" t="s">
        <v>314</v>
      </c>
      <c r="E8905" t="s">
        <v>308</v>
      </c>
      <c r="F8905" t="s">
        <v>9618</v>
      </c>
      <c r="G8905">
        <v>0</v>
      </c>
      <c r="H8905">
        <v>0</v>
      </c>
      <c r="I8905">
        <v>0</v>
      </c>
      <c r="J8905">
        <v>0</v>
      </c>
      <c r="K8905">
        <v>0</v>
      </c>
      <c r="L8905">
        <v>0</v>
      </c>
      <c r="M8905">
        <v>0</v>
      </c>
      <c r="N8905">
        <v>0</v>
      </c>
      <c r="O8905">
        <v>0</v>
      </c>
    </row>
    <row r="8906" spans="1:15" x14ac:dyDescent="0.35">
      <c r="A8906" t="s">
        <v>9601</v>
      </c>
      <c r="B8906" t="s">
        <v>9602</v>
      </c>
      <c r="C8906" t="s">
        <v>1477</v>
      </c>
      <c r="D8906" t="s">
        <v>314</v>
      </c>
      <c r="E8906" t="s">
        <v>312</v>
      </c>
      <c r="F8906" t="s">
        <v>9619</v>
      </c>
      <c r="G8906">
        <v>17</v>
      </c>
      <c r="H8906">
        <v>2499.2599999999998</v>
      </c>
      <c r="I8906">
        <v>147.02000000000001</v>
      </c>
      <c r="J8906">
        <v>0</v>
      </c>
      <c r="K8906">
        <v>0</v>
      </c>
      <c r="L8906">
        <v>0</v>
      </c>
      <c r="M8906">
        <v>17</v>
      </c>
      <c r="N8906">
        <v>2499.2599999999998</v>
      </c>
      <c r="O8906">
        <v>147.02000000000001</v>
      </c>
    </row>
    <row r="8907" spans="1:15" x14ac:dyDescent="0.35">
      <c r="A8907" t="s">
        <v>9601</v>
      </c>
      <c r="B8907" t="s">
        <v>9602</v>
      </c>
      <c r="C8907" t="s">
        <v>1477</v>
      </c>
      <c r="D8907" t="s">
        <v>314</v>
      </c>
      <c r="E8907" t="s">
        <v>310</v>
      </c>
      <c r="F8907" t="s">
        <v>9620</v>
      </c>
      <c r="G8907">
        <v>17</v>
      </c>
      <c r="H8907">
        <v>2499.2599999999998</v>
      </c>
      <c r="I8907">
        <v>147.02000000000001</v>
      </c>
      <c r="J8907">
        <v>0</v>
      </c>
      <c r="K8907">
        <v>0</v>
      </c>
      <c r="L8907">
        <v>0</v>
      </c>
      <c r="M8907">
        <v>17</v>
      </c>
      <c r="N8907">
        <v>2499.2599999999998</v>
      </c>
      <c r="O8907">
        <v>147.02000000000001</v>
      </c>
    </row>
    <row r="8908" spans="1:15" x14ac:dyDescent="0.35">
      <c r="A8908" t="s">
        <v>9601</v>
      </c>
      <c r="B8908" t="s">
        <v>9602</v>
      </c>
      <c r="C8908" t="s">
        <v>1477</v>
      </c>
      <c r="D8908" t="s">
        <v>323</v>
      </c>
      <c r="E8908" t="s">
        <v>294</v>
      </c>
      <c r="F8908" t="s">
        <v>9621</v>
      </c>
      <c r="G8908">
        <v>1493</v>
      </c>
      <c r="H8908">
        <v>140771.16</v>
      </c>
      <c r="I8908">
        <v>94.29</v>
      </c>
      <c r="J8908">
        <v>1091</v>
      </c>
      <c r="K8908">
        <v>95200.66</v>
      </c>
      <c r="L8908">
        <v>87.26</v>
      </c>
      <c r="M8908">
        <v>2584</v>
      </c>
      <c r="N8908">
        <v>235971.82</v>
      </c>
      <c r="O8908">
        <v>91.32</v>
      </c>
    </row>
    <row r="8909" spans="1:15" x14ac:dyDescent="0.35">
      <c r="A8909" t="s">
        <v>9601</v>
      </c>
      <c r="B8909" t="s">
        <v>9602</v>
      </c>
      <c r="C8909" t="s">
        <v>1477</v>
      </c>
      <c r="D8909" t="s">
        <v>323</v>
      </c>
      <c r="E8909" t="s">
        <v>296</v>
      </c>
      <c r="F8909" t="s">
        <v>9622</v>
      </c>
      <c r="G8909">
        <v>2877</v>
      </c>
      <c r="H8909">
        <v>315443.83999999997</v>
      </c>
      <c r="I8909">
        <v>109.64</v>
      </c>
      <c r="J8909">
        <v>1093</v>
      </c>
      <c r="K8909">
        <v>108294.44</v>
      </c>
      <c r="L8909">
        <v>99.08</v>
      </c>
      <c r="M8909">
        <v>3970</v>
      </c>
      <c r="N8909">
        <v>423738.27999999997</v>
      </c>
      <c r="O8909">
        <v>106.74</v>
      </c>
    </row>
    <row r="8910" spans="1:15" x14ac:dyDescent="0.35">
      <c r="A8910" t="s">
        <v>9601</v>
      </c>
      <c r="B8910" t="s">
        <v>9602</v>
      </c>
      <c r="C8910" t="s">
        <v>1477</v>
      </c>
      <c r="D8910" t="s">
        <v>323</v>
      </c>
      <c r="E8910" t="s">
        <v>298</v>
      </c>
      <c r="F8910" t="s">
        <v>9623</v>
      </c>
      <c r="G8910">
        <v>2669</v>
      </c>
      <c r="H8910">
        <v>327301.79000000004</v>
      </c>
      <c r="I8910">
        <v>122.63</v>
      </c>
      <c r="J8910">
        <v>1479</v>
      </c>
      <c r="K8910">
        <v>155546.43</v>
      </c>
      <c r="L8910">
        <v>105.17</v>
      </c>
      <c r="M8910">
        <v>4148</v>
      </c>
      <c r="N8910">
        <v>482848.22000000003</v>
      </c>
      <c r="O8910">
        <v>116.41</v>
      </c>
    </row>
    <row r="8911" spans="1:15" x14ac:dyDescent="0.35">
      <c r="A8911" t="s">
        <v>9601</v>
      </c>
      <c r="B8911" t="s">
        <v>9602</v>
      </c>
      <c r="C8911" t="s">
        <v>1477</v>
      </c>
      <c r="D8911" t="s">
        <v>323</v>
      </c>
      <c r="E8911" t="s">
        <v>300</v>
      </c>
      <c r="F8911" t="s">
        <v>9624</v>
      </c>
      <c r="G8911">
        <v>146</v>
      </c>
      <c r="H8911">
        <v>19848.440000000002</v>
      </c>
      <c r="I8911">
        <v>135.94999999999999</v>
      </c>
      <c r="J8911">
        <v>116</v>
      </c>
      <c r="K8911">
        <v>13306.359999999999</v>
      </c>
      <c r="L8911">
        <v>114.71</v>
      </c>
      <c r="M8911">
        <v>262</v>
      </c>
      <c r="N8911">
        <v>33154.800000000003</v>
      </c>
      <c r="O8911">
        <v>126.55</v>
      </c>
    </row>
    <row r="8912" spans="1:15" x14ac:dyDescent="0.35">
      <c r="A8912" t="s">
        <v>9601</v>
      </c>
      <c r="B8912" t="s">
        <v>9602</v>
      </c>
      <c r="C8912" t="s">
        <v>1477</v>
      </c>
      <c r="D8912" t="s">
        <v>323</v>
      </c>
      <c r="E8912" t="s">
        <v>302</v>
      </c>
      <c r="F8912" t="s">
        <v>9625</v>
      </c>
      <c r="G8912">
        <v>4</v>
      </c>
      <c r="H8912">
        <v>556.28</v>
      </c>
      <c r="I8912">
        <v>139.07</v>
      </c>
      <c r="J8912">
        <v>0</v>
      </c>
      <c r="K8912">
        <v>0</v>
      </c>
      <c r="L8912">
        <v>0</v>
      </c>
      <c r="M8912">
        <v>4</v>
      </c>
      <c r="N8912">
        <v>556.28</v>
      </c>
      <c r="O8912">
        <v>139.07</v>
      </c>
    </row>
    <row r="8913" spans="1:15" x14ac:dyDescent="0.35">
      <c r="A8913" t="s">
        <v>9601</v>
      </c>
      <c r="B8913" t="s">
        <v>9602</v>
      </c>
      <c r="C8913" t="s">
        <v>1477</v>
      </c>
      <c r="D8913" t="s">
        <v>323</v>
      </c>
      <c r="E8913" t="s">
        <v>304</v>
      </c>
      <c r="F8913" t="s">
        <v>9626</v>
      </c>
      <c r="G8913">
        <v>4</v>
      </c>
      <c r="H8913">
        <v>597</v>
      </c>
      <c r="I8913">
        <v>149.25</v>
      </c>
      <c r="J8913">
        <v>5</v>
      </c>
      <c r="K8913">
        <v>652.15000000000009</v>
      </c>
      <c r="L8913">
        <v>130.43</v>
      </c>
      <c r="M8913">
        <v>9</v>
      </c>
      <c r="N8913">
        <v>1249.1500000000001</v>
      </c>
      <c r="O8913">
        <v>138.79</v>
      </c>
    </row>
    <row r="8914" spans="1:15" x14ac:dyDescent="0.35">
      <c r="A8914" t="s">
        <v>9601</v>
      </c>
      <c r="B8914" t="s">
        <v>9602</v>
      </c>
      <c r="C8914" t="s">
        <v>1477</v>
      </c>
      <c r="D8914" t="s">
        <v>323</v>
      </c>
      <c r="E8914" t="s">
        <v>306</v>
      </c>
      <c r="F8914" t="s">
        <v>9627</v>
      </c>
      <c r="G8914">
        <v>57</v>
      </c>
      <c r="H8914">
        <v>4340.5</v>
      </c>
      <c r="I8914">
        <v>76.150000000000006</v>
      </c>
      <c r="J8914">
        <v>22</v>
      </c>
      <c r="K8914">
        <v>1745.92</v>
      </c>
      <c r="L8914">
        <v>79.36</v>
      </c>
      <c r="M8914">
        <v>79</v>
      </c>
      <c r="N8914">
        <v>6086.42</v>
      </c>
      <c r="O8914">
        <v>77.040000000000006</v>
      </c>
    </row>
    <row r="8915" spans="1:15" x14ac:dyDescent="0.35">
      <c r="A8915" t="s">
        <v>9601</v>
      </c>
      <c r="B8915" t="s">
        <v>9602</v>
      </c>
      <c r="C8915" t="s">
        <v>1477</v>
      </c>
      <c r="D8915" t="s">
        <v>323</v>
      </c>
      <c r="E8915" t="s">
        <v>308</v>
      </c>
      <c r="F8915" t="s">
        <v>9628</v>
      </c>
      <c r="G8915">
        <v>0</v>
      </c>
      <c r="H8915">
        <v>0</v>
      </c>
      <c r="I8915">
        <v>0</v>
      </c>
      <c r="J8915">
        <v>6</v>
      </c>
      <c r="K8915">
        <v>479.09999999999997</v>
      </c>
      <c r="L8915">
        <v>79.849999999999994</v>
      </c>
      <c r="M8915">
        <v>6</v>
      </c>
      <c r="N8915">
        <v>479.09999999999997</v>
      </c>
      <c r="O8915">
        <v>79.849999999999994</v>
      </c>
    </row>
    <row r="8916" spans="1:15" x14ac:dyDescent="0.35">
      <c r="A8916" t="s">
        <v>9601</v>
      </c>
      <c r="B8916" t="s">
        <v>9602</v>
      </c>
      <c r="C8916" t="s">
        <v>1477</v>
      </c>
      <c r="D8916" t="s">
        <v>323</v>
      </c>
      <c r="E8916" t="s">
        <v>310</v>
      </c>
      <c r="F8916" t="s">
        <v>9629</v>
      </c>
      <c r="G8916">
        <v>7250</v>
      </c>
      <c r="H8916">
        <v>808859.01</v>
      </c>
      <c r="I8916">
        <v>111.57</v>
      </c>
      <c r="J8916">
        <v>3812</v>
      </c>
      <c r="K8916">
        <v>375225.06</v>
      </c>
      <c r="L8916">
        <v>98.43</v>
      </c>
      <c r="M8916">
        <v>11062</v>
      </c>
      <c r="N8916">
        <v>1184084.07</v>
      </c>
      <c r="O8916">
        <v>107.04</v>
      </c>
    </row>
    <row r="8917" spans="1:15" x14ac:dyDescent="0.35">
      <c r="A8917" t="s">
        <v>9601</v>
      </c>
      <c r="B8917" t="s">
        <v>9602</v>
      </c>
      <c r="C8917" t="s">
        <v>1477</v>
      </c>
      <c r="D8917" t="s">
        <v>323</v>
      </c>
      <c r="E8917" t="s">
        <v>312</v>
      </c>
      <c r="F8917" t="s">
        <v>9630</v>
      </c>
      <c r="G8917">
        <v>7250</v>
      </c>
      <c r="H8917">
        <v>808859.01</v>
      </c>
      <c r="I8917">
        <v>111.57</v>
      </c>
      <c r="J8917">
        <v>3806</v>
      </c>
      <c r="K8917">
        <v>374745.96</v>
      </c>
      <c r="L8917">
        <v>98.46</v>
      </c>
      <c r="M8917">
        <v>11056</v>
      </c>
      <c r="N8917">
        <v>1183604.97</v>
      </c>
      <c r="O8917">
        <v>107.06</v>
      </c>
    </row>
    <row r="8918" spans="1:15" x14ac:dyDescent="0.35">
      <c r="A8918" t="s">
        <v>9601</v>
      </c>
      <c r="B8918" t="s">
        <v>9602</v>
      </c>
      <c r="C8918" t="s">
        <v>1477</v>
      </c>
      <c r="D8918" t="s">
        <v>334</v>
      </c>
      <c r="E8918" t="s">
        <v>312</v>
      </c>
      <c r="F8918" t="s">
        <v>9631</v>
      </c>
      <c r="G8918">
        <v>9201</v>
      </c>
      <c r="H8918">
        <v>1028260.78</v>
      </c>
      <c r="I8918">
        <v>115.63</v>
      </c>
      <c r="J8918">
        <v>3943</v>
      </c>
      <c r="K8918">
        <v>391083.23</v>
      </c>
      <c r="L8918">
        <v>99.18</v>
      </c>
      <c r="M8918">
        <v>13144</v>
      </c>
      <c r="N8918">
        <v>1419344.01</v>
      </c>
      <c r="O8918">
        <v>110.58</v>
      </c>
    </row>
    <row r="8919" spans="1:15" x14ac:dyDescent="0.35">
      <c r="A8919" t="s">
        <v>9601</v>
      </c>
      <c r="B8919" t="s">
        <v>9602</v>
      </c>
      <c r="C8919" t="s">
        <v>1477</v>
      </c>
      <c r="D8919" t="s">
        <v>334</v>
      </c>
      <c r="E8919" t="s">
        <v>308</v>
      </c>
      <c r="F8919" t="s">
        <v>9632</v>
      </c>
      <c r="G8919">
        <v>0</v>
      </c>
      <c r="H8919">
        <v>0</v>
      </c>
      <c r="I8919">
        <v>0</v>
      </c>
      <c r="J8919">
        <v>13</v>
      </c>
      <c r="K8919">
        <v>1085.3699999999999</v>
      </c>
      <c r="L8919">
        <v>83.49</v>
      </c>
      <c r="M8919">
        <v>13</v>
      </c>
      <c r="N8919">
        <v>1085.3699999999999</v>
      </c>
      <c r="O8919">
        <v>83.49</v>
      </c>
    </row>
    <row r="8920" spans="1:15" x14ac:dyDescent="0.35">
      <c r="A8920" t="s">
        <v>9601</v>
      </c>
      <c r="B8920" t="s">
        <v>9602</v>
      </c>
      <c r="C8920" t="s">
        <v>1477</v>
      </c>
      <c r="D8920" t="s">
        <v>337</v>
      </c>
      <c r="E8920" t="s">
        <v>337</v>
      </c>
      <c r="F8920" t="s">
        <v>9633</v>
      </c>
      <c r="G8920">
        <v>477</v>
      </c>
      <c r="J8920">
        <v>21</v>
      </c>
      <c r="M8920">
        <v>498</v>
      </c>
    </row>
    <row r="8921" spans="1:15" x14ac:dyDescent="0.35">
      <c r="A8921" t="s">
        <v>9601</v>
      </c>
      <c r="B8921" t="s">
        <v>9602</v>
      </c>
      <c r="C8921" t="s">
        <v>1477</v>
      </c>
      <c r="D8921" t="s">
        <v>339</v>
      </c>
      <c r="E8921" t="s">
        <v>294</v>
      </c>
      <c r="F8921" t="s">
        <v>9634</v>
      </c>
      <c r="G8921">
        <v>841</v>
      </c>
      <c r="H8921">
        <v>86328.349999999991</v>
      </c>
      <c r="I8921">
        <v>102.65</v>
      </c>
      <c r="J8921">
        <v>312</v>
      </c>
      <c r="K8921">
        <v>27300</v>
      </c>
      <c r="L8921">
        <v>87.5</v>
      </c>
      <c r="M8921">
        <v>1153</v>
      </c>
      <c r="N8921">
        <v>113628.34999999999</v>
      </c>
      <c r="O8921">
        <v>98.55</v>
      </c>
    </row>
    <row r="8922" spans="1:15" x14ac:dyDescent="0.35">
      <c r="A8922" t="s">
        <v>9601</v>
      </c>
      <c r="B8922" t="s">
        <v>9602</v>
      </c>
      <c r="C8922" t="s">
        <v>1477</v>
      </c>
      <c r="D8922" t="s">
        <v>339</v>
      </c>
      <c r="E8922" t="s">
        <v>296</v>
      </c>
      <c r="F8922" t="s">
        <v>9635</v>
      </c>
      <c r="G8922">
        <v>128</v>
      </c>
      <c r="H8922">
        <v>15307.869999999999</v>
      </c>
      <c r="I8922">
        <v>119.59</v>
      </c>
      <c r="J8922">
        <v>30</v>
      </c>
      <c r="K8922">
        <v>3105</v>
      </c>
      <c r="L8922">
        <v>103.5</v>
      </c>
      <c r="M8922">
        <v>158</v>
      </c>
      <c r="N8922">
        <v>18412.87</v>
      </c>
      <c r="O8922">
        <v>116.54</v>
      </c>
    </row>
    <row r="8923" spans="1:15" x14ac:dyDescent="0.35">
      <c r="A8923" t="s">
        <v>9601</v>
      </c>
      <c r="B8923" t="s">
        <v>9602</v>
      </c>
      <c r="C8923" t="s">
        <v>1477</v>
      </c>
      <c r="D8923" t="s">
        <v>339</v>
      </c>
      <c r="E8923" t="s">
        <v>298</v>
      </c>
      <c r="F8923" t="s">
        <v>9636</v>
      </c>
      <c r="G8923">
        <v>9</v>
      </c>
      <c r="H8923">
        <v>1197.3599999999999</v>
      </c>
      <c r="I8923">
        <v>133.04</v>
      </c>
      <c r="J8923">
        <v>9</v>
      </c>
      <c r="K8923">
        <v>955.43999999999994</v>
      </c>
      <c r="L8923">
        <v>106.16</v>
      </c>
      <c r="M8923">
        <v>18</v>
      </c>
      <c r="N8923">
        <v>2152.7999999999997</v>
      </c>
      <c r="O8923">
        <v>119.6</v>
      </c>
    </row>
    <row r="8924" spans="1:15" x14ac:dyDescent="0.35">
      <c r="A8924" t="s">
        <v>9601</v>
      </c>
      <c r="B8924" t="s">
        <v>9602</v>
      </c>
      <c r="C8924" t="s">
        <v>1477</v>
      </c>
      <c r="D8924" t="s">
        <v>339</v>
      </c>
      <c r="E8924" t="s">
        <v>300</v>
      </c>
      <c r="F8924" t="s">
        <v>9637</v>
      </c>
      <c r="G8924">
        <v>0</v>
      </c>
      <c r="H8924">
        <v>0</v>
      </c>
      <c r="I8924">
        <v>0</v>
      </c>
      <c r="J8924">
        <v>1</v>
      </c>
      <c r="K8924">
        <v>115.72</v>
      </c>
      <c r="L8924">
        <v>115.72</v>
      </c>
      <c r="M8924">
        <v>1</v>
      </c>
      <c r="N8924">
        <v>115.72</v>
      </c>
      <c r="O8924">
        <v>115.72</v>
      </c>
    </row>
    <row r="8925" spans="1:15" x14ac:dyDescent="0.35">
      <c r="A8925" t="s">
        <v>9601</v>
      </c>
      <c r="B8925" t="s">
        <v>9602</v>
      </c>
      <c r="C8925" t="s">
        <v>1477</v>
      </c>
      <c r="D8925" t="s">
        <v>339</v>
      </c>
      <c r="E8925" t="s">
        <v>306</v>
      </c>
      <c r="F8925" t="s">
        <v>9638</v>
      </c>
      <c r="G8925">
        <v>55</v>
      </c>
      <c r="H8925">
        <v>5458.7999999999993</v>
      </c>
      <c r="I8925">
        <v>99.25</v>
      </c>
      <c r="J8925">
        <v>5</v>
      </c>
      <c r="K8925">
        <v>362.84999999999997</v>
      </c>
      <c r="L8925">
        <v>72.569999999999993</v>
      </c>
      <c r="M8925">
        <v>60</v>
      </c>
      <c r="N8925">
        <v>5821.65</v>
      </c>
      <c r="O8925">
        <v>97.03</v>
      </c>
    </row>
    <row r="8926" spans="1:15" x14ac:dyDescent="0.35">
      <c r="A8926" t="s">
        <v>9601</v>
      </c>
      <c r="B8926" t="s">
        <v>9602</v>
      </c>
      <c r="C8926" t="s">
        <v>1477</v>
      </c>
      <c r="D8926" t="s">
        <v>339</v>
      </c>
      <c r="E8926" t="s">
        <v>308</v>
      </c>
      <c r="F8926" t="s">
        <v>9639</v>
      </c>
      <c r="G8926">
        <v>213</v>
      </c>
      <c r="H8926">
        <v>19569.430000000004</v>
      </c>
      <c r="I8926">
        <v>91.88</v>
      </c>
      <c r="J8926">
        <v>0</v>
      </c>
      <c r="K8926">
        <v>0</v>
      </c>
      <c r="L8926">
        <v>0</v>
      </c>
      <c r="M8926">
        <v>213</v>
      </c>
      <c r="N8926">
        <v>19569.430000000004</v>
      </c>
      <c r="O8926">
        <v>91.88</v>
      </c>
    </row>
    <row r="8927" spans="1:15" x14ac:dyDescent="0.35">
      <c r="A8927" t="s">
        <v>9601</v>
      </c>
      <c r="B8927" t="s">
        <v>9602</v>
      </c>
      <c r="C8927" t="s">
        <v>1477</v>
      </c>
      <c r="D8927" t="s">
        <v>339</v>
      </c>
      <c r="E8927" t="s">
        <v>310</v>
      </c>
      <c r="F8927" t="s">
        <v>9640</v>
      </c>
      <c r="G8927">
        <v>1246</v>
      </c>
      <c r="H8927">
        <v>127861.81</v>
      </c>
      <c r="I8927">
        <v>102.62</v>
      </c>
      <c r="J8927">
        <v>357</v>
      </c>
      <c r="K8927">
        <v>31839.01</v>
      </c>
      <c r="L8927">
        <v>89.18</v>
      </c>
      <c r="M8927">
        <v>1603</v>
      </c>
      <c r="N8927">
        <v>159700.82</v>
      </c>
      <c r="O8927">
        <v>99.63</v>
      </c>
    </row>
    <row r="8928" spans="1:15" x14ac:dyDescent="0.35">
      <c r="A8928" t="s">
        <v>9601</v>
      </c>
      <c r="B8928" t="s">
        <v>9602</v>
      </c>
      <c r="C8928" t="s">
        <v>1477</v>
      </c>
      <c r="D8928" t="s">
        <v>339</v>
      </c>
      <c r="E8928" t="s">
        <v>312</v>
      </c>
      <c r="F8928" t="s">
        <v>9641</v>
      </c>
      <c r="G8928">
        <v>1033</v>
      </c>
      <c r="H8928">
        <v>108292.37999999999</v>
      </c>
      <c r="I8928">
        <v>104.83</v>
      </c>
      <c r="J8928">
        <v>357</v>
      </c>
      <c r="K8928">
        <v>31839.01</v>
      </c>
      <c r="L8928">
        <v>89.18</v>
      </c>
      <c r="M8928">
        <v>1390</v>
      </c>
      <c r="N8928">
        <v>140131.38999999998</v>
      </c>
      <c r="O8928">
        <v>100.81</v>
      </c>
    </row>
    <row r="8929" spans="1:15" x14ac:dyDescent="0.35">
      <c r="A8929" t="s">
        <v>9601</v>
      </c>
      <c r="B8929" t="s">
        <v>9602</v>
      </c>
      <c r="C8929" t="s">
        <v>1477</v>
      </c>
      <c r="D8929" t="s">
        <v>348</v>
      </c>
      <c r="E8929" t="s">
        <v>349</v>
      </c>
      <c r="F8929" t="s">
        <v>9642</v>
      </c>
      <c r="G8929">
        <v>1407</v>
      </c>
      <c r="H8929">
        <v>130361.06999999999</v>
      </c>
      <c r="I8929">
        <v>103.22</v>
      </c>
      <c r="J8929">
        <v>357</v>
      </c>
      <c r="K8929">
        <v>31839.01</v>
      </c>
      <c r="L8929">
        <v>89.18</v>
      </c>
      <c r="M8929">
        <v>1764</v>
      </c>
      <c r="N8929">
        <v>162200.07999999999</v>
      </c>
      <c r="O8929">
        <v>100.12</v>
      </c>
    </row>
    <row r="8930" spans="1:15" x14ac:dyDescent="0.35">
      <c r="A8930" t="s">
        <v>9643</v>
      </c>
      <c r="B8930" t="s">
        <v>209</v>
      </c>
      <c r="C8930" t="s">
        <v>1477</v>
      </c>
      <c r="D8930" t="s">
        <v>293</v>
      </c>
      <c r="E8930" t="s">
        <v>294</v>
      </c>
      <c r="F8930" t="s">
        <v>9644</v>
      </c>
      <c r="G8930">
        <v>618</v>
      </c>
      <c r="H8930">
        <v>84933.13</v>
      </c>
      <c r="I8930">
        <v>137.43</v>
      </c>
      <c r="J8930">
        <v>0</v>
      </c>
      <c r="K8930">
        <v>0</v>
      </c>
      <c r="L8930">
        <v>0</v>
      </c>
      <c r="M8930">
        <v>618</v>
      </c>
      <c r="N8930">
        <v>84933.13</v>
      </c>
      <c r="O8930">
        <v>137.43</v>
      </c>
    </row>
    <row r="8931" spans="1:15" x14ac:dyDescent="0.35">
      <c r="A8931" t="s">
        <v>9643</v>
      </c>
      <c r="B8931" t="s">
        <v>209</v>
      </c>
      <c r="C8931" t="s">
        <v>1477</v>
      </c>
      <c r="D8931" t="s">
        <v>293</v>
      </c>
      <c r="E8931" t="s">
        <v>296</v>
      </c>
      <c r="F8931" t="s">
        <v>9645</v>
      </c>
      <c r="G8931">
        <v>1071</v>
      </c>
      <c r="H8931">
        <v>176017.35</v>
      </c>
      <c r="I8931">
        <v>164.35</v>
      </c>
      <c r="J8931">
        <v>0</v>
      </c>
      <c r="K8931">
        <v>0</v>
      </c>
      <c r="L8931">
        <v>0</v>
      </c>
      <c r="M8931">
        <v>1071</v>
      </c>
      <c r="N8931">
        <v>176017.35</v>
      </c>
      <c r="O8931">
        <v>164.35</v>
      </c>
    </row>
    <row r="8932" spans="1:15" x14ac:dyDescent="0.35">
      <c r="A8932" t="s">
        <v>9643</v>
      </c>
      <c r="B8932" t="s">
        <v>209</v>
      </c>
      <c r="C8932" t="s">
        <v>1477</v>
      </c>
      <c r="D8932" t="s">
        <v>293</v>
      </c>
      <c r="E8932" t="s">
        <v>298</v>
      </c>
      <c r="F8932" t="s">
        <v>9646</v>
      </c>
      <c r="G8932">
        <v>570</v>
      </c>
      <c r="H8932">
        <v>107910.89</v>
      </c>
      <c r="I8932">
        <v>189.32</v>
      </c>
      <c r="J8932">
        <v>0</v>
      </c>
      <c r="K8932">
        <v>0</v>
      </c>
      <c r="L8932">
        <v>0</v>
      </c>
      <c r="M8932">
        <v>570</v>
      </c>
      <c r="N8932">
        <v>107910.89</v>
      </c>
      <c r="O8932">
        <v>189.32</v>
      </c>
    </row>
    <row r="8933" spans="1:15" x14ac:dyDescent="0.35">
      <c r="A8933" t="s">
        <v>9643</v>
      </c>
      <c r="B8933" t="s">
        <v>209</v>
      </c>
      <c r="C8933" t="s">
        <v>1477</v>
      </c>
      <c r="D8933" t="s">
        <v>293</v>
      </c>
      <c r="E8933" t="s">
        <v>300</v>
      </c>
      <c r="F8933" t="s">
        <v>9647</v>
      </c>
      <c r="G8933">
        <v>106</v>
      </c>
      <c r="H8933">
        <v>26243.24</v>
      </c>
      <c r="I8933">
        <v>247.58</v>
      </c>
      <c r="J8933">
        <v>0</v>
      </c>
      <c r="K8933">
        <v>0</v>
      </c>
      <c r="L8933">
        <v>0</v>
      </c>
      <c r="M8933">
        <v>106</v>
      </c>
      <c r="N8933">
        <v>26243.24</v>
      </c>
      <c r="O8933">
        <v>247.58</v>
      </c>
    </row>
    <row r="8934" spans="1:15" x14ac:dyDescent="0.35">
      <c r="A8934" t="s">
        <v>9643</v>
      </c>
      <c r="B8934" t="s">
        <v>209</v>
      </c>
      <c r="C8934" t="s">
        <v>1477</v>
      </c>
      <c r="D8934" t="s">
        <v>293</v>
      </c>
      <c r="E8934" t="s">
        <v>302</v>
      </c>
      <c r="F8934" t="s">
        <v>9648</v>
      </c>
      <c r="G8934">
        <v>6</v>
      </c>
      <c r="H8934">
        <v>1834.92</v>
      </c>
      <c r="I8934">
        <v>305.82</v>
      </c>
      <c r="J8934">
        <v>0</v>
      </c>
      <c r="K8934">
        <v>0</v>
      </c>
      <c r="L8934">
        <v>0</v>
      </c>
      <c r="M8934">
        <v>6</v>
      </c>
      <c r="N8934">
        <v>1834.92</v>
      </c>
      <c r="O8934">
        <v>305.82</v>
      </c>
    </row>
    <row r="8935" spans="1:15" x14ac:dyDescent="0.35">
      <c r="A8935" t="s">
        <v>9643</v>
      </c>
      <c r="B8935" t="s">
        <v>209</v>
      </c>
      <c r="C8935" t="s">
        <v>1477</v>
      </c>
      <c r="D8935" t="s">
        <v>293</v>
      </c>
      <c r="E8935" t="s">
        <v>304</v>
      </c>
      <c r="F8935" t="s">
        <v>9649</v>
      </c>
      <c r="G8935">
        <v>0</v>
      </c>
      <c r="H8935">
        <v>0</v>
      </c>
      <c r="I8935">
        <v>0</v>
      </c>
      <c r="J8935">
        <v>0</v>
      </c>
      <c r="K8935">
        <v>0</v>
      </c>
      <c r="L8935">
        <v>0</v>
      </c>
      <c r="M8935">
        <v>0</v>
      </c>
      <c r="N8935">
        <v>0</v>
      </c>
      <c r="O8935">
        <v>0</v>
      </c>
    </row>
    <row r="8936" spans="1:15" x14ac:dyDescent="0.35">
      <c r="A8936" t="s">
        <v>9643</v>
      </c>
      <c r="B8936" t="s">
        <v>209</v>
      </c>
      <c r="C8936" t="s">
        <v>1477</v>
      </c>
      <c r="D8936" t="s">
        <v>293</v>
      </c>
      <c r="E8936" t="s">
        <v>306</v>
      </c>
      <c r="F8936" t="s">
        <v>9650</v>
      </c>
      <c r="G8936">
        <v>4</v>
      </c>
      <c r="H8936">
        <v>510.32</v>
      </c>
      <c r="I8936">
        <v>127.58</v>
      </c>
      <c r="J8936">
        <v>0</v>
      </c>
      <c r="K8936">
        <v>0</v>
      </c>
      <c r="L8936">
        <v>0</v>
      </c>
      <c r="M8936">
        <v>4</v>
      </c>
      <c r="N8936">
        <v>510.32</v>
      </c>
      <c r="O8936">
        <v>127.58</v>
      </c>
    </row>
    <row r="8937" spans="1:15" x14ac:dyDescent="0.35">
      <c r="A8937" t="s">
        <v>9643</v>
      </c>
      <c r="B8937" t="s">
        <v>209</v>
      </c>
      <c r="C8937" t="s">
        <v>1477</v>
      </c>
      <c r="D8937" t="s">
        <v>293</v>
      </c>
      <c r="E8937" t="s">
        <v>308</v>
      </c>
      <c r="F8937" t="s">
        <v>9651</v>
      </c>
      <c r="G8937">
        <v>0</v>
      </c>
      <c r="H8937">
        <v>0</v>
      </c>
      <c r="I8937">
        <v>0</v>
      </c>
      <c r="J8937">
        <v>0</v>
      </c>
      <c r="K8937">
        <v>0</v>
      </c>
      <c r="L8937">
        <v>0</v>
      </c>
      <c r="M8937">
        <v>0</v>
      </c>
      <c r="N8937">
        <v>0</v>
      </c>
      <c r="O8937">
        <v>0</v>
      </c>
    </row>
    <row r="8938" spans="1:15" x14ac:dyDescent="0.35">
      <c r="A8938" t="s">
        <v>9643</v>
      </c>
      <c r="B8938" t="s">
        <v>209</v>
      </c>
      <c r="C8938" t="s">
        <v>1477</v>
      </c>
      <c r="D8938" t="s">
        <v>293</v>
      </c>
      <c r="E8938" t="s">
        <v>310</v>
      </c>
      <c r="F8938" t="s">
        <v>9652</v>
      </c>
      <c r="G8938">
        <v>2375</v>
      </c>
      <c r="H8938">
        <v>397449.85</v>
      </c>
      <c r="I8938">
        <v>167.35</v>
      </c>
      <c r="J8938">
        <v>0</v>
      </c>
      <c r="K8938">
        <v>0</v>
      </c>
      <c r="L8938">
        <v>0</v>
      </c>
      <c r="M8938">
        <v>2375</v>
      </c>
      <c r="N8938">
        <v>397449.85</v>
      </c>
      <c r="O8938">
        <v>167.35</v>
      </c>
    </row>
    <row r="8939" spans="1:15" x14ac:dyDescent="0.35">
      <c r="A8939" t="s">
        <v>9643</v>
      </c>
      <c r="B8939" t="s">
        <v>209</v>
      </c>
      <c r="C8939" t="s">
        <v>1477</v>
      </c>
      <c r="D8939" t="s">
        <v>293</v>
      </c>
      <c r="E8939" t="s">
        <v>312</v>
      </c>
      <c r="F8939" t="s">
        <v>9653</v>
      </c>
      <c r="G8939">
        <v>2375</v>
      </c>
      <c r="H8939">
        <v>397449.85</v>
      </c>
      <c r="I8939">
        <v>167.35</v>
      </c>
      <c r="J8939">
        <v>0</v>
      </c>
      <c r="K8939">
        <v>0</v>
      </c>
      <c r="L8939">
        <v>0</v>
      </c>
      <c r="M8939">
        <v>2375</v>
      </c>
      <c r="N8939">
        <v>397449.85</v>
      </c>
      <c r="O8939">
        <v>167.35</v>
      </c>
    </row>
    <row r="8940" spans="1:15" x14ac:dyDescent="0.35">
      <c r="A8940" t="s">
        <v>9643</v>
      </c>
      <c r="B8940" t="s">
        <v>209</v>
      </c>
      <c r="C8940" t="s">
        <v>1477</v>
      </c>
      <c r="D8940" t="s">
        <v>314</v>
      </c>
      <c r="E8940" t="s">
        <v>294</v>
      </c>
      <c r="F8940" t="s">
        <v>9654</v>
      </c>
      <c r="G8940">
        <v>0</v>
      </c>
      <c r="H8940">
        <v>0</v>
      </c>
      <c r="I8940">
        <v>0</v>
      </c>
      <c r="J8940">
        <v>0</v>
      </c>
      <c r="K8940">
        <v>0</v>
      </c>
      <c r="L8940">
        <v>0</v>
      </c>
      <c r="M8940">
        <v>0</v>
      </c>
      <c r="N8940">
        <v>0</v>
      </c>
      <c r="O8940">
        <v>0</v>
      </c>
    </row>
    <row r="8941" spans="1:15" x14ac:dyDescent="0.35">
      <c r="A8941" t="s">
        <v>9643</v>
      </c>
      <c r="B8941" t="s">
        <v>209</v>
      </c>
      <c r="C8941" t="s">
        <v>1477</v>
      </c>
      <c r="D8941" t="s">
        <v>314</v>
      </c>
      <c r="E8941" t="s">
        <v>296</v>
      </c>
      <c r="F8941" t="s">
        <v>9655</v>
      </c>
      <c r="G8941">
        <v>0</v>
      </c>
      <c r="H8941">
        <v>0</v>
      </c>
      <c r="I8941">
        <v>0</v>
      </c>
      <c r="J8941">
        <v>0</v>
      </c>
      <c r="K8941">
        <v>0</v>
      </c>
      <c r="L8941">
        <v>0</v>
      </c>
      <c r="M8941">
        <v>0</v>
      </c>
      <c r="N8941">
        <v>0</v>
      </c>
      <c r="O8941">
        <v>0</v>
      </c>
    </row>
    <row r="8942" spans="1:15" x14ac:dyDescent="0.35">
      <c r="A8942" t="s">
        <v>9643</v>
      </c>
      <c r="B8942" t="s">
        <v>209</v>
      </c>
      <c r="C8942" t="s">
        <v>1477</v>
      </c>
      <c r="D8942" t="s">
        <v>314</v>
      </c>
      <c r="E8942" t="s">
        <v>298</v>
      </c>
      <c r="F8942" t="s">
        <v>9656</v>
      </c>
      <c r="G8942">
        <v>0</v>
      </c>
      <c r="H8942">
        <v>0</v>
      </c>
      <c r="I8942">
        <v>0</v>
      </c>
      <c r="J8942">
        <v>0</v>
      </c>
      <c r="K8942">
        <v>0</v>
      </c>
      <c r="L8942">
        <v>0</v>
      </c>
      <c r="M8942">
        <v>0</v>
      </c>
      <c r="N8942">
        <v>0</v>
      </c>
      <c r="O8942">
        <v>0</v>
      </c>
    </row>
    <row r="8943" spans="1:15" x14ac:dyDescent="0.35">
      <c r="A8943" t="s">
        <v>9643</v>
      </c>
      <c r="B8943" t="s">
        <v>209</v>
      </c>
      <c r="C8943" t="s">
        <v>1477</v>
      </c>
      <c r="D8943" t="s">
        <v>314</v>
      </c>
      <c r="E8943" t="s">
        <v>300</v>
      </c>
      <c r="F8943" t="s">
        <v>9657</v>
      </c>
      <c r="G8943">
        <v>0</v>
      </c>
      <c r="H8943">
        <v>0</v>
      </c>
      <c r="I8943">
        <v>0</v>
      </c>
      <c r="J8943">
        <v>0</v>
      </c>
      <c r="K8943">
        <v>0</v>
      </c>
      <c r="L8943">
        <v>0</v>
      </c>
      <c r="M8943">
        <v>0</v>
      </c>
      <c r="N8943">
        <v>0</v>
      </c>
      <c r="O8943">
        <v>0</v>
      </c>
    </row>
    <row r="8944" spans="1:15" x14ac:dyDescent="0.35">
      <c r="A8944" t="s">
        <v>9643</v>
      </c>
      <c r="B8944" t="s">
        <v>209</v>
      </c>
      <c r="C8944" t="s">
        <v>1477</v>
      </c>
      <c r="D8944" t="s">
        <v>314</v>
      </c>
      <c r="E8944" t="s">
        <v>306</v>
      </c>
      <c r="F8944" t="s">
        <v>9658</v>
      </c>
      <c r="G8944">
        <v>0</v>
      </c>
      <c r="H8944">
        <v>0</v>
      </c>
      <c r="I8944">
        <v>0</v>
      </c>
      <c r="J8944">
        <v>0</v>
      </c>
      <c r="K8944">
        <v>0</v>
      </c>
      <c r="L8944">
        <v>0</v>
      </c>
      <c r="M8944">
        <v>0</v>
      </c>
      <c r="N8944">
        <v>0</v>
      </c>
      <c r="O8944">
        <v>0</v>
      </c>
    </row>
    <row r="8945" spans="1:15" x14ac:dyDescent="0.35">
      <c r="A8945" t="s">
        <v>9643</v>
      </c>
      <c r="B8945" t="s">
        <v>209</v>
      </c>
      <c r="C8945" t="s">
        <v>1477</v>
      </c>
      <c r="D8945" t="s">
        <v>314</v>
      </c>
      <c r="E8945" t="s">
        <v>308</v>
      </c>
      <c r="F8945" t="s">
        <v>9659</v>
      </c>
      <c r="G8945">
        <v>0</v>
      </c>
      <c r="H8945">
        <v>0</v>
      </c>
      <c r="I8945">
        <v>0</v>
      </c>
      <c r="J8945">
        <v>0</v>
      </c>
      <c r="K8945">
        <v>0</v>
      </c>
      <c r="L8945">
        <v>0</v>
      </c>
      <c r="M8945">
        <v>0</v>
      </c>
      <c r="N8945">
        <v>0</v>
      </c>
      <c r="O8945">
        <v>0</v>
      </c>
    </row>
    <row r="8946" spans="1:15" x14ac:dyDescent="0.35">
      <c r="A8946" t="s">
        <v>9643</v>
      </c>
      <c r="B8946" t="s">
        <v>209</v>
      </c>
      <c r="C8946" t="s">
        <v>1477</v>
      </c>
      <c r="D8946" t="s">
        <v>314</v>
      </c>
      <c r="E8946" t="s">
        <v>312</v>
      </c>
      <c r="F8946" t="s">
        <v>9660</v>
      </c>
      <c r="G8946">
        <v>0</v>
      </c>
      <c r="H8946">
        <v>0</v>
      </c>
      <c r="I8946">
        <v>0</v>
      </c>
      <c r="J8946">
        <v>0</v>
      </c>
      <c r="K8946">
        <v>0</v>
      </c>
      <c r="L8946">
        <v>0</v>
      </c>
      <c r="M8946">
        <v>0</v>
      </c>
      <c r="N8946">
        <v>0</v>
      </c>
      <c r="O8946">
        <v>0</v>
      </c>
    </row>
    <row r="8947" spans="1:15" x14ac:dyDescent="0.35">
      <c r="A8947" t="s">
        <v>9643</v>
      </c>
      <c r="B8947" t="s">
        <v>209</v>
      </c>
      <c r="C8947" t="s">
        <v>1477</v>
      </c>
      <c r="D8947" t="s">
        <v>314</v>
      </c>
      <c r="E8947" t="s">
        <v>310</v>
      </c>
      <c r="F8947" t="s">
        <v>9661</v>
      </c>
      <c r="G8947">
        <v>0</v>
      </c>
      <c r="H8947">
        <v>0</v>
      </c>
      <c r="I8947">
        <v>0</v>
      </c>
      <c r="J8947">
        <v>0</v>
      </c>
      <c r="K8947">
        <v>0</v>
      </c>
      <c r="L8947">
        <v>0</v>
      </c>
      <c r="M8947">
        <v>0</v>
      </c>
      <c r="N8947">
        <v>0</v>
      </c>
      <c r="O8947">
        <v>0</v>
      </c>
    </row>
    <row r="8948" spans="1:15" x14ac:dyDescent="0.35">
      <c r="A8948" t="s">
        <v>9643</v>
      </c>
      <c r="B8948" t="s">
        <v>209</v>
      </c>
      <c r="C8948" t="s">
        <v>1477</v>
      </c>
      <c r="D8948" t="s">
        <v>323</v>
      </c>
      <c r="E8948" t="s">
        <v>294</v>
      </c>
      <c r="F8948" t="s">
        <v>9662</v>
      </c>
      <c r="G8948">
        <v>2185</v>
      </c>
      <c r="H8948">
        <v>209457.23</v>
      </c>
      <c r="I8948">
        <v>95.86</v>
      </c>
      <c r="J8948">
        <v>0</v>
      </c>
      <c r="K8948">
        <v>0</v>
      </c>
      <c r="L8948">
        <v>0</v>
      </c>
      <c r="M8948">
        <v>2185</v>
      </c>
      <c r="N8948">
        <v>209457.23</v>
      </c>
      <c r="O8948">
        <v>95.86</v>
      </c>
    </row>
    <row r="8949" spans="1:15" x14ac:dyDescent="0.35">
      <c r="A8949" t="s">
        <v>9643</v>
      </c>
      <c r="B8949" t="s">
        <v>209</v>
      </c>
      <c r="C8949" t="s">
        <v>1477</v>
      </c>
      <c r="D8949" t="s">
        <v>323</v>
      </c>
      <c r="E8949" t="s">
        <v>296</v>
      </c>
      <c r="F8949" t="s">
        <v>9663</v>
      </c>
      <c r="G8949">
        <v>3525</v>
      </c>
      <c r="H8949">
        <v>391137.35999999993</v>
      </c>
      <c r="I8949">
        <v>110.96</v>
      </c>
      <c r="J8949">
        <v>4</v>
      </c>
      <c r="K8949">
        <v>483.16</v>
      </c>
      <c r="L8949">
        <v>120.79</v>
      </c>
      <c r="M8949">
        <v>3529</v>
      </c>
      <c r="N8949">
        <v>391620.5199999999</v>
      </c>
      <c r="O8949">
        <v>110.97</v>
      </c>
    </row>
    <row r="8950" spans="1:15" x14ac:dyDescent="0.35">
      <c r="A8950" t="s">
        <v>9643</v>
      </c>
      <c r="B8950" t="s">
        <v>209</v>
      </c>
      <c r="C8950" t="s">
        <v>1477</v>
      </c>
      <c r="D8950" t="s">
        <v>323</v>
      </c>
      <c r="E8950" t="s">
        <v>298</v>
      </c>
      <c r="F8950" t="s">
        <v>9664</v>
      </c>
      <c r="G8950">
        <v>3119</v>
      </c>
      <c r="H8950">
        <v>381651.35</v>
      </c>
      <c r="I8950">
        <v>122.36</v>
      </c>
      <c r="J8950">
        <v>3</v>
      </c>
      <c r="K8950">
        <v>305.43</v>
      </c>
      <c r="L8950">
        <v>101.81</v>
      </c>
      <c r="M8950">
        <v>3122</v>
      </c>
      <c r="N8950">
        <v>381956.77999999997</v>
      </c>
      <c r="O8950">
        <v>122.34</v>
      </c>
    </row>
    <row r="8951" spans="1:15" x14ac:dyDescent="0.35">
      <c r="A8951" t="s">
        <v>9643</v>
      </c>
      <c r="B8951" t="s">
        <v>209</v>
      </c>
      <c r="C8951" t="s">
        <v>1477</v>
      </c>
      <c r="D8951" t="s">
        <v>323</v>
      </c>
      <c r="E8951" t="s">
        <v>300</v>
      </c>
      <c r="F8951" t="s">
        <v>9665</v>
      </c>
      <c r="G8951">
        <v>267</v>
      </c>
      <c r="H8951">
        <v>36298.409999999996</v>
      </c>
      <c r="I8951">
        <v>135.94999999999999</v>
      </c>
      <c r="J8951">
        <v>0</v>
      </c>
      <c r="K8951">
        <v>0</v>
      </c>
      <c r="L8951">
        <v>0</v>
      </c>
      <c r="M8951">
        <v>267</v>
      </c>
      <c r="N8951">
        <v>36298.409999999996</v>
      </c>
      <c r="O8951">
        <v>135.94999999999999</v>
      </c>
    </row>
    <row r="8952" spans="1:15" x14ac:dyDescent="0.35">
      <c r="A8952" t="s">
        <v>9643</v>
      </c>
      <c r="B8952" t="s">
        <v>209</v>
      </c>
      <c r="C8952" t="s">
        <v>1477</v>
      </c>
      <c r="D8952" t="s">
        <v>323</v>
      </c>
      <c r="E8952" t="s">
        <v>302</v>
      </c>
      <c r="F8952" t="s">
        <v>9666</v>
      </c>
      <c r="G8952">
        <v>10</v>
      </c>
      <c r="H8952">
        <v>1491.82</v>
      </c>
      <c r="I8952">
        <v>149.18</v>
      </c>
      <c r="J8952">
        <v>0</v>
      </c>
      <c r="K8952">
        <v>0</v>
      </c>
      <c r="L8952">
        <v>0</v>
      </c>
      <c r="M8952">
        <v>10</v>
      </c>
      <c r="N8952">
        <v>1491.82</v>
      </c>
      <c r="O8952">
        <v>149.18</v>
      </c>
    </row>
    <row r="8953" spans="1:15" x14ac:dyDescent="0.35">
      <c r="A8953" t="s">
        <v>9643</v>
      </c>
      <c r="B8953" t="s">
        <v>209</v>
      </c>
      <c r="C8953" t="s">
        <v>1477</v>
      </c>
      <c r="D8953" t="s">
        <v>323</v>
      </c>
      <c r="E8953" t="s">
        <v>304</v>
      </c>
      <c r="F8953" t="s">
        <v>9667</v>
      </c>
      <c r="G8953">
        <v>2</v>
      </c>
      <c r="H8953">
        <v>266.38</v>
      </c>
      <c r="I8953">
        <v>133.19</v>
      </c>
      <c r="J8953">
        <v>0</v>
      </c>
      <c r="K8953">
        <v>0</v>
      </c>
      <c r="L8953">
        <v>0</v>
      </c>
      <c r="M8953">
        <v>2</v>
      </c>
      <c r="N8953">
        <v>266.38</v>
      </c>
      <c r="O8953">
        <v>133.19</v>
      </c>
    </row>
    <row r="8954" spans="1:15" x14ac:dyDescent="0.35">
      <c r="A8954" t="s">
        <v>9643</v>
      </c>
      <c r="B8954" t="s">
        <v>209</v>
      </c>
      <c r="C8954" t="s">
        <v>1477</v>
      </c>
      <c r="D8954" t="s">
        <v>323</v>
      </c>
      <c r="E8954" t="s">
        <v>306</v>
      </c>
      <c r="F8954" t="s">
        <v>9668</v>
      </c>
      <c r="G8954">
        <v>134</v>
      </c>
      <c r="H8954">
        <v>10845.18</v>
      </c>
      <c r="I8954">
        <v>80.930000000000007</v>
      </c>
      <c r="J8954">
        <v>1</v>
      </c>
      <c r="K8954">
        <v>11.81</v>
      </c>
      <c r="L8954">
        <v>11.81</v>
      </c>
      <c r="M8954">
        <v>135</v>
      </c>
      <c r="N8954">
        <v>10856.99</v>
      </c>
      <c r="O8954">
        <v>80.42</v>
      </c>
    </row>
    <row r="8955" spans="1:15" x14ac:dyDescent="0.35">
      <c r="A8955" t="s">
        <v>9643</v>
      </c>
      <c r="B8955" t="s">
        <v>209</v>
      </c>
      <c r="C8955" t="s">
        <v>1477</v>
      </c>
      <c r="D8955" t="s">
        <v>323</v>
      </c>
      <c r="E8955" t="s">
        <v>308</v>
      </c>
      <c r="F8955" t="s">
        <v>9669</v>
      </c>
      <c r="G8955">
        <v>0</v>
      </c>
      <c r="H8955">
        <v>0</v>
      </c>
      <c r="I8955">
        <v>0</v>
      </c>
      <c r="J8955">
        <v>0</v>
      </c>
      <c r="K8955">
        <v>0</v>
      </c>
      <c r="L8955">
        <v>0</v>
      </c>
      <c r="M8955">
        <v>0</v>
      </c>
      <c r="N8955">
        <v>0</v>
      </c>
      <c r="O8955">
        <v>0</v>
      </c>
    </row>
    <row r="8956" spans="1:15" x14ac:dyDescent="0.35">
      <c r="A8956" t="s">
        <v>9643</v>
      </c>
      <c r="B8956" t="s">
        <v>209</v>
      </c>
      <c r="C8956" t="s">
        <v>1477</v>
      </c>
      <c r="D8956" t="s">
        <v>323</v>
      </c>
      <c r="E8956" t="s">
        <v>310</v>
      </c>
      <c r="F8956" t="s">
        <v>9670</v>
      </c>
      <c r="G8956">
        <v>9242</v>
      </c>
      <c r="H8956">
        <v>1031147.73</v>
      </c>
      <c r="I8956">
        <v>111.57</v>
      </c>
      <c r="J8956">
        <v>8</v>
      </c>
      <c r="K8956">
        <v>800.4</v>
      </c>
      <c r="L8956">
        <v>100.05</v>
      </c>
      <c r="M8956">
        <v>9250</v>
      </c>
      <c r="N8956">
        <v>1031948.13</v>
      </c>
      <c r="O8956">
        <v>111.56</v>
      </c>
    </row>
    <row r="8957" spans="1:15" x14ac:dyDescent="0.35">
      <c r="A8957" t="s">
        <v>9643</v>
      </c>
      <c r="B8957" t="s">
        <v>209</v>
      </c>
      <c r="C8957" t="s">
        <v>1477</v>
      </c>
      <c r="D8957" t="s">
        <v>323</v>
      </c>
      <c r="E8957" t="s">
        <v>312</v>
      </c>
      <c r="F8957" t="s">
        <v>9671</v>
      </c>
      <c r="G8957">
        <v>9242</v>
      </c>
      <c r="H8957">
        <v>1031147.73</v>
      </c>
      <c r="I8957">
        <v>111.57</v>
      </c>
      <c r="J8957">
        <v>8</v>
      </c>
      <c r="K8957">
        <v>800.4</v>
      </c>
      <c r="L8957">
        <v>100.05</v>
      </c>
      <c r="M8957">
        <v>9250</v>
      </c>
      <c r="N8957">
        <v>1031948.13</v>
      </c>
      <c r="O8957">
        <v>111.56</v>
      </c>
    </row>
    <row r="8958" spans="1:15" x14ac:dyDescent="0.35">
      <c r="A8958" t="s">
        <v>9643</v>
      </c>
      <c r="B8958" t="s">
        <v>209</v>
      </c>
      <c r="C8958" t="s">
        <v>1477</v>
      </c>
      <c r="D8958" t="s">
        <v>334</v>
      </c>
      <c r="E8958" t="s">
        <v>312</v>
      </c>
      <c r="F8958" t="s">
        <v>9672</v>
      </c>
      <c r="G8958">
        <v>11869</v>
      </c>
      <c r="H8958">
        <v>1428597.5799999998</v>
      </c>
      <c r="I8958">
        <v>122.97</v>
      </c>
      <c r="J8958">
        <v>8</v>
      </c>
      <c r="K8958">
        <v>800.4</v>
      </c>
      <c r="L8958">
        <v>100.05</v>
      </c>
      <c r="M8958">
        <v>11877</v>
      </c>
      <c r="N8958">
        <v>1429397.9799999997</v>
      </c>
      <c r="O8958">
        <v>122.96</v>
      </c>
    </row>
    <row r="8959" spans="1:15" x14ac:dyDescent="0.35">
      <c r="A8959" t="s">
        <v>9643</v>
      </c>
      <c r="B8959" t="s">
        <v>209</v>
      </c>
      <c r="C8959" t="s">
        <v>1477</v>
      </c>
      <c r="D8959" t="s">
        <v>334</v>
      </c>
      <c r="E8959" t="s">
        <v>308</v>
      </c>
      <c r="F8959" t="s">
        <v>9673</v>
      </c>
      <c r="G8959">
        <v>0</v>
      </c>
      <c r="H8959">
        <v>0</v>
      </c>
      <c r="I8959">
        <v>0</v>
      </c>
      <c r="J8959">
        <v>0</v>
      </c>
      <c r="K8959">
        <v>0</v>
      </c>
      <c r="L8959">
        <v>0</v>
      </c>
      <c r="M8959">
        <v>0</v>
      </c>
      <c r="N8959">
        <v>0</v>
      </c>
      <c r="O8959">
        <v>0</v>
      </c>
    </row>
    <row r="8960" spans="1:15" x14ac:dyDescent="0.35">
      <c r="A8960" t="s">
        <v>9643</v>
      </c>
      <c r="B8960" t="s">
        <v>209</v>
      </c>
      <c r="C8960" t="s">
        <v>1477</v>
      </c>
      <c r="D8960" t="s">
        <v>337</v>
      </c>
      <c r="E8960" t="s">
        <v>337</v>
      </c>
      <c r="F8960" t="s">
        <v>9674</v>
      </c>
      <c r="G8960">
        <v>1068</v>
      </c>
      <c r="J8960">
        <v>0</v>
      </c>
      <c r="M8960">
        <v>1068</v>
      </c>
    </row>
    <row r="8961" spans="1:15" x14ac:dyDescent="0.35">
      <c r="A8961" t="s">
        <v>9643</v>
      </c>
      <c r="B8961" t="s">
        <v>209</v>
      </c>
      <c r="C8961" t="s">
        <v>1477</v>
      </c>
      <c r="D8961" t="s">
        <v>339</v>
      </c>
      <c r="E8961" t="s">
        <v>294</v>
      </c>
      <c r="F8961" t="s">
        <v>9675</v>
      </c>
      <c r="G8961">
        <v>774</v>
      </c>
      <c r="H8961">
        <v>87441.600000000006</v>
      </c>
      <c r="I8961">
        <v>112.97</v>
      </c>
      <c r="J8961">
        <v>0</v>
      </c>
      <c r="K8961">
        <v>0</v>
      </c>
      <c r="L8961">
        <v>0</v>
      </c>
      <c r="M8961">
        <v>774</v>
      </c>
      <c r="N8961">
        <v>87441.600000000006</v>
      </c>
      <c r="O8961">
        <v>112.97</v>
      </c>
    </row>
    <row r="8962" spans="1:15" x14ac:dyDescent="0.35">
      <c r="A8962" t="s">
        <v>9643</v>
      </c>
      <c r="B8962" t="s">
        <v>209</v>
      </c>
      <c r="C8962" t="s">
        <v>1477</v>
      </c>
      <c r="D8962" t="s">
        <v>339</v>
      </c>
      <c r="E8962" t="s">
        <v>296</v>
      </c>
      <c r="F8962" t="s">
        <v>9676</v>
      </c>
      <c r="G8962">
        <v>122</v>
      </c>
      <c r="H8962">
        <v>16088.6</v>
      </c>
      <c r="I8962">
        <v>131.87</v>
      </c>
      <c r="J8962">
        <v>0</v>
      </c>
      <c r="K8962">
        <v>0</v>
      </c>
      <c r="L8962">
        <v>0</v>
      </c>
      <c r="M8962">
        <v>122</v>
      </c>
      <c r="N8962">
        <v>16088.6</v>
      </c>
      <c r="O8962">
        <v>131.87</v>
      </c>
    </row>
    <row r="8963" spans="1:15" x14ac:dyDescent="0.35">
      <c r="A8963" t="s">
        <v>9643</v>
      </c>
      <c r="B8963" t="s">
        <v>209</v>
      </c>
      <c r="C8963" t="s">
        <v>1477</v>
      </c>
      <c r="D8963" t="s">
        <v>339</v>
      </c>
      <c r="E8963" t="s">
        <v>298</v>
      </c>
      <c r="F8963" t="s">
        <v>9677</v>
      </c>
      <c r="G8963">
        <v>1</v>
      </c>
      <c r="H8963">
        <v>117.94</v>
      </c>
      <c r="I8963">
        <v>117.94</v>
      </c>
      <c r="J8963">
        <v>0</v>
      </c>
      <c r="K8963">
        <v>0</v>
      </c>
      <c r="L8963">
        <v>0</v>
      </c>
      <c r="M8963">
        <v>1</v>
      </c>
      <c r="N8963">
        <v>117.94</v>
      </c>
      <c r="O8963">
        <v>117.94</v>
      </c>
    </row>
    <row r="8964" spans="1:15" x14ac:dyDescent="0.35">
      <c r="A8964" t="s">
        <v>9643</v>
      </c>
      <c r="B8964" t="s">
        <v>209</v>
      </c>
      <c r="C8964" t="s">
        <v>1477</v>
      </c>
      <c r="D8964" t="s">
        <v>339</v>
      </c>
      <c r="E8964" t="s">
        <v>300</v>
      </c>
      <c r="F8964" t="s">
        <v>9678</v>
      </c>
      <c r="G8964">
        <v>0</v>
      </c>
      <c r="H8964">
        <v>0</v>
      </c>
      <c r="I8964">
        <v>0</v>
      </c>
      <c r="J8964">
        <v>0</v>
      </c>
      <c r="K8964">
        <v>0</v>
      </c>
      <c r="L8964">
        <v>0</v>
      </c>
      <c r="M8964">
        <v>0</v>
      </c>
      <c r="N8964">
        <v>0</v>
      </c>
      <c r="O8964">
        <v>0</v>
      </c>
    </row>
    <row r="8965" spans="1:15" x14ac:dyDescent="0.35">
      <c r="A8965" t="s">
        <v>9643</v>
      </c>
      <c r="B8965" t="s">
        <v>209</v>
      </c>
      <c r="C8965" t="s">
        <v>1477</v>
      </c>
      <c r="D8965" t="s">
        <v>339</v>
      </c>
      <c r="E8965" t="s">
        <v>306</v>
      </c>
      <c r="F8965" t="s">
        <v>9679</v>
      </c>
      <c r="G8965">
        <v>60</v>
      </c>
      <c r="H8965">
        <v>5707.3100000000013</v>
      </c>
      <c r="I8965">
        <v>95.12</v>
      </c>
      <c r="J8965">
        <v>0</v>
      </c>
      <c r="K8965">
        <v>0</v>
      </c>
      <c r="L8965">
        <v>0</v>
      </c>
      <c r="M8965">
        <v>60</v>
      </c>
      <c r="N8965">
        <v>5707.3100000000013</v>
      </c>
      <c r="O8965">
        <v>95.12</v>
      </c>
    </row>
    <row r="8966" spans="1:15" x14ac:dyDescent="0.35">
      <c r="A8966" t="s">
        <v>9643</v>
      </c>
      <c r="B8966" t="s">
        <v>209</v>
      </c>
      <c r="C8966" t="s">
        <v>1477</v>
      </c>
      <c r="D8966" t="s">
        <v>339</v>
      </c>
      <c r="E8966" t="s">
        <v>308</v>
      </c>
      <c r="F8966" t="s">
        <v>9680</v>
      </c>
      <c r="G8966">
        <v>196</v>
      </c>
      <c r="H8966">
        <v>20718.87</v>
      </c>
      <c r="I8966">
        <v>105.71</v>
      </c>
      <c r="J8966">
        <v>0</v>
      </c>
      <c r="K8966">
        <v>0</v>
      </c>
      <c r="L8966">
        <v>0</v>
      </c>
      <c r="M8966">
        <v>196</v>
      </c>
      <c r="N8966">
        <v>20718.87</v>
      </c>
      <c r="O8966">
        <v>105.71</v>
      </c>
    </row>
    <row r="8967" spans="1:15" x14ac:dyDescent="0.35">
      <c r="A8967" t="s">
        <v>9643</v>
      </c>
      <c r="B8967" t="s">
        <v>209</v>
      </c>
      <c r="C8967" t="s">
        <v>1477</v>
      </c>
      <c r="D8967" t="s">
        <v>339</v>
      </c>
      <c r="E8967" t="s">
        <v>310</v>
      </c>
      <c r="F8967" t="s">
        <v>9681</v>
      </c>
      <c r="G8967">
        <v>1153</v>
      </c>
      <c r="H8967">
        <v>130074.32</v>
      </c>
      <c r="I8967">
        <v>112.81</v>
      </c>
      <c r="J8967">
        <v>0</v>
      </c>
      <c r="K8967">
        <v>0</v>
      </c>
      <c r="L8967">
        <v>0</v>
      </c>
      <c r="M8967">
        <v>1153</v>
      </c>
      <c r="N8967">
        <v>130074.32</v>
      </c>
      <c r="O8967">
        <v>112.81</v>
      </c>
    </row>
    <row r="8968" spans="1:15" x14ac:dyDescent="0.35">
      <c r="A8968" t="s">
        <v>9643</v>
      </c>
      <c r="B8968" t="s">
        <v>209</v>
      </c>
      <c r="C8968" t="s">
        <v>1477</v>
      </c>
      <c r="D8968" t="s">
        <v>339</v>
      </c>
      <c r="E8968" t="s">
        <v>312</v>
      </c>
      <c r="F8968" t="s">
        <v>9682</v>
      </c>
      <c r="G8968">
        <v>957</v>
      </c>
      <c r="H8968">
        <v>109355.45000000001</v>
      </c>
      <c r="I8968">
        <v>114.27</v>
      </c>
      <c r="J8968">
        <v>0</v>
      </c>
      <c r="K8968">
        <v>0</v>
      </c>
      <c r="L8968">
        <v>0</v>
      </c>
      <c r="M8968">
        <v>957</v>
      </c>
      <c r="N8968">
        <v>109355.45000000001</v>
      </c>
      <c r="O8968">
        <v>114.27</v>
      </c>
    </row>
    <row r="8969" spans="1:15" x14ac:dyDescent="0.35">
      <c r="A8969" t="s">
        <v>9643</v>
      </c>
      <c r="B8969" t="s">
        <v>209</v>
      </c>
      <c r="C8969" t="s">
        <v>1477</v>
      </c>
      <c r="D8969" t="s">
        <v>348</v>
      </c>
      <c r="E8969" t="s">
        <v>349</v>
      </c>
      <c r="F8969" t="s">
        <v>9683</v>
      </c>
      <c r="G8969">
        <v>1173</v>
      </c>
      <c r="H8969">
        <v>130074.32</v>
      </c>
      <c r="I8969">
        <v>112.81</v>
      </c>
      <c r="J8969">
        <v>0</v>
      </c>
      <c r="K8969">
        <v>0</v>
      </c>
      <c r="L8969">
        <v>0</v>
      </c>
      <c r="M8969">
        <v>1173</v>
      </c>
      <c r="N8969">
        <v>130074.32</v>
      </c>
      <c r="O8969">
        <v>112.81</v>
      </c>
    </row>
    <row r="8970" spans="1:15" x14ac:dyDescent="0.35">
      <c r="A8970" t="s">
        <v>9684</v>
      </c>
      <c r="B8970" t="s">
        <v>9685</v>
      </c>
      <c r="C8970" t="s">
        <v>520</v>
      </c>
      <c r="D8970" t="s">
        <v>293</v>
      </c>
      <c r="E8970" t="s">
        <v>294</v>
      </c>
      <c r="F8970" t="s">
        <v>9686</v>
      </c>
      <c r="G8970">
        <v>346</v>
      </c>
      <c r="H8970">
        <v>38681.800000000003</v>
      </c>
      <c r="I8970">
        <v>111.8</v>
      </c>
      <c r="J8970">
        <v>0</v>
      </c>
      <c r="K8970">
        <v>0</v>
      </c>
      <c r="L8970">
        <v>0</v>
      </c>
      <c r="M8970">
        <v>346</v>
      </c>
      <c r="N8970">
        <v>38681.800000000003</v>
      </c>
      <c r="O8970">
        <v>111.8</v>
      </c>
    </row>
    <row r="8971" spans="1:15" x14ac:dyDescent="0.35">
      <c r="A8971" t="s">
        <v>9684</v>
      </c>
      <c r="B8971" t="s">
        <v>9685</v>
      </c>
      <c r="C8971" t="s">
        <v>520</v>
      </c>
      <c r="D8971" t="s">
        <v>293</v>
      </c>
      <c r="E8971" t="s">
        <v>296</v>
      </c>
      <c r="F8971" t="s">
        <v>9687</v>
      </c>
      <c r="G8971">
        <v>1729</v>
      </c>
      <c r="H8971">
        <v>203247.28000000003</v>
      </c>
      <c r="I8971">
        <v>117.55</v>
      </c>
      <c r="J8971">
        <v>0</v>
      </c>
      <c r="K8971">
        <v>0</v>
      </c>
      <c r="L8971">
        <v>0</v>
      </c>
      <c r="M8971">
        <v>1729</v>
      </c>
      <c r="N8971">
        <v>203247.28000000003</v>
      </c>
      <c r="O8971">
        <v>117.55</v>
      </c>
    </row>
    <row r="8972" spans="1:15" x14ac:dyDescent="0.35">
      <c r="A8972" t="s">
        <v>9684</v>
      </c>
      <c r="B8972" t="s">
        <v>9685</v>
      </c>
      <c r="C8972" t="s">
        <v>520</v>
      </c>
      <c r="D8972" t="s">
        <v>293</v>
      </c>
      <c r="E8972" t="s">
        <v>298</v>
      </c>
      <c r="F8972" t="s">
        <v>9688</v>
      </c>
      <c r="G8972">
        <v>1747</v>
      </c>
      <c r="H8972">
        <v>225906.31999999998</v>
      </c>
      <c r="I8972">
        <v>129.31</v>
      </c>
      <c r="J8972">
        <v>0</v>
      </c>
      <c r="K8972">
        <v>0</v>
      </c>
      <c r="L8972">
        <v>0</v>
      </c>
      <c r="M8972">
        <v>1747</v>
      </c>
      <c r="N8972">
        <v>225906.31999999998</v>
      </c>
      <c r="O8972">
        <v>129.31</v>
      </c>
    </row>
    <row r="8973" spans="1:15" x14ac:dyDescent="0.35">
      <c r="A8973" t="s">
        <v>9684</v>
      </c>
      <c r="B8973" t="s">
        <v>9685</v>
      </c>
      <c r="C8973" t="s">
        <v>520</v>
      </c>
      <c r="D8973" t="s">
        <v>293</v>
      </c>
      <c r="E8973" t="s">
        <v>300</v>
      </c>
      <c r="F8973" t="s">
        <v>9689</v>
      </c>
      <c r="G8973">
        <v>92</v>
      </c>
      <c r="H8973">
        <v>14519.010000000002</v>
      </c>
      <c r="I8973">
        <v>157.82</v>
      </c>
      <c r="J8973">
        <v>0</v>
      </c>
      <c r="K8973">
        <v>0</v>
      </c>
      <c r="L8973">
        <v>0</v>
      </c>
      <c r="M8973">
        <v>92</v>
      </c>
      <c r="N8973">
        <v>14519.010000000002</v>
      </c>
      <c r="O8973">
        <v>157.82</v>
      </c>
    </row>
    <row r="8974" spans="1:15" x14ac:dyDescent="0.35">
      <c r="A8974" t="s">
        <v>9684</v>
      </c>
      <c r="B8974" t="s">
        <v>9685</v>
      </c>
      <c r="C8974" t="s">
        <v>520</v>
      </c>
      <c r="D8974" t="s">
        <v>293</v>
      </c>
      <c r="E8974" t="s">
        <v>302</v>
      </c>
      <c r="F8974" t="s">
        <v>9690</v>
      </c>
      <c r="G8974">
        <v>6</v>
      </c>
      <c r="H8974">
        <v>1001.3</v>
      </c>
      <c r="I8974">
        <v>166.88</v>
      </c>
      <c r="J8974">
        <v>0</v>
      </c>
      <c r="K8974">
        <v>0</v>
      </c>
      <c r="L8974">
        <v>0</v>
      </c>
      <c r="M8974">
        <v>6</v>
      </c>
      <c r="N8974">
        <v>1001.3</v>
      </c>
      <c r="O8974">
        <v>166.88</v>
      </c>
    </row>
    <row r="8975" spans="1:15" x14ac:dyDescent="0.35">
      <c r="A8975" t="s">
        <v>9684</v>
      </c>
      <c r="B8975" t="s">
        <v>9685</v>
      </c>
      <c r="C8975" t="s">
        <v>520</v>
      </c>
      <c r="D8975" t="s">
        <v>293</v>
      </c>
      <c r="E8975" t="s">
        <v>304</v>
      </c>
      <c r="F8975" t="s">
        <v>9691</v>
      </c>
      <c r="G8975">
        <v>0</v>
      </c>
      <c r="H8975">
        <v>0</v>
      </c>
      <c r="I8975">
        <v>0</v>
      </c>
      <c r="J8975">
        <v>0</v>
      </c>
      <c r="K8975">
        <v>0</v>
      </c>
      <c r="L8975">
        <v>0</v>
      </c>
      <c r="M8975">
        <v>0</v>
      </c>
      <c r="N8975">
        <v>0</v>
      </c>
      <c r="O8975">
        <v>0</v>
      </c>
    </row>
    <row r="8976" spans="1:15" x14ac:dyDescent="0.35">
      <c r="A8976" t="s">
        <v>9684</v>
      </c>
      <c r="B8976" t="s">
        <v>9685</v>
      </c>
      <c r="C8976" t="s">
        <v>520</v>
      </c>
      <c r="D8976" t="s">
        <v>293</v>
      </c>
      <c r="E8976" t="s">
        <v>306</v>
      </c>
      <c r="F8976" t="s">
        <v>9692</v>
      </c>
      <c r="G8976">
        <v>0</v>
      </c>
      <c r="H8976">
        <v>0</v>
      </c>
      <c r="I8976">
        <v>0</v>
      </c>
      <c r="J8976">
        <v>0</v>
      </c>
      <c r="K8976">
        <v>0</v>
      </c>
      <c r="L8976">
        <v>0</v>
      </c>
      <c r="M8976">
        <v>0</v>
      </c>
      <c r="N8976">
        <v>0</v>
      </c>
      <c r="O8976">
        <v>0</v>
      </c>
    </row>
    <row r="8977" spans="1:15" x14ac:dyDescent="0.35">
      <c r="A8977" t="s">
        <v>9684</v>
      </c>
      <c r="B8977" t="s">
        <v>9685</v>
      </c>
      <c r="C8977" t="s">
        <v>520</v>
      </c>
      <c r="D8977" t="s">
        <v>293</v>
      </c>
      <c r="E8977" t="s">
        <v>308</v>
      </c>
      <c r="F8977" t="s">
        <v>9693</v>
      </c>
      <c r="G8977">
        <v>6</v>
      </c>
      <c r="H8977">
        <v>589.26</v>
      </c>
      <c r="I8977">
        <v>98.21</v>
      </c>
      <c r="J8977">
        <v>0</v>
      </c>
      <c r="K8977">
        <v>0</v>
      </c>
      <c r="L8977">
        <v>0</v>
      </c>
      <c r="M8977">
        <v>6</v>
      </c>
      <c r="N8977">
        <v>589.26</v>
      </c>
      <c r="O8977">
        <v>98.21</v>
      </c>
    </row>
    <row r="8978" spans="1:15" x14ac:dyDescent="0.35">
      <c r="A8978" t="s">
        <v>9684</v>
      </c>
      <c r="B8978" t="s">
        <v>9685</v>
      </c>
      <c r="C8978" t="s">
        <v>520</v>
      </c>
      <c r="D8978" t="s">
        <v>293</v>
      </c>
      <c r="E8978" t="s">
        <v>310</v>
      </c>
      <c r="F8978" t="s">
        <v>9694</v>
      </c>
      <c r="G8978">
        <v>3926</v>
      </c>
      <c r="H8978">
        <v>483944.97000000003</v>
      </c>
      <c r="I8978">
        <v>123.27</v>
      </c>
      <c r="J8978">
        <v>0</v>
      </c>
      <c r="K8978">
        <v>0</v>
      </c>
      <c r="L8978">
        <v>0</v>
      </c>
      <c r="M8978">
        <v>3926</v>
      </c>
      <c r="N8978">
        <v>483944.97000000003</v>
      </c>
      <c r="O8978">
        <v>123.27</v>
      </c>
    </row>
    <row r="8979" spans="1:15" x14ac:dyDescent="0.35">
      <c r="A8979" t="s">
        <v>9684</v>
      </c>
      <c r="B8979" t="s">
        <v>9685</v>
      </c>
      <c r="C8979" t="s">
        <v>520</v>
      </c>
      <c r="D8979" t="s">
        <v>293</v>
      </c>
      <c r="E8979" t="s">
        <v>312</v>
      </c>
      <c r="F8979" t="s">
        <v>9695</v>
      </c>
      <c r="G8979">
        <v>3920</v>
      </c>
      <c r="H8979">
        <v>483355.71</v>
      </c>
      <c r="I8979">
        <v>123.31</v>
      </c>
      <c r="J8979">
        <v>0</v>
      </c>
      <c r="K8979">
        <v>0</v>
      </c>
      <c r="L8979">
        <v>0</v>
      </c>
      <c r="M8979">
        <v>3920</v>
      </c>
      <c r="N8979">
        <v>483355.71</v>
      </c>
      <c r="O8979">
        <v>123.31</v>
      </c>
    </row>
    <row r="8980" spans="1:15" x14ac:dyDescent="0.35">
      <c r="A8980" t="s">
        <v>9684</v>
      </c>
      <c r="B8980" t="s">
        <v>9685</v>
      </c>
      <c r="C8980" t="s">
        <v>520</v>
      </c>
      <c r="D8980" t="s">
        <v>314</v>
      </c>
      <c r="E8980" t="s">
        <v>294</v>
      </c>
      <c r="F8980" t="s">
        <v>9696</v>
      </c>
      <c r="G8980">
        <v>4</v>
      </c>
      <c r="H8980">
        <v>582.16</v>
      </c>
      <c r="I8980">
        <v>145.54</v>
      </c>
      <c r="J8980">
        <v>0</v>
      </c>
      <c r="K8980">
        <v>0</v>
      </c>
      <c r="L8980">
        <v>0</v>
      </c>
      <c r="M8980">
        <v>4</v>
      </c>
      <c r="N8980">
        <v>582.16</v>
      </c>
      <c r="O8980">
        <v>145.54</v>
      </c>
    </row>
    <row r="8981" spans="1:15" x14ac:dyDescent="0.35">
      <c r="A8981" t="s">
        <v>9684</v>
      </c>
      <c r="B8981" t="s">
        <v>9685</v>
      </c>
      <c r="C8981" t="s">
        <v>520</v>
      </c>
      <c r="D8981" t="s">
        <v>314</v>
      </c>
      <c r="E8981" t="s">
        <v>296</v>
      </c>
      <c r="F8981" t="s">
        <v>9697</v>
      </c>
      <c r="G8981">
        <v>3</v>
      </c>
      <c r="H8981">
        <v>471.81000000000006</v>
      </c>
      <c r="I8981">
        <v>157.27000000000001</v>
      </c>
      <c r="J8981">
        <v>0</v>
      </c>
      <c r="K8981">
        <v>0</v>
      </c>
      <c r="L8981">
        <v>0</v>
      </c>
      <c r="M8981">
        <v>3</v>
      </c>
      <c r="N8981">
        <v>471.81000000000006</v>
      </c>
      <c r="O8981">
        <v>157.27000000000001</v>
      </c>
    </row>
    <row r="8982" spans="1:15" x14ac:dyDescent="0.35">
      <c r="A8982" t="s">
        <v>9684</v>
      </c>
      <c r="B8982" t="s">
        <v>9685</v>
      </c>
      <c r="C8982" t="s">
        <v>520</v>
      </c>
      <c r="D8982" t="s">
        <v>314</v>
      </c>
      <c r="E8982" t="s">
        <v>298</v>
      </c>
      <c r="F8982" t="s">
        <v>9698</v>
      </c>
      <c r="G8982">
        <v>0</v>
      </c>
      <c r="H8982">
        <v>0</v>
      </c>
      <c r="I8982">
        <v>0</v>
      </c>
      <c r="J8982">
        <v>0</v>
      </c>
      <c r="K8982">
        <v>0</v>
      </c>
      <c r="L8982">
        <v>0</v>
      </c>
      <c r="M8982">
        <v>0</v>
      </c>
      <c r="N8982">
        <v>0</v>
      </c>
      <c r="O8982">
        <v>0</v>
      </c>
    </row>
    <row r="8983" spans="1:15" x14ac:dyDescent="0.35">
      <c r="A8983" t="s">
        <v>9684</v>
      </c>
      <c r="B8983" t="s">
        <v>9685</v>
      </c>
      <c r="C8983" t="s">
        <v>520</v>
      </c>
      <c r="D8983" t="s">
        <v>314</v>
      </c>
      <c r="E8983" t="s">
        <v>300</v>
      </c>
      <c r="F8983" t="s">
        <v>9699</v>
      </c>
      <c r="G8983">
        <v>0</v>
      </c>
      <c r="H8983">
        <v>0</v>
      </c>
      <c r="I8983">
        <v>0</v>
      </c>
      <c r="J8983">
        <v>0</v>
      </c>
      <c r="K8983">
        <v>0</v>
      </c>
      <c r="L8983">
        <v>0</v>
      </c>
      <c r="M8983">
        <v>0</v>
      </c>
      <c r="N8983">
        <v>0</v>
      </c>
      <c r="O8983">
        <v>0</v>
      </c>
    </row>
    <row r="8984" spans="1:15" x14ac:dyDescent="0.35">
      <c r="A8984" t="s">
        <v>9684</v>
      </c>
      <c r="B8984" t="s">
        <v>9685</v>
      </c>
      <c r="C8984" t="s">
        <v>520</v>
      </c>
      <c r="D8984" t="s">
        <v>314</v>
      </c>
      <c r="E8984" t="s">
        <v>306</v>
      </c>
      <c r="F8984" t="s">
        <v>9700</v>
      </c>
      <c r="G8984">
        <v>0</v>
      </c>
      <c r="H8984">
        <v>0</v>
      </c>
      <c r="I8984">
        <v>0</v>
      </c>
      <c r="J8984">
        <v>0</v>
      </c>
      <c r="K8984">
        <v>0</v>
      </c>
      <c r="L8984">
        <v>0</v>
      </c>
      <c r="M8984">
        <v>0</v>
      </c>
      <c r="N8984">
        <v>0</v>
      </c>
      <c r="O8984">
        <v>0</v>
      </c>
    </row>
    <row r="8985" spans="1:15" x14ac:dyDescent="0.35">
      <c r="A8985" t="s">
        <v>9684</v>
      </c>
      <c r="B8985" t="s">
        <v>9685</v>
      </c>
      <c r="C8985" t="s">
        <v>520</v>
      </c>
      <c r="D8985" t="s">
        <v>314</v>
      </c>
      <c r="E8985" t="s">
        <v>308</v>
      </c>
      <c r="F8985" t="s">
        <v>9701</v>
      </c>
      <c r="G8985">
        <v>0</v>
      </c>
      <c r="H8985">
        <v>0</v>
      </c>
      <c r="I8985">
        <v>0</v>
      </c>
      <c r="J8985">
        <v>0</v>
      </c>
      <c r="K8985">
        <v>0</v>
      </c>
      <c r="L8985">
        <v>0</v>
      </c>
      <c r="M8985">
        <v>0</v>
      </c>
      <c r="N8985">
        <v>0</v>
      </c>
      <c r="O8985">
        <v>0</v>
      </c>
    </row>
    <row r="8986" spans="1:15" x14ac:dyDescent="0.35">
      <c r="A8986" t="s">
        <v>9684</v>
      </c>
      <c r="B8986" t="s">
        <v>9685</v>
      </c>
      <c r="C8986" t="s">
        <v>520</v>
      </c>
      <c r="D8986" t="s">
        <v>314</v>
      </c>
      <c r="E8986" t="s">
        <v>312</v>
      </c>
      <c r="F8986" t="s">
        <v>9702</v>
      </c>
      <c r="G8986">
        <v>7</v>
      </c>
      <c r="H8986">
        <v>1053.97</v>
      </c>
      <c r="I8986">
        <v>150.57</v>
      </c>
      <c r="J8986">
        <v>0</v>
      </c>
      <c r="K8986">
        <v>0</v>
      </c>
      <c r="L8986">
        <v>0</v>
      </c>
      <c r="M8986">
        <v>7</v>
      </c>
      <c r="N8986">
        <v>1053.97</v>
      </c>
      <c r="O8986">
        <v>150.57</v>
      </c>
    </row>
    <row r="8987" spans="1:15" x14ac:dyDescent="0.35">
      <c r="A8987" t="s">
        <v>9684</v>
      </c>
      <c r="B8987" t="s">
        <v>9685</v>
      </c>
      <c r="C8987" t="s">
        <v>520</v>
      </c>
      <c r="D8987" t="s">
        <v>314</v>
      </c>
      <c r="E8987" t="s">
        <v>310</v>
      </c>
      <c r="F8987" t="s">
        <v>9703</v>
      </c>
      <c r="G8987">
        <v>7</v>
      </c>
      <c r="H8987">
        <v>1053.97</v>
      </c>
      <c r="I8987">
        <v>150.57</v>
      </c>
      <c r="J8987">
        <v>0</v>
      </c>
      <c r="K8987">
        <v>0</v>
      </c>
      <c r="L8987">
        <v>0</v>
      </c>
      <c r="M8987">
        <v>7</v>
      </c>
      <c r="N8987">
        <v>1053.97</v>
      </c>
      <c r="O8987">
        <v>150.57</v>
      </c>
    </row>
    <row r="8988" spans="1:15" x14ac:dyDescent="0.35">
      <c r="A8988" t="s">
        <v>9684</v>
      </c>
      <c r="B8988" t="s">
        <v>9685</v>
      </c>
      <c r="C8988" t="s">
        <v>520</v>
      </c>
      <c r="D8988" t="s">
        <v>323</v>
      </c>
      <c r="E8988" t="s">
        <v>294</v>
      </c>
      <c r="F8988" t="s">
        <v>9704</v>
      </c>
      <c r="G8988">
        <v>5119</v>
      </c>
      <c r="H8988">
        <v>433215.49999999994</v>
      </c>
      <c r="I8988">
        <v>84.63</v>
      </c>
      <c r="J8988">
        <v>0</v>
      </c>
      <c r="K8988">
        <v>0</v>
      </c>
      <c r="L8988">
        <v>0</v>
      </c>
      <c r="M8988">
        <v>5119</v>
      </c>
      <c r="N8988">
        <v>433215.49999999994</v>
      </c>
      <c r="O8988">
        <v>84.63</v>
      </c>
    </row>
    <row r="8989" spans="1:15" x14ac:dyDescent="0.35">
      <c r="A8989" t="s">
        <v>9684</v>
      </c>
      <c r="B8989" t="s">
        <v>9685</v>
      </c>
      <c r="C8989" t="s">
        <v>520</v>
      </c>
      <c r="D8989" t="s">
        <v>323</v>
      </c>
      <c r="E8989" t="s">
        <v>296</v>
      </c>
      <c r="F8989" t="s">
        <v>9705</v>
      </c>
      <c r="G8989">
        <v>5908</v>
      </c>
      <c r="H8989">
        <v>567060.26</v>
      </c>
      <c r="I8989">
        <v>95.98</v>
      </c>
      <c r="J8989">
        <v>0</v>
      </c>
      <c r="K8989">
        <v>0</v>
      </c>
      <c r="L8989">
        <v>0</v>
      </c>
      <c r="M8989">
        <v>5908</v>
      </c>
      <c r="N8989">
        <v>567060.26</v>
      </c>
      <c r="O8989">
        <v>95.98</v>
      </c>
    </row>
    <row r="8990" spans="1:15" x14ac:dyDescent="0.35">
      <c r="A8990" t="s">
        <v>9684</v>
      </c>
      <c r="B8990" t="s">
        <v>9685</v>
      </c>
      <c r="C8990" t="s">
        <v>520</v>
      </c>
      <c r="D8990" t="s">
        <v>323</v>
      </c>
      <c r="E8990" t="s">
        <v>298</v>
      </c>
      <c r="F8990" t="s">
        <v>9706</v>
      </c>
      <c r="G8990">
        <v>5249</v>
      </c>
      <c r="H8990">
        <v>549031.74</v>
      </c>
      <c r="I8990">
        <v>104.6</v>
      </c>
      <c r="J8990">
        <v>0</v>
      </c>
      <c r="K8990">
        <v>0</v>
      </c>
      <c r="L8990">
        <v>0</v>
      </c>
      <c r="M8990">
        <v>5249</v>
      </c>
      <c r="N8990">
        <v>549031.74</v>
      </c>
      <c r="O8990">
        <v>104.6</v>
      </c>
    </row>
    <row r="8991" spans="1:15" x14ac:dyDescent="0.35">
      <c r="A8991" t="s">
        <v>9684</v>
      </c>
      <c r="B8991" t="s">
        <v>9685</v>
      </c>
      <c r="C8991" t="s">
        <v>520</v>
      </c>
      <c r="D8991" t="s">
        <v>323</v>
      </c>
      <c r="E8991" t="s">
        <v>300</v>
      </c>
      <c r="F8991" t="s">
        <v>9707</v>
      </c>
      <c r="G8991">
        <v>507</v>
      </c>
      <c r="H8991">
        <v>61447.33</v>
      </c>
      <c r="I8991">
        <v>121.2</v>
      </c>
      <c r="J8991">
        <v>0</v>
      </c>
      <c r="K8991">
        <v>0</v>
      </c>
      <c r="L8991">
        <v>0</v>
      </c>
      <c r="M8991">
        <v>507</v>
      </c>
      <c r="N8991">
        <v>61447.33</v>
      </c>
      <c r="O8991">
        <v>121.2</v>
      </c>
    </row>
    <row r="8992" spans="1:15" x14ac:dyDescent="0.35">
      <c r="A8992" t="s">
        <v>9684</v>
      </c>
      <c r="B8992" t="s">
        <v>9685</v>
      </c>
      <c r="C8992" t="s">
        <v>520</v>
      </c>
      <c r="D8992" t="s">
        <v>323</v>
      </c>
      <c r="E8992" t="s">
        <v>302</v>
      </c>
      <c r="F8992" t="s">
        <v>9708</v>
      </c>
      <c r="G8992">
        <v>53</v>
      </c>
      <c r="H8992">
        <v>6878.1100000000006</v>
      </c>
      <c r="I8992">
        <v>129.78</v>
      </c>
      <c r="J8992">
        <v>0</v>
      </c>
      <c r="K8992">
        <v>0</v>
      </c>
      <c r="L8992">
        <v>0</v>
      </c>
      <c r="M8992">
        <v>53</v>
      </c>
      <c r="N8992">
        <v>6878.1100000000006</v>
      </c>
      <c r="O8992">
        <v>129.78</v>
      </c>
    </row>
    <row r="8993" spans="1:15" x14ac:dyDescent="0.35">
      <c r="A8993" t="s">
        <v>9684</v>
      </c>
      <c r="B8993" t="s">
        <v>9685</v>
      </c>
      <c r="C8993" t="s">
        <v>520</v>
      </c>
      <c r="D8993" t="s">
        <v>323</v>
      </c>
      <c r="E8993" t="s">
        <v>304</v>
      </c>
      <c r="F8993" t="s">
        <v>9709</v>
      </c>
      <c r="G8993">
        <v>13</v>
      </c>
      <c r="H8993">
        <v>1772.1</v>
      </c>
      <c r="I8993">
        <v>136.32</v>
      </c>
      <c r="J8993">
        <v>0</v>
      </c>
      <c r="K8993">
        <v>0</v>
      </c>
      <c r="L8993">
        <v>0</v>
      </c>
      <c r="M8993">
        <v>13</v>
      </c>
      <c r="N8993">
        <v>1772.1</v>
      </c>
      <c r="O8993">
        <v>136.32</v>
      </c>
    </row>
    <row r="8994" spans="1:15" x14ac:dyDescent="0.35">
      <c r="A8994" t="s">
        <v>9684</v>
      </c>
      <c r="B8994" t="s">
        <v>9685</v>
      </c>
      <c r="C8994" t="s">
        <v>520</v>
      </c>
      <c r="D8994" t="s">
        <v>323</v>
      </c>
      <c r="E8994" t="s">
        <v>306</v>
      </c>
      <c r="F8994" t="s">
        <v>9710</v>
      </c>
      <c r="G8994">
        <v>22</v>
      </c>
      <c r="H8994">
        <v>1593.22</v>
      </c>
      <c r="I8994">
        <v>72.42</v>
      </c>
      <c r="J8994">
        <v>0</v>
      </c>
      <c r="K8994">
        <v>0</v>
      </c>
      <c r="L8994">
        <v>0</v>
      </c>
      <c r="M8994">
        <v>22</v>
      </c>
      <c r="N8994">
        <v>1593.22</v>
      </c>
      <c r="O8994">
        <v>72.42</v>
      </c>
    </row>
    <row r="8995" spans="1:15" x14ac:dyDescent="0.35">
      <c r="A8995" t="s">
        <v>9684</v>
      </c>
      <c r="B8995" t="s">
        <v>9685</v>
      </c>
      <c r="C8995" t="s">
        <v>520</v>
      </c>
      <c r="D8995" t="s">
        <v>323</v>
      </c>
      <c r="E8995" t="s">
        <v>308</v>
      </c>
      <c r="F8995" t="s">
        <v>9711</v>
      </c>
      <c r="G8995">
        <v>3</v>
      </c>
      <c r="H8995">
        <v>267.43</v>
      </c>
      <c r="I8995">
        <v>89.14</v>
      </c>
      <c r="J8995">
        <v>0</v>
      </c>
      <c r="K8995">
        <v>0</v>
      </c>
      <c r="L8995">
        <v>0</v>
      </c>
      <c r="M8995">
        <v>3</v>
      </c>
      <c r="N8995">
        <v>267.43</v>
      </c>
      <c r="O8995">
        <v>89.14</v>
      </c>
    </row>
    <row r="8996" spans="1:15" x14ac:dyDescent="0.35">
      <c r="A8996" t="s">
        <v>9684</v>
      </c>
      <c r="B8996" t="s">
        <v>9685</v>
      </c>
      <c r="C8996" t="s">
        <v>520</v>
      </c>
      <c r="D8996" t="s">
        <v>323</v>
      </c>
      <c r="E8996" t="s">
        <v>310</v>
      </c>
      <c r="F8996" t="s">
        <v>9712</v>
      </c>
      <c r="G8996">
        <v>16874</v>
      </c>
      <c r="H8996">
        <v>1621265.6900000002</v>
      </c>
      <c r="I8996">
        <v>96.08</v>
      </c>
      <c r="J8996">
        <v>0</v>
      </c>
      <c r="K8996">
        <v>0</v>
      </c>
      <c r="L8996">
        <v>0</v>
      </c>
      <c r="M8996">
        <v>16874</v>
      </c>
      <c r="N8996">
        <v>1621265.6900000002</v>
      </c>
      <c r="O8996">
        <v>96.08</v>
      </c>
    </row>
    <row r="8997" spans="1:15" x14ac:dyDescent="0.35">
      <c r="A8997" t="s">
        <v>9684</v>
      </c>
      <c r="B8997" t="s">
        <v>9685</v>
      </c>
      <c r="C8997" t="s">
        <v>520</v>
      </c>
      <c r="D8997" t="s">
        <v>323</v>
      </c>
      <c r="E8997" t="s">
        <v>312</v>
      </c>
      <c r="F8997" t="s">
        <v>9713</v>
      </c>
      <c r="G8997">
        <v>16871</v>
      </c>
      <c r="H8997">
        <v>1620998.2600000002</v>
      </c>
      <c r="I8997">
        <v>96.08</v>
      </c>
      <c r="J8997">
        <v>0</v>
      </c>
      <c r="K8997">
        <v>0</v>
      </c>
      <c r="L8997">
        <v>0</v>
      </c>
      <c r="M8997">
        <v>16871</v>
      </c>
      <c r="N8997">
        <v>1620998.2600000002</v>
      </c>
      <c r="O8997">
        <v>96.08</v>
      </c>
    </row>
    <row r="8998" spans="1:15" x14ac:dyDescent="0.35">
      <c r="A8998" t="s">
        <v>9684</v>
      </c>
      <c r="B8998" t="s">
        <v>9685</v>
      </c>
      <c r="C8998" t="s">
        <v>520</v>
      </c>
      <c r="D8998" t="s">
        <v>334</v>
      </c>
      <c r="E8998" t="s">
        <v>312</v>
      </c>
      <c r="F8998" t="s">
        <v>9714</v>
      </c>
      <c r="G8998">
        <v>21179</v>
      </c>
      <c r="H8998">
        <v>2104353.9700000002</v>
      </c>
      <c r="I8998">
        <v>101.21</v>
      </c>
      <c r="J8998">
        <v>0</v>
      </c>
      <c r="K8998">
        <v>0</v>
      </c>
      <c r="L8998">
        <v>0</v>
      </c>
      <c r="M8998">
        <v>21179</v>
      </c>
      <c r="N8998">
        <v>2104353.9700000002</v>
      </c>
      <c r="O8998">
        <v>101.21</v>
      </c>
    </row>
    <row r="8999" spans="1:15" x14ac:dyDescent="0.35">
      <c r="A8999" t="s">
        <v>9684</v>
      </c>
      <c r="B8999" t="s">
        <v>9685</v>
      </c>
      <c r="C8999" t="s">
        <v>520</v>
      </c>
      <c r="D8999" t="s">
        <v>334</v>
      </c>
      <c r="E8999" t="s">
        <v>308</v>
      </c>
      <c r="F8999" t="s">
        <v>9715</v>
      </c>
      <c r="G8999">
        <v>9</v>
      </c>
      <c r="H8999">
        <v>856.69</v>
      </c>
      <c r="I8999">
        <v>95.19</v>
      </c>
      <c r="J8999">
        <v>0</v>
      </c>
      <c r="K8999">
        <v>0</v>
      </c>
      <c r="L8999">
        <v>0</v>
      </c>
      <c r="M8999">
        <v>9</v>
      </c>
      <c r="N8999">
        <v>856.69</v>
      </c>
      <c r="O8999">
        <v>95.19</v>
      </c>
    </row>
    <row r="9000" spans="1:15" x14ac:dyDescent="0.35">
      <c r="A9000" t="s">
        <v>9684</v>
      </c>
      <c r="B9000" t="s">
        <v>9685</v>
      </c>
      <c r="C9000" t="s">
        <v>520</v>
      </c>
      <c r="D9000" t="s">
        <v>337</v>
      </c>
      <c r="E9000" t="s">
        <v>337</v>
      </c>
      <c r="F9000" t="s">
        <v>9716</v>
      </c>
      <c r="G9000">
        <v>598</v>
      </c>
      <c r="J9000">
        <v>0</v>
      </c>
      <c r="M9000">
        <v>598</v>
      </c>
    </row>
    <row r="9001" spans="1:15" x14ac:dyDescent="0.35">
      <c r="A9001" t="s">
        <v>9684</v>
      </c>
      <c r="B9001" t="s">
        <v>9685</v>
      </c>
      <c r="C9001" t="s">
        <v>520</v>
      </c>
      <c r="D9001" t="s">
        <v>339</v>
      </c>
      <c r="E9001" t="s">
        <v>294</v>
      </c>
      <c r="F9001" t="s">
        <v>9717</v>
      </c>
      <c r="G9001">
        <v>3367</v>
      </c>
      <c r="H9001">
        <v>331751.55000000005</v>
      </c>
      <c r="I9001">
        <v>98.53</v>
      </c>
      <c r="J9001">
        <v>0</v>
      </c>
      <c r="K9001">
        <v>0</v>
      </c>
      <c r="L9001">
        <v>0</v>
      </c>
      <c r="M9001">
        <v>3367</v>
      </c>
      <c r="N9001">
        <v>331751.55000000005</v>
      </c>
      <c r="O9001">
        <v>98.53</v>
      </c>
    </row>
    <row r="9002" spans="1:15" x14ac:dyDescent="0.35">
      <c r="A9002" t="s">
        <v>9684</v>
      </c>
      <c r="B9002" t="s">
        <v>9685</v>
      </c>
      <c r="C9002" t="s">
        <v>520</v>
      </c>
      <c r="D9002" t="s">
        <v>339</v>
      </c>
      <c r="E9002" t="s">
        <v>296</v>
      </c>
      <c r="F9002" t="s">
        <v>9718</v>
      </c>
      <c r="G9002">
        <v>459</v>
      </c>
      <c r="H9002">
        <v>49247.57</v>
      </c>
      <c r="I9002">
        <v>107.29</v>
      </c>
      <c r="J9002">
        <v>0</v>
      </c>
      <c r="K9002">
        <v>0</v>
      </c>
      <c r="L9002">
        <v>0</v>
      </c>
      <c r="M9002">
        <v>459</v>
      </c>
      <c r="N9002">
        <v>49247.57</v>
      </c>
      <c r="O9002">
        <v>107.29</v>
      </c>
    </row>
    <row r="9003" spans="1:15" x14ac:dyDescent="0.35">
      <c r="A9003" t="s">
        <v>9684</v>
      </c>
      <c r="B9003" t="s">
        <v>9685</v>
      </c>
      <c r="C9003" t="s">
        <v>520</v>
      </c>
      <c r="D9003" t="s">
        <v>339</v>
      </c>
      <c r="E9003" t="s">
        <v>298</v>
      </c>
      <c r="F9003" t="s">
        <v>9719</v>
      </c>
      <c r="G9003">
        <v>19</v>
      </c>
      <c r="H9003">
        <v>2240.94</v>
      </c>
      <c r="I9003">
        <v>117.94</v>
      </c>
      <c r="J9003">
        <v>0</v>
      </c>
      <c r="K9003">
        <v>0</v>
      </c>
      <c r="L9003">
        <v>0</v>
      </c>
      <c r="M9003">
        <v>19</v>
      </c>
      <c r="N9003">
        <v>2240.94</v>
      </c>
      <c r="O9003">
        <v>117.94</v>
      </c>
    </row>
    <row r="9004" spans="1:15" x14ac:dyDescent="0.35">
      <c r="A9004" t="s">
        <v>9684</v>
      </c>
      <c r="B9004" t="s">
        <v>9685</v>
      </c>
      <c r="C9004" t="s">
        <v>520</v>
      </c>
      <c r="D9004" t="s">
        <v>339</v>
      </c>
      <c r="E9004" t="s">
        <v>300</v>
      </c>
      <c r="F9004" t="s">
        <v>9720</v>
      </c>
      <c r="G9004">
        <v>1</v>
      </c>
      <c r="H9004">
        <v>123.75</v>
      </c>
      <c r="I9004">
        <v>123.75</v>
      </c>
      <c r="J9004">
        <v>0</v>
      </c>
      <c r="K9004">
        <v>0</v>
      </c>
      <c r="L9004">
        <v>0</v>
      </c>
      <c r="M9004">
        <v>1</v>
      </c>
      <c r="N9004">
        <v>123.75</v>
      </c>
      <c r="O9004">
        <v>123.75</v>
      </c>
    </row>
    <row r="9005" spans="1:15" x14ac:dyDescent="0.35">
      <c r="A9005" t="s">
        <v>9684</v>
      </c>
      <c r="B9005" t="s">
        <v>9685</v>
      </c>
      <c r="C9005" t="s">
        <v>520</v>
      </c>
      <c r="D9005" t="s">
        <v>339</v>
      </c>
      <c r="E9005" t="s">
        <v>306</v>
      </c>
      <c r="F9005" t="s">
        <v>9721</v>
      </c>
      <c r="G9005">
        <v>153</v>
      </c>
      <c r="H9005">
        <v>12504.89</v>
      </c>
      <c r="I9005">
        <v>81.73</v>
      </c>
      <c r="J9005">
        <v>0</v>
      </c>
      <c r="K9005">
        <v>0</v>
      </c>
      <c r="L9005">
        <v>0</v>
      </c>
      <c r="M9005">
        <v>153</v>
      </c>
      <c r="N9005">
        <v>12504.89</v>
      </c>
      <c r="O9005">
        <v>81.73</v>
      </c>
    </row>
    <row r="9006" spans="1:15" x14ac:dyDescent="0.35">
      <c r="A9006" t="s">
        <v>9684</v>
      </c>
      <c r="B9006" t="s">
        <v>9685</v>
      </c>
      <c r="C9006" t="s">
        <v>520</v>
      </c>
      <c r="D9006" t="s">
        <v>339</v>
      </c>
      <c r="E9006" t="s">
        <v>308</v>
      </c>
      <c r="F9006" t="s">
        <v>9722</v>
      </c>
      <c r="G9006">
        <v>351</v>
      </c>
      <c r="H9006">
        <v>37772.58</v>
      </c>
      <c r="I9006">
        <v>107.61</v>
      </c>
      <c r="J9006">
        <v>0</v>
      </c>
      <c r="K9006">
        <v>0</v>
      </c>
      <c r="L9006">
        <v>0</v>
      </c>
      <c r="M9006">
        <v>351</v>
      </c>
      <c r="N9006">
        <v>37772.58</v>
      </c>
      <c r="O9006">
        <v>107.61</v>
      </c>
    </row>
    <row r="9007" spans="1:15" x14ac:dyDescent="0.35">
      <c r="A9007" t="s">
        <v>9684</v>
      </c>
      <c r="B9007" t="s">
        <v>9685</v>
      </c>
      <c r="C9007" t="s">
        <v>520</v>
      </c>
      <c r="D9007" t="s">
        <v>339</v>
      </c>
      <c r="E9007" t="s">
        <v>310</v>
      </c>
      <c r="F9007" t="s">
        <v>9723</v>
      </c>
      <c r="G9007">
        <v>4350</v>
      </c>
      <c r="H9007">
        <v>433641.28000000009</v>
      </c>
      <c r="I9007">
        <v>99.69</v>
      </c>
      <c r="J9007">
        <v>0</v>
      </c>
      <c r="K9007">
        <v>0</v>
      </c>
      <c r="L9007">
        <v>0</v>
      </c>
      <c r="M9007">
        <v>4350</v>
      </c>
      <c r="N9007">
        <v>433641.28000000009</v>
      </c>
      <c r="O9007">
        <v>99.69</v>
      </c>
    </row>
    <row r="9008" spans="1:15" x14ac:dyDescent="0.35">
      <c r="A9008" t="s">
        <v>9684</v>
      </c>
      <c r="B9008" t="s">
        <v>9685</v>
      </c>
      <c r="C9008" t="s">
        <v>520</v>
      </c>
      <c r="D9008" t="s">
        <v>339</v>
      </c>
      <c r="E9008" t="s">
        <v>312</v>
      </c>
      <c r="F9008" t="s">
        <v>9724</v>
      </c>
      <c r="G9008">
        <v>3999</v>
      </c>
      <c r="H9008">
        <v>395868.70000000007</v>
      </c>
      <c r="I9008">
        <v>98.99</v>
      </c>
      <c r="J9008">
        <v>0</v>
      </c>
      <c r="K9008">
        <v>0</v>
      </c>
      <c r="L9008">
        <v>0</v>
      </c>
      <c r="M9008">
        <v>3999</v>
      </c>
      <c r="N9008">
        <v>395868.70000000007</v>
      </c>
      <c r="O9008">
        <v>98.99</v>
      </c>
    </row>
    <row r="9009" spans="1:15" x14ac:dyDescent="0.35">
      <c r="A9009" t="s">
        <v>9684</v>
      </c>
      <c r="B9009" t="s">
        <v>9685</v>
      </c>
      <c r="C9009" t="s">
        <v>520</v>
      </c>
      <c r="D9009" t="s">
        <v>348</v>
      </c>
      <c r="E9009" t="s">
        <v>349</v>
      </c>
      <c r="F9009" t="s">
        <v>9725</v>
      </c>
      <c r="G9009">
        <v>4418</v>
      </c>
      <c r="H9009">
        <v>434695.25000000006</v>
      </c>
      <c r="I9009">
        <v>99.77</v>
      </c>
      <c r="J9009">
        <v>0</v>
      </c>
      <c r="K9009">
        <v>0</v>
      </c>
      <c r="L9009">
        <v>0</v>
      </c>
      <c r="M9009">
        <v>4418</v>
      </c>
      <c r="N9009">
        <v>434695.25000000006</v>
      </c>
      <c r="O9009">
        <v>99.77</v>
      </c>
    </row>
    <row r="9010" spans="1:15" x14ac:dyDescent="0.35">
      <c r="A9010" t="s">
        <v>9726</v>
      </c>
      <c r="B9010" t="s">
        <v>9727</v>
      </c>
      <c r="C9010" t="s">
        <v>520</v>
      </c>
      <c r="D9010" t="s">
        <v>293</v>
      </c>
      <c r="E9010" t="s">
        <v>294</v>
      </c>
      <c r="F9010" t="s">
        <v>9728</v>
      </c>
      <c r="G9010">
        <v>131</v>
      </c>
      <c r="H9010">
        <v>14399.919999999998</v>
      </c>
      <c r="I9010">
        <v>109.92</v>
      </c>
      <c r="J9010">
        <v>11</v>
      </c>
      <c r="K9010">
        <v>1190.53</v>
      </c>
      <c r="L9010">
        <v>108.23</v>
      </c>
      <c r="M9010">
        <v>142</v>
      </c>
      <c r="N9010">
        <v>15590.449999999999</v>
      </c>
      <c r="O9010">
        <v>109.79</v>
      </c>
    </row>
    <row r="9011" spans="1:15" x14ac:dyDescent="0.35">
      <c r="A9011" t="s">
        <v>9726</v>
      </c>
      <c r="B9011" t="s">
        <v>9727</v>
      </c>
      <c r="C9011" t="s">
        <v>520</v>
      </c>
      <c r="D9011" t="s">
        <v>293</v>
      </c>
      <c r="E9011" t="s">
        <v>296</v>
      </c>
      <c r="F9011" t="s">
        <v>9729</v>
      </c>
      <c r="G9011">
        <v>314</v>
      </c>
      <c r="H9011">
        <v>39810.89</v>
      </c>
      <c r="I9011">
        <v>126.79</v>
      </c>
      <c r="J9011">
        <v>9</v>
      </c>
      <c r="K9011">
        <v>1118.79</v>
      </c>
      <c r="L9011">
        <v>124.31</v>
      </c>
      <c r="M9011">
        <v>323</v>
      </c>
      <c r="N9011">
        <v>40929.68</v>
      </c>
      <c r="O9011">
        <v>126.72</v>
      </c>
    </row>
    <row r="9012" spans="1:15" x14ac:dyDescent="0.35">
      <c r="A9012" t="s">
        <v>9726</v>
      </c>
      <c r="B9012" t="s">
        <v>9727</v>
      </c>
      <c r="C9012" t="s">
        <v>520</v>
      </c>
      <c r="D9012" t="s">
        <v>293</v>
      </c>
      <c r="E9012" t="s">
        <v>298</v>
      </c>
      <c r="F9012" t="s">
        <v>9730</v>
      </c>
      <c r="G9012">
        <v>216</v>
      </c>
      <c r="H9012">
        <v>30090.66</v>
      </c>
      <c r="I9012">
        <v>139.31</v>
      </c>
      <c r="J9012">
        <v>2</v>
      </c>
      <c r="K9012">
        <v>323.45999999999998</v>
      </c>
      <c r="L9012">
        <v>161.72999999999999</v>
      </c>
      <c r="M9012">
        <v>218</v>
      </c>
      <c r="N9012">
        <v>30414.12</v>
      </c>
      <c r="O9012">
        <v>139.51</v>
      </c>
    </row>
    <row r="9013" spans="1:15" x14ac:dyDescent="0.35">
      <c r="A9013" t="s">
        <v>9726</v>
      </c>
      <c r="B9013" t="s">
        <v>9727</v>
      </c>
      <c r="C9013" t="s">
        <v>520</v>
      </c>
      <c r="D9013" t="s">
        <v>293</v>
      </c>
      <c r="E9013" t="s">
        <v>300</v>
      </c>
      <c r="F9013" t="s">
        <v>9731</v>
      </c>
      <c r="G9013">
        <v>11</v>
      </c>
      <c r="H9013">
        <v>1774.51</v>
      </c>
      <c r="I9013">
        <v>161.32</v>
      </c>
      <c r="J9013">
        <v>0</v>
      </c>
      <c r="K9013">
        <v>0</v>
      </c>
      <c r="L9013">
        <v>0</v>
      </c>
      <c r="M9013">
        <v>11</v>
      </c>
      <c r="N9013">
        <v>1774.51</v>
      </c>
      <c r="O9013">
        <v>161.32</v>
      </c>
    </row>
    <row r="9014" spans="1:15" x14ac:dyDescent="0.35">
      <c r="A9014" t="s">
        <v>9726</v>
      </c>
      <c r="B9014" t="s">
        <v>9727</v>
      </c>
      <c r="C9014" t="s">
        <v>520</v>
      </c>
      <c r="D9014" t="s">
        <v>293</v>
      </c>
      <c r="E9014" t="s">
        <v>302</v>
      </c>
      <c r="F9014" t="s">
        <v>9732</v>
      </c>
      <c r="G9014">
        <v>1</v>
      </c>
      <c r="H9014">
        <v>138.44</v>
      </c>
      <c r="I9014">
        <v>138.44</v>
      </c>
      <c r="J9014">
        <v>0</v>
      </c>
      <c r="K9014">
        <v>0</v>
      </c>
      <c r="L9014">
        <v>0</v>
      </c>
      <c r="M9014">
        <v>1</v>
      </c>
      <c r="N9014">
        <v>138.44</v>
      </c>
      <c r="O9014">
        <v>138.44</v>
      </c>
    </row>
    <row r="9015" spans="1:15" x14ac:dyDescent="0.35">
      <c r="A9015" t="s">
        <v>9726</v>
      </c>
      <c r="B9015" t="s">
        <v>9727</v>
      </c>
      <c r="C9015" t="s">
        <v>520</v>
      </c>
      <c r="D9015" t="s">
        <v>293</v>
      </c>
      <c r="E9015" t="s">
        <v>304</v>
      </c>
      <c r="F9015" t="s">
        <v>9733</v>
      </c>
      <c r="G9015">
        <v>0</v>
      </c>
      <c r="H9015">
        <v>0</v>
      </c>
      <c r="I9015">
        <v>0</v>
      </c>
      <c r="J9015">
        <v>0</v>
      </c>
      <c r="K9015">
        <v>0</v>
      </c>
      <c r="L9015">
        <v>0</v>
      </c>
      <c r="M9015">
        <v>0</v>
      </c>
      <c r="N9015">
        <v>0</v>
      </c>
      <c r="O9015">
        <v>0</v>
      </c>
    </row>
    <row r="9016" spans="1:15" x14ac:dyDescent="0.35">
      <c r="A9016" t="s">
        <v>9726</v>
      </c>
      <c r="B9016" t="s">
        <v>9727</v>
      </c>
      <c r="C9016" t="s">
        <v>520</v>
      </c>
      <c r="D9016" t="s">
        <v>293</v>
      </c>
      <c r="E9016" t="s">
        <v>306</v>
      </c>
      <c r="F9016" t="s">
        <v>9734</v>
      </c>
      <c r="G9016">
        <v>0</v>
      </c>
      <c r="H9016">
        <v>0</v>
      </c>
      <c r="I9016">
        <v>0</v>
      </c>
      <c r="J9016">
        <v>0</v>
      </c>
      <c r="K9016">
        <v>0</v>
      </c>
      <c r="L9016">
        <v>0</v>
      </c>
      <c r="M9016">
        <v>0</v>
      </c>
      <c r="N9016">
        <v>0</v>
      </c>
      <c r="O9016">
        <v>0</v>
      </c>
    </row>
    <row r="9017" spans="1:15" x14ac:dyDescent="0.35">
      <c r="A9017" t="s">
        <v>9726</v>
      </c>
      <c r="B9017" t="s">
        <v>9727</v>
      </c>
      <c r="C9017" t="s">
        <v>520</v>
      </c>
      <c r="D9017" t="s">
        <v>293</v>
      </c>
      <c r="E9017" t="s">
        <v>308</v>
      </c>
      <c r="F9017" t="s">
        <v>9735</v>
      </c>
      <c r="G9017">
        <v>0</v>
      </c>
      <c r="H9017">
        <v>0</v>
      </c>
      <c r="I9017">
        <v>0</v>
      </c>
      <c r="J9017">
        <v>0</v>
      </c>
      <c r="K9017">
        <v>0</v>
      </c>
      <c r="L9017">
        <v>0</v>
      </c>
      <c r="M9017">
        <v>0</v>
      </c>
      <c r="N9017">
        <v>0</v>
      </c>
      <c r="O9017">
        <v>0</v>
      </c>
    </row>
    <row r="9018" spans="1:15" x14ac:dyDescent="0.35">
      <c r="A9018" t="s">
        <v>9726</v>
      </c>
      <c r="B9018" t="s">
        <v>9727</v>
      </c>
      <c r="C9018" t="s">
        <v>520</v>
      </c>
      <c r="D9018" t="s">
        <v>293</v>
      </c>
      <c r="E9018" t="s">
        <v>310</v>
      </c>
      <c r="F9018" t="s">
        <v>9736</v>
      </c>
      <c r="G9018">
        <v>673</v>
      </c>
      <c r="H9018">
        <v>86214.42</v>
      </c>
      <c r="I9018">
        <v>128.1</v>
      </c>
      <c r="J9018">
        <v>22</v>
      </c>
      <c r="K9018">
        <v>2632.7799999999997</v>
      </c>
      <c r="L9018">
        <v>119.67</v>
      </c>
      <c r="M9018">
        <v>695</v>
      </c>
      <c r="N9018">
        <v>88847.2</v>
      </c>
      <c r="O9018">
        <v>127.84</v>
      </c>
    </row>
    <row r="9019" spans="1:15" x14ac:dyDescent="0.35">
      <c r="A9019" t="s">
        <v>9726</v>
      </c>
      <c r="B9019" t="s">
        <v>9727</v>
      </c>
      <c r="C9019" t="s">
        <v>520</v>
      </c>
      <c r="D9019" t="s">
        <v>293</v>
      </c>
      <c r="E9019" t="s">
        <v>312</v>
      </c>
      <c r="F9019" t="s">
        <v>9737</v>
      </c>
      <c r="G9019">
        <v>673</v>
      </c>
      <c r="H9019">
        <v>86214.42</v>
      </c>
      <c r="I9019">
        <v>128.1</v>
      </c>
      <c r="J9019">
        <v>22</v>
      </c>
      <c r="K9019">
        <v>2632.7799999999997</v>
      </c>
      <c r="L9019">
        <v>119.67</v>
      </c>
      <c r="M9019">
        <v>695</v>
      </c>
      <c r="N9019">
        <v>88847.2</v>
      </c>
      <c r="O9019">
        <v>127.84</v>
      </c>
    </row>
    <row r="9020" spans="1:15" x14ac:dyDescent="0.35">
      <c r="A9020" t="s">
        <v>9726</v>
      </c>
      <c r="B9020" t="s">
        <v>9727</v>
      </c>
      <c r="C9020" t="s">
        <v>520</v>
      </c>
      <c r="D9020" t="s">
        <v>314</v>
      </c>
      <c r="E9020" t="s">
        <v>294</v>
      </c>
      <c r="F9020" t="s">
        <v>9738</v>
      </c>
      <c r="G9020">
        <v>12</v>
      </c>
      <c r="H9020">
        <v>1893.84</v>
      </c>
      <c r="I9020">
        <v>157.82</v>
      </c>
      <c r="J9020">
        <v>14</v>
      </c>
      <c r="K9020">
        <v>2789.5</v>
      </c>
      <c r="L9020">
        <v>199.25</v>
      </c>
      <c r="M9020">
        <v>26</v>
      </c>
      <c r="N9020">
        <v>4683.34</v>
      </c>
      <c r="O9020">
        <v>180.13</v>
      </c>
    </row>
    <row r="9021" spans="1:15" x14ac:dyDescent="0.35">
      <c r="A9021" t="s">
        <v>9726</v>
      </c>
      <c r="B9021" t="s">
        <v>9727</v>
      </c>
      <c r="C9021" t="s">
        <v>520</v>
      </c>
      <c r="D9021" t="s">
        <v>314</v>
      </c>
      <c r="E9021" t="s">
        <v>296</v>
      </c>
      <c r="F9021" t="s">
        <v>9739</v>
      </c>
      <c r="G9021">
        <v>5</v>
      </c>
      <c r="H9021">
        <v>820.69999999999993</v>
      </c>
      <c r="I9021">
        <v>164.14</v>
      </c>
      <c r="J9021">
        <v>46</v>
      </c>
      <c r="K9021">
        <v>10219.36</v>
      </c>
      <c r="L9021">
        <v>222.16</v>
      </c>
      <c r="M9021">
        <v>51</v>
      </c>
      <c r="N9021">
        <v>11040.060000000001</v>
      </c>
      <c r="O9021">
        <v>216.47</v>
      </c>
    </row>
    <row r="9022" spans="1:15" x14ac:dyDescent="0.35">
      <c r="A9022" t="s">
        <v>9726</v>
      </c>
      <c r="B9022" t="s">
        <v>9727</v>
      </c>
      <c r="C9022" t="s">
        <v>520</v>
      </c>
      <c r="D9022" t="s">
        <v>314</v>
      </c>
      <c r="E9022" t="s">
        <v>298</v>
      </c>
      <c r="F9022" t="s">
        <v>9740</v>
      </c>
      <c r="G9022">
        <v>0</v>
      </c>
      <c r="H9022">
        <v>0</v>
      </c>
      <c r="I9022">
        <v>0</v>
      </c>
      <c r="J9022">
        <v>0</v>
      </c>
      <c r="K9022">
        <v>0</v>
      </c>
      <c r="L9022">
        <v>0</v>
      </c>
      <c r="M9022">
        <v>0</v>
      </c>
      <c r="N9022">
        <v>0</v>
      </c>
      <c r="O9022">
        <v>0</v>
      </c>
    </row>
    <row r="9023" spans="1:15" x14ac:dyDescent="0.35">
      <c r="A9023" t="s">
        <v>9726</v>
      </c>
      <c r="B9023" t="s">
        <v>9727</v>
      </c>
      <c r="C9023" t="s">
        <v>520</v>
      </c>
      <c r="D9023" t="s">
        <v>314</v>
      </c>
      <c r="E9023" t="s">
        <v>300</v>
      </c>
      <c r="F9023" t="s">
        <v>9741</v>
      </c>
      <c r="G9023">
        <v>0</v>
      </c>
      <c r="H9023">
        <v>0</v>
      </c>
      <c r="I9023">
        <v>0</v>
      </c>
      <c r="J9023">
        <v>0</v>
      </c>
      <c r="K9023">
        <v>0</v>
      </c>
      <c r="L9023">
        <v>0</v>
      </c>
      <c r="M9023">
        <v>0</v>
      </c>
      <c r="N9023">
        <v>0</v>
      </c>
      <c r="O9023">
        <v>0</v>
      </c>
    </row>
    <row r="9024" spans="1:15" x14ac:dyDescent="0.35">
      <c r="A9024" t="s">
        <v>9726</v>
      </c>
      <c r="B9024" t="s">
        <v>9727</v>
      </c>
      <c r="C9024" t="s">
        <v>520</v>
      </c>
      <c r="D9024" t="s">
        <v>314</v>
      </c>
      <c r="E9024" t="s">
        <v>306</v>
      </c>
      <c r="F9024" t="s">
        <v>9742</v>
      </c>
      <c r="G9024">
        <v>0</v>
      </c>
      <c r="H9024">
        <v>0</v>
      </c>
      <c r="I9024">
        <v>0</v>
      </c>
      <c r="J9024">
        <v>0</v>
      </c>
      <c r="K9024">
        <v>0</v>
      </c>
      <c r="L9024">
        <v>0</v>
      </c>
      <c r="M9024">
        <v>0</v>
      </c>
      <c r="N9024">
        <v>0</v>
      </c>
      <c r="O9024">
        <v>0</v>
      </c>
    </row>
    <row r="9025" spans="1:15" x14ac:dyDescent="0.35">
      <c r="A9025" t="s">
        <v>9726</v>
      </c>
      <c r="B9025" t="s">
        <v>9727</v>
      </c>
      <c r="C9025" t="s">
        <v>520</v>
      </c>
      <c r="D9025" t="s">
        <v>314</v>
      </c>
      <c r="E9025" t="s">
        <v>308</v>
      </c>
      <c r="F9025" t="s">
        <v>9743</v>
      </c>
      <c r="G9025">
        <v>0</v>
      </c>
      <c r="H9025">
        <v>0</v>
      </c>
      <c r="I9025">
        <v>0</v>
      </c>
      <c r="J9025">
        <v>0</v>
      </c>
      <c r="K9025">
        <v>0</v>
      </c>
      <c r="L9025">
        <v>0</v>
      </c>
      <c r="M9025">
        <v>0</v>
      </c>
      <c r="N9025">
        <v>0</v>
      </c>
      <c r="O9025">
        <v>0</v>
      </c>
    </row>
    <row r="9026" spans="1:15" x14ac:dyDescent="0.35">
      <c r="A9026" t="s">
        <v>9726</v>
      </c>
      <c r="B9026" t="s">
        <v>9727</v>
      </c>
      <c r="C9026" t="s">
        <v>520</v>
      </c>
      <c r="D9026" t="s">
        <v>314</v>
      </c>
      <c r="E9026" t="s">
        <v>312</v>
      </c>
      <c r="F9026" t="s">
        <v>9744</v>
      </c>
      <c r="G9026">
        <v>17</v>
      </c>
      <c r="H9026">
        <v>2714.54</v>
      </c>
      <c r="I9026">
        <v>159.68</v>
      </c>
      <c r="J9026">
        <v>60</v>
      </c>
      <c r="K9026">
        <v>13008.86</v>
      </c>
      <c r="L9026">
        <v>216.81</v>
      </c>
      <c r="M9026">
        <v>77</v>
      </c>
      <c r="N9026">
        <v>15723.400000000001</v>
      </c>
      <c r="O9026">
        <v>204.2</v>
      </c>
    </row>
    <row r="9027" spans="1:15" x14ac:dyDescent="0.35">
      <c r="A9027" t="s">
        <v>9726</v>
      </c>
      <c r="B9027" t="s">
        <v>9727</v>
      </c>
      <c r="C9027" t="s">
        <v>520</v>
      </c>
      <c r="D9027" t="s">
        <v>314</v>
      </c>
      <c r="E9027" t="s">
        <v>310</v>
      </c>
      <c r="F9027" t="s">
        <v>9745</v>
      </c>
      <c r="G9027">
        <v>17</v>
      </c>
      <c r="H9027">
        <v>2714.54</v>
      </c>
      <c r="I9027">
        <v>159.68</v>
      </c>
      <c r="J9027">
        <v>60</v>
      </c>
      <c r="K9027">
        <v>13008.86</v>
      </c>
      <c r="L9027">
        <v>216.81</v>
      </c>
      <c r="M9027">
        <v>77</v>
      </c>
      <c r="N9027">
        <v>15723.400000000001</v>
      </c>
      <c r="O9027">
        <v>204.2</v>
      </c>
    </row>
    <row r="9028" spans="1:15" x14ac:dyDescent="0.35">
      <c r="A9028" t="s">
        <v>9726</v>
      </c>
      <c r="B9028" t="s">
        <v>9727</v>
      </c>
      <c r="C9028" t="s">
        <v>520</v>
      </c>
      <c r="D9028" t="s">
        <v>323</v>
      </c>
      <c r="E9028" t="s">
        <v>294</v>
      </c>
      <c r="F9028" t="s">
        <v>9746</v>
      </c>
      <c r="G9028">
        <v>848</v>
      </c>
      <c r="H9028">
        <v>75753.260000000009</v>
      </c>
      <c r="I9028">
        <v>89.33</v>
      </c>
      <c r="J9028">
        <v>2749</v>
      </c>
      <c r="K9028">
        <v>228689.31</v>
      </c>
      <c r="L9028">
        <v>83.19</v>
      </c>
      <c r="M9028">
        <v>3597</v>
      </c>
      <c r="N9028">
        <v>304442.57</v>
      </c>
      <c r="O9028">
        <v>84.64</v>
      </c>
    </row>
    <row r="9029" spans="1:15" x14ac:dyDescent="0.35">
      <c r="A9029" t="s">
        <v>9726</v>
      </c>
      <c r="B9029" t="s">
        <v>9727</v>
      </c>
      <c r="C9029" t="s">
        <v>520</v>
      </c>
      <c r="D9029" t="s">
        <v>323</v>
      </c>
      <c r="E9029" t="s">
        <v>296</v>
      </c>
      <c r="F9029" t="s">
        <v>9747</v>
      </c>
      <c r="G9029">
        <v>1488</v>
      </c>
      <c r="H9029">
        <v>150948.78</v>
      </c>
      <c r="I9029">
        <v>101.44</v>
      </c>
      <c r="J9029">
        <v>2389</v>
      </c>
      <c r="K9029">
        <v>218545.72</v>
      </c>
      <c r="L9029">
        <v>91.48</v>
      </c>
      <c r="M9029">
        <v>3877</v>
      </c>
      <c r="N9029">
        <v>369494.5</v>
      </c>
      <c r="O9029">
        <v>95.3</v>
      </c>
    </row>
    <row r="9030" spans="1:15" x14ac:dyDescent="0.35">
      <c r="A9030" t="s">
        <v>9726</v>
      </c>
      <c r="B9030" t="s">
        <v>9727</v>
      </c>
      <c r="C9030" t="s">
        <v>520</v>
      </c>
      <c r="D9030" t="s">
        <v>323</v>
      </c>
      <c r="E9030" t="s">
        <v>298</v>
      </c>
      <c r="F9030" t="s">
        <v>9748</v>
      </c>
      <c r="G9030">
        <v>673</v>
      </c>
      <c r="H9030">
        <v>76631.19</v>
      </c>
      <c r="I9030">
        <v>113.87</v>
      </c>
      <c r="J9030">
        <v>1879</v>
      </c>
      <c r="K9030">
        <v>188764.34</v>
      </c>
      <c r="L9030">
        <v>100.46</v>
      </c>
      <c r="M9030">
        <v>2552</v>
      </c>
      <c r="N9030">
        <v>265395.53000000003</v>
      </c>
      <c r="O9030">
        <v>104</v>
      </c>
    </row>
    <row r="9031" spans="1:15" x14ac:dyDescent="0.35">
      <c r="A9031" t="s">
        <v>9726</v>
      </c>
      <c r="B9031" t="s">
        <v>9727</v>
      </c>
      <c r="C9031" t="s">
        <v>520</v>
      </c>
      <c r="D9031" t="s">
        <v>323</v>
      </c>
      <c r="E9031" t="s">
        <v>300</v>
      </c>
      <c r="F9031" t="s">
        <v>9749</v>
      </c>
      <c r="G9031">
        <v>48</v>
      </c>
      <c r="H9031">
        <v>6016.5399999999991</v>
      </c>
      <c r="I9031">
        <v>125.34</v>
      </c>
      <c r="J9031">
        <v>98</v>
      </c>
      <c r="K9031">
        <v>10655.54</v>
      </c>
      <c r="L9031">
        <v>108.73</v>
      </c>
      <c r="M9031">
        <v>146</v>
      </c>
      <c r="N9031">
        <v>16672.080000000002</v>
      </c>
      <c r="O9031">
        <v>114.19</v>
      </c>
    </row>
    <row r="9032" spans="1:15" x14ac:dyDescent="0.35">
      <c r="A9032" t="s">
        <v>9726</v>
      </c>
      <c r="B9032" t="s">
        <v>9727</v>
      </c>
      <c r="C9032" t="s">
        <v>520</v>
      </c>
      <c r="D9032" t="s">
        <v>323</v>
      </c>
      <c r="E9032" t="s">
        <v>302</v>
      </c>
      <c r="F9032" t="s">
        <v>9750</v>
      </c>
      <c r="G9032">
        <v>7</v>
      </c>
      <c r="H9032">
        <v>987.88999999999987</v>
      </c>
      <c r="I9032">
        <v>141.13</v>
      </c>
      <c r="J9032">
        <v>2</v>
      </c>
      <c r="K9032">
        <v>245.84</v>
      </c>
      <c r="L9032">
        <v>122.92</v>
      </c>
      <c r="M9032">
        <v>9</v>
      </c>
      <c r="N9032">
        <v>1233.7299999999998</v>
      </c>
      <c r="O9032">
        <v>137.08000000000001</v>
      </c>
    </row>
    <row r="9033" spans="1:15" x14ac:dyDescent="0.35">
      <c r="A9033" t="s">
        <v>9726</v>
      </c>
      <c r="B9033" t="s">
        <v>9727</v>
      </c>
      <c r="C9033" t="s">
        <v>520</v>
      </c>
      <c r="D9033" t="s">
        <v>323</v>
      </c>
      <c r="E9033" t="s">
        <v>304</v>
      </c>
      <c r="F9033" t="s">
        <v>9751</v>
      </c>
      <c r="G9033">
        <v>0</v>
      </c>
      <c r="H9033">
        <v>0</v>
      </c>
      <c r="I9033">
        <v>0</v>
      </c>
      <c r="J9033">
        <v>1</v>
      </c>
      <c r="K9033">
        <v>123.41</v>
      </c>
      <c r="L9033">
        <v>123.41</v>
      </c>
      <c r="M9033">
        <v>1</v>
      </c>
      <c r="N9033">
        <v>123.41</v>
      </c>
      <c r="O9033">
        <v>123.41</v>
      </c>
    </row>
    <row r="9034" spans="1:15" x14ac:dyDescent="0.35">
      <c r="A9034" t="s">
        <v>9726</v>
      </c>
      <c r="B9034" t="s">
        <v>9727</v>
      </c>
      <c r="C9034" t="s">
        <v>520</v>
      </c>
      <c r="D9034" t="s">
        <v>323</v>
      </c>
      <c r="E9034" t="s">
        <v>306</v>
      </c>
      <c r="F9034" t="s">
        <v>9752</v>
      </c>
      <c r="G9034">
        <v>13</v>
      </c>
      <c r="H9034">
        <v>1031.51</v>
      </c>
      <c r="I9034">
        <v>79.349999999999994</v>
      </c>
      <c r="J9034">
        <v>19</v>
      </c>
      <c r="K9034">
        <v>1406.95</v>
      </c>
      <c r="L9034">
        <v>74.05</v>
      </c>
      <c r="M9034">
        <v>32</v>
      </c>
      <c r="N9034">
        <v>2438.46</v>
      </c>
      <c r="O9034">
        <v>76.2</v>
      </c>
    </row>
    <row r="9035" spans="1:15" x14ac:dyDescent="0.35">
      <c r="A9035" t="s">
        <v>9726</v>
      </c>
      <c r="B9035" t="s">
        <v>9727</v>
      </c>
      <c r="C9035" t="s">
        <v>520</v>
      </c>
      <c r="D9035" t="s">
        <v>323</v>
      </c>
      <c r="E9035" t="s">
        <v>308</v>
      </c>
      <c r="F9035" t="s">
        <v>9753</v>
      </c>
      <c r="G9035">
        <v>0</v>
      </c>
      <c r="H9035">
        <v>0</v>
      </c>
      <c r="I9035">
        <v>0</v>
      </c>
      <c r="J9035">
        <v>0</v>
      </c>
      <c r="K9035">
        <v>0</v>
      </c>
      <c r="L9035">
        <v>0</v>
      </c>
      <c r="M9035">
        <v>0</v>
      </c>
      <c r="N9035">
        <v>0</v>
      </c>
      <c r="O9035">
        <v>0</v>
      </c>
    </row>
    <row r="9036" spans="1:15" x14ac:dyDescent="0.35">
      <c r="A9036" t="s">
        <v>9726</v>
      </c>
      <c r="B9036" t="s">
        <v>9727</v>
      </c>
      <c r="C9036" t="s">
        <v>520</v>
      </c>
      <c r="D9036" t="s">
        <v>323</v>
      </c>
      <c r="E9036" t="s">
        <v>310</v>
      </c>
      <c r="F9036" t="s">
        <v>9754</v>
      </c>
      <c r="G9036">
        <v>3077</v>
      </c>
      <c r="H9036">
        <v>311369.17</v>
      </c>
      <c r="I9036">
        <v>101.19</v>
      </c>
      <c r="J9036">
        <v>7137</v>
      </c>
      <c r="K9036">
        <v>648431.11</v>
      </c>
      <c r="L9036">
        <v>90.85</v>
      </c>
      <c r="M9036">
        <v>10214</v>
      </c>
      <c r="N9036">
        <v>959800.28</v>
      </c>
      <c r="O9036">
        <v>93.97</v>
      </c>
    </row>
    <row r="9037" spans="1:15" x14ac:dyDescent="0.35">
      <c r="A9037" t="s">
        <v>9726</v>
      </c>
      <c r="B9037" t="s">
        <v>9727</v>
      </c>
      <c r="C9037" t="s">
        <v>520</v>
      </c>
      <c r="D9037" t="s">
        <v>323</v>
      </c>
      <c r="E9037" t="s">
        <v>312</v>
      </c>
      <c r="F9037" t="s">
        <v>9755</v>
      </c>
      <c r="G9037">
        <v>3077</v>
      </c>
      <c r="H9037">
        <v>311369.17</v>
      </c>
      <c r="I9037">
        <v>101.19</v>
      </c>
      <c r="J9037">
        <v>7137</v>
      </c>
      <c r="K9037">
        <v>648431.11</v>
      </c>
      <c r="L9037">
        <v>90.85</v>
      </c>
      <c r="M9037">
        <v>10214</v>
      </c>
      <c r="N9037">
        <v>959800.28</v>
      </c>
      <c r="O9037">
        <v>93.97</v>
      </c>
    </row>
    <row r="9038" spans="1:15" x14ac:dyDescent="0.35">
      <c r="A9038" t="s">
        <v>9726</v>
      </c>
      <c r="B9038" t="s">
        <v>9727</v>
      </c>
      <c r="C9038" t="s">
        <v>520</v>
      </c>
      <c r="D9038" t="s">
        <v>334</v>
      </c>
      <c r="E9038" t="s">
        <v>312</v>
      </c>
      <c r="F9038" t="s">
        <v>9756</v>
      </c>
      <c r="G9038">
        <v>3962</v>
      </c>
      <c r="H9038">
        <v>397583.58999999997</v>
      </c>
      <c r="I9038">
        <v>106.02</v>
      </c>
      <c r="J9038">
        <v>7159</v>
      </c>
      <c r="K9038">
        <v>651063.89</v>
      </c>
      <c r="L9038">
        <v>90.94</v>
      </c>
      <c r="M9038">
        <v>11121</v>
      </c>
      <c r="N9038">
        <v>1048647.48</v>
      </c>
      <c r="O9038">
        <v>96.13</v>
      </c>
    </row>
    <row r="9039" spans="1:15" x14ac:dyDescent="0.35">
      <c r="A9039" t="s">
        <v>9726</v>
      </c>
      <c r="B9039" t="s">
        <v>9727</v>
      </c>
      <c r="C9039" t="s">
        <v>520</v>
      </c>
      <c r="D9039" t="s">
        <v>334</v>
      </c>
      <c r="E9039" t="s">
        <v>308</v>
      </c>
      <c r="F9039" t="s">
        <v>9757</v>
      </c>
      <c r="G9039">
        <v>0</v>
      </c>
      <c r="H9039">
        <v>0</v>
      </c>
      <c r="I9039">
        <v>0</v>
      </c>
      <c r="J9039">
        <v>0</v>
      </c>
      <c r="K9039">
        <v>0</v>
      </c>
      <c r="L9039">
        <v>0</v>
      </c>
      <c r="M9039">
        <v>0</v>
      </c>
      <c r="N9039">
        <v>0</v>
      </c>
      <c r="O9039">
        <v>0</v>
      </c>
    </row>
    <row r="9040" spans="1:15" x14ac:dyDescent="0.35">
      <c r="A9040" t="s">
        <v>9726</v>
      </c>
      <c r="B9040" t="s">
        <v>9727</v>
      </c>
      <c r="C9040" t="s">
        <v>520</v>
      </c>
      <c r="D9040" t="s">
        <v>337</v>
      </c>
      <c r="E9040" t="s">
        <v>337</v>
      </c>
      <c r="F9040" t="s">
        <v>9758</v>
      </c>
      <c r="G9040">
        <v>206</v>
      </c>
      <c r="J9040">
        <v>5</v>
      </c>
      <c r="M9040">
        <v>211</v>
      </c>
    </row>
    <row r="9041" spans="1:15" x14ac:dyDescent="0.35">
      <c r="A9041" t="s">
        <v>9726</v>
      </c>
      <c r="B9041" t="s">
        <v>9727</v>
      </c>
      <c r="C9041" t="s">
        <v>520</v>
      </c>
      <c r="D9041" t="s">
        <v>339</v>
      </c>
      <c r="E9041" t="s">
        <v>294</v>
      </c>
      <c r="F9041" t="s">
        <v>9759</v>
      </c>
      <c r="G9041">
        <v>442</v>
      </c>
      <c r="H9041">
        <v>57949.090000000011</v>
      </c>
      <c r="I9041">
        <v>131.11000000000001</v>
      </c>
      <c r="J9041">
        <v>290</v>
      </c>
      <c r="K9041">
        <v>24853</v>
      </c>
      <c r="L9041">
        <v>85.7</v>
      </c>
      <c r="M9041">
        <v>732</v>
      </c>
      <c r="N9041">
        <v>82802.090000000011</v>
      </c>
      <c r="O9041">
        <v>113.12</v>
      </c>
    </row>
    <row r="9042" spans="1:15" x14ac:dyDescent="0.35">
      <c r="A9042" t="s">
        <v>9726</v>
      </c>
      <c r="B9042" t="s">
        <v>9727</v>
      </c>
      <c r="C9042" t="s">
        <v>520</v>
      </c>
      <c r="D9042" t="s">
        <v>339</v>
      </c>
      <c r="E9042" t="s">
        <v>296</v>
      </c>
      <c r="F9042" t="s">
        <v>9760</v>
      </c>
      <c r="G9042">
        <v>43</v>
      </c>
      <c r="H9042">
        <v>5661.6</v>
      </c>
      <c r="I9042">
        <v>131.66999999999999</v>
      </c>
      <c r="J9042">
        <v>21</v>
      </c>
      <c r="K9042">
        <v>2031.3300000000002</v>
      </c>
      <c r="L9042">
        <v>96.73</v>
      </c>
      <c r="M9042">
        <v>64</v>
      </c>
      <c r="N9042">
        <v>7692.93</v>
      </c>
      <c r="O9042">
        <v>120.2</v>
      </c>
    </row>
    <row r="9043" spans="1:15" x14ac:dyDescent="0.35">
      <c r="A9043" t="s">
        <v>9726</v>
      </c>
      <c r="B9043" t="s">
        <v>9727</v>
      </c>
      <c r="C9043" t="s">
        <v>520</v>
      </c>
      <c r="D9043" t="s">
        <v>339</v>
      </c>
      <c r="E9043" t="s">
        <v>298</v>
      </c>
      <c r="F9043" t="s">
        <v>9761</v>
      </c>
      <c r="G9043">
        <v>8</v>
      </c>
      <c r="H9043">
        <v>1222.17</v>
      </c>
      <c r="I9043">
        <v>152.77000000000001</v>
      </c>
      <c r="J9043">
        <v>0</v>
      </c>
      <c r="K9043">
        <v>0</v>
      </c>
      <c r="L9043">
        <v>0</v>
      </c>
      <c r="M9043">
        <v>8</v>
      </c>
      <c r="N9043">
        <v>1222.17</v>
      </c>
      <c r="O9043">
        <v>152.77000000000001</v>
      </c>
    </row>
    <row r="9044" spans="1:15" x14ac:dyDescent="0.35">
      <c r="A9044" t="s">
        <v>9726</v>
      </c>
      <c r="B9044" t="s">
        <v>9727</v>
      </c>
      <c r="C9044" t="s">
        <v>520</v>
      </c>
      <c r="D9044" t="s">
        <v>339</v>
      </c>
      <c r="E9044" t="s">
        <v>300</v>
      </c>
      <c r="F9044" t="s">
        <v>9762</v>
      </c>
      <c r="G9044">
        <v>0</v>
      </c>
      <c r="H9044">
        <v>0</v>
      </c>
      <c r="I9044">
        <v>0</v>
      </c>
      <c r="J9044">
        <v>0</v>
      </c>
      <c r="K9044">
        <v>0</v>
      </c>
      <c r="L9044">
        <v>0</v>
      </c>
      <c r="M9044">
        <v>0</v>
      </c>
      <c r="N9044">
        <v>0</v>
      </c>
      <c r="O9044">
        <v>0</v>
      </c>
    </row>
    <row r="9045" spans="1:15" x14ac:dyDescent="0.35">
      <c r="A9045" t="s">
        <v>9726</v>
      </c>
      <c r="B9045" t="s">
        <v>9727</v>
      </c>
      <c r="C9045" t="s">
        <v>520</v>
      </c>
      <c r="D9045" t="s">
        <v>339</v>
      </c>
      <c r="E9045" t="s">
        <v>306</v>
      </c>
      <c r="F9045" t="s">
        <v>9763</v>
      </c>
      <c r="G9045">
        <v>170</v>
      </c>
      <c r="H9045">
        <v>15204.71</v>
      </c>
      <c r="I9045">
        <v>89.44</v>
      </c>
      <c r="J9045">
        <v>137</v>
      </c>
      <c r="K9045">
        <v>10372.269999999999</v>
      </c>
      <c r="L9045">
        <v>75.709999999999994</v>
      </c>
      <c r="M9045">
        <v>307</v>
      </c>
      <c r="N9045">
        <v>25576.979999999996</v>
      </c>
      <c r="O9045">
        <v>83.31</v>
      </c>
    </row>
    <row r="9046" spans="1:15" x14ac:dyDescent="0.35">
      <c r="A9046" t="s">
        <v>9726</v>
      </c>
      <c r="B9046" t="s">
        <v>9727</v>
      </c>
      <c r="C9046" t="s">
        <v>520</v>
      </c>
      <c r="D9046" t="s">
        <v>339</v>
      </c>
      <c r="E9046" t="s">
        <v>308</v>
      </c>
      <c r="F9046" t="s">
        <v>9764</v>
      </c>
      <c r="G9046">
        <v>158</v>
      </c>
      <c r="H9046">
        <v>17828.57</v>
      </c>
      <c r="I9046">
        <v>112.84</v>
      </c>
      <c r="J9046">
        <v>0</v>
      </c>
      <c r="K9046">
        <v>0</v>
      </c>
      <c r="L9046">
        <v>0</v>
      </c>
      <c r="M9046">
        <v>158</v>
      </c>
      <c r="N9046">
        <v>17828.57</v>
      </c>
      <c r="O9046">
        <v>112.84</v>
      </c>
    </row>
    <row r="9047" spans="1:15" x14ac:dyDescent="0.35">
      <c r="A9047" t="s">
        <v>9726</v>
      </c>
      <c r="B9047" t="s">
        <v>9727</v>
      </c>
      <c r="C9047" t="s">
        <v>520</v>
      </c>
      <c r="D9047" t="s">
        <v>339</v>
      </c>
      <c r="E9047" t="s">
        <v>310</v>
      </c>
      <c r="F9047" t="s">
        <v>9765</v>
      </c>
      <c r="G9047">
        <v>821</v>
      </c>
      <c r="H9047">
        <v>97866.140000000014</v>
      </c>
      <c r="I9047">
        <v>119.2</v>
      </c>
      <c r="J9047">
        <v>448</v>
      </c>
      <c r="K9047">
        <v>37256.6</v>
      </c>
      <c r="L9047">
        <v>83.16</v>
      </c>
      <c r="M9047">
        <v>1269</v>
      </c>
      <c r="N9047">
        <v>135122.74000000002</v>
      </c>
      <c r="O9047">
        <v>106.48</v>
      </c>
    </row>
    <row r="9048" spans="1:15" x14ac:dyDescent="0.35">
      <c r="A9048" t="s">
        <v>9726</v>
      </c>
      <c r="B9048" t="s">
        <v>9727</v>
      </c>
      <c r="C9048" t="s">
        <v>520</v>
      </c>
      <c r="D9048" t="s">
        <v>339</v>
      </c>
      <c r="E9048" t="s">
        <v>312</v>
      </c>
      <c r="F9048" t="s">
        <v>9766</v>
      </c>
      <c r="G9048">
        <v>663</v>
      </c>
      <c r="H9048">
        <v>80037.570000000007</v>
      </c>
      <c r="I9048">
        <v>120.72</v>
      </c>
      <c r="J9048">
        <v>448</v>
      </c>
      <c r="K9048">
        <v>37256.6</v>
      </c>
      <c r="L9048">
        <v>83.16</v>
      </c>
      <c r="M9048">
        <v>1111</v>
      </c>
      <c r="N9048">
        <v>117294.17000000001</v>
      </c>
      <c r="O9048">
        <v>105.58</v>
      </c>
    </row>
    <row r="9049" spans="1:15" x14ac:dyDescent="0.35">
      <c r="A9049" t="s">
        <v>9726</v>
      </c>
      <c r="B9049" t="s">
        <v>9727</v>
      </c>
      <c r="C9049" t="s">
        <v>520</v>
      </c>
      <c r="D9049" t="s">
        <v>348</v>
      </c>
      <c r="E9049" t="s">
        <v>349</v>
      </c>
      <c r="F9049" t="s">
        <v>9767</v>
      </c>
      <c r="G9049">
        <v>1159</v>
      </c>
      <c r="H9049">
        <v>100580.68000000002</v>
      </c>
      <c r="I9049">
        <v>120.02</v>
      </c>
      <c r="J9049">
        <v>508</v>
      </c>
      <c r="K9049">
        <v>50265.46</v>
      </c>
      <c r="L9049">
        <v>98.95</v>
      </c>
      <c r="M9049">
        <v>1667</v>
      </c>
      <c r="N9049">
        <v>150846.14000000001</v>
      </c>
      <c r="O9049">
        <v>112.07</v>
      </c>
    </row>
    <row r="9050" spans="1:15" x14ac:dyDescent="0.35">
      <c r="A9050" t="s">
        <v>9768</v>
      </c>
      <c r="B9050" t="s">
        <v>9769</v>
      </c>
      <c r="C9050" t="s">
        <v>520</v>
      </c>
      <c r="D9050" t="s">
        <v>293</v>
      </c>
      <c r="E9050" t="s">
        <v>294</v>
      </c>
      <c r="F9050" t="s">
        <v>9770</v>
      </c>
      <c r="G9050">
        <v>457</v>
      </c>
      <c r="H9050">
        <v>57631.44999999999</v>
      </c>
      <c r="I9050">
        <v>126.11</v>
      </c>
      <c r="J9050">
        <v>0</v>
      </c>
      <c r="K9050">
        <v>0</v>
      </c>
      <c r="L9050">
        <v>0</v>
      </c>
      <c r="M9050">
        <v>457</v>
      </c>
      <c r="N9050">
        <v>57631.44999999999</v>
      </c>
      <c r="O9050">
        <v>126.11</v>
      </c>
    </row>
    <row r="9051" spans="1:15" x14ac:dyDescent="0.35">
      <c r="A9051" t="s">
        <v>9768</v>
      </c>
      <c r="B9051" t="s">
        <v>9769</v>
      </c>
      <c r="C9051" t="s">
        <v>520</v>
      </c>
      <c r="D9051" t="s">
        <v>293</v>
      </c>
      <c r="E9051" t="s">
        <v>296</v>
      </c>
      <c r="F9051" t="s">
        <v>9771</v>
      </c>
      <c r="G9051">
        <v>1658</v>
      </c>
      <c r="H9051">
        <v>235956.55000000002</v>
      </c>
      <c r="I9051">
        <v>142.31</v>
      </c>
      <c r="J9051">
        <v>37</v>
      </c>
      <c r="K9051">
        <v>5035.33</v>
      </c>
      <c r="L9051">
        <v>136.09</v>
      </c>
      <c r="M9051">
        <v>1695</v>
      </c>
      <c r="N9051">
        <v>240991.88</v>
      </c>
      <c r="O9051">
        <v>142.18</v>
      </c>
    </row>
    <row r="9052" spans="1:15" x14ac:dyDescent="0.35">
      <c r="A9052" t="s">
        <v>9768</v>
      </c>
      <c r="B9052" t="s">
        <v>9769</v>
      </c>
      <c r="C9052" t="s">
        <v>520</v>
      </c>
      <c r="D9052" t="s">
        <v>293</v>
      </c>
      <c r="E9052" t="s">
        <v>298</v>
      </c>
      <c r="F9052" t="s">
        <v>9772</v>
      </c>
      <c r="G9052">
        <v>1252</v>
      </c>
      <c r="H9052">
        <v>188046.52000000005</v>
      </c>
      <c r="I9052">
        <v>150.19999999999999</v>
      </c>
      <c r="J9052">
        <v>0</v>
      </c>
      <c r="K9052">
        <v>0</v>
      </c>
      <c r="L9052">
        <v>0</v>
      </c>
      <c r="M9052">
        <v>1252</v>
      </c>
      <c r="N9052">
        <v>188046.52000000005</v>
      </c>
      <c r="O9052">
        <v>150.19999999999999</v>
      </c>
    </row>
    <row r="9053" spans="1:15" x14ac:dyDescent="0.35">
      <c r="A9053" t="s">
        <v>9768</v>
      </c>
      <c r="B9053" t="s">
        <v>9769</v>
      </c>
      <c r="C9053" t="s">
        <v>520</v>
      </c>
      <c r="D9053" t="s">
        <v>293</v>
      </c>
      <c r="E9053" t="s">
        <v>300</v>
      </c>
      <c r="F9053" t="s">
        <v>9773</v>
      </c>
      <c r="G9053">
        <v>135</v>
      </c>
      <c r="H9053">
        <v>24021.35</v>
      </c>
      <c r="I9053">
        <v>177.94</v>
      </c>
      <c r="J9053">
        <v>0</v>
      </c>
      <c r="K9053">
        <v>0</v>
      </c>
      <c r="L9053">
        <v>0</v>
      </c>
      <c r="M9053">
        <v>135</v>
      </c>
      <c r="N9053">
        <v>24021.35</v>
      </c>
      <c r="O9053">
        <v>177.94</v>
      </c>
    </row>
    <row r="9054" spans="1:15" x14ac:dyDescent="0.35">
      <c r="A9054" t="s">
        <v>9768</v>
      </c>
      <c r="B9054" t="s">
        <v>9769</v>
      </c>
      <c r="C9054" t="s">
        <v>520</v>
      </c>
      <c r="D9054" t="s">
        <v>293</v>
      </c>
      <c r="E9054" t="s">
        <v>302</v>
      </c>
      <c r="F9054" t="s">
        <v>9774</v>
      </c>
      <c r="G9054">
        <v>14</v>
      </c>
      <c r="H9054">
        <v>2470.83</v>
      </c>
      <c r="I9054">
        <v>176.49</v>
      </c>
      <c r="J9054">
        <v>0</v>
      </c>
      <c r="K9054">
        <v>0</v>
      </c>
      <c r="L9054">
        <v>0</v>
      </c>
      <c r="M9054">
        <v>14</v>
      </c>
      <c r="N9054">
        <v>2470.83</v>
      </c>
      <c r="O9054">
        <v>176.49</v>
      </c>
    </row>
    <row r="9055" spans="1:15" x14ac:dyDescent="0.35">
      <c r="A9055" t="s">
        <v>9768</v>
      </c>
      <c r="B9055" t="s">
        <v>9769</v>
      </c>
      <c r="C9055" t="s">
        <v>520</v>
      </c>
      <c r="D9055" t="s">
        <v>293</v>
      </c>
      <c r="E9055" t="s">
        <v>304</v>
      </c>
      <c r="F9055" t="s">
        <v>9775</v>
      </c>
      <c r="G9055">
        <v>0</v>
      </c>
      <c r="H9055">
        <v>0</v>
      </c>
      <c r="I9055">
        <v>0</v>
      </c>
      <c r="J9055">
        <v>0</v>
      </c>
      <c r="K9055">
        <v>0</v>
      </c>
      <c r="L9055">
        <v>0</v>
      </c>
      <c r="M9055">
        <v>0</v>
      </c>
      <c r="N9055">
        <v>0</v>
      </c>
      <c r="O9055">
        <v>0</v>
      </c>
    </row>
    <row r="9056" spans="1:15" x14ac:dyDescent="0.35">
      <c r="A9056" t="s">
        <v>9768</v>
      </c>
      <c r="B9056" t="s">
        <v>9769</v>
      </c>
      <c r="C9056" t="s">
        <v>520</v>
      </c>
      <c r="D9056" t="s">
        <v>293</v>
      </c>
      <c r="E9056" t="s">
        <v>306</v>
      </c>
      <c r="F9056" t="s">
        <v>9776</v>
      </c>
      <c r="G9056">
        <v>1</v>
      </c>
      <c r="H9056">
        <v>129.22</v>
      </c>
      <c r="I9056">
        <v>129.22</v>
      </c>
      <c r="J9056">
        <v>0</v>
      </c>
      <c r="K9056">
        <v>0</v>
      </c>
      <c r="L9056">
        <v>0</v>
      </c>
      <c r="M9056">
        <v>1</v>
      </c>
      <c r="N9056">
        <v>129.22</v>
      </c>
      <c r="O9056">
        <v>129.22</v>
      </c>
    </row>
    <row r="9057" spans="1:15" x14ac:dyDescent="0.35">
      <c r="A9057" t="s">
        <v>9768</v>
      </c>
      <c r="B9057" t="s">
        <v>9769</v>
      </c>
      <c r="C9057" t="s">
        <v>520</v>
      </c>
      <c r="D9057" t="s">
        <v>293</v>
      </c>
      <c r="E9057" t="s">
        <v>308</v>
      </c>
      <c r="F9057" t="s">
        <v>9777</v>
      </c>
      <c r="G9057">
        <v>6</v>
      </c>
      <c r="H9057">
        <v>962.87999999999988</v>
      </c>
      <c r="I9057">
        <v>160.47999999999999</v>
      </c>
      <c r="J9057">
        <v>0</v>
      </c>
      <c r="K9057">
        <v>0</v>
      </c>
      <c r="L9057">
        <v>0</v>
      </c>
      <c r="M9057">
        <v>6</v>
      </c>
      <c r="N9057">
        <v>962.87999999999988</v>
      </c>
      <c r="O9057">
        <v>160.47999999999999</v>
      </c>
    </row>
    <row r="9058" spans="1:15" x14ac:dyDescent="0.35">
      <c r="A9058" t="s">
        <v>9768</v>
      </c>
      <c r="B9058" t="s">
        <v>9769</v>
      </c>
      <c r="C9058" t="s">
        <v>520</v>
      </c>
      <c r="D9058" t="s">
        <v>293</v>
      </c>
      <c r="E9058" t="s">
        <v>310</v>
      </c>
      <c r="F9058" t="s">
        <v>9778</v>
      </c>
      <c r="G9058">
        <v>3523</v>
      </c>
      <c r="H9058">
        <v>509218.8</v>
      </c>
      <c r="I9058">
        <v>144.54</v>
      </c>
      <c r="J9058">
        <v>37</v>
      </c>
      <c r="K9058">
        <v>5035.33</v>
      </c>
      <c r="L9058">
        <v>136.09</v>
      </c>
      <c r="M9058">
        <v>3560</v>
      </c>
      <c r="N9058">
        <v>514254.13</v>
      </c>
      <c r="O9058">
        <v>144.44999999999999</v>
      </c>
    </row>
    <row r="9059" spans="1:15" x14ac:dyDescent="0.35">
      <c r="A9059" t="s">
        <v>9768</v>
      </c>
      <c r="B9059" t="s">
        <v>9769</v>
      </c>
      <c r="C9059" t="s">
        <v>520</v>
      </c>
      <c r="D9059" t="s">
        <v>293</v>
      </c>
      <c r="E9059" t="s">
        <v>312</v>
      </c>
      <c r="F9059" t="s">
        <v>9779</v>
      </c>
      <c r="G9059">
        <v>3517</v>
      </c>
      <c r="H9059">
        <v>508255.92</v>
      </c>
      <c r="I9059">
        <v>144.51</v>
      </c>
      <c r="J9059">
        <v>37</v>
      </c>
      <c r="K9059">
        <v>5035.33</v>
      </c>
      <c r="L9059">
        <v>136.09</v>
      </c>
      <c r="M9059">
        <v>3554</v>
      </c>
      <c r="N9059">
        <v>513291.25</v>
      </c>
      <c r="O9059">
        <v>144.43</v>
      </c>
    </row>
    <row r="9060" spans="1:15" x14ac:dyDescent="0.35">
      <c r="A9060" t="s">
        <v>9768</v>
      </c>
      <c r="B9060" t="s">
        <v>9769</v>
      </c>
      <c r="C9060" t="s">
        <v>520</v>
      </c>
      <c r="D9060" t="s">
        <v>314</v>
      </c>
      <c r="E9060" t="s">
        <v>294</v>
      </c>
      <c r="F9060" t="s">
        <v>9780</v>
      </c>
      <c r="G9060">
        <v>37</v>
      </c>
      <c r="H9060">
        <v>5291.72</v>
      </c>
      <c r="I9060">
        <v>143.02000000000001</v>
      </c>
      <c r="J9060">
        <v>0</v>
      </c>
      <c r="K9060">
        <v>0</v>
      </c>
      <c r="L9060">
        <v>0</v>
      </c>
      <c r="M9060">
        <v>37</v>
      </c>
      <c r="N9060">
        <v>5291.72</v>
      </c>
      <c r="O9060">
        <v>143.02000000000001</v>
      </c>
    </row>
    <row r="9061" spans="1:15" x14ac:dyDescent="0.35">
      <c r="A9061" t="s">
        <v>9768</v>
      </c>
      <c r="B9061" t="s">
        <v>9769</v>
      </c>
      <c r="C9061" t="s">
        <v>520</v>
      </c>
      <c r="D9061" t="s">
        <v>314</v>
      </c>
      <c r="E9061" t="s">
        <v>296</v>
      </c>
      <c r="F9061" t="s">
        <v>9781</v>
      </c>
      <c r="G9061">
        <v>82</v>
      </c>
      <c r="H9061">
        <v>14506.3</v>
      </c>
      <c r="I9061">
        <v>176.91</v>
      </c>
      <c r="J9061">
        <v>0</v>
      </c>
      <c r="K9061">
        <v>0</v>
      </c>
      <c r="L9061">
        <v>0</v>
      </c>
      <c r="M9061">
        <v>82</v>
      </c>
      <c r="N9061">
        <v>14506.3</v>
      </c>
      <c r="O9061">
        <v>176.91</v>
      </c>
    </row>
    <row r="9062" spans="1:15" x14ac:dyDescent="0.35">
      <c r="A9062" t="s">
        <v>9768</v>
      </c>
      <c r="B9062" t="s">
        <v>9769</v>
      </c>
      <c r="C9062" t="s">
        <v>520</v>
      </c>
      <c r="D9062" t="s">
        <v>314</v>
      </c>
      <c r="E9062" t="s">
        <v>298</v>
      </c>
      <c r="F9062" t="s">
        <v>9782</v>
      </c>
      <c r="G9062">
        <v>2</v>
      </c>
      <c r="H9062">
        <v>380.28</v>
      </c>
      <c r="I9062">
        <v>190.14</v>
      </c>
      <c r="J9062">
        <v>0</v>
      </c>
      <c r="K9062">
        <v>0</v>
      </c>
      <c r="L9062">
        <v>0</v>
      </c>
      <c r="M9062">
        <v>2</v>
      </c>
      <c r="N9062">
        <v>380.28</v>
      </c>
      <c r="O9062">
        <v>190.14</v>
      </c>
    </row>
    <row r="9063" spans="1:15" x14ac:dyDescent="0.35">
      <c r="A9063" t="s">
        <v>9768</v>
      </c>
      <c r="B9063" t="s">
        <v>9769</v>
      </c>
      <c r="C9063" t="s">
        <v>520</v>
      </c>
      <c r="D9063" t="s">
        <v>314</v>
      </c>
      <c r="E9063" t="s">
        <v>300</v>
      </c>
      <c r="F9063" t="s">
        <v>9783</v>
      </c>
      <c r="G9063">
        <v>7</v>
      </c>
      <c r="H9063">
        <v>1550.78</v>
      </c>
      <c r="I9063">
        <v>221.54</v>
      </c>
      <c r="J9063">
        <v>0</v>
      </c>
      <c r="K9063">
        <v>0</v>
      </c>
      <c r="L9063">
        <v>0</v>
      </c>
      <c r="M9063">
        <v>7</v>
      </c>
      <c r="N9063">
        <v>1550.78</v>
      </c>
      <c r="O9063">
        <v>221.54</v>
      </c>
    </row>
    <row r="9064" spans="1:15" x14ac:dyDescent="0.35">
      <c r="A9064" t="s">
        <v>9768</v>
      </c>
      <c r="B9064" t="s">
        <v>9769</v>
      </c>
      <c r="C9064" t="s">
        <v>520</v>
      </c>
      <c r="D9064" t="s">
        <v>314</v>
      </c>
      <c r="E9064" t="s">
        <v>306</v>
      </c>
      <c r="F9064" t="s">
        <v>9784</v>
      </c>
      <c r="G9064">
        <v>0</v>
      </c>
      <c r="H9064">
        <v>0</v>
      </c>
      <c r="I9064">
        <v>0</v>
      </c>
      <c r="J9064">
        <v>0</v>
      </c>
      <c r="K9064">
        <v>0</v>
      </c>
      <c r="L9064">
        <v>0</v>
      </c>
      <c r="M9064">
        <v>0</v>
      </c>
      <c r="N9064">
        <v>0</v>
      </c>
      <c r="O9064">
        <v>0</v>
      </c>
    </row>
    <row r="9065" spans="1:15" x14ac:dyDescent="0.35">
      <c r="A9065" t="s">
        <v>9768</v>
      </c>
      <c r="B9065" t="s">
        <v>9769</v>
      </c>
      <c r="C9065" t="s">
        <v>520</v>
      </c>
      <c r="D9065" t="s">
        <v>314</v>
      </c>
      <c r="E9065" t="s">
        <v>308</v>
      </c>
      <c r="F9065" t="s">
        <v>9785</v>
      </c>
      <c r="G9065">
        <v>27</v>
      </c>
      <c r="H9065">
        <v>3554</v>
      </c>
      <c r="I9065">
        <v>131.63</v>
      </c>
      <c r="J9065">
        <v>0</v>
      </c>
      <c r="K9065">
        <v>0</v>
      </c>
      <c r="L9065">
        <v>0</v>
      </c>
      <c r="M9065">
        <v>27</v>
      </c>
      <c r="N9065">
        <v>3554</v>
      </c>
      <c r="O9065">
        <v>131.63</v>
      </c>
    </row>
    <row r="9066" spans="1:15" x14ac:dyDescent="0.35">
      <c r="A9066" t="s">
        <v>9768</v>
      </c>
      <c r="B9066" t="s">
        <v>9769</v>
      </c>
      <c r="C9066" t="s">
        <v>520</v>
      </c>
      <c r="D9066" t="s">
        <v>314</v>
      </c>
      <c r="E9066" t="s">
        <v>312</v>
      </c>
      <c r="F9066" t="s">
        <v>9786</v>
      </c>
      <c r="G9066">
        <v>128</v>
      </c>
      <c r="H9066">
        <v>21729.079999999998</v>
      </c>
      <c r="I9066">
        <v>169.76</v>
      </c>
      <c r="J9066">
        <v>0</v>
      </c>
      <c r="K9066">
        <v>0</v>
      </c>
      <c r="L9066">
        <v>0</v>
      </c>
      <c r="M9066">
        <v>128</v>
      </c>
      <c r="N9066">
        <v>21729.079999999998</v>
      </c>
      <c r="O9066">
        <v>169.76</v>
      </c>
    </row>
    <row r="9067" spans="1:15" x14ac:dyDescent="0.35">
      <c r="A9067" t="s">
        <v>9768</v>
      </c>
      <c r="B9067" t="s">
        <v>9769</v>
      </c>
      <c r="C9067" t="s">
        <v>520</v>
      </c>
      <c r="D9067" t="s">
        <v>314</v>
      </c>
      <c r="E9067" t="s">
        <v>310</v>
      </c>
      <c r="F9067" t="s">
        <v>9787</v>
      </c>
      <c r="G9067">
        <v>155</v>
      </c>
      <c r="H9067">
        <v>25283.079999999998</v>
      </c>
      <c r="I9067">
        <v>163.12</v>
      </c>
      <c r="J9067">
        <v>0</v>
      </c>
      <c r="K9067">
        <v>0</v>
      </c>
      <c r="L9067">
        <v>0</v>
      </c>
      <c r="M9067">
        <v>155</v>
      </c>
      <c r="N9067">
        <v>25283.079999999998</v>
      </c>
      <c r="O9067">
        <v>163.12</v>
      </c>
    </row>
    <row r="9068" spans="1:15" x14ac:dyDescent="0.35">
      <c r="A9068" t="s">
        <v>9768</v>
      </c>
      <c r="B9068" t="s">
        <v>9769</v>
      </c>
      <c r="C9068" t="s">
        <v>520</v>
      </c>
      <c r="D9068" t="s">
        <v>323</v>
      </c>
      <c r="E9068" t="s">
        <v>294</v>
      </c>
      <c r="F9068" t="s">
        <v>9788</v>
      </c>
      <c r="G9068">
        <v>8591</v>
      </c>
      <c r="H9068">
        <v>751374.35000000009</v>
      </c>
      <c r="I9068">
        <v>87.46</v>
      </c>
      <c r="J9068">
        <v>3201</v>
      </c>
      <c r="K9068">
        <v>257616.48</v>
      </c>
      <c r="L9068">
        <v>80.48</v>
      </c>
      <c r="M9068">
        <v>11792</v>
      </c>
      <c r="N9068">
        <v>1008990.8300000001</v>
      </c>
      <c r="O9068">
        <v>85.57</v>
      </c>
    </row>
    <row r="9069" spans="1:15" x14ac:dyDescent="0.35">
      <c r="A9069" t="s">
        <v>9768</v>
      </c>
      <c r="B9069" t="s">
        <v>9769</v>
      </c>
      <c r="C9069" t="s">
        <v>520</v>
      </c>
      <c r="D9069" t="s">
        <v>323</v>
      </c>
      <c r="E9069" t="s">
        <v>296</v>
      </c>
      <c r="F9069" t="s">
        <v>9789</v>
      </c>
      <c r="G9069">
        <v>13278</v>
      </c>
      <c r="H9069">
        <v>1283835.8699999996</v>
      </c>
      <c r="I9069">
        <v>96.69</v>
      </c>
      <c r="J9069">
        <v>4612</v>
      </c>
      <c r="K9069">
        <v>420107.08</v>
      </c>
      <c r="L9069">
        <v>91.09</v>
      </c>
      <c r="M9069">
        <v>17890</v>
      </c>
      <c r="N9069">
        <v>1703942.9499999997</v>
      </c>
      <c r="O9069">
        <v>95.25</v>
      </c>
    </row>
    <row r="9070" spans="1:15" x14ac:dyDescent="0.35">
      <c r="A9070" t="s">
        <v>9768</v>
      </c>
      <c r="B9070" t="s">
        <v>9769</v>
      </c>
      <c r="C9070" t="s">
        <v>520</v>
      </c>
      <c r="D9070" t="s">
        <v>323</v>
      </c>
      <c r="E9070" t="s">
        <v>298</v>
      </c>
      <c r="F9070" t="s">
        <v>9790</v>
      </c>
      <c r="G9070">
        <v>18170</v>
      </c>
      <c r="H9070">
        <v>1963169.3899999997</v>
      </c>
      <c r="I9070">
        <v>108.04</v>
      </c>
      <c r="J9070">
        <v>5509</v>
      </c>
      <c r="K9070">
        <v>555913.18999999994</v>
      </c>
      <c r="L9070">
        <v>100.91</v>
      </c>
      <c r="M9070">
        <v>23679</v>
      </c>
      <c r="N9070">
        <v>2519082.5799999996</v>
      </c>
      <c r="O9070">
        <v>106.38</v>
      </c>
    </row>
    <row r="9071" spans="1:15" x14ac:dyDescent="0.35">
      <c r="A9071" t="s">
        <v>9768</v>
      </c>
      <c r="B9071" t="s">
        <v>9769</v>
      </c>
      <c r="C9071" t="s">
        <v>520</v>
      </c>
      <c r="D9071" t="s">
        <v>323</v>
      </c>
      <c r="E9071" t="s">
        <v>300</v>
      </c>
      <c r="F9071" t="s">
        <v>9791</v>
      </c>
      <c r="G9071">
        <v>1478</v>
      </c>
      <c r="H9071">
        <v>176020.15</v>
      </c>
      <c r="I9071">
        <v>119.09</v>
      </c>
      <c r="J9071">
        <v>623</v>
      </c>
      <c r="K9071">
        <v>71140.37</v>
      </c>
      <c r="L9071">
        <v>114.19</v>
      </c>
      <c r="M9071">
        <v>2101</v>
      </c>
      <c r="N9071">
        <v>247160.52</v>
      </c>
      <c r="O9071">
        <v>117.64</v>
      </c>
    </row>
    <row r="9072" spans="1:15" x14ac:dyDescent="0.35">
      <c r="A9072" t="s">
        <v>9768</v>
      </c>
      <c r="B9072" t="s">
        <v>9769</v>
      </c>
      <c r="C9072" t="s">
        <v>520</v>
      </c>
      <c r="D9072" t="s">
        <v>323</v>
      </c>
      <c r="E9072" t="s">
        <v>302</v>
      </c>
      <c r="F9072" t="s">
        <v>9792</v>
      </c>
      <c r="G9072">
        <v>157</v>
      </c>
      <c r="H9072">
        <v>20200.439999999999</v>
      </c>
      <c r="I9072">
        <v>128.66999999999999</v>
      </c>
      <c r="J9072">
        <v>15</v>
      </c>
      <c r="K9072">
        <v>2004.6</v>
      </c>
      <c r="L9072">
        <v>133.63999999999999</v>
      </c>
      <c r="M9072">
        <v>172</v>
      </c>
      <c r="N9072">
        <v>22205.039999999997</v>
      </c>
      <c r="O9072">
        <v>129.1</v>
      </c>
    </row>
    <row r="9073" spans="1:15" x14ac:dyDescent="0.35">
      <c r="A9073" t="s">
        <v>9768</v>
      </c>
      <c r="B9073" t="s">
        <v>9769</v>
      </c>
      <c r="C9073" t="s">
        <v>520</v>
      </c>
      <c r="D9073" t="s">
        <v>323</v>
      </c>
      <c r="E9073" t="s">
        <v>304</v>
      </c>
      <c r="F9073" t="s">
        <v>9793</v>
      </c>
      <c r="G9073">
        <v>47</v>
      </c>
      <c r="H9073">
        <v>6507.9000000000015</v>
      </c>
      <c r="I9073">
        <v>138.47</v>
      </c>
      <c r="J9073">
        <v>44</v>
      </c>
      <c r="K9073">
        <v>5534.32</v>
      </c>
      <c r="L9073">
        <v>125.78</v>
      </c>
      <c r="M9073">
        <v>91</v>
      </c>
      <c r="N9073">
        <v>12042.220000000001</v>
      </c>
      <c r="O9073">
        <v>132.33000000000001</v>
      </c>
    </row>
    <row r="9074" spans="1:15" x14ac:dyDescent="0.35">
      <c r="A9074" t="s">
        <v>9768</v>
      </c>
      <c r="B9074" t="s">
        <v>9769</v>
      </c>
      <c r="C9074" t="s">
        <v>520</v>
      </c>
      <c r="D9074" t="s">
        <v>323</v>
      </c>
      <c r="E9074" t="s">
        <v>306</v>
      </c>
      <c r="F9074" t="s">
        <v>9794</v>
      </c>
      <c r="G9074">
        <v>232</v>
      </c>
      <c r="H9074">
        <v>19030.789999999997</v>
      </c>
      <c r="I9074">
        <v>82.03</v>
      </c>
      <c r="J9074">
        <v>37</v>
      </c>
      <c r="K9074">
        <v>2522.6600000000003</v>
      </c>
      <c r="L9074">
        <v>68.180000000000007</v>
      </c>
      <c r="M9074">
        <v>269</v>
      </c>
      <c r="N9074">
        <v>21553.449999999997</v>
      </c>
      <c r="O9074">
        <v>80.12</v>
      </c>
    </row>
    <row r="9075" spans="1:15" x14ac:dyDescent="0.35">
      <c r="A9075" t="s">
        <v>9768</v>
      </c>
      <c r="B9075" t="s">
        <v>9769</v>
      </c>
      <c r="C9075" t="s">
        <v>520</v>
      </c>
      <c r="D9075" t="s">
        <v>323</v>
      </c>
      <c r="E9075" t="s">
        <v>308</v>
      </c>
      <c r="F9075" t="s">
        <v>9795</v>
      </c>
      <c r="G9075">
        <v>22</v>
      </c>
      <c r="H9075">
        <v>1151.67</v>
      </c>
      <c r="I9075">
        <v>52.35</v>
      </c>
      <c r="J9075">
        <v>0</v>
      </c>
      <c r="K9075">
        <v>0</v>
      </c>
      <c r="L9075">
        <v>0</v>
      </c>
      <c r="M9075">
        <v>22</v>
      </c>
      <c r="N9075">
        <v>1151.67</v>
      </c>
      <c r="O9075">
        <v>52.35</v>
      </c>
    </row>
    <row r="9076" spans="1:15" x14ac:dyDescent="0.35">
      <c r="A9076" t="s">
        <v>9768</v>
      </c>
      <c r="B9076" t="s">
        <v>9769</v>
      </c>
      <c r="C9076" t="s">
        <v>520</v>
      </c>
      <c r="D9076" t="s">
        <v>323</v>
      </c>
      <c r="E9076" t="s">
        <v>310</v>
      </c>
      <c r="F9076" t="s">
        <v>9796</v>
      </c>
      <c r="G9076">
        <v>41975</v>
      </c>
      <c r="H9076">
        <v>4221290.5599999996</v>
      </c>
      <c r="I9076">
        <v>100.57</v>
      </c>
      <c r="J9076">
        <v>14041</v>
      </c>
      <c r="K9076">
        <v>1314838.7000000002</v>
      </c>
      <c r="L9076">
        <v>93.64</v>
      </c>
      <c r="M9076">
        <v>56016</v>
      </c>
      <c r="N9076">
        <v>5536129.2599999998</v>
      </c>
      <c r="O9076">
        <v>98.83</v>
      </c>
    </row>
    <row r="9077" spans="1:15" x14ac:dyDescent="0.35">
      <c r="A9077" t="s">
        <v>9768</v>
      </c>
      <c r="B9077" t="s">
        <v>9769</v>
      </c>
      <c r="C9077" t="s">
        <v>520</v>
      </c>
      <c r="D9077" t="s">
        <v>323</v>
      </c>
      <c r="E9077" t="s">
        <v>312</v>
      </c>
      <c r="F9077" t="s">
        <v>9797</v>
      </c>
      <c r="G9077">
        <v>41953</v>
      </c>
      <c r="H9077">
        <v>4220138.8899999997</v>
      </c>
      <c r="I9077">
        <v>100.59</v>
      </c>
      <c r="J9077">
        <v>14041</v>
      </c>
      <c r="K9077">
        <v>1314838.7000000002</v>
      </c>
      <c r="L9077">
        <v>93.64</v>
      </c>
      <c r="M9077">
        <v>55994</v>
      </c>
      <c r="N9077">
        <v>5534977.5899999999</v>
      </c>
      <c r="O9077">
        <v>98.85</v>
      </c>
    </row>
    <row r="9078" spans="1:15" x14ac:dyDescent="0.35">
      <c r="A9078" t="s">
        <v>9768</v>
      </c>
      <c r="B9078" t="s">
        <v>9769</v>
      </c>
      <c r="C9078" t="s">
        <v>520</v>
      </c>
      <c r="D9078" t="s">
        <v>334</v>
      </c>
      <c r="E9078" t="s">
        <v>312</v>
      </c>
      <c r="F9078" t="s">
        <v>9798</v>
      </c>
      <c r="G9078">
        <v>46481</v>
      </c>
      <c r="H9078">
        <v>4728394.8100000005</v>
      </c>
      <c r="I9078">
        <v>103.99</v>
      </c>
      <c r="J9078">
        <v>14078</v>
      </c>
      <c r="K9078">
        <v>1319874.0300000003</v>
      </c>
      <c r="L9078">
        <v>93.75</v>
      </c>
      <c r="M9078">
        <v>60559</v>
      </c>
      <c r="N9078">
        <v>6048268.8400000008</v>
      </c>
      <c r="O9078">
        <v>101.57</v>
      </c>
    </row>
    <row r="9079" spans="1:15" x14ac:dyDescent="0.35">
      <c r="A9079" t="s">
        <v>9768</v>
      </c>
      <c r="B9079" t="s">
        <v>9769</v>
      </c>
      <c r="C9079" t="s">
        <v>520</v>
      </c>
      <c r="D9079" t="s">
        <v>334</v>
      </c>
      <c r="E9079" t="s">
        <v>308</v>
      </c>
      <c r="F9079" t="s">
        <v>9799</v>
      </c>
      <c r="G9079">
        <v>250</v>
      </c>
      <c r="H9079">
        <v>2114.5500000000002</v>
      </c>
      <c r="I9079">
        <v>75.52</v>
      </c>
      <c r="J9079">
        <v>0</v>
      </c>
      <c r="K9079">
        <v>0</v>
      </c>
      <c r="L9079">
        <v>0</v>
      </c>
      <c r="M9079">
        <v>250</v>
      </c>
      <c r="N9079">
        <v>2114.5500000000002</v>
      </c>
      <c r="O9079">
        <v>75.52</v>
      </c>
    </row>
    <row r="9080" spans="1:15" x14ac:dyDescent="0.35">
      <c r="A9080" t="s">
        <v>9768</v>
      </c>
      <c r="B9080" t="s">
        <v>9769</v>
      </c>
      <c r="C9080" t="s">
        <v>520</v>
      </c>
      <c r="D9080" t="s">
        <v>337</v>
      </c>
      <c r="E9080" t="s">
        <v>337</v>
      </c>
      <c r="F9080" t="s">
        <v>9800</v>
      </c>
      <c r="G9080">
        <v>1928</v>
      </c>
      <c r="J9080">
        <v>19</v>
      </c>
      <c r="M9080">
        <v>1947</v>
      </c>
    </row>
    <row r="9081" spans="1:15" x14ac:dyDescent="0.35">
      <c r="A9081" t="s">
        <v>9768</v>
      </c>
      <c r="B9081" t="s">
        <v>9769</v>
      </c>
      <c r="C9081" t="s">
        <v>520</v>
      </c>
      <c r="D9081" t="s">
        <v>339</v>
      </c>
      <c r="E9081" t="s">
        <v>294</v>
      </c>
      <c r="F9081" t="s">
        <v>9801</v>
      </c>
      <c r="G9081">
        <v>2901</v>
      </c>
      <c r="H9081">
        <v>295105.77999999991</v>
      </c>
      <c r="I9081">
        <v>101.73</v>
      </c>
      <c r="J9081">
        <v>657</v>
      </c>
      <c r="K9081">
        <v>54235.35</v>
      </c>
      <c r="L9081">
        <v>82.55</v>
      </c>
      <c r="M9081">
        <v>3558</v>
      </c>
      <c r="N9081">
        <v>349341.12999999989</v>
      </c>
      <c r="O9081">
        <v>98.18</v>
      </c>
    </row>
    <row r="9082" spans="1:15" x14ac:dyDescent="0.35">
      <c r="A9082" t="s">
        <v>9768</v>
      </c>
      <c r="B9082" t="s">
        <v>9769</v>
      </c>
      <c r="C9082" t="s">
        <v>520</v>
      </c>
      <c r="D9082" t="s">
        <v>339</v>
      </c>
      <c r="E9082" t="s">
        <v>296</v>
      </c>
      <c r="F9082" t="s">
        <v>9802</v>
      </c>
      <c r="G9082">
        <v>559</v>
      </c>
      <c r="H9082">
        <v>65780.77</v>
      </c>
      <c r="I9082">
        <v>117.68</v>
      </c>
      <c r="J9082">
        <v>220</v>
      </c>
      <c r="K9082">
        <v>21986.799999999999</v>
      </c>
      <c r="L9082">
        <v>99.94</v>
      </c>
      <c r="M9082">
        <v>779</v>
      </c>
      <c r="N9082">
        <v>87767.57</v>
      </c>
      <c r="O9082">
        <v>112.67</v>
      </c>
    </row>
    <row r="9083" spans="1:15" x14ac:dyDescent="0.35">
      <c r="A9083" t="s">
        <v>9768</v>
      </c>
      <c r="B9083" t="s">
        <v>9769</v>
      </c>
      <c r="C9083" t="s">
        <v>520</v>
      </c>
      <c r="D9083" t="s">
        <v>339</v>
      </c>
      <c r="E9083" t="s">
        <v>298</v>
      </c>
      <c r="F9083" t="s">
        <v>9803</v>
      </c>
      <c r="G9083">
        <v>34</v>
      </c>
      <c r="H9083">
        <v>4158.42</v>
      </c>
      <c r="I9083">
        <v>122.31</v>
      </c>
      <c r="J9083">
        <v>4</v>
      </c>
      <c r="K9083">
        <v>411.88</v>
      </c>
      <c r="L9083">
        <v>102.97</v>
      </c>
      <c r="M9083">
        <v>38</v>
      </c>
      <c r="N9083">
        <v>4570.3</v>
      </c>
      <c r="O9083">
        <v>120.27</v>
      </c>
    </row>
    <row r="9084" spans="1:15" x14ac:dyDescent="0.35">
      <c r="A9084" t="s">
        <v>9768</v>
      </c>
      <c r="B9084" t="s">
        <v>9769</v>
      </c>
      <c r="C9084" t="s">
        <v>520</v>
      </c>
      <c r="D9084" t="s">
        <v>339</v>
      </c>
      <c r="E9084" t="s">
        <v>300</v>
      </c>
      <c r="F9084" t="s">
        <v>9804</v>
      </c>
      <c r="G9084">
        <v>3</v>
      </c>
      <c r="H9084">
        <v>460.94</v>
      </c>
      <c r="I9084">
        <v>153.65</v>
      </c>
      <c r="J9084">
        <v>1</v>
      </c>
      <c r="K9084">
        <v>112.42</v>
      </c>
      <c r="L9084">
        <v>112.42</v>
      </c>
      <c r="M9084">
        <v>4</v>
      </c>
      <c r="N9084">
        <v>573.36</v>
      </c>
      <c r="O9084">
        <v>143.34</v>
      </c>
    </row>
    <row r="9085" spans="1:15" x14ac:dyDescent="0.35">
      <c r="A9085" t="s">
        <v>9768</v>
      </c>
      <c r="B9085" t="s">
        <v>9769</v>
      </c>
      <c r="C9085" t="s">
        <v>520</v>
      </c>
      <c r="D9085" t="s">
        <v>339</v>
      </c>
      <c r="E9085" t="s">
        <v>306</v>
      </c>
      <c r="F9085" t="s">
        <v>9805</v>
      </c>
      <c r="G9085">
        <v>594</v>
      </c>
      <c r="H9085">
        <v>50979.91</v>
      </c>
      <c r="I9085">
        <v>85.82</v>
      </c>
      <c r="J9085">
        <v>0</v>
      </c>
      <c r="K9085">
        <v>0</v>
      </c>
      <c r="L9085">
        <v>0</v>
      </c>
      <c r="M9085">
        <v>594</v>
      </c>
      <c r="N9085">
        <v>50979.91</v>
      </c>
      <c r="O9085">
        <v>85.82</v>
      </c>
    </row>
    <row r="9086" spans="1:15" x14ac:dyDescent="0.35">
      <c r="A9086" t="s">
        <v>9768</v>
      </c>
      <c r="B9086" t="s">
        <v>9769</v>
      </c>
      <c r="C9086" t="s">
        <v>520</v>
      </c>
      <c r="D9086" t="s">
        <v>339</v>
      </c>
      <c r="E9086" t="s">
        <v>308</v>
      </c>
      <c r="F9086" t="s">
        <v>9806</v>
      </c>
      <c r="G9086">
        <v>638</v>
      </c>
      <c r="H9086">
        <v>65614.509999999995</v>
      </c>
      <c r="I9086">
        <v>102.84</v>
      </c>
      <c r="J9086">
        <v>213</v>
      </c>
      <c r="K9086">
        <v>9987.57</v>
      </c>
      <c r="L9086">
        <v>46.89</v>
      </c>
      <c r="M9086">
        <v>851</v>
      </c>
      <c r="N9086">
        <v>75602.079999999987</v>
      </c>
      <c r="O9086">
        <v>88.84</v>
      </c>
    </row>
    <row r="9087" spans="1:15" x14ac:dyDescent="0.35">
      <c r="A9087" t="s">
        <v>9768</v>
      </c>
      <c r="B9087" t="s">
        <v>9769</v>
      </c>
      <c r="C9087" t="s">
        <v>520</v>
      </c>
      <c r="D9087" t="s">
        <v>339</v>
      </c>
      <c r="E9087" t="s">
        <v>310</v>
      </c>
      <c r="F9087" t="s">
        <v>9807</v>
      </c>
      <c r="G9087">
        <v>4729</v>
      </c>
      <c r="H9087">
        <v>482100.32999999996</v>
      </c>
      <c r="I9087">
        <v>101.95</v>
      </c>
      <c r="J9087">
        <v>1095</v>
      </c>
      <c r="K9087">
        <v>86734.02</v>
      </c>
      <c r="L9087">
        <v>79.209999999999994</v>
      </c>
      <c r="M9087">
        <v>5824</v>
      </c>
      <c r="N9087">
        <v>568834.35</v>
      </c>
      <c r="O9087">
        <v>97.67</v>
      </c>
    </row>
    <row r="9088" spans="1:15" x14ac:dyDescent="0.35">
      <c r="A9088" t="s">
        <v>9768</v>
      </c>
      <c r="B9088" t="s">
        <v>9769</v>
      </c>
      <c r="C9088" t="s">
        <v>520</v>
      </c>
      <c r="D9088" t="s">
        <v>339</v>
      </c>
      <c r="E9088" t="s">
        <v>312</v>
      </c>
      <c r="F9088" t="s">
        <v>9808</v>
      </c>
      <c r="G9088">
        <v>4091</v>
      </c>
      <c r="H9088">
        <v>416485.81999999995</v>
      </c>
      <c r="I9088">
        <v>101.81</v>
      </c>
      <c r="J9088">
        <v>882</v>
      </c>
      <c r="K9088">
        <v>76746.45</v>
      </c>
      <c r="L9088">
        <v>87.01</v>
      </c>
      <c r="M9088">
        <v>4973</v>
      </c>
      <c r="N9088">
        <v>493232.26999999996</v>
      </c>
      <c r="O9088">
        <v>99.18</v>
      </c>
    </row>
    <row r="9089" spans="1:15" x14ac:dyDescent="0.35">
      <c r="A9089" t="s">
        <v>9768</v>
      </c>
      <c r="B9089" t="s">
        <v>9769</v>
      </c>
      <c r="C9089" t="s">
        <v>520</v>
      </c>
      <c r="D9089" t="s">
        <v>348</v>
      </c>
      <c r="E9089" t="s">
        <v>349</v>
      </c>
      <c r="F9089" t="s">
        <v>9809</v>
      </c>
      <c r="G9089">
        <v>5383</v>
      </c>
      <c r="H9089">
        <v>507383.40999999992</v>
      </c>
      <c r="I9089">
        <v>103.89</v>
      </c>
      <c r="J9089">
        <v>1095</v>
      </c>
      <c r="K9089">
        <v>86734.01999999999</v>
      </c>
      <c r="L9089">
        <v>79.209999999999994</v>
      </c>
      <c r="M9089">
        <v>6478</v>
      </c>
      <c r="N9089">
        <v>594117.42999999993</v>
      </c>
      <c r="O9089">
        <v>99.37</v>
      </c>
    </row>
    <row r="9090" spans="1:15" x14ac:dyDescent="0.35">
      <c r="A9090" t="s">
        <v>9810</v>
      </c>
      <c r="B9090" t="s">
        <v>9811</v>
      </c>
      <c r="C9090" t="s">
        <v>520</v>
      </c>
      <c r="D9090" t="s">
        <v>293</v>
      </c>
      <c r="E9090" t="s">
        <v>294</v>
      </c>
      <c r="F9090" t="s">
        <v>9812</v>
      </c>
      <c r="G9090">
        <v>455</v>
      </c>
      <c r="H9090">
        <v>46755.110000000008</v>
      </c>
      <c r="I9090">
        <v>102.76</v>
      </c>
      <c r="J9090">
        <v>0</v>
      </c>
      <c r="K9090">
        <v>0</v>
      </c>
      <c r="L9090">
        <v>0</v>
      </c>
      <c r="M9090">
        <v>455</v>
      </c>
      <c r="N9090">
        <v>46755.110000000008</v>
      </c>
      <c r="O9090">
        <v>102.76</v>
      </c>
    </row>
    <row r="9091" spans="1:15" x14ac:dyDescent="0.35">
      <c r="A9091" t="s">
        <v>9810</v>
      </c>
      <c r="B9091" t="s">
        <v>9811</v>
      </c>
      <c r="C9091" t="s">
        <v>520</v>
      </c>
      <c r="D9091" t="s">
        <v>293</v>
      </c>
      <c r="E9091" t="s">
        <v>296</v>
      </c>
      <c r="F9091" t="s">
        <v>9813</v>
      </c>
      <c r="G9091">
        <v>624</v>
      </c>
      <c r="H9091">
        <v>74179.820000000007</v>
      </c>
      <c r="I9091">
        <v>118.88</v>
      </c>
      <c r="J9091">
        <v>0</v>
      </c>
      <c r="K9091">
        <v>0</v>
      </c>
      <c r="L9091">
        <v>0</v>
      </c>
      <c r="M9091">
        <v>624</v>
      </c>
      <c r="N9091">
        <v>74179.820000000007</v>
      </c>
      <c r="O9091">
        <v>118.88</v>
      </c>
    </row>
    <row r="9092" spans="1:15" x14ac:dyDescent="0.35">
      <c r="A9092" t="s">
        <v>9810</v>
      </c>
      <c r="B9092" t="s">
        <v>9811</v>
      </c>
      <c r="C9092" t="s">
        <v>520</v>
      </c>
      <c r="D9092" t="s">
        <v>293</v>
      </c>
      <c r="E9092" t="s">
        <v>298</v>
      </c>
      <c r="F9092" t="s">
        <v>9814</v>
      </c>
      <c r="G9092">
        <v>722</v>
      </c>
      <c r="H9092">
        <v>102338.30999999998</v>
      </c>
      <c r="I9092">
        <v>141.74</v>
      </c>
      <c r="J9092">
        <v>0</v>
      </c>
      <c r="K9092">
        <v>0</v>
      </c>
      <c r="L9092">
        <v>0</v>
      </c>
      <c r="M9092">
        <v>722</v>
      </c>
      <c r="N9092">
        <v>102338.30999999998</v>
      </c>
      <c r="O9092">
        <v>141.74</v>
      </c>
    </row>
    <row r="9093" spans="1:15" x14ac:dyDescent="0.35">
      <c r="A9093" t="s">
        <v>9810</v>
      </c>
      <c r="B9093" t="s">
        <v>9811</v>
      </c>
      <c r="C9093" t="s">
        <v>520</v>
      </c>
      <c r="D9093" t="s">
        <v>293</v>
      </c>
      <c r="E9093" t="s">
        <v>300</v>
      </c>
      <c r="F9093" t="s">
        <v>9815</v>
      </c>
      <c r="G9093">
        <v>185</v>
      </c>
      <c r="H9093">
        <v>29641.319999999996</v>
      </c>
      <c r="I9093">
        <v>160.22</v>
      </c>
      <c r="J9093">
        <v>0</v>
      </c>
      <c r="K9093">
        <v>0</v>
      </c>
      <c r="L9093">
        <v>0</v>
      </c>
      <c r="M9093">
        <v>185</v>
      </c>
      <c r="N9093">
        <v>29641.319999999996</v>
      </c>
      <c r="O9093">
        <v>160.22</v>
      </c>
    </row>
    <row r="9094" spans="1:15" x14ac:dyDescent="0.35">
      <c r="A9094" t="s">
        <v>9810</v>
      </c>
      <c r="B9094" t="s">
        <v>9811</v>
      </c>
      <c r="C9094" t="s">
        <v>520</v>
      </c>
      <c r="D9094" t="s">
        <v>293</v>
      </c>
      <c r="E9094" t="s">
        <v>302</v>
      </c>
      <c r="F9094" t="s">
        <v>9816</v>
      </c>
      <c r="G9094">
        <v>25</v>
      </c>
      <c r="H9094">
        <v>4125.08</v>
      </c>
      <c r="I9094">
        <v>165</v>
      </c>
      <c r="J9094">
        <v>18</v>
      </c>
      <c r="K9094">
        <v>3108.96</v>
      </c>
      <c r="L9094">
        <v>172.72</v>
      </c>
      <c r="M9094">
        <v>43</v>
      </c>
      <c r="N9094">
        <v>7234.04</v>
      </c>
      <c r="O9094">
        <v>168.23</v>
      </c>
    </row>
    <row r="9095" spans="1:15" x14ac:dyDescent="0.35">
      <c r="A9095" t="s">
        <v>9810</v>
      </c>
      <c r="B9095" t="s">
        <v>9811</v>
      </c>
      <c r="C9095" t="s">
        <v>520</v>
      </c>
      <c r="D9095" t="s">
        <v>293</v>
      </c>
      <c r="E9095" t="s">
        <v>304</v>
      </c>
      <c r="F9095" t="s">
        <v>9817</v>
      </c>
      <c r="G9095">
        <v>0</v>
      </c>
      <c r="H9095">
        <v>0</v>
      </c>
      <c r="I9095">
        <v>0</v>
      </c>
      <c r="J9095">
        <v>0</v>
      </c>
      <c r="K9095">
        <v>0</v>
      </c>
      <c r="L9095">
        <v>0</v>
      </c>
      <c r="M9095">
        <v>0</v>
      </c>
      <c r="N9095">
        <v>0</v>
      </c>
      <c r="O9095">
        <v>0</v>
      </c>
    </row>
    <row r="9096" spans="1:15" x14ac:dyDescent="0.35">
      <c r="A9096" t="s">
        <v>9810</v>
      </c>
      <c r="B9096" t="s">
        <v>9811</v>
      </c>
      <c r="C9096" t="s">
        <v>520</v>
      </c>
      <c r="D9096" t="s">
        <v>293</v>
      </c>
      <c r="E9096" t="s">
        <v>306</v>
      </c>
      <c r="F9096" t="s">
        <v>9818</v>
      </c>
      <c r="G9096">
        <v>1</v>
      </c>
      <c r="H9096">
        <v>98.37</v>
      </c>
      <c r="I9096">
        <v>98.37</v>
      </c>
      <c r="J9096">
        <v>0</v>
      </c>
      <c r="K9096">
        <v>0</v>
      </c>
      <c r="L9096">
        <v>0</v>
      </c>
      <c r="M9096">
        <v>1</v>
      </c>
      <c r="N9096">
        <v>98.37</v>
      </c>
      <c r="O9096">
        <v>98.37</v>
      </c>
    </row>
    <row r="9097" spans="1:15" x14ac:dyDescent="0.35">
      <c r="A9097" t="s">
        <v>9810</v>
      </c>
      <c r="B9097" t="s">
        <v>9811</v>
      </c>
      <c r="C9097" t="s">
        <v>520</v>
      </c>
      <c r="D9097" t="s">
        <v>293</v>
      </c>
      <c r="E9097" t="s">
        <v>308</v>
      </c>
      <c r="F9097" t="s">
        <v>9819</v>
      </c>
      <c r="G9097">
        <v>0</v>
      </c>
      <c r="H9097">
        <v>0</v>
      </c>
      <c r="I9097">
        <v>0</v>
      </c>
      <c r="J9097">
        <v>0</v>
      </c>
      <c r="K9097">
        <v>0</v>
      </c>
      <c r="L9097">
        <v>0</v>
      </c>
      <c r="M9097">
        <v>0</v>
      </c>
      <c r="N9097">
        <v>0</v>
      </c>
      <c r="O9097">
        <v>0</v>
      </c>
    </row>
    <row r="9098" spans="1:15" x14ac:dyDescent="0.35">
      <c r="A9098" t="s">
        <v>9810</v>
      </c>
      <c r="B9098" t="s">
        <v>9811</v>
      </c>
      <c r="C9098" t="s">
        <v>520</v>
      </c>
      <c r="D9098" t="s">
        <v>293</v>
      </c>
      <c r="E9098" t="s">
        <v>310</v>
      </c>
      <c r="F9098" t="s">
        <v>9820</v>
      </c>
      <c r="G9098">
        <v>2012</v>
      </c>
      <c r="H9098">
        <v>257138.00999999998</v>
      </c>
      <c r="I9098">
        <v>127.8</v>
      </c>
      <c r="J9098">
        <v>18</v>
      </c>
      <c r="K9098">
        <v>3108.96</v>
      </c>
      <c r="L9098">
        <v>172.72</v>
      </c>
      <c r="M9098">
        <v>2030</v>
      </c>
      <c r="N9098">
        <v>260246.96999999997</v>
      </c>
      <c r="O9098">
        <v>128.19999999999999</v>
      </c>
    </row>
    <row r="9099" spans="1:15" x14ac:dyDescent="0.35">
      <c r="A9099" t="s">
        <v>9810</v>
      </c>
      <c r="B9099" t="s">
        <v>9811</v>
      </c>
      <c r="C9099" t="s">
        <v>520</v>
      </c>
      <c r="D9099" t="s">
        <v>293</v>
      </c>
      <c r="E9099" t="s">
        <v>312</v>
      </c>
      <c r="F9099" t="s">
        <v>9821</v>
      </c>
      <c r="G9099">
        <v>2012</v>
      </c>
      <c r="H9099">
        <v>257138.00999999998</v>
      </c>
      <c r="I9099">
        <v>127.8</v>
      </c>
      <c r="J9099">
        <v>18</v>
      </c>
      <c r="K9099">
        <v>3108.96</v>
      </c>
      <c r="L9099">
        <v>172.72</v>
      </c>
      <c r="M9099">
        <v>2030</v>
      </c>
      <c r="N9099">
        <v>260246.96999999997</v>
      </c>
      <c r="O9099">
        <v>128.19999999999999</v>
      </c>
    </row>
    <row r="9100" spans="1:15" x14ac:dyDescent="0.35">
      <c r="A9100" t="s">
        <v>9810</v>
      </c>
      <c r="B9100" t="s">
        <v>9811</v>
      </c>
      <c r="C9100" t="s">
        <v>520</v>
      </c>
      <c r="D9100" t="s">
        <v>314</v>
      </c>
      <c r="E9100" t="s">
        <v>294</v>
      </c>
      <c r="F9100" t="s">
        <v>9822</v>
      </c>
      <c r="G9100">
        <v>0</v>
      </c>
      <c r="H9100">
        <v>0</v>
      </c>
      <c r="I9100">
        <v>0</v>
      </c>
      <c r="J9100">
        <v>20</v>
      </c>
      <c r="K9100">
        <v>2926.8</v>
      </c>
      <c r="L9100">
        <v>146.34</v>
      </c>
      <c r="M9100">
        <v>20</v>
      </c>
      <c r="N9100">
        <v>2926.8</v>
      </c>
      <c r="O9100">
        <v>146.34</v>
      </c>
    </row>
    <row r="9101" spans="1:15" x14ac:dyDescent="0.35">
      <c r="A9101" t="s">
        <v>9810</v>
      </c>
      <c r="B9101" t="s">
        <v>9811</v>
      </c>
      <c r="C9101" t="s">
        <v>520</v>
      </c>
      <c r="D9101" t="s">
        <v>314</v>
      </c>
      <c r="E9101" t="s">
        <v>296</v>
      </c>
      <c r="F9101" t="s">
        <v>9823</v>
      </c>
      <c r="G9101">
        <v>0</v>
      </c>
      <c r="H9101">
        <v>0</v>
      </c>
      <c r="I9101">
        <v>0</v>
      </c>
      <c r="J9101">
        <v>0</v>
      </c>
      <c r="K9101">
        <v>0</v>
      </c>
      <c r="L9101">
        <v>0</v>
      </c>
      <c r="M9101">
        <v>0</v>
      </c>
      <c r="N9101">
        <v>0</v>
      </c>
      <c r="O9101">
        <v>0</v>
      </c>
    </row>
    <row r="9102" spans="1:15" x14ac:dyDescent="0.35">
      <c r="A9102" t="s">
        <v>9810</v>
      </c>
      <c r="B9102" t="s">
        <v>9811</v>
      </c>
      <c r="C9102" t="s">
        <v>520</v>
      </c>
      <c r="D9102" t="s">
        <v>314</v>
      </c>
      <c r="E9102" t="s">
        <v>298</v>
      </c>
      <c r="F9102" t="s">
        <v>9824</v>
      </c>
      <c r="G9102">
        <v>0</v>
      </c>
      <c r="H9102">
        <v>0</v>
      </c>
      <c r="I9102">
        <v>0</v>
      </c>
      <c r="J9102">
        <v>0</v>
      </c>
      <c r="K9102">
        <v>0</v>
      </c>
      <c r="L9102">
        <v>0</v>
      </c>
      <c r="M9102">
        <v>0</v>
      </c>
      <c r="N9102">
        <v>0</v>
      </c>
      <c r="O9102">
        <v>0</v>
      </c>
    </row>
    <row r="9103" spans="1:15" x14ac:dyDescent="0.35">
      <c r="A9103" t="s">
        <v>9810</v>
      </c>
      <c r="B9103" t="s">
        <v>9811</v>
      </c>
      <c r="C9103" t="s">
        <v>520</v>
      </c>
      <c r="D9103" t="s">
        <v>314</v>
      </c>
      <c r="E9103" t="s">
        <v>300</v>
      </c>
      <c r="F9103" t="s">
        <v>9825</v>
      </c>
      <c r="G9103">
        <v>0</v>
      </c>
      <c r="H9103">
        <v>0</v>
      </c>
      <c r="I9103">
        <v>0</v>
      </c>
      <c r="J9103">
        <v>0</v>
      </c>
      <c r="K9103">
        <v>0</v>
      </c>
      <c r="L9103">
        <v>0</v>
      </c>
      <c r="M9103">
        <v>0</v>
      </c>
      <c r="N9103">
        <v>0</v>
      </c>
      <c r="O9103">
        <v>0</v>
      </c>
    </row>
    <row r="9104" spans="1:15" x14ac:dyDescent="0.35">
      <c r="A9104" t="s">
        <v>9810</v>
      </c>
      <c r="B9104" t="s">
        <v>9811</v>
      </c>
      <c r="C9104" t="s">
        <v>520</v>
      </c>
      <c r="D9104" t="s">
        <v>314</v>
      </c>
      <c r="E9104" t="s">
        <v>306</v>
      </c>
      <c r="F9104" t="s">
        <v>9826</v>
      </c>
      <c r="G9104">
        <v>0</v>
      </c>
      <c r="H9104">
        <v>0</v>
      </c>
      <c r="I9104">
        <v>0</v>
      </c>
      <c r="J9104">
        <v>0</v>
      </c>
      <c r="K9104">
        <v>0</v>
      </c>
      <c r="L9104">
        <v>0</v>
      </c>
      <c r="M9104">
        <v>0</v>
      </c>
      <c r="N9104">
        <v>0</v>
      </c>
      <c r="O9104">
        <v>0</v>
      </c>
    </row>
    <row r="9105" spans="1:15" x14ac:dyDescent="0.35">
      <c r="A9105" t="s">
        <v>9810</v>
      </c>
      <c r="B9105" t="s">
        <v>9811</v>
      </c>
      <c r="C9105" t="s">
        <v>520</v>
      </c>
      <c r="D9105" t="s">
        <v>314</v>
      </c>
      <c r="E9105" t="s">
        <v>308</v>
      </c>
      <c r="F9105" t="s">
        <v>9827</v>
      </c>
      <c r="G9105">
        <v>0</v>
      </c>
      <c r="H9105">
        <v>0</v>
      </c>
      <c r="I9105">
        <v>0</v>
      </c>
      <c r="J9105">
        <v>0</v>
      </c>
      <c r="K9105">
        <v>0</v>
      </c>
      <c r="L9105">
        <v>0</v>
      </c>
      <c r="M9105">
        <v>0</v>
      </c>
      <c r="N9105">
        <v>0</v>
      </c>
      <c r="O9105">
        <v>0</v>
      </c>
    </row>
    <row r="9106" spans="1:15" x14ac:dyDescent="0.35">
      <c r="A9106" t="s">
        <v>9810</v>
      </c>
      <c r="B9106" t="s">
        <v>9811</v>
      </c>
      <c r="C9106" t="s">
        <v>520</v>
      </c>
      <c r="D9106" t="s">
        <v>314</v>
      </c>
      <c r="E9106" t="s">
        <v>312</v>
      </c>
      <c r="F9106" t="s">
        <v>9828</v>
      </c>
      <c r="G9106">
        <v>0</v>
      </c>
      <c r="H9106">
        <v>0</v>
      </c>
      <c r="I9106">
        <v>0</v>
      </c>
      <c r="J9106">
        <v>20</v>
      </c>
      <c r="K9106">
        <v>2926.8</v>
      </c>
      <c r="L9106">
        <v>146.34</v>
      </c>
      <c r="M9106">
        <v>20</v>
      </c>
      <c r="N9106">
        <v>2926.8</v>
      </c>
      <c r="O9106">
        <v>146.34</v>
      </c>
    </row>
    <row r="9107" spans="1:15" x14ac:dyDescent="0.35">
      <c r="A9107" t="s">
        <v>9810</v>
      </c>
      <c r="B9107" t="s">
        <v>9811</v>
      </c>
      <c r="C9107" t="s">
        <v>520</v>
      </c>
      <c r="D9107" t="s">
        <v>314</v>
      </c>
      <c r="E9107" t="s">
        <v>310</v>
      </c>
      <c r="F9107" t="s">
        <v>9829</v>
      </c>
      <c r="G9107">
        <v>0</v>
      </c>
      <c r="H9107">
        <v>0</v>
      </c>
      <c r="I9107">
        <v>0</v>
      </c>
      <c r="J9107">
        <v>20</v>
      </c>
      <c r="K9107">
        <v>2926.8</v>
      </c>
      <c r="L9107">
        <v>146.34</v>
      </c>
      <c r="M9107">
        <v>20</v>
      </c>
      <c r="N9107">
        <v>2926.8</v>
      </c>
      <c r="O9107">
        <v>146.34</v>
      </c>
    </row>
    <row r="9108" spans="1:15" x14ac:dyDescent="0.35">
      <c r="A9108" t="s">
        <v>9810</v>
      </c>
      <c r="B9108" t="s">
        <v>9811</v>
      </c>
      <c r="C9108" t="s">
        <v>520</v>
      </c>
      <c r="D9108" t="s">
        <v>323</v>
      </c>
      <c r="E9108" t="s">
        <v>294</v>
      </c>
      <c r="F9108" t="s">
        <v>9830</v>
      </c>
      <c r="G9108">
        <v>3928</v>
      </c>
      <c r="H9108">
        <v>324972.55</v>
      </c>
      <c r="I9108">
        <v>82.73</v>
      </c>
      <c r="J9108">
        <v>155</v>
      </c>
      <c r="K9108">
        <v>13351.7</v>
      </c>
      <c r="L9108">
        <v>86.14</v>
      </c>
      <c r="M9108">
        <v>4083</v>
      </c>
      <c r="N9108">
        <v>338324.25</v>
      </c>
      <c r="O9108">
        <v>82.86</v>
      </c>
    </row>
    <row r="9109" spans="1:15" x14ac:dyDescent="0.35">
      <c r="A9109" t="s">
        <v>9810</v>
      </c>
      <c r="B9109" t="s">
        <v>9811</v>
      </c>
      <c r="C9109" t="s">
        <v>520</v>
      </c>
      <c r="D9109" t="s">
        <v>323</v>
      </c>
      <c r="E9109" t="s">
        <v>296</v>
      </c>
      <c r="F9109" t="s">
        <v>9831</v>
      </c>
      <c r="G9109">
        <v>6361</v>
      </c>
      <c r="H9109">
        <v>602857</v>
      </c>
      <c r="I9109">
        <v>94.77</v>
      </c>
      <c r="J9109">
        <v>110</v>
      </c>
      <c r="K9109">
        <v>10690.9</v>
      </c>
      <c r="L9109">
        <v>97.19</v>
      </c>
      <c r="M9109">
        <v>6471</v>
      </c>
      <c r="N9109">
        <v>613547.9</v>
      </c>
      <c r="O9109">
        <v>94.82</v>
      </c>
    </row>
    <row r="9110" spans="1:15" x14ac:dyDescent="0.35">
      <c r="A9110" t="s">
        <v>9810</v>
      </c>
      <c r="B9110" t="s">
        <v>9811</v>
      </c>
      <c r="C9110" t="s">
        <v>520</v>
      </c>
      <c r="D9110" t="s">
        <v>323</v>
      </c>
      <c r="E9110" t="s">
        <v>298</v>
      </c>
      <c r="F9110" t="s">
        <v>9832</v>
      </c>
      <c r="G9110">
        <v>4009</v>
      </c>
      <c r="H9110">
        <v>422348.48000000004</v>
      </c>
      <c r="I9110">
        <v>105.35</v>
      </c>
      <c r="J9110">
        <v>213</v>
      </c>
      <c r="K9110">
        <v>24011.49</v>
      </c>
      <c r="L9110">
        <v>112.73</v>
      </c>
      <c r="M9110">
        <v>4222</v>
      </c>
      <c r="N9110">
        <v>446359.97000000003</v>
      </c>
      <c r="O9110">
        <v>105.72</v>
      </c>
    </row>
    <row r="9111" spans="1:15" x14ac:dyDescent="0.35">
      <c r="A9111" t="s">
        <v>9810</v>
      </c>
      <c r="B9111" t="s">
        <v>9811</v>
      </c>
      <c r="C9111" t="s">
        <v>520</v>
      </c>
      <c r="D9111" t="s">
        <v>323</v>
      </c>
      <c r="E9111" t="s">
        <v>300</v>
      </c>
      <c r="F9111" t="s">
        <v>9833</v>
      </c>
      <c r="G9111">
        <v>605</v>
      </c>
      <c r="H9111">
        <v>71997.840000000011</v>
      </c>
      <c r="I9111">
        <v>119</v>
      </c>
      <c r="J9111">
        <v>108</v>
      </c>
      <c r="K9111">
        <v>12593.88</v>
      </c>
      <c r="L9111">
        <v>116.61</v>
      </c>
      <c r="M9111">
        <v>713</v>
      </c>
      <c r="N9111">
        <v>84591.720000000016</v>
      </c>
      <c r="O9111">
        <v>118.64</v>
      </c>
    </row>
    <row r="9112" spans="1:15" x14ac:dyDescent="0.35">
      <c r="A9112" t="s">
        <v>9810</v>
      </c>
      <c r="B9112" t="s">
        <v>9811</v>
      </c>
      <c r="C9112" t="s">
        <v>520</v>
      </c>
      <c r="D9112" t="s">
        <v>323</v>
      </c>
      <c r="E9112" t="s">
        <v>302</v>
      </c>
      <c r="F9112" t="s">
        <v>9834</v>
      </c>
      <c r="G9112">
        <v>85</v>
      </c>
      <c r="H9112">
        <v>11213.29</v>
      </c>
      <c r="I9112">
        <v>131.91999999999999</v>
      </c>
      <c r="J9112">
        <v>30</v>
      </c>
      <c r="K9112">
        <v>3590.1</v>
      </c>
      <c r="L9112">
        <v>119.67</v>
      </c>
      <c r="M9112">
        <v>115</v>
      </c>
      <c r="N9112">
        <v>14803.390000000001</v>
      </c>
      <c r="O9112">
        <v>128.72999999999999</v>
      </c>
    </row>
    <row r="9113" spans="1:15" x14ac:dyDescent="0.35">
      <c r="A9113" t="s">
        <v>9810</v>
      </c>
      <c r="B9113" t="s">
        <v>9811</v>
      </c>
      <c r="C9113" t="s">
        <v>520</v>
      </c>
      <c r="D9113" t="s">
        <v>323</v>
      </c>
      <c r="E9113" t="s">
        <v>304</v>
      </c>
      <c r="F9113" t="s">
        <v>9835</v>
      </c>
      <c r="G9113">
        <v>25</v>
      </c>
      <c r="H9113">
        <v>3521.83</v>
      </c>
      <c r="I9113">
        <v>140.87</v>
      </c>
      <c r="J9113">
        <v>0</v>
      </c>
      <c r="K9113">
        <v>0</v>
      </c>
      <c r="L9113">
        <v>0</v>
      </c>
      <c r="M9113">
        <v>25</v>
      </c>
      <c r="N9113">
        <v>3521.83</v>
      </c>
      <c r="O9113">
        <v>140.87</v>
      </c>
    </row>
    <row r="9114" spans="1:15" x14ac:dyDescent="0.35">
      <c r="A9114" t="s">
        <v>9810</v>
      </c>
      <c r="B9114" t="s">
        <v>9811</v>
      </c>
      <c r="C9114" t="s">
        <v>520</v>
      </c>
      <c r="D9114" t="s">
        <v>323</v>
      </c>
      <c r="E9114" t="s">
        <v>306</v>
      </c>
      <c r="F9114" t="s">
        <v>9836</v>
      </c>
      <c r="G9114">
        <v>94</v>
      </c>
      <c r="H9114">
        <v>6812.57</v>
      </c>
      <c r="I9114">
        <v>72.47</v>
      </c>
      <c r="J9114">
        <v>0</v>
      </c>
      <c r="K9114">
        <v>0</v>
      </c>
      <c r="L9114">
        <v>0</v>
      </c>
      <c r="M9114">
        <v>94</v>
      </c>
      <c r="N9114">
        <v>6812.57</v>
      </c>
      <c r="O9114">
        <v>72.47</v>
      </c>
    </row>
    <row r="9115" spans="1:15" x14ac:dyDescent="0.35">
      <c r="A9115" t="s">
        <v>9810</v>
      </c>
      <c r="B9115" t="s">
        <v>9811</v>
      </c>
      <c r="C9115" t="s">
        <v>520</v>
      </c>
      <c r="D9115" t="s">
        <v>323</v>
      </c>
      <c r="E9115" t="s">
        <v>308</v>
      </c>
      <c r="F9115" t="s">
        <v>9837</v>
      </c>
      <c r="G9115">
        <v>3</v>
      </c>
      <c r="H9115">
        <v>197.13</v>
      </c>
      <c r="I9115">
        <v>65.709999999999994</v>
      </c>
      <c r="J9115">
        <v>0</v>
      </c>
      <c r="K9115">
        <v>0</v>
      </c>
      <c r="L9115">
        <v>0</v>
      </c>
      <c r="M9115">
        <v>3</v>
      </c>
      <c r="N9115">
        <v>197.13</v>
      </c>
      <c r="O9115">
        <v>65.709999999999994</v>
      </c>
    </row>
    <row r="9116" spans="1:15" x14ac:dyDescent="0.35">
      <c r="A9116" t="s">
        <v>9810</v>
      </c>
      <c r="B9116" t="s">
        <v>9811</v>
      </c>
      <c r="C9116" t="s">
        <v>520</v>
      </c>
      <c r="D9116" t="s">
        <v>323</v>
      </c>
      <c r="E9116" t="s">
        <v>310</v>
      </c>
      <c r="F9116" t="s">
        <v>9838</v>
      </c>
      <c r="G9116">
        <v>15110</v>
      </c>
      <c r="H9116">
        <v>1443920.6900000002</v>
      </c>
      <c r="I9116">
        <v>95.56</v>
      </c>
      <c r="J9116">
        <v>616</v>
      </c>
      <c r="K9116">
        <v>64238.069999999992</v>
      </c>
      <c r="L9116">
        <v>104.28</v>
      </c>
      <c r="M9116">
        <v>15726</v>
      </c>
      <c r="N9116">
        <v>1508158.7600000002</v>
      </c>
      <c r="O9116">
        <v>95.9</v>
      </c>
    </row>
    <row r="9117" spans="1:15" x14ac:dyDescent="0.35">
      <c r="A9117" t="s">
        <v>9810</v>
      </c>
      <c r="B9117" t="s">
        <v>9811</v>
      </c>
      <c r="C9117" t="s">
        <v>520</v>
      </c>
      <c r="D9117" t="s">
        <v>323</v>
      </c>
      <c r="E9117" t="s">
        <v>312</v>
      </c>
      <c r="F9117" t="s">
        <v>9839</v>
      </c>
      <c r="G9117">
        <v>15107</v>
      </c>
      <c r="H9117">
        <v>1443723.5600000003</v>
      </c>
      <c r="I9117">
        <v>95.57</v>
      </c>
      <c r="J9117">
        <v>616</v>
      </c>
      <c r="K9117">
        <v>64238.069999999992</v>
      </c>
      <c r="L9117">
        <v>104.28</v>
      </c>
      <c r="M9117">
        <v>15723</v>
      </c>
      <c r="N9117">
        <v>1507961.6300000004</v>
      </c>
      <c r="O9117">
        <v>95.91</v>
      </c>
    </row>
    <row r="9118" spans="1:15" x14ac:dyDescent="0.35">
      <c r="A9118" t="s">
        <v>9810</v>
      </c>
      <c r="B9118" t="s">
        <v>9811</v>
      </c>
      <c r="C9118" t="s">
        <v>520</v>
      </c>
      <c r="D9118" t="s">
        <v>334</v>
      </c>
      <c r="E9118" t="s">
        <v>312</v>
      </c>
      <c r="F9118" t="s">
        <v>9840</v>
      </c>
      <c r="G9118">
        <v>17304</v>
      </c>
      <c r="H9118">
        <v>1700861.5700000003</v>
      </c>
      <c r="I9118">
        <v>99.36</v>
      </c>
      <c r="J9118">
        <v>634</v>
      </c>
      <c r="K9118">
        <v>67347.03</v>
      </c>
      <c r="L9118">
        <v>106.23</v>
      </c>
      <c r="M9118">
        <v>17938</v>
      </c>
      <c r="N9118">
        <v>1768208.6000000003</v>
      </c>
      <c r="O9118">
        <v>99.6</v>
      </c>
    </row>
    <row r="9119" spans="1:15" x14ac:dyDescent="0.35">
      <c r="A9119" t="s">
        <v>9810</v>
      </c>
      <c r="B9119" t="s">
        <v>9811</v>
      </c>
      <c r="C9119" t="s">
        <v>520</v>
      </c>
      <c r="D9119" t="s">
        <v>334</v>
      </c>
      <c r="E9119" t="s">
        <v>308</v>
      </c>
      <c r="F9119" t="s">
        <v>9841</v>
      </c>
      <c r="G9119">
        <v>5</v>
      </c>
      <c r="H9119">
        <v>197.13</v>
      </c>
      <c r="I9119">
        <v>65.709999999999994</v>
      </c>
      <c r="J9119">
        <v>0</v>
      </c>
      <c r="K9119">
        <v>0</v>
      </c>
      <c r="L9119">
        <v>0</v>
      </c>
      <c r="M9119">
        <v>5</v>
      </c>
      <c r="N9119">
        <v>197.13</v>
      </c>
      <c r="O9119">
        <v>65.709999999999994</v>
      </c>
    </row>
    <row r="9120" spans="1:15" x14ac:dyDescent="0.35">
      <c r="A9120" t="s">
        <v>9810</v>
      </c>
      <c r="B9120" t="s">
        <v>9811</v>
      </c>
      <c r="C9120" t="s">
        <v>520</v>
      </c>
      <c r="D9120" t="s">
        <v>337</v>
      </c>
      <c r="E9120" t="s">
        <v>337</v>
      </c>
      <c r="F9120" t="s">
        <v>9842</v>
      </c>
      <c r="G9120">
        <v>479</v>
      </c>
      <c r="J9120">
        <v>0</v>
      </c>
      <c r="M9120">
        <v>479</v>
      </c>
    </row>
    <row r="9121" spans="1:15" x14ac:dyDescent="0.35">
      <c r="A9121" t="s">
        <v>9810</v>
      </c>
      <c r="B9121" t="s">
        <v>9811</v>
      </c>
      <c r="C9121" t="s">
        <v>520</v>
      </c>
      <c r="D9121" t="s">
        <v>339</v>
      </c>
      <c r="E9121" t="s">
        <v>294</v>
      </c>
      <c r="F9121" t="s">
        <v>9843</v>
      </c>
      <c r="G9121">
        <v>944</v>
      </c>
      <c r="H9121">
        <v>91471.94</v>
      </c>
      <c r="I9121">
        <v>96.9</v>
      </c>
      <c r="J9121">
        <v>1151</v>
      </c>
      <c r="K9121">
        <v>106847.33</v>
      </c>
      <c r="L9121">
        <v>92.83</v>
      </c>
      <c r="M9121">
        <v>2095</v>
      </c>
      <c r="N9121">
        <v>198319.27000000002</v>
      </c>
      <c r="O9121">
        <v>94.66</v>
      </c>
    </row>
    <row r="9122" spans="1:15" x14ac:dyDescent="0.35">
      <c r="A9122" t="s">
        <v>9810</v>
      </c>
      <c r="B9122" t="s">
        <v>9811</v>
      </c>
      <c r="C9122" t="s">
        <v>520</v>
      </c>
      <c r="D9122" t="s">
        <v>339</v>
      </c>
      <c r="E9122" t="s">
        <v>296</v>
      </c>
      <c r="F9122" t="s">
        <v>9844</v>
      </c>
      <c r="G9122">
        <v>55</v>
      </c>
      <c r="H9122">
        <v>5822.81</v>
      </c>
      <c r="I9122">
        <v>105.87</v>
      </c>
      <c r="J9122">
        <v>277</v>
      </c>
      <c r="K9122">
        <v>28121.039999999997</v>
      </c>
      <c r="L9122">
        <v>101.52</v>
      </c>
      <c r="M9122">
        <v>332</v>
      </c>
      <c r="N9122">
        <v>33943.85</v>
      </c>
      <c r="O9122">
        <v>102.24</v>
      </c>
    </row>
    <row r="9123" spans="1:15" x14ac:dyDescent="0.35">
      <c r="A9123" t="s">
        <v>9810</v>
      </c>
      <c r="B9123" t="s">
        <v>9811</v>
      </c>
      <c r="C9123" t="s">
        <v>520</v>
      </c>
      <c r="D9123" t="s">
        <v>339</v>
      </c>
      <c r="E9123" t="s">
        <v>298</v>
      </c>
      <c r="F9123" t="s">
        <v>9845</v>
      </c>
      <c r="G9123">
        <v>12</v>
      </c>
      <c r="H9123">
        <v>1515.4099999999999</v>
      </c>
      <c r="I9123">
        <v>126.28</v>
      </c>
      <c r="J9123">
        <v>1</v>
      </c>
      <c r="K9123">
        <v>108.55</v>
      </c>
      <c r="L9123">
        <v>108.55</v>
      </c>
      <c r="M9123">
        <v>13</v>
      </c>
      <c r="N9123">
        <v>1623.9599999999998</v>
      </c>
      <c r="O9123">
        <v>124.92</v>
      </c>
    </row>
    <row r="9124" spans="1:15" x14ac:dyDescent="0.35">
      <c r="A9124" t="s">
        <v>9810</v>
      </c>
      <c r="B9124" t="s">
        <v>9811</v>
      </c>
      <c r="C9124" t="s">
        <v>520</v>
      </c>
      <c r="D9124" t="s">
        <v>339</v>
      </c>
      <c r="E9124" t="s">
        <v>300</v>
      </c>
      <c r="F9124" t="s">
        <v>9846</v>
      </c>
      <c r="G9124">
        <v>0</v>
      </c>
      <c r="H9124">
        <v>0</v>
      </c>
      <c r="I9124">
        <v>0</v>
      </c>
      <c r="J9124">
        <v>0</v>
      </c>
      <c r="K9124">
        <v>0</v>
      </c>
      <c r="L9124">
        <v>0</v>
      </c>
      <c r="M9124">
        <v>0</v>
      </c>
      <c r="N9124">
        <v>0</v>
      </c>
      <c r="O9124">
        <v>0</v>
      </c>
    </row>
    <row r="9125" spans="1:15" x14ac:dyDescent="0.35">
      <c r="A9125" t="s">
        <v>9810</v>
      </c>
      <c r="B9125" t="s">
        <v>9811</v>
      </c>
      <c r="C9125" t="s">
        <v>520</v>
      </c>
      <c r="D9125" t="s">
        <v>339</v>
      </c>
      <c r="E9125" t="s">
        <v>306</v>
      </c>
      <c r="F9125" t="s">
        <v>9847</v>
      </c>
      <c r="G9125">
        <v>176</v>
      </c>
      <c r="H9125">
        <v>15024.19</v>
      </c>
      <c r="I9125">
        <v>85.36</v>
      </c>
      <c r="J9125">
        <v>0</v>
      </c>
      <c r="K9125">
        <v>0</v>
      </c>
      <c r="L9125">
        <v>0</v>
      </c>
      <c r="M9125">
        <v>176</v>
      </c>
      <c r="N9125">
        <v>15024.19</v>
      </c>
      <c r="O9125">
        <v>85.36</v>
      </c>
    </row>
    <row r="9126" spans="1:15" x14ac:dyDescent="0.35">
      <c r="A9126" t="s">
        <v>9810</v>
      </c>
      <c r="B9126" t="s">
        <v>9811</v>
      </c>
      <c r="C9126" t="s">
        <v>520</v>
      </c>
      <c r="D9126" t="s">
        <v>339</v>
      </c>
      <c r="E9126" t="s">
        <v>308</v>
      </c>
      <c r="F9126" t="s">
        <v>9848</v>
      </c>
      <c r="G9126">
        <v>128</v>
      </c>
      <c r="H9126">
        <v>13503.880000000001</v>
      </c>
      <c r="I9126">
        <v>105.5</v>
      </c>
      <c r="J9126">
        <v>0</v>
      </c>
      <c r="K9126">
        <v>0</v>
      </c>
      <c r="L9126">
        <v>0</v>
      </c>
      <c r="M9126">
        <v>128</v>
      </c>
      <c r="N9126">
        <v>13503.880000000001</v>
      </c>
      <c r="O9126">
        <v>105.5</v>
      </c>
    </row>
    <row r="9127" spans="1:15" x14ac:dyDescent="0.35">
      <c r="A9127" t="s">
        <v>9810</v>
      </c>
      <c r="B9127" t="s">
        <v>9811</v>
      </c>
      <c r="C9127" t="s">
        <v>520</v>
      </c>
      <c r="D9127" t="s">
        <v>339</v>
      </c>
      <c r="E9127" t="s">
        <v>310</v>
      </c>
      <c r="F9127" t="s">
        <v>9849</v>
      </c>
      <c r="G9127">
        <v>1315</v>
      </c>
      <c r="H9127">
        <v>127338.23000000001</v>
      </c>
      <c r="I9127">
        <v>96.84</v>
      </c>
      <c r="J9127">
        <v>1429</v>
      </c>
      <c r="K9127">
        <v>135076.91999999998</v>
      </c>
      <c r="L9127">
        <v>94.53</v>
      </c>
      <c r="M9127">
        <v>2744</v>
      </c>
      <c r="N9127">
        <v>262415.15000000002</v>
      </c>
      <c r="O9127">
        <v>95.63</v>
      </c>
    </row>
    <row r="9128" spans="1:15" x14ac:dyDescent="0.35">
      <c r="A9128" t="s">
        <v>9810</v>
      </c>
      <c r="B9128" t="s">
        <v>9811</v>
      </c>
      <c r="C9128" t="s">
        <v>520</v>
      </c>
      <c r="D9128" t="s">
        <v>339</v>
      </c>
      <c r="E9128" t="s">
        <v>312</v>
      </c>
      <c r="F9128" t="s">
        <v>9850</v>
      </c>
      <c r="G9128">
        <v>1187</v>
      </c>
      <c r="H9128">
        <v>113834.35</v>
      </c>
      <c r="I9128">
        <v>95.9</v>
      </c>
      <c r="J9128">
        <v>1429</v>
      </c>
      <c r="K9128">
        <v>135076.91999999998</v>
      </c>
      <c r="L9128">
        <v>94.53</v>
      </c>
      <c r="M9128">
        <v>2616</v>
      </c>
      <c r="N9128">
        <v>248911.27</v>
      </c>
      <c r="O9128">
        <v>95.15</v>
      </c>
    </row>
    <row r="9129" spans="1:15" x14ac:dyDescent="0.35">
      <c r="A9129" t="s">
        <v>9810</v>
      </c>
      <c r="B9129" t="s">
        <v>9811</v>
      </c>
      <c r="C9129" t="s">
        <v>520</v>
      </c>
      <c r="D9129" t="s">
        <v>348</v>
      </c>
      <c r="E9129" t="s">
        <v>349</v>
      </c>
      <c r="F9129" t="s">
        <v>9851</v>
      </c>
      <c r="G9129">
        <v>1376</v>
      </c>
      <c r="H9129">
        <v>127338.23000000001</v>
      </c>
      <c r="I9129">
        <v>96.84</v>
      </c>
      <c r="J9129">
        <v>1449</v>
      </c>
      <c r="K9129">
        <v>138003.72</v>
      </c>
      <c r="L9129">
        <v>95.24</v>
      </c>
      <c r="M9129">
        <v>2825</v>
      </c>
      <c r="N9129">
        <v>265341.95</v>
      </c>
      <c r="O9129">
        <v>96</v>
      </c>
    </row>
    <row r="9130" spans="1:15" x14ac:dyDescent="0.35">
      <c r="A9130" t="s">
        <v>9852</v>
      </c>
      <c r="B9130" t="s">
        <v>9853</v>
      </c>
      <c r="C9130" t="s">
        <v>520</v>
      </c>
      <c r="D9130" t="s">
        <v>293</v>
      </c>
      <c r="E9130" t="s">
        <v>294</v>
      </c>
      <c r="F9130" t="s">
        <v>9854</v>
      </c>
      <c r="G9130">
        <v>61</v>
      </c>
      <c r="H9130">
        <v>6289.3499999999995</v>
      </c>
      <c r="I9130">
        <v>103.1</v>
      </c>
      <c r="J9130">
        <v>0</v>
      </c>
      <c r="K9130">
        <v>0</v>
      </c>
      <c r="L9130">
        <v>0</v>
      </c>
      <c r="M9130">
        <v>61</v>
      </c>
      <c r="N9130">
        <v>6289.3499999999995</v>
      </c>
      <c r="O9130">
        <v>103.1</v>
      </c>
    </row>
    <row r="9131" spans="1:15" x14ac:dyDescent="0.35">
      <c r="A9131" t="s">
        <v>9852</v>
      </c>
      <c r="B9131" t="s">
        <v>9853</v>
      </c>
      <c r="C9131" t="s">
        <v>520</v>
      </c>
      <c r="D9131" t="s">
        <v>293</v>
      </c>
      <c r="E9131" t="s">
        <v>296</v>
      </c>
      <c r="F9131" t="s">
        <v>9855</v>
      </c>
      <c r="G9131">
        <v>559</v>
      </c>
      <c r="H9131">
        <v>74637.570000000007</v>
      </c>
      <c r="I9131">
        <v>133.52000000000001</v>
      </c>
      <c r="J9131">
        <v>0</v>
      </c>
      <c r="K9131">
        <v>0</v>
      </c>
      <c r="L9131">
        <v>0</v>
      </c>
      <c r="M9131">
        <v>559</v>
      </c>
      <c r="N9131">
        <v>74637.570000000007</v>
      </c>
      <c r="O9131">
        <v>133.52000000000001</v>
      </c>
    </row>
    <row r="9132" spans="1:15" x14ac:dyDescent="0.35">
      <c r="A9132" t="s">
        <v>9852</v>
      </c>
      <c r="B9132" t="s">
        <v>9853</v>
      </c>
      <c r="C9132" t="s">
        <v>520</v>
      </c>
      <c r="D9132" t="s">
        <v>293</v>
      </c>
      <c r="E9132" t="s">
        <v>298</v>
      </c>
      <c r="F9132" t="s">
        <v>9856</v>
      </c>
      <c r="G9132">
        <v>564</v>
      </c>
      <c r="H9132">
        <v>78546.12000000001</v>
      </c>
      <c r="I9132">
        <v>139.27000000000001</v>
      </c>
      <c r="J9132">
        <v>0</v>
      </c>
      <c r="K9132">
        <v>0</v>
      </c>
      <c r="L9132">
        <v>0</v>
      </c>
      <c r="M9132">
        <v>564</v>
      </c>
      <c r="N9132">
        <v>78546.12000000001</v>
      </c>
      <c r="O9132">
        <v>139.27000000000001</v>
      </c>
    </row>
    <row r="9133" spans="1:15" x14ac:dyDescent="0.35">
      <c r="A9133" t="s">
        <v>9852</v>
      </c>
      <c r="B9133" t="s">
        <v>9853</v>
      </c>
      <c r="C9133" t="s">
        <v>520</v>
      </c>
      <c r="D9133" t="s">
        <v>293</v>
      </c>
      <c r="E9133" t="s">
        <v>300</v>
      </c>
      <c r="F9133" t="s">
        <v>9857</v>
      </c>
      <c r="G9133">
        <v>100</v>
      </c>
      <c r="H9133">
        <v>16741.27</v>
      </c>
      <c r="I9133">
        <v>167.41</v>
      </c>
      <c r="J9133">
        <v>0</v>
      </c>
      <c r="K9133">
        <v>0</v>
      </c>
      <c r="L9133">
        <v>0</v>
      </c>
      <c r="M9133">
        <v>100</v>
      </c>
      <c r="N9133">
        <v>16741.27</v>
      </c>
      <c r="O9133">
        <v>167.41</v>
      </c>
    </row>
    <row r="9134" spans="1:15" x14ac:dyDescent="0.35">
      <c r="A9134" t="s">
        <v>9852</v>
      </c>
      <c r="B9134" t="s">
        <v>9853</v>
      </c>
      <c r="C9134" t="s">
        <v>520</v>
      </c>
      <c r="D9134" t="s">
        <v>293</v>
      </c>
      <c r="E9134" t="s">
        <v>302</v>
      </c>
      <c r="F9134" t="s">
        <v>9858</v>
      </c>
      <c r="G9134">
        <v>5</v>
      </c>
      <c r="H9134">
        <v>788.47</v>
      </c>
      <c r="I9134">
        <v>157.69</v>
      </c>
      <c r="J9134">
        <v>0</v>
      </c>
      <c r="K9134">
        <v>0</v>
      </c>
      <c r="L9134">
        <v>0</v>
      </c>
      <c r="M9134">
        <v>5</v>
      </c>
      <c r="N9134">
        <v>788.47</v>
      </c>
      <c r="O9134">
        <v>157.69</v>
      </c>
    </row>
    <row r="9135" spans="1:15" x14ac:dyDescent="0.35">
      <c r="A9135" t="s">
        <v>9852</v>
      </c>
      <c r="B9135" t="s">
        <v>9853</v>
      </c>
      <c r="C9135" t="s">
        <v>520</v>
      </c>
      <c r="D9135" t="s">
        <v>293</v>
      </c>
      <c r="E9135" t="s">
        <v>304</v>
      </c>
      <c r="F9135" t="s">
        <v>9859</v>
      </c>
      <c r="G9135">
        <v>2</v>
      </c>
      <c r="H9135">
        <v>368</v>
      </c>
      <c r="I9135">
        <v>184</v>
      </c>
      <c r="J9135">
        <v>0</v>
      </c>
      <c r="K9135">
        <v>0</v>
      </c>
      <c r="L9135">
        <v>0</v>
      </c>
      <c r="M9135">
        <v>2</v>
      </c>
      <c r="N9135">
        <v>368</v>
      </c>
      <c r="O9135">
        <v>184</v>
      </c>
    </row>
    <row r="9136" spans="1:15" x14ac:dyDescent="0.35">
      <c r="A9136" t="s">
        <v>9852</v>
      </c>
      <c r="B9136" t="s">
        <v>9853</v>
      </c>
      <c r="C9136" t="s">
        <v>520</v>
      </c>
      <c r="D9136" t="s">
        <v>293</v>
      </c>
      <c r="E9136" t="s">
        <v>306</v>
      </c>
      <c r="F9136" t="s">
        <v>9860</v>
      </c>
      <c r="G9136">
        <v>0</v>
      </c>
      <c r="H9136">
        <v>0</v>
      </c>
      <c r="I9136">
        <v>0</v>
      </c>
      <c r="J9136">
        <v>0</v>
      </c>
      <c r="K9136">
        <v>0</v>
      </c>
      <c r="L9136">
        <v>0</v>
      </c>
      <c r="M9136">
        <v>0</v>
      </c>
      <c r="N9136">
        <v>0</v>
      </c>
      <c r="O9136">
        <v>0</v>
      </c>
    </row>
    <row r="9137" spans="1:15" x14ac:dyDescent="0.35">
      <c r="A9137" t="s">
        <v>9852</v>
      </c>
      <c r="B9137" t="s">
        <v>9853</v>
      </c>
      <c r="C9137" t="s">
        <v>520</v>
      </c>
      <c r="D9137" t="s">
        <v>293</v>
      </c>
      <c r="E9137" t="s">
        <v>308</v>
      </c>
      <c r="F9137" t="s">
        <v>9861</v>
      </c>
      <c r="G9137">
        <v>0</v>
      </c>
      <c r="H9137">
        <v>0</v>
      </c>
      <c r="I9137">
        <v>0</v>
      </c>
      <c r="J9137">
        <v>0</v>
      </c>
      <c r="K9137">
        <v>0</v>
      </c>
      <c r="L9137">
        <v>0</v>
      </c>
      <c r="M9137">
        <v>0</v>
      </c>
      <c r="N9137">
        <v>0</v>
      </c>
      <c r="O9137">
        <v>0</v>
      </c>
    </row>
    <row r="9138" spans="1:15" x14ac:dyDescent="0.35">
      <c r="A9138" t="s">
        <v>9852</v>
      </c>
      <c r="B9138" t="s">
        <v>9853</v>
      </c>
      <c r="C9138" t="s">
        <v>520</v>
      </c>
      <c r="D9138" t="s">
        <v>293</v>
      </c>
      <c r="E9138" t="s">
        <v>310</v>
      </c>
      <c r="F9138" t="s">
        <v>9862</v>
      </c>
      <c r="G9138">
        <v>1291</v>
      </c>
      <c r="H9138">
        <v>177370.78000000003</v>
      </c>
      <c r="I9138">
        <v>137.38999999999999</v>
      </c>
      <c r="J9138">
        <v>0</v>
      </c>
      <c r="K9138">
        <v>0</v>
      </c>
      <c r="L9138">
        <v>0</v>
      </c>
      <c r="M9138">
        <v>1291</v>
      </c>
      <c r="N9138">
        <v>177370.78000000003</v>
      </c>
      <c r="O9138">
        <v>137.38999999999999</v>
      </c>
    </row>
    <row r="9139" spans="1:15" x14ac:dyDescent="0.35">
      <c r="A9139" t="s">
        <v>9852</v>
      </c>
      <c r="B9139" t="s">
        <v>9853</v>
      </c>
      <c r="C9139" t="s">
        <v>520</v>
      </c>
      <c r="D9139" t="s">
        <v>293</v>
      </c>
      <c r="E9139" t="s">
        <v>312</v>
      </c>
      <c r="F9139" t="s">
        <v>9863</v>
      </c>
      <c r="G9139">
        <v>1291</v>
      </c>
      <c r="H9139">
        <v>177370.78000000003</v>
      </c>
      <c r="I9139">
        <v>137.38999999999999</v>
      </c>
      <c r="J9139">
        <v>0</v>
      </c>
      <c r="K9139">
        <v>0</v>
      </c>
      <c r="L9139">
        <v>0</v>
      </c>
      <c r="M9139">
        <v>1291</v>
      </c>
      <c r="N9139">
        <v>177370.78000000003</v>
      </c>
      <c r="O9139">
        <v>137.38999999999999</v>
      </c>
    </row>
    <row r="9140" spans="1:15" x14ac:dyDescent="0.35">
      <c r="A9140" t="s">
        <v>9852</v>
      </c>
      <c r="B9140" t="s">
        <v>9853</v>
      </c>
      <c r="C9140" t="s">
        <v>520</v>
      </c>
      <c r="D9140" t="s">
        <v>314</v>
      </c>
      <c r="E9140" t="s">
        <v>294</v>
      </c>
      <c r="F9140" t="s">
        <v>9864</v>
      </c>
      <c r="G9140">
        <v>60</v>
      </c>
      <c r="H9140">
        <v>17949.18</v>
      </c>
      <c r="I9140">
        <v>299.14999999999998</v>
      </c>
      <c r="J9140">
        <v>0</v>
      </c>
      <c r="K9140">
        <v>0</v>
      </c>
      <c r="L9140">
        <v>0</v>
      </c>
      <c r="M9140">
        <v>60</v>
      </c>
      <c r="N9140">
        <v>17949.18</v>
      </c>
      <c r="O9140">
        <v>299.14999999999998</v>
      </c>
    </row>
    <row r="9141" spans="1:15" x14ac:dyDescent="0.35">
      <c r="A9141" t="s">
        <v>9852</v>
      </c>
      <c r="B9141" t="s">
        <v>9853</v>
      </c>
      <c r="C9141" t="s">
        <v>520</v>
      </c>
      <c r="D9141" t="s">
        <v>314</v>
      </c>
      <c r="E9141" t="s">
        <v>296</v>
      </c>
      <c r="F9141" t="s">
        <v>9865</v>
      </c>
      <c r="G9141">
        <v>65</v>
      </c>
      <c r="H9141">
        <v>20342.399999999998</v>
      </c>
      <c r="I9141">
        <v>312.95999999999998</v>
      </c>
      <c r="J9141">
        <v>0</v>
      </c>
      <c r="K9141">
        <v>0</v>
      </c>
      <c r="L9141">
        <v>0</v>
      </c>
      <c r="M9141">
        <v>65</v>
      </c>
      <c r="N9141">
        <v>20342.399999999998</v>
      </c>
      <c r="O9141">
        <v>312.95999999999998</v>
      </c>
    </row>
    <row r="9142" spans="1:15" x14ac:dyDescent="0.35">
      <c r="A9142" t="s">
        <v>9852</v>
      </c>
      <c r="B9142" t="s">
        <v>9853</v>
      </c>
      <c r="C9142" t="s">
        <v>520</v>
      </c>
      <c r="D9142" t="s">
        <v>314</v>
      </c>
      <c r="E9142" t="s">
        <v>298</v>
      </c>
      <c r="F9142" t="s">
        <v>9866</v>
      </c>
      <c r="G9142">
        <v>0</v>
      </c>
      <c r="H9142">
        <v>0</v>
      </c>
      <c r="I9142">
        <v>0</v>
      </c>
      <c r="J9142">
        <v>0</v>
      </c>
      <c r="K9142">
        <v>0</v>
      </c>
      <c r="L9142">
        <v>0</v>
      </c>
      <c r="M9142">
        <v>0</v>
      </c>
      <c r="N9142">
        <v>0</v>
      </c>
      <c r="O9142">
        <v>0</v>
      </c>
    </row>
    <row r="9143" spans="1:15" x14ac:dyDescent="0.35">
      <c r="A9143" t="s">
        <v>9852</v>
      </c>
      <c r="B9143" t="s">
        <v>9853</v>
      </c>
      <c r="C9143" t="s">
        <v>520</v>
      </c>
      <c r="D9143" t="s">
        <v>314</v>
      </c>
      <c r="E9143" t="s">
        <v>300</v>
      </c>
      <c r="F9143" t="s">
        <v>9867</v>
      </c>
      <c r="G9143">
        <v>0</v>
      </c>
      <c r="H9143">
        <v>0</v>
      </c>
      <c r="I9143">
        <v>0</v>
      </c>
      <c r="J9143">
        <v>0</v>
      </c>
      <c r="K9143">
        <v>0</v>
      </c>
      <c r="L9143">
        <v>0</v>
      </c>
      <c r="M9143">
        <v>0</v>
      </c>
      <c r="N9143">
        <v>0</v>
      </c>
      <c r="O9143">
        <v>0</v>
      </c>
    </row>
    <row r="9144" spans="1:15" x14ac:dyDescent="0.35">
      <c r="A9144" t="s">
        <v>9852</v>
      </c>
      <c r="B9144" t="s">
        <v>9853</v>
      </c>
      <c r="C9144" t="s">
        <v>520</v>
      </c>
      <c r="D9144" t="s">
        <v>314</v>
      </c>
      <c r="E9144" t="s">
        <v>306</v>
      </c>
      <c r="F9144" t="s">
        <v>9868</v>
      </c>
      <c r="G9144">
        <v>0</v>
      </c>
      <c r="H9144">
        <v>0</v>
      </c>
      <c r="I9144">
        <v>0</v>
      </c>
      <c r="J9144">
        <v>0</v>
      </c>
      <c r="K9144">
        <v>0</v>
      </c>
      <c r="L9144">
        <v>0</v>
      </c>
      <c r="M9144">
        <v>0</v>
      </c>
      <c r="N9144">
        <v>0</v>
      </c>
      <c r="O9144">
        <v>0</v>
      </c>
    </row>
    <row r="9145" spans="1:15" x14ac:dyDescent="0.35">
      <c r="A9145" t="s">
        <v>9852</v>
      </c>
      <c r="B9145" t="s">
        <v>9853</v>
      </c>
      <c r="C9145" t="s">
        <v>520</v>
      </c>
      <c r="D9145" t="s">
        <v>314</v>
      </c>
      <c r="E9145" t="s">
        <v>308</v>
      </c>
      <c r="F9145" t="s">
        <v>9869</v>
      </c>
      <c r="G9145">
        <v>0</v>
      </c>
      <c r="H9145">
        <v>0</v>
      </c>
      <c r="I9145">
        <v>0</v>
      </c>
      <c r="J9145">
        <v>0</v>
      </c>
      <c r="K9145">
        <v>0</v>
      </c>
      <c r="L9145">
        <v>0</v>
      </c>
      <c r="M9145">
        <v>0</v>
      </c>
      <c r="N9145">
        <v>0</v>
      </c>
      <c r="O9145">
        <v>0</v>
      </c>
    </row>
    <row r="9146" spans="1:15" x14ac:dyDescent="0.35">
      <c r="A9146" t="s">
        <v>9852</v>
      </c>
      <c r="B9146" t="s">
        <v>9853</v>
      </c>
      <c r="C9146" t="s">
        <v>520</v>
      </c>
      <c r="D9146" t="s">
        <v>314</v>
      </c>
      <c r="E9146" t="s">
        <v>312</v>
      </c>
      <c r="F9146" t="s">
        <v>9870</v>
      </c>
      <c r="G9146">
        <v>125</v>
      </c>
      <c r="H9146">
        <v>38291.58</v>
      </c>
      <c r="I9146">
        <v>306.33</v>
      </c>
      <c r="J9146">
        <v>0</v>
      </c>
      <c r="K9146">
        <v>0</v>
      </c>
      <c r="L9146">
        <v>0</v>
      </c>
      <c r="M9146">
        <v>125</v>
      </c>
      <c r="N9146">
        <v>38291.58</v>
      </c>
      <c r="O9146">
        <v>306.33</v>
      </c>
    </row>
    <row r="9147" spans="1:15" x14ac:dyDescent="0.35">
      <c r="A9147" t="s">
        <v>9852</v>
      </c>
      <c r="B9147" t="s">
        <v>9853</v>
      </c>
      <c r="C9147" t="s">
        <v>520</v>
      </c>
      <c r="D9147" t="s">
        <v>314</v>
      </c>
      <c r="E9147" t="s">
        <v>310</v>
      </c>
      <c r="F9147" t="s">
        <v>9871</v>
      </c>
      <c r="G9147">
        <v>125</v>
      </c>
      <c r="H9147">
        <v>38291.58</v>
      </c>
      <c r="I9147">
        <v>306.33</v>
      </c>
      <c r="J9147">
        <v>0</v>
      </c>
      <c r="K9147">
        <v>0</v>
      </c>
      <c r="L9147">
        <v>0</v>
      </c>
      <c r="M9147">
        <v>125</v>
      </c>
      <c r="N9147">
        <v>38291.58</v>
      </c>
      <c r="O9147">
        <v>306.33</v>
      </c>
    </row>
    <row r="9148" spans="1:15" x14ac:dyDescent="0.35">
      <c r="A9148" t="s">
        <v>9852</v>
      </c>
      <c r="B9148" t="s">
        <v>9853</v>
      </c>
      <c r="C9148" t="s">
        <v>520</v>
      </c>
      <c r="D9148" t="s">
        <v>323</v>
      </c>
      <c r="E9148" t="s">
        <v>294</v>
      </c>
      <c r="F9148" t="s">
        <v>9872</v>
      </c>
      <c r="G9148">
        <v>4818</v>
      </c>
      <c r="H9148">
        <v>393764.56000000006</v>
      </c>
      <c r="I9148">
        <v>81.73</v>
      </c>
      <c r="J9148">
        <v>0</v>
      </c>
      <c r="K9148">
        <v>0</v>
      </c>
      <c r="L9148">
        <v>0</v>
      </c>
      <c r="M9148">
        <v>4818</v>
      </c>
      <c r="N9148">
        <v>393764.56000000006</v>
      </c>
      <c r="O9148">
        <v>81.73</v>
      </c>
    </row>
    <row r="9149" spans="1:15" x14ac:dyDescent="0.35">
      <c r="A9149" t="s">
        <v>9852</v>
      </c>
      <c r="B9149" t="s">
        <v>9853</v>
      </c>
      <c r="C9149" t="s">
        <v>520</v>
      </c>
      <c r="D9149" t="s">
        <v>323</v>
      </c>
      <c r="E9149" t="s">
        <v>296</v>
      </c>
      <c r="F9149" t="s">
        <v>9873</v>
      </c>
      <c r="G9149">
        <v>5275</v>
      </c>
      <c r="H9149">
        <v>497309.03</v>
      </c>
      <c r="I9149">
        <v>94.28</v>
      </c>
      <c r="J9149">
        <v>0</v>
      </c>
      <c r="K9149">
        <v>0</v>
      </c>
      <c r="L9149">
        <v>0</v>
      </c>
      <c r="M9149">
        <v>5275</v>
      </c>
      <c r="N9149">
        <v>497309.03</v>
      </c>
      <c r="O9149">
        <v>94.28</v>
      </c>
    </row>
    <row r="9150" spans="1:15" x14ac:dyDescent="0.35">
      <c r="A9150" t="s">
        <v>9852</v>
      </c>
      <c r="B9150" t="s">
        <v>9853</v>
      </c>
      <c r="C9150" t="s">
        <v>520</v>
      </c>
      <c r="D9150" t="s">
        <v>323</v>
      </c>
      <c r="E9150" t="s">
        <v>298</v>
      </c>
      <c r="F9150" t="s">
        <v>9874</v>
      </c>
      <c r="G9150">
        <v>4611</v>
      </c>
      <c r="H9150">
        <v>486946.93</v>
      </c>
      <c r="I9150">
        <v>105.61</v>
      </c>
      <c r="J9150">
        <v>0</v>
      </c>
      <c r="K9150">
        <v>0</v>
      </c>
      <c r="L9150">
        <v>0</v>
      </c>
      <c r="M9150">
        <v>4611</v>
      </c>
      <c r="N9150">
        <v>486946.93</v>
      </c>
      <c r="O9150">
        <v>105.61</v>
      </c>
    </row>
    <row r="9151" spans="1:15" x14ac:dyDescent="0.35">
      <c r="A9151" t="s">
        <v>9852</v>
      </c>
      <c r="B9151" t="s">
        <v>9853</v>
      </c>
      <c r="C9151" t="s">
        <v>520</v>
      </c>
      <c r="D9151" t="s">
        <v>323</v>
      </c>
      <c r="E9151" t="s">
        <v>300</v>
      </c>
      <c r="F9151" t="s">
        <v>9875</v>
      </c>
      <c r="G9151">
        <v>435</v>
      </c>
      <c r="H9151">
        <v>52794.51</v>
      </c>
      <c r="I9151">
        <v>121.37</v>
      </c>
      <c r="J9151">
        <v>0</v>
      </c>
      <c r="K9151">
        <v>0</v>
      </c>
      <c r="L9151">
        <v>0</v>
      </c>
      <c r="M9151">
        <v>435</v>
      </c>
      <c r="N9151">
        <v>52794.51</v>
      </c>
      <c r="O9151">
        <v>121.37</v>
      </c>
    </row>
    <row r="9152" spans="1:15" x14ac:dyDescent="0.35">
      <c r="A9152" t="s">
        <v>9852</v>
      </c>
      <c r="B9152" t="s">
        <v>9853</v>
      </c>
      <c r="C9152" t="s">
        <v>520</v>
      </c>
      <c r="D9152" t="s">
        <v>323</v>
      </c>
      <c r="E9152" t="s">
        <v>302</v>
      </c>
      <c r="F9152" t="s">
        <v>9876</v>
      </c>
      <c r="G9152">
        <v>37</v>
      </c>
      <c r="H9152">
        <v>4631.66</v>
      </c>
      <c r="I9152">
        <v>125.18</v>
      </c>
      <c r="J9152">
        <v>0</v>
      </c>
      <c r="K9152">
        <v>0</v>
      </c>
      <c r="L9152">
        <v>0</v>
      </c>
      <c r="M9152">
        <v>37</v>
      </c>
      <c r="N9152">
        <v>4631.66</v>
      </c>
      <c r="O9152">
        <v>125.18</v>
      </c>
    </row>
    <row r="9153" spans="1:15" x14ac:dyDescent="0.35">
      <c r="A9153" t="s">
        <v>9852</v>
      </c>
      <c r="B9153" t="s">
        <v>9853</v>
      </c>
      <c r="C9153" t="s">
        <v>520</v>
      </c>
      <c r="D9153" t="s">
        <v>323</v>
      </c>
      <c r="E9153" t="s">
        <v>304</v>
      </c>
      <c r="F9153" t="s">
        <v>9877</v>
      </c>
      <c r="G9153">
        <v>10</v>
      </c>
      <c r="H9153">
        <v>1345.5900000000001</v>
      </c>
      <c r="I9153">
        <v>134.56</v>
      </c>
      <c r="J9153">
        <v>0</v>
      </c>
      <c r="K9153">
        <v>0</v>
      </c>
      <c r="L9153">
        <v>0</v>
      </c>
      <c r="M9153">
        <v>10</v>
      </c>
      <c r="N9153">
        <v>1345.5900000000001</v>
      </c>
      <c r="O9153">
        <v>134.56</v>
      </c>
    </row>
    <row r="9154" spans="1:15" x14ac:dyDescent="0.35">
      <c r="A9154" t="s">
        <v>9852</v>
      </c>
      <c r="B9154" t="s">
        <v>9853</v>
      </c>
      <c r="C9154" t="s">
        <v>520</v>
      </c>
      <c r="D9154" t="s">
        <v>323</v>
      </c>
      <c r="E9154" t="s">
        <v>306</v>
      </c>
      <c r="F9154" t="s">
        <v>9878</v>
      </c>
      <c r="G9154">
        <v>321</v>
      </c>
      <c r="H9154">
        <v>22217.32</v>
      </c>
      <c r="I9154">
        <v>69.209999999999994</v>
      </c>
      <c r="J9154">
        <v>0</v>
      </c>
      <c r="K9154">
        <v>0</v>
      </c>
      <c r="L9154">
        <v>0</v>
      </c>
      <c r="M9154">
        <v>321</v>
      </c>
      <c r="N9154">
        <v>22217.32</v>
      </c>
      <c r="O9154">
        <v>69.209999999999994</v>
      </c>
    </row>
    <row r="9155" spans="1:15" x14ac:dyDescent="0.35">
      <c r="A9155" t="s">
        <v>9852</v>
      </c>
      <c r="B9155" t="s">
        <v>9853</v>
      </c>
      <c r="C9155" t="s">
        <v>520</v>
      </c>
      <c r="D9155" t="s">
        <v>323</v>
      </c>
      <c r="E9155" t="s">
        <v>308</v>
      </c>
      <c r="F9155" t="s">
        <v>9879</v>
      </c>
      <c r="G9155">
        <v>0</v>
      </c>
      <c r="H9155">
        <v>0</v>
      </c>
      <c r="I9155">
        <v>0</v>
      </c>
      <c r="J9155">
        <v>0</v>
      </c>
      <c r="K9155">
        <v>0</v>
      </c>
      <c r="L9155">
        <v>0</v>
      </c>
      <c r="M9155">
        <v>0</v>
      </c>
      <c r="N9155">
        <v>0</v>
      </c>
      <c r="O9155">
        <v>0</v>
      </c>
    </row>
    <row r="9156" spans="1:15" x14ac:dyDescent="0.35">
      <c r="A9156" t="s">
        <v>9852</v>
      </c>
      <c r="B9156" t="s">
        <v>9853</v>
      </c>
      <c r="C9156" t="s">
        <v>520</v>
      </c>
      <c r="D9156" t="s">
        <v>323</v>
      </c>
      <c r="E9156" t="s">
        <v>310</v>
      </c>
      <c r="F9156" t="s">
        <v>9880</v>
      </c>
      <c r="G9156">
        <v>15507</v>
      </c>
      <c r="H9156">
        <v>1459009.6</v>
      </c>
      <c r="I9156">
        <v>94.09</v>
      </c>
      <c r="J9156">
        <v>0</v>
      </c>
      <c r="K9156">
        <v>0</v>
      </c>
      <c r="L9156">
        <v>0</v>
      </c>
      <c r="M9156">
        <v>15507</v>
      </c>
      <c r="N9156">
        <v>1459009.6</v>
      </c>
      <c r="O9156">
        <v>94.09</v>
      </c>
    </row>
    <row r="9157" spans="1:15" x14ac:dyDescent="0.35">
      <c r="A9157" t="s">
        <v>9852</v>
      </c>
      <c r="B9157" t="s">
        <v>9853</v>
      </c>
      <c r="C9157" t="s">
        <v>520</v>
      </c>
      <c r="D9157" t="s">
        <v>323</v>
      </c>
      <c r="E9157" t="s">
        <v>312</v>
      </c>
      <c r="F9157" t="s">
        <v>9881</v>
      </c>
      <c r="G9157">
        <v>15507</v>
      </c>
      <c r="H9157">
        <v>1459009.6</v>
      </c>
      <c r="I9157">
        <v>94.09</v>
      </c>
      <c r="J9157">
        <v>0</v>
      </c>
      <c r="K9157">
        <v>0</v>
      </c>
      <c r="L9157">
        <v>0</v>
      </c>
      <c r="M9157">
        <v>15507</v>
      </c>
      <c r="N9157">
        <v>1459009.6</v>
      </c>
      <c r="O9157">
        <v>94.09</v>
      </c>
    </row>
    <row r="9158" spans="1:15" x14ac:dyDescent="0.35">
      <c r="A9158" t="s">
        <v>9852</v>
      </c>
      <c r="B9158" t="s">
        <v>9853</v>
      </c>
      <c r="C9158" t="s">
        <v>520</v>
      </c>
      <c r="D9158" t="s">
        <v>334</v>
      </c>
      <c r="E9158" t="s">
        <v>312</v>
      </c>
      <c r="F9158" t="s">
        <v>9882</v>
      </c>
      <c r="G9158">
        <v>17972</v>
      </c>
      <c r="H9158">
        <v>1636380.3800000001</v>
      </c>
      <c r="I9158">
        <v>97.42</v>
      </c>
      <c r="J9158">
        <v>0</v>
      </c>
      <c r="K9158">
        <v>0</v>
      </c>
      <c r="L9158">
        <v>0</v>
      </c>
      <c r="M9158">
        <v>17972</v>
      </c>
      <c r="N9158">
        <v>1636380.3800000001</v>
      </c>
      <c r="O9158">
        <v>97.42</v>
      </c>
    </row>
    <row r="9159" spans="1:15" x14ac:dyDescent="0.35">
      <c r="A9159" t="s">
        <v>9852</v>
      </c>
      <c r="B9159" t="s">
        <v>9853</v>
      </c>
      <c r="C9159" t="s">
        <v>520</v>
      </c>
      <c r="D9159" t="s">
        <v>334</v>
      </c>
      <c r="E9159" t="s">
        <v>308</v>
      </c>
      <c r="F9159" t="s">
        <v>9883</v>
      </c>
      <c r="G9159">
        <v>0</v>
      </c>
      <c r="H9159">
        <v>0</v>
      </c>
      <c r="I9159">
        <v>0</v>
      </c>
      <c r="J9159">
        <v>0</v>
      </c>
      <c r="K9159">
        <v>0</v>
      </c>
      <c r="L9159">
        <v>0</v>
      </c>
      <c r="M9159">
        <v>0</v>
      </c>
      <c r="N9159">
        <v>0</v>
      </c>
      <c r="O9159">
        <v>0</v>
      </c>
    </row>
    <row r="9160" spans="1:15" x14ac:dyDescent="0.35">
      <c r="A9160" t="s">
        <v>9852</v>
      </c>
      <c r="B9160" t="s">
        <v>9853</v>
      </c>
      <c r="C9160" t="s">
        <v>520</v>
      </c>
      <c r="D9160" t="s">
        <v>337</v>
      </c>
      <c r="E9160" t="s">
        <v>337</v>
      </c>
      <c r="F9160" t="s">
        <v>9884</v>
      </c>
      <c r="G9160">
        <v>363</v>
      </c>
      <c r="J9160">
        <v>0</v>
      </c>
      <c r="M9160">
        <v>363</v>
      </c>
    </row>
    <row r="9161" spans="1:15" x14ac:dyDescent="0.35">
      <c r="A9161" t="s">
        <v>9852</v>
      </c>
      <c r="B9161" t="s">
        <v>9853</v>
      </c>
      <c r="C9161" t="s">
        <v>520</v>
      </c>
      <c r="D9161" t="s">
        <v>339</v>
      </c>
      <c r="E9161" t="s">
        <v>294</v>
      </c>
      <c r="F9161" t="s">
        <v>9885</v>
      </c>
      <c r="G9161">
        <v>1809</v>
      </c>
      <c r="H9161">
        <v>162614.07999999999</v>
      </c>
      <c r="I9161">
        <v>89.89</v>
      </c>
      <c r="J9161">
        <v>0</v>
      </c>
      <c r="K9161">
        <v>0</v>
      </c>
      <c r="L9161">
        <v>0</v>
      </c>
      <c r="M9161">
        <v>1809</v>
      </c>
      <c r="N9161">
        <v>162614.07999999999</v>
      </c>
      <c r="O9161">
        <v>89.89</v>
      </c>
    </row>
    <row r="9162" spans="1:15" x14ac:dyDescent="0.35">
      <c r="A9162" t="s">
        <v>9852</v>
      </c>
      <c r="B9162" t="s">
        <v>9853</v>
      </c>
      <c r="C9162" t="s">
        <v>520</v>
      </c>
      <c r="D9162" t="s">
        <v>339</v>
      </c>
      <c r="E9162" t="s">
        <v>296</v>
      </c>
      <c r="F9162" t="s">
        <v>9886</v>
      </c>
      <c r="G9162">
        <v>187</v>
      </c>
      <c r="H9162">
        <v>20065.71</v>
      </c>
      <c r="I9162">
        <v>107.3</v>
      </c>
      <c r="J9162">
        <v>0</v>
      </c>
      <c r="K9162">
        <v>0</v>
      </c>
      <c r="L9162">
        <v>0</v>
      </c>
      <c r="M9162">
        <v>187</v>
      </c>
      <c r="N9162">
        <v>20065.71</v>
      </c>
      <c r="O9162">
        <v>107.3</v>
      </c>
    </row>
    <row r="9163" spans="1:15" x14ac:dyDescent="0.35">
      <c r="A9163" t="s">
        <v>9852</v>
      </c>
      <c r="B9163" t="s">
        <v>9853</v>
      </c>
      <c r="C9163" t="s">
        <v>520</v>
      </c>
      <c r="D9163" t="s">
        <v>339</v>
      </c>
      <c r="E9163" t="s">
        <v>298</v>
      </c>
      <c r="F9163" t="s">
        <v>9887</v>
      </c>
      <c r="G9163">
        <v>9</v>
      </c>
      <c r="H9163">
        <v>1051.27</v>
      </c>
      <c r="I9163">
        <v>116.81</v>
      </c>
      <c r="J9163">
        <v>0</v>
      </c>
      <c r="K9163">
        <v>0</v>
      </c>
      <c r="L9163">
        <v>0</v>
      </c>
      <c r="M9163">
        <v>9</v>
      </c>
      <c r="N9163">
        <v>1051.27</v>
      </c>
      <c r="O9163">
        <v>116.81</v>
      </c>
    </row>
    <row r="9164" spans="1:15" x14ac:dyDescent="0.35">
      <c r="A9164" t="s">
        <v>9852</v>
      </c>
      <c r="B9164" t="s">
        <v>9853</v>
      </c>
      <c r="C9164" t="s">
        <v>520</v>
      </c>
      <c r="D9164" t="s">
        <v>339</v>
      </c>
      <c r="E9164" t="s">
        <v>300</v>
      </c>
      <c r="F9164" t="s">
        <v>9888</v>
      </c>
      <c r="G9164">
        <v>2</v>
      </c>
      <c r="H9164">
        <v>596.79999999999995</v>
      </c>
      <c r="I9164">
        <v>298.39999999999998</v>
      </c>
      <c r="J9164">
        <v>0</v>
      </c>
      <c r="K9164">
        <v>0</v>
      </c>
      <c r="L9164">
        <v>0</v>
      </c>
      <c r="M9164">
        <v>2</v>
      </c>
      <c r="N9164">
        <v>596.79999999999995</v>
      </c>
      <c r="O9164">
        <v>298.39999999999998</v>
      </c>
    </row>
    <row r="9165" spans="1:15" x14ac:dyDescent="0.35">
      <c r="A9165" t="s">
        <v>9852</v>
      </c>
      <c r="B9165" t="s">
        <v>9853</v>
      </c>
      <c r="C9165" t="s">
        <v>520</v>
      </c>
      <c r="D9165" t="s">
        <v>339</v>
      </c>
      <c r="E9165" t="s">
        <v>306</v>
      </c>
      <c r="F9165" t="s">
        <v>9889</v>
      </c>
      <c r="G9165">
        <v>202</v>
      </c>
      <c r="H9165">
        <v>16772.02</v>
      </c>
      <c r="I9165">
        <v>83.03</v>
      </c>
      <c r="J9165">
        <v>0</v>
      </c>
      <c r="K9165">
        <v>0</v>
      </c>
      <c r="L9165">
        <v>0</v>
      </c>
      <c r="M9165">
        <v>202</v>
      </c>
      <c r="N9165">
        <v>16772.02</v>
      </c>
      <c r="O9165">
        <v>83.03</v>
      </c>
    </row>
    <row r="9166" spans="1:15" x14ac:dyDescent="0.35">
      <c r="A9166" t="s">
        <v>9852</v>
      </c>
      <c r="B9166" t="s">
        <v>9853</v>
      </c>
      <c r="C9166" t="s">
        <v>520</v>
      </c>
      <c r="D9166" t="s">
        <v>339</v>
      </c>
      <c r="E9166" t="s">
        <v>308</v>
      </c>
      <c r="F9166" t="s">
        <v>9890</v>
      </c>
      <c r="G9166">
        <v>215</v>
      </c>
      <c r="H9166">
        <v>32030.879999999997</v>
      </c>
      <c r="I9166">
        <v>148.97999999999999</v>
      </c>
      <c r="J9166">
        <v>0</v>
      </c>
      <c r="K9166">
        <v>0</v>
      </c>
      <c r="L9166">
        <v>0</v>
      </c>
      <c r="M9166">
        <v>215</v>
      </c>
      <c r="N9166">
        <v>32030.879999999997</v>
      </c>
      <c r="O9166">
        <v>148.97999999999999</v>
      </c>
    </row>
    <row r="9167" spans="1:15" x14ac:dyDescent="0.35">
      <c r="A9167" t="s">
        <v>9852</v>
      </c>
      <c r="B9167" t="s">
        <v>9853</v>
      </c>
      <c r="C9167" t="s">
        <v>520</v>
      </c>
      <c r="D9167" t="s">
        <v>339</v>
      </c>
      <c r="E9167" t="s">
        <v>310</v>
      </c>
      <c r="F9167" t="s">
        <v>9891</v>
      </c>
      <c r="G9167">
        <v>2424</v>
      </c>
      <c r="H9167">
        <v>233130.75999999995</v>
      </c>
      <c r="I9167">
        <v>96.18</v>
      </c>
      <c r="J9167">
        <v>0</v>
      </c>
      <c r="K9167">
        <v>0</v>
      </c>
      <c r="L9167">
        <v>0</v>
      </c>
      <c r="M9167">
        <v>2424</v>
      </c>
      <c r="N9167">
        <v>233130.75999999995</v>
      </c>
      <c r="O9167">
        <v>96.18</v>
      </c>
    </row>
    <row r="9168" spans="1:15" x14ac:dyDescent="0.35">
      <c r="A9168" t="s">
        <v>9852</v>
      </c>
      <c r="B9168" t="s">
        <v>9853</v>
      </c>
      <c r="C9168" t="s">
        <v>520</v>
      </c>
      <c r="D9168" t="s">
        <v>339</v>
      </c>
      <c r="E9168" t="s">
        <v>312</v>
      </c>
      <c r="F9168" t="s">
        <v>9892</v>
      </c>
      <c r="G9168">
        <v>2209</v>
      </c>
      <c r="H9168">
        <v>201099.87999999995</v>
      </c>
      <c r="I9168">
        <v>91.04</v>
      </c>
      <c r="J9168">
        <v>0</v>
      </c>
      <c r="K9168">
        <v>0</v>
      </c>
      <c r="L9168">
        <v>0</v>
      </c>
      <c r="M9168">
        <v>2209</v>
      </c>
      <c r="N9168">
        <v>201099.87999999995</v>
      </c>
      <c r="O9168">
        <v>91.04</v>
      </c>
    </row>
    <row r="9169" spans="1:15" x14ac:dyDescent="0.35">
      <c r="A9169" t="s">
        <v>9852</v>
      </c>
      <c r="B9169" t="s">
        <v>9853</v>
      </c>
      <c r="C9169" t="s">
        <v>520</v>
      </c>
      <c r="D9169" t="s">
        <v>348</v>
      </c>
      <c r="E9169" t="s">
        <v>349</v>
      </c>
      <c r="F9169" t="s">
        <v>9893</v>
      </c>
      <c r="G9169">
        <v>2723</v>
      </c>
      <c r="H9169">
        <v>271422.33999999991</v>
      </c>
      <c r="I9169">
        <v>106.48</v>
      </c>
      <c r="J9169">
        <v>0</v>
      </c>
      <c r="K9169">
        <v>0</v>
      </c>
      <c r="L9169">
        <v>0</v>
      </c>
      <c r="M9169">
        <v>2723</v>
      </c>
      <c r="N9169">
        <v>271422.33999999991</v>
      </c>
      <c r="O9169">
        <v>106.48</v>
      </c>
    </row>
    <row r="9170" spans="1:15" x14ac:dyDescent="0.35">
      <c r="A9170" t="s">
        <v>9894</v>
      </c>
      <c r="B9170" t="s">
        <v>9895</v>
      </c>
      <c r="C9170" t="s">
        <v>520</v>
      </c>
      <c r="D9170" t="s">
        <v>293</v>
      </c>
      <c r="E9170" t="s">
        <v>294</v>
      </c>
      <c r="F9170" t="s">
        <v>9896</v>
      </c>
      <c r="G9170">
        <v>364</v>
      </c>
      <c r="H9170">
        <v>44906.44</v>
      </c>
      <c r="I9170">
        <v>123.37</v>
      </c>
      <c r="J9170">
        <v>0</v>
      </c>
      <c r="K9170">
        <v>0</v>
      </c>
      <c r="L9170">
        <v>0</v>
      </c>
      <c r="M9170">
        <v>364</v>
      </c>
      <c r="N9170">
        <v>44906.44</v>
      </c>
      <c r="O9170">
        <v>123.37</v>
      </c>
    </row>
    <row r="9171" spans="1:15" x14ac:dyDescent="0.35">
      <c r="A9171" t="s">
        <v>9894</v>
      </c>
      <c r="B9171" t="s">
        <v>9895</v>
      </c>
      <c r="C9171" t="s">
        <v>520</v>
      </c>
      <c r="D9171" t="s">
        <v>293</v>
      </c>
      <c r="E9171" t="s">
        <v>296</v>
      </c>
      <c r="F9171" t="s">
        <v>9897</v>
      </c>
      <c r="G9171">
        <v>1097</v>
      </c>
      <c r="H9171">
        <v>147571.71999999997</v>
      </c>
      <c r="I9171">
        <v>134.52000000000001</v>
      </c>
      <c r="J9171">
        <v>0</v>
      </c>
      <c r="K9171">
        <v>0</v>
      </c>
      <c r="L9171">
        <v>0</v>
      </c>
      <c r="M9171">
        <v>1097</v>
      </c>
      <c r="N9171">
        <v>147571.71999999997</v>
      </c>
      <c r="O9171">
        <v>134.52000000000001</v>
      </c>
    </row>
    <row r="9172" spans="1:15" x14ac:dyDescent="0.35">
      <c r="A9172" t="s">
        <v>9894</v>
      </c>
      <c r="B9172" t="s">
        <v>9895</v>
      </c>
      <c r="C9172" t="s">
        <v>520</v>
      </c>
      <c r="D9172" t="s">
        <v>293</v>
      </c>
      <c r="E9172" t="s">
        <v>298</v>
      </c>
      <c r="F9172" t="s">
        <v>9898</v>
      </c>
      <c r="G9172">
        <v>856</v>
      </c>
      <c r="H9172">
        <v>124087.12000000001</v>
      </c>
      <c r="I9172">
        <v>144.96</v>
      </c>
      <c r="J9172">
        <v>0</v>
      </c>
      <c r="K9172">
        <v>0</v>
      </c>
      <c r="L9172">
        <v>0</v>
      </c>
      <c r="M9172">
        <v>856</v>
      </c>
      <c r="N9172">
        <v>124087.12000000001</v>
      </c>
      <c r="O9172">
        <v>144.96</v>
      </c>
    </row>
    <row r="9173" spans="1:15" x14ac:dyDescent="0.35">
      <c r="A9173" t="s">
        <v>9894</v>
      </c>
      <c r="B9173" t="s">
        <v>9895</v>
      </c>
      <c r="C9173" t="s">
        <v>520</v>
      </c>
      <c r="D9173" t="s">
        <v>293</v>
      </c>
      <c r="E9173" t="s">
        <v>300</v>
      </c>
      <c r="F9173" t="s">
        <v>9899</v>
      </c>
      <c r="G9173">
        <v>124</v>
      </c>
      <c r="H9173">
        <v>20775.37</v>
      </c>
      <c r="I9173">
        <v>167.54</v>
      </c>
      <c r="J9173">
        <v>0</v>
      </c>
      <c r="K9173">
        <v>0</v>
      </c>
      <c r="L9173">
        <v>0</v>
      </c>
      <c r="M9173">
        <v>124</v>
      </c>
      <c r="N9173">
        <v>20775.37</v>
      </c>
      <c r="O9173">
        <v>167.54</v>
      </c>
    </row>
    <row r="9174" spans="1:15" x14ac:dyDescent="0.35">
      <c r="A9174" t="s">
        <v>9894</v>
      </c>
      <c r="B9174" t="s">
        <v>9895</v>
      </c>
      <c r="C9174" t="s">
        <v>520</v>
      </c>
      <c r="D9174" t="s">
        <v>293</v>
      </c>
      <c r="E9174" t="s">
        <v>302</v>
      </c>
      <c r="F9174" t="s">
        <v>9900</v>
      </c>
      <c r="G9174">
        <v>2</v>
      </c>
      <c r="H9174">
        <v>333.86</v>
      </c>
      <c r="I9174">
        <v>166.93</v>
      </c>
      <c r="J9174">
        <v>0</v>
      </c>
      <c r="K9174">
        <v>0</v>
      </c>
      <c r="L9174">
        <v>0</v>
      </c>
      <c r="M9174">
        <v>2</v>
      </c>
      <c r="N9174">
        <v>333.86</v>
      </c>
      <c r="O9174">
        <v>166.93</v>
      </c>
    </row>
    <row r="9175" spans="1:15" x14ac:dyDescent="0.35">
      <c r="A9175" t="s">
        <v>9894</v>
      </c>
      <c r="B9175" t="s">
        <v>9895</v>
      </c>
      <c r="C9175" t="s">
        <v>520</v>
      </c>
      <c r="D9175" t="s">
        <v>293</v>
      </c>
      <c r="E9175" t="s">
        <v>304</v>
      </c>
      <c r="F9175" t="s">
        <v>9901</v>
      </c>
      <c r="G9175">
        <v>6</v>
      </c>
      <c r="H9175">
        <v>1740</v>
      </c>
      <c r="I9175">
        <v>290</v>
      </c>
      <c r="J9175">
        <v>0</v>
      </c>
      <c r="K9175">
        <v>0</v>
      </c>
      <c r="L9175">
        <v>0</v>
      </c>
      <c r="M9175">
        <v>6</v>
      </c>
      <c r="N9175">
        <v>1740</v>
      </c>
      <c r="O9175">
        <v>290</v>
      </c>
    </row>
    <row r="9176" spans="1:15" x14ac:dyDescent="0.35">
      <c r="A9176" t="s">
        <v>9894</v>
      </c>
      <c r="B9176" t="s">
        <v>9895</v>
      </c>
      <c r="C9176" t="s">
        <v>520</v>
      </c>
      <c r="D9176" t="s">
        <v>293</v>
      </c>
      <c r="E9176" t="s">
        <v>306</v>
      </c>
      <c r="F9176" t="s">
        <v>9902</v>
      </c>
      <c r="G9176">
        <v>0</v>
      </c>
      <c r="H9176">
        <v>0</v>
      </c>
      <c r="I9176">
        <v>0</v>
      </c>
      <c r="J9176">
        <v>0</v>
      </c>
      <c r="K9176">
        <v>0</v>
      </c>
      <c r="L9176">
        <v>0</v>
      </c>
      <c r="M9176">
        <v>0</v>
      </c>
      <c r="N9176">
        <v>0</v>
      </c>
      <c r="O9176">
        <v>0</v>
      </c>
    </row>
    <row r="9177" spans="1:15" x14ac:dyDescent="0.35">
      <c r="A9177" t="s">
        <v>9894</v>
      </c>
      <c r="B9177" t="s">
        <v>9895</v>
      </c>
      <c r="C9177" t="s">
        <v>520</v>
      </c>
      <c r="D9177" t="s">
        <v>293</v>
      </c>
      <c r="E9177" t="s">
        <v>308</v>
      </c>
      <c r="F9177" t="s">
        <v>9903</v>
      </c>
      <c r="G9177">
        <v>0</v>
      </c>
      <c r="H9177">
        <v>0</v>
      </c>
      <c r="I9177">
        <v>0</v>
      </c>
      <c r="J9177">
        <v>0</v>
      </c>
      <c r="K9177">
        <v>0</v>
      </c>
      <c r="L9177">
        <v>0</v>
      </c>
      <c r="M9177">
        <v>0</v>
      </c>
      <c r="N9177">
        <v>0</v>
      </c>
      <c r="O9177">
        <v>0</v>
      </c>
    </row>
    <row r="9178" spans="1:15" x14ac:dyDescent="0.35">
      <c r="A9178" t="s">
        <v>9894</v>
      </c>
      <c r="B9178" t="s">
        <v>9895</v>
      </c>
      <c r="C9178" t="s">
        <v>520</v>
      </c>
      <c r="D9178" t="s">
        <v>293</v>
      </c>
      <c r="E9178" t="s">
        <v>310</v>
      </c>
      <c r="F9178" t="s">
        <v>9904</v>
      </c>
      <c r="G9178">
        <v>2449</v>
      </c>
      <c r="H9178">
        <v>339414.50999999995</v>
      </c>
      <c r="I9178">
        <v>138.59</v>
      </c>
      <c r="J9178">
        <v>0</v>
      </c>
      <c r="K9178">
        <v>0</v>
      </c>
      <c r="L9178">
        <v>0</v>
      </c>
      <c r="M9178">
        <v>2449</v>
      </c>
      <c r="N9178">
        <v>339414.50999999995</v>
      </c>
      <c r="O9178">
        <v>138.59</v>
      </c>
    </row>
    <row r="9179" spans="1:15" x14ac:dyDescent="0.35">
      <c r="A9179" t="s">
        <v>9894</v>
      </c>
      <c r="B9179" t="s">
        <v>9895</v>
      </c>
      <c r="C9179" t="s">
        <v>520</v>
      </c>
      <c r="D9179" t="s">
        <v>293</v>
      </c>
      <c r="E9179" t="s">
        <v>312</v>
      </c>
      <c r="F9179" t="s">
        <v>9905</v>
      </c>
      <c r="G9179">
        <v>2449</v>
      </c>
      <c r="H9179">
        <v>339414.50999999995</v>
      </c>
      <c r="I9179">
        <v>138.59</v>
      </c>
      <c r="J9179">
        <v>0</v>
      </c>
      <c r="K9179">
        <v>0</v>
      </c>
      <c r="L9179">
        <v>0</v>
      </c>
      <c r="M9179">
        <v>2449</v>
      </c>
      <c r="N9179">
        <v>339414.50999999995</v>
      </c>
      <c r="O9179">
        <v>138.59</v>
      </c>
    </row>
    <row r="9180" spans="1:15" x14ac:dyDescent="0.35">
      <c r="A9180" t="s">
        <v>9894</v>
      </c>
      <c r="B9180" t="s">
        <v>9895</v>
      </c>
      <c r="C9180" t="s">
        <v>520</v>
      </c>
      <c r="D9180" t="s">
        <v>314</v>
      </c>
      <c r="E9180" t="s">
        <v>294</v>
      </c>
      <c r="F9180" t="s">
        <v>9906</v>
      </c>
      <c r="G9180">
        <v>48</v>
      </c>
      <c r="H9180">
        <v>9348</v>
      </c>
      <c r="I9180">
        <v>194.75</v>
      </c>
      <c r="J9180">
        <v>0</v>
      </c>
      <c r="K9180">
        <v>0</v>
      </c>
      <c r="L9180">
        <v>0</v>
      </c>
      <c r="M9180">
        <v>48</v>
      </c>
      <c r="N9180">
        <v>9348</v>
      </c>
      <c r="O9180">
        <v>194.75</v>
      </c>
    </row>
    <row r="9181" spans="1:15" x14ac:dyDescent="0.35">
      <c r="A9181" t="s">
        <v>9894</v>
      </c>
      <c r="B9181" t="s">
        <v>9895</v>
      </c>
      <c r="C9181" t="s">
        <v>520</v>
      </c>
      <c r="D9181" t="s">
        <v>314</v>
      </c>
      <c r="E9181" t="s">
        <v>296</v>
      </c>
      <c r="F9181" t="s">
        <v>9907</v>
      </c>
      <c r="G9181">
        <v>21</v>
      </c>
      <c r="H9181">
        <v>3910.2</v>
      </c>
      <c r="I9181">
        <v>186.2</v>
      </c>
      <c r="J9181">
        <v>0</v>
      </c>
      <c r="K9181">
        <v>0</v>
      </c>
      <c r="L9181">
        <v>0</v>
      </c>
      <c r="M9181">
        <v>21</v>
      </c>
      <c r="N9181">
        <v>3910.2</v>
      </c>
      <c r="O9181">
        <v>186.2</v>
      </c>
    </row>
    <row r="9182" spans="1:15" x14ac:dyDescent="0.35">
      <c r="A9182" t="s">
        <v>9894</v>
      </c>
      <c r="B9182" t="s">
        <v>9895</v>
      </c>
      <c r="C9182" t="s">
        <v>520</v>
      </c>
      <c r="D9182" t="s">
        <v>314</v>
      </c>
      <c r="E9182" t="s">
        <v>298</v>
      </c>
      <c r="F9182" t="s">
        <v>9908</v>
      </c>
      <c r="G9182">
        <v>0</v>
      </c>
      <c r="H9182">
        <v>0</v>
      </c>
      <c r="I9182">
        <v>0</v>
      </c>
      <c r="J9182">
        <v>0</v>
      </c>
      <c r="K9182">
        <v>0</v>
      </c>
      <c r="L9182">
        <v>0</v>
      </c>
      <c r="M9182">
        <v>0</v>
      </c>
      <c r="N9182">
        <v>0</v>
      </c>
      <c r="O9182">
        <v>0</v>
      </c>
    </row>
    <row r="9183" spans="1:15" x14ac:dyDescent="0.35">
      <c r="A9183" t="s">
        <v>9894</v>
      </c>
      <c r="B9183" t="s">
        <v>9895</v>
      </c>
      <c r="C9183" t="s">
        <v>520</v>
      </c>
      <c r="D9183" t="s">
        <v>314</v>
      </c>
      <c r="E9183" t="s">
        <v>300</v>
      </c>
      <c r="F9183" t="s">
        <v>9909</v>
      </c>
      <c r="G9183">
        <v>0</v>
      </c>
      <c r="H9183">
        <v>0</v>
      </c>
      <c r="I9183">
        <v>0</v>
      </c>
      <c r="J9183">
        <v>0</v>
      </c>
      <c r="K9183">
        <v>0</v>
      </c>
      <c r="L9183">
        <v>0</v>
      </c>
      <c r="M9183">
        <v>0</v>
      </c>
      <c r="N9183">
        <v>0</v>
      </c>
      <c r="O9183">
        <v>0</v>
      </c>
    </row>
    <row r="9184" spans="1:15" x14ac:dyDescent="0.35">
      <c r="A9184" t="s">
        <v>9894</v>
      </c>
      <c r="B9184" t="s">
        <v>9895</v>
      </c>
      <c r="C9184" t="s">
        <v>520</v>
      </c>
      <c r="D9184" t="s">
        <v>314</v>
      </c>
      <c r="E9184" t="s">
        <v>306</v>
      </c>
      <c r="F9184" t="s">
        <v>9910</v>
      </c>
      <c r="G9184">
        <v>0</v>
      </c>
      <c r="H9184">
        <v>0</v>
      </c>
      <c r="I9184">
        <v>0</v>
      </c>
      <c r="J9184">
        <v>0</v>
      </c>
      <c r="K9184">
        <v>0</v>
      </c>
      <c r="L9184">
        <v>0</v>
      </c>
      <c r="M9184">
        <v>0</v>
      </c>
      <c r="N9184">
        <v>0</v>
      </c>
      <c r="O9184">
        <v>0</v>
      </c>
    </row>
    <row r="9185" spans="1:15" x14ac:dyDescent="0.35">
      <c r="A9185" t="s">
        <v>9894</v>
      </c>
      <c r="B9185" t="s">
        <v>9895</v>
      </c>
      <c r="C9185" t="s">
        <v>520</v>
      </c>
      <c r="D9185" t="s">
        <v>314</v>
      </c>
      <c r="E9185" t="s">
        <v>308</v>
      </c>
      <c r="F9185" t="s">
        <v>9911</v>
      </c>
      <c r="G9185">
        <v>16</v>
      </c>
      <c r="H9185">
        <v>4212</v>
      </c>
      <c r="I9185">
        <v>263.25</v>
      </c>
      <c r="J9185">
        <v>0</v>
      </c>
      <c r="K9185">
        <v>0</v>
      </c>
      <c r="L9185">
        <v>0</v>
      </c>
      <c r="M9185">
        <v>16</v>
      </c>
      <c r="N9185">
        <v>4212</v>
      </c>
      <c r="O9185">
        <v>263.25</v>
      </c>
    </row>
    <row r="9186" spans="1:15" x14ac:dyDescent="0.35">
      <c r="A9186" t="s">
        <v>9894</v>
      </c>
      <c r="B9186" t="s">
        <v>9895</v>
      </c>
      <c r="C9186" t="s">
        <v>520</v>
      </c>
      <c r="D9186" t="s">
        <v>314</v>
      </c>
      <c r="E9186" t="s">
        <v>312</v>
      </c>
      <c r="F9186" t="s">
        <v>9912</v>
      </c>
      <c r="G9186">
        <v>69</v>
      </c>
      <c r="H9186">
        <v>13258.2</v>
      </c>
      <c r="I9186">
        <v>192.15</v>
      </c>
      <c r="J9186">
        <v>0</v>
      </c>
      <c r="K9186">
        <v>0</v>
      </c>
      <c r="L9186">
        <v>0</v>
      </c>
      <c r="M9186">
        <v>69</v>
      </c>
      <c r="N9186">
        <v>13258.2</v>
      </c>
      <c r="O9186">
        <v>192.15</v>
      </c>
    </row>
    <row r="9187" spans="1:15" x14ac:dyDescent="0.35">
      <c r="A9187" t="s">
        <v>9894</v>
      </c>
      <c r="B9187" t="s">
        <v>9895</v>
      </c>
      <c r="C9187" t="s">
        <v>520</v>
      </c>
      <c r="D9187" t="s">
        <v>314</v>
      </c>
      <c r="E9187" t="s">
        <v>310</v>
      </c>
      <c r="F9187" t="s">
        <v>9913</v>
      </c>
      <c r="G9187">
        <v>85</v>
      </c>
      <c r="H9187">
        <v>17470.2</v>
      </c>
      <c r="I9187">
        <v>205.53</v>
      </c>
      <c r="J9187">
        <v>0</v>
      </c>
      <c r="K9187">
        <v>0</v>
      </c>
      <c r="L9187">
        <v>0</v>
      </c>
      <c r="M9187">
        <v>85</v>
      </c>
      <c r="N9187">
        <v>17470.2</v>
      </c>
      <c r="O9187">
        <v>205.53</v>
      </c>
    </row>
    <row r="9188" spans="1:15" x14ac:dyDescent="0.35">
      <c r="A9188" t="s">
        <v>9894</v>
      </c>
      <c r="B9188" t="s">
        <v>9895</v>
      </c>
      <c r="C9188" t="s">
        <v>520</v>
      </c>
      <c r="D9188" t="s">
        <v>323</v>
      </c>
      <c r="E9188" t="s">
        <v>294</v>
      </c>
      <c r="F9188" t="s">
        <v>9914</v>
      </c>
      <c r="G9188">
        <v>5689</v>
      </c>
      <c r="H9188">
        <v>485806.42000000004</v>
      </c>
      <c r="I9188">
        <v>85.39</v>
      </c>
      <c r="J9188">
        <v>291</v>
      </c>
      <c r="K9188">
        <v>28445.25</v>
      </c>
      <c r="L9188">
        <v>97.75</v>
      </c>
      <c r="M9188">
        <v>5980</v>
      </c>
      <c r="N9188">
        <v>514251.67000000004</v>
      </c>
      <c r="O9188">
        <v>86</v>
      </c>
    </row>
    <row r="9189" spans="1:15" x14ac:dyDescent="0.35">
      <c r="A9189" t="s">
        <v>9894</v>
      </c>
      <c r="B9189" t="s">
        <v>9895</v>
      </c>
      <c r="C9189" t="s">
        <v>520</v>
      </c>
      <c r="D9189" t="s">
        <v>323</v>
      </c>
      <c r="E9189" t="s">
        <v>296</v>
      </c>
      <c r="F9189" t="s">
        <v>9915</v>
      </c>
      <c r="G9189">
        <v>9549</v>
      </c>
      <c r="H9189">
        <v>901306.05</v>
      </c>
      <c r="I9189">
        <v>94.39</v>
      </c>
      <c r="J9189">
        <v>736</v>
      </c>
      <c r="K9189">
        <v>80106.240000000005</v>
      </c>
      <c r="L9189">
        <v>108.84</v>
      </c>
      <c r="M9189">
        <v>10285</v>
      </c>
      <c r="N9189">
        <v>981412.29</v>
      </c>
      <c r="O9189">
        <v>95.42</v>
      </c>
    </row>
    <row r="9190" spans="1:15" x14ac:dyDescent="0.35">
      <c r="A9190" t="s">
        <v>9894</v>
      </c>
      <c r="B9190" t="s">
        <v>9895</v>
      </c>
      <c r="C9190" t="s">
        <v>520</v>
      </c>
      <c r="D9190" t="s">
        <v>323</v>
      </c>
      <c r="E9190" t="s">
        <v>298</v>
      </c>
      <c r="F9190" t="s">
        <v>9916</v>
      </c>
      <c r="G9190">
        <v>7706</v>
      </c>
      <c r="H9190">
        <v>811103.73</v>
      </c>
      <c r="I9190">
        <v>105.26</v>
      </c>
      <c r="J9190">
        <v>120</v>
      </c>
      <c r="K9190">
        <v>15058.8</v>
      </c>
      <c r="L9190">
        <v>125.49</v>
      </c>
      <c r="M9190">
        <v>7826</v>
      </c>
      <c r="N9190">
        <v>826162.53</v>
      </c>
      <c r="O9190">
        <v>105.57</v>
      </c>
    </row>
    <row r="9191" spans="1:15" x14ac:dyDescent="0.35">
      <c r="A9191" t="s">
        <v>9894</v>
      </c>
      <c r="B9191" t="s">
        <v>9895</v>
      </c>
      <c r="C9191" t="s">
        <v>520</v>
      </c>
      <c r="D9191" t="s">
        <v>323</v>
      </c>
      <c r="E9191" t="s">
        <v>300</v>
      </c>
      <c r="F9191" t="s">
        <v>9917</v>
      </c>
      <c r="G9191">
        <v>968</v>
      </c>
      <c r="H9191">
        <v>111782.89</v>
      </c>
      <c r="I9191">
        <v>115.48</v>
      </c>
      <c r="J9191">
        <v>26</v>
      </c>
      <c r="K9191">
        <v>3560.7</v>
      </c>
      <c r="L9191">
        <v>136.94999999999999</v>
      </c>
      <c r="M9191">
        <v>994</v>
      </c>
      <c r="N9191">
        <v>115343.59</v>
      </c>
      <c r="O9191">
        <v>116.04</v>
      </c>
    </row>
    <row r="9192" spans="1:15" x14ac:dyDescent="0.35">
      <c r="A9192" t="s">
        <v>9894</v>
      </c>
      <c r="B9192" t="s">
        <v>9895</v>
      </c>
      <c r="C9192" t="s">
        <v>520</v>
      </c>
      <c r="D9192" t="s">
        <v>323</v>
      </c>
      <c r="E9192" t="s">
        <v>302</v>
      </c>
      <c r="F9192" t="s">
        <v>9918</v>
      </c>
      <c r="G9192">
        <v>13</v>
      </c>
      <c r="H9192">
        <v>1712.12</v>
      </c>
      <c r="I9192">
        <v>131.69999999999999</v>
      </c>
      <c r="J9192">
        <v>0</v>
      </c>
      <c r="K9192">
        <v>0</v>
      </c>
      <c r="L9192">
        <v>0</v>
      </c>
      <c r="M9192">
        <v>13</v>
      </c>
      <c r="N9192">
        <v>1712.12</v>
      </c>
      <c r="O9192">
        <v>131.69999999999999</v>
      </c>
    </row>
    <row r="9193" spans="1:15" x14ac:dyDescent="0.35">
      <c r="A9193" t="s">
        <v>9894</v>
      </c>
      <c r="B9193" t="s">
        <v>9895</v>
      </c>
      <c r="C9193" t="s">
        <v>520</v>
      </c>
      <c r="D9193" t="s">
        <v>323</v>
      </c>
      <c r="E9193" t="s">
        <v>304</v>
      </c>
      <c r="F9193" t="s">
        <v>9919</v>
      </c>
      <c r="G9193">
        <v>6</v>
      </c>
      <c r="H9193">
        <v>817.14</v>
      </c>
      <c r="I9193">
        <v>136.19</v>
      </c>
      <c r="J9193">
        <v>0</v>
      </c>
      <c r="K9193">
        <v>0</v>
      </c>
      <c r="L9193">
        <v>0</v>
      </c>
      <c r="M9193">
        <v>6</v>
      </c>
      <c r="N9193">
        <v>817.14</v>
      </c>
      <c r="O9193">
        <v>136.19</v>
      </c>
    </row>
    <row r="9194" spans="1:15" x14ac:dyDescent="0.35">
      <c r="A9194" t="s">
        <v>9894</v>
      </c>
      <c r="B9194" t="s">
        <v>9895</v>
      </c>
      <c r="C9194" t="s">
        <v>520</v>
      </c>
      <c r="D9194" t="s">
        <v>323</v>
      </c>
      <c r="E9194" t="s">
        <v>306</v>
      </c>
      <c r="F9194" t="s">
        <v>9920</v>
      </c>
      <c r="G9194">
        <v>36</v>
      </c>
      <c r="H9194">
        <v>2835.59</v>
      </c>
      <c r="I9194">
        <v>78.77</v>
      </c>
      <c r="J9194">
        <v>8</v>
      </c>
      <c r="K9194">
        <v>706.48</v>
      </c>
      <c r="L9194">
        <v>88.31</v>
      </c>
      <c r="M9194">
        <v>44</v>
      </c>
      <c r="N9194">
        <v>3542.07</v>
      </c>
      <c r="O9194">
        <v>80.5</v>
      </c>
    </row>
    <row r="9195" spans="1:15" x14ac:dyDescent="0.35">
      <c r="A9195" t="s">
        <v>9894</v>
      </c>
      <c r="B9195" t="s">
        <v>9895</v>
      </c>
      <c r="C9195" t="s">
        <v>520</v>
      </c>
      <c r="D9195" t="s">
        <v>323</v>
      </c>
      <c r="E9195" t="s">
        <v>308</v>
      </c>
      <c r="F9195" t="s">
        <v>9921</v>
      </c>
      <c r="G9195">
        <v>14</v>
      </c>
      <c r="H9195">
        <v>1326.08</v>
      </c>
      <c r="I9195">
        <v>94.72</v>
      </c>
      <c r="J9195">
        <v>0</v>
      </c>
      <c r="K9195">
        <v>0</v>
      </c>
      <c r="L9195">
        <v>0</v>
      </c>
      <c r="M9195">
        <v>14</v>
      </c>
      <c r="N9195">
        <v>1326.08</v>
      </c>
      <c r="O9195">
        <v>94.72</v>
      </c>
    </row>
    <row r="9196" spans="1:15" x14ac:dyDescent="0.35">
      <c r="A9196" t="s">
        <v>9894</v>
      </c>
      <c r="B9196" t="s">
        <v>9895</v>
      </c>
      <c r="C9196" t="s">
        <v>520</v>
      </c>
      <c r="D9196" t="s">
        <v>323</v>
      </c>
      <c r="E9196" t="s">
        <v>310</v>
      </c>
      <c r="F9196" t="s">
        <v>9922</v>
      </c>
      <c r="G9196">
        <v>23981</v>
      </c>
      <c r="H9196">
        <v>2316690.0200000005</v>
      </c>
      <c r="I9196">
        <v>96.61</v>
      </c>
      <c r="J9196">
        <v>1181</v>
      </c>
      <c r="K9196">
        <v>127877.47</v>
      </c>
      <c r="L9196">
        <v>108.28</v>
      </c>
      <c r="M9196">
        <v>25162</v>
      </c>
      <c r="N9196">
        <v>2444567.4900000007</v>
      </c>
      <c r="O9196">
        <v>97.15</v>
      </c>
    </row>
    <row r="9197" spans="1:15" x14ac:dyDescent="0.35">
      <c r="A9197" t="s">
        <v>9894</v>
      </c>
      <c r="B9197" t="s">
        <v>9895</v>
      </c>
      <c r="C9197" t="s">
        <v>520</v>
      </c>
      <c r="D9197" t="s">
        <v>323</v>
      </c>
      <c r="E9197" t="s">
        <v>312</v>
      </c>
      <c r="F9197" t="s">
        <v>9923</v>
      </c>
      <c r="G9197">
        <v>23967</v>
      </c>
      <c r="H9197">
        <v>2315363.9400000004</v>
      </c>
      <c r="I9197">
        <v>96.61</v>
      </c>
      <c r="J9197">
        <v>1181</v>
      </c>
      <c r="K9197">
        <v>127877.47</v>
      </c>
      <c r="L9197">
        <v>108.28</v>
      </c>
      <c r="M9197">
        <v>25148</v>
      </c>
      <c r="N9197">
        <v>2443241.4100000006</v>
      </c>
      <c r="O9197">
        <v>97.15</v>
      </c>
    </row>
    <row r="9198" spans="1:15" x14ac:dyDescent="0.35">
      <c r="A9198" t="s">
        <v>9894</v>
      </c>
      <c r="B9198" t="s">
        <v>9895</v>
      </c>
      <c r="C9198" t="s">
        <v>520</v>
      </c>
      <c r="D9198" t="s">
        <v>334</v>
      </c>
      <c r="E9198" t="s">
        <v>312</v>
      </c>
      <c r="F9198" t="s">
        <v>9924</v>
      </c>
      <c r="G9198">
        <v>27043</v>
      </c>
      <c r="H9198">
        <v>2654778.4500000002</v>
      </c>
      <c r="I9198">
        <v>100.5</v>
      </c>
      <c r="J9198">
        <v>1181</v>
      </c>
      <c r="K9198">
        <v>127877.47</v>
      </c>
      <c r="L9198">
        <v>108.28</v>
      </c>
      <c r="M9198">
        <v>28224</v>
      </c>
      <c r="N9198">
        <v>2782655.9200000004</v>
      </c>
      <c r="O9198">
        <v>100.83</v>
      </c>
    </row>
    <row r="9199" spans="1:15" x14ac:dyDescent="0.35">
      <c r="A9199" t="s">
        <v>9894</v>
      </c>
      <c r="B9199" t="s">
        <v>9895</v>
      </c>
      <c r="C9199" t="s">
        <v>520</v>
      </c>
      <c r="D9199" t="s">
        <v>334</v>
      </c>
      <c r="E9199" t="s">
        <v>308</v>
      </c>
      <c r="F9199" t="s">
        <v>9925</v>
      </c>
      <c r="G9199">
        <v>14</v>
      </c>
      <c r="H9199">
        <v>1326.08</v>
      </c>
      <c r="I9199">
        <v>94.72</v>
      </c>
      <c r="J9199">
        <v>0</v>
      </c>
      <c r="K9199">
        <v>0</v>
      </c>
      <c r="L9199">
        <v>0</v>
      </c>
      <c r="M9199">
        <v>14</v>
      </c>
      <c r="N9199">
        <v>1326.08</v>
      </c>
      <c r="O9199">
        <v>94.72</v>
      </c>
    </row>
    <row r="9200" spans="1:15" x14ac:dyDescent="0.35">
      <c r="A9200" t="s">
        <v>9894</v>
      </c>
      <c r="B9200" t="s">
        <v>9895</v>
      </c>
      <c r="C9200" t="s">
        <v>520</v>
      </c>
      <c r="D9200" t="s">
        <v>337</v>
      </c>
      <c r="E9200" t="s">
        <v>337</v>
      </c>
      <c r="F9200" t="s">
        <v>9926</v>
      </c>
      <c r="G9200">
        <v>740</v>
      </c>
      <c r="J9200">
        <v>0</v>
      </c>
      <c r="M9200">
        <v>740</v>
      </c>
    </row>
    <row r="9201" spans="1:15" x14ac:dyDescent="0.35">
      <c r="A9201" t="s">
        <v>9894</v>
      </c>
      <c r="B9201" t="s">
        <v>9895</v>
      </c>
      <c r="C9201" t="s">
        <v>520</v>
      </c>
      <c r="D9201" t="s">
        <v>339</v>
      </c>
      <c r="E9201" t="s">
        <v>294</v>
      </c>
      <c r="F9201" t="s">
        <v>9927</v>
      </c>
      <c r="G9201">
        <v>2033</v>
      </c>
      <c r="H9201">
        <v>190821.46</v>
      </c>
      <c r="I9201">
        <v>93.86</v>
      </c>
      <c r="J9201">
        <v>25</v>
      </c>
      <c r="K9201">
        <v>2478.75</v>
      </c>
      <c r="L9201">
        <v>99.15</v>
      </c>
      <c r="M9201">
        <v>2058</v>
      </c>
      <c r="N9201">
        <v>193300.21</v>
      </c>
      <c r="O9201">
        <v>93.93</v>
      </c>
    </row>
    <row r="9202" spans="1:15" x14ac:dyDescent="0.35">
      <c r="A9202" t="s">
        <v>9894</v>
      </c>
      <c r="B9202" t="s">
        <v>9895</v>
      </c>
      <c r="C9202" t="s">
        <v>520</v>
      </c>
      <c r="D9202" t="s">
        <v>339</v>
      </c>
      <c r="E9202" t="s">
        <v>296</v>
      </c>
      <c r="F9202" t="s">
        <v>9928</v>
      </c>
      <c r="G9202">
        <v>310</v>
      </c>
      <c r="H9202">
        <v>32388.78</v>
      </c>
      <c r="I9202">
        <v>104.48</v>
      </c>
      <c r="J9202">
        <v>0</v>
      </c>
      <c r="K9202">
        <v>0</v>
      </c>
      <c r="L9202">
        <v>0</v>
      </c>
      <c r="M9202">
        <v>310</v>
      </c>
      <c r="N9202">
        <v>32388.78</v>
      </c>
      <c r="O9202">
        <v>104.48</v>
      </c>
    </row>
    <row r="9203" spans="1:15" x14ac:dyDescent="0.35">
      <c r="A9203" t="s">
        <v>9894</v>
      </c>
      <c r="B9203" t="s">
        <v>9895</v>
      </c>
      <c r="C9203" t="s">
        <v>520</v>
      </c>
      <c r="D9203" t="s">
        <v>339</v>
      </c>
      <c r="E9203" t="s">
        <v>298</v>
      </c>
      <c r="F9203" t="s">
        <v>9929</v>
      </c>
      <c r="G9203">
        <v>81</v>
      </c>
      <c r="H9203">
        <v>8946.07</v>
      </c>
      <c r="I9203">
        <v>110.45</v>
      </c>
      <c r="J9203">
        <v>1</v>
      </c>
      <c r="K9203">
        <v>118.98</v>
      </c>
      <c r="L9203">
        <v>118.98</v>
      </c>
      <c r="M9203">
        <v>82</v>
      </c>
      <c r="N9203">
        <v>9065.0499999999993</v>
      </c>
      <c r="O9203">
        <v>110.55</v>
      </c>
    </row>
    <row r="9204" spans="1:15" x14ac:dyDescent="0.35">
      <c r="A9204" t="s">
        <v>9894</v>
      </c>
      <c r="B9204" t="s">
        <v>9895</v>
      </c>
      <c r="C9204" t="s">
        <v>520</v>
      </c>
      <c r="D9204" t="s">
        <v>339</v>
      </c>
      <c r="E9204" t="s">
        <v>300</v>
      </c>
      <c r="F9204" t="s">
        <v>9930</v>
      </c>
      <c r="G9204">
        <v>6</v>
      </c>
      <c r="H9204">
        <v>819.33</v>
      </c>
      <c r="I9204">
        <v>136.56</v>
      </c>
      <c r="J9204">
        <v>0</v>
      </c>
      <c r="K9204">
        <v>0</v>
      </c>
      <c r="L9204">
        <v>0</v>
      </c>
      <c r="M9204">
        <v>6</v>
      </c>
      <c r="N9204">
        <v>819.33</v>
      </c>
      <c r="O9204">
        <v>136.56</v>
      </c>
    </row>
    <row r="9205" spans="1:15" x14ac:dyDescent="0.35">
      <c r="A9205" t="s">
        <v>9894</v>
      </c>
      <c r="B9205" t="s">
        <v>9895</v>
      </c>
      <c r="C9205" t="s">
        <v>520</v>
      </c>
      <c r="D9205" t="s">
        <v>339</v>
      </c>
      <c r="E9205" t="s">
        <v>306</v>
      </c>
      <c r="F9205" t="s">
        <v>9931</v>
      </c>
      <c r="G9205">
        <v>213</v>
      </c>
      <c r="H9205">
        <v>17766.420000000002</v>
      </c>
      <c r="I9205">
        <v>83.41</v>
      </c>
      <c r="J9205">
        <v>0</v>
      </c>
      <c r="K9205">
        <v>0</v>
      </c>
      <c r="L9205">
        <v>0</v>
      </c>
      <c r="M9205">
        <v>213</v>
      </c>
      <c r="N9205">
        <v>17766.420000000002</v>
      </c>
      <c r="O9205">
        <v>83.41</v>
      </c>
    </row>
    <row r="9206" spans="1:15" x14ac:dyDescent="0.35">
      <c r="A9206" t="s">
        <v>9894</v>
      </c>
      <c r="B9206" t="s">
        <v>9895</v>
      </c>
      <c r="C9206" t="s">
        <v>520</v>
      </c>
      <c r="D9206" t="s">
        <v>339</v>
      </c>
      <c r="E9206" t="s">
        <v>308</v>
      </c>
      <c r="F9206" t="s">
        <v>9932</v>
      </c>
      <c r="G9206">
        <v>309</v>
      </c>
      <c r="H9206">
        <v>47173.03</v>
      </c>
      <c r="I9206">
        <v>152.66</v>
      </c>
      <c r="J9206">
        <v>0</v>
      </c>
      <c r="K9206">
        <v>0</v>
      </c>
      <c r="L9206">
        <v>0</v>
      </c>
      <c r="M9206">
        <v>309</v>
      </c>
      <c r="N9206">
        <v>47173.03</v>
      </c>
      <c r="O9206">
        <v>152.66</v>
      </c>
    </row>
    <row r="9207" spans="1:15" x14ac:dyDescent="0.35">
      <c r="A9207" t="s">
        <v>9894</v>
      </c>
      <c r="B9207" t="s">
        <v>9895</v>
      </c>
      <c r="C9207" t="s">
        <v>520</v>
      </c>
      <c r="D9207" t="s">
        <v>339</v>
      </c>
      <c r="E9207" t="s">
        <v>310</v>
      </c>
      <c r="F9207" t="s">
        <v>9933</v>
      </c>
      <c r="G9207">
        <v>2952</v>
      </c>
      <c r="H9207">
        <v>297915.08999999997</v>
      </c>
      <c r="I9207">
        <v>100.92</v>
      </c>
      <c r="J9207">
        <v>26</v>
      </c>
      <c r="K9207">
        <v>2597.73</v>
      </c>
      <c r="L9207">
        <v>99.91</v>
      </c>
      <c r="M9207">
        <v>2978</v>
      </c>
      <c r="N9207">
        <v>300512.81999999995</v>
      </c>
      <c r="O9207">
        <v>100.91</v>
      </c>
    </row>
    <row r="9208" spans="1:15" x14ac:dyDescent="0.35">
      <c r="A9208" t="s">
        <v>9894</v>
      </c>
      <c r="B9208" t="s">
        <v>9895</v>
      </c>
      <c r="C9208" t="s">
        <v>520</v>
      </c>
      <c r="D9208" t="s">
        <v>339</v>
      </c>
      <c r="E9208" t="s">
        <v>312</v>
      </c>
      <c r="F9208" t="s">
        <v>9934</v>
      </c>
      <c r="G9208">
        <v>2643</v>
      </c>
      <c r="H9208">
        <v>250742.06</v>
      </c>
      <c r="I9208">
        <v>94.87</v>
      </c>
      <c r="J9208">
        <v>26</v>
      </c>
      <c r="K9208">
        <v>2597.73</v>
      </c>
      <c r="L9208">
        <v>99.91</v>
      </c>
      <c r="M9208">
        <v>2669</v>
      </c>
      <c r="N9208">
        <v>253339.79</v>
      </c>
      <c r="O9208">
        <v>94.92</v>
      </c>
    </row>
    <row r="9209" spans="1:15" x14ac:dyDescent="0.35">
      <c r="A9209" t="s">
        <v>9894</v>
      </c>
      <c r="B9209" t="s">
        <v>9895</v>
      </c>
      <c r="C9209" t="s">
        <v>520</v>
      </c>
      <c r="D9209" t="s">
        <v>348</v>
      </c>
      <c r="E9209" t="s">
        <v>349</v>
      </c>
      <c r="F9209" t="s">
        <v>9935</v>
      </c>
      <c r="G9209">
        <v>3254</v>
      </c>
      <c r="H9209">
        <v>315385.29000000004</v>
      </c>
      <c r="I9209">
        <v>103.85</v>
      </c>
      <c r="J9209">
        <v>26</v>
      </c>
      <c r="K9209">
        <v>2597.73</v>
      </c>
      <c r="L9209">
        <v>99.91</v>
      </c>
      <c r="M9209">
        <v>3280</v>
      </c>
      <c r="N9209">
        <v>317983.02</v>
      </c>
      <c r="O9209">
        <v>103.81</v>
      </c>
    </row>
    <row r="9210" spans="1:15" x14ac:dyDescent="0.35">
      <c r="A9210" t="s">
        <v>9936</v>
      </c>
      <c r="B9210" t="s">
        <v>164</v>
      </c>
      <c r="C9210" t="s">
        <v>520</v>
      </c>
      <c r="D9210" t="s">
        <v>293</v>
      </c>
      <c r="E9210" t="s">
        <v>294</v>
      </c>
      <c r="F9210" t="s">
        <v>9937</v>
      </c>
      <c r="G9210">
        <v>131</v>
      </c>
      <c r="H9210">
        <v>16164.829999999998</v>
      </c>
      <c r="I9210">
        <v>123.4</v>
      </c>
      <c r="J9210">
        <v>33</v>
      </c>
      <c r="K9210">
        <v>4379.76</v>
      </c>
      <c r="L9210">
        <v>132.72</v>
      </c>
      <c r="M9210">
        <v>164</v>
      </c>
      <c r="N9210">
        <v>20544.589999999997</v>
      </c>
      <c r="O9210">
        <v>125.27</v>
      </c>
    </row>
    <row r="9211" spans="1:15" x14ac:dyDescent="0.35">
      <c r="A9211" t="s">
        <v>9936</v>
      </c>
      <c r="B9211" t="s">
        <v>164</v>
      </c>
      <c r="C9211" t="s">
        <v>520</v>
      </c>
      <c r="D9211" t="s">
        <v>293</v>
      </c>
      <c r="E9211" t="s">
        <v>296</v>
      </c>
      <c r="F9211" t="s">
        <v>9938</v>
      </c>
      <c r="G9211">
        <v>431</v>
      </c>
      <c r="H9211">
        <v>63337.700000000004</v>
      </c>
      <c r="I9211">
        <v>146.96</v>
      </c>
      <c r="J9211">
        <v>117</v>
      </c>
      <c r="K9211">
        <v>16997.759999999998</v>
      </c>
      <c r="L9211">
        <v>145.28</v>
      </c>
      <c r="M9211">
        <v>548</v>
      </c>
      <c r="N9211">
        <v>80335.460000000006</v>
      </c>
      <c r="O9211">
        <v>146.6</v>
      </c>
    </row>
    <row r="9212" spans="1:15" x14ac:dyDescent="0.35">
      <c r="A9212" t="s">
        <v>9936</v>
      </c>
      <c r="B9212" t="s">
        <v>164</v>
      </c>
      <c r="C9212" t="s">
        <v>520</v>
      </c>
      <c r="D9212" t="s">
        <v>293</v>
      </c>
      <c r="E9212" t="s">
        <v>298</v>
      </c>
      <c r="F9212" t="s">
        <v>9939</v>
      </c>
      <c r="G9212">
        <v>105</v>
      </c>
      <c r="H9212">
        <v>16365.68</v>
      </c>
      <c r="I9212">
        <v>155.86000000000001</v>
      </c>
      <c r="J9212">
        <v>99</v>
      </c>
      <c r="K9212">
        <v>16750.8</v>
      </c>
      <c r="L9212">
        <v>169.2</v>
      </c>
      <c r="M9212">
        <v>204</v>
      </c>
      <c r="N9212">
        <v>33116.479999999996</v>
      </c>
      <c r="O9212">
        <v>162.34</v>
      </c>
    </row>
    <row r="9213" spans="1:15" x14ac:dyDescent="0.35">
      <c r="A9213" t="s">
        <v>9936</v>
      </c>
      <c r="B9213" t="s">
        <v>164</v>
      </c>
      <c r="C9213" t="s">
        <v>520</v>
      </c>
      <c r="D9213" t="s">
        <v>293</v>
      </c>
      <c r="E9213" t="s">
        <v>300</v>
      </c>
      <c r="F9213" t="s">
        <v>9940</v>
      </c>
      <c r="G9213">
        <v>4</v>
      </c>
      <c r="H9213">
        <v>758.53</v>
      </c>
      <c r="I9213">
        <v>189.63</v>
      </c>
      <c r="J9213">
        <v>3</v>
      </c>
      <c r="K9213">
        <v>577.11</v>
      </c>
      <c r="L9213">
        <v>192.37</v>
      </c>
      <c r="M9213">
        <v>7</v>
      </c>
      <c r="N9213">
        <v>1335.6399999999999</v>
      </c>
      <c r="O9213">
        <v>190.81</v>
      </c>
    </row>
    <row r="9214" spans="1:15" x14ac:dyDescent="0.35">
      <c r="A9214" t="s">
        <v>9936</v>
      </c>
      <c r="B9214" t="s">
        <v>164</v>
      </c>
      <c r="C9214" t="s">
        <v>520</v>
      </c>
      <c r="D9214" t="s">
        <v>293</v>
      </c>
      <c r="E9214" t="s">
        <v>302</v>
      </c>
      <c r="F9214" t="s">
        <v>9941</v>
      </c>
      <c r="G9214">
        <v>1</v>
      </c>
      <c r="H9214">
        <v>169.62</v>
      </c>
      <c r="I9214">
        <v>169.62</v>
      </c>
      <c r="J9214">
        <v>0</v>
      </c>
      <c r="K9214">
        <v>0</v>
      </c>
      <c r="L9214">
        <v>0</v>
      </c>
      <c r="M9214">
        <v>1</v>
      </c>
      <c r="N9214">
        <v>169.62</v>
      </c>
      <c r="O9214">
        <v>169.62</v>
      </c>
    </row>
    <row r="9215" spans="1:15" x14ac:dyDescent="0.35">
      <c r="A9215" t="s">
        <v>9936</v>
      </c>
      <c r="B9215" t="s">
        <v>164</v>
      </c>
      <c r="C9215" t="s">
        <v>520</v>
      </c>
      <c r="D9215" t="s">
        <v>293</v>
      </c>
      <c r="E9215" t="s">
        <v>304</v>
      </c>
      <c r="F9215" t="s">
        <v>9942</v>
      </c>
      <c r="G9215">
        <v>0</v>
      </c>
      <c r="H9215">
        <v>0</v>
      </c>
      <c r="I9215">
        <v>0</v>
      </c>
      <c r="J9215">
        <v>0</v>
      </c>
      <c r="K9215">
        <v>0</v>
      </c>
      <c r="L9215">
        <v>0</v>
      </c>
      <c r="M9215">
        <v>0</v>
      </c>
      <c r="N9215">
        <v>0</v>
      </c>
      <c r="O9215">
        <v>0</v>
      </c>
    </row>
    <row r="9216" spans="1:15" x14ac:dyDescent="0.35">
      <c r="A9216" t="s">
        <v>9936</v>
      </c>
      <c r="B9216" t="s">
        <v>164</v>
      </c>
      <c r="C9216" t="s">
        <v>520</v>
      </c>
      <c r="D9216" t="s">
        <v>293</v>
      </c>
      <c r="E9216" t="s">
        <v>306</v>
      </c>
      <c r="F9216" t="s">
        <v>9943</v>
      </c>
      <c r="G9216">
        <v>0</v>
      </c>
      <c r="H9216">
        <v>0</v>
      </c>
      <c r="I9216">
        <v>0</v>
      </c>
      <c r="J9216">
        <v>0</v>
      </c>
      <c r="K9216">
        <v>0</v>
      </c>
      <c r="L9216">
        <v>0</v>
      </c>
      <c r="M9216">
        <v>0</v>
      </c>
      <c r="N9216">
        <v>0</v>
      </c>
      <c r="O9216">
        <v>0</v>
      </c>
    </row>
    <row r="9217" spans="1:15" x14ac:dyDescent="0.35">
      <c r="A9217" t="s">
        <v>9936</v>
      </c>
      <c r="B9217" t="s">
        <v>164</v>
      </c>
      <c r="C9217" t="s">
        <v>520</v>
      </c>
      <c r="D9217" t="s">
        <v>293</v>
      </c>
      <c r="E9217" t="s">
        <v>308</v>
      </c>
      <c r="F9217" t="s">
        <v>9944</v>
      </c>
      <c r="G9217">
        <v>0</v>
      </c>
      <c r="H9217">
        <v>0</v>
      </c>
      <c r="I9217">
        <v>0</v>
      </c>
      <c r="J9217">
        <v>0</v>
      </c>
      <c r="K9217">
        <v>0</v>
      </c>
      <c r="L9217">
        <v>0</v>
      </c>
      <c r="M9217">
        <v>0</v>
      </c>
      <c r="N9217">
        <v>0</v>
      </c>
      <c r="O9217">
        <v>0</v>
      </c>
    </row>
    <row r="9218" spans="1:15" x14ac:dyDescent="0.35">
      <c r="A9218" t="s">
        <v>9936</v>
      </c>
      <c r="B9218" t="s">
        <v>164</v>
      </c>
      <c r="C9218" t="s">
        <v>520</v>
      </c>
      <c r="D9218" t="s">
        <v>293</v>
      </c>
      <c r="E9218" t="s">
        <v>310</v>
      </c>
      <c r="F9218" t="s">
        <v>9945</v>
      </c>
      <c r="G9218">
        <v>672</v>
      </c>
      <c r="H9218">
        <v>96796.359999999986</v>
      </c>
      <c r="I9218">
        <v>144.04</v>
      </c>
      <c r="J9218">
        <v>252</v>
      </c>
      <c r="K9218">
        <v>38705.429999999993</v>
      </c>
      <c r="L9218">
        <v>153.59</v>
      </c>
      <c r="M9218">
        <v>924</v>
      </c>
      <c r="N9218">
        <v>135501.78999999998</v>
      </c>
      <c r="O9218">
        <v>146.65</v>
      </c>
    </row>
    <row r="9219" spans="1:15" x14ac:dyDescent="0.35">
      <c r="A9219" t="s">
        <v>9936</v>
      </c>
      <c r="B9219" t="s">
        <v>164</v>
      </c>
      <c r="C9219" t="s">
        <v>520</v>
      </c>
      <c r="D9219" t="s">
        <v>293</v>
      </c>
      <c r="E9219" t="s">
        <v>312</v>
      </c>
      <c r="F9219" t="s">
        <v>9946</v>
      </c>
      <c r="G9219">
        <v>672</v>
      </c>
      <c r="H9219">
        <v>96796.359999999986</v>
      </c>
      <c r="I9219">
        <v>144.04</v>
      </c>
      <c r="J9219">
        <v>252</v>
      </c>
      <c r="K9219">
        <v>38705.429999999993</v>
      </c>
      <c r="L9219">
        <v>153.59</v>
      </c>
      <c r="M9219">
        <v>924</v>
      </c>
      <c r="N9219">
        <v>135501.78999999998</v>
      </c>
      <c r="O9219">
        <v>146.65</v>
      </c>
    </row>
    <row r="9220" spans="1:15" x14ac:dyDescent="0.35">
      <c r="A9220" t="s">
        <v>9936</v>
      </c>
      <c r="B9220" t="s">
        <v>164</v>
      </c>
      <c r="C9220" t="s">
        <v>520</v>
      </c>
      <c r="D9220" t="s">
        <v>314</v>
      </c>
      <c r="E9220" t="s">
        <v>294</v>
      </c>
      <c r="F9220" t="s">
        <v>9947</v>
      </c>
      <c r="G9220">
        <v>48</v>
      </c>
      <c r="H9220">
        <v>10899.25</v>
      </c>
      <c r="I9220">
        <v>227.07</v>
      </c>
      <c r="J9220">
        <v>14</v>
      </c>
      <c r="K9220">
        <v>1841.1399999999999</v>
      </c>
      <c r="L9220">
        <v>131.51</v>
      </c>
      <c r="M9220">
        <v>62</v>
      </c>
      <c r="N9220">
        <v>12740.39</v>
      </c>
      <c r="O9220">
        <v>205.49</v>
      </c>
    </row>
    <row r="9221" spans="1:15" x14ac:dyDescent="0.35">
      <c r="A9221" t="s">
        <v>9936</v>
      </c>
      <c r="B9221" t="s">
        <v>164</v>
      </c>
      <c r="C9221" t="s">
        <v>520</v>
      </c>
      <c r="D9221" t="s">
        <v>314</v>
      </c>
      <c r="E9221" t="s">
        <v>296</v>
      </c>
      <c r="F9221" t="s">
        <v>9948</v>
      </c>
      <c r="G9221">
        <v>0</v>
      </c>
      <c r="H9221">
        <v>0</v>
      </c>
      <c r="I9221">
        <v>0</v>
      </c>
      <c r="J9221">
        <v>2</v>
      </c>
      <c r="K9221">
        <v>302.26</v>
      </c>
      <c r="L9221">
        <v>151.13</v>
      </c>
      <c r="M9221">
        <v>2</v>
      </c>
      <c r="N9221">
        <v>302.26</v>
      </c>
      <c r="O9221">
        <v>151.13</v>
      </c>
    </row>
    <row r="9222" spans="1:15" x14ac:dyDescent="0.35">
      <c r="A9222" t="s">
        <v>9936</v>
      </c>
      <c r="B9222" t="s">
        <v>164</v>
      </c>
      <c r="C9222" t="s">
        <v>520</v>
      </c>
      <c r="D9222" t="s">
        <v>314</v>
      </c>
      <c r="E9222" t="s">
        <v>298</v>
      </c>
      <c r="F9222" t="s">
        <v>9949</v>
      </c>
      <c r="G9222">
        <v>0</v>
      </c>
      <c r="H9222">
        <v>0</v>
      </c>
      <c r="I9222">
        <v>0</v>
      </c>
      <c r="J9222">
        <v>0</v>
      </c>
      <c r="K9222">
        <v>0</v>
      </c>
      <c r="L9222">
        <v>0</v>
      </c>
      <c r="M9222">
        <v>0</v>
      </c>
      <c r="N9222">
        <v>0</v>
      </c>
      <c r="O9222">
        <v>0</v>
      </c>
    </row>
    <row r="9223" spans="1:15" x14ac:dyDescent="0.35">
      <c r="A9223" t="s">
        <v>9936</v>
      </c>
      <c r="B9223" t="s">
        <v>164</v>
      </c>
      <c r="C9223" t="s">
        <v>520</v>
      </c>
      <c r="D9223" t="s">
        <v>314</v>
      </c>
      <c r="E9223" t="s">
        <v>300</v>
      </c>
      <c r="F9223" t="s">
        <v>9950</v>
      </c>
      <c r="G9223">
        <v>0</v>
      </c>
      <c r="H9223">
        <v>0</v>
      </c>
      <c r="I9223">
        <v>0</v>
      </c>
      <c r="J9223">
        <v>0</v>
      </c>
      <c r="K9223">
        <v>0</v>
      </c>
      <c r="L9223">
        <v>0</v>
      </c>
      <c r="M9223">
        <v>0</v>
      </c>
      <c r="N9223">
        <v>0</v>
      </c>
      <c r="O9223">
        <v>0</v>
      </c>
    </row>
    <row r="9224" spans="1:15" x14ac:dyDescent="0.35">
      <c r="A9224" t="s">
        <v>9936</v>
      </c>
      <c r="B9224" t="s">
        <v>164</v>
      </c>
      <c r="C9224" t="s">
        <v>520</v>
      </c>
      <c r="D9224" t="s">
        <v>314</v>
      </c>
      <c r="E9224" t="s">
        <v>306</v>
      </c>
      <c r="F9224" t="s">
        <v>9951</v>
      </c>
      <c r="G9224">
        <v>3</v>
      </c>
      <c r="H9224">
        <v>159.93</v>
      </c>
      <c r="I9224">
        <v>53.31</v>
      </c>
      <c r="J9224">
        <v>0</v>
      </c>
      <c r="K9224">
        <v>0</v>
      </c>
      <c r="L9224">
        <v>0</v>
      </c>
      <c r="M9224">
        <v>3</v>
      </c>
      <c r="N9224">
        <v>159.93</v>
      </c>
      <c r="O9224">
        <v>53.31</v>
      </c>
    </row>
    <row r="9225" spans="1:15" x14ac:dyDescent="0.35">
      <c r="A9225" t="s">
        <v>9936</v>
      </c>
      <c r="B9225" t="s">
        <v>164</v>
      </c>
      <c r="C9225" t="s">
        <v>520</v>
      </c>
      <c r="D9225" t="s">
        <v>314</v>
      </c>
      <c r="E9225" t="s">
        <v>308</v>
      </c>
      <c r="F9225" t="s">
        <v>9952</v>
      </c>
      <c r="G9225">
        <v>0</v>
      </c>
      <c r="H9225">
        <v>0</v>
      </c>
      <c r="I9225">
        <v>0</v>
      </c>
      <c r="J9225">
        <v>0</v>
      </c>
      <c r="K9225">
        <v>0</v>
      </c>
      <c r="L9225">
        <v>0</v>
      </c>
      <c r="M9225">
        <v>0</v>
      </c>
      <c r="N9225">
        <v>0</v>
      </c>
      <c r="O9225">
        <v>0</v>
      </c>
    </row>
    <row r="9226" spans="1:15" x14ac:dyDescent="0.35">
      <c r="A9226" t="s">
        <v>9936</v>
      </c>
      <c r="B9226" t="s">
        <v>164</v>
      </c>
      <c r="C9226" t="s">
        <v>520</v>
      </c>
      <c r="D9226" t="s">
        <v>314</v>
      </c>
      <c r="E9226" t="s">
        <v>312</v>
      </c>
      <c r="F9226" t="s">
        <v>9953</v>
      </c>
      <c r="G9226">
        <v>51</v>
      </c>
      <c r="H9226">
        <v>11059.18</v>
      </c>
      <c r="I9226">
        <v>216.85</v>
      </c>
      <c r="J9226">
        <v>16</v>
      </c>
      <c r="K9226">
        <v>2143.3999999999996</v>
      </c>
      <c r="L9226">
        <v>133.96</v>
      </c>
      <c r="M9226">
        <v>67</v>
      </c>
      <c r="N9226">
        <v>13202.58</v>
      </c>
      <c r="O9226">
        <v>197.05</v>
      </c>
    </row>
    <row r="9227" spans="1:15" x14ac:dyDescent="0.35">
      <c r="A9227" t="s">
        <v>9936</v>
      </c>
      <c r="B9227" t="s">
        <v>164</v>
      </c>
      <c r="C9227" t="s">
        <v>520</v>
      </c>
      <c r="D9227" t="s">
        <v>314</v>
      </c>
      <c r="E9227" t="s">
        <v>310</v>
      </c>
      <c r="F9227" t="s">
        <v>9954</v>
      </c>
      <c r="G9227">
        <v>51</v>
      </c>
      <c r="H9227">
        <v>11059.18</v>
      </c>
      <c r="I9227">
        <v>216.85</v>
      </c>
      <c r="J9227">
        <v>16</v>
      </c>
      <c r="K9227">
        <v>2143.3999999999996</v>
      </c>
      <c r="L9227">
        <v>133.96</v>
      </c>
      <c r="M9227">
        <v>67</v>
      </c>
      <c r="N9227">
        <v>13202.58</v>
      </c>
      <c r="O9227">
        <v>197.05</v>
      </c>
    </row>
    <row r="9228" spans="1:15" x14ac:dyDescent="0.35">
      <c r="A9228" t="s">
        <v>9936</v>
      </c>
      <c r="B9228" t="s">
        <v>164</v>
      </c>
      <c r="C9228" t="s">
        <v>520</v>
      </c>
      <c r="D9228" t="s">
        <v>323</v>
      </c>
      <c r="E9228" t="s">
        <v>294</v>
      </c>
      <c r="F9228" t="s">
        <v>9955</v>
      </c>
      <c r="G9228">
        <v>1342</v>
      </c>
      <c r="H9228">
        <v>127042.37999999999</v>
      </c>
      <c r="I9228">
        <v>94.67</v>
      </c>
      <c r="J9228">
        <v>2864</v>
      </c>
      <c r="K9228">
        <v>231812.16</v>
      </c>
      <c r="L9228">
        <v>80.94</v>
      </c>
      <c r="M9228">
        <v>4206</v>
      </c>
      <c r="N9228">
        <v>358854.54</v>
      </c>
      <c r="O9228">
        <v>85.32</v>
      </c>
    </row>
    <row r="9229" spans="1:15" x14ac:dyDescent="0.35">
      <c r="A9229" t="s">
        <v>9936</v>
      </c>
      <c r="B9229" t="s">
        <v>164</v>
      </c>
      <c r="C9229" t="s">
        <v>520</v>
      </c>
      <c r="D9229" t="s">
        <v>323</v>
      </c>
      <c r="E9229" t="s">
        <v>296</v>
      </c>
      <c r="F9229" t="s">
        <v>9956</v>
      </c>
      <c r="G9229">
        <v>1723</v>
      </c>
      <c r="H9229">
        <v>181102.08000000002</v>
      </c>
      <c r="I9229">
        <v>105.11</v>
      </c>
      <c r="J9229">
        <v>3346</v>
      </c>
      <c r="K9229">
        <v>308768.88</v>
      </c>
      <c r="L9229">
        <v>92.28</v>
      </c>
      <c r="M9229">
        <v>5069</v>
      </c>
      <c r="N9229">
        <v>489870.96</v>
      </c>
      <c r="O9229">
        <v>96.64</v>
      </c>
    </row>
    <row r="9230" spans="1:15" x14ac:dyDescent="0.35">
      <c r="A9230" t="s">
        <v>9936</v>
      </c>
      <c r="B9230" t="s">
        <v>164</v>
      </c>
      <c r="C9230" t="s">
        <v>520</v>
      </c>
      <c r="D9230" t="s">
        <v>323</v>
      </c>
      <c r="E9230" t="s">
        <v>298</v>
      </c>
      <c r="F9230" t="s">
        <v>9957</v>
      </c>
      <c r="G9230">
        <v>791</v>
      </c>
      <c r="H9230">
        <v>90915</v>
      </c>
      <c r="I9230">
        <v>114.94</v>
      </c>
      <c r="J9230">
        <v>2894</v>
      </c>
      <c r="K9230">
        <v>298458.21999999997</v>
      </c>
      <c r="L9230">
        <v>103.13</v>
      </c>
      <c r="M9230">
        <v>3685</v>
      </c>
      <c r="N9230">
        <v>389373.22</v>
      </c>
      <c r="O9230">
        <v>105.66</v>
      </c>
    </row>
    <row r="9231" spans="1:15" x14ac:dyDescent="0.35">
      <c r="A9231" t="s">
        <v>9936</v>
      </c>
      <c r="B9231" t="s">
        <v>164</v>
      </c>
      <c r="C9231" t="s">
        <v>520</v>
      </c>
      <c r="D9231" t="s">
        <v>323</v>
      </c>
      <c r="E9231" t="s">
        <v>300</v>
      </c>
      <c r="F9231" t="s">
        <v>9958</v>
      </c>
      <c r="G9231">
        <v>58</v>
      </c>
      <c r="H9231">
        <v>7510.3399999999992</v>
      </c>
      <c r="I9231">
        <v>129.49</v>
      </c>
      <c r="J9231">
        <v>116</v>
      </c>
      <c r="K9231">
        <v>13033.76</v>
      </c>
      <c r="L9231">
        <v>112.36</v>
      </c>
      <c r="M9231">
        <v>174</v>
      </c>
      <c r="N9231">
        <v>20544.099999999999</v>
      </c>
      <c r="O9231">
        <v>118.07</v>
      </c>
    </row>
    <row r="9232" spans="1:15" x14ac:dyDescent="0.35">
      <c r="A9232" t="s">
        <v>9936</v>
      </c>
      <c r="B9232" t="s">
        <v>164</v>
      </c>
      <c r="C9232" t="s">
        <v>520</v>
      </c>
      <c r="D9232" t="s">
        <v>323</v>
      </c>
      <c r="E9232" t="s">
        <v>302</v>
      </c>
      <c r="F9232" t="s">
        <v>9959</v>
      </c>
      <c r="G9232">
        <v>2</v>
      </c>
      <c r="H9232">
        <v>263.64</v>
      </c>
      <c r="I9232">
        <v>131.82</v>
      </c>
      <c r="J9232">
        <v>1</v>
      </c>
      <c r="K9232">
        <v>151.09</v>
      </c>
      <c r="L9232">
        <v>151.09</v>
      </c>
      <c r="M9232">
        <v>3</v>
      </c>
      <c r="N9232">
        <v>414.73</v>
      </c>
      <c r="O9232">
        <v>138.24</v>
      </c>
    </row>
    <row r="9233" spans="1:15" x14ac:dyDescent="0.35">
      <c r="A9233" t="s">
        <v>9936</v>
      </c>
      <c r="B9233" t="s">
        <v>164</v>
      </c>
      <c r="C9233" t="s">
        <v>520</v>
      </c>
      <c r="D9233" t="s">
        <v>323</v>
      </c>
      <c r="E9233" t="s">
        <v>304</v>
      </c>
      <c r="F9233" t="s">
        <v>9960</v>
      </c>
      <c r="G9233">
        <v>1</v>
      </c>
      <c r="H9233">
        <v>133.66</v>
      </c>
      <c r="I9233">
        <v>133.66</v>
      </c>
      <c r="J9233">
        <v>1</v>
      </c>
      <c r="K9233">
        <v>179.61</v>
      </c>
      <c r="L9233">
        <v>179.61</v>
      </c>
      <c r="M9233">
        <v>2</v>
      </c>
      <c r="N9233">
        <v>313.27</v>
      </c>
      <c r="O9233">
        <v>156.63999999999999</v>
      </c>
    </row>
    <row r="9234" spans="1:15" x14ac:dyDescent="0.35">
      <c r="A9234" t="s">
        <v>9936</v>
      </c>
      <c r="B9234" t="s">
        <v>164</v>
      </c>
      <c r="C9234" t="s">
        <v>520</v>
      </c>
      <c r="D9234" t="s">
        <v>323</v>
      </c>
      <c r="E9234" t="s">
        <v>306</v>
      </c>
      <c r="F9234" t="s">
        <v>9961</v>
      </c>
      <c r="G9234">
        <v>60</v>
      </c>
      <c r="H9234">
        <v>4914.1000000000004</v>
      </c>
      <c r="I9234">
        <v>81.900000000000006</v>
      </c>
      <c r="J9234">
        <v>370</v>
      </c>
      <c r="K9234">
        <v>27613.1</v>
      </c>
      <c r="L9234">
        <v>74.63</v>
      </c>
      <c r="M9234">
        <v>430</v>
      </c>
      <c r="N9234">
        <v>32527.199999999997</v>
      </c>
      <c r="O9234">
        <v>75.64</v>
      </c>
    </row>
    <row r="9235" spans="1:15" x14ac:dyDescent="0.35">
      <c r="A9235" t="s">
        <v>9936</v>
      </c>
      <c r="B9235" t="s">
        <v>164</v>
      </c>
      <c r="C9235" t="s">
        <v>520</v>
      </c>
      <c r="D9235" t="s">
        <v>323</v>
      </c>
      <c r="E9235" t="s">
        <v>308</v>
      </c>
      <c r="F9235" t="s">
        <v>9962</v>
      </c>
      <c r="G9235">
        <v>0</v>
      </c>
      <c r="H9235">
        <v>0</v>
      </c>
      <c r="I9235">
        <v>0</v>
      </c>
      <c r="J9235">
        <v>0</v>
      </c>
      <c r="K9235">
        <v>0</v>
      </c>
      <c r="L9235">
        <v>0</v>
      </c>
      <c r="M9235">
        <v>0</v>
      </c>
      <c r="N9235">
        <v>0</v>
      </c>
      <c r="O9235">
        <v>0</v>
      </c>
    </row>
    <row r="9236" spans="1:15" x14ac:dyDescent="0.35">
      <c r="A9236" t="s">
        <v>9936</v>
      </c>
      <c r="B9236" t="s">
        <v>164</v>
      </c>
      <c r="C9236" t="s">
        <v>520</v>
      </c>
      <c r="D9236" t="s">
        <v>323</v>
      </c>
      <c r="E9236" t="s">
        <v>310</v>
      </c>
      <c r="F9236" t="s">
        <v>9963</v>
      </c>
      <c r="G9236">
        <v>3977</v>
      </c>
      <c r="H9236">
        <v>411881.2</v>
      </c>
      <c r="I9236">
        <v>103.57</v>
      </c>
      <c r="J9236">
        <v>9592</v>
      </c>
      <c r="K9236">
        <v>880016.82</v>
      </c>
      <c r="L9236">
        <v>91.74</v>
      </c>
      <c r="M9236">
        <v>13569</v>
      </c>
      <c r="N9236">
        <v>1291898.02</v>
      </c>
      <c r="O9236">
        <v>95.21</v>
      </c>
    </row>
    <row r="9237" spans="1:15" x14ac:dyDescent="0.35">
      <c r="A9237" t="s">
        <v>9936</v>
      </c>
      <c r="B9237" t="s">
        <v>164</v>
      </c>
      <c r="C9237" t="s">
        <v>520</v>
      </c>
      <c r="D9237" t="s">
        <v>323</v>
      </c>
      <c r="E9237" t="s">
        <v>312</v>
      </c>
      <c r="F9237" t="s">
        <v>9964</v>
      </c>
      <c r="G9237">
        <v>3977</v>
      </c>
      <c r="H9237">
        <v>411881.2</v>
      </c>
      <c r="I9237">
        <v>103.57</v>
      </c>
      <c r="J9237">
        <v>9592</v>
      </c>
      <c r="K9237">
        <v>880016.82</v>
      </c>
      <c r="L9237">
        <v>91.74</v>
      </c>
      <c r="M9237">
        <v>13569</v>
      </c>
      <c r="N9237">
        <v>1291898.02</v>
      </c>
      <c r="O9237">
        <v>95.21</v>
      </c>
    </row>
    <row r="9238" spans="1:15" x14ac:dyDescent="0.35">
      <c r="A9238" t="s">
        <v>9936</v>
      </c>
      <c r="B9238" t="s">
        <v>164</v>
      </c>
      <c r="C9238" t="s">
        <v>520</v>
      </c>
      <c r="D9238" t="s">
        <v>334</v>
      </c>
      <c r="E9238" t="s">
        <v>312</v>
      </c>
      <c r="F9238" t="s">
        <v>9965</v>
      </c>
      <c r="G9238">
        <v>4936</v>
      </c>
      <c r="H9238">
        <v>508677.56</v>
      </c>
      <c r="I9238">
        <v>109.42</v>
      </c>
      <c r="J9238">
        <v>9844</v>
      </c>
      <c r="K9238">
        <v>918722.24999999988</v>
      </c>
      <c r="L9238">
        <v>93.33</v>
      </c>
      <c r="M9238">
        <v>14780</v>
      </c>
      <c r="N9238">
        <v>1427399.8099999998</v>
      </c>
      <c r="O9238">
        <v>98.49</v>
      </c>
    </row>
    <row r="9239" spans="1:15" x14ac:dyDescent="0.35">
      <c r="A9239" t="s">
        <v>9936</v>
      </c>
      <c r="B9239" t="s">
        <v>164</v>
      </c>
      <c r="C9239" t="s">
        <v>520</v>
      </c>
      <c r="D9239" t="s">
        <v>334</v>
      </c>
      <c r="E9239" t="s">
        <v>308</v>
      </c>
      <c r="F9239" t="s">
        <v>9966</v>
      </c>
      <c r="G9239">
        <v>0</v>
      </c>
      <c r="H9239">
        <v>0</v>
      </c>
      <c r="I9239">
        <v>0</v>
      </c>
      <c r="J9239">
        <v>0</v>
      </c>
      <c r="K9239">
        <v>0</v>
      </c>
      <c r="L9239">
        <v>0</v>
      </c>
      <c r="M9239">
        <v>0</v>
      </c>
      <c r="N9239">
        <v>0</v>
      </c>
      <c r="O9239">
        <v>0</v>
      </c>
    </row>
    <row r="9240" spans="1:15" x14ac:dyDescent="0.35">
      <c r="A9240" t="s">
        <v>9936</v>
      </c>
      <c r="B9240" t="s">
        <v>164</v>
      </c>
      <c r="C9240" t="s">
        <v>520</v>
      </c>
      <c r="D9240" t="s">
        <v>337</v>
      </c>
      <c r="E9240" t="s">
        <v>337</v>
      </c>
      <c r="F9240" t="s">
        <v>9967</v>
      </c>
      <c r="G9240">
        <v>1301</v>
      </c>
      <c r="J9240">
        <v>75</v>
      </c>
      <c r="M9240">
        <v>1376</v>
      </c>
    </row>
    <row r="9241" spans="1:15" x14ac:dyDescent="0.35">
      <c r="A9241" t="s">
        <v>9936</v>
      </c>
      <c r="B9241" t="s">
        <v>164</v>
      </c>
      <c r="C9241" t="s">
        <v>520</v>
      </c>
      <c r="D9241" t="s">
        <v>339</v>
      </c>
      <c r="E9241" t="s">
        <v>294</v>
      </c>
      <c r="F9241" t="s">
        <v>9968</v>
      </c>
      <c r="G9241">
        <v>1070</v>
      </c>
      <c r="H9241">
        <v>112700.75</v>
      </c>
      <c r="I9241">
        <v>105.33</v>
      </c>
      <c r="J9241">
        <v>819</v>
      </c>
      <c r="K9241">
        <v>73800.09</v>
      </c>
      <c r="L9241">
        <v>90.11</v>
      </c>
      <c r="M9241">
        <v>1889</v>
      </c>
      <c r="N9241">
        <v>186500.84</v>
      </c>
      <c r="O9241">
        <v>98.73</v>
      </c>
    </row>
    <row r="9242" spans="1:15" x14ac:dyDescent="0.35">
      <c r="A9242" t="s">
        <v>9936</v>
      </c>
      <c r="B9242" t="s">
        <v>164</v>
      </c>
      <c r="C9242" t="s">
        <v>520</v>
      </c>
      <c r="D9242" t="s">
        <v>339</v>
      </c>
      <c r="E9242" t="s">
        <v>296</v>
      </c>
      <c r="F9242" t="s">
        <v>9969</v>
      </c>
      <c r="G9242">
        <v>49</v>
      </c>
      <c r="H9242">
        <v>5454.06</v>
      </c>
      <c r="I9242">
        <v>111.31</v>
      </c>
      <c r="J9242">
        <v>93</v>
      </c>
      <c r="K9242">
        <v>9049.83</v>
      </c>
      <c r="L9242">
        <v>97.31</v>
      </c>
      <c r="M9242">
        <v>142</v>
      </c>
      <c r="N9242">
        <v>14503.89</v>
      </c>
      <c r="O9242">
        <v>102.14</v>
      </c>
    </row>
    <row r="9243" spans="1:15" x14ac:dyDescent="0.35">
      <c r="A9243" t="s">
        <v>9936</v>
      </c>
      <c r="B9243" t="s">
        <v>164</v>
      </c>
      <c r="C9243" t="s">
        <v>520</v>
      </c>
      <c r="D9243" t="s">
        <v>339</v>
      </c>
      <c r="E9243" t="s">
        <v>298</v>
      </c>
      <c r="F9243" t="s">
        <v>9970</v>
      </c>
      <c r="G9243">
        <v>9</v>
      </c>
      <c r="H9243">
        <v>1004.9799999999999</v>
      </c>
      <c r="I9243">
        <v>111.66</v>
      </c>
      <c r="J9243">
        <v>6</v>
      </c>
      <c r="K9243">
        <v>610.56000000000006</v>
      </c>
      <c r="L9243">
        <v>101.76</v>
      </c>
      <c r="M9243">
        <v>15</v>
      </c>
      <c r="N9243">
        <v>1615.54</v>
      </c>
      <c r="O9243">
        <v>107.7</v>
      </c>
    </row>
    <row r="9244" spans="1:15" x14ac:dyDescent="0.35">
      <c r="A9244" t="s">
        <v>9936</v>
      </c>
      <c r="B9244" t="s">
        <v>164</v>
      </c>
      <c r="C9244" t="s">
        <v>520</v>
      </c>
      <c r="D9244" t="s">
        <v>339</v>
      </c>
      <c r="E9244" t="s">
        <v>300</v>
      </c>
      <c r="F9244" t="s">
        <v>9971</v>
      </c>
      <c r="G9244">
        <v>1</v>
      </c>
      <c r="H9244">
        <v>152.44999999999999</v>
      </c>
      <c r="I9244">
        <v>152.44999999999999</v>
      </c>
      <c r="J9244">
        <v>0</v>
      </c>
      <c r="K9244">
        <v>0</v>
      </c>
      <c r="L9244">
        <v>0</v>
      </c>
      <c r="M9244">
        <v>1</v>
      </c>
      <c r="N9244">
        <v>152.44999999999999</v>
      </c>
      <c r="O9244">
        <v>152.44999999999999</v>
      </c>
    </row>
    <row r="9245" spans="1:15" x14ac:dyDescent="0.35">
      <c r="A9245" t="s">
        <v>9936</v>
      </c>
      <c r="B9245" t="s">
        <v>164</v>
      </c>
      <c r="C9245" t="s">
        <v>520</v>
      </c>
      <c r="D9245" t="s">
        <v>339</v>
      </c>
      <c r="E9245" t="s">
        <v>306</v>
      </c>
      <c r="F9245" t="s">
        <v>9972</v>
      </c>
      <c r="G9245">
        <v>243</v>
      </c>
      <c r="H9245">
        <v>22951.09</v>
      </c>
      <c r="I9245">
        <v>94.45</v>
      </c>
      <c r="J9245">
        <v>21</v>
      </c>
      <c r="K9245">
        <v>1567.23</v>
      </c>
      <c r="L9245">
        <v>74.63</v>
      </c>
      <c r="M9245">
        <v>264</v>
      </c>
      <c r="N9245">
        <v>24518.32</v>
      </c>
      <c r="O9245">
        <v>92.87</v>
      </c>
    </row>
    <row r="9246" spans="1:15" x14ac:dyDescent="0.35">
      <c r="A9246" t="s">
        <v>9936</v>
      </c>
      <c r="B9246" t="s">
        <v>164</v>
      </c>
      <c r="C9246" t="s">
        <v>520</v>
      </c>
      <c r="D9246" t="s">
        <v>339</v>
      </c>
      <c r="E9246" t="s">
        <v>308</v>
      </c>
      <c r="F9246" t="s">
        <v>9973</v>
      </c>
      <c r="G9246">
        <v>171</v>
      </c>
      <c r="H9246">
        <v>23697.29</v>
      </c>
      <c r="I9246">
        <v>138.58000000000001</v>
      </c>
      <c r="J9246">
        <v>79</v>
      </c>
      <c r="K9246">
        <v>6548.31</v>
      </c>
      <c r="L9246">
        <v>82.89</v>
      </c>
      <c r="M9246">
        <v>250</v>
      </c>
      <c r="N9246">
        <v>30245.600000000002</v>
      </c>
      <c r="O9246">
        <v>120.98</v>
      </c>
    </row>
    <row r="9247" spans="1:15" x14ac:dyDescent="0.35">
      <c r="A9247" t="s">
        <v>9936</v>
      </c>
      <c r="B9247" t="s">
        <v>164</v>
      </c>
      <c r="C9247" t="s">
        <v>520</v>
      </c>
      <c r="D9247" t="s">
        <v>339</v>
      </c>
      <c r="E9247" t="s">
        <v>310</v>
      </c>
      <c r="F9247" t="s">
        <v>9974</v>
      </c>
      <c r="G9247">
        <v>1543</v>
      </c>
      <c r="H9247">
        <v>165960.62</v>
      </c>
      <c r="I9247">
        <v>107.56</v>
      </c>
      <c r="J9247">
        <v>1018</v>
      </c>
      <c r="K9247">
        <v>91576.01999999999</v>
      </c>
      <c r="L9247">
        <v>89.96</v>
      </c>
      <c r="M9247">
        <v>2561</v>
      </c>
      <c r="N9247">
        <v>257536.63999999998</v>
      </c>
      <c r="O9247">
        <v>100.56</v>
      </c>
    </row>
    <row r="9248" spans="1:15" x14ac:dyDescent="0.35">
      <c r="A9248" t="s">
        <v>9936</v>
      </c>
      <c r="B9248" t="s">
        <v>164</v>
      </c>
      <c r="C9248" t="s">
        <v>520</v>
      </c>
      <c r="D9248" t="s">
        <v>339</v>
      </c>
      <c r="E9248" t="s">
        <v>312</v>
      </c>
      <c r="F9248" t="s">
        <v>9975</v>
      </c>
      <c r="G9248">
        <v>1372</v>
      </c>
      <c r="H9248">
        <v>142263.32999999999</v>
      </c>
      <c r="I9248">
        <v>103.69</v>
      </c>
      <c r="J9248">
        <v>939</v>
      </c>
      <c r="K9248">
        <v>85027.709999999992</v>
      </c>
      <c r="L9248">
        <v>90.55</v>
      </c>
      <c r="M9248">
        <v>2311</v>
      </c>
      <c r="N9248">
        <v>227291.03999999998</v>
      </c>
      <c r="O9248">
        <v>98.35</v>
      </c>
    </row>
    <row r="9249" spans="1:15" x14ac:dyDescent="0.35">
      <c r="A9249" t="s">
        <v>9936</v>
      </c>
      <c r="B9249" t="s">
        <v>164</v>
      </c>
      <c r="C9249" t="s">
        <v>520</v>
      </c>
      <c r="D9249" t="s">
        <v>348</v>
      </c>
      <c r="E9249" t="s">
        <v>349</v>
      </c>
      <c r="F9249" t="s">
        <v>9976</v>
      </c>
      <c r="G9249">
        <v>1791</v>
      </c>
      <c r="H9249">
        <v>177019.8</v>
      </c>
      <c r="I9249">
        <v>111.05</v>
      </c>
      <c r="J9249">
        <v>1034</v>
      </c>
      <c r="K9249">
        <v>93719.419999999984</v>
      </c>
      <c r="L9249">
        <v>90.64</v>
      </c>
      <c r="M9249">
        <v>2825</v>
      </c>
      <c r="N9249">
        <v>270739.21999999997</v>
      </c>
      <c r="O9249">
        <v>103.02</v>
      </c>
    </row>
    <row r="9250" spans="1:15" x14ac:dyDescent="0.35">
      <c r="A9250" t="s">
        <v>9977</v>
      </c>
      <c r="B9250" t="s">
        <v>174</v>
      </c>
      <c r="C9250" t="s">
        <v>520</v>
      </c>
      <c r="D9250" t="s">
        <v>293</v>
      </c>
      <c r="E9250" t="s">
        <v>294</v>
      </c>
      <c r="F9250" t="s">
        <v>9978</v>
      </c>
      <c r="G9250">
        <v>405</v>
      </c>
      <c r="H9250">
        <v>46121.599999999999</v>
      </c>
      <c r="I9250">
        <v>113.88</v>
      </c>
      <c r="J9250">
        <v>0</v>
      </c>
      <c r="K9250">
        <v>0</v>
      </c>
      <c r="L9250">
        <v>0</v>
      </c>
      <c r="M9250">
        <v>405</v>
      </c>
      <c r="N9250">
        <v>46121.599999999999</v>
      </c>
      <c r="O9250">
        <v>113.88</v>
      </c>
    </row>
    <row r="9251" spans="1:15" x14ac:dyDescent="0.35">
      <c r="A9251" t="s">
        <v>9977</v>
      </c>
      <c r="B9251" t="s">
        <v>174</v>
      </c>
      <c r="C9251" t="s">
        <v>520</v>
      </c>
      <c r="D9251" t="s">
        <v>293</v>
      </c>
      <c r="E9251" t="s">
        <v>296</v>
      </c>
      <c r="F9251" t="s">
        <v>9979</v>
      </c>
      <c r="G9251">
        <v>1329</v>
      </c>
      <c r="H9251">
        <v>165947.80000000002</v>
      </c>
      <c r="I9251">
        <v>124.87</v>
      </c>
      <c r="J9251">
        <v>0</v>
      </c>
      <c r="K9251">
        <v>0</v>
      </c>
      <c r="L9251">
        <v>0</v>
      </c>
      <c r="M9251">
        <v>1329</v>
      </c>
      <c r="N9251">
        <v>165947.80000000002</v>
      </c>
      <c r="O9251">
        <v>124.87</v>
      </c>
    </row>
    <row r="9252" spans="1:15" x14ac:dyDescent="0.35">
      <c r="A9252" t="s">
        <v>9977</v>
      </c>
      <c r="B9252" t="s">
        <v>174</v>
      </c>
      <c r="C9252" t="s">
        <v>520</v>
      </c>
      <c r="D9252" t="s">
        <v>293</v>
      </c>
      <c r="E9252" t="s">
        <v>298</v>
      </c>
      <c r="F9252" t="s">
        <v>9980</v>
      </c>
      <c r="G9252">
        <v>1012</v>
      </c>
      <c r="H9252">
        <v>140278.93999999997</v>
      </c>
      <c r="I9252">
        <v>138.62</v>
      </c>
      <c r="J9252">
        <v>0</v>
      </c>
      <c r="K9252">
        <v>0</v>
      </c>
      <c r="L9252">
        <v>0</v>
      </c>
      <c r="M9252">
        <v>1012</v>
      </c>
      <c r="N9252">
        <v>140278.93999999997</v>
      </c>
      <c r="O9252">
        <v>138.62</v>
      </c>
    </row>
    <row r="9253" spans="1:15" x14ac:dyDescent="0.35">
      <c r="A9253" t="s">
        <v>9977</v>
      </c>
      <c r="B9253" t="s">
        <v>174</v>
      </c>
      <c r="C9253" t="s">
        <v>520</v>
      </c>
      <c r="D9253" t="s">
        <v>293</v>
      </c>
      <c r="E9253" t="s">
        <v>300</v>
      </c>
      <c r="F9253" t="s">
        <v>9981</v>
      </c>
      <c r="G9253">
        <v>87</v>
      </c>
      <c r="H9253">
        <v>15076.869999999999</v>
      </c>
      <c r="I9253">
        <v>173.3</v>
      </c>
      <c r="J9253">
        <v>0</v>
      </c>
      <c r="K9253">
        <v>0</v>
      </c>
      <c r="L9253">
        <v>0</v>
      </c>
      <c r="M9253">
        <v>87</v>
      </c>
      <c r="N9253">
        <v>15076.869999999999</v>
      </c>
      <c r="O9253">
        <v>173.3</v>
      </c>
    </row>
    <row r="9254" spans="1:15" x14ac:dyDescent="0.35">
      <c r="A9254" t="s">
        <v>9977</v>
      </c>
      <c r="B9254" t="s">
        <v>174</v>
      </c>
      <c r="C9254" t="s">
        <v>520</v>
      </c>
      <c r="D9254" t="s">
        <v>293</v>
      </c>
      <c r="E9254" t="s">
        <v>302</v>
      </c>
      <c r="F9254" t="s">
        <v>9982</v>
      </c>
      <c r="G9254">
        <v>6</v>
      </c>
      <c r="H9254">
        <v>983.04000000000008</v>
      </c>
      <c r="I9254">
        <v>163.84</v>
      </c>
      <c r="J9254">
        <v>0</v>
      </c>
      <c r="K9254">
        <v>0</v>
      </c>
      <c r="L9254">
        <v>0</v>
      </c>
      <c r="M9254">
        <v>6</v>
      </c>
      <c r="N9254">
        <v>983.04000000000008</v>
      </c>
      <c r="O9254">
        <v>163.84</v>
      </c>
    </row>
    <row r="9255" spans="1:15" x14ac:dyDescent="0.35">
      <c r="A9255" t="s">
        <v>9977</v>
      </c>
      <c r="B9255" t="s">
        <v>174</v>
      </c>
      <c r="C9255" t="s">
        <v>520</v>
      </c>
      <c r="D9255" t="s">
        <v>293</v>
      </c>
      <c r="E9255" t="s">
        <v>304</v>
      </c>
      <c r="F9255" t="s">
        <v>9983</v>
      </c>
      <c r="G9255">
        <v>0</v>
      </c>
      <c r="H9255">
        <v>0</v>
      </c>
      <c r="I9255">
        <v>0</v>
      </c>
      <c r="J9255">
        <v>0</v>
      </c>
      <c r="K9255">
        <v>0</v>
      </c>
      <c r="L9255">
        <v>0</v>
      </c>
      <c r="M9255">
        <v>0</v>
      </c>
      <c r="N9255">
        <v>0</v>
      </c>
      <c r="O9255">
        <v>0</v>
      </c>
    </row>
    <row r="9256" spans="1:15" x14ac:dyDescent="0.35">
      <c r="A9256" t="s">
        <v>9977</v>
      </c>
      <c r="B9256" t="s">
        <v>174</v>
      </c>
      <c r="C9256" t="s">
        <v>520</v>
      </c>
      <c r="D9256" t="s">
        <v>293</v>
      </c>
      <c r="E9256" t="s">
        <v>306</v>
      </c>
      <c r="F9256" t="s">
        <v>9984</v>
      </c>
      <c r="G9256">
        <v>0</v>
      </c>
      <c r="H9256">
        <v>0</v>
      </c>
      <c r="I9256">
        <v>0</v>
      </c>
      <c r="J9256">
        <v>0</v>
      </c>
      <c r="K9256">
        <v>0</v>
      </c>
      <c r="L9256">
        <v>0</v>
      </c>
      <c r="M9256">
        <v>0</v>
      </c>
      <c r="N9256">
        <v>0</v>
      </c>
      <c r="O9256">
        <v>0</v>
      </c>
    </row>
    <row r="9257" spans="1:15" x14ac:dyDescent="0.35">
      <c r="A9257" t="s">
        <v>9977</v>
      </c>
      <c r="B9257" t="s">
        <v>174</v>
      </c>
      <c r="C9257" t="s">
        <v>520</v>
      </c>
      <c r="D9257" t="s">
        <v>293</v>
      </c>
      <c r="E9257" t="s">
        <v>308</v>
      </c>
      <c r="F9257" t="s">
        <v>9985</v>
      </c>
      <c r="G9257">
        <v>0</v>
      </c>
      <c r="H9257">
        <v>0</v>
      </c>
      <c r="I9257">
        <v>0</v>
      </c>
      <c r="J9257">
        <v>0</v>
      </c>
      <c r="K9257">
        <v>0</v>
      </c>
      <c r="L9257">
        <v>0</v>
      </c>
      <c r="M9257">
        <v>0</v>
      </c>
      <c r="N9257">
        <v>0</v>
      </c>
      <c r="O9257">
        <v>0</v>
      </c>
    </row>
    <row r="9258" spans="1:15" x14ac:dyDescent="0.35">
      <c r="A9258" t="s">
        <v>9977</v>
      </c>
      <c r="B9258" t="s">
        <v>174</v>
      </c>
      <c r="C9258" t="s">
        <v>520</v>
      </c>
      <c r="D9258" t="s">
        <v>293</v>
      </c>
      <c r="E9258" t="s">
        <v>310</v>
      </c>
      <c r="F9258" t="s">
        <v>9986</v>
      </c>
      <c r="G9258">
        <v>2839</v>
      </c>
      <c r="H9258">
        <v>368408.24999999994</v>
      </c>
      <c r="I9258">
        <v>129.77000000000001</v>
      </c>
      <c r="J9258">
        <v>0</v>
      </c>
      <c r="K9258">
        <v>0</v>
      </c>
      <c r="L9258">
        <v>0</v>
      </c>
      <c r="M9258">
        <v>2839</v>
      </c>
      <c r="N9258">
        <v>368408.24999999994</v>
      </c>
      <c r="O9258">
        <v>129.77000000000001</v>
      </c>
    </row>
    <row r="9259" spans="1:15" x14ac:dyDescent="0.35">
      <c r="A9259" t="s">
        <v>9977</v>
      </c>
      <c r="B9259" t="s">
        <v>174</v>
      </c>
      <c r="C9259" t="s">
        <v>520</v>
      </c>
      <c r="D9259" t="s">
        <v>293</v>
      </c>
      <c r="E9259" t="s">
        <v>312</v>
      </c>
      <c r="F9259" t="s">
        <v>9987</v>
      </c>
      <c r="G9259">
        <v>2839</v>
      </c>
      <c r="H9259">
        <v>368408.24999999994</v>
      </c>
      <c r="I9259">
        <v>129.77000000000001</v>
      </c>
      <c r="J9259">
        <v>0</v>
      </c>
      <c r="K9259">
        <v>0</v>
      </c>
      <c r="L9259">
        <v>0</v>
      </c>
      <c r="M9259">
        <v>2839</v>
      </c>
      <c r="N9259">
        <v>368408.24999999994</v>
      </c>
      <c r="O9259">
        <v>129.77000000000001</v>
      </c>
    </row>
    <row r="9260" spans="1:15" x14ac:dyDescent="0.35">
      <c r="A9260" t="s">
        <v>9977</v>
      </c>
      <c r="B9260" t="s">
        <v>174</v>
      </c>
      <c r="C9260" t="s">
        <v>520</v>
      </c>
      <c r="D9260" t="s">
        <v>314</v>
      </c>
      <c r="E9260" t="s">
        <v>294</v>
      </c>
      <c r="F9260" t="s">
        <v>9988</v>
      </c>
      <c r="G9260">
        <v>20</v>
      </c>
      <c r="H9260">
        <v>2632.4</v>
      </c>
      <c r="I9260">
        <v>131.62</v>
      </c>
      <c r="J9260">
        <v>0</v>
      </c>
      <c r="K9260">
        <v>0</v>
      </c>
      <c r="L9260">
        <v>0</v>
      </c>
      <c r="M9260">
        <v>20</v>
      </c>
      <c r="N9260">
        <v>2632.4</v>
      </c>
      <c r="O9260">
        <v>131.62</v>
      </c>
    </row>
    <row r="9261" spans="1:15" x14ac:dyDescent="0.35">
      <c r="A9261" t="s">
        <v>9977</v>
      </c>
      <c r="B9261" t="s">
        <v>174</v>
      </c>
      <c r="C9261" t="s">
        <v>520</v>
      </c>
      <c r="D9261" t="s">
        <v>314</v>
      </c>
      <c r="E9261" t="s">
        <v>296</v>
      </c>
      <c r="F9261" t="s">
        <v>9989</v>
      </c>
      <c r="G9261">
        <v>34</v>
      </c>
      <c r="H9261">
        <v>6088.94</v>
      </c>
      <c r="I9261">
        <v>179.09</v>
      </c>
      <c r="J9261">
        <v>0</v>
      </c>
      <c r="K9261">
        <v>0</v>
      </c>
      <c r="L9261">
        <v>0</v>
      </c>
      <c r="M9261">
        <v>34</v>
      </c>
      <c r="N9261">
        <v>6088.94</v>
      </c>
      <c r="O9261">
        <v>179.09</v>
      </c>
    </row>
    <row r="9262" spans="1:15" x14ac:dyDescent="0.35">
      <c r="A9262" t="s">
        <v>9977</v>
      </c>
      <c r="B9262" t="s">
        <v>174</v>
      </c>
      <c r="C9262" t="s">
        <v>520</v>
      </c>
      <c r="D9262" t="s">
        <v>314</v>
      </c>
      <c r="E9262" t="s">
        <v>298</v>
      </c>
      <c r="F9262" t="s">
        <v>9990</v>
      </c>
      <c r="G9262">
        <v>0</v>
      </c>
      <c r="H9262">
        <v>0</v>
      </c>
      <c r="I9262">
        <v>0</v>
      </c>
      <c r="J9262">
        <v>0</v>
      </c>
      <c r="K9262">
        <v>0</v>
      </c>
      <c r="L9262">
        <v>0</v>
      </c>
      <c r="M9262">
        <v>0</v>
      </c>
      <c r="N9262">
        <v>0</v>
      </c>
      <c r="O9262">
        <v>0</v>
      </c>
    </row>
    <row r="9263" spans="1:15" x14ac:dyDescent="0.35">
      <c r="A9263" t="s">
        <v>9977</v>
      </c>
      <c r="B9263" t="s">
        <v>174</v>
      </c>
      <c r="C9263" t="s">
        <v>520</v>
      </c>
      <c r="D9263" t="s">
        <v>314</v>
      </c>
      <c r="E9263" t="s">
        <v>300</v>
      </c>
      <c r="F9263" t="s">
        <v>9991</v>
      </c>
      <c r="G9263">
        <v>0</v>
      </c>
      <c r="H9263">
        <v>0</v>
      </c>
      <c r="I9263">
        <v>0</v>
      </c>
      <c r="J9263">
        <v>0</v>
      </c>
      <c r="K9263">
        <v>0</v>
      </c>
      <c r="L9263">
        <v>0</v>
      </c>
      <c r="M9263">
        <v>0</v>
      </c>
      <c r="N9263">
        <v>0</v>
      </c>
      <c r="O9263">
        <v>0</v>
      </c>
    </row>
    <row r="9264" spans="1:15" x14ac:dyDescent="0.35">
      <c r="A9264" t="s">
        <v>9977</v>
      </c>
      <c r="B9264" t="s">
        <v>174</v>
      </c>
      <c r="C9264" t="s">
        <v>520</v>
      </c>
      <c r="D9264" t="s">
        <v>314</v>
      </c>
      <c r="E9264" t="s">
        <v>306</v>
      </c>
      <c r="F9264" t="s">
        <v>9992</v>
      </c>
      <c r="G9264">
        <v>0</v>
      </c>
      <c r="H9264">
        <v>0</v>
      </c>
      <c r="I9264">
        <v>0</v>
      </c>
      <c r="J9264">
        <v>0</v>
      </c>
      <c r="K9264">
        <v>0</v>
      </c>
      <c r="L9264">
        <v>0</v>
      </c>
      <c r="M9264">
        <v>0</v>
      </c>
      <c r="N9264">
        <v>0</v>
      </c>
      <c r="O9264">
        <v>0</v>
      </c>
    </row>
    <row r="9265" spans="1:15" x14ac:dyDescent="0.35">
      <c r="A9265" t="s">
        <v>9977</v>
      </c>
      <c r="B9265" t="s">
        <v>174</v>
      </c>
      <c r="C9265" t="s">
        <v>520</v>
      </c>
      <c r="D9265" t="s">
        <v>314</v>
      </c>
      <c r="E9265" t="s">
        <v>308</v>
      </c>
      <c r="F9265" t="s">
        <v>9993</v>
      </c>
      <c r="G9265">
        <v>0</v>
      </c>
      <c r="H9265">
        <v>0</v>
      </c>
      <c r="I9265">
        <v>0</v>
      </c>
      <c r="J9265">
        <v>0</v>
      </c>
      <c r="K9265">
        <v>0</v>
      </c>
      <c r="L9265">
        <v>0</v>
      </c>
      <c r="M9265">
        <v>0</v>
      </c>
      <c r="N9265">
        <v>0</v>
      </c>
      <c r="O9265">
        <v>0</v>
      </c>
    </row>
    <row r="9266" spans="1:15" x14ac:dyDescent="0.35">
      <c r="A9266" t="s">
        <v>9977</v>
      </c>
      <c r="B9266" t="s">
        <v>174</v>
      </c>
      <c r="C9266" t="s">
        <v>520</v>
      </c>
      <c r="D9266" t="s">
        <v>314</v>
      </c>
      <c r="E9266" t="s">
        <v>312</v>
      </c>
      <c r="F9266" t="s">
        <v>9994</v>
      </c>
      <c r="G9266">
        <v>54</v>
      </c>
      <c r="H9266">
        <v>8721.34</v>
      </c>
      <c r="I9266">
        <v>161.51</v>
      </c>
      <c r="J9266">
        <v>0</v>
      </c>
      <c r="K9266">
        <v>0</v>
      </c>
      <c r="L9266">
        <v>0</v>
      </c>
      <c r="M9266">
        <v>54</v>
      </c>
      <c r="N9266">
        <v>8721.34</v>
      </c>
      <c r="O9266">
        <v>161.51</v>
      </c>
    </row>
    <row r="9267" spans="1:15" x14ac:dyDescent="0.35">
      <c r="A9267" t="s">
        <v>9977</v>
      </c>
      <c r="B9267" t="s">
        <v>174</v>
      </c>
      <c r="C9267" t="s">
        <v>520</v>
      </c>
      <c r="D9267" t="s">
        <v>314</v>
      </c>
      <c r="E9267" t="s">
        <v>310</v>
      </c>
      <c r="F9267" t="s">
        <v>9995</v>
      </c>
      <c r="G9267">
        <v>54</v>
      </c>
      <c r="H9267">
        <v>8721.34</v>
      </c>
      <c r="I9267">
        <v>161.51</v>
      </c>
      <c r="J9267">
        <v>0</v>
      </c>
      <c r="K9267">
        <v>0</v>
      </c>
      <c r="L9267">
        <v>0</v>
      </c>
      <c r="M9267">
        <v>54</v>
      </c>
      <c r="N9267">
        <v>8721.34</v>
      </c>
      <c r="O9267">
        <v>161.51</v>
      </c>
    </row>
    <row r="9268" spans="1:15" x14ac:dyDescent="0.35">
      <c r="A9268" t="s">
        <v>9977</v>
      </c>
      <c r="B9268" t="s">
        <v>174</v>
      </c>
      <c r="C9268" t="s">
        <v>520</v>
      </c>
      <c r="D9268" t="s">
        <v>323</v>
      </c>
      <c r="E9268" t="s">
        <v>294</v>
      </c>
      <c r="F9268" t="s">
        <v>9996</v>
      </c>
      <c r="G9268">
        <v>5660</v>
      </c>
      <c r="H9268">
        <v>495722.17000000004</v>
      </c>
      <c r="I9268">
        <v>87.58</v>
      </c>
      <c r="J9268">
        <v>0</v>
      </c>
      <c r="K9268">
        <v>0</v>
      </c>
      <c r="L9268">
        <v>0</v>
      </c>
      <c r="M9268">
        <v>5660</v>
      </c>
      <c r="N9268">
        <v>495722.17000000004</v>
      </c>
      <c r="O9268">
        <v>87.58</v>
      </c>
    </row>
    <row r="9269" spans="1:15" x14ac:dyDescent="0.35">
      <c r="A9269" t="s">
        <v>9977</v>
      </c>
      <c r="B9269" t="s">
        <v>174</v>
      </c>
      <c r="C9269" t="s">
        <v>520</v>
      </c>
      <c r="D9269" t="s">
        <v>323</v>
      </c>
      <c r="E9269" t="s">
        <v>296</v>
      </c>
      <c r="F9269" t="s">
        <v>9997</v>
      </c>
      <c r="G9269">
        <v>5978</v>
      </c>
      <c r="H9269">
        <v>600433.39</v>
      </c>
      <c r="I9269">
        <v>100.44</v>
      </c>
      <c r="J9269">
        <v>0</v>
      </c>
      <c r="K9269">
        <v>0</v>
      </c>
      <c r="L9269">
        <v>0</v>
      </c>
      <c r="M9269">
        <v>5978</v>
      </c>
      <c r="N9269">
        <v>600433.39</v>
      </c>
      <c r="O9269">
        <v>100.44</v>
      </c>
    </row>
    <row r="9270" spans="1:15" x14ac:dyDescent="0.35">
      <c r="A9270" t="s">
        <v>9977</v>
      </c>
      <c r="B9270" t="s">
        <v>174</v>
      </c>
      <c r="C9270" t="s">
        <v>520</v>
      </c>
      <c r="D9270" t="s">
        <v>323</v>
      </c>
      <c r="E9270" t="s">
        <v>298</v>
      </c>
      <c r="F9270" t="s">
        <v>9998</v>
      </c>
      <c r="G9270">
        <v>4524</v>
      </c>
      <c r="H9270">
        <v>516283.08</v>
      </c>
      <c r="I9270">
        <v>114.12</v>
      </c>
      <c r="J9270">
        <v>0</v>
      </c>
      <c r="K9270">
        <v>0</v>
      </c>
      <c r="L9270">
        <v>0</v>
      </c>
      <c r="M9270">
        <v>4524</v>
      </c>
      <c r="N9270">
        <v>516283.08</v>
      </c>
      <c r="O9270">
        <v>114.12</v>
      </c>
    </row>
    <row r="9271" spans="1:15" x14ac:dyDescent="0.35">
      <c r="A9271" t="s">
        <v>9977</v>
      </c>
      <c r="B9271" t="s">
        <v>174</v>
      </c>
      <c r="C9271" t="s">
        <v>520</v>
      </c>
      <c r="D9271" t="s">
        <v>323</v>
      </c>
      <c r="E9271" t="s">
        <v>300</v>
      </c>
      <c r="F9271" t="s">
        <v>9999</v>
      </c>
      <c r="G9271">
        <v>254</v>
      </c>
      <c r="H9271">
        <v>31528.93</v>
      </c>
      <c r="I9271">
        <v>124.13</v>
      </c>
      <c r="J9271">
        <v>0</v>
      </c>
      <c r="K9271">
        <v>0</v>
      </c>
      <c r="L9271">
        <v>0</v>
      </c>
      <c r="M9271">
        <v>254</v>
      </c>
      <c r="N9271">
        <v>31528.93</v>
      </c>
      <c r="O9271">
        <v>124.13</v>
      </c>
    </row>
    <row r="9272" spans="1:15" x14ac:dyDescent="0.35">
      <c r="A9272" t="s">
        <v>9977</v>
      </c>
      <c r="B9272" t="s">
        <v>174</v>
      </c>
      <c r="C9272" t="s">
        <v>520</v>
      </c>
      <c r="D9272" t="s">
        <v>323</v>
      </c>
      <c r="E9272" t="s">
        <v>302</v>
      </c>
      <c r="F9272" t="s">
        <v>10000</v>
      </c>
      <c r="G9272">
        <v>43</v>
      </c>
      <c r="H9272">
        <v>5779.9699999999993</v>
      </c>
      <c r="I9272">
        <v>134.41999999999999</v>
      </c>
      <c r="J9272">
        <v>0</v>
      </c>
      <c r="K9272">
        <v>0</v>
      </c>
      <c r="L9272">
        <v>0</v>
      </c>
      <c r="M9272">
        <v>43</v>
      </c>
      <c r="N9272">
        <v>5779.9699999999993</v>
      </c>
      <c r="O9272">
        <v>134.41999999999999</v>
      </c>
    </row>
    <row r="9273" spans="1:15" x14ac:dyDescent="0.35">
      <c r="A9273" t="s">
        <v>9977</v>
      </c>
      <c r="B9273" t="s">
        <v>174</v>
      </c>
      <c r="C9273" t="s">
        <v>520</v>
      </c>
      <c r="D9273" t="s">
        <v>323</v>
      </c>
      <c r="E9273" t="s">
        <v>304</v>
      </c>
      <c r="F9273" t="s">
        <v>10001</v>
      </c>
      <c r="G9273">
        <v>2</v>
      </c>
      <c r="H9273">
        <v>302.03999999999996</v>
      </c>
      <c r="I9273">
        <v>151.02000000000001</v>
      </c>
      <c r="J9273">
        <v>0</v>
      </c>
      <c r="K9273">
        <v>0</v>
      </c>
      <c r="L9273">
        <v>0</v>
      </c>
      <c r="M9273">
        <v>2</v>
      </c>
      <c r="N9273">
        <v>302.03999999999996</v>
      </c>
      <c r="O9273">
        <v>151.02000000000001</v>
      </c>
    </row>
    <row r="9274" spans="1:15" x14ac:dyDescent="0.35">
      <c r="A9274" t="s">
        <v>9977</v>
      </c>
      <c r="B9274" t="s">
        <v>174</v>
      </c>
      <c r="C9274" t="s">
        <v>520</v>
      </c>
      <c r="D9274" t="s">
        <v>323</v>
      </c>
      <c r="E9274" t="s">
        <v>306</v>
      </c>
      <c r="F9274" t="s">
        <v>10002</v>
      </c>
      <c r="G9274">
        <v>77</v>
      </c>
      <c r="H9274">
        <v>5593.93</v>
      </c>
      <c r="I9274">
        <v>72.650000000000006</v>
      </c>
      <c r="J9274">
        <v>0</v>
      </c>
      <c r="K9274">
        <v>0</v>
      </c>
      <c r="L9274">
        <v>0</v>
      </c>
      <c r="M9274">
        <v>77</v>
      </c>
      <c r="N9274">
        <v>5593.93</v>
      </c>
      <c r="O9274">
        <v>72.650000000000006</v>
      </c>
    </row>
    <row r="9275" spans="1:15" x14ac:dyDescent="0.35">
      <c r="A9275" t="s">
        <v>9977</v>
      </c>
      <c r="B9275" t="s">
        <v>174</v>
      </c>
      <c r="C9275" t="s">
        <v>520</v>
      </c>
      <c r="D9275" t="s">
        <v>323</v>
      </c>
      <c r="E9275" t="s">
        <v>308</v>
      </c>
      <c r="F9275" t="s">
        <v>10003</v>
      </c>
      <c r="G9275">
        <v>0</v>
      </c>
      <c r="H9275">
        <v>0</v>
      </c>
      <c r="I9275">
        <v>0</v>
      </c>
      <c r="J9275">
        <v>0</v>
      </c>
      <c r="K9275">
        <v>0</v>
      </c>
      <c r="L9275">
        <v>0</v>
      </c>
      <c r="M9275">
        <v>0</v>
      </c>
      <c r="N9275">
        <v>0</v>
      </c>
      <c r="O9275">
        <v>0</v>
      </c>
    </row>
    <row r="9276" spans="1:15" x14ac:dyDescent="0.35">
      <c r="A9276" t="s">
        <v>9977</v>
      </c>
      <c r="B9276" t="s">
        <v>174</v>
      </c>
      <c r="C9276" t="s">
        <v>520</v>
      </c>
      <c r="D9276" t="s">
        <v>323</v>
      </c>
      <c r="E9276" t="s">
        <v>310</v>
      </c>
      <c r="F9276" t="s">
        <v>10004</v>
      </c>
      <c r="G9276">
        <v>16538</v>
      </c>
      <c r="H9276">
        <v>1655643.51</v>
      </c>
      <c r="I9276">
        <v>100.11</v>
      </c>
      <c r="J9276">
        <v>0</v>
      </c>
      <c r="K9276">
        <v>0</v>
      </c>
      <c r="L9276">
        <v>0</v>
      </c>
      <c r="M9276">
        <v>16538</v>
      </c>
      <c r="N9276">
        <v>1655643.51</v>
      </c>
      <c r="O9276">
        <v>100.11</v>
      </c>
    </row>
    <row r="9277" spans="1:15" x14ac:dyDescent="0.35">
      <c r="A9277" t="s">
        <v>9977</v>
      </c>
      <c r="B9277" t="s">
        <v>174</v>
      </c>
      <c r="C9277" t="s">
        <v>520</v>
      </c>
      <c r="D9277" t="s">
        <v>323</v>
      </c>
      <c r="E9277" t="s">
        <v>312</v>
      </c>
      <c r="F9277" t="s">
        <v>10005</v>
      </c>
      <c r="G9277">
        <v>16538</v>
      </c>
      <c r="H9277">
        <v>1655643.51</v>
      </c>
      <c r="I9277">
        <v>100.11</v>
      </c>
      <c r="J9277">
        <v>0</v>
      </c>
      <c r="K9277">
        <v>0</v>
      </c>
      <c r="L9277">
        <v>0</v>
      </c>
      <c r="M9277">
        <v>16538</v>
      </c>
      <c r="N9277">
        <v>1655643.51</v>
      </c>
      <c r="O9277">
        <v>100.11</v>
      </c>
    </row>
    <row r="9278" spans="1:15" x14ac:dyDescent="0.35">
      <c r="A9278" t="s">
        <v>9977</v>
      </c>
      <c r="B9278" t="s">
        <v>174</v>
      </c>
      <c r="C9278" t="s">
        <v>520</v>
      </c>
      <c r="D9278" t="s">
        <v>334</v>
      </c>
      <c r="E9278" t="s">
        <v>312</v>
      </c>
      <c r="F9278" t="s">
        <v>10006</v>
      </c>
      <c r="G9278">
        <v>20380</v>
      </c>
      <c r="H9278">
        <v>2024051.76</v>
      </c>
      <c r="I9278">
        <v>104.46</v>
      </c>
      <c r="J9278">
        <v>0</v>
      </c>
      <c r="K9278">
        <v>0</v>
      </c>
      <c r="L9278">
        <v>0</v>
      </c>
      <c r="M9278">
        <v>20380</v>
      </c>
      <c r="N9278">
        <v>2024051.76</v>
      </c>
      <c r="O9278">
        <v>104.46</v>
      </c>
    </row>
    <row r="9279" spans="1:15" x14ac:dyDescent="0.35">
      <c r="A9279" t="s">
        <v>9977</v>
      </c>
      <c r="B9279" t="s">
        <v>174</v>
      </c>
      <c r="C9279" t="s">
        <v>520</v>
      </c>
      <c r="D9279" t="s">
        <v>334</v>
      </c>
      <c r="E9279" t="s">
        <v>308</v>
      </c>
      <c r="F9279" t="s">
        <v>10007</v>
      </c>
      <c r="G9279">
        <v>2</v>
      </c>
      <c r="H9279">
        <v>0</v>
      </c>
      <c r="I9279">
        <v>0</v>
      </c>
      <c r="J9279">
        <v>0</v>
      </c>
      <c r="K9279">
        <v>0</v>
      </c>
      <c r="L9279">
        <v>0</v>
      </c>
      <c r="M9279">
        <v>2</v>
      </c>
      <c r="N9279">
        <v>0</v>
      </c>
      <c r="O9279">
        <v>0</v>
      </c>
    </row>
    <row r="9280" spans="1:15" x14ac:dyDescent="0.35">
      <c r="A9280" t="s">
        <v>9977</v>
      </c>
      <c r="B9280" t="s">
        <v>174</v>
      </c>
      <c r="C9280" t="s">
        <v>520</v>
      </c>
      <c r="D9280" t="s">
        <v>337</v>
      </c>
      <c r="E9280" t="s">
        <v>337</v>
      </c>
      <c r="F9280" t="s">
        <v>10008</v>
      </c>
      <c r="G9280">
        <v>316</v>
      </c>
      <c r="J9280">
        <v>0</v>
      </c>
      <c r="M9280">
        <v>316</v>
      </c>
    </row>
    <row r="9281" spans="1:15" x14ac:dyDescent="0.35">
      <c r="A9281" t="s">
        <v>9977</v>
      </c>
      <c r="B9281" t="s">
        <v>174</v>
      </c>
      <c r="C9281" t="s">
        <v>520</v>
      </c>
      <c r="D9281" t="s">
        <v>339</v>
      </c>
      <c r="E9281" t="s">
        <v>294</v>
      </c>
      <c r="F9281" t="s">
        <v>10009</v>
      </c>
      <c r="G9281">
        <v>1306</v>
      </c>
      <c r="H9281">
        <v>137136.63</v>
      </c>
      <c r="I9281">
        <v>105.01</v>
      </c>
      <c r="J9281">
        <v>0</v>
      </c>
      <c r="K9281">
        <v>0</v>
      </c>
      <c r="L9281">
        <v>0</v>
      </c>
      <c r="M9281">
        <v>1306</v>
      </c>
      <c r="N9281">
        <v>137136.63</v>
      </c>
      <c r="O9281">
        <v>105.01</v>
      </c>
    </row>
    <row r="9282" spans="1:15" x14ac:dyDescent="0.35">
      <c r="A9282" t="s">
        <v>9977</v>
      </c>
      <c r="B9282" t="s">
        <v>174</v>
      </c>
      <c r="C9282" t="s">
        <v>520</v>
      </c>
      <c r="D9282" t="s">
        <v>339</v>
      </c>
      <c r="E9282" t="s">
        <v>296</v>
      </c>
      <c r="F9282" t="s">
        <v>10010</v>
      </c>
      <c r="G9282">
        <v>231</v>
      </c>
      <c r="H9282">
        <v>26839.640000000007</v>
      </c>
      <c r="I9282">
        <v>116.19</v>
      </c>
      <c r="J9282">
        <v>0</v>
      </c>
      <c r="K9282">
        <v>0</v>
      </c>
      <c r="L9282">
        <v>0</v>
      </c>
      <c r="M9282">
        <v>231</v>
      </c>
      <c r="N9282">
        <v>26839.640000000007</v>
      </c>
      <c r="O9282">
        <v>116.19</v>
      </c>
    </row>
    <row r="9283" spans="1:15" x14ac:dyDescent="0.35">
      <c r="A9283" t="s">
        <v>9977</v>
      </c>
      <c r="B9283" t="s">
        <v>174</v>
      </c>
      <c r="C9283" t="s">
        <v>520</v>
      </c>
      <c r="D9283" t="s">
        <v>339</v>
      </c>
      <c r="E9283" t="s">
        <v>298</v>
      </c>
      <c r="F9283" t="s">
        <v>10011</v>
      </c>
      <c r="G9283">
        <v>15</v>
      </c>
      <c r="H9283">
        <v>1712.07</v>
      </c>
      <c r="I9283">
        <v>114.14</v>
      </c>
      <c r="J9283">
        <v>0</v>
      </c>
      <c r="K9283">
        <v>0</v>
      </c>
      <c r="L9283">
        <v>0</v>
      </c>
      <c r="M9283">
        <v>15</v>
      </c>
      <c r="N9283">
        <v>1712.07</v>
      </c>
      <c r="O9283">
        <v>114.14</v>
      </c>
    </row>
    <row r="9284" spans="1:15" x14ac:dyDescent="0.35">
      <c r="A9284" t="s">
        <v>9977</v>
      </c>
      <c r="B9284" t="s">
        <v>174</v>
      </c>
      <c r="C9284" t="s">
        <v>520</v>
      </c>
      <c r="D9284" t="s">
        <v>339</v>
      </c>
      <c r="E9284" t="s">
        <v>300</v>
      </c>
      <c r="F9284" t="s">
        <v>10012</v>
      </c>
      <c r="G9284">
        <v>5</v>
      </c>
      <c r="H9284">
        <v>660.5</v>
      </c>
      <c r="I9284">
        <v>132.1</v>
      </c>
      <c r="J9284">
        <v>0</v>
      </c>
      <c r="K9284">
        <v>0</v>
      </c>
      <c r="L9284">
        <v>0</v>
      </c>
      <c r="M9284">
        <v>5</v>
      </c>
      <c r="N9284">
        <v>660.5</v>
      </c>
      <c r="O9284">
        <v>132.1</v>
      </c>
    </row>
    <row r="9285" spans="1:15" x14ac:dyDescent="0.35">
      <c r="A9285" t="s">
        <v>9977</v>
      </c>
      <c r="B9285" t="s">
        <v>174</v>
      </c>
      <c r="C9285" t="s">
        <v>520</v>
      </c>
      <c r="D9285" t="s">
        <v>339</v>
      </c>
      <c r="E9285" t="s">
        <v>306</v>
      </c>
      <c r="F9285" t="s">
        <v>10013</v>
      </c>
      <c r="G9285">
        <v>362</v>
      </c>
      <c r="H9285">
        <v>29955.370000000003</v>
      </c>
      <c r="I9285">
        <v>82.75</v>
      </c>
      <c r="J9285">
        <v>0</v>
      </c>
      <c r="K9285">
        <v>0</v>
      </c>
      <c r="L9285">
        <v>0</v>
      </c>
      <c r="M9285">
        <v>362</v>
      </c>
      <c r="N9285">
        <v>29955.370000000003</v>
      </c>
      <c r="O9285">
        <v>82.75</v>
      </c>
    </row>
    <row r="9286" spans="1:15" x14ac:dyDescent="0.35">
      <c r="A9286" t="s">
        <v>9977</v>
      </c>
      <c r="B9286" t="s">
        <v>174</v>
      </c>
      <c r="C9286" t="s">
        <v>520</v>
      </c>
      <c r="D9286" t="s">
        <v>339</v>
      </c>
      <c r="E9286" t="s">
        <v>308</v>
      </c>
      <c r="F9286" t="s">
        <v>10014</v>
      </c>
      <c r="G9286">
        <v>122</v>
      </c>
      <c r="H9286">
        <v>17056.66</v>
      </c>
      <c r="I9286">
        <v>139.81</v>
      </c>
      <c r="J9286">
        <v>0</v>
      </c>
      <c r="K9286">
        <v>0</v>
      </c>
      <c r="L9286">
        <v>0</v>
      </c>
      <c r="M9286">
        <v>122</v>
      </c>
      <c r="N9286">
        <v>17056.66</v>
      </c>
      <c r="O9286">
        <v>139.81</v>
      </c>
    </row>
    <row r="9287" spans="1:15" x14ac:dyDescent="0.35">
      <c r="A9287" t="s">
        <v>9977</v>
      </c>
      <c r="B9287" t="s">
        <v>174</v>
      </c>
      <c r="C9287" t="s">
        <v>520</v>
      </c>
      <c r="D9287" t="s">
        <v>339</v>
      </c>
      <c r="E9287" t="s">
        <v>310</v>
      </c>
      <c r="F9287" t="s">
        <v>10015</v>
      </c>
      <c r="G9287">
        <v>2041</v>
      </c>
      <c r="H9287">
        <v>213360.87000000002</v>
      </c>
      <c r="I9287">
        <v>104.54</v>
      </c>
      <c r="J9287">
        <v>0</v>
      </c>
      <c r="K9287">
        <v>0</v>
      </c>
      <c r="L9287">
        <v>0</v>
      </c>
      <c r="M9287">
        <v>2041</v>
      </c>
      <c r="N9287">
        <v>213360.87000000002</v>
      </c>
      <c r="O9287">
        <v>104.54</v>
      </c>
    </row>
    <row r="9288" spans="1:15" x14ac:dyDescent="0.35">
      <c r="A9288" t="s">
        <v>9977</v>
      </c>
      <c r="B9288" t="s">
        <v>174</v>
      </c>
      <c r="C9288" t="s">
        <v>520</v>
      </c>
      <c r="D9288" t="s">
        <v>339</v>
      </c>
      <c r="E9288" t="s">
        <v>312</v>
      </c>
      <c r="F9288" t="s">
        <v>10016</v>
      </c>
      <c r="G9288">
        <v>1919</v>
      </c>
      <c r="H9288">
        <v>196304.21000000002</v>
      </c>
      <c r="I9288">
        <v>102.3</v>
      </c>
      <c r="J9288">
        <v>0</v>
      </c>
      <c r="K9288">
        <v>0</v>
      </c>
      <c r="L9288">
        <v>0</v>
      </c>
      <c r="M9288">
        <v>1919</v>
      </c>
      <c r="N9288">
        <v>196304.21000000002</v>
      </c>
      <c r="O9288">
        <v>102.3</v>
      </c>
    </row>
    <row r="9289" spans="1:15" x14ac:dyDescent="0.35">
      <c r="A9289" t="s">
        <v>9977</v>
      </c>
      <c r="B9289" t="s">
        <v>174</v>
      </c>
      <c r="C9289" t="s">
        <v>520</v>
      </c>
      <c r="D9289" t="s">
        <v>348</v>
      </c>
      <c r="E9289" t="s">
        <v>349</v>
      </c>
      <c r="F9289" t="s">
        <v>10017</v>
      </c>
      <c r="G9289">
        <v>2216</v>
      </c>
      <c r="H9289">
        <v>222082.21000000002</v>
      </c>
      <c r="I9289">
        <v>106.01</v>
      </c>
      <c r="J9289">
        <v>0</v>
      </c>
      <c r="K9289">
        <v>0</v>
      </c>
      <c r="L9289">
        <v>0</v>
      </c>
      <c r="M9289">
        <v>2216</v>
      </c>
      <c r="N9289">
        <v>222082.21000000002</v>
      </c>
      <c r="O9289">
        <v>106.01</v>
      </c>
    </row>
    <row r="9290" spans="1:15" x14ac:dyDescent="0.35">
      <c r="A9290" t="s">
        <v>10018</v>
      </c>
      <c r="B9290" t="s">
        <v>189</v>
      </c>
      <c r="C9290" t="s">
        <v>520</v>
      </c>
      <c r="D9290" t="s">
        <v>293</v>
      </c>
      <c r="E9290" t="s">
        <v>294</v>
      </c>
      <c r="F9290" t="s">
        <v>10019</v>
      </c>
      <c r="G9290">
        <v>334</v>
      </c>
      <c r="H9290">
        <v>42714.159999999989</v>
      </c>
      <c r="I9290">
        <v>127.89</v>
      </c>
      <c r="J9290">
        <v>9</v>
      </c>
      <c r="K9290">
        <v>1335.42</v>
      </c>
      <c r="L9290">
        <v>148.38</v>
      </c>
      <c r="M9290">
        <v>343</v>
      </c>
      <c r="N9290">
        <v>44049.579999999987</v>
      </c>
      <c r="O9290">
        <v>128.41999999999999</v>
      </c>
    </row>
    <row r="9291" spans="1:15" x14ac:dyDescent="0.35">
      <c r="A9291" t="s">
        <v>10018</v>
      </c>
      <c r="B9291" t="s">
        <v>189</v>
      </c>
      <c r="C9291" t="s">
        <v>520</v>
      </c>
      <c r="D9291" t="s">
        <v>293</v>
      </c>
      <c r="E9291" t="s">
        <v>296</v>
      </c>
      <c r="F9291" t="s">
        <v>10020</v>
      </c>
      <c r="G9291">
        <v>966</v>
      </c>
      <c r="H9291">
        <v>143538.01</v>
      </c>
      <c r="I9291">
        <v>148.59</v>
      </c>
      <c r="J9291">
        <v>10</v>
      </c>
      <c r="K9291">
        <v>2184.9</v>
      </c>
      <c r="L9291">
        <v>218.49</v>
      </c>
      <c r="M9291">
        <v>976</v>
      </c>
      <c r="N9291">
        <v>145722.91</v>
      </c>
      <c r="O9291">
        <v>149.31</v>
      </c>
    </row>
    <row r="9292" spans="1:15" x14ac:dyDescent="0.35">
      <c r="A9292" t="s">
        <v>10018</v>
      </c>
      <c r="B9292" t="s">
        <v>189</v>
      </c>
      <c r="C9292" t="s">
        <v>520</v>
      </c>
      <c r="D9292" t="s">
        <v>293</v>
      </c>
      <c r="E9292" t="s">
        <v>298</v>
      </c>
      <c r="F9292" t="s">
        <v>10021</v>
      </c>
      <c r="G9292">
        <v>685</v>
      </c>
      <c r="H9292">
        <v>111457.64</v>
      </c>
      <c r="I9292">
        <v>162.71</v>
      </c>
      <c r="J9292">
        <v>4</v>
      </c>
      <c r="K9292">
        <v>844.6</v>
      </c>
      <c r="L9292">
        <v>211.15</v>
      </c>
      <c r="M9292">
        <v>689</v>
      </c>
      <c r="N9292">
        <v>112302.24</v>
      </c>
      <c r="O9292">
        <v>162.99</v>
      </c>
    </row>
    <row r="9293" spans="1:15" x14ac:dyDescent="0.35">
      <c r="A9293" t="s">
        <v>10018</v>
      </c>
      <c r="B9293" t="s">
        <v>189</v>
      </c>
      <c r="C9293" t="s">
        <v>520</v>
      </c>
      <c r="D9293" t="s">
        <v>293</v>
      </c>
      <c r="E9293" t="s">
        <v>300</v>
      </c>
      <c r="F9293" t="s">
        <v>10022</v>
      </c>
      <c r="G9293">
        <v>36</v>
      </c>
      <c r="H9293">
        <v>6440.83</v>
      </c>
      <c r="I9293">
        <v>178.91</v>
      </c>
      <c r="J9293">
        <v>1</v>
      </c>
      <c r="K9293">
        <v>258.45999999999998</v>
      </c>
      <c r="L9293">
        <v>258.45999999999998</v>
      </c>
      <c r="M9293">
        <v>37</v>
      </c>
      <c r="N9293">
        <v>6699.29</v>
      </c>
      <c r="O9293">
        <v>181.06</v>
      </c>
    </row>
    <row r="9294" spans="1:15" x14ac:dyDescent="0.35">
      <c r="A9294" t="s">
        <v>10018</v>
      </c>
      <c r="B9294" t="s">
        <v>189</v>
      </c>
      <c r="C9294" t="s">
        <v>520</v>
      </c>
      <c r="D9294" t="s">
        <v>293</v>
      </c>
      <c r="E9294" t="s">
        <v>302</v>
      </c>
      <c r="F9294" t="s">
        <v>10023</v>
      </c>
      <c r="G9294">
        <v>8</v>
      </c>
      <c r="H9294">
        <v>1486.75</v>
      </c>
      <c r="I9294">
        <v>185.84</v>
      </c>
      <c r="J9294">
        <v>0</v>
      </c>
      <c r="K9294">
        <v>0</v>
      </c>
      <c r="L9294">
        <v>0</v>
      </c>
      <c r="M9294">
        <v>8</v>
      </c>
      <c r="N9294">
        <v>1486.75</v>
      </c>
      <c r="O9294">
        <v>185.84</v>
      </c>
    </row>
    <row r="9295" spans="1:15" x14ac:dyDescent="0.35">
      <c r="A9295" t="s">
        <v>10018</v>
      </c>
      <c r="B9295" t="s">
        <v>189</v>
      </c>
      <c r="C9295" t="s">
        <v>520</v>
      </c>
      <c r="D9295" t="s">
        <v>293</v>
      </c>
      <c r="E9295" t="s">
        <v>304</v>
      </c>
      <c r="F9295" t="s">
        <v>10024</v>
      </c>
      <c r="G9295">
        <v>0</v>
      </c>
      <c r="H9295">
        <v>0</v>
      </c>
      <c r="I9295">
        <v>0</v>
      </c>
      <c r="J9295">
        <v>0</v>
      </c>
      <c r="K9295">
        <v>0</v>
      </c>
      <c r="L9295">
        <v>0</v>
      </c>
      <c r="M9295">
        <v>0</v>
      </c>
      <c r="N9295">
        <v>0</v>
      </c>
      <c r="O9295">
        <v>0</v>
      </c>
    </row>
    <row r="9296" spans="1:15" x14ac:dyDescent="0.35">
      <c r="A9296" t="s">
        <v>10018</v>
      </c>
      <c r="B9296" t="s">
        <v>189</v>
      </c>
      <c r="C9296" t="s">
        <v>520</v>
      </c>
      <c r="D9296" t="s">
        <v>293</v>
      </c>
      <c r="E9296" t="s">
        <v>306</v>
      </c>
      <c r="F9296" t="s">
        <v>10025</v>
      </c>
      <c r="G9296">
        <v>0</v>
      </c>
      <c r="H9296">
        <v>0</v>
      </c>
      <c r="I9296">
        <v>0</v>
      </c>
      <c r="J9296">
        <v>0</v>
      </c>
      <c r="K9296">
        <v>0</v>
      </c>
      <c r="L9296">
        <v>0</v>
      </c>
      <c r="M9296">
        <v>0</v>
      </c>
      <c r="N9296">
        <v>0</v>
      </c>
      <c r="O9296">
        <v>0</v>
      </c>
    </row>
    <row r="9297" spans="1:15" x14ac:dyDescent="0.35">
      <c r="A9297" t="s">
        <v>10018</v>
      </c>
      <c r="B9297" t="s">
        <v>189</v>
      </c>
      <c r="C9297" t="s">
        <v>520</v>
      </c>
      <c r="D9297" t="s">
        <v>293</v>
      </c>
      <c r="E9297" t="s">
        <v>308</v>
      </c>
      <c r="F9297" t="s">
        <v>10026</v>
      </c>
      <c r="G9297">
        <v>0</v>
      </c>
      <c r="H9297">
        <v>0</v>
      </c>
      <c r="I9297">
        <v>0</v>
      </c>
      <c r="J9297">
        <v>0</v>
      </c>
      <c r="K9297">
        <v>0</v>
      </c>
      <c r="L9297">
        <v>0</v>
      </c>
      <c r="M9297">
        <v>0</v>
      </c>
      <c r="N9297">
        <v>0</v>
      </c>
      <c r="O9297">
        <v>0</v>
      </c>
    </row>
    <row r="9298" spans="1:15" x14ac:dyDescent="0.35">
      <c r="A9298" t="s">
        <v>10018</v>
      </c>
      <c r="B9298" t="s">
        <v>189</v>
      </c>
      <c r="C9298" t="s">
        <v>520</v>
      </c>
      <c r="D9298" t="s">
        <v>293</v>
      </c>
      <c r="E9298" t="s">
        <v>310</v>
      </c>
      <c r="F9298" t="s">
        <v>10027</v>
      </c>
      <c r="G9298">
        <v>2029</v>
      </c>
      <c r="H9298">
        <v>305637.39</v>
      </c>
      <c r="I9298">
        <v>150.63</v>
      </c>
      <c r="J9298">
        <v>24</v>
      </c>
      <c r="K9298">
        <v>4623.38</v>
      </c>
      <c r="L9298">
        <v>192.64</v>
      </c>
      <c r="M9298">
        <v>2053</v>
      </c>
      <c r="N9298">
        <v>310260.77</v>
      </c>
      <c r="O9298">
        <v>151.13</v>
      </c>
    </row>
    <row r="9299" spans="1:15" x14ac:dyDescent="0.35">
      <c r="A9299" t="s">
        <v>10018</v>
      </c>
      <c r="B9299" t="s">
        <v>189</v>
      </c>
      <c r="C9299" t="s">
        <v>520</v>
      </c>
      <c r="D9299" t="s">
        <v>293</v>
      </c>
      <c r="E9299" t="s">
        <v>312</v>
      </c>
      <c r="F9299" t="s">
        <v>10028</v>
      </c>
      <c r="G9299">
        <v>2029</v>
      </c>
      <c r="H9299">
        <v>305637.39</v>
      </c>
      <c r="I9299">
        <v>150.63</v>
      </c>
      <c r="J9299">
        <v>24</v>
      </c>
      <c r="K9299">
        <v>4623.38</v>
      </c>
      <c r="L9299">
        <v>192.64</v>
      </c>
      <c r="M9299">
        <v>2053</v>
      </c>
      <c r="N9299">
        <v>310260.77</v>
      </c>
      <c r="O9299">
        <v>151.13</v>
      </c>
    </row>
    <row r="9300" spans="1:15" x14ac:dyDescent="0.35">
      <c r="A9300" t="s">
        <v>10018</v>
      </c>
      <c r="B9300" t="s">
        <v>189</v>
      </c>
      <c r="C9300" t="s">
        <v>520</v>
      </c>
      <c r="D9300" t="s">
        <v>314</v>
      </c>
      <c r="E9300" t="s">
        <v>294</v>
      </c>
      <c r="F9300" t="s">
        <v>10029</v>
      </c>
      <c r="G9300">
        <v>30</v>
      </c>
      <c r="H9300">
        <v>5553.3</v>
      </c>
      <c r="I9300">
        <v>185.11</v>
      </c>
      <c r="J9300">
        <v>0</v>
      </c>
      <c r="K9300">
        <v>0</v>
      </c>
      <c r="L9300">
        <v>0</v>
      </c>
      <c r="M9300">
        <v>30</v>
      </c>
      <c r="N9300">
        <v>5553.3</v>
      </c>
      <c r="O9300">
        <v>185.11</v>
      </c>
    </row>
    <row r="9301" spans="1:15" x14ac:dyDescent="0.35">
      <c r="A9301" t="s">
        <v>10018</v>
      </c>
      <c r="B9301" t="s">
        <v>189</v>
      </c>
      <c r="C9301" t="s">
        <v>520</v>
      </c>
      <c r="D9301" t="s">
        <v>314</v>
      </c>
      <c r="E9301" t="s">
        <v>296</v>
      </c>
      <c r="F9301" t="s">
        <v>10030</v>
      </c>
      <c r="G9301">
        <v>90</v>
      </c>
      <c r="H9301">
        <v>20310.3</v>
      </c>
      <c r="I9301">
        <v>225.67</v>
      </c>
      <c r="J9301">
        <v>0</v>
      </c>
      <c r="K9301">
        <v>0</v>
      </c>
      <c r="L9301">
        <v>0</v>
      </c>
      <c r="M9301">
        <v>90</v>
      </c>
      <c r="N9301">
        <v>20310.3</v>
      </c>
      <c r="O9301">
        <v>225.67</v>
      </c>
    </row>
    <row r="9302" spans="1:15" x14ac:dyDescent="0.35">
      <c r="A9302" t="s">
        <v>10018</v>
      </c>
      <c r="B9302" t="s">
        <v>189</v>
      </c>
      <c r="C9302" t="s">
        <v>520</v>
      </c>
      <c r="D9302" t="s">
        <v>314</v>
      </c>
      <c r="E9302" t="s">
        <v>298</v>
      </c>
      <c r="F9302" t="s">
        <v>10031</v>
      </c>
      <c r="G9302">
        <v>0</v>
      </c>
      <c r="H9302">
        <v>0</v>
      </c>
      <c r="I9302">
        <v>0</v>
      </c>
      <c r="J9302">
        <v>0</v>
      </c>
      <c r="K9302">
        <v>0</v>
      </c>
      <c r="L9302">
        <v>0</v>
      </c>
      <c r="M9302">
        <v>0</v>
      </c>
      <c r="N9302">
        <v>0</v>
      </c>
      <c r="O9302">
        <v>0</v>
      </c>
    </row>
    <row r="9303" spans="1:15" x14ac:dyDescent="0.35">
      <c r="A9303" t="s">
        <v>10018</v>
      </c>
      <c r="B9303" t="s">
        <v>189</v>
      </c>
      <c r="C9303" t="s">
        <v>520</v>
      </c>
      <c r="D9303" t="s">
        <v>314</v>
      </c>
      <c r="E9303" t="s">
        <v>300</v>
      </c>
      <c r="F9303" t="s">
        <v>10032</v>
      </c>
      <c r="G9303">
        <v>0</v>
      </c>
      <c r="H9303">
        <v>0</v>
      </c>
      <c r="I9303">
        <v>0</v>
      </c>
      <c r="J9303">
        <v>0</v>
      </c>
      <c r="K9303">
        <v>0</v>
      </c>
      <c r="L9303">
        <v>0</v>
      </c>
      <c r="M9303">
        <v>0</v>
      </c>
      <c r="N9303">
        <v>0</v>
      </c>
      <c r="O9303">
        <v>0</v>
      </c>
    </row>
    <row r="9304" spans="1:15" x14ac:dyDescent="0.35">
      <c r="A9304" t="s">
        <v>10018</v>
      </c>
      <c r="B9304" t="s">
        <v>189</v>
      </c>
      <c r="C9304" t="s">
        <v>520</v>
      </c>
      <c r="D9304" t="s">
        <v>314</v>
      </c>
      <c r="E9304" t="s">
        <v>306</v>
      </c>
      <c r="F9304" t="s">
        <v>10033</v>
      </c>
      <c r="G9304">
        <v>0</v>
      </c>
      <c r="H9304">
        <v>0</v>
      </c>
      <c r="I9304">
        <v>0</v>
      </c>
      <c r="J9304">
        <v>0</v>
      </c>
      <c r="K9304">
        <v>0</v>
      </c>
      <c r="L9304">
        <v>0</v>
      </c>
      <c r="M9304">
        <v>0</v>
      </c>
      <c r="N9304">
        <v>0</v>
      </c>
      <c r="O9304">
        <v>0</v>
      </c>
    </row>
    <row r="9305" spans="1:15" x14ac:dyDescent="0.35">
      <c r="A9305" t="s">
        <v>10018</v>
      </c>
      <c r="B9305" t="s">
        <v>189</v>
      </c>
      <c r="C9305" t="s">
        <v>520</v>
      </c>
      <c r="D9305" t="s">
        <v>314</v>
      </c>
      <c r="E9305" t="s">
        <v>308</v>
      </c>
      <c r="F9305" t="s">
        <v>10034</v>
      </c>
      <c r="G9305">
        <v>0</v>
      </c>
      <c r="H9305">
        <v>0</v>
      </c>
      <c r="I9305">
        <v>0</v>
      </c>
      <c r="J9305">
        <v>0</v>
      </c>
      <c r="K9305">
        <v>0</v>
      </c>
      <c r="L9305">
        <v>0</v>
      </c>
      <c r="M9305">
        <v>0</v>
      </c>
      <c r="N9305">
        <v>0</v>
      </c>
      <c r="O9305">
        <v>0</v>
      </c>
    </row>
    <row r="9306" spans="1:15" x14ac:dyDescent="0.35">
      <c r="A9306" t="s">
        <v>10018</v>
      </c>
      <c r="B9306" t="s">
        <v>189</v>
      </c>
      <c r="C9306" t="s">
        <v>520</v>
      </c>
      <c r="D9306" t="s">
        <v>314</v>
      </c>
      <c r="E9306" t="s">
        <v>312</v>
      </c>
      <c r="F9306" t="s">
        <v>10035</v>
      </c>
      <c r="G9306">
        <v>120</v>
      </c>
      <c r="H9306">
        <v>25863.599999999999</v>
      </c>
      <c r="I9306">
        <v>215.53</v>
      </c>
      <c r="J9306">
        <v>0</v>
      </c>
      <c r="K9306">
        <v>0</v>
      </c>
      <c r="L9306">
        <v>0</v>
      </c>
      <c r="M9306">
        <v>120</v>
      </c>
      <c r="N9306">
        <v>25863.599999999999</v>
      </c>
      <c r="O9306">
        <v>215.53</v>
      </c>
    </row>
    <row r="9307" spans="1:15" x14ac:dyDescent="0.35">
      <c r="A9307" t="s">
        <v>10018</v>
      </c>
      <c r="B9307" t="s">
        <v>189</v>
      </c>
      <c r="C9307" t="s">
        <v>520</v>
      </c>
      <c r="D9307" t="s">
        <v>314</v>
      </c>
      <c r="E9307" t="s">
        <v>310</v>
      </c>
      <c r="F9307" t="s">
        <v>10036</v>
      </c>
      <c r="G9307">
        <v>120</v>
      </c>
      <c r="H9307">
        <v>25863.599999999999</v>
      </c>
      <c r="I9307">
        <v>215.53</v>
      </c>
      <c r="J9307">
        <v>0</v>
      </c>
      <c r="K9307">
        <v>0</v>
      </c>
      <c r="L9307">
        <v>0</v>
      </c>
      <c r="M9307">
        <v>120</v>
      </c>
      <c r="N9307">
        <v>25863.599999999999</v>
      </c>
      <c r="O9307">
        <v>215.53</v>
      </c>
    </row>
    <row r="9308" spans="1:15" x14ac:dyDescent="0.35">
      <c r="A9308" t="s">
        <v>10018</v>
      </c>
      <c r="B9308" t="s">
        <v>189</v>
      </c>
      <c r="C9308" t="s">
        <v>520</v>
      </c>
      <c r="D9308" t="s">
        <v>323</v>
      </c>
      <c r="E9308" t="s">
        <v>294</v>
      </c>
      <c r="F9308" t="s">
        <v>10037</v>
      </c>
      <c r="G9308">
        <v>2045</v>
      </c>
      <c r="H9308">
        <v>191013.14</v>
      </c>
      <c r="I9308">
        <v>93.4</v>
      </c>
      <c r="J9308">
        <v>0</v>
      </c>
      <c r="K9308">
        <v>0</v>
      </c>
      <c r="L9308">
        <v>0</v>
      </c>
      <c r="M9308">
        <v>2045</v>
      </c>
      <c r="N9308">
        <v>191013.14</v>
      </c>
      <c r="O9308">
        <v>93.4</v>
      </c>
    </row>
    <row r="9309" spans="1:15" x14ac:dyDescent="0.35">
      <c r="A9309" t="s">
        <v>10018</v>
      </c>
      <c r="B9309" t="s">
        <v>189</v>
      </c>
      <c r="C9309" t="s">
        <v>520</v>
      </c>
      <c r="D9309" t="s">
        <v>323</v>
      </c>
      <c r="E9309" t="s">
        <v>296</v>
      </c>
      <c r="F9309" t="s">
        <v>10038</v>
      </c>
      <c r="G9309">
        <v>3828</v>
      </c>
      <c r="H9309">
        <v>405107.64999999997</v>
      </c>
      <c r="I9309">
        <v>105.83</v>
      </c>
      <c r="J9309">
        <v>0</v>
      </c>
      <c r="K9309">
        <v>0</v>
      </c>
      <c r="L9309">
        <v>0</v>
      </c>
      <c r="M9309">
        <v>3828</v>
      </c>
      <c r="N9309">
        <v>405107.64999999997</v>
      </c>
      <c r="O9309">
        <v>105.83</v>
      </c>
    </row>
    <row r="9310" spans="1:15" x14ac:dyDescent="0.35">
      <c r="A9310" t="s">
        <v>10018</v>
      </c>
      <c r="B9310" t="s">
        <v>189</v>
      </c>
      <c r="C9310" t="s">
        <v>520</v>
      </c>
      <c r="D9310" t="s">
        <v>323</v>
      </c>
      <c r="E9310" t="s">
        <v>298</v>
      </c>
      <c r="F9310" t="s">
        <v>10039</v>
      </c>
      <c r="G9310">
        <v>3488</v>
      </c>
      <c r="H9310">
        <v>414764.87</v>
      </c>
      <c r="I9310">
        <v>118.91</v>
      </c>
      <c r="J9310">
        <v>0</v>
      </c>
      <c r="K9310">
        <v>0</v>
      </c>
      <c r="L9310">
        <v>0</v>
      </c>
      <c r="M9310">
        <v>3488</v>
      </c>
      <c r="N9310">
        <v>414764.87</v>
      </c>
      <c r="O9310">
        <v>118.91</v>
      </c>
    </row>
    <row r="9311" spans="1:15" x14ac:dyDescent="0.35">
      <c r="A9311" t="s">
        <v>10018</v>
      </c>
      <c r="B9311" t="s">
        <v>189</v>
      </c>
      <c r="C9311" t="s">
        <v>520</v>
      </c>
      <c r="D9311" t="s">
        <v>323</v>
      </c>
      <c r="E9311" t="s">
        <v>300</v>
      </c>
      <c r="F9311" t="s">
        <v>10040</v>
      </c>
      <c r="G9311">
        <v>301</v>
      </c>
      <c r="H9311">
        <v>37725.060000000005</v>
      </c>
      <c r="I9311">
        <v>125.33</v>
      </c>
      <c r="J9311">
        <v>0</v>
      </c>
      <c r="K9311">
        <v>0</v>
      </c>
      <c r="L9311">
        <v>0</v>
      </c>
      <c r="M9311">
        <v>301</v>
      </c>
      <c r="N9311">
        <v>37725.060000000005</v>
      </c>
      <c r="O9311">
        <v>125.33</v>
      </c>
    </row>
    <row r="9312" spans="1:15" x14ac:dyDescent="0.35">
      <c r="A9312" t="s">
        <v>10018</v>
      </c>
      <c r="B9312" t="s">
        <v>189</v>
      </c>
      <c r="C9312" t="s">
        <v>520</v>
      </c>
      <c r="D9312" t="s">
        <v>323</v>
      </c>
      <c r="E9312" t="s">
        <v>302</v>
      </c>
      <c r="F9312" t="s">
        <v>10041</v>
      </c>
      <c r="G9312">
        <v>53</v>
      </c>
      <c r="H9312">
        <v>7024.25</v>
      </c>
      <c r="I9312">
        <v>132.53</v>
      </c>
      <c r="J9312">
        <v>0</v>
      </c>
      <c r="K9312">
        <v>0</v>
      </c>
      <c r="L9312">
        <v>0</v>
      </c>
      <c r="M9312">
        <v>53</v>
      </c>
      <c r="N9312">
        <v>7024.25</v>
      </c>
      <c r="O9312">
        <v>132.53</v>
      </c>
    </row>
    <row r="9313" spans="1:15" x14ac:dyDescent="0.35">
      <c r="A9313" t="s">
        <v>10018</v>
      </c>
      <c r="B9313" t="s">
        <v>189</v>
      </c>
      <c r="C9313" t="s">
        <v>520</v>
      </c>
      <c r="D9313" t="s">
        <v>323</v>
      </c>
      <c r="E9313" t="s">
        <v>304</v>
      </c>
      <c r="F9313" t="s">
        <v>10042</v>
      </c>
      <c r="G9313">
        <v>22</v>
      </c>
      <c r="H9313">
        <v>3092.22</v>
      </c>
      <c r="I9313">
        <v>140.56</v>
      </c>
      <c r="J9313">
        <v>0</v>
      </c>
      <c r="K9313">
        <v>0</v>
      </c>
      <c r="L9313">
        <v>0</v>
      </c>
      <c r="M9313">
        <v>22</v>
      </c>
      <c r="N9313">
        <v>3092.22</v>
      </c>
      <c r="O9313">
        <v>140.56</v>
      </c>
    </row>
    <row r="9314" spans="1:15" x14ac:dyDescent="0.35">
      <c r="A9314" t="s">
        <v>10018</v>
      </c>
      <c r="B9314" t="s">
        <v>189</v>
      </c>
      <c r="C9314" t="s">
        <v>520</v>
      </c>
      <c r="D9314" t="s">
        <v>323</v>
      </c>
      <c r="E9314" t="s">
        <v>306</v>
      </c>
      <c r="F9314" t="s">
        <v>10043</v>
      </c>
      <c r="G9314">
        <v>36</v>
      </c>
      <c r="H9314">
        <v>2968.31</v>
      </c>
      <c r="I9314">
        <v>82.45</v>
      </c>
      <c r="J9314">
        <v>0</v>
      </c>
      <c r="K9314">
        <v>0</v>
      </c>
      <c r="L9314">
        <v>0</v>
      </c>
      <c r="M9314">
        <v>36</v>
      </c>
      <c r="N9314">
        <v>2968.31</v>
      </c>
      <c r="O9314">
        <v>82.45</v>
      </c>
    </row>
    <row r="9315" spans="1:15" x14ac:dyDescent="0.35">
      <c r="A9315" t="s">
        <v>10018</v>
      </c>
      <c r="B9315" t="s">
        <v>189</v>
      </c>
      <c r="C9315" t="s">
        <v>520</v>
      </c>
      <c r="D9315" t="s">
        <v>323</v>
      </c>
      <c r="E9315" t="s">
        <v>308</v>
      </c>
      <c r="F9315" t="s">
        <v>10044</v>
      </c>
      <c r="G9315">
        <v>0</v>
      </c>
      <c r="H9315">
        <v>0</v>
      </c>
      <c r="I9315">
        <v>0</v>
      </c>
      <c r="J9315">
        <v>0</v>
      </c>
      <c r="K9315">
        <v>0</v>
      </c>
      <c r="L9315">
        <v>0</v>
      </c>
      <c r="M9315">
        <v>0</v>
      </c>
      <c r="N9315">
        <v>0</v>
      </c>
      <c r="O9315">
        <v>0</v>
      </c>
    </row>
    <row r="9316" spans="1:15" x14ac:dyDescent="0.35">
      <c r="A9316" t="s">
        <v>10018</v>
      </c>
      <c r="B9316" t="s">
        <v>189</v>
      </c>
      <c r="C9316" t="s">
        <v>520</v>
      </c>
      <c r="D9316" t="s">
        <v>323</v>
      </c>
      <c r="E9316" t="s">
        <v>310</v>
      </c>
      <c r="F9316" t="s">
        <v>10045</v>
      </c>
      <c r="G9316">
        <v>9773</v>
      </c>
      <c r="H9316">
        <v>1061695.5</v>
      </c>
      <c r="I9316">
        <v>108.64</v>
      </c>
      <c r="J9316">
        <v>0</v>
      </c>
      <c r="K9316">
        <v>0</v>
      </c>
      <c r="L9316">
        <v>0</v>
      </c>
      <c r="M9316">
        <v>9773</v>
      </c>
      <c r="N9316">
        <v>1061695.5</v>
      </c>
      <c r="O9316">
        <v>108.64</v>
      </c>
    </row>
    <row r="9317" spans="1:15" x14ac:dyDescent="0.35">
      <c r="A9317" t="s">
        <v>10018</v>
      </c>
      <c r="B9317" t="s">
        <v>189</v>
      </c>
      <c r="C9317" t="s">
        <v>520</v>
      </c>
      <c r="D9317" t="s">
        <v>323</v>
      </c>
      <c r="E9317" t="s">
        <v>312</v>
      </c>
      <c r="F9317" t="s">
        <v>10046</v>
      </c>
      <c r="G9317">
        <v>9773</v>
      </c>
      <c r="H9317">
        <v>1061695.5</v>
      </c>
      <c r="I9317">
        <v>108.64</v>
      </c>
      <c r="J9317">
        <v>0</v>
      </c>
      <c r="K9317">
        <v>0</v>
      </c>
      <c r="L9317">
        <v>0</v>
      </c>
      <c r="M9317">
        <v>9773</v>
      </c>
      <c r="N9317">
        <v>1061695.5</v>
      </c>
      <c r="O9317">
        <v>108.64</v>
      </c>
    </row>
    <row r="9318" spans="1:15" x14ac:dyDescent="0.35">
      <c r="A9318" t="s">
        <v>10018</v>
      </c>
      <c r="B9318" t="s">
        <v>189</v>
      </c>
      <c r="C9318" t="s">
        <v>520</v>
      </c>
      <c r="D9318" t="s">
        <v>334</v>
      </c>
      <c r="E9318" t="s">
        <v>312</v>
      </c>
      <c r="F9318" t="s">
        <v>10047</v>
      </c>
      <c r="G9318">
        <v>11882</v>
      </c>
      <c r="H9318">
        <v>1367332.89</v>
      </c>
      <c r="I9318">
        <v>115.86</v>
      </c>
      <c r="J9318">
        <v>24</v>
      </c>
      <c r="K9318">
        <v>4623.38</v>
      </c>
      <c r="L9318">
        <v>192.64</v>
      </c>
      <c r="M9318">
        <v>11906</v>
      </c>
      <c r="N9318">
        <v>1371956.2699999998</v>
      </c>
      <c r="O9318">
        <v>116.01</v>
      </c>
    </row>
    <row r="9319" spans="1:15" x14ac:dyDescent="0.35">
      <c r="A9319" t="s">
        <v>10018</v>
      </c>
      <c r="B9319" t="s">
        <v>189</v>
      </c>
      <c r="C9319" t="s">
        <v>520</v>
      </c>
      <c r="D9319" t="s">
        <v>334</v>
      </c>
      <c r="E9319" t="s">
        <v>308</v>
      </c>
      <c r="F9319" t="s">
        <v>10048</v>
      </c>
      <c r="G9319">
        <v>0</v>
      </c>
      <c r="H9319">
        <v>0</v>
      </c>
      <c r="I9319">
        <v>0</v>
      </c>
      <c r="J9319">
        <v>0</v>
      </c>
      <c r="K9319">
        <v>0</v>
      </c>
      <c r="L9319">
        <v>0</v>
      </c>
      <c r="M9319">
        <v>0</v>
      </c>
      <c r="N9319">
        <v>0</v>
      </c>
      <c r="O9319">
        <v>0</v>
      </c>
    </row>
    <row r="9320" spans="1:15" x14ac:dyDescent="0.35">
      <c r="A9320" t="s">
        <v>10018</v>
      </c>
      <c r="B9320" t="s">
        <v>189</v>
      </c>
      <c r="C9320" t="s">
        <v>520</v>
      </c>
      <c r="D9320" t="s">
        <v>337</v>
      </c>
      <c r="E9320" t="s">
        <v>337</v>
      </c>
      <c r="F9320" t="s">
        <v>10049</v>
      </c>
      <c r="G9320">
        <v>838</v>
      </c>
      <c r="J9320">
        <v>0</v>
      </c>
      <c r="M9320">
        <v>838</v>
      </c>
    </row>
    <row r="9321" spans="1:15" x14ac:dyDescent="0.35">
      <c r="A9321" t="s">
        <v>10018</v>
      </c>
      <c r="B9321" t="s">
        <v>189</v>
      </c>
      <c r="C9321" t="s">
        <v>520</v>
      </c>
      <c r="D9321" t="s">
        <v>339</v>
      </c>
      <c r="E9321" t="s">
        <v>294</v>
      </c>
      <c r="F9321" t="s">
        <v>10050</v>
      </c>
      <c r="G9321">
        <v>2663</v>
      </c>
      <c r="H9321">
        <v>291007.56</v>
      </c>
      <c r="I9321">
        <v>109.28</v>
      </c>
      <c r="J9321">
        <v>0</v>
      </c>
      <c r="K9321">
        <v>0</v>
      </c>
      <c r="L9321">
        <v>0</v>
      </c>
      <c r="M9321">
        <v>2663</v>
      </c>
      <c r="N9321">
        <v>291007.56</v>
      </c>
      <c r="O9321">
        <v>109.28</v>
      </c>
    </row>
    <row r="9322" spans="1:15" x14ac:dyDescent="0.35">
      <c r="A9322" t="s">
        <v>10018</v>
      </c>
      <c r="B9322" t="s">
        <v>189</v>
      </c>
      <c r="C9322" t="s">
        <v>520</v>
      </c>
      <c r="D9322" t="s">
        <v>339</v>
      </c>
      <c r="E9322" t="s">
        <v>296</v>
      </c>
      <c r="F9322" t="s">
        <v>10051</v>
      </c>
      <c r="G9322">
        <v>564</v>
      </c>
      <c r="H9322">
        <v>67459.17</v>
      </c>
      <c r="I9322">
        <v>119.61</v>
      </c>
      <c r="J9322">
        <v>0</v>
      </c>
      <c r="K9322">
        <v>0</v>
      </c>
      <c r="L9322">
        <v>0</v>
      </c>
      <c r="M9322">
        <v>564</v>
      </c>
      <c r="N9322">
        <v>67459.17</v>
      </c>
      <c r="O9322">
        <v>119.61</v>
      </c>
    </row>
    <row r="9323" spans="1:15" x14ac:dyDescent="0.35">
      <c r="A9323" t="s">
        <v>10018</v>
      </c>
      <c r="B9323" t="s">
        <v>189</v>
      </c>
      <c r="C9323" t="s">
        <v>520</v>
      </c>
      <c r="D9323" t="s">
        <v>339</v>
      </c>
      <c r="E9323" t="s">
        <v>298</v>
      </c>
      <c r="F9323" t="s">
        <v>10052</v>
      </c>
      <c r="G9323">
        <v>14</v>
      </c>
      <c r="H9323">
        <v>1773.6299999999997</v>
      </c>
      <c r="I9323">
        <v>126.69</v>
      </c>
      <c r="J9323">
        <v>0</v>
      </c>
      <c r="K9323">
        <v>0</v>
      </c>
      <c r="L9323">
        <v>0</v>
      </c>
      <c r="M9323">
        <v>14</v>
      </c>
      <c r="N9323">
        <v>1773.6299999999997</v>
      </c>
      <c r="O9323">
        <v>126.69</v>
      </c>
    </row>
    <row r="9324" spans="1:15" x14ac:dyDescent="0.35">
      <c r="A9324" t="s">
        <v>10018</v>
      </c>
      <c r="B9324" t="s">
        <v>189</v>
      </c>
      <c r="C9324" t="s">
        <v>520</v>
      </c>
      <c r="D9324" t="s">
        <v>339</v>
      </c>
      <c r="E9324" t="s">
        <v>300</v>
      </c>
      <c r="F9324" t="s">
        <v>10053</v>
      </c>
      <c r="G9324">
        <v>0</v>
      </c>
      <c r="H9324">
        <v>0</v>
      </c>
      <c r="I9324">
        <v>0</v>
      </c>
      <c r="J9324">
        <v>0</v>
      </c>
      <c r="K9324">
        <v>0</v>
      </c>
      <c r="L9324">
        <v>0</v>
      </c>
      <c r="M9324">
        <v>0</v>
      </c>
      <c r="N9324">
        <v>0</v>
      </c>
      <c r="O9324">
        <v>0</v>
      </c>
    </row>
    <row r="9325" spans="1:15" x14ac:dyDescent="0.35">
      <c r="A9325" t="s">
        <v>10018</v>
      </c>
      <c r="B9325" t="s">
        <v>189</v>
      </c>
      <c r="C9325" t="s">
        <v>520</v>
      </c>
      <c r="D9325" t="s">
        <v>339</v>
      </c>
      <c r="E9325" t="s">
        <v>306</v>
      </c>
      <c r="F9325" t="s">
        <v>10054</v>
      </c>
      <c r="G9325">
        <v>159</v>
      </c>
      <c r="H9325">
        <v>13007.54</v>
      </c>
      <c r="I9325">
        <v>81.81</v>
      </c>
      <c r="J9325">
        <v>0</v>
      </c>
      <c r="K9325">
        <v>0</v>
      </c>
      <c r="L9325">
        <v>0</v>
      </c>
      <c r="M9325">
        <v>159</v>
      </c>
      <c r="N9325">
        <v>13007.54</v>
      </c>
      <c r="O9325">
        <v>81.81</v>
      </c>
    </row>
    <row r="9326" spans="1:15" x14ac:dyDescent="0.35">
      <c r="A9326" t="s">
        <v>10018</v>
      </c>
      <c r="B9326" t="s">
        <v>189</v>
      </c>
      <c r="C9326" t="s">
        <v>520</v>
      </c>
      <c r="D9326" t="s">
        <v>339</v>
      </c>
      <c r="E9326" t="s">
        <v>308</v>
      </c>
      <c r="F9326" t="s">
        <v>10055</v>
      </c>
      <c r="G9326">
        <v>190</v>
      </c>
      <c r="H9326">
        <v>34039.760000000002</v>
      </c>
      <c r="I9326">
        <v>179.16</v>
      </c>
      <c r="J9326">
        <v>0</v>
      </c>
      <c r="K9326">
        <v>0</v>
      </c>
      <c r="L9326">
        <v>0</v>
      </c>
      <c r="M9326">
        <v>190</v>
      </c>
      <c r="N9326">
        <v>34039.760000000002</v>
      </c>
      <c r="O9326">
        <v>179.16</v>
      </c>
    </row>
    <row r="9327" spans="1:15" x14ac:dyDescent="0.35">
      <c r="A9327" t="s">
        <v>10018</v>
      </c>
      <c r="B9327" t="s">
        <v>189</v>
      </c>
      <c r="C9327" t="s">
        <v>520</v>
      </c>
      <c r="D9327" t="s">
        <v>339</v>
      </c>
      <c r="E9327" t="s">
        <v>310</v>
      </c>
      <c r="F9327" t="s">
        <v>10056</v>
      </c>
      <c r="G9327">
        <v>3590</v>
      </c>
      <c r="H9327">
        <v>407287.66</v>
      </c>
      <c r="I9327">
        <v>113.45</v>
      </c>
      <c r="J9327">
        <v>0</v>
      </c>
      <c r="K9327">
        <v>0</v>
      </c>
      <c r="L9327">
        <v>0</v>
      </c>
      <c r="M9327">
        <v>3590</v>
      </c>
      <c r="N9327">
        <v>407287.66</v>
      </c>
      <c r="O9327">
        <v>113.45</v>
      </c>
    </row>
    <row r="9328" spans="1:15" x14ac:dyDescent="0.35">
      <c r="A9328" t="s">
        <v>10018</v>
      </c>
      <c r="B9328" t="s">
        <v>189</v>
      </c>
      <c r="C9328" t="s">
        <v>520</v>
      </c>
      <c r="D9328" t="s">
        <v>339</v>
      </c>
      <c r="E9328" t="s">
        <v>312</v>
      </c>
      <c r="F9328" t="s">
        <v>10057</v>
      </c>
      <c r="G9328">
        <v>3400</v>
      </c>
      <c r="H9328">
        <v>373247.89999999997</v>
      </c>
      <c r="I9328">
        <v>109.78</v>
      </c>
      <c r="J9328">
        <v>0</v>
      </c>
      <c r="K9328">
        <v>0</v>
      </c>
      <c r="L9328">
        <v>0</v>
      </c>
      <c r="M9328">
        <v>3400</v>
      </c>
      <c r="N9328">
        <v>373247.89999999997</v>
      </c>
      <c r="O9328">
        <v>109.78</v>
      </c>
    </row>
    <row r="9329" spans="1:15" x14ac:dyDescent="0.35">
      <c r="A9329" t="s">
        <v>10018</v>
      </c>
      <c r="B9329" t="s">
        <v>189</v>
      </c>
      <c r="C9329" t="s">
        <v>520</v>
      </c>
      <c r="D9329" t="s">
        <v>348</v>
      </c>
      <c r="E9329" t="s">
        <v>349</v>
      </c>
      <c r="F9329" t="s">
        <v>10058</v>
      </c>
      <c r="G9329">
        <v>3767</v>
      </c>
      <c r="H9329">
        <v>433151.25999999995</v>
      </c>
      <c r="I9329">
        <v>116.75</v>
      </c>
      <c r="J9329">
        <v>0</v>
      </c>
      <c r="K9329">
        <v>0</v>
      </c>
      <c r="L9329">
        <v>0</v>
      </c>
      <c r="M9329">
        <v>3767</v>
      </c>
      <c r="N9329">
        <v>433151.25999999995</v>
      </c>
      <c r="O9329">
        <v>116.75</v>
      </c>
    </row>
    <row r="9330" spans="1:15" x14ac:dyDescent="0.35">
      <c r="A9330" t="s">
        <v>10059</v>
      </c>
      <c r="B9330" t="s">
        <v>212</v>
      </c>
      <c r="C9330" t="s">
        <v>520</v>
      </c>
      <c r="D9330" t="s">
        <v>293</v>
      </c>
      <c r="E9330" t="s">
        <v>294</v>
      </c>
      <c r="F9330" t="s">
        <v>10060</v>
      </c>
      <c r="G9330">
        <v>189</v>
      </c>
      <c r="H9330">
        <v>18313.710000000003</v>
      </c>
      <c r="I9330">
        <v>96.9</v>
      </c>
      <c r="J9330">
        <v>126</v>
      </c>
      <c r="K9330">
        <v>16686.18</v>
      </c>
      <c r="L9330">
        <v>132.43</v>
      </c>
      <c r="M9330">
        <v>315</v>
      </c>
      <c r="N9330">
        <v>34999.89</v>
      </c>
      <c r="O9330">
        <v>111.11</v>
      </c>
    </row>
    <row r="9331" spans="1:15" x14ac:dyDescent="0.35">
      <c r="A9331" t="s">
        <v>10059</v>
      </c>
      <c r="B9331" t="s">
        <v>212</v>
      </c>
      <c r="C9331" t="s">
        <v>520</v>
      </c>
      <c r="D9331" t="s">
        <v>293</v>
      </c>
      <c r="E9331" t="s">
        <v>296</v>
      </c>
      <c r="F9331" t="s">
        <v>10061</v>
      </c>
      <c r="G9331">
        <v>615</v>
      </c>
      <c r="H9331">
        <v>76390.86</v>
      </c>
      <c r="I9331">
        <v>124.21</v>
      </c>
      <c r="J9331">
        <v>362</v>
      </c>
      <c r="K9331">
        <v>45742.32</v>
      </c>
      <c r="L9331">
        <v>126.36</v>
      </c>
      <c r="M9331">
        <v>977</v>
      </c>
      <c r="N9331">
        <v>122133.18</v>
      </c>
      <c r="O9331">
        <v>125.01</v>
      </c>
    </row>
    <row r="9332" spans="1:15" x14ac:dyDescent="0.35">
      <c r="A9332" t="s">
        <v>10059</v>
      </c>
      <c r="B9332" t="s">
        <v>212</v>
      </c>
      <c r="C9332" t="s">
        <v>520</v>
      </c>
      <c r="D9332" t="s">
        <v>293</v>
      </c>
      <c r="E9332" t="s">
        <v>298</v>
      </c>
      <c r="F9332" t="s">
        <v>10062</v>
      </c>
      <c r="G9332">
        <v>471</v>
      </c>
      <c r="H9332">
        <v>71226.640000000014</v>
      </c>
      <c r="I9332">
        <v>151.22</v>
      </c>
      <c r="J9332">
        <v>325</v>
      </c>
      <c r="K9332">
        <v>41807.999999999993</v>
      </c>
      <c r="L9332">
        <v>128.63999999999999</v>
      </c>
      <c r="M9332">
        <v>796</v>
      </c>
      <c r="N9332">
        <v>113034.64000000001</v>
      </c>
      <c r="O9332">
        <v>142</v>
      </c>
    </row>
    <row r="9333" spans="1:15" x14ac:dyDescent="0.35">
      <c r="A9333" t="s">
        <v>10059</v>
      </c>
      <c r="B9333" t="s">
        <v>212</v>
      </c>
      <c r="C9333" t="s">
        <v>520</v>
      </c>
      <c r="D9333" t="s">
        <v>293</v>
      </c>
      <c r="E9333" t="s">
        <v>300</v>
      </c>
      <c r="F9333" t="s">
        <v>10063</v>
      </c>
      <c r="G9333">
        <v>22</v>
      </c>
      <c r="H9333">
        <v>3843.91</v>
      </c>
      <c r="I9333">
        <v>174.72</v>
      </c>
      <c r="J9333">
        <v>15</v>
      </c>
      <c r="K9333">
        <v>2939.25</v>
      </c>
      <c r="L9333">
        <v>195.95</v>
      </c>
      <c r="M9333">
        <v>37</v>
      </c>
      <c r="N9333">
        <v>6783.16</v>
      </c>
      <c r="O9333">
        <v>183.33</v>
      </c>
    </row>
    <row r="9334" spans="1:15" x14ac:dyDescent="0.35">
      <c r="A9334" t="s">
        <v>10059</v>
      </c>
      <c r="B9334" t="s">
        <v>212</v>
      </c>
      <c r="C9334" t="s">
        <v>520</v>
      </c>
      <c r="D9334" t="s">
        <v>293</v>
      </c>
      <c r="E9334" t="s">
        <v>302</v>
      </c>
      <c r="F9334" t="s">
        <v>10064</v>
      </c>
      <c r="G9334">
        <v>1</v>
      </c>
      <c r="H9334">
        <v>158.5</v>
      </c>
      <c r="I9334">
        <v>158.5</v>
      </c>
      <c r="J9334">
        <v>2</v>
      </c>
      <c r="K9334">
        <v>354.84</v>
      </c>
      <c r="L9334">
        <v>177.42</v>
      </c>
      <c r="M9334">
        <v>3</v>
      </c>
      <c r="N9334">
        <v>513.33999999999992</v>
      </c>
      <c r="O9334">
        <v>171.11</v>
      </c>
    </row>
    <row r="9335" spans="1:15" x14ac:dyDescent="0.35">
      <c r="A9335" t="s">
        <v>10059</v>
      </c>
      <c r="B9335" t="s">
        <v>212</v>
      </c>
      <c r="C9335" t="s">
        <v>520</v>
      </c>
      <c r="D9335" t="s">
        <v>293</v>
      </c>
      <c r="E9335" t="s">
        <v>304</v>
      </c>
      <c r="F9335" t="s">
        <v>10065</v>
      </c>
      <c r="G9335">
        <v>0</v>
      </c>
      <c r="H9335">
        <v>0</v>
      </c>
      <c r="I9335">
        <v>0</v>
      </c>
      <c r="J9335">
        <v>0</v>
      </c>
      <c r="K9335">
        <v>0</v>
      </c>
      <c r="L9335">
        <v>0</v>
      </c>
      <c r="M9335">
        <v>0</v>
      </c>
      <c r="N9335">
        <v>0</v>
      </c>
      <c r="O9335">
        <v>0</v>
      </c>
    </row>
    <row r="9336" spans="1:15" x14ac:dyDescent="0.35">
      <c r="A9336" t="s">
        <v>10059</v>
      </c>
      <c r="B9336" t="s">
        <v>212</v>
      </c>
      <c r="C9336" t="s">
        <v>520</v>
      </c>
      <c r="D9336" t="s">
        <v>293</v>
      </c>
      <c r="E9336" t="s">
        <v>306</v>
      </c>
      <c r="F9336" t="s">
        <v>10066</v>
      </c>
      <c r="G9336">
        <v>0</v>
      </c>
      <c r="H9336">
        <v>0</v>
      </c>
      <c r="I9336">
        <v>0</v>
      </c>
      <c r="J9336">
        <v>0</v>
      </c>
      <c r="K9336">
        <v>0</v>
      </c>
      <c r="L9336">
        <v>0</v>
      </c>
      <c r="M9336">
        <v>0</v>
      </c>
      <c r="N9336">
        <v>0</v>
      </c>
      <c r="O9336">
        <v>0</v>
      </c>
    </row>
    <row r="9337" spans="1:15" x14ac:dyDescent="0.35">
      <c r="A9337" t="s">
        <v>10059</v>
      </c>
      <c r="B9337" t="s">
        <v>212</v>
      </c>
      <c r="C9337" t="s">
        <v>520</v>
      </c>
      <c r="D9337" t="s">
        <v>293</v>
      </c>
      <c r="E9337" t="s">
        <v>308</v>
      </c>
      <c r="F9337" t="s">
        <v>10067</v>
      </c>
      <c r="G9337">
        <v>0</v>
      </c>
      <c r="H9337">
        <v>0</v>
      </c>
      <c r="I9337">
        <v>0</v>
      </c>
      <c r="J9337">
        <v>0</v>
      </c>
      <c r="K9337">
        <v>0</v>
      </c>
      <c r="L9337">
        <v>0</v>
      </c>
      <c r="M9337">
        <v>0</v>
      </c>
      <c r="N9337">
        <v>0</v>
      </c>
      <c r="O9337">
        <v>0</v>
      </c>
    </row>
    <row r="9338" spans="1:15" x14ac:dyDescent="0.35">
      <c r="A9338" t="s">
        <v>10059</v>
      </c>
      <c r="B9338" t="s">
        <v>212</v>
      </c>
      <c r="C9338" t="s">
        <v>520</v>
      </c>
      <c r="D9338" t="s">
        <v>293</v>
      </c>
      <c r="E9338" t="s">
        <v>310</v>
      </c>
      <c r="F9338" t="s">
        <v>10068</v>
      </c>
      <c r="G9338">
        <v>1298</v>
      </c>
      <c r="H9338">
        <v>169933.62000000002</v>
      </c>
      <c r="I9338">
        <v>130.91999999999999</v>
      </c>
      <c r="J9338">
        <v>830</v>
      </c>
      <c r="K9338">
        <v>107530.59</v>
      </c>
      <c r="L9338">
        <v>129.55000000000001</v>
      </c>
      <c r="M9338">
        <v>2128</v>
      </c>
      <c r="N9338">
        <v>277464.21000000002</v>
      </c>
      <c r="O9338">
        <v>130.38999999999999</v>
      </c>
    </row>
    <row r="9339" spans="1:15" x14ac:dyDescent="0.35">
      <c r="A9339" t="s">
        <v>10059</v>
      </c>
      <c r="B9339" t="s">
        <v>212</v>
      </c>
      <c r="C9339" t="s">
        <v>520</v>
      </c>
      <c r="D9339" t="s">
        <v>293</v>
      </c>
      <c r="E9339" t="s">
        <v>312</v>
      </c>
      <c r="F9339" t="s">
        <v>10069</v>
      </c>
      <c r="G9339">
        <v>1298</v>
      </c>
      <c r="H9339">
        <v>169933.62000000002</v>
      </c>
      <c r="I9339">
        <v>130.91999999999999</v>
      </c>
      <c r="J9339">
        <v>830</v>
      </c>
      <c r="K9339">
        <v>107530.59</v>
      </c>
      <c r="L9339">
        <v>129.55000000000001</v>
      </c>
      <c r="M9339">
        <v>2128</v>
      </c>
      <c r="N9339">
        <v>277464.21000000002</v>
      </c>
      <c r="O9339">
        <v>130.38999999999999</v>
      </c>
    </row>
    <row r="9340" spans="1:15" x14ac:dyDescent="0.35">
      <c r="A9340" t="s">
        <v>10059</v>
      </c>
      <c r="B9340" t="s">
        <v>212</v>
      </c>
      <c r="C9340" t="s">
        <v>520</v>
      </c>
      <c r="D9340" t="s">
        <v>314</v>
      </c>
      <c r="E9340" t="s">
        <v>294</v>
      </c>
      <c r="F9340" t="s">
        <v>10070</v>
      </c>
      <c r="G9340">
        <v>75</v>
      </c>
      <c r="H9340">
        <v>11754</v>
      </c>
      <c r="I9340">
        <v>156.72</v>
      </c>
      <c r="J9340">
        <v>267</v>
      </c>
      <c r="K9340">
        <v>59372.79</v>
      </c>
      <c r="L9340">
        <v>222.37</v>
      </c>
      <c r="M9340">
        <v>342</v>
      </c>
      <c r="N9340">
        <v>71126.790000000008</v>
      </c>
      <c r="O9340">
        <v>207.97</v>
      </c>
    </row>
    <row r="9341" spans="1:15" x14ac:dyDescent="0.35">
      <c r="A9341" t="s">
        <v>10059</v>
      </c>
      <c r="B9341" t="s">
        <v>212</v>
      </c>
      <c r="C9341" t="s">
        <v>520</v>
      </c>
      <c r="D9341" t="s">
        <v>314</v>
      </c>
      <c r="E9341" t="s">
        <v>296</v>
      </c>
      <c r="F9341" t="s">
        <v>10071</v>
      </c>
      <c r="G9341">
        <v>37</v>
      </c>
      <c r="H9341">
        <v>5806.04</v>
      </c>
      <c r="I9341">
        <v>156.91999999999999</v>
      </c>
      <c r="J9341">
        <v>28</v>
      </c>
      <c r="K9341">
        <v>6547.8</v>
      </c>
      <c r="L9341">
        <v>233.85</v>
      </c>
      <c r="M9341">
        <v>65</v>
      </c>
      <c r="N9341">
        <v>12353.84</v>
      </c>
      <c r="O9341">
        <v>190.06</v>
      </c>
    </row>
    <row r="9342" spans="1:15" x14ac:dyDescent="0.35">
      <c r="A9342" t="s">
        <v>10059</v>
      </c>
      <c r="B9342" t="s">
        <v>212</v>
      </c>
      <c r="C9342" t="s">
        <v>520</v>
      </c>
      <c r="D9342" t="s">
        <v>314</v>
      </c>
      <c r="E9342" t="s">
        <v>298</v>
      </c>
      <c r="F9342" t="s">
        <v>10072</v>
      </c>
      <c r="G9342">
        <v>0</v>
      </c>
      <c r="H9342">
        <v>0</v>
      </c>
      <c r="I9342">
        <v>0</v>
      </c>
      <c r="J9342">
        <v>0</v>
      </c>
      <c r="K9342">
        <v>0</v>
      </c>
      <c r="L9342">
        <v>0</v>
      </c>
      <c r="M9342">
        <v>0</v>
      </c>
      <c r="N9342">
        <v>0</v>
      </c>
      <c r="O9342">
        <v>0</v>
      </c>
    </row>
    <row r="9343" spans="1:15" x14ac:dyDescent="0.35">
      <c r="A9343" t="s">
        <v>10059</v>
      </c>
      <c r="B9343" t="s">
        <v>212</v>
      </c>
      <c r="C9343" t="s">
        <v>520</v>
      </c>
      <c r="D9343" t="s">
        <v>314</v>
      </c>
      <c r="E9343" t="s">
        <v>300</v>
      </c>
      <c r="F9343" t="s">
        <v>10073</v>
      </c>
      <c r="G9343">
        <v>0</v>
      </c>
      <c r="H9343">
        <v>0</v>
      </c>
      <c r="I9343">
        <v>0</v>
      </c>
      <c r="J9343">
        <v>0</v>
      </c>
      <c r="K9343">
        <v>0</v>
      </c>
      <c r="L9343">
        <v>0</v>
      </c>
      <c r="M9343">
        <v>0</v>
      </c>
      <c r="N9343">
        <v>0</v>
      </c>
      <c r="O9343">
        <v>0</v>
      </c>
    </row>
    <row r="9344" spans="1:15" x14ac:dyDescent="0.35">
      <c r="A9344" t="s">
        <v>10059</v>
      </c>
      <c r="B9344" t="s">
        <v>212</v>
      </c>
      <c r="C9344" t="s">
        <v>520</v>
      </c>
      <c r="D9344" t="s">
        <v>314</v>
      </c>
      <c r="E9344" t="s">
        <v>306</v>
      </c>
      <c r="F9344" t="s">
        <v>10074</v>
      </c>
      <c r="G9344">
        <v>0</v>
      </c>
      <c r="H9344">
        <v>0</v>
      </c>
      <c r="I9344">
        <v>0</v>
      </c>
      <c r="J9344">
        <v>10</v>
      </c>
      <c r="K9344">
        <v>3299.9</v>
      </c>
      <c r="L9344">
        <v>329.99</v>
      </c>
      <c r="M9344">
        <v>10</v>
      </c>
      <c r="N9344">
        <v>3299.9</v>
      </c>
      <c r="O9344">
        <v>329.99</v>
      </c>
    </row>
    <row r="9345" spans="1:15" x14ac:dyDescent="0.35">
      <c r="A9345" t="s">
        <v>10059</v>
      </c>
      <c r="B9345" t="s">
        <v>212</v>
      </c>
      <c r="C9345" t="s">
        <v>520</v>
      </c>
      <c r="D9345" t="s">
        <v>314</v>
      </c>
      <c r="E9345" t="s">
        <v>308</v>
      </c>
      <c r="F9345" t="s">
        <v>10075</v>
      </c>
      <c r="G9345">
        <v>0</v>
      </c>
      <c r="H9345">
        <v>0</v>
      </c>
      <c r="I9345">
        <v>0</v>
      </c>
      <c r="J9345">
        <v>0</v>
      </c>
      <c r="K9345">
        <v>0</v>
      </c>
      <c r="L9345">
        <v>0</v>
      </c>
      <c r="M9345">
        <v>0</v>
      </c>
      <c r="N9345">
        <v>0</v>
      </c>
      <c r="O9345">
        <v>0</v>
      </c>
    </row>
    <row r="9346" spans="1:15" x14ac:dyDescent="0.35">
      <c r="A9346" t="s">
        <v>10059</v>
      </c>
      <c r="B9346" t="s">
        <v>212</v>
      </c>
      <c r="C9346" t="s">
        <v>520</v>
      </c>
      <c r="D9346" t="s">
        <v>314</v>
      </c>
      <c r="E9346" t="s">
        <v>312</v>
      </c>
      <c r="F9346" t="s">
        <v>10076</v>
      </c>
      <c r="G9346">
        <v>112</v>
      </c>
      <c r="H9346">
        <v>17560.04</v>
      </c>
      <c r="I9346">
        <v>156.79</v>
      </c>
      <c r="J9346">
        <v>305</v>
      </c>
      <c r="K9346">
        <v>69220.489999999991</v>
      </c>
      <c r="L9346">
        <v>226.95</v>
      </c>
      <c r="M9346">
        <v>417</v>
      </c>
      <c r="N9346">
        <v>86780.53</v>
      </c>
      <c r="O9346">
        <v>208.11</v>
      </c>
    </row>
    <row r="9347" spans="1:15" x14ac:dyDescent="0.35">
      <c r="A9347" t="s">
        <v>10059</v>
      </c>
      <c r="B9347" t="s">
        <v>212</v>
      </c>
      <c r="C9347" t="s">
        <v>520</v>
      </c>
      <c r="D9347" t="s">
        <v>314</v>
      </c>
      <c r="E9347" t="s">
        <v>310</v>
      </c>
      <c r="F9347" t="s">
        <v>10077</v>
      </c>
      <c r="G9347">
        <v>112</v>
      </c>
      <c r="H9347">
        <v>17560.04</v>
      </c>
      <c r="I9347">
        <v>156.79</v>
      </c>
      <c r="J9347">
        <v>305</v>
      </c>
      <c r="K9347">
        <v>69220.489999999991</v>
      </c>
      <c r="L9347">
        <v>226.95</v>
      </c>
      <c r="M9347">
        <v>417</v>
      </c>
      <c r="N9347">
        <v>86780.53</v>
      </c>
      <c r="O9347">
        <v>208.11</v>
      </c>
    </row>
    <row r="9348" spans="1:15" x14ac:dyDescent="0.35">
      <c r="A9348" t="s">
        <v>10059</v>
      </c>
      <c r="B9348" t="s">
        <v>212</v>
      </c>
      <c r="C9348" t="s">
        <v>520</v>
      </c>
      <c r="D9348" t="s">
        <v>323</v>
      </c>
      <c r="E9348" t="s">
        <v>294</v>
      </c>
      <c r="F9348" t="s">
        <v>10078</v>
      </c>
      <c r="G9348">
        <v>658</v>
      </c>
      <c r="H9348">
        <v>55932.92</v>
      </c>
      <c r="I9348">
        <v>85</v>
      </c>
      <c r="J9348">
        <v>4104</v>
      </c>
      <c r="K9348">
        <v>330782.39999999997</v>
      </c>
      <c r="L9348">
        <v>80.599999999999994</v>
      </c>
      <c r="M9348">
        <v>4762</v>
      </c>
      <c r="N9348">
        <v>386715.31999999995</v>
      </c>
      <c r="O9348">
        <v>81.209999999999994</v>
      </c>
    </row>
    <row r="9349" spans="1:15" x14ac:dyDescent="0.35">
      <c r="A9349" t="s">
        <v>10059</v>
      </c>
      <c r="B9349" t="s">
        <v>212</v>
      </c>
      <c r="C9349" t="s">
        <v>520</v>
      </c>
      <c r="D9349" t="s">
        <v>323</v>
      </c>
      <c r="E9349" t="s">
        <v>296</v>
      </c>
      <c r="F9349" t="s">
        <v>10079</v>
      </c>
      <c r="G9349">
        <v>630</v>
      </c>
      <c r="H9349">
        <v>63254.45</v>
      </c>
      <c r="I9349">
        <v>100.4</v>
      </c>
      <c r="J9349">
        <v>6242</v>
      </c>
      <c r="K9349">
        <v>566586.34</v>
      </c>
      <c r="L9349">
        <v>90.77</v>
      </c>
      <c r="M9349">
        <v>6872</v>
      </c>
      <c r="N9349">
        <v>629840.78999999992</v>
      </c>
      <c r="O9349">
        <v>91.65</v>
      </c>
    </row>
    <row r="9350" spans="1:15" x14ac:dyDescent="0.35">
      <c r="A9350" t="s">
        <v>10059</v>
      </c>
      <c r="B9350" t="s">
        <v>212</v>
      </c>
      <c r="C9350" t="s">
        <v>520</v>
      </c>
      <c r="D9350" t="s">
        <v>323</v>
      </c>
      <c r="E9350" t="s">
        <v>298</v>
      </c>
      <c r="F9350" t="s">
        <v>10080</v>
      </c>
      <c r="G9350">
        <v>408</v>
      </c>
      <c r="H9350">
        <v>45202.54</v>
      </c>
      <c r="I9350">
        <v>110.79</v>
      </c>
      <c r="J9350">
        <v>8248</v>
      </c>
      <c r="K9350">
        <v>817789.20000000007</v>
      </c>
      <c r="L9350">
        <v>99.15</v>
      </c>
      <c r="M9350">
        <v>8656</v>
      </c>
      <c r="N9350">
        <v>862991.74000000011</v>
      </c>
      <c r="O9350">
        <v>99.7</v>
      </c>
    </row>
    <row r="9351" spans="1:15" x14ac:dyDescent="0.35">
      <c r="A9351" t="s">
        <v>10059</v>
      </c>
      <c r="B9351" t="s">
        <v>212</v>
      </c>
      <c r="C9351" t="s">
        <v>520</v>
      </c>
      <c r="D9351" t="s">
        <v>323</v>
      </c>
      <c r="E9351" t="s">
        <v>300</v>
      </c>
      <c r="F9351" t="s">
        <v>10081</v>
      </c>
      <c r="G9351">
        <v>16</v>
      </c>
      <c r="H9351">
        <v>2042.41</v>
      </c>
      <c r="I9351">
        <v>127.65</v>
      </c>
      <c r="J9351">
        <v>270</v>
      </c>
      <c r="K9351">
        <v>29135.7</v>
      </c>
      <c r="L9351">
        <v>107.91</v>
      </c>
      <c r="M9351">
        <v>286</v>
      </c>
      <c r="N9351">
        <v>31178.11</v>
      </c>
      <c r="O9351">
        <v>109.01</v>
      </c>
    </row>
    <row r="9352" spans="1:15" x14ac:dyDescent="0.35">
      <c r="A9352" t="s">
        <v>10059</v>
      </c>
      <c r="B9352" t="s">
        <v>212</v>
      </c>
      <c r="C9352" t="s">
        <v>520</v>
      </c>
      <c r="D9352" t="s">
        <v>323</v>
      </c>
      <c r="E9352" t="s">
        <v>302</v>
      </c>
      <c r="F9352" t="s">
        <v>10082</v>
      </c>
      <c r="G9352">
        <v>3</v>
      </c>
      <c r="H9352">
        <v>396.99</v>
      </c>
      <c r="I9352">
        <v>132.33000000000001</v>
      </c>
      <c r="J9352">
        <v>8</v>
      </c>
      <c r="K9352">
        <v>936.32</v>
      </c>
      <c r="L9352">
        <v>117.04</v>
      </c>
      <c r="M9352">
        <v>11</v>
      </c>
      <c r="N9352">
        <v>1333.31</v>
      </c>
      <c r="O9352">
        <v>121.21</v>
      </c>
    </row>
    <row r="9353" spans="1:15" x14ac:dyDescent="0.35">
      <c r="A9353" t="s">
        <v>10059</v>
      </c>
      <c r="B9353" t="s">
        <v>212</v>
      </c>
      <c r="C9353" t="s">
        <v>520</v>
      </c>
      <c r="D9353" t="s">
        <v>323</v>
      </c>
      <c r="E9353" t="s">
        <v>304</v>
      </c>
      <c r="F9353" t="s">
        <v>10083</v>
      </c>
      <c r="G9353">
        <v>1</v>
      </c>
      <c r="H9353">
        <v>136.6</v>
      </c>
      <c r="I9353">
        <v>136.6</v>
      </c>
      <c r="J9353">
        <v>8</v>
      </c>
      <c r="K9353">
        <v>1035.8399999999999</v>
      </c>
      <c r="L9353">
        <v>129.47999999999999</v>
      </c>
      <c r="M9353">
        <v>9</v>
      </c>
      <c r="N9353">
        <v>1172.4399999999998</v>
      </c>
      <c r="O9353">
        <v>130.27000000000001</v>
      </c>
    </row>
    <row r="9354" spans="1:15" x14ac:dyDescent="0.35">
      <c r="A9354" t="s">
        <v>10059</v>
      </c>
      <c r="B9354" t="s">
        <v>212</v>
      </c>
      <c r="C9354" t="s">
        <v>520</v>
      </c>
      <c r="D9354" t="s">
        <v>323</v>
      </c>
      <c r="E9354" t="s">
        <v>306</v>
      </c>
      <c r="F9354" t="s">
        <v>10084</v>
      </c>
      <c r="G9354">
        <v>1</v>
      </c>
      <c r="H9354">
        <v>76.27</v>
      </c>
      <c r="I9354">
        <v>76.27</v>
      </c>
      <c r="J9354">
        <v>105</v>
      </c>
      <c r="K9354">
        <v>7001.4000000000005</v>
      </c>
      <c r="L9354">
        <v>66.680000000000007</v>
      </c>
      <c r="M9354">
        <v>106</v>
      </c>
      <c r="N9354">
        <v>7077.670000000001</v>
      </c>
      <c r="O9354">
        <v>66.77</v>
      </c>
    </row>
    <row r="9355" spans="1:15" x14ac:dyDescent="0.35">
      <c r="A9355" t="s">
        <v>10059</v>
      </c>
      <c r="B9355" t="s">
        <v>212</v>
      </c>
      <c r="C9355" t="s">
        <v>520</v>
      </c>
      <c r="D9355" t="s">
        <v>323</v>
      </c>
      <c r="E9355" t="s">
        <v>308</v>
      </c>
      <c r="F9355" t="s">
        <v>10085</v>
      </c>
      <c r="G9355">
        <v>0</v>
      </c>
      <c r="H9355">
        <v>0</v>
      </c>
      <c r="I9355">
        <v>0</v>
      </c>
      <c r="J9355">
        <v>3</v>
      </c>
      <c r="K9355">
        <v>226.23</v>
      </c>
      <c r="L9355">
        <v>75.41</v>
      </c>
      <c r="M9355">
        <v>3</v>
      </c>
      <c r="N9355">
        <v>226.23</v>
      </c>
      <c r="O9355">
        <v>75.41</v>
      </c>
    </row>
    <row r="9356" spans="1:15" x14ac:dyDescent="0.35">
      <c r="A9356" t="s">
        <v>10059</v>
      </c>
      <c r="B9356" t="s">
        <v>212</v>
      </c>
      <c r="C9356" t="s">
        <v>520</v>
      </c>
      <c r="D9356" t="s">
        <v>323</v>
      </c>
      <c r="E9356" t="s">
        <v>310</v>
      </c>
      <c r="F9356" t="s">
        <v>10086</v>
      </c>
      <c r="G9356">
        <v>1717</v>
      </c>
      <c r="H9356">
        <v>167042.18</v>
      </c>
      <c r="I9356">
        <v>97.29</v>
      </c>
      <c r="J9356">
        <v>18988</v>
      </c>
      <c r="K9356">
        <v>1753493.43</v>
      </c>
      <c r="L9356">
        <v>92.35</v>
      </c>
      <c r="M9356">
        <v>20705</v>
      </c>
      <c r="N9356">
        <v>1920535.6099999999</v>
      </c>
      <c r="O9356">
        <v>92.76</v>
      </c>
    </row>
    <row r="9357" spans="1:15" x14ac:dyDescent="0.35">
      <c r="A9357" t="s">
        <v>10059</v>
      </c>
      <c r="B9357" t="s">
        <v>212</v>
      </c>
      <c r="C9357" t="s">
        <v>520</v>
      </c>
      <c r="D9357" t="s">
        <v>323</v>
      </c>
      <c r="E9357" t="s">
        <v>312</v>
      </c>
      <c r="F9357" t="s">
        <v>10087</v>
      </c>
      <c r="G9357">
        <v>1717</v>
      </c>
      <c r="H9357">
        <v>167042.18</v>
      </c>
      <c r="I9357">
        <v>97.29</v>
      </c>
      <c r="J9357">
        <v>18985</v>
      </c>
      <c r="K9357">
        <v>1753267.2</v>
      </c>
      <c r="L9357">
        <v>92.35</v>
      </c>
      <c r="M9357">
        <v>20702</v>
      </c>
      <c r="N9357">
        <v>1920309.38</v>
      </c>
      <c r="O9357">
        <v>92.76</v>
      </c>
    </row>
    <row r="9358" spans="1:15" x14ac:dyDescent="0.35">
      <c r="A9358" t="s">
        <v>10059</v>
      </c>
      <c r="B9358" t="s">
        <v>212</v>
      </c>
      <c r="C9358" t="s">
        <v>520</v>
      </c>
      <c r="D9358" t="s">
        <v>334</v>
      </c>
      <c r="E9358" t="s">
        <v>312</v>
      </c>
      <c r="F9358" t="s">
        <v>10088</v>
      </c>
      <c r="G9358">
        <v>3163</v>
      </c>
      <c r="H9358">
        <v>336975.8</v>
      </c>
      <c r="I9358">
        <v>111.77</v>
      </c>
      <c r="J9358">
        <v>19815</v>
      </c>
      <c r="K9358">
        <v>1860797.79</v>
      </c>
      <c r="L9358">
        <v>93.91</v>
      </c>
      <c r="M9358">
        <v>22978</v>
      </c>
      <c r="N9358">
        <v>2197773.59</v>
      </c>
      <c r="O9358">
        <v>96.27</v>
      </c>
    </row>
    <row r="9359" spans="1:15" x14ac:dyDescent="0.35">
      <c r="A9359" t="s">
        <v>10059</v>
      </c>
      <c r="B9359" t="s">
        <v>212</v>
      </c>
      <c r="C9359" t="s">
        <v>520</v>
      </c>
      <c r="D9359" t="s">
        <v>334</v>
      </c>
      <c r="E9359" t="s">
        <v>308</v>
      </c>
      <c r="F9359" t="s">
        <v>10089</v>
      </c>
      <c r="G9359">
        <v>0</v>
      </c>
      <c r="H9359">
        <v>0</v>
      </c>
      <c r="I9359">
        <v>0</v>
      </c>
      <c r="J9359">
        <v>3</v>
      </c>
      <c r="K9359">
        <v>226.23</v>
      </c>
      <c r="L9359">
        <v>75.41</v>
      </c>
      <c r="M9359">
        <v>3</v>
      </c>
      <c r="N9359">
        <v>226.23</v>
      </c>
      <c r="O9359">
        <v>75.41</v>
      </c>
    </row>
    <row r="9360" spans="1:15" x14ac:dyDescent="0.35">
      <c r="A9360" t="s">
        <v>10059</v>
      </c>
      <c r="B9360" t="s">
        <v>212</v>
      </c>
      <c r="C9360" t="s">
        <v>520</v>
      </c>
      <c r="D9360" t="s">
        <v>337</v>
      </c>
      <c r="E9360" t="s">
        <v>337</v>
      </c>
      <c r="F9360" t="s">
        <v>10090</v>
      </c>
      <c r="G9360">
        <v>1037</v>
      </c>
      <c r="J9360">
        <v>0</v>
      </c>
      <c r="M9360">
        <v>1037</v>
      </c>
    </row>
    <row r="9361" spans="1:15" x14ac:dyDescent="0.35">
      <c r="A9361" t="s">
        <v>10059</v>
      </c>
      <c r="B9361" t="s">
        <v>212</v>
      </c>
      <c r="C9361" t="s">
        <v>520</v>
      </c>
      <c r="D9361" t="s">
        <v>339</v>
      </c>
      <c r="E9361" t="s">
        <v>294</v>
      </c>
      <c r="F9361" t="s">
        <v>10091</v>
      </c>
      <c r="G9361">
        <v>1050</v>
      </c>
      <c r="H9361">
        <v>150739.29</v>
      </c>
      <c r="I9361">
        <v>143.56</v>
      </c>
      <c r="J9361">
        <v>1083</v>
      </c>
      <c r="K9361">
        <v>88751.85</v>
      </c>
      <c r="L9361">
        <v>81.95</v>
      </c>
      <c r="M9361">
        <v>2133</v>
      </c>
      <c r="N9361">
        <v>239491.14</v>
      </c>
      <c r="O9361">
        <v>112.28</v>
      </c>
    </row>
    <row r="9362" spans="1:15" x14ac:dyDescent="0.35">
      <c r="A9362" t="s">
        <v>10059</v>
      </c>
      <c r="B9362" t="s">
        <v>212</v>
      </c>
      <c r="C9362" t="s">
        <v>520</v>
      </c>
      <c r="D9362" t="s">
        <v>339</v>
      </c>
      <c r="E9362" t="s">
        <v>296</v>
      </c>
      <c r="F9362" t="s">
        <v>10092</v>
      </c>
      <c r="G9362">
        <v>94</v>
      </c>
      <c r="H9362">
        <v>10790.539999999999</v>
      </c>
      <c r="I9362">
        <v>114.79</v>
      </c>
      <c r="J9362">
        <v>78</v>
      </c>
      <c r="K9362">
        <v>7069.92</v>
      </c>
      <c r="L9362">
        <v>90.64</v>
      </c>
      <c r="M9362">
        <v>172</v>
      </c>
      <c r="N9362">
        <v>17860.46</v>
      </c>
      <c r="O9362">
        <v>103.84</v>
      </c>
    </row>
    <row r="9363" spans="1:15" x14ac:dyDescent="0.35">
      <c r="A9363" t="s">
        <v>10059</v>
      </c>
      <c r="B9363" t="s">
        <v>212</v>
      </c>
      <c r="C9363" t="s">
        <v>520</v>
      </c>
      <c r="D9363" t="s">
        <v>339</v>
      </c>
      <c r="E9363" t="s">
        <v>298</v>
      </c>
      <c r="F9363" t="s">
        <v>10093</v>
      </c>
      <c r="G9363">
        <v>19</v>
      </c>
      <c r="H9363">
        <v>2563.3199999999997</v>
      </c>
      <c r="I9363">
        <v>134.91</v>
      </c>
      <c r="J9363">
        <v>9</v>
      </c>
      <c r="K9363">
        <v>895.14</v>
      </c>
      <c r="L9363">
        <v>99.46</v>
      </c>
      <c r="M9363">
        <v>28</v>
      </c>
      <c r="N9363">
        <v>3458.4599999999996</v>
      </c>
      <c r="O9363">
        <v>123.52</v>
      </c>
    </row>
    <row r="9364" spans="1:15" x14ac:dyDescent="0.35">
      <c r="A9364" t="s">
        <v>10059</v>
      </c>
      <c r="B9364" t="s">
        <v>212</v>
      </c>
      <c r="C9364" t="s">
        <v>520</v>
      </c>
      <c r="D9364" t="s">
        <v>339</v>
      </c>
      <c r="E9364" t="s">
        <v>300</v>
      </c>
      <c r="F9364" t="s">
        <v>10094</v>
      </c>
      <c r="G9364">
        <v>2</v>
      </c>
      <c r="H9364">
        <v>497.3</v>
      </c>
      <c r="I9364">
        <v>248.65</v>
      </c>
      <c r="J9364">
        <v>0</v>
      </c>
      <c r="K9364">
        <v>0</v>
      </c>
      <c r="L9364">
        <v>0</v>
      </c>
      <c r="M9364">
        <v>2</v>
      </c>
      <c r="N9364">
        <v>497.3</v>
      </c>
      <c r="O9364">
        <v>248.65</v>
      </c>
    </row>
    <row r="9365" spans="1:15" x14ac:dyDescent="0.35">
      <c r="A9365" t="s">
        <v>10059</v>
      </c>
      <c r="B9365" t="s">
        <v>212</v>
      </c>
      <c r="C9365" t="s">
        <v>520</v>
      </c>
      <c r="D9365" t="s">
        <v>339</v>
      </c>
      <c r="E9365" t="s">
        <v>306</v>
      </c>
      <c r="F9365" t="s">
        <v>10095</v>
      </c>
      <c r="G9365">
        <v>109</v>
      </c>
      <c r="H9365">
        <v>9405.02</v>
      </c>
      <c r="I9365">
        <v>86.28</v>
      </c>
      <c r="J9365">
        <v>18</v>
      </c>
      <c r="K9365">
        <v>1206.3599999999999</v>
      </c>
      <c r="L9365">
        <v>67.02</v>
      </c>
      <c r="M9365">
        <v>127</v>
      </c>
      <c r="N9365">
        <v>10611.380000000001</v>
      </c>
      <c r="O9365">
        <v>83.55</v>
      </c>
    </row>
    <row r="9366" spans="1:15" x14ac:dyDescent="0.35">
      <c r="A9366" t="s">
        <v>10059</v>
      </c>
      <c r="B9366" t="s">
        <v>212</v>
      </c>
      <c r="C9366" t="s">
        <v>520</v>
      </c>
      <c r="D9366" t="s">
        <v>339</v>
      </c>
      <c r="E9366" t="s">
        <v>308</v>
      </c>
      <c r="F9366" t="s">
        <v>10096</v>
      </c>
      <c r="G9366">
        <v>228</v>
      </c>
      <c r="H9366">
        <v>30145.02</v>
      </c>
      <c r="I9366">
        <v>132.22</v>
      </c>
      <c r="J9366">
        <v>0</v>
      </c>
      <c r="K9366">
        <v>0</v>
      </c>
      <c r="L9366">
        <v>0</v>
      </c>
      <c r="M9366">
        <v>228</v>
      </c>
      <c r="N9366">
        <v>30145.02</v>
      </c>
      <c r="O9366">
        <v>132.22</v>
      </c>
    </row>
    <row r="9367" spans="1:15" x14ac:dyDescent="0.35">
      <c r="A9367" t="s">
        <v>10059</v>
      </c>
      <c r="B9367" t="s">
        <v>212</v>
      </c>
      <c r="C9367" t="s">
        <v>520</v>
      </c>
      <c r="D9367" t="s">
        <v>339</v>
      </c>
      <c r="E9367" t="s">
        <v>310</v>
      </c>
      <c r="F9367" t="s">
        <v>10097</v>
      </c>
      <c r="G9367">
        <v>1502</v>
      </c>
      <c r="H9367">
        <v>204140.49</v>
      </c>
      <c r="I9367">
        <v>135.91</v>
      </c>
      <c r="J9367">
        <v>1188</v>
      </c>
      <c r="K9367">
        <v>97923.27</v>
      </c>
      <c r="L9367">
        <v>82.43</v>
      </c>
      <c r="M9367">
        <v>2690</v>
      </c>
      <c r="N9367">
        <v>302063.76</v>
      </c>
      <c r="O9367">
        <v>112.29</v>
      </c>
    </row>
    <row r="9368" spans="1:15" x14ac:dyDescent="0.35">
      <c r="A9368" t="s">
        <v>10059</v>
      </c>
      <c r="B9368" t="s">
        <v>212</v>
      </c>
      <c r="C9368" t="s">
        <v>520</v>
      </c>
      <c r="D9368" t="s">
        <v>339</v>
      </c>
      <c r="E9368" t="s">
        <v>312</v>
      </c>
      <c r="F9368" t="s">
        <v>10098</v>
      </c>
      <c r="G9368">
        <v>1274</v>
      </c>
      <c r="H9368">
        <v>173995.47</v>
      </c>
      <c r="I9368">
        <v>136.57</v>
      </c>
      <c r="J9368">
        <v>1188</v>
      </c>
      <c r="K9368">
        <v>97923.27</v>
      </c>
      <c r="L9368">
        <v>82.43</v>
      </c>
      <c r="M9368">
        <v>2462</v>
      </c>
      <c r="N9368">
        <v>271918.74</v>
      </c>
      <c r="O9368">
        <v>110.45</v>
      </c>
    </row>
    <row r="9369" spans="1:15" x14ac:dyDescent="0.35">
      <c r="A9369" t="s">
        <v>10059</v>
      </c>
      <c r="B9369" t="s">
        <v>212</v>
      </c>
      <c r="C9369" t="s">
        <v>520</v>
      </c>
      <c r="D9369" t="s">
        <v>348</v>
      </c>
      <c r="E9369" t="s">
        <v>349</v>
      </c>
      <c r="F9369" t="s">
        <v>10099</v>
      </c>
      <c r="G9369">
        <v>1749</v>
      </c>
      <c r="H9369">
        <v>221700.53</v>
      </c>
      <c r="I9369">
        <v>137.36000000000001</v>
      </c>
      <c r="J9369">
        <v>1493</v>
      </c>
      <c r="K9369">
        <v>167143.76</v>
      </c>
      <c r="L9369">
        <v>111.95</v>
      </c>
      <c r="M9369">
        <v>3242</v>
      </c>
      <c r="N9369">
        <v>388844.29000000004</v>
      </c>
      <c r="O9369">
        <v>125.15</v>
      </c>
    </row>
    <row r="9370" spans="1:15" x14ac:dyDescent="0.35">
      <c r="A9370" t="s">
        <v>10100</v>
      </c>
      <c r="B9370" t="s">
        <v>10101</v>
      </c>
      <c r="C9370" t="s">
        <v>520</v>
      </c>
      <c r="D9370" t="s">
        <v>293</v>
      </c>
      <c r="E9370" t="s">
        <v>294</v>
      </c>
      <c r="F9370" t="s">
        <v>10102</v>
      </c>
      <c r="G9370">
        <v>162</v>
      </c>
      <c r="H9370">
        <v>18422.82</v>
      </c>
      <c r="I9370">
        <v>113.72</v>
      </c>
      <c r="J9370">
        <v>0</v>
      </c>
      <c r="K9370">
        <v>0</v>
      </c>
      <c r="L9370">
        <v>0</v>
      </c>
      <c r="M9370">
        <v>162</v>
      </c>
      <c r="N9370">
        <v>18422.82</v>
      </c>
      <c r="O9370">
        <v>113.72</v>
      </c>
    </row>
    <row r="9371" spans="1:15" x14ac:dyDescent="0.35">
      <c r="A9371" t="s">
        <v>10100</v>
      </c>
      <c r="B9371" t="s">
        <v>10101</v>
      </c>
      <c r="C9371" t="s">
        <v>520</v>
      </c>
      <c r="D9371" t="s">
        <v>293</v>
      </c>
      <c r="E9371" t="s">
        <v>296</v>
      </c>
      <c r="F9371" t="s">
        <v>10103</v>
      </c>
      <c r="G9371">
        <v>768</v>
      </c>
      <c r="H9371">
        <v>99649.799999999988</v>
      </c>
      <c r="I9371">
        <v>129.75</v>
      </c>
      <c r="J9371">
        <v>0</v>
      </c>
      <c r="K9371">
        <v>0</v>
      </c>
      <c r="L9371">
        <v>0</v>
      </c>
      <c r="M9371">
        <v>768</v>
      </c>
      <c r="N9371">
        <v>99649.799999999988</v>
      </c>
      <c r="O9371">
        <v>129.75</v>
      </c>
    </row>
    <row r="9372" spans="1:15" x14ac:dyDescent="0.35">
      <c r="A9372" t="s">
        <v>10100</v>
      </c>
      <c r="B9372" t="s">
        <v>10101</v>
      </c>
      <c r="C9372" t="s">
        <v>520</v>
      </c>
      <c r="D9372" t="s">
        <v>293</v>
      </c>
      <c r="E9372" t="s">
        <v>298</v>
      </c>
      <c r="F9372" t="s">
        <v>10104</v>
      </c>
      <c r="G9372">
        <v>660</v>
      </c>
      <c r="H9372">
        <v>95809.819999999992</v>
      </c>
      <c r="I9372">
        <v>145.16999999999999</v>
      </c>
      <c r="J9372">
        <v>0</v>
      </c>
      <c r="K9372">
        <v>0</v>
      </c>
      <c r="L9372">
        <v>0</v>
      </c>
      <c r="M9372">
        <v>660</v>
      </c>
      <c r="N9372">
        <v>95809.819999999992</v>
      </c>
      <c r="O9372">
        <v>145.16999999999999</v>
      </c>
    </row>
    <row r="9373" spans="1:15" x14ac:dyDescent="0.35">
      <c r="A9373" t="s">
        <v>10100</v>
      </c>
      <c r="B9373" t="s">
        <v>10101</v>
      </c>
      <c r="C9373" t="s">
        <v>520</v>
      </c>
      <c r="D9373" t="s">
        <v>293</v>
      </c>
      <c r="E9373" t="s">
        <v>300</v>
      </c>
      <c r="F9373" t="s">
        <v>10105</v>
      </c>
      <c r="G9373">
        <v>53</v>
      </c>
      <c r="H9373">
        <v>8527.17</v>
      </c>
      <c r="I9373">
        <v>160.88999999999999</v>
      </c>
      <c r="J9373">
        <v>0</v>
      </c>
      <c r="K9373">
        <v>0</v>
      </c>
      <c r="L9373">
        <v>0</v>
      </c>
      <c r="M9373">
        <v>53</v>
      </c>
      <c r="N9373">
        <v>8527.17</v>
      </c>
      <c r="O9373">
        <v>160.88999999999999</v>
      </c>
    </row>
    <row r="9374" spans="1:15" x14ac:dyDescent="0.35">
      <c r="A9374" t="s">
        <v>10100</v>
      </c>
      <c r="B9374" t="s">
        <v>10101</v>
      </c>
      <c r="C9374" t="s">
        <v>520</v>
      </c>
      <c r="D9374" t="s">
        <v>293</v>
      </c>
      <c r="E9374" t="s">
        <v>302</v>
      </c>
      <c r="F9374" t="s">
        <v>10106</v>
      </c>
      <c r="G9374">
        <v>1</v>
      </c>
      <c r="H9374">
        <v>173.15</v>
      </c>
      <c r="I9374">
        <v>173.15</v>
      </c>
      <c r="J9374">
        <v>0</v>
      </c>
      <c r="K9374">
        <v>0</v>
      </c>
      <c r="L9374">
        <v>0</v>
      </c>
      <c r="M9374">
        <v>1</v>
      </c>
      <c r="N9374">
        <v>173.15</v>
      </c>
      <c r="O9374">
        <v>173.15</v>
      </c>
    </row>
    <row r="9375" spans="1:15" x14ac:dyDescent="0.35">
      <c r="A9375" t="s">
        <v>10100</v>
      </c>
      <c r="B9375" t="s">
        <v>10101</v>
      </c>
      <c r="C9375" t="s">
        <v>520</v>
      </c>
      <c r="D9375" t="s">
        <v>293</v>
      </c>
      <c r="E9375" t="s">
        <v>304</v>
      </c>
      <c r="F9375" t="s">
        <v>10107</v>
      </c>
      <c r="G9375">
        <v>0</v>
      </c>
      <c r="H9375">
        <v>0</v>
      </c>
      <c r="I9375">
        <v>0</v>
      </c>
      <c r="J9375">
        <v>0</v>
      </c>
      <c r="K9375">
        <v>0</v>
      </c>
      <c r="L9375">
        <v>0</v>
      </c>
      <c r="M9375">
        <v>0</v>
      </c>
      <c r="N9375">
        <v>0</v>
      </c>
      <c r="O9375">
        <v>0</v>
      </c>
    </row>
    <row r="9376" spans="1:15" x14ac:dyDescent="0.35">
      <c r="A9376" t="s">
        <v>10100</v>
      </c>
      <c r="B9376" t="s">
        <v>10101</v>
      </c>
      <c r="C9376" t="s">
        <v>520</v>
      </c>
      <c r="D9376" t="s">
        <v>293</v>
      </c>
      <c r="E9376" t="s">
        <v>306</v>
      </c>
      <c r="F9376" t="s">
        <v>10108</v>
      </c>
      <c r="G9376">
        <v>0</v>
      </c>
      <c r="H9376">
        <v>0</v>
      </c>
      <c r="I9376">
        <v>0</v>
      </c>
      <c r="J9376">
        <v>0</v>
      </c>
      <c r="K9376">
        <v>0</v>
      </c>
      <c r="L9376">
        <v>0</v>
      </c>
      <c r="M9376">
        <v>0</v>
      </c>
      <c r="N9376">
        <v>0</v>
      </c>
      <c r="O9376">
        <v>0</v>
      </c>
    </row>
    <row r="9377" spans="1:15" x14ac:dyDescent="0.35">
      <c r="A9377" t="s">
        <v>10100</v>
      </c>
      <c r="B9377" t="s">
        <v>10101</v>
      </c>
      <c r="C9377" t="s">
        <v>520</v>
      </c>
      <c r="D9377" t="s">
        <v>293</v>
      </c>
      <c r="E9377" t="s">
        <v>308</v>
      </c>
      <c r="F9377" t="s">
        <v>10109</v>
      </c>
      <c r="G9377">
        <v>0</v>
      </c>
      <c r="H9377">
        <v>0</v>
      </c>
      <c r="I9377">
        <v>0</v>
      </c>
      <c r="J9377">
        <v>0</v>
      </c>
      <c r="K9377">
        <v>0</v>
      </c>
      <c r="L9377">
        <v>0</v>
      </c>
      <c r="M9377">
        <v>0</v>
      </c>
      <c r="N9377">
        <v>0</v>
      </c>
      <c r="O9377">
        <v>0</v>
      </c>
    </row>
    <row r="9378" spans="1:15" x14ac:dyDescent="0.35">
      <c r="A9378" t="s">
        <v>10100</v>
      </c>
      <c r="B9378" t="s">
        <v>10101</v>
      </c>
      <c r="C9378" t="s">
        <v>520</v>
      </c>
      <c r="D9378" t="s">
        <v>293</v>
      </c>
      <c r="E9378" t="s">
        <v>310</v>
      </c>
      <c r="F9378" t="s">
        <v>10110</v>
      </c>
      <c r="G9378">
        <v>1644</v>
      </c>
      <c r="H9378">
        <v>222582.76</v>
      </c>
      <c r="I9378">
        <v>135.38999999999999</v>
      </c>
      <c r="J9378">
        <v>0</v>
      </c>
      <c r="K9378">
        <v>0</v>
      </c>
      <c r="L9378">
        <v>0</v>
      </c>
      <c r="M9378">
        <v>1644</v>
      </c>
      <c r="N9378">
        <v>222582.76</v>
      </c>
      <c r="O9378">
        <v>135.38999999999999</v>
      </c>
    </row>
    <row r="9379" spans="1:15" x14ac:dyDescent="0.35">
      <c r="A9379" t="s">
        <v>10100</v>
      </c>
      <c r="B9379" t="s">
        <v>10101</v>
      </c>
      <c r="C9379" t="s">
        <v>520</v>
      </c>
      <c r="D9379" t="s">
        <v>293</v>
      </c>
      <c r="E9379" t="s">
        <v>312</v>
      </c>
      <c r="F9379" t="s">
        <v>10111</v>
      </c>
      <c r="G9379">
        <v>1644</v>
      </c>
      <c r="H9379">
        <v>222582.76</v>
      </c>
      <c r="I9379">
        <v>135.38999999999999</v>
      </c>
      <c r="J9379">
        <v>0</v>
      </c>
      <c r="K9379">
        <v>0</v>
      </c>
      <c r="L9379">
        <v>0</v>
      </c>
      <c r="M9379">
        <v>1644</v>
      </c>
      <c r="N9379">
        <v>222582.76</v>
      </c>
      <c r="O9379">
        <v>135.38999999999999</v>
      </c>
    </row>
    <row r="9380" spans="1:15" x14ac:dyDescent="0.35">
      <c r="A9380" t="s">
        <v>10100</v>
      </c>
      <c r="B9380" t="s">
        <v>10101</v>
      </c>
      <c r="C9380" t="s">
        <v>520</v>
      </c>
      <c r="D9380" t="s">
        <v>314</v>
      </c>
      <c r="E9380" t="s">
        <v>294</v>
      </c>
      <c r="F9380" t="s">
        <v>10112</v>
      </c>
      <c r="G9380">
        <v>317</v>
      </c>
      <c r="H9380">
        <v>57278.47</v>
      </c>
      <c r="I9380">
        <v>180.69</v>
      </c>
      <c r="J9380">
        <v>0</v>
      </c>
      <c r="K9380">
        <v>0</v>
      </c>
      <c r="L9380">
        <v>0</v>
      </c>
      <c r="M9380">
        <v>317</v>
      </c>
      <c r="N9380">
        <v>57278.47</v>
      </c>
      <c r="O9380">
        <v>180.69</v>
      </c>
    </row>
    <row r="9381" spans="1:15" x14ac:dyDescent="0.35">
      <c r="A9381" t="s">
        <v>10100</v>
      </c>
      <c r="B9381" t="s">
        <v>10101</v>
      </c>
      <c r="C9381" t="s">
        <v>520</v>
      </c>
      <c r="D9381" t="s">
        <v>314</v>
      </c>
      <c r="E9381" t="s">
        <v>296</v>
      </c>
      <c r="F9381" t="s">
        <v>10113</v>
      </c>
      <c r="G9381">
        <v>235</v>
      </c>
      <c r="H9381">
        <v>44713.789999999994</v>
      </c>
      <c r="I9381">
        <v>190.27</v>
      </c>
      <c r="J9381">
        <v>0</v>
      </c>
      <c r="K9381">
        <v>0</v>
      </c>
      <c r="L9381">
        <v>0</v>
      </c>
      <c r="M9381">
        <v>235</v>
      </c>
      <c r="N9381">
        <v>44713.789999999994</v>
      </c>
      <c r="O9381">
        <v>190.27</v>
      </c>
    </row>
    <row r="9382" spans="1:15" x14ac:dyDescent="0.35">
      <c r="A9382" t="s">
        <v>10100</v>
      </c>
      <c r="B9382" t="s">
        <v>10101</v>
      </c>
      <c r="C9382" t="s">
        <v>520</v>
      </c>
      <c r="D9382" t="s">
        <v>314</v>
      </c>
      <c r="E9382" t="s">
        <v>298</v>
      </c>
      <c r="F9382" t="s">
        <v>10114</v>
      </c>
      <c r="G9382">
        <v>0</v>
      </c>
      <c r="H9382">
        <v>0</v>
      </c>
      <c r="I9382">
        <v>0</v>
      </c>
      <c r="J9382">
        <v>0</v>
      </c>
      <c r="K9382">
        <v>0</v>
      </c>
      <c r="L9382">
        <v>0</v>
      </c>
      <c r="M9382">
        <v>0</v>
      </c>
      <c r="N9382">
        <v>0</v>
      </c>
      <c r="O9382">
        <v>0</v>
      </c>
    </row>
    <row r="9383" spans="1:15" x14ac:dyDescent="0.35">
      <c r="A9383" t="s">
        <v>10100</v>
      </c>
      <c r="B9383" t="s">
        <v>10101</v>
      </c>
      <c r="C9383" t="s">
        <v>520</v>
      </c>
      <c r="D9383" t="s">
        <v>314</v>
      </c>
      <c r="E9383" t="s">
        <v>300</v>
      </c>
      <c r="F9383" t="s">
        <v>10115</v>
      </c>
      <c r="G9383">
        <v>0</v>
      </c>
      <c r="H9383">
        <v>0</v>
      </c>
      <c r="I9383">
        <v>0</v>
      </c>
      <c r="J9383">
        <v>0</v>
      </c>
      <c r="K9383">
        <v>0</v>
      </c>
      <c r="L9383">
        <v>0</v>
      </c>
      <c r="M9383">
        <v>0</v>
      </c>
      <c r="N9383">
        <v>0</v>
      </c>
      <c r="O9383">
        <v>0</v>
      </c>
    </row>
    <row r="9384" spans="1:15" x14ac:dyDescent="0.35">
      <c r="A9384" t="s">
        <v>10100</v>
      </c>
      <c r="B9384" t="s">
        <v>10101</v>
      </c>
      <c r="C9384" t="s">
        <v>520</v>
      </c>
      <c r="D9384" t="s">
        <v>314</v>
      </c>
      <c r="E9384" t="s">
        <v>306</v>
      </c>
      <c r="F9384" t="s">
        <v>10116</v>
      </c>
      <c r="G9384">
        <v>0</v>
      </c>
      <c r="H9384">
        <v>0</v>
      </c>
      <c r="I9384">
        <v>0</v>
      </c>
      <c r="J9384">
        <v>0</v>
      </c>
      <c r="K9384">
        <v>0</v>
      </c>
      <c r="L9384">
        <v>0</v>
      </c>
      <c r="M9384">
        <v>0</v>
      </c>
      <c r="N9384">
        <v>0</v>
      </c>
      <c r="O9384">
        <v>0</v>
      </c>
    </row>
    <row r="9385" spans="1:15" x14ac:dyDescent="0.35">
      <c r="A9385" t="s">
        <v>10100</v>
      </c>
      <c r="B9385" t="s">
        <v>10101</v>
      </c>
      <c r="C9385" t="s">
        <v>520</v>
      </c>
      <c r="D9385" t="s">
        <v>314</v>
      </c>
      <c r="E9385" t="s">
        <v>308</v>
      </c>
      <c r="F9385" t="s">
        <v>10117</v>
      </c>
      <c r="G9385">
        <v>0</v>
      </c>
      <c r="H9385">
        <v>0</v>
      </c>
      <c r="I9385">
        <v>0</v>
      </c>
      <c r="J9385">
        <v>0</v>
      </c>
      <c r="K9385">
        <v>0</v>
      </c>
      <c r="L9385">
        <v>0</v>
      </c>
      <c r="M9385">
        <v>0</v>
      </c>
      <c r="N9385">
        <v>0</v>
      </c>
      <c r="O9385">
        <v>0</v>
      </c>
    </row>
    <row r="9386" spans="1:15" x14ac:dyDescent="0.35">
      <c r="A9386" t="s">
        <v>10100</v>
      </c>
      <c r="B9386" t="s">
        <v>10101</v>
      </c>
      <c r="C9386" t="s">
        <v>520</v>
      </c>
      <c r="D9386" t="s">
        <v>314</v>
      </c>
      <c r="E9386" t="s">
        <v>312</v>
      </c>
      <c r="F9386" t="s">
        <v>10118</v>
      </c>
      <c r="G9386">
        <v>552</v>
      </c>
      <c r="H9386">
        <v>101992.26</v>
      </c>
      <c r="I9386">
        <v>184.77</v>
      </c>
      <c r="J9386">
        <v>0</v>
      </c>
      <c r="K9386">
        <v>0</v>
      </c>
      <c r="L9386">
        <v>0</v>
      </c>
      <c r="M9386">
        <v>552</v>
      </c>
      <c r="N9386">
        <v>101992.26</v>
      </c>
      <c r="O9386">
        <v>184.77</v>
      </c>
    </row>
    <row r="9387" spans="1:15" x14ac:dyDescent="0.35">
      <c r="A9387" t="s">
        <v>10100</v>
      </c>
      <c r="B9387" t="s">
        <v>10101</v>
      </c>
      <c r="C9387" t="s">
        <v>520</v>
      </c>
      <c r="D9387" t="s">
        <v>314</v>
      </c>
      <c r="E9387" t="s">
        <v>310</v>
      </c>
      <c r="F9387" t="s">
        <v>10119</v>
      </c>
      <c r="G9387">
        <v>552</v>
      </c>
      <c r="H9387">
        <v>101992.26</v>
      </c>
      <c r="I9387">
        <v>184.77</v>
      </c>
      <c r="J9387">
        <v>0</v>
      </c>
      <c r="K9387">
        <v>0</v>
      </c>
      <c r="L9387">
        <v>0</v>
      </c>
      <c r="M9387">
        <v>552</v>
      </c>
      <c r="N9387">
        <v>101992.26</v>
      </c>
      <c r="O9387">
        <v>184.77</v>
      </c>
    </row>
    <row r="9388" spans="1:15" x14ac:dyDescent="0.35">
      <c r="A9388" t="s">
        <v>10100</v>
      </c>
      <c r="B9388" t="s">
        <v>10101</v>
      </c>
      <c r="C9388" t="s">
        <v>520</v>
      </c>
      <c r="D9388" t="s">
        <v>323</v>
      </c>
      <c r="E9388" t="s">
        <v>294</v>
      </c>
      <c r="F9388" t="s">
        <v>10120</v>
      </c>
      <c r="G9388">
        <v>2411</v>
      </c>
      <c r="H9388">
        <v>207112.40999999997</v>
      </c>
      <c r="I9388">
        <v>85.9</v>
      </c>
      <c r="J9388">
        <v>0</v>
      </c>
      <c r="K9388">
        <v>0</v>
      </c>
      <c r="L9388">
        <v>0</v>
      </c>
      <c r="M9388">
        <v>2411</v>
      </c>
      <c r="N9388">
        <v>207112.40999999997</v>
      </c>
      <c r="O9388">
        <v>85.9</v>
      </c>
    </row>
    <row r="9389" spans="1:15" x14ac:dyDescent="0.35">
      <c r="A9389" t="s">
        <v>10100</v>
      </c>
      <c r="B9389" t="s">
        <v>10101</v>
      </c>
      <c r="C9389" t="s">
        <v>520</v>
      </c>
      <c r="D9389" t="s">
        <v>323</v>
      </c>
      <c r="E9389" t="s">
        <v>296</v>
      </c>
      <c r="F9389" t="s">
        <v>10121</v>
      </c>
      <c r="G9389">
        <v>3915</v>
      </c>
      <c r="H9389">
        <v>389289.22000000003</v>
      </c>
      <c r="I9389">
        <v>99.44</v>
      </c>
      <c r="J9389">
        <v>0</v>
      </c>
      <c r="K9389">
        <v>0</v>
      </c>
      <c r="L9389">
        <v>0</v>
      </c>
      <c r="M9389">
        <v>3915</v>
      </c>
      <c r="N9389">
        <v>389289.22000000003</v>
      </c>
      <c r="O9389">
        <v>99.44</v>
      </c>
    </row>
    <row r="9390" spans="1:15" x14ac:dyDescent="0.35">
      <c r="A9390" t="s">
        <v>10100</v>
      </c>
      <c r="B9390" t="s">
        <v>10101</v>
      </c>
      <c r="C9390" t="s">
        <v>520</v>
      </c>
      <c r="D9390" t="s">
        <v>323</v>
      </c>
      <c r="E9390" t="s">
        <v>298</v>
      </c>
      <c r="F9390" t="s">
        <v>10122</v>
      </c>
      <c r="G9390">
        <v>6681</v>
      </c>
      <c r="H9390">
        <v>740845.25999999989</v>
      </c>
      <c r="I9390">
        <v>110.89</v>
      </c>
      <c r="J9390">
        <v>0</v>
      </c>
      <c r="K9390">
        <v>0</v>
      </c>
      <c r="L9390">
        <v>0</v>
      </c>
      <c r="M9390">
        <v>6681</v>
      </c>
      <c r="N9390">
        <v>740845.25999999989</v>
      </c>
      <c r="O9390">
        <v>110.89</v>
      </c>
    </row>
    <row r="9391" spans="1:15" x14ac:dyDescent="0.35">
      <c r="A9391" t="s">
        <v>10100</v>
      </c>
      <c r="B9391" t="s">
        <v>10101</v>
      </c>
      <c r="C9391" t="s">
        <v>520</v>
      </c>
      <c r="D9391" t="s">
        <v>323</v>
      </c>
      <c r="E9391" t="s">
        <v>300</v>
      </c>
      <c r="F9391" t="s">
        <v>10123</v>
      </c>
      <c r="G9391">
        <v>972</v>
      </c>
      <c r="H9391">
        <v>114004.09999999999</v>
      </c>
      <c r="I9391">
        <v>117.29</v>
      </c>
      <c r="J9391">
        <v>0</v>
      </c>
      <c r="K9391">
        <v>0</v>
      </c>
      <c r="L9391">
        <v>0</v>
      </c>
      <c r="M9391">
        <v>972</v>
      </c>
      <c r="N9391">
        <v>114004.09999999999</v>
      </c>
      <c r="O9391">
        <v>117.29</v>
      </c>
    </row>
    <row r="9392" spans="1:15" x14ac:dyDescent="0.35">
      <c r="A9392" t="s">
        <v>10100</v>
      </c>
      <c r="B9392" t="s">
        <v>10101</v>
      </c>
      <c r="C9392" t="s">
        <v>520</v>
      </c>
      <c r="D9392" t="s">
        <v>323</v>
      </c>
      <c r="E9392" t="s">
        <v>302</v>
      </c>
      <c r="F9392" t="s">
        <v>10124</v>
      </c>
      <c r="G9392">
        <v>23</v>
      </c>
      <c r="H9392">
        <v>2885.06</v>
      </c>
      <c r="I9392">
        <v>125.44</v>
      </c>
      <c r="J9392">
        <v>0</v>
      </c>
      <c r="K9392">
        <v>0</v>
      </c>
      <c r="L9392">
        <v>0</v>
      </c>
      <c r="M9392">
        <v>23</v>
      </c>
      <c r="N9392">
        <v>2885.06</v>
      </c>
      <c r="O9392">
        <v>125.44</v>
      </c>
    </row>
    <row r="9393" spans="1:15" x14ac:dyDescent="0.35">
      <c r="A9393" t="s">
        <v>10100</v>
      </c>
      <c r="B9393" t="s">
        <v>10101</v>
      </c>
      <c r="C9393" t="s">
        <v>520</v>
      </c>
      <c r="D9393" t="s">
        <v>323</v>
      </c>
      <c r="E9393" t="s">
        <v>304</v>
      </c>
      <c r="F9393" t="s">
        <v>10125</v>
      </c>
      <c r="G9393">
        <v>4</v>
      </c>
      <c r="H9393">
        <v>600.76</v>
      </c>
      <c r="I9393">
        <v>150.19</v>
      </c>
      <c r="J9393">
        <v>0</v>
      </c>
      <c r="K9393">
        <v>0</v>
      </c>
      <c r="L9393">
        <v>0</v>
      </c>
      <c r="M9393">
        <v>4</v>
      </c>
      <c r="N9393">
        <v>600.76</v>
      </c>
      <c r="O9393">
        <v>150.19</v>
      </c>
    </row>
    <row r="9394" spans="1:15" x14ac:dyDescent="0.35">
      <c r="A9394" t="s">
        <v>10100</v>
      </c>
      <c r="B9394" t="s">
        <v>10101</v>
      </c>
      <c r="C9394" t="s">
        <v>520</v>
      </c>
      <c r="D9394" t="s">
        <v>323</v>
      </c>
      <c r="E9394" t="s">
        <v>306</v>
      </c>
      <c r="F9394" t="s">
        <v>10126</v>
      </c>
      <c r="G9394">
        <v>4</v>
      </c>
      <c r="H9394">
        <v>317</v>
      </c>
      <c r="I9394">
        <v>79.25</v>
      </c>
      <c r="J9394">
        <v>0</v>
      </c>
      <c r="K9394">
        <v>0</v>
      </c>
      <c r="L9394">
        <v>0</v>
      </c>
      <c r="M9394">
        <v>4</v>
      </c>
      <c r="N9394">
        <v>317</v>
      </c>
      <c r="O9394">
        <v>79.25</v>
      </c>
    </row>
    <row r="9395" spans="1:15" x14ac:dyDescent="0.35">
      <c r="A9395" t="s">
        <v>10100</v>
      </c>
      <c r="B9395" t="s">
        <v>10101</v>
      </c>
      <c r="C9395" t="s">
        <v>520</v>
      </c>
      <c r="D9395" t="s">
        <v>323</v>
      </c>
      <c r="E9395" t="s">
        <v>308</v>
      </c>
      <c r="F9395" t="s">
        <v>10127</v>
      </c>
      <c r="G9395">
        <v>4</v>
      </c>
      <c r="H9395">
        <v>317.24</v>
      </c>
      <c r="I9395">
        <v>79.31</v>
      </c>
      <c r="J9395">
        <v>0</v>
      </c>
      <c r="K9395">
        <v>0</v>
      </c>
      <c r="L9395">
        <v>0</v>
      </c>
      <c r="M9395">
        <v>4</v>
      </c>
      <c r="N9395">
        <v>317.24</v>
      </c>
      <c r="O9395">
        <v>79.31</v>
      </c>
    </row>
    <row r="9396" spans="1:15" x14ac:dyDescent="0.35">
      <c r="A9396" t="s">
        <v>10100</v>
      </c>
      <c r="B9396" t="s">
        <v>10101</v>
      </c>
      <c r="C9396" t="s">
        <v>520</v>
      </c>
      <c r="D9396" t="s">
        <v>323</v>
      </c>
      <c r="E9396" t="s">
        <v>310</v>
      </c>
      <c r="F9396" t="s">
        <v>10128</v>
      </c>
      <c r="G9396">
        <v>14014</v>
      </c>
      <c r="H9396">
        <v>1455371.05</v>
      </c>
      <c r="I9396">
        <v>103.85</v>
      </c>
      <c r="J9396">
        <v>0</v>
      </c>
      <c r="K9396">
        <v>0</v>
      </c>
      <c r="L9396">
        <v>0</v>
      </c>
      <c r="M9396">
        <v>14014</v>
      </c>
      <c r="N9396">
        <v>1455371.05</v>
      </c>
      <c r="O9396">
        <v>103.85</v>
      </c>
    </row>
    <row r="9397" spans="1:15" x14ac:dyDescent="0.35">
      <c r="A9397" t="s">
        <v>10100</v>
      </c>
      <c r="B9397" t="s">
        <v>10101</v>
      </c>
      <c r="C9397" t="s">
        <v>520</v>
      </c>
      <c r="D9397" t="s">
        <v>323</v>
      </c>
      <c r="E9397" t="s">
        <v>312</v>
      </c>
      <c r="F9397" t="s">
        <v>10129</v>
      </c>
      <c r="G9397">
        <v>14010</v>
      </c>
      <c r="H9397">
        <v>1455053.81</v>
      </c>
      <c r="I9397">
        <v>103.86</v>
      </c>
      <c r="J9397">
        <v>0</v>
      </c>
      <c r="K9397">
        <v>0</v>
      </c>
      <c r="L9397">
        <v>0</v>
      </c>
      <c r="M9397">
        <v>14010</v>
      </c>
      <c r="N9397">
        <v>1455053.81</v>
      </c>
      <c r="O9397">
        <v>103.86</v>
      </c>
    </row>
    <row r="9398" spans="1:15" x14ac:dyDescent="0.35">
      <c r="A9398" t="s">
        <v>10100</v>
      </c>
      <c r="B9398" t="s">
        <v>10101</v>
      </c>
      <c r="C9398" t="s">
        <v>520</v>
      </c>
      <c r="D9398" t="s">
        <v>334</v>
      </c>
      <c r="E9398" t="s">
        <v>312</v>
      </c>
      <c r="F9398" t="s">
        <v>10130</v>
      </c>
      <c r="G9398">
        <v>16076</v>
      </c>
      <c r="H9398">
        <v>1677636.57</v>
      </c>
      <c r="I9398">
        <v>107.17</v>
      </c>
      <c r="J9398">
        <v>0</v>
      </c>
      <c r="K9398">
        <v>0</v>
      </c>
      <c r="L9398">
        <v>0</v>
      </c>
      <c r="M9398">
        <v>16076</v>
      </c>
      <c r="N9398">
        <v>1677636.57</v>
      </c>
      <c r="O9398">
        <v>107.17</v>
      </c>
    </row>
    <row r="9399" spans="1:15" x14ac:dyDescent="0.35">
      <c r="A9399" t="s">
        <v>10100</v>
      </c>
      <c r="B9399" t="s">
        <v>10101</v>
      </c>
      <c r="C9399" t="s">
        <v>520</v>
      </c>
      <c r="D9399" t="s">
        <v>334</v>
      </c>
      <c r="E9399" t="s">
        <v>308</v>
      </c>
      <c r="F9399" t="s">
        <v>10131</v>
      </c>
      <c r="G9399">
        <v>4</v>
      </c>
      <c r="H9399">
        <v>317.24</v>
      </c>
      <c r="I9399">
        <v>79.31</v>
      </c>
      <c r="J9399">
        <v>0</v>
      </c>
      <c r="K9399">
        <v>0</v>
      </c>
      <c r="L9399">
        <v>0</v>
      </c>
      <c r="M9399">
        <v>4</v>
      </c>
      <c r="N9399">
        <v>317.24</v>
      </c>
      <c r="O9399">
        <v>79.31</v>
      </c>
    </row>
    <row r="9400" spans="1:15" x14ac:dyDescent="0.35">
      <c r="A9400" t="s">
        <v>10100</v>
      </c>
      <c r="B9400" t="s">
        <v>10101</v>
      </c>
      <c r="C9400" t="s">
        <v>520</v>
      </c>
      <c r="D9400" t="s">
        <v>337</v>
      </c>
      <c r="E9400" t="s">
        <v>337</v>
      </c>
      <c r="F9400" t="s">
        <v>10132</v>
      </c>
      <c r="G9400">
        <v>853</v>
      </c>
      <c r="J9400">
        <v>0</v>
      </c>
      <c r="M9400">
        <v>853</v>
      </c>
    </row>
    <row r="9401" spans="1:15" x14ac:dyDescent="0.35">
      <c r="A9401" t="s">
        <v>10100</v>
      </c>
      <c r="B9401" t="s">
        <v>10101</v>
      </c>
      <c r="C9401" t="s">
        <v>520</v>
      </c>
      <c r="D9401" t="s">
        <v>339</v>
      </c>
      <c r="E9401" t="s">
        <v>294</v>
      </c>
      <c r="F9401" t="s">
        <v>10133</v>
      </c>
      <c r="G9401">
        <v>940</v>
      </c>
      <c r="H9401">
        <v>95766.34</v>
      </c>
      <c r="I9401">
        <v>101.88</v>
      </c>
      <c r="J9401">
        <v>0</v>
      </c>
      <c r="K9401">
        <v>0</v>
      </c>
      <c r="L9401">
        <v>0</v>
      </c>
      <c r="M9401">
        <v>940</v>
      </c>
      <c r="N9401">
        <v>95766.34</v>
      </c>
      <c r="O9401">
        <v>101.88</v>
      </c>
    </row>
    <row r="9402" spans="1:15" x14ac:dyDescent="0.35">
      <c r="A9402" t="s">
        <v>10100</v>
      </c>
      <c r="B9402" t="s">
        <v>10101</v>
      </c>
      <c r="C9402" t="s">
        <v>520</v>
      </c>
      <c r="D9402" t="s">
        <v>339</v>
      </c>
      <c r="E9402" t="s">
        <v>296</v>
      </c>
      <c r="F9402" t="s">
        <v>10134</v>
      </c>
      <c r="G9402">
        <v>362</v>
      </c>
      <c r="H9402">
        <v>37934.76</v>
      </c>
      <c r="I9402">
        <v>104.79</v>
      </c>
      <c r="J9402">
        <v>0</v>
      </c>
      <c r="K9402">
        <v>0</v>
      </c>
      <c r="L9402">
        <v>0</v>
      </c>
      <c r="M9402">
        <v>362</v>
      </c>
      <c r="N9402">
        <v>37934.76</v>
      </c>
      <c r="O9402">
        <v>104.79</v>
      </c>
    </row>
    <row r="9403" spans="1:15" x14ac:dyDescent="0.35">
      <c r="A9403" t="s">
        <v>10100</v>
      </c>
      <c r="B9403" t="s">
        <v>10101</v>
      </c>
      <c r="C9403" t="s">
        <v>520</v>
      </c>
      <c r="D9403" t="s">
        <v>339</v>
      </c>
      <c r="E9403" t="s">
        <v>298</v>
      </c>
      <c r="F9403" t="s">
        <v>10135</v>
      </c>
      <c r="G9403">
        <v>29</v>
      </c>
      <c r="H9403">
        <v>3516.44</v>
      </c>
      <c r="I9403">
        <v>121.26</v>
      </c>
      <c r="J9403">
        <v>0</v>
      </c>
      <c r="K9403">
        <v>0</v>
      </c>
      <c r="L9403">
        <v>0</v>
      </c>
      <c r="M9403">
        <v>29</v>
      </c>
      <c r="N9403">
        <v>3516.44</v>
      </c>
      <c r="O9403">
        <v>121.26</v>
      </c>
    </row>
    <row r="9404" spans="1:15" x14ac:dyDescent="0.35">
      <c r="A9404" t="s">
        <v>10100</v>
      </c>
      <c r="B9404" t="s">
        <v>10101</v>
      </c>
      <c r="C9404" t="s">
        <v>520</v>
      </c>
      <c r="D9404" t="s">
        <v>339</v>
      </c>
      <c r="E9404" t="s">
        <v>300</v>
      </c>
      <c r="F9404" t="s">
        <v>10136</v>
      </c>
      <c r="G9404">
        <v>2</v>
      </c>
      <c r="H9404">
        <v>390.28</v>
      </c>
      <c r="I9404">
        <v>195.14</v>
      </c>
      <c r="J9404">
        <v>0</v>
      </c>
      <c r="K9404">
        <v>0</v>
      </c>
      <c r="L9404">
        <v>0</v>
      </c>
      <c r="M9404">
        <v>2</v>
      </c>
      <c r="N9404">
        <v>390.28</v>
      </c>
      <c r="O9404">
        <v>195.14</v>
      </c>
    </row>
    <row r="9405" spans="1:15" x14ac:dyDescent="0.35">
      <c r="A9405" t="s">
        <v>10100</v>
      </c>
      <c r="B9405" t="s">
        <v>10101</v>
      </c>
      <c r="C9405" t="s">
        <v>520</v>
      </c>
      <c r="D9405" t="s">
        <v>339</v>
      </c>
      <c r="E9405" t="s">
        <v>306</v>
      </c>
      <c r="F9405" t="s">
        <v>10137</v>
      </c>
      <c r="G9405">
        <v>23</v>
      </c>
      <c r="H9405">
        <v>2019.35</v>
      </c>
      <c r="I9405">
        <v>87.8</v>
      </c>
      <c r="J9405">
        <v>0</v>
      </c>
      <c r="K9405">
        <v>0</v>
      </c>
      <c r="L9405">
        <v>0</v>
      </c>
      <c r="M9405">
        <v>23</v>
      </c>
      <c r="N9405">
        <v>2019.35</v>
      </c>
      <c r="O9405">
        <v>87.8</v>
      </c>
    </row>
    <row r="9406" spans="1:15" x14ac:dyDescent="0.35">
      <c r="A9406" t="s">
        <v>10100</v>
      </c>
      <c r="B9406" t="s">
        <v>10101</v>
      </c>
      <c r="C9406" t="s">
        <v>520</v>
      </c>
      <c r="D9406" t="s">
        <v>339</v>
      </c>
      <c r="E9406" t="s">
        <v>308</v>
      </c>
      <c r="F9406" t="s">
        <v>10138</v>
      </c>
      <c r="G9406">
        <v>176</v>
      </c>
      <c r="H9406">
        <v>27637.13</v>
      </c>
      <c r="I9406">
        <v>157.03</v>
      </c>
      <c r="J9406">
        <v>0</v>
      </c>
      <c r="K9406">
        <v>0</v>
      </c>
      <c r="L9406">
        <v>0</v>
      </c>
      <c r="M9406">
        <v>176</v>
      </c>
      <c r="N9406">
        <v>27637.13</v>
      </c>
      <c r="O9406">
        <v>157.03</v>
      </c>
    </row>
    <row r="9407" spans="1:15" x14ac:dyDescent="0.35">
      <c r="A9407" t="s">
        <v>10100</v>
      </c>
      <c r="B9407" t="s">
        <v>10101</v>
      </c>
      <c r="C9407" t="s">
        <v>520</v>
      </c>
      <c r="D9407" t="s">
        <v>339</v>
      </c>
      <c r="E9407" t="s">
        <v>310</v>
      </c>
      <c r="F9407" t="s">
        <v>10139</v>
      </c>
      <c r="G9407">
        <v>1532</v>
      </c>
      <c r="H9407">
        <v>167264.30000000002</v>
      </c>
      <c r="I9407">
        <v>109.18</v>
      </c>
      <c r="J9407">
        <v>0</v>
      </c>
      <c r="K9407">
        <v>0</v>
      </c>
      <c r="L9407">
        <v>0</v>
      </c>
      <c r="M9407">
        <v>1532</v>
      </c>
      <c r="N9407">
        <v>167264.30000000002</v>
      </c>
      <c r="O9407">
        <v>109.18</v>
      </c>
    </row>
    <row r="9408" spans="1:15" x14ac:dyDescent="0.35">
      <c r="A9408" t="s">
        <v>10100</v>
      </c>
      <c r="B9408" t="s">
        <v>10101</v>
      </c>
      <c r="C9408" t="s">
        <v>520</v>
      </c>
      <c r="D9408" t="s">
        <v>339</v>
      </c>
      <c r="E9408" t="s">
        <v>312</v>
      </c>
      <c r="F9408" t="s">
        <v>10140</v>
      </c>
      <c r="G9408">
        <v>1356</v>
      </c>
      <c r="H9408">
        <v>139627.17000000001</v>
      </c>
      <c r="I9408">
        <v>102.97</v>
      </c>
      <c r="J9408">
        <v>0</v>
      </c>
      <c r="K9408">
        <v>0</v>
      </c>
      <c r="L9408">
        <v>0</v>
      </c>
      <c r="M9408">
        <v>1356</v>
      </c>
      <c r="N9408">
        <v>139627.17000000001</v>
      </c>
      <c r="O9408">
        <v>102.97</v>
      </c>
    </row>
    <row r="9409" spans="1:15" x14ac:dyDescent="0.35">
      <c r="A9409" t="s">
        <v>10100</v>
      </c>
      <c r="B9409" t="s">
        <v>10101</v>
      </c>
      <c r="C9409" t="s">
        <v>520</v>
      </c>
      <c r="D9409" t="s">
        <v>348</v>
      </c>
      <c r="E9409" t="s">
        <v>349</v>
      </c>
      <c r="F9409" t="s">
        <v>10141</v>
      </c>
      <c r="G9409">
        <v>2212</v>
      </c>
      <c r="H9409">
        <v>269256.56</v>
      </c>
      <c r="I9409">
        <v>129.19999999999999</v>
      </c>
      <c r="J9409">
        <v>0</v>
      </c>
      <c r="K9409">
        <v>0</v>
      </c>
      <c r="L9409">
        <v>0</v>
      </c>
      <c r="M9409">
        <v>2212</v>
      </c>
      <c r="N9409">
        <v>269256.56</v>
      </c>
      <c r="O9409">
        <v>129.19999999999999</v>
      </c>
    </row>
    <row r="9410" spans="1:15" x14ac:dyDescent="0.35">
      <c r="A9410" t="s">
        <v>10142</v>
      </c>
      <c r="B9410" t="s">
        <v>10143</v>
      </c>
      <c r="C9410" t="s">
        <v>520</v>
      </c>
      <c r="D9410" t="s">
        <v>293</v>
      </c>
      <c r="E9410" t="s">
        <v>294</v>
      </c>
      <c r="F9410" t="s">
        <v>10144</v>
      </c>
      <c r="G9410">
        <v>558</v>
      </c>
      <c r="H9410">
        <v>63090.55999999999</v>
      </c>
      <c r="I9410">
        <v>113.07</v>
      </c>
      <c r="J9410">
        <v>0</v>
      </c>
      <c r="K9410">
        <v>0</v>
      </c>
      <c r="L9410">
        <v>0</v>
      </c>
      <c r="M9410">
        <v>558</v>
      </c>
      <c r="N9410">
        <v>63090.55999999999</v>
      </c>
      <c r="O9410">
        <v>113.07</v>
      </c>
    </row>
    <row r="9411" spans="1:15" x14ac:dyDescent="0.35">
      <c r="A9411" t="s">
        <v>10142</v>
      </c>
      <c r="B9411" t="s">
        <v>10143</v>
      </c>
      <c r="C9411" t="s">
        <v>520</v>
      </c>
      <c r="D9411" t="s">
        <v>293</v>
      </c>
      <c r="E9411" t="s">
        <v>296</v>
      </c>
      <c r="F9411" t="s">
        <v>10145</v>
      </c>
      <c r="G9411">
        <v>2986</v>
      </c>
      <c r="H9411">
        <v>376156.68</v>
      </c>
      <c r="I9411">
        <v>125.97</v>
      </c>
      <c r="J9411">
        <v>0</v>
      </c>
      <c r="K9411">
        <v>0</v>
      </c>
      <c r="L9411">
        <v>0</v>
      </c>
      <c r="M9411">
        <v>2986</v>
      </c>
      <c r="N9411">
        <v>376156.68</v>
      </c>
      <c r="O9411">
        <v>125.97</v>
      </c>
    </row>
    <row r="9412" spans="1:15" x14ac:dyDescent="0.35">
      <c r="A9412" t="s">
        <v>10142</v>
      </c>
      <c r="B9412" t="s">
        <v>10143</v>
      </c>
      <c r="C9412" t="s">
        <v>520</v>
      </c>
      <c r="D9412" t="s">
        <v>293</v>
      </c>
      <c r="E9412" t="s">
        <v>298</v>
      </c>
      <c r="F9412" t="s">
        <v>10146</v>
      </c>
      <c r="G9412">
        <v>2624</v>
      </c>
      <c r="H9412">
        <v>348310.89000000007</v>
      </c>
      <c r="I9412">
        <v>132.74</v>
      </c>
      <c r="J9412">
        <v>0</v>
      </c>
      <c r="K9412">
        <v>0</v>
      </c>
      <c r="L9412">
        <v>0</v>
      </c>
      <c r="M9412">
        <v>2624</v>
      </c>
      <c r="N9412">
        <v>348310.89000000007</v>
      </c>
      <c r="O9412">
        <v>132.74</v>
      </c>
    </row>
    <row r="9413" spans="1:15" x14ac:dyDescent="0.35">
      <c r="A9413" t="s">
        <v>10142</v>
      </c>
      <c r="B9413" t="s">
        <v>10143</v>
      </c>
      <c r="C9413" t="s">
        <v>520</v>
      </c>
      <c r="D9413" t="s">
        <v>293</v>
      </c>
      <c r="E9413" t="s">
        <v>300</v>
      </c>
      <c r="F9413" t="s">
        <v>10147</v>
      </c>
      <c r="G9413">
        <v>185</v>
      </c>
      <c r="H9413">
        <v>28254.27</v>
      </c>
      <c r="I9413">
        <v>152.72999999999999</v>
      </c>
      <c r="J9413">
        <v>0</v>
      </c>
      <c r="K9413">
        <v>0</v>
      </c>
      <c r="L9413">
        <v>0</v>
      </c>
      <c r="M9413">
        <v>185</v>
      </c>
      <c r="N9413">
        <v>28254.27</v>
      </c>
      <c r="O9413">
        <v>152.72999999999999</v>
      </c>
    </row>
    <row r="9414" spans="1:15" x14ac:dyDescent="0.35">
      <c r="A9414" t="s">
        <v>10142</v>
      </c>
      <c r="B9414" t="s">
        <v>10143</v>
      </c>
      <c r="C9414" t="s">
        <v>520</v>
      </c>
      <c r="D9414" t="s">
        <v>293</v>
      </c>
      <c r="E9414" t="s">
        <v>302</v>
      </c>
      <c r="F9414" t="s">
        <v>10148</v>
      </c>
      <c r="G9414">
        <v>4</v>
      </c>
      <c r="H9414">
        <v>682.31999999999994</v>
      </c>
      <c r="I9414">
        <v>170.58</v>
      </c>
      <c r="J9414">
        <v>0</v>
      </c>
      <c r="K9414">
        <v>0</v>
      </c>
      <c r="L9414">
        <v>0</v>
      </c>
      <c r="M9414">
        <v>4</v>
      </c>
      <c r="N9414">
        <v>682.31999999999994</v>
      </c>
      <c r="O9414">
        <v>170.58</v>
      </c>
    </row>
    <row r="9415" spans="1:15" x14ac:dyDescent="0.35">
      <c r="A9415" t="s">
        <v>10142</v>
      </c>
      <c r="B9415" t="s">
        <v>10143</v>
      </c>
      <c r="C9415" t="s">
        <v>520</v>
      </c>
      <c r="D9415" t="s">
        <v>293</v>
      </c>
      <c r="E9415" t="s">
        <v>304</v>
      </c>
      <c r="F9415" t="s">
        <v>10149</v>
      </c>
      <c r="G9415">
        <v>1</v>
      </c>
      <c r="H9415">
        <v>152</v>
      </c>
      <c r="I9415">
        <v>152</v>
      </c>
      <c r="J9415">
        <v>0</v>
      </c>
      <c r="K9415">
        <v>0</v>
      </c>
      <c r="L9415">
        <v>0</v>
      </c>
      <c r="M9415">
        <v>1</v>
      </c>
      <c r="N9415">
        <v>152</v>
      </c>
      <c r="O9415">
        <v>152</v>
      </c>
    </row>
    <row r="9416" spans="1:15" x14ac:dyDescent="0.35">
      <c r="A9416" t="s">
        <v>10142</v>
      </c>
      <c r="B9416" t="s">
        <v>10143</v>
      </c>
      <c r="C9416" t="s">
        <v>520</v>
      </c>
      <c r="D9416" t="s">
        <v>293</v>
      </c>
      <c r="E9416" t="s">
        <v>306</v>
      </c>
      <c r="F9416" t="s">
        <v>10150</v>
      </c>
      <c r="G9416">
        <v>0</v>
      </c>
      <c r="H9416">
        <v>0</v>
      </c>
      <c r="I9416">
        <v>0</v>
      </c>
      <c r="J9416">
        <v>0</v>
      </c>
      <c r="K9416">
        <v>0</v>
      </c>
      <c r="L9416">
        <v>0</v>
      </c>
      <c r="M9416">
        <v>0</v>
      </c>
      <c r="N9416">
        <v>0</v>
      </c>
      <c r="O9416">
        <v>0</v>
      </c>
    </row>
    <row r="9417" spans="1:15" x14ac:dyDescent="0.35">
      <c r="A9417" t="s">
        <v>10142</v>
      </c>
      <c r="B9417" t="s">
        <v>10143</v>
      </c>
      <c r="C9417" t="s">
        <v>520</v>
      </c>
      <c r="D9417" t="s">
        <v>293</v>
      </c>
      <c r="E9417" t="s">
        <v>308</v>
      </c>
      <c r="F9417" t="s">
        <v>10151</v>
      </c>
      <c r="G9417">
        <v>0</v>
      </c>
      <c r="H9417">
        <v>0</v>
      </c>
      <c r="I9417">
        <v>0</v>
      </c>
      <c r="J9417">
        <v>0</v>
      </c>
      <c r="K9417">
        <v>0</v>
      </c>
      <c r="L9417">
        <v>0</v>
      </c>
      <c r="M9417">
        <v>0</v>
      </c>
      <c r="N9417">
        <v>0</v>
      </c>
      <c r="O9417">
        <v>0</v>
      </c>
    </row>
    <row r="9418" spans="1:15" x14ac:dyDescent="0.35">
      <c r="A9418" t="s">
        <v>10142</v>
      </c>
      <c r="B9418" t="s">
        <v>10143</v>
      </c>
      <c r="C9418" t="s">
        <v>520</v>
      </c>
      <c r="D9418" t="s">
        <v>293</v>
      </c>
      <c r="E9418" t="s">
        <v>310</v>
      </c>
      <c r="F9418" t="s">
        <v>10152</v>
      </c>
      <c r="G9418">
        <v>6358</v>
      </c>
      <c r="H9418">
        <v>816646.72000000009</v>
      </c>
      <c r="I9418">
        <v>128.44</v>
      </c>
      <c r="J9418">
        <v>0</v>
      </c>
      <c r="K9418">
        <v>0</v>
      </c>
      <c r="L9418">
        <v>0</v>
      </c>
      <c r="M9418">
        <v>6358</v>
      </c>
      <c r="N9418">
        <v>816646.72000000009</v>
      </c>
      <c r="O9418">
        <v>128.44</v>
      </c>
    </row>
    <row r="9419" spans="1:15" x14ac:dyDescent="0.35">
      <c r="A9419" t="s">
        <v>10142</v>
      </c>
      <c r="B9419" t="s">
        <v>10143</v>
      </c>
      <c r="C9419" t="s">
        <v>520</v>
      </c>
      <c r="D9419" t="s">
        <v>293</v>
      </c>
      <c r="E9419" t="s">
        <v>312</v>
      </c>
      <c r="F9419" t="s">
        <v>10153</v>
      </c>
      <c r="G9419">
        <v>6358</v>
      </c>
      <c r="H9419">
        <v>816646.72000000009</v>
      </c>
      <c r="I9419">
        <v>128.44</v>
      </c>
      <c r="J9419">
        <v>0</v>
      </c>
      <c r="K9419">
        <v>0</v>
      </c>
      <c r="L9419">
        <v>0</v>
      </c>
      <c r="M9419">
        <v>6358</v>
      </c>
      <c r="N9419">
        <v>816646.72000000009</v>
      </c>
      <c r="O9419">
        <v>128.44</v>
      </c>
    </row>
    <row r="9420" spans="1:15" x14ac:dyDescent="0.35">
      <c r="A9420" t="s">
        <v>10142</v>
      </c>
      <c r="B9420" t="s">
        <v>10143</v>
      </c>
      <c r="C9420" t="s">
        <v>520</v>
      </c>
      <c r="D9420" t="s">
        <v>314</v>
      </c>
      <c r="E9420" t="s">
        <v>294</v>
      </c>
      <c r="F9420" t="s">
        <v>10154</v>
      </c>
      <c r="G9420">
        <v>117</v>
      </c>
      <c r="H9420">
        <v>19934.47</v>
      </c>
      <c r="I9420">
        <v>170.38</v>
      </c>
      <c r="J9420">
        <v>0</v>
      </c>
      <c r="K9420">
        <v>0</v>
      </c>
      <c r="L9420">
        <v>0</v>
      </c>
      <c r="M9420">
        <v>117</v>
      </c>
      <c r="N9420">
        <v>19934.47</v>
      </c>
      <c r="O9420">
        <v>170.38</v>
      </c>
    </row>
    <row r="9421" spans="1:15" x14ac:dyDescent="0.35">
      <c r="A9421" t="s">
        <v>10142</v>
      </c>
      <c r="B9421" t="s">
        <v>10143</v>
      </c>
      <c r="C9421" t="s">
        <v>520</v>
      </c>
      <c r="D9421" t="s">
        <v>314</v>
      </c>
      <c r="E9421" t="s">
        <v>296</v>
      </c>
      <c r="F9421" t="s">
        <v>10155</v>
      </c>
      <c r="G9421">
        <v>66</v>
      </c>
      <c r="H9421">
        <v>12420.25</v>
      </c>
      <c r="I9421">
        <v>188.19</v>
      </c>
      <c r="J9421">
        <v>0</v>
      </c>
      <c r="K9421">
        <v>0</v>
      </c>
      <c r="L9421">
        <v>0</v>
      </c>
      <c r="M9421">
        <v>66</v>
      </c>
      <c r="N9421">
        <v>12420.25</v>
      </c>
      <c r="O9421">
        <v>188.19</v>
      </c>
    </row>
    <row r="9422" spans="1:15" x14ac:dyDescent="0.35">
      <c r="A9422" t="s">
        <v>10142</v>
      </c>
      <c r="B9422" t="s">
        <v>10143</v>
      </c>
      <c r="C9422" t="s">
        <v>520</v>
      </c>
      <c r="D9422" t="s">
        <v>314</v>
      </c>
      <c r="E9422" t="s">
        <v>298</v>
      </c>
      <c r="F9422" t="s">
        <v>10156</v>
      </c>
      <c r="G9422">
        <v>0</v>
      </c>
      <c r="H9422">
        <v>0</v>
      </c>
      <c r="I9422">
        <v>0</v>
      </c>
      <c r="J9422">
        <v>0</v>
      </c>
      <c r="K9422">
        <v>0</v>
      </c>
      <c r="L9422">
        <v>0</v>
      </c>
      <c r="M9422">
        <v>0</v>
      </c>
      <c r="N9422">
        <v>0</v>
      </c>
      <c r="O9422">
        <v>0</v>
      </c>
    </row>
    <row r="9423" spans="1:15" x14ac:dyDescent="0.35">
      <c r="A9423" t="s">
        <v>10142</v>
      </c>
      <c r="B9423" t="s">
        <v>10143</v>
      </c>
      <c r="C9423" t="s">
        <v>520</v>
      </c>
      <c r="D9423" t="s">
        <v>314</v>
      </c>
      <c r="E9423" t="s">
        <v>300</v>
      </c>
      <c r="F9423" t="s">
        <v>10157</v>
      </c>
      <c r="G9423">
        <v>0</v>
      </c>
      <c r="H9423">
        <v>0</v>
      </c>
      <c r="I9423">
        <v>0</v>
      </c>
      <c r="J9423">
        <v>0</v>
      </c>
      <c r="K9423">
        <v>0</v>
      </c>
      <c r="L9423">
        <v>0</v>
      </c>
      <c r="M9423">
        <v>0</v>
      </c>
      <c r="N9423">
        <v>0</v>
      </c>
      <c r="O9423">
        <v>0</v>
      </c>
    </row>
    <row r="9424" spans="1:15" x14ac:dyDescent="0.35">
      <c r="A9424" t="s">
        <v>10142</v>
      </c>
      <c r="B9424" t="s">
        <v>10143</v>
      </c>
      <c r="C9424" t="s">
        <v>520</v>
      </c>
      <c r="D9424" t="s">
        <v>314</v>
      </c>
      <c r="E9424" t="s">
        <v>306</v>
      </c>
      <c r="F9424" t="s">
        <v>10158</v>
      </c>
      <c r="G9424">
        <v>0</v>
      </c>
      <c r="H9424">
        <v>0</v>
      </c>
      <c r="I9424">
        <v>0</v>
      </c>
      <c r="J9424">
        <v>0</v>
      </c>
      <c r="K9424">
        <v>0</v>
      </c>
      <c r="L9424">
        <v>0</v>
      </c>
      <c r="M9424">
        <v>0</v>
      </c>
      <c r="N9424">
        <v>0</v>
      </c>
      <c r="O9424">
        <v>0</v>
      </c>
    </row>
    <row r="9425" spans="1:15" x14ac:dyDescent="0.35">
      <c r="A9425" t="s">
        <v>10142</v>
      </c>
      <c r="B9425" t="s">
        <v>10143</v>
      </c>
      <c r="C9425" t="s">
        <v>520</v>
      </c>
      <c r="D9425" t="s">
        <v>314</v>
      </c>
      <c r="E9425" t="s">
        <v>308</v>
      </c>
      <c r="F9425" t="s">
        <v>10159</v>
      </c>
      <c r="G9425">
        <v>0</v>
      </c>
      <c r="H9425">
        <v>0</v>
      </c>
      <c r="I9425">
        <v>0</v>
      </c>
      <c r="J9425">
        <v>0</v>
      </c>
      <c r="K9425">
        <v>0</v>
      </c>
      <c r="L9425">
        <v>0</v>
      </c>
      <c r="M9425">
        <v>0</v>
      </c>
      <c r="N9425">
        <v>0</v>
      </c>
      <c r="O9425">
        <v>0</v>
      </c>
    </row>
    <row r="9426" spans="1:15" x14ac:dyDescent="0.35">
      <c r="A9426" t="s">
        <v>10142</v>
      </c>
      <c r="B9426" t="s">
        <v>10143</v>
      </c>
      <c r="C9426" t="s">
        <v>520</v>
      </c>
      <c r="D9426" t="s">
        <v>314</v>
      </c>
      <c r="E9426" t="s">
        <v>312</v>
      </c>
      <c r="F9426" t="s">
        <v>10160</v>
      </c>
      <c r="G9426">
        <v>183</v>
      </c>
      <c r="H9426">
        <v>32354.720000000001</v>
      </c>
      <c r="I9426">
        <v>176.8</v>
      </c>
      <c r="J9426">
        <v>0</v>
      </c>
      <c r="K9426">
        <v>0</v>
      </c>
      <c r="L9426">
        <v>0</v>
      </c>
      <c r="M9426">
        <v>183</v>
      </c>
      <c r="N9426">
        <v>32354.720000000001</v>
      </c>
      <c r="O9426">
        <v>176.8</v>
      </c>
    </row>
    <row r="9427" spans="1:15" x14ac:dyDescent="0.35">
      <c r="A9427" t="s">
        <v>10142</v>
      </c>
      <c r="B9427" t="s">
        <v>10143</v>
      </c>
      <c r="C9427" t="s">
        <v>520</v>
      </c>
      <c r="D9427" t="s">
        <v>314</v>
      </c>
      <c r="E9427" t="s">
        <v>310</v>
      </c>
      <c r="F9427" t="s">
        <v>10161</v>
      </c>
      <c r="G9427">
        <v>183</v>
      </c>
      <c r="H9427">
        <v>32354.720000000001</v>
      </c>
      <c r="I9427">
        <v>176.8</v>
      </c>
      <c r="J9427">
        <v>0</v>
      </c>
      <c r="K9427">
        <v>0</v>
      </c>
      <c r="L9427">
        <v>0</v>
      </c>
      <c r="M9427">
        <v>183</v>
      </c>
      <c r="N9427">
        <v>32354.720000000001</v>
      </c>
      <c r="O9427">
        <v>176.8</v>
      </c>
    </row>
    <row r="9428" spans="1:15" x14ac:dyDescent="0.35">
      <c r="A9428" t="s">
        <v>10142</v>
      </c>
      <c r="B9428" t="s">
        <v>10143</v>
      </c>
      <c r="C9428" t="s">
        <v>520</v>
      </c>
      <c r="D9428" t="s">
        <v>323</v>
      </c>
      <c r="E9428" t="s">
        <v>294</v>
      </c>
      <c r="F9428" t="s">
        <v>10162</v>
      </c>
      <c r="G9428">
        <v>7927</v>
      </c>
      <c r="H9428">
        <v>712224.40999999992</v>
      </c>
      <c r="I9428">
        <v>89.85</v>
      </c>
      <c r="J9428">
        <v>0</v>
      </c>
      <c r="K9428">
        <v>0</v>
      </c>
      <c r="L9428">
        <v>0</v>
      </c>
      <c r="M9428">
        <v>7927</v>
      </c>
      <c r="N9428">
        <v>712224.40999999992</v>
      </c>
      <c r="O9428">
        <v>89.85</v>
      </c>
    </row>
    <row r="9429" spans="1:15" x14ac:dyDescent="0.35">
      <c r="A9429" t="s">
        <v>10142</v>
      </c>
      <c r="B9429" t="s">
        <v>10143</v>
      </c>
      <c r="C9429" t="s">
        <v>520</v>
      </c>
      <c r="D9429" t="s">
        <v>323</v>
      </c>
      <c r="E9429" t="s">
        <v>296</v>
      </c>
      <c r="F9429" t="s">
        <v>10163</v>
      </c>
      <c r="G9429">
        <v>13109</v>
      </c>
      <c r="H9429">
        <v>1320648.4500000002</v>
      </c>
      <c r="I9429">
        <v>100.74</v>
      </c>
      <c r="J9429">
        <v>4</v>
      </c>
      <c r="K9429">
        <v>305.60000000000002</v>
      </c>
      <c r="L9429">
        <v>76.400000000000006</v>
      </c>
      <c r="M9429">
        <v>13113</v>
      </c>
      <c r="N9429">
        <v>1320954.0500000003</v>
      </c>
      <c r="O9429">
        <v>100.74</v>
      </c>
    </row>
    <row r="9430" spans="1:15" x14ac:dyDescent="0.35">
      <c r="A9430" t="s">
        <v>10142</v>
      </c>
      <c r="B9430" t="s">
        <v>10143</v>
      </c>
      <c r="C9430" t="s">
        <v>520</v>
      </c>
      <c r="D9430" t="s">
        <v>323</v>
      </c>
      <c r="E9430" t="s">
        <v>298</v>
      </c>
      <c r="F9430" t="s">
        <v>10164</v>
      </c>
      <c r="G9430">
        <v>19537</v>
      </c>
      <c r="H9430">
        <v>2126962.9299999997</v>
      </c>
      <c r="I9430">
        <v>108.87</v>
      </c>
      <c r="J9430">
        <v>1</v>
      </c>
      <c r="K9430">
        <v>85.97</v>
      </c>
      <c r="L9430">
        <v>85.97</v>
      </c>
      <c r="M9430">
        <v>19538</v>
      </c>
      <c r="N9430">
        <v>2127048.9</v>
      </c>
      <c r="O9430">
        <v>108.87</v>
      </c>
    </row>
    <row r="9431" spans="1:15" x14ac:dyDescent="0.35">
      <c r="A9431" t="s">
        <v>10142</v>
      </c>
      <c r="B9431" t="s">
        <v>10143</v>
      </c>
      <c r="C9431" t="s">
        <v>520</v>
      </c>
      <c r="D9431" t="s">
        <v>323</v>
      </c>
      <c r="E9431" t="s">
        <v>300</v>
      </c>
      <c r="F9431" t="s">
        <v>10165</v>
      </c>
      <c r="G9431">
        <v>1624</v>
      </c>
      <c r="H9431">
        <v>193108.82</v>
      </c>
      <c r="I9431">
        <v>118.91</v>
      </c>
      <c r="J9431">
        <v>0</v>
      </c>
      <c r="K9431">
        <v>0</v>
      </c>
      <c r="L9431">
        <v>0</v>
      </c>
      <c r="M9431">
        <v>1624</v>
      </c>
      <c r="N9431">
        <v>193108.82</v>
      </c>
      <c r="O9431">
        <v>118.91</v>
      </c>
    </row>
    <row r="9432" spans="1:15" x14ac:dyDescent="0.35">
      <c r="A9432" t="s">
        <v>10142</v>
      </c>
      <c r="B9432" t="s">
        <v>10143</v>
      </c>
      <c r="C9432" t="s">
        <v>520</v>
      </c>
      <c r="D9432" t="s">
        <v>323</v>
      </c>
      <c r="E9432" t="s">
        <v>302</v>
      </c>
      <c r="F9432" t="s">
        <v>10166</v>
      </c>
      <c r="G9432">
        <v>84</v>
      </c>
      <c r="H9432">
        <v>10457.41</v>
      </c>
      <c r="I9432">
        <v>124.49</v>
      </c>
      <c r="J9432">
        <v>0</v>
      </c>
      <c r="K9432">
        <v>0</v>
      </c>
      <c r="L9432">
        <v>0</v>
      </c>
      <c r="M9432">
        <v>84</v>
      </c>
      <c r="N9432">
        <v>10457.41</v>
      </c>
      <c r="O9432">
        <v>124.49</v>
      </c>
    </row>
    <row r="9433" spans="1:15" x14ac:dyDescent="0.35">
      <c r="A9433" t="s">
        <v>10142</v>
      </c>
      <c r="B9433" t="s">
        <v>10143</v>
      </c>
      <c r="C9433" t="s">
        <v>520</v>
      </c>
      <c r="D9433" t="s">
        <v>323</v>
      </c>
      <c r="E9433" t="s">
        <v>304</v>
      </c>
      <c r="F9433" t="s">
        <v>10167</v>
      </c>
      <c r="G9433">
        <v>20</v>
      </c>
      <c r="H9433">
        <v>2744.84</v>
      </c>
      <c r="I9433">
        <v>137.24</v>
      </c>
      <c r="J9433">
        <v>1</v>
      </c>
      <c r="K9433">
        <v>121.68</v>
      </c>
      <c r="L9433">
        <v>121.68</v>
      </c>
      <c r="M9433">
        <v>21</v>
      </c>
      <c r="N9433">
        <v>2866.52</v>
      </c>
      <c r="O9433">
        <v>136.5</v>
      </c>
    </row>
    <row r="9434" spans="1:15" x14ac:dyDescent="0.35">
      <c r="A9434" t="s">
        <v>10142</v>
      </c>
      <c r="B9434" t="s">
        <v>10143</v>
      </c>
      <c r="C9434" t="s">
        <v>520</v>
      </c>
      <c r="D9434" t="s">
        <v>323</v>
      </c>
      <c r="E9434" t="s">
        <v>306</v>
      </c>
      <c r="F9434" t="s">
        <v>10168</v>
      </c>
      <c r="G9434">
        <v>192</v>
      </c>
      <c r="H9434">
        <v>15667.3</v>
      </c>
      <c r="I9434">
        <v>81.599999999999994</v>
      </c>
      <c r="J9434">
        <v>0</v>
      </c>
      <c r="K9434">
        <v>0</v>
      </c>
      <c r="L9434">
        <v>0</v>
      </c>
      <c r="M9434">
        <v>192</v>
      </c>
      <c r="N9434">
        <v>15667.3</v>
      </c>
      <c r="O9434">
        <v>81.599999999999994</v>
      </c>
    </row>
    <row r="9435" spans="1:15" x14ac:dyDescent="0.35">
      <c r="A9435" t="s">
        <v>10142</v>
      </c>
      <c r="B9435" t="s">
        <v>10143</v>
      </c>
      <c r="C9435" t="s">
        <v>520</v>
      </c>
      <c r="D9435" t="s">
        <v>323</v>
      </c>
      <c r="E9435" t="s">
        <v>308</v>
      </c>
      <c r="F9435" t="s">
        <v>10169</v>
      </c>
      <c r="G9435">
        <v>6</v>
      </c>
      <c r="H9435">
        <v>492</v>
      </c>
      <c r="I9435">
        <v>82</v>
      </c>
      <c r="J9435">
        <v>0</v>
      </c>
      <c r="K9435">
        <v>0</v>
      </c>
      <c r="L9435">
        <v>0</v>
      </c>
      <c r="M9435">
        <v>6</v>
      </c>
      <c r="N9435">
        <v>492</v>
      </c>
      <c r="O9435">
        <v>82</v>
      </c>
    </row>
    <row r="9436" spans="1:15" x14ac:dyDescent="0.35">
      <c r="A9436" t="s">
        <v>10142</v>
      </c>
      <c r="B9436" t="s">
        <v>10143</v>
      </c>
      <c r="C9436" t="s">
        <v>520</v>
      </c>
      <c r="D9436" t="s">
        <v>323</v>
      </c>
      <c r="E9436" t="s">
        <v>310</v>
      </c>
      <c r="F9436" t="s">
        <v>10170</v>
      </c>
      <c r="G9436">
        <v>42499</v>
      </c>
      <c r="H9436">
        <v>4382306.16</v>
      </c>
      <c r="I9436">
        <v>103.12</v>
      </c>
      <c r="J9436">
        <v>6</v>
      </c>
      <c r="K9436">
        <v>513.25</v>
      </c>
      <c r="L9436">
        <v>85.54</v>
      </c>
      <c r="M9436">
        <v>42505</v>
      </c>
      <c r="N9436">
        <v>4382819.41</v>
      </c>
      <c r="O9436">
        <v>103.11</v>
      </c>
    </row>
    <row r="9437" spans="1:15" x14ac:dyDescent="0.35">
      <c r="A9437" t="s">
        <v>10142</v>
      </c>
      <c r="B9437" t="s">
        <v>10143</v>
      </c>
      <c r="C9437" t="s">
        <v>520</v>
      </c>
      <c r="D9437" t="s">
        <v>323</v>
      </c>
      <c r="E9437" t="s">
        <v>312</v>
      </c>
      <c r="F9437" t="s">
        <v>10171</v>
      </c>
      <c r="G9437">
        <v>42493</v>
      </c>
      <c r="H9437">
        <v>4381814.16</v>
      </c>
      <c r="I9437">
        <v>103.12</v>
      </c>
      <c r="J9437">
        <v>6</v>
      </c>
      <c r="K9437">
        <v>513.25</v>
      </c>
      <c r="L9437">
        <v>85.54</v>
      </c>
      <c r="M9437">
        <v>42499</v>
      </c>
      <c r="N9437">
        <v>4382327.41</v>
      </c>
      <c r="O9437">
        <v>103.12</v>
      </c>
    </row>
    <row r="9438" spans="1:15" x14ac:dyDescent="0.35">
      <c r="A9438" t="s">
        <v>10142</v>
      </c>
      <c r="B9438" t="s">
        <v>10143</v>
      </c>
      <c r="C9438" t="s">
        <v>520</v>
      </c>
      <c r="D9438" t="s">
        <v>334</v>
      </c>
      <c r="E9438" t="s">
        <v>312</v>
      </c>
      <c r="F9438" t="s">
        <v>10172</v>
      </c>
      <c r="G9438">
        <v>52054</v>
      </c>
      <c r="H9438">
        <v>5198460.88</v>
      </c>
      <c r="I9438">
        <v>106.41</v>
      </c>
      <c r="J9438">
        <v>6</v>
      </c>
      <c r="K9438">
        <v>513.25</v>
      </c>
      <c r="L9438">
        <v>85.54</v>
      </c>
      <c r="M9438">
        <v>52060</v>
      </c>
      <c r="N9438">
        <v>5198974.13</v>
      </c>
      <c r="O9438">
        <v>106.41</v>
      </c>
    </row>
    <row r="9439" spans="1:15" x14ac:dyDescent="0.35">
      <c r="A9439" t="s">
        <v>10142</v>
      </c>
      <c r="B9439" t="s">
        <v>10143</v>
      </c>
      <c r="C9439" t="s">
        <v>520</v>
      </c>
      <c r="D9439" t="s">
        <v>334</v>
      </c>
      <c r="E9439" t="s">
        <v>308</v>
      </c>
      <c r="F9439" t="s">
        <v>10173</v>
      </c>
      <c r="G9439">
        <v>16</v>
      </c>
      <c r="H9439">
        <v>492</v>
      </c>
      <c r="I9439">
        <v>82</v>
      </c>
      <c r="J9439">
        <v>0</v>
      </c>
      <c r="K9439">
        <v>0</v>
      </c>
      <c r="L9439">
        <v>0</v>
      </c>
      <c r="M9439">
        <v>16</v>
      </c>
      <c r="N9439">
        <v>492</v>
      </c>
      <c r="O9439">
        <v>82</v>
      </c>
    </row>
    <row r="9440" spans="1:15" x14ac:dyDescent="0.35">
      <c r="A9440" t="s">
        <v>10142</v>
      </c>
      <c r="B9440" t="s">
        <v>10143</v>
      </c>
      <c r="C9440" t="s">
        <v>520</v>
      </c>
      <c r="D9440" t="s">
        <v>337</v>
      </c>
      <c r="E9440" t="s">
        <v>337</v>
      </c>
      <c r="F9440" t="s">
        <v>10174</v>
      </c>
      <c r="G9440">
        <v>992</v>
      </c>
      <c r="J9440">
        <v>0</v>
      </c>
      <c r="M9440">
        <v>992</v>
      </c>
    </row>
    <row r="9441" spans="1:15" x14ac:dyDescent="0.35">
      <c r="A9441" t="s">
        <v>10142</v>
      </c>
      <c r="B9441" t="s">
        <v>10143</v>
      </c>
      <c r="C9441" t="s">
        <v>520</v>
      </c>
      <c r="D9441" t="s">
        <v>339</v>
      </c>
      <c r="E9441" t="s">
        <v>294</v>
      </c>
      <c r="F9441" t="s">
        <v>10175</v>
      </c>
      <c r="G9441">
        <v>3323</v>
      </c>
      <c r="H9441">
        <v>362927.69000000006</v>
      </c>
      <c r="I9441">
        <v>109.22</v>
      </c>
      <c r="J9441">
        <v>0</v>
      </c>
      <c r="K9441">
        <v>0</v>
      </c>
      <c r="L9441">
        <v>0</v>
      </c>
      <c r="M9441">
        <v>3323</v>
      </c>
      <c r="N9441">
        <v>362927.69000000006</v>
      </c>
      <c r="O9441">
        <v>109.22</v>
      </c>
    </row>
    <row r="9442" spans="1:15" x14ac:dyDescent="0.35">
      <c r="A9442" t="s">
        <v>10142</v>
      </c>
      <c r="B9442" t="s">
        <v>10143</v>
      </c>
      <c r="C9442" t="s">
        <v>520</v>
      </c>
      <c r="D9442" t="s">
        <v>339</v>
      </c>
      <c r="E9442" t="s">
        <v>296</v>
      </c>
      <c r="F9442" t="s">
        <v>10176</v>
      </c>
      <c r="G9442">
        <v>648</v>
      </c>
      <c r="H9442">
        <v>75039.450000000012</v>
      </c>
      <c r="I9442">
        <v>115.8</v>
      </c>
      <c r="J9442">
        <v>0</v>
      </c>
      <c r="K9442">
        <v>0</v>
      </c>
      <c r="L9442">
        <v>0</v>
      </c>
      <c r="M9442">
        <v>648</v>
      </c>
      <c r="N9442">
        <v>75039.450000000012</v>
      </c>
      <c r="O9442">
        <v>115.8</v>
      </c>
    </row>
    <row r="9443" spans="1:15" x14ac:dyDescent="0.35">
      <c r="A9443" t="s">
        <v>10142</v>
      </c>
      <c r="B9443" t="s">
        <v>10143</v>
      </c>
      <c r="C9443" t="s">
        <v>520</v>
      </c>
      <c r="D9443" t="s">
        <v>339</v>
      </c>
      <c r="E9443" t="s">
        <v>298</v>
      </c>
      <c r="F9443" t="s">
        <v>10177</v>
      </c>
      <c r="G9443">
        <v>71</v>
      </c>
      <c r="H9443">
        <v>9796.630000000001</v>
      </c>
      <c r="I9443">
        <v>137.97999999999999</v>
      </c>
      <c r="J9443">
        <v>0</v>
      </c>
      <c r="K9443">
        <v>0</v>
      </c>
      <c r="L9443">
        <v>0</v>
      </c>
      <c r="M9443">
        <v>71</v>
      </c>
      <c r="N9443">
        <v>9796.630000000001</v>
      </c>
      <c r="O9443">
        <v>137.97999999999999</v>
      </c>
    </row>
    <row r="9444" spans="1:15" x14ac:dyDescent="0.35">
      <c r="A9444" t="s">
        <v>10142</v>
      </c>
      <c r="B9444" t="s">
        <v>10143</v>
      </c>
      <c r="C9444" t="s">
        <v>520</v>
      </c>
      <c r="D9444" t="s">
        <v>339</v>
      </c>
      <c r="E9444" t="s">
        <v>300</v>
      </c>
      <c r="F9444" t="s">
        <v>10178</v>
      </c>
      <c r="G9444">
        <v>4</v>
      </c>
      <c r="H9444">
        <v>556.85</v>
      </c>
      <c r="I9444">
        <v>139.21</v>
      </c>
      <c r="J9444">
        <v>0</v>
      </c>
      <c r="K9444">
        <v>0</v>
      </c>
      <c r="L9444">
        <v>0</v>
      </c>
      <c r="M9444">
        <v>4</v>
      </c>
      <c r="N9444">
        <v>556.85</v>
      </c>
      <c r="O9444">
        <v>139.21</v>
      </c>
    </row>
    <row r="9445" spans="1:15" x14ac:dyDescent="0.35">
      <c r="A9445" t="s">
        <v>10142</v>
      </c>
      <c r="B9445" t="s">
        <v>10143</v>
      </c>
      <c r="C9445" t="s">
        <v>520</v>
      </c>
      <c r="D9445" t="s">
        <v>339</v>
      </c>
      <c r="E9445" t="s">
        <v>306</v>
      </c>
      <c r="F9445" t="s">
        <v>10179</v>
      </c>
      <c r="G9445">
        <v>361</v>
      </c>
      <c r="H9445">
        <v>32184.3</v>
      </c>
      <c r="I9445">
        <v>89.15</v>
      </c>
      <c r="J9445">
        <v>0</v>
      </c>
      <c r="K9445">
        <v>0</v>
      </c>
      <c r="L9445">
        <v>0</v>
      </c>
      <c r="M9445">
        <v>361</v>
      </c>
      <c r="N9445">
        <v>32184.3</v>
      </c>
      <c r="O9445">
        <v>89.15</v>
      </c>
    </row>
    <row r="9446" spans="1:15" x14ac:dyDescent="0.35">
      <c r="A9446" t="s">
        <v>10142</v>
      </c>
      <c r="B9446" t="s">
        <v>10143</v>
      </c>
      <c r="C9446" t="s">
        <v>520</v>
      </c>
      <c r="D9446" t="s">
        <v>339</v>
      </c>
      <c r="E9446" t="s">
        <v>308</v>
      </c>
      <c r="F9446" t="s">
        <v>10180</v>
      </c>
      <c r="G9446">
        <v>595</v>
      </c>
      <c r="H9446">
        <v>84500.34</v>
      </c>
      <c r="I9446">
        <v>142.02000000000001</v>
      </c>
      <c r="J9446">
        <v>0</v>
      </c>
      <c r="K9446">
        <v>0</v>
      </c>
      <c r="L9446">
        <v>0</v>
      </c>
      <c r="M9446">
        <v>595</v>
      </c>
      <c r="N9446">
        <v>84500.34</v>
      </c>
      <c r="O9446">
        <v>142.02000000000001</v>
      </c>
    </row>
    <row r="9447" spans="1:15" x14ac:dyDescent="0.35">
      <c r="A9447" t="s">
        <v>10142</v>
      </c>
      <c r="B9447" t="s">
        <v>10143</v>
      </c>
      <c r="C9447" t="s">
        <v>520</v>
      </c>
      <c r="D9447" t="s">
        <v>339</v>
      </c>
      <c r="E9447" t="s">
        <v>310</v>
      </c>
      <c r="F9447" t="s">
        <v>10181</v>
      </c>
      <c r="G9447">
        <v>5002</v>
      </c>
      <c r="H9447">
        <v>565005.26</v>
      </c>
      <c r="I9447">
        <v>112.96</v>
      </c>
      <c r="J9447">
        <v>0</v>
      </c>
      <c r="K9447">
        <v>0</v>
      </c>
      <c r="L9447">
        <v>0</v>
      </c>
      <c r="M9447">
        <v>5002</v>
      </c>
      <c r="N9447">
        <v>565005.26</v>
      </c>
      <c r="O9447">
        <v>112.96</v>
      </c>
    </row>
    <row r="9448" spans="1:15" x14ac:dyDescent="0.35">
      <c r="A9448" t="s">
        <v>10142</v>
      </c>
      <c r="B9448" t="s">
        <v>10143</v>
      </c>
      <c r="C9448" t="s">
        <v>520</v>
      </c>
      <c r="D9448" t="s">
        <v>339</v>
      </c>
      <c r="E9448" t="s">
        <v>312</v>
      </c>
      <c r="F9448" t="s">
        <v>10182</v>
      </c>
      <c r="G9448">
        <v>4407</v>
      </c>
      <c r="H9448">
        <v>480504.92000000004</v>
      </c>
      <c r="I9448">
        <v>109.03</v>
      </c>
      <c r="J9448">
        <v>0</v>
      </c>
      <c r="K9448">
        <v>0</v>
      </c>
      <c r="L9448">
        <v>0</v>
      </c>
      <c r="M9448">
        <v>4407</v>
      </c>
      <c r="N9448">
        <v>480504.92000000004</v>
      </c>
      <c r="O9448">
        <v>109.03</v>
      </c>
    </row>
    <row r="9449" spans="1:15" x14ac:dyDescent="0.35">
      <c r="A9449" t="s">
        <v>10142</v>
      </c>
      <c r="B9449" t="s">
        <v>10143</v>
      </c>
      <c r="C9449" t="s">
        <v>520</v>
      </c>
      <c r="D9449" t="s">
        <v>348</v>
      </c>
      <c r="E9449" t="s">
        <v>349</v>
      </c>
      <c r="F9449" t="s">
        <v>10183</v>
      </c>
      <c r="G9449">
        <v>6415</v>
      </c>
      <c r="H9449">
        <v>597359.98</v>
      </c>
      <c r="I9449">
        <v>115.21</v>
      </c>
      <c r="J9449">
        <v>0</v>
      </c>
      <c r="K9449">
        <v>0</v>
      </c>
      <c r="L9449">
        <v>0</v>
      </c>
      <c r="M9449">
        <v>6415</v>
      </c>
      <c r="N9449">
        <v>597359.98</v>
      </c>
      <c r="O9449">
        <v>115.21</v>
      </c>
    </row>
    <row r="9450" spans="1:15" x14ac:dyDescent="0.35">
      <c r="A9450" t="s">
        <v>10184</v>
      </c>
      <c r="B9450" t="s">
        <v>160</v>
      </c>
      <c r="C9450" t="s">
        <v>520</v>
      </c>
      <c r="D9450" t="s">
        <v>293</v>
      </c>
      <c r="E9450" t="s">
        <v>294</v>
      </c>
      <c r="F9450" t="s">
        <v>10185</v>
      </c>
      <c r="G9450">
        <v>331</v>
      </c>
      <c r="H9450">
        <v>34939.47</v>
      </c>
      <c r="I9450">
        <v>105.56</v>
      </c>
      <c r="J9450">
        <v>0</v>
      </c>
      <c r="K9450">
        <v>0</v>
      </c>
      <c r="L9450">
        <v>0</v>
      </c>
      <c r="M9450">
        <v>331</v>
      </c>
      <c r="N9450">
        <v>34939.47</v>
      </c>
      <c r="O9450">
        <v>105.56</v>
      </c>
    </row>
    <row r="9451" spans="1:15" x14ac:dyDescent="0.35">
      <c r="A9451" t="s">
        <v>10184</v>
      </c>
      <c r="B9451" t="s">
        <v>160</v>
      </c>
      <c r="C9451" t="s">
        <v>520</v>
      </c>
      <c r="D9451" t="s">
        <v>293</v>
      </c>
      <c r="E9451" t="s">
        <v>296</v>
      </c>
      <c r="F9451" t="s">
        <v>10186</v>
      </c>
      <c r="G9451">
        <v>739</v>
      </c>
      <c r="H9451">
        <v>92308.4</v>
      </c>
      <c r="I9451">
        <v>124.91</v>
      </c>
      <c r="J9451">
        <v>0</v>
      </c>
      <c r="K9451">
        <v>0</v>
      </c>
      <c r="L9451">
        <v>0</v>
      </c>
      <c r="M9451">
        <v>739</v>
      </c>
      <c r="N9451">
        <v>92308.4</v>
      </c>
      <c r="O9451">
        <v>124.91</v>
      </c>
    </row>
    <row r="9452" spans="1:15" x14ac:dyDescent="0.35">
      <c r="A9452" t="s">
        <v>10184</v>
      </c>
      <c r="B9452" t="s">
        <v>160</v>
      </c>
      <c r="C9452" t="s">
        <v>520</v>
      </c>
      <c r="D9452" t="s">
        <v>293</v>
      </c>
      <c r="E9452" t="s">
        <v>298</v>
      </c>
      <c r="F9452" t="s">
        <v>10187</v>
      </c>
      <c r="G9452">
        <v>574</v>
      </c>
      <c r="H9452">
        <v>78575.290000000008</v>
      </c>
      <c r="I9452">
        <v>136.88999999999999</v>
      </c>
      <c r="J9452">
        <v>0</v>
      </c>
      <c r="K9452">
        <v>0</v>
      </c>
      <c r="L9452">
        <v>0</v>
      </c>
      <c r="M9452">
        <v>574</v>
      </c>
      <c r="N9452">
        <v>78575.290000000008</v>
      </c>
      <c r="O9452">
        <v>136.88999999999999</v>
      </c>
    </row>
    <row r="9453" spans="1:15" x14ac:dyDescent="0.35">
      <c r="A9453" t="s">
        <v>10184</v>
      </c>
      <c r="B9453" t="s">
        <v>160</v>
      </c>
      <c r="C9453" t="s">
        <v>520</v>
      </c>
      <c r="D9453" t="s">
        <v>293</v>
      </c>
      <c r="E9453" t="s">
        <v>300</v>
      </c>
      <c r="F9453" t="s">
        <v>10188</v>
      </c>
      <c r="G9453">
        <v>37</v>
      </c>
      <c r="H9453">
        <v>7176.4800000000005</v>
      </c>
      <c r="I9453">
        <v>193.96</v>
      </c>
      <c r="J9453">
        <v>0</v>
      </c>
      <c r="K9453">
        <v>0</v>
      </c>
      <c r="L9453">
        <v>0</v>
      </c>
      <c r="M9453">
        <v>37</v>
      </c>
      <c r="N9453">
        <v>7176.4800000000005</v>
      </c>
      <c r="O9453">
        <v>193.96</v>
      </c>
    </row>
    <row r="9454" spans="1:15" x14ac:dyDescent="0.35">
      <c r="A9454" t="s">
        <v>10184</v>
      </c>
      <c r="B9454" t="s">
        <v>160</v>
      </c>
      <c r="C9454" t="s">
        <v>520</v>
      </c>
      <c r="D9454" t="s">
        <v>293</v>
      </c>
      <c r="E9454" t="s">
        <v>302</v>
      </c>
      <c r="F9454" t="s">
        <v>10189</v>
      </c>
      <c r="G9454">
        <v>0</v>
      </c>
      <c r="H9454">
        <v>0</v>
      </c>
      <c r="I9454">
        <v>0</v>
      </c>
      <c r="J9454">
        <v>0</v>
      </c>
      <c r="K9454">
        <v>0</v>
      </c>
      <c r="L9454">
        <v>0</v>
      </c>
      <c r="M9454">
        <v>0</v>
      </c>
      <c r="N9454">
        <v>0</v>
      </c>
      <c r="O9454">
        <v>0</v>
      </c>
    </row>
    <row r="9455" spans="1:15" x14ac:dyDescent="0.35">
      <c r="A9455" t="s">
        <v>10184</v>
      </c>
      <c r="B9455" t="s">
        <v>160</v>
      </c>
      <c r="C9455" t="s">
        <v>520</v>
      </c>
      <c r="D9455" t="s">
        <v>293</v>
      </c>
      <c r="E9455" t="s">
        <v>304</v>
      </c>
      <c r="F9455" t="s">
        <v>10190</v>
      </c>
      <c r="G9455">
        <v>0</v>
      </c>
      <c r="H9455">
        <v>0</v>
      </c>
      <c r="I9455">
        <v>0</v>
      </c>
      <c r="J9455">
        <v>0</v>
      </c>
      <c r="K9455">
        <v>0</v>
      </c>
      <c r="L9455">
        <v>0</v>
      </c>
      <c r="M9455">
        <v>0</v>
      </c>
      <c r="N9455">
        <v>0</v>
      </c>
      <c r="O9455">
        <v>0</v>
      </c>
    </row>
    <row r="9456" spans="1:15" x14ac:dyDescent="0.35">
      <c r="A9456" t="s">
        <v>10184</v>
      </c>
      <c r="B9456" t="s">
        <v>160</v>
      </c>
      <c r="C9456" t="s">
        <v>520</v>
      </c>
      <c r="D9456" t="s">
        <v>293</v>
      </c>
      <c r="E9456" t="s">
        <v>306</v>
      </c>
      <c r="F9456" t="s">
        <v>10191</v>
      </c>
      <c r="G9456">
        <v>0</v>
      </c>
      <c r="H9456">
        <v>0</v>
      </c>
      <c r="I9456">
        <v>0</v>
      </c>
      <c r="J9456">
        <v>0</v>
      </c>
      <c r="K9456">
        <v>0</v>
      </c>
      <c r="L9456">
        <v>0</v>
      </c>
      <c r="M9456">
        <v>0</v>
      </c>
      <c r="N9456">
        <v>0</v>
      </c>
      <c r="O9456">
        <v>0</v>
      </c>
    </row>
    <row r="9457" spans="1:15" x14ac:dyDescent="0.35">
      <c r="A9457" t="s">
        <v>10184</v>
      </c>
      <c r="B9457" t="s">
        <v>160</v>
      </c>
      <c r="C9457" t="s">
        <v>520</v>
      </c>
      <c r="D9457" t="s">
        <v>293</v>
      </c>
      <c r="E9457" t="s">
        <v>308</v>
      </c>
      <c r="F9457" t="s">
        <v>10192</v>
      </c>
      <c r="G9457">
        <v>0</v>
      </c>
      <c r="H9457">
        <v>0</v>
      </c>
      <c r="I9457">
        <v>0</v>
      </c>
      <c r="J9457">
        <v>0</v>
      </c>
      <c r="K9457">
        <v>0</v>
      </c>
      <c r="L9457">
        <v>0</v>
      </c>
      <c r="M9457">
        <v>0</v>
      </c>
      <c r="N9457">
        <v>0</v>
      </c>
      <c r="O9457">
        <v>0</v>
      </c>
    </row>
    <row r="9458" spans="1:15" x14ac:dyDescent="0.35">
      <c r="A9458" t="s">
        <v>10184</v>
      </c>
      <c r="B9458" t="s">
        <v>160</v>
      </c>
      <c r="C9458" t="s">
        <v>520</v>
      </c>
      <c r="D9458" t="s">
        <v>293</v>
      </c>
      <c r="E9458" t="s">
        <v>310</v>
      </c>
      <c r="F9458" t="s">
        <v>10193</v>
      </c>
      <c r="G9458">
        <v>1681</v>
      </c>
      <c r="H9458">
        <v>212999.64</v>
      </c>
      <c r="I9458">
        <v>126.71</v>
      </c>
      <c r="J9458">
        <v>0</v>
      </c>
      <c r="K9458">
        <v>0</v>
      </c>
      <c r="L9458">
        <v>0</v>
      </c>
      <c r="M9458">
        <v>1681</v>
      </c>
      <c r="N9458">
        <v>212999.64</v>
      </c>
      <c r="O9458">
        <v>126.71</v>
      </c>
    </row>
    <row r="9459" spans="1:15" x14ac:dyDescent="0.35">
      <c r="A9459" t="s">
        <v>10184</v>
      </c>
      <c r="B9459" t="s">
        <v>160</v>
      </c>
      <c r="C9459" t="s">
        <v>520</v>
      </c>
      <c r="D9459" t="s">
        <v>293</v>
      </c>
      <c r="E9459" t="s">
        <v>312</v>
      </c>
      <c r="F9459" t="s">
        <v>10194</v>
      </c>
      <c r="G9459">
        <v>1681</v>
      </c>
      <c r="H9459">
        <v>212999.64</v>
      </c>
      <c r="I9459">
        <v>126.71</v>
      </c>
      <c r="J9459">
        <v>0</v>
      </c>
      <c r="K9459">
        <v>0</v>
      </c>
      <c r="L9459">
        <v>0</v>
      </c>
      <c r="M9459">
        <v>1681</v>
      </c>
      <c r="N9459">
        <v>212999.64</v>
      </c>
      <c r="O9459">
        <v>126.71</v>
      </c>
    </row>
    <row r="9460" spans="1:15" x14ac:dyDescent="0.35">
      <c r="A9460" t="s">
        <v>10184</v>
      </c>
      <c r="B9460" t="s">
        <v>160</v>
      </c>
      <c r="C9460" t="s">
        <v>520</v>
      </c>
      <c r="D9460" t="s">
        <v>314</v>
      </c>
      <c r="E9460" t="s">
        <v>294</v>
      </c>
      <c r="F9460" t="s">
        <v>10195</v>
      </c>
      <c r="G9460">
        <v>180</v>
      </c>
      <c r="H9460">
        <v>33292.800000000003</v>
      </c>
      <c r="I9460">
        <v>184.96</v>
      </c>
      <c r="J9460">
        <v>0</v>
      </c>
      <c r="K9460">
        <v>0</v>
      </c>
      <c r="L9460">
        <v>0</v>
      </c>
      <c r="M9460">
        <v>180</v>
      </c>
      <c r="N9460">
        <v>33292.800000000003</v>
      </c>
      <c r="O9460">
        <v>184.96</v>
      </c>
    </row>
    <row r="9461" spans="1:15" x14ac:dyDescent="0.35">
      <c r="A9461" t="s">
        <v>10184</v>
      </c>
      <c r="B9461" t="s">
        <v>160</v>
      </c>
      <c r="C9461" t="s">
        <v>520</v>
      </c>
      <c r="D9461" t="s">
        <v>314</v>
      </c>
      <c r="E9461" t="s">
        <v>296</v>
      </c>
      <c r="F9461" t="s">
        <v>10196</v>
      </c>
      <c r="G9461">
        <v>51</v>
      </c>
      <c r="H9461">
        <v>8275.77</v>
      </c>
      <c r="I9461">
        <v>162.27000000000001</v>
      </c>
      <c r="J9461">
        <v>0</v>
      </c>
      <c r="K9461">
        <v>0</v>
      </c>
      <c r="L9461">
        <v>0</v>
      </c>
      <c r="M9461">
        <v>51</v>
      </c>
      <c r="N9461">
        <v>8275.77</v>
      </c>
      <c r="O9461">
        <v>162.27000000000001</v>
      </c>
    </row>
    <row r="9462" spans="1:15" x14ac:dyDescent="0.35">
      <c r="A9462" t="s">
        <v>10184</v>
      </c>
      <c r="B9462" t="s">
        <v>160</v>
      </c>
      <c r="C9462" t="s">
        <v>520</v>
      </c>
      <c r="D9462" t="s">
        <v>314</v>
      </c>
      <c r="E9462" t="s">
        <v>298</v>
      </c>
      <c r="F9462" t="s">
        <v>10197</v>
      </c>
      <c r="G9462">
        <v>0</v>
      </c>
      <c r="H9462">
        <v>0</v>
      </c>
      <c r="I9462">
        <v>0</v>
      </c>
      <c r="J9462">
        <v>0</v>
      </c>
      <c r="K9462">
        <v>0</v>
      </c>
      <c r="L9462">
        <v>0</v>
      </c>
      <c r="M9462">
        <v>0</v>
      </c>
      <c r="N9462">
        <v>0</v>
      </c>
      <c r="O9462">
        <v>0</v>
      </c>
    </row>
    <row r="9463" spans="1:15" x14ac:dyDescent="0.35">
      <c r="A9463" t="s">
        <v>10184</v>
      </c>
      <c r="B9463" t="s">
        <v>160</v>
      </c>
      <c r="C9463" t="s">
        <v>520</v>
      </c>
      <c r="D9463" t="s">
        <v>314</v>
      </c>
      <c r="E9463" t="s">
        <v>300</v>
      </c>
      <c r="F9463" t="s">
        <v>10198</v>
      </c>
      <c r="G9463">
        <v>0</v>
      </c>
      <c r="H9463">
        <v>0</v>
      </c>
      <c r="I9463">
        <v>0</v>
      </c>
      <c r="J9463">
        <v>0</v>
      </c>
      <c r="K9463">
        <v>0</v>
      </c>
      <c r="L9463">
        <v>0</v>
      </c>
      <c r="M9463">
        <v>0</v>
      </c>
      <c r="N9463">
        <v>0</v>
      </c>
      <c r="O9463">
        <v>0</v>
      </c>
    </row>
    <row r="9464" spans="1:15" x14ac:dyDescent="0.35">
      <c r="A9464" t="s">
        <v>10184</v>
      </c>
      <c r="B9464" t="s">
        <v>160</v>
      </c>
      <c r="C9464" t="s">
        <v>520</v>
      </c>
      <c r="D9464" t="s">
        <v>314</v>
      </c>
      <c r="E9464" t="s">
        <v>306</v>
      </c>
      <c r="F9464" t="s">
        <v>10199</v>
      </c>
      <c r="G9464">
        <v>0</v>
      </c>
      <c r="H9464">
        <v>0</v>
      </c>
      <c r="I9464">
        <v>0</v>
      </c>
      <c r="J9464">
        <v>0</v>
      </c>
      <c r="K9464">
        <v>0</v>
      </c>
      <c r="L9464">
        <v>0</v>
      </c>
      <c r="M9464">
        <v>0</v>
      </c>
      <c r="N9464">
        <v>0</v>
      </c>
      <c r="O9464">
        <v>0</v>
      </c>
    </row>
    <row r="9465" spans="1:15" x14ac:dyDescent="0.35">
      <c r="A9465" t="s">
        <v>10184</v>
      </c>
      <c r="B9465" t="s">
        <v>160</v>
      </c>
      <c r="C9465" t="s">
        <v>520</v>
      </c>
      <c r="D9465" t="s">
        <v>314</v>
      </c>
      <c r="E9465" t="s">
        <v>308</v>
      </c>
      <c r="F9465" t="s">
        <v>10200</v>
      </c>
      <c r="G9465">
        <v>0</v>
      </c>
      <c r="H9465">
        <v>0</v>
      </c>
      <c r="I9465">
        <v>0</v>
      </c>
      <c r="J9465">
        <v>0</v>
      </c>
      <c r="K9465">
        <v>0</v>
      </c>
      <c r="L9465">
        <v>0</v>
      </c>
      <c r="M9465">
        <v>0</v>
      </c>
      <c r="N9465">
        <v>0</v>
      </c>
      <c r="O9465">
        <v>0</v>
      </c>
    </row>
    <row r="9466" spans="1:15" x14ac:dyDescent="0.35">
      <c r="A9466" t="s">
        <v>10184</v>
      </c>
      <c r="B9466" t="s">
        <v>160</v>
      </c>
      <c r="C9466" t="s">
        <v>520</v>
      </c>
      <c r="D9466" t="s">
        <v>314</v>
      </c>
      <c r="E9466" t="s">
        <v>312</v>
      </c>
      <c r="F9466" t="s">
        <v>10201</v>
      </c>
      <c r="G9466">
        <v>231</v>
      </c>
      <c r="H9466">
        <v>41568.570000000007</v>
      </c>
      <c r="I9466">
        <v>179.95</v>
      </c>
      <c r="J9466">
        <v>0</v>
      </c>
      <c r="K9466">
        <v>0</v>
      </c>
      <c r="L9466">
        <v>0</v>
      </c>
      <c r="M9466">
        <v>231</v>
      </c>
      <c r="N9466">
        <v>41568.570000000007</v>
      </c>
      <c r="O9466">
        <v>179.95</v>
      </c>
    </row>
    <row r="9467" spans="1:15" x14ac:dyDescent="0.35">
      <c r="A9467" t="s">
        <v>10184</v>
      </c>
      <c r="B9467" t="s">
        <v>160</v>
      </c>
      <c r="C9467" t="s">
        <v>520</v>
      </c>
      <c r="D9467" t="s">
        <v>314</v>
      </c>
      <c r="E9467" t="s">
        <v>310</v>
      </c>
      <c r="F9467" t="s">
        <v>10202</v>
      </c>
      <c r="G9467">
        <v>231</v>
      </c>
      <c r="H9467">
        <v>41568.570000000007</v>
      </c>
      <c r="I9467">
        <v>179.95</v>
      </c>
      <c r="J9467">
        <v>0</v>
      </c>
      <c r="K9467">
        <v>0</v>
      </c>
      <c r="L9467">
        <v>0</v>
      </c>
      <c r="M9467">
        <v>231</v>
      </c>
      <c r="N9467">
        <v>41568.570000000007</v>
      </c>
      <c r="O9467">
        <v>179.95</v>
      </c>
    </row>
    <row r="9468" spans="1:15" x14ac:dyDescent="0.35">
      <c r="A9468" t="s">
        <v>10184</v>
      </c>
      <c r="B9468" t="s">
        <v>160</v>
      </c>
      <c r="C9468" t="s">
        <v>520</v>
      </c>
      <c r="D9468" t="s">
        <v>323</v>
      </c>
      <c r="E9468" t="s">
        <v>294</v>
      </c>
      <c r="F9468" t="s">
        <v>10203</v>
      </c>
      <c r="G9468">
        <v>1831</v>
      </c>
      <c r="H9468">
        <v>168298.44</v>
      </c>
      <c r="I9468">
        <v>91.92</v>
      </c>
      <c r="J9468">
        <v>0</v>
      </c>
      <c r="K9468">
        <v>0</v>
      </c>
      <c r="L9468">
        <v>0</v>
      </c>
      <c r="M9468">
        <v>1831</v>
      </c>
      <c r="N9468">
        <v>168298.44</v>
      </c>
      <c r="O9468">
        <v>91.92</v>
      </c>
    </row>
    <row r="9469" spans="1:15" x14ac:dyDescent="0.35">
      <c r="A9469" t="s">
        <v>10184</v>
      </c>
      <c r="B9469" t="s">
        <v>160</v>
      </c>
      <c r="C9469" t="s">
        <v>520</v>
      </c>
      <c r="D9469" t="s">
        <v>323</v>
      </c>
      <c r="E9469" t="s">
        <v>296</v>
      </c>
      <c r="F9469" t="s">
        <v>10204</v>
      </c>
      <c r="G9469">
        <v>3728</v>
      </c>
      <c r="H9469">
        <v>387773.43999999989</v>
      </c>
      <c r="I9469">
        <v>104.02</v>
      </c>
      <c r="J9469">
        <v>0</v>
      </c>
      <c r="K9469">
        <v>0</v>
      </c>
      <c r="L9469">
        <v>0</v>
      </c>
      <c r="M9469">
        <v>3728</v>
      </c>
      <c r="N9469">
        <v>387773.43999999989</v>
      </c>
      <c r="O9469">
        <v>104.02</v>
      </c>
    </row>
    <row r="9470" spans="1:15" x14ac:dyDescent="0.35">
      <c r="A9470" t="s">
        <v>10184</v>
      </c>
      <c r="B9470" t="s">
        <v>160</v>
      </c>
      <c r="C9470" t="s">
        <v>520</v>
      </c>
      <c r="D9470" t="s">
        <v>323</v>
      </c>
      <c r="E9470" t="s">
        <v>298</v>
      </c>
      <c r="F9470" t="s">
        <v>10205</v>
      </c>
      <c r="G9470">
        <v>6966</v>
      </c>
      <c r="H9470">
        <v>806840.56999999983</v>
      </c>
      <c r="I9470">
        <v>115.83</v>
      </c>
      <c r="J9470">
        <v>0</v>
      </c>
      <c r="K9470">
        <v>0</v>
      </c>
      <c r="L9470">
        <v>0</v>
      </c>
      <c r="M9470">
        <v>6966</v>
      </c>
      <c r="N9470">
        <v>806840.56999999983</v>
      </c>
      <c r="O9470">
        <v>115.83</v>
      </c>
    </row>
    <row r="9471" spans="1:15" x14ac:dyDescent="0.35">
      <c r="A9471" t="s">
        <v>10184</v>
      </c>
      <c r="B9471" t="s">
        <v>160</v>
      </c>
      <c r="C9471" t="s">
        <v>520</v>
      </c>
      <c r="D9471" t="s">
        <v>323</v>
      </c>
      <c r="E9471" t="s">
        <v>300</v>
      </c>
      <c r="F9471" t="s">
        <v>10206</v>
      </c>
      <c r="G9471">
        <v>259</v>
      </c>
      <c r="H9471">
        <v>32240.03</v>
      </c>
      <c r="I9471">
        <v>124.48</v>
      </c>
      <c r="J9471">
        <v>0</v>
      </c>
      <c r="K9471">
        <v>0</v>
      </c>
      <c r="L9471">
        <v>0</v>
      </c>
      <c r="M9471">
        <v>259</v>
      </c>
      <c r="N9471">
        <v>32240.03</v>
      </c>
      <c r="O9471">
        <v>124.48</v>
      </c>
    </row>
    <row r="9472" spans="1:15" x14ac:dyDescent="0.35">
      <c r="A9472" t="s">
        <v>10184</v>
      </c>
      <c r="B9472" t="s">
        <v>160</v>
      </c>
      <c r="C9472" t="s">
        <v>520</v>
      </c>
      <c r="D9472" t="s">
        <v>323</v>
      </c>
      <c r="E9472" t="s">
        <v>302</v>
      </c>
      <c r="F9472" t="s">
        <v>10207</v>
      </c>
      <c r="G9472">
        <v>13</v>
      </c>
      <c r="H9472">
        <v>1712.6000000000001</v>
      </c>
      <c r="I9472">
        <v>131.74</v>
      </c>
      <c r="J9472">
        <v>0</v>
      </c>
      <c r="K9472">
        <v>0</v>
      </c>
      <c r="L9472">
        <v>0</v>
      </c>
      <c r="M9472">
        <v>13</v>
      </c>
      <c r="N9472">
        <v>1712.6000000000001</v>
      </c>
      <c r="O9472">
        <v>131.74</v>
      </c>
    </row>
    <row r="9473" spans="1:15" x14ac:dyDescent="0.35">
      <c r="A9473" t="s">
        <v>10184</v>
      </c>
      <c r="B9473" t="s">
        <v>160</v>
      </c>
      <c r="C9473" t="s">
        <v>520</v>
      </c>
      <c r="D9473" t="s">
        <v>323</v>
      </c>
      <c r="E9473" t="s">
        <v>304</v>
      </c>
      <c r="F9473" t="s">
        <v>10208</v>
      </c>
      <c r="G9473">
        <v>7</v>
      </c>
      <c r="H9473">
        <v>1052.1000000000001</v>
      </c>
      <c r="I9473">
        <v>150.30000000000001</v>
      </c>
      <c r="J9473">
        <v>0</v>
      </c>
      <c r="K9473">
        <v>0</v>
      </c>
      <c r="L9473">
        <v>0</v>
      </c>
      <c r="M9473">
        <v>7</v>
      </c>
      <c r="N9473">
        <v>1052.1000000000001</v>
      </c>
      <c r="O9473">
        <v>150.30000000000001</v>
      </c>
    </row>
    <row r="9474" spans="1:15" x14ac:dyDescent="0.35">
      <c r="A9474" t="s">
        <v>10184</v>
      </c>
      <c r="B9474" t="s">
        <v>160</v>
      </c>
      <c r="C9474" t="s">
        <v>520</v>
      </c>
      <c r="D9474" t="s">
        <v>323</v>
      </c>
      <c r="E9474" t="s">
        <v>306</v>
      </c>
      <c r="F9474" t="s">
        <v>10209</v>
      </c>
      <c r="G9474">
        <v>33</v>
      </c>
      <c r="H9474">
        <v>2642.86</v>
      </c>
      <c r="I9474">
        <v>80.09</v>
      </c>
      <c r="J9474">
        <v>0</v>
      </c>
      <c r="K9474">
        <v>0</v>
      </c>
      <c r="L9474">
        <v>0</v>
      </c>
      <c r="M9474">
        <v>33</v>
      </c>
      <c r="N9474">
        <v>2642.86</v>
      </c>
      <c r="O9474">
        <v>80.09</v>
      </c>
    </row>
    <row r="9475" spans="1:15" x14ac:dyDescent="0.35">
      <c r="A9475" t="s">
        <v>10184</v>
      </c>
      <c r="B9475" t="s">
        <v>160</v>
      </c>
      <c r="C9475" t="s">
        <v>520</v>
      </c>
      <c r="D9475" t="s">
        <v>323</v>
      </c>
      <c r="E9475" t="s">
        <v>308</v>
      </c>
      <c r="F9475" t="s">
        <v>10210</v>
      </c>
      <c r="G9475">
        <v>0</v>
      </c>
      <c r="H9475">
        <v>0</v>
      </c>
      <c r="I9475">
        <v>0</v>
      </c>
      <c r="J9475">
        <v>0</v>
      </c>
      <c r="K9475">
        <v>0</v>
      </c>
      <c r="L9475">
        <v>0</v>
      </c>
      <c r="M9475">
        <v>0</v>
      </c>
      <c r="N9475">
        <v>0</v>
      </c>
      <c r="O9475">
        <v>0</v>
      </c>
    </row>
    <row r="9476" spans="1:15" x14ac:dyDescent="0.35">
      <c r="A9476" t="s">
        <v>10184</v>
      </c>
      <c r="B9476" t="s">
        <v>160</v>
      </c>
      <c r="C9476" t="s">
        <v>520</v>
      </c>
      <c r="D9476" t="s">
        <v>323</v>
      </c>
      <c r="E9476" t="s">
        <v>310</v>
      </c>
      <c r="F9476" t="s">
        <v>10211</v>
      </c>
      <c r="G9476">
        <v>12837</v>
      </c>
      <c r="H9476">
        <v>1400560.04</v>
      </c>
      <c r="I9476">
        <v>109.1</v>
      </c>
      <c r="J9476">
        <v>0</v>
      </c>
      <c r="K9476">
        <v>0</v>
      </c>
      <c r="L9476">
        <v>0</v>
      </c>
      <c r="M9476">
        <v>12837</v>
      </c>
      <c r="N9476">
        <v>1400560.04</v>
      </c>
      <c r="O9476">
        <v>109.1</v>
      </c>
    </row>
    <row r="9477" spans="1:15" x14ac:dyDescent="0.35">
      <c r="A9477" t="s">
        <v>10184</v>
      </c>
      <c r="B9477" t="s">
        <v>160</v>
      </c>
      <c r="C9477" t="s">
        <v>520</v>
      </c>
      <c r="D9477" t="s">
        <v>323</v>
      </c>
      <c r="E9477" t="s">
        <v>312</v>
      </c>
      <c r="F9477" t="s">
        <v>10212</v>
      </c>
      <c r="G9477">
        <v>12837</v>
      </c>
      <c r="H9477">
        <v>1400560.04</v>
      </c>
      <c r="I9477">
        <v>109.1</v>
      </c>
      <c r="J9477">
        <v>0</v>
      </c>
      <c r="K9477">
        <v>0</v>
      </c>
      <c r="L9477">
        <v>0</v>
      </c>
      <c r="M9477">
        <v>12837</v>
      </c>
      <c r="N9477">
        <v>1400560.04</v>
      </c>
      <c r="O9477">
        <v>109.1</v>
      </c>
    </row>
    <row r="9478" spans="1:15" x14ac:dyDescent="0.35">
      <c r="A9478" t="s">
        <v>10184</v>
      </c>
      <c r="B9478" t="s">
        <v>160</v>
      </c>
      <c r="C9478" t="s">
        <v>520</v>
      </c>
      <c r="D9478" t="s">
        <v>334</v>
      </c>
      <c r="E9478" t="s">
        <v>312</v>
      </c>
      <c r="F9478" t="s">
        <v>10213</v>
      </c>
      <c r="G9478">
        <v>14616</v>
      </c>
      <c r="H9478">
        <v>1613559.6800000002</v>
      </c>
      <c r="I9478">
        <v>111.14</v>
      </c>
      <c r="J9478">
        <v>0</v>
      </c>
      <c r="K9478">
        <v>0</v>
      </c>
      <c r="L9478">
        <v>0</v>
      </c>
      <c r="M9478">
        <v>14616</v>
      </c>
      <c r="N9478">
        <v>1613559.6800000002</v>
      </c>
      <c r="O9478">
        <v>111.14</v>
      </c>
    </row>
    <row r="9479" spans="1:15" x14ac:dyDescent="0.35">
      <c r="A9479" t="s">
        <v>10184</v>
      </c>
      <c r="B9479" t="s">
        <v>160</v>
      </c>
      <c r="C9479" t="s">
        <v>520</v>
      </c>
      <c r="D9479" t="s">
        <v>334</v>
      </c>
      <c r="E9479" t="s">
        <v>308</v>
      </c>
      <c r="F9479" t="s">
        <v>10214</v>
      </c>
      <c r="G9479">
        <v>0</v>
      </c>
      <c r="H9479">
        <v>0</v>
      </c>
      <c r="I9479">
        <v>0</v>
      </c>
      <c r="J9479">
        <v>0</v>
      </c>
      <c r="K9479">
        <v>0</v>
      </c>
      <c r="L9479">
        <v>0</v>
      </c>
      <c r="M9479">
        <v>0</v>
      </c>
      <c r="N9479">
        <v>0</v>
      </c>
      <c r="O9479">
        <v>0</v>
      </c>
    </row>
    <row r="9480" spans="1:15" x14ac:dyDescent="0.35">
      <c r="A9480" t="s">
        <v>10184</v>
      </c>
      <c r="B9480" t="s">
        <v>160</v>
      </c>
      <c r="C9480" t="s">
        <v>520</v>
      </c>
      <c r="D9480" t="s">
        <v>337</v>
      </c>
      <c r="E9480" t="s">
        <v>337</v>
      </c>
      <c r="F9480" t="s">
        <v>10215</v>
      </c>
      <c r="G9480">
        <v>633</v>
      </c>
      <c r="J9480">
        <v>0</v>
      </c>
      <c r="M9480">
        <v>633</v>
      </c>
    </row>
    <row r="9481" spans="1:15" x14ac:dyDescent="0.35">
      <c r="A9481" t="s">
        <v>10184</v>
      </c>
      <c r="B9481" t="s">
        <v>160</v>
      </c>
      <c r="C9481" t="s">
        <v>520</v>
      </c>
      <c r="D9481" t="s">
        <v>339</v>
      </c>
      <c r="E9481" t="s">
        <v>294</v>
      </c>
      <c r="F9481" t="s">
        <v>10216</v>
      </c>
      <c r="G9481">
        <v>1796</v>
      </c>
      <c r="H9481">
        <v>199120.92</v>
      </c>
      <c r="I9481">
        <v>110.87</v>
      </c>
      <c r="J9481">
        <v>0</v>
      </c>
      <c r="K9481">
        <v>0</v>
      </c>
      <c r="L9481">
        <v>0</v>
      </c>
      <c r="M9481">
        <v>1796</v>
      </c>
      <c r="N9481">
        <v>199120.92</v>
      </c>
      <c r="O9481">
        <v>110.87</v>
      </c>
    </row>
    <row r="9482" spans="1:15" x14ac:dyDescent="0.35">
      <c r="A9482" t="s">
        <v>10184</v>
      </c>
      <c r="B9482" t="s">
        <v>160</v>
      </c>
      <c r="C9482" t="s">
        <v>520</v>
      </c>
      <c r="D9482" t="s">
        <v>339</v>
      </c>
      <c r="E9482" t="s">
        <v>296</v>
      </c>
      <c r="F9482" t="s">
        <v>10217</v>
      </c>
      <c r="G9482">
        <v>264</v>
      </c>
      <c r="H9482">
        <v>33428.780000000006</v>
      </c>
      <c r="I9482">
        <v>126.62</v>
      </c>
      <c r="J9482">
        <v>0</v>
      </c>
      <c r="K9482">
        <v>0</v>
      </c>
      <c r="L9482">
        <v>0</v>
      </c>
      <c r="M9482">
        <v>264</v>
      </c>
      <c r="N9482">
        <v>33428.780000000006</v>
      </c>
      <c r="O9482">
        <v>126.62</v>
      </c>
    </row>
    <row r="9483" spans="1:15" x14ac:dyDescent="0.35">
      <c r="A9483" t="s">
        <v>10184</v>
      </c>
      <c r="B9483" t="s">
        <v>160</v>
      </c>
      <c r="C9483" t="s">
        <v>520</v>
      </c>
      <c r="D9483" t="s">
        <v>339</v>
      </c>
      <c r="E9483" t="s">
        <v>298</v>
      </c>
      <c r="F9483" t="s">
        <v>10218</v>
      </c>
      <c r="G9483">
        <v>27</v>
      </c>
      <c r="H9483">
        <v>3208.5200000000004</v>
      </c>
      <c r="I9483">
        <v>118.83</v>
      </c>
      <c r="J9483">
        <v>0</v>
      </c>
      <c r="K9483">
        <v>0</v>
      </c>
      <c r="L9483">
        <v>0</v>
      </c>
      <c r="M9483">
        <v>27</v>
      </c>
      <c r="N9483">
        <v>3208.5200000000004</v>
      </c>
      <c r="O9483">
        <v>118.83</v>
      </c>
    </row>
    <row r="9484" spans="1:15" x14ac:dyDescent="0.35">
      <c r="A9484" t="s">
        <v>10184</v>
      </c>
      <c r="B9484" t="s">
        <v>160</v>
      </c>
      <c r="C9484" t="s">
        <v>520</v>
      </c>
      <c r="D9484" t="s">
        <v>339</v>
      </c>
      <c r="E9484" t="s">
        <v>300</v>
      </c>
      <c r="F9484" t="s">
        <v>10219</v>
      </c>
      <c r="G9484">
        <v>4</v>
      </c>
      <c r="H9484">
        <v>481.64</v>
      </c>
      <c r="I9484">
        <v>120.41</v>
      </c>
      <c r="J9484">
        <v>0</v>
      </c>
      <c r="K9484">
        <v>0</v>
      </c>
      <c r="L9484">
        <v>0</v>
      </c>
      <c r="M9484">
        <v>4</v>
      </c>
      <c r="N9484">
        <v>481.64</v>
      </c>
      <c r="O9484">
        <v>120.41</v>
      </c>
    </row>
    <row r="9485" spans="1:15" x14ac:dyDescent="0.35">
      <c r="A9485" t="s">
        <v>10184</v>
      </c>
      <c r="B9485" t="s">
        <v>160</v>
      </c>
      <c r="C9485" t="s">
        <v>520</v>
      </c>
      <c r="D9485" t="s">
        <v>339</v>
      </c>
      <c r="E9485" t="s">
        <v>306</v>
      </c>
      <c r="F9485" t="s">
        <v>10220</v>
      </c>
      <c r="G9485">
        <v>44</v>
      </c>
      <c r="H9485">
        <v>5956.0499999999993</v>
      </c>
      <c r="I9485">
        <v>135.36000000000001</v>
      </c>
      <c r="J9485">
        <v>0</v>
      </c>
      <c r="K9485">
        <v>0</v>
      </c>
      <c r="L9485">
        <v>0</v>
      </c>
      <c r="M9485">
        <v>44</v>
      </c>
      <c r="N9485">
        <v>5956.0499999999993</v>
      </c>
      <c r="O9485">
        <v>135.36000000000001</v>
      </c>
    </row>
    <row r="9486" spans="1:15" x14ac:dyDescent="0.35">
      <c r="A9486" t="s">
        <v>10184</v>
      </c>
      <c r="B9486" t="s">
        <v>160</v>
      </c>
      <c r="C9486" t="s">
        <v>520</v>
      </c>
      <c r="D9486" t="s">
        <v>339</v>
      </c>
      <c r="E9486" t="s">
        <v>308</v>
      </c>
      <c r="F9486" t="s">
        <v>10221</v>
      </c>
      <c r="G9486">
        <v>193</v>
      </c>
      <c r="H9486">
        <v>29319.370000000003</v>
      </c>
      <c r="I9486">
        <v>151.91</v>
      </c>
      <c r="J9486">
        <v>0</v>
      </c>
      <c r="K9486">
        <v>0</v>
      </c>
      <c r="L9486">
        <v>0</v>
      </c>
      <c r="M9486">
        <v>193</v>
      </c>
      <c r="N9486">
        <v>29319.370000000003</v>
      </c>
      <c r="O9486">
        <v>151.91</v>
      </c>
    </row>
    <row r="9487" spans="1:15" x14ac:dyDescent="0.35">
      <c r="A9487" t="s">
        <v>10184</v>
      </c>
      <c r="B9487" t="s">
        <v>160</v>
      </c>
      <c r="C9487" t="s">
        <v>520</v>
      </c>
      <c r="D9487" t="s">
        <v>339</v>
      </c>
      <c r="E9487" t="s">
        <v>310</v>
      </c>
      <c r="F9487" t="s">
        <v>10222</v>
      </c>
      <c r="G9487">
        <v>2328</v>
      </c>
      <c r="H9487">
        <v>271515.28000000003</v>
      </c>
      <c r="I9487">
        <v>116.63</v>
      </c>
      <c r="J9487">
        <v>0</v>
      </c>
      <c r="K9487">
        <v>0</v>
      </c>
      <c r="L9487">
        <v>0</v>
      </c>
      <c r="M9487">
        <v>2328</v>
      </c>
      <c r="N9487">
        <v>271515.28000000003</v>
      </c>
      <c r="O9487">
        <v>116.63</v>
      </c>
    </row>
    <row r="9488" spans="1:15" x14ac:dyDescent="0.35">
      <c r="A9488" t="s">
        <v>10184</v>
      </c>
      <c r="B9488" t="s">
        <v>160</v>
      </c>
      <c r="C9488" t="s">
        <v>520</v>
      </c>
      <c r="D9488" t="s">
        <v>339</v>
      </c>
      <c r="E9488" t="s">
        <v>312</v>
      </c>
      <c r="F9488" t="s">
        <v>10223</v>
      </c>
      <c r="G9488">
        <v>2135</v>
      </c>
      <c r="H9488">
        <v>242195.91</v>
      </c>
      <c r="I9488">
        <v>113.44</v>
      </c>
      <c r="J9488">
        <v>0</v>
      </c>
      <c r="K9488">
        <v>0</v>
      </c>
      <c r="L9488">
        <v>0</v>
      </c>
      <c r="M9488">
        <v>2135</v>
      </c>
      <c r="N9488">
        <v>242195.91</v>
      </c>
      <c r="O9488">
        <v>113.44</v>
      </c>
    </row>
    <row r="9489" spans="1:15" x14ac:dyDescent="0.35">
      <c r="A9489" t="s">
        <v>10184</v>
      </c>
      <c r="B9489" t="s">
        <v>160</v>
      </c>
      <c r="C9489" t="s">
        <v>520</v>
      </c>
      <c r="D9489" t="s">
        <v>348</v>
      </c>
      <c r="E9489" t="s">
        <v>349</v>
      </c>
      <c r="F9489" t="s">
        <v>10224</v>
      </c>
      <c r="G9489">
        <v>2730</v>
      </c>
      <c r="H9489">
        <v>313083.85000000003</v>
      </c>
      <c r="I9489">
        <v>122.35</v>
      </c>
      <c r="J9489">
        <v>0</v>
      </c>
      <c r="K9489">
        <v>0</v>
      </c>
      <c r="L9489">
        <v>0</v>
      </c>
      <c r="M9489">
        <v>2730</v>
      </c>
      <c r="N9489">
        <v>313083.85000000003</v>
      </c>
      <c r="O9489">
        <v>122.35</v>
      </c>
    </row>
    <row r="9490" spans="1:15" x14ac:dyDescent="0.35">
      <c r="A9490" t="s">
        <v>10225</v>
      </c>
      <c r="B9490" t="s">
        <v>10226</v>
      </c>
      <c r="C9490" t="s">
        <v>520</v>
      </c>
      <c r="D9490" t="s">
        <v>293</v>
      </c>
      <c r="E9490" t="s">
        <v>294</v>
      </c>
      <c r="F9490" t="s">
        <v>10227</v>
      </c>
      <c r="G9490">
        <v>266</v>
      </c>
      <c r="H9490">
        <v>29559.699999999997</v>
      </c>
      <c r="I9490">
        <v>111.13</v>
      </c>
      <c r="J9490">
        <v>0</v>
      </c>
      <c r="K9490">
        <v>0</v>
      </c>
      <c r="L9490">
        <v>0</v>
      </c>
      <c r="M9490">
        <v>266</v>
      </c>
      <c r="N9490">
        <v>29559.699999999997</v>
      </c>
      <c r="O9490">
        <v>111.13</v>
      </c>
    </row>
    <row r="9491" spans="1:15" x14ac:dyDescent="0.35">
      <c r="A9491" t="s">
        <v>10225</v>
      </c>
      <c r="B9491" t="s">
        <v>10226</v>
      </c>
      <c r="C9491" t="s">
        <v>520</v>
      </c>
      <c r="D9491" t="s">
        <v>293</v>
      </c>
      <c r="E9491" t="s">
        <v>296</v>
      </c>
      <c r="F9491" t="s">
        <v>10228</v>
      </c>
      <c r="G9491">
        <v>817</v>
      </c>
      <c r="H9491">
        <v>101145.49</v>
      </c>
      <c r="I9491">
        <v>123.8</v>
      </c>
      <c r="J9491">
        <v>0</v>
      </c>
      <c r="K9491">
        <v>0</v>
      </c>
      <c r="L9491">
        <v>0</v>
      </c>
      <c r="M9491">
        <v>817</v>
      </c>
      <c r="N9491">
        <v>101145.49</v>
      </c>
      <c r="O9491">
        <v>123.8</v>
      </c>
    </row>
    <row r="9492" spans="1:15" x14ac:dyDescent="0.35">
      <c r="A9492" t="s">
        <v>10225</v>
      </c>
      <c r="B9492" t="s">
        <v>10226</v>
      </c>
      <c r="C9492" t="s">
        <v>520</v>
      </c>
      <c r="D9492" t="s">
        <v>293</v>
      </c>
      <c r="E9492" t="s">
        <v>298</v>
      </c>
      <c r="F9492" t="s">
        <v>10229</v>
      </c>
      <c r="G9492">
        <v>585</v>
      </c>
      <c r="H9492">
        <v>84654.11</v>
      </c>
      <c r="I9492">
        <v>144.71</v>
      </c>
      <c r="J9492">
        <v>0</v>
      </c>
      <c r="K9492">
        <v>0</v>
      </c>
      <c r="L9492">
        <v>0</v>
      </c>
      <c r="M9492">
        <v>585</v>
      </c>
      <c r="N9492">
        <v>84654.11</v>
      </c>
      <c r="O9492">
        <v>144.71</v>
      </c>
    </row>
    <row r="9493" spans="1:15" x14ac:dyDescent="0.35">
      <c r="A9493" t="s">
        <v>10225</v>
      </c>
      <c r="B9493" t="s">
        <v>10226</v>
      </c>
      <c r="C9493" t="s">
        <v>520</v>
      </c>
      <c r="D9493" t="s">
        <v>293</v>
      </c>
      <c r="E9493" t="s">
        <v>300</v>
      </c>
      <c r="F9493" t="s">
        <v>10230</v>
      </c>
      <c r="G9493">
        <v>55</v>
      </c>
      <c r="H9493">
        <v>9176.5500000000011</v>
      </c>
      <c r="I9493">
        <v>166.85</v>
      </c>
      <c r="J9493">
        <v>0</v>
      </c>
      <c r="K9493">
        <v>0</v>
      </c>
      <c r="L9493">
        <v>0</v>
      </c>
      <c r="M9493">
        <v>55</v>
      </c>
      <c r="N9493">
        <v>9176.5500000000011</v>
      </c>
      <c r="O9493">
        <v>166.85</v>
      </c>
    </row>
    <row r="9494" spans="1:15" x14ac:dyDescent="0.35">
      <c r="A9494" t="s">
        <v>10225</v>
      </c>
      <c r="B9494" t="s">
        <v>10226</v>
      </c>
      <c r="C9494" t="s">
        <v>520</v>
      </c>
      <c r="D9494" t="s">
        <v>293</v>
      </c>
      <c r="E9494" t="s">
        <v>302</v>
      </c>
      <c r="F9494" t="s">
        <v>10231</v>
      </c>
      <c r="G9494">
        <v>0</v>
      </c>
      <c r="H9494">
        <v>0</v>
      </c>
      <c r="I9494">
        <v>0</v>
      </c>
      <c r="J9494">
        <v>0</v>
      </c>
      <c r="K9494">
        <v>0</v>
      </c>
      <c r="L9494">
        <v>0</v>
      </c>
      <c r="M9494">
        <v>0</v>
      </c>
      <c r="N9494">
        <v>0</v>
      </c>
      <c r="O9494">
        <v>0</v>
      </c>
    </row>
    <row r="9495" spans="1:15" x14ac:dyDescent="0.35">
      <c r="A9495" t="s">
        <v>10225</v>
      </c>
      <c r="B9495" t="s">
        <v>10226</v>
      </c>
      <c r="C9495" t="s">
        <v>520</v>
      </c>
      <c r="D9495" t="s">
        <v>293</v>
      </c>
      <c r="E9495" t="s">
        <v>304</v>
      </c>
      <c r="F9495" t="s">
        <v>10232</v>
      </c>
      <c r="G9495">
        <v>0</v>
      </c>
      <c r="H9495">
        <v>0</v>
      </c>
      <c r="I9495">
        <v>0</v>
      </c>
      <c r="J9495">
        <v>0</v>
      </c>
      <c r="K9495">
        <v>0</v>
      </c>
      <c r="L9495">
        <v>0</v>
      </c>
      <c r="M9495">
        <v>0</v>
      </c>
      <c r="N9495">
        <v>0</v>
      </c>
      <c r="O9495">
        <v>0</v>
      </c>
    </row>
    <row r="9496" spans="1:15" x14ac:dyDescent="0.35">
      <c r="A9496" t="s">
        <v>10225</v>
      </c>
      <c r="B9496" t="s">
        <v>10226</v>
      </c>
      <c r="C9496" t="s">
        <v>520</v>
      </c>
      <c r="D9496" t="s">
        <v>293</v>
      </c>
      <c r="E9496" t="s">
        <v>306</v>
      </c>
      <c r="F9496" t="s">
        <v>10233</v>
      </c>
      <c r="G9496">
        <v>0</v>
      </c>
      <c r="H9496">
        <v>0</v>
      </c>
      <c r="I9496">
        <v>0</v>
      </c>
      <c r="J9496">
        <v>0</v>
      </c>
      <c r="K9496">
        <v>0</v>
      </c>
      <c r="L9496">
        <v>0</v>
      </c>
      <c r="M9496">
        <v>0</v>
      </c>
      <c r="N9496">
        <v>0</v>
      </c>
      <c r="O9496">
        <v>0</v>
      </c>
    </row>
    <row r="9497" spans="1:15" x14ac:dyDescent="0.35">
      <c r="A9497" t="s">
        <v>10225</v>
      </c>
      <c r="B9497" t="s">
        <v>10226</v>
      </c>
      <c r="C9497" t="s">
        <v>520</v>
      </c>
      <c r="D9497" t="s">
        <v>293</v>
      </c>
      <c r="E9497" t="s">
        <v>308</v>
      </c>
      <c r="F9497" t="s">
        <v>10234</v>
      </c>
      <c r="G9497">
        <v>0</v>
      </c>
      <c r="H9497">
        <v>0</v>
      </c>
      <c r="I9497">
        <v>0</v>
      </c>
      <c r="J9497">
        <v>0</v>
      </c>
      <c r="K9497">
        <v>0</v>
      </c>
      <c r="L9497">
        <v>0</v>
      </c>
      <c r="M9497">
        <v>0</v>
      </c>
      <c r="N9497">
        <v>0</v>
      </c>
      <c r="O9497">
        <v>0</v>
      </c>
    </row>
    <row r="9498" spans="1:15" x14ac:dyDescent="0.35">
      <c r="A9498" t="s">
        <v>10225</v>
      </c>
      <c r="B9498" t="s">
        <v>10226</v>
      </c>
      <c r="C9498" t="s">
        <v>520</v>
      </c>
      <c r="D9498" t="s">
        <v>293</v>
      </c>
      <c r="E9498" t="s">
        <v>310</v>
      </c>
      <c r="F9498" t="s">
        <v>10235</v>
      </c>
      <c r="G9498">
        <v>1723</v>
      </c>
      <c r="H9498">
        <v>224535.84999999998</v>
      </c>
      <c r="I9498">
        <v>130.32</v>
      </c>
      <c r="J9498">
        <v>0</v>
      </c>
      <c r="K9498">
        <v>0</v>
      </c>
      <c r="L9498">
        <v>0</v>
      </c>
      <c r="M9498">
        <v>1723</v>
      </c>
      <c r="N9498">
        <v>224535.84999999998</v>
      </c>
      <c r="O9498">
        <v>130.32</v>
      </c>
    </row>
    <row r="9499" spans="1:15" x14ac:dyDescent="0.35">
      <c r="A9499" t="s">
        <v>10225</v>
      </c>
      <c r="B9499" t="s">
        <v>10226</v>
      </c>
      <c r="C9499" t="s">
        <v>520</v>
      </c>
      <c r="D9499" t="s">
        <v>293</v>
      </c>
      <c r="E9499" t="s">
        <v>312</v>
      </c>
      <c r="F9499" t="s">
        <v>10236</v>
      </c>
      <c r="G9499">
        <v>1723</v>
      </c>
      <c r="H9499">
        <v>224535.84999999998</v>
      </c>
      <c r="I9499">
        <v>130.32</v>
      </c>
      <c r="J9499">
        <v>0</v>
      </c>
      <c r="K9499">
        <v>0</v>
      </c>
      <c r="L9499">
        <v>0</v>
      </c>
      <c r="M9499">
        <v>1723</v>
      </c>
      <c r="N9499">
        <v>224535.84999999998</v>
      </c>
      <c r="O9499">
        <v>130.32</v>
      </c>
    </row>
    <row r="9500" spans="1:15" x14ac:dyDescent="0.35">
      <c r="A9500" t="s">
        <v>10225</v>
      </c>
      <c r="B9500" t="s">
        <v>10226</v>
      </c>
      <c r="C9500" t="s">
        <v>520</v>
      </c>
      <c r="D9500" t="s">
        <v>314</v>
      </c>
      <c r="E9500" t="s">
        <v>294</v>
      </c>
      <c r="F9500" t="s">
        <v>10237</v>
      </c>
      <c r="G9500">
        <v>11</v>
      </c>
      <c r="H9500">
        <v>1739.69</v>
      </c>
      <c r="I9500">
        <v>158.15</v>
      </c>
      <c r="J9500">
        <v>0</v>
      </c>
      <c r="K9500">
        <v>0</v>
      </c>
      <c r="L9500">
        <v>0</v>
      </c>
      <c r="M9500">
        <v>11</v>
      </c>
      <c r="N9500">
        <v>1739.69</v>
      </c>
      <c r="O9500">
        <v>158.15</v>
      </c>
    </row>
    <row r="9501" spans="1:15" x14ac:dyDescent="0.35">
      <c r="A9501" t="s">
        <v>10225</v>
      </c>
      <c r="B9501" t="s">
        <v>10226</v>
      </c>
      <c r="C9501" t="s">
        <v>520</v>
      </c>
      <c r="D9501" t="s">
        <v>314</v>
      </c>
      <c r="E9501" t="s">
        <v>296</v>
      </c>
      <c r="F9501" t="s">
        <v>10238</v>
      </c>
      <c r="G9501">
        <v>9</v>
      </c>
      <c r="H9501">
        <v>1358.8700000000001</v>
      </c>
      <c r="I9501">
        <v>150.99</v>
      </c>
      <c r="J9501">
        <v>0</v>
      </c>
      <c r="K9501">
        <v>0</v>
      </c>
      <c r="L9501">
        <v>0</v>
      </c>
      <c r="M9501">
        <v>9</v>
      </c>
      <c r="N9501">
        <v>1358.8700000000001</v>
      </c>
      <c r="O9501">
        <v>150.99</v>
      </c>
    </row>
    <row r="9502" spans="1:15" x14ac:dyDescent="0.35">
      <c r="A9502" t="s">
        <v>10225</v>
      </c>
      <c r="B9502" t="s">
        <v>10226</v>
      </c>
      <c r="C9502" t="s">
        <v>520</v>
      </c>
      <c r="D9502" t="s">
        <v>314</v>
      </c>
      <c r="E9502" t="s">
        <v>298</v>
      </c>
      <c r="F9502" t="s">
        <v>10239</v>
      </c>
      <c r="G9502">
        <v>0</v>
      </c>
      <c r="H9502">
        <v>0</v>
      </c>
      <c r="I9502">
        <v>0</v>
      </c>
      <c r="J9502">
        <v>0</v>
      </c>
      <c r="K9502">
        <v>0</v>
      </c>
      <c r="L9502">
        <v>0</v>
      </c>
      <c r="M9502">
        <v>0</v>
      </c>
      <c r="N9502">
        <v>0</v>
      </c>
      <c r="O9502">
        <v>0</v>
      </c>
    </row>
    <row r="9503" spans="1:15" x14ac:dyDescent="0.35">
      <c r="A9503" t="s">
        <v>10225</v>
      </c>
      <c r="B9503" t="s">
        <v>10226</v>
      </c>
      <c r="C9503" t="s">
        <v>520</v>
      </c>
      <c r="D9503" t="s">
        <v>314</v>
      </c>
      <c r="E9503" t="s">
        <v>300</v>
      </c>
      <c r="F9503" t="s">
        <v>10240</v>
      </c>
      <c r="G9503">
        <v>0</v>
      </c>
      <c r="H9503">
        <v>0</v>
      </c>
      <c r="I9503">
        <v>0</v>
      </c>
      <c r="J9503">
        <v>0</v>
      </c>
      <c r="K9503">
        <v>0</v>
      </c>
      <c r="L9503">
        <v>0</v>
      </c>
      <c r="M9503">
        <v>0</v>
      </c>
      <c r="N9503">
        <v>0</v>
      </c>
      <c r="O9503">
        <v>0</v>
      </c>
    </row>
    <row r="9504" spans="1:15" x14ac:dyDescent="0.35">
      <c r="A9504" t="s">
        <v>10225</v>
      </c>
      <c r="B9504" t="s">
        <v>10226</v>
      </c>
      <c r="C9504" t="s">
        <v>520</v>
      </c>
      <c r="D9504" t="s">
        <v>314</v>
      </c>
      <c r="E9504" t="s">
        <v>306</v>
      </c>
      <c r="F9504" t="s">
        <v>10241</v>
      </c>
      <c r="G9504">
        <v>0</v>
      </c>
      <c r="H9504">
        <v>0</v>
      </c>
      <c r="I9504">
        <v>0</v>
      </c>
      <c r="J9504">
        <v>0</v>
      </c>
      <c r="K9504">
        <v>0</v>
      </c>
      <c r="L9504">
        <v>0</v>
      </c>
      <c r="M9504">
        <v>0</v>
      </c>
      <c r="N9504">
        <v>0</v>
      </c>
      <c r="O9504">
        <v>0</v>
      </c>
    </row>
    <row r="9505" spans="1:15" x14ac:dyDescent="0.35">
      <c r="A9505" t="s">
        <v>10225</v>
      </c>
      <c r="B9505" t="s">
        <v>10226</v>
      </c>
      <c r="C9505" t="s">
        <v>520</v>
      </c>
      <c r="D9505" t="s">
        <v>314</v>
      </c>
      <c r="E9505" t="s">
        <v>308</v>
      </c>
      <c r="F9505" t="s">
        <v>10242</v>
      </c>
      <c r="G9505">
        <v>0</v>
      </c>
      <c r="H9505">
        <v>0</v>
      </c>
      <c r="I9505">
        <v>0</v>
      </c>
      <c r="J9505">
        <v>0</v>
      </c>
      <c r="K9505">
        <v>0</v>
      </c>
      <c r="L9505">
        <v>0</v>
      </c>
      <c r="M9505">
        <v>0</v>
      </c>
      <c r="N9505">
        <v>0</v>
      </c>
      <c r="O9505">
        <v>0</v>
      </c>
    </row>
    <row r="9506" spans="1:15" x14ac:dyDescent="0.35">
      <c r="A9506" t="s">
        <v>10225</v>
      </c>
      <c r="B9506" t="s">
        <v>10226</v>
      </c>
      <c r="C9506" t="s">
        <v>520</v>
      </c>
      <c r="D9506" t="s">
        <v>314</v>
      </c>
      <c r="E9506" t="s">
        <v>312</v>
      </c>
      <c r="F9506" t="s">
        <v>10243</v>
      </c>
      <c r="G9506">
        <v>20</v>
      </c>
      <c r="H9506">
        <v>3098.5600000000004</v>
      </c>
      <c r="I9506">
        <v>154.93</v>
      </c>
      <c r="J9506">
        <v>0</v>
      </c>
      <c r="K9506">
        <v>0</v>
      </c>
      <c r="L9506">
        <v>0</v>
      </c>
      <c r="M9506">
        <v>20</v>
      </c>
      <c r="N9506">
        <v>3098.5600000000004</v>
      </c>
      <c r="O9506">
        <v>154.93</v>
      </c>
    </row>
    <row r="9507" spans="1:15" x14ac:dyDescent="0.35">
      <c r="A9507" t="s">
        <v>10225</v>
      </c>
      <c r="B9507" t="s">
        <v>10226</v>
      </c>
      <c r="C9507" t="s">
        <v>520</v>
      </c>
      <c r="D9507" t="s">
        <v>314</v>
      </c>
      <c r="E9507" t="s">
        <v>310</v>
      </c>
      <c r="F9507" t="s">
        <v>10244</v>
      </c>
      <c r="G9507">
        <v>20</v>
      </c>
      <c r="H9507">
        <v>3098.5600000000004</v>
      </c>
      <c r="I9507">
        <v>154.93</v>
      </c>
      <c r="J9507">
        <v>0</v>
      </c>
      <c r="K9507">
        <v>0</v>
      </c>
      <c r="L9507">
        <v>0</v>
      </c>
      <c r="M9507">
        <v>20</v>
      </c>
      <c r="N9507">
        <v>3098.5600000000004</v>
      </c>
      <c r="O9507">
        <v>154.93</v>
      </c>
    </row>
    <row r="9508" spans="1:15" x14ac:dyDescent="0.35">
      <c r="A9508" t="s">
        <v>10225</v>
      </c>
      <c r="B9508" t="s">
        <v>10226</v>
      </c>
      <c r="C9508" t="s">
        <v>520</v>
      </c>
      <c r="D9508" t="s">
        <v>323</v>
      </c>
      <c r="E9508" t="s">
        <v>294</v>
      </c>
      <c r="F9508" t="s">
        <v>10245</v>
      </c>
      <c r="G9508">
        <v>2638</v>
      </c>
      <c r="H9508">
        <v>241582.45000000004</v>
      </c>
      <c r="I9508">
        <v>91.58</v>
      </c>
      <c r="J9508">
        <v>0</v>
      </c>
      <c r="K9508">
        <v>0</v>
      </c>
      <c r="L9508">
        <v>0</v>
      </c>
      <c r="M9508">
        <v>2638</v>
      </c>
      <c r="N9508">
        <v>241582.45000000004</v>
      </c>
      <c r="O9508">
        <v>91.58</v>
      </c>
    </row>
    <row r="9509" spans="1:15" x14ac:dyDescent="0.35">
      <c r="A9509" t="s">
        <v>10225</v>
      </c>
      <c r="B9509" t="s">
        <v>10226</v>
      </c>
      <c r="C9509" t="s">
        <v>520</v>
      </c>
      <c r="D9509" t="s">
        <v>323</v>
      </c>
      <c r="E9509" t="s">
        <v>296</v>
      </c>
      <c r="F9509" t="s">
        <v>10246</v>
      </c>
      <c r="G9509">
        <v>4565</v>
      </c>
      <c r="H9509">
        <v>457058.34</v>
      </c>
      <c r="I9509">
        <v>100.12</v>
      </c>
      <c r="J9509">
        <v>0</v>
      </c>
      <c r="K9509">
        <v>0</v>
      </c>
      <c r="L9509">
        <v>0</v>
      </c>
      <c r="M9509">
        <v>4565</v>
      </c>
      <c r="N9509">
        <v>457058.34</v>
      </c>
      <c r="O9509">
        <v>100.12</v>
      </c>
    </row>
    <row r="9510" spans="1:15" x14ac:dyDescent="0.35">
      <c r="A9510" t="s">
        <v>10225</v>
      </c>
      <c r="B9510" t="s">
        <v>10226</v>
      </c>
      <c r="C9510" t="s">
        <v>520</v>
      </c>
      <c r="D9510" t="s">
        <v>323</v>
      </c>
      <c r="E9510" t="s">
        <v>298</v>
      </c>
      <c r="F9510" t="s">
        <v>10247</v>
      </c>
      <c r="G9510">
        <v>5771</v>
      </c>
      <c r="H9510">
        <v>665346.25000000023</v>
      </c>
      <c r="I9510">
        <v>115.29</v>
      </c>
      <c r="J9510">
        <v>0</v>
      </c>
      <c r="K9510">
        <v>0</v>
      </c>
      <c r="L9510">
        <v>0</v>
      </c>
      <c r="M9510">
        <v>5771</v>
      </c>
      <c r="N9510">
        <v>665346.25000000023</v>
      </c>
      <c r="O9510">
        <v>115.29</v>
      </c>
    </row>
    <row r="9511" spans="1:15" x14ac:dyDescent="0.35">
      <c r="A9511" t="s">
        <v>10225</v>
      </c>
      <c r="B9511" t="s">
        <v>10226</v>
      </c>
      <c r="C9511" t="s">
        <v>520</v>
      </c>
      <c r="D9511" t="s">
        <v>323</v>
      </c>
      <c r="E9511" t="s">
        <v>300</v>
      </c>
      <c r="F9511" t="s">
        <v>10248</v>
      </c>
      <c r="G9511">
        <v>516</v>
      </c>
      <c r="H9511">
        <v>64025.809999999983</v>
      </c>
      <c r="I9511">
        <v>124.08</v>
      </c>
      <c r="J9511">
        <v>0</v>
      </c>
      <c r="K9511">
        <v>0</v>
      </c>
      <c r="L9511">
        <v>0</v>
      </c>
      <c r="M9511">
        <v>516</v>
      </c>
      <c r="N9511">
        <v>64025.809999999983</v>
      </c>
      <c r="O9511">
        <v>124.08</v>
      </c>
    </row>
    <row r="9512" spans="1:15" x14ac:dyDescent="0.35">
      <c r="A9512" t="s">
        <v>10225</v>
      </c>
      <c r="B9512" t="s">
        <v>10226</v>
      </c>
      <c r="C9512" t="s">
        <v>520</v>
      </c>
      <c r="D9512" t="s">
        <v>323</v>
      </c>
      <c r="E9512" t="s">
        <v>302</v>
      </c>
      <c r="F9512" t="s">
        <v>10249</v>
      </c>
      <c r="G9512">
        <v>23</v>
      </c>
      <c r="H9512">
        <v>2960.07</v>
      </c>
      <c r="I9512">
        <v>128.69999999999999</v>
      </c>
      <c r="J9512">
        <v>0</v>
      </c>
      <c r="K9512">
        <v>0</v>
      </c>
      <c r="L9512">
        <v>0</v>
      </c>
      <c r="M9512">
        <v>23</v>
      </c>
      <c r="N9512">
        <v>2960.07</v>
      </c>
      <c r="O9512">
        <v>128.69999999999999</v>
      </c>
    </row>
    <row r="9513" spans="1:15" x14ac:dyDescent="0.35">
      <c r="A9513" t="s">
        <v>10225</v>
      </c>
      <c r="B9513" t="s">
        <v>10226</v>
      </c>
      <c r="C9513" t="s">
        <v>520</v>
      </c>
      <c r="D9513" t="s">
        <v>323</v>
      </c>
      <c r="E9513" t="s">
        <v>304</v>
      </c>
      <c r="F9513" t="s">
        <v>10250</v>
      </c>
      <c r="G9513">
        <v>5</v>
      </c>
      <c r="H9513">
        <v>707.2</v>
      </c>
      <c r="I9513">
        <v>141.44</v>
      </c>
      <c r="J9513">
        <v>0</v>
      </c>
      <c r="K9513">
        <v>0</v>
      </c>
      <c r="L9513">
        <v>0</v>
      </c>
      <c r="M9513">
        <v>5</v>
      </c>
      <c r="N9513">
        <v>707.2</v>
      </c>
      <c r="O9513">
        <v>141.44</v>
      </c>
    </row>
    <row r="9514" spans="1:15" x14ac:dyDescent="0.35">
      <c r="A9514" t="s">
        <v>10225</v>
      </c>
      <c r="B9514" t="s">
        <v>10226</v>
      </c>
      <c r="C9514" t="s">
        <v>520</v>
      </c>
      <c r="D9514" t="s">
        <v>323</v>
      </c>
      <c r="E9514" t="s">
        <v>306</v>
      </c>
      <c r="F9514" t="s">
        <v>10251</v>
      </c>
      <c r="G9514">
        <v>30</v>
      </c>
      <c r="H9514">
        <v>2404.09</v>
      </c>
      <c r="I9514">
        <v>80.14</v>
      </c>
      <c r="J9514">
        <v>0</v>
      </c>
      <c r="K9514">
        <v>0</v>
      </c>
      <c r="L9514">
        <v>0</v>
      </c>
      <c r="M9514">
        <v>30</v>
      </c>
      <c r="N9514">
        <v>2404.09</v>
      </c>
      <c r="O9514">
        <v>80.14</v>
      </c>
    </row>
    <row r="9515" spans="1:15" x14ac:dyDescent="0.35">
      <c r="A9515" t="s">
        <v>10225</v>
      </c>
      <c r="B9515" t="s">
        <v>10226</v>
      </c>
      <c r="C9515" t="s">
        <v>520</v>
      </c>
      <c r="D9515" t="s">
        <v>323</v>
      </c>
      <c r="E9515" t="s">
        <v>308</v>
      </c>
      <c r="F9515" t="s">
        <v>10252</v>
      </c>
      <c r="G9515">
        <v>0</v>
      </c>
      <c r="H9515">
        <v>0</v>
      </c>
      <c r="I9515">
        <v>0</v>
      </c>
      <c r="J9515">
        <v>0</v>
      </c>
      <c r="K9515">
        <v>0</v>
      </c>
      <c r="L9515">
        <v>0</v>
      </c>
      <c r="M9515">
        <v>0</v>
      </c>
      <c r="N9515">
        <v>0</v>
      </c>
      <c r="O9515">
        <v>0</v>
      </c>
    </row>
    <row r="9516" spans="1:15" x14ac:dyDescent="0.35">
      <c r="A9516" t="s">
        <v>10225</v>
      </c>
      <c r="B9516" t="s">
        <v>10226</v>
      </c>
      <c r="C9516" t="s">
        <v>520</v>
      </c>
      <c r="D9516" t="s">
        <v>323</v>
      </c>
      <c r="E9516" t="s">
        <v>310</v>
      </c>
      <c r="F9516" t="s">
        <v>10253</v>
      </c>
      <c r="G9516">
        <v>13548</v>
      </c>
      <c r="H9516">
        <v>1434084.2100000004</v>
      </c>
      <c r="I9516">
        <v>105.85</v>
      </c>
      <c r="J9516">
        <v>0</v>
      </c>
      <c r="K9516">
        <v>0</v>
      </c>
      <c r="L9516">
        <v>0</v>
      </c>
      <c r="M9516">
        <v>13548</v>
      </c>
      <c r="N9516">
        <v>1434084.2100000004</v>
      </c>
      <c r="O9516">
        <v>105.85</v>
      </c>
    </row>
    <row r="9517" spans="1:15" x14ac:dyDescent="0.35">
      <c r="A9517" t="s">
        <v>10225</v>
      </c>
      <c r="B9517" t="s">
        <v>10226</v>
      </c>
      <c r="C9517" t="s">
        <v>520</v>
      </c>
      <c r="D9517" t="s">
        <v>323</v>
      </c>
      <c r="E9517" t="s">
        <v>312</v>
      </c>
      <c r="F9517" t="s">
        <v>10254</v>
      </c>
      <c r="G9517">
        <v>13548</v>
      </c>
      <c r="H9517">
        <v>1434084.2100000004</v>
      </c>
      <c r="I9517">
        <v>105.85</v>
      </c>
      <c r="J9517">
        <v>0</v>
      </c>
      <c r="K9517">
        <v>0</v>
      </c>
      <c r="L9517">
        <v>0</v>
      </c>
      <c r="M9517">
        <v>13548</v>
      </c>
      <c r="N9517">
        <v>1434084.2100000004</v>
      </c>
      <c r="O9517">
        <v>105.85</v>
      </c>
    </row>
    <row r="9518" spans="1:15" x14ac:dyDescent="0.35">
      <c r="A9518" t="s">
        <v>10225</v>
      </c>
      <c r="B9518" t="s">
        <v>10226</v>
      </c>
      <c r="C9518" t="s">
        <v>520</v>
      </c>
      <c r="D9518" t="s">
        <v>334</v>
      </c>
      <c r="E9518" t="s">
        <v>312</v>
      </c>
      <c r="F9518" t="s">
        <v>10255</v>
      </c>
      <c r="G9518">
        <v>15905</v>
      </c>
      <c r="H9518">
        <v>1658620.0600000005</v>
      </c>
      <c r="I9518">
        <v>108.61</v>
      </c>
      <c r="J9518">
        <v>0</v>
      </c>
      <c r="K9518">
        <v>0</v>
      </c>
      <c r="L9518">
        <v>0</v>
      </c>
      <c r="M9518">
        <v>15905</v>
      </c>
      <c r="N9518">
        <v>1658620.0600000005</v>
      </c>
      <c r="O9518">
        <v>108.61</v>
      </c>
    </row>
    <row r="9519" spans="1:15" x14ac:dyDescent="0.35">
      <c r="A9519" t="s">
        <v>10225</v>
      </c>
      <c r="B9519" t="s">
        <v>10226</v>
      </c>
      <c r="C9519" t="s">
        <v>520</v>
      </c>
      <c r="D9519" t="s">
        <v>334</v>
      </c>
      <c r="E9519" t="s">
        <v>308</v>
      </c>
      <c r="F9519" t="s">
        <v>10256</v>
      </c>
      <c r="G9519">
        <v>0</v>
      </c>
      <c r="H9519">
        <v>0</v>
      </c>
      <c r="I9519">
        <v>0</v>
      </c>
      <c r="J9519">
        <v>0</v>
      </c>
      <c r="K9519">
        <v>0</v>
      </c>
      <c r="L9519">
        <v>0</v>
      </c>
      <c r="M9519">
        <v>0</v>
      </c>
      <c r="N9519">
        <v>0</v>
      </c>
      <c r="O9519">
        <v>0</v>
      </c>
    </row>
    <row r="9520" spans="1:15" x14ac:dyDescent="0.35">
      <c r="A9520" t="s">
        <v>10225</v>
      </c>
      <c r="B9520" t="s">
        <v>10226</v>
      </c>
      <c r="C9520" t="s">
        <v>520</v>
      </c>
      <c r="D9520" t="s">
        <v>337</v>
      </c>
      <c r="E9520" t="s">
        <v>337</v>
      </c>
      <c r="F9520" t="s">
        <v>10257</v>
      </c>
      <c r="G9520">
        <v>962</v>
      </c>
      <c r="J9520">
        <v>0</v>
      </c>
      <c r="M9520">
        <v>962</v>
      </c>
    </row>
    <row r="9521" spans="1:15" x14ac:dyDescent="0.35">
      <c r="A9521" t="s">
        <v>10225</v>
      </c>
      <c r="B9521" t="s">
        <v>10226</v>
      </c>
      <c r="C9521" t="s">
        <v>520</v>
      </c>
      <c r="D9521" t="s">
        <v>339</v>
      </c>
      <c r="E9521" t="s">
        <v>294</v>
      </c>
      <c r="F9521" t="s">
        <v>10258</v>
      </c>
      <c r="G9521">
        <v>1993</v>
      </c>
      <c r="H9521">
        <v>199571.34999999998</v>
      </c>
      <c r="I9521">
        <v>100.14</v>
      </c>
      <c r="J9521">
        <v>0</v>
      </c>
      <c r="K9521">
        <v>0</v>
      </c>
      <c r="L9521">
        <v>0</v>
      </c>
      <c r="M9521">
        <v>1993</v>
      </c>
      <c r="N9521">
        <v>199571.34999999998</v>
      </c>
      <c r="O9521">
        <v>100.14</v>
      </c>
    </row>
    <row r="9522" spans="1:15" x14ac:dyDescent="0.35">
      <c r="A9522" t="s">
        <v>10225</v>
      </c>
      <c r="B9522" t="s">
        <v>10226</v>
      </c>
      <c r="C9522" t="s">
        <v>520</v>
      </c>
      <c r="D9522" t="s">
        <v>339</v>
      </c>
      <c r="E9522" t="s">
        <v>296</v>
      </c>
      <c r="F9522" t="s">
        <v>10259</v>
      </c>
      <c r="G9522">
        <v>235</v>
      </c>
      <c r="H9522">
        <v>26636.059999999998</v>
      </c>
      <c r="I9522">
        <v>113.34</v>
      </c>
      <c r="J9522">
        <v>0</v>
      </c>
      <c r="K9522">
        <v>0</v>
      </c>
      <c r="L9522">
        <v>0</v>
      </c>
      <c r="M9522">
        <v>235</v>
      </c>
      <c r="N9522">
        <v>26636.059999999998</v>
      </c>
      <c r="O9522">
        <v>113.34</v>
      </c>
    </row>
    <row r="9523" spans="1:15" x14ac:dyDescent="0.35">
      <c r="A9523" t="s">
        <v>10225</v>
      </c>
      <c r="B9523" t="s">
        <v>10226</v>
      </c>
      <c r="C9523" t="s">
        <v>520</v>
      </c>
      <c r="D9523" t="s">
        <v>339</v>
      </c>
      <c r="E9523" t="s">
        <v>298</v>
      </c>
      <c r="F9523" t="s">
        <v>10260</v>
      </c>
      <c r="G9523">
        <v>43</v>
      </c>
      <c r="H9523">
        <v>5365.88</v>
      </c>
      <c r="I9523">
        <v>124.79</v>
      </c>
      <c r="J9523">
        <v>0</v>
      </c>
      <c r="K9523">
        <v>0</v>
      </c>
      <c r="L9523">
        <v>0</v>
      </c>
      <c r="M9523">
        <v>43</v>
      </c>
      <c r="N9523">
        <v>5365.88</v>
      </c>
      <c r="O9523">
        <v>124.79</v>
      </c>
    </row>
    <row r="9524" spans="1:15" x14ac:dyDescent="0.35">
      <c r="A9524" t="s">
        <v>10225</v>
      </c>
      <c r="B9524" t="s">
        <v>10226</v>
      </c>
      <c r="C9524" t="s">
        <v>520</v>
      </c>
      <c r="D9524" t="s">
        <v>339</v>
      </c>
      <c r="E9524" t="s">
        <v>300</v>
      </c>
      <c r="F9524" t="s">
        <v>10261</v>
      </c>
      <c r="G9524">
        <v>5</v>
      </c>
      <c r="H9524">
        <v>854.92</v>
      </c>
      <c r="I9524">
        <v>170.98</v>
      </c>
      <c r="J9524">
        <v>0</v>
      </c>
      <c r="K9524">
        <v>0</v>
      </c>
      <c r="L9524">
        <v>0</v>
      </c>
      <c r="M9524">
        <v>5</v>
      </c>
      <c r="N9524">
        <v>854.92</v>
      </c>
      <c r="O9524">
        <v>170.98</v>
      </c>
    </row>
    <row r="9525" spans="1:15" x14ac:dyDescent="0.35">
      <c r="A9525" t="s">
        <v>10225</v>
      </c>
      <c r="B9525" t="s">
        <v>10226</v>
      </c>
      <c r="C9525" t="s">
        <v>520</v>
      </c>
      <c r="D9525" t="s">
        <v>339</v>
      </c>
      <c r="E9525" t="s">
        <v>306</v>
      </c>
      <c r="F9525" t="s">
        <v>10262</v>
      </c>
      <c r="G9525">
        <v>269</v>
      </c>
      <c r="H9525">
        <v>23560.800000000003</v>
      </c>
      <c r="I9525">
        <v>87.59</v>
      </c>
      <c r="J9525">
        <v>0</v>
      </c>
      <c r="K9525">
        <v>0</v>
      </c>
      <c r="L9525">
        <v>0</v>
      </c>
      <c r="M9525">
        <v>269</v>
      </c>
      <c r="N9525">
        <v>23560.800000000003</v>
      </c>
      <c r="O9525">
        <v>87.59</v>
      </c>
    </row>
    <row r="9526" spans="1:15" x14ac:dyDescent="0.35">
      <c r="A9526" t="s">
        <v>10225</v>
      </c>
      <c r="B9526" t="s">
        <v>10226</v>
      </c>
      <c r="C9526" t="s">
        <v>520</v>
      </c>
      <c r="D9526" t="s">
        <v>339</v>
      </c>
      <c r="E9526" t="s">
        <v>308</v>
      </c>
      <c r="F9526" t="s">
        <v>10263</v>
      </c>
      <c r="G9526">
        <v>262</v>
      </c>
      <c r="H9526">
        <v>29199.19</v>
      </c>
      <c r="I9526">
        <v>111.45</v>
      </c>
      <c r="J9526">
        <v>0</v>
      </c>
      <c r="K9526">
        <v>0</v>
      </c>
      <c r="L9526">
        <v>0</v>
      </c>
      <c r="M9526">
        <v>262</v>
      </c>
      <c r="N9526">
        <v>29199.19</v>
      </c>
      <c r="O9526">
        <v>111.45</v>
      </c>
    </row>
    <row r="9527" spans="1:15" x14ac:dyDescent="0.35">
      <c r="A9527" t="s">
        <v>10225</v>
      </c>
      <c r="B9527" t="s">
        <v>10226</v>
      </c>
      <c r="C9527" t="s">
        <v>520</v>
      </c>
      <c r="D9527" t="s">
        <v>339</v>
      </c>
      <c r="E9527" t="s">
        <v>310</v>
      </c>
      <c r="F9527" t="s">
        <v>10264</v>
      </c>
      <c r="G9527">
        <v>2807</v>
      </c>
      <c r="H9527">
        <v>285188.2</v>
      </c>
      <c r="I9527">
        <v>101.6</v>
      </c>
      <c r="J9527">
        <v>0</v>
      </c>
      <c r="K9527">
        <v>0</v>
      </c>
      <c r="L9527">
        <v>0</v>
      </c>
      <c r="M9527">
        <v>2807</v>
      </c>
      <c r="N9527">
        <v>285188.2</v>
      </c>
      <c r="O9527">
        <v>101.6</v>
      </c>
    </row>
    <row r="9528" spans="1:15" x14ac:dyDescent="0.35">
      <c r="A9528" t="s">
        <v>10225</v>
      </c>
      <c r="B9528" t="s">
        <v>10226</v>
      </c>
      <c r="C9528" t="s">
        <v>520</v>
      </c>
      <c r="D9528" t="s">
        <v>339</v>
      </c>
      <c r="E9528" t="s">
        <v>312</v>
      </c>
      <c r="F9528" t="s">
        <v>10265</v>
      </c>
      <c r="G9528">
        <v>2545</v>
      </c>
      <c r="H9528">
        <v>255989.01</v>
      </c>
      <c r="I9528">
        <v>100.59</v>
      </c>
      <c r="J9528">
        <v>0</v>
      </c>
      <c r="K9528">
        <v>0</v>
      </c>
      <c r="L9528">
        <v>0</v>
      </c>
      <c r="M9528">
        <v>2545</v>
      </c>
      <c r="N9528">
        <v>255989.01</v>
      </c>
      <c r="O9528">
        <v>100.59</v>
      </c>
    </row>
    <row r="9529" spans="1:15" x14ac:dyDescent="0.35">
      <c r="A9529" t="s">
        <v>10225</v>
      </c>
      <c r="B9529" t="s">
        <v>10226</v>
      </c>
      <c r="C9529" t="s">
        <v>520</v>
      </c>
      <c r="D9529" t="s">
        <v>348</v>
      </c>
      <c r="E9529" t="s">
        <v>349</v>
      </c>
      <c r="F9529" t="s">
        <v>10266</v>
      </c>
      <c r="G9529">
        <v>3246</v>
      </c>
      <c r="H9529">
        <v>288286.76</v>
      </c>
      <c r="I9529">
        <v>101.98</v>
      </c>
      <c r="J9529">
        <v>0</v>
      </c>
      <c r="K9529">
        <v>0</v>
      </c>
      <c r="L9529">
        <v>0</v>
      </c>
      <c r="M9529">
        <v>3246</v>
      </c>
      <c r="N9529">
        <v>288286.76</v>
      </c>
      <c r="O9529">
        <v>101.98</v>
      </c>
    </row>
    <row r="9530" spans="1:15" x14ac:dyDescent="0.35">
      <c r="A9530" t="s">
        <v>10267</v>
      </c>
      <c r="B9530" t="s">
        <v>216</v>
      </c>
      <c r="C9530" t="s">
        <v>520</v>
      </c>
      <c r="D9530" t="s">
        <v>293</v>
      </c>
      <c r="E9530" t="s">
        <v>294</v>
      </c>
      <c r="F9530" t="s">
        <v>10268</v>
      </c>
      <c r="G9530">
        <v>293</v>
      </c>
      <c r="H9530">
        <v>33921.72</v>
      </c>
      <c r="I9530">
        <v>115.77</v>
      </c>
      <c r="J9530">
        <v>0</v>
      </c>
      <c r="K9530">
        <v>0</v>
      </c>
      <c r="L9530">
        <v>0</v>
      </c>
      <c r="M9530">
        <v>293</v>
      </c>
      <c r="N9530">
        <v>33921.72</v>
      </c>
      <c r="O9530">
        <v>115.77</v>
      </c>
    </row>
    <row r="9531" spans="1:15" x14ac:dyDescent="0.35">
      <c r="A9531" t="s">
        <v>10267</v>
      </c>
      <c r="B9531" t="s">
        <v>216</v>
      </c>
      <c r="C9531" t="s">
        <v>520</v>
      </c>
      <c r="D9531" t="s">
        <v>293</v>
      </c>
      <c r="E9531" t="s">
        <v>296</v>
      </c>
      <c r="F9531" t="s">
        <v>10269</v>
      </c>
      <c r="G9531">
        <v>1374</v>
      </c>
      <c r="H9531">
        <v>178097.93</v>
      </c>
      <c r="I9531">
        <v>129.62</v>
      </c>
      <c r="J9531">
        <v>0</v>
      </c>
      <c r="K9531">
        <v>0</v>
      </c>
      <c r="L9531">
        <v>0</v>
      </c>
      <c r="M9531">
        <v>1374</v>
      </c>
      <c r="N9531">
        <v>178097.93</v>
      </c>
      <c r="O9531">
        <v>129.62</v>
      </c>
    </row>
    <row r="9532" spans="1:15" x14ac:dyDescent="0.35">
      <c r="A9532" t="s">
        <v>10267</v>
      </c>
      <c r="B9532" t="s">
        <v>216</v>
      </c>
      <c r="C9532" t="s">
        <v>520</v>
      </c>
      <c r="D9532" t="s">
        <v>293</v>
      </c>
      <c r="E9532" t="s">
        <v>298</v>
      </c>
      <c r="F9532" t="s">
        <v>10270</v>
      </c>
      <c r="G9532">
        <v>922</v>
      </c>
      <c r="H9532">
        <v>133836.06</v>
      </c>
      <c r="I9532">
        <v>145.16</v>
      </c>
      <c r="J9532">
        <v>0</v>
      </c>
      <c r="K9532">
        <v>0</v>
      </c>
      <c r="L9532">
        <v>0</v>
      </c>
      <c r="M9532">
        <v>922</v>
      </c>
      <c r="N9532">
        <v>133836.06</v>
      </c>
      <c r="O9532">
        <v>145.16</v>
      </c>
    </row>
    <row r="9533" spans="1:15" x14ac:dyDescent="0.35">
      <c r="A9533" t="s">
        <v>10267</v>
      </c>
      <c r="B9533" t="s">
        <v>216</v>
      </c>
      <c r="C9533" t="s">
        <v>520</v>
      </c>
      <c r="D9533" t="s">
        <v>293</v>
      </c>
      <c r="E9533" t="s">
        <v>300</v>
      </c>
      <c r="F9533" t="s">
        <v>10271</v>
      </c>
      <c r="G9533">
        <v>129</v>
      </c>
      <c r="H9533">
        <v>21185.51</v>
      </c>
      <c r="I9533">
        <v>164.23</v>
      </c>
      <c r="J9533">
        <v>0</v>
      </c>
      <c r="K9533">
        <v>0</v>
      </c>
      <c r="L9533">
        <v>0</v>
      </c>
      <c r="M9533">
        <v>129</v>
      </c>
      <c r="N9533">
        <v>21185.51</v>
      </c>
      <c r="O9533">
        <v>164.23</v>
      </c>
    </row>
    <row r="9534" spans="1:15" x14ac:dyDescent="0.35">
      <c r="A9534" t="s">
        <v>10267</v>
      </c>
      <c r="B9534" t="s">
        <v>216</v>
      </c>
      <c r="C9534" t="s">
        <v>520</v>
      </c>
      <c r="D9534" t="s">
        <v>293</v>
      </c>
      <c r="E9534" t="s">
        <v>302</v>
      </c>
      <c r="F9534" t="s">
        <v>10272</v>
      </c>
      <c r="G9534">
        <v>1</v>
      </c>
      <c r="H9534">
        <v>167.19</v>
      </c>
      <c r="I9534">
        <v>167.19</v>
      </c>
      <c r="J9534">
        <v>0</v>
      </c>
      <c r="K9534">
        <v>0</v>
      </c>
      <c r="L9534">
        <v>0</v>
      </c>
      <c r="M9534">
        <v>1</v>
      </c>
      <c r="N9534">
        <v>167.19</v>
      </c>
      <c r="O9534">
        <v>167.19</v>
      </c>
    </row>
    <row r="9535" spans="1:15" x14ac:dyDescent="0.35">
      <c r="A9535" t="s">
        <v>10267</v>
      </c>
      <c r="B9535" t="s">
        <v>216</v>
      </c>
      <c r="C9535" t="s">
        <v>520</v>
      </c>
      <c r="D9535" t="s">
        <v>293</v>
      </c>
      <c r="E9535" t="s">
        <v>304</v>
      </c>
      <c r="F9535" t="s">
        <v>10273</v>
      </c>
      <c r="G9535">
        <v>0</v>
      </c>
      <c r="H9535">
        <v>0</v>
      </c>
      <c r="I9535">
        <v>0</v>
      </c>
      <c r="J9535">
        <v>0</v>
      </c>
      <c r="K9535">
        <v>0</v>
      </c>
      <c r="L9535">
        <v>0</v>
      </c>
      <c r="M9535">
        <v>0</v>
      </c>
      <c r="N9535">
        <v>0</v>
      </c>
      <c r="O9535">
        <v>0</v>
      </c>
    </row>
    <row r="9536" spans="1:15" x14ac:dyDescent="0.35">
      <c r="A9536" t="s">
        <v>10267</v>
      </c>
      <c r="B9536" t="s">
        <v>216</v>
      </c>
      <c r="C9536" t="s">
        <v>520</v>
      </c>
      <c r="D9536" t="s">
        <v>293</v>
      </c>
      <c r="E9536" t="s">
        <v>306</v>
      </c>
      <c r="F9536" t="s">
        <v>10274</v>
      </c>
      <c r="G9536">
        <v>0</v>
      </c>
      <c r="H9536">
        <v>0</v>
      </c>
      <c r="I9536">
        <v>0</v>
      </c>
      <c r="J9536">
        <v>0</v>
      </c>
      <c r="K9536">
        <v>0</v>
      </c>
      <c r="L9536">
        <v>0</v>
      </c>
      <c r="M9536">
        <v>0</v>
      </c>
      <c r="N9536">
        <v>0</v>
      </c>
      <c r="O9536">
        <v>0</v>
      </c>
    </row>
    <row r="9537" spans="1:15" x14ac:dyDescent="0.35">
      <c r="A9537" t="s">
        <v>10267</v>
      </c>
      <c r="B9537" t="s">
        <v>216</v>
      </c>
      <c r="C9537" t="s">
        <v>520</v>
      </c>
      <c r="D9537" t="s">
        <v>293</v>
      </c>
      <c r="E9537" t="s">
        <v>308</v>
      </c>
      <c r="F9537" t="s">
        <v>10275</v>
      </c>
      <c r="G9537">
        <v>0</v>
      </c>
      <c r="H9537">
        <v>0</v>
      </c>
      <c r="I9537">
        <v>0</v>
      </c>
      <c r="J9537">
        <v>0</v>
      </c>
      <c r="K9537">
        <v>0</v>
      </c>
      <c r="L9537">
        <v>0</v>
      </c>
      <c r="M9537">
        <v>0</v>
      </c>
      <c r="N9537">
        <v>0</v>
      </c>
      <c r="O9537">
        <v>0</v>
      </c>
    </row>
    <row r="9538" spans="1:15" x14ac:dyDescent="0.35">
      <c r="A9538" t="s">
        <v>10267</v>
      </c>
      <c r="B9538" t="s">
        <v>216</v>
      </c>
      <c r="C9538" t="s">
        <v>520</v>
      </c>
      <c r="D9538" t="s">
        <v>293</v>
      </c>
      <c r="E9538" t="s">
        <v>310</v>
      </c>
      <c r="F9538" t="s">
        <v>10276</v>
      </c>
      <c r="G9538">
        <v>2719</v>
      </c>
      <c r="H9538">
        <v>367208.41</v>
      </c>
      <c r="I9538">
        <v>135.05000000000001</v>
      </c>
      <c r="J9538">
        <v>0</v>
      </c>
      <c r="K9538">
        <v>0</v>
      </c>
      <c r="L9538">
        <v>0</v>
      </c>
      <c r="M9538">
        <v>2719</v>
      </c>
      <c r="N9538">
        <v>367208.41</v>
      </c>
      <c r="O9538">
        <v>135.05000000000001</v>
      </c>
    </row>
    <row r="9539" spans="1:15" x14ac:dyDescent="0.35">
      <c r="A9539" t="s">
        <v>10267</v>
      </c>
      <c r="B9539" t="s">
        <v>216</v>
      </c>
      <c r="C9539" t="s">
        <v>520</v>
      </c>
      <c r="D9539" t="s">
        <v>293</v>
      </c>
      <c r="E9539" t="s">
        <v>312</v>
      </c>
      <c r="F9539" t="s">
        <v>10277</v>
      </c>
      <c r="G9539">
        <v>2719</v>
      </c>
      <c r="H9539">
        <v>367208.41</v>
      </c>
      <c r="I9539">
        <v>135.05000000000001</v>
      </c>
      <c r="J9539">
        <v>0</v>
      </c>
      <c r="K9539">
        <v>0</v>
      </c>
      <c r="L9539">
        <v>0</v>
      </c>
      <c r="M9539">
        <v>2719</v>
      </c>
      <c r="N9539">
        <v>367208.41</v>
      </c>
      <c r="O9539">
        <v>135.05000000000001</v>
      </c>
    </row>
    <row r="9540" spans="1:15" x14ac:dyDescent="0.35">
      <c r="A9540" t="s">
        <v>10267</v>
      </c>
      <c r="B9540" t="s">
        <v>216</v>
      </c>
      <c r="C9540" t="s">
        <v>520</v>
      </c>
      <c r="D9540" t="s">
        <v>314</v>
      </c>
      <c r="E9540" t="s">
        <v>294</v>
      </c>
      <c r="F9540" t="s">
        <v>10278</v>
      </c>
      <c r="G9540">
        <v>241</v>
      </c>
      <c r="H9540">
        <v>58009.19</v>
      </c>
      <c r="I9540">
        <v>240.7</v>
      </c>
      <c r="J9540">
        <v>0</v>
      </c>
      <c r="K9540">
        <v>0</v>
      </c>
      <c r="L9540">
        <v>0</v>
      </c>
      <c r="M9540">
        <v>241</v>
      </c>
      <c r="N9540">
        <v>58009.19</v>
      </c>
      <c r="O9540">
        <v>240.7</v>
      </c>
    </row>
    <row r="9541" spans="1:15" x14ac:dyDescent="0.35">
      <c r="A9541" t="s">
        <v>10267</v>
      </c>
      <c r="B9541" t="s">
        <v>216</v>
      </c>
      <c r="C9541" t="s">
        <v>520</v>
      </c>
      <c r="D9541" t="s">
        <v>314</v>
      </c>
      <c r="E9541" t="s">
        <v>296</v>
      </c>
      <c r="F9541" t="s">
        <v>10279</v>
      </c>
      <c r="G9541">
        <v>49</v>
      </c>
      <c r="H9541">
        <v>11578.16</v>
      </c>
      <c r="I9541">
        <v>236.29</v>
      </c>
      <c r="J9541">
        <v>0</v>
      </c>
      <c r="K9541">
        <v>0</v>
      </c>
      <c r="L9541">
        <v>0</v>
      </c>
      <c r="M9541">
        <v>49</v>
      </c>
      <c r="N9541">
        <v>11578.16</v>
      </c>
      <c r="O9541">
        <v>236.29</v>
      </c>
    </row>
    <row r="9542" spans="1:15" x14ac:dyDescent="0.35">
      <c r="A9542" t="s">
        <v>10267</v>
      </c>
      <c r="B9542" t="s">
        <v>216</v>
      </c>
      <c r="C9542" t="s">
        <v>520</v>
      </c>
      <c r="D9542" t="s">
        <v>314</v>
      </c>
      <c r="E9542" t="s">
        <v>298</v>
      </c>
      <c r="F9542" t="s">
        <v>10280</v>
      </c>
      <c r="G9542">
        <v>0</v>
      </c>
      <c r="H9542">
        <v>0</v>
      </c>
      <c r="I9542">
        <v>0</v>
      </c>
      <c r="J9542">
        <v>0</v>
      </c>
      <c r="K9542">
        <v>0</v>
      </c>
      <c r="L9542">
        <v>0</v>
      </c>
      <c r="M9542">
        <v>0</v>
      </c>
      <c r="N9542">
        <v>0</v>
      </c>
      <c r="O9542">
        <v>0</v>
      </c>
    </row>
    <row r="9543" spans="1:15" x14ac:dyDescent="0.35">
      <c r="A9543" t="s">
        <v>10267</v>
      </c>
      <c r="B9543" t="s">
        <v>216</v>
      </c>
      <c r="C9543" t="s">
        <v>520</v>
      </c>
      <c r="D9543" t="s">
        <v>314</v>
      </c>
      <c r="E9543" t="s">
        <v>300</v>
      </c>
      <c r="F9543" t="s">
        <v>10281</v>
      </c>
      <c r="G9543">
        <v>0</v>
      </c>
      <c r="H9543">
        <v>0</v>
      </c>
      <c r="I9543">
        <v>0</v>
      </c>
      <c r="J9543">
        <v>0</v>
      </c>
      <c r="K9543">
        <v>0</v>
      </c>
      <c r="L9543">
        <v>0</v>
      </c>
      <c r="M9543">
        <v>0</v>
      </c>
      <c r="N9543">
        <v>0</v>
      </c>
      <c r="O9543">
        <v>0</v>
      </c>
    </row>
    <row r="9544" spans="1:15" x14ac:dyDescent="0.35">
      <c r="A9544" t="s">
        <v>10267</v>
      </c>
      <c r="B9544" t="s">
        <v>216</v>
      </c>
      <c r="C9544" t="s">
        <v>520</v>
      </c>
      <c r="D9544" t="s">
        <v>314</v>
      </c>
      <c r="E9544" t="s">
        <v>306</v>
      </c>
      <c r="F9544" t="s">
        <v>10282</v>
      </c>
      <c r="G9544">
        <v>27</v>
      </c>
      <c r="H9544">
        <v>11423.16</v>
      </c>
      <c r="I9544">
        <v>423.08</v>
      </c>
      <c r="J9544">
        <v>0</v>
      </c>
      <c r="K9544">
        <v>0</v>
      </c>
      <c r="L9544">
        <v>0</v>
      </c>
      <c r="M9544">
        <v>27</v>
      </c>
      <c r="N9544">
        <v>11423.16</v>
      </c>
      <c r="O9544">
        <v>423.08</v>
      </c>
    </row>
    <row r="9545" spans="1:15" x14ac:dyDescent="0.35">
      <c r="A9545" t="s">
        <v>10267</v>
      </c>
      <c r="B9545" t="s">
        <v>216</v>
      </c>
      <c r="C9545" t="s">
        <v>520</v>
      </c>
      <c r="D9545" t="s">
        <v>314</v>
      </c>
      <c r="E9545" t="s">
        <v>308</v>
      </c>
      <c r="F9545" t="s">
        <v>10283</v>
      </c>
      <c r="G9545">
        <v>21</v>
      </c>
      <c r="H9545">
        <v>2720.23</v>
      </c>
      <c r="I9545">
        <v>129.53</v>
      </c>
      <c r="J9545">
        <v>0</v>
      </c>
      <c r="K9545">
        <v>0</v>
      </c>
      <c r="L9545">
        <v>0</v>
      </c>
      <c r="M9545">
        <v>21</v>
      </c>
      <c r="N9545">
        <v>2720.23</v>
      </c>
      <c r="O9545">
        <v>129.53</v>
      </c>
    </row>
    <row r="9546" spans="1:15" x14ac:dyDescent="0.35">
      <c r="A9546" t="s">
        <v>10267</v>
      </c>
      <c r="B9546" t="s">
        <v>216</v>
      </c>
      <c r="C9546" t="s">
        <v>520</v>
      </c>
      <c r="D9546" t="s">
        <v>314</v>
      </c>
      <c r="E9546" t="s">
        <v>312</v>
      </c>
      <c r="F9546" t="s">
        <v>10284</v>
      </c>
      <c r="G9546">
        <v>317</v>
      </c>
      <c r="H9546">
        <v>81010.510000000009</v>
      </c>
      <c r="I9546">
        <v>255.55</v>
      </c>
      <c r="J9546">
        <v>0</v>
      </c>
      <c r="K9546">
        <v>0</v>
      </c>
      <c r="L9546">
        <v>0</v>
      </c>
      <c r="M9546">
        <v>317</v>
      </c>
      <c r="N9546">
        <v>81010.510000000009</v>
      </c>
      <c r="O9546">
        <v>255.55</v>
      </c>
    </row>
    <row r="9547" spans="1:15" x14ac:dyDescent="0.35">
      <c r="A9547" t="s">
        <v>10267</v>
      </c>
      <c r="B9547" t="s">
        <v>216</v>
      </c>
      <c r="C9547" t="s">
        <v>520</v>
      </c>
      <c r="D9547" t="s">
        <v>314</v>
      </c>
      <c r="E9547" t="s">
        <v>310</v>
      </c>
      <c r="F9547" t="s">
        <v>10285</v>
      </c>
      <c r="G9547">
        <v>338</v>
      </c>
      <c r="H9547">
        <v>83730.740000000005</v>
      </c>
      <c r="I9547">
        <v>247.72</v>
      </c>
      <c r="J9547">
        <v>0</v>
      </c>
      <c r="K9547">
        <v>0</v>
      </c>
      <c r="L9547">
        <v>0</v>
      </c>
      <c r="M9547">
        <v>338</v>
      </c>
      <c r="N9547">
        <v>83730.740000000005</v>
      </c>
      <c r="O9547">
        <v>247.72</v>
      </c>
    </row>
    <row r="9548" spans="1:15" x14ac:dyDescent="0.35">
      <c r="A9548" t="s">
        <v>10267</v>
      </c>
      <c r="B9548" t="s">
        <v>216</v>
      </c>
      <c r="C9548" t="s">
        <v>520</v>
      </c>
      <c r="D9548" t="s">
        <v>323</v>
      </c>
      <c r="E9548" t="s">
        <v>294</v>
      </c>
      <c r="F9548" t="s">
        <v>10286</v>
      </c>
      <c r="G9548">
        <v>2585</v>
      </c>
      <c r="H9548">
        <v>231851.89</v>
      </c>
      <c r="I9548">
        <v>89.69</v>
      </c>
      <c r="J9548">
        <v>5</v>
      </c>
      <c r="K9548">
        <v>441.5</v>
      </c>
      <c r="L9548">
        <v>88.3</v>
      </c>
      <c r="M9548">
        <v>2590</v>
      </c>
      <c r="N9548">
        <v>232293.39</v>
      </c>
      <c r="O9548">
        <v>89.69</v>
      </c>
    </row>
    <row r="9549" spans="1:15" x14ac:dyDescent="0.35">
      <c r="A9549" t="s">
        <v>10267</v>
      </c>
      <c r="B9549" t="s">
        <v>216</v>
      </c>
      <c r="C9549" t="s">
        <v>520</v>
      </c>
      <c r="D9549" t="s">
        <v>323</v>
      </c>
      <c r="E9549" t="s">
        <v>296</v>
      </c>
      <c r="F9549" t="s">
        <v>10287</v>
      </c>
      <c r="G9549">
        <v>4320</v>
      </c>
      <c r="H9549">
        <v>435071.56</v>
      </c>
      <c r="I9549">
        <v>100.71</v>
      </c>
      <c r="J9549">
        <v>21</v>
      </c>
      <c r="K9549">
        <v>1956.99</v>
      </c>
      <c r="L9549">
        <v>93.19</v>
      </c>
      <c r="M9549">
        <v>4341</v>
      </c>
      <c r="N9549">
        <v>437028.55</v>
      </c>
      <c r="O9549">
        <v>100.67</v>
      </c>
    </row>
    <row r="9550" spans="1:15" x14ac:dyDescent="0.35">
      <c r="A9550" t="s">
        <v>10267</v>
      </c>
      <c r="B9550" t="s">
        <v>216</v>
      </c>
      <c r="C9550" t="s">
        <v>520</v>
      </c>
      <c r="D9550" t="s">
        <v>323</v>
      </c>
      <c r="E9550" t="s">
        <v>298</v>
      </c>
      <c r="F9550" t="s">
        <v>10288</v>
      </c>
      <c r="G9550">
        <v>6957</v>
      </c>
      <c r="H9550">
        <v>785631.9</v>
      </c>
      <c r="I9550">
        <v>112.93</v>
      </c>
      <c r="J9550">
        <v>2</v>
      </c>
      <c r="K9550">
        <v>207.78</v>
      </c>
      <c r="L9550">
        <v>103.89</v>
      </c>
      <c r="M9550">
        <v>6959</v>
      </c>
      <c r="N9550">
        <v>785839.68</v>
      </c>
      <c r="O9550">
        <v>112.92</v>
      </c>
    </row>
    <row r="9551" spans="1:15" x14ac:dyDescent="0.35">
      <c r="A9551" t="s">
        <v>10267</v>
      </c>
      <c r="B9551" t="s">
        <v>216</v>
      </c>
      <c r="C9551" t="s">
        <v>520</v>
      </c>
      <c r="D9551" t="s">
        <v>323</v>
      </c>
      <c r="E9551" t="s">
        <v>300</v>
      </c>
      <c r="F9551" t="s">
        <v>10289</v>
      </c>
      <c r="G9551">
        <v>556</v>
      </c>
      <c r="H9551">
        <v>68149.810000000012</v>
      </c>
      <c r="I9551">
        <v>122.57</v>
      </c>
      <c r="J9551">
        <v>0</v>
      </c>
      <c r="K9551">
        <v>0</v>
      </c>
      <c r="L9551">
        <v>0</v>
      </c>
      <c r="M9551">
        <v>556</v>
      </c>
      <c r="N9551">
        <v>68149.810000000012</v>
      </c>
      <c r="O9551">
        <v>122.57</v>
      </c>
    </row>
    <row r="9552" spans="1:15" x14ac:dyDescent="0.35">
      <c r="A9552" t="s">
        <v>10267</v>
      </c>
      <c r="B9552" t="s">
        <v>216</v>
      </c>
      <c r="C9552" t="s">
        <v>520</v>
      </c>
      <c r="D9552" t="s">
        <v>323</v>
      </c>
      <c r="E9552" t="s">
        <v>302</v>
      </c>
      <c r="F9552" t="s">
        <v>10290</v>
      </c>
      <c r="G9552">
        <v>12</v>
      </c>
      <c r="H9552">
        <v>1463.07</v>
      </c>
      <c r="I9552">
        <v>121.92</v>
      </c>
      <c r="J9552">
        <v>0</v>
      </c>
      <c r="K9552">
        <v>0</v>
      </c>
      <c r="L9552">
        <v>0</v>
      </c>
      <c r="M9552">
        <v>12</v>
      </c>
      <c r="N9552">
        <v>1463.07</v>
      </c>
      <c r="O9552">
        <v>121.92</v>
      </c>
    </row>
    <row r="9553" spans="1:15" x14ac:dyDescent="0.35">
      <c r="A9553" t="s">
        <v>10267</v>
      </c>
      <c r="B9553" t="s">
        <v>216</v>
      </c>
      <c r="C9553" t="s">
        <v>520</v>
      </c>
      <c r="D9553" t="s">
        <v>323</v>
      </c>
      <c r="E9553" t="s">
        <v>304</v>
      </c>
      <c r="F9553" t="s">
        <v>10291</v>
      </c>
      <c r="G9553">
        <v>0</v>
      </c>
      <c r="H9553">
        <v>0</v>
      </c>
      <c r="I9553">
        <v>0</v>
      </c>
      <c r="J9553">
        <v>0</v>
      </c>
      <c r="K9553">
        <v>0</v>
      </c>
      <c r="L9553">
        <v>0</v>
      </c>
      <c r="M9553">
        <v>0</v>
      </c>
      <c r="N9553">
        <v>0</v>
      </c>
      <c r="O9553">
        <v>0</v>
      </c>
    </row>
    <row r="9554" spans="1:15" x14ac:dyDescent="0.35">
      <c r="A9554" t="s">
        <v>10267</v>
      </c>
      <c r="B9554" t="s">
        <v>216</v>
      </c>
      <c r="C9554" t="s">
        <v>520</v>
      </c>
      <c r="D9554" t="s">
        <v>323</v>
      </c>
      <c r="E9554" t="s">
        <v>306</v>
      </c>
      <c r="F9554" t="s">
        <v>10292</v>
      </c>
      <c r="G9554">
        <v>71</v>
      </c>
      <c r="H9554">
        <v>5502.75</v>
      </c>
      <c r="I9554">
        <v>77.5</v>
      </c>
      <c r="J9554">
        <v>0</v>
      </c>
      <c r="K9554">
        <v>0</v>
      </c>
      <c r="L9554">
        <v>0</v>
      </c>
      <c r="M9554">
        <v>71</v>
      </c>
      <c r="N9554">
        <v>5502.75</v>
      </c>
      <c r="O9554">
        <v>77.5</v>
      </c>
    </row>
    <row r="9555" spans="1:15" x14ac:dyDescent="0.35">
      <c r="A9555" t="s">
        <v>10267</v>
      </c>
      <c r="B9555" t="s">
        <v>216</v>
      </c>
      <c r="C9555" t="s">
        <v>520</v>
      </c>
      <c r="D9555" t="s">
        <v>323</v>
      </c>
      <c r="E9555" t="s">
        <v>308</v>
      </c>
      <c r="F9555" t="s">
        <v>10293</v>
      </c>
      <c r="G9555">
        <v>0</v>
      </c>
      <c r="H9555">
        <v>0</v>
      </c>
      <c r="I9555">
        <v>0</v>
      </c>
      <c r="J9555">
        <v>0</v>
      </c>
      <c r="K9555">
        <v>0</v>
      </c>
      <c r="L9555">
        <v>0</v>
      </c>
      <c r="M9555">
        <v>0</v>
      </c>
      <c r="N9555">
        <v>0</v>
      </c>
      <c r="O9555">
        <v>0</v>
      </c>
    </row>
    <row r="9556" spans="1:15" x14ac:dyDescent="0.35">
      <c r="A9556" t="s">
        <v>10267</v>
      </c>
      <c r="B9556" t="s">
        <v>216</v>
      </c>
      <c r="C9556" t="s">
        <v>520</v>
      </c>
      <c r="D9556" t="s">
        <v>323</v>
      </c>
      <c r="E9556" t="s">
        <v>310</v>
      </c>
      <c r="F9556" t="s">
        <v>10294</v>
      </c>
      <c r="G9556">
        <v>14501</v>
      </c>
      <c r="H9556">
        <v>1527670.9800000002</v>
      </c>
      <c r="I9556">
        <v>105.35</v>
      </c>
      <c r="J9556">
        <v>28</v>
      </c>
      <c r="K9556">
        <v>2606.27</v>
      </c>
      <c r="L9556">
        <v>93.08</v>
      </c>
      <c r="M9556">
        <v>14529</v>
      </c>
      <c r="N9556">
        <v>1530277.2500000002</v>
      </c>
      <c r="O9556">
        <v>105.33</v>
      </c>
    </row>
    <row r="9557" spans="1:15" x14ac:dyDescent="0.35">
      <c r="A9557" t="s">
        <v>10267</v>
      </c>
      <c r="B9557" t="s">
        <v>216</v>
      </c>
      <c r="C9557" t="s">
        <v>520</v>
      </c>
      <c r="D9557" t="s">
        <v>323</v>
      </c>
      <c r="E9557" t="s">
        <v>312</v>
      </c>
      <c r="F9557" t="s">
        <v>10295</v>
      </c>
      <c r="G9557">
        <v>14501</v>
      </c>
      <c r="H9557">
        <v>1527670.9800000002</v>
      </c>
      <c r="I9557">
        <v>105.35</v>
      </c>
      <c r="J9557">
        <v>28</v>
      </c>
      <c r="K9557">
        <v>2606.27</v>
      </c>
      <c r="L9557">
        <v>93.08</v>
      </c>
      <c r="M9557">
        <v>14529</v>
      </c>
      <c r="N9557">
        <v>1530277.2500000002</v>
      </c>
      <c r="O9557">
        <v>105.33</v>
      </c>
    </row>
    <row r="9558" spans="1:15" x14ac:dyDescent="0.35">
      <c r="A9558" t="s">
        <v>10267</v>
      </c>
      <c r="B9558" t="s">
        <v>216</v>
      </c>
      <c r="C9558" t="s">
        <v>520</v>
      </c>
      <c r="D9558" t="s">
        <v>334</v>
      </c>
      <c r="E9558" t="s">
        <v>312</v>
      </c>
      <c r="F9558" t="s">
        <v>10296</v>
      </c>
      <c r="G9558">
        <v>18289</v>
      </c>
      <c r="H9558">
        <v>1894879.3900000004</v>
      </c>
      <c r="I9558">
        <v>110.04</v>
      </c>
      <c r="J9558">
        <v>28</v>
      </c>
      <c r="K9558">
        <v>2606.27</v>
      </c>
      <c r="L9558">
        <v>93.08</v>
      </c>
      <c r="M9558">
        <v>18317</v>
      </c>
      <c r="N9558">
        <v>1897485.6600000004</v>
      </c>
      <c r="O9558">
        <v>110.01</v>
      </c>
    </row>
    <row r="9559" spans="1:15" x14ac:dyDescent="0.35">
      <c r="A9559" t="s">
        <v>10267</v>
      </c>
      <c r="B9559" t="s">
        <v>216</v>
      </c>
      <c r="C9559" t="s">
        <v>520</v>
      </c>
      <c r="D9559" t="s">
        <v>334</v>
      </c>
      <c r="E9559" t="s">
        <v>308</v>
      </c>
      <c r="F9559" t="s">
        <v>10297</v>
      </c>
      <c r="G9559">
        <v>0</v>
      </c>
      <c r="H9559">
        <v>0</v>
      </c>
      <c r="I9559">
        <v>0</v>
      </c>
      <c r="J9559">
        <v>0</v>
      </c>
      <c r="K9559">
        <v>0</v>
      </c>
      <c r="L9559">
        <v>0</v>
      </c>
      <c r="M9559">
        <v>0</v>
      </c>
      <c r="N9559">
        <v>0</v>
      </c>
      <c r="O9559">
        <v>0</v>
      </c>
    </row>
    <row r="9560" spans="1:15" x14ac:dyDescent="0.35">
      <c r="A9560" t="s">
        <v>10267</v>
      </c>
      <c r="B9560" t="s">
        <v>216</v>
      </c>
      <c r="C9560" t="s">
        <v>520</v>
      </c>
      <c r="D9560" t="s">
        <v>337</v>
      </c>
      <c r="E9560" t="s">
        <v>337</v>
      </c>
      <c r="F9560" t="s">
        <v>10298</v>
      </c>
      <c r="G9560">
        <v>643</v>
      </c>
      <c r="J9560">
        <v>0</v>
      </c>
      <c r="M9560">
        <v>643</v>
      </c>
    </row>
    <row r="9561" spans="1:15" x14ac:dyDescent="0.35">
      <c r="A9561" t="s">
        <v>10267</v>
      </c>
      <c r="B9561" t="s">
        <v>216</v>
      </c>
      <c r="C9561" t="s">
        <v>520</v>
      </c>
      <c r="D9561" t="s">
        <v>339</v>
      </c>
      <c r="E9561" t="s">
        <v>294</v>
      </c>
      <c r="F9561" t="s">
        <v>10299</v>
      </c>
      <c r="G9561">
        <v>2702</v>
      </c>
      <c r="H9561">
        <v>283628.12</v>
      </c>
      <c r="I9561">
        <v>104.97</v>
      </c>
      <c r="J9561">
        <v>0</v>
      </c>
      <c r="K9561">
        <v>0</v>
      </c>
      <c r="L9561">
        <v>0</v>
      </c>
      <c r="M9561">
        <v>2702</v>
      </c>
      <c r="N9561">
        <v>283628.12</v>
      </c>
      <c r="O9561">
        <v>104.97</v>
      </c>
    </row>
    <row r="9562" spans="1:15" x14ac:dyDescent="0.35">
      <c r="A9562" t="s">
        <v>10267</v>
      </c>
      <c r="B9562" t="s">
        <v>216</v>
      </c>
      <c r="C9562" t="s">
        <v>520</v>
      </c>
      <c r="D9562" t="s">
        <v>339</v>
      </c>
      <c r="E9562" t="s">
        <v>296</v>
      </c>
      <c r="F9562" t="s">
        <v>10300</v>
      </c>
      <c r="G9562">
        <v>600</v>
      </c>
      <c r="H9562">
        <v>70188.590000000011</v>
      </c>
      <c r="I9562">
        <v>116.98</v>
      </c>
      <c r="J9562">
        <v>0</v>
      </c>
      <c r="K9562">
        <v>0</v>
      </c>
      <c r="L9562">
        <v>0</v>
      </c>
      <c r="M9562">
        <v>600</v>
      </c>
      <c r="N9562">
        <v>70188.590000000011</v>
      </c>
      <c r="O9562">
        <v>116.98</v>
      </c>
    </row>
    <row r="9563" spans="1:15" x14ac:dyDescent="0.35">
      <c r="A9563" t="s">
        <v>10267</v>
      </c>
      <c r="B9563" t="s">
        <v>216</v>
      </c>
      <c r="C9563" t="s">
        <v>520</v>
      </c>
      <c r="D9563" t="s">
        <v>339</v>
      </c>
      <c r="E9563" t="s">
        <v>298</v>
      </c>
      <c r="F9563" t="s">
        <v>10301</v>
      </c>
      <c r="G9563">
        <v>17</v>
      </c>
      <c r="H9563">
        <v>2375.56</v>
      </c>
      <c r="I9563">
        <v>139.74</v>
      </c>
      <c r="J9563">
        <v>0</v>
      </c>
      <c r="K9563">
        <v>0</v>
      </c>
      <c r="L9563">
        <v>0</v>
      </c>
      <c r="M9563">
        <v>17</v>
      </c>
      <c r="N9563">
        <v>2375.56</v>
      </c>
      <c r="O9563">
        <v>139.74</v>
      </c>
    </row>
    <row r="9564" spans="1:15" x14ac:dyDescent="0.35">
      <c r="A9564" t="s">
        <v>10267</v>
      </c>
      <c r="B9564" t="s">
        <v>216</v>
      </c>
      <c r="C9564" t="s">
        <v>520</v>
      </c>
      <c r="D9564" t="s">
        <v>339</v>
      </c>
      <c r="E9564" t="s">
        <v>300</v>
      </c>
      <c r="F9564" t="s">
        <v>10302</v>
      </c>
      <c r="G9564">
        <v>5</v>
      </c>
      <c r="H9564">
        <v>982.6</v>
      </c>
      <c r="I9564">
        <v>196.52</v>
      </c>
      <c r="J9564">
        <v>0</v>
      </c>
      <c r="K9564">
        <v>0</v>
      </c>
      <c r="L9564">
        <v>0</v>
      </c>
      <c r="M9564">
        <v>5</v>
      </c>
      <c r="N9564">
        <v>982.6</v>
      </c>
      <c r="O9564">
        <v>196.52</v>
      </c>
    </row>
    <row r="9565" spans="1:15" x14ac:dyDescent="0.35">
      <c r="A9565" t="s">
        <v>10267</v>
      </c>
      <c r="B9565" t="s">
        <v>216</v>
      </c>
      <c r="C9565" t="s">
        <v>520</v>
      </c>
      <c r="D9565" t="s">
        <v>339</v>
      </c>
      <c r="E9565" t="s">
        <v>306</v>
      </c>
      <c r="F9565" t="s">
        <v>10303</v>
      </c>
      <c r="G9565">
        <v>37</v>
      </c>
      <c r="H9565">
        <v>3059.78</v>
      </c>
      <c r="I9565">
        <v>82.7</v>
      </c>
      <c r="J9565">
        <v>0</v>
      </c>
      <c r="K9565">
        <v>0</v>
      </c>
      <c r="L9565">
        <v>0</v>
      </c>
      <c r="M9565">
        <v>37</v>
      </c>
      <c r="N9565">
        <v>3059.78</v>
      </c>
      <c r="O9565">
        <v>82.7</v>
      </c>
    </row>
    <row r="9566" spans="1:15" x14ac:dyDescent="0.35">
      <c r="A9566" t="s">
        <v>10267</v>
      </c>
      <c r="B9566" t="s">
        <v>216</v>
      </c>
      <c r="C9566" t="s">
        <v>520</v>
      </c>
      <c r="D9566" t="s">
        <v>339</v>
      </c>
      <c r="E9566" t="s">
        <v>308</v>
      </c>
      <c r="F9566" t="s">
        <v>10304</v>
      </c>
      <c r="G9566">
        <v>302</v>
      </c>
      <c r="H9566">
        <v>54489.96</v>
      </c>
      <c r="I9566">
        <v>180.43</v>
      </c>
      <c r="J9566">
        <v>0</v>
      </c>
      <c r="K9566">
        <v>0</v>
      </c>
      <c r="L9566">
        <v>0</v>
      </c>
      <c r="M9566">
        <v>302</v>
      </c>
      <c r="N9566">
        <v>54489.96</v>
      </c>
      <c r="O9566">
        <v>180.43</v>
      </c>
    </row>
    <row r="9567" spans="1:15" x14ac:dyDescent="0.35">
      <c r="A9567" t="s">
        <v>10267</v>
      </c>
      <c r="B9567" t="s">
        <v>216</v>
      </c>
      <c r="C9567" t="s">
        <v>520</v>
      </c>
      <c r="D9567" t="s">
        <v>339</v>
      </c>
      <c r="E9567" t="s">
        <v>310</v>
      </c>
      <c r="F9567" t="s">
        <v>10305</v>
      </c>
      <c r="G9567">
        <v>3663</v>
      </c>
      <c r="H9567">
        <v>414724.61000000004</v>
      </c>
      <c r="I9567">
        <v>113.22</v>
      </c>
      <c r="J9567">
        <v>0</v>
      </c>
      <c r="K9567">
        <v>0</v>
      </c>
      <c r="L9567">
        <v>0</v>
      </c>
      <c r="M9567">
        <v>3663</v>
      </c>
      <c r="N9567">
        <v>414724.61000000004</v>
      </c>
      <c r="O9567">
        <v>113.22</v>
      </c>
    </row>
    <row r="9568" spans="1:15" x14ac:dyDescent="0.35">
      <c r="A9568" t="s">
        <v>10267</v>
      </c>
      <c r="B9568" t="s">
        <v>216</v>
      </c>
      <c r="C9568" t="s">
        <v>520</v>
      </c>
      <c r="D9568" t="s">
        <v>339</v>
      </c>
      <c r="E9568" t="s">
        <v>312</v>
      </c>
      <c r="F9568" t="s">
        <v>10306</v>
      </c>
      <c r="G9568">
        <v>3361</v>
      </c>
      <c r="H9568">
        <v>360234.65</v>
      </c>
      <c r="I9568">
        <v>107.18</v>
      </c>
      <c r="J9568">
        <v>0</v>
      </c>
      <c r="K9568">
        <v>0</v>
      </c>
      <c r="L9568">
        <v>0</v>
      </c>
      <c r="M9568">
        <v>3361</v>
      </c>
      <c r="N9568">
        <v>360234.65</v>
      </c>
      <c r="O9568">
        <v>107.18</v>
      </c>
    </row>
    <row r="9569" spans="1:15" x14ac:dyDescent="0.35">
      <c r="A9569" t="s">
        <v>10267</v>
      </c>
      <c r="B9569" t="s">
        <v>216</v>
      </c>
      <c r="C9569" t="s">
        <v>520</v>
      </c>
      <c r="D9569" t="s">
        <v>348</v>
      </c>
      <c r="E9569" t="s">
        <v>349</v>
      </c>
      <c r="F9569" t="s">
        <v>10307</v>
      </c>
      <c r="G9569">
        <v>5236</v>
      </c>
      <c r="H9569">
        <v>498455.35000000003</v>
      </c>
      <c r="I9569">
        <v>124.58</v>
      </c>
      <c r="J9569">
        <v>0</v>
      </c>
      <c r="K9569">
        <v>0</v>
      </c>
      <c r="L9569">
        <v>0</v>
      </c>
      <c r="M9569">
        <v>5236</v>
      </c>
      <c r="N9569">
        <v>498455.35000000003</v>
      </c>
      <c r="O9569">
        <v>124.58</v>
      </c>
    </row>
    <row r="9570" spans="1:15" x14ac:dyDescent="0.35">
      <c r="A9570" t="s">
        <v>10308</v>
      </c>
      <c r="B9570" t="s">
        <v>10309</v>
      </c>
      <c r="C9570" t="s">
        <v>688</v>
      </c>
      <c r="D9570" t="s">
        <v>293</v>
      </c>
      <c r="E9570" t="s">
        <v>294</v>
      </c>
      <c r="F9570" t="s">
        <v>10310</v>
      </c>
      <c r="G9570">
        <v>36</v>
      </c>
      <c r="H9570">
        <v>3583.7000000000003</v>
      </c>
      <c r="I9570">
        <v>99.55</v>
      </c>
      <c r="J9570">
        <v>0</v>
      </c>
      <c r="K9570">
        <v>0</v>
      </c>
      <c r="L9570">
        <v>0</v>
      </c>
      <c r="M9570">
        <v>36</v>
      </c>
      <c r="N9570">
        <v>3583.7000000000003</v>
      </c>
      <c r="O9570">
        <v>99.55</v>
      </c>
    </row>
    <row r="9571" spans="1:15" x14ac:dyDescent="0.35">
      <c r="A9571" t="s">
        <v>10308</v>
      </c>
      <c r="B9571" t="s">
        <v>10309</v>
      </c>
      <c r="C9571" t="s">
        <v>688</v>
      </c>
      <c r="D9571" t="s">
        <v>293</v>
      </c>
      <c r="E9571" t="s">
        <v>296</v>
      </c>
      <c r="F9571" t="s">
        <v>10311</v>
      </c>
      <c r="G9571">
        <v>781</v>
      </c>
      <c r="H9571">
        <v>91045.5</v>
      </c>
      <c r="I9571">
        <v>116.58</v>
      </c>
      <c r="J9571">
        <v>0</v>
      </c>
      <c r="K9571">
        <v>0</v>
      </c>
      <c r="L9571">
        <v>0</v>
      </c>
      <c r="M9571">
        <v>781</v>
      </c>
      <c r="N9571">
        <v>91045.5</v>
      </c>
      <c r="O9571">
        <v>116.58</v>
      </c>
    </row>
    <row r="9572" spans="1:15" x14ac:dyDescent="0.35">
      <c r="A9572" t="s">
        <v>10308</v>
      </c>
      <c r="B9572" t="s">
        <v>10309</v>
      </c>
      <c r="C9572" t="s">
        <v>688</v>
      </c>
      <c r="D9572" t="s">
        <v>293</v>
      </c>
      <c r="E9572" t="s">
        <v>298</v>
      </c>
      <c r="F9572" t="s">
        <v>10312</v>
      </c>
      <c r="G9572">
        <v>449</v>
      </c>
      <c r="H9572">
        <v>56876.86</v>
      </c>
      <c r="I9572">
        <v>126.67</v>
      </c>
      <c r="J9572">
        <v>0</v>
      </c>
      <c r="K9572">
        <v>0</v>
      </c>
      <c r="L9572">
        <v>0</v>
      </c>
      <c r="M9572">
        <v>449</v>
      </c>
      <c r="N9572">
        <v>56876.86</v>
      </c>
      <c r="O9572">
        <v>126.67</v>
      </c>
    </row>
    <row r="9573" spans="1:15" x14ac:dyDescent="0.35">
      <c r="A9573" t="s">
        <v>10308</v>
      </c>
      <c r="B9573" t="s">
        <v>10309</v>
      </c>
      <c r="C9573" t="s">
        <v>688</v>
      </c>
      <c r="D9573" t="s">
        <v>293</v>
      </c>
      <c r="E9573" t="s">
        <v>300</v>
      </c>
      <c r="F9573" t="s">
        <v>10313</v>
      </c>
      <c r="G9573">
        <v>38</v>
      </c>
      <c r="H9573">
        <v>5277.55</v>
      </c>
      <c r="I9573">
        <v>138.88</v>
      </c>
      <c r="J9573">
        <v>0</v>
      </c>
      <c r="K9573">
        <v>0</v>
      </c>
      <c r="L9573">
        <v>0</v>
      </c>
      <c r="M9573">
        <v>38</v>
      </c>
      <c r="N9573">
        <v>5277.55</v>
      </c>
      <c r="O9573">
        <v>138.88</v>
      </c>
    </row>
    <row r="9574" spans="1:15" x14ac:dyDescent="0.35">
      <c r="A9574" t="s">
        <v>10308</v>
      </c>
      <c r="B9574" t="s">
        <v>10309</v>
      </c>
      <c r="C9574" t="s">
        <v>688</v>
      </c>
      <c r="D9574" t="s">
        <v>293</v>
      </c>
      <c r="E9574" t="s">
        <v>302</v>
      </c>
      <c r="F9574" t="s">
        <v>10314</v>
      </c>
      <c r="G9574">
        <v>0</v>
      </c>
      <c r="H9574">
        <v>0</v>
      </c>
      <c r="I9574">
        <v>0</v>
      </c>
      <c r="J9574">
        <v>0</v>
      </c>
      <c r="K9574">
        <v>0</v>
      </c>
      <c r="L9574">
        <v>0</v>
      </c>
      <c r="M9574">
        <v>0</v>
      </c>
      <c r="N9574">
        <v>0</v>
      </c>
      <c r="O9574">
        <v>0</v>
      </c>
    </row>
    <row r="9575" spans="1:15" x14ac:dyDescent="0.35">
      <c r="A9575" t="s">
        <v>10308</v>
      </c>
      <c r="B9575" t="s">
        <v>10309</v>
      </c>
      <c r="C9575" t="s">
        <v>688</v>
      </c>
      <c r="D9575" t="s">
        <v>293</v>
      </c>
      <c r="E9575" t="s">
        <v>304</v>
      </c>
      <c r="F9575" t="s">
        <v>10315</v>
      </c>
      <c r="G9575">
        <v>0</v>
      </c>
      <c r="H9575">
        <v>0</v>
      </c>
      <c r="I9575">
        <v>0</v>
      </c>
      <c r="J9575">
        <v>0</v>
      </c>
      <c r="K9575">
        <v>0</v>
      </c>
      <c r="L9575">
        <v>0</v>
      </c>
      <c r="M9575">
        <v>0</v>
      </c>
      <c r="N9575">
        <v>0</v>
      </c>
      <c r="O9575">
        <v>0</v>
      </c>
    </row>
    <row r="9576" spans="1:15" x14ac:dyDescent="0.35">
      <c r="A9576" t="s">
        <v>10308</v>
      </c>
      <c r="B9576" t="s">
        <v>10309</v>
      </c>
      <c r="C9576" t="s">
        <v>688</v>
      </c>
      <c r="D9576" t="s">
        <v>293</v>
      </c>
      <c r="E9576" t="s">
        <v>306</v>
      </c>
      <c r="F9576" t="s">
        <v>10316</v>
      </c>
      <c r="G9576">
        <v>0</v>
      </c>
      <c r="H9576">
        <v>0</v>
      </c>
      <c r="I9576">
        <v>0</v>
      </c>
      <c r="J9576">
        <v>0</v>
      </c>
      <c r="K9576">
        <v>0</v>
      </c>
      <c r="L9576">
        <v>0</v>
      </c>
      <c r="M9576">
        <v>0</v>
      </c>
      <c r="N9576">
        <v>0</v>
      </c>
      <c r="O9576">
        <v>0</v>
      </c>
    </row>
    <row r="9577" spans="1:15" x14ac:dyDescent="0.35">
      <c r="A9577" t="s">
        <v>10308</v>
      </c>
      <c r="B9577" t="s">
        <v>10309</v>
      </c>
      <c r="C9577" t="s">
        <v>688</v>
      </c>
      <c r="D9577" t="s">
        <v>293</v>
      </c>
      <c r="E9577" t="s">
        <v>308</v>
      </c>
      <c r="F9577" t="s">
        <v>10317</v>
      </c>
      <c r="G9577">
        <v>0</v>
      </c>
      <c r="H9577">
        <v>0</v>
      </c>
      <c r="I9577">
        <v>0</v>
      </c>
      <c r="J9577">
        <v>0</v>
      </c>
      <c r="K9577">
        <v>0</v>
      </c>
      <c r="L9577">
        <v>0</v>
      </c>
      <c r="M9577">
        <v>0</v>
      </c>
      <c r="N9577">
        <v>0</v>
      </c>
      <c r="O9577">
        <v>0</v>
      </c>
    </row>
    <row r="9578" spans="1:15" x14ac:dyDescent="0.35">
      <c r="A9578" t="s">
        <v>10308</v>
      </c>
      <c r="B9578" t="s">
        <v>10309</v>
      </c>
      <c r="C9578" t="s">
        <v>688</v>
      </c>
      <c r="D9578" t="s">
        <v>293</v>
      </c>
      <c r="E9578" t="s">
        <v>310</v>
      </c>
      <c r="F9578" t="s">
        <v>10318</v>
      </c>
      <c r="G9578">
        <v>1304</v>
      </c>
      <c r="H9578">
        <v>156783.60999999999</v>
      </c>
      <c r="I9578">
        <v>120.23</v>
      </c>
      <c r="J9578">
        <v>0</v>
      </c>
      <c r="K9578">
        <v>0</v>
      </c>
      <c r="L9578">
        <v>0</v>
      </c>
      <c r="M9578">
        <v>1304</v>
      </c>
      <c r="N9578">
        <v>156783.60999999999</v>
      </c>
      <c r="O9578">
        <v>120.23</v>
      </c>
    </row>
    <row r="9579" spans="1:15" x14ac:dyDescent="0.35">
      <c r="A9579" t="s">
        <v>10308</v>
      </c>
      <c r="B9579" t="s">
        <v>10309</v>
      </c>
      <c r="C9579" t="s">
        <v>688</v>
      </c>
      <c r="D9579" t="s">
        <v>293</v>
      </c>
      <c r="E9579" t="s">
        <v>312</v>
      </c>
      <c r="F9579" t="s">
        <v>10319</v>
      </c>
      <c r="G9579">
        <v>1304</v>
      </c>
      <c r="H9579">
        <v>156783.60999999999</v>
      </c>
      <c r="I9579">
        <v>120.23</v>
      </c>
      <c r="J9579">
        <v>0</v>
      </c>
      <c r="K9579">
        <v>0</v>
      </c>
      <c r="L9579">
        <v>0</v>
      </c>
      <c r="M9579">
        <v>1304</v>
      </c>
      <c r="N9579">
        <v>156783.60999999999</v>
      </c>
      <c r="O9579">
        <v>120.23</v>
      </c>
    </row>
    <row r="9580" spans="1:15" x14ac:dyDescent="0.35">
      <c r="A9580" t="s">
        <v>10308</v>
      </c>
      <c r="B9580" t="s">
        <v>10309</v>
      </c>
      <c r="C9580" t="s">
        <v>688</v>
      </c>
      <c r="D9580" t="s">
        <v>314</v>
      </c>
      <c r="E9580" t="s">
        <v>294</v>
      </c>
      <c r="F9580" t="s">
        <v>10320</v>
      </c>
      <c r="G9580">
        <v>13</v>
      </c>
      <c r="H9580">
        <v>3496.35</v>
      </c>
      <c r="I9580">
        <v>268.95</v>
      </c>
      <c r="J9580">
        <v>0</v>
      </c>
      <c r="K9580">
        <v>0</v>
      </c>
      <c r="L9580">
        <v>0</v>
      </c>
      <c r="M9580">
        <v>13</v>
      </c>
      <c r="N9580">
        <v>3496.35</v>
      </c>
      <c r="O9580">
        <v>268.95</v>
      </c>
    </row>
    <row r="9581" spans="1:15" x14ac:dyDescent="0.35">
      <c r="A9581" t="s">
        <v>10308</v>
      </c>
      <c r="B9581" t="s">
        <v>10309</v>
      </c>
      <c r="C9581" t="s">
        <v>688</v>
      </c>
      <c r="D9581" t="s">
        <v>314</v>
      </c>
      <c r="E9581" t="s">
        <v>296</v>
      </c>
      <c r="F9581" t="s">
        <v>10321</v>
      </c>
      <c r="G9581">
        <v>10</v>
      </c>
      <c r="H9581">
        <v>2357.1999999999998</v>
      </c>
      <c r="I9581">
        <v>235.72</v>
      </c>
      <c r="J9581">
        <v>0</v>
      </c>
      <c r="K9581">
        <v>0</v>
      </c>
      <c r="L9581">
        <v>0</v>
      </c>
      <c r="M9581">
        <v>10</v>
      </c>
      <c r="N9581">
        <v>2357.1999999999998</v>
      </c>
      <c r="O9581">
        <v>235.72</v>
      </c>
    </row>
    <row r="9582" spans="1:15" x14ac:dyDescent="0.35">
      <c r="A9582" t="s">
        <v>10308</v>
      </c>
      <c r="B9582" t="s">
        <v>10309</v>
      </c>
      <c r="C9582" t="s">
        <v>688</v>
      </c>
      <c r="D9582" t="s">
        <v>314</v>
      </c>
      <c r="E9582" t="s">
        <v>298</v>
      </c>
      <c r="F9582" t="s">
        <v>10322</v>
      </c>
      <c r="G9582">
        <v>1</v>
      </c>
      <c r="H9582">
        <v>225.83</v>
      </c>
      <c r="I9582">
        <v>225.83</v>
      </c>
      <c r="J9582">
        <v>0</v>
      </c>
      <c r="K9582">
        <v>0</v>
      </c>
      <c r="L9582">
        <v>0</v>
      </c>
      <c r="M9582">
        <v>1</v>
      </c>
      <c r="N9582">
        <v>225.83</v>
      </c>
      <c r="O9582">
        <v>225.83</v>
      </c>
    </row>
    <row r="9583" spans="1:15" x14ac:dyDescent="0.35">
      <c r="A9583" t="s">
        <v>10308</v>
      </c>
      <c r="B9583" t="s">
        <v>10309</v>
      </c>
      <c r="C9583" t="s">
        <v>688</v>
      </c>
      <c r="D9583" t="s">
        <v>314</v>
      </c>
      <c r="E9583" t="s">
        <v>300</v>
      </c>
      <c r="F9583" t="s">
        <v>10323</v>
      </c>
      <c r="G9583">
        <v>0</v>
      </c>
      <c r="H9583">
        <v>0</v>
      </c>
      <c r="I9583">
        <v>0</v>
      </c>
      <c r="J9583">
        <v>0</v>
      </c>
      <c r="K9583">
        <v>0</v>
      </c>
      <c r="L9583">
        <v>0</v>
      </c>
      <c r="M9583">
        <v>0</v>
      </c>
      <c r="N9583">
        <v>0</v>
      </c>
      <c r="O9583">
        <v>0</v>
      </c>
    </row>
    <row r="9584" spans="1:15" x14ac:dyDescent="0.35">
      <c r="A9584" t="s">
        <v>10308</v>
      </c>
      <c r="B9584" t="s">
        <v>10309</v>
      </c>
      <c r="C9584" t="s">
        <v>688</v>
      </c>
      <c r="D9584" t="s">
        <v>314</v>
      </c>
      <c r="E9584" t="s">
        <v>306</v>
      </c>
      <c r="F9584" t="s">
        <v>10324</v>
      </c>
      <c r="G9584">
        <v>0</v>
      </c>
      <c r="H9584">
        <v>0</v>
      </c>
      <c r="I9584">
        <v>0</v>
      </c>
      <c r="J9584">
        <v>0</v>
      </c>
      <c r="K9584">
        <v>0</v>
      </c>
      <c r="L9584">
        <v>0</v>
      </c>
      <c r="M9584">
        <v>0</v>
      </c>
      <c r="N9584">
        <v>0</v>
      </c>
      <c r="O9584">
        <v>0</v>
      </c>
    </row>
    <row r="9585" spans="1:15" x14ac:dyDescent="0.35">
      <c r="A9585" t="s">
        <v>10308</v>
      </c>
      <c r="B9585" t="s">
        <v>10309</v>
      </c>
      <c r="C9585" t="s">
        <v>688</v>
      </c>
      <c r="D9585" t="s">
        <v>314</v>
      </c>
      <c r="E9585" t="s">
        <v>308</v>
      </c>
      <c r="F9585" t="s">
        <v>10325</v>
      </c>
      <c r="G9585">
        <v>0</v>
      </c>
      <c r="H9585">
        <v>0</v>
      </c>
      <c r="I9585">
        <v>0</v>
      </c>
      <c r="J9585">
        <v>0</v>
      </c>
      <c r="K9585">
        <v>0</v>
      </c>
      <c r="L9585">
        <v>0</v>
      </c>
      <c r="M9585">
        <v>0</v>
      </c>
      <c r="N9585">
        <v>0</v>
      </c>
      <c r="O9585">
        <v>0</v>
      </c>
    </row>
    <row r="9586" spans="1:15" x14ac:dyDescent="0.35">
      <c r="A9586" t="s">
        <v>10308</v>
      </c>
      <c r="B9586" t="s">
        <v>10309</v>
      </c>
      <c r="C9586" t="s">
        <v>688</v>
      </c>
      <c r="D9586" t="s">
        <v>314</v>
      </c>
      <c r="E9586" t="s">
        <v>312</v>
      </c>
      <c r="F9586" t="s">
        <v>10326</v>
      </c>
      <c r="G9586">
        <v>24</v>
      </c>
      <c r="H9586">
        <v>6079.3799999999992</v>
      </c>
      <c r="I9586">
        <v>253.31</v>
      </c>
      <c r="J9586">
        <v>0</v>
      </c>
      <c r="K9586">
        <v>0</v>
      </c>
      <c r="L9586">
        <v>0</v>
      </c>
      <c r="M9586">
        <v>24</v>
      </c>
      <c r="N9586">
        <v>6079.3799999999992</v>
      </c>
      <c r="O9586">
        <v>253.31</v>
      </c>
    </row>
    <row r="9587" spans="1:15" x14ac:dyDescent="0.35">
      <c r="A9587" t="s">
        <v>10308</v>
      </c>
      <c r="B9587" t="s">
        <v>10309</v>
      </c>
      <c r="C9587" t="s">
        <v>688</v>
      </c>
      <c r="D9587" t="s">
        <v>314</v>
      </c>
      <c r="E9587" t="s">
        <v>310</v>
      </c>
      <c r="F9587" t="s">
        <v>10327</v>
      </c>
      <c r="G9587">
        <v>24</v>
      </c>
      <c r="H9587">
        <v>6079.3799999999992</v>
      </c>
      <c r="I9587">
        <v>253.31</v>
      </c>
      <c r="J9587">
        <v>0</v>
      </c>
      <c r="K9587">
        <v>0</v>
      </c>
      <c r="L9587">
        <v>0</v>
      </c>
      <c r="M9587">
        <v>24</v>
      </c>
      <c r="N9587">
        <v>6079.3799999999992</v>
      </c>
      <c r="O9587">
        <v>253.31</v>
      </c>
    </row>
    <row r="9588" spans="1:15" x14ac:dyDescent="0.35">
      <c r="A9588" t="s">
        <v>10308</v>
      </c>
      <c r="B9588" t="s">
        <v>10309</v>
      </c>
      <c r="C9588" t="s">
        <v>688</v>
      </c>
      <c r="D9588" t="s">
        <v>323</v>
      </c>
      <c r="E9588" t="s">
        <v>294</v>
      </c>
      <c r="F9588" t="s">
        <v>10328</v>
      </c>
      <c r="G9588">
        <v>261</v>
      </c>
      <c r="H9588">
        <v>22522.93</v>
      </c>
      <c r="I9588">
        <v>86.29</v>
      </c>
      <c r="J9588">
        <v>3657</v>
      </c>
      <c r="K9588">
        <v>292121.15999999997</v>
      </c>
      <c r="L9588">
        <v>79.88</v>
      </c>
      <c r="M9588">
        <v>3918</v>
      </c>
      <c r="N9588">
        <v>314644.08999999997</v>
      </c>
      <c r="O9588">
        <v>80.31</v>
      </c>
    </row>
    <row r="9589" spans="1:15" x14ac:dyDescent="0.35">
      <c r="A9589" t="s">
        <v>10308</v>
      </c>
      <c r="B9589" t="s">
        <v>10309</v>
      </c>
      <c r="C9589" t="s">
        <v>688</v>
      </c>
      <c r="D9589" t="s">
        <v>323</v>
      </c>
      <c r="E9589" t="s">
        <v>296</v>
      </c>
      <c r="F9589" t="s">
        <v>10329</v>
      </c>
      <c r="G9589">
        <v>814</v>
      </c>
      <c r="H9589">
        <v>84078.82</v>
      </c>
      <c r="I9589">
        <v>103.29</v>
      </c>
      <c r="J9589">
        <v>6165</v>
      </c>
      <c r="K9589">
        <v>560521.80000000005</v>
      </c>
      <c r="L9589">
        <v>90.92</v>
      </c>
      <c r="M9589">
        <v>6979</v>
      </c>
      <c r="N9589">
        <v>644600.62000000011</v>
      </c>
      <c r="O9589">
        <v>92.36</v>
      </c>
    </row>
    <row r="9590" spans="1:15" x14ac:dyDescent="0.35">
      <c r="A9590" t="s">
        <v>10308</v>
      </c>
      <c r="B9590" t="s">
        <v>10309</v>
      </c>
      <c r="C9590" t="s">
        <v>688</v>
      </c>
      <c r="D9590" t="s">
        <v>323</v>
      </c>
      <c r="E9590" t="s">
        <v>298</v>
      </c>
      <c r="F9590" t="s">
        <v>10330</v>
      </c>
      <c r="G9590">
        <v>680</v>
      </c>
      <c r="H9590">
        <v>77796.760000000009</v>
      </c>
      <c r="I9590">
        <v>114.41</v>
      </c>
      <c r="J9590">
        <v>7078</v>
      </c>
      <c r="K9590">
        <v>688123.16</v>
      </c>
      <c r="L9590">
        <v>97.22</v>
      </c>
      <c r="M9590">
        <v>7758</v>
      </c>
      <c r="N9590">
        <v>765919.92</v>
      </c>
      <c r="O9590">
        <v>98.73</v>
      </c>
    </row>
    <row r="9591" spans="1:15" x14ac:dyDescent="0.35">
      <c r="A9591" t="s">
        <v>10308</v>
      </c>
      <c r="B9591" t="s">
        <v>10309</v>
      </c>
      <c r="C9591" t="s">
        <v>688</v>
      </c>
      <c r="D9591" t="s">
        <v>323</v>
      </c>
      <c r="E9591" t="s">
        <v>300</v>
      </c>
      <c r="F9591" t="s">
        <v>10331</v>
      </c>
      <c r="G9591">
        <v>66</v>
      </c>
      <c r="H9591">
        <v>8494.09</v>
      </c>
      <c r="I9591">
        <v>128.69999999999999</v>
      </c>
      <c r="J9591">
        <v>215</v>
      </c>
      <c r="K9591">
        <v>22856.65</v>
      </c>
      <c r="L9591">
        <v>106.31</v>
      </c>
      <c r="M9591">
        <v>281</v>
      </c>
      <c r="N9591">
        <v>31350.74</v>
      </c>
      <c r="O9591">
        <v>111.57</v>
      </c>
    </row>
    <row r="9592" spans="1:15" x14ac:dyDescent="0.35">
      <c r="A9592" t="s">
        <v>10308</v>
      </c>
      <c r="B9592" t="s">
        <v>10309</v>
      </c>
      <c r="C9592" t="s">
        <v>688</v>
      </c>
      <c r="D9592" t="s">
        <v>323</v>
      </c>
      <c r="E9592" t="s">
        <v>302</v>
      </c>
      <c r="F9592" t="s">
        <v>10332</v>
      </c>
      <c r="G9592">
        <v>2</v>
      </c>
      <c r="H9592">
        <v>270.44</v>
      </c>
      <c r="I9592">
        <v>135.22</v>
      </c>
      <c r="J9592">
        <v>9</v>
      </c>
      <c r="K9592">
        <v>1061.9099999999999</v>
      </c>
      <c r="L9592">
        <v>117.99</v>
      </c>
      <c r="M9592">
        <v>11</v>
      </c>
      <c r="N9592">
        <v>1332.35</v>
      </c>
      <c r="O9592">
        <v>121.12</v>
      </c>
    </row>
    <row r="9593" spans="1:15" x14ac:dyDescent="0.35">
      <c r="A9593" t="s">
        <v>10308</v>
      </c>
      <c r="B9593" t="s">
        <v>10309</v>
      </c>
      <c r="C9593" t="s">
        <v>688</v>
      </c>
      <c r="D9593" t="s">
        <v>323</v>
      </c>
      <c r="E9593" t="s">
        <v>304</v>
      </c>
      <c r="F9593" t="s">
        <v>10333</v>
      </c>
      <c r="G9593">
        <v>1</v>
      </c>
      <c r="H9593">
        <v>157.4</v>
      </c>
      <c r="I9593">
        <v>157.4</v>
      </c>
      <c r="J9593">
        <v>1</v>
      </c>
      <c r="K9593">
        <v>136.06</v>
      </c>
      <c r="L9593">
        <v>136.06</v>
      </c>
      <c r="M9593">
        <v>2</v>
      </c>
      <c r="N9593">
        <v>293.46000000000004</v>
      </c>
      <c r="O9593">
        <v>146.72999999999999</v>
      </c>
    </row>
    <row r="9594" spans="1:15" x14ac:dyDescent="0.35">
      <c r="A9594" t="s">
        <v>10308</v>
      </c>
      <c r="B9594" t="s">
        <v>10309</v>
      </c>
      <c r="C9594" t="s">
        <v>688</v>
      </c>
      <c r="D9594" t="s">
        <v>323</v>
      </c>
      <c r="E9594" t="s">
        <v>306</v>
      </c>
      <c r="F9594" t="s">
        <v>10334</v>
      </c>
      <c r="G9594">
        <v>15</v>
      </c>
      <c r="H9594">
        <v>1066.6500000000001</v>
      </c>
      <c r="I9594">
        <v>71.11</v>
      </c>
      <c r="J9594">
        <v>73</v>
      </c>
      <c r="K9594">
        <v>5069.8500000000004</v>
      </c>
      <c r="L9594">
        <v>69.45</v>
      </c>
      <c r="M9594">
        <v>88</v>
      </c>
      <c r="N9594">
        <v>6136.5</v>
      </c>
      <c r="O9594">
        <v>69.73</v>
      </c>
    </row>
    <row r="9595" spans="1:15" x14ac:dyDescent="0.35">
      <c r="A9595" t="s">
        <v>10308</v>
      </c>
      <c r="B9595" t="s">
        <v>10309</v>
      </c>
      <c r="C9595" t="s">
        <v>688</v>
      </c>
      <c r="D9595" t="s">
        <v>323</v>
      </c>
      <c r="E9595" t="s">
        <v>308</v>
      </c>
      <c r="F9595" t="s">
        <v>10335</v>
      </c>
      <c r="G9595">
        <v>0</v>
      </c>
      <c r="H9595">
        <v>0</v>
      </c>
      <c r="I9595">
        <v>0</v>
      </c>
      <c r="J9595">
        <v>0</v>
      </c>
      <c r="K9595">
        <v>0</v>
      </c>
      <c r="L9595">
        <v>0</v>
      </c>
      <c r="M9595">
        <v>0</v>
      </c>
      <c r="N9595">
        <v>0</v>
      </c>
      <c r="O9595">
        <v>0</v>
      </c>
    </row>
    <row r="9596" spans="1:15" x14ac:dyDescent="0.35">
      <c r="A9596" t="s">
        <v>10308</v>
      </c>
      <c r="B9596" t="s">
        <v>10309</v>
      </c>
      <c r="C9596" t="s">
        <v>688</v>
      </c>
      <c r="D9596" t="s">
        <v>323</v>
      </c>
      <c r="E9596" t="s">
        <v>310</v>
      </c>
      <c r="F9596" t="s">
        <v>10336</v>
      </c>
      <c r="G9596">
        <v>1839</v>
      </c>
      <c r="H9596">
        <v>194387.09</v>
      </c>
      <c r="I9596">
        <v>105.7</v>
      </c>
      <c r="J9596">
        <v>17198</v>
      </c>
      <c r="K9596">
        <v>1569890.59</v>
      </c>
      <c r="L9596">
        <v>91.28</v>
      </c>
      <c r="M9596">
        <v>19037</v>
      </c>
      <c r="N9596">
        <v>1764277.6800000002</v>
      </c>
      <c r="O9596">
        <v>92.68</v>
      </c>
    </row>
    <row r="9597" spans="1:15" x14ac:dyDescent="0.35">
      <c r="A9597" t="s">
        <v>10308</v>
      </c>
      <c r="B9597" t="s">
        <v>10309</v>
      </c>
      <c r="C9597" t="s">
        <v>688</v>
      </c>
      <c r="D9597" t="s">
        <v>323</v>
      </c>
      <c r="E9597" t="s">
        <v>312</v>
      </c>
      <c r="F9597" t="s">
        <v>10337</v>
      </c>
      <c r="G9597">
        <v>1839</v>
      </c>
      <c r="H9597">
        <v>194387.09</v>
      </c>
      <c r="I9597">
        <v>105.7</v>
      </c>
      <c r="J9597">
        <v>17198</v>
      </c>
      <c r="K9597">
        <v>1569890.59</v>
      </c>
      <c r="L9597">
        <v>91.28</v>
      </c>
      <c r="M9597">
        <v>19037</v>
      </c>
      <c r="N9597">
        <v>1764277.6800000002</v>
      </c>
      <c r="O9597">
        <v>92.68</v>
      </c>
    </row>
    <row r="9598" spans="1:15" x14ac:dyDescent="0.35">
      <c r="A9598" t="s">
        <v>10308</v>
      </c>
      <c r="B9598" t="s">
        <v>10309</v>
      </c>
      <c r="C9598" t="s">
        <v>688</v>
      </c>
      <c r="D9598" t="s">
        <v>334</v>
      </c>
      <c r="E9598" t="s">
        <v>312</v>
      </c>
      <c r="F9598" t="s">
        <v>10338</v>
      </c>
      <c r="G9598">
        <v>3232</v>
      </c>
      <c r="H9598">
        <v>351170.70000000007</v>
      </c>
      <c r="I9598">
        <v>111.73</v>
      </c>
      <c r="J9598">
        <v>17198</v>
      </c>
      <c r="K9598">
        <v>1569890.59</v>
      </c>
      <c r="L9598">
        <v>91.28</v>
      </c>
      <c r="M9598">
        <v>20430</v>
      </c>
      <c r="N9598">
        <v>1921061.29</v>
      </c>
      <c r="O9598">
        <v>94.44</v>
      </c>
    </row>
    <row r="9599" spans="1:15" x14ac:dyDescent="0.35">
      <c r="A9599" t="s">
        <v>10308</v>
      </c>
      <c r="B9599" t="s">
        <v>10309</v>
      </c>
      <c r="C9599" t="s">
        <v>688</v>
      </c>
      <c r="D9599" t="s">
        <v>334</v>
      </c>
      <c r="E9599" t="s">
        <v>308</v>
      </c>
      <c r="F9599" t="s">
        <v>10339</v>
      </c>
      <c r="G9599">
        <v>0</v>
      </c>
      <c r="H9599">
        <v>0</v>
      </c>
      <c r="I9599">
        <v>0</v>
      </c>
      <c r="J9599">
        <v>0</v>
      </c>
      <c r="K9599">
        <v>0</v>
      </c>
      <c r="L9599">
        <v>0</v>
      </c>
      <c r="M9599">
        <v>0</v>
      </c>
      <c r="N9599">
        <v>0</v>
      </c>
      <c r="O9599">
        <v>0</v>
      </c>
    </row>
    <row r="9600" spans="1:15" x14ac:dyDescent="0.35">
      <c r="A9600" t="s">
        <v>10308</v>
      </c>
      <c r="B9600" t="s">
        <v>10309</v>
      </c>
      <c r="C9600" t="s">
        <v>688</v>
      </c>
      <c r="D9600" t="s">
        <v>337</v>
      </c>
      <c r="E9600" t="s">
        <v>337</v>
      </c>
      <c r="F9600" t="s">
        <v>10340</v>
      </c>
      <c r="G9600">
        <v>550</v>
      </c>
      <c r="J9600">
        <v>0</v>
      </c>
      <c r="M9600">
        <v>550</v>
      </c>
    </row>
    <row r="9601" spans="1:15" x14ac:dyDescent="0.35">
      <c r="A9601" t="s">
        <v>10308</v>
      </c>
      <c r="B9601" t="s">
        <v>10309</v>
      </c>
      <c r="C9601" t="s">
        <v>688</v>
      </c>
      <c r="D9601" t="s">
        <v>339</v>
      </c>
      <c r="E9601" t="s">
        <v>294</v>
      </c>
      <c r="F9601" t="s">
        <v>10341</v>
      </c>
      <c r="G9601">
        <v>439</v>
      </c>
      <c r="H9601">
        <v>43947.39</v>
      </c>
      <c r="I9601">
        <v>100.11</v>
      </c>
      <c r="J9601">
        <v>417</v>
      </c>
      <c r="K9601">
        <v>31967.219999999998</v>
      </c>
      <c r="L9601">
        <v>76.66</v>
      </c>
      <c r="M9601">
        <v>856</v>
      </c>
      <c r="N9601">
        <v>75914.61</v>
      </c>
      <c r="O9601">
        <v>88.69</v>
      </c>
    </row>
    <row r="9602" spans="1:15" x14ac:dyDescent="0.35">
      <c r="A9602" t="s">
        <v>10308</v>
      </c>
      <c r="B9602" t="s">
        <v>10309</v>
      </c>
      <c r="C9602" t="s">
        <v>688</v>
      </c>
      <c r="D9602" t="s">
        <v>339</v>
      </c>
      <c r="E9602" t="s">
        <v>296</v>
      </c>
      <c r="F9602" t="s">
        <v>10342</v>
      </c>
      <c r="G9602">
        <v>340</v>
      </c>
      <c r="H9602">
        <v>41821.19</v>
      </c>
      <c r="I9602">
        <v>123</v>
      </c>
      <c r="J9602">
        <v>237</v>
      </c>
      <c r="K9602">
        <v>20799.120000000003</v>
      </c>
      <c r="L9602">
        <v>87.76</v>
      </c>
      <c r="M9602">
        <v>577</v>
      </c>
      <c r="N9602">
        <v>62620.310000000005</v>
      </c>
      <c r="O9602">
        <v>108.53</v>
      </c>
    </row>
    <row r="9603" spans="1:15" x14ac:dyDescent="0.35">
      <c r="A9603" t="s">
        <v>10308</v>
      </c>
      <c r="B9603" t="s">
        <v>10309</v>
      </c>
      <c r="C9603" t="s">
        <v>688</v>
      </c>
      <c r="D9603" t="s">
        <v>339</v>
      </c>
      <c r="E9603" t="s">
        <v>298</v>
      </c>
      <c r="F9603" t="s">
        <v>10343</v>
      </c>
      <c r="G9603">
        <v>10</v>
      </c>
      <c r="H9603">
        <v>1274.9900000000002</v>
      </c>
      <c r="I9603">
        <v>127.5</v>
      </c>
      <c r="J9603">
        <v>7</v>
      </c>
      <c r="K9603">
        <v>669.27</v>
      </c>
      <c r="L9603">
        <v>95.61</v>
      </c>
      <c r="M9603">
        <v>17</v>
      </c>
      <c r="N9603">
        <v>1944.2600000000002</v>
      </c>
      <c r="O9603">
        <v>114.37</v>
      </c>
    </row>
    <row r="9604" spans="1:15" x14ac:dyDescent="0.35">
      <c r="A9604" t="s">
        <v>10308</v>
      </c>
      <c r="B9604" t="s">
        <v>10309</v>
      </c>
      <c r="C9604" t="s">
        <v>688</v>
      </c>
      <c r="D9604" t="s">
        <v>339</v>
      </c>
      <c r="E9604" t="s">
        <v>300</v>
      </c>
      <c r="F9604" t="s">
        <v>10344</v>
      </c>
      <c r="G9604">
        <v>0</v>
      </c>
      <c r="H9604">
        <v>0</v>
      </c>
      <c r="I9604">
        <v>0</v>
      </c>
      <c r="J9604">
        <v>0</v>
      </c>
      <c r="K9604">
        <v>0</v>
      </c>
      <c r="L9604">
        <v>0</v>
      </c>
      <c r="M9604">
        <v>0</v>
      </c>
      <c r="N9604">
        <v>0</v>
      </c>
      <c r="O9604">
        <v>0</v>
      </c>
    </row>
    <row r="9605" spans="1:15" x14ac:dyDescent="0.35">
      <c r="A9605" t="s">
        <v>10308</v>
      </c>
      <c r="B9605" t="s">
        <v>10309</v>
      </c>
      <c r="C9605" t="s">
        <v>688</v>
      </c>
      <c r="D9605" t="s">
        <v>339</v>
      </c>
      <c r="E9605" t="s">
        <v>306</v>
      </c>
      <c r="F9605" t="s">
        <v>10345</v>
      </c>
      <c r="G9605">
        <v>28</v>
      </c>
      <c r="H9605">
        <v>3025.2</v>
      </c>
      <c r="I9605">
        <v>108.04</v>
      </c>
      <c r="J9605">
        <v>45</v>
      </c>
      <c r="K9605">
        <v>2976.7500000000005</v>
      </c>
      <c r="L9605">
        <v>66.150000000000006</v>
      </c>
      <c r="M9605">
        <v>73</v>
      </c>
      <c r="N9605">
        <v>6001.9500000000007</v>
      </c>
      <c r="O9605">
        <v>82.22</v>
      </c>
    </row>
    <row r="9606" spans="1:15" x14ac:dyDescent="0.35">
      <c r="A9606" t="s">
        <v>10308</v>
      </c>
      <c r="B9606" t="s">
        <v>10309</v>
      </c>
      <c r="C9606" t="s">
        <v>688</v>
      </c>
      <c r="D9606" t="s">
        <v>339</v>
      </c>
      <c r="E9606" t="s">
        <v>308</v>
      </c>
      <c r="F9606" t="s">
        <v>10346</v>
      </c>
      <c r="G9606">
        <v>103</v>
      </c>
      <c r="H9606">
        <v>9486.68</v>
      </c>
      <c r="I9606">
        <v>92.1</v>
      </c>
      <c r="J9606">
        <v>17</v>
      </c>
      <c r="K9606">
        <v>1595.28</v>
      </c>
      <c r="L9606">
        <v>93.84</v>
      </c>
      <c r="M9606">
        <v>120</v>
      </c>
      <c r="N9606">
        <v>11081.960000000001</v>
      </c>
      <c r="O9606">
        <v>92.35</v>
      </c>
    </row>
    <row r="9607" spans="1:15" x14ac:dyDescent="0.35">
      <c r="A9607" t="s">
        <v>10308</v>
      </c>
      <c r="B9607" t="s">
        <v>10309</v>
      </c>
      <c r="C9607" t="s">
        <v>688</v>
      </c>
      <c r="D9607" t="s">
        <v>339</v>
      </c>
      <c r="E9607" t="s">
        <v>310</v>
      </c>
      <c r="F9607" t="s">
        <v>10347</v>
      </c>
      <c r="G9607">
        <v>920</v>
      </c>
      <c r="H9607">
        <v>99555.450000000012</v>
      </c>
      <c r="I9607">
        <v>108.21</v>
      </c>
      <c r="J9607">
        <v>723</v>
      </c>
      <c r="K9607">
        <v>58007.639999999992</v>
      </c>
      <c r="L9607">
        <v>80.23</v>
      </c>
      <c r="M9607">
        <v>1643</v>
      </c>
      <c r="N9607">
        <v>157563.09</v>
      </c>
      <c r="O9607">
        <v>95.9</v>
      </c>
    </row>
    <row r="9608" spans="1:15" x14ac:dyDescent="0.35">
      <c r="A9608" t="s">
        <v>10308</v>
      </c>
      <c r="B9608" t="s">
        <v>10309</v>
      </c>
      <c r="C9608" t="s">
        <v>688</v>
      </c>
      <c r="D9608" t="s">
        <v>339</v>
      </c>
      <c r="E9608" t="s">
        <v>312</v>
      </c>
      <c r="F9608" t="s">
        <v>10348</v>
      </c>
      <c r="G9608">
        <v>817</v>
      </c>
      <c r="H9608">
        <v>90068.77</v>
      </c>
      <c r="I9608">
        <v>110.24</v>
      </c>
      <c r="J9608">
        <v>706</v>
      </c>
      <c r="K9608">
        <v>56412.359999999993</v>
      </c>
      <c r="L9608">
        <v>79.900000000000006</v>
      </c>
      <c r="M9608">
        <v>1523</v>
      </c>
      <c r="N9608">
        <v>146481.13</v>
      </c>
      <c r="O9608">
        <v>96.18</v>
      </c>
    </row>
    <row r="9609" spans="1:15" x14ac:dyDescent="0.35">
      <c r="A9609" t="s">
        <v>10308</v>
      </c>
      <c r="B9609" t="s">
        <v>10309</v>
      </c>
      <c r="C9609" t="s">
        <v>688</v>
      </c>
      <c r="D9609" t="s">
        <v>348</v>
      </c>
      <c r="E9609" t="s">
        <v>349</v>
      </c>
      <c r="F9609" t="s">
        <v>10349</v>
      </c>
      <c r="G9609">
        <v>963</v>
      </c>
      <c r="H9609">
        <v>105634.82999999999</v>
      </c>
      <c r="I9609">
        <v>111.9</v>
      </c>
      <c r="J9609">
        <v>723</v>
      </c>
      <c r="K9609">
        <v>58007.639999999992</v>
      </c>
      <c r="L9609">
        <v>80.23</v>
      </c>
      <c r="M9609">
        <v>1686</v>
      </c>
      <c r="N9609">
        <v>163642.46999999997</v>
      </c>
      <c r="O9609">
        <v>98.17</v>
      </c>
    </row>
    <row r="9610" spans="1:15" x14ac:dyDescent="0.35">
      <c r="A9610" t="s">
        <v>10350</v>
      </c>
      <c r="B9610" t="s">
        <v>10351</v>
      </c>
      <c r="C9610" t="s">
        <v>688</v>
      </c>
      <c r="D9610" t="s">
        <v>293</v>
      </c>
      <c r="E9610" t="s">
        <v>294</v>
      </c>
      <c r="F9610" t="s">
        <v>10352</v>
      </c>
      <c r="G9610">
        <v>105</v>
      </c>
      <c r="H9610">
        <v>10785.479999999998</v>
      </c>
      <c r="I9610">
        <v>102.72</v>
      </c>
      <c r="J9610">
        <v>21</v>
      </c>
      <c r="K9610">
        <v>2178.54</v>
      </c>
      <c r="L9610">
        <v>103.74</v>
      </c>
      <c r="M9610">
        <v>126</v>
      </c>
      <c r="N9610">
        <v>12964.019999999997</v>
      </c>
      <c r="O9610">
        <v>102.89</v>
      </c>
    </row>
    <row r="9611" spans="1:15" x14ac:dyDescent="0.35">
      <c r="A9611" t="s">
        <v>10350</v>
      </c>
      <c r="B9611" t="s">
        <v>10351</v>
      </c>
      <c r="C9611" t="s">
        <v>688</v>
      </c>
      <c r="D9611" t="s">
        <v>293</v>
      </c>
      <c r="E9611" t="s">
        <v>296</v>
      </c>
      <c r="F9611" t="s">
        <v>10353</v>
      </c>
      <c r="G9611">
        <v>753</v>
      </c>
      <c r="H9611">
        <v>90534.04</v>
      </c>
      <c r="I9611">
        <v>120.23</v>
      </c>
      <c r="J9611">
        <v>344</v>
      </c>
      <c r="K9611">
        <v>41414.160000000003</v>
      </c>
      <c r="L9611">
        <v>120.39</v>
      </c>
      <c r="M9611">
        <v>1097</v>
      </c>
      <c r="N9611">
        <v>131948.20000000001</v>
      </c>
      <c r="O9611">
        <v>120.28</v>
      </c>
    </row>
    <row r="9612" spans="1:15" x14ac:dyDescent="0.35">
      <c r="A9612" t="s">
        <v>10350</v>
      </c>
      <c r="B9612" t="s">
        <v>10351</v>
      </c>
      <c r="C9612" t="s">
        <v>688</v>
      </c>
      <c r="D9612" t="s">
        <v>293</v>
      </c>
      <c r="E9612" t="s">
        <v>298</v>
      </c>
      <c r="F9612" t="s">
        <v>10354</v>
      </c>
      <c r="G9612">
        <v>587</v>
      </c>
      <c r="H9612">
        <v>79799.240000000005</v>
      </c>
      <c r="I9612">
        <v>135.94</v>
      </c>
      <c r="J9612">
        <v>218</v>
      </c>
      <c r="K9612">
        <v>28638.66</v>
      </c>
      <c r="L9612">
        <v>131.37</v>
      </c>
      <c r="M9612">
        <v>805</v>
      </c>
      <c r="N9612">
        <v>108437.90000000001</v>
      </c>
      <c r="O9612">
        <v>134.71</v>
      </c>
    </row>
    <row r="9613" spans="1:15" x14ac:dyDescent="0.35">
      <c r="A9613" t="s">
        <v>10350</v>
      </c>
      <c r="B9613" t="s">
        <v>10351</v>
      </c>
      <c r="C9613" t="s">
        <v>688</v>
      </c>
      <c r="D9613" t="s">
        <v>293</v>
      </c>
      <c r="E9613" t="s">
        <v>300</v>
      </c>
      <c r="F9613" t="s">
        <v>10355</v>
      </c>
      <c r="G9613">
        <v>52</v>
      </c>
      <c r="H9613">
        <v>9027.3499999999985</v>
      </c>
      <c r="I9613">
        <v>173.6</v>
      </c>
      <c r="J9613">
        <v>30</v>
      </c>
      <c r="K9613">
        <v>5109.5999999999995</v>
      </c>
      <c r="L9613">
        <v>170.32</v>
      </c>
      <c r="M9613">
        <v>82</v>
      </c>
      <c r="N9613">
        <v>14136.949999999997</v>
      </c>
      <c r="O9613">
        <v>172.4</v>
      </c>
    </row>
    <row r="9614" spans="1:15" x14ac:dyDescent="0.35">
      <c r="A9614" t="s">
        <v>10350</v>
      </c>
      <c r="B9614" t="s">
        <v>10351</v>
      </c>
      <c r="C9614" t="s">
        <v>688</v>
      </c>
      <c r="D9614" t="s">
        <v>293</v>
      </c>
      <c r="E9614" t="s">
        <v>302</v>
      </c>
      <c r="F9614" t="s">
        <v>10356</v>
      </c>
      <c r="G9614">
        <v>1</v>
      </c>
      <c r="H9614">
        <v>195.55</v>
      </c>
      <c r="I9614">
        <v>195.55</v>
      </c>
      <c r="J9614">
        <v>2</v>
      </c>
      <c r="K9614">
        <v>352.58</v>
      </c>
      <c r="L9614">
        <v>176.29</v>
      </c>
      <c r="M9614">
        <v>3</v>
      </c>
      <c r="N9614">
        <v>548.13</v>
      </c>
      <c r="O9614">
        <v>182.71</v>
      </c>
    </row>
    <row r="9615" spans="1:15" x14ac:dyDescent="0.35">
      <c r="A9615" t="s">
        <v>10350</v>
      </c>
      <c r="B9615" t="s">
        <v>10351</v>
      </c>
      <c r="C9615" t="s">
        <v>688</v>
      </c>
      <c r="D9615" t="s">
        <v>293</v>
      </c>
      <c r="E9615" t="s">
        <v>304</v>
      </c>
      <c r="F9615" t="s">
        <v>10357</v>
      </c>
      <c r="G9615">
        <v>0</v>
      </c>
      <c r="H9615">
        <v>0</v>
      </c>
      <c r="I9615">
        <v>0</v>
      </c>
      <c r="J9615">
        <v>0</v>
      </c>
      <c r="K9615">
        <v>0</v>
      </c>
      <c r="L9615">
        <v>0</v>
      </c>
      <c r="M9615">
        <v>0</v>
      </c>
      <c r="N9615">
        <v>0</v>
      </c>
      <c r="O9615">
        <v>0</v>
      </c>
    </row>
    <row r="9616" spans="1:15" x14ac:dyDescent="0.35">
      <c r="A9616" t="s">
        <v>10350</v>
      </c>
      <c r="B9616" t="s">
        <v>10351</v>
      </c>
      <c r="C9616" t="s">
        <v>688</v>
      </c>
      <c r="D9616" t="s">
        <v>293</v>
      </c>
      <c r="E9616" t="s">
        <v>306</v>
      </c>
      <c r="F9616" t="s">
        <v>10358</v>
      </c>
      <c r="G9616">
        <v>0</v>
      </c>
      <c r="H9616">
        <v>0</v>
      </c>
      <c r="I9616">
        <v>0</v>
      </c>
      <c r="J9616">
        <v>0</v>
      </c>
      <c r="K9616">
        <v>0</v>
      </c>
      <c r="L9616">
        <v>0</v>
      </c>
      <c r="M9616">
        <v>0</v>
      </c>
      <c r="N9616">
        <v>0</v>
      </c>
      <c r="O9616">
        <v>0</v>
      </c>
    </row>
    <row r="9617" spans="1:15" x14ac:dyDescent="0.35">
      <c r="A9617" t="s">
        <v>10350</v>
      </c>
      <c r="B9617" t="s">
        <v>10351</v>
      </c>
      <c r="C9617" t="s">
        <v>688</v>
      </c>
      <c r="D9617" t="s">
        <v>293</v>
      </c>
      <c r="E9617" t="s">
        <v>308</v>
      </c>
      <c r="F9617" t="s">
        <v>10359</v>
      </c>
      <c r="G9617">
        <v>0</v>
      </c>
      <c r="H9617">
        <v>0</v>
      </c>
      <c r="I9617">
        <v>0</v>
      </c>
      <c r="J9617">
        <v>0</v>
      </c>
      <c r="K9617">
        <v>0</v>
      </c>
      <c r="L9617">
        <v>0</v>
      </c>
      <c r="M9617">
        <v>0</v>
      </c>
      <c r="N9617">
        <v>0</v>
      </c>
      <c r="O9617">
        <v>0</v>
      </c>
    </row>
    <row r="9618" spans="1:15" x14ac:dyDescent="0.35">
      <c r="A9618" t="s">
        <v>10350</v>
      </c>
      <c r="B9618" t="s">
        <v>10351</v>
      </c>
      <c r="C9618" t="s">
        <v>688</v>
      </c>
      <c r="D9618" t="s">
        <v>293</v>
      </c>
      <c r="E9618" t="s">
        <v>310</v>
      </c>
      <c r="F9618" t="s">
        <v>10360</v>
      </c>
      <c r="G9618">
        <v>1498</v>
      </c>
      <c r="H9618">
        <v>190341.66</v>
      </c>
      <c r="I9618">
        <v>127.06</v>
      </c>
      <c r="J9618">
        <v>615</v>
      </c>
      <c r="K9618">
        <v>77693.540000000008</v>
      </c>
      <c r="L9618">
        <v>126.33</v>
      </c>
      <c r="M9618">
        <v>2113</v>
      </c>
      <c r="N9618">
        <v>268035.20000000001</v>
      </c>
      <c r="O9618">
        <v>126.85</v>
      </c>
    </row>
    <row r="9619" spans="1:15" x14ac:dyDescent="0.35">
      <c r="A9619" t="s">
        <v>10350</v>
      </c>
      <c r="B9619" t="s">
        <v>10351</v>
      </c>
      <c r="C9619" t="s">
        <v>688</v>
      </c>
      <c r="D9619" t="s">
        <v>293</v>
      </c>
      <c r="E9619" t="s">
        <v>312</v>
      </c>
      <c r="F9619" t="s">
        <v>10361</v>
      </c>
      <c r="G9619">
        <v>1498</v>
      </c>
      <c r="H9619">
        <v>190341.66</v>
      </c>
      <c r="I9619">
        <v>127.06</v>
      </c>
      <c r="J9619">
        <v>615</v>
      </c>
      <c r="K9619">
        <v>77693.540000000008</v>
      </c>
      <c r="L9619">
        <v>126.33</v>
      </c>
      <c r="M9619">
        <v>2113</v>
      </c>
      <c r="N9619">
        <v>268035.20000000001</v>
      </c>
      <c r="O9619">
        <v>126.85</v>
      </c>
    </row>
    <row r="9620" spans="1:15" x14ac:dyDescent="0.35">
      <c r="A9620" t="s">
        <v>10350</v>
      </c>
      <c r="B9620" t="s">
        <v>10351</v>
      </c>
      <c r="C9620" t="s">
        <v>688</v>
      </c>
      <c r="D9620" t="s">
        <v>314</v>
      </c>
      <c r="E9620" t="s">
        <v>294</v>
      </c>
      <c r="F9620" t="s">
        <v>10362</v>
      </c>
      <c r="G9620">
        <v>29</v>
      </c>
      <c r="H9620">
        <v>6163.46</v>
      </c>
      <c r="I9620">
        <v>212.53</v>
      </c>
      <c r="J9620">
        <v>0</v>
      </c>
      <c r="K9620">
        <v>0</v>
      </c>
      <c r="L9620">
        <v>0</v>
      </c>
      <c r="M9620">
        <v>29</v>
      </c>
      <c r="N9620">
        <v>6163.46</v>
      </c>
      <c r="O9620">
        <v>212.53</v>
      </c>
    </row>
    <row r="9621" spans="1:15" x14ac:dyDescent="0.35">
      <c r="A9621" t="s">
        <v>10350</v>
      </c>
      <c r="B9621" t="s">
        <v>10351</v>
      </c>
      <c r="C9621" t="s">
        <v>688</v>
      </c>
      <c r="D9621" t="s">
        <v>314</v>
      </c>
      <c r="E9621" t="s">
        <v>296</v>
      </c>
      <c r="F9621" t="s">
        <v>10363</v>
      </c>
      <c r="G9621">
        <v>22</v>
      </c>
      <c r="H9621">
        <v>7049.36</v>
      </c>
      <c r="I9621">
        <v>320.43</v>
      </c>
      <c r="J9621">
        <v>0</v>
      </c>
      <c r="K9621">
        <v>0</v>
      </c>
      <c r="L9621">
        <v>0</v>
      </c>
      <c r="M9621">
        <v>22</v>
      </c>
      <c r="N9621">
        <v>7049.36</v>
      </c>
      <c r="O9621">
        <v>320.43</v>
      </c>
    </row>
    <row r="9622" spans="1:15" x14ac:dyDescent="0.35">
      <c r="A9622" t="s">
        <v>10350</v>
      </c>
      <c r="B9622" t="s">
        <v>10351</v>
      </c>
      <c r="C9622" t="s">
        <v>688</v>
      </c>
      <c r="D9622" t="s">
        <v>314</v>
      </c>
      <c r="E9622" t="s">
        <v>298</v>
      </c>
      <c r="F9622" t="s">
        <v>10364</v>
      </c>
      <c r="G9622">
        <v>0</v>
      </c>
      <c r="H9622">
        <v>0</v>
      </c>
      <c r="I9622">
        <v>0</v>
      </c>
      <c r="J9622">
        <v>0</v>
      </c>
      <c r="K9622">
        <v>0</v>
      </c>
      <c r="L9622">
        <v>0</v>
      </c>
      <c r="M9622">
        <v>0</v>
      </c>
      <c r="N9622">
        <v>0</v>
      </c>
      <c r="O9622">
        <v>0</v>
      </c>
    </row>
    <row r="9623" spans="1:15" x14ac:dyDescent="0.35">
      <c r="A9623" t="s">
        <v>10350</v>
      </c>
      <c r="B9623" t="s">
        <v>10351</v>
      </c>
      <c r="C9623" t="s">
        <v>688</v>
      </c>
      <c r="D9623" t="s">
        <v>314</v>
      </c>
      <c r="E9623" t="s">
        <v>300</v>
      </c>
      <c r="F9623" t="s">
        <v>10365</v>
      </c>
      <c r="G9623">
        <v>0</v>
      </c>
      <c r="H9623">
        <v>0</v>
      </c>
      <c r="I9623">
        <v>0</v>
      </c>
      <c r="J9623">
        <v>0</v>
      </c>
      <c r="K9623">
        <v>0</v>
      </c>
      <c r="L9623">
        <v>0</v>
      </c>
      <c r="M9623">
        <v>0</v>
      </c>
      <c r="N9623">
        <v>0</v>
      </c>
      <c r="O9623">
        <v>0</v>
      </c>
    </row>
    <row r="9624" spans="1:15" x14ac:dyDescent="0.35">
      <c r="A9624" t="s">
        <v>10350</v>
      </c>
      <c r="B9624" t="s">
        <v>10351</v>
      </c>
      <c r="C9624" t="s">
        <v>688</v>
      </c>
      <c r="D9624" t="s">
        <v>314</v>
      </c>
      <c r="E9624" t="s">
        <v>306</v>
      </c>
      <c r="F9624" t="s">
        <v>10366</v>
      </c>
      <c r="G9624">
        <v>0</v>
      </c>
      <c r="H9624">
        <v>0</v>
      </c>
      <c r="I9624">
        <v>0</v>
      </c>
      <c r="J9624">
        <v>0</v>
      </c>
      <c r="K9624">
        <v>0</v>
      </c>
      <c r="L9624">
        <v>0</v>
      </c>
      <c r="M9624">
        <v>0</v>
      </c>
      <c r="N9624">
        <v>0</v>
      </c>
      <c r="O9624">
        <v>0</v>
      </c>
    </row>
    <row r="9625" spans="1:15" x14ac:dyDescent="0.35">
      <c r="A9625" t="s">
        <v>10350</v>
      </c>
      <c r="B9625" t="s">
        <v>10351</v>
      </c>
      <c r="C9625" t="s">
        <v>688</v>
      </c>
      <c r="D9625" t="s">
        <v>314</v>
      </c>
      <c r="E9625" t="s">
        <v>308</v>
      </c>
      <c r="F9625" t="s">
        <v>10367</v>
      </c>
      <c r="G9625">
        <v>32</v>
      </c>
      <c r="H9625">
        <v>8686.7199999999993</v>
      </c>
      <c r="I9625">
        <v>271.45999999999998</v>
      </c>
      <c r="J9625">
        <v>0</v>
      </c>
      <c r="K9625">
        <v>0</v>
      </c>
      <c r="L9625">
        <v>0</v>
      </c>
      <c r="M9625">
        <v>32</v>
      </c>
      <c r="N9625">
        <v>8686.7199999999993</v>
      </c>
      <c r="O9625">
        <v>271.45999999999998</v>
      </c>
    </row>
    <row r="9626" spans="1:15" x14ac:dyDescent="0.35">
      <c r="A9626" t="s">
        <v>10350</v>
      </c>
      <c r="B9626" t="s">
        <v>10351</v>
      </c>
      <c r="C9626" t="s">
        <v>688</v>
      </c>
      <c r="D9626" t="s">
        <v>314</v>
      </c>
      <c r="E9626" t="s">
        <v>312</v>
      </c>
      <c r="F9626" t="s">
        <v>10368</v>
      </c>
      <c r="G9626">
        <v>51</v>
      </c>
      <c r="H9626">
        <v>13212.82</v>
      </c>
      <c r="I9626">
        <v>259.07</v>
      </c>
      <c r="J9626">
        <v>0</v>
      </c>
      <c r="K9626">
        <v>0</v>
      </c>
      <c r="L9626">
        <v>0</v>
      </c>
      <c r="M9626">
        <v>51</v>
      </c>
      <c r="N9626">
        <v>13212.82</v>
      </c>
      <c r="O9626">
        <v>259.07</v>
      </c>
    </row>
    <row r="9627" spans="1:15" x14ac:dyDescent="0.35">
      <c r="A9627" t="s">
        <v>10350</v>
      </c>
      <c r="B9627" t="s">
        <v>10351</v>
      </c>
      <c r="C9627" t="s">
        <v>688</v>
      </c>
      <c r="D9627" t="s">
        <v>314</v>
      </c>
      <c r="E9627" t="s">
        <v>310</v>
      </c>
      <c r="F9627" t="s">
        <v>10369</v>
      </c>
      <c r="G9627">
        <v>83</v>
      </c>
      <c r="H9627">
        <v>21899.54</v>
      </c>
      <c r="I9627">
        <v>263.85000000000002</v>
      </c>
      <c r="J9627">
        <v>0</v>
      </c>
      <c r="K9627">
        <v>0</v>
      </c>
      <c r="L9627">
        <v>0</v>
      </c>
      <c r="M9627">
        <v>83</v>
      </c>
      <c r="N9627">
        <v>21899.54</v>
      </c>
      <c r="O9627">
        <v>263.85000000000002</v>
      </c>
    </row>
    <row r="9628" spans="1:15" x14ac:dyDescent="0.35">
      <c r="A9628" t="s">
        <v>10350</v>
      </c>
      <c r="B9628" t="s">
        <v>10351</v>
      </c>
      <c r="C9628" t="s">
        <v>688</v>
      </c>
      <c r="D9628" t="s">
        <v>323</v>
      </c>
      <c r="E9628" t="s">
        <v>294</v>
      </c>
      <c r="F9628" t="s">
        <v>10370</v>
      </c>
      <c r="G9628">
        <v>476</v>
      </c>
      <c r="H9628">
        <v>40981.620000000003</v>
      </c>
      <c r="I9628">
        <v>86.1</v>
      </c>
      <c r="J9628">
        <v>4998</v>
      </c>
      <c r="K9628">
        <v>396241.44</v>
      </c>
      <c r="L9628">
        <v>79.28</v>
      </c>
      <c r="M9628">
        <v>5474</v>
      </c>
      <c r="N9628">
        <v>437223.06</v>
      </c>
      <c r="O9628">
        <v>79.87</v>
      </c>
    </row>
    <row r="9629" spans="1:15" x14ac:dyDescent="0.35">
      <c r="A9629" t="s">
        <v>10350</v>
      </c>
      <c r="B9629" t="s">
        <v>10351</v>
      </c>
      <c r="C9629" t="s">
        <v>688</v>
      </c>
      <c r="D9629" t="s">
        <v>323</v>
      </c>
      <c r="E9629" t="s">
        <v>296</v>
      </c>
      <c r="F9629" t="s">
        <v>10371</v>
      </c>
      <c r="G9629">
        <v>701</v>
      </c>
      <c r="H9629">
        <v>70210.7</v>
      </c>
      <c r="I9629">
        <v>100.16</v>
      </c>
      <c r="J9629">
        <v>5904</v>
      </c>
      <c r="K9629">
        <v>514592.63999999996</v>
      </c>
      <c r="L9629">
        <v>87.16</v>
      </c>
      <c r="M9629">
        <v>6605</v>
      </c>
      <c r="N9629">
        <v>584803.34</v>
      </c>
      <c r="O9629">
        <v>88.54</v>
      </c>
    </row>
    <row r="9630" spans="1:15" x14ac:dyDescent="0.35">
      <c r="A9630" t="s">
        <v>10350</v>
      </c>
      <c r="B9630" t="s">
        <v>10351</v>
      </c>
      <c r="C9630" t="s">
        <v>688</v>
      </c>
      <c r="D9630" t="s">
        <v>323</v>
      </c>
      <c r="E9630" t="s">
        <v>298</v>
      </c>
      <c r="F9630" t="s">
        <v>10372</v>
      </c>
      <c r="G9630">
        <v>510</v>
      </c>
      <c r="H9630">
        <v>57930.340000000004</v>
      </c>
      <c r="I9630">
        <v>113.59</v>
      </c>
      <c r="J9630">
        <v>7982</v>
      </c>
      <c r="K9630">
        <v>740011.22</v>
      </c>
      <c r="L9630">
        <v>92.71</v>
      </c>
      <c r="M9630">
        <v>8492</v>
      </c>
      <c r="N9630">
        <v>797941.55999999994</v>
      </c>
      <c r="O9630">
        <v>93.96</v>
      </c>
    </row>
    <row r="9631" spans="1:15" x14ac:dyDescent="0.35">
      <c r="A9631" t="s">
        <v>10350</v>
      </c>
      <c r="B9631" t="s">
        <v>10351</v>
      </c>
      <c r="C9631" t="s">
        <v>688</v>
      </c>
      <c r="D9631" t="s">
        <v>323</v>
      </c>
      <c r="E9631" t="s">
        <v>300</v>
      </c>
      <c r="F9631" t="s">
        <v>10373</v>
      </c>
      <c r="G9631">
        <v>77</v>
      </c>
      <c r="H9631">
        <v>9946.2799999999988</v>
      </c>
      <c r="I9631">
        <v>129.16999999999999</v>
      </c>
      <c r="J9631">
        <v>364</v>
      </c>
      <c r="K9631">
        <v>37164.400000000001</v>
      </c>
      <c r="L9631">
        <v>102.1</v>
      </c>
      <c r="M9631">
        <v>441</v>
      </c>
      <c r="N9631">
        <v>47110.68</v>
      </c>
      <c r="O9631">
        <v>106.83</v>
      </c>
    </row>
    <row r="9632" spans="1:15" x14ac:dyDescent="0.35">
      <c r="A9632" t="s">
        <v>10350</v>
      </c>
      <c r="B9632" t="s">
        <v>10351</v>
      </c>
      <c r="C9632" t="s">
        <v>688</v>
      </c>
      <c r="D9632" t="s">
        <v>323</v>
      </c>
      <c r="E9632" t="s">
        <v>302</v>
      </c>
      <c r="F9632" t="s">
        <v>10374</v>
      </c>
      <c r="G9632">
        <v>1</v>
      </c>
      <c r="H9632">
        <v>127.95</v>
      </c>
      <c r="I9632">
        <v>127.95</v>
      </c>
      <c r="J9632">
        <v>1</v>
      </c>
      <c r="K9632">
        <v>133.38999999999999</v>
      </c>
      <c r="L9632">
        <v>133.38999999999999</v>
      </c>
      <c r="M9632">
        <v>2</v>
      </c>
      <c r="N9632">
        <v>261.33999999999997</v>
      </c>
      <c r="O9632">
        <v>130.66999999999999</v>
      </c>
    </row>
    <row r="9633" spans="1:15" x14ac:dyDescent="0.35">
      <c r="A9633" t="s">
        <v>10350</v>
      </c>
      <c r="B9633" t="s">
        <v>10351</v>
      </c>
      <c r="C9633" t="s">
        <v>688</v>
      </c>
      <c r="D9633" t="s">
        <v>323</v>
      </c>
      <c r="E9633" t="s">
        <v>304</v>
      </c>
      <c r="F9633" t="s">
        <v>10375</v>
      </c>
      <c r="G9633">
        <v>0</v>
      </c>
      <c r="H9633">
        <v>0</v>
      </c>
      <c r="I9633">
        <v>0</v>
      </c>
      <c r="J9633">
        <v>2</v>
      </c>
      <c r="K9633">
        <v>251.48</v>
      </c>
      <c r="L9633">
        <v>125.74</v>
      </c>
      <c r="M9633">
        <v>2</v>
      </c>
      <c r="N9633">
        <v>251.48</v>
      </c>
      <c r="O9633">
        <v>125.74</v>
      </c>
    </row>
    <row r="9634" spans="1:15" x14ac:dyDescent="0.35">
      <c r="A9634" t="s">
        <v>10350</v>
      </c>
      <c r="B9634" t="s">
        <v>10351</v>
      </c>
      <c r="C9634" t="s">
        <v>688</v>
      </c>
      <c r="D9634" t="s">
        <v>323</v>
      </c>
      <c r="E9634" t="s">
        <v>306</v>
      </c>
      <c r="F9634" t="s">
        <v>10376</v>
      </c>
      <c r="G9634">
        <v>0</v>
      </c>
      <c r="H9634">
        <v>0</v>
      </c>
      <c r="I9634">
        <v>0</v>
      </c>
      <c r="J9634">
        <v>32</v>
      </c>
      <c r="K9634">
        <v>2003.52</v>
      </c>
      <c r="L9634">
        <v>62.61</v>
      </c>
      <c r="M9634">
        <v>32</v>
      </c>
      <c r="N9634">
        <v>2003.52</v>
      </c>
      <c r="O9634">
        <v>62.61</v>
      </c>
    </row>
    <row r="9635" spans="1:15" x14ac:dyDescent="0.35">
      <c r="A9635" t="s">
        <v>10350</v>
      </c>
      <c r="B9635" t="s">
        <v>10351</v>
      </c>
      <c r="C9635" t="s">
        <v>688</v>
      </c>
      <c r="D9635" t="s">
        <v>323</v>
      </c>
      <c r="E9635" t="s">
        <v>308</v>
      </c>
      <c r="F9635" t="s">
        <v>10377</v>
      </c>
      <c r="G9635">
        <v>0</v>
      </c>
      <c r="H9635">
        <v>0</v>
      </c>
      <c r="I9635">
        <v>0</v>
      </c>
      <c r="J9635">
        <v>0</v>
      </c>
      <c r="K9635">
        <v>0</v>
      </c>
      <c r="L9635">
        <v>0</v>
      </c>
      <c r="M9635">
        <v>0</v>
      </c>
      <c r="N9635">
        <v>0</v>
      </c>
      <c r="O9635">
        <v>0</v>
      </c>
    </row>
    <row r="9636" spans="1:15" x14ac:dyDescent="0.35">
      <c r="A9636" t="s">
        <v>10350</v>
      </c>
      <c r="B9636" t="s">
        <v>10351</v>
      </c>
      <c r="C9636" t="s">
        <v>688</v>
      </c>
      <c r="D9636" t="s">
        <v>323</v>
      </c>
      <c r="E9636" t="s">
        <v>310</v>
      </c>
      <c r="F9636" t="s">
        <v>10378</v>
      </c>
      <c r="G9636">
        <v>1765</v>
      </c>
      <c r="H9636">
        <v>179196.89</v>
      </c>
      <c r="I9636">
        <v>101.53</v>
      </c>
      <c r="J9636">
        <v>19283</v>
      </c>
      <c r="K9636">
        <v>1690398.0899999996</v>
      </c>
      <c r="L9636">
        <v>87.66</v>
      </c>
      <c r="M9636">
        <v>21048</v>
      </c>
      <c r="N9636">
        <v>1869594.9799999995</v>
      </c>
      <c r="O9636">
        <v>88.83</v>
      </c>
    </row>
    <row r="9637" spans="1:15" x14ac:dyDescent="0.35">
      <c r="A9637" t="s">
        <v>10350</v>
      </c>
      <c r="B9637" t="s">
        <v>10351</v>
      </c>
      <c r="C9637" t="s">
        <v>688</v>
      </c>
      <c r="D9637" t="s">
        <v>323</v>
      </c>
      <c r="E9637" t="s">
        <v>312</v>
      </c>
      <c r="F9637" t="s">
        <v>10379</v>
      </c>
      <c r="G9637">
        <v>1765</v>
      </c>
      <c r="H9637">
        <v>179196.89</v>
      </c>
      <c r="I9637">
        <v>101.53</v>
      </c>
      <c r="J9637">
        <v>19283</v>
      </c>
      <c r="K9637">
        <v>1690398.0899999996</v>
      </c>
      <c r="L9637">
        <v>87.66</v>
      </c>
      <c r="M9637">
        <v>21048</v>
      </c>
      <c r="N9637">
        <v>1869594.9799999995</v>
      </c>
      <c r="O9637">
        <v>88.83</v>
      </c>
    </row>
    <row r="9638" spans="1:15" x14ac:dyDescent="0.35">
      <c r="A9638" t="s">
        <v>10350</v>
      </c>
      <c r="B9638" t="s">
        <v>10351</v>
      </c>
      <c r="C9638" t="s">
        <v>688</v>
      </c>
      <c r="D9638" t="s">
        <v>334</v>
      </c>
      <c r="E9638" t="s">
        <v>312</v>
      </c>
      <c r="F9638" t="s">
        <v>10380</v>
      </c>
      <c r="G9638">
        <v>3364</v>
      </c>
      <c r="H9638">
        <v>369538.55</v>
      </c>
      <c r="I9638">
        <v>113.25</v>
      </c>
      <c r="J9638">
        <v>19898</v>
      </c>
      <c r="K9638">
        <v>1768091.6299999997</v>
      </c>
      <c r="L9638">
        <v>88.86</v>
      </c>
      <c r="M9638">
        <v>23262</v>
      </c>
      <c r="N9638">
        <v>2137630.1799999997</v>
      </c>
      <c r="O9638">
        <v>92.29</v>
      </c>
    </row>
    <row r="9639" spans="1:15" x14ac:dyDescent="0.35">
      <c r="A9639" t="s">
        <v>10350</v>
      </c>
      <c r="B9639" t="s">
        <v>10351</v>
      </c>
      <c r="C9639" t="s">
        <v>688</v>
      </c>
      <c r="D9639" t="s">
        <v>334</v>
      </c>
      <c r="E9639" t="s">
        <v>308</v>
      </c>
      <c r="F9639" t="s">
        <v>10381</v>
      </c>
      <c r="G9639">
        <v>3</v>
      </c>
      <c r="H9639">
        <v>0</v>
      </c>
      <c r="I9639">
        <v>0</v>
      </c>
      <c r="J9639">
        <v>0</v>
      </c>
      <c r="K9639">
        <v>0</v>
      </c>
      <c r="L9639">
        <v>0</v>
      </c>
      <c r="M9639">
        <v>3</v>
      </c>
      <c r="N9639">
        <v>0</v>
      </c>
      <c r="O9639">
        <v>0</v>
      </c>
    </row>
    <row r="9640" spans="1:15" x14ac:dyDescent="0.35">
      <c r="A9640" t="s">
        <v>10350</v>
      </c>
      <c r="B9640" t="s">
        <v>10351</v>
      </c>
      <c r="C9640" t="s">
        <v>688</v>
      </c>
      <c r="D9640" t="s">
        <v>337</v>
      </c>
      <c r="E9640" t="s">
        <v>337</v>
      </c>
      <c r="F9640" t="s">
        <v>10382</v>
      </c>
      <c r="G9640">
        <v>730</v>
      </c>
      <c r="J9640">
        <v>0</v>
      </c>
      <c r="M9640">
        <v>730</v>
      </c>
    </row>
    <row r="9641" spans="1:15" x14ac:dyDescent="0.35">
      <c r="A9641" t="s">
        <v>10350</v>
      </c>
      <c r="B9641" t="s">
        <v>10351</v>
      </c>
      <c r="C9641" t="s">
        <v>688</v>
      </c>
      <c r="D9641" t="s">
        <v>339</v>
      </c>
      <c r="E9641" t="s">
        <v>294</v>
      </c>
      <c r="F9641" t="s">
        <v>10383</v>
      </c>
      <c r="G9641">
        <v>591</v>
      </c>
      <c r="H9641">
        <v>68826.770000000019</v>
      </c>
      <c r="I9641">
        <v>116.46</v>
      </c>
      <c r="J9641">
        <v>0</v>
      </c>
      <c r="K9641">
        <v>0</v>
      </c>
      <c r="L9641">
        <v>0</v>
      </c>
      <c r="M9641">
        <v>591</v>
      </c>
      <c r="N9641">
        <v>68826.770000000019</v>
      </c>
      <c r="O9641">
        <v>116.46</v>
      </c>
    </row>
    <row r="9642" spans="1:15" x14ac:dyDescent="0.35">
      <c r="A9642" t="s">
        <v>10350</v>
      </c>
      <c r="B9642" t="s">
        <v>10351</v>
      </c>
      <c r="C9642" t="s">
        <v>688</v>
      </c>
      <c r="D9642" t="s">
        <v>339</v>
      </c>
      <c r="E9642" t="s">
        <v>296</v>
      </c>
      <c r="F9642" t="s">
        <v>10384</v>
      </c>
      <c r="G9642">
        <v>522</v>
      </c>
      <c r="H9642">
        <v>64844.900000000009</v>
      </c>
      <c r="I9642">
        <v>124.22</v>
      </c>
      <c r="J9642">
        <v>0</v>
      </c>
      <c r="K9642">
        <v>0</v>
      </c>
      <c r="L9642">
        <v>0</v>
      </c>
      <c r="M9642">
        <v>522</v>
      </c>
      <c r="N9642">
        <v>64844.900000000009</v>
      </c>
      <c r="O9642">
        <v>124.22</v>
      </c>
    </row>
    <row r="9643" spans="1:15" x14ac:dyDescent="0.35">
      <c r="A9643" t="s">
        <v>10350</v>
      </c>
      <c r="B9643" t="s">
        <v>10351</v>
      </c>
      <c r="C9643" t="s">
        <v>688</v>
      </c>
      <c r="D9643" t="s">
        <v>339</v>
      </c>
      <c r="E9643" t="s">
        <v>298</v>
      </c>
      <c r="F9643" t="s">
        <v>10385</v>
      </c>
      <c r="G9643">
        <v>13</v>
      </c>
      <c r="H9643">
        <v>2208.08</v>
      </c>
      <c r="I9643">
        <v>169.85</v>
      </c>
      <c r="J9643">
        <v>0</v>
      </c>
      <c r="K9643">
        <v>0</v>
      </c>
      <c r="L9643">
        <v>0</v>
      </c>
      <c r="M9643">
        <v>13</v>
      </c>
      <c r="N9643">
        <v>2208.08</v>
      </c>
      <c r="O9643">
        <v>169.85</v>
      </c>
    </row>
    <row r="9644" spans="1:15" x14ac:dyDescent="0.35">
      <c r="A9644" t="s">
        <v>10350</v>
      </c>
      <c r="B9644" t="s">
        <v>10351</v>
      </c>
      <c r="C9644" t="s">
        <v>688</v>
      </c>
      <c r="D9644" t="s">
        <v>339</v>
      </c>
      <c r="E9644" t="s">
        <v>300</v>
      </c>
      <c r="F9644" t="s">
        <v>10386</v>
      </c>
      <c r="G9644">
        <v>1</v>
      </c>
      <c r="H9644">
        <v>129.74</v>
      </c>
      <c r="I9644">
        <v>129.74</v>
      </c>
      <c r="J9644">
        <v>0</v>
      </c>
      <c r="K9644">
        <v>0</v>
      </c>
      <c r="L9644">
        <v>0</v>
      </c>
      <c r="M9644">
        <v>1</v>
      </c>
      <c r="N9644">
        <v>129.74</v>
      </c>
      <c r="O9644">
        <v>129.74</v>
      </c>
    </row>
    <row r="9645" spans="1:15" x14ac:dyDescent="0.35">
      <c r="A9645" t="s">
        <v>10350</v>
      </c>
      <c r="B9645" t="s">
        <v>10351</v>
      </c>
      <c r="C9645" t="s">
        <v>688</v>
      </c>
      <c r="D9645" t="s">
        <v>339</v>
      </c>
      <c r="E9645" t="s">
        <v>306</v>
      </c>
      <c r="F9645" t="s">
        <v>10387</v>
      </c>
      <c r="G9645">
        <v>48</v>
      </c>
      <c r="H9645">
        <v>3754.08</v>
      </c>
      <c r="I9645">
        <v>78.209999999999994</v>
      </c>
      <c r="J9645">
        <v>0</v>
      </c>
      <c r="K9645">
        <v>0</v>
      </c>
      <c r="L9645">
        <v>0</v>
      </c>
      <c r="M9645">
        <v>48</v>
      </c>
      <c r="N9645">
        <v>3754.08</v>
      </c>
      <c r="O9645">
        <v>78.209999999999994</v>
      </c>
    </row>
    <row r="9646" spans="1:15" x14ac:dyDescent="0.35">
      <c r="A9646" t="s">
        <v>10350</v>
      </c>
      <c r="B9646" t="s">
        <v>10351</v>
      </c>
      <c r="C9646" t="s">
        <v>688</v>
      </c>
      <c r="D9646" t="s">
        <v>339</v>
      </c>
      <c r="E9646" t="s">
        <v>308</v>
      </c>
      <c r="F9646" t="s">
        <v>10388</v>
      </c>
      <c r="G9646">
        <v>363</v>
      </c>
      <c r="H9646">
        <v>63125.41</v>
      </c>
      <c r="I9646">
        <v>173.9</v>
      </c>
      <c r="J9646">
        <v>0</v>
      </c>
      <c r="K9646">
        <v>0</v>
      </c>
      <c r="L9646">
        <v>0</v>
      </c>
      <c r="M9646">
        <v>363</v>
      </c>
      <c r="N9646">
        <v>63125.41</v>
      </c>
      <c r="O9646">
        <v>173.9</v>
      </c>
    </row>
    <row r="9647" spans="1:15" x14ac:dyDescent="0.35">
      <c r="A9647" t="s">
        <v>10350</v>
      </c>
      <c r="B9647" t="s">
        <v>10351</v>
      </c>
      <c r="C9647" t="s">
        <v>688</v>
      </c>
      <c r="D9647" t="s">
        <v>339</v>
      </c>
      <c r="E9647" t="s">
        <v>310</v>
      </c>
      <c r="F9647" t="s">
        <v>10389</v>
      </c>
      <c r="G9647">
        <v>1538</v>
      </c>
      <c r="H9647">
        <v>202888.98</v>
      </c>
      <c r="I9647">
        <v>131.91999999999999</v>
      </c>
      <c r="J9647">
        <v>0</v>
      </c>
      <c r="K9647">
        <v>0</v>
      </c>
      <c r="L9647">
        <v>0</v>
      </c>
      <c r="M9647">
        <v>1538</v>
      </c>
      <c r="N9647">
        <v>202888.98</v>
      </c>
      <c r="O9647">
        <v>131.91999999999999</v>
      </c>
    </row>
    <row r="9648" spans="1:15" x14ac:dyDescent="0.35">
      <c r="A9648" t="s">
        <v>10350</v>
      </c>
      <c r="B9648" t="s">
        <v>10351</v>
      </c>
      <c r="C9648" t="s">
        <v>688</v>
      </c>
      <c r="D9648" t="s">
        <v>339</v>
      </c>
      <c r="E9648" t="s">
        <v>312</v>
      </c>
      <c r="F9648" t="s">
        <v>10390</v>
      </c>
      <c r="G9648">
        <v>1175</v>
      </c>
      <c r="H9648">
        <v>139763.57</v>
      </c>
      <c r="I9648">
        <v>118.95</v>
      </c>
      <c r="J9648">
        <v>0</v>
      </c>
      <c r="K9648">
        <v>0</v>
      </c>
      <c r="L9648">
        <v>0</v>
      </c>
      <c r="M9648">
        <v>1175</v>
      </c>
      <c r="N9648">
        <v>139763.57</v>
      </c>
      <c r="O9648">
        <v>118.95</v>
      </c>
    </row>
    <row r="9649" spans="1:15" x14ac:dyDescent="0.35">
      <c r="A9649" t="s">
        <v>10350</v>
      </c>
      <c r="B9649" t="s">
        <v>10351</v>
      </c>
      <c r="C9649" t="s">
        <v>688</v>
      </c>
      <c r="D9649" t="s">
        <v>348</v>
      </c>
      <c r="E9649" t="s">
        <v>349</v>
      </c>
      <c r="F9649" t="s">
        <v>10391</v>
      </c>
      <c r="G9649">
        <v>1910</v>
      </c>
      <c r="H9649">
        <v>224788.52</v>
      </c>
      <c r="I9649">
        <v>138.66999999999999</v>
      </c>
      <c r="J9649">
        <v>0</v>
      </c>
      <c r="K9649">
        <v>0</v>
      </c>
      <c r="L9649">
        <v>0</v>
      </c>
      <c r="M9649">
        <v>1910</v>
      </c>
      <c r="N9649">
        <v>224788.52</v>
      </c>
      <c r="O9649">
        <v>138.66999999999999</v>
      </c>
    </row>
    <row r="9650" spans="1:15" x14ac:dyDescent="0.35">
      <c r="A9650" t="s">
        <v>10392</v>
      </c>
      <c r="B9650" t="s">
        <v>10393</v>
      </c>
      <c r="C9650" t="s">
        <v>688</v>
      </c>
      <c r="D9650" t="s">
        <v>293</v>
      </c>
      <c r="E9650" t="s">
        <v>294</v>
      </c>
      <c r="F9650" t="s">
        <v>10394</v>
      </c>
      <c r="G9650">
        <v>89</v>
      </c>
      <c r="H9650">
        <v>8893.3900000000012</v>
      </c>
      <c r="I9650">
        <v>99.93</v>
      </c>
      <c r="J9650">
        <v>77</v>
      </c>
      <c r="K9650">
        <v>7894.81</v>
      </c>
      <c r="L9650">
        <v>102.53</v>
      </c>
      <c r="M9650">
        <v>166</v>
      </c>
      <c r="N9650">
        <v>16788.2</v>
      </c>
      <c r="O9650">
        <v>101.13</v>
      </c>
    </row>
    <row r="9651" spans="1:15" x14ac:dyDescent="0.35">
      <c r="A9651" t="s">
        <v>10392</v>
      </c>
      <c r="B9651" t="s">
        <v>10393</v>
      </c>
      <c r="C9651" t="s">
        <v>688</v>
      </c>
      <c r="D9651" t="s">
        <v>293</v>
      </c>
      <c r="E9651" t="s">
        <v>296</v>
      </c>
      <c r="F9651" t="s">
        <v>10395</v>
      </c>
      <c r="G9651">
        <v>550</v>
      </c>
      <c r="H9651">
        <v>68547.580000000016</v>
      </c>
      <c r="I9651">
        <v>124.63</v>
      </c>
      <c r="J9651">
        <v>143</v>
      </c>
      <c r="K9651">
        <v>17204.330000000002</v>
      </c>
      <c r="L9651">
        <v>120.31</v>
      </c>
      <c r="M9651">
        <v>693</v>
      </c>
      <c r="N9651">
        <v>85751.910000000018</v>
      </c>
      <c r="O9651">
        <v>123.74</v>
      </c>
    </row>
    <row r="9652" spans="1:15" x14ac:dyDescent="0.35">
      <c r="A9652" t="s">
        <v>10392</v>
      </c>
      <c r="B9652" t="s">
        <v>10393</v>
      </c>
      <c r="C9652" t="s">
        <v>688</v>
      </c>
      <c r="D9652" t="s">
        <v>293</v>
      </c>
      <c r="E9652" t="s">
        <v>298</v>
      </c>
      <c r="F9652" t="s">
        <v>10396</v>
      </c>
      <c r="G9652">
        <v>296</v>
      </c>
      <c r="H9652">
        <v>42231.83</v>
      </c>
      <c r="I9652">
        <v>142.68</v>
      </c>
      <c r="J9652">
        <v>50</v>
      </c>
      <c r="K9652">
        <v>6613</v>
      </c>
      <c r="L9652">
        <v>132.26</v>
      </c>
      <c r="M9652">
        <v>346</v>
      </c>
      <c r="N9652">
        <v>48844.83</v>
      </c>
      <c r="O9652">
        <v>141.16999999999999</v>
      </c>
    </row>
    <row r="9653" spans="1:15" x14ac:dyDescent="0.35">
      <c r="A9653" t="s">
        <v>10392</v>
      </c>
      <c r="B9653" t="s">
        <v>10393</v>
      </c>
      <c r="C9653" t="s">
        <v>688</v>
      </c>
      <c r="D9653" t="s">
        <v>293</v>
      </c>
      <c r="E9653" t="s">
        <v>300</v>
      </c>
      <c r="F9653" t="s">
        <v>10397</v>
      </c>
      <c r="G9653">
        <v>32</v>
      </c>
      <c r="H9653">
        <v>5346.62</v>
      </c>
      <c r="I9653">
        <v>167.08</v>
      </c>
      <c r="J9653">
        <v>0</v>
      </c>
      <c r="K9653">
        <v>0</v>
      </c>
      <c r="L9653">
        <v>0</v>
      </c>
      <c r="M9653">
        <v>32</v>
      </c>
      <c r="N9653">
        <v>5346.62</v>
      </c>
      <c r="O9653">
        <v>167.08</v>
      </c>
    </row>
    <row r="9654" spans="1:15" x14ac:dyDescent="0.35">
      <c r="A9654" t="s">
        <v>10392</v>
      </c>
      <c r="B9654" t="s">
        <v>10393</v>
      </c>
      <c r="C9654" t="s">
        <v>688</v>
      </c>
      <c r="D9654" t="s">
        <v>293</v>
      </c>
      <c r="E9654" t="s">
        <v>302</v>
      </c>
      <c r="F9654" t="s">
        <v>10398</v>
      </c>
      <c r="G9654">
        <v>0</v>
      </c>
      <c r="H9654">
        <v>0</v>
      </c>
      <c r="I9654">
        <v>0</v>
      </c>
      <c r="J9654">
        <v>0</v>
      </c>
      <c r="K9654">
        <v>0</v>
      </c>
      <c r="L9654">
        <v>0</v>
      </c>
      <c r="M9654">
        <v>0</v>
      </c>
      <c r="N9654">
        <v>0</v>
      </c>
      <c r="O9654">
        <v>0</v>
      </c>
    </row>
    <row r="9655" spans="1:15" x14ac:dyDescent="0.35">
      <c r="A9655" t="s">
        <v>10392</v>
      </c>
      <c r="B9655" t="s">
        <v>10393</v>
      </c>
      <c r="C9655" t="s">
        <v>688</v>
      </c>
      <c r="D9655" t="s">
        <v>293</v>
      </c>
      <c r="E9655" t="s">
        <v>304</v>
      </c>
      <c r="F9655" t="s">
        <v>10399</v>
      </c>
      <c r="G9655">
        <v>0</v>
      </c>
      <c r="H9655">
        <v>0</v>
      </c>
      <c r="I9655">
        <v>0</v>
      </c>
      <c r="J9655">
        <v>0</v>
      </c>
      <c r="K9655">
        <v>0</v>
      </c>
      <c r="L9655">
        <v>0</v>
      </c>
      <c r="M9655">
        <v>0</v>
      </c>
      <c r="N9655">
        <v>0</v>
      </c>
      <c r="O9655">
        <v>0</v>
      </c>
    </row>
    <row r="9656" spans="1:15" x14ac:dyDescent="0.35">
      <c r="A9656" t="s">
        <v>10392</v>
      </c>
      <c r="B9656" t="s">
        <v>10393</v>
      </c>
      <c r="C9656" t="s">
        <v>688</v>
      </c>
      <c r="D9656" t="s">
        <v>293</v>
      </c>
      <c r="E9656" t="s">
        <v>306</v>
      </c>
      <c r="F9656" t="s">
        <v>10400</v>
      </c>
      <c r="G9656">
        <v>0</v>
      </c>
      <c r="H9656">
        <v>0</v>
      </c>
      <c r="I9656">
        <v>0</v>
      </c>
      <c r="J9656">
        <v>0</v>
      </c>
      <c r="K9656">
        <v>0</v>
      </c>
      <c r="L9656">
        <v>0</v>
      </c>
      <c r="M9656">
        <v>0</v>
      </c>
      <c r="N9656">
        <v>0</v>
      </c>
      <c r="O9656">
        <v>0</v>
      </c>
    </row>
    <row r="9657" spans="1:15" x14ac:dyDescent="0.35">
      <c r="A9657" t="s">
        <v>10392</v>
      </c>
      <c r="B9657" t="s">
        <v>10393</v>
      </c>
      <c r="C9657" t="s">
        <v>688</v>
      </c>
      <c r="D9657" t="s">
        <v>293</v>
      </c>
      <c r="E9657" t="s">
        <v>308</v>
      </c>
      <c r="F9657" t="s">
        <v>10401</v>
      </c>
      <c r="G9657">
        <v>0</v>
      </c>
      <c r="H9657">
        <v>0</v>
      </c>
      <c r="I9657">
        <v>0</v>
      </c>
      <c r="J9657">
        <v>0</v>
      </c>
      <c r="K9657">
        <v>0</v>
      </c>
      <c r="L9657">
        <v>0</v>
      </c>
      <c r="M9657">
        <v>0</v>
      </c>
      <c r="N9657">
        <v>0</v>
      </c>
      <c r="O9657">
        <v>0</v>
      </c>
    </row>
    <row r="9658" spans="1:15" x14ac:dyDescent="0.35">
      <c r="A9658" t="s">
        <v>10392</v>
      </c>
      <c r="B9658" t="s">
        <v>10393</v>
      </c>
      <c r="C9658" t="s">
        <v>688</v>
      </c>
      <c r="D9658" t="s">
        <v>293</v>
      </c>
      <c r="E9658" t="s">
        <v>310</v>
      </c>
      <c r="F9658" t="s">
        <v>10402</v>
      </c>
      <c r="G9658">
        <v>967</v>
      </c>
      <c r="H9658">
        <v>125019.42000000001</v>
      </c>
      <c r="I9658">
        <v>129.29</v>
      </c>
      <c r="J9658">
        <v>270</v>
      </c>
      <c r="K9658">
        <v>31712.140000000003</v>
      </c>
      <c r="L9658">
        <v>117.45</v>
      </c>
      <c r="M9658">
        <v>1237</v>
      </c>
      <c r="N9658">
        <v>156731.56000000003</v>
      </c>
      <c r="O9658">
        <v>126.7</v>
      </c>
    </row>
    <row r="9659" spans="1:15" x14ac:dyDescent="0.35">
      <c r="A9659" t="s">
        <v>10392</v>
      </c>
      <c r="B9659" t="s">
        <v>10393</v>
      </c>
      <c r="C9659" t="s">
        <v>688</v>
      </c>
      <c r="D9659" t="s">
        <v>293</v>
      </c>
      <c r="E9659" t="s">
        <v>312</v>
      </c>
      <c r="F9659" t="s">
        <v>10403</v>
      </c>
      <c r="G9659">
        <v>967</v>
      </c>
      <c r="H9659">
        <v>125019.42000000001</v>
      </c>
      <c r="I9659">
        <v>129.29</v>
      </c>
      <c r="J9659">
        <v>270</v>
      </c>
      <c r="K9659">
        <v>31712.140000000003</v>
      </c>
      <c r="L9659">
        <v>117.45</v>
      </c>
      <c r="M9659">
        <v>1237</v>
      </c>
      <c r="N9659">
        <v>156731.56000000003</v>
      </c>
      <c r="O9659">
        <v>126.7</v>
      </c>
    </row>
    <row r="9660" spans="1:15" x14ac:dyDescent="0.35">
      <c r="A9660" t="s">
        <v>10392</v>
      </c>
      <c r="B9660" t="s">
        <v>10393</v>
      </c>
      <c r="C9660" t="s">
        <v>688</v>
      </c>
      <c r="D9660" t="s">
        <v>314</v>
      </c>
      <c r="E9660" t="s">
        <v>294</v>
      </c>
      <c r="F9660" t="s">
        <v>10404</v>
      </c>
      <c r="G9660">
        <v>25</v>
      </c>
      <c r="H9660">
        <v>5883.28</v>
      </c>
      <c r="I9660">
        <v>235.33</v>
      </c>
      <c r="J9660">
        <v>0</v>
      </c>
      <c r="K9660">
        <v>0</v>
      </c>
      <c r="L9660">
        <v>0</v>
      </c>
      <c r="M9660">
        <v>25</v>
      </c>
      <c r="N9660">
        <v>5883.28</v>
      </c>
      <c r="O9660">
        <v>235.33</v>
      </c>
    </row>
    <row r="9661" spans="1:15" x14ac:dyDescent="0.35">
      <c r="A9661" t="s">
        <v>10392</v>
      </c>
      <c r="B9661" t="s">
        <v>10393</v>
      </c>
      <c r="C9661" t="s">
        <v>688</v>
      </c>
      <c r="D9661" t="s">
        <v>314</v>
      </c>
      <c r="E9661" t="s">
        <v>296</v>
      </c>
      <c r="F9661" t="s">
        <v>10405</v>
      </c>
      <c r="G9661">
        <v>26</v>
      </c>
      <c r="H9661">
        <v>7118.0199999999995</v>
      </c>
      <c r="I9661">
        <v>273.77</v>
      </c>
      <c r="J9661">
        <v>0</v>
      </c>
      <c r="K9661">
        <v>0</v>
      </c>
      <c r="L9661">
        <v>0</v>
      </c>
      <c r="M9661">
        <v>26</v>
      </c>
      <c r="N9661">
        <v>7118.0199999999995</v>
      </c>
      <c r="O9661">
        <v>273.77</v>
      </c>
    </row>
    <row r="9662" spans="1:15" x14ac:dyDescent="0.35">
      <c r="A9662" t="s">
        <v>10392</v>
      </c>
      <c r="B9662" t="s">
        <v>10393</v>
      </c>
      <c r="C9662" t="s">
        <v>688</v>
      </c>
      <c r="D9662" t="s">
        <v>314</v>
      </c>
      <c r="E9662" t="s">
        <v>298</v>
      </c>
      <c r="F9662" t="s">
        <v>10406</v>
      </c>
      <c r="G9662">
        <v>1</v>
      </c>
      <c r="H9662">
        <v>240.11</v>
      </c>
      <c r="I9662">
        <v>240.11</v>
      </c>
      <c r="J9662">
        <v>0</v>
      </c>
      <c r="K9662">
        <v>0</v>
      </c>
      <c r="L9662">
        <v>0</v>
      </c>
      <c r="M9662">
        <v>1</v>
      </c>
      <c r="N9662">
        <v>240.11</v>
      </c>
      <c r="O9662">
        <v>240.11</v>
      </c>
    </row>
    <row r="9663" spans="1:15" x14ac:dyDescent="0.35">
      <c r="A9663" t="s">
        <v>10392</v>
      </c>
      <c r="B9663" t="s">
        <v>10393</v>
      </c>
      <c r="C9663" t="s">
        <v>688</v>
      </c>
      <c r="D9663" t="s">
        <v>314</v>
      </c>
      <c r="E9663" t="s">
        <v>300</v>
      </c>
      <c r="F9663" t="s">
        <v>10407</v>
      </c>
      <c r="G9663">
        <v>0</v>
      </c>
      <c r="H9663">
        <v>0</v>
      </c>
      <c r="I9663">
        <v>0</v>
      </c>
      <c r="J9663">
        <v>0</v>
      </c>
      <c r="K9663">
        <v>0</v>
      </c>
      <c r="L9663">
        <v>0</v>
      </c>
      <c r="M9663">
        <v>0</v>
      </c>
      <c r="N9663">
        <v>0</v>
      </c>
      <c r="O9663">
        <v>0</v>
      </c>
    </row>
    <row r="9664" spans="1:15" x14ac:dyDescent="0.35">
      <c r="A9664" t="s">
        <v>10392</v>
      </c>
      <c r="B9664" t="s">
        <v>10393</v>
      </c>
      <c r="C9664" t="s">
        <v>688</v>
      </c>
      <c r="D9664" t="s">
        <v>314</v>
      </c>
      <c r="E9664" t="s">
        <v>306</v>
      </c>
      <c r="F9664" t="s">
        <v>10408</v>
      </c>
      <c r="G9664">
        <v>0</v>
      </c>
      <c r="H9664">
        <v>0</v>
      </c>
      <c r="I9664">
        <v>0</v>
      </c>
      <c r="J9664">
        <v>0</v>
      </c>
      <c r="K9664">
        <v>0</v>
      </c>
      <c r="L9664">
        <v>0</v>
      </c>
      <c r="M9664">
        <v>0</v>
      </c>
      <c r="N9664">
        <v>0</v>
      </c>
      <c r="O9664">
        <v>0</v>
      </c>
    </row>
    <row r="9665" spans="1:15" x14ac:dyDescent="0.35">
      <c r="A9665" t="s">
        <v>10392</v>
      </c>
      <c r="B9665" t="s">
        <v>10393</v>
      </c>
      <c r="C9665" t="s">
        <v>688</v>
      </c>
      <c r="D9665" t="s">
        <v>314</v>
      </c>
      <c r="E9665" t="s">
        <v>308</v>
      </c>
      <c r="F9665" t="s">
        <v>10409</v>
      </c>
      <c r="G9665">
        <v>0</v>
      </c>
      <c r="H9665">
        <v>0</v>
      </c>
      <c r="I9665">
        <v>0</v>
      </c>
      <c r="J9665">
        <v>0</v>
      </c>
      <c r="K9665">
        <v>0</v>
      </c>
      <c r="L9665">
        <v>0</v>
      </c>
      <c r="M9665">
        <v>0</v>
      </c>
      <c r="N9665">
        <v>0</v>
      </c>
      <c r="O9665">
        <v>0</v>
      </c>
    </row>
    <row r="9666" spans="1:15" x14ac:dyDescent="0.35">
      <c r="A9666" t="s">
        <v>10392</v>
      </c>
      <c r="B9666" t="s">
        <v>10393</v>
      </c>
      <c r="C9666" t="s">
        <v>688</v>
      </c>
      <c r="D9666" t="s">
        <v>314</v>
      </c>
      <c r="E9666" t="s">
        <v>312</v>
      </c>
      <c r="F9666" t="s">
        <v>10410</v>
      </c>
      <c r="G9666">
        <v>52</v>
      </c>
      <c r="H9666">
        <v>13241.41</v>
      </c>
      <c r="I9666">
        <v>254.64</v>
      </c>
      <c r="J9666">
        <v>0</v>
      </c>
      <c r="K9666">
        <v>0</v>
      </c>
      <c r="L9666">
        <v>0</v>
      </c>
      <c r="M9666">
        <v>52</v>
      </c>
      <c r="N9666">
        <v>13241.41</v>
      </c>
      <c r="O9666">
        <v>254.64</v>
      </c>
    </row>
    <row r="9667" spans="1:15" x14ac:dyDescent="0.35">
      <c r="A9667" t="s">
        <v>10392</v>
      </c>
      <c r="B9667" t="s">
        <v>10393</v>
      </c>
      <c r="C9667" t="s">
        <v>688</v>
      </c>
      <c r="D9667" t="s">
        <v>314</v>
      </c>
      <c r="E9667" t="s">
        <v>310</v>
      </c>
      <c r="F9667" t="s">
        <v>10411</v>
      </c>
      <c r="G9667">
        <v>52</v>
      </c>
      <c r="H9667">
        <v>13241.41</v>
      </c>
      <c r="I9667">
        <v>254.64</v>
      </c>
      <c r="J9667">
        <v>0</v>
      </c>
      <c r="K9667">
        <v>0</v>
      </c>
      <c r="L9667">
        <v>0</v>
      </c>
      <c r="M9667">
        <v>52</v>
      </c>
      <c r="N9667">
        <v>13241.41</v>
      </c>
      <c r="O9667">
        <v>254.64</v>
      </c>
    </row>
    <row r="9668" spans="1:15" x14ac:dyDescent="0.35">
      <c r="A9668" t="s">
        <v>10392</v>
      </c>
      <c r="B9668" t="s">
        <v>10393</v>
      </c>
      <c r="C9668" t="s">
        <v>688</v>
      </c>
      <c r="D9668" t="s">
        <v>323</v>
      </c>
      <c r="E9668" t="s">
        <v>294</v>
      </c>
      <c r="F9668" t="s">
        <v>10412</v>
      </c>
      <c r="G9668">
        <v>730</v>
      </c>
      <c r="H9668">
        <v>63058.409999999996</v>
      </c>
      <c r="I9668">
        <v>86.38</v>
      </c>
      <c r="J9668">
        <v>4903</v>
      </c>
      <c r="K9668">
        <v>409155.35000000003</v>
      </c>
      <c r="L9668">
        <v>83.45</v>
      </c>
      <c r="M9668">
        <v>5633</v>
      </c>
      <c r="N9668">
        <v>472213.76000000001</v>
      </c>
      <c r="O9668">
        <v>83.83</v>
      </c>
    </row>
    <row r="9669" spans="1:15" x14ac:dyDescent="0.35">
      <c r="A9669" t="s">
        <v>10392</v>
      </c>
      <c r="B9669" t="s">
        <v>10393</v>
      </c>
      <c r="C9669" t="s">
        <v>688</v>
      </c>
      <c r="D9669" t="s">
        <v>323</v>
      </c>
      <c r="E9669" t="s">
        <v>296</v>
      </c>
      <c r="F9669" t="s">
        <v>10413</v>
      </c>
      <c r="G9669">
        <v>1268</v>
      </c>
      <c r="H9669">
        <v>127556.62999999998</v>
      </c>
      <c r="I9669">
        <v>100.6</v>
      </c>
      <c r="J9669">
        <v>6610</v>
      </c>
      <c r="K9669">
        <v>602171</v>
      </c>
      <c r="L9669">
        <v>91.1</v>
      </c>
      <c r="M9669">
        <v>7878</v>
      </c>
      <c r="N9669">
        <v>729727.63</v>
      </c>
      <c r="O9669">
        <v>92.63</v>
      </c>
    </row>
    <row r="9670" spans="1:15" x14ac:dyDescent="0.35">
      <c r="A9670" t="s">
        <v>10392</v>
      </c>
      <c r="B9670" t="s">
        <v>10393</v>
      </c>
      <c r="C9670" t="s">
        <v>688</v>
      </c>
      <c r="D9670" t="s">
        <v>323</v>
      </c>
      <c r="E9670" t="s">
        <v>298</v>
      </c>
      <c r="F9670" t="s">
        <v>10414</v>
      </c>
      <c r="G9670">
        <v>798</v>
      </c>
      <c r="H9670">
        <v>89270.01</v>
      </c>
      <c r="I9670">
        <v>111.87</v>
      </c>
      <c r="J9670">
        <v>7789</v>
      </c>
      <c r="K9670">
        <v>765658.7</v>
      </c>
      <c r="L9670">
        <v>98.3</v>
      </c>
      <c r="M9670">
        <v>8587</v>
      </c>
      <c r="N9670">
        <v>854928.71</v>
      </c>
      <c r="O9670">
        <v>99.56</v>
      </c>
    </row>
    <row r="9671" spans="1:15" x14ac:dyDescent="0.35">
      <c r="A9671" t="s">
        <v>10392</v>
      </c>
      <c r="B9671" t="s">
        <v>10393</v>
      </c>
      <c r="C9671" t="s">
        <v>688</v>
      </c>
      <c r="D9671" t="s">
        <v>323</v>
      </c>
      <c r="E9671" t="s">
        <v>300</v>
      </c>
      <c r="F9671" t="s">
        <v>10415</v>
      </c>
      <c r="G9671">
        <v>86</v>
      </c>
      <c r="H9671">
        <v>10818.64</v>
      </c>
      <c r="I9671">
        <v>125.8</v>
      </c>
      <c r="J9671">
        <v>287</v>
      </c>
      <c r="K9671">
        <v>31446.589999999997</v>
      </c>
      <c r="L9671">
        <v>109.57</v>
      </c>
      <c r="M9671">
        <v>373</v>
      </c>
      <c r="N9671">
        <v>42265.229999999996</v>
      </c>
      <c r="O9671">
        <v>113.31</v>
      </c>
    </row>
    <row r="9672" spans="1:15" x14ac:dyDescent="0.35">
      <c r="A9672" t="s">
        <v>10392</v>
      </c>
      <c r="B9672" t="s">
        <v>10393</v>
      </c>
      <c r="C9672" t="s">
        <v>688</v>
      </c>
      <c r="D9672" t="s">
        <v>323</v>
      </c>
      <c r="E9672" t="s">
        <v>302</v>
      </c>
      <c r="F9672" t="s">
        <v>10416</v>
      </c>
      <c r="G9672">
        <v>7</v>
      </c>
      <c r="H9672">
        <v>938.27</v>
      </c>
      <c r="I9672">
        <v>134.04</v>
      </c>
      <c r="J9672">
        <v>5</v>
      </c>
      <c r="K9672">
        <v>548.15</v>
      </c>
      <c r="L9672">
        <v>109.63</v>
      </c>
      <c r="M9672">
        <v>12</v>
      </c>
      <c r="N9672">
        <v>1486.42</v>
      </c>
      <c r="O9672">
        <v>123.87</v>
      </c>
    </row>
    <row r="9673" spans="1:15" x14ac:dyDescent="0.35">
      <c r="A9673" t="s">
        <v>10392</v>
      </c>
      <c r="B9673" t="s">
        <v>10393</v>
      </c>
      <c r="C9673" t="s">
        <v>688</v>
      </c>
      <c r="D9673" t="s">
        <v>323</v>
      </c>
      <c r="E9673" t="s">
        <v>304</v>
      </c>
      <c r="F9673" t="s">
        <v>10417</v>
      </c>
      <c r="G9673">
        <v>0</v>
      </c>
      <c r="H9673">
        <v>0</v>
      </c>
      <c r="I9673">
        <v>0</v>
      </c>
      <c r="J9673">
        <v>1</v>
      </c>
      <c r="K9673">
        <v>107.9</v>
      </c>
      <c r="L9673">
        <v>107.9</v>
      </c>
      <c r="M9673">
        <v>1</v>
      </c>
      <c r="N9673">
        <v>107.9</v>
      </c>
      <c r="O9673">
        <v>107.9</v>
      </c>
    </row>
    <row r="9674" spans="1:15" x14ac:dyDescent="0.35">
      <c r="A9674" t="s">
        <v>10392</v>
      </c>
      <c r="B9674" t="s">
        <v>10393</v>
      </c>
      <c r="C9674" t="s">
        <v>688</v>
      </c>
      <c r="D9674" t="s">
        <v>323</v>
      </c>
      <c r="E9674" t="s">
        <v>306</v>
      </c>
      <c r="F9674" t="s">
        <v>10418</v>
      </c>
      <c r="G9674">
        <v>1</v>
      </c>
      <c r="H9674">
        <v>72.37</v>
      </c>
      <c r="I9674">
        <v>72.37</v>
      </c>
      <c r="J9674">
        <v>77</v>
      </c>
      <c r="K9674">
        <v>4854.8499999999995</v>
      </c>
      <c r="L9674">
        <v>63.05</v>
      </c>
      <c r="M9674">
        <v>78</v>
      </c>
      <c r="N9674">
        <v>4927.2199999999993</v>
      </c>
      <c r="O9674">
        <v>63.17</v>
      </c>
    </row>
    <row r="9675" spans="1:15" x14ac:dyDescent="0.35">
      <c r="A9675" t="s">
        <v>10392</v>
      </c>
      <c r="B9675" t="s">
        <v>10393</v>
      </c>
      <c r="C9675" t="s">
        <v>688</v>
      </c>
      <c r="D9675" t="s">
        <v>323</v>
      </c>
      <c r="E9675" t="s">
        <v>308</v>
      </c>
      <c r="F9675" t="s">
        <v>10419</v>
      </c>
      <c r="G9675">
        <v>0</v>
      </c>
      <c r="H9675">
        <v>0</v>
      </c>
      <c r="I9675">
        <v>0</v>
      </c>
      <c r="J9675">
        <v>0</v>
      </c>
      <c r="K9675">
        <v>0</v>
      </c>
      <c r="L9675">
        <v>0</v>
      </c>
      <c r="M9675">
        <v>0</v>
      </c>
      <c r="N9675">
        <v>0</v>
      </c>
      <c r="O9675">
        <v>0</v>
      </c>
    </row>
    <row r="9676" spans="1:15" x14ac:dyDescent="0.35">
      <c r="A9676" t="s">
        <v>10392</v>
      </c>
      <c r="B9676" t="s">
        <v>10393</v>
      </c>
      <c r="C9676" t="s">
        <v>688</v>
      </c>
      <c r="D9676" t="s">
        <v>323</v>
      </c>
      <c r="E9676" t="s">
        <v>310</v>
      </c>
      <c r="F9676" t="s">
        <v>10420</v>
      </c>
      <c r="G9676">
        <v>2890</v>
      </c>
      <c r="H9676">
        <v>291714.33</v>
      </c>
      <c r="I9676">
        <v>100.94</v>
      </c>
      <c r="J9676">
        <v>19672</v>
      </c>
      <c r="K9676">
        <v>1813942.54</v>
      </c>
      <c r="L9676">
        <v>92.21</v>
      </c>
      <c r="M9676">
        <v>22562</v>
      </c>
      <c r="N9676">
        <v>2105656.87</v>
      </c>
      <c r="O9676">
        <v>93.33</v>
      </c>
    </row>
    <row r="9677" spans="1:15" x14ac:dyDescent="0.35">
      <c r="A9677" t="s">
        <v>10392</v>
      </c>
      <c r="B9677" t="s">
        <v>10393</v>
      </c>
      <c r="C9677" t="s">
        <v>688</v>
      </c>
      <c r="D9677" t="s">
        <v>323</v>
      </c>
      <c r="E9677" t="s">
        <v>312</v>
      </c>
      <c r="F9677" t="s">
        <v>10421</v>
      </c>
      <c r="G9677">
        <v>2890</v>
      </c>
      <c r="H9677">
        <v>291714.33</v>
      </c>
      <c r="I9677">
        <v>100.94</v>
      </c>
      <c r="J9677">
        <v>19672</v>
      </c>
      <c r="K9677">
        <v>1813942.54</v>
      </c>
      <c r="L9677">
        <v>92.21</v>
      </c>
      <c r="M9677">
        <v>22562</v>
      </c>
      <c r="N9677">
        <v>2105656.87</v>
      </c>
      <c r="O9677">
        <v>93.33</v>
      </c>
    </row>
    <row r="9678" spans="1:15" x14ac:dyDescent="0.35">
      <c r="A9678" t="s">
        <v>10392</v>
      </c>
      <c r="B9678" t="s">
        <v>10393</v>
      </c>
      <c r="C9678" t="s">
        <v>688</v>
      </c>
      <c r="D9678" t="s">
        <v>334</v>
      </c>
      <c r="E9678" t="s">
        <v>312</v>
      </c>
      <c r="F9678" t="s">
        <v>10422</v>
      </c>
      <c r="G9678">
        <v>3955</v>
      </c>
      <c r="H9678">
        <v>416733.75</v>
      </c>
      <c r="I9678">
        <v>108.05</v>
      </c>
      <c r="J9678">
        <v>19942</v>
      </c>
      <c r="K9678">
        <v>1845654.68</v>
      </c>
      <c r="L9678">
        <v>92.55</v>
      </c>
      <c r="M9678">
        <v>23897</v>
      </c>
      <c r="N9678">
        <v>2262388.4299999997</v>
      </c>
      <c r="O9678">
        <v>95.06</v>
      </c>
    </row>
    <row r="9679" spans="1:15" x14ac:dyDescent="0.35">
      <c r="A9679" t="s">
        <v>10392</v>
      </c>
      <c r="B9679" t="s">
        <v>10393</v>
      </c>
      <c r="C9679" t="s">
        <v>688</v>
      </c>
      <c r="D9679" t="s">
        <v>334</v>
      </c>
      <c r="E9679" t="s">
        <v>308</v>
      </c>
      <c r="F9679" t="s">
        <v>10423</v>
      </c>
      <c r="G9679">
        <v>0</v>
      </c>
      <c r="H9679">
        <v>0</v>
      </c>
      <c r="I9679">
        <v>0</v>
      </c>
      <c r="J9679">
        <v>0</v>
      </c>
      <c r="K9679">
        <v>0</v>
      </c>
      <c r="L9679">
        <v>0</v>
      </c>
      <c r="M9679">
        <v>0</v>
      </c>
      <c r="N9679">
        <v>0</v>
      </c>
      <c r="O9679">
        <v>0</v>
      </c>
    </row>
    <row r="9680" spans="1:15" x14ac:dyDescent="0.35">
      <c r="A9680" t="s">
        <v>10392</v>
      </c>
      <c r="B9680" t="s">
        <v>10393</v>
      </c>
      <c r="C9680" t="s">
        <v>688</v>
      </c>
      <c r="D9680" t="s">
        <v>337</v>
      </c>
      <c r="E9680" t="s">
        <v>337</v>
      </c>
      <c r="F9680" t="s">
        <v>10424</v>
      </c>
      <c r="G9680">
        <v>428</v>
      </c>
      <c r="J9680">
        <v>134</v>
      </c>
      <c r="M9680">
        <v>562</v>
      </c>
    </row>
    <row r="9681" spans="1:15" x14ac:dyDescent="0.35">
      <c r="A9681" t="s">
        <v>10392</v>
      </c>
      <c r="B9681" t="s">
        <v>10393</v>
      </c>
      <c r="C9681" t="s">
        <v>688</v>
      </c>
      <c r="D9681" t="s">
        <v>339</v>
      </c>
      <c r="E9681" t="s">
        <v>294</v>
      </c>
      <c r="F9681" t="s">
        <v>10425</v>
      </c>
      <c r="G9681">
        <v>606</v>
      </c>
      <c r="H9681">
        <v>66949.47</v>
      </c>
      <c r="I9681">
        <v>110.48</v>
      </c>
      <c r="J9681">
        <v>0</v>
      </c>
      <c r="K9681">
        <v>0</v>
      </c>
      <c r="L9681">
        <v>0</v>
      </c>
      <c r="M9681">
        <v>606</v>
      </c>
      <c r="N9681">
        <v>66949.47</v>
      </c>
      <c r="O9681">
        <v>110.48</v>
      </c>
    </row>
    <row r="9682" spans="1:15" x14ac:dyDescent="0.35">
      <c r="A9682" t="s">
        <v>10392</v>
      </c>
      <c r="B9682" t="s">
        <v>10393</v>
      </c>
      <c r="C9682" t="s">
        <v>688</v>
      </c>
      <c r="D9682" t="s">
        <v>339</v>
      </c>
      <c r="E9682" t="s">
        <v>296</v>
      </c>
      <c r="F9682" t="s">
        <v>10426</v>
      </c>
      <c r="G9682">
        <v>284</v>
      </c>
      <c r="H9682">
        <v>29270.95</v>
      </c>
      <c r="I9682">
        <v>103.07</v>
      </c>
      <c r="J9682">
        <v>0</v>
      </c>
      <c r="K9682">
        <v>0</v>
      </c>
      <c r="L9682">
        <v>0</v>
      </c>
      <c r="M9682">
        <v>284</v>
      </c>
      <c r="N9682">
        <v>29270.95</v>
      </c>
      <c r="O9682">
        <v>103.07</v>
      </c>
    </row>
    <row r="9683" spans="1:15" x14ac:dyDescent="0.35">
      <c r="A9683" t="s">
        <v>10392</v>
      </c>
      <c r="B9683" t="s">
        <v>10393</v>
      </c>
      <c r="C9683" t="s">
        <v>688</v>
      </c>
      <c r="D9683" t="s">
        <v>339</v>
      </c>
      <c r="E9683" t="s">
        <v>298</v>
      </c>
      <c r="F9683" t="s">
        <v>10427</v>
      </c>
      <c r="G9683">
        <v>12</v>
      </c>
      <c r="H9683">
        <v>1538.1999999999998</v>
      </c>
      <c r="I9683">
        <v>128.18</v>
      </c>
      <c r="J9683">
        <v>0</v>
      </c>
      <c r="K9683">
        <v>0</v>
      </c>
      <c r="L9683">
        <v>0</v>
      </c>
      <c r="M9683">
        <v>12</v>
      </c>
      <c r="N9683">
        <v>1538.1999999999998</v>
      </c>
      <c r="O9683">
        <v>128.18</v>
      </c>
    </row>
    <row r="9684" spans="1:15" x14ac:dyDescent="0.35">
      <c r="A9684" t="s">
        <v>10392</v>
      </c>
      <c r="B9684" t="s">
        <v>10393</v>
      </c>
      <c r="C9684" t="s">
        <v>688</v>
      </c>
      <c r="D9684" t="s">
        <v>339</v>
      </c>
      <c r="E9684" t="s">
        <v>300</v>
      </c>
      <c r="F9684" t="s">
        <v>10428</v>
      </c>
      <c r="G9684">
        <v>0</v>
      </c>
      <c r="H9684">
        <v>0</v>
      </c>
      <c r="I9684">
        <v>0</v>
      </c>
      <c r="J9684">
        <v>0</v>
      </c>
      <c r="K9684">
        <v>0</v>
      </c>
      <c r="L9684">
        <v>0</v>
      </c>
      <c r="M9684">
        <v>0</v>
      </c>
      <c r="N9684">
        <v>0</v>
      </c>
      <c r="O9684">
        <v>0</v>
      </c>
    </row>
    <row r="9685" spans="1:15" x14ac:dyDescent="0.35">
      <c r="A9685" t="s">
        <v>10392</v>
      </c>
      <c r="B9685" t="s">
        <v>10393</v>
      </c>
      <c r="C9685" t="s">
        <v>688</v>
      </c>
      <c r="D9685" t="s">
        <v>339</v>
      </c>
      <c r="E9685" t="s">
        <v>306</v>
      </c>
      <c r="F9685" t="s">
        <v>10429</v>
      </c>
      <c r="G9685">
        <v>77</v>
      </c>
      <c r="H9685">
        <v>6642.37</v>
      </c>
      <c r="I9685">
        <v>86.26</v>
      </c>
      <c r="J9685">
        <v>0</v>
      </c>
      <c r="K9685">
        <v>0</v>
      </c>
      <c r="L9685">
        <v>0</v>
      </c>
      <c r="M9685">
        <v>77</v>
      </c>
      <c r="N9685">
        <v>6642.37</v>
      </c>
      <c r="O9685">
        <v>86.26</v>
      </c>
    </row>
    <row r="9686" spans="1:15" x14ac:dyDescent="0.35">
      <c r="A9686" t="s">
        <v>10392</v>
      </c>
      <c r="B9686" t="s">
        <v>10393</v>
      </c>
      <c r="C9686" t="s">
        <v>688</v>
      </c>
      <c r="D9686" t="s">
        <v>339</v>
      </c>
      <c r="E9686" t="s">
        <v>308</v>
      </c>
      <c r="F9686" t="s">
        <v>10430</v>
      </c>
      <c r="G9686">
        <v>185</v>
      </c>
      <c r="H9686">
        <v>33627.69</v>
      </c>
      <c r="I9686">
        <v>181.77</v>
      </c>
      <c r="J9686">
        <v>0</v>
      </c>
      <c r="K9686">
        <v>0</v>
      </c>
      <c r="L9686">
        <v>0</v>
      </c>
      <c r="M9686">
        <v>185</v>
      </c>
      <c r="N9686">
        <v>33627.69</v>
      </c>
      <c r="O9686">
        <v>181.77</v>
      </c>
    </row>
    <row r="9687" spans="1:15" x14ac:dyDescent="0.35">
      <c r="A9687" t="s">
        <v>10392</v>
      </c>
      <c r="B9687" t="s">
        <v>10393</v>
      </c>
      <c r="C9687" t="s">
        <v>688</v>
      </c>
      <c r="D9687" t="s">
        <v>339</v>
      </c>
      <c r="E9687" t="s">
        <v>310</v>
      </c>
      <c r="F9687" t="s">
        <v>10431</v>
      </c>
      <c r="G9687">
        <v>1164</v>
      </c>
      <c r="H9687">
        <v>138028.68</v>
      </c>
      <c r="I9687">
        <v>118.58</v>
      </c>
      <c r="J9687">
        <v>0</v>
      </c>
      <c r="K9687">
        <v>0</v>
      </c>
      <c r="L9687">
        <v>0</v>
      </c>
      <c r="M9687">
        <v>1164</v>
      </c>
      <c r="N9687">
        <v>138028.68</v>
      </c>
      <c r="O9687">
        <v>118.58</v>
      </c>
    </row>
    <row r="9688" spans="1:15" x14ac:dyDescent="0.35">
      <c r="A9688" t="s">
        <v>10392</v>
      </c>
      <c r="B9688" t="s">
        <v>10393</v>
      </c>
      <c r="C9688" t="s">
        <v>688</v>
      </c>
      <c r="D9688" t="s">
        <v>339</v>
      </c>
      <c r="E9688" t="s">
        <v>312</v>
      </c>
      <c r="F9688" t="s">
        <v>10432</v>
      </c>
      <c r="G9688">
        <v>979</v>
      </c>
      <c r="H9688">
        <v>104400.98999999999</v>
      </c>
      <c r="I9688">
        <v>106.64</v>
      </c>
      <c r="J9688">
        <v>0</v>
      </c>
      <c r="K9688">
        <v>0</v>
      </c>
      <c r="L9688">
        <v>0</v>
      </c>
      <c r="M9688">
        <v>979</v>
      </c>
      <c r="N9688">
        <v>104400.98999999999</v>
      </c>
      <c r="O9688">
        <v>106.64</v>
      </c>
    </row>
    <row r="9689" spans="1:15" x14ac:dyDescent="0.35">
      <c r="A9689" t="s">
        <v>10392</v>
      </c>
      <c r="B9689" t="s">
        <v>10393</v>
      </c>
      <c r="C9689" t="s">
        <v>688</v>
      </c>
      <c r="D9689" t="s">
        <v>348</v>
      </c>
      <c r="E9689" t="s">
        <v>349</v>
      </c>
      <c r="F9689" t="s">
        <v>10433</v>
      </c>
      <c r="G9689">
        <v>1265</v>
      </c>
      <c r="H9689">
        <v>151270.09</v>
      </c>
      <c r="I9689">
        <v>124.4</v>
      </c>
      <c r="J9689">
        <v>0</v>
      </c>
      <c r="K9689">
        <v>0</v>
      </c>
      <c r="L9689">
        <v>0</v>
      </c>
      <c r="M9689">
        <v>1265</v>
      </c>
      <c r="N9689">
        <v>151270.09</v>
      </c>
      <c r="O9689">
        <v>124.4</v>
      </c>
    </row>
    <row r="9690" spans="1:15" x14ac:dyDescent="0.35">
      <c r="A9690" t="s">
        <v>10434</v>
      </c>
      <c r="B9690" t="s">
        <v>10435</v>
      </c>
      <c r="C9690" t="s">
        <v>688</v>
      </c>
      <c r="D9690" t="s">
        <v>293</v>
      </c>
      <c r="E9690" t="s">
        <v>294</v>
      </c>
      <c r="F9690" t="s">
        <v>10436</v>
      </c>
      <c r="G9690">
        <v>419</v>
      </c>
      <c r="H9690">
        <v>45746.97</v>
      </c>
      <c r="I9690">
        <v>109.18</v>
      </c>
      <c r="J9690">
        <v>162</v>
      </c>
      <c r="K9690">
        <v>18545.760000000002</v>
      </c>
      <c r="L9690">
        <v>114.48</v>
      </c>
      <c r="M9690">
        <v>581</v>
      </c>
      <c r="N9690">
        <v>64292.73</v>
      </c>
      <c r="O9690">
        <v>110.66</v>
      </c>
    </row>
    <row r="9691" spans="1:15" x14ac:dyDescent="0.35">
      <c r="A9691" t="s">
        <v>10434</v>
      </c>
      <c r="B9691" t="s">
        <v>10435</v>
      </c>
      <c r="C9691" t="s">
        <v>688</v>
      </c>
      <c r="D9691" t="s">
        <v>293</v>
      </c>
      <c r="E9691" t="s">
        <v>296</v>
      </c>
      <c r="F9691" t="s">
        <v>10437</v>
      </c>
      <c r="G9691">
        <v>1271</v>
      </c>
      <c r="H9691">
        <v>156229.53</v>
      </c>
      <c r="I9691">
        <v>122.92</v>
      </c>
      <c r="J9691">
        <v>300</v>
      </c>
      <c r="K9691">
        <v>38900.999999999993</v>
      </c>
      <c r="L9691">
        <v>129.66999999999999</v>
      </c>
      <c r="M9691">
        <v>1571</v>
      </c>
      <c r="N9691">
        <v>195130.53</v>
      </c>
      <c r="O9691">
        <v>124.21</v>
      </c>
    </row>
    <row r="9692" spans="1:15" x14ac:dyDescent="0.35">
      <c r="A9692" t="s">
        <v>10434</v>
      </c>
      <c r="B9692" t="s">
        <v>10435</v>
      </c>
      <c r="C9692" t="s">
        <v>688</v>
      </c>
      <c r="D9692" t="s">
        <v>293</v>
      </c>
      <c r="E9692" t="s">
        <v>298</v>
      </c>
      <c r="F9692" t="s">
        <v>10438</v>
      </c>
      <c r="G9692">
        <v>867</v>
      </c>
      <c r="H9692">
        <v>118957.29000000001</v>
      </c>
      <c r="I9692">
        <v>137.21</v>
      </c>
      <c r="J9692">
        <v>298</v>
      </c>
      <c r="K9692">
        <v>41946.479999999996</v>
      </c>
      <c r="L9692">
        <v>140.76</v>
      </c>
      <c r="M9692">
        <v>1165</v>
      </c>
      <c r="N9692">
        <v>160903.77000000002</v>
      </c>
      <c r="O9692">
        <v>138.11000000000001</v>
      </c>
    </row>
    <row r="9693" spans="1:15" x14ac:dyDescent="0.35">
      <c r="A9693" t="s">
        <v>10434</v>
      </c>
      <c r="B9693" t="s">
        <v>10435</v>
      </c>
      <c r="C9693" t="s">
        <v>688</v>
      </c>
      <c r="D9693" t="s">
        <v>293</v>
      </c>
      <c r="E9693" t="s">
        <v>300</v>
      </c>
      <c r="F9693" t="s">
        <v>10439</v>
      </c>
      <c r="G9693">
        <v>70</v>
      </c>
      <c r="H9693">
        <v>10914.73</v>
      </c>
      <c r="I9693">
        <v>155.91999999999999</v>
      </c>
      <c r="J9693">
        <v>101</v>
      </c>
      <c r="K9693">
        <v>18589.050000000003</v>
      </c>
      <c r="L9693">
        <v>184.05</v>
      </c>
      <c r="M9693">
        <v>171</v>
      </c>
      <c r="N9693">
        <v>29503.780000000002</v>
      </c>
      <c r="O9693">
        <v>172.54</v>
      </c>
    </row>
    <row r="9694" spans="1:15" x14ac:dyDescent="0.35">
      <c r="A9694" t="s">
        <v>10434</v>
      </c>
      <c r="B9694" t="s">
        <v>10435</v>
      </c>
      <c r="C9694" t="s">
        <v>688</v>
      </c>
      <c r="D9694" t="s">
        <v>293</v>
      </c>
      <c r="E9694" t="s">
        <v>302</v>
      </c>
      <c r="F9694" t="s">
        <v>10440</v>
      </c>
      <c r="G9694">
        <v>6</v>
      </c>
      <c r="H9694">
        <v>832.55</v>
      </c>
      <c r="I9694">
        <v>138.76</v>
      </c>
      <c r="J9694">
        <v>5</v>
      </c>
      <c r="K9694">
        <v>856.75</v>
      </c>
      <c r="L9694">
        <v>171.35</v>
      </c>
      <c r="M9694">
        <v>11</v>
      </c>
      <c r="N9694">
        <v>1689.3</v>
      </c>
      <c r="O9694">
        <v>153.57</v>
      </c>
    </row>
    <row r="9695" spans="1:15" x14ac:dyDescent="0.35">
      <c r="A9695" t="s">
        <v>10434</v>
      </c>
      <c r="B9695" t="s">
        <v>10435</v>
      </c>
      <c r="C9695" t="s">
        <v>688</v>
      </c>
      <c r="D9695" t="s">
        <v>293</v>
      </c>
      <c r="E9695" t="s">
        <v>304</v>
      </c>
      <c r="F9695" t="s">
        <v>10441</v>
      </c>
      <c r="G9695">
        <v>0</v>
      </c>
      <c r="H9695">
        <v>0</v>
      </c>
      <c r="I9695">
        <v>0</v>
      </c>
      <c r="J9695">
        <v>0</v>
      </c>
      <c r="K9695">
        <v>0</v>
      </c>
      <c r="L9695">
        <v>0</v>
      </c>
      <c r="M9695">
        <v>0</v>
      </c>
      <c r="N9695">
        <v>0</v>
      </c>
      <c r="O9695">
        <v>0</v>
      </c>
    </row>
    <row r="9696" spans="1:15" x14ac:dyDescent="0.35">
      <c r="A9696" t="s">
        <v>10434</v>
      </c>
      <c r="B9696" t="s">
        <v>10435</v>
      </c>
      <c r="C9696" t="s">
        <v>688</v>
      </c>
      <c r="D9696" t="s">
        <v>293</v>
      </c>
      <c r="E9696" t="s">
        <v>306</v>
      </c>
      <c r="F9696" t="s">
        <v>10442</v>
      </c>
      <c r="G9696">
        <v>1</v>
      </c>
      <c r="H9696">
        <v>80.569999999999993</v>
      </c>
      <c r="I9696">
        <v>80.569999999999993</v>
      </c>
      <c r="J9696">
        <v>0</v>
      </c>
      <c r="K9696">
        <v>0</v>
      </c>
      <c r="L9696">
        <v>0</v>
      </c>
      <c r="M9696">
        <v>1</v>
      </c>
      <c r="N9696">
        <v>80.569999999999993</v>
      </c>
      <c r="O9696">
        <v>80.569999999999993</v>
      </c>
    </row>
    <row r="9697" spans="1:15" x14ac:dyDescent="0.35">
      <c r="A9697" t="s">
        <v>10434</v>
      </c>
      <c r="B9697" t="s">
        <v>10435</v>
      </c>
      <c r="C9697" t="s">
        <v>688</v>
      </c>
      <c r="D9697" t="s">
        <v>293</v>
      </c>
      <c r="E9697" t="s">
        <v>308</v>
      </c>
      <c r="F9697" t="s">
        <v>10443</v>
      </c>
      <c r="G9697">
        <v>0</v>
      </c>
      <c r="H9697">
        <v>0</v>
      </c>
      <c r="I9697">
        <v>0</v>
      </c>
      <c r="J9697">
        <v>0</v>
      </c>
      <c r="K9697">
        <v>0</v>
      </c>
      <c r="L9697">
        <v>0</v>
      </c>
      <c r="M9697">
        <v>0</v>
      </c>
      <c r="N9697">
        <v>0</v>
      </c>
      <c r="O9697">
        <v>0</v>
      </c>
    </row>
    <row r="9698" spans="1:15" x14ac:dyDescent="0.35">
      <c r="A9698" t="s">
        <v>10434</v>
      </c>
      <c r="B9698" t="s">
        <v>10435</v>
      </c>
      <c r="C9698" t="s">
        <v>688</v>
      </c>
      <c r="D9698" t="s">
        <v>293</v>
      </c>
      <c r="E9698" t="s">
        <v>310</v>
      </c>
      <c r="F9698" t="s">
        <v>10444</v>
      </c>
      <c r="G9698">
        <v>2634</v>
      </c>
      <c r="H9698">
        <v>332761.64</v>
      </c>
      <c r="I9698">
        <v>126.33</v>
      </c>
      <c r="J9698">
        <v>866</v>
      </c>
      <c r="K9698">
        <v>118839.03999999999</v>
      </c>
      <c r="L9698">
        <v>137.22999999999999</v>
      </c>
      <c r="M9698">
        <v>3500</v>
      </c>
      <c r="N9698">
        <v>451600.68</v>
      </c>
      <c r="O9698">
        <v>129.03</v>
      </c>
    </row>
    <row r="9699" spans="1:15" x14ac:dyDescent="0.35">
      <c r="A9699" t="s">
        <v>10434</v>
      </c>
      <c r="B9699" t="s">
        <v>10435</v>
      </c>
      <c r="C9699" t="s">
        <v>688</v>
      </c>
      <c r="D9699" t="s">
        <v>293</v>
      </c>
      <c r="E9699" t="s">
        <v>312</v>
      </c>
      <c r="F9699" t="s">
        <v>10445</v>
      </c>
      <c r="G9699">
        <v>2634</v>
      </c>
      <c r="H9699">
        <v>332761.64</v>
      </c>
      <c r="I9699">
        <v>126.33</v>
      </c>
      <c r="J9699">
        <v>866</v>
      </c>
      <c r="K9699">
        <v>118839.03999999999</v>
      </c>
      <c r="L9699">
        <v>137.22999999999999</v>
      </c>
      <c r="M9699">
        <v>3500</v>
      </c>
      <c r="N9699">
        <v>451600.68</v>
      </c>
      <c r="O9699">
        <v>129.03</v>
      </c>
    </row>
    <row r="9700" spans="1:15" x14ac:dyDescent="0.35">
      <c r="A9700" t="s">
        <v>10434</v>
      </c>
      <c r="B9700" t="s">
        <v>10435</v>
      </c>
      <c r="C9700" t="s">
        <v>688</v>
      </c>
      <c r="D9700" t="s">
        <v>314</v>
      </c>
      <c r="E9700" t="s">
        <v>294</v>
      </c>
      <c r="F9700" t="s">
        <v>10446</v>
      </c>
      <c r="G9700">
        <v>17</v>
      </c>
      <c r="H9700">
        <v>4097.6000000000004</v>
      </c>
      <c r="I9700">
        <v>241.04</v>
      </c>
      <c r="J9700">
        <v>97</v>
      </c>
      <c r="K9700">
        <v>20905.440000000002</v>
      </c>
      <c r="L9700">
        <v>215.52</v>
      </c>
      <c r="M9700">
        <v>114</v>
      </c>
      <c r="N9700">
        <v>25003.040000000001</v>
      </c>
      <c r="O9700">
        <v>219.32</v>
      </c>
    </row>
    <row r="9701" spans="1:15" x14ac:dyDescent="0.35">
      <c r="A9701" t="s">
        <v>10434</v>
      </c>
      <c r="B9701" t="s">
        <v>10435</v>
      </c>
      <c r="C9701" t="s">
        <v>688</v>
      </c>
      <c r="D9701" t="s">
        <v>314</v>
      </c>
      <c r="E9701" t="s">
        <v>296</v>
      </c>
      <c r="F9701" t="s">
        <v>10447</v>
      </c>
      <c r="G9701">
        <v>9</v>
      </c>
      <c r="H9701">
        <v>1088.73</v>
      </c>
      <c r="I9701">
        <v>120.97</v>
      </c>
      <c r="J9701">
        <v>45</v>
      </c>
      <c r="K9701">
        <v>10494.45</v>
      </c>
      <c r="L9701">
        <v>233.21</v>
      </c>
      <c r="M9701">
        <v>54</v>
      </c>
      <c r="N9701">
        <v>11583.18</v>
      </c>
      <c r="O9701">
        <v>214.5</v>
      </c>
    </row>
    <row r="9702" spans="1:15" x14ac:dyDescent="0.35">
      <c r="A9702" t="s">
        <v>10434</v>
      </c>
      <c r="B9702" t="s">
        <v>10435</v>
      </c>
      <c r="C9702" t="s">
        <v>688</v>
      </c>
      <c r="D9702" t="s">
        <v>314</v>
      </c>
      <c r="E9702" t="s">
        <v>298</v>
      </c>
      <c r="F9702" t="s">
        <v>10448</v>
      </c>
      <c r="G9702">
        <v>0</v>
      </c>
      <c r="H9702">
        <v>0</v>
      </c>
      <c r="I9702">
        <v>0</v>
      </c>
      <c r="J9702">
        <v>0</v>
      </c>
      <c r="K9702">
        <v>0</v>
      </c>
      <c r="L9702">
        <v>0</v>
      </c>
      <c r="M9702">
        <v>0</v>
      </c>
      <c r="N9702">
        <v>0</v>
      </c>
      <c r="O9702">
        <v>0</v>
      </c>
    </row>
    <row r="9703" spans="1:15" x14ac:dyDescent="0.35">
      <c r="A9703" t="s">
        <v>10434</v>
      </c>
      <c r="B9703" t="s">
        <v>10435</v>
      </c>
      <c r="C9703" t="s">
        <v>688</v>
      </c>
      <c r="D9703" t="s">
        <v>314</v>
      </c>
      <c r="E9703" t="s">
        <v>300</v>
      </c>
      <c r="F9703" t="s">
        <v>10449</v>
      </c>
      <c r="G9703">
        <v>0</v>
      </c>
      <c r="H9703">
        <v>0</v>
      </c>
      <c r="I9703">
        <v>0</v>
      </c>
      <c r="J9703">
        <v>0</v>
      </c>
      <c r="K9703">
        <v>0</v>
      </c>
      <c r="L9703">
        <v>0</v>
      </c>
      <c r="M9703">
        <v>0</v>
      </c>
      <c r="N9703">
        <v>0</v>
      </c>
      <c r="O9703">
        <v>0</v>
      </c>
    </row>
    <row r="9704" spans="1:15" x14ac:dyDescent="0.35">
      <c r="A9704" t="s">
        <v>10434</v>
      </c>
      <c r="B9704" t="s">
        <v>10435</v>
      </c>
      <c r="C9704" t="s">
        <v>688</v>
      </c>
      <c r="D9704" t="s">
        <v>314</v>
      </c>
      <c r="E9704" t="s">
        <v>306</v>
      </c>
      <c r="F9704" t="s">
        <v>10450</v>
      </c>
      <c r="G9704">
        <v>0</v>
      </c>
      <c r="H9704">
        <v>0</v>
      </c>
      <c r="I9704">
        <v>0</v>
      </c>
      <c r="J9704">
        <v>0</v>
      </c>
      <c r="K9704">
        <v>0</v>
      </c>
      <c r="L9704">
        <v>0</v>
      </c>
      <c r="M9704">
        <v>0</v>
      </c>
      <c r="N9704">
        <v>0</v>
      </c>
      <c r="O9704">
        <v>0</v>
      </c>
    </row>
    <row r="9705" spans="1:15" x14ac:dyDescent="0.35">
      <c r="A9705" t="s">
        <v>10434</v>
      </c>
      <c r="B9705" t="s">
        <v>10435</v>
      </c>
      <c r="C9705" t="s">
        <v>688</v>
      </c>
      <c r="D9705" t="s">
        <v>314</v>
      </c>
      <c r="E9705" t="s">
        <v>308</v>
      </c>
      <c r="F9705" t="s">
        <v>10451</v>
      </c>
      <c r="G9705">
        <v>19</v>
      </c>
      <c r="H9705">
        <v>8369.5</v>
      </c>
      <c r="I9705">
        <v>440.5</v>
      </c>
      <c r="J9705">
        <v>0</v>
      </c>
      <c r="K9705">
        <v>0</v>
      </c>
      <c r="L9705">
        <v>0</v>
      </c>
      <c r="M9705">
        <v>19</v>
      </c>
      <c r="N9705">
        <v>8369.5</v>
      </c>
      <c r="O9705">
        <v>440.5</v>
      </c>
    </row>
    <row r="9706" spans="1:15" x14ac:dyDescent="0.35">
      <c r="A9706" t="s">
        <v>10434</v>
      </c>
      <c r="B9706" t="s">
        <v>10435</v>
      </c>
      <c r="C9706" t="s">
        <v>688</v>
      </c>
      <c r="D9706" t="s">
        <v>314</v>
      </c>
      <c r="E9706" t="s">
        <v>312</v>
      </c>
      <c r="F9706" t="s">
        <v>10452</v>
      </c>
      <c r="G9706">
        <v>26</v>
      </c>
      <c r="H9706">
        <v>5186.33</v>
      </c>
      <c r="I9706">
        <v>199.47</v>
      </c>
      <c r="J9706">
        <v>142</v>
      </c>
      <c r="K9706">
        <v>31399.890000000003</v>
      </c>
      <c r="L9706">
        <v>221.13</v>
      </c>
      <c r="M9706">
        <v>168</v>
      </c>
      <c r="N9706">
        <v>36586.22</v>
      </c>
      <c r="O9706">
        <v>217.78</v>
      </c>
    </row>
    <row r="9707" spans="1:15" x14ac:dyDescent="0.35">
      <c r="A9707" t="s">
        <v>10434</v>
      </c>
      <c r="B9707" t="s">
        <v>10435</v>
      </c>
      <c r="C9707" t="s">
        <v>688</v>
      </c>
      <c r="D9707" t="s">
        <v>314</v>
      </c>
      <c r="E9707" t="s">
        <v>310</v>
      </c>
      <c r="F9707" t="s">
        <v>10453</v>
      </c>
      <c r="G9707">
        <v>45</v>
      </c>
      <c r="H9707">
        <v>13555.83</v>
      </c>
      <c r="I9707">
        <v>301.24</v>
      </c>
      <c r="J9707">
        <v>142</v>
      </c>
      <c r="K9707">
        <v>31399.890000000003</v>
      </c>
      <c r="L9707">
        <v>221.13</v>
      </c>
      <c r="M9707">
        <v>187</v>
      </c>
      <c r="N9707">
        <v>44955.72</v>
      </c>
      <c r="O9707">
        <v>240.4</v>
      </c>
    </row>
    <row r="9708" spans="1:15" x14ac:dyDescent="0.35">
      <c r="A9708" t="s">
        <v>10434</v>
      </c>
      <c r="B9708" t="s">
        <v>10435</v>
      </c>
      <c r="C9708" t="s">
        <v>688</v>
      </c>
      <c r="D9708" t="s">
        <v>323</v>
      </c>
      <c r="E9708" t="s">
        <v>294</v>
      </c>
      <c r="F9708" t="s">
        <v>10454</v>
      </c>
      <c r="G9708">
        <v>2812</v>
      </c>
      <c r="H9708">
        <v>244407.75000000003</v>
      </c>
      <c r="I9708">
        <v>86.92</v>
      </c>
      <c r="J9708">
        <v>12561</v>
      </c>
      <c r="K9708">
        <v>1019450.76</v>
      </c>
      <c r="L9708">
        <v>81.16</v>
      </c>
      <c r="M9708">
        <v>15373</v>
      </c>
      <c r="N9708">
        <v>1263858.51</v>
      </c>
      <c r="O9708">
        <v>82.21</v>
      </c>
    </row>
    <row r="9709" spans="1:15" x14ac:dyDescent="0.35">
      <c r="A9709" t="s">
        <v>10434</v>
      </c>
      <c r="B9709" t="s">
        <v>10435</v>
      </c>
      <c r="C9709" t="s">
        <v>688</v>
      </c>
      <c r="D9709" t="s">
        <v>323</v>
      </c>
      <c r="E9709" t="s">
        <v>296</v>
      </c>
      <c r="F9709" t="s">
        <v>10455</v>
      </c>
      <c r="G9709">
        <v>4771</v>
      </c>
      <c r="H9709">
        <v>460976.88</v>
      </c>
      <c r="I9709">
        <v>96.62</v>
      </c>
      <c r="J9709">
        <v>13034</v>
      </c>
      <c r="K9709">
        <v>1202516.8400000001</v>
      </c>
      <c r="L9709">
        <v>92.26</v>
      </c>
      <c r="M9709">
        <v>17805</v>
      </c>
      <c r="N9709">
        <v>1663493.7200000002</v>
      </c>
      <c r="O9709">
        <v>93.43</v>
      </c>
    </row>
    <row r="9710" spans="1:15" x14ac:dyDescent="0.35">
      <c r="A9710" t="s">
        <v>10434</v>
      </c>
      <c r="B9710" t="s">
        <v>10435</v>
      </c>
      <c r="C9710" t="s">
        <v>688</v>
      </c>
      <c r="D9710" t="s">
        <v>323</v>
      </c>
      <c r="E9710" t="s">
        <v>298</v>
      </c>
      <c r="F9710" t="s">
        <v>10456</v>
      </c>
      <c r="G9710">
        <v>4434</v>
      </c>
      <c r="H9710">
        <v>470451.44000000006</v>
      </c>
      <c r="I9710">
        <v>106.1</v>
      </c>
      <c r="J9710">
        <v>9832</v>
      </c>
      <c r="K9710">
        <v>1001290.88</v>
      </c>
      <c r="L9710">
        <v>101.84</v>
      </c>
      <c r="M9710">
        <v>14266</v>
      </c>
      <c r="N9710">
        <v>1471742.32</v>
      </c>
      <c r="O9710">
        <v>103.16</v>
      </c>
    </row>
    <row r="9711" spans="1:15" x14ac:dyDescent="0.35">
      <c r="A9711" t="s">
        <v>10434</v>
      </c>
      <c r="B9711" t="s">
        <v>10435</v>
      </c>
      <c r="C9711" t="s">
        <v>688</v>
      </c>
      <c r="D9711" t="s">
        <v>323</v>
      </c>
      <c r="E9711" t="s">
        <v>300</v>
      </c>
      <c r="F9711" t="s">
        <v>10457</v>
      </c>
      <c r="G9711">
        <v>439</v>
      </c>
      <c r="H9711">
        <v>55166.46</v>
      </c>
      <c r="I9711">
        <v>125.66</v>
      </c>
      <c r="J9711">
        <v>325</v>
      </c>
      <c r="K9711">
        <v>35548.5</v>
      </c>
      <c r="L9711">
        <v>109.38</v>
      </c>
      <c r="M9711">
        <v>764</v>
      </c>
      <c r="N9711">
        <v>90714.959999999992</v>
      </c>
      <c r="O9711">
        <v>118.74</v>
      </c>
    </row>
    <row r="9712" spans="1:15" x14ac:dyDescent="0.35">
      <c r="A9712" t="s">
        <v>10434</v>
      </c>
      <c r="B9712" t="s">
        <v>10435</v>
      </c>
      <c r="C9712" t="s">
        <v>688</v>
      </c>
      <c r="D9712" t="s">
        <v>323</v>
      </c>
      <c r="E9712" t="s">
        <v>302</v>
      </c>
      <c r="F9712" t="s">
        <v>10458</v>
      </c>
      <c r="G9712">
        <v>33</v>
      </c>
      <c r="H9712">
        <v>4447.9600000000009</v>
      </c>
      <c r="I9712">
        <v>134.79</v>
      </c>
      <c r="J9712">
        <v>16</v>
      </c>
      <c r="K9712">
        <v>1802.72</v>
      </c>
      <c r="L9712">
        <v>112.67</v>
      </c>
      <c r="M9712">
        <v>49</v>
      </c>
      <c r="N9712">
        <v>6250.6800000000012</v>
      </c>
      <c r="O9712">
        <v>127.56</v>
      </c>
    </row>
    <row r="9713" spans="1:15" x14ac:dyDescent="0.35">
      <c r="A9713" t="s">
        <v>10434</v>
      </c>
      <c r="B9713" t="s">
        <v>10435</v>
      </c>
      <c r="C9713" t="s">
        <v>688</v>
      </c>
      <c r="D9713" t="s">
        <v>323</v>
      </c>
      <c r="E9713" t="s">
        <v>304</v>
      </c>
      <c r="F9713" t="s">
        <v>10459</v>
      </c>
      <c r="G9713">
        <v>8</v>
      </c>
      <c r="H9713">
        <v>1155.8200000000002</v>
      </c>
      <c r="I9713">
        <v>144.47999999999999</v>
      </c>
      <c r="J9713">
        <v>2</v>
      </c>
      <c r="K9713">
        <v>248.8</v>
      </c>
      <c r="L9713">
        <v>124.4</v>
      </c>
      <c r="M9713">
        <v>10</v>
      </c>
      <c r="N9713">
        <v>1404.6200000000001</v>
      </c>
      <c r="O9713">
        <v>140.46</v>
      </c>
    </row>
    <row r="9714" spans="1:15" x14ac:dyDescent="0.35">
      <c r="A9714" t="s">
        <v>10434</v>
      </c>
      <c r="B9714" t="s">
        <v>10435</v>
      </c>
      <c r="C9714" t="s">
        <v>688</v>
      </c>
      <c r="D9714" t="s">
        <v>323</v>
      </c>
      <c r="E9714" t="s">
        <v>306</v>
      </c>
      <c r="F9714" t="s">
        <v>10460</v>
      </c>
      <c r="G9714">
        <v>124</v>
      </c>
      <c r="H9714">
        <v>9379.84</v>
      </c>
      <c r="I9714">
        <v>75.64</v>
      </c>
      <c r="J9714">
        <v>174</v>
      </c>
      <c r="K9714">
        <v>13149.179999999998</v>
      </c>
      <c r="L9714">
        <v>75.569999999999993</v>
      </c>
      <c r="M9714">
        <v>298</v>
      </c>
      <c r="N9714">
        <v>22529.019999999997</v>
      </c>
      <c r="O9714">
        <v>75.599999999999994</v>
      </c>
    </row>
    <row r="9715" spans="1:15" x14ac:dyDescent="0.35">
      <c r="A9715" t="s">
        <v>10434</v>
      </c>
      <c r="B9715" t="s">
        <v>10435</v>
      </c>
      <c r="C9715" t="s">
        <v>688</v>
      </c>
      <c r="D9715" t="s">
        <v>323</v>
      </c>
      <c r="E9715" t="s">
        <v>308</v>
      </c>
      <c r="F9715" t="s">
        <v>10461</v>
      </c>
      <c r="G9715">
        <v>1</v>
      </c>
      <c r="H9715">
        <v>109.72</v>
      </c>
      <c r="I9715">
        <v>109.72</v>
      </c>
      <c r="J9715">
        <v>0</v>
      </c>
      <c r="K9715">
        <v>0</v>
      </c>
      <c r="L9715">
        <v>0</v>
      </c>
      <c r="M9715">
        <v>1</v>
      </c>
      <c r="N9715">
        <v>109.72</v>
      </c>
      <c r="O9715">
        <v>109.72</v>
      </c>
    </row>
    <row r="9716" spans="1:15" x14ac:dyDescent="0.35">
      <c r="A9716" t="s">
        <v>10434</v>
      </c>
      <c r="B9716" t="s">
        <v>10435</v>
      </c>
      <c r="C9716" t="s">
        <v>688</v>
      </c>
      <c r="D9716" t="s">
        <v>323</v>
      </c>
      <c r="E9716" t="s">
        <v>310</v>
      </c>
      <c r="F9716" t="s">
        <v>10462</v>
      </c>
      <c r="G9716">
        <v>12622</v>
      </c>
      <c r="H9716">
        <v>1246095.8700000001</v>
      </c>
      <c r="I9716">
        <v>98.72</v>
      </c>
      <c r="J9716">
        <v>35944</v>
      </c>
      <c r="K9716">
        <v>3274007.68</v>
      </c>
      <c r="L9716">
        <v>91.09</v>
      </c>
      <c r="M9716">
        <v>48566</v>
      </c>
      <c r="N9716">
        <v>4520103.5500000007</v>
      </c>
      <c r="O9716">
        <v>93.07</v>
      </c>
    </row>
    <row r="9717" spans="1:15" x14ac:dyDescent="0.35">
      <c r="A9717" t="s">
        <v>10434</v>
      </c>
      <c r="B9717" t="s">
        <v>10435</v>
      </c>
      <c r="C9717" t="s">
        <v>688</v>
      </c>
      <c r="D9717" t="s">
        <v>323</v>
      </c>
      <c r="E9717" t="s">
        <v>312</v>
      </c>
      <c r="F9717" t="s">
        <v>10463</v>
      </c>
      <c r="G9717">
        <v>12621</v>
      </c>
      <c r="H9717">
        <v>1245986.1500000001</v>
      </c>
      <c r="I9717">
        <v>98.72</v>
      </c>
      <c r="J9717">
        <v>35944</v>
      </c>
      <c r="K9717">
        <v>3274007.68</v>
      </c>
      <c r="L9717">
        <v>91.09</v>
      </c>
      <c r="M9717">
        <v>48565</v>
      </c>
      <c r="N9717">
        <v>4519993.83</v>
      </c>
      <c r="O9717">
        <v>93.07</v>
      </c>
    </row>
    <row r="9718" spans="1:15" x14ac:dyDescent="0.35">
      <c r="A9718" t="s">
        <v>10434</v>
      </c>
      <c r="B9718" t="s">
        <v>10435</v>
      </c>
      <c r="C9718" t="s">
        <v>688</v>
      </c>
      <c r="D9718" t="s">
        <v>334</v>
      </c>
      <c r="E9718" t="s">
        <v>312</v>
      </c>
      <c r="F9718" t="s">
        <v>10464</v>
      </c>
      <c r="G9718">
        <v>15511</v>
      </c>
      <c r="H9718">
        <v>1578747.79</v>
      </c>
      <c r="I9718">
        <v>103.49</v>
      </c>
      <c r="J9718">
        <v>36810</v>
      </c>
      <c r="K9718">
        <v>3392846.72</v>
      </c>
      <c r="L9718">
        <v>92.17</v>
      </c>
      <c r="M9718">
        <v>52321</v>
      </c>
      <c r="N9718">
        <v>4971594.51</v>
      </c>
      <c r="O9718">
        <v>95.49</v>
      </c>
    </row>
    <row r="9719" spans="1:15" x14ac:dyDescent="0.35">
      <c r="A9719" t="s">
        <v>10434</v>
      </c>
      <c r="B9719" t="s">
        <v>10435</v>
      </c>
      <c r="C9719" t="s">
        <v>688</v>
      </c>
      <c r="D9719" t="s">
        <v>334</v>
      </c>
      <c r="E9719" t="s">
        <v>308</v>
      </c>
      <c r="F9719" t="s">
        <v>10465</v>
      </c>
      <c r="G9719">
        <v>2</v>
      </c>
      <c r="H9719">
        <v>109.72</v>
      </c>
      <c r="I9719">
        <v>109.72</v>
      </c>
      <c r="J9719">
        <v>0</v>
      </c>
      <c r="K9719">
        <v>0</v>
      </c>
      <c r="L9719">
        <v>0</v>
      </c>
      <c r="M9719">
        <v>2</v>
      </c>
      <c r="N9719">
        <v>109.72</v>
      </c>
      <c r="O9719">
        <v>109.72</v>
      </c>
    </row>
    <row r="9720" spans="1:15" x14ac:dyDescent="0.35">
      <c r="A9720" t="s">
        <v>10434</v>
      </c>
      <c r="B9720" t="s">
        <v>10435</v>
      </c>
      <c r="C9720" t="s">
        <v>688</v>
      </c>
      <c r="D9720" t="s">
        <v>337</v>
      </c>
      <c r="E9720" t="s">
        <v>337</v>
      </c>
      <c r="F9720" t="s">
        <v>10466</v>
      </c>
      <c r="G9720">
        <v>546</v>
      </c>
      <c r="J9720">
        <v>24</v>
      </c>
      <c r="M9720">
        <v>570</v>
      </c>
    </row>
    <row r="9721" spans="1:15" x14ac:dyDescent="0.35">
      <c r="A9721" t="s">
        <v>10434</v>
      </c>
      <c r="B9721" t="s">
        <v>10435</v>
      </c>
      <c r="C9721" t="s">
        <v>688</v>
      </c>
      <c r="D9721" t="s">
        <v>339</v>
      </c>
      <c r="E9721" t="s">
        <v>294</v>
      </c>
      <c r="F9721" t="s">
        <v>10467</v>
      </c>
      <c r="G9721">
        <v>911</v>
      </c>
      <c r="H9721">
        <v>101198.52</v>
      </c>
      <c r="I9721">
        <v>111.09</v>
      </c>
      <c r="J9721">
        <v>783</v>
      </c>
      <c r="K9721">
        <v>62600.850000000006</v>
      </c>
      <c r="L9721">
        <v>79.95</v>
      </c>
      <c r="M9721">
        <v>1694</v>
      </c>
      <c r="N9721">
        <v>163799.37</v>
      </c>
      <c r="O9721">
        <v>96.69</v>
      </c>
    </row>
    <row r="9722" spans="1:15" x14ac:dyDescent="0.35">
      <c r="A9722" t="s">
        <v>10434</v>
      </c>
      <c r="B9722" t="s">
        <v>10435</v>
      </c>
      <c r="C9722" t="s">
        <v>688</v>
      </c>
      <c r="D9722" t="s">
        <v>339</v>
      </c>
      <c r="E9722" t="s">
        <v>296</v>
      </c>
      <c r="F9722" t="s">
        <v>10468</v>
      </c>
      <c r="G9722">
        <v>409</v>
      </c>
      <c r="H9722">
        <v>50993.27</v>
      </c>
      <c r="I9722">
        <v>124.68</v>
      </c>
      <c r="J9722">
        <v>178</v>
      </c>
      <c r="K9722">
        <v>16815.66</v>
      </c>
      <c r="L9722">
        <v>94.47</v>
      </c>
      <c r="M9722">
        <v>587</v>
      </c>
      <c r="N9722">
        <v>67808.929999999993</v>
      </c>
      <c r="O9722">
        <v>115.52</v>
      </c>
    </row>
    <row r="9723" spans="1:15" x14ac:dyDescent="0.35">
      <c r="A9723" t="s">
        <v>10434</v>
      </c>
      <c r="B9723" t="s">
        <v>10435</v>
      </c>
      <c r="C9723" t="s">
        <v>688</v>
      </c>
      <c r="D9723" t="s">
        <v>339</v>
      </c>
      <c r="E9723" t="s">
        <v>298</v>
      </c>
      <c r="F9723" t="s">
        <v>10469</v>
      </c>
      <c r="G9723">
        <v>55</v>
      </c>
      <c r="H9723">
        <v>7849.3999999999987</v>
      </c>
      <c r="I9723">
        <v>142.72</v>
      </c>
      <c r="J9723">
        <v>10</v>
      </c>
      <c r="K9723">
        <v>975.90000000000009</v>
      </c>
      <c r="L9723">
        <v>97.59</v>
      </c>
      <c r="M9723">
        <v>65</v>
      </c>
      <c r="N9723">
        <v>8825.2999999999993</v>
      </c>
      <c r="O9723">
        <v>135.77000000000001</v>
      </c>
    </row>
    <row r="9724" spans="1:15" x14ac:dyDescent="0.35">
      <c r="A9724" t="s">
        <v>10434</v>
      </c>
      <c r="B9724" t="s">
        <v>10435</v>
      </c>
      <c r="C9724" t="s">
        <v>688</v>
      </c>
      <c r="D9724" t="s">
        <v>339</v>
      </c>
      <c r="E9724" t="s">
        <v>300</v>
      </c>
      <c r="F9724" t="s">
        <v>10470</v>
      </c>
      <c r="G9724">
        <v>1</v>
      </c>
      <c r="H9724">
        <v>146.84</v>
      </c>
      <c r="I9724">
        <v>146.84</v>
      </c>
      <c r="J9724">
        <v>0</v>
      </c>
      <c r="K9724">
        <v>0</v>
      </c>
      <c r="L9724">
        <v>0</v>
      </c>
      <c r="M9724">
        <v>1</v>
      </c>
      <c r="N9724">
        <v>146.84</v>
      </c>
      <c r="O9724">
        <v>146.84</v>
      </c>
    </row>
    <row r="9725" spans="1:15" x14ac:dyDescent="0.35">
      <c r="A9725" t="s">
        <v>10434</v>
      </c>
      <c r="B9725" t="s">
        <v>10435</v>
      </c>
      <c r="C9725" t="s">
        <v>688</v>
      </c>
      <c r="D9725" t="s">
        <v>339</v>
      </c>
      <c r="E9725" t="s">
        <v>306</v>
      </c>
      <c r="F9725" t="s">
        <v>10471</v>
      </c>
      <c r="G9725">
        <v>213</v>
      </c>
      <c r="H9725">
        <v>16938.18</v>
      </c>
      <c r="I9725">
        <v>79.52</v>
      </c>
      <c r="J9725">
        <v>175</v>
      </c>
      <c r="K9725">
        <v>12078.5</v>
      </c>
      <c r="L9725">
        <v>69.02</v>
      </c>
      <c r="M9725">
        <v>388</v>
      </c>
      <c r="N9725">
        <v>29016.68</v>
      </c>
      <c r="O9725">
        <v>74.790000000000006</v>
      </c>
    </row>
    <row r="9726" spans="1:15" x14ac:dyDescent="0.35">
      <c r="A9726" t="s">
        <v>10434</v>
      </c>
      <c r="B9726" t="s">
        <v>10435</v>
      </c>
      <c r="C9726" t="s">
        <v>688</v>
      </c>
      <c r="D9726" t="s">
        <v>339</v>
      </c>
      <c r="E9726" t="s">
        <v>308</v>
      </c>
      <c r="F9726" t="s">
        <v>10472</v>
      </c>
      <c r="G9726">
        <v>391</v>
      </c>
      <c r="H9726">
        <v>49960.19</v>
      </c>
      <c r="I9726">
        <v>127.78</v>
      </c>
      <c r="J9726">
        <v>0</v>
      </c>
      <c r="K9726">
        <v>0</v>
      </c>
      <c r="L9726">
        <v>0</v>
      </c>
      <c r="M9726">
        <v>391</v>
      </c>
      <c r="N9726">
        <v>49960.19</v>
      </c>
      <c r="O9726">
        <v>127.78</v>
      </c>
    </row>
    <row r="9727" spans="1:15" x14ac:dyDescent="0.35">
      <c r="A9727" t="s">
        <v>10434</v>
      </c>
      <c r="B9727" t="s">
        <v>10435</v>
      </c>
      <c r="C9727" t="s">
        <v>688</v>
      </c>
      <c r="D9727" t="s">
        <v>339</v>
      </c>
      <c r="E9727" t="s">
        <v>310</v>
      </c>
      <c r="F9727" t="s">
        <v>10473</v>
      </c>
      <c r="G9727">
        <v>1980</v>
      </c>
      <c r="H9727">
        <v>227086.4</v>
      </c>
      <c r="I9727">
        <v>114.69</v>
      </c>
      <c r="J9727">
        <v>1146</v>
      </c>
      <c r="K9727">
        <v>92470.91</v>
      </c>
      <c r="L9727">
        <v>80.69</v>
      </c>
      <c r="M9727">
        <v>3126</v>
      </c>
      <c r="N9727">
        <v>319557.31</v>
      </c>
      <c r="O9727">
        <v>102.23</v>
      </c>
    </row>
    <row r="9728" spans="1:15" x14ac:dyDescent="0.35">
      <c r="A9728" t="s">
        <v>10434</v>
      </c>
      <c r="B9728" t="s">
        <v>10435</v>
      </c>
      <c r="C9728" t="s">
        <v>688</v>
      </c>
      <c r="D9728" t="s">
        <v>339</v>
      </c>
      <c r="E9728" t="s">
        <v>312</v>
      </c>
      <c r="F9728" t="s">
        <v>10474</v>
      </c>
      <c r="G9728">
        <v>1589</v>
      </c>
      <c r="H9728">
        <v>177126.21</v>
      </c>
      <c r="I9728">
        <v>111.47</v>
      </c>
      <c r="J9728">
        <v>1146</v>
      </c>
      <c r="K9728">
        <v>92470.91</v>
      </c>
      <c r="L9728">
        <v>80.69</v>
      </c>
      <c r="M9728">
        <v>2735</v>
      </c>
      <c r="N9728">
        <v>269597.12</v>
      </c>
      <c r="O9728">
        <v>98.57</v>
      </c>
    </row>
    <row r="9729" spans="1:15" x14ac:dyDescent="0.35">
      <c r="A9729" t="s">
        <v>10434</v>
      </c>
      <c r="B9729" t="s">
        <v>10435</v>
      </c>
      <c r="C9729" t="s">
        <v>688</v>
      </c>
      <c r="D9729" t="s">
        <v>348</v>
      </c>
      <c r="E9729" t="s">
        <v>349</v>
      </c>
      <c r="F9729" t="s">
        <v>10475</v>
      </c>
      <c r="G9729">
        <v>2393</v>
      </c>
      <c r="H9729">
        <v>240642.22999999998</v>
      </c>
      <c r="I9729">
        <v>118.84</v>
      </c>
      <c r="J9729">
        <v>1288</v>
      </c>
      <c r="K9729">
        <v>123870.8</v>
      </c>
      <c r="L9729">
        <v>96.17</v>
      </c>
      <c r="M9729">
        <v>3681</v>
      </c>
      <c r="N9729">
        <v>364513.02999999997</v>
      </c>
      <c r="O9729">
        <v>110.03</v>
      </c>
    </row>
    <row r="9730" spans="1:15" x14ac:dyDescent="0.35">
      <c r="A9730" t="s">
        <v>10476</v>
      </c>
      <c r="B9730" t="s">
        <v>10477</v>
      </c>
      <c r="C9730" t="s">
        <v>292</v>
      </c>
      <c r="D9730" t="s">
        <v>293</v>
      </c>
      <c r="E9730" t="s">
        <v>294</v>
      </c>
      <c r="F9730" t="s">
        <v>10478</v>
      </c>
      <c r="G9730">
        <v>127</v>
      </c>
      <c r="H9730">
        <v>13073.52</v>
      </c>
      <c r="I9730">
        <v>102.94</v>
      </c>
      <c r="J9730">
        <v>133</v>
      </c>
      <c r="K9730">
        <v>19568.29</v>
      </c>
      <c r="L9730">
        <v>147.13</v>
      </c>
      <c r="M9730">
        <v>260</v>
      </c>
      <c r="N9730">
        <v>32641.81</v>
      </c>
      <c r="O9730">
        <v>125.55</v>
      </c>
    </row>
    <row r="9731" spans="1:15" x14ac:dyDescent="0.35">
      <c r="A9731" t="s">
        <v>10476</v>
      </c>
      <c r="B9731" t="s">
        <v>10477</v>
      </c>
      <c r="C9731" t="s">
        <v>292</v>
      </c>
      <c r="D9731" t="s">
        <v>293</v>
      </c>
      <c r="E9731" t="s">
        <v>296</v>
      </c>
      <c r="F9731" t="s">
        <v>10479</v>
      </c>
      <c r="G9731">
        <v>792</v>
      </c>
      <c r="H9731">
        <v>98300.89</v>
      </c>
      <c r="I9731">
        <v>124.12</v>
      </c>
      <c r="J9731">
        <v>208</v>
      </c>
      <c r="K9731">
        <v>30869.279999999999</v>
      </c>
      <c r="L9731">
        <v>148.41</v>
      </c>
      <c r="M9731">
        <v>1000</v>
      </c>
      <c r="N9731">
        <v>129170.17</v>
      </c>
      <c r="O9731">
        <v>129.16999999999999</v>
      </c>
    </row>
    <row r="9732" spans="1:15" x14ac:dyDescent="0.35">
      <c r="A9732" t="s">
        <v>10476</v>
      </c>
      <c r="B9732" t="s">
        <v>10477</v>
      </c>
      <c r="C9732" t="s">
        <v>292</v>
      </c>
      <c r="D9732" t="s">
        <v>293</v>
      </c>
      <c r="E9732" t="s">
        <v>298</v>
      </c>
      <c r="F9732" t="s">
        <v>10480</v>
      </c>
      <c r="G9732">
        <v>420</v>
      </c>
      <c r="H9732">
        <v>57690.630000000005</v>
      </c>
      <c r="I9732">
        <v>137.36000000000001</v>
      </c>
      <c r="J9732">
        <v>49</v>
      </c>
      <c r="K9732">
        <v>7972.2999999999993</v>
      </c>
      <c r="L9732">
        <v>162.69999999999999</v>
      </c>
      <c r="M9732">
        <v>469</v>
      </c>
      <c r="N9732">
        <v>65662.930000000008</v>
      </c>
      <c r="O9732">
        <v>140.01</v>
      </c>
    </row>
    <row r="9733" spans="1:15" x14ac:dyDescent="0.35">
      <c r="A9733" t="s">
        <v>10476</v>
      </c>
      <c r="B9733" t="s">
        <v>10477</v>
      </c>
      <c r="C9733" t="s">
        <v>292</v>
      </c>
      <c r="D9733" t="s">
        <v>293</v>
      </c>
      <c r="E9733" t="s">
        <v>300</v>
      </c>
      <c r="F9733" t="s">
        <v>10481</v>
      </c>
      <c r="G9733">
        <v>22</v>
      </c>
      <c r="H9733">
        <v>3517.2500000000005</v>
      </c>
      <c r="I9733">
        <v>159.88</v>
      </c>
      <c r="J9733">
        <v>25</v>
      </c>
      <c r="K9733">
        <v>4759.25</v>
      </c>
      <c r="L9733">
        <v>190.37</v>
      </c>
      <c r="M9733">
        <v>47</v>
      </c>
      <c r="N9733">
        <v>8276.5</v>
      </c>
      <c r="O9733">
        <v>176.1</v>
      </c>
    </row>
    <row r="9734" spans="1:15" x14ac:dyDescent="0.35">
      <c r="A9734" t="s">
        <v>10476</v>
      </c>
      <c r="B9734" t="s">
        <v>10477</v>
      </c>
      <c r="C9734" t="s">
        <v>292</v>
      </c>
      <c r="D9734" t="s">
        <v>293</v>
      </c>
      <c r="E9734" t="s">
        <v>302</v>
      </c>
      <c r="F9734" t="s">
        <v>10482</v>
      </c>
      <c r="G9734">
        <v>3</v>
      </c>
      <c r="H9734">
        <v>536.76</v>
      </c>
      <c r="I9734">
        <v>178.92</v>
      </c>
      <c r="J9734">
        <v>0</v>
      </c>
      <c r="K9734">
        <v>0</v>
      </c>
      <c r="L9734">
        <v>0</v>
      </c>
      <c r="M9734">
        <v>3</v>
      </c>
      <c r="N9734">
        <v>536.76</v>
      </c>
      <c r="O9734">
        <v>178.92</v>
      </c>
    </row>
    <row r="9735" spans="1:15" x14ac:dyDescent="0.35">
      <c r="A9735" t="s">
        <v>10476</v>
      </c>
      <c r="B9735" t="s">
        <v>10477</v>
      </c>
      <c r="C9735" t="s">
        <v>292</v>
      </c>
      <c r="D9735" t="s">
        <v>293</v>
      </c>
      <c r="E9735" t="s">
        <v>304</v>
      </c>
      <c r="F9735" t="s">
        <v>10483</v>
      </c>
      <c r="G9735">
        <v>0</v>
      </c>
      <c r="H9735">
        <v>0</v>
      </c>
      <c r="I9735">
        <v>0</v>
      </c>
      <c r="J9735">
        <v>0</v>
      </c>
      <c r="K9735">
        <v>0</v>
      </c>
      <c r="L9735">
        <v>0</v>
      </c>
      <c r="M9735">
        <v>0</v>
      </c>
      <c r="N9735">
        <v>0</v>
      </c>
      <c r="O9735">
        <v>0</v>
      </c>
    </row>
    <row r="9736" spans="1:15" x14ac:dyDescent="0.35">
      <c r="A9736" t="s">
        <v>10476</v>
      </c>
      <c r="B9736" t="s">
        <v>10477</v>
      </c>
      <c r="C9736" t="s">
        <v>292</v>
      </c>
      <c r="D9736" t="s">
        <v>293</v>
      </c>
      <c r="E9736" t="s">
        <v>306</v>
      </c>
      <c r="F9736" t="s">
        <v>10484</v>
      </c>
      <c r="G9736">
        <v>1</v>
      </c>
      <c r="H9736">
        <v>117.43</v>
      </c>
      <c r="I9736">
        <v>117.43</v>
      </c>
      <c r="J9736">
        <v>0</v>
      </c>
      <c r="K9736">
        <v>0</v>
      </c>
      <c r="L9736">
        <v>0</v>
      </c>
      <c r="M9736">
        <v>1</v>
      </c>
      <c r="N9736">
        <v>117.43</v>
      </c>
      <c r="O9736">
        <v>117.43</v>
      </c>
    </row>
    <row r="9737" spans="1:15" x14ac:dyDescent="0.35">
      <c r="A9737" t="s">
        <v>10476</v>
      </c>
      <c r="B9737" t="s">
        <v>10477</v>
      </c>
      <c r="C9737" t="s">
        <v>292</v>
      </c>
      <c r="D9737" t="s">
        <v>293</v>
      </c>
      <c r="E9737" t="s">
        <v>308</v>
      </c>
      <c r="F9737" t="s">
        <v>10485</v>
      </c>
      <c r="G9737">
        <v>0</v>
      </c>
      <c r="H9737">
        <v>0</v>
      </c>
      <c r="I9737">
        <v>0</v>
      </c>
      <c r="J9737">
        <v>0</v>
      </c>
      <c r="K9737">
        <v>0</v>
      </c>
      <c r="L9737">
        <v>0</v>
      </c>
      <c r="M9737">
        <v>0</v>
      </c>
      <c r="N9737">
        <v>0</v>
      </c>
      <c r="O9737">
        <v>0</v>
      </c>
    </row>
    <row r="9738" spans="1:15" x14ac:dyDescent="0.35">
      <c r="A9738" t="s">
        <v>10476</v>
      </c>
      <c r="B9738" t="s">
        <v>10477</v>
      </c>
      <c r="C9738" t="s">
        <v>292</v>
      </c>
      <c r="D9738" t="s">
        <v>293</v>
      </c>
      <c r="E9738" t="s">
        <v>310</v>
      </c>
      <c r="F9738" t="s">
        <v>10486</v>
      </c>
      <c r="G9738">
        <v>1365</v>
      </c>
      <c r="H9738">
        <v>173236.48000000001</v>
      </c>
      <c r="I9738">
        <v>126.91</v>
      </c>
      <c r="J9738">
        <v>415</v>
      </c>
      <c r="K9738">
        <v>63169.119999999995</v>
      </c>
      <c r="L9738">
        <v>152.21</v>
      </c>
      <c r="M9738">
        <v>1780</v>
      </c>
      <c r="N9738">
        <v>236405.6</v>
      </c>
      <c r="O9738">
        <v>132.81</v>
      </c>
    </row>
    <row r="9739" spans="1:15" x14ac:dyDescent="0.35">
      <c r="A9739" t="s">
        <v>10476</v>
      </c>
      <c r="B9739" t="s">
        <v>10477</v>
      </c>
      <c r="C9739" t="s">
        <v>292</v>
      </c>
      <c r="D9739" t="s">
        <v>293</v>
      </c>
      <c r="E9739" t="s">
        <v>312</v>
      </c>
      <c r="F9739" t="s">
        <v>10487</v>
      </c>
      <c r="G9739">
        <v>1365</v>
      </c>
      <c r="H9739">
        <v>173236.48000000001</v>
      </c>
      <c r="I9739">
        <v>126.91</v>
      </c>
      <c r="J9739">
        <v>415</v>
      </c>
      <c r="K9739">
        <v>63169.119999999995</v>
      </c>
      <c r="L9739">
        <v>152.21</v>
      </c>
      <c r="M9739">
        <v>1780</v>
      </c>
      <c r="N9739">
        <v>236405.6</v>
      </c>
      <c r="O9739">
        <v>132.81</v>
      </c>
    </row>
    <row r="9740" spans="1:15" x14ac:dyDescent="0.35">
      <c r="A9740" t="s">
        <v>10476</v>
      </c>
      <c r="B9740" t="s">
        <v>10477</v>
      </c>
      <c r="C9740" t="s">
        <v>292</v>
      </c>
      <c r="D9740" t="s">
        <v>314</v>
      </c>
      <c r="E9740" t="s">
        <v>294</v>
      </c>
      <c r="F9740" t="s">
        <v>10488</v>
      </c>
      <c r="G9740">
        <v>139</v>
      </c>
      <c r="H9740">
        <v>34761.379999999997</v>
      </c>
      <c r="I9740">
        <v>250.08</v>
      </c>
      <c r="J9740">
        <v>328</v>
      </c>
      <c r="K9740">
        <v>68269.919999999998</v>
      </c>
      <c r="L9740">
        <v>208.14</v>
      </c>
      <c r="M9740">
        <v>467</v>
      </c>
      <c r="N9740">
        <v>103031.29999999999</v>
      </c>
      <c r="O9740">
        <v>220.62</v>
      </c>
    </row>
    <row r="9741" spans="1:15" x14ac:dyDescent="0.35">
      <c r="A9741" t="s">
        <v>10476</v>
      </c>
      <c r="B9741" t="s">
        <v>10477</v>
      </c>
      <c r="C9741" t="s">
        <v>292</v>
      </c>
      <c r="D9741" t="s">
        <v>314</v>
      </c>
      <c r="E9741" t="s">
        <v>296</v>
      </c>
      <c r="F9741" t="s">
        <v>10489</v>
      </c>
      <c r="G9741">
        <v>185</v>
      </c>
      <c r="H9741">
        <v>42182.36</v>
      </c>
      <c r="I9741">
        <v>228.01</v>
      </c>
      <c r="J9741">
        <v>239</v>
      </c>
      <c r="K9741">
        <v>51052.79</v>
      </c>
      <c r="L9741">
        <v>213.61</v>
      </c>
      <c r="M9741">
        <v>424</v>
      </c>
      <c r="N9741">
        <v>93235.15</v>
      </c>
      <c r="O9741">
        <v>219.89</v>
      </c>
    </row>
    <row r="9742" spans="1:15" x14ac:dyDescent="0.35">
      <c r="A9742" t="s">
        <v>10476</v>
      </c>
      <c r="B9742" t="s">
        <v>10477</v>
      </c>
      <c r="C9742" t="s">
        <v>292</v>
      </c>
      <c r="D9742" t="s">
        <v>314</v>
      </c>
      <c r="E9742" t="s">
        <v>298</v>
      </c>
      <c r="F9742" t="s">
        <v>10490</v>
      </c>
      <c r="G9742">
        <v>0</v>
      </c>
      <c r="H9742">
        <v>0</v>
      </c>
      <c r="I9742">
        <v>0</v>
      </c>
      <c r="J9742">
        <v>6</v>
      </c>
      <c r="K9742">
        <v>1070.94</v>
      </c>
      <c r="L9742">
        <v>178.49</v>
      </c>
      <c r="M9742">
        <v>6</v>
      </c>
      <c r="N9742">
        <v>1070.94</v>
      </c>
      <c r="O9742">
        <v>178.49</v>
      </c>
    </row>
    <row r="9743" spans="1:15" x14ac:dyDescent="0.35">
      <c r="A9743" t="s">
        <v>10476</v>
      </c>
      <c r="B9743" t="s">
        <v>10477</v>
      </c>
      <c r="C9743" t="s">
        <v>292</v>
      </c>
      <c r="D9743" t="s">
        <v>314</v>
      </c>
      <c r="E9743" t="s">
        <v>300</v>
      </c>
      <c r="F9743" t="s">
        <v>10491</v>
      </c>
      <c r="G9743">
        <v>0</v>
      </c>
      <c r="H9743">
        <v>0</v>
      </c>
      <c r="I9743">
        <v>0</v>
      </c>
      <c r="J9743">
        <v>0</v>
      </c>
      <c r="K9743">
        <v>0</v>
      </c>
      <c r="L9743">
        <v>0</v>
      </c>
      <c r="M9743">
        <v>0</v>
      </c>
      <c r="N9743">
        <v>0</v>
      </c>
      <c r="O9743">
        <v>0</v>
      </c>
    </row>
    <row r="9744" spans="1:15" x14ac:dyDescent="0.35">
      <c r="A9744" t="s">
        <v>10476</v>
      </c>
      <c r="B9744" t="s">
        <v>10477</v>
      </c>
      <c r="C9744" t="s">
        <v>292</v>
      </c>
      <c r="D9744" t="s">
        <v>314</v>
      </c>
      <c r="E9744" t="s">
        <v>306</v>
      </c>
      <c r="F9744" t="s">
        <v>10492</v>
      </c>
      <c r="G9744">
        <v>0</v>
      </c>
      <c r="H9744">
        <v>0</v>
      </c>
      <c r="I9744">
        <v>0</v>
      </c>
      <c r="J9744">
        <v>0</v>
      </c>
      <c r="K9744">
        <v>0</v>
      </c>
      <c r="L9744">
        <v>0</v>
      </c>
      <c r="M9744">
        <v>0</v>
      </c>
      <c r="N9744">
        <v>0</v>
      </c>
      <c r="O9744">
        <v>0</v>
      </c>
    </row>
    <row r="9745" spans="1:15" x14ac:dyDescent="0.35">
      <c r="A9745" t="s">
        <v>10476</v>
      </c>
      <c r="B9745" t="s">
        <v>10477</v>
      </c>
      <c r="C9745" t="s">
        <v>292</v>
      </c>
      <c r="D9745" t="s">
        <v>314</v>
      </c>
      <c r="E9745" t="s">
        <v>308</v>
      </c>
      <c r="F9745" t="s">
        <v>10493</v>
      </c>
      <c r="G9745">
        <v>25</v>
      </c>
      <c r="H9745">
        <v>6953</v>
      </c>
      <c r="I9745">
        <v>278.12</v>
      </c>
      <c r="J9745">
        <v>0</v>
      </c>
      <c r="K9745">
        <v>0</v>
      </c>
      <c r="L9745">
        <v>0</v>
      </c>
      <c r="M9745">
        <v>25</v>
      </c>
      <c r="N9745">
        <v>6953</v>
      </c>
      <c r="O9745">
        <v>278.12</v>
      </c>
    </row>
    <row r="9746" spans="1:15" x14ac:dyDescent="0.35">
      <c r="A9746" t="s">
        <v>10476</v>
      </c>
      <c r="B9746" t="s">
        <v>10477</v>
      </c>
      <c r="C9746" t="s">
        <v>292</v>
      </c>
      <c r="D9746" t="s">
        <v>314</v>
      </c>
      <c r="E9746" t="s">
        <v>312</v>
      </c>
      <c r="F9746" t="s">
        <v>10494</v>
      </c>
      <c r="G9746">
        <v>324</v>
      </c>
      <c r="H9746">
        <v>76943.739999999991</v>
      </c>
      <c r="I9746">
        <v>237.48</v>
      </c>
      <c r="J9746">
        <v>573</v>
      </c>
      <c r="K9746">
        <v>120393.65</v>
      </c>
      <c r="L9746">
        <v>210.11</v>
      </c>
      <c r="M9746">
        <v>897</v>
      </c>
      <c r="N9746">
        <v>197337.38999999998</v>
      </c>
      <c r="O9746">
        <v>220</v>
      </c>
    </row>
    <row r="9747" spans="1:15" x14ac:dyDescent="0.35">
      <c r="A9747" t="s">
        <v>10476</v>
      </c>
      <c r="B9747" t="s">
        <v>10477</v>
      </c>
      <c r="C9747" t="s">
        <v>292</v>
      </c>
      <c r="D9747" t="s">
        <v>314</v>
      </c>
      <c r="E9747" t="s">
        <v>310</v>
      </c>
      <c r="F9747" t="s">
        <v>10495</v>
      </c>
      <c r="G9747">
        <v>349</v>
      </c>
      <c r="H9747">
        <v>83896.739999999991</v>
      </c>
      <c r="I9747">
        <v>240.39</v>
      </c>
      <c r="J9747">
        <v>573</v>
      </c>
      <c r="K9747">
        <v>120393.65</v>
      </c>
      <c r="L9747">
        <v>210.11</v>
      </c>
      <c r="M9747">
        <v>922</v>
      </c>
      <c r="N9747">
        <v>204290.38999999998</v>
      </c>
      <c r="O9747">
        <v>221.57</v>
      </c>
    </row>
    <row r="9748" spans="1:15" x14ac:dyDescent="0.35">
      <c r="A9748" t="s">
        <v>10476</v>
      </c>
      <c r="B9748" t="s">
        <v>10477</v>
      </c>
      <c r="C9748" t="s">
        <v>292</v>
      </c>
      <c r="D9748" t="s">
        <v>323</v>
      </c>
      <c r="E9748" t="s">
        <v>294</v>
      </c>
      <c r="F9748" t="s">
        <v>10496</v>
      </c>
      <c r="G9748">
        <v>1919</v>
      </c>
      <c r="H9748">
        <v>170217.44</v>
      </c>
      <c r="I9748">
        <v>88.7</v>
      </c>
      <c r="J9748">
        <v>4324</v>
      </c>
      <c r="K9748">
        <v>345703.8</v>
      </c>
      <c r="L9748">
        <v>79.95</v>
      </c>
      <c r="M9748">
        <v>6243</v>
      </c>
      <c r="N9748">
        <v>515921.24</v>
      </c>
      <c r="O9748">
        <v>82.64</v>
      </c>
    </row>
    <row r="9749" spans="1:15" x14ac:dyDescent="0.35">
      <c r="A9749" t="s">
        <v>10476</v>
      </c>
      <c r="B9749" t="s">
        <v>10477</v>
      </c>
      <c r="C9749" t="s">
        <v>292</v>
      </c>
      <c r="D9749" t="s">
        <v>323</v>
      </c>
      <c r="E9749" t="s">
        <v>296</v>
      </c>
      <c r="F9749" t="s">
        <v>10497</v>
      </c>
      <c r="G9749">
        <v>1955</v>
      </c>
      <c r="H9749">
        <v>190681.2</v>
      </c>
      <c r="I9749">
        <v>97.54</v>
      </c>
      <c r="J9749">
        <v>9168</v>
      </c>
      <c r="K9749">
        <v>831079.20000000007</v>
      </c>
      <c r="L9749">
        <v>90.65</v>
      </c>
      <c r="M9749">
        <v>11123</v>
      </c>
      <c r="N9749">
        <v>1021760.4000000001</v>
      </c>
      <c r="O9749">
        <v>91.86</v>
      </c>
    </row>
    <row r="9750" spans="1:15" x14ac:dyDescent="0.35">
      <c r="A9750" t="s">
        <v>10476</v>
      </c>
      <c r="B9750" t="s">
        <v>10477</v>
      </c>
      <c r="C9750" t="s">
        <v>292</v>
      </c>
      <c r="D9750" t="s">
        <v>323</v>
      </c>
      <c r="E9750" t="s">
        <v>298</v>
      </c>
      <c r="F9750" t="s">
        <v>10498</v>
      </c>
      <c r="G9750">
        <v>1420</v>
      </c>
      <c r="H9750">
        <v>149684.54</v>
      </c>
      <c r="I9750">
        <v>105.41</v>
      </c>
      <c r="J9750">
        <v>9055</v>
      </c>
      <c r="K9750">
        <v>913377.85000000009</v>
      </c>
      <c r="L9750">
        <v>100.87</v>
      </c>
      <c r="M9750">
        <v>10475</v>
      </c>
      <c r="N9750">
        <v>1063062.3900000001</v>
      </c>
      <c r="O9750">
        <v>101.49</v>
      </c>
    </row>
    <row r="9751" spans="1:15" x14ac:dyDescent="0.35">
      <c r="A9751" t="s">
        <v>10476</v>
      </c>
      <c r="B9751" t="s">
        <v>10477</v>
      </c>
      <c r="C9751" t="s">
        <v>292</v>
      </c>
      <c r="D9751" t="s">
        <v>323</v>
      </c>
      <c r="E9751" t="s">
        <v>300</v>
      </c>
      <c r="F9751" t="s">
        <v>10499</v>
      </c>
      <c r="G9751">
        <v>171</v>
      </c>
      <c r="H9751">
        <v>19556.96</v>
      </c>
      <c r="I9751">
        <v>114.37</v>
      </c>
      <c r="J9751">
        <v>466</v>
      </c>
      <c r="K9751">
        <v>50831.28</v>
      </c>
      <c r="L9751">
        <v>109.08</v>
      </c>
      <c r="M9751">
        <v>637</v>
      </c>
      <c r="N9751">
        <v>70388.239999999991</v>
      </c>
      <c r="O9751">
        <v>110.5</v>
      </c>
    </row>
    <row r="9752" spans="1:15" x14ac:dyDescent="0.35">
      <c r="A9752" t="s">
        <v>10476</v>
      </c>
      <c r="B9752" t="s">
        <v>10477</v>
      </c>
      <c r="C9752" t="s">
        <v>292</v>
      </c>
      <c r="D9752" t="s">
        <v>323</v>
      </c>
      <c r="E9752" t="s">
        <v>302</v>
      </c>
      <c r="F9752" t="s">
        <v>10500</v>
      </c>
      <c r="G9752">
        <v>13</v>
      </c>
      <c r="H9752">
        <v>1746.7400000000002</v>
      </c>
      <c r="I9752">
        <v>134.36000000000001</v>
      </c>
      <c r="J9752">
        <v>58</v>
      </c>
      <c r="K9752">
        <v>6684.5</v>
      </c>
      <c r="L9752">
        <v>115.25</v>
      </c>
      <c r="M9752">
        <v>71</v>
      </c>
      <c r="N9752">
        <v>8431.24</v>
      </c>
      <c r="O9752">
        <v>118.75</v>
      </c>
    </row>
    <row r="9753" spans="1:15" x14ac:dyDescent="0.35">
      <c r="A9753" t="s">
        <v>10476</v>
      </c>
      <c r="B9753" t="s">
        <v>10477</v>
      </c>
      <c r="C9753" t="s">
        <v>292</v>
      </c>
      <c r="D9753" t="s">
        <v>323</v>
      </c>
      <c r="E9753" t="s">
        <v>304</v>
      </c>
      <c r="F9753" t="s">
        <v>10501</v>
      </c>
      <c r="G9753">
        <v>5</v>
      </c>
      <c r="H9753">
        <v>669.34999999999991</v>
      </c>
      <c r="I9753">
        <v>133.87</v>
      </c>
      <c r="J9753">
        <v>18</v>
      </c>
      <c r="K9753">
        <v>2362.14</v>
      </c>
      <c r="L9753">
        <v>131.22999999999999</v>
      </c>
      <c r="M9753">
        <v>23</v>
      </c>
      <c r="N9753">
        <v>3031.49</v>
      </c>
      <c r="O9753">
        <v>131.80000000000001</v>
      </c>
    </row>
    <row r="9754" spans="1:15" x14ac:dyDescent="0.35">
      <c r="A9754" t="s">
        <v>10476</v>
      </c>
      <c r="B9754" t="s">
        <v>10477</v>
      </c>
      <c r="C9754" t="s">
        <v>292</v>
      </c>
      <c r="D9754" t="s">
        <v>323</v>
      </c>
      <c r="E9754" t="s">
        <v>306</v>
      </c>
      <c r="F9754" t="s">
        <v>10502</v>
      </c>
      <c r="G9754">
        <v>159</v>
      </c>
      <c r="H9754">
        <v>12530.45</v>
      </c>
      <c r="I9754">
        <v>78.81</v>
      </c>
      <c r="J9754">
        <v>60</v>
      </c>
      <c r="K9754">
        <v>4422.5999999999995</v>
      </c>
      <c r="L9754">
        <v>73.709999999999994</v>
      </c>
      <c r="M9754">
        <v>219</v>
      </c>
      <c r="N9754">
        <v>16953.05</v>
      </c>
      <c r="O9754">
        <v>77.41</v>
      </c>
    </row>
    <row r="9755" spans="1:15" x14ac:dyDescent="0.35">
      <c r="A9755" t="s">
        <v>10476</v>
      </c>
      <c r="B9755" t="s">
        <v>10477</v>
      </c>
      <c r="C9755" t="s">
        <v>292</v>
      </c>
      <c r="D9755" t="s">
        <v>323</v>
      </c>
      <c r="E9755" t="s">
        <v>308</v>
      </c>
      <c r="F9755" t="s">
        <v>10503</v>
      </c>
      <c r="G9755">
        <v>0</v>
      </c>
      <c r="H9755">
        <v>0</v>
      </c>
      <c r="I9755">
        <v>0</v>
      </c>
      <c r="J9755">
        <v>0</v>
      </c>
      <c r="K9755">
        <v>0</v>
      </c>
      <c r="L9755">
        <v>0</v>
      </c>
      <c r="M9755">
        <v>0</v>
      </c>
      <c r="N9755">
        <v>0</v>
      </c>
      <c r="O9755">
        <v>0</v>
      </c>
    </row>
    <row r="9756" spans="1:15" x14ac:dyDescent="0.35">
      <c r="A9756" t="s">
        <v>10476</v>
      </c>
      <c r="B9756" t="s">
        <v>10477</v>
      </c>
      <c r="C9756" t="s">
        <v>292</v>
      </c>
      <c r="D9756" t="s">
        <v>323</v>
      </c>
      <c r="E9756" t="s">
        <v>310</v>
      </c>
      <c r="F9756" t="s">
        <v>10504</v>
      </c>
      <c r="G9756">
        <v>5642</v>
      </c>
      <c r="H9756">
        <v>545086.67999999993</v>
      </c>
      <c r="I9756">
        <v>96.61</v>
      </c>
      <c r="J9756">
        <v>23149</v>
      </c>
      <c r="K9756">
        <v>2154461.37</v>
      </c>
      <c r="L9756">
        <v>93.07</v>
      </c>
      <c r="M9756">
        <v>28791</v>
      </c>
      <c r="N9756">
        <v>2699548.05</v>
      </c>
      <c r="O9756">
        <v>93.76</v>
      </c>
    </row>
    <row r="9757" spans="1:15" x14ac:dyDescent="0.35">
      <c r="A9757" t="s">
        <v>10476</v>
      </c>
      <c r="B9757" t="s">
        <v>10477</v>
      </c>
      <c r="C9757" t="s">
        <v>292</v>
      </c>
      <c r="D9757" t="s">
        <v>323</v>
      </c>
      <c r="E9757" t="s">
        <v>312</v>
      </c>
      <c r="F9757" t="s">
        <v>10505</v>
      </c>
      <c r="G9757">
        <v>5642</v>
      </c>
      <c r="H9757">
        <v>545086.67999999993</v>
      </c>
      <c r="I9757">
        <v>96.61</v>
      </c>
      <c r="J9757">
        <v>23149</v>
      </c>
      <c r="K9757">
        <v>2154461.37</v>
      </c>
      <c r="L9757">
        <v>93.07</v>
      </c>
      <c r="M9757">
        <v>28791</v>
      </c>
      <c r="N9757">
        <v>2699548.05</v>
      </c>
      <c r="O9757">
        <v>93.76</v>
      </c>
    </row>
    <row r="9758" spans="1:15" x14ac:dyDescent="0.35">
      <c r="A9758" t="s">
        <v>10476</v>
      </c>
      <c r="B9758" t="s">
        <v>10477</v>
      </c>
      <c r="C9758" t="s">
        <v>292</v>
      </c>
      <c r="D9758" t="s">
        <v>334</v>
      </c>
      <c r="E9758" t="s">
        <v>312</v>
      </c>
      <c r="F9758" t="s">
        <v>10506</v>
      </c>
      <c r="G9758">
        <v>7490</v>
      </c>
      <c r="H9758">
        <v>718323.16</v>
      </c>
      <c r="I9758">
        <v>102.52</v>
      </c>
      <c r="J9758">
        <v>23564</v>
      </c>
      <c r="K9758">
        <v>2217630.4900000002</v>
      </c>
      <c r="L9758">
        <v>94.11</v>
      </c>
      <c r="M9758">
        <v>31054</v>
      </c>
      <c r="N9758">
        <v>2935953.6500000004</v>
      </c>
      <c r="O9758">
        <v>96.04</v>
      </c>
    </row>
    <row r="9759" spans="1:15" x14ac:dyDescent="0.35">
      <c r="A9759" t="s">
        <v>10476</v>
      </c>
      <c r="B9759" t="s">
        <v>10477</v>
      </c>
      <c r="C9759" t="s">
        <v>292</v>
      </c>
      <c r="D9759" t="s">
        <v>334</v>
      </c>
      <c r="E9759" t="s">
        <v>308</v>
      </c>
      <c r="F9759" t="s">
        <v>10507</v>
      </c>
      <c r="G9759">
        <v>131</v>
      </c>
      <c r="H9759">
        <v>0</v>
      </c>
      <c r="I9759">
        <v>0</v>
      </c>
      <c r="J9759">
        <v>0</v>
      </c>
      <c r="K9759">
        <v>0</v>
      </c>
      <c r="L9759">
        <v>0</v>
      </c>
      <c r="M9759">
        <v>131</v>
      </c>
      <c r="N9759">
        <v>0</v>
      </c>
      <c r="O9759">
        <v>0</v>
      </c>
    </row>
    <row r="9760" spans="1:15" x14ac:dyDescent="0.35">
      <c r="A9760" t="s">
        <v>10476</v>
      </c>
      <c r="B9760" t="s">
        <v>10477</v>
      </c>
      <c r="C9760" t="s">
        <v>292</v>
      </c>
      <c r="D9760" t="s">
        <v>337</v>
      </c>
      <c r="E9760" t="s">
        <v>337</v>
      </c>
      <c r="F9760" t="s">
        <v>10508</v>
      </c>
      <c r="G9760">
        <v>490</v>
      </c>
      <c r="J9760">
        <v>0</v>
      </c>
      <c r="M9760">
        <v>490</v>
      </c>
    </row>
    <row r="9761" spans="1:15" x14ac:dyDescent="0.35">
      <c r="A9761" t="s">
        <v>10476</v>
      </c>
      <c r="B9761" t="s">
        <v>10477</v>
      </c>
      <c r="C9761" t="s">
        <v>292</v>
      </c>
      <c r="D9761" t="s">
        <v>339</v>
      </c>
      <c r="E9761" t="s">
        <v>294</v>
      </c>
      <c r="F9761" t="s">
        <v>10509</v>
      </c>
      <c r="G9761">
        <v>1264</v>
      </c>
      <c r="H9761">
        <v>126376.31999999999</v>
      </c>
      <c r="I9761">
        <v>99.98</v>
      </c>
      <c r="J9761">
        <v>452</v>
      </c>
      <c r="K9761">
        <v>36485.440000000002</v>
      </c>
      <c r="L9761">
        <v>80.72</v>
      </c>
      <c r="M9761">
        <v>1716</v>
      </c>
      <c r="N9761">
        <v>162861.76000000001</v>
      </c>
      <c r="O9761">
        <v>94.91</v>
      </c>
    </row>
    <row r="9762" spans="1:15" x14ac:dyDescent="0.35">
      <c r="A9762" t="s">
        <v>10476</v>
      </c>
      <c r="B9762" t="s">
        <v>10477</v>
      </c>
      <c r="C9762" t="s">
        <v>292</v>
      </c>
      <c r="D9762" t="s">
        <v>339</v>
      </c>
      <c r="E9762" t="s">
        <v>296</v>
      </c>
      <c r="F9762" t="s">
        <v>10510</v>
      </c>
      <c r="G9762">
        <v>334</v>
      </c>
      <c r="H9762">
        <v>38292.299999999996</v>
      </c>
      <c r="I9762">
        <v>114.65</v>
      </c>
      <c r="J9762">
        <v>61</v>
      </c>
      <c r="K9762">
        <v>5476.58</v>
      </c>
      <c r="L9762">
        <v>89.78</v>
      </c>
      <c r="M9762">
        <v>395</v>
      </c>
      <c r="N9762">
        <v>43768.88</v>
      </c>
      <c r="O9762">
        <v>110.81</v>
      </c>
    </row>
    <row r="9763" spans="1:15" x14ac:dyDescent="0.35">
      <c r="A9763" t="s">
        <v>10476</v>
      </c>
      <c r="B9763" t="s">
        <v>10477</v>
      </c>
      <c r="C9763" t="s">
        <v>292</v>
      </c>
      <c r="D9763" t="s">
        <v>339</v>
      </c>
      <c r="E9763" t="s">
        <v>298</v>
      </c>
      <c r="F9763" t="s">
        <v>10511</v>
      </c>
      <c r="G9763">
        <v>34</v>
      </c>
      <c r="H9763">
        <v>5082.4999999999991</v>
      </c>
      <c r="I9763">
        <v>149.49</v>
      </c>
      <c r="J9763">
        <v>5</v>
      </c>
      <c r="K9763">
        <v>480.15</v>
      </c>
      <c r="L9763">
        <v>96.03</v>
      </c>
      <c r="M9763">
        <v>39</v>
      </c>
      <c r="N9763">
        <v>5562.6499999999987</v>
      </c>
      <c r="O9763">
        <v>142.63</v>
      </c>
    </row>
    <row r="9764" spans="1:15" x14ac:dyDescent="0.35">
      <c r="A9764" t="s">
        <v>10476</v>
      </c>
      <c r="B9764" t="s">
        <v>10477</v>
      </c>
      <c r="C9764" t="s">
        <v>292</v>
      </c>
      <c r="D9764" t="s">
        <v>339</v>
      </c>
      <c r="E9764" t="s">
        <v>300</v>
      </c>
      <c r="F9764" t="s">
        <v>10512</v>
      </c>
      <c r="G9764">
        <v>4</v>
      </c>
      <c r="H9764">
        <v>780.06</v>
      </c>
      <c r="I9764">
        <v>195.02</v>
      </c>
      <c r="J9764">
        <v>0</v>
      </c>
      <c r="K9764">
        <v>0</v>
      </c>
      <c r="L9764">
        <v>0</v>
      </c>
      <c r="M9764">
        <v>4</v>
      </c>
      <c r="N9764">
        <v>780.06</v>
      </c>
      <c r="O9764">
        <v>195.02</v>
      </c>
    </row>
    <row r="9765" spans="1:15" x14ac:dyDescent="0.35">
      <c r="A9765" t="s">
        <v>10476</v>
      </c>
      <c r="B9765" t="s">
        <v>10477</v>
      </c>
      <c r="C9765" t="s">
        <v>292</v>
      </c>
      <c r="D9765" t="s">
        <v>339</v>
      </c>
      <c r="E9765" t="s">
        <v>306</v>
      </c>
      <c r="F9765" t="s">
        <v>10513</v>
      </c>
      <c r="G9765">
        <v>223</v>
      </c>
      <c r="H9765">
        <v>18946.349999999999</v>
      </c>
      <c r="I9765">
        <v>84.96</v>
      </c>
      <c r="J9765">
        <v>26</v>
      </c>
      <c r="K9765">
        <v>1863.42</v>
      </c>
      <c r="L9765">
        <v>71.67</v>
      </c>
      <c r="M9765">
        <v>249</v>
      </c>
      <c r="N9765">
        <v>20809.769999999997</v>
      </c>
      <c r="O9765">
        <v>83.57</v>
      </c>
    </row>
    <row r="9766" spans="1:15" x14ac:dyDescent="0.35">
      <c r="A9766" t="s">
        <v>10476</v>
      </c>
      <c r="B9766" t="s">
        <v>10477</v>
      </c>
      <c r="C9766" t="s">
        <v>292</v>
      </c>
      <c r="D9766" t="s">
        <v>339</v>
      </c>
      <c r="E9766" t="s">
        <v>308</v>
      </c>
      <c r="F9766" t="s">
        <v>10514</v>
      </c>
      <c r="G9766">
        <v>432</v>
      </c>
      <c r="H9766">
        <v>51597.170000000006</v>
      </c>
      <c r="I9766">
        <v>119.44</v>
      </c>
      <c r="J9766">
        <v>0</v>
      </c>
      <c r="K9766">
        <v>0</v>
      </c>
      <c r="L9766">
        <v>0</v>
      </c>
      <c r="M9766">
        <v>432</v>
      </c>
      <c r="N9766">
        <v>51597.170000000006</v>
      </c>
      <c r="O9766">
        <v>119.44</v>
      </c>
    </row>
    <row r="9767" spans="1:15" x14ac:dyDescent="0.35">
      <c r="A9767" t="s">
        <v>10476</v>
      </c>
      <c r="B9767" t="s">
        <v>10477</v>
      </c>
      <c r="C9767" t="s">
        <v>292</v>
      </c>
      <c r="D9767" t="s">
        <v>339</v>
      </c>
      <c r="E9767" t="s">
        <v>310</v>
      </c>
      <c r="F9767" t="s">
        <v>10515</v>
      </c>
      <c r="G9767">
        <v>2291</v>
      </c>
      <c r="H9767">
        <v>241074.7</v>
      </c>
      <c r="I9767">
        <v>105.23</v>
      </c>
      <c r="J9767">
        <v>544</v>
      </c>
      <c r="K9767">
        <v>44305.590000000004</v>
      </c>
      <c r="L9767">
        <v>81.44</v>
      </c>
      <c r="M9767">
        <v>2835</v>
      </c>
      <c r="N9767">
        <v>285380.29000000004</v>
      </c>
      <c r="O9767">
        <v>100.66</v>
      </c>
    </row>
    <row r="9768" spans="1:15" x14ac:dyDescent="0.35">
      <c r="A9768" t="s">
        <v>10476</v>
      </c>
      <c r="B9768" t="s">
        <v>10477</v>
      </c>
      <c r="C9768" t="s">
        <v>292</v>
      </c>
      <c r="D9768" t="s">
        <v>339</v>
      </c>
      <c r="E9768" t="s">
        <v>312</v>
      </c>
      <c r="F9768" t="s">
        <v>10516</v>
      </c>
      <c r="G9768">
        <v>1859</v>
      </c>
      <c r="H9768">
        <v>189477.53</v>
      </c>
      <c r="I9768">
        <v>101.92</v>
      </c>
      <c r="J9768">
        <v>544</v>
      </c>
      <c r="K9768">
        <v>44305.590000000004</v>
      </c>
      <c r="L9768">
        <v>81.44</v>
      </c>
      <c r="M9768">
        <v>2403</v>
      </c>
      <c r="N9768">
        <v>233783.12</v>
      </c>
      <c r="O9768">
        <v>97.29</v>
      </c>
    </row>
    <row r="9769" spans="1:15" x14ac:dyDescent="0.35">
      <c r="A9769" t="s">
        <v>10476</v>
      </c>
      <c r="B9769" t="s">
        <v>10477</v>
      </c>
      <c r="C9769" t="s">
        <v>292</v>
      </c>
      <c r="D9769" t="s">
        <v>348</v>
      </c>
      <c r="E9769" t="s">
        <v>349</v>
      </c>
      <c r="F9769" t="s">
        <v>10517</v>
      </c>
      <c r="G9769">
        <v>3098</v>
      </c>
      <c r="H9769">
        <v>324971.43999999994</v>
      </c>
      <c r="I9769">
        <v>123.1</v>
      </c>
      <c r="J9769">
        <v>1117</v>
      </c>
      <c r="K9769">
        <v>164699.24</v>
      </c>
      <c r="L9769">
        <v>147.44999999999999</v>
      </c>
      <c r="M9769">
        <v>4215</v>
      </c>
      <c r="N9769">
        <v>489670.67999999993</v>
      </c>
      <c r="O9769">
        <v>130.34</v>
      </c>
    </row>
    <row r="9770" spans="1:15" x14ac:dyDescent="0.35">
      <c r="A9770" t="s">
        <v>10518</v>
      </c>
      <c r="B9770" t="s">
        <v>10519</v>
      </c>
      <c r="C9770" t="s">
        <v>292</v>
      </c>
      <c r="D9770" t="s">
        <v>293</v>
      </c>
      <c r="E9770" t="s">
        <v>294</v>
      </c>
      <c r="F9770" t="s">
        <v>10520</v>
      </c>
      <c r="G9770">
        <v>77</v>
      </c>
      <c r="H9770">
        <v>7786.7899999999991</v>
      </c>
      <c r="I9770">
        <v>101.13</v>
      </c>
      <c r="J9770">
        <v>8</v>
      </c>
      <c r="K9770">
        <v>798.24</v>
      </c>
      <c r="L9770">
        <v>99.78</v>
      </c>
      <c r="M9770">
        <v>85</v>
      </c>
      <c r="N9770">
        <v>8585.0299999999988</v>
      </c>
      <c r="O9770">
        <v>101</v>
      </c>
    </row>
    <row r="9771" spans="1:15" x14ac:dyDescent="0.35">
      <c r="A9771" t="s">
        <v>10518</v>
      </c>
      <c r="B9771" t="s">
        <v>10519</v>
      </c>
      <c r="C9771" t="s">
        <v>292</v>
      </c>
      <c r="D9771" t="s">
        <v>293</v>
      </c>
      <c r="E9771" t="s">
        <v>296</v>
      </c>
      <c r="F9771" t="s">
        <v>10521</v>
      </c>
      <c r="G9771">
        <v>644</v>
      </c>
      <c r="H9771">
        <v>79706.100000000006</v>
      </c>
      <c r="I9771">
        <v>123.77</v>
      </c>
      <c r="J9771">
        <v>43</v>
      </c>
      <c r="K9771">
        <v>5072.71</v>
      </c>
      <c r="L9771">
        <v>117.97</v>
      </c>
      <c r="M9771">
        <v>687</v>
      </c>
      <c r="N9771">
        <v>84778.810000000012</v>
      </c>
      <c r="O9771">
        <v>123.4</v>
      </c>
    </row>
    <row r="9772" spans="1:15" x14ac:dyDescent="0.35">
      <c r="A9772" t="s">
        <v>10518</v>
      </c>
      <c r="B9772" t="s">
        <v>10519</v>
      </c>
      <c r="C9772" t="s">
        <v>292</v>
      </c>
      <c r="D9772" t="s">
        <v>293</v>
      </c>
      <c r="E9772" t="s">
        <v>298</v>
      </c>
      <c r="F9772" t="s">
        <v>10522</v>
      </c>
      <c r="G9772">
        <v>415</v>
      </c>
      <c r="H9772">
        <v>59410.879999999997</v>
      </c>
      <c r="I9772">
        <v>143.16</v>
      </c>
      <c r="J9772">
        <v>4</v>
      </c>
      <c r="K9772">
        <v>531.52</v>
      </c>
      <c r="L9772">
        <v>132.88</v>
      </c>
      <c r="M9772">
        <v>419</v>
      </c>
      <c r="N9772">
        <v>59942.399999999994</v>
      </c>
      <c r="O9772">
        <v>143.06</v>
      </c>
    </row>
    <row r="9773" spans="1:15" x14ac:dyDescent="0.35">
      <c r="A9773" t="s">
        <v>10518</v>
      </c>
      <c r="B9773" t="s">
        <v>10519</v>
      </c>
      <c r="C9773" t="s">
        <v>292</v>
      </c>
      <c r="D9773" t="s">
        <v>293</v>
      </c>
      <c r="E9773" t="s">
        <v>300</v>
      </c>
      <c r="F9773" t="s">
        <v>10523</v>
      </c>
      <c r="G9773">
        <v>11</v>
      </c>
      <c r="H9773">
        <v>1734.7199999999998</v>
      </c>
      <c r="I9773">
        <v>157.69999999999999</v>
      </c>
      <c r="J9773">
        <v>0</v>
      </c>
      <c r="K9773">
        <v>0</v>
      </c>
      <c r="L9773">
        <v>0</v>
      </c>
      <c r="M9773">
        <v>11</v>
      </c>
      <c r="N9773">
        <v>1734.7199999999998</v>
      </c>
      <c r="O9773">
        <v>157.69999999999999</v>
      </c>
    </row>
    <row r="9774" spans="1:15" x14ac:dyDescent="0.35">
      <c r="A9774" t="s">
        <v>10518</v>
      </c>
      <c r="B9774" t="s">
        <v>10519</v>
      </c>
      <c r="C9774" t="s">
        <v>292</v>
      </c>
      <c r="D9774" t="s">
        <v>293</v>
      </c>
      <c r="E9774" t="s">
        <v>302</v>
      </c>
      <c r="F9774" t="s">
        <v>10524</v>
      </c>
      <c r="G9774">
        <v>0</v>
      </c>
      <c r="H9774">
        <v>0</v>
      </c>
      <c r="I9774">
        <v>0</v>
      </c>
      <c r="J9774">
        <v>0</v>
      </c>
      <c r="K9774">
        <v>0</v>
      </c>
      <c r="L9774">
        <v>0</v>
      </c>
      <c r="M9774">
        <v>0</v>
      </c>
      <c r="N9774">
        <v>0</v>
      </c>
      <c r="O9774">
        <v>0</v>
      </c>
    </row>
    <row r="9775" spans="1:15" x14ac:dyDescent="0.35">
      <c r="A9775" t="s">
        <v>10518</v>
      </c>
      <c r="B9775" t="s">
        <v>10519</v>
      </c>
      <c r="C9775" t="s">
        <v>292</v>
      </c>
      <c r="D9775" t="s">
        <v>293</v>
      </c>
      <c r="E9775" t="s">
        <v>304</v>
      </c>
      <c r="F9775" t="s">
        <v>10525</v>
      </c>
      <c r="G9775">
        <v>0</v>
      </c>
      <c r="H9775">
        <v>0</v>
      </c>
      <c r="I9775">
        <v>0</v>
      </c>
      <c r="J9775">
        <v>0</v>
      </c>
      <c r="K9775">
        <v>0</v>
      </c>
      <c r="L9775">
        <v>0</v>
      </c>
      <c r="M9775">
        <v>0</v>
      </c>
      <c r="N9775">
        <v>0</v>
      </c>
      <c r="O9775">
        <v>0</v>
      </c>
    </row>
    <row r="9776" spans="1:15" x14ac:dyDescent="0.35">
      <c r="A9776" t="s">
        <v>10518</v>
      </c>
      <c r="B9776" t="s">
        <v>10519</v>
      </c>
      <c r="C9776" t="s">
        <v>292</v>
      </c>
      <c r="D9776" t="s">
        <v>293</v>
      </c>
      <c r="E9776" t="s">
        <v>306</v>
      </c>
      <c r="F9776" t="s">
        <v>10526</v>
      </c>
      <c r="G9776">
        <v>1</v>
      </c>
      <c r="H9776">
        <v>85.96</v>
      </c>
      <c r="I9776">
        <v>85.96</v>
      </c>
      <c r="J9776">
        <v>0</v>
      </c>
      <c r="K9776">
        <v>0</v>
      </c>
      <c r="L9776">
        <v>0</v>
      </c>
      <c r="M9776">
        <v>1</v>
      </c>
      <c r="N9776">
        <v>85.96</v>
      </c>
      <c r="O9776">
        <v>85.96</v>
      </c>
    </row>
    <row r="9777" spans="1:15" x14ac:dyDescent="0.35">
      <c r="A9777" t="s">
        <v>10518</v>
      </c>
      <c r="B9777" t="s">
        <v>10519</v>
      </c>
      <c r="C9777" t="s">
        <v>292</v>
      </c>
      <c r="D9777" t="s">
        <v>293</v>
      </c>
      <c r="E9777" t="s">
        <v>308</v>
      </c>
      <c r="F9777" t="s">
        <v>10527</v>
      </c>
      <c r="G9777">
        <v>0</v>
      </c>
      <c r="H9777">
        <v>0</v>
      </c>
      <c r="I9777">
        <v>0</v>
      </c>
      <c r="J9777">
        <v>0</v>
      </c>
      <c r="K9777">
        <v>0</v>
      </c>
      <c r="L9777">
        <v>0</v>
      </c>
      <c r="M9777">
        <v>0</v>
      </c>
      <c r="N9777">
        <v>0</v>
      </c>
      <c r="O9777">
        <v>0</v>
      </c>
    </row>
    <row r="9778" spans="1:15" x14ac:dyDescent="0.35">
      <c r="A9778" t="s">
        <v>10518</v>
      </c>
      <c r="B9778" t="s">
        <v>10519</v>
      </c>
      <c r="C9778" t="s">
        <v>292</v>
      </c>
      <c r="D9778" t="s">
        <v>293</v>
      </c>
      <c r="E9778" t="s">
        <v>310</v>
      </c>
      <c r="F9778" t="s">
        <v>10528</v>
      </c>
      <c r="G9778">
        <v>1148</v>
      </c>
      <c r="H9778">
        <v>148724.44999999998</v>
      </c>
      <c r="I9778">
        <v>129.55000000000001</v>
      </c>
      <c r="J9778">
        <v>55</v>
      </c>
      <c r="K9778">
        <v>6402.4699999999993</v>
      </c>
      <c r="L9778">
        <v>116.41</v>
      </c>
      <c r="M9778">
        <v>1203</v>
      </c>
      <c r="N9778">
        <v>155126.91999999998</v>
      </c>
      <c r="O9778">
        <v>128.94999999999999</v>
      </c>
    </row>
    <row r="9779" spans="1:15" x14ac:dyDescent="0.35">
      <c r="A9779" t="s">
        <v>10518</v>
      </c>
      <c r="B9779" t="s">
        <v>10519</v>
      </c>
      <c r="C9779" t="s">
        <v>292</v>
      </c>
      <c r="D9779" t="s">
        <v>293</v>
      </c>
      <c r="E9779" t="s">
        <v>312</v>
      </c>
      <c r="F9779" t="s">
        <v>10529</v>
      </c>
      <c r="G9779">
        <v>1148</v>
      </c>
      <c r="H9779">
        <v>148724.44999999998</v>
      </c>
      <c r="I9779">
        <v>129.55000000000001</v>
      </c>
      <c r="J9779">
        <v>55</v>
      </c>
      <c r="K9779">
        <v>6402.4699999999993</v>
      </c>
      <c r="L9779">
        <v>116.41</v>
      </c>
      <c r="M9779">
        <v>1203</v>
      </c>
      <c r="N9779">
        <v>155126.91999999998</v>
      </c>
      <c r="O9779">
        <v>128.94999999999999</v>
      </c>
    </row>
    <row r="9780" spans="1:15" x14ac:dyDescent="0.35">
      <c r="A9780" t="s">
        <v>10518</v>
      </c>
      <c r="B9780" t="s">
        <v>10519</v>
      </c>
      <c r="C9780" t="s">
        <v>292</v>
      </c>
      <c r="D9780" t="s">
        <v>314</v>
      </c>
      <c r="E9780" t="s">
        <v>294</v>
      </c>
      <c r="F9780" t="s">
        <v>10530</v>
      </c>
      <c r="G9780">
        <v>23</v>
      </c>
      <c r="H9780">
        <v>7125.5300000000007</v>
      </c>
      <c r="I9780">
        <v>309.81</v>
      </c>
      <c r="J9780">
        <v>0</v>
      </c>
      <c r="K9780">
        <v>0</v>
      </c>
      <c r="L9780">
        <v>0</v>
      </c>
      <c r="M9780">
        <v>23</v>
      </c>
      <c r="N9780">
        <v>7125.5300000000007</v>
      </c>
      <c r="O9780">
        <v>309.81</v>
      </c>
    </row>
    <row r="9781" spans="1:15" x14ac:dyDescent="0.35">
      <c r="A9781" t="s">
        <v>10518</v>
      </c>
      <c r="B9781" t="s">
        <v>10519</v>
      </c>
      <c r="C9781" t="s">
        <v>292</v>
      </c>
      <c r="D9781" t="s">
        <v>314</v>
      </c>
      <c r="E9781" t="s">
        <v>296</v>
      </c>
      <c r="F9781" t="s">
        <v>10531</v>
      </c>
      <c r="G9781">
        <v>70</v>
      </c>
      <c r="H9781">
        <v>13030.550000000001</v>
      </c>
      <c r="I9781">
        <v>186.15</v>
      </c>
      <c r="J9781">
        <v>0</v>
      </c>
      <c r="K9781">
        <v>0</v>
      </c>
      <c r="L9781">
        <v>0</v>
      </c>
      <c r="M9781">
        <v>70</v>
      </c>
      <c r="N9781">
        <v>13030.550000000001</v>
      </c>
      <c r="O9781">
        <v>186.15</v>
      </c>
    </row>
    <row r="9782" spans="1:15" x14ac:dyDescent="0.35">
      <c r="A9782" t="s">
        <v>10518</v>
      </c>
      <c r="B9782" t="s">
        <v>10519</v>
      </c>
      <c r="C9782" t="s">
        <v>292</v>
      </c>
      <c r="D9782" t="s">
        <v>314</v>
      </c>
      <c r="E9782" t="s">
        <v>298</v>
      </c>
      <c r="F9782" t="s">
        <v>10532</v>
      </c>
      <c r="G9782">
        <v>0</v>
      </c>
      <c r="H9782">
        <v>0</v>
      </c>
      <c r="I9782">
        <v>0</v>
      </c>
      <c r="J9782">
        <v>0</v>
      </c>
      <c r="K9782">
        <v>0</v>
      </c>
      <c r="L9782">
        <v>0</v>
      </c>
      <c r="M9782">
        <v>0</v>
      </c>
      <c r="N9782">
        <v>0</v>
      </c>
      <c r="O9782">
        <v>0</v>
      </c>
    </row>
    <row r="9783" spans="1:15" x14ac:dyDescent="0.35">
      <c r="A9783" t="s">
        <v>10518</v>
      </c>
      <c r="B9783" t="s">
        <v>10519</v>
      </c>
      <c r="C9783" t="s">
        <v>292</v>
      </c>
      <c r="D9783" t="s">
        <v>314</v>
      </c>
      <c r="E9783" t="s">
        <v>300</v>
      </c>
      <c r="F9783" t="s">
        <v>10533</v>
      </c>
      <c r="G9783">
        <v>0</v>
      </c>
      <c r="H9783">
        <v>0</v>
      </c>
      <c r="I9783">
        <v>0</v>
      </c>
      <c r="J9783">
        <v>0</v>
      </c>
      <c r="K9783">
        <v>0</v>
      </c>
      <c r="L9783">
        <v>0</v>
      </c>
      <c r="M9783">
        <v>0</v>
      </c>
      <c r="N9783">
        <v>0</v>
      </c>
      <c r="O9783">
        <v>0</v>
      </c>
    </row>
    <row r="9784" spans="1:15" x14ac:dyDescent="0.35">
      <c r="A9784" t="s">
        <v>10518</v>
      </c>
      <c r="B9784" t="s">
        <v>10519</v>
      </c>
      <c r="C9784" t="s">
        <v>292</v>
      </c>
      <c r="D9784" t="s">
        <v>314</v>
      </c>
      <c r="E9784" t="s">
        <v>306</v>
      </c>
      <c r="F9784" t="s">
        <v>10534</v>
      </c>
      <c r="G9784">
        <v>0</v>
      </c>
      <c r="H9784">
        <v>0</v>
      </c>
      <c r="I9784">
        <v>0</v>
      </c>
      <c r="J9784">
        <v>0</v>
      </c>
      <c r="K9784">
        <v>0</v>
      </c>
      <c r="L9784">
        <v>0</v>
      </c>
      <c r="M9784">
        <v>0</v>
      </c>
      <c r="N9784">
        <v>0</v>
      </c>
      <c r="O9784">
        <v>0</v>
      </c>
    </row>
    <row r="9785" spans="1:15" x14ac:dyDescent="0.35">
      <c r="A9785" t="s">
        <v>10518</v>
      </c>
      <c r="B9785" t="s">
        <v>10519</v>
      </c>
      <c r="C9785" t="s">
        <v>292</v>
      </c>
      <c r="D9785" t="s">
        <v>314</v>
      </c>
      <c r="E9785" t="s">
        <v>308</v>
      </c>
      <c r="F9785" t="s">
        <v>10535</v>
      </c>
      <c r="G9785">
        <v>0</v>
      </c>
      <c r="H9785">
        <v>0</v>
      </c>
      <c r="I9785">
        <v>0</v>
      </c>
      <c r="J9785">
        <v>0</v>
      </c>
      <c r="K9785">
        <v>0</v>
      </c>
      <c r="L9785">
        <v>0</v>
      </c>
      <c r="M9785">
        <v>0</v>
      </c>
      <c r="N9785">
        <v>0</v>
      </c>
      <c r="O9785">
        <v>0</v>
      </c>
    </row>
    <row r="9786" spans="1:15" x14ac:dyDescent="0.35">
      <c r="A9786" t="s">
        <v>10518</v>
      </c>
      <c r="B9786" t="s">
        <v>10519</v>
      </c>
      <c r="C9786" t="s">
        <v>292</v>
      </c>
      <c r="D9786" t="s">
        <v>314</v>
      </c>
      <c r="E9786" t="s">
        <v>312</v>
      </c>
      <c r="F9786" t="s">
        <v>10536</v>
      </c>
      <c r="G9786">
        <v>93</v>
      </c>
      <c r="H9786">
        <v>20156.080000000002</v>
      </c>
      <c r="I9786">
        <v>216.73</v>
      </c>
      <c r="J9786">
        <v>0</v>
      </c>
      <c r="K9786">
        <v>0</v>
      </c>
      <c r="L9786">
        <v>0</v>
      </c>
      <c r="M9786">
        <v>93</v>
      </c>
      <c r="N9786">
        <v>20156.080000000002</v>
      </c>
      <c r="O9786">
        <v>216.73</v>
      </c>
    </row>
    <row r="9787" spans="1:15" x14ac:dyDescent="0.35">
      <c r="A9787" t="s">
        <v>10518</v>
      </c>
      <c r="B9787" t="s">
        <v>10519</v>
      </c>
      <c r="C9787" t="s">
        <v>292</v>
      </c>
      <c r="D9787" t="s">
        <v>314</v>
      </c>
      <c r="E9787" t="s">
        <v>310</v>
      </c>
      <c r="F9787" t="s">
        <v>10537</v>
      </c>
      <c r="G9787">
        <v>93</v>
      </c>
      <c r="H9787">
        <v>20156.080000000002</v>
      </c>
      <c r="I9787">
        <v>216.73</v>
      </c>
      <c r="J9787">
        <v>0</v>
      </c>
      <c r="K9787">
        <v>0</v>
      </c>
      <c r="L9787">
        <v>0</v>
      </c>
      <c r="M9787">
        <v>93</v>
      </c>
      <c r="N9787">
        <v>20156.080000000002</v>
      </c>
      <c r="O9787">
        <v>216.73</v>
      </c>
    </row>
    <row r="9788" spans="1:15" x14ac:dyDescent="0.35">
      <c r="A9788" t="s">
        <v>10518</v>
      </c>
      <c r="B9788" t="s">
        <v>10519</v>
      </c>
      <c r="C9788" t="s">
        <v>292</v>
      </c>
      <c r="D9788" t="s">
        <v>323</v>
      </c>
      <c r="E9788" t="s">
        <v>294</v>
      </c>
      <c r="F9788" t="s">
        <v>10538</v>
      </c>
      <c r="G9788">
        <v>884</v>
      </c>
      <c r="H9788">
        <v>78908.12999999999</v>
      </c>
      <c r="I9788">
        <v>89.26</v>
      </c>
      <c r="J9788">
        <v>2449</v>
      </c>
      <c r="K9788">
        <v>198466.96000000002</v>
      </c>
      <c r="L9788">
        <v>81.040000000000006</v>
      </c>
      <c r="M9788">
        <v>3333</v>
      </c>
      <c r="N9788">
        <v>277375.09000000003</v>
      </c>
      <c r="O9788">
        <v>83.22</v>
      </c>
    </row>
    <row r="9789" spans="1:15" x14ac:dyDescent="0.35">
      <c r="A9789" t="s">
        <v>10518</v>
      </c>
      <c r="B9789" t="s">
        <v>10519</v>
      </c>
      <c r="C9789" t="s">
        <v>292</v>
      </c>
      <c r="D9789" t="s">
        <v>323</v>
      </c>
      <c r="E9789" t="s">
        <v>296</v>
      </c>
      <c r="F9789" t="s">
        <v>10539</v>
      </c>
      <c r="G9789">
        <v>1391</v>
      </c>
      <c r="H9789">
        <v>142166.47000000003</v>
      </c>
      <c r="I9789">
        <v>102.2</v>
      </c>
      <c r="J9789">
        <v>4662</v>
      </c>
      <c r="K9789">
        <v>424661.58</v>
      </c>
      <c r="L9789">
        <v>91.09</v>
      </c>
      <c r="M9789">
        <v>6053</v>
      </c>
      <c r="N9789">
        <v>566828.05000000005</v>
      </c>
      <c r="O9789">
        <v>93.64</v>
      </c>
    </row>
    <row r="9790" spans="1:15" x14ac:dyDescent="0.35">
      <c r="A9790" t="s">
        <v>10518</v>
      </c>
      <c r="B9790" t="s">
        <v>10519</v>
      </c>
      <c r="C9790" t="s">
        <v>292</v>
      </c>
      <c r="D9790" t="s">
        <v>323</v>
      </c>
      <c r="E9790" t="s">
        <v>298</v>
      </c>
      <c r="F9790" t="s">
        <v>10540</v>
      </c>
      <c r="G9790">
        <v>825</v>
      </c>
      <c r="H9790">
        <v>92767.430000000008</v>
      </c>
      <c r="I9790">
        <v>112.45</v>
      </c>
      <c r="J9790">
        <v>5035</v>
      </c>
      <c r="K9790">
        <v>507326.60000000003</v>
      </c>
      <c r="L9790">
        <v>100.76</v>
      </c>
      <c r="M9790">
        <v>5860</v>
      </c>
      <c r="N9790">
        <v>600094.03</v>
      </c>
      <c r="O9790">
        <v>102.41</v>
      </c>
    </row>
    <row r="9791" spans="1:15" x14ac:dyDescent="0.35">
      <c r="A9791" t="s">
        <v>10518</v>
      </c>
      <c r="B9791" t="s">
        <v>10519</v>
      </c>
      <c r="C9791" t="s">
        <v>292</v>
      </c>
      <c r="D9791" t="s">
        <v>323</v>
      </c>
      <c r="E9791" t="s">
        <v>300</v>
      </c>
      <c r="F9791" t="s">
        <v>10541</v>
      </c>
      <c r="G9791">
        <v>42</v>
      </c>
      <c r="H9791">
        <v>5160.3600000000006</v>
      </c>
      <c r="I9791">
        <v>122.87</v>
      </c>
      <c r="J9791">
        <v>316</v>
      </c>
      <c r="K9791">
        <v>33887.839999999997</v>
      </c>
      <c r="L9791">
        <v>107.24</v>
      </c>
      <c r="M9791">
        <v>358</v>
      </c>
      <c r="N9791">
        <v>39048.199999999997</v>
      </c>
      <c r="O9791">
        <v>109.07</v>
      </c>
    </row>
    <row r="9792" spans="1:15" x14ac:dyDescent="0.35">
      <c r="A9792" t="s">
        <v>10518</v>
      </c>
      <c r="B9792" t="s">
        <v>10519</v>
      </c>
      <c r="C9792" t="s">
        <v>292</v>
      </c>
      <c r="D9792" t="s">
        <v>323</v>
      </c>
      <c r="E9792" t="s">
        <v>302</v>
      </c>
      <c r="F9792" t="s">
        <v>10542</v>
      </c>
      <c r="G9792">
        <v>7</v>
      </c>
      <c r="H9792">
        <v>921.25000000000011</v>
      </c>
      <c r="I9792">
        <v>131.61000000000001</v>
      </c>
      <c r="J9792">
        <v>6</v>
      </c>
      <c r="K9792">
        <v>686.34</v>
      </c>
      <c r="L9792">
        <v>114.39</v>
      </c>
      <c r="M9792">
        <v>13</v>
      </c>
      <c r="N9792">
        <v>1607.5900000000001</v>
      </c>
      <c r="O9792">
        <v>123.66</v>
      </c>
    </row>
    <row r="9793" spans="1:15" x14ac:dyDescent="0.35">
      <c r="A9793" t="s">
        <v>10518</v>
      </c>
      <c r="B9793" t="s">
        <v>10519</v>
      </c>
      <c r="C9793" t="s">
        <v>292</v>
      </c>
      <c r="D9793" t="s">
        <v>323</v>
      </c>
      <c r="E9793" t="s">
        <v>304</v>
      </c>
      <c r="F9793" t="s">
        <v>10543</v>
      </c>
      <c r="G9793">
        <v>1</v>
      </c>
      <c r="H9793">
        <v>174.82</v>
      </c>
      <c r="I9793">
        <v>174.82</v>
      </c>
      <c r="J9793">
        <v>0</v>
      </c>
      <c r="K9793">
        <v>0</v>
      </c>
      <c r="L9793">
        <v>0</v>
      </c>
      <c r="M9793">
        <v>1</v>
      </c>
      <c r="N9793">
        <v>174.82</v>
      </c>
      <c r="O9793">
        <v>174.82</v>
      </c>
    </row>
    <row r="9794" spans="1:15" x14ac:dyDescent="0.35">
      <c r="A9794" t="s">
        <v>10518</v>
      </c>
      <c r="B9794" t="s">
        <v>10519</v>
      </c>
      <c r="C9794" t="s">
        <v>292</v>
      </c>
      <c r="D9794" t="s">
        <v>323</v>
      </c>
      <c r="E9794" t="s">
        <v>306</v>
      </c>
      <c r="F9794" t="s">
        <v>10544</v>
      </c>
      <c r="G9794">
        <v>48</v>
      </c>
      <c r="H9794">
        <v>3885.9000000000005</v>
      </c>
      <c r="I9794">
        <v>80.959999999999994</v>
      </c>
      <c r="J9794">
        <v>16</v>
      </c>
      <c r="K9794">
        <v>1131.3599999999999</v>
      </c>
      <c r="L9794">
        <v>70.709999999999994</v>
      </c>
      <c r="M9794">
        <v>64</v>
      </c>
      <c r="N9794">
        <v>5017.26</v>
      </c>
      <c r="O9794">
        <v>78.39</v>
      </c>
    </row>
    <row r="9795" spans="1:15" x14ac:dyDescent="0.35">
      <c r="A9795" t="s">
        <v>10518</v>
      </c>
      <c r="B9795" t="s">
        <v>10519</v>
      </c>
      <c r="C9795" t="s">
        <v>292</v>
      </c>
      <c r="D9795" t="s">
        <v>323</v>
      </c>
      <c r="E9795" t="s">
        <v>308</v>
      </c>
      <c r="F9795" t="s">
        <v>10545</v>
      </c>
      <c r="G9795">
        <v>0</v>
      </c>
      <c r="H9795">
        <v>0</v>
      </c>
      <c r="I9795">
        <v>0</v>
      </c>
      <c r="J9795">
        <v>0</v>
      </c>
      <c r="K9795">
        <v>0</v>
      </c>
      <c r="L9795">
        <v>0</v>
      </c>
      <c r="M9795">
        <v>0</v>
      </c>
      <c r="N9795">
        <v>0</v>
      </c>
      <c r="O9795">
        <v>0</v>
      </c>
    </row>
    <row r="9796" spans="1:15" x14ac:dyDescent="0.35">
      <c r="A9796" t="s">
        <v>10518</v>
      </c>
      <c r="B9796" t="s">
        <v>10519</v>
      </c>
      <c r="C9796" t="s">
        <v>292</v>
      </c>
      <c r="D9796" t="s">
        <v>323</v>
      </c>
      <c r="E9796" t="s">
        <v>310</v>
      </c>
      <c r="F9796" t="s">
        <v>10546</v>
      </c>
      <c r="G9796">
        <v>3198</v>
      </c>
      <c r="H9796">
        <v>323984.36000000004</v>
      </c>
      <c r="I9796">
        <v>101.31</v>
      </c>
      <c r="J9796">
        <v>12484</v>
      </c>
      <c r="K9796">
        <v>1166160.6800000004</v>
      </c>
      <c r="L9796">
        <v>93.41</v>
      </c>
      <c r="M9796">
        <v>15682</v>
      </c>
      <c r="N9796">
        <v>1490145.0400000005</v>
      </c>
      <c r="O9796">
        <v>95.02</v>
      </c>
    </row>
    <row r="9797" spans="1:15" x14ac:dyDescent="0.35">
      <c r="A9797" t="s">
        <v>10518</v>
      </c>
      <c r="B9797" t="s">
        <v>10519</v>
      </c>
      <c r="C9797" t="s">
        <v>292</v>
      </c>
      <c r="D9797" t="s">
        <v>323</v>
      </c>
      <c r="E9797" t="s">
        <v>312</v>
      </c>
      <c r="F9797" t="s">
        <v>10547</v>
      </c>
      <c r="G9797">
        <v>3198</v>
      </c>
      <c r="H9797">
        <v>323984.36000000004</v>
      </c>
      <c r="I9797">
        <v>101.31</v>
      </c>
      <c r="J9797">
        <v>12484</v>
      </c>
      <c r="K9797">
        <v>1166160.6800000004</v>
      </c>
      <c r="L9797">
        <v>93.41</v>
      </c>
      <c r="M9797">
        <v>15682</v>
      </c>
      <c r="N9797">
        <v>1490145.0400000005</v>
      </c>
      <c r="O9797">
        <v>95.02</v>
      </c>
    </row>
    <row r="9798" spans="1:15" x14ac:dyDescent="0.35">
      <c r="A9798" t="s">
        <v>10518</v>
      </c>
      <c r="B9798" t="s">
        <v>10519</v>
      </c>
      <c r="C9798" t="s">
        <v>292</v>
      </c>
      <c r="D9798" t="s">
        <v>334</v>
      </c>
      <c r="E9798" t="s">
        <v>312</v>
      </c>
      <c r="F9798" t="s">
        <v>10548</v>
      </c>
      <c r="G9798">
        <v>4551</v>
      </c>
      <c r="H9798">
        <v>472708.81</v>
      </c>
      <c r="I9798">
        <v>108.77</v>
      </c>
      <c r="J9798">
        <v>12539</v>
      </c>
      <c r="K9798">
        <v>1172563.1500000004</v>
      </c>
      <c r="L9798">
        <v>93.51</v>
      </c>
      <c r="M9798">
        <v>17090</v>
      </c>
      <c r="N9798">
        <v>1645271.9600000004</v>
      </c>
      <c r="O9798">
        <v>97.44</v>
      </c>
    </row>
    <row r="9799" spans="1:15" x14ac:dyDescent="0.35">
      <c r="A9799" t="s">
        <v>10518</v>
      </c>
      <c r="B9799" t="s">
        <v>10519</v>
      </c>
      <c r="C9799" t="s">
        <v>292</v>
      </c>
      <c r="D9799" t="s">
        <v>334</v>
      </c>
      <c r="E9799" t="s">
        <v>308</v>
      </c>
      <c r="F9799" t="s">
        <v>10549</v>
      </c>
      <c r="G9799">
        <v>0</v>
      </c>
      <c r="H9799">
        <v>0</v>
      </c>
      <c r="I9799">
        <v>0</v>
      </c>
      <c r="J9799">
        <v>0</v>
      </c>
      <c r="K9799">
        <v>0</v>
      </c>
      <c r="L9799">
        <v>0</v>
      </c>
      <c r="M9799">
        <v>0</v>
      </c>
      <c r="N9799">
        <v>0</v>
      </c>
      <c r="O9799">
        <v>0</v>
      </c>
    </row>
    <row r="9800" spans="1:15" x14ac:dyDescent="0.35">
      <c r="A9800" t="s">
        <v>10518</v>
      </c>
      <c r="B9800" t="s">
        <v>10519</v>
      </c>
      <c r="C9800" t="s">
        <v>292</v>
      </c>
      <c r="D9800" t="s">
        <v>337</v>
      </c>
      <c r="E9800" t="s">
        <v>337</v>
      </c>
      <c r="F9800" t="s">
        <v>10550</v>
      </c>
      <c r="G9800">
        <v>509</v>
      </c>
      <c r="J9800">
        <v>0</v>
      </c>
      <c r="M9800">
        <v>509</v>
      </c>
    </row>
    <row r="9801" spans="1:15" x14ac:dyDescent="0.35">
      <c r="A9801" t="s">
        <v>10518</v>
      </c>
      <c r="B9801" t="s">
        <v>10519</v>
      </c>
      <c r="C9801" t="s">
        <v>292</v>
      </c>
      <c r="D9801" t="s">
        <v>339</v>
      </c>
      <c r="E9801" t="s">
        <v>294</v>
      </c>
      <c r="F9801" t="s">
        <v>10551</v>
      </c>
      <c r="G9801">
        <v>981</v>
      </c>
      <c r="H9801">
        <v>111428.75</v>
      </c>
      <c r="I9801">
        <v>113.59</v>
      </c>
      <c r="J9801">
        <v>1204</v>
      </c>
      <c r="K9801">
        <v>99763.44</v>
      </c>
      <c r="L9801">
        <v>82.86</v>
      </c>
      <c r="M9801">
        <v>2185</v>
      </c>
      <c r="N9801">
        <v>211192.19</v>
      </c>
      <c r="O9801">
        <v>96.66</v>
      </c>
    </row>
    <row r="9802" spans="1:15" x14ac:dyDescent="0.35">
      <c r="A9802" t="s">
        <v>10518</v>
      </c>
      <c r="B9802" t="s">
        <v>10519</v>
      </c>
      <c r="C9802" t="s">
        <v>292</v>
      </c>
      <c r="D9802" t="s">
        <v>339</v>
      </c>
      <c r="E9802" t="s">
        <v>296</v>
      </c>
      <c r="F9802" t="s">
        <v>10552</v>
      </c>
      <c r="G9802">
        <v>355</v>
      </c>
      <c r="H9802">
        <v>45244.409999999996</v>
      </c>
      <c r="I9802">
        <v>127.45</v>
      </c>
      <c r="J9802">
        <v>251</v>
      </c>
      <c r="K9802">
        <v>24045.8</v>
      </c>
      <c r="L9802">
        <v>95.8</v>
      </c>
      <c r="M9802">
        <v>606</v>
      </c>
      <c r="N9802">
        <v>69290.209999999992</v>
      </c>
      <c r="O9802">
        <v>114.34</v>
      </c>
    </row>
    <row r="9803" spans="1:15" x14ac:dyDescent="0.35">
      <c r="A9803" t="s">
        <v>10518</v>
      </c>
      <c r="B9803" t="s">
        <v>10519</v>
      </c>
      <c r="C9803" t="s">
        <v>292</v>
      </c>
      <c r="D9803" t="s">
        <v>339</v>
      </c>
      <c r="E9803" t="s">
        <v>298</v>
      </c>
      <c r="F9803" t="s">
        <v>10553</v>
      </c>
      <c r="G9803">
        <v>41</v>
      </c>
      <c r="H9803">
        <v>6392.59</v>
      </c>
      <c r="I9803">
        <v>155.91999999999999</v>
      </c>
      <c r="J9803">
        <v>12</v>
      </c>
      <c r="K9803">
        <v>1203.3600000000001</v>
      </c>
      <c r="L9803">
        <v>100.28</v>
      </c>
      <c r="M9803">
        <v>53</v>
      </c>
      <c r="N9803">
        <v>7595.9500000000007</v>
      </c>
      <c r="O9803">
        <v>143.32</v>
      </c>
    </row>
    <row r="9804" spans="1:15" x14ac:dyDescent="0.35">
      <c r="A9804" t="s">
        <v>10518</v>
      </c>
      <c r="B9804" t="s">
        <v>10519</v>
      </c>
      <c r="C9804" t="s">
        <v>292</v>
      </c>
      <c r="D9804" t="s">
        <v>339</v>
      </c>
      <c r="E9804" t="s">
        <v>300</v>
      </c>
      <c r="F9804" t="s">
        <v>10554</v>
      </c>
      <c r="G9804">
        <v>0</v>
      </c>
      <c r="H9804">
        <v>0</v>
      </c>
      <c r="I9804">
        <v>0</v>
      </c>
      <c r="J9804">
        <v>0</v>
      </c>
      <c r="K9804">
        <v>0</v>
      </c>
      <c r="L9804">
        <v>0</v>
      </c>
      <c r="M9804">
        <v>0</v>
      </c>
      <c r="N9804">
        <v>0</v>
      </c>
      <c r="O9804">
        <v>0</v>
      </c>
    </row>
    <row r="9805" spans="1:15" x14ac:dyDescent="0.35">
      <c r="A9805" t="s">
        <v>10518</v>
      </c>
      <c r="B9805" t="s">
        <v>10519</v>
      </c>
      <c r="C9805" t="s">
        <v>292</v>
      </c>
      <c r="D9805" t="s">
        <v>339</v>
      </c>
      <c r="E9805" t="s">
        <v>306</v>
      </c>
      <c r="F9805" t="s">
        <v>10555</v>
      </c>
      <c r="G9805">
        <v>216</v>
      </c>
      <c r="H9805">
        <v>19013.84</v>
      </c>
      <c r="I9805">
        <v>88.03</v>
      </c>
      <c r="J9805">
        <v>0</v>
      </c>
      <c r="K9805">
        <v>0</v>
      </c>
      <c r="L9805">
        <v>0</v>
      </c>
      <c r="M9805">
        <v>216</v>
      </c>
      <c r="N9805">
        <v>19013.84</v>
      </c>
      <c r="O9805">
        <v>88.03</v>
      </c>
    </row>
    <row r="9806" spans="1:15" x14ac:dyDescent="0.35">
      <c r="A9806" t="s">
        <v>10518</v>
      </c>
      <c r="B9806" t="s">
        <v>10519</v>
      </c>
      <c r="C9806" t="s">
        <v>292</v>
      </c>
      <c r="D9806" t="s">
        <v>339</v>
      </c>
      <c r="E9806" t="s">
        <v>308</v>
      </c>
      <c r="F9806" t="s">
        <v>10556</v>
      </c>
      <c r="G9806">
        <v>173</v>
      </c>
      <c r="H9806">
        <v>25672.739999999998</v>
      </c>
      <c r="I9806">
        <v>148.4</v>
      </c>
      <c r="J9806">
        <v>27</v>
      </c>
      <c r="K9806">
        <v>1692.36</v>
      </c>
      <c r="L9806">
        <v>62.68</v>
      </c>
      <c r="M9806">
        <v>200</v>
      </c>
      <c r="N9806">
        <v>27365.1</v>
      </c>
      <c r="O9806">
        <v>136.83000000000001</v>
      </c>
    </row>
    <row r="9807" spans="1:15" x14ac:dyDescent="0.35">
      <c r="A9807" t="s">
        <v>10518</v>
      </c>
      <c r="B9807" t="s">
        <v>10519</v>
      </c>
      <c r="C9807" t="s">
        <v>292</v>
      </c>
      <c r="D9807" t="s">
        <v>339</v>
      </c>
      <c r="E9807" t="s">
        <v>310</v>
      </c>
      <c r="F9807" t="s">
        <v>10557</v>
      </c>
      <c r="G9807">
        <v>1766</v>
      </c>
      <c r="H9807">
        <v>207752.33</v>
      </c>
      <c r="I9807">
        <v>117.64</v>
      </c>
      <c r="J9807">
        <v>1494</v>
      </c>
      <c r="K9807">
        <v>126704.96000000001</v>
      </c>
      <c r="L9807">
        <v>84.81</v>
      </c>
      <c r="M9807">
        <v>3260</v>
      </c>
      <c r="N9807">
        <v>334457.28999999998</v>
      </c>
      <c r="O9807">
        <v>102.59</v>
      </c>
    </row>
    <row r="9808" spans="1:15" x14ac:dyDescent="0.35">
      <c r="A9808" t="s">
        <v>10518</v>
      </c>
      <c r="B9808" t="s">
        <v>10519</v>
      </c>
      <c r="C9808" t="s">
        <v>292</v>
      </c>
      <c r="D9808" t="s">
        <v>339</v>
      </c>
      <c r="E9808" t="s">
        <v>312</v>
      </c>
      <c r="F9808" t="s">
        <v>10558</v>
      </c>
      <c r="G9808">
        <v>1593</v>
      </c>
      <c r="H9808">
        <v>182079.59</v>
      </c>
      <c r="I9808">
        <v>114.3</v>
      </c>
      <c r="J9808">
        <v>1467</v>
      </c>
      <c r="K9808">
        <v>125012.6</v>
      </c>
      <c r="L9808">
        <v>85.22</v>
      </c>
      <c r="M9808">
        <v>3060</v>
      </c>
      <c r="N9808">
        <v>307092.19</v>
      </c>
      <c r="O9808">
        <v>100.36</v>
      </c>
    </row>
    <row r="9809" spans="1:15" x14ac:dyDescent="0.35">
      <c r="A9809" t="s">
        <v>10518</v>
      </c>
      <c r="B9809" t="s">
        <v>10519</v>
      </c>
      <c r="C9809" t="s">
        <v>292</v>
      </c>
      <c r="D9809" t="s">
        <v>348</v>
      </c>
      <c r="E9809" t="s">
        <v>349</v>
      </c>
      <c r="F9809" t="s">
        <v>10559</v>
      </c>
      <c r="G9809">
        <v>2019</v>
      </c>
      <c r="H9809">
        <v>227908.41</v>
      </c>
      <c r="I9809">
        <v>122.6</v>
      </c>
      <c r="J9809">
        <v>1494</v>
      </c>
      <c r="K9809">
        <v>126704.96000000001</v>
      </c>
      <c r="L9809">
        <v>84.81</v>
      </c>
      <c r="M9809">
        <v>3513</v>
      </c>
      <c r="N9809">
        <v>354613.37</v>
      </c>
      <c r="O9809">
        <v>105.76</v>
      </c>
    </row>
    <row r="9810" spans="1:15" x14ac:dyDescent="0.35">
      <c r="A9810" t="s">
        <v>10560</v>
      </c>
      <c r="B9810" t="s">
        <v>10561</v>
      </c>
      <c r="C9810" t="s">
        <v>292</v>
      </c>
      <c r="D9810" t="s">
        <v>293</v>
      </c>
      <c r="E9810" t="s">
        <v>294</v>
      </c>
      <c r="F9810" t="s">
        <v>10562</v>
      </c>
      <c r="G9810">
        <v>122</v>
      </c>
      <c r="H9810">
        <v>15851.4</v>
      </c>
      <c r="I9810">
        <v>129.93</v>
      </c>
      <c r="J9810">
        <v>0</v>
      </c>
      <c r="K9810">
        <v>0</v>
      </c>
      <c r="L9810">
        <v>0</v>
      </c>
      <c r="M9810">
        <v>122</v>
      </c>
      <c r="N9810">
        <v>15851.4</v>
      </c>
      <c r="O9810">
        <v>129.93</v>
      </c>
    </row>
    <row r="9811" spans="1:15" x14ac:dyDescent="0.35">
      <c r="A9811" t="s">
        <v>10560</v>
      </c>
      <c r="B9811" t="s">
        <v>10561</v>
      </c>
      <c r="C9811" t="s">
        <v>292</v>
      </c>
      <c r="D9811" t="s">
        <v>293</v>
      </c>
      <c r="E9811" t="s">
        <v>296</v>
      </c>
      <c r="F9811" t="s">
        <v>10563</v>
      </c>
      <c r="G9811">
        <v>660</v>
      </c>
      <c r="H9811">
        <v>86909.51999999999</v>
      </c>
      <c r="I9811">
        <v>131.68</v>
      </c>
      <c r="J9811">
        <v>16</v>
      </c>
      <c r="K9811">
        <v>2298.7199999999998</v>
      </c>
      <c r="L9811">
        <v>143.66999999999999</v>
      </c>
      <c r="M9811">
        <v>676</v>
      </c>
      <c r="N9811">
        <v>89208.239999999991</v>
      </c>
      <c r="O9811">
        <v>131.96</v>
      </c>
    </row>
    <row r="9812" spans="1:15" x14ac:dyDescent="0.35">
      <c r="A9812" t="s">
        <v>10560</v>
      </c>
      <c r="B9812" t="s">
        <v>10561</v>
      </c>
      <c r="C9812" t="s">
        <v>292</v>
      </c>
      <c r="D9812" t="s">
        <v>293</v>
      </c>
      <c r="E9812" t="s">
        <v>298</v>
      </c>
      <c r="F9812" t="s">
        <v>10564</v>
      </c>
      <c r="G9812">
        <v>265</v>
      </c>
      <c r="H9812">
        <v>35727.320000000007</v>
      </c>
      <c r="I9812">
        <v>134.82</v>
      </c>
      <c r="J9812">
        <v>0</v>
      </c>
      <c r="K9812">
        <v>0</v>
      </c>
      <c r="L9812">
        <v>0</v>
      </c>
      <c r="M9812">
        <v>265</v>
      </c>
      <c r="N9812">
        <v>35727.320000000007</v>
      </c>
      <c r="O9812">
        <v>134.82</v>
      </c>
    </row>
    <row r="9813" spans="1:15" x14ac:dyDescent="0.35">
      <c r="A9813" t="s">
        <v>10560</v>
      </c>
      <c r="B9813" t="s">
        <v>10561</v>
      </c>
      <c r="C9813" t="s">
        <v>292</v>
      </c>
      <c r="D9813" t="s">
        <v>293</v>
      </c>
      <c r="E9813" t="s">
        <v>300</v>
      </c>
      <c r="F9813" t="s">
        <v>10565</v>
      </c>
      <c r="G9813">
        <v>21</v>
      </c>
      <c r="H9813">
        <v>3558.66</v>
      </c>
      <c r="I9813">
        <v>169.46</v>
      </c>
      <c r="J9813">
        <v>0</v>
      </c>
      <c r="K9813">
        <v>0</v>
      </c>
      <c r="L9813">
        <v>0</v>
      </c>
      <c r="M9813">
        <v>21</v>
      </c>
      <c r="N9813">
        <v>3558.66</v>
      </c>
      <c r="O9813">
        <v>169.46</v>
      </c>
    </row>
    <row r="9814" spans="1:15" x14ac:dyDescent="0.35">
      <c r="A9814" t="s">
        <v>10560</v>
      </c>
      <c r="B9814" t="s">
        <v>10561</v>
      </c>
      <c r="C9814" t="s">
        <v>292</v>
      </c>
      <c r="D9814" t="s">
        <v>293</v>
      </c>
      <c r="E9814" t="s">
        <v>302</v>
      </c>
      <c r="F9814" t="s">
        <v>10566</v>
      </c>
      <c r="G9814">
        <v>0</v>
      </c>
      <c r="H9814">
        <v>0</v>
      </c>
      <c r="I9814">
        <v>0</v>
      </c>
      <c r="J9814">
        <v>0</v>
      </c>
      <c r="K9814">
        <v>0</v>
      </c>
      <c r="L9814">
        <v>0</v>
      </c>
      <c r="M9814">
        <v>0</v>
      </c>
      <c r="N9814">
        <v>0</v>
      </c>
      <c r="O9814">
        <v>0</v>
      </c>
    </row>
    <row r="9815" spans="1:15" x14ac:dyDescent="0.35">
      <c r="A9815" t="s">
        <v>10560</v>
      </c>
      <c r="B9815" t="s">
        <v>10561</v>
      </c>
      <c r="C9815" t="s">
        <v>292</v>
      </c>
      <c r="D9815" t="s">
        <v>293</v>
      </c>
      <c r="E9815" t="s">
        <v>304</v>
      </c>
      <c r="F9815" t="s">
        <v>10567</v>
      </c>
      <c r="G9815">
        <v>0</v>
      </c>
      <c r="H9815">
        <v>0</v>
      </c>
      <c r="I9815">
        <v>0</v>
      </c>
      <c r="J9815">
        <v>0</v>
      </c>
      <c r="K9815">
        <v>0</v>
      </c>
      <c r="L9815">
        <v>0</v>
      </c>
      <c r="M9815">
        <v>0</v>
      </c>
      <c r="N9815">
        <v>0</v>
      </c>
      <c r="O9815">
        <v>0</v>
      </c>
    </row>
    <row r="9816" spans="1:15" x14ac:dyDescent="0.35">
      <c r="A9816" t="s">
        <v>10560</v>
      </c>
      <c r="B9816" t="s">
        <v>10561</v>
      </c>
      <c r="C9816" t="s">
        <v>292</v>
      </c>
      <c r="D9816" t="s">
        <v>293</v>
      </c>
      <c r="E9816" t="s">
        <v>306</v>
      </c>
      <c r="F9816" t="s">
        <v>10568</v>
      </c>
      <c r="G9816">
        <v>1</v>
      </c>
      <c r="H9816">
        <v>139.18</v>
      </c>
      <c r="I9816">
        <v>139.18</v>
      </c>
      <c r="J9816">
        <v>0</v>
      </c>
      <c r="K9816">
        <v>0</v>
      </c>
      <c r="L9816">
        <v>0</v>
      </c>
      <c r="M9816">
        <v>1</v>
      </c>
      <c r="N9816">
        <v>139.18</v>
      </c>
      <c r="O9816">
        <v>139.18</v>
      </c>
    </row>
    <row r="9817" spans="1:15" x14ac:dyDescent="0.35">
      <c r="A9817" t="s">
        <v>10560</v>
      </c>
      <c r="B9817" t="s">
        <v>10561</v>
      </c>
      <c r="C9817" t="s">
        <v>292</v>
      </c>
      <c r="D9817" t="s">
        <v>293</v>
      </c>
      <c r="E9817" t="s">
        <v>308</v>
      </c>
      <c r="F9817" t="s">
        <v>10569</v>
      </c>
      <c r="G9817">
        <v>0</v>
      </c>
      <c r="H9817">
        <v>0</v>
      </c>
      <c r="I9817">
        <v>0</v>
      </c>
      <c r="J9817">
        <v>0</v>
      </c>
      <c r="K9817">
        <v>0</v>
      </c>
      <c r="L9817">
        <v>0</v>
      </c>
      <c r="M9817">
        <v>0</v>
      </c>
      <c r="N9817">
        <v>0</v>
      </c>
      <c r="O9817">
        <v>0</v>
      </c>
    </row>
    <row r="9818" spans="1:15" x14ac:dyDescent="0.35">
      <c r="A9818" t="s">
        <v>10560</v>
      </c>
      <c r="B9818" t="s">
        <v>10561</v>
      </c>
      <c r="C9818" t="s">
        <v>292</v>
      </c>
      <c r="D9818" t="s">
        <v>293</v>
      </c>
      <c r="E9818" t="s">
        <v>310</v>
      </c>
      <c r="F9818" t="s">
        <v>10570</v>
      </c>
      <c r="G9818">
        <v>1069</v>
      </c>
      <c r="H9818">
        <v>142186.07999999999</v>
      </c>
      <c r="I9818">
        <v>133.01</v>
      </c>
      <c r="J9818">
        <v>16</v>
      </c>
      <c r="K9818">
        <v>2298.7199999999998</v>
      </c>
      <c r="L9818">
        <v>143.66999999999999</v>
      </c>
      <c r="M9818">
        <v>1085</v>
      </c>
      <c r="N9818">
        <v>144484.79999999999</v>
      </c>
      <c r="O9818">
        <v>133.16999999999999</v>
      </c>
    </row>
    <row r="9819" spans="1:15" x14ac:dyDescent="0.35">
      <c r="A9819" t="s">
        <v>10560</v>
      </c>
      <c r="B9819" t="s">
        <v>10561</v>
      </c>
      <c r="C9819" t="s">
        <v>292</v>
      </c>
      <c r="D9819" t="s">
        <v>293</v>
      </c>
      <c r="E9819" t="s">
        <v>312</v>
      </c>
      <c r="F9819" t="s">
        <v>10571</v>
      </c>
      <c r="G9819">
        <v>1069</v>
      </c>
      <c r="H9819">
        <v>142186.07999999999</v>
      </c>
      <c r="I9819">
        <v>133.01</v>
      </c>
      <c r="J9819">
        <v>16</v>
      </c>
      <c r="K9819">
        <v>2298.7199999999998</v>
      </c>
      <c r="L9819">
        <v>143.66999999999999</v>
      </c>
      <c r="M9819">
        <v>1085</v>
      </c>
      <c r="N9819">
        <v>144484.79999999999</v>
      </c>
      <c r="O9819">
        <v>133.16999999999999</v>
      </c>
    </row>
    <row r="9820" spans="1:15" x14ac:dyDescent="0.35">
      <c r="A9820" t="s">
        <v>10560</v>
      </c>
      <c r="B9820" t="s">
        <v>10561</v>
      </c>
      <c r="C9820" t="s">
        <v>292</v>
      </c>
      <c r="D9820" t="s">
        <v>314</v>
      </c>
      <c r="E9820" t="s">
        <v>294</v>
      </c>
      <c r="F9820" t="s">
        <v>10572</v>
      </c>
      <c r="G9820">
        <v>19</v>
      </c>
      <c r="H9820">
        <v>3308.09</v>
      </c>
      <c r="I9820">
        <v>174.11</v>
      </c>
      <c r="J9820">
        <v>0</v>
      </c>
      <c r="K9820">
        <v>0</v>
      </c>
      <c r="L9820">
        <v>0</v>
      </c>
      <c r="M9820">
        <v>19</v>
      </c>
      <c r="N9820">
        <v>3308.09</v>
      </c>
      <c r="O9820">
        <v>174.11</v>
      </c>
    </row>
    <row r="9821" spans="1:15" x14ac:dyDescent="0.35">
      <c r="A9821" t="s">
        <v>10560</v>
      </c>
      <c r="B9821" t="s">
        <v>10561</v>
      </c>
      <c r="C9821" t="s">
        <v>292</v>
      </c>
      <c r="D9821" t="s">
        <v>314</v>
      </c>
      <c r="E9821" t="s">
        <v>296</v>
      </c>
      <c r="F9821" t="s">
        <v>10573</v>
      </c>
      <c r="G9821">
        <v>56</v>
      </c>
      <c r="H9821">
        <v>10145.92</v>
      </c>
      <c r="I9821">
        <v>181.18</v>
      </c>
      <c r="J9821">
        <v>0</v>
      </c>
      <c r="K9821">
        <v>0</v>
      </c>
      <c r="L9821">
        <v>0</v>
      </c>
      <c r="M9821">
        <v>56</v>
      </c>
      <c r="N9821">
        <v>10145.92</v>
      </c>
      <c r="O9821">
        <v>181.18</v>
      </c>
    </row>
    <row r="9822" spans="1:15" x14ac:dyDescent="0.35">
      <c r="A9822" t="s">
        <v>10560</v>
      </c>
      <c r="B9822" t="s">
        <v>10561</v>
      </c>
      <c r="C9822" t="s">
        <v>292</v>
      </c>
      <c r="D9822" t="s">
        <v>314</v>
      </c>
      <c r="E9822" t="s">
        <v>298</v>
      </c>
      <c r="F9822" t="s">
        <v>10574</v>
      </c>
      <c r="G9822">
        <v>3</v>
      </c>
      <c r="H9822">
        <v>426.47</v>
      </c>
      <c r="I9822">
        <v>142.16</v>
      </c>
      <c r="J9822">
        <v>0</v>
      </c>
      <c r="K9822">
        <v>0</v>
      </c>
      <c r="L9822">
        <v>0</v>
      </c>
      <c r="M9822">
        <v>3</v>
      </c>
      <c r="N9822">
        <v>426.47</v>
      </c>
      <c r="O9822">
        <v>142.16</v>
      </c>
    </row>
    <row r="9823" spans="1:15" x14ac:dyDescent="0.35">
      <c r="A9823" t="s">
        <v>10560</v>
      </c>
      <c r="B9823" t="s">
        <v>10561</v>
      </c>
      <c r="C9823" t="s">
        <v>292</v>
      </c>
      <c r="D9823" t="s">
        <v>314</v>
      </c>
      <c r="E9823" t="s">
        <v>300</v>
      </c>
      <c r="F9823" t="s">
        <v>10575</v>
      </c>
      <c r="G9823">
        <v>0</v>
      </c>
      <c r="H9823">
        <v>0</v>
      </c>
      <c r="I9823">
        <v>0</v>
      </c>
      <c r="J9823">
        <v>0</v>
      </c>
      <c r="K9823">
        <v>0</v>
      </c>
      <c r="L9823">
        <v>0</v>
      </c>
      <c r="M9823">
        <v>0</v>
      </c>
      <c r="N9823">
        <v>0</v>
      </c>
      <c r="O9823">
        <v>0</v>
      </c>
    </row>
    <row r="9824" spans="1:15" x14ac:dyDescent="0.35">
      <c r="A9824" t="s">
        <v>10560</v>
      </c>
      <c r="B9824" t="s">
        <v>10561</v>
      </c>
      <c r="C9824" t="s">
        <v>292</v>
      </c>
      <c r="D9824" t="s">
        <v>314</v>
      </c>
      <c r="E9824" t="s">
        <v>306</v>
      </c>
      <c r="F9824" t="s">
        <v>10576</v>
      </c>
      <c r="G9824">
        <v>0</v>
      </c>
      <c r="H9824">
        <v>0</v>
      </c>
      <c r="I9824">
        <v>0</v>
      </c>
      <c r="J9824">
        <v>0</v>
      </c>
      <c r="K9824">
        <v>0</v>
      </c>
      <c r="L9824">
        <v>0</v>
      </c>
      <c r="M9824">
        <v>0</v>
      </c>
      <c r="N9824">
        <v>0</v>
      </c>
      <c r="O9824">
        <v>0</v>
      </c>
    </row>
    <row r="9825" spans="1:15" x14ac:dyDescent="0.35">
      <c r="A9825" t="s">
        <v>10560</v>
      </c>
      <c r="B9825" t="s">
        <v>10561</v>
      </c>
      <c r="C9825" t="s">
        <v>292</v>
      </c>
      <c r="D9825" t="s">
        <v>314</v>
      </c>
      <c r="E9825" t="s">
        <v>308</v>
      </c>
      <c r="F9825" t="s">
        <v>10577</v>
      </c>
      <c r="G9825">
        <v>0</v>
      </c>
      <c r="H9825">
        <v>0</v>
      </c>
      <c r="I9825">
        <v>0</v>
      </c>
      <c r="J9825">
        <v>0</v>
      </c>
      <c r="K9825">
        <v>0</v>
      </c>
      <c r="L9825">
        <v>0</v>
      </c>
      <c r="M9825">
        <v>0</v>
      </c>
      <c r="N9825">
        <v>0</v>
      </c>
      <c r="O9825">
        <v>0</v>
      </c>
    </row>
    <row r="9826" spans="1:15" x14ac:dyDescent="0.35">
      <c r="A9826" t="s">
        <v>10560</v>
      </c>
      <c r="B9826" t="s">
        <v>10561</v>
      </c>
      <c r="C9826" t="s">
        <v>292</v>
      </c>
      <c r="D9826" t="s">
        <v>314</v>
      </c>
      <c r="E9826" t="s">
        <v>312</v>
      </c>
      <c r="F9826" t="s">
        <v>10578</v>
      </c>
      <c r="G9826">
        <v>78</v>
      </c>
      <c r="H9826">
        <v>13880.48</v>
      </c>
      <c r="I9826">
        <v>177.95</v>
      </c>
      <c r="J9826">
        <v>0</v>
      </c>
      <c r="K9826">
        <v>0</v>
      </c>
      <c r="L9826">
        <v>0</v>
      </c>
      <c r="M9826">
        <v>78</v>
      </c>
      <c r="N9826">
        <v>13880.48</v>
      </c>
      <c r="O9826">
        <v>177.95</v>
      </c>
    </row>
    <row r="9827" spans="1:15" x14ac:dyDescent="0.35">
      <c r="A9827" t="s">
        <v>10560</v>
      </c>
      <c r="B9827" t="s">
        <v>10561</v>
      </c>
      <c r="C9827" t="s">
        <v>292</v>
      </c>
      <c r="D9827" t="s">
        <v>314</v>
      </c>
      <c r="E9827" t="s">
        <v>310</v>
      </c>
      <c r="F9827" t="s">
        <v>10579</v>
      </c>
      <c r="G9827">
        <v>78</v>
      </c>
      <c r="H9827">
        <v>13880.48</v>
      </c>
      <c r="I9827">
        <v>177.95</v>
      </c>
      <c r="J9827">
        <v>0</v>
      </c>
      <c r="K9827">
        <v>0</v>
      </c>
      <c r="L9827">
        <v>0</v>
      </c>
      <c r="M9827">
        <v>78</v>
      </c>
      <c r="N9827">
        <v>13880.48</v>
      </c>
      <c r="O9827">
        <v>177.95</v>
      </c>
    </row>
    <row r="9828" spans="1:15" x14ac:dyDescent="0.35">
      <c r="A9828" t="s">
        <v>10560</v>
      </c>
      <c r="B9828" t="s">
        <v>10561</v>
      </c>
      <c r="C9828" t="s">
        <v>292</v>
      </c>
      <c r="D9828" t="s">
        <v>323</v>
      </c>
      <c r="E9828" t="s">
        <v>294</v>
      </c>
      <c r="F9828" t="s">
        <v>10580</v>
      </c>
      <c r="G9828">
        <v>743</v>
      </c>
      <c r="H9828">
        <v>64823.09</v>
      </c>
      <c r="I9828">
        <v>87.25</v>
      </c>
      <c r="J9828">
        <v>2945</v>
      </c>
      <c r="K9828">
        <v>233185.1</v>
      </c>
      <c r="L9828">
        <v>79.180000000000007</v>
      </c>
      <c r="M9828">
        <v>3688</v>
      </c>
      <c r="N9828">
        <v>298008.19</v>
      </c>
      <c r="O9828">
        <v>80.8</v>
      </c>
    </row>
    <row r="9829" spans="1:15" x14ac:dyDescent="0.35">
      <c r="A9829" t="s">
        <v>10560</v>
      </c>
      <c r="B9829" t="s">
        <v>10561</v>
      </c>
      <c r="C9829" t="s">
        <v>292</v>
      </c>
      <c r="D9829" t="s">
        <v>323</v>
      </c>
      <c r="E9829" t="s">
        <v>296</v>
      </c>
      <c r="F9829" t="s">
        <v>10581</v>
      </c>
      <c r="G9829">
        <v>1233</v>
      </c>
      <c r="H9829">
        <v>120752.64</v>
      </c>
      <c r="I9829">
        <v>97.93</v>
      </c>
      <c r="J9829">
        <v>5370</v>
      </c>
      <c r="K9829">
        <v>482548.2</v>
      </c>
      <c r="L9829">
        <v>89.86</v>
      </c>
      <c r="M9829">
        <v>6603</v>
      </c>
      <c r="N9829">
        <v>603300.84</v>
      </c>
      <c r="O9829">
        <v>91.37</v>
      </c>
    </row>
    <row r="9830" spans="1:15" x14ac:dyDescent="0.35">
      <c r="A9830" t="s">
        <v>10560</v>
      </c>
      <c r="B9830" t="s">
        <v>10561</v>
      </c>
      <c r="C9830" t="s">
        <v>292</v>
      </c>
      <c r="D9830" t="s">
        <v>323</v>
      </c>
      <c r="E9830" t="s">
        <v>298</v>
      </c>
      <c r="F9830" t="s">
        <v>10582</v>
      </c>
      <c r="G9830">
        <v>1065</v>
      </c>
      <c r="H9830">
        <v>115267.76000000001</v>
      </c>
      <c r="I9830">
        <v>108.23</v>
      </c>
      <c r="J9830">
        <v>5990</v>
      </c>
      <c r="K9830">
        <v>573782.10000000009</v>
      </c>
      <c r="L9830">
        <v>95.79</v>
      </c>
      <c r="M9830">
        <v>7055</v>
      </c>
      <c r="N9830">
        <v>689049.8600000001</v>
      </c>
      <c r="O9830">
        <v>97.67</v>
      </c>
    </row>
    <row r="9831" spans="1:15" x14ac:dyDescent="0.35">
      <c r="A9831" t="s">
        <v>10560</v>
      </c>
      <c r="B9831" t="s">
        <v>10561</v>
      </c>
      <c r="C9831" t="s">
        <v>292</v>
      </c>
      <c r="D9831" t="s">
        <v>323</v>
      </c>
      <c r="E9831" t="s">
        <v>300</v>
      </c>
      <c r="F9831" t="s">
        <v>10583</v>
      </c>
      <c r="G9831">
        <v>72</v>
      </c>
      <c r="H9831">
        <v>8379.9499999999989</v>
      </c>
      <c r="I9831">
        <v>116.39</v>
      </c>
      <c r="J9831">
        <v>273</v>
      </c>
      <c r="K9831">
        <v>27455.609999999997</v>
      </c>
      <c r="L9831">
        <v>100.57</v>
      </c>
      <c r="M9831">
        <v>345</v>
      </c>
      <c r="N9831">
        <v>35835.56</v>
      </c>
      <c r="O9831">
        <v>103.87</v>
      </c>
    </row>
    <row r="9832" spans="1:15" x14ac:dyDescent="0.35">
      <c r="A9832" t="s">
        <v>10560</v>
      </c>
      <c r="B9832" t="s">
        <v>10561</v>
      </c>
      <c r="C9832" t="s">
        <v>292</v>
      </c>
      <c r="D9832" t="s">
        <v>323</v>
      </c>
      <c r="E9832" t="s">
        <v>302</v>
      </c>
      <c r="F9832" t="s">
        <v>10584</v>
      </c>
      <c r="G9832">
        <v>0</v>
      </c>
      <c r="H9832">
        <v>0</v>
      </c>
      <c r="I9832">
        <v>0</v>
      </c>
      <c r="J9832">
        <v>6</v>
      </c>
      <c r="K9832">
        <v>656.09999999999991</v>
      </c>
      <c r="L9832">
        <v>109.35</v>
      </c>
      <c r="M9832">
        <v>6</v>
      </c>
      <c r="N9832">
        <v>656.09999999999991</v>
      </c>
      <c r="O9832">
        <v>109.35</v>
      </c>
    </row>
    <row r="9833" spans="1:15" x14ac:dyDescent="0.35">
      <c r="A9833" t="s">
        <v>10560</v>
      </c>
      <c r="B9833" t="s">
        <v>10561</v>
      </c>
      <c r="C9833" t="s">
        <v>292</v>
      </c>
      <c r="D9833" t="s">
        <v>323</v>
      </c>
      <c r="E9833" t="s">
        <v>304</v>
      </c>
      <c r="F9833" t="s">
        <v>10585</v>
      </c>
      <c r="G9833">
        <v>0</v>
      </c>
      <c r="H9833">
        <v>0</v>
      </c>
      <c r="I9833">
        <v>0</v>
      </c>
      <c r="J9833">
        <v>0</v>
      </c>
      <c r="K9833">
        <v>0</v>
      </c>
      <c r="L9833">
        <v>0</v>
      </c>
      <c r="M9833">
        <v>0</v>
      </c>
      <c r="N9833">
        <v>0</v>
      </c>
      <c r="O9833">
        <v>0</v>
      </c>
    </row>
    <row r="9834" spans="1:15" x14ac:dyDescent="0.35">
      <c r="A9834" t="s">
        <v>10560</v>
      </c>
      <c r="B9834" t="s">
        <v>10561</v>
      </c>
      <c r="C9834" t="s">
        <v>292</v>
      </c>
      <c r="D9834" t="s">
        <v>323</v>
      </c>
      <c r="E9834" t="s">
        <v>306</v>
      </c>
      <c r="F9834" t="s">
        <v>10586</v>
      </c>
      <c r="G9834">
        <v>2</v>
      </c>
      <c r="H9834">
        <v>150.94</v>
      </c>
      <c r="I9834">
        <v>75.47</v>
      </c>
      <c r="J9834">
        <v>68</v>
      </c>
      <c r="K9834">
        <v>4768.84</v>
      </c>
      <c r="L9834">
        <v>70.13</v>
      </c>
      <c r="M9834">
        <v>70</v>
      </c>
      <c r="N9834">
        <v>4919.78</v>
      </c>
      <c r="O9834">
        <v>70.28</v>
      </c>
    </row>
    <row r="9835" spans="1:15" x14ac:dyDescent="0.35">
      <c r="A9835" t="s">
        <v>10560</v>
      </c>
      <c r="B9835" t="s">
        <v>10561</v>
      </c>
      <c r="C9835" t="s">
        <v>292</v>
      </c>
      <c r="D9835" t="s">
        <v>323</v>
      </c>
      <c r="E9835" t="s">
        <v>308</v>
      </c>
      <c r="F9835" t="s">
        <v>10587</v>
      </c>
      <c r="G9835">
        <v>0</v>
      </c>
      <c r="H9835">
        <v>0</v>
      </c>
      <c r="I9835">
        <v>0</v>
      </c>
      <c r="J9835">
        <v>0</v>
      </c>
      <c r="K9835">
        <v>0</v>
      </c>
      <c r="L9835">
        <v>0</v>
      </c>
      <c r="M9835">
        <v>0</v>
      </c>
      <c r="N9835">
        <v>0</v>
      </c>
      <c r="O9835">
        <v>0</v>
      </c>
    </row>
    <row r="9836" spans="1:15" x14ac:dyDescent="0.35">
      <c r="A9836" t="s">
        <v>10560</v>
      </c>
      <c r="B9836" t="s">
        <v>10561</v>
      </c>
      <c r="C9836" t="s">
        <v>292</v>
      </c>
      <c r="D9836" t="s">
        <v>323</v>
      </c>
      <c r="E9836" t="s">
        <v>310</v>
      </c>
      <c r="F9836" t="s">
        <v>10588</v>
      </c>
      <c r="G9836">
        <v>3115</v>
      </c>
      <c r="H9836">
        <v>309374.38</v>
      </c>
      <c r="I9836">
        <v>99.32</v>
      </c>
      <c r="J9836">
        <v>14652</v>
      </c>
      <c r="K9836">
        <v>1322395.9500000004</v>
      </c>
      <c r="L9836">
        <v>90.25</v>
      </c>
      <c r="M9836">
        <v>17767</v>
      </c>
      <c r="N9836">
        <v>1631770.3300000005</v>
      </c>
      <c r="O9836">
        <v>91.84</v>
      </c>
    </row>
    <row r="9837" spans="1:15" x14ac:dyDescent="0.35">
      <c r="A9837" t="s">
        <v>10560</v>
      </c>
      <c r="B9837" t="s">
        <v>10561</v>
      </c>
      <c r="C9837" t="s">
        <v>292</v>
      </c>
      <c r="D9837" t="s">
        <v>323</v>
      </c>
      <c r="E9837" t="s">
        <v>312</v>
      </c>
      <c r="F9837" t="s">
        <v>10589</v>
      </c>
      <c r="G9837">
        <v>3115</v>
      </c>
      <c r="H9837">
        <v>309374.38</v>
      </c>
      <c r="I9837">
        <v>99.32</v>
      </c>
      <c r="J9837">
        <v>14652</v>
      </c>
      <c r="K9837">
        <v>1322395.9500000004</v>
      </c>
      <c r="L9837">
        <v>90.25</v>
      </c>
      <c r="M9837">
        <v>17767</v>
      </c>
      <c r="N9837">
        <v>1631770.3300000005</v>
      </c>
      <c r="O9837">
        <v>91.84</v>
      </c>
    </row>
    <row r="9838" spans="1:15" x14ac:dyDescent="0.35">
      <c r="A9838" t="s">
        <v>10560</v>
      </c>
      <c r="B9838" t="s">
        <v>10561</v>
      </c>
      <c r="C9838" t="s">
        <v>292</v>
      </c>
      <c r="D9838" t="s">
        <v>334</v>
      </c>
      <c r="E9838" t="s">
        <v>312</v>
      </c>
      <c r="F9838" t="s">
        <v>10590</v>
      </c>
      <c r="G9838">
        <v>4251</v>
      </c>
      <c r="H9838">
        <v>451560.46</v>
      </c>
      <c r="I9838">
        <v>107.93</v>
      </c>
      <c r="J9838">
        <v>14668</v>
      </c>
      <c r="K9838">
        <v>1324694.6700000004</v>
      </c>
      <c r="L9838">
        <v>90.31</v>
      </c>
      <c r="M9838">
        <v>18919</v>
      </c>
      <c r="N9838">
        <v>1776255.1300000004</v>
      </c>
      <c r="O9838">
        <v>94.22</v>
      </c>
    </row>
    <row r="9839" spans="1:15" x14ac:dyDescent="0.35">
      <c r="A9839" t="s">
        <v>10560</v>
      </c>
      <c r="B9839" t="s">
        <v>10561</v>
      </c>
      <c r="C9839" t="s">
        <v>292</v>
      </c>
      <c r="D9839" t="s">
        <v>334</v>
      </c>
      <c r="E9839" t="s">
        <v>308</v>
      </c>
      <c r="F9839" t="s">
        <v>10591</v>
      </c>
      <c r="G9839">
        <v>0</v>
      </c>
      <c r="H9839">
        <v>0</v>
      </c>
      <c r="I9839">
        <v>0</v>
      </c>
      <c r="J9839">
        <v>0</v>
      </c>
      <c r="K9839">
        <v>0</v>
      </c>
      <c r="L9839">
        <v>0</v>
      </c>
      <c r="M9839">
        <v>0</v>
      </c>
      <c r="N9839">
        <v>0</v>
      </c>
      <c r="O9839">
        <v>0</v>
      </c>
    </row>
    <row r="9840" spans="1:15" x14ac:dyDescent="0.35">
      <c r="A9840" t="s">
        <v>10560</v>
      </c>
      <c r="B9840" t="s">
        <v>10561</v>
      </c>
      <c r="C9840" t="s">
        <v>292</v>
      </c>
      <c r="D9840" t="s">
        <v>337</v>
      </c>
      <c r="E9840" t="s">
        <v>337</v>
      </c>
      <c r="F9840" t="s">
        <v>10592</v>
      </c>
      <c r="G9840">
        <v>291</v>
      </c>
      <c r="J9840">
        <v>4</v>
      </c>
      <c r="M9840">
        <v>295</v>
      </c>
    </row>
    <row r="9841" spans="1:15" x14ac:dyDescent="0.35">
      <c r="A9841" t="s">
        <v>10560</v>
      </c>
      <c r="B9841" t="s">
        <v>10561</v>
      </c>
      <c r="C9841" t="s">
        <v>292</v>
      </c>
      <c r="D9841" t="s">
        <v>339</v>
      </c>
      <c r="E9841" t="s">
        <v>294</v>
      </c>
      <c r="F9841" t="s">
        <v>10593</v>
      </c>
      <c r="G9841">
        <v>508</v>
      </c>
      <c r="H9841">
        <v>47215.69</v>
      </c>
      <c r="I9841">
        <v>92.94</v>
      </c>
      <c r="J9841">
        <v>960</v>
      </c>
      <c r="K9841">
        <v>75984</v>
      </c>
      <c r="L9841">
        <v>79.150000000000006</v>
      </c>
      <c r="M9841">
        <v>1468</v>
      </c>
      <c r="N9841">
        <v>123199.69</v>
      </c>
      <c r="O9841">
        <v>83.92</v>
      </c>
    </row>
    <row r="9842" spans="1:15" x14ac:dyDescent="0.35">
      <c r="A9842" t="s">
        <v>10560</v>
      </c>
      <c r="B9842" t="s">
        <v>10561</v>
      </c>
      <c r="C9842" t="s">
        <v>292</v>
      </c>
      <c r="D9842" t="s">
        <v>339</v>
      </c>
      <c r="E9842" t="s">
        <v>296</v>
      </c>
      <c r="F9842" t="s">
        <v>10594</v>
      </c>
      <c r="G9842">
        <v>245</v>
      </c>
      <c r="H9842">
        <v>31114.769999999997</v>
      </c>
      <c r="I9842">
        <v>127</v>
      </c>
      <c r="J9842">
        <v>175</v>
      </c>
      <c r="K9842">
        <v>16140.25</v>
      </c>
      <c r="L9842">
        <v>92.23</v>
      </c>
      <c r="M9842">
        <v>420</v>
      </c>
      <c r="N9842">
        <v>47255.02</v>
      </c>
      <c r="O9842">
        <v>112.51</v>
      </c>
    </row>
    <row r="9843" spans="1:15" x14ac:dyDescent="0.35">
      <c r="A9843" t="s">
        <v>10560</v>
      </c>
      <c r="B9843" t="s">
        <v>10561</v>
      </c>
      <c r="C9843" t="s">
        <v>292</v>
      </c>
      <c r="D9843" t="s">
        <v>339</v>
      </c>
      <c r="E9843" t="s">
        <v>298</v>
      </c>
      <c r="F9843" t="s">
        <v>10595</v>
      </c>
      <c r="G9843">
        <v>21</v>
      </c>
      <c r="H9843">
        <v>2516.2999999999997</v>
      </c>
      <c r="I9843">
        <v>119.82</v>
      </c>
      <c r="J9843">
        <v>13</v>
      </c>
      <c r="K9843">
        <v>1395.94</v>
      </c>
      <c r="L9843">
        <v>107.38</v>
      </c>
      <c r="M9843">
        <v>34</v>
      </c>
      <c r="N9843">
        <v>3912.24</v>
      </c>
      <c r="O9843">
        <v>115.07</v>
      </c>
    </row>
    <row r="9844" spans="1:15" x14ac:dyDescent="0.35">
      <c r="A9844" t="s">
        <v>10560</v>
      </c>
      <c r="B9844" t="s">
        <v>10561</v>
      </c>
      <c r="C9844" t="s">
        <v>292</v>
      </c>
      <c r="D9844" t="s">
        <v>339</v>
      </c>
      <c r="E9844" t="s">
        <v>300</v>
      </c>
      <c r="F9844" t="s">
        <v>10596</v>
      </c>
      <c r="G9844">
        <v>0</v>
      </c>
      <c r="H9844">
        <v>0</v>
      </c>
      <c r="I9844">
        <v>0</v>
      </c>
      <c r="J9844">
        <v>1</v>
      </c>
      <c r="K9844">
        <v>118.21</v>
      </c>
      <c r="L9844">
        <v>118.21</v>
      </c>
      <c r="M9844">
        <v>1</v>
      </c>
      <c r="N9844">
        <v>118.21</v>
      </c>
      <c r="O9844">
        <v>118.21</v>
      </c>
    </row>
    <row r="9845" spans="1:15" x14ac:dyDescent="0.35">
      <c r="A9845" t="s">
        <v>10560</v>
      </c>
      <c r="B9845" t="s">
        <v>10561</v>
      </c>
      <c r="C9845" t="s">
        <v>292</v>
      </c>
      <c r="D9845" t="s">
        <v>339</v>
      </c>
      <c r="E9845" t="s">
        <v>306</v>
      </c>
      <c r="F9845" t="s">
        <v>10597</v>
      </c>
      <c r="G9845">
        <v>104</v>
      </c>
      <c r="H9845">
        <v>8490.56</v>
      </c>
      <c r="I9845">
        <v>81.64</v>
      </c>
      <c r="J9845">
        <v>8</v>
      </c>
      <c r="K9845">
        <v>457.44</v>
      </c>
      <c r="L9845">
        <v>57.18</v>
      </c>
      <c r="M9845">
        <v>112</v>
      </c>
      <c r="N9845">
        <v>8948</v>
      </c>
      <c r="O9845">
        <v>79.89</v>
      </c>
    </row>
    <row r="9846" spans="1:15" x14ac:dyDescent="0.35">
      <c r="A9846" t="s">
        <v>10560</v>
      </c>
      <c r="B9846" t="s">
        <v>10561</v>
      </c>
      <c r="C9846" t="s">
        <v>292</v>
      </c>
      <c r="D9846" t="s">
        <v>339</v>
      </c>
      <c r="E9846" t="s">
        <v>308</v>
      </c>
      <c r="F9846" t="s">
        <v>10598</v>
      </c>
      <c r="G9846">
        <v>72</v>
      </c>
      <c r="H9846">
        <v>11331.32</v>
      </c>
      <c r="I9846">
        <v>157.38</v>
      </c>
      <c r="J9846">
        <v>0</v>
      </c>
      <c r="K9846">
        <v>0</v>
      </c>
      <c r="L9846">
        <v>0</v>
      </c>
      <c r="M9846">
        <v>72</v>
      </c>
      <c r="N9846">
        <v>11331.32</v>
      </c>
      <c r="O9846">
        <v>157.38</v>
      </c>
    </row>
    <row r="9847" spans="1:15" x14ac:dyDescent="0.35">
      <c r="A9847" t="s">
        <v>10560</v>
      </c>
      <c r="B9847" t="s">
        <v>10561</v>
      </c>
      <c r="C9847" t="s">
        <v>292</v>
      </c>
      <c r="D9847" t="s">
        <v>339</v>
      </c>
      <c r="E9847" t="s">
        <v>310</v>
      </c>
      <c r="F9847" t="s">
        <v>10599</v>
      </c>
      <c r="G9847">
        <v>950</v>
      </c>
      <c r="H9847">
        <v>100668.63999999998</v>
      </c>
      <c r="I9847">
        <v>105.97</v>
      </c>
      <c r="J9847">
        <v>1157</v>
      </c>
      <c r="K9847">
        <v>94095.840000000011</v>
      </c>
      <c r="L9847">
        <v>81.33</v>
      </c>
      <c r="M9847">
        <v>2107</v>
      </c>
      <c r="N9847">
        <v>194764.47999999998</v>
      </c>
      <c r="O9847">
        <v>92.44</v>
      </c>
    </row>
    <row r="9848" spans="1:15" x14ac:dyDescent="0.35">
      <c r="A9848" t="s">
        <v>10560</v>
      </c>
      <c r="B9848" t="s">
        <v>10561</v>
      </c>
      <c r="C9848" t="s">
        <v>292</v>
      </c>
      <c r="D9848" t="s">
        <v>339</v>
      </c>
      <c r="E9848" t="s">
        <v>312</v>
      </c>
      <c r="F9848" t="s">
        <v>10600</v>
      </c>
      <c r="G9848">
        <v>878</v>
      </c>
      <c r="H9848">
        <v>89337.319999999992</v>
      </c>
      <c r="I9848">
        <v>101.75</v>
      </c>
      <c r="J9848">
        <v>1157</v>
      </c>
      <c r="K9848">
        <v>94095.840000000011</v>
      </c>
      <c r="L9848">
        <v>81.33</v>
      </c>
      <c r="M9848">
        <v>2035</v>
      </c>
      <c r="N9848">
        <v>183433.16</v>
      </c>
      <c r="O9848">
        <v>90.14</v>
      </c>
    </row>
    <row r="9849" spans="1:15" x14ac:dyDescent="0.35">
      <c r="A9849" t="s">
        <v>10560</v>
      </c>
      <c r="B9849" t="s">
        <v>10561</v>
      </c>
      <c r="C9849" t="s">
        <v>292</v>
      </c>
      <c r="D9849" t="s">
        <v>348</v>
      </c>
      <c r="E9849" t="s">
        <v>349</v>
      </c>
      <c r="F9849" t="s">
        <v>10601</v>
      </c>
      <c r="G9849">
        <v>1131</v>
      </c>
      <c r="H9849">
        <v>114549.12</v>
      </c>
      <c r="I9849">
        <v>111.43</v>
      </c>
      <c r="J9849">
        <v>1157</v>
      </c>
      <c r="K9849">
        <v>94095.840000000011</v>
      </c>
      <c r="L9849">
        <v>81.33</v>
      </c>
      <c r="M9849">
        <v>2288</v>
      </c>
      <c r="N9849">
        <v>208644.96000000002</v>
      </c>
      <c r="O9849">
        <v>95.49</v>
      </c>
    </row>
    <row r="9850" spans="1:15" x14ac:dyDescent="0.35">
      <c r="A9850" t="s">
        <v>10602</v>
      </c>
      <c r="B9850" t="s">
        <v>169</v>
      </c>
      <c r="C9850" t="s">
        <v>292</v>
      </c>
      <c r="D9850" t="s">
        <v>293</v>
      </c>
      <c r="E9850" t="s">
        <v>294</v>
      </c>
      <c r="F9850" t="s">
        <v>10603</v>
      </c>
      <c r="G9850">
        <v>149</v>
      </c>
      <c r="H9850">
        <v>14612.24</v>
      </c>
      <c r="I9850">
        <v>98.07</v>
      </c>
      <c r="J9850">
        <v>12</v>
      </c>
      <c r="K9850">
        <v>1110.48</v>
      </c>
      <c r="L9850">
        <v>92.54</v>
      </c>
      <c r="M9850">
        <v>161</v>
      </c>
      <c r="N9850">
        <v>15722.72</v>
      </c>
      <c r="O9850">
        <v>97.66</v>
      </c>
    </row>
    <row r="9851" spans="1:15" x14ac:dyDescent="0.35">
      <c r="A9851" t="s">
        <v>10602</v>
      </c>
      <c r="B9851" t="s">
        <v>169</v>
      </c>
      <c r="C9851" t="s">
        <v>292</v>
      </c>
      <c r="D9851" t="s">
        <v>293</v>
      </c>
      <c r="E9851" t="s">
        <v>296</v>
      </c>
      <c r="F9851" t="s">
        <v>10604</v>
      </c>
      <c r="G9851">
        <v>1582</v>
      </c>
      <c r="H9851">
        <v>190118.65</v>
      </c>
      <c r="I9851">
        <v>120.18</v>
      </c>
      <c r="J9851">
        <v>51</v>
      </c>
      <c r="K9851">
        <v>5991.99</v>
      </c>
      <c r="L9851">
        <v>117.49</v>
      </c>
      <c r="M9851">
        <v>1633</v>
      </c>
      <c r="N9851">
        <v>196110.63999999998</v>
      </c>
      <c r="O9851">
        <v>120.09</v>
      </c>
    </row>
    <row r="9852" spans="1:15" x14ac:dyDescent="0.35">
      <c r="A9852" t="s">
        <v>10602</v>
      </c>
      <c r="B9852" t="s">
        <v>169</v>
      </c>
      <c r="C9852" t="s">
        <v>292</v>
      </c>
      <c r="D9852" t="s">
        <v>293</v>
      </c>
      <c r="E9852" t="s">
        <v>298</v>
      </c>
      <c r="F9852" t="s">
        <v>10605</v>
      </c>
      <c r="G9852">
        <v>890</v>
      </c>
      <c r="H9852">
        <v>119218.91999999998</v>
      </c>
      <c r="I9852">
        <v>133.94999999999999</v>
      </c>
      <c r="J9852">
        <v>39</v>
      </c>
      <c r="K9852">
        <v>4902.6899999999996</v>
      </c>
      <c r="L9852">
        <v>125.71</v>
      </c>
      <c r="M9852">
        <v>929</v>
      </c>
      <c r="N9852">
        <v>124121.60999999999</v>
      </c>
      <c r="O9852">
        <v>133.61000000000001</v>
      </c>
    </row>
    <row r="9853" spans="1:15" x14ac:dyDescent="0.35">
      <c r="A9853" t="s">
        <v>10602</v>
      </c>
      <c r="B9853" t="s">
        <v>169</v>
      </c>
      <c r="C9853" t="s">
        <v>292</v>
      </c>
      <c r="D9853" t="s">
        <v>293</v>
      </c>
      <c r="E9853" t="s">
        <v>300</v>
      </c>
      <c r="F9853" t="s">
        <v>10606</v>
      </c>
      <c r="G9853">
        <v>79</v>
      </c>
      <c r="H9853">
        <v>11597.109999999999</v>
      </c>
      <c r="I9853">
        <v>146.80000000000001</v>
      </c>
      <c r="J9853">
        <v>2</v>
      </c>
      <c r="K9853">
        <v>259</v>
      </c>
      <c r="L9853">
        <v>129.5</v>
      </c>
      <c r="M9853">
        <v>81</v>
      </c>
      <c r="N9853">
        <v>11856.109999999999</v>
      </c>
      <c r="O9853">
        <v>146.37</v>
      </c>
    </row>
    <row r="9854" spans="1:15" x14ac:dyDescent="0.35">
      <c r="A9854" t="s">
        <v>10602</v>
      </c>
      <c r="B9854" t="s">
        <v>169</v>
      </c>
      <c r="C9854" t="s">
        <v>292</v>
      </c>
      <c r="D9854" t="s">
        <v>293</v>
      </c>
      <c r="E9854" t="s">
        <v>302</v>
      </c>
      <c r="F9854" t="s">
        <v>10607</v>
      </c>
      <c r="G9854">
        <v>0</v>
      </c>
      <c r="H9854">
        <v>0</v>
      </c>
      <c r="I9854">
        <v>0</v>
      </c>
      <c r="J9854">
        <v>0</v>
      </c>
      <c r="K9854">
        <v>0</v>
      </c>
      <c r="L9854">
        <v>0</v>
      </c>
      <c r="M9854">
        <v>0</v>
      </c>
      <c r="N9854">
        <v>0</v>
      </c>
      <c r="O9854">
        <v>0</v>
      </c>
    </row>
    <row r="9855" spans="1:15" x14ac:dyDescent="0.35">
      <c r="A9855" t="s">
        <v>10602</v>
      </c>
      <c r="B9855" t="s">
        <v>169</v>
      </c>
      <c r="C9855" t="s">
        <v>292</v>
      </c>
      <c r="D9855" t="s">
        <v>293</v>
      </c>
      <c r="E9855" t="s">
        <v>304</v>
      </c>
      <c r="F9855" t="s">
        <v>10608</v>
      </c>
      <c r="G9855">
        <v>0</v>
      </c>
      <c r="H9855">
        <v>0</v>
      </c>
      <c r="I9855">
        <v>0</v>
      </c>
      <c r="J9855">
        <v>1</v>
      </c>
      <c r="K9855">
        <v>124.18</v>
      </c>
      <c r="L9855">
        <v>124.18</v>
      </c>
      <c r="M9855">
        <v>1</v>
      </c>
      <c r="N9855">
        <v>124.18</v>
      </c>
      <c r="O9855">
        <v>124.18</v>
      </c>
    </row>
    <row r="9856" spans="1:15" x14ac:dyDescent="0.35">
      <c r="A9856" t="s">
        <v>10602</v>
      </c>
      <c r="B9856" t="s">
        <v>169</v>
      </c>
      <c r="C9856" t="s">
        <v>292</v>
      </c>
      <c r="D9856" t="s">
        <v>293</v>
      </c>
      <c r="E9856" t="s">
        <v>306</v>
      </c>
      <c r="F9856" t="s">
        <v>10609</v>
      </c>
      <c r="G9856">
        <v>1</v>
      </c>
      <c r="H9856">
        <v>96.93</v>
      </c>
      <c r="I9856">
        <v>96.93</v>
      </c>
      <c r="J9856">
        <v>0</v>
      </c>
      <c r="K9856">
        <v>0</v>
      </c>
      <c r="L9856">
        <v>0</v>
      </c>
      <c r="M9856">
        <v>1</v>
      </c>
      <c r="N9856">
        <v>96.93</v>
      </c>
      <c r="O9856">
        <v>96.93</v>
      </c>
    </row>
    <row r="9857" spans="1:15" x14ac:dyDescent="0.35">
      <c r="A9857" t="s">
        <v>10602</v>
      </c>
      <c r="B9857" t="s">
        <v>169</v>
      </c>
      <c r="C9857" t="s">
        <v>292</v>
      </c>
      <c r="D9857" t="s">
        <v>293</v>
      </c>
      <c r="E9857" t="s">
        <v>308</v>
      </c>
      <c r="F9857" t="s">
        <v>10610</v>
      </c>
      <c r="G9857">
        <v>0</v>
      </c>
      <c r="H9857">
        <v>0</v>
      </c>
      <c r="I9857">
        <v>0</v>
      </c>
      <c r="J9857">
        <v>0</v>
      </c>
      <c r="K9857">
        <v>0</v>
      </c>
      <c r="L9857">
        <v>0</v>
      </c>
      <c r="M9857">
        <v>0</v>
      </c>
      <c r="N9857">
        <v>0</v>
      </c>
      <c r="O9857">
        <v>0</v>
      </c>
    </row>
    <row r="9858" spans="1:15" x14ac:dyDescent="0.35">
      <c r="A9858" t="s">
        <v>10602</v>
      </c>
      <c r="B9858" t="s">
        <v>169</v>
      </c>
      <c r="C9858" t="s">
        <v>292</v>
      </c>
      <c r="D9858" t="s">
        <v>293</v>
      </c>
      <c r="E9858" t="s">
        <v>310</v>
      </c>
      <c r="F9858" t="s">
        <v>10611</v>
      </c>
      <c r="G9858">
        <v>2701</v>
      </c>
      <c r="H9858">
        <v>335643.84999999992</v>
      </c>
      <c r="I9858">
        <v>124.27</v>
      </c>
      <c r="J9858">
        <v>105</v>
      </c>
      <c r="K9858">
        <v>12388.34</v>
      </c>
      <c r="L9858">
        <v>117.98</v>
      </c>
      <c r="M9858">
        <v>2806</v>
      </c>
      <c r="N9858">
        <v>348032.18999999994</v>
      </c>
      <c r="O9858">
        <v>124.03</v>
      </c>
    </row>
    <row r="9859" spans="1:15" x14ac:dyDescent="0.35">
      <c r="A9859" t="s">
        <v>10602</v>
      </c>
      <c r="B9859" t="s">
        <v>169</v>
      </c>
      <c r="C9859" t="s">
        <v>292</v>
      </c>
      <c r="D9859" t="s">
        <v>293</v>
      </c>
      <c r="E9859" t="s">
        <v>312</v>
      </c>
      <c r="F9859" t="s">
        <v>10612</v>
      </c>
      <c r="G9859">
        <v>2701</v>
      </c>
      <c r="H9859">
        <v>335643.84999999992</v>
      </c>
      <c r="I9859">
        <v>124.27</v>
      </c>
      <c r="J9859">
        <v>105</v>
      </c>
      <c r="K9859">
        <v>12388.34</v>
      </c>
      <c r="L9859">
        <v>117.98</v>
      </c>
      <c r="M9859">
        <v>2806</v>
      </c>
      <c r="N9859">
        <v>348032.18999999994</v>
      </c>
      <c r="O9859">
        <v>124.03</v>
      </c>
    </row>
    <row r="9860" spans="1:15" x14ac:dyDescent="0.35">
      <c r="A9860" t="s">
        <v>10602</v>
      </c>
      <c r="B9860" t="s">
        <v>169</v>
      </c>
      <c r="C9860" t="s">
        <v>292</v>
      </c>
      <c r="D9860" t="s">
        <v>314</v>
      </c>
      <c r="E9860" t="s">
        <v>294</v>
      </c>
      <c r="F9860" t="s">
        <v>10613</v>
      </c>
      <c r="G9860">
        <v>74</v>
      </c>
      <c r="H9860">
        <v>21820.260000000002</v>
      </c>
      <c r="I9860">
        <v>294.87</v>
      </c>
      <c r="J9860">
        <v>52</v>
      </c>
      <c r="K9860">
        <v>8342.8799999999992</v>
      </c>
      <c r="L9860">
        <v>160.44</v>
      </c>
      <c r="M9860">
        <v>126</v>
      </c>
      <c r="N9860">
        <v>30163.14</v>
      </c>
      <c r="O9860">
        <v>239.39</v>
      </c>
    </row>
    <row r="9861" spans="1:15" x14ac:dyDescent="0.35">
      <c r="A9861" t="s">
        <v>10602</v>
      </c>
      <c r="B9861" t="s">
        <v>169</v>
      </c>
      <c r="C9861" t="s">
        <v>292</v>
      </c>
      <c r="D9861" t="s">
        <v>314</v>
      </c>
      <c r="E9861" t="s">
        <v>296</v>
      </c>
      <c r="F9861" t="s">
        <v>10614</v>
      </c>
      <c r="G9861">
        <v>135</v>
      </c>
      <c r="H9861">
        <v>36951.96</v>
      </c>
      <c r="I9861">
        <v>273.72000000000003</v>
      </c>
      <c r="J9861">
        <v>18</v>
      </c>
      <c r="K9861">
        <v>2938.5</v>
      </c>
      <c r="L9861">
        <v>163.25</v>
      </c>
      <c r="M9861">
        <v>153</v>
      </c>
      <c r="N9861">
        <v>39890.46</v>
      </c>
      <c r="O9861">
        <v>260.72000000000003</v>
      </c>
    </row>
    <row r="9862" spans="1:15" x14ac:dyDescent="0.35">
      <c r="A9862" t="s">
        <v>10602</v>
      </c>
      <c r="B9862" t="s">
        <v>169</v>
      </c>
      <c r="C9862" t="s">
        <v>292</v>
      </c>
      <c r="D9862" t="s">
        <v>314</v>
      </c>
      <c r="E9862" t="s">
        <v>298</v>
      </c>
      <c r="F9862" t="s">
        <v>10615</v>
      </c>
      <c r="G9862">
        <v>0</v>
      </c>
      <c r="H9862">
        <v>0</v>
      </c>
      <c r="I9862">
        <v>0</v>
      </c>
      <c r="J9862">
        <v>3</v>
      </c>
      <c r="K9862">
        <v>461.01</v>
      </c>
      <c r="L9862">
        <v>153.66999999999999</v>
      </c>
      <c r="M9862">
        <v>3</v>
      </c>
      <c r="N9862">
        <v>461.01</v>
      </c>
      <c r="O9862">
        <v>153.66999999999999</v>
      </c>
    </row>
    <row r="9863" spans="1:15" x14ac:dyDescent="0.35">
      <c r="A9863" t="s">
        <v>10602</v>
      </c>
      <c r="B9863" t="s">
        <v>169</v>
      </c>
      <c r="C9863" t="s">
        <v>292</v>
      </c>
      <c r="D9863" t="s">
        <v>314</v>
      </c>
      <c r="E9863" t="s">
        <v>300</v>
      </c>
      <c r="F9863" t="s">
        <v>10616</v>
      </c>
      <c r="G9863">
        <v>0</v>
      </c>
      <c r="H9863">
        <v>0</v>
      </c>
      <c r="I9863">
        <v>0</v>
      </c>
      <c r="J9863">
        <v>0</v>
      </c>
      <c r="K9863">
        <v>0</v>
      </c>
      <c r="L9863">
        <v>0</v>
      </c>
      <c r="M9863">
        <v>0</v>
      </c>
      <c r="N9863">
        <v>0</v>
      </c>
      <c r="O9863">
        <v>0</v>
      </c>
    </row>
    <row r="9864" spans="1:15" x14ac:dyDescent="0.35">
      <c r="A9864" t="s">
        <v>10602</v>
      </c>
      <c r="B9864" t="s">
        <v>169</v>
      </c>
      <c r="C9864" t="s">
        <v>292</v>
      </c>
      <c r="D9864" t="s">
        <v>314</v>
      </c>
      <c r="E9864" t="s">
        <v>306</v>
      </c>
      <c r="F9864" t="s">
        <v>10617</v>
      </c>
      <c r="G9864">
        <v>0</v>
      </c>
      <c r="H9864">
        <v>0</v>
      </c>
      <c r="I9864">
        <v>0</v>
      </c>
      <c r="J9864">
        <v>0</v>
      </c>
      <c r="K9864">
        <v>0</v>
      </c>
      <c r="L9864">
        <v>0</v>
      </c>
      <c r="M9864">
        <v>0</v>
      </c>
      <c r="N9864">
        <v>0</v>
      </c>
      <c r="O9864">
        <v>0</v>
      </c>
    </row>
    <row r="9865" spans="1:15" x14ac:dyDescent="0.35">
      <c r="A9865" t="s">
        <v>10602</v>
      </c>
      <c r="B9865" t="s">
        <v>169</v>
      </c>
      <c r="C9865" t="s">
        <v>292</v>
      </c>
      <c r="D9865" t="s">
        <v>314</v>
      </c>
      <c r="E9865" t="s">
        <v>308</v>
      </c>
      <c r="F9865" t="s">
        <v>10618</v>
      </c>
      <c r="G9865">
        <v>3</v>
      </c>
      <c r="H9865">
        <v>709.71</v>
      </c>
      <c r="I9865">
        <v>236.57</v>
      </c>
      <c r="J9865">
        <v>0</v>
      </c>
      <c r="K9865">
        <v>0</v>
      </c>
      <c r="L9865">
        <v>0</v>
      </c>
      <c r="M9865">
        <v>3</v>
      </c>
      <c r="N9865">
        <v>709.71</v>
      </c>
      <c r="O9865">
        <v>236.57</v>
      </c>
    </row>
    <row r="9866" spans="1:15" x14ac:dyDescent="0.35">
      <c r="A9866" t="s">
        <v>10602</v>
      </c>
      <c r="B9866" t="s">
        <v>169</v>
      </c>
      <c r="C9866" t="s">
        <v>292</v>
      </c>
      <c r="D9866" t="s">
        <v>314</v>
      </c>
      <c r="E9866" t="s">
        <v>312</v>
      </c>
      <c r="F9866" t="s">
        <v>10619</v>
      </c>
      <c r="G9866">
        <v>209</v>
      </c>
      <c r="H9866">
        <v>58772.22</v>
      </c>
      <c r="I9866">
        <v>281.20999999999998</v>
      </c>
      <c r="J9866">
        <v>73</v>
      </c>
      <c r="K9866">
        <v>11742.39</v>
      </c>
      <c r="L9866">
        <v>160.85</v>
      </c>
      <c r="M9866">
        <v>282</v>
      </c>
      <c r="N9866">
        <v>70514.61</v>
      </c>
      <c r="O9866">
        <v>250.05</v>
      </c>
    </row>
    <row r="9867" spans="1:15" x14ac:dyDescent="0.35">
      <c r="A9867" t="s">
        <v>10602</v>
      </c>
      <c r="B9867" t="s">
        <v>169</v>
      </c>
      <c r="C9867" t="s">
        <v>292</v>
      </c>
      <c r="D9867" t="s">
        <v>314</v>
      </c>
      <c r="E9867" t="s">
        <v>310</v>
      </c>
      <c r="F9867" t="s">
        <v>10620</v>
      </c>
      <c r="G9867">
        <v>212</v>
      </c>
      <c r="H9867">
        <v>59481.93</v>
      </c>
      <c r="I9867">
        <v>280.58</v>
      </c>
      <c r="J9867">
        <v>73</v>
      </c>
      <c r="K9867">
        <v>11742.39</v>
      </c>
      <c r="L9867">
        <v>160.85</v>
      </c>
      <c r="M9867">
        <v>285</v>
      </c>
      <c r="N9867">
        <v>71224.320000000007</v>
      </c>
      <c r="O9867">
        <v>249.91</v>
      </c>
    </row>
    <row r="9868" spans="1:15" x14ac:dyDescent="0.35">
      <c r="A9868" t="s">
        <v>10602</v>
      </c>
      <c r="B9868" t="s">
        <v>169</v>
      </c>
      <c r="C9868" t="s">
        <v>292</v>
      </c>
      <c r="D9868" t="s">
        <v>323</v>
      </c>
      <c r="E9868" t="s">
        <v>294</v>
      </c>
      <c r="F9868" t="s">
        <v>10621</v>
      </c>
      <c r="G9868">
        <v>6338</v>
      </c>
      <c r="H9868">
        <v>541839.81000000006</v>
      </c>
      <c r="I9868">
        <v>85.49</v>
      </c>
      <c r="J9868">
        <v>0</v>
      </c>
      <c r="K9868">
        <v>0</v>
      </c>
      <c r="L9868">
        <v>0</v>
      </c>
      <c r="M9868">
        <v>6338</v>
      </c>
      <c r="N9868">
        <v>541839.81000000006</v>
      </c>
      <c r="O9868">
        <v>85.49</v>
      </c>
    </row>
    <row r="9869" spans="1:15" x14ac:dyDescent="0.35">
      <c r="A9869" t="s">
        <v>10602</v>
      </c>
      <c r="B9869" t="s">
        <v>169</v>
      </c>
      <c r="C9869" t="s">
        <v>292</v>
      </c>
      <c r="D9869" t="s">
        <v>323</v>
      </c>
      <c r="E9869" t="s">
        <v>296</v>
      </c>
      <c r="F9869" t="s">
        <v>10622</v>
      </c>
      <c r="G9869">
        <v>11953</v>
      </c>
      <c r="H9869">
        <v>1153127.6799999997</v>
      </c>
      <c r="I9869">
        <v>96.47</v>
      </c>
      <c r="J9869">
        <v>0</v>
      </c>
      <c r="K9869">
        <v>0</v>
      </c>
      <c r="L9869">
        <v>0</v>
      </c>
      <c r="M9869">
        <v>11953</v>
      </c>
      <c r="N9869">
        <v>1153127.6799999997</v>
      </c>
      <c r="O9869">
        <v>96.47</v>
      </c>
    </row>
    <row r="9870" spans="1:15" x14ac:dyDescent="0.35">
      <c r="A9870" t="s">
        <v>10602</v>
      </c>
      <c r="B9870" t="s">
        <v>169</v>
      </c>
      <c r="C9870" t="s">
        <v>292</v>
      </c>
      <c r="D9870" t="s">
        <v>323</v>
      </c>
      <c r="E9870" t="s">
        <v>298</v>
      </c>
      <c r="F9870" t="s">
        <v>10623</v>
      </c>
      <c r="G9870">
        <v>9395</v>
      </c>
      <c r="H9870">
        <v>997626.96</v>
      </c>
      <c r="I9870">
        <v>106.19</v>
      </c>
      <c r="J9870">
        <v>0</v>
      </c>
      <c r="K9870">
        <v>0</v>
      </c>
      <c r="L9870">
        <v>0</v>
      </c>
      <c r="M9870">
        <v>9395</v>
      </c>
      <c r="N9870">
        <v>997626.96</v>
      </c>
      <c r="O9870">
        <v>106.19</v>
      </c>
    </row>
    <row r="9871" spans="1:15" x14ac:dyDescent="0.35">
      <c r="A9871" t="s">
        <v>10602</v>
      </c>
      <c r="B9871" t="s">
        <v>169</v>
      </c>
      <c r="C9871" t="s">
        <v>292</v>
      </c>
      <c r="D9871" t="s">
        <v>323</v>
      </c>
      <c r="E9871" t="s">
        <v>300</v>
      </c>
      <c r="F9871" t="s">
        <v>10624</v>
      </c>
      <c r="G9871">
        <v>831</v>
      </c>
      <c r="H9871">
        <v>96670.77</v>
      </c>
      <c r="I9871">
        <v>116.33</v>
      </c>
      <c r="J9871">
        <v>0</v>
      </c>
      <c r="K9871">
        <v>0</v>
      </c>
      <c r="L9871">
        <v>0</v>
      </c>
      <c r="M9871">
        <v>831</v>
      </c>
      <c r="N9871">
        <v>96670.77</v>
      </c>
      <c r="O9871">
        <v>116.33</v>
      </c>
    </row>
    <row r="9872" spans="1:15" x14ac:dyDescent="0.35">
      <c r="A9872" t="s">
        <v>10602</v>
      </c>
      <c r="B9872" t="s">
        <v>169</v>
      </c>
      <c r="C9872" t="s">
        <v>292</v>
      </c>
      <c r="D9872" t="s">
        <v>323</v>
      </c>
      <c r="E9872" t="s">
        <v>302</v>
      </c>
      <c r="F9872" t="s">
        <v>10625</v>
      </c>
      <c r="G9872">
        <v>85</v>
      </c>
      <c r="H9872">
        <v>10613.27</v>
      </c>
      <c r="I9872">
        <v>124.86</v>
      </c>
      <c r="J9872">
        <v>0</v>
      </c>
      <c r="K9872">
        <v>0</v>
      </c>
      <c r="L9872">
        <v>0</v>
      </c>
      <c r="M9872">
        <v>85</v>
      </c>
      <c r="N9872">
        <v>10613.27</v>
      </c>
      <c r="O9872">
        <v>124.86</v>
      </c>
    </row>
    <row r="9873" spans="1:15" x14ac:dyDescent="0.35">
      <c r="A9873" t="s">
        <v>10602</v>
      </c>
      <c r="B9873" t="s">
        <v>169</v>
      </c>
      <c r="C9873" t="s">
        <v>292</v>
      </c>
      <c r="D9873" t="s">
        <v>323</v>
      </c>
      <c r="E9873" t="s">
        <v>304</v>
      </c>
      <c r="F9873" t="s">
        <v>10626</v>
      </c>
      <c r="G9873">
        <v>3</v>
      </c>
      <c r="H9873">
        <v>438.96</v>
      </c>
      <c r="I9873">
        <v>146.32</v>
      </c>
      <c r="J9873">
        <v>0</v>
      </c>
      <c r="K9873">
        <v>0</v>
      </c>
      <c r="L9873">
        <v>0</v>
      </c>
      <c r="M9873">
        <v>3</v>
      </c>
      <c r="N9873">
        <v>438.96</v>
      </c>
      <c r="O9873">
        <v>146.32</v>
      </c>
    </row>
    <row r="9874" spans="1:15" x14ac:dyDescent="0.35">
      <c r="A9874" t="s">
        <v>10602</v>
      </c>
      <c r="B9874" t="s">
        <v>169</v>
      </c>
      <c r="C9874" t="s">
        <v>292</v>
      </c>
      <c r="D9874" t="s">
        <v>323</v>
      </c>
      <c r="E9874" t="s">
        <v>306</v>
      </c>
      <c r="F9874" t="s">
        <v>10627</v>
      </c>
      <c r="G9874">
        <v>10</v>
      </c>
      <c r="H9874">
        <v>773.7</v>
      </c>
      <c r="I9874">
        <v>77.37</v>
      </c>
      <c r="J9874">
        <v>0</v>
      </c>
      <c r="K9874">
        <v>0</v>
      </c>
      <c r="L9874">
        <v>0</v>
      </c>
      <c r="M9874">
        <v>10</v>
      </c>
      <c r="N9874">
        <v>773.7</v>
      </c>
      <c r="O9874">
        <v>77.37</v>
      </c>
    </row>
    <row r="9875" spans="1:15" x14ac:dyDescent="0.35">
      <c r="A9875" t="s">
        <v>10602</v>
      </c>
      <c r="B9875" t="s">
        <v>169</v>
      </c>
      <c r="C9875" t="s">
        <v>292</v>
      </c>
      <c r="D9875" t="s">
        <v>323</v>
      </c>
      <c r="E9875" t="s">
        <v>308</v>
      </c>
      <c r="F9875" t="s">
        <v>10628</v>
      </c>
      <c r="G9875">
        <v>0</v>
      </c>
      <c r="H9875">
        <v>0</v>
      </c>
      <c r="I9875">
        <v>0</v>
      </c>
      <c r="J9875">
        <v>0</v>
      </c>
      <c r="K9875">
        <v>0</v>
      </c>
      <c r="L9875">
        <v>0</v>
      </c>
      <c r="M9875">
        <v>0</v>
      </c>
      <c r="N9875">
        <v>0</v>
      </c>
      <c r="O9875">
        <v>0</v>
      </c>
    </row>
    <row r="9876" spans="1:15" x14ac:dyDescent="0.35">
      <c r="A9876" t="s">
        <v>10602</v>
      </c>
      <c r="B9876" t="s">
        <v>169</v>
      </c>
      <c r="C9876" t="s">
        <v>292</v>
      </c>
      <c r="D9876" t="s">
        <v>323</v>
      </c>
      <c r="E9876" t="s">
        <v>310</v>
      </c>
      <c r="F9876" t="s">
        <v>10629</v>
      </c>
      <c r="G9876">
        <v>28615</v>
      </c>
      <c r="H9876">
        <v>2801091.15</v>
      </c>
      <c r="I9876">
        <v>97.89</v>
      </c>
      <c r="J9876">
        <v>0</v>
      </c>
      <c r="K9876">
        <v>0</v>
      </c>
      <c r="L9876">
        <v>0</v>
      </c>
      <c r="M9876">
        <v>28615</v>
      </c>
      <c r="N9876">
        <v>2801091.15</v>
      </c>
      <c r="O9876">
        <v>97.89</v>
      </c>
    </row>
    <row r="9877" spans="1:15" x14ac:dyDescent="0.35">
      <c r="A9877" t="s">
        <v>10602</v>
      </c>
      <c r="B9877" t="s">
        <v>169</v>
      </c>
      <c r="C9877" t="s">
        <v>292</v>
      </c>
      <c r="D9877" t="s">
        <v>323</v>
      </c>
      <c r="E9877" t="s">
        <v>312</v>
      </c>
      <c r="F9877" t="s">
        <v>10630</v>
      </c>
      <c r="G9877">
        <v>28615</v>
      </c>
      <c r="H9877">
        <v>2801091.15</v>
      </c>
      <c r="I9877">
        <v>97.89</v>
      </c>
      <c r="J9877">
        <v>0</v>
      </c>
      <c r="K9877">
        <v>0</v>
      </c>
      <c r="L9877">
        <v>0</v>
      </c>
      <c r="M9877">
        <v>28615</v>
      </c>
      <c r="N9877">
        <v>2801091.15</v>
      </c>
      <c r="O9877">
        <v>97.89</v>
      </c>
    </row>
    <row r="9878" spans="1:15" x14ac:dyDescent="0.35">
      <c r="A9878" t="s">
        <v>10602</v>
      </c>
      <c r="B9878" t="s">
        <v>169</v>
      </c>
      <c r="C9878" t="s">
        <v>292</v>
      </c>
      <c r="D9878" t="s">
        <v>334</v>
      </c>
      <c r="E9878" t="s">
        <v>312</v>
      </c>
      <c r="F9878" t="s">
        <v>10631</v>
      </c>
      <c r="G9878">
        <v>31871</v>
      </c>
      <c r="H9878">
        <v>3136735</v>
      </c>
      <c r="I9878">
        <v>100.16</v>
      </c>
      <c r="J9878">
        <v>105</v>
      </c>
      <c r="K9878">
        <v>12388.34</v>
      </c>
      <c r="L9878">
        <v>117.98</v>
      </c>
      <c r="M9878">
        <v>31976</v>
      </c>
      <c r="N9878">
        <v>3149123.34</v>
      </c>
      <c r="O9878">
        <v>100.22</v>
      </c>
    </row>
    <row r="9879" spans="1:15" x14ac:dyDescent="0.35">
      <c r="A9879" t="s">
        <v>10602</v>
      </c>
      <c r="B9879" t="s">
        <v>169</v>
      </c>
      <c r="C9879" t="s">
        <v>292</v>
      </c>
      <c r="D9879" t="s">
        <v>334</v>
      </c>
      <c r="E9879" t="s">
        <v>308</v>
      </c>
      <c r="F9879" t="s">
        <v>10632</v>
      </c>
      <c r="G9879">
        <v>0</v>
      </c>
      <c r="H9879">
        <v>0</v>
      </c>
      <c r="I9879">
        <v>0</v>
      </c>
      <c r="J9879">
        <v>0</v>
      </c>
      <c r="K9879">
        <v>0</v>
      </c>
      <c r="L9879">
        <v>0</v>
      </c>
      <c r="M9879">
        <v>0</v>
      </c>
      <c r="N9879">
        <v>0</v>
      </c>
      <c r="O9879">
        <v>0</v>
      </c>
    </row>
    <row r="9880" spans="1:15" x14ac:dyDescent="0.35">
      <c r="A9880" t="s">
        <v>10602</v>
      </c>
      <c r="B9880" t="s">
        <v>169</v>
      </c>
      <c r="C9880" t="s">
        <v>292</v>
      </c>
      <c r="D9880" t="s">
        <v>337</v>
      </c>
      <c r="E9880" t="s">
        <v>337</v>
      </c>
      <c r="F9880" t="s">
        <v>10633</v>
      </c>
      <c r="G9880">
        <v>507</v>
      </c>
      <c r="J9880">
        <v>0</v>
      </c>
      <c r="M9880">
        <v>507</v>
      </c>
    </row>
    <row r="9881" spans="1:15" x14ac:dyDescent="0.35">
      <c r="A9881" t="s">
        <v>10602</v>
      </c>
      <c r="B9881" t="s">
        <v>169</v>
      </c>
      <c r="C9881" t="s">
        <v>292</v>
      </c>
      <c r="D9881" t="s">
        <v>339</v>
      </c>
      <c r="E9881" t="s">
        <v>294</v>
      </c>
      <c r="F9881" t="s">
        <v>10634</v>
      </c>
      <c r="G9881">
        <v>1224</v>
      </c>
      <c r="H9881">
        <v>132781.27000000005</v>
      </c>
      <c r="I9881">
        <v>108.48</v>
      </c>
      <c r="J9881">
        <v>0</v>
      </c>
      <c r="K9881">
        <v>0</v>
      </c>
      <c r="L9881">
        <v>0</v>
      </c>
      <c r="M9881">
        <v>1224</v>
      </c>
      <c r="N9881">
        <v>132781.27000000005</v>
      </c>
      <c r="O9881">
        <v>108.48</v>
      </c>
    </row>
    <row r="9882" spans="1:15" x14ac:dyDescent="0.35">
      <c r="A9882" t="s">
        <v>10602</v>
      </c>
      <c r="B9882" t="s">
        <v>169</v>
      </c>
      <c r="C9882" t="s">
        <v>292</v>
      </c>
      <c r="D9882" t="s">
        <v>339</v>
      </c>
      <c r="E9882" t="s">
        <v>296</v>
      </c>
      <c r="F9882" t="s">
        <v>10635</v>
      </c>
      <c r="G9882">
        <v>676</v>
      </c>
      <c r="H9882">
        <v>93558.11</v>
      </c>
      <c r="I9882">
        <v>138.4</v>
      </c>
      <c r="J9882">
        <v>0</v>
      </c>
      <c r="K9882">
        <v>0</v>
      </c>
      <c r="L9882">
        <v>0</v>
      </c>
      <c r="M9882">
        <v>676</v>
      </c>
      <c r="N9882">
        <v>93558.11</v>
      </c>
      <c r="O9882">
        <v>138.4</v>
      </c>
    </row>
    <row r="9883" spans="1:15" x14ac:dyDescent="0.35">
      <c r="A9883" t="s">
        <v>10602</v>
      </c>
      <c r="B9883" t="s">
        <v>169</v>
      </c>
      <c r="C9883" t="s">
        <v>292</v>
      </c>
      <c r="D9883" t="s">
        <v>339</v>
      </c>
      <c r="E9883" t="s">
        <v>298</v>
      </c>
      <c r="F9883" t="s">
        <v>10636</v>
      </c>
      <c r="G9883">
        <v>45</v>
      </c>
      <c r="H9883">
        <v>5486.35</v>
      </c>
      <c r="I9883">
        <v>121.92</v>
      </c>
      <c r="J9883">
        <v>0</v>
      </c>
      <c r="K9883">
        <v>0</v>
      </c>
      <c r="L9883">
        <v>0</v>
      </c>
      <c r="M9883">
        <v>45</v>
      </c>
      <c r="N9883">
        <v>5486.35</v>
      </c>
      <c r="O9883">
        <v>121.92</v>
      </c>
    </row>
    <row r="9884" spans="1:15" x14ac:dyDescent="0.35">
      <c r="A9884" t="s">
        <v>10602</v>
      </c>
      <c r="B9884" t="s">
        <v>169</v>
      </c>
      <c r="C9884" t="s">
        <v>292</v>
      </c>
      <c r="D9884" t="s">
        <v>339</v>
      </c>
      <c r="E9884" t="s">
        <v>300</v>
      </c>
      <c r="F9884" t="s">
        <v>10637</v>
      </c>
      <c r="G9884">
        <v>1</v>
      </c>
      <c r="H9884">
        <v>116.28</v>
      </c>
      <c r="I9884">
        <v>116.28</v>
      </c>
      <c r="J9884">
        <v>0</v>
      </c>
      <c r="K9884">
        <v>0</v>
      </c>
      <c r="L9884">
        <v>0</v>
      </c>
      <c r="M9884">
        <v>1</v>
      </c>
      <c r="N9884">
        <v>116.28</v>
      </c>
      <c r="O9884">
        <v>116.28</v>
      </c>
    </row>
    <row r="9885" spans="1:15" x14ac:dyDescent="0.35">
      <c r="A9885" t="s">
        <v>10602</v>
      </c>
      <c r="B9885" t="s">
        <v>169</v>
      </c>
      <c r="C9885" t="s">
        <v>292</v>
      </c>
      <c r="D9885" t="s">
        <v>339</v>
      </c>
      <c r="E9885" t="s">
        <v>306</v>
      </c>
      <c r="F9885" t="s">
        <v>10638</v>
      </c>
      <c r="G9885">
        <v>273</v>
      </c>
      <c r="H9885">
        <v>21842.730000000003</v>
      </c>
      <c r="I9885">
        <v>80.010000000000005</v>
      </c>
      <c r="J9885">
        <v>0</v>
      </c>
      <c r="K9885">
        <v>0</v>
      </c>
      <c r="L9885">
        <v>0</v>
      </c>
      <c r="M9885">
        <v>273</v>
      </c>
      <c r="N9885">
        <v>21842.730000000003</v>
      </c>
      <c r="O9885">
        <v>80.010000000000005</v>
      </c>
    </row>
    <row r="9886" spans="1:15" x14ac:dyDescent="0.35">
      <c r="A9886" t="s">
        <v>10602</v>
      </c>
      <c r="B9886" t="s">
        <v>169</v>
      </c>
      <c r="C9886" t="s">
        <v>292</v>
      </c>
      <c r="D9886" t="s">
        <v>339</v>
      </c>
      <c r="E9886" t="s">
        <v>308</v>
      </c>
      <c r="F9886" t="s">
        <v>10639</v>
      </c>
      <c r="G9886">
        <v>348</v>
      </c>
      <c r="H9886">
        <v>41881.789999999994</v>
      </c>
      <c r="I9886">
        <v>120.35</v>
      </c>
      <c r="J9886">
        <v>0</v>
      </c>
      <c r="K9886">
        <v>0</v>
      </c>
      <c r="L9886">
        <v>0</v>
      </c>
      <c r="M9886">
        <v>348</v>
      </c>
      <c r="N9886">
        <v>41881.789999999994</v>
      </c>
      <c r="O9886">
        <v>120.35</v>
      </c>
    </row>
    <row r="9887" spans="1:15" x14ac:dyDescent="0.35">
      <c r="A9887" t="s">
        <v>10602</v>
      </c>
      <c r="B9887" t="s">
        <v>169</v>
      </c>
      <c r="C9887" t="s">
        <v>292</v>
      </c>
      <c r="D9887" t="s">
        <v>339</v>
      </c>
      <c r="E9887" t="s">
        <v>310</v>
      </c>
      <c r="F9887" t="s">
        <v>10640</v>
      </c>
      <c r="G9887">
        <v>2567</v>
      </c>
      <c r="H9887">
        <v>295666.53000000009</v>
      </c>
      <c r="I9887">
        <v>115.18</v>
      </c>
      <c r="J9887">
        <v>0</v>
      </c>
      <c r="K9887">
        <v>0</v>
      </c>
      <c r="L9887">
        <v>0</v>
      </c>
      <c r="M9887">
        <v>2567</v>
      </c>
      <c r="N9887">
        <v>295666.53000000009</v>
      </c>
      <c r="O9887">
        <v>115.18</v>
      </c>
    </row>
    <row r="9888" spans="1:15" x14ac:dyDescent="0.35">
      <c r="A9888" t="s">
        <v>10602</v>
      </c>
      <c r="B9888" t="s">
        <v>169</v>
      </c>
      <c r="C9888" t="s">
        <v>292</v>
      </c>
      <c r="D9888" t="s">
        <v>339</v>
      </c>
      <c r="E9888" t="s">
        <v>312</v>
      </c>
      <c r="F9888" t="s">
        <v>10641</v>
      </c>
      <c r="G9888">
        <v>2219</v>
      </c>
      <c r="H9888">
        <v>253784.74000000008</v>
      </c>
      <c r="I9888">
        <v>114.37</v>
      </c>
      <c r="J9888">
        <v>0</v>
      </c>
      <c r="K9888">
        <v>0</v>
      </c>
      <c r="L9888">
        <v>0</v>
      </c>
      <c r="M9888">
        <v>2219</v>
      </c>
      <c r="N9888">
        <v>253784.74000000008</v>
      </c>
      <c r="O9888">
        <v>114.37</v>
      </c>
    </row>
    <row r="9889" spans="1:15" x14ac:dyDescent="0.35">
      <c r="A9889" t="s">
        <v>10602</v>
      </c>
      <c r="B9889" t="s">
        <v>169</v>
      </c>
      <c r="C9889" t="s">
        <v>292</v>
      </c>
      <c r="D9889" t="s">
        <v>348</v>
      </c>
      <c r="E9889" t="s">
        <v>349</v>
      </c>
      <c r="F9889" t="s">
        <v>10642</v>
      </c>
      <c r="G9889">
        <v>2953</v>
      </c>
      <c r="H9889">
        <v>355148.46</v>
      </c>
      <c r="I9889">
        <v>127.8</v>
      </c>
      <c r="J9889">
        <v>73</v>
      </c>
      <c r="K9889">
        <v>11742.39</v>
      </c>
      <c r="L9889">
        <v>160.85</v>
      </c>
      <c r="M9889">
        <v>3026</v>
      </c>
      <c r="N9889">
        <v>366890.85000000003</v>
      </c>
      <c r="O9889">
        <v>128.63999999999999</v>
      </c>
    </row>
    <row r="9890" spans="1:15" x14ac:dyDescent="0.35">
      <c r="A9890" t="s">
        <v>10643</v>
      </c>
      <c r="B9890" t="s">
        <v>10644</v>
      </c>
      <c r="C9890" t="s">
        <v>1059</v>
      </c>
      <c r="D9890" t="s">
        <v>293</v>
      </c>
      <c r="E9890" t="s">
        <v>294</v>
      </c>
      <c r="F9890" t="s">
        <v>10645</v>
      </c>
      <c r="G9890">
        <v>407</v>
      </c>
      <c r="H9890">
        <v>52673.899999999994</v>
      </c>
      <c r="I9890">
        <v>129.41999999999999</v>
      </c>
      <c r="J9890">
        <v>36</v>
      </c>
      <c r="K9890">
        <v>3607.2000000000003</v>
      </c>
      <c r="L9890">
        <v>100.2</v>
      </c>
      <c r="M9890">
        <v>443</v>
      </c>
      <c r="N9890">
        <v>56281.099999999991</v>
      </c>
      <c r="O9890">
        <v>127.05</v>
      </c>
    </row>
    <row r="9891" spans="1:15" x14ac:dyDescent="0.35">
      <c r="A9891" t="s">
        <v>10643</v>
      </c>
      <c r="B9891" t="s">
        <v>10644</v>
      </c>
      <c r="C9891" t="s">
        <v>1059</v>
      </c>
      <c r="D9891" t="s">
        <v>293</v>
      </c>
      <c r="E9891" t="s">
        <v>296</v>
      </c>
      <c r="F9891" t="s">
        <v>10646</v>
      </c>
      <c r="G9891">
        <v>1190</v>
      </c>
      <c r="H9891">
        <v>174116.2</v>
      </c>
      <c r="I9891">
        <v>146.32</v>
      </c>
      <c r="J9891">
        <v>759</v>
      </c>
      <c r="K9891">
        <v>85410.27</v>
      </c>
      <c r="L9891">
        <v>112.53</v>
      </c>
      <c r="M9891">
        <v>1949</v>
      </c>
      <c r="N9891">
        <v>259526.47000000003</v>
      </c>
      <c r="O9891">
        <v>133.16</v>
      </c>
    </row>
    <row r="9892" spans="1:15" x14ac:dyDescent="0.35">
      <c r="A9892" t="s">
        <v>10643</v>
      </c>
      <c r="B9892" t="s">
        <v>10644</v>
      </c>
      <c r="C9892" t="s">
        <v>1059</v>
      </c>
      <c r="D9892" t="s">
        <v>293</v>
      </c>
      <c r="E9892" t="s">
        <v>298</v>
      </c>
      <c r="F9892" t="s">
        <v>10647</v>
      </c>
      <c r="G9892">
        <v>529</v>
      </c>
      <c r="H9892">
        <v>85095.11</v>
      </c>
      <c r="I9892">
        <v>160.86000000000001</v>
      </c>
      <c r="J9892">
        <v>747</v>
      </c>
      <c r="K9892">
        <v>94166.82</v>
      </c>
      <c r="L9892">
        <v>126.06</v>
      </c>
      <c r="M9892">
        <v>1276</v>
      </c>
      <c r="N9892">
        <v>179261.93</v>
      </c>
      <c r="O9892">
        <v>140.49</v>
      </c>
    </row>
    <row r="9893" spans="1:15" x14ac:dyDescent="0.35">
      <c r="A9893" t="s">
        <v>10643</v>
      </c>
      <c r="B9893" t="s">
        <v>10644</v>
      </c>
      <c r="C9893" t="s">
        <v>1059</v>
      </c>
      <c r="D9893" t="s">
        <v>293</v>
      </c>
      <c r="E9893" t="s">
        <v>300</v>
      </c>
      <c r="F9893" t="s">
        <v>10648</v>
      </c>
      <c r="G9893">
        <v>166</v>
      </c>
      <c r="H9893">
        <v>31044.75</v>
      </c>
      <c r="I9893">
        <v>187.02</v>
      </c>
      <c r="J9893">
        <v>236</v>
      </c>
      <c r="K9893">
        <v>35671.4</v>
      </c>
      <c r="L9893">
        <v>151.15</v>
      </c>
      <c r="M9893">
        <v>402</v>
      </c>
      <c r="N9893">
        <v>66716.149999999994</v>
      </c>
      <c r="O9893">
        <v>165.96</v>
      </c>
    </row>
    <row r="9894" spans="1:15" x14ac:dyDescent="0.35">
      <c r="A9894" t="s">
        <v>10643</v>
      </c>
      <c r="B9894" t="s">
        <v>10644</v>
      </c>
      <c r="C9894" t="s">
        <v>1059</v>
      </c>
      <c r="D9894" t="s">
        <v>293</v>
      </c>
      <c r="E9894" t="s">
        <v>302</v>
      </c>
      <c r="F9894" t="s">
        <v>10649</v>
      </c>
      <c r="G9894">
        <v>22</v>
      </c>
      <c r="H9894">
        <v>4318.84</v>
      </c>
      <c r="I9894">
        <v>196.31</v>
      </c>
      <c r="J9894">
        <v>29</v>
      </c>
      <c r="K9894">
        <v>4939.5700000000006</v>
      </c>
      <c r="L9894">
        <v>170.33</v>
      </c>
      <c r="M9894">
        <v>51</v>
      </c>
      <c r="N9894">
        <v>9258.41</v>
      </c>
      <c r="O9894">
        <v>181.54</v>
      </c>
    </row>
    <row r="9895" spans="1:15" x14ac:dyDescent="0.35">
      <c r="A9895" t="s">
        <v>10643</v>
      </c>
      <c r="B9895" t="s">
        <v>10644</v>
      </c>
      <c r="C9895" t="s">
        <v>1059</v>
      </c>
      <c r="D9895" t="s">
        <v>293</v>
      </c>
      <c r="E9895" t="s">
        <v>304</v>
      </c>
      <c r="F9895" t="s">
        <v>10650</v>
      </c>
      <c r="G9895">
        <v>6</v>
      </c>
      <c r="H9895">
        <v>1198</v>
      </c>
      <c r="I9895">
        <v>199.67</v>
      </c>
      <c r="J9895">
        <v>0</v>
      </c>
      <c r="K9895">
        <v>0</v>
      </c>
      <c r="L9895">
        <v>0</v>
      </c>
      <c r="M9895">
        <v>6</v>
      </c>
      <c r="N9895">
        <v>1198</v>
      </c>
      <c r="O9895">
        <v>199.67</v>
      </c>
    </row>
    <row r="9896" spans="1:15" x14ac:dyDescent="0.35">
      <c r="A9896" t="s">
        <v>10643</v>
      </c>
      <c r="B9896" t="s">
        <v>10644</v>
      </c>
      <c r="C9896" t="s">
        <v>1059</v>
      </c>
      <c r="D9896" t="s">
        <v>293</v>
      </c>
      <c r="E9896" t="s">
        <v>306</v>
      </c>
      <c r="F9896" t="s">
        <v>10651</v>
      </c>
      <c r="G9896">
        <v>2</v>
      </c>
      <c r="H9896">
        <v>287.22000000000003</v>
      </c>
      <c r="I9896">
        <v>143.61000000000001</v>
      </c>
      <c r="J9896">
        <v>0</v>
      </c>
      <c r="K9896">
        <v>0</v>
      </c>
      <c r="L9896">
        <v>0</v>
      </c>
      <c r="M9896">
        <v>2</v>
      </c>
      <c r="N9896">
        <v>287.22000000000003</v>
      </c>
      <c r="O9896">
        <v>143.61000000000001</v>
      </c>
    </row>
    <row r="9897" spans="1:15" x14ac:dyDescent="0.35">
      <c r="A9897" t="s">
        <v>10643</v>
      </c>
      <c r="B9897" t="s">
        <v>10644</v>
      </c>
      <c r="C9897" t="s">
        <v>1059</v>
      </c>
      <c r="D9897" t="s">
        <v>293</v>
      </c>
      <c r="E9897" t="s">
        <v>308</v>
      </c>
      <c r="F9897" t="s">
        <v>10652</v>
      </c>
      <c r="G9897">
        <v>0</v>
      </c>
      <c r="H9897">
        <v>0</v>
      </c>
      <c r="I9897">
        <v>0</v>
      </c>
      <c r="J9897">
        <v>0</v>
      </c>
      <c r="K9897">
        <v>0</v>
      </c>
      <c r="L9897">
        <v>0</v>
      </c>
      <c r="M9897">
        <v>0</v>
      </c>
      <c r="N9897">
        <v>0</v>
      </c>
      <c r="O9897">
        <v>0</v>
      </c>
    </row>
    <row r="9898" spans="1:15" x14ac:dyDescent="0.35">
      <c r="A9898" t="s">
        <v>10643</v>
      </c>
      <c r="B9898" t="s">
        <v>10644</v>
      </c>
      <c r="C9898" t="s">
        <v>1059</v>
      </c>
      <c r="D9898" t="s">
        <v>293</v>
      </c>
      <c r="E9898" t="s">
        <v>310</v>
      </c>
      <c r="F9898" t="s">
        <v>10653</v>
      </c>
      <c r="G9898">
        <v>2322</v>
      </c>
      <c r="H9898">
        <v>348734.02</v>
      </c>
      <c r="I9898">
        <v>150.19</v>
      </c>
      <c r="J9898">
        <v>1807</v>
      </c>
      <c r="K9898">
        <v>223795.26</v>
      </c>
      <c r="L9898">
        <v>123.85</v>
      </c>
      <c r="M9898">
        <v>4129</v>
      </c>
      <c r="N9898">
        <v>572529.28</v>
      </c>
      <c r="O9898">
        <v>138.66</v>
      </c>
    </row>
    <row r="9899" spans="1:15" x14ac:dyDescent="0.35">
      <c r="A9899" t="s">
        <v>10643</v>
      </c>
      <c r="B9899" t="s">
        <v>10644</v>
      </c>
      <c r="C9899" t="s">
        <v>1059</v>
      </c>
      <c r="D9899" t="s">
        <v>293</v>
      </c>
      <c r="E9899" t="s">
        <v>312</v>
      </c>
      <c r="F9899" t="s">
        <v>10654</v>
      </c>
      <c r="G9899">
        <v>2322</v>
      </c>
      <c r="H9899">
        <v>348734.02</v>
      </c>
      <c r="I9899">
        <v>150.19</v>
      </c>
      <c r="J9899">
        <v>1807</v>
      </c>
      <c r="K9899">
        <v>223795.26</v>
      </c>
      <c r="L9899">
        <v>123.85</v>
      </c>
      <c r="M9899">
        <v>4129</v>
      </c>
      <c r="N9899">
        <v>572529.28</v>
      </c>
      <c r="O9899">
        <v>138.66</v>
      </c>
    </row>
    <row r="9900" spans="1:15" x14ac:dyDescent="0.35">
      <c r="A9900" t="s">
        <v>10643</v>
      </c>
      <c r="B9900" t="s">
        <v>10644</v>
      </c>
      <c r="C9900" t="s">
        <v>1059</v>
      </c>
      <c r="D9900" t="s">
        <v>314</v>
      </c>
      <c r="E9900" t="s">
        <v>294</v>
      </c>
      <c r="F9900" t="s">
        <v>10655</v>
      </c>
      <c r="G9900">
        <v>34</v>
      </c>
      <c r="H9900">
        <v>10704.22</v>
      </c>
      <c r="I9900">
        <v>314.83</v>
      </c>
      <c r="J9900">
        <v>0</v>
      </c>
      <c r="K9900">
        <v>0</v>
      </c>
      <c r="L9900">
        <v>0</v>
      </c>
      <c r="M9900">
        <v>34</v>
      </c>
      <c r="N9900">
        <v>10704.22</v>
      </c>
      <c r="O9900">
        <v>314.83</v>
      </c>
    </row>
    <row r="9901" spans="1:15" x14ac:dyDescent="0.35">
      <c r="A9901" t="s">
        <v>10643</v>
      </c>
      <c r="B9901" t="s">
        <v>10644</v>
      </c>
      <c r="C9901" t="s">
        <v>1059</v>
      </c>
      <c r="D9901" t="s">
        <v>314</v>
      </c>
      <c r="E9901" t="s">
        <v>296</v>
      </c>
      <c r="F9901" t="s">
        <v>10656</v>
      </c>
      <c r="G9901">
        <v>25</v>
      </c>
      <c r="H9901">
        <v>4822</v>
      </c>
      <c r="I9901">
        <v>192.88</v>
      </c>
      <c r="J9901">
        <v>4</v>
      </c>
      <c r="K9901">
        <v>527</v>
      </c>
      <c r="L9901">
        <v>131.75</v>
      </c>
      <c r="M9901">
        <v>29</v>
      </c>
      <c r="N9901">
        <v>5349</v>
      </c>
      <c r="O9901">
        <v>184.45</v>
      </c>
    </row>
    <row r="9902" spans="1:15" x14ac:dyDescent="0.35">
      <c r="A9902" t="s">
        <v>10643</v>
      </c>
      <c r="B9902" t="s">
        <v>10644</v>
      </c>
      <c r="C9902" t="s">
        <v>1059</v>
      </c>
      <c r="D9902" t="s">
        <v>314</v>
      </c>
      <c r="E9902" t="s">
        <v>298</v>
      </c>
      <c r="F9902" t="s">
        <v>10657</v>
      </c>
      <c r="G9902">
        <v>1</v>
      </c>
      <c r="H9902">
        <v>257.36</v>
      </c>
      <c r="I9902">
        <v>257.36</v>
      </c>
      <c r="J9902">
        <v>0</v>
      </c>
      <c r="K9902">
        <v>0</v>
      </c>
      <c r="L9902">
        <v>0</v>
      </c>
      <c r="M9902">
        <v>1</v>
      </c>
      <c r="N9902">
        <v>257.36</v>
      </c>
      <c r="O9902">
        <v>257.36</v>
      </c>
    </row>
    <row r="9903" spans="1:15" x14ac:dyDescent="0.35">
      <c r="A9903" t="s">
        <v>10643</v>
      </c>
      <c r="B9903" t="s">
        <v>10644</v>
      </c>
      <c r="C9903" t="s">
        <v>1059</v>
      </c>
      <c r="D9903" t="s">
        <v>314</v>
      </c>
      <c r="E9903" t="s">
        <v>300</v>
      </c>
      <c r="F9903" t="s">
        <v>10658</v>
      </c>
      <c r="G9903">
        <v>0</v>
      </c>
      <c r="H9903">
        <v>0</v>
      </c>
      <c r="I9903">
        <v>0</v>
      </c>
      <c r="J9903">
        <v>0</v>
      </c>
      <c r="K9903">
        <v>0</v>
      </c>
      <c r="L9903">
        <v>0</v>
      </c>
      <c r="M9903">
        <v>0</v>
      </c>
      <c r="N9903">
        <v>0</v>
      </c>
      <c r="O9903">
        <v>0</v>
      </c>
    </row>
    <row r="9904" spans="1:15" x14ac:dyDescent="0.35">
      <c r="A9904" t="s">
        <v>10643</v>
      </c>
      <c r="B9904" t="s">
        <v>10644</v>
      </c>
      <c r="C9904" t="s">
        <v>1059</v>
      </c>
      <c r="D9904" t="s">
        <v>314</v>
      </c>
      <c r="E9904" t="s">
        <v>306</v>
      </c>
      <c r="F9904" t="s">
        <v>10659</v>
      </c>
      <c r="G9904">
        <v>0</v>
      </c>
      <c r="H9904">
        <v>0</v>
      </c>
      <c r="I9904">
        <v>0</v>
      </c>
      <c r="J9904">
        <v>0</v>
      </c>
      <c r="K9904">
        <v>0</v>
      </c>
      <c r="L9904">
        <v>0</v>
      </c>
      <c r="M9904">
        <v>0</v>
      </c>
      <c r="N9904">
        <v>0</v>
      </c>
      <c r="O9904">
        <v>0</v>
      </c>
    </row>
    <row r="9905" spans="1:15" x14ac:dyDescent="0.35">
      <c r="A9905" t="s">
        <v>10643</v>
      </c>
      <c r="B9905" t="s">
        <v>10644</v>
      </c>
      <c r="C9905" t="s">
        <v>1059</v>
      </c>
      <c r="D9905" t="s">
        <v>314</v>
      </c>
      <c r="E9905" t="s">
        <v>308</v>
      </c>
      <c r="F9905" t="s">
        <v>10660</v>
      </c>
      <c r="G9905">
        <v>0</v>
      </c>
      <c r="H9905">
        <v>0</v>
      </c>
      <c r="I9905">
        <v>0</v>
      </c>
      <c r="J9905">
        <v>0</v>
      </c>
      <c r="K9905">
        <v>0</v>
      </c>
      <c r="L9905">
        <v>0</v>
      </c>
      <c r="M9905">
        <v>0</v>
      </c>
      <c r="N9905">
        <v>0</v>
      </c>
      <c r="O9905">
        <v>0</v>
      </c>
    </row>
    <row r="9906" spans="1:15" x14ac:dyDescent="0.35">
      <c r="A9906" t="s">
        <v>10643</v>
      </c>
      <c r="B9906" t="s">
        <v>10644</v>
      </c>
      <c r="C9906" t="s">
        <v>1059</v>
      </c>
      <c r="D9906" t="s">
        <v>314</v>
      </c>
      <c r="E9906" t="s">
        <v>312</v>
      </c>
      <c r="F9906" t="s">
        <v>10661</v>
      </c>
      <c r="G9906">
        <v>60</v>
      </c>
      <c r="H9906">
        <v>15783.58</v>
      </c>
      <c r="I9906">
        <v>263.06</v>
      </c>
      <c r="J9906">
        <v>4</v>
      </c>
      <c r="K9906">
        <v>527</v>
      </c>
      <c r="L9906">
        <v>131.75</v>
      </c>
      <c r="M9906">
        <v>64</v>
      </c>
      <c r="N9906">
        <v>16310.58</v>
      </c>
      <c r="O9906">
        <v>254.85</v>
      </c>
    </row>
    <row r="9907" spans="1:15" x14ac:dyDescent="0.35">
      <c r="A9907" t="s">
        <v>10643</v>
      </c>
      <c r="B9907" t="s">
        <v>10644</v>
      </c>
      <c r="C9907" t="s">
        <v>1059</v>
      </c>
      <c r="D9907" t="s">
        <v>314</v>
      </c>
      <c r="E9907" t="s">
        <v>310</v>
      </c>
      <c r="F9907" t="s">
        <v>10662</v>
      </c>
      <c r="G9907">
        <v>60</v>
      </c>
      <c r="H9907">
        <v>15783.58</v>
      </c>
      <c r="I9907">
        <v>263.06</v>
      </c>
      <c r="J9907">
        <v>4</v>
      </c>
      <c r="K9907">
        <v>527</v>
      </c>
      <c r="L9907">
        <v>131.75</v>
      </c>
      <c r="M9907">
        <v>64</v>
      </c>
      <c r="N9907">
        <v>16310.58</v>
      </c>
      <c r="O9907">
        <v>254.85</v>
      </c>
    </row>
    <row r="9908" spans="1:15" x14ac:dyDescent="0.35">
      <c r="A9908" t="s">
        <v>10643</v>
      </c>
      <c r="B9908" t="s">
        <v>10644</v>
      </c>
      <c r="C9908" t="s">
        <v>1059</v>
      </c>
      <c r="D9908" t="s">
        <v>323</v>
      </c>
      <c r="E9908" t="s">
        <v>294</v>
      </c>
      <c r="F9908" t="s">
        <v>10663</v>
      </c>
      <c r="G9908">
        <v>8217</v>
      </c>
      <c r="H9908">
        <v>807266.52</v>
      </c>
      <c r="I9908">
        <v>98.24</v>
      </c>
      <c r="J9908">
        <v>13911</v>
      </c>
      <c r="K9908">
        <v>1165880.9099999999</v>
      </c>
      <c r="L9908">
        <v>83.81</v>
      </c>
      <c r="M9908">
        <v>22128</v>
      </c>
      <c r="N9908">
        <v>1973147.43</v>
      </c>
      <c r="O9908">
        <v>89.17</v>
      </c>
    </row>
    <row r="9909" spans="1:15" x14ac:dyDescent="0.35">
      <c r="A9909" t="s">
        <v>10643</v>
      </c>
      <c r="B9909" t="s">
        <v>10644</v>
      </c>
      <c r="C9909" t="s">
        <v>1059</v>
      </c>
      <c r="D9909" t="s">
        <v>323</v>
      </c>
      <c r="E9909" t="s">
        <v>296</v>
      </c>
      <c r="F9909" t="s">
        <v>10664</v>
      </c>
      <c r="G9909">
        <v>10884</v>
      </c>
      <c r="H9909">
        <v>1225987.7200000002</v>
      </c>
      <c r="I9909">
        <v>112.64</v>
      </c>
      <c r="J9909">
        <v>16363</v>
      </c>
      <c r="K9909">
        <v>1552194.18</v>
      </c>
      <c r="L9909">
        <v>94.86</v>
      </c>
      <c r="M9909">
        <v>27247</v>
      </c>
      <c r="N9909">
        <v>2778181.9000000004</v>
      </c>
      <c r="O9909">
        <v>101.96</v>
      </c>
    </row>
    <row r="9910" spans="1:15" x14ac:dyDescent="0.35">
      <c r="A9910" t="s">
        <v>10643</v>
      </c>
      <c r="B9910" t="s">
        <v>10644</v>
      </c>
      <c r="C9910" t="s">
        <v>1059</v>
      </c>
      <c r="D9910" t="s">
        <v>323</v>
      </c>
      <c r="E9910" t="s">
        <v>298</v>
      </c>
      <c r="F9910" t="s">
        <v>10665</v>
      </c>
      <c r="G9910">
        <v>7939</v>
      </c>
      <c r="H9910">
        <v>993098.25999999989</v>
      </c>
      <c r="I9910">
        <v>125.09</v>
      </c>
      <c r="J9910">
        <v>18508</v>
      </c>
      <c r="K9910">
        <v>2050131.16</v>
      </c>
      <c r="L9910">
        <v>110.77</v>
      </c>
      <c r="M9910">
        <v>26447</v>
      </c>
      <c r="N9910">
        <v>3043229.42</v>
      </c>
      <c r="O9910">
        <v>115.07</v>
      </c>
    </row>
    <row r="9911" spans="1:15" x14ac:dyDescent="0.35">
      <c r="A9911" t="s">
        <v>10643</v>
      </c>
      <c r="B9911" t="s">
        <v>10644</v>
      </c>
      <c r="C9911" t="s">
        <v>1059</v>
      </c>
      <c r="D9911" t="s">
        <v>323</v>
      </c>
      <c r="E9911" t="s">
        <v>300</v>
      </c>
      <c r="F9911" t="s">
        <v>10666</v>
      </c>
      <c r="G9911">
        <v>2079</v>
      </c>
      <c r="H9911">
        <v>285599.43000000005</v>
      </c>
      <c r="I9911">
        <v>137.37</v>
      </c>
      <c r="J9911">
        <v>1497</v>
      </c>
      <c r="K9911">
        <v>184430.4</v>
      </c>
      <c r="L9911">
        <v>123.2</v>
      </c>
      <c r="M9911">
        <v>3576</v>
      </c>
      <c r="N9911">
        <v>470029.83000000007</v>
      </c>
      <c r="O9911">
        <v>131.44</v>
      </c>
    </row>
    <row r="9912" spans="1:15" x14ac:dyDescent="0.35">
      <c r="A9912" t="s">
        <v>10643</v>
      </c>
      <c r="B9912" t="s">
        <v>10644</v>
      </c>
      <c r="C9912" t="s">
        <v>1059</v>
      </c>
      <c r="D9912" t="s">
        <v>323</v>
      </c>
      <c r="E9912" t="s">
        <v>302</v>
      </c>
      <c r="F9912" t="s">
        <v>10667</v>
      </c>
      <c r="G9912">
        <v>403</v>
      </c>
      <c r="H9912">
        <v>59301.12000000001</v>
      </c>
      <c r="I9912">
        <v>147.15</v>
      </c>
      <c r="J9912">
        <v>121</v>
      </c>
      <c r="K9912">
        <v>17979.39</v>
      </c>
      <c r="L9912">
        <v>148.59</v>
      </c>
      <c r="M9912">
        <v>524</v>
      </c>
      <c r="N9912">
        <v>77280.510000000009</v>
      </c>
      <c r="O9912">
        <v>147.47999999999999</v>
      </c>
    </row>
    <row r="9913" spans="1:15" x14ac:dyDescent="0.35">
      <c r="A9913" t="s">
        <v>10643</v>
      </c>
      <c r="B9913" t="s">
        <v>10644</v>
      </c>
      <c r="C9913" t="s">
        <v>1059</v>
      </c>
      <c r="D9913" t="s">
        <v>323</v>
      </c>
      <c r="E9913" t="s">
        <v>304</v>
      </c>
      <c r="F9913" t="s">
        <v>10668</v>
      </c>
      <c r="G9913">
        <v>90</v>
      </c>
      <c r="H9913">
        <v>14407.440000000002</v>
      </c>
      <c r="I9913">
        <v>160.08000000000001</v>
      </c>
      <c r="J9913">
        <v>18</v>
      </c>
      <c r="K9913">
        <v>2796.2999999999997</v>
      </c>
      <c r="L9913">
        <v>155.35</v>
      </c>
      <c r="M9913">
        <v>108</v>
      </c>
      <c r="N9913">
        <v>17203.740000000002</v>
      </c>
      <c r="O9913">
        <v>159.29</v>
      </c>
    </row>
    <row r="9914" spans="1:15" x14ac:dyDescent="0.35">
      <c r="A9914" t="s">
        <v>10643</v>
      </c>
      <c r="B9914" t="s">
        <v>10644</v>
      </c>
      <c r="C9914" t="s">
        <v>1059</v>
      </c>
      <c r="D9914" t="s">
        <v>323</v>
      </c>
      <c r="E9914" t="s">
        <v>306</v>
      </c>
      <c r="F9914" t="s">
        <v>10669</v>
      </c>
      <c r="G9914">
        <v>463</v>
      </c>
      <c r="H9914">
        <v>40199.050000000003</v>
      </c>
      <c r="I9914">
        <v>86.82</v>
      </c>
      <c r="J9914">
        <v>667</v>
      </c>
      <c r="K9914">
        <v>49851.579999999994</v>
      </c>
      <c r="L9914">
        <v>74.739999999999995</v>
      </c>
      <c r="M9914">
        <v>1130</v>
      </c>
      <c r="N9914">
        <v>90050.63</v>
      </c>
      <c r="O9914">
        <v>79.69</v>
      </c>
    </row>
    <row r="9915" spans="1:15" x14ac:dyDescent="0.35">
      <c r="A9915" t="s">
        <v>10643</v>
      </c>
      <c r="B9915" t="s">
        <v>10644</v>
      </c>
      <c r="C9915" t="s">
        <v>1059</v>
      </c>
      <c r="D9915" t="s">
        <v>323</v>
      </c>
      <c r="E9915" t="s">
        <v>308</v>
      </c>
      <c r="F9915" t="s">
        <v>10670</v>
      </c>
      <c r="G9915">
        <v>0</v>
      </c>
      <c r="H9915">
        <v>0</v>
      </c>
      <c r="I9915">
        <v>0</v>
      </c>
      <c r="J9915">
        <v>783</v>
      </c>
      <c r="K9915">
        <v>36299.879999999997</v>
      </c>
      <c r="L9915">
        <v>46.36</v>
      </c>
      <c r="M9915">
        <v>783</v>
      </c>
      <c r="N9915">
        <v>36299.879999999997</v>
      </c>
      <c r="O9915">
        <v>46.36</v>
      </c>
    </row>
    <row r="9916" spans="1:15" x14ac:dyDescent="0.35">
      <c r="A9916" t="s">
        <v>10643</v>
      </c>
      <c r="B9916" t="s">
        <v>10644</v>
      </c>
      <c r="C9916" t="s">
        <v>1059</v>
      </c>
      <c r="D9916" t="s">
        <v>323</v>
      </c>
      <c r="E9916" t="s">
        <v>310</v>
      </c>
      <c r="F9916" t="s">
        <v>10671</v>
      </c>
      <c r="G9916">
        <v>30075</v>
      </c>
      <c r="H9916">
        <v>3425859.54</v>
      </c>
      <c r="I9916">
        <v>113.91</v>
      </c>
      <c r="J9916">
        <v>51868</v>
      </c>
      <c r="K9916">
        <v>5059563.8</v>
      </c>
      <c r="L9916">
        <v>97.55</v>
      </c>
      <c r="M9916">
        <v>81943</v>
      </c>
      <c r="N9916">
        <v>8485423.3399999999</v>
      </c>
      <c r="O9916">
        <v>103.55</v>
      </c>
    </row>
    <row r="9917" spans="1:15" x14ac:dyDescent="0.35">
      <c r="A9917" t="s">
        <v>10643</v>
      </c>
      <c r="B9917" t="s">
        <v>10644</v>
      </c>
      <c r="C9917" t="s">
        <v>1059</v>
      </c>
      <c r="D9917" t="s">
        <v>323</v>
      </c>
      <c r="E9917" t="s">
        <v>312</v>
      </c>
      <c r="F9917" t="s">
        <v>10672</v>
      </c>
      <c r="G9917">
        <v>30075</v>
      </c>
      <c r="H9917">
        <v>3425859.54</v>
      </c>
      <c r="I9917">
        <v>113.91</v>
      </c>
      <c r="J9917">
        <v>51085</v>
      </c>
      <c r="K9917">
        <v>5023263.92</v>
      </c>
      <c r="L9917">
        <v>98.33</v>
      </c>
      <c r="M9917">
        <v>81160</v>
      </c>
      <c r="N9917">
        <v>8449123.4600000009</v>
      </c>
      <c r="O9917">
        <v>104.1</v>
      </c>
    </row>
    <row r="9918" spans="1:15" x14ac:dyDescent="0.35">
      <c r="A9918" t="s">
        <v>10643</v>
      </c>
      <c r="B9918" t="s">
        <v>10644</v>
      </c>
      <c r="C9918" t="s">
        <v>1059</v>
      </c>
      <c r="D9918" t="s">
        <v>334</v>
      </c>
      <c r="E9918" t="s">
        <v>312</v>
      </c>
      <c r="F9918" t="s">
        <v>10673</v>
      </c>
      <c r="G9918">
        <v>34157</v>
      </c>
      <c r="H9918">
        <v>3774593.56</v>
      </c>
      <c r="I9918">
        <v>116.51</v>
      </c>
      <c r="J9918">
        <v>52892</v>
      </c>
      <c r="K9918">
        <v>5247059.18</v>
      </c>
      <c r="L9918">
        <v>99.2</v>
      </c>
      <c r="M9918">
        <v>87049</v>
      </c>
      <c r="N9918">
        <v>9021652.7400000002</v>
      </c>
      <c r="O9918">
        <v>105.78</v>
      </c>
    </row>
    <row r="9919" spans="1:15" x14ac:dyDescent="0.35">
      <c r="A9919" t="s">
        <v>10643</v>
      </c>
      <c r="B9919" t="s">
        <v>10644</v>
      </c>
      <c r="C9919" t="s">
        <v>1059</v>
      </c>
      <c r="D9919" t="s">
        <v>334</v>
      </c>
      <c r="E9919" t="s">
        <v>308</v>
      </c>
      <c r="F9919" t="s">
        <v>10674</v>
      </c>
      <c r="G9919">
        <v>823</v>
      </c>
      <c r="H9919">
        <v>0</v>
      </c>
      <c r="I9919">
        <v>0</v>
      </c>
      <c r="J9919">
        <v>783</v>
      </c>
      <c r="K9919">
        <v>36299.879999999997</v>
      </c>
      <c r="L9919">
        <v>46.36</v>
      </c>
      <c r="M9919">
        <v>1606</v>
      </c>
      <c r="N9919">
        <v>36299.879999999997</v>
      </c>
      <c r="O9919">
        <v>46.36</v>
      </c>
    </row>
    <row r="9920" spans="1:15" x14ac:dyDescent="0.35">
      <c r="A9920" t="s">
        <v>10643</v>
      </c>
      <c r="B9920" t="s">
        <v>10644</v>
      </c>
      <c r="C9920" t="s">
        <v>1059</v>
      </c>
      <c r="D9920" t="s">
        <v>337</v>
      </c>
      <c r="E9920" t="s">
        <v>337</v>
      </c>
      <c r="F9920" t="s">
        <v>10675</v>
      </c>
      <c r="G9920">
        <v>3148</v>
      </c>
      <c r="J9920">
        <v>72</v>
      </c>
      <c r="M9920">
        <v>3220</v>
      </c>
    </row>
    <row r="9921" spans="1:15" x14ac:dyDescent="0.35">
      <c r="A9921" t="s">
        <v>10643</v>
      </c>
      <c r="B9921" t="s">
        <v>10644</v>
      </c>
      <c r="C9921" t="s">
        <v>1059</v>
      </c>
      <c r="D9921" t="s">
        <v>339</v>
      </c>
      <c r="E9921" t="s">
        <v>294</v>
      </c>
      <c r="F9921" t="s">
        <v>10676</v>
      </c>
      <c r="G9921">
        <v>3743</v>
      </c>
      <c r="H9921">
        <v>419968.23</v>
      </c>
      <c r="I9921">
        <v>112.2</v>
      </c>
      <c r="J9921">
        <v>3592</v>
      </c>
      <c r="K9921">
        <v>308373.19999999995</v>
      </c>
      <c r="L9921">
        <v>85.85</v>
      </c>
      <c r="M9921">
        <v>7335</v>
      </c>
      <c r="N9921">
        <v>728341.42999999993</v>
      </c>
      <c r="O9921">
        <v>99.3</v>
      </c>
    </row>
    <row r="9922" spans="1:15" x14ac:dyDescent="0.35">
      <c r="A9922" t="s">
        <v>10643</v>
      </c>
      <c r="B9922" t="s">
        <v>10644</v>
      </c>
      <c r="C9922" t="s">
        <v>1059</v>
      </c>
      <c r="D9922" t="s">
        <v>339</v>
      </c>
      <c r="E9922" t="s">
        <v>296</v>
      </c>
      <c r="F9922" t="s">
        <v>10677</v>
      </c>
      <c r="G9922">
        <v>565</v>
      </c>
      <c r="H9922">
        <v>76378.75</v>
      </c>
      <c r="I9922">
        <v>135.18</v>
      </c>
      <c r="J9922">
        <v>1271</v>
      </c>
      <c r="K9922">
        <v>115432.21999999999</v>
      </c>
      <c r="L9922">
        <v>90.82</v>
      </c>
      <c r="M9922">
        <v>1836</v>
      </c>
      <c r="N9922">
        <v>191810.96999999997</v>
      </c>
      <c r="O9922">
        <v>104.47</v>
      </c>
    </row>
    <row r="9923" spans="1:15" x14ac:dyDescent="0.35">
      <c r="A9923" t="s">
        <v>10643</v>
      </c>
      <c r="B9923" t="s">
        <v>10644</v>
      </c>
      <c r="C9923" t="s">
        <v>1059</v>
      </c>
      <c r="D9923" t="s">
        <v>339</v>
      </c>
      <c r="E9923" t="s">
        <v>298</v>
      </c>
      <c r="F9923" t="s">
        <v>10678</v>
      </c>
      <c r="G9923">
        <v>75</v>
      </c>
      <c r="H9923">
        <v>10563.800000000001</v>
      </c>
      <c r="I9923">
        <v>140.85</v>
      </c>
      <c r="J9923">
        <v>9</v>
      </c>
      <c r="K9923">
        <v>991.98</v>
      </c>
      <c r="L9923">
        <v>110.22</v>
      </c>
      <c r="M9923">
        <v>84</v>
      </c>
      <c r="N9923">
        <v>11555.78</v>
      </c>
      <c r="O9923">
        <v>137.57</v>
      </c>
    </row>
    <row r="9924" spans="1:15" x14ac:dyDescent="0.35">
      <c r="A9924" t="s">
        <v>10643</v>
      </c>
      <c r="B9924" t="s">
        <v>10644</v>
      </c>
      <c r="C9924" t="s">
        <v>1059</v>
      </c>
      <c r="D9924" t="s">
        <v>339</v>
      </c>
      <c r="E9924" t="s">
        <v>300</v>
      </c>
      <c r="F9924" t="s">
        <v>10679</v>
      </c>
      <c r="G9924">
        <v>6</v>
      </c>
      <c r="H9924">
        <v>1468.71</v>
      </c>
      <c r="I9924">
        <v>244.79</v>
      </c>
      <c r="J9924">
        <v>0</v>
      </c>
      <c r="K9924">
        <v>0</v>
      </c>
      <c r="L9924">
        <v>0</v>
      </c>
      <c r="M9924">
        <v>6</v>
      </c>
      <c r="N9924">
        <v>1468.71</v>
      </c>
      <c r="O9924">
        <v>244.79</v>
      </c>
    </row>
    <row r="9925" spans="1:15" x14ac:dyDescent="0.35">
      <c r="A9925" t="s">
        <v>10643</v>
      </c>
      <c r="B9925" t="s">
        <v>10644</v>
      </c>
      <c r="C9925" t="s">
        <v>1059</v>
      </c>
      <c r="D9925" t="s">
        <v>339</v>
      </c>
      <c r="E9925" t="s">
        <v>306</v>
      </c>
      <c r="F9925" t="s">
        <v>10680</v>
      </c>
      <c r="G9925">
        <v>437</v>
      </c>
      <c r="H9925">
        <v>39794.659999999996</v>
      </c>
      <c r="I9925">
        <v>91.06</v>
      </c>
      <c r="J9925">
        <v>29</v>
      </c>
      <c r="K9925">
        <v>2209.5099999999998</v>
      </c>
      <c r="L9925">
        <v>76.19</v>
      </c>
      <c r="M9925">
        <v>466</v>
      </c>
      <c r="N9925">
        <v>42004.17</v>
      </c>
      <c r="O9925">
        <v>90.14</v>
      </c>
    </row>
    <row r="9926" spans="1:15" x14ac:dyDescent="0.35">
      <c r="A9926" t="s">
        <v>10643</v>
      </c>
      <c r="B9926" t="s">
        <v>10644</v>
      </c>
      <c r="C9926" t="s">
        <v>1059</v>
      </c>
      <c r="D9926" t="s">
        <v>339</v>
      </c>
      <c r="E9926" t="s">
        <v>308</v>
      </c>
      <c r="F9926" t="s">
        <v>10681</v>
      </c>
      <c r="G9926">
        <v>2097</v>
      </c>
      <c r="H9926">
        <v>173767.76999999996</v>
      </c>
      <c r="I9926">
        <v>82.86</v>
      </c>
      <c r="J9926">
        <v>0</v>
      </c>
      <c r="K9926">
        <v>0</v>
      </c>
      <c r="L9926">
        <v>0</v>
      </c>
      <c r="M9926">
        <v>2097</v>
      </c>
      <c r="N9926">
        <v>173767.76999999996</v>
      </c>
      <c r="O9926">
        <v>82.86</v>
      </c>
    </row>
    <row r="9927" spans="1:15" x14ac:dyDescent="0.35">
      <c r="A9927" t="s">
        <v>10643</v>
      </c>
      <c r="B9927" t="s">
        <v>10644</v>
      </c>
      <c r="C9927" t="s">
        <v>1059</v>
      </c>
      <c r="D9927" t="s">
        <v>339</v>
      </c>
      <c r="E9927" t="s">
        <v>310</v>
      </c>
      <c r="F9927" t="s">
        <v>10682</v>
      </c>
      <c r="G9927">
        <v>6923</v>
      </c>
      <c r="H9927">
        <v>721941.91999999993</v>
      </c>
      <c r="I9927">
        <v>104.28</v>
      </c>
      <c r="J9927">
        <v>4901</v>
      </c>
      <c r="K9927">
        <v>427006.90999999992</v>
      </c>
      <c r="L9927">
        <v>87.13</v>
      </c>
      <c r="M9927">
        <v>11824</v>
      </c>
      <c r="N9927">
        <v>1148948.8299999998</v>
      </c>
      <c r="O9927">
        <v>97.17</v>
      </c>
    </row>
    <row r="9928" spans="1:15" x14ac:dyDescent="0.35">
      <c r="A9928" t="s">
        <v>10643</v>
      </c>
      <c r="B9928" t="s">
        <v>10644</v>
      </c>
      <c r="C9928" t="s">
        <v>1059</v>
      </c>
      <c r="D9928" t="s">
        <v>339</v>
      </c>
      <c r="E9928" t="s">
        <v>312</v>
      </c>
      <c r="F9928" t="s">
        <v>10683</v>
      </c>
      <c r="G9928">
        <v>4826</v>
      </c>
      <c r="H9928">
        <v>548174.15</v>
      </c>
      <c r="I9928">
        <v>113.59</v>
      </c>
      <c r="J9928">
        <v>4901</v>
      </c>
      <c r="K9928">
        <v>427006.90999999992</v>
      </c>
      <c r="L9928">
        <v>87.13</v>
      </c>
      <c r="M9928">
        <v>9727</v>
      </c>
      <c r="N9928">
        <v>975181.05999999994</v>
      </c>
      <c r="O9928">
        <v>100.26</v>
      </c>
    </row>
    <row r="9929" spans="1:15" x14ac:dyDescent="0.35">
      <c r="A9929" t="s">
        <v>10643</v>
      </c>
      <c r="B9929" t="s">
        <v>10644</v>
      </c>
      <c r="C9929" t="s">
        <v>1059</v>
      </c>
      <c r="D9929" t="s">
        <v>348</v>
      </c>
      <c r="E9929" t="s">
        <v>349</v>
      </c>
      <c r="F9929" t="s">
        <v>10684</v>
      </c>
      <c r="G9929">
        <v>10794</v>
      </c>
      <c r="H9929">
        <v>737725.5</v>
      </c>
      <c r="I9929">
        <v>105.65</v>
      </c>
      <c r="J9929">
        <v>4905</v>
      </c>
      <c r="K9929">
        <v>427533.90999999992</v>
      </c>
      <c r="L9929">
        <v>87.16</v>
      </c>
      <c r="M9929">
        <v>15699</v>
      </c>
      <c r="N9929">
        <v>1165259.4099999999</v>
      </c>
      <c r="O9929">
        <v>98.02</v>
      </c>
    </row>
    <row r="9930" spans="1:15" x14ac:dyDescent="0.35">
      <c r="A9930" t="s">
        <v>10685</v>
      </c>
      <c r="B9930" t="s">
        <v>10686</v>
      </c>
      <c r="C9930" t="s">
        <v>1059</v>
      </c>
      <c r="D9930" t="s">
        <v>293</v>
      </c>
      <c r="E9930" t="s">
        <v>294</v>
      </c>
      <c r="F9930" t="s">
        <v>10687</v>
      </c>
      <c r="G9930">
        <v>387</v>
      </c>
      <c r="H9930">
        <v>45646.02</v>
      </c>
      <c r="I9930">
        <v>117.95</v>
      </c>
      <c r="J9930">
        <v>0</v>
      </c>
      <c r="K9930">
        <v>0</v>
      </c>
      <c r="L9930">
        <v>0</v>
      </c>
      <c r="M9930">
        <v>387</v>
      </c>
      <c r="N9930">
        <v>45646.02</v>
      </c>
      <c r="O9930">
        <v>117.95</v>
      </c>
    </row>
    <row r="9931" spans="1:15" x14ac:dyDescent="0.35">
      <c r="A9931" t="s">
        <v>10685</v>
      </c>
      <c r="B9931" t="s">
        <v>10686</v>
      </c>
      <c r="C9931" t="s">
        <v>1059</v>
      </c>
      <c r="D9931" t="s">
        <v>293</v>
      </c>
      <c r="E9931" t="s">
        <v>296</v>
      </c>
      <c r="F9931" t="s">
        <v>10688</v>
      </c>
      <c r="G9931">
        <v>1106</v>
      </c>
      <c r="H9931">
        <v>156133.70000000001</v>
      </c>
      <c r="I9931">
        <v>141.16999999999999</v>
      </c>
      <c r="J9931">
        <v>0</v>
      </c>
      <c r="K9931">
        <v>0</v>
      </c>
      <c r="L9931">
        <v>0</v>
      </c>
      <c r="M9931">
        <v>1106</v>
      </c>
      <c r="N9931">
        <v>156133.70000000001</v>
      </c>
      <c r="O9931">
        <v>141.16999999999999</v>
      </c>
    </row>
    <row r="9932" spans="1:15" x14ac:dyDescent="0.35">
      <c r="A9932" t="s">
        <v>10685</v>
      </c>
      <c r="B9932" t="s">
        <v>10686</v>
      </c>
      <c r="C9932" t="s">
        <v>1059</v>
      </c>
      <c r="D9932" t="s">
        <v>293</v>
      </c>
      <c r="E9932" t="s">
        <v>298</v>
      </c>
      <c r="F9932" t="s">
        <v>10689</v>
      </c>
      <c r="G9932">
        <v>875</v>
      </c>
      <c r="H9932">
        <v>135257.45000000001</v>
      </c>
      <c r="I9932">
        <v>154.58000000000001</v>
      </c>
      <c r="J9932">
        <v>0</v>
      </c>
      <c r="K9932">
        <v>0</v>
      </c>
      <c r="L9932">
        <v>0</v>
      </c>
      <c r="M9932">
        <v>875</v>
      </c>
      <c r="N9932">
        <v>135257.45000000001</v>
      </c>
      <c r="O9932">
        <v>154.58000000000001</v>
      </c>
    </row>
    <row r="9933" spans="1:15" x14ac:dyDescent="0.35">
      <c r="A9933" t="s">
        <v>10685</v>
      </c>
      <c r="B9933" t="s">
        <v>10686</v>
      </c>
      <c r="C9933" t="s">
        <v>1059</v>
      </c>
      <c r="D9933" t="s">
        <v>293</v>
      </c>
      <c r="E9933" t="s">
        <v>300</v>
      </c>
      <c r="F9933" t="s">
        <v>10690</v>
      </c>
      <c r="G9933">
        <v>103</v>
      </c>
      <c r="H9933">
        <v>18680.72</v>
      </c>
      <c r="I9933">
        <v>181.37</v>
      </c>
      <c r="J9933">
        <v>0</v>
      </c>
      <c r="K9933">
        <v>0</v>
      </c>
      <c r="L9933">
        <v>0</v>
      </c>
      <c r="M9933">
        <v>103</v>
      </c>
      <c r="N9933">
        <v>18680.72</v>
      </c>
      <c r="O9933">
        <v>181.37</v>
      </c>
    </row>
    <row r="9934" spans="1:15" x14ac:dyDescent="0.35">
      <c r="A9934" t="s">
        <v>10685</v>
      </c>
      <c r="B9934" t="s">
        <v>10686</v>
      </c>
      <c r="C9934" t="s">
        <v>1059</v>
      </c>
      <c r="D9934" t="s">
        <v>293</v>
      </c>
      <c r="E9934" t="s">
        <v>302</v>
      </c>
      <c r="F9934" t="s">
        <v>10691</v>
      </c>
      <c r="G9934">
        <v>5</v>
      </c>
      <c r="H9934">
        <v>1099.97</v>
      </c>
      <c r="I9934">
        <v>219.99</v>
      </c>
      <c r="J9934">
        <v>0</v>
      </c>
      <c r="K9934">
        <v>0</v>
      </c>
      <c r="L9934">
        <v>0</v>
      </c>
      <c r="M9934">
        <v>5</v>
      </c>
      <c r="N9934">
        <v>1099.97</v>
      </c>
      <c r="O9934">
        <v>219.99</v>
      </c>
    </row>
    <row r="9935" spans="1:15" x14ac:dyDescent="0.35">
      <c r="A9935" t="s">
        <v>10685</v>
      </c>
      <c r="B9935" t="s">
        <v>10686</v>
      </c>
      <c r="C9935" t="s">
        <v>1059</v>
      </c>
      <c r="D9935" t="s">
        <v>293</v>
      </c>
      <c r="E9935" t="s">
        <v>304</v>
      </c>
      <c r="F9935" t="s">
        <v>10692</v>
      </c>
      <c r="G9935">
        <v>2</v>
      </c>
      <c r="H9935">
        <v>461</v>
      </c>
      <c r="I9935">
        <v>230.5</v>
      </c>
      <c r="J9935">
        <v>0</v>
      </c>
      <c r="K9935">
        <v>0</v>
      </c>
      <c r="L9935">
        <v>0</v>
      </c>
      <c r="M9935">
        <v>2</v>
      </c>
      <c r="N9935">
        <v>461</v>
      </c>
      <c r="O9935">
        <v>230.5</v>
      </c>
    </row>
    <row r="9936" spans="1:15" x14ac:dyDescent="0.35">
      <c r="A9936" t="s">
        <v>10685</v>
      </c>
      <c r="B9936" t="s">
        <v>10686</v>
      </c>
      <c r="C9936" t="s">
        <v>1059</v>
      </c>
      <c r="D9936" t="s">
        <v>293</v>
      </c>
      <c r="E9936" t="s">
        <v>306</v>
      </c>
      <c r="F9936" t="s">
        <v>10693</v>
      </c>
      <c r="G9936">
        <v>0</v>
      </c>
      <c r="H9936">
        <v>0</v>
      </c>
      <c r="I9936">
        <v>0</v>
      </c>
      <c r="J9936">
        <v>0</v>
      </c>
      <c r="K9936">
        <v>0</v>
      </c>
      <c r="L9936">
        <v>0</v>
      </c>
      <c r="M9936">
        <v>0</v>
      </c>
      <c r="N9936">
        <v>0</v>
      </c>
      <c r="O9936">
        <v>0</v>
      </c>
    </row>
    <row r="9937" spans="1:15" x14ac:dyDescent="0.35">
      <c r="A9937" t="s">
        <v>10685</v>
      </c>
      <c r="B9937" t="s">
        <v>10686</v>
      </c>
      <c r="C9937" t="s">
        <v>1059</v>
      </c>
      <c r="D9937" t="s">
        <v>293</v>
      </c>
      <c r="E9937" t="s">
        <v>308</v>
      </c>
      <c r="F9937" t="s">
        <v>10694</v>
      </c>
      <c r="G9937">
        <v>0</v>
      </c>
      <c r="H9937">
        <v>0</v>
      </c>
      <c r="I9937">
        <v>0</v>
      </c>
      <c r="J9937">
        <v>0</v>
      </c>
      <c r="K9937">
        <v>0</v>
      </c>
      <c r="L9937">
        <v>0</v>
      </c>
      <c r="M9937">
        <v>0</v>
      </c>
      <c r="N9937">
        <v>0</v>
      </c>
      <c r="O9937">
        <v>0</v>
      </c>
    </row>
    <row r="9938" spans="1:15" x14ac:dyDescent="0.35">
      <c r="A9938" t="s">
        <v>10685</v>
      </c>
      <c r="B9938" t="s">
        <v>10686</v>
      </c>
      <c r="C9938" t="s">
        <v>1059</v>
      </c>
      <c r="D9938" t="s">
        <v>293</v>
      </c>
      <c r="E9938" t="s">
        <v>310</v>
      </c>
      <c r="F9938" t="s">
        <v>10695</v>
      </c>
      <c r="G9938">
        <v>2478</v>
      </c>
      <c r="H9938">
        <v>357278.86</v>
      </c>
      <c r="I9938">
        <v>144.18</v>
      </c>
      <c r="J9938">
        <v>0</v>
      </c>
      <c r="K9938">
        <v>0</v>
      </c>
      <c r="L9938">
        <v>0</v>
      </c>
      <c r="M9938">
        <v>2478</v>
      </c>
      <c r="N9938">
        <v>357278.86</v>
      </c>
      <c r="O9938">
        <v>144.18</v>
      </c>
    </row>
    <row r="9939" spans="1:15" x14ac:dyDescent="0.35">
      <c r="A9939" t="s">
        <v>10685</v>
      </c>
      <c r="B9939" t="s">
        <v>10686</v>
      </c>
      <c r="C9939" t="s">
        <v>1059</v>
      </c>
      <c r="D9939" t="s">
        <v>293</v>
      </c>
      <c r="E9939" t="s">
        <v>312</v>
      </c>
      <c r="F9939" t="s">
        <v>10696</v>
      </c>
      <c r="G9939">
        <v>2478</v>
      </c>
      <c r="H9939">
        <v>357278.86</v>
      </c>
      <c r="I9939">
        <v>144.18</v>
      </c>
      <c r="J9939">
        <v>0</v>
      </c>
      <c r="K9939">
        <v>0</v>
      </c>
      <c r="L9939">
        <v>0</v>
      </c>
      <c r="M9939">
        <v>2478</v>
      </c>
      <c r="N9939">
        <v>357278.86</v>
      </c>
      <c r="O9939">
        <v>144.18</v>
      </c>
    </row>
    <row r="9940" spans="1:15" x14ac:dyDescent="0.35">
      <c r="A9940" t="s">
        <v>10685</v>
      </c>
      <c r="B9940" t="s">
        <v>10686</v>
      </c>
      <c r="C9940" t="s">
        <v>1059</v>
      </c>
      <c r="D9940" t="s">
        <v>314</v>
      </c>
      <c r="E9940" t="s">
        <v>294</v>
      </c>
      <c r="F9940" t="s">
        <v>10697</v>
      </c>
      <c r="G9940">
        <v>5</v>
      </c>
      <c r="H9940">
        <v>678.15</v>
      </c>
      <c r="I9940">
        <v>135.63</v>
      </c>
      <c r="J9940">
        <v>0</v>
      </c>
      <c r="K9940">
        <v>0</v>
      </c>
      <c r="L9940">
        <v>0</v>
      </c>
      <c r="M9940">
        <v>5</v>
      </c>
      <c r="N9940">
        <v>678.15</v>
      </c>
      <c r="O9940">
        <v>135.63</v>
      </c>
    </row>
    <row r="9941" spans="1:15" x14ac:dyDescent="0.35">
      <c r="A9941" t="s">
        <v>10685</v>
      </c>
      <c r="B9941" t="s">
        <v>10686</v>
      </c>
      <c r="C9941" t="s">
        <v>1059</v>
      </c>
      <c r="D9941" t="s">
        <v>314</v>
      </c>
      <c r="E9941" t="s">
        <v>296</v>
      </c>
      <c r="F9941" t="s">
        <v>10698</v>
      </c>
      <c r="G9941">
        <v>12</v>
      </c>
      <c r="H9941">
        <v>1672.08</v>
      </c>
      <c r="I9941">
        <v>139.34</v>
      </c>
      <c r="J9941">
        <v>0</v>
      </c>
      <c r="K9941">
        <v>0</v>
      </c>
      <c r="L9941">
        <v>0</v>
      </c>
      <c r="M9941">
        <v>12</v>
      </c>
      <c r="N9941">
        <v>1672.08</v>
      </c>
      <c r="O9941">
        <v>139.34</v>
      </c>
    </row>
    <row r="9942" spans="1:15" x14ac:dyDescent="0.35">
      <c r="A9942" t="s">
        <v>10685</v>
      </c>
      <c r="B9942" t="s">
        <v>10686</v>
      </c>
      <c r="C9942" t="s">
        <v>1059</v>
      </c>
      <c r="D9942" t="s">
        <v>314</v>
      </c>
      <c r="E9942" t="s">
        <v>298</v>
      </c>
      <c r="F9942" t="s">
        <v>10699</v>
      </c>
      <c r="G9942">
        <v>9</v>
      </c>
      <c r="H9942">
        <v>1445.94</v>
      </c>
      <c r="I9942">
        <v>160.66</v>
      </c>
      <c r="J9942">
        <v>0</v>
      </c>
      <c r="K9942">
        <v>0</v>
      </c>
      <c r="L9942">
        <v>0</v>
      </c>
      <c r="M9942">
        <v>9</v>
      </c>
      <c r="N9942">
        <v>1445.94</v>
      </c>
      <c r="O9942">
        <v>160.66</v>
      </c>
    </row>
    <row r="9943" spans="1:15" x14ac:dyDescent="0.35">
      <c r="A9943" t="s">
        <v>10685</v>
      </c>
      <c r="B9943" t="s">
        <v>10686</v>
      </c>
      <c r="C9943" t="s">
        <v>1059</v>
      </c>
      <c r="D9943" t="s">
        <v>314</v>
      </c>
      <c r="E9943" t="s">
        <v>300</v>
      </c>
      <c r="F9943" t="s">
        <v>10700</v>
      </c>
      <c r="G9943">
        <v>4</v>
      </c>
      <c r="H9943">
        <v>849.8</v>
      </c>
      <c r="I9943">
        <v>212.45</v>
      </c>
      <c r="J9943">
        <v>0</v>
      </c>
      <c r="K9943">
        <v>0</v>
      </c>
      <c r="L9943">
        <v>0</v>
      </c>
      <c r="M9943">
        <v>4</v>
      </c>
      <c r="N9943">
        <v>849.8</v>
      </c>
      <c r="O9943">
        <v>212.45</v>
      </c>
    </row>
    <row r="9944" spans="1:15" x14ac:dyDescent="0.35">
      <c r="A9944" t="s">
        <v>10685</v>
      </c>
      <c r="B9944" t="s">
        <v>10686</v>
      </c>
      <c r="C9944" t="s">
        <v>1059</v>
      </c>
      <c r="D9944" t="s">
        <v>314</v>
      </c>
      <c r="E9944" t="s">
        <v>306</v>
      </c>
      <c r="F9944" t="s">
        <v>10701</v>
      </c>
      <c r="G9944">
        <v>0</v>
      </c>
      <c r="H9944">
        <v>0</v>
      </c>
      <c r="I9944">
        <v>0</v>
      </c>
      <c r="J9944">
        <v>0</v>
      </c>
      <c r="K9944">
        <v>0</v>
      </c>
      <c r="L9944">
        <v>0</v>
      </c>
      <c r="M9944">
        <v>0</v>
      </c>
      <c r="N9944">
        <v>0</v>
      </c>
      <c r="O9944">
        <v>0</v>
      </c>
    </row>
    <row r="9945" spans="1:15" x14ac:dyDescent="0.35">
      <c r="A9945" t="s">
        <v>10685</v>
      </c>
      <c r="B9945" t="s">
        <v>10686</v>
      </c>
      <c r="C9945" t="s">
        <v>1059</v>
      </c>
      <c r="D9945" t="s">
        <v>314</v>
      </c>
      <c r="E9945" t="s">
        <v>308</v>
      </c>
      <c r="F9945" t="s">
        <v>10702</v>
      </c>
      <c r="G9945">
        <v>0</v>
      </c>
      <c r="H9945">
        <v>0</v>
      </c>
      <c r="I9945">
        <v>0</v>
      </c>
      <c r="J9945">
        <v>0</v>
      </c>
      <c r="K9945">
        <v>0</v>
      </c>
      <c r="L9945">
        <v>0</v>
      </c>
      <c r="M9945">
        <v>0</v>
      </c>
      <c r="N9945">
        <v>0</v>
      </c>
      <c r="O9945">
        <v>0</v>
      </c>
    </row>
    <row r="9946" spans="1:15" x14ac:dyDescent="0.35">
      <c r="A9946" t="s">
        <v>10685</v>
      </c>
      <c r="B9946" t="s">
        <v>10686</v>
      </c>
      <c r="C9946" t="s">
        <v>1059</v>
      </c>
      <c r="D9946" t="s">
        <v>314</v>
      </c>
      <c r="E9946" t="s">
        <v>312</v>
      </c>
      <c r="F9946" t="s">
        <v>10703</v>
      </c>
      <c r="G9946">
        <v>30</v>
      </c>
      <c r="H9946">
        <v>4645.97</v>
      </c>
      <c r="I9946">
        <v>154.87</v>
      </c>
      <c r="J9946">
        <v>0</v>
      </c>
      <c r="K9946">
        <v>0</v>
      </c>
      <c r="L9946">
        <v>0</v>
      </c>
      <c r="M9946">
        <v>30</v>
      </c>
      <c r="N9946">
        <v>4645.97</v>
      </c>
      <c r="O9946">
        <v>154.87</v>
      </c>
    </row>
    <row r="9947" spans="1:15" x14ac:dyDescent="0.35">
      <c r="A9947" t="s">
        <v>10685</v>
      </c>
      <c r="B9947" t="s">
        <v>10686</v>
      </c>
      <c r="C9947" t="s">
        <v>1059</v>
      </c>
      <c r="D9947" t="s">
        <v>314</v>
      </c>
      <c r="E9947" t="s">
        <v>310</v>
      </c>
      <c r="F9947" t="s">
        <v>10704</v>
      </c>
      <c r="G9947">
        <v>30</v>
      </c>
      <c r="H9947">
        <v>4645.97</v>
      </c>
      <c r="I9947">
        <v>154.87</v>
      </c>
      <c r="J9947">
        <v>0</v>
      </c>
      <c r="K9947">
        <v>0</v>
      </c>
      <c r="L9947">
        <v>0</v>
      </c>
      <c r="M9947">
        <v>30</v>
      </c>
      <c r="N9947">
        <v>4645.97</v>
      </c>
      <c r="O9947">
        <v>154.87</v>
      </c>
    </row>
    <row r="9948" spans="1:15" x14ac:dyDescent="0.35">
      <c r="A9948" t="s">
        <v>10685</v>
      </c>
      <c r="B9948" t="s">
        <v>10686</v>
      </c>
      <c r="C9948" t="s">
        <v>1059</v>
      </c>
      <c r="D9948" t="s">
        <v>323</v>
      </c>
      <c r="E9948" t="s">
        <v>294</v>
      </c>
      <c r="F9948" t="s">
        <v>10705</v>
      </c>
      <c r="G9948">
        <v>5071</v>
      </c>
      <c r="H9948">
        <v>459881.1</v>
      </c>
      <c r="I9948">
        <v>90.69</v>
      </c>
      <c r="J9948">
        <v>0</v>
      </c>
      <c r="K9948">
        <v>0</v>
      </c>
      <c r="L9948">
        <v>0</v>
      </c>
      <c r="M9948">
        <v>5071</v>
      </c>
      <c r="N9948">
        <v>459881.1</v>
      </c>
      <c r="O9948">
        <v>90.69</v>
      </c>
    </row>
    <row r="9949" spans="1:15" x14ac:dyDescent="0.35">
      <c r="A9949" t="s">
        <v>10685</v>
      </c>
      <c r="B9949" t="s">
        <v>10686</v>
      </c>
      <c r="C9949" t="s">
        <v>1059</v>
      </c>
      <c r="D9949" t="s">
        <v>323</v>
      </c>
      <c r="E9949" t="s">
        <v>296</v>
      </c>
      <c r="F9949" t="s">
        <v>10706</v>
      </c>
      <c r="G9949">
        <v>7089</v>
      </c>
      <c r="H9949">
        <v>748843.89</v>
      </c>
      <c r="I9949">
        <v>105.63</v>
      </c>
      <c r="J9949">
        <v>0</v>
      </c>
      <c r="K9949">
        <v>0</v>
      </c>
      <c r="L9949">
        <v>0</v>
      </c>
      <c r="M9949">
        <v>7089</v>
      </c>
      <c r="N9949">
        <v>748843.89</v>
      </c>
      <c r="O9949">
        <v>105.63</v>
      </c>
    </row>
    <row r="9950" spans="1:15" x14ac:dyDescent="0.35">
      <c r="A9950" t="s">
        <v>10685</v>
      </c>
      <c r="B9950" t="s">
        <v>10686</v>
      </c>
      <c r="C9950" t="s">
        <v>1059</v>
      </c>
      <c r="D9950" t="s">
        <v>323</v>
      </c>
      <c r="E9950" t="s">
        <v>298</v>
      </c>
      <c r="F9950" t="s">
        <v>10707</v>
      </c>
      <c r="G9950">
        <v>5630</v>
      </c>
      <c r="H9950">
        <v>664255.6399999999</v>
      </c>
      <c r="I9950">
        <v>117.99</v>
      </c>
      <c r="J9950">
        <v>0</v>
      </c>
      <c r="K9950">
        <v>0</v>
      </c>
      <c r="L9950">
        <v>0</v>
      </c>
      <c r="M9950">
        <v>5630</v>
      </c>
      <c r="N9950">
        <v>664255.6399999999</v>
      </c>
      <c r="O9950">
        <v>117.99</v>
      </c>
    </row>
    <row r="9951" spans="1:15" x14ac:dyDescent="0.35">
      <c r="A9951" t="s">
        <v>10685</v>
      </c>
      <c r="B9951" t="s">
        <v>10686</v>
      </c>
      <c r="C9951" t="s">
        <v>1059</v>
      </c>
      <c r="D9951" t="s">
        <v>323</v>
      </c>
      <c r="E9951" t="s">
        <v>300</v>
      </c>
      <c r="F9951" t="s">
        <v>10708</v>
      </c>
      <c r="G9951">
        <v>568</v>
      </c>
      <c r="H9951">
        <v>76725.389999999985</v>
      </c>
      <c r="I9951">
        <v>135.08000000000001</v>
      </c>
      <c r="J9951">
        <v>0</v>
      </c>
      <c r="K9951">
        <v>0</v>
      </c>
      <c r="L9951">
        <v>0</v>
      </c>
      <c r="M9951">
        <v>568</v>
      </c>
      <c r="N9951">
        <v>76725.389999999985</v>
      </c>
      <c r="O9951">
        <v>135.08000000000001</v>
      </c>
    </row>
    <row r="9952" spans="1:15" x14ac:dyDescent="0.35">
      <c r="A9952" t="s">
        <v>10685</v>
      </c>
      <c r="B9952" t="s">
        <v>10686</v>
      </c>
      <c r="C9952" t="s">
        <v>1059</v>
      </c>
      <c r="D9952" t="s">
        <v>323</v>
      </c>
      <c r="E9952" t="s">
        <v>302</v>
      </c>
      <c r="F9952" t="s">
        <v>10709</v>
      </c>
      <c r="G9952">
        <v>30</v>
      </c>
      <c r="H9952">
        <v>4346.28</v>
      </c>
      <c r="I9952">
        <v>144.88</v>
      </c>
      <c r="J9952">
        <v>0</v>
      </c>
      <c r="K9952">
        <v>0</v>
      </c>
      <c r="L9952">
        <v>0</v>
      </c>
      <c r="M9952">
        <v>30</v>
      </c>
      <c r="N9952">
        <v>4346.28</v>
      </c>
      <c r="O9952">
        <v>144.88</v>
      </c>
    </row>
    <row r="9953" spans="1:15" x14ac:dyDescent="0.35">
      <c r="A9953" t="s">
        <v>10685</v>
      </c>
      <c r="B9953" t="s">
        <v>10686</v>
      </c>
      <c r="C9953" t="s">
        <v>1059</v>
      </c>
      <c r="D9953" t="s">
        <v>323</v>
      </c>
      <c r="E9953" t="s">
        <v>304</v>
      </c>
      <c r="F9953" t="s">
        <v>10710</v>
      </c>
      <c r="G9953">
        <v>19</v>
      </c>
      <c r="H9953">
        <v>2870.42</v>
      </c>
      <c r="I9953">
        <v>151.07</v>
      </c>
      <c r="J9953">
        <v>0</v>
      </c>
      <c r="K9953">
        <v>0</v>
      </c>
      <c r="L9953">
        <v>0</v>
      </c>
      <c r="M9953">
        <v>19</v>
      </c>
      <c r="N9953">
        <v>2870.42</v>
      </c>
      <c r="O9953">
        <v>151.07</v>
      </c>
    </row>
    <row r="9954" spans="1:15" x14ac:dyDescent="0.35">
      <c r="A9954" t="s">
        <v>10685</v>
      </c>
      <c r="B9954" t="s">
        <v>10686</v>
      </c>
      <c r="C9954" t="s">
        <v>1059</v>
      </c>
      <c r="D9954" t="s">
        <v>323</v>
      </c>
      <c r="E9954" t="s">
        <v>306</v>
      </c>
      <c r="F9954" t="s">
        <v>10711</v>
      </c>
      <c r="G9954">
        <v>1026</v>
      </c>
      <c r="H9954">
        <v>80666.759999999995</v>
      </c>
      <c r="I9954">
        <v>78.62</v>
      </c>
      <c r="J9954">
        <v>0</v>
      </c>
      <c r="K9954">
        <v>0</v>
      </c>
      <c r="L9954">
        <v>0</v>
      </c>
      <c r="M9954">
        <v>1026</v>
      </c>
      <c r="N9954">
        <v>80666.759999999995</v>
      </c>
      <c r="O9954">
        <v>78.62</v>
      </c>
    </row>
    <row r="9955" spans="1:15" x14ac:dyDescent="0.35">
      <c r="A9955" t="s">
        <v>10685</v>
      </c>
      <c r="B9955" t="s">
        <v>10686</v>
      </c>
      <c r="C9955" t="s">
        <v>1059</v>
      </c>
      <c r="D9955" t="s">
        <v>323</v>
      </c>
      <c r="E9955" t="s">
        <v>308</v>
      </c>
      <c r="F9955" t="s">
        <v>10712</v>
      </c>
      <c r="G9955">
        <v>0</v>
      </c>
      <c r="H9955">
        <v>0</v>
      </c>
      <c r="I9955">
        <v>0</v>
      </c>
      <c r="J9955">
        <v>0</v>
      </c>
      <c r="K9955">
        <v>0</v>
      </c>
      <c r="L9955">
        <v>0</v>
      </c>
      <c r="M9955">
        <v>0</v>
      </c>
      <c r="N9955">
        <v>0</v>
      </c>
      <c r="O9955">
        <v>0</v>
      </c>
    </row>
    <row r="9956" spans="1:15" x14ac:dyDescent="0.35">
      <c r="A9956" t="s">
        <v>10685</v>
      </c>
      <c r="B9956" t="s">
        <v>10686</v>
      </c>
      <c r="C9956" t="s">
        <v>1059</v>
      </c>
      <c r="D9956" t="s">
        <v>323</v>
      </c>
      <c r="E9956" t="s">
        <v>310</v>
      </c>
      <c r="F9956" t="s">
        <v>10713</v>
      </c>
      <c r="G9956">
        <v>19433</v>
      </c>
      <c r="H9956">
        <v>2037589.4799999997</v>
      </c>
      <c r="I9956">
        <v>104.85</v>
      </c>
      <c r="J9956">
        <v>0</v>
      </c>
      <c r="K9956">
        <v>0</v>
      </c>
      <c r="L9956">
        <v>0</v>
      </c>
      <c r="M9956">
        <v>19433</v>
      </c>
      <c r="N9956">
        <v>2037589.4799999997</v>
      </c>
      <c r="O9956">
        <v>104.85</v>
      </c>
    </row>
    <row r="9957" spans="1:15" x14ac:dyDescent="0.35">
      <c r="A9957" t="s">
        <v>10685</v>
      </c>
      <c r="B9957" t="s">
        <v>10686</v>
      </c>
      <c r="C9957" t="s">
        <v>1059</v>
      </c>
      <c r="D9957" t="s">
        <v>323</v>
      </c>
      <c r="E9957" t="s">
        <v>312</v>
      </c>
      <c r="F9957" t="s">
        <v>10714</v>
      </c>
      <c r="G9957">
        <v>19433</v>
      </c>
      <c r="H9957">
        <v>2037589.4799999997</v>
      </c>
      <c r="I9957">
        <v>104.85</v>
      </c>
      <c r="J9957">
        <v>0</v>
      </c>
      <c r="K9957">
        <v>0</v>
      </c>
      <c r="L9957">
        <v>0</v>
      </c>
      <c r="M9957">
        <v>19433</v>
      </c>
      <c r="N9957">
        <v>2037589.4799999997</v>
      </c>
      <c r="O9957">
        <v>104.85</v>
      </c>
    </row>
    <row r="9958" spans="1:15" x14ac:dyDescent="0.35">
      <c r="A9958" t="s">
        <v>10685</v>
      </c>
      <c r="B9958" t="s">
        <v>10686</v>
      </c>
      <c r="C9958" t="s">
        <v>1059</v>
      </c>
      <c r="D9958" t="s">
        <v>334</v>
      </c>
      <c r="E9958" t="s">
        <v>312</v>
      </c>
      <c r="F9958" t="s">
        <v>10715</v>
      </c>
      <c r="G9958">
        <v>22190</v>
      </c>
      <c r="H9958">
        <v>2394868.34</v>
      </c>
      <c r="I9958">
        <v>109.3</v>
      </c>
      <c r="J9958">
        <v>0</v>
      </c>
      <c r="K9958">
        <v>0</v>
      </c>
      <c r="L9958">
        <v>0</v>
      </c>
      <c r="M9958">
        <v>22190</v>
      </c>
      <c r="N9958">
        <v>2394868.34</v>
      </c>
      <c r="O9958">
        <v>109.3</v>
      </c>
    </row>
    <row r="9959" spans="1:15" x14ac:dyDescent="0.35">
      <c r="A9959" t="s">
        <v>10685</v>
      </c>
      <c r="B9959" t="s">
        <v>10686</v>
      </c>
      <c r="C9959" t="s">
        <v>1059</v>
      </c>
      <c r="D9959" t="s">
        <v>334</v>
      </c>
      <c r="E9959" t="s">
        <v>308</v>
      </c>
      <c r="F9959" t="s">
        <v>10716</v>
      </c>
      <c r="G9959">
        <v>156</v>
      </c>
      <c r="H9959">
        <v>0</v>
      </c>
      <c r="I9959">
        <v>0</v>
      </c>
      <c r="J9959">
        <v>0</v>
      </c>
      <c r="K9959">
        <v>0</v>
      </c>
      <c r="L9959">
        <v>0</v>
      </c>
      <c r="M9959">
        <v>156</v>
      </c>
      <c r="N9959">
        <v>0</v>
      </c>
      <c r="O9959">
        <v>0</v>
      </c>
    </row>
    <row r="9960" spans="1:15" x14ac:dyDescent="0.35">
      <c r="A9960" t="s">
        <v>10685</v>
      </c>
      <c r="B9960" t="s">
        <v>10686</v>
      </c>
      <c r="C9960" t="s">
        <v>1059</v>
      </c>
      <c r="D9960" t="s">
        <v>337</v>
      </c>
      <c r="E9960" t="s">
        <v>337</v>
      </c>
      <c r="F9960" t="s">
        <v>10717</v>
      </c>
      <c r="G9960">
        <v>738</v>
      </c>
      <c r="J9960">
        <v>0</v>
      </c>
      <c r="M9960">
        <v>738</v>
      </c>
    </row>
    <row r="9961" spans="1:15" x14ac:dyDescent="0.35">
      <c r="A9961" t="s">
        <v>10685</v>
      </c>
      <c r="B9961" t="s">
        <v>10686</v>
      </c>
      <c r="C9961" t="s">
        <v>1059</v>
      </c>
      <c r="D9961" t="s">
        <v>339</v>
      </c>
      <c r="E9961" t="s">
        <v>294</v>
      </c>
      <c r="F9961" t="s">
        <v>10718</v>
      </c>
      <c r="G9961">
        <v>1596</v>
      </c>
      <c r="H9961">
        <v>195435.22999999998</v>
      </c>
      <c r="I9961">
        <v>122.45</v>
      </c>
      <c r="J9961">
        <v>0</v>
      </c>
      <c r="K9961">
        <v>0</v>
      </c>
      <c r="L9961">
        <v>0</v>
      </c>
      <c r="M9961">
        <v>1596</v>
      </c>
      <c r="N9961">
        <v>195435.22999999998</v>
      </c>
      <c r="O9961">
        <v>122.45</v>
      </c>
    </row>
    <row r="9962" spans="1:15" x14ac:dyDescent="0.35">
      <c r="A9962" t="s">
        <v>10685</v>
      </c>
      <c r="B9962" t="s">
        <v>10686</v>
      </c>
      <c r="C9962" t="s">
        <v>1059</v>
      </c>
      <c r="D9962" t="s">
        <v>339</v>
      </c>
      <c r="E9962" t="s">
        <v>296</v>
      </c>
      <c r="F9962" t="s">
        <v>10719</v>
      </c>
      <c r="G9962">
        <v>105</v>
      </c>
      <c r="H9962">
        <v>13016.41</v>
      </c>
      <c r="I9962">
        <v>123.97</v>
      </c>
      <c r="J9962">
        <v>0</v>
      </c>
      <c r="K9962">
        <v>0</v>
      </c>
      <c r="L9962">
        <v>0</v>
      </c>
      <c r="M9962">
        <v>105</v>
      </c>
      <c r="N9962">
        <v>13016.41</v>
      </c>
      <c r="O9962">
        <v>123.97</v>
      </c>
    </row>
    <row r="9963" spans="1:15" x14ac:dyDescent="0.35">
      <c r="A9963" t="s">
        <v>10685</v>
      </c>
      <c r="B9963" t="s">
        <v>10686</v>
      </c>
      <c r="C9963" t="s">
        <v>1059</v>
      </c>
      <c r="D9963" t="s">
        <v>339</v>
      </c>
      <c r="E9963" t="s">
        <v>298</v>
      </c>
      <c r="F9963" t="s">
        <v>10720</v>
      </c>
      <c r="G9963">
        <v>7</v>
      </c>
      <c r="H9963">
        <v>865.79</v>
      </c>
      <c r="I9963">
        <v>123.68</v>
      </c>
      <c r="J9963">
        <v>0</v>
      </c>
      <c r="K9963">
        <v>0</v>
      </c>
      <c r="L9963">
        <v>0</v>
      </c>
      <c r="M9963">
        <v>7</v>
      </c>
      <c r="N9963">
        <v>865.79</v>
      </c>
      <c r="O9963">
        <v>123.68</v>
      </c>
    </row>
    <row r="9964" spans="1:15" x14ac:dyDescent="0.35">
      <c r="A9964" t="s">
        <v>10685</v>
      </c>
      <c r="B9964" t="s">
        <v>10686</v>
      </c>
      <c r="C9964" t="s">
        <v>1059</v>
      </c>
      <c r="D9964" t="s">
        <v>339</v>
      </c>
      <c r="E9964" t="s">
        <v>300</v>
      </c>
      <c r="F9964" t="s">
        <v>10721</v>
      </c>
      <c r="G9964">
        <v>2</v>
      </c>
      <c r="H9964">
        <v>408.94</v>
      </c>
      <c r="I9964">
        <v>204.47</v>
      </c>
      <c r="J9964">
        <v>0</v>
      </c>
      <c r="K9964">
        <v>0</v>
      </c>
      <c r="L9964">
        <v>0</v>
      </c>
      <c r="M9964">
        <v>2</v>
      </c>
      <c r="N9964">
        <v>408.94</v>
      </c>
      <c r="O9964">
        <v>204.47</v>
      </c>
    </row>
    <row r="9965" spans="1:15" x14ac:dyDescent="0.35">
      <c r="A9965" t="s">
        <v>10685</v>
      </c>
      <c r="B9965" t="s">
        <v>10686</v>
      </c>
      <c r="C9965" t="s">
        <v>1059</v>
      </c>
      <c r="D9965" t="s">
        <v>339</v>
      </c>
      <c r="E9965" t="s">
        <v>306</v>
      </c>
      <c r="F9965" t="s">
        <v>10722</v>
      </c>
      <c r="G9965">
        <v>210</v>
      </c>
      <c r="H9965">
        <v>23457.919999999998</v>
      </c>
      <c r="I9965">
        <v>111.7</v>
      </c>
      <c r="J9965">
        <v>0</v>
      </c>
      <c r="K9965">
        <v>0</v>
      </c>
      <c r="L9965">
        <v>0</v>
      </c>
      <c r="M9965">
        <v>210</v>
      </c>
      <c r="N9965">
        <v>23457.919999999998</v>
      </c>
      <c r="O9965">
        <v>111.7</v>
      </c>
    </row>
    <row r="9966" spans="1:15" x14ac:dyDescent="0.35">
      <c r="A9966" t="s">
        <v>10685</v>
      </c>
      <c r="B9966" t="s">
        <v>10686</v>
      </c>
      <c r="C9966" t="s">
        <v>1059</v>
      </c>
      <c r="D9966" t="s">
        <v>339</v>
      </c>
      <c r="E9966" t="s">
        <v>308</v>
      </c>
      <c r="F9966" t="s">
        <v>10723</v>
      </c>
      <c r="G9966">
        <v>139</v>
      </c>
      <c r="H9966">
        <v>15159.539999999999</v>
      </c>
      <c r="I9966">
        <v>109.06</v>
      </c>
      <c r="J9966">
        <v>0</v>
      </c>
      <c r="K9966">
        <v>0</v>
      </c>
      <c r="L9966">
        <v>0</v>
      </c>
      <c r="M9966">
        <v>139</v>
      </c>
      <c r="N9966">
        <v>15159.539999999999</v>
      </c>
      <c r="O9966">
        <v>109.06</v>
      </c>
    </row>
    <row r="9967" spans="1:15" x14ac:dyDescent="0.35">
      <c r="A9967" t="s">
        <v>10685</v>
      </c>
      <c r="B9967" t="s">
        <v>10686</v>
      </c>
      <c r="C9967" t="s">
        <v>1059</v>
      </c>
      <c r="D9967" t="s">
        <v>339</v>
      </c>
      <c r="E9967" t="s">
        <v>310</v>
      </c>
      <c r="F9967" t="s">
        <v>10724</v>
      </c>
      <c r="G9967">
        <v>2059</v>
      </c>
      <c r="H9967">
        <v>248343.83</v>
      </c>
      <c r="I9967">
        <v>120.61</v>
      </c>
      <c r="J9967">
        <v>0</v>
      </c>
      <c r="K9967">
        <v>0</v>
      </c>
      <c r="L9967">
        <v>0</v>
      </c>
      <c r="M9967">
        <v>2059</v>
      </c>
      <c r="N9967">
        <v>248343.83</v>
      </c>
      <c r="O9967">
        <v>120.61</v>
      </c>
    </row>
    <row r="9968" spans="1:15" x14ac:dyDescent="0.35">
      <c r="A9968" t="s">
        <v>10685</v>
      </c>
      <c r="B9968" t="s">
        <v>10686</v>
      </c>
      <c r="C9968" t="s">
        <v>1059</v>
      </c>
      <c r="D9968" t="s">
        <v>339</v>
      </c>
      <c r="E9968" t="s">
        <v>312</v>
      </c>
      <c r="F9968" t="s">
        <v>10725</v>
      </c>
      <c r="G9968">
        <v>1920</v>
      </c>
      <c r="H9968">
        <v>233184.28999999998</v>
      </c>
      <c r="I9968">
        <v>121.45</v>
      </c>
      <c r="J9968">
        <v>0</v>
      </c>
      <c r="K9968">
        <v>0</v>
      </c>
      <c r="L9968">
        <v>0</v>
      </c>
      <c r="M9968">
        <v>1920</v>
      </c>
      <c r="N9968">
        <v>233184.28999999998</v>
      </c>
      <c r="O9968">
        <v>121.45</v>
      </c>
    </row>
    <row r="9969" spans="1:15" x14ac:dyDescent="0.35">
      <c r="A9969" t="s">
        <v>10685</v>
      </c>
      <c r="B9969" t="s">
        <v>10686</v>
      </c>
      <c r="C9969" t="s">
        <v>1059</v>
      </c>
      <c r="D9969" t="s">
        <v>348</v>
      </c>
      <c r="E9969" t="s">
        <v>349</v>
      </c>
      <c r="F9969" t="s">
        <v>10726</v>
      </c>
      <c r="G9969">
        <v>2567</v>
      </c>
      <c r="H9969">
        <v>252989.80000000002</v>
      </c>
      <c r="I9969">
        <v>121.11</v>
      </c>
      <c r="J9969">
        <v>0</v>
      </c>
      <c r="K9969">
        <v>0</v>
      </c>
      <c r="L9969">
        <v>0</v>
      </c>
      <c r="M9969">
        <v>2567</v>
      </c>
      <c r="N9969">
        <v>252989.80000000002</v>
      </c>
      <c r="O9969">
        <v>121.11</v>
      </c>
    </row>
    <row r="9970" spans="1:15" x14ac:dyDescent="0.35">
      <c r="A9970" t="s">
        <v>10727</v>
      </c>
      <c r="B9970" t="s">
        <v>10728</v>
      </c>
      <c r="C9970" t="s">
        <v>1059</v>
      </c>
      <c r="D9970" t="s">
        <v>293</v>
      </c>
      <c r="E9970" t="s">
        <v>294</v>
      </c>
      <c r="F9970" t="s">
        <v>10729</v>
      </c>
      <c r="G9970">
        <v>178</v>
      </c>
      <c r="H9970">
        <v>19711.809999999998</v>
      </c>
      <c r="I9970">
        <v>110.74</v>
      </c>
      <c r="J9970">
        <v>97</v>
      </c>
      <c r="K9970">
        <v>9777.6</v>
      </c>
      <c r="L9970">
        <v>100.8</v>
      </c>
      <c r="M9970">
        <v>275</v>
      </c>
      <c r="N9970">
        <v>29489.409999999996</v>
      </c>
      <c r="O9970">
        <v>107.23</v>
      </c>
    </row>
    <row r="9971" spans="1:15" x14ac:dyDescent="0.35">
      <c r="A9971" t="s">
        <v>10727</v>
      </c>
      <c r="B9971" t="s">
        <v>10728</v>
      </c>
      <c r="C9971" t="s">
        <v>1059</v>
      </c>
      <c r="D9971" t="s">
        <v>293</v>
      </c>
      <c r="E9971" t="s">
        <v>296</v>
      </c>
      <c r="F9971" t="s">
        <v>10730</v>
      </c>
      <c r="G9971">
        <v>556</v>
      </c>
      <c r="H9971">
        <v>75988.290000000008</v>
      </c>
      <c r="I9971">
        <v>136.66999999999999</v>
      </c>
      <c r="J9971">
        <v>215</v>
      </c>
      <c r="K9971">
        <v>26399.850000000002</v>
      </c>
      <c r="L9971">
        <v>122.79</v>
      </c>
      <c r="M9971">
        <v>771</v>
      </c>
      <c r="N9971">
        <v>102388.14000000001</v>
      </c>
      <c r="O9971">
        <v>132.80000000000001</v>
      </c>
    </row>
    <row r="9972" spans="1:15" x14ac:dyDescent="0.35">
      <c r="A9972" t="s">
        <v>10727</v>
      </c>
      <c r="B9972" t="s">
        <v>10728</v>
      </c>
      <c r="C9972" t="s">
        <v>1059</v>
      </c>
      <c r="D9972" t="s">
        <v>293</v>
      </c>
      <c r="E9972" t="s">
        <v>298</v>
      </c>
      <c r="F9972" t="s">
        <v>10731</v>
      </c>
      <c r="G9972">
        <v>317</v>
      </c>
      <c r="H9972">
        <v>50815.519999999997</v>
      </c>
      <c r="I9972">
        <v>160.30000000000001</v>
      </c>
      <c r="J9972">
        <v>50</v>
      </c>
      <c r="K9972">
        <v>5308</v>
      </c>
      <c r="L9972">
        <v>106.16</v>
      </c>
      <c r="M9972">
        <v>367</v>
      </c>
      <c r="N9972">
        <v>56123.519999999997</v>
      </c>
      <c r="O9972">
        <v>152.93</v>
      </c>
    </row>
    <row r="9973" spans="1:15" x14ac:dyDescent="0.35">
      <c r="A9973" t="s">
        <v>10727</v>
      </c>
      <c r="B9973" t="s">
        <v>10728</v>
      </c>
      <c r="C9973" t="s">
        <v>1059</v>
      </c>
      <c r="D9973" t="s">
        <v>293</v>
      </c>
      <c r="E9973" t="s">
        <v>300</v>
      </c>
      <c r="F9973" t="s">
        <v>10732</v>
      </c>
      <c r="G9973">
        <v>79</v>
      </c>
      <c r="H9973">
        <v>14191.95</v>
      </c>
      <c r="I9973">
        <v>179.64</v>
      </c>
      <c r="J9973">
        <v>38</v>
      </c>
      <c r="K9973">
        <v>6242.64</v>
      </c>
      <c r="L9973">
        <v>164.28</v>
      </c>
      <c r="M9973">
        <v>117</v>
      </c>
      <c r="N9973">
        <v>20434.59</v>
      </c>
      <c r="O9973">
        <v>174.65</v>
      </c>
    </row>
    <row r="9974" spans="1:15" x14ac:dyDescent="0.35">
      <c r="A9974" t="s">
        <v>10727</v>
      </c>
      <c r="B9974" t="s">
        <v>10728</v>
      </c>
      <c r="C9974" t="s">
        <v>1059</v>
      </c>
      <c r="D9974" t="s">
        <v>293</v>
      </c>
      <c r="E9974" t="s">
        <v>302</v>
      </c>
      <c r="F9974" t="s">
        <v>10733</v>
      </c>
      <c r="G9974">
        <v>0</v>
      </c>
      <c r="H9974">
        <v>0</v>
      </c>
      <c r="I9974">
        <v>0</v>
      </c>
      <c r="J9974">
        <v>3</v>
      </c>
      <c r="K9974">
        <v>531.15000000000009</v>
      </c>
      <c r="L9974">
        <v>177.05</v>
      </c>
      <c r="M9974">
        <v>3</v>
      </c>
      <c r="N9974">
        <v>531.15000000000009</v>
      </c>
      <c r="O9974">
        <v>177.05</v>
      </c>
    </row>
    <row r="9975" spans="1:15" x14ac:dyDescent="0.35">
      <c r="A9975" t="s">
        <v>10727</v>
      </c>
      <c r="B9975" t="s">
        <v>10728</v>
      </c>
      <c r="C9975" t="s">
        <v>1059</v>
      </c>
      <c r="D9975" t="s">
        <v>293</v>
      </c>
      <c r="E9975" t="s">
        <v>304</v>
      </c>
      <c r="F9975" t="s">
        <v>10734</v>
      </c>
      <c r="G9975">
        <v>0</v>
      </c>
      <c r="H9975">
        <v>0</v>
      </c>
      <c r="I9975">
        <v>0</v>
      </c>
      <c r="J9975">
        <v>2</v>
      </c>
      <c r="K9975">
        <v>384.2</v>
      </c>
      <c r="L9975">
        <v>192.1</v>
      </c>
      <c r="M9975">
        <v>2</v>
      </c>
      <c r="N9975">
        <v>384.2</v>
      </c>
      <c r="O9975">
        <v>192.1</v>
      </c>
    </row>
    <row r="9976" spans="1:15" x14ac:dyDescent="0.35">
      <c r="A9976" t="s">
        <v>10727</v>
      </c>
      <c r="B9976" t="s">
        <v>10728</v>
      </c>
      <c r="C9976" t="s">
        <v>1059</v>
      </c>
      <c r="D9976" t="s">
        <v>293</v>
      </c>
      <c r="E9976" t="s">
        <v>306</v>
      </c>
      <c r="F9976" t="s">
        <v>10735</v>
      </c>
      <c r="G9976">
        <v>0</v>
      </c>
      <c r="H9976">
        <v>0</v>
      </c>
      <c r="I9976">
        <v>0</v>
      </c>
      <c r="J9976">
        <v>1</v>
      </c>
      <c r="K9976">
        <v>71</v>
      </c>
      <c r="L9976">
        <v>71</v>
      </c>
      <c r="M9976">
        <v>1</v>
      </c>
      <c r="N9976">
        <v>71</v>
      </c>
      <c r="O9976">
        <v>71</v>
      </c>
    </row>
    <row r="9977" spans="1:15" x14ac:dyDescent="0.35">
      <c r="A9977" t="s">
        <v>10727</v>
      </c>
      <c r="B9977" t="s">
        <v>10728</v>
      </c>
      <c r="C9977" t="s">
        <v>1059</v>
      </c>
      <c r="D9977" t="s">
        <v>293</v>
      </c>
      <c r="E9977" t="s">
        <v>308</v>
      </c>
      <c r="F9977" t="s">
        <v>10736</v>
      </c>
      <c r="G9977">
        <v>0</v>
      </c>
      <c r="H9977">
        <v>0</v>
      </c>
      <c r="I9977">
        <v>0</v>
      </c>
      <c r="J9977">
        <v>0</v>
      </c>
      <c r="K9977">
        <v>0</v>
      </c>
      <c r="L9977">
        <v>0</v>
      </c>
      <c r="M9977">
        <v>0</v>
      </c>
      <c r="N9977">
        <v>0</v>
      </c>
      <c r="O9977">
        <v>0</v>
      </c>
    </row>
    <row r="9978" spans="1:15" x14ac:dyDescent="0.35">
      <c r="A9978" t="s">
        <v>10727</v>
      </c>
      <c r="B9978" t="s">
        <v>10728</v>
      </c>
      <c r="C9978" t="s">
        <v>1059</v>
      </c>
      <c r="D9978" t="s">
        <v>293</v>
      </c>
      <c r="E9978" t="s">
        <v>310</v>
      </c>
      <c r="F9978" t="s">
        <v>10737</v>
      </c>
      <c r="G9978">
        <v>1130</v>
      </c>
      <c r="H9978">
        <v>160707.57</v>
      </c>
      <c r="I9978">
        <v>142.22</v>
      </c>
      <c r="J9978">
        <v>406</v>
      </c>
      <c r="K9978">
        <v>48714.44</v>
      </c>
      <c r="L9978">
        <v>119.99</v>
      </c>
      <c r="M9978">
        <v>1536</v>
      </c>
      <c r="N9978">
        <v>209422.01</v>
      </c>
      <c r="O9978">
        <v>136.34</v>
      </c>
    </row>
    <row r="9979" spans="1:15" x14ac:dyDescent="0.35">
      <c r="A9979" t="s">
        <v>10727</v>
      </c>
      <c r="B9979" t="s">
        <v>10728</v>
      </c>
      <c r="C9979" t="s">
        <v>1059</v>
      </c>
      <c r="D9979" t="s">
        <v>293</v>
      </c>
      <c r="E9979" t="s">
        <v>312</v>
      </c>
      <c r="F9979" t="s">
        <v>10738</v>
      </c>
      <c r="G9979">
        <v>1130</v>
      </c>
      <c r="H9979">
        <v>160707.57</v>
      </c>
      <c r="I9979">
        <v>142.22</v>
      </c>
      <c r="J9979">
        <v>406</v>
      </c>
      <c r="K9979">
        <v>48714.44</v>
      </c>
      <c r="L9979">
        <v>119.99</v>
      </c>
      <c r="M9979">
        <v>1536</v>
      </c>
      <c r="N9979">
        <v>209422.01</v>
      </c>
      <c r="O9979">
        <v>136.34</v>
      </c>
    </row>
    <row r="9980" spans="1:15" x14ac:dyDescent="0.35">
      <c r="A9980" t="s">
        <v>10727</v>
      </c>
      <c r="B9980" t="s">
        <v>10728</v>
      </c>
      <c r="C9980" t="s">
        <v>1059</v>
      </c>
      <c r="D9980" t="s">
        <v>314</v>
      </c>
      <c r="E9980" t="s">
        <v>294</v>
      </c>
      <c r="F9980" t="s">
        <v>10739</v>
      </c>
      <c r="G9980">
        <v>5</v>
      </c>
      <c r="H9980">
        <v>588.20000000000005</v>
      </c>
      <c r="I9980">
        <v>117.64</v>
      </c>
      <c r="J9980">
        <v>93</v>
      </c>
      <c r="K9980">
        <v>8808.9599999999991</v>
      </c>
      <c r="L9980">
        <v>94.72</v>
      </c>
      <c r="M9980">
        <v>98</v>
      </c>
      <c r="N9980">
        <v>9397.16</v>
      </c>
      <c r="O9980">
        <v>95.89</v>
      </c>
    </row>
    <row r="9981" spans="1:15" x14ac:dyDescent="0.35">
      <c r="A9981" t="s">
        <v>10727</v>
      </c>
      <c r="B9981" t="s">
        <v>10728</v>
      </c>
      <c r="C9981" t="s">
        <v>1059</v>
      </c>
      <c r="D9981" t="s">
        <v>314</v>
      </c>
      <c r="E9981" t="s">
        <v>296</v>
      </c>
      <c r="F9981" t="s">
        <v>10740</v>
      </c>
      <c r="G9981">
        <v>8</v>
      </c>
      <c r="H9981">
        <v>1127.2</v>
      </c>
      <c r="I9981">
        <v>140.9</v>
      </c>
      <c r="J9981">
        <v>1</v>
      </c>
      <c r="K9981">
        <v>108.06</v>
      </c>
      <c r="L9981">
        <v>108.06</v>
      </c>
      <c r="M9981">
        <v>9</v>
      </c>
      <c r="N9981">
        <v>1235.26</v>
      </c>
      <c r="O9981">
        <v>137.25</v>
      </c>
    </row>
    <row r="9982" spans="1:15" x14ac:dyDescent="0.35">
      <c r="A9982" t="s">
        <v>10727</v>
      </c>
      <c r="B9982" t="s">
        <v>10728</v>
      </c>
      <c r="C9982" t="s">
        <v>1059</v>
      </c>
      <c r="D9982" t="s">
        <v>314</v>
      </c>
      <c r="E9982" t="s">
        <v>298</v>
      </c>
      <c r="F9982" t="s">
        <v>10741</v>
      </c>
      <c r="G9982">
        <v>0</v>
      </c>
      <c r="H9982">
        <v>0</v>
      </c>
      <c r="I9982">
        <v>0</v>
      </c>
      <c r="J9982">
        <v>0</v>
      </c>
      <c r="K9982">
        <v>0</v>
      </c>
      <c r="L9982">
        <v>0</v>
      </c>
      <c r="M9982">
        <v>0</v>
      </c>
      <c r="N9982">
        <v>0</v>
      </c>
      <c r="O9982">
        <v>0</v>
      </c>
    </row>
    <row r="9983" spans="1:15" x14ac:dyDescent="0.35">
      <c r="A9983" t="s">
        <v>10727</v>
      </c>
      <c r="B9983" t="s">
        <v>10728</v>
      </c>
      <c r="C9983" t="s">
        <v>1059</v>
      </c>
      <c r="D9983" t="s">
        <v>314</v>
      </c>
      <c r="E9983" t="s">
        <v>300</v>
      </c>
      <c r="F9983" t="s">
        <v>10742</v>
      </c>
      <c r="G9983">
        <v>0</v>
      </c>
      <c r="H9983">
        <v>0</v>
      </c>
      <c r="I9983">
        <v>0</v>
      </c>
      <c r="J9983">
        <v>0</v>
      </c>
      <c r="K9983">
        <v>0</v>
      </c>
      <c r="L9983">
        <v>0</v>
      </c>
      <c r="M9983">
        <v>0</v>
      </c>
      <c r="N9983">
        <v>0</v>
      </c>
      <c r="O9983">
        <v>0</v>
      </c>
    </row>
    <row r="9984" spans="1:15" x14ac:dyDescent="0.35">
      <c r="A9984" t="s">
        <v>10727</v>
      </c>
      <c r="B9984" t="s">
        <v>10728</v>
      </c>
      <c r="C9984" t="s">
        <v>1059</v>
      </c>
      <c r="D9984" t="s">
        <v>314</v>
      </c>
      <c r="E9984" t="s">
        <v>306</v>
      </c>
      <c r="F9984" t="s">
        <v>10743</v>
      </c>
      <c r="G9984">
        <v>0</v>
      </c>
      <c r="H9984">
        <v>0</v>
      </c>
      <c r="I9984">
        <v>0</v>
      </c>
      <c r="J9984">
        <v>0</v>
      </c>
      <c r="K9984">
        <v>0</v>
      </c>
      <c r="L9984">
        <v>0</v>
      </c>
      <c r="M9984">
        <v>0</v>
      </c>
      <c r="N9984">
        <v>0</v>
      </c>
      <c r="O9984">
        <v>0</v>
      </c>
    </row>
    <row r="9985" spans="1:15" x14ac:dyDescent="0.35">
      <c r="A9985" t="s">
        <v>10727</v>
      </c>
      <c r="B9985" t="s">
        <v>10728</v>
      </c>
      <c r="C9985" t="s">
        <v>1059</v>
      </c>
      <c r="D9985" t="s">
        <v>314</v>
      </c>
      <c r="E9985" t="s">
        <v>308</v>
      </c>
      <c r="F9985" t="s">
        <v>10744</v>
      </c>
      <c r="G9985">
        <v>0</v>
      </c>
      <c r="H9985">
        <v>0</v>
      </c>
      <c r="I9985">
        <v>0</v>
      </c>
      <c r="J9985">
        <v>5</v>
      </c>
      <c r="K9985">
        <v>312.2</v>
      </c>
      <c r="L9985">
        <v>62.44</v>
      </c>
      <c r="M9985">
        <v>5</v>
      </c>
      <c r="N9985">
        <v>312.2</v>
      </c>
      <c r="O9985">
        <v>62.44</v>
      </c>
    </row>
    <row r="9986" spans="1:15" x14ac:dyDescent="0.35">
      <c r="A9986" t="s">
        <v>10727</v>
      </c>
      <c r="B9986" t="s">
        <v>10728</v>
      </c>
      <c r="C9986" t="s">
        <v>1059</v>
      </c>
      <c r="D9986" t="s">
        <v>314</v>
      </c>
      <c r="E9986" t="s">
        <v>312</v>
      </c>
      <c r="F9986" t="s">
        <v>10745</v>
      </c>
      <c r="G9986">
        <v>13</v>
      </c>
      <c r="H9986">
        <v>1715.4</v>
      </c>
      <c r="I9986">
        <v>131.94999999999999</v>
      </c>
      <c r="J9986">
        <v>94</v>
      </c>
      <c r="K9986">
        <v>8917.0199999999986</v>
      </c>
      <c r="L9986">
        <v>94.86</v>
      </c>
      <c r="M9986">
        <v>107</v>
      </c>
      <c r="N9986">
        <v>10632.419999999998</v>
      </c>
      <c r="O9986">
        <v>99.37</v>
      </c>
    </row>
    <row r="9987" spans="1:15" x14ac:dyDescent="0.35">
      <c r="A9987" t="s">
        <v>10727</v>
      </c>
      <c r="B9987" t="s">
        <v>10728</v>
      </c>
      <c r="C9987" t="s">
        <v>1059</v>
      </c>
      <c r="D9987" t="s">
        <v>314</v>
      </c>
      <c r="E9987" t="s">
        <v>310</v>
      </c>
      <c r="F9987" t="s">
        <v>10746</v>
      </c>
      <c r="G9987">
        <v>13</v>
      </c>
      <c r="H9987">
        <v>1715.4</v>
      </c>
      <c r="I9987">
        <v>131.94999999999999</v>
      </c>
      <c r="J9987">
        <v>99</v>
      </c>
      <c r="K9987">
        <v>9229.2199999999993</v>
      </c>
      <c r="L9987">
        <v>93.22</v>
      </c>
      <c r="M9987">
        <v>112</v>
      </c>
      <c r="N9987">
        <v>10944.619999999999</v>
      </c>
      <c r="O9987">
        <v>97.72</v>
      </c>
    </row>
    <row r="9988" spans="1:15" x14ac:dyDescent="0.35">
      <c r="A9988" t="s">
        <v>10727</v>
      </c>
      <c r="B9988" t="s">
        <v>10728</v>
      </c>
      <c r="C9988" t="s">
        <v>1059</v>
      </c>
      <c r="D9988" t="s">
        <v>323</v>
      </c>
      <c r="E9988" t="s">
        <v>294</v>
      </c>
      <c r="F9988" t="s">
        <v>10747</v>
      </c>
      <c r="G9988">
        <v>714</v>
      </c>
      <c r="H9988">
        <v>68110.010000000009</v>
      </c>
      <c r="I9988">
        <v>95.39</v>
      </c>
      <c r="J9988">
        <v>5441</v>
      </c>
      <c r="K9988">
        <v>454976.42000000004</v>
      </c>
      <c r="L9988">
        <v>83.62</v>
      </c>
      <c r="M9988">
        <v>6155</v>
      </c>
      <c r="N9988">
        <v>523086.43000000005</v>
      </c>
      <c r="O9988">
        <v>84.99</v>
      </c>
    </row>
    <row r="9989" spans="1:15" x14ac:dyDescent="0.35">
      <c r="A9989" t="s">
        <v>10727</v>
      </c>
      <c r="B9989" t="s">
        <v>10728</v>
      </c>
      <c r="C9989" t="s">
        <v>1059</v>
      </c>
      <c r="D9989" t="s">
        <v>323</v>
      </c>
      <c r="E9989" t="s">
        <v>296</v>
      </c>
      <c r="F9989" t="s">
        <v>10748</v>
      </c>
      <c r="G9989">
        <v>1194</v>
      </c>
      <c r="H9989">
        <v>133693.87</v>
      </c>
      <c r="I9989">
        <v>111.97</v>
      </c>
      <c r="J9989">
        <v>5944</v>
      </c>
      <c r="K9989">
        <v>556833.92000000004</v>
      </c>
      <c r="L9989">
        <v>93.68</v>
      </c>
      <c r="M9989">
        <v>7138</v>
      </c>
      <c r="N9989">
        <v>690527.79</v>
      </c>
      <c r="O9989">
        <v>96.74</v>
      </c>
    </row>
    <row r="9990" spans="1:15" x14ac:dyDescent="0.35">
      <c r="A9990" t="s">
        <v>10727</v>
      </c>
      <c r="B9990" t="s">
        <v>10728</v>
      </c>
      <c r="C9990" t="s">
        <v>1059</v>
      </c>
      <c r="D9990" t="s">
        <v>323</v>
      </c>
      <c r="E9990" t="s">
        <v>298</v>
      </c>
      <c r="F9990" t="s">
        <v>10749</v>
      </c>
      <c r="G9990">
        <v>1085</v>
      </c>
      <c r="H9990">
        <v>135673.62999999998</v>
      </c>
      <c r="I9990">
        <v>125.04</v>
      </c>
      <c r="J9990">
        <v>7665</v>
      </c>
      <c r="K9990">
        <v>807967.65</v>
      </c>
      <c r="L9990">
        <v>105.41</v>
      </c>
      <c r="M9990">
        <v>8750</v>
      </c>
      <c r="N9990">
        <v>943641.28</v>
      </c>
      <c r="O9990">
        <v>107.84</v>
      </c>
    </row>
    <row r="9991" spans="1:15" x14ac:dyDescent="0.35">
      <c r="A9991" t="s">
        <v>10727</v>
      </c>
      <c r="B9991" t="s">
        <v>10728</v>
      </c>
      <c r="C9991" t="s">
        <v>1059</v>
      </c>
      <c r="D9991" t="s">
        <v>323</v>
      </c>
      <c r="E9991" t="s">
        <v>300</v>
      </c>
      <c r="F9991" t="s">
        <v>10750</v>
      </c>
      <c r="G9991">
        <v>158</v>
      </c>
      <c r="H9991">
        <v>22546.430000000004</v>
      </c>
      <c r="I9991">
        <v>142.69999999999999</v>
      </c>
      <c r="J9991">
        <v>583</v>
      </c>
      <c r="K9991">
        <v>66660.22</v>
      </c>
      <c r="L9991">
        <v>114.34</v>
      </c>
      <c r="M9991">
        <v>741</v>
      </c>
      <c r="N9991">
        <v>89206.650000000009</v>
      </c>
      <c r="O9991">
        <v>120.39</v>
      </c>
    </row>
    <row r="9992" spans="1:15" x14ac:dyDescent="0.35">
      <c r="A9992" t="s">
        <v>10727</v>
      </c>
      <c r="B9992" t="s">
        <v>10728</v>
      </c>
      <c r="C9992" t="s">
        <v>1059</v>
      </c>
      <c r="D9992" t="s">
        <v>323</v>
      </c>
      <c r="E9992" t="s">
        <v>302</v>
      </c>
      <c r="F9992" t="s">
        <v>10751</v>
      </c>
      <c r="G9992">
        <v>7</v>
      </c>
      <c r="H9992">
        <v>1095.31</v>
      </c>
      <c r="I9992">
        <v>156.47</v>
      </c>
      <c r="J9992">
        <v>22</v>
      </c>
      <c r="K9992">
        <v>2684.66</v>
      </c>
      <c r="L9992">
        <v>122.03</v>
      </c>
      <c r="M9992">
        <v>29</v>
      </c>
      <c r="N9992">
        <v>3779.97</v>
      </c>
      <c r="O9992">
        <v>130.34</v>
      </c>
    </row>
    <row r="9993" spans="1:15" x14ac:dyDescent="0.35">
      <c r="A9993" t="s">
        <v>10727</v>
      </c>
      <c r="B9993" t="s">
        <v>10728</v>
      </c>
      <c r="C9993" t="s">
        <v>1059</v>
      </c>
      <c r="D9993" t="s">
        <v>323</v>
      </c>
      <c r="E9993" t="s">
        <v>304</v>
      </c>
      <c r="F9993" t="s">
        <v>10752</v>
      </c>
      <c r="G9993">
        <v>21</v>
      </c>
      <c r="H9993">
        <v>3446.18</v>
      </c>
      <c r="I9993">
        <v>164.1</v>
      </c>
      <c r="J9993">
        <v>9</v>
      </c>
      <c r="K9993">
        <v>1220.94</v>
      </c>
      <c r="L9993">
        <v>135.66</v>
      </c>
      <c r="M9993">
        <v>30</v>
      </c>
      <c r="N9993">
        <v>4667.12</v>
      </c>
      <c r="O9993">
        <v>155.57</v>
      </c>
    </row>
    <row r="9994" spans="1:15" x14ac:dyDescent="0.35">
      <c r="A9994" t="s">
        <v>10727</v>
      </c>
      <c r="B9994" t="s">
        <v>10728</v>
      </c>
      <c r="C9994" t="s">
        <v>1059</v>
      </c>
      <c r="D9994" t="s">
        <v>323</v>
      </c>
      <c r="E9994" t="s">
        <v>306</v>
      </c>
      <c r="F9994" t="s">
        <v>10753</v>
      </c>
      <c r="G9994">
        <v>32</v>
      </c>
      <c r="H9994">
        <v>2638</v>
      </c>
      <c r="I9994">
        <v>82.44</v>
      </c>
      <c r="J9994">
        <v>236</v>
      </c>
      <c r="K9994">
        <v>16862.2</v>
      </c>
      <c r="L9994">
        <v>71.45</v>
      </c>
      <c r="M9994">
        <v>268</v>
      </c>
      <c r="N9994">
        <v>19500.2</v>
      </c>
      <c r="O9994">
        <v>72.760000000000005</v>
      </c>
    </row>
    <row r="9995" spans="1:15" x14ac:dyDescent="0.35">
      <c r="A9995" t="s">
        <v>10727</v>
      </c>
      <c r="B9995" t="s">
        <v>10728</v>
      </c>
      <c r="C9995" t="s">
        <v>1059</v>
      </c>
      <c r="D9995" t="s">
        <v>323</v>
      </c>
      <c r="E9995" t="s">
        <v>308</v>
      </c>
      <c r="F9995" t="s">
        <v>10754</v>
      </c>
      <c r="G9995">
        <v>0</v>
      </c>
      <c r="H9995">
        <v>0</v>
      </c>
      <c r="I9995">
        <v>0</v>
      </c>
      <c r="J9995">
        <v>0</v>
      </c>
      <c r="K9995">
        <v>0</v>
      </c>
      <c r="L9995">
        <v>0</v>
      </c>
      <c r="M9995">
        <v>0</v>
      </c>
      <c r="N9995">
        <v>0</v>
      </c>
      <c r="O9995">
        <v>0</v>
      </c>
    </row>
    <row r="9996" spans="1:15" x14ac:dyDescent="0.35">
      <c r="A9996" t="s">
        <v>10727</v>
      </c>
      <c r="B9996" t="s">
        <v>10728</v>
      </c>
      <c r="C9996" t="s">
        <v>1059</v>
      </c>
      <c r="D9996" t="s">
        <v>323</v>
      </c>
      <c r="E9996" t="s">
        <v>310</v>
      </c>
      <c r="F9996" t="s">
        <v>10755</v>
      </c>
      <c r="G9996">
        <v>3211</v>
      </c>
      <c r="H9996">
        <v>367203.43</v>
      </c>
      <c r="I9996">
        <v>114.36</v>
      </c>
      <c r="J9996">
        <v>19900</v>
      </c>
      <c r="K9996">
        <v>1907206.01</v>
      </c>
      <c r="L9996">
        <v>95.84</v>
      </c>
      <c r="M9996">
        <v>23111</v>
      </c>
      <c r="N9996">
        <v>2274409.44</v>
      </c>
      <c r="O9996">
        <v>98.41</v>
      </c>
    </row>
    <row r="9997" spans="1:15" x14ac:dyDescent="0.35">
      <c r="A9997" t="s">
        <v>10727</v>
      </c>
      <c r="B9997" t="s">
        <v>10728</v>
      </c>
      <c r="C9997" t="s">
        <v>1059</v>
      </c>
      <c r="D9997" t="s">
        <v>323</v>
      </c>
      <c r="E9997" t="s">
        <v>312</v>
      </c>
      <c r="F9997" t="s">
        <v>10756</v>
      </c>
      <c r="G9997">
        <v>3211</v>
      </c>
      <c r="H9997">
        <v>367203.43</v>
      </c>
      <c r="I9997">
        <v>114.36</v>
      </c>
      <c r="J9997">
        <v>19900</v>
      </c>
      <c r="K9997">
        <v>1907206.01</v>
      </c>
      <c r="L9997">
        <v>95.84</v>
      </c>
      <c r="M9997">
        <v>23111</v>
      </c>
      <c r="N9997">
        <v>2274409.44</v>
      </c>
      <c r="O9997">
        <v>98.41</v>
      </c>
    </row>
    <row r="9998" spans="1:15" x14ac:dyDescent="0.35">
      <c r="A9998" t="s">
        <v>10727</v>
      </c>
      <c r="B9998" t="s">
        <v>10728</v>
      </c>
      <c r="C9998" t="s">
        <v>1059</v>
      </c>
      <c r="D9998" t="s">
        <v>334</v>
      </c>
      <c r="E9998" t="s">
        <v>312</v>
      </c>
      <c r="F9998" t="s">
        <v>10757</v>
      </c>
      <c r="G9998">
        <v>4412</v>
      </c>
      <c r="H9998">
        <v>527911</v>
      </c>
      <c r="I9998">
        <v>121.61</v>
      </c>
      <c r="J9998">
        <v>20306</v>
      </c>
      <c r="K9998">
        <v>1955920.45</v>
      </c>
      <c r="L9998">
        <v>96.32</v>
      </c>
      <c r="M9998">
        <v>24718</v>
      </c>
      <c r="N9998">
        <v>2483831.4500000002</v>
      </c>
      <c r="O9998">
        <v>100.78</v>
      </c>
    </row>
    <row r="9999" spans="1:15" x14ac:dyDescent="0.35">
      <c r="A9999" t="s">
        <v>10727</v>
      </c>
      <c r="B9999" t="s">
        <v>10728</v>
      </c>
      <c r="C9999" t="s">
        <v>1059</v>
      </c>
      <c r="D9999" t="s">
        <v>334</v>
      </c>
      <c r="E9999" t="s">
        <v>308</v>
      </c>
      <c r="F9999" t="s">
        <v>10758</v>
      </c>
      <c r="G9999">
        <v>0</v>
      </c>
      <c r="H9999">
        <v>0</v>
      </c>
      <c r="I9999">
        <v>0</v>
      </c>
      <c r="J9999">
        <v>0</v>
      </c>
      <c r="K9999">
        <v>0</v>
      </c>
      <c r="L9999">
        <v>0</v>
      </c>
      <c r="M9999">
        <v>0</v>
      </c>
      <c r="N9999">
        <v>0</v>
      </c>
      <c r="O9999">
        <v>0</v>
      </c>
    </row>
    <row r="10000" spans="1:15" x14ac:dyDescent="0.35">
      <c r="A10000" t="s">
        <v>10727</v>
      </c>
      <c r="B10000" t="s">
        <v>10728</v>
      </c>
      <c r="C10000" t="s">
        <v>1059</v>
      </c>
      <c r="D10000" t="s">
        <v>337</v>
      </c>
      <c r="E10000" t="s">
        <v>337</v>
      </c>
      <c r="F10000" t="s">
        <v>10759</v>
      </c>
      <c r="G10000">
        <v>719</v>
      </c>
      <c r="J10000">
        <v>0</v>
      </c>
      <c r="M10000">
        <v>719</v>
      </c>
    </row>
    <row r="10001" spans="1:15" x14ac:dyDescent="0.35">
      <c r="A10001" t="s">
        <v>10727</v>
      </c>
      <c r="B10001" t="s">
        <v>10728</v>
      </c>
      <c r="C10001" t="s">
        <v>1059</v>
      </c>
      <c r="D10001" t="s">
        <v>339</v>
      </c>
      <c r="E10001" t="s">
        <v>294</v>
      </c>
      <c r="F10001" t="s">
        <v>10760</v>
      </c>
      <c r="G10001">
        <v>470</v>
      </c>
      <c r="H10001">
        <v>57610.239999999998</v>
      </c>
      <c r="I10001">
        <v>122.57</v>
      </c>
      <c r="J10001">
        <v>184</v>
      </c>
      <c r="K10001">
        <v>15973.04</v>
      </c>
      <c r="L10001">
        <v>86.81</v>
      </c>
      <c r="M10001">
        <v>654</v>
      </c>
      <c r="N10001">
        <v>73583.28</v>
      </c>
      <c r="O10001">
        <v>112.51</v>
      </c>
    </row>
    <row r="10002" spans="1:15" x14ac:dyDescent="0.35">
      <c r="A10002" t="s">
        <v>10727</v>
      </c>
      <c r="B10002" t="s">
        <v>10728</v>
      </c>
      <c r="C10002" t="s">
        <v>1059</v>
      </c>
      <c r="D10002" t="s">
        <v>339</v>
      </c>
      <c r="E10002" t="s">
        <v>296</v>
      </c>
      <c r="F10002" t="s">
        <v>10761</v>
      </c>
      <c r="G10002">
        <v>198</v>
      </c>
      <c r="H10002">
        <v>30722.59</v>
      </c>
      <c r="I10002">
        <v>155.16</v>
      </c>
      <c r="J10002">
        <v>39</v>
      </c>
      <c r="K10002">
        <v>4870.71</v>
      </c>
      <c r="L10002">
        <v>124.89</v>
      </c>
      <c r="M10002">
        <v>237</v>
      </c>
      <c r="N10002">
        <v>35593.300000000003</v>
      </c>
      <c r="O10002">
        <v>150.18</v>
      </c>
    </row>
    <row r="10003" spans="1:15" x14ac:dyDescent="0.35">
      <c r="A10003" t="s">
        <v>10727</v>
      </c>
      <c r="B10003" t="s">
        <v>10728</v>
      </c>
      <c r="C10003" t="s">
        <v>1059</v>
      </c>
      <c r="D10003" t="s">
        <v>339</v>
      </c>
      <c r="E10003" t="s">
        <v>298</v>
      </c>
      <c r="F10003" t="s">
        <v>10762</v>
      </c>
      <c r="G10003">
        <v>1</v>
      </c>
      <c r="H10003">
        <v>123.3</v>
      </c>
      <c r="I10003">
        <v>123.3</v>
      </c>
      <c r="J10003">
        <v>1</v>
      </c>
      <c r="K10003">
        <v>111.22</v>
      </c>
      <c r="L10003">
        <v>111.22</v>
      </c>
      <c r="M10003">
        <v>2</v>
      </c>
      <c r="N10003">
        <v>234.51999999999998</v>
      </c>
      <c r="O10003">
        <v>117.26</v>
      </c>
    </row>
    <row r="10004" spans="1:15" x14ac:dyDescent="0.35">
      <c r="A10004" t="s">
        <v>10727</v>
      </c>
      <c r="B10004" t="s">
        <v>10728</v>
      </c>
      <c r="C10004" t="s">
        <v>1059</v>
      </c>
      <c r="D10004" t="s">
        <v>339</v>
      </c>
      <c r="E10004" t="s">
        <v>300</v>
      </c>
      <c r="F10004" t="s">
        <v>10763</v>
      </c>
      <c r="G10004">
        <v>1</v>
      </c>
      <c r="H10004">
        <v>524.33000000000004</v>
      </c>
      <c r="I10004">
        <v>524.33000000000004</v>
      </c>
      <c r="J10004">
        <v>1</v>
      </c>
      <c r="K10004">
        <v>169.01</v>
      </c>
      <c r="L10004">
        <v>169.01</v>
      </c>
      <c r="M10004">
        <v>2</v>
      </c>
      <c r="N10004">
        <v>693.34</v>
      </c>
      <c r="O10004">
        <v>346.67</v>
      </c>
    </row>
    <row r="10005" spans="1:15" x14ac:dyDescent="0.35">
      <c r="A10005" t="s">
        <v>10727</v>
      </c>
      <c r="B10005" t="s">
        <v>10728</v>
      </c>
      <c r="C10005" t="s">
        <v>1059</v>
      </c>
      <c r="D10005" t="s">
        <v>339</v>
      </c>
      <c r="E10005" t="s">
        <v>306</v>
      </c>
      <c r="F10005" t="s">
        <v>10764</v>
      </c>
      <c r="G10005">
        <v>74</v>
      </c>
      <c r="H10005">
        <v>6886.83</v>
      </c>
      <c r="I10005">
        <v>93.07</v>
      </c>
      <c r="J10005">
        <v>101</v>
      </c>
      <c r="K10005">
        <v>7565.91</v>
      </c>
      <c r="L10005">
        <v>74.91</v>
      </c>
      <c r="M10005">
        <v>175</v>
      </c>
      <c r="N10005">
        <v>14452.74</v>
      </c>
      <c r="O10005">
        <v>82.59</v>
      </c>
    </row>
    <row r="10006" spans="1:15" x14ac:dyDescent="0.35">
      <c r="A10006" t="s">
        <v>10727</v>
      </c>
      <c r="B10006" t="s">
        <v>10728</v>
      </c>
      <c r="C10006" t="s">
        <v>1059</v>
      </c>
      <c r="D10006" t="s">
        <v>339</v>
      </c>
      <c r="E10006" t="s">
        <v>308</v>
      </c>
      <c r="F10006" t="s">
        <v>10765</v>
      </c>
      <c r="G10006">
        <v>94</v>
      </c>
      <c r="H10006">
        <v>18845.059999999998</v>
      </c>
      <c r="I10006">
        <v>200.48</v>
      </c>
      <c r="J10006">
        <v>0</v>
      </c>
      <c r="K10006">
        <v>0</v>
      </c>
      <c r="L10006">
        <v>0</v>
      </c>
      <c r="M10006">
        <v>94</v>
      </c>
      <c r="N10006">
        <v>18845.059999999998</v>
      </c>
      <c r="O10006">
        <v>200.48</v>
      </c>
    </row>
    <row r="10007" spans="1:15" x14ac:dyDescent="0.35">
      <c r="A10007" t="s">
        <v>10727</v>
      </c>
      <c r="B10007" t="s">
        <v>10728</v>
      </c>
      <c r="C10007" t="s">
        <v>1059</v>
      </c>
      <c r="D10007" t="s">
        <v>339</v>
      </c>
      <c r="E10007" t="s">
        <v>310</v>
      </c>
      <c r="F10007" t="s">
        <v>10766</v>
      </c>
      <c r="G10007">
        <v>838</v>
      </c>
      <c r="H10007">
        <v>114712.35</v>
      </c>
      <c r="I10007">
        <v>136.88999999999999</v>
      </c>
      <c r="J10007">
        <v>326</v>
      </c>
      <c r="K10007">
        <v>28689.89</v>
      </c>
      <c r="L10007">
        <v>88.01</v>
      </c>
      <c r="M10007">
        <v>1164</v>
      </c>
      <c r="N10007">
        <v>143402.23999999999</v>
      </c>
      <c r="O10007">
        <v>123.2</v>
      </c>
    </row>
    <row r="10008" spans="1:15" x14ac:dyDescent="0.35">
      <c r="A10008" t="s">
        <v>10727</v>
      </c>
      <c r="B10008" t="s">
        <v>10728</v>
      </c>
      <c r="C10008" t="s">
        <v>1059</v>
      </c>
      <c r="D10008" t="s">
        <v>339</v>
      </c>
      <c r="E10008" t="s">
        <v>312</v>
      </c>
      <c r="F10008" t="s">
        <v>10767</v>
      </c>
      <c r="G10008">
        <v>744</v>
      </c>
      <c r="H10008">
        <v>95867.290000000008</v>
      </c>
      <c r="I10008">
        <v>128.85</v>
      </c>
      <c r="J10008">
        <v>326</v>
      </c>
      <c r="K10008">
        <v>28689.89</v>
      </c>
      <c r="L10008">
        <v>88.01</v>
      </c>
      <c r="M10008">
        <v>1070</v>
      </c>
      <c r="N10008">
        <v>124557.18000000001</v>
      </c>
      <c r="O10008">
        <v>116.41</v>
      </c>
    </row>
    <row r="10009" spans="1:15" x14ac:dyDescent="0.35">
      <c r="A10009" t="s">
        <v>10727</v>
      </c>
      <c r="B10009" t="s">
        <v>10728</v>
      </c>
      <c r="C10009" t="s">
        <v>1059</v>
      </c>
      <c r="D10009" t="s">
        <v>348</v>
      </c>
      <c r="E10009" t="s">
        <v>349</v>
      </c>
      <c r="F10009" t="s">
        <v>10768</v>
      </c>
      <c r="G10009">
        <v>1111</v>
      </c>
      <c r="H10009">
        <v>116427.75</v>
      </c>
      <c r="I10009">
        <v>136.81</v>
      </c>
      <c r="J10009">
        <v>425</v>
      </c>
      <c r="K10009">
        <v>37919.11</v>
      </c>
      <c r="L10009">
        <v>89.22</v>
      </c>
      <c r="M10009">
        <v>1536</v>
      </c>
      <c r="N10009">
        <v>154346.85999999999</v>
      </c>
      <c r="O10009">
        <v>120.96</v>
      </c>
    </row>
    <row r="10010" spans="1:15" x14ac:dyDescent="0.35">
      <c r="A10010" t="s">
        <v>10769</v>
      </c>
      <c r="B10010" t="s">
        <v>10770</v>
      </c>
      <c r="C10010" t="s">
        <v>1059</v>
      </c>
      <c r="D10010" t="s">
        <v>293</v>
      </c>
      <c r="E10010" t="s">
        <v>294</v>
      </c>
      <c r="F10010" t="s">
        <v>10771</v>
      </c>
      <c r="G10010">
        <v>124</v>
      </c>
      <c r="H10010">
        <v>13375.989999999998</v>
      </c>
      <c r="I10010">
        <v>107.87</v>
      </c>
      <c r="J10010">
        <v>47</v>
      </c>
      <c r="K10010">
        <v>4703.29</v>
      </c>
      <c r="L10010">
        <v>100.07</v>
      </c>
      <c r="M10010">
        <v>171</v>
      </c>
      <c r="N10010">
        <v>18079.28</v>
      </c>
      <c r="O10010">
        <v>105.73</v>
      </c>
    </row>
    <row r="10011" spans="1:15" x14ac:dyDescent="0.35">
      <c r="A10011" t="s">
        <v>10769</v>
      </c>
      <c r="B10011" t="s">
        <v>10770</v>
      </c>
      <c r="C10011" t="s">
        <v>1059</v>
      </c>
      <c r="D10011" t="s">
        <v>293</v>
      </c>
      <c r="E10011" t="s">
        <v>296</v>
      </c>
      <c r="F10011" t="s">
        <v>10772</v>
      </c>
      <c r="G10011">
        <v>752</v>
      </c>
      <c r="H10011">
        <v>100594.84999999999</v>
      </c>
      <c r="I10011">
        <v>133.77000000000001</v>
      </c>
      <c r="J10011">
        <v>318</v>
      </c>
      <c r="K10011">
        <v>41101.5</v>
      </c>
      <c r="L10011">
        <v>129.25</v>
      </c>
      <c r="M10011">
        <v>1070</v>
      </c>
      <c r="N10011">
        <v>141696.34999999998</v>
      </c>
      <c r="O10011">
        <v>132.43</v>
      </c>
    </row>
    <row r="10012" spans="1:15" x14ac:dyDescent="0.35">
      <c r="A10012" t="s">
        <v>10769</v>
      </c>
      <c r="B10012" t="s">
        <v>10770</v>
      </c>
      <c r="C10012" t="s">
        <v>1059</v>
      </c>
      <c r="D10012" t="s">
        <v>293</v>
      </c>
      <c r="E10012" t="s">
        <v>298</v>
      </c>
      <c r="F10012" t="s">
        <v>10773</v>
      </c>
      <c r="G10012">
        <v>347</v>
      </c>
      <c r="H10012">
        <v>52110.5</v>
      </c>
      <c r="I10012">
        <v>150.16999999999999</v>
      </c>
      <c r="J10012">
        <v>200</v>
      </c>
      <c r="K10012">
        <v>28976</v>
      </c>
      <c r="L10012">
        <v>144.88</v>
      </c>
      <c r="M10012">
        <v>547</v>
      </c>
      <c r="N10012">
        <v>81086.5</v>
      </c>
      <c r="O10012">
        <v>148.24</v>
      </c>
    </row>
    <row r="10013" spans="1:15" x14ac:dyDescent="0.35">
      <c r="A10013" t="s">
        <v>10769</v>
      </c>
      <c r="B10013" t="s">
        <v>10770</v>
      </c>
      <c r="C10013" t="s">
        <v>1059</v>
      </c>
      <c r="D10013" t="s">
        <v>293</v>
      </c>
      <c r="E10013" t="s">
        <v>300</v>
      </c>
      <c r="F10013" t="s">
        <v>10774</v>
      </c>
      <c r="G10013">
        <v>97</v>
      </c>
      <c r="H10013">
        <v>16938.54</v>
      </c>
      <c r="I10013">
        <v>174.62</v>
      </c>
      <c r="J10013">
        <v>83</v>
      </c>
      <c r="K10013">
        <v>13452.640000000001</v>
      </c>
      <c r="L10013">
        <v>162.08000000000001</v>
      </c>
      <c r="M10013">
        <v>180</v>
      </c>
      <c r="N10013">
        <v>30391.18</v>
      </c>
      <c r="O10013">
        <v>168.84</v>
      </c>
    </row>
    <row r="10014" spans="1:15" x14ac:dyDescent="0.35">
      <c r="A10014" t="s">
        <v>10769</v>
      </c>
      <c r="B10014" t="s">
        <v>10770</v>
      </c>
      <c r="C10014" t="s">
        <v>1059</v>
      </c>
      <c r="D10014" t="s">
        <v>293</v>
      </c>
      <c r="E10014" t="s">
        <v>302</v>
      </c>
      <c r="F10014" t="s">
        <v>10775</v>
      </c>
      <c r="G10014">
        <v>1</v>
      </c>
      <c r="H10014">
        <v>205.68</v>
      </c>
      <c r="I10014">
        <v>205.68</v>
      </c>
      <c r="J10014">
        <v>5</v>
      </c>
      <c r="K10014">
        <v>793.3</v>
      </c>
      <c r="L10014">
        <v>158.66</v>
      </c>
      <c r="M10014">
        <v>6</v>
      </c>
      <c r="N10014">
        <v>998.98</v>
      </c>
      <c r="O10014">
        <v>166.5</v>
      </c>
    </row>
    <row r="10015" spans="1:15" x14ac:dyDescent="0.35">
      <c r="A10015" t="s">
        <v>10769</v>
      </c>
      <c r="B10015" t="s">
        <v>10770</v>
      </c>
      <c r="C10015" t="s">
        <v>1059</v>
      </c>
      <c r="D10015" t="s">
        <v>293</v>
      </c>
      <c r="E10015" t="s">
        <v>304</v>
      </c>
      <c r="F10015" t="s">
        <v>10776</v>
      </c>
      <c r="G10015">
        <v>3</v>
      </c>
      <c r="H10015">
        <v>669</v>
      </c>
      <c r="I10015">
        <v>223</v>
      </c>
      <c r="J10015">
        <v>3</v>
      </c>
      <c r="K10015">
        <v>843.44999999999993</v>
      </c>
      <c r="L10015">
        <v>281.14999999999998</v>
      </c>
      <c r="M10015">
        <v>6</v>
      </c>
      <c r="N10015">
        <v>1512.4499999999998</v>
      </c>
      <c r="O10015">
        <v>252.08</v>
      </c>
    </row>
    <row r="10016" spans="1:15" x14ac:dyDescent="0.35">
      <c r="A10016" t="s">
        <v>10769</v>
      </c>
      <c r="B10016" t="s">
        <v>10770</v>
      </c>
      <c r="C10016" t="s">
        <v>1059</v>
      </c>
      <c r="D10016" t="s">
        <v>293</v>
      </c>
      <c r="E10016" t="s">
        <v>306</v>
      </c>
      <c r="F10016" t="s">
        <v>10777</v>
      </c>
      <c r="G10016">
        <v>0</v>
      </c>
      <c r="H10016">
        <v>0</v>
      </c>
      <c r="I10016">
        <v>0</v>
      </c>
      <c r="J10016">
        <v>0</v>
      </c>
      <c r="K10016">
        <v>0</v>
      </c>
      <c r="L10016">
        <v>0</v>
      </c>
      <c r="M10016">
        <v>0</v>
      </c>
      <c r="N10016">
        <v>0</v>
      </c>
      <c r="O10016">
        <v>0</v>
      </c>
    </row>
    <row r="10017" spans="1:15" x14ac:dyDescent="0.35">
      <c r="A10017" t="s">
        <v>10769</v>
      </c>
      <c r="B10017" t="s">
        <v>10770</v>
      </c>
      <c r="C10017" t="s">
        <v>1059</v>
      </c>
      <c r="D10017" t="s">
        <v>293</v>
      </c>
      <c r="E10017" t="s">
        <v>308</v>
      </c>
      <c r="F10017" t="s">
        <v>10778</v>
      </c>
      <c r="G10017">
        <v>0</v>
      </c>
      <c r="H10017">
        <v>0</v>
      </c>
      <c r="I10017">
        <v>0</v>
      </c>
      <c r="J10017">
        <v>0</v>
      </c>
      <c r="K10017">
        <v>0</v>
      </c>
      <c r="L10017">
        <v>0</v>
      </c>
      <c r="M10017">
        <v>0</v>
      </c>
      <c r="N10017">
        <v>0</v>
      </c>
      <c r="O10017">
        <v>0</v>
      </c>
    </row>
    <row r="10018" spans="1:15" x14ac:dyDescent="0.35">
      <c r="A10018" t="s">
        <v>10769</v>
      </c>
      <c r="B10018" t="s">
        <v>10770</v>
      </c>
      <c r="C10018" t="s">
        <v>1059</v>
      </c>
      <c r="D10018" t="s">
        <v>293</v>
      </c>
      <c r="E10018" t="s">
        <v>310</v>
      </c>
      <c r="F10018" t="s">
        <v>10779</v>
      </c>
      <c r="G10018">
        <v>1324</v>
      </c>
      <c r="H10018">
        <v>183894.56</v>
      </c>
      <c r="I10018">
        <v>138.88999999999999</v>
      </c>
      <c r="J10018">
        <v>656</v>
      </c>
      <c r="K10018">
        <v>89870.180000000008</v>
      </c>
      <c r="L10018">
        <v>137</v>
      </c>
      <c r="M10018">
        <v>1980</v>
      </c>
      <c r="N10018">
        <v>273764.74</v>
      </c>
      <c r="O10018">
        <v>138.27000000000001</v>
      </c>
    </row>
    <row r="10019" spans="1:15" x14ac:dyDescent="0.35">
      <c r="A10019" t="s">
        <v>10769</v>
      </c>
      <c r="B10019" t="s">
        <v>10770</v>
      </c>
      <c r="C10019" t="s">
        <v>1059</v>
      </c>
      <c r="D10019" t="s">
        <v>293</v>
      </c>
      <c r="E10019" t="s">
        <v>312</v>
      </c>
      <c r="F10019" t="s">
        <v>10780</v>
      </c>
      <c r="G10019">
        <v>1324</v>
      </c>
      <c r="H10019">
        <v>183894.56</v>
      </c>
      <c r="I10019">
        <v>138.88999999999999</v>
      </c>
      <c r="J10019">
        <v>656</v>
      </c>
      <c r="K10019">
        <v>89870.180000000008</v>
      </c>
      <c r="L10019">
        <v>137</v>
      </c>
      <c r="M10019">
        <v>1980</v>
      </c>
      <c r="N10019">
        <v>273764.74</v>
      </c>
      <c r="O10019">
        <v>138.27000000000001</v>
      </c>
    </row>
    <row r="10020" spans="1:15" x14ac:dyDescent="0.35">
      <c r="A10020" t="s">
        <v>10769</v>
      </c>
      <c r="B10020" t="s">
        <v>10770</v>
      </c>
      <c r="C10020" t="s">
        <v>1059</v>
      </c>
      <c r="D10020" t="s">
        <v>314</v>
      </c>
      <c r="E10020" t="s">
        <v>294</v>
      </c>
      <c r="F10020" t="s">
        <v>10781</v>
      </c>
      <c r="G10020">
        <v>33</v>
      </c>
      <c r="H10020">
        <v>5391.82</v>
      </c>
      <c r="I10020">
        <v>163.38999999999999</v>
      </c>
      <c r="J10020">
        <v>106</v>
      </c>
      <c r="K10020">
        <v>16004.94</v>
      </c>
      <c r="L10020">
        <v>150.99</v>
      </c>
      <c r="M10020">
        <v>139</v>
      </c>
      <c r="N10020">
        <v>21396.760000000002</v>
      </c>
      <c r="O10020">
        <v>153.93</v>
      </c>
    </row>
    <row r="10021" spans="1:15" x14ac:dyDescent="0.35">
      <c r="A10021" t="s">
        <v>10769</v>
      </c>
      <c r="B10021" t="s">
        <v>10770</v>
      </c>
      <c r="C10021" t="s">
        <v>1059</v>
      </c>
      <c r="D10021" t="s">
        <v>314</v>
      </c>
      <c r="E10021" t="s">
        <v>296</v>
      </c>
      <c r="F10021" t="s">
        <v>10782</v>
      </c>
      <c r="G10021">
        <v>0</v>
      </c>
      <c r="H10021">
        <v>0</v>
      </c>
      <c r="I10021">
        <v>0</v>
      </c>
      <c r="J10021">
        <v>77</v>
      </c>
      <c r="K10021">
        <v>10706.08</v>
      </c>
      <c r="L10021">
        <v>139.04</v>
      </c>
      <c r="M10021">
        <v>77</v>
      </c>
      <c r="N10021">
        <v>10706.08</v>
      </c>
      <c r="O10021">
        <v>139.04</v>
      </c>
    </row>
    <row r="10022" spans="1:15" x14ac:dyDescent="0.35">
      <c r="A10022" t="s">
        <v>10769</v>
      </c>
      <c r="B10022" t="s">
        <v>10770</v>
      </c>
      <c r="C10022" t="s">
        <v>1059</v>
      </c>
      <c r="D10022" t="s">
        <v>314</v>
      </c>
      <c r="E10022" t="s">
        <v>298</v>
      </c>
      <c r="F10022" t="s">
        <v>10783</v>
      </c>
      <c r="G10022">
        <v>0</v>
      </c>
      <c r="H10022">
        <v>0</v>
      </c>
      <c r="I10022">
        <v>0</v>
      </c>
      <c r="J10022">
        <v>0</v>
      </c>
      <c r="K10022">
        <v>0</v>
      </c>
      <c r="L10022">
        <v>0</v>
      </c>
      <c r="M10022">
        <v>0</v>
      </c>
      <c r="N10022">
        <v>0</v>
      </c>
      <c r="O10022">
        <v>0</v>
      </c>
    </row>
    <row r="10023" spans="1:15" x14ac:dyDescent="0.35">
      <c r="A10023" t="s">
        <v>10769</v>
      </c>
      <c r="B10023" t="s">
        <v>10770</v>
      </c>
      <c r="C10023" t="s">
        <v>1059</v>
      </c>
      <c r="D10023" t="s">
        <v>314</v>
      </c>
      <c r="E10023" t="s">
        <v>300</v>
      </c>
      <c r="F10023" t="s">
        <v>10784</v>
      </c>
      <c r="G10023">
        <v>0</v>
      </c>
      <c r="H10023">
        <v>0</v>
      </c>
      <c r="I10023">
        <v>0</v>
      </c>
      <c r="J10023">
        <v>0</v>
      </c>
      <c r="K10023">
        <v>0</v>
      </c>
      <c r="L10023">
        <v>0</v>
      </c>
      <c r="M10023">
        <v>0</v>
      </c>
      <c r="N10023">
        <v>0</v>
      </c>
      <c r="O10023">
        <v>0</v>
      </c>
    </row>
    <row r="10024" spans="1:15" x14ac:dyDescent="0.35">
      <c r="A10024" t="s">
        <v>10769</v>
      </c>
      <c r="B10024" t="s">
        <v>10770</v>
      </c>
      <c r="C10024" t="s">
        <v>1059</v>
      </c>
      <c r="D10024" t="s">
        <v>314</v>
      </c>
      <c r="E10024" t="s">
        <v>306</v>
      </c>
      <c r="F10024" t="s">
        <v>10785</v>
      </c>
      <c r="G10024">
        <v>78</v>
      </c>
      <c r="H10024">
        <v>25008.36</v>
      </c>
      <c r="I10024">
        <v>320.62</v>
      </c>
      <c r="J10024">
        <v>0</v>
      </c>
      <c r="K10024">
        <v>0</v>
      </c>
      <c r="L10024">
        <v>0</v>
      </c>
      <c r="M10024">
        <v>78</v>
      </c>
      <c r="N10024">
        <v>25008.36</v>
      </c>
      <c r="O10024">
        <v>320.62</v>
      </c>
    </row>
    <row r="10025" spans="1:15" x14ac:dyDescent="0.35">
      <c r="A10025" t="s">
        <v>10769</v>
      </c>
      <c r="B10025" t="s">
        <v>10770</v>
      </c>
      <c r="C10025" t="s">
        <v>1059</v>
      </c>
      <c r="D10025" t="s">
        <v>314</v>
      </c>
      <c r="E10025" t="s">
        <v>308</v>
      </c>
      <c r="F10025" t="s">
        <v>10786</v>
      </c>
      <c r="G10025">
        <v>18</v>
      </c>
      <c r="H10025">
        <v>5909.22</v>
      </c>
      <c r="I10025">
        <v>328.29</v>
      </c>
      <c r="J10025">
        <v>0</v>
      </c>
      <c r="K10025">
        <v>0</v>
      </c>
      <c r="L10025">
        <v>0</v>
      </c>
      <c r="M10025">
        <v>18</v>
      </c>
      <c r="N10025">
        <v>5909.22</v>
      </c>
      <c r="O10025">
        <v>328.29</v>
      </c>
    </row>
    <row r="10026" spans="1:15" x14ac:dyDescent="0.35">
      <c r="A10026" t="s">
        <v>10769</v>
      </c>
      <c r="B10026" t="s">
        <v>10770</v>
      </c>
      <c r="C10026" t="s">
        <v>1059</v>
      </c>
      <c r="D10026" t="s">
        <v>314</v>
      </c>
      <c r="E10026" t="s">
        <v>312</v>
      </c>
      <c r="F10026" t="s">
        <v>10787</v>
      </c>
      <c r="G10026">
        <v>111</v>
      </c>
      <c r="H10026">
        <v>30400.18</v>
      </c>
      <c r="I10026">
        <v>273.88</v>
      </c>
      <c r="J10026">
        <v>183</v>
      </c>
      <c r="K10026">
        <v>26711.02</v>
      </c>
      <c r="L10026">
        <v>145.96</v>
      </c>
      <c r="M10026">
        <v>294</v>
      </c>
      <c r="N10026">
        <v>57111.199999999997</v>
      </c>
      <c r="O10026">
        <v>194.26</v>
      </c>
    </row>
    <row r="10027" spans="1:15" x14ac:dyDescent="0.35">
      <c r="A10027" t="s">
        <v>10769</v>
      </c>
      <c r="B10027" t="s">
        <v>10770</v>
      </c>
      <c r="C10027" t="s">
        <v>1059</v>
      </c>
      <c r="D10027" t="s">
        <v>314</v>
      </c>
      <c r="E10027" t="s">
        <v>310</v>
      </c>
      <c r="F10027" t="s">
        <v>10788</v>
      </c>
      <c r="G10027">
        <v>129</v>
      </c>
      <c r="H10027">
        <v>36309.4</v>
      </c>
      <c r="I10027">
        <v>281.47000000000003</v>
      </c>
      <c r="J10027">
        <v>183</v>
      </c>
      <c r="K10027">
        <v>26711.02</v>
      </c>
      <c r="L10027">
        <v>145.96</v>
      </c>
      <c r="M10027">
        <v>312</v>
      </c>
      <c r="N10027">
        <v>63020.42</v>
      </c>
      <c r="O10027">
        <v>201.99</v>
      </c>
    </row>
    <row r="10028" spans="1:15" x14ac:dyDescent="0.35">
      <c r="A10028" t="s">
        <v>10769</v>
      </c>
      <c r="B10028" t="s">
        <v>10770</v>
      </c>
      <c r="C10028" t="s">
        <v>1059</v>
      </c>
      <c r="D10028" t="s">
        <v>323</v>
      </c>
      <c r="E10028" t="s">
        <v>294</v>
      </c>
      <c r="F10028" t="s">
        <v>10789</v>
      </c>
      <c r="G10028">
        <v>1290</v>
      </c>
      <c r="H10028">
        <v>121232.27</v>
      </c>
      <c r="I10028">
        <v>93.98</v>
      </c>
      <c r="J10028">
        <v>7332</v>
      </c>
      <c r="K10028">
        <v>596311.55999999994</v>
      </c>
      <c r="L10028">
        <v>81.33</v>
      </c>
      <c r="M10028">
        <v>8622</v>
      </c>
      <c r="N10028">
        <v>717543.83</v>
      </c>
      <c r="O10028">
        <v>83.22</v>
      </c>
    </row>
    <row r="10029" spans="1:15" x14ac:dyDescent="0.35">
      <c r="A10029" t="s">
        <v>10769</v>
      </c>
      <c r="B10029" t="s">
        <v>10770</v>
      </c>
      <c r="C10029" t="s">
        <v>1059</v>
      </c>
      <c r="D10029" t="s">
        <v>323</v>
      </c>
      <c r="E10029" t="s">
        <v>296</v>
      </c>
      <c r="F10029" t="s">
        <v>10790</v>
      </c>
      <c r="G10029">
        <v>1616</v>
      </c>
      <c r="H10029">
        <v>175571.75999999998</v>
      </c>
      <c r="I10029">
        <v>108.65</v>
      </c>
      <c r="J10029">
        <v>7688</v>
      </c>
      <c r="K10029">
        <v>690536.15999999992</v>
      </c>
      <c r="L10029">
        <v>89.82</v>
      </c>
      <c r="M10029">
        <v>9304</v>
      </c>
      <c r="N10029">
        <v>866107.91999999993</v>
      </c>
      <c r="O10029">
        <v>93.09</v>
      </c>
    </row>
    <row r="10030" spans="1:15" x14ac:dyDescent="0.35">
      <c r="A10030" t="s">
        <v>10769</v>
      </c>
      <c r="B10030" t="s">
        <v>10770</v>
      </c>
      <c r="C10030" t="s">
        <v>1059</v>
      </c>
      <c r="D10030" t="s">
        <v>323</v>
      </c>
      <c r="E10030" t="s">
        <v>298</v>
      </c>
      <c r="F10030" t="s">
        <v>10791</v>
      </c>
      <c r="G10030">
        <v>1313</v>
      </c>
      <c r="H10030">
        <v>158707.10000000003</v>
      </c>
      <c r="I10030">
        <v>120.87</v>
      </c>
      <c r="J10030">
        <v>11173</v>
      </c>
      <c r="K10030">
        <v>1157522.8</v>
      </c>
      <c r="L10030">
        <v>103.6</v>
      </c>
      <c r="M10030">
        <v>12486</v>
      </c>
      <c r="N10030">
        <v>1316229.9000000001</v>
      </c>
      <c r="O10030">
        <v>105.42</v>
      </c>
    </row>
    <row r="10031" spans="1:15" x14ac:dyDescent="0.35">
      <c r="A10031" t="s">
        <v>10769</v>
      </c>
      <c r="B10031" t="s">
        <v>10770</v>
      </c>
      <c r="C10031" t="s">
        <v>1059</v>
      </c>
      <c r="D10031" t="s">
        <v>323</v>
      </c>
      <c r="E10031" t="s">
        <v>300</v>
      </c>
      <c r="F10031" t="s">
        <v>10792</v>
      </c>
      <c r="G10031">
        <v>197</v>
      </c>
      <c r="H10031">
        <v>27396.02</v>
      </c>
      <c r="I10031">
        <v>139.07</v>
      </c>
      <c r="J10031">
        <v>587</v>
      </c>
      <c r="K10031">
        <v>66507.099999999991</v>
      </c>
      <c r="L10031">
        <v>113.3</v>
      </c>
      <c r="M10031">
        <v>784</v>
      </c>
      <c r="N10031">
        <v>93903.12</v>
      </c>
      <c r="O10031">
        <v>119.77</v>
      </c>
    </row>
    <row r="10032" spans="1:15" x14ac:dyDescent="0.35">
      <c r="A10032" t="s">
        <v>10769</v>
      </c>
      <c r="B10032" t="s">
        <v>10770</v>
      </c>
      <c r="C10032" t="s">
        <v>1059</v>
      </c>
      <c r="D10032" t="s">
        <v>323</v>
      </c>
      <c r="E10032" t="s">
        <v>302</v>
      </c>
      <c r="F10032" t="s">
        <v>10793</v>
      </c>
      <c r="G10032">
        <v>18</v>
      </c>
      <c r="H10032">
        <v>2691.21</v>
      </c>
      <c r="I10032">
        <v>149.51</v>
      </c>
      <c r="J10032">
        <v>9</v>
      </c>
      <c r="K10032">
        <v>1123.02</v>
      </c>
      <c r="L10032">
        <v>124.78</v>
      </c>
      <c r="M10032">
        <v>27</v>
      </c>
      <c r="N10032">
        <v>3814.23</v>
      </c>
      <c r="O10032">
        <v>141.27000000000001</v>
      </c>
    </row>
    <row r="10033" spans="1:15" x14ac:dyDescent="0.35">
      <c r="A10033" t="s">
        <v>10769</v>
      </c>
      <c r="B10033" t="s">
        <v>10770</v>
      </c>
      <c r="C10033" t="s">
        <v>1059</v>
      </c>
      <c r="D10033" t="s">
        <v>323</v>
      </c>
      <c r="E10033" t="s">
        <v>304</v>
      </c>
      <c r="F10033" t="s">
        <v>10794</v>
      </c>
      <c r="G10033">
        <v>11</v>
      </c>
      <c r="H10033">
        <v>1808.86</v>
      </c>
      <c r="I10033">
        <v>164.44</v>
      </c>
      <c r="J10033">
        <v>5</v>
      </c>
      <c r="K10033">
        <v>685.19999999999993</v>
      </c>
      <c r="L10033">
        <v>137.04</v>
      </c>
      <c r="M10033">
        <v>16</v>
      </c>
      <c r="N10033">
        <v>2494.06</v>
      </c>
      <c r="O10033">
        <v>155.88</v>
      </c>
    </row>
    <row r="10034" spans="1:15" x14ac:dyDescent="0.35">
      <c r="A10034" t="s">
        <v>10769</v>
      </c>
      <c r="B10034" t="s">
        <v>10770</v>
      </c>
      <c r="C10034" t="s">
        <v>1059</v>
      </c>
      <c r="D10034" t="s">
        <v>323</v>
      </c>
      <c r="E10034" t="s">
        <v>306</v>
      </c>
      <c r="F10034" t="s">
        <v>10795</v>
      </c>
      <c r="G10034">
        <v>30</v>
      </c>
      <c r="H10034">
        <v>2320.7600000000002</v>
      </c>
      <c r="I10034">
        <v>77.36</v>
      </c>
      <c r="J10034">
        <v>44</v>
      </c>
      <c r="K10034">
        <v>2966.04</v>
      </c>
      <c r="L10034">
        <v>67.41</v>
      </c>
      <c r="M10034">
        <v>74</v>
      </c>
      <c r="N10034">
        <v>5286.8</v>
      </c>
      <c r="O10034">
        <v>71.44</v>
      </c>
    </row>
    <row r="10035" spans="1:15" x14ac:dyDescent="0.35">
      <c r="A10035" t="s">
        <v>10769</v>
      </c>
      <c r="B10035" t="s">
        <v>10770</v>
      </c>
      <c r="C10035" t="s">
        <v>1059</v>
      </c>
      <c r="D10035" t="s">
        <v>323</v>
      </c>
      <c r="E10035" t="s">
        <v>308</v>
      </c>
      <c r="F10035" t="s">
        <v>10796</v>
      </c>
      <c r="G10035">
        <v>0</v>
      </c>
      <c r="H10035">
        <v>0</v>
      </c>
      <c r="I10035">
        <v>0</v>
      </c>
      <c r="J10035">
        <v>0</v>
      </c>
      <c r="K10035">
        <v>0</v>
      </c>
      <c r="L10035">
        <v>0</v>
      </c>
      <c r="M10035">
        <v>0</v>
      </c>
      <c r="N10035">
        <v>0</v>
      </c>
      <c r="O10035">
        <v>0</v>
      </c>
    </row>
    <row r="10036" spans="1:15" x14ac:dyDescent="0.35">
      <c r="A10036" t="s">
        <v>10769</v>
      </c>
      <c r="B10036" t="s">
        <v>10770</v>
      </c>
      <c r="C10036" t="s">
        <v>1059</v>
      </c>
      <c r="D10036" t="s">
        <v>323</v>
      </c>
      <c r="E10036" t="s">
        <v>310</v>
      </c>
      <c r="F10036" t="s">
        <v>10797</v>
      </c>
      <c r="G10036">
        <v>4475</v>
      </c>
      <c r="H10036">
        <v>489727.98000000004</v>
      </c>
      <c r="I10036">
        <v>109.44</v>
      </c>
      <c r="J10036">
        <v>26838</v>
      </c>
      <c r="K10036">
        <v>2515651.88</v>
      </c>
      <c r="L10036">
        <v>93.73</v>
      </c>
      <c r="M10036">
        <v>31313</v>
      </c>
      <c r="N10036">
        <v>3005379.86</v>
      </c>
      <c r="O10036">
        <v>95.98</v>
      </c>
    </row>
    <row r="10037" spans="1:15" x14ac:dyDescent="0.35">
      <c r="A10037" t="s">
        <v>10769</v>
      </c>
      <c r="B10037" t="s">
        <v>10770</v>
      </c>
      <c r="C10037" t="s">
        <v>1059</v>
      </c>
      <c r="D10037" t="s">
        <v>323</v>
      </c>
      <c r="E10037" t="s">
        <v>312</v>
      </c>
      <c r="F10037" t="s">
        <v>10798</v>
      </c>
      <c r="G10037">
        <v>4475</v>
      </c>
      <c r="H10037">
        <v>489727.98000000004</v>
      </c>
      <c r="I10037">
        <v>109.44</v>
      </c>
      <c r="J10037">
        <v>26838</v>
      </c>
      <c r="K10037">
        <v>2515651.88</v>
      </c>
      <c r="L10037">
        <v>93.73</v>
      </c>
      <c r="M10037">
        <v>31313</v>
      </c>
      <c r="N10037">
        <v>3005379.86</v>
      </c>
      <c r="O10037">
        <v>95.98</v>
      </c>
    </row>
    <row r="10038" spans="1:15" x14ac:dyDescent="0.35">
      <c r="A10038" t="s">
        <v>10769</v>
      </c>
      <c r="B10038" t="s">
        <v>10770</v>
      </c>
      <c r="C10038" t="s">
        <v>1059</v>
      </c>
      <c r="D10038" t="s">
        <v>334</v>
      </c>
      <c r="E10038" t="s">
        <v>312</v>
      </c>
      <c r="F10038" t="s">
        <v>10799</v>
      </c>
      <c r="G10038">
        <v>6305</v>
      </c>
      <c r="H10038">
        <v>673622.53999999992</v>
      </c>
      <c r="I10038">
        <v>116.16</v>
      </c>
      <c r="J10038">
        <v>27494</v>
      </c>
      <c r="K10038">
        <v>2605522.0600000005</v>
      </c>
      <c r="L10038">
        <v>94.77</v>
      </c>
      <c r="M10038">
        <v>33799</v>
      </c>
      <c r="N10038">
        <v>3279144.6000000006</v>
      </c>
      <c r="O10038">
        <v>98.49</v>
      </c>
    </row>
    <row r="10039" spans="1:15" x14ac:dyDescent="0.35">
      <c r="A10039" t="s">
        <v>10769</v>
      </c>
      <c r="B10039" t="s">
        <v>10770</v>
      </c>
      <c r="C10039" t="s">
        <v>1059</v>
      </c>
      <c r="D10039" t="s">
        <v>334</v>
      </c>
      <c r="E10039" t="s">
        <v>308</v>
      </c>
      <c r="F10039" t="s">
        <v>10800</v>
      </c>
      <c r="G10039">
        <v>68</v>
      </c>
      <c r="H10039">
        <v>0</v>
      </c>
      <c r="I10039">
        <v>0</v>
      </c>
      <c r="J10039">
        <v>0</v>
      </c>
      <c r="K10039">
        <v>0</v>
      </c>
      <c r="L10039">
        <v>0</v>
      </c>
      <c r="M10039">
        <v>68</v>
      </c>
      <c r="N10039">
        <v>0</v>
      </c>
      <c r="O10039">
        <v>0</v>
      </c>
    </row>
    <row r="10040" spans="1:15" x14ac:dyDescent="0.35">
      <c r="A10040" t="s">
        <v>10769</v>
      </c>
      <c r="B10040" t="s">
        <v>10770</v>
      </c>
      <c r="C10040" t="s">
        <v>1059</v>
      </c>
      <c r="D10040" t="s">
        <v>337</v>
      </c>
      <c r="E10040" t="s">
        <v>337</v>
      </c>
      <c r="F10040" t="s">
        <v>10801</v>
      </c>
      <c r="G10040">
        <v>520</v>
      </c>
      <c r="J10040">
        <v>0</v>
      </c>
      <c r="M10040">
        <v>520</v>
      </c>
    </row>
    <row r="10041" spans="1:15" x14ac:dyDescent="0.35">
      <c r="A10041" t="s">
        <v>10769</v>
      </c>
      <c r="B10041" t="s">
        <v>10770</v>
      </c>
      <c r="C10041" t="s">
        <v>1059</v>
      </c>
      <c r="D10041" t="s">
        <v>339</v>
      </c>
      <c r="E10041" t="s">
        <v>294</v>
      </c>
      <c r="F10041" t="s">
        <v>10802</v>
      </c>
      <c r="G10041">
        <v>755</v>
      </c>
      <c r="H10041">
        <v>86751.889999999985</v>
      </c>
      <c r="I10041">
        <v>114.9</v>
      </c>
      <c r="J10041">
        <v>39</v>
      </c>
      <c r="K10041">
        <v>3134.4300000000003</v>
      </c>
      <c r="L10041">
        <v>80.37</v>
      </c>
      <c r="M10041">
        <v>794</v>
      </c>
      <c r="N10041">
        <v>89886.319999999978</v>
      </c>
      <c r="O10041">
        <v>113.21</v>
      </c>
    </row>
    <row r="10042" spans="1:15" x14ac:dyDescent="0.35">
      <c r="A10042" t="s">
        <v>10769</v>
      </c>
      <c r="B10042" t="s">
        <v>10770</v>
      </c>
      <c r="C10042" t="s">
        <v>1059</v>
      </c>
      <c r="D10042" t="s">
        <v>339</v>
      </c>
      <c r="E10042" t="s">
        <v>296</v>
      </c>
      <c r="F10042" t="s">
        <v>10803</v>
      </c>
      <c r="G10042">
        <v>295</v>
      </c>
      <c r="H10042">
        <v>40850.859999999993</v>
      </c>
      <c r="I10042">
        <v>138.47999999999999</v>
      </c>
      <c r="J10042">
        <v>0</v>
      </c>
      <c r="K10042">
        <v>0</v>
      </c>
      <c r="L10042">
        <v>0</v>
      </c>
      <c r="M10042">
        <v>295</v>
      </c>
      <c r="N10042">
        <v>40850.859999999993</v>
      </c>
      <c r="O10042">
        <v>138.47999999999999</v>
      </c>
    </row>
    <row r="10043" spans="1:15" x14ac:dyDescent="0.35">
      <c r="A10043" t="s">
        <v>10769</v>
      </c>
      <c r="B10043" t="s">
        <v>10770</v>
      </c>
      <c r="C10043" t="s">
        <v>1059</v>
      </c>
      <c r="D10043" t="s">
        <v>339</v>
      </c>
      <c r="E10043" t="s">
        <v>298</v>
      </c>
      <c r="F10043" t="s">
        <v>10804</v>
      </c>
      <c r="G10043">
        <v>5</v>
      </c>
      <c r="H10043">
        <v>634.4</v>
      </c>
      <c r="I10043">
        <v>126.88</v>
      </c>
      <c r="J10043">
        <v>1</v>
      </c>
      <c r="K10043">
        <v>103.67</v>
      </c>
      <c r="L10043">
        <v>103.67</v>
      </c>
      <c r="M10043">
        <v>6</v>
      </c>
      <c r="N10043">
        <v>738.06999999999994</v>
      </c>
      <c r="O10043">
        <v>123.01</v>
      </c>
    </row>
    <row r="10044" spans="1:15" x14ac:dyDescent="0.35">
      <c r="A10044" t="s">
        <v>10769</v>
      </c>
      <c r="B10044" t="s">
        <v>10770</v>
      </c>
      <c r="C10044" t="s">
        <v>1059</v>
      </c>
      <c r="D10044" t="s">
        <v>339</v>
      </c>
      <c r="E10044" t="s">
        <v>300</v>
      </c>
      <c r="F10044" t="s">
        <v>10805</v>
      </c>
      <c r="G10044">
        <v>0</v>
      </c>
      <c r="H10044">
        <v>0</v>
      </c>
      <c r="I10044">
        <v>0</v>
      </c>
      <c r="J10044">
        <v>0</v>
      </c>
      <c r="K10044">
        <v>0</v>
      </c>
      <c r="L10044">
        <v>0</v>
      </c>
      <c r="M10044">
        <v>0</v>
      </c>
      <c r="N10044">
        <v>0</v>
      </c>
      <c r="O10044">
        <v>0</v>
      </c>
    </row>
    <row r="10045" spans="1:15" x14ac:dyDescent="0.35">
      <c r="A10045" t="s">
        <v>10769</v>
      </c>
      <c r="B10045" t="s">
        <v>10770</v>
      </c>
      <c r="C10045" t="s">
        <v>1059</v>
      </c>
      <c r="D10045" t="s">
        <v>339</v>
      </c>
      <c r="E10045" t="s">
        <v>306</v>
      </c>
      <c r="F10045" t="s">
        <v>10806</v>
      </c>
      <c r="G10045">
        <v>42</v>
      </c>
      <c r="H10045">
        <v>3638.88</v>
      </c>
      <c r="I10045">
        <v>86.64</v>
      </c>
      <c r="J10045">
        <v>0</v>
      </c>
      <c r="K10045">
        <v>0</v>
      </c>
      <c r="L10045">
        <v>0</v>
      </c>
      <c r="M10045">
        <v>42</v>
      </c>
      <c r="N10045">
        <v>3638.88</v>
      </c>
      <c r="O10045">
        <v>86.64</v>
      </c>
    </row>
    <row r="10046" spans="1:15" x14ac:dyDescent="0.35">
      <c r="A10046" t="s">
        <v>10769</v>
      </c>
      <c r="B10046" t="s">
        <v>10770</v>
      </c>
      <c r="C10046" t="s">
        <v>1059</v>
      </c>
      <c r="D10046" t="s">
        <v>339</v>
      </c>
      <c r="E10046" t="s">
        <v>308</v>
      </c>
      <c r="F10046" t="s">
        <v>10807</v>
      </c>
      <c r="G10046">
        <v>58</v>
      </c>
      <c r="H10046">
        <v>14575.55</v>
      </c>
      <c r="I10046">
        <v>251.3</v>
      </c>
      <c r="J10046">
        <v>0</v>
      </c>
      <c r="K10046">
        <v>0</v>
      </c>
      <c r="L10046">
        <v>0</v>
      </c>
      <c r="M10046">
        <v>58</v>
      </c>
      <c r="N10046">
        <v>14575.55</v>
      </c>
      <c r="O10046">
        <v>251.3</v>
      </c>
    </row>
    <row r="10047" spans="1:15" x14ac:dyDescent="0.35">
      <c r="A10047" t="s">
        <v>10769</v>
      </c>
      <c r="B10047" t="s">
        <v>10770</v>
      </c>
      <c r="C10047" t="s">
        <v>1059</v>
      </c>
      <c r="D10047" t="s">
        <v>339</v>
      </c>
      <c r="E10047" t="s">
        <v>310</v>
      </c>
      <c r="F10047" t="s">
        <v>10808</v>
      </c>
      <c r="G10047">
        <v>1155</v>
      </c>
      <c r="H10047">
        <v>146451.57999999996</v>
      </c>
      <c r="I10047">
        <v>126.8</v>
      </c>
      <c r="J10047">
        <v>40</v>
      </c>
      <c r="K10047">
        <v>3238.1000000000004</v>
      </c>
      <c r="L10047">
        <v>80.95</v>
      </c>
      <c r="M10047">
        <v>1195</v>
      </c>
      <c r="N10047">
        <v>149689.67999999996</v>
      </c>
      <c r="O10047">
        <v>125.26</v>
      </c>
    </row>
    <row r="10048" spans="1:15" x14ac:dyDescent="0.35">
      <c r="A10048" t="s">
        <v>10769</v>
      </c>
      <c r="B10048" t="s">
        <v>10770</v>
      </c>
      <c r="C10048" t="s">
        <v>1059</v>
      </c>
      <c r="D10048" t="s">
        <v>339</v>
      </c>
      <c r="E10048" t="s">
        <v>312</v>
      </c>
      <c r="F10048" t="s">
        <v>10809</v>
      </c>
      <c r="G10048">
        <v>1097</v>
      </c>
      <c r="H10048">
        <v>131876.02999999997</v>
      </c>
      <c r="I10048">
        <v>120.22</v>
      </c>
      <c r="J10048">
        <v>40</v>
      </c>
      <c r="K10048">
        <v>3238.1000000000004</v>
      </c>
      <c r="L10048">
        <v>80.95</v>
      </c>
      <c r="M10048">
        <v>1137</v>
      </c>
      <c r="N10048">
        <v>135114.12999999998</v>
      </c>
      <c r="O10048">
        <v>118.83</v>
      </c>
    </row>
    <row r="10049" spans="1:15" x14ac:dyDescent="0.35">
      <c r="A10049" t="s">
        <v>10769</v>
      </c>
      <c r="B10049" t="s">
        <v>10770</v>
      </c>
      <c r="C10049" t="s">
        <v>1059</v>
      </c>
      <c r="D10049" t="s">
        <v>348</v>
      </c>
      <c r="E10049" t="s">
        <v>349</v>
      </c>
      <c r="F10049" t="s">
        <v>10810</v>
      </c>
      <c r="G10049">
        <v>1408</v>
      </c>
      <c r="H10049">
        <v>182760.97999999995</v>
      </c>
      <c r="I10049">
        <v>142.34</v>
      </c>
      <c r="J10049">
        <v>223</v>
      </c>
      <c r="K10049">
        <v>29949.119999999999</v>
      </c>
      <c r="L10049">
        <v>134.30000000000001</v>
      </c>
      <c r="M10049">
        <v>1631</v>
      </c>
      <c r="N10049">
        <v>212710.09999999995</v>
      </c>
      <c r="O10049">
        <v>141.15</v>
      </c>
    </row>
    <row r="10050" spans="1:15" x14ac:dyDescent="0.35">
      <c r="A10050" t="s">
        <v>10811</v>
      </c>
      <c r="B10050" t="s">
        <v>10812</v>
      </c>
      <c r="C10050" t="s">
        <v>1059</v>
      </c>
      <c r="D10050" t="s">
        <v>293</v>
      </c>
      <c r="E10050" t="s">
        <v>294</v>
      </c>
      <c r="F10050" t="s">
        <v>10813</v>
      </c>
      <c r="G10050">
        <v>147</v>
      </c>
      <c r="H10050">
        <v>18016.689999999999</v>
      </c>
      <c r="I10050">
        <v>122.56</v>
      </c>
      <c r="J10050">
        <v>1</v>
      </c>
      <c r="K10050">
        <v>80.91</v>
      </c>
      <c r="L10050">
        <v>80.91</v>
      </c>
      <c r="M10050">
        <v>148</v>
      </c>
      <c r="N10050">
        <v>18097.599999999999</v>
      </c>
      <c r="O10050">
        <v>122.28</v>
      </c>
    </row>
    <row r="10051" spans="1:15" x14ac:dyDescent="0.35">
      <c r="A10051" t="s">
        <v>10811</v>
      </c>
      <c r="B10051" t="s">
        <v>10812</v>
      </c>
      <c r="C10051" t="s">
        <v>1059</v>
      </c>
      <c r="D10051" t="s">
        <v>293</v>
      </c>
      <c r="E10051" t="s">
        <v>296</v>
      </c>
      <c r="F10051" t="s">
        <v>10814</v>
      </c>
      <c r="G10051">
        <v>281</v>
      </c>
      <c r="H10051">
        <v>41127.270000000004</v>
      </c>
      <c r="I10051">
        <v>146.36000000000001</v>
      </c>
      <c r="J10051">
        <v>22</v>
      </c>
      <c r="K10051">
        <v>2519.2200000000003</v>
      </c>
      <c r="L10051">
        <v>114.51</v>
      </c>
      <c r="M10051">
        <v>303</v>
      </c>
      <c r="N10051">
        <v>43646.490000000005</v>
      </c>
      <c r="O10051">
        <v>144.05000000000001</v>
      </c>
    </row>
    <row r="10052" spans="1:15" x14ac:dyDescent="0.35">
      <c r="A10052" t="s">
        <v>10811</v>
      </c>
      <c r="B10052" t="s">
        <v>10812</v>
      </c>
      <c r="C10052" t="s">
        <v>1059</v>
      </c>
      <c r="D10052" t="s">
        <v>293</v>
      </c>
      <c r="E10052" t="s">
        <v>298</v>
      </c>
      <c r="F10052" t="s">
        <v>10815</v>
      </c>
      <c r="G10052">
        <v>132</v>
      </c>
      <c r="H10052">
        <v>21129.89</v>
      </c>
      <c r="I10052">
        <v>160.07</v>
      </c>
      <c r="J10052">
        <v>34</v>
      </c>
      <c r="K10052">
        <v>4534.58</v>
      </c>
      <c r="L10052">
        <v>133.37</v>
      </c>
      <c r="M10052">
        <v>166</v>
      </c>
      <c r="N10052">
        <v>25664.47</v>
      </c>
      <c r="O10052">
        <v>154.61000000000001</v>
      </c>
    </row>
    <row r="10053" spans="1:15" x14ac:dyDescent="0.35">
      <c r="A10053" t="s">
        <v>10811</v>
      </c>
      <c r="B10053" t="s">
        <v>10812</v>
      </c>
      <c r="C10053" t="s">
        <v>1059</v>
      </c>
      <c r="D10053" t="s">
        <v>293</v>
      </c>
      <c r="E10053" t="s">
        <v>300</v>
      </c>
      <c r="F10053" t="s">
        <v>10816</v>
      </c>
      <c r="G10053">
        <v>5</v>
      </c>
      <c r="H10053">
        <v>995.77</v>
      </c>
      <c r="I10053">
        <v>199.15</v>
      </c>
      <c r="J10053">
        <v>9</v>
      </c>
      <c r="K10053">
        <v>1244.8799999999999</v>
      </c>
      <c r="L10053">
        <v>138.32</v>
      </c>
      <c r="M10053">
        <v>14</v>
      </c>
      <c r="N10053">
        <v>2240.6499999999996</v>
      </c>
      <c r="O10053">
        <v>160.05000000000001</v>
      </c>
    </row>
    <row r="10054" spans="1:15" x14ac:dyDescent="0.35">
      <c r="A10054" t="s">
        <v>10811</v>
      </c>
      <c r="B10054" t="s">
        <v>10812</v>
      </c>
      <c r="C10054" t="s">
        <v>1059</v>
      </c>
      <c r="D10054" t="s">
        <v>293</v>
      </c>
      <c r="E10054" t="s">
        <v>302</v>
      </c>
      <c r="F10054" t="s">
        <v>10817</v>
      </c>
      <c r="G10054">
        <v>0</v>
      </c>
      <c r="H10054">
        <v>0</v>
      </c>
      <c r="I10054">
        <v>0</v>
      </c>
      <c r="J10054">
        <v>0</v>
      </c>
      <c r="K10054">
        <v>0</v>
      </c>
      <c r="L10054">
        <v>0</v>
      </c>
      <c r="M10054">
        <v>0</v>
      </c>
      <c r="N10054">
        <v>0</v>
      </c>
      <c r="O10054">
        <v>0</v>
      </c>
    </row>
    <row r="10055" spans="1:15" x14ac:dyDescent="0.35">
      <c r="A10055" t="s">
        <v>10811</v>
      </c>
      <c r="B10055" t="s">
        <v>10812</v>
      </c>
      <c r="C10055" t="s">
        <v>1059</v>
      </c>
      <c r="D10055" t="s">
        <v>293</v>
      </c>
      <c r="E10055" t="s">
        <v>304</v>
      </c>
      <c r="F10055" t="s">
        <v>10818</v>
      </c>
      <c r="G10055">
        <v>0</v>
      </c>
      <c r="H10055">
        <v>0</v>
      </c>
      <c r="I10055">
        <v>0</v>
      </c>
      <c r="J10055">
        <v>0</v>
      </c>
      <c r="K10055">
        <v>0</v>
      </c>
      <c r="L10055">
        <v>0</v>
      </c>
      <c r="M10055">
        <v>0</v>
      </c>
      <c r="N10055">
        <v>0</v>
      </c>
      <c r="O10055">
        <v>0</v>
      </c>
    </row>
    <row r="10056" spans="1:15" x14ac:dyDescent="0.35">
      <c r="A10056" t="s">
        <v>10811</v>
      </c>
      <c r="B10056" t="s">
        <v>10812</v>
      </c>
      <c r="C10056" t="s">
        <v>1059</v>
      </c>
      <c r="D10056" t="s">
        <v>293</v>
      </c>
      <c r="E10056" t="s">
        <v>306</v>
      </c>
      <c r="F10056" t="s">
        <v>10819</v>
      </c>
      <c r="G10056">
        <v>5</v>
      </c>
      <c r="H10056">
        <v>467.55</v>
      </c>
      <c r="I10056">
        <v>93.51</v>
      </c>
      <c r="J10056">
        <v>0</v>
      </c>
      <c r="K10056">
        <v>0</v>
      </c>
      <c r="L10056">
        <v>0</v>
      </c>
      <c r="M10056">
        <v>5</v>
      </c>
      <c r="N10056">
        <v>467.55</v>
      </c>
      <c r="O10056">
        <v>93.51</v>
      </c>
    </row>
    <row r="10057" spans="1:15" x14ac:dyDescent="0.35">
      <c r="A10057" t="s">
        <v>10811</v>
      </c>
      <c r="B10057" t="s">
        <v>10812</v>
      </c>
      <c r="C10057" t="s">
        <v>1059</v>
      </c>
      <c r="D10057" t="s">
        <v>293</v>
      </c>
      <c r="E10057" t="s">
        <v>308</v>
      </c>
      <c r="F10057" t="s">
        <v>10820</v>
      </c>
      <c r="G10057">
        <v>0</v>
      </c>
      <c r="H10057">
        <v>0</v>
      </c>
      <c r="I10057">
        <v>0</v>
      </c>
      <c r="J10057">
        <v>0</v>
      </c>
      <c r="K10057">
        <v>0</v>
      </c>
      <c r="L10057">
        <v>0</v>
      </c>
      <c r="M10057">
        <v>0</v>
      </c>
      <c r="N10057">
        <v>0</v>
      </c>
      <c r="O10057">
        <v>0</v>
      </c>
    </row>
    <row r="10058" spans="1:15" x14ac:dyDescent="0.35">
      <c r="A10058" t="s">
        <v>10811</v>
      </c>
      <c r="B10058" t="s">
        <v>10812</v>
      </c>
      <c r="C10058" t="s">
        <v>1059</v>
      </c>
      <c r="D10058" t="s">
        <v>293</v>
      </c>
      <c r="E10058" t="s">
        <v>310</v>
      </c>
      <c r="F10058" t="s">
        <v>10821</v>
      </c>
      <c r="G10058">
        <v>570</v>
      </c>
      <c r="H10058">
        <v>81737.170000000013</v>
      </c>
      <c r="I10058">
        <v>143.4</v>
      </c>
      <c r="J10058">
        <v>66</v>
      </c>
      <c r="K10058">
        <v>8379.59</v>
      </c>
      <c r="L10058">
        <v>126.96</v>
      </c>
      <c r="M10058">
        <v>636</v>
      </c>
      <c r="N10058">
        <v>90116.760000000009</v>
      </c>
      <c r="O10058">
        <v>141.69</v>
      </c>
    </row>
    <row r="10059" spans="1:15" x14ac:dyDescent="0.35">
      <c r="A10059" t="s">
        <v>10811</v>
      </c>
      <c r="B10059" t="s">
        <v>10812</v>
      </c>
      <c r="C10059" t="s">
        <v>1059</v>
      </c>
      <c r="D10059" t="s">
        <v>293</v>
      </c>
      <c r="E10059" t="s">
        <v>312</v>
      </c>
      <c r="F10059" t="s">
        <v>10822</v>
      </c>
      <c r="G10059">
        <v>570</v>
      </c>
      <c r="H10059">
        <v>81737.170000000013</v>
      </c>
      <c r="I10059">
        <v>143.4</v>
      </c>
      <c r="J10059">
        <v>66</v>
      </c>
      <c r="K10059">
        <v>8379.59</v>
      </c>
      <c r="L10059">
        <v>126.96</v>
      </c>
      <c r="M10059">
        <v>636</v>
      </c>
      <c r="N10059">
        <v>90116.760000000009</v>
      </c>
      <c r="O10059">
        <v>141.69</v>
      </c>
    </row>
    <row r="10060" spans="1:15" x14ac:dyDescent="0.35">
      <c r="A10060" t="s">
        <v>10811</v>
      </c>
      <c r="B10060" t="s">
        <v>10812</v>
      </c>
      <c r="C10060" t="s">
        <v>1059</v>
      </c>
      <c r="D10060" t="s">
        <v>314</v>
      </c>
      <c r="E10060" t="s">
        <v>294</v>
      </c>
      <c r="F10060" t="s">
        <v>10823</v>
      </c>
      <c r="G10060">
        <v>33</v>
      </c>
      <c r="H10060">
        <v>8651.2800000000007</v>
      </c>
      <c r="I10060">
        <v>262.16000000000003</v>
      </c>
      <c r="J10060">
        <v>44</v>
      </c>
      <c r="K10060">
        <v>5022.6000000000004</v>
      </c>
      <c r="L10060">
        <v>114.15</v>
      </c>
      <c r="M10060">
        <v>77</v>
      </c>
      <c r="N10060">
        <v>13673.880000000001</v>
      </c>
      <c r="O10060">
        <v>177.58</v>
      </c>
    </row>
    <row r="10061" spans="1:15" x14ac:dyDescent="0.35">
      <c r="A10061" t="s">
        <v>10811</v>
      </c>
      <c r="B10061" t="s">
        <v>10812</v>
      </c>
      <c r="C10061" t="s">
        <v>1059</v>
      </c>
      <c r="D10061" t="s">
        <v>314</v>
      </c>
      <c r="E10061" t="s">
        <v>296</v>
      </c>
      <c r="F10061" t="s">
        <v>10824</v>
      </c>
      <c r="G10061">
        <v>5</v>
      </c>
      <c r="H10061">
        <v>1456.2</v>
      </c>
      <c r="I10061">
        <v>291.24</v>
      </c>
      <c r="J10061">
        <v>8</v>
      </c>
      <c r="K10061">
        <v>1106.96</v>
      </c>
      <c r="L10061">
        <v>138.37</v>
      </c>
      <c r="M10061">
        <v>13</v>
      </c>
      <c r="N10061">
        <v>2563.16</v>
      </c>
      <c r="O10061">
        <v>197.17</v>
      </c>
    </row>
    <row r="10062" spans="1:15" x14ac:dyDescent="0.35">
      <c r="A10062" t="s">
        <v>10811</v>
      </c>
      <c r="B10062" t="s">
        <v>10812</v>
      </c>
      <c r="C10062" t="s">
        <v>1059</v>
      </c>
      <c r="D10062" t="s">
        <v>314</v>
      </c>
      <c r="E10062" t="s">
        <v>298</v>
      </c>
      <c r="F10062" t="s">
        <v>10825</v>
      </c>
      <c r="G10062">
        <v>0</v>
      </c>
      <c r="H10062">
        <v>0</v>
      </c>
      <c r="I10062">
        <v>0</v>
      </c>
      <c r="J10062">
        <v>0</v>
      </c>
      <c r="K10062">
        <v>0</v>
      </c>
      <c r="L10062">
        <v>0</v>
      </c>
      <c r="M10062">
        <v>0</v>
      </c>
      <c r="N10062">
        <v>0</v>
      </c>
      <c r="O10062">
        <v>0</v>
      </c>
    </row>
    <row r="10063" spans="1:15" x14ac:dyDescent="0.35">
      <c r="A10063" t="s">
        <v>10811</v>
      </c>
      <c r="B10063" t="s">
        <v>10812</v>
      </c>
      <c r="C10063" t="s">
        <v>1059</v>
      </c>
      <c r="D10063" t="s">
        <v>314</v>
      </c>
      <c r="E10063" t="s">
        <v>300</v>
      </c>
      <c r="F10063" t="s">
        <v>10826</v>
      </c>
      <c r="G10063">
        <v>0</v>
      </c>
      <c r="H10063">
        <v>0</v>
      </c>
      <c r="I10063">
        <v>0</v>
      </c>
      <c r="J10063">
        <v>0</v>
      </c>
      <c r="K10063">
        <v>0</v>
      </c>
      <c r="L10063">
        <v>0</v>
      </c>
      <c r="M10063">
        <v>0</v>
      </c>
      <c r="N10063">
        <v>0</v>
      </c>
      <c r="O10063">
        <v>0</v>
      </c>
    </row>
    <row r="10064" spans="1:15" x14ac:dyDescent="0.35">
      <c r="A10064" t="s">
        <v>10811</v>
      </c>
      <c r="B10064" t="s">
        <v>10812</v>
      </c>
      <c r="C10064" t="s">
        <v>1059</v>
      </c>
      <c r="D10064" t="s">
        <v>314</v>
      </c>
      <c r="E10064" t="s">
        <v>306</v>
      </c>
      <c r="F10064" t="s">
        <v>10827</v>
      </c>
      <c r="G10064">
        <v>0</v>
      </c>
      <c r="H10064">
        <v>0</v>
      </c>
      <c r="I10064">
        <v>0</v>
      </c>
      <c r="J10064">
        <v>1</v>
      </c>
      <c r="K10064">
        <v>94.47</v>
      </c>
      <c r="L10064">
        <v>94.47</v>
      </c>
      <c r="M10064">
        <v>1</v>
      </c>
      <c r="N10064">
        <v>94.47</v>
      </c>
      <c r="O10064">
        <v>94.47</v>
      </c>
    </row>
    <row r="10065" spans="1:15" x14ac:dyDescent="0.35">
      <c r="A10065" t="s">
        <v>10811</v>
      </c>
      <c r="B10065" t="s">
        <v>10812</v>
      </c>
      <c r="C10065" t="s">
        <v>1059</v>
      </c>
      <c r="D10065" t="s">
        <v>314</v>
      </c>
      <c r="E10065" t="s">
        <v>308</v>
      </c>
      <c r="F10065" t="s">
        <v>10828</v>
      </c>
      <c r="G10065">
        <v>0</v>
      </c>
      <c r="H10065">
        <v>0</v>
      </c>
      <c r="I10065">
        <v>0</v>
      </c>
      <c r="J10065">
        <v>0</v>
      </c>
      <c r="K10065">
        <v>0</v>
      </c>
      <c r="L10065">
        <v>0</v>
      </c>
      <c r="M10065">
        <v>0</v>
      </c>
      <c r="N10065">
        <v>0</v>
      </c>
      <c r="O10065">
        <v>0</v>
      </c>
    </row>
    <row r="10066" spans="1:15" x14ac:dyDescent="0.35">
      <c r="A10066" t="s">
        <v>10811</v>
      </c>
      <c r="B10066" t="s">
        <v>10812</v>
      </c>
      <c r="C10066" t="s">
        <v>1059</v>
      </c>
      <c r="D10066" t="s">
        <v>314</v>
      </c>
      <c r="E10066" t="s">
        <v>312</v>
      </c>
      <c r="F10066" t="s">
        <v>10829</v>
      </c>
      <c r="G10066">
        <v>38</v>
      </c>
      <c r="H10066">
        <v>10107.480000000001</v>
      </c>
      <c r="I10066">
        <v>265.99</v>
      </c>
      <c r="J10066">
        <v>53</v>
      </c>
      <c r="K10066">
        <v>6224.0300000000007</v>
      </c>
      <c r="L10066">
        <v>117.43</v>
      </c>
      <c r="M10066">
        <v>91</v>
      </c>
      <c r="N10066">
        <v>16331.510000000002</v>
      </c>
      <c r="O10066">
        <v>179.47</v>
      </c>
    </row>
    <row r="10067" spans="1:15" x14ac:dyDescent="0.35">
      <c r="A10067" t="s">
        <v>10811</v>
      </c>
      <c r="B10067" t="s">
        <v>10812</v>
      </c>
      <c r="C10067" t="s">
        <v>1059</v>
      </c>
      <c r="D10067" t="s">
        <v>314</v>
      </c>
      <c r="E10067" t="s">
        <v>310</v>
      </c>
      <c r="F10067" t="s">
        <v>10830</v>
      </c>
      <c r="G10067">
        <v>38</v>
      </c>
      <c r="H10067">
        <v>10107.480000000001</v>
      </c>
      <c r="I10067">
        <v>265.99</v>
      </c>
      <c r="J10067">
        <v>53</v>
      </c>
      <c r="K10067">
        <v>6224.0300000000007</v>
      </c>
      <c r="L10067">
        <v>117.43</v>
      </c>
      <c r="M10067">
        <v>91</v>
      </c>
      <c r="N10067">
        <v>16331.510000000002</v>
      </c>
      <c r="O10067">
        <v>179.47</v>
      </c>
    </row>
    <row r="10068" spans="1:15" x14ac:dyDescent="0.35">
      <c r="A10068" t="s">
        <v>10811</v>
      </c>
      <c r="B10068" t="s">
        <v>10812</v>
      </c>
      <c r="C10068" t="s">
        <v>1059</v>
      </c>
      <c r="D10068" t="s">
        <v>323</v>
      </c>
      <c r="E10068" t="s">
        <v>294</v>
      </c>
      <c r="F10068" t="s">
        <v>10831</v>
      </c>
      <c r="G10068">
        <v>327</v>
      </c>
      <c r="H10068">
        <v>36039.360000000001</v>
      </c>
      <c r="I10068">
        <v>110.21</v>
      </c>
      <c r="J10068">
        <v>3946</v>
      </c>
      <c r="K10068">
        <v>351351.84</v>
      </c>
      <c r="L10068">
        <v>89.04</v>
      </c>
      <c r="M10068">
        <v>4273</v>
      </c>
      <c r="N10068">
        <v>387391.2</v>
      </c>
      <c r="O10068">
        <v>90.66</v>
      </c>
    </row>
    <row r="10069" spans="1:15" x14ac:dyDescent="0.35">
      <c r="A10069" t="s">
        <v>10811</v>
      </c>
      <c r="B10069" t="s">
        <v>10812</v>
      </c>
      <c r="C10069" t="s">
        <v>1059</v>
      </c>
      <c r="D10069" t="s">
        <v>323</v>
      </c>
      <c r="E10069" t="s">
        <v>296</v>
      </c>
      <c r="F10069" t="s">
        <v>10832</v>
      </c>
      <c r="G10069">
        <v>1033</v>
      </c>
      <c r="H10069">
        <v>128402.70999999999</v>
      </c>
      <c r="I10069">
        <v>124.3</v>
      </c>
      <c r="J10069">
        <v>2813</v>
      </c>
      <c r="K10069">
        <v>271370.11</v>
      </c>
      <c r="L10069">
        <v>96.47</v>
      </c>
      <c r="M10069">
        <v>3846</v>
      </c>
      <c r="N10069">
        <v>399772.81999999995</v>
      </c>
      <c r="O10069">
        <v>103.95</v>
      </c>
    </row>
    <row r="10070" spans="1:15" x14ac:dyDescent="0.35">
      <c r="A10070" t="s">
        <v>10811</v>
      </c>
      <c r="B10070" t="s">
        <v>10812</v>
      </c>
      <c r="C10070" t="s">
        <v>1059</v>
      </c>
      <c r="D10070" t="s">
        <v>323</v>
      </c>
      <c r="E10070" t="s">
        <v>298</v>
      </c>
      <c r="F10070" t="s">
        <v>10833</v>
      </c>
      <c r="G10070">
        <v>719</v>
      </c>
      <c r="H10070">
        <v>100748.35999999999</v>
      </c>
      <c r="I10070">
        <v>140.12</v>
      </c>
      <c r="J10070">
        <v>2498</v>
      </c>
      <c r="K10070">
        <v>277877.51999999996</v>
      </c>
      <c r="L10070">
        <v>111.24</v>
      </c>
      <c r="M10070">
        <v>3217</v>
      </c>
      <c r="N10070">
        <v>378625.87999999995</v>
      </c>
      <c r="O10070">
        <v>117.7</v>
      </c>
    </row>
    <row r="10071" spans="1:15" x14ac:dyDescent="0.35">
      <c r="A10071" t="s">
        <v>10811</v>
      </c>
      <c r="B10071" t="s">
        <v>10812</v>
      </c>
      <c r="C10071" t="s">
        <v>1059</v>
      </c>
      <c r="D10071" t="s">
        <v>323</v>
      </c>
      <c r="E10071" t="s">
        <v>300</v>
      </c>
      <c r="F10071" t="s">
        <v>10834</v>
      </c>
      <c r="G10071">
        <v>103</v>
      </c>
      <c r="H10071">
        <v>17368.43</v>
      </c>
      <c r="I10071">
        <v>168.63</v>
      </c>
      <c r="J10071">
        <v>239</v>
      </c>
      <c r="K10071">
        <v>28725.41</v>
      </c>
      <c r="L10071">
        <v>120.19</v>
      </c>
      <c r="M10071">
        <v>342</v>
      </c>
      <c r="N10071">
        <v>46093.84</v>
      </c>
      <c r="O10071">
        <v>134.78</v>
      </c>
    </row>
    <row r="10072" spans="1:15" x14ac:dyDescent="0.35">
      <c r="A10072" t="s">
        <v>10811</v>
      </c>
      <c r="B10072" t="s">
        <v>10812</v>
      </c>
      <c r="C10072" t="s">
        <v>1059</v>
      </c>
      <c r="D10072" t="s">
        <v>323</v>
      </c>
      <c r="E10072" t="s">
        <v>302</v>
      </c>
      <c r="F10072" t="s">
        <v>10835</v>
      </c>
      <c r="G10072">
        <v>0</v>
      </c>
      <c r="H10072">
        <v>0</v>
      </c>
      <c r="I10072">
        <v>0</v>
      </c>
      <c r="J10072">
        <v>10</v>
      </c>
      <c r="K10072">
        <v>1284.5</v>
      </c>
      <c r="L10072">
        <v>128.44999999999999</v>
      </c>
      <c r="M10072">
        <v>10</v>
      </c>
      <c r="N10072">
        <v>1284.5</v>
      </c>
      <c r="O10072">
        <v>128.44999999999999</v>
      </c>
    </row>
    <row r="10073" spans="1:15" x14ac:dyDescent="0.35">
      <c r="A10073" t="s">
        <v>10811</v>
      </c>
      <c r="B10073" t="s">
        <v>10812</v>
      </c>
      <c r="C10073" t="s">
        <v>1059</v>
      </c>
      <c r="D10073" t="s">
        <v>323</v>
      </c>
      <c r="E10073" t="s">
        <v>304</v>
      </c>
      <c r="F10073" t="s">
        <v>10836</v>
      </c>
      <c r="G10073">
        <v>0</v>
      </c>
      <c r="H10073">
        <v>0</v>
      </c>
      <c r="I10073">
        <v>0</v>
      </c>
      <c r="J10073">
        <v>1</v>
      </c>
      <c r="K10073">
        <v>126.81</v>
      </c>
      <c r="L10073">
        <v>126.81</v>
      </c>
      <c r="M10073">
        <v>1</v>
      </c>
      <c r="N10073">
        <v>126.81</v>
      </c>
      <c r="O10073">
        <v>126.81</v>
      </c>
    </row>
    <row r="10074" spans="1:15" x14ac:dyDescent="0.35">
      <c r="A10074" t="s">
        <v>10811</v>
      </c>
      <c r="B10074" t="s">
        <v>10812</v>
      </c>
      <c r="C10074" t="s">
        <v>1059</v>
      </c>
      <c r="D10074" t="s">
        <v>323</v>
      </c>
      <c r="E10074" t="s">
        <v>306</v>
      </c>
      <c r="F10074" t="s">
        <v>10837</v>
      </c>
      <c r="G10074">
        <v>18</v>
      </c>
      <c r="H10074">
        <v>1424.34</v>
      </c>
      <c r="I10074">
        <v>79.13</v>
      </c>
      <c r="J10074">
        <v>113</v>
      </c>
      <c r="K10074">
        <v>10339.5</v>
      </c>
      <c r="L10074">
        <v>91.5</v>
      </c>
      <c r="M10074">
        <v>131</v>
      </c>
      <c r="N10074">
        <v>11763.84</v>
      </c>
      <c r="O10074">
        <v>89.8</v>
      </c>
    </row>
    <row r="10075" spans="1:15" x14ac:dyDescent="0.35">
      <c r="A10075" t="s">
        <v>10811</v>
      </c>
      <c r="B10075" t="s">
        <v>10812</v>
      </c>
      <c r="C10075" t="s">
        <v>1059</v>
      </c>
      <c r="D10075" t="s">
        <v>323</v>
      </c>
      <c r="E10075" t="s">
        <v>308</v>
      </c>
      <c r="F10075" t="s">
        <v>10838</v>
      </c>
      <c r="G10075">
        <v>0</v>
      </c>
      <c r="H10075">
        <v>0</v>
      </c>
      <c r="I10075">
        <v>0</v>
      </c>
      <c r="J10075">
        <v>0</v>
      </c>
      <c r="K10075">
        <v>0</v>
      </c>
      <c r="L10075">
        <v>0</v>
      </c>
      <c r="M10075">
        <v>0</v>
      </c>
      <c r="N10075">
        <v>0</v>
      </c>
      <c r="O10075">
        <v>0</v>
      </c>
    </row>
    <row r="10076" spans="1:15" x14ac:dyDescent="0.35">
      <c r="A10076" t="s">
        <v>10811</v>
      </c>
      <c r="B10076" t="s">
        <v>10812</v>
      </c>
      <c r="C10076" t="s">
        <v>1059</v>
      </c>
      <c r="D10076" t="s">
        <v>323</v>
      </c>
      <c r="E10076" t="s">
        <v>310</v>
      </c>
      <c r="F10076" t="s">
        <v>10839</v>
      </c>
      <c r="G10076">
        <v>2200</v>
      </c>
      <c r="H10076">
        <v>283983.2</v>
      </c>
      <c r="I10076">
        <v>129.08000000000001</v>
      </c>
      <c r="J10076">
        <v>9620</v>
      </c>
      <c r="K10076">
        <v>941075.69000000006</v>
      </c>
      <c r="L10076">
        <v>97.82</v>
      </c>
      <c r="M10076">
        <v>11820</v>
      </c>
      <c r="N10076">
        <v>1225058.8900000001</v>
      </c>
      <c r="O10076">
        <v>103.64</v>
      </c>
    </row>
    <row r="10077" spans="1:15" x14ac:dyDescent="0.35">
      <c r="A10077" t="s">
        <v>10811</v>
      </c>
      <c r="B10077" t="s">
        <v>10812</v>
      </c>
      <c r="C10077" t="s">
        <v>1059</v>
      </c>
      <c r="D10077" t="s">
        <v>323</v>
      </c>
      <c r="E10077" t="s">
        <v>312</v>
      </c>
      <c r="F10077" t="s">
        <v>10840</v>
      </c>
      <c r="G10077">
        <v>2200</v>
      </c>
      <c r="H10077">
        <v>283983.2</v>
      </c>
      <c r="I10077">
        <v>129.08000000000001</v>
      </c>
      <c r="J10077">
        <v>9620</v>
      </c>
      <c r="K10077">
        <v>941075.69000000006</v>
      </c>
      <c r="L10077">
        <v>97.82</v>
      </c>
      <c r="M10077">
        <v>11820</v>
      </c>
      <c r="N10077">
        <v>1225058.8900000001</v>
      </c>
      <c r="O10077">
        <v>103.64</v>
      </c>
    </row>
    <row r="10078" spans="1:15" x14ac:dyDescent="0.35">
      <c r="A10078" t="s">
        <v>10811</v>
      </c>
      <c r="B10078" t="s">
        <v>10812</v>
      </c>
      <c r="C10078" t="s">
        <v>1059</v>
      </c>
      <c r="D10078" t="s">
        <v>334</v>
      </c>
      <c r="E10078" t="s">
        <v>312</v>
      </c>
      <c r="F10078" t="s">
        <v>10841</v>
      </c>
      <c r="G10078">
        <v>2837</v>
      </c>
      <c r="H10078">
        <v>365720.37</v>
      </c>
      <c r="I10078">
        <v>132.03</v>
      </c>
      <c r="J10078">
        <v>9686</v>
      </c>
      <c r="K10078">
        <v>949455.28000000014</v>
      </c>
      <c r="L10078">
        <v>98.02</v>
      </c>
      <c r="M10078">
        <v>12523</v>
      </c>
      <c r="N10078">
        <v>1315175.6500000001</v>
      </c>
      <c r="O10078">
        <v>105.59</v>
      </c>
    </row>
    <row r="10079" spans="1:15" x14ac:dyDescent="0.35">
      <c r="A10079" t="s">
        <v>10811</v>
      </c>
      <c r="B10079" t="s">
        <v>10812</v>
      </c>
      <c r="C10079" t="s">
        <v>1059</v>
      </c>
      <c r="D10079" t="s">
        <v>334</v>
      </c>
      <c r="E10079" t="s">
        <v>308</v>
      </c>
      <c r="F10079" t="s">
        <v>10842</v>
      </c>
      <c r="G10079">
        <v>29</v>
      </c>
      <c r="H10079">
        <v>0</v>
      </c>
      <c r="I10079">
        <v>0</v>
      </c>
      <c r="J10079">
        <v>0</v>
      </c>
      <c r="K10079">
        <v>0</v>
      </c>
      <c r="L10079">
        <v>0</v>
      </c>
      <c r="M10079">
        <v>29</v>
      </c>
      <c r="N10079">
        <v>0</v>
      </c>
      <c r="O10079">
        <v>0</v>
      </c>
    </row>
    <row r="10080" spans="1:15" x14ac:dyDescent="0.35">
      <c r="A10080" t="s">
        <v>10811</v>
      </c>
      <c r="B10080" t="s">
        <v>10812</v>
      </c>
      <c r="C10080" t="s">
        <v>1059</v>
      </c>
      <c r="D10080" t="s">
        <v>337</v>
      </c>
      <c r="E10080" t="s">
        <v>337</v>
      </c>
      <c r="F10080" t="s">
        <v>10843</v>
      </c>
      <c r="G10080">
        <v>751</v>
      </c>
      <c r="J10080">
        <v>68</v>
      </c>
      <c r="M10080">
        <v>819</v>
      </c>
    </row>
    <row r="10081" spans="1:15" x14ac:dyDescent="0.35">
      <c r="A10081" t="s">
        <v>10811</v>
      </c>
      <c r="B10081" t="s">
        <v>10812</v>
      </c>
      <c r="C10081" t="s">
        <v>1059</v>
      </c>
      <c r="D10081" t="s">
        <v>339</v>
      </c>
      <c r="E10081" t="s">
        <v>294</v>
      </c>
      <c r="F10081" t="s">
        <v>10844</v>
      </c>
      <c r="G10081">
        <v>254</v>
      </c>
      <c r="H10081">
        <v>32694.61</v>
      </c>
      <c r="I10081">
        <v>128.72</v>
      </c>
      <c r="J10081">
        <v>10</v>
      </c>
      <c r="K10081">
        <v>945.5</v>
      </c>
      <c r="L10081">
        <v>94.55</v>
      </c>
      <c r="M10081">
        <v>264</v>
      </c>
      <c r="N10081">
        <v>33640.11</v>
      </c>
      <c r="O10081">
        <v>127.42</v>
      </c>
    </row>
    <row r="10082" spans="1:15" x14ac:dyDescent="0.35">
      <c r="A10082" t="s">
        <v>10811</v>
      </c>
      <c r="B10082" t="s">
        <v>10812</v>
      </c>
      <c r="C10082" t="s">
        <v>1059</v>
      </c>
      <c r="D10082" t="s">
        <v>339</v>
      </c>
      <c r="E10082" t="s">
        <v>296</v>
      </c>
      <c r="F10082" t="s">
        <v>10845</v>
      </c>
      <c r="G10082">
        <v>23</v>
      </c>
      <c r="H10082">
        <v>3162.5499999999997</v>
      </c>
      <c r="I10082">
        <v>137.5</v>
      </c>
      <c r="J10082">
        <v>0</v>
      </c>
      <c r="K10082">
        <v>0</v>
      </c>
      <c r="L10082">
        <v>0</v>
      </c>
      <c r="M10082">
        <v>23</v>
      </c>
      <c r="N10082">
        <v>3162.5499999999997</v>
      </c>
      <c r="O10082">
        <v>137.5</v>
      </c>
    </row>
    <row r="10083" spans="1:15" x14ac:dyDescent="0.35">
      <c r="A10083" t="s">
        <v>10811</v>
      </c>
      <c r="B10083" t="s">
        <v>10812</v>
      </c>
      <c r="C10083" t="s">
        <v>1059</v>
      </c>
      <c r="D10083" t="s">
        <v>339</v>
      </c>
      <c r="E10083" t="s">
        <v>298</v>
      </c>
      <c r="F10083" t="s">
        <v>10846</v>
      </c>
      <c r="G10083">
        <v>0</v>
      </c>
      <c r="H10083">
        <v>0</v>
      </c>
      <c r="I10083">
        <v>0</v>
      </c>
      <c r="J10083">
        <v>0</v>
      </c>
      <c r="K10083">
        <v>0</v>
      </c>
      <c r="L10083">
        <v>0</v>
      </c>
      <c r="M10083">
        <v>0</v>
      </c>
      <c r="N10083">
        <v>0</v>
      </c>
      <c r="O10083">
        <v>0</v>
      </c>
    </row>
    <row r="10084" spans="1:15" x14ac:dyDescent="0.35">
      <c r="A10084" t="s">
        <v>10811</v>
      </c>
      <c r="B10084" t="s">
        <v>10812</v>
      </c>
      <c r="C10084" t="s">
        <v>1059</v>
      </c>
      <c r="D10084" t="s">
        <v>339</v>
      </c>
      <c r="E10084" t="s">
        <v>300</v>
      </c>
      <c r="F10084" t="s">
        <v>10847</v>
      </c>
      <c r="G10084">
        <v>0</v>
      </c>
      <c r="H10084">
        <v>0</v>
      </c>
      <c r="I10084">
        <v>0</v>
      </c>
      <c r="J10084">
        <v>0</v>
      </c>
      <c r="K10084">
        <v>0</v>
      </c>
      <c r="L10084">
        <v>0</v>
      </c>
      <c r="M10084">
        <v>0</v>
      </c>
      <c r="N10084">
        <v>0</v>
      </c>
      <c r="O10084">
        <v>0</v>
      </c>
    </row>
    <row r="10085" spans="1:15" x14ac:dyDescent="0.35">
      <c r="A10085" t="s">
        <v>10811</v>
      </c>
      <c r="B10085" t="s">
        <v>10812</v>
      </c>
      <c r="C10085" t="s">
        <v>1059</v>
      </c>
      <c r="D10085" t="s">
        <v>339</v>
      </c>
      <c r="E10085" t="s">
        <v>306</v>
      </c>
      <c r="F10085" t="s">
        <v>10848</v>
      </c>
      <c r="G10085">
        <v>40</v>
      </c>
      <c r="H10085">
        <v>4217.0600000000004</v>
      </c>
      <c r="I10085">
        <v>105.43</v>
      </c>
      <c r="J10085">
        <v>11</v>
      </c>
      <c r="K10085">
        <v>834.46</v>
      </c>
      <c r="L10085">
        <v>75.86</v>
      </c>
      <c r="M10085">
        <v>51</v>
      </c>
      <c r="N10085">
        <v>5051.5200000000004</v>
      </c>
      <c r="O10085">
        <v>99.05</v>
      </c>
    </row>
    <row r="10086" spans="1:15" x14ac:dyDescent="0.35">
      <c r="A10086" t="s">
        <v>10811</v>
      </c>
      <c r="B10086" t="s">
        <v>10812</v>
      </c>
      <c r="C10086" t="s">
        <v>1059</v>
      </c>
      <c r="D10086" t="s">
        <v>339</v>
      </c>
      <c r="E10086" t="s">
        <v>308</v>
      </c>
      <c r="F10086" t="s">
        <v>10849</v>
      </c>
      <c r="G10086">
        <v>32</v>
      </c>
      <c r="H10086">
        <v>3460.3</v>
      </c>
      <c r="I10086">
        <v>108.13</v>
      </c>
      <c r="J10086">
        <v>0</v>
      </c>
      <c r="K10086">
        <v>0</v>
      </c>
      <c r="L10086">
        <v>0</v>
      </c>
      <c r="M10086">
        <v>32</v>
      </c>
      <c r="N10086">
        <v>3460.3</v>
      </c>
      <c r="O10086">
        <v>108.13</v>
      </c>
    </row>
    <row r="10087" spans="1:15" x14ac:dyDescent="0.35">
      <c r="A10087" t="s">
        <v>10811</v>
      </c>
      <c r="B10087" t="s">
        <v>10812</v>
      </c>
      <c r="C10087" t="s">
        <v>1059</v>
      </c>
      <c r="D10087" t="s">
        <v>339</v>
      </c>
      <c r="E10087" t="s">
        <v>310</v>
      </c>
      <c r="F10087" t="s">
        <v>10850</v>
      </c>
      <c r="G10087">
        <v>349</v>
      </c>
      <c r="H10087">
        <v>43534.520000000004</v>
      </c>
      <c r="I10087">
        <v>124.74</v>
      </c>
      <c r="J10087">
        <v>21</v>
      </c>
      <c r="K10087">
        <v>1779.96</v>
      </c>
      <c r="L10087">
        <v>84.76</v>
      </c>
      <c r="M10087">
        <v>370</v>
      </c>
      <c r="N10087">
        <v>45314.48</v>
      </c>
      <c r="O10087">
        <v>122.47</v>
      </c>
    </row>
    <row r="10088" spans="1:15" x14ac:dyDescent="0.35">
      <c r="A10088" t="s">
        <v>10811</v>
      </c>
      <c r="B10088" t="s">
        <v>10812</v>
      </c>
      <c r="C10088" t="s">
        <v>1059</v>
      </c>
      <c r="D10088" t="s">
        <v>339</v>
      </c>
      <c r="E10088" t="s">
        <v>312</v>
      </c>
      <c r="F10088" t="s">
        <v>10851</v>
      </c>
      <c r="G10088">
        <v>317</v>
      </c>
      <c r="H10088">
        <v>40074.22</v>
      </c>
      <c r="I10088">
        <v>126.42</v>
      </c>
      <c r="J10088">
        <v>21</v>
      </c>
      <c r="K10088">
        <v>1779.96</v>
      </c>
      <c r="L10088">
        <v>84.76</v>
      </c>
      <c r="M10088">
        <v>338</v>
      </c>
      <c r="N10088">
        <v>41854.18</v>
      </c>
      <c r="O10088">
        <v>123.83</v>
      </c>
    </row>
    <row r="10089" spans="1:15" x14ac:dyDescent="0.35">
      <c r="A10089" t="s">
        <v>10811</v>
      </c>
      <c r="B10089" t="s">
        <v>10812</v>
      </c>
      <c r="C10089" t="s">
        <v>1059</v>
      </c>
      <c r="D10089" t="s">
        <v>348</v>
      </c>
      <c r="E10089" t="s">
        <v>349</v>
      </c>
      <c r="F10089" t="s">
        <v>10852</v>
      </c>
      <c r="G10089">
        <v>744</v>
      </c>
      <c r="H10089">
        <v>53642.000000000007</v>
      </c>
      <c r="I10089">
        <v>138.61000000000001</v>
      </c>
      <c r="J10089">
        <v>74</v>
      </c>
      <c r="K10089">
        <v>8003.9900000000007</v>
      </c>
      <c r="L10089">
        <v>108.16</v>
      </c>
      <c r="M10089">
        <v>818</v>
      </c>
      <c r="N10089">
        <v>61645.990000000005</v>
      </c>
      <c r="O10089">
        <v>133.72</v>
      </c>
    </row>
    <row r="10090" spans="1:15" x14ac:dyDescent="0.35">
      <c r="A10090" t="s">
        <v>10853</v>
      </c>
      <c r="B10090" t="s">
        <v>194</v>
      </c>
      <c r="C10090" t="s">
        <v>1059</v>
      </c>
      <c r="D10090" t="s">
        <v>293</v>
      </c>
      <c r="E10090" t="s">
        <v>294</v>
      </c>
      <c r="F10090" t="s">
        <v>10854</v>
      </c>
      <c r="G10090">
        <v>217</v>
      </c>
      <c r="H10090">
        <v>24427.56</v>
      </c>
      <c r="I10090">
        <v>112.57</v>
      </c>
      <c r="J10090">
        <v>0</v>
      </c>
      <c r="K10090">
        <v>0</v>
      </c>
      <c r="L10090">
        <v>0</v>
      </c>
      <c r="M10090">
        <v>217</v>
      </c>
      <c r="N10090">
        <v>24427.56</v>
      </c>
      <c r="O10090">
        <v>112.57</v>
      </c>
    </row>
    <row r="10091" spans="1:15" x14ac:dyDescent="0.35">
      <c r="A10091" t="s">
        <v>10853</v>
      </c>
      <c r="B10091" t="s">
        <v>194</v>
      </c>
      <c r="C10091" t="s">
        <v>1059</v>
      </c>
      <c r="D10091" t="s">
        <v>293</v>
      </c>
      <c r="E10091" t="s">
        <v>296</v>
      </c>
      <c r="F10091" t="s">
        <v>10855</v>
      </c>
      <c r="G10091">
        <v>1205</v>
      </c>
      <c r="H10091">
        <v>160657.54999999999</v>
      </c>
      <c r="I10091">
        <v>133.33000000000001</v>
      </c>
      <c r="J10091">
        <v>0</v>
      </c>
      <c r="K10091">
        <v>0</v>
      </c>
      <c r="L10091">
        <v>0</v>
      </c>
      <c r="M10091">
        <v>1205</v>
      </c>
      <c r="N10091">
        <v>160657.54999999999</v>
      </c>
      <c r="O10091">
        <v>133.33000000000001</v>
      </c>
    </row>
    <row r="10092" spans="1:15" x14ac:dyDescent="0.35">
      <c r="A10092" t="s">
        <v>10853</v>
      </c>
      <c r="B10092" t="s">
        <v>194</v>
      </c>
      <c r="C10092" t="s">
        <v>1059</v>
      </c>
      <c r="D10092" t="s">
        <v>293</v>
      </c>
      <c r="E10092" t="s">
        <v>298</v>
      </c>
      <c r="F10092" t="s">
        <v>10856</v>
      </c>
      <c r="G10092">
        <v>969</v>
      </c>
      <c r="H10092">
        <v>138456.77000000002</v>
      </c>
      <c r="I10092">
        <v>142.88999999999999</v>
      </c>
      <c r="J10092">
        <v>0</v>
      </c>
      <c r="K10092">
        <v>0</v>
      </c>
      <c r="L10092">
        <v>0</v>
      </c>
      <c r="M10092">
        <v>969</v>
      </c>
      <c r="N10092">
        <v>138456.77000000002</v>
      </c>
      <c r="O10092">
        <v>142.88999999999999</v>
      </c>
    </row>
    <row r="10093" spans="1:15" x14ac:dyDescent="0.35">
      <c r="A10093" t="s">
        <v>10853</v>
      </c>
      <c r="B10093" t="s">
        <v>194</v>
      </c>
      <c r="C10093" t="s">
        <v>1059</v>
      </c>
      <c r="D10093" t="s">
        <v>293</v>
      </c>
      <c r="E10093" t="s">
        <v>300</v>
      </c>
      <c r="F10093" t="s">
        <v>10857</v>
      </c>
      <c r="G10093">
        <v>124</v>
      </c>
      <c r="H10093">
        <v>20259.28</v>
      </c>
      <c r="I10093">
        <v>163.38</v>
      </c>
      <c r="J10093">
        <v>0</v>
      </c>
      <c r="K10093">
        <v>0</v>
      </c>
      <c r="L10093">
        <v>0</v>
      </c>
      <c r="M10093">
        <v>124</v>
      </c>
      <c r="N10093">
        <v>20259.28</v>
      </c>
      <c r="O10093">
        <v>163.38</v>
      </c>
    </row>
    <row r="10094" spans="1:15" x14ac:dyDescent="0.35">
      <c r="A10094" t="s">
        <v>10853</v>
      </c>
      <c r="B10094" t="s">
        <v>194</v>
      </c>
      <c r="C10094" t="s">
        <v>1059</v>
      </c>
      <c r="D10094" t="s">
        <v>293</v>
      </c>
      <c r="E10094" t="s">
        <v>302</v>
      </c>
      <c r="F10094" t="s">
        <v>10858</v>
      </c>
      <c r="G10094">
        <v>9</v>
      </c>
      <c r="H10094">
        <v>1662.54</v>
      </c>
      <c r="I10094">
        <v>184.73</v>
      </c>
      <c r="J10094">
        <v>0</v>
      </c>
      <c r="K10094">
        <v>0</v>
      </c>
      <c r="L10094">
        <v>0</v>
      </c>
      <c r="M10094">
        <v>9</v>
      </c>
      <c r="N10094">
        <v>1662.54</v>
      </c>
      <c r="O10094">
        <v>184.73</v>
      </c>
    </row>
    <row r="10095" spans="1:15" x14ac:dyDescent="0.35">
      <c r="A10095" t="s">
        <v>10853</v>
      </c>
      <c r="B10095" t="s">
        <v>194</v>
      </c>
      <c r="C10095" t="s">
        <v>1059</v>
      </c>
      <c r="D10095" t="s">
        <v>293</v>
      </c>
      <c r="E10095" t="s">
        <v>304</v>
      </c>
      <c r="F10095" t="s">
        <v>10859</v>
      </c>
      <c r="G10095">
        <v>2</v>
      </c>
      <c r="H10095">
        <v>390</v>
      </c>
      <c r="I10095">
        <v>195</v>
      </c>
      <c r="J10095">
        <v>0</v>
      </c>
      <c r="K10095">
        <v>0</v>
      </c>
      <c r="L10095">
        <v>0</v>
      </c>
      <c r="M10095">
        <v>2</v>
      </c>
      <c r="N10095">
        <v>390</v>
      </c>
      <c r="O10095">
        <v>195</v>
      </c>
    </row>
    <row r="10096" spans="1:15" x14ac:dyDescent="0.35">
      <c r="A10096" t="s">
        <v>10853</v>
      </c>
      <c r="B10096" t="s">
        <v>194</v>
      </c>
      <c r="C10096" t="s">
        <v>1059</v>
      </c>
      <c r="D10096" t="s">
        <v>293</v>
      </c>
      <c r="E10096" t="s">
        <v>306</v>
      </c>
      <c r="F10096" t="s">
        <v>10860</v>
      </c>
      <c r="G10096">
        <v>0</v>
      </c>
      <c r="H10096">
        <v>0</v>
      </c>
      <c r="I10096">
        <v>0</v>
      </c>
      <c r="J10096">
        <v>0</v>
      </c>
      <c r="K10096">
        <v>0</v>
      </c>
      <c r="L10096">
        <v>0</v>
      </c>
      <c r="M10096">
        <v>0</v>
      </c>
      <c r="N10096">
        <v>0</v>
      </c>
      <c r="O10096">
        <v>0</v>
      </c>
    </row>
    <row r="10097" spans="1:15" x14ac:dyDescent="0.35">
      <c r="A10097" t="s">
        <v>10853</v>
      </c>
      <c r="B10097" t="s">
        <v>194</v>
      </c>
      <c r="C10097" t="s">
        <v>1059</v>
      </c>
      <c r="D10097" t="s">
        <v>293</v>
      </c>
      <c r="E10097" t="s">
        <v>308</v>
      </c>
      <c r="F10097" t="s">
        <v>10861</v>
      </c>
      <c r="G10097">
        <v>0</v>
      </c>
      <c r="H10097">
        <v>0</v>
      </c>
      <c r="I10097">
        <v>0</v>
      </c>
      <c r="J10097">
        <v>0</v>
      </c>
      <c r="K10097">
        <v>0</v>
      </c>
      <c r="L10097">
        <v>0</v>
      </c>
      <c r="M10097">
        <v>0</v>
      </c>
      <c r="N10097">
        <v>0</v>
      </c>
      <c r="O10097">
        <v>0</v>
      </c>
    </row>
    <row r="10098" spans="1:15" x14ac:dyDescent="0.35">
      <c r="A10098" t="s">
        <v>10853</v>
      </c>
      <c r="B10098" t="s">
        <v>194</v>
      </c>
      <c r="C10098" t="s">
        <v>1059</v>
      </c>
      <c r="D10098" t="s">
        <v>293</v>
      </c>
      <c r="E10098" t="s">
        <v>310</v>
      </c>
      <c r="F10098" t="s">
        <v>10862</v>
      </c>
      <c r="G10098">
        <v>2526</v>
      </c>
      <c r="H10098">
        <v>345853.7</v>
      </c>
      <c r="I10098">
        <v>136.91999999999999</v>
      </c>
      <c r="J10098">
        <v>0</v>
      </c>
      <c r="K10098">
        <v>0</v>
      </c>
      <c r="L10098">
        <v>0</v>
      </c>
      <c r="M10098">
        <v>2526</v>
      </c>
      <c r="N10098">
        <v>345853.7</v>
      </c>
      <c r="O10098">
        <v>136.91999999999999</v>
      </c>
    </row>
    <row r="10099" spans="1:15" x14ac:dyDescent="0.35">
      <c r="A10099" t="s">
        <v>10853</v>
      </c>
      <c r="B10099" t="s">
        <v>194</v>
      </c>
      <c r="C10099" t="s">
        <v>1059</v>
      </c>
      <c r="D10099" t="s">
        <v>293</v>
      </c>
      <c r="E10099" t="s">
        <v>312</v>
      </c>
      <c r="F10099" t="s">
        <v>10863</v>
      </c>
      <c r="G10099">
        <v>2526</v>
      </c>
      <c r="H10099">
        <v>345853.7</v>
      </c>
      <c r="I10099">
        <v>136.91999999999999</v>
      </c>
      <c r="J10099">
        <v>0</v>
      </c>
      <c r="K10099">
        <v>0</v>
      </c>
      <c r="L10099">
        <v>0</v>
      </c>
      <c r="M10099">
        <v>2526</v>
      </c>
      <c r="N10099">
        <v>345853.7</v>
      </c>
      <c r="O10099">
        <v>136.91999999999999</v>
      </c>
    </row>
    <row r="10100" spans="1:15" x14ac:dyDescent="0.35">
      <c r="A10100" t="s">
        <v>10853</v>
      </c>
      <c r="B10100" t="s">
        <v>194</v>
      </c>
      <c r="C10100" t="s">
        <v>1059</v>
      </c>
      <c r="D10100" t="s">
        <v>314</v>
      </c>
      <c r="E10100" t="s">
        <v>294</v>
      </c>
      <c r="F10100" t="s">
        <v>10864</v>
      </c>
      <c r="G10100">
        <v>123</v>
      </c>
      <c r="H10100">
        <v>20718.740000000002</v>
      </c>
      <c r="I10100">
        <v>168.45</v>
      </c>
      <c r="J10100">
        <v>2</v>
      </c>
      <c r="K10100">
        <v>256.60000000000002</v>
      </c>
      <c r="L10100">
        <v>128.30000000000001</v>
      </c>
      <c r="M10100">
        <v>125</v>
      </c>
      <c r="N10100">
        <v>20975.34</v>
      </c>
      <c r="O10100">
        <v>167.8</v>
      </c>
    </row>
    <row r="10101" spans="1:15" x14ac:dyDescent="0.35">
      <c r="A10101" t="s">
        <v>10853</v>
      </c>
      <c r="B10101" t="s">
        <v>194</v>
      </c>
      <c r="C10101" t="s">
        <v>1059</v>
      </c>
      <c r="D10101" t="s">
        <v>314</v>
      </c>
      <c r="E10101" t="s">
        <v>296</v>
      </c>
      <c r="F10101" t="s">
        <v>10865</v>
      </c>
      <c r="G10101">
        <v>140</v>
      </c>
      <c r="H10101">
        <v>28166.799999999996</v>
      </c>
      <c r="I10101">
        <v>201.19</v>
      </c>
      <c r="J10101">
        <v>7</v>
      </c>
      <c r="K10101">
        <v>1223.04</v>
      </c>
      <c r="L10101">
        <v>174.72</v>
      </c>
      <c r="M10101">
        <v>147</v>
      </c>
      <c r="N10101">
        <v>29389.839999999997</v>
      </c>
      <c r="O10101">
        <v>199.93</v>
      </c>
    </row>
    <row r="10102" spans="1:15" x14ac:dyDescent="0.35">
      <c r="A10102" t="s">
        <v>10853</v>
      </c>
      <c r="B10102" t="s">
        <v>194</v>
      </c>
      <c r="C10102" t="s">
        <v>1059</v>
      </c>
      <c r="D10102" t="s">
        <v>314</v>
      </c>
      <c r="E10102" t="s">
        <v>298</v>
      </c>
      <c r="F10102" t="s">
        <v>10866</v>
      </c>
      <c r="G10102">
        <v>3</v>
      </c>
      <c r="H10102">
        <v>813.54</v>
      </c>
      <c r="I10102">
        <v>271.18</v>
      </c>
      <c r="J10102">
        <v>14</v>
      </c>
      <c r="K10102">
        <v>2690.7999999999997</v>
      </c>
      <c r="L10102">
        <v>192.2</v>
      </c>
      <c r="M10102">
        <v>17</v>
      </c>
      <c r="N10102">
        <v>3504.3399999999997</v>
      </c>
      <c r="O10102">
        <v>206.14</v>
      </c>
    </row>
    <row r="10103" spans="1:15" x14ac:dyDescent="0.35">
      <c r="A10103" t="s">
        <v>10853</v>
      </c>
      <c r="B10103" t="s">
        <v>194</v>
      </c>
      <c r="C10103" t="s">
        <v>1059</v>
      </c>
      <c r="D10103" t="s">
        <v>314</v>
      </c>
      <c r="E10103" t="s">
        <v>300</v>
      </c>
      <c r="F10103" t="s">
        <v>10867</v>
      </c>
      <c r="G10103">
        <v>0</v>
      </c>
      <c r="H10103">
        <v>0</v>
      </c>
      <c r="I10103">
        <v>0</v>
      </c>
      <c r="J10103">
        <v>0</v>
      </c>
      <c r="K10103">
        <v>0</v>
      </c>
      <c r="L10103">
        <v>0</v>
      </c>
      <c r="M10103">
        <v>0</v>
      </c>
      <c r="N10103">
        <v>0</v>
      </c>
      <c r="O10103">
        <v>0</v>
      </c>
    </row>
    <row r="10104" spans="1:15" x14ac:dyDescent="0.35">
      <c r="A10104" t="s">
        <v>10853</v>
      </c>
      <c r="B10104" t="s">
        <v>194</v>
      </c>
      <c r="C10104" t="s">
        <v>1059</v>
      </c>
      <c r="D10104" t="s">
        <v>314</v>
      </c>
      <c r="E10104" t="s">
        <v>306</v>
      </c>
      <c r="F10104" t="s">
        <v>10868</v>
      </c>
      <c r="G10104">
        <v>0</v>
      </c>
      <c r="H10104">
        <v>0</v>
      </c>
      <c r="I10104">
        <v>0</v>
      </c>
      <c r="J10104">
        <v>0</v>
      </c>
      <c r="K10104">
        <v>0</v>
      </c>
      <c r="L10104">
        <v>0</v>
      </c>
      <c r="M10104">
        <v>0</v>
      </c>
      <c r="N10104">
        <v>0</v>
      </c>
      <c r="O10104">
        <v>0</v>
      </c>
    </row>
    <row r="10105" spans="1:15" x14ac:dyDescent="0.35">
      <c r="A10105" t="s">
        <v>10853</v>
      </c>
      <c r="B10105" t="s">
        <v>194</v>
      </c>
      <c r="C10105" t="s">
        <v>1059</v>
      </c>
      <c r="D10105" t="s">
        <v>314</v>
      </c>
      <c r="E10105" t="s">
        <v>308</v>
      </c>
      <c r="F10105" t="s">
        <v>10869</v>
      </c>
      <c r="G10105">
        <v>0</v>
      </c>
      <c r="H10105">
        <v>0</v>
      </c>
      <c r="I10105">
        <v>0</v>
      </c>
      <c r="J10105">
        <v>0</v>
      </c>
      <c r="K10105">
        <v>0</v>
      </c>
      <c r="L10105">
        <v>0</v>
      </c>
      <c r="M10105">
        <v>0</v>
      </c>
      <c r="N10105">
        <v>0</v>
      </c>
      <c r="O10105">
        <v>0</v>
      </c>
    </row>
    <row r="10106" spans="1:15" x14ac:dyDescent="0.35">
      <c r="A10106" t="s">
        <v>10853</v>
      </c>
      <c r="B10106" t="s">
        <v>194</v>
      </c>
      <c r="C10106" t="s">
        <v>1059</v>
      </c>
      <c r="D10106" t="s">
        <v>314</v>
      </c>
      <c r="E10106" t="s">
        <v>312</v>
      </c>
      <c r="F10106" t="s">
        <v>10870</v>
      </c>
      <c r="G10106">
        <v>266</v>
      </c>
      <c r="H10106">
        <v>49699.079999999994</v>
      </c>
      <c r="I10106">
        <v>186.84</v>
      </c>
      <c r="J10106">
        <v>23</v>
      </c>
      <c r="K10106">
        <v>4170.4399999999996</v>
      </c>
      <c r="L10106">
        <v>181.32</v>
      </c>
      <c r="M10106">
        <v>289</v>
      </c>
      <c r="N10106">
        <v>53869.52</v>
      </c>
      <c r="O10106">
        <v>186.4</v>
      </c>
    </row>
    <row r="10107" spans="1:15" x14ac:dyDescent="0.35">
      <c r="A10107" t="s">
        <v>10853</v>
      </c>
      <c r="B10107" t="s">
        <v>194</v>
      </c>
      <c r="C10107" t="s">
        <v>1059</v>
      </c>
      <c r="D10107" t="s">
        <v>314</v>
      </c>
      <c r="E10107" t="s">
        <v>310</v>
      </c>
      <c r="F10107" t="s">
        <v>10871</v>
      </c>
      <c r="G10107">
        <v>266</v>
      </c>
      <c r="H10107">
        <v>49699.079999999994</v>
      </c>
      <c r="I10107">
        <v>186.84</v>
      </c>
      <c r="J10107">
        <v>23</v>
      </c>
      <c r="K10107">
        <v>4170.4399999999996</v>
      </c>
      <c r="L10107">
        <v>181.32</v>
      </c>
      <c r="M10107">
        <v>289</v>
      </c>
      <c r="N10107">
        <v>53869.52</v>
      </c>
      <c r="O10107">
        <v>186.4</v>
      </c>
    </row>
    <row r="10108" spans="1:15" x14ac:dyDescent="0.35">
      <c r="A10108" t="s">
        <v>10853</v>
      </c>
      <c r="B10108" t="s">
        <v>194</v>
      </c>
      <c r="C10108" t="s">
        <v>1059</v>
      </c>
      <c r="D10108" t="s">
        <v>323</v>
      </c>
      <c r="E10108" t="s">
        <v>294</v>
      </c>
      <c r="F10108" t="s">
        <v>10872</v>
      </c>
      <c r="G10108">
        <v>5174</v>
      </c>
      <c r="H10108">
        <v>484544.63000000006</v>
      </c>
      <c r="I10108">
        <v>93.65</v>
      </c>
      <c r="J10108">
        <v>0</v>
      </c>
      <c r="K10108">
        <v>0</v>
      </c>
      <c r="L10108">
        <v>0</v>
      </c>
      <c r="M10108">
        <v>5174</v>
      </c>
      <c r="N10108">
        <v>484544.63000000006</v>
      </c>
      <c r="O10108">
        <v>93.65</v>
      </c>
    </row>
    <row r="10109" spans="1:15" x14ac:dyDescent="0.35">
      <c r="A10109" t="s">
        <v>10853</v>
      </c>
      <c r="B10109" t="s">
        <v>194</v>
      </c>
      <c r="C10109" t="s">
        <v>1059</v>
      </c>
      <c r="D10109" t="s">
        <v>323</v>
      </c>
      <c r="E10109" t="s">
        <v>296</v>
      </c>
      <c r="F10109" t="s">
        <v>10873</v>
      </c>
      <c r="G10109">
        <v>9192</v>
      </c>
      <c r="H10109">
        <v>936724.68000000017</v>
      </c>
      <c r="I10109">
        <v>101.91</v>
      </c>
      <c r="J10109">
        <v>0</v>
      </c>
      <c r="K10109">
        <v>0</v>
      </c>
      <c r="L10109">
        <v>0</v>
      </c>
      <c r="M10109">
        <v>9192</v>
      </c>
      <c r="N10109">
        <v>936724.68000000017</v>
      </c>
      <c r="O10109">
        <v>101.91</v>
      </c>
    </row>
    <row r="10110" spans="1:15" x14ac:dyDescent="0.35">
      <c r="A10110" t="s">
        <v>10853</v>
      </c>
      <c r="B10110" t="s">
        <v>194</v>
      </c>
      <c r="C10110" t="s">
        <v>1059</v>
      </c>
      <c r="D10110" t="s">
        <v>323</v>
      </c>
      <c r="E10110" t="s">
        <v>298</v>
      </c>
      <c r="F10110" t="s">
        <v>10874</v>
      </c>
      <c r="G10110">
        <v>8817</v>
      </c>
      <c r="H10110">
        <v>1006920.24</v>
      </c>
      <c r="I10110">
        <v>114.2</v>
      </c>
      <c r="J10110">
        <v>0</v>
      </c>
      <c r="K10110">
        <v>0</v>
      </c>
      <c r="L10110">
        <v>0</v>
      </c>
      <c r="M10110">
        <v>8817</v>
      </c>
      <c r="N10110">
        <v>1006920.24</v>
      </c>
      <c r="O10110">
        <v>114.2</v>
      </c>
    </row>
    <row r="10111" spans="1:15" x14ac:dyDescent="0.35">
      <c r="A10111" t="s">
        <v>10853</v>
      </c>
      <c r="B10111" t="s">
        <v>194</v>
      </c>
      <c r="C10111" t="s">
        <v>1059</v>
      </c>
      <c r="D10111" t="s">
        <v>323</v>
      </c>
      <c r="E10111" t="s">
        <v>300</v>
      </c>
      <c r="F10111" t="s">
        <v>10875</v>
      </c>
      <c r="G10111">
        <v>366</v>
      </c>
      <c r="H10111">
        <v>45546.359999999993</v>
      </c>
      <c r="I10111">
        <v>124.44</v>
      </c>
      <c r="J10111">
        <v>0</v>
      </c>
      <c r="K10111">
        <v>0</v>
      </c>
      <c r="L10111">
        <v>0</v>
      </c>
      <c r="M10111">
        <v>366</v>
      </c>
      <c r="N10111">
        <v>45546.359999999993</v>
      </c>
      <c r="O10111">
        <v>124.44</v>
      </c>
    </row>
    <row r="10112" spans="1:15" x14ac:dyDescent="0.35">
      <c r="A10112" t="s">
        <v>10853</v>
      </c>
      <c r="B10112" t="s">
        <v>194</v>
      </c>
      <c r="C10112" t="s">
        <v>1059</v>
      </c>
      <c r="D10112" t="s">
        <v>323</v>
      </c>
      <c r="E10112" t="s">
        <v>302</v>
      </c>
      <c r="F10112" t="s">
        <v>10876</v>
      </c>
      <c r="G10112">
        <v>46</v>
      </c>
      <c r="H10112">
        <v>6300.57</v>
      </c>
      <c r="I10112">
        <v>136.97</v>
      </c>
      <c r="J10112">
        <v>0</v>
      </c>
      <c r="K10112">
        <v>0</v>
      </c>
      <c r="L10112">
        <v>0</v>
      </c>
      <c r="M10112">
        <v>46</v>
      </c>
      <c r="N10112">
        <v>6300.57</v>
      </c>
      <c r="O10112">
        <v>136.97</v>
      </c>
    </row>
    <row r="10113" spans="1:15" x14ac:dyDescent="0.35">
      <c r="A10113" t="s">
        <v>10853</v>
      </c>
      <c r="B10113" t="s">
        <v>194</v>
      </c>
      <c r="C10113" t="s">
        <v>1059</v>
      </c>
      <c r="D10113" t="s">
        <v>323</v>
      </c>
      <c r="E10113" t="s">
        <v>304</v>
      </c>
      <c r="F10113" t="s">
        <v>10877</v>
      </c>
      <c r="G10113">
        <v>13</v>
      </c>
      <c r="H10113">
        <v>2105.81</v>
      </c>
      <c r="I10113">
        <v>161.99</v>
      </c>
      <c r="J10113">
        <v>0</v>
      </c>
      <c r="K10113">
        <v>0</v>
      </c>
      <c r="L10113">
        <v>0</v>
      </c>
      <c r="M10113">
        <v>13</v>
      </c>
      <c r="N10113">
        <v>2105.81</v>
      </c>
      <c r="O10113">
        <v>161.99</v>
      </c>
    </row>
    <row r="10114" spans="1:15" x14ac:dyDescent="0.35">
      <c r="A10114" t="s">
        <v>10853</v>
      </c>
      <c r="B10114" t="s">
        <v>194</v>
      </c>
      <c r="C10114" t="s">
        <v>1059</v>
      </c>
      <c r="D10114" t="s">
        <v>323</v>
      </c>
      <c r="E10114" t="s">
        <v>306</v>
      </c>
      <c r="F10114" t="s">
        <v>10878</v>
      </c>
      <c r="G10114">
        <v>96</v>
      </c>
      <c r="H10114">
        <v>7816.96</v>
      </c>
      <c r="I10114">
        <v>81.430000000000007</v>
      </c>
      <c r="J10114">
        <v>0</v>
      </c>
      <c r="K10114">
        <v>0</v>
      </c>
      <c r="L10114">
        <v>0</v>
      </c>
      <c r="M10114">
        <v>96</v>
      </c>
      <c r="N10114">
        <v>7816.96</v>
      </c>
      <c r="O10114">
        <v>81.430000000000007</v>
      </c>
    </row>
    <row r="10115" spans="1:15" x14ac:dyDescent="0.35">
      <c r="A10115" t="s">
        <v>10853</v>
      </c>
      <c r="B10115" t="s">
        <v>194</v>
      </c>
      <c r="C10115" t="s">
        <v>1059</v>
      </c>
      <c r="D10115" t="s">
        <v>323</v>
      </c>
      <c r="E10115" t="s">
        <v>308</v>
      </c>
      <c r="F10115" t="s">
        <v>10879</v>
      </c>
      <c r="G10115">
        <v>5</v>
      </c>
      <c r="H10115">
        <v>389.85</v>
      </c>
      <c r="I10115">
        <v>77.97</v>
      </c>
      <c r="J10115">
        <v>0</v>
      </c>
      <c r="K10115">
        <v>0</v>
      </c>
      <c r="L10115">
        <v>0</v>
      </c>
      <c r="M10115">
        <v>5</v>
      </c>
      <c r="N10115">
        <v>389.85</v>
      </c>
      <c r="O10115">
        <v>77.97</v>
      </c>
    </row>
    <row r="10116" spans="1:15" x14ac:dyDescent="0.35">
      <c r="A10116" t="s">
        <v>10853</v>
      </c>
      <c r="B10116" t="s">
        <v>194</v>
      </c>
      <c r="C10116" t="s">
        <v>1059</v>
      </c>
      <c r="D10116" t="s">
        <v>323</v>
      </c>
      <c r="E10116" t="s">
        <v>310</v>
      </c>
      <c r="F10116" t="s">
        <v>10880</v>
      </c>
      <c r="G10116">
        <v>23709</v>
      </c>
      <c r="H10116">
        <v>2490349.1</v>
      </c>
      <c r="I10116">
        <v>105.04</v>
      </c>
      <c r="J10116">
        <v>0</v>
      </c>
      <c r="K10116">
        <v>0</v>
      </c>
      <c r="L10116">
        <v>0</v>
      </c>
      <c r="M10116">
        <v>23709</v>
      </c>
      <c r="N10116">
        <v>2490349.1</v>
      </c>
      <c r="O10116">
        <v>105.04</v>
      </c>
    </row>
    <row r="10117" spans="1:15" x14ac:dyDescent="0.35">
      <c r="A10117" t="s">
        <v>10853</v>
      </c>
      <c r="B10117" t="s">
        <v>194</v>
      </c>
      <c r="C10117" t="s">
        <v>1059</v>
      </c>
      <c r="D10117" t="s">
        <v>323</v>
      </c>
      <c r="E10117" t="s">
        <v>312</v>
      </c>
      <c r="F10117" t="s">
        <v>10881</v>
      </c>
      <c r="G10117">
        <v>23704</v>
      </c>
      <c r="H10117">
        <v>2489959.25</v>
      </c>
      <c r="I10117">
        <v>105.04</v>
      </c>
      <c r="J10117">
        <v>0</v>
      </c>
      <c r="K10117">
        <v>0</v>
      </c>
      <c r="L10117">
        <v>0</v>
      </c>
      <c r="M10117">
        <v>23704</v>
      </c>
      <c r="N10117">
        <v>2489959.25</v>
      </c>
      <c r="O10117">
        <v>105.04</v>
      </c>
    </row>
    <row r="10118" spans="1:15" x14ac:dyDescent="0.35">
      <c r="A10118" t="s">
        <v>10853</v>
      </c>
      <c r="B10118" t="s">
        <v>194</v>
      </c>
      <c r="C10118" t="s">
        <v>1059</v>
      </c>
      <c r="D10118" t="s">
        <v>334</v>
      </c>
      <c r="E10118" t="s">
        <v>312</v>
      </c>
      <c r="F10118" t="s">
        <v>10882</v>
      </c>
      <c r="G10118">
        <v>26575</v>
      </c>
      <c r="H10118">
        <v>2835812.9499999997</v>
      </c>
      <c r="I10118">
        <v>108.11</v>
      </c>
      <c r="J10118">
        <v>0</v>
      </c>
      <c r="K10118">
        <v>0</v>
      </c>
      <c r="L10118">
        <v>0</v>
      </c>
      <c r="M10118">
        <v>26575</v>
      </c>
      <c r="N10118">
        <v>2835812.9499999997</v>
      </c>
      <c r="O10118">
        <v>108.11</v>
      </c>
    </row>
    <row r="10119" spans="1:15" x14ac:dyDescent="0.35">
      <c r="A10119" t="s">
        <v>10853</v>
      </c>
      <c r="B10119" t="s">
        <v>194</v>
      </c>
      <c r="C10119" t="s">
        <v>1059</v>
      </c>
      <c r="D10119" t="s">
        <v>334</v>
      </c>
      <c r="E10119" t="s">
        <v>308</v>
      </c>
      <c r="F10119" t="s">
        <v>10883</v>
      </c>
      <c r="G10119">
        <v>5</v>
      </c>
      <c r="H10119">
        <v>389.85</v>
      </c>
      <c r="I10119">
        <v>77.97</v>
      </c>
      <c r="J10119">
        <v>0</v>
      </c>
      <c r="K10119">
        <v>0</v>
      </c>
      <c r="L10119">
        <v>0</v>
      </c>
      <c r="M10119">
        <v>5</v>
      </c>
      <c r="N10119">
        <v>389.85</v>
      </c>
      <c r="O10119">
        <v>77.97</v>
      </c>
    </row>
    <row r="10120" spans="1:15" x14ac:dyDescent="0.35">
      <c r="A10120" t="s">
        <v>10853</v>
      </c>
      <c r="B10120" t="s">
        <v>194</v>
      </c>
      <c r="C10120" t="s">
        <v>1059</v>
      </c>
      <c r="D10120" t="s">
        <v>337</v>
      </c>
      <c r="E10120" t="s">
        <v>337</v>
      </c>
      <c r="F10120" t="s">
        <v>10884</v>
      </c>
      <c r="G10120">
        <v>513</v>
      </c>
      <c r="J10120">
        <v>0</v>
      </c>
      <c r="M10120">
        <v>513</v>
      </c>
    </row>
    <row r="10121" spans="1:15" x14ac:dyDescent="0.35">
      <c r="A10121" t="s">
        <v>10853</v>
      </c>
      <c r="B10121" t="s">
        <v>194</v>
      </c>
      <c r="C10121" t="s">
        <v>1059</v>
      </c>
      <c r="D10121" t="s">
        <v>339</v>
      </c>
      <c r="E10121" t="s">
        <v>294</v>
      </c>
      <c r="F10121" t="s">
        <v>10885</v>
      </c>
      <c r="G10121">
        <v>679</v>
      </c>
      <c r="H10121">
        <v>85551.56</v>
      </c>
      <c r="I10121">
        <v>126</v>
      </c>
      <c r="J10121">
        <v>0</v>
      </c>
      <c r="K10121">
        <v>0</v>
      </c>
      <c r="L10121">
        <v>0</v>
      </c>
      <c r="M10121">
        <v>679</v>
      </c>
      <c r="N10121">
        <v>85551.56</v>
      </c>
      <c r="O10121">
        <v>126</v>
      </c>
    </row>
    <row r="10122" spans="1:15" x14ac:dyDescent="0.35">
      <c r="A10122" t="s">
        <v>10853</v>
      </c>
      <c r="B10122" t="s">
        <v>194</v>
      </c>
      <c r="C10122" t="s">
        <v>1059</v>
      </c>
      <c r="D10122" t="s">
        <v>339</v>
      </c>
      <c r="E10122" t="s">
        <v>296</v>
      </c>
      <c r="F10122" t="s">
        <v>10886</v>
      </c>
      <c r="G10122">
        <v>238</v>
      </c>
      <c r="H10122">
        <v>32008.439999999995</v>
      </c>
      <c r="I10122">
        <v>134.49</v>
      </c>
      <c r="J10122">
        <v>0</v>
      </c>
      <c r="K10122">
        <v>0</v>
      </c>
      <c r="L10122">
        <v>0</v>
      </c>
      <c r="M10122">
        <v>238</v>
      </c>
      <c r="N10122">
        <v>32008.439999999995</v>
      </c>
      <c r="O10122">
        <v>134.49</v>
      </c>
    </row>
    <row r="10123" spans="1:15" x14ac:dyDescent="0.35">
      <c r="A10123" t="s">
        <v>10853</v>
      </c>
      <c r="B10123" t="s">
        <v>194</v>
      </c>
      <c r="C10123" t="s">
        <v>1059</v>
      </c>
      <c r="D10123" t="s">
        <v>339</v>
      </c>
      <c r="E10123" t="s">
        <v>298</v>
      </c>
      <c r="F10123" t="s">
        <v>10887</v>
      </c>
      <c r="G10123">
        <v>5</v>
      </c>
      <c r="H10123">
        <v>617.19999999999993</v>
      </c>
      <c r="I10123">
        <v>123.44</v>
      </c>
      <c r="J10123">
        <v>0</v>
      </c>
      <c r="K10123">
        <v>0</v>
      </c>
      <c r="L10123">
        <v>0</v>
      </c>
      <c r="M10123">
        <v>5</v>
      </c>
      <c r="N10123">
        <v>617.19999999999993</v>
      </c>
      <c r="O10123">
        <v>123.44</v>
      </c>
    </row>
    <row r="10124" spans="1:15" x14ac:dyDescent="0.35">
      <c r="A10124" t="s">
        <v>10853</v>
      </c>
      <c r="B10124" t="s">
        <v>194</v>
      </c>
      <c r="C10124" t="s">
        <v>1059</v>
      </c>
      <c r="D10124" t="s">
        <v>339</v>
      </c>
      <c r="E10124" t="s">
        <v>300</v>
      </c>
      <c r="F10124" t="s">
        <v>10888</v>
      </c>
      <c r="G10124">
        <v>0</v>
      </c>
      <c r="H10124">
        <v>0</v>
      </c>
      <c r="I10124">
        <v>0</v>
      </c>
      <c r="J10124">
        <v>0</v>
      </c>
      <c r="K10124">
        <v>0</v>
      </c>
      <c r="L10124">
        <v>0</v>
      </c>
      <c r="M10124">
        <v>0</v>
      </c>
      <c r="N10124">
        <v>0</v>
      </c>
      <c r="O10124">
        <v>0</v>
      </c>
    </row>
    <row r="10125" spans="1:15" x14ac:dyDescent="0.35">
      <c r="A10125" t="s">
        <v>10853</v>
      </c>
      <c r="B10125" t="s">
        <v>194</v>
      </c>
      <c r="C10125" t="s">
        <v>1059</v>
      </c>
      <c r="D10125" t="s">
        <v>339</v>
      </c>
      <c r="E10125" t="s">
        <v>306</v>
      </c>
      <c r="F10125" t="s">
        <v>10889</v>
      </c>
      <c r="G10125">
        <v>18</v>
      </c>
      <c r="H10125">
        <v>1279.2599999999998</v>
      </c>
      <c r="I10125">
        <v>71.069999999999993</v>
      </c>
      <c r="J10125">
        <v>0</v>
      </c>
      <c r="K10125">
        <v>0</v>
      </c>
      <c r="L10125">
        <v>0</v>
      </c>
      <c r="M10125">
        <v>18</v>
      </c>
      <c r="N10125">
        <v>1279.2599999999998</v>
      </c>
      <c r="O10125">
        <v>71.069999999999993</v>
      </c>
    </row>
    <row r="10126" spans="1:15" x14ac:dyDescent="0.35">
      <c r="A10126" t="s">
        <v>10853</v>
      </c>
      <c r="B10126" t="s">
        <v>194</v>
      </c>
      <c r="C10126" t="s">
        <v>1059</v>
      </c>
      <c r="D10126" t="s">
        <v>339</v>
      </c>
      <c r="E10126" t="s">
        <v>308</v>
      </c>
      <c r="F10126" t="s">
        <v>10890</v>
      </c>
      <c r="G10126">
        <v>15</v>
      </c>
      <c r="H10126">
        <v>2549.02</v>
      </c>
      <c r="I10126">
        <v>169.93</v>
      </c>
      <c r="J10126">
        <v>0</v>
      </c>
      <c r="K10126">
        <v>0</v>
      </c>
      <c r="L10126">
        <v>0</v>
      </c>
      <c r="M10126">
        <v>15</v>
      </c>
      <c r="N10126">
        <v>2549.02</v>
      </c>
      <c r="O10126">
        <v>169.93</v>
      </c>
    </row>
    <row r="10127" spans="1:15" x14ac:dyDescent="0.35">
      <c r="A10127" t="s">
        <v>10853</v>
      </c>
      <c r="B10127" t="s">
        <v>194</v>
      </c>
      <c r="C10127" t="s">
        <v>1059</v>
      </c>
      <c r="D10127" t="s">
        <v>339</v>
      </c>
      <c r="E10127" t="s">
        <v>310</v>
      </c>
      <c r="F10127" t="s">
        <v>10891</v>
      </c>
      <c r="G10127">
        <v>955</v>
      </c>
      <c r="H10127">
        <v>122005.48</v>
      </c>
      <c r="I10127">
        <v>127.75</v>
      </c>
      <c r="J10127">
        <v>0</v>
      </c>
      <c r="K10127">
        <v>0</v>
      </c>
      <c r="L10127">
        <v>0</v>
      </c>
      <c r="M10127">
        <v>955</v>
      </c>
      <c r="N10127">
        <v>122005.48</v>
      </c>
      <c r="O10127">
        <v>127.75</v>
      </c>
    </row>
    <row r="10128" spans="1:15" x14ac:dyDescent="0.35">
      <c r="A10128" t="s">
        <v>10853</v>
      </c>
      <c r="B10128" t="s">
        <v>194</v>
      </c>
      <c r="C10128" t="s">
        <v>1059</v>
      </c>
      <c r="D10128" t="s">
        <v>339</v>
      </c>
      <c r="E10128" t="s">
        <v>312</v>
      </c>
      <c r="F10128" t="s">
        <v>10892</v>
      </c>
      <c r="G10128">
        <v>940</v>
      </c>
      <c r="H10128">
        <v>119456.45999999999</v>
      </c>
      <c r="I10128">
        <v>127.08</v>
      </c>
      <c r="J10128">
        <v>0</v>
      </c>
      <c r="K10128">
        <v>0</v>
      </c>
      <c r="L10128">
        <v>0</v>
      </c>
      <c r="M10128">
        <v>940</v>
      </c>
      <c r="N10128">
        <v>119456.45999999999</v>
      </c>
      <c r="O10128">
        <v>127.08</v>
      </c>
    </row>
    <row r="10129" spans="1:15" x14ac:dyDescent="0.35">
      <c r="A10129" t="s">
        <v>10853</v>
      </c>
      <c r="B10129" t="s">
        <v>194</v>
      </c>
      <c r="C10129" t="s">
        <v>1059</v>
      </c>
      <c r="D10129" t="s">
        <v>348</v>
      </c>
      <c r="E10129" t="s">
        <v>349</v>
      </c>
      <c r="F10129" t="s">
        <v>10893</v>
      </c>
      <c r="G10129">
        <v>1293</v>
      </c>
      <c r="H10129">
        <v>171704.56</v>
      </c>
      <c r="I10129">
        <v>140.63</v>
      </c>
      <c r="J10129">
        <v>23</v>
      </c>
      <c r="K10129">
        <v>4170.4399999999996</v>
      </c>
      <c r="L10129">
        <v>181.32</v>
      </c>
      <c r="M10129">
        <v>1316</v>
      </c>
      <c r="N10129">
        <v>175875</v>
      </c>
      <c r="O10129">
        <v>141.38</v>
      </c>
    </row>
    <row r="10130" spans="1:15" x14ac:dyDescent="0.35">
      <c r="A10130" t="s">
        <v>10894</v>
      </c>
      <c r="B10130" t="s">
        <v>219</v>
      </c>
      <c r="C10130" t="s">
        <v>1059</v>
      </c>
      <c r="D10130" t="s">
        <v>293</v>
      </c>
      <c r="E10130" t="s">
        <v>294</v>
      </c>
      <c r="F10130" t="s">
        <v>10895</v>
      </c>
      <c r="G10130">
        <v>188</v>
      </c>
      <c r="H10130">
        <v>21611.81</v>
      </c>
      <c r="I10130">
        <v>114.96</v>
      </c>
      <c r="J10130">
        <v>106</v>
      </c>
      <c r="K10130">
        <v>10644.52</v>
      </c>
      <c r="L10130">
        <v>100.42</v>
      </c>
      <c r="M10130">
        <v>294</v>
      </c>
      <c r="N10130">
        <v>32256.33</v>
      </c>
      <c r="O10130">
        <v>109.72</v>
      </c>
    </row>
    <row r="10131" spans="1:15" x14ac:dyDescent="0.35">
      <c r="A10131" t="s">
        <v>10894</v>
      </c>
      <c r="B10131" t="s">
        <v>219</v>
      </c>
      <c r="C10131" t="s">
        <v>1059</v>
      </c>
      <c r="D10131" t="s">
        <v>293</v>
      </c>
      <c r="E10131" t="s">
        <v>296</v>
      </c>
      <c r="F10131" t="s">
        <v>10896</v>
      </c>
      <c r="G10131">
        <v>621</v>
      </c>
      <c r="H10131">
        <v>86966.98000000001</v>
      </c>
      <c r="I10131">
        <v>140.04</v>
      </c>
      <c r="J10131">
        <v>317</v>
      </c>
      <c r="K10131">
        <v>39491.86</v>
      </c>
      <c r="L10131">
        <v>124.58</v>
      </c>
      <c r="M10131">
        <v>938</v>
      </c>
      <c r="N10131">
        <v>126458.84000000001</v>
      </c>
      <c r="O10131">
        <v>134.82</v>
      </c>
    </row>
    <row r="10132" spans="1:15" x14ac:dyDescent="0.35">
      <c r="A10132" t="s">
        <v>10894</v>
      </c>
      <c r="B10132" t="s">
        <v>219</v>
      </c>
      <c r="C10132" t="s">
        <v>1059</v>
      </c>
      <c r="D10132" t="s">
        <v>293</v>
      </c>
      <c r="E10132" t="s">
        <v>298</v>
      </c>
      <c r="F10132" t="s">
        <v>10897</v>
      </c>
      <c r="G10132">
        <v>191</v>
      </c>
      <c r="H10132">
        <v>31192.22</v>
      </c>
      <c r="I10132">
        <v>163.31</v>
      </c>
      <c r="J10132">
        <v>66</v>
      </c>
      <c r="K10132">
        <v>9285.5399999999991</v>
      </c>
      <c r="L10132">
        <v>140.69</v>
      </c>
      <c r="M10132">
        <v>257</v>
      </c>
      <c r="N10132">
        <v>40477.760000000002</v>
      </c>
      <c r="O10132">
        <v>157.5</v>
      </c>
    </row>
    <row r="10133" spans="1:15" x14ac:dyDescent="0.35">
      <c r="A10133" t="s">
        <v>10894</v>
      </c>
      <c r="B10133" t="s">
        <v>219</v>
      </c>
      <c r="C10133" t="s">
        <v>1059</v>
      </c>
      <c r="D10133" t="s">
        <v>293</v>
      </c>
      <c r="E10133" t="s">
        <v>300</v>
      </c>
      <c r="F10133" t="s">
        <v>10898</v>
      </c>
      <c r="G10133">
        <v>61</v>
      </c>
      <c r="H10133">
        <v>11578.62</v>
      </c>
      <c r="I10133">
        <v>189.81</v>
      </c>
      <c r="J10133">
        <v>39</v>
      </c>
      <c r="K10133">
        <v>6969.2999999999993</v>
      </c>
      <c r="L10133">
        <v>178.7</v>
      </c>
      <c r="M10133">
        <v>100</v>
      </c>
      <c r="N10133">
        <v>18547.919999999998</v>
      </c>
      <c r="O10133">
        <v>185.48</v>
      </c>
    </row>
    <row r="10134" spans="1:15" x14ac:dyDescent="0.35">
      <c r="A10134" t="s">
        <v>10894</v>
      </c>
      <c r="B10134" t="s">
        <v>219</v>
      </c>
      <c r="C10134" t="s">
        <v>1059</v>
      </c>
      <c r="D10134" t="s">
        <v>293</v>
      </c>
      <c r="E10134" t="s">
        <v>302</v>
      </c>
      <c r="F10134" t="s">
        <v>10899</v>
      </c>
      <c r="G10134">
        <v>1</v>
      </c>
      <c r="H10134">
        <v>172.6</v>
      </c>
      <c r="I10134">
        <v>172.6</v>
      </c>
      <c r="J10134">
        <v>2</v>
      </c>
      <c r="K10134">
        <v>371.78</v>
      </c>
      <c r="L10134">
        <v>185.89</v>
      </c>
      <c r="M10134">
        <v>3</v>
      </c>
      <c r="N10134">
        <v>544.38</v>
      </c>
      <c r="O10134">
        <v>181.46</v>
      </c>
    </row>
    <row r="10135" spans="1:15" x14ac:dyDescent="0.35">
      <c r="A10135" t="s">
        <v>10894</v>
      </c>
      <c r="B10135" t="s">
        <v>219</v>
      </c>
      <c r="C10135" t="s">
        <v>1059</v>
      </c>
      <c r="D10135" t="s">
        <v>293</v>
      </c>
      <c r="E10135" t="s">
        <v>304</v>
      </c>
      <c r="F10135" t="s">
        <v>10900</v>
      </c>
      <c r="G10135">
        <v>0</v>
      </c>
      <c r="H10135">
        <v>0</v>
      </c>
      <c r="I10135">
        <v>0</v>
      </c>
      <c r="J10135">
        <v>0</v>
      </c>
      <c r="K10135">
        <v>0</v>
      </c>
      <c r="L10135">
        <v>0</v>
      </c>
      <c r="M10135">
        <v>0</v>
      </c>
      <c r="N10135">
        <v>0</v>
      </c>
      <c r="O10135">
        <v>0</v>
      </c>
    </row>
    <row r="10136" spans="1:15" x14ac:dyDescent="0.35">
      <c r="A10136" t="s">
        <v>10894</v>
      </c>
      <c r="B10136" t="s">
        <v>219</v>
      </c>
      <c r="C10136" t="s">
        <v>1059</v>
      </c>
      <c r="D10136" t="s">
        <v>293</v>
      </c>
      <c r="E10136" t="s">
        <v>306</v>
      </c>
      <c r="F10136" t="s">
        <v>10901</v>
      </c>
      <c r="G10136">
        <v>36</v>
      </c>
      <c r="H10136">
        <v>5645.16</v>
      </c>
      <c r="I10136">
        <v>156.81</v>
      </c>
      <c r="J10136">
        <v>11</v>
      </c>
      <c r="K10136">
        <v>1087.79</v>
      </c>
      <c r="L10136">
        <v>98.89</v>
      </c>
      <c r="M10136">
        <v>47</v>
      </c>
      <c r="N10136">
        <v>6732.95</v>
      </c>
      <c r="O10136">
        <v>143.25</v>
      </c>
    </row>
    <row r="10137" spans="1:15" x14ac:dyDescent="0.35">
      <c r="A10137" t="s">
        <v>10894</v>
      </c>
      <c r="B10137" t="s">
        <v>219</v>
      </c>
      <c r="C10137" t="s">
        <v>1059</v>
      </c>
      <c r="D10137" t="s">
        <v>293</v>
      </c>
      <c r="E10137" t="s">
        <v>308</v>
      </c>
      <c r="F10137" t="s">
        <v>10902</v>
      </c>
      <c r="G10137">
        <v>27</v>
      </c>
      <c r="H10137">
        <v>3922.0199999999995</v>
      </c>
      <c r="I10137">
        <v>145.26</v>
      </c>
      <c r="J10137">
        <v>0</v>
      </c>
      <c r="K10137">
        <v>0</v>
      </c>
      <c r="L10137">
        <v>0</v>
      </c>
      <c r="M10137">
        <v>27</v>
      </c>
      <c r="N10137">
        <v>3922.0199999999995</v>
      </c>
      <c r="O10137">
        <v>145.26</v>
      </c>
    </row>
    <row r="10138" spans="1:15" x14ac:dyDescent="0.35">
      <c r="A10138" t="s">
        <v>10894</v>
      </c>
      <c r="B10138" t="s">
        <v>219</v>
      </c>
      <c r="C10138" t="s">
        <v>1059</v>
      </c>
      <c r="D10138" t="s">
        <v>293</v>
      </c>
      <c r="E10138" t="s">
        <v>310</v>
      </c>
      <c r="F10138" t="s">
        <v>10903</v>
      </c>
      <c r="G10138">
        <v>1125</v>
      </c>
      <c r="H10138">
        <v>161089.41</v>
      </c>
      <c r="I10138">
        <v>143.19</v>
      </c>
      <c r="J10138">
        <v>541</v>
      </c>
      <c r="K10138">
        <v>67850.789999999994</v>
      </c>
      <c r="L10138">
        <v>125.42</v>
      </c>
      <c r="M10138">
        <v>1666</v>
      </c>
      <c r="N10138">
        <v>228940.2</v>
      </c>
      <c r="O10138">
        <v>137.41999999999999</v>
      </c>
    </row>
    <row r="10139" spans="1:15" x14ac:dyDescent="0.35">
      <c r="A10139" t="s">
        <v>10894</v>
      </c>
      <c r="B10139" t="s">
        <v>219</v>
      </c>
      <c r="C10139" t="s">
        <v>1059</v>
      </c>
      <c r="D10139" t="s">
        <v>293</v>
      </c>
      <c r="E10139" t="s">
        <v>312</v>
      </c>
      <c r="F10139" t="s">
        <v>10904</v>
      </c>
      <c r="G10139">
        <v>1098</v>
      </c>
      <c r="H10139">
        <v>157167.39000000001</v>
      </c>
      <c r="I10139">
        <v>143.13999999999999</v>
      </c>
      <c r="J10139">
        <v>541</v>
      </c>
      <c r="K10139">
        <v>67850.789999999994</v>
      </c>
      <c r="L10139">
        <v>125.42</v>
      </c>
      <c r="M10139">
        <v>1639</v>
      </c>
      <c r="N10139">
        <v>225018.18</v>
      </c>
      <c r="O10139">
        <v>137.29</v>
      </c>
    </row>
    <row r="10140" spans="1:15" x14ac:dyDescent="0.35">
      <c r="A10140" t="s">
        <v>10894</v>
      </c>
      <c r="B10140" t="s">
        <v>219</v>
      </c>
      <c r="C10140" t="s">
        <v>1059</v>
      </c>
      <c r="D10140" t="s">
        <v>314</v>
      </c>
      <c r="E10140" t="s">
        <v>294</v>
      </c>
      <c r="F10140" t="s">
        <v>10905</v>
      </c>
      <c r="G10140">
        <v>68</v>
      </c>
      <c r="H10140">
        <v>13833.44</v>
      </c>
      <c r="I10140">
        <v>203.43</v>
      </c>
      <c r="J10140">
        <v>21</v>
      </c>
      <c r="K10140">
        <v>3970.89</v>
      </c>
      <c r="L10140">
        <v>189.09</v>
      </c>
      <c r="M10140">
        <v>89</v>
      </c>
      <c r="N10140">
        <v>17804.330000000002</v>
      </c>
      <c r="O10140">
        <v>200.05</v>
      </c>
    </row>
    <row r="10141" spans="1:15" x14ac:dyDescent="0.35">
      <c r="A10141" t="s">
        <v>10894</v>
      </c>
      <c r="B10141" t="s">
        <v>219</v>
      </c>
      <c r="C10141" t="s">
        <v>1059</v>
      </c>
      <c r="D10141" t="s">
        <v>314</v>
      </c>
      <c r="E10141" t="s">
        <v>296</v>
      </c>
      <c r="F10141" t="s">
        <v>10906</v>
      </c>
      <c r="G10141">
        <v>10</v>
      </c>
      <c r="H10141">
        <v>2217.1999999999998</v>
      </c>
      <c r="I10141">
        <v>221.72</v>
      </c>
      <c r="J10141">
        <v>0</v>
      </c>
      <c r="K10141">
        <v>0</v>
      </c>
      <c r="L10141">
        <v>0</v>
      </c>
      <c r="M10141">
        <v>10</v>
      </c>
      <c r="N10141">
        <v>2217.1999999999998</v>
      </c>
      <c r="O10141">
        <v>221.72</v>
      </c>
    </row>
    <row r="10142" spans="1:15" x14ac:dyDescent="0.35">
      <c r="A10142" t="s">
        <v>10894</v>
      </c>
      <c r="B10142" t="s">
        <v>219</v>
      </c>
      <c r="C10142" t="s">
        <v>1059</v>
      </c>
      <c r="D10142" t="s">
        <v>314</v>
      </c>
      <c r="E10142" t="s">
        <v>298</v>
      </c>
      <c r="F10142" t="s">
        <v>10907</v>
      </c>
      <c r="G10142">
        <v>0</v>
      </c>
      <c r="H10142">
        <v>0</v>
      </c>
      <c r="I10142">
        <v>0</v>
      </c>
      <c r="J10142">
        <v>0</v>
      </c>
      <c r="K10142">
        <v>0</v>
      </c>
      <c r="L10142">
        <v>0</v>
      </c>
      <c r="M10142">
        <v>0</v>
      </c>
      <c r="N10142">
        <v>0</v>
      </c>
      <c r="O10142">
        <v>0</v>
      </c>
    </row>
    <row r="10143" spans="1:15" x14ac:dyDescent="0.35">
      <c r="A10143" t="s">
        <v>10894</v>
      </c>
      <c r="B10143" t="s">
        <v>219</v>
      </c>
      <c r="C10143" t="s">
        <v>1059</v>
      </c>
      <c r="D10143" t="s">
        <v>314</v>
      </c>
      <c r="E10143" t="s">
        <v>300</v>
      </c>
      <c r="F10143" t="s">
        <v>10908</v>
      </c>
      <c r="G10143">
        <v>0</v>
      </c>
      <c r="H10143">
        <v>0</v>
      </c>
      <c r="I10143">
        <v>0</v>
      </c>
      <c r="J10143">
        <v>0</v>
      </c>
      <c r="K10143">
        <v>0</v>
      </c>
      <c r="L10143">
        <v>0</v>
      </c>
      <c r="M10143">
        <v>0</v>
      </c>
      <c r="N10143">
        <v>0</v>
      </c>
      <c r="O10143">
        <v>0</v>
      </c>
    </row>
    <row r="10144" spans="1:15" x14ac:dyDescent="0.35">
      <c r="A10144" t="s">
        <v>10894</v>
      </c>
      <c r="B10144" t="s">
        <v>219</v>
      </c>
      <c r="C10144" t="s">
        <v>1059</v>
      </c>
      <c r="D10144" t="s">
        <v>314</v>
      </c>
      <c r="E10144" t="s">
        <v>306</v>
      </c>
      <c r="F10144" t="s">
        <v>10909</v>
      </c>
      <c r="G10144">
        <v>0</v>
      </c>
      <c r="H10144">
        <v>0</v>
      </c>
      <c r="I10144">
        <v>0</v>
      </c>
      <c r="J10144">
        <v>0</v>
      </c>
      <c r="K10144">
        <v>0</v>
      </c>
      <c r="L10144">
        <v>0</v>
      </c>
      <c r="M10144">
        <v>0</v>
      </c>
      <c r="N10144">
        <v>0</v>
      </c>
      <c r="O10144">
        <v>0</v>
      </c>
    </row>
    <row r="10145" spans="1:15" x14ac:dyDescent="0.35">
      <c r="A10145" t="s">
        <v>10894</v>
      </c>
      <c r="B10145" t="s">
        <v>219</v>
      </c>
      <c r="C10145" t="s">
        <v>1059</v>
      </c>
      <c r="D10145" t="s">
        <v>314</v>
      </c>
      <c r="E10145" t="s">
        <v>308</v>
      </c>
      <c r="F10145" t="s">
        <v>10910</v>
      </c>
      <c r="G10145">
        <v>0</v>
      </c>
      <c r="H10145">
        <v>0</v>
      </c>
      <c r="I10145">
        <v>0</v>
      </c>
      <c r="J10145">
        <v>0</v>
      </c>
      <c r="K10145">
        <v>0</v>
      </c>
      <c r="L10145">
        <v>0</v>
      </c>
      <c r="M10145">
        <v>0</v>
      </c>
      <c r="N10145">
        <v>0</v>
      </c>
      <c r="O10145">
        <v>0</v>
      </c>
    </row>
    <row r="10146" spans="1:15" x14ac:dyDescent="0.35">
      <c r="A10146" t="s">
        <v>10894</v>
      </c>
      <c r="B10146" t="s">
        <v>219</v>
      </c>
      <c r="C10146" t="s">
        <v>1059</v>
      </c>
      <c r="D10146" t="s">
        <v>314</v>
      </c>
      <c r="E10146" t="s">
        <v>312</v>
      </c>
      <c r="F10146" t="s">
        <v>10911</v>
      </c>
      <c r="G10146">
        <v>78</v>
      </c>
      <c r="H10146">
        <v>16050.64</v>
      </c>
      <c r="I10146">
        <v>205.78</v>
      </c>
      <c r="J10146">
        <v>21</v>
      </c>
      <c r="K10146">
        <v>3970.89</v>
      </c>
      <c r="L10146">
        <v>189.09</v>
      </c>
      <c r="M10146">
        <v>99</v>
      </c>
      <c r="N10146">
        <v>20021.53</v>
      </c>
      <c r="O10146">
        <v>202.24</v>
      </c>
    </row>
    <row r="10147" spans="1:15" x14ac:dyDescent="0.35">
      <c r="A10147" t="s">
        <v>10894</v>
      </c>
      <c r="B10147" t="s">
        <v>219</v>
      </c>
      <c r="C10147" t="s">
        <v>1059</v>
      </c>
      <c r="D10147" t="s">
        <v>314</v>
      </c>
      <c r="E10147" t="s">
        <v>310</v>
      </c>
      <c r="F10147" t="s">
        <v>10912</v>
      </c>
      <c r="G10147">
        <v>78</v>
      </c>
      <c r="H10147">
        <v>16050.64</v>
      </c>
      <c r="I10147">
        <v>205.78</v>
      </c>
      <c r="J10147">
        <v>21</v>
      </c>
      <c r="K10147">
        <v>3970.89</v>
      </c>
      <c r="L10147">
        <v>189.09</v>
      </c>
      <c r="M10147">
        <v>99</v>
      </c>
      <c r="N10147">
        <v>20021.53</v>
      </c>
      <c r="O10147">
        <v>202.24</v>
      </c>
    </row>
    <row r="10148" spans="1:15" x14ac:dyDescent="0.35">
      <c r="A10148" t="s">
        <v>10894</v>
      </c>
      <c r="B10148" t="s">
        <v>219</v>
      </c>
      <c r="C10148" t="s">
        <v>1059</v>
      </c>
      <c r="D10148" t="s">
        <v>323</v>
      </c>
      <c r="E10148" t="s">
        <v>294</v>
      </c>
      <c r="F10148" t="s">
        <v>10913</v>
      </c>
      <c r="G10148">
        <v>1096</v>
      </c>
      <c r="H10148">
        <v>104981.51</v>
      </c>
      <c r="I10148">
        <v>95.79</v>
      </c>
      <c r="J10148">
        <v>5405</v>
      </c>
      <c r="K10148">
        <v>450939.15</v>
      </c>
      <c r="L10148">
        <v>83.43</v>
      </c>
      <c r="M10148">
        <v>6501</v>
      </c>
      <c r="N10148">
        <v>555920.66</v>
      </c>
      <c r="O10148">
        <v>85.51</v>
      </c>
    </row>
    <row r="10149" spans="1:15" x14ac:dyDescent="0.35">
      <c r="A10149" t="s">
        <v>10894</v>
      </c>
      <c r="B10149" t="s">
        <v>219</v>
      </c>
      <c r="C10149" t="s">
        <v>1059</v>
      </c>
      <c r="D10149" t="s">
        <v>323</v>
      </c>
      <c r="E10149" t="s">
        <v>296</v>
      </c>
      <c r="F10149" t="s">
        <v>10914</v>
      </c>
      <c r="G10149">
        <v>1933</v>
      </c>
      <c r="H10149">
        <v>210908.99000000005</v>
      </c>
      <c r="I10149">
        <v>109.11</v>
      </c>
      <c r="J10149">
        <v>6772</v>
      </c>
      <c r="K10149">
        <v>632166.19999999995</v>
      </c>
      <c r="L10149">
        <v>93.35</v>
      </c>
      <c r="M10149">
        <v>8705</v>
      </c>
      <c r="N10149">
        <v>843075.19</v>
      </c>
      <c r="O10149">
        <v>96.85</v>
      </c>
    </row>
    <row r="10150" spans="1:15" x14ac:dyDescent="0.35">
      <c r="A10150" t="s">
        <v>10894</v>
      </c>
      <c r="B10150" t="s">
        <v>219</v>
      </c>
      <c r="C10150" t="s">
        <v>1059</v>
      </c>
      <c r="D10150" t="s">
        <v>323</v>
      </c>
      <c r="E10150" t="s">
        <v>298</v>
      </c>
      <c r="F10150" t="s">
        <v>10915</v>
      </c>
      <c r="G10150">
        <v>804</v>
      </c>
      <c r="H10150">
        <v>96841.73</v>
      </c>
      <c r="I10150">
        <v>120.45</v>
      </c>
      <c r="J10150">
        <v>7791</v>
      </c>
      <c r="K10150">
        <v>827793.75</v>
      </c>
      <c r="L10150">
        <v>106.25</v>
      </c>
      <c r="M10150">
        <v>8595</v>
      </c>
      <c r="N10150">
        <v>924635.48</v>
      </c>
      <c r="O10150">
        <v>107.58</v>
      </c>
    </row>
    <row r="10151" spans="1:15" x14ac:dyDescent="0.35">
      <c r="A10151" t="s">
        <v>10894</v>
      </c>
      <c r="B10151" t="s">
        <v>219</v>
      </c>
      <c r="C10151" t="s">
        <v>1059</v>
      </c>
      <c r="D10151" t="s">
        <v>323</v>
      </c>
      <c r="E10151" t="s">
        <v>300</v>
      </c>
      <c r="F10151" t="s">
        <v>10916</v>
      </c>
      <c r="G10151">
        <v>144</v>
      </c>
      <c r="H10151">
        <v>19134.050000000003</v>
      </c>
      <c r="I10151">
        <v>132.88</v>
      </c>
      <c r="J10151">
        <v>541</v>
      </c>
      <c r="K10151">
        <v>63150.93</v>
      </c>
      <c r="L10151">
        <v>116.73</v>
      </c>
      <c r="M10151">
        <v>685</v>
      </c>
      <c r="N10151">
        <v>82284.98000000001</v>
      </c>
      <c r="O10151">
        <v>120.12</v>
      </c>
    </row>
    <row r="10152" spans="1:15" x14ac:dyDescent="0.35">
      <c r="A10152" t="s">
        <v>10894</v>
      </c>
      <c r="B10152" t="s">
        <v>219</v>
      </c>
      <c r="C10152" t="s">
        <v>1059</v>
      </c>
      <c r="D10152" t="s">
        <v>323</v>
      </c>
      <c r="E10152" t="s">
        <v>302</v>
      </c>
      <c r="F10152" t="s">
        <v>10917</v>
      </c>
      <c r="G10152">
        <v>13</v>
      </c>
      <c r="H10152">
        <v>1867.03</v>
      </c>
      <c r="I10152">
        <v>143.62</v>
      </c>
      <c r="J10152">
        <v>27</v>
      </c>
      <c r="K10152">
        <v>3365.0099999999998</v>
      </c>
      <c r="L10152">
        <v>124.63</v>
      </c>
      <c r="M10152">
        <v>40</v>
      </c>
      <c r="N10152">
        <v>5232.04</v>
      </c>
      <c r="O10152">
        <v>130.80000000000001</v>
      </c>
    </row>
    <row r="10153" spans="1:15" x14ac:dyDescent="0.35">
      <c r="A10153" t="s">
        <v>10894</v>
      </c>
      <c r="B10153" t="s">
        <v>219</v>
      </c>
      <c r="C10153" t="s">
        <v>1059</v>
      </c>
      <c r="D10153" t="s">
        <v>323</v>
      </c>
      <c r="E10153" t="s">
        <v>304</v>
      </c>
      <c r="F10153" t="s">
        <v>10918</v>
      </c>
      <c r="G10153">
        <v>1</v>
      </c>
      <c r="H10153">
        <v>152.84</v>
      </c>
      <c r="I10153">
        <v>152.84</v>
      </c>
      <c r="J10153">
        <v>15</v>
      </c>
      <c r="K10153">
        <v>1946.1000000000001</v>
      </c>
      <c r="L10153">
        <v>129.74</v>
      </c>
      <c r="M10153">
        <v>16</v>
      </c>
      <c r="N10153">
        <v>2098.94</v>
      </c>
      <c r="O10153">
        <v>131.18</v>
      </c>
    </row>
    <row r="10154" spans="1:15" x14ac:dyDescent="0.35">
      <c r="A10154" t="s">
        <v>10894</v>
      </c>
      <c r="B10154" t="s">
        <v>219</v>
      </c>
      <c r="C10154" t="s">
        <v>1059</v>
      </c>
      <c r="D10154" t="s">
        <v>323</v>
      </c>
      <c r="E10154" t="s">
        <v>306</v>
      </c>
      <c r="F10154" t="s">
        <v>10919</v>
      </c>
      <c r="G10154">
        <v>77</v>
      </c>
      <c r="H10154">
        <v>6421.51</v>
      </c>
      <c r="I10154">
        <v>83.4</v>
      </c>
      <c r="J10154">
        <v>134</v>
      </c>
      <c r="K10154">
        <v>10117</v>
      </c>
      <c r="L10154">
        <v>75.5</v>
      </c>
      <c r="M10154">
        <v>211</v>
      </c>
      <c r="N10154">
        <v>16538.510000000002</v>
      </c>
      <c r="O10154">
        <v>78.38</v>
      </c>
    </row>
    <row r="10155" spans="1:15" x14ac:dyDescent="0.35">
      <c r="A10155" t="s">
        <v>10894</v>
      </c>
      <c r="B10155" t="s">
        <v>219</v>
      </c>
      <c r="C10155" t="s">
        <v>1059</v>
      </c>
      <c r="D10155" t="s">
        <v>323</v>
      </c>
      <c r="E10155" t="s">
        <v>308</v>
      </c>
      <c r="F10155" t="s">
        <v>10920</v>
      </c>
      <c r="G10155">
        <v>7</v>
      </c>
      <c r="H10155">
        <v>546.91</v>
      </c>
      <c r="I10155">
        <v>78.13</v>
      </c>
      <c r="J10155">
        <v>0</v>
      </c>
      <c r="K10155">
        <v>0</v>
      </c>
      <c r="L10155">
        <v>0</v>
      </c>
      <c r="M10155">
        <v>7</v>
      </c>
      <c r="N10155">
        <v>546.91</v>
      </c>
      <c r="O10155">
        <v>78.13</v>
      </c>
    </row>
    <row r="10156" spans="1:15" x14ac:dyDescent="0.35">
      <c r="A10156" t="s">
        <v>10894</v>
      </c>
      <c r="B10156" t="s">
        <v>219</v>
      </c>
      <c r="C10156" t="s">
        <v>1059</v>
      </c>
      <c r="D10156" t="s">
        <v>323</v>
      </c>
      <c r="E10156" t="s">
        <v>310</v>
      </c>
      <c r="F10156" t="s">
        <v>10921</v>
      </c>
      <c r="G10156">
        <v>4075</v>
      </c>
      <c r="H10156">
        <v>440854.57000000007</v>
      </c>
      <c r="I10156">
        <v>108.19</v>
      </c>
      <c r="J10156">
        <v>20685</v>
      </c>
      <c r="K10156">
        <v>1989478.1400000001</v>
      </c>
      <c r="L10156">
        <v>96.18</v>
      </c>
      <c r="M10156">
        <v>24760</v>
      </c>
      <c r="N10156">
        <v>2430332.71</v>
      </c>
      <c r="O10156">
        <v>98.16</v>
      </c>
    </row>
    <row r="10157" spans="1:15" x14ac:dyDescent="0.35">
      <c r="A10157" t="s">
        <v>10894</v>
      </c>
      <c r="B10157" t="s">
        <v>219</v>
      </c>
      <c r="C10157" t="s">
        <v>1059</v>
      </c>
      <c r="D10157" t="s">
        <v>323</v>
      </c>
      <c r="E10157" t="s">
        <v>312</v>
      </c>
      <c r="F10157" t="s">
        <v>10922</v>
      </c>
      <c r="G10157">
        <v>4068</v>
      </c>
      <c r="H10157">
        <v>440307.66000000009</v>
      </c>
      <c r="I10157">
        <v>108.24</v>
      </c>
      <c r="J10157">
        <v>20685</v>
      </c>
      <c r="K10157">
        <v>1989478.1400000001</v>
      </c>
      <c r="L10157">
        <v>96.18</v>
      </c>
      <c r="M10157">
        <v>24753</v>
      </c>
      <c r="N10157">
        <v>2429785.8000000003</v>
      </c>
      <c r="O10157">
        <v>98.16</v>
      </c>
    </row>
    <row r="10158" spans="1:15" x14ac:dyDescent="0.35">
      <c r="A10158" t="s">
        <v>10894</v>
      </c>
      <c r="B10158" t="s">
        <v>219</v>
      </c>
      <c r="C10158" t="s">
        <v>1059</v>
      </c>
      <c r="D10158" t="s">
        <v>334</v>
      </c>
      <c r="E10158" t="s">
        <v>312</v>
      </c>
      <c r="F10158" t="s">
        <v>10923</v>
      </c>
      <c r="G10158">
        <v>5313</v>
      </c>
      <c r="H10158">
        <v>597475.05000000016</v>
      </c>
      <c r="I10158">
        <v>115.66</v>
      </c>
      <c r="J10158">
        <v>21226</v>
      </c>
      <c r="K10158">
        <v>2057328.93</v>
      </c>
      <c r="L10158">
        <v>96.92</v>
      </c>
      <c r="M10158">
        <v>26539</v>
      </c>
      <c r="N10158">
        <v>2654803.98</v>
      </c>
      <c r="O10158">
        <v>100.59</v>
      </c>
    </row>
    <row r="10159" spans="1:15" x14ac:dyDescent="0.35">
      <c r="A10159" t="s">
        <v>10894</v>
      </c>
      <c r="B10159" t="s">
        <v>219</v>
      </c>
      <c r="C10159" t="s">
        <v>1059</v>
      </c>
      <c r="D10159" t="s">
        <v>334</v>
      </c>
      <c r="E10159" t="s">
        <v>308</v>
      </c>
      <c r="F10159" t="s">
        <v>10924</v>
      </c>
      <c r="G10159">
        <v>146</v>
      </c>
      <c r="H10159">
        <v>4468.9299999999994</v>
      </c>
      <c r="I10159">
        <v>131.44</v>
      </c>
      <c r="J10159">
        <v>0</v>
      </c>
      <c r="K10159">
        <v>0</v>
      </c>
      <c r="L10159">
        <v>0</v>
      </c>
      <c r="M10159">
        <v>146</v>
      </c>
      <c r="N10159">
        <v>4468.9299999999994</v>
      </c>
      <c r="O10159">
        <v>131.44</v>
      </c>
    </row>
    <row r="10160" spans="1:15" x14ac:dyDescent="0.35">
      <c r="A10160" t="s">
        <v>10894</v>
      </c>
      <c r="B10160" t="s">
        <v>219</v>
      </c>
      <c r="C10160" t="s">
        <v>1059</v>
      </c>
      <c r="D10160" t="s">
        <v>337</v>
      </c>
      <c r="E10160" t="s">
        <v>337</v>
      </c>
      <c r="F10160" t="s">
        <v>10925</v>
      </c>
      <c r="G10160">
        <v>342</v>
      </c>
      <c r="J10160">
        <v>55</v>
      </c>
      <c r="M10160">
        <v>397</v>
      </c>
    </row>
    <row r="10161" spans="1:15" x14ac:dyDescent="0.35">
      <c r="A10161" t="s">
        <v>10894</v>
      </c>
      <c r="B10161" t="s">
        <v>219</v>
      </c>
      <c r="C10161" t="s">
        <v>1059</v>
      </c>
      <c r="D10161" t="s">
        <v>339</v>
      </c>
      <c r="E10161" t="s">
        <v>294</v>
      </c>
      <c r="F10161" t="s">
        <v>10926</v>
      </c>
      <c r="G10161">
        <v>1219</v>
      </c>
      <c r="H10161">
        <v>153827.21000000002</v>
      </c>
      <c r="I10161">
        <v>126.19</v>
      </c>
      <c r="J10161">
        <v>0</v>
      </c>
      <c r="K10161">
        <v>0</v>
      </c>
      <c r="L10161">
        <v>0</v>
      </c>
      <c r="M10161">
        <v>1219</v>
      </c>
      <c r="N10161">
        <v>153827.21000000002</v>
      </c>
      <c r="O10161">
        <v>126.19</v>
      </c>
    </row>
    <row r="10162" spans="1:15" x14ac:dyDescent="0.35">
      <c r="A10162" t="s">
        <v>10894</v>
      </c>
      <c r="B10162" t="s">
        <v>219</v>
      </c>
      <c r="C10162" t="s">
        <v>1059</v>
      </c>
      <c r="D10162" t="s">
        <v>339</v>
      </c>
      <c r="E10162" t="s">
        <v>296</v>
      </c>
      <c r="F10162" t="s">
        <v>10927</v>
      </c>
      <c r="G10162">
        <v>195</v>
      </c>
      <c r="H10162">
        <v>24762.080000000002</v>
      </c>
      <c r="I10162">
        <v>126.99</v>
      </c>
      <c r="J10162">
        <v>0</v>
      </c>
      <c r="K10162">
        <v>0</v>
      </c>
      <c r="L10162">
        <v>0</v>
      </c>
      <c r="M10162">
        <v>195</v>
      </c>
      <c r="N10162">
        <v>24762.080000000002</v>
      </c>
      <c r="O10162">
        <v>126.99</v>
      </c>
    </row>
    <row r="10163" spans="1:15" x14ac:dyDescent="0.35">
      <c r="A10163" t="s">
        <v>10894</v>
      </c>
      <c r="B10163" t="s">
        <v>219</v>
      </c>
      <c r="C10163" t="s">
        <v>1059</v>
      </c>
      <c r="D10163" t="s">
        <v>339</v>
      </c>
      <c r="E10163" t="s">
        <v>298</v>
      </c>
      <c r="F10163" t="s">
        <v>10928</v>
      </c>
      <c r="G10163">
        <v>6</v>
      </c>
      <c r="H10163">
        <v>786.3599999999999</v>
      </c>
      <c r="I10163">
        <v>131.06</v>
      </c>
      <c r="J10163">
        <v>0</v>
      </c>
      <c r="K10163">
        <v>0</v>
      </c>
      <c r="L10163">
        <v>0</v>
      </c>
      <c r="M10163">
        <v>6</v>
      </c>
      <c r="N10163">
        <v>786.3599999999999</v>
      </c>
      <c r="O10163">
        <v>131.06</v>
      </c>
    </row>
    <row r="10164" spans="1:15" x14ac:dyDescent="0.35">
      <c r="A10164" t="s">
        <v>10894</v>
      </c>
      <c r="B10164" t="s">
        <v>219</v>
      </c>
      <c r="C10164" t="s">
        <v>1059</v>
      </c>
      <c r="D10164" t="s">
        <v>339</v>
      </c>
      <c r="E10164" t="s">
        <v>300</v>
      </c>
      <c r="F10164" t="s">
        <v>10929</v>
      </c>
      <c r="G10164">
        <v>0</v>
      </c>
      <c r="H10164">
        <v>0</v>
      </c>
      <c r="I10164">
        <v>0</v>
      </c>
      <c r="J10164">
        <v>0</v>
      </c>
      <c r="K10164">
        <v>0</v>
      </c>
      <c r="L10164">
        <v>0</v>
      </c>
      <c r="M10164">
        <v>0</v>
      </c>
      <c r="N10164">
        <v>0</v>
      </c>
      <c r="O10164">
        <v>0</v>
      </c>
    </row>
    <row r="10165" spans="1:15" x14ac:dyDescent="0.35">
      <c r="A10165" t="s">
        <v>10894</v>
      </c>
      <c r="B10165" t="s">
        <v>219</v>
      </c>
      <c r="C10165" t="s">
        <v>1059</v>
      </c>
      <c r="D10165" t="s">
        <v>339</v>
      </c>
      <c r="E10165" t="s">
        <v>306</v>
      </c>
      <c r="F10165" t="s">
        <v>10930</v>
      </c>
      <c r="G10165">
        <v>53</v>
      </c>
      <c r="H10165">
        <v>4841.3099999999995</v>
      </c>
      <c r="I10165">
        <v>91.35</v>
      </c>
      <c r="J10165">
        <v>0</v>
      </c>
      <c r="K10165">
        <v>0</v>
      </c>
      <c r="L10165">
        <v>0</v>
      </c>
      <c r="M10165">
        <v>53</v>
      </c>
      <c r="N10165">
        <v>4841.3099999999995</v>
      </c>
      <c r="O10165">
        <v>91.35</v>
      </c>
    </row>
    <row r="10166" spans="1:15" x14ac:dyDescent="0.35">
      <c r="A10166" t="s">
        <v>10894</v>
      </c>
      <c r="B10166" t="s">
        <v>219</v>
      </c>
      <c r="C10166" t="s">
        <v>1059</v>
      </c>
      <c r="D10166" t="s">
        <v>339</v>
      </c>
      <c r="E10166" t="s">
        <v>308</v>
      </c>
      <c r="F10166" t="s">
        <v>10931</v>
      </c>
      <c r="G10166">
        <v>37</v>
      </c>
      <c r="H10166">
        <v>6691.09</v>
      </c>
      <c r="I10166">
        <v>180.84</v>
      </c>
      <c r="J10166">
        <v>0</v>
      </c>
      <c r="K10166">
        <v>0</v>
      </c>
      <c r="L10166">
        <v>0</v>
      </c>
      <c r="M10166">
        <v>37</v>
      </c>
      <c r="N10166">
        <v>6691.09</v>
      </c>
      <c r="O10166">
        <v>180.84</v>
      </c>
    </row>
    <row r="10167" spans="1:15" x14ac:dyDescent="0.35">
      <c r="A10167" t="s">
        <v>10894</v>
      </c>
      <c r="B10167" t="s">
        <v>219</v>
      </c>
      <c r="C10167" t="s">
        <v>1059</v>
      </c>
      <c r="D10167" t="s">
        <v>339</v>
      </c>
      <c r="E10167" t="s">
        <v>310</v>
      </c>
      <c r="F10167" t="s">
        <v>10932</v>
      </c>
      <c r="G10167">
        <v>1510</v>
      </c>
      <c r="H10167">
        <v>190908.05000000002</v>
      </c>
      <c r="I10167">
        <v>126.43</v>
      </c>
      <c r="J10167">
        <v>0</v>
      </c>
      <c r="K10167">
        <v>0</v>
      </c>
      <c r="L10167">
        <v>0</v>
      </c>
      <c r="M10167">
        <v>1510</v>
      </c>
      <c r="N10167">
        <v>190908.05000000002</v>
      </c>
      <c r="O10167">
        <v>126.43</v>
      </c>
    </row>
    <row r="10168" spans="1:15" x14ac:dyDescent="0.35">
      <c r="A10168" t="s">
        <v>10894</v>
      </c>
      <c r="B10168" t="s">
        <v>219</v>
      </c>
      <c r="C10168" t="s">
        <v>1059</v>
      </c>
      <c r="D10168" t="s">
        <v>339</v>
      </c>
      <c r="E10168" t="s">
        <v>312</v>
      </c>
      <c r="F10168" t="s">
        <v>10933</v>
      </c>
      <c r="G10168">
        <v>1473</v>
      </c>
      <c r="H10168">
        <v>184216.96000000002</v>
      </c>
      <c r="I10168">
        <v>125.06</v>
      </c>
      <c r="J10168">
        <v>0</v>
      </c>
      <c r="K10168">
        <v>0</v>
      </c>
      <c r="L10168">
        <v>0</v>
      </c>
      <c r="M10168">
        <v>1473</v>
      </c>
      <c r="N10168">
        <v>184216.96000000002</v>
      </c>
      <c r="O10168">
        <v>125.06</v>
      </c>
    </row>
    <row r="10169" spans="1:15" x14ac:dyDescent="0.35">
      <c r="A10169" t="s">
        <v>10894</v>
      </c>
      <c r="B10169" t="s">
        <v>219</v>
      </c>
      <c r="C10169" t="s">
        <v>1059</v>
      </c>
      <c r="D10169" t="s">
        <v>348</v>
      </c>
      <c r="E10169" t="s">
        <v>349</v>
      </c>
      <c r="F10169" t="s">
        <v>10934</v>
      </c>
      <c r="G10169">
        <v>1719</v>
      </c>
      <c r="H10169">
        <v>206958.69000000003</v>
      </c>
      <c r="I10169">
        <v>130.33000000000001</v>
      </c>
      <c r="J10169">
        <v>21</v>
      </c>
      <c r="K10169">
        <v>3970.89</v>
      </c>
      <c r="L10169">
        <v>189.09</v>
      </c>
      <c r="M10169">
        <v>1740</v>
      </c>
      <c r="N10169">
        <v>210929.58000000005</v>
      </c>
      <c r="O10169">
        <v>131.09</v>
      </c>
    </row>
    <row r="10170" spans="1:15" x14ac:dyDescent="0.35">
      <c r="A10170" t="s">
        <v>10935</v>
      </c>
      <c r="B10170" t="s">
        <v>10936</v>
      </c>
      <c r="C10170" t="s">
        <v>688</v>
      </c>
      <c r="D10170" t="s">
        <v>293</v>
      </c>
      <c r="E10170" t="s">
        <v>294</v>
      </c>
      <c r="F10170" t="s">
        <v>10937</v>
      </c>
      <c r="G10170">
        <v>142</v>
      </c>
      <c r="H10170">
        <v>15324.9</v>
      </c>
      <c r="I10170">
        <v>107.92</v>
      </c>
      <c r="J10170">
        <v>0</v>
      </c>
      <c r="K10170">
        <v>0</v>
      </c>
      <c r="L10170">
        <v>0</v>
      </c>
      <c r="M10170">
        <v>142</v>
      </c>
      <c r="N10170">
        <v>15324.9</v>
      </c>
      <c r="O10170">
        <v>107.92</v>
      </c>
    </row>
    <row r="10171" spans="1:15" x14ac:dyDescent="0.35">
      <c r="A10171" t="s">
        <v>10935</v>
      </c>
      <c r="B10171" t="s">
        <v>10936</v>
      </c>
      <c r="C10171" t="s">
        <v>688</v>
      </c>
      <c r="D10171" t="s">
        <v>293</v>
      </c>
      <c r="E10171" t="s">
        <v>296</v>
      </c>
      <c r="F10171" t="s">
        <v>10938</v>
      </c>
      <c r="G10171">
        <v>1403</v>
      </c>
      <c r="H10171">
        <v>165458.99000000002</v>
      </c>
      <c r="I10171">
        <v>117.93</v>
      </c>
      <c r="J10171">
        <v>138</v>
      </c>
      <c r="K10171">
        <v>15719.58</v>
      </c>
      <c r="L10171">
        <v>113.91</v>
      </c>
      <c r="M10171">
        <v>1541</v>
      </c>
      <c r="N10171">
        <v>181178.57</v>
      </c>
      <c r="O10171">
        <v>117.57</v>
      </c>
    </row>
    <row r="10172" spans="1:15" x14ac:dyDescent="0.35">
      <c r="A10172" t="s">
        <v>10935</v>
      </c>
      <c r="B10172" t="s">
        <v>10936</v>
      </c>
      <c r="C10172" t="s">
        <v>688</v>
      </c>
      <c r="D10172" t="s">
        <v>293</v>
      </c>
      <c r="E10172" t="s">
        <v>298</v>
      </c>
      <c r="F10172" t="s">
        <v>10939</v>
      </c>
      <c r="G10172">
        <v>2197</v>
      </c>
      <c r="H10172">
        <v>288131.76</v>
      </c>
      <c r="I10172">
        <v>131.15</v>
      </c>
      <c r="J10172">
        <v>121</v>
      </c>
      <c r="K10172">
        <v>16337.420000000002</v>
      </c>
      <c r="L10172">
        <v>135.02000000000001</v>
      </c>
      <c r="M10172">
        <v>2318</v>
      </c>
      <c r="N10172">
        <v>304469.18</v>
      </c>
      <c r="O10172">
        <v>131.35</v>
      </c>
    </row>
    <row r="10173" spans="1:15" x14ac:dyDescent="0.35">
      <c r="A10173" t="s">
        <v>10935</v>
      </c>
      <c r="B10173" t="s">
        <v>10936</v>
      </c>
      <c r="C10173" t="s">
        <v>688</v>
      </c>
      <c r="D10173" t="s">
        <v>293</v>
      </c>
      <c r="E10173" t="s">
        <v>300</v>
      </c>
      <c r="F10173" t="s">
        <v>10940</v>
      </c>
      <c r="G10173">
        <v>159</v>
      </c>
      <c r="H10173">
        <v>25194.940000000002</v>
      </c>
      <c r="I10173">
        <v>158.46</v>
      </c>
      <c r="J10173">
        <v>7</v>
      </c>
      <c r="K10173">
        <v>1325.1000000000001</v>
      </c>
      <c r="L10173">
        <v>189.3</v>
      </c>
      <c r="M10173">
        <v>166</v>
      </c>
      <c r="N10173">
        <v>26520.04</v>
      </c>
      <c r="O10173">
        <v>159.76</v>
      </c>
    </row>
    <row r="10174" spans="1:15" x14ac:dyDescent="0.35">
      <c r="A10174" t="s">
        <v>10935</v>
      </c>
      <c r="B10174" t="s">
        <v>10936</v>
      </c>
      <c r="C10174" t="s">
        <v>688</v>
      </c>
      <c r="D10174" t="s">
        <v>293</v>
      </c>
      <c r="E10174" t="s">
        <v>302</v>
      </c>
      <c r="F10174" t="s">
        <v>10941</v>
      </c>
      <c r="G10174">
        <v>14</v>
      </c>
      <c r="H10174">
        <v>2224.6899999999996</v>
      </c>
      <c r="I10174">
        <v>158.91</v>
      </c>
      <c r="J10174">
        <v>0</v>
      </c>
      <c r="K10174">
        <v>0</v>
      </c>
      <c r="L10174">
        <v>0</v>
      </c>
      <c r="M10174">
        <v>14</v>
      </c>
      <c r="N10174">
        <v>2224.6899999999996</v>
      </c>
      <c r="O10174">
        <v>158.91</v>
      </c>
    </row>
    <row r="10175" spans="1:15" x14ac:dyDescent="0.35">
      <c r="A10175" t="s">
        <v>10935</v>
      </c>
      <c r="B10175" t="s">
        <v>10936</v>
      </c>
      <c r="C10175" t="s">
        <v>688</v>
      </c>
      <c r="D10175" t="s">
        <v>293</v>
      </c>
      <c r="E10175" t="s">
        <v>304</v>
      </c>
      <c r="F10175" t="s">
        <v>10942</v>
      </c>
      <c r="G10175">
        <v>7</v>
      </c>
      <c r="H10175">
        <v>1133</v>
      </c>
      <c r="I10175">
        <v>161.86000000000001</v>
      </c>
      <c r="J10175">
        <v>0</v>
      </c>
      <c r="K10175">
        <v>0</v>
      </c>
      <c r="L10175">
        <v>0</v>
      </c>
      <c r="M10175">
        <v>7</v>
      </c>
      <c r="N10175">
        <v>1133</v>
      </c>
      <c r="O10175">
        <v>161.86000000000001</v>
      </c>
    </row>
    <row r="10176" spans="1:15" x14ac:dyDescent="0.35">
      <c r="A10176" t="s">
        <v>10935</v>
      </c>
      <c r="B10176" t="s">
        <v>10936</v>
      </c>
      <c r="C10176" t="s">
        <v>688</v>
      </c>
      <c r="D10176" t="s">
        <v>293</v>
      </c>
      <c r="E10176" t="s">
        <v>306</v>
      </c>
      <c r="F10176" t="s">
        <v>10943</v>
      </c>
      <c r="G10176">
        <v>0</v>
      </c>
      <c r="H10176">
        <v>0</v>
      </c>
      <c r="I10176">
        <v>0</v>
      </c>
      <c r="J10176">
        <v>0</v>
      </c>
      <c r="K10176">
        <v>0</v>
      </c>
      <c r="L10176">
        <v>0</v>
      </c>
      <c r="M10176">
        <v>0</v>
      </c>
      <c r="N10176">
        <v>0</v>
      </c>
      <c r="O10176">
        <v>0</v>
      </c>
    </row>
    <row r="10177" spans="1:15" x14ac:dyDescent="0.35">
      <c r="A10177" t="s">
        <v>10935</v>
      </c>
      <c r="B10177" t="s">
        <v>10936</v>
      </c>
      <c r="C10177" t="s">
        <v>688</v>
      </c>
      <c r="D10177" t="s">
        <v>293</v>
      </c>
      <c r="E10177" t="s">
        <v>308</v>
      </c>
      <c r="F10177" t="s">
        <v>10944</v>
      </c>
      <c r="G10177">
        <v>0</v>
      </c>
      <c r="H10177">
        <v>0</v>
      </c>
      <c r="I10177">
        <v>0</v>
      </c>
      <c r="J10177">
        <v>0</v>
      </c>
      <c r="K10177">
        <v>0</v>
      </c>
      <c r="L10177">
        <v>0</v>
      </c>
      <c r="M10177">
        <v>0</v>
      </c>
      <c r="N10177">
        <v>0</v>
      </c>
      <c r="O10177">
        <v>0</v>
      </c>
    </row>
    <row r="10178" spans="1:15" x14ac:dyDescent="0.35">
      <c r="A10178" t="s">
        <v>10935</v>
      </c>
      <c r="B10178" t="s">
        <v>10936</v>
      </c>
      <c r="C10178" t="s">
        <v>688</v>
      </c>
      <c r="D10178" t="s">
        <v>293</v>
      </c>
      <c r="E10178" t="s">
        <v>310</v>
      </c>
      <c r="F10178" t="s">
        <v>10945</v>
      </c>
      <c r="G10178">
        <v>3922</v>
      </c>
      <c r="H10178">
        <v>497468.28</v>
      </c>
      <c r="I10178">
        <v>126.84</v>
      </c>
      <c r="J10178">
        <v>266</v>
      </c>
      <c r="K10178">
        <v>33382.1</v>
      </c>
      <c r="L10178">
        <v>125.5</v>
      </c>
      <c r="M10178">
        <v>4188</v>
      </c>
      <c r="N10178">
        <v>530850.38</v>
      </c>
      <c r="O10178">
        <v>126.76</v>
      </c>
    </row>
    <row r="10179" spans="1:15" x14ac:dyDescent="0.35">
      <c r="A10179" t="s">
        <v>10935</v>
      </c>
      <c r="B10179" t="s">
        <v>10936</v>
      </c>
      <c r="C10179" t="s">
        <v>688</v>
      </c>
      <c r="D10179" t="s">
        <v>293</v>
      </c>
      <c r="E10179" t="s">
        <v>312</v>
      </c>
      <c r="F10179" t="s">
        <v>10946</v>
      </c>
      <c r="G10179">
        <v>3922</v>
      </c>
      <c r="H10179">
        <v>497468.28</v>
      </c>
      <c r="I10179">
        <v>126.84</v>
      </c>
      <c r="J10179">
        <v>266</v>
      </c>
      <c r="K10179">
        <v>33382.1</v>
      </c>
      <c r="L10179">
        <v>125.5</v>
      </c>
      <c r="M10179">
        <v>4188</v>
      </c>
      <c r="N10179">
        <v>530850.38</v>
      </c>
      <c r="O10179">
        <v>126.76</v>
      </c>
    </row>
    <row r="10180" spans="1:15" x14ac:dyDescent="0.35">
      <c r="A10180" t="s">
        <v>10935</v>
      </c>
      <c r="B10180" t="s">
        <v>10936</v>
      </c>
      <c r="C10180" t="s">
        <v>688</v>
      </c>
      <c r="D10180" t="s">
        <v>314</v>
      </c>
      <c r="E10180" t="s">
        <v>294</v>
      </c>
      <c r="F10180" t="s">
        <v>10947</v>
      </c>
      <c r="G10180">
        <v>79</v>
      </c>
      <c r="H10180">
        <v>12486.689999999999</v>
      </c>
      <c r="I10180">
        <v>158.06</v>
      </c>
      <c r="J10180">
        <v>0</v>
      </c>
      <c r="K10180">
        <v>0</v>
      </c>
      <c r="L10180">
        <v>0</v>
      </c>
      <c r="M10180">
        <v>79</v>
      </c>
      <c r="N10180">
        <v>12486.689999999999</v>
      </c>
      <c r="O10180">
        <v>158.06</v>
      </c>
    </row>
    <row r="10181" spans="1:15" x14ac:dyDescent="0.35">
      <c r="A10181" t="s">
        <v>10935</v>
      </c>
      <c r="B10181" t="s">
        <v>10936</v>
      </c>
      <c r="C10181" t="s">
        <v>688</v>
      </c>
      <c r="D10181" t="s">
        <v>314</v>
      </c>
      <c r="E10181" t="s">
        <v>296</v>
      </c>
      <c r="F10181" t="s">
        <v>10948</v>
      </c>
      <c r="G10181">
        <v>47</v>
      </c>
      <c r="H10181">
        <v>8106.91</v>
      </c>
      <c r="I10181">
        <v>172.49</v>
      </c>
      <c r="J10181">
        <v>0</v>
      </c>
      <c r="K10181">
        <v>0</v>
      </c>
      <c r="L10181">
        <v>0</v>
      </c>
      <c r="M10181">
        <v>47</v>
      </c>
      <c r="N10181">
        <v>8106.91</v>
      </c>
      <c r="O10181">
        <v>172.49</v>
      </c>
    </row>
    <row r="10182" spans="1:15" x14ac:dyDescent="0.35">
      <c r="A10182" t="s">
        <v>10935</v>
      </c>
      <c r="B10182" t="s">
        <v>10936</v>
      </c>
      <c r="C10182" t="s">
        <v>688</v>
      </c>
      <c r="D10182" t="s">
        <v>314</v>
      </c>
      <c r="E10182" t="s">
        <v>298</v>
      </c>
      <c r="F10182" t="s">
        <v>10949</v>
      </c>
      <c r="G10182">
        <v>0</v>
      </c>
      <c r="H10182">
        <v>0</v>
      </c>
      <c r="I10182">
        <v>0</v>
      </c>
      <c r="J10182">
        <v>0</v>
      </c>
      <c r="K10182">
        <v>0</v>
      </c>
      <c r="L10182">
        <v>0</v>
      </c>
      <c r="M10182">
        <v>0</v>
      </c>
      <c r="N10182">
        <v>0</v>
      </c>
      <c r="O10182">
        <v>0</v>
      </c>
    </row>
    <row r="10183" spans="1:15" x14ac:dyDescent="0.35">
      <c r="A10183" t="s">
        <v>10935</v>
      </c>
      <c r="B10183" t="s">
        <v>10936</v>
      </c>
      <c r="C10183" t="s">
        <v>688</v>
      </c>
      <c r="D10183" t="s">
        <v>314</v>
      </c>
      <c r="E10183" t="s">
        <v>300</v>
      </c>
      <c r="F10183" t="s">
        <v>10950</v>
      </c>
      <c r="G10183">
        <v>0</v>
      </c>
      <c r="H10183">
        <v>0</v>
      </c>
      <c r="I10183">
        <v>0</v>
      </c>
      <c r="J10183">
        <v>0</v>
      </c>
      <c r="K10183">
        <v>0</v>
      </c>
      <c r="L10183">
        <v>0</v>
      </c>
      <c r="M10183">
        <v>0</v>
      </c>
      <c r="N10183">
        <v>0</v>
      </c>
      <c r="O10183">
        <v>0</v>
      </c>
    </row>
    <row r="10184" spans="1:15" x14ac:dyDescent="0.35">
      <c r="A10184" t="s">
        <v>10935</v>
      </c>
      <c r="B10184" t="s">
        <v>10936</v>
      </c>
      <c r="C10184" t="s">
        <v>688</v>
      </c>
      <c r="D10184" t="s">
        <v>314</v>
      </c>
      <c r="E10184" t="s">
        <v>306</v>
      </c>
      <c r="F10184" t="s">
        <v>10951</v>
      </c>
      <c r="G10184">
        <v>0</v>
      </c>
      <c r="H10184">
        <v>0</v>
      </c>
      <c r="I10184">
        <v>0</v>
      </c>
      <c r="J10184">
        <v>0</v>
      </c>
      <c r="K10184">
        <v>0</v>
      </c>
      <c r="L10184">
        <v>0</v>
      </c>
      <c r="M10184">
        <v>0</v>
      </c>
      <c r="N10184">
        <v>0</v>
      </c>
      <c r="O10184">
        <v>0</v>
      </c>
    </row>
    <row r="10185" spans="1:15" x14ac:dyDescent="0.35">
      <c r="A10185" t="s">
        <v>10935</v>
      </c>
      <c r="B10185" t="s">
        <v>10936</v>
      </c>
      <c r="C10185" t="s">
        <v>688</v>
      </c>
      <c r="D10185" t="s">
        <v>314</v>
      </c>
      <c r="E10185" t="s">
        <v>308</v>
      </c>
      <c r="F10185" t="s">
        <v>10952</v>
      </c>
      <c r="G10185">
        <v>0</v>
      </c>
      <c r="H10185">
        <v>0</v>
      </c>
      <c r="I10185">
        <v>0</v>
      </c>
      <c r="J10185">
        <v>0</v>
      </c>
      <c r="K10185">
        <v>0</v>
      </c>
      <c r="L10185">
        <v>0</v>
      </c>
      <c r="M10185">
        <v>0</v>
      </c>
      <c r="N10185">
        <v>0</v>
      </c>
      <c r="O10185">
        <v>0</v>
      </c>
    </row>
    <row r="10186" spans="1:15" x14ac:dyDescent="0.35">
      <c r="A10186" t="s">
        <v>10935</v>
      </c>
      <c r="B10186" t="s">
        <v>10936</v>
      </c>
      <c r="C10186" t="s">
        <v>688</v>
      </c>
      <c r="D10186" t="s">
        <v>314</v>
      </c>
      <c r="E10186" t="s">
        <v>312</v>
      </c>
      <c r="F10186" t="s">
        <v>10953</v>
      </c>
      <c r="G10186">
        <v>126</v>
      </c>
      <c r="H10186">
        <v>20593.599999999999</v>
      </c>
      <c r="I10186">
        <v>163.44</v>
      </c>
      <c r="J10186">
        <v>0</v>
      </c>
      <c r="K10186">
        <v>0</v>
      </c>
      <c r="L10186">
        <v>0</v>
      </c>
      <c r="M10186">
        <v>126</v>
      </c>
      <c r="N10186">
        <v>20593.599999999999</v>
      </c>
      <c r="O10186">
        <v>163.44</v>
      </c>
    </row>
    <row r="10187" spans="1:15" x14ac:dyDescent="0.35">
      <c r="A10187" t="s">
        <v>10935</v>
      </c>
      <c r="B10187" t="s">
        <v>10936</v>
      </c>
      <c r="C10187" t="s">
        <v>688</v>
      </c>
      <c r="D10187" t="s">
        <v>314</v>
      </c>
      <c r="E10187" t="s">
        <v>310</v>
      </c>
      <c r="F10187" t="s">
        <v>10954</v>
      </c>
      <c r="G10187">
        <v>126</v>
      </c>
      <c r="H10187">
        <v>20593.599999999999</v>
      </c>
      <c r="I10187">
        <v>163.44</v>
      </c>
      <c r="J10187">
        <v>0</v>
      </c>
      <c r="K10187">
        <v>0</v>
      </c>
      <c r="L10187">
        <v>0</v>
      </c>
      <c r="M10187">
        <v>126</v>
      </c>
      <c r="N10187">
        <v>20593.599999999999</v>
      </c>
      <c r="O10187">
        <v>163.44</v>
      </c>
    </row>
    <row r="10188" spans="1:15" x14ac:dyDescent="0.35">
      <c r="A10188" t="s">
        <v>10935</v>
      </c>
      <c r="B10188" t="s">
        <v>10936</v>
      </c>
      <c r="C10188" t="s">
        <v>688</v>
      </c>
      <c r="D10188" t="s">
        <v>323</v>
      </c>
      <c r="E10188" t="s">
        <v>294</v>
      </c>
      <c r="F10188" t="s">
        <v>10955</v>
      </c>
      <c r="G10188">
        <v>8992</v>
      </c>
      <c r="H10188">
        <v>768779.25</v>
      </c>
      <c r="I10188">
        <v>85.5</v>
      </c>
      <c r="J10188">
        <v>0</v>
      </c>
      <c r="K10188">
        <v>0</v>
      </c>
      <c r="L10188">
        <v>0</v>
      </c>
      <c r="M10188">
        <v>8992</v>
      </c>
      <c r="N10188">
        <v>768779.25</v>
      </c>
      <c r="O10188">
        <v>85.5</v>
      </c>
    </row>
    <row r="10189" spans="1:15" x14ac:dyDescent="0.35">
      <c r="A10189" t="s">
        <v>10935</v>
      </c>
      <c r="B10189" t="s">
        <v>10936</v>
      </c>
      <c r="C10189" t="s">
        <v>688</v>
      </c>
      <c r="D10189" t="s">
        <v>323</v>
      </c>
      <c r="E10189" t="s">
        <v>296</v>
      </c>
      <c r="F10189" t="s">
        <v>10956</v>
      </c>
      <c r="G10189">
        <v>6464</v>
      </c>
      <c r="H10189">
        <v>627681.02</v>
      </c>
      <c r="I10189">
        <v>97.1</v>
      </c>
      <c r="J10189">
        <v>13</v>
      </c>
      <c r="K10189">
        <v>1209.26</v>
      </c>
      <c r="L10189">
        <v>93.02</v>
      </c>
      <c r="M10189">
        <v>6477</v>
      </c>
      <c r="N10189">
        <v>628890.28</v>
      </c>
      <c r="O10189">
        <v>97.1</v>
      </c>
    </row>
    <row r="10190" spans="1:15" x14ac:dyDescent="0.35">
      <c r="A10190" t="s">
        <v>10935</v>
      </c>
      <c r="B10190" t="s">
        <v>10936</v>
      </c>
      <c r="C10190" t="s">
        <v>688</v>
      </c>
      <c r="D10190" t="s">
        <v>323</v>
      </c>
      <c r="E10190" t="s">
        <v>298</v>
      </c>
      <c r="F10190" t="s">
        <v>10957</v>
      </c>
      <c r="G10190">
        <v>6128</v>
      </c>
      <c r="H10190">
        <v>672240.45000000007</v>
      </c>
      <c r="I10190">
        <v>109.7</v>
      </c>
      <c r="J10190">
        <v>33</v>
      </c>
      <c r="K10190">
        <v>3552.7799999999997</v>
      </c>
      <c r="L10190">
        <v>107.66</v>
      </c>
      <c r="M10190">
        <v>6161</v>
      </c>
      <c r="N10190">
        <v>675793.2300000001</v>
      </c>
      <c r="O10190">
        <v>109.69</v>
      </c>
    </row>
    <row r="10191" spans="1:15" x14ac:dyDescent="0.35">
      <c r="A10191" t="s">
        <v>10935</v>
      </c>
      <c r="B10191" t="s">
        <v>10936</v>
      </c>
      <c r="C10191" t="s">
        <v>688</v>
      </c>
      <c r="D10191" t="s">
        <v>323</v>
      </c>
      <c r="E10191" t="s">
        <v>300</v>
      </c>
      <c r="F10191" t="s">
        <v>10958</v>
      </c>
      <c r="G10191">
        <v>938</v>
      </c>
      <c r="H10191">
        <v>119960.4</v>
      </c>
      <c r="I10191">
        <v>127.89</v>
      </c>
      <c r="J10191">
        <v>31</v>
      </c>
      <c r="K10191">
        <v>3604.37</v>
      </c>
      <c r="L10191">
        <v>116.27</v>
      </c>
      <c r="M10191">
        <v>969</v>
      </c>
      <c r="N10191">
        <v>123564.76999999999</v>
      </c>
      <c r="O10191">
        <v>127.52</v>
      </c>
    </row>
    <row r="10192" spans="1:15" x14ac:dyDescent="0.35">
      <c r="A10192" t="s">
        <v>10935</v>
      </c>
      <c r="B10192" t="s">
        <v>10936</v>
      </c>
      <c r="C10192" t="s">
        <v>688</v>
      </c>
      <c r="D10192" t="s">
        <v>323</v>
      </c>
      <c r="E10192" t="s">
        <v>302</v>
      </c>
      <c r="F10192" t="s">
        <v>10959</v>
      </c>
      <c r="G10192">
        <v>197</v>
      </c>
      <c r="H10192">
        <v>27795.089999999997</v>
      </c>
      <c r="I10192">
        <v>141.09</v>
      </c>
      <c r="J10192">
        <v>13</v>
      </c>
      <c r="K10192">
        <v>1655.42</v>
      </c>
      <c r="L10192">
        <v>127.34</v>
      </c>
      <c r="M10192">
        <v>210</v>
      </c>
      <c r="N10192">
        <v>29450.509999999995</v>
      </c>
      <c r="O10192">
        <v>140.24</v>
      </c>
    </row>
    <row r="10193" spans="1:15" x14ac:dyDescent="0.35">
      <c r="A10193" t="s">
        <v>10935</v>
      </c>
      <c r="B10193" t="s">
        <v>10936</v>
      </c>
      <c r="C10193" t="s">
        <v>688</v>
      </c>
      <c r="D10193" t="s">
        <v>323</v>
      </c>
      <c r="E10193" t="s">
        <v>304</v>
      </c>
      <c r="F10193" t="s">
        <v>10960</v>
      </c>
      <c r="G10193">
        <v>40</v>
      </c>
      <c r="H10193">
        <v>6121.3399999999992</v>
      </c>
      <c r="I10193">
        <v>153.03</v>
      </c>
      <c r="J10193">
        <v>0</v>
      </c>
      <c r="K10193">
        <v>0</v>
      </c>
      <c r="L10193">
        <v>0</v>
      </c>
      <c r="M10193">
        <v>40</v>
      </c>
      <c r="N10193">
        <v>6121.3399999999992</v>
      </c>
      <c r="O10193">
        <v>153.03</v>
      </c>
    </row>
    <row r="10194" spans="1:15" x14ac:dyDescent="0.35">
      <c r="A10194" t="s">
        <v>10935</v>
      </c>
      <c r="B10194" t="s">
        <v>10936</v>
      </c>
      <c r="C10194" t="s">
        <v>688</v>
      </c>
      <c r="D10194" t="s">
        <v>323</v>
      </c>
      <c r="E10194" t="s">
        <v>306</v>
      </c>
      <c r="F10194" t="s">
        <v>10961</v>
      </c>
      <c r="G10194">
        <v>173</v>
      </c>
      <c r="H10194">
        <v>13137.13</v>
      </c>
      <c r="I10194">
        <v>75.94</v>
      </c>
      <c r="J10194">
        <v>0</v>
      </c>
      <c r="K10194">
        <v>0</v>
      </c>
      <c r="L10194">
        <v>0</v>
      </c>
      <c r="M10194">
        <v>173</v>
      </c>
      <c r="N10194">
        <v>13137.13</v>
      </c>
      <c r="O10194">
        <v>75.94</v>
      </c>
    </row>
    <row r="10195" spans="1:15" x14ac:dyDescent="0.35">
      <c r="A10195" t="s">
        <v>10935</v>
      </c>
      <c r="B10195" t="s">
        <v>10936</v>
      </c>
      <c r="C10195" t="s">
        <v>688</v>
      </c>
      <c r="D10195" t="s">
        <v>323</v>
      </c>
      <c r="E10195" t="s">
        <v>308</v>
      </c>
      <c r="F10195" t="s">
        <v>10962</v>
      </c>
      <c r="G10195">
        <v>0</v>
      </c>
      <c r="H10195">
        <v>0</v>
      </c>
      <c r="I10195">
        <v>0</v>
      </c>
      <c r="J10195">
        <v>0</v>
      </c>
      <c r="K10195">
        <v>0</v>
      </c>
      <c r="L10195">
        <v>0</v>
      </c>
      <c r="M10195">
        <v>0</v>
      </c>
      <c r="N10195">
        <v>0</v>
      </c>
      <c r="O10195">
        <v>0</v>
      </c>
    </row>
    <row r="10196" spans="1:15" x14ac:dyDescent="0.35">
      <c r="A10196" t="s">
        <v>10935</v>
      </c>
      <c r="B10196" t="s">
        <v>10936</v>
      </c>
      <c r="C10196" t="s">
        <v>688</v>
      </c>
      <c r="D10196" t="s">
        <v>323</v>
      </c>
      <c r="E10196" t="s">
        <v>310</v>
      </c>
      <c r="F10196" t="s">
        <v>10963</v>
      </c>
      <c r="G10196">
        <v>22932</v>
      </c>
      <c r="H10196">
        <v>2235714.6799999997</v>
      </c>
      <c r="I10196">
        <v>97.49</v>
      </c>
      <c r="J10196">
        <v>90</v>
      </c>
      <c r="K10196">
        <v>10021.83</v>
      </c>
      <c r="L10196">
        <v>111.35</v>
      </c>
      <c r="M10196">
        <v>23022</v>
      </c>
      <c r="N10196">
        <v>2245736.5099999998</v>
      </c>
      <c r="O10196">
        <v>97.55</v>
      </c>
    </row>
    <row r="10197" spans="1:15" x14ac:dyDescent="0.35">
      <c r="A10197" t="s">
        <v>10935</v>
      </c>
      <c r="B10197" t="s">
        <v>10936</v>
      </c>
      <c r="C10197" t="s">
        <v>688</v>
      </c>
      <c r="D10197" t="s">
        <v>323</v>
      </c>
      <c r="E10197" t="s">
        <v>312</v>
      </c>
      <c r="F10197" t="s">
        <v>10964</v>
      </c>
      <c r="G10197">
        <v>22932</v>
      </c>
      <c r="H10197">
        <v>2235714.6799999997</v>
      </c>
      <c r="I10197">
        <v>97.49</v>
      </c>
      <c r="J10197">
        <v>90</v>
      </c>
      <c r="K10197">
        <v>10021.83</v>
      </c>
      <c r="L10197">
        <v>111.35</v>
      </c>
      <c r="M10197">
        <v>23022</v>
      </c>
      <c r="N10197">
        <v>2245736.5099999998</v>
      </c>
      <c r="O10197">
        <v>97.55</v>
      </c>
    </row>
    <row r="10198" spans="1:15" x14ac:dyDescent="0.35">
      <c r="A10198" t="s">
        <v>10935</v>
      </c>
      <c r="B10198" t="s">
        <v>10936</v>
      </c>
      <c r="C10198" t="s">
        <v>688</v>
      </c>
      <c r="D10198" t="s">
        <v>334</v>
      </c>
      <c r="E10198" t="s">
        <v>312</v>
      </c>
      <c r="F10198" t="s">
        <v>10965</v>
      </c>
      <c r="G10198">
        <v>27109</v>
      </c>
      <c r="H10198">
        <v>2733182.9599999995</v>
      </c>
      <c r="I10198">
        <v>101.78</v>
      </c>
      <c r="J10198">
        <v>356</v>
      </c>
      <c r="K10198">
        <v>43403.93</v>
      </c>
      <c r="L10198">
        <v>121.92</v>
      </c>
      <c r="M10198">
        <v>27465</v>
      </c>
      <c r="N10198">
        <v>2776586.8899999997</v>
      </c>
      <c r="O10198">
        <v>102.04</v>
      </c>
    </row>
    <row r="10199" spans="1:15" x14ac:dyDescent="0.35">
      <c r="A10199" t="s">
        <v>10935</v>
      </c>
      <c r="B10199" t="s">
        <v>10936</v>
      </c>
      <c r="C10199" t="s">
        <v>688</v>
      </c>
      <c r="D10199" t="s">
        <v>334</v>
      </c>
      <c r="E10199" t="s">
        <v>308</v>
      </c>
      <c r="F10199" t="s">
        <v>10966</v>
      </c>
      <c r="G10199">
        <v>6</v>
      </c>
      <c r="H10199">
        <v>0</v>
      </c>
      <c r="I10199">
        <v>0</v>
      </c>
      <c r="J10199">
        <v>0</v>
      </c>
      <c r="K10199">
        <v>0</v>
      </c>
      <c r="L10199">
        <v>0</v>
      </c>
      <c r="M10199">
        <v>6</v>
      </c>
      <c r="N10199">
        <v>0</v>
      </c>
      <c r="O10199">
        <v>0</v>
      </c>
    </row>
    <row r="10200" spans="1:15" x14ac:dyDescent="0.35">
      <c r="A10200" t="s">
        <v>10935</v>
      </c>
      <c r="B10200" t="s">
        <v>10936</v>
      </c>
      <c r="C10200" t="s">
        <v>688</v>
      </c>
      <c r="D10200" t="s">
        <v>337</v>
      </c>
      <c r="E10200" t="s">
        <v>337</v>
      </c>
      <c r="F10200" t="s">
        <v>10967</v>
      </c>
      <c r="G10200">
        <v>1005</v>
      </c>
      <c r="J10200">
        <v>0</v>
      </c>
      <c r="M10200">
        <v>1005</v>
      </c>
    </row>
    <row r="10201" spans="1:15" x14ac:dyDescent="0.35">
      <c r="A10201" t="s">
        <v>10935</v>
      </c>
      <c r="B10201" t="s">
        <v>10936</v>
      </c>
      <c r="C10201" t="s">
        <v>688</v>
      </c>
      <c r="D10201" t="s">
        <v>339</v>
      </c>
      <c r="E10201" t="s">
        <v>294</v>
      </c>
      <c r="F10201" t="s">
        <v>10968</v>
      </c>
      <c r="G10201">
        <v>2371</v>
      </c>
      <c r="H10201">
        <v>253075.39</v>
      </c>
      <c r="I10201">
        <v>106.74</v>
      </c>
      <c r="J10201">
        <v>33</v>
      </c>
      <c r="K10201">
        <v>3572.5800000000004</v>
      </c>
      <c r="L10201">
        <v>108.26</v>
      </c>
      <c r="M10201">
        <v>2404</v>
      </c>
      <c r="N10201">
        <v>256647.97</v>
      </c>
      <c r="O10201">
        <v>106.76</v>
      </c>
    </row>
    <row r="10202" spans="1:15" x14ac:dyDescent="0.35">
      <c r="A10202" t="s">
        <v>10935</v>
      </c>
      <c r="B10202" t="s">
        <v>10936</v>
      </c>
      <c r="C10202" t="s">
        <v>688</v>
      </c>
      <c r="D10202" t="s">
        <v>339</v>
      </c>
      <c r="E10202" t="s">
        <v>296</v>
      </c>
      <c r="F10202" t="s">
        <v>10969</v>
      </c>
      <c r="G10202">
        <v>335</v>
      </c>
      <c r="H10202">
        <v>40397.56</v>
      </c>
      <c r="I10202">
        <v>120.59</v>
      </c>
      <c r="J10202">
        <v>36</v>
      </c>
      <c r="K10202">
        <v>3942.36</v>
      </c>
      <c r="L10202">
        <v>109.51</v>
      </c>
      <c r="M10202">
        <v>371</v>
      </c>
      <c r="N10202">
        <v>44339.92</v>
      </c>
      <c r="O10202">
        <v>119.51</v>
      </c>
    </row>
    <row r="10203" spans="1:15" x14ac:dyDescent="0.35">
      <c r="A10203" t="s">
        <v>10935</v>
      </c>
      <c r="B10203" t="s">
        <v>10936</v>
      </c>
      <c r="C10203" t="s">
        <v>688</v>
      </c>
      <c r="D10203" t="s">
        <v>339</v>
      </c>
      <c r="E10203" t="s">
        <v>298</v>
      </c>
      <c r="F10203" t="s">
        <v>10970</v>
      </c>
      <c r="G10203">
        <v>27</v>
      </c>
      <c r="H10203">
        <v>3342.5</v>
      </c>
      <c r="I10203">
        <v>123.8</v>
      </c>
      <c r="J10203">
        <v>0</v>
      </c>
      <c r="K10203">
        <v>0</v>
      </c>
      <c r="L10203">
        <v>0</v>
      </c>
      <c r="M10203">
        <v>27</v>
      </c>
      <c r="N10203">
        <v>3342.5</v>
      </c>
      <c r="O10203">
        <v>123.8</v>
      </c>
    </row>
    <row r="10204" spans="1:15" x14ac:dyDescent="0.35">
      <c r="A10204" t="s">
        <v>10935</v>
      </c>
      <c r="B10204" t="s">
        <v>10936</v>
      </c>
      <c r="C10204" t="s">
        <v>688</v>
      </c>
      <c r="D10204" t="s">
        <v>339</v>
      </c>
      <c r="E10204" t="s">
        <v>300</v>
      </c>
      <c r="F10204" t="s">
        <v>10971</v>
      </c>
      <c r="G10204">
        <v>0</v>
      </c>
      <c r="H10204">
        <v>0</v>
      </c>
      <c r="I10204">
        <v>0</v>
      </c>
      <c r="J10204">
        <v>0</v>
      </c>
      <c r="K10204">
        <v>0</v>
      </c>
      <c r="L10204">
        <v>0</v>
      </c>
      <c r="M10204">
        <v>0</v>
      </c>
      <c r="N10204">
        <v>0</v>
      </c>
      <c r="O10204">
        <v>0</v>
      </c>
    </row>
    <row r="10205" spans="1:15" x14ac:dyDescent="0.35">
      <c r="A10205" t="s">
        <v>10935</v>
      </c>
      <c r="B10205" t="s">
        <v>10936</v>
      </c>
      <c r="C10205" t="s">
        <v>688</v>
      </c>
      <c r="D10205" t="s">
        <v>339</v>
      </c>
      <c r="E10205" t="s">
        <v>306</v>
      </c>
      <c r="F10205" t="s">
        <v>10972</v>
      </c>
      <c r="G10205">
        <v>375</v>
      </c>
      <c r="H10205">
        <v>30655.040000000001</v>
      </c>
      <c r="I10205">
        <v>81.75</v>
      </c>
      <c r="J10205">
        <v>0</v>
      </c>
      <c r="K10205">
        <v>0</v>
      </c>
      <c r="L10205">
        <v>0</v>
      </c>
      <c r="M10205">
        <v>375</v>
      </c>
      <c r="N10205">
        <v>30655.040000000001</v>
      </c>
      <c r="O10205">
        <v>81.75</v>
      </c>
    </row>
    <row r="10206" spans="1:15" x14ac:dyDescent="0.35">
      <c r="A10206" t="s">
        <v>10935</v>
      </c>
      <c r="B10206" t="s">
        <v>10936</v>
      </c>
      <c r="C10206" t="s">
        <v>688</v>
      </c>
      <c r="D10206" t="s">
        <v>339</v>
      </c>
      <c r="E10206" t="s">
        <v>308</v>
      </c>
      <c r="F10206" t="s">
        <v>10973</v>
      </c>
      <c r="G10206">
        <v>410</v>
      </c>
      <c r="H10206">
        <v>70031.47</v>
      </c>
      <c r="I10206">
        <v>170.81</v>
      </c>
      <c r="J10206">
        <v>0</v>
      </c>
      <c r="K10206">
        <v>0</v>
      </c>
      <c r="L10206">
        <v>0</v>
      </c>
      <c r="M10206">
        <v>410</v>
      </c>
      <c r="N10206">
        <v>70031.47</v>
      </c>
      <c r="O10206">
        <v>170.81</v>
      </c>
    </row>
    <row r="10207" spans="1:15" x14ac:dyDescent="0.35">
      <c r="A10207" t="s">
        <v>10935</v>
      </c>
      <c r="B10207" t="s">
        <v>10936</v>
      </c>
      <c r="C10207" t="s">
        <v>688</v>
      </c>
      <c r="D10207" t="s">
        <v>339</v>
      </c>
      <c r="E10207" t="s">
        <v>310</v>
      </c>
      <c r="F10207" t="s">
        <v>10974</v>
      </c>
      <c r="G10207">
        <v>3518</v>
      </c>
      <c r="H10207">
        <v>397501.95999999996</v>
      </c>
      <c r="I10207">
        <v>112.99</v>
      </c>
      <c r="J10207">
        <v>69</v>
      </c>
      <c r="K10207">
        <v>7514.9400000000005</v>
      </c>
      <c r="L10207">
        <v>108.91</v>
      </c>
      <c r="M10207">
        <v>3587</v>
      </c>
      <c r="N10207">
        <v>405016.89999999997</v>
      </c>
      <c r="O10207">
        <v>112.91</v>
      </c>
    </row>
    <row r="10208" spans="1:15" x14ac:dyDescent="0.35">
      <c r="A10208" t="s">
        <v>10935</v>
      </c>
      <c r="B10208" t="s">
        <v>10936</v>
      </c>
      <c r="C10208" t="s">
        <v>688</v>
      </c>
      <c r="D10208" t="s">
        <v>339</v>
      </c>
      <c r="E10208" t="s">
        <v>312</v>
      </c>
      <c r="F10208" t="s">
        <v>10975</v>
      </c>
      <c r="G10208">
        <v>3108</v>
      </c>
      <c r="H10208">
        <v>327470.49</v>
      </c>
      <c r="I10208">
        <v>105.36</v>
      </c>
      <c r="J10208">
        <v>69</v>
      </c>
      <c r="K10208">
        <v>7514.9400000000005</v>
      </c>
      <c r="L10208">
        <v>108.91</v>
      </c>
      <c r="M10208">
        <v>3177</v>
      </c>
      <c r="N10208">
        <v>334985.43</v>
      </c>
      <c r="O10208">
        <v>105.44</v>
      </c>
    </row>
    <row r="10209" spans="1:15" x14ac:dyDescent="0.35">
      <c r="A10209" t="s">
        <v>10935</v>
      </c>
      <c r="B10209" t="s">
        <v>10936</v>
      </c>
      <c r="C10209" t="s">
        <v>688</v>
      </c>
      <c r="D10209" t="s">
        <v>348</v>
      </c>
      <c r="E10209" t="s">
        <v>349</v>
      </c>
      <c r="F10209" t="s">
        <v>10976</v>
      </c>
      <c r="G10209">
        <v>4609</v>
      </c>
      <c r="H10209">
        <v>418095.55999999994</v>
      </c>
      <c r="I10209">
        <v>114.74</v>
      </c>
      <c r="J10209">
        <v>69</v>
      </c>
      <c r="K10209">
        <v>7514.9400000000005</v>
      </c>
      <c r="L10209">
        <v>108.91</v>
      </c>
      <c r="M10209">
        <v>4678</v>
      </c>
      <c r="N10209">
        <v>425610.49999999994</v>
      </c>
      <c r="O10209">
        <v>114.63</v>
      </c>
    </row>
    <row r="10210" spans="1:15" x14ac:dyDescent="0.35">
      <c r="A10210" t="s">
        <v>10977</v>
      </c>
      <c r="B10210" t="s">
        <v>10978</v>
      </c>
      <c r="C10210" t="s">
        <v>688</v>
      </c>
      <c r="D10210" t="s">
        <v>293</v>
      </c>
      <c r="E10210" t="s">
        <v>294</v>
      </c>
      <c r="F10210" t="s">
        <v>10979</v>
      </c>
      <c r="G10210">
        <v>83</v>
      </c>
      <c r="H10210">
        <v>8467.99</v>
      </c>
      <c r="I10210">
        <v>102.02</v>
      </c>
      <c r="J10210">
        <v>0</v>
      </c>
      <c r="K10210">
        <v>0</v>
      </c>
      <c r="L10210">
        <v>0</v>
      </c>
      <c r="M10210">
        <v>83</v>
      </c>
      <c r="N10210">
        <v>8467.99</v>
      </c>
      <c r="O10210">
        <v>102.02</v>
      </c>
    </row>
    <row r="10211" spans="1:15" x14ac:dyDescent="0.35">
      <c r="A10211" t="s">
        <v>10977</v>
      </c>
      <c r="B10211" t="s">
        <v>10978</v>
      </c>
      <c r="C10211" t="s">
        <v>688</v>
      </c>
      <c r="D10211" t="s">
        <v>293</v>
      </c>
      <c r="E10211" t="s">
        <v>296</v>
      </c>
      <c r="F10211" t="s">
        <v>10980</v>
      </c>
      <c r="G10211">
        <v>414</v>
      </c>
      <c r="H10211">
        <v>50185.32</v>
      </c>
      <c r="I10211">
        <v>121.22</v>
      </c>
      <c r="J10211">
        <v>0</v>
      </c>
      <c r="K10211">
        <v>0</v>
      </c>
      <c r="L10211">
        <v>0</v>
      </c>
      <c r="M10211">
        <v>414</v>
      </c>
      <c r="N10211">
        <v>50185.32</v>
      </c>
      <c r="O10211">
        <v>121.22</v>
      </c>
    </row>
    <row r="10212" spans="1:15" x14ac:dyDescent="0.35">
      <c r="A10212" t="s">
        <v>10977</v>
      </c>
      <c r="B10212" t="s">
        <v>10978</v>
      </c>
      <c r="C10212" t="s">
        <v>688</v>
      </c>
      <c r="D10212" t="s">
        <v>293</v>
      </c>
      <c r="E10212" t="s">
        <v>298</v>
      </c>
      <c r="F10212" t="s">
        <v>10981</v>
      </c>
      <c r="G10212">
        <v>410</v>
      </c>
      <c r="H10212">
        <v>56742.76</v>
      </c>
      <c r="I10212">
        <v>138.4</v>
      </c>
      <c r="J10212">
        <v>0</v>
      </c>
      <c r="K10212">
        <v>0</v>
      </c>
      <c r="L10212">
        <v>0</v>
      </c>
      <c r="M10212">
        <v>410</v>
      </c>
      <c r="N10212">
        <v>56742.76</v>
      </c>
      <c r="O10212">
        <v>138.4</v>
      </c>
    </row>
    <row r="10213" spans="1:15" x14ac:dyDescent="0.35">
      <c r="A10213" t="s">
        <v>10977</v>
      </c>
      <c r="B10213" t="s">
        <v>10978</v>
      </c>
      <c r="C10213" t="s">
        <v>688</v>
      </c>
      <c r="D10213" t="s">
        <v>293</v>
      </c>
      <c r="E10213" t="s">
        <v>300</v>
      </c>
      <c r="F10213" t="s">
        <v>10982</v>
      </c>
      <c r="G10213">
        <v>27</v>
      </c>
      <c r="H10213">
        <v>4172.2199999999993</v>
      </c>
      <c r="I10213">
        <v>154.53</v>
      </c>
      <c r="J10213">
        <v>0</v>
      </c>
      <c r="K10213">
        <v>0</v>
      </c>
      <c r="L10213">
        <v>0</v>
      </c>
      <c r="M10213">
        <v>27</v>
      </c>
      <c r="N10213">
        <v>4172.2199999999993</v>
      </c>
      <c r="O10213">
        <v>154.53</v>
      </c>
    </row>
    <row r="10214" spans="1:15" x14ac:dyDescent="0.35">
      <c r="A10214" t="s">
        <v>10977</v>
      </c>
      <c r="B10214" t="s">
        <v>10978</v>
      </c>
      <c r="C10214" t="s">
        <v>688</v>
      </c>
      <c r="D10214" t="s">
        <v>293</v>
      </c>
      <c r="E10214" t="s">
        <v>302</v>
      </c>
      <c r="F10214" t="s">
        <v>10983</v>
      </c>
      <c r="G10214">
        <v>6</v>
      </c>
      <c r="H10214">
        <v>1088.3399999999999</v>
      </c>
      <c r="I10214">
        <v>181.39</v>
      </c>
      <c r="J10214">
        <v>0</v>
      </c>
      <c r="K10214">
        <v>0</v>
      </c>
      <c r="L10214">
        <v>0</v>
      </c>
      <c r="M10214">
        <v>6</v>
      </c>
      <c r="N10214">
        <v>1088.3399999999999</v>
      </c>
      <c r="O10214">
        <v>181.39</v>
      </c>
    </row>
    <row r="10215" spans="1:15" x14ac:dyDescent="0.35">
      <c r="A10215" t="s">
        <v>10977</v>
      </c>
      <c r="B10215" t="s">
        <v>10978</v>
      </c>
      <c r="C10215" t="s">
        <v>688</v>
      </c>
      <c r="D10215" t="s">
        <v>293</v>
      </c>
      <c r="E10215" t="s">
        <v>304</v>
      </c>
      <c r="F10215" t="s">
        <v>10984</v>
      </c>
      <c r="G10215">
        <v>0</v>
      </c>
      <c r="H10215">
        <v>0</v>
      </c>
      <c r="I10215">
        <v>0</v>
      </c>
      <c r="J10215">
        <v>0</v>
      </c>
      <c r="K10215">
        <v>0</v>
      </c>
      <c r="L10215">
        <v>0</v>
      </c>
      <c r="M10215">
        <v>0</v>
      </c>
      <c r="N10215">
        <v>0</v>
      </c>
      <c r="O10215">
        <v>0</v>
      </c>
    </row>
    <row r="10216" spans="1:15" x14ac:dyDescent="0.35">
      <c r="A10216" t="s">
        <v>10977</v>
      </c>
      <c r="B10216" t="s">
        <v>10978</v>
      </c>
      <c r="C10216" t="s">
        <v>688</v>
      </c>
      <c r="D10216" t="s">
        <v>293</v>
      </c>
      <c r="E10216" t="s">
        <v>306</v>
      </c>
      <c r="F10216" t="s">
        <v>10985</v>
      </c>
      <c r="G10216">
        <v>0</v>
      </c>
      <c r="H10216">
        <v>0</v>
      </c>
      <c r="I10216">
        <v>0</v>
      </c>
      <c r="J10216">
        <v>0</v>
      </c>
      <c r="K10216">
        <v>0</v>
      </c>
      <c r="L10216">
        <v>0</v>
      </c>
      <c r="M10216">
        <v>0</v>
      </c>
      <c r="N10216">
        <v>0</v>
      </c>
      <c r="O10216">
        <v>0</v>
      </c>
    </row>
    <row r="10217" spans="1:15" x14ac:dyDescent="0.35">
      <c r="A10217" t="s">
        <v>10977</v>
      </c>
      <c r="B10217" t="s">
        <v>10978</v>
      </c>
      <c r="C10217" t="s">
        <v>688</v>
      </c>
      <c r="D10217" t="s">
        <v>293</v>
      </c>
      <c r="E10217" t="s">
        <v>308</v>
      </c>
      <c r="F10217" t="s">
        <v>10986</v>
      </c>
      <c r="G10217">
        <v>0</v>
      </c>
      <c r="H10217">
        <v>0</v>
      </c>
      <c r="I10217">
        <v>0</v>
      </c>
      <c r="J10217">
        <v>0</v>
      </c>
      <c r="K10217">
        <v>0</v>
      </c>
      <c r="L10217">
        <v>0</v>
      </c>
      <c r="M10217">
        <v>0</v>
      </c>
      <c r="N10217">
        <v>0</v>
      </c>
      <c r="O10217">
        <v>0</v>
      </c>
    </row>
    <row r="10218" spans="1:15" x14ac:dyDescent="0.35">
      <c r="A10218" t="s">
        <v>10977</v>
      </c>
      <c r="B10218" t="s">
        <v>10978</v>
      </c>
      <c r="C10218" t="s">
        <v>688</v>
      </c>
      <c r="D10218" t="s">
        <v>293</v>
      </c>
      <c r="E10218" t="s">
        <v>310</v>
      </c>
      <c r="F10218" t="s">
        <v>10987</v>
      </c>
      <c r="G10218">
        <v>940</v>
      </c>
      <c r="H10218">
        <v>120656.63</v>
      </c>
      <c r="I10218">
        <v>128.36000000000001</v>
      </c>
      <c r="J10218">
        <v>0</v>
      </c>
      <c r="K10218">
        <v>0</v>
      </c>
      <c r="L10218">
        <v>0</v>
      </c>
      <c r="M10218">
        <v>940</v>
      </c>
      <c r="N10218">
        <v>120656.63</v>
      </c>
      <c r="O10218">
        <v>128.36000000000001</v>
      </c>
    </row>
    <row r="10219" spans="1:15" x14ac:dyDescent="0.35">
      <c r="A10219" t="s">
        <v>10977</v>
      </c>
      <c r="B10219" t="s">
        <v>10978</v>
      </c>
      <c r="C10219" t="s">
        <v>688</v>
      </c>
      <c r="D10219" t="s">
        <v>293</v>
      </c>
      <c r="E10219" t="s">
        <v>312</v>
      </c>
      <c r="F10219" t="s">
        <v>10988</v>
      </c>
      <c r="G10219">
        <v>940</v>
      </c>
      <c r="H10219">
        <v>120656.63</v>
      </c>
      <c r="I10219">
        <v>128.36000000000001</v>
      </c>
      <c r="J10219">
        <v>0</v>
      </c>
      <c r="K10219">
        <v>0</v>
      </c>
      <c r="L10219">
        <v>0</v>
      </c>
      <c r="M10219">
        <v>940</v>
      </c>
      <c r="N10219">
        <v>120656.63</v>
      </c>
      <c r="O10219">
        <v>128.36000000000001</v>
      </c>
    </row>
    <row r="10220" spans="1:15" x14ac:dyDescent="0.35">
      <c r="A10220" t="s">
        <v>10977</v>
      </c>
      <c r="B10220" t="s">
        <v>10978</v>
      </c>
      <c r="C10220" t="s">
        <v>688</v>
      </c>
      <c r="D10220" t="s">
        <v>314</v>
      </c>
      <c r="E10220" t="s">
        <v>294</v>
      </c>
      <c r="F10220" t="s">
        <v>10989</v>
      </c>
      <c r="G10220">
        <v>78</v>
      </c>
      <c r="H10220">
        <v>20361.05</v>
      </c>
      <c r="I10220">
        <v>261.04000000000002</v>
      </c>
      <c r="J10220">
        <v>0</v>
      </c>
      <c r="K10220">
        <v>0</v>
      </c>
      <c r="L10220">
        <v>0</v>
      </c>
      <c r="M10220">
        <v>78</v>
      </c>
      <c r="N10220">
        <v>20361.05</v>
      </c>
      <c r="O10220">
        <v>261.04000000000002</v>
      </c>
    </row>
    <row r="10221" spans="1:15" x14ac:dyDescent="0.35">
      <c r="A10221" t="s">
        <v>10977</v>
      </c>
      <c r="B10221" t="s">
        <v>10978</v>
      </c>
      <c r="C10221" t="s">
        <v>688</v>
      </c>
      <c r="D10221" t="s">
        <v>314</v>
      </c>
      <c r="E10221" t="s">
        <v>296</v>
      </c>
      <c r="F10221" t="s">
        <v>10990</v>
      </c>
      <c r="G10221">
        <v>21</v>
      </c>
      <c r="H10221">
        <v>6275.670000000001</v>
      </c>
      <c r="I10221">
        <v>298.83999999999997</v>
      </c>
      <c r="J10221">
        <v>0</v>
      </c>
      <c r="K10221">
        <v>0</v>
      </c>
      <c r="L10221">
        <v>0</v>
      </c>
      <c r="M10221">
        <v>21</v>
      </c>
      <c r="N10221">
        <v>6275.670000000001</v>
      </c>
      <c r="O10221">
        <v>298.83999999999997</v>
      </c>
    </row>
    <row r="10222" spans="1:15" x14ac:dyDescent="0.35">
      <c r="A10222" t="s">
        <v>10977</v>
      </c>
      <c r="B10222" t="s">
        <v>10978</v>
      </c>
      <c r="C10222" t="s">
        <v>688</v>
      </c>
      <c r="D10222" t="s">
        <v>314</v>
      </c>
      <c r="E10222" t="s">
        <v>298</v>
      </c>
      <c r="F10222" t="s">
        <v>10991</v>
      </c>
      <c r="G10222">
        <v>0</v>
      </c>
      <c r="H10222">
        <v>0</v>
      </c>
      <c r="I10222">
        <v>0</v>
      </c>
      <c r="J10222">
        <v>0</v>
      </c>
      <c r="K10222">
        <v>0</v>
      </c>
      <c r="L10222">
        <v>0</v>
      </c>
      <c r="M10222">
        <v>0</v>
      </c>
      <c r="N10222">
        <v>0</v>
      </c>
      <c r="O10222">
        <v>0</v>
      </c>
    </row>
    <row r="10223" spans="1:15" x14ac:dyDescent="0.35">
      <c r="A10223" t="s">
        <v>10977</v>
      </c>
      <c r="B10223" t="s">
        <v>10978</v>
      </c>
      <c r="C10223" t="s">
        <v>688</v>
      </c>
      <c r="D10223" t="s">
        <v>314</v>
      </c>
      <c r="E10223" t="s">
        <v>300</v>
      </c>
      <c r="F10223" t="s">
        <v>10992</v>
      </c>
      <c r="G10223">
        <v>0</v>
      </c>
      <c r="H10223">
        <v>0</v>
      </c>
      <c r="I10223">
        <v>0</v>
      </c>
      <c r="J10223">
        <v>0</v>
      </c>
      <c r="K10223">
        <v>0</v>
      </c>
      <c r="L10223">
        <v>0</v>
      </c>
      <c r="M10223">
        <v>0</v>
      </c>
      <c r="N10223">
        <v>0</v>
      </c>
      <c r="O10223">
        <v>0</v>
      </c>
    </row>
    <row r="10224" spans="1:15" x14ac:dyDescent="0.35">
      <c r="A10224" t="s">
        <v>10977</v>
      </c>
      <c r="B10224" t="s">
        <v>10978</v>
      </c>
      <c r="C10224" t="s">
        <v>688</v>
      </c>
      <c r="D10224" t="s">
        <v>314</v>
      </c>
      <c r="E10224" t="s">
        <v>306</v>
      </c>
      <c r="F10224" t="s">
        <v>10993</v>
      </c>
      <c r="G10224">
        <v>0</v>
      </c>
      <c r="H10224">
        <v>0</v>
      </c>
      <c r="I10224">
        <v>0</v>
      </c>
      <c r="J10224">
        <v>0</v>
      </c>
      <c r="K10224">
        <v>0</v>
      </c>
      <c r="L10224">
        <v>0</v>
      </c>
      <c r="M10224">
        <v>0</v>
      </c>
      <c r="N10224">
        <v>0</v>
      </c>
      <c r="O10224">
        <v>0</v>
      </c>
    </row>
    <row r="10225" spans="1:15" x14ac:dyDescent="0.35">
      <c r="A10225" t="s">
        <v>10977</v>
      </c>
      <c r="B10225" t="s">
        <v>10978</v>
      </c>
      <c r="C10225" t="s">
        <v>688</v>
      </c>
      <c r="D10225" t="s">
        <v>314</v>
      </c>
      <c r="E10225" t="s">
        <v>308</v>
      </c>
      <c r="F10225" t="s">
        <v>10994</v>
      </c>
      <c r="G10225">
        <v>26</v>
      </c>
      <c r="H10225">
        <v>7440.42</v>
      </c>
      <c r="I10225">
        <v>286.17</v>
      </c>
      <c r="J10225">
        <v>0</v>
      </c>
      <c r="K10225">
        <v>0</v>
      </c>
      <c r="L10225">
        <v>0</v>
      </c>
      <c r="M10225">
        <v>26</v>
      </c>
      <c r="N10225">
        <v>7440.42</v>
      </c>
      <c r="O10225">
        <v>286.17</v>
      </c>
    </row>
    <row r="10226" spans="1:15" x14ac:dyDescent="0.35">
      <c r="A10226" t="s">
        <v>10977</v>
      </c>
      <c r="B10226" t="s">
        <v>10978</v>
      </c>
      <c r="C10226" t="s">
        <v>688</v>
      </c>
      <c r="D10226" t="s">
        <v>314</v>
      </c>
      <c r="E10226" t="s">
        <v>312</v>
      </c>
      <c r="F10226" t="s">
        <v>10995</v>
      </c>
      <c r="G10226">
        <v>99</v>
      </c>
      <c r="H10226">
        <v>26636.720000000001</v>
      </c>
      <c r="I10226">
        <v>269.06</v>
      </c>
      <c r="J10226">
        <v>0</v>
      </c>
      <c r="K10226">
        <v>0</v>
      </c>
      <c r="L10226">
        <v>0</v>
      </c>
      <c r="M10226">
        <v>99</v>
      </c>
      <c r="N10226">
        <v>26636.720000000001</v>
      </c>
      <c r="O10226">
        <v>269.06</v>
      </c>
    </row>
    <row r="10227" spans="1:15" x14ac:dyDescent="0.35">
      <c r="A10227" t="s">
        <v>10977</v>
      </c>
      <c r="B10227" t="s">
        <v>10978</v>
      </c>
      <c r="C10227" t="s">
        <v>688</v>
      </c>
      <c r="D10227" t="s">
        <v>314</v>
      </c>
      <c r="E10227" t="s">
        <v>310</v>
      </c>
      <c r="F10227" t="s">
        <v>10996</v>
      </c>
      <c r="G10227">
        <v>125</v>
      </c>
      <c r="H10227">
        <v>34077.14</v>
      </c>
      <c r="I10227">
        <v>272.62</v>
      </c>
      <c r="J10227">
        <v>0</v>
      </c>
      <c r="K10227">
        <v>0</v>
      </c>
      <c r="L10227">
        <v>0</v>
      </c>
      <c r="M10227">
        <v>125</v>
      </c>
      <c r="N10227">
        <v>34077.14</v>
      </c>
      <c r="O10227">
        <v>272.62</v>
      </c>
    </row>
    <row r="10228" spans="1:15" x14ac:dyDescent="0.35">
      <c r="A10228" t="s">
        <v>10977</v>
      </c>
      <c r="B10228" t="s">
        <v>10978</v>
      </c>
      <c r="C10228" t="s">
        <v>688</v>
      </c>
      <c r="D10228" t="s">
        <v>323</v>
      </c>
      <c r="E10228" t="s">
        <v>294</v>
      </c>
      <c r="F10228" t="s">
        <v>10997</v>
      </c>
      <c r="G10228">
        <v>5215</v>
      </c>
      <c r="H10228">
        <v>449894.57999999996</v>
      </c>
      <c r="I10228">
        <v>86.27</v>
      </c>
      <c r="J10228">
        <v>0</v>
      </c>
      <c r="K10228">
        <v>0</v>
      </c>
      <c r="L10228">
        <v>0</v>
      </c>
      <c r="M10228">
        <v>5215</v>
      </c>
      <c r="N10228">
        <v>449894.57999999996</v>
      </c>
      <c r="O10228">
        <v>86.27</v>
      </c>
    </row>
    <row r="10229" spans="1:15" x14ac:dyDescent="0.35">
      <c r="A10229" t="s">
        <v>10977</v>
      </c>
      <c r="B10229" t="s">
        <v>10978</v>
      </c>
      <c r="C10229" t="s">
        <v>688</v>
      </c>
      <c r="D10229" t="s">
        <v>323</v>
      </c>
      <c r="E10229" t="s">
        <v>296</v>
      </c>
      <c r="F10229" t="s">
        <v>10998</v>
      </c>
      <c r="G10229">
        <v>3495</v>
      </c>
      <c r="H10229">
        <v>345696.54000000004</v>
      </c>
      <c r="I10229">
        <v>98.91</v>
      </c>
      <c r="J10229">
        <v>0</v>
      </c>
      <c r="K10229">
        <v>0</v>
      </c>
      <c r="L10229">
        <v>0</v>
      </c>
      <c r="M10229">
        <v>3495</v>
      </c>
      <c r="N10229">
        <v>345696.54000000004</v>
      </c>
      <c r="O10229">
        <v>98.91</v>
      </c>
    </row>
    <row r="10230" spans="1:15" x14ac:dyDescent="0.35">
      <c r="A10230" t="s">
        <v>10977</v>
      </c>
      <c r="B10230" t="s">
        <v>10978</v>
      </c>
      <c r="C10230" t="s">
        <v>688</v>
      </c>
      <c r="D10230" t="s">
        <v>323</v>
      </c>
      <c r="E10230" t="s">
        <v>298</v>
      </c>
      <c r="F10230" t="s">
        <v>10999</v>
      </c>
      <c r="G10230">
        <v>2639</v>
      </c>
      <c r="H10230">
        <v>289187.28000000003</v>
      </c>
      <c r="I10230">
        <v>109.58</v>
      </c>
      <c r="J10230">
        <v>0</v>
      </c>
      <c r="K10230">
        <v>0</v>
      </c>
      <c r="L10230">
        <v>0</v>
      </c>
      <c r="M10230">
        <v>2639</v>
      </c>
      <c r="N10230">
        <v>289187.28000000003</v>
      </c>
      <c r="O10230">
        <v>109.58</v>
      </c>
    </row>
    <row r="10231" spans="1:15" x14ac:dyDescent="0.35">
      <c r="A10231" t="s">
        <v>10977</v>
      </c>
      <c r="B10231" t="s">
        <v>10978</v>
      </c>
      <c r="C10231" t="s">
        <v>688</v>
      </c>
      <c r="D10231" t="s">
        <v>323</v>
      </c>
      <c r="E10231" t="s">
        <v>300</v>
      </c>
      <c r="F10231" t="s">
        <v>11000</v>
      </c>
      <c r="G10231">
        <v>269</v>
      </c>
      <c r="H10231">
        <v>33894.44</v>
      </c>
      <c r="I10231">
        <v>126</v>
      </c>
      <c r="J10231">
        <v>0</v>
      </c>
      <c r="K10231">
        <v>0</v>
      </c>
      <c r="L10231">
        <v>0</v>
      </c>
      <c r="M10231">
        <v>269</v>
      </c>
      <c r="N10231">
        <v>33894.44</v>
      </c>
      <c r="O10231">
        <v>126</v>
      </c>
    </row>
    <row r="10232" spans="1:15" x14ac:dyDescent="0.35">
      <c r="A10232" t="s">
        <v>10977</v>
      </c>
      <c r="B10232" t="s">
        <v>10978</v>
      </c>
      <c r="C10232" t="s">
        <v>688</v>
      </c>
      <c r="D10232" t="s">
        <v>323</v>
      </c>
      <c r="E10232" t="s">
        <v>302</v>
      </c>
      <c r="F10232" t="s">
        <v>11001</v>
      </c>
      <c r="G10232">
        <v>68</v>
      </c>
      <c r="H10232">
        <v>9301.3799999999992</v>
      </c>
      <c r="I10232">
        <v>136.79</v>
      </c>
      <c r="J10232">
        <v>0</v>
      </c>
      <c r="K10232">
        <v>0</v>
      </c>
      <c r="L10232">
        <v>0</v>
      </c>
      <c r="M10232">
        <v>68</v>
      </c>
      <c r="N10232">
        <v>9301.3799999999992</v>
      </c>
      <c r="O10232">
        <v>136.79</v>
      </c>
    </row>
    <row r="10233" spans="1:15" x14ac:dyDescent="0.35">
      <c r="A10233" t="s">
        <v>10977</v>
      </c>
      <c r="B10233" t="s">
        <v>10978</v>
      </c>
      <c r="C10233" t="s">
        <v>688</v>
      </c>
      <c r="D10233" t="s">
        <v>323</v>
      </c>
      <c r="E10233" t="s">
        <v>304</v>
      </c>
      <c r="F10233" t="s">
        <v>11002</v>
      </c>
      <c r="G10233">
        <v>15</v>
      </c>
      <c r="H10233">
        <v>2152.5500000000002</v>
      </c>
      <c r="I10233">
        <v>143.5</v>
      </c>
      <c r="J10233">
        <v>0</v>
      </c>
      <c r="K10233">
        <v>0</v>
      </c>
      <c r="L10233">
        <v>0</v>
      </c>
      <c r="M10233">
        <v>15</v>
      </c>
      <c r="N10233">
        <v>2152.5500000000002</v>
      </c>
      <c r="O10233">
        <v>143.5</v>
      </c>
    </row>
    <row r="10234" spans="1:15" x14ac:dyDescent="0.35">
      <c r="A10234" t="s">
        <v>10977</v>
      </c>
      <c r="B10234" t="s">
        <v>10978</v>
      </c>
      <c r="C10234" t="s">
        <v>688</v>
      </c>
      <c r="D10234" t="s">
        <v>323</v>
      </c>
      <c r="E10234" t="s">
        <v>306</v>
      </c>
      <c r="F10234" t="s">
        <v>11003</v>
      </c>
      <c r="G10234">
        <v>30</v>
      </c>
      <c r="H10234">
        <v>2337.5499999999997</v>
      </c>
      <c r="I10234">
        <v>77.92</v>
      </c>
      <c r="J10234">
        <v>0</v>
      </c>
      <c r="K10234">
        <v>0</v>
      </c>
      <c r="L10234">
        <v>0</v>
      </c>
      <c r="M10234">
        <v>30</v>
      </c>
      <c r="N10234">
        <v>2337.5499999999997</v>
      </c>
      <c r="O10234">
        <v>77.92</v>
      </c>
    </row>
    <row r="10235" spans="1:15" x14ac:dyDescent="0.35">
      <c r="A10235" t="s">
        <v>10977</v>
      </c>
      <c r="B10235" t="s">
        <v>10978</v>
      </c>
      <c r="C10235" t="s">
        <v>688</v>
      </c>
      <c r="D10235" t="s">
        <v>323</v>
      </c>
      <c r="E10235" t="s">
        <v>308</v>
      </c>
      <c r="F10235" t="s">
        <v>11004</v>
      </c>
      <c r="G10235">
        <v>0</v>
      </c>
      <c r="H10235">
        <v>0</v>
      </c>
      <c r="I10235">
        <v>0</v>
      </c>
      <c r="J10235">
        <v>0</v>
      </c>
      <c r="K10235">
        <v>0</v>
      </c>
      <c r="L10235">
        <v>0</v>
      </c>
      <c r="M10235">
        <v>0</v>
      </c>
      <c r="N10235">
        <v>0</v>
      </c>
      <c r="O10235">
        <v>0</v>
      </c>
    </row>
    <row r="10236" spans="1:15" x14ac:dyDescent="0.35">
      <c r="A10236" t="s">
        <v>10977</v>
      </c>
      <c r="B10236" t="s">
        <v>10978</v>
      </c>
      <c r="C10236" t="s">
        <v>688</v>
      </c>
      <c r="D10236" t="s">
        <v>323</v>
      </c>
      <c r="E10236" t="s">
        <v>310</v>
      </c>
      <c r="F10236" t="s">
        <v>11005</v>
      </c>
      <c r="G10236">
        <v>11731</v>
      </c>
      <c r="H10236">
        <v>1132464.3199999998</v>
      </c>
      <c r="I10236">
        <v>96.54</v>
      </c>
      <c r="J10236">
        <v>0</v>
      </c>
      <c r="K10236">
        <v>0</v>
      </c>
      <c r="L10236">
        <v>0</v>
      </c>
      <c r="M10236">
        <v>11731</v>
      </c>
      <c r="N10236">
        <v>1132464.3199999998</v>
      </c>
      <c r="O10236">
        <v>96.54</v>
      </c>
    </row>
    <row r="10237" spans="1:15" x14ac:dyDescent="0.35">
      <c r="A10237" t="s">
        <v>10977</v>
      </c>
      <c r="B10237" t="s">
        <v>10978</v>
      </c>
      <c r="C10237" t="s">
        <v>688</v>
      </c>
      <c r="D10237" t="s">
        <v>323</v>
      </c>
      <c r="E10237" t="s">
        <v>312</v>
      </c>
      <c r="F10237" t="s">
        <v>11006</v>
      </c>
      <c r="G10237">
        <v>11731</v>
      </c>
      <c r="H10237">
        <v>1132464.3199999998</v>
      </c>
      <c r="I10237">
        <v>96.54</v>
      </c>
      <c r="J10237">
        <v>0</v>
      </c>
      <c r="K10237">
        <v>0</v>
      </c>
      <c r="L10237">
        <v>0</v>
      </c>
      <c r="M10237">
        <v>11731</v>
      </c>
      <c r="N10237">
        <v>1132464.3199999998</v>
      </c>
      <c r="O10237">
        <v>96.54</v>
      </c>
    </row>
    <row r="10238" spans="1:15" x14ac:dyDescent="0.35">
      <c r="A10238" t="s">
        <v>10977</v>
      </c>
      <c r="B10238" t="s">
        <v>10978</v>
      </c>
      <c r="C10238" t="s">
        <v>688</v>
      </c>
      <c r="D10238" t="s">
        <v>334</v>
      </c>
      <c r="E10238" t="s">
        <v>312</v>
      </c>
      <c r="F10238" t="s">
        <v>11007</v>
      </c>
      <c r="G10238">
        <v>12764</v>
      </c>
      <c r="H10238">
        <v>1253120.95</v>
      </c>
      <c r="I10238">
        <v>98.9</v>
      </c>
      <c r="J10238">
        <v>0</v>
      </c>
      <c r="K10238">
        <v>0</v>
      </c>
      <c r="L10238">
        <v>0</v>
      </c>
      <c r="M10238">
        <v>12764</v>
      </c>
      <c r="N10238">
        <v>1253120.95</v>
      </c>
      <c r="O10238">
        <v>98.9</v>
      </c>
    </row>
    <row r="10239" spans="1:15" x14ac:dyDescent="0.35">
      <c r="A10239" t="s">
        <v>10977</v>
      </c>
      <c r="B10239" t="s">
        <v>10978</v>
      </c>
      <c r="C10239" t="s">
        <v>688</v>
      </c>
      <c r="D10239" t="s">
        <v>334</v>
      </c>
      <c r="E10239" t="s">
        <v>308</v>
      </c>
      <c r="F10239" t="s">
        <v>11008</v>
      </c>
      <c r="G10239">
        <v>0</v>
      </c>
      <c r="H10239">
        <v>0</v>
      </c>
      <c r="I10239">
        <v>0</v>
      </c>
      <c r="J10239">
        <v>0</v>
      </c>
      <c r="K10239">
        <v>0</v>
      </c>
      <c r="L10239">
        <v>0</v>
      </c>
      <c r="M10239">
        <v>0</v>
      </c>
      <c r="N10239">
        <v>0</v>
      </c>
      <c r="O10239">
        <v>0</v>
      </c>
    </row>
    <row r="10240" spans="1:15" x14ac:dyDescent="0.35">
      <c r="A10240" t="s">
        <v>10977</v>
      </c>
      <c r="B10240" t="s">
        <v>10978</v>
      </c>
      <c r="C10240" t="s">
        <v>688</v>
      </c>
      <c r="D10240" t="s">
        <v>337</v>
      </c>
      <c r="E10240" t="s">
        <v>337</v>
      </c>
      <c r="F10240" t="s">
        <v>11009</v>
      </c>
      <c r="G10240">
        <v>313</v>
      </c>
      <c r="J10240">
        <v>0</v>
      </c>
      <c r="M10240">
        <v>313</v>
      </c>
    </row>
    <row r="10241" spans="1:15" x14ac:dyDescent="0.35">
      <c r="A10241" t="s">
        <v>10977</v>
      </c>
      <c r="B10241" t="s">
        <v>10978</v>
      </c>
      <c r="C10241" t="s">
        <v>688</v>
      </c>
      <c r="D10241" t="s">
        <v>339</v>
      </c>
      <c r="E10241" t="s">
        <v>294</v>
      </c>
      <c r="F10241" t="s">
        <v>11010</v>
      </c>
      <c r="G10241">
        <v>753</v>
      </c>
      <c r="H10241">
        <v>77918.399999999994</v>
      </c>
      <c r="I10241">
        <v>103.48</v>
      </c>
      <c r="J10241">
        <v>0</v>
      </c>
      <c r="K10241">
        <v>0</v>
      </c>
      <c r="L10241">
        <v>0</v>
      </c>
      <c r="M10241">
        <v>753</v>
      </c>
      <c r="N10241">
        <v>77918.399999999994</v>
      </c>
      <c r="O10241">
        <v>103.48</v>
      </c>
    </row>
    <row r="10242" spans="1:15" x14ac:dyDescent="0.35">
      <c r="A10242" t="s">
        <v>10977</v>
      </c>
      <c r="B10242" t="s">
        <v>10978</v>
      </c>
      <c r="C10242" t="s">
        <v>688</v>
      </c>
      <c r="D10242" t="s">
        <v>339</v>
      </c>
      <c r="E10242" t="s">
        <v>296</v>
      </c>
      <c r="F10242" t="s">
        <v>11011</v>
      </c>
      <c r="G10242">
        <v>128</v>
      </c>
      <c r="H10242">
        <v>15765.49</v>
      </c>
      <c r="I10242">
        <v>123.17</v>
      </c>
      <c r="J10242">
        <v>0</v>
      </c>
      <c r="K10242">
        <v>0</v>
      </c>
      <c r="L10242">
        <v>0</v>
      </c>
      <c r="M10242">
        <v>128</v>
      </c>
      <c r="N10242">
        <v>15765.49</v>
      </c>
      <c r="O10242">
        <v>123.17</v>
      </c>
    </row>
    <row r="10243" spans="1:15" x14ac:dyDescent="0.35">
      <c r="A10243" t="s">
        <v>10977</v>
      </c>
      <c r="B10243" t="s">
        <v>10978</v>
      </c>
      <c r="C10243" t="s">
        <v>688</v>
      </c>
      <c r="D10243" t="s">
        <v>339</v>
      </c>
      <c r="E10243" t="s">
        <v>298</v>
      </c>
      <c r="F10243" t="s">
        <v>11012</v>
      </c>
      <c r="G10243">
        <v>13</v>
      </c>
      <c r="H10243">
        <v>1542.69</v>
      </c>
      <c r="I10243">
        <v>118.67</v>
      </c>
      <c r="J10243">
        <v>0</v>
      </c>
      <c r="K10243">
        <v>0</v>
      </c>
      <c r="L10243">
        <v>0</v>
      </c>
      <c r="M10243">
        <v>13</v>
      </c>
      <c r="N10243">
        <v>1542.69</v>
      </c>
      <c r="O10243">
        <v>118.67</v>
      </c>
    </row>
    <row r="10244" spans="1:15" x14ac:dyDescent="0.35">
      <c r="A10244" t="s">
        <v>10977</v>
      </c>
      <c r="B10244" t="s">
        <v>10978</v>
      </c>
      <c r="C10244" t="s">
        <v>688</v>
      </c>
      <c r="D10244" t="s">
        <v>339</v>
      </c>
      <c r="E10244" t="s">
        <v>300</v>
      </c>
      <c r="F10244" t="s">
        <v>11013</v>
      </c>
      <c r="G10244">
        <v>0</v>
      </c>
      <c r="H10244">
        <v>0</v>
      </c>
      <c r="I10244">
        <v>0</v>
      </c>
      <c r="J10244">
        <v>0</v>
      </c>
      <c r="K10244">
        <v>0</v>
      </c>
      <c r="L10244">
        <v>0</v>
      </c>
      <c r="M10244">
        <v>0</v>
      </c>
      <c r="N10244">
        <v>0</v>
      </c>
      <c r="O10244">
        <v>0</v>
      </c>
    </row>
    <row r="10245" spans="1:15" x14ac:dyDescent="0.35">
      <c r="A10245" t="s">
        <v>10977</v>
      </c>
      <c r="B10245" t="s">
        <v>10978</v>
      </c>
      <c r="C10245" t="s">
        <v>688</v>
      </c>
      <c r="D10245" t="s">
        <v>339</v>
      </c>
      <c r="E10245" t="s">
        <v>306</v>
      </c>
      <c r="F10245" t="s">
        <v>11014</v>
      </c>
      <c r="G10245">
        <v>47</v>
      </c>
      <c r="H10245">
        <v>4925.3900000000003</v>
      </c>
      <c r="I10245">
        <v>104.8</v>
      </c>
      <c r="J10245">
        <v>0</v>
      </c>
      <c r="K10245">
        <v>0</v>
      </c>
      <c r="L10245">
        <v>0</v>
      </c>
      <c r="M10245">
        <v>47</v>
      </c>
      <c r="N10245">
        <v>4925.3900000000003</v>
      </c>
      <c r="O10245">
        <v>104.8</v>
      </c>
    </row>
    <row r="10246" spans="1:15" x14ac:dyDescent="0.35">
      <c r="A10246" t="s">
        <v>10977</v>
      </c>
      <c r="B10246" t="s">
        <v>10978</v>
      </c>
      <c r="C10246" t="s">
        <v>688</v>
      </c>
      <c r="D10246" t="s">
        <v>339</v>
      </c>
      <c r="E10246" t="s">
        <v>308</v>
      </c>
      <c r="F10246" t="s">
        <v>11015</v>
      </c>
      <c r="G10246">
        <v>156</v>
      </c>
      <c r="H10246">
        <v>28114.5</v>
      </c>
      <c r="I10246">
        <v>180.22</v>
      </c>
      <c r="J10246">
        <v>0</v>
      </c>
      <c r="K10246">
        <v>0</v>
      </c>
      <c r="L10246">
        <v>0</v>
      </c>
      <c r="M10246">
        <v>156</v>
      </c>
      <c r="N10246">
        <v>28114.5</v>
      </c>
      <c r="O10246">
        <v>180.22</v>
      </c>
    </row>
    <row r="10247" spans="1:15" x14ac:dyDescent="0.35">
      <c r="A10247" t="s">
        <v>10977</v>
      </c>
      <c r="B10247" t="s">
        <v>10978</v>
      </c>
      <c r="C10247" t="s">
        <v>688</v>
      </c>
      <c r="D10247" t="s">
        <v>339</v>
      </c>
      <c r="E10247" t="s">
        <v>310</v>
      </c>
      <c r="F10247" t="s">
        <v>11016</v>
      </c>
      <c r="G10247">
        <v>1097</v>
      </c>
      <c r="H10247">
        <v>128266.47</v>
      </c>
      <c r="I10247">
        <v>116.92</v>
      </c>
      <c r="J10247">
        <v>0</v>
      </c>
      <c r="K10247">
        <v>0</v>
      </c>
      <c r="L10247">
        <v>0</v>
      </c>
      <c r="M10247">
        <v>1097</v>
      </c>
      <c r="N10247">
        <v>128266.47</v>
      </c>
      <c r="O10247">
        <v>116.92</v>
      </c>
    </row>
    <row r="10248" spans="1:15" x14ac:dyDescent="0.35">
      <c r="A10248" t="s">
        <v>10977</v>
      </c>
      <c r="B10248" t="s">
        <v>10978</v>
      </c>
      <c r="C10248" t="s">
        <v>688</v>
      </c>
      <c r="D10248" t="s">
        <v>339</v>
      </c>
      <c r="E10248" t="s">
        <v>312</v>
      </c>
      <c r="F10248" t="s">
        <v>11017</v>
      </c>
      <c r="G10248">
        <v>941</v>
      </c>
      <c r="H10248">
        <v>100151.97</v>
      </c>
      <c r="I10248">
        <v>106.43</v>
      </c>
      <c r="J10248">
        <v>0</v>
      </c>
      <c r="K10248">
        <v>0</v>
      </c>
      <c r="L10248">
        <v>0</v>
      </c>
      <c r="M10248">
        <v>941</v>
      </c>
      <c r="N10248">
        <v>100151.97</v>
      </c>
      <c r="O10248">
        <v>106.43</v>
      </c>
    </row>
    <row r="10249" spans="1:15" x14ac:dyDescent="0.35">
      <c r="A10249" t="s">
        <v>10977</v>
      </c>
      <c r="B10249" t="s">
        <v>10978</v>
      </c>
      <c r="C10249" t="s">
        <v>688</v>
      </c>
      <c r="D10249" t="s">
        <v>348</v>
      </c>
      <c r="E10249" t="s">
        <v>349</v>
      </c>
      <c r="F10249" t="s">
        <v>11018</v>
      </c>
      <c r="G10249">
        <v>1383</v>
      </c>
      <c r="H10249">
        <v>162343.61000000002</v>
      </c>
      <c r="I10249">
        <v>132.85</v>
      </c>
      <c r="J10249">
        <v>0</v>
      </c>
      <c r="K10249">
        <v>0</v>
      </c>
      <c r="L10249">
        <v>0</v>
      </c>
      <c r="M10249">
        <v>1383</v>
      </c>
      <c r="N10249">
        <v>162343.61000000002</v>
      </c>
      <c r="O10249">
        <v>132.85</v>
      </c>
    </row>
    <row r="10250" spans="1:15" x14ac:dyDescent="0.35">
      <c r="A10250" t="s">
        <v>11019</v>
      </c>
      <c r="B10250" t="s">
        <v>11020</v>
      </c>
      <c r="C10250" t="s">
        <v>688</v>
      </c>
      <c r="D10250" t="s">
        <v>293</v>
      </c>
      <c r="E10250" t="s">
        <v>294</v>
      </c>
      <c r="F10250" t="s">
        <v>11021</v>
      </c>
      <c r="G10250">
        <v>130</v>
      </c>
      <c r="H10250">
        <v>13507.68</v>
      </c>
      <c r="I10250">
        <v>103.91</v>
      </c>
      <c r="J10250">
        <v>23</v>
      </c>
      <c r="K10250">
        <v>2110.71</v>
      </c>
      <c r="L10250">
        <v>91.77</v>
      </c>
      <c r="M10250">
        <v>153</v>
      </c>
      <c r="N10250">
        <v>15618.39</v>
      </c>
      <c r="O10250">
        <v>102.08</v>
      </c>
    </row>
    <row r="10251" spans="1:15" x14ac:dyDescent="0.35">
      <c r="A10251" t="s">
        <v>11019</v>
      </c>
      <c r="B10251" t="s">
        <v>11020</v>
      </c>
      <c r="C10251" t="s">
        <v>688</v>
      </c>
      <c r="D10251" t="s">
        <v>293</v>
      </c>
      <c r="E10251" t="s">
        <v>296</v>
      </c>
      <c r="F10251" t="s">
        <v>11022</v>
      </c>
      <c r="G10251">
        <v>363</v>
      </c>
      <c r="H10251">
        <v>43384.56</v>
      </c>
      <c r="I10251">
        <v>119.52</v>
      </c>
      <c r="J10251">
        <v>17</v>
      </c>
      <c r="K10251">
        <v>1979.3100000000002</v>
      </c>
      <c r="L10251">
        <v>116.43</v>
      </c>
      <c r="M10251">
        <v>380</v>
      </c>
      <c r="N10251">
        <v>45363.869999999995</v>
      </c>
      <c r="O10251">
        <v>119.38</v>
      </c>
    </row>
    <row r="10252" spans="1:15" x14ac:dyDescent="0.35">
      <c r="A10252" t="s">
        <v>11019</v>
      </c>
      <c r="B10252" t="s">
        <v>11020</v>
      </c>
      <c r="C10252" t="s">
        <v>688</v>
      </c>
      <c r="D10252" t="s">
        <v>293</v>
      </c>
      <c r="E10252" t="s">
        <v>298</v>
      </c>
      <c r="F10252" t="s">
        <v>11023</v>
      </c>
      <c r="G10252">
        <v>267</v>
      </c>
      <c r="H10252">
        <v>37459.819999999992</v>
      </c>
      <c r="I10252">
        <v>140.30000000000001</v>
      </c>
      <c r="J10252">
        <v>6</v>
      </c>
      <c r="K10252">
        <v>850.19999999999993</v>
      </c>
      <c r="L10252">
        <v>141.69999999999999</v>
      </c>
      <c r="M10252">
        <v>273</v>
      </c>
      <c r="N10252">
        <v>38310.01999999999</v>
      </c>
      <c r="O10252">
        <v>140.33000000000001</v>
      </c>
    </row>
    <row r="10253" spans="1:15" x14ac:dyDescent="0.35">
      <c r="A10253" t="s">
        <v>11019</v>
      </c>
      <c r="B10253" t="s">
        <v>11020</v>
      </c>
      <c r="C10253" t="s">
        <v>688</v>
      </c>
      <c r="D10253" t="s">
        <v>293</v>
      </c>
      <c r="E10253" t="s">
        <v>300</v>
      </c>
      <c r="F10253" t="s">
        <v>11024</v>
      </c>
      <c r="G10253">
        <v>26</v>
      </c>
      <c r="H10253">
        <v>4150.1399999999994</v>
      </c>
      <c r="I10253">
        <v>159.62</v>
      </c>
      <c r="J10253">
        <v>2</v>
      </c>
      <c r="K10253">
        <v>360</v>
      </c>
      <c r="L10253">
        <v>180</v>
      </c>
      <c r="M10253">
        <v>28</v>
      </c>
      <c r="N10253">
        <v>4510.1399999999994</v>
      </c>
      <c r="O10253">
        <v>161.08000000000001</v>
      </c>
    </row>
    <row r="10254" spans="1:15" x14ac:dyDescent="0.35">
      <c r="A10254" t="s">
        <v>11019</v>
      </c>
      <c r="B10254" t="s">
        <v>11020</v>
      </c>
      <c r="C10254" t="s">
        <v>688</v>
      </c>
      <c r="D10254" t="s">
        <v>293</v>
      </c>
      <c r="E10254" t="s">
        <v>302</v>
      </c>
      <c r="F10254" t="s">
        <v>11025</v>
      </c>
      <c r="G10254">
        <v>0</v>
      </c>
      <c r="H10254">
        <v>0</v>
      </c>
      <c r="I10254">
        <v>0</v>
      </c>
      <c r="J10254">
        <v>0</v>
      </c>
      <c r="K10254">
        <v>0</v>
      </c>
      <c r="L10254">
        <v>0</v>
      </c>
      <c r="M10254">
        <v>0</v>
      </c>
      <c r="N10254">
        <v>0</v>
      </c>
      <c r="O10254">
        <v>0</v>
      </c>
    </row>
    <row r="10255" spans="1:15" x14ac:dyDescent="0.35">
      <c r="A10255" t="s">
        <v>11019</v>
      </c>
      <c r="B10255" t="s">
        <v>11020</v>
      </c>
      <c r="C10255" t="s">
        <v>688</v>
      </c>
      <c r="D10255" t="s">
        <v>293</v>
      </c>
      <c r="E10255" t="s">
        <v>304</v>
      </c>
      <c r="F10255" t="s">
        <v>11026</v>
      </c>
      <c r="G10255">
        <v>0</v>
      </c>
      <c r="H10255">
        <v>0</v>
      </c>
      <c r="I10255">
        <v>0</v>
      </c>
      <c r="J10255">
        <v>0</v>
      </c>
      <c r="K10255">
        <v>0</v>
      </c>
      <c r="L10255">
        <v>0</v>
      </c>
      <c r="M10255">
        <v>0</v>
      </c>
      <c r="N10255">
        <v>0</v>
      </c>
      <c r="O10255">
        <v>0</v>
      </c>
    </row>
    <row r="10256" spans="1:15" x14ac:dyDescent="0.35">
      <c r="A10256" t="s">
        <v>11019</v>
      </c>
      <c r="B10256" t="s">
        <v>11020</v>
      </c>
      <c r="C10256" t="s">
        <v>688</v>
      </c>
      <c r="D10256" t="s">
        <v>293</v>
      </c>
      <c r="E10256" t="s">
        <v>306</v>
      </c>
      <c r="F10256" t="s">
        <v>11027</v>
      </c>
      <c r="G10256">
        <v>0</v>
      </c>
      <c r="H10256">
        <v>0</v>
      </c>
      <c r="I10256">
        <v>0</v>
      </c>
      <c r="J10256">
        <v>0</v>
      </c>
      <c r="K10256">
        <v>0</v>
      </c>
      <c r="L10256">
        <v>0</v>
      </c>
      <c r="M10256">
        <v>0</v>
      </c>
      <c r="N10256">
        <v>0</v>
      </c>
      <c r="O10256">
        <v>0</v>
      </c>
    </row>
    <row r="10257" spans="1:15" x14ac:dyDescent="0.35">
      <c r="A10257" t="s">
        <v>11019</v>
      </c>
      <c r="B10257" t="s">
        <v>11020</v>
      </c>
      <c r="C10257" t="s">
        <v>688</v>
      </c>
      <c r="D10257" t="s">
        <v>293</v>
      </c>
      <c r="E10257" t="s">
        <v>308</v>
      </c>
      <c r="F10257" t="s">
        <v>11028</v>
      </c>
      <c r="G10257">
        <v>0</v>
      </c>
      <c r="H10257">
        <v>0</v>
      </c>
      <c r="I10257">
        <v>0</v>
      </c>
      <c r="J10257">
        <v>0</v>
      </c>
      <c r="K10257">
        <v>0</v>
      </c>
      <c r="L10257">
        <v>0</v>
      </c>
      <c r="M10257">
        <v>0</v>
      </c>
      <c r="N10257">
        <v>0</v>
      </c>
      <c r="O10257">
        <v>0</v>
      </c>
    </row>
    <row r="10258" spans="1:15" x14ac:dyDescent="0.35">
      <c r="A10258" t="s">
        <v>11019</v>
      </c>
      <c r="B10258" t="s">
        <v>11020</v>
      </c>
      <c r="C10258" t="s">
        <v>688</v>
      </c>
      <c r="D10258" t="s">
        <v>293</v>
      </c>
      <c r="E10258" t="s">
        <v>310</v>
      </c>
      <c r="F10258" t="s">
        <v>11029</v>
      </c>
      <c r="G10258">
        <v>786</v>
      </c>
      <c r="H10258">
        <v>98502.2</v>
      </c>
      <c r="I10258">
        <v>125.32</v>
      </c>
      <c r="J10258">
        <v>48</v>
      </c>
      <c r="K10258">
        <v>5300.22</v>
      </c>
      <c r="L10258">
        <v>110.42</v>
      </c>
      <c r="M10258">
        <v>834</v>
      </c>
      <c r="N10258">
        <v>103802.42</v>
      </c>
      <c r="O10258">
        <v>124.46</v>
      </c>
    </row>
    <row r="10259" spans="1:15" x14ac:dyDescent="0.35">
      <c r="A10259" t="s">
        <v>11019</v>
      </c>
      <c r="B10259" t="s">
        <v>11020</v>
      </c>
      <c r="C10259" t="s">
        <v>688</v>
      </c>
      <c r="D10259" t="s">
        <v>293</v>
      </c>
      <c r="E10259" t="s">
        <v>312</v>
      </c>
      <c r="F10259" t="s">
        <v>11030</v>
      </c>
      <c r="G10259">
        <v>786</v>
      </c>
      <c r="H10259">
        <v>98502.2</v>
      </c>
      <c r="I10259">
        <v>125.32</v>
      </c>
      <c r="J10259">
        <v>48</v>
      </c>
      <c r="K10259">
        <v>5300.22</v>
      </c>
      <c r="L10259">
        <v>110.42</v>
      </c>
      <c r="M10259">
        <v>834</v>
      </c>
      <c r="N10259">
        <v>103802.42</v>
      </c>
      <c r="O10259">
        <v>124.46</v>
      </c>
    </row>
    <row r="10260" spans="1:15" x14ac:dyDescent="0.35">
      <c r="A10260" t="s">
        <v>11019</v>
      </c>
      <c r="B10260" t="s">
        <v>11020</v>
      </c>
      <c r="C10260" t="s">
        <v>688</v>
      </c>
      <c r="D10260" t="s">
        <v>314</v>
      </c>
      <c r="E10260" t="s">
        <v>294</v>
      </c>
      <c r="F10260" t="s">
        <v>11031</v>
      </c>
      <c r="G10260">
        <v>37</v>
      </c>
      <c r="H10260">
        <v>6869.76</v>
      </c>
      <c r="I10260">
        <v>185.67</v>
      </c>
      <c r="J10260">
        <v>0</v>
      </c>
      <c r="K10260">
        <v>0</v>
      </c>
      <c r="L10260">
        <v>0</v>
      </c>
      <c r="M10260">
        <v>37</v>
      </c>
      <c r="N10260">
        <v>6869.76</v>
      </c>
      <c r="O10260">
        <v>185.67</v>
      </c>
    </row>
    <row r="10261" spans="1:15" x14ac:dyDescent="0.35">
      <c r="A10261" t="s">
        <v>11019</v>
      </c>
      <c r="B10261" t="s">
        <v>11020</v>
      </c>
      <c r="C10261" t="s">
        <v>688</v>
      </c>
      <c r="D10261" t="s">
        <v>314</v>
      </c>
      <c r="E10261" t="s">
        <v>296</v>
      </c>
      <c r="F10261" t="s">
        <v>11032</v>
      </c>
      <c r="G10261">
        <v>12</v>
      </c>
      <c r="H10261">
        <v>3416.98</v>
      </c>
      <c r="I10261">
        <v>284.75</v>
      </c>
      <c r="J10261">
        <v>0</v>
      </c>
      <c r="K10261">
        <v>0</v>
      </c>
      <c r="L10261">
        <v>0</v>
      </c>
      <c r="M10261">
        <v>12</v>
      </c>
      <c r="N10261">
        <v>3416.98</v>
      </c>
      <c r="O10261">
        <v>284.75</v>
      </c>
    </row>
    <row r="10262" spans="1:15" x14ac:dyDescent="0.35">
      <c r="A10262" t="s">
        <v>11019</v>
      </c>
      <c r="B10262" t="s">
        <v>11020</v>
      </c>
      <c r="C10262" t="s">
        <v>688</v>
      </c>
      <c r="D10262" t="s">
        <v>314</v>
      </c>
      <c r="E10262" t="s">
        <v>298</v>
      </c>
      <c r="F10262" t="s">
        <v>11033</v>
      </c>
      <c r="G10262">
        <v>0</v>
      </c>
      <c r="H10262">
        <v>0</v>
      </c>
      <c r="I10262">
        <v>0</v>
      </c>
      <c r="J10262">
        <v>0</v>
      </c>
      <c r="K10262">
        <v>0</v>
      </c>
      <c r="L10262">
        <v>0</v>
      </c>
      <c r="M10262">
        <v>0</v>
      </c>
      <c r="N10262">
        <v>0</v>
      </c>
      <c r="O10262">
        <v>0</v>
      </c>
    </row>
    <row r="10263" spans="1:15" x14ac:dyDescent="0.35">
      <c r="A10263" t="s">
        <v>11019</v>
      </c>
      <c r="B10263" t="s">
        <v>11020</v>
      </c>
      <c r="C10263" t="s">
        <v>688</v>
      </c>
      <c r="D10263" t="s">
        <v>314</v>
      </c>
      <c r="E10263" t="s">
        <v>300</v>
      </c>
      <c r="F10263" t="s">
        <v>11034</v>
      </c>
      <c r="G10263">
        <v>0</v>
      </c>
      <c r="H10263">
        <v>0</v>
      </c>
      <c r="I10263">
        <v>0</v>
      </c>
      <c r="J10263">
        <v>0</v>
      </c>
      <c r="K10263">
        <v>0</v>
      </c>
      <c r="L10263">
        <v>0</v>
      </c>
      <c r="M10263">
        <v>0</v>
      </c>
      <c r="N10263">
        <v>0</v>
      </c>
      <c r="O10263">
        <v>0</v>
      </c>
    </row>
    <row r="10264" spans="1:15" x14ac:dyDescent="0.35">
      <c r="A10264" t="s">
        <v>11019</v>
      </c>
      <c r="B10264" t="s">
        <v>11020</v>
      </c>
      <c r="C10264" t="s">
        <v>688</v>
      </c>
      <c r="D10264" t="s">
        <v>314</v>
      </c>
      <c r="E10264" t="s">
        <v>306</v>
      </c>
      <c r="F10264" t="s">
        <v>11035</v>
      </c>
      <c r="G10264">
        <v>0</v>
      </c>
      <c r="H10264">
        <v>0</v>
      </c>
      <c r="I10264">
        <v>0</v>
      </c>
      <c r="J10264">
        <v>0</v>
      </c>
      <c r="K10264">
        <v>0</v>
      </c>
      <c r="L10264">
        <v>0</v>
      </c>
      <c r="M10264">
        <v>0</v>
      </c>
      <c r="N10264">
        <v>0</v>
      </c>
      <c r="O10264">
        <v>0</v>
      </c>
    </row>
    <row r="10265" spans="1:15" x14ac:dyDescent="0.35">
      <c r="A10265" t="s">
        <v>11019</v>
      </c>
      <c r="B10265" t="s">
        <v>11020</v>
      </c>
      <c r="C10265" t="s">
        <v>688</v>
      </c>
      <c r="D10265" t="s">
        <v>314</v>
      </c>
      <c r="E10265" t="s">
        <v>308</v>
      </c>
      <c r="F10265" t="s">
        <v>11036</v>
      </c>
      <c r="G10265">
        <v>22</v>
      </c>
      <c r="H10265">
        <v>4368.1000000000004</v>
      </c>
      <c r="I10265">
        <v>198.55</v>
      </c>
      <c r="J10265">
        <v>0</v>
      </c>
      <c r="K10265">
        <v>0</v>
      </c>
      <c r="L10265">
        <v>0</v>
      </c>
      <c r="M10265">
        <v>22</v>
      </c>
      <c r="N10265">
        <v>4368.1000000000004</v>
      </c>
      <c r="O10265">
        <v>198.55</v>
      </c>
    </row>
    <row r="10266" spans="1:15" x14ac:dyDescent="0.35">
      <c r="A10266" t="s">
        <v>11019</v>
      </c>
      <c r="B10266" t="s">
        <v>11020</v>
      </c>
      <c r="C10266" t="s">
        <v>688</v>
      </c>
      <c r="D10266" t="s">
        <v>314</v>
      </c>
      <c r="E10266" t="s">
        <v>312</v>
      </c>
      <c r="F10266" t="s">
        <v>11037</v>
      </c>
      <c r="G10266">
        <v>49</v>
      </c>
      <c r="H10266">
        <v>10286.74</v>
      </c>
      <c r="I10266">
        <v>209.93</v>
      </c>
      <c r="J10266">
        <v>0</v>
      </c>
      <c r="K10266">
        <v>0</v>
      </c>
      <c r="L10266">
        <v>0</v>
      </c>
      <c r="M10266">
        <v>49</v>
      </c>
      <c r="N10266">
        <v>10286.74</v>
      </c>
      <c r="O10266">
        <v>209.93</v>
      </c>
    </row>
    <row r="10267" spans="1:15" x14ac:dyDescent="0.35">
      <c r="A10267" t="s">
        <v>11019</v>
      </c>
      <c r="B10267" t="s">
        <v>11020</v>
      </c>
      <c r="C10267" t="s">
        <v>688</v>
      </c>
      <c r="D10267" t="s">
        <v>314</v>
      </c>
      <c r="E10267" t="s">
        <v>310</v>
      </c>
      <c r="F10267" t="s">
        <v>11038</v>
      </c>
      <c r="G10267">
        <v>71</v>
      </c>
      <c r="H10267">
        <v>14654.84</v>
      </c>
      <c r="I10267">
        <v>206.41</v>
      </c>
      <c r="J10267">
        <v>0</v>
      </c>
      <c r="K10267">
        <v>0</v>
      </c>
      <c r="L10267">
        <v>0</v>
      </c>
      <c r="M10267">
        <v>71</v>
      </c>
      <c r="N10267">
        <v>14654.84</v>
      </c>
      <c r="O10267">
        <v>206.41</v>
      </c>
    </row>
    <row r="10268" spans="1:15" x14ac:dyDescent="0.35">
      <c r="A10268" t="s">
        <v>11019</v>
      </c>
      <c r="B10268" t="s">
        <v>11020</v>
      </c>
      <c r="C10268" t="s">
        <v>688</v>
      </c>
      <c r="D10268" t="s">
        <v>323</v>
      </c>
      <c r="E10268" t="s">
        <v>294</v>
      </c>
      <c r="F10268" t="s">
        <v>11039</v>
      </c>
      <c r="G10268">
        <v>1074</v>
      </c>
      <c r="H10268">
        <v>94650.84</v>
      </c>
      <c r="I10268">
        <v>88.13</v>
      </c>
      <c r="J10268">
        <v>9073</v>
      </c>
      <c r="K10268">
        <v>691271.87</v>
      </c>
      <c r="L10268">
        <v>76.19</v>
      </c>
      <c r="M10268">
        <v>10147</v>
      </c>
      <c r="N10268">
        <v>785922.71</v>
      </c>
      <c r="O10268">
        <v>77.45</v>
      </c>
    </row>
    <row r="10269" spans="1:15" x14ac:dyDescent="0.35">
      <c r="A10269" t="s">
        <v>11019</v>
      </c>
      <c r="B10269" t="s">
        <v>11020</v>
      </c>
      <c r="C10269" t="s">
        <v>688</v>
      </c>
      <c r="D10269" t="s">
        <v>323</v>
      </c>
      <c r="E10269" t="s">
        <v>296</v>
      </c>
      <c r="F10269" t="s">
        <v>11040</v>
      </c>
      <c r="G10269">
        <v>1257</v>
      </c>
      <c r="H10269">
        <v>129310.09</v>
      </c>
      <c r="I10269">
        <v>102.87</v>
      </c>
      <c r="J10269">
        <v>7401</v>
      </c>
      <c r="K10269">
        <v>660391.23</v>
      </c>
      <c r="L10269">
        <v>89.23</v>
      </c>
      <c r="M10269">
        <v>8658</v>
      </c>
      <c r="N10269">
        <v>789701.32</v>
      </c>
      <c r="O10269">
        <v>91.21</v>
      </c>
    </row>
    <row r="10270" spans="1:15" x14ac:dyDescent="0.35">
      <c r="A10270" t="s">
        <v>11019</v>
      </c>
      <c r="B10270" t="s">
        <v>11020</v>
      </c>
      <c r="C10270" t="s">
        <v>688</v>
      </c>
      <c r="D10270" t="s">
        <v>323</v>
      </c>
      <c r="E10270" t="s">
        <v>298</v>
      </c>
      <c r="F10270" t="s">
        <v>11041</v>
      </c>
      <c r="G10270">
        <v>924</v>
      </c>
      <c r="H10270">
        <v>107461.89000000001</v>
      </c>
      <c r="I10270">
        <v>116.3</v>
      </c>
      <c r="J10270">
        <v>4097</v>
      </c>
      <c r="K10270">
        <v>411092.98000000004</v>
      </c>
      <c r="L10270">
        <v>100.34</v>
      </c>
      <c r="M10270">
        <v>5021</v>
      </c>
      <c r="N10270">
        <v>518554.87000000005</v>
      </c>
      <c r="O10270">
        <v>103.28</v>
      </c>
    </row>
    <row r="10271" spans="1:15" x14ac:dyDescent="0.35">
      <c r="A10271" t="s">
        <v>11019</v>
      </c>
      <c r="B10271" t="s">
        <v>11020</v>
      </c>
      <c r="C10271" t="s">
        <v>688</v>
      </c>
      <c r="D10271" t="s">
        <v>323</v>
      </c>
      <c r="E10271" t="s">
        <v>300</v>
      </c>
      <c r="F10271" t="s">
        <v>11042</v>
      </c>
      <c r="G10271">
        <v>312</v>
      </c>
      <c r="H10271">
        <v>39342.71</v>
      </c>
      <c r="I10271">
        <v>126.1</v>
      </c>
      <c r="J10271">
        <v>305</v>
      </c>
      <c r="K10271">
        <v>32354.399999999998</v>
      </c>
      <c r="L10271">
        <v>106.08</v>
      </c>
      <c r="M10271">
        <v>617</v>
      </c>
      <c r="N10271">
        <v>71697.11</v>
      </c>
      <c r="O10271">
        <v>116.2</v>
      </c>
    </row>
    <row r="10272" spans="1:15" x14ac:dyDescent="0.35">
      <c r="A10272" t="s">
        <v>11019</v>
      </c>
      <c r="B10272" t="s">
        <v>11020</v>
      </c>
      <c r="C10272" t="s">
        <v>688</v>
      </c>
      <c r="D10272" t="s">
        <v>323</v>
      </c>
      <c r="E10272" t="s">
        <v>302</v>
      </c>
      <c r="F10272" t="s">
        <v>11043</v>
      </c>
      <c r="G10272">
        <v>61</v>
      </c>
      <c r="H10272">
        <v>8505.130000000001</v>
      </c>
      <c r="I10272">
        <v>139.43</v>
      </c>
      <c r="J10272">
        <v>9</v>
      </c>
      <c r="K10272">
        <v>1064.3400000000001</v>
      </c>
      <c r="L10272">
        <v>118.26</v>
      </c>
      <c r="M10272">
        <v>70</v>
      </c>
      <c r="N10272">
        <v>9569.4700000000012</v>
      </c>
      <c r="O10272">
        <v>136.71</v>
      </c>
    </row>
    <row r="10273" spans="1:15" x14ac:dyDescent="0.35">
      <c r="A10273" t="s">
        <v>11019</v>
      </c>
      <c r="B10273" t="s">
        <v>11020</v>
      </c>
      <c r="C10273" t="s">
        <v>688</v>
      </c>
      <c r="D10273" t="s">
        <v>323</v>
      </c>
      <c r="E10273" t="s">
        <v>304</v>
      </c>
      <c r="F10273" t="s">
        <v>11044</v>
      </c>
      <c r="G10273">
        <v>0</v>
      </c>
      <c r="H10273">
        <v>0</v>
      </c>
      <c r="I10273">
        <v>0</v>
      </c>
      <c r="J10273">
        <v>5</v>
      </c>
      <c r="K10273">
        <v>623.6</v>
      </c>
      <c r="L10273">
        <v>124.72</v>
      </c>
      <c r="M10273">
        <v>5</v>
      </c>
      <c r="N10273">
        <v>623.6</v>
      </c>
      <c r="O10273">
        <v>124.72</v>
      </c>
    </row>
    <row r="10274" spans="1:15" x14ac:dyDescent="0.35">
      <c r="A10274" t="s">
        <v>11019</v>
      </c>
      <c r="B10274" t="s">
        <v>11020</v>
      </c>
      <c r="C10274" t="s">
        <v>688</v>
      </c>
      <c r="D10274" t="s">
        <v>323</v>
      </c>
      <c r="E10274" t="s">
        <v>306</v>
      </c>
      <c r="F10274" t="s">
        <v>11045</v>
      </c>
      <c r="G10274">
        <v>6</v>
      </c>
      <c r="H10274">
        <v>431.58</v>
      </c>
      <c r="I10274">
        <v>71.930000000000007</v>
      </c>
      <c r="J10274">
        <v>123</v>
      </c>
      <c r="K10274">
        <v>7602.63</v>
      </c>
      <c r="L10274">
        <v>61.81</v>
      </c>
      <c r="M10274">
        <v>129</v>
      </c>
      <c r="N10274">
        <v>8034.21</v>
      </c>
      <c r="O10274">
        <v>62.28</v>
      </c>
    </row>
    <row r="10275" spans="1:15" x14ac:dyDescent="0.35">
      <c r="A10275" t="s">
        <v>11019</v>
      </c>
      <c r="B10275" t="s">
        <v>11020</v>
      </c>
      <c r="C10275" t="s">
        <v>688</v>
      </c>
      <c r="D10275" t="s">
        <v>323</v>
      </c>
      <c r="E10275" t="s">
        <v>308</v>
      </c>
      <c r="F10275" t="s">
        <v>11046</v>
      </c>
      <c r="G10275">
        <v>0</v>
      </c>
      <c r="H10275">
        <v>0</v>
      </c>
      <c r="I10275">
        <v>0</v>
      </c>
      <c r="J10275">
        <v>0</v>
      </c>
      <c r="K10275">
        <v>0</v>
      </c>
      <c r="L10275">
        <v>0</v>
      </c>
      <c r="M10275">
        <v>0</v>
      </c>
      <c r="N10275">
        <v>0</v>
      </c>
      <c r="O10275">
        <v>0</v>
      </c>
    </row>
    <row r="10276" spans="1:15" x14ac:dyDescent="0.35">
      <c r="A10276" t="s">
        <v>11019</v>
      </c>
      <c r="B10276" t="s">
        <v>11020</v>
      </c>
      <c r="C10276" t="s">
        <v>688</v>
      </c>
      <c r="D10276" t="s">
        <v>323</v>
      </c>
      <c r="E10276" t="s">
        <v>310</v>
      </c>
      <c r="F10276" t="s">
        <v>11047</v>
      </c>
      <c r="G10276">
        <v>3634</v>
      </c>
      <c r="H10276">
        <v>379702.24000000005</v>
      </c>
      <c r="I10276">
        <v>104.49</v>
      </c>
      <c r="J10276">
        <v>21013</v>
      </c>
      <c r="K10276">
        <v>1804401.05</v>
      </c>
      <c r="L10276">
        <v>85.87</v>
      </c>
      <c r="M10276">
        <v>24647</v>
      </c>
      <c r="N10276">
        <v>2184103.29</v>
      </c>
      <c r="O10276">
        <v>88.62</v>
      </c>
    </row>
    <row r="10277" spans="1:15" x14ac:dyDescent="0.35">
      <c r="A10277" t="s">
        <v>11019</v>
      </c>
      <c r="B10277" t="s">
        <v>11020</v>
      </c>
      <c r="C10277" t="s">
        <v>688</v>
      </c>
      <c r="D10277" t="s">
        <v>323</v>
      </c>
      <c r="E10277" t="s">
        <v>312</v>
      </c>
      <c r="F10277" t="s">
        <v>11048</v>
      </c>
      <c r="G10277">
        <v>3634</v>
      </c>
      <c r="H10277">
        <v>379702.24000000005</v>
      </c>
      <c r="I10277">
        <v>104.49</v>
      </c>
      <c r="J10277">
        <v>21013</v>
      </c>
      <c r="K10277">
        <v>1804401.05</v>
      </c>
      <c r="L10277">
        <v>85.87</v>
      </c>
      <c r="M10277">
        <v>24647</v>
      </c>
      <c r="N10277">
        <v>2184103.29</v>
      </c>
      <c r="O10277">
        <v>88.62</v>
      </c>
    </row>
    <row r="10278" spans="1:15" x14ac:dyDescent="0.35">
      <c r="A10278" t="s">
        <v>11019</v>
      </c>
      <c r="B10278" t="s">
        <v>11020</v>
      </c>
      <c r="C10278" t="s">
        <v>688</v>
      </c>
      <c r="D10278" t="s">
        <v>334</v>
      </c>
      <c r="E10278" t="s">
        <v>312</v>
      </c>
      <c r="F10278" t="s">
        <v>11049</v>
      </c>
      <c r="G10278">
        <v>4587</v>
      </c>
      <c r="H10278">
        <v>478204.44000000006</v>
      </c>
      <c r="I10278">
        <v>108.19</v>
      </c>
      <c r="J10278">
        <v>21061</v>
      </c>
      <c r="K10278">
        <v>1809701.2699999998</v>
      </c>
      <c r="L10278">
        <v>85.93</v>
      </c>
      <c r="M10278">
        <v>25648</v>
      </c>
      <c r="N10278">
        <v>2287905.71</v>
      </c>
      <c r="O10278">
        <v>89.79</v>
      </c>
    </row>
    <row r="10279" spans="1:15" x14ac:dyDescent="0.35">
      <c r="A10279" t="s">
        <v>11019</v>
      </c>
      <c r="B10279" t="s">
        <v>11020</v>
      </c>
      <c r="C10279" t="s">
        <v>688</v>
      </c>
      <c r="D10279" t="s">
        <v>334</v>
      </c>
      <c r="E10279" t="s">
        <v>308</v>
      </c>
      <c r="F10279" t="s">
        <v>11050</v>
      </c>
      <c r="G10279">
        <v>0</v>
      </c>
      <c r="H10279">
        <v>0</v>
      </c>
      <c r="I10279">
        <v>0</v>
      </c>
      <c r="J10279">
        <v>0</v>
      </c>
      <c r="K10279">
        <v>0</v>
      </c>
      <c r="L10279">
        <v>0</v>
      </c>
      <c r="M10279">
        <v>0</v>
      </c>
      <c r="N10279">
        <v>0</v>
      </c>
      <c r="O10279">
        <v>0</v>
      </c>
    </row>
    <row r="10280" spans="1:15" x14ac:dyDescent="0.35">
      <c r="A10280" t="s">
        <v>11019</v>
      </c>
      <c r="B10280" t="s">
        <v>11020</v>
      </c>
      <c r="C10280" t="s">
        <v>688</v>
      </c>
      <c r="D10280" t="s">
        <v>337</v>
      </c>
      <c r="E10280" t="s">
        <v>337</v>
      </c>
      <c r="F10280" t="s">
        <v>11051</v>
      </c>
      <c r="G10280">
        <v>672</v>
      </c>
      <c r="J10280">
        <v>0</v>
      </c>
      <c r="M10280">
        <v>672</v>
      </c>
    </row>
    <row r="10281" spans="1:15" x14ac:dyDescent="0.35">
      <c r="A10281" t="s">
        <v>11019</v>
      </c>
      <c r="B10281" t="s">
        <v>11020</v>
      </c>
      <c r="C10281" t="s">
        <v>688</v>
      </c>
      <c r="D10281" t="s">
        <v>339</v>
      </c>
      <c r="E10281" t="s">
        <v>294</v>
      </c>
      <c r="F10281" t="s">
        <v>11052</v>
      </c>
      <c r="G10281">
        <v>1119</v>
      </c>
      <c r="H10281">
        <v>113841.92000000001</v>
      </c>
      <c r="I10281">
        <v>101.74</v>
      </c>
      <c r="J10281">
        <v>332</v>
      </c>
      <c r="K10281">
        <v>25899.320000000003</v>
      </c>
      <c r="L10281">
        <v>78.010000000000005</v>
      </c>
      <c r="M10281">
        <v>1451</v>
      </c>
      <c r="N10281">
        <v>139741.24000000002</v>
      </c>
      <c r="O10281">
        <v>96.31</v>
      </c>
    </row>
    <row r="10282" spans="1:15" x14ac:dyDescent="0.35">
      <c r="A10282" t="s">
        <v>11019</v>
      </c>
      <c r="B10282" t="s">
        <v>11020</v>
      </c>
      <c r="C10282" t="s">
        <v>688</v>
      </c>
      <c r="D10282" t="s">
        <v>339</v>
      </c>
      <c r="E10282" t="s">
        <v>296</v>
      </c>
      <c r="F10282" t="s">
        <v>11053</v>
      </c>
      <c r="G10282">
        <v>154</v>
      </c>
      <c r="H10282">
        <v>16135.800000000001</v>
      </c>
      <c r="I10282">
        <v>104.78</v>
      </c>
      <c r="J10282">
        <v>24</v>
      </c>
      <c r="K10282">
        <v>2163.84</v>
      </c>
      <c r="L10282">
        <v>90.16</v>
      </c>
      <c r="M10282">
        <v>178</v>
      </c>
      <c r="N10282">
        <v>18299.64</v>
      </c>
      <c r="O10282">
        <v>102.81</v>
      </c>
    </row>
    <row r="10283" spans="1:15" x14ac:dyDescent="0.35">
      <c r="A10283" t="s">
        <v>11019</v>
      </c>
      <c r="B10283" t="s">
        <v>11020</v>
      </c>
      <c r="C10283" t="s">
        <v>688</v>
      </c>
      <c r="D10283" t="s">
        <v>339</v>
      </c>
      <c r="E10283" t="s">
        <v>298</v>
      </c>
      <c r="F10283" t="s">
        <v>11054</v>
      </c>
      <c r="G10283">
        <v>5</v>
      </c>
      <c r="H10283">
        <v>679.94</v>
      </c>
      <c r="I10283">
        <v>135.99</v>
      </c>
      <c r="J10283">
        <v>3</v>
      </c>
      <c r="K10283">
        <v>261.24</v>
      </c>
      <c r="L10283">
        <v>87.08</v>
      </c>
      <c r="M10283">
        <v>8</v>
      </c>
      <c r="N10283">
        <v>941.18000000000006</v>
      </c>
      <c r="O10283">
        <v>117.65</v>
      </c>
    </row>
    <row r="10284" spans="1:15" x14ac:dyDescent="0.35">
      <c r="A10284" t="s">
        <v>11019</v>
      </c>
      <c r="B10284" t="s">
        <v>11020</v>
      </c>
      <c r="C10284" t="s">
        <v>688</v>
      </c>
      <c r="D10284" t="s">
        <v>339</v>
      </c>
      <c r="E10284" t="s">
        <v>300</v>
      </c>
      <c r="F10284" t="s">
        <v>11055</v>
      </c>
      <c r="G10284">
        <v>0</v>
      </c>
      <c r="H10284">
        <v>0</v>
      </c>
      <c r="I10284">
        <v>0</v>
      </c>
      <c r="J10284">
        <v>0</v>
      </c>
      <c r="K10284">
        <v>0</v>
      </c>
      <c r="L10284">
        <v>0</v>
      </c>
      <c r="M10284">
        <v>0</v>
      </c>
      <c r="N10284">
        <v>0</v>
      </c>
      <c r="O10284">
        <v>0</v>
      </c>
    </row>
    <row r="10285" spans="1:15" x14ac:dyDescent="0.35">
      <c r="A10285" t="s">
        <v>11019</v>
      </c>
      <c r="B10285" t="s">
        <v>11020</v>
      </c>
      <c r="C10285" t="s">
        <v>688</v>
      </c>
      <c r="D10285" t="s">
        <v>339</v>
      </c>
      <c r="E10285" t="s">
        <v>306</v>
      </c>
      <c r="F10285" t="s">
        <v>11056</v>
      </c>
      <c r="G10285">
        <v>37</v>
      </c>
      <c r="H10285">
        <v>3449.7900000000004</v>
      </c>
      <c r="I10285">
        <v>93.24</v>
      </c>
      <c r="J10285">
        <v>179</v>
      </c>
      <c r="K10285">
        <v>11357.550000000001</v>
      </c>
      <c r="L10285">
        <v>63.45</v>
      </c>
      <c r="M10285">
        <v>216</v>
      </c>
      <c r="N10285">
        <v>14807.340000000002</v>
      </c>
      <c r="O10285">
        <v>68.55</v>
      </c>
    </row>
    <row r="10286" spans="1:15" x14ac:dyDescent="0.35">
      <c r="A10286" t="s">
        <v>11019</v>
      </c>
      <c r="B10286" t="s">
        <v>11020</v>
      </c>
      <c r="C10286" t="s">
        <v>688</v>
      </c>
      <c r="D10286" t="s">
        <v>339</v>
      </c>
      <c r="E10286" t="s">
        <v>308</v>
      </c>
      <c r="F10286" t="s">
        <v>11057</v>
      </c>
      <c r="G10286">
        <v>90</v>
      </c>
      <c r="H10286">
        <v>9014.25</v>
      </c>
      <c r="I10286">
        <v>100.16</v>
      </c>
      <c r="J10286">
        <v>0</v>
      </c>
      <c r="K10286">
        <v>0</v>
      </c>
      <c r="L10286">
        <v>0</v>
      </c>
      <c r="M10286">
        <v>90</v>
      </c>
      <c r="N10286">
        <v>9014.25</v>
      </c>
      <c r="O10286">
        <v>100.16</v>
      </c>
    </row>
    <row r="10287" spans="1:15" x14ac:dyDescent="0.35">
      <c r="A10287" t="s">
        <v>11019</v>
      </c>
      <c r="B10287" t="s">
        <v>11020</v>
      </c>
      <c r="C10287" t="s">
        <v>688</v>
      </c>
      <c r="D10287" t="s">
        <v>339</v>
      </c>
      <c r="E10287" t="s">
        <v>310</v>
      </c>
      <c r="F10287" t="s">
        <v>11058</v>
      </c>
      <c r="G10287">
        <v>1405</v>
      </c>
      <c r="H10287">
        <v>143121.70000000001</v>
      </c>
      <c r="I10287">
        <v>101.87</v>
      </c>
      <c r="J10287">
        <v>538</v>
      </c>
      <c r="K10287">
        <v>39681.950000000004</v>
      </c>
      <c r="L10287">
        <v>73.760000000000005</v>
      </c>
      <c r="M10287">
        <v>1943</v>
      </c>
      <c r="N10287">
        <v>182803.65000000002</v>
      </c>
      <c r="O10287">
        <v>94.08</v>
      </c>
    </row>
    <row r="10288" spans="1:15" x14ac:dyDescent="0.35">
      <c r="A10288" t="s">
        <v>11019</v>
      </c>
      <c r="B10288" t="s">
        <v>11020</v>
      </c>
      <c r="C10288" t="s">
        <v>688</v>
      </c>
      <c r="D10288" t="s">
        <v>339</v>
      </c>
      <c r="E10288" t="s">
        <v>312</v>
      </c>
      <c r="F10288" t="s">
        <v>11059</v>
      </c>
      <c r="G10288">
        <v>1315</v>
      </c>
      <c r="H10288">
        <v>134107.45000000001</v>
      </c>
      <c r="I10288">
        <v>101.98</v>
      </c>
      <c r="J10288">
        <v>538</v>
      </c>
      <c r="K10288">
        <v>39681.950000000004</v>
      </c>
      <c r="L10288">
        <v>73.760000000000005</v>
      </c>
      <c r="M10288">
        <v>1853</v>
      </c>
      <c r="N10288">
        <v>173789.40000000002</v>
      </c>
      <c r="O10288">
        <v>93.79</v>
      </c>
    </row>
    <row r="10289" spans="1:15" x14ac:dyDescent="0.35">
      <c r="A10289" t="s">
        <v>11019</v>
      </c>
      <c r="B10289" t="s">
        <v>11020</v>
      </c>
      <c r="C10289" t="s">
        <v>688</v>
      </c>
      <c r="D10289" t="s">
        <v>348</v>
      </c>
      <c r="E10289" t="s">
        <v>349</v>
      </c>
      <c r="F10289" t="s">
        <v>11060</v>
      </c>
      <c r="G10289">
        <v>1685</v>
      </c>
      <c r="H10289">
        <v>157776.54</v>
      </c>
      <c r="I10289">
        <v>106.89</v>
      </c>
      <c r="J10289">
        <v>538</v>
      </c>
      <c r="K10289">
        <v>39681.950000000004</v>
      </c>
      <c r="L10289">
        <v>73.760000000000005</v>
      </c>
      <c r="M10289">
        <v>2223</v>
      </c>
      <c r="N10289">
        <v>197458.49000000002</v>
      </c>
      <c r="O10289">
        <v>98.04</v>
      </c>
    </row>
    <row r="10290" spans="1:15" x14ac:dyDescent="0.35">
      <c r="A10290" t="s">
        <v>11061</v>
      </c>
      <c r="B10290" t="s">
        <v>11062</v>
      </c>
      <c r="C10290" t="s">
        <v>688</v>
      </c>
      <c r="D10290" t="s">
        <v>293</v>
      </c>
      <c r="E10290" t="s">
        <v>294</v>
      </c>
      <c r="F10290" t="s">
        <v>11063</v>
      </c>
      <c r="G10290">
        <v>269</v>
      </c>
      <c r="H10290">
        <v>31974.699999999997</v>
      </c>
      <c r="I10290">
        <v>118.87</v>
      </c>
      <c r="J10290">
        <v>37</v>
      </c>
      <c r="K10290">
        <v>5003.5099999999993</v>
      </c>
      <c r="L10290">
        <v>135.22999999999999</v>
      </c>
      <c r="M10290">
        <v>306</v>
      </c>
      <c r="N10290">
        <v>36978.21</v>
      </c>
      <c r="O10290">
        <v>120.84</v>
      </c>
    </row>
    <row r="10291" spans="1:15" x14ac:dyDescent="0.35">
      <c r="A10291" t="s">
        <v>11061</v>
      </c>
      <c r="B10291" t="s">
        <v>11062</v>
      </c>
      <c r="C10291" t="s">
        <v>688</v>
      </c>
      <c r="D10291" t="s">
        <v>293</v>
      </c>
      <c r="E10291" t="s">
        <v>296</v>
      </c>
      <c r="F10291" t="s">
        <v>11064</v>
      </c>
      <c r="G10291">
        <v>812</v>
      </c>
      <c r="H10291">
        <v>111619.68999999999</v>
      </c>
      <c r="I10291">
        <v>137.46</v>
      </c>
      <c r="J10291">
        <v>230</v>
      </c>
      <c r="K10291">
        <v>32857.800000000003</v>
      </c>
      <c r="L10291">
        <v>142.86000000000001</v>
      </c>
      <c r="M10291">
        <v>1042</v>
      </c>
      <c r="N10291">
        <v>144477.49</v>
      </c>
      <c r="O10291">
        <v>138.65</v>
      </c>
    </row>
    <row r="10292" spans="1:15" x14ac:dyDescent="0.35">
      <c r="A10292" t="s">
        <v>11061</v>
      </c>
      <c r="B10292" t="s">
        <v>11062</v>
      </c>
      <c r="C10292" t="s">
        <v>688</v>
      </c>
      <c r="D10292" t="s">
        <v>293</v>
      </c>
      <c r="E10292" t="s">
        <v>298</v>
      </c>
      <c r="F10292" t="s">
        <v>11065</v>
      </c>
      <c r="G10292">
        <v>456</v>
      </c>
      <c r="H10292">
        <v>68384.31</v>
      </c>
      <c r="I10292">
        <v>149.97</v>
      </c>
      <c r="J10292">
        <v>151</v>
      </c>
      <c r="K10292">
        <v>24205.300000000003</v>
      </c>
      <c r="L10292">
        <v>160.30000000000001</v>
      </c>
      <c r="M10292">
        <v>607</v>
      </c>
      <c r="N10292">
        <v>92589.61</v>
      </c>
      <c r="O10292">
        <v>152.54</v>
      </c>
    </row>
    <row r="10293" spans="1:15" x14ac:dyDescent="0.35">
      <c r="A10293" t="s">
        <v>11061</v>
      </c>
      <c r="B10293" t="s">
        <v>11062</v>
      </c>
      <c r="C10293" t="s">
        <v>688</v>
      </c>
      <c r="D10293" t="s">
        <v>293</v>
      </c>
      <c r="E10293" t="s">
        <v>300</v>
      </c>
      <c r="F10293" t="s">
        <v>11066</v>
      </c>
      <c r="G10293">
        <v>47</v>
      </c>
      <c r="H10293">
        <v>7534.52</v>
      </c>
      <c r="I10293">
        <v>160.31</v>
      </c>
      <c r="J10293">
        <v>16</v>
      </c>
      <c r="K10293">
        <v>3176</v>
      </c>
      <c r="L10293">
        <v>198.5</v>
      </c>
      <c r="M10293">
        <v>63</v>
      </c>
      <c r="N10293">
        <v>10710.52</v>
      </c>
      <c r="O10293">
        <v>170.01</v>
      </c>
    </row>
    <row r="10294" spans="1:15" x14ac:dyDescent="0.35">
      <c r="A10294" t="s">
        <v>11061</v>
      </c>
      <c r="B10294" t="s">
        <v>11062</v>
      </c>
      <c r="C10294" t="s">
        <v>688</v>
      </c>
      <c r="D10294" t="s">
        <v>293</v>
      </c>
      <c r="E10294" t="s">
        <v>302</v>
      </c>
      <c r="F10294" t="s">
        <v>11067</v>
      </c>
      <c r="G10294">
        <v>2</v>
      </c>
      <c r="H10294">
        <v>336.62</v>
      </c>
      <c r="I10294">
        <v>168.31</v>
      </c>
      <c r="J10294">
        <v>0</v>
      </c>
      <c r="K10294">
        <v>0</v>
      </c>
      <c r="L10294">
        <v>0</v>
      </c>
      <c r="M10294">
        <v>2</v>
      </c>
      <c r="N10294">
        <v>336.62</v>
      </c>
      <c r="O10294">
        <v>168.31</v>
      </c>
    </row>
    <row r="10295" spans="1:15" x14ac:dyDescent="0.35">
      <c r="A10295" t="s">
        <v>11061</v>
      </c>
      <c r="B10295" t="s">
        <v>11062</v>
      </c>
      <c r="C10295" t="s">
        <v>688</v>
      </c>
      <c r="D10295" t="s">
        <v>293</v>
      </c>
      <c r="E10295" t="s">
        <v>304</v>
      </c>
      <c r="F10295" t="s">
        <v>11068</v>
      </c>
      <c r="G10295">
        <v>0</v>
      </c>
      <c r="H10295">
        <v>0</v>
      </c>
      <c r="I10295">
        <v>0</v>
      </c>
      <c r="J10295">
        <v>2</v>
      </c>
      <c r="K10295">
        <v>692.94</v>
      </c>
      <c r="L10295">
        <v>346.47</v>
      </c>
      <c r="M10295">
        <v>2</v>
      </c>
      <c r="N10295">
        <v>692.94</v>
      </c>
      <c r="O10295">
        <v>346.47</v>
      </c>
    </row>
    <row r="10296" spans="1:15" x14ac:dyDescent="0.35">
      <c r="A10296" t="s">
        <v>11061</v>
      </c>
      <c r="B10296" t="s">
        <v>11062</v>
      </c>
      <c r="C10296" t="s">
        <v>688</v>
      </c>
      <c r="D10296" t="s">
        <v>293</v>
      </c>
      <c r="E10296" t="s">
        <v>306</v>
      </c>
      <c r="F10296" t="s">
        <v>11069</v>
      </c>
      <c r="G10296">
        <v>2</v>
      </c>
      <c r="H10296">
        <v>226.1</v>
      </c>
      <c r="I10296">
        <v>113.05</v>
      </c>
      <c r="J10296">
        <v>0</v>
      </c>
      <c r="K10296">
        <v>0</v>
      </c>
      <c r="L10296">
        <v>0</v>
      </c>
      <c r="M10296">
        <v>2</v>
      </c>
      <c r="N10296">
        <v>226.1</v>
      </c>
      <c r="O10296">
        <v>113.05</v>
      </c>
    </row>
    <row r="10297" spans="1:15" x14ac:dyDescent="0.35">
      <c r="A10297" t="s">
        <v>11061</v>
      </c>
      <c r="B10297" t="s">
        <v>11062</v>
      </c>
      <c r="C10297" t="s">
        <v>688</v>
      </c>
      <c r="D10297" t="s">
        <v>293</v>
      </c>
      <c r="E10297" t="s">
        <v>308</v>
      </c>
      <c r="F10297" t="s">
        <v>11070</v>
      </c>
      <c r="G10297">
        <v>0</v>
      </c>
      <c r="H10297">
        <v>0</v>
      </c>
      <c r="I10297">
        <v>0</v>
      </c>
      <c r="J10297">
        <v>0</v>
      </c>
      <c r="K10297">
        <v>0</v>
      </c>
      <c r="L10297">
        <v>0</v>
      </c>
      <c r="M10297">
        <v>0</v>
      </c>
      <c r="N10297">
        <v>0</v>
      </c>
      <c r="O10297">
        <v>0</v>
      </c>
    </row>
    <row r="10298" spans="1:15" x14ac:dyDescent="0.35">
      <c r="A10298" t="s">
        <v>11061</v>
      </c>
      <c r="B10298" t="s">
        <v>11062</v>
      </c>
      <c r="C10298" t="s">
        <v>688</v>
      </c>
      <c r="D10298" t="s">
        <v>293</v>
      </c>
      <c r="E10298" t="s">
        <v>310</v>
      </c>
      <c r="F10298" t="s">
        <v>11071</v>
      </c>
      <c r="G10298">
        <v>1588</v>
      </c>
      <c r="H10298">
        <v>220075.93999999997</v>
      </c>
      <c r="I10298">
        <v>138.59</v>
      </c>
      <c r="J10298">
        <v>436</v>
      </c>
      <c r="K10298">
        <v>65935.55</v>
      </c>
      <c r="L10298">
        <v>151.22999999999999</v>
      </c>
      <c r="M10298">
        <v>2024</v>
      </c>
      <c r="N10298">
        <v>286011.49</v>
      </c>
      <c r="O10298">
        <v>141.31</v>
      </c>
    </row>
    <row r="10299" spans="1:15" x14ac:dyDescent="0.35">
      <c r="A10299" t="s">
        <v>11061</v>
      </c>
      <c r="B10299" t="s">
        <v>11062</v>
      </c>
      <c r="C10299" t="s">
        <v>688</v>
      </c>
      <c r="D10299" t="s">
        <v>293</v>
      </c>
      <c r="E10299" t="s">
        <v>312</v>
      </c>
      <c r="F10299" t="s">
        <v>11072</v>
      </c>
      <c r="G10299">
        <v>1588</v>
      </c>
      <c r="H10299">
        <v>220075.93999999997</v>
      </c>
      <c r="I10299">
        <v>138.59</v>
      </c>
      <c r="J10299">
        <v>436</v>
      </c>
      <c r="K10299">
        <v>65935.55</v>
      </c>
      <c r="L10299">
        <v>151.22999999999999</v>
      </c>
      <c r="M10299">
        <v>2024</v>
      </c>
      <c r="N10299">
        <v>286011.49</v>
      </c>
      <c r="O10299">
        <v>141.31</v>
      </c>
    </row>
    <row r="10300" spans="1:15" x14ac:dyDescent="0.35">
      <c r="A10300" t="s">
        <v>11061</v>
      </c>
      <c r="B10300" t="s">
        <v>11062</v>
      </c>
      <c r="C10300" t="s">
        <v>688</v>
      </c>
      <c r="D10300" t="s">
        <v>314</v>
      </c>
      <c r="E10300" t="s">
        <v>294</v>
      </c>
      <c r="F10300" t="s">
        <v>11073</v>
      </c>
      <c r="G10300">
        <v>199</v>
      </c>
      <c r="H10300">
        <v>53812.38</v>
      </c>
      <c r="I10300">
        <v>270.41000000000003</v>
      </c>
      <c r="J10300">
        <v>74</v>
      </c>
      <c r="K10300">
        <v>17089.560000000001</v>
      </c>
      <c r="L10300">
        <v>230.94</v>
      </c>
      <c r="M10300">
        <v>273</v>
      </c>
      <c r="N10300">
        <v>70901.94</v>
      </c>
      <c r="O10300">
        <v>259.70999999999998</v>
      </c>
    </row>
    <row r="10301" spans="1:15" x14ac:dyDescent="0.35">
      <c r="A10301" t="s">
        <v>11061</v>
      </c>
      <c r="B10301" t="s">
        <v>11062</v>
      </c>
      <c r="C10301" t="s">
        <v>688</v>
      </c>
      <c r="D10301" t="s">
        <v>314</v>
      </c>
      <c r="E10301" t="s">
        <v>296</v>
      </c>
      <c r="F10301" t="s">
        <v>11074</v>
      </c>
      <c r="G10301">
        <v>83</v>
      </c>
      <c r="H10301">
        <v>22254.800000000003</v>
      </c>
      <c r="I10301">
        <v>268.13</v>
      </c>
      <c r="J10301">
        <v>37</v>
      </c>
      <c r="K10301">
        <v>8363.48</v>
      </c>
      <c r="L10301">
        <v>226.04</v>
      </c>
      <c r="M10301">
        <v>120</v>
      </c>
      <c r="N10301">
        <v>30618.280000000002</v>
      </c>
      <c r="O10301">
        <v>255.15</v>
      </c>
    </row>
    <row r="10302" spans="1:15" x14ac:dyDescent="0.35">
      <c r="A10302" t="s">
        <v>11061</v>
      </c>
      <c r="B10302" t="s">
        <v>11062</v>
      </c>
      <c r="C10302" t="s">
        <v>688</v>
      </c>
      <c r="D10302" t="s">
        <v>314</v>
      </c>
      <c r="E10302" t="s">
        <v>298</v>
      </c>
      <c r="F10302" t="s">
        <v>11075</v>
      </c>
      <c r="G10302">
        <v>0</v>
      </c>
      <c r="H10302">
        <v>0</v>
      </c>
      <c r="I10302">
        <v>0</v>
      </c>
      <c r="J10302">
        <v>0</v>
      </c>
      <c r="K10302">
        <v>0</v>
      </c>
      <c r="L10302">
        <v>0</v>
      </c>
      <c r="M10302">
        <v>0</v>
      </c>
      <c r="N10302">
        <v>0</v>
      </c>
      <c r="O10302">
        <v>0</v>
      </c>
    </row>
    <row r="10303" spans="1:15" x14ac:dyDescent="0.35">
      <c r="A10303" t="s">
        <v>11061</v>
      </c>
      <c r="B10303" t="s">
        <v>11062</v>
      </c>
      <c r="C10303" t="s">
        <v>688</v>
      </c>
      <c r="D10303" t="s">
        <v>314</v>
      </c>
      <c r="E10303" t="s">
        <v>300</v>
      </c>
      <c r="F10303" t="s">
        <v>11076</v>
      </c>
      <c r="G10303">
        <v>0</v>
      </c>
      <c r="H10303">
        <v>0</v>
      </c>
      <c r="I10303">
        <v>0</v>
      </c>
      <c r="J10303">
        <v>0</v>
      </c>
      <c r="K10303">
        <v>0</v>
      </c>
      <c r="L10303">
        <v>0</v>
      </c>
      <c r="M10303">
        <v>0</v>
      </c>
      <c r="N10303">
        <v>0</v>
      </c>
      <c r="O10303">
        <v>0</v>
      </c>
    </row>
    <row r="10304" spans="1:15" x14ac:dyDescent="0.35">
      <c r="A10304" t="s">
        <v>11061</v>
      </c>
      <c r="B10304" t="s">
        <v>11062</v>
      </c>
      <c r="C10304" t="s">
        <v>688</v>
      </c>
      <c r="D10304" t="s">
        <v>314</v>
      </c>
      <c r="E10304" t="s">
        <v>306</v>
      </c>
      <c r="F10304" t="s">
        <v>11077</v>
      </c>
      <c r="G10304">
        <v>0</v>
      </c>
      <c r="H10304">
        <v>0</v>
      </c>
      <c r="I10304">
        <v>0</v>
      </c>
      <c r="J10304">
        <v>0</v>
      </c>
      <c r="K10304">
        <v>0</v>
      </c>
      <c r="L10304">
        <v>0</v>
      </c>
      <c r="M10304">
        <v>0</v>
      </c>
      <c r="N10304">
        <v>0</v>
      </c>
      <c r="O10304">
        <v>0</v>
      </c>
    </row>
    <row r="10305" spans="1:15" x14ac:dyDescent="0.35">
      <c r="A10305" t="s">
        <v>11061</v>
      </c>
      <c r="B10305" t="s">
        <v>11062</v>
      </c>
      <c r="C10305" t="s">
        <v>688</v>
      </c>
      <c r="D10305" t="s">
        <v>314</v>
      </c>
      <c r="E10305" t="s">
        <v>308</v>
      </c>
      <c r="F10305" t="s">
        <v>11078</v>
      </c>
      <c r="G10305">
        <v>0</v>
      </c>
      <c r="H10305">
        <v>0</v>
      </c>
      <c r="I10305">
        <v>0</v>
      </c>
      <c r="J10305">
        <v>0</v>
      </c>
      <c r="K10305">
        <v>0</v>
      </c>
      <c r="L10305">
        <v>0</v>
      </c>
      <c r="M10305">
        <v>0</v>
      </c>
      <c r="N10305">
        <v>0</v>
      </c>
      <c r="O10305">
        <v>0</v>
      </c>
    </row>
    <row r="10306" spans="1:15" x14ac:dyDescent="0.35">
      <c r="A10306" t="s">
        <v>11061</v>
      </c>
      <c r="B10306" t="s">
        <v>11062</v>
      </c>
      <c r="C10306" t="s">
        <v>688</v>
      </c>
      <c r="D10306" t="s">
        <v>314</v>
      </c>
      <c r="E10306" t="s">
        <v>312</v>
      </c>
      <c r="F10306" t="s">
        <v>11079</v>
      </c>
      <c r="G10306">
        <v>282</v>
      </c>
      <c r="H10306">
        <v>76067.179999999993</v>
      </c>
      <c r="I10306">
        <v>269.74</v>
      </c>
      <c r="J10306">
        <v>111</v>
      </c>
      <c r="K10306">
        <v>25453.040000000001</v>
      </c>
      <c r="L10306">
        <v>229.31</v>
      </c>
      <c r="M10306">
        <v>393</v>
      </c>
      <c r="N10306">
        <v>101520.22</v>
      </c>
      <c r="O10306">
        <v>258.32</v>
      </c>
    </row>
    <row r="10307" spans="1:15" x14ac:dyDescent="0.35">
      <c r="A10307" t="s">
        <v>11061</v>
      </c>
      <c r="B10307" t="s">
        <v>11062</v>
      </c>
      <c r="C10307" t="s">
        <v>688</v>
      </c>
      <c r="D10307" t="s">
        <v>314</v>
      </c>
      <c r="E10307" t="s">
        <v>310</v>
      </c>
      <c r="F10307" t="s">
        <v>11080</v>
      </c>
      <c r="G10307">
        <v>282</v>
      </c>
      <c r="H10307">
        <v>76067.179999999993</v>
      </c>
      <c r="I10307">
        <v>269.74</v>
      </c>
      <c r="J10307">
        <v>111</v>
      </c>
      <c r="K10307">
        <v>25453.040000000001</v>
      </c>
      <c r="L10307">
        <v>229.31</v>
      </c>
      <c r="M10307">
        <v>393</v>
      </c>
      <c r="N10307">
        <v>101520.22</v>
      </c>
      <c r="O10307">
        <v>258.32</v>
      </c>
    </row>
    <row r="10308" spans="1:15" x14ac:dyDescent="0.35">
      <c r="A10308" t="s">
        <v>11061</v>
      </c>
      <c r="B10308" t="s">
        <v>11062</v>
      </c>
      <c r="C10308" t="s">
        <v>688</v>
      </c>
      <c r="D10308" t="s">
        <v>323</v>
      </c>
      <c r="E10308" t="s">
        <v>294</v>
      </c>
      <c r="F10308" t="s">
        <v>11081</v>
      </c>
      <c r="G10308">
        <v>2991</v>
      </c>
      <c r="H10308">
        <v>267878.88</v>
      </c>
      <c r="I10308">
        <v>89.56</v>
      </c>
      <c r="J10308">
        <v>11509</v>
      </c>
      <c r="K10308">
        <v>911512.8</v>
      </c>
      <c r="L10308">
        <v>79.2</v>
      </c>
      <c r="M10308">
        <v>14500</v>
      </c>
      <c r="N10308">
        <v>1179391.6800000002</v>
      </c>
      <c r="O10308">
        <v>81.34</v>
      </c>
    </row>
    <row r="10309" spans="1:15" x14ac:dyDescent="0.35">
      <c r="A10309" t="s">
        <v>11061</v>
      </c>
      <c r="B10309" t="s">
        <v>11062</v>
      </c>
      <c r="C10309" t="s">
        <v>688</v>
      </c>
      <c r="D10309" t="s">
        <v>323</v>
      </c>
      <c r="E10309" t="s">
        <v>296</v>
      </c>
      <c r="F10309" t="s">
        <v>11082</v>
      </c>
      <c r="G10309">
        <v>4880</v>
      </c>
      <c r="H10309">
        <v>511337.71</v>
      </c>
      <c r="I10309">
        <v>104.78</v>
      </c>
      <c r="J10309">
        <v>20016</v>
      </c>
      <c r="K10309">
        <v>1802240.6400000001</v>
      </c>
      <c r="L10309">
        <v>90.04</v>
      </c>
      <c r="M10309">
        <v>24896</v>
      </c>
      <c r="N10309">
        <v>2313578.35</v>
      </c>
      <c r="O10309">
        <v>92.93</v>
      </c>
    </row>
    <row r="10310" spans="1:15" x14ac:dyDescent="0.35">
      <c r="A10310" t="s">
        <v>11061</v>
      </c>
      <c r="B10310" t="s">
        <v>11062</v>
      </c>
      <c r="C10310" t="s">
        <v>688</v>
      </c>
      <c r="D10310" t="s">
        <v>323</v>
      </c>
      <c r="E10310" t="s">
        <v>298</v>
      </c>
      <c r="F10310" t="s">
        <v>11083</v>
      </c>
      <c r="G10310">
        <v>2611</v>
      </c>
      <c r="H10310">
        <v>300054.88999999996</v>
      </c>
      <c r="I10310">
        <v>114.92</v>
      </c>
      <c r="J10310">
        <v>14195</v>
      </c>
      <c r="K10310">
        <v>1402466</v>
      </c>
      <c r="L10310">
        <v>98.8</v>
      </c>
      <c r="M10310">
        <v>16806</v>
      </c>
      <c r="N10310">
        <v>1702520.89</v>
      </c>
      <c r="O10310">
        <v>101.3</v>
      </c>
    </row>
    <row r="10311" spans="1:15" x14ac:dyDescent="0.35">
      <c r="A10311" t="s">
        <v>11061</v>
      </c>
      <c r="B10311" t="s">
        <v>11062</v>
      </c>
      <c r="C10311" t="s">
        <v>688</v>
      </c>
      <c r="D10311" t="s">
        <v>323</v>
      </c>
      <c r="E10311" t="s">
        <v>300</v>
      </c>
      <c r="F10311" t="s">
        <v>11084</v>
      </c>
      <c r="G10311">
        <v>882</v>
      </c>
      <c r="H10311">
        <v>106692.66</v>
      </c>
      <c r="I10311">
        <v>120.97</v>
      </c>
      <c r="J10311">
        <v>1716</v>
      </c>
      <c r="K10311">
        <v>179390.64</v>
      </c>
      <c r="L10311">
        <v>104.54</v>
      </c>
      <c r="M10311">
        <v>2598</v>
      </c>
      <c r="N10311">
        <v>286083.30000000005</v>
      </c>
      <c r="O10311">
        <v>110.12</v>
      </c>
    </row>
    <row r="10312" spans="1:15" x14ac:dyDescent="0.35">
      <c r="A10312" t="s">
        <v>11061</v>
      </c>
      <c r="B10312" t="s">
        <v>11062</v>
      </c>
      <c r="C10312" t="s">
        <v>688</v>
      </c>
      <c r="D10312" t="s">
        <v>323</v>
      </c>
      <c r="E10312" t="s">
        <v>302</v>
      </c>
      <c r="F10312" t="s">
        <v>11085</v>
      </c>
      <c r="G10312">
        <v>116</v>
      </c>
      <c r="H10312">
        <v>15637.36</v>
      </c>
      <c r="I10312">
        <v>134.80000000000001</v>
      </c>
      <c r="J10312">
        <v>104</v>
      </c>
      <c r="K10312">
        <v>12085.84</v>
      </c>
      <c r="L10312">
        <v>116.21</v>
      </c>
      <c r="M10312">
        <v>220</v>
      </c>
      <c r="N10312">
        <v>27723.200000000001</v>
      </c>
      <c r="O10312">
        <v>126.01</v>
      </c>
    </row>
    <row r="10313" spans="1:15" x14ac:dyDescent="0.35">
      <c r="A10313" t="s">
        <v>11061</v>
      </c>
      <c r="B10313" t="s">
        <v>11062</v>
      </c>
      <c r="C10313" t="s">
        <v>688</v>
      </c>
      <c r="D10313" t="s">
        <v>323</v>
      </c>
      <c r="E10313" t="s">
        <v>304</v>
      </c>
      <c r="F10313" t="s">
        <v>11086</v>
      </c>
      <c r="G10313">
        <v>11</v>
      </c>
      <c r="H10313">
        <v>1581.55</v>
      </c>
      <c r="I10313">
        <v>143.78</v>
      </c>
      <c r="J10313">
        <v>30</v>
      </c>
      <c r="K10313">
        <v>3559.2</v>
      </c>
      <c r="L10313">
        <v>118.64</v>
      </c>
      <c r="M10313">
        <v>41</v>
      </c>
      <c r="N10313">
        <v>5140.75</v>
      </c>
      <c r="O10313">
        <v>125.38</v>
      </c>
    </row>
    <row r="10314" spans="1:15" x14ac:dyDescent="0.35">
      <c r="A10314" t="s">
        <v>11061</v>
      </c>
      <c r="B10314" t="s">
        <v>11062</v>
      </c>
      <c r="C10314" t="s">
        <v>688</v>
      </c>
      <c r="D10314" t="s">
        <v>323</v>
      </c>
      <c r="E10314" t="s">
        <v>306</v>
      </c>
      <c r="F10314" t="s">
        <v>11087</v>
      </c>
      <c r="G10314">
        <v>147</v>
      </c>
      <c r="H10314">
        <v>11297.8</v>
      </c>
      <c r="I10314">
        <v>76.86</v>
      </c>
      <c r="J10314">
        <v>160</v>
      </c>
      <c r="K10314">
        <v>12217.6</v>
      </c>
      <c r="L10314">
        <v>76.36</v>
      </c>
      <c r="M10314">
        <v>307</v>
      </c>
      <c r="N10314">
        <v>23515.4</v>
      </c>
      <c r="O10314">
        <v>76.599999999999994</v>
      </c>
    </row>
    <row r="10315" spans="1:15" x14ac:dyDescent="0.35">
      <c r="A10315" t="s">
        <v>11061</v>
      </c>
      <c r="B10315" t="s">
        <v>11062</v>
      </c>
      <c r="C10315" t="s">
        <v>688</v>
      </c>
      <c r="D10315" t="s">
        <v>323</v>
      </c>
      <c r="E10315" t="s">
        <v>308</v>
      </c>
      <c r="F10315" t="s">
        <v>11088</v>
      </c>
      <c r="G10315">
        <v>8</v>
      </c>
      <c r="H10315">
        <v>402.88</v>
      </c>
      <c r="I10315">
        <v>50.36</v>
      </c>
      <c r="J10315">
        <v>0</v>
      </c>
      <c r="K10315">
        <v>0</v>
      </c>
      <c r="L10315">
        <v>0</v>
      </c>
      <c r="M10315">
        <v>8</v>
      </c>
      <c r="N10315">
        <v>402.88</v>
      </c>
      <c r="O10315">
        <v>50.36</v>
      </c>
    </row>
    <row r="10316" spans="1:15" x14ac:dyDescent="0.35">
      <c r="A10316" t="s">
        <v>11061</v>
      </c>
      <c r="B10316" t="s">
        <v>11062</v>
      </c>
      <c r="C10316" t="s">
        <v>688</v>
      </c>
      <c r="D10316" t="s">
        <v>323</v>
      </c>
      <c r="E10316" t="s">
        <v>310</v>
      </c>
      <c r="F10316" t="s">
        <v>11089</v>
      </c>
      <c r="G10316">
        <v>11646</v>
      </c>
      <c r="H10316">
        <v>1214883.73</v>
      </c>
      <c r="I10316">
        <v>104.32</v>
      </c>
      <c r="J10316">
        <v>47730</v>
      </c>
      <c r="K10316">
        <v>4323472.72</v>
      </c>
      <c r="L10316">
        <v>90.58</v>
      </c>
      <c r="M10316">
        <v>59376</v>
      </c>
      <c r="N10316">
        <v>5538356.4499999993</v>
      </c>
      <c r="O10316">
        <v>93.28</v>
      </c>
    </row>
    <row r="10317" spans="1:15" x14ac:dyDescent="0.35">
      <c r="A10317" t="s">
        <v>11061</v>
      </c>
      <c r="B10317" t="s">
        <v>11062</v>
      </c>
      <c r="C10317" t="s">
        <v>688</v>
      </c>
      <c r="D10317" t="s">
        <v>323</v>
      </c>
      <c r="E10317" t="s">
        <v>312</v>
      </c>
      <c r="F10317" t="s">
        <v>11090</v>
      </c>
      <c r="G10317">
        <v>11638</v>
      </c>
      <c r="H10317">
        <v>1214480.8500000001</v>
      </c>
      <c r="I10317">
        <v>104.35</v>
      </c>
      <c r="J10317">
        <v>47730</v>
      </c>
      <c r="K10317">
        <v>4323472.72</v>
      </c>
      <c r="L10317">
        <v>90.58</v>
      </c>
      <c r="M10317">
        <v>59368</v>
      </c>
      <c r="N10317">
        <v>5537953.5700000003</v>
      </c>
      <c r="O10317">
        <v>93.28</v>
      </c>
    </row>
    <row r="10318" spans="1:15" x14ac:dyDescent="0.35">
      <c r="A10318" t="s">
        <v>11061</v>
      </c>
      <c r="B10318" t="s">
        <v>11062</v>
      </c>
      <c r="C10318" t="s">
        <v>688</v>
      </c>
      <c r="D10318" t="s">
        <v>334</v>
      </c>
      <c r="E10318" t="s">
        <v>312</v>
      </c>
      <c r="F10318" t="s">
        <v>11091</v>
      </c>
      <c r="G10318">
        <v>14151</v>
      </c>
      <c r="H10318">
        <v>1434556.79</v>
      </c>
      <c r="I10318">
        <v>108.46</v>
      </c>
      <c r="J10318">
        <v>48166</v>
      </c>
      <c r="K10318">
        <v>4389408.2699999996</v>
      </c>
      <c r="L10318">
        <v>91.13</v>
      </c>
      <c r="M10318">
        <v>62317</v>
      </c>
      <c r="N10318">
        <v>5823965.0599999996</v>
      </c>
      <c r="O10318">
        <v>94.87</v>
      </c>
    </row>
    <row r="10319" spans="1:15" x14ac:dyDescent="0.35">
      <c r="A10319" t="s">
        <v>11061</v>
      </c>
      <c r="B10319" t="s">
        <v>11062</v>
      </c>
      <c r="C10319" t="s">
        <v>688</v>
      </c>
      <c r="D10319" t="s">
        <v>334</v>
      </c>
      <c r="E10319" t="s">
        <v>308</v>
      </c>
      <c r="F10319" t="s">
        <v>11092</v>
      </c>
      <c r="G10319">
        <v>22</v>
      </c>
      <c r="H10319">
        <v>402.88</v>
      </c>
      <c r="I10319">
        <v>50.36</v>
      </c>
      <c r="J10319">
        <v>0</v>
      </c>
      <c r="K10319">
        <v>0</v>
      </c>
      <c r="L10319">
        <v>0</v>
      </c>
      <c r="M10319">
        <v>22</v>
      </c>
      <c r="N10319">
        <v>402.88</v>
      </c>
      <c r="O10319">
        <v>50.36</v>
      </c>
    </row>
    <row r="10320" spans="1:15" x14ac:dyDescent="0.35">
      <c r="A10320" t="s">
        <v>11061</v>
      </c>
      <c r="B10320" t="s">
        <v>11062</v>
      </c>
      <c r="C10320" t="s">
        <v>688</v>
      </c>
      <c r="D10320" t="s">
        <v>337</v>
      </c>
      <c r="E10320" t="s">
        <v>337</v>
      </c>
      <c r="F10320" t="s">
        <v>11093</v>
      </c>
      <c r="G10320">
        <v>1886</v>
      </c>
      <c r="J10320">
        <v>6</v>
      </c>
      <c r="M10320">
        <v>1892</v>
      </c>
    </row>
    <row r="10321" spans="1:15" x14ac:dyDescent="0.35">
      <c r="A10321" t="s">
        <v>11061</v>
      </c>
      <c r="B10321" t="s">
        <v>11062</v>
      </c>
      <c r="C10321" t="s">
        <v>688</v>
      </c>
      <c r="D10321" t="s">
        <v>339</v>
      </c>
      <c r="E10321" t="s">
        <v>294</v>
      </c>
      <c r="F10321" t="s">
        <v>11094</v>
      </c>
      <c r="G10321">
        <v>2125</v>
      </c>
      <c r="H10321">
        <v>241294.04</v>
      </c>
      <c r="I10321">
        <v>113.55</v>
      </c>
      <c r="J10321">
        <v>3010</v>
      </c>
      <c r="K10321">
        <v>252478.8</v>
      </c>
      <c r="L10321">
        <v>83.88</v>
      </c>
      <c r="M10321">
        <v>5135</v>
      </c>
      <c r="N10321">
        <v>493772.83999999997</v>
      </c>
      <c r="O10321">
        <v>96.16</v>
      </c>
    </row>
    <row r="10322" spans="1:15" x14ac:dyDescent="0.35">
      <c r="A10322" t="s">
        <v>11061</v>
      </c>
      <c r="B10322" t="s">
        <v>11062</v>
      </c>
      <c r="C10322" t="s">
        <v>688</v>
      </c>
      <c r="D10322" t="s">
        <v>339</v>
      </c>
      <c r="E10322" t="s">
        <v>296</v>
      </c>
      <c r="F10322" t="s">
        <v>11095</v>
      </c>
      <c r="G10322">
        <v>515</v>
      </c>
      <c r="H10322">
        <v>58110.11</v>
      </c>
      <c r="I10322">
        <v>112.84</v>
      </c>
      <c r="J10322">
        <v>937</v>
      </c>
      <c r="K10322">
        <v>86766.2</v>
      </c>
      <c r="L10322">
        <v>92.6</v>
      </c>
      <c r="M10322">
        <v>1452</v>
      </c>
      <c r="N10322">
        <v>144876.31</v>
      </c>
      <c r="O10322">
        <v>99.78</v>
      </c>
    </row>
    <row r="10323" spans="1:15" x14ac:dyDescent="0.35">
      <c r="A10323" t="s">
        <v>11061</v>
      </c>
      <c r="B10323" t="s">
        <v>11062</v>
      </c>
      <c r="C10323" t="s">
        <v>688</v>
      </c>
      <c r="D10323" t="s">
        <v>339</v>
      </c>
      <c r="E10323" t="s">
        <v>298</v>
      </c>
      <c r="F10323" t="s">
        <v>11096</v>
      </c>
      <c r="G10323">
        <v>28</v>
      </c>
      <c r="H10323">
        <v>3978.52</v>
      </c>
      <c r="I10323">
        <v>142.09</v>
      </c>
      <c r="J10323">
        <v>6</v>
      </c>
      <c r="K10323">
        <v>565.74</v>
      </c>
      <c r="L10323">
        <v>94.29</v>
      </c>
      <c r="M10323">
        <v>34</v>
      </c>
      <c r="N10323">
        <v>4544.26</v>
      </c>
      <c r="O10323">
        <v>133.65</v>
      </c>
    </row>
    <row r="10324" spans="1:15" x14ac:dyDescent="0.35">
      <c r="A10324" t="s">
        <v>11061</v>
      </c>
      <c r="B10324" t="s">
        <v>11062</v>
      </c>
      <c r="C10324" t="s">
        <v>688</v>
      </c>
      <c r="D10324" t="s">
        <v>339</v>
      </c>
      <c r="E10324" t="s">
        <v>300</v>
      </c>
      <c r="F10324" t="s">
        <v>11097</v>
      </c>
      <c r="G10324">
        <v>2</v>
      </c>
      <c r="H10324">
        <v>263.54000000000002</v>
      </c>
      <c r="I10324">
        <v>131.77000000000001</v>
      </c>
      <c r="J10324">
        <v>0</v>
      </c>
      <c r="K10324">
        <v>0</v>
      </c>
      <c r="L10324">
        <v>0</v>
      </c>
      <c r="M10324">
        <v>2</v>
      </c>
      <c r="N10324">
        <v>263.54000000000002</v>
      </c>
      <c r="O10324">
        <v>131.77000000000001</v>
      </c>
    </row>
    <row r="10325" spans="1:15" x14ac:dyDescent="0.35">
      <c r="A10325" t="s">
        <v>11061</v>
      </c>
      <c r="B10325" t="s">
        <v>11062</v>
      </c>
      <c r="C10325" t="s">
        <v>688</v>
      </c>
      <c r="D10325" t="s">
        <v>339</v>
      </c>
      <c r="E10325" t="s">
        <v>306</v>
      </c>
      <c r="F10325" t="s">
        <v>11098</v>
      </c>
      <c r="G10325">
        <v>257</v>
      </c>
      <c r="H10325">
        <v>21058.01</v>
      </c>
      <c r="I10325">
        <v>81.94</v>
      </c>
      <c r="J10325">
        <v>119</v>
      </c>
      <c r="K10325">
        <v>8370.4600000000009</v>
      </c>
      <c r="L10325">
        <v>70.34</v>
      </c>
      <c r="M10325">
        <v>376</v>
      </c>
      <c r="N10325">
        <v>29428.47</v>
      </c>
      <c r="O10325">
        <v>78.27</v>
      </c>
    </row>
    <row r="10326" spans="1:15" x14ac:dyDescent="0.35">
      <c r="A10326" t="s">
        <v>11061</v>
      </c>
      <c r="B10326" t="s">
        <v>11062</v>
      </c>
      <c r="C10326" t="s">
        <v>688</v>
      </c>
      <c r="D10326" t="s">
        <v>339</v>
      </c>
      <c r="E10326" t="s">
        <v>308</v>
      </c>
      <c r="F10326" t="s">
        <v>11099</v>
      </c>
      <c r="G10326">
        <v>539</v>
      </c>
      <c r="H10326">
        <v>94601.07</v>
      </c>
      <c r="I10326">
        <v>175.51</v>
      </c>
      <c r="J10326">
        <v>0</v>
      </c>
      <c r="K10326">
        <v>0</v>
      </c>
      <c r="L10326">
        <v>0</v>
      </c>
      <c r="M10326">
        <v>539</v>
      </c>
      <c r="N10326">
        <v>94601.07</v>
      </c>
      <c r="O10326">
        <v>175.51</v>
      </c>
    </row>
    <row r="10327" spans="1:15" x14ac:dyDescent="0.35">
      <c r="A10327" t="s">
        <v>11061</v>
      </c>
      <c r="B10327" t="s">
        <v>11062</v>
      </c>
      <c r="C10327" t="s">
        <v>688</v>
      </c>
      <c r="D10327" t="s">
        <v>339</v>
      </c>
      <c r="E10327" t="s">
        <v>310</v>
      </c>
      <c r="F10327" t="s">
        <v>11100</v>
      </c>
      <c r="G10327">
        <v>3466</v>
      </c>
      <c r="H10327">
        <v>419305.29000000004</v>
      </c>
      <c r="I10327">
        <v>120.98</v>
      </c>
      <c r="J10327">
        <v>4072</v>
      </c>
      <c r="K10327">
        <v>348181.2</v>
      </c>
      <c r="L10327">
        <v>85.51</v>
      </c>
      <c r="M10327">
        <v>7538</v>
      </c>
      <c r="N10327">
        <v>767486.49</v>
      </c>
      <c r="O10327">
        <v>101.82</v>
      </c>
    </row>
    <row r="10328" spans="1:15" x14ac:dyDescent="0.35">
      <c r="A10328" t="s">
        <v>11061</v>
      </c>
      <c r="B10328" t="s">
        <v>11062</v>
      </c>
      <c r="C10328" t="s">
        <v>688</v>
      </c>
      <c r="D10328" t="s">
        <v>339</v>
      </c>
      <c r="E10328" t="s">
        <v>312</v>
      </c>
      <c r="F10328" t="s">
        <v>11101</v>
      </c>
      <c r="G10328">
        <v>2927</v>
      </c>
      <c r="H10328">
        <v>324704.22000000003</v>
      </c>
      <c r="I10328">
        <v>110.93</v>
      </c>
      <c r="J10328">
        <v>4072</v>
      </c>
      <c r="K10328">
        <v>348181.2</v>
      </c>
      <c r="L10328">
        <v>85.51</v>
      </c>
      <c r="M10328">
        <v>6999</v>
      </c>
      <c r="N10328">
        <v>672885.42</v>
      </c>
      <c r="O10328">
        <v>96.14</v>
      </c>
    </row>
    <row r="10329" spans="1:15" x14ac:dyDescent="0.35">
      <c r="A10329" t="s">
        <v>11061</v>
      </c>
      <c r="B10329" t="s">
        <v>11062</v>
      </c>
      <c r="C10329" t="s">
        <v>688</v>
      </c>
      <c r="D10329" t="s">
        <v>348</v>
      </c>
      <c r="E10329" t="s">
        <v>349</v>
      </c>
      <c r="F10329" t="s">
        <v>11102</v>
      </c>
      <c r="G10329">
        <v>4777</v>
      </c>
      <c r="H10329">
        <v>495372.47</v>
      </c>
      <c r="I10329">
        <v>132.16999999999999</v>
      </c>
      <c r="J10329">
        <v>4183</v>
      </c>
      <c r="K10329">
        <v>373634.24</v>
      </c>
      <c r="L10329">
        <v>89.32</v>
      </c>
      <c r="M10329">
        <v>8960</v>
      </c>
      <c r="N10329">
        <v>869006.71</v>
      </c>
      <c r="O10329">
        <v>109.57</v>
      </c>
    </row>
    <row r="10330" spans="1:15" x14ac:dyDescent="0.35">
      <c r="A10330" t="s">
        <v>11103</v>
      </c>
      <c r="B10330" t="s">
        <v>193</v>
      </c>
      <c r="C10330" t="s">
        <v>688</v>
      </c>
      <c r="D10330" t="s">
        <v>293</v>
      </c>
      <c r="E10330" t="s">
        <v>294</v>
      </c>
      <c r="F10330" t="s">
        <v>11104</v>
      </c>
      <c r="G10330">
        <v>170</v>
      </c>
      <c r="H10330">
        <v>17610.079999999998</v>
      </c>
      <c r="I10330">
        <v>103.59</v>
      </c>
      <c r="J10330">
        <v>0</v>
      </c>
      <c r="K10330">
        <v>0</v>
      </c>
      <c r="L10330">
        <v>0</v>
      </c>
      <c r="M10330">
        <v>170</v>
      </c>
      <c r="N10330">
        <v>17610.079999999998</v>
      </c>
      <c r="O10330">
        <v>103.59</v>
      </c>
    </row>
    <row r="10331" spans="1:15" x14ac:dyDescent="0.35">
      <c r="A10331" t="s">
        <v>11103</v>
      </c>
      <c r="B10331" t="s">
        <v>193</v>
      </c>
      <c r="C10331" t="s">
        <v>688</v>
      </c>
      <c r="D10331" t="s">
        <v>293</v>
      </c>
      <c r="E10331" t="s">
        <v>296</v>
      </c>
      <c r="F10331" t="s">
        <v>11105</v>
      </c>
      <c r="G10331">
        <v>1466</v>
      </c>
      <c r="H10331">
        <v>180862.13</v>
      </c>
      <c r="I10331">
        <v>123.37</v>
      </c>
      <c r="J10331">
        <v>0</v>
      </c>
      <c r="K10331">
        <v>0</v>
      </c>
      <c r="L10331">
        <v>0</v>
      </c>
      <c r="M10331">
        <v>1466</v>
      </c>
      <c r="N10331">
        <v>180862.13</v>
      </c>
      <c r="O10331">
        <v>123.37</v>
      </c>
    </row>
    <row r="10332" spans="1:15" x14ac:dyDescent="0.35">
      <c r="A10332" t="s">
        <v>11103</v>
      </c>
      <c r="B10332" t="s">
        <v>193</v>
      </c>
      <c r="C10332" t="s">
        <v>688</v>
      </c>
      <c r="D10332" t="s">
        <v>293</v>
      </c>
      <c r="E10332" t="s">
        <v>298</v>
      </c>
      <c r="F10332" t="s">
        <v>11106</v>
      </c>
      <c r="G10332">
        <v>1106</v>
      </c>
      <c r="H10332">
        <v>149984.03999999998</v>
      </c>
      <c r="I10332">
        <v>135.61000000000001</v>
      </c>
      <c r="J10332">
        <v>0</v>
      </c>
      <c r="K10332">
        <v>0</v>
      </c>
      <c r="L10332">
        <v>0</v>
      </c>
      <c r="M10332">
        <v>1106</v>
      </c>
      <c r="N10332">
        <v>149984.03999999998</v>
      </c>
      <c r="O10332">
        <v>135.61000000000001</v>
      </c>
    </row>
    <row r="10333" spans="1:15" x14ac:dyDescent="0.35">
      <c r="A10333" t="s">
        <v>11103</v>
      </c>
      <c r="B10333" t="s">
        <v>193</v>
      </c>
      <c r="C10333" t="s">
        <v>688</v>
      </c>
      <c r="D10333" t="s">
        <v>293</v>
      </c>
      <c r="E10333" t="s">
        <v>300</v>
      </c>
      <c r="F10333" t="s">
        <v>11107</v>
      </c>
      <c r="G10333">
        <v>63</v>
      </c>
      <c r="H10333">
        <v>10711.87</v>
      </c>
      <c r="I10333">
        <v>170.03</v>
      </c>
      <c r="J10333">
        <v>0</v>
      </c>
      <c r="K10333">
        <v>0</v>
      </c>
      <c r="L10333">
        <v>0</v>
      </c>
      <c r="M10333">
        <v>63</v>
      </c>
      <c r="N10333">
        <v>10711.87</v>
      </c>
      <c r="O10333">
        <v>170.03</v>
      </c>
    </row>
    <row r="10334" spans="1:15" x14ac:dyDescent="0.35">
      <c r="A10334" t="s">
        <v>11103</v>
      </c>
      <c r="B10334" t="s">
        <v>193</v>
      </c>
      <c r="C10334" t="s">
        <v>688</v>
      </c>
      <c r="D10334" t="s">
        <v>293</v>
      </c>
      <c r="E10334" t="s">
        <v>302</v>
      </c>
      <c r="F10334" t="s">
        <v>11108</v>
      </c>
      <c r="G10334">
        <v>3</v>
      </c>
      <c r="H10334">
        <v>511.53999999999996</v>
      </c>
      <c r="I10334">
        <v>170.51</v>
      </c>
      <c r="J10334">
        <v>0</v>
      </c>
      <c r="K10334">
        <v>0</v>
      </c>
      <c r="L10334">
        <v>0</v>
      </c>
      <c r="M10334">
        <v>3</v>
      </c>
      <c r="N10334">
        <v>511.53999999999996</v>
      </c>
      <c r="O10334">
        <v>170.51</v>
      </c>
    </row>
    <row r="10335" spans="1:15" x14ac:dyDescent="0.35">
      <c r="A10335" t="s">
        <v>11103</v>
      </c>
      <c r="B10335" t="s">
        <v>193</v>
      </c>
      <c r="C10335" t="s">
        <v>688</v>
      </c>
      <c r="D10335" t="s">
        <v>293</v>
      </c>
      <c r="E10335" t="s">
        <v>304</v>
      </c>
      <c r="F10335" t="s">
        <v>11109</v>
      </c>
      <c r="G10335">
        <v>0</v>
      </c>
      <c r="H10335">
        <v>0</v>
      </c>
      <c r="I10335">
        <v>0</v>
      </c>
      <c r="J10335">
        <v>0</v>
      </c>
      <c r="K10335">
        <v>0</v>
      </c>
      <c r="L10335">
        <v>0</v>
      </c>
      <c r="M10335">
        <v>0</v>
      </c>
      <c r="N10335">
        <v>0</v>
      </c>
      <c r="O10335">
        <v>0</v>
      </c>
    </row>
    <row r="10336" spans="1:15" x14ac:dyDescent="0.35">
      <c r="A10336" t="s">
        <v>11103</v>
      </c>
      <c r="B10336" t="s">
        <v>193</v>
      </c>
      <c r="C10336" t="s">
        <v>688</v>
      </c>
      <c r="D10336" t="s">
        <v>293</v>
      </c>
      <c r="E10336" t="s">
        <v>306</v>
      </c>
      <c r="F10336" t="s">
        <v>11110</v>
      </c>
      <c r="G10336">
        <v>1</v>
      </c>
      <c r="H10336">
        <v>88.73</v>
      </c>
      <c r="I10336">
        <v>88.73</v>
      </c>
      <c r="J10336">
        <v>0</v>
      </c>
      <c r="K10336">
        <v>0</v>
      </c>
      <c r="L10336">
        <v>0</v>
      </c>
      <c r="M10336">
        <v>1</v>
      </c>
      <c r="N10336">
        <v>88.73</v>
      </c>
      <c r="O10336">
        <v>88.73</v>
      </c>
    </row>
    <row r="10337" spans="1:15" x14ac:dyDescent="0.35">
      <c r="A10337" t="s">
        <v>11103</v>
      </c>
      <c r="B10337" t="s">
        <v>193</v>
      </c>
      <c r="C10337" t="s">
        <v>688</v>
      </c>
      <c r="D10337" t="s">
        <v>293</v>
      </c>
      <c r="E10337" t="s">
        <v>308</v>
      </c>
      <c r="F10337" t="s">
        <v>11111</v>
      </c>
      <c r="G10337">
        <v>0</v>
      </c>
      <c r="H10337">
        <v>0</v>
      </c>
      <c r="I10337">
        <v>0</v>
      </c>
      <c r="J10337">
        <v>0</v>
      </c>
      <c r="K10337">
        <v>0</v>
      </c>
      <c r="L10337">
        <v>0</v>
      </c>
      <c r="M10337">
        <v>0</v>
      </c>
      <c r="N10337">
        <v>0</v>
      </c>
      <c r="O10337">
        <v>0</v>
      </c>
    </row>
    <row r="10338" spans="1:15" x14ac:dyDescent="0.35">
      <c r="A10338" t="s">
        <v>11103</v>
      </c>
      <c r="B10338" t="s">
        <v>193</v>
      </c>
      <c r="C10338" t="s">
        <v>688</v>
      </c>
      <c r="D10338" t="s">
        <v>293</v>
      </c>
      <c r="E10338" t="s">
        <v>310</v>
      </c>
      <c r="F10338" t="s">
        <v>11112</v>
      </c>
      <c r="G10338">
        <v>2809</v>
      </c>
      <c r="H10338">
        <v>359768.38999999996</v>
      </c>
      <c r="I10338">
        <v>128.08000000000001</v>
      </c>
      <c r="J10338">
        <v>0</v>
      </c>
      <c r="K10338">
        <v>0</v>
      </c>
      <c r="L10338">
        <v>0</v>
      </c>
      <c r="M10338">
        <v>2809</v>
      </c>
      <c r="N10338">
        <v>359768.38999999996</v>
      </c>
      <c r="O10338">
        <v>128.08000000000001</v>
      </c>
    </row>
    <row r="10339" spans="1:15" x14ac:dyDescent="0.35">
      <c r="A10339" t="s">
        <v>11103</v>
      </c>
      <c r="B10339" t="s">
        <v>193</v>
      </c>
      <c r="C10339" t="s">
        <v>688</v>
      </c>
      <c r="D10339" t="s">
        <v>293</v>
      </c>
      <c r="E10339" t="s">
        <v>312</v>
      </c>
      <c r="F10339" t="s">
        <v>11113</v>
      </c>
      <c r="G10339">
        <v>2809</v>
      </c>
      <c r="H10339">
        <v>359768.38999999996</v>
      </c>
      <c r="I10339">
        <v>128.08000000000001</v>
      </c>
      <c r="J10339">
        <v>0</v>
      </c>
      <c r="K10339">
        <v>0</v>
      </c>
      <c r="L10339">
        <v>0</v>
      </c>
      <c r="M10339">
        <v>2809</v>
      </c>
      <c r="N10339">
        <v>359768.38999999996</v>
      </c>
      <c r="O10339">
        <v>128.08000000000001</v>
      </c>
    </row>
    <row r="10340" spans="1:15" x14ac:dyDescent="0.35">
      <c r="A10340" t="s">
        <v>11103</v>
      </c>
      <c r="B10340" t="s">
        <v>193</v>
      </c>
      <c r="C10340" t="s">
        <v>688</v>
      </c>
      <c r="D10340" t="s">
        <v>314</v>
      </c>
      <c r="E10340" t="s">
        <v>294</v>
      </c>
      <c r="F10340" t="s">
        <v>11114</v>
      </c>
      <c r="G10340">
        <v>26</v>
      </c>
      <c r="H10340">
        <v>7093.8399999999992</v>
      </c>
      <c r="I10340">
        <v>272.83999999999997</v>
      </c>
      <c r="J10340">
        <v>0</v>
      </c>
      <c r="K10340">
        <v>0</v>
      </c>
      <c r="L10340">
        <v>0</v>
      </c>
      <c r="M10340">
        <v>26</v>
      </c>
      <c r="N10340">
        <v>7093.8399999999992</v>
      </c>
      <c r="O10340">
        <v>272.83999999999997</v>
      </c>
    </row>
    <row r="10341" spans="1:15" x14ac:dyDescent="0.35">
      <c r="A10341" t="s">
        <v>11103</v>
      </c>
      <c r="B10341" t="s">
        <v>193</v>
      </c>
      <c r="C10341" t="s">
        <v>688</v>
      </c>
      <c r="D10341" t="s">
        <v>314</v>
      </c>
      <c r="E10341" t="s">
        <v>296</v>
      </c>
      <c r="F10341" t="s">
        <v>11115</v>
      </c>
      <c r="G10341">
        <v>48</v>
      </c>
      <c r="H10341">
        <v>11171.1</v>
      </c>
      <c r="I10341">
        <v>232.73</v>
      </c>
      <c r="J10341">
        <v>0</v>
      </c>
      <c r="K10341">
        <v>0</v>
      </c>
      <c r="L10341">
        <v>0</v>
      </c>
      <c r="M10341">
        <v>48</v>
      </c>
      <c r="N10341">
        <v>11171.1</v>
      </c>
      <c r="O10341">
        <v>232.73</v>
      </c>
    </row>
    <row r="10342" spans="1:15" x14ac:dyDescent="0.35">
      <c r="A10342" t="s">
        <v>11103</v>
      </c>
      <c r="B10342" t="s">
        <v>193</v>
      </c>
      <c r="C10342" t="s">
        <v>688</v>
      </c>
      <c r="D10342" t="s">
        <v>314</v>
      </c>
      <c r="E10342" t="s">
        <v>298</v>
      </c>
      <c r="F10342" t="s">
        <v>11116</v>
      </c>
      <c r="G10342">
        <v>0</v>
      </c>
      <c r="H10342">
        <v>0</v>
      </c>
      <c r="I10342">
        <v>0</v>
      </c>
      <c r="J10342">
        <v>0</v>
      </c>
      <c r="K10342">
        <v>0</v>
      </c>
      <c r="L10342">
        <v>0</v>
      </c>
      <c r="M10342">
        <v>0</v>
      </c>
      <c r="N10342">
        <v>0</v>
      </c>
      <c r="O10342">
        <v>0</v>
      </c>
    </row>
    <row r="10343" spans="1:15" x14ac:dyDescent="0.35">
      <c r="A10343" t="s">
        <v>11103</v>
      </c>
      <c r="B10343" t="s">
        <v>193</v>
      </c>
      <c r="C10343" t="s">
        <v>688</v>
      </c>
      <c r="D10343" t="s">
        <v>314</v>
      </c>
      <c r="E10343" t="s">
        <v>300</v>
      </c>
      <c r="F10343" t="s">
        <v>11117</v>
      </c>
      <c r="G10343">
        <v>0</v>
      </c>
      <c r="H10343">
        <v>0</v>
      </c>
      <c r="I10343">
        <v>0</v>
      </c>
      <c r="J10343">
        <v>0</v>
      </c>
      <c r="K10343">
        <v>0</v>
      </c>
      <c r="L10343">
        <v>0</v>
      </c>
      <c r="M10343">
        <v>0</v>
      </c>
      <c r="N10343">
        <v>0</v>
      </c>
      <c r="O10343">
        <v>0</v>
      </c>
    </row>
    <row r="10344" spans="1:15" x14ac:dyDescent="0.35">
      <c r="A10344" t="s">
        <v>11103</v>
      </c>
      <c r="B10344" t="s">
        <v>193</v>
      </c>
      <c r="C10344" t="s">
        <v>688</v>
      </c>
      <c r="D10344" t="s">
        <v>314</v>
      </c>
      <c r="E10344" t="s">
        <v>306</v>
      </c>
      <c r="F10344" t="s">
        <v>11118</v>
      </c>
      <c r="G10344">
        <v>0</v>
      </c>
      <c r="H10344">
        <v>0</v>
      </c>
      <c r="I10344">
        <v>0</v>
      </c>
      <c r="J10344">
        <v>0</v>
      </c>
      <c r="K10344">
        <v>0</v>
      </c>
      <c r="L10344">
        <v>0</v>
      </c>
      <c r="M10344">
        <v>0</v>
      </c>
      <c r="N10344">
        <v>0</v>
      </c>
      <c r="O10344">
        <v>0</v>
      </c>
    </row>
    <row r="10345" spans="1:15" x14ac:dyDescent="0.35">
      <c r="A10345" t="s">
        <v>11103</v>
      </c>
      <c r="B10345" t="s">
        <v>193</v>
      </c>
      <c r="C10345" t="s">
        <v>688</v>
      </c>
      <c r="D10345" t="s">
        <v>314</v>
      </c>
      <c r="E10345" t="s">
        <v>308</v>
      </c>
      <c r="F10345" t="s">
        <v>11119</v>
      </c>
      <c r="G10345">
        <v>3</v>
      </c>
      <c r="H10345">
        <v>575.79</v>
      </c>
      <c r="I10345">
        <v>191.93</v>
      </c>
      <c r="J10345">
        <v>0</v>
      </c>
      <c r="K10345">
        <v>0</v>
      </c>
      <c r="L10345">
        <v>0</v>
      </c>
      <c r="M10345">
        <v>3</v>
      </c>
      <c r="N10345">
        <v>575.79</v>
      </c>
      <c r="O10345">
        <v>191.93</v>
      </c>
    </row>
    <row r="10346" spans="1:15" x14ac:dyDescent="0.35">
      <c r="A10346" t="s">
        <v>11103</v>
      </c>
      <c r="B10346" t="s">
        <v>193</v>
      </c>
      <c r="C10346" t="s">
        <v>688</v>
      </c>
      <c r="D10346" t="s">
        <v>314</v>
      </c>
      <c r="E10346" t="s">
        <v>312</v>
      </c>
      <c r="F10346" t="s">
        <v>11120</v>
      </c>
      <c r="G10346">
        <v>74</v>
      </c>
      <c r="H10346">
        <v>18264.939999999999</v>
      </c>
      <c r="I10346">
        <v>246.82</v>
      </c>
      <c r="J10346">
        <v>0</v>
      </c>
      <c r="K10346">
        <v>0</v>
      </c>
      <c r="L10346">
        <v>0</v>
      </c>
      <c r="M10346">
        <v>74</v>
      </c>
      <c r="N10346">
        <v>18264.939999999999</v>
      </c>
      <c r="O10346">
        <v>246.82</v>
      </c>
    </row>
    <row r="10347" spans="1:15" x14ac:dyDescent="0.35">
      <c r="A10347" t="s">
        <v>11103</v>
      </c>
      <c r="B10347" t="s">
        <v>193</v>
      </c>
      <c r="C10347" t="s">
        <v>688</v>
      </c>
      <c r="D10347" t="s">
        <v>314</v>
      </c>
      <c r="E10347" t="s">
        <v>310</v>
      </c>
      <c r="F10347" t="s">
        <v>11121</v>
      </c>
      <c r="G10347">
        <v>77</v>
      </c>
      <c r="H10347">
        <v>18840.73</v>
      </c>
      <c r="I10347">
        <v>244.68</v>
      </c>
      <c r="J10347">
        <v>0</v>
      </c>
      <c r="K10347">
        <v>0</v>
      </c>
      <c r="L10347">
        <v>0</v>
      </c>
      <c r="M10347">
        <v>77</v>
      </c>
      <c r="N10347">
        <v>18840.73</v>
      </c>
      <c r="O10347">
        <v>244.68</v>
      </c>
    </row>
    <row r="10348" spans="1:15" x14ac:dyDescent="0.35">
      <c r="A10348" t="s">
        <v>11103</v>
      </c>
      <c r="B10348" t="s">
        <v>193</v>
      </c>
      <c r="C10348" t="s">
        <v>688</v>
      </c>
      <c r="D10348" t="s">
        <v>323</v>
      </c>
      <c r="E10348" t="s">
        <v>294</v>
      </c>
      <c r="F10348" t="s">
        <v>11122</v>
      </c>
      <c r="G10348">
        <v>5652</v>
      </c>
      <c r="H10348">
        <v>499721.37</v>
      </c>
      <c r="I10348">
        <v>88.41</v>
      </c>
      <c r="J10348">
        <v>0</v>
      </c>
      <c r="K10348">
        <v>0</v>
      </c>
      <c r="L10348">
        <v>0</v>
      </c>
      <c r="M10348">
        <v>5652</v>
      </c>
      <c r="N10348">
        <v>499721.37</v>
      </c>
      <c r="O10348">
        <v>88.41</v>
      </c>
    </row>
    <row r="10349" spans="1:15" x14ac:dyDescent="0.35">
      <c r="A10349" t="s">
        <v>11103</v>
      </c>
      <c r="B10349" t="s">
        <v>193</v>
      </c>
      <c r="C10349" t="s">
        <v>688</v>
      </c>
      <c r="D10349" t="s">
        <v>323</v>
      </c>
      <c r="E10349" t="s">
        <v>296</v>
      </c>
      <c r="F10349" t="s">
        <v>11123</v>
      </c>
      <c r="G10349">
        <v>12250</v>
      </c>
      <c r="H10349">
        <v>1220199.5399999996</v>
      </c>
      <c r="I10349">
        <v>99.61</v>
      </c>
      <c r="J10349">
        <v>0</v>
      </c>
      <c r="K10349">
        <v>0</v>
      </c>
      <c r="L10349">
        <v>0</v>
      </c>
      <c r="M10349">
        <v>12250</v>
      </c>
      <c r="N10349">
        <v>1220199.5399999996</v>
      </c>
      <c r="O10349">
        <v>99.61</v>
      </c>
    </row>
    <row r="10350" spans="1:15" x14ac:dyDescent="0.35">
      <c r="A10350" t="s">
        <v>11103</v>
      </c>
      <c r="B10350" t="s">
        <v>193</v>
      </c>
      <c r="C10350" t="s">
        <v>688</v>
      </c>
      <c r="D10350" t="s">
        <v>323</v>
      </c>
      <c r="E10350" t="s">
        <v>298</v>
      </c>
      <c r="F10350" t="s">
        <v>11124</v>
      </c>
      <c r="G10350">
        <v>10981</v>
      </c>
      <c r="H10350">
        <v>1217062.9600000002</v>
      </c>
      <c r="I10350">
        <v>110.83</v>
      </c>
      <c r="J10350">
        <v>0</v>
      </c>
      <c r="K10350">
        <v>0</v>
      </c>
      <c r="L10350">
        <v>0</v>
      </c>
      <c r="M10350">
        <v>10981</v>
      </c>
      <c r="N10350">
        <v>1217062.9600000002</v>
      </c>
      <c r="O10350">
        <v>110.83</v>
      </c>
    </row>
    <row r="10351" spans="1:15" x14ac:dyDescent="0.35">
      <c r="A10351" t="s">
        <v>11103</v>
      </c>
      <c r="B10351" t="s">
        <v>193</v>
      </c>
      <c r="C10351" t="s">
        <v>688</v>
      </c>
      <c r="D10351" t="s">
        <v>323</v>
      </c>
      <c r="E10351" t="s">
        <v>300</v>
      </c>
      <c r="F10351" t="s">
        <v>11125</v>
      </c>
      <c r="G10351">
        <v>534</v>
      </c>
      <c r="H10351">
        <v>64312.720000000008</v>
      </c>
      <c r="I10351">
        <v>120.44</v>
      </c>
      <c r="J10351">
        <v>0</v>
      </c>
      <c r="K10351">
        <v>0</v>
      </c>
      <c r="L10351">
        <v>0</v>
      </c>
      <c r="M10351">
        <v>534</v>
      </c>
      <c r="N10351">
        <v>64312.720000000008</v>
      </c>
      <c r="O10351">
        <v>120.44</v>
      </c>
    </row>
    <row r="10352" spans="1:15" x14ac:dyDescent="0.35">
      <c r="A10352" t="s">
        <v>11103</v>
      </c>
      <c r="B10352" t="s">
        <v>193</v>
      </c>
      <c r="C10352" t="s">
        <v>688</v>
      </c>
      <c r="D10352" t="s">
        <v>323</v>
      </c>
      <c r="E10352" t="s">
        <v>302</v>
      </c>
      <c r="F10352" t="s">
        <v>11126</v>
      </c>
      <c r="G10352">
        <v>21</v>
      </c>
      <c r="H10352">
        <v>2899.5400000000004</v>
      </c>
      <c r="I10352">
        <v>138.07</v>
      </c>
      <c r="J10352">
        <v>0</v>
      </c>
      <c r="K10352">
        <v>0</v>
      </c>
      <c r="L10352">
        <v>0</v>
      </c>
      <c r="M10352">
        <v>21</v>
      </c>
      <c r="N10352">
        <v>2899.5400000000004</v>
      </c>
      <c r="O10352">
        <v>138.07</v>
      </c>
    </row>
    <row r="10353" spans="1:15" x14ac:dyDescent="0.35">
      <c r="A10353" t="s">
        <v>11103</v>
      </c>
      <c r="B10353" t="s">
        <v>193</v>
      </c>
      <c r="C10353" t="s">
        <v>688</v>
      </c>
      <c r="D10353" t="s">
        <v>323</v>
      </c>
      <c r="E10353" t="s">
        <v>304</v>
      </c>
      <c r="F10353" t="s">
        <v>11127</v>
      </c>
      <c r="G10353">
        <v>2</v>
      </c>
      <c r="H10353">
        <v>267.88</v>
      </c>
      <c r="I10353">
        <v>133.94</v>
      </c>
      <c r="J10353">
        <v>0</v>
      </c>
      <c r="K10353">
        <v>0</v>
      </c>
      <c r="L10353">
        <v>0</v>
      </c>
      <c r="M10353">
        <v>2</v>
      </c>
      <c r="N10353">
        <v>267.88</v>
      </c>
      <c r="O10353">
        <v>133.94</v>
      </c>
    </row>
    <row r="10354" spans="1:15" x14ac:dyDescent="0.35">
      <c r="A10354" t="s">
        <v>11103</v>
      </c>
      <c r="B10354" t="s">
        <v>193</v>
      </c>
      <c r="C10354" t="s">
        <v>688</v>
      </c>
      <c r="D10354" t="s">
        <v>323</v>
      </c>
      <c r="E10354" t="s">
        <v>306</v>
      </c>
      <c r="F10354" t="s">
        <v>11128</v>
      </c>
      <c r="G10354">
        <v>99</v>
      </c>
      <c r="H10354">
        <v>7513.71</v>
      </c>
      <c r="I10354">
        <v>75.900000000000006</v>
      </c>
      <c r="J10354">
        <v>0</v>
      </c>
      <c r="K10354">
        <v>0</v>
      </c>
      <c r="L10354">
        <v>0</v>
      </c>
      <c r="M10354">
        <v>99</v>
      </c>
      <c r="N10354">
        <v>7513.71</v>
      </c>
      <c r="O10354">
        <v>75.900000000000006</v>
      </c>
    </row>
    <row r="10355" spans="1:15" x14ac:dyDescent="0.35">
      <c r="A10355" t="s">
        <v>11103</v>
      </c>
      <c r="B10355" t="s">
        <v>193</v>
      </c>
      <c r="C10355" t="s">
        <v>688</v>
      </c>
      <c r="D10355" t="s">
        <v>323</v>
      </c>
      <c r="E10355" t="s">
        <v>308</v>
      </c>
      <c r="F10355" t="s">
        <v>11129</v>
      </c>
      <c r="G10355">
        <v>0</v>
      </c>
      <c r="H10355">
        <v>0</v>
      </c>
      <c r="I10355">
        <v>0</v>
      </c>
      <c r="J10355">
        <v>0</v>
      </c>
      <c r="K10355">
        <v>0</v>
      </c>
      <c r="L10355">
        <v>0</v>
      </c>
      <c r="M10355">
        <v>0</v>
      </c>
      <c r="N10355">
        <v>0</v>
      </c>
      <c r="O10355">
        <v>0</v>
      </c>
    </row>
    <row r="10356" spans="1:15" x14ac:dyDescent="0.35">
      <c r="A10356" t="s">
        <v>11103</v>
      </c>
      <c r="B10356" t="s">
        <v>193</v>
      </c>
      <c r="C10356" t="s">
        <v>688</v>
      </c>
      <c r="D10356" t="s">
        <v>323</v>
      </c>
      <c r="E10356" t="s">
        <v>310</v>
      </c>
      <c r="F10356" t="s">
        <v>11130</v>
      </c>
      <c r="G10356">
        <v>29539</v>
      </c>
      <c r="H10356">
        <v>3011977.72</v>
      </c>
      <c r="I10356">
        <v>101.97</v>
      </c>
      <c r="J10356">
        <v>0</v>
      </c>
      <c r="K10356">
        <v>0</v>
      </c>
      <c r="L10356">
        <v>0</v>
      </c>
      <c r="M10356">
        <v>29539</v>
      </c>
      <c r="N10356">
        <v>3011977.72</v>
      </c>
      <c r="O10356">
        <v>101.97</v>
      </c>
    </row>
    <row r="10357" spans="1:15" x14ac:dyDescent="0.35">
      <c r="A10357" t="s">
        <v>11103</v>
      </c>
      <c r="B10357" t="s">
        <v>193</v>
      </c>
      <c r="C10357" t="s">
        <v>688</v>
      </c>
      <c r="D10357" t="s">
        <v>323</v>
      </c>
      <c r="E10357" t="s">
        <v>312</v>
      </c>
      <c r="F10357" t="s">
        <v>11131</v>
      </c>
      <c r="G10357">
        <v>29539</v>
      </c>
      <c r="H10357">
        <v>3011977.72</v>
      </c>
      <c r="I10357">
        <v>101.97</v>
      </c>
      <c r="J10357">
        <v>0</v>
      </c>
      <c r="K10357">
        <v>0</v>
      </c>
      <c r="L10357">
        <v>0</v>
      </c>
      <c r="M10357">
        <v>29539</v>
      </c>
      <c r="N10357">
        <v>3011977.72</v>
      </c>
      <c r="O10357">
        <v>101.97</v>
      </c>
    </row>
    <row r="10358" spans="1:15" x14ac:dyDescent="0.35">
      <c r="A10358" t="s">
        <v>11103</v>
      </c>
      <c r="B10358" t="s">
        <v>193</v>
      </c>
      <c r="C10358" t="s">
        <v>688</v>
      </c>
      <c r="D10358" t="s">
        <v>334</v>
      </c>
      <c r="E10358" t="s">
        <v>312</v>
      </c>
      <c r="F10358" t="s">
        <v>11132</v>
      </c>
      <c r="G10358">
        <v>32720</v>
      </c>
      <c r="H10358">
        <v>3371746.11</v>
      </c>
      <c r="I10358">
        <v>104.23</v>
      </c>
      <c r="J10358">
        <v>0</v>
      </c>
      <c r="K10358">
        <v>0</v>
      </c>
      <c r="L10358">
        <v>0</v>
      </c>
      <c r="M10358">
        <v>32720</v>
      </c>
      <c r="N10358">
        <v>3371746.11</v>
      </c>
      <c r="O10358">
        <v>104.23</v>
      </c>
    </row>
    <row r="10359" spans="1:15" x14ac:dyDescent="0.35">
      <c r="A10359" t="s">
        <v>11103</v>
      </c>
      <c r="B10359" t="s">
        <v>193</v>
      </c>
      <c r="C10359" t="s">
        <v>688</v>
      </c>
      <c r="D10359" t="s">
        <v>334</v>
      </c>
      <c r="E10359" t="s">
        <v>308</v>
      </c>
      <c r="F10359" t="s">
        <v>11133</v>
      </c>
      <c r="G10359">
        <v>11</v>
      </c>
      <c r="H10359">
        <v>0</v>
      </c>
      <c r="I10359">
        <v>0</v>
      </c>
      <c r="J10359">
        <v>0</v>
      </c>
      <c r="K10359">
        <v>0</v>
      </c>
      <c r="L10359">
        <v>0</v>
      </c>
      <c r="M10359">
        <v>11</v>
      </c>
      <c r="N10359">
        <v>0</v>
      </c>
      <c r="O10359">
        <v>0</v>
      </c>
    </row>
    <row r="10360" spans="1:15" x14ac:dyDescent="0.35">
      <c r="A10360" t="s">
        <v>11103</v>
      </c>
      <c r="B10360" t="s">
        <v>193</v>
      </c>
      <c r="C10360" t="s">
        <v>688</v>
      </c>
      <c r="D10360" t="s">
        <v>337</v>
      </c>
      <c r="E10360" t="s">
        <v>337</v>
      </c>
      <c r="F10360" t="s">
        <v>11134</v>
      </c>
      <c r="G10360">
        <v>1503</v>
      </c>
      <c r="J10360">
        <v>0</v>
      </c>
      <c r="M10360">
        <v>1503</v>
      </c>
    </row>
    <row r="10361" spans="1:15" x14ac:dyDescent="0.35">
      <c r="A10361" t="s">
        <v>11103</v>
      </c>
      <c r="B10361" t="s">
        <v>193</v>
      </c>
      <c r="C10361" t="s">
        <v>688</v>
      </c>
      <c r="D10361" t="s">
        <v>339</v>
      </c>
      <c r="E10361" t="s">
        <v>294</v>
      </c>
      <c r="F10361" t="s">
        <v>11135</v>
      </c>
      <c r="G10361">
        <v>1388</v>
      </c>
      <c r="H10361">
        <v>137790.85</v>
      </c>
      <c r="I10361">
        <v>99.27</v>
      </c>
      <c r="J10361">
        <v>0</v>
      </c>
      <c r="K10361">
        <v>0</v>
      </c>
      <c r="L10361">
        <v>0</v>
      </c>
      <c r="M10361">
        <v>1388</v>
      </c>
      <c r="N10361">
        <v>137790.85</v>
      </c>
      <c r="O10361">
        <v>99.27</v>
      </c>
    </row>
    <row r="10362" spans="1:15" x14ac:dyDescent="0.35">
      <c r="A10362" t="s">
        <v>11103</v>
      </c>
      <c r="B10362" t="s">
        <v>193</v>
      </c>
      <c r="C10362" t="s">
        <v>688</v>
      </c>
      <c r="D10362" t="s">
        <v>339</v>
      </c>
      <c r="E10362" t="s">
        <v>296</v>
      </c>
      <c r="F10362" t="s">
        <v>11136</v>
      </c>
      <c r="G10362">
        <v>720</v>
      </c>
      <c r="H10362">
        <v>81257.51999999999</v>
      </c>
      <c r="I10362">
        <v>112.86</v>
      </c>
      <c r="J10362">
        <v>0</v>
      </c>
      <c r="K10362">
        <v>0</v>
      </c>
      <c r="L10362">
        <v>0</v>
      </c>
      <c r="M10362">
        <v>720</v>
      </c>
      <c r="N10362">
        <v>81257.51999999999</v>
      </c>
      <c r="O10362">
        <v>112.86</v>
      </c>
    </row>
    <row r="10363" spans="1:15" x14ac:dyDescent="0.35">
      <c r="A10363" t="s">
        <v>11103</v>
      </c>
      <c r="B10363" t="s">
        <v>193</v>
      </c>
      <c r="C10363" t="s">
        <v>688</v>
      </c>
      <c r="D10363" t="s">
        <v>339</v>
      </c>
      <c r="E10363" t="s">
        <v>298</v>
      </c>
      <c r="F10363" t="s">
        <v>11137</v>
      </c>
      <c r="G10363">
        <v>5</v>
      </c>
      <c r="H10363">
        <v>536.16999999999996</v>
      </c>
      <c r="I10363">
        <v>107.23</v>
      </c>
      <c r="J10363">
        <v>0</v>
      </c>
      <c r="K10363">
        <v>0</v>
      </c>
      <c r="L10363">
        <v>0</v>
      </c>
      <c r="M10363">
        <v>5</v>
      </c>
      <c r="N10363">
        <v>536.16999999999996</v>
      </c>
      <c r="O10363">
        <v>107.23</v>
      </c>
    </row>
    <row r="10364" spans="1:15" x14ac:dyDescent="0.35">
      <c r="A10364" t="s">
        <v>11103</v>
      </c>
      <c r="B10364" t="s">
        <v>193</v>
      </c>
      <c r="C10364" t="s">
        <v>688</v>
      </c>
      <c r="D10364" t="s">
        <v>339</v>
      </c>
      <c r="E10364" t="s">
        <v>300</v>
      </c>
      <c r="F10364" t="s">
        <v>11138</v>
      </c>
      <c r="G10364">
        <v>5</v>
      </c>
      <c r="H10364">
        <v>600.63</v>
      </c>
      <c r="I10364">
        <v>120.13</v>
      </c>
      <c r="J10364">
        <v>0</v>
      </c>
      <c r="K10364">
        <v>0</v>
      </c>
      <c r="L10364">
        <v>0</v>
      </c>
      <c r="M10364">
        <v>5</v>
      </c>
      <c r="N10364">
        <v>600.63</v>
      </c>
      <c r="O10364">
        <v>120.13</v>
      </c>
    </row>
    <row r="10365" spans="1:15" x14ac:dyDescent="0.35">
      <c r="A10365" t="s">
        <v>11103</v>
      </c>
      <c r="B10365" t="s">
        <v>193</v>
      </c>
      <c r="C10365" t="s">
        <v>688</v>
      </c>
      <c r="D10365" t="s">
        <v>339</v>
      </c>
      <c r="E10365" t="s">
        <v>306</v>
      </c>
      <c r="F10365" t="s">
        <v>11139</v>
      </c>
      <c r="G10365">
        <v>81</v>
      </c>
      <c r="H10365">
        <v>6791.17</v>
      </c>
      <c r="I10365">
        <v>83.84</v>
      </c>
      <c r="J10365">
        <v>0</v>
      </c>
      <c r="K10365">
        <v>0</v>
      </c>
      <c r="L10365">
        <v>0</v>
      </c>
      <c r="M10365">
        <v>81</v>
      </c>
      <c r="N10365">
        <v>6791.17</v>
      </c>
      <c r="O10365">
        <v>83.84</v>
      </c>
    </row>
    <row r="10366" spans="1:15" x14ac:dyDescent="0.35">
      <c r="A10366" t="s">
        <v>11103</v>
      </c>
      <c r="B10366" t="s">
        <v>193</v>
      </c>
      <c r="C10366" t="s">
        <v>688</v>
      </c>
      <c r="D10366" t="s">
        <v>339</v>
      </c>
      <c r="E10366" t="s">
        <v>308</v>
      </c>
      <c r="F10366" t="s">
        <v>11140</v>
      </c>
      <c r="G10366">
        <v>147</v>
      </c>
      <c r="H10366">
        <v>18495.150000000001</v>
      </c>
      <c r="I10366">
        <v>125.82</v>
      </c>
      <c r="J10366">
        <v>0</v>
      </c>
      <c r="K10366">
        <v>0</v>
      </c>
      <c r="L10366">
        <v>0</v>
      </c>
      <c r="M10366">
        <v>147</v>
      </c>
      <c r="N10366">
        <v>18495.150000000001</v>
      </c>
      <c r="O10366">
        <v>125.82</v>
      </c>
    </row>
    <row r="10367" spans="1:15" x14ac:dyDescent="0.35">
      <c r="A10367" t="s">
        <v>11103</v>
      </c>
      <c r="B10367" t="s">
        <v>193</v>
      </c>
      <c r="C10367" t="s">
        <v>688</v>
      </c>
      <c r="D10367" t="s">
        <v>339</v>
      </c>
      <c r="E10367" t="s">
        <v>310</v>
      </c>
      <c r="F10367" t="s">
        <v>11141</v>
      </c>
      <c r="G10367">
        <v>2346</v>
      </c>
      <c r="H10367">
        <v>245471.49000000002</v>
      </c>
      <c r="I10367">
        <v>104.63</v>
      </c>
      <c r="J10367">
        <v>0</v>
      </c>
      <c r="K10367">
        <v>0</v>
      </c>
      <c r="L10367">
        <v>0</v>
      </c>
      <c r="M10367">
        <v>2346</v>
      </c>
      <c r="N10367">
        <v>245471.49000000002</v>
      </c>
      <c r="O10367">
        <v>104.63</v>
      </c>
    </row>
    <row r="10368" spans="1:15" x14ac:dyDescent="0.35">
      <c r="A10368" t="s">
        <v>11103</v>
      </c>
      <c r="B10368" t="s">
        <v>193</v>
      </c>
      <c r="C10368" t="s">
        <v>688</v>
      </c>
      <c r="D10368" t="s">
        <v>339</v>
      </c>
      <c r="E10368" t="s">
        <v>312</v>
      </c>
      <c r="F10368" t="s">
        <v>11142</v>
      </c>
      <c r="G10368">
        <v>2199</v>
      </c>
      <c r="H10368">
        <v>226976.34000000003</v>
      </c>
      <c r="I10368">
        <v>103.22</v>
      </c>
      <c r="J10368">
        <v>0</v>
      </c>
      <c r="K10368">
        <v>0</v>
      </c>
      <c r="L10368">
        <v>0</v>
      </c>
      <c r="M10368">
        <v>2199</v>
      </c>
      <c r="N10368">
        <v>226976.34000000003</v>
      </c>
      <c r="O10368">
        <v>103.22</v>
      </c>
    </row>
    <row r="10369" spans="1:15" x14ac:dyDescent="0.35">
      <c r="A10369" t="s">
        <v>11103</v>
      </c>
      <c r="B10369" t="s">
        <v>193</v>
      </c>
      <c r="C10369" t="s">
        <v>688</v>
      </c>
      <c r="D10369" t="s">
        <v>348</v>
      </c>
      <c r="E10369" t="s">
        <v>349</v>
      </c>
      <c r="F10369" t="s">
        <v>11143</v>
      </c>
      <c r="G10369">
        <v>2559</v>
      </c>
      <c r="H10369">
        <v>264312.22000000003</v>
      </c>
      <c r="I10369">
        <v>109.08</v>
      </c>
      <c r="J10369">
        <v>0</v>
      </c>
      <c r="K10369">
        <v>0</v>
      </c>
      <c r="L10369">
        <v>0</v>
      </c>
      <c r="M10369">
        <v>2559</v>
      </c>
      <c r="N10369">
        <v>264312.22000000003</v>
      </c>
      <c r="O10369">
        <v>109.08</v>
      </c>
    </row>
    <row r="10370" spans="1:15" x14ac:dyDescent="0.35">
      <c r="A10370" t="s">
        <v>11144</v>
      </c>
      <c r="B10370" t="s">
        <v>11145</v>
      </c>
      <c r="C10370" t="s">
        <v>292</v>
      </c>
      <c r="D10370" t="s">
        <v>293</v>
      </c>
      <c r="E10370" t="s">
        <v>294</v>
      </c>
      <c r="F10370" t="s">
        <v>11146</v>
      </c>
      <c r="G10370">
        <v>91</v>
      </c>
      <c r="H10370">
        <v>8546.24</v>
      </c>
      <c r="I10370">
        <v>93.91</v>
      </c>
      <c r="J10370">
        <v>13</v>
      </c>
      <c r="K10370">
        <v>1630.46</v>
      </c>
      <c r="L10370">
        <v>125.42</v>
      </c>
      <c r="M10370">
        <v>104</v>
      </c>
      <c r="N10370">
        <v>10176.700000000001</v>
      </c>
      <c r="O10370">
        <v>97.85</v>
      </c>
    </row>
    <row r="10371" spans="1:15" x14ac:dyDescent="0.35">
      <c r="A10371" t="s">
        <v>11144</v>
      </c>
      <c r="B10371" t="s">
        <v>11145</v>
      </c>
      <c r="C10371" t="s">
        <v>292</v>
      </c>
      <c r="D10371" t="s">
        <v>293</v>
      </c>
      <c r="E10371" t="s">
        <v>296</v>
      </c>
      <c r="F10371" t="s">
        <v>11147</v>
      </c>
      <c r="G10371">
        <v>707</v>
      </c>
      <c r="H10371">
        <v>82460.52</v>
      </c>
      <c r="I10371">
        <v>116.63</v>
      </c>
      <c r="J10371">
        <v>25</v>
      </c>
      <c r="K10371">
        <v>3194.25</v>
      </c>
      <c r="L10371">
        <v>127.77</v>
      </c>
      <c r="M10371">
        <v>732</v>
      </c>
      <c r="N10371">
        <v>85654.77</v>
      </c>
      <c r="O10371">
        <v>117.01</v>
      </c>
    </row>
    <row r="10372" spans="1:15" x14ac:dyDescent="0.35">
      <c r="A10372" t="s">
        <v>11144</v>
      </c>
      <c r="B10372" t="s">
        <v>11145</v>
      </c>
      <c r="C10372" t="s">
        <v>292</v>
      </c>
      <c r="D10372" t="s">
        <v>293</v>
      </c>
      <c r="E10372" t="s">
        <v>298</v>
      </c>
      <c r="F10372" t="s">
        <v>11148</v>
      </c>
      <c r="G10372">
        <v>399</v>
      </c>
      <c r="H10372">
        <v>52349.45</v>
      </c>
      <c r="I10372">
        <v>131.19999999999999</v>
      </c>
      <c r="J10372">
        <v>32</v>
      </c>
      <c r="K10372">
        <v>5305.6</v>
      </c>
      <c r="L10372">
        <v>165.8</v>
      </c>
      <c r="M10372">
        <v>431</v>
      </c>
      <c r="N10372">
        <v>57655.049999999996</v>
      </c>
      <c r="O10372">
        <v>133.77000000000001</v>
      </c>
    </row>
    <row r="10373" spans="1:15" x14ac:dyDescent="0.35">
      <c r="A10373" t="s">
        <v>11144</v>
      </c>
      <c r="B10373" t="s">
        <v>11145</v>
      </c>
      <c r="C10373" t="s">
        <v>292</v>
      </c>
      <c r="D10373" t="s">
        <v>293</v>
      </c>
      <c r="E10373" t="s">
        <v>300</v>
      </c>
      <c r="F10373" t="s">
        <v>11149</v>
      </c>
      <c r="G10373">
        <v>36</v>
      </c>
      <c r="H10373">
        <v>5594.7900000000009</v>
      </c>
      <c r="I10373">
        <v>155.41</v>
      </c>
      <c r="J10373">
        <v>8</v>
      </c>
      <c r="K10373">
        <v>1321.12</v>
      </c>
      <c r="L10373">
        <v>165.14</v>
      </c>
      <c r="M10373">
        <v>44</v>
      </c>
      <c r="N10373">
        <v>6915.9100000000008</v>
      </c>
      <c r="O10373">
        <v>157.18</v>
      </c>
    </row>
    <row r="10374" spans="1:15" x14ac:dyDescent="0.35">
      <c r="A10374" t="s">
        <v>11144</v>
      </c>
      <c r="B10374" t="s">
        <v>11145</v>
      </c>
      <c r="C10374" t="s">
        <v>292</v>
      </c>
      <c r="D10374" t="s">
        <v>293</v>
      </c>
      <c r="E10374" t="s">
        <v>302</v>
      </c>
      <c r="F10374" t="s">
        <v>11150</v>
      </c>
      <c r="G10374">
        <v>13</v>
      </c>
      <c r="H10374">
        <v>2369.65</v>
      </c>
      <c r="I10374">
        <v>182.28</v>
      </c>
      <c r="J10374">
        <v>1</v>
      </c>
      <c r="K10374">
        <v>188.25</v>
      </c>
      <c r="L10374">
        <v>188.25</v>
      </c>
      <c r="M10374">
        <v>14</v>
      </c>
      <c r="N10374">
        <v>2557.9</v>
      </c>
      <c r="O10374">
        <v>182.71</v>
      </c>
    </row>
    <row r="10375" spans="1:15" x14ac:dyDescent="0.35">
      <c r="A10375" t="s">
        <v>11144</v>
      </c>
      <c r="B10375" t="s">
        <v>11145</v>
      </c>
      <c r="C10375" t="s">
        <v>292</v>
      </c>
      <c r="D10375" t="s">
        <v>293</v>
      </c>
      <c r="E10375" t="s">
        <v>304</v>
      </c>
      <c r="F10375" t="s">
        <v>11151</v>
      </c>
      <c r="G10375">
        <v>0</v>
      </c>
      <c r="H10375">
        <v>0</v>
      </c>
      <c r="I10375">
        <v>0</v>
      </c>
      <c r="J10375">
        <v>0</v>
      </c>
      <c r="K10375">
        <v>0</v>
      </c>
      <c r="L10375">
        <v>0</v>
      </c>
      <c r="M10375">
        <v>0</v>
      </c>
      <c r="N10375">
        <v>0</v>
      </c>
      <c r="O10375">
        <v>0</v>
      </c>
    </row>
    <row r="10376" spans="1:15" x14ac:dyDescent="0.35">
      <c r="A10376" t="s">
        <v>11144</v>
      </c>
      <c r="B10376" t="s">
        <v>11145</v>
      </c>
      <c r="C10376" t="s">
        <v>292</v>
      </c>
      <c r="D10376" t="s">
        <v>293</v>
      </c>
      <c r="E10376" t="s">
        <v>306</v>
      </c>
      <c r="F10376" t="s">
        <v>11152</v>
      </c>
      <c r="G10376">
        <v>0</v>
      </c>
      <c r="H10376">
        <v>0</v>
      </c>
      <c r="I10376">
        <v>0</v>
      </c>
      <c r="J10376">
        <v>0</v>
      </c>
      <c r="K10376">
        <v>0</v>
      </c>
      <c r="L10376">
        <v>0</v>
      </c>
      <c r="M10376">
        <v>0</v>
      </c>
      <c r="N10376">
        <v>0</v>
      </c>
      <c r="O10376">
        <v>0</v>
      </c>
    </row>
    <row r="10377" spans="1:15" x14ac:dyDescent="0.35">
      <c r="A10377" t="s">
        <v>11144</v>
      </c>
      <c r="B10377" t="s">
        <v>11145</v>
      </c>
      <c r="C10377" t="s">
        <v>292</v>
      </c>
      <c r="D10377" t="s">
        <v>293</v>
      </c>
      <c r="E10377" t="s">
        <v>308</v>
      </c>
      <c r="F10377" t="s">
        <v>11153</v>
      </c>
      <c r="G10377">
        <v>0</v>
      </c>
      <c r="H10377">
        <v>0</v>
      </c>
      <c r="I10377">
        <v>0</v>
      </c>
      <c r="J10377">
        <v>0</v>
      </c>
      <c r="K10377">
        <v>0</v>
      </c>
      <c r="L10377">
        <v>0</v>
      </c>
      <c r="M10377">
        <v>0</v>
      </c>
      <c r="N10377">
        <v>0</v>
      </c>
      <c r="O10377">
        <v>0</v>
      </c>
    </row>
    <row r="10378" spans="1:15" x14ac:dyDescent="0.35">
      <c r="A10378" t="s">
        <v>11144</v>
      </c>
      <c r="B10378" t="s">
        <v>11145</v>
      </c>
      <c r="C10378" t="s">
        <v>292</v>
      </c>
      <c r="D10378" t="s">
        <v>293</v>
      </c>
      <c r="E10378" t="s">
        <v>310</v>
      </c>
      <c r="F10378" t="s">
        <v>11154</v>
      </c>
      <c r="G10378">
        <v>1246</v>
      </c>
      <c r="H10378">
        <v>151320.65000000002</v>
      </c>
      <c r="I10378">
        <v>121.45</v>
      </c>
      <c r="J10378">
        <v>79</v>
      </c>
      <c r="K10378">
        <v>11639.68</v>
      </c>
      <c r="L10378">
        <v>147.34</v>
      </c>
      <c r="M10378">
        <v>1325</v>
      </c>
      <c r="N10378">
        <v>162960.33000000002</v>
      </c>
      <c r="O10378">
        <v>122.99</v>
      </c>
    </row>
    <row r="10379" spans="1:15" x14ac:dyDescent="0.35">
      <c r="A10379" t="s">
        <v>11144</v>
      </c>
      <c r="B10379" t="s">
        <v>11145</v>
      </c>
      <c r="C10379" t="s">
        <v>292</v>
      </c>
      <c r="D10379" t="s">
        <v>293</v>
      </c>
      <c r="E10379" t="s">
        <v>312</v>
      </c>
      <c r="F10379" t="s">
        <v>11155</v>
      </c>
      <c r="G10379">
        <v>1246</v>
      </c>
      <c r="H10379">
        <v>151320.65000000002</v>
      </c>
      <c r="I10379">
        <v>121.45</v>
      </c>
      <c r="J10379">
        <v>79</v>
      </c>
      <c r="K10379">
        <v>11639.68</v>
      </c>
      <c r="L10379">
        <v>147.34</v>
      </c>
      <c r="M10379">
        <v>1325</v>
      </c>
      <c r="N10379">
        <v>162960.33000000002</v>
      </c>
      <c r="O10379">
        <v>122.99</v>
      </c>
    </row>
    <row r="10380" spans="1:15" x14ac:dyDescent="0.35">
      <c r="A10380" t="s">
        <v>11144</v>
      </c>
      <c r="B10380" t="s">
        <v>11145</v>
      </c>
      <c r="C10380" t="s">
        <v>292</v>
      </c>
      <c r="D10380" t="s">
        <v>314</v>
      </c>
      <c r="E10380" t="s">
        <v>294</v>
      </c>
      <c r="F10380" t="s">
        <v>11156</v>
      </c>
      <c r="G10380">
        <v>94</v>
      </c>
      <c r="H10380">
        <v>29679.800000000003</v>
      </c>
      <c r="I10380">
        <v>315.74</v>
      </c>
      <c r="J10380">
        <v>13</v>
      </c>
      <c r="K10380">
        <v>1324.18</v>
      </c>
      <c r="L10380">
        <v>101.86</v>
      </c>
      <c r="M10380">
        <v>107</v>
      </c>
      <c r="N10380">
        <v>31003.980000000003</v>
      </c>
      <c r="O10380">
        <v>289.76</v>
      </c>
    </row>
    <row r="10381" spans="1:15" x14ac:dyDescent="0.35">
      <c r="A10381" t="s">
        <v>11144</v>
      </c>
      <c r="B10381" t="s">
        <v>11145</v>
      </c>
      <c r="C10381" t="s">
        <v>292</v>
      </c>
      <c r="D10381" t="s">
        <v>314</v>
      </c>
      <c r="E10381" t="s">
        <v>296</v>
      </c>
      <c r="F10381" t="s">
        <v>11157</v>
      </c>
      <c r="G10381">
        <v>82</v>
      </c>
      <c r="H10381">
        <v>17566.330000000002</v>
      </c>
      <c r="I10381">
        <v>214.22</v>
      </c>
      <c r="J10381">
        <v>4</v>
      </c>
      <c r="K10381">
        <v>614.84</v>
      </c>
      <c r="L10381">
        <v>153.71</v>
      </c>
      <c r="M10381">
        <v>86</v>
      </c>
      <c r="N10381">
        <v>18181.170000000002</v>
      </c>
      <c r="O10381">
        <v>211.41</v>
      </c>
    </row>
    <row r="10382" spans="1:15" x14ac:dyDescent="0.35">
      <c r="A10382" t="s">
        <v>11144</v>
      </c>
      <c r="B10382" t="s">
        <v>11145</v>
      </c>
      <c r="C10382" t="s">
        <v>292</v>
      </c>
      <c r="D10382" t="s">
        <v>314</v>
      </c>
      <c r="E10382" t="s">
        <v>298</v>
      </c>
      <c r="F10382" t="s">
        <v>11158</v>
      </c>
      <c r="G10382">
        <v>4</v>
      </c>
      <c r="H10382">
        <v>405.04</v>
      </c>
      <c r="I10382">
        <v>101.26</v>
      </c>
      <c r="J10382">
        <v>0</v>
      </c>
      <c r="K10382">
        <v>0</v>
      </c>
      <c r="L10382">
        <v>0</v>
      </c>
      <c r="M10382">
        <v>4</v>
      </c>
      <c r="N10382">
        <v>405.04</v>
      </c>
      <c r="O10382">
        <v>101.26</v>
      </c>
    </row>
    <row r="10383" spans="1:15" x14ac:dyDescent="0.35">
      <c r="A10383" t="s">
        <v>11144</v>
      </c>
      <c r="B10383" t="s">
        <v>11145</v>
      </c>
      <c r="C10383" t="s">
        <v>292</v>
      </c>
      <c r="D10383" t="s">
        <v>314</v>
      </c>
      <c r="E10383" t="s">
        <v>300</v>
      </c>
      <c r="F10383" t="s">
        <v>11159</v>
      </c>
      <c r="G10383">
        <v>0</v>
      </c>
      <c r="H10383">
        <v>0</v>
      </c>
      <c r="I10383">
        <v>0</v>
      </c>
      <c r="J10383">
        <v>0</v>
      </c>
      <c r="K10383">
        <v>0</v>
      </c>
      <c r="L10383">
        <v>0</v>
      </c>
      <c r="M10383">
        <v>0</v>
      </c>
      <c r="N10383">
        <v>0</v>
      </c>
      <c r="O10383">
        <v>0</v>
      </c>
    </row>
    <row r="10384" spans="1:15" x14ac:dyDescent="0.35">
      <c r="A10384" t="s">
        <v>11144</v>
      </c>
      <c r="B10384" t="s">
        <v>11145</v>
      </c>
      <c r="C10384" t="s">
        <v>292</v>
      </c>
      <c r="D10384" t="s">
        <v>314</v>
      </c>
      <c r="E10384" t="s">
        <v>306</v>
      </c>
      <c r="F10384" t="s">
        <v>11160</v>
      </c>
      <c r="G10384">
        <v>0</v>
      </c>
      <c r="H10384">
        <v>0</v>
      </c>
      <c r="I10384">
        <v>0</v>
      </c>
      <c r="J10384">
        <v>0</v>
      </c>
      <c r="K10384">
        <v>0</v>
      </c>
      <c r="L10384">
        <v>0</v>
      </c>
      <c r="M10384">
        <v>0</v>
      </c>
      <c r="N10384">
        <v>0</v>
      </c>
      <c r="O10384">
        <v>0</v>
      </c>
    </row>
    <row r="10385" spans="1:15" x14ac:dyDescent="0.35">
      <c r="A10385" t="s">
        <v>11144</v>
      </c>
      <c r="B10385" t="s">
        <v>11145</v>
      </c>
      <c r="C10385" t="s">
        <v>292</v>
      </c>
      <c r="D10385" t="s">
        <v>314</v>
      </c>
      <c r="E10385" t="s">
        <v>308</v>
      </c>
      <c r="F10385" t="s">
        <v>11161</v>
      </c>
      <c r="G10385">
        <v>2</v>
      </c>
      <c r="H10385">
        <v>496.2</v>
      </c>
      <c r="I10385">
        <v>248.1</v>
      </c>
      <c r="J10385">
        <v>6</v>
      </c>
      <c r="K10385">
        <v>440.58000000000004</v>
      </c>
      <c r="L10385">
        <v>73.430000000000007</v>
      </c>
      <c r="M10385">
        <v>8</v>
      </c>
      <c r="N10385">
        <v>936.78</v>
      </c>
      <c r="O10385">
        <v>117.1</v>
      </c>
    </row>
    <row r="10386" spans="1:15" x14ac:dyDescent="0.35">
      <c r="A10386" t="s">
        <v>11144</v>
      </c>
      <c r="B10386" t="s">
        <v>11145</v>
      </c>
      <c r="C10386" t="s">
        <v>292</v>
      </c>
      <c r="D10386" t="s">
        <v>314</v>
      </c>
      <c r="E10386" t="s">
        <v>312</v>
      </c>
      <c r="F10386" t="s">
        <v>11162</v>
      </c>
      <c r="G10386">
        <v>180</v>
      </c>
      <c r="H10386">
        <v>47651.170000000006</v>
      </c>
      <c r="I10386">
        <v>264.73</v>
      </c>
      <c r="J10386">
        <v>17</v>
      </c>
      <c r="K10386">
        <v>1939.02</v>
      </c>
      <c r="L10386">
        <v>114.06</v>
      </c>
      <c r="M10386">
        <v>197</v>
      </c>
      <c r="N10386">
        <v>49590.19</v>
      </c>
      <c r="O10386">
        <v>251.73</v>
      </c>
    </row>
    <row r="10387" spans="1:15" x14ac:dyDescent="0.35">
      <c r="A10387" t="s">
        <v>11144</v>
      </c>
      <c r="B10387" t="s">
        <v>11145</v>
      </c>
      <c r="C10387" t="s">
        <v>292</v>
      </c>
      <c r="D10387" t="s">
        <v>314</v>
      </c>
      <c r="E10387" t="s">
        <v>310</v>
      </c>
      <c r="F10387" t="s">
        <v>11163</v>
      </c>
      <c r="G10387">
        <v>182</v>
      </c>
      <c r="H10387">
        <v>48147.37</v>
      </c>
      <c r="I10387">
        <v>264.55</v>
      </c>
      <c r="J10387">
        <v>23</v>
      </c>
      <c r="K10387">
        <v>2379.6</v>
      </c>
      <c r="L10387">
        <v>103.46</v>
      </c>
      <c r="M10387">
        <v>205</v>
      </c>
      <c r="N10387">
        <v>50526.97</v>
      </c>
      <c r="O10387">
        <v>246.47</v>
      </c>
    </row>
    <row r="10388" spans="1:15" x14ac:dyDescent="0.35">
      <c r="A10388" t="s">
        <v>11144</v>
      </c>
      <c r="B10388" t="s">
        <v>11145</v>
      </c>
      <c r="C10388" t="s">
        <v>292</v>
      </c>
      <c r="D10388" t="s">
        <v>323</v>
      </c>
      <c r="E10388" t="s">
        <v>294</v>
      </c>
      <c r="F10388" t="s">
        <v>11164</v>
      </c>
      <c r="G10388">
        <v>797</v>
      </c>
      <c r="H10388">
        <v>68586.06</v>
      </c>
      <c r="I10388">
        <v>86.06</v>
      </c>
      <c r="J10388">
        <v>2591</v>
      </c>
      <c r="K10388">
        <v>216996.25</v>
      </c>
      <c r="L10388">
        <v>83.75</v>
      </c>
      <c r="M10388">
        <v>3388</v>
      </c>
      <c r="N10388">
        <v>285582.31</v>
      </c>
      <c r="O10388">
        <v>84.29</v>
      </c>
    </row>
    <row r="10389" spans="1:15" x14ac:dyDescent="0.35">
      <c r="A10389" t="s">
        <v>11144</v>
      </c>
      <c r="B10389" t="s">
        <v>11145</v>
      </c>
      <c r="C10389" t="s">
        <v>292</v>
      </c>
      <c r="D10389" t="s">
        <v>323</v>
      </c>
      <c r="E10389" t="s">
        <v>296</v>
      </c>
      <c r="F10389" t="s">
        <v>11165</v>
      </c>
      <c r="G10389">
        <v>1188</v>
      </c>
      <c r="H10389">
        <v>116271.73</v>
      </c>
      <c r="I10389">
        <v>97.87</v>
      </c>
      <c r="J10389">
        <v>7835</v>
      </c>
      <c r="K10389">
        <v>729438.5</v>
      </c>
      <c r="L10389">
        <v>93.1</v>
      </c>
      <c r="M10389">
        <v>9023</v>
      </c>
      <c r="N10389">
        <v>845710.23</v>
      </c>
      <c r="O10389">
        <v>93.73</v>
      </c>
    </row>
    <row r="10390" spans="1:15" x14ac:dyDescent="0.35">
      <c r="A10390" t="s">
        <v>11144</v>
      </c>
      <c r="B10390" t="s">
        <v>11145</v>
      </c>
      <c r="C10390" t="s">
        <v>292</v>
      </c>
      <c r="D10390" t="s">
        <v>323</v>
      </c>
      <c r="E10390" t="s">
        <v>298</v>
      </c>
      <c r="F10390" t="s">
        <v>11166</v>
      </c>
      <c r="G10390">
        <v>755</v>
      </c>
      <c r="H10390">
        <v>81559.069999999992</v>
      </c>
      <c r="I10390">
        <v>108.03</v>
      </c>
      <c r="J10390">
        <v>5525</v>
      </c>
      <c r="K10390">
        <v>557141</v>
      </c>
      <c r="L10390">
        <v>100.84</v>
      </c>
      <c r="M10390">
        <v>6280</v>
      </c>
      <c r="N10390">
        <v>638700.06999999995</v>
      </c>
      <c r="O10390">
        <v>101.7</v>
      </c>
    </row>
    <row r="10391" spans="1:15" x14ac:dyDescent="0.35">
      <c r="A10391" t="s">
        <v>11144</v>
      </c>
      <c r="B10391" t="s">
        <v>11145</v>
      </c>
      <c r="C10391" t="s">
        <v>292</v>
      </c>
      <c r="D10391" t="s">
        <v>323</v>
      </c>
      <c r="E10391" t="s">
        <v>300</v>
      </c>
      <c r="F10391" t="s">
        <v>11167</v>
      </c>
      <c r="G10391">
        <v>63</v>
      </c>
      <c r="H10391">
        <v>7751.0699999999988</v>
      </c>
      <c r="I10391">
        <v>123.03</v>
      </c>
      <c r="J10391">
        <v>310</v>
      </c>
      <c r="K10391">
        <v>33145.199999999997</v>
      </c>
      <c r="L10391">
        <v>106.92</v>
      </c>
      <c r="M10391">
        <v>373</v>
      </c>
      <c r="N10391">
        <v>40896.269999999997</v>
      </c>
      <c r="O10391">
        <v>109.64</v>
      </c>
    </row>
    <row r="10392" spans="1:15" x14ac:dyDescent="0.35">
      <c r="A10392" t="s">
        <v>11144</v>
      </c>
      <c r="B10392" t="s">
        <v>11145</v>
      </c>
      <c r="C10392" t="s">
        <v>292</v>
      </c>
      <c r="D10392" t="s">
        <v>323</v>
      </c>
      <c r="E10392" t="s">
        <v>302</v>
      </c>
      <c r="F10392" t="s">
        <v>11168</v>
      </c>
      <c r="G10392">
        <v>5</v>
      </c>
      <c r="H10392">
        <v>640.54999999999995</v>
      </c>
      <c r="I10392">
        <v>128.11000000000001</v>
      </c>
      <c r="J10392">
        <v>3</v>
      </c>
      <c r="K10392">
        <v>338.01</v>
      </c>
      <c r="L10392">
        <v>112.67</v>
      </c>
      <c r="M10392">
        <v>8</v>
      </c>
      <c r="N10392">
        <v>978.56</v>
      </c>
      <c r="O10392">
        <v>122.32</v>
      </c>
    </row>
    <row r="10393" spans="1:15" x14ac:dyDescent="0.35">
      <c r="A10393" t="s">
        <v>11144</v>
      </c>
      <c r="B10393" t="s">
        <v>11145</v>
      </c>
      <c r="C10393" t="s">
        <v>292</v>
      </c>
      <c r="D10393" t="s">
        <v>323</v>
      </c>
      <c r="E10393" t="s">
        <v>304</v>
      </c>
      <c r="F10393" t="s">
        <v>11169</v>
      </c>
      <c r="G10393">
        <v>4</v>
      </c>
      <c r="H10393">
        <v>595.96</v>
      </c>
      <c r="I10393">
        <v>148.99</v>
      </c>
      <c r="J10393">
        <v>3</v>
      </c>
      <c r="K10393">
        <v>402.45000000000005</v>
      </c>
      <c r="L10393">
        <v>134.15</v>
      </c>
      <c r="M10393">
        <v>7</v>
      </c>
      <c r="N10393">
        <v>998.41000000000008</v>
      </c>
      <c r="O10393">
        <v>142.63</v>
      </c>
    </row>
    <row r="10394" spans="1:15" x14ac:dyDescent="0.35">
      <c r="A10394" t="s">
        <v>11144</v>
      </c>
      <c r="B10394" t="s">
        <v>11145</v>
      </c>
      <c r="C10394" t="s">
        <v>292</v>
      </c>
      <c r="D10394" t="s">
        <v>323</v>
      </c>
      <c r="E10394" t="s">
        <v>306</v>
      </c>
      <c r="F10394" t="s">
        <v>11170</v>
      </c>
      <c r="G10394">
        <v>4</v>
      </c>
      <c r="H10394">
        <v>296.69</v>
      </c>
      <c r="I10394">
        <v>74.17</v>
      </c>
      <c r="J10394">
        <v>113</v>
      </c>
      <c r="K10394">
        <v>8062.5499999999993</v>
      </c>
      <c r="L10394">
        <v>71.349999999999994</v>
      </c>
      <c r="M10394">
        <v>117</v>
      </c>
      <c r="N10394">
        <v>8359.24</v>
      </c>
      <c r="O10394">
        <v>71.45</v>
      </c>
    </row>
    <row r="10395" spans="1:15" x14ac:dyDescent="0.35">
      <c r="A10395" t="s">
        <v>11144</v>
      </c>
      <c r="B10395" t="s">
        <v>11145</v>
      </c>
      <c r="C10395" t="s">
        <v>292</v>
      </c>
      <c r="D10395" t="s">
        <v>323</v>
      </c>
      <c r="E10395" t="s">
        <v>308</v>
      </c>
      <c r="F10395" t="s">
        <v>11171</v>
      </c>
      <c r="G10395">
        <v>0</v>
      </c>
      <c r="H10395">
        <v>0</v>
      </c>
      <c r="I10395">
        <v>0</v>
      </c>
      <c r="J10395">
        <v>0</v>
      </c>
      <c r="K10395">
        <v>0</v>
      </c>
      <c r="L10395">
        <v>0</v>
      </c>
      <c r="M10395">
        <v>0</v>
      </c>
      <c r="N10395">
        <v>0</v>
      </c>
      <c r="O10395">
        <v>0</v>
      </c>
    </row>
    <row r="10396" spans="1:15" x14ac:dyDescent="0.35">
      <c r="A10396" t="s">
        <v>11144</v>
      </c>
      <c r="B10396" t="s">
        <v>11145</v>
      </c>
      <c r="C10396" t="s">
        <v>292</v>
      </c>
      <c r="D10396" t="s">
        <v>323</v>
      </c>
      <c r="E10396" t="s">
        <v>310</v>
      </c>
      <c r="F10396" t="s">
        <v>11172</v>
      </c>
      <c r="G10396">
        <v>2816</v>
      </c>
      <c r="H10396">
        <v>275701.13</v>
      </c>
      <c r="I10396">
        <v>97.91</v>
      </c>
      <c r="J10396">
        <v>16380</v>
      </c>
      <c r="K10396">
        <v>1545523.96</v>
      </c>
      <c r="L10396">
        <v>94.35</v>
      </c>
      <c r="M10396">
        <v>19196</v>
      </c>
      <c r="N10396">
        <v>1821225.0899999999</v>
      </c>
      <c r="O10396">
        <v>94.88</v>
      </c>
    </row>
    <row r="10397" spans="1:15" x14ac:dyDescent="0.35">
      <c r="A10397" t="s">
        <v>11144</v>
      </c>
      <c r="B10397" t="s">
        <v>11145</v>
      </c>
      <c r="C10397" t="s">
        <v>292</v>
      </c>
      <c r="D10397" t="s">
        <v>323</v>
      </c>
      <c r="E10397" t="s">
        <v>312</v>
      </c>
      <c r="F10397" t="s">
        <v>11173</v>
      </c>
      <c r="G10397">
        <v>2816</v>
      </c>
      <c r="H10397">
        <v>275701.13</v>
      </c>
      <c r="I10397">
        <v>97.91</v>
      </c>
      <c r="J10397">
        <v>16380</v>
      </c>
      <c r="K10397">
        <v>1545523.96</v>
      </c>
      <c r="L10397">
        <v>94.35</v>
      </c>
      <c r="M10397">
        <v>19196</v>
      </c>
      <c r="N10397">
        <v>1821225.0899999999</v>
      </c>
      <c r="O10397">
        <v>94.88</v>
      </c>
    </row>
    <row r="10398" spans="1:15" x14ac:dyDescent="0.35">
      <c r="A10398" t="s">
        <v>11144</v>
      </c>
      <c r="B10398" t="s">
        <v>11145</v>
      </c>
      <c r="C10398" t="s">
        <v>292</v>
      </c>
      <c r="D10398" t="s">
        <v>334</v>
      </c>
      <c r="E10398" t="s">
        <v>312</v>
      </c>
      <c r="F10398" t="s">
        <v>11174</v>
      </c>
      <c r="G10398">
        <v>4111</v>
      </c>
      <c r="H10398">
        <v>427021.78</v>
      </c>
      <c r="I10398">
        <v>105.13</v>
      </c>
      <c r="J10398">
        <v>16459</v>
      </c>
      <c r="K10398">
        <v>1557163.64</v>
      </c>
      <c r="L10398">
        <v>94.61</v>
      </c>
      <c r="M10398">
        <v>20570</v>
      </c>
      <c r="N10398">
        <v>1984185.42</v>
      </c>
      <c r="O10398">
        <v>96.69</v>
      </c>
    </row>
    <row r="10399" spans="1:15" x14ac:dyDescent="0.35">
      <c r="A10399" t="s">
        <v>11144</v>
      </c>
      <c r="B10399" t="s">
        <v>11145</v>
      </c>
      <c r="C10399" t="s">
        <v>292</v>
      </c>
      <c r="D10399" t="s">
        <v>334</v>
      </c>
      <c r="E10399" t="s">
        <v>308</v>
      </c>
      <c r="F10399" t="s">
        <v>11175</v>
      </c>
      <c r="G10399">
        <v>0</v>
      </c>
      <c r="H10399">
        <v>0</v>
      </c>
      <c r="I10399">
        <v>0</v>
      </c>
      <c r="J10399">
        <v>0</v>
      </c>
      <c r="K10399">
        <v>0</v>
      </c>
      <c r="L10399">
        <v>0</v>
      </c>
      <c r="M10399">
        <v>0</v>
      </c>
      <c r="N10399">
        <v>0</v>
      </c>
      <c r="O10399">
        <v>0</v>
      </c>
    </row>
    <row r="10400" spans="1:15" x14ac:dyDescent="0.35">
      <c r="A10400" t="s">
        <v>11144</v>
      </c>
      <c r="B10400" t="s">
        <v>11145</v>
      </c>
      <c r="C10400" t="s">
        <v>292</v>
      </c>
      <c r="D10400" t="s">
        <v>337</v>
      </c>
      <c r="E10400" t="s">
        <v>337</v>
      </c>
      <c r="F10400" t="s">
        <v>11176</v>
      </c>
      <c r="G10400">
        <v>352</v>
      </c>
      <c r="J10400">
        <v>7</v>
      </c>
      <c r="M10400">
        <v>359</v>
      </c>
    </row>
    <row r="10401" spans="1:15" x14ac:dyDescent="0.35">
      <c r="A10401" t="s">
        <v>11144</v>
      </c>
      <c r="B10401" t="s">
        <v>11145</v>
      </c>
      <c r="C10401" t="s">
        <v>292</v>
      </c>
      <c r="D10401" t="s">
        <v>339</v>
      </c>
      <c r="E10401" t="s">
        <v>294</v>
      </c>
      <c r="F10401" t="s">
        <v>11177</v>
      </c>
      <c r="G10401">
        <v>904</v>
      </c>
      <c r="H10401">
        <v>95723.030000000013</v>
      </c>
      <c r="I10401">
        <v>105.89</v>
      </c>
      <c r="J10401">
        <v>1035</v>
      </c>
      <c r="K10401">
        <v>92083.95</v>
      </c>
      <c r="L10401">
        <v>88.97</v>
      </c>
      <c r="M10401">
        <v>1939</v>
      </c>
      <c r="N10401">
        <v>187806.98</v>
      </c>
      <c r="O10401">
        <v>96.86</v>
      </c>
    </row>
    <row r="10402" spans="1:15" x14ac:dyDescent="0.35">
      <c r="A10402" t="s">
        <v>11144</v>
      </c>
      <c r="B10402" t="s">
        <v>11145</v>
      </c>
      <c r="C10402" t="s">
        <v>292</v>
      </c>
      <c r="D10402" t="s">
        <v>339</v>
      </c>
      <c r="E10402" t="s">
        <v>296</v>
      </c>
      <c r="F10402" t="s">
        <v>11178</v>
      </c>
      <c r="G10402">
        <v>158</v>
      </c>
      <c r="H10402">
        <v>19583.230000000003</v>
      </c>
      <c r="I10402">
        <v>123.94</v>
      </c>
      <c r="J10402">
        <v>432</v>
      </c>
      <c r="K10402">
        <v>41739.840000000004</v>
      </c>
      <c r="L10402">
        <v>96.62</v>
      </c>
      <c r="M10402">
        <v>590</v>
      </c>
      <c r="N10402">
        <v>61323.070000000007</v>
      </c>
      <c r="O10402">
        <v>103.94</v>
      </c>
    </row>
    <row r="10403" spans="1:15" x14ac:dyDescent="0.35">
      <c r="A10403" t="s">
        <v>11144</v>
      </c>
      <c r="B10403" t="s">
        <v>11145</v>
      </c>
      <c r="C10403" t="s">
        <v>292</v>
      </c>
      <c r="D10403" t="s">
        <v>339</v>
      </c>
      <c r="E10403" t="s">
        <v>298</v>
      </c>
      <c r="F10403" t="s">
        <v>11179</v>
      </c>
      <c r="G10403">
        <v>22</v>
      </c>
      <c r="H10403">
        <v>2879.33</v>
      </c>
      <c r="I10403">
        <v>130.88</v>
      </c>
      <c r="J10403">
        <v>8</v>
      </c>
      <c r="K10403">
        <v>943.84</v>
      </c>
      <c r="L10403">
        <v>117.98</v>
      </c>
      <c r="M10403">
        <v>30</v>
      </c>
      <c r="N10403">
        <v>3823.17</v>
      </c>
      <c r="O10403">
        <v>127.44</v>
      </c>
    </row>
    <row r="10404" spans="1:15" x14ac:dyDescent="0.35">
      <c r="A10404" t="s">
        <v>11144</v>
      </c>
      <c r="B10404" t="s">
        <v>11145</v>
      </c>
      <c r="C10404" t="s">
        <v>292</v>
      </c>
      <c r="D10404" t="s">
        <v>339</v>
      </c>
      <c r="E10404" t="s">
        <v>300</v>
      </c>
      <c r="F10404" t="s">
        <v>11180</v>
      </c>
      <c r="G10404">
        <v>1</v>
      </c>
      <c r="H10404">
        <v>146.18</v>
      </c>
      <c r="I10404">
        <v>146.18</v>
      </c>
      <c r="J10404">
        <v>0</v>
      </c>
      <c r="K10404">
        <v>0</v>
      </c>
      <c r="L10404">
        <v>0</v>
      </c>
      <c r="M10404">
        <v>1</v>
      </c>
      <c r="N10404">
        <v>146.18</v>
      </c>
      <c r="O10404">
        <v>146.18</v>
      </c>
    </row>
    <row r="10405" spans="1:15" x14ac:dyDescent="0.35">
      <c r="A10405" t="s">
        <v>11144</v>
      </c>
      <c r="B10405" t="s">
        <v>11145</v>
      </c>
      <c r="C10405" t="s">
        <v>292</v>
      </c>
      <c r="D10405" t="s">
        <v>339</v>
      </c>
      <c r="E10405" t="s">
        <v>306</v>
      </c>
      <c r="F10405" t="s">
        <v>11181</v>
      </c>
      <c r="G10405">
        <v>71</v>
      </c>
      <c r="H10405">
        <v>6341.8099999999995</v>
      </c>
      <c r="I10405">
        <v>89.32</v>
      </c>
      <c r="J10405">
        <v>20</v>
      </c>
      <c r="K10405">
        <v>1630.8000000000002</v>
      </c>
      <c r="L10405">
        <v>81.540000000000006</v>
      </c>
      <c r="M10405">
        <v>91</v>
      </c>
      <c r="N10405">
        <v>7972.61</v>
      </c>
      <c r="O10405">
        <v>87.61</v>
      </c>
    </row>
    <row r="10406" spans="1:15" x14ac:dyDescent="0.35">
      <c r="A10406" t="s">
        <v>11144</v>
      </c>
      <c r="B10406" t="s">
        <v>11145</v>
      </c>
      <c r="C10406" t="s">
        <v>292</v>
      </c>
      <c r="D10406" t="s">
        <v>339</v>
      </c>
      <c r="E10406" t="s">
        <v>308</v>
      </c>
      <c r="F10406" t="s">
        <v>11182</v>
      </c>
      <c r="G10406">
        <v>201</v>
      </c>
      <c r="H10406">
        <v>41249.149999999994</v>
      </c>
      <c r="I10406">
        <v>205.22</v>
      </c>
      <c r="J10406">
        <v>12</v>
      </c>
      <c r="K10406">
        <v>526.31999999999994</v>
      </c>
      <c r="L10406">
        <v>43.86</v>
      </c>
      <c r="M10406">
        <v>213</v>
      </c>
      <c r="N10406">
        <v>41775.469999999994</v>
      </c>
      <c r="O10406">
        <v>196.13</v>
      </c>
    </row>
    <row r="10407" spans="1:15" x14ac:dyDescent="0.35">
      <c r="A10407" t="s">
        <v>11144</v>
      </c>
      <c r="B10407" t="s">
        <v>11145</v>
      </c>
      <c r="C10407" t="s">
        <v>292</v>
      </c>
      <c r="D10407" t="s">
        <v>339</v>
      </c>
      <c r="E10407" t="s">
        <v>310</v>
      </c>
      <c r="F10407" t="s">
        <v>11183</v>
      </c>
      <c r="G10407">
        <v>1357</v>
      </c>
      <c r="H10407">
        <v>165922.72999999998</v>
      </c>
      <c r="I10407">
        <v>122.27</v>
      </c>
      <c r="J10407">
        <v>1507</v>
      </c>
      <c r="K10407">
        <v>136924.75</v>
      </c>
      <c r="L10407">
        <v>90.86</v>
      </c>
      <c r="M10407">
        <v>2864</v>
      </c>
      <c r="N10407">
        <v>302847.48</v>
      </c>
      <c r="O10407">
        <v>105.74</v>
      </c>
    </row>
    <row r="10408" spans="1:15" x14ac:dyDescent="0.35">
      <c r="A10408" t="s">
        <v>11144</v>
      </c>
      <c r="B10408" t="s">
        <v>11145</v>
      </c>
      <c r="C10408" t="s">
        <v>292</v>
      </c>
      <c r="D10408" t="s">
        <v>339</v>
      </c>
      <c r="E10408" t="s">
        <v>312</v>
      </c>
      <c r="F10408" t="s">
        <v>11184</v>
      </c>
      <c r="G10408">
        <v>1156</v>
      </c>
      <c r="H10408">
        <v>124673.58</v>
      </c>
      <c r="I10408">
        <v>107.85</v>
      </c>
      <c r="J10408">
        <v>1495</v>
      </c>
      <c r="K10408">
        <v>136398.43</v>
      </c>
      <c r="L10408">
        <v>91.24</v>
      </c>
      <c r="M10408">
        <v>2651</v>
      </c>
      <c r="N10408">
        <v>261072.01</v>
      </c>
      <c r="O10408">
        <v>98.48</v>
      </c>
    </row>
    <row r="10409" spans="1:15" x14ac:dyDescent="0.35">
      <c r="A10409" t="s">
        <v>11144</v>
      </c>
      <c r="B10409" t="s">
        <v>11145</v>
      </c>
      <c r="C10409" t="s">
        <v>292</v>
      </c>
      <c r="D10409" t="s">
        <v>348</v>
      </c>
      <c r="E10409" t="s">
        <v>349</v>
      </c>
      <c r="F10409" t="s">
        <v>11185</v>
      </c>
      <c r="G10409">
        <v>1568</v>
      </c>
      <c r="H10409">
        <v>214070.1</v>
      </c>
      <c r="I10409">
        <v>139.1</v>
      </c>
      <c r="J10409">
        <v>1530</v>
      </c>
      <c r="K10409">
        <v>139304.35</v>
      </c>
      <c r="L10409">
        <v>91.05</v>
      </c>
      <c r="M10409">
        <v>3098</v>
      </c>
      <c r="N10409">
        <v>353374.45</v>
      </c>
      <c r="O10409">
        <v>115.14</v>
      </c>
    </row>
    <row r="10410" spans="1:15" x14ac:dyDescent="0.35">
      <c r="A10410" t="s">
        <v>11186</v>
      </c>
      <c r="B10410" t="s">
        <v>11187</v>
      </c>
      <c r="C10410" t="s">
        <v>11188</v>
      </c>
      <c r="D10410" t="s">
        <v>293</v>
      </c>
      <c r="E10410" t="s">
        <v>294</v>
      </c>
      <c r="F10410" t="s">
        <v>11189</v>
      </c>
      <c r="G10410">
        <v>14</v>
      </c>
      <c r="H10410">
        <v>3703</v>
      </c>
      <c r="I10410">
        <v>264.5</v>
      </c>
      <c r="J10410">
        <v>0</v>
      </c>
      <c r="K10410">
        <v>0</v>
      </c>
      <c r="L10410">
        <v>0</v>
      </c>
      <c r="M10410">
        <v>14</v>
      </c>
      <c r="N10410">
        <v>3703</v>
      </c>
      <c r="O10410">
        <v>264.5</v>
      </c>
    </row>
    <row r="10411" spans="1:15" x14ac:dyDescent="0.35">
      <c r="A10411" t="s">
        <v>11186</v>
      </c>
      <c r="B10411" t="s">
        <v>11187</v>
      </c>
      <c r="C10411" t="s">
        <v>11188</v>
      </c>
      <c r="D10411" t="s">
        <v>293</v>
      </c>
      <c r="E10411" t="s">
        <v>296</v>
      </c>
      <c r="F10411" t="s">
        <v>11190</v>
      </c>
      <c r="G10411">
        <v>4</v>
      </c>
      <c r="H10411">
        <v>1324.2</v>
      </c>
      <c r="I10411">
        <v>331.05</v>
      </c>
      <c r="J10411">
        <v>0</v>
      </c>
      <c r="K10411">
        <v>0</v>
      </c>
      <c r="L10411">
        <v>0</v>
      </c>
      <c r="M10411">
        <v>4</v>
      </c>
      <c r="N10411">
        <v>1324.2</v>
      </c>
      <c r="O10411">
        <v>331.05</v>
      </c>
    </row>
    <row r="10412" spans="1:15" x14ac:dyDescent="0.35">
      <c r="A10412" t="s">
        <v>11186</v>
      </c>
      <c r="B10412" t="s">
        <v>11187</v>
      </c>
      <c r="C10412" t="s">
        <v>11188</v>
      </c>
      <c r="D10412" t="s">
        <v>293</v>
      </c>
      <c r="E10412" t="s">
        <v>298</v>
      </c>
      <c r="F10412" t="s">
        <v>11191</v>
      </c>
      <c r="G10412">
        <v>0</v>
      </c>
      <c r="H10412">
        <v>0</v>
      </c>
      <c r="I10412">
        <v>0</v>
      </c>
      <c r="J10412">
        <v>0</v>
      </c>
      <c r="K10412">
        <v>0</v>
      </c>
      <c r="L10412">
        <v>0</v>
      </c>
      <c r="M10412">
        <v>0</v>
      </c>
      <c r="N10412">
        <v>0</v>
      </c>
      <c r="O10412">
        <v>0</v>
      </c>
    </row>
    <row r="10413" spans="1:15" x14ac:dyDescent="0.35">
      <c r="A10413" t="s">
        <v>11186</v>
      </c>
      <c r="B10413" t="s">
        <v>11187</v>
      </c>
      <c r="C10413" t="s">
        <v>11188</v>
      </c>
      <c r="D10413" t="s">
        <v>293</v>
      </c>
      <c r="E10413" t="s">
        <v>300</v>
      </c>
      <c r="F10413" t="s">
        <v>11192</v>
      </c>
      <c r="G10413">
        <v>0</v>
      </c>
      <c r="H10413">
        <v>0</v>
      </c>
      <c r="I10413">
        <v>0</v>
      </c>
      <c r="J10413">
        <v>0</v>
      </c>
      <c r="K10413">
        <v>0</v>
      </c>
      <c r="L10413">
        <v>0</v>
      </c>
      <c r="M10413">
        <v>0</v>
      </c>
      <c r="N10413">
        <v>0</v>
      </c>
      <c r="O10413">
        <v>0</v>
      </c>
    </row>
    <row r="10414" spans="1:15" x14ac:dyDescent="0.35">
      <c r="A10414" t="s">
        <v>11186</v>
      </c>
      <c r="B10414" t="s">
        <v>11187</v>
      </c>
      <c r="C10414" t="s">
        <v>11188</v>
      </c>
      <c r="D10414" t="s">
        <v>293</v>
      </c>
      <c r="E10414" t="s">
        <v>302</v>
      </c>
      <c r="F10414" t="s">
        <v>11193</v>
      </c>
      <c r="G10414">
        <v>0</v>
      </c>
      <c r="H10414">
        <v>0</v>
      </c>
      <c r="I10414">
        <v>0</v>
      </c>
      <c r="J10414">
        <v>0</v>
      </c>
      <c r="K10414">
        <v>0</v>
      </c>
      <c r="L10414">
        <v>0</v>
      </c>
      <c r="M10414">
        <v>0</v>
      </c>
      <c r="N10414">
        <v>0</v>
      </c>
      <c r="O10414">
        <v>0</v>
      </c>
    </row>
    <row r="10415" spans="1:15" x14ac:dyDescent="0.35">
      <c r="A10415" t="s">
        <v>11186</v>
      </c>
      <c r="B10415" t="s">
        <v>11187</v>
      </c>
      <c r="C10415" t="s">
        <v>11188</v>
      </c>
      <c r="D10415" t="s">
        <v>293</v>
      </c>
      <c r="E10415" t="s">
        <v>304</v>
      </c>
      <c r="F10415" t="s">
        <v>11194</v>
      </c>
      <c r="G10415">
        <v>0</v>
      </c>
      <c r="H10415">
        <v>0</v>
      </c>
      <c r="I10415">
        <v>0</v>
      </c>
      <c r="J10415">
        <v>0</v>
      </c>
      <c r="K10415">
        <v>0</v>
      </c>
      <c r="L10415">
        <v>0</v>
      </c>
      <c r="M10415">
        <v>0</v>
      </c>
      <c r="N10415">
        <v>0</v>
      </c>
      <c r="O10415">
        <v>0</v>
      </c>
    </row>
    <row r="10416" spans="1:15" x14ac:dyDescent="0.35">
      <c r="A10416" t="s">
        <v>11186</v>
      </c>
      <c r="B10416" t="s">
        <v>11187</v>
      </c>
      <c r="C10416" t="s">
        <v>11188</v>
      </c>
      <c r="D10416" t="s">
        <v>293</v>
      </c>
      <c r="E10416" t="s">
        <v>306</v>
      </c>
      <c r="F10416" t="s">
        <v>11195</v>
      </c>
      <c r="G10416">
        <v>16</v>
      </c>
      <c r="H10416">
        <v>3529.28</v>
      </c>
      <c r="I10416">
        <v>220.58</v>
      </c>
      <c r="J10416">
        <v>0</v>
      </c>
      <c r="K10416">
        <v>0</v>
      </c>
      <c r="L10416">
        <v>0</v>
      </c>
      <c r="M10416">
        <v>16</v>
      </c>
      <c r="N10416">
        <v>3529.28</v>
      </c>
      <c r="O10416">
        <v>220.58</v>
      </c>
    </row>
    <row r="10417" spans="1:15" x14ac:dyDescent="0.35">
      <c r="A10417" t="s">
        <v>11186</v>
      </c>
      <c r="B10417" t="s">
        <v>11187</v>
      </c>
      <c r="C10417" t="s">
        <v>11188</v>
      </c>
      <c r="D10417" t="s">
        <v>293</v>
      </c>
      <c r="E10417" t="s">
        <v>308</v>
      </c>
      <c r="F10417" t="s">
        <v>11196</v>
      </c>
      <c r="G10417">
        <v>0</v>
      </c>
      <c r="H10417">
        <v>0</v>
      </c>
      <c r="I10417">
        <v>0</v>
      </c>
      <c r="J10417">
        <v>0</v>
      </c>
      <c r="K10417">
        <v>0</v>
      </c>
      <c r="L10417">
        <v>0</v>
      </c>
      <c r="M10417">
        <v>0</v>
      </c>
      <c r="N10417">
        <v>0</v>
      </c>
      <c r="O10417">
        <v>0</v>
      </c>
    </row>
    <row r="10418" spans="1:15" x14ac:dyDescent="0.35">
      <c r="A10418" t="s">
        <v>11186</v>
      </c>
      <c r="B10418" t="s">
        <v>11187</v>
      </c>
      <c r="C10418" t="s">
        <v>11188</v>
      </c>
      <c r="D10418" t="s">
        <v>293</v>
      </c>
      <c r="E10418" t="s">
        <v>310</v>
      </c>
      <c r="F10418" t="s">
        <v>11197</v>
      </c>
      <c r="G10418">
        <v>34</v>
      </c>
      <c r="H10418">
        <v>8556.48</v>
      </c>
      <c r="I10418">
        <v>251.66</v>
      </c>
      <c r="J10418">
        <v>0</v>
      </c>
      <c r="K10418">
        <v>0</v>
      </c>
      <c r="L10418">
        <v>0</v>
      </c>
      <c r="M10418">
        <v>34</v>
      </c>
      <c r="N10418">
        <v>8556.48</v>
      </c>
      <c r="O10418">
        <v>251.66</v>
      </c>
    </row>
    <row r="10419" spans="1:15" x14ac:dyDescent="0.35">
      <c r="A10419" t="s">
        <v>11186</v>
      </c>
      <c r="B10419" t="s">
        <v>11187</v>
      </c>
      <c r="C10419" t="s">
        <v>11188</v>
      </c>
      <c r="D10419" t="s">
        <v>293</v>
      </c>
      <c r="E10419" t="s">
        <v>312</v>
      </c>
      <c r="F10419" t="s">
        <v>11198</v>
      </c>
      <c r="G10419">
        <v>34</v>
      </c>
      <c r="H10419">
        <v>8556.48</v>
      </c>
      <c r="I10419">
        <v>251.66</v>
      </c>
      <c r="J10419">
        <v>0</v>
      </c>
      <c r="K10419">
        <v>0</v>
      </c>
      <c r="L10419">
        <v>0</v>
      </c>
      <c r="M10419">
        <v>34</v>
      </c>
      <c r="N10419">
        <v>8556.48</v>
      </c>
      <c r="O10419">
        <v>251.66</v>
      </c>
    </row>
    <row r="10420" spans="1:15" x14ac:dyDescent="0.35">
      <c r="A10420" t="s">
        <v>11186</v>
      </c>
      <c r="B10420" t="s">
        <v>11187</v>
      </c>
      <c r="C10420" t="s">
        <v>11188</v>
      </c>
      <c r="D10420" t="s">
        <v>314</v>
      </c>
      <c r="E10420" t="s">
        <v>294</v>
      </c>
      <c r="F10420" t="s">
        <v>11199</v>
      </c>
      <c r="G10420">
        <v>0</v>
      </c>
      <c r="H10420">
        <v>0</v>
      </c>
      <c r="I10420">
        <v>0</v>
      </c>
      <c r="J10420">
        <v>0</v>
      </c>
      <c r="K10420">
        <v>0</v>
      </c>
      <c r="L10420">
        <v>0</v>
      </c>
      <c r="M10420">
        <v>0</v>
      </c>
      <c r="N10420">
        <v>0</v>
      </c>
      <c r="O10420">
        <v>0</v>
      </c>
    </row>
    <row r="10421" spans="1:15" x14ac:dyDescent="0.35">
      <c r="A10421" t="s">
        <v>11186</v>
      </c>
      <c r="B10421" t="s">
        <v>11187</v>
      </c>
      <c r="C10421" t="s">
        <v>11188</v>
      </c>
      <c r="D10421" t="s">
        <v>314</v>
      </c>
      <c r="E10421" t="s">
        <v>296</v>
      </c>
      <c r="F10421" t="s">
        <v>11200</v>
      </c>
      <c r="G10421">
        <v>0</v>
      </c>
      <c r="H10421">
        <v>0</v>
      </c>
      <c r="I10421">
        <v>0</v>
      </c>
      <c r="J10421">
        <v>0</v>
      </c>
      <c r="K10421">
        <v>0</v>
      </c>
      <c r="L10421">
        <v>0</v>
      </c>
      <c r="M10421">
        <v>0</v>
      </c>
      <c r="N10421">
        <v>0</v>
      </c>
      <c r="O10421">
        <v>0</v>
      </c>
    </row>
    <row r="10422" spans="1:15" x14ac:dyDescent="0.35">
      <c r="A10422" t="s">
        <v>11186</v>
      </c>
      <c r="B10422" t="s">
        <v>11187</v>
      </c>
      <c r="C10422" t="s">
        <v>11188</v>
      </c>
      <c r="D10422" t="s">
        <v>314</v>
      </c>
      <c r="E10422" t="s">
        <v>298</v>
      </c>
      <c r="F10422" t="s">
        <v>11201</v>
      </c>
      <c r="G10422">
        <v>0</v>
      </c>
      <c r="H10422">
        <v>0</v>
      </c>
      <c r="I10422">
        <v>0</v>
      </c>
      <c r="J10422">
        <v>0</v>
      </c>
      <c r="K10422">
        <v>0</v>
      </c>
      <c r="L10422">
        <v>0</v>
      </c>
      <c r="M10422">
        <v>0</v>
      </c>
      <c r="N10422">
        <v>0</v>
      </c>
      <c r="O10422">
        <v>0</v>
      </c>
    </row>
    <row r="10423" spans="1:15" x14ac:dyDescent="0.35">
      <c r="A10423" t="s">
        <v>11186</v>
      </c>
      <c r="B10423" t="s">
        <v>11187</v>
      </c>
      <c r="C10423" t="s">
        <v>11188</v>
      </c>
      <c r="D10423" t="s">
        <v>314</v>
      </c>
      <c r="E10423" t="s">
        <v>300</v>
      </c>
      <c r="F10423" t="s">
        <v>11202</v>
      </c>
      <c r="G10423">
        <v>0</v>
      </c>
      <c r="H10423">
        <v>0</v>
      </c>
      <c r="I10423">
        <v>0</v>
      </c>
      <c r="J10423">
        <v>0</v>
      </c>
      <c r="K10423">
        <v>0</v>
      </c>
      <c r="L10423">
        <v>0</v>
      </c>
      <c r="M10423">
        <v>0</v>
      </c>
      <c r="N10423">
        <v>0</v>
      </c>
      <c r="O10423">
        <v>0</v>
      </c>
    </row>
    <row r="10424" spans="1:15" x14ac:dyDescent="0.35">
      <c r="A10424" t="s">
        <v>11186</v>
      </c>
      <c r="B10424" t="s">
        <v>11187</v>
      </c>
      <c r="C10424" t="s">
        <v>11188</v>
      </c>
      <c r="D10424" t="s">
        <v>314</v>
      </c>
      <c r="E10424" t="s">
        <v>306</v>
      </c>
      <c r="F10424" t="s">
        <v>11203</v>
      </c>
      <c r="G10424">
        <v>0</v>
      </c>
      <c r="H10424">
        <v>0</v>
      </c>
      <c r="I10424">
        <v>0</v>
      </c>
      <c r="J10424">
        <v>0</v>
      </c>
      <c r="K10424">
        <v>0</v>
      </c>
      <c r="L10424">
        <v>0</v>
      </c>
      <c r="M10424">
        <v>0</v>
      </c>
      <c r="N10424">
        <v>0</v>
      </c>
      <c r="O10424">
        <v>0</v>
      </c>
    </row>
    <row r="10425" spans="1:15" x14ac:dyDescent="0.35">
      <c r="A10425" t="s">
        <v>11186</v>
      </c>
      <c r="B10425" t="s">
        <v>11187</v>
      </c>
      <c r="C10425" t="s">
        <v>11188</v>
      </c>
      <c r="D10425" t="s">
        <v>314</v>
      </c>
      <c r="E10425" t="s">
        <v>308</v>
      </c>
      <c r="F10425" t="s">
        <v>11204</v>
      </c>
      <c r="G10425">
        <v>0</v>
      </c>
      <c r="H10425">
        <v>0</v>
      </c>
      <c r="I10425">
        <v>0</v>
      </c>
      <c r="J10425">
        <v>0</v>
      </c>
      <c r="K10425">
        <v>0</v>
      </c>
      <c r="L10425">
        <v>0</v>
      </c>
      <c r="M10425">
        <v>0</v>
      </c>
      <c r="N10425">
        <v>0</v>
      </c>
      <c r="O10425">
        <v>0</v>
      </c>
    </row>
    <row r="10426" spans="1:15" x14ac:dyDescent="0.35">
      <c r="A10426" t="s">
        <v>11186</v>
      </c>
      <c r="B10426" t="s">
        <v>11187</v>
      </c>
      <c r="C10426" t="s">
        <v>11188</v>
      </c>
      <c r="D10426" t="s">
        <v>314</v>
      </c>
      <c r="E10426" t="s">
        <v>312</v>
      </c>
      <c r="F10426" t="s">
        <v>11205</v>
      </c>
      <c r="G10426">
        <v>0</v>
      </c>
      <c r="H10426">
        <v>0</v>
      </c>
      <c r="I10426">
        <v>0</v>
      </c>
      <c r="J10426">
        <v>0</v>
      </c>
      <c r="K10426">
        <v>0</v>
      </c>
      <c r="L10426">
        <v>0</v>
      </c>
      <c r="M10426">
        <v>0</v>
      </c>
      <c r="N10426">
        <v>0</v>
      </c>
      <c r="O10426">
        <v>0</v>
      </c>
    </row>
    <row r="10427" spans="1:15" x14ac:dyDescent="0.35">
      <c r="A10427" t="s">
        <v>11186</v>
      </c>
      <c r="B10427" t="s">
        <v>11187</v>
      </c>
      <c r="C10427" t="s">
        <v>11188</v>
      </c>
      <c r="D10427" t="s">
        <v>314</v>
      </c>
      <c r="E10427" t="s">
        <v>310</v>
      </c>
      <c r="F10427" t="s">
        <v>11206</v>
      </c>
      <c r="G10427">
        <v>0</v>
      </c>
      <c r="H10427">
        <v>0</v>
      </c>
      <c r="I10427">
        <v>0</v>
      </c>
      <c r="J10427">
        <v>0</v>
      </c>
      <c r="K10427">
        <v>0</v>
      </c>
      <c r="L10427">
        <v>0</v>
      </c>
      <c r="M10427">
        <v>0</v>
      </c>
      <c r="N10427">
        <v>0</v>
      </c>
      <c r="O10427">
        <v>0</v>
      </c>
    </row>
    <row r="10428" spans="1:15" x14ac:dyDescent="0.35">
      <c r="A10428" t="s">
        <v>11186</v>
      </c>
      <c r="B10428" t="s">
        <v>11187</v>
      </c>
      <c r="C10428" t="s">
        <v>11188</v>
      </c>
      <c r="D10428" t="s">
        <v>323</v>
      </c>
      <c r="E10428" t="s">
        <v>294</v>
      </c>
      <c r="F10428" t="s">
        <v>11207</v>
      </c>
      <c r="G10428">
        <v>57</v>
      </c>
      <c r="H10428">
        <v>8559.6899999999987</v>
      </c>
      <c r="I10428">
        <v>150.16999999999999</v>
      </c>
      <c r="J10428">
        <v>446</v>
      </c>
      <c r="K10428">
        <v>54826.780000000006</v>
      </c>
      <c r="L10428">
        <v>122.93</v>
      </c>
      <c r="M10428">
        <v>503</v>
      </c>
      <c r="N10428">
        <v>63386.47</v>
      </c>
      <c r="O10428">
        <v>126.02</v>
      </c>
    </row>
    <row r="10429" spans="1:15" x14ac:dyDescent="0.35">
      <c r="A10429" t="s">
        <v>11186</v>
      </c>
      <c r="B10429" t="s">
        <v>11187</v>
      </c>
      <c r="C10429" t="s">
        <v>11188</v>
      </c>
      <c r="D10429" t="s">
        <v>323</v>
      </c>
      <c r="E10429" t="s">
        <v>296</v>
      </c>
      <c r="F10429" t="s">
        <v>11208</v>
      </c>
      <c r="G10429">
        <v>34</v>
      </c>
      <c r="H10429">
        <v>5525.68</v>
      </c>
      <c r="I10429">
        <v>162.52000000000001</v>
      </c>
      <c r="J10429">
        <v>579</v>
      </c>
      <c r="K10429">
        <v>80776.289999999994</v>
      </c>
      <c r="L10429">
        <v>139.51</v>
      </c>
      <c r="M10429">
        <v>613</v>
      </c>
      <c r="N10429">
        <v>86301.97</v>
      </c>
      <c r="O10429">
        <v>140.79</v>
      </c>
    </row>
    <row r="10430" spans="1:15" x14ac:dyDescent="0.35">
      <c r="A10430" t="s">
        <v>11186</v>
      </c>
      <c r="B10430" t="s">
        <v>11187</v>
      </c>
      <c r="C10430" t="s">
        <v>11188</v>
      </c>
      <c r="D10430" t="s">
        <v>323</v>
      </c>
      <c r="E10430" t="s">
        <v>298</v>
      </c>
      <c r="F10430" t="s">
        <v>11209</v>
      </c>
      <c r="G10430">
        <v>48</v>
      </c>
      <c r="H10430">
        <v>8118.7199999999993</v>
      </c>
      <c r="I10430">
        <v>169.14</v>
      </c>
      <c r="J10430">
        <v>381</v>
      </c>
      <c r="K10430">
        <v>57999.63</v>
      </c>
      <c r="L10430">
        <v>152.22999999999999</v>
      </c>
      <c r="M10430">
        <v>429</v>
      </c>
      <c r="N10430">
        <v>66118.349999999991</v>
      </c>
      <c r="O10430">
        <v>154.12</v>
      </c>
    </row>
    <row r="10431" spans="1:15" x14ac:dyDescent="0.35">
      <c r="A10431" t="s">
        <v>11186</v>
      </c>
      <c r="B10431" t="s">
        <v>11187</v>
      </c>
      <c r="C10431" t="s">
        <v>11188</v>
      </c>
      <c r="D10431" t="s">
        <v>323</v>
      </c>
      <c r="E10431" t="s">
        <v>300</v>
      </c>
      <c r="F10431" t="s">
        <v>11210</v>
      </c>
      <c r="G10431">
        <v>0</v>
      </c>
      <c r="H10431">
        <v>0</v>
      </c>
      <c r="I10431">
        <v>0</v>
      </c>
      <c r="J10431">
        <v>27</v>
      </c>
      <c r="K10431">
        <v>4642.38</v>
      </c>
      <c r="L10431">
        <v>171.94</v>
      </c>
      <c r="M10431">
        <v>27</v>
      </c>
      <c r="N10431">
        <v>4642.38</v>
      </c>
      <c r="O10431">
        <v>171.94</v>
      </c>
    </row>
    <row r="10432" spans="1:15" x14ac:dyDescent="0.35">
      <c r="A10432" t="s">
        <v>11186</v>
      </c>
      <c r="B10432" t="s">
        <v>11187</v>
      </c>
      <c r="C10432" t="s">
        <v>11188</v>
      </c>
      <c r="D10432" t="s">
        <v>323</v>
      </c>
      <c r="E10432" t="s">
        <v>302</v>
      </c>
      <c r="F10432" t="s">
        <v>11211</v>
      </c>
      <c r="G10432">
        <v>0</v>
      </c>
      <c r="H10432">
        <v>0</v>
      </c>
      <c r="I10432">
        <v>0</v>
      </c>
      <c r="J10432">
        <v>0</v>
      </c>
      <c r="K10432">
        <v>0</v>
      </c>
      <c r="L10432">
        <v>0</v>
      </c>
      <c r="M10432">
        <v>0</v>
      </c>
      <c r="N10432">
        <v>0</v>
      </c>
      <c r="O10432">
        <v>0</v>
      </c>
    </row>
    <row r="10433" spans="1:15" x14ac:dyDescent="0.35">
      <c r="A10433" t="s">
        <v>11186</v>
      </c>
      <c r="B10433" t="s">
        <v>11187</v>
      </c>
      <c r="C10433" t="s">
        <v>11188</v>
      </c>
      <c r="D10433" t="s">
        <v>323</v>
      </c>
      <c r="E10433" t="s">
        <v>304</v>
      </c>
      <c r="F10433" t="s">
        <v>11212</v>
      </c>
      <c r="G10433">
        <v>0</v>
      </c>
      <c r="H10433">
        <v>0</v>
      </c>
      <c r="I10433">
        <v>0</v>
      </c>
      <c r="J10433">
        <v>0</v>
      </c>
      <c r="K10433">
        <v>0</v>
      </c>
      <c r="L10433">
        <v>0</v>
      </c>
      <c r="M10433">
        <v>0</v>
      </c>
      <c r="N10433">
        <v>0</v>
      </c>
      <c r="O10433">
        <v>0</v>
      </c>
    </row>
    <row r="10434" spans="1:15" x14ac:dyDescent="0.35">
      <c r="A10434" t="s">
        <v>11186</v>
      </c>
      <c r="B10434" t="s">
        <v>11187</v>
      </c>
      <c r="C10434" t="s">
        <v>11188</v>
      </c>
      <c r="D10434" t="s">
        <v>323</v>
      </c>
      <c r="E10434" t="s">
        <v>306</v>
      </c>
      <c r="F10434" t="s">
        <v>11213</v>
      </c>
      <c r="G10434">
        <v>21</v>
      </c>
      <c r="H10434">
        <v>2265.48</v>
      </c>
      <c r="I10434">
        <v>107.88</v>
      </c>
      <c r="J10434">
        <v>359</v>
      </c>
      <c r="K10434">
        <v>39120.230000000003</v>
      </c>
      <c r="L10434">
        <v>108.97</v>
      </c>
      <c r="M10434">
        <v>380</v>
      </c>
      <c r="N10434">
        <v>41385.710000000006</v>
      </c>
      <c r="O10434">
        <v>108.91</v>
      </c>
    </row>
    <row r="10435" spans="1:15" x14ac:dyDescent="0.35">
      <c r="A10435" t="s">
        <v>11186</v>
      </c>
      <c r="B10435" t="s">
        <v>11187</v>
      </c>
      <c r="C10435" t="s">
        <v>11188</v>
      </c>
      <c r="D10435" t="s">
        <v>323</v>
      </c>
      <c r="E10435" t="s">
        <v>308</v>
      </c>
      <c r="F10435" t="s">
        <v>11214</v>
      </c>
      <c r="G10435">
        <v>0</v>
      </c>
      <c r="H10435">
        <v>0</v>
      </c>
      <c r="I10435">
        <v>0</v>
      </c>
      <c r="J10435">
        <v>0</v>
      </c>
      <c r="K10435">
        <v>0</v>
      </c>
      <c r="L10435">
        <v>0</v>
      </c>
      <c r="M10435">
        <v>0</v>
      </c>
      <c r="N10435">
        <v>0</v>
      </c>
      <c r="O10435">
        <v>0</v>
      </c>
    </row>
    <row r="10436" spans="1:15" x14ac:dyDescent="0.35">
      <c r="A10436" t="s">
        <v>11186</v>
      </c>
      <c r="B10436" t="s">
        <v>11187</v>
      </c>
      <c r="C10436" t="s">
        <v>11188</v>
      </c>
      <c r="D10436" t="s">
        <v>323</v>
      </c>
      <c r="E10436" t="s">
        <v>310</v>
      </c>
      <c r="F10436" t="s">
        <v>11215</v>
      </c>
      <c r="G10436">
        <v>160</v>
      </c>
      <c r="H10436">
        <v>24469.569999999996</v>
      </c>
      <c r="I10436">
        <v>152.93</v>
      </c>
      <c r="J10436">
        <v>1792</v>
      </c>
      <c r="K10436">
        <v>237365.31000000003</v>
      </c>
      <c r="L10436">
        <v>132.46</v>
      </c>
      <c r="M10436">
        <v>1952</v>
      </c>
      <c r="N10436">
        <v>261834.88000000003</v>
      </c>
      <c r="O10436">
        <v>134.13999999999999</v>
      </c>
    </row>
    <row r="10437" spans="1:15" x14ac:dyDescent="0.35">
      <c r="A10437" t="s">
        <v>11186</v>
      </c>
      <c r="B10437" t="s">
        <v>11187</v>
      </c>
      <c r="C10437" t="s">
        <v>11188</v>
      </c>
      <c r="D10437" t="s">
        <v>323</v>
      </c>
      <c r="E10437" t="s">
        <v>312</v>
      </c>
      <c r="F10437" t="s">
        <v>11216</v>
      </c>
      <c r="G10437">
        <v>160</v>
      </c>
      <c r="H10437">
        <v>24469.569999999996</v>
      </c>
      <c r="I10437">
        <v>152.93</v>
      </c>
      <c r="J10437">
        <v>1792</v>
      </c>
      <c r="K10437">
        <v>237365.31000000003</v>
      </c>
      <c r="L10437">
        <v>132.46</v>
      </c>
      <c r="M10437">
        <v>1952</v>
      </c>
      <c r="N10437">
        <v>261834.88000000003</v>
      </c>
      <c r="O10437">
        <v>134.13999999999999</v>
      </c>
    </row>
    <row r="10438" spans="1:15" x14ac:dyDescent="0.35">
      <c r="A10438" t="s">
        <v>11186</v>
      </c>
      <c r="B10438" t="s">
        <v>11187</v>
      </c>
      <c r="C10438" t="s">
        <v>11188</v>
      </c>
      <c r="D10438" t="s">
        <v>334</v>
      </c>
      <c r="E10438" t="s">
        <v>312</v>
      </c>
      <c r="F10438" t="s">
        <v>11217</v>
      </c>
      <c r="G10438">
        <v>194</v>
      </c>
      <c r="H10438">
        <v>33026.050000000003</v>
      </c>
      <c r="I10438">
        <v>170.24</v>
      </c>
      <c r="J10438">
        <v>1792</v>
      </c>
      <c r="K10438">
        <v>237365.31000000003</v>
      </c>
      <c r="L10438">
        <v>132.46</v>
      </c>
      <c r="M10438">
        <v>1986</v>
      </c>
      <c r="N10438">
        <v>270391.36000000004</v>
      </c>
      <c r="O10438">
        <v>136.15</v>
      </c>
    </row>
    <row r="10439" spans="1:15" x14ac:dyDescent="0.35">
      <c r="A10439" t="s">
        <v>11186</v>
      </c>
      <c r="B10439" t="s">
        <v>11187</v>
      </c>
      <c r="C10439" t="s">
        <v>11188</v>
      </c>
      <c r="D10439" t="s">
        <v>334</v>
      </c>
      <c r="E10439" t="s">
        <v>308</v>
      </c>
      <c r="F10439" t="s">
        <v>11218</v>
      </c>
      <c r="G10439">
        <v>0</v>
      </c>
      <c r="H10439">
        <v>0</v>
      </c>
      <c r="I10439">
        <v>0</v>
      </c>
      <c r="J10439">
        <v>0</v>
      </c>
      <c r="K10439">
        <v>0</v>
      </c>
      <c r="L10439">
        <v>0</v>
      </c>
      <c r="M10439">
        <v>0</v>
      </c>
      <c r="N10439">
        <v>0</v>
      </c>
      <c r="O10439">
        <v>0</v>
      </c>
    </row>
    <row r="10440" spans="1:15" x14ac:dyDescent="0.35">
      <c r="A10440" t="s">
        <v>11186</v>
      </c>
      <c r="B10440" t="s">
        <v>11187</v>
      </c>
      <c r="C10440" t="s">
        <v>11188</v>
      </c>
      <c r="D10440" t="s">
        <v>337</v>
      </c>
      <c r="E10440" t="s">
        <v>337</v>
      </c>
      <c r="F10440" t="s">
        <v>11219</v>
      </c>
      <c r="G10440">
        <v>0</v>
      </c>
      <c r="J10440">
        <v>0</v>
      </c>
      <c r="M10440">
        <v>0</v>
      </c>
    </row>
    <row r="10441" spans="1:15" x14ac:dyDescent="0.35">
      <c r="A10441" t="s">
        <v>11186</v>
      </c>
      <c r="B10441" t="s">
        <v>11187</v>
      </c>
      <c r="C10441" t="s">
        <v>11188</v>
      </c>
      <c r="D10441" t="s">
        <v>339</v>
      </c>
      <c r="E10441" t="s">
        <v>294</v>
      </c>
      <c r="F10441" t="s">
        <v>11220</v>
      </c>
      <c r="G10441">
        <v>35</v>
      </c>
      <c r="H10441">
        <v>5136.07</v>
      </c>
      <c r="I10441">
        <v>146.74</v>
      </c>
      <c r="J10441">
        <v>69</v>
      </c>
      <c r="K10441">
        <v>8492.52</v>
      </c>
      <c r="L10441">
        <v>123.08</v>
      </c>
      <c r="M10441">
        <v>104</v>
      </c>
      <c r="N10441">
        <v>13628.59</v>
      </c>
      <c r="O10441">
        <v>131.04</v>
      </c>
    </row>
    <row r="10442" spans="1:15" x14ac:dyDescent="0.35">
      <c r="A10442" t="s">
        <v>11186</v>
      </c>
      <c r="B10442" t="s">
        <v>11187</v>
      </c>
      <c r="C10442" t="s">
        <v>11188</v>
      </c>
      <c r="D10442" t="s">
        <v>339</v>
      </c>
      <c r="E10442" t="s">
        <v>296</v>
      </c>
      <c r="F10442" t="s">
        <v>11221</v>
      </c>
      <c r="G10442">
        <v>1</v>
      </c>
      <c r="H10442">
        <v>189.09</v>
      </c>
      <c r="I10442">
        <v>189.09</v>
      </c>
      <c r="J10442">
        <v>1</v>
      </c>
      <c r="K10442">
        <v>122.73</v>
      </c>
      <c r="L10442">
        <v>122.73</v>
      </c>
      <c r="M10442">
        <v>2</v>
      </c>
      <c r="N10442">
        <v>311.82</v>
      </c>
      <c r="O10442">
        <v>155.91</v>
      </c>
    </row>
    <row r="10443" spans="1:15" x14ac:dyDescent="0.35">
      <c r="A10443" t="s">
        <v>11186</v>
      </c>
      <c r="B10443" t="s">
        <v>11187</v>
      </c>
      <c r="C10443" t="s">
        <v>11188</v>
      </c>
      <c r="D10443" t="s">
        <v>339</v>
      </c>
      <c r="E10443" t="s">
        <v>298</v>
      </c>
      <c r="F10443" t="s">
        <v>11222</v>
      </c>
      <c r="G10443">
        <v>0</v>
      </c>
      <c r="H10443">
        <v>0</v>
      </c>
      <c r="I10443">
        <v>0</v>
      </c>
      <c r="J10443">
        <v>0</v>
      </c>
      <c r="K10443">
        <v>0</v>
      </c>
      <c r="L10443">
        <v>0</v>
      </c>
      <c r="M10443">
        <v>0</v>
      </c>
      <c r="N10443">
        <v>0</v>
      </c>
      <c r="O10443">
        <v>0</v>
      </c>
    </row>
    <row r="10444" spans="1:15" x14ac:dyDescent="0.35">
      <c r="A10444" t="s">
        <v>11186</v>
      </c>
      <c r="B10444" t="s">
        <v>11187</v>
      </c>
      <c r="C10444" t="s">
        <v>11188</v>
      </c>
      <c r="D10444" t="s">
        <v>339</v>
      </c>
      <c r="E10444" t="s">
        <v>300</v>
      </c>
      <c r="F10444" t="s">
        <v>11223</v>
      </c>
      <c r="G10444">
        <v>0</v>
      </c>
      <c r="H10444">
        <v>0</v>
      </c>
      <c r="I10444">
        <v>0</v>
      </c>
      <c r="J10444">
        <v>0</v>
      </c>
      <c r="K10444">
        <v>0</v>
      </c>
      <c r="L10444">
        <v>0</v>
      </c>
      <c r="M10444">
        <v>0</v>
      </c>
      <c r="N10444">
        <v>0</v>
      </c>
      <c r="O10444">
        <v>0</v>
      </c>
    </row>
    <row r="10445" spans="1:15" x14ac:dyDescent="0.35">
      <c r="A10445" t="s">
        <v>11186</v>
      </c>
      <c r="B10445" t="s">
        <v>11187</v>
      </c>
      <c r="C10445" t="s">
        <v>11188</v>
      </c>
      <c r="D10445" t="s">
        <v>339</v>
      </c>
      <c r="E10445" t="s">
        <v>306</v>
      </c>
      <c r="F10445" t="s">
        <v>11224</v>
      </c>
      <c r="G10445">
        <v>0</v>
      </c>
      <c r="H10445">
        <v>0</v>
      </c>
      <c r="I10445">
        <v>0</v>
      </c>
      <c r="J10445">
        <v>61</v>
      </c>
      <c r="K10445">
        <v>6059.13</v>
      </c>
      <c r="L10445">
        <v>99.33</v>
      </c>
      <c r="M10445">
        <v>61</v>
      </c>
      <c r="N10445">
        <v>6059.13</v>
      </c>
      <c r="O10445">
        <v>99.33</v>
      </c>
    </row>
    <row r="10446" spans="1:15" x14ac:dyDescent="0.35">
      <c r="A10446" t="s">
        <v>11186</v>
      </c>
      <c r="B10446" t="s">
        <v>11187</v>
      </c>
      <c r="C10446" t="s">
        <v>11188</v>
      </c>
      <c r="D10446" t="s">
        <v>339</v>
      </c>
      <c r="E10446" t="s">
        <v>308</v>
      </c>
      <c r="F10446" t="s">
        <v>11225</v>
      </c>
      <c r="G10446">
        <v>0</v>
      </c>
      <c r="H10446">
        <v>0</v>
      </c>
      <c r="I10446">
        <v>0</v>
      </c>
      <c r="J10446">
        <v>0</v>
      </c>
      <c r="K10446">
        <v>0</v>
      </c>
      <c r="L10446">
        <v>0</v>
      </c>
      <c r="M10446">
        <v>0</v>
      </c>
      <c r="N10446">
        <v>0</v>
      </c>
      <c r="O10446">
        <v>0</v>
      </c>
    </row>
    <row r="10447" spans="1:15" x14ac:dyDescent="0.35">
      <c r="A10447" t="s">
        <v>11186</v>
      </c>
      <c r="B10447" t="s">
        <v>11187</v>
      </c>
      <c r="C10447" t="s">
        <v>11188</v>
      </c>
      <c r="D10447" t="s">
        <v>339</v>
      </c>
      <c r="E10447" t="s">
        <v>310</v>
      </c>
      <c r="F10447" t="s">
        <v>11226</v>
      </c>
      <c r="G10447">
        <v>36</v>
      </c>
      <c r="H10447">
        <v>5325.16</v>
      </c>
      <c r="I10447">
        <v>147.91999999999999</v>
      </c>
      <c r="J10447">
        <v>131</v>
      </c>
      <c r="K10447">
        <v>14674.380000000001</v>
      </c>
      <c r="L10447">
        <v>112.02</v>
      </c>
      <c r="M10447">
        <v>167</v>
      </c>
      <c r="N10447">
        <v>19999.54</v>
      </c>
      <c r="O10447">
        <v>119.76</v>
      </c>
    </row>
    <row r="10448" spans="1:15" x14ac:dyDescent="0.35">
      <c r="A10448" t="s">
        <v>11186</v>
      </c>
      <c r="B10448" t="s">
        <v>11187</v>
      </c>
      <c r="C10448" t="s">
        <v>11188</v>
      </c>
      <c r="D10448" t="s">
        <v>339</v>
      </c>
      <c r="E10448" t="s">
        <v>312</v>
      </c>
      <c r="F10448" t="s">
        <v>11227</v>
      </c>
      <c r="G10448">
        <v>36</v>
      </c>
      <c r="H10448">
        <v>5325.16</v>
      </c>
      <c r="I10448">
        <v>147.91999999999999</v>
      </c>
      <c r="J10448">
        <v>131</v>
      </c>
      <c r="K10448">
        <v>14674.380000000001</v>
      </c>
      <c r="L10448">
        <v>112.02</v>
      </c>
      <c r="M10448">
        <v>167</v>
      </c>
      <c r="N10448">
        <v>19999.54</v>
      </c>
      <c r="O10448">
        <v>119.76</v>
      </c>
    </row>
    <row r="10449" spans="1:15" x14ac:dyDescent="0.35">
      <c r="A10449" t="s">
        <v>11186</v>
      </c>
      <c r="B10449" t="s">
        <v>11187</v>
      </c>
      <c r="C10449" t="s">
        <v>11188</v>
      </c>
      <c r="D10449" t="s">
        <v>348</v>
      </c>
      <c r="E10449" t="s">
        <v>349</v>
      </c>
      <c r="F10449" t="s">
        <v>11228</v>
      </c>
      <c r="G10449">
        <v>79</v>
      </c>
      <c r="H10449">
        <v>5325.16</v>
      </c>
      <c r="I10449">
        <v>147.91999999999999</v>
      </c>
      <c r="J10449">
        <v>131</v>
      </c>
      <c r="K10449">
        <v>14674.380000000001</v>
      </c>
      <c r="L10449">
        <v>112.02</v>
      </c>
      <c r="M10449">
        <v>210</v>
      </c>
      <c r="N10449">
        <v>19999.54</v>
      </c>
      <c r="O10449">
        <v>119.76</v>
      </c>
    </row>
    <row r="10450" spans="1:15" x14ac:dyDescent="0.35">
      <c r="A10450" t="s">
        <v>11229</v>
      </c>
      <c r="B10450" t="s">
        <v>11230</v>
      </c>
      <c r="C10450" t="s">
        <v>11188</v>
      </c>
      <c r="D10450" t="s">
        <v>293</v>
      </c>
      <c r="E10450" t="s">
        <v>294</v>
      </c>
      <c r="F10450" t="s">
        <v>11231</v>
      </c>
      <c r="G10450">
        <v>328</v>
      </c>
      <c r="H10450">
        <v>59110.69</v>
      </c>
      <c r="I10450">
        <v>180.22</v>
      </c>
      <c r="J10450">
        <v>202</v>
      </c>
      <c r="K10450">
        <v>31942.26</v>
      </c>
      <c r="L10450">
        <v>158.13</v>
      </c>
      <c r="M10450">
        <v>530</v>
      </c>
      <c r="N10450">
        <v>91052.95</v>
      </c>
      <c r="O10450">
        <v>171.8</v>
      </c>
    </row>
    <row r="10451" spans="1:15" x14ac:dyDescent="0.35">
      <c r="A10451" t="s">
        <v>11229</v>
      </c>
      <c r="B10451" t="s">
        <v>11230</v>
      </c>
      <c r="C10451" t="s">
        <v>11188</v>
      </c>
      <c r="D10451" t="s">
        <v>293</v>
      </c>
      <c r="E10451" t="s">
        <v>296</v>
      </c>
      <c r="F10451" t="s">
        <v>11232</v>
      </c>
      <c r="G10451">
        <v>587</v>
      </c>
      <c r="H10451">
        <v>117022.18000000001</v>
      </c>
      <c r="I10451">
        <v>199.36</v>
      </c>
      <c r="J10451">
        <v>180</v>
      </c>
      <c r="K10451">
        <v>34056</v>
      </c>
      <c r="L10451">
        <v>189.2</v>
      </c>
      <c r="M10451">
        <v>767</v>
      </c>
      <c r="N10451">
        <v>151078.18</v>
      </c>
      <c r="O10451">
        <v>196.97</v>
      </c>
    </row>
    <row r="10452" spans="1:15" x14ac:dyDescent="0.35">
      <c r="A10452" t="s">
        <v>11229</v>
      </c>
      <c r="B10452" t="s">
        <v>11230</v>
      </c>
      <c r="C10452" t="s">
        <v>11188</v>
      </c>
      <c r="D10452" t="s">
        <v>293</v>
      </c>
      <c r="E10452" t="s">
        <v>298</v>
      </c>
      <c r="F10452" t="s">
        <v>11233</v>
      </c>
      <c r="G10452">
        <v>432</v>
      </c>
      <c r="H10452">
        <v>110391.73999999999</v>
      </c>
      <c r="I10452">
        <v>255.54</v>
      </c>
      <c r="J10452">
        <v>168</v>
      </c>
      <c r="K10452">
        <v>31333.68</v>
      </c>
      <c r="L10452">
        <v>186.51</v>
      </c>
      <c r="M10452">
        <v>600</v>
      </c>
      <c r="N10452">
        <v>141725.41999999998</v>
      </c>
      <c r="O10452">
        <v>236.21</v>
      </c>
    </row>
    <row r="10453" spans="1:15" x14ac:dyDescent="0.35">
      <c r="A10453" t="s">
        <v>11229</v>
      </c>
      <c r="B10453" t="s">
        <v>11230</v>
      </c>
      <c r="C10453" t="s">
        <v>11188</v>
      </c>
      <c r="D10453" t="s">
        <v>293</v>
      </c>
      <c r="E10453" t="s">
        <v>300</v>
      </c>
      <c r="F10453" t="s">
        <v>11234</v>
      </c>
      <c r="G10453">
        <v>28</v>
      </c>
      <c r="H10453">
        <v>7106.21</v>
      </c>
      <c r="I10453">
        <v>253.79</v>
      </c>
      <c r="J10453">
        <v>72</v>
      </c>
      <c r="K10453">
        <v>15134.4</v>
      </c>
      <c r="L10453">
        <v>210.2</v>
      </c>
      <c r="M10453">
        <v>100</v>
      </c>
      <c r="N10453">
        <v>22240.61</v>
      </c>
      <c r="O10453">
        <v>222.41</v>
      </c>
    </row>
    <row r="10454" spans="1:15" x14ac:dyDescent="0.35">
      <c r="A10454" t="s">
        <v>11229</v>
      </c>
      <c r="B10454" t="s">
        <v>11230</v>
      </c>
      <c r="C10454" t="s">
        <v>11188</v>
      </c>
      <c r="D10454" t="s">
        <v>293</v>
      </c>
      <c r="E10454" t="s">
        <v>302</v>
      </c>
      <c r="F10454" t="s">
        <v>11235</v>
      </c>
      <c r="G10454">
        <v>2</v>
      </c>
      <c r="H10454">
        <v>429.88</v>
      </c>
      <c r="I10454">
        <v>214.94</v>
      </c>
      <c r="J10454">
        <v>1</v>
      </c>
      <c r="K10454">
        <v>227.13</v>
      </c>
      <c r="L10454">
        <v>227.13</v>
      </c>
      <c r="M10454">
        <v>3</v>
      </c>
      <c r="N10454">
        <v>657.01</v>
      </c>
      <c r="O10454">
        <v>219</v>
      </c>
    </row>
    <row r="10455" spans="1:15" x14ac:dyDescent="0.35">
      <c r="A10455" t="s">
        <v>11229</v>
      </c>
      <c r="B10455" t="s">
        <v>11230</v>
      </c>
      <c r="C10455" t="s">
        <v>11188</v>
      </c>
      <c r="D10455" t="s">
        <v>293</v>
      </c>
      <c r="E10455" t="s">
        <v>304</v>
      </c>
      <c r="F10455" t="s">
        <v>11236</v>
      </c>
      <c r="G10455">
        <v>0</v>
      </c>
      <c r="H10455">
        <v>0</v>
      </c>
      <c r="I10455">
        <v>0</v>
      </c>
      <c r="J10455">
        <v>0</v>
      </c>
      <c r="K10455">
        <v>0</v>
      </c>
      <c r="L10455">
        <v>0</v>
      </c>
      <c r="M10455">
        <v>0</v>
      </c>
      <c r="N10455">
        <v>0</v>
      </c>
      <c r="O10455">
        <v>0</v>
      </c>
    </row>
    <row r="10456" spans="1:15" x14ac:dyDescent="0.35">
      <c r="A10456" t="s">
        <v>11229</v>
      </c>
      <c r="B10456" t="s">
        <v>11230</v>
      </c>
      <c r="C10456" t="s">
        <v>11188</v>
      </c>
      <c r="D10456" t="s">
        <v>293</v>
      </c>
      <c r="E10456" t="s">
        <v>306</v>
      </c>
      <c r="F10456" t="s">
        <v>11237</v>
      </c>
      <c r="G10456">
        <v>0</v>
      </c>
      <c r="H10456">
        <v>0</v>
      </c>
      <c r="I10456">
        <v>0</v>
      </c>
      <c r="J10456">
        <v>0</v>
      </c>
      <c r="K10456">
        <v>0</v>
      </c>
      <c r="L10456">
        <v>0</v>
      </c>
      <c r="M10456">
        <v>0</v>
      </c>
      <c r="N10456">
        <v>0</v>
      </c>
      <c r="O10456">
        <v>0</v>
      </c>
    </row>
    <row r="10457" spans="1:15" x14ac:dyDescent="0.35">
      <c r="A10457" t="s">
        <v>11229</v>
      </c>
      <c r="B10457" t="s">
        <v>11230</v>
      </c>
      <c r="C10457" t="s">
        <v>11188</v>
      </c>
      <c r="D10457" t="s">
        <v>293</v>
      </c>
      <c r="E10457" t="s">
        <v>308</v>
      </c>
      <c r="F10457" t="s">
        <v>11238</v>
      </c>
      <c r="G10457">
        <v>0</v>
      </c>
      <c r="H10457">
        <v>0</v>
      </c>
      <c r="I10457">
        <v>0</v>
      </c>
      <c r="J10457">
        <v>0</v>
      </c>
      <c r="K10457">
        <v>0</v>
      </c>
      <c r="L10457">
        <v>0</v>
      </c>
      <c r="M10457">
        <v>0</v>
      </c>
      <c r="N10457">
        <v>0</v>
      </c>
      <c r="O10457">
        <v>0</v>
      </c>
    </row>
    <row r="10458" spans="1:15" x14ac:dyDescent="0.35">
      <c r="A10458" t="s">
        <v>11229</v>
      </c>
      <c r="B10458" t="s">
        <v>11230</v>
      </c>
      <c r="C10458" t="s">
        <v>11188</v>
      </c>
      <c r="D10458" t="s">
        <v>293</v>
      </c>
      <c r="E10458" t="s">
        <v>310</v>
      </c>
      <c r="F10458" t="s">
        <v>11239</v>
      </c>
      <c r="G10458">
        <v>1377</v>
      </c>
      <c r="H10458">
        <v>294060.7</v>
      </c>
      <c r="I10458">
        <v>213.55</v>
      </c>
      <c r="J10458">
        <v>623</v>
      </c>
      <c r="K10458">
        <v>112693.47</v>
      </c>
      <c r="L10458">
        <v>180.89</v>
      </c>
      <c r="M10458">
        <v>2000</v>
      </c>
      <c r="N10458">
        <v>406754.17000000004</v>
      </c>
      <c r="O10458">
        <v>203.38</v>
      </c>
    </row>
    <row r="10459" spans="1:15" x14ac:dyDescent="0.35">
      <c r="A10459" t="s">
        <v>11229</v>
      </c>
      <c r="B10459" t="s">
        <v>11230</v>
      </c>
      <c r="C10459" t="s">
        <v>11188</v>
      </c>
      <c r="D10459" t="s">
        <v>293</v>
      </c>
      <c r="E10459" t="s">
        <v>312</v>
      </c>
      <c r="F10459" t="s">
        <v>11240</v>
      </c>
      <c r="G10459">
        <v>1377</v>
      </c>
      <c r="H10459">
        <v>294060.7</v>
      </c>
      <c r="I10459">
        <v>213.55</v>
      </c>
      <c r="J10459">
        <v>623</v>
      </c>
      <c r="K10459">
        <v>112693.47</v>
      </c>
      <c r="L10459">
        <v>180.89</v>
      </c>
      <c r="M10459">
        <v>2000</v>
      </c>
      <c r="N10459">
        <v>406754.17000000004</v>
      </c>
      <c r="O10459">
        <v>203.38</v>
      </c>
    </row>
    <row r="10460" spans="1:15" x14ac:dyDescent="0.35">
      <c r="A10460" t="s">
        <v>11229</v>
      </c>
      <c r="B10460" t="s">
        <v>11230</v>
      </c>
      <c r="C10460" t="s">
        <v>11188</v>
      </c>
      <c r="D10460" t="s">
        <v>314</v>
      </c>
      <c r="E10460" t="s">
        <v>294</v>
      </c>
      <c r="F10460" t="s">
        <v>11241</v>
      </c>
      <c r="G10460">
        <v>18</v>
      </c>
      <c r="H10460">
        <v>4185.3600000000006</v>
      </c>
      <c r="I10460">
        <v>232.52</v>
      </c>
      <c r="J10460">
        <v>0</v>
      </c>
      <c r="K10460">
        <v>0</v>
      </c>
      <c r="L10460">
        <v>0</v>
      </c>
      <c r="M10460">
        <v>18</v>
      </c>
      <c r="N10460">
        <v>4185.3600000000006</v>
      </c>
      <c r="O10460">
        <v>232.52</v>
      </c>
    </row>
    <row r="10461" spans="1:15" x14ac:dyDescent="0.35">
      <c r="A10461" t="s">
        <v>11229</v>
      </c>
      <c r="B10461" t="s">
        <v>11230</v>
      </c>
      <c r="C10461" t="s">
        <v>11188</v>
      </c>
      <c r="D10461" t="s">
        <v>314</v>
      </c>
      <c r="E10461" t="s">
        <v>296</v>
      </c>
      <c r="F10461" t="s">
        <v>11242</v>
      </c>
      <c r="G10461">
        <v>0</v>
      </c>
      <c r="H10461">
        <v>0</v>
      </c>
      <c r="I10461">
        <v>0</v>
      </c>
      <c r="J10461">
        <v>0</v>
      </c>
      <c r="K10461">
        <v>0</v>
      </c>
      <c r="L10461">
        <v>0</v>
      </c>
      <c r="M10461">
        <v>0</v>
      </c>
      <c r="N10461">
        <v>0</v>
      </c>
      <c r="O10461">
        <v>0</v>
      </c>
    </row>
    <row r="10462" spans="1:15" x14ac:dyDescent="0.35">
      <c r="A10462" t="s">
        <v>11229</v>
      </c>
      <c r="B10462" t="s">
        <v>11230</v>
      </c>
      <c r="C10462" t="s">
        <v>11188</v>
      </c>
      <c r="D10462" t="s">
        <v>314</v>
      </c>
      <c r="E10462" t="s">
        <v>298</v>
      </c>
      <c r="F10462" t="s">
        <v>11243</v>
      </c>
      <c r="G10462">
        <v>0</v>
      </c>
      <c r="H10462">
        <v>0</v>
      </c>
      <c r="I10462">
        <v>0</v>
      </c>
      <c r="J10462">
        <v>0</v>
      </c>
      <c r="K10462">
        <v>0</v>
      </c>
      <c r="L10462">
        <v>0</v>
      </c>
      <c r="M10462">
        <v>0</v>
      </c>
      <c r="N10462">
        <v>0</v>
      </c>
      <c r="O10462">
        <v>0</v>
      </c>
    </row>
    <row r="10463" spans="1:15" x14ac:dyDescent="0.35">
      <c r="A10463" t="s">
        <v>11229</v>
      </c>
      <c r="B10463" t="s">
        <v>11230</v>
      </c>
      <c r="C10463" t="s">
        <v>11188</v>
      </c>
      <c r="D10463" t="s">
        <v>314</v>
      </c>
      <c r="E10463" t="s">
        <v>300</v>
      </c>
      <c r="F10463" t="s">
        <v>11244</v>
      </c>
      <c r="G10463">
        <v>0</v>
      </c>
      <c r="H10463">
        <v>0</v>
      </c>
      <c r="I10463">
        <v>0</v>
      </c>
      <c r="J10463">
        <v>0</v>
      </c>
      <c r="K10463">
        <v>0</v>
      </c>
      <c r="L10463">
        <v>0</v>
      </c>
      <c r="M10463">
        <v>0</v>
      </c>
      <c r="N10463">
        <v>0</v>
      </c>
      <c r="O10463">
        <v>0</v>
      </c>
    </row>
    <row r="10464" spans="1:15" x14ac:dyDescent="0.35">
      <c r="A10464" t="s">
        <v>11229</v>
      </c>
      <c r="B10464" t="s">
        <v>11230</v>
      </c>
      <c r="C10464" t="s">
        <v>11188</v>
      </c>
      <c r="D10464" t="s">
        <v>314</v>
      </c>
      <c r="E10464" t="s">
        <v>306</v>
      </c>
      <c r="F10464" t="s">
        <v>11245</v>
      </c>
      <c r="G10464">
        <v>0</v>
      </c>
      <c r="H10464">
        <v>0</v>
      </c>
      <c r="I10464">
        <v>0</v>
      </c>
      <c r="J10464">
        <v>0</v>
      </c>
      <c r="K10464">
        <v>0</v>
      </c>
      <c r="L10464">
        <v>0</v>
      </c>
      <c r="M10464">
        <v>0</v>
      </c>
      <c r="N10464">
        <v>0</v>
      </c>
      <c r="O10464">
        <v>0</v>
      </c>
    </row>
    <row r="10465" spans="1:15" x14ac:dyDescent="0.35">
      <c r="A10465" t="s">
        <v>11229</v>
      </c>
      <c r="B10465" t="s">
        <v>11230</v>
      </c>
      <c r="C10465" t="s">
        <v>11188</v>
      </c>
      <c r="D10465" t="s">
        <v>314</v>
      </c>
      <c r="E10465" t="s">
        <v>308</v>
      </c>
      <c r="F10465" t="s">
        <v>11246</v>
      </c>
      <c r="G10465">
        <v>0</v>
      </c>
      <c r="H10465">
        <v>0</v>
      </c>
      <c r="I10465">
        <v>0</v>
      </c>
      <c r="J10465">
        <v>0</v>
      </c>
      <c r="K10465">
        <v>0</v>
      </c>
      <c r="L10465">
        <v>0</v>
      </c>
      <c r="M10465">
        <v>0</v>
      </c>
      <c r="N10465">
        <v>0</v>
      </c>
      <c r="O10465">
        <v>0</v>
      </c>
    </row>
    <row r="10466" spans="1:15" x14ac:dyDescent="0.35">
      <c r="A10466" t="s">
        <v>11229</v>
      </c>
      <c r="B10466" t="s">
        <v>11230</v>
      </c>
      <c r="C10466" t="s">
        <v>11188</v>
      </c>
      <c r="D10466" t="s">
        <v>314</v>
      </c>
      <c r="E10466" t="s">
        <v>312</v>
      </c>
      <c r="F10466" t="s">
        <v>11247</v>
      </c>
      <c r="G10466">
        <v>18</v>
      </c>
      <c r="H10466">
        <v>4185.3600000000006</v>
      </c>
      <c r="I10466">
        <v>232.52</v>
      </c>
      <c r="J10466">
        <v>0</v>
      </c>
      <c r="K10466">
        <v>0</v>
      </c>
      <c r="L10466">
        <v>0</v>
      </c>
      <c r="M10466">
        <v>18</v>
      </c>
      <c r="N10466">
        <v>4185.3600000000006</v>
      </c>
      <c r="O10466">
        <v>232.52</v>
      </c>
    </row>
    <row r="10467" spans="1:15" x14ac:dyDescent="0.35">
      <c r="A10467" t="s">
        <v>11229</v>
      </c>
      <c r="B10467" t="s">
        <v>11230</v>
      </c>
      <c r="C10467" t="s">
        <v>11188</v>
      </c>
      <c r="D10467" t="s">
        <v>314</v>
      </c>
      <c r="E10467" t="s">
        <v>310</v>
      </c>
      <c r="F10467" t="s">
        <v>11248</v>
      </c>
      <c r="G10467">
        <v>18</v>
      </c>
      <c r="H10467">
        <v>4185.3600000000006</v>
      </c>
      <c r="I10467">
        <v>232.52</v>
      </c>
      <c r="J10467">
        <v>0</v>
      </c>
      <c r="K10467">
        <v>0</v>
      </c>
      <c r="L10467">
        <v>0</v>
      </c>
      <c r="M10467">
        <v>18</v>
      </c>
      <c r="N10467">
        <v>4185.3600000000006</v>
      </c>
      <c r="O10467">
        <v>232.52</v>
      </c>
    </row>
    <row r="10468" spans="1:15" x14ac:dyDescent="0.35">
      <c r="A10468" t="s">
        <v>11229</v>
      </c>
      <c r="B10468" t="s">
        <v>11230</v>
      </c>
      <c r="C10468" t="s">
        <v>11188</v>
      </c>
      <c r="D10468" t="s">
        <v>323</v>
      </c>
      <c r="E10468" t="s">
        <v>294</v>
      </c>
      <c r="F10468" t="s">
        <v>11249</v>
      </c>
      <c r="G10468">
        <v>309</v>
      </c>
      <c r="H10468">
        <v>35937.29</v>
      </c>
      <c r="I10468">
        <v>116.3</v>
      </c>
      <c r="J10468">
        <v>2683</v>
      </c>
      <c r="K10468">
        <v>263094.98</v>
      </c>
      <c r="L10468">
        <v>98.06</v>
      </c>
      <c r="M10468">
        <v>2992</v>
      </c>
      <c r="N10468">
        <v>299032.26999999996</v>
      </c>
      <c r="O10468">
        <v>99.94</v>
      </c>
    </row>
    <row r="10469" spans="1:15" x14ac:dyDescent="0.35">
      <c r="A10469" t="s">
        <v>11229</v>
      </c>
      <c r="B10469" t="s">
        <v>11230</v>
      </c>
      <c r="C10469" t="s">
        <v>11188</v>
      </c>
      <c r="D10469" t="s">
        <v>323</v>
      </c>
      <c r="E10469" t="s">
        <v>296</v>
      </c>
      <c r="F10469" t="s">
        <v>11250</v>
      </c>
      <c r="G10469">
        <v>1068</v>
      </c>
      <c r="H10469">
        <v>145493.90000000002</v>
      </c>
      <c r="I10469">
        <v>136.22999999999999</v>
      </c>
      <c r="J10469">
        <v>6511</v>
      </c>
      <c r="K10469">
        <v>763544.97</v>
      </c>
      <c r="L10469">
        <v>117.27</v>
      </c>
      <c r="M10469">
        <v>7579</v>
      </c>
      <c r="N10469">
        <v>909038.87</v>
      </c>
      <c r="O10469">
        <v>119.94</v>
      </c>
    </row>
    <row r="10470" spans="1:15" x14ac:dyDescent="0.35">
      <c r="A10470" t="s">
        <v>11229</v>
      </c>
      <c r="B10470" t="s">
        <v>11230</v>
      </c>
      <c r="C10470" t="s">
        <v>11188</v>
      </c>
      <c r="D10470" t="s">
        <v>323</v>
      </c>
      <c r="E10470" t="s">
        <v>298</v>
      </c>
      <c r="F10470" t="s">
        <v>11251</v>
      </c>
      <c r="G10470">
        <v>1110</v>
      </c>
      <c r="H10470">
        <v>168375.94</v>
      </c>
      <c r="I10470">
        <v>151.69</v>
      </c>
      <c r="J10470">
        <v>4604</v>
      </c>
      <c r="K10470">
        <v>593409.55999999994</v>
      </c>
      <c r="L10470">
        <v>128.88999999999999</v>
      </c>
      <c r="M10470">
        <v>5714</v>
      </c>
      <c r="N10470">
        <v>761785.5</v>
      </c>
      <c r="O10470">
        <v>133.32</v>
      </c>
    </row>
    <row r="10471" spans="1:15" x14ac:dyDescent="0.35">
      <c r="A10471" t="s">
        <v>11229</v>
      </c>
      <c r="B10471" t="s">
        <v>11230</v>
      </c>
      <c r="C10471" t="s">
        <v>11188</v>
      </c>
      <c r="D10471" t="s">
        <v>323</v>
      </c>
      <c r="E10471" t="s">
        <v>300</v>
      </c>
      <c r="F10471" t="s">
        <v>11252</v>
      </c>
      <c r="G10471">
        <v>247</v>
      </c>
      <c r="H10471">
        <v>42506.99</v>
      </c>
      <c r="I10471">
        <v>172.09</v>
      </c>
      <c r="J10471">
        <v>148</v>
      </c>
      <c r="K10471">
        <v>20613.439999999999</v>
      </c>
      <c r="L10471">
        <v>139.28</v>
      </c>
      <c r="M10471">
        <v>395</v>
      </c>
      <c r="N10471">
        <v>63120.429999999993</v>
      </c>
      <c r="O10471">
        <v>159.80000000000001</v>
      </c>
    </row>
    <row r="10472" spans="1:15" x14ac:dyDescent="0.35">
      <c r="A10472" t="s">
        <v>11229</v>
      </c>
      <c r="B10472" t="s">
        <v>11230</v>
      </c>
      <c r="C10472" t="s">
        <v>11188</v>
      </c>
      <c r="D10472" t="s">
        <v>323</v>
      </c>
      <c r="E10472" t="s">
        <v>302</v>
      </c>
      <c r="F10472" t="s">
        <v>11253</v>
      </c>
      <c r="G10472">
        <v>54</v>
      </c>
      <c r="H10472">
        <v>10546.08</v>
      </c>
      <c r="I10472">
        <v>195.3</v>
      </c>
      <c r="J10472">
        <v>9</v>
      </c>
      <c r="K10472">
        <v>1275.57</v>
      </c>
      <c r="L10472">
        <v>141.72999999999999</v>
      </c>
      <c r="M10472">
        <v>63</v>
      </c>
      <c r="N10472">
        <v>11821.65</v>
      </c>
      <c r="O10472">
        <v>187.65</v>
      </c>
    </row>
    <row r="10473" spans="1:15" x14ac:dyDescent="0.35">
      <c r="A10473" t="s">
        <v>11229</v>
      </c>
      <c r="B10473" t="s">
        <v>11230</v>
      </c>
      <c r="C10473" t="s">
        <v>11188</v>
      </c>
      <c r="D10473" t="s">
        <v>323</v>
      </c>
      <c r="E10473" t="s">
        <v>304</v>
      </c>
      <c r="F10473" t="s">
        <v>11254</v>
      </c>
      <c r="G10473">
        <v>3</v>
      </c>
      <c r="H10473">
        <v>631.87</v>
      </c>
      <c r="I10473">
        <v>210.62</v>
      </c>
      <c r="J10473">
        <v>1</v>
      </c>
      <c r="K10473">
        <v>170.66</v>
      </c>
      <c r="L10473">
        <v>170.66</v>
      </c>
      <c r="M10473">
        <v>4</v>
      </c>
      <c r="N10473">
        <v>802.53</v>
      </c>
      <c r="O10473">
        <v>200.63</v>
      </c>
    </row>
    <row r="10474" spans="1:15" x14ac:dyDescent="0.35">
      <c r="A10474" t="s">
        <v>11229</v>
      </c>
      <c r="B10474" t="s">
        <v>11230</v>
      </c>
      <c r="C10474" t="s">
        <v>11188</v>
      </c>
      <c r="D10474" t="s">
        <v>323</v>
      </c>
      <c r="E10474" t="s">
        <v>306</v>
      </c>
      <c r="F10474" t="s">
        <v>11255</v>
      </c>
      <c r="G10474">
        <v>5</v>
      </c>
      <c r="H10474">
        <v>532.6</v>
      </c>
      <c r="I10474">
        <v>106.52</v>
      </c>
      <c r="J10474">
        <v>382</v>
      </c>
      <c r="K10474">
        <v>34036.199999999997</v>
      </c>
      <c r="L10474">
        <v>89.1</v>
      </c>
      <c r="M10474">
        <v>387</v>
      </c>
      <c r="N10474">
        <v>34568.799999999996</v>
      </c>
      <c r="O10474">
        <v>89.33</v>
      </c>
    </row>
    <row r="10475" spans="1:15" x14ac:dyDescent="0.35">
      <c r="A10475" t="s">
        <v>11229</v>
      </c>
      <c r="B10475" t="s">
        <v>11230</v>
      </c>
      <c r="C10475" t="s">
        <v>11188</v>
      </c>
      <c r="D10475" t="s">
        <v>323</v>
      </c>
      <c r="E10475" t="s">
        <v>308</v>
      </c>
      <c r="F10475" t="s">
        <v>11256</v>
      </c>
      <c r="G10475">
        <v>0</v>
      </c>
      <c r="H10475">
        <v>0</v>
      </c>
      <c r="I10475">
        <v>0</v>
      </c>
      <c r="J10475">
        <v>0</v>
      </c>
      <c r="K10475">
        <v>0</v>
      </c>
      <c r="L10475">
        <v>0</v>
      </c>
      <c r="M10475">
        <v>0</v>
      </c>
      <c r="N10475">
        <v>0</v>
      </c>
      <c r="O10475">
        <v>0</v>
      </c>
    </row>
    <row r="10476" spans="1:15" x14ac:dyDescent="0.35">
      <c r="A10476" t="s">
        <v>11229</v>
      </c>
      <c r="B10476" t="s">
        <v>11230</v>
      </c>
      <c r="C10476" t="s">
        <v>11188</v>
      </c>
      <c r="D10476" t="s">
        <v>323</v>
      </c>
      <c r="E10476" t="s">
        <v>310</v>
      </c>
      <c r="F10476" t="s">
        <v>11257</v>
      </c>
      <c r="G10476">
        <v>2796</v>
      </c>
      <c r="H10476">
        <v>404024.67</v>
      </c>
      <c r="I10476">
        <v>144.5</v>
      </c>
      <c r="J10476">
        <v>14338</v>
      </c>
      <c r="K10476">
        <v>1676145.3799999997</v>
      </c>
      <c r="L10476">
        <v>116.9</v>
      </c>
      <c r="M10476">
        <v>17134</v>
      </c>
      <c r="N10476">
        <v>2080170.0499999996</v>
      </c>
      <c r="O10476">
        <v>121.41</v>
      </c>
    </row>
    <row r="10477" spans="1:15" x14ac:dyDescent="0.35">
      <c r="A10477" t="s">
        <v>11229</v>
      </c>
      <c r="B10477" t="s">
        <v>11230</v>
      </c>
      <c r="C10477" t="s">
        <v>11188</v>
      </c>
      <c r="D10477" t="s">
        <v>323</v>
      </c>
      <c r="E10477" t="s">
        <v>312</v>
      </c>
      <c r="F10477" t="s">
        <v>11258</v>
      </c>
      <c r="G10477">
        <v>2796</v>
      </c>
      <c r="H10477">
        <v>404024.67</v>
      </c>
      <c r="I10477">
        <v>144.5</v>
      </c>
      <c r="J10477">
        <v>14338</v>
      </c>
      <c r="K10477">
        <v>1676145.3799999997</v>
      </c>
      <c r="L10477">
        <v>116.9</v>
      </c>
      <c r="M10477">
        <v>17134</v>
      </c>
      <c r="N10477">
        <v>2080170.0499999996</v>
      </c>
      <c r="O10477">
        <v>121.41</v>
      </c>
    </row>
    <row r="10478" spans="1:15" x14ac:dyDescent="0.35">
      <c r="A10478" t="s">
        <v>11229</v>
      </c>
      <c r="B10478" t="s">
        <v>11230</v>
      </c>
      <c r="C10478" t="s">
        <v>11188</v>
      </c>
      <c r="D10478" t="s">
        <v>334</v>
      </c>
      <c r="E10478" t="s">
        <v>312</v>
      </c>
      <c r="F10478" t="s">
        <v>11259</v>
      </c>
      <c r="G10478">
        <v>5016</v>
      </c>
      <c r="H10478">
        <v>698085.37</v>
      </c>
      <c r="I10478">
        <v>167.29</v>
      </c>
      <c r="J10478">
        <v>14961</v>
      </c>
      <c r="K10478">
        <v>1788838.8499999999</v>
      </c>
      <c r="L10478">
        <v>119.57</v>
      </c>
      <c r="M10478">
        <v>19977</v>
      </c>
      <c r="N10478">
        <v>2486924.2199999997</v>
      </c>
      <c r="O10478">
        <v>129.97</v>
      </c>
    </row>
    <row r="10479" spans="1:15" x14ac:dyDescent="0.35">
      <c r="A10479" t="s">
        <v>11229</v>
      </c>
      <c r="B10479" t="s">
        <v>11230</v>
      </c>
      <c r="C10479" t="s">
        <v>11188</v>
      </c>
      <c r="D10479" t="s">
        <v>334</v>
      </c>
      <c r="E10479" t="s">
        <v>308</v>
      </c>
      <c r="F10479" t="s">
        <v>11260</v>
      </c>
      <c r="G10479">
        <v>0</v>
      </c>
      <c r="H10479">
        <v>0</v>
      </c>
      <c r="I10479">
        <v>0</v>
      </c>
      <c r="J10479">
        <v>0</v>
      </c>
      <c r="K10479">
        <v>0</v>
      </c>
      <c r="L10479">
        <v>0</v>
      </c>
      <c r="M10479">
        <v>0</v>
      </c>
      <c r="N10479">
        <v>0</v>
      </c>
      <c r="O10479">
        <v>0</v>
      </c>
    </row>
    <row r="10480" spans="1:15" x14ac:dyDescent="0.35">
      <c r="A10480" t="s">
        <v>11229</v>
      </c>
      <c r="B10480" t="s">
        <v>11230</v>
      </c>
      <c r="C10480" t="s">
        <v>11188</v>
      </c>
      <c r="D10480" t="s">
        <v>337</v>
      </c>
      <c r="E10480" t="s">
        <v>337</v>
      </c>
      <c r="F10480" t="s">
        <v>11261</v>
      </c>
      <c r="G10480">
        <v>1555</v>
      </c>
      <c r="J10480">
        <v>32</v>
      </c>
      <c r="M10480">
        <v>1587</v>
      </c>
    </row>
    <row r="10481" spans="1:15" x14ac:dyDescent="0.35">
      <c r="A10481" t="s">
        <v>11229</v>
      </c>
      <c r="B10481" t="s">
        <v>11230</v>
      </c>
      <c r="C10481" t="s">
        <v>11188</v>
      </c>
      <c r="D10481" t="s">
        <v>339</v>
      </c>
      <c r="E10481" t="s">
        <v>294</v>
      </c>
      <c r="F10481" t="s">
        <v>11262</v>
      </c>
      <c r="G10481">
        <v>473</v>
      </c>
      <c r="H10481">
        <v>62690.010000000009</v>
      </c>
      <c r="I10481">
        <v>132.54</v>
      </c>
      <c r="J10481">
        <v>715</v>
      </c>
      <c r="K10481">
        <v>73080.149999999994</v>
      </c>
      <c r="L10481">
        <v>102.21</v>
      </c>
      <c r="M10481">
        <v>1188</v>
      </c>
      <c r="N10481">
        <v>135770.16</v>
      </c>
      <c r="O10481">
        <v>114.28</v>
      </c>
    </row>
    <row r="10482" spans="1:15" x14ac:dyDescent="0.35">
      <c r="A10482" t="s">
        <v>11229</v>
      </c>
      <c r="B10482" t="s">
        <v>11230</v>
      </c>
      <c r="C10482" t="s">
        <v>11188</v>
      </c>
      <c r="D10482" t="s">
        <v>339</v>
      </c>
      <c r="E10482" t="s">
        <v>296</v>
      </c>
      <c r="F10482" t="s">
        <v>11263</v>
      </c>
      <c r="G10482">
        <v>43</v>
      </c>
      <c r="H10482">
        <v>6891.21</v>
      </c>
      <c r="I10482">
        <v>160.26</v>
      </c>
      <c r="J10482">
        <v>7</v>
      </c>
      <c r="K10482">
        <v>830.82999999999993</v>
      </c>
      <c r="L10482">
        <v>118.69</v>
      </c>
      <c r="M10482">
        <v>50</v>
      </c>
      <c r="N10482">
        <v>7722.04</v>
      </c>
      <c r="O10482">
        <v>154.44</v>
      </c>
    </row>
    <row r="10483" spans="1:15" x14ac:dyDescent="0.35">
      <c r="A10483" t="s">
        <v>11229</v>
      </c>
      <c r="B10483" t="s">
        <v>11230</v>
      </c>
      <c r="C10483" t="s">
        <v>11188</v>
      </c>
      <c r="D10483" t="s">
        <v>339</v>
      </c>
      <c r="E10483" t="s">
        <v>298</v>
      </c>
      <c r="F10483" t="s">
        <v>11264</v>
      </c>
      <c r="G10483">
        <v>6</v>
      </c>
      <c r="H10483">
        <v>938.31000000000006</v>
      </c>
      <c r="I10483">
        <v>156.38999999999999</v>
      </c>
      <c r="J10483">
        <v>0</v>
      </c>
      <c r="K10483">
        <v>0</v>
      </c>
      <c r="L10483">
        <v>0</v>
      </c>
      <c r="M10483">
        <v>6</v>
      </c>
      <c r="N10483">
        <v>938.31000000000006</v>
      </c>
      <c r="O10483">
        <v>156.38999999999999</v>
      </c>
    </row>
    <row r="10484" spans="1:15" x14ac:dyDescent="0.35">
      <c r="A10484" t="s">
        <v>11229</v>
      </c>
      <c r="B10484" t="s">
        <v>11230</v>
      </c>
      <c r="C10484" t="s">
        <v>11188</v>
      </c>
      <c r="D10484" t="s">
        <v>339</v>
      </c>
      <c r="E10484" t="s">
        <v>300</v>
      </c>
      <c r="F10484" t="s">
        <v>11265</v>
      </c>
      <c r="G10484">
        <v>0</v>
      </c>
      <c r="H10484">
        <v>0</v>
      </c>
      <c r="I10484">
        <v>0</v>
      </c>
      <c r="J10484">
        <v>0</v>
      </c>
      <c r="K10484">
        <v>0</v>
      </c>
      <c r="L10484">
        <v>0</v>
      </c>
      <c r="M10484">
        <v>0</v>
      </c>
      <c r="N10484">
        <v>0</v>
      </c>
      <c r="O10484">
        <v>0</v>
      </c>
    </row>
    <row r="10485" spans="1:15" x14ac:dyDescent="0.35">
      <c r="A10485" t="s">
        <v>11229</v>
      </c>
      <c r="B10485" t="s">
        <v>11230</v>
      </c>
      <c r="C10485" t="s">
        <v>11188</v>
      </c>
      <c r="D10485" t="s">
        <v>339</v>
      </c>
      <c r="E10485" t="s">
        <v>306</v>
      </c>
      <c r="F10485" t="s">
        <v>11266</v>
      </c>
      <c r="G10485">
        <v>39</v>
      </c>
      <c r="H10485">
        <v>3915.11</v>
      </c>
      <c r="I10485">
        <v>100.39</v>
      </c>
      <c r="J10485">
        <v>8</v>
      </c>
      <c r="K10485">
        <v>726.8</v>
      </c>
      <c r="L10485">
        <v>90.85</v>
      </c>
      <c r="M10485">
        <v>47</v>
      </c>
      <c r="N10485">
        <v>4641.91</v>
      </c>
      <c r="O10485">
        <v>98.76</v>
      </c>
    </row>
    <row r="10486" spans="1:15" x14ac:dyDescent="0.35">
      <c r="A10486" t="s">
        <v>11229</v>
      </c>
      <c r="B10486" t="s">
        <v>11230</v>
      </c>
      <c r="C10486" t="s">
        <v>11188</v>
      </c>
      <c r="D10486" t="s">
        <v>339</v>
      </c>
      <c r="E10486" t="s">
        <v>308</v>
      </c>
      <c r="F10486" t="s">
        <v>11267</v>
      </c>
      <c r="G10486">
        <v>64</v>
      </c>
      <c r="H10486">
        <v>7720.96</v>
      </c>
      <c r="I10486">
        <v>120.64</v>
      </c>
      <c r="J10486">
        <v>0</v>
      </c>
      <c r="K10486">
        <v>0</v>
      </c>
      <c r="L10486">
        <v>0</v>
      </c>
      <c r="M10486">
        <v>64</v>
      </c>
      <c r="N10486">
        <v>7720.96</v>
      </c>
      <c r="O10486">
        <v>120.64</v>
      </c>
    </row>
    <row r="10487" spans="1:15" x14ac:dyDescent="0.35">
      <c r="A10487" t="s">
        <v>11229</v>
      </c>
      <c r="B10487" t="s">
        <v>11230</v>
      </c>
      <c r="C10487" t="s">
        <v>11188</v>
      </c>
      <c r="D10487" t="s">
        <v>339</v>
      </c>
      <c r="E10487" t="s">
        <v>310</v>
      </c>
      <c r="F10487" t="s">
        <v>11268</v>
      </c>
      <c r="G10487">
        <v>625</v>
      </c>
      <c r="H10487">
        <v>82155.60000000002</v>
      </c>
      <c r="I10487">
        <v>131.44999999999999</v>
      </c>
      <c r="J10487">
        <v>730</v>
      </c>
      <c r="K10487">
        <v>74637.78</v>
      </c>
      <c r="L10487">
        <v>102.24</v>
      </c>
      <c r="M10487">
        <v>1355</v>
      </c>
      <c r="N10487">
        <v>156793.38</v>
      </c>
      <c r="O10487">
        <v>115.71</v>
      </c>
    </row>
    <row r="10488" spans="1:15" x14ac:dyDescent="0.35">
      <c r="A10488" t="s">
        <v>11229</v>
      </c>
      <c r="B10488" t="s">
        <v>11230</v>
      </c>
      <c r="C10488" t="s">
        <v>11188</v>
      </c>
      <c r="D10488" t="s">
        <v>339</v>
      </c>
      <c r="E10488" t="s">
        <v>312</v>
      </c>
      <c r="F10488" t="s">
        <v>11269</v>
      </c>
      <c r="G10488">
        <v>561</v>
      </c>
      <c r="H10488">
        <v>74434.640000000014</v>
      </c>
      <c r="I10488">
        <v>132.68</v>
      </c>
      <c r="J10488">
        <v>730</v>
      </c>
      <c r="K10488">
        <v>74637.78</v>
      </c>
      <c r="L10488">
        <v>102.24</v>
      </c>
      <c r="M10488">
        <v>1291</v>
      </c>
      <c r="N10488">
        <v>149072.42000000001</v>
      </c>
      <c r="O10488">
        <v>115.47</v>
      </c>
    </row>
    <row r="10489" spans="1:15" x14ac:dyDescent="0.35">
      <c r="A10489" t="s">
        <v>11229</v>
      </c>
      <c r="B10489" t="s">
        <v>11230</v>
      </c>
      <c r="C10489" t="s">
        <v>11188</v>
      </c>
      <c r="D10489" t="s">
        <v>348</v>
      </c>
      <c r="E10489" t="s">
        <v>349</v>
      </c>
      <c r="F10489" t="s">
        <v>11270</v>
      </c>
      <c r="G10489">
        <v>835</v>
      </c>
      <c r="H10489">
        <v>86340.960000000021</v>
      </c>
      <c r="I10489">
        <v>134.28</v>
      </c>
      <c r="J10489">
        <v>730</v>
      </c>
      <c r="K10489">
        <v>74637.78</v>
      </c>
      <c r="L10489">
        <v>102.24</v>
      </c>
      <c r="M10489">
        <v>1565</v>
      </c>
      <c r="N10489">
        <v>160978.74000000002</v>
      </c>
      <c r="O10489">
        <v>117.25</v>
      </c>
    </row>
    <row r="10490" spans="1:15" x14ac:dyDescent="0.35">
      <c r="A10490" t="s">
        <v>11271</v>
      </c>
      <c r="B10490" t="s">
        <v>11272</v>
      </c>
      <c r="C10490" t="s">
        <v>11188</v>
      </c>
      <c r="D10490" t="s">
        <v>293</v>
      </c>
      <c r="E10490" t="s">
        <v>294</v>
      </c>
      <c r="F10490" t="s">
        <v>11273</v>
      </c>
      <c r="G10490">
        <v>553</v>
      </c>
      <c r="H10490">
        <v>119590.11999999998</v>
      </c>
      <c r="I10490">
        <v>216.26</v>
      </c>
      <c r="J10490">
        <v>86</v>
      </c>
      <c r="K10490">
        <v>17544</v>
      </c>
      <c r="L10490">
        <v>204</v>
      </c>
      <c r="M10490">
        <v>639</v>
      </c>
      <c r="N10490">
        <v>137134.12</v>
      </c>
      <c r="O10490">
        <v>214.61</v>
      </c>
    </row>
    <row r="10491" spans="1:15" x14ac:dyDescent="0.35">
      <c r="A10491" t="s">
        <v>11271</v>
      </c>
      <c r="B10491" t="s">
        <v>11272</v>
      </c>
      <c r="C10491" t="s">
        <v>11188</v>
      </c>
      <c r="D10491" t="s">
        <v>293</v>
      </c>
      <c r="E10491" t="s">
        <v>296</v>
      </c>
      <c r="F10491" t="s">
        <v>11274</v>
      </c>
      <c r="G10491">
        <v>1057</v>
      </c>
      <c r="H10491">
        <v>287669.14999999997</v>
      </c>
      <c r="I10491">
        <v>272.16000000000003</v>
      </c>
      <c r="J10491">
        <v>305</v>
      </c>
      <c r="K10491">
        <v>69899.900000000009</v>
      </c>
      <c r="L10491">
        <v>229.18</v>
      </c>
      <c r="M10491">
        <v>1362</v>
      </c>
      <c r="N10491">
        <v>357569.05</v>
      </c>
      <c r="O10491">
        <v>262.52999999999997</v>
      </c>
    </row>
    <row r="10492" spans="1:15" x14ac:dyDescent="0.35">
      <c r="A10492" t="s">
        <v>11271</v>
      </c>
      <c r="B10492" t="s">
        <v>11272</v>
      </c>
      <c r="C10492" t="s">
        <v>11188</v>
      </c>
      <c r="D10492" t="s">
        <v>293</v>
      </c>
      <c r="E10492" t="s">
        <v>298</v>
      </c>
      <c r="F10492" t="s">
        <v>11275</v>
      </c>
      <c r="G10492">
        <v>459</v>
      </c>
      <c r="H10492">
        <v>133628.68000000002</v>
      </c>
      <c r="I10492">
        <v>291.13</v>
      </c>
      <c r="J10492">
        <v>154</v>
      </c>
      <c r="K10492">
        <v>41909.56</v>
      </c>
      <c r="L10492">
        <v>272.14</v>
      </c>
      <c r="M10492">
        <v>613</v>
      </c>
      <c r="N10492">
        <v>175538.24000000002</v>
      </c>
      <c r="O10492">
        <v>286.36</v>
      </c>
    </row>
    <row r="10493" spans="1:15" x14ac:dyDescent="0.35">
      <c r="A10493" t="s">
        <v>11271</v>
      </c>
      <c r="B10493" t="s">
        <v>11272</v>
      </c>
      <c r="C10493" t="s">
        <v>11188</v>
      </c>
      <c r="D10493" t="s">
        <v>293</v>
      </c>
      <c r="E10493" t="s">
        <v>300</v>
      </c>
      <c r="F10493" t="s">
        <v>11276</v>
      </c>
      <c r="G10493">
        <v>64</v>
      </c>
      <c r="H10493">
        <v>21392.22</v>
      </c>
      <c r="I10493">
        <v>334.25</v>
      </c>
      <c r="J10493">
        <v>6</v>
      </c>
      <c r="K10493">
        <v>1580.88</v>
      </c>
      <c r="L10493">
        <v>263.48</v>
      </c>
      <c r="M10493">
        <v>70</v>
      </c>
      <c r="N10493">
        <v>22973.100000000002</v>
      </c>
      <c r="O10493">
        <v>328.19</v>
      </c>
    </row>
    <row r="10494" spans="1:15" x14ac:dyDescent="0.35">
      <c r="A10494" t="s">
        <v>11271</v>
      </c>
      <c r="B10494" t="s">
        <v>11272</v>
      </c>
      <c r="C10494" t="s">
        <v>11188</v>
      </c>
      <c r="D10494" t="s">
        <v>293</v>
      </c>
      <c r="E10494" t="s">
        <v>302</v>
      </c>
      <c r="F10494" t="s">
        <v>11277</v>
      </c>
      <c r="G10494">
        <v>2</v>
      </c>
      <c r="H10494">
        <v>694.65000000000009</v>
      </c>
      <c r="I10494">
        <v>347.33</v>
      </c>
      <c r="J10494">
        <v>1</v>
      </c>
      <c r="K10494">
        <v>416.04</v>
      </c>
      <c r="L10494">
        <v>416.04</v>
      </c>
      <c r="M10494">
        <v>3</v>
      </c>
      <c r="N10494">
        <v>1110.69</v>
      </c>
      <c r="O10494">
        <v>370.23</v>
      </c>
    </row>
    <row r="10495" spans="1:15" x14ac:dyDescent="0.35">
      <c r="A10495" t="s">
        <v>11271</v>
      </c>
      <c r="B10495" t="s">
        <v>11272</v>
      </c>
      <c r="C10495" t="s">
        <v>11188</v>
      </c>
      <c r="D10495" t="s">
        <v>293</v>
      </c>
      <c r="E10495" t="s">
        <v>304</v>
      </c>
      <c r="F10495" t="s">
        <v>11278</v>
      </c>
      <c r="G10495">
        <v>0</v>
      </c>
      <c r="H10495">
        <v>0</v>
      </c>
      <c r="I10495">
        <v>0</v>
      </c>
      <c r="J10495">
        <v>0</v>
      </c>
      <c r="K10495">
        <v>0</v>
      </c>
      <c r="L10495">
        <v>0</v>
      </c>
      <c r="M10495">
        <v>0</v>
      </c>
      <c r="N10495">
        <v>0</v>
      </c>
      <c r="O10495">
        <v>0</v>
      </c>
    </row>
    <row r="10496" spans="1:15" x14ac:dyDescent="0.35">
      <c r="A10496" t="s">
        <v>11271</v>
      </c>
      <c r="B10496" t="s">
        <v>11272</v>
      </c>
      <c r="C10496" t="s">
        <v>11188</v>
      </c>
      <c r="D10496" t="s">
        <v>293</v>
      </c>
      <c r="E10496" t="s">
        <v>306</v>
      </c>
      <c r="F10496" t="s">
        <v>11279</v>
      </c>
      <c r="G10496">
        <v>33</v>
      </c>
      <c r="H10496">
        <v>6406.98</v>
      </c>
      <c r="I10496">
        <v>194.15</v>
      </c>
      <c r="J10496">
        <v>1</v>
      </c>
      <c r="K10496">
        <v>209.24</v>
      </c>
      <c r="L10496">
        <v>209.24</v>
      </c>
      <c r="M10496">
        <v>34</v>
      </c>
      <c r="N10496">
        <v>6616.2199999999993</v>
      </c>
      <c r="O10496">
        <v>194.59</v>
      </c>
    </row>
    <row r="10497" spans="1:15" x14ac:dyDescent="0.35">
      <c r="A10497" t="s">
        <v>11271</v>
      </c>
      <c r="B10497" t="s">
        <v>11272</v>
      </c>
      <c r="C10497" t="s">
        <v>11188</v>
      </c>
      <c r="D10497" t="s">
        <v>293</v>
      </c>
      <c r="E10497" t="s">
        <v>308</v>
      </c>
      <c r="F10497" t="s">
        <v>11280</v>
      </c>
      <c r="G10497">
        <v>0</v>
      </c>
      <c r="H10497">
        <v>0</v>
      </c>
      <c r="I10497">
        <v>0</v>
      </c>
      <c r="J10497">
        <v>0</v>
      </c>
      <c r="K10497">
        <v>0</v>
      </c>
      <c r="L10497">
        <v>0</v>
      </c>
      <c r="M10497">
        <v>0</v>
      </c>
      <c r="N10497">
        <v>0</v>
      </c>
      <c r="O10497">
        <v>0</v>
      </c>
    </row>
    <row r="10498" spans="1:15" x14ac:dyDescent="0.35">
      <c r="A10498" t="s">
        <v>11271</v>
      </c>
      <c r="B10498" t="s">
        <v>11272</v>
      </c>
      <c r="C10498" t="s">
        <v>11188</v>
      </c>
      <c r="D10498" t="s">
        <v>293</v>
      </c>
      <c r="E10498" t="s">
        <v>310</v>
      </c>
      <c r="F10498" t="s">
        <v>11281</v>
      </c>
      <c r="G10498">
        <v>2168</v>
      </c>
      <c r="H10498">
        <v>569381.79999999993</v>
      </c>
      <c r="I10498">
        <v>262.63</v>
      </c>
      <c r="J10498">
        <v>553</v>
      </c>
      <c r="K10498">
        <v>131559.62</v>
      </c>
      <c r="L10498">
        <v>237.9</v>
      </c>
      <c r="M10498">
        <v>2721</v>
      </c>
      <c r="N10498">
        <v>700941.41999999993</v>
      </c>
      <c r="O10498">
        <v>257.60000000000002</v>
      </c>
    </row>
    <row r="10499" spans="1:15" x14ac:dyDescent="0.35">
      <c r="A10499" t="s">
        <v>11271</v>
      </c>
      <c r="B10499" t="s">
        <v>11272</v>
      </c>
      <c r="C10499" t="s">
        <v>11188</v>
      </c>
      <c r="D10499" t="s">
        <v>293</v>
      </c>
      <c r="E10499" t="s">
        <v>312</v>
      </c>
      <c r="F10499" t="s">
        <v>11282</v>
      </c>
      <c r="G10499">
        <v>2168</v>
      </c>
      <c r="H10499">
        <v>569381.79999999993</v>
      </c>
      <c r="I10499">
        <v>262.63</v>
      </c>
      <c r="J10499">
        <v>553</v>
      </c>
      <c r="K10499">
        <v>131559.62</v>
      </c>
      <c r="L10499">
        <v>237.9</v>
      </c>
      <c r="M10499">
        <v>2721</v>
      </c>
      <c r="N10499">
        <v>700941.41999999993</v>
      </c>
      <c r="O10499">
        <v>257.60000000000002</v>
      </c>
    </row>
    <row r="10500" spans="1:15" x14ac:dyDescent="0.35">
      <c r="A10500" t="s">
        <v>11271</v>
      </c>
      <c r="B10500" t="s">
        <v>11272</v>
      </c>
      <c r="C10500" t="s">
        <v>11188</v>
      </c>
      <c r="D10500" t="s">
        <v>314</v>
      </c>
      <c r="E10500" t="s">
        <v>294</v>
      </c>
      <c r="F10500" t="s">
        <v>11283</v>
      </c>
      <c r="G10500">
        <v>41</v>
      </c>
      <c r="H10500">
        <v>11022.23</v>
      </c>
      <c r="I10500">
        <v>268.83</v>
      </c>
      <c r="J10500">
        <v>96</v>
      </c>
      <c r="K10500">
        <v>18711.36</v>
      </c>
      <c r="L10500">
        <v>194.91</v>
      </c>
      <c r="M10500">
        <v>137</v>
      </c>
      <c r="N10500">
        <v>29733.59</v>
      </c>
      <c r="O10500">
        <v>217.03</v>
      </c>
    </row>
    <row r="10501" spans="1:15" x14ac:dyDescent="0.35">
      <c r="A10501" t="s">
        <v>11271</v>
      </c>
      <c r="B10501" t="s">
        <v>11272</v>
      </c>
      <c r="C10501" t="s">
        <v>11188</v>
      </c>
      <c r="D10501" t="s">
        <v>314</v>
      </c>
      <c r="E10501" t="s">
        <v>296</v>
      </c>
      <c r="F10501" t="s">
        <v>11284</v>
      </c>
      <c r="G10501">
        <v>2</v>
      </c>
      <c r="H10501">
        <v>716.96</v>
      </c>
      <c r="I10501">
        <v>358.48</v>
      </c>
      <c r="J10501">
        <v>8</v>
      </c>
      <c r="K10501">
        <v>1852.48</v>
      </c>
      <c r="L10501">
        <v>231.56</v>
      </c>
      <c r="M10501">
        <v>10</v>
      </c>
      <c r="N10501">
        <v>2569.44</v>
      </c>
      <c r="O10501">
        <v>256.94</v>
      </c>
    </row>
    <row r="10502" spans="1:15" x14ac:dyDescent="0.35">
      <c r="A10502" t="s">
        <v>11271</v>
      </c>
      <c r="B10502" t="s">
        <v>11272</v>
      </c>
      <c r="C10502" t="s">
        <v>11188</v>
      </c>
      <c r="D10502" t="s">
        <v>314</v>
      </c>
      <c r="E10502" t="s">
        <v>298</v>
      </c>
      <c r="F10502" t="s">
        <v>11285</v>
      </c>
      <c r="G10502">
        <v>0</v>
      </c>
      <c r="H10502">
        <v>0</v>
      </c>
      <c r="I10502">
        <v>0</v>
      </c>
      <c r="J10502">
        <v>0</v>
      </c>
      <c r="K10502">
        <v>0</v>
      </c>
      <c r="L10502">
        <v>0</v>
      </c>
      <c r="M10502">
        <v>0</v>
      </c>
      <c r="N10502">
        <v>0</v>
      </c>
      <c r="O10502">
        <v>0</v>
      </c>
    </row>
    <row r="10503" spans="1:15" x14ac:dyDescent="0.35">
      <c r="A10503" t="s">
        <v>11271</v>
      </c>
      <c r="B10503" t="s">
        <v>11272</v>
      </c>
      <c r="C10503" t="s">
        <v>11188</v>
      </c>
      <c r="D10503" t="s">
        <v>314</v>
      </c>
      <c r="E10503" t="s">
        <v>300</v>
      </c>
      <c r="F10503" t="s">
        <v>11286</v>
      </c>
      <c r="G10503">
        <v>0</v>
      </c>
      <c r="H10503">
        <v>0</v>
      </c>
      <c r="I10503">
        <v>0</v>
      </c>
      <c r="J10503">
        <v>0</v>
      </c>
      <c r="K10503">
        <v>0</v>
      </c>
      <c r="L10503">
        <v>0</v>
      </c>
      <c r="M10503">
        <v>0</v>
      </c>
      <c r="N10503">
        <v>0</v>
      </c>
      <c r="O10503">
        <v>0</v>
      </c>
    </row>
    <row r="10504" spans="1:15" x14ac:dyDescent="0.35">
      <c r="A10504" t="s">
        <v>11271</v>
      </c>
      <c r="B10504" t="s">
        <v>11272</v>
      </c>
      <c r="C10504" t="s">
        <v>11188</v>
      </c>
      <c r="D10504" t="s">
        <v>314</v>
      </c>
      <c r="E10504" t="s">
        <v>306</v>
      </c>
      <c r="F10504" t="s">
        <v>11287</v>
      </c>
      <c r="G10504">
        <v>4</v>
      </c>
      <c r="H10504">
        <v>1029.68</v>
      </c>
      <c r="I10504">
        <v>257.42</v>
      </c>
      <c r="J10504">
        <v>0</v>
      </c>
      <c r="K10504">
        <v>0</v>
      </c>
      <c r="L10504">
        <v>0</v>
      </c>
      <c r="M10504">
        <v>4</v>
      </c>
      <c r="N10504">
        <v>1029.68</v>
      </c>
      <c r="O10504">
        <v>257.42</v>
      </c>
    </row>
    <row r="10505" spans="1:15" x14ac:dyDescent="0.35">
      <c r="A10505" t="s">
        <v>11271</v>
      </c>
      <c r="B10505" t="s">
        <v>11272</v>
      </c>
      <c r="C10505" t="s">
        <v>11188</v>
      </c>
      <c r="D10505" t="s">
        <v>314</v>
      </c>
      <c r="E10505" t="s">
        <v>308</v>
      </c>
      <c r="F10505" t="s">
        <v>11288</v>
      </c>
      <c r="G10505">
        <v>0</v>
      </c>
      <c r="H10505">
        <v>0</v>
      </c>
      <c r="I10505">
        <v>0</v>
      </c>
      <c r="J10505">
        <v>0</v>
      </c>
      <c r="K10505">
        <v>0</v>
      </c>
      <c r="L10505">
        <v>0</v>
      </c>
      <c r="M10505">
        <v>0</v>
      </c>
      <c r="N10505">
        <v>0</v>
      </c>
      <c r="O10505">
        <v>0</v>
      </c>
    </row>
    <row r="10506" spans="1:15" x14ac:dyDescent="0.35">
      <c r="A10506" t="s">
        <v>11271</v>
      </c>
      <c r="B10506" t="s">
        <v>11272</v>
      </c>
      <c r="C10506" t="s">
        <v>11188</v>
      </c>
      <c r="D10506" t="s">
        <v>314</v>
      </c>
      <c r="E10506" t="s">
        <v>312</v>
      </c>
      <c r="F10506" t="s">
        <v>11289</v>
      </c>
      <c r="G10506">
        <v>47</v>
      </c>
      <c r="H10506">
        <v>12768.869999999999</v>
      </c>
      <c r="I10506">
        <v>271.68</v>
      </c>
      <c r="J10506">
        <v>104</v>
      </c>
      <c r="K10506">
        <v>20563.84</v>
      </c>
      <c r="L10506">
        <v>197.73</v>
      </c>
      <c r="M10506">
        <v>151</v>
      </c>
      <c r="N10506">
        <v>33332.71</v>
      </c>
      <c r="O10506">
        <v>220.75</v>
      </c>
    </row>
    <row r="10507" spans="1:15" x14ac:dyDescent="0.35">
      <c r="A10507" t="s">
        <v>11271</v>
      </c>
      <c r="B10507" t="s">
        <v>11272</v>
      </c>
      <c r="C10507" t="s">
        <v>11188</v>
      </c>
      <c r="D10507" t="s">
        <v>314</v>
      </c>
      <c r="E10507" t="s">
        <v>310</v>
      </c>
      <c r="F10507" t="s">
        <v>11290</v>
      </c>
      <c r="G10507">
        <v>47</v>
      </c>
      <c r="H10507">
        <v>12768.869999999999</v>
      </c>
      <c r="I10507">
        <v>271.68</v>
      </c>
      <c r="J10507">
        <v>104</v>
      </c>
      <c r="K10507">
        <v>20563.84</v>
      </c>
      <c r="L10507">
        <v>197.73</v>
      </c>
      <c r="M10507">
        <v>151</v>
      </c>
      <c r="N10507">
        <v>33332.71</v>
      </c>
      <c r="O10507">
        <v>220.75</v>
      </c>
    </row>
    <row r="10508" spans="1:15" x14ac:dyDescent="0.35">
      <c r="A10508" t="s">
        <v>11271</v>
      </c>
      <c r="B10508" t="s">
        <v>11272</v>
      </c>
      <c r="C10508" t="s">
        <v>11188</v>
      </c>
      <c r="D10508" t="s">
        <v>323</v>
      </c>
      <c r="E10508" t="s">
        <v>294</v>
      </c>
      <c r="F10508" t="s">
        <v>11291</v>
      </c>
      <c r="G10508">
        <v>1175</v>
      </c>
      <c r="H10508">
        <v>154218.99000000002</v>
      </c>
      <c r="I10508">
        <v>131.25</v>
      </c>
      <c r="J10508">
        <v>1749</v>
      </c>
      <c r="K10508">
        <v>196500.15</v>
      </c>
      <c r="L10508">
        <v>112.35</v>
      </c>
      <c r="M10508">
        <v>2924</v>
      </c>
      <c r="N10508">
        <v>350719.14</v>
      </c>
      <c r="O10508">
        <v>119.94</v>
      </c>
    </row>
    <row r="10509" spans="1:15" x14ac:dyDescent="0.35">
      <c r="A10509" t="s">
        <v>11271</v>
      </c>
      <c r="B10509" t="s">
        <v>11272</v>
      </c>
      <c r="C10509" t="s">
        <v>11188</v>
      </c>
      <c r="D10509" t="s">
        <v>323</v>
      </c>
      <c r="E10509" t="s">
        <v>296</v>
      </c>
      <c r="F10509" t="s">
        <v>11292</v>
      </c>
      <c r="G10509">
        <v>2708</v>
      </c>
      <c r="H10509">
        <v>413394.65</v>
      </c>
      <c r="I10509">
        <v>152.66</v>
      </c>
      <c r="J10509">
        <v>3194</v>
      </c>
      <c r="K10509">
        <v>405414.42000000004</v>
      </c>
      <c r="L10509">
        <v>126.93</v>
      </c>
      <c r="M10509">
        <v>5902</v>
      </c>
      <c r="N10509">
        <v>818809.07000000007</v>
      </c>
      <c r="O10509">
        <v>138.72999999999999</v>
      </c>
    </row>
    <row r="10510" spans="1:15" x14ac:dyDescent="0.35">
      <c r="A10510" t="s">
        <v>11271</v>
      </c>
      <c r="B10510" t="s">
        <v>11272</v>
      </c>
      <c r="C10510" t="s">
        <v>11188</v>
      </c>
      <c r="D10510" t="s">
        <v>323</v>
      </c>
      <c r="E10510" t="s">
        <v>298</v>
      </c>
      <c r="F10510" t="s">
        <v>11293</v>
      </c>
      <c r="G10510">
        <v>1632</v>
      </c>
      <c r="H10510">
        <v>285014.96000000002</v>
      </c>
      <c r="I10510">
        <v>174.64</v>
      </c>
      <c r="J10510">
        <v>2486</v>
      </c>
      <c r="K10510">
        <v>362409.08</v>
      </c>
      <c r="L10510">
        <v>145.78</v>
      </c>
      <c r="M10510">
        <v>4118</v>
      </c>
      <c r="N10510">
        <v>647424.04</v>
      </c>
      <c r="O10510">
        <v>157.22</v>
      </c>
    </row>
    <row r="10511" spans="1:15" x14ac:dyDescent="0.35">
      <c r="A10511" t="s">
        <v>11271</v>
      </c>
      <c r="B10511" t="s">
        <v>11272</v>
      </c>
      <c r="C10511" t="s">
        <v>11188</v>
      </c>
      <c r="D10511" t="s">
        <v>323</v>
      </c>
      <c r="E10511" t="s">
        <v>300</v>
      </c>
      <c r="F10511" t="s">
        <v>11294</v>
      </c>
      <c r="G10511">
        <v>361</v>
      </c>
      <c r="H10511">
        <v>68175.070000000022</v>
      </c>
      <c r="I10511">
        <v>188.85</v>
      </c>
      <c r="J10511">
        <v>238</v>
      </c>
      <c r="K10511">
        <v>38301.340000000004</v>
      </c>
      <c r="L10511">
        <v>160.93</v>
      </c>
      <c r="M10511">
        <v>599</v>
      </c>
      <c r="N10511">
        <v>106476.41000000003</v>
      </c>
      <c r="O10511">
        <v>177.76</v>
      </c>
    </row>
    <row r="10512" spans="1:15" x14ac:dyDescent="0.35">
      <c r="A10512" t="s">
        <v>11271</v>
      </c>
      <c r="B10512" t="s">
        <v>11272</v>
      </c>
      <c r="C10512" t="s">
        <v>11188</v>
      </c>
      <c r="D10512" t="s">
        <v>323</v>
      </c>
      <c r="E10512" t="s">
        <v>302</v>
      </c>
      <c r="F10512" t="s">
        <v>11295</v>
      </c>
      <c r="G10512">
        <v>49</v>
      </c>
      <c r="H10512">
        <v>9020.34</v>
      </c>
      <c r="I10512">
        <v>184.09</v>
      </c>
      <c r="J10512">
        <v>16</v>
      </c>
      <c r="K10512">
        <v>3071.2</v>
      </c>
      <c r="L10512">
        <v>191.95</v>
      </c>
      <c r="M10512">
        <v>65</v>
      </c>
      <c r="N10512">
        <v>12091.54</v>
      </c>
      <c r="O10512">
        <v>186.02</v>
      </c>
    </row>
    <row r="10513" spans="1:15" x14ac:dyDescent="0.35">
      <c r="A10513" t="s">
        <v>11271</v>
      </c>
      <c r="B10513" t="s">
        <v>11272</v>
      </c>
      <c r="C10513" t="s">
        <v>11188</v>
      </c>
      <c r="D10513" t="s">
        <v>323</v>
      </c>
      <c r="E10513" t="s">
        <v>304</v>
      </c>
      <c r="F10513" t="s">
        <v>11296</v>
      </c>
      <c r="G10513">
        <v>5</v>
      </c>
      <c r="H10513">
        <v>1102.6500000000001</v>
      </c>
      <c r="I10513">
        <v>220.53</v>
      </c>
      <c r="J10513">
        <v>4</v>
      </c>
      <c r="K10513">
        <v>753.84</v>
      </c>
      <c r="L10513">
        <v>188.46</v>
      </c>
      <c r="M10513">
        <v>9</v>
      </c>
      <c r="N10513">
        <v>1856.4900000000002</v>
      </c>
      <c r="O10513">
        <v>206.28</v>
      </c>
    </row>
    <row r="10514" spans="1:15" x14ac:dyDescent="0.35">
      <c r="A10514" t="s">
        <v>11271</v>
      </c>
      <c r="B10514" t="s">
        <v>11272</v>
      </c>
      <c r="C10514" t="s">
        <v>11188</v>
      </c>
      <c r="D10514" t="s">
        <v>323</v>
      </c>
      <c r="E10514" t="s">
        <v>306</v>
      </c>
      <c r="F10514" t="s">
        <v>11297</v>
      </c>
      <c r="G10514">
        <v>119</v>
      </c>
      <c r="H10514">
        <v>13728.26</v>
      </c>
      <c r="I10514">
        <v>115.36</v>
      </c>
      <c r="J10514">
        <v>112</v>
      </c>
      <c r="K10514">
        <v>11353.44</v>
      </c>
      <c r="L10514">
        <v>101.37</v>
      </c>
      <c r="M10514">
        <v>231</v>
      </c>
      <c r="N10514">
        <v>25081.7</v>
      </c>
      <c r="O10514">
        <v>108.58</v>
      </c>
    </row>
    <row r="10515" spans="1:15" x14ac:dyDescent="0.35">
      <c r="A10515" t="s">
        <v>11271</v>
      </c>
      <c r="B10515" t="s">
        <v>11272</v>
      </c>
      <c r="C10515" t="s">
        <v>11188</v>
      </c>
      <c r="D10515" t="s">
        <v>323</v>
      </c>
      <c r="E10515" t="s">
        <v>308</v>
      </c>
      <c r="F10515" t="s">
        <v>11298</v>
      </c>
      <c r="G10515">
        <v>5</v>
      </c>
      <c r="H10515">
        <v>1231.2</v>
      </c>
      <c r="I10515">
        <v>246.24</v>
      </c>
      <c r="J10515">
        <v>0</v>
      </c>
      <c r="K10515">
        <v>0</v>
      </c>
      <c r="L10515">
        <v>0</v>
      </c>
      <c r="M10515">
        <v>5</v>
      </c>
      <c r="N10515">
        <v>1231.2</v>
      </c>
      <c r="O10515">
        <v>246.24</v>
      </c>
    </row>
    <row r="10516" spans="1:15" x14ac:dyDescent="0.35">
      <c r="A10516" t="s">
        <v>11271</v>
      </c>
      <c r="B10516" t="s">
        <v>11272</v>
      </c>
      <c r="C10516" t="s">
        <v>11188</v>
      </c>
      <c r="D10516" t="s">
        <v>323</v>
      </c>
      <c r="E10516" t="s">
        <v>310</v>
      </c>
      <c r="F10516" t="s">
        <v>11299</v>
      </c>
      <c r="G10516">
        <v>6054</v>
      </c>
      <c r="H10516">
        <v>945886.12000000011</v>
      </c>
      <c r="I10516">
        <v>156.24</v>
      </c>
      <c r="J10516">
        <v>7799</v>
      </c>
      <c r="K10516">
        <v>1017803.47</v>
      </c>
      <c r="L10516">
        <v>130.5</v>
      </c>
      <c r="M10516">
        <v>13853</v>
      </c>
      <c r="N10516">
        <v>1963689.59</v>
      </c>
      <c r="O10516">
        <v>141.75</v>
      </c>
    </row>
    <row r="10517" spans="1:15" x14ac:dyDescent="0.35">
      <c r="A10517" t="s">
        <v>11271</v>
      </c>
      <c r="B10517" t="s">
        <v>11272</v>
      </c>
      <c r="C10517" t="s">
        <v>11188</v>
      </c>
      <c r="D10517" t="s">
        <v>323</v>
      </c>
      <c r="E10517" t="s">
        <v>312</v>
      </c>
      <c r="F10517" t="s">
        <v>11300</v>
      </c>
      <c r="G10517">
        <v>6049</v>
      </c>
      <c r="H10517">
        <v>944654.92000000016</v>
      </c>
      <c r="I10517">
        <v>156.16999999999999</v>
      </c>
      <c r="J10517">
        <v>7799</v>
      </c>
      <c r="K10517">
        <v>1017803.47</v>
      </c>
      <c r="L10517">
        <v>130.5</v>
      </c>
      <c r="M10517">
        <v>13848</v>
      </c>
      <c r="N10517">
        <v>1962458.3900000001</v>
      </c>
      <c r="O10517">
        <v>141.71</v>
      </c>
    </row>
    <row r="10518" spans="1:15" x14ac:dyDescent="0.35">
      <c r="A10518" t="s">
        <v>11271</v>
      </c>
      <c r="B10518" t="s">
        <v>11272</v>
      </c>
      <c r="C10518" t="s">
        <v>11188</v>
      </c>
      <c r="D10518" t="s">
        <v>334</v>
      </c>
      <c r="E10518" t="s">
        <v>312</v>
      </c>
      <c r="F10518" t="s">
        <v>11301</v>
      </c>
      <c r="G10518">
        <v>8652</v>
      </c>
      <c r="H10518">
        <v>1514036.72</v>
      </c>
      <c r="I10518">
        <v>184.26</v>
      </c>
      <c r="J10518">
        <v>8352</v>
      </c>
      <c r="K10518">
        <v>1149363.0900000001</v>
      </c>
      <c r="L10518">
        <v>137.62</v>
      </c>
      <c r="M10518">
        <v>17004</v>
      </c>
      <c r="N10518">
        <v>2663399.81</v>
      </c>
      <c r="O10518">
        <v>160.75</v>
      </c>
    </row>
    <row r="10519" spans="1:15" x14ac:dyDescent="0.35">
      <c r="A10519" t="s">
        <v>11271</v>
      </c>
      <c r="B10519" t="s">
        <v>11272</v>
      </c>
      <c r="C10519" t="s">
        <v>11188</v>
      </c>
      <c r="D10519" t="s">
        <v>334</v>
      </c>
      <c r="E10519" t="s">
        <v>308</v>
      </c>
      <c r="F10519" t="s">
        <v>11302</v>
      </c>
      <c r="G10519">
        <v>18</v>
      </c>
      <c r="H10519">
        <v>1231.2</v>
      </c>
      <c r="I10519">
        <v>246.24</v>
      </c>
      <c r="J10519">
        <v>0</v>
      </c>
      <c r="K10519">
        <v>0</v>
      </c>
      <c r="L10519">
        <v>0</v>
      </c>
      <c r="M10519">
        <v>18</v>
      </c>
      <c r="N10519">
        <v>1231.2</v>
      </c>
      <c r="O10519">
        <v>246.24</v>
      </c>
    </row>
    <row r="10520" spans="1:15" x14ac:dyDescent="0.35">
      <c r="A10520" t="s">
        <v>11271</v>
      </c>
      <c r="B10520" t="s">
        <v>11272</v>
      </c>
      <c r="C10520" t="s">
        <v>11188</v>
      </c>
      <c r="D10520" t="s">
        <v>337</v>
      </c>
      <c r="E10520" t="s">
        <v>337</v>
      </c>
      <c r="F10520" t="s">
        <v>11303</v>
      </c>
      <c r="G10520">
        <v>1736</v>
      </c>
      <c r="J10520">
        <v>12</v>
      </c>
      <c r="M10520">
        <v>1748</v>
      </c>
    </row>
    <row r="10521" spans="1:15" x14ac:dyDescent="0.35">
      <c r="A10521" t="s">
        <v>11271</v>
      </c>
      <c r="B10521" t="s">
        <v>11272</v>
      </c>
      <c r="C10521" t="s">
        <v>11188</v>
      </c>
      <c r="D10521" t="s">
        <v>339</v>
      </c>
      <c r="E10521" t="s">
        <v>294</v>
      </c>
      <c r="F10521" t="s">
        <v>11304</v>
      </c>
      <c r="G10521">
        <v>666</v>
      </c>
      <c r="H10521">
        <v>98178.87999999999</v>
      </c>
      <c r="I10521">
        <v>147.41999999999999</v>
      </c>
      <c r="J10521">
        <v>527</v>
      </c>
      <c r="K10521">
        <v>57500.97</v>
      </c>
      <c r="L10521">
        <v>109.11</v>
      </c>
      <c r="M10521">
        <v>1193</v>
      </c>
      <c r="N10521">
        <v>155679.84999999998</v>
      </c>
      <c r="O10521">
        <v>130.49</v>
      </c>
    </row>
    <row r="10522" spans="1:15" x14ac:dyDescent="0.35">
      <c r="A10522" t="s">
        <v>11271</v>
      </c>
      <c r="B10522" t="s">
        <v>11272</v>
      </c>
      <c r="C10522" t="s">
        <v>11188</v>
      </c>
      <c r="D10522" t="s">
        <v>339</v>
      </c>
      <c r="E10522" t="s">
        <v>296</v>
      </c>
      <c r="F10522" t="s">
        <v>11305</v>
      </c>
      <c r="G10522">
        <v>56</v>
      </c>
      <c r="H10522">
        <v>9218.09</v>
      </c>
      <c r="I10522">
        <v>164.61</v>
      </c>
      <c r="J10522">
        <v>21</v>
      </c>
      <c r="K10522">
        <v>2576.7000000000003</v>
      </c>
      <c r="L10522">
        <v>122.7</v>
      </c>
      <c r="M10522">
        <v>77</v>
      </c>
      <c r="N10522">
        <v>11794.79</v>
      </c>
      <c r="O10522">
        <v>153.18</v>
      </c>
    </row>
    <row r="10523" spans="1:15" x14ac:dyDescent="0.35">
      <c r="A10523" t="s">
        <v>11271</v>
      </c>
      <c r="B10523" t="s">
        <v>11272</v>
      </c>
      <c r="C10523" t="s">
        <v>11188</v>
      </c>
      <c r="D10523" t="s">
        <v>339</v>
      </c>
      <c r="E10523" t="s">
        <v>298</v>
      </c>
      <c r="F10523" t="s">
        <v>11306</v>
      </c>
      <c r="G10523">
        <v>7</v>
      </c>
      <c r="H10523">
        <v>1087.0999999999999</v>
      </c>
      <c r="I10523">
        <v>155.30000000000001</v>
      </c>
      <c r="J10523">
        <v>2</v>
      </c>
      <c r="K10523">
        <v>220.04</v>
      </c>
      <c r="L10523">
        <v>110.02</v>
      </c>
      <c r="M10523">
        <v>9</v>
      </c>
      <c r="N10523">
        <v>1307.1399999999999</v>
      </c>
      <c r="O10523">
        <v>145.24</v>
      </c>
    </row>
    <row r="10524" spans="1:15" x14ac:dyDescent="0.35">
      <c r="A10524" t="s">
        <v>11271</v>
      </c>
      <c r="B10524" t="s">
        <v>11272</v>
      </c>
      <c r="C10524" t="s">
        <v>11188</v>
      </c>
      <c r="D10524" t="s">
        <v>339</v>
      </c>
      <c r="E10524" t="s">
        <v>300</v>
      </c>
      <c r="F10524" t="s">
        <v>11307</v>
      </c>
      <c r="G10524">
        <v>0</v>
      </c>
      <c r="H10524">
        <v>0</v>
      </c>
      <c r="I10524">
        <v>0</v>
      </c>
      <c r="J10524">
        <v>0</v>
      </c>
      <c r="K10524">
        <v>0</v>
      </c>
      <c r="L10524">
        <v>0</v>
      </c>
      <c r="M10524">
        <v>0</v>
      </c>
      <c r="N10524">
        <v>0</v>
      </c>
      <c r="O10524">
        <v>0</v>
      </c>
    </row>
    <row r="10525" spans="1:15" x14ac:dyDescent="0.35">
      <c r="A10525" t="s">
        <v>11271</v>
      </c>
      <c r="B10525" t="s">
        <v>11272</v>
      </c>
      <c r="C10525" t="s">
        <v>11188</v>
      </c>
      <c r="D10525" t="s">
        <v>339</v>
      </c>
      <c r="E10525" t="s">
        <v>306</v>
      </c>
      <c r="F10525" t="s">
        <v>11308</v>
      </c>
      <c r="G10525">
        <v>105</v>
      </c>
      <c r="H10525">
        <v>12489.79</v>
      </c>
      <c r="I10525">
        <v>118.95</v>
      </c>
      <c r="J10525">
        <v>97</v>
      </c>
      <c r="K10525">
        <v>8829.91</v>
      </c>
      <c r="L10525">
        <v>91.03</v>
      </c>
      <c r="M10525">
        <v>202</v>
      </c>
      <c r="N10525">
        <v>21319.7</v>
      </c>
      <c r="O10525">
        <v>105.54</v>
      </c>
    </row>
    <row r="10526" spans="1:15" x14ac:dyDescent="0.35">
      <c r="A10526" t="s">
        <v>11271</v>
      </c>
      <c r="B10526" t="s">
        <v>11272</v>
      </c>
      <c r="C10526" t="s">
        <v>11188</v>
      </c>
      <c r="D10526" t="s">
        <v>339</v>
      </c>
      <c r="E10526" t="s">
        <v>308</v>
      </c>
      <c r="F10526" t="s">
        <v>11309</v>
      </c>
      <c r="G10526">
        <v>131</v>
      </c>
      <c r="H10526">
        <v>16605.079999999998</v>
      </c>
      <c r="I10526">
        <v>126.76</v>
      </c>
      <c r="J10526">
        <v>0</v>
      </c>
      <c r="K10526">
        <v>0</v>
      </c>
      <c r="L10526">
        <v>0</v>
      </c>
      <c r="M10526">
        <v>131</v>
      </c>
      <c r="N10526">
        <v>16605.079999999998</v>
      </c>
      <c r="O10526">
        <v>126.76</v>
      </c>
    </row>
    <row r="10527" spans="1:15" x14ac:dyDescent="0.35">
      <c r="A10527" t="s">
        <v>11271</v>
      </c>
      <c r="B10527" t="s">
        <v>11272</v>
      </c>
      <c r="C10527" t="s">
        <v>11188</v>
      </c>
      <c r="D10527" t="s">
        <v>339</v>
      </c>
      <c r="E10527" t="s">
        <v>310</v>
      </c>
      <c r="F10527" t="s">
        <v>11310</v>
      </c>
      <c r="G10527">
        <v>965</v>
      </c>
      <c r="H10527">
        <v>137578.93999999997</v>
      </c>
      <c r="I10527">
        <v>142.57</v>
      </c>
      <c r="J10527">
        <v>647</v>
      </c>
      <c r="K10527">
        <v>69127.62</v>
      </c>
      <c r="L10527">
        <v>106.84</v>
      </c>
      <c r="M10527">
        <v>1612</v>
      </c>
      <c r="N10527">
        <v>206706.55999999997</v>
      </c>
      <c r="O10527">
        <v>128.22999999999999</v>
      </c>
    </row>
    <row r="10528" spans="1:15" x14ac:dyDescent="0.35">
      <c r="A10528" t="s">
        <v>11271</v>
      </c>
      <c r="B10528" t="s">
        <v>11272</v>
      </c>
      <c r="C10528" t="s">
        <v>11188</v>
      </c>
      <c r="D10528" t="s">
        <v>339</v>
      </c>
      <c r="E10528" t="s">
        <v>312</v>
      </c>
      <c r="F10528" t="s">
        <v>11311</v>
      </c>
      <c r="G10528">
        <v>834</v>
      </c>
      <c r="H10528">
        <v>120973.85999999999</v>
      </c>
      <c r="I10528">
        <v>145.05000000000001</v>
      </c>
      <c r="J10528">
        <v>647</v>
      </c>
      <c r="K10528">
        <v>69127.62</v>
      </c>
      <c r="L10528">
        <v>106.84</v>
      </c>
      <c r="M10528">
        <v>1481</v>
      </c>
      <c r="N10528">
        <v>190101.47999999998</v>
      </c>
      <c r="O10528">
        <v>128.36000000000001</v>
      </c>
    </row>
    <row r="10529" spans="1:15" x14ac:dyDescent="0.35">
      <c r="A10529" t="s">
        <v>11271</v>
      </c>
      <c r="B10529" t="s">
        <v>11272</v>
      </c>
      <c r="C10529" t="s">
        <v>11188</v>
      </c>
      <c r="D10529" t="s">
        <v>348</v>
      </c>
      <c r="E10529" t="s">
        <v>349</v>
      </c>
      <c r="F10529" t="s">
        <v>11312</v>
      </c>
      <c r="G10529">
        <v>1898</v>
      </c>
      <c r="H10529">
        <v>150347.80999999997</v>
      </c>
      <c r="I10529">
        <v>148.57</v>
      </c>
      <c r="J10529">
        <v>751</v>
      </c>
      <c r="K10529">
        <v>89691.459999999992</v>
      </c>
      <c r="L10529">
        <v>119.43</v>
      </c>
      <c r="M10529">
        <v>2649</v>
      </c>
      <c r="N10529">
        <v>240039.26999999996</v>
      </c>
      <c r="O10529">
        <v>136.15</v>
      </c>
    </row>
    <row r="10530" spans="1:15" x14ac:dyDescent="0.35">
      <c r="A10530" t="s">
        <v>11313</v>
      </c>
      <c r="B10530" t="s">
        <v>11314</v>
      </c>
      <c r="C10530" t="s">
        <v>11188</v>
      </c>
      <c r="D10530" t="s">
        <v>293</v>
      </c>
      <c r="E10530" t="s">
        <v>294</v>
      </c>
      <c r="F10530" t="s">
        <v>11315</v>
      </c>
      <c r="G10530">
        <v>557</v>
      </c>
      <c r="H10530">
        <v>102005.15000000001</v>
      </c>
      <c r="I10530">
        <v>183.13</v>
      </c>
      <c r="J10530">
        <v>0</v>
      </c>
      <c r="K10530">
        <v>0</v>
      </c>
      <c r="L10530">
        <v>0</v>
      </c>
      <c r="M10530">
        <v>557</v>
      </c>
      <c r="N10530">
        <v>102005.15000000001</v>
      </c>
      <c r="O10530">
        <v>183.13</v>
      </c>
    </row>
    <row r="10531" spans="1:15" x14ac:dyDescent="0.35">
      <c r="A10531" t="s">
        <v>11313</v>
      </c>
      <c r="B10531" t="s">
        <v>11314</v>
      </c>
      <c r="C10531" t="s">
        <v>11188</v>
      </c>
      <c r="D10531" t="s">
        <v>293</v>
      </c>
      <c r="E10531" t="s">
        <v>296</v>
      </c>
      <c r="F10531" t="s">
        <v>11316</v>
      </c>
      <c r="G10531">
        <v>887</v>
      </c>
      <c r="H10531">
        <v>188147.47</v>
      </c>
      <c r="I10531">
        <v>212.12</v>
      </c>
      <c r="J10531">
        <v>0</v>
      </c>
      <c r="K10531">
        <v>0</v>
      </c>
      <c r="L10531">
        <v>0</v>
      </c>
      <c r="M10531">
        <v>887</v>
      </c>
      <c r="N10531">
        <v>188147.47</v>
      </c>
      <c r="O10531">
        <v>212.12</v>
      </c>
    </row>
    <row r="10532" spans="1:15" x14ac:dyDescent="0.35">
      <c r="A10532" t="s">
        <v>11313</v>
      </c>
      <c r="B10532" t="s">
        <v>11314</v>
      </c>
      <c r="C10532" t="s">
        <v>11188</v>
      </c>
      <c r="D10532" t="s">
        <v>293</v>
      </c>
      <c r="E10532" t="s">
        <v>298</v>
      </c>
      <c r="F10532" t="s">
        <v>11317</v>
      </c>
      <c r="G10532">
        <v>461</v>
      </c>
      <c r="H10532">
        <v>108325.52999999998</v>
      </c>
      <c r="I10532">
        <v>234.98</v>
      </c>
      <c r="J10532">
        <v>0</v>
      </c>
      <c r="K10532">
        <v>0</v>
      </c>
      <c r="L10532">
        <v>0</v>
      </c>
      <c r="M10532">
        <v>461</v>
      </c>
      <c r="N10532">
        <v>108325.52999999998</v>
      </c>
      <c r="O10532">
        <v>234.98</v>
      </c>
    </row>
    <row r="10533" spans="1:15" x14ac:dyDescent="0.35">
      <c r="A10533" t="s">
        <v>11313</v>
      </c>
      <c r="B10533" t="s">
        <v>11314</v>
      </c>
      <c r="C10533" t="s">
        <v>11188</v>
      </c>
      <c r="D10533" t="s">
        <v>293</v>
      </c>
      <c r="E10533" t="s">
        <v>300</v>
      </c>
      <c r="F10533" t="s">
        <v>11318</v>
      </c>
      <c r="G10533">
        <v>66</v>
      </c>
      <c r="H10533">
        <v>17079.510000000002</v>
      </c>
      <c r="I10533">
        <v>258.77999999999997</v>
      </c>
      <c r="J10533">
        <v>0</v>
      </c>
      <c r="K10533">
        <v>0</v>
      </c>
      <c r="L10533">
        <v>0</v>
      </c>
      <c r="M10533">
        <v>66</v>
      </c>
      <c r="N10533">
        <v>17079.510000000002</v>
      </c>
      <c r="O10533">
        <v>258.77999999999997</v>
      </c>
    </row>
    <row r="10534" spans="1:15" x14ac:dyDescent="0.35">
      <c r="A10534" t="s">
        <v>11313</v>
      </c>
      <c r="B10534" t="s">
        <v>11314</v>
      </c>
      <c r="C10534" t="s">
        <v>11188</v>
      </c>
      <c r="D10534" t="s">
        <v>293</v>
      </c>
      <c r="E10534" t="s">
        <v>302</v>
      </c>
      <c r="F10534" t="s">
        <v>11319</v>
      </c>
      <c r="G10534">
        <v>1</v>
      </c>
      <c r="H10534">
        <v>229.15</v>
      </c>
      <c r="I10534">
        <v>229.15</v>
      </c>
      <c r="J10534">
        <v>0</v>
      </c>
      <c r="K10534">
        <v>0</v>
      </c>
      <c r="L10534">
        <v>0</v>
      </c>
      <c r="M10534">
        <v>1</v>
      </c>
      <c r="N10534">
        <v>229.15</v>
      </c>
      <c r="O10534">
        <v>229.15</v>
      </c>
    </row>
    <row r="10535" spans="1:15" x14ac:dyDescent="0.35">
      <c r="A10535" t="s">
        <v>11313</v>
      </c>
      <c r="B10535" t="s">
        <v>11314</v>
      </c>
      <c r="C10535" t="s">
        <v>11188</v>
      </c>
      <c r="D10535" t="s">
        <v>293</v>
      </c>
      <c r="E10535" t="s">
        <v>304</v>
      </c>
      <c r="F10535" t="s">
        <v>11320</v>
      </c>
      <c r="G10535">
        <v>2</v>
      </c>
      <c r="H10535">
        <v>443</v>
      </c>
      <c r="I10535">
        <v>221.5</v>
      </c>
      <c r="J10535">
        <v>0</v>
      </c>
      <c r="K10535">
        <v>0</v>
      </c>
      <c r="L10535">
        <v>0</v>
      </c>
      <c r="M10535">
        <v>2</v>
      </c>
      <c r="N10535">
        <v>443</v>
      </c>
      <c r="O10535">
        <v>221.5</v>
      </c>
    </row>
    <row r="10536" spans="1:15" x14ac:dyDescent="0.35">
      <c r="A10536" t="s">
        <v>11313</v>
      </c>
      <c r="B10536" t="s">
        <v>11314</v>
      </c>
      <c r="C10536" t="s">
        <v>11188</v>
      </c>
      <c r="D10536" t="s">
        <v>293</v>
      </c>
      <c r="E10536" t="s">
        <v>306</v>
      </c>
      <c r="F10536" t="s">
        <v>11321</v>
      </c>
      <c r="G10536">
        <v>17</v>
      </c>
      <c r="H10536">
        <v>1975.89</v>
      </c>
      <c r="I10536">
        <v>116.23</v>
      </c>
      <c r="J10536">
        <v>0</v>
      </c>
      <c r="K10536">
        <v>0</v>
      </c>
      <c r="L10536">
        <v>0</v>
      </c>
      <c r="M10536">
        <v>17</v>
      </c>
      <c r="N10536">
        <v>1975.89</v>
      </c>
      <c r="O10536">
        <v>116.23</v>
      </c>
    </row>
    <row r="10537" spans="1:15" x14ac:dyDescent="0.35">
      <c r="A10537" t="s">
        <v>11313</v>
      </c>
      <c r="B10537" t="s">
        <v>11314</v>
      </c>
      <c r="C10537" t="s">
        <v>11188</v>
      </c>
      <c r="D10537" t="s">
        <v>293</v>
      </c>
      <c r="E10537" t="s">
        <v>308</v>
      </c>
      <c r="F10537" t="s">
        <v>11322</v>
      </c>
      <c r="G10537">
        <v>0</v>
      </c>
      <c r="H10537">
        <v>0</v>
      </c>
      <c r="I10537">
        <v>0</v>
      </c>
      <c r="J10537">
        <v>0</v>
      </c>
      <c r="K10537">
        <v>0</v>
      </c>
      <c r="L10537">
        <v>0</v>
      </c>
      <c r="M10537">
        <v>0</v>
      </c>
      <c r="N10537">
        <v>0</v>
      </c>
      <c r="O10537">
        <v>0</v>
      </c>
    </row>
    <row r="10538" spans="1:15" x14ac:dyDescent="0.35">
      <c r="A10538" t="s">
        <v>11313</v>
      </c>
      <c r="B10538" t="s">
        <v>11314</v>
      </c>
      <c r="C10538" t="s">
        <v>11188</v>
      </c>
      <c r="D10538" t="s">
        <v>293</v>
      </c>
      <c r="E10538" t="s">
        <v>310</v>
      </c>
      <c r="F10538" t="s">
        <v>11323</v>
      </c>
      <c r="G10538">
        <v>1991</v>
      </c>
      <c r="H10538">
        <v>418205.7</v>
      </c>
      <c r="I10538">
        <v>210.05</v>
      </c>
      <c r="J10538">
        <v>0</v>
      </c>
      <c r="K10538">
        <v>0</v>
      </c>
      <c r="L10538">
        <v>0</v>
      </c>
      <c r="M10538">
        <v>1991</v>
      </c>
      <c r="N10538">
        <v>418205.7</v>
      </c>
      <c r="O10538">
        <v>210.05</v>
      </c>
    </row>
    <row r="10539" spans="1:15" x14ac:dyDescent="0.35">
      <c r="A10539" t="s">
        <v>11313</v>
      </c>
      <c r="B10539" t="s">
        <v>11314</v>
      </c>
      <c r="C10539" t="s">
        <v>11188</v>
      </c>
      <c r="D10539" t="s">
        <v>293</v>
      </c>
      <c r="E10539" t="s">
        <v>312</v>
      </c>
      <c r="F10539" t="s">
        <v>11324</v>
      </c>
      <c r="G10539">
        <v>1991</v>
      </c>
      <c r="H10539">
        <v>418205.7</v>
      </c>
      <c r="I10539">
        <v>210.05</v>
      </c>
      <c r="J10539">
        <v>0</v>
      </c>
      <c r="K10539">
        <v>0</v>
      </c>
      <c r="L10539">
        <v>0</v>
      </c>
      <c r="M10539">
        <v>1991</v>
      </c>
      <c r="N10539">
        <v>418205.7</v>
      </c>
      <c r="O10539">
        <v>210.05</v>
      </c>
    </row>
    <row r="10540" spans="1:15" x14ac:dyDescent="0.35">
      <c r="A10540" t="s">
        <v>11313</v>
      </c>
      <c r="B10540" t="s">
        <v>11314</v>
      </c>
      <c r="C10540" t="s">
        <v>11188</v>
      </c>
      <c r="D10540" t="s">
        <v>314</v>
      </c>
      <c r="E10540" t="s">
        <v>294</v>
      </c>
      <c r="F10540" t="s">
        <v>11325</v>
      </c>
      <c r="G10540">
        <v>0</v>
      </c>
      <c r="H10540">
        <v>0</v>
      </c>
      <c r="I10540">
        <v>0</v>
      </c>
      <c r="J10540">
        <v>0</v>
      </c>
      <c r="K10540">
        <v>0</v>
      </c>
      <c r="L10540">
        <v>0</v>
      </c>
      <c r="M10540">
        <v>0</v>
      </c>
      <c r="N10540">
        <v>0</v>
      </c>
      <c r="O10540">
        <v>0</v>
      </c>
    </row>
    <row r="10541" spans="1:15" x14ac:dyDescent="0.35">
      <c r="A10541" t="s">
        <v>11313</v>
      </c>
      <c r="B10541" t="s">
        <v>11314</v>
      </c>
      <c r="C10541" t="s">
        <v>11188</v>
      </c>
      <c r="D10541" t="s">
        <v>314</v>
      </c>
      <c r="E10541" t="s">
        <v>296</v>
      </c>
      <c r="F10541" t="s">
        <v>11326</v>
      </c>
      <c r="G10541">
        <v>0</v>
      </c>
      <c r="H10541">
        <v>0</v>
      </c>
      <c r="I10541">
        <v>0</v>
      </c>
      <c r="J10541">
        <v>0</v>
      </c>
      <c r="K10541">
        <v>0</v>
      </c>
      <c r="L10541">
        <v>0</v>
      </c>
      <c r="M10541">
        <v>0</v>
      </c>
      <c r="N10541">
        <v>0</v>
      </c>
      <c r="O10541">
        <v>0</v>
      </c>
    </row>
    <row r="10542" spans="1:15" x14ac:dyDescent="0.35">
      <c r="A10542" t="s">
        <v>11313</v>
      </c>
      <c r="B10542" t="s">
        <v>11314</v>
      </c>
      <c r="C10542" t="s">
        <v>11188</v>
      </c>
      <c r="D10542" t="s">
        <v>314</v>
      </c>
      <c r="E10542" t="s">
        <v>298</v>
      </c>
      <c r="F10542" t="s">
        <v>11327</v>
      </c>
      <c r="G10542">
        <v>0</v>
      </c>
      <c r="H10542">
        <v>0</v>
      </c>
      <c r="I10542">
        <v>0</v>
      </c>
      <c r="J10542">
        <v>0</v>
      </c>
      <c r="K10542">
        <v>0</v>
      </c>
      <c r="L10542">
        <v>0</v>
      </c>
      <c r="M10542">
        <v>0</v>
      </c>
      <c r="N10542">
        <v>0</v>
      </c>
      <c r="O10542">
        <v>0</v>
      </c>
    </row>
    <row r="10543" spans="1:15" x14ac:dyDescent="0.35">
      <c r="A10543" t="s">
        <v>11313</v>
      </c>
      <c r="B10543" t="s">
        <v>11314</v>
      </c>
      <c r="C10543" t="s">
        <v>11188</v>
      </c>
      <c r="D10543" t="s">
        <v>314</v>
      </c>
      <c r="E10543" t="s">
        <v>300</v>
      </c>
      <c r="F10543" t="s">
        <v>11328</v>
      </c>
      <c r="G10543">
        <v>0</v>
      </c>
      <c r="H10543">
        <v>0</v>
      </c>
      <c r="I10543">
        <v>0</v>
      </c>
      <c r="J10543">
        <v>0</v>
      </c>
      <c r="K10543">
        <v>0</v>
      </c>
      <c r="L10543">
        <v>0</v>
      </c>
      <c r="M10543">
        <v>0</v>
      </c>
      <c r="N10543">
        <v>0</v>
      </c>
      <c r="O10543">
        <v>0</v>
      </c>
    </row>
    <row r="10544" spans="1:15" x14ac:dyDescent="0.35">
      <c r="A10544" t="s">
        <v>11313</v>
      </c>
      <c r="B10544" t="s">
        <v>11314</v>
      </c>
      <c r="C10544" t="s">
        <v>11188</v>
      </c>
      <c r="D10544" t="s">
        <v>314</v>
      </c>
      <c r="E10544" t="s">
        <v>306</v>
      </c>
      <c r="F10544" t="s">
        <v>11329</v>
      </c>
      <c r="G10544">
        <v>0</v>
      </c>
      <c r="H10544">
        <v>0</v>
      </c>
      <c r="I10544">
        <v>0</v>
      </c>
      <c r="J10544">
        <v>0</v>
      </c>
      <c r="K10544">
        <v>0</v>
      </c>
      <c r="L10544">
        <v>0</v>
      </c>
      <c r="M10544">
        <v>0</v>
      </c>
      <c r="N10544">
        <v>0</v>
      </c>
      <c r="O10544">
        <v>0</v>
      </c>
    </row>
    <row r="10545" spans="1:15" x14ac:dyDescent="0.35">
      <c r="A10545" t="s">
        <v>11313</v>
      </c>
      <c r="B10545" t="s">
        <v>11314</v>
      </c>
      <c r="C10545" t="s">
        <v>11188</v>
      </c>
      <c r="D10545" t="s">
        <v>314</v>
      </c>
      <c r="E10545" t="s">
        <v>308</v>
      </c>
      <c r="F10545" t="s">
        <v>11330</v>
      </c>
      <c r="G10545">
        <v>0</v>
      </c>
      <c r="H10545">
        <v>0</v>
      </c>
      <c r="I10545">
        <v>0</v>
      </c>
      <c r="J10545">
        <v>0</v>
      </c>
      <c r="K10545">
        <v>0</v>
      </c>
      <c r="L10545">
        <v>0</v>
      </c>
      <c r="M10545">
        <v>0</v>
      </c>
      <c r="N10545">
        <v>0</v>
      </c>
      <c r="O10545">
        <v>0</v>
      </c>
    </row>
    <row r="10546" spans="1:15" x14ac:dyDescent="0.35">
      <c r="A10546" t="s">
        <v>11313</v>
      </c>
      <c r="B10546" t="s">
        <v>11314</v>
      </c>
      <c r="C10546" t="s">
        <v>11188</v>
      </c>
      <c r="D10546" t="s">
        <v>314</v>
      </c>
      <c r="E10546" t="s">
        <v>312</v>
      </c>
      <c r="F10546" t="s">
        <v>11331</v>
      </c>
      <c r="G10546">
        <v>0</v>
      </c>
      <c r="H10546">
        <v>0</v>
      </c>
      <c r="I10546">
        <v>0</v>
      </c>
      <c r="J10546">
        <v>0</v>
      </c>
      <c r="K10546">
        <v>0</v>
      </c>
      <c r="L10546">
        <v>0</v>
      </c>
      <c r="M10546">
        <v>0</v>
      </c>
      <c r="N10546">
        <v>0</v>
      </c>
      <c r="O10546">
        <v>0</v>
      </c>
    </row>
    <row r="10547" spans="1:15" x14ac:dyDescent="0.35">
      <c r="A10547" t="s">
        <v>11313</v>
      </c>
      <c r="B10547" t="s">
        <v>11314</v>
      </c>
      <c r="C10547" t="s">
        <v>11188</v>
      </c>
      <c r="D10547" t="s">
        <v>314</v>
      </c>
      <c r="E10547" t="s">
        <v>310</v>
      </c>
      <c r="F10547" t="s">
        <v>11332</v>
      </c>
      <c r="G10547">
        <v>0</v>
      </c>
      <c r="H10547">
        <v>0</v>
      </c>
      <c r="I10547">
        <v>0</v>
      </c>
      <c r="J10547">
        <v>0</v>
      </c>
      <c r="K10547">
        <v>0</v>
      </c>
      <c r="L10547">
        <v>0</v>
      </c>
      <c r="M10547">
        <v>0</v>
      </c>
      <c r="N10547">
        <v>0</v>
      </c>
      <c r="O10547">
        <v>0</v>
      </c>
    </row>
    <row r="10548" spans="1:15" x14ac:dyDescent="0.35">
      <c r="A10548" t="s">
        <v>11313</v>
      </c>
      <c r="B10548" t="s">
        <v>11314</v>
      </c>
      <c r="C10548" t="s">
        <v>11188</v>
      </c>
      <c r="D10548" t="s">
        <v>323</v>
      </c>
      <c r="E10548" t="s">
        <v>294</v>
      </c>
      <c r="F10548" t="s">
        <v>11333</v>
      </c>
      <c r="G10548">
        <v>2286</v>
      </c>
      <c r="H10548">
        <v>253269.61000000002</v>
      </c>
      <c r="I10548">
        <v>110.79</v>
      </c>
      <c r="J10548">
        <v>0</v>
      </c>
      <c r="K10548">
        <v>0</v>
      </c>
      <c r="L10548">
        <v>0</v>
      </c>
      <c r="M10548">
        <v>2286</v>
      </c>
      <c r="N10548">
        <v>253269.61000000002</v>
      </c>
      <c r="O10548">
        <v>110.79</v>
      </c>
    </row>
    <row r="10549" spans="1:15" x14ac:dyDescent="0.35">
      <c r="A10549" t="s">
        <v>11313</v>
      </c>
      <c r="B10549" t="s">
        <v>11314</v>
      </c>
      <c r="C10549" t="s">
        <v>11188</v>
      </c>
      <c r="D10549" t="s">
        <v>323</v>
      </c>
      <c r="E10549" t="s">
        <v>296</v>
      </c>
      <c r="F10549" t="s">
        <v>11334</v>
      </c>
      <c r="G10549">
        <v>3012</v>
      </c>
      <c r="H10549">
        <v>391044.08999999997</v>
      </c>
      <c r="I10549">
        <v>129.83000000000001</v>
      </c>
      <c r="J10549">
        <v>0</v>
      </c>
      <c r="K10549">
        <v>0</v>
      </c>
      <c r="L10549">
        <v>0</v>
      </c>
      <c r="M10549">
        <v>3012</v>
      </c>
      <c r="N10549">
        <v>391044.08999999997</v>
      </c>
      <c r="O10549">
        <v>129.83000000000001</v>
      </c>
    </row>
    <row r="10550" spans="1:15" x14ac:dyDescent="0.35">
      <c r="A10550" t="s">
        <v>11313</v>
      </c>
      <c r="B10550" t="s">
        <v>11314</v>
      </c>
      <c r="C10550" t="s">
        <v>11188</v>
      </c>
      <c r="D10550" t="s">
        <v>323</v>
      </c>
      <c r="E10550" t="s">
        <v>298</v>
      </c>
      <c r="F10550" t="s">
        <v>11335</v>
      </c>
      <c r="G10550">
        <v>3619</v>
      </c>
      <c r="H10550">
        <v>565596.5</v>
      </c>
      <c r="I10550">
        <v>156.29</v>
      </c>
      <c r="J10550">
        <v>3</v>
      </c>
      <c r="K10550">
        <v>477.29999999999995</v>
      </c>
      <c r="L10550">
        <v>159.1</v>
      </c>
      <c r="M10550">
        <v>3622</v>
      </c>
      <c r="N10550">
        <v>566073.80000000005</v>
      </c>
      <c r="O10550">
        <v>156.29</v>
      </c>
    </row>
    <row r="10551" spans="1:15" x14ac:dyDescent="0.35">
      <c r="A10551" t="s">
        <v>11313</v>
      </c>
      <c r="B10551" t="s">
        <v>11314</v>
      </c>
      <c r="C10551" t="s">
        <v>11188</v>
      </c>
      <c r="D10551" t="s">
        <v>323</v>
      </c>
      <c r="E10551" t="s">
        <v>300</v>
      </c>
      <c r="F10551" t="s">
        <v>11336</v>
      </c>
      <c r="G10551">
        <v>580</v>
      </c>
      <c r="H10551">
        <v>93996.330000000016</v>
      </c>
      <c r="I10551">
        <v>162.06</v>
      </c>
      <c r="J10551">
        <v>0</v>
      </c>
      <c r="K10551">
        <v>0</v>
      </c>
      <c r="L10551">
        <v>0</v>
      </c>
      <c r="M10551">
        <v>580</v>
      </c>
      <c r="N10551">
        <v>93996.330000000016</v>
      </c>
      <c r="O10551">
        <v>162.06</v>
      </c>
    </row>
    <row r="10552" spans="1:15" x14ac:dyDescent="0.35">
      <c r="A10552" t="s">
        <v>11313</v>
      </c>
      <c r="B10552" t="s">
        <v>11314</v>
      </c>
      <c r="C10552" t="s">
        <v>11188</v>
      </c>
      <c r="D10552" t="s">
        <v>323</v>
      </c>
      <c r="E10552" t="s">
        <v>302</v>
      </c>
      <c r="F10552" t="s">
        <v>11337</v>
      </c>
      <c r="G10552">
        <v>13</v>
      </c>
      <c r="H10552">
        <v>2332.46</v>
      </c>
      <c r="I10552">
        <v>179.42</v>
      </c>
      <c r="J10552">
        <v>0</v>
      </c>
      <c r="K10552">
        <v>0</v>
      </c>
      <c r="L10552">
        <v>0</v>
      </c>
      <c r="M10552">
        <v>13</v>
      </c>
      <c r="N10552">
        <v>2332.46</v>
      </c>
      <c r="O10552">
        <v>179.42</v>
      </c>
    </row>
    <row r="10553" spans="1:15" x14ac:dyDescent="0.35">
      <c r="A10553" t="s">
        <v>11313</v>
      </c>
      <c r="B10553" t="s">
        <v>11314</v>
      </c>
      <c r="C10553" t="s">
        <v>11188</v>
      </c>
      <c r="D10553" t="s">
        <v>323</v>
      </c>
      <c r="E10553" t="s">
        <v>304</v>
      </c>
      <c r="F10553" t="s">
        <v>11338</v>
      </c>
      <c r="G10553">
        <v>1</v>
      </c>
      <c r="H10553">
        <v>181.21</v>
      </c>
      <c r="I10553">
        <v>181.21</v>
      </c>
      <c r="J10553">
        <v>0</v>
      </c>
      <c r="K10553">
        <v>0</v>
      </c>
      <c r="L10553">
        <v>0</v>
      </c>
      <c r="M10553">
        <v>1</v>
      </c>
      <c r="N10553">
        <v>181.21</v>
      </c>
      <c r="O10553">
        <v>181.21</v>
      </c>
    </row>
    <row r="10554" spans="1:15" x14ac:dyDescent="0.35">
      <c r="A10554" t="s">
        <v>11313</v>
      </c>
      <c r="B10554" t="s">
        <v>11314</v>
      </c>
      <c r="C10554" t="s">
        <v>11188</v>
      </c>
      <c r="D10554" t="s">
        <v>323</v>
      </c>
      <c r="E10554" t="s">
        <v>306</v>
      </c>
      <c r="F10554" t="s">
        <v>11339</v>
      </c>
      <c r="G10554">
        <v>140</v>
      </c>
      <c r="H10554">
        <v>12500.820000000002</v>
      </c>
      <c r="I10554">
        <v>89.29</v>
      </c>
      <c r="J10554">
        <v>0</v>
      </c>
      <c r="K10554">
        <v>0</v>
      </c>
      <c r="L10554">
        <v>0</v>
      </c>
      <c r="M10554">
        <v>140</v>
      </c>
      <c r="N10554">
        <v>12500.820000000002</v>
      </c>
      <c r="O10554">
        <v>89.29</v>
      </c>
    </row>
    <row r="10555" spans="1:15" x14ac:dyDescent="0.35">
      <c r="A10555" t="s">
        <v>11313</v>
      </c>
      <c r="B10555" t="s">
        <v>11314</v>
      </c>
      <c r="C10555" t="s">
        <v>11188</v>
      </c>
      <c r="D10555" t="s">
        <v>323</v>
      </c>
      <c r="E10555" t="s">
        <v>308</v>
      </c>
      <c r="F10555" t="s">
        <v>11340</v>
      </c>
      <c r="G10555">
        <v>2</v>
      </c>
      <c r="H10555">
        <v>209.76</v>
      </c>
      <c r="I10555">
        <v>104.88</v>
      </c>
      <c r="J10555">
        <v>0</v>
      </c>
      <c r="K10555">
        <v>0</v>
      </c>
      <c r="L10555">
        <v>0</v>
      </c>
      <c r="M10555">
        <v>2</v>
      </c>
      <c r="N10555">
        <v>209.76</v>
      </c>
      <c r="O10555">
        <v>104.88</v>
      </c>
    </row>
    <row r="10556" spans="1:15" x14ac:dyDescent="0.35">
      <c r="A10556" t="s">
        <v>11313</v>
      </c>
      <c r="B10556" t="s">
        <v>11314</v>
      </c>
      <c r="C10556" t="s">
        <v>11188</v>
      </c>
      <c r="D10556" t="s">
        <v>323</v>
      </c>
      <c r="E10556" t="s">
        <v>310</v>
      </c>
      <c r="F10556" t="s">
        <v>11341</v>
      </c>
      <c r="G10556">
        <v>9653</v>
      </c>
      <c r="H10556">
        <v>1319130.78</v>
      </c>
      <c r="I10556">
        <v>136.66</v>
      </c>
      <c r="J10556">
        <v>3</v>
      </c>
      <c r="K10556">
        <v>477.29999999999995</v>
      </c>
      <c r="L10556">
        <v>159.1</v>
      </c>
      <c r="M10556">
        <v>9656</v>
      </c>
      <c r="N10556">
        <v>1319608.08</v>
      </c>
      <c r="O10556">
        <v>136.66</v>
      </c>
    </row>
    <row r="10557" spans="1:15" x14ac:dyDescent="0.35">
      <c r="A10557" t="s">
        <v>11313</v>
      </c>
      <c r="B10557" t="s">
        <v>11314</v>
      </c>
      <c r="C10557" t="s">
        <v>11188</v>
      </c>
      <c r="D10557" t="s">
        <v>323</v>
      </c>
      <c r="E10557" t="s">
        <v>312</v>
      </c>
      <c r="F10557" t="s">
        <v>11342</v>
      </c>
      <c r="G10557">
        <v>9651</v>
      </c>
      <c r="H10557">
        <v>1318921.02</v>
      </c>
      <c r="I10557">
        <v>136.66</v>
      </c>
      <c r="J10557">
        <v>3</v>
      </c>
      <c r="K10557">
        <v>477.29999999999995</v>
      </c>
      <c r="L10557">
        <v>159.1</v>
      </c>
      <c r="M10557">
        <v>9654</v>
      </c>
      <c r="N10557">
        <v>1319398.32</v>
      </c>
      <c r="O10557">
        <v>136.66999999999999</v>
      </c>
    </row>
    <row r="10558" spans="1:15" x14ac:dyDescent="0.35">
      <c r="A10558" t="s">
        <v>11313</v>
      </c>
      <c r="B10558" t="s">
        <v>11314</v>
      </c>
      <c r="C10558" t="s">
        <v>11188</v>
      </c>
      <c r="D10558" t="s">
        <v>334</v>
      </c>
      <c r="E10558" t="s">
        <v>312</v>
      </c>
      <c r="F10558" t="s">
        <v>11343</v>
      </c>
      <c r="G10558">
        <v>12499</v>
      </c>
      <c r="H10558">
        <v>1737126.72</v>
      </c>
      <c r="I10558">
        <v>149.21</v>
      </c>
      <c r="J10558">
        <v>3</v>
      </c>
      <c r="K10558">
        <v>477.29999999999995</v>
      </c>
      <c r="L10558">
        <v>159.1</v>
      </c>
      <c r="M10558">
        <v>12502</v>
      </c>
      <c r="N10558">
        <v>1737604.02</v>
      </c>
      <c r="O10558">
        <v>149.21</v>
      </c>
    </row>
    <row r="10559" spans="1:15" x14ac:dyDescent="0.35">
      <c r="A10559" t="s">
        <v>11313</v>
      </c>
      <c r="B10559" t="s">
        <v>11314</v>
      </c>
      <c r="C10559" t="s">
        <v>11188</v>
      </c>
      <c r="D10559" t="s">
        <v>334</v>
      </c>
      <c r="E10559" t="s">
        <v>308</v>
      </c>
      <c r="F10559" t="s">
        <v>11344</v>
      </c>
      <c r="G10559">
        <v>55</v>
      </c>
      <c r="H10559">
        <v>209.76</v>
      </c>
      <c r="I10559">
        <v>104.88</v>
      </c>
      <c r="J10559">
        <v>0</v>
      </c>
      <c r="K10559">
        <v>0</v>
      </c>
      <c r="L10559">
        <v>0</v>
      </c>
      <c r="M10559">
        <v>55</v>
      </c>
      <c r="N10559">
        <v>209.76</v>
      </c>
      <c r="O10559">
        <v>104.88</v>
      </c>
    </row>
    <row r="10560" spans="1:15" x14ac:dyDescent="0.35">
      <c r="A10560" t="s">
        <v>11313</v>
      </c>
      <c r="B10560" t="s">
        <v>11314</v>
      </c>
      <c r="C10560" t="s">
        <v>11188</v>
      </c>
      <c r="D10560" t="s">
        <v>337</v>
      </c>
      <c r="E10560" t="s">
        <v>337</v>
      </c>
      <c r="F10560" t="s">
        <v>11345</v>
      </c>
      <c r="G10560">
        <v>1479</v>
      </c>
      <c r="J10560">
        <v>0</v>
      </c>
      <c r="M10560">
        <v>1479</v>
      </c>
    </row>
    <row r="10561" spans="1:15" x14ac:dyDescent="0.35">
      <c r="A10561" t="s">
        <v>11313</v>
      </c>
      <c r="B10561" t="s">
        <v>11314</v>
      </c>
      <c r="C10561" t="s">
        <v>11188</v>
      </c>
      <c r="D10561" t="s">
        <v>339</v>
      </c>
      <c r="E10561" t="s">
        <v>294</v>
      </c>
      <c r="F10561" t="s">
        <v>11346</v>
      </c>
      <c r="G10561">
        <v>1097</v>
      </c>
      <c r="H10561">
        <v>134449.22</v>
      </c>
      <c r="I10561">
        <v>122.56</v>
      </c>
      <c r="J10561">
        <v>0</v>
      </c>
      <c r="K10561">
        <v>0</v>
      </c>
      <c r="L10561">
        <v>0</v>
      </c>
      <c r="M10561">
        <v>1097</v>
      </c>
      <c r="N10561">
        <v>134449.22</v>
      </c>
      <c r="O10561">
        <v>122.56</v>
      </c>
    </row>
    <row r="10562" spans="1:15" x14ac:dyDescent="0.35">
      <c r="A10562" t="s">
        <v>11313</v>
      </c>
      <c r="B10562" t="s">
        <v>11314</v>
      </c>
      <c r="C10562" t="s">
        <v>11188</v>
      </c>
      <c r="D10562" t="s">
        <v>339</v>
      </c>
      <c r="E10562" t="s">
        <v>296</v>
      </c>
      <c r="F10562" t="s">
        <v>11347</v>
      </c>
      <c r="G10562">
        <v>25</v>
      </c>
      <c r="H10562">
        <v>3521.05</v>
      </c>
      <c r="I10562">
        <v>140.84</v>
      </c>
      <c r="J10562">
        <v>0</v>
      </c>
      <c r="K10562">
        <v>0</v>
      </c>
      <c r="L10562">
        <v>0</v>
      </c>
      <c r="M10562">
        <v>25</v>
      </c>
      <c r="N10562">
        <v>3521.05</v>
      </c>
      <c r="O10562">
        <v>140.84</v>
      </c>
    </row>
    <row r="10563" spans="1:15" x14ac:dyDescent="0.35">
      <c r="A10563" t="s">
        <v>11313</v>
      </c>
      <c r="B10563" t="s">
        <v>11314</v>
      </c>
      <c r="C10563" t="s">
        <v>11188</v>
      </c>
      <c r="D10563" t="s">
        <v>339</v>
      </c>
      <c r="E10563" t="s">
        <v>298</v>
      </c>
      <c r="F10563" t="s">
        <v>11348</v>
      </c>
      <c r="G10563">
        <v>10</v>
      </c>
      <c r="H10563">
        <v>1699.59</v>
      </c>
      <c r="I10563">
        <v>169.96</v>
      </c>
      <c r="J10563">
        <v>0</v>
      </c>
      <c r="K10563">
        <v>0</v>
      </c>
      <c r="L10563">
        <v>0</v>
      </c>
      <c r="M10563">
        <v>10</v>
      </c>
      <c r="N10563">
        <v>1699.59</v>
      </c>
      <c r="O10563">
        <v>169.96</v>
      </c>
    </row>
    <row r="10564" spans="1:15" x14ac:dyDescent="0.35">
      <c r="A10564" t="s">
        <v>11313</v>
      </c>
      <c r="B10564" t="s">
        <v>11314</v>
      </c>
      <c r="C10564" t="s">
        <v>11188</v>
      </c>
      <c r="D10564" t="s">
        <v>339</v>
      </c>
      <c r="E10564" t="s">
        <v>300</v>
      </c>
      <c r="F10564" t="s">
        <v>11349</v>
      </c>
      <c r="G10564">
        <v>0</v>
      </c>
      <c r="H10564">
        <v>0</v>
      </c>
      <c r="I10564">
        <v>0</v>
      </c>
      <c r="J10564">
        <v>0</v>
      </c>
      <c r="K10564">
        <v>0</v>
      </c>
      <c r="L10564">
        <v>0</v>
      </c>
      <c r="M10564">
        <v>0</v>
      </c>
      <c r="N10564">
        <v>0</v>
      </c>
      <c r="O10564">
        <v>0</v>
      </c>
    </row>
    <row r="10565" spans="1:15" x14ac:dyDescent="0.35">
      <c r="A10565" t="s">
        <v>11313</v>
      </c>
      <c r="B10565" t="s">
        <v>11314</v>
      </c>
      <c r="C10565" t="s">
        <v>11188</v>
      </c>
      <c r="D10565" t="s">
        <v>339</v>
      </c>
      <c r="E10565" t="s">
        <v>306</v>
      </c>
      <c r="F10565" t="s">
        <v>11350</v>
      </c>
      <c r="G10565">
        <v>130</v>
      </c>
      <c r="H10565">
        <v>14433.09</v>
      </c>
      <c r="I10565">
        <v>111.02</v>
      </c>
      <c r="J10565">
        <v>0</v>
      </c>
      <c r="K10565">
        <v>0</v>
      </c>
      <c r="L10565">
        <v>0</v>
      </c>
      <c r="M10565">
        <v>130</v>
      </c>
      <c r="N10565">
        <v>14433.09</v>
      </c>
      <c r="O10565">
        <v>111.02</v>
      </c>
    </row>
    <row r="10566" spans="1:15" x14ac:dyDescent="0.35">
      <c r="A10566" t="s">
        <v>11313</v>
      </c>
      <c r="B10566" t="s">
        <v>11314</v>
      </c>
      <c r="C10566" t="s">
        <v>11188</v>
      </c>
      <c r="D10566" t="s">
        <v>339</v>
      </c>
      <c r="E10566" t="s">
        <v>308</v>
      </c>
      <c r="F10566" t="s">
        <v>11351</v>
      </c>
      <c r="G10566">
        <v>64</v>
      </c>
      <c r="H10566">
        <v>9027.6999999999989</v>
      </c>
      <c r="I10566">
        <v>141.06</v>
      </c>
      <c r="J10566">
        <v>0</v>
      </c>
      <c r="K10566">
        <v>0</v>
      </c>
      <c r="L10566">
        <v>0</v>
      </c>
      <c r="M10566">
        <v>64</v>
      </c>
      <c r="N10566">
        <v>9027.6999999999989</v>
      </c>
      <c r="O10566">
        <v>141.06</v>
      </c>
    </row>
    <row r="10567" spans="1:15" x14ac:dyDescent="0.35">
      <c r="A10567" t="s">
        <v>11313</v>
      </c>
      <c r="B10567" t="s">
        <v>11314</v>
      </c>
      <c r="C10567" t="s">
        <v>11188</v>
      </c>
      <c r="D10567" t="s">
        <v>339</v>
      </c>
      <c r="E10567" t="s">
        <v>310</v>
      </c>
      <c r="F10567" t="s">
        <v>11352</v>
      </c>
      <c r="G10567">
        <v>1326</v>
      </c>
      <c r="H10567">
        <v>163130.65</v>
      </c>
      <c r="I10567">
        <v>123.02</v>
      </c>
      <c r="J10567">
        <v>0</v>
      </c>
      <c r="K10567">
        <v>0</v>
      </c>
      <c r="L10567">
        <v>0</v>
      </c>
      <c r="M10567">
        <v>1326</v>
      </c>
      <c r="N10567">
        <v>163130.65</v>
      </c>
      <c r="O10567">
        <v>123.02</v>
      </c>
    </row>
    <row r="10568" spans="1:15" x14ac:dyDescent="0.35">
      <c r="A10568" t="s">
        <v>11313</v>
      </c>
      <c r="B10568" t="s">
        <v>11314</v>
      </c>
      <c r="C10568" t="s">
        <v>11188</v>
      </c>
      <c r="D10568" t="s">
        <v>339</v>
      </c>
      <c r="E10568" t="s">
        <v>312</v>
      </c>
      <c r="F10568" t="s">
        <v>11353</v>
      </c>
      <c r="G10568">
        <v>1262</v>
      </c>
      <c r="H10568">
        <v>154102.94999999998</v>
      </c>
      <c r="I10568">
        <v>122.11</v>
      </c>
      <c r="J10568">
        <v>0</v>
      </c>
      <c r="K10568">
        <v>0</v>
      </c>
      <c r="L10568">
        <v>0</v>
      </c>
      <c r="M10568">
        <v>1262</v>
      </c>
      <c r="N10568">
        <v>154102.94999999998</v>
      </c>
      <c r="O10568">
        <v>122.11</v>
      </c>
    </row>
    <row r="10569" spans="1:15" x14ac:dyDescent="0.35">
      <c r="A10569" t="s">
        <v>11313</v>
      </c>
      <c r="B10569" t="s">
        <v>11314</v>
      </c>
      <c r="C10569" t="s">
        <v>11188</v>
      </c>
      <c r="D10569" t="s">
        <v>348</v>
      </c>
      <c r="E10569" t="s">
        <v>349</v>
      </c>
      <c r="F10569" t="s">
        <v>11354</v>
      </c>
      <c r="G10569">
        <v>1500</v>
      </c>
      <c r="H10569">
        <v>163130.65</v>
      </c>
      <c r="I10569">
        <v>123.02</v>
      </c>
      <c r="J10569">
        <v>0</v>
      </c>
      <c r="K10569">
        <v>0</v>
      </c>
      <c r="L10569">
        <v>0</v>
      </c>
      <c r="M10569">
        <v>1500</v>
      </c>
      <c r="N10569">
        <v>163130.65</v>
      </c>
      <c r="O10569">
        <v>123.02</v>
      </c>
    </row>
    <row r="10570" spans="1:15" x14ac:dyDescent="0.35">
      <c r="A10570" t="s">
        <v>11355</v>
      </c>
      <c r="B10570" t="s">
        <v>11356</v>
      </c>
      <c r="C10570" t="s">
        <v>11188</v>
      </c>
      <c r="D10570" t="s">
        <v>293</v>
      </c>
      <c r="E10570" t="s">
        <v>294</v>
      </c>
      <c r="F10570" t="s">
        <v>11357</v>
      </c>
      <c r="G10570">
        <v>888</v>
      </c>
      <c r="H10570">
        <v>214971.99000000002</v>
      </c>
      <c r="I10570">
        <v>242.09</v>
      </c>
      <c r="J10570">
        <v>208</v>
      </c>
      <c r="K10570">
        <v>36934.559999999998</v>
      </c>
      <c r="L10570">
        <v>177.57</v>
      </c>
      <c r="M10570">
        <v>1096</v>
      </c>
      <c r="N10570">
        <v>251906.55000000002</v>
      </c>
      <c r="O10570">
        <v>229.84</v>
      </c>
    </row>
    <row r="10571" spans="1:15" x14ac:dyDescent="0.35">
      <c r="A10571" t="s">
        <v>11355</v>
      </c>
      <c r="B10571" t="s">
        <v>11356</v>
      </c>
      <c r="C10571" t="s">
        <v>11188</v>
      </c>
      <c r="D10571" t="s">
        <v>293</v>
      </c>
      <c r="E10571" t="s">
        <v>296</v>
      </c>
      <c r="F10571" t="s">
        <v>11358</v>
      </c>
      <c r="G10571">
        <v>1177</v>
      </c>
      <c r="H10571">
        <v>341935.13999999996</v>
      </c>
      <c r="I10571">
        <v>290.51</v>
      </c>
      <c r="J10571">
        <v>271</v>
      </c>
      <c r="K10571">
        <v>58587.49</v>
      </c>
      <c r="L10571">
        <v>216.19</v>
      </c>
      <c r="M10571">
        <v>1448</v>
      </c>
      <c r="N10571">
        <v>400522.62999999995</v>
      </c>
      <c r="O10571">
        <v>276.60000000000002</v>
      </c>
    </row>
    <row r="10572" spans="1:15" x14ac:dyDescent="0.35">
      <c r="A10572" t="s">
        <v>11355</v>
      </c>
      <c r="B10572" t="s">
        <v>11356</v>
      </c>
      <c r="C10572" t="s">
        <v>11188</v>
      </c>
      <c r="D10572" t="s">
        <v>293</v>
      </c>
      <c r="E10572" t="s">
        <v>298</v>
      </c>
      <c r="F10572" t="s">
        <v>11359</v>
      </c>
      <c r="G10572">
        <v>516</v>
      </c>
      <c r="H10572">
        <v>135371.67000000001</v>
      </c>
      <c r="I10572">
        <v>262.35000000000002</v>
      </c>
      <c r="J10572">
        <v>130</v>
      </c>
      <c r="K10572">
        <v>30556.5</v>
      </c>
      <c r="L10572">
        <v>235.05</v>
      </c>
      <c r="M10572">
        <v>646</v>
      </c>
      <c r="N10572">
        <v>165928.17000000001</v>
      </c>
      <c r="O10572">
        <v>256.85000000000002</v>
      </c>
    </row>
    <row r="10573" spans="1:15" x14ac:dyDescent="0.35">
      <c r="A10573" t="s">
        <v>11355</v>
      </c>
      <c r="B10573" t="s">
        <v>11356</v>
      </c>
      <c r="C10573" t="s">
        <v>11188</v>
      </c>
      <c r="D10573" t="s">
        <v>293</v>
      </c>
      <c r="E10573" t="s">
        <v>300</v>
      </c>
      <c r="F10573" t="s">
        <v>11360</v>
      </c>
      <c r="G10573">
        <v>47</v>
      </c>
      <c r="H10573">
        <v>12766.709999999997</v>
      </c>
      <c r="I10573">
        <v>271.63</v>
      </c>
      <c r="J10573">
        <v>26</v>
      </c>
      <c r="K10573">
        <v>6630.52</v>
      </c>
      <c r="L10573">
        <v>255.02</v>
      </c>
      <c r="M10573">
        <v>73</v>
      </c>
      <c r="N10573">
        <v>19397.229999999996</v>
      </c>
      <c r="O10573">
        <v>265.72000000000003</v>
      </c>
    </row>
    <row r="10574" spans="1:15" x14ac:dyDescent="0.35">
      <c r="A10574" t="s">
        <v>11355</v>
      </c>
      <c r="B10574" t="s">
        <v>11356</v>
      </c>
      <c r="C10574" t="s">
        <v>11188</v>
      </c>
      <c r="D10574" t="s">
        <v>293</v>
      </c>
      <c r="E10574" t="s">
        <v>302</v>
      </c>
      <c r="F10574" t="s">
        <v>11361</v>
      </c>
      <c r="G10574">
        <v>0</v>
      </c>
      <c r="H10574">
        <v>0</v>
      </c>
      <c r="I10574">
        <v>0</v>
      </c>
      <c r="J10574">
        <v>1</v>
      </c>
      <c r="K10574">
        <v>482.82</v>
      </c>
      <c r="L10574">
        <v>482.82</v>
      </c>
      <c r="M10574">
        <v>1</v>
      </c>
      <c r="N10574">
        <v>482.82</v>
      </c>
      <c r="O10574">
        <v>482.82</v>
      </c>
    </row>
    <row r="10575" spans="1:15" x14ac:dyDescent="0.35">
      <c r="A10575" t="s">
        <v>11355</v>
      </c>
      <c r="B10575" t="s">
        <v>11356</v>
      </c>
      <c r="C10575" t="s">
        <v>11188</v>
      </c>
      <c r="D10575" t="s">
        <v>293</v>
      </c>
      <c r="E10575" t="s">
        <v>304</v>
      </c>
      <c r="F10575" t="s">
        <v>11362</v>
      </c>
      <c r="G10575">
        <v>2</v>
      </c>
      <c r="H10575">
        <v>534</v>
      </c>
      <c r="I10575">
        <v>267</v>
      </c>
      <c r="J10575">
        <v>0</v>
      </c>
      <c r="K10575">
        <v>0</v>
      </c>
      <c r="L10575">
        <v>0</v>
      </c>
      <c r="M10575">
        <v>2</v>
      </c>
      <c r="N10575">
        <v>534</v>
      </c>
      <c r="O10575">
        <v>267</v>
      </c>
    </row>
    <row r="10576" spans="1:15" x14ac:dyDescent="0.35">
      <c r="A10576" t="s">
        <v>11355</v>
      </c>
      <c r="B10576" t="s">
        <v>11356</v>
      </c>
      <c r="C10576" t="s">
        <v>11188</v>
      </c>
      <c r="D10576" t="s">
        <v>293</v>
      </c>
      <c r="E10576" t="s">
        <v>306</v>
      </c>
      <c r="F10576" t="s">
        <v>11363</v>
      </c>
      <c r="G10576">
        <v>0</v>
      </c>
      <c r="H10576">
        <v>0</v>
      </c>
      <c r="I10576">
        <v>0</v>
      </c>
      <c r="J10576">
        <v>0</v>
      </c>
      <c r="K10576">
        <v>0</v>
      </c>
      <c r="L10576">
        <v>0</v>
      </c>
      <c r="M10576">
        <v>0</v>
      </c>
      <c r="N10576">
        <v>0</v>
      </c>
      <c r="O10576">
        <v>0</v>
      </c>
    </row>
    <row r="10577" spans="1:15" x14ac:dyDescent="0.35">
      <c r="A10577" t="s">
        <v>11355</v>
      </c>
      <c r="B10577" t="s">
        <v>11356</v>
      </c>
      <c r="C10577" t="s">
        <v>11188</v>
      </c>
      <c r="D10577" t="s">
        <v>293</v>
      </c>
      <c r="E10577" t="s">
        <v>308</v>
      </c>
      <c r="F10577" t="s">
        <v>11364</v>
      </c>
      <c r="G10577">
        <v>4</v>
      </c>
      <c r="H10577">
        <v>411.92</v>
      </c>
      <c r="I10577">
        <v>102.98</v>
      </c>
      <c r="J10577">
        <v>0</v>
      </c>
      <c r="K10577">
        <v>0</v>
      </c>
      <c r="L10577">
        <v>0</v>
      </c>
      <c r="M10577">
        <v>4</v>
      </c>
      <c r="N10577">
        <v>411.92</v>
      </c>
      <c r="O10577">
        <v>102.98</v>
      </c>
    </row>
    <row r="10578" spans="1:15" x14ac:dyDescent="0.35">
      <c r="A10578" t="s">
        <v>11355</v>
      </c>
      <c r="B10578" t="s">
        <v>11356</v>
      </c>
      <c r="C10578" t="s">
        <v>11188</v>
      </c>
      <c r="D10578" t="s">
        <v>293</v>
      </c>
      <c r="E10578" t="s">
        <v>310</v>
      </c>
      <c r="F10578" t="s">
        <v>11365</v>
      </c>
      <c r="G10578">
        <v>2634</v>
      </c>
      <c r="H10578">
        <v>705991.43</v>
      </c>
      <c r="I10578">
        <v>268.02999999999997</v>
      </c>
      <c r="J10578">
        <v>636</v>
      </c>
      <c r="K10578">
        <v>133191.88999999998</v>
      </c>
      <c r="L10578">
        <v>209.42</v>
      </c>
      <c r="M10578">
        <v>3270</v>
      </c>
      <c r="N10578">
        <v>839183.32000000007</v>
      </c>
      <c r="O10578">
        <v>256.63</v>
      </c>
    </row>
    <row r="10579" spans="1:15" x14ac:dyDescent="0.35">
      <c r="A10579" t="s">
        <v>11355</v>
      </c>
      <c r="B10579" t="s">
        <v>11356</v>
      </c>
      <c r="C10579" t="s">
        <v>11188</v>
      </c>
      <c r="D10579" t="s">
        <v>293</v>
      </c>
      <c r="E10579" t="s">
        <v>312</v>
      </c>
      <c r="F10579" t="s">
        <v>11366</v>
      </c>
      <c r="G10579">
        <v>2630</v>
      </c>
      <c r="H10579">
        <v>705579.51</v>
      </c>
      <c r="I10579">
        <v>268.27999999999997</v>
      </c>
      <c r="J10579">
        <v>636</v>
      </c>
      <c r="K10579">
        <v>133191.88999999998</v>
      </c>
      <c r="L10579">
        <v>209.42</v>
      </c>
      <c r="M10579">
        <v>3266</v>
      </c>
      <c r="N10579">
        <v>838771.4</v>
      </c>
      <c r="O10579">
        <v>256.82</v>
      </c>
    </row>
    <row r="10580" spans="1:15" x14ac:dyDescent="0.35">
      <c r="A10580" t="s">
        <v>11355</v>
      </c>
      <c r="B10580" t="s">
        <v>11356</v>
      </c>
      <c r="C10580" t="s">
        <v>11188</v>
      </c>
      <c r="D10580" t="s">
        <v>314</v>
      </c>
      <c r="E10580" t="s">
        <v>294</v>
      </c>
      <c r="F10580" t="s">
        <v>11367</v>
      </c>
      <c r="G10580">
        <v>122</v>
      </c>
      <c r="H10580">
        <v>29978.879999999997</v>
      </c>
      <c r="I10580">
        <v>245.73</v>
      </c>
      <c r="J10580">
        <v>11</v>
      </c>
      <c r="K10580">
        <v>2667.5</v>
      </c>
      <c r="L10580">
        <v>242.5</v>
      </c>
      <c r="M10580">
        <v>133</v>
      </c>
      <c r="N10580">
        <v>32646.379999999997</v>
      </c>
      <c r="O10580">
        <v>245.46</v>
      </c>
    </row>
    <row r="10581" spans="1:15" x14ac:dyDescent="0.35">
      <c r="A10581" t="s">
        <v>11355</v>
      </c>
      <c r="B10581" t="s">
        <v>11356</v>
      </c>
      <c r="C10581" t="s">
        <v>11188</v>
      </c>
      <c r="D10581" t="s">
        <v>314</v>
      </c>
      <c r="E10581" t="s">
        <v>296</v>
      </c>
      <c r="F10581" t="s">
        <v>11368</v>
      </c>
      <c r="G10581">
        <v>17</v>
      </c>
      <c r="H10581">
        <v>3897.6200000000003</v>
      </c>
      <c r="I10581">
        <v>229.27</v>
      </c>
      <c r="J10581">
        <v>0</v>
      </c>
      <c r="K10581">
        <v>0</v>
      </c>
      <c r="L10581">
        <v>0</v>
      </c>
      <c r="M10581">
        <v>17</v>
      </c>
      <c r="N10581">
        <v>3897.6200000000003</v>
      </c>
      <c r="O10581">
        <v>229.27</v>
      </c>
    </row>
    <row r="10582" spans="1:15" x14ac:dyDescent="0.35">
      <c r="A10582" t="s">
        <v>11355</v>
      </c>
      <c r="B10582" t="s">
        <v>11356</v>
      </c>
      <c r="C10582" t="s">
        <v>11188</v>
      </c>
      <c r="D10582" t="s">
        <v>314</v>
      </c>
      <c r="E10582" t="s">
        <v>298</v>
      </c>
      <c r="F10582" t="s">
        <v>11369</v>
      </c>
      <c r="G10582">
        <v>0</v>
      </c>
      <c r="H10582">
        <v>0</v>
      </c>
      <c r="I10582">
        <v>0</v>
      </c>
      <c r="J10582">
        <v>0</v>
      </c>
      <c r="K10582">
        <v>0</v>
      </c>
      <c r="L10582">
        <v>0</v>
      </c>
      <c r="M10582">
        <v>0</v>
      </c>
      <c r="N10582">
        <v>0</v>
      </c>
      <c r="O10582">
        <v>0</v>
      </c>
    </row>
    <row r="10583" spans="1:15" x14ac:dyDescent="0.35">
      <c r="A10583" t="s">
        <v>11355</v>
      </c>
      <c r="B10583" t="s">
        <v>11356</v>
      </c>
      <c r="C10583" t="s">
        <v>11188</v>
      </c>
      <c r="D10583" t="s">
        <v>314</v>
      </c>
      <c r="E10583" t="s">
        <v>300</v>
      </c>
      <c r="F10583" t="s">
        <v>11370</v>
      </c>
      <c r="G10583">
        <v>0</v>
      </c>
      <c r="H10583">
        <v>0</v>
      </c>
      <c r="I10583">
        <v>0</v>
      </c>
      <c r="J10583">
        <v>0</v>
      </c>
      <c r="K10583">
        <v>0</v>
      </c>
      <c r="L10583">
        <v>0</v>
      </c>
      <c r="M10583">
        <v>0</v>
      </c>
      <c r="N10583">
        <v>0</v>
      </c>
      <c r="O10583">
        <v>0</v>
      </c>
    </row>
    <row r="10584" spans="1:15" x14ac:dyDescent="0.35">
      <c r="A10584" t="s">
        <v>11355</v>
      </c>
      <c r="B10584" t="s">
        <v>11356</v>
      </c>
      <c r="C10584" t="s">
        <v>11188</v>
      </c>
      <c r="D10584" t="s">
        <v>314</v>
      </c>
      <c r="E10584" t="s">
        <v>306</v>
      </c>
      <c r="F10584" t="s">
        <v>11371</v>
      </c>
      <c r="G10584">
        <v>0</v>
      </c>
      <c r="H10584">
        <v>0</v>
      </c>
      <c r="I10584">
        <v>0</v>
      </c>
      <c r="J10584">
        <v>0</v>
      </c>
      <c r="K10584">
        <v>0</v>
      </c>
      <c r="L10584">
        <v>0</v>
      </c>
      <c r="M10584">
        <v>0</v>
      </c>
      <c r="N10584">
        <v>0</v>
      </c>
      <c r="O10584">
        <v>0</v>
      </c>
    </row>
    <row r="10585" spans="1:15" x14ac:dyDescent="0.35">
      <c r="A10585" t="s">
        <v>11355</v>
      </c>
      <c r="B10585" t="s">
        <v>11356</v>
      </c>
      <c r="C10585" t="s">
        <v>11188</v>
      </c>
      <c r="D10585" t="s">
        <v>314</v>
      </c>
      <c r="E10585" t="s">
        <v>308</v>
      </c>
      <c r="F10585" t="s">
        <v>11372</v>
      </c>
      <c r="G10585">
        <v>0</v>
      </c>
      <c r="H10585">
        <v>0</v>
      </c>
      <c r="I10585">
        <v>0</v>
      </c>
      <c r="J10585">
        <v>0</v>
      </c>
      <c r="K10585">
        <v>0</v>
      </c>
      <c r="L10585">
        <v>0</v>
      </c>
      <c r="M10585">
        <v>0</v>
      </c>
      <c r="N10585">
        <v>0</v>
      </c>
      <c r="O10585">
        <v>0</v>
      </c>
    </row>
    <row r="10586" spans="1:15" x14ac:dyDescent="0.35">
      <c r="A10586" t="s">
        <v>11355</v>
      </c>
      <c r="B10586" t="s">
        <v>11356</v>
      </c>
      <c r="C10586" t="s">
        <v>11188</v>
      </c>
      <c r="D10586" t="s">
        <v>314</v>
      </c>
      <c r="E10586" t="s">
        <v>312</v>
      </c>
      <c r="F10586" t="s">
        <v>11373</v>
      </c>
      <c r="G10586">
        <v>139</v>
      </c>
      <c r="H10586">
        <v>33876.5</v>
      </c>
      <c r="I10586">
        <v>243.72</v>
      </c>
      <c r="J10586">
        <v>11</v>
      </c>
      <c r="K10586">
        <v>2667.5</v>
      </c>
      <c r="L10586">
        <v>242.5</v>
      </c>
      <c r="M10586">
        <v>150</v>
      </c>
      <c r="N10586">
        <v>36544</v>
      </c>
      <c r="O10586">
        <v>243.63</v>
      </c>
    </row>
    <row r="10587" spans="1:15" x14ac:dyDescent="0.35">
      <c r="A10587" t="s">
        <v>11355</v>
      </c>
      <c r="B10587" t="s">
        <v>11356</v>
      </c>
      <c r="C10587" t="s">
        <v>11188</v>
      </c>
      <c r="D10587" t="s">
        <v>314</v>
      </c>
      <c r="E10587" t="s">
        <v>310</v>
      </c>
      <c r="F10587" t="s">
        <v>11374</v>
      </c>
      <c r="G10587">
        <v>139</v>
      </c>
      <c r="H10587">
        <v>33876.5</v>
      </c>
      <c r="I10587">
        <v>243.72</v>
      </c>
      <c r="J10587">
        <v>11</v>
      </c>
      <c r="K10587">
        <v>2667.5</v>
      </c>
      <c r="L10587">
        <v>242.5</v>
      </c>
      <c r="M10587">
        <v>150</v>
      </c>
      <c r="N10587">
        <v>36544</v>
      </c>
      <c r="O10587">
        <v>243.63</v>
      </c>
    </row>
    <row r="10588" spans="1:15" x14ac:dyDescent="0.35">
      <c r="A10588" t="s">
        <v>11355</v>
      </c>
      <c r="B10588" t="s">
        <v>11356</v>
      </c>
      <c r="C10588" t="s">
        <v>11188</v>
      </c>
      <c r="D10588" t="s">
        <v>323</v>
      </c>
      <c r="E10588" t="s">
        <v>294</v>
      </c>
      <c r="F10588" t="s">
        <v>11375</v>
      </c>
      <c r="G10588">
        <v>2850</v>
      </c>
      <c r="H10588">
        <v>380254.06</v>
      </c>
      <c r="I10588">
        <v>133.41999999999999</v>
      </c>
      <c r="J10588">
        <v>2320</v>
      </c>
      <c r="K10588">
        <v>287424.8</v>
      </c>
      <c r="L10588">
        <v>123.89</v>
      </c>
      <c r="M10588">
        <v>5170</v>
      </c>
      <c r="N10588">
        <v>667678.86</v>
      </c>
      <c r="O10588">
        <v>129.13999999999999</v>
      </c>
    </row>
    <row r="10589" spans="1:15" x14ac:dyDescent="0.35">
      <c r="A10589" t="s">
        <v>11355</v>
      </c>
      <c r="B10589" t="s">
        <v>11356</v>
      </c>
      <c r="C10589" t="s">
        <v>11188</v>
      </c>
      <c r="D10589" t="s">
        <v>323</v>
      </c>
      <c r="E10589" t="s">
        <v>296</v>
      </c>
      <c r="F10589" t="s">
        <v>11376</v>
      </c>
      <c r="G10589">
        <v>4865</v>
      </c>
      <c r="H10589">
        <v>737093.65</v>
      </c>
      <c r="I10589">
        <v>151.51</v>
      </c>
      <c r="J10589">
        <v>2390</v>
      </c>
      <c r="K10589">
        <v>336798.8</v>
      </c>
      <c r="L10589">
        <v>140.91999999999999</v>
      </c>
      <c r="M10589">
        <v>7255</v>
      </c>
      <c r="N10589">
        <v>1073892.45</v>
      </c>
      <c r="O10589">
        <v>148.02000000000001</v>
      </c>
    </row>
    <row r="10590" spans="1:15" x14ac:dyDescent="0.35">
      <c r="A10590" t="s">
        <v>11355</v>
      </c>
      <c r="B10590" t="s">
        <v>11356</v>
      </c>
      <c r="C10590" t="s">
        <v>11188</v>
      </c>
      <c r="D10590" t="s">
        <v>323</v>
      </c>
      <c r="E10590" t="s">
        <v>298</v>
      </c>
      <c r="F10590" t="s">
        <v>11377</v>
      </c>
      <c r="G10590">
        <v>3069</v>
      </c>
      <c r="H10590">
        <v>530772.12</v>
      </c>
      <c r="I10590">
        <v>172.95</v>
      </c>
      <c r="J10590">
        <v>1830</v>
      </c>
      <c r="K10590">
        <v>287127</v>
      </c>
      <c r="L10590">
        <v>156.9</v>
      </c>
      <c r="M10590">
        <v>4899</v>
      </c>
      <c r="N10590">
        <v>817899.12</v>
      </c>
      <c r="O10590">
        <v>166.95</v>
      </c>
    </row>
    <row r="10591" spans="1:15" x14ac:dyDescent="0.35">
      <c r="A10591" t="s">
        <v>11355</v>
      </c>
      <c r="B10591" t="s">
        <v>11356</v>
      </c>
      <c r="C10591" t="s">
        <v>11188</v>
      </c>
      <c r="D10591" t="s">
        <v>323</v>
      </c>
      <c r="E10591" t="s">
        <v>300</v>
      </c>
      <c r="F10591" t="s">
        <v>11378</v>
      </c>
      <c r="G10591">
        <v>701</v>
      </c>
      <c r="H10591">
        <v>133419.30000000002</v>
      </c>
      <c r="I10591">
        <v>190.33</v>
      </c>
      <c r="J10591">
        <v>465</v>
      </c>
      <c r="K10591">
        <v>80231.099999999991</v>
      </c>
      <c r="L10591">
        <v>172.54</v>
      </c>
      <c r="M10591">
        <v>1166</v>
      </c>
      <c r="N10591">
        <v>213650.40000000002</v>
      </c>
      <c r="O10591">
        <v>183.23</v>
      </c>
    </row>
    <row r="10592" spans="1:15" x14ac:dyDescent="0.35">
      <c r="A10592" t="s">
        <v>11355</v>
      </c>
      <c r="B10592" t="s">
        <v>11356</v>
      </c>
      <c r="C10592" t="s">
        <v>11188</v>
      </c>
      <c r="D10592" t="s">
        <v>323</v>
      </c>
      <c r="E10592" t="s">
        <v>302</v>
      </c>
      <c r="F10592" t="s">
        <v>11379</v>
      </c>
      <c r="G10592">
        <v>103</v>
      </c>
      <c r="H10592">
        <v>21212.71</v>
      </c>
      <c r="I10592">
        <v>205.95</v>
      </c>
      <c r="J10592">
        <v>60</v>
      </c>
      <c r="K10592">
        <v>11026.2</v>
      </c>
      <c r="L10592">
        <v>183.77</v>
      </c>
      <c r="M10592">
        <v>163</v>
      </c>
      <c r="N10592">
        <v>32238.91</v>
      </c>
      <c r="O10592">
        <v>197.78</v>
      </c>
    </row>
    <row r="10593" spans="1:15" x14ac:dyDescent="0.35">
      <c r="A10593" t="s">
        <v>11355</v>
      </c>
      <c r="B10593" t="s">
        <v>11356</v>
      </c>
      <c r="C10593" t="s">
        <v>11188</v>
      </c>
      <c r="D10593" t="s">
        <v>323</v>
      </c>
      <c r="E10593" t="s">
        <v>304</v>
      </c>
      <c r="F10593" t="s">
        <v>11380</v>
      </c>
      <c r="G10593">
        <v>7</v>
      </c>
      <c r="H10593">
        <v>1379.65</v>
      </c>
      <c r="I10593">
        <v>197.09</v>
      </c>
      <c r="J10593">
        <v>12</v>
      </c>
      <c r="K10593">
        <v>2454.96</v>
      </c>
      <c r="L10593">
        <v>204.58</v>
      </c>
      <c r="M10593">
        <v>19</v>
      </c>
      <c r="N10593">
        <v>3834.61</v>
      </c>
      <c r="O10593">
        <v>201.82</v>
      </c>
    </row>
    <row r="10594" spans="1:15" x14ac:dyDescent="0.35">
      <c r="A10594" t="s">
        <v>11355</v>
      </c>
      <c r="B10594" t="s">
        <v>11356</v>
      </c>
      <c r="C10594" t="s">
        <v>11188</v>
      </c>
      <c r="D10594" t="s">
        <v>323</v>
      </c>
      <c r="E10594" t="s">
        <v>306</v>
      </c>
      <c r="F10594" t="s">
        <v>11381</v>
      </c>
      <c r="G10594">
        <v>75</v>
      </c>
      <c r="H10594">
        <v>8607.26</v>
      </c>
      <c r="I10594">
        <v>114.76</v>
      </c>
      <c r="J10594">
        <v>330</v>
      </c>
      <c r="K10594">
        <v>35046</v>
      </c>
      <c r="L10594">
        <v>106.2</v>
      </c>
      <c r="M10594">
        <v>405</v>
      </c>
      <c r="N10594">
        <v>43653.26</v>
      </c>
      <c r="O10594">
        <v>107.79</v>
      </c>
    </row>
    <row r="10595" spans="1:15" x14ac:dyDescent="0.35">
      <c r="A10595" t="s">
        <v>11355</v>
      </c>
      <c r="B10595" t="s">
        <v>11356</v>
      </c>
      <c r="C10595" t="s">
        <v>11188</v>
      </c>
      <c r="D10595" t="s">
        <v>323</v>
      </c>
      <c r="E10595" t="s">
        <v>308</v>
      </c>
      <c r="F10595" t="s">
        <v>11382</v>
      </c>
      <c r="G10595">
        <v>17</v>
      </c>
      <c r="H10595">
        <v>2391.0500000000002</v>
      </c>
      <c r="I10595">
        <v>140.65</v>
      </c>
      <c r="J10595">
        <v>0</v>
      </c>
      <c r="K10595">
        <v>0</v>
      </c>
      <c r="L10595">
        <v>0</v>
      </c>
      <c r="M10595">
        <v>17</v>
      </c>
      <c r="N10595">
        <v>2391.0500000000002</v>
      </c>
      <c r="O10595">
        <v>140.65</v>
      </c>
    </row>
    <row r="10596" spans="1:15" x14ac:dyDescent="0.35">
      <c r="A10596" t="s">
        <v>11355</v>
      </c>
      <c r="B10596" t="s">
        <v>11356</v>
      </c>
      <c r="C10596" t="s">
        <v>11188</v>
      </c>
      <c r="D10596" t="s">
        <v>323</v>
      </c>
      <c r="E10596" t="s">
        <v>310</v>
      </c>
      <c r="F10596" t="s">
        <v>11383</v>
      </c>
      <c r="G10596">
        <v>11687</v>
      </c>
      <c r="H10596">
        <v>1815129.8</v>
      </c>
      <c r="I10596">
        <v>155.31</v>
      </c>
      <c r="J10596">
        <v>7407</v>
      </c>
      <c r="K10596">
        <v>1040108.8599999999</v>
      </c>
      <c r="L10596">
        <v>140.41999999999999</v>
      </c>
      <c r="M10596">
        <v>19094</v>
      </c>
      <c r="N10596">
        <v>2855238.66</v>
      </c>
      <c r="O10596">
        <v>149.54</v>
      </c>
    </row>
    <row r="10597" spans="1:15" x14ac:dyDescent="0.35">
      <c r="A10597" t="s">
        <v>11355</v>
      </c>
      <c r="B10597" t="s">
        <v>11356</v>
      </c>
      <c r="C10597" t="s">
        <v>11188</v>
      </c>
      <c r="D10597" t="s">
        <v>323</v>
      </c>
      <c r="E10597" t="s">
        <v>312</v>
      </c>
      <c r="F10597" t="s">
        <v>11384</v>
      </c>
      <c r="G10597">
        <v>11670</v>
      </c>
      <c r="H10597">
        <v>1812738.75</v>
      </c>
      <c r="I10597">
        <v>155.33000000000001</v>
      </c>
      <c r="J10597">
        <v>7407</v>
      </c>
      <c r="K10597">
        <v>1040108.8599999999</v>
      </c>
      <c r="L10597">
        <v>140.41999999999999</v>
      </c>
      <c r="M10597">
        <v>19077</v>
      </c>
      <c r="N10597">
        <v>2852847.61</v>
      </c>
      <c r="O10597">
        <v>149.54</v>
      </c>
    </row>
    <row r="10598" spans="1:15" x14ac:dyDescent="0.35">
      <c r="A10598" t="s">
        <v>11355</v>
      </c>
      <c r="B10598" t="s">
        <v>11356</v>
      </c>
      <c r="C10598" t="s">
        <v>11188</v>
      </c>
      <c r="D10598" t="s">
        <v>334</v>
      </c>
      <c r="E10598" t="s">
        <v>312</v>
      </c>
      <c r="F10598" t="s">
        <v>11385</v>
      </c>
      <c r="G10598">
        <v>16676</v>
      </c>
      <c r="H10598">
        <v>2518318.2599999998</v>
      </c>
      <c r="I10598">
        <v>176.11</v>
      </c>
      <c r="J10598">
        <v>8043</v>
      </c>
      <c r="K10598">
        <v>1173300.75</v>
      </c>
      <c r="L10598">
        <v>145.88</v>
      </c>
      <c r="M10598">
        <v>24719</v>
      </c>
      <c r="N10598">
        <v>3691619.01</v>
      </c>
      <c r="O10598">
        <v>165.22</v>
      </c>
    </row>
    <row r="10599" spans="1:15" x14ac:dyDescent="0.35">
      <c r="A10599" t="s">
        <v>11355</v>
      </c>
      <c r="B10599" t="s">
        <v>11356</v>
      </c>
      <c r="C10599" t="s">
        <v>11188</v>
      </c>
      <c r="D10599" t="s">
        <v>334</v>
      </c>
      <c r="E10599" t="s">
        <v>308</v>
      </c>
      <c r="F10599" t="s">
        <v>11386</v>
      </c>
      <c r="G10599">
        <v>728</v>
      </c>
      <c r="H10599">
        <v>2802.9700000000003</v>
      </c>
      <c r="I10599">
        <v>133.47</v>
      </c>
      <c r="J10599">
        <v>0</v>
      </c>
      <c r="K10599">
        <v>0</v>
      </c>
      <c r="L10599">
        <v>0</v>
      </c>
      <c r="M10599">
        <v>728</v>
      </c>
      <c r="N10599">
        <v>2802.9700000000003</v>
      </c>
      <c r="O10599">
        <v>133.47</v>
      </c>
    </row>
    <row r="10600" spans="1:15" x14ac:dyDescent="0.35">
      <c r="A10600" t="s">
        <v>11355</v>
      </c>
      <c r="B10600" t="s">
        <v>11356</v>
      </c>
      <c r="C10600" t="s">
        <v>11188</v>
      </c>
      <c r="D10600" t="s">
        <v>337</v>
      </c>
      <c r="E10600" t="s">
        <v>337</v>
      </c>
      <c r="F10600" t="s">
        <v>11387</v>
      </c>
      <c r="G10600">
        <v>2627</v>
      </c>
      <c r="J10600">
        <v>26</v>
      </c>
      <c r="M10600">
        <v>2653</v>
      </c>
    </row>
    <row r="10601" spans="1:15" x14ac:dyDescent="0.35">
      <c r="A10601" t="s">
        <v>11355</v>
      </c>
      <c r="B10601" t="s">
        <v>11356</v>
      </c>
      <c r="C10601" t="s">
        <v>11188</v>
      </c>
      <c r="D10601" t="s">
        <v>339</v>
      </c>
      <c r="E10601" t="s">
        <v>294</v>
      </c>
      <c r="F10601" t="s">
        <v>11388</v>
      </c>
      <c r="G10601">
        <v>962</v>
      </c>
      <c r="H10601">
        <v>140192.92000000001</v>
      </c>
      <c r="I10601">
        <v>145.72999999999999</v>
      </c>
      <c r="J10601">
        <v>0</v>
      </c>
      <c r="K10601">
        <v>0</v>
      </c>
      <c r="L10601">
        <v>0</v>
      </c>
      <c r="M10601">
        <v>962</v>
      </c>
      <c r="N10601">
        <v>140192.92000000001</v>
      </c>
      <c r="O10601">
        <v>145.72999999999999</v>
      </c>
    </row>
    <row r="10602" spans="1:15" x14ac:dyDescent="0.35">
      <c r="A10602" t="s">
        <v>11355</v>
      </c>
      <c r="B10602" t="s">
        <v>11356</v>
      </c>
      <c r="C10602" t="s">
        <v>11188</v>
      </c>
      <c r="D10602" t="s">
        <v>339</v>
      </c>
      <c r="E10602" t="s">
        <v>296</v>
      </c>
      <c r="F10602" t="s">
        <v>11389</v>
      </c>
      <c r="G10602">
        <v>58</v>
      </c>
      <c r="H10602">
        <v>9398.09</v>
      </c>
      <c r="I10602">
        <v>162.04</v>
      </c>
      <c r="J10602">
        <v>0</v>
      </c>
      <c r="K10602">
        <v>0</v>
      </c>
      <c r="L10602">
        <v>0</v>
      </c>
      <c r="M10602">
        <v>58</v>
      </c>
      <c r="N10602">
        <v>9398.09</v>
      </c>
      <c r="O10602">
        <v>162.04</v>
      </c>
    </row>
    <row r="10603" spans="1:15" x14ac:dyDescent="0.35">
      <c r="A10603" t="s">
        <v>11355</v>
      </c>
      <c r="B10603" t="s">
        <v>11356</v>
      </c>
      <c r="C10603" t="s">
        <v>11188</v>
      </c>
      <c r="D10603" t="s">
        <v>339</v>
      </c>
      <c r="E10603" t="s">
        <v>298</v>
      </c>
      <c r="F10603" t="s">
        <v>11390</v>
      </c>
      <c r="G10603">
        <v>8</v>
      </c>
      <c r="H10603">
        <v>1426.43</v>
      </c>
      <c r="I10603">
        <v>178.3</v>
      </c>
      <c r="J10603">
        <v>0</v>
      </c>
      <c r="K10603">
        <v>0</v>
      </c>
      <c r="L10603">
        <v>0</v>
      </c>
      <c r="M10603">
        <v>8</v>
      </c>
      <c r="N10603">
        <v>1426.43</v>
      </c>
      <c r="O10603">
        <v>178.3</v>
      </c>
    </row>
    <row r="10604" spans="1:15" x14ac:dyDescent="0.35">
      <c r="A10604" t="s">
        <v>11355</v>
      </c>
      <c r="B10604" t="s">
        <v>11356</v>
      </c>
      <c r="C10604" t="s">
        <v>11188</v>
      </c>
      <c r="D10604" t="s">
        <v>339</v>
      </c>
      <c r="E10604" t="s">
        <v>300</v>
      </c>
      <c r="F10604" t="s">
        <v>11391</v>
      </c>
      <c r="G10604">
        <v>4</v>
      </c>
      <c r="H10604">
        <v>726.73</v>
      </c>
      <c r="I10604">
        <v>181.68</v>
      </c>
      <c r="J10604">
        <v>0</v>
      </c>
      <c r="K10604">
        <v>0</v>
      </c>
      <c r="L10604">
        <v>0</v>
      </c>
      <c r="M10604">
        <v>4</v>
      </c>
      <c r="N10604">
        <v>726.73</v>
      </c>
      <c r="O10604">
        <v>181.68</v>
      </c>
    </row>
    <row r="10605" spans="1:15" x14ac:dyDescent="0.35">
      <c r="A10605" t="s">
        <v>11355</v>
      </c>
      <c r="B10605" t="s">
        <v>11356</v>
      </c>
      <c r="C10605" t="s">
        <v>11188</v>
      </c>
      <c r="D10605" t="s">
        <v>339</v>
      </c>
      <c r="E10605" t="s">
        <v>306</v>
      </c>
      <c r="F10605" t="s">
        <v>11392</v>
      </c>
      <c r="G10605">
        <v>269</v>
      </c>
      <c r="H10605">
        <v>34146.370000000003</v>
      </c>
      <c r="I10605">
        <v>126.94</v>
      </c>
      <c r="J10605">
        <v>0</v>
      </c>
      <c r="K10605">
        <v>0</v>
      </c>
      <c r="L10605">
        <v>0</v>
      </c>
      <c r="M10605">
        <v>269</v>
      </c>
      <c r="N10605">
        <v>34146.370000000003</v>
      </c>
      <c r="O10605">
        <v>126.94</v>
      </c>
    </row>
    <row r="10606" spans="1:15" x14ac:dyDescent="0.35">
      <c r="A10606" t="s">
        <v>11355</v>
      </c>
      <c r="B10606" t="s">
        <v>11356</v>
      </c>
      <c r="C10606" t="s">
        <v>11188</v>
      </c>
      <c r="D10606" t="s">
        <v>339</v>
      </c>
      <c r="E10606" t="s">
        <v>308</v>
      </c>
      <c r="F10606" t="s">
        <v>11393</v>
      </c>
      <c r="G10606">
        <v>402</v>
      </c>
      <c r="H10606">
        <v>48042.47</v>
      </c>
      <c r="I10606">
        <v>119.51</v>
      </c>
      <c r="J10606">
        <v>0</v>
      </c>
      <c r="K10606">
        <v>0</v>
      </c>
      <c r="L10606">
        <v>0</v>
      </c>
      <c r="M10606">
        <v>402</v>
      </c>
      <c r="N10606">
        <v>48042.47</v>
      </c>
      <c r="O10606">
        <v>119.51</v>
      </c>
    </row>
    <row r="10607" spans="1:15" x14ac:dyDescent="0.35">
      <c r="A10607" t="s">
        <v>11355</v>
      </c>
      <c r="B10607" t="s">
        <v>11356</v>
      </c>
      <c r="C10607" t="s">
        <v>11188</v>
      </c>
      <c r="D10607" t="s">
        <v>339</v>
      </c>
      <c r="E10607" t="s">
        <v>310</v>
      </c>
      <c r="F10607" t="s">
        <v>11394</v>
      </c>
      <c r="G10607">
        <v>1703</v>
      </c>
      <c r="H10607">
        <v>233933.01</v>
      </c>
      <c r="I10607">
        <v>137.37</v>
      </c>
      <c r="J10607">
        <v>0</v>
      </c>
      <c r="K10607">
        <v>0</v>
      </c>
      <c r="L10607">
        <v>0</v>
      </c>
      <c r="M10607">
        <v>1703</v>
      </c>
      <c r="N10607">
        <v>233933.01</v>
      </c>
      <c r="O10607">
        <v>137.37</v>
      </c>
    </row>
    <row r="10608" spans="1:15" x14ac:dyDescent="0.35">
      <c r="A10608" t="s">
        <v>11355</v>
      </c>
      <c r="B10608" t="s">
        <v>11356</v>
      </c>
      <c r="C10608" t="s">
        <v>11188</v>
      </c>
      <c r="D10608" t="s">
        <v>339</v>
      </c>
      <c r="E10608" t="s">
        <v>312</v>
      </c>
      <c r="F10608" t="s">
        <v>11395</v>
      </c>
      <c r="G10608">
        <v>1301</v>
      </c>
      <c r="H10608">
        <v>185890.54</v>
      </c>
      <c r="I10608">
        <v>142.88</v>
      </c>
      <c r="J10608">
        <v>0</v>
      </c>
      <c r="K10608">
        <v>0</v>
      </c>
      <c r="L10608">
        <v>0</v>
      </c>
      <c r="M10608">
        <v>1301</v>
      </c>
      <c r="N10608">
        <v>185890.54</v>
      </c>
      <c r="O10608">
        <v>142.88</v>
      </c>
    </row>
    <row r="10609" spans="1:15" x14ac:dyDescent="0.35">
      <c r="A10609" t="s">
        <v>11355</v>
      </c>
      <c r="B10609" t="s">
        <v>11356</v>
      </c>
      <c r="C10609" t="s">
        <v>11188</v>
      </c>
      <c r="D10609" t="s">
        <v>348</v>
      </c>
      <c r="E10609" t="s">
        <v>349</v>
      </c>
      <c r="F10609" t="s">
        <v>11396</v>
      </c>
      <c r="G10609">
        <v>2043</v>
      </c>
      <c r="H10609">
        <v>267809.51</v>
      </c>
      <c r="I10609">
        <v>145.38999999999999</v>
      </c>
      <c r="J10609">
        <v>11</v>
      </c>
      <c r="K10609">
        <v>2667.5</v>
      </c>
      <c r="L10609">
        <v>242.5</v>
      </c>
      <c r="M10609">
        <v>2054</v>
      </c>
      <c r="N10609">
        <v>270477.01</v>
      </c>
      <c r="O10609">
        <v>145.97</v>
      </c>
    </row>
    <row r="10610" spans="1:15" x14ac:dyDescent="0.35">
      <c r="A10610" t="s">
        <v>11397</v>
      </c>
      <c r="B10610" t="s">
        <v>11398</v>
      </c>
      <c r="C10610" t="s">
        <v>11188</v>
      </c>
      <c r="D10610" t="s">
        <v>293</v>
      </c>
      <c r="E10610" t="s">
        <v>294</v>
      </c>
      <c r="F10610" t="s">
        <v>11399</v>
      </c>
      <c r="G10610">
        <v>666</v>
      </c>
      <c r="H10610">
        <v>123631.12</v>
      </c>
      <c r="I10610">
        <v>185.63</v>
      </c>
      <c r="J10610">
        <v>22</v>
      </c>
      <c r="K10610">
        <v>4767.3999999999996</v>
      </c>
      <c r="L10610">
        <v>216.7</v>
      </c>
      <c r="M10610">
        <v>688</v>
      </c>
      <c r="N10610">
        <v>128398.51999999999</v>
      </c>
      <c r="O10610">
        <v>186.63</v>
      </c>
    </row>
    <row r="10611" spans="1:15" x14ac:dyDescent="0.35">
      <c r="A10611" t="s">
        <v>11397</v>
      </c>
      <c r="B10611" t="s">
        <v>11398</v>
      </c>
      <c r="C10611" t="s">
        <v>11188</v>
      </c>
      <c r="D10611" t="s">
        <v>293</v>
      </c>
      <c r="E10611" t="s">
        <v>296</v>
      </c>
      <c r="F10611" t="s">
        <v>11400</v>
      </c>
      <c r="G10611">
        <v>861</v>
      </c>
      <c r="H10611">
        <v>194055.68000000002</v>
      </c>
      <c r="I10611">
        <v>225.38</v>
      </c>
      <c r="J10611">
        <v>38</v>
      </c>
      <c r="K10611">
        <v>8956.2199999999993</v>
      </c>
      <c r="L10611">
        <v>235.69</v>
      </c>
      <c r="M10611">
        <v>899</v>
      </c>
      <c r="N10611">
        <v>203011.90000000002</v>
      </c>
      <c r="O10611">
        <v>225.82</v>
      </c>
    </row>
    <row r="10612" spans="1:15" x14ac:dyDescent="0.35">
      <c r="A10612" t="s">
        <v>11397</v>
      </c>
      <c r="B10612" t="s">
        <v>11398</v>
      </c>
      <c r="C10612" t="s">
        <v>11188</v>
      </c>
      <c r="D10612" t="s">
        <v>293</v>
      </c>
      <c r="E10612" t="s">
        <v>298</v>
      </c>
      <c r="F10612" t="s">
        <v>11401</v>
      </c>
      <c r="G10612">
        <v>474</v>
      </c>
      <c r="H10612">
        <v>110179.79000000001</v>
      </c>
      <c r="I10612">
        <v>232.45</v>
      </c>
      <c r="J10612">
        <v>0</v>
      </c>
      <c r="K10612">
        <v>0</v>
      </c>
      <c r="L10612">
        <v>0</v>
      </c>
      <c r="M10612">
        <v>474</v>
      </c>
      <c r="N10612">
        <v>110179.79000000001</v>
      </c>
      <c r="O10612">
        <v>232.45</v>
      </c>
    </row>
    <row r="10613" spans="1:15" x14ac:dyDescent="0.35">
      <c r="A10613" t="s">
        <v>11397</v>
      </c>
      <c r="B10613" t="s">
        <v>11398</v>
      </c>
      <c r="C10613" t="s">
        <v>11188</v>
      </c>
      <c r="D10613" t="s">
        <v>293</v>
      </c>
      <c r="E10613" t="s">
        <v>300</v>
      </c>
      <c r="F10613" t="s">
        <v>11402</v>
      </c>
      <c r="G10613">
        <v>46</v>
      </c>
      <c r="H10613">
        <v>12416.079999999998</v>
      </c>
      <c r="I10613">
        <v>269.91000000000003</v>
      </c>
      <c r="J10613">
        <v>0</v>
      </c>
      <c r="K10613">
        <v>0</v>
      </c>
      <c r="L10613">
        <v>0</v>
      </c>
      <c r="M10613">
        <v>46</v>
      </c>
      <c r="N10613">
        <v>12416.079999999998</v>
      </c>
      <c r="O10613">
        <v>269.91000000000003</v>
      </c>
    </row>
    <row r="10614" spans="1:15" x14ac:dyDescent="0.35">
      <c r="A10614" t="s">
        <v>11397</v>
      </c>
      <c r="B10614" t="s">
        <v>11398</v>
      </c>
      <c r="C10614" t="s">
        <v>11188</v>
      </c>
      <c r="D10614" t="s">
        <v>293</v>
      </c>
      <c r="E10614" t="s">
        <v>302</v>
      </c>
      <c r="F10614" t="s">
        <v>11403</v>
      </c>
      <c r="G10614">
        <v>0</v>
      </c>
      <c r="H10614">
        <v>0</v>
      </c>
      <c r="I10614">
        <v>0</v>
      </c>
      <c r="J10614">
        <v>0</v>
      </c>
      <c r="K10614">
        <v>0</v>
      </c>
      <c r="L10614">
        <v>0</v>
      </c>
      <c r="M10614">
        <v>0</v>
      </c>
      <c r="N10614">
        <v>0</v>
      </c>
      <c r="O10614">
        <v>0</v>
      </c>
    </row>
    <row r="10615" spans="1:15" x14ac:dyDescent="0.35">
      <c r="A10615" t="s">
        <v>11397</v>
      </c>
      <c r="B10615" t="s">
        <v>11398</v>
      </c>
      <c r="C10615" t="s">
        <v>11188</v>
      </c>
      <c r="D10615" t="s">
        <v>293</v>
      </c>
      <c r="E10615" t="s">
        <v>304</v>
      </c>
      <c r="F10615" t="s">
        <v>11404</v>
      </c>
      <c r="G10615">
        <v>0</v>
      </c>
      <c r="H10615">
        <v>0</v>
      </c>
      <c r="I10615">
        <v>0</v>
      </c>
      <c r="J10615">
        <v>0</v>
      </c>
      <c r="K10615">
        <v>0</v>
      </c>
      <c r="L10615">
        <v>0</v>
      </c>
      <c r="M10615">
        <v>0</v>
      </c>
      <c r="N10615">
        <v>0</v>
      </c>
      <c r="O10615">
        <v>0</v>
      </c>
    </row>
    <row r="10616" spans="1:15" x14ac:dyDescent="0.35">
      <c r="A10616" t="s">
        <v>11397</v>
      </c>
      <c r="B10616" t="s">
        <v>11398</v>
      </c>
      <c r="C10616" t="s">
        <v>11188</v>
      </c>
      <c r="D10616" t="s">
        <v>293</v>
      </c>
      <c r="E10616" t="s">
        <v>306</v>
      </c>
      <c r="F10616" t="s">
        <v>11405</v>
      </c>
      <c r="G10616">
        <v>8</v>
      </c>
      <c r="H10616">
        <v>1324.4099999999999</v>
      </c>
      <c r="I10616">
        <v>165.55</v>
      </c>
      <c r="J10616">
        <v>0</v>
      </c>
      <c r="K10616">
        <v>0</v>
      </c>
      <c r="L10616">
        <v>0</v>
      </c>
      <c r="M10616">
        <v>8</v>
      </c>
      <c r="N10616">
        <v>1324.4099999999999</v>
      </c>
      <c r="O10616">
        <v>165.55</v>
      </c>
    </row>
    <row r="10617" spans="1:15" x14ac:dyDescent="0.35">
      <c r="A10617" t="s">
        <v>11397</v>
      </c>
      <c r="B10617" t="s">
        <v>11398</v>
      </c>
      <c r="C10617" t="s">
        <v>11188</v>
      </c>
      <c r="D10617" t="s">
        <v>293</v>
      </c>
      <c r="E10617" t="s">
        <v>308</v>
      </c>
      <c r="F10617" t="s">
        <v>11406</v>
      </c>
      <c r="G10617">
        <v>2</v>
      </c>
      <c r="H10617">
        <v>480.52</v>
      </c>
      <c r="I10617">
        <v>240.26</v>
      </c>
      <c r="J10617">
        <v>0</v>
      </c>
      <c r="K10617">
        <v>0</v>
      </c>
      <c r="L10617">
        <v>0</v>
      </c>
      <c r="M10617">
        <v>2</v>
      </c>
      <c r="N10617">
        <v>480.52</v>
      </c>
      <c r="O10617">
        <v>240.26</v>
      </c>
    </row>
    <row r="10618" spans="1:15" x14ac:dyDescent="0.35">
      <c r="A10618" t="s">
        <v>11397</v>
      </c>
      <c r="B10618" t="s">
        <v>11398</v>
      </c>
      <c r="C10618" t="s">
        <v>11188</v>
      </c>
      <c r="D10618" t="s">
        <v>293</v>
      </c>
      <c r="E10618" t="s">
        <v>310</v>
      </c>
      <c r="F10618" t="s">
        <v>11407</v>
      </c>
      <c r="G10618">
        <v>2057</v>
      </c>
      <c r="H10618">
        <v>442087.60000000009</v>
      </c>
      <c r="I10618">
        <v>214.92</v>
      </c>
      <c r="J10618">
        <v>60</v>
      </c>
      <c r="K10618">
        <v>13723.619999999999</v>
      </c>
      <c r="L10618">
        <v>228.73</v>
      </c>
      <c r="M10618">
        <v>2117</v>
      </c>
      <c r="N10618">
        <v>455811.22000000009</v>
      </c>
      <c r="O10618">
        <v>215.31</v>
      </c>
    </row>
    <row r="10619" spans="1:15" x14ac:dyDescent="0.35">
      <c r="A10619" t="s">
        <v>11397</v>
      </c>
      <c r="B10619" t="s">
        <v>11398</v>
      </c>
      <c r="C10619" t="s">
        <v>11188</v>
      </c>
      <c r="D10619" t="s">
        <v>293</v>
      </c>
      <c r="E10619" t="s">
        <v>312</v>
      </c>
      <c r="F10619" t="s">
        <v>11408</v>
      </c>
      <c r="G10619">
        <v>2055</v>
      </c>
      <c r="H10619">
        <v>441607.08000000007</v>
      </c>
      <c r="I10619">
        <v>214.89</v>
      </c>
      <c r="J10619">
        <v>60</v>
      </c>
      <c r="K10619">
        <v>13723.619999999999</v>
      </c>
      <c r="L10619">
        <v>228.73</v>
      </c>
      <c r="M10619">
        <v>2115</v>
      </c>
      <c r="N10619">
        <v>455330.70000000007</v>
      </c>
      <c r="O10619">
        <v>215.29</v>
      </c>
    </row>
    <row r="10620" spans="1:15" x14ac:dyDescent="0.35">
      <c r="A10620" t="s">
        <v>11397</v>
      </c>
      <c r="B10620" t="s">
        <v>11398</v>
      </c>
      <c r="C10620" t="s">
        <v>11188</v>
      </c>
      <c r="D10620" t="s">
        <v>314</v>
      </c>
      <c r="E10620" t="s">
        <v>294</v>
      </c>
      <c r="F10620" t="s">
        <v>11409</v>
      </c>
      <c r="G10620">
        <v>0</v>
      </c>
      <c r="H10620">
        <v>0</v>
      </c>
      <c r="I10620">
        <v>0</v>
      </c>
      <c r="J10620">
        <v>0</v>
      </c>
      <c r="K10620">
        <v>0</v>
      </c>
      <c r="L10620">
        <v>0</v>
      </c>
      <c r="M10620">
        <v>0</v>
      </c>
      <c r="N10620">
        <v>0</v>
      </c>
      <c r="O10620">
        <v>0</v>
      </c>
    </row>
    <row r="10621" spans="1:15" x14ac:dyDescent="0.35">
      <c r="A10621" t="s">
        <v>11397</v>
      </c>
      <c r="B10621" t="s">
        <v>11398</v>
      </c>
      <c r="C10621" t="s">
        <v>11188</v>
      </c>
      <c r="D10621" t="s">
        <v>314</v>
      </c>
      <c r="E10621" t="s">
        <v>296</v>
      </c>
      <c r="F10621" t="s">
        <v>11410</v>
      </c>
      <c r="G10621">
        <v>0</v>
      </c>
      <c r="H10621">
        <v>0</v>
      </c>
      <c r="I10621">
        <v>0</v>
      </c>
      <c r="J10621">
        <v>0</v>
      </c>
      <c r="K10621">
        <v>0</v>
      </c>
      <c r="L10621">
        <v>0</v>
      </c>
      <c r="M10621">
        <v>0</v>
      </c>
      <c r="N10621">
        <v>0</v>
      </c>
      <c r="O10621">
        <v>0</v>
      </c>
    </row>
    <row r="10622" spans="1:15" x14ac:dyDescent="0.35">
      <c r="A10622" t="s">
        <v>11397</v>
      </c>
      <c r="B10622" t="s">
        <v>11398</v>
      </c>
      <c r="C10622" t="s">
        <v>11188</v>
      </c>
      <c r="D10622" t="s">
        <v>314</v>
      </c>
      <c r="E10622" t="s">
        <v>298</v>
      </c>
      <c r="F10622" t="s">
        <v>11411</v>
      </c>
      <c r="G10622">
        <v>0</v>
      </c>
      <c r="H10622">
        <v>0</v>
      </c>
      <c r="I10622">
        <v>0</v>
      </c>
      <c r="J10622">
        <v>0</v>
      </c>
      <c r="K10622">
        <v>0</v>
      </c>
      <c r="L10622">
        <v>0</v>
      </c>
      <c r="M10622">
        <v>0</v>
      </c>
      <c r="N10622">
        <v>0</v>
      </c>
      <c r="O10622">
        <v>0</v>
      </c>
    </row>
    <row r="10623" spans="1:15" x14ac:dyDescent="0.35">
      <c r="A10623" t="s">
        <v>11397</v>
      </c>
      <c r="B10623" t="s">
        <v>11398</v>
      </c>
      <c r="C10623" t="s">
        <v>11188</v>
      </c>
      <c r="D10623" t="s">
        <v>314</v>
      </c>
      <c r="E10623" t="s">
        <v>300</v>
      </c>
      <c r="F10623" t="s">
        <v>11412</v>
      </c>
      <c r="G10623">
        <v>0</v>
      </c>
      <c r="H10623">
        <v>0</v>
      </c>
      <c r="I10623">
        <v>0</v>
      </c>
      <c r="J10623">
        <v>0</v>
      </c>
      <c r="K10623">
        <v>0</v>
      </c>
      <c r="L10623">
        <v>0</v>
      </c>
      <c r="M10623">
        <v>0</v>
      </c>
      <c r="N10623">
        <v>0</v>
      </c>
      <c r="O10623">
        <v>0</v>
      </c>
    </row>
    <row r="10624" spans="1:15" x14ac:dyDescent="0.35">
      <c r="A10624" t="s">
        <v>11397</v>
      </c>
      <c r="B10624" t="s">
        <v>11398</v>
      </c>
      <c r="C10624" t="s">
        <v>11188</v>
      </c>
      <c r="D10624" t="s">
        <v>314</v>
      </c>
      <c r="E10624" t="s">
        <v>306</v>
      </c>
      <c r="F10624" t="s">
        <v>11413</v>
      </c>
      <c r="G10624">
        <v>0</v>
      </c>
      <c r="H10624">
        <v>0</v>
      </c>
      <c r="I10624">
        <v>0</v>
      </c>
      <c r="J10624">
        <v>0</v>
      </c>
      <c r="K10624">
        <v>0</v>
      </c>
      <c r="L10624">
        <v>0</v>
      </c>
      <c r="M10624">
        <v>0</v>
      </c>
      <c r="N10624">
        <v>0</v>
      </c>
      <c r="O10624">
        <v>0</v>
      </c>
    </row>
    <row r="10625" spans="1:15" x14ac:dyDescent="0.35">
      <c r="A10625" t="s">
        <v>11397</v>
      </c>
      <c r="B10625" t="s">
        <v>11398</v>
      </c>
      <c r="C10625" t="s">
        <v>11188</v>
      </c>
      <c r="D10625" t="s">
        <v>314</v>
      </c>
      <c r="E10625" t="s">
        <v>308</v>
      </c>
      <c r="F10625" t="s">
        <v>11414</v>
      </c>
      <c r="G10625">
        <v>0</v>
      </c>
      <c r="H10625">
        <v>0</v>
      </c>
      <c r="I10625">
        <v>0</v>
      </c>
      <c r="J10625">
        <v>0</v>
      </c>
      <c r="K10625">
        <v>0</v>
      </c>
      <c r="L10625">
        <v>0</v>
      </c>
      <c r="M10625">
        <v>0</v>
      </c>
      <c r="N10625">
        <v>0</v>
      </c>
      <c r="O10625">
        <v>0</v>
      </c>
    </row>
    <row r="10626" spans="1:15" x14ac:dyDescent="0.35">
      <c r="A10626" t="s">
        <v>11397</v>
      </c>
      <c r="B10626" t="s">
        <v>11398</v>
      </c>
      <c r="C10626" t="s">
        <v>11188</v>
      </c>
      <c r="D10626" t="s">
        <v>314</v>
      </c>
      <c r="E10626" t="s">
        <v>312</v>
      </c>
      <c r="F10626" t="s">
        <v>11415</v>
      </c>
      <c r="G10626">
        <v>0</v>
      </c>
      <c r="H10626">
        <v>0</v>
      </c>
      <c r="I10626">
        <v>0</v>
      </c>
      <c r="J10626">
        <v>0</v>
      </c>
      <c r="K10626">
        <v>0</v>
      </c>
      <c r="L10626">
        <v>0</v>
      </c>
      <c r="M10626">
        <v>0</v>
      </c>
      <c r="N10626">
        <v>0</v>
      </c>
      <c r="O10626">
        <v>0</v>
      </c>
    </row>
    <row r="10627" spans="1:15" x14ac:dyDescent="0.35">
      <c r="A10627" t="s">
        <v>11397</v>
      </c>
      <c r="B10627" t="s">
        <v>11398</v>
      </c>
      <c r="C10627" t="s">
        <v>11188</v>
      </c>
      <c r="D10627" t="s">
        <v>314</v>
      </c>
      <c r="E10627" t="s">
        <v>310</v>
      </c>
      <c r="F10627" t="s">
        <v>11416</v>
      </c>
      <c r="G10627">
        <v>0</v>
      </c>
      <c r="H10627">
        <v>0</v>
      </c>
      <c r="I10627">
        <v>0</v>
      </c>
      <c r="J10627">
        <v>0</v>
      </c>
      <c r="K10627">
        <v>0</v>
      </c>
      <c r="L10627">
        <v>0</v>
      </c>
      <c r="M10627">
        <v>0</v>
      </c>
      <c r="N10627">
        <v>0</v>
      </c>
      <c r="O10627">
        <v>0</v>
      </c>
    </row>
    <row r="10628" spans="1:15" x14ac:dyDescent="0.35">
      <c r="A10628" t="s">
        <v>11397</v>
      </c>
      <c r="B10628" t="s">
        <v>11398</v>
      </c>
      <c r="C10628" t="s">
        <v>11188</v>
      </c>
      <c r="D10628" t="s">
        <v>323</v>
      </c>
      <c r="E10628" t="s">
        <v>294</v>
      </c>
      <c r="F10628" t="s">
        <v>11417</v>
      </c>
      <c r="G10628">
        <v>2953</v>
      </c>
      <c r="H10628">
        <v>341730.94999999995</v>
      </c>
      <c r="I10628">
        <v>115.72</v>
      </c>
      <c r="J10628">
        <v>0</v>
      </c>
      <c r="K10628">
        <v>0</v>
      </c>
      <c r="L10628">
        <v>0</v>
      </c>
      <c r="M10628">
        <v>2953</v>
      </c>
      <c r="N10628">
        <v>341730.94999999995</v>
      </c>
      <c r="O10628">
        <v>115.72</v>
      </c>
    </row>
    <row r="10629" spans="1:15" x14ac:dyDescent="0.35">
      <c r="A10629" t="s">
        <v>11397</v>
      </c>
      <c r="B10629" t="s">
        <v>11398</v>
      </c>
      <c r="C10629" t="s">
        <v>11188</v>
      </c>
      <c r="D10629" t="s">
        <v>323</v>
      </c>
      <c r="E10629" t="s">
        <v>296</v>
      </c>
      <c r="F10629" t="s">
        <v>11418</v>
      </c>
      <c r="G10629">
        <v>5113</v>
      </c>
      <c r="H10629">
        <v>704834.64999999991</v>
      </c>
      <c r="I10629">
        <v>137.85</v>
      </c>
      <c r="J10629">
        <v>0</v>
      </c>
      <c r="K10629">
        <v>0</v>
      </c>
      <c r="L10629">
        <v>0</v>
      </c>
      <c r="M10629">
        <v>5113</v>
      </c>
      <c r="N10629">
        <v>704834.64999999991</v>
      </c>
      <c r="O10629">
        <v>137.85</v>
      </c>
    </row>
    <row r="10630" spans="1:15" x14ac:dyDescent="0.35">
      <c r="A10630" t="s">
        <v>11397</v>
      </c>
      <c r="B10630" t="s">
        <v>11398</v>
      </c>
      <c r="C10630" t="s">
        <v>11188</v>
      </c>
      <c r="D10630" t="s">
        <v>323</v>
      </c>
      <c r="E10630" t="s">
        <v>298</v>
      </c>
      <c r="F10630" t="s">
        <v>11419</v>
      </c>
      <c r="G10630">
        <v>4445</v>
      </c>
      <c r="H10630">
        <v>695921.7699999999</v>
      </c>
      <c r="I10630">
        <v>156.56</v>
      </c>
      <c r="J10630">
        <v>1</v>
      </c>
      <c r="K10630">
        <v>159.94999999999999</v>
      </c>
      <c r="L10630">
        <v>159.94999999999999</v>
      </c>
      <c r="M10630">
        <v>4446</v>
      </c>
      <c r="N10630">
        <v>696081.71999999986</v>
      </c>
      <c r="O10630">
        <v>156.56</v>
      </c>
    </row>
    <row r="10631" spans="1:15" x14ac:dyDescent="0.35">
      <c r="A10631" t="s">
        <v>11397</v>
      </c>
      <c r="B10631" t="s">
        <v>11398</v>
      </c>
      <c r="C10631" t="s">
        <v>11188</v>
      </c>
      <c r="D10631" t="s">
        <v>323</v>
      </c>
      <c r="E10631" t="s">
        <v>300</v>
      </c>
      <c r="F10631" t="s">
        <v>11420</v>
      </c>
      <c r="G10631">
        <v>578</v>
      </c>
      <c r="H10631">
        <v>102918.24999999999</v>
      </c>
      <c r="I10631">
        <v>178.06</v>
      </c>
      <c r="J10631">
        <v>0</v>
      </c>
      <c r="K10631">
        <v>0</v>
      </c>
      <c r="L10631">
        <v>0</v>
      </c>
      <c r="M10631">
        <v>578</v>
      </c>
      <c r="N10631">
        <v>102918.24999999999</v>
      </c>
      <c r="O10631">
        <v>178.06</v>
      </c>
    </row>
    <row r="10632" spans="1:15" x14ac:dyDescent="0.35">
      <c r="A10632" t="s">
        <v>11397</v>
      </c>
      <c r="B10632" t="s">
        <v>11398</v>
      </c>
      <c r="C10632" t="s">
        <v>11188</v>
      </c>
      <c r="D10632" t="s">
        <v>323</v>
      </c>
      <c r="E10632" t="s">
        <v>302</v>
      </c>
      <c r="F10632" t="s">
        <v>11421</v>
      </c>
      <c r="G10632">
        <v>35</v>
      </c>
      <c r="H10632">
        <v>6793.49</v>
      </c>
      <c r="I10632">
        <v>194.1</v>
      </c>
      <c r="J10632">
        <v>0</v>
      </c>
      <c r="K10632">
        <v>0</v>
      </c>
      <c r="L10632">
        <v>0</v>
      </c>
      <c r="M10632">
        <v>35</v>
      </c>
      <c r="N10632">
        <v>6793.49</v>
      </c>
      <c r="O10632">
        <v>194.1</v>
      </c>
    </row>
    <row r="10633" spans="1:15" x14ac:dyDescent="0.35">
      <c r="A10633" t="s">
        <v>11397</v>
      </c>
      <c r="B10633" t="s">
        <v>11398</v>
      </c>
      <c r="C10633" t="s">
        <v>11188</v>
      </c>
      <c r="D10633" t="s">
        <v>323</v>
      </c>
      <c r="E10633" t="s">
        <v>304</v>
      </c>
      <c r="F10633" t="s">
        <v>11422</v>
      </c>
      <c r="G10633">
        <v>4</v>
      </c>
      <c r="H10633">
        <v>792.42</v>
      </c>
      <c r="I10633">
        <v>198.11</v>
      </c>
      <c r="J10633">
        <v>0</v>
      </c>
      <c r="K10633">
        <v>0</v>
      </c>
      <c r="L10633">
        <v>0</v>
      </c>
      <c r="M10633">
        <v>4</v>
      </c>
      <c r="N10633">
        <v>792.42</v>
      </c>
      <c r="O10633">
        <v>198.11</v>
      </c>
    </row>
    <row r="10634" spans="1:15" x14ac:dyDescent="0.35">
      <c r="A10634" t="s">
        <v>11397</v>
      </c>
      <c r="B10634" t="s">
        <v>11398</v>
      </c>
      <c r="C10634" t="s">
        <v>11188</v>
      </c>
      <c r="D10634" t="s">
        <v>323</v>
      </c>
      <c r="E10634" t="s">
        <v>306</v>
      </c>
      <c r="F10634" t="s">
        <v>11423</v>
      </c>
      <c r="G10634">
        <v>78</v>
      </c>
      <c r="H10634">
        <v>8428.42</v>
      </c>
      <c r="I10634">
        <v>108.06</v>
      </c>
      <c r="J10634">
        <v>0</v>
      </c>
      <c r="K10634">
        <v>0</v>
      </c>
      <c r="L10634">
        <v>0</v>
      </c>
      <c r="M10634">
        <v>78</v>
      </c>
      <c r="N10634">
        <v>8428.42</v>
      </c>
      <c r="O10634">
        <v>108.06</v>
      </c>
    </row>
    <row r="10635" spans="1:15" x14ac:dyDescent="0.35">
      <c r="A10635" t="s">
        <v>11397</v>
      </c>
      <c r="B10635" t="s">
        <v>11398</v>
      </c>
      <c r="C10635" t="s">
        <v>11188</v>
      </c>
      <c r="D10635" t="s">
        <v>323</v>
      </c>
      <c r="E10635" t="s">
        <v>308</v>
      </c>
      <c r="F10635" t="s">
        <v>11424</v>
      </c>
      <c r="G10635">
        <v>0</v>
      </c>
      <c r="H10635">
        <v>0</v>
      </c>
      <c r="I10635">
        <v>0</v>
      </c>
      <c r="J10635">
        <v>0</v>
      </c>
      <c r="K10635">
        <v>0</v>
      </c>
      <c r="L10635">
        <v>0</v>
      </c>
      <c r="M10635">
        <v>0</v>
      </c>
      <c r="N10635">
        <v>0</v>
      </c>
      <c r="O10635">
        <v>0</v>
      </c>
    </row>
    <row r="10636" spans="1:15" x14ac:dyDescent="0.35">
      <c r="A10636" t="s">
        <v>11397</v>
      </c>
      <c r="B10636" t="s">
        <v>11398</v>
      </c>
      <c r="C10636" t="s">
        <v>11188</v>
      </c>
      <c r="D10636" t="s">
        <v>323</v>
      </c>
      <c r="E10636" t="s">
        <v>310</v>
      </c>
      <c r="F10636" t="s">
        <v>11425</v>
      </c>
      <c r="G10636">
        <v>13206</v>
      </c>
      <c r="H10636">
        <v>1861419.9499999995</v>
      </c>
      <c r="I10636">
        <v>140.94999999999999</v>
      </c>
      <c r="J10636">
        <v>1</v>
      </c>
      <c r="K10636">
        <v>159.94999999999999</v>
      </c>
      <c r="L10636">
        <v>159.94999999999999</v>
      </c>
      <c r="M10636">
        <v>13207</v>
      </c>
      <c r="N10636">
        <v>1861579.8999999994</v>
      </c>
      <c r="O10636">
        <v>140.94999999999999</v>
      </c>
    </row>
    <row r="10637" spans="1:15" x14ac:dyDescent="0.35">
      <c r="A10637" t="s">
        <v>11397</v>
      </c>
      <c r="B10637" t="s">
        <v>11398</v>
      </c>
      <c r="C10637" t="s">
        <v>11188</v>
      </c>
      <c r="D10637" t="s">
        <v>323</v>
      </c>
      <c r="E10637" t="s">
        <v>312</v>
      </c>
      <c r="F10637" t="s">
        <v>11426</v>
      </c>
      <c r="G10637">
        <v>13206</v>
      </c>
      <c r="H10637">
        <v>1861419.9499999995</v>
      </c>
      <c r="I10637">
        <v>140.94999999999999</v>
      </c>
      <c r="J10637">
        <v>1</v>
      </c>
      <c r="K10637">
        <v>159.94999999999999</v>
      </c>
      <c r="L10637">
        <v>159.94999999999999</v>
      </c>
      <c r="M10637">
        <v>13207</v>
      </c>
      <c r="N10637">
        <v>1861579.8999999994</v>
      </c>
      <c r="O10637">
        <v>140.94999999999999</v>
      </c>
    </row>
    <row r="10638" spans="1:15" x14ac:dyDescent="0.35">
      <c r="A10638" t="s">
        <v>11397</v>
      </c>
      <c r="B10638" t="s">
        <v>11398</v>
      </c>
      <c r="C10638" t="s">
        <v>11188</v>
      </c>
      <c r="D10638" t="s">
        <v>334</v>
      </c>
      <c r="E10638" t="s">
        <v>312</v>
      </c>
      <c r="F10638" t="s">
        <v>11427</v>
      </c>
      <c r="G10638">
        <v>16745</v>
      </c>
      <c r="H10638">
        <v>2303027.0299999998</v>
      </c>
      <c r="I10638">
        <v>150.91</v>
      </c>
      <c r="J10638">
        <v>61</v>
      </c>
      <c r="K10638">
        <v>13883.57</v>
      </c>
      <c r="L10638">
        <v>227.6</v>
      </c>
      <c r="M10638">
        <v>16806</v>
      </c>
      <c r="N10638">
        <v>2316910.5999999996</v>
      </c>
      <c r="O10638">
        <v>151.21</v>
      </c>
    </row>
    <row r="10639" spans="1:15" x14ac:dyDescent="0.35">
      <c r="A10639" t="s">
        <v>11397</v>
      </c>
      <c r="B10639" t="s">
        <v>11398</v>
      </c>
      <c r="C10639" t="s">
        <v>11188</v>
      </c>
      <c r="D10639" t="s">
        <v>334</v>
      </c>
      <c r="E10639" t="s">
        <v>308</v>
      </c>
      <c r="F10639" t="s">
        <v>11428</v>
      </c>
      <c r="G10639">
        <v>108</v>
      </c>
      <c r="H10639">
        <v>480.52</v>
      </c>
      <c r="I10639">
        <v>240.26</v>
      </c>
      <c r="J10639">
        <v>0</v>
      </c>
      <c r="K10639">
        <v>0</v>
      </c>
      <c r="L10639">
        <v>0</v>
      </c>
      <c r="M10639">
        <v>108</v>
      </c>
      <c r="N10639">
        <v>480.52</v>
      </c>
      <c r="O10639">
        <v>240.26</v>
      </c>
    </row>
    <row r="10640" spans="1:15" x14ac:dyDescent="0.35">
      <c r="A10640" t="s">
        <v>11397</v>
      </c>
      <c r="B10640" t="s">
        <v>11398</v>
      </c>
      <c r="C10640" t="s">
        <v>11188</v>
      </c>
      <c r="D10640" t="s">
        <v>337</v>
      </c>
      <c r="E10640" t="s">
        <v>337</v>
      </c>
      <c r="F10640" t="s">
        <v>11429</v>
      </c>
      <c r="G10640">
        <v>1176</v>
      </c>
      <c r="J10640">
        <v>0</v>
      </c>
      <c r="M10640">
        <v>1176</v>
      </c>
    </row>
    <row r="10641" spans="1:15" x14ac:dyDescent="0.35">
      <c r="A10641" t="s">
        <v>11397</v>
      </c>
      <c r="B10641" t="s">
        <v>11398</v>
      </c>
      <c r="C10641" t="s">
        <v>11188</v>
      </c>
      <c r="D10641" t="s">
        <v>339</v>
      </c>
      <c r="E10641" t="s">
        <v>294</v>
      </c>
      <c r="F10641" t="s">
        <v>11430</v>
      </c>
      <c r="G10641">
        <v>1572</v>
      </c>
      <c r="H10641">
        <v>210058.09</v>
      </c>
      <c r="I10641">
        <v>133.62</v>
      </c>
      <c r="J10641">
        <v>0</v>
      </c>
      <c r="K10641">
        <v>0</v>
      </c>
      <c r="L10641">
        <v>0</v>
      </c>
      <c r="M10641">
        <v>1572</v>
      </c>
      <c r="N10641">
        <v>210058.09</v>
      </c>
      <c r="O10641">
        <v>133.62</v>
      </c>
    </row>
    <row r="10642" spans="1:15" x14ac:dyDescent="0.35">
      <c r="A10642" t="s">
        <v>11397</v>
      </c>
      <c r="B10642" t="s">
        <v>11398</v>
      </c>
      <c r="C10642" t="s">
        <v>11188</v>
      </c>
      <c r="D10642" t="s">
        <v>339</v>
      </c>
      <c r="E10642" t="s">
        <v>296</v>
      </c>
      <c r="F10642" t="s">
        <v>11431</v>
      </c>
      <c r="G10642">
        <v>98</v>
      </c>
      <c r="H10642">
        <v>14845.05</v>
      </c>
      <c r="I10642">
        <v>151.47999999999999</v>
      </c>
      <c r="J10642">
        <v>0</v>
      </c>
      <c r="K10642">
        <v>0</v>
      </c>
      <c r="L10642">
        <v>0</v>
      </c>
      <c r="M10642">
        <v>98</v>
      </c>
      <c r="N10642">
        <v>14845.05</v>
      </c>
      <c r="O10642">
        <v>151.47999999999999</v>
      </c>
    </row>
    <row r="10643" spans="1:15" x14ac:dyDescent="0.35">
      <c r="A10643" t="s">
        <v>11397</v>
      </c>
      <c r="B10643" t="s">
        <v>11398</v>
      </c>
      <c r="C10643" t="s">
        <v>11188</v>
      </c>
      <c r="D10643" t="s">
        <v>339</v>
      </c>
      <c r="E10643" t="s">
        <v>298</v>
      </c>
      <c r="F10643" t="s">
        <v>11432</v>
      </c>
      <c r="G10643">
        <v>6</v>
      </c>
      <c r="H10643">
        <v>952.69999999999993</v>
      </c>
      <c r="I10643">
        <v>158.78</v>
      </c>
      <c r="J10643">
        <v>0</v>
      </c>
      <c r="K10643">
        <v>0</v>
      </c>
      <c r="L10643">
        <v>0</v>
      </c>
      <c r="M10643">
        <v>6</v>
      </c>
      <c r="N10643">
        <v>952.69999999999993</v>
      </c>
      <c r="O10643">
        <v>158.78</v>
      </c>
    </row>
    <row r="10644" spans="1:15" x14ac:dyDescent="0.35">
      <c r="A10644" t="s">
        <v>11397</v>
      </c>
      <c r="B10644" t="s">
        <v>11398</v>
      </c>
      <c r="C10644" t="s">
        <v>11188</v>
      </c>
      <c r="D10644" t="s">
        <v>339</v>
      </c>
      <c r="E10644" t="s">
        <v>300</v>
      </c>
      <c r="F10644" t="s">
        <v>11433</v>
      </c>
      <c r="G10644">
        <v>0</v>
      </c>
      <c r="H10644">
        <v>0</v>
      </c>
      <c r="I10644">
        <v>0</v>
      </c>
      <c r="J10644">
        <v>0</v>
      </c>
      <c r="K10644">
        <v>0</v>
      </c>
      <c r="L10644">
        <v>0</v>
      </c>
      <c r="M10644">
        <v>0</v>
      </c>
      <c r="N10644">
        <v>0</v>
      </c>
      <c r="O10644">
        <v>0</v>
      </c>
    </row>
    <row r="10645" spans="1:15" x14ac:dyDescent="0.35">
      <c r="A10645" t="s">
        <v>11397</v>
      </c>
      <c r="B10645" t="s">
        <v>11398</v>
      </c>
      <c r="C10645" t="s">
        <v>11188</v>
      </c>
      <c r="D10645" t="s">
        <v>339</v>
      </c>
      <c r="E10645" t="s">
        <v>306</v>
      </c>
      <c r="F10645" t="s">
        <v>11434</v>
      </c>
      <c r="G10645">
        <v>151</v>
      </c>
      <c r="H10645">
        <v>16929.53</v>
      </c>
      <c r="I10645">
        <v>112.12</v>
      </c>
      <c r="J10645">
        <v>0</v>
      </c>
      <c r="K10645">
        <v>0</v>
      </c>
      <c r="L10645">
        <v>0</v>
      </c>
      <c r="M10645">
        <v>151</v>
      </c>
      <c r="N10645">
        <v>16929.53</v>
      </c>
      <c r="O10645">
        <v>112.12</v>
      </c>
    </row>
    <row r="10646" spans="1:15" x14ac:dyDescent="0.35">
      <c r="A10646" t="s">
        <v>11397</v>
      </c>
      <c r="B10646" t="s">
        <v>11398</v>
      </c>
      <c r="C10646" t="s">
        <v>11188</v>
      </c>
      <c r="D10646" t="s">
        <v>339</v>
      </c>
      <c r="E10646" t="s">
        <v>308</v>
      </c>
      <c r="F10646" t="s">
        <v>11435</v>
      </c>
      <c r="G10646">
        <v>206</v>
      </c>
      <c r="H10646">
        <v>30690.960000000006</v>
      </c>
      <c r="I10646">
        <v>148.99</v>
      </c>
      <c r="J10646">
        <v>0</v>
      </c>
      <c r="K10646">
        <v>0</v>
      </c>
      <c r="L10646">
        <v>0</v>
      </c>
      <c r="M10646">
        <v>206</v>
      </c>
      <c r="N10646">
        <v>30690.960000000006</v>
      </c>
      <c r="O10646">
        <v>148.99</v>
      </c>
    </row>
    <row r="10647" spans="1:15" x14ac:dyDescent="0.35">
      <c r="A10647" t="s">
        <v>11397</v>
      </c>
      <c r="B10647" t="s">
        <v>11398</v>
      </c>
      <c r="C10647" t="s">
        <v>11188</v>
      </c>
      <c r="D10647" t="s">
        <v>339</v>
      </c>
      <c r="E10647" t="s">
        <v>310</v>
      </c>
      <c r="F10647" t="s">
        <v>11436</v>
      </c>
      <c r="G10647">
        <v>2033</v>
      </c>
      <c r="H10647">
        <v>273476.33</v>
      </c>
      <c r="I10647">
        <v>134.52000000000001</v>
      </c>
      <c r="J10647">
        <v>0</v>
      </c>
      <c r="K10647">
        <v>0</v>
      </c>
      <c r="L10647">
        <v>0</v>
      </c>
      <c r="M10647">
        <v>2033</v>
      </c>
      <c r="N10647">
        <v>273476.33</v>
      </c>
      <c r="O10647">
        <v>134.52000000000001</v>
      </c>
    </row>
    <row r="10648" spans="1:15" x14ac:dyDescent="0.35">
      <c r="A10648" t="s">
        <v>11397</v>
      </c>
      <c r="B10648" t="s">
        <v>11398</v>
      </c>
      <c r="C10648" t="s">
        <v>11188</v>
      </c>
      <c r="D10648" t="s">
        <v>339</v>
      </c>
      <c r="E10648" t="s">
        <v>312</v>
      </c>
      <c r="F10648" t="s">
        <v>11437</v>
      </c>
      <c r="G10648">
        <v>1827</v>
      </c>
      <c r="H10648">
        <v>242785.37</v>
      </c>
      <c r="I10648">
        <v>132.88999999999999</v>
      </c>
      <c r="J10648">
        <v>0</v>
      </c>
      <c r="K10648">
        <v>0</v>
      </c>
      <c r="L10648">
        <v>0</v>
      </c>
      <c r="M10648">
        <v>1827</v>
      </c>
      <c r="N10648">
        <v>242785.37</v>
      </c>
      <c r="O10648">
        <v>132.88999999999999</v>
      </c>
    </row>
    <row r="10649" spans="1:15" x14ac:dyDescent="0.35">
      <c r="A10649" t="s">
        <v>11397</v>
      </c>
      <c r="B10649" t="s">
        <v>11398</v>
      </c>
      <c r="C10649" t="s">
        <v>11188</v>
      </c>
      <c r="D10649" t="s">
        <v>348</v>
      </c>
      <c r="E10649" t="s">
        <v>349</v>
      </c>
      <c r="F10649" t="s">
        <v>11438</v>
      </c>
      <c r="G10649">
        <v>2533</v>
      </c>
      <c r="H10649">
        <v>273476.33</v>
      </c>
      <c r="I10649">
        <v>134.52000000000001</v>
      </c>
      <c r="J10649">
        <v>0</v>
      </c>
      <c r="K10649">
        <v>0</v>
      </c>
      <c r="L10649">
        <v>0</v>
      </c>
      <c r="M10649">
        <v>2533</v>
      </c>
      <c r="N10649">
        <v>273476.33</v>
      </c>
      <c r="O10649">
        <v>134.52000000000001</v>
      </c>
    </row>
    <row r="10650" spans="1:15" x14ac:dyDescent="0.35">
      <c r="A10650" t="s">
        <v>11439</v>
      </c>
      <c r="B10650" t="s">
        <v>11440</v>
      </c>
      <c r="C10650" t="s">
        <v>11188</v>
      </c>
      <c r="D10650" t="s">
        <v>293</v>
      </c>
      <c r="E10650" t="s">
        <v>294</v>
      </c>
      <c r="F10650" t="s">
        <v>11441</v>
      </c>
      <c r="G10650">
        <v>216</v>
      </c>
      <c r="H10650">
        <v>54019.44000000001</v>
      </c>
      <c r="I10650">
        <v>250.09</v>
      </c>
      <c r="J10650">
        <v>0</v>
      </c>
      <c r="K10650">
        <v>0</v>
      </c>
      <c r="L10650">
        <v>0</v>
      </c>
      <c r="M10650">
        <v>216</v>
      </c>
      <c r="N10650">
        <v>54019.44000000001</v>
      </c>
      <c r="O10650">
        <v>250.09</v>
      </c>
    </row>
    <row r="10651" spans="1:15" x14ac:dyDescent="0.35">
      <c r="A10651" t="s">
        <v>11439</v>
      </c>
      <c r="B10651" t="s">
        <v>11440</v>
      </c>
      <c r="C10651" t="s">
        <v>11188</v>
      </c>
      <c r="D10651" t="s">
        <v>293</v>
      </c>
      <c r="E10651" t="s">
        <v>296</v>
      </c>
      <c r="F10651" t="s">
        <v>11442</v>
      </c>
      <c r="G10651">
        <v>215</v>
      </c>
      <c r="H10651">
        <v>58845.71</v>
      </c>
      <c r="I10651">
        <v>273.7</v>
      </c>
      <c r="J10651">
        <v>0</v>
      </c>
      <c r="K10651">
        <v>0</v>
      </c>
      <c r="L10651">
        <v>0</v>
      </c>
      <c r="M10651">
        <v>215</v>
      </c>
      <c r="N10651">
        <v>58845.71</v>
      </c>
      <c r="O10651">
        <v>273.7</v>
      </c>
    </row>
    <row r="10652" spans="1:15" x14ac:dyDescent="0.35">
      <c r="A10652" t="s">
        <v>11439</v>
      </c>
      <c r="B10652" t="s">
        <v>11440</v>
      </c>
      <c r="C10652" t="s">
        <v>11188</v>
      </c>
      <c r="D10652" t="s">
        <v>293</v>
      </c>
      <c r="E10652" t="s">
        <v>298</v>
      </c>
      <c r="F10652" t="s">
        <v>11443</v>
      </c>
      <c r="G10652">
        <v>142</v>
      </c>
      <c r="H10652">
        <v>39073.56</v>
      </c>
      <c r="I10652">
        <v>275.17</v>
      </c>
      <c r="J10652">
        <v>0</v>
      </c>
      <c r="K10652">
        <v>0</v>
      </c>
      <c r="L10652">
        <v>0</v>
      </c>
      <c r="M10652">
        <v>142</v>
      </c>
      <c r="N10652">
        <v>39073.56</v>
      </c>
      <c r="O10652">
        <v>275.17</v>
      </c>
    </row>
    <row r="10653" spans="1:15" x14ac:dyDescent="0.35">
      <c r="A10653" t="s">
        <v>11439</v>
      </c>
      <c r="B10653" t="s">
        <v>11440</v>
      </c>
      <c r="C10653" t="s">
        <v>11188</v>
      </c>
      <c r="D10653" t="s">
        <v>293</v>
      </c>
      <c r="E10653" t="s">
        <v>300</v>
      </c>
      <c r="F10653" t="s">
        <v>11444</v>
      </c>
      <c r="G10653">
        <v>19</v>
      </c>
      <c r="H10653">
        <v>5456.6900000000005</v>
      </c>
      <c r="I10653">
        <v>287.19</v>
      </c>
      <c r="J10653">
        <v>0</v>
      </c>
      <c r="K10653">
        <v>0</v>
      </c>
      <c r="L10653">
        <v>0</v>
      </c>
      <c r="M10653">
        <v>19</v>
      </c>
      <c r="N10653">
        <v>5456.6900000000005</v>
      </c>
      <c r="O10653">
        <v>287.19</v>
      </c>
    </row>
    <row r="10654" spans="1:15" x14ac:dyDescent="0.35">
      <c r="A10654" t="s">
        <v>11439</v>
      </c>
      <c r="B10654" t="s">
        <v>11440</v>
      </c>
      <c r="C10654" t="s">
        <v>11188</v>
      </c>
      <c r="D10654" t="s">
        <v>293</v>
      </c>
      <c r="E10654" t="s">
        <v>302</v>
      </c>
      <c r="F10654" t="s">
        <v>11445</v>
      </c>
      <c r="G10654">
        <v>1</v>
      </c>
      <c r="H10654">
        <v>472.54</v>
      </c>
      <c r="I10654">
        <v>472.54</v>
      </c>
      <c r="J10654">
        <v>0</v>
      </c>
      <c r="K10654">
        <v>0</v>
      </c>
      <c r="L10654">
        <v>0</v>
      </c>
      <c r="M10654">
        <v>1</v>
      </c>
      <c r="N10654">
        <v>472.54</v>
      </c>
      <c r="O10654">
        <v>472.54</v>
      </c>
    </row>
    <row r="10655" spans="1:15" x14ac:dyDescent="0.35">
      <c r="A10655" t="s">
        <v>11439</v>
      </c>
      <c r="B10655" t="s">
        <v>11440</v>
      </c>
      <c r="C10655" t="s">
        <v>11188</v>
      </c>
      <c r="D10655" t="s">
        <v>293</v>
      </c>
      <c r="E10655" t="s">
        <v>304</v>
      </c>
      <c r="F10655" t="s">
        <v>11446</v>
      </c>
      <c r="G10655">
        <v>0</v>
      </c>
      <c r="H10655">
        <v>0</v>
      </c>
      <c r="I10655">
        <v>0</v>
      </c>
      <c r="J10655">
        <v>0</v>
      </c>
      <c r="K10655">
        <v>0</v>
      </c>
      <c r="L10655">
        <v>0</v>
      </c>
      <c r="M10655">
        <v>0</v>
      </c>
      <c r="N10655">
        <v>0</v>
      </c>
      <c r="O10655">
        <v>0</v>
      </c>
    </row>
    <row r="10656" spans="1:15" x14ac:dyDescent="0.35">
      <c r="A10656" t="s">
        <v>11439</v>
      </c>
      <c r="B10656" t="s">
        <v>11440</v>
      </c>
      <c r="C10656" t="s">
        <v>11188</v>
      </c>
      <c r="D10656" t="s">
        <v>293</v>
      </c>
      <c r="E10656" t="s">
        <v>306</v>
      </c>
      <c r="F10656" t="s">
        <v>11447</v>
      </c>
      <c r="G10656">
        <v>8</v>
      </c>
      <c r="H10656">
        <v>1634.59</v>
      </c>
      <c r="I10656">
        <v>204.32</v>
      </c>
      <c r="J10656">
        <v>0</v>
      </c>
      <c r="K10656">
        <v>0</v>
      </c>
      <c r="L10656">
        <v>0</v>
      </c>
      <c r="M10656">
        <v>8</v>
      </c>
      <c r="N10656">
        <v>1634.59</v>
      </c>
      <c r="O10656">
        <v>204.32</v>
      </c>
    </row>
    <row r="10657" spans="1:15" x14ac:dyDescent="0.35">
      <c r="A10657" t="s">
        <v>11439</v>
      </c>
      <c r="B10657" t="s">
        <v>11440</v>
      </c>
      <c r="C10657" t="s">
        <v>11188</v>
      </c>
      <c r="D10657" t="s">
        <v>293</v>
      </c>
      <c r="E10657" t="s">
        <v>308</v>
      </c>
      <c r="F10657" t="s">
        <v>11448</v>
      </c>
      <c r="G10657">
        <v>0</v>
      </c>
      <c r="H10657">
        <v>0</v>
      </c>
      <c r="I10657">
        <v>0</v>
      </c>
      <c r="J10657">
        <v>0</v>
      </c>
      <c r="K10657">
        <v>0</v>
      </c>
      <c r="L10657">
        <v>0</v>
      </c>
      <c r="M10657">
        <v>0</v>
      </c>
      <c r="N10657">
        <v>0</v>
      </c>
      <c r="O10657">
        <v>0</v>
      </c>
    </row>
    <row r="10658" spans="1:15" x14ac:dyDescent="0.35">
      <c r="A10658" t="s">
        <v>11439</v>
      </c>
      <c r="B10658" t="s">
        <v>11440</v>
      </c>
      <c r="C10658" t="s">
        <v>11188</v>
      </c>
      <c r="D10658" t="s">
        <v>293</v>
      </c>
      <c r="E10658" t="s">
        <v>310</v>
      </c>
      <c r="F10658" t="s">
        <v>11449</v>
      </c>
      <c r="G10658">
        <v>601</v>
      </c>
      <c r="H10658">
        <v>159502.53000000003</v>
      </c>
      <c r="I10658">
        <v>265.39999999999998</v>
      </c>
      <c r="J10658">
        <v>0</v>
      </c>
      <c r="K10658">
        <v>0</v>
      </c>
      <c r="L10658">
        <v>0</v>
      </c>
      <c r="M10658">
        <v>601</v>
      </c>
      <c r="N10658">
        <v>159502.53000000003</v>
      </c>
      <c r="O10658">
        <v>265.39999999999998</v>
      </c>
    </row>
    <row r="10659" spans="1:15" x14ac:dyDescent="0.35">
      <c r="A10659" t="s">
        <v>11439</v>
      </c>
      <c r="B10659" t="s">
        <v>11440</v>
      </c>
      <c r="C10659" t="s">
        <v>11188</v>
      </c>
      <c r="D10659" t="s">
        <v>293</v>
      </c>
      <c r="E10659" t="s">
        <v>312</v>
      </c>
      <c r="F10659" t="s">
        <v>11450</v>
      </c>
      <c r="G10659">
        <v>601</v>
      </c>
      <c r="H10659">
        <v>159502.53000000003</v>
      </c>
      <c r="I10659">
        <v>265.39999999999998</v>
      </c>
      <c r="J10659">
        <v>0</v>
      </c>
      <c r="K10659">
        <v>0</v>
      </c>
      <c r="L10659">
        <v>0</v>
      </c>
      <c r="M10659">
        <v>601</v>
      </c>
      <c r="N10659">
        <v>159502.53000000003</v>
      </c>
      <c r="O10659">
        <v>265.39999999999998</v>
      </c>
    </row>
    <row r="10660" spans="1:15" x14ac:dyDescent="0.35">
      <c r="A10660" t="s">
        <v>11439</v>
      </c>
      <c r="B10660" t="s">
        <v>11440</v>
      </c>
      <c r="C10660" t="s">
        <v>11188</v>
      </c>
      <c r="D10660" t="s">
        <v>314</v>
      </c>
      <c r="E10660" t="s">
        <v>294</v>
      </c>
      <c r="F10660" t="s">
        <v>11451</v>
      </c>
      <c r="G10660">
        <v>52</v>
      </c>
      <c r="H10660">
        <v>16703.96</v>
      </c>
      <c r="I10660">
        <v>321.23</v>
      </c>
      <c r="J10660">
        <v>0</v>
      </c>
      <c r="K10660">
        <v>0</v>
      </c>
      <c r="L10660">
        <v>0</v>
      </c>
      <c r="M10660">
        <v>52</v>
      </c>
      <c r="N10660">
        <v>16703.96</v>
      </c>
      <c r="O10660">
        <v>321.23</v>
      </c>
    </row>
    <row r="10661" spans="1:15" x14ac:dyDescent="0.35">
      <c r="A10661" t="s">
        <v>11439</v>
      </c>
      <c r="B10661" t="s">
        <v>11440</v>
      </c>
      <c r="C10661" t="s">
        <v>11188</v>
      </c>
      <c r="D10661" t="s">
        <v>314</v>
      </c>
      <c r="E10661" t="s">
        <v>296</v>
      </c>
      <c r="F10661" t="s">
        <v>11452</v>
      </c>
      <c r="G10661">
        <v>11</v>
      </c>
      <c r="H10661">
        <v>3700.46</v>
      </c>
      <c r="I10661">
        <v>336.41</v>
      </c>
      <c r="J10661">
        <v>0</v>
      </c>
      <c r="K10661">
        <v>0</v>
      </c>
      <c r="L10661">
        <v>0</v>
      </c>
      <c r="M10661">
        <v>11</v>
      </c>
      <c r="N10661">
        <v>3700.46</v>
      </c>
      <c r="O10661">
        <v>336.41</v>
      </c>
    </row>
    <row r="10662" spans="1:15" x14ac:dyDescent="0.35">
      <c r="A10662" t="s">
        <v>11439</v>
      </c>
      <c r="B10662" t="s">
        <v>11440</v>
      </c>
      <c r="C10662" t="s">
        <v>11188</v>
      </c>
      <c r="D10662" t="s">
        <v>314</v>
      </c>
      <c r="E10662" t="s">
        <v>298</v>
      </c>
      <c r="F10662" t="s">
        <v>11453</v>
      </c>
      <c r="G10662">
        <v>0</v>
      </c>
      <c r="H10662">
        <v>0</v>
      </c>
      <c r="I10662">
        <v>0</v>
      </c>
      <c r="J10662">
        <v>0</v>
      </c>
      <c r="K10662">
        <v>0</v>
      </c>
      <c r="L10662">
        <v>0</v>
      </c>
      <c r="M10662">
        <v>0</v>
      </c>
      <c r="N10662">
        <v>0</v>
      </c>
      <c r="O10662">
        <v>0</v>
      </c>
    </row>
    <row r="10663" spans="1:15" x14ac:dyDescent="0.35">
      <c r="A10663" t="s">
        <v>11439</v>
      </c>
      <c r="B10663" t="s">
        <v>11440</v>
      </c>
      <c r="C10663" t="s">
        <v>11188</v>
      </c>
      <c r="D10663" t="s">
        <v>314</v>
      </c>
      <c r="E10663" t="s">
        <v>300</v>
      </c>
      <c r="F10663" t="s">
        <v>11454</v>
      </c>
      <c r="G10663">
        <v>0</v>
      </c>
      <c r="H10663">
        <v>0</v>
      </c>
      <c r="I10663">
        <v>0</v>
      </c>
      <c r="J10663">
        <v>0</v>
      </c>
      <c r="K10663">
        <v>0</v>
      </c>
      <c r="L10663">
        <v>0</v>
      </c>
      <c r="M10663">
        <v>0</v>
      </c>
      <c r="N10663">
        <v>0</v>
      </c>
      <c r="O10663">
        <v>0</v>
      </c>
    </row>
    <row r="10664" spans="1:15" x14ac:dyDescent="0.35">
      <c r="A10664" t="s">
        <v>11439</v>
      </c>
      <c r="B10664" t="s">
        <v>11440</v>
      </c>
      <c r="C10664" t="s">
        <v>11188</v>
      </c>
      <c r="D10664" t="s">
        <v>314</v>
      </c>
      <c r="E10664" t="s">
        <v>306</v>
      </c>
      <c r="F10664" t="s">
        <v>11455</v>
      </c>
      <c r="G10664">
        <v>0</v>
      </c>
      <c r="H10664">
        <v>0</v>
      </c>
      <c r="I10664">
        <v>0</v>
      </c>
      <c r="J10664">
        <v>0</v>
      </c>
      <c r="K10664">
        <v>0</v>
      </c>
      <c r="L10664">
        <v>0</v>
      </c>
      <c r="M10664">
        <v>0</v>
      </c>
      <c r="N10664">
        <v>0</v>
      </c>
      <c r="O10664">
        <v>0</v>
      </c>
    </row>
    <row r="10665" spans="1:15" x14ac:dyDescent="0.35">
      <c r="A10665" t="s">
        <v>11439</v>
      </c>
      <c r="B10665" t="s">
        <v>11440</v>
      </c>
      <c r="C10665" t="s">
        <v>11188</v>
      </c>
      <c r="D10665" t="s">
        <v>314</v>
      </c>
      <c r="E10665" t="s">
        <v>308</v>
      </c>
      <c r="F10665" t="s">
        <v>11456</v>
      </c>
      <c r="G10665">
        <v>5</v>
      </c>
      <c r="H10665">
        <v>1857.0400000000002</v>
      </c>
      <c r="I10665">
        <v>371.41</v>
      </c>
      <c r="J10665">
        <v>0</v>
      </c>
      <c r="K10665">
        <v>0</v>
      </c>
      <c r="L10665">
        <v>0</v>
      </c>
      <c r="M10665">
        <v>5</v>
      </c>
      <c r="N10665">
        <v>1857.0400000000002</v>
      </c>
      <c r="O10665">
        <v>371.41</v>
      </c>
    </row>
    <row r="10666" spans="1:15" x14ac:dyDescent="0.35">
      <c r="A10666" t="s">
        <v>11439</v>
      </c>
      <c r="B10666" t="s">
        <v>11440</v>
      </c>
      <c r="C10666" t="s">
        <v>11188</v>
      </c>
      <c r="D10666" t="s">
        <v>314</v>
      </c>
      <c r="E10666" t="s">
        <v>312</v>
      </c>
      <c r="F10666" t="s">
        <v>11457</v>
      </c>
      <c r="G10666">
        <v>63</v>
      </c>
      <c r="H10666">
        <v>20404.419999999998</v>
      </c>
      <c r="I10666">
        <v>323.88</v>
      </c>
      <c r="J10666">
        <v>0</v>
      </c>
      <c r="K10666">
        <v>0</v>
      </c>
      <c r="L10666">
        <v>0</v>
      </c>
      <c r="M10666">
        <v>63</v>
      </c>
      <c r="N10666">
        <v>20404.419999999998</v>
      </c>
      <c r="O10666">
        <v>323.88</v>
      </c>
    </row>
    <row r="10667" spans="1:15" x14ac:dyDescent="0.35">
      <c r="A10667" t="s">
        <v>11439</v>
      </c>
      <c r="B10667" t="s">
        <v>11440</v>
      </c>
      <c r="C10667" t="s">
        <v>11188</v>
      </c>
      <c r="D10667" t="s">
        <v>314</v>
      </c>
      <c r="E10667" t="s">
        <v>310</v>
      </c>
      <c r="F10667" t="s">
        <v>11458</v>
      </c>
      <c r="G10667">
        <v>68</v>
      </c>
      <c r="H10667">
        <v>22261.46</v>
      </c>
      <c r="I10667">
        <v>327.37</v>
      </c>
      <c r="J10667">
        <v>0</v>
      </c>
      <c r="K10667">
        <v>0</v>
      </c>
      <c r="L10667">
        <v>0</v>
      </c>
      <c r="M10667">
        <v>68</v>
      </c>
      <c r="N10667">
        <v>22261.46</v>
      </c>
      <c r="O10667">
        <v>327.37</v>
      </c>
    </row>
    <row r="10668" spans="1:15" x14ac:dyDescent="0.35">
      <c r="A10668" t="s">
        <v>11439</v>
      </c>
      <c r="B10668" t="s">
        <v>11440</v>
      </c>
      <c r="C10668" t="s">
        <v>11188</v>
      </c>
      <c r="D10668" t="s">
        <v>323</v>
      </c>
      <c r="E10668" t="s">
        <v>294</v>
      </c>
      <c r="F10668" t="s">
        <v>11459</v>
      </c>
      <c r="G10668">
        <v>2051</v>
      </c>
      <c r="H10668">
        <v>310314.57</v>
      </c>
      <c r="I10668">
        <v>151.30000000000001</v>
      </c>
      <c r="J10668">
        <v>7304</v>
      </c>
      <c r="K10668">
        <v>917820.64</v>
      </c>
      <c r="L10668">
        <v>125.66</v>
      </c>
      <c r="M10668">
        <v>9355</v>
      </c>
      <c r="N10668">
        <v>1228135.21</v>
      </c>
      <c r="O10668">
        <v>131.28</v>
      </c>
    </row>
    <row r="10669" spans="1:15" x14ac:dyDescent="0.35">
      <c r="A10669" t="s">
        <v>11439</v>
      </c>
      <c r="B10669" t="s">
        <v>11440</v>
      </c>
      <c r="C10669" t="s">
        <v>11188</v>
      </c>
      <c r="D10669" t="s">
        <v>323</v>
      </c>
      <c r="E10669" t="s">
        <v>296</v>
      </c>
      <c r="F10669" t="s">
        <v>11460</v>
      </c>
      <c r="G10669">
        <v>2138</v>
      </c>
      <c r="H10669">
        <v>356430.82999999996</v>
      </c>
      <c r="I10669">
        <v>166.71</v>
      </c>
      <c r="J10669">
        <v>7131</v>
      </c>
      <c r="K10669">
        <v>1014170.82</v>
      </c>
      <c r="L10669">
        <v>142.22</v>
      </c>
      <c r="M10669">
        <v>9269</v>
      </c>
      <c r="N10669">
        <v>1370601.65</v>
      </c>
      <c r="O10669">
        <v>147.87</v>
      </c>
    </row>
    <row r="10670" spans="1:15" x14ac:dyDescent="0.35">
      <c r="A10670" t="s">
        <v>11439</v>
      </c>
      <c r="B10670" t="s">
        <v>11440</v>
      </c>
      <c r="C10670" t="s">
        <v>11188</v>
      </c>
      <c r="D10670" t="s">
        <v>323</v>
      </c>
      <c r="E10670" t="s">
        <v>298</v>
      </c>
      <c r="F10670" t="s">
        <v>11461</v>
      </c>
      <c r="G10670">
        <v>1458</v>
      </c>
      <c r="H10670">
        <v>260861.06</v>
      </c>
      <c r="I10670">
        <v>178.92</v>
      </c>
      <c r="J10670">
        <v>4734</v>
      </c>
      <c r="K10670">
        <v>751806.54</v>
      </c>
      <c r="L10670">
        <v>158.81</v>
      </c>
      <c r="M10670">
        <v>6192</v>
      </c>
      <c r="N10670">
        <v>1012667.6000000001</v>
      </c>
      <c r="O10670">
        <v>163.54</v>
      </c>
    </row>
    <row r="10671" spans="1:15" x14ac:dyDescent="0.35">
      <c r="A10671" t="s">
        <v>11439</v>
      </c>
      <c r="B10671" t="s">
        <v>11440</v>
      </c>
      <c r="C10671" t="s">
        <v>11188</v>
      </c>
      <c r="D10671" t="s">
        <v>323</v>
      </c>
      <c r="E10671" t="s">
        <v>300</v>
      </c>
      <c r="F10671" t="s">
        <v>11462</v>
      </c>
      <c r="G10671">
        <v>477</v>
      </c>
      <c r="H10671">
        <v>91548.01</v>
      </c>
      <c r="I10671">
        <v>191.92</v>
      </c>
      <c r="J10671">
        <v>1161</v>
      </c>
      <c r="K10671">
        <v>204544.98</v>
      </c>
      <c r="L10671">
        <v>176.18</v>
      </c>
      <c r="M10671">
        <v>1638</v>
      </c>
      <c r="N10671">
        <v>296092.99</v>
      </c>
      <c r="O10671">
        <v>180.76</v>
      </c>
    </row>
    <row r="10672" spans="1:15" x14ac:dyDescent="0.35">
      <c r="A10672" t="s">
        <v>11439</v>
      </c>
      <c r="B10672" t="s">
        <v>11440</v>
      </c>
      <c r="C10672" t="s">
        <v>11188</v>
      </c>
      <c r="D10672" t="s">
        <v>323</v>
      </c>
      <c r="E10672" t="s">
        <v>302</v>
      </c>
      <c r="F10672" t="s">
        <v>11463</v>
      </c>
      <c r="G10672">
        <v>62</v>
      </c>
      <c r="H10672">
        <v>12964.24</v>
      </c>
      <c r="I10672">
        <v>209.1</v>
      </c>
      <c r="J10672">
        <v>171</v>
      </c>
      <c r="K10672">
        <v>33088.5</v>
      </c>
      <c r="L10672">
        <v>193.5</v>
      </c>
      <c r="M10672">
        <v>233</v>
      </c>
      <c r="N10672">
        <v>46052.74</v>
      </c>
      <c r="O10672">
        <v>197.65</v>
      </c>
    </row>
    <row r="10673" spans="1:15" x14ac:dyDescent="0.35">
      <c r="A10673" t="s">
        <v>11439</v>
      </c>
      <c r="B10673" t="s">
        <v>11440</v>
      </c>
      <c r="C10673" t="s">
        <v>11188</v>
      </c>
      <c r="D10673" t="s">
        <v>323</v>
      </c>
      <c r="E10673" t="s">
        <v>304</v>
      </c>
      <c r="F10673" t="s">
        <v>11464</v>
      </c>
      <c r="G10673">
        <v>27</v>
      </c>
      <c r="H10673">
        <v>5806.39</v>
      </c>
      <c r="I10673">
        <v>215.05</v>
      </c>
      <c r="J10673">
        <v>45</v>
      </c>
      <c r="K10673">
        <v>9095.4</v>
      </c>
      <c r="L10673">
        <v>202.12</v>
      </c>
      <c r="M10673">
        <v>72</v>
      </c>
      <c r="N10673">
        <v>14901.79</v>
      </c>
      <c r="O10673">
        <v>206.97</v>
      </c>
    </row>
    <row r="10674" spans="1:15" x14ac:dyDescent="0.35">
      <c r="A10674" t="s">
        <v>11439</v>
      </c>
      <c r="B10674" t="s">
        <v>11440</v>
      </c>
      <c r="C10674" t="s">
        <v>11188</v>
      </c>
      <c r="D10674" t="s">
        <v>323</v>
      </c>
      <c r="E10674" t="s">
        <v>306</v>
      </c>
      <c r="F10674" t="s">
        <v>11465</v>
      </c>
      <c r="G10674">
        <v>126</v>
      </c>
      <c r="H10674">
        <v>15047.61</v>
      </c>
      <c r="I10674">
        <v>119.43</v>
      </c>
      <c r="J10674">
        <v>1880</v>
      </c>
      <c r="K10674">
        <v>197174.39999999999</v>
      </c>
      <c r="L10674">
        <v>104.88</v>
      </c>
      <c r="M10674">
        <v>2006</v>
      </c>
      <c r="N10674">
        <v>212222.01</v>
      </c>
      <c r="O10674">
        <v>105.79</v>
      </c>
    </row>
    <row r="10675" spans="1:15" x14ac:dyDescent="0.35">
      <c r="A10675" t="s">
        <v>11439</v>
      </c>
      <c r="B10675" t="s">
        <v>11440</v>
      </c>
      <c r="C10675" t="s">
        <v>11188</v>
      </c>
      <c r="D10675" t="s">
        <v>323</v>
      </c>
      <c r="E10675" t="s">
        <v>308</v>
      </c>
      <c r="F10675" t="s">
        <v>11466</v>
      </c>
      <c r="G10675">
        <v>13</v>
      </c>
      <c r="H10675">
        <v>1411.72</v>
      </c>
      <c r="I10675">
        <v>108.59</v>
      </c>
      <c r="J10675">
        <v>213</v>
      </c>
      <c r="K10675">
        <v>31089.480000000003</v>
      </c>
      <c r="L10675">
        <v>145.96</v>
      </c>
      <c r="M10675">
        <v>226</v>
      </c>
      <c r="N10675">
        <v>32501.200000000004</v>
      </c>
      <c r="O10675">
        <v>143.81</v>
      </c>
    </row>
    <row r="10676" spans="1:15" x14ac:dyDescent="0.35">
      <c r="A10676" t="s">
        <v>11439</v>
      </c>
      <c r="B10676" t="s">
        <v>11440</v>
      </c>
      <c r="C10676" t="s">
        <v>11188</v>
      </c>
      <c r="D10676" t="s">
        <v>323</v>
      </c>
      <c r="E10676" t="s">
        <v>310</v>
      </c>
      <c r="F10676" t="s">
        <v>11467</v>
      </c>
      <c r="G10676">
        <v>6352</v>
      </c>
      <c r="H10676">
        <v>1054384.43</v>
      </c>
      <c r="I10676">
        <v>165.99</v>
      </c>
      <c r="J10676">
        <v>22639</v>
      </c>
      <c r="K10676">
        <v>3158790.76</v>
      </c>
      <c r="L10676">
        <v>139.53</v>
      </c>
      <c r="M10676">
        <v>28991</v>
      </c>
      <c r="N10676">
        <v>4213175.1899999995</v>
      </c>
      <c r="O10676">
        <v>145.33000000000001</v>
      </c>
    </row>
    <row r="10677" spans="1:15" x14ac:dyDescent="0.35">
      <c r="A10677" t="s">
        <v>11439</v>
      </c>
      <c r="B10677" t="s">
        <v>11440</v>
      </c>
      <c r="C10677" t="s">
        <v>11188</v>
      </c>
      <c r="D10677" t="s">
        <v>323</v>
      </c>
      <c r="E10677" t="s">
        <v>312</v>
      </c>
      <c r="F10677" t="s">
        <v>11468</v>
      </c>
      <c r="G10677">
        <v>6339</v>
      </c>
      <c r="H10677">
        <v>1052972.71</v>
      </c>
      <c r="I10677">
        <v>166.11</v>
      </c>
      <c r="J10677">
        <v>22426</v>
      </c>
      <c r="K10677">
        <v>3127701.28</v>
      </c>
      <c r="L10677">
        <v>139.47</v>
      </c>
      <c r="M10677">
        <v>28765</v>
      </c>
      <c r="N10677">
        <v>4180673.9899999998</v>
      </c>
      <c r="O10677">
        <v>145.34</v>
      </c>
    </row>
    <row r="10678" spans="1:15" x14ac:dyDescent="0.35">
      <c r="A10678" t="s">
        <v>11439</v>
      </c>
      <c r="B10678" t="s">
        <v>11440</v>
      </c>
      <c r="C10678" t="s">
        <v>11188</v>
      </c>
      <c r="D10678" t="s">
        <v>334</v>
      </c>
      <c r="E10678" t="s">
        <v>312</v>
      </c>
      <c r="F10678" t="s">
        <v>11469</v>
      </c>
      <c r="G10678">
        <v>9309</v>
      </c>
      <c r="H10678">
        <v>1212475.24</v>
      </c>
      <c r="I10678">
        <v>174.71</v>
      </c>
      <c r="J10678">
        <v>22426</v>
      </c>
      <c r="K10678">
        <v>3127701.28</v>
      </c>
      <c r="L10678">
        <v>139.47</v>
      </c>
      <c r="M10678">
        <v>31735</v>
      </c>
      <c r="N10678">
        <v>4340176.5199999996</v>
      </c>
      <c r="O10678">
        <v>147.80000000000001</v>
      </c>
    </row>
    <row r="10679" spans="1:15" x14ac:dyDescent="0.35">
      <c r="A10679" t="s">
        <v>11439</v>
      </c>
      <c r="B10679" t="s">
        <v>11440</v>
      </c>
      <c r="C10679" t="s">
        <v>11188</v>
      </c>
      <c r="D10679" t="s">
        <v>334</v>
      </c>
      <c r="E10679" t="s">
        <v>308</v>
      </c>
      <c r="F10679" t="s">
        <v>11470</v>
      </c>
      <c r="G10679">
        <v>502</v>
      </c>
      <c r="H10679">
        <v>1411.72</v>
      </c>
      <c r="I10679">
        <v>108.59</v>
      </c>
      <c r="J10679">
        <v>213</v>
      </c>
      <c r="K10679">
        <v>31089.480000000003</v>
      </c>
      <c r="L10679">
        <v>145.96</v>
      </c>
      <c r="M10679">
        <v>715</v>
      </c>
      <c r="N10679">
        <v>32501.200000000004</v>
      </c>
      <c r="O10679">
        <v>143.81</v>
      </c>
    </row>
    <row r="10680" spans="1:15" x14ac:dyDescent="0.35">
      <c r="A10680" t="s">
        <v>11439</v>
      </c>
      <c r="B10680" t="s">
        <v>11440</v>
      </c>
      <c r="C10680" t="s">
        <v>11188</v>
      </c>
      <c r="D10680" t="s">
        <v>337</v>
      </c>
      <c r="E10680" t="s">
        <v>337</v>
      </c>
      <c r="F10680" t="s">
        <v>11471</v>
      </c>
      <c r="G10680">
        <v>557</v>
      </c>
      <c r="J10680">
        <v>15</v>
      </c>
      <c r="M10680">
        <v>572</v>
      </c>
    </row>
    <row r="10681" spans="1:15" x14ac:dyDescent="0.35">
      <c r="A10681" t="s">
        <v>11439</v>
      </c>
      <c r="B10681" t="s">
        <v>11440</v>
      </c>
      <c r="C10681" t="s">
        <v>11188</v>
      </c>
      <c r="D10681" t="s">
        <v>339</v>
      </c>
      <c r="E10681" t="s">
        <v>294</v>
      </c>
      <c r="F10681" t="s">
        <v>11472</v>
      </c>
      <c r="G10681">
        <v>726</v>
      </c>
      <c r="H10681">
        <v>114350.92000000001</v>
      </c>
      <c r="I10681">
        <v>157.51</v>
      </c>
      <c r="J10681">
        <v>0</v>
      </c>
      <c r="K10681">
        <v>0</v>
      </c>
      <c r="L10681">
        <v>0</v>
      </c>
      <c r="M10681">
        <v>726</v>
      </c>
      <c r="N10681">
        <v>114350.92000000001</v>
      </c>
      <c r="O10681">
        <v>157.51</v>
      </c>
    </row>
    <row r="10682" spans="1:15" x14ac:dyDescent="0.35">
      <c r="A10682" t="s">
        <v>11439</v>
      </c>
      <c r="B10682" t="s">
        <v>11440</v>
      </c>
      <c r="C10682" t="s">
        <v>11188</v>
      </c>
      <c r="D10682" t="s">
        <v>339</v>
      </c>
      <c r="E10682" t="s">
        <v>296</v>
      </c>
      <c r="F10682" t="s">
        <v>11473</v>
      </c>
      <c r="G10682">
        <v>45</v>
      </c>
      <c r="H10682">
        <v>7566.9699999999993</v>
      </c>
      <c r="I10682">
        <v>168.15</v>
      </c>
      <c r="J10682">
        <v>0</v>
      </c>
      <c r="K10682">
        <v>0</v>
      </c>
      <c r="L10682">
        <v>0</v>
      </c>
      <c r="M10682">
        <v>45</v>
      </c>
      <c r="N10682">
        <v>7566.9699999999993</v>
      </c>
      <c r="O10682">
        <v>168.15</v>
      </c>
    </row>
    <row r="10683" spans="1:15" x14ac:dyDescent="0.35">
      <c r="A10683" t="s">
        <v>11439</v>
      </c>
      <c r="B10683" t="s">
        <v>11440</v>
      </c>
      <c r="C10683" t="s">
        <v>11188</v>
      </c>
      <c r="D10683" t="s">
        <v>339</v>
      </c>
      <c r="E10683" t="s">
        <v>298</v>
      </c>
      <c r="F10683" t="s">
        <v>11474</v>
      </c>
      <c r="G10683">
        <v>4</v>
      </c>
      <c r="H10683">
        <v>723.11</v>
      </c>
      <c r="I10683">
        <v>180.78</v>
      </c>
      <c r="J10683">
        <v>0</v>
      </c>
      <c r="K10683">
        <v>0</v>
      </c>
      <c r="L10683">
        <v>0</v>
      </c>
      <c r="M10683">
        <v>4</v>
      </c>
      <c r="N10683">
        <v>723.11</v>
      </c>
      <c r="O10683">
        <v>180.78</v>
      </c>
    </row>
    <row r="10684" spans="1:15" x14ac:dyDescent="0.35">
      <c r="A10684" t="s">
        <v>11439</v>
      </c>
      <c r="B10684" t="s">
        <v>11440</v>
      </c>
      <c r="C10684" t="s">
        <v>11188</v>
      </c>
      <c r="D10684" t="s">
        <v>339</v>
      </c>
      <c r="E10684" t="s">
        <v>300</v>
      </c>
      <c r="F10684" t="s">
        <v>11475</v>
      </c>
      <c r="G10684">
        <v>0</v>
      </c>
      <c r="H10684">
        <v>0</v>
      </c>
      <c r="I10684">
        <v>0</v>
      </c>
      <c r="J10684">
        <v>0</v>
      </c>
      <c r="K10684">
        <v>0</v>
      </c>
      <c r="L10684">
        <v>0</v>
      </c>
      <c r="M10684">
        <v>0</v>
      </c>
      <c r="N10684">
        <v>0</v>
      </c>
      <c r="O10684">
        <v>0</v>
      </c>
    </row>
    <row r="10685" spans="1:15" x14ac:dyDescent="0.35">
      <c r="A10685" t="s">
        <v>11439</v>
      </c>
      <c r="B10685" t="s">
        <v>11440</v>
      </c>
      <c r="C10685" t="s">
        <v>11188</v>
      </c>
      <c r="D10685" t="s">
        <v>339</v>
      </c>
      <c r="E10685" t="s">
        <v>306</v>
      </c>
      <c r="F10685" t="s">
        <v>11476</v>
      </c>
      <c r="G10685">
        <v>427</v>
      </c>
      <c r="H10685">
        <v>55396.31</v>
      </c>
      <c r="I10685">
        <v>129.72999999999999</v>
      </c>
      <c r="J10685">
        <v>0</v>
      </c>
      <c r="K10685">
        <v>0</v>
      </c>
      <c r="L10685">
        <v>0</v>
      </c>
      <c r="M10685">
        <v>427</v>
      </c>
      <c r="N10685">
        <v>55396.31</v>
      </c>
      <c r="O10685">
        <v>129.72999999999999</v>
      </c>
    </row>
    <row r="10686" spans="1:15" x14ac:dyDescent="0.35">
      <c r="A10686" t="s">
        <v>11439</v>
      </c>
      <c r="B10686" t="s">
        <v>11440</v>
      </c>
      <c r="C10686" t="s">
        <v>11188</v>
      </c>
      <c r="D10686" t="s">
        <v>339</v>
      </c>
      <c r="E10686" t="s">
        <v>308</v>
      </c>
      <c r="F10686" t="s">
        <v>11477</v>
      </c>
      <c r="G10686">
        <v>882</v>
      </c>
      <c r="H10686">
        <v>114103.36999999998</v>
      </c>
      <c r="I10686">
        <v>129.37</v>
      </c>
      <c r="J10686">
        <v>0</v>
      </c>
      <c r="K10686">
        <v>0</v>
      </c>
      <c r="L10686">
        <v>0</v>
      </c>
      <c r="M10686">
        <v>882</v>
      </c>
      <c r="N10686">
        <v>114103.36999999998</v>
      </c>
      <c r="O10686">
        <v>129.37</v>
      </c>
    </row>
    <row r="10687" spans="1:15" x14ac:dyDescent="0.35">
      <c r="A10687" t="s">
        <v>11439</v>
      </c>
      <c r="B10687" t="s">
        <v>11440</v>
      </c>
      <c r="C10687" t="s">
        <v>11188</v>
      </c>
      <c r="D10687" t="s">
        <v>339</v>
      </c>
      <c r="E10687" t="s">
        <v>310</v>
      </c>
      <c r="F10687" t="s">
        <v>11478</v>
      </c>
      <c r="G10687">
        <v>2084</v>
      </c>
      <c r="H10687">
        <v>292140.68</v>
      </c>
      <c r="I10687">
        <v>140.18</v>
      </c>
      <c r="J10687">
        <v>0</v>
      </c>
      <c r="K10687">
        <v>0</v>
      </c>
      <c r="L10687">
        <v>0</v>
      </c>
      <c r="M10687">
        <v>2084</v>
      </c>
      <c r="N10687">
        <v>292140.68</v>
      </c>
      <c r="O10687">
        <v>140.18</v>
      </c>
    </row>
    <row r="10688" spans="1:15" x14ac:dyDescent="0.35">
      <c r="A10688" t="s">
        <v>11439</v>
      </c>
      <c r="B10688" t="s">
        <v>11440</v>
      </c>
      <c r="C10688" t="s">
        <v>11188</v>
      </c>
      <c r="D10688" t="s">
        <v>339</v>
      </c>
      <c r="E10688" t="s">
        <v>312</v>
      </c>
      <c r="F10688" t="s">
        <v>11479</v>
      </c>
      <c r="G10688">
        <v>1202</v>
      </c>
      <c r="H10688">
        <v>178037.31</v>
      </c>
      <c r="I10688">
        <v>148.12</v>
      </c>
      <c r="J10688">
        <v>0</v>
      </c>
      <c r="K10688">
        <v>0</v>
      </c>
      <c r="L10688">
        <v>0</v>
      </c>
      <c r="M10688">
        <v>1202</v>
      </c>
      <c r="N10688">
        <v>178037.31</v>
      </c>
      <c r="O10688">
        <v>148.12</v>
      </c>
    </row>
    <row r="10689" spans="1:15" x14ac:dyDescent="0.35">
      <c r="A10689" t="s">
        <v>11439</v>
      </c>
      <c r="B10689" t="s">
        <v>11440</v>
      </c>
      <c r="C10689" t="s">
        <v>11188</v>
      </c>
      <c r="D10689" t="s">
        <v>348</v>
      </c>
      <c r="E10689" t="s">
        <v>349</v>
      </c>
      <c r="F10689" t="s">
        <v>11480</v>
      </c>
      <c r="G10689">
        <v>2299</v>
      </c>
      <c r="H10689">
        <v>314402.13999999996</v>
      </c>
      <c r="I10689">
        <v>146.1</v>
      </c>
      <c r="J10689">
        <v>0</v>
      </c>
      <c r="K10689">
        <v>0</v>
      </c>
      <c r="L10689">
        <v>0</v>
      </c>
      <c r="M10689">
        <v>2299</v>
      </c>
      <c r="N10689">
        <v>314402.13999999996</v>
      </c>
      <c r="O10689">
        <v>146.1</v>
      </c>
    </row>
    <row r="10690" spans="1:15" x14ac:dyDescent="0.35">
      <c r="A10690" t="s">
        <v>11481</v>
      </c>
      <c r="B10690" t="s">
        <v>11482</v>
      </c>
      <c r="C10690" t="s">
        <v>11188</v>
      </c>
      <c r="D10690" t="s">
        <v>293</v>
      </c>
      <c r="E10690" t="s">
        <v>294</v>
      </c>
      <c r="F10690" t="s">
        <v>11483</v>
      </c>
      <c r="G10690">
        <v>673</v>
      </c>
      <c r="H10690">
        <v>131878.11000000002</v>
      </c>
      <c r="I10690">
        <v>195.96</v>
      </c>
      <c r="J10690">
        <v>86</v>
      </c>
      <c r="K10690">
        <v>15852.380000000001</v>
      </c>
      <c r="L10690">
        <v>184.33</v>
      </c>
      <c r="M10690">
        <v>759</v>
      </c>
      <c r="N10690">
        <v>147730.49000000002</v>
      </c>
      <c r="O10690">
        <v>194.64</v>
      </c>
    </row>
    <row r="10691" spans="1:15" x14ac:dyDescent="0.35">
      <c r="A10691" t="s">
        <v>11481</v>
      </c>
      <c r="B10691" t="s">
        <v>11482</v>
      </c>
      <c r="C10691" t="s">
        <v>11188</v>
      </c>
      <c r="D10691" t="s">
        <v>293</v>
      </c>
      <c r="E10691" t="s">
        <v>296</v>
      </c>
      <c r="F10691" t="s">
        <v>11484</v>
      </c>
      <c r="G10691">
        <v>1155</v>
      </c>
      <c r="H10691">
        <v>267870.48</v>
      </c>
      <c r="I10691">
        <v>231.92</v>
      </c>
      <c r="J10691">
        <v>148</v>
      </c>
      <c r="K10691">
        <v>28658.719999999998</v>
      </c>
      <c r="L10691">
        <v>193.64</v>
      </c>
      <c r="M10691">
        <v>1303</v>
      </c>
      <c r="N10691">
        <v>296529.19999999995</v>
      </c>
      <c r="O10691">
        <v>227.57</v>
      </c>
    </row>
    <row r="10692" spans="1:15" x14ac:dyDescent="0.35">
      <c r="A10692" t="s">
        <v>11481</v>
      </c>
      <c r="B10692" t="s">
        <v>11482</v>
      </c>
      <c r="C10692" t="s">
        <v>11188</v>
      </c>
      <c r="D10692" t="s">
        <v>293</v>
      </c>
      <c r="E10692" t="s">
        <v>298</v>
      </c>
      <c r="F10692" t="s">
        <v>11485</v>
      </c>
      <c r="G10692">
        <v>593</v>
      </c>
      <c r="H10692">
        <v>159528.38999999998</v>
      </c>
      <c r="I10692">
        <v>269.02</v>
      </c>
      <c r="J10692">
        <v>47</v>
      </c>
      <c r="K10692">
        <v>10372.43</v>
      </c>
      <c r="L10692">
        <v>220.69</v>
      </c>
      <c r="M10692">
        <v>640</v>
      </c>
      <c r="N10692">
        <v>169900.81999999998</v>
      </c>
      <c r="O10692">
        <v>265.47000000000003</v>
      </c>
    </row>
    <row r="10693" spans="1:15" x14ac:dyDescent="0.35">
      <c r="A10693" t="s">
        <v>11481</v>
      </c>
      <c r="B10693" t="s">
        <v>11482</v>
      </c>
      <c r="C10693" t="s">
        <v>11188</v>
      </c>
      <c r="D10693" t="s">
        <v>293</v>
      </c>
      <c r="E10693" t="s">
        <v>300</v>
      </c>
      <c r="F10693" t="s">
        <v>11486</v>
      </c>
      <c r="G10693">
        <v>81</v>
      </c>
      <c r="H10693">
        <v>23498.470000000005</v>
      </c>
      <c r="I10693">
        <v>290.10000000000002</v>
      </c>
      <c r="J10693">
        <v>11</v>
      </c>
      <c r="K10693">
        <v>2927.43</v>
      </c>
      <c r="L10693">
        <v>266.13</v>
      </c>
      <c r="M10693">
        <v>92</v>
      </c>
      <c r="N10693">
        <v>26425.900000000005</v>
      </c>
      <c r="O10693">
        <v>287.24</v>
      </c>
    </row>
    <row r="10694" spans="1:15" x14ac:dyDescent="0.35">
      <c r="A10694" t="s">
        <v>11481</v>
      </c>
      <c r="B10694" t="s">
        <v>11482</v>
      </c>
      <c r="C10694" t="s">
        <v>11188</v>
      </c>
      <c r="D10694" t="s">
        <v>293</v>
      </c>
      <c r="E10694" t="s">
        <v>302</v>
      </c>
      <c r="F10694" t="s">
        <v>11487</v>
      </c>
      <c r="G10694">
        <v>1</v>
      </c>
      <c r="H10694">
        <v>252.83</v>
      </c>
      <c r="I10694">
        <v>252.83</v>
      </c>
      <c r="J10694">
        <v>2</v>
      </c>
      <c r="K10694">
        <v>517.46</v>
      </c>
      <c r="L10694">
        <v>258.73</v>
      </c>
      <c r="M10694">
        <v>3</v>
      </c>
      <c r="N10694">
        <v>770.29000000000008</v>
      </c>
      <c r="O10694">
        <v>256.76</v>
      </c>
    </row>
    <row r="10695" spans="1:15" x14ac:dyDescent="0.35">
      <c r="A10695" t="s">
        <v>11481</v>
      </c>
      <c r="B10695" t="s">
        <v>11482</v>
      </c>
      <c r="C10695" t="s">
        <v>11188</v>
      </c>
      <c r="D10695" t="s">
        <v>293</v>
      </c>
      <c r="E10695" t="s">
        <v>304</v>
      </c>
      <c r="F10695" t="s">
        <v>11488</v>
      </c>
      <c r="G10695">
        <v>0</v>
      </c>
      <c r="H10695">
        <v>0</v>
      </c>
      <c r="I10695">
        <v>0</v>
      </c>
      <c r="J10695">
        <v>2</v>
      </c>
      <c r="K10695">
        <v>528.86</v>
      </c>
      <c r="L10695">
        <v>264.43</v>
      </c>
      <c r="M10695">
        <v>2</v>
      </c>
      <c r="N10695">
        <v>528.86</v>
      </c>
      <c r="O10695">
        <v>264.43</v>
      </c>
    </row>
    <row r="10696" spans="1:15" x14ac:dyDescent="0.35">
      <c r="A10696" t="s">
        <v>11481</v>
      </c>
      <c r="B10696" t="s">
        <v>11482</v>
      </c>
      <c r="C10696" t="s">
        <v>11188</v>
      </c>
      <c r="D10696" t="s">
        <v>293</v>
      </c>
      <c r="E10696" t="s">
        <v>306</v>
      </c>
      <c r="F10696" t="s">
        <v>11489</v>
      </c>
      <c r="G10696">
        <v>35</v>
      </c>
      <c r="H10696">
        <v>6604.24</v>
      </c>
      <c r="I10696">
        <v>188.69</v>
      </c>
      <c r="J10696">
        <v>0</v>
      </c>
      <c r="K10696">
        <v>0</v>
      </c>
      <c r="L10696">
        <v>0</v>
      </c>
      <c r="M10696">
        <v>35</v>
      </c>
      <c r="N10696">
        <v>6604.24</v>
      </c>
      <c r="O10696">
        <v>188.69</v>
      </c>
    </row>
    <row r="10697" spans="1:15" x14ac:dyDescent="0.35">
      <c r="A10697" t="s">
        <v>11481</v>
      </c>
      <c r="B10697" t="s">
        <v>11482</v>
      </c>
      <c r="C10697" t="s">
        <v>11188</v>
      </c>
      <c r="D10697" t="s">
        <v>293</v>
      </c>
      <c r="E10697" t="s">
        <v>308</v>
      </c>
      <c r="F10697" t="s">
        <v>11490</v>
      </c>
      <c r="G10697">
        <v>28</v>
      </c>
      <c r="H10697">
        <v>2647.6800000000003</v>
      </c>
      <c r="I10697">
        <v>94.56</v>
      </c>
      <c r="J10697">
        <v>0</v>
      </c>
      <c r="K10697">
        <v>0</v>
      </c>
      <c r="L10697">
        <v>0</v>
      </c>
      <c r="M10697">
        <v>28</v>
      </c>
      <c r="N10697">
        <v>2647.6800000000003</v>
      </c>
      <c r="O10697">
        <v>94.56</v>
      </c>
    </row>
    <row r="10698" spans="1:15" x14ac:dyDescent="0.35">
      <c r="A10698" t="s">
        <v>11481</v>
      </c>
      <c r="B10698" t="s">
        <v>11482</v>
      </c>
      <c r="C10698" t="s">
        <v>11188</v>
      </c>
      <c r="D10698" t="s">
        <v>293</v>
      </c>
      <c r="E10698" t="s">
        <v>310</v>
      </c>
      <c r="F10698" t="s">
        <v>11491</v>
      </c>
      <c r="G10698">
        <v>2566</v>
      </c>
      <c r="H10698">
        <v>592280.19999999995</v>
      </c>
      <c r="I10698">
        <v>230.82</v>
      </c>
      <c r="J10698">
        <v>296</v>
      </c>
      <c r="K10698">
        <v>58857.279999999999</v>
      </c>
      <c r="L10698">
        <v>198.84</v>
      </c>
      <c r="M10698">
        <v>2862</v>
      </c>
      <c r="N10698">
        <v>651137.48</v>
      </c>
      <c r="O10698">
        <v>227.51</v>
      </c>
    </row>
    <row r="10699" spans="1:15" x14ac:dyDescent="0.35">
      <c r="A10699" t="s">
        <v>11481</v>
      </c>
      <c r="B10699" t="s">
        <v>11482</v>
      </c>
      <c r="C10699" t="s">
        <v>11188</v>
      </c>
      <c r="D10699" t="s">
        <v>293</v>
      </c>
      <c r="E10699" t="s">
        <v>312</v>
      </c>
      <c r="F10699" t="s">
        <v>11492</v>
      </c>
      <c r="G10699">
        <v>2538</v>
      </c>
      <c r="H10699">
        <v>589632.5199999999</v>
      </c>
      <c r="I10699">
        <v>232.32</v>
      </c>
      <c r="J10699">
        <v>296</v>
      </c>
      <c r="K10699">
        <v>58857.279999999999</v>
      </c>
      <c r="L10699">
        <v>198.84</v>
      </c>
      <c r="M10699">
        <v>2834</v>
      </c>
      <c r="N10699">
        <v>648489.79999999993</v>
      </c>
      <c r="O10699">
        <v>228.82</v>
      </c>
    </row>
    <row r="10700" spans="1:15" x14ac:dyDescent="0.35">
      <c r="A10700" t="s">
        <v>11481</v>
      </c>
      <c r="B10700" t="s">
        <v>11482</v>
      </c>
      <c r="C10700" t="s">
        <v>11188</v>
      </c>
      <c r="D10700" t="s">
        <v>314</v>
      </c>
      <c r="E10700" t="s">
        <v>294</v>
      </c>
      <c r="F10700" t="s">
        <v>11493</v>
      </c>
      <c r="G10700">
        <v>61</v>
      </c>
      <c r="H10700">
        <v>15645.01</v>
      </c>
      <c r="I10700">
        <v>256.48</v>
      </c>
      <c r="J10700">
        <v>0</v>
      </c>
      <c r="K10700">
        <v>0</v>
      </c>
      <c r="L10700">
        <v>0</v>
      </c>
      <c r="M10700">
        <v>61</v>
      </c>
      <c r="N10700">
        <v>15645.01</v>
      </c>
      <c r="O10700">
        <v>256.48</v>
      </c>
    </row>
    <row r="10701" spans="1:15" x14ac:dyDescent="0.35">
      <c r="A10701" t="s">
        <v>11481</v>
      </c>
      <c r="B10701" t="s">
        <v>11482</v>
      </c>
      <c r="C10701" t="s">
        <v>11188</v>
      </c>
      <c r="D10701" t="s">
        <v>314</v>
      </c>
      <c r="E10701" t="s">
        <v>296</v>
      </c>
      <c r="F10701" t="s">
        <v>11494</v>
      </c>
      <c r="G10701">
        <v>4</v>
      </c>
      <c r="H10701">
        <v>892.56</v>
      </c>
      <c r="I10701">
        <v>223.14</v>
      </c>
      <c r="J10701">
        <v>0</v>
      </c>
      <c r="K10701">
        <v>0</v>
      </c>
      <c r="L10701">
        <v>0</v>
      </c>
      <c r="M10701">
        <v>4</v>
      </c>
      <c r="N10701">
        <v>892.56</v>
      </c>
      <c r="O10701">
        <v>223.14</v>
      </c>
    </row>
    <row r="10702" spans="1:15" x14ac:dyDescent="0.35">
      <c r="A10702" t="s">
        <v>11481</v>
      </c>
      <c r="B10702" t="s">
        <v>11482</v>
      </c>
      <c r="C10702" t="s">
        <v>11188</v>
      </c>
      <c r="D10702" t="s">
        <v>314</v>
      </c>
      <c r="E10702" t="s">
        <v>298</v>
      </c>
      <c r="F10702" t="s">
        <v>11495</v>
      </c>
      <c r="G10702">
        <v>0</v>
      </c>
      <c r="H10702">
        <v>0</v>
      </c>
      <c r="I10702">
        <v>0</v>
      </c>
      <c r="J10702">
        <v>0</v>
      </c>
      <c r="K10702">
        <v>0</v>
      </c>
      <c r="L10702">
        <v>0</v>
      </c>
      <c r="M10702">
        <v>0</v>
      </c>
      <c r="N10702">
        <v>0</v>
      </c>
      <c r="O10702">
        <v>0</v>
      </c>
    </row>
    <row r="10703" spans="1:15" x14ac:dyDescent="0.35">
      <c r="A10703" t="s">
        <v>11481</v>
      </c>
      <c r="B10703" t="s">
        <v>11482</v>
      </c>
      <c r="C10703" t="s">
        <v>11188</v>
      </c>
      <c r="D10703" t="s">
        <v>314</v>
      </c>
      <c r="E10703" t="s">
        <v>300</v>
      </c>
      <c r="F10703" t="s">
        <v>11496</v>
      </c>
      <c r="G10703">
        <v>0</v>
      </c>
      <c r="H10703">
        <v>0</v>
      </c>
      <c r="I10703">
        <v>0</v>
      </c>
      <c r="J10703">
        <v>0</v>
      </c>
      <c r="K10703">
        <v>0</v>
      </c>
      <c r="L10703">
        <v>0</v>
      </c>
      <c r="M10703">
        <v>0</v>
      </c>
      <c r="N10703">
        <v>0</v>
      </c>
      <c r="O10703">
        <v>0</v>
      </c>
    </row>
    <row r="10704" spans="1:15" x14ac:dyDescent="0.35">
      <c r="A10704" t="s">
        <v>11481</v>
      </c>
      <c r="B10704" t="s">
        <v>11482</v>
      </c>
      <c r="C10704" t="s">
        <v>11188</v>
      </c>
      <c r="D10704" t="s">
        <v>314</v>
      </c>
      <c r="E10704" t="s">
        <v>306</v>
      </c>
      <c r="F10704" t="s">
        <v>11497</v>
      </c>
      <c r="G10704">
        <v>0</v>
      </c>
      <c r="H10704">
        <v>0</v>
      </c>
      <c r="I10704">
        <v>0</v>
      </c>
      <c r="J10704">
        <v>0</v>
      </c>
      <c r="K10704">
        <v>0</v>
      </c>
      <c r="L10704">
        <v>0</v>
      </c>
      <c r="M10704">
        <v>0</v>
      </c>
      <c r="N10704">
        <v>0</v>
      </c>
      <c r="O10704">
        <v>0</v>
      </c>
    </row>
    <row r="10705" spans="1:15" x14ac:dyDescent="0.35">
      <c r="A10705" t="s">
        <v>11481</v>
      </c>
      <c r="B10705" t="s">
        <v>11482</v>
      </c>
      <c r="C10705" t="s">
        <v>11188</v>
      </c>
      <c r="D10705" t="s">
        <v>314</v>
      </c>
      <c r="E10705" t="s">
        <v>308</v>
      </c>
      <c r="F10705" t="s">
        <v>11498</v>
      </c>
      <c r="G10705">
        <v>0</v>
      </c>
      <c r="H10705">
        <v>0</v>
      </c>
      <c r="I10705">
        <v>0</v>
      </c>
      <c r="J10705">
        <v>0</v>
      </c>
      <c r="K10705">
        <v>0</v>
      </c>
      <c r="L10705">
        <v>0</v>
      </c>
      <c r="M10705">
        <v>0</v>
      </c>
      <c r="N10705">
        <v>0</v>
      </c>
      <c r="O10705">
        <v>0</v>
      </c>
    </row>
    <row r="10706" spans="1:15" x14ac:dyDescent="0.35">
      <c r="A10706" t="s">
        <v>11481</v>
      </c>
      <c r="B10706" t="s">
        <v>11482</v>
      </c>
      <c r="C10706" t="s">
        <v>11188</v>
      </c>
      <c r="D10706" t="s">
        <v>314</v>
      </c>
      <c r="E10706" t="s">
        <v>312</v>
      </c>
      <c r="F10706" t="s">
        <v>11499</v>
      </c>
      <c r="G10706">
        <v>65</v>
      </c>
      <c r="H10706">
        <v>16537.57</v>
      </c>
      <c r="I10706">
        <v>254.42</v>
      </c>
      <c r="J10706">
        <v>0</v>
      </c>
      <c r="K10706">
        <v>0</v>
      </c>
      <c r="L10706">
        <v>0</v>
      </c>
      <c r="M10706">
        <v>65</v>
      </c>
      <c r="N10706">
        <v>16537.57</v>
      </c>
      <c r="O10706">
        <v>254.42</v>
      </c>
    </row>
    <row r="10707" spans="1:15" x14ac:dyDescent="0.35">
      <c r="A10707" t="s">
        <v>11481</v>
      </c>
      <c r="B10707" t="s">
        <v>11482</v>
      </c>
      <c r="C10707" t="s">
        <v>11188</v>
      </c>
      <c r="D10707" t="s">
        <v>314</v>
      </c>
      <c r="E10707" t="s">
        <v>310</v>
      </c>
      <c r="F10707" t="s">
        <v>11500</v>
      </c>
      <c r="G10707">
        <v>65</v>
      </c>
      <c r="H10707">
        <v>16537.57</v>
      </c>
      <c r="I10707">
        <v>254.42</v>
      </c>
      <c r="J10707">
        <v>0</v>
      </c>
      <c r="K10707">
        <v>0</v>
      </c>
      <c r="L10707">
        <v>0</v>
      </c>
      <c r="M10707">
        <v>65</v>
      </c>
      <c r="N10707">
        <v>16537.57</v>
      </c>
      <c r="O10707">
        <v>254.42</v>
      </c>
    </row>
    <row r="10708" spans="1:15" x14ac:dyDescent="0.35">
      <c r="A10708" t="s">
        <v>11481</v>
      </c>
      <c r="B10708" t="s">
        <v>11482</v>
      </c>
      <c r="C10708" t="s">
        <v>11188</v>
      </c>
      <c r="D10708" t="s">
        <v>323</v>
      </c>
      <c r="E10708" t="s">
        <v>294</v>
      </c>
      <c r="F10708" t="s">
        <v>11501</v>
      </c>
      <c r="G10708">
        <v>1268</v>
      </c>
      <c r="H10708">
        <v>155389.28</v>
      </c>
      <c r="I10708">
        <v>122.55</v>
      </c>
      <c r="J10708">
        <v>2662</v>
      </c>
      <c r="K10708">
        <v>284354.83999999997</v>
      </c>
      <c r="L10708">
        <v>106.82</v>
      </c>
      <c r="M10708">
        <v>3930</v>
      </c>
      <c r="N10708">
        <v>439744.12</v>
      </c>
      <c r="O10708">
        <v>111.89</v>
      </c>
    </row>
    <row r="10709" spans="1:15" x14ac:dyDescent="0.35">
      <c r="A10709" t="s">
        <v>11481</v>
      </c>
      <c r="B10709" t="s">
        <v>11482</v>
      </c>
      <c r="C10709" t="s">
        <v>11188</v>
      </c>
      <c r="D10709" t="s">
        <v>323</v>
      </c>
      <c r="E10709" t="s">
        <v>296</v>
      </c>
      <c r="F10709" t="s">
        <v>11502</v>
      </c>
      <c r="G10709">
        <v>3300</v>
      </c>
      <c r="H10709">
        <v>468898.40000000008</v>
      </c>
      <c r="I10709">
        <v>142.09</v>
      </c>
      <c r="J10709">
        <v>4363</v>
      </c>
      <c r="K10709">
        <v>553621.06999999995</v>
      </c>
      <c r="L10709">
        <v>126.89</v>
      </c>
      <c r="M10709">
        <v>7663</v>
      </c>
      <c r="N10709">
        <v>1022519.47</v>
      </c>
      <c r="O10709">
        <v>133.44</v>
      </c>
    </row>
    <row r="10710" spans="1:15" x14ac:dyDescent="0.35">
      <c r="A10710" t="s">
        <v>11481</v>
      </c>
      <c r="B10710" t="s">
        <v>11482</v>
      </c>
      <c r="C10710" t="s">
        <v>11188</v>
      </c>
      <c r="D10710" t="s">
        <v>323</v>
      </c>
      <c r="E10710" t="s">
        <v>298</v>
      </c>
      <c r="F10710" t="s">
        <v>11503</v>
      </c>
      <c r="G10710">
        <v>3167</v>
      </c>
      <c r="H10710">
        <v>516369.48999999993</v>
      </c>
      <c r="I10710">
        <v>163.05000000000001</v>
      </c>
      <c r="J10710">
        <v>3993</v>
      </c>
      <c r="K10710">
        <v>611527.95000000007</v>
      </c>
      <c r="L10710">
        <v>153.15</v>
      </c>
      <c r="M10710">
        <v>7160</v>
      </c>
      <c r="N10710">
        <v>1127897.44</v>
      </c>
      <c r="O10710">
        <v>157.53</v>
      </c>
    </row>
    <row r="10711" spans="1:15" x14ac:dyDescent="0.35">
      <c r="A10711" t="s">
        <v>11481</v>
      </c>
      <c r="B10711" t="s">
        <v>11482</v>
      </c>
      <c r="C10711" t="s">
        <v>11188</v>
      </c>
      <c r="D10711" t="s">
        <v>323</v>
      </c>
      <c r="E10711" t="s">
        <v>300</v>
      </c>
      <c r="F10711" t="s">
        <v>11504</v>
      </c>
      <c r="G10711">
        <v>787</v>
      </c>
      <c r="H10711">
        <v>145206.43999999997</v>
      </c>
      <c r="I10711">
        <v>184.51</v>
      </c>
      <c r="J10711">
        <v>337</v>
      </c>
      <c r="K10711">
        <v>58304.369999999995</v>
      </c>
      <c r="L10711">
        <v>173.01</v>
      </c>
      <c r="M10711">
        <v>1124</v>
      </c>
      <c r="N10711">
        <v>203510.80999999997</v>
      </c>
      <c r="O10711">
        <v>181.06</v>
      </c>
    </row>
    <row r="10712" spans="1:15" x14ac:dyDescent="0.35">
      <c r="A10712" t="s">
        <v>11481</v>
      </c>
      <c r="B10712" t="s">
        <v>11482</v>
      </c>
      <c r="C10712" t="s">
        <v>11188</v>
      </c>
      <c r="D10712" t="s">
        <v>323</v>
      </c>
      <c r="E10712" t="s">
        <v>302</v>
      </c>
      <c r="F10712" t="s">
        <v>11505</v>
      </c>
      <c r="G10712">
        <v>79</v>
      </c>
      <c r="H10712">
        <v>14866.800000000001</v>
      </c>
      <c r="I10712">
        <v>188.19</v>
      </c>
      <c r="J10712">
        <v>30</v>
      </c>
      <c r="K10712">
        <v>5685.2999999999993</v>
      </c>
      <c r="L10712">
        <v>189.51</v>
      </c>
      <c r="M10712">
        <v>109</v>
      </c>
      <c r="N10712">
        <v>20552.099999999999</v>
      </c>
      <c r="O10712">
        <v>188.55</v>
      </c>
    </row>
    <row r="10713" spans="1:15" x14ac:dyDescent="0.35">
      <c r="A10713" t="s">
        <v>11481</v>
      </c>
      <c r="B10713" t="s">
        <v>11482</v>
      </c>
      <c r="C10713" t="s">
        <v>11188</v>
      </c>
      <c r="D10713" t="s">
        <v>323</v>
      </c>
      <c r="E10713" t="s">
        <v>304</v>
      </c>
      <c r="F10713" t="s">
        <v>11506</v>
      </c>
      <c r="G10713">
        <v>6</v>
      </c>
      <c r="H10713">
        <v>1123.8899999999999</v>
      </c>
      <c r="I10713">
        <v>187.32</v>
      </c>
      <c r="J10713">
        <v>7</v>
      </c>
      <c r="K10713">
        <v>1509.62</v>
      </c>
      <c r="L10713">
        <v>215.66</v>
      </c>
      <c r="M10713">
        <v>13</v>
      </c>
      <c r="N10713">
        <v>2633.5099999999998</v>
      </c>
      <c r="O10713">
        <v>202.58</v>
      </c>
    </row>
    <row r="10714" spans="1:15" x14ac:dyDescent="0.35">
      <c r="A10714" t="s">
        <v>11481</v>
      </c>
      <c r="B10714" t="s">
        <v>11482</v>
      </c>
      <c r="C10714" t="s">
        <v>11188</v>
      </c>
      <c r="D10714" t="s">
        <v>323</v>
      </c>
      <c r="E10714" t="s">
        <v>306</v>
      </c>
      <c r="F10714" t="s">
        <v>11507</v>
      </c>
      <c r="G10714">
        <v>79</v>
      </c>
      <c r="H10714">
        <v>8414.43</v>
      </c>
      <c r="I10714">
        <v>106.51</v>
      </c>
      <c r="J10714">
        <v>415</v>
      </c>
      <c r="K10714">
        <v>36897.65</v>
      </c>
      <c r="L10714">
        <v>88.91</v>
      </c>
      <c r="M10714">
        <v>494</v>
      </c>
      <c r="N10714">
        <v>45312.08</v>
      </c>
      <c r="O10714">
        <v>91.72</v>
      </c>
    </row>
    <row r="10715" spans="1:15" x14ac:dyDescent="0.35">
      <c r="A10715" t="s">
        <v>11481</v>
      </c>
      <c r="B10715" t="s">
        <v>11482</v>
      </c>
      <c r="C10715" t="s">
        <v>11188</v>
      </c>
      <c r="D10715" t="s">
        <v>323</v>
      </c>
      <c r="E10715" t="s">
        <v>308</v>
      </c>
      <c r="F10715" t="s">
        <v>11508</v>
      </c>
      <c r="G10715">
        <v>5</v>
      </c>
      <c r="H10715">
        <v>746.5</v>
      </c>
      <c r="I10715">
        <v>149.30000000000001</v>
      </c>
      <c r="J10715">
        <v>0</v>
      </c>
      <c r="K10715">
        <v>0</v>
      </c>
      <c r="L10715">
        <v>0</v>
      </c>
      <c r="M10715">
        <v>5</v>
      </c>
      <c r="N10715">
        <v>746.5</v>
      </c>
      <c r="O10715">
        <v>149.30000000000001</v>
      </c>
    </row>
    <row r="10716" spans="1:15" x14ac:dyDescent="0.35">
      <c r="A10716" t="s">
        <v>11481</v>
      </c>
      <c r="B10716" t="s">
        <v>11482</v>
      </c>
      <c r="C10716" t="s">
        <v>11188</v>
      </c>
      <c r="D10716" t="s">
        <v>323</v>
      </c>
      <c r="E10716" t="s">
        <v>310</v>
      </c>
      <c r="F10716" t="s">
        <v>11509</v>
      </c>
      <c r="G10716">
        <v>8691</v>
      </c>
      <c r="H10716">
        <v>1311015.2299999997</v>
      </c>
      <c r="I10716">
        <v>150.85</v>
      </c>
      <c r="J10716">
        <v>11807</v>
      </c>
      <c r="K10716">
        <v>1551900.8</v>
      </c>
      <c r="L10716">
        <v>131.44</v>
      </c>
      <c r="M10716">
        <v>20498</v>
      </c>
      <c r="N10716">
        <v>2862916.03</v>
      </c>
      <c r="O10716">
        <v>139.66999999999999</v>
      </c>
    </row>
    <row r="10717" spans="1:15" x14ac:dyDescent="0.35">
      <c r="A10717" t="s">
        <v>11481</v>
      </c>
      <c r="B10717" t="s">
        <v>11482</v>
      </c>
      <c r="C10717" t="s">
        <v>11188</v>
      </c>
      <c r="D10717" t="s">
        <v>323</v>
      </c>
      <c r="E10717" t="s">
        <v>312</v>
      </c>
      <c r="F10717" t="s">
        <v>11510</v>
      </c>
      <c r="G10717">
        <v>8686</v>
      </c>
      <c r="H10717">
        <v>1310268.7299999997</v>
      </c>
      <c r="I10717">
        <v>150.85</v>
      </c>
      <c r="J10717">
        <v>11807</v>
      </c>
      <c r="K10717">
        <v>1551900.8</v>
      </c>
      <c r="L10717">
        <v>131.44</v>
      </c>
      <c r="M10717">
        <v>20493</v>
      </c>
      <c r="N10717">
        <v>2862169.53</v>
      </c>
      <c r="O10717">
        <v>139.66999999999999</v>
      </c>
    </row>
    <row r="10718" spans="1:15" x14ac:dyDescent="0.35">
      <c r="A10718" t="s">
        <v>11481</v>
      </c>
      <c r="B10718" t="s">
        <v>11482</v>
      </c>
      <c r="C10718" t="s">
        <v>11188</v>
      </c>
      <c r="D10718" t="s">
        <v>334</v>
      </c>
      <c r="E10718" t="s">
        <v>312</v>
      </c>
      <c r="F10718" t="s">
        <v>11511</v>
      </c>
      <c r="G10718">
        <v>11966</v>
      </c>
      <c r="H10718">
        <v>1899901.2499999998</v>
      </c>
      <c r="I10718">
        <v>169.27</v>
      </c>
      <c r="J10718">
        <v>12103</v>
      </c>
      <c r="K10718">
        <v>1610758.0800000003</v>
      </c>
      <c r="L10718">
        <v>133.09</v>
      </c>
      <c r="M10718">
        <v>24069</v>
      </c>
      <c r="N10718">
        <v>3510659.33</v>
      </c>
      <c r="O10718">
        <v>150.5</v>
      </c>
    </row>
    <row r="10719" spans="1:15" x14ac:dyDescent="0.35">
      <c r="A10719" t="s">
        <v>11481</v>
      </c>
      <c r="B10719" t="s">
        <v>11482</v>
      </c>
      <c r="C10719" t="s">
        <v>11188</v>
      </c>
      <c r="D10719" t="s">
        <v>334</v>
      </c>
      <c r="E10719" t="s">
        <v>308</v>
      </c>
      <c r="F10719" t="s">
        <v>11512</v>
      </c>
      <c r="G10719">
        <v>71</v>
      </c>
      <c r="H10719">
        <v>3394.1800000000003</v>
      </c>
      <c r="I10719">
        <v>102.85</v>
      </c>
      <c r="J10719">
        <v>0</v>
      </c>
      <c r="K10719">
        <v>0</v>
      </c>
      <c r="L10719">
        <v>0</v>
      </c>
      <c r="M10719">
        <v>71</v>
      </c>
      <c r="N10719">
        <v>3394.1800000000003</v>
      </c>
      <c r="O10719">
        <v>102.85</v>
      </c>
    </row>
    <row r="10720" spans="1:15" x14ac:dyDescent="0.35">
      <c r="A10720" t="s">
        <v>11481</v>
      </c>
      <c r="B10720" t="s">
        <v>11482</v>
      </c>
      <c r="C10720" t="s">
        <v>11188</v>
      </c>
      <c r="D10720" t="s">
        <v>337</v>
      </c>
      <c r="E10720" t="s">
        <v>337</v>
      </c>
      <c r="F10720" t="s">
        <v>11513</v>
      </c>
      <c r="G10720">
        <v>2813</v>
      </c>
      <c r="J10720">
        <v>7</v>
      </c>
      <c r="M10720">
        <v>2820</v>
      </c>
    </row>
    <row r="10721" spans="1:15" x14ac:dyDescent="0.35">
      <c r="A10721" t="s">
        <v>11481</v>
      </c>
      <c r="B10721" t="s">
        <v>11482</v>
      </c>
      <c r="C10721" t="s">
        <v>11188</v>
      </c>
      <c r="D10721" t="s">
        <v>339</v>
      </c>
      <c r="E10721" t="s">
        <v>294</v>
      </c>
      <c r="F10721" t="s">
        <v>11514</v>
      </c>
      <c r="G10721">
        <v>629</v>
      </c>
      <c r="H10721">
        <v>89550.83</v>
      </c>
      <c r="I10721">
        <v>142.37</v>
      </c>
      <c r="J10721">
        <v>1161</v>
      </c>
      <c r="K10721">
        <v>123437.51999999999</v>
      </c>
      <c r="L10721">
        <v>106.32</v>
      </c>
      <c r="M10721">
        <v>1790</v>
      </c>
      <c r="N10721">
        <v>212988.34999999998</v>
      </c>
      <c r="O10721">
        <v>118.99</v>
      </c>
    </row>
    <row r="10722" spans="1:15" x14ac:dyDescent="0.35">
      <c r="A10722" t="s">
        <v>11481</v>
      </c>
      <c r="B10722" t="s">
        <v>11482</v>
      </c>
      <c r="C10722" t="s">
        <v>11188</v>
      </c>
      <c r="D10722" t="s">
        <v>339</v>
      </c>
      <c r="E10722" t="s">
        <v>296</v>
      </c>
      <c r="F10722" t="s">
        <v>11515</v>
      </c>
      <c r="G10722">
        <v>26</v>
      </c>
      <c r="H10722">
        <v>3810.15</v>
      </c>
      <c r="I10722">
        <v>146.54</v>
      </c>
      <c r="J10722">
        <v>26</v>
      </c>
      <c r="K10722">
        <v>3446.56</v>
      </c>
      <c r="L10722">
        <v>132.56</v>
      </c>
      <c r="M10722">
        <v>52</v>
      </c>
      <c r="N10722">
        <v>7256.71</v>
      </c>
      <c r="O10722">
        <v>139.55000000000001</v>
      </c>
    </row>
    <row r="10723" spans="1:15" x14ac:dyDescent="0.35">
      <c r="A10723" t="s">
        <v>11481</v>
      </c>
      <c r="B10723" t="s">
        <v>11482</v>
      </c>
      <c r="C10723" t="s">
        <v>11188</v>
      </c>
      <c r="D10723" t="s">
        <v>339</v>
      </c>
      <c r="E10723" t="s">
        <v>298</v>
      </c>
      <c r="F10723" t="s">
        <v>11516</v>
      </c>
      <c r="G10723">
        <v>5</v>
      </c>
      <c r="H10723">
        <v>874.5</v>
      </c>
      <c r="I10723">
        <v>174.9</v>
      </c>
      <c r="J10723">
        <v>7</v>
      </c>
      <c r="K10723">
        <v>969.92000000000007</v>
      </c>
      <c r="L10723">
        <v>138.56</v>
      </c>
      <c r="M10723">
        <v>12</v>
      </c>
      <c r="N10723">
        <v>1844.42</v>
      </c>
      <c r="O10723">
        <v>153.69999999999999</v>
      </c>
    </row>
    <row r="10724" spans="1:15" x14ac:dyDescent="0.35">
      <c r="A10724" t="s">
        <v>11481</v>
      </c>
      <c r="B10724" t="s">
        <v>11482</v>
      </c>
      <c r="C10724" t="s">
        <v>11188</v>
      </c>
      <c r="D10724" t="s">
        <v>339</v>
      </c>
      <c r="E10724" t="s">
        <v>300</v>
      </c>
      <c r="F10724" t="s">
        <v>11517</v>
      </c>
      <c r="G10724">
        <v>0</v>
      </c>
      <c r="H10724">
        <v>0</v>
      </c>
      <c r="I10724">
        <v>0</v>
      </c>
      <c r="J10724">
        <v>0</v>
      </c>
      <c r="K10724">
        <v>0</v>
      </c>
      <c r="L10724">
        <v>0</v>
      </c>
      <c r="M10724">
        <v>0</v>
      </c>
      <c r="N10724">
        <v>0</v>
      </c>
      <c r="O10724">
        <v>0</v>
      </c>
    </row>
    <row r="10725" spans="1:15" x14ac:dyDescent="0.35">
      <c r="A10725" t="s">
        <v>11481</v>
      </c>
      <c r="B10725" t="s">
        <v>11482</v>
      </c>
      <c r="C10725" t="s">
        <v>11188</v>
      </c>
      <c r="D10725" t="s">
        <v>339</v>
      </c>
      <c r="E10725" t="s">
        <v>306</v>
      </c>
      <c r="F10725" t="s">
        <v>11518</v>
      </c>
      <c r="G10725">
        <v>202</v>
      </c>
      <c r="H10725">
        <v>22269.66</v>
      </c>
      <c r="I10725">
        <v>110.25</v>
      </c>
      <c r="J10725">
        <v>43</v>
      </c>
      <c r="K10725">
        <v>3914.29</v>
      </c>
      <c r="L10725">
        <v>91.03</v>
      </c>
      <c r="M10725">
        <v>245</v>
      </c>
      <c r="N10725">
        <v>26183.95</v>
      </c>
      <c r="O10725">
        <v>106.87</v>
      </c>
    </row>
    <row r="10726" spans="1:15" x14ac:dyDescent="0.35">
      <c r="A10726" t="s">
        <v>11481</v>
      </c>
      <c r="B10726" t="s">
        <v>11482</v>
      </c>
      <c r="C10726" t="s">
        <v>11188</v>
      </c>
      <c r="D10726" t="s">
        <v>339</v>
      </c>
      <c r="E10726" t="s">
        <v>308</v>
      </c>
      <c r="F10726" t="s">
        <v>11519</v>
      </c>
      <c r="G10726">
        <v>200</v>
      </c>
      <c r="H10726">
        <v>23963.200000000001</v>
      </c>
      <c r="I10726">
        <v>119.82</v>
      </c>
      <c r="J10726">
        <v>0</v>
      </c>
      <c r="K10726">
        <v>0</v>
      </c>
      <c r="L10726">
        <v>0</v>
      </c>
      <c r="M10726">
        <v>200</v>
      </c>
      <c r="N10726">
        <v>23963.200000000001</v>
      </c>
      <c r="O10726">
        <v>119.82</v>
      </c>
    </row>
    <row r="10727" spans="1:15" x14ac:dyDescent="0.35">
      <c r="A10727" t="s">
        <v>11481</v>
      </c>
      <c r="B10727" t="s">
        <v>11482</v>
      </c>
      <c r="C10727" t="s">
        <v>11188</v>
      </c>
      <c r="D10727" t="s">
        <v>339</v>
      </c>
      <c r="E10727" t="s">
        <v>310</v>
      </c>
      <c r="F10727" t="s">
        <v>11520</v>
      </c>
      <c r="G10727">
        <v>1062</v>
      </c>
      <c r="H10727">
        <v>140468.34</v>
      </c>
      <c r="I10727">
        <v>132.27000000000001</v>
      </c>
      <c r="J10727">
        <v>1237</v>
      </c>
      <c r="K10727">
        <v>131768.28999999998</v>
      </c>
      <c r="L10727">
        <v>106.52</v>
      </c>
      <c r="M10727">
        <v>2299</v>
      </c>
      <c r="N10727">
        <v>272236.63</v>
      </c>
      <c r="O10727">
        <v>118.42</v>
      </c>
    </row>
    <row r="10728" spans="1:15" x14ac:dyDescent="0.35">
      <c r="A10728" t="s">
        <v>11481</v>
      </c>
      <c r="B10728" t="s">
        <v>11482</v>
      </c>
      <c r="C10728" t="s">
        <v>11188</v>
      </c>
      <c r="D10728" t="s">
        <v>339</v>
      </c>
      <c r="E10728" t="s">
        <v>312</v>
      </c>
      <c r="F10728" t="s">
        <v>11521</v>
      </c>
      <c r="G10728">
        <v>862</v>
      </c>
      <c r="H10728">
        <v>116505.14</v>
      </c>
      <c r="I10728">
        <v>135.16</v>
      </c>
      <c r="J10728">
        <v>1237</v>
      </c>
      <c r="K10728">
        <v>131768.28999999998</v>
      </c>
      <c r="L10728">
        <v>106.52</v>
      </c>
      <c r="M10728">
        <v>2099</v>
      </c>
      <c r="N10728">
        <v>248273.43</v>
      </c>
      <c r="O10728">
        <v>118.28</v>
      </c>
    </row>
    <row r="10729" spans="1:15" x14ac:dyDescent="0.35">
      <c r="A10729" t="s">
        <v>11481</v>
      </c>
      <c r="B10729" t="s">
        <v>11482</v>
      </c>
      <c r="C10729" t="s">
        <v>11188</v>
      </c>
      <c r="D10729" t="s">
        <v>348</v>
      </c>
      <c r="E10729" t="s">
        <v>349</v>
      </c>
      <c r="F10729" t="s">
        <v>11522</v>
      </c>
      <c r="G10729">
        <v>1907</v>
      </c>
      <c r="H10729">
        <v>157005.91</v>
      </c>
      <c r="I10729">
        <v>139.31</v>
      </c>
      <c r="J10729">
        <v>1237</v>
      </c>
      <c r="K10729">
        <v>131768.28999999998</v>
      </c>
      <c r="L10729">
        <v>106.52</v>
      </c>
      <c r="M10729">
        <v>3144</v>
      </c>
      <c r="N10729">
        <v>288774.19999999995</v>
      </c>
      <c r="O10729">
        <v>122.15</v>
      </c>
    </row>
    <row r="10730" spans="1:15" x14ac:dyDescent="0.35">
      <c r="A10730" t="s">
        <v>11523</v>
      </c>
      <c r="B10730" t="s">
        <v>11524</v>
      </c>
      <c r="C10730" t="s">
        <v>11188</v>
      </c>
      <c r="D10730" t="s">
        <v>293</v>
      </c>
      <c r="E10730" t="s">
        <v>294</v>
      </c>
      <c r="F10730" t="s">
        <v>11525</v>
      </c>
      <c r="G10730">
        <v>819</v>
      </c>
      <c r="H10730">
        <v>179920.26</v>
      </c>
      <c r="I10730">
        <v>219.68</v>
      </c>
      <c r="J10730">
        <v>327</v>
      </c>
      <c r="K10730">
        <v>45573.99</v>
      </c>
      <c r="L10730">
        <v>139.37</v>
      </c>
      <c r="M10730">
        <v>1146</v>
      </c>
      <c r="N10730">
        <v>225494.25</v>
      </c>
      <c r="O10730">
        <v>196.77</v>
      </c>
    </row>
    <row r="10731" spans="1:15" x14ac:dyDescent="0.35">
      <c r="A10731" t="s">
        <v>11523</v>
      </c>
      <c r="B10731" t="s">
        <v>11524</v>
      </c>
      <c r="C10731" t="s">
        <v>11188</v>
      </c>
      <c r="D10731" t="s">
        <v>293</v>
      </c>
      <c r="E10731" t="s">
        <v>296</v>
      </c>
      <c r="F10731" t="s">
        <v>11526</v>
      </c>
      <c r="G10731">
        <v>933</v>
      </c>
      <c r="H10731">
        <v>231457.21000000002</v>
      </c>
      <c r="I10731">
        <v>248.08</v>
      </c>
      <c r="J10731">
        <v>413</v>
      </c>
      <c r="K10731">
        <v>87535.349999999991</v>
      </c>
      <c r="L10731">
        <v>211.95</v>
      </c>
      <c r="M10731">
        <v>1346</v>
      </c>
      <c r="N10731">
        <v>318992.56</v>
      </c>
      <c r="O10731">
        <v>236.99</v>
      </c>
    </row>
    <row r="10732" spans="1:15" x14ac:dyDescent="0.35">
      <c r="A10732" t="s">
        <v>11523</v>
      </c>
      <c r="B10732" t="s">
        <v>11524</v>
      </c>
      <c r="C10732" t="s">
        <v>11188</v>
      </c>
      <c r="D10732" t="s">
        <v>293</v>
      </c>
      <c r="E10732" t="s">
        <v>298</v>
      </c>
      <c r="F10732" t="s">
        <v>11527</v>
      </c>
      <c r="G10732">
        <v>507</v>
      </c>
      <c r="H10732">
        <v>130782.65000000001</v>
      </c>
      <c r="I10732">
        <v>257.95</v>
      </c>
      <c r="J10732">
        <v>197</v>
      </c>
      <c r="K10732">
        <v>50120.74</v>
      </c>
      <c r="L10732">
        <v>254.42</v>
      </c>
      <c r="M10732">
        <v>704</v>
      </c>
      <c r="N10732">
        <v>180903.39</v>
      </c>
      <c r="O10732">
        <v>256.97000000000003</v>
      </c>
    </row>
    <row r="10733" spans="1:15" x14ac:dyDescent="0.35">
      <c r="A10733" t="s">
        <v>11523</v>
      </c>
      <c r="B10733" t="s">
        <v>11524</v>
      </c>
      <c r="C10733" t="s">
        <v>11188</v>
      </c>
      <c r="D10733" t="s">
        <v>293</v>
      </c>
      <c r="E10733" t="s">
        <v>300</v>
      </c>
      <c r="F10733" t="s">
        <v>11528</v>
      </c>
      <c r="G10733">
        <v>91</v>
      </c>
      <c r="H10733">
        <v>24357.350000000002</v>
      </c>
      <c r="I10733">
        <v>267.66000000000003</v>
      </c>
      <c r="J10733">
        <v>55</v>
      </c>
      <c r="K10733">
        <v>13833.6</v>
      </c>
      <c r="L10733">
        <v>251.52</v>
      </c>
      <c r="M10733">
        <v>146</v>
      </c>
      <c r="N10733">
        <v>38190.950000000004</v>
      </c>
      <c r="O10733">
        <v>261.58</v>
      </c>
    </row>
    <row r="10734" spans="1:15" x14ac:dyDescent="0.35">
      <c r="A10734" t="s">
        <v>11523</v>
      </c>
      <c r="B10734" t="s">
        <v>11524</v>
      </c>
      <c r="C10734" t="s">
        <v>11188</v>
      </c>
      <c r="D10734" t="s">
        <v>293</v>
      </c>
      <c r="E10734" t="s">
        <v>302</v>
      </c>
      <c r="F10734" t="s">
        <v>11529</v>
      </c>
      <c r="G10734">
        <v>9</v>
      </c>
      <c r="H10734">
        <v>2671.81</v>
      </c>
      <c r="I10734">
        <v>296.87</v>
      </c>
      <c r="J10734">
        <v>9</v>
      </c>
      <c r="K10734">
        <v>2323.2599999999998</v>
      </c>
      <c r="L10734">
        <v>258.14</v>
      </c>
      <c r="M10734">
        <v>18</v>
      </c>
      <c r="N10734">
        <v>4995.07</v>
      </c>
      <c r="O10734">
        <v>277.5</v>
      </c>
    </row>
    <row r="10735" spans="1:15" x14ac:dyDescent="0.35">
      <c r="A10735" t="s">
        <v>11523</v>
      </c>
      <c r="B10735" t="s">
        <v>11524</v>
      </c>
      <c r="C10735" t="s">
        <v>11188</v>
      </c>
      <c r="D10735" t="s">
        <v>293</v>
      </c>
      <c r="E10735" t="s">
        <v>304</v>
      </c>
      <c r="F10735" t="s">
        <v>11530</v>
      </c>
      <c r="G10735">
        <v>0</v>
      </c>
      <c r="H10735">
        <v>0</v>
      </c>
      <c r="I10735">
        <v>0</v>
      </c>
      <c r="J10735">
        <v>0</v>
      </c>
      <c r="K10735">
        <v>0</v>
      </c>
      <c r="L10735">
        <v>0</v>
      </c>
      <c r="M10735">
        <v>0</v>
      </c>
      <c r="N10735">
        <v>0</v>
      </c>
      <c r="O10735">
        <v>0</v>
      </c>
    </row>
    <row r="10736" spans="1:15" x14ac:dyDescent="0.35">
      <c r="A10736" t="s">
        <v>11523</v>
      </c>
      <c r="B10736" t="s">
        <v>11524</v>
      </c>
      <c r="C10736" t="s">
        <v>11188</v>
      </c>
      <c r="D10736" t="s">
        <v>293</v>
      </c>
      <c r="E10736" t="s">
        <v>306</v>
      </c>
      <c r="F10736" t="s">
        <v>11531</v>
      </c>
      <c r="G10736">
        <v>8</v>
      </c>
      <c r="H10736">
        <v>1410.19</v>
      </c>
      <c r="I10736">
        <v>176.27</v>
      </c>
      <c r="J10736">
        <v>2</v>
      </c>
      <c r="K10736">
        <v>281.88</v>
      </c>
      <c r="L10736">
        <v>140.94</v>
      </c>
      <c r="M10736">
        <v>10</v>
      </c>
      <c r="N10736">
        <v>1692.0700000000002</v>
      </c>
      <c r="O10736">
        <v>169.21</v>
      </c>
    </row>
    <row r="10737" spans="1:15" x14ac:dyDescent="0.35">
      <c r="A10737" t="s">
        <v>11523</v>
      </c>
      <c r="B10737" t="s">
        <v>11524</v>
      </c>
      <c r="C10737" t="s">
        <v>11188</v>
      </c>
      <c r="D10737" t="s">
        <v>293</v>
      </c>
      <c r="E10737" t="s">
        <v>308</v>
      </c>
      <c r="F10737" t="s">
        <v>11532</v>
      </c>
      <c r="G10737">
        <v>0</v>
      </c>
      <c r="H10737">
        <v>0</v>
      </c>
      <c r="I10737">
        <v>0</v>
      </c>
      <c r="J10737">
        <v>0</v>
      </c>
      <c r="K10737">
        <v>0</v>
      </c>
      <c r="L10737">
        <v>0</v>
      </c>
      <c r="M10737">
        <v>0</v>
      </c>
      <c r="N10737">
        <v>0</v>
      </c>
      <c r="O10737">
        <v>0</v>
      </c>
    </row>
    <row r="10738" spans="1:15" x14ac:dyDescent="0.35">
      <c r="A10738" t="s">
        <v>11523</v>
      </c>
      <c r="B10738" t="s">
        <v>11524</v>
      </c>
      <c r="C10738" t="s">
        <v>11188</v>
      </c>
      <c r="D10738" t="s">
        <v>293</v>
      </c>
      <c r="E10738" t="s">
        <v>310</v>
      </c>
      <c r="F10738" t="s">
        <v>11533</v>
      </c>
      <c r="G10738">
        <v>2367</v>
      </c>
      <c r="H10738">
        <v>570599.47</v>
      </c>
      <c r="I10738">
        <v>241.06</v>
      </c>
      <c r="J10738">
        <v>1003</v>
      </c>
      <c r="K10738">
        <v>199668.82</v>
      </c>
      <c r="L10738">
        <v>199.07</v>
      </c>
      <c r="M10738">
        <v>3370</v>
      </c>
      <c r="N10738">
        <v>770268.29</v>
      </c>
      <c r="O10738">
        <v>228.57</v>
      </c>
    </row>
    <row r="10739" spans="1:15" x14ac:dyDescent="0.35">
      <c r="A10739" t="s">
        <v>11523</v>
      </c>
      <c r="B10739" t="s">
        <v>11524</v>
      </c>
      <c r="C10739" t="s">
        <v>11188</v>
      </c>
      <c r="D10739" t="s">
        <v>293</v>
      </c>
      <c r="E10739" t="s">
        <v>312</v>
      </c>
      <c r="F10739" t="s">
        <v>11534</v>
      </c>
      <c r="G10739">
        <v>2367</v>
      </c>
      <c r="H10739">
        <v>570599.47</v>
      </c>
      <c r="I10739">
        <v>241.06</v>
      </c>
      <c r="J10739">
        <v>1003</v>
      </c>
      <c r="K10739">
        <v>199668.82</v>
      </c>
      <c r="L10739">
        <v>199.07</v>
      </c>
      <c r="M10739">
        <v>3370</v>
      </c>
      <c r="N10739">
        <v>770268.29</v>
      </c>
      <c r="O10739">
        <v>228.57</v>
      </c>
    </row>
    <row r="10740" spans="1:15" x14ac:dyDescent="0.35">
      <c r="A10740" t="s">
        <v>11523</v>
      </c>
      <c r="B10740" t="s">
        <v>11524</v>
      </c>
      <c r="C10740" t="s">
        <v>11188</v>
      </c>
      <c r="D10740" t="s">
        <v>314</v>
      </c>
      <c r="E10740" t="s">
        <v>294</v>
      </c>
      <c r="F10740" t="s">
        <v>11535</v>
      </c>
      <c r="G10740">
        <v>42</v>
      </c>
      <c r="H10740">
        <v>10713.78</v>
      </c>
      <c r="I10740">
        <v>255.09</v>
      </c>
      <c r="J10740">
        <v>11</v>
      </c>
      <c r="K10740">
        <v>2064.04</v>
      </c>
      <c r="L10740">
        <v>187.64</v>
      </c>
      <c r="M10740">
        <v>53</v>
      </c>
      <c r="N10740">
        <v>12777.82</v>
      </c>
      <c r="O10740">
        <v>241.09</v>
      </c>
    </row>
    <row r="10741" spans="1:15" x14ac:dyDescent="0.35">
      <c r="A10741" t="s">
        <v>11523</v>
      </c>
      <c r="B10741" t="s">
        <v>11524</v>
      </c>
      <c r="C10741" t="s">
        <v>11188</v>
      </c>
      <c r="D10741" t="s">
        <v>314</v>
      </c>
      <c r="E10741" t="s">
        <v>296</v>
      </c>
      <c r="F10741" t="s">
        <v>11536</v>
      </c>
      <c r="G10741">
        <v>2</v>
      </c>
      <c r="H10741">
        <v>572.94000000000005</v>
      </c>
      <c r="I10741">
        <v>286.47000000000003</v>
      </c>
      <c r="J10741">
        <v>0</v>
      </c>
      <c r="K10741">
        <v>0</v>
      </c>
      <c r="L10741">
        <v>0</v>
      </c>
      <c r="M10741">
        <v>2</v>
      </c>
      <c r="N10741">
        <v>572.94000000000005</v>
      </c>
      <c r="O10741">
        <v>286.47000000000003</v>
      </c>
    </row>
    <row r="10742" spans="1:15" x14ac:dyDescent="0.35">
      <c r="A10742" t="s">
        <v>11523</v>
      </c>
      <c r="B10742" t="s">
        <v>11524</v>
      </c>
      <c r="C10742" t="s">
        <v>11188</v>
      </c>
      <c r="D10742" t="s">
        <v>314</v>
      </c>
      <c r="E10742" t="s">
        <v>298</v>
      </c>
      <c r="F10742" t="s">
        <v>11537</v>
      </c>
      <c r="G10742">
        <v>0</v>
      </c>
      <c r="H10742">
        <v>0</v>
      </c>
      <c r="I10742">
        <v>0</v>
      </c>
      <c r="J10742">
        <v>0</v>
      </c>
      <c r="K10742">
        <v>0</v>
      </c>
      <c r="L10742">
        <v>0</v>
      </c>
      <c r="M10742">
        <v>0</v>
      </c>
      <c r="N10742">
        <v>0</v>
      </c>
      <c r="O10742">
        <v>0</v>
      </c>
    </row>
    <row r="10743" spans="1:15" x14ac:dyDescent="0.35">
      <c r="A10743" t="s">
        <v>11523</v>
      </c>
      <c r="B10743" t="s">
        <v>11524</v>
      </c>
      <c r="C10743" t="s">
        <v>11188</v>
      </c>
      <c r="D10743" t="s">
        <v>314</v>
      </c>
      <c r="E10743" t="s">
        <v>300</v>
      </c>
      <c r="F10743" t="s">
        <v>11538</v>
      </c>
      <c r="G10743">
        <v>0</v>
      </c>
      <c r="H10743">
        <v>0</v>
      </c>
      <c r="I10743">
        <v>0</v>
      </c>
      <c r="J10743">
        <v>0</v>
      </c>
      <c r="K10743">
        <v>0</v>
      </c>
      <c r="L10743">
        <v>0</v>
      </c>
      <c r="M10743">
        <v>0</v>
      </c>
      <c r="N10743">
        <v>0</v>
      </c>
      <c r="O10743">
        <v>0</v>
      </c>
    </row>
    <row r="10744" spans="1:15" x14ac:dyDescent="0.35">
      <c r="A10744" t="s">
        <v>11523</v>
      </c>
      <c r="B10744" t="s">
        <v>11524</v>
      </c>
      <c r="C10744" t="s">
        <v>11188</v>
      </c>
      <c r="D10744" t="s">
        <v>314</v>
      </c>
      <c r="E10744" t="s">
        <v>306</v>
      </c>
      <c r="F10744" t="s">
        <v>11539</v>
      </c>
      <c r="G10744">
        <v>0</v>
      </c>
      <c r="H10744">
        <v>0</v>
      </c>
      <c r="I10744">
        <v>0</v>
      </c>
      <c r="J10744">
        <v>0</v>
      </c>
      <c r="K10744">
        <v>0</v>
      </c>
      <c r="L10744">
        <v>0</v>
      </c>
      <c r="M10744">
        <v>0</v>
      </c>
      <c r="N10744">
        <v>0</v>
      </c>
      <c r="O10744">
        <v>0</v>
      </c>
    </row>
    <row r="10745" spans="1:15" x14ac:dyDescent="0.35">
      <c r="A10745" t="s">
        <v>11523</v>
      </c>
      <c r="B10745" t="s">
        <v>11524</v>
      </c>
      <c r="C10745" t="s">
        <v>11188</v>
      </c>
      <c r="D10745" t="s">
        <v>314</v>
      </c>
      <c r="E10745" t="s">
        <v>308</v>
      </c>
      <c r="F10745" t="s">
        <v>11540</v>
      </c>
      <c r="G10745">
        <v>0</v>
      </c>
      <c r="H10745">
        <v>0</v>
      </c>
      <c r="I10745">
        <v>0</v>
      </c>
      <c r="J10745">
        <v>0</v>
      </c>
      <c r="K10745">
        <v>0</v>
      </c>
      <c r="L10745">
        <v>0</v>
      </c>
      <c r="M10745">
        <v>0</v>
      </c>
      <c r="N10745">
        <v>0</v>
      </c>
      <c r="O10745">
        <v>0</v>
      </c>
    </row>
    <row r="10746" spans="1:15" x14ac:dyDescent="0.35">
      <c r="A10746" t="s">
        <v>11523</v>
      </c>
      <c r="B10746" t="s">
        <v>11524</v>
      </c>
      <c r="C10746" t="s">
        <v>11188</v>
      </c>
      <c r="D10746" t="s">
        <v>314</v>
      </c>
      <c r="E10746" t="s">
        <v>312</v>
      </c>
      <c r="F10746" t="s">
        <v>11541</v>
      </c>
      <c r="G10746">
        <v>44</v>
      </c>
      <c r="H10746">
        <v>11286.720000000001</v>
      </c>
      <c r="I10746">
        <v>256.52</v>
      </c>
      <c r="J10746">
        <v>11</v>
      </c>
      <c r="K10746">
        <v>2064.04</v>
      </c>
      <c r="L10746">
        <v>187.64</v>
      </c>
      <c r="M10746">
        <v>55</v>
      </c>
      <c r="N10746">
        <v>13350.760000000002</v>
      </c>
      <c r="O10746">
        <v>242.74</v>
      </c>
    </row>
    <row r="10747" spans="1:15" x14ac:dyDescent="0.35">
      <c r="A10747" t="s">
        <v>11523</v>
      </c>
      <c r="B10747" t="s">
        <v>11524</v>
      </c>
      <c r="C10747" t="s">
        <v>11188</v>
      </c>
      <c r="D10747" t="s">
        <v>314</v>
      </c>
      <c r="E10747" t="s">
        <v>310</v>
      </c>
      <c r="F10747" t="s">
        <v>11542</v>
      </c>
      <c r="G10747">
        <v>44</v>
      </c>
      <c r="H10747">
        <v>11286.720000000001</v>
      </c>
      <c r="I10747">
        <v>256.52</v>
      </c>
      <c r="J10747">
        <v>11</v>
      </c>
      <c r="K10747">
        <v>2064.04</v>
      </c>
      <c r="L10747">
        <v>187.64</v>
      </c>
      <c r="M10747">
        <v>55</v>
      </c>
      <c r="N10747">
        <v>13350.760000000002</v>
      </c>
      <c r="O10747">
        <v>242.74</v>
      </c>
    </row>
    <row r="10748" spans="1:15" x14ac:dyDescent="0.35">
      <c r="A10748" t="s">
        <v>11523</v>
      </c>
      <c r="B10748" t="s">
        <v>11524</v>
      </c>
      <c r="C10748" t="s">
        <v>11188</v>
      </c>
      <c r="D10748" t="s">
        <v>323</v>
      </c>
      <c r="E10748" t="s">
        <v>294</v>
      </c>
      <c r="F10748" t="s">
        <v>11543</v>
      </c>
      <c r="G10748">
        <v>2383</v>
      </c>
      <c r="H10748">
        <v>326694.05</v>
      </c>
      <c r="I10748">
        <v>137.09</v>
      </c>
      <c r="J10748">
        <v>2448</v>
      </c>
      <c r="K10748">
        <v>264359.51999999996</v>
      </c>
      <c r="L10748">
        <v>107.99</v>
      </c>
      <c r="M10748">
        <v>4831</v>
      </c>
      <c r="N10748">
        <v>591053.56999999995</v>
      </c>
      <c r="O10748">
        <v>122.35</v>
      </c>
    </row>
    <row r="10749" spans="1:15" x14ac:dyDescent="0.35">
      <c r="A10749" t="s">
        <v>11523</v>
      </c>
      <c r="B10749" t="s">
        <v>11524</v>
      </c>
      <c r="C10749" t="s">
        <v>11188</v>
      </c>
      <c r="D10749" t="s">
        <v>323</v>
      </c>
      <c r="E10749" t="s">
        <v>296</v>
      </c>
      <c r="F10749" t="s">
        <v>11544</v>
      </c>
      <c r="G10749">
        <v>3265</v>
      </c>
      <c r="H10749">
        <v>509141.50999999995</v>
      </c>
      <c r="I10749">
        <v>155.94</v>
      </c>
      <c r="J10749">
        <v>3276</v>
      </c>
      <c r="K10749">
        <v>398165.04000000004</v>
      </c>
      <c r="L10749">
        <v>121.54</v>
      </c>
      <c r="M10749">
        <v>6541</v>
      </c>
      <c r="N10749">
        <v>907306.55</v>
      </c>
      <c r="O10749">
        <v>138.71</v>
      </c>
    </row>
    <row r="10750" spans="1:15" x14ac:dyDescent="0.35">
      <c r="A10750" t="s">
        <v>11523</v>
      </c>
      <c r="B10750" t="s">
        <v>11524</v>
      </c>
      <c r="C10750" t="s">
        <v>11188</v>
      </c>
      <c r="D10750" t="s">
        <v>323</v>
      </c>
      <c r="E10750" t="s">
        <v>298</v>
      </c>
      <c r="F10750" t="s">
        <v>11545</v>
      </c>
      <c r="G10750">
        <v>1959</v>
      </c>
      <c r="H10750">
        <v>344968.16000000003</v>
      </c>
      <c r="I10750">
        <v>176.09</v>
      </c>
      <c r="J10750">
        <v>2571</v>
      </c>
      <c r="K10750">
        <v>355286.49</v>
      </c>
      <c r="L10750">
        <v>138.19</v>
      </c>
      <c r="M10750">
        <v>4530</v>
      </c>
      <c r="N10750">
        <v>700254.65</v>
      </c>
      <c r="O10750">
        <v>154.58000000000001</v>
      </c>
    </row>
    <row r="10751" spans="1:15" x14ac:dyDescent="0.35">
      <c r="A10751" t="s">
        <v>11523</v>
      </c>
      <c r="B10751" t="s">
        <v>11524</v>
      </c>
      <c r="C10751" t="s">
        <v>11188</v>
      </c>
      <c r="D10751" t="s">
        <v>323</v>
      </c>
      <c r="E10751" t="s">
        <v>300</v>
      </c>
      <c r="F10751" t="s">
        <v>11546</v>
      </c>
      <c r="G10751">
        <v>518</v>
      </c>
      <c r="H10751">
        <v>99314.76</v>
      </c>
      <c r="I10751">
        <v>191.73</v>
      </c>
      <c r="J10751">
        <v>350</v>
      </c>
      <c r="K10751">
        <v>56056</v>
      </c>
      <c r="L10751">
        <v>160.16</v>
      </c>
      <c r="M10751">
        <v>868</v>
      </c>
      <c r="N10751">
        <v>155370.76</v>
      </c>
      <c r="O10751">
        <v>179</v>
      </c>
    </row>
    <row r="10752" spans="1:15" x14ac:dyDescent="0.35">
      <c r="A10752" t="s">
        <v>11523</v>
      </c>
      <c r="B10752" t="s">
        <v>11524</v>
      </c>
      <c r="C10752" t="s">
        <v>11188</v>
      </c>
      <c r="D10752" t="s">
        <v>323</v>
      </c>
      <c r="E10752" t="s">
        <v>302</v>
      </c>
      <c r="F10752" t="s">
        <v>11547</v>
      </c>
      <c r="G10752">
        <v>44</v>
      </c>
      <c r="H10752">
        <v>8668.4699999999993</v>
      </c>
      <c r="I10752">
        <v>197.01</v>
      </c>
      <c r="J10752">
        <v>14</v>
      </c>
      <c r="K10752">
        <v>2567.04</v>
      </c>
      <c r="L10752">
        <v>183.36</v>
      </c>
      <c r="M10752">
        <v>58</v>
      </c>
      <c r="N10752">
        <v>11235.509999999998</v>
      </c>
      <c r="O10752">
        <v>193.72</v>
      </c>
    </row>
    <row r="10753" spans="1:15" x14ac:dyDescent="0.35">
      <c r="A10753" t="s">
        <v>11523</v>
      </c>
      <c r="B10753" t="s">
        <v>11524</v>
      </c>
      <c r="C10753" t="s">
        <v>11188</v>
      </c>
      <c r="D10753" t="s">
        <v>323</v>
      </c>
      <c r="E10753" t="s">
        <v>304</v>
      </c>
      <c r="F10753" t="s">
        <v>11548</v>
      </c>
      <c r="G10753">
        <v>13</v>
      </c>
      <c r="H10753">
        <v>2724.14</v>
      </c>
      <c r="I10753">
        <v>209.55</v>
      </c>
      <c r="J10753">
        <v>15</v>
      </c>
      <c r="K10753">
        <v>2905.2000000000003</v>
      </c>
      <c r="L10753">
        <v>193.68</v>
      </c>
      <c r="M10753">
        <v>28</v>
      </c>
      <c r="N10753">
        <v>5629.34</v>
      </c>
      <c r="O10753">
        <v>201.05</v>
      </c>
    </row>
    <row r="10754" spans="1:15" x14ac:dyDescent="0.35">
      <c r="A10754" t="s">
        <v>11523</v>
      </c>
      <c r="B10754" t="s">
        <v>11524</v>
      </c>
      <c r="C10754" t="s">
        <v>11188</v>
      </c>
      <c r="D10754" t="s">
        <v>323</v>
      </c>
      <c r="E10754" t="s">
        <v>306</v>
      </c>
      <c r="F10754" t="s">
        <v>11549</v>
      </c>
      <c r="G10754">
        <v>191</v>
      </c>
      <c r="H10754">
        <v>26386.98</v>
      </c>
      <c r="I10754">
        <v>138.15</v>
      </c>
      <c r="J10754">
        <v>380</v>
      </c>
      <c r="K10754">
        <v>34010</v>
      </c>
      <c r="L10754">
        <v>89.5</v>
      </c>
      <c r="M10754">
        <v>571</v>
      </c>
      <c r="N10754">
        <v>60396.979999999996</v>
      </c>
      <c r="O10754">
        <v>105.77</v>
      </c>
    </row>
    <row r="10755" spans="1:15" x14ac:dyDescent="0.35">
      <c r="A10755" t="s">
        <v>11523</v>
      </c>
      <c r="B10755" t="s">
        <v>11524</v>
      </c>
      <c r="C10755" t="s">
        <v>11188</v>
      </c>
      <c r="D10755" t="s">
        <v>323</v>
      </c>
      <c r="E10755" t="s">
        <v>308</v>
      </c>
      <c r="F10755" t="s">
        <v>11550</v>
      </c>
      <c r="G10755">
        <v>0</v>
      </c>
      <c r="H10755">
        <v>0</v>
      </c>
      <c r="I10755">
        <v>0</v>
      </c>
      <c r="J10755">
        <v>0</v>
      </c>
      <c r="K10755">
        <v>0</v>
      </c>
      <c r="L10755">
        <v>0</v>
      </c>
      <c r="M10755">
        <v>0</v>
      </c>
      <c r="N10755">
        <v>0</v>
      </c>
      <c r="O10755">
        <v>0</v>
      </c>
    </row>
    <row r="10756" spans="1:15" x14ac:dyDescent="0.35">
      <c r="A10756" t="s">
        <v>11523</v>
      </c>
      <c r="B10756" t="s">
        <v>11524</v>
      </c>
      <c r="C10756" t="s">
        <v>11188</v>
      </c>
      <c r="D10756" t="s">
        <v>323</v>
      </c>
      <c r="E10756" t="s">
        <v>310</v>
      </c>
      <c r="F10756" t="s">
        <v>11551</v>
      </c>
      <c r="G10756">
        <v>8373</v>
      </c>
      <c r="H10756">
        <v>1317898.0699999998</v>
      </c>
      <c r="I10756">
        <v>157.4</v>
      </c>
      <c r="J10756">
        <v>9054</v>
      </c>
      <c r="K10756">
        <v>1113349.29</v>
      </c>
      <c r="L10756">
        <v>122.97</v>
      </c>
      <c r="M10756">
        <v>17427</v>
      </c>
      <c r="N10756">
        <v>2431247.3599999999</v>
      </c>
      <c r="O10756">
        <v>139.51</v>
      </c>
    </row>
    <row r="10757" spans="1:15" x14ac:dyDescent="0.35">
      <c r="A10757" t="s">
        <v>11523</v>
      </c>
      <c r="B10757" t="s">
        <v>11524</v>
      </c>
      <c r="C10757" t="s">
        <v>11188</v>
      </c>
      <c r="D10757" t="s">
        <v>323</v>
      </c>
      <c r="E10757" t="s">
        <v>312</v>
      </c>
      <c r="F10757" t="s">
        <v>11552</v>
      </c>
      <c r="G10757">
        <v>8373</v>
      </c>
      <c r="H10757">
        <v>1317898.0699999998</v>
      </c>
      <c r="I10757">
        <v>157.4</v>
      </c>
      <c r="J10757">
        <v>9054</v>
      </c>
      <c r="K10757">
        <v>1113349.29</v>
      </c>
      <c r="L10757">
        <v>122.97</v>
      </c>
      <c r="M10757">
        <v>17427</v>
      </c>
      <c r="N10757">
        <v>2431247.3599999999</v>
      </c>
      <c r="O10757">
        <v>139.51</v>
      </c>
    </row>
    <row r="10758" spans="1:15" x14ac:dyDescent="0.35">
      <c r="A10758" t="s">
        <v>11523</v>
      </c>
      <c r="B10758" t="s">
        <v>11524</v>
      </c>
      <c r="C10758" t="s">
        <v>11188</v>
      </c>
      <c r="D10758" t="s">
        <v>334</v>
      </c>
      <c r="E10758" t="s">
        <v>312</v>
      </c>
      <c r="F10758" t="s">
        <v>11553</v>
      </c>
      <c r="G10758">
        <v>11777</v>
      </c>
      <c r="H10758">
        <v>1888497.5399999998</v>
      </c>
      <c r="I10758">
        <v>175.84</v>
      </c>
      <c r="J10758">
        <v>10057</v>
      </c>
      <c r="K10758">
        <v>1313018.1100000001</v>
      </c>
      <c r="L10758">
        <v>130.56</v>
      </c>
      <c r="M10758">
        <v>21834</v>
      </c>
      <c r="N10758">
        <v>3201515.65</v>
      </c>
      <c r="O10758">
        <v>153.94</v>
      </c>
    </row>
    <row r="10759" spans="1:15" x14ac:dyDescent="0.35">
      <c r="A10759" t="s">
        <v>11523</v>
      </c>
      <c r="B10759" t="s">
        <v>11524</v>
      </c>
      <c r="C10759" t="s">
        <v>11188</v>
      </c>
      <c r="D10759" t="s">
        <v>334</v>
      </c>
      <c r="E10759" t="s">
        <v>308</v>
      </c>
      <c r="F10759" t="s">
        <v>11554</v>
      </c>
      <c r="G10759">
        <v>207</v>
      </c>
      <c r="H10759">
        <v>0</v>
      </c>
      <c r="I10759">
        <v>0</v>
      </c>
      <c r="J10759">
        <v>0</v>
      </c>
      <c r="K10759">
        <v>0</v>
      </c>
      <c r="L10759">
        <v>0</v>
      </c>
      <c r="M10759">
        <v>207</v>
      </c>
      <c r="N10759">
        <v>0</v>
      </c>
      <c r="O10759">
        <v>0</v>
      </c>
    </row>
    <row r="10760" spans="1:15" x14ac:dyDescent="0.35">
      <c r="A10760" t="s">
        <v>11523</v>
      </c>
      <c r="B10760" t="s">
        <v>11524</v>
      </c>
      <c r="C10760" t="s">
        <v>11188</v>
      </c>
      <c r="D10760" t="s">
        <v>337</v>
      </c>
      <c r="E10760" t="s">
        <v>337</v>
      </c>
      <c r="F10760" t="s">
        <v>11555</v>
      </c>
      <c r="G10760">
        <v>3562</v>
      </c>
      <c r="J10760">
        <v>100</v>
      </c>
      <c r="M10760">
        <v>3662</v>
      </c>
    </row>
    <row r="10761" spans="1:15" x14ac:dyDescent="0.35">
      <c r="A10761" t="s">
        <v>11523</v>
      </c>
      <c r="B10761" t="s">
        <v>11524</v>
      </c>
      <c r="C10761" t="s">
        <v>11188</v>
      </c>
      <c r="D10761" t="s">
        <v>339</v>
      </c>
      <c r="E10761" t="s">
        <v>294</v>
      </c>
      <c r="F10761" t="s">
        <v>11556</v>
      </c>
      <c r="G10761">
        <v>728</v>
      </c>
      <c r="H10761">
        <v>110287.43000000001</v>
      </c>
      <c r="I10761">
        <v>151.49</v>
      </c>
      <c r="J10761">
        <v>955</v>
      </c>
      <c r="K10761">
        <v>100561.5</v>
      </c>
      <c r="L10761">
        <v>105.3</v>
      </c>
      <c r="M10761">
        <v>1683</v>
      </c>
      <c r="N10761">
        <v>210848.93</v>
      </c>
      <c r="O10761">
        <v>125.28</v>
      </c>
    </row>
    <row r="10762" spans="1:15" x14ac:dyDescent="0.35">
      <c r="A10762" t="s">
        <v>11523</v>
      </c>
      <c r="B10762" t="s">
        <v>11524</v>
      </c>
      <c r="C10762" t="s">
        <v>11188</v>
      </c>
      <c r="D10762" t="s">
        <v>339</v>
      </c>
      <c r="E10762" t="s">
        <v>296</v>
      </c>
      <c r="F10762" t="s">
        <v>11557</v>
      </c>
      <c r="G10762">
        <v>57</v>
      </c>
      <c r="H10762">
        <v>9208.7900000000009</v>
      </c>
      <c r="I10762">
        <v>161.56</v>
      </c>
      <c r="J10762">
        <v>16</v>
      </c>
      <c r="K10762">
        <v>1974.4</v>
      </c>
      <c r="L10762">
        <v>123.4</v>
      </c>
      <c r="M10762">
        <v>73</v>
      </c>
      <c r="N10762">
        <v>11183.19</v>
      </c>
      <c r="O10762">
        <v>153.19</v>
      </c>
    </row>
    <row r="10763" spans="1:15" x14ac:dyDescent="0.35">
      <c r="A10763" t="s">
        <v>11523</v>
      </c>
      <c r="B10763" t="s">
        <v>11524</v>
      </c>
      <c r="C10763" t="s">
        <v>11188</v>
      </c>
      <c r="D10763" t="s">
        <v>339</v>
      </c>
      <c r="E10763" t="s">
        <v>298</v>
      </c>
      <c r="F10763" t="s">
        <v>11558</v>
      </c>
      <c r="G10763">
        <v>7</v>
      </c>
      <c r="H10763">
        <v>1284.9000000000001</v>
      </c>
      <c r="I10763">
        <v>183.56</v>
      </c>
      <c r="J10763">
        <v>1</v>
      </c>
      <c r="K10763">
        <v>138.61000000000001</v>
      </c>
      <c r="L10763">
        <v>138.61000000000001</v>
      </c>
      <c r="M10763">
        <v>8</v>
      </c>
      <c r="N10763">
        <v>1423.5100000000002</v>
      </c>
      <c r="O10763">
        <v>177.94</v>
      </c>
    </row>
    <row r="10764" spans="1:15" x14ac:dyDescent="0.35">
      <c r="A10764" t="s">
        <v>11523</v>
      </c>
      <c r="B10764" t="s">
        <v>11524</v>
      </c>
      <c r="C10764" t="s">
        <v>11188</v>
      </c>
      <c r="D10764" t="s">
        <v>339</v>
      </c>
      <c r="E10764" t="s">
        <v>300</v>
      </c>
      <c r="F10764" t="s">
        <v>11559</v>
      </c>
      <c r="G10764">
        <v>1</v>
      </c>
      <c r="H10764">
        <v>187.54</v>
      </c>
      <c r="I10764">
        <v>187.54</v>
      </c>
      <c r="J10764">
        <v>0</v>
      </c>
      <c r="K10764">
        <v>0</v>
      </c>
      <c r="L10764">
        <v>0</v>
      </c>
      <c r="M10764">
        <v>1</v>
      </c>
      <c r="N10764">
        <v>187.54</v>
      </c>
      <c r="O10764">
        <v>187.54</v>
      </c>
    </row>
    <row r="10765" spans="1:15" x14ac:dyDescent="0.35">
      <c r="A10765" t="s">
        <v>11523</v>
      </c>
      <c r="B10765" t="s">
        <v>11524</v>
      </c>
      <c r="C10765" t="s">
        <v>11188</v>
      </c>
      <c r="D10765" t="s">
        <v>339</v>
      </c>
      <c r="E10765" t="s">
        <v>306</v>
      </c>
      <c r="F10765" t="s">
        <v>11560</v>
      </c>
      <c r="G10765">
        <v>153</v>
      </c>
      <c r="H10765">
        <v>22089.910000000003</v>
      </c>
      <c r="I10765">
        <v>144.38</v>
      </c>
      <c r="J10765">
        <v>119</v>
      </c>
      <c r="K10765">
        <v>11512.06</v>
      </c>
      <c r="L10765">
        <v>96.74</v>
      </c>
      <c r="M10765">
        <v>272</v>
      </c>
      <c r="N10765">
        <v>33601.97</v>
      </c>
      <c r="O10765">
        <v>123.54</v>
      </c>
    </row>
    <row r="10766" spans="1:15" x14ac:dyDescent="0.35">
      <c r="A10766" t="s">
        <v>11523</v>
      </c>
      <c r="B10766" t="s">
        <v>11524</v>
      </c>
      <c r="C10766" t="s">
        <v>11188</v>
      </c>
      <c r="D10766" t="s">
        <v>339</v>
      </c>
      <c r="E10766" t="s">
        <v>308</v>
      </c>
      <c r="F10766" t="s">
        <v>11561</v>
      </c>
      <c r="G10766">
        <v>329</v>
      </c>
      <c r="H10766">
        <v>61115.360000000001</v>
      </c>
      <c r="I10766">
        <v>185.76</v>
      </c>
      <c r="J10766">
        <v>0</v>
      </c>
      <c r="K10766">
        <v>0</v>
      </c>
      <c r="L10766">
        <v>0</v>
      </c>
      <c r="M10766">
        <v>329</v>
      </c>
      <c r="N10766">
        <v>61115.360000000001</v>
      </c>
      <c r="O10766">
        <v>185.76</v>
      </c>
    </row>
    <row r="10767" spans="1:15" x14ac:dyDescent="0.35">
      <c r="A10767" t="s">
        <v>11523</v>
      </c>
      <c r="B10767" t="s">
        <v>11524</v>
      </c>
      <c r="C10767" t="s">
        <v>11188</v>
      </c>
      <c r="D10767" t="s">
        <v>339</v>
      </c>
      <c r="E10767" t="s">
        <v>310</v>
      </c>
      <c r="F10767" t="s">
        <v>11562</v>
      </c>
      <c r="G10767">
        <v>1275</v>
      </c>
      <c r="H10767">
        <v>204173.93</v>
      </c>
      <c r="I10767">
        <v>160.13999999999999</v>
      </c>
      <c r="J10767">
        <v>1091</v>
      </c>
      <c r="K10767">
        <v>114186.56999999999</v>
      </c>
      <c r="L10767">
        <v>104.66</v>
      </c>
      <c r="M10767">
        <v>2366</v>
      </c>
      <c r="N10767">
        <v>318360.5</v>
      </c>
      <c r="O10767">
        <v>134.56</v>
      </c>
    </row>
    <row r="10768" spans="1:15" x14ac:dyDescent="0.35">
      <c r="A10768" t="s">
        <v>11523</v>
      </c>
      <c r="B10768" t="s">
        <v>11524</v>
      </c>
      <c r="C10768" t="s">
        <v>11188</v>
      </c>
      <c r="D10768" t="s">
        <v>339</v>
      </c>
      <c r="E10768" t="s">
        <v>312</v>
      </c>
      <c r="F10768" t="s">
        <v>11563</v>
      </c>
      <c r="G10768">
        <v>946</v>
      </c>
      <c r="H10768">
        <v>143058.57</v>
      </c>
      <c r="I10768">
        <v>151.22</v>
      </c>
      <c r="J10768">
        <v>1091</v>
      </c>
      <c r="K10768">
        <v>114186.56999999999</v>
      </c>
      <c r="L10768">
        <v>104.66</v>
      </c>
      <c r="M10768">
        <v>2037</v>
      </c>
      <c r="N10768">
        <v>257245.14</v>
      </c>
      <c r="O10768">
        <v>126.29</v>
      </c>
    </row>
    <row r="10769" spans="1:15" x14ac:dyDescent="0.35">
      <c r="A10769" t="s">
        <v>11523</v>
      </c>
      <c r="B10769" t="s">
        <v>11524</v>
      </c>
      <c r="C10769" t="s">
        <v>11188</v>
      </c>
      <c r="D10769" t="s">
        <v>348</v>
      </c>
      <c r="E10769" t="s">
        <v>349</v>
      </c>
      <c r="F10769" t="s">
        <v>11564</v>
      </c>
      <c r="G10769">
        <v>1607</v>
      </c>
      <c r="H10769">
        <v>215460.65000000002</v>
      </c>
      <c r="I10769">
        <v>163.35</v>
      </c>
      <c r="J10769">
        <v>1102</v>
      </c>
      <c r="K10769">
        <v>116250.60999999999</v>
      </c>
      <c r="L10769">
        <v>105.49</v>
      </c>
      <c r="M10769">
        <v>2709</v>
      </c>
      <c r="N10769">
        <v>331711.26</v>
      </c>
      <c r="O10769">
        <v>137.01</v>
      </c>
    </row>
    <row r="10770" spans="1:15" x14ac:dyDescent="0.35">
      <c r="A10770" t="s">
        <v>11565</v>
      </c>
      <c r="B10770" t="s">
        <v>11566</v>
      </c>
      <c r="C10770" t="s">
        <v>11188</v>
      </c>
      <c r="D10770" t="s">
        <v>293</v>
      </c>
      <c r="E10770" t="s">
        <v>294</v>
      </c>
      <c r="F10770" t="s">
        <v>11567</v>
      </c>
      <c r="G10770">
        <v>213</v>
      </c>
      <c r="H10770">
        <v>41244.160000000003</v>
      </c>
      <c r="I10770">
        <v>193.63</v>
      </c>
      <c r="J10770">
        <v>207</v>
      </c>
      <c r="K10770">
        <v>40304.97</v>
      </c>
      <c r="L10770">
        <v>194.71</v>
      </c>
      <c r="M10770">
        <v>420</v>
      </c>
      <c r="N10770">
        <v>81549.13</v>
      </c>
      <c r="O10770">
        <v>194.16</v>
      </c>
    </row>
    <row r="10771" spans="1:15" x14ac:dyDescent="0.35">
      <c r="A10771" t="s">
        <v>11565</v>
      </c>
      <c r="B10771" t="s">
        <v>11566</v>
      </c>
      <c r="C10771" t="s">
        <v>11188</v>
      </c>
      <c r="D10771" t="s">
        <v>293</v>
      </c>
      <c r="E10771" t="s">
        <v>296</v>
      </c>
      <c r="F10771" t="s">
        <v>11568</v>
      </c>
      <c r="G10771">
        <v>381</v>
      </c>
      <c r="H10771">
        <v>91891.12</v>
      </c>
      <c r="I10771">
        <v>241.18</v>
      </c>
      <c r="J10771">
        <v>232</v>
      </c>
      <c r="K10771">
        <v>51230.239999999998</v>
      </c>
      <c r="L10771">
        <v>220.82</v>
      </c>
      <c r="M10771">
        <v>613</v>
      </c>
      <c r="N10771">
        <v>143121.35999999999</v>
      </c>
      <c r="O10771">
        <v>233.48</v>
      </c>
    </row>
    <row r="10772" spans="1:15" x14ac:dyDescent="0.35">
      <c r="A10772" t="s">
        <v>11565</v>
      </c>
      <c r="B10772" t="s">
        <v>11566</v>
      </c>
      <c r="C10772" t="s">
        <v>11188</v>
      </c>
      <c r="D10772" t="s">
        <v>293</v>
      </c>
      <c r="E10772" t="s">
        <v>298</v>
      </c>
      <c r="F10772" t="s">
        <v>11569</v>
      </c>
      <c r="G10772">
        <v>159</v>
      </c>
      <c r="H10772">
        <v>40355.040000000001</v>
      </c>
      <c r="I10772">
        <v>253.81</v>
      </c>
      <c r="J10772">
        <v>191</v>
      </c>
      <c r="K10772">
        <v>45494.29</v>
      </c>
      <c r="L10772">
        <v>238.19</v>
      </c>
      <c r="M10772">
        <v>350</v>
      </c>
      <c r="N10772">
        <v>85849.33</v>
      </c>
      <c r="O10772">
        <v>245.28</v>
      </c>
    </row>
    <row r="10773" spans="1:15" x14ac:dyDescent="0.35">
      <c r="A10773" t="s">
        <v>11565</v>
      </c>
      <c r="B10773" t="s">
        <v>11566</v>
      </c>
      <c r="C10773" t="s">
        <v>11188</v>
      </c>
      <c r="D10773" t="s">
        <v>293</v>
      </c>
      <c r="E10773" t="s">
        <v>300</v>
      </c>
      <c r="F10773" t="s">
        <v>11570</v>
      </c>
      <c r="G10773">
        <v>87</v>
      </c>
      <c r="H10773">
        <v>24283.56</v>
      </c>
      <c r="I10773">
        <v>279.12</v>
      </c>
      <c r="J10773">
        <v>44</v>
      </c>
      <c r="K10773">
        <v>11171.6</v>
      </c>
      <c r="L10773">
        <v>253.9</v>
      </c>
      <c r="M10773">
        <v>131</v>
      </c>
      <c r="N10773">
        <v>35455.160000000003</v>
      </c>
      <c r="O10773">
        <v>270.64999999999998</v>
      </c>
    </row>
    <row r="10774" spans="1:15" x14ac:dyDescent="0.35">
      <c r="A10774" t="s">
        <v>11565</v>
      </c>
      <c r="B10774" t="s">
        <v>11566</v>
      </c>
      <c r="C10774" t="s">
        <v>11188</v>
      </c>
      <c r="D10774" t="s">
        <v>293</v>
      </c>
      <c r="E10774" t="s">
        <v>302</v>
      </c>
      <c r="F10774" t="s">
        <v>11571</v>
      </c>
      <c r="G10774">
        <v>0</v>
      </c>
      <c r="H10774">
        <v>0</v>
      </c>
      <c r="I10774">
        <v>0</v>
      </c>
      <c r="J10774">
        <v>0</v>
      </c>
      <c r="K10774">
        <v>0</v>
      </c>
      <c r="L10774">
        <v>0</v>
      </c>
      <c r="M10774">
        <v>0</v>
      </c>
      <c r="N10774">
        <v>0</v>
      </c>
      <c r="O10774">
        <v>0</v>
      </c>
    </row>
    <row r="10775" spans="1:15" x14ac:dyDescent="0.35">
      <c r="A10775" t="s">
        <v>11565</v>
      </c>
      <c r="B10775" t="s">
        <v>11566</v>
      </c>
      <c r="C10775" t="s">
        <v>11188</v>
      </c>
      <c r="D10775" t="s">
        <v>293</v>
      </c>
      <c r="E10775" t="s">
        <v>304</v>
      </c>
      <c r="F10775" t="s">
        <v>11572</v>
      </c>
      <c r="G10775">
        <v>0</v>
      </c>
      <c r="H10775">
        <v>0</v>
      </c>
      <c r="I10775">
        <v>0</v>
      </c>
      <c r="J10775">
        <v>0</v>
      </c>
      <c r="K10775">
        <v>0</v>
      </c>
      <c r="L10775">
        <v>0</v>
      </c>
      <c r="M10775">
        <v>0</v>
      </c>
      <c r="N10775">
        <v>0</v>
      </c>
      <c r="O10775">
        <v>0</v>
      </c>
    </row>
    <row r="10776" spans="1:15" x14ac:dyDescent="0.35">
      <c r="A10776" t="s">
        <v>11565</v>
      </c>
      <c r="B10776" t="s">
        <v>11566</v>
      </c>
      <c r="C10776" t="s">
        <v>11188</v>
      </c>
      <c r="D10776" t="s">
        <v>293</v>
      </c>
      <c r="E10776" t="s">
        <v>306</v>
      </c>
      <c r="F10776" t="s">
        <v>11573</v>
      </c>
      <c r="G10776">
        <v>8</v>
      </c>
      <c r="H10776">
        <v>1552</v>
      </c>
      <c r="I10776">
        <v>194</v>
      </c>
      <c r="J10776">
        <v>0</v>
      </c>
      <c r="K10776">
        <v>0</v>
      </c>
      <c r="L10776">
        <v>0</v>
      </c>
      <c r="M10776">
        <v>8</v>
      </c>
      <c r="N10776">
        <v>1552</v>
      </c>
      <c r="O10776">
        <v>194</v>
      </c>
    </row>
    <row r="10777" spans="1:15" x14ac:dyDescent="0.35">
      <c r="A10777" t="s">
        <v>11565</v>
      </c>
      <c r="B10777" t="s">
        <v>11566</v>
      </c>
      <c r="C10777" t="s">
        <v>11188</v>
      </c>
      <c r="D10777" t="s">
        <v>293</v>
      </c>
      <c r="E10777" t="s">
        <v>308</v>
      </c>
      <c r="F10777" t="s">
        <v>11574</v>
      </c>
      <c r="G10777">
        <v>0</v>
      </c>
      <c r="H10777">
        <v>0</v>
      </c>
      <c r="I10777">
        <v>0</v>
      </c>
      <c r="J10777">
        <v>0</v>
      </c>
      <c r="K10777">
        <v>0</v>
      </c>
      <c r="L10777">
        <v>0</v>
      </c>
      <c r="M10777">
        <v>0</v>
      </c>
      <c r="N10777">
        <v>0</v>
      </c>
      <c r="O10777">
        <v>0</v>
      </c>
    </row>
    <row r="10778" spans="1:15" x14ac:dyDescent="0.35">
      <c r="A10778" t="s">
        <v>11565</v>
      </c>
      <c r="B10778" t="s">
        <v>11566</v>
      </c>
      <c r="C10778" t="s">
        <v>11188</v>
      </c>
      <c r="D10778" t="s">
        <v>293</v>
      </c>
      <c r="E10778" t="s">
        <v>310</v>
      </c>
      <c r="F10778" t="s">
        <v>11575</v>
      </c>
      <c r="G10778">
        <v>848</v>
      </c>
      <c r="H10778">
        <v>199325.88</v>
      </c>
      <c r="I10778">
        <v>235.05</v>
      </c>
      <c r="J10778">
        <v>674</v>
      </c>
      <c r="K10778">
        <v>148201.1</v>
      </c>
      <c r="L10778">
        <v>219.88</v>
      </c>
      <c r="M10778">
        <v>1522</v>
      </c>
      <c r="N10778">
        <v>347526.98</v>
      </c>
      <c r="O10778">
        <v>228.34</v>
      </c>
    </row>
    <row r="10779" spans="1:15" x14ac:dyDescent="0.35">
      <c r="A10779" t="s">
        <v>11565</v>
      </c>
      <c r="B10779" t="s">
        <v>11566</v>
      </c>
      <c r="C10779" t="s">
        <v>11188</v>
      </c>
      <c r="D10779" t="s">
        <v>293</v>
      </c>
      <c r="E10779" t="s">
        <v>312</v>
      </c>
      <c r="F10779" t="s">
        <v>11576</v>
      </c>
      <c r="G10779">
        <v>848</v>
      </c>
      <c r="H10779">
        <v>199325.88</v>
      </c>
      <c r="I10779">
        <v>235.05</v>
      </c>
      <c r="J10779">
        <v>674</v>
      </c>
      <c r="K10779">
        <v>148201.1</v>
      </c>
      <c r="L10779">
        <v>219.88</v>
      </c>
      <c r="M10779">
        <v>1522</v>
      </c>
      <c r="N10779">
        <v>347526.98</v>
      </c>
      <c r="O10779">
        <v>228.34</v>
      </c>
    </row>
    <row r="10780" spans="1:15" x14ac:dyDescent="0.35">
      <c r="A10780" t="s">
        <v>11565</v>
      </c>
      <c r="B10780" t="s">
        <v>11566</v>
      </c>
      <c r="C10780" t="s">
        <v>11188</v>
      </c>
      <c r="D10780" t="s">
        <v>314</v>
      </c>
      <c r="E10780" t="s">
        <v>294</v>
      </c>
      <c r="F10780" t="s">
        <v>11577</v>
      </c>
      <c r="G10780">
        <v>36</v>
      </c>
      <c r="H10780">
        <v>8720.2799999999988</v>
      </c>
      <c r="I10780">
        <v>242.23</v>
      </c>
      <c r="J10780">
        <v>0</v>
      </c>
      <c r="K10780">
        <v>0</v>
      </c>
      <c r="L10780">
        <v>0</v>
      </c>
      <c r="M10780">
        <v>36</v>
      </c>
      <c r="N10780">
        <v>8720.2799999999988</v>
      </c>
      <c r="O10780">
        <v>242.23</v>
      </c>
    </row>
    <row r="10781" spans="1:15" x14ac:dyDescent="0.35">
      <c r="A10781" t="s">
        <v>11565</v>
      </c>
      <c r="B10781" t="s">
        <v>11566</v>
      </c>
      <c r="C10781" t="s">
        <v>11188</v>
      </c>
      <c r="D10781" t="s">
        <v>314</v>
      </c>
      <c r="E10781" t="s">
        <v>296</v>
      </c>
      <c r="F10781" t="s">
        <v>11578</v>
      </c>
      <c r="G10781">
        <v>0</v>
      </c>
      <c r="H10781">
        <v>0</v>
      </c>
      <c r="I10781">
        <v>0</v>
      </c>
      <c r="J10781">
        <v>0</v>
      </c>
      <c r="K10781">
        <v>0</v>
      </c>
      <c r="L10781">
        <v>0</v>
      </c>
      <c r="M10781">
        <v>0</v>
      </c>
      <c r="N10781">
        <v>0</v>
      </c>
      <c r="O10781">
        <v>0</v>
      </c>
    </row>
    <row r="10782" spans="1:15" x14ac:dyDescent="0.35">
      <c r="A10782" t="s">
        <v>11565</v>
      </c>
      <c r="B10782" t="s">
        <v>11566</v>
      </c>
      <c r="C10782" t="s">
        <v>11188</v>
      </c>
      <c r="D10782" t="s">
        <v>314</v>
      </c>
      <c r="E10782" t="s">
        <v>298</v>
      </c>
      <c r="F10782" t="s">
        <v>11579</v>
      </c>
      <c r="G10782">
        <v>0</v>
      </c>
      <c r="H10782">
        <v>0</v>
      </c>
      <c r="I10782">
        <v>0</v>
      </c>
      <c r="J10782">
        <v>0</v>
      </c>
      <c r="K10782">
        <v>0</v>
      </c>
      <c r="L10782">
        <v>0</v>
      </c>
      <c r="M10782">
        <v>0</v>
      </c>
      <c r="N10782">
        <v>0</v>
      </c>
      <c r="O10782">
        <v>0</v>
      </c>
    </row>
    <row r="10783" spans="1:15" x14ac:dyDescent="0.35">
      <c r="A10783" t="s">
        <v>11565</v>
      </c>
      <c r="B10783" t="s">
        <v>11566</v>
      </c>
      <c r="C10783" t="s">
        <v>11188</v>
      </c>
      <c r="D10783" t="s">
        <v>314</v>
      </c>
      <c r="E10783" t="s">
        <v>300</v>
      </c>
      <c r="F10783" t="s">
        <v>11580</v>
      </c>
      <c r="G10783">
        <v>0</v>
      </c>
      <c r="H10783">
        <v>0</v>
      </c>
      <c r="I10783">
        <v>0</v>
      </c>
      <c r="J10783">
        <v>0</v>
      </c>
      <c r="K10783">
        <v>0</v>
      </c>
      <c r="L10783">
        <v>0</v>
      </c>
      <c r="M10783">
        <v>0</v>
      </c>
      <c r="N10783">
        <v>0</v>
      </c>
      <c r="O10783">
        <v>0</v>
      </c>
    </row>
    <row r="10784" spans="1:15" x14ac:dyDescent="0.35">
      <c r="A10784" t="s">
        <v>11565</v>
      </c>
      <c r="B10784" t="s">
        <v>11566</v>
      </c>
      <c r="C10784" t="s">
        <v>11188</v>
      </c>
      <c r="D10784" t="s">
        <v>314</v>
      </c>
      <c r="E10784" t="s">
        <v>306</v>
      </c>
      <c r="F10784" t="s">
        <v>11581</v>
      </c>
      <c r="G10784">
        <v>0</v>
      </c>
      <c r="H10784">
        <v>0</v>
      </c>
      <c r="I10784">
        <v>0</v>
      </c>
      <c r="J10784">
        <v>0</v>
      </c>
      <c r="K10784">
        <v>0</v>
      </c>
      <c r="L10784">
        <v>0</v>
      </c>
      <c r="M10784">
        <v>0</v>
      </c>
      <c r="N10784">
        <v>0</v>
      </c>
      <c r="O10784">
        <v>0</v>
      </c>
    </row>
    <row r="10785" spans="1:15" x14ac:dyDescent="0.35">
      <c r="A10785" t="s">
        <v>11565</v>
      </c>
      <c r="B10785" t="s">
        <v>11566</v>
      </c>
      <c r="C10785" t="s">
        <v>11188</v>
      </c>
      <c r="D10785" t="s">
        <v>314</v>
      </c>
      <c r="E10785" t="s">
        <v>308</v>
      </c>
      <c r="F10785" t="s">
        <v>11582</v>
      </c>
      <c r="G10785">
        <v>0</v>
      </c>
      <c r="H10785">
        <v>0</v>
      </c>
      <c r="I10785">
        <v>0</v>
      </c>
      <c r="J10785">
        <v>0</v>
      </c>
      <c r="K10785">
        <v>0</v>
      </c>
      <c r="L10785">
        <v>0</v>
      </c>
      <c r="M10785">
        <v>0</v>
      </c>
      <c r="N10785">
        <v>0</v>
      </c>
      <c r="O10785">
        <v>0</v>
      </c>
    </row>
    <row r="10786" spans="1:15" x14ac:dyDescent="0.35">
      <c r="A10786" t="s">
        <v>11565</v>
      </c>
      <c r="B10786" t="s">
        <v>11566</v>
      </c>
      <c r="C10786" t="s">
        <v>11188</v>
      </c>
      <c r="D10786" t="s">
        <v>314</v>
      </c>
      <c r="E10786" t="s">
        <v>312</v>
      </c>
      <c r="F10786" t="s">
        <v>11583</v>
      </c>
      <c r="G10786">
        <v>36</v>
      </c>
      <c r="H10786">
        <v>8720.2799999999988</v>
      </c>
      <c r="I10786">
        <v>242.23</v>
      </c>
      <c r="J10786">
        <v>0</v>
      </c>
      <c r="K10786">
        <v>0</v>
      </c>
      <c r="L10786">
        <v>0</v>
      </c>
      <c r="M10786">
        <v>36</v>
      </c>
      <c r="N10786">
        <v>8720.2799999999988</v>
      </c>
      <c r="O10786">
        <v>242.23</v>
      </c>
    </row>
    <row r="10787" spans="1:15" x14ac:dyDescent="0.35">
      <c r="A10787" t="s">
        <v>11565</v>
      </c>
      <c r="B10787" t="s">
        <v>11566</v>
      </c>
      <c r="C10787" t="s">
        <v>11188</v>
      </c>
      <c r="D10787" t="s">
        <v>314</v>
      </c>
      <c r="E10787" t="s">
        <v>310</v>
      </c>
      <c r="F10787" t="s">
        <v>11584</v>
      </c>
      <c r="G10787">
        <v>36</v>
      </c>
      <c r="H10787">
        <v>8720.2799999999988</v>
      </c>
      <c r="I10787">
        <v>242.23</v>
      </c>
      <c r="J10787">
        <v>0</v>
      </c>
      <c r="K10787">
        <v>0</v>
      </c>
      <c r="L10787">
        <v>0</v>
      </c>
      <c r="M10787">
        <v>36</v>
      </c>
      <c r="N10787">
        <v>8720.2799999999988</v>
      </c>
      <c r="O10787">
        <v>242.23</v>
      </c>
    </row>
    <row r="10788" spans="1:15" x14ac:dyDescent="0.35">
      <c r="A10788" t="s">
        <v>11565</v>
      </c>
      <c r="B10788" t="s">
        <v>11566</v>
      </c>
      <c r="C10788" t="s">
        <v>11188</v>
      </c>
      <c r="D10788" t="s">
        <v>323</v>
      </c>
      <c r="E10788" t="s">
        <v>294</v>
      </c>
      <c r="F10788" t="s">
        <v>11585</v>
      </c>
      <c r="G10788">
        <v>835</v>
      </c>
      <c r="H10788">
        <v>102740.88999999998</v>
      </c>
      <c r="I10788">
        <v>123.04</v>
      </c>
      <c r="J10788">
        <v>3011</v>
      </c>
      <c r="K10788">
        <v>327295.7</v>
      </c>
      <c r="L10788">
        <v>108.7</v>
      </c>
      <c r="M10788">
        <v>3846</v>
      </c>
      <c r="N10788">
        <v>430036.58999999997</v>
      </c>
      <c r="O10788">
        <v>111.81</v>
      </c>
    </row>
    <row r="10789" spans="1:15" x14ac:dyDescent="0.35">
      <c r="A10789" t="s">
        <v>11565</v>
      </c>
      <c r="B10789" t="s">
        <v>11566</v>
      </c>
      <c r="C10789" t="s">
        <v>11188</v>
      </c>
      <c r="D10789" t="s">
        <v>323</v>
      </c>
      <c r="E10789" t="s">
        <v>296</v>
      </c>
      <c r="F10789" t="s">
        <v>11586</v>
      </c>
      <c r="G10789">
        <v>2292</v>
      </c>
      <c r="H10789">
        <v>330594.64</v>
      </c>
      <c r="I10789">
        <v>144.24</v>
      </c>
      <c r="J10789">
        <v>3348</v>
      </c>
      <c r="K10789">
        <v>412942.32</v>
      </c>
      <c r="L10789">
        <v>123.34</v>
      </c>
      <c r="M10789">
        <v>5640</v>
      </c>
      <c r="N10789">
        <v>743536.96</v>
      </c>
      <c r="O10789">
        <v>131.83000000000001</v>
      </c>
    </row>
    <row r="10790" spans="1:15" x14ac:dyDescent="0.35">
      <c r="A10790" t="s">
        <v>11565</v>
      </c>
      <c r="B10790" t="s">
        <v>11566</v>
      </c>
      <c r="C10790" t="s">
        <v>11188</v>
      </c>
      <c r="D10790" t="s">
        <v>323</v>
      </c>
      <c r="E10790" t="s">
        <v>298</v>
      </c>
      <c r="F10790" t="s">
        <v>11587</v>
      </c>
      <c r="G10790">
        <v>1914</v>
      </c>
      <c r="H10790">
        <v>323013.08</v>
      </c>
      <c r="I10790">
        <v>168.76</v>
      </c>
      <c r="J10790">
        <v>2935</v>
      </c>
      <c r="K10790">
        <v>423373.75</v>
      </c>
      <c r="L10790">
        <v>144.25</v>
      </c>
      <c r="M10790">
        <v>4849</v>
      </c>
      <c r="N10790">
        <v>746386.83000000007</v>
      </c>
      <c r="O10790">
        <v>153.93</v>
      </c>
    </row>
    <row r="10791" spans="1:15" x14ac:dyDescent="0.35">
      <c r="A10791" t="s">
        <v>11565</v>
      </c>
      <c r="B10791" t="s">
        <v>11566</v>
      </c>
      <c r="C10791" t="s">
        <v>11188</v>
      </c>
      <c r="D10791" t="s">
        <v>323</v>
      </c>
      <c r="E10791" t="s">
        <v>300</v>
      </c>
      <c r="F10791" t="s">
        <v>11588</v>
      </c>
      <c r="G10791">
        <v>372</v>
      </c>
      <c r="H10791">
        <v>69867.170000000013</v>
      </c>
      <c r="I10791">
        <v>187.81</v>
      </c>
      <c r="J10791">
        <v>134</v>
      </c>
      <c r="K10791">
        <v>21072.84</v>
      </c>
      <c r="L10791">
        <v>157.26</v>
      </c>
      <c r="M10791">
        <v>506</v>
      </c>
      <c r="N10791">
        <v>90940.010000000009</v>
      </c>
      <c r="O10791">
        <v>179.72</v>
      </c>
    </row>
    <row r="10792" spans="1:15" x14ac:dyDescent="0.35">
      <c r="A10792" t="s">
        <v>11565</v>
      </c>
      <c r="B10792" t="s">
        <v>11566</v>
      </c>
      <c r="C10792" t="s">
        <v>11188</v>
      </c>
      <c r="D10792" t="s">
        <v>323</v>
      </c>
      <c r="E10792" t="s">
        <v>302</v>
      </c>
      <c r="F10792" t="s">
        <v>11589</v>
      </c>
      <c r="G10792">
        <v>31</v>
      </c>
      <c r="H10792">
        <v>6082.04</v>
      </c>
      <c r="I10792">
        <v>196.19</v>
      </c>
      <c r="J10792">
        <v>15</v>
      </c>
      <c r="K10792">
        <v>2537.4</v>
      </c>
      <c r="L10792">
        <v>169.16</v>
      </c>
      <c r="M10792">
        <v>46</v>
      </c>
      <c r="N10792">
        <v>8619.44</v>
      </c>
      <c r="O10792">
        <v>187.38</v>
      </c>
    </row>
    <row r="10793" spans="1:15" x14ac:dyDescent="0.35">
      <c r="A10793" t="s">
        <v>11565</v>
      </c>
      <c r="B10793" t="s">
        <v>11566</v>
      </c>
      <c r="C10793" t="s">
        <v>11188</v>
      </c>
      <c r="D10793" t="s">
        <v>323</v>
      </c>
      <c r="E10793" t="s">
        <v>304</v>
      </c>
      <c r="F10793" t="s">
        <v>11590</v>
      </c>
      <c r="G10793">
        <v>9</v>
      </c>
      <c r="H10793">
        <v>1888.91</v>
      </c>
      <c r="I10793">
        <v>209.88</v>
      </c>
      <c r="J10793">
        <v>3</v>
      </c>
      <c r="K10793">
        <v>587.40000000000009</v>
      </c>
      <c r="L10793">
        <v>195.8</v>
      </c>
      <c r="M10793">
        <v>12</v>
      </c>
      <c r="N10793">
        <v>2476.3100000000004</v>
      </c>
      <c r="O10793">
        <v>206.36</v>
      </c>
    </row>
    <row r="10794" spans="1:15" x14ac:dyDescent="0.35">
      <c r="A10794" t="s">
        <v>11565</v>
      </c>
      <c r="B10794" t="s">
        <v>11566</v>
      </c>
      <c r="C10794" t="s">
        <v>11188</v>
      </c>
      <c r="D10794" t="s">
        <v>323</v>
      </c>
      <c r="E10794" t="s">
        <v>306</v>
      </c>
      <c r="F10794" t="s">
        <v>11591</v>
      </c>
      <c r="G10794">
        <v>36</v>
      </c>
      <c r="H10794">
        <v>3560.1299999999997</v>
      </c>
      <c r="I10794">
        <v>98.89</v>
      </c>
      <c r="J10794">
        <v>275</v>
      </c>
      <c r="K10794">
        <v>27901.5</v>
      </c>
      <c r="L10794">
        <v>101.46</v>
      </c>
      <c r="M10794">
        <v>311</v>
      </c>
      <c r="N10794">
        <v>31461.63</v>
      </c>
      <c r="O10794">
        <v>101.16</v>
      </c>
    </row>
    <row r="10795" spans="1:15" x14ac:dyDescent="0.35">
      <c r="A10795" t="s">
        <v>11565</v>
      </c>
      <c r="B10795" t="s">
        <v>11566</v>
      </c>
      <c r="C10795" t="s">
        <v>11188</v>
      </c>
      <c r="D10795" t="s">
        <v>323</v>
      </c>
      <c r="E10795" t="s">
        <v>308</v>
      </c>
      <c r="F10795" t="s">
        <v>11592</v>
      </c>
      <c r="G10795">
        <v>272</v>
      </c>
      <c r="H10795">
        <v>24161.759999999998</v>
      </c>
      <c r="I10795">
        <v>88.83</v>
      </c>
      <c r="J10795">
        <v>5</v>
      </c>
      <c r="K10795">
        <v>869.5</v>
      </c>
      <c r="L10795">
        <v>173.9</v>
      </c>
      <c r="M10795">
        <v>277</v>
      </c>
      <c r="N10795">
        <v>25031.26</v>
      </c>
      <c r="O10795">
        <v>90.37</v>
      </c>
    </row>
    <row r="10796" spans="1:15" x14ac:dyDescent="0.35">
      <c r="A10796" t="s">
        <v>11565</v>
      </c>
      <c r="B10796" t="s">
        <v>11566</v>
      </c>
      <c r="C10796" t="s">
        <v>11188</v>
      </c>
      <c r="D10796" t="s">
        <v>323</v>
      </c>
      <c r="E10796" t="s">
        <v>310</v>
      </c>
      <c r="F10796" t="s">
        <v>11593</v>
      </c>
      <c r="G10796">
        <v>5761</v>
      </c>
      <c r="H10796">
        <v>861908.62000000023</v>
      </c>
      <c r="I10796">
        <v>149.61000000000001</v>
      </c>
      <c r="J10796">
        <v>9726</v>
      </c>
      <c r="K10796">
        <v>1216580.4099999999</v>
      </c>
      <c r="L10796">
        <v>125.09</v>
      </c>
      <c r="M10796">
        <v>15487</v>
      </c>
      <c r="N10796">
        <v>2078489.0300000003</v>
      </c>
      <c r="O10796">
        <v>134.21</v>
      </c>
    </row>
    <row r="10797" spans="1:15" x14ac:dyDescent="0.35">
      <c r="A10797" t="s">
        <v>11565</v>
      </c>
      <c r="B10797" t="s">
        <v>11566</v>
      </c>
      <c r="C10797" t="s">
        <v>11188</v>
      </c>
      <c r="D10797" t="s">
        <v>323</v>
      </c>
      <c r="E10797" t="s">
        <v>312</v>
      </c>
      <c r="F10797" t="s">
        <v>11594</v>
      </c>
      <c r="G10797">
        <v>5489</v>
      </c>
      <c r="H10797">
        <v>837746.86000000022</v>
      </c>
      <c r="I10797">
        <v>152.62</v>
      </c>
      <c r="J10797">
        <v>9721</v>
      </c>
      <c r="K10797">
        <v>1215710.9099999999</v>
      </c>
      <c r="L10797">
        <v>125.06</v>
      </c>
      <c r="M10797">
        <v>15210</v>
      </c>
      <c r="N10797">
        <v>2053457.77</v>
      </c>
      <c r="O10797">
        <v>135.01</v>
      </c>
    </row>
    <row r="10798" spans="1:15" x14ac:dyDescent="0.35">
      <c r="A10798" t="s">
        <v>11565</v>
      </c>
      <c r="B10798" t="s">
        <v>11566</v>
      </c>
      <c r="C10798" t="s">
        <v>11188</v>
      </c>
      <c r="D10798" t="s">
        <v>334</v>
      </c>
      <c r="E10798" t="s">
        <v>312</v>
      </c>
      <c r="F10798" t="s">
        <v>11595</v>
      </c>
      <c r="G10798">
        <v>7009</v>
      </c>
      <c r="H10798">
        <v>1037072.7400000001</v>
      </c>
      <c r="I10798">
        <v>163.65</v>
      </c>
      <c r="J10798">
        <v>10395</v>
      </c>
      <c r="K10798">
        <v>1363912.01</v>
      </c>
      <c r="L10798">
        <v>131.21</v>
      </c>
      <c r="M10798">
        <v>17404</v>
      </c>
      <c r="N10798">
        <v>2400984.75</v>
      </c>
      <c r="O10798">
        <v>143.5</v>
      </c>
    </row>
    <row r="10799" spans="1:15" x14ac:dyDescent="0.35">
      <c r="A10799" t="s">
        <v>11565</v>
      </c>
      <c r="B10799" t="s">
        <v>11566</v>
      </c>
      <c r="C10799" t="s">
        <v>11188</v>
      </c>
      <c r="D10799" t="s">
        <v>334</v>
      </c>
      <c r="E10799" t="s">
        <v>308</v>
      </c>
      <c r="F10799" t="s">
        <v>11596</v>
      </c>
      <c r="G10799">
        <v>365</v>
      </c>
      <c r="H10799">
        <v>24161.759999999998</v>
      </c>
      <c r="I10799">
        <v>88.83</v>
      </c>
      <c r="J10799">
        <v>5</v>
      </c>
      <c r="K10799">
        <v>869.5</v>
      </c>
      <c r="L10799">
        <v>173.9</v>
      </c>
      <c r="M10799">
        <v>370</v>
      </c>
      <c r="N10799">
        <v>25031.26</v>
      </c>
      <c r="O10799">
        <v>90.37</v>
      </c>
    </row>
    <row r="10800" spans="1:15" x14ac:dyDescent="0.35">
      <c r="A10800" t="s">
        <v>11565</v>
      </c>
      <c r="B10800" t="s">
        <v>11566</v>
      </c>
      <c r="C10800" t="s">
        <v>11188</v>
      </c>
      <c r="D10800" t="s">
        <v>337</v>
      </c>
      <c r="E10800" t="s">
        <v>337</v>
      </c>
      <c r="F10800" t="s">
        <v>11597</v>
      </c>
      <c r="G10800">
        <v>1471</v>
      </c>
      <c r="J10800">
        <v>55</v>
      </c>
      <c r="M10800">
        <v>1526</v>
      </c>
    </row>
    <row r="10801" spans="1:15" x14ac:dyDescent="0.35">
      <c r="A10801" t="s">
        <v>11565</v>
      </c>
      <c r="B10801" t="s">
        <v>11566</v>
      </c>
      <c r="C10801" t="s">
        <v>11188</v>
      </c>
      <c r="D10801" t="s">
        <v>339</v>
      </c>
      <c r="E10801" t="s">
        <v>294</v>
      </c>
      <c r="F10801" t="s">
        <v>11598</v>
      </c>
      <c r="G10801">
        <v>565</v>
      </c>
      <c r="H10801">
        <v>80668.53</v>
      </c>
      <c r="I10801">
        <v>142.78</v>
      </c>
      <c r="J10801">
        <v>0</v>
      </c>
      <c r="K10801">
        <v>0</v>
      </c>
      <c r="L10801">
        <v>0</v>
      </c>
      <c r="M10801">
        <v>565</v>
      </c>
      <c r="N10801">
        <v>80668.53</v>
      </c>
      <c r="O10801">
        <v>142.78</v>
      </c>
    </row>
    <row r="10802" spans="1:15" x14ac:dyDescent="0.35">
      <c r="A10802" t="s">
        <v>11565</v>
      </c>
      <c r="B10802" t="s">
        <v>11566</v>
      </c>
      <c r="C10802" t="s">
        <v>11188</v>
      </c>
      <c r="D10802" t="s">
        <v>339</v>
      </c>
      <c r="E10802" t="s">
        <v>296</v>
      </c>
      <c r="F10802" t="s">
        <v>11599</v>
      </c>
      <c r="G10802">
        <v>122</v>
      </c>
      <c r="H10802">
        <v>19384.939999999999</v>
      </c>
      <c r="I10802">
        <v>158.88999999999999</v>
      </c>
      <c r="J10802">
        <v>0</v>
      </c>
      <c r="K10802">
        <v>0</v>
      </c>
      <c r="L10802">
        <v>0</v>
      </c>
      <c r="M10802">
        <v>122</v>
      </c>
      <c r="N10802">
        <v>19384.939999999999</v>
      </c>
      <c r="O10802">
        <v>158.88999999999999</v>
      </c>
    </row>
    <row r="10803" spans="1:15" x14ac:dyDescent="0.35">
      <c r="A10803" t="s">
        <v>11565</v>
      </c>
      <c r="B10803" t="s">
        <v>11566</v>
      </c>
      <c r="C10803" t="s">
        <v>11188</v>
      </c>
      <c r="D10803" t="s">
        <v>339</v>
      </c>
      <c r="E10803" t="s">
        <v>298</v>
      </c>
      <c r="F10803" t="s">
        <v>11600</v>
      </c>
      <c r="G10803">
        <v>4</v>
      </c>
      <c r="H10803">
        <v>661.11</v>
      </c>
      <c r="I10803">
        <v>165.28</v>
      </c>
      <c r="J10803">
        <v>0</v>
      </c>
      <c r="K10803">
        <v>0</v>
      </c>
      <c r="L10803">
        <v>0</v>
      </c>
      <c r="M10803">
        <v>4</v>
      </c>
      <c r="N10803">
        <v>661.11</v>
      </c>
      <c r="O10803">
        <v>165.28</v>
      </c>
    </row>
    <row r="10804" spans="1:15" x14ac:dyDescent="0.35">
      <c r="A10804" t="s">
        <v>11565</v>
      </c>
      <c r="B10804" t="s">
        <v>11566</v>
      </c>
      <c r="C10804" t="s">
        <v>11188</v>
      </c>
      <c r="D10804" t="s">
        <v>339</v>
      </c>
      <c r="E10804" t="s">
        <v>300</v>
      </c>
      <c r="F10804" t="s">
        <v>11601</v>
      </c>
      <c r="G10804">
        <v>1</v>
      </c>
      <c r="H10804">
        <v>201.08</v>
      </c>
      <c r="I10804">
        <v>201.08</v>
      </c>
      <c r="J10804">
        <v>0</v>
      </c>
      <c r="K10804">
        <v>0</v>
      </c>
      <c r="L10804">
        <v>0</v>
      </c>
      <c r="M10804">
        <v>1</v>
      </c>
      <c r="N10804">
        <v>201.08</v>
      </c>
      <c r="O10804">
        <v>201.08</v>
      </c>
    </row>
    <row r="10805" spans="1:15" x14ac:dyDescent="0.35">
      <c r="A10805" t="s">
        <v>11565</v>
      </c>
      <c r="B10805" t="s">
        <v>11566</v>
      </c>
      <c r="C10805" t="s">
        <v>11188</v>
      </c>
      <c r="D10805" t="s">
        <v>339</v>
      </c>
      <c r="E10805" t="s">
        <v>306</v>
      </c>
      <c r="F10805" t="s">
        <v>11602</v>
      </c>
      <c r="G10805">
        <v>225</v>
      </c>
      <c r="H10805">
        <v>25617.9</v>
      </c>
      <c r="I10805">
        <v>113.86</v>
      </c>
      <c r="J10805">
        <v>0</v>
      </c>
      <c r="K10805">
        <v>0</v>
      </c>
      <c r="L10805">
        <v>0</v>
      </c>
      <c r="M10805">
        <v>225</v>
      </c>
      <c r="N10805">
        <v>25617.9</v>
      </c>
      <c r="O10805">
        <v>113.86</v>
      </c>
    </row>
    <row r="10806" spans="1:15" x14ac:dyDescent="0.35">
      <c r="A10806" t="s">
        <v>11565</v>
      </c>
      <c r="B10806" t="s">
        <v>11566</v>
      </c>
      <c r="C10806" t="s">
        <v>11188</v>
      </c>
      <c r="D10806" t="s">
        <v>339</v>
      </c>
      <c r="E10806" t="s">
        <v>308</v>
      </c>
      <c r="F10806" t="s">
        <v>11603</v>
      </c>
      <c r="G10806">
        <v>146</v>
      </c>
      <c r="H10806">
        <v>25033.930000000004</v>
      </c>
      <c r="I10806">
        <v>171.47</v>
      </c>
      <c r="J10806">
        <v>0</v>
      </c>
      <c r="K10806">
        <v>0</v>
      </c>
      <c r="L10806">
        <v>0</v>
      </c>
      <c r="M10806">
        <v>146</v>
      </c>
      <c r="N10806">
        <v>25033.930000000004</v>
      </c>
      <c r="O10806">
        <v>171.47</v>
      </c>
    </row>
    <row r="10807" spans="1:15" x14ac:dyDescent="0.35">
      <c r="A10807" t="s">
        <v>11565</v>
      </c>
      <c r="B10807" t="s">
        <v>11566</v>
      </c>
      <c r="C10807" t="s">
        <v>11188</v>
      </c>
      <c r="D10807" t="s">
        <v>339</v>
      </c>
      <c r="E10807" t="s">
        <v>310</v>
      </c>
      <c r="F10807" t="s">
        <v>11604</v>
      </c>
      <c r="G10807">
        <v>1063</v>
      </c>
      <c r="H10807">
        <v>151567.49</v>
      </c>
      <c r="I10807">
        <v>142.58000000000001</v>
      </c>
      <c r="J10807">
        <v>0</v>
      </c>
      <c r="K10807">
        <v>0</v>
      </c>
      <c r="L10807">
        <v>0</v>
      </c>
      <c r="M10807">
        <v>1063</v>
      </c>
      <c r="N10807">
        <v>151567.49</v>
      </c>
      <c r="O10807">
        <v>142.58000000000001</v>
      </c>
    </row>
    <row r="10808" spans="1:15" x14ac:dyDescent="0.35">
      <c r="A10808" t="s">
        <v>11565</v>
      </c>
      <c r="B10808" t="s">
        <v>11566</v>
      </c>
      <c r="C10808" t="s">
        <v>11188</v>
      </c>
      <c r="D10808" t="s">
        <v>339</v>
      </c>
      <c r="E10808" t="s">
        <v>312</v>
      </c>
      <c r="F10808" t="s">
        <v>11605</v>
      </c>
      <c r="G10808">
        <v>917</v>
      </c>
      <c r="H10808">
        <v>126533.56</v>
      </c>
      <c r="I10808">
        <v>137.99</v>
      </c>
      <c r="J10808">
        <v>0</v>
      </c>
      <c r="K10808">
        <v>0</v>
      </c>
      <c r="L10808">
        <v>0</v>
      </c>
      <c r="M10808">
        <v>917</v>
      </c>
      <c r="N10808">
        <v>126533.56</v>
      </c>
      <c r="O10808">
        <v>137.99</v>
      </c>
    </row>
    <row r="10809" spans="1:15" x14ac:dyDescent="0.35">
      <c r="A10809" t="s">
        <v>11565</v>
      </c>
      <c r="B10809" t="s">
        <v>11566</v>
      </c>
      <c r="C10809" t="s">
        <v>11188</v>
      </c>
      <c r="D10809" t="s">
        <v>348</v>
      </c>
      <c r="E10809" t="s">
        <v>349</v>
      </c>
      <c r="F10809" t="s">
        <v>11606</v>
      </c>
      <c r="G10809">
        <v>1267</v>
      </c>
      <c r="H10809">
        <v>160287.76999999999</v>
      </c>
      <c r="I10809">
        <v>145.85</v>
      </c>
      <c r="J10809">
        <v>0</v>
      </c>
      <c r="K10809">
        <v>0</v>
      </c>
      <c r="L10809">
        <v>0</v>
      </c>
      <c r="M10809">
        <v>1267</v>
      </c>
      <c r="N10809">
        <v>160287.76999999999</v>
      </c>
      <c r="O10809">
        <v>145.85</v>
      </c>
    </row>
    <row r="10810" spans="1:15" x14ac:dyDescent="0.35">
      <c r="A10810" t="s">
        <v>11607</v>
      </c>
      <c r="B10810" t="s">
        <v>11608</v>
      </c>
      <c r="C10810" t="s">
        <v>11188</v>
      </c>
      <c r="D10810" t="s">
        <v>293</v>
      </c>
      <c r="E10810" t="s">
        <v>294</v>
      </c>
      <c r="F10810" t="s">
        <v>11609</v>
      </c>
      <c r="G10810">
        <v>706</v>
      </c>
      <c r="H10810">
        <v>143623.34</v>
      </c>
      <c r="I10810">
        <v>203.43</v>
      </c>
      <c r="J10810">
        <v>50</v>
      </c>
      <c r="K10810">
        <v>10562</v>
      </c>
      <c r="L10810">
        <v>211.24</v>
      </c>
      <c r="M10810">
        <v>756</v>
      </c>
      <c r="N10810">
        <v>154185.34</v>
      </c>
      <c r="O10810">
        <v>203.95</v>
      </c>
    </row>
    <row r="10811" spans="1:15" x14ac:dyDescent="0.35">
      <c r="A10811" t="s">
        <v>11607</v>
      </c>
      <c r="B10811" t="s">
        <v>11608</v>
      </c>
      <c r="C10811" t="s">
        <v>11188</v>
      </c>
      <c r="D10811" t="s">
        <v>293</v>
      </c>
      <c r="E10811" t="s">
        <v>296</v>
      </c>
      <c r="F10811" t="s">
        <v>11610</v>
      </c>
      <c r="G10811">
        <v>905</v>
      </c>
      <c r="H10811">
        <v>211139.88</v>
      </c>
      <c r="I10811">
        <v>233.3</v>
      </c>
      <c r="J10811">
        <v>140</v>
      </c>
      <c r="K10811">
        <v>31166.799999999999</v>
      </c>
      <c r="L10811">
        <v>222.62</v>
      </c>
      <c r="M10811">
        <v>1045</v>
      </c>
      <c r="N10811">
        <v>242306.68</v>
      </c>
      <c r="O10811">
        <v>231.87</v>
      </c>
    </row>
    <row r="10812" spans="1:15" x14ac:dyDescent="0.35">
      <c r="A10812" t="s">
        <v>11607</v>
      </c>
      <c r="B10812" t="s">
        <v>11608</v>
      </c>
      <c r="C10812" t="s">
        <v>11188</v>
      </c>
      <c r="D10812" t="s">
        <v>293</v>
      </c>
      <c r="E10812" t="s">
        <v>298</v>
      </c>
      <c r="F10812" t="s">
        <v>11611</v>
      </c>
      <c r="G10812">
        <v>339</v>
      </c>
      <c r="H10812">
        <v>88425.53</v>
      </c>
      <c r="I10812">
        <v>260.83999999999997</v>
      </c>
      <c r="J10812">
        <v>84</v>
      </c>
      <c r="K10812">
        <v>19660.2</v>
      </c>
      <c r="L10812">
        <v>234.05</v>
      </c>
      <c r="M10812">
        <v>423</v>
      </c>
      <c r="N10812">
        <v>108085.73</v>
      </c>
      <c r="O10812">
        <v>255.52</v>
      </c>
    </row>
    <row r="10813" spans="1:15" x14ac:dyDescent="0.35">
      <c r="A10813" t="s">
        <v>11607</v>
      </c>
      <c r="B10813" t="s">
        <v>11608</v>
      </c>
      <c r="C10813" t="s">
        <v>11188</v>
      </c>
      <c r="D10813" t="s">
        <v>293</v>
      </c>
      <c r="E10813" t="s">
        <v>300</v>
      </c>
      <c r="F10813" t="s">
        <v>11612</v>
      </c>
      <c r="G10813">
        <v>46</v>
      </c>
      <c r="H10813">
        <v>12031</v>
      </c>
      <c r="I10813">
        <v>261.54000000000002</v>
      </c>
      <c r="J10813">
        <v>6</v>
      </c>
      <c r="K10813">
        <v>1472.76</v>
      </c>
      <c r="L10813">
        <v>245.46</v>
      </c>
      <c r="M10813">
        <v>52</v>
      </c>
      <c r="N10813">
        <v>13503.76</v>
      </c>
      <c r="O10813">
        <v>259.69</v>
      </c>
    </row>
    <row r="10814" spans="1:15" x14ac:dyDescent="0.35">
      <c r="A10814" t="s">
        <v>11607</v>
      </c>
      <c r="B10814" t="s">
        <v>11608</v>
      </c>
      <c r="C10814" t="s">
        <v>11188</v>
      </c>
      <c r="D10814" t="s">
        <v>293</v>
      </c>
      <c r="E10814" t="s">
        <v>302</v>
      </c>
      <c r="F10814" t="s">
        <v>11613</v>
      </c>
      <c r="G10814">
        <v>0</v>
      </c>
      <c r="H10814">
        <v>0</v>
      </c>
      <c r="I10814">
        <v>0</v>
      </c>
      <c r="J10814">
        <v>0</v>
      </c>
      <c r="K10814">
        <v>0</v>
      </c>
      <c r="L10814">
        <v>0</v>
      </c>
      <c r="M10814">
        <v>0</v>
      </c>
      <c r="N10814">
        <v>0</v>
      </c>
      <c r="O10814">
        <v>0</v>
      </c>
    </row>
    <row r="10815" spans="1:15" x14ac:dyDescent="0.35">
      <c r="A10815" t="s">
        <v>11607</v>
      </c>
      <c r="B10815" t="s">
        <v>11608</v>
      </c>
      <c r="C10815" t="s">
        <v>11188</v>
      </c>
      <c r="D10815" t="s">
        <v>293</v>
      </c>
      <c r="E10815" t="s">
        <v>304</v>
      </c>
      <c r="F10815" t="s">
        <v>11614</v>
      </c>
      <c r="G10815">
        <v>0</v>
      </c>
      <c r="H10815">
        <v>0</v>
      </c>
      <c r="I10815">
        <v>0</v>
      </c>
      <c r="J10815">
        <v>0</v>
      </c>
      <c r="K10815">
        <v>0</v>
      </c>
      <c r="L10815">
        <v>0</v>
      </c>
      <c r="M10815">
        <v>0</v>
      </c>
      <c r="N10815">
        <v>0</v>
      </c>
      <c r="O10815">
        <v>0</v>
      </c>
    </row>
    <row r="10816" spans="1:15" x14ac:dyDescent="0.35">
      <c r="A10816" t="s">
        <v>11607</v>
      </c>
      <c r="B10816" t="s">
        <v>11608</v>
      </c>
      <c r="C10816" t="s">
        <v>11188</v>
      </c>
      <c r="D10816" t="s">
        <v>293</v>
      </c>
      <c r="E10816" t="s">
        <v>306</v>
      </c>
      <c r="F10816" t="s">
        <v>11615</v>
      </c>
      <c r="G10816">
        <v>4</v>
      </c>
      <c r="H10816">
        <v>667.49</v>
      </c>
      <c r="I10816">
        <v>166.87</v>
      </c>
      <c r="J10816">
        <v>0</v>
      </c>
      <c r="K10816">
        <v>0</v>
      </c>
      <c r="L10816">
        <v>0</v>
      </c>
      <c r="M10816">
        <v>4</v>
      </c>
      <c r="N10816">
        <v>667.49</v>
      </c>
      <c r="O10816">
        <v>166.87</v>
      </c>
    </row>
    <row r="10817" spans="1:15" x14ac:dyDescent="0.35">
      <c r="A10817" t="s">
        <v>11607</v>
      </c>
      <c r="B10817" t="s">
        <v>11608</v>
      </c>
      <c r="C10817" t="s">
        <v>11188</v>
      </c>
      <c r="D10817" t="s">
        <v>293</v>
      </c>
      <c r="E10817" t="s">
        <v>308</v>
      </c>
      <c r="F10817" t="s">
        <v>11616</v>
      </c>
      <c r="G10817">
        <v>2</v>
      </c>
      <c r="H10817">
        <v>345.12</v>
      </c>
      <c r="I10817">
        <v>172.56</v>
      </c>
      <c r="J10817">
        <v>0</v>
      </c>
      <c r="K10817">
        <v>0</v>
      </c>
      <c r="L10817">
        <v>0</v>
      </c>
      <c r="M10817">
        <v>2</v>
      </c>
      <c r="N10817">
        <v>345.12</v>
      </c>
      <c r="O10817">
        <v>172.56</v>
      </c>
    </row>
    <row r="10818" spans="1:15" x14ac:dyDescent="0.35">
      <c r="A10818" t="s">
        <v>11607</v>
      </c>
      <c r="B10818" t="s">
        <v>11608</v>
      </c>
      <c r="C10818" t="s">
        <v>11188</v>
      </c>
      <c r="D10818" t="s">
        <v>293</v>
      </c>
      <c r="E10818" t="s">
        <v>310</v>
      </c>
      <c r="F10818" t="s">
        <v>11617</v>
      </c>
      <c r="G10818">
        <v>2002</v>
      </c>
      <c r="H10818">
        <v>456232.36</v>
      </c>
      <c r="I10818">
        <v>227.89</v>
      </c>
      <c r="J10818">
        <v>280</v>
      </c>
      <c r="K10818">
        <v>62861.760000000002</v>
      </c>
      <c r="L10818">
        <v>224.51</v>
      </c>
      <c r="M10818">
        <v>2282</v>
      </c>
      <c r="N10818">
        <v>519094.12</v>
      </c>
      <c r="O10818">
        <v>227.47</v>
      </c>
    </row>
    <row r="10819" spans="1:15" x14ac:dyDescent="0.35">
      <c r="A10819" t="s">
        <v>11607</v>
      </c>
      <c r="B10819" t="s">
        <v>11608</v>
      </c>
      <c r="C10819" t="s">
        <v>11188</v>
      </c>
      <c r="D10819" t="s">
        <v>293</v>
      </c>
      <c r="E10819" t="s">
        <v>312</v>
      </c>
      <c r="F10819" t="s">
        <v>11618</v>
      </c>
      <c r="G10819">
        <v>2000</v>
      </c>
      <c r="H10819">
        <v>455887.24</v>
      </c>
      <c r="I10819">
        <v>227.94</v>
      </c>
      <c r="J10819">
        <v>280</v>
      </c>
      <c r="K10819">
        <v>62861.760000000002</v>
      </c>
      <c r="L10819">
        <v>224.51</v>
      </c>
      <c r="M10819">
        <v>2280</v>
      </c>
      <c r="N10819">
        <v>518749</v>
      </c>
      <c r="O10819">
        <v>227.52</v>
      </c>
    </row>
    <row r="10820" spans="1:15" x14ac:dyDescent="0.35">
      <c r="A10820" t="s">
        <v>11607</v>
      </c>
      <c r="B10820" t="s">
        <v>11608</v>
      </c>
      <c r="C10820" t="s">
        <v>11188</v>
      </c>
      <c r="D10820" t="s">
        <v>314</v>
      </c>
      <c r="E10820" t="s">
        <v>294</v>
      </c>
      <c r="F10820" t="s">
        <v>11619</v>
      </c>
      <c r="G10820">
        <v>0</v>
      </c>
      <c r="H10820">
        <v>0</v>
      </c>
      <c r="I10820">
        <v>0</v>
      </c>
      <c r="J10820">
        <v>0</v>
      </c>
      <c r="K10820">
        <v>0</v>
      </c>
      <c r="L10820">
        <v>0</v>
      </c>
      <c r="M10820">
        <v>0</v>
      </c>
      <c r="N10820">
        <v>0</v>
      </c>
      <c r="O10820">
        <v>0</v>
      </c>
    </row>
    <row r="10821" spans="1:15" x14ac:dyDescent="0.35">
      <c r="A10821" t="s">
        <v>11607</v>
      </c>
      <c r="B10821" t="s">
        <v>11608</v>
      </c>
      <c r="C10821" t="s">
        <v>11188</v>
      </c>
      <c r="D10821" t="s">
        <v>314</v>
      </c>
      <c r="E10821" t="s">
        <v>296</v>
      </c>
      <c r="F10821" t="s">
        <v>11620</v>
      </c>
      <c r="G10821">
        <v>0</v>
      </c>
      <c r="H10821">
        <v>0</v>
      </c>
      <c r="I10821">
        <v>0</v>
      </c>
      <c r="J10821">
        <v>0</v>
      </c>
      <c r="K10821">
        <v>0</v>
      </c>
      <c r="L10821">
        <v>0</v>
      </c>
      <c r="M10821">
        <v>0</v>
      </c>
      <c r="N10821">
        <v>0</v>
      </c>
      <c r="O10821">
        <v>0</v>
      </c>
    </row>
    <row r="10822" spans="1:15" x14ac:dyDescent="0.35">
      <c r="A10822" t="s">
        <v>11607</v>
      </c>
      <c r="B10822" t="s">
        <v>11608</v>
      </c>
      <c r="C10822" t="s">
        <v>11188</v>
      </c>
      <c r="D10822" t="s">
        <v>314</v>
      </c>
      <c r="E10822" t="s">
        <v>298</v>
      </c>
      <c r="F10822" t="s">
        <v>11621</v>
      </c>
      <c r="G10822">
        <v>0</v>
      </c>
      <c r="H10822">
        <v>0</v>
      </c>
      <c r="I10822">
        <v>0</v>
      </c>
      <c r="J10822">
        <v>0</v>
      </c>
      <c r="K10822">
        <v>0</v>
      </c>
      <c r="L10822">
        <v>0</v>
      </c>
      <c r="M10822">
        <v>0</v>
      </c>
      <c r="N10822">
        <v>0</v>
      </c>
      <c r="O10822">
        <v>0</v>
      </c>
    </row>
    <row r="10823" spans="1:15" x14ac:dyDescent="0.35">
      <c r="A10823" t="s">
        <v>11607</v>
      </c>
      <c r="B10823" t="s">
        <v>11608</v>
      </c>
      <c r="C10823" t="s">
        <v>11188</v>
      </c>
      <c r="D10823" t="s">
        <v>314</v>
      </c>
      <c r="E10823" t="s">
        <v>300</v>
      </c>
      <c r="F10823" t="s">
        <v>11622</v>
      </c>
      <c r="G10823">
        <v>0</v>
      </c>
      <c r="H10823">
        <v>0</v>
      </c>
      <c r="I10823">
        <v>0</v>
      </c>
      <c r="J10823">
        <v>0</v>
      </c>
      <c r="K10823">
        <v>0</v>
      </c>
      <c r="L10823">
        <v>0</v>
      </c>
      <c r="M10823">
        <v>0</v>
      </c>
      <c r="N10823">
        <v>0</v>
      </c>
      <c r="O10823">
        <v>0</v>
      </c>
    </row>
    <row r="10824" spans="1:15" x14ac:dyDescent="0.35">
      <c r="A10824" t="s">
        <v>11607</v>
      </c>
      <c r="B10824" t="s">
        <v>11608</v>
      </c>
      <c r="C10824" t="s">
        <v>11188</v>
      </c>
      <c r="D10824" t="s">
        <v>314</v>
      </c>
      <c r="E10824" t="s">
        <v>306</v>
      </c>
      <c r="F10824" t="s">
        <v>11623</v>
      </c>
      <c r="G10824">
        <v>0</v>
      </c>
      <c r="H10824">
        <v>0</v>
      </c>
      <c r="I10824">
        <v>0</v>
      </c>
      <c r="J10824">
        <v>0</v>
      </c>
      <c r="K10824">
        <v>0</v>
      </c>
      <c r="L10824">
        <v>0</v>
      </c>
      <c r="M10824">
        <v>0</v>
      </c>
      <c r="N10824">
        <v>0</v>
      </c>
      <c r="O10824">
        <v>0</v>
      </c>
    </row>
    <row r="10825" spans="1:15" x14ac:dyDescent="0.35">
      <c r="A10825" t="s">
        <v>11607</v>
      </c>
      <c r="B10825" t="s">
        <v>11608</v>
      </c>
      <c r="C10825" t="s">
        <v>11188</v>
      </c>
      <c r="D10825" t="s">
        <v>314</v>
      </c>
      <c r="E10825" t="s">
        <v>308</v>
      </c>
      <c r="F10825" t="s">
        <v>11624</v>
      </c>
      <c r="G10825">
        <v>0</v>
      </c>
      <c r="H10825">
        <v>0</v>
      </c>
      <c r="I10825">
        <v>0</v>
      </c>
      <c r="J10825">
        <v>0</v>
      </c>
      <c r="K10825">
        <v>0</v>
      </c>
      <c r="L10825">
        <v>0</v>
      </c>
      <c r="M10825">
        <v>0</v>
      </c>
      <c r="N10825">
        <v>0</v>
      </c>
      <c r="O10825">
        <v>0</v>
      </c>
    </row>
    <row r="10826" spans="1:15" x14ac:dyDescent="0.35">
      <c r="A10826" t="s">
        <v>11607</v>
      </c>
      <c r="B10826" t="s">
        <v>11608</v>
      </c>
      <c r="C10826" t="s">
        <v>11188</v>
      </c>
      <c r="D10826" t="s">
        <v>314</v>
      </c>
      <c r="E10826" t="s">
        <v>312</v>
      </c>
      <c r="F10826" t="s">
        <v>11625</v>
      </c>
      <c r="G10826">
        <v>0</v>
      </c>
      <c r="H10826">
        <v>0</v>
      </c>
      <c r="I10826">
        <v>0</v>
      </c>
      <c r="J10826">
        <v>0</v>
      </c>
      <c r="K10826">
        <v>0</v>
      </c>
      <c r="L10826">
        <v>0</v>
      </c>
      <c r="M10826">
        <v>0</v>
      </c>
      <c r="N10826">
        <v>0</v>
      </c>
      <c r="O10826">
        <v>0</v>
      </c>
    </row>
    <row r="10827" spans="1:15" x14ac:dyDescent="0.35">
      <c r="A10827" t="s">
        <v>11607</v>
      </c>
      <c r="B10827" t="s">
        <v>11608</v>
      </c>
      <c r="C10827" t="s">
        <v>11188</v>
      </c>
      <c r="D10827" t="s">
        <v>314</v>
      </c>
      <c r="E10827" t="s">
        <v>310</v>
      </c>
      <c r="F10827" t="s">
        <v>11626</v>
      </c>
      <c r="G10827">
        <v>0</v>
      </c>
      <c r="H10827">
        <v>0</v>
      </c>
      <c r="I10827">
        <v>0</v>
      </c>
      <c r="J10827">
        <v>0</v>
      </c>
      <c r="K10827">
        <v>0</v>
      </c>
      <c r="L10827">
        <v>0</v>
      </c>
      <c r="M10827">
        <v>0</v>
      </c>
      <c r="N10827">
        <v>0</v>
      </c>
      <c r="O10827">
        <v>0</v>
      </c>
    </row>
    <row r="10828" spans="1:15" x14ac:dyDescent="0.35">
      <c r="A10828" t="s">
        <v>11607</v>
      </c>
      <c r="B10828" t="s">
        <v>11608</v>
      </c>
      <c r="C10828" t="s">
        <v>11188</v>
      </c>
      <c r="D10828" t="s">
        <v>323</v>
      </c>
      <c r="E10828" t="s">
        <v>294</v>
      </c>
      <c r="F10828" t="s">
        <v>11627</v>
      </c>
      <c r="G10828">
        <v>2338</v>
      </c>
      <c r="H10828">
        <v>278766.39999999997</v>
      </c>
      <c r="I10828">
        <v>119.23</v>
      </c>
      <c r="J10828">
        <v>5046</v>
      </c>
      <c r="K10828">
        <v>493296.96</v>
      </c>
      <c r="L10828">
        <v>97.76</v>
      </c>
      <c r="M10828">
        <v>7384</v>
      </c>
      <c r="N10828">
        <v>772063.36</v>
      </c>
      <c r="O10828">
        <v>104.56</v>
      </c>
    </row>
    <row r="10829" spans="1:15" x14ac:dyDescent="0.35">
      <c r="A10829" t="s">
        <v>11607</v>
      </c>
      <c r="B10829" t="s">
        <v>11608</v>
      </c>
      <c r="C10829" t="s">
        <v>11188</v>
      </c>
      <c r="D10829" t="s">
        <v>323</v>
      </c>
      <c r="E10829" t="s">
        <v>296</v>
      </c>
      <c r="F10829" t="s">
        <v>11628</v>
      </c>
      <c r="G10829">
        <v>3853</v>
      </c>
      <c r="H10829">
        <v>551971.32999999996</v>
      </c>
      <c r="I10829">
        <v>143.26</v>
      </c>
      <c r="J10829">
        <v>6553</v>
      </c>
      <c r="K10829">
        <v>735574.25</v>
      </c>
      <c r="L10829">
        <v>112.25</v>
      </c>
      <c r="M10829">
        <v>10406</v>
      </c>
      <c r="N10829">
        <v>1287545.58</v>
      </c>
      <c r="O10829">
        <v>123.73</v>
      </c>
    </row>
    <row r="10830" spans="1:15" x14ac:dyDescent="0.35">
      <c r="A10830" t="s">
        <v>11607</v>
      </c>
      <c r="B10830" t="s">
        <v>11608</v>
      </c>
      <c r="C10830" t="s">
        <v>11188</v>
      </c>
      <c r="D10830" t="s">
        <v>323</v>
      </c>
      <c r="E10830" t="s">
        <v>298</v>
      </c>
      <c r="F10830" t="s">
        <v>11629</v>
      </c>
      <c r="G10830">
        <v>3783</v>
      </c>
      <c r="H10830">
        <v>606811.84</v>
      </c>
      <c r="I10830">
        <v>160.4</v>
      </c>
      <c r="J10830">
        <v>5064</v>
      </c>
      <c r="K10830">
        <v>667992.24</v>
      </c>
      <c r="L10830">
        <v>131.91</v>
      </c>
      <c r="M10830">
        <v>8847</v>
      </c>
      <c r="N10830">
        <v>1274804.08</v>
      </c>
      <c r="O10830">
        <v>144.09</v>
      </c>
    </row>
    <row r="10831" spans="1:15" x14ac:dyDescent="0.35">
      <c r="A10831" t="s">
        <v>11607</v>
      </c>
      <c r="B10831" t="s">
        <v>11608</v>
      </c>
      <c r="C10831" t="s">
        <v>11188</v>
      </c>
      <c r="D10831" t="s">
        <v>323</v>
      </c>
      <c r="E10831" t="s">
        <v>300</v>
      </c>
      <c r="F10831" t="s">
        <v>11630</v>
      </c>
      <c r="G10831">
        <v>757</v>
      </c>
      <c r="H10831">
        <v>133581.41999999998</v>
      </c>
      <c r="I10831">
        <v>176.46</v>
      </c>
      <c r="J10831">
        <v>1467</v>
      </c>
      <c r="K10831">
        <v>220123.35</v>
      </c>
      <c r="L10831">
        <v>150.05000000000001</v>
      </c>
      <c r="M10831">
        <v>2224</v>
      </c>
      <c r="N10831">
        <v>353704.77</v>
      </c>
      <c r="O10831">
        <v>159.04</v>
      </c>
    </row>
    <row r="10832" spans="1:15" x14ac:dyDescent="0.35">
      <c r="A10832" t="s">
        <v>11607</v>
      </c>
      <c r="B10832" t="s">
        <v>11608</v>
      </c>
      <c r="C10832" t="s">
        <v>11188</v>
      </c>
      <c r="D10832" t="s">
        <v>323</v>
      </c>
      <c r="E10832" t="s">
        <v>302</v>
      </c>
      <c r="F10832" t="s">
        <v>11631</v>
      </c>
      <c r="G10832">
        <v>41</v>
      </c>
      <c r="H10832">
        <v>7852.2499999999991</v>
      </c>
      <c r="I10832">
        <v>191.52</v>
      </c>
      <c r="J10832">
        <v>264</v>
      </c>
      <c r="K10832">
        <v>42432.719999999994</v>
      </c>
      <c r="L10832">
        <v>160.72999999999999</v>
      </c>
      <c r="M10832">
        <v>305</v>
      </c>
      <c r="N10832">
        <v>50284.969999999994</v>
      </c>
      <c r="O10832">
        <v>164.87</v>
      </c>
    </row>
    <row r="10833" spans="1:15" x14ac:dyDescent="0.35">
      <c r="A10833" t="s">
        <v>11607</v>
      </c>
      <c r="B10833" t="s">
        <v>11608</v>
      </c>
      <c r="C10833" t="s">
        <v>11188</v>
      </c>
      <c r="D10833" t="s">
        <v>323</v>
      </c>
      <c r="E10833" t="s">
        <v>304</v>
      </c>
      <c r="F10833" t="s">
        <v>11632</v>
      </c>
      <c r="G10833">
        <v>3</v>
      </c>
      <c r="H10833">
        <v>644.91</v>
      </c>
      <c r="I10833">
        <v>214.97</v>
      </c>
      <c r="J10833">
        <v>50</v>
      </c>
      <c r="K10833">
        <v>8525</v>
      </c>
      <c r="L10833">
        <v>170.5</v>
      </c>
      <c r="M10833">
        <v>53</v>
      </c>
      <c r="N10833">
        <v>9169.91</v>
      </c>
      <c r="O10833">
        <v>173.02</v>
      </c>
    </row>
    <row r="10834" spans="1:15" x14ac:dyDescent="0.35">
      <c r="A10834" t="s">
        <v>11607</v>
      </c>
      <c r="B10834" t="s">
        <v>11608</v>
      </c>
      <c r="C10834" t="s">
        <v>11188</v>
      </c>
      <c r="D10834" t="s">
        <v>323</v>
      </c>
      <c r="E10834" t="s">
        <v>306</v>
      </c>
      <c r="F10834" t="s">
        <v>11633</v>
      </c>
      <c r="G10834">
        <v>113</v>
      </c>
      <c r="H10834">
        <v>11272.779999999999</v>
      </c>
      <c r="I10834">
        <v>99.76</v>
      </c>
      <c r="J10834">
        <v>705</v>
      </c>
      <c r="K10834">
        <v>61934.249999999993</v>
      </c>
      <c r="L10834">
        <v>87.85</v>
      </c>
      <c r="M10834">
        <v>818</v>
      </c>
      <c r="N10834">
        <v>73207.03</v>
      </c>
      <c r="O10834">
        <v>89.5</v>
      </c>
    </row>
    <row r="10835" spans="1:15" x14ac:dyDescent="0.35">
      <c r="A10835" t="s">
        <v>11607</v>
      </c>
      <c r="B10835" t="s">
        <v>11608</v>
      </c>
      <c r="C10835" t="s">
        <v>11188</v>
      </c>
      <c r="D10835" t="s">
        <v>323</v>
      </c>
      <c r="E10835" t="s">
        <v>308</v>
      </c>
      <c r="F10835" t="s">
        <v>11634</v>
      </c>
      <c r="G10835">
        <v>58</v>
      </c>
      <c r="H10835">
        <v>5526.8200000000006</v>
      </c>
      <c r="I10835">
        <v>95.29</v>
      </c>
      <c r="J10835">
        <v>0</v>
      </c>
      <c r="K10835">
        <v>0</v>
      </c>
      <c r="L10835">
        <v>0</v>
      </c>
      <c r="M10835">
        <v>58</v>
      </c>
      <c r="N10835">
        <v>5526.8200000000006</v>
      </c>
      <c r="O10835">
        <v>95.29</v>
      </c>
    </row>
    <row r="10836" spans="1:15" x14ac:dyDescent="0.35">
      <c r="A10836" t="s">
        <v>11607</v>
      </c>
      <c r="B10836" t="s">
        <v>11608</v>
      </c>
      <c r="C10836" t="s">
        <v>11188</v>
      </c>
      <c r="D10836" t="s">
        <v>323</v>
      </c>
      <c r="E10836" t="s">
        <v>310</v>
      </c>
      <c r="F10836" t="s">
        <v>11635</v>
      </c>
      <c r="G10836">
        <v>10946</v>
      </c>
      <c r="H10836">
        <v>1596427.7499999998</v>
      </c>
      <c r="I10836">
        <v>145.85</v>
      </c>
      <c r="J10836">
        <v>19149</v>
      </c>
      <c r="K10836">
        <v>2229878.77</v>
      </c>
      <c r="L10836">
        <v>116.45</v>
      </c>
      <c r="M10836">
        <v>30095</v>
      </c>
      <c r="N10836">
        <v>3826306.5199999996</v>
      </c>
      <c r="O10836">
        <v>127.14</v>
      </c>
    </row>
    <row r="10837" spans="1:15" x14ac:dyDescent="0.35">
      <c r="A10837" t="s">
        <v>11607</v>
      </c>
      <c r="B10837" t="s">
        <v>11608</v>
      </c>
      <c r="C10837" t="s">
        <v>11188</v>
      </c>
      <c r="D10837" t="s">
        <v>323</v>
      </c>
      <c r="E10837" t="s">
        <v>312</v>
      </c>
      <c r="F10837" t="s">
        <v>11636</v>
      </c>
      <c r="G10837">
        <v>10888</v>
      </c>
      <c r="H10837">
        <v>1590900.9299999997</v>
      </c>
      <c r="I10837">
        <v>146.12</v>
      </c>
      <c r="J10837">
        <v>19149</v>
      </c>
      <c r="K10837">
        <v>2229878.77</v>
      </c>
      <c r="L10837">
        <v>116.45</v>
      </c>
      <c r="M10837">
        <v>30037</v>
      </c>
      <c r="N10837">
        <v>3820779.6999999997</v>
      </c>
      <c r="O10837">
        <v>127.2</v>
      </c>
    </row>
    <row r="10838" spans="1:15" x14ac:dyDescent="0.35">
      <c r="A10838" t="s">
        <v>11607</v>
      </c>
      <c r="B10838" t="s">
        <v>11608</v>
      </c>
      <c r="C10838" t="s">
        <v>11188</v>
      </c>
      <c r="D10838" t="s">
        <v>334</v>
      </c>
      <c r="E10838" t="s">
        <v>312</v>
      </c>
      <c r="F10838" t="s">
        <v>11637</v>
      </c>
      <c r="G10838">
        <v>13753</v>
      </c>
      <c r="H10838">
        <v>2046788.1699999995</v>
      </c>
      <c r="I10838">
        <v>158.81</v>
      </c>
      <c r="J10838">
        <v>19429</v>
      </c>
      <c r="K10838">
        <v>2292740.5300000003</v>
      </c>
      <c r="L10838">
        <v>118.01</v>
      </c>
      <c r="M10838">
        <v>33182</v>
      </c>
      <c r="N10838">
        <v>4339528.6999999993</v>
      </c>
      <c r="O10838">
        <v>134.28</v>
      </c>
    </row>
    <row r="10839" spans="1:15" x14ac:dyDescent="0.35">
      <c r="A10839" t="s">
        <v>11607</v>
      </c>
      <c r="B10839" t="s">
        <v>11608</v>
      </c>
      <c r="C10839" t="s">
        <v>11188</v>
      </c>
      <c r="D10839" t="s">
        <v>334</v>
      </c>
      <c r="E10839" t="s">
        <v>308</v>
      </c>
      <c r="F10839" t="s">
        <v>11638</v>
      </c>
      <c r="G10839">
        <v>163</v>
      </c>
      <c r="H10839">
        <v>5871.9400000000005</v>
      </c>
      <c r="I10839">
        <v>97.87</v>
      </c>
      <c r="J10839">
        <v>0</v>
      </c>
      <c r="K10839">
        <v>0</v>
      </c>
      <c r="L10839">
        <v>0</v>
      </c>
      <c r="M10839">
        <v>163</v>
      </c>
      <c r="N10839">
        <v>5871.9400000000005</v>
      </c>
      <c r="O10839">
        <v>97.87</v>
      </c>
    </row>
    <row r="10840" spans="1:15" x14ac:dyDescent="0.35">
      <c r="A10840" t="s">
        <v>11607</v>
      </c>
      <c r="B10840" t="s">
        <v>11608</v>
      </c>
      <c r="C10840" t="s">
        <v>11188</v>
      </c>
      <c r="D10840" t="s">
        <v>337</v>
      </c>
      <c r="E10840" t="s">
        <v>337</v>
      </c>
      <c r="F10840" t="s">
        <v>11639</v>
      </c>
      <c r="G10840">
        <v>3059</v>
      </c>
      <c r="J10840">
        <v>0</v>
      </c>
      <c r="M10840">
        <v>3059</v>
      </c>
    </row>
    <row r="10841" spans="1:15" x14ac:dyDescent="0.35">
      <c r="A10841" t="s">
        <v>11607</v>
      </c>
      <c r="B10841" t="s">
        <v>11608</v>
      </c>
      <c r="C10841" t="s">
        <v>11188</v>
      </c>
      <c r="D10841" t="s">
        <v>339</v>
      </c>
      <c r="E10841" t="s">
        <v>294</v>
      </c>
      <c r="F10841" t="s">
        <v>11640</v>
      </c>
      <c r="G10841">
        <v>697</v>
      </c>
      <c r="H10841">
        <v>100961.09000000001</v>
      </c>
      <c r="I10841">
        <v>144.85</v>
      </c>
      <c r="J10841">
        <v>381</v>
      </c>
      <c r="K10841">
        <v>41654.729999999996</v>
      </c>
      <c r="L10841">
        <v>109.33</v>
      </c>
      <c r="M10841">
        <v>1078</v>
      </c>
      <c r="N10841">
        <v>142615.82</v>
      </c>
      <c r="O10841">
        <v>132.30000000000001</v>
      </c>
    </row>
    <row r="10842" spans="1:15" x14ac:dyDescent="0.35">
      <c r="A10842" t="s">
        <v>11607</v>
      </c>
      <c r="B10842" t="s">
        <v>11608</v>
      </c>
      <c r="C10842" t="s">
        <v>11188</v>
      </c>
      <c r="D10842" t="s">
        <v>339</v>
      </c>
      <c r="E10842" t="s">
        <v>296</v>
      </c>
      <c r="F10842" t="s">
        <v>11641</v>
      </c>
      <c r="G10842">
        <v>266</v>
      </c>
      <c r="H10842">
        <v>42889.290000000008</v>
      </c>
      <c r="I10842">
        <v>161.24</v>
      </c>
      <c r="J10842">
        <v>58</v>
      </c>
      <c r="K10842">
        <v>6875.9</v>
      </c>
      <c r="L10842">
        <v>118.55</v>
      </c>
      <c r="M10842">
        <v>324</v>
      </c>
      <c r="N10842">
        <v>49765.19000000001</v>
      </c>
      <c r="O10842">
        <v>153.6</v>
      </c>
    </row>
    <row r="10843" spans="1:15" x14ac:dyDescent="0.35">
      <c r="A10843" t="s">
        <v>11607</v>
      </c>
      <c r="B10843" t="s">
        <v>11608</v>
      </c>
      <c r="C10843" t="s">
        <v>11188</v>
      </c>
      <c r="D10843" t="s">
        <v>339</v>
      </c>
      <c r="E10843" t="s">
        <v>298</v>
      </c>
      <c r="F10843" t="s">
        <v>11642</v>
      </c>
      <c r="G10843">
        <v>5</v>
      </c>
      <c r="H10843">
        <v>850.85</v>
      </c>
      <c r="I10843">
        <v>170.17</v>
      </c>
      <c r="J10843">
        <v>0</v>
      </c>
      <c r="K10843">
        <v>0</v>
      </c>
      <c r="L10843">
        <v>0</v>
      </c>
      <c r="M10843">
        <v>5</v>
      </c>
      <c r="N10843">
        <v>850.85</v>
      </c>
      <c r="O10843">
        <v>170.17</v>
      </c>
    </row>
    <row r="10844" spans="1:15" x14ac:dyDescent="0.35">
      <c r="A10844" t="s">
        <v>11607</v>
      </c>
      <c r="B10844" t="s">
        <v>11608</v>
      </c>
      <c r="C10844" t="s">
        <v>11188</v>
      </c>
      <c r="D10844" t="s">
        <v>339</v>
      </c>
      <c r="E10844" t="s">
        <v>300</v>
      </c>
      <c r="F10844" t="s">
        <v>11643</v>
      </c>
      <c r="G10844">
        <v>1</v>
      </c>
      <c r="H10844">
        <v>178.07</v>
      </c>
      <c r="I10844">
        <v>178.07</v>
      </c>
      <c r="J10844">
        <v>0</v>
      </c>
      <c r="K10844">
        <v>0</v>
      </c>
      <c r="L10844">
        <v>0</v>
      </c>
      <c r="M10844">
        <v>1</v>
      </c>
      <c r="N10844">
        <v>178.07</v>
      </c>
      <c r="O10844">
        <v>178.07</v>
      </c>
    </row>
    <row r="10845" spans="1:15" x14ac:dyDescent="0.35">
      <c r="A10845" t="s">
        <v>11607</v>
      </c>
      <c r="B10845" t="s">
        <v>11608</v>
      </c>
      <c r="C10845" t="s">
        <v>11188</v>
      </c>
      <c r="D10845" t="s">
        <v>339</v>
      </c>
      <c r="E10845" t="s">
        <v>306</v>
      </c>
      <c r="F10845" t="s">
        <v>11644</v>
      </c>
      <c r="G10845">
        <v>88</v>
      </c>
      <c r="H10845">
        <v>10640.93</v>
      </c>
      <c r="I10845">
        <v>120.92</v>
      </c>
      <c r="J10845">
        <v>202</v>
      </c>
      <c r="K10845">
        <v>18529.46</v>
      </c>
      <c r="L10845">
        <v>91.73</v>
      </c>
      <c r="M10845">
        <v>290</v>
      </c>
      <c r="N10845">
        <v>29170.39</v>
      </c>
      <c r="O10845">
        <v>100.59</v>
      </c>
    </row>
    <row r="10846" spans="1:15" x14ac:dyDescent="0.35">
      <c r="A10846" t="s">
        <v>11607</v>
      </c>
      <c r="B10846" t="s">
        <v>11608</v>
      </c>
      <c r="C10846" t="s">
        <v>11188</v>
      </c>
      <c r="D10846" t="s">
        <v>339</v>
      </c>
      <c r="E10846" t="s">
        <v>308</v>
      </c>
      <c r="F10846" t="s">
        <v>11645</v>
      </c>
      <c r="G10846">
        <v>164</v>
      </c>
      <c r="H10846">
        <v>21794.370000000003</v>
      </c>
      <c r="I10846">
        <v>132.88999999999999</v>
      </c>
      <c r="J10846">
        <v>0</v>
      </c>
      <c r="K10846">
        <v>0</v>
      </c>
      <c r="L10846">
        <v>0</v>
      </c>
      <c r="M10846">
        <v>164</v>
      </c>
      <c r="N10846">
        <v>21794.370000000003</v>
      </c>
      <c r="O10846">
        <v>132.88999999999999</v>
      </c>
    </row>
    <row r="10847" spans="1:15" x14ac:dyDescent="0.35">
      <c r="A10847" t="s">
        <v>11607</v>
      </c>
      <c r="B10847" t="s">
        <v>11608</v>
      </c>
      <c r="C10847" t="s">
        <v>11188</v>
      </c>
      <c r="D10847" t="s">
        <v>339</v>
      </c>
      <c r="E10847" t="s">
        <v>310</v>
      </c>
      <c r="F10847" t="s">
        <v>11646</v>
      </c>
      <c r="G10847">
        <v>1221</v>
      </c>
      <c r="H10847">
        <v>177314.6</v>
      </c>
      <c r="I10847">
        <v>145.22</v>
      </c>
      <c r="J10847">
        <v>641</v>
      </c>
      <c r="K10847">
        <v>67060.09</v>
      </c>
      <c r="L10847">
        <v>104.62</v>
      </c>
      <c r="M10847">
        <v>1862</v>
      </c>
      <c r="N10847">
        <v>244374.69</v>
      </c>
      <c r="O10847">
        <v>131.24</v>
      </c>
    </row>
    <row r="10848" spans="1:15" x14ac:dyDescent="0.35">
      <c r="A10848" t="s">
        <v>11607</v>
      </c>
      <c r="B10848" t="s">
        <v>11608</v>
      </c>
      <c r="C10848" t="s">
        <v>11188</v>
      </c>
      <c r="D10848" t="s">
        <v>339</v>
      </c>
      <c r="E10848" t="s">
        <v>312</v>
      </c>
      <c r="F10848" t="s">
        <v>11647</v>
      </c>
      <c r="G10848">
        <v>1057</v>
      </c>
      <c r="H10848">
        <v>155520.23000000001</v>
      </c>
      <c r="I10848">
        <v>147.13</v>
      </c>
      <c r="J10848">
        <v>641</v>
      </c>
      <c r="K10848">
        <v>67060.09</v>
      </c>
      <c r="L10848">
        <v>104.62</v>
      </c>
      <c r="M10848">
        <v>1698</v>
      </c>
      <c r="N10848">
        <v>222580.32</v>
      </c>
      <c r="O10848">
        <v>131.08000000000001</v>
      </c>
    </row>
    <row r="10849" spans="1:15" x14ac:dyDescent="0.35">
      <c r="A10849" t="s">
        <v>11607</v>
      </c>
      <c r="B10849" t="s">
        <v>11608</v>
      </c>
      <c r="C10849" t="s">
        <v>11188</v>
      </c>
      <c r="D10849" t="s">
        <v>348</v>
      </c>
      <c r="E10849" t="s">
        <v>349</v>
      </c>
      <c r="F10849" t="s">
        <v>11648</v>
      </c>
      <c r="G10849">
        <v>1702</v>
      </c>
      <c r="H10849">
        <v>177314.6</v>
      </c>
      <c r="I10849">
        <v>145.22</v>
      </c>
      <c r="J10849">
        <v>641</v>
      </c>
      <c r="K10849">
        <v>67060.09</v>
      </c>
      <c r="L10849">
        <v>104.62</v>
      </c>
      <c r="M10849">
        <v>2343</v>
      </c>
      <c r="N10849">
        <v>244374.69</v>
      </c>
      <c r="O10849">
        <v>131.24</v>
      </c>
    </row>
    <row r="10850" spans="1:15" x14ac:dyDescent="0.35">
      <c r="A10850" t="s">
        <v>11649</v>
      </c>
      <c r="B10850" t="s">
        <v>11650</v>
      </c>
      <c r="C10850" t="s">
        <v>11188</v>
      </c>
      <c r="D10850" t="s">
        <v>293</v>
      </c>
      <c r="E10850" t="s">
        <v>294</v>
      </c>
      <c r="F10850" t="s">
        <v>11651</v>
      </c>
      <c r="G10850">
        <v>411</v>
      </c>
      <c r="H10850">
        <v>95044.79</v>
      </c>
      <c r="I10850">
        <v>231.25</v>
      </c>
      <c r="J10850">
        <v>0</v>
      </c>
      <c r="K10850">
        <v>0</v>
      </c>
      <c r="L10850">
        <v>0</v>
      </c>
      <c r="M10850">
        <v>411</v>
      </c>
      <c r="N10850">
        <v>95044.79</v>
      </c>
      <c r="O10850">
        <v>231.25</v>
      </c>
    </row>
    <row r="10851" spans="1:15" x14ac:dyDescent="0.35">
      <c r="A10851" t="s">
        <v>11649</v>
      </c>
      <c r="B10851" t="s">
        <v>11650</v>
      </c>
      <c r="C10851" t="s">
        <v>11188</v>
      </c>
      <c r="D10851" t="s">
        <v>293</v>
      </c>
      <c r="E10851" t="s">
        <v>296</v>
      </c>
      <c r="F10851" t="s">
        <v>11652</v>
      </c>
      <c r="G10851">
        <v>405</v>
      </c>
      <c r="H10851">
        <v>105609.91000000002</v>
      </c>
      <c r="I10851">
        <v>260.77</v>
      </c>
      <c r="J10851">
        <v>0</v>
      </c>
      <c r="K10851">
        <v>0</v>
      </c>
      <c r="L10851">
        <v>0</v>
      </c>
      <c r="M10851">
        <v>405</v>
      </c>
      <c r="N10851">
        <v>105609.91000000002</v>
      </c>
      <c r="O10851">
        <v>260.77</v>
      </c>
    </row>
    <row r="10852" spans="1:15" x14ac:dyDescent="0.35">
      <c r="A10852" t="s">
        <v>11649</v>
      </c>
      <c r="B10852" t="s">
        <v>11650</v>
      </c>
      <c r="C10852" t="s">
        <v>11188</v>
      </c>
      <c r="D10852" t="s">
        <v>293</v>
      </c>
      <c r="E10852" t="s">
        <v>298</v>
      </c>
      <c r="F10852" t="s">
        <v>11653</v>
      </c>
      <c r="G10852">
        <v>214</v>
      </c>
      <c r="H10852">
        <v>63320.280000000006</v>
      </c>
      <c r="I10852">
        <v>295.89</v>
      </c>
      <c r="J10852">
        <v>0</v>
      </c>
      <c r="K10852">
        <v>0</v>
      </c>
      <c r="L10852">
        <v>0</v>
      </c>
      <c r="M10852">
        <v>214</v>
      </c>
      <c r="N10852">
        <v>63320.280000000006</v>
      </c>
      <c r="O10852">
        <v>295.89</v>
      </c>
    </row>
    <row r="10853" spans="1:15" x14ac:dyDescent="0.35">
      <c r="A10853" t="s">
        <v>11649</v>
      </c>
      <c r="B10853" t="s">
        <v>11650</v>
      </c>
      <c r="C10853" t="s">
        <v>11188</v>
      </c>
      <c r="D10853" t="s">
        <v>293</v>
      </c>
      <c r="E10853" t="s">
        <v>300</v>
      </c>
      <c r="F10853" t="s">
        <v>11654</v>
      </c>
      <c r="G10853">
        <v>68</v>
      </c>
      <c r="H10853">
        <v>26588.6</v>
      </c>
      <c r="I10853">
        <v>391.01</v>
      </c>
      <c r="J10853">
        <v>0</v>
      </c>
      <c r="K10853">
        <v>0</v>
      </c>
      <c r="L10853">
        <v>0</v>
      </c>
      <c r="M10853">
        <v>68</v>
      </c>
      <c r="N10853">
        <v>26588.6</v>
      </c>
      <c r="O10853">
        <v>391.01</v>
      </c>
    </row>
    <row r="10854" spans="1:15" x14ac:dyDescent="0.35">
      <c r="A10854" t="s">
        <v>11649</v>
      </c>
      <c r="B10854" t="s">
        <v>11650</v>
      </c>
      <c r="C10854" t="s">
        <v>11188</v>
      </c>
      <c r="D10854" t="s">
        <v>293</v>
      </c>
      <c r="E10854" t="s">
        <v>302</v>
      </c>
      <c r="F10854" t="s">
        <v>11655</v>
      </c>
      <c r="G10854">
        <v>1</v>
      </c>
      <c r="H10854">
        <v>480.49</v>
      </c>
      <c r="I10854">
        <v>480.49</v>
      </c>
      <c r="J10854">
        <v>0</v>
      </c>
      <c r="K10854">
        <v>0</v>
      </c>
      <c r="L10854">
        <v>0</v>
      </c>
      <c r="M10854">
        <v>1</v>
      </c>
      <c r="N10854">
        <v>480.49</v>
      </c>
      <c r="O10854">
        <v>480.49</v>
      </c>
    </row>
    <row r="10855" spans="1:15" x14ac:dyDescent="0.35">
      <c r="A10855" t="s">
        <v>11649</v>
      </c>
      <c r="B10855" t="s">
        <v>11650</v>
      </c>
      <c r="C10855" t="s">
        <v>11188</v>
      </c>
      <c r="D10855" t="s">
        <v>293</v>
      </c>
      <c r="E10855" t="s">
        <v>304</v>
      </c>
      <c r="F10855" t="s">
        <v>11656</v>
      </c>
      <c r="G10855">
        <v>3</v>
      </c>
      <c r="H10855">
        <v>1374</v>
      </c>
      <c r="I10855">
        <v>458</v>
      </c>
      <c r="J10855">
        <v>0</v>
      </c>
      <c r="K10855">
        <v>0</v>
      </c>
      <c r="L10855">
        <v>0</v>
      </c>
      <c r="M10855">
        <v>3</v>
      </c>
      <c r="N10855">
        <v>1374</v>
      </c>
      <c r="O10855">
        <v>458</v>
      </c>
    </row>
    <row r="10856" spans="1:15" x14ac:dyDescent="0.35">
      <c r="A10856" t="s">
        <v>11649</v>
      </c>
      <c r="B10856" t="s">
        <v>11650</v>
      </c>
      <c r="C10856" t="s">
        <v>11188</v>
      </c>
      <c r="D10856" t="s">
        <v>293</v>
      </c>
      <c r="E10856" t="s">
        <v>306</v>
      </c>
      <c r="F10856" t="s">
        <v>11657</v>
      </c>
      <c r="G10856">
        <v>7</v>
      </c>
      <c r="H10856">
        <v>899.92000000000007</v>
      </c>
      <c r="I10856">
        <v>128.56</v>
      </c>
      <c r="J10856">
        <v>0</v>
      </c>
      <c r="K10856">
        <v>0</v>
      </c>
      <c r="L10856">
        <v>0</v>
      </c>
      <c r="M10856">
        <v>7</v>
      </c>
      <c r="N10856">
        <v>899.92000000000007</v>
      </c>
      <c r="O10856">
        <v>128.56</v>
      </c>
    </row>
    <row r="10857" spans="1:15" x14ac:dyDescent="0.35">
      <c r="A10857" t="s">
        <v>11649</v>
      </c>
      <c r="B10857" t="s">
        <v>11650</v>
      </c>
      <c r="C10857" t="s">
        <v>11188</v>
      </c>
      <c r="D10857" t="s">
        <v>293</v>
      </c>
      <c r="E10857" t="s">
        <v>308</v>
      </c>
      <c r="F10857" t="s">
        <v>11658</v>
      </c>
      <c r="G10857">
        <v>0</v>
      </c>
      <c r="H10857">
        <v>0</v>
      </c>
      <c r="I10857">
        <v>0</v>
      </c>
      <c r="J10857">
        <v>0</v>
      </c>
      <c r="K10857">
        <v>0</v>
      </c>
      <c r="L10857">
        <v>0</v>
      </c>
      <c r="M10857">
        <v>0</v>
      </c>
      <c r="N10857">
        <v>0</v>
      </c>
      <c r="O10857">
        <v>0</v>
      </c>
    </row>
    <row r="10858" spans="1:15" x14ac:dyDescent="0.35">
      <c r="A10858" t="s">
        <v>11649</v>
      </c>
      <c r="B10858" t="s">
        <v>11650</v>
      </c>
      <c r="C10858" t="s">
        <v>11188</v>
      </c>
      <c r="D10858" t="s">
        <v>293</v>
      </c>
      <c r="E10858" t="s">
        <v>310</v>
      </c>
      <c r="F10858" t="s">
        <v>11659</v>
      </c>
      <c r="G10858">
        <v>1109</v>
      </c>
      <c r="H10858">
        <v>293317.99</v>
      </c>
      <c r="I10858">
        <v>264.49</v>
      </c>
      <c r="J10858">
        <v>0</v>
      </c>
      <c r="K10858">
        <v>0</v>
      </c>
      <c r="L10858">
        <v>0</v>
      </c>
      <c r="M10858">
        <v>1109</v>
      </c>
      <c r="N10858">
        <v>293317.99</v>
      </c>
      <c r="O10858">
        <v>264.49</v>
      </c>
    </row>
    <row r="10859" spans="1:15" x14ac:dyDescent="0.35">
      <c r="A10859" t="s">
        <v>11649</v>
      </c>
      <c r="B10859" t="s">
        <v>11650</v>
      </c>
      <c r="C10859" t="s">
        <v>11188</v>
      </c>
      <c r="D10859" t="s">
        <v>293</v>
      </c>
      <c r="E10859" t="s">
        <v>312</v>
      </c>
      <c r="F10859" t="s">
        <v>11660</v>
      </c>
      <c r="G10859">
        <v>1109</v>
      </c>
      <c r="H10859">
        <v>293317.99</v>
      </c>
      <c r="I10859">
        <v>264.49</v>
      </c>
      <c r="J10859">
        <v>0</v>
      </c>
      <c r="K10859">
        <v>0</v>
      </c>
      <c r="L10859">
        <v>0</v>
      </c>
      <c r="M10859">
        <v>1109</v>
      </c>
      <c r="N10859">
        <v>293317.99</v>
      </c>
      <c r="O10859">
        <v>264.49</v>
      </c>
    </row>
    <row r="10860" spans="1:15" x14ac:dyDescent="0.35">
      <c r="A10860" t="s">
        <v>11649</v>
      </c>
      <c r="B10860" t="s">
        <v>11650</v>
      </c>
      <c r="C10860" t="s">
        <v>11188</v>
      </c>
      <c r="D10860" t="s">
        <v>314</v>
      </c>
      <c r="E10860" t="s">
        <v>294</v>
      </c>
      <c r="F10860" t="s">
        <v>11661</v>
      </c>
      <c r="G10860">
        <v>28</v>
      </c>
      <c r="H10860">
        <v>8625.24</v>
      </c>
      <c r="I10860">
        <v>308.04000000000002</v>
      </c>
      <c r="J10860">
        <v>0</v>
      </c>
      <c r="K10860">
        <v>0</v>
      </c>
      <c r="L10860">
        <v>0</v>
      </c>
      <c r="M10860">
        <v>28</v>
      </c>
      <c r="N10860">
        <v>8625.24</v>
      </c>
      <c r="O10860">
        <v>308.04000000000002</v>
      </c>
    </row>
    <row r="10861" spans="1:15" x14ac:dyDescent="0.35">
      <c r="A10861" t="s">
        <v>11649</v>
      </c>
      <c r="B10861" t="s">
        <v>11650</v>
      </c>
      <c r="C10861" t="s">
        <v>11188</v>
      </c>
      <c r="D10861" t="s">
        <v>314</v>
      </c>
      <c r="E10861" t="s">
        <v>296</v>
      </c>
      <c r="F10861" t="s">
        <v>11662</v>
      </c>
      <c r="G10861">
        <v>23</v>
      </c>
      <c r="H10861">
        <v>7859.2400000000007</v>
      </c>
      <c r="I10861">
        <v>341.71</v>
      </c>
      <c r="J10861">
        <v>0</v>
      </c>
      <c r="K10861">
        <v>0</v>
      </c>
      <c r="L10861">
        <v>0</v>
      </c>
      <c r="M10861">
        <v>23</v>
      </c>
      <c r="N10861">
        <v>7859.2400000000007</v>
      </c>
      <c r="O10861">
        <v>341.71</v>
      </c>
    </row>
    <row r="10862" spans="1:15" x14ac:dyDescent="0.35">
      <c r="A10862" t="s">
        <v>11649</v>
      </c>
      <c r="B10862" t="s">
        <v>11650</v>
      </c>
      <c r="C10862" t="s">
        <v>11188</v>
      </c>
      <c r="D10862" t="s">
        <v>314</v>
      </c>
      <c r="E10862" t="s">
        <v>298</v>
      </c>
      <c r="F10862" t="s">
        <v>11663</v>
      </c>
      <c r="G10862">
        <v>2</v>
      </c>
      <c r="H10862">
        <v>528.41999999999996</v>
      </c>
      <c r="I10862">
        <v>264.20999999999998</v>
      </c>
      <c r="J10862">
        <v>0</v>
      </c>
      <c r="K10862">
        <v>0</v>
      </c>
      <c r="L10862">
        <v>0</v>
      </c>
      <c r="M10862">
        <v>2</v>
      </c>
      <c r="N10862">
        <v>528.41999999999996</v>
      </c>
      <c r="O10862">
        <v>264.20999999999998</v>
      </c>
    </row>
    <row r="10863" spans="1:15" x14ac:dyDescent="0.35">
      <c r="A10863" t="s">
        <v>11649</v>
      </c>
      <c r="B10863" t="s">
        <v>11650</v>
      </c>
      <c r="C10863" t="s">
        <v>11188</v>
      </c>
      <c r="D10863" t="s">
        <v>314</v>
      </c>
      <c r="E10863" t="s">
        <v>300</v>
      </c>
      <c r="F10863" t="s">
        <v>11664</v>
      </c>
      <c r="G10863">
        <v>0</v>
      </c>
      <c r="H10863">
        <v>0</v>
      </c>
      <c r="I10863">
        <v>0</v>
      </c>
      <c r="J10863">
        <v>0</v>
      </c>
      <c r="K10863">
        <v>0</v>
      </c>
      <c r="L10863">
        <v>0</v>
      </c>
      <c r="M10863">
        <v>0</v>
      </c>
      <c r="N10863">
        <v>0</v>
      </c>
      <c r="O10863">
        <v>0</v>
      </c>
    </row>
    <row r="10864" spans="1:15" x14ac:dyDescent="0.35">
      <c r="A10864" t="s">
        <v>11649</v>
      </c>
      <c r="B10864" t="s">
        <v>11650</v>
      </c>
      <c r="C10864" t="s">
        <v>11188</v>
      </c>
      <c r="D10864" t="s">
        <v>314</v>
      </c>
      <c r="E10864" t="s">
        <v>306</v>
      </c>
      <c r="F10864" t="s">
        <v>11665</v>
      </c>
      <c r="G10864">
        <v>0</v>
      </c>
      <c r="H10864">
        <v>0</v>
      </c>
      <c r="I10864">
        <v>0</v>
      </c>
      <c r="J10864">
        <v>0</v>
      </c>
      <c r="K10864">
        <v>0</v>
      </c>
      <c r="L10864">
        <v>0</v>
      </c>
      <c r="M10864">
        <v>0</v>
      </c>
      <c r="N10864">
        <v>0</v>
      </c>
      <c r="O10864">
        <v>0</v>
      </c>
    </row>
    <row r="10865" spans="1:15" x14ac:dyDescent="0.35">
      <c r="A10865" t="s">
        <v>11649</v>
      </c>
      <c r="B10865" t="s">
        <v>11650</v>
      </c>
      <c r="C10865" t="s">
        <v>11188</v>
      </c>
      <c r="D10865" t="s">
        <v>314</v>
      </c>
      <c r="E10865" t="s">
        <v>308</v>
      </c>
      <c r="F10865" t="s">
        <v>11666</v>
      </c>
      <c r="G10865">
        <v>0</v>
      </c>
      <c r="H10865">
        <v>0</v>
      </c>
      <c r="I10865">
        <v>0</v>
      </c>
      <c r="J10865">
        <v>0</v>
      </c>
      <c r="K10865">
        <v>0</v>
      </c>
      <c r="L10865">
        <v>0</v>
      </c>
      <c r="M10865">
        <v>0</v>
      </c>
      <c r="N10865">
        <v>0</v>
      </c>
      <c r="O10865">
        <v>0</v>
      </c>
    </row>
    <row r="10866" spans="1:15" x14ac:dyDescent="0.35">
      <c r="A10866" t="s">
        <v>11649</v>
      </c>
      <c r="B10866" t="s">
        <v>11650</v>
      </c>
      <c r="C10866" t="s">
        <v>11188</v>
      </c>
      <c r="D10866" t="s">
        <v>314</v>
      </c>
      <c r="E10866" t="s">
        <v>312</v>
      </c>
      <c r="F10866" t="s">
        <v>11667</v>
      </c>
      <c r="G10866">
        <v>53</v>
      </c>
      <c r="H10866">
        <v>17012.899999999998</v>
      </c>
      <c r="I10866">
        <v>321</v>
      </c>
      <c r="J10866">
        <v>0</v>
      </c>
      <c r="K10866">
        <v>0</v>
      </c>
      <c r="L10866">
        <v>0</v>
      </c>
      <c r="M10866">
        <v>53</v>
      </c>
      <c r="N10866">
        <v>17012.899999999998</v>
      </c>
      <c r="O10866">
        <v>321</v>
      </c>
    </row>
    <row r="10867" spans="1:15" x14ac:dyDescent="0.35">
      <c r="A10867" t="s">
        <v>11649</v>
      </c>
      <c r="B10867" t="s">
        <v>11650</v>
      </c>
      <c r="C10867" t="s">
        <v>11188</v>
      </c>
      <c r="D10867" t="s">
        <v>314</v>
      </c>
      <c r="E10867" t="s">
        <v>310</v>
      </c>
      <c r="F10867" t="s">
        <v>11668</v>
      </c>
      <c r="G10867">
        <v>53</v>
      </c>
      <c r="H10867">
        <v>17012.899999999998</v>
      </c>
      <c r="I10867">
        <v>321</v>
      </c>
      <c r="J10867">
        <v>0</v>
      </c>
      <c r="K10867">
        <v>0</v>
      </c>
      <c r="L10867">
        <v>0</v>
      </c>
      <c r="M10867">
        <v>53</v>
      </c>
      <c r="N10867">
        <v>17012.899999999998</v>
      </c>
      <c r="O10867">
        <v>321</v>
      </c>
    </row>
    <row r="10868" spans="1:15" x14ac:dyDescent="0.35">
      <c r="A10868" t="s">
        <v>11649</v>
      </c>
      <c r="B10868" t="s">
        <v>11650</v>
      </c>
      <c r="C10868" t="s">
        <v>11188</v>
      </c>
      <c r="D10868" t="s">
        <v>323</v>
      </c>
      <c r="E10868" t="s">
        <v>294</v>
      </c>
      <c r="F10868" t="s">
        <v>11669</v>
      </c>
      <c r="G10868">
        <v>4437</v>
      </c>
      <c r="H10868">
        <v>563039.24</v>
      </c>
      <c r="I10868">
        <v>126.9</v>
      </c>
      <c r="J10868">
        <v>5998</v>
      </c>
      <c r="K10868">
        <v>681612.72</v>
      </c>
      <c r="L10868">
        <v>113.64</v>
      </c>
      <c r="M10868">
        <v>10435</v>
      </c>
      <c r="N10868">
        <v>1244651.96</v>
      </c>
      <c r="O10868">
        <v>119.28</v>
      </c>
    </row>
    <row r="10869" spans="1:15" x14ac:dyDescent="0.35">
      <c r="A10869" t="s">
        <v>11649</v>
      </c>
      <c r="B10869" t="s">
        <v>11650</v>
      </c>
      <c r="C10869" t="s">
        <v>11188</v>
      </c>
      <c r="D10869" t="s">
        <v>323</v>
      </c>
      <c r="E10869" t="s">
        <v>296</v>
      </c>
      <c r="F10869" t="s">
        <v>11670</v>
      </c>
      <c r="G10869">
        <v>6075</v>
      </c>
      <c r="H10869">
        <v>865457.2300000001</v>
      </c>
      <c r="I10869">
        <v>142.46</v>
      </c>
      <c r="J10869">
        <v>7887</v>
      </c>
      <c r="K10869">
        <v>1019000.3999999999</v>
      </c>
      <c r="L10869">
        <v>129.19999999999999</v>
      </c>
      <c r="M10869">
        <v>13962</v>
      </c>
      <c r="N10869">
        <v>1884457.63</v>
      </c>
      <c r="O10869">
        <v>134.97</v>
      </c>
    </row>
    <row r="10870" spans="1:15" x14ac:dyDescent="0.35">
      <c r="A10870" t="s">
        <v>11649</v>
      </c>
      <c r="B10870" t="s">
        <v>11650</v>
      </c>
      <c r="C10870" t="s">
        <v>11188</v>
      </c>
      <c r="D10870" t="s">
        <v>323</v>
      </c>
      <c r="E10870" t="s">
        <v>298</v>
      </c>
      <c r="F10870" t="s">
        <v>11671</v>
      </c>
      <c r="G10870">
        <v>4797</v>
      </c>
      <c r="H10870">
        <v>774469.52000000014</v>
      </c>
      <c r="I10870">
        <v>161.44999999999999</v>
      </c>
      <c r="J10870">
        <v>5601</v>
      </c>
      <c r="K10870">
        <v>806880.06</v>
      </c>
      <c r="L10870">
        <v>144.06</v>
      </c>
      <c r="M10870">
        <v>10398</v>
      </c>
      <c r="N10870">
        <v>1581349.58</v>
      </c>
      <c r="O10870">
        <v>152.08000000000001</v>
      </c>
    </row>
    <row r="10871" spans="1:15" x14ac:dyDescent="0.35">
      <c r="A10871" t="s">
        <v>11649</v>
      </c>
      <c r="B10871" t="s">
        <v>11650</v>
      </c>
      <c r="C10871" t="s">
        <v>11188</v>
      </c>
      <c r="D10871" t="s">
        <v>323</v>
      </c>
      <c r="E10871" t="s">
        <v>300</v>
      </c>
      <c r="F10871" t="s">
        <v>11672</v>
      </c>
      <c r="G10871">
        <v>1605</v>
      </c>
      <c r="H10871">
        <v>290179.03000000003</v>
      </c>
      <c r="I10871">
        <v>180.8</v>
      </c>
      <c r="J10871">
        <v>848</v>
      </c>
      <c r="K10871">
        <v>149756.79999999999</v>
      </c>
      <c r="L10871">
        <v>176.6</v>
      </c>
      <c r="M10871">
        <v>2453</v>
      </c>
      <c r="N10871">
        <v>439935.83</v>
      </c>
      <c r="O10871">
        <v>179.35</v>
      </c>
    </row>
    <row r="10872" spans="1:15" x14ac:dyDescent="0.35">
      <c r="A10872" t="s">
        <v>11649</v>
      </c>
      <c r="B10872" t="s">
        <v>11650</v>
      </c>
      <c r="C10872" t="s">
        <v>11188</v>
      </c>
      <c r="D10872" t="s">
        <v>323</v>
      </c>
      <c r="E10872" t="s">
        <v>302</v>
      </c>
      <c r="F10872" t="s">
        <v>11673</v>
      </c>
      <c r="G10872">
        <v>176</v>
      </c>
      <c r="H10872">
        <v>33594.92</v>
      </c>
      <c r="I10872">
        <v>190.88</v>
      </c>
      <c r="J10872">
        <v>132</v>
      </c>
      <c r="K10872">
        <v>25755.84</v>
      </c>
      <c r="L10872">
        <v>195.12</v>
      </c>
      <c r="M10872">
        <v>308</v>
      </c>
      <c r="N10872">
        <v>59350.759999999995</v>
      </c>
      <c r="O10872">
        <v>192.7</v>
      </c>
    </row>
    <row r="10873" spans="1:15" x14ac:dyDescent="0.35">
      <c r="A10873" t="s">
        <v>11649</v>
      </c>
      <c r="B10873" t="s">
        <v>11650</v>
      </c>
      <c r="C10873" t="s">
        <v>11188</v>
      </c>
      <c r="D10873" t="s">
        <v>323</v>
      </c>
      <c r="E10873" t="s">
        <v>304</v>
      </c>
      <c r="F10873" t="s">
        <v>11674</v>
      </c>
      <c r="G10873">
        <v>47</v>
      </c>
      <c r="H10873">
        <v>9393.75</v>
      </c>
      <c r="I10873">
        <v>199.87</v>
      </c>
      <c r="J10873">
        <v>43</v>
      </c>
      <c r="K10873">
        <v>8944.43</v>
      </c>
      <c r="L10873">
        <v>208.01</v>
      </c>
      <c r="M10873">
        <v>90</v>
      </c>
      <c r="N10873">
        <v>18338.18</v>
      </c>
      <c r="O10873">
        <v>203.76</v>
      </c>
    </row>
    <row r="10874" spans="1:15" x14ac:dyDescent="0.35">
      <c r="A10874" t="s">
        <v>11649</v>
      </c>
      <c r="B10874" t="s">
        <v>11650</v>
      </c>
      <c r="C10874" t="s">
        <v>11188</v>
      </c>
      <c r="D10874" t="s">
        <v>323</v>
      </c>
      <c r="E10874" t="s">
        <v>306</v>
      </c>
      <c r="F10874" t="s">
        <v>11675</v>
      </c>
      <c r="G10874">
        <v>150</v>
      </c>
      <c r="H10874">
        <v>15769.35</v>
      </c>
      <c r="I10874">
        <v>105.13</v>
      </c>
      <c r="J10874">
        <v>900</v>
      </c>
      <c r="K10874">
        <v>90855</v>
      </c>
      <c r="L10874">
        <v>100.95</v>
      </c>
      <c r="M10874">
        <v>1050</v>
      </c>
      <c r="N10874">
        <v>106624.35</v>
      </c>
      <c r="O10874">
        <v>101.55</v>
      </c>
    </row>
    <row r="10875" spans="1:15" x14ac:dyDescent="0.35">
      <c r="A10875" t="s">
        <v>11649</v>
      </c>
      <c r="B10875" t="s">
        <v>11650</v>
      </c>
      <c r="C10875" t="s">
        <v>11188</v>
      </c>
      <c r="D10875" t="s">
        <v>323</v>
      </c>
      <c r="E10875" t="s">
        <v>308</v>
      </c>
      <c r="F10875" t="s">
        <v>11676</v>
      </c>
      <c r="G10875">
        <v>63</v>
      </c>
      <c r="H10875">
        <v>7668.84</v>
      </c>
      <c r="I10875">
        <v>121.73</v>
      </c>
      <c r="J10875">
        <v>59</v>
      </c>
      <c r="K10875">
        <v>10127.35</v>
      </c>
      <c r="L10875">
        <v>171.65</v>
      </c>
      <c r="M10875">
        <v>122</v>
      </c>
      <c r="N10875">
        <v>17796.190000000002</v>
      </c>
      <c r="O10875">
        <v>145.87</v>
      </c>
    </row>
    <row r="10876" spans="1:15" x14ac:dyDescent="0.35">
      <c r="A10876" t="s">
        <v>11649</v>
      </c>
      <c r="B10876" t="s">
        <v>11650</v>
      </c>
      <c r="C10876" t="s">
        <v>11188</v>
      </c>
      <c r="D10876" t="s">
        <v>323</v>
      </c>
      <c r="E10876" t="s">
        <v>310</v>
      </c>
      <c r="F10876" t="s">
        <v>11677</v>
      </c>
      <c r="G10876">
        <v>17350</v>
      </c>
      <c r="H10876">
        <v>2559571.8800000004</v>
      </c>
      <c r="I10876">
        <v>147.53</v>
      </c>
      <c r="J10876">
        <v>21468</v>
      </c>
      <c r="K10876">
        <v>2792932.5999999996</v>
      </c>
      <c r="L10876">
        <v>130.1</v>
      </c>
      <c r="M10876">
        <v>38818</v>
      </c>
      <c r="N10876">
        <v>5352504.4800000004</v>
      </c>
      <c r="O10876">
        <v>137.88999999999999</v>
      </c>
    </row>
    <row r="10877" spans="1:15" x14ac:dyDescent="0.35">
      <c r="A10877" t="s">
        <v>11649</v>
      </c>
      <c r="B10877" t="s">
        <v>11650</v>
      </c>
      <c r="C10877" t="s">
        <v>11188</v>
      </c>
      <c r="D10877" t="s">
        <v>323</v>
      </c>
      <c r="E10877" t="s">
        <v>312</v>
      </c>
      <c r="F10877" t="s">
        <v>11678</v>
      </c>
      <c r="G10877">
        <v>17287</v>
      </c>
      <c r="H10877">
        <v>2551903.0400000005</v>
      </c>
      <c r="I10877">
        <v>147.62</v>
      </c>
      <c r="J10877">
        <v>21409</v>
      </c>
      <c r="K10877">
        <v>2782805.2499999995</v>
      </c>
      <c r="L10877">
        <v>129.97999999999999</v>
      </c>
      <c r="M10877">
        <v>38696</v>
      </c>
      <c r="N10877">
        <v>5334708.29</v>
      </c>
      <c r="O10877">
        <v>137.86000000000001</v>
      </c>
    </row>
    <row r="10878" spans="1:15" x14ac:dyDescent="0.35">
      <c r="A10878" t="s">
        <v>11649</v>
      </c>
      <c r="B10878" t="s">
        <v>11650</v>
      </c>
      <c r="C10878" t="s">
        <v>11188</v>
      </c>
      <c r="D10878" t="s">
        <v>334</v>
      </c>
      <c r="E10878" t="s">
        <v>312</v>
      </c>
      <c r="F10878" t="s">
        <v>11679</v>
      </c>
      <c r="G10878">
        <v>20198</v>
      </c>
      <c r="H10878">
        <v>2845221.03</v>
      </c>
      <c r="I10878">
        <v>154.66999999999999</v>
      </c>
      <c r="J10878">
        <v>21409</v>
      </c>
      <c r="K10878">
        <v>2782805.2499999995</v>
      </c>
      <c r="L10878">
        <v>129.97999999999999</v>
      </c>
      <c r="M10878">
        <v>41607</v>
      </c>
      <c r="N10878">
        <v>5628026.2799999993</v>
      </c>
      <c r="O10878">
        <v>141.38999999999999</v>
      </c>
    </row>
    <row r="10879" spans="1:15" x14ac:dyDescent="0.35">
      <c r="A10879" t="s">
        <v>11649</v>
      </c>
      <c r="B10879" t="s">
        <v>11650</v>
      </c>
      <c r="C10879" t="s">
        <v>11188</v>
      </c>
      <c r="D10879" t="s">
        <v>334</v>
      </c>
      <c r="E10879" t="s">
        <v>308</v>
      </c>
      <c r="F10879" t="s">
        <v>11680</v>
      </c>
      <c r="G10879">
        <v>587</v>
      </c>
      <c r="H10879">
        <v>7668.84</v>
      </c>
      <c r="I10879">
        <v>121.73</v>
      </c>
      <c r="J10879">
        <v>59</v>
      </c>
      <c r="K10879">
        <v>10127.35</v>
      </c>
      <c r="L10879">
        <v>171.65</v>
      </c>
      <c r="M10879">
        <v>646</v>
      </c>
      <c r="N10879">
        <v>17796.190000000002</v>
      </c>
      <c r="O10879">
        <v>145.87</v>
      </c>
    </row>
    <row r="10880" spans="1:15" x14ac:dyDescent="0.35">
      <c r="A10880" t="s">
        <v>11649</v>
      </c>
      <c r="B10880" t="s">
        <v>11650</v>
      </c>
      <c r="C10880" t="s">
        <v>11188</v>
      </c>
      <c r="D10880" t="s">
        <v>337</v>
      </c>
      <c r="E10880" t="s">
        <v>337</v>
      </c>
      <c r="F10880" t="s">
        <v>11681</v>
      </c>
      <c r="G10880">
        <v>2428</v>
      </c>
      <c r="J10880">
        <v>84</v>
      </c>
      <c r="M10880">
        <v>2512</v>
      </c>
    </row>
    <row r="10881" spans="1:15" x14ac:dyDescent="0.35">
      <c r="A10881" t="s">
        <v>11649</v>
      </c>
      <c r="B10881" t="s">
        <v>11650</v>
      </c>
      <c r="C10881" t="s">
        <v>11188</v>
      </c>
      <c r="D10881" t="s">
        <v>339</v>
      </c>
      <c r="E10881" t="s">
        <v>294</v>
      </c>
      <c r="F10881" t="s">
        <v>11682</v>
      </c>
      <c r="G10881">
        <v>2193</v>
      </c>
      <c r="H10881">
        <v>310093.13</v>
      </c>
      <c r="I10881">
        <v>141.4</v>
      </c>
      <c r="J10881">
        <v>0</v>
      </c>
      <c r="K10881">
        <v>0</v>
      </c>
      <c r="L10881">
        <v>0</v>
      </c>
      <c r="M10881">
        <v>2193</v>
      </c>
      <c r="N10881">
        <v>310093.13</v>
      </c>
      <c r="O10881">
        <v>141.4</v>
      </c>
    </row>
    <row r="10882" spans="1:15" x14ac:dyDescent="0.35">
      <c r="A10882" t="s">
        <v>11649</v>
      </c>
      <c r="B10882" t="s">
        <v>11650</v>
      </c>
      <c r="C10882" t="s">
        <v>11188</v>
      </c>
      <c r="D10882" t="s">
        <v>339</v>
      </c>
      <c r="E10882" t="s">
        <v>296</v>
      </c>
      <c r="F10882" t="s">
        <v>11683</v>
      </c>
      <c r="G10882">
        <v>107</v>
      </c>
      <c r="H10882">
        <v>17545.84</v>
      </c>
      <c r="I10882">
        <v>163.98</v>
      </c>
      <c r="J10882">
        <v>0</v>
      </c>
      <c r="K10882">
        <v>0</v>
      </c>
      <c r="L10882">
        <v>0</v>
      </c>
      <c r="M10882">
        <v>107</v>
      </c>
      <c r="N10882">
        <v>17545.84</v>
      </c>
      <c r="O10882">
        <v>163.98</v>
      </c>
    </row>
    <row r="10883" spans="1:15" x14ac:dyDescent="0.35">
      <c r="A10883" t="s">
        <v>11649</v>
      </c>
      <c r="B10883" t="s">
        <v>11650</v>
      </c>
      <c r="C10883" t="s">
        <v>11188</v>
      </c>
      <c r="D10883" t="s">
        <v>339</v>
      </c>
      <c r="E10883" t="s">
        <v>298</v>
      </c>
      <c r="F10883" t="s">
        <v>11684</v>
      </c>
      <c r="G10883">
        <v>20</v>
      </c>
      <c r="H10883">
        <v>3541.7299999999996</v>
      </c>
      <c r="I10883">
        <v>177.09</v>
      </c>
      <c r="J10883">
        <v>0</v>
      </c>
      <c r="K10883">
        <v>0</v>
      </c>
      <c r="L10883">
        <v>0</v>
      </c>
      <c r="M10883">
        <v>20</v>
      </c>
      <c r="N10883">
        <v>3541.7299999999996</v>
      </c>
      <c r="O10883">
        <v>177.09</v>
      </c>
    </row>
    <row r="10884" spans="1:15" x14ac:dyDescent="0.35">
      <c r="A10884" t="s">
        <v>11649</v>
      </c>
      <c r="B10884" t="s">
        <v>11650</v>
      </c>
      <c r="C10884" t="s">
        <v>11188</v>
      </c>
      <c r="D10884" t="s">
        <v>339</v>
      </c>
      <c r="E10884" t="s">
        <v>300</v>
      </c>
      <c r="F10884" t="s">
        <v>11685</v>
      </c>
      <c r="G10884">
        <v>3</v>
      </c>
      <c r="H10884">
        <v>621.36</v>
      </c>
      <c r="I10884">
        <v>207.12</v>
      </c>
      <c r="J10884">
        <v>0</v>
      </c>
      <c r="K10884">
        <v>0</v>
      </c>
      <c r="L10884">
        <v>0</v>
      </c>
      <c r="M10884">
        <v>3</v>
      </c>
      <c r="N10884">
        <v>621.36</v>
      </c>
      <c r="O10884">
        <v>207.12</v>
      </c>
    </row>
    <row r="10885" spans="1:15" x14ac:dyDescent="0.35">
      <c r="A10885" t="s">
        <v>11649</v>
      </c>
      <c r="B10885" t="s">
        <v>11650</v>
      </c>
      <c r="C10885" t="s">
        <v>11188</v>
      </c>
      <c r="D10885" t="s">
        <v>339</v>
      </c>
      <c r="E10885" t="s">
        <v>306</v>
      </c>
      <c r="F10885" t="s">
        <v>11686</v>
      </c>
      <c r="G10885">
        <v>143</v>
      </c>
      <c r="H10885">
        <v>17935.810000000001</v>
      </c>
      <c r="I10885">
        <v>125.43</v>
      </c>
      <c r="J10885">
        <v>0</v>
      </c>
      <c r="K10885">
        <v>0</v>
      </c>
      <c r="L10885">
        <v>0</v>
      </c>
      <c r="M10885">
        <v>143</v>
      </c>
      <c r="N10885">
        <v>17935.810000000001</v>
      </c>
      <c r="O10885">
        <v>125.43</v>
      </c>
    </row>
    <row r="10886" spans="1:15" x14ac:dyDescent="0.35">
      <c r="A10886" t="s">
        <v>11649</v>
      </c>
      <c r="B10886" t="s">
        <v>11650</v>
      </c>
      <c r="C10886" t="s">
        <v>11188</v>
      </c>
      <c r="D10886" t="s">
        <v>339</v>
      </c>
      <c r="E10886" t="s">
        <v>308</v>
      </c>
      <c r="F10886" t="s">
        <v>11687</v>
      </c>
      <c r="G10886">
        <v>412</v>
      </c>
      <c r="H10886">
        <v>51822.03</v>
      </c>
      <c r="I10886">
        <v>125.78</v>
      </c>
      <c r="J10886">
        <v>0</v>
      </c>
      <c r="K10886">
        <v>0</v>
      </c>
      <c r="L10886">
        <v>0</v>
      </c>
      <c r="M10886">
        <v>412</v>
      </c>
      <c r="N10886">
        <v>51822.03</v>
      </c>
      <c r="O10886">
        <v>125.78</v>
      </c>
    </row>
    <row r="10887" spans="1:15" x14ac:dyDescent="0.35">
      <c r="A10887" t="s">
        <v>11649</v>
      </c>
      <c r="B10887" t="s">
        <v>11650</v>
      </c>
      <c r="C10887" t="s">
        <v>11188</v>
      </c>
      <c r="D10887" t="s">
        <v>339</v>
      </c>
      <c r="E10887" t="s">
        <v>310</v>
      </c>
      <c r="F10887" t="s">
        <v>11688</v>
      </c>
      <c r="G10887">
        <v>2878</v>
      </c>
      <c r="H10887">
        <v>401559.9</v>
      </c>
      <c r="I10887">
        <v>139.53</v>
      </c>
      <c r="J10887">
        <v>0</v>
      </c>
      <c r="K10887">
        <v>0</v>
      </c>
      <c r="L10887">
        <v>0</v>
      </c>
      <c r="M10887">
        <v>2878</v>
      </c>
      <c r="N10887">
        <v>401559.9</v>
      </c>
      <c r="O10887">
        <v>139.53</v>
      </c>
    </row>
    <row r="10888" spans="1:15" x14ac:dyDescent="0.35">
      <c r="A10888" t="s">
        <v>11649</v>
      </c>
      <c r="B10888" t="s">
        <v>11650</v>
      </c>
      <c r="C10888" t="s">
        <v>11188</v>
      </c>
      <c r="D10888" t="s">
        <v>339</v>
      </c>
      <c r="E10888" t="s">
        <v>312</v>
      </c>
      <c r="F10888" t="s">
        <v>11689</v>
      </c>
      <c r="G10888">
        <v>2466</v>
      </c>
      <c r="H10888">
        <v>349737.87</v>
      </c>
      <c r="I10888">
        <v>141.82</v>
      </c>
      <c r="J10888">
        <v>0</v>
      </c>
      <c r="K10888">
        <v>0</v>
      </c>
      <c r="L10888">
        <v>0</v>
      </c>
      <c r="M10888">
        <v>2466</v>
      </c>
      <c r="N10888">
        <v>349737.87</v>
      </c>
      <c r="O10888">
        <v>141.82</v>
      </c>
    </row>
    <row r="10889" spans="1:15" x14ac:dyDescent="0.35">
      <c r="A10889" t="s">
        <v>11649</v>
      </c>
      <c r="B10889" t="s">
        <v>11650</v>
      </c>
      <c r="C10889" t="s">
        <v>11188</v>
      </c>
      <c r="D10889" t="s">
        <v>348</v>
      </c>
      <c r="E10889" t="s">
        <v>349</v>
      </c>
      <c r="F10889" t="s">
        <v>11690</v>
      </c>
      <c r="G10889">
        <v>3267</v>
      </c>
      <c r="H10889">
        <v>418572.80000000005</v>
      </c>
      <c r="I10889">
        <v>142.81</v>
      </c>
      <c r="J10889">
        <v>0</v>
      </c>
      <c r="K10889">
        <v>0</v>
      </c>
      <c r="L10889">
        <v>0</v>
      </c>
      <c r="M10889">
        <v>3267</v>
      </c>
      <c r="N10889">
        <v>418572.80000000005</v>
      </c>
      <c r="O10889">
        <v>142.81</v>
      </c>
    </row>
    <row r="10890" spans="1:15" x14ac:dyDescent="0.35">
      <c r="A10890" t="s">
        <v>11691</v>
      </c>
      <c r="B10890" t="s">
        <v>11692</v>
      </c>
      <c r="C10890" t="s">
        <v>11188</v>
      </c>
      <c r="D10890" t="s">
        <v>293</v>
      </c>
      <c r="E10890" t="s">
        <v>294</v>
      </c>
      <c r="F10890" t="s">
        <v>11693</v>
      </c>
      <c r="G10890">
        <v>836</v>
      </c>
      <c r="H10890">
        <v>200550.5</v>
      </c>
      <c r="I10890">
        <v>239.89</v>
      </c>
      <c r="J10890">
        <v>0</v>
      </c>
      <c r="K10890">
        <v>0</v>
      </c>
      <c r="L10890">
        <v>0</v>
      </c>
      <c r="M10890">
        <v>836</v>
      </c>
      <c r="N10890">
        <v>200550.5</v>
      </c>
      <c r="O10890">
        <v>239.89</v>
      </c>
    </row>
    <row r="10891" spans="1:15" x14ac:dyDescent="0.35">
      <c r="A10891" t="s">
        <v>11691</v>
      </c>
      <c r="B10891" t="s">
        <v>11692</v>
      </c>
      <c r="C10891" t="s">
        <v>11188</v>
      </c>
      <c r="D10891" t="s">
        <v>293</v>
      </c>
      <c r="E10891" t="s">
        <v>296</v>
      </c>
      <c r="F10891" t="s">
        <v>11694</v>
      </c>
      <c r="G10891">
        <v>558</v>
      </c>
      <c r="H10891">
        <v>151804.98000000001</v>
      </c>
      <c r="I10891">
        <v>272.05</v>
      </c>
      <c r="J10891">
        <v>5</v>
      </c>
      <c r="K10891">
        <v>1869.8500000000001</v>
      </c>
      <c r="L10891">
        <v>373.97</v>
      </c>
      <c r="M10891">
        <v>563</v>
      </c>
      <c r="N10891">
        <v>153674.83000000002</v>
      </c>
      <c r="O10891">
        <v>272.95999999999998</v>
      </c>
    </row>
    <row r="10892" spans="1:15" x14ac:dyDescent="0.35">
      <c r="A10892" t="s">
        <v>11691</v>
      </c>
      <c r="B10892" t="s">
        <v>11692</v>
      </c>
      <c r="C10892" t="s">
        <v>11188</v>
      </c>
      <c r="D10892" t="s">
        <v>293</v>
      </c>
      <c r="E10892" t="s">
        <v>298</v>
      </c>
      <c r="F10892" t="s">
        <v>11695</v>
      </c>
      <c r="G10892">
        <v>102</v>
      </c>
      <c r="H10892">
        <v>29126.46</v>
      </c>
      <c r="I10892">
        <v>285.55</v>
      </c>
      <c r="J10892">
        <v>11</v>
      </c>
      <c r="K10892">
        <v>5189.58</v>
      </c>
      <c r="L10892">
        <v>471.78</v>
      </c>
      <c r="M10892">
        <v>113</v>
      </c>
      <c r="N10892">
        <v>34316.04</v>
      </c>
      <c r="O10892">
        <v>303.68</v>
      </c>
    </row>
    <row r="10893" spans="1:15" x14ac:dyDescent="0.35">
      <c r="A10893" t="s">
        <v>11691</v>
      </c>
      <c r="B10893" t="s">
        <v>11692</v>
      </c>
      <c r="C10893" t="s">
        <v>11188</v>
      </c>
      <c r="D10893" t="s">
        <v>293</v>
      </c>
      <c r="E10893" t="s">
        <v>300</v>
      </c>
      <c r="F10893" t="s">
        <v>11696</v>
      </c>
      <c r="G10893">
        <v>24</v>
      </c>
      <c r="H10893">
        <v>7383.619999999999</v>
      </c>
      <c r="I10893">
        <v>307.64999999999998</v>
      </c>
      <c r="J10893">
        <v>2</v>
      </c>
      <c r="K10893">
        <v>1173.7</v>
      </c>
      <c r="L10893">
        <v>586.85</v>
      </c>
      <c r="M10893">
        <v>26</v>
      </c>
      <c r="N10893">
        <v>8557.32</v>
      </c>
      <c r="O10893">
        <v>329.13</v>
      </c>
    </row>
    <row r="10894" spans="1:15" x14ac:dyDescent="0.35">
      <c r="A10894" t="s">
        <v>11691</v>
      </c>
      <c r="B10894" t="s">
        <v>11692</v>
      </c>
      <c r="C10894" t="s">
        <v>11188</v>
      </c>
      <c r="D10894" t="s">
        <v>293</v>
      </c>
      <c r="E10894" t="s">
        <v>302</v>
      </c>
      <c r="F10894" t="s">
        <v>11697</v>
      </c>
      <c r="G10894">
        <v>0</v>
      </c>
      <c r="H10894">
        <v>0</v>
      </c>
      <c r="I10894">
        <v>0</v>
      </c>
      <c r="J10894">
        <v>0</v>
      </c>
      <c r="K10894">
        <v>0</v>
      </c>
      <c r="L10894">
        <v>0</v>
      </c>
      <c r="M10894">
        <v>0</v>
      </c>
      <c r="N10894">
        <v>0</v>
      </c>
      <c r="O10894">
        <v>0</v>
      </c>
    </row>
    <row r="10895" spans="1:15" x14ac:dyDescent="0.35">
      <c r="A10895" t="s">
        <v>11691</v>
      </c>
      <c r="B10895" t="s">
        <v>11692</v>
      </c>
      <c r="C10895" t="s">
        <v>11188</v>
      </c>
      <c r="D10895" t="s">
        <v>293</v>
      </c>
      <c r="E10895" t="s">
        <v>304</v>
      </c>
      <c r="F10895" t="s">
        <v>11698</v>
      </c>
      <c r="G10895">
        <v>0</v>
      </c>
      <c r="H10895">
        <v>0</v>
      </c>
      <c r="I10895">
        <v>0</v>
      </c>
      <c r="J10895">
        <v>0</v>
      </c>
      <c r="K10895">
        <v>0</v>
      </c>
      <c r="L10895">
        <v>0</v>
      </c>
      <c r="M10895">
        <v>0</v>
      </c>
      <c r="N10895">
        <v>0</v>
      </c>
      <c r="O10895">
        <v>0</v>
      </c>
    </row>
    <row r="10896" spans="1:15" x14ac:dyDescent="0.35">
      <c r="A10896" t="s">
        <v>11691</v>
      </c>
      <c r="B10896" t="s">
        <v>11692</v>
      </c>
      <c r="C10896" t="s">
        <v>11188</v>
      </c>
      <c r="D10896" t="s">
        <v>293</v>
      </c>
      <c r="E10896" t="s">
        <v>306</v>
      </c>
      <c r="F10896" t="s">
        <v>11699</v>
      </c>
      <c r="G10896">
        <v>31</v>
      </c>
      <c r="H10896">
        <v>6612.82</v>
      </c>
      <c r="I10896">
        <v>213.32</v>
      </c>
      <c r="J10896">
        <v>0</v>
      </c>
      <c r="K10896">
        <v>0</v>
      </c>
      <c r="L10896">
        <v>0</v>
      </c>
      <c r="M10896">
        <v>31</v>
      </c>
      <c r="N10896">
        <v>6612.82</v>
      </c>
      <c r="O10896">
        <v>213.32</v>
      </c>
    </row>
    <row r="10897" spans="1:15" x14ac:dyDescent="0.35">
      <c r="A10897" t="s">
        <v>11691</v>
      </c>
      <c r="B10897" t="s">
        <v>11692</v>
      </c>
      <c r="C10897" t="s">
        <v>11188</v>
      </c>
      <c r="D10897" t="s">
        <v>293</v>
      </c>
      <c r="E10897" t="s">
        <v>308</v>
      </c>
      <c r="F10897" t="s">
        <v>11700</v>
      </c>
      <c r="G10897">
        <v>0</v>
      </c>
      <c r="H10897">
        <v>0</v>
      </c>
      <c r="I10897">
        <v>0</v>
      </c>
      <c r="J10897">
        <v>0</v>
      </c>
      <c r="K10897">
        <v>0</v>
      </c>
      <c r="L10897">
        <v>0</v>
      </c>
      <c r="M10897">
        <v>0</v>
      </c>
      <c r="N10897">
        <v>0</v>
      </c>
      <c r="O10897">
        <v>0</v>
      </c>
    </row>
    <row r="10898" spans="1:15" x14ac:dyDescent="0.35">
      <c r="A10898" t="s">
        <v>11691</v>
      </c>
      <c r="B10898" t="s">
        <v>11692</v>
      </c>
      <c r="C10898" t="s">
        <v>11188</v>
      </c>
      <c r="D10898" t="s">
        <v>293</v>
      </c>
      <c r="E10898" t="s">
        <v>310</v>
      </c>
      <c r="F10898" t="s">
        <v>11701</v>
      </c>
      <c r="G10898">
        <v>1551</v>
      </c>
      <c r="H10898">
        <v>395478.38</v>
      </c>
      <c r="I10898">
        <v>254.98</v>
      </c>
      <c r="J10898">
        <v>18</v>
      </c>
      <c r="K10898">
        <v>8233.130000000001</v>
      </c>
      <c r="L10898">
        <v>457.4</v>
      </c>
      <c r="M10898">
        <v>1569</v>
      </c>
      <c r="N10898">
        <v>403711.51</v>
      </c>
      <c r="O10898">
        <v>257.3</v>
      </c>
    </row>
    <row r="10899" spans="1:15" x14ac:dyDescent="0.35">
      <c r="A10899" t="s">
        <v>11691</v>
      </c>
      <c r="B10899" t="s">
        <v>11692</v>
      </c>
      <c r="C10899" t="s">
        <v>11188</v>
      </c>
      <c r="D10899" t="s">
        <v>293</v>
      </c>
      <c r="E10899" t="s">
        <v>312</v>
      </c>
      <c r="F10899" t="s">
        <v>11702</v>
      </c>
      <c r="G10899">
        <v>1551</v>
      </c>
      <c r="H10899">
        <v>395478.38</v>
      </c>
      <c r="I10899">
        <v>254.98</v>
      </c>
      <c r="J10899">
        <v>18</v>
      </c>
      <c r="K10899">
        <v>8233.130000000001</v>
      </c>
      <c r="L10899">
        <v>457.4</v>
      </c>
      <c r="M10899">
        <v>1569</v>
      </c>
      <c r="N10899">
        <v>403711.51</v>
      </c>
      <c r="O10899">
        <v>257.3</v>
      </c>
    </row>
    <row r="10900" spans="1:15" x14ac:dyDescent="0.35">
      <c r="A10900" t="s">
        <v>11691</v>
      </c>
      <c r="B10900" t="s">
        <v>11692</v>
      </c>
      <c r="C10900" t="s">
        <v>11188</v>
      </c>
      <c r="D10900" t="s">
        <v>314</v>
      </c>
      <c r="E10900" t="s">
        <v>294</v>
      </c>
      <c r="F10900" t="s">
        <v>11703</v>
      </c>
      <c r="G10900">
        <v>88</v>
      </c>
      <c r="H10900">
        <v>23590.469999999998</v>
      </c>
      <c r="I10900">
        <v>268.07</v>
      </c>
      <c r="J10900">
        <v>0</v>
      </c>
      <c r="K10900">
        <v>0</v>
      </c>
      <c r="L10900">
        <v>0</v>
      </c>
      <c r="M10900">
        <v>88</v>
      </c>
      <c r="N10900">
        <v>23590.469999999998</v>
      </c>
      <c r="O10900">
        <v>268.07</v>
      </c>
    </row>
    <row r="10901" spans="1:15" x14ac:dyDescent="0.35">
      <c r="A10901" t="s">
        <v>11691</v>
      </c>
      <c r="B10901" t="s">
        <v>11692</v>
      </c>
      <c r="C10901" t="s">
        <v>11188</v>
      </c>
      <c r="D10901" t="s">
        <v>314</v>
      </c>
      <c r="E10901" t="s">
        <v>296</v>
      </c>
      <c r="F10901" t="s">
        <v>11704</v>
      </c>
      <c r="G10901">
        <v>1</v>
      </c>
      <c r="H10901">
        <v>270.61</v>
      </c>
      <c r="I10901">
        <v>270.61</v>
      </c>
      <c r="J10901">
        <v>0</v>
      </c>
      <c r="K10901">
        <v>0</v>
      </c>
      <c r="L10901">
        <v>0</v>
      </c>
      <c r="M10901">
        <v>1</v>
      </c>
      <c r="N10901">
        <v>270.61</v>
      </c>
      <c r="O10901">
        <v>270.61</v>
      </c>
    </row>
    <row r="10902" spans="1:15" x14ac:dyDescent="0.35">
      <c r="A10902" t="s">
        <v>11691</v>
      </c>
      <c r="B10902" t="s">
        <v>11692</v>
      </c>
      <c r="C10902" t="s">
        <v>11188</v>
      </c>
      <c r="D10902" t="s">
        <v>314</v>
      </c>
      <c r="E10902" t="s">
        <v>298</v>
      </c>
      <c r="F10902" t="s">
        <v>11705</v>
      </c>
      <c r="G10902">
        <v>1</v>
      </c>
      <c r="H10902">
        <v>313.8</v>
      </c>
      <c r="I10902">
        <v>313.8</v>
      </c>
      <c r="J10902">
        <v>0</v>
      </c>
      <c r="K10902">
        <v>0</v>
      </c>
      <c r="L10902">
        <v>0</v>
      </c>
      <c r="M10902">
        <v>1</v>
      </c>
      <c r="N10902">
        <v>313.8</v>
      </c>
      <c r="O10902">
        <v>313.8</v>
      </c>
    </row>
    <row r="10903" spans="1:15" x14ac:dyDescent="0.35">
      <c r="A10903" t="s">
        <v>11691</v>
      </c>
      <c r="B10903" t="s">
        <v>11692</v>
      </c>
      <c r="C10903" t="s">
        <v>11188</v>
      </c>
      <c r="D10903" t="s">
        <v>314</v>
      </c>
      <c r="E10903" t="s">
        <v>300</v>
      </c>
      <c r="F10903" t="s">
        <v>11706</v>
      </c>
      <c r="G10903">
        <v>0</v>
      </c>
      <c r="H10903">
        <v>0</v>
      </c>
      <c r="I10903">
        <v>0</v>
      </c>
      <c r="J10903">
        <v>0</v>
      </c>
      <c r="K10903">
        <v>0</v>
      </c>
      <c r="L10903">
        <v>0</v>
      </c>
      <c r="M10903">
        <v>0</v>
      </c>
      <c r="N10903">
        <v>0</v>
      </c>
      <c r="O10903">
        <v>0</v>
      </c>
    </row>
    <row r="10904" spans="1:15" x14ac:dyDescent="0.35">
      <c r="A10904" t="s">
        <v>11691</v>
      </c>
      <c r="B10904" t="s">
        <v>11692</v>
      </c>
      <c r="C10904" t="s">
        <v>11188</v>
      </c>
      <c r="D10904" t="s">
        <v>314</v>
      </c>
      <c r="E10904" t="s">
        <v>306</v>
      </c>
      <c r="F10904" t="s">
        <v>11707</v>
      </c>
      <c r="G10904">
        <v>0</v>
      </c>
      <c r="H10904">
        <v>0</v>
      </c>
      <c r="I10904">
        <v>0</v>
      </c>
      <c r="J10904">
        <v>0</v>
      </c>
      <c r="K10904">
        <v>0</v>
      </c>
      <c r="L10904">
        <v>0</v>
      </c>
      <c r="M10904">
        <v>0</v>
      </c>
      <c r="N10904">
        <v>0</v>
      </c>
      <c r="O10904">
        <v>0</v>
      </c>
    </row>
    <row r="10905" spans="1:15" x14ac:dyDescent="0.35">
      <c r="A10905" t="s">
        <v>11691</v>
      </c>
      <c r="B10905" t="s">
        <v>11692</v>
      </c>
      <c r="C10905" t="s">
        <v>11188</v>
      </c>
      <c r="D10905" t="s">
        <v>314</v>
      </c>
      <c r="E10905" t="s">
        <v>308</v>
      </c>
      <c r="F10905" t="s">
        <v>11708</v>
      </c>
      <c r="G10905">
        <v>0</v>
      </c>
      <c r="H10905">
        <v>0</v>
      </c>
      <c r="I10905">
        <v>0</v>
      </c>
      <c r="J10905">
        <v>0</v>
      </c>
      <c r="K10905">
        <v>0</v>
      </c>
      <c r="L10905">
        <v>0</v>
      </c>
      <c r="M10905">
        <v>0</v>
      </c>
      <c r="N10905">
        <v>0</v>
      </c>
      <c r="O10905">
        <v>0</v>
      </c>
    </row>
    <row r="10906" spans="1:15" x14ac:dyDescent="0.35">
      <c r="A10906" t="s">
        <v>11691</v>
      </c>
      <c r="B10906" t="s">
        <v>11692</v>
      </c>
      <c r="C10906" t="s">
        <v>11188</v>
      </c>
      <c r="D10906" t="s">
        <v>314</v>
      </c>
      <c r="E10906" t="s">
        <v>312</v>
      </c>
      <c r="F10906" t="s">
        <v>11709</v>
      </c>
      <c r="G10906">
        <v>90</v>
      </c>
      <c r="H10906">
        <v>24174.879999999997</v>
      </c>
      <c r="I10906">
        <v>268.61</v>
      </c>
      <c r="J10906">
        <v>0</v>
      </c>
      <c r="K10906">
        <v>0</v>
      </c>
      <c r="L10906">
        <v>0</v>
      </c>
      <c r="M10906">
        <v>90</v>
      </c>
      <c r="N10906">
        <v>24174.879999999997</v>
      </c>
      <c r="O10906">
        <v>268.61</v>
      </c>
    </row>
    <row r="10907" spans="1:15" x14ac:dyDescent="0.35">
      <c r="A10907" t="s">
        <v>11691</v>
      </c>
      <c r="B10907" t="s">
        <v>11692</v>
      </c>
      <c r="C10907" t="s">
        <v>11188</v>
      </c>
      <c r="D10907" t="s">
        <v>314</v>
      </c>
      <c r="E10907" t="s">
        <v>310</v>
      </c>
      <c r="F10907" t="s">
        <v>11710</v>
      </c>
      <c r="G10907">
        <v>90</v>
      </c>
      <c r="H10907">
        <v>24174.879999999997</v>
      </c>
      <c r="I10907">
        <v>268.61</v>
      </c>
      <c r="J10907">
        <v>0</v>
      </c>
      <c r="K10907">
        <v>0</v>
      </c>
      <c r="L10907">
        <v>0</v>
      </c>
      <c r="M10907">
        <v>90</v>
      </c>
      <c r="N10907">
        <v>24174.879999999997</v>
      </c>
      <c r="O10907">
        <v>268.61</v>
      </c>
    </row>
    <row r="10908" spans="1:15" x14ac:dyDescent="0.35">
      <c r="A10908" t="s">
        <v>11691</v>
      </c>
      <c r="B10908" t="s">
        <v>11692</v>
      </c>
      <c r="C10908" t="s">
        <v>11188</v>
      </c>
      <c r="D10908" t="s">
        <v>323</v>
      </c>
      <c r="E10908" t="s">
        <v>294</v>
      </c>
      <c r="F10908" t="s">
        <v>11711</v>
      </c>
      <c r="G10908">
        <v>3211</v>
      </c>
      <c r="H10908">
        <v>470501.89</v>
      </c>
      <c r="I10908">
        <v>146.53</v>
      </c>
      <c r="J10908">
        <v>4175</v>
      </c>
      <c r="K10908">
        <v>501626.25</v>
      </c>
      <c r="L10908">
        <v>120.15</v>
      </c>
      <c r="M10908">
        <v>7386</v>
      </c>
      <c r="N10908">
        <v>972128.14</v>
      </c>
      <c r="O10908">
        <v>131.62</v>
      </c>
    </row>
    <row r="10909" spans="1:15" x14ac:dyDescent="0.35">
      <c r="A10909" t="s">
        <v>11691</v>
      </c>
      <c r="B10909" t="s">
        <v>11692</v>
      </c>
      <c r="C10909" t="s">
        <v>11188</v>
      </c>
      <c r="D10909" t="s">
        <v>323</v>
      </c>
      <c r="E10909" t="s">
        <v>296</v>
      </c>
      <c r="F10909" t="s">
        <v>11712</v>
      </c>
      <c r="G10909">
        <v>3310</v>
      </c>
      <c r="H10909">
        <v>536296.24</v>
      </c>
      <c r="I10909">
        <v>162.02000000000001</v>
      </c>
      <c r="J10909">
        <v>3993</v>
      </c>
      <c r="K10909">
        <v>521485.8</v>
      </c>
      <c r="L10909">
        <v>130.6</v>
      </c>
      <c r="M10909">
        <v>7303</v>
      </c>
      <c r="N10909">
        <v>1057782.04</v>
      </c>
      <c r="O10909">
        <v>144.84</v>
      </c>
    </row>
    <row r="10910" spans="1:15" x14ac:dyDescent="0.35">
      <c r="A10910" t="s">
        <v>11691</v>
      </c>
      <c r="B10910" t="s">
        <v>11692</v>
      </c>
      <c r="C10910" t="s">
        <v>11188</v>
      </c>
      <c r="D10910" t="s">
        <v>323</v>
      </c>
      <c r="E10910" t="s">
        <v>298</v>
      </c>
      <c r="F10910" t="s">
        <v>11713</v>
      </c>
      <c r="G10910">
        <v>2234</v>
      </c>
      <c r="H10910">
        <v>390198.53</v>
      </c>
      <c r="I10910">
        <v>174.66</v>
      </c>
      <c r="J10910">
        <v>2355</v>
      </c>
      <c r="K10910">
        <v>351106.95</v>
      </c>
      <c r="L10910">
        <v>149.09</v>
      </c>
      <c r="M10910">
        <v>4589</v>
      </c>
      <c r="N10910">
        <v>741305.48</v>
      </c>
      <c r="O10910">
        <v>161.54</v>
      </c>
    </row>
    <row r="10911" spans="1:15" x14ac:dyDescent="0.35">
      <c r="A10911" t="s">
        <v>11691</v>
      </c>
      <c r="B10911" t="s">
        <v>11692</v>
      </c>
      <c r="C10911" t="s">
        <v>11188</v>
      </c>
      <c r="D10911" t="s">
        <v>323</v>
      </c>
      <c r="E10911" t="s">
        <v>300</v>
      </c>
      <c r="F10911" t="s">
        <v>11714</v>
      </c>
      <c r="G10911">
        <v>432</v>
      </c>
      <c r="H10911">
        <v>81904.459999999992</v>
      </c>
      <c r="I10911">
        <v>189.59</v>
      </c>
      <c r="J10911">
        <v>779</v>
      </c>
      <c r="K10911">
        <v>139479.95000000001</v>
      </c>
      <c r="L10911">
        <v>179.05</v>
      </c>
      <c r="M10911">
        <v>1211</v>
      </c>
      <c r="N10911">
        <v>221384.41</v>
      </c>
      <c r="O10911">
        <v>182.81</v>
      </c>
    </row>
    <row r="10912" spans="1:15" x14ac:dyDescent="0.35">
      <c r="A10912" t="s">
        <v>11691</v>
      </c>
      <c r="B10912" t="s">
        <v>11692</v>
      </c>
      <c r="C10912" t="s">
        <v>11188</v>
      </c>
      <c r="D10912" t="s">
        <v>323</v>
      </c>
      <c r="E10912" t="s">
        <v>302</v>
      </c>
      <c r="F10912" t="s">
        <v>11715</v>
      </c>
      <c r="G10912">
        <v>29</v>
      </c>
      <c r="H10912">
        <v>5607.5599999999995</v>
      </c>
      <c r="I10912">
        <v>193.36</v>
      </c>
      <c r="J10912">
        <v>75</v>
      </c>
      <c r="K10912">
        <v>14624.25</v>
      </c>
      <c r="L10912">
        <v>194.99</v>
      </c>
      <c r="M10912">
        <v>104</v>
      </c>
      <c r="N10912">
        <v>20231.809999999998</v>
      </c>
      <c r="O10912">
        <v>194.54</v>
      </c>
    </row>
    <row r="10913" spans="1:15" x14ac:dyDescent="0.35">
      <c r="A10913" t="s">
        <v>11691</v>
      </c>
      <c r="B10913" t="s">
        <v>11692</v>
      </c>
      <c r="C10913" t="s">
        <v>11188</v>
      </c>
      <c r="D10913" t="s">
        <v>323</v>
      </c>
      <c r="E10913" t="s">
        <v>304</v>
      </c>
      <c r="F10913" t="s">
        <v>11716</v>
      </c>
      <c r="G10913">
        <v>6</v>
      </c>
      <c r="H10913">
        <v>1273.76</v>
      </c>
      <c r="I10913">
        <v>212.29</v>
      </c>
      <c r="J10913">
        <v>16</v>
      </c>
      <c r="K10913">
        <v>3338.88</v>
      </c>
      <c r="L10913">
        <v>208.68</v>
      </c>
      <c r="M10913">
        <v>22</v>
      </c>
      <c r="N10913">
        <v>4612.6400000000003</v>
      </c>
      <c r="O10913">
        <v>209.67</v>
      </c>
    </row>
    <row r="10914" spans="1:15" x14ac:dyDescent="0.35">
      <c r="A10914" t="s">
        <v>11691</v>
      </c>
      <c r="B10914" t="s">
        <v>11692</v>
      </c>
      <c r="C10914" t="s">
        <v>11188</v>
      </c>
      <c r="D10914" t="s">
        <v>323</v>
      </c>
      <c r="E10914" t="s">
        <v>306</v>
      </c>
      <c r="F10914" t="s">
        <v>11717</v>
      </c>
      <c r="G10914">
        <v>181</v>
      </c>
      <c r="H10914">
        <v>22236.53</v>
      </c>
      <c r="I10914">
        <v>122.85</v>
      </c>
      <c r="J10914">
        <v>550</v>
      </c>
      <c r="K10914">
        <v>58041.5</v>
      </c>
      <c r="L10914">
        <v>105.53</v>
      </c>
      <c r="M10914">
        <v>731</v>
      </c>
      <c r="N10914">
        <v>80278.03</v>
      </c>
      <c r="O10914">
        <v>109.82</v>
      </c>
    </row>
    <row r="10915" spans="1:15" x14ac:dyDescent="0.35">
      <c r="A10915" t="s">
        <v>11691</v>
      </c>
      <c r="B10915" t="s">
        <v>11692</v>
      </c>
      <c r="C10915" t="s">
        <v>11188</v>
      </c>
      <c r="D10915" t="s">
        <v>323</v>
      </c>
      <c r="E10915" t="s">
        <v>308</v>
      </c>
      <c r="F10915" t="s">
        <v>11718</v>
      </c>
      <c r="G10915">
        <v>7</v>
      </c>
      <c r="H10915">
        <v>911.6099999999999</v>
      </c>
      <c r="I10915">
        <v>130.22999999999999</v>
      </c>
      <c r="J10915">
        <v>0</v>
      </c>
      <c r="K10915">
        <v>0</v>
      </c>
      <c r="L10915">
        <v>0</v>
      </c>
      <c r="M10915">
        <v>7</v>
      </c>
      <c r="N10915">
        <v>911.6099999999999</v>
      </c>
      <c r="O10915">
        <v>130.22999999999999</v>
      </c>
    </row>
    <row r="10916" spans="1:15" x14ac:dyDescent="0.35">
      <c r="A10916" t="s">
        <v>11691</v>
      </c>
      <c r="B10916" t="s">
        <v>11692</v>
      </c>
      <c r="C10916" t="s">
        <v>11188</v>
      </c>
      <c r="D10916" t="s">
        <v>323</v>
      </c>
      <c r="E10916" t="s">
        <v>310</v>
      </c>
      <c r="F10916" t="s">
        <v>11719</v>
      </c>
      <c r="G10916">
        <v>9410</v>
      </c>
      <c r="H10916">
        <v>1508930.5800000003</v>
      </c>
      <c r="I10916">
        <v>160.35</v>
      </c>
      <c r="J10916">
        <v>11943</v>
      </c>
      <c r="K10916">
        <v>1589703.5799999998</v>
      </c>
      <c r="L10916">
        <v>133.11000000000001</v>
      </c>
      <c r="M10916">
        <v>21353</v>
      </c>
      <c r="N10916">
        <v>3098634.16</v>
      </c>
      <c r="O10916">
        <v>145.11000000000001</v>
      </c>
    </row>
    <row r="10917" spans="1:15" x14ac:dyDescent="0.35">
      <c r="A10917" t="s">
        <v>11691</v>
      </c>
      <c r="B10917" t="s">
        <v>11692</v>
      </c>
      <c r="C10917" t="s">
        <v>11188</v>
      </c>
      <c r="D10917" t="s">
        <v>323</v>
      </c>
      <c r="E10917" t="s">
        <v>312</v>
      </c>
      <c r="F10917" t="s">
        <v>11720</v>
      </c>
      <c r="G10917">
        <v>9403</v>
      </c>
      <c r="H10917">
        <v>1508018.9700000002</v>
      </c>
      <c r="I10917">
        <v>160.38</v>
      </c>
      <c r="J10917">
        <v>11943</v>
      </c>
      <c r="K10917">
        <v>1589703.5799999998</v>
      </c>
      <c r="L10917">
        <v>133.11000000000001</v>
      </c>
      <c r="M10917">
        <v>21346</v>
      </c>
      <c r="N10917">
        <v>3097722.55</v>
      </c>
      <c r="O10917">
        <v>145.12</v>
      </c>
    </row>
    <row r="10918" spans="1:15" x14ac:dyDescent="0.35">
      <c r="A10918" t="s">
        <v>11691</v>
      </c>
      <c r="B10918" t="s">
        <v>11692</v>
      </c>
      <c r="C10918" t="s">
        <v>11188</v>
      </c>
      <c r="D10918" t="s">
        <v>334</v>
      </c>
      <c r="E10918" t="s">
        <v>312</v>
      </c>
      <c r="F10918" t="s">
        <v>11721</v>
      </c>
      <c r="G10918">
        <v>12128</v>
      </c>
      <c r="H10918">
        <v>1903497.35</v>
      </c>
      <c r="I10918">
        <v>173.77</v>
      </c>
      <c r="J10918">
        <v>11961</v>
      </c>
      <c r="K10918">
        <v>1597936.7099999997</v>
      </c>
      <c r="L10918">
        <v>133.6</v>
      </c>
      <c r="M10918">
        <v>24089</v>
      </c>
      <c r="N10918">
        <v>3501434.0599999996</v>
      </c>
      <c r="O10918">
        <v>152.80000000000001</v>
      </c>
    </row>
    <row r="10919" spans="1:15" x14ac:dyDescent="0.35">
      <c r="A10919" t="s">
        <v>11691</v>
      </c>
      <c r="B10919" t="s">
        <v>11692</v>
      </c>
      <c r="C10919" t="s">
        <v>11188</v>
      </c>
      <c r="D10919" t="s">
        <v>334</v>
      </c>
      <c r="E10919" t="s">
        <v>308</v>
      </c>
      <c r="F10919" t="s">
        <v>11722</v>
      </c>
      <c r="G10919">
        <v>169</v>
      </c>
      <c r="H10919">
        <v>911.6099999999999</v>
      </c>
      <c r="I10919">
        <v>130.22999999999999</v>
      </c>
      <c r="J10919">
        <v>0</v>
      </c>
      <c r="K10919">
        <v>0</v>
      </c>
      <c r="L10919">
        <v>0</v>
      </c>
      <c r="M10919">
        <v>169</v>
      </c>
      <c r="N10919">
        <v>911.6099999999999</v>
      </c>
      <c r="O10919">
        <v>130.22999999999999</v>
      </c>
    </row>
    <row r="10920" spans="1:15" x14ac:dyDescent="0.35">
      <c r="A10920" t="s">
        <v>11691</v>
      </c>
      <c r="B10920" t="s">
        <v>11692</v>
      </c>
      <c r="C10920" t="s">
        <v>11188</v>
      </c>
      <c r="D10920" t="s">
        <v>337</v>
      </c>
      <c r="E10920" t="s">
        <v>337</v>
      </c>
      <c r="F10920" t="s">
        <v>11723</v>
      </c>
      <c r="G10920">
        <v>1126</v>
      </c>
      <c r="J10920">
        <v>22</v>
      </c>
      <c r="M10920">
        <v>1148</v>
      </c>
    </row>
    <row r="10921" spans="1:15" x14ac:dyDescent="0.35">
      <c r="A10921" t="s">
        <v>11691</v>
      </c>
      <c r="B10921" t="s">
        <v>11692</v>
      </c>
      <c r="C10921" t="s">
        <v>11188</v>
      </c>
      <c r="D10921" t="s">
        <v>339</v>
      </c>
      <c r="E10921" t="s">
        <v>294</v>
      </c>
      <c r="F10921" t="s">
        <v>11724</v>
      </c>
      <c r="G10921">
        <v>701</v>
      </c>
      <c r="H10921">
        <v>113149.78999999998</v>
      </c>
      <c r="I10921">
        <v>161.41</v>
      </c>
      <c r="J10921">
        <v>0</v>
      </c>
      <c r="K10921">
        <v>0</v>
      </c>
      <c r="L10921">
        <v>0</v>
      </c>
      <c r="M10921">
        <v>701</v>
      </c>
      <c r="N10921">
        <v>113149.78999999998</v>
      </c>
      <c r="O10921">
        <v>161.41</v>
      </c>
    </row>
    <row r="10922" spans="1:15" x14ac:dyDescent="0.35">
      <c r="A10922" t="s">
        <v>11691</v>
      </c>
      <c r="B10922" t="s">
        <v>11692</v>
      </c>
      <c r="C10922" t="s">
        <v>11188</v>
      </c>
      <c r="D10922" t="s">
        <v>339</v>
      </c>
      <c r="E10922" t="s">
        <v>296</v>
      </c>
      <c r="F10922" t="s">
        <v>11725</v>
      </c>
      <c r="G10922">
        <v>32</v>
      </c>
      <c r="H10922">
        <v>5566.7000000000007</v>
      </c>
      <c r="I10922">
        <v>173.96</v>
      </c>
      <c r="J10922">
        <v>0</v>
      </c>
      <c r="K10922">
        <v>0</v>
      </c>
      <c r="L10922">
        <v>0</v>
      </c>
      <c r="M10922">
        <v>32</v>
      </c>
      <c r="N10922">
        <v>5566.7000000000007</v>
      </c>
      <c r="O10922">
        <v>173.96</v>
      </c>
    </row>
    <row r="10923" spans="1:15" x14ac:dyDescent="0.35">
      <c r="A10923" t="s">
        <v>11691</v>
      </c>
      <c r="B10923" t="s">
        <v>11692</v>
      </c>
      <c r="C10923" t="s">
        <v>11188</v>
      </c>
      <c r="D10923" t="s">
        <v>339</v>
      </c>
      <c r="E10923" t="s">
        <v>298</v>
      </c>
      <c r="F10923" t="s">
        <v>11726</v>
      </c>
      <c r="G10923">
        <v>6</v>
      </c>
      <c r="H10923">
        <v>1040.1099999999999</v>
      </c>
      <c r="I10923">
        <v>173.35</v>
      </c>
      <c r="J10923">
        <v>0</v>
      </c>
      <c r="K10923">
        <v>0</v>
      </c>
      <c r="L10923">
        <v>0</v>
      </c>
      <c r="M10923">
        <v>6</v>
      </c>
      <c r="N10923">
        <v>1040.1099999999999</v>
      </c>
      <c r="O10923">
        <v>173.35</v>
      </c>
    </row>
    <row r="10924" spans="1:15" x14ac:dyDescent="0.35">
      <c r="A10924" t="s">
        <v>11691</v>
      </c>
      <c r="B10924" t="s">
        <v>11692</v>
      </c>
      <c r="C10924" t="s">
        <v>11188</v>
      </c>
      <c r="D10924" t="s">
        <v>339</v>
      </c>
      <c r="E10924" t="s">
        <v>300</v>
      </c>
      <c r="F10924" t="s">
        <v>11727</v>
      </c>
      <c r="G10924">
        <v>0</v>
      </c>
      <c r="H10924">
        <v>0</v>
      </c>
      <c r="I10924">
        <v>0</v>
      </c>
      <c r="J10924">
        <v>0</v>
      </c>
      <c r="K10924">
        <v>0</v>
      </c>
      <c r="L10924">
        <v>0</v>
      </c>
      <c r="M10924">
        <v>0</v>
      </c>
      <c r="N10924">
        <v>0</v>
      </c>
      <c r="O10924">
        <v>0</v>
      </c>
    </row>
    <row r="10925" spans="1:15" x14ac:dyDescent="0.35">
      <c r="A10925" t="s">
        <v>11691</v>
      </c>
      <c r="B10925" t="s">
        <v>11692</v>
      </c>
      <c r="C10925" t="s">
        <v>11188</v>
      </c>
      <c r="D10925" t="s">
        <v>339</v>
      </c>
      <c r="E10925" t="s">
        <v>306</v>
      </c>
      <c r="F10925" t="s">
        <v>11728</v>
      </c>
      <c r="G10925">
        <v>177</v>
      </c>
      <c r="H10925">
        <v>27121.269999999997</v>
      </c>
      <c r="I10925">
        <v>153.22999999999999</v>
      </c>
      <c r="J10925">
        <v>0</v>
      </c>
      <c r="K10925">
        <v>0</v>
      </c>
      <c r="L10925">
        <v>0</v>
      </c>
      <c r="M10925">
        <v>177</v>
      </c>
      <c r="N10925">
        <v>27121.269999999997</v>
      </c>
      <c r="O10925">
        <v>153.22999999999999</v>
      </c>
    </row>
    <row r="10926" spans="1:15" x14ac:dyDescent="0.35">
      <c r="A10926" t="s">
        <v>11691</v>
      </c>
      <c r="B10926" t="s">
        <v>11692</v>
      </c>
      <c r="C10926" t="s">
        <v>11188</v>
      </c>
      <c r="D10926" t="s">
        <v>339</v>
      </c>
      <c r="E10926" t="s">
        <v>308</v>
      </c>
      <c r="F10926" t="s">
        <v>11729</v>
      </c>
      <c r="G10926">
        <v>247</v>
      </c>
      <c r="H10926">
        <v>35783.159999999996</v>
      </c>
      <c r="I10926">
        <v>144.87</v>
      </c>
      <c r="J10926">
        <v>0</v>
      </c>
      <c r="K10926">
        <v>0</v>
      </c>
      <c r="L10926">
        <v>0</v>
      </c>
      <c r="M10926">
        <v>247</v>
      </c>
      <c r="N10926">
        <v>35783.159999999996</v>
      </c>
      <c r="O10926">
        <v>144.87</v>
      </c>
    </row>
    <row r="10927" spans="1:15" x14ac:dyDescent="0.35">
      <c r="A10927" t="s">
        <v>11691</v>
      </c>
      <c r="B10927" t="s">
        <v>11692</v>
      </c>
      <c r="C10927" t="s">
        <v>11188</v>
      </c>
      <c r="D10927" t="s">
        <v>339</v>
      </c>
      <c r="E10927" t="s">
        <v>310</v>
      </c>
      <c r="F10927" t="s">
        <v>11730</v>
      </c>
      <c r="G10927">
        <v>1163</v>
      </c>
      <c r="H10927">
        <v>182661.02999999997</v>
      </c>
      <c r="I10927">
        <v>157.06</v>
      </c>
      <c r="J10927">
        <v>0</v>
      </c>
      <c r="K10927">
        <v>0</v>
      </c>
      <c r="L10927">
        <v>0</v>
      </c>
      <c r="M10927">
        <v>1163</v>
      </c>
      <c r="N10927">
        <v>182661.02999999997</v>
      </c>
      <c r="O10927">
        <v>157.06</v>
      </c>
    </row>
    <row r="10928" spans="1:15" x14ac:dyDescent="0.35">
      <c r="A10928" t="s">
        <v>11691</v>
      </c>
      <c r="B10928" t="s">
        <v>11692</v>
      </c>
      <c r="C10928" t="s">
        <v>11188</v>
      </c>
      <c r="D10928" t="s">
        <v>339</v>
      </c>
      <c r="E10928" t="s">
        <v>312</v>
      </c>
      <c r="F10928" t="s">
        <v>11731</v>
      </c>
      <c r="G10928">
        <v>916</v>
      </c>
      <c r="H10928">
        <v>146877.86999999997</v>
      </c>
      <c r="I10928">
        <v>160.35</v>
      </c>
      <c r="J10928">
        <v>0</v>
      </c>
      <c r="K10928">
        <v>0</v>
      </c>
      <c r="L10928">
        <v>0</v>
      </c>
      <c r="M10928">
        <v>916</v>
      </c>
      <c r="N10928">
        <v>146877.86999999997</v>
      </c>
      <c r="O10928">
        <v>160.35</v>
      </c>
    </row>
    <row r="10929" spans="1:15" x14ac:dyDescent="0.35">
      <c r="A10929" t="s">
        <v>11691</v>
      </c>
      <c r="B10929" t="s">
        <v>11692</v>
      </c>
      <c r="C10929" t="s">
        <v>11188</v>
      </c>
      <c r="D10929" t="s">
        <v>348</v>
      </c>
      <c r="E10929" t="s">
        <v>349</v>
      </c>
      <c r="F10929" t="s">
        <v>11732</v>
      </c>
      <c r="G10929">
        <v>1658</v>
      </c>
      <c r="H10929">
        <v>206835.90999999997</v>
      </c>
      <c r="I10929">
        <v>165.07</v>
      </c>
      <c r="J10929">
        <v>0</v>
      </c>
      <c r="K10929">
        <v>0</v>
      </c>
      <c r="L10929">
        <v>0</v>
      </c>
      <c r="M10929">
        <v>1658</v>
      </c>
      <c r="N10929">
        <v>206835.90999999997</v>
      </c>
      <c r="O10929">
        <v>165.07</v>
      </c>
    </row>
    <row r="10930" spans="1:15" x14ac:dyDescent="0.35">
      <c r="A10930" t="s">
        <v>11733</v>
      </c>
      <c r="B10930" t="s">
        <v>11734</v>
      </c>
      <c r="C10930" t="s">
        <v>11188</v>
      </c>
      <c r="D10930" t="s">
        <v>293</v>
      </c>
      <c r="E10930" t="s">
        <v>294</v>
      </c>
      <c r="F10930" t="s">
        <v>11735</v>
      </c>
      <c r="G10930">
        <v>309</v>
      </c>
      <c r="H10930">
        <v>59498.239999999998</v>
      </c>
      <c r="I10930">
        <v>192.55</v>
      </c>
      <c r="J10930">
        <v>174</v>
      </c>
      <c r="K10930">
        <v>35048.82</v>
      </c>
      <c r="L10930">
        <v>201.43</v>
      </c>
      <c r="M10930">
        <v>483</v>
      </c>
      <c r="N10930">
        <v>94547.06</v>
      </c>
      <c r="O10930">
        <v>195.75</v>
      </c>
    </row>
    <row r="10931" spans="1:15" x14ac:dyDescent="0.35">
      <c r="A10931" t="s">
        <v>11733</v>
      </c>
      <c r="B10931" t="s">
        <v>11734</v>
      </c>
      <c r="C10931" t="s">
        <v>11188</v>
      </c>
      <c r="D10931" t="s">
        <v>293</v>
      </c>
      <c r="E10931" t="s">
        <v>296</v>
      </c>
      <c r="F10931" t="s">
        <v>11736</v>
      </c>
      <c r="G10931">
        <v>296</v>
      </c>
      <c r="H10931">
        <v>73599.570000000007</v>
      </c>
      <c r="I10931">
        <v>248.65</v>
      </c>
      <c r="J10931">
        <v>226</v>
      </c>
      <c r="K10931">
        <v>48196.759999999995</v>
      </c>
      <c r="L10931">
        <v>213.26</v>
      </c>
      <c r="M10931">
        <v>522</v>
      </c>
      <c r="N10931">
        <v>121796.33</v>
      </c>
      <c r="O10931">
        <v>233.33</v>
      </c>
    </row>
    <row r="10932" spans="1:15" x14ac:dyDescent="0.35">
      <c r="A10932" t="s">
        <v>11733</v>
      </c>
      <c r="B10932" t="s">
        <v>11734</v>
      </c>
      <c r="C10932" t="s">
        <v>11188</v>
      </c>
      <c r="D10932" t="s">
        <v>293</v>
      </c>
      <c r="E10932" t="s">
        <v>298</v>
      </c>
      <c r="F10932" t="s">
        <v>11737</v>
      </c>
      <c r="G10932">
        <v>155</v>
      </c>
      <c r="H10932">
        <v>42057.100000000006</v>
      </c>
      <c r="I10932">
        <v>271.33999999999997</v>
      </c>
      <c r="J10932">
        <v>88</v>
      </c>
      <c r="K10932">
        <v>19808.8</v>
      </c>
      <c r="L10932">
        <v>225.1</v>
      </c>
      <c r="M10932">
        <v>243</v>
      </c>
      <c r="N10932">
        <v>61865.900000000009</v>
      </c>
      <c r="O10932">
        <v>254.59</v>
      </c>
    </row>
    <row r="10933" spans="1:15" x14ac:dyDescent="0.35">
      <c r="A10933" t="s">
        <v>11733</v>
      </c>
      <c r="B10933" t="s">
        <v>11734</v>
      </c>
      <c r="C10933" t="s">
        <v>11188</v>
      </c>
      <c r="D10933" t="s">
        <v>293</v>
      </c>
      <c r="E10933" t="s">
        <v>300</v>
      </c>
      <c r="F10933" t="s">
        <v>11738</v>
      </c>
      <c r="G10933">
        <v>46</v>
      </c>
      <c r="H10933">
        <v>14162</v>
      </c>
      <c r="I10933">
        <v>307.87</v>
      </c>
      <c r="J10933">
        <v>9</v>
      </c>
      <c r="K10933">
        <v>2132.5499999999997</v>
      </c>
      <c r="L10933">
        <v>236.95</v>
      </c>
      <c r="M10933">
        <v>55</v>
      </c>
      <c r="N10933">
        <v>16294.55</v>
      </c>
      <c r="O10933">
        <v>296.26</v>
      </c>
    </row>
    <row r="10934" spans="1:15" x14ac:dyDescent="0.35">
      <c r="A10934" t="s">
        <v>11733</v>
      </c>
      <c r="B10934" t="s">
        <v>11734</v>
      </c>
      <c r="C10934" t="s">
        <v>11188</v>
      </c>
      <c r="D10934" t="s">
        <v>293</v>
      </c>
      <c r="E10934" t="s">
        <v>302</v>
      </c>
      <c r="F10934" t="s">
        <v>11739</v>
      </c>
      <c r="G10934">
        <v>0</v>
      </c>
      <c r="H10934">
        <v>0</v>
      </c>
      <c r="I10934">
        <v>0</v>
      </c>
      <c r="J10934">
        <v>0</v>
      </c>
      <c r="K10934">
        <v>0</v>
      </c>
      <c r="L10934">
        <v>0</v>
      </c>
      <c r="M10934">
        <v>0</v>
      </c>
      <c r="N10934">
        <v>0</v>
      </c>
      <c r="O10934">
        <v>0</v>
      </c>
    </row>
    <row r="10935" spans="1:15" x14ac:dyDescent="0.35">
      <c r="A10935" t="s">
        <v>11733</v>
      </c>
      <c r="B10935" t="s">
        <v>11734</v>
      </c>
      <c r="C10935" t="s">
        <v>11188</v>
      </c>
      <c r="D10935" t="s">
        <v>293</v>
      </c>
      <c r="E10935" t="s">
        <v>304</v>
      </c>
      <c r="F10935" t="s">
        <v>11740</v>
      </c>
      <c r="G10935">
        <v>3</v>
      </c>
      <c r="H10935">
        <v>1130</v>
      </c>
      <c r="I10935">
        <v>376.67</v>
      </c>
      <c r="J10935">
        <v>0</v>
      </c>
      <c r="K10935">
        <v>0</v>
      </c>
      <c r="L10935">
        <v>0</v>
      </c>
      <c r="M10935">
        <v>3</v>
      </c>
      <c r="N10935">
        <v>1130</v>
      </c>
      <c r="O10935">
        <v>376.67</v>
      </c>
    </row>
    <row r="10936" spans="1:15" x14ac:dyDescent="0.35">
      <c r="A10936" t="s">
        <v>11733</v>
      </c>
      <c r="B10936" t="s">
        <v>11734</v>
      </c>
      <c r="C10936" t="s">
        <v>11188</v>
      </c>
      <c r="D10936" t="s">
        <v>293</v>
      </c>
      <c r="E10936" t="s">
        <v>306</v>
      </c>
      <c r="F10936" t="s">
        <v>11741</v>
      </c>
      <c r="G10936">
        <v>8</v>
      </c>
      <c r="H10936">
        <v>1188.3400000000001</v>
      </c>
      <c r="I10936">
        <v>148.54</v>
      </c>
      <c r="J10936">
        <v>0</v>
      </c>
      <c r="K10936">
        <v>0</v>
      </c>
      <c r="L10936">
        <v>0</v>
      </c>
      <c r="M10936">
        <v>8</v>
      </c>
      <c r="N10936">
        <v>1188.3400000000001</v>
      </c>
      <c r="O10936">
        <v>148.54</v>
      </c>
    </row>
    <row r="10937" spans="1:15" x14ac:dyDescent="0.35">
      <c r="A10937" t="s">
        <v>11733</v>
      </c>
      <c r="B10937" t="s">
        <v>11734</v>
      </c>
      <c r="C10937" t="s">
        <v>11188</v>
      </c>
      <c r="D10937" t="s">
        <v>293</v>
      </c>
      <c r="E10937" t="s">
        <v>308</v>
      </c>
      <c r="F10937" t="s">
        <v>11742</v>
      </c>
      <c r="G10937">
        <v>0</v>
      </c>
      <c r="H10937">
        <v>0</v>
      </c>
      <c r="I10937">
        <v>0</v>
      </c>
      <c r="J10937">
        <v>0</v>
      </c>
      <c r="K10937">
        <v>0</v>
      </c>
      <c r="L10937">
        <v>0</v>
      </c>
      <c r="M10937">
        <v>0</v>
      </c>
      <c r="N10937">
        <v>0</v>
      </c>
      <c r="O10937">
        <v>0</v>
      </c>
    </row>
    <row r="10938" spans="1:15" x14ac:dyDescent="0.35">
      <c r="A10938" t="s">
        <v>11733</v>
      </c>
      <c r="B10938" t="s">
        <v>11734</v>
      </c>
      <c r="C10938" t="s">
        <v>11188</v>
      </c>
      <c r="D10938" t="s">
        <v>293</v>
      </c>
      <c r="E10938" t="s">
        <v>310</v>
      </c>
      <c r="F10938" t="s">
        <v>11743</v>
      </c>
      <c r="G10938">
        <v>817</v>
      </c>
      <c r="H10938">
        <v>191635.25</v>
      </c>
      <c r="I10938">
        <v>234.56</v>
      </c>
      <c r="J10938">
        <v>497</v>
      </c>
      <c r="K10938">
        <v>105186.93</v>
      </c>
      <c r="L10938">
        <v>211.64</v>
      </c>
      <c r="M10938">
        <v>1314</v>
      </c>
      <c r="N10938">
        <v>296822.18</v>
      </c>
      <c r="O10938">
        <v>225.89</v>
      </c>
    </row>
    <row r="10939" spans="1:15" x14ac:dyDescent="0.35">
      <c r="A10939" t="s">
        <v>11733</v>
      </c>
      <c r="B10939" t="s">
        <v>11734</v>
      </c>
      <c r="C10939" t="s">
        <v>11188</v>
      </c>
      <c r="D10939" t="s">
        <v>293</v>
      </c>
      <c r="E10939" t="s">
        <v>312</v>
      </c>
      <c r="F10939" t="s">
        <v>11744</v>
      </c>
      <c r="G10939">
        <v>817</v>
      </c>
      <c r="H10939">
        <v>191635.25</v>
      </c>
      <c r="I10939">
        <v>234.56</v>
      </c>
      <c r="J10939">
        <v>497</v>
      </c>
      <c r="K10939">
        <v>105186.93</v>
      </c>
      <c r="L10939">
        <v>211.64</v>
      </c>
      <c r="M10939">
        <v>1314</v>
      </c>
      <c r="N10939">
        <v>296822.18</v>
      </c>
      <c r="O10939">
        <v>225.89</v>
      </c>
    </row>
    <row r="10940" spans="1:15" x14ac:dyDescent="0.35">
      <c r="A10940" t="s">
        <v>11733</v>
      </c>
      <c r="B10940" t="s">
        <v>11734</v>
      </c>
      <c r="C10940" t="s">
        <v>11188</v>
      </c>
      <c r="D10940" t="s">
        <v>314</v>
      </c>
      <c r="E10940" t="s">
        <v>294</v>
      </c>
      <c r="F10940" t="s">
        <v>11745</v>
      </c>
      <c r="G10940">
        <v>68</v>
      </c>
      <c r="H10940">
        <v>19792.96</v>
      </c>
      <c r="I10940">
        <v>291.07</v>
      </c>
      <c r="J10940">
        <v>0</v>
      </c>
      <c r="K10940">
        <v>0</v>
      </c>
      <c r="L10940">
        <v>0</v>
      </c>
      <c r="M10940">
        <v>68</v>
      </c>
      <c r="N10940">
        <v>19792.96</v>
      </c>
      <c r="O10940">
        <v>291.07</v>
      </c>
    </row>
    <row r="10941" spans="1:15" x14ac:dyDescent="0.35">
      <c r="A10941" t="s">
        <v>11733</v>
      </c>
      <c r="B10941" t="s">
        <v>11734</v>
      </c>
      <c r="C10941" t="s">
        <v>11188</v>
      </c>
      <c r="D10941" t="s">
        <v>314</v>
      </c>
      <c r="E10941" t="s">
        <v>296</v>
      </c>
      <c r="F10941" t="s">
        <v>11746</v>
      </c>
      <c r="G10941">
        <v>52</v>
      </c>
      <c r="H10941">
        <v>17117.36</v>
      </c>
      <c r="I10941">
        <v>329.18</v>
      </c>
      <c r="J10941">
        <v>0</v>
      </c>
      <c r="K10941">
        <v>0</v>
      </c>
      <c r="L10941">
        <v>0</v>
      </c>
      <c r="M10941">
        <v>52</v>
      </c>
      <c r="N10941">
        <v>17117.36</v>
      </c>
      <c r="O10941">
        <v>329.18</v>
      </c>
    </row>
    <row r="10942" spans="1:15" x14ac:dyDescent="0.35">
      <c r="A10942" t="s">
        <v>11733</v>
      </c>
      <c r="B10942" t="s">
        <v>11734</v>
      </c>
      <c r="C10942" t="s">
        <v>11188</v>
      </c>
      <c r="D10942" t="s">
        <v>314</v>
      </c>
      <c r="E10942" t="s">
        <v>298</v>
      </c>
      <c r="F10942" t="s">
        <v>11747</v>
      </c>
      <c r="G10942">
        <v>15</v>
      </c>
      <c r="H10942">
        <v>5694.16</v>
      </c>
      <c r="I10942">
        <v>379.61</v>
      </c>
      <c r="J10942">
        <v>0</v>
      </c>
      <c r="K10942">
        <v>0</v>
      </c>
      <c r="L10942">
        <v>0</v>
      </c>
      <c r="M10942">
        <v>15</v>
      </c>
      <c r="N10942">
        <v>5694.16</v>
      </c>
      <c r="O10942">
        <v>379.61</v>
      </c>
    </row>
    <row r="10943" spans="1:15" x14ac:dyDescent="0.35">
      <c r="A10943" t="s">
        <v>11733</v>
      </c>
      <c r="B10943" t="s">
        <v>11734</v>
      </c>
      <c r="C10943" t="s">
        <v>11188</v>
      </c>
      <c r="D10943" t="s">
        <v>314</v>
      </c>
      <c r="E10943" t="s">
        <v>300</v>
      </c>
      <c r="F10943" t="s">
        <v>11748</v>
      </c>
      <c r="G10943">
        <v>0</v>
      </c>
      <c r="H10943">
        <v>0</v>
      </c>
      <c r="I10943">
        <v>0</v>
      </c>
      <c r="J10943">
        <v>0</v>
      </c>
      <c r="K10943">
        <v>0</v>
      </c>
      <c r="L10943">
        <v>0</v>
      </c>
      <c r="M10943">
        <v>0</v>
      </c>
      <c r="N10943">
        <v>0</v>
      </c>
      <c r="O10943">
        <v>0</v>
      </c>
    </row>
    <row r="10944" spans="1:15" x14ac:dyDescent="0.35">
      <c r="A10944" t="s">
        <v>11733</v>
      </c>
      <c r="B10944" t="s">
        <v>11734</v>
      </c>
      <c r="C10944" t="s">
        <v>11188</v>
      </c>
      <c r="D10944" t="s">
        <v>314</v>
      </c>
      <c r="E10944" t="s">
        <v>306</v>
      </c>
      <c r="F10944" t="s">
        <v>11749</v>
      </c>
      <c r="G10944">
        <v>12</v>
      </c>
      <c r="H10944">
        <v>4777.7999999999993</v>
      </c>
      <c r="I10944">
        <v>398.15</v>
      </c>
      <c r="J10944">
        <v>0</v>
      </c>
      <c r="K10944">
        <v>0</v>
      </c>
      <c r="L10944">
        <v>0</v>
      </c>
      <c r="M10944">
        <v>12</v>
      </c>
      <c r="N10944">
        <v>4777.7999999999993</v>
      </c>
      <c r="O10944">
        <v>398.15</v>
      </c>
    </row>
    <row r="10945" spans="1:15" x14ac:dyDescent="0.35">
      <c r="A10945" t="s">
        <v>11733</v>
      </c>
      <c r="B10945" t="s">
        <v>11734</v>
      </c>
      <c r="C10945" t="s">
        <v>11188</v>
      </c>
      <c r="D10945" t="s">
        <v>314</v>
      </c>
      <c r="E10945" t="s">
        <v>308</v>
      </c>
      <c r="F10945" t="s">
        <v>11750</v>
      </c>
      <c r="G10945">
        <v>0</v>
      </c>
      <c r="H10945">
        <v>0</v>
      </c>
      <c r="I10945">
        <v>0</v>
      </c>
      <c r="J10945">
        <v>0</v>
      </c>
      <c r="K10945">
        <v>0</v>
      </c>
      <c r="L10945">
        <v>0</v>
      </c>
      <c r="M10945">
        <v>0</v>
      </c>
      <c r="N10945">
        <v>0</v>
      </c>
      <c r="O10945">
        <v>0</v>
      </c>
    </row>
    <row r="10946" spans="1:15" x14ac:dyDescent="0.35">
      <c r="A10946" t="s">
        <v>11733</v>
      </c>
      <c r="B10946" t="s">
        <v>11734</v>
      </c>
      <c r="C10946" t="s">
        <v>11188</v>
      </c>
      <c r="D10946" t="s">
        <v>314</v>
      </c>
      <c r="E10946" t="s">
        <v>312</v>
      </c>
      <c r="F10946" t="s">
        <v>11751</v>
      </c>
      <c r="G10946">
        <v>147</v>
      </c>
      <c r="H10946">
        <v>47382.28</v>
      </c>
      <c r="I10946">
        <v>322.33</v>
      </c>
      <c r="J10946">
        <v>0</v>
      </c>
      <c r="K10946">
        <v>0</v>
      </c>
      <c r="L10946">
        <v>0</v>
      </c>
      <c r="M10946">
        <v>147</v>
      </c>
      <c r="N10946">
        <v>47382.28</v>
      </c>
      <c r="O10946">
        <v>322.33</v>
      </c>
    </row>
    <row r="10947" spans="1:15" x14ac:dyDescent="0.35">
      <c r="A10947" t="s">
        <v>11733</v>
      </c>
      <c r="B10947" t="s">
        <v>11734</v>
      </c>
      <c r="C10947" t="s">
        <v>11188</v>
      </c>
      <c r="D10947" t="s">
        <v>314</v>
      </c>
      <c r="E10947" t="s">
        <v>310</v>
      </c>
      <c r="F10947" t="s">
        <v>11752</v>
      </c>
      <c r="G10947">
        <v>147</v>
      </c>
      <c r="H10947">
        <v>47382.28</v>
      </c>
      <c r="I10947">
        <v>322.33</v>
      </c>
      <c r="J10947">
        <v>0</v>
      </c>
      <c r="K10947">
        <v>0</v>
      </c>
      <c r="L10947">
        <v>0</v>
      </c>
      <c r="M10947">
        <v>147</v>
      </c>
      <c r="N10947">
        <v>47382.28</v>
      </c>
      <c r="O10947">
        <v>322.33</v>
      </c>
    </row>
    <row r="10948" spans="1:15" x14ac:dyDescent="0.35">
      <c r="A10948" t="s">
        <v>11733</v>
      </c>
      <c r="B10948" t="s">
        <v>11734</v>
      </c>
      <c r="C10948" t="s">
        <v>11188</v>
      </c>
      <c r="D10948" t="s">
        <v>323</v>
      </c>
      <c r="E10948" t="s">
        <v>294</v>
      </c>
      <c r="F10948" t="s">
        <v>11753</v>
      </c>
      <c r="G10948">
        <v>2321</v>
      </c>
      <c r="H10948">
        <v>296344.04000000004</v>
      </c>
      <c r="I10948">
        <v>127.68</v>
      </c>
      <c r="J10948">
        <v>3988</v>
      </c>
      <c r="K10948">
        <v>432897.39999999997</v>
      </c>
      <c r="L10948">
        <v>108.55</v>
      </c>
      <c r="M10948">
        <v>6309</v>
      </c>
      <c r="N10948">
        <v>729241.44</v>
      </c>
      <c r="O10948">
        <v>115.59</v>
      </c>
    </row>
    <row r="10949" spans="1:15" x14ac:dyDescent="0.35">
      <c r="A10949" t="s">
        <v>11733</v>
      </c>
      <c r="B10949" t="s">
        <v>11734</v>
      </c>
      <c r="C10949" t="s">
        <v>11188</v>
      </c>
      <c r="D10949" t="s">
        <v>323</v>
      </c>
      <c r="E10949" t="s">
        <v>296</v>
      </c>
      <c r="F10949" t="s">
        <v>11754</v>
      </c>
      <c r="G10949">
        <v>2973</v>
      </c>
      <c r="H10949">
        <v>435430.63999999996</v>
      </c>
      <c r="I10949">
        <v>146.46</v>
      </c>
      <c r="J10949">
        <v>5065</v>
      </c>
      <c r="K10949">
        <v>648978.44999999995</v>
      </c>
      <c r="L10949">
        <v>128.13</v>
      </c>
      <c r="M10949">
        <v>8038</v>
      </c>
      <c r="N10949">
        <v>1084409.0899999999</v>
      </c>
      <c r="O10949">
        <v>134.91</v>
      </c>
    </row>
    <row r="10950" spans="1:15" x14ac:dyDescent="0.35">
      <c r="A10950" t="s">
        <v>11733</v>
      </c>
      <c r="B10950" t="s">
        <v>11734</v>
      </c>
      <c r="C10950" t="s">
        <v>11188</v>
      </c>
      <c r="D10950" t="s">
        <v>323</v>
      </c>
      <c r="E10950" t="s">
        <v>298</v>
      </c>
      <c r="F10950" t="s">
        <v>11755</v>
      </c>
      <c r="G10950">
        <v>2114</v>
      </c>
      <c r="H10950">
        <v>343218.6999999999</v>
      </c>
      <c r="I10950">
        <v>162.36000000000001</v>
      </c>
      <c r="J10950">
        <v>3681</v>
      </c>
      <c r="K10950">
        <v>541548.72</v>
      </c>
      <c r="L10950">
        <v>147.12</v>
      </c>
      <c r="M10950">
        <v>5795</v>
      </c>
      <c r="N10950">
        <v>884767.41999999993</v>
      </c>
      <c r="O10950">
        <v>152.68</v>
      </c>
    </row>
    <row r="10951" spans="1:15" x14ac:dyDescent="0.35">
      <c r="A10951" t="s">
        <v>11733</v>
      </c>
      <c r="B10951" t="s">
        <v>11734</v>
      </c>
      <c r="C10951" t="s">
        <v>11188</v>
      </c>
      <c r="D10951" t="s">
        <v>323</v>
      </c>
      <c r="E10951" t="s">
        <v>300</v>
      </c>
      <c r="F10951" t="s">
        <v>11756</v>
      </c>
      <c r="G10951">
        <v>405</v>
      </c>
      <c r="H10951">
        <v>72620.669999999984</v>
      </c>
      <c r="I10951">
        <v>179.31</v>
      </c>
      <c r="J10951">
        <v>603</v>
      </c>
      <c r="K10951">
        <v>100459.8</v>
      </c>
      <c r="L10951">
        <v>166.6</v>
      </c>
      <c r="M10951">
        <v>1008</v>
      </c>
      <c r="N10951">
        <v>173080.46999999997</v>
      </c>
      <c r="O10951">
        <v>171.71</v>
      </c>
    </row>
    <row r="10952" spans="1:15" x14ac:dyDescent="0.35">
      <c r="A10952" t="s">
        <v>11733</v>
      </c>
      <c r="B10952" t="s">
        <v>11734</v>
      </c>
      <c r="C10952" t="s">
        <v>11188</v>
      </c>
      <c r="D10952" t="s">
        <v>323</v>
      </c>
      <c r="E10952" t="s">
        <v>302</v>
      </c>
      <c r="F10952" t="s">
        <v>11757</v>
      </c>
      <c r="G10952">
        <v>75</v>
      </c>
      <c r="H10952">
        <v>15246.81</v>
      </c>
      <c r="I10952">
        <v>203.29</v>
      </c>
      <c r="J10952">
        <v>108</v>
      </c>
      <c r="K10952">
        <v>20796.48</v>
      </c>
      <c r="L10952">
        <v>192.56</v>
      </c>
      <c r="M10952">
        <v>183</v>
      </c>
      <c r="N10952">
        <v>36043.29</v>
      </c>
      <c r="O10952">
        <v>196.96</v>
      </c>
    </row>
    <row r="10953" spans="1:15" x14ac:dyDescent="0.35">
      <c r="A10953" t="s">
        <v>11733</v>
      </c>
      <c r="B10953" t="s">
        <v>11734</v>
      </c>
      <c r="C10953" t="s">
        <v>11188</v>
      </c>
      <c r="D10953" t="s">
        <v>323</v>
      </c>
      <c r="E10953" t="s">
        <v>304</v>
      </c>
      <c r="F10953" t="s">
        <v>11758</v>
      </c>
      <c r="G10953">
        <v>11</v>
      </c>
      <c r="H10953">
        <v>2243.5</v>
      </c>
      <c r="I10953">
        <v>203.95</v>
      </c>
      <c r="J10953">
        <v>17</v>
      </c>
      <c r="K10953">
        <v>3374.67</v>
      </c>
      <c r="L10953">
        <v>198.51</v>
      </c>
      <c r="M10953">
        <v>28</v>
      </c>
      <c r="N10953">
        <v>5618.17</v>
      </c>
      <c r="O10953">
        <v>200.65</v>
      </c>
    </row>
    <row r="10954" spans="1:15" x14ac:dyDescent="0.35">
      <c r="A10954" t="s">
        <v>11733</v>
      </c>
      <c r="B10954" t="s">
        <v>11734</v>
      </c>
      <c r="C10954" t="s">
        <v>11188</v>
      </c>
      <c r="D10954" t="s">
        <v>323</v>
      </c>
      <c r="E10954" t="s">
        <v>306</v>
      </c>
      <c r="F10954" t="s">
        <v>11759</v>
      </c>
      <c r="G10954">
        <v>158</v>
      </c>
      <c r="H10954">
        <v>16899.580000000002</v>
      </c>
      <c r="I10954">
        <v>106.96</v>
      </c>
      <c r="J10954">
        <v>121</v>
      </c>
      <c r="K10954">
        <v>12600.94</v>
      </c>
      <c r="L10954">
        <v>104.14</v>
      </c>
      <c r="M10954">
        <v>279</v>
      </c>
      <c r="N10954">
        <v>29500.520000000004</v>
      </c>
      <c r="O10954">
        <v>105.74</v>
      </c>
    </row>
    <row r="10955" spans="1:15" x14ac:dyDescent="0.35">
      <c r="A10955" t="s">
        <v>11733</v>
      </c>
      <c r="B10955" t="s">
        <v>11734</v>
      </c>
      <c r="C10955" t="s">
        <v>11188</v>
      </c>
      <c r="D10955" t="s">
        <v>323</v>
      </c>
      <c r="E10955" t="s">
        <v>308</v>
      </c>
      <c r="F10955" t="s">
        <v>11760</v>
      </c>
      <c r="G10955">
        <v>32</v>
      </c>
      <c r="H10955">
        <v>3566.4</v>
      </c>
      <c r="I10955">
        <v>111.45</v>
      </c>
      <c r="J10955">
        <v>0</v>
      </c>
      <c r="K10955">
        <v>0</v>
      </c>
      <c r="L10955">
        <v>0</v>
      </c>
      <c r="M10955">
        <v>32</v>
      </c>
      <c r="N10955">
        <v>3566.4</v>
      </c>
      <c r="O10955">
        <v>111.45</v>
      </c>
    </row>
    <row r="10956" spans="1:15" x14ac:dyDescent="0.35">
      <c r="A10956" t="s">
        <v>11733</v>
      </c>
      <c r="B10956" t="s">
        <v>11734</v>
      </c>
      <c r="C10956" t="s">
        <v>11188</v>
      </c>
      <c r="D10956" t="s">
        <v>323</v>
      </c>
      <c r="E10956" t="s">
        <v>310</v>
      </c>
      <c r="F10956" t="s">
        <v>11761</v>
      </c>
      <c r="G10956">
        <v>8089</v>
      </c>
      <c r="H10956">
        <v>1185570.3399999999</v>
      </c>
      <c r="I10956">
        <v>146.57</v>
      </c>
      <c r="J10956">
        <v>13583</v>
      </c>
      <c r="K10956">
        <v>1760656.4599999997</v>
      </c>
      <c r="L10956">
        <v>129.62</v>
      </c>
      <c r="M10956">
        <v>21672</v>
      </c>
      <c r="N10956">
        <v>2946226.8</v>
      </c>
      <c r="O10956">
        <v>135.94999999999999</v>
      </c>
    </row>
    <row r="10957" spans="1:15" x14ac:dyDescent="0.35">
      <c r="A10957" t="s">
        <v>11733</v>
      </c>
      <c r="B10957" t="s">
        <v>11734</v>
      </c>
      <c r="C10957" t="s">
        <v>11188</v>
      </c>
      <c r="D10957" t="s">
        <v>323</v>
      </c>
      <c r="E10957" t="s">
        <v>312</v>
      </c>
      <c r="F10957" t="s">
        <v>11762</v>
      </c>
      <c r="G10957">
        <v>8057</v>
      </c>
      <c r="H10957">
        <v>1182003.94</v>
      </c>
      <c r="I10957">
        <v>146.71</v>
      </c>
      <c r="J10957">
        <v>13583</v>
      </c>
      <c r="K10957">
        <v>1760656.4599999997</v>
      </c>
      <c r="L10957">
        <v>129.62</v>
      </c>
      <c r="M10957">
        <v>21640</v>
      </c>
      <c r="N10957">
        <v>2942660.3999999994</v>
      </c>
      <c r="O10957">
        <v>135.97999999999999</v>
      </c>
    </row>
    <row r="10958" spans="1:15" x14ac:dyDescent="0.35">
      <c r="A10958" t="s">
        <v>11733</v>
      </c>
      <c r="B10958" t="s">
        <v>11734</v>
      </c>
      <c r="C10958" t="s">
        <v>11188</v>
      </c>
      <c r="D10958" t="s">
        <v>334</v>
      </c>
      <c r="E10958" t="s">
        <v>312</v>
      </c>
      <c r="F10958" t="s">
        <v>11763</v>
      </c>
      <c r="G10958">
        <v>10207</v>
      </c>
      <c r="H10958">
        <v>1373639.19</v>
      </c>
      <c r="I10958">
        <v>154.79</v>
      </c>
      <c r="J10958">
        <v>14080</v>
      </c>
      <c r="K10958">
        <v>1865843.3899999997</v>
      </c>
      <c r="L10958">
        <v>132.52000000000001</v>
      </c>
      <c r="M10958">
        <v>24287</v>
      </c>
      <c r="N10958">
        <v>3239482.5799999996</v>
      </c>
      <c r="O10958">
        <v>141.13</v>
      </c>
    </row>
    <row r="10959" spans="1:15" x14ac:dyDescent="0.35">
      <c r="A10959" t="s">
        <v>11733</v>
      </c>
      <c r="B10959" t="s">
        <v>11734</v>
      </c>
      <c r="C10959" t="s">
        <v>11188</v>
      </c>
      <c r="D10959" t="s">
        <v>334</v>
      </c>
      <c r="E10959" t="s">
        <v>308</v>
      </c>
      <c r="F10959" t="s">
        <v>11764</v>
      </c>
      <c r="G10959">
        <v>64</v>
      </c>
      <c r="H10959">
        <v>3566.4</v>
      </c>
      <c r="I10959">
        <v>111.45</v>
      </c>
      <c r="J10959">
        <v>0</v>
      </c>
      <c r="K10959">
        <v>0</v>
      </c>
      <c r="L10959">
        <v>0</v>
      </c>
      <c r="M10959">
        <v>64</v>
      </c>
      <c r="N10959">
        <v>3566.4</v>
      </c>
      <c r="O10959">
        <v>111.45</v>
      </c>
    </row>
    <row r="10960" spans="1:15" x14ac:dyDescent="0.35">
      <c r="A10960" t="s">
        <v>11733</v>
      </c>
      <c r="B10960" t="s">
        <v>11734</v>
      </c>
      <c r="C10960" t="s">
        <v>11188</v>
      </c>
      <c r="D10960" t="s">
        <v>337</v>
      </c>
      <c r="E10960" t="s">
        <v>337</v>
      </c>
      <c r="F10960" t="s">
        <v>11765</v>
      </c>
      <c r="G10960">
        <v>1984</v>
      </c>
      <c r="J10960">
        <v>19</v>
      </c>
      <c r="M10960">
        <v>2003</v>
      </c>
    </row>
    <row r="10961" spans="1:15" x14ac:dyDescent="0.35">
      <c r="A10961" t="s">
        <v>11733</v>
      </c>
      <c r="B10961" t="s">
        <v>11734</v>
      </c>
      <c r="C10961" t="s">
        <v>11188</v>
      </c>
      <c r="D10961" t="s">
        <v>339</v>
      </c>
      <c r="E10961" t="s">
        <v>294</v>
      </c>
      <c r="F10961" t="s">
        <v>11766</v>
      </c>
      <c r="G10961">
        <v>678</v>
      </c>
      <c r="H10961">
        <v>96262.209999999977</v>
      </c>
      <c r="I10961">
        <v>141.97999999999999</v>
      </c>
      <c r="J10961">
        <v>1257</v>
      </c>
      <c r="K10961">
        <v>143599.67999999999</v>
      </c>
      <c r="L10961">
        <v>114.24</v>
      </c>
      <c r="M10961">
        <v>1935</v>
      </c>
      <c r="N10961">
        <v>239861.88999999996</v>
      </c>
      <c r="O10961">
        <v>123.96</v>
      </c>
    </row>
    <row r="10962" spans="1:15" x14ac:dyDescent="0.35">
      <c r="A10962" t="s">
        <v>11733</v>
      </c>
      <c r="B10962" t="s">
        <v>11734</v>
      </c>
      <c r="C10962" t="s">
        <v>11188</v>
      </c>
      <c r="D10962" t="s">
        <v>339</v>
      </c>
      <c r="E10962" t="s">
        <v>296</v>
      </c>
      <c r="F10962" t="s">
        <v>11767</v>
      </c>
      <c r="G10962">
        <v>78</v>
      </c>
      <c r="H10962">
        <v>12452.02</v>
      </c>
      <c r="I10962">
        <v>159.63999999999999</v>
      </c>
      <c r="J10962">
        <v>41</v>
      </c>
      <c r="K10962">
        <v>5102.04</v>
      </c>
      <c r="L10962">
        <v>124.44</v>
      </c>
      <c r="M10962">
        <v>119</v>
      </c>
      <c r="N10962">
        <v>17554.060000000001</v>
      </c>
      <c r="O10962">
        <v>147.51</v>
      </c>
    </row>
    <row r="10963" spans="1:15" x14ac:dyDescent="0.35">
      <c r="A10963" t="s">
        <v>11733</v>
      </c>
      <c r="B10963" t="s">
        <v>11734</v>
      </c>
      <c r="C10963" t="s">
        <v>11188</v>
      </c>
      <c r="D10963" t="s">
        <v>339</v>
      </c>
      <c r="E10963" t="s">
        <v>298</v>
      </c>
      <c r="F10963" t="s">
        <v>11768</v>
      </c>
      <c r="G10963">
        <v>9</v>
      </c>
      <c r="H10963">
        <v>1592.1599999999999</v>
      </c>
      <c r="I10963">
        <v>176.91</v>
      </c>
      <c r="J10963">
        <v>5</v>
      </c>
      <c r="K10963">
        <v>763.7</v>
      </c>
      <c r="L10963">
        <v>152.74</v>
      </c>
      <c r="M10963">
        <v>14</v>
      </c>
      <c r="N10963">
        <v>2355.8599999999997</v>
      </c>
      <c r="O10963">
        <v>168.28</v>
      </c>
    </row>
    <row r="10964" spans="1:15" x14ac:dyDescent="0.35">
      <c r="A10964" t="s">
        <v>11733</v>
      </c>
      <c r="B10964" t="s">
        <v>11734</v>
      </c>
      <c r="C10964" t="s">
        <v>11188</v>
      </c>
      <c r="D10964" t="s">
        <v>339</v>
      </c>
      <c r="E10964" t="s">
        <v>300</v>
      </c>
      <c r="F10964" t="s">
        <v>11769</v>
      </c>
      <c r="G10964">
        <v>2</v>
      </c>
      <c r="H10964">
        <v>395.74</v>
      </c>
      <c r="I10964">
        <v>197.87</v>
      </c>
      <c r="J10964">
        <v>5</v>
      </c>
      <c r="K10964">
        <v>1002.0100000000001</v>
      </c>
      <c r="L10964">
        <v>200.4</v>
      </c>
      <c r="M10964">
        <v>7</v>
      </c>
      <c r="N10964">
        <v>1397.75</v>
      </c>
      <c r="O10964">
        <v>199.68</v>
      </c>
    </row>
    <row r="10965" spans="1:15" x14ac:dyDescent="0.35">
      <c r="A10965" t="s">
        <v>11733</v>
      </c>
      <c r="B10965" t="s">
        <v>11734</v>
      </c>
      <c r="C10965" t="s">
        <v>11188</v>
      </c>
      <c r="D10965" t="s">
        <v>339</v>
      </c>
      <c r="E10965" t="s">
        <v>306</v>
      </c>
      <c r="F10965" t="s">
        <v>11770</v>
      </c>
      <c r="G10965">
        <v>127</v>
      </c>
      <c r="H10965">
        <v>14500.31</v>
      </c>
      <c r="I10965">
        <v>114.18</v>
      </c>
      <c r="J10965">
        <v>8</v>
      </c>
      <c r="K10965">
        <v>823.36</v>
      </c>
      <c r="L10965">
        <v>102.92</v>
      </c>
      <c r="M10965">
        <v>135</v>
      </c>
      <c r="N10965">
        <v>15323.67</v>
      </c>
      <c r="O10965">
        <v>113.51</v>
      </c>
    </row>
    <row r="10966" spans="1:15" x14ac:dyDescent="0.35">
      <c r="A10966" t="s">
        <v>11733</v>
      </c>
      <c r="B10966" t="s">
        <v>11734</v>
      </c>
      <c r="C10966" t="s">
        <v>11188</v>
      </c>
      <c r="D10966" t="s">
        <v>339</v>
      </c>
      <c r="E10966" t="s">
        <v>308</v>
      </c>
      <c r="F10966" t="s">
        <v>11771</v>
      </c>
      <c r="G10966">
        <v>212</v>
      </c>
      <c r="H10966">
        <v>28019.710000000003</v>
      </c>
      <c r="I10966">
        <v>132.16999999999999</v>
      </c>
      <c r="J10966">
        <v>0</v>
      </c>
      <c r="K10966">
        <v>0</v>
      </c>
      <c r="L10966">
        <v>0</v>
      </c>
      <c r="M10966">
        <v>212</v>
      </c>
      <c r="N10966">
        <v>28019.710000000003</v>
      </c>
      <c r="O10966">
        <v>132.16999999999999</v>
      </c>
    </row>
    <row r="10967" spans="1:15" x14ac:dyDescent="0.35">
      <c r="A10967" t="s">
        <v>11733</v>
      </c>
      <c r="B10967" t="s">
        <v>11734</v>
      </c>
      <c r="C10967" t="s">
        <v>11188</v>
      </c>
      <c r="D10967" t="s">
        <v>339</v>
      </c>
      <c r="E10967" t="s">
        <v>310</v>
      </c>
      <c r="F10967" t="s">
        <v>11772</v>
      </c>
      <c r="G10967">
        <v>1106</v>
      </c>
      <c r="H10967">
        <v>153222.15</v>
      </c>
      <c r="I10967">
        <v>138.54</v>
      </c>
      <c r="J10967">
        <v>1316</v>
      </c>
      <c r="K10967">
        <v>151290.79</v>
      </c>
      <c r="L10967">
        <v>114.96</v>
      </c>
      <c r="M10967">
        <v>2422</v>
      </c>
      <c r="N10967">
        <v>304512.94</v>
      </c>
      <c r="O10967">
        <v>125.73</v>
      </c>
    </row>
    <row r="10968" spans="1:15" x14ac:dyDescent="0.35">
      <c r="A10968" t="s">
        <v>11733</v>
      </c>
      <c r="B10968" t="s">
        <v>11734</v>
      </c>
      <c r="C10968" t="s">
        <v>11188</v>
      </c>
      <c r="D10968" t="s">
        <v>339</v>
      </c>
      <c r="E10968" t="s">
        <v>312</v>
      </c>
      <c r="F10968" t="s">
        <v>11773</v>
      </c>
      <c r="G10968">
        <v>894</v>
      </c>
      <c r="H10968">
        <v>125202.43999999999</v>
      </c>
      <c r="I10968">
        <v>140.05000000000001</v>
      </c>
      <c r="J10968">
        <v>1316</v>
      </c>
      <c r="K10968">
        <v>151290.79</v>
      </c>
      <c r="L10968">
        <v>114.96</v>
      </c>
      <c r="M10968">
        <v>2210</v>
      </c>
      <c r="N10968">
        <v>276493.23</v>
      </c>
      <c r="O10968">
        <v>125.11</v>
      </c>
    </row>
    <row r="10969" spans="1:15" x14ac:dyDescent="0.35">
      <c r="A10969" t="s">
        <v>11733</v>
      </c>
      <c r="B10969" t="s">
        <v>11734</v>
      </c>
      <c r="C10969" t="s">
        <v>11188</v>
      </c>
      <c r="D10969" t="s">
        <v>348</v>
      </c>
      <c r="E10969" t="s">
        <v>349</v>
      </c>
      <c r="F10969" t="s">
        <v>11774</v>
      </c>
      <c r="G10969">
        <v>1722</v>
      </c>
      <c r="H10969">
        <v>200604.42999999996</v>
      </c>
      <c r="I10969">
        <v>160.1</v>
      </c>
      <c r="J10969">
        <v>1316</v>
      </c>
      <c r="K10969">
        <v>151290.79</v>
      </c>
      <c r="L10969">
        <v>114.96</v>
      </c>
      <c r="M10969">
        <v>3038</v>
      </c>
      <c r="N10969">
        <v>351895.22</v>
      </c>
      <c r="O10969">
        <v>136.97999999999999</v>
      </c>
    </row>
    <row r="10970" spans="1:15" x14ac:dyDescent="0.35">
      <c r="A10970" t="s">
        <v>11775</v>
      </c>
      <c r="B10970" t="s">
        <v>11776</v>
      </c>
      <c r="C10970" t="s">
        <v>11188</v>
      </c>
      <c r="D10970" t="s">
        <v>293</v>
      </c>
      <c r="E10970" t="s">
        <v>294</v>
      </c>
      <c r="F10970" t="s">
        <v>11777</v>
      </c>
      <c r="G10970">
        <v>309</v>
      </c>
      <c r="H10970">
        <v>63856.750000000015</v>
      </c>
      <c r="I10970">
        <v>206.66</v>
      </c>
      <c r="J10970">
        <v>31</v>
      </c>
      <c r="K10970">
        <v>5821.49</v>
      </c>
      <c r="L10970">
        <v>187.79</v>
      </c>
      <c r="M10970">
        <v>340</v>
      </c>
      <c r="N10970">
        <v>69678.24000000002</v>
      </c>
      <c r="O10970">
        <v>204.94</v>
      </c>
    </row>
    <row r="10971" spans="1:15" x14ac:dyDescent="0.35">
      <c r="A10971" t="s">
        <v>11775</v>
      </c>
      <c r="B10971" t="s">
        <v>11776</v>
      </c>
      <c r="C10971" t="s">
        <v>11188</v>
      </c>
      <c r="D10971" t="s">
        <v>293</v>
      </c>
      <c r="E10971" t="s">
        <v>296</v>
      </c>
      <c r="F10971" t="s">
        <v>11778</v>
      </c>
      <c r="G10971">
        <v>446</v>
      </c>
      <c r="H10971">
        <v>103392.68</v>
      </c>
      <c r="I10971">
        <v>231.82</v>
      </c>
      <c r="J10971">
        <v>75</v>
      </c>
      <c r="K10971">
        <v>15789</v>
      </c>
      <c r="L10971">
        <v>210.52</v>
      </c>
      <c r="M10971">
        <v>521</v>
      </c>
      <c r="N10971">
        <v>119181.68</v>
      </c>
      <c r="O10971">
        <v>228.76</v>
      </c>
    </row>
    <row r="10972" spans="1:15" x14ac:dyDescent="0.35">
      <c r="A10972" t="s">
        <v>11775</v>
      </c>
      <c r="B10972" t="s">
        <v>11776</v>
      </c>
      <c r="C10972" t="s">
        <v>11188</v>
      </c>
      <c r="D10972" t="s">
        <v>293</v>
      </c>
      <c r="E10972" t="s">
        <v>298</v>
      </c>
      <c r="F10972" t="s">
        <v>11779</v>
      </c>
      <c r="G10972">
        <v>89</v>
      </c>
      <c r="H10972">
        <v>23013.75</v>
      </c>
      <c r="I10972">
        <v>258.58</v>
      </c>
      <c r="J10972">
        <v>30</v>
      </c>
      <c r="K10972">
        <v>7026.3</v>
      </c>
      <c r="L10972">
        <v>234.21</v>
      </c>
      <c r="M10972">
        <v>119</v>
      </c>
      <c r="N10972">
        <v>30040.05</v>
      </c>
      <c r="O10972">
        <v>252.44</v>
      </c>
    </row>
    <row r="10973" spans="1:15" x14ac:dyDescent="0.35">
      <c r="A10973" t="s">
        <v>11775</v>
      </c>
      <c r="B10973" t="s">
        <v>11776</v>
      </c>
      <c r="C10973" t="s">
        <v>11188</v>
      </c>
      <c r="D10973" t="s">
        <v>293</v>
      </c>
      <c r="E10973" t="s">
        <v>300</v>
      </c>
      <c r="F10973" t="s">
        <v>11780</v>
      </c>
      <c r="G10973">
        <v>13</v>
      </c>
      <c r="H10973">
        <v>4640.7</v>
      </c>
      <c r="I10973">
        <v>356.98</v>
      </c>
      <c r="J10973">
        <v>7</v>
      </c>
      <c r="K10973">
        <v>1812.44</v>
      </c>
      <c r="L10973">
        <v>258.92</v>
      </c>
      <c r="M10973">
        <v>20</v>
      </c>
      <c r="N10973">
        <v>6453.1399999999994</v>
      </c>
      <c r="O10973">
        <v>322.66000000000003</v>
      </c>
    </row>
    <row r="10974" spans="1:15" x14ac:dyDescent="0.35">
      <c r="A10974" t="s">
        <v>11775</v>
      </c>
      <c r="B10974" t="s">
        <v>11776</v>
      </c>
      <c r="C10974" t="s">
        <v>11188</v>
      </c>
      <c r="D10974" t="s">
        <v>293</v>
      </c>
      <c r="E10974" t="s">
        <v>302</v>
      </c>
      <c r="F10974" t="s">
        <v>11781</v>
      </c>
      <c r="G10974">
        <v>5</v>
      </c>
      <c r="H10974">
        <v>2031.0700000000002</v>
      </c>
      <c r="I10974">
        <v>406.21</v>
      </c>
      <c r="J10974">
        <v>0</v>
      </c>
      <c r="K10974">
        <v>0</v>
      </c>
      <c r="L10974">
        <v>0</v>
      </c>
      <c r="M10974">
        <v>5</v>
      </c>
      <c r="N10974">
        <v>2031.0700000000002</v>
      </c>
      <c r="O10974">
        <v>406.21</v>
      </c>
    </row>
    <row r="10975" spans="1:15" x14ac:dyDescent="0.35">
      <c r="A10975" t="s">
        <v>11775</v>
      </c>
      <c r="B10975" t="s">
        <v>11776</v>
      </c>
      <c r="C10975" t="s">
        <v>11188</v>
      </c>
      <c r="D10975" t="s">
        <v>293</v>
      </c>
      <c r="E10975" t="s">
        <v>304</v>
      </c>
      <c r="F10975" t="s">
        <v>11782</v>
      </c>
      <c r="G10975">
        <v>0</v>
      </c>
      <c r="H10975">
        <v>0</v>
      </c>
      <c r="I10975">
        <v>0</v>
      </c>
      <c r="J10975">
        <v>0</v>
      </c>
      <c r="K10975">
        <v>0</v>
      </c>
      <c r="L10975">
        <v>0</v>
      </c>
      <c r="M10975">
        <v>0</v>
      </c>
      <c r="N10975">
        <v>0</v>
      </c>
      <c r="O10975">
        <v>0</v>
      </c>
    </row>
    <row r="10976" spans="1:15" x14ac:dyDescent="0.35">
      <c r="A10976" t="s">
        <v>11775</v>
      </c>
      <c r="B10976" t="s">
        <v>11776</v>
      </c>
      <c r="C10976" t="s">
        <v>11188</v>
      </c>
      <c r="D10976" t="s">
        <v>293</v>
      </c>
      <c r="E10976" t="s">
        <v>306</v>
      </c>
      <c r="F10976" t="s">
        <v>11783</v>
      </c>
      <c r="G10976">
        <v>0</v>
      </c>
      <c r="H10976">
        <v>0</v>
      </c>
      <c r="I10976">
        <v>0</v>
      </c>
      <c r="J10976">
        <v>0</v>
      </c>
      <c r="K10976">
        <v>0</v>
      </c>
      <c r="L10976">
        <v>0</v>
      </c>
      <c r="M10976">
        <v>0</v>
      </c>
      <c r="N10976">
        <v>0</v>
      </c>
      <c r="O10976">
        <v>0</v>
      </c>
    </row>
    <row r="10977" spans="1:15" x14ac:dyDescent="0.35">
      <c r="A10977" t="s">
        <v>11775</v>
      </c>
      <c r="B10977" t="s">
        <v>11776</v>
      </c>
      <c r="C10977" t="s">
        <v>11188</v>
      </c>
      <c r="D10977" t="s">
        <v>293</v>
      </c>
      <c r="E10977" t="s">
        <v>308</v>
      </c>
      <c r="F10977" t="s">
        <v>11784</v>
      </c>
      <c r="G10977">
        <v>2</v>
      </c>
      <c r="H10977">
        <v>345.12</v>
      </c>
      <c r="I10977">
        <v>172.56</v>
      </c>
      <c r="J10977">
        <v>0</v>
      </c>
      <c r="K10977">
        <v>0</v>
      </c>
      <c r="L10977">
        <v>0</v>
      </c>
      <c r="M10977">
        <v>2</v>
      </c>
      <c r="N10977">
        <v>345.12</v>
      </c>
      <c r="O10977">
        <v>172.56</v>
      </c>
    </row>
    <row r="10978" spans="1:15" x14ac:dyDescent="0.35">
      <c r="A10978" t="s">
        <v>11775</v>
      </c>
      <c r="B10978" t="s">
        <v>11776</v>
      </c>
      <c r="C10978" t="s">
        <v>11188</v>
      </c>
      <c r="D10978" t="s">
        <v>293</v>
      </c>
      <c r="E10978" t="s">
        <v>310</v>
      </c>
      <c r="F10978" t="s">
        <v>11785</v>
      </c>
      <c r="G10978">
        <v>864</v>
      </c>
      <c r="H10978">
        <v>197280.07</v>
      </c>
      <c r="I10978">
        <v>228.33</v>
      </c>
      <c r="J10978">
        <v>143</v>
      </c>
      <c r="K10978">
        <v>30449.229999999996</v>
      </c>
      <c r="L10978">
        <v>212.93</v>
      </c>
      <c r="M10978">
        <v>1007</v>
      </c>
      <c r="N10978">
        <v>227729.3</v>
      </c>
      <c r="O10978">
        <v>226.15</v>
      </c>
    </row>
    <row r="10979" spans="1:15" x14ac:dyDescent="0.35">
      <c r="A10979" t="s">
        <v>11775</v>
      </c>
      <c r="B10979" t="s">
        <v>11776</v>
      </c>
      <c r="C10979" t="s">
        <v>11188</v>
      </c>
      <c r="D10979" t="s">
        <v>293</v>
      </c>
      <c r="E10979" t="s">
        <v>312</v>
      </c>
      <c r="F10979" t="s">
        <v>11786</v>
      </c>
      <c r="G10979">
        <v>862</v>
      </c>
      <c r="H10979">
        <v>196934.95</v>
      </c>
      <c r="I10979">
        <v>228.46</v>
      </c>
      <c r="J10979">
        <v>143</v>
      </c>
      <c r="K10979">
        <v>30449.229999999996</v>
      </c>
      <c r="L10979">
        <v>212.93</v>
      </c>
      <c r="M10979">
        <v>1005</v>
      </c>
      <c r="N10979">
        <v>227384.18</v>
      </c>
      <c r="O10979">
        <v>226.25</v>
      </c>
    </row>
    <row r="10980" spans="1:15" x14ac:dyDescent="0.35">
      <c r="A10980" t="s">
        <v>11775</v>
      </c>
      <c r="B10980" t="s">
        <v>11776</v>
      </c>
      <c r="C10980" t="s">
        <v>11188</v>
      </c>
      <c r="D10980" t="s">
        <v>314</v>
      </c>
      <c r="E10980" t="s">
        <v>294</v>
      </c>
      <c r="F10980" t="s">
        <v>11787</v>
      </c>
      <c r="G10980">
        <v>84</v>
      </c>
      <c r="H10980">
        <v>21078.12</v>
      </c>
      <c r="I10980">
        <v>250.93</v>
      </c>
      <c r="J10980">
        <v>0</v>
      </c>
      <c r="K10980">
        <v>0</v>
      </c>
      <c r="L10980">
        <v>0</v>
      </c>
      <c r="M10980">
        <v>84</v>
      </c>
      <c r="N10980">
        <v>21078.12</v>
      </c>
      <c r="O10980">
        <v>250.93</v>
      </c>
    </row>
    <row r="10981" spans="1:15" x14ac:dyDescent="0.35">
      <c r="A10981" t="s">
        <v>11775</v>
      </c>
      <c r="B10981" t="s">
        <v>11776</v>
      </c>
      <c r="C10981" t="s">
        <v>11188</v>
      </c>
      <c r="D10981" t="s">
        <v>314</v>
      </c>
      <c r="E10981" t="s">
        <v>296</v>
      </c>
      <c r="F10981" t="s">
        <v>11788</v>
      </c>
      <c r="G10981">
        <v>2</v>
      </c>
      <c r="H10981">
        <v>561.34</v>
      </c>
      <c r="I10981">
        <v>280.67</v>
      </c>
      <c r="J10981">
        <v>0</v>
      </c>
      <c r="K10981">
        <v>0</v>
      </c>
      <c r="L10981">
        <v>0</v>
      </c>
      <c r="M10981">
        <v>2</v>
      </c>
      <c r="N10981">
        <v>561.34</v>
      </c>
      <c r="O10981">
        <v>280.67</v>
      </c>
    </row>
    <row r="10982" spans="1:15" x14ac:dyDescent="0.35">
      <c r="A10982" t="s">
        <v>11775</v>
      </c>
      <c r="B10982" t="s">
        <v>11776</v>
      </c>
      <c r="C10982" t="s">
        <v>11188</v>
      </c>
      <c r="D10982" t="s">
        <v>314</v>
      </c>
      <c r="E10982" t="s">
        <v>298</v>
      </c>
      <c r="F10982" t="s">
        <v>11789</v>
      </c>
      <c r="G10982">
        <v>0</v>
      </c>
      <c r="H10982">
        <v>0</v>
      </c>
      <c r="I10982">
        <v>0</v>
      </c>
      <c r="J10982">
        <v>0</v>
      </c>
      <c r="K10982">
        <v>0</v>
      </c>
      <c r="L10982">
        <v>0</v>
      </c>
      <c r="M10982">
        <v>0</v>
      </c>
      <c r="N10982">
        <v>0</v>
      </c>
      <c r="O10982">
        <v>0</v>
      </c>
    </row>
    <row r="10983" spans="1:15" x14ac:dyDescent="0.35">
      <c r="A10983" t="s">
        <v>11775</v>
      </c>
      <c r="B10983" t="s">
        <v>11776</v>
      </c>
      <c r="C10983" t="s">
        <v>11188</v>
      </c>
      <c r="D10983" t="s">
        <v>314</v>
      </c>
      <c r="E10983" t="s">
        <v>300</v>
      </c>
      <c r="F10983" t="s">
        <v>11790</v>
      </c>
      <c r="G10983">
        <v>0</v>
      </c>
      <c r="H10983">
        <v>0</v>
      </c>
      <c r="I10983">
        <v>0</v>
      </c>
      <c r="J10983">
        <v>0</v>
      </c>
      <c r="K10983">
        <v>0</v>
      </c>
      <c r="L10983">
        <v>0</v>
      </c>
      <c r="M10983">
        <v>0</v>
      </c>
      <c r="N10983">
        <v>0</v>
      </c>
      <c r="O10983">
        <v>0</v>
      </c>
    </row>
    <row r="10984" spans="1:15" x14ac:dyDescent="0.35">
      <c r="A10984" t="s">
        <v>11775</v>
      </c>
      <c r="B10984" t="s">
        <v>11776</v>
      </c>
      <c r="C10984" t="s">
        <v>11188</v>
      </c>
      <c r="D10984" t="s">
        <v>314</v>
      </c>
      <c r="E10984" t="s">
        <v>306</v>
      </c>
      <c r="F10984" t="s">
        <v>11791</v>
      </c>
      <c r="G10984">
        <v>0</v>
      </c>
      <c r="H10984">
        <v>0</v>
      </c>
      <c r="I10984">
        <v>0</v>
      </c>
      <c r="J10984">
        <v>0</v>
      </c>
      <c r="K10984">
        <v>0</v>
      </c>
      <c r="L10984">
        <v>0</v>
      </c>
      <c r="M10984">
        <v>0</v>
      </c>
      <c r="N10984">
        <v>0</v>
      </c>
      <c r="O10984">
        <v>0</v>
      </c>
    </row>
    <row r="10985" spans="1:15" x14ac:dyDescent="0.35">
      <c r="A10985" t="s">
        <v>11775</v>
      </c>
      <c r="B10985" t="s">
        <v>11776</v>
      </c>
      <c r="C10985" t="s">
        <v>11188</v>
      </c>
      <c r="D10985" t="s">
        <v>314</v>
      </c>
      <c r="E10985" t="s">
        <v>308</v>
      </c>
      <c r="F10985" t="s">
        <v>11792</v>
      </c>
      <c r="G10985">
        <v>0</v>
      </c>
      <c r="H10985">
        <v>0</v>
      </c>
      <c r="I10985">
        <v>0</v>
      </c>
      <c r="J10985">
        <v>0</v>
      </c>
      <c r="K10985">
        <v>0</v>
      </c>
      <c r="L10985">
        <v>0</v>
      </c>
      <c r="M10985">
        <v>0</v>
      </c>
      <c r="N10985">
        <v>0</v>
      </c>
      <c r="O10985">
        <v>0</v>
      </c>
    </row>
    <row r="10986" spans="1:15" x14ac:dyDescent="0.35">
      <c r="A10986" t="s">
        <v>11775</v>
      </c>
      <c r="B10986" t="s">
        <v>11776</v>
      </c>
      <c r="C10986" t="s">
        <v>11188</v>
      </c>
      <c r="D10986" t="s">
        <v>314</v>
      </c>
      <c r="E10986" t="s">
        <v>312</v>
      </c>
      <c r="F10986" t="s">
        <v>11793</v>
      </c>
      <c r="G10986">
        <v>86</v>
      </c>
      <c r="H10986">
        <v>21639.46</v>
      </c>
      <c r="I10986">
        <v>251.62</v>
      </c>
      <c r="J10986">
        <v>0</v>
      </c>
      <c r="K10986">
        <v>0</v>
      </c>
      <c r="L10986">
        <v>0</v>
      </c>
      <c r="M10986">
        <v>86</v>
      </c>
      <c r="N10986">
        <v>21639.46</v>
      </c>
      <c r="O10986">
        <v>251.62</v>
      </c>
    </row>
    <row r="10987" spans="1:15" x14ac:dyDescent="0.35">
      <c r="A10987" t="s">
        <v>11775</v>
      </c>
      <c r="B10987" t="s">
        <v>11776</v>
      </c>
      <c r="C10987" t="s">
        <v>11188</v>
      </c>
      <c r="D10987" t="s">
        <v>314</v>
      </c>
      <c r="E10987" t="s">
        <v>310</v>
      </c>
      <c r="F10987" t="s">
        <v>11794</v>
      </c>
      <c r="G10987">
        <v>86</v>
      </c>
      <c r="H10987">
        <v>21639.46</v>
      </c>
      <c r="I10987">
        <v>251.62</v>
      </c>
      <c r="J10987">
        <v>0</v>
      </c>
      <c r="K10987">
        <v>0</v>
      </c>
      <c r="L10987">
        <v>0</v>
      </c>
      <c r="M10987">
        <v>86</v>
      </c>
      <c r="N10987">
        <v>21639.46</v>
      </c>
      <c r="O10987">
        <v>251.62</v>
      </c>
    </row>
    <row r="10988" spans="1:15" x14ac:dyDescent="0.35">
      <c r="A10988" t="s">
        <v>11775</v>
      </c>
      <c r="B10988" t="s">
        <v>11776</v>
      </c>
      <c r="C10988" t="s">
        <v>11188</v>
      </c>
      <c r="D10988" t="s">
        <v>323</v>
      </c>
      <c r="E10988" t="s">
        <v>294</v>
      </c>
      <c r="F10988" t="s">
        <v>11795</v>
      </c>
      <c r="G10988">
        <v>474</v>
      </c>
      <c r="H10988">
        <v>62928.619999999988</v>
      </c>
      <c r="I10988">
        <v>132.76</v>
      </c>
      <c r="J10988">
        <v>1254</v>
      </c>
      <c r="K10988">
        <v>151545.9</v>
      </c>
      <c r="L10988">
        <v>120.85</v>
      </c>
      <c r="M10988">
        <v>1728</v>
      </c>
      <c r="N10988">
        <v>214474.52</v>
      </c>
      <c r="O10988">
        <v>124.12</v>
      </c>
    </row>
    <row r="10989" spans="1:15" x14ac:dyDescent="0.35">
      <c r="A10989" t="s">
        <v>11775</v>
      </c>
      <c r="B10989" t="s">
        <v>11776</v>
      </c>
      <c r="C10989" t="s">
        <v>11188</v>
      </c>
      <c r="D10989" t="s">
        <v>323</v>
      </c>
      <c r="E10989" t="s">
        <v>296</v>
      </c>
      <c r="F10989" t="s">
        <v>11796</v>
      </c>
      <c r="G10989">
        <v>967</v>
      </c>
      <c r="H10989">
        <v>146777.03999999998</v>
      </c>
      <c r="I10989">
        <v>151.79</v>
      </c>
      <c r="J10989">
        <v>1345</v>
      </c>
      <c r="K10989">
        <v>190694.1</v>
      </c>
      <c r="L10989">
        <v>141.78</v>
      </c>
      <c r="M10989">
        <v>2312</v>
      </c>
      <c r="N10989">
        <v>337471.14</v>
      </c>
      <c r="O10989">
        <v>145.97</v>
      </c>
    </row>
    <row r="10990" spans="1:15" x14ac:dyDescent="0.35">
      <c r="A10990" t="s">
        <v>11775</v>
      </c>
      <c r="B10990" t="s">
        <v>11776</v>
      </c>
      <c r="C10990" t="s">
        <v>11188</v>
      </c>
      <c r="D10990" t="s">
        <v>323</v>
      </c>
      <c r="E10990" t="s">
        <v>298</v>
      </c>
      <c r="F10990" t="s">
        <v>11797</v>
      </c>
      <c r="G10990">
        <v>986</v>
      </c>
      <c r="H10990">
        <v>174016.56999999998</v>
      </c>
      <c r="I10990">
        <v>176.49</v>
      </c>
      <c r="J10990">
        <v>1318</v>
      </c>
      <c r="K10990">
        <v>216112.46</v>
      </c>
      <c r="L10990">
        <v>163.97</v>
      </c>
      <c r="M10990">
        <v>2304</v>
      </c>
      <c r="N10990">
        <v>390129.02999999997</v>
      </c>
      <c r="O10990">
        <v>169.33</v>
      </c>
    </row>
    <row r="10991" spans="1:15" x14ac:dyDescent="0.35">
      <c r="A10991" t="s">
        <v>11775</v>
      </c>
      <c r="B10991" t="s">
        <v>11776</v>
      </c>
      <c r="C10991" t="s">
        <v>11188</v>
      </c>
      <c r="D10991" t="s">
        <v>323</v>
      </c>
      <c r="E10991" t="s">
        <v>300</v>
      </c>
      <c r="F10991" t="s">
        <v>11798</v>
      </c>
      <c r="G10991">
        <v>235</v>
      </c>
      <c r="H10991">
        <v>45046.770000000004</v>
      </c>
      <c r="I10991">
        <v>191.69</v>
      </c>
      <c r="J10991">
        <v>86</v>
      </c>
      <c r="K10991">
        <v>15607.279999999999</v>
      </c>
      <c r="L10991">
        <v>181.48</v>
      </c>
      <c r="M10991">
        <v>321</v>
      </c>
      <c r="N10991">
        <v>60654.05</v>
      </c>
      <c r="O10991">
        <v>188.95</v>
      </c>
    </row>
    <row r="10992" spans="1:15" x14ac:dyDescent="0.35">
      <c r="A10992" t="s">
        <v>11775</v>
      </c>
      <c r="B10992" t="s">
        <v>11776</v>
      </c>
      <c r="C10992" t="s">
        <v>11188</v>
      </c>
      <c r="D10992" t="s">
        <v>323</v>
      </c>
      <c r="E10992" t="s">
        <v>302</v>
      </c>
      <c r="F10992" t="s">
        <v>11799</v>
      </c>
      <c r="G10992">
        <v>43</v>
      </c>
      <c r="H10992">
        <v>8796.8799999999992</v>
      </c>
      <c r="I10992">
        <v>204.58</v>
      </c>
      <c r="J10992">
        <v>11</v>
      </c>
      <c r="K10992">
        <v>2113.87</v>
      </c>
      <c r="L10992">
        <v>192.17</v>
      </c>
      <c r="M10992">
        <v>54</v>
      </c>
      <c r="N10992">
        <v>10910.75</v>
      </c>
      <c r="O10992">
        <v>202.05</v>
      </c>
    </row>
    <row r="10993" spans="1:15" x14ac:dyDescent="0.35">
      <c r="A10993" t="s">
        <v>11775</v>
      </c>
      <c r="B10993" t="s">
        <v>11776</v>
      </c>
      <c r="C10993" t="s">
        <v>11188</v>
      </c>
      <c r="D10993" t="s">
        <v>323</v>
      </c>
      <c r="E10993" t="s">
        <v>304</v>
      </c>
      <c r="F10993" t="s">
        <v>11800</v>
      </c>
      <c r="G10993">
        <v>4</v>
      </c>
      <c r="H10993">
        <v>855</v>
      </c>
      <c r="I10993">
        <v>213.75</v>
      </c>
      <c r="J10993">
        <v>3</v>
      </c>
      <c r="K10993">
        <v>632.43000000000006</v>
      </c>
      <c r="L10993">
        <v>210.81</v>
      </c>
      <c r="M10993">
        <v>7</v>
      </c>
      <c r="N10993">
        <v>1487.43</v>
      </c>
      <c r="O10993">
        <v>212.49</v>
      </c>
    </row>
    <row r="10994" spans="1:15" x14ac:dyDescent="0.35">
      <c r="A10994" t="s">
        <v>11775</v>
      </c>
      <c r="B10994" t="s">
        <v>11776</v>
      </c>
      <c r="C10994" t="s">
        <v>11188</v>
      </c>
      <c r="D10994" t="s">
        <v>323</v>
      </c>
      <c r="E10994" t="s">
        <v>306</v>
      </c>
      <c r="F10994" t="s">
        <v>11801</v>
      </c>
      <c r="G10994">
        <v>9</v>
      </c>
      <c r="H10994">
        <v>986.48</v>
      </c>
      <c r="I10994">
        <v>109.61</v>
      </c>
      <c r="J10994">
        <v>102</v>
      </c>
      <c r="K10994">
        <v>11223.06</v>
      </c>
      <c r="L10994">
        <v>110.03</v>
      </c>
      <c r="M10994">
        <v>111</v>
      </c>
      <c r="N10994">
        <v>12209.539999999999</v>
      </c>
      <c r="O10994">
        <v>110</v>
      </c>
    </row>
    <row r="10995" spans="1:15" x14ac:dyDescent="0.35">
      <c r="A10995" t="s">
        <v>11775</v>
      </c>
      <c r="B10995" t="s">
        <v>11776</v>
      </c>
      <c r="C10995" t="s">
        <v>11188</v>
      </c>
      <c r="D10995" t="s">
        <v>323</v>
      </c>
      <c r="E10995" t="s">
        <v>308</v>
      </c>
      <c r="F10995" t="s">
        <v>11802</v>
      </c>
      <c r="G10995">
        <v>6</v>
      </c>
      <c r="H10995">
        <v>772.14</v>
      </c>
      <c r="I10995">
        <v>128.69</v>
      </c>
      <c r="J10995">
        <v>0</v>
      </c>
      <c r="K10995">
        <v>0</v>
      </c>
      <c r="L10995">
        <v>0</v>
      </c>
      <c r="M10995">
        <v>6</v>
      </c>
      <c r="N10995">
        <v>772.14</v>
      </c>
      <c r="O10995">
        <v>128.69</v>
      </c>
    </row>
    <row r="10996" spans="1:15" x14ac:dyDescent="0.35">
      <c r="A10996" t="s">
        <v>11775</v>
      </c>
      <c r="B10996" t="s">
        <v>11776</v>
      </c>
      <c r="C10996" t="s">
        <v>11188</v>
      </c>
      <c r="D10996" t="s">
        <v>323</v>
      </c>
      <c r="E10996" t="s">
        <v>310</v>
      </c>
      <c r="F10996" t="s">
        <v>11803</v>
      </c>
      <c r="G10996">
        <v>2724</v>
      </c>
      <c r="H10996">
        <v>440179.5</v>
      </c>
      <c r="I10996">
        <v>161.59</v>
      </c>
      <c r="J10996">
        <v>4119</v>
      </c>
      <c r="K10996">
        <v>587929.10000000009</v>
      </c>
      <c r="L10996">
        <v>142.74</v>
      </c>
      <c r="M10996">
        <v>6843</v>
      </c>
      <c r="N10996">
        <v>1028108.6000000001</v>
      </c>
      <c r="O10996">
        <v>150.24</v>
      </c>
    </row>
    <row r="10997" spans="1:15" x14ac:dyDescent="0.35">
      <c r="A10997" t="s">
        <v>11775</v>
      </c>
      <c r="B10997" t="s">
        <v>11776</v>
      </c>
      <c r="C10997" t="s">
        <v>11188</v>
      </c>
      <c r="D10997" t="s">
        <v>323</v>
      </c>
      <c r="E10997" t="s">
        <v>312</v>
      </c>
      <c r="F10997" t="s">
        <v>11804</v>
      </c>
      <c r="G10997">
        <v>2718</v>
      </c>
      <c r="H10997">
        <v>439407.35999999999</v>
      </c>
      <c r="I10997">
        <v>161.66999999999999</v>
      </c>
      <c r="J10997">
        <v>4119</v>
      </c>
      <c r="K10997">
        <v>587929.10000000009</v>
      </c>
      <c r="L10997">
        <v>142.74</v>
      </c>
      <c r="M10997">
        <v>6837</v>
      </c>
      <c r="N10997">
        <v>1027336.4600000001</v>
      </c>
      <c r="O10997">
        <v>150.26</v>
      </c>
    </row>
    <row r="10998" spans="1:15" x14ac:dyDescent="0.35">
      <c r="A10998" t="s">
        <v>11775</v>
      </c>
      <c r="B10998" t="s">
        <v>11776</v>
      </c>
      <c r="C10998" t="s">
        <v>11188</v>
      </c>
      <c r="D10998" t="s">
        <v>334</v>
      </c>
      <c r="E10998" t="s">
        <v>312</v>
      </c>
      <c r="F10998" t="s">
        <v>11805</v>
      </c>
      <c r="G10998">
        <v>3897</v>
      </c>
      <c r="H10998">
        <v>636342.30999999994</v>
      </c>
      <c r="I10998">
        <v>177.75</v>
      </c>
      <c r="J10998">
        <v>4262</v>
      </c>
      <c r="K10998">
        <v>618378.33000000007</v>
      </c>
      <c r="L10998">
        <v>145.09</v>
      </c>
      <c r="M10998">
        <v>8159</v>
      </c>
      <c r="N10998">
        <v>1254720.6400000001</v>
      </c>
      <c r="O10998">
        <v>160</v>
      </c>
    </row>
    <row r="10999" spans="1:15" x14ac:dyDescent="0.35">
      <c r="A10999" t="s">
        <v>11775</v>
      </c>
      <c r="B10999" t="s">
        <v>11776</v>
      </c>
      <c r="C10999" t="s">
        <v>11188</v>
      </c>
      <c r="D10999" t="s">
        <v>334</v>
      </c>
      <c r="E10999" t="s">
        <v>308</v>
      </c>
      <c r="F10999" t="s">
        <v>11806</v>
      </c>
      <c r="G10999">
        <v>8</v>
      </c>
      <c r="H10999">
        <v>1117.26</v>
      </c>
      <c r="I10999">
        <v>139.66</v>
      </c>
      <c r="J10999">
        <v>0</v>
      </c>
      <c r="K10999">
        <v>0</v>
      </c>
      <c r="L10999">
        <v>0</v>
      </c>
      <c r="M10999">
        <v>8</v>
      </c>
      <c r="N10999">
        <v>1117.26</v>
      </c>
      <c r="O10999">
        <v>139.66</v>
      </c>
    </row>
    <row r="11000" spans="1:15" x14ac:dyDescent="0.35">
      <c r="A11000" t="s">
        <v>11775</v>
      </c>
      <c r="B11000" t="s">
        <v>11776</v>
      </c>
      <c r="C11000" t="s">
        <v>11188</v>
      </c>
      <c r="D11000" t="s">
        <v>337</v>
      </c>
      <c r="E11000" t="s">
        <v>337</v>
      </c>
      <c r="F11000" t="s">
        <v>11807</v>
      </c>
      <c r="G11000">
        <v>1258</v>
      </c>
      <c r="J11000">
        <v>25</v>
      </c>
      <c r="M11000">
        <v>1283</v>
      </c>
    </row>
    <row r="11001" spans="1:15" x14ac:dyDescent="0.35">
      <c r="A11001" t="s">
        <v>11775</v>
      </c>
      <c r="B11001" t="s">
        <v>11776</v>
      </c>
      <c r="C11001" t="s">
        <v>11188</v>
      </c>
      <c r="D11001" t="s">
        <v>339</v>
      </c>
      <c r="E11001" t="s">
        <v>294</v>
      </c>
      <c r="F11001" t="s">
        <v>11808</v>
      </c>
      <c r="G11001">
        <v>252</v>
      </c>
      <c r="H11001">
        <v>39708.22</v>
      </c>
      <c r="I11001">
        <v>157.57</v>
      </c>
      <c r="J11001">
        <v>489</v>
      </c>
      <c r="K11001">
        <v>60049.2</v>
      </c>
      <c r="L11001">
        <v>122.8</v>
      </c>
      <c r="M11001">
        <v>741</v>
      </c>
      <c r="N11001">
        <v>99757.42</v>
      </c>
      <c r="O11001">
        <v>134.63</v>
      </c>
    </row>
    <row r="11002" spans="1:15" x14ac:dyDescent="0.35">
      <c r="A11002" t="s">
        <v>11775</v>
      </c>
      <c r="B11002" t="s">
        <v>11776</v>
      </c>
      <c r="C11002" t="s">
        <v>11188</v>
      </c>
      <c r="D11002" t="s">
        <v>339</v>
      </c>
      <c r="E11002" t="s">
        <v>296</v>
      </c>
      <c r="F11002" t="s">
        <v>11809</v>
      </c>
      <c r="G11002">
        <v>21</v>
      </c>
      <c r="H11002">
        <v>3262.13</v>
      </c>
      <c r="I11002">
        <v>155.34</v>
      </c>
      <c r="J11002">
        <v>2</v>
      </c>
      <c r="K11002">
        <v>288.02</v>
      </c>
      <c r="L11002">
        <v>144.01</v>
      </c>
      <c r="M11002">
        <v>23</v>
      </c>
      <c r="N11002">
        <v>3550.15</v>
      </c>
      <c r="O11002">
        <v>154.35</v>
      </c>
    </row>
    <row r="11003" spans="1:15" x14ac:dyDescent="0.35">
      <c r="A11003" t="s">
        <v>11775</v>
      </c>
      <c r="B11003" t="s">
        <v>11776</v>
      </c>
      <c r="C11003" t="s">
        <v>11188</v>
      </c>
      <c r="D11003" t="s">
        <v>339</v>
      </c>
      <c r="E11003" t="s">
        <v>298</v>
      </c>
      <c r="F11003" t="s">
        <v>11810</v>
      </c>
      <c r="G11003">
        <v>1</v>
      </c>
      <c r="H11003">
        <v>173.98</v>
      </c>
      <c r="I11003">
        <v>173.98</v>
      </c>
      <c r="J11003">
        <v>0</v>
      </c>
      <c r="K11003">
        <v>0</v>
      </c>
      <c r="L11003">
        <v>0</v>
      </c>
      <c r="M11003">
        <v>1</v>
      </c>
      <c r="N11003">
        <v>173.98</v>
      </c>
      <c r="O11003">
        <v>173.98</v>
      </c>
    </row>
    <row r="11004" spans="1:15" x14ac:dyDescent="0.35">
      <c r="A11004" t="s">
        <v>11775</v>
      </c>
      <c r="B11004" t="s">
        <v>11776</v>
      </c>
      <c r="C11004" t="s">
        <v>11188</v>
      </c>
      <c r="D11004" t="s">
        <v>339</v>
      </c>
      <c r="E11004" t="s">
        <v>300</v>
      </c>
      <c r="F11004" t="s">
        <v>11811</v>
      </c>
      <c r="G11004">
        <v>1</v>
      </c>
      <c r="H11004">
        <v>201.53</v>
      </c>
      <c r="I11004">
        <v>201.53</v>
      </c>
      <c r="J11004">
        <v>0</v>
      </c>
      <c r="K11004">
        <v>0</v>
      </c>
      <c r="L11004">
        <v>0</v>
      </c>
      <c r="M11004">
        <v>1</v>
      </c>
      <c r="N11004">
        <v>201.53</v>
      </c>
      <c r="O11004">
        <v>201.53</v>
      </c>
    </row>
    <row r="11005" spans="1:15" x14ac:dyDescent="0.35">
      <c r="A11005" t="s">
        <v>11775</v>
      </c>
      <c r="B11005" t="s">
        <v>11776</v>
      </c>
      <c r="C11005" t="s">
        <v>11188</v>
      </c>
      <c r="D11005" t="s">
        <v>339</v>
      </c>
      <c r="E11005" t="s">
        <v>306</v>
      </c>
      <c r="F11005" t="s">
        <v>11812</v>
      </c>
      <c r="G11005">
        <v>103</v>
      </c>
      <c r="H11005">
        <v>11428.11</v>
      </c>
      <c r="I11005">
        <v>110.95</v>
      </c>
      <c r="J11005">
        <v>12</v>
      </c>
      <c r="K11005">
        <v>1350.84</v>
      </c>
      <c r="L11005">
        <v>112.57</v>
      </c>
      <c r="M11005">
        <v>115</v>
      </c>
      <c r="N11005">
        <v>12778.95</v>
      </c>
      <c r="O11005">
        <v>111.12</v>
      </c>
    </row>
    <row r="11006" spans="1:15" x14ac:dyDescent="0.35">
      <c r="A11006" t="s">
        <v>11775</v>
      </c>
      <c r="B11006" t="s">
        <v>11776</v>
      </c>
      <c r="C11006" t="s">
        <v>11188</v>
      </c>
      <c r="D11006" t="s">
        <v>339</v>
      </c>
      <c r="E11006" t="s">
        <v>308</v>
      </c>
      <c r="F11006" t="s">
        <v>11813</v>
      </c>
      <c r="G11006">
        <v>110</v>
      </c>
      <c r="H11006">
        <v>12657.36</v>
      </c>
      <c r="I11006">
        <v>115.07</v>
      </c>
      <c r="J11006">
        <v>0</v>
      </c>
      <c r="K11006">
        <v>0</v>
      </c>
      <c r="L11006">
        <v>0</v>
      </c>
      <c r="M11006">
        <v>110</v>
      </c>
      <c r="N11006">
        <v>12657.36</v>
      </c>
      <c r="O11006">
        <v>115.07</v>
      </c>
    </row>
    <row r="11007" spans="1:15" x14ac:dyDescent="0.35">
      <c r="A11007" t="s">
        <v>11775</v>
      </c>
      <c r="B11007" t="s">
        <v>11776</v>
      </c>
      <c r="C11007" t="s">
        <v>11188</v>
      </c>
      <c r="D11007" t="s">
        <v>339</v>
      </c>
      <c r="E11007" t="s">
        <v>310</v>
      </c>
      <c r="F11007" t="s">
        <v>11814</v>
      </c>
      <c r="G11007">
        <v>488</v>
      </c>
      <c r="H11007">
        <v>67431.33</v>
      </c>
      <c r="I11007">
        <v>138.18</v>
      </c>
      <c r="J11007">
        <v>503</v>
      </c>
      <c r="K11007">
        <v>61688.05999999999</v>
      </c>
      <c r="L11007">
        <v>122.64</v>
      </c>
      <c r="M11007">
        <v>991</v>
      </c>
      <c r="N11007">
        <v>129119.38999999998</v>
      </c>
      <c r="O11007">
        <v>130.29</v>
      </c>
    </row>
    <row r="11008" spans="1:15" x14ac:dyDescent="0.35">
      <c r="A11008" t="s">
        <v>11775</v>
      </c>
      <c r="B11008" t="s">
        <v>11776</v>
      </c>
      <c r="C11008" t="s">
        <v>11188</v>
      </c>
      <c r="D11008" t="s">
        <v>339</v>
      </c>
      <c r="E11008" t="s">
        <v>312</v>
      </c>
      <c r="F11008" t="s">
        <v>11815</v>
      </c>
      <c r="G11008">
        <v>378</v>
      </c>
      <c r="H11008">
        <v>54773.97</v>
      </c>
      <c r="I11008">
        <v>144.9</v>
      </c>
      <c r="J11008">
        <v>503</v>
      </c>
      <c r="K11008">
        <v>61688.05999999999</v>
      </c>
      <c r="L11008">
        <v>122.64</v>
      </c>
      <c r="M11008">
        <v>881</v>
      </c>
      <c r="N11008">
        <v>116462.03</v>
      </c>
      <c r="O11008">
        <v>132.19</v>
      </c>
    </row>
    <row r="11009" spans="1:15" x14ac:dyDescent="0.35">
      <c r="A11009" t="s">
        <v>11775</v>
      </c>
      <c r="B11009" t="s">
        <v>11776</v>
      </c>
      <c r="C11009" t="s">
        <v>11188</v>
      </c>
      <c r="D11009" t="s">
        <v>348</v>
      </c>
      <c r="E11009" t="s">
        <v>349</v>
      </c>
      <c r="F11009" t="s">
        <v>11816</v>
      </c>
      <c r="G11009">
        <v>890</v>
      </c>
      <c r="H11009">
        <v>89070.79</v>
      </c>
      <c r="I11009">
        <v>155.18</v>
      </c>
      <c r="J11009">
        <v>503</v>
      </c>
      <c r="K11009">
        <v>61688.05999999999</v>
      </c>
      <c r="L11009">
        <v>122.64</v>
      </c>
      <c r="M11009">
        <v>1393</v>
      </c>
      <c r="N11009">
        <v>150758.84999999998</v>
      </c>
      <c r="O11009">
        <v>139.97999999999999</v>
      </c>
    </row>
    <row r="11010" spans="1:15" x14ac:dyDescent="0.35">
      <c r="A11010" t="s">
        <v>11817</v>
      </c>
      <c r="B11010" t="s">
        <v>11818</v>
      </c>
      <c r="C11010" t="s">
        <v>11188</v>
      </c>
      <c r="D11010" t="s">
        <v>293</v>
      </c>
      <c r="E11010" t="s">
        <v>294</v>
      </c>
      <c r="F11010" t="s">
        <v>11819</v>
      </c>
      <c r="G11010">
        <v>308</v>
      </c>
      <c r="H11010">
        <v>57560.170000000013</v>
      </c>
      <c r="I11010">
        <v>186.88</v>
      </c>
      <c r="J11010">
        <v>65</v>
      </c>
      <c r="K11010">
        <v>13395.2</v>
      </c>
      <c r="L11010">
        <v>206.08</v>
      </c>
      <c r="M11010">
        <v>373</v>
      </c>
      <c r="N11010">
        <v>70955.37000000001</v>
      </c>
      <c r="O11010">
        <v>190.23</v>
      </c>
    </row>
    <row r="11011" spans="1:15" x14ac:dyDescent="0.35">
      <c r="A11011" t="s">
        <v>11817</v>
      </c>
      <c r="B11011" t="s">
        <v>11818</v>
      </c>
      <c r="C11011" t="s">
        <v>11188</v>
      </c>
      <c r="D11011" t="s">
        <v>293</v>
      </c>
      <c r="E11011" t="s">
        <v>296</v>
      </c>
      <c r="F11011" t="s">
        <v>11820</v>
      </c>
      <c r="G11011">
        <v>535</v>
      </c>
      <c r="H11011">
        <v>117392.95999999998</v>
      </c>
      <c r="I11011">
        <v>219.43</v>
      </c>
      <c r="J11011">
        <v>259</v>
      </c>
      <c r="K11011">
        <v>59992.17</v>
      </c>
      <c r="L11011">
        <v>231.63</v>
      </c>
      <c r="M11011">
        <v>794</v>
      </c>
      <c r="N11011">
        <v>177385.12999999998</v>
      </c>
      <c r="O11011">
        <v>223.41</v>
      </c>
    </row>
    <row r="11012" spans="1:15" x14ac:dyDescent="0.35">
      <c r="A11012" t="s">
        <v>11817</v>
      </c>
      <c r="B11012" t="s">
        <v>11818</v>
      </c>
      <c r="C11012" t="s">
        <v>11188</v>
      </c>
      <c r="D11012" t="s">
        <v>293</v>
      </c>
      <c r="E11012" t="s">
        <v>298</v>
      </c>
      <c r="F11012" t="s">
        <v>11821</v>
      </c>
      <c r="G11012">
        <v>305</v>
      </c>
      <c r="H11012">
        <v>79598.91</v>
      </c>
      <c r="I11012">
        <v>260.98</v>
      </c>
      <c r="J11012">
        <v>82</v>
      </c>
      <c r="K11012">
        <v>22565.579999999998</v>
      </c>
      <c r="L11012">
        <v>275.19</v>
      </c>
      <c r="M11012">
        <v>387</v>
      </c>
      <c r="N11012">
        <v>102164.49</v>
      </c>
      <c r="O11012">
        <v>263.99</v>
      </c>
    </row>
    <row r="11013" spans="1:15" x14ac:dyDescent="0.35">
      <c r="A11013" t="s">
        <v>11817</v>
      </c>
      <c r="B11013" t="s">
        <v>11818</v>
      </c>
      <c r="C11013" t="s">
        <v>11188</v>
      </c>
      <c r="D11013" t="s">
        <v>293</v>
      </c>
      <c r="E11013" t="s">
        <v>300</v>
      </c>
      <c r="F11013" t="s">
        <v>11822</v>
      </c>
      <c r="G11013">
        <v>114</v>
      </c>
      <c r="H11013">
        <v>32883.009999999995</v>
      </c>
      <c r="I11013">
        <v>288.45</v>
      </c>
      <c r="J11013">
        <v>36</v>
      </c>
      <c r="K11013">
        <v>10564.199999999999</v>
      </c>
      <c r="L11013">
        <v>293.45</v>
      </c>
      <c r="M11013">
        <v>150</v>
      </c>
      <c r="N11013">
        <v>43447.209999999992</v>
      </c>
      <c r="O11013">
        <v>289.64999999999998</v>
      </c>
    </row>
    <row r="11014" spans="1:15" x14ac:dyDescent="0.35">
      <c r="A11014" t="s">
        <v>11817</v>
      </c>
      <c r="B11014" t="s">
        <v>11818</v>
      </c>
      <c r="C11014" t="s">
        <v>11188</v>
      </c>
      <c r="D11014" t="s">
        <v>293</v>
      </c>
      <c r="E11014" t="s">
        <v>302</v>
      </c>
      <c r="F11014" t="s">
        <v>11823</v>
      </c>
      <c r="G11014">
        <v>4</v>
      </c>
      <c r="H11014">
        <v>1081.04</v>
      </c>
      <c r="I11014">
        <v>270.26</v>
      </c>
      <c r="J11014">
        <v>0</v>
      </c>
      <c r="K11014">
        <v>0</v>
      </c>
      <c r="L11014">
        <v>0</v>
      </c>
      <c r="M11014">
        <v>4</v>
      </c>
      <c r="N11014">
        <v>1081.04</v>
      </c>
      <c r="O11014">
        <v>270.26</v>
      </c>
    </row>
    <row r="11015" spans="1:15" x14ac:dyDescent="0.35">
      <c r="A11015" t="s">
        <v>11817</v>
      </c>
      <c r="B11015" t="s">
        <v>11818</v>
      </c>
      <c r="C11015" t="s">
        <v>11188</v>
      </c>
      <c r="D11015" t="s">
        <v>293</v>
      </c>
      <c r="E11015" t="s">
        <v>304</v>
      </c>
      <c r="F11015" t="s">
        <v>11824</v>
      </c>
      <c r="G11015">
        <v>1</v>
      </c>
      <c r="H11015">
        <v>274</v>
      </c>
      <c r="I11015">
        <v>274</v>
      </c>
      <c r="J11015">
        <v>0</v>
      </c>
      <c r="K11015">
        <v>0</v>
      </c>
      <c r="L11015">
        <v>0</v>
      </c>
      <c r="M11015">
        <v>1</v>
      </c>
      <c r="N11015">
        <v>274</v>
      </c>
      <c r="O11015">
        <v>274</v>
      </c>
    </row>
    <row r="11016" spans="1:15" x14ac:dyDescent="0.35">
      <c r="A11016" t="s">
        <v>11817</v>
      </c>
      <c r="B11016" t="s">
        <v>11818</v>
      </c>
      <c r="C11016" t="s">
        <v>11188</v>
      </c>
      <c r="D11016" t="s">
        <v>293</v>
      </c>
      <c r="E11016" t="s">
        <v>306</v>
      </c>
      <c r="F11016" t="s">
        <v>11825</v>
      </c>
      <c r="G11016">
        <v>1</v>
      </c>
      <c r="H11016">
        <v>199.04</v>
      </c>
      <c r="I11016">
        <v>199.04</v>
      </c>
      <c r="J11016">
        <v>1</v>
      </c>
      <c r="K11016">
        <v>226.64</v>
      </c>
      <c r="L11016">
        <v>226.64</v>
      </c>
      <c r="M11016">
        <v>2</v>
      </c>
      <c r="N11016">
        <v>425.67999999999995</v>
      </c>
      <c r="O11016">
        <v>212.84</v>
      </c>
    </row>
    <row r="11017" spans="1:15" x14ac:dyDescent="0.35">
      <c r="A11017" t="s">
        <v>11817</v>
      </c>
      <c r="B11017" t="s">
        <v>11818</v>
      </c>
      <c r="C11017" t="s">
        <v>11188</v>
      </c>
      <c r="D11017" t="s">
        <v>293</v>
      </c>
      <c r="E11017" t="s">
        <v>308</v>
      </c>
      <c r="F11017" t="s">
        <v>11826</v>
      </c>
      <c r="G11017">
        <v>0</v>
      </c>
      <c r="H11017">
        <v>0</v>
      </c>
      <c r="I11017">
        <v>0</v>
      </c>
      <c r="J11017">
        <v>0</v>
      </c>
      <c r="K11017">
        <v>0</v>
      </c>
      <c r="L11017">
        <v>0</v>
      </c>
      <c r="M11017">
        <v>0</v>
      </c>
      <c r="N11017">
        <v>0</v>
      </c>
      <c r="O11017">
        <v>0</v>
      </c>
    </row>
    <row r="11018" spans="1:15" x14ac:dyDescent="0.35">
      <c r="A11018" t="s">
        <v>11817</v>
      </c>
      <c r="B11018" t="s">
        <v>11818</v>
      </c>
      <c r="C11018" t="s">
        <v>11188</v>
      </c>
      <c r="D11018" t="s">
        <v>293</v>
      </c>
      <c r="E11018" t="s">
        <v>310</v>
      </c>
      <c r="F11018" t="s">
        <v>11827</v>
      </c>
      <c r="G11018">
        <v>1268</v>
      </c>
      <c r="H11018">
        <v>288989.12999999995</v>
      </c>
      <c r="I11018">
        <v>227.91</v>
      </c>
      <c r="J11018">
        <v>443</v>
      </c>
      <c r="K11018">
        <v>106743.79</v>
      </c>
      <c r="L11018">
        <v>240.96</v>
      </c>
      <c r="M11018">
        <v>1711</v>
      </c>
      <c r="N11018">
        <v>395732.91999999993</v>
      </c>
      <c r="O11018">
        <v>231.29</v>
      </c>
    </row>
    <row r="11019" spans="1:15" x14ac:dyDescent="0.35">
      <c r="A11019" t="s">
        <v>11817</v>
      </c>
      <c r="B11019" t="s">
        <v>11818</v>
      </c>
      <c r="C11019" t="s">
        <v>11188</v>
      </c>
      <c r="D11019" t="s">
        <v>293</v>
      </c>
      <c r="E11019" t="s">
        <v>312</v>
      </c>
      <c r="F11019" t="s">
        <v>11828</v>
      </c>
      <c r="G11019">
        <v>1268</v>
      </c>
      <c r="H11019">
        <v>288989.12999999995</v>
      </c>
      <c r="I11019">
        <v>227.91</v>
      </c>
      <c r="J11019">
        <v>443</v>
      </c>
      <c r="K11019">
        <v>106743.79</v>
      </c>
      <c r="L11019">
        <v>240.96</v>
      </c>
      <c r="M11019">
        <v>1711</v>
      </c>
      <c r="N11019">
        <v>395732.91999999993</v>
      </c>
      <c r="O11019">
        <v>231.29</v>
      </c>
    </row>
    <row r="11020" spans="1:15" x14ac:dyDescent="0.35">
      <c r="A11020" t="s">
        <v>11817</v>
      </c>
      <c r="B11020" t="s">
        <v>11818</v>
      </c>
      <c r="C11020" t="s">
        <v>11188</v>
      </c>
      <c r="D11020" t="s">
        <v>314</v>
      </c>
      <c r="E11020" t="s">
        <v>294</v>
      </c>
      <c r="F11020" t="s">
        <v>11829</v>
      </c>
      <c r="G11020">
        <v>0</v>
      </c>
      <c r="H11020">
        <v>0</v>
      </c>
      <c r="I11020">
        <v>0</v>
      </c>
      <c r="J11020">
        <v>50</v>
      </c>
      <c r="K11020">
        <v>11494</v>
      </c>
      <c r="L11020">
        <v>229.88</v>
      </c>
      <c r="M11020">
        <v>50</v>
      </c>
      <c r="N11020">
        <v>11494</v>
      </c>
      <c r="O11020">
        <v>229.88</v>
      </c>
    </row>
    <row r="11021" spans="1:15" x14ac:dyDescent="0.35">
      <c r="A11021" t="s">
        <v>11817</v>
      </c>
      <c r="B11021" t="s">
        <v>11818</v>
      </c>
      <c r="C11021" t="s">
        <v>11188</v>
      </c>
      <c r="D11021" t="s">
        <v>314</v>
      </c>
      <c r="E11021" t="s">
        <v>296</v>
      </c>
      <c r="F11021" t="s">
        <v>11830</v>
      </c>
      <c r="G11021">
        <v>3</v>
      </c>
      <c r="H11021">
        <v>788.22</v>
      </c>
      <c r="I11021">
        <v>262.74</v>
      </c>
      <c r="J11021">
        <v>11</v>
      </c>
      <c r="K11021">
        <v>2413.29</v>
      </c>
      <c r="L11021">
        <v>219.39</v>
      </c>
      <c r="M11021">
        <v>14</v>
      </c>
      <c r="N11021">
        <v>3201.51</v>
      </c>
      <c r="O11021">
        <v>228.68</v>
      </c>
    </row>
    <row r="11022" spans="1:15" x14ac:dyDescent="0.35">
      <c r="A11022" t="s">
        <v>11817</v>
      </c>
      <c r="B11022" t="s">
        <v>11818</v>
      </c>
      <c r="C11022" t="s">
        <v>11188</v>
      </c>
      <c r="D11022" t="s">
        <v>314</v>
      </c>
      <c r="E11022" t="s">
        <v>298</v>
      </c>
      <c r="F11022" t="s">
        <v>11831</v>
      </c>
      <c r="G11022">
        <v>0</v>
      </c>
      <c r="H11022">
        <v>0</v>
      </c>
      <c r="I11022">
        <v>0</v>
      </c>
      <c r="J11022">
        <v>0</v>
      </c>
      <c r="K11022">
        <v>0</v>
      </c>
      <c r="L11022">
        <v>0</v>
      </c>
      <c r="M11022">
        <v>0</v>
      </c>
      <c r="N11022">
        <v>0</v>
      </c>
      <c r="O11022">
        <v>0</v>
      </c>
    </row>
    <row r="11023" spans="1:15" x14ac:dyDescent="0.35">
      <c r="A11023" t="s">
        <v>11817</v>
      </c>
      <c r="B11023" t="s">
        <v>11818</v>
      </c>
      <c r="C11023" t="s">
        <v>11188</v>
      </c>
      <c r="D11023" t="s">
        <v>314</v>
      </c>
      <c r="E11023" t="s">
        <v>300</v>
      </c>
      <c r="F11023" t="s">
        <v>11832</v>
      </c>
      <c r="G11023">
        <v>0</v>
      </c>
      <c r="H11023">
        <v>0</v>
      </c>
      <c r="I11023">
        <v>0</v>
      </c>
      <c r="J11023">
        <v>0</v>
      </c>
      <c r="K11023">
        <v>0</v>
      </c>
      <c r="L11023">
        <v>0</v>
      </c>
      <c r="M11023">
        <v>0</v>
      </c>
      <c r="N11023">
        <v>0</v>
      </c>
      <c r="O11023">
        <v>0</v>
      </c>
    </row>
    <row r="11024" spans="1:15" x14ac:dyDescent="0.35">
      <c r="A11024" t="s">
        <v>11817</v>
      </c>
      <c r="B11024" t="s">
        <v>11818</v>
      </c>
      <c r="C11024" t="s">
        <v>11188</v>
      </c>
      <c r="D11024" t="s">
        <v>314</v>
      </c>
      <c r="E11024" t="s">
        <v>306</v>
      </c>
      <c r="F11024" t="s">
        <v>11833</v>
      </c>
      <c r="G11024">
        <v>0</v>
      </c>
      <c r="H11024">
        <v>0</v>
      </c>
      <c r="I11024">
        <v>0</v>
      </c>
      <c r="J11024">
        <v>0</v>
      </c>
      <c r="K11024">
        <v>0</v>
      </c>
      <c r="L11024">
        <v>0</v>
      </c>
      <c r="M11024">
        <v>0</v>
      </c>
      <c r="N11024">
        <v>0</v>
      </c>
      <c r="O11024">
        <v>0</v>
      </c>
    </row>
    <row r="11025" spans="1:15" x14ac:dyDescent="0.35">
      <c r="A11025" t="s">
        <v>11817</v>
      </c>
      <c r="B11025" t="s">
        <v>11818</v>
      </c>
      <c r="C11025" t="s">
        <v>11188</v>
      </c>
      <c r="D11025" t="s">
        <v>314</v>
      </c>
      <c r="E11025" t="s">
        <v>308</v>
      </c>
      <c r="F11025" t="s">
        <v>11834</v>
      </c>
      <c r="G11025">
        <v>0</v>
      </c>
      <c r="H11025">
        <v>0</v>
      </c>
      <c r="I11025">
        <v>0</v>
      </c>
      <c r="J11025">
        <v>0</v>
      </c>
      <c r="K11025">
        <v>0</v>
      </c>
      <c r="L11025">
        <v>0</v>
      </c>
      <c r="M11025">
        <v>0</v>
      </c>
      <c r="N11025">
        <v>0</v>
      </c>
      <c r="O11025">
        <v>0</v>
      </c>
    </row>
    <row r="11026" spans="1:15" x14ac:dyDescent="0.35">
      <c r="A11026" t="s">
        <v>11817</v>
      </c>
      <c r="B11026" t="s">
        <v>11818</v>
      </c>
      <c r="C11026" t="s">
        <v>11188</v>
      </c>
      <c r="D11026" t="s">
        <v>314</v>
      </c>
      <c r="E11026" t="s">
        <v>312</v>
      </c>
      <c r="F11026" t="s">
        <v>11835</v>
      </c>
      <c r="G11026">
        <v>3</v>
      </c>
      <c r="H11026">
        <v>788.22</v>
      </c>
      <c r="I11026">
        <v>262.74</v>
      </c>
      <c r="J11026">
        <v>61</v>
      </c>
      <c r="K11026">
        <v>13907.29</v>
      </c>
      <c r="L11026">
        <v>227.99</v>
      </c>
      <c r="M11026">
        <v>64</v>
      </c>
      <c r="N11026">
        <v>14695.51</v>
      </c>
      <c r="O11026">
        <v>229.62</v>
      </c>
    </row>
    <row r="11027" spans="1:15" x14ac:dyDescent="0.35">
      <c r="A11027" t="s">
        <v>11817</v>
      </c>
      <c r="B11027" t="s">
        <v>11818</v>
      </c>
      <c r="C11027" t="s">
        <v>11188</v>
      </c>
      <c r="D11027" t="s">
        <v>314</v>
      </c>
      <c r="E11027" t="s">
        <v>310</v>
      </c>
      <c r="F11027" t="s">
        <v>11836</v>
      </c>
      <c r="G11027">
        <v>3</v>
      </c>
      <c r="H11027">
        <v>788.22</v>
      </c>
      <c r="I11027">
        <v>262.74</v>
      </c>
      <c r="J11027">
        <v>61</v>
      </c>
      <c r="K11027">
        <v>13907.29</v>
      </c>
      <c r="L11027">
        <v>227.99</v>
      </c>
      <c r="M11027">
        <v>64</v>
      </c>
      <c r="N11027">
        <v>14695.51</v>
      </c>
      <c r="O11027">
        <v>229.62</v>
      </c>
    </row>
    <row r="11028" spans="1:15" x14ac:dyDescent="0.35">
      <c r="A11028" t="s">
        <v>11817</v>
      </c>
      <c r="B11028" t="s">
        <v>11818</v>
      </c>
      <c r="C11028" t="s">
        <v>11188</v>
      </c>
      <c r="D11028" t="s">
        <v>323</v>
      </c>
      <c r="E11028" t="s">
        <v>294</v>
      </c>
      <c r="F11028" t="s">
        <v>11837</v>
      </c>
      <c r="G11028">
        <v>490</v>
      </c>
      <c r="H11028">
        <v>57501.679999999993</v>
      </c>
      <c r="I11028">
        <v>117.35</v>
      </c>
      <c r="J11028">
        <v>1929</v>
      </c>
      <c r="K11028">
        <v>201792.69</v>
      </c>
      <c r="L11028">
        <v>104.61</v>
      </c>
      <c r="M11028">
        <v>2419</v>
      </c>
      <c r="N11028">
        <v>259294.37</v>
      </c>
      <c r="O11028">
        <v>107.19</v>
      </c>
    </row>
    <row r="11029" spans="1:15" x14ac:dyDescent="0.35">
      <c r="A11029" t="s">
        <v>11817</v>
      </c>
      <c r="B11029" t="s">
        <v>11818</v>
      </c>
      <c r="C11029" t="s">
        <v>11188</v>
      </c>
      <c r="D11029" t="s">
        <v>323</v>
      </c>
      <c r="E11029" t="s">
        <v>296</v>
      </c>
      <c r="F11029" t="s">
        <v>11838</v>
      </c>
      <c r="G11029">
        <v>826</v>
      </c>
      <c r="H11029">
        <v>111527.23999999999</v>
      </c>
      <c r="I11029">
        <v>135.02000000000001</v>
      </c>
      <c r="J11029">
        <v>2917</v>
      </c>
      <c r="K11029">
        <v>342426.63</v>
      </c>
      <c r="L11029">
        <v>117.39</v>
      </c>
      <c r="M11029">
        <v>3743</v>
      </c>
      <c r="N11029">
        <v>453953.87</v>
      </c>
      <c r="O11029">
        <v>121.28</v>
      </c>
    </row>
    <row r="11030" spans="1:15" x14ac:dyDescent="0.35">
      <c r="A11030" t="s">
        <v>11817</v>
      </c>
      <c r="B11030" t="s">
        <v>11818</v>
      </c>
      <c r="C11030" t="s">
        <v>11188</v>
      </c>
      <c r="D11030" t="s">
        <v>323</v>
      </c>
      <c r="E11030" t="s">
        <v>298</v>
      </c>
      <c r="F11030" t="s">
        <v>11839</v>
      </c>
      <c r="G11030">
        <v>968</v>
      </c>
      <c r="H11030">
        <v>155062.88999999998</v>
      </c>
      <c r="I11030">
        <v>160.19</v>
      </c>
      <c r="J11030">
        <v>2473</v>
      </c>
      <c r="K11030">
        <v>345379.18</v>
      </c>
      <c r="L11030">
        <v>139.66</v>
      </c>
      <c r="M11030">
        <v>3441</v>
      </c>
      <c r="N11030">
        <v>500442.06999999995</v>
      </c>
      <c r="O11030">
        <v>145.44</v>
      </c>
    </row>
    <row r="11031" spans="1:15" x14ac:dyDescent="0.35">
      <c r="A11031" t="s">
        <v>11817</v>
      </c>
      <c r="B11031" t="s">
        <v>11818</v>
      </c>
      <c r="C11031" t="s">
        <v>11188</v>
      </c>
      <c r="D11031" t="s">
        <v>323</v>
      </c>
      <c r="E11031" t="s">
        <v>300</v>
      </c>
      <c r="F11031" t="s">
        <v>11840</v>
      </c>
      <c r="G11031">
        <v>127</v>
      </c>
      <c r="H11031">
        <v>22584.33</v>
      </c>
      <c r="I11031">
        <v>177.83</v>
      </c>
      <c r="J11031">
        <v>153</v>
      </c>
      <c r="K11031">
        <v>24816.6</v>
      </c>
      <c r="L11031">
        <v>162.19999999999999</v>
      </c>
      <c r="M11031">
        <v>280</v>
      </c>
      <c r="N11031">
        <v>47400.93</v>
      </c>
      <c r="O11031">
        <v>169.29</v>
      </c>
    </row>
    <row r="11032" spans="1:15" x14ac:dyDescent="0.35">
      <c r="A11032" t="s">
        <v>11817</v>
      </c>
      <c r="B11032" t="s">
        <v>11818</v>
      </c>
      <c r="C11032" t="s">
        <v>11188</v>
      </c>
      <c r="D11032" t="s">
        <v>323</v>
      </c>
      <c r="E11032" t="s">
        <v>302</v>
      </c>
      <c r="F11032" t="s">
        <v>11841</v>
      </c>
      <c r="G11032">
        <v>9</v>
      </c>
      <c r="H11032">
        <v>1815.93</v>
      </c>
      <c r="I11032">
        <v>201.77</v>
      </c>
      <c r="J11032">
        <v>14</v>
      </c>
      <c r="K11032">
        <v>2536.94</v>
      </c>
      <c r="L11032">
        <v>181.21</v>
      </c>
      <c r="M11032">
        <v>23</v>
      </c>
      <c r="N11032">
        <v>4352.87</v>
      </c>
      <c r="O11032">
        <v>189.26</v>
      </c>
    </row>
    <row r="11033" spans="1:15" x14ac:dyDescent="0.35">
      <c r="A11033" t="s">
        <v>11817</v>
      </c>
      <c r="B11033" t="s">
        <v>11818</v>
      </c>
      <c r="C11033" t="s">
        <v>11188</v>
      </c>
      <c r="D11033" t="s">
        <v>323</v>
      </c>
      <c r="E11033" t="s">
        <v>304</v>
      </c>
      <c r="F11033" t="s">
        <v>11842</v>
      </c>
      <c r="G11033">
        <v>0</v>
      </c>
      <c r="H11033">
        <v>0</v>
      </c>
      <c r="I11033">
        <v>0</v>
      </c>
      <c r="J11033">
        <v>0</v>
      </c>
      <c r="K11033">
        <v>0</v>
      </c>
      <c r="L11033">
        <v>0</v>
      </c>
      <c r="M11033">
        <v>0</v>
      </c>
      <c r="N11033">
        <v>0</v>
      </c>
      <c r="O11033">
        <v>0</v>
      </c>
    </row>
    <row r="11034" spans="1:15" x14ac:dyDescent="0.35">
      <c r="A11034" t="s">
        <v>11817</v>
      </c>
      <c r="B11034" t="s">
        <v>11818</v>
      </c>
      <c r="C11034" t="s">
        <v>11188</v>
      </c>
      <c r="D11034" t="s">
        <v>323</v>
      </c>
      <c r="E11034" t="s">
        <v>306</v>
      </c>
      <c r="F11034" t="s">
        <v>11843</v>
      </c>
      <c r="G11034">
        <v>8</v>
      </c>
      <c r="H11034">
        <v>859.98</v>
      </c>
      <c r="I11034">
        <v>107.5</v>
      </c>
      <c r="J11034">
        <v>249</v>
      </c>
      <c r="K11034">
        <v>23587.77</v>
      </c>
      <c r="L11034">
        <v>94.73</v>
      </c>
      <c r="M11034">
        <v>257</v>
      </c>
      <c r="N11034">
        <v>24447.75</v>
      </c>
      <c r="O11034">
        <v>95.13</v>
      </c>
    </row>
    <row r="11035" spans="1:15" x14ac:dyDescent="0.35">
      <c r="A11035" t="s">
        <v>11817</v>
      </c>
      <c r="B11035" t="s">
        <v>11818</v>
      </c>
      <c r="C11035" t="s">
        <v>11188</v>
      </c>
      <c r="D11035" t="s">
        <v>323</v>
      </c>
      <c r="E11035" t="s">
        <v>308</v>
      </c>
      <c r="F11035" t="s">
        <v>11844</v>
      </c>
      <c r="G11035">
        <v>0</v>
      </c>
      <c r="H11035">
        <v>0</v>
      </c>
      <c r="I11035">
        <v>0</v>
      </c>
      <c r="J11035">
        <v>0</v>
      </c>
      <c r="K11035">
        <v>0</v>
      </c>
      <c r="L11035">
        <v>0</v>
      </c>
      <c r="M11035">
        <v>0</v>
      </c>
      <c r="N11035">
        <v>0</v>
      </c>
      <c r="O11035">
        <v>0</v>
      </c>
    </row>
    <row r="11036" spans="1:15" x14ac:dyDescent="0.35">
      <c r="A11036" t="s">
        <v>11817</v>
      </c>
      <c r="B11036" t="s">
        <v>11818</v>
      </c>
      <c r="C11036" t="s">
        <v>11188</v>
      </c>
      <c r="D11036" t="s">
        <v>323</v>
      </c>
      <c r="E11036" t="s">
        <v>310</v>
      </c>
      <c r="F11036" t="s">
        <v>11845</v>
      </c>
      <c r="G11036">
        <v>2428</v>
      </c>
      <c r="H11036">
        <v>349352.04999999993</v>
      </c>
      <c r="I11036">
        <v>143.88</v>
      </c>
      <c r="J11036">
        <v>7735</v>
      </c>
      <c r="K11036">
        <v>940539.80999999994</v>
      </c>
      <c r="L11036">
        <v>121.6</v>
      </c>
      <c r="M11036">
        <v>10163</v>
      </c>
      <c r="N11036">
        <v>1289891.8599999999</v>
      </c>
      <c r="O11036">
        <v>126.92</v>
      </c>
    </row>
    <row r="11037" spans="1:15" x14ac:dyDescent="0.35">
      <c r="A11037" t="s">
        <v>11817</v>
      </c>
      <c r="B11037" t="s">
        <v>11818</v>
      </c>
      <c r="C11037" t="s">
        <v>11188</v>
      </c>
      <c r="D11037" t="s">
        <v>323</v>
      </c>
      <c r="E11037" t="s">
        <v>312</v>
      </c>
      <c r="F11037" t="s">
        <v>11846</v>
      </c>
      <c r="G11037">
        <v>2428</v>
      </c>
      <c r="H11037">
        <v>349352.04999999993</v>
      </c>
      <c r="I11037">
        <v>143.88</v>
      </c>
      <c r="J11037">
        <v>7735</v>
      </c>
      <c r="K11037">
        <v>940539.80999999994</v>
      </c>
      <c r="L11037">
        <v>121.6</v>
      </c>
      <c r="M11037">
        <v>10163</v>
      </c>
      <c r="N11037">
        <v>1289891.8599999999</v>
      </c>
      <c r="O11037">
        <v>126.92</v>
      </c>
    </row>
    <row r="11038" spans="1:15" x14ac:dyDescent="0.35">
      <c r="A11038" t="s">
        <v>11817</v>
      </c>
      <c r="B11038" t="s">
        <v>11818</v>
      </c>
      <c r="C11038" t="s">
        <v>11188</v>
      </c>
      <c r="D11038" t="s">
        <v>334</v>
      </c>
      <c r="E11038" t="s">
        <v>312</v>
      </c>
      <c r="F11038" t="s">
        <v>11847</v>
      </c>
      <c r="G11038">
        <v>4057</v>
      </c>
      <c r="H11038">
        <v>638341.17999999993</v>
      </c>
      <c r="I11038">
        <v>172.71</v>
      </c>
      <c r="J11038">
        <v>8178</v>
      </c>
      <c r="K11038">
        <v>1047283.6</v>
      </c>
      <c r="L11038">
        <v>128.06</v>
      </c>
      <c r="M11038">
        <v>12235</v>
      </c>
      <c r="N11038">
        <v>1685624.7799999998</v>
      </c>
      <c r="O11038">
        <v>141.96</v>
      </c>
    </row>
    <row r="11039" spans="1:15" x14ac:dyDescent="0.35">
      <c r="A11039" t="s">
        <v>11817</v>
      </c>
      <c r="B11039" t="s">
        <v>11818</v>
      </c>
      <c r="C11039" t="s">
        <v>11188</v>
      </c>
      <c r="D11039" t="s">
        <v>334</v>
      </c>
      <c r="E11039" t="s">
        <v>308</v>
      </c>
      <c r="F11039" t="s">
        <v>11848</v>
      </c>
      <c r="G11039">
        <v>290</v>
      </c>
      <c r="H11039">
        <v>0</v>
      </c>
      <c r="I11039">
        <v>0</v>
      </c>
      <c r="J11039">
        <v>0</v>
      </c>
      <c r="K11039">
        <v>0</v>
      </c>
      <c r="L11039">
        <v>0</v>
      </c>
      <c r="M11039">
        <v>290</v>
      </c>
      <c r="N11039">
        <v>0</v>
      </c>
      <c r="O11039">
        <v>0</v>
      </c>
    </row>
    <row r="11040" spans="1:15" x14ac:dyDescent="0.35">
      <c r="A11040" t="s">
        <v>11817</v>
      </c>
      <c r="B11040" t="s">
        <v>11818</v>
      </c>
      <c r="C11040" t="s">
        <v>11188</v>
      </c>
      <c r="D11040" t="s">
        <v>337</v>
      </c>
      <c r="E11040" t="s">
        <v>337</v>
      </c>
      <c r="F11040" t="s">
        <v>11849</v>
      </c>
      <c r="G11040">
        <v>1089</v>
      </c>
      <c r="J11040">
        <v>216</v>
      </c>
      <c r="M11040">
        <v>1305</v>
      </c>
    </row>
    <row r="11041" spans="1:15" x14ac:dyDescent="0.35">
      <c r="A11041" t="s">
        <v>11817</v>
      </c>
      <c r="B11041" t="s">
        <v>11818</v>
      </c>
      <c r="C11041" t="s">
        <v>11188</v>
      </c>
      <c r="D11041" t="s">
        <v>339</v>
      </c>
      <c r="E11041" t="s">
        <v>294</v>
      </c>
      <c r="F11041" t="s">
        <v>11850</v>
      </c>
      <c r="G11041">
        <v>455</v>
      </c>
      <c r="H11041">
        <v>60041.89</v>
      </c>
      <c r="I11041">
        <v>131.96</v>
      </c>
      <c r="J11041">
        <v>517</v>
      </c>
      <c r="K11041">
        <v>54982.95</v>
      </c>
      <c r="L11041">
        <v>106.35</v>
      </c>
      <c r="M11041">
        <v>972</v>
      </c>
      <c r="N11041">
        <v>115024.84</v>
      </c>
      <c r="O11041">
        <v>118.34</v>
      </c>
    </row>
    <row r="11042" spans="1:15" x14ac:dyDescent="0.35">
      <c r="A11042" t="s">
        <v>11817</v>
      </c>
      <c r="B11042" t="s">
        <v>11818</v>
      </c>
      <c r="C11042" t="s">
        <v>11188</v>
      </c>
      <c r="D11042" t="s">
        <v>339</v>
      </c>
      <c r="E11042" t="s">
        <v>296</v>
      </c>
      <c r="F11042" t="s">
        <v>11851</v>
      </c>
      <c r="G11042">
        <v>58</v>
      </c>
      <c r="H11042">
        <v>9041.83</v>
      </c>
      <c r="I11042">
        <v>155.88999999999999</v>
      </c>
      <c r="J11042">
        <v>9</v>
      </c>
      <c r="K11042">
        <v>1059.3899999999999</v>
      </c>
      <c r="L11042">
        <v>117.71</v>
      </c>
      <c r="M11042">
        <v>67</v>
      </c>
      <c r="N11042">
        <v>10101.219999999999</v>
      </c>
      <c r="O11042">
        <v>150.76</v>
      </c>
    </row>
    <row r="11043" spans="1:15" x14ac:dyDescent="0.35">
      <c r="A11043" t="s">
        <v>11817</v>
      </c>
      <c r="B11043" t="s">
        <v>11818</v>
      </c>
      <c r="C11043" t="s">
        <v>11188</v>
      </c>
      <c r="D11043" t="s">
        <v>339</v>
      </c>
      <c r="E11043" t="s">
        <v>298</v>
      </c>
      <c r="F11043" t="s">
        <v>11852</v>
      </c>
      <c r="G11043">
        <v>5</v>
      </c>
      <c r="H11043">
        <v>836.91</v>
      </c>
      <c r="I11043">
        <v>167.38</v>
      </c>
      <c r="J11043">
        <v>0</v>
      </c>
      <c r="K11043">
        <v>0</v>
      </c>
      <c r="L11043">
        <v>0</v>
      </c>
      <c r="M11043">
        <v>5</v>
      </c>
      <c r="N11043">
        <v>836.91</v>
      </c>
      <c r="O11043">
        <v>167.38</v>
      </c>
    </row>
    <row r="11044" spans="1:15" x14ac:dyDescent="0.35">
      <c r="A11044" t="s">
        <v>11817</v>
      </c>
      <c r="B11044" t="s">
        <v>11818</v>
      </c>
      <c r="C11044" t="s">
        <v>11188</v>
      </c>
      <c r="D11044" t="s">
        <v>339</v>
      </c>
      <c r="E11044" t="s">
        <v>300</v>
      </c>
      <c r="F11044" t="s">
        <v>11853</v>
      </c>
      <c r="G11044">
        <v>0</v>
      </c>
      <c r="H11044">
        <v>0</v>
      </c>
      <c r="I11044">
        <v>0</v>
      </c>
      <c r="J11044">
        <v>0</v>
      </c>
      <c r="K11044">
        <v>0</v>
      </c>
      <c r="L11044">
        <v>0</v>
      </c>
      <c r="M11044">
        <v>0</v>
      </c>
      <c r="N11044">
        <v>0</v>
      </c>
      <c r="O11044">
        <v>0</v>
      </c>
    </row>
    <row r="11045" spans="1:15" x14ac:dyDescent="0.35">
      <c r="A11045" t="s">
        <v>11817</v>
      </c>
      <c r="B11045" t="s">
        <v>11818</v>
      </c>
      <c r="C11045" t="s">
        <v>11188</v>
      </c>
      <c r="D11045" t="s">
        <v>339</v>
      </c>
      <c r="E11045" t="s">
        <v>306</v>
      </c>
      <c r="F11045" t="s">
        <v>11854</v>
      </c>
      <c r="G11045">
        <v>65</v>
      </c>
      <c r="H11045">
        <v>7365.65</v>
      </c>
      <c r="I11045">
        <v>113.32</v>
      </c>
      <c r="J11045">
        <v>23</v>
      </c>
      <c r="K11045">
        <v>2393.6099999999997</v>
      </c>
      <c r="L11045">
        <v>104.07</v>
      </c>
      <c r="M11045">
        <v>88</v>
      </c>
      <c r="N11045">
        <v>9759.2599999999984</v>
      </c>
      <c r="O11045">
        <v>110.9</v>
      </c>
    </row>
    <row r="11046" spans="1:15" x14ac:dyDescent="0.35">
      <c r="A11046" t="s">
        <v>11817</v>
      </c>
      <c r="B11046" t="s">
        <v>11818</v>
      </c>
      <c r="C11046" t="s">
        <v>11188</v>
      </c>
      <c r="D11046" t="s">
        <v>339</v>
      </c>
      <c r="E11046" t="s">
        <v>308</v>
      </c>
      <c r="F11046" t="s">
        <v>11855</v>
      </c>
      <c r="G11046">
        <v>61</v>
      </c>
      <c r="H11046">
        <v>10850.93</v>
      </c>
      <c r="I11046">
        <v>177.88</v>
      </c>
      <c r="J11046">
        <v>143</v>
      </c>
      <c r="K11046">
        <v>11401.390000000001</v>
      </c>
      <c r="L11046">
        <v>79.73</v>
      </c>
      <c r="M11046">
        <v>204</v>
      </c>
      <c r="N11046">
        <v>22252.32</v>
      </c>
      <c r="O11046">
        <v>109.08</v>
      </c>
    </row>
    <row r="11047" spans="1:15" x14ac:dyDescent="0.35">
      <c r="A11047" t="s">
        <v>11817</v>
      </c>
      <c r="B11047" t="s">
        <v>11818</v>
      </c>
      <c r="C11047" t="s">
        <v>11188</v>
      </c>
      <c r="D11047" t="s">
        <v>339</v>
      </c>
      <c r="E11047" t="s">
        <v>310</v>
      </c>
      <c r="F11047" t="s">
        <v>11856</v>
      </c>
      <c r="G11047">
        <v>644</v>
      </c>
      <c r="H11047">
        <v>88137.209999999992</v>
      </c>
      <c r="I11047">
        <v>136.86000000000001</v>
      </c>
      <c r="J11047">
        <v>692</v>
      </c>
      <c r="K11047">
        <v>69837.34</v>
      </c>
      <c r="L11047">
        <v>100.92</v>
      </c>
      <c r="M11047">
        <v>1336</v>
      </c>
      <c r="N11047">
        <v>157974.54999999999</v>
      </c>
      <c r="O11047">
        <v>118.24</v>
      </c>
    </row>
    <row r="11048" spans="1:15" x14ac:dyDescent="0.35">
      <c r="A11048" t="s">
        <v>11817</v>
      </c>
      <c r="B11048" t="s">
        <v>11818</v>
      </c>
      <c r="C11048" t="s">
        <v>11188</v>
      </c>
      <c r="D11048" t="s">
        <v>339</v>
      </c>
      <c r="E11048" t="s">
        <v>312</v>
      </c>
      <c r="F11048" t="s">
        <v>11857</v>
      </c>
      <c r="G11048">
        <v>583</v>
      </c>
      <c r="H11048">
        <v>77286.28</v>
      </c>
      <c r="I11048">
        <v>132.57</v>
      </c>
      <c r="J11048">
        <v>549</v>
      </c>
      <c r="K11048">
        <v>58435.95</v>
      </c>
      <c r="L11048">
        <v>106.44</v>
      </c>
      <c r="M11048">
        <v>1132</v>
      </c>
      <c r="N11048">
        <v>135722.22999999998</v>
      </c>
      <c r="O11048">
        <v>119.9</v>
      </c>
    </row>
    <row r="11049" spans="1:15" x14ac:dyDescent="0.35">
      <c r="A11049" t="s">
        <v>11817</v>
      </c>
      <c r="B11049" t="s">
        <v>11818</v>
      </c>
      <c r="C11049" t="s">
        <v>11188</v>
      </c>
      <c r="D11049" t="s">
        <v>348</v>
      </c>
      <c r="E11049" t="s">
        <v>349</v>
      </c>
      <c r="F11049" t="s">
        <v>11858</v>
      </c>
      <c r="G11049">
        <v>691</v>
      </c>
      <c r="H11049">
        <v>88925.43</v>
      </c>
      <c r="I11049">
        <v>137.44</v>
      </c>
      <c r="J11049">
        <v>753</v>
      </c>
      <c r="K11049">
        <v>83744.62999999999</v>
      </c>
      <c r="L11049">
        <v>111.21</v>
      </c>
      <c r="M11049">
        <v>1444</v>
      </c>
      <c r="N11049">
        <v>172670.06</v>
      </c>
      <c r="O11049">
        <v>123.34</v>
      </c>
    </row>
    <row r="11050" spans="1:15" x14ac:dyDescent="0.35">
      <c r="A11050" t="s">
        <v>11859</v>
      </c>
      <c r="B11050" t="s">
        <v>11860</v>
      </c>
      <c r="C11050" t="s">
        <v>11188</v>
      </c>
      <c r="D11050" t="s">
        <v>293</v>
      </c>
      <c r="E11050" t="s">
        <v>294</v>
      </c>
      <c r="F11050" t="s">
        <v>11861</v>
      </c>
      <c r="G11050">
        <v>317</v>
      </c>
      <c r="H11050">
        <v>64301.62</v>
      </c>
      <c r="I11050">
        <v>202.84</v>
      </c>
      <c r="J11050">
        <v>68</v>
      </c>
      <c r="K11050">
        <v>13170.92</v>
      </c>
      <c r="L11050">
        <v>193.69</v>
      </c>
      <c r="M11050">
        <v>385</v>
      </c>
      <c r="N11050">
        <v>77472.540000000008</v>
      </c>
      <c r="O11050">
        <v>201.23</v>
      </c>
    </row>
    <row r="11051" spans="1:15" x14ac:dyDescent="0.35">
      <c r="A11051" t="s">
        <v>11859</v>
      </c>
      <c r="B11051" t="s">
        <v>11860</v>
      </c>
      <c r="C11051" t="s">
        <v>11188</v>
      </c>
      <c r="D11051" t="s">
        <v>293</v>
      </c>
      <c r="E11051" t="s">
        <v>296</v>
      </c>
      <c r="F11051" t="s">
        <v>11862</v>
      </c>
      <c r="G11051">
        <v>534</v>
      </c>
      <c r="H11051">
        <v>127001.65</v>
      </c>
      <c r="I11051">
        <v>237.83</v>
      </c>
      <c r="J11051">
        <v>65</v>
      </c>
      <c r="K11051">
        <v>14183</v>
      </c>
      <c r="L11051">
        <v>218.2</v>
      </c>
      <c r="M11051">
        <v>599</v>
      </c>
      <c r="N11051">
        <v>141184.65</v>
      </c>
      <c r="O11051">
        <v>235.7</v>
      </c>
    </row>
    <row r="11052" spans="1:15" x14ac:dyDescent="0.35">
      <c r="A11052" t="s">
        <v>11859</v>
      </c>
      <c r="B11052" t="s">
        <v>11860</v>
      </c>
      <c r="C11052" t="s">
        <v>11188</v>
      </c>
      <c r="D11052" t="s">
        <v>293</v>
      </c>
      <c r="E11052" t="s">
        <v>298</v>
      </c>
      <c r="F11052" t="s">
        <v>11863</v>
      </c>
      <c r="G11052">
        <v>180</v>
      </c>
      <c r="H11052">
        <v>48691.78</v>
      </c>
      <c r="I11052">
        <v>270.51</v>
      </c>
      <c r="J11052">
        <v>86</v>
      </c>
      <c r="K11052">
        <v>18895.919999999998</v>
      </c>
      <c r="L11052">
        <v>219.72</v>
      </c>
      <c r="M11052">
        <v>266</v>
      </c>
      <c r="N11052">
        <v>67587.7</v>
      </c>
      <c r="O11052">
        <v>254.09</v>
      </c>
    </row>
    <row r="11053" spans="1:15" x14ac:dyDescent="0.35">
      <c r="A11053" t="s">
        <v>11859</v>
      </c>
      <c r="B11053" t="s">
        <v>11860</v>
      </c>
      <c r="C11053" t="s">
        <v>11188</v>
      </c>
      <c r="D11053" t="s">
        <v>293</v>
      </c>
      <c r="E11053" t="s">
        <v>300</v>
      </c>
      <c r="F11053" t="s">
        <v>11864</v>
      </c>
      <c r="G11053">
        <v>17</v>
      </c>
      <c r="H11053">
        <v>4396</v>
      </c>
      <c r="I11053">
        <v>258.58999999999997</v>
      </c>
      <c r="J11053">
        <v>39</v>
      </c>
      <c r="K11053">
        <v>8999.64</v>
      </c>
      <c r="L11053">
        <v>230.76</v>
      </c>
      <c r="M11053">
        <v>56</v>
      </c>
      <c r="N11053">
        <v>13395.64</v>
      </c>
      <c r="O11053">
        <v>239.21</v>
      </c>
    </row>
    <row r="11054" spans="1:15" x14ac:dyDescent="0.35">
      <c r="A11054" t="s">
        <v>11859</v>
      </c>
      <c r="B11054" t="s">
        <v>11860</v>
      </c>
      <c r="C11054" t="s">
        <v>11188</v>
      </c>
      <c r="D11054" t="s">
        <v>293</v>
      </c>
      <c r="E11054" t="s">
        <v>302</v>
      </c>
      <c r="F11054" t="s">
        <v>11865</v>
      </c>
      <c r="G11054">
        <v>0</v>
      </c>
      <c r="H11054">
        <v>0</v>
      </c>
      <c r="I11054">
        <v>0</v>
      </c>
      <c r="J11054">
        <v>0</v>
      </c>
      <c r="K11054">
        <v>0</v>
      </c>
      <c r="L11054">
        <v>0</v>
      </c>
      <c r="M11054">
        <v>0</v>
      </c>
      <c r="N11054">
        <v>0</v>
      </c>
      <c r="O11054">
        <v>0</v>
      </c>
    </row>
    <row r="11055" spans="1:15" x14ac:dyDescent="0.35">
      <c r="A11055" t="s">
        <v>11859</v>
      </c>
      <c r="B11055" t="s">
        <v>11860</v>
      </c>
      <c r="C11055" t="s">
        <v>11188</v>
      </c>
      <c r="D11055" t="s">
        <v>293</v>
      </c>
      <c r="E11055" t="s">
        <v>304</v>
      </c>
      <c r="F11055" t="s">
        <v>11866</v>
      </c>
      <c r="G11055">
        <v>0</v>
      </c>
      <c r="H11055">
        <v>0</v>
      </c>
      <c r="I11055">
        <v>0</v>
      </c>
      <c r="J11055">
        <v>0</v>
      </c>
      <c r="K11055">
        <v>0</v>
      </c>
      <c r="L11055">
        <v>0</v>
      </c>
      <c r="M11055">
        <v>0</v>
      </c>
      <c r="N11055">
        <v>0</v>
      </c>
      <c r="O11055">
        <v>0</v>
      </c>
    </row>
    <row r="11056" spans="1:15" x14ac:dyDescent="0.35">
      <c r="A11056" t="s">
        <v>11859</v>
      </c>
      <c r="B11056" t="s">
        <v>11860</v>
      </c>
      <c r="C11056" t="s">
        <v>11188</v>
      </c>
      <c r="D11056" t="s">
        <v>293</v>
      </c>
      <c r="E11056" t="s">
        <v>306</v>
      </c>
      <c r="F11056" t="s">
        <v>11867</v>
      </c>
      <c r="G11056">
        <v>10</v>
      </c>
      <c r="H11056">
        <v>2009.15</v>
      </c>
      <c r="I11056">
        <v>200.92</v>
      </c>
      <c r="J11056">
        <v>12</v>
      </c>
      <c r="K11056">
        <v>2058.2400000000002</v>
      </c>
      <c r="L11056">
        <v>171.52</v>
      </c>
      <c r="M11056">
        <v>22</v>
      </c>
      <c r="N11056">
        <v>4067.3900000000003</v>
      </c>
      <c r="O11056">
        <v>184.88</v>
      </c>
    </row>
    <row r="11057" spans="1:15" x14ac:dyDescent="0.35">
      <c r="A11057" t="s">
        <v>11859</v>
      </c>
      <c r="B11057" t="s">
        <v>11860</v>
      </c>
      <c r="C11057" t="s">
        <v>11188</v>
      </c>
      <c r="D11057" t="s">
        <v>293</v>
      </c>
      <c r="E11057" t="s">
        <v>308</v>
      </c>
      <c r="F11057" t="s">
        <v>11868</v>
      </c>
      <c r="G11057">
        <v>4</v>
      </c>
      <c r="H11057">
        <v>690.24</v>
      </c>
      <c r="I11057">
        <v>172.56</v>
      </c>
      <c r="J11057">
        <v>8</v>
      </c>
      <c r="K11057">
        <v>1190.8</v>
      </c>
      <c r="L11057">
        <v>148.85</v>
      </c>
      <c r="M11057">
        <v>12</v>
      </c>
      <c r="N11057">
        <v>1881.04</v>
      </c>
      <c r="O11057">
        <v>156.75</v>
      </c>
    </row>
    <row r="11058" spans="1:15" x14ac:dyDescent="0.35">
      <c r="A11058" t="s">
        <v>11859</v>
      </c>
      <c r="B11058" t="s">
        <v>11860</v>
      </c>
      <c r="C11058" t="s">
        <v>11188</v>
      </c>
      <c r="D11058" t="s">
        <v>293</v>
      </c>
      <c r="E11058" t="s">
        <v>310</v>
      </c>
      <c r="F11058" t="s">
        <v>11869</v>
      </c>
      <c r="G11058">
        <v>1062</v>
      </c>
      <c r="H11058">
        <v>247090.43999999997</v>
      </c>
      <c r="I11058">
        <v>232.67</v>
      </c>
      <c r="J11058">
        <v>278</v>
      </c>
      <c r="K11058">
        <v>58498.52</v>
      </c>
      <c r="L11058">
        <v>210.43</v>
      </c>
      <c r="M11058">
        <v>1340</v>
      </c>
      <c r="N11058">
        <v>305588.95999999996</v>
      </c>
      <c r="O11058">
        <v>228.05</v>
      </c>
    </row>
    <row r="11059" spans="1:15" x14ac:dyDescent="0.35">
      <c r="A11059" t="s">
        <v>11859</v>
      </c>
      <c r="B11059" t="s">
        <v>11860</v>
      </c>
      <c r="C11059" t="s">
        <v>11188</v>
      </c>
      <c r="D11059" t="s">
        <v>293</v>
      </c>
      <c r="E11059" t="s">
        <v>312</v>
      </c>
      <c r="F11059" t="s">
        <v>11870</v>
      </c>
      <c r="G11059">
        <v>1058</v>
      </c>
      <c r="H11059">
        <v>246400.19999999998</v>
      </c>
      <c r="I11059">
        <v>232.89</v>
      </c>
      <c r="J11059">
        <v>270</v>
      </c>
      <c r="K11059">
        <v>57307.719999999994</v>
      </c>
      <c r="L11059">
        <v>212.25</v>
      </c>
      <c r="M11059">
        <v>1328</v>
      </c>
      <c r="N11059">
        <v>303707.92</v>
      </c>
      <c r="O11059">
        <v>228.7</v>
      </c>
    </row>
    <row r="11060" spans="1:15" x14ac:dyDescent="0.35">
      <c r="A11060" t="s">
        <v>11859</v>
      </c>
      <c r="B11060" t="s">
        <v>11860</v>
      </c>
      <c r="C11060" t="s">
        <v>11188</v>
      </c>
      <c r="D11060" t="s">
        <v>314</v>
      </c>
      <c r="E11060" t="s">
        <v>294</v>
      </c>
      <c r="F11060" t="s">
        <v>11871</v>
      </c>
      <c r="G11060">
        <v>54</v>
      </c>
      <c r="H11060">
        <v>11319.48</v>
      </c>
      <c r="I11060">
        <v>209.62</v>
      </c>
      <c r="J11060">
        <v>145</v>
      </c>
      <c r="K11060">
        <v>34521.599999999999</v>
      </c>
      <c r="L11060">
        <v>238.08</v>
      </c>
      <c r="M11060">
        <v>199</v>
      </c>
      <c r="N11060">
        <v>45841.08</v>
      </c>
      <c r="O11060">
        <v>230.36</v>
      </c>
    </row>
    <row r="11061" spans="1:15" x14ac:dyDescent="0.35">
      <c r="A11061" t="s">
        <v>11859</v>
      </c>
      <c r="B11061" t="s">
        <v>11860</v>
      </c>
      <c r="C11061" t="s">
        <v>11188</v>
      </c>
      <c r="D11061" t="s">
        <v>314</v>
      </c>
      <c r="E11061" t="s">
        <v>296</v>
      </c>
      <c r="F11061" t="s">
        <v>11872</v>
      </c>
      <c r="G11061">
        <v>3</v>
      </c>
      <c r="H11061">
        <v>680.46</v>
      </c>
      <c r="I11061">
        <v>226.82</v>
      </c>
      <c r="J11061">
        <v>3</v>
      </c>
      <c r="K11061">
        <v>874.14</v>
      </c>
      <c r="L11061">
        <v>291.38</v>
      </c>
      <c r="M11061">
        <v>6</v>
      </c>
      <c r="N11061">
        <v>1554.6</v>
      </c>
      <c r="O11061">
        <v>259.10000000000002</v>
      </c>
    </row>
    <row r="11062" spans="1:15" x14ac:dyDescent="0.35">
      <c r="A11062" t="s">
        <v>11859</v>
      </c>
      <c r="B11062" t="s">
        <v>11860</v>
      </c>
      <c r="C11062" t="s">
        <v>11188</v>
      </c>
      <c r="D11062" t="s">
        <v>314</v>
      </c>
      <c r="E11062" t="s">
        <v>298</v>
      </c>
      <c r="F11062" t="s">
        <v>11873</v>
      </c>
      <c r="G11062">
        <v>0</v>
      </c>
      <c r="H11062">
        <v>0</v>
      </c>
      <c r="I11062">
        <v>0</v>
      </c>
      <c r="J11062">
        <v>0</v>
      </c>
      <c r="K11062">
        <v>0</v>
      </c>
      <c r="L11062">
        <v>0</v>
      </c>
      <c r="M11062">
        <v>0</v>
      </c>
      <c r="N11062">
        <v>0</v>
      </c>
      <c r="O11062">
        <v>0</v>
      </c>
    </row>
    <row r="11063" spans="1:15" x14ac:dyDescent="0.35">
      <c r="A11063" t="s">
        <v>11859</v>
      </c>
      <c r="B11063" t="s">
        <v>11860</v>
      </c>
      <c r="C11063" t="s">
        <v>11188</v>
      </c>
      <c r="D11063" t="s">
        <v>314</v>
      </c>
      <c r="E11063" t="s">
        <v>300</v>
      </c>
      <c r="F11063" t="s">
        <v>11874</v>
      </c>
      <c r="G11063">
        <v>0</v>
      </c>
      <c r="H11063">
        <v>0</v>
      </c>
      <c r="I11063">
        <v>0</v>
      </c>
      <c r="J11063">
        <v>0</v>
      </c>
      <c r="K11063">
        <v>0</v>
      </c>
      <c r="L11063">
        <v>0</v>
      </c>
      <c r="M11063">
        <v>0</v>
      </c>
      <c r="N11063">
        <v>0</v>
      </c>
      <c r="O11063">
        <v>0</v>
      </c>
    </row>
    <row r="11064" spans="1:15" x14ac:dyDescent="0.35">
      <c r="A11064" t="s">
        <v>11859</v>
      </c>
      <c r="B11064" t="s">
        <v>11860</v>
      </c>
      <c r="C11064" t="s">
        <v>11188</v>
      </c>
      <c r="D11064" t="s">
        <v>314</v>
      </c>
      <c r="E11064" t="s">
        <v>306</v>
      </c>
      <c r="F11064" t="s">
        <v>11875</v>
      </c>
      <c r="G11064">
        <v>0</v>
      </c>
      <c r="H11064">
        <v>0</v>
      </c>
      <c r="I11064">
        <v>0</v>
      </c>
      <c r="J11064">
        <v>0</v>
      </c>
      <c r="K11064">
        <v>0</v>
      </c>
      <c r="L11064">
        <v>0</v>
      </c>
      <c r="M11064">
        <v>0</v>
      </c>
      <c r="N11064">
        <v>0</v>
      </c>
      <c r="O11064">
        <v>0</v>
      </c>
    </row>
    <row r="11065" spans="1:15" x14ac:dyDescent="0.35">
      <c r="A11065" t="s">
        <v>11859</v>
      </c>
      <c r="B11065" t="s">
        <v>11860</v>
      </c>
      <c r="C11065" t="s">
        <v>11188</v>
      </c>
      <c r="D11065" t="s">
        <v>314</v>
      </c>
      <c r="E11065" t="s">
        <v>308</v>
      </c>
      <c r="F11065" t="s">
        <v>11876</v>
      </c>
      <c r="G11065">
        <v>0</v>
      </c>
      <c r="H11065">
        <v>0</v>
      </c>
      <c r="I11065">
        <v>0</v>
      </c>
      <c r="J11065">
        <v>0</v>
      </c>
      <c r="K11065">
        <v>0</v>
      </c>
      <c r="L11065">
        <v>0</v>
      </c>
      <c r="M11065">
        <v>0</v>
      </c>
      <c r="N11065">
        <v>0</v>
      </c>
      <c r="O11065">
        <v>0</v>
      </c>
    </row>
    <row r="11066" spans="1:15" x14ac:dyDescent="0.35">
      <c r="A11066" t="s">
        <v>11859</v>
      </c>
      <c r="B11066" t="s">
        <v>11860</v>
      </c>
      <c r="C11066" t="s">
        <v>11188</v>
      </c>
      <c r="D11066" t="s">
        <v>314</v>
      </c>
      <c r="E11066" t="s">
        <v>312</v>
      </c>
      <c r="F11066" t="s">
        <v>11877</v>
      </c>
      <c r="G11066">
        <v>57</v>
      </c>
      <c r="H11066">
        <v>11999.939999999999</v>
      </c>
      <c r="I11066">
        <v>210.53</v>
      </c>
      <c r="J11066">
        <v>148</v>
      </c>
      <c r="K11066">
        <v>35395.74</v>
      </c>
      <c r="L11066">
        <v>239.16</v>
      </c>
      <c r="M11066">
        <v>205</v>
      </c>
      <c r="N11066">
        <v>47395.679999999993</v>
      </c>
      <c r="O11066">
        <v>231.2</v>
      </c>
    </row>
    <row r="11067" spans="1:15" x14ac:dyDescent="0.35">
      <c r="A11067" t="s">
        <v>11859</v>
      </c>
      <c r="B11067" t="s">
        <v>11860</v>
      </c>
      <c r="C11067" t="s">
        <v>11188</v>
      </c>
      <c r="D11067" t="s">
        <v>314</v>
      </c>
      <c r="E11067" t="s">
        <v>310</v>
      </c>
      <c r="F11067" t="s">
        <v>11878</v>
      </c>
      <c r="G11067">
        <v>57</v>
      </c>
      <c r="H11067">
        <v>11999.939999999999</v>
      </c>
      <c r="I11067">
        <v>210.53</v>
      </c>
      <c r="J11067">
        <v>148</v>
      </c>
      <c r="K11067">
        <v>35395.74</v>
      </c>
      <c r="L11067">
        <v>239.16</v>
      </c>
      <c r="M11067">
        <v>205</v>
      </c>
      <c r="N11067">
        <v>47395.679999999993</v>
      </c>
      <c r="O11067">
        <v>231.2</v>
      </c>
    </row>
    <row r="11068" spans="1:15" x14ac:dyDescent="0.35">
      <c r="A11068" t="s">
        <v>11859</v>
      </c>
      <c r="B11068" t="s">
        <v>11860</v>
      </c>
      <c r="C11068" t="s">
        <v>11188</v>
      </c>
      <c r="D11068" t="s">
        <v>323</v>
      </c>
      <c r="E11068" t="s">
        <v>294</v>
      </c>
      <c r="F11068" t="s">
        <v>11879</v>
      </c>
      <c r="G11068">
        <v>928</v>
      </c>
      <c r="H11068">
        <v>116904.03</v>
      </c>
      <c r="I11068">
        <v>125.97</v>
      </c>
      <c r="J11068">
        <v>3365</v>
      </c>
      <c r="K11068">
        <v>390407.3</v>
      </c>
      <c r="L11068">
        <v>116.02</v>
      </c>
      <c r="M11068">
        <v>4293</v>
      </c>
      <c r="N11068">
        <v>507311.32999999996</v>
      </c>
      <c r="O11068">
        <v>118.17</v>
      </c>
    </row>
    <row r="11069" spans="1:15" x14ac:dyDescent="0.35">
      <c r="A11069" t="s">
        <v>11859</v>
      </c>
      <c r="B11069" t="s">
        <v>11860</v>
      </c>
      <c r="C11069" t="s">
        <v>11188</v>
      </c>
      <c r="D11069" t="s">
        <v>323</v>
      </c>
      <c r="E11069" t="s">
        <v>296</v>
      </c>
      <c r="F11069" t="s">
        <v>11880</v>
      </c>
      <c r="G11069">
        <v>2295</v>
      </c>
      <c r="H11069">
        <v>342767.12999999995</v>
      </c>
      <c r="I11069">
        <v>149.35</v>
      </c>
      <c r="J11069">
        <v>3379</v>
      </c>
      <c r="K11069">
        <v>451096.5</v>
      </c>
      <c r="L11069">
        <v>133.5</v>
      </c>
      <c r="M11069">
        <v>5674</v>
      </c>
      <c r="N11069">
        <v>793863.62999999989</v>
      </c>
      <c r="O11069">
        <v>139.91</v>
      </c>
    </row>
    <row r="11070" spans="1:15" x14ac:dyDescent="0.35">
      <c r="A11070" t="s">
        <v>11859</v>
      </c>
      <c r="B11070" t="s">
        <v>11860</v>
      </c>
      <c r="C11070" t="s">
        <v>11188</v>
      </c>
      <c r="D11070" t="s">
        <v>323</v>
      </c>
      <c r="E11070" t="s">
        <v>298</v>
      </c>
      <c r="F11070" t="s">
        <v>11881</v>
      </c>
      <c r="G11070">
        <v>1581</v>
      </c>
      <c r="H11070">
        <v>263158.78000000003</v>
      </c>
      <c r="I11070">
        <v>166.45</v>
      </c>
      <c r="J11070">
        <v>2659</v>
      </c>
      <c r="K11070">
        <v>419031.81</v>
      </c>
      <c r="L11070">
        <v>157.59</v>
      </c>
      <c r="M11070">
        <v>4240</v>
      </c>
      <c r="N11070">
        <v>682190.59000000008</v>
      </c>
      <c r="O11070">
        <v>160.88999999999999</v>
      </c>
    </row>
    <row r="11071" spans="1:15" x14ac:dyDescent="0.35">
      <c r="A11071" t="s">
        <v>11859</v>
      </c>
      <c r="B11071" t="s">
        <v>11860</v>
      </c>
      <c r="C11071" t="s">
        <v>11188</v>
      </c>
      <c r="D11071" t="s">
        <v>323</v>
      </c>
      <c r="E11071" t="s">
        <v>300</v>
      </c>
      <c r="F11071" t="s">
        <v>11882</v>
      </c>
      <c r="G11071">
        <v>259</v>
      </c>
      <c r="H11071">
        <v>47088.979999999989</v>
      </c>
      <c r="I11071">
        <v>181.81</v>
      </c>
      <c r="J11071">
        <v>214</v>
      </c>
      <c r="K11071">
        <v>37242.42</v>
      </c>
      <c r="L11071">
        <v>174.03</v>
      </c>
      <c r="M11071">
        <v>473</v>
      </c>
      <c r="N11071">
        <v>84331.4</v>
      </c>
      <c r="O11071">
        <v>178.29</v>
      </c>
    </row>
    <row r="11072" spans="1:15" x14ac:dyDescent="0.35">
      <c r="A11072" t="s">
        <v>11859</v>
      </c>
      <c r="B11072" t="s">
        <v>11860</v>
      </c>
      <c r="C11072" t="s">
        <v>11188</v>
      </c>
      <c r="D11072" t="s">
        <v>323</v>
      </c>
      <c r="E11072" t="s">
        <v>302</v>
      </c>
      <c r="F11072" t="s">
        <v>11883</v>
      </c>
      <c r="G11072">
        <v>29</v>
      </c>
      <c r="H11072">
        <v>5818.3</v>
      </c>
      <c r="I11072">
        <v>200.63</v>
      </c>
      <c r="J11072">
        <v>41</v>
      </c>
      <c r="K11072">
        <v>7553.4299999999994</v>
      </c>
      <c r="L11072">
        <v>184.23</v>
      </c>
      <c r="M11072">
        <v>70</v>
      </c>
      <c r="N11072">
        <v>13371.73</v>
      </c>
      <c r="O11072">
        <v>191.02</v>
      </c>
    </row>
    <row r="11073" spans="1:15" x14ac:dyDescent="0.35">
      <c r="A11073" t="s">
        <v>11859</v>
      </c>
      <c r="B11073" t="s">
        <v>11860</v>
      </c>
      <c r="C11073" t="s">
        <v>11188</v>
      </c>
      <c r="D11073" t="s">
        <v>323</v>
      </c>
      <c r="E11073" t="s">
        <v>304</v>
      </c>
      <c r="F11073" t="s">
        <v>11884</v>
      </c>
      <c r="G11073">
        <v>0</v>
      </c>
      <c r="H11073">
        <v>0</v>
      </c>
      <c r="I11073">
        <v>0</v>
      </c>
      <c r="J11073">
        <v>10</v>
      </c>
      <c r="K11073">
        <v>1981.8000000000002</v>
      </c>
      <c r="L11073">
        <v>198.18</v>
      </c>
      <c r="M11073">
        <v>10</v>
      </c>
      <c r="N11073">
        <v>1981.8000000000002</v>
      </c>
      <c r="O11073">
        <v>198.18</v>
      </c>
    </row>
    <row r="11074" spans="1:15" x14ac:dyDescent="0.35">
      <c r="A11074" t="s">
        <v>11859</v>
      </c>
      <c r="B11074" t="s">
        <v>11860</v>
      </c>
      <c r="C11074" t="s">
        <v>11188</v>
      </c>
      <c r="D11074" t="s">
        <v>323</v>
      </c>
      <c r="E11074" t="s">
        <v>306</v>
      </c>
      <c r="F11074" t="s">
        <v>11885</v>
      </c>
      <c r="G11074">
        <v>27</v>
      </c>
      <c r="H11074">
        <v>2778.34</v>
      </c>
      <c r="I11074">
        <v>102.9</v>
      </c>
      <c r="J11074">
        <v>244</v>
      </c>
      <c r="K11074">
        <v>24482.959999999999</v>
      </c>
      <c r="L11074">
        <v>100.34</v>
      </c>
      <c r="M11074">
        <v>271</v>
      </c>
      <c r="N11074">
        <v>27261.3</v>
      </c>
      <c r="O11074">
        <v>100.6</v>
      </c>
    </row>
    <row r="11075" spans="1:15" x14ac:dyDescent="0.35">
      <c r="A11075" t="s">
        <v>11859</v>
      </c>
      <c r="B11075" t="s">
        <v>11860</v>
      </c>
      <c r="C11075" t="s">
        <v>11188</v>
      </c>
      <c r="D11075" t="s">
        <v>323</v>
      </c>
      <c r="E11075" t="s">
        <v>308</v>
      </c>
      <c r="F11075" t="s">
        <v>11886</v>
      </c>
      <c r="G11075">
        <v>0</v>
      </c>
      <c r="H11075">
        <v>0</v>
      </c>
      <c r="I11075">
        <v>0</v>
      </c>
      <c r="J11075">
        <v>5</v>
      </c>
      <c r="K11075">
        <v>499.45</v>
      </c>
      <c r="L11075">
        <v>99.89</v>
      </c>
      <c r="M11075">
        <v>5</v>
      </c>
      <c r="N11075">
        <v>499.45</v>
      </c>
      <c r="O11075">
        <v>99.89</v>
      </c>
    </row>
    <row r="11076" spans="1:15" x14ac:dyDescent="0.35">
      <c r="A11076" t="s">
        <v>11859</v>
      </c>
      <c r="B11076" t="s">
        <v>11860</v>
      </c>
      <c r="C11076" t="s">
        <v>11188</v>
      </c>
      <c r="D11076" t="s">
        <v>323</v>
      </c>
      <c r="E11076" t="s">
        <v>310</v>
      </c>
      <c r="F11076" t="s">
        <v>11887</v>
      </c>
      <c r="G11076">
        <v>5119</v>
      </c>
      <c r="H11076">
        <v>778515.55999999994</v>
      </c>
      <c r="I11076">
        <v>152.08000000000001</v>
      </c>
      <c r="J11076">
        <v>9917</v>
      </c>
      <c r="K11076">
        <v>1332295.67</v>
      </c>
      <c r="L11076">
        <v>134.34</v>
      </c>
      <c r="M11076">
        <v>15036</v>
      </c>
      <c r="N11076">
        <v>2110811.23</v>
      </c>
      <c r="O11076">
        <v>140.38</v>
      </c>
    </row>
    <row r="11077" spans="1:15" x14ac:dyDescent="0.35">
      <c r="A11077" t="s">
        <v>11859</v>
      </c>
      <c r="B11077" t="s">
        <v>11860</v>
      </c>
      <c r="C11077" t="s">
        <v>11188</v>
      </c>
      <c r="D11077" t="s">
        <v>323</v>
      </c>
      <c r="E11077" t="s">
        <v>312</v>
      </c>
      <c r="F11077" t="s">
        <v>11888</v>
      </c>
      <c r="G11077">
        <v>5119</v>
      </c>
      <c r="H11077">
        <v>778515.55999999994</v>
      </c>
      <c r="I11077">
        <v>152.08000000000001</v>
      </c>
      <c r="J11077">
        <v>9912</v>
      </c>
      <c r="K11077">
        <v>1331796.22</v>
      </c>
      <c r="L11077">
        <v>134.36000000000001</v>
      </c>
      <c r="M11077">
        <v>15031</v>
      </c>
      <c r="N11077">
        <v>2110311.7799999998</v>
      </c>
      <c r="O11077">
        <v>140.4</v>
      </c>
    </row>
    <row r="11078" spans="1:15" x14ac:dyDescent="0.35">
      <c r="A11078" t="s">
        <v>11859</v>
      </c>
      <c r="B11078" t="s">
        <v>11860</v>
      </c>
      <c r="C11078" t="s">
        <v>11188</v>
      </c>
      <c r="D11078" t="s">
        <v>334</v>
      </c>
      <c r="E11078" t="s">
        <v>312</v>
      </c>
      <c r="F11078" t="s">
        <v>11889</v>
      </c>
      <c r="G11078">
        <v>6592</v>
      </c>
      <c r="H11078">
        <v>1024915.7599999999</v>
      </c>
      <c r="I11078">
        <v>165.92</v>
      </c>
      <c r="J11078">
        <v>10182</v>
      </c>
      <c r="K11078">
        <v>1389103.94</v>
      </c>
      <c r="L11078">
        <v>136.43</v>
      </c>
      <c r="M11078">
        <v>16774</v>
      </c>
      <c r="N11078">
        <v>2414019.6999999997</v>
      </c>
      <c r="O11078">
        <v>147.57</v>
      </c>
    </row>
    <row r="11079" spans="1:15" x14ac:dyDescent="0.35">
      <c r="A11079" t="s">
        <v>11859</v>
      </c>
      <c r="B11079" t="s">
        <v>11860</v>
      </c>
      <c r="C11079" t="s">
        <v>11188</v>
      </c>
      <c r="D11079" t="s">
        <v>334</v>
      </c>
      <c r="E11079" t="s">
        <v>308</v>
      </c>
      <c r="F11079" t="s">
        <v>11890</v>
      </c>
      <c r="G11079">
        <v>230</v>
      </c>
      <c r="H11079">
        <v>690.24</v>
      </c>
      <c r="I11079">
        <v>172.56</v>
      </c>
      <c r="J11079">
        <v>13</v>
      </c>
      <c r="K11079">
        <v>1690.25</v>
      </c>
      <c r="L11079">
        <v>130.02000000000001</v>
      </c>
      <c r="M11079">
        <v>243</v>
      </c>
      <c r="N11079">
        <v>2380.4899999999998</v>
      </c>
      <c r="O11079">
        <v>140.03</v>
      </c>
    </row>
    <row r="11080" spans="1:15" x14ac:dyDescent="0.35">
      <c r="A11080" t="s">
        <v>11859</v>
      </c>
      <c r="B11080" t="s">
        <v>11860</v>
      </c>
      <c r="C11080" t="s">
        <v>11188</v>
      </c>
      <c r="D11080" t="s">
        <v>337</v>
      </c>
      <c r="E11080" t="s">
        <v>337</v>
      </c>
      <c r="F11080" t="s">
        <v>11891</v>
      </c>
      <c r="G11080">
        <v>1295</v>
      </c>
      <c r="J11080">
        <v>89</v>
      </c>
      <c r="M11080">
        <v>1384</v>
      </c>
    </row>
    <row r="11081" spans="1:15" x14ac:dyDescent="0.35">
      <c r="A11081" t="s">
        <v>11859</v>
      </c>
      <c r="B11081" t="s">
        <v>11860</v>
      </c>
      <c r="C11081" t="s">
        <v>11188</v>
      </c>
      <c r="D11081" t="s">
        <v>339</v>
      </c>
      <c r="E11081" t="s">
        <v>294</v>
      </c>
      <c r="F11081" t="s">
        <v>11892</v>
      </c>
      <c r="G11081">
        <v>457</v>
      </c>
      <c r="H11081">
        <v>65026.999999999993</v>
      </c>
      <c r="I11081">
        <v>142.29</v>
      </c>
      <c r="J11081">
        <v>0</v>
      </c>
      <c r="K11081">
        <v>0</v>
      </c>
      <c r="L11081">
        <v>0</v>
      </c>
      <c r="M11081">
        <v>457</v>
      </c>
      <c r="N11081">
        <v>65026.999999999993</v>
      </c>
      <c r="O11081">
        <v>142.29</v>
      </c>
    </row>
    <row r="11082" spans="1:15" x14ac:dyDescent="0.35">
      <c r="A11082" t="s">
        <v>11859</v>
      </c>
      <c r="B11082" t="s">
        <v>11860</v>
      </c>
      <c r="C11082" t="s">
        <v>11188</v>
      </c>
      <c r="D11082" t="s">
        <v>339</v>
      </c>
      <c r="E11082" t="s">
        <v>296</v>
      </c>
      <c r="F11082" t="s">
        <v>11893</v>
      </c>
      <c r="G11082">
        <v>128</v>
      </c>
      <c r="H11082">
        <v>22837.11</v>
      </c>
      <c r="I11082">
        <v>178.41</v>
      </c>
      <c r="J11082">
        <v>0</v>
      </c>
      <c r="K11082">
        <v>0</v>
      </c>
      <c r="L11082">
        <v>0</v>
      </c>
      <c r="M11082">
        <v>128</v>
      </c>
      <c r="N11082">
        <v>22837.11</v>
      </c>
      <c r="O11082">
        <v>178.41</v>
      </c>
    </row>
    <row r="11083" spans="1:15" x14ac:dyDescent="0.35">
      <c r="A11083" t="s">
        <v>11859</v>
      </c>
      <c r="B11083" t="s">
        <v>11860</v>
      </c>
      <c r="C11083" t="s">
        <v>11188</v>
      </c>
      <c r="D11083" t="s">
        <v>339</v>
      </c>
      <c r="E11083" t="s">
        <v>298</v>
      </c>
      <c r="F11083" t="s">
        <v>11894</v>
      </c>
      <c r="G11083">
        <v>9</v>
      </c>
      <c r="H11083">
        <v>1573.08</v>
      </c>
      <c r="I11083">
        <v>174.79</v>
      </c>
      <c r="J11083">
        <v>0</v>
      </c>
      <c r="K11083">
        <v>0</v>
      </c>
      <c r="L11083">
        <v>0</v>
      </c>
      <c r="M11083">
        <v>9</v>
      </c>
      <c r="N11083">
        <v>1573.08</v>
      </c>
      <c r="O11083">
        <v>174.79</v>
      </c>
    </row>
    <row r="11084" spans="1:15" x14ac:dyDescent="0.35">
      <c r="A11084" t="s">
        <v>11859</v>
      </c>
      <c r="B11084" t="s">
        <v>11860</v>
      </c>
      <c r="C11084" t="s">
        <v>11188</v>
      </c>
      <c r="D11084" t="s">
        <v>339</v>
      </c>
      <c r="E11084" t="s">
        <v>300</v>
      </c>
      <c r="F11084" t="s">
        <v>11895</v>
      </c>
      <c r="G11084">
        <v>0</v>
      </c>
      <c r="H11084">
        <v>0</v>
      </c>
      <c r="I11084">
        <v>0</v>
      </c>
      <c r="J11084">
        <v>0</v>
      </c>
      <c r="K11084">
        <v>0</v>
      </c>
      <c r="L11084">
        <v>0</v>
      </c>
      <c r="M11084">
        <v>0</v>
      </c>
      <c r="N11084">
        <v>0</v>
      </c>
      <c r="O11084">
        <v>0</v>
      </c>
    </row>
    <row r="11085" spans="1:15" x14ac:dyDescent="0.35">
      <c r="A11085" t="s">
        <v>11859</v>
      </c>
      <c r="B11085" t="s">
        <v>11860</v>
      </c>
      <c r="C11085" t="s">
        <v>11188</v>
      </c>
      <c r="D11085" t="s">
        <v>339</v>
      </c>
      <c r="E11085" t="s">
        <v>306</v>
      </c>
      <c r="F11085" t="s">
        <v>11896</v>
      </c>
      <c r="G11085">
        <v>218</v>
      </c>
      <c r="H11085">
        <v>24814.940000000002</v>
      </c>
      <c r="I11085">
        <v>113.83</v>
      </c>
      <c r="J11085">
        <v>0</v>
      </c>
      <c r="K11085">
        <v>0</v>
      </c>
      <c r="L11085">
        <v>0</v>
      </c>
      <c r="M11085">
        <v>218</v>
      </c>
      <c r="N11085">
        <v>24814.940000000002</v>
      </c>
      <c r="O11085">
        <v>113.83</v>
      </c>
    </row>
    <row r="11086" spans="1:15" x14ac:dyDescent="0.35">
      <c r="A11086" t="s">
        <v>11859</v>
      </c>
      <c r="B11086" t="s">
        <v>11860</v>
      </c>
      <c r="C11086" t="s">
        <v>11188</v>
      </c>
      <c r="D11086" t="s">
        <v>339</v>
      </c>
      <c r="E11086" t="s">
        <v>308</v>
      </c>
      <c r="F11086" t="s">
        <v>11897</v>
      </c>
      <c r="G11086">
        <v>172</v>
      </c>
      <c r="H11086">
        <v>25024.149999999998</v>
      </c>
      <c r="I11086">
        <v>145.49</v>
      </c>
      <c r="J11086">
        <v>13</v>
      </c>
      <c r="K11086">
        <v>782.73</v>
      </c>
      <c r="L11086">
        <v>60.21</v>
      </c>
      <c r="M11086">
        <v>185</v>
      </c>
      <c r="N11086">
        <v>25806.879999999997</v>
      </c>
      <c r="O11086">
        <v>139.5</v>
      </c>
    </row>
    <row r="11087" spans="1:15" x14ac:dyDescent="0.35">
      <c r="A11087" t="s">
        <v>11859</v>
      </c>
      <c r="B11087" t="s">
        <v>11860</v>
      </c>
      <c r="C11087" t="s">
        <v>11188</v>
      </c>
      <c r="D11087" t="s">
        <v>339</v>
      </c>
      <c r="E11087" t="s">
        <v>310</v>
      </c>
      <c r="F11087" t="s">
        <v>11898</v>
      </c>
      <c r="G11087">
        <v>984</v>
      </c>
      <c r="H11087">
        <v>139276.28</v>
      </c>
      <c r="I11087">
        <v>141.54</v>
      </c>
      <c r="J11087">
        <v>13</v>
      </c>
      <c r="K11087">
        <v>782.73</v>
      </c>
      <c r="L11087">
        <v>60.21</v>
      </c>
      <c r="M11087">
        <v>997</v>
      </c>
      <c r="N11087">
        <v>140059.01</v>
      </c>
      <c r="O11087">
        <v>140.47999999999999</v>
      </c>
    </row>
    <row r="11088" spans="1:15" x14ac:dyDescent="0.35">
      <c r="A11088" t="s">
        <v>11859</v>
      </c>
      <c r="B11088" t="s">
        <v>11860</v>
      </c>
      <c r="C11088" t="s">
        <v>11188</v>
      </c>
      <c r="D11088" t="s">
        <v>339</v>
      </c>
      <c r="E11088" t="s">
        <v>312</v>
      </c>
      <c r="F11088" t="s">
        <v>11899</v>
      </c>
      <c r="G11088">
        <v>812</v>
      </c>
      <c r="H11088">
        <v>114252.12999999999</v>
      </c>
      <c r="I11088">
        <v>140.69999999999999</v>
      </c>
      <c r="J11088">
        <v>0</v>
      </c>
      <c r="K11088">
        <v>0</v>
      </c>
      <c r="L11088">
        <v>0</v>
      </c>
      <c r="M11088">
        <v>812</v>
      </c>
      <c r="N11088">
        <v>114252.12999999999</v>
      </c>
      <c r="O11088">
        <v>140.69999999999999</v>
      </c>
    </row>
    <row r="11089" spans="1:15" x14ac:dyDescent="0.35">
      <c r="A11089" t="s">
        <v>11859</v>
      </c>
      <c r="B11089" t="s">
        <v>11860</v>
      </c>
      <c r="C11089" t="s">
        <v>11188</v>
      </c>
      <c r="D11089" t="s">
        <v>348</v>
      </c>
      <c r="E11089" t="s">
        <v>349</v>
      </c>
      <c r="F11089" t="s">
        <v>11900</v>
      </c>
      <c r="G11089">
        <v>1090</v>
      </c>
      <c r="H11089">
        <v>151276.22</v>
      </c>
      <c r="I11089">
        <v>145.32</v>
      </c>
      <c r="J11089">
        <v>161</v>
      </c>
      <c r="K11089">
        <v>36178.47</v>
      </c>
      <c r="L11089">
        <v>224.71</v>
      </c>
      <c r="M11089">
        <v>1251</v>
      </c>
      <c r="N11089">
        <v>187454.69</v>
      </c>
      <c r="O11089">
        <v>155.94999999999999</v>
      </c>
    </row>
    <row r="11090" spans="1:15" x14ac:dyDescent="0.35">
      <c r="A11090" t="s">
        <v>11901</v>
      </c>
      <c r="B11090" t="s">
        <v>11902</v>
      </c>
      <c r="C11090" t="s">
        <v>11188</v>
      </c>
      <c r="D11090" t="s">
        <v>293</v>
      </c>
      <c r="E11090" t="s">
        <v>294</v>
      </c>
      <c r="F11090" t="s">
        <v>11903</v>
      </c>
      <c r="G11090">
        <v>515</v>
      </c>
      <c r="H11090">
        <v>106842.93000000002</v>
      </c>
      <c r="I11090">
        <v>207.46</v>
      </c>
      <c r="J11090">
        <v>33</v>
      </c>
      <c r="K11090">
        <v>7122.0599999999995</v>
      </c>
      <c r="L11090">
        <v>215.82</v>
      </c>
      <c r="M11090">
        <v>548</v>
      </c>
      <c r="N11090">
        <v>113964.99000000002</v>
      </c>
      <c r="O11090">
        <v>207.97</v>
      </c>
    </row>
    <row r="11091" spans="1:15" x14ac:dyDescent="0.35">
      <c r="A11091" t="s">
        <v>11901</v>
      </c>
      <c r="B11091" t="s">
        <v>11902</v>
      </c>
      <c r="C11091" t="s">
        <v>11188</v>
      </c>
      <c r="D11091" t="s">
        <v>293</v>
      </c>
      <c r="E11091" t="s">
        <v>296</v>
      </c>
      <c r="F11091" t="s">
        <v>11904</v>
      </c>
      <c r="G11091">
        <v>912</v>
      </c>
      <c r="H11091">
        <v>225625.11</v>
      </c>
      <c r="I11091">
        <v>247.4</v>
      </c>
      <c r="J11091">
        <v>67</v>
      </c>
      <c r="K11091">
        <v>15307.49</v>
      </c>
      <c r="L11091">
        <v>228.47</v>
      </c>
      <c r="M11091">
        <v>979</v>
      </c>
      <c r="N11091">
        <v>240932.59999999998</v>
      </c>
      <c r="O11091">
        <v>246.1</v>
      </c>
    </row>
    <row r="11092" spans="1:15" x14ac:dyDescent="0.35">
      <c r="A11092" t="s">
        <v>11901</v>
      </c>
      <c r="B11092" t="s">
        <v>11902</v>
      </c>
      <c r="C11092" t="s">
        <v>11188</v>
      </c>
      <c r="D11092" t="s">
        <v>293</v>
      </c>
      <c r="E11092" t="s">
        <v>298</v>
      </c>
      <c r="F11092" t="s">
        <v>11905</v>
      </c>
      <c r="G11092">
        <v>310</v>
      </c>
      <c r="H11092">
        <v>85374.49</v>
      </c>
      <c r="I11092">
        <v>275.39999999999998</v>
      </c>
      <c r="J11092">
        <v>4</v>
      </c>
      <c r="K11092">
        <v>964.76</v>
      </c>
      <c r="L11092">
        <v>241.19</v>
      </c>
      <c r="M11092">
        <v>314</v>
      </c>
      <c r="N11092">
        <v>86339.25</v>
      </c>
      <c r="O11092">
        <v>274.97000000000003</v>
      </c>
    </row>
    <row r="11093" spans="1:15" x14ac:dyDescent="0.35">
      <c r="A11093" t="s">
        <v>11901</v>
      </c>
      <c r="B11093" t="s">
        <v>11902</v>
      </c>
      <c r="C11093" t="s">
        <v>11188</v>
      </c>
      <c r="D11093" t="s">
        <v>293</v>
      </c>
      <c r="E11093" t="s">
        <v>300</v>
      </c>
      <c r="F11093" t="s">
        <v>11906</v>
      </c>
      <c r="G11093">
        <v>16</v>
      </c>
      <c r="H11093">
        <v>4031.07</v>
      </c>
      <c r="I11093">
        <v>251.94</v>
      </c>
      <c r="J11093">
        <v>0</v>
      </c>
      <c r="K11093">
        <v>0</v>
      </c>
      <c r="L11093">
        <v>0</v>
      </c>
      <c r="M11093">
        <v>16</v>
      </c>
      <c r="N11093">
        <v>4031.07</v>
      </c>
      <c r="O11093">
        <v>251.94</v>
      </c>
    </row>
    <row r="11094" spans="1:15" x14ac:dyDescent="0.35">
      <c r="A11094" t="s">
        <v>11901</v>
      </c>
      <c r="B11094" t="s">
        <v>11902</v>
      </c>
      <c r="C11094" t="s">
        <v>11188</v>
      </c>
      <c r="D11094" t="s">
        <v>293</v>
      </c>
      <c r="E11094" t="s">
        <v>302</v>
      </c>
      <c r="F11094" t="s">
        <v>11907</v>
      </c>
      <c r="G11094">
        <v>4</v>
      </c>
      <c r="H11094">
        <v>1083.73</v>
      </c>
      <c r="I11094">
        <v>270.93</v>
      </c>
      <c r="J11094">
        <v>0</v>
      </c>
      <c r="K11094">
        <v>0</v>
      </c>
      <c r="L11094">
        <v>0</v>
      </c>
      <c r="M11094">
        <v>4</v>
      </c>
      <c r="N11094">
        <v>1083.73</v>
      </c>
      <c r="O11094">
        <v>270.93</v>
      </c>
    </row>
    <row r="11095" spans="1:15" x14ac:dyDescent="0.35">
      <c r="A11095" t="s">
        <v>11901</v>
      </c>
      <c r="B11095" t="s">
        <v>11902</v>
      </c>
      <c r="C11095" t="s">
        <v>11188</v>
      </c>
      <c r="D11095" t="s">
        <v>293</v>
      </c>
      <c r="E11095" t="s">
        <v>304</v>
      </c>
      <c r="F11095" t="s">
        <v>11908</v>
      </c>
      <c r="G11095">
        <v>0</v>
      </c>
      <c r="H11095">
        <v>0</v>
      </c>
      <c r="I11095">
        <v>0</v>
      </c>
      <c r="J11095">
        <v>0</v>
      </c>
      <c r="K11095">
        <v>0</v>
      </c>
      <c r="L11095">
        <v>0</v>
      </c>
      <c r="M11095">
        <v>0</v>
      </c>
      <c r="N11095">
        <v>0</v>
      </c>
      <c r="O11095">
        <v>0</v>
      </c>
    </row>
    <row r="11096" spans="1:15" x14ac:dyDescent="0.35">
      <c r="A11096" t="s">
        <v>11901</v>
      </c>
      <c r="B11096" t="s">
        <v>11902</v>
      </c>
      <c r="C11096" t="s">
        <v>11188</v>
      </c>
      <c r="D11096" t="s">
        <v>293</v>
      </c>
      <c r="E11096" t="s">
        <v>306</v>
      </c>
      <c r="F11096" t="s">
        <v>11909</v>
      </c>
      <c r="G11096">
        <v>6</v>
      </c>
      <c r="H11096">
        <v>1152.74</v>
      </c>
      <c r="I11096">
        <v>192.12</v>
      </c>
      <c r="J11096">
        <v>0</v>
      </c>
      <c r="K11096">
        <v>0</v>
      </c>
      <c r="L11096">
        <v>0</v>
      </c>
      <c r="M11096">
        <v>6</v>
      </c>
      <c r="N11096">
        <v>1152.74</v>
      </c>
      <c r="O11096">
        <v>192.12</v>
      </c>
    </row>
    <row r="11097" spans="1:15" x14ac:dyDescent="0.35">
      <c r="A11097" t="s">
        <v>11901</v>
      </c>
      <c r="B11097" t="s">
        <v>11902</v>
      </c>
      <c r="C11097" t="s">
        <v>11188</v>
      </c>
      <c r="D11097" t="s">
        <v>293</v>
      </c>
      <c r="E11097" t="s">
        <v>308</v>
      </c>
      <c r="F11097" t="s">
        <v>11910</v>
      </c>
      <c r="G11097">
        <v>0</v>
      </c>
      <c r="H11097">
        <v>0</v>
      </c>
      <c r="I11097">
        <v>0</v>
      </c>
      <c r="J11097">
        <v>0</v>
      </c>
      <c r="K11097">
        <v>0</v>
      </c>
      <c r="L11097">
        <v>0</v>
      </c>
      <c r="M11097">
        <v>0</v>
      </c>
      <c r="N11097">
        <v>0</v>
      </c>
      <c r="O11097">
        <v>0</v>
      </c>
    </row>
    <row r="11098" spans="1:15" x14ac:dyDescent="0.35">
      <c r="A11098" t="s">
        <v>11901</v>
      </c>
      <c r="B11098" t="s">
        <v>11902</v>
      </c>
      <c r="C11098" t="s">
        <v>11188</v>
      </c>
      <c r="D11098" t="s">
        <v>293</v>
      </c>
      <c r="E11098" t="s">
        <v>310</v>
      </c>
      <c r="F11098" t="s">
        <v>11911</v>
      </c>
      <c r="G11098">
        <v>1763</v>
      </c>
      <c r="H11098">
        <v>424110.07</v>
      </c>
      <c r="I11098">
        <v>240.56</v>
      </c>
      <c r="J11098">
        <v>104</v>
      </c>
      <c r="K11098">
        <v>23394.309999999998</v>
      </c>
      <c r="L11098">
        <v>224.95</v>
      </c>
      <c r="M11098">
        <v>1867</v>
      </c>
      <c r="N11098">
        <v>447504.38</v>
      </c>
      <c r="O11098">
        <v>239.69</v>
      </c>
    </row>
    <row r="11099" spans="1:15" x14ac:dyDescent="0.35">
      <c r="A11099" t="s">
        <v>11901</v>
      </c>
      <c r="B11099" t="s">
        <v>11902</v>
      </c>
      <c r="C11099" t="s">
        <v>11188</v>
      </c>
      <c r="D11099" t="s">
        <v>293</v>
      </c>
      <c r="E11099" t="s">
        <v>312</v>
      </c>
      <c r="F11099" t="s">
        <v>11912</v>
      </c>
      <c r="G11099">
        <v>1763</v>
      </c>
      <c r="H11099">
        <v>424110.07</v>
      </c>
      <c r="I11099">
        <v>240.56</v>
      </c>
      <c r="J11099">
        <v>104</v>
      </c>
      <c r="K11099">
        <v>23394.309999999998</v>
      </c>
      <c r="L11099">
        <v>224.95</v>
      </c>
      <c r="M11099">
        <v>1867</v>
      </c>
      <c r="N11099">
        <v>447504.38</v>
      </c>
      <c r="O11099">
        <v>239.69</v>
      </c>
    </row>
    <row r="11100" spans="1:15" x14ac:dyDescent="0.35">
      <c r="A11100" t="s">
        <v>11901</v>
      </c>
      <c r="B11100" t="s">
        <v>11902</v>
      </c>
      <c r="C11100" t="s">
        <v>11188</v>
      </c>
      <c r="D11100" t="s">
        <v>314</v>
      </c>
      <c r="E11100" t="s">
        <v>294</v>
      </c>
      <c r="F11100" t="s">
        <v>11913</v>
      </c>
      <c r="G11100">
        <v>98</v>
      </c>
      <c r="H11100">
        <v>25499.360000000001</v>
      </c>
      <c r="I11100">
        <v>260.2</v>
      </c>
      <c r="J11100">
        <v>0</v>
      </c>
      <c r="K11100">
        <v>0</v>
      </c>
      <c r="L11100">
        <v>0</v>
      </c>
      <c r="M11100">
        <v>98</v>
      </c>
      <c r="N11100">
        <v>25499.360000000001</v>
      </c>
      <c r="O11100">
        <v>260.2</v>
      </c>
    </row>
    <row r="11101" spans="1:15" x14ac:dyDescent="0.35">
      <c r="A11101" t="s">
        <v>11901</v>
      </c>
      <c r="B11101" t="s">
        <v>11902</v>
      </c>
      <c r="C11101" t="s">
        <v>11188</v>
      </c>
      <c r="D11101" t="s">
        <v>314</v>
      </c>
      <c r="E11101" t="s">
        <v>296</v>
      </c>
      <c r="F11101" t="s">
        <v>11914</v>
      </c>
      <c r="G11101">
        <v>11</v>
      </c>
      <c r="H11101">
        <v>3393.76</v>
      </c>
      <c r="I11101">
        <v>308.52</v>
      </c>
      <c r="J11101">
        <v>0</v>
      </c>
      <c r="K11101">
        <v>0</v>
      </c>
      <c r="L11101">
        <v>0</v>
      </c>
      <c r="M11101">
        <v>11</v>
      </c>
      <c r="N11101">
        <v>3393.76</v>
      </c>
      <c r="O11101">
        <v>308.52</v>
      </c>
    </row>
    <row r="11102" spans="1:15" x14ac:dyDescent="0.35">
      <c r="A11102" t="s">
        <v>11901</v>
      </c>
      <c r="B11102" t="s">
        <v>11902</v>
      </c>
      <c r="C11102" t="s">
        <v>11188</v>
      </c>
      <c r="D11102" t="s">
        <v>314</v>
      </c>
      <c r="E11102" t="s">
        <v>298</v>
      </c>
      <c r="F11102" t="s">
        <v>11915</v>
      </c>
      <c r="G11102">
        <v>0</v>
      </c>
      <c r="H11102">
        <v>0</v>
      </c>
      <c r="I11102">
        <v>0</v>
      </c>
      <c r="J11102">
        <v>0</v>
      </c>
      <c r="K11102">
        <v>0</v>
      </c>
      <c r="L11102">
        <v>0</v>
      </c>
      <c r="M11102">
        <v>0</v>
      </c>
      <c r="N11102">
        <v>0</v>
      </c>
      <c r="O11102">
        <v>0</v>
      </c>
    </row>
    <row r="11103" spans="1:15" x14ac:dyDescent="0.35">
      <c r="A11103" t="s">
        <v>11901</v>
      </c>
      <c r="B11103" t="s">
        <v>11902</v>
      </c>
      <c r="C11103" t="s">
        <v>11188</v>
      </c>
      <c r="D11103" t="s">
        <v>314</v>
      </c>
      <c r="E11103" t="s">
        <v>300</v>
      </c>
      <c r="F11103" t="s">
        <v>11916</v>
      </c>
      <c r="G11103">
        <v>0</v>
      </c>
      <c r="H11103">
        <v>0</v>
      </c>
      <c r="I11103">
        <v>0</v>
      </c>
      <c r="J11103">
        <v>0</v>
      </c>
      <c r="K11103">
        <v>0</v>
      </c>
      <c r="L11103">
        <v>0</v>
      </c>
      <c r="M11103">
        <v>0</v>
      </c>
      <c r="N11103">
        <v>0</v>
      </c>
      <c r="O11103">
        <v>0</v>
      </c>
    </row>
    <row r="11104" spans="1:15" x14ac:dyDescent="0.35">
      <c r="A11104" t="s">
        <v>11901</v>
      </c>
      <c r="B11104" t="s">
        <v>11902</v>
      </c>
      <c r="C11104" t="s">
        <v>11188</v>
      </c>
      <c r="D11104" t="s">
        <v>314</v>
      </c>
      <c r="E11104" t="s">
        <v>306</v>
      </c>
      <c r="F11104" t="s">
        <v>11917</v>
      </c>
      <c r="G11104">
        <v>0</v>
      </c>
      <c r="H11104">
        <v>0</v>
      </c>
      <c r="I11104">
        <v>0</v>
      </c>
      <c r="J11104">
        <v>0</v>
      </c>
      <c r="K11104">
        <v>0</v>
      </c>
      <c r="L11104">
        <v>0</v>
      </c>
      <c r="M11104">
        <v>0</v>
      </c>
      <c r="N11104">
        <v>0</v>
      </c>
      <c r="O11104">
        <v>0</v>
      </c>
    </row>
    <row r="11105" spans="1:15" x14ac:dyDescent="0.35">
      <c r="A11105" t="s">
        <v>11901</v>
      </c>
      <c r="B11105" t="s">
        <v>11902</v>
      </c>
      <c r="C11105" t="s">
        <v>11188</v>
      </c>
      <c r="D11105" t="s">
        <v>314</v>
      </c>
      <c r="E11105" t="s">
        <v>308</v>
      </c>
      <c r="F11105" t="s">
        <v>11918</v>
      </c>
      <c r="G11105">
        <v>0</v>
      </c>
      <c r="H11105">
        <v>0</v>
      </c>
      <c r="I11105">
        <v>0</v>
      </c>
      <c r="J11105">
        <v>0</v>
      </c>
      <c r="K11105">
        <v>0</v>
      </c>
      <c r="L11105">
        <v>0</v>
      </c>
      <c r="M11105">
        <v>0</v>
      </c>
      <c r="N11105">
        <v>0</v>
      </c>
      <c r="O11105">
        <v>0</v>
      </c>
    </row>
    <row r="11106" spans="1:15" x14ac:dyDescent="0.35">
      <c r="A11106" t="s">
        <v>11901</v>
      </c>
      <c r="B11106" t="s">
        <v>11902</v>
      </c>
      <c r="C11106" t="s">
        <v>11188</v>
      </c>
      <c r="D11106" t="s">
        <v>314</v>
      </c>
      <c r="E11106" t="s">
        <v>312</v>
      </c>
      <c r="F11106" t="s">
        <v>11919</v>
      </c>
      <c r="G11106">
        <v>109</v>
      </c>
      <c r="H11106">
        <v>28893.120000000003</v>
      </c>
      <c r="I11106">
        <v>265.07</v>
      </c>
      <c r="J11106">
        <v>0</v>
      </c>
      <c r="K11106">
        <v>0</v>
      </c>
      <c r="L11106">
        <v>0</v>
      </c>
      <c r="M11106">
        <v>109</v>
      </c>
      <c r="N11106">
        <v>28893.120000000003</v>
      </c>
      <c r="O11106">
        <v>265.07</v>
      </c>
    </row>
    <row r="11107" spans="1:15" x14ac:dyDescent="0.35">
      <c r="A11107" t="s">
        <v>11901</v>
      </c>
      <c r="B11107" t="s">
        <v>11902</v>
      </c>
      <c r="C11107" t="s">
        <v>11188</v>
      </c>
      <c r="D11107" t="s">
        <v>314</v>
      </c>
      <c r="E11107" t="s">
        <v>310</v>
      </c>
      <c r="F11107" t="s">
        <v>11920</v>
      </c>
      <c r="G11107">
        <v>109</v>
      </c>
      <c r="H11107">
        <v>28893.120000000003</v>
      </c>
      <c r="I11107">
        <v>265.07</v>
      </c>
      <c r="J11107">
        <v>0</v>
      </c>
      <c r="K11107">
        <v>0</v>
      </c>
      <c r="L11107">
        <v>0</v>
      </c>
      <c r="M11107">
        <v>109</v>
      </c>
      <c r="N11107">
        <v>28893.120000000003</v>
      </c>
      <c r="O11107">
        <v>265.07</v>
      </c>
    </row>
    <row r="11108" spans="1:15" x14ac:dyDescent="0.35">
      <c r="A11108" t="s">
        <v>11901</v>
      </c>
      <c r="B11108" t="s">
        <v>11902</v>
      </c>
      <c r="C11108" t="s">
        <v>11188</v>
      </c>
      <c r="D11108" t="s">
        <v>323</v>
      </c>
      <c r="E11108" t="s">
        <v>294</v>
      </c>
      <c r="F11108" t="s">
        <v>11921</v>
      </c>
      <c r="G11108">
        <v>1130</v>
      </c>
      <c r="H11108">
        <v>147062.47999999998</v>
      </c>
      <c r="I11108">
        <v>130.13999999999999</v>
      </c>
      <c r="J11108">
        <v>3182</v>
      </c>
      <c r="K11108">
        <v>352947.44</v>
      </c>
      <c r="L11108">
        <v>110.92</v>
      </c>
      <c r="M11108">
        <v>4312</v>
      </c>
      <c r="N11108">
        <v>500009.92</v>
      </c>
      <c r="O11108">
        <v>115.96</v>
      </c>
    </row>
    <row r="11109" spans="1:15" x14ac:dyDescent="0.35">
      <c r="A11109" t="s">
        <v>11901</v>
      </c>
      <c r="B11109" t="s">
        <v>11902</v>
      </c>
      <c r="C11109" t="s">
        <v>11188</v>
      </c>
      <c r="D11109" t="s">
        <v>323</v>
      </c>
      <c r="E11109" t="s">
        <v>296</v>
      </c>
      <c r="F11109" t="s">
        <v>11922</v>
      </c>
      <c r="G11109">
        <v>2428</v>
      </c>
      <c r="H11109">
        <v>363299.6</v>
      </c>
      <c r="I11109">
        <v>149.63</v>
      </c>
      <c r="J11109">
        <v>4794</v>
      </c>
      <c r="K11109">
        <v>613967.57999999996</v>
      </c>
      <c r="L11109">
        <v>128.07</v>
      </c>
      <c r="M11109">
        <v>7222</v>
      </c>
      <c r="N11109">
        <v>977267.17999999993</v>
      </c>
      <c r="O11109">
        <v>135.32</v>
      </c>
    </row>
    <row r="11110" spans="1:15" x14ac:dyDescent="0.35">
      <c r="A11110" t="s">
        <v>11901</v>
      </c>
      <c r="B11110" t="s">
        <v>11902</v>
      </c>
      <c r="C11110" t="s">
        <v>11188</v>
      </c>
      <c r="D11110" t="s">
        <v>323</v>
      </c>
      <c r="E11110" t="s">
        <v>298</v>
      </c>
      <c r="F11110" t="s">
        <v>11923</v>
      </c>
      <c r="G11110">
        <v>1865</v>
      </c>
      <c r="H11110">
        <v>310344.37</v>
      </c>
      <c r="I11110">
        <v>166.4</v>
      </c>
      <c r="J11110">
        <v>3830</v>
      </c>
      <c r="K11110">
        <v>567759.20000000007</v>
      </c>
      <c r="L11110">
        <v>148.24</v>
      </c>
      <c r="M11110">
        <v>5695</v>
      </c>
      <c r="N11110">
        <v>878103.57000000007</v>
      </c>
      <c r="O11110">
        <v>154.19</v>
      </c>
    </row>
    <row r="11111" spans="1:15" x14ac:dyDescent="0.35">
      <c r="A11111" t="s">
        <v>11901</v>
      </c>
      <c r="B11111" t="s">
        <v>11902</v>
      </c>
      <c r="C11111" t="s">
        <v>11188</v>
      </c>
      <c r="D11111" t="s">
        <v>323</v>
      </c>
      <c r="E11111" t="s">
        <v>300</v>
      </c>
      <c r="F11111" t="s">
        <v>11924</v>
      </c>
      <c r="G11111">
        <v>346</v>
      </c>
      <c r="H11111">
        <v>63895.630000000005</v>
      </c>
      <c r="I11111">
        <v>184.67</v>
      </c>
      <c r="J11111">
        <v>284</v>
      </c>
      <c r="K11111">
        <v>47328.6</v>
      </c>
      <c r="L11111">
        <v>166.65</v>
      </c>
      <c r="M11111">
        <v>630</v>
      </c>
      <c r="N11111">
        <v>111224.23000000001</v>
      </c>
      <c r="O11111">
        <v>176.55</v>
      </c>
    </row>
    <row r="11112" spans="1:15" x14ac:dyDescent="0.35">
      <c r="A11112" t="s">
        <v>11901</v>
      </c>
      <c r="B11112" t="s">
        <v>11902</v>
      </c>
      <c r="C11112" t="s">
        <v>11188</v>
      </c>
      <c r="D11112" t="s">
        <v>323</v>
      </c>
      <c r="E11112" t="s">
        <v>302</v>
      </c>
      <c r="F11112" t="s">
        <v>11925</v>
      </c>
      <c r="G11112">
        <v>41</v>
      </c>
      <c r="H11112">
        <v>8292.5499999999993</v>
      </c>
      <c r="I11112">
        <v>202.26</v>
      </c>
      <c r="J11112">
        <v>38</v>
      </c>
      <c r="K11112">
        <v>7096.5</v>
      </c>
      <c r="L11112">
        <v>186.75</v>
      </c>
      <c r="M11112">
        <v>79</v>
      </c>
      <c r="N11112">
        <v>15389.05</v>
      </c>
      <c r="O11112">
        <v>194.8</v>
      </c>
    </row>
    <row r="11113" spans="1:15" x14ac:dyDescent="0.35">
      <c r="A11113" t="s">
        <v>11901</v>
      </c>
      <c r="B11113" t="s">
        <v>11902</v>
      </c>
      <c r="C11113" t="s">
        <v>11188</v>
      </c>
      <c r="D11113" t="s">
        <v>323</v>
      </c>
      <c r="E11113" t="s">
        <v>304</v>
      </c>
      <c r="F11113" t="s">
        <v>11926</v>
      </c>
      <c r="G11113">
        <v>2</v>
      </c>
      <c r="H11113">
        <v>436.17999999999995</v>
      </c>
      <c r="I11113">
        <v>218.09</v>
      </c>
      <c r="J11113">
        <v>8</v>
      </c>
      <c r="K11113">
        <v>1693.84</v>
      </c>
      <c r="L11113">
        <v>211.73</v>
      </c>
      <c r="M11113">
        <v>10</v>
      </c>
      <c r="N11113">
        <v>2130.02</v>
      </c>
      <c r="O11113">
        <v>213</v>
      </c>
    </row>
    <row r="11114" spans="1:15" x14ac:dyDescent="0.35">
      <c r="A11114" t="s">
        <v>11901</v>
      </c>
      <c r="B11114" t="s">
        <v>11902</v>
      </c>
      <c r="C11114" t="s">
        <v>11188</v>
      </c>
      <c r="D11114" t="s">
        <v>323</v>
      </c>
      <c r="E11114" t="s">
        <v>306</v>
      </c>
      <c r="F11114" t="s">
        <v>11927</v>
      </c>
      <c r="G11114">
        <v>74</v>
      </c>
      <c r="H11114">
        <v>8246.7300000000014</v>
      </c>
      <c r="I11114">
        <v>111.44</v>
      </c>
      <c r="J11114">
        <v>274</v>
      </c>
      <c r="K11114">
        <v>28575.460000000003</v>
      </c>
      <c r="L11114">
        <v>104.29</v>
      </c>
      <c r="M11114">
        <v>348</v>
      </c>
      <c r="N11114">
        <v>36822.19</v>
      </c>
      <c r="O11114">
        <v>105.81</v>
      </c>
    </row>
    <row r="11115" spans="1:15" x14ac:dyDescent="0.35">
      <c r="A11115" t="s">
        <v>11901</v>
      </c>
      <c r="B11115" t="s">
        <v>11902</v>
      </c>
      <c r="C11115" t="s">
        <v>11188</v>
      </c>
      <c r="D11115" t="s">
        <v>323</v>
      </c>
      <c r="E11115" t="s">
        <v>308</v>
      </c>
      <c r="F11115" t="s">
        <v>11928</v>
      </c>
      <c r="G11115">
        <v>0</v>
      </c>
      <c r="H11115">
        <v>0</v>
      </c>
      <c r="I11115">
        <v>0</v>
      </c>
      <c r="J11115">
        <v>0</v>
      </c>
      <c r="K11115">
        <v>0</v>
      </c>
      <c r="L11115">
        <v>0</v>
      </c>
      <c r="M11115">
        <v>0</v>
      </c>
      <c r="N11115">
        <v>0</v>
      </c>
      <c r="O11115">
        <v>0</v>
      </c>
    </row>
    <row r="11116" spans="1:15" x14ac:dyDescent="0.35">
      <c r="A11116" t="s">
        <v>11901</v>
      </c>
      <c r="B11116" t="s">
        <v>11902</v>
      </c>
      <c r="C11116" t="s">
        <v>11188</v>
      </c>
      <c r="D11116" t="s">
        <v>323</v>
      </c>
      <c r="E11116" t="s">
        <v>310</v>
      </c>
      <c r="F11116" t="s">
        <v>11929</v>
      </c>
      <c r="G11116">
        <v>5886</v>
      </c>
      <c r="H11116">
        <v>901577.54</v>
      </c>
      <c r="I11116">
        <v>153.16999999999999</v>
      </c>
      <c r="J11116">
        <v>12410</v>
      </c>
      <c r="K11116">
        <v>1619368.6200000003</v>
      </c>
      <c r="L11116">
        <v>130.49</v>
      </c>
      <c r="M11116">
        <v>18296</v>
      </c>
      <c r="N11116">
        <v>2520946.16</v>
      </c>
      <c r="O11116">
        <v>137.79</v>
      </c>
    </row>
    <row r="11117" spans="1:15" x14ac:dyDescent="0.35">
      <c r="A11117" t="s">
        <v>11901</v>
      </c>
      <c r="B11117" t="s">
        <v>11902</v>
      </c>
      <c r="C11117" t="s">
        <v>11188</v>
      </c>
      <c r="D11117" t="s">
        <v>323</v>
      </c>
      <c r="E11117" t="s">
        <v>312</v>
      </c>
      <c r="F11117" t="s">
        <v>11930</v>
      </c>
      <c r="G11117">
        <v>5886</v>
      </c>
      <c r="H11117">
        <v>901577.54</v>
      </c>
      <c r="I11117">
        <v>153.16999999999999</v>
      </c>
      <c r="J11117">
        <v>12410</v>
      </c>
      <c r="K11117">
        <v>1619368.6200000003</v>
      </c>
      <c r="L11117">
        <v>130.49</v>
      </c>
      <c r="M11117">
        <v>18296</v>
      </c>
      <c r="N11117">
        <v>2520946.16</v>
      </c>
      <c r="O11117">
        <v>137.79</v>
      </c>
    </row>
    <row r="11118" spans="1:15" x14ac:dyDescent="0.35">
      <c r="A11118" t="s">
        <v>11901</v>
      </c>
      <c r="B11118" t="s">
        <v>11902</v>
      </c>
      <c r="C11118" t="s">
        <v>11188</v>
      </c>
      <c r="D11118" t="s">
        <v>334</v>
      </c>
      <c r="E11118" t="s">
        <v>312</v>
      </c>
      <c r="F11118" t="s">
        <v>11931</v>
      </c>
      <c r="G11118">
        <v>8570</v>
      </c>
      <c r="H11118">
        <v>1325687.6099999999</v>
      </c>
      <c r="I11118">
        <v>173.32</v>
      </c>
      <c r="J11118">
        <v>12514</v>
      </c>
      <c r="K11118">
        <v>1642762.9300000002</v>
      </c>
      <c r="L11118">
        <v>131.27000000000001</v>
      </c>
      <c r="M11118">
        <v>21084</v>
      </c>
      <c r="N11118">
        <v>2968450.54</v>
      </c>
      <c r="O11118">
        <v>147.22</v>
      </c>
    </row>
    <row r="11119" spans="1:15" x14ac:dyDescent="0.35">
      <c r="A11119" t="s">
        <v>11901</v>
      </c>
      <c r="B11119" t="s">
        <v>11902</v>
      </c>
      <c r="C11119" t="s">
        <v>11188</v>
      </c>
      <c r="D11119" t="s">
        <v>334</v>
      </c>
      <c r="E11119" t="s">
        <v>308</v>
      </c>
      <c r="F11119" t="s">
        <v>11932</v>
      </c>
      <c r="G11119">
        <v>97</v>
      </c>
      <c r="H11119">
        <v>0</v>
      </c>
      <c r="I11119">
        <v>0</v>
      </c>
      <c r="J11119">
        <v>0</v>
      </c>
      <c r="K11119">
        <v>0</v>
      </c>
      <c r="L11119">
        <v>0</v>
      </c>
      <c r="M11119">
        <v>97</v>
      </c>
      <c r="N11119">
        <v>0</v>
      </c>
      <c r="O11119">
        <v>0</v>
      </c>
    </row>
    <row r="11120" spans="1:15" x14ac:dyDescent="0.35">
      <c r="A11120" t="s">
        <v>11901</v>
      </c>
      <c r="B11120" t="s">
        <v>11902</v>
      </c>
      <c r="C11120" t="s">
        <v>11188</v>
      </c>
      <c r="D11120" t="s">
        <v>337</v>
      </c>
      <c r="E11120" t="s">
        <v>337</v>
      </c>
      <c r="F11120" t="s">
        <v>11933</v>
      </c>
      <c r="G11120">
        <v>2336</v>
      </c>
      <c r="J11120">
        <v>67</v>
      </c>
      <c r="M11120">
        <v>2403</v>
      </c>
    </row>
    <row r="11121" spans="1:15" x14ac:dyDescent="0.35">
      <c r="A11121" t="s">
        <v>11901</v>
      </c>
      <c r="B11121" t="s">
        <v>11902</v>
      </c>
      <c r="C11121" t="s">
        <v>11188</v>
      </c>
      <c r="D11121" t="s">
        <v>339</v>
      </c>
      <c r="E11121" t="s">
        <v>294</v>
      </c>
      <c r="F11121" t="s">
        <v>11934</v>
      </c>
      <c r="G11121">
        <v>118</v>
      </c>
      <c r="H11121">
        <v>19020.440000000002</v>
      </c>
      <c r="I11121">
        <v>161.19</v>
      </c>
      <c r="J11121">
        <v>839</v>
      </c>
      <c r="K11121">
        <v>94278.430000000008</v>
      </c>
      <c r="L11121">
        <v>112.37</v>
      </c>
      <c r="M11121">
        <v>957</v>
      </c>
      <c r="N11121">
        <v>113298.87000000001</v>
      </c>
      <c r="O11121">
        <v>118.39</v>
      </c>
    </row>
    <row r="11122" spans="1:15" x14ac:dyDescent="0.35">
      <c r="A11122" t="s">
        <v>11901</v>
      </c>
      <c r="B11122" t="s">
        <v>11902</v>
      </c>
      <c r="C11122" t="s">
        <v>11188</v>
      </c>
      <c r="D11122" t="s">
        <v>339</v>
      </c>
      <c r="E11122" t="s">
        <v>296</v>
      </c>
      <c r="F11122" t="s">
        <v>11935</v>
      </c>
      <c r="G11122">
        <v>11</v>
      </c>
      <c r="H11122">
        <v>2074.6400000000003</v>
      </c>
      <c r="I11122">
        <v>188.6</v>
      </c>
      <c r="J11122">
        <v>16</v>
      </c>
      <c r="K11122">
        <v>2193.44</v>
      </c>
      <c r="L11122">
        <v>137.09</v>
      </c>
      <c r="M11122">
        <v>27</v>
      </c>
      <c r="N11122">
        <v>4268.08</v>
      </c>
      <c r="O11122">
        <v>158.08000000000001</v>
      </c>
    </row>
    <row r="11123" spans="1:15" x14ac:dyDescent="0.35">
      <c r="A11123" t="s">
        <v>11901</v>
      </c>
      <c r="B11123" t="s">
        <v>11902</v>
      </c>
      <c r="C11123" t="s">
        <v>11188</v>
      </c>
      <c r="D11123" t="s">
        <v>339</v>
      </c>
      <c r="E11123" t="s">
        <v>298</v>
      </c>
      <c r="F11123" t="s">
        <v>11936</v>
      </c>
      <c r="G11123">
        <v>0</v>
      </c>
      <c r="H11123">
        <v>0</v>
      </c>
      <c r="I11123">
        <v>0</v>
      </c>
      <c r="J11123">
        <v>1</v>
      </c>
      <c r="K11123">
        <v>155.52000000000001</v>
      </c>
      <c r="L11123">
        <v>155.52000000000001</v>
      </c>
      <c r="M11123">
        <v>1</v>
      </c>
      <c r="N11123">
        <v>155.52000000000001</v>
      </c>
      <c r="O11123">
        <v>155.52000000000001</v>
      </c>
    </row>
    <row r="11124" spans="1:15" x14ac:dyDescent="0.35">
      <c r="A11124" t="s">
        <v>11901</v>
      </c>
      <c r="B11124" t="s">
        <v>11902</v>
      </c>
      <c r="C11124" t="s">
        <v>11188</v>
      </c>
      <c r="D11124" t="s">
        <v>339</v>
      </c>
      <c r="E11124" t="s">
        <v>300</v>
      </c>
      <c r="F11124" t="s">
        <v>11937</v>
      </c>
      <c r="G11124">
        <v>0</v>
      </c>
      <c r="H11124">
        <v>0</v>
      </c>
      <c r="I11124">
        <v>0</v>
      </c>
      <c r="J11124">
        <v>0</v>
      </c>
      <c r="K11124">
        <v>0</v>
      </c>
      <c r="L11124">
        <v>0</v>
      </c>
      <c r="M11124">
        <v>0</v>
      </c>
      <c r="N11124">
        <v>0</v>
      </c>
      <c r="O11124">
        <v>0</v>
      </c>
    </row>
    <row r="11125" spans="1:15" x14ac:dyDescent="0.35">
      <c r="A11125" t="s">
        <v>11901</v>
      </c>
      <c r="B11125" t="s">
        <v>11902</v>
      </c>
      <c r="C11125" t="s">
        <v>11188</v>
      </c>
      <c r="D11125" t="s">
        <v>339</v>
      </c>
      <c r="E11125" t="s">
        <v>306</v>
      </c>
      <c r="F11125" t="s">
        <v>11938</v>
      </c>
      <c r="G11125">
        <v>34</v>
      </c>
      <c r="H11125">
        <v>3913.3100000000004</v>
      </c>
      <c r="I11125">
        <v>115.1</v>
      </c>
      <c r="J11125">
        <v>10</v>
      </c>
      <c r="K11125">
        <v>1076</v>
      </c>
      <c r="L11125">
        <v>107.6</v>
      </c>
      <c r="M11125">
        <v>44</v>
      </c>
      <c r="N11125">
        <v>4989.3100000000004</v>
      </c>
      <c r="O11125">
        <v>113.39</v>
      </c>
    </row>
    <row r="11126" spans="1:15" x14ac:dyDescent="0.35">
      <c r="A11126" t="s">
        <v>11901</v>
      </c>
      <c r="B11126" t="s">
        <v>11902</v>
      </c>
      <c r="C11126" t="s">
        <v>11188</v>
      </c>
      <c r="D11126" t="s">
        <v>339</v>
      </c>
      <c r="E11126" t="s">
        <v>308</v>
      </c>
      <c r="F11126" t="s">
        <v>11939</v>
      </c>
      <c r="G11126">
        <v>99</v>
      </c>
      <c r="H11126">
        <v>13640.12</v>
      </c>
      <c r="I11126">
        <v>137.78</v>
      </c>
      <c r="J11126">
        <v>0</v>
      </c>
      <c r="K11126">
        <v>0</v>
      </c>
      <c r="L11126">
        <v>0</v>
      </c>
      <c r="M11126">
        <v>99</v>
      </c>
      <c r="N11126">
        <v>13640.12</v>
      </c>
      <c r="O11126">
        <v>137.78</v>
      </c>
    </row>
    <row r="11127" spans="1:15" x14ac:dyDescent="0.35">
      <c r="A11127" t="s">
        <v>11901</v>
      </c>
      <c r="B11127" t="s">
        <v>11902</v>
      </c>
      <c r="C11127" t="s">
        <v>11188</v>
      </c>
      <c r="D11127" t="s">
        <v>339</v>
      </c>
      <c r="E11127" t="s">
        <v>310</v>
      </c>
      <c r="F11127" t="s">
        <v>11940</v>
      </c>
      <c r="G11127">
        <v>262</v>
      </c>
      <c r="H11127">
        <v>38648.51</v>
      </c>
      <c r="I11127">
        <v>147.51</v>
      </c>
      <c r="J11127">
        <v>866</v>
      </c>
      <c r="K11127">
        <v>97703.390000000014</v>
      </c>
      <c r="L11127">
        <v>112.82</v>
      </c>
      <c r="M11127">
        <v>1128</v>
      </c>
      <c r="N11127">
        <v>136351.90000000002</v>
      </c>
      <c r="O11127">
        <v>120.88</v>
      </c>
    </row>
    <row r="11128" spans="1:15" x14ac:dyDescent="0.35">
      <c r="A11128" t="s">
        <v>11901</v>
      </c>
      <c r="B11128" t="s">
        <v>11902</v>
      </c>
      <c r="C11128" t="s">
        <v>11188</v>
      </c>
      <c r="D11128" t="s">
        <v>339</v>
      </c>
      <c r="E11128" t="s">
        <v>312</v>
      </c>
      <c r="F11128" t="s">
        <v>11941</v>
      </c>
      <c r="G11128">
        <v>163</v>
      </c>
      <c r="H11128">
        <v>25008.390000000003</v>
      </c>
      <c r="I11128">
        <v>153.43</v>
      </c>
      <c r="J11128">
        <v>866</v>
      </c>
      <c r="K11128">
        <v>97703.390000000014</v>
      </c>
      <c r="L11128">
        <v>112.82</v>
      </c>
      <c r="M11128">
        <v>1029</v>
      </c>
      <c r="N11128">
        <v>122711.78000000001</v>
      </c>
      <c r="O11128">
        <v>119.25</v>
      </c>
    </row>
    <row r="11129" spans="1:15" x14ac:dyDescent="0.35">
      <c r="A11129" t="s">
        <v>11901</v>
      </c>
      <c r="B11129" t="s">
        <v>11902</v>
      </c>
      <c r="C11129" t="s">
        <v>11188</v>
      </c>
      <c r="D11129" t="s">
        <v>348</v>
      </c>
      <c r="E11129" t="s">
        <v>349</v>
      </c>
      <c r="F11129" t="s">
        <v>11942</v>
      </c>
      <c r="G11129">
        <v>537</v>
      </c>
      <c r="H11129">
        <v>67541.63</v>
      </c>
      <c r="I11129">
        <v>182.05</v>
      </c>
      <c r="J11129">
        <v>866</v>
      </c>
      <c r="K11129">
        <v>97703.390000000014</v>
      </c>
      <c r="L11129">
        <v>112.82</v>
      </c>
      <c r="M11129">
        <v>1403</v>
      </c>
      <c r="N11129">
        <v>165245.02000000002</v>
      </c>
      <c r="O11129">
        <v>133.59</v>
      </c>
    </row>
    <row r="11130" spans="1:15" x14ac:dyDescent="0.35">
      <c r="A11130" t="s">
        <v>11943</v>
      </c>
      <c r="B11130" t="s">
        <v>11944</v>
      </c>
      <c r="C11130" t="s">
        <v>11188</v>
      </c>
      <c r="D11130" t="s">
        <v>293</v>
      </c>
      <c r="E11130" t="s">
        <v>294</v>
      </c>
      <c r="F11130" t="s">
        <v>11945</v>
      </c>
      <c r="G11130">
        <v>273</v>
      </c>
      <c r="H11130">
        <v>57735.35</v>
      </c>
      <c r="I11130">
        <v>211.48</v>
      </c>
      <c r="J11130">
        <v>426</v>
      </c>
      <c r="K11130">
        <v>89468.52</v>
      </c>
      <c r="L11130">
        <v>210.02</v>
      </c>
      <c r="M11130">
        <v>699</v>
      </c>
      <c r="N11130">
        <v>147203.87</v>
      </c>
      <c r="O11130">
        <v>210.59</v>
      </c>
    </row>
    <row r="11131" spans="1:15" x14ac:dyDescent="0.35">
      <c r="A11131" t="s">
        <v>11943</v>
      </c>
      <c r="B11131" t="s">
        <v>11944</v>
      </c>
      <c r="C11131" t="s">
        <v>11188</v>
      </c>
      <c r="D11131" t="s">
        <v>293</v>
      </c>
      <c r="E11131" t="s">
        <v>296</v>
      </c>
      <c r="F11131" t="s">
        <v>11946</v>
      </c>
      <c r="G11131">
        <v>199</v>
      </c>
      <c r="H11131">
        <v>47307.159999999989</v>
      </c>
      <c r="I11131">
        <v>237.72</v>
      </c>
      <c r="J11131">
        <v>320</v>
      </c>
      <c r="K11131">
        <v>102627.2</v>
      </c>
      <c r="L11131">
        <v>320.70999999999998</v>
      </c>
      <c r="M11131">
        <v>519</v>
      </c>
      <c r="N11131">
        <v>149934.35999999999</v>
      </c>
      <c r="O11131">
        <v>288.89</v>
      </c>
    </row>
    <row r="11132" spans="1:15" x14ac:dyDescent="0.35">
      <c r="A11132" t="s">
        <v>11943</v>
      </c>
      <c r="B11132" t="s">
        <v>11944</v>
      </c>
      <c r="C11132" t="s">
        <v>11188</v>
      </c>
      <c r="D11132" t="s">
        <v>293</v>
      </c>
      <c r="E11132" t="s">
        <v>298</v>
      </c>
      <c r="F11132" t="s">
        <v>11947</v>
      </c>
      <c r="G11132">
        <v>60</v>
      </c>
      <c r="H11132">
        <v>15641.310000000001</v>
      </c>
      <c r="I11132">
        <v>260.69</v>
      </c>
      <c r="J11132">
        <v>177</v>
      </c>
      <c r="K11132">
        <v>71001.78</v>
      </c>
      <c r="L11132">
        <v>401.14</v>
      </c>
      <c r="M11132">
        <v>237</v>
      </c>
      <c r="N11132">
        <v>86643.09</v>
      </c>
      <c r="O11132">
        <v>365.58</v>
      </c>
    </row>
    <row r="11133" spans="1:15" x14ac:dyDescent="0.35">
      <c r="A11133" t="s">
        <v>11943</v>
      </c>
      <c r="B11133" t="s">
        <v>11944</v>
      </c>
      <c r="C11133" t="s">
        <v>11188</v>
      </c>
      <c r="D11133" t="s">
        <v>293</v>
      </c>
      <c r="E11133" t="s">
        <v>300</v>
      </c>
      <c r="F11133" t="s">
        <v>11948</v>
      </c>
      <c r="G11133">
        <v>21</v>
      </c>
      <c r="H11133">
        <v>5050.9000000000005</v>
      </c>
      <c r="I11133">
        <v>240.52</v>
      </c>
      <c r="J11133">
        <v>46</v>
      </c>
      <c r="K11133">
        <v>21470.959999999999</v>
      </c>
      <c r="L11133">
        <v>466.76</v>
      </c>
      <c r="M11133">
        <v>67</v>
      </c>
      <c r="N11133">
        <v>26521.86</v>
      </c>
      <c r="O11133">
        <v>395.85</v>
      </c>
    </row>
    <row r="11134" spans="1:15" x14ac:dyDescent="0.35">
      <c r="A11134" t="s">
        <v>11943</v>
      </c>
      <c r="B11134" t="s">
        <v>11944</v>
      </c>
      <c r="C11134" t="s">
        <v>11188</v>
      </c>
      <c r="D11134" t="s">
        <v>293</v>
      </c>
      <c r="E11134" t="s">
        <v>302</v>
      </c>
      <c r="F11134" t="s">
        <v>11949</v>
      </c>
      <c r="G11134">
        <v>1</v>
      </c>
      <c r="H11134">
        <v>347.31</v>
      </c>
      <c r="I11134">
        <v>347.31</v>
      </c>
      <c r="J11134">
        <v>11</v>
      </c>
      <c r="K11134">
        <v>3514.06</v>
      </c>
      <c r="L11134">
        <v>319.45999999999998</v>
      </c>
      <c r="M11134">
        <v>12</v>
      </c>
      <c r="N11134">
        <v>3861.37</v>
      </c>
      <c r="O11134">
        <v>321.77999999999997</v>
      </c>
    </row>
    <row r="11135" spans="1:15" x14ac:dyDescent="0.35">
      <c r="A11135" t="s">
        <v>11943</v>
      </c>
      <c r="B11135" t="s">
        <v>11944</v>
      </c>
      <c r="C11135" t="s">
        <v>11188</v>
      </c>
      <c r="D11135" t="s">
        <v>293</v>
      </c>
      <c r="E11135" t="s">
        <v>304</v>
      </c>
      <c r="F11135" t="s">
        <v>11950</v>
      </c>
      <c r="G11135">
        <v>0</v>
      </c>
      <c r="H11135">
        <v>0</v>
      </c>
      <c r="I11135">
        <v>0</v>
      </c>
      <c r="J11135">
        <v>0</v>
      </c>
      <c r="K11135">
        <v>0</v>
      </c>
      <c r="L11135">
        <v>0</v>
      </c>
      <c r="M11135">
        <v>0</v>
      </c>
      <c r="N11135">
        <v>0</v>
      </c>
      <c r="O11135">
        <v>0</v>
      </c>
    </row>
    <row r="11136" spans="1:15" x14ac:dyDescent="0.35">
      <c r="A11136" t="s">
        <v>11943</v>
      </c>
      <c r="B11136" t="s">
        <v>11944</v>
      </c>
      <c r="C11136" t="s">
        <v>11188</v>
      </c>
      <c r="D11136" t="s">
        <v>293</v>
      </c>
      <c r="E11136" t="s">
        <v>306</v>
      </c>
      <c r="F11136" t="s">
        <v>11951</v>
      </c>
      <c r="G11136">
        <v>3</v>
      </c>
      <c r="H11136">
        <v>566.09999999999991</v>
      </c>
      <c r="I11136">
        <v>188.7</v>
      </c>
      <c r="J11136">
        <v>113</v>
      </c>
      <c r="K11136">
        <v>15670.84</v>
      </c>
      <c r="L11136">
        <v>138.68</v>
      </c>
      <c r="M11136">
        <v>116</v>
      </c>
      <c r="N11136">
        <v>16236.94</v>
      </c>
      <c r="O11136">
        <v>139.97</v>
      </c>
    </row>
    <row r="11137" spans="1:15" x14ac:dyDescent="0.35">
      <c r="A11137" t="s">
        <v>11943</v>
      </c>
      <c r="B11137" t="s">
        <v>11944</v>
      </c>
      <c r="C11137" t="s">
        <v>11188</v>
      </c>
      <c r="D11137" t="s">
        <v>293</v>
      </c>
      <c r="E11137" t="s">
        <v>308</v>
      </c>
      <c r="F11137" t="s">
        <v>11952</v>
      </c>
      <c r="G11137">
        <v>0</v>
      </c>
      <c r="H11137">
        <v>0</v>
      </c>
      <c r="I11137">
        <v>0</v>
      </c>
      <c r="J11137">
        <v>0</v>
      </c>
      <c r="K11137">
        <v>0</v>
      </c>
      <c r="L11137">
        <v>0</v>
      </c>
      <c r="M11137">
        <v>0</v>
      </c>
      <c r="N11137">
        <v>0</v>
      </c>
      <c r="O11137">
        <v>0</v>
      </c>
    </row>
    <row r="11138" spans="1:15" x14ac:dyDescent="0.35">
      <c r="A11138" t="s">
        <v>11943</v>
      </c>
      <c r="B11138" t="s">
        <v>11944</v>
      </c>
      <c r="C11138" t="s">
        <v>11188</v>
      </c>
      <c r="D11138" t="s">
        <v>293</v>
      </c>
      <c r="E11138" t="s">
        <v>310</v>
      </c>
      <c r="F11138" t="s">
        <v>11953</v>
      </c>
      <c r="G11138">
        <v>557</v>
      </c>
      <c r="H11138">
        <v>126648.12999999998</v>
      </c>
      <c r="I11138">
        <v>227.38</v>
      </c>
      <c r="J11138">
        <v>1093</v>
      </c>
      <c r="K11138">
        <v>303753.36000000004</v>
      </c>
      <c r="L11138">
        <v>277.91000000000003</v>
      </c>
      <c r="M11138">
        <v>1650</v>
      </c>
      <c r="N11138">
        <v>430401.49</v>
      </c>
      <c r="O11138">
        <v>260.85000000000002</v>
      </c>
    </row>
    <row r="11139" spans="1:15" x14ac:dyDescent="0.35">
      <c r="A11139" t="s">
        <v>11943</v>
      </c>
      <c r="B11139" t="s">
        <v>11944</v>
      </c>
      <c r="C11139" t="s">
        <v>11188</v>
      </c>
      <c r="D11139" t="s">
        <v>293</v>
      </c>
      <c r="E11139" t="s">
        <v>312</v>
      </c>
      <c r="F11139" t="s">
        <v>11954</v>
      </c>
      <c r="G11139">
        <v>557</v>
      </c>
      <c r="H11139">
        <v>126648.12999999998</v>
      </c>
      <c r="I11139">
        <v>227.38</v>
      </c>
      <c r="J11139">
        <v>1093</v>
      </c>
      <c r="K11139">
        <v>303753.36000000004</v>
      </c>
      <c r="L11139">
        <v>277.91000000000003</v>
      </c>
      <c r="M11139">
        <v>1650</v>
      </c>
      <c r="N11139">
        <v>430401.49</v>
      </c>
      <c r="O11139">
        <v>260.85000000000002</v>
      </c>
    </row>
    <row r="11140" spans="1:15" x14ac:dyDescent="0.35">
      <c r="A11140" t="s">
        <v>11943</v>
      </c>
      <c r="B11140" t="s">
        <v>11944</v>
      </c>
      <c r="C11140" t="s">
        <v>11188</v>
      </c>
      <c r="D11140" t="s">
        <v>314</v>
      </c>
      <c r="E11140" t="s">
        <v>294</v>
      </c>
      <c r="F11140" t="s">
        <v>11955</v>
      </c>
      <c r="G11140">
        <v>27</v>
      </c>
      <c r="H11140">
        <v>8065.7000000000007</v>
      </c>
      <c r="I11140">
        <v>298.73</v>
      </c>
      <c r="J11140">
        <v>26</v>
      </c>
      <c r="K11140">
        <v>8576.36</v>
      </c>
      <c r="L11140">
        <v>329.86</v>
      </c>
      <c r="M11140">
        <v>53</v>
      </c>
      <c r="N11140">
        <v>16642.060000000001</v>
      </c>
      <c r="O11140">
        <v>314</v>
      </c>
    </row>
    <row r="11141" spans="1:15" x14ac:dyDescent="0.35">
      <c r="A11141" t="s">
        <v>11943</v>
      </c>
      <c r="B11141" t="s">
        <v>11944</v>
      </c>
      <c r="C11141" t="s">
        <v>11188</v>
      </c>
      <c r="D11141" t="s">
        <v>314</v>
      </c>
      <c r="E11141" t="s">
        <v>296</v>
      </c>
      <c r="F11141" t="s">
        <v>11956</v>
      </c>
      <c r="G11141">
        <v>6</v>
      </c>
      <c r="H11141">
        <v>1527.08</v>
      </c>
      <c r="I11141">
        <v>254.51</v>
      </c>
      <c r="J11141">
        <v>0</v>
      </c>
      <c r="K11141">
        <v>0</v>
      </c>
      <c r="L11141">
        <v>0</v>
      </c>
      <c r="M11141">
        <v>6</v>
      </c>
      <c r="N11141">
        <v>1527.08</v>
      </c>
      <c r="O11141">
        <v>254.51</v>
      </c>
    </row>
    <row r="11142" spans="1:15" x14ac:dyDescent="0.35">
      <c r="A11142" t="s">
        <v>11943</v>
      </c>
      <c r="B11142" t="s">
        <v>11944</v>
      </c>
      <c r="C11142" t="s">
        <v>11188</v>
      </c>
      <c r="D11142" t="s">
        <v>314</v>
      </c>
      <c r="E11142" t="s">
        <v>298</v>
      </c>
      <c r="F11142" t="s">
        <v>11957</v>
      </c>
      <c r="G11142">
        <v>0</v>
      </c>
      <c r="H11142">
        <v>0</v>
      </c>
      <c r="I11142">
        <v>0</v>
      </c>
      <c r="J11142">
        <v>0</v>
      </c>
      <c r="K11142">
        <v>0</v>
      </c>
      <c r="L11142">
        <v>0</v>
      </c>
      <c r="M11142">
        <v>0</v>
      </c>
      <c r="N11142">
        <v>0</v>
      </c>
      <c r="O11142">
        <v>0</v>
      </c>
    </row>
    <row r="11143" spans="1:15" x14ac:dyDescent="0.35">
      <c r="A11143" t="s">
        <v>11943</v>
      </c>
      <c r="B11143" t="s">
        <v>11944</v>
      </c>
      <c r="C11143" t="s">
        <v>11188</v>
      </c>
      <c r="D11143" t="s">
        <v>314</v>
      </c>
      <c r="E11143" t="s">
        <v>300</v>
      </c>
      <c r="F11143" t="s">
        <v>11958</v>
      </c>
      <c r="G11143">
        <v>0</v>
      </c>
      <c r="H11143">
        <v>0</v>
      </c>
      <c r="I11143">
        <v>0</v>
      </c>
      <c r="J11143">
        <v>0</v>
      </c>
      <c r="K11143">
        <v>0</v>
      </c>
      <c r="L11143">
        <v>0</v>
      </c>
      <c r="M11143">
        <v>0</v>
      </c>
      <c r="N11143">
        <v>0</v>
      </c>
      <c r="O11143">
        <v>0</v>
      </c>
    </row>
    <row r="11144" spans="1:15" x14ac:dyDescent="0.35">
      <c r="A11144" t="s">
        <v>11943</v>
      </c>
      <c r="B11144" t="s">
        <v>11944</v>
      </c>
      <c r="C11144" t="s">
        <v>11188</v>
      </c>
      <c r="D11144" t="s">
        <v>314</v>
      </c>
      <c r="E11144" t="s">
        <v>306</v>
      </c>
      <c r="F11144" t="s">
        <v>11959</v>
      </c>
      <c r="G11144">
        <v>0</v>
      </c>
      <c r="H11144">
        <v>0</v>
      </c>
      <c r="I11144">
        <v>0</v>
      </c>
      <c r="J11144">
        <v>4</v>
      </c>
      <c r="K11144">
        <v>1360</v>
      </c>
      <c r="L11144">
        <v>340</v>
      </c>
      <c r="M11144">
        <v>4</v>
      </c>
      <c r="N11144">
        <v>1360</v>
      </c>
      <c r="O11144">
        <v>340</v>
      </c>
    </row>
    <row r="11145" spans="1:15" x14ac:dyDescent="0.35">
      <c r="A11145" t="s">
        <v>11943</v>
      </c>
      <c r="B11145" t="s">
        <v>11944</v>
      </c>
      <c r="C11145" t="s">
        <v>11188</v>
      </c>
      <c r="D11145" t="s">
        <v>314</v>
      </c>
      <c r="E11145" t="s">
        <v>308</v>
      </c>
      <c r="F11145" t="s">
        <v>11960</v>
      </c>
      <c r="G11145">
        <v>0</v>
      </c>
      <c r="H11145">
        <v>0</v>
      </c>
      <c r="I11145">
        <v>0</v>
      </c>
      <c r="J11145">
        <v>0</v>
      </c>
      <c r="K11145">
        <v>0</v>
      </c>
      <c r="L11145">
        <v>0</v>
      </c>
      <c r="M11145">
        <v>0</v>
      </c>
      <c r="N11145">
        <v>0</v>
      </c>
      <c r="O11145">
        <v>0</v>
      </c>
    </row>
    <row r="11146" spans="1:15" x14ac:dyDescent="0.35">
      <c r="A11146" t="s">
        <v>11943</v>
      </c>
      <c r="B11146" t="s">
        <v>11944</v>
      </c>
      <c r="C11146" t="s">
        <v>11188</v>
      </c>
      <c r="D11146" t="s">
        <v>314</v>
      </c>
      <c r="E11146" t="s">
        <v>312</v>
      </c>
      <c r="F11146" t="s">
        <v>11961</v>
      </c>
      <c r="G11146">
        <v>33</v>
      </c>
      <c r="H11146">
        <v>9592.7800000000007</v>
      </c>
      <c r="I11146">
        <v>290.69</v>
      </c>
      <c r="J11146">
        <v>30</v>
      </c>
      <c r="K11146">
        <v>9936.36</v>
      </c>
      <c r="L11146">
        <v>331.21</v>
      </c>
      <c r="M11146">
        <v>63</v>
      </c>
      <c r="N11146">
        <v>19529.14</v>
      </c>
      <c r="O11146">
        <v>309.99</v>
      </c>
    </row>
    <row r="11147" spans="1:15" x14ac:dyDescent="0.35">
      <c r="A11147" t="s">
        <v>11943</v>
      </c>
      <c r="B11147" t="s">
        <v>11944</v>
      </c>
      <c r="C11147" t="s">
        <v>11188</v>
      </c>
      <c r="D11147" t="s">
        <v>314</v>
      </c>
      <c r="E11147" t="s">
        <v>310</v>
      </c>
      <c r="F11147" t="s">
        <v>11962</v>
      </c>
      <c r="G11147">
        <v>33</v>
      </c>
      <c r="H11147">
        <v>9592.7800000000007</v>
      </c>
      <c r="I11147">
        <v>290.69</v>
      </c>
      <c r="J11147">
        <v>30</v>
      </c>
      <c r="K11147">
        <v>9936.36</v>
      </c>
      <c r="L11147">
        <v>331.21</v>
      </c>
      <c r="M11147">
        <v>63</v>
      </c>
      <c r="N11147">
        <v>19529.14</v>
      </c>
      <c r="O11147">
        <v>309.99</v>
      </c>
    </row>
    <row r="11148" spans="1:15" x14ac:dyDescent="0.35">
      <c r="A11148" t="s">
        <v>11943</v>
      </c>
      <c r="B11148" t="s">
        <v>11944</v>
      </c>
      <c r="C11148" t="s">
        <v>11188</v>
      </c>
      <c r="D11148" t="s">
        <v>323</v>
      </c>
      <c r="E11148" t="s">
        <v>294</v>
      </c>
      <c r="F11148" t="s">
        <v>11963</v>
      </c>
      <c r="G11148">
        <v>4022</v>
      </c>
      <c r="H11148">
        <v>560225.5</v>
      </c>
      <c r="I11148">
        <v>139.29</v>
      </c>
      <c r="J11148">
        <v>8533</v>
      </c>
      <c r="K11148">
        <v>1089322.78</v>
      </c>
      <c r="L11148">
        <v>127.66</v>
      </c>
      <c r="M11148">
        <v>12555</v>
      </c>
      <c r="N11148">
        <v>1649548.28</v>
      </c>
      <c r="O11148">
        <v>131.38999999999999</v>
      </c>
    </row>
    <row r="11149" spans="1:15" x14ac:dyDescent="0.35">
      <c r="A11149" t="s">
        <v>11943</v>
      </c>
      <c r="B11149" t="s">
        <v>11944</v>
      </c>
      <c r="C11149" t="s">
        <v>11188</v>
      </c>
      <c r="D11149" t="s">
        <v>323</v>
      </c>
      <c r="E11149" t="s">
        <v>296</v>
      </c>
      <c r="F11149" t="s">
        <v>11964</v>
      </c>
      <c r="G11149">
        <v>4395</v>
      </c>
      <c r="H11149">
        <v>701294.14999999979</v>
      </c>
      <c r="I11149">
        <v>159.57</v>
      </c>
      <c r="J11149">
        <v>8669</v>
      </c>
      <c r="K11149">
        <v>1295408.6700000002</v>
      </c>
      <c r="L11149">
        <v>149.43</v>
      </c>
      <c r="M11149">
        <v>13064</v>
      </c>
      <c r="N11149">
        <v>1996702.8199999998</v>
      </c>
      <c r="O11149">
        <v>152.84</v>
      </c>
    </row>
    <row r="11150" spans="1:15" x14ac:dyDescent="0.35">
      <c r="A11150" t="s">
        <v>11943</v>
      </c>
      <c r="B11150" t="s">
        <v>11944</v>
      </c>
      <c r="C11150" t="s">
        <v>11188</v>
      </c>
      <c r="D11150" t="s">
        <v>323</v>
      </c>
      <c r="E11150" t="s">
        <v>298</v>
      </c>
      <c r="F11150" t="s">
        <v>11965</v>
      </c>
      <c r="G11150">
        <v>2680</v>
      </c>
      <c r="H11150">
        <v>455968.69000000006</v>
      </c>
      <c r="I11150">
        <v>170.14</v>
      </c>
      <c r="J11150">
        <v>5251</v>
      </c>
      <c r="K11150">
        <v>846461.2</v>
      </c>
      <c r="L11150">
        <v>161.19999999999999</v>
      </c>
      <c r="M11150">
        <v>7931</v>
      </c>
      <c r="N11150">
        <v>1302429.8900000001</v>
      </c>
      <c r="O11150">
        <v>164.22</v>
      </c>
    </row>
    <row r="11151" spans="1:15" x14ac:dyDescent="0.35">
      <c r="A11151" t="s">
        <v>11943</v>
      </c>
      <c r="B11151" t="s">
        <v>11944</v>
      </c>
      <c r="C11151" t="s">
        <v>11188</v>
      </c>
      <c r="D11151" t="s">
        <v>323</v>
      </c>
      <c r="E11151" t="s">
        <v>300</v>
      </c>
      <c r="F11151" t="s">
        <v>11966</v>
      </c>
      <c r="G11151">
        <v>715</v>
      </c>
      <c r="H11151">
        <v>135173.37000000002</v>
      </c>
      <c r="I11151">
        <v>189.05</v>
      </c>
      <c r="J11151">
        <v>1193</v>
      </c>
      <c r="K11151">
        <v>232289.03</v>
      </c>
      <c r="L11151">
        <v>194.71</v>
      </c>
      <c r="M11151">
        <v>1908</v>
      </c>
      <c r="N11151">
        <v>367462.40000000002</v>
      </c>
      <c r="O11151">
        <v>192.59</v>
      </c>
    </row>
    <row r="11152" spans="1:15" x14ac:dyDescent="0.35">
      <c r="A11152" t="s">
        <v>11943</v>
      </c>
      <c r="B11152" t="s">
        <v>11944</v>
      </c>
      <c r="C11152" t="s">
        <v>11188</v>
      </c>
      <c r="D11152" t="s">
        <v>323</v>
      </c>
      <c r="E11152" t="s">
        <v>302</v>
      </c>
      <c r="F11152" t="s">
        <v>11967</v>
      </c>
      <c r="G11152">
        <v>162</v>
      </c>
      <c r="H11152">
        <v>32203.979999999996</v>
      </c>
      <c r="I11152">
        <v>198.79</v>
      </c>
      <c r="J11152">
        <v>241</v>
      </c>
      <c r="K11152">
        <v>52588.61</v>
      </c>
      <c r="L11152">
        <v>218.21</v>
      </c>
      <c r="M11152">
        <v>403</v>
      </c>
      <c r="N11152">
        <v>84792.59</v>
      </c>
      <c r="O11152">
        <v>210.4</v>
      </c>
    </row>
    <row r="11153" spans="1:15" x14ac:dyDescent="0.35">
      <c r="A11153" t="s">
        <v>11943</v>
      </c>
      <c r="B11153" t="s">
        <v>11944</v>
      </c>
      <c r="C11153" t="s">
        <v>11188</v>
      </c>
      <c r="D11153" t="s">
        <v>323</v>
      </c>
      <c r="E11153" t="s">
        <v>304</v>
      </c>
      <c r="F11153" t="s">
        <v>11968</v>
      </c>
      <c r="G11153">
        <v>21</v>
      </c>
      <c r="H11153">
        <v>4506.41</v>
      </c>
      <c r="I11153">
        <v>214.59</v>
      </c>
      <c r="J11153">
        <v>54</v>
      </c>
      <c r="K11153">
        <v>13918.5</v>
      </c>
      <c r="L11153">
        <v>257.75</v>
      </c>
      <c r="M11153">
        <v>75</v>
      </c>
      <c r="N11153">
        <v>18424.91</v>
      </c>
      <c r="O11153">
        <v>245.67</v>
      </c>
    </row>
    <row r="11154" spans="1:15" x14ac:dyDescent="0.35">
      <c r="A11154" t="s">
        <v>11943</v>
      </c>
      <c r="B11154" t="s">
        <v>11944</v>
      </c>
      <c r="C11154" t="s">
        <v>11188</v>
      </c>
      <c r="D11154" t="s">
        <v>323</v>
      </c>
      <c r="E11154" t="s">
        <v>306</v>
      </c>
      <c r="F11154" t="s">
        <v>11969</v>
      </c>
      <c r="G11154">
        <v>179</v>
      </c>
      <c r="H11154">
        <v>20612.099999999999</v>
      </c>
      <c r="I11154">
        <v>115.15</v>
      </c>
      <c r="J11154">
        <v>600</v>
      </c>
      <c r="K11154">
        <v>65646</v>
      </c>
      <c r="L11154">
        <v>109.41</v>
      </c>
      <c r="M11154">
        <v>779</v>
      </c>
      <c r="N11154">
        <v>86258.1</v>
      </c>
      <c r="O11154">
        <v>110.73</v>
      </c>
    </row>
    <row r="11155" spans="1:15" x14ac:dyDescent="0.35">
      <c r="A11155" t="s">
        <v>11943</v>
      </c>
      <c r="B11155" t="s">
        <v>11944</v>
      </c>
      <c r="C11155" t="s">
        <v>11188</v>
      </c>
      <c r="D11155" t="s">
        <v>323</v>
      </c>
      <c r="E11155" t="s">
        <v>308</v>
      </c>
      <c r="F11155" t="s">
        <v>11970</v>
      </c>
      <c r="G11155">
        <v>45</v>
      </c>
      <c r="H11155">
        <v>5375.75</v>
      </c>
      <c r="I11155">
        <v>119.46</v>
      </c>
      <c r="J11155">
        <v>0</v>
      </c>
      <c r="K11155">
        <v>0</v>
      </c>
      <c r="L11155">
        <v>0</v>
      </c>
      <c r="M11155">
        <v>45</v>
      </c>
      <c r="N11155">
        <v>5375.75</v>
      </c>
      <c r="O11155">
        <v>119.46</v>
      </c>
    </row>
    <row r="11156" spans="1:15" x14ac:dyDescent="0.35">
      <c r="A11156" t="s">
        <v>11943</v>
      </c>
      <c r="B11156" t="s">
        <v>11944</v>
      </c>
      <c r="C11156" t="s">
        <v>11188</v>
      </c>
      <c r="D11156" t="s">
        <v>323</v>
      </c>
      <c r="E11156" t="s">
        <v>310</v>
      </c>
      <c r="F11156" t="s">
        <v>11971</v>
      </c>
      <c r="G11156">
        <v>12219</v>
      </c>
      <c r="H11156">
        <v>1915359.95</v>
      </c>
      <c r="I11156">
        <v>156.75</v>
      </c>
      <c r="J11156">
        <v>24541</v>
      </c>
      <c r="K11156">
        <v>3595634.79</v>
      </c>
      <c r="L11156">
        <v>146.52000000000001</v>
      </c>
      <c r="M11156">
        <v>36760</v>
      </c>
      <c r="N11156">
        <v>5510994.7400000002</v>
      </c>
      <c r="O11156">
        <v>149.91999999999999</v>
      </c>
    </row>
    <row r="11157" spans="1:15" x14ac:dyDescent="0.35">
      <c r="A11157" t="s">
        <v>11943</v>
      </c>
      <c r="B11157" t="s">
        <v>11944</v>
      </c>
      <c r="C11157" t="s">
        <v>11188</v>
      </c>
      <c r="D11157" t="s">
        <v>323</v>
      </c>
      <c r="E11157" t="s">
        <v>312</v>
      </c>
      <c r="F11157" t="s">
        <v>11972</v>
      </c>
      <c r="G11157">
        <v>12174</v>
      </c>
      <c r="H11157">
        <v>1909984.2</v>
      </c>
      <c r="I11157">
        <v>156.88999999999999</v>
      </c>
      <c r="J11157">
        <v>24541</v>
      </c>
      <c r="K11157">
        <v>3595634.79</v>
      </c>
      <c r="L11157">
        <v>146.52000000000001</v>
      </c>
      <c r="M11157">
        <v>36715</v>
      </c>
      <c r="N11157">
        <v>5505618.9900000002</v>
      </c>
      <c r="O11157">
        <v>149.96</v>
      </c>
    </row>
    <row r="11158" spans="1:15" x14ac:dyDescent="0.35">
      <c r="A11158" t="s">
        <v>11943</v>
      </c>
      <c r="B11158" t="s">
        <v>11944</v>
      </c>
      <c r="C11158" t="s">
        <v>11188</v>
      </c>
      <c r="D11158" t="s">
        <v>334</v>
      </c>
      <c r="E11158" t="s">
        <v>312</v>
      </c>
      <c r="F11158" t="s">
        <v>11973</v>
      </c>
      <c r="G11158">
        <v>14122</v>
      </c>
      <c r="H11158">
        <v>2036632.3299999998</v>
      </c>
      <c r="I11158">
        <v>159.97</v>
      </c>
      <c r="J11158">
        <v>25634</v>
      </c>
      <c r="K11158">
        <v>3899388.1500000004</v>
      </c>
      <c r="L11158">
        <v>152.12</v>
      </c>
      <c r="M11158">
        <v>39756</v>
      </c>
      <c r="N11158">
        <v>5936020.4800000004</v>
      </c>
      <c r="O11158">
        <v>154.72</v>
      </c>
    </row>
    <row r="11159" spans="1:15" x14ac:dyDescent="0.35">
      <c r="A11159" t="s">
        <v>11943</v>
      </c>
      <c r="B11159" t="s">
        <v>11944</v>
      </c>
      <c r="C11159" t="s">
        <v>11188</v>
      </c>
      <c r="D11159" t="s">
        <v>334</v>
      </c>
      <c r="E11159" t="s">
        <v>308</v>
      </c>
      <c r="F11159" t="s">
        <v>11974</v>
      </c>
      <c r="G11159">
        <v>301</v>
      </c>
      <c r="H11159">
        <v>5375.75</v>
      </c>
      <c r="I11159">
        <v>119.46</v>
      </c>
      <c r="J11159">
        <v>0</v>
      </c>
      <c r="K11159">
        <v>0</v>
      </c>
      <c r="L11159">
        <v>0</v>
      </c>
      <c r="M11159">
        <v>301</v>
      </c>
      <c r="N11159">
        <v>5375.75</v>
      </c>
      <c r="O11159">
        <v>119.46</v>
      </c>
    </row>
    <row r="11160" spans="1:15" x14ac:dyDescent="0.35">
      <c r="A11160" t="s">
        <v>11943</v>
      </c>
      <c r="B11160" t="s">
        <v>11944</v>
      </c>
      <c r="C11160" t="s">
        <v>11188</v>
      </c>
      <c r="D11160" t="s">
        <v>337</v>
      </c>
      <c r="E11160" t="s">
        <v>337</v>
      </c>
      <c r="F11160" t="s">
        <v>11975</v>
      </c>
      <c r="G11160">
        <v>1385</v>
      </c>
      <c r="J11160">
        <v>73</v>
      </c>
      <c r="M11160">
        <v>1458</v>
      </c>
    </row>
    <row r="11161" spans="1:15" x14ac:dyDescent="0.35">
      <c r="A11161" t="s">
        <v>11943</v>
      </c>
      <c r="B11161" t="s">
        <v>11944</v>
      </c>
      <c r="C11161" t="s">
        <v>11188</v>
      </c>
      <c r="D11161" t="s">
        <v>339</v>
      </c>
      <c r="E11161" t="s">
        <v>294</v>
      </c>
      <c r="F11161" t="s">
        <v>11976</v>
      </c>
      <c r="G11161">
        <v>1102</v>
      </c>
      <c r="H11161">
        <v>170692.57</v>
      </c>
      <c r="I11161">
        <v>154.88999999999999</v>
      </c>
      <c r="J11161">
        <v>0</v>
      </c>
      <c r="K11161">
        <v>0</v>
      </c>
      <c r="L11161">
        <v>0</v>
      </c>
      <c r="M11161">
        <v>1102</v>
      </c>
      <c r="N11161">
        <v>170692.57</v>
      </c>
      <c r="O11161">
        <v>154.88999999999999</v>
      </c>
    </row>
    <row r="11162" spans="1:15" x14ac:dyDescent="0.35">
      <c r="A11162" t="s">
        <v>11943</v>
      </c>
      <c r="B11162" t="s">
        <v>11944</v>
      </c>
      <c r="C11162" t="s">
        <v>11188</v>
      </c>
      <c r="D11162" t="s">
        <v>339</v>
      </c>
      <c r="E11162" t="s">
        <v>296</v>
      </c>
      <c r="F11162" t="s">
        <v>11977</v>
      </c>
      <c r="G11162">
        <v>36</v>
      </c>
      <c r="H11162">
        <v>6100.9500000000007</v>
      </c>
      <c r="I11162">
        <v>169.47</v>
      </c>
      <c r="J11162">
        <v>0</v>
      </c>
      <c r="K11162">
        <v>0</v>
      </c>
      <c r="L11162">
        <v>0</v>
      </c>
      <c r="M11162">
        <v>36</v>
      </c>
      <c r="N11162">
        <v>6100.9500000000007</v>
      </c>
      <c r="O11162">
        <v>169.47</v>
      </c>
    </row>
    <row r="11163" spans="1:15" x14ac:dyDescent="0.35">
      <c r="A11163" t="s">
        <v>11943</v>
      </c>
      <c r="B11163" t="s">
        <v>11944</v>
      </c>
      <c r="C11163" t="s">
        <v>11188</v>
      </c>
      <c r="D11163" t="s">
        <v>339</v>
      </c>
      <c r="E11163" t="s">
        <v>298</v>
      </c>
      <c r="F11163" t="s">
        <v>11978</v>
      </c>
      <c r="G11163">
        <v>5</v>
      </c>
      <c r="H11163">
        <v>802.49</v>
      </c>
      <c r="I11163">
        <v>160.5</v>
      </c>
      <c r="J11163">
        <v>0</v>
      </c>
      <c r="K11163">
        <v>0</v>
      </c>
      <c r="L11163">
        <v>0</v>
      </c>
      <c r="M11163">
        <v>5</v>
      </c>
      <c r="N11163">
        <v>802.49</v>
      </c>
      <c r="O11163">
        <v>160.5</v>
      </c>
    </row>
    <row r="11164" spans="1:15" x14ac:dyDescent="0.35">
      <c r="A11164" t="s">
        <v>11943</v>
      </c>
      <c r="B11164" t="s">
        <v>11944</v>
      </c>
      <c r="C11164" t="s">
        <v>11188</v>
      </c>
      <c r="D11164" t="s">
        <v>339</v>
      </c>
      <c r="E11164" t="s">
        <v>300</v>
      </c>
      <c r="F11164" t="s">
        <v>11979</v>
      </c>
      <c r="G11164">
        <v>0</v>
      </c>
      <c r="H11164">
        <v>0</v>
      </c>
      <c r="I11164">
        <v>0</v>
      </c>
      <c r="J11164">
        <v>0</v>
      </c>
      <c r="K11164">
        <v>0</v>
      </c>
      <c r="L11164">
        <v>0</v>
      </c>
      <c r="M11164">
        <v>0</v>
      </c>
      <c r="N11164">
        <v>0</v>
      </c>
      <c r="O11164">
        <v>0</v>
      </c>
    </row>
    <row r="11165" spans="1:15" x14ac:dyDescent="0.35">
      <c r="A11165" t="s">
        <v>11943</v>
      </c>
      <c r="B11165" t="s">
        <v>11944</v>
      </c>
      <c r="C11165" t="s">
        <v>11188</v>
      </c>
      <c r="D11165" t="s">
        <v>339</v>
      </c>
      <c r="E11165" t="s">
        <v>306</v>
      </c>
      <c r="F11165" t="s">
        <v>11980</v>
      </c>
      <c r="G11165">
        <v>150</v>
      </c>
      <c r="H11165">
        <v>19766.940000000002</v>
      </c>
      <c r="I11165">
        <v>131.78</v>
      </c>
      <c r="J11165">
        <v>0</v>
      </c>
      <c r="K11165">
        <v>0</v>
      </c>
      <c r="L11165">
        <v>0</v>
      </c>
      <c r="M11165">
        <v>150</v>
      </c>
      <c r="N11165">
        <v>19766.940000000002</v>
      </c>
      <c r="O11165">
        <v>131.78</v>
      </c>
    </row>
    <row r="11166" spans="1:15" x14ac:dyDescent="0.35">
      <c r="A11166" t="s">
        <v>11943</v>
      </c>
      <c r="B11166" t="s">
        <v>11944</v>
      </c>
      <c r="C11166" t="s">
        <v>11188</v>
      </c>
      <c r="D11166" t="s">
        <v>339</v>
      </c>
      <c r="E11166" t="s">
        <v>308</v>
      </c>
      <c r="F11166" t="s">
        <v>11981</v>
      </c>
      <c r="G11166">
        <v>363</v>
      </c>
      <c r="H11166">
        <v>45724.929999999993</v>
      </c>
      <c r="I11166">
        <v>125.96</v>
      </c>
      <c r="J11166">
        <v>0</v>
      </c>
      <c r="K11166">
        <v>0</v>
      </c>
      <c r="L11166">
        <v>0</v>
      </c>
      <c r="M11166">
        <v>363</v>
      </c>
      <c r="N11166">
        <v>45724.929999999993</v>
      </c>
      <c r="O11166">
        <v>125.96</v>
      </c>
    </row>
    <row r="11167" spans="1:15" x14ac:dyDescent="0.35">
      <c r="A11167" t="s">
        <v>11943</v>
      </c>
      <c r="B11167" t="s">
        <v>11944</v>
      </c>
      <c r="C11167" t="s">
        <v>11188</v>
      </c>
      <c r="D11167" t="s">
        <v>339</v>
      </c>
      <c r="E11167" t="s">
        <v>310</v>
      </c>
      <c r="F11167" t="s">
        <v>11982</v>
      </c>
      <c r="G11167">
        <v>1656</v>
      </c>
      <c r="H11167">
        <v>243087.88</v>
      </c>
      <c r="I11167">
        <v>146.79</v>
      </c>
      <c r="J11167">
        <v>0</v>
      </c>
      <c r="K11167">
        <v>0</v>
      </c>
      <c r="L11167">
        <v>0</v>
      </c>
      <c r="M11167">
        <v>1656</v>
      </c>
      <c r="N11167">
        <v>243087.88</v>
      </c>
      <c r="O11167">
        <v>146.79</v>
      </c>
    </row>
    <row r="11168" spans="1:15" x14ac:dyDescent="0.35">
      <c r="A11168" t="s">
        <v>11943</v>
      </c>
      <c r="B11168" t="s">
        <v>11944</v>
      </c>
      <c r="C11168" t="s">
        <v>11188</v>
      </c>
      <c r="D11168" t="s">
        <v>339</v>
      </c>
      <c r="E11168" t="s">
        <v>312</v>
      </c>
      <c r="F11168" t="s">
        <v>11983</v>
      </c>
      <c r="G11168">
        <v>1293</v>
      </c>
      <c r="H11168">
        <v>197362.95</v>
      </c>
      <c r="I11168">
        <v>152.63999999999999</v>
      </c>
      <c r="J11168">
        <v>0</v>
      </c>
      <c r="K11168">
        <v>0</v>
      </c>
      <c r="L11168">
        <v>0</v>
      </c>
      <c r="M11168">
        <v>1293</v>
      </c>
      <c r="N11168">
        <v>197362.95</v>
      </c>
      <c r="O11168">
        <v>152.63999999999999</v>
      </c>
    </row>
    <row r="11169" spans="1:15" x14ac:dyDescent="0.35">
      <c r="A11169" t="s">
        <v>11943</v>
      </c>
      <c r="B11169" t="s">
        <v>11944</v>
      </c>
      <c r="C11169" t="s">
        <v>11188</v>
      </c>
      <c r="D11169" t="s">
        <v>348</v>
      </c>
      <c r="E11169" t="s">
        <v>349</v>
      </c>
      <c r="F11169" t="s">
        <v>11984</v>
      </c>
      <c r="G11169">
        <v>2133</v>
      </c>
      <c r="H11169">
        <v>252680.66</v>
      </c>
      <c r="I11169">
        <v>149.6</v>
      </c>
      <c r="J11169">
        <v>30</v>
      </c>
      <c r="K11169">
        <v>9936.36</v>
      </c>
      <c r="L11169">
        <v>331.21</v>
      </c>
      <c r="M11169">
        <v>2163</v>
      </c>
      <c r="N11169">
        <v>262617.02</v>
      </c>
      <c r="O11169">
        <v>152.77000000000001</v>
      </c>
    </row>
    <row r="11170" spans="1:15" x14ac:dyDescent="0.35">
      <c r="A11170" t="s">
        <v>11985</v>
      </c>
      <c r="B11170" t="s">
        <v>11986</v>
      </c>
      <c r="C11170" t="s">
        <v>11188</v>
      </c>
      <c r="D11170" t="s">
        <v>293</v>
      </c>
      <c r="E11170" t="s">
        <v>294</v>
      </c>
      <c r="F11170" t="s">
        <v>11987</v>
      </c>
      <c r="G11170">
        <v>352</v>
      </c>
      <c r="H11170">
        <v>87632.599999999991</v>
      </c>
      <c r="I11170">
        <v>248.96</v>
      </c>
      <c r="J11170">
        <v>14</v>
      </c>
      <c r="K11170">
        <v>3382.6800000000003</v>
      </c>
      <c r="L11170">
        <v>241.62</v>
      </c>
      <c r="M11170">
        <v>366</v>
      </c>
      <c r="N11170">
        <v>91015.28</v>
      </c>
      <c r="O11170">
        <v>248.68</v>
      </c>
    </row>
    <row r="11171" spans="1:15" x14ac:dyDescent="0.35">
      <c r="A11171" t="s">
        <v>11985</v>
      </c>
      <c r="B11171" t="s">
        <v>11986</v>
      </c>
      <c r="C11171" t="s">
        <v>11188</v>
      </c>
      <c r="D11171" t="s">
        <v>293</v>
      </c>
      <c r="E11171" t="s">
        <v>296</v>
      </c>
      <c r="F11171" t="s">
        <v>11988</v>
      </c>
      <c r="G11171">
        <v>207</v>
      </c>
      <c r="H11171">
        <v>54838.079999999994</v>
      </c>
      <c r="I11171">
        <v>264.92</v>
      </c>
      <c r="J11171">
        <v>18</v>
      </c>
      <c r="K11171">
        <v>4591.26</v>
      </c>
      <c r="L11171">
        <v>255.07</v>
      </c>
      <c r="M11171">
        <v>225</v>
      </c>
      <c r="N11171">
        <v>59429.34</v>
      </c>
      <c r="O11171">
        <v>264.13</v>
      </c>
    </row>
    <row r="11172" spans="1:15" x14ac:dyDescent="0.35">
      <c r="A11172" t="s">
        <v>11985</v>
      </c>
      <c r="B11172" t="s">
        <v>11986</v>
      </c>
      <c r="C11172" t="s">
        <v>11188</v>
      </c>
      <c r="D11172" t="s">
        <v>293</v>
      </c>
      <c r="E11172" t="s">
        <v>298</v>
      </c>
      <c r="F11172" t="s">
        <v>11989</v>
      </c>
      <c r="G11172">
        <v>37</v>
      </c>
      <c r="H11172">
        <v>9946.77</v>
      </c>
      <c r="I11172">
        <v>268.83</v>
      </c>
      <c r="J11172">
        <v>2</v>
      </c>
      <c r="K11172">
        <v>569.46</v>
      </c>
      <c r="L11172">
        <v>284.73</v>
      </c>
      <c r="M11172">
        <v>39</v>
      </c>
      <c r="N11172">
        <v>10516.23</v>
      </c>
      <c r="O11172">
        <v>269.64999999999998</v>
      </c>
    </row>
    <row r="11173" spans="1:15" x14ac:dyDescent="0.35">
      <c r="A11173" t="s">
        <v>11985</v>
      </c>
      <c r="B11173" t="s">
        <v>11986</v>
      </c>
      <c r="C11173" t="s">
        <v>11188</v>
      </c>
      <c r="D11173" t="s">
        <v>293</v>
      </c>
      <c r="E11173" t="s">
        <v>300</v>
      </c>
      <c r="F11173" t="s">
        <v>11990</v>
      </c>
      <c r="G11173">
        <v>8</v>
      </c>
      <c r="H11173">
        <v>2239.34</v>
      </c>
      <c r="I11173">
        <v>279.92</v>
      </c>
      <c r="J11173">
        <v>0</v>
      </c>
      <c r="K11173">
        <v>0</v>
      </c>
      <c r="L11173">
        <v>0</v>
      </c>
      <c r="M11173">
        <v>8</v>
      </c>
      <c r="N11173">
        <v>2239.34</v>
      </c>
      <c r="O11173">
        <v>279.92</v>
      </c>
    </row>
    <row r="11174" spans="1:15" x14ac:dyDescent="0.35">
      <c r="A11174" t="s">
        <v>11985</v>
      </c>
      <c r="B11174" t="s">
        <v>11986</v>
      </c>
      <c r="C11174" t="s">
        <v>11188</v>
      </c>
      <c r="D11174" t="s">
        <v>293</v>
      </c>
      <c r="E11174" t="s">
        <v>302</v>
      </c>
      <c r="F11174" t="s">
        <v>11991</v>
      </c>
      <c r="G11174">
        <v>2</v>
      </c>
      <c r="H11174">
        <v>547.02</v>
      </c>
      <c r="I11174">
        <v>273.51</v>
      </c>
      <c r="J11174">
        <v>0</v>
      </c>
      <c r="K11174">
        <v>0</v>
      </c>
      <c r="L11174">
        <v>0</v>
      </c>
      <c r="M11174">
        <v>2</v>
      </c>
      <c r="N11174">
        <v>547.02</v>
      </c>
      <c r="O11174">
        <v>273.51</v>
      </c>
    </row>
    <row r="11175" spans="1:15" x14ac:dyDescent="0.35">
      <c r="A11175" t="s">
        <v>11985</v>
      </c>
      <c r="B11175" t="s">
        <v>11986</v>
      </c>
      <c r="C11175" t="s">
        <v>11188</v>
      </c>
      <c r="D11175" t="s">
        <v>293</v>
      </c>
      <c r="E11175" t="s">
        <v>304</v>
      </c>
      <c r="F11175" t="s">
        <v>11992</v>
      </c>
      <c r="G11175">
        <v>0</v>
      </c>
      <c r="H11175">
        <v>0</v>
      </c>
      <c r="I11175">
        <v>0</v>
      </c>
      <c r="J11175">
        <v>0</v>
      </c>
      <c r="K11175">
        <v>0</v>
      </c>
      <c r="L11175">
        <v>0</v>
      </c>
      <c r="M11175">
        <v>0</v>
      </c>
      <c r="N11175">
        <v>0</v>
      </c>
      <c r="O11175">
        <v>0</v>
      </c>
    </row>
    <row r="11176" spans="1:15" x14ac:dyDescent="0.35">
      <c r="A11176" t="s">
        <v>11985</v>
      </c>
      <c r="B11176" t="s">
        <v>11986</v>
      </c>
      <c r="C11176" t="s">
        <v>11188</v>
      </c>
      <c r="D11176" t="s">
        <v>293</v>
      </c>
      <c r="E11176" t="s">
        <v>306</v>
      </c>
      <c r="F11176" t="s">
        <v>11993</v>
      </c>
      <c r="G11176">
        <v>71</v>
      </c>
      <c r="H11176">
        <v>16542.759999999998</v>
      </c>
      <c r="I11176">
        <v>233</v>
      </c>
      <c r="J11176">
        <v>0</v>
      </c>
      <c r="K11176">
        <v>0</v>
      </c>
      <c r="L11176">
        <v>0</v>
      </c>
      <c r="M11176">
        <v>71</v>
      </c>
      <c r="N11176">
        <v>16542.759999999998</v>
      </c>
      <c r="O11176">
        <v>233</v>
      </c>
    </row>
    <row r="11177" spans="1:15" x14ac:dyDescent="0.35">
      <c r="A11177" t="s">
        <v>11985</v>
      </c>
      <c r="B11177" t="s">
        <v>11986</v>
      </c>
      <c r="C11177" t="s">
        <v>11188</v>
      </c>
      <c r="D11177" t="s">
        <v>293</v>
      </c>
      <c r="E11177" t="s">
        <v>308</v>
      </c>
      <c r="F11177" t="s">
        <v>11994</v>
      </c>
      <c r="G11177">
        <v>0</v>
      </c>
      <c r="H11177">
        <v>0</v>
      </c>
      <c r="I11177">
        <v>0</v>
      </c>
      <c r="J11177">
        <v>0</v>
      </c>
      <c r="K11177">
        <v>0</v>
      </c>
      <c r="L11177">
        <v>0</v>
      </c>
      <c r="M11177">
        <v>0</v>
      </c>
      <c r="N11177">
        <v>0</v>
      </c>
      <c r="O11177">
        <v>0</v>
      </c>
    </row>
    <row r="11178" spans="1:15" x14ac:dyDescent="0.35">
      <c r="A11178" t="s">
        <v>11985</v>
      </c>
      <c r="B11178" t="s">
        <v>11986</v>
      </c>
      <c r="C11178" t="s">
        <v>11188</v>
      </c>
      <c r="D11178" t="s">
        <v>293</v>
      </c>
      <c r="E11178" t="s">
        <v>310</v>
      </c>
      <c r="F11178" t="s">
        <v>11995</v>
      </c>
      <c r="G11178">
        <v>677</v>
      </c>
      <c r="H11178">
        <v>171746.56999999998</v>
      </c>
      <c r="I11178">
        <v>253.69</v>
      </c>
      <c r="J11178">
        <v>34</v>
      </c>
      <c r="K11178">
        <v>8543.4000000000015</v>
      </c>
      <c r="L11178">
        <v>251.28</v>
      </c>
      <c r="M11178">
        <v>711</v>
      </c>
      <c r="N11178">
        <v>180289.96999999997</v>
      </c>
      <c r="O11178">
        <v>253.57</v>
      </c>
    </row>
    <row r="11179" spans="1:15" x14ac:dyDescent="0.35">
      <c r="A11179" t="s">
        <v>11985</v>
      </c>
      <c r="B11179" t="s">
        <v>11986</v>
      </c>
      <c r="C11179" t="s">
        <v>11188</v>
      </c>
      <c r="D11179" t="s">
        <v>293</v>
      </c>
      <c r="E11179" t="s">
        <v>312</v>
      </c>
      <c r="F11179" t="s">
        <v>11996</v>
      </c>
      <c r="G11179">
        <v>677</v>
      </c>
      <c r="H11179">
        <v>171746.56999999998</v>
      </c>
      <c r="I11179">
        <v>253.69</v>
      </c>
      <c r="J11179">
        <v>34</v>
      </c>
      <c r="K11179">
        <v>8543.4000000000015</v>
      </c>
      <c r="L11179">
        <v>251.28</v>
      </c>
      <c r="M11179">
        <v>711</v>
      </c>
      <c r="N11179">
        <v>180289.96999999997</v>
      </c>
      <c r="O11179">
        <v>253.57</v>
      </c>
    </row>
    <row r="11180" spans="1:15" x14ac:dyDescent="0.35">
      <c r="A11180" t="s">
        <v>11985</v>
      </c>
      <c r="B11180" t="s">
        <v>11986</v>
      </c>
      <c r="C11180" t="s">
        <v>11188</v>
      </c>
      <c r="D11180" t="s">
        <v>314</v>
      </c>
      <c r="E11180" t="s">
        <v>294</v>
      </c>
      <c r="F11180" t="s">
        <v>11997</v>
      </c>
      <c r="G11180">
        <v>22</v>
      </c>
      <c r="H11180">
        <v>5855.52</v>
      </c>
      <c r="I11180">
        <v>266.16000000000003</v>
      </c>
      <c r="J11180">
        <v>0</v>
      </c>
      <c r="K11180">
        <v>0</v>
      </c>
      <c r="L11180">
        <v>0</v>
      </c>
      <c r="M11180">
        <v>22</v>
      </c>
      <c r="N11180">
        <v>5855.52</v>
      </c>
      <c r="O11180">
        <v>266.16000000000003</v>
      </c>
    </row>
    <row r="11181" spans="1:15" x14ac:dyDescent="0.35">
      <c r="A11181" t="s">
        <v>11985</v>
      </c>
      <c r="B11181" t="s">
        <v>11986</v>
      </c>
      <c r="C11181" t="s">
        <v>11188</v>
      </c>
      <c r="D11181" t="s">
        <v>314</v>
      </c>
      <c r="E11181" t="s">
        <v>296</v>
      </c>
      <c r="F11181" t="s">
        <v>11998</v>
      </c>
      <c r="G11181">
        <v>0</v>
      </c>
      <c r="H11181">
        <v>0</v>
      </c>
      <c r="I11181">
        <v>0</v>
      </c>
      <c r="J11181">
        <v>0</v>
      </c>
      <c r="K11181">
        <v>0</v>
      </c>
      <c r="L11181">
        <v>0</v>
      </c>
      <c r="M11181">
        <v>0</v>
      </c>
      <c r="N11181">
        <v>0</v>
      </c>
      <c r="O11181">
        <v>0</v>
      </c>
    </row>
    <row r="11182" spans="1:15" x14ac:dyDescent="0.35">
      <c r="A11182" t="s">
        <v>11985</v>
      </c>
      <c r="B11182" t="s">
        <v>11986</v>
      </c>
      <c r="C11182" t="s">
        <v>11188</v>
      </c>
      <c r="D11182" t="s">
        <v>314</v>
      </c>
      <c r="E11182" t="s">
        <v>298</v>
      </c>
      <c r="F11182" t="s">
        <v>11999</v>
      </c>
      <c r="G11182">
        <v>0</v>
      </c>
      <c r="H11182">
        <v>0</v>
      </c>
      <c r="I11182">
        <v>0</v>
      </c>
      <c r="J11182">
        <v>0</v>
      </c>
      <c r="K11182">
        <v>0</v>
      </c>
      <c r="L11182">
        <v>0</v>
      </c>
      <c r="M11182">
        <v>0</v>
      </c>
      <c r="N11182">
        <v>0</v>
      </c>
      <c r="O11182">
        <v>0</v>
      </c>
    </row>
    <row r="11183" spans="1:15" x14ac:dyDescent="0.35">
      <c r="A11183" t="s">
        <v>11985</v>
      </c>
      <c r="B11183" t="s">
        <v>11986</v>
      </c>
      <c r="C11183" t="s">
        <v>11188</v>
      </c>
      <c r="D11183" t="s">
        <v>314</v>
      </c>
      <c r="E11183" t="s">
        <v>300</v>
      </c>
      <c r="F11183" t="s">
        <v>12000</v>
      </c>
      <c r="G11183">
        <v>0</v>
      </c>
      <c r="H11183">
        <v>0</v>
      </c>
      <c r="I11183">
        <v>0</v>
      </c>
      <c r="J11183">
        <v>0</v>
      </c>
      <c r="K11183">
        <v>0</v>
      </c>
      <c r="L11183">
        <v>0</v>
      </c>
      <c r="M11183">
        <v>0</v>
      </c>
      <c r="N11183">
        <v>0</v>
      </c>
      <c r="O11183">
        <v>0</v>
      </c>
    </row>
    <row r="11184" spans="1:15" x14ac:dyDescent="0.35">
      <c r="A11184" t="s">
        <v>11985</v>
      </c>
      <c r="B11184" t="s">
        <v>11986</v>
      </c>
      <c r="C11184" t="s">
        <v>11188</v>
      </c>
      <c r="D11184" t="s">
        <v>314</v>
      </c>
      <c r="E11184" t="s">
        <v>306</v>
      </c>
      <c r="F11184" t="s">
        <v>12001</v>
      </c>
      <c r="G11184">
        <v>9</v>
      </c>
      <c r="H11184">
        <v>2086.4700000000003</v>
      </c>
      <c r="I11184">
        <v>231.83</v>
      </c>
      <c r="J11184">
        <v>0</v>
      </c>
      <c r="K11184">
        <v>0</v>
      </c>
      <c r="L11184">
        <v>0</v>
      </c>
      <c r="M11184">
        <v>9</v>
      </c>
      <c r="N11184">
        <v>2086.4700000000003</v>
      </c>
      <c r="O11184">
        <v>231.83</v>
      </c>
    </row>
    <row r="11185" spans="1:15" x14ac:dyDescent="0.35">
      <c r="A11185" t="s">
        <v>11985</v>
      </c>
      <c r="B11185" t="s">
        <v>11986</v>
      </c>
      <c r="C11185" t="s">
        <v>11188</v>
      </c>
      <c r="D11185" t="s">
        <v>314</v>
      </c>
      <c r="E11185" t="s">
        <v>308</v>
      </c>
      <c r="F11185" t="s">
        <v>12002</v>
      </c>
      <c r="G11185">
        <v>10</v>
      </c>
      <c r="H11185">
        <v>3257.6</v>
      </c>
      <c r="I11185">
        <v>325.76</v>
      </c>
      <c r="J11185">
        <v>0</v>
      </c>
      <c r="K11185">
        <v>0</v>
      </c>
      <c r="L11185">
        <v>0</v>
      </c>
      <c r="M11185">
        <v>10</v>
      </c>
      <c r="N11185">
        <v>3257.6</v>
      </c>
      <c r="O11185">
        <v>325.76</v>
      </c>
    </row>
    <row r="11186" spans="1:15" x14ac:dyDescent="0.35">
      <c r="A11186" t="s">
        <v>11985</v>
      </c>
      <c r="B11186" t="s">
        <v>11986</v>
      </c>
      <c r="C11186" t="s">
        <v>11188</v>
      </c>
      <c r="D11186" t="s">
        <v>314</v>
      </c>
      <c r="E11186" t="s">
        <v>312</v>
      </c>
      <c r="F11186" t="s">
        <v>12003</v>
      </c>
      <c r="G11186">
        <v>31</v>
      </c>
      <c r="H11186">
        <v>7941.9900000000007</v>
      </c>
      <c r="I11186">
        <v>256.19</v>
      </c>
      <c r="J11186">
        <v>0</v>
      </c>
      <c r="K11186">
        <v>0</v>
      </c>
      <c r="L11186">
        <v>0</v>
      </c>
      <c r="M11186">
        <v>31</v>
      </c>
      <c r="N11186">
        <v>7941.9900000000007</v>
      </c>
      <c r="O11186">
        <v>256.19</v>
      </c>
    </row>
    <row r="11187" spans="1:15" x14ac:dyDescent="0.35">
      <c r="A11187" t="s">
        <v>11985</v>
      </c>
      <c r="B11187" t="s">
        <v>11986</v>
      </c>
      <c r="C11187" t="s">
        <v>11188</v>
      </c>
      <c r="D11187" t="s">
        <v>314</v>
      </c>
      <c r="E11187" t="s">
        <v>310</v>
      </c>
      <c r="F11187" t="s">
        <v>12004</v>
      </c>
      <c r="G11187">
        <v>41</v>
      </c>
      <c r="H11187">
        <v>11199.59</v>
      </c>
      <c r="I11187">
        <v>273.16000000000003</v>
      </c>
      <c r="J11187">
        <v>0</v>
      </c>
      <c r="K11187">
        <v>0</v>
      </c>
      <c r="L11187">
        <v>0</v>
      </c>
      <c r="M11187">
        <v>41</v>
      </c>
      <c r="N11187">
        <v>11199.59</v>
      </c>
      <c r="O11187">
        <v>273.16000000000003</v>
      </c>
    </row>
    <row r="11188" spans="1:15" x14ac:dyDescent="0.35">
      <c r="A11188" t="s">
        <v>11985</v>
      </c>
      <c r="B11188" t="s">
        <v>11986</v>
      </c>
      <c r="C11188" t="s">
        <v>11188</v>
      </c>
      <c r="D11188" t="s">
        <v>323</v>
      </c>
      <c r="E11188" t="s">
        <v>294</v>
      </c>
      <c r="F11188" t="s">
        <v>12005</v>
      </c>
      <c r="G11188">
        <v>3678</v>
      </c>
      <c r="H11188">
        <v>547324.58000000007</v>
      </c>
      <c r="I11188">
        <v>148.81</v>
      </c>
      <c r="J11188">
        <v>1703</v>
      </c>
      <c r="K11188">
        <v>233549.41999999998</v>
      </c>
      <c r="L11188">
        <v>137.13999999999999</v>
      </c>
      <c r="M11188">
        <v>5381</v>
      </c>
      <c r="N11188">
        <v>780874</v>
      </c>
      <c r="O11188">
        <v>145.12</v>
      </c>
    </row>
    <row r="11189" spans="1:15" x14ac:dyDescent="0.35">
      <c r="A11189" t="s">
        <v>11985</v>
      </c>
      <c r="B11189" t="s">
        <v>11986</v>
      </c>
      <c r="C11189" t="s">
        <v>11188</v>
      </c>
      <c r="D11189" t="s">
        <v>323</v>
      </c>
      <c r="E11189" t="s">
        <v>296</v>
      </c>
      <c r="F11189" t="s">
        <v>12006</v>
      </c>
      <c r="G11189">
        <v>3200</v>
      </c>
      <c r="H11189">
        <v>513739.19</v>
      </c>
      <c r="I11189">
        <v>160.54</v>
      </c>
      <c r="J11189">
        <v>2490</v>
      </c>
      <c r="K11189">
        <v>395860.19999999995</v>
      </c>
      <c r="L11189">
        <v>158.97999999999999</v>
      </c>
      <c r="M11189">
        <v>5690</v>
      </c>
      <c r="N11189">
        <v>909599.3899999999</v>
      </c>
      <c r="O11189">
        <v>159.86000000000001</v>
      </c>
    </row>
    <row r="11190" spans="1:15" x14ac:dyDescent="0.35">
      <c r="A11190" t="s">
        <v>11985</v>
      </c>
      <c r="B11190" t="s">
        <v>11986</v>
      </c>
      <c r="C11190" t="s">
        <v>11188</v>
      </c>
      <c r="D11190" t="s">
        <v>323</v>
      </c>
      <c r="E11190" t="s">
        <v>298</v>
      </c>
      <c r="F11190" t="s">
        <v>12007</v>
      </c>
      <c r="G11190">
        <v>1627</v>
      </c>
      <c r="H11190">
        <v>283262.03999999998</v>
      </c>
      <c r="I11190">
        <v>174.1</v>
      </c>
      <c r="J11190">
        <v>1414</v>
      </c>
      <c r="K11190">
        <v>248651.9</v>
      </c>
      <c r="L11190">
        <v>175.85</v>
      </c>
      <c r="M11190">
        <v>3041</v>
      </c>
      <c r="N11190">
        <v>531913.93999999994</v>
      </c>
      <c r="O11190">
        <v>174.91</v>
      </c>
    </row>
    <row r="11191" spans="1:15" x14ac:dyDescent="0.35">
      <c r="A11191" t="s">
        <v>11985</v>
      </c>
      <c r="B11191" t="s">
        <v>11986</v>
      </c>
      <c r="C11191" t="s">
        <v>11188</v>
      </c>
      <c r="D11191" t="s">
        <v>323</v>
      </c>
      <c r="E11191" t="s">
        <v>300</v>
      </c>
      <c r="F11191" t="s">
        <v>12008</v>
      </c>
      <c r="G11191">
        <v>382</v>
      </c>
      <c r="H11191">
        <v>72978.14</v>
      </c>
      <c r="I11191">
        <v>191.04</v>
      </c>
      <c r="J11191">
        <v>267</v>
      </c>
      <c r="K11191">
        <v>52452.149999999994</v>
      </c>
      <c r="L11191">
        <v>196.45</v>
      </c>
      <c r="M11191">
        <v>649</v>
      </c>
      <c r="N11191">
        <v>125430.29</v>
      </c>
      <c r="O11191">
        <v>193.27</v>
      </c>
    </row>
    <row r="11192" spans="1:15" x14ac:dyDescent="0.35">
      <c r="A11192" t="s">
        <v>11985</v>
      </c>
      <c r="B11192" t="s">
        <v>11986</v>
      </c>
      <c r="C11192" t="s">
        <v>11188</v>
      </c>
      <c r="D11192" t="s">
        <v>323</v>
      </c>
      <c r="E11192" t="s">
        <v>302</v>
      </c>
      <c r="F11192" t="s">
        <v>12009</v>
      </c>
      <c r="G11192">
        <v>31</v>
      </c>
      <c r="H11192">
        <v>6348.5100000000011</v>
      </c>
      <c r="I11192">
        <v>204.79</v>
      </c>
      <c r="J11192">
        <v>14</v>
      </c>
      <c r="K11192">
        <v>2990.96</v>
      </c>
      <c r="L11192">
        <v>213.64</v>
      </c>
      <c r="M11192">
        <v>45</v>
      </c>
      <c r="N11192">
        <v>9339.4700000000012</v>
      </c>
      <c r="O11192">
        <v>207.54</v>
      </c>
    </row>
    <row r="11193" spans="1:15" x14ac:dyDescent="0.35">
      <c r="A11193" t="s">
        <v>11985</v>
      </c>
      <c r="B11193" t="s">
        <v>11986</v>
      </c>
      <c r="C11193" t="s">
        <v>11188</v>
      </c>
      <c r="D11193" t="s">
        <v>323</v>
      </c>
      <c r="E11193" t="s">
        <v>304</v>
      </c>
      <c r="F11193" t="s">
        <v>12010</v>
      </c>
      <c r="G11193">
        <v>3</v>
      </c>
      <c r="H11193">
        <v>624.66</v>
      </c>
      <c r="I11193">
        <v>208.22</v>
      </c>
      <c r="J11193">
        <v>0</v>
      </c>
      <c r="K11193">
        <v>0</v>
      </c>
      <c r="L11193">
        <v>0</v>
      </c>
      <c r="M11193">
        <v>3</v>
      </c>
      <c r="N11193">
        <v>624.66</v>
      </c>
      <c r="O11193">
        <v>208.22</v>
      </c>
    </row>
    <row r="11194" spans="1:15" x14ac:dyDescent="0.35">
      <c r="A11194" t="s">
        <v>11985</v>
      </c>
      <c r="B11194" t="s">
        <v>11986</v>
      </c>
      <c r="C11194" t="s">
        <v>11188</v>
      </c>
      <c r="D11194" t="s">
        <v>323</v>
      </c>
      <c r="E11194" t="s">
        <v>306</v>
      </c>
      <c r="F11194" t="s">
        <v>12011</v>
      </c>
      <c r="G11194">
        <v>453</v>
      </c>
      <c r="H11194">
        <v>59081.59</v>
      </c>
      <c r="I11194">
        <v>130.41999999999999</v>
      </c>
      <c r="J11194">
        <v>814</v>
      </c>
      <c r="K11194">
        <v>94358.88</v>
      </c>
      <c r="L11194">
        <v>115.92</v>
      </c>
      <c r="M11194">
        <v>1267</v>
      </c>
      <c r="N11194">
        <v>153440.47</v>
      </c>
      <c r="O11194">
        <v>121.11</v>
      </c>
    </row>
    <row r="11195" spans="1:15" x14ac:dyDescent="0.35">
      <c r="A11195" t="s">
        <v>11985</v>
      </c>
      <c r="B11195" t="s">
        <v>11986</v>
      </c>
      <c r="C11195" t="s">
        <v>11188</v>
      </c>
      <c r="D11195" t="s">
        <v>323</v>
      </c>
      <c r="E11195" t="s">
        <v>308</v>
      </c>
      <c r="F11195" t="s">
        <v>12012</v>
      </c>
      <c r="G11195">
        <v>6</v>
      </c>
      <c r="H11195">
        <v>1112.58</v>
      </c>
      <c r="I11195">
        <v>185.43</v>
      </c>
      <c r="J11195">
        <v>0</v>
      </c>
      <c r="K11195">
        <v>0</v>
      </c>
      <c r="L11195">
        <v>0</v>
      </c>
      <c r="M11195">
        <v>6</v>
      </c>
      <c r="N11195">
        <v>1112.58</v>
      </c>
      <c r="O11195">
        <v>185.43</v>
      </c>
    </row>
    <row r="11196" spans="1:15" x14ac:dyDescent="0.35">
      <c r="A11196" t="s">
        <v>11985</v>
      </c>
      <c r="B11196" t="s">
        <v>11986</v>
      </c>
      <c r="C11196" t="s">
        <v>11188</v>
      </c>
      <c r="D11196" t="s">
        <v>323</v>
      </c>
      <c r="E11196" t="s">
        <v>310</v>
      </c>
      <c r="F11196" t="s">
        <v>12013</v>
      </c>
      <c r="G11196">
        <v>9380</v>
      </c>
      <c r="H11196">
        <v>1484471.29</v>
      </c>
      <c r="I11196">
        <v>158.26</v>
      </c>
      <c r="J11196">
        <v>6702</v>
      </c>
      <c r="K11196">
        <v>1027863.5099999999</v>
      </c>
      <c r="L11196">
        <v>153.37</v>
      </c>
      <c r="M11196">
        <v>16082</v>
      </c>
      <c r="N11196">
        <v>2512334.7999999998</v>
      </c>
      <c r="O11196">
        <v>156.22</v>
      </c>
    </row>
    <row r="11197" spans="1:15" x14ac:dyDescent="0.35">
      <c r="A11197" t="s">
        <v>11985</v>
      </c>
      <c r="B11197" t="s">
        <v>11986</v>
      </c>
      <c r="C11197" t="s">
        <v>11188</v>
      </c>
      <c r="D11197" t="s">
        <v>323</v>
      </c>
      <c r="E11197" t="s">
        <v>312</v>
      </c>
      <c r="F11197" t="s">
        <v>12014</v>
      </c>
      <c r="G11197">
        <v>9374</v>
      </c>
      <c r="H11197">
        <v>1483358.71</v>
      </c>
      <c r="I11197">
        <v>158.24</v>
      </c>
      <c r="J11197">
        <v>6702</v>
      </c>
      <c r="K11197">
        <v>1027863.5099999999</v>
      </c>
      <c r="L11197">
        <v>153.37</v>
      </c>
      <c r="M11197">
        <v>16076</v>
      </c>
      <c r="N11197">
        <v>2511222.2199999997</v>
      </c>
      <c r="O11197">
        <v>156.21</v>
      </c>
    </row>
    <row r="11198" spans="1:15" x14ac:dyDescent="0.35">
      <c r="A11198" t="s">
        <v>11985</v>
      </c>
      <c r="B11198" t="s">
        <v>11986</v>
      </c>
      <c r="C11198" t="s">
        <v>11188</v>
      </c>
      <c r="D11198" t="s">
        <v>334</v>
      </c>
      <c r="E11198" t="s">
        <v>312</v>
      </c>
      <c r="F11198" t="s">
        <v>12015</v>
      </c>
      <c r="G11198">
        <v>10591</v>
      </c>
      <c r="H11198">
        <v>1655105.28</v>
      </c>
      <c r="I11198">
        <v>164.67</v>
      </c>
      <c r="J11198">
        <v>6736</v>
      </c>
      <c r="K11198">
        <v>1036406.9099999999</v>
      </c>
      <c r="L11198">
        <v>153.86000000000001</v>
      </c>
      <c r="M11198">
        <v>17327</v>
      </c>
      <c r="N11198">
        <v>2691512.19</v>
      </c>
      <c r="O11198">
        <v>160.33000000000001</v>
      </c>
    </row>
    <row r="11199" spans="1:15" x14ac:dyDescent="0.35">
      <c r="A11199" t="s">
        <v>11985</v>
      </c>
      <c r="B11199" t="s">
        <v>11986</v>
      </c>
      <c r="C11199" t="s">
        <v>11188</v>
      </c>
      <c r="D11199" t="s">
        <v>334</v>
      </c>
      <c r="E11199" t="s">
        <v>308</v>
      </c>
      <c r="F11199" t="s">
        <v>12016</v>
      </c>
      <c r="G11199">
        <v>310</v>
      </c>
      <c r="H11199">
        <v>1112.58</v>
      </c>
      <c r="I11199">
        <v>185.43</v>
      </c>
      <c r="J11199">
        <v>0</v>
      </c>
      <c r="K11199">
        <v>0</v>
      </c>
      <c r="L11199">
        <v>0</v>
      </c>
      <c r="M11199">
        <v>310</v>
      </c>
      <c r="N11199">
        <v>1112.58</v>
      </c>
      <c r="O11199">
        <v>185.43</v>
      </c>
    </row>
    <row r="11200" spans="1:15" x14ac:dyDescent="0.35">
      <c r="A11200" t="s">
        <v>11985</v>
      </c>
      <c r="B11200" t="s">
        <v>11986</v>
      </c>
      <c r="C11200" t="s">
        <v>11188</v>
      </c>
      <c r="D11200" t="s">
        <v>337</v>
      </c>
      <c r="E11200" t="s">
        <v>337</v>
      </c>
      <c r="F11200" t="s">
        <v>12017</v>
      </c>
      <c r="G11200">
        <v>552</v>
      </c>
      <c r="J11200">
        <v>0</v>
      </c>
      <c r="M11200">
        <v>552</v>
      </c>
    </row>
    <row r="11201" spans="1:15" x14ac:dyDescent="0.35">
      <c r="A11201" t="s">
        <v>11985</v>
      </c>
      <c r="B11201" t="s">
        <v>11986</v>
      </c>
      <c r="C11201" t="s">
        <v>11188</v>
      </c>
      <c r="D11201" t="s">
        <v>339</v>
      </c>
      <c r="E11201" t="s">
        <v>294</v>
      </c>
      <c r="F11201" t="s">
        <v>12018</v>
      </c>
      <c r="G11201">
        <v>691</v>
      </c>
      <c r="H11201">
        <v>114040.19999999998</v>
      </c>
      <c r="I11201">
        <v>165.04</v>
      </c>
      <c r="J11201">
        <v>80</v>
      </c>
      <c r="K11201">
        <v>11220.8</v>
      </c>
      <c r="L11201">
        <v>140.26</v>
      </c>
      <c r="M11201">
        <v>771</v>
      </c>
      <c r="N11201">
        <v>125260.99999999999</v>
      </c>
      <c r="O11201">
        <v>162.47</v>
      </c>
    </row>
    <row r="11202" spans="1:15" x14ac:dyDescent="0.35">
      <c r="A11202" t="s">
        <v>11985</v>
      </c>
      <c r="B11202" t="s">
        <v>11986</v>
      </c>
      <c r="C11202" t="s">
        <v>11188</v>
      </c>
      <c r="D11202" t="s">
        <v>339</v>
      </c>
      <c r="E11202" t="s">
        <v>296</v>
      </c>
      <c r="F11202" t="s">
        <v>12019</v>
      </c>
      <c r="G11202">
        <v>81</v>
      </c>
      <c r="H11202">
        <v>14395.49</v>
      </c>
      <c r="I11202">
        <v>177.72</v>
      </c>
      <c r="J11202">
        <v>5</v>
      </c>
      <c r="K11202">
        <v>785.25</v>
      </c>
      <c r="L11202">
        <v>157.05000000000001</v>
      </c>
      <c r="M11202">
        <v>86</v>
      </c>
      <c r="N11202">
        <v>15180.74</v>
      </c>
      <c r="O11202">
        <v>176.52</v>
      </c>
    </row>
    <row r="11203" spans="1:15" x14ac:dyDescent="0.35">
      <c r="A11203" t="s">
        <v>11985</v>
      </c>
      <c r="B11203" t="s">
        <v>11986</v>
      </c>
      <c r="C11203" t="s">
        <v>11188</v>
      </c>
      <c r="D11203" t="s">
        <v>339</v>
      </c>
      <c r="E11203" t="s">
        <v>298</v>
      </c>
      <c r="F11203" t="s">
        <v>12020</v>
      </c>
      <c r="G11203">
        <v>4</v>
      </c>
      <c r="H11203">
        <v>591.61</v>
      </c>
      <c r="I11203">
        <v>147.9</v>
      </c>
      <c r="J11203">
        <v>1</v>
      </c>
      <c r="K11203">
        <v>193.99</v>
      </c>
      <c r="L11203">
        <v>193.99</v>
      </c>
      <c r="M11203">
        <v>5</v>
      </c>
      <c r="N11203">
        <v>785.6</v>
      </c>
      <c r="O11203">
        <v>157.12</v>
      </c>
    </row>
    <row r="11204" spans="1:15" x14ac:dyDescent="0.35">
      <c r="A11204" t="s">
        <v>11985</v>
      </c>
      <c r="B11204" t="s">
        <v>11986</v>
      </c>
      <c r="C11204" t="s">
        <v>11188</v>
      </c>
      <c r="D11204" t="s">
        <v>339</v>
      </c>
      <c r="E11204" t="s">
        <v>300</v>
      </c>
      <c r="F11204" t="s">
        <v>12021</v>
      </c>
      <c r="G11204">
        <v>0</v>
      </c>
      <c r="H11204">
        <v>0</v>
      </c>
      <c r="I11204">
        <v>0</v>
      </c>
      <c r="J11204">
        <v>0</v>
      </c>
      <c r="K11204">
        <v>0</v>
      </c>
      <c r="L11204">
        <v>0</v>
      </c>
      <c r="M11204">
        <v>0</v>
      </c>
      <c r="N11204">
        <v>0</v>
      </c>
      <c r="O11204">
        <v>0</v>
      </c>
    </row>
    <row r="11205" spans="1:15" x14ac:dyDescent="0.35">
      <c r="A11205" t="s">
        <v>11985</v>
      </c>
      <c r="B11205" t="s">
        <v>11986</v>
      </c>
      <c r="C11205" t="s">
        <v>11188</v>
      </c>
      <c r="D11205" t="s">
        <v>339</v>
      </c>
      <c r="E11205" t="s">
        <v>306</v>
      </c>
      <c r="F11205" t="s">
        <v>12022</v>
      </c>
      <c r="G11205">
        <v>380</v>
      </c>
      <c r="H11205">
        <v>55794.49</v>
      </c>
      <c r="I11205">
        <v>146.83000000000001</v>
      </c>
      <c r="J11205">
        <v>182</v>
      </c>
      <c r="K11205">
        <v>20757.099999999999</v>
      </c>
      <c r="L11205">
        <v>114.05</v>
      </c>
      <c r="M11205">
        <v>562</v>
      </c>
      <c r="N11205">
        <v>76551.59</v>
      </c>
      <c r="O11205">
        <v>136.21</v>
      </c>
    </row>
    <row r="11206" spans="1:15" x14ac:dyDescent="0.35">
      <c r="A11206" t="s">
        <v>11985</v>
      </c>
      <c r="B11206" t="s">
        <v>11986</v>
      </c>
      <c r="C11206" t="s">
        <v>11188</v>
      </c>
      <c r="D11206" t="s">
        <v>339</v>
      </c>
      <c r="E11206" t="s">
        <v>308</v>
      </c>
      <c r="F11206" t="s">
        <v>12023</v>
      </c>
      <c r="G11206">
        <v>269</v>
      </c>
      <c r="H11206">
        <v>39045.379999999997</v>
      </c>
      <c r="I11206">
        <v>145.15</v>
      </c>
      <c r="J11206">
        <v>4</v>
      </c>
      <c r="K11206">
        <v>336.08</v>
      </c>
      <c r="L11206">
        <v>84.02</v>
      </c>
      <c r="M11206">
        <v>273</v>
      </c>
      <c r="N11206">
        <v>39381.46</v>
      </c>
      <c r="O11206">
        <v>144.25</v>
      </c>
    </row>
    <row r="11207" spans="1:15" x14ac:dyDescent="0.35">
      <c r="A11207" t="s">
        <v>11985</v>
      </c>
      <c r="B11207" t="s">
        <v>11986</v>
      </c>
      <c r="C11207" t="s">
        <v>11188</v>
      </c>
      <c r="D11207" t="s">
        <v>339</v>
      </c>
      <c r="E11207" t="s">
        <v>310</v>
      </c>
      <c r="F11207" t="s">
        <v>12024</v>
      </c>
      <c r="G11207">
        <v>1425</v>
      </c>
      <c r="H11207">
        <v>223867.16999999998</v>
      </c>
      <c r="I11207">
        <v>157.1</v>
      </c>
      <c r="J11207">
        <v>272</v>
      </c>
      <c r="K11207">
        <v>33293.22</v>
      </c>
      <c r="L11207">
        <v>122.4</v>
      </c>
      <c r="M11207">
        <v>1697</v>
      </c>
      <c r="N11207">
        <v>257160.38999999998</v>
      </c>
      <c r="O11207">
        <v>151.54</v>
      </c>
    </row>
    <row r="11208" spans="1:15" x14ac:dyDescent="0.35">
      <c r="A11208" t="s">
        <v>11985</v>
      </c>
      <c r="B11208" t="s">
        <v>11986</v>
      </c>
      <c r="C11208" t="s">
        <v>11188</v>
      </c>
      <c r="D11208" t="s">
        <v>339</v>
      </c>
      <c r="E11208" t="s">
        <v>312</v>
      </c>
      <c r="F11208" t="s">
        <v>12025</v>
      </c>
      <c r="G11208">
        <v>1156</v>
      </c>
      <c r="H11208">
        <v>184821.78999999998</v>
      </c>
      <c r="I11208">
        <v>159.88</v>
      </c>
      <c r="J11208">
        <v>268</v>
      </c>
      <c r="K11208">
        <v>32957.14</v>
      </c>
      <c r="L11208">
        <v>122.97</v>
      </c>
      <c r="M11208">
        <v>1424</v>
      </c>
      <c r="N11208">
        <v>217778.93</v>
      </c>
      <c r="O11208">
        <v>152.93</v>
      </c>
    </row>
    <row r="11209" spans="1:15" x14ac:dyDescent="0.35">
      <c r="A11209" t="s">
        <v>11985</v>
      </c>
      <c r="B11209" t="s">
        <v>11986</v>
      </c>
      <c r="C11209" t="s">
        <v>11188</v>
      </c>
      <c r="D11209" t="s">
        <v>348</v>
      </c>
      <c r="E11209" t="s">
        <v>349</v>
      </c>
      <c r="F11209" t="s">
        <v>12026</v>
      </c>
      <c r="G11209">
        <v>1818</v>
      </c>
      <c r="H11209">
        <v>235066.75999999995</v>
      </c>
      <c r="I11209">
        <v>160.35</v>
      </c>
      <c r="J11209">
        <v>272</v>
      </c>
      <c r="K11209">
        <v>33293.22</v>
      </c>
      <c r="L11209">
        <v>122.4</v>
      </c>
      <c r="M11209">
        <v>2090</v>
      </c>
      <c r="N11209">
        <v>268359.98</v>
      </c>
      <c r="O11209">
        <v>154.41</v>
      </c>
    </row>
    <row r="11210" spans="1:15" x14ac:dyDescent="0.35">
      <c r="A11210" t="s">
        <v>12027</v>
      </c>
      <c r="B11210" t="s">
        <v>12028</v>
      </c>
      <c r="C11210" t="s">
        <v>11188</v>
      </c>
      <c r="D11210" t="s">
        <v>293</v>
      </c>
      <c r="E11210" t="s">
        <v>294</v>
      </c>
      <c r="F11210" t="s">
        <v>12029</v>
      </c>
      <c r="G11210">
        <v>168</v>
      </c>
      <c r="H11210">
        <v>37947.94</v>
      </c>
      <c r="I11210">
        <v>225.88</v>
      </c>
      <c r="J11210">
        <v>32</v>
      </c>
      <c r="K11210">
        <v>6278.72</v>
      </c>
      <c r="L11210">
        <v>196.21</v>
      </c>
      <c r="M11210">
        <v>200</v>
      </c>
      <c r="N11210">
        <v>44226.66</v>
      </c>
      <c r="O11210">
        <v>221.13</v>
      </c>
    </row>
    <row r="11211" spans="1:15" x14ac:dyDescent="0.35">
      <c r="A11211" t="s">
        <v>12027</v>
      </c>
      <c r="B11211" t="s">
        <v>12028</v>
      </c>
      <c r="C11211" t="s">
        <v>11188</v>
      </c>
      <c r="D11211" t="s">
        <v>293</v>
      </c>
      <c r="E11211" t="s">
        <v>296</v>
      </c>
      <c r="F11211" t="s">
        <v>12030</v>
      </c>
      <c r="G11211">
        <v>167</v>
      </c>
      <c r="H11211">
        <v>46287.450000000004</v>
      </c>
      <c r="I11211">
        <v>277.17</v>
      </c>
      <c r="J11211">
        <v>65</v>
      </c>
      <c r="K11211">
        <v>14434.55</v>
      </c>
      <c r="L11211">
        <v>222.07</v>
      </c>
      <c r="M11211">
        <v>232</v>
      </c>
      <c r="N11211">
        <v>60722</v>
      </c>
      <c r="O11211">
        <v>261.73</v>
      </c>
    </row>
    <row r="11212" spans="1:15" x14ac:dyDescent="0.35">
      <c r="A11212" t="s">
        <v>12027</v>
      </c>
      <c r="B11212" t="s">
        <v>12028</v>
      </c>
      <c r="C11212" t="s">
        <v>11188</v>
      </c>
      <c r="D11212" t="s">
        <v>293</v>
      </c>
      <c r="E11212" t="s">
        <v>298</v>
      </c>
      <c r="F11212" t="s">
        <v>12031</v>
      </c>
      <c r="G11212">
        <v>96</v>
      </c>
      <c r="H11212">
        <v>30345.339999999997</v>
      </c>
      <c r="I11212">
        <v>316.10000000000002</v>
      </c>
      <c r="J11212">
        <v>52</v>
      </c>
      <c r="K11212">
        <v>14415.440000000002</v>
      </c>
      <c r="L11212">
        <v>277.22000000000003</v>
      </c>
      <c r="M11212">
        <v>148</v>
      </c>
      <c r="N11212">
        <v>44760.78</v>
      </c>
      <c r="O11212">
        <v>302.44</v>
      </c>
    </row>
    <row r="11213" spans="1:15" x14ac:dyDescent="0.35">
      <c r="A11213" t="s">
        <v>12027</v>
      </c>
      <c r="B11213" t="s">
        <v>12028</v>
      </c>
      <c r="C11213" t="s">
        <v>11188</v>
      </c>
      <c r="D11213" t="s">
        <v>293</v>
      </c>
      <c r="E11213" t="s">
        <v>300</v>
      </c>
      <c r="F11213" t="s">
        <v>12032</v>
      </c>
      <c r="G11213">
        <v>19</v>
      </c>
      <c r="H11213">
        <v>6182.85</v>
      </c>
      <c r="I11213">
        <v>325.41000000000003</v>
      </c>
      <c r="J11213">
        <v>7</v>
      </c>
      <c r="K11213">
        <v>2879.52</v>
      </c>
      <c r="L11213">
        <v>411.36</v>
      </c>
      <c r="M11213">
        <v>26</v>
      </c>
      <c r="N11213">
        <v>9062.3700000000008</v>
      </c>
      <c r="O11213">
        <v>348.55</v>
      </c>
    </row>
    <row r="11214" spans="1:15" x14ac:dyDescent="0.35">
      <c r="A11214" t="s">
        <v>12027</v>
      </c>
      <c r="B11214" t="s">
        <v>12028</v>
      </c>
      <c r="C11214" t="s">
        <v>11188</v>
      </c>
      <c r="D11214" t="s">
        <v>293</v>
      </c>
      <c r="E11214" t="s">
        <v>302</v>
      </c>
      <c r="F11214" t="s">
        <v>12033</v>
      </c>
      <c r="G11214">
        <v>2</v>
      </c>
      <c r="H11214">
        <v>703.81999999999994</v>
      </c>
      <c r="I11214">
        <v>351.91</v>
      </c>
      <c r="J11214">
        <v>0</v>
      </c>
      <c r="K11214">
        <v>0</v>
      </c>
      <c r="L11214">
        <v>0</v>
      </c>
      <c r="M11214">
        <v>2</v>
      </c>
      <c r="N11214">
        <v>703.81999999999994</v>
      </c>
      <c r="O11214">
        <v>351.91</v>
      </c>
    </row>
    <row r="11215" spans="1:15" x14ac:dyDescent="0.35">
      <c r="A11215" t="s">
        <v>12027</v>
      </c>
      <c r="B11215" t="s">
        <v>12028</v>
      </c>
      <c r="C11215" t="s">
        <v>11188</v>
      </c>
      <c r="D11215" t="s">
        <v>293</v>
      </c>
      <c r="E11215" t="s">
        <v>304</v>
      </c>
      <c r="F11215" t="s">
        <v>12034</v>
      </c>
      <c r="G11215">
        <v>0</v>
      </c>
      <c r="H11215">
        <v>0</v>
      </c>
      <c r="I11215">
        <v>0</v>
      </c>
      <c r="J11215">
        <v>0</v>
      </c>
      <c r="K11215">
        <v>0</v>
      </c>
      <c r="L11215">
        <v>0</v>
      </c>
      <c r="M11215">
        <v>0</v>
      </c>
      <c r="N11215">
        <v>0</v>
      </c>
      <c r="O11215">
        <v>0</v>
      </c>
    </row>
    <row r="11216" spans="1:15" x14ac:dyDescent="0.35">
      <c r="A11216" t="s">
        <v>12027</v>
      </c>
      <c r="B11216" t="s">
        <v>12028</v>
      </c>
      <c r="C11216" t="s">
        <v>11188</v>
      </c>
      <c r="D11216" t="s">
        <v>293</v>
      </c>
      <c r="E11216" t="s">
        <v>306</v>
      </c>
      <c r="F11216" t="s">
        <v>12035</v>
      </c>
      <c r="G11216">
        <v>1</v>
      </c>
      <c r="H11216">
        <v>199.32</v>
      </c>
      <c r="I11216">
        <v>199.32</v>
      </c>
      <c r="J11216">
        <v>0</v>
      </c>
      <c r="K11216">
        <v>0</v>
      </c>
      <c r="L11216">
        <v>0</v>
      </c>
      <c r="M11216">
        <v>1</v>
      </c>
      <c r="N11216">
        <v>199.32</v>
      </c>
      <c r="O11216">
        <v>199.32</v>
      </c>
    </row>
    <row r="11217" spans="1:15" x14ac:dyDescent="0.35">
      <c r="A11217" t="s">
        <v>12027</v>
      </c>
      <c r="B11217" t="s">
        <v>12028</v>
      </c>
      <c r="C11217" t="s">
        <v>11188</v>
      </c>
      <c r="D11217" t="s">
        <v>293</v>
      </c>
      <c r="E11217" t="s">
        <v>308</v>
      </c>
      <c r="F11217" t="s">
        <v>12036</v>
      </c>
      <c r="G11217">
        <v>0</v>
      </c>
      <c r="H11217">
        <v>0</v>
      </c>
      <c r="I11217">
        <v>0</v>
      </c>
      <c r="J11217">
        <v>0</v>
      </c>
      <c r="K11217">
        <v>0</v>
      </c>
      <c r="L11217">
        <v>0</v>
      </c>
      <c r="M11217">
        <v>0</v>
      </c>
      <c r="N11217">
        <v>0</v>
      </c>
      <c r="O11217">
        <v>0</v>
      </c>
    </row>
    <row r="11218" spans="1:15" x14ac:dyDescent="0.35">
      <c r="A11218" t="s">
        <v>12027</v>
      </c>
      <c r="B11218" t="s">
        <v>12028</v>
      </c>
      <c r="C11218" t="s">
        <v>11188</v>
      </c>
      <c r="D11218" t="s">
        <v>293</v>
      </c>
      <c r="E11218" t="s">
        <v>310</v>
      </c>
      <c r="F11218" t="s">
        <v>12037</v>
      </c>
      <c r="G11218">
        <v>453</v>
      </c>
      <c r="H11218">
        <v>121666.72000000003</v>
      </c>
      <c r="I11218">
        <v>268.58</v>
      </c>
      <c r="J11218">
        <v>156</v>
      </c>
      <c r="K11218">
        <v>38008.230000000003</v>
      </c>
      <c r="L11218">
        <v>243.64</v>
      </c>
      <c r="M11218">
        <v>609</v>
      </c>
      <c r="N11218">
        <v>159674.95000000004</v>
      </c>
      <c r="O11218">
        <v>262.19</v>
      </c>
    </row>
    <row r="11219" spans="1:15" x14ac:dyDescent="0.35">
      <c r="A11219" t="s">
        <v>12027</v>
      </c>
      <c r="B11219" t="s">
        <v>12028</v>
      </c>
      <c r="C11219" t="s">
        <v>11188</v>
      </c>
      <c r="D11219" t="s">
        <v>293</v>
      </c>
      <c r="E11219" t="s">
        <v>312</v>
      </c>
      <c r="F11219" t="s">
        <v>12038</v>
      </c>
      <c r="G11219">
        <v>453</v>
      </c>
      <c r="H11219">
        <v>121666.72000000003</v>
      </c>
      <c r="I11219">
        <v>268.58</v>
      </c>
      <c r="J11219">
        <v>156</v>
      </c>
      <c r="K11219">
        <v>38008.230000000003</v>
      </c>
      <c r="L11219">
        <v>243.64</v>
      </c>
      <c r="M11219">
        <v>609</v>
      </c>
      <c r="N11219">
        <v>159674.95000000004</v>
      </c>
      <c r="O11219">
        <v>262.19</v>
      </c>
    </row>
    <row r="11220" spans="1:15" x14ac:dyDescent="0.35">
      <c r="A11220" t="s">
        <v>12027</v>
      </c>
      <c r="B11220" t="s">
        <v>12039</v>
      </c>
      <c r="C11220" t="s">
        <v>11188</v>
      </c>
      <c r="D11220" t="s">
        <v>314</v>
      </c>
      <c r="E11220" t="s">
        <v>294</v>
      </c>
      <c r="F11220" t="s">
        <v>12040</v>
      </c>
      <c r="G11220">
        <v>0</v>
      </c>
      <c r="H11220">
        <v>0</v>
      </c>
      <c r="I11220">
        <v>0</v>
      </c>
      <c r="J11220">
        <v>0</v>
      </c>
      <c r="K11220">
        <v>0</v>
      </c>
      <c r="L11220">
        <v>0</v>
      </c>
      <c r="M11220">
        <v>0</v>
      </c>
      <c r="N11220">
        <v>0</v>
      </c>
      <c r="O11220">
        <v>0</v>
      </c>
    </row>
    <row r="11221" spans="1:15" x14ac:dyDescent="0.35">
      <c r="A11221" t="s">
        <v>12027</v>
      </c>
      <c r="B11221" t="s">
        <v>12039</v>
      </c>
      <c r="C11221" t="s">
        <v>11188</v>
      </c>
      <c r="D11221" t="s">
        <v>314</v>
      </c>
      <c r="E11221" t="s">
        <v>296</v>
      </c>
      <c r="F11221" t="s">
        <v>12041</v>
      </c>
      <c r="G11221">
        <v>0</v>
      </c>
      <c r="H11221">
        <v>0</v>
      </c>
      <c r="I11221">
        <v>0</v>
      </c>
      <c r="J11221">
        <v>0</v>
      </c>
      <c r="K11221">
        <v>0</v>
      </c>
      <c r="L11221">
        <v>0</v>
      </c>
      <c r="M11221">
        <v>0</v>
      </c>
      <c r="N11221">
        <v>0</v>
      </c>
      <c r="O11221">
        <v>0</v>
      </c>
    </row>
    <row r="11222" spans="1:15" x14ac:dyDescent="0.35">
      <c r="A11222" t="s">
        <v>12027</v>
      </c>
      <c r="B11222" t="s">
        <v>12039</v>
      </c>
      <c r="C11222" t="s">
        <v>11188</v>
      </c>
      <c r="D11222" t="s">
        <v>314</v>
      </c>
      <c r="E11222" t="s">
        <v>298</v>
      </c>
      <c r="F11222" t="s">
        <v>12042</v>
      </c>
      <c r="G11222">
        <v>0</v>
      </c>
      <c r="H11222">
        <v>0</v>
      </c>
      <c r="I11222">
        <v>0</v>
      </c>
      <c r="J11222">
        <v>0</v>
      </c>
      <c r="K11222">
        <v>0</v>
      </c>
      <c r="L11222">
        <v>0</v>
      </c>
      <c r="M11222">
        <v>0</v>
      </c>
      <c r="N11222">
        <v>0</v>
      </c>
      <c r="O11222">
        <v>0</v>
      </c>
    </row>
    <row r="11223" spans="1:15" x14ac:dyDescent="0.35">
      <c r="A11223" t="s">
        <v>12027</v>
      </c>
      <c r="B11223" t="s">
        <v>12039</v>
      </c>
      <c r="C11223" t="s">
        <v>11188</v>
      </c>
      <c r="D11223" t="s">
        <v>314</v>
      </c>
      <c r="E11223" t="s">
        <v>300</v>
      </c>
      <c r="F11223" t="s">
        <v>12043</v>
      </c>
      <c r="G11223">
        <v>0</v>
      </c>
      <c r="H11223">
        <v>0</v>
      </c>
      <c r="I11223">
        <v>0</v>
      </c>
      <c r="J11223">
        <v>0</v>
      </c>
      <c r="K11223">
        <v>0</v>
      </c>
      <c r="L11223">
        <v>0</v>
      </c>
      <c r="M11223">
        <v>0</v>
      </c>
      <c r="N11223">
        <v>0</v>
      </c>
      <c r="O11223">
        <v>0</v>
      </c>
    </row>
    <row r="11224" spans="1:15" x14ac:dyDescent="0.35">
      <c r="A11224" t="s">
        <v>12027</v>
      </c>
      <c r="B11224" t="s">
        <v>12039</v>
      </c>
      <c r="C11224" t="s">
        <v>11188</v>
      </c>
      <c r="D11224" t="s">
        <v>314</v>
      </c>
      <c r="E11224" t="s">
        <v>306</v>
      </c>
      <c r="F11224" t="s">
        <v>12044</v>
      </c>
      <c r="G11224">
        <v>0</v>
      </c>
      <c r="H11224">
        <v>0</v>
      </c>
      <c r="I11224">
        <v>0</v>
      </c>
      <c r="J11224">
        <v>0</v>
      </c>
      <c r="K11224">
        <v>0</v>
      </c>
      <c r="L11224">
        <v>0</v>
      </c>
      <c r="M11224">
        <v>0</v>
      </c>
      <c r="N11224">
        <v>0</v>
      </c>
      <c r="O11224">
        <v>0</v>
      </c>
    </row>
    <row r="11225" spans="1:15" x14ac:dyDescent="0.35">
      <c r="A11225" t="s">
        <v>12027</v>
      </c>
      <c r="B11225" t="s">
        <v>12039</v>
      </c>
      <c r="C11225" t="s">
        <v>11188</v>
      </c>
      <c r="D11225" t="s">
        <v>314</v>
      </c>
      <c r="E11225" t="s">
        <v>308</v>
      </c>
      <c r="F11225" t="s">
        <v>12045</v>
      </c>
      <c r="G11225">
        <v>0</v>
      </c>
      <c r="H11225">
        <v>0</v>
      </c>
      <c r="I11225">
        <v>0</v>
      </c>
      <c r="J11225">
        <v>0</v>
      </c>
      <c r="K11225">
        <v>0</v>
      </c>
      <c r="L11225">
        <v>0</v>
      </c>
      <c r="M11225">
        <v>0</v>
      </c>
      <c r="N11225">
        <v>0</v>
      </c>
      <c r="O11225">
        <v>0</v>
      </c>
    </row>
    <row r="11226" spans="1:15" x14ac:dyDescent="0.35">
      <c r="A11226" t="s">
        <v>12027</v>
      </c>
      <c r="B11226" t="s">
        <v>12039</v>
      </c>
      <c r="C11226" t="s">
        <v>11188</v>
      </c>
      <c r="D11226" t="s">
        <v>314</v>
      </c>
      <c r="E11226" t="s">
        <v>312</v>
      </c>
      <c r="F11226" t="s">
        <v>12046</v>
      </c>
      <c r="G11226">
        <v>0</v>
      </c>
      <c r="H11226">
        <v>0</v>
      </c>
      <c r="I11226">
        <v>0</v>
      </c>
      <c r="J11226">
        <v>0</v>
      </c>
      <c r="K11226">
        <v>0</v>
      </c>
      <c r="L11226">
        <v>0</v>
      </c>
      <c r="M11226">
        <v>0</v>
      </c>
      <c r="N11226">
        <v>0</v>
      </c>
      <c r="O11226">
        <v>0</v>
      </c>
    </row>
    <row r="11227" spans="1:15" x14ac:dyDescent="0.35">
      <c r="A11227" t="s">
        <v>12027</v>
      </c>
      <c r="B11227" t="s">
        <v>12039</v>
      </c>
      <c r="C11227" t="s">
        <v>11188</v>
      </c>
      <c r="D11227" t="s">
        <v>314</v>
      </c>
      <c r="E11227" t="s">
        <v>310</v>
      </c>
      <c r="F11227" t="s">
        <v>12047</v>
      </c>
      <c r="G11227">
        <v>0</v>
      </c>
      <c r="H11227">
        <v>0</v>
      </c>
      <c r="I11227">
        <v>0</v>
      </c>
      <c r="J11227">
        <v>0</v>
      </c>
      <c r="K11227">
        <v>0</v>
      </c>
      <c r="L11227">
        <v>0</v>
      </c>
      <c r="M11227">
        <v>0</v>
      </c>
      <c r="N11227">
        <v>0</v>
      </c>
      <c r="O11227">
        <v>0</v>
      </c>
    </row>
    <row r="11228" spans="1:15" x14ac:dyDescent="0.35">
      <c r="A11228" t="s">
        <v>12027</v>
      </c>
      <c r="B11228" t="s">
        <v>12028</v>
      </c>
      <c r="C11228" t="s">
        <v>11188</v>
      </c>
      <c r="D11228" t="s">
        <v>323</v>
      </c>
      <c r="E11228" t="s">
        <v>294</v>
      </c>
      <c r="F11228" t="s">
        <v>12048</v>
      </c>
      <c r="G11228">
        <v>362</v>
      </c>
      <c r="H11228">
        <v>48522.869999999995</v>
      </c>
      <c r="I11228">
        <v>134.04</v>
      </c>
      <c r="J11228">
        <v>1370</v>
      </c>
      <c r="K11228">
        <v>167742.79999999999</v>
      </c>
      <c r="L11228">
        <v>122.44</v>
      </c>
      <c r="M11228">
        <v>1732</v>
      </c>
      <c r="N11228">
        <v>216265.66999999998</v>
      </c>
      <c r="O11228">
        <v>124.86</v>
      </c>
    </row>
    <row r="11229" spans="1:15" x14ac:dyDescent="0.35">
      <c r="A11229" t="s">
        <v>12027</v>
      </c>
      <c r="B11229" t="s">
        <v>12028</v>
      </c>
      <c r="C11229" t="s">
        <v>11188</v>
      </c>
      <c r="D11229" t="s">
        <v>323</v>
      </c>
      <c r="E11229" t="s">
        <v>296</v>
      </c>
      <c r="F11229" t="s">
        <v>12049</v>
      </c>
      <c r="G11229">
        <v>668</v>
      </c>
      <c r="H11229">
        <v>108133.74000000002</v>
      </c>
      <c r="I11229">
        <v>161.88</v>
      </c>
      <c r="J11229">
        <v>1432</v>
      </c>
      <c r="K11229">
        <v>197873.76</v>
      </c>
      <c r="L11229">
        <v>138.18</v>
      </c>
      <c r="M11229">
        <v>2100</v>
      </c>
      <c r="N11229">
        <v>306007.5</v>
      </c>
      <c r="O11229">
        <v>145.72</v>
      </c>
    </row>
    <row r="11230" spans="1:15" x14ac:dyDescent="0.35">
      <c r="A11230" t="s">
        <v>12027</v>
      </c>
      <c r="B11230" t="s">
        <v>12028</v>
      </c>
      <c r="C11230" t="s">
        <v>11188</v>
      </c>
      <c r="D11230" t="s">
        <v>323</v>
      </c>
      <c r="E11230" t="s">
        <v>298</v>
      </c>
      <c r="F11230" t="s">
        <v>12050</v>
      </c>
      <c r="G11230">
        <v>284</v>
      </c>
      <c r="H11230">
        <v>50582.560000000005</v>
      </c>
      <c r="I11230">
        <v>178.11</v>
      </c>
      <c r="J11230">
        <v>1123</v>
      </c>
      <c r="K11230">
        <v>176827.58000000002</v>
      </c>
      <c r="L11230">
        <v>157.46</v>
      </c>
      <c r="M11230">
        <v>1407</v>
      </c>
      <c r="N11230">
        <v>227410.14</v>
      </c>
      <c r="O11230">
        <v>161.63</v>
      </c>
    </row>
    <row r="11231" spans="1:15" x14ac:dyDescent="0.35">
      <c r="A11231" t="s">
        <v>12027</v>
      </c>
      <c r="B11231" t="s">
        <v>12028</v>
      </c>
      <c r="C11231" t="s">
        <v>11188</v>
      </c>
      <c r="D11231" t="s">
        <v>323</v>
      </c>
      <c r="E11231" t="s">
        <v>300</v>
      </c>
      <c r="F11231" t="s">
        <v>12051</v>
      </c>
      <c r="G11231">
        <v>116</v>
      </c>
      <c r="H11231">
        <v>22148.3</v>
      </c>
      <c r="I11231">
        <v>190.93</v>
      </c>
      <c r="J11231">
        <v>60</v>
      </c>
      <c r="K11231">
        <v>10429.800000000001</v>
      </c>
      <c r="L11231">
        <v>173.83</v>
      </c>
      <c r="M11231">
        <v>176</v>
      </c>
      <c r="N11231">
        <v>32578.1</v>
      </c>
      <c r="O11231">
        <v>185.1</v>
      </c>
    </row>
    <row r="11232" spans="1:15" x14ac:dyDescent="0.35">
      <c r="A11232" t="s">
        <v>12027</v>
      </c>
      <c r="B11232" t="s">
        <v>12028</v>
      </c>
      <c r="C11232" t="s">
        <v>11188</v>
      </c>
      <c r="D11232" t="s">
        <v>323</v>
      </c>
      <c r="E11232" t="s">
        <v>302</v>
      </c>
      <c r="F11232" t="s">
        <v>12052</v>
      </c>
      <c r="G11232">
        <v>12</v>
      </c>
      <c r="H11232">
        <v>2363.58</v>
      </c>
      <c r="I11232">
        <v>196.97</v>
      </c>
      <c r="J11232">
        <v>6</v>
      </c>
      <c r="K11232">
        <v>1187.82</v>
      </c>
      <c r="L11232">
        <v>197.97</v>
      </c>
      <c r="M11232">
        <v>18</v>
      </c>
      <c r="N11232">
        <v>3551.3999999999996</v>
      </c>
      <c r="O11232">
        <v>197.3</v>
      </c>
    </row>
    <row r="11233" spans="1:15" x14ac:dyDescent="0.35">
      <c r="A11233" t="s">
        <v>12027</v>
      </c>
      <c r="B11233" t="s">
        <v>12028</v>
      </c>
      <c r="C11233" t="s">
        <v>11188</v>
      </c>
      <c r="D11233" t="s">
        <v>323</v>
      </c>
      <c r="E11233" t="s">
        <v>304</v>
      </c>
      <c r="F11233" t="s">
        <v>12053</v>
      </c>
      <c r="G11233">
        <v>1</v>
      </c>
      <c r="H11233">
        <v>216.27</v>
      </c>
      <c r="I11233">
        <v>216.27</v>
      </c>
      <c r="J11233">
        <v>1</v>
      </c>
      <c r="K11233">
        <v>225.47</v>
      </c>
      <c r="L11233">
        <v>225.47</v>
      </c>
      <c r="M11233">
        <v>2</v>
      </c>
      <c r="N11233">
        <v>441.74</v>
      </c>
      <c r="O11233">
        <v>220.87</v>
      </c>
    </row>
    <row r="11234" spans="1:15" x14ac:dyDescent="0.35">
      <c r="A11234" t="s">
        <v>12027</v>
      </c>
      <c r="B11234" t="s">
        <v>12028</v>
      </c>
      <c r="C11234" t="s">
        <v>11188</v>
      </c>
      <c r="D11234" t="s">
        <v>323</v>
      </c>
      <c r="E11234" t="s">
        <v>306</v>
      </c>
      <c r="F11234" t="s">
        <v>12054</v>
      </c>
      <c r="G11234">
        <v>17</v>
      </c>
      <c r="H11234">
        <v>1998.23</v>
      </c>
      <c r="I11234">
        <v>117.54</v>
      </c>
      <c r="J11234">
        <v>278</v>
      </c>
      <c r="K11234">
        <v>29468</v>
      </c>
      <c r="L11234">
        <v>106</v>
      </c>
      <c r="M11234">
        <v>295</v>
      </c>
      <c r="N11234">
        <v>31466.23</v>
      </c>
      <c r="O11234">
        <v>106.67</v>
      </c>
    </row>
    <row r="11235" spans="1:15" x14ac:dyDescent="0.35">
      <c r="A11235" t="s">
        <v>12027</v>
      </c>
      <c r="B11235" t="s">
        <v>12028</v>
      </c>
      <c r="C11235" t="s">
        <v>11188</v>
      </c>
      <c r="D11235" t="s">
        <v>323</v>
      </c>
      <c r="E11235" t="s">
        <v>308</v>
      </c>
      <c r="F11235" t="s">
        <v>12055</v>
      </c>
      <c r="G11235">
        <v>5</v>
      </c>
      <c r="H11235">
        <v>588.95000000000005</v>
      </c>
      <c r="I11235">
        <v>117.79</v>
      </c>
      <c r="J11235">
        <v>0</v>
      </c>
      <c r="K11235">
        <v>0</v>
      </c>
      <c r="L11235">
        <v>0</v>
      </c>
      <c r="M11235">
        <v>5</v>
      </c>
      <c r="N11235">
        <v>588.95000000000005</v>
      </c>
      <c r="O11235">
        <v>117.79</v>
      </c>
    </row>
    <row r="11236" spans="1:15" x14ac:dyDescent="0.35">
      <c r="A11236" t="s">
        <v>12027</v>
      </c>
      <c r="B11236" t="s">
        <v>12028</v>
      </c>
      <c r="C11236" t="s">
        <v>11188</v>
      </c>
      <c r="D11236" t="s">
        <v>323</v>
      </c>
      <c r="E11236" t="s">
        <v>310</v>
      </c>
      <c r="F11236" t="s">
        <v>12056</v>
      </c>
      <c r="G11236">
        <v>1465</v>
      </c>
      <c r="H11236">
        <v>234554.5</v>
      </c>
      <c r="I11236">
        <v>160.11000000000001</v>
      </c>
      <c r="J11236">
        <v>4270</v>
      </c>
      <c r="K11236">
        <v>583755.23</v>
      </c>
      <c r="L11236">
        <v>136.71</v>
      </c>
      <c r="M11236">
        <v>5735</v>
      </c>
      <c r="N11236">
        <v>818309.73</v>
      </c>
      <c r="O11236">
        <v>142.69</v>
      </c>
    </row>
    <row r="11237" spans="1:15" x14ac:dyDescent="0.35">
      <c r="A11237" t="s">
        <v>12027</v>
      </c>
      <c r="B11237" t="s">
        <v>12028</v>
      </c>
      <c r="C11237" t="s">
        <v>11188</v>
      </c>
      <c r="D11237" t="s">
        <v>323</v>
      </c>
      <c r="E11237" t="s">
        <v>312</v>
      </c>
      <c r="F11237" t="s">
        <v>12057</v>
      </c>
      <c r="G11237">
        <v>1460</v>
      </c>
      <c r="H11237">
        <v>233965.55</v>
      </c>
      <c r="I11237">
        <v>160.25</v>
      </c>
      <c r="J11237">
        <v>4270</v>
      </c>
      <c r="K11237">
        <v>583755.23</v>
      </c>
      <c r="L11237">
        <v>136.71</v>
      </c>
      <c r="M11237">
        <v>5730</v>
      </c>
      <c r="N11237">
        <v>817720.78</v>
      </c>
      <c r="O11237">
        <v>142.71</v>
      </c>
    </row>
    <row r="11238" spans="1:15" x14ac:dyDescent="0.35">
      <c r="A11238" t="s">
        <v>12027</v>
      </c>
      <c r="B11238" t="s">
        <v>12028</v>
      </c>
      <c r="C11238" t="s">
        <v>11188</v>
      </c>
      <c r="D11238" t="s">
        <v>334</v>
      </c>
      <c r="E11238" t="s">
        <v>312</v>
      </c>
      <c r="F11238" t="s">
        <v>12058</v>
      </c>
      <c r="G11238">
        <v>2358</v>
      </c>
      <c r="H11238">
        <v>355632.27000000008</v>
      </c>
      <c r="I11238">
        <v>185.9</v>
      </c>
      <c r="J11238">
        <v>4426</v>
      </c>
      <c r="K11238">
        <v>621763.46000000008</v>
      </c>
      <c r="L11238">
        <v>140.47999999999999</v>
      </c>
      <c r="M11238">
        <v>6784</v>
      </c>
      <c r="N11238">
        <v>977395.73000000021</v>
      </c>
      <c r="O11238">
        <v>154.19</v>
      </c>
    </row>
    <row r="11239" spans="1:15" x14ac:dyDescent="0.35">
      <c r="A11239" t="s">
        <v>12027</v>
      </c>
      <c r="B11239" t="s">
        <v>12028</v>
      </c>
      <c r="C11239" t="s">
        <v>11188</v>
      </c>
      <c r="D11239" t="s">
        <v>334</v>
      </c>
      <c r="E11239" t="s">
        <v>308</v>
      </c>
      <c r="F11239" t="s">
        <v>12059</v>
      </c>
      <c r="G11239">
        <v>94</v>
      </c>
      <c r="H11239">
        <v>588.95000000000005</v>
      </c>
      <c r="I11239">
        <v>117.79</v>
      </c>
      <c r="J11239">
        <v>0</v>
      </c>
      <c r="K11239">
        <v>0</v>
      </c>
      <c r="L11239">
        <v>0</v>
      </c>
      <c r="M11239">
        <v>94</v>
      </c>
      <c r="N11239">
        <v>588.95000000000005</v>
      </c>
      <c r="O11239">
        <v>117.79</v>
      </c>
    </row>
    <row r="11240" spans="1:15" x14ac:dyDescent="0.35">
      <c r="A11240" t="s">
        <v>12027</v>
      </c>
      <c r="B11240" t="s">
        <v>12028</v>
      </c>
      <c r="C11240" t="s">
        <v>11188</v>
      </c>
      <c r="D11240" t="s">
        <v>337</v>
      </c>
      <c r="E11240" t="s">
        <v>337</v>
      </c>
      <c r="F11240" t="s">
        <v>12060</v>
      </c>
      <c r="G11240">
        <v>547</v>
      </c>
      <c r="J11240">
        <v>37</v>
      </c>
      <c r="M11240">
        <v>584</v>
      </c>
    </row>
    <row r="11241" spans="1:15" x14ac:dyDescent="0.35">
      <c r="A11241" t="s">
        <v>12027</v>
      </c>
      <c r="B11241" t="s">
        <v>12028</v>
      </c>
      <c r="C11241" t="s">
        <v>11188</v>
      </c>
      <c r="D11241" t="s">
        <v>339</v>
      </c>
      <c r="E11241" t="s">
        <v>294</v>
      </c>
      <c r="F11241" t="s">
        <v>12061</v>
      </c>
      <c r="G11241">
        <v>163</v>
      </c>
      <c r="H11241">
        <v>25100.63</v>
      </c>
      <c r="I11241">
        <v>153.99</v>
      </c>
      <c r="J11241">
        <v>0</v>
      </c>
      <c r="K11241">
        <v>0</v>
      </c>
      <c r="L11241">
        <v>0</v>
      </c>
      <c r="M11241">
        <v>163</v>
      </c>
      <c r="N11241">
        <v>25100.63</v>
      </c>
      <c r="O11241">
        <v>153.99</v>
      </c>
    </row>
    <row r="11242" spans="1:15" x14ac:dyDescent="0.35">
      <c r="A11242" t="s">
        <v>12027</v>
      </c>
      <c r="B11242" t="s">
        <v>12028</v>
      </c>
      <c r="C11242" t="s">
        <v>11188</v>
      </c>
      <c r="D11242" t="s">
        <v>339</v>
      </c>
      <c r="E11242" t="s">
        <v>296</v>
      </c>
      <c r="F11242" t="s">
        <v>12062</v>
      </c>
      <c r="G11242">
        <v>20</v>
      </c>
      <c r="H11242">
        <v>3235.6299999999997</v>
      </c>
      <c r="I11242">
        <v>161.78</v>
      </c>
      <c r="J11242">
        <v>0</v>
      </c>
      <c r="K11242">
        <v>0</v>
      </c>
      <c r="L11242">
        <v>0</v>
      </c>
      <c r="M11242">
        <v>20</v>
      </c>
      <c r="N11242">
        <v>3235.6299999999997</v>
      </c>
      <c r="O11242">
        <v>161.78</v>
      </c>
    </row>
    <row r="11243" spans="1:15" x14ac:dyDescent="0.35">
      <c r="A11243" t="s">
        <v>12027</v>
      </c>
      <c r="B11243" t="s">
        <v>12028</v>
      </c>
      <c r="C11243" t="s">
        <v>11188</v>
      </c>
      <c r="D11243" t="s">
        <v>339</v>
      </c>
      <c r="E11243" t="s">
        <v>298</v>
      </c>
      <c r="F11243" t="s">
        <v>12063</v>
      </c>
      <c r="G11243">
        <v>1</v>
      </c>
      <c r="H11243">
        <v>199.13</v>
      </c>
      <c r="I11243">
        <v>199.13</v>
      </c>
      <c r="J11243">
        <v>0</v>
      </c>
      <c r="K11243">
        <v>0</v>
      </c>
      <c r="L11243">
        <v>0</v>
      </c>
      <c r="M11243">
        <v>1</v>
      </c>
      <c r="N11243">
        <v>199.13</v>
      </c>
      <c r="O11243">
        <v>199.13</v>
      </c>
    </row>
    <row r="11244" spans="1:15" x14ac:dyDescent="0.35">
      <c r="A11244" t="s">
        <v>12027</v>
      </c>
      <c r="B11244" t="s">
        <v>12028</v>
      </c>
      <c r="C11244" t="s">
        <v>11188</v>
      </c>
      <c r="D11244" t="s">
        <v>339</v>
      </c>
      <c r="E11244" t="s">
        <v>300</v>
      </c>
      <c r="F11244" t="s">
        <v>12064</v>
      </c>
      <c r="G11244">
        <v>0</v>
      </c>
      <c r="H11244">
        <v>0</v>
      </c>
      <c r="I11244">
        <v>0</v>
      </c>
      <c r="J11244">
        <v>0</v>
      </c>
      <c r="K11244">
        <v>0</v>
      </c>
      <c r="L11244">
        <v>0</v>
      </c>
      <c r="M11244">
        <v>0</v>
      </c>
      <c r="N11244">
        <v>0</v>
      </c>
      <c r="O11244">
        <v>0</v>
      </c>
    </row>
    <row r="11245" spans="1:15" x14ac:dyDescent="0.35">
      <c r="A11245" t="s">
        <v>12027</v>
      </c>
      <c r="B11245" t="s">
        <v>12028</v>
      </c>
      <c r="C11245" t="s">
        <v>11188</v>
      </c>
      <c r="D11245" t="s">
        <v>339</v>
      </c>
      <c r="E11245" t="s">
        <v>306</v>
      </c>
      <c r="F11245" t="s">
        <v>12065</v>
      </c>
      <c r="G11245">
        <v>106</v>
      </c>
      <c r="H11245">
        <v>11963.33</v>
      </c>
      <c r="I11245">
        <v>112.86</v>
      </c>
      <c r="J11245">
        <v>0</v>
      </c>
      <c r="K11245">
        <v>0</v>
      </c>
      <c r="L11245">
        <v>0</v>
      </c>
      <c r="M11245">
        <v>106</v>
      </c>
      <c r="N11245">
        <v>11963.33</v>
      </c>
      <c r="O11245">
        <v>112.86</v>
      </c>
    </row>
    <row r="11246" spans="1:15" x14ac:dyDescent="0.35">
      <c r="A11246" t="s">
        <v>12027</v>
      </c>
      <c r="B11246" t="s">
        <v>12028</v>
      </c>
      <c r="C11246" t="s">
        <v>11188</v>
      </c>
      <c r="D11246" t="s">
        <v>339</v>
      </c>
      <c r="E11246" t="s">
        <v>308</v>
      </c>
      <c r="F11246" t="s">
        <v>12066</v>
      </c>
      <c r="G11246">
        <v>182</v>
      </c>
      <c r="H11246">
        <v>34770.740000000005</v>
      </c>
      <c r="I11246">
        <v>191.05</v>
      </c>
      <c r="J11246">
        <v>0</v>
      </c>
      <c r="K11246">
        <v>0</v>
      </c>
      <c r="L11246">
        <v>0</v>
      </c>
      <c r="M11246">
        <v>182</v>
      </c>
      <c r="N11246">
        <v>34770.740000000005</v>
      </c>
      <c r="O11246">
        <v>191.05</v>
      </c>
    </row>
    <row r="11247" spans="1:15" x14ac:dyDescent="0.35">
      <c r="A11247" t="s">
        <v>12027</v>
      </c>
      <c r="B11247" t="s">
        <v>12028</v>
      </c>
      <c r="C11247" t="s">
        <v>11188</v>
      </c>
      <c r="D11247" t="s">
        <v>339</v>
      </c>
      <c r="E11247" t="s">
        <v>310</v>
      </c>
      <c r="F11247" t="s">
        <v>12067</v>
      </c>
      <c r="G11247">
        <v>472</v>
      </c>
      <c r="H11247">
        <v>75269.460000000006</v>
      </c>
      <c r="I11247">
        <v>159.47</v>
      </c>
      <c r="J11247">
        <v>0</v>
      </c>
      <c r="K11247">
        <v>0</v>
      </c>
      <c r="L11247">
        <v>0</v>
      </c>
      <c r="M11247">
        <v>472</v>
      </c>
      <c r="N11247">
        <v>75269.460000000006</v>
      </c>
      <c r="O11247">
        <v>159.47</v>
      </c>
    </row>
    <row r="11248" spans="1:15" x14ac:dyDescent="0.35">
      <c r="A11248" t="s">
        <v>12027</v>
      </c>
      <c r="B11248" t="s">
        <v>12028</v>
      </c>
      <c r="C11248" t="s">
        <v>11188</v>
      </c>
      <c r="D11248" t="s">
        <v>339</v>
      </c>
      <c r="E11248" t="s">
        <v>312</v>
      </c>
      <c r="F11248" t="s">
        <v>12068</v>
      </c>
      <c r="G11248">
        <v>290</v>
      </c>
      <c r="H11248">
        <v>40498.720000000001</v>
      </c>
      <c r="I11248">
        <v>139.65</v>
      </c>
      <c r="J11248">
        <v>0</v>
      </c>
      <c r="K11248">
        <v>0</v>
      </c>
      <c r="L11248">
        <v>0</v>
      </c>
      <c r="M11248">
        <v>290</v>
      </c>
      <c r="N11248">
        <v>40498.720000000001</v>
      </c>
      <c r="O11248">
        <v>139.65</v>
      </c>
    </row>
    <row r="11249" spans="1:15" x14ac:dyDescent="0.35">
      <c r="A11249" t="s">
        <v>12027</v>
      </c>
      <c r="B11249" t="s">
        <v>12039</v>
      </c>
      <c r="C11249" t="s">
        <v>11188</v>
      </c>
      <c r="D11249" t="s">
        <v>348</v>
      </c>
      <c r="E11249" t="s">
        <v>349</v>
      </c>
      <c r="F11249" t="s">
        <v>12069</v>
      </c>
      <c r="G11249">
        <v>499</v>
      </c>
      <c r="H11249">
        <v>0</v>
      </c>
      <c r="I11249">
        <v>0</v>
      </c>
      <c r="J11249">
        <v>0</v>
      </c>
      <c r="K11249">
        <v>0</v>
      </c>
      <c r="L11249">
        <v>0</v>
      </c>
      <c r="M11249">
        <v>499</v>
      </c>
      <c r="N11249">
        <v>0</v>
      </c>
      <c r="O11249">
        <v>0</v>
      </c>
    </row>
    <row r="11250" spans="1:15" x14ac:dyDescent="0.35">
      <c r="A11250" t="s">
        <v>12027</v>
      </c>
      <c r="B11250" t="s">
        <v>12028</v>
      </c>
      <c r="C11250" t="s">
        <v>11188</v>
      </c>
      <c r="D11250" t="s">
        <v>348</v>
      </c>
      <c r="E11250" t="s">
        <v>349</v>
      </c>
      <c r="F11250" t="s">
        <v>12070</v>
      </c>
      <c r="G11250">
        <v>499</v>
      </c>
      <c r="H11250">
        <v>75269.460000000006</v>
      </c>
      <c r="I11250">
        <v>159.47</v>
      </c>
      <c r="J11250">
        <v>0</v>
      </c>
      <c r="K11250">
        <v>0</v>
      </c>
      <c r="L11250">
        <v>0</v>
      </c>
      <c r="M11250">
        <v>499</v>
      </c>
      <c r="N11250">
        <v>75269.460000000006</v>
      </c>
      <c r="O11250">
        <v>159.47</v>
      </c>
    </row>
    <row r="11251" spans="1:15" x14ac:dyDescent="0.35">
      <c r="A11251" t="s">
        <v>12071</v>
      </c>
      <c r="B11251" t="s">
        <v>12072</v>
      </c>
      <c r="C11251" t="s">
        <v>11188</v>
      </c>
      <c r="D11251" t="s">
        <v>293</v>
      </c>
      <c r="E11251" t="s">
        <v>294</v>
      </c>
      <c r="F11251" t="s">
        <v>12073</v>
      </c>
      <c r="G11251">
        <v>594</v>
      </c>
      <c r="H11251">
        <v>127265.53999999998</v>
      </c>
      <c r="I11251">
        <v>214.25</v>
      </c>
      <c r="J11251">
        <v>0</v>
      </c>
      <c r="K11251">
        <v>0</v>
      </c>
      <c r="L11251">
        <v>0</v>
      </c>
      <c r="M11251">
        <v>594</v>
      </c>
      <c r="N11251">
        <v>127265.53999999998</v>
      </c>
      <c r="O11251">
        <v>214.25</v>
      </c>
    </row>
    <row r="11252" spans="1:15" x14ac:dyDescent="0.35">
      <c r="A11252" t="s">
        <v>12071</v>
      </c>
      <c r="B11252" t="s">
        <v>12072</v>
      </c>
      <c r="C11252" t="s">
        <v>11188</v>
      </c>
      <c r="D11252" t="s">
        <v>293</v>
      </c>
      <c r="E11252" t="s">
        <v>296</v>
      </c>
      <c r="F11252" t="s">
        <v>12074</v>
      </c>
      <c r="G11252">
        <v>632</v>
      </c>
      <c r="H11252">
        <v>153871.47</v>
      </c>
      <c r="I11252">
        <v>243.47</v>
      </c>
      <c r="J11252">
        <v>0</v>
      </c>
      <c r="K11252">
        <v>0</v>
      </c>
      <c r="L11252">
        <v>0</v>
      </c>
      <c r="M11252">
        <v>632</v>
      </c>
      <c r="N11252">
        <v>153871.47</v>
      </c>
      <c r="O11252">
        <v>243.47</v>
      </c>
    </row>
    <row r="11253" spans="1:15" x14ac:dyDescent="0.35">
      <c r="A11253" t="s">
        <v>12071</v>
      </c>
      <c r="B11253" t="s">
        <v>12072</v>
      </c>
      <c r="C11253" t="s">
        <v>11188</v>
      </c>
      <c r="D11253" t="s">
        <v>293</v>
      </c>
      <c r="E11253" t="s">
        <v>298</v>
      </c>
      <c r="F11253" t="s">
        <v>12075</v>
      </c>
      <c r="G11253">
        <v>198</v>
      </c>
      <c r="H11253">
        <v>50150.6</v>
      </c>
      <c r="I11253">
        <v>253.29</v>
      </c>
      <c r="J11253">
        <v>0</v>
      </c>
      <c r="K11253">
        <v>0</v>
      </c>
      <c r="L11253">
        <v>0</v>
      </c>
      <c r="M11253">
        <v>198</v>
      </c>
      <c r="N11253">
        <v>50150.6</v>
      </c>
      <c r="O11253">
        <v>253.29</v>
      </c>
    </row>
    <row r="11254" spans="1:15" x14ac:dyDescent="0.35">
      <c r="A11254" t="s">
        <v>12071</v>
      </c>
      <c r="B11254" t="s">
        <v>12072</v>
      </c>
      <c r="C11254" t="s">
        <v>11188</v>
      </c>
      <c r="D11254" t="s">
        <v>293</v>
      </c>
      <c r="E11254" t="s">
        <v>300</v>
      </c>
      <c r="F11254" t="s">
        <v>12076</v>
      </c>
      <c r="G11254">
        <v>60</v>
      </c>
      <c r="H11254">
        <v>14821.509999999997</v>
      </c>
      <c r="I11254">
        <v>247.03</v>
      </c>
      <c r="J11254">
        <v>0</v>
      </c>
      <c r="K11254">
        <v>0</v>
      </c>
      <c r="L11254">
        <v>0</v>
      </c>
      <c r="M11254">
        <v>60</v>
      </c>
      <c r="N11254">
        <v>14821.509999999997</v>
      </c>
      <c r="O11254">
        <v>247.03</v>
      </c>
    </row>
    <row r="11255" spans="1:15" x14ac:dyDescent="0.35">
      <c r="A11255" t="s">
        <v>12071</v>
      </c>
      <c r="B11255" t="s">
        <v>12072</v>
      </c>
      <c r="C11255" t="s">
        <v>11188</v>
      </c>
      <c r="D11255" t="s">
        <v>293</v>
      </c>
      <c r="E11255" t="s">
        <v>302</v>
      </c>
      <c r="F11255" t="s">
        <v>12077</v>
      </c>
      <c r="G11255">
        <v>9</v>
      </c>
      <c r="H11255">
        <v>2405.61</v>
      </c>
      <c r="I11255">
        <v>267.29000000000002</v>
      </c>
      <c r="J11255">
        <v>0</v>
      </c>
      <c r="K11255">
        <v>0</v>
      </c>
      <c r="L11255">
        <v>0</v>
      </c>
      <c r="M11255">
        <v>9</v>
      </c>
      <c r="N11255">
        <v>2405.61</v>
      </c>
      <c r="O11255">
        <v>267.29000000000002</v>
      </c>
    </row>
    <row r="11256" spans="1:15" x14ac:dyDescent="0.35">
      <c r="A11256" t="s">
        <v>12071</v>
      </c>
      <c r="B11256" t="s">
        <v>12072</v>
      </c>
      <c r="C11256" t="s">
        <v>11188</v>
      </c>
      <c r="D11256" t="s">
        <v>293</v>
      </c>
      <c r="E11256" t="s">
        <v>304</v>
      </c>
      <c r="F11256" t="s">
        <v>12078</v>
      </c>
      <c r="G11256">
        <v>0</v>
      </c>
      <c r="H11256">
        <v>0</v>
      </c>
      <c r="I11256">
        <v>0</v>
      </c>
      <c r="J11256">
        <v>0</v>
      </c>
      <c r="K11256">
        <v>0</v>
      </c>
      <c r="L11256">
        <v>0</v>
      </c>
      <c r="M11256">
        <v>0</v>
      </c>
      <c r="N11256">
        <v>0</v>
      </c>
      <c r="O11256">
        <v>0</v>
      </c>
    </row>
    <row r="11257" spans="1:15" x14ac:dyDescent="0.35">
      <c r="A11257" t="s">
        <v>12071</v>
      </c>
      <c r="B11257" t="s">
        <v>12072</v>
      </c>
      <c r="C11257" t="s">
        <v>11188</v>
      </c>
      <c r="D11257" t="s">
        <v>293</v>
      </c>
      <c r="E11257" t="s">
        <v>306</v>
      </c>
      <c r="F11257" t="s">
        <v>12079</v>
      </c>
      <c r="G11257">
        <v>78</v>
      </c>
      <c r="H11257">
        <v>12794.75</v>
      </c>
      <c r="I11257">
        <v>164.04</v>
      </c>
      <c r="J11257">
        <v>0</v>
      </c>
      <c r="K11257">
        <v>0</v>
      </c>
      <c r="L11257">
        <v>0</v>
      </c>
      <c r="M11257">
        <v>78</v>
      </c>
      <c r="N11257">
        <v>12794.75</v>
      </c>
      <c r="O11257">
        <v>164.04</v>
      </c>
    </row>
    <row r="11258" spans="1:15" x14ac:dyDescent="0.35">
      <c r="A11258" t="s">
        <v>12071</v>
      </c>
      <c r="B11258" t="s">
        <v>12072</v>
      </c>
      <c r="C11258" t="s">
        <v>11188</v>
      </c>
      <c r="D11258" t="s">
        <v>293</v>
      </c>
      <c r="E11258" t="s">
        <v>308</v>
      </c>
      <c r="F11258" t="s">
        <v>12080</v>
      </c>
      <c r="G11258">
        <v>1</v>
      </c>
      <c r="H11258">
        <v>172.56</v>
      </c>
      <c r="I11258">
        <v>172.56</v>
      </c>
      <c r="J11258">
        <v>0</v>
      </c>
      <c r="K11258">
        <v>0</v>
      </c>
      <c r="L11258">
        <v>0</v>
      </c>
      <c r="M11258">
        <v>1</v>
      </c>
      <c r="N11258">
        <v>172.56</v>
      </c>
      <c r="O11258">
        <v>172.56</v>
      </c>
    </row>
    <row r="11259" spans="1:15" x14ac:dyDescent="0.35">
      <c r="A11259" t="s">
        <v>12071</v>
      </c>
      <c r="B11259" t="s">
        <v>12072</v>
      </c>
      <c r="C11259" t="s">
        <v>11188</v>
      </c>
      <c r="D11259" t="s">
        <v>293</v>
      </c>
      <c r="E11259" t="s">
        <v>310</v>
      </c>
      <c r="F11259" t="s">
        <v>12081</v>
      </c>
      <c r="G11259">
        <v>1572</v>
      </c>
      <c r="H11259">
        <v>361482.04</v>
      </c>
      <c r="I11259">
        <v>229.95</v>
      </c>
      <c r="J11259">
        <v>0</v>
      </c>
      <c r="K11259">
        <v>0</v>
      </c>
      <c r="L11259">
        <v>0</v>
      </c>
      <c r="M11259">
        <v>1572</v>
      </c>
      <c r="N11259">
        <v>361482.04</v>
      </c>
      <c r="O11259">
        <v>229.95</v>
      </c>
    </row>
    <row r="11260" spans="1:15" x14ac:dyDescent="0.35">
      <c r="A11260" t="s">
        <v>12071</v>
      </c>
      <c r="B11260" t="s">
        <v>12072</v>
      </c>
      <c r="C11260" t="s">
        <v>11188</v>
      </c>
      <c r="D11260" t="s">
        <v>293</v>
      </c>
      <c r="E11260" t="s">
        <v>312</v>
      </c>
      <c r="F11260" t="s">
        <v>12082</v>
      </c>
      <c r="G11260">
        <v>1571</v>
      </c>
      <c r="H11260">
        <v>361309.48</v>
      </c>
      <c r="I11260">
        <v>229.99</v>
      </c>
      <c r="J11260">
        <v>0</v>
      </c>
      <c r="K11260">
        <v>0</v>
      </c>
      <c r="L11260">
        <v>0</v>
      </c>
      <c r="M11260">
        <v>1571</v>
      </c>
      <c r="N11260">
        <v>361309.48</v>
      </c>
      <c r="O11260">
        <v>229.99</v>
      </c>
    </row>
    <row r="11261" spans="1:15" x14ac:dyDescent="0.35">
      <c r="A11261" t="s">
        <v>12071</v>
      </c>
      <c r="B11261" t="s">
        <v>12072</v>
      </c>
      <c r="C11261" t="s">
        <v>11188</v>
      </c>
      <c r="D11261" t="s">
        <v>314</v>
      </c>
      <c r="E11261" t="s">
        <v>294</v>
      </c>
      <c r="F11261" t="s">
        <v>12083</v>
      </c>
      <c r="G11261">
        <v>79</v>
      </c>
      <c r="H11261">
        <v>24632.77</v>
      </c>
      <c r="I11261">
        <v>311.81</v>
      </c>
      <c r="J11261">
        <v>0</v>
      </c>
      <c r="K11261">
        <v>0</v>
      </c>
      <c r="L11261">
        <v>0</v>
      </c>
      <c r="M11261">
        <v>79</v>
      </c>
      <c r="N11261">
        <v>24632.77</v>
      </c>
      <c r="O11261">
        <v>311.81</v>
      </c>
    </row>
    <row r="11262" spans="1:15" x14ac:dyDescent="0.35">
      <c r="A11262" t="s">
        <v>12071</v>
      </c>
      <c r="B11262" t="s">
        <v>12072</v>
      </c>
      <c r="C11262" t="s">
        <v>11188</v>
      </c>
      <c r="D11262" t="s">
        <v>314</v>
      </c>
      <c r="E11262" t="s">
        <v>296</v>
      </c>
      <c r="F11262" t="s">
        <v>12084</v>
      </c>
      <c r="G11262">
        <v>24</v>
      </c>
      <c r="H11262">
        <v>9589.5</v>
      </c>
      <c r="I11262">
        <v>399.56</v>
      </c>
      <c r="J11262">
        <v>0</v>
      </c>
      <c r="K11262">
        <v>0</v>
      </c>
      <c r="L11262">
        <v>0</v>
      </c>
      <c r="M11262">
        <v>24</v>
      </c>
      <c r="N11262">
        <v>9589.5</v>
      </c>
      <c r="O11262">
        <v>399.56</v>
      </c>
    </row>
    <row r="11263" spans="1:15" x14ac:dyDescent="0.35">
      <c r="A11263" t="s">
        <v>12071</v>
      </c>
      <c r="B11263" t="s">
        <v>12072</v>
      </c>
      <c r="C11263" t="s">
        <v>11188</v>
      </c>
      <c r="D11263" t="s">
        <v>314</v>
      </c>
      <c r="E11263" t="s">
        <v>298</v>
      </c>
      <c r="F11263" t="s">
        <v>12085</v>
      </c>
      <c r="G11263">
        <v>0</v>
      </c>
      <c r="H11263">
        <v>0</v>
      </c>
      <c r="I11263">
        <v>0</v>
      </c>
      <c r="J11263">
        <v>0</v>
      </c>
      <c r="K11263">
        <v>0</v>
      </c>
      <c r="L11263">
        <v>0</v>
      </c>
      <c r="M11263">
        <v>0</v>
      </c>
      <c r="N11263">
        <v>0</v>
      </c>
      <c r="O11263">
        <v>0</v>
      </c>
    </row>
    <row r="11264" spans="1:15" x14ac:dyDescent="0.35">
      <c r="A11264" t="s">
        <v>12071</v>
      </c>
      <c r="B11264" t="s">
        <v>12072</v>
      </c>
      <c r="C11264" t="s">
        <v>11188</v>
      </c>
      <c r="D11264" t="s">
        <v>314</v>
      </c>
      <c r="E11264" t="s">
        <v>300</v>
      </c>
      <c r="F11264" t="s">
        <v>12086</v>
      </c>
      <c r="G11264">
        <v>0</v>
      </c>
      <c r="H11264">
        <v>0</v>
      </c>
      <c r="I11264">
        <v>0</v>
      </c>
      <c r="J11264">
        <v>0</v>
      </c>
      <c r="K11264">
        <v>0</v>
      </c>
      <c r="L11264">
        <v>0</v>
      </c>
      <c r="M11264">
        <v>0</v>
      </c>
      <c r="N11264">
        <v>0</v>
      </c>
      <c r="O11264">
        <v>0</v>
      </c>
    </row>
    <row r="11265" spans="1:15" x14ac:dyDescent="0.35">
      <c r="A11265" t="s">
        <v>12071</v>
      </c>
      <c r="B11265" t="s">
        <v>12072</v>
      </c>
      <c r="C11265" t="s">
        <v>11188</v>
      </c>
      <c r="D11265" t="s">
        <v>314</v>
      </c>
      <c r="E11265" t="s">
        <v>306</v>
      </c>
      <c r="F11265" t="s">
        <v>12087</v>
      </c>
      <c r="G11265">
        <v>0</v>
      </c>
      <c r="H11265">
        <v>0</v>
      </c>
      <c r="I11265">
        <v>0</v>
      </c>
      <c r="J11265">
        <v>0</v>
      </c>
      <c r="K11265">
        <v>0</v>
      </c>
      <c r="L11265">
        <v>0</v>
      </c>
      <c r="M11265">
        <v>0</v>
      </c>
      <c r="N11265">
        <v>0</v>
      </c>
      <c r="O11265">
        <v>0</v>
      </c>
    </row>
    <row r="11266" spans="1:15" x14ac:dyDescent="0.35">
      <c r="A11266" t="s">
        <v>12071</v>
      </c>
      <c r="B11266" t="s">
        <v>12072</v>
      </c>
      <c r="C11266" t="s">
        <v>11188</v>
      </c>
      <c r="D11266" t="s">
        <v>314</v>
      </c>
      <c r="E11266" t="s">
        <v>308</v>
      </c>
      <c r="F11266" t="s">
        <v>12088</v>
      </c>
      <c r="G11266">
        <v>0</v>
      </c>
      <c r="H11266">
        <v>0</v>
      </c>
      <c r="I11266">
        <v>0</v>
      </c>
      <c r="J11266">
        <v>0</v>
      </c>
      <c r="K11266">
        <v>0</v>
      </c>
      <c r="L11266">
        <v>0</v>
      </c>
      <c r="M11266">
        <v>0</v>
      </c>
      <c r="N11266">
        <v>0</v>
      </c>
      <c r="O11266">
        <v>0</v>
      </c>
    </row>
    <row r="11267" spans="1:15" x14ac:dyDescent="0.35">
      <c r="A11267" t="s">
        <v>12071</v>
      </c>
      <c r="B11267" t="s">
        <v>12072</v>
      </c>
      <c r="C11267" t="s">
        <v>11188</v>
      </c>
      <c r="D11267" t="s">
        <v>314</v>
      </c>
      <c r="E11267" t="s">
        <v>312</v>
      </c>
      <c r="F11267" t="s">
        <v>12089</v>
      </c>
      <c r="G11267">
        <v>103</v>
      </c>
      <c r="H11267">
        <v>34222.270000000004</v>
      </c>
      <c r="I11267">
        <v>332.26</v>
      </c>
      <c r="J11267">
        <v>0</v>
      </c>
      <c r="K11267">
        <v>0</v>
      </c>
      <c r="L11267">
        <v>0</v>
      </c>
      <c r="M11267">
        <v>103</v>
      </c>
      <c r="N11267">
        <v>34222.270000000004</v>
      </c>
      <c r="O11267">
        <v>332.26</v>
      </c>
    </row>
    <row r="11268" spans="1:15" x14ac:dyDescent="0.35">
      <c r="A11268" t="s">
        <v>12071</v>
      </c>
      <c r="B11268" t="s">
        <v>12072</v>
      </c>
      <c r="C11268" t="s">
        <v>11188</v>
      </c>
      <c r="D11268" t="s">
        <v>314</v>
      </c>
      <c r="E11268" t="s">
        <v>310</v>
      </c>
      <c r="F11268" t="s">
        <v>12090</v>
      </c>
      <c r="G11268">
        <v>103</v>
      </c>
      <c r="H11268">
        <v>34222.270000000004</v>
      </c>
      <c r="I11268">
        <v>332.26</v>
      </c>
      <c r="J11268">
        <v>0</v>
      </c>
      <c r="K11268">
        <v>0</v>
      </c>
      <c r="L11268">
        <v>0</v>
      </c>
      <c r="M11268">
        <v>103</v>
      </c>
      <c r="N11268">
        <v>34222.270000000004</v>
      </c>
      <c r="O11268">
        <v>332.26</v>
      </c>
    </row>
    <row r="11269" spans="1:15" x14ac:dyDescent="0.35">
      <c r="A11269" t="s">
        <v>12071</v>
      </c>
      <c r="B11269" t="s">
        <v>12072</v>
      </c>
      <c r="C11269" t="s">
        <v>11188</v>
      </c>
      <c r="D11269" t="s">
        <v>323</v>
      </c>
      <c r="E11269" t="s">
        <v>294</v>
      </c>
      <c r="F11269" t="s">
        <v>12091</v>
      </c>
      <c r="G11269">
        <v>5120</v>
      </c>
      <c r="H11269">
        <v>669859.52999999991</v>
      </c>
      <c r="I11269">
        <v>130.83000000000001</v>
      </c>
      <c r="J11269">
        <v>5879</v>
      </c>
      <c r="K11269">
        <v>678201.44</v>
      </c>
      <c r="L11269">
        <v>115.36</v>
      </c>
      <c r="M11269">
        <v>10999</v>
      </c>
      <c r="N11269">
        <v>1348060.9699999997</v>
      </c>
      <c r="O11269">
        <v>122.56</v>
      </c>
    </row>
    <row r="11270" spans="1:15" x14ac:dyDescent="0.35">
      <c r="A11270" t="s">
        <v>12071</v>
      </c>
      <c r="B11270" t="s">
        <v>12072</v>
      </c>
      <c r="C11270" t="s">
        <v>11188</v>
      </c>
      <c r="D11270" t="s">
        <v>323</v>
      </c>
      <c r="E11270" t="s">
        <v>296</v>
      </c>
      <c r="F11270" t="s">
        <v>12092</v>
      </c>
      <c r="G11270">
        <v>6660</v>
      </c>
      <c r="H11270">
        <v>962430.17</v>
      </c>
      <c r="I11270">
        <v>144.51</v>
      </c>
      <c r="J11270">
        <v>8169</v>
      </c>
      <c r="K11270">
        <v>1065646.0499999998</v>
      </c>
      <c r="L11270">
        <v>130.44999999999999</v>
      </c>
      <c r="M11270">
        <v>14829</v>
      </c>
      <c r="N11270">
        <v>2028076.2199999997</v>
      </c>
      <c r="O11270">
        <v>136.76</v>
      </c>
    </row>
    <row r="11271" spans="1:15" x14ac:dyDescent="0.35">
      <c r="A11271" t="s">
        <v>12071</v>
      </c>
      <c r="B11271" t="s">
        <v>12072</v>
      </c>
      <c r="C11271" t="s">
        <v>11188</v>
      </c>
      <c r="D11271" t="s">
        <v>323</v>
      </c>
      <c r="E11271" t="s">
        <v>298</v>
      </c>
      <c r="F11271" t="s">
        <v>12093</v>
      </c>
      <c r="G11271">
        <v>4707</v>
      </c>
      <c r="H11271">
        <v>757024.62999999989</v>
      </c>
      <c r="I11271">
        <v>160.83000000000001</v>
      </c>
      <c r="J11271">
        <v>6174</v>
      </c>
      <c r="K11271">
        <v>934928.82000000007</v>
      </c>
      <c r="L11271">
        <v>151.43</v>
      </c>
      <c r="M11271">
        <v>10881</v>
      </c>
      <c r="N11271">
        <v>1691953.45</v>
      </c>
      <c r="O11271">
        <v>155.5</v>
      </c>
    </row>
    <row r="11272" spans="1:15" x14ac:dyDescent="0.35">
      <c r="A11272" t="s">
        <v>12071</v>
      </c>
      <c r="B11272" t="s">
        <v>12072</v>
      </c>
      <c r="C11272" t="s">
        <v>11188</v>
      </c>
      <c r="D11272" t="s">
        <v>323</v>
      </c>
      <c r="E11272" t="s">
        <v>300</v>
      </c>
      <c r="F11272" t="s">
        <v>12094</v>
      </c>
      <c r="G11272">
        <v>1217</v>
      </c>
      <c r="H11272">
        <v>211194</v>
      </c>
      <c r="I11272">
        <v>173.54</v>
      </c>
      <c r="J11272">
        <v>1322</v>
      </c>
      <c r="K11272">
        <v>229816.48</v>
      </c>
      <c r="L11272">
        <v>173.84</v>
      </c>
      <c r="M11272">
        <v>2539</v>
      </c>
      <c r="N11272">
        <v>441010.48</v>
      </c>
      <c r="O11272">
        <v>173.69</v>
      </c>
    </row>
    <row r="11273" spans="1:15" x14ac:dyDescent="0.35">
      <c r="A11273" t="s">
        <v>12071</v>
      </c>
      <c r="B11273" t="s">
        <v>12072</v>
      </c>
      <c r="C11273" t="s">
        <v>11188</v>
      </c>
      <c r="D11273" t="s">
        <v>323</v>
      </c>
      <c r="E11273" t="s">
        <v>302</v>
      </c>
      <c r="F11273" t="s">
        <v>12095</v>
      </c>
      <c r="G11273">
        <v>136</v>
      </c>
      <c r="H11273">
        <v>26152.919999999995</v>
      </c>
      <c r="I11273">
        <v>192.3</v>
      </c>
      <c r="J11273">
        <v>230</v>
      </c>
      <c r="K11273">
        <v>43881.7</v>
      </c>
      <c r="L11273">
        <v>190.79</v>
      </c>
      <c r="M11273">
        <v>366</v>
      </c>
      <c r="N11273">
        <v>70034.62</v>
      </c>
      <c r="O11273">
        <v>191.35</v>
      </c>
    </row>
    <row r="11274" spans="1:15" x14ac:dyDescent="0.35">
      <c r="A11274" t="s">
        <v>12071</v>
      </c>
      <c r="B11274" t="s">
        <v>12072</v>
      </c>
      <c r="C11274" t="s">
        <v>11188</v>
      </c>
      <c r="D11274" t="s">
        <v>323</v>
      </c>
      <c r="E11274" t="s">
        <v>304</v>
      </c>
      <c r="F11274" t="s">
        <v>12096</v>
      </c>
      <c r="G11274">
        <v>27</v>
      </c>
      <c r="H11274">
        <v>5580.6500000000005</v>
      </c>
      <c r="I11274">
        <v>206.69</v>
      </c>
      <c r="J11274">
        <v>87</v>
      </c>
      <c r="K11274">
        <v>17817.600000000002</v>
      </c>
      <c r="L11274">
        <v>204.8</v>
      </c>
      <c r="M11274">
        <v>114</v>
      </c>
      <c r="N11274">
        <v>23398.250000000004</v>
      </c>
      <c r="O11274">
        <v>205.25</v>
      </c>
    </row>
    <row r="11275" spans="1:15" x14ac:dyDescent="0.35">
      <c r="A11275" t="s">
        <v>12071</v>
      </c>
      <c r="B11275" t="s">
        <v>12072</v>
      </c>
      <c r="C11275" t="s">
        <v>11188</v>
      </c>
      <c r="D11275" t="s">
        <v>323</v>
      </c>
      <c r="E11275" t="s">
        <v>306</v>
      </c>
      <c r="F11275" t="s">
        <v>12097</v>
      </c>
      <c r="G11275">
        <v>389</v>
      </c>
      <c r="H11275">
        <v>42557.710000000006</v>
      </c>
      <c r="I11275">
        <v>109.4</v>
      </c>
      <c r="J11275">
        <v>809</v>
      </c>
      <c r="K11275">
        <v>79913.02</v>
      </c>
      <c r="L11275">
        <v>98.78</v>
      </c>
      <c r="M11275">
        <v>1198</v>
      </c>
      <c r="N11275">
        <v>122470.73000000001</v>
      </c>
      <c r="O11275">
        <v>102.23</v>
      </c>
    </row>
    <row r="11276" spans="1:15" x14ac:dyDescent="0.35">
      <c r="A11276" t="s">
        <v>12071</v>
      </c>
      <c r="B11276" t="s">
        <v>12072</v>
      </c>
      <c r="C11276" t="s">
        <v>11188</v>
      </c>
      <c r="D11276" t="s">
        <v>323</v>
      </c>
      <c r="E11276" t="s">
        <v>308</v>
      </c>
      <c r="F11276" t="s">
        <v>12098</v>
      </c>
      <c r="G11276">
        <v>2</v>
      </c>
      <c r="H11276">
        <v>236.42</v>
      </c>
      <c r="I11276">
        <v>118.21</v>
      </c>
      <c r="J11276">
        <v>0</v>
      </c>
      <c r="K11276">
        <v>0</v>
      </c>
      <c r="L11276">
        <v>0</v>
      </c>
      <c r="M11276">
        <v>2</v>
      </c>
      <c r="N11276">
        <v>236.42</v>
      </c>
      <c r="O11276">
        <v>118.21</v>
      </c>
    </row>
    <row r="11277" spans="1:15" x14ac:dyDescent="0.35">
      <c r="A11277" t="s">
        <v>12071</v>
      </c>
      <c r="B11277" t="s">
        <v>12072</v>
      </c>
      <c r="C11277" t="s">
        <v>11188</v>
      </c>
      <c r="D11277" t="s">
        <v>323</v>
      </c>
      <c r="E11277" t="s">
        <v>310</v>
      </c>
      <c r="F11277" t="s">
        <v>12099</v>
      </c>
      <c r="G11277">
        <v>18258</v>
      </c>
      <c r="H11277">
        <v>2675036.0299999998</v>
      </c>
      <c r="I11277">
        <v>146.51</v>
      </c>
      <c r="J11277">
        <v>22670</v>
      </c>
      <c r="K11277">
        <v>3050205.11</v>
      </c>
      <c r="L11277">
        <v>134.55000000000001</v>
      </c>
      <c r="M11277">
        <v>40928</v>
      </c>
      <c r="N11277">
        <v>5725241.1399999997</v>
      </c>
      <c r="O11277">
        <v>139.88999999999999</v>
      </c>
    </row>
    <row r="11278" spans="1:15" x14ac:dyDescent="0.35">
      <c r="A11278" t="s">
        <v>12071</v>
      </c>
      <c r="B11278" t="s">
        <v>12072</v>
      </c>
      <c r="C11278" t="s">
        <v>11188</v>
      </c>
      <c r="D11278" t="s">
        <v>323</v>
      </c>
      <c r="E11278" t="s">
        <v>312</v>
      </c>
      <c r="F11278" t="s">
        <v>12100</v>
      </c>
      <c r="G11278">
        <v>18256</v>
      </c>
      <c r="H11278">
        <v>2674799.61</v>
      </c>
      <c r="I11278">
        <v>146.52000000000001</v>
      </c>
      <c r="J11278">
        <v>22670</v>
      </c>
      <c r="K11278">
        <v>3050205.11</v>
      </c>
      <c r="L11278">
        <v>134.55000000000001</v>
      </c>
      <c r="M11278">
        <v>40926</v>
      </c>
      <c r="N11278">
        <v>5725004.7199999997</v>
      </c>
      <c r="O11278">
        <v>139.88999999999999</v>
      </c>
    </row>
    <row r="11279" spans="1:15" x14ac:dyDescent="0.35">
      <c r="A11279" t="s">
        <v>12071</v>
      </c>
      <c r="B11279" t="s">
        <v>12072</v>
      </c>
      <c r="C11279" t="s">
        <v>11188</v>
      </c>
      <c r="D11279" t="s">
        <v>334</v>
      </c>
      <c r="E11279" t="s">
        <v>312</v>
      </c>
      <c r="F11279" t="s">
        <v>12101</v>
      </c>
      <c r="G11279">
        <v>21635</v>
      </c>
      <c r="H11279">
        <v>3036109.0899999994</v>
      </c>
      <c r="I11279">
        <v>153.13</v>
      </c>
      <c r="J11279">
        <v>22670</v>
      </c>
      <c r="K11279">
        <v>3050205.11</v>
      </c>
      <c r="L11279">
        <v>134.55000000000001</v>
      </c>
      <c r="M11279">
        <v>44305</v>
      </c>
      <c r="N11279">
        <v>6086314.1999999993</v>
      </c>
      <c r="O11279">
        <v>143.22</v>
      </c>
    </row>
    <row r="11280" spans="1:15" x14ac:dyDescent="0.35">
      <c r="A11280" t="s">
        <v>12071</v>
      </c>
      <c r="B11280" t="s">
        <v>12072</v>
      </c>
      <c r="C11280" t="s">
        <v>11188</v>
      </c>
      <c r="D11280" t="s">
        <v>334</v>
      </c>
      <c r="E11280" t="s">
        <v>308</v>
      </c>
      <c r="F11280" t="s">
        <v>12102</v>
      </c>
      <c r="G11280">
        <v>97</v>
      </c>
      <c r="H11280">
        <v>408.98</v>
      </c>
      <c r="I11280">
        <v>136.33000000000001</v>
      </c>
      <c r="J11280">
        <v>0</v>
      </c>
      <c r="K11280">
        <v>0</v>
      </c>
      <c r="L11280">
        <v>0</v>
      </c>
      <c r="M11280">
        <v>97</v>
      </c>
      <c r="N11280">
        <v>408.98</v>
      </c>
      <c r="O11280">
        <v>136.33000000000001</v>
      </c>
    </row>
    <row r="11281" spans="1:15" x14ac:dyDescent="0.35">
      <c r="A11281" t="s">
        <v>12071</v>
      </c>
      <c r="B11281" t="s">
        <v>12072</v>
      </c>
      <c r="C11281" t="s">
        <v>11188</v>
      </c>
      <c r="D11281" t="s">
        <v>337</v>
      </c>
      <c r="E11281" t="s">
        <v>337</v>
      </c>
      <c r="F11281" t="s">
        <v>12103</v>
      </c>
      <c r="G11281">
        <v>2019</v>
      </c>
      <c r="J11281">
        <v>0</v>
      </c>
      <c r="M11281">
        <v>2019</v>
      </c>
    </row>
    <row r="11282" spans="1:15" x14ac:dyDescent="0.35">
      <c r="A11282" t="s">
        <v>12071</v>
      </c>
      <c r="B11282" t="s">
        <v>12072</v>
      </c>
      <c r="C11282" t="s">
        <v>11188</v>
      </c>
      <c r="D11282" t="s">
        <v>339</v>
      </c>
      <c r="E11282" t="s">
        <v>294</v>
      </c>
      <c r="F11282" t="s">
        <v>12104</v>
      </c>
      <c r="G11282">
        <v>1745</v>
      </c>
      <c r="H11282">
        <v>249937.14999999994</v>
      </c>
      <c r="I11282">
        <v>143.22999999999999</v>
      </c>
      <c r="J11282">
        <v>632</v>
      </c>
      <c r="K11282">
        <v>66157.760000000009</v>
      </c>
      <c r="L11282">
        <v>104.68</v>
      </c>
      <c r="M11282">
        <v>2377</v>
      </c>
      <c r="N11282">
        <v>316094.90999999992</v>
      </c>
      <c r="O11282">
        <v>132.97999999999999</v>
      </c>
    </row>
    <row r="11283" spans="1:15" x14ac:dyDescent="0.35">
      <c r="A11283" t="s">
        <v>12071</v>
      </c>
      <c r="B11283" t="s">
        <v>12072</v>
      </c>
      <c r="C11283" t="s">
        <v>11188</v>
      </c>
      <c r="D11283" t="s">
        <v>339</v>
      </c>
      <c r="E11283" t="s">
        <v>296</v>
      </c>
      <c r="F11283" t="s">
        <v>12105</v>
      </c>
      <c r="G11283">
        <v>140</v>
      </c>
      <c r="H11283">
        <v>22996.080000000002</v>
      </c>
      <c r="I11283">
        <v>164.26</v>
      </c>
      <c r="J11283">
        <v>21</v>
      </c>
      <c r="K11283">
        <v>2313.36</v>
      </c>
      <c r="L11283">
        <v>110.16</v>
      </c>
      <c r="M11283">
        <v>161</v>
      </c>
      <c r="N11283">
        <v>25309.440000000002</v>
      </c>
      <c r="O11283">
        <v>157.19999999999999</v>
      </c>
    </row>
    <row r="11284" spans="1:15" x14ac:dyDescent="0.35">
      <c r="A11284" t="s">
        <v>12071</v>
      </c>
      <c r="B11284" t="s">
        <v>12072</v>
      </c>
      <c r="C11284" t="s">
        <v>11188</v>
      </c>
      <c r="D11284" t="s">
        <v>339</v>
      </c>
      <c r="E11284" t="s">
        <v>298</v>
      </c>
      <c r="F11284" t="s">
        <v>12106</v>
      </c>
      <c r="G11284">
        <v>17</v>
      </c>
      <c r="H11284">
        <v>2947.2599999999998</v>
      </c>
      <c r="I11284">
        <v>173.37</v>
      </c>
      <c r="J11284">
        <v>1</v>
      </c>
      <c r="K11284">
        <v>183.25</v>
      </c>
      <c r="L11284">
        <v>183.25</v>
      </c>
      <c r="M11284">
        <v>18</v>
      </c>
      <c r="N11284">
        <v>3130.5099999999998</v>
      </c>
      <c r="O11284">
        <v>173.92</v>
      </c>
    </row>
    <row r="11285" spans="1:15" x14ac:dyDescent="0.35">
      <c r="A11285" t="s">
        <v>12071</v>
      </c>
      <c r="B11285" t="s">
        <v>12072</v>
      </c>
      <c r="C11285" t="s">
        <v>11188</v>
      </c>
      <c r="D11285" t="s">
        <v>339</v>
      </c>
      <c r="E11285" t="s">
        <v>300</v>
      </c>
      <c r="F11285" t="s">
        <v>12107</v>
      </c>
      <c r="G11285">
        <v>1</v>
      </c>
      <c r="H11285">
        <v>210.4</v>
      </c>
      <c r="I11285">
        <v>210.4</v>
      </c>
      <c r="J11285">
        <v>0</v>
      </c>
      <c r="K11285">
        <v>0</v>
      </c>
      <c r="L11285">
        <v>0</v>
      </c>
      <c r="M11285">
        <v>1</v>
      </c>
      <c r="N11285">
        <v>210.4</v>
      </c>
      <c r="O11285">
        <v>210.4</v>
      </c>
    </row>
    <row r="11286" spans="1:15" x14ac:dyDescent="0.35">
      <c r="A11286" t="s">
        <v>12071</v>
      </c>
      <c r="B11286" t="s">
        <v>12072</v>
      </c>
      <c r="C11286" t="s">
        <v>11188</v>
      </c>
      <c r="D11286" t="s">
        <v>339</v>
      </c>
      <c r="E11286" t="s">
        <v>306</v>
      </c>
      <c r="F11286" t="s">
        <v>12108</v>
      </c>
      <c r="G11286">
        <v>242</v>
      </c>
      <c r="H11286">
        <v>29087.320000000003</v>
      </c>
      <c r="I11286">
        <v>120.2</v>
      </c>
      <c r="J11286">
        <v>24</v>
      </c>
      <c r="K11286">
        <v>2110.08</v>
      </c>
      <c r="L11286">
        <v>87.92</v>
      </c>
      <c r="M11286">
        <v>266</v>
      </c>
      <c r="N11286">
        <v>31197.4</v>
      </c>
      <c r="O11286">
        <v>117.28</v>
      </c>
    </row>
    <row r="11287" spans="1:15" x14ac:dyDescent="0.35">
      <c r="A11287" t="s">
        <v>12071</v>
      </c>
      <c r="B11287" t="s">
        <v>12072</v>
      </c>
      <c r="C11287" t="s">
        <v>11188</v>
      </c>
      <c r="D11287" t="s">
        <v>339</v>
      </c>
      <c r="E11287" t="s">
        <v>308</v>
      </c>
      <c r="F11287" t="s">
        <v>12109</v>
      </c>
      <c r="G11287">
        <v>734</v>
      </c>
      <c r="H11287">
        <v>96814.12999999999</v>
      </c>
      <c r="I11287">
        <v>131.9</v>
      </c>
      <c r="J11287">
        <v>0</v>
      </c>
      <c r="K11287">
        <v>0</v>
      </c>
      <c r="L11287">
        <v>0</v>
      </c>
      <c r="M11287">
        <v>734</v>
      </c>
      <c r="N11287">
        <v>96814.12999999999</v>
      </c>
      <c r="O11287">
        <v>131.9</v>
      </c>
    </row>
    <row r="11288" spans="1:15" x14ac:dyDescent="0.35">
      <c r="A11288" t="s">
        <v>12071</v>
      </c>
      <c r="B11288" t="s">
        <v>12072</v>
      </c>
      <c r="C11288" t="s">
        <v>11188</v>
      </c>
      <c r="D11288" t="s">
        <v>339</v>
      </c>
      <c r="E11288" t="s">
        <v>310</v>
      </c>
      <c r="F11288" t="s">
        <v>12110</v>
      </c>
      <c r="G11288">
        <v>2879</v>
      </c>
      <c r="H11288">
        <v>401992.33999999997</v>
      </c>
      <c r="I11288">
        <v>139.63</v>
      </c>
      <c r="J11288">
        <v>678</v>
      </c>
      <c r="K11288">
        <v>70764.450000000012</v>
      </c>
      <c r="L11288">
        <v>104.37</v>
      </c>
      <c r="M11288">
        <v>3557</v>
      </c>
      <c r="N11288">
        <v>472756.79</v>
      </c>
      <c r="O11288">
        <v>132.91</v>
      </c>
    </row>
    <row r="11289" spans="1:15" x14ac:dyDescent="0.35">
      <c r="A11289" t="s">
        <v>12071</v>
      </c>
      <c r="B11289" t="s">
        <v>12072</v>
      </c>
      <c r="C11289" t="s">
        <v>11188</v>
      </c>
      <c r="D11289" t="s">
        <v>339</v>
      </c>
      <c r="E11289" t="s">
        <v>312</v>
      </c>
      <c r="F11289" t="s">
        <v>12111</v>
      </c>
      <c r="G11289">
        <v>2145</v>
      </c>
      <c r="H11289">
        <v>305178.20999999996</v>
      </c>
      <c r="I11289">
        <v>142.27000000000001</v>
      </c>
      <c r="J11289">
        <v>678</v>
      </c>
      <c r="K11289">
        <v>70764.450000000012</v>
      </c>
      <c r="L11289">
        <v>104.37</v>
      </c>
      <c r="M11289">
        <v>2823</v>
      </c>
      <c r="N11289">
        <v>375942.66</v>
      </c>
      <c r="O11289">
        <v>133.16999999999999</v>
      </c>
    </row>
    <row r="11290" spans="1:15" x14ac:dyDescent="0.35">
      <c r="A11290" t="s">
        <v>12071</v>
      </c>
      <c r="B11290" t="s">
        <v>12072</v>
      </c>
      <c r="C11290" t="s">
        <v>11188</v>
      </c>
      <c r="D11290" t="s">
        <v>348</v>
      </c>
      <c r="E11290" t="s">
        <v>349</v>
      </c>
      <c r="F11290" t="s">
        <v>12112</v>
      </c>
      <c r="G11290">
        <v>3377</v>
      </c>
      <c r="H11290">
        <v>436214.61</v>
      </c>
      <c r="I11290">
        <v>146.28</v>
      </c>
      <c r="J11290">
        <v>678</v>
      </c>
      <c r="K11290">
        <v>70764.450000000012</v>
      </c>
      <c r="L11290">
        <v>104.37</v>
      </c>
      <c r="M11290">
        <v>4055</v>
      </c>
      <c r="N11290">
        <v>506979.06</v>
      </c>
      <c r="O11290">
        <v>138.52000000000001</v>
      </c>
    </row>
    <row r="11291" spans="1:15" x14ac:dyDescent="0.35">
      <c r="A11291" t="s">
        <v>12113</v>
      </c>
      <c r="B11291" t="s">
        <v>12114</v>
      </c>
      <c r="C11291" t="s">
        <v>11188</v>
      </c>
      <c r="D11291" t="s">
        <v>293</v>
      </c>
      <c r="E11291" t="s">
        <v>294</v>
      </c>
      <c r="F11291" t="s">
        <v>12115</v>
      </c>
      <c r="G11291">
        <v>713</v>
      </c>
      <c r="H11291">
        <v>142109.32</v>
      </c>
      <c r="I11291">
        <v>199.31</v>
      </c>
      <c r="J11291">
        <v>67</v>
      </c>
      <c r="K11291">
        <v>13230.49</v>
      </c>
      <c r="L11291">
        <v>197.47</v>
      </c>
      <c r="M11291">
        <v>780</v>
      </c>
      <c r="N11291">
        <v>155339.81</v>
      </c>
      <c r="O11291">
        <v>199.15</v>
      </c>
    </row>
    <row r="11292" spans="1:15" x14ac:dyDescent="0.35">
      <c r="A11292" t="s">
        <v>12113</v>
      </c>
      <c r="B11292" t="s">
        <v>12114</v>
      </c>
      <c r="C11292" t="s">
        <v>11188</v>
      </c>
      <c r="D11292" t="s">
        <v>293</v>
      </c>
      <c r="E11292" t="s">
        <v>296</v>
      </c>
      <c r="F11292" t="s">
        <v>12116</v>
      </c>
      <c r="G11292">
        <v>737</v>
      </c>
      <c r="H11292">
        <v>166638.00000000003</v>
      </c>
      <c r="I11292">
        <v>226.1</v>
      </c>
      <c r="J11292">
        <v>94</v>
      </c>
      <c r="K11292">
        <v>19181.64</v>
      </c>
      <c r="L11292">
        <v>204.06</v>
      </c>
      <c r="M11292">
        <v>831</v>
      </c>
      <c r="N11292">
        <v>185819.64</v>
      </c>
      <c r="O11292">
        <v>223.61</v>
      </c>
    </row>
    <row r="11293" spans="1:15" x14ac:dyDescent="0.35">
      <c r="A11293" t="s">
        <v>12113</v>
      </c>
      <c r="B11293" t="s">
        <v>12114</v>
      </c>
      <c r="C11293" t="s">
        <v>11188</v>
      </c>
      <c r="D11293" t="s">
        <v>293</v>
      </c>
      <c r="E11293" t="s">
        <v>298</v>
      </c>
      <c r="F11293" t="s">
        <v>12117</v>
      </c>
      <c r="G11293">
        <v>337</v>
      </c>
      <c r="H11293">
        <v>87453.339999999982</v>
      </c>
      <c r="I11293">
        <v>259.51</v>
      </c>
      <c r="J11293">
        <v>91</v>
      </c>
      <c r="K11293">
        <v>19273.8</v>
      </c>
      <c r="L11293">
        <v>211.8</v>
      </c>
      <c r="M11293">
        <v>428</v>
      </c>
      <c r="N11293">
        <v>106727.13999999998</v>
      </c>
      <c r="O11293">
        <v>249.36</v>
      </c>
    </row>
    <row r="11294" spans="1:15" x14ac:dyDescent="0.35">
      <c r="A11294" t="s">
        <v>12113</v>
      </c>
      <c r="B11294" t="s">
        <v>12114</v>
      </c>
      <c r="C11294" t="s">
        <v>11188</v>
      </c>
      <c r="D11294" t="s">
        <v>293</v>
      </c>
      <c r="E11294" t="s">
        <v>300</v>
      </c>
      <c r="F11294" t="s">
        <v>12118</v>
      </c>
      <c r="G11294">
        <v>97</v>
      </c>
      <c r="H11294">
        <v>30151.479999999996</v>
      </c>
      <c r="I11294">
        <v>310.83999999999997</v>
      </c>
      <c r="J11294">
        <v>18</v>
      </c>
      <c r="K11294">
        <v>4018.68</v>
      </c>
      <c r="L11294">
        <v>223.26</v>
      </c>
      <c r="M11294">
        <v>115</v>
      </c>
      <c r="N11294">
        <v>34170.159999999996</v>
      </c>
      <c r="O11294">
        <v>297.13</v>
      </c>
    </row>
    <row r="11295" spans="1:15" x14ac:dyDescent="0.35">
      <c r="A11295" t="s">
        <v>12113</v>
      </c>
      <c r="B11295" t="s">
        <v>12114</v>
      </c>
      <c r="C11295" t="s">
        <v>11188</v>
      </c>
      <c r="D11295" t="s">
        <v>293</v>
      </c>
      <c r="E11295" t="s">
        <v>302</v>
      </c>
      <c r="F11295" t="s">
        <v>12119</v>
      </c>
      <c r="G11295">
        <v>0</v>
      </c>
      <c r="H11295">
        <v>0</v>
      </c>
      <c r="I11295">
        <v>0</v>
      </c>
      <c r="J11295">
        <v>3</v>
      </c>
      <c r="K11295">
        <v>698.28</v>
      </c>
      <c r="L11295">
        <v>232.76</v>
      </c>
      <c r="M11295">
        <v>3</v>
      </c>
      <c r="N11295">
        <v>698.28</v>
      </c>
      <c r="O11295">
        <v>232.76</v>
      </c>
    </row>
    <row r="11296" spans="1:15" x14ac:dyDescent="0.35">
      <c r="A11296" t="s">
        <v>12113</v>
      </c>
      <c r="B11296" t="s">
        <v>12114</v>
      </c>
      <c r="C11296" t="s">
        <v>11188</v>
      </c>
      <c r="D11296" t="s">
        <v>293</v>
      </c>
      <c r="E11296" t="s">
        <v>304</v>
      </c>
      <c r="F11296" t="s">
        <v>12120</v>
      </c>
      <c r="G11296">
        <v>0</v>
      </c>
      <c r="H11296">
        <v>0</v>
      </c>
      <c r="I11296">
        <v>0</v>
      </c>
      <c r="J11296">
        <v>1</v>
      </c>
      <c r="K11296">
        <v>219.83</v>
      </c>
      <c r="L11296">
        <v>219.83</v>
      </c>
      <c r="M11296">
        <v>1</v>
      </c>
      <c r="N11296">
        <v>219.83</v>
      </c>
      <c r="O11296">
        <v>219.83</v>
      </c>
    </row>
    <row r="11297" spans="1:15" x14ac:dyDescent="0.35">
      <c r="A11297" t="s">
        <v>12113</v>
      </c>
      <c r="B11297" t="s">
        <v>12114</v>
      </c>
      <c r="C11297" t="s">
        <v>11188</v>
      </c>
      <c r="D11297" t="s">
        <v>293</v>
      </c>
      <c r="E11297" t="s">
        <v>306</v>
      </c>
      <c r="F11297" t="s">
        <v>12121</v>
      </c>
      <c r="G11297">
        <v>47</v>
      </c>
      <c r="H11297">
        <v>6759.5999999999995</v>
      </c>
      <c r="I11297">
        <v>143.82</v>
      </c>
      <c r="J11297">
        <v>1</v>
      </c>
      <c r="K11297">
        <v>201.43</v>
      </c>
      <c r="L11297">
        <v>201.43</v>
      </c>
      <c r="M11297">
        <v>48</v>
      </c>
      <c r="N11297">
        <v>6961.03</v>
      </c>
      <c r="O11297">
        <v>145.02000000000001</v>
      </c>
    </row>
    <row r="11298" spans="1:15" x14ac:dyDescent="0.35">
      <c r="A11298" t="s">
        <v>12113</v>
      </c>
      <c r="B11298" t="s">
        <v>12114</v>
      </c>
      <c r="C11298" t="s">
        <v>11188</v>
      </c>
      <c r="D11298" t="s">
        <v>293</v>
      </c>
      <c r="E11298" t="s">
        <v>308</v>
      </c>
      <c r="F11298" t="s">
        <v>12122</v>
      </c>
      <c r="G11298">
        <v>4</v>
      </c>
      <c r="H11298">
        <v>401.68</v>
      </c>
      <c r="I11298">
        <v>100.42</v>
      </c>
      <c r="J11298">
        <v>0</v>
      </c>
      <c r="K11298">
        <v>0</v>
      </c>
      <c r="L11298">
        <v>0</v>
      </c>
      <c r="M11298">
        <v>4</v>
      </c>
      <c r="N11298">
        <v>401.68</v>
      </c>
      <c r="O11298">
        <v>100.42</v>
      </c>
    </row>
    <row r="11299" spans="1:15" x14ac:dyDescent="0.35">
      <c r="A11299" t="s">
        <v>12113</v>
      </c>
      <c r="B11299" t="s">
        <v>12114</v>
      </c>
      <c r="C11299" t="s">
        <v>11188</v>
      </c>
      <c r="D11299" t="s">
        <v>293</v>
      </c>
      <c r="E11299" t="s">
        <v>310</v>
      </c>
      <c r="F11299" t="s">
        <v>12123</v>
      </c>
      <c r="G11299">
        <v>1935</v>
      </c>
      <c r="H11299">
        <v>433513.42</v>
      </c>
      <c r="I11299">
        <v>224.04</v>
      </c>
      <c r="J11299">
        <v>275</v>
      </c>
      <c r="K11299">
        <v>56824.149999999994</v>
      </c>
      <c r="L11299">
        <v>206.63</v>
      </c>
      <c r="M11299">
        <v>2210</v>
      </c>
      <c r="N11299">
        <v>490337.56999999995</v>
      </c>
      <c r="O11299">
        <v>221.87</v>
      </c>
    </row>
    <row r="11300" spans="1:15" x14ac:dyDescent="0.35">
      <c r="A11300" t="s">
        <v>12113</v>
      </c>
      <c r="B11300" t="s">
        <v>12114</v>
      </c>
      <c r="C11300" t="s">
        <v>11188</v>
      </c>
      <c r="D11300" t="s">
        <v>293</v>
      </c>
      <c r="E11300" t="s">
        <v>312</v>
      </c>
      <c r="F11300" t="s">
        <v>12124</v>
      </c>
      <c r="G11300">
        <v>1931</v>
      </c>
      <c r="H11300">
        <v>433111.74</v>
      </c>
      <c r="I11300">
        <v>224.29</v>
      </c>
      <c r="J11300">
        <v>275</v>
      </c>
      <c r="K11300">
        <v>56824.149999999994</v>
      </c>
      <c r="L11300">
        <v>206.63</v>
      </c>
      <c r="M11300">
        <v>2206</v>
      </c>
      <c r="N11300">
        <v>489935.89</v>
      </c>
      <c r="O11300">
        <v>222.09</v>
      </c>
    </row>
    <row r="11301" spans="1:15" x14ac:dyDescent="0.35">
      <c r="A11301" t="s">
        <v>12113</v>
      </c>
      <c r="B11301" t="s">
        <v>12114</v>
      </c>
      <c r="C11301" t="s">
        <v>11188</v>
      </c>
      <c r="D11301" t="s">
        <v>314</v>
      </c>
      <c r="E11301" t="s">
        <v>294</v>
      </c>
      <c r="F11301" t="s">
        <v>12125</v>
      </c>
      <c r="G11301">
        <v>111</v>
      </c>
      <c r="H11301">
        <v>38623.050000000003</v>
      </c>
      <c r="I11301">
        <v>347.96</v>
      </c>
      <c r="J11301">
        <v>0</v>
      </c>
      <c r="K11301">
        <v>0</v>
      </c>
      <c r="L11301">
        <v>0</v>
      </c>
      <c r="M11301">
        <v>111</v>
      </c>
      <c r="N11301">
        <v>38623.050000000003</v>
      </c>
      <c r="O11301">
        <v>347.96</v>
      </c>
    </row>
    <row r="11302" spans="1:15" x14ac:dyDescent="0.35">
      <c r="A11302" t="s">
        <v>12113</v>
      </c>
      <c r="B11302" t="s">
        <v>12114</v>
      </c>
      <c r="C11302" t="s">
        <v>11188</v>
      </c>
      <c r="D11302" t="s">
        <v>314</v>
      </c>
      <c r="E11302" t="s">
        <v>296</v>
      </c>
      <c r="F11302" t="s">
        <v>12126</v>
      </c>
      <c r="G11302">
        <v>8</v>
      </c>
      <c r="H11302">
        <v>3531.36</v>
      </c>
      <c r="I11302">
        <v>441.42</v>
      </c>
      <c r="J11302">
        <v>0</v>
      </c>
      <c r="K11302">
        <v>0</v>
      </c>
      <c r="L11302">
        <v>0</v>
      </c>
      <c r="M11302">
        <v>8</v>
      </c>
      <c r="N11302">
        <v>3531.36</v>
      </c>
      <c r="O11302">
        <v>441.42</v>
      </c>
    </row>
    <row r="11303" spans="1:15" x14ac:dyDescent="0.35">
      <c r="A11303" t="s">
        <v>12113</v>
      </c>
      <c r="B11303" t="s">
        <v>12114</v>
      </c>
      <c r="C11303" t="s">
        <v>11188</v>
      </c>
      <c r="D11303" t="s">
        <v>314</v>
      </c>
      <c r="E11303" t="s">
        <v>298</v>
      </c>
      <c r="F11303" t="s">
        <v>12127</v>
      </c>
      <c r="G11303">
        <v>0</v>
      </c>
      <c r="H11303">
        <v>0</v>
      </c>
      <c r="I11303">
        <v>0</v>
      </c>
      <c r="J11303">
        <v>0</v>
      </c>
      <c r="K11303">
        <v>0</v>
      </c>
      <c r="L11303">
        <v>0</v>
      </c>
      <c r="M11303">
        <v>0</v>
      </c>
      <c r="N11303">
        <v>0</v>
      </c>
      <c r="O11303">
        <v>0</v>
      </c>
    </row>
    <row r="11304" spans="1:15" x14ac:dyDescent="0.35">
      <c r="A11304" t="s">
        <v>12113</v>
      </c>
      <c r="B11304" t="s">
        <v>12114</v>
      </c>
      <c r="C11304" t="s">
        <v>11188</v>
      </c>
      <c r="D11304" t="s">
        <v>314</v>
      </c>
      <c r="E11304" t="s">
        <v>300</v>
      </c>
      <c r="F11304" t="s">
        <v>12128</v>
      </c>
      <c r="G11304">
        <v>0</v>
      </c>
      <c r="H11304">
        <v>0</v>
      </c>
      <c r="I11304">
        <v>0</v>
      </c>
      <c r="J11304">
        <v>0</v>
      </c>
      <c r="K11304">
        <v>0</v>
      </c>
      <c r="L11304">
        <v>0</v>
      </c>
      <c r="M11304">
        <v>0</v>
      </c>
      <c r="N11304">
        <v>0</v>
      </c>
      <c r="O11304">
        <v>0</v>
      </c>
    </row>
    <row r="11305" spans="1:15" x14ac:dyDescent="0.35">
      <c r="A11305" t="s">
        <v>12113</v>
      </c>
      <c r="B11305" t="s">
        <v>12114</v>
      </c>
      <c r="C11305" t="s">
        <v>11188</v>
      </c>
      <c r="D11305" t="s">
        <v>314</v>
      </c>
      <c r="E11305" t="s">
        <v>306</v>
      </c>
      <c r="F11305" t="s">
        <v>12129</v>
      </c>
      <c r="G11305">
        <v>0</v>
      </c>
      <c r="H11305">
        <v>0</v>
      </c>
      <c r="I11305">
        <v>0</v>
      </c>
      <c r="J11305">
        <v>0</v>
      </c>
      <c r="K11305">
        <v>0</v>
      </c>
      <c r="L11305">
        <v>0</v>
      </c>
      <c r="M11305">
        <v>0</v>
      </c>
      <c r="N11305">
        <v>0</v>
      </c>
      <c r="O11305">
        <v>0</v>
      </c>
    </row>
    <row r="11306" spans="1:15" x14ac:dyDescent="0.35">
      <c r="A11306" t="s">
        <v>12113</v>
      </c>
      <c r="B11306" t="s">
        <v>12114</v>
      </c>
      <c r="C11306" t="s">
        <v>11188</v>
      </c>
      <c r="D11306" t="s">
        <v>314</v>
      </c>
      <c r="E11306" t="s">
        <v>308</v>
      </c>
      <c r="F11306" t="s">
        <v>12130</v>
      </c>
      <c r="G11306">
        <v>0</v>
      </c>
      <c r="H11306">
        <v>0</v>
      </c>
      <c r="I11306">
        <v>0</v>
      </c>
      <c r="J11306">
        <v>0</v>
      </c>
      <c r="K11306">
        <v>0</v>
      </c>
      <c r="L11306">
        <v>0</v>
      </c>
      <c r="M11306">
        <v>0</v>
      </c>
      <c r="N11306">
        <v>0</v>
      </c>
      <c r="O11306">
        <v>0</v>
      </c>
    </row>
    <row r="11307" spans="1:15" x14ac:dyDescent="0.35">
      <c r="A11307" t="s">
        <v>12113</v>
      </c>
      <c r="B11307" t="s">
        <v>12114</v>
      </c>
      <c r="C11307" t="s">
        <v>11188</v>
      </c>
      <c r="D11307" t="s">
        <v>314</v>
      </c>
      <c r="E11307" t="s">
        <v>312</v>
      </c>
      <c r="F11307" t="s">
        <v>12131</v>
      </c>
      <c r="G11307">
        <v>119</v>
      </c>
      <c r="H11307">
        <v>42154.41</v>
      </c>
      <c r="I11307">
        <v>354.24</v>
      </c>
      <c r="J11307">
        <v>0</v>
      </c>
      <c r="K11307">
        <v>0</v>
      </c>
      <c r="L11307">
        <v>0</v>
      </c>
      <c r="M11307">
        <v>119</v>
      </c>
      <c r="N11307">
        <v>42154.41</v>
      </c>
      <c r="O11307">
        <v>354.24</v>
      </c>
    </row>
    <row r="11308" spans="1:15" x14ac:dyDescent="0.35">
      <c r="A11308" t="s">
        <v>12113</v>
      </c>
      <c r="B11308" t="s">
        <v>12114</v>
      </c>
      <c r="C11308" t="s">
        <v>11188</v>
      </c>
      <c r="D11308" t="s">
        <v>314</v>
      </c>
      <c r="E11308" t="s">
        <v>310</v>
      </c>
      <c r="F11308" t="s">
        <v>12132</v>
      </c>
      <c r="G11308">
        <v>119</v>
      </c>
      <c r="H11308">
        <v>42154.41</v>
      </c>
      <c r="I11308">
        <v>354.24</v>
      </c>
      <c r="J11308">
        <v>0</v>
      </c>
      <c r="K11308">
        <v>0</v>
      </c>
      <c r="L11308">
        <v>0</v>
      </c>
      <c r="M11308">
        <v>119</v>
      </c>
      <c r="N11308">
        <v>42154.41</v>
      </c>
      <c r="O11308">
        <v>354.24</v>
      </c>
    </row>
    <row r="11309" spans="1:15" x14ac:dyDescent="0.35">
      <c r="A11309" t="s">
        <v>12113</v>
      </c>
      <c r="B11309" t="s">
        <v>12114</v>
      </c>
      <c r="C11309" t="s">
        <v>11188</v>
      </c>
      <c r="D11309" t="s">
        <v>323</v>
      </c>
      <c r="E11309" t="s">
        <v>294</v>
      </c>
      <c r="F11309" t="s">
        <v>12133</v>
      </c>
      <c r="G11309">
        <v>4550</v>
      </c>
      <c r="H11309">
        <v>533583.01</v>
      </c>
      <c r="I11309">
        <v>117.27</v>
      </c>
      <c r="J11309">
        <v>3522</v>
      </c>
      <c r="K11309">
        <v>369528.24</v>
      </c>
      <c r="L11309">
        <v>104.92</v>
      </c>
      <c r="M11309">
        <v>8072</v>
      </c>
      <c r="N11309">
        <v>903111.25</v>
      </c>
      <c r="O11309">
        <v>111.88</v>
      </c>
    </row>
    <row r="11310" spans="1:15" x14ac:dyDescent="0.35">
      <c r="A11310" t="s">
        <v>12113</v>
      </c>
      <c r="B11310" t="s">
        <v>12114</v>
      </c>
      <c r="C11310" t="s">
        <v>11188</v>
      </c>
      <c r="D11310" t="s">
        <v>323</v>
      </c>
      <c r="E11310" t="s">
        <v>296</v>
      </c>
      <c r="F11310" t="s">
        <v>12134</v>
      </c>
      <c r="G11310">
        <v>6771</v>
      </c>
      <c r="H11310">
        <v>905429.12999999989</v>
      </c>
      <c r="I11310">
        <v>133.72</v>
      </c>
      <c r="J11310">
        <v>5249</v>
      </c>
      <c r="K11310">
        <v>617702.32000000007</v>
      </c>
      <c r="L11310">
        <v>117.68</v>
      </c>
      <c r="M11310">
        <v>12020</v>
      </c>
      <c r="N11310">
        <v>1523131.45</v>
      </c>
      <c r="O11310">
        <v>126.72</v>
      </c>
    </row>
    <row r="11311" spans="1:15" x14ac:dyDescent="0.35">
      <c r="A11311" t="s">
        <v>12113</v>
      </c>
      <c r="B11311" t="s">
        <v>12114</v>
      </c>
      <c r="C11311" t="s">
        <v>11188</v>
      </c>
      <c r="D11311" t="s">
        <v>323</v>
      </c>
      <c r="E11311" t="s">
        <v>298</v>
      </c>
      <c r="F11311" t="s">
        <v>12135</v>
      </c>
      <c r="G11311">
        <v>5321</v>
      </c>
      <c r="H11311">
        <v>796241.9800000001</v>
      </c>
      <c r="I11311">
        <v>149.63999999999999</v>
      </c>
      <c r="J11311">
        <v>3047</v>
      </c>
      <c r="K11311">
        <v>418596.86</v>
      </c>
      <c r="L11311">
        <v>137.38</v>
      </c>
      <c r="M11311">
        <v>8368</v>
      </c>
      <c r="N11311">
        <v>1214838.8400000001</v>
      </c>
      <c r="O11311">
        <v>145.18</v>
      </c>
    </row>
    <row r="11312" spans="1:15" x14ac:dyDescent="0.35">
      <c r="A11312" t="s">
        <v>12113</v>
      </c>
      <c r="B11312" t="s">
        <v>12114</v>
      </c>
      <c r="C11312" t="s">
        <v>11188</v>
      </c>
      <c r="D11312" t="s">
        <v>323</v>
      </c>
      <c r="E11312" t="s">
        <v>300</v>
      </c>
      <c r="F11312" t="s">
        <v>12136</v>
      </c>
      <c r="G11312">
        <v>984</v>
      </c>
      <c r="H11312">
        <v>168349.31</v>
      </c>
      <c r="I11312">
        <v>171.09</v>
      </c>
      <c r="J11312">
        <v>553</v>
      </c>
      <c r="K11312">
        <v>85388.73</v>
      </c>
      <c r="L11312">
        <v>154.41</v>
      </c>
      <c r="M11312">
        <v>1537</v>
      </c>
      <c r="N11312">
        <v>253738.03999999998</v>
      </c>
      <c r="O11312">
        <v>165.09</v>
      </c>
    </row>
    <row r="11313" spans="1:15" x14ac:dyDescent="0.35">
      <c r="A11313" t="s">
        <v>12113</v>
      </c>
      <c r="B11313" t="s">
        <v>12114</v>
      </c>
      <c r="C11313" t="s">
        <v>11188</v>
      </c>
      <c r="D11313" t="s">
        <v>323</v>
      </c>
      <c r="E11313" t="s">
        <v>302</v>
      </c>
      <c r="F11313" t="s">
        <v>12137</v>
      </c>
      <c r="G11313">
        <v>100</v>
      </c>
      <c r="H11313">
        <v>18704.489999999998</v>
      </c>
      <c r="I11313">
        <v>187.04</v>
      </c>
      <c r="J11313">
        <v>71</v>
      </c>
      <c r="K11313">
        <v>12510.91</v>
      </c>
      <c r="L11313">
        <v>176.21</v>
      </c>
      <c r="M11313">
        <v>171</v>
      </c>
      <c r="N11313">
        <v>31215.399999999998</v>
      </c>
      <c r="O11313">
        <v>182.55</v>
      </c>
    </row>
    <row r="11314" spans="1:15" x14ac:dyDescent="0.35">
      <c r="A11314" t="s">
        <v>12113</v>
      </c>
      <c r="B11314" t="s">
        <v>12114</v>
      </c>
      <c r="C11314" t="s">
        <v>11188</v>
      </c>
      <c r="D11314" t="s">
        <v>323</v>
      </c>
      <c r="E11314" t="s">
        <v>304</v>
      </c>
      <c r="F11314" t="s">
        <v>12138</v>
      </c>
      <c r="G11314">
        <v>17</v>
      </c>
      <c r="H11314">
        <v>3172.63</v>
      </c>
      <c r="I11314">
        <v>186.63</v>
      </c>
      <c r="J11314">
        <v>31</v>
      </c>
      <c r="K11314">
        <v>5815.9100000000008</v>
      </c>
      <c r="L11314">
        <v>187.61</v>
      </c>
      <c r="M11314">
        <v>48</v>
      </c>
      <c r="N11314">
        <v>8988.5400000000009</v>
      </c>
      <c r="O11314">
        <v>187.26</v>
      </c>
    </row>
    <row r="11315" spans="1:15" x14ac:dyDescent="0.35">
      <c r="A11315" t="s">
        <v>12113</v>
      </c>
      <c r="B11315" t="s">
        <v>12114</v>
      </c>
      <c r="C11315" t="s">
        <v>11188</v>
      </c>
      <c r="D11315" t="s">
        <v>323</v>
      </c>
      <c r="E11315" t="s">
        <v>306</v>
      </c>
      <c r="F11315" t="s">
        <v>12139</v>
      </c>
      <c r="G11315">
        <v>390</v>
      </c>
      <c r="H11315">
        <v>37176.21</v>
      </c>
      <c r="I11315">
        <v>95.32</v>
      </c>
      <c r="J11315">
        <v>599</v>
      </c>
      <c r="K11315">
        <v>53915.990000000005</v>
      </c>
      <c r="L11315">
        <v>90.01</v>
      </c>
      <c r="M11315">
        <v>989</v>
      </c>
      <c r="N11315">
        <v>91092.200000000012</v>
      </c>
      <c r="O11315">
        <v>92.11</v>
      </c>
    </row>
    <row r="11316" spans="1:15" x14ac:dyDescent="0.35">
      <c r="A11316" t="s">
        <v>12113</v>
      </c>
      <c r="B11316" t="s">
        <v>12114</v>
      </c>
      <c r="C11316" t="s">
        <v>11188</v>
      </c>
      <c r="D11316" t="s">
        <v>323</v>
      </c>
      <c r="E11316" t="s">
        <v>308</v>
      </c>
      <c r="F11316" t="s">
        <v>12140</v>
      </c>
      <c r="G11316">
        <v>26</v>
      </c>
      <c r="H11316">
        <v>2321.54</v>
      </c>
      <c r="I11316">
        <v>89.29</v>
      </c>
      <c r="J11316">
        <v>834</v>
      </c>
      <c r="K11316">
        <v>31892.16</v>
      </c>
      <c r="L11316">
        <v>38.24</v>
      </c>
      <c r="M11316">
        <v>860</v>
      </c>
      <c r="N11316">
        <v>34213.699999999997</v>
      </c>
      <c r="O11316">
        <v>39.78</v>
      </c>
    </row>
    <row r="11317" spans="1:15" x14ac:dyDescent="0.35">
      <c r="A11317" t="s">
        <v>12113</v>
      </c>
      <c r="B11317" t="s">
        <v>12114</v>
      </c>
      <c r="C11317" t="s">
        <v>11188</v>
      </c>
      <c r="D11317" t="s">
        <v>323</v>
      </c>
      <c r="E11317" t="s">
        <v>310</v>
      </c>
      <c r="F11317" t="s">
        <v>12141</v>
      </c>
      <c r="G11317">
        <v>18159</v>
      </c>
      <c r="H11317">
        <v>2464978.3000000003</v>
      </c>
      <c r="I11317">
        <v>135.74</v>
      </c>
      <c r="J11317">
        <v>13906</v>
      </c>
      <c r="K11317">
        <v>1595351.1199999996</v>
      </c>
      <c r="L11317">
        <v>114.72</v>
      </c>
      <c r="M11317">
        <v>32065</v>
      </c>
      <c r="N11317">
        <v>4060329.42</v>
      </c>
      <c r="O11317">
        <v>126.63</v>
      </c>
    </row>
    <row r="11318" spans="1:15" x14ac:dyDescent="0.35">
      <c r="A11318" t="s">
        <v>12113</v>
      </c>
      <c r="B11318" t="s">
        <v>12114</v>
      </c>
      <c r="C11318" t="s">
        <v>11188</v>
      </c>
      <c r="D11318" t="s">
        <v>323</v>
      </c>
      <c r="E11318" t="s">
        <v>312</v>
      </c>
      <c r="F11318" t="s">
        <v>12142</v>
      </c>
      <c r="G11318">
        <v>18133</v>
      </c>
      <c r="H11318">
        <v>2462656.7600000002</v>
      </c>
      <c r="I11318">
        <v>135.81</v>
      </c>
      <c r="J11318">
        <v>13072</v>
      </c>
      <c r="K11318">
        <v>1563458.9599999997</v>
      </c>
      <c r="L11318">
        <v>119.6</v>
      </c>
      <c r="M11318">
        <v>31205</v>
      </c>
      <c r="N11318">
        <v>4026115.7199999997</v>
      </c>
      <c r="O11318">
        <v>129.02000000000001</v>
      </c>
    </row>
    <row r="11319" spans="1:15" x14ac:dyDescent="0.35">
      <c r="A11319" t="s">
        <v>12113</v>
      </c>
      <c r="B11319" t="s">
        <v>12114</v>
      </c>
      <c r="C11319" t="s">
        <v>11188</v>
      </c>
      <c r="D11319" t="s">
        <v>334</v>
      </c>
      <c r="E11319" t="s">
        <v>312</v>
      </c>
      <c r="F11319" t="s">
        <v>12143</v>
      </c>
      <c r="G11319">
        <v>21314</v>
      </c>
      <c r="H11319">
        <v>2895768.5</v>
      </c>
      <c r="I11319">
        <v>144.33000000000001</v>
      </c>
      <c r="J11319">
        <v>13347</v>
      </c>
      <c r="K11319">
        <v>1620283.1099999999</v>
      </c>
      <c r="L11319">
        <v>121.4</v>
      </c>
      <c r="M11319">
        <v>34661</v>
      </c>
      <c r="N11319">
        <v>4516051.6099999994</v>
      </c>
      <c r="O11319">
        <v>135.16999999999999</v>
      </c>
    </row>
    <row r="11320" spans="1:15" x14ac:dyDescent="0.35">
      <c r="A11320" t="s">
        <v>12113</v>
      </c>
      <c r="B11320" t="s">
        <v>12114</v>
      </c>
      <c r="C11320" t="s">
        <v>11188</v>
      </c>
      <c r="D11320" t="s">
        <v>334</v>
      </c>
      <c r="E11320" t="s">
        <v>308</v>
      </c>
      <c r="F11320" t="s">
        <v>12144</v>
      </c>
      <c r="G11320">
        <v>116</v>
      </c>
      <c r="H11320">
        <v>2723.22</v>
      </c>
      <c r="I11320">
        <v>90.77</v>
      </c>
      <c r="J11320">
        <v>834</v>
      </c>
      <c r="K11320">
        <v>31892.16</v>
      </c>
      <c r="L11320">
        <v>38.24</v>
      </c>
      <c r="M11320">
        <v>950</v>
      </c>
      <c r="N11320">
        <v>34615.379999999997</v>
      </c>
      <c r="O11320">
        <v>40.06</v>
      </c>
    </row>
    <row r="11321" spans="1:15" x14ac:dyDescent="0.35">
      <c r="A11321" t="s">
        <v>12113</v>
      </c>
      <c r="B11321" t="s">
        <v>12114</v>
      </c>
      <c r="C11321" t="s">
        <v>11188</v>
      </c>
      <c r="D11321" t="s">
        <v>337</v>
      </c>
      <c r="E11321" t="s">
        <v>337</v>
      </c>
      <c r="F11321" t="s">
        <v>12145</v>
      </c>
      <c r="G11321">
        <v>2053</v>
      </c>
      <c r="J11321">
        <v>33</v>
      </c>
      <c r="M11321">
        <v>2086</v>
      </c>
    </row>
    <row r="11322" spans="1:15" x14ac:dyDescent="0.35">
      <c r="A11322" t="s">
        <v>12113</v>
      </c>
      <c r="B11322" t="s">
        <v>12114</v>
      </c>
      <c r="C11322" t="s">
        <v>11188</v>
      </c>
      <c r="D11322" t="s">
        <v>339</v>
      </c>
      <c r="E11322" t="s">
        <v>294</v>
      </c>
      <c r="F11322" t="s">
        <v>12146</v>
      </c>
      <c r="G11322">
        <v>1000</v>
      </c>
      <c r="H11322">
        <v>134748.54999999999</v>
      </c>
      <c r="I11322">
        <v>134.75</v>
      </c>
      <c r="J11322">
        <v>340</v>
      </c>
      <c r="K11322">
        <v>34856.799999999996</v>
      </c>
      <c r="L11322">
        <v>102.52</v>
      </c>
      <c r="M11322">
        <v>1340</v>
      </c>
      <c r="N11322">
        <v>169605.34999999998</v>
      </c>
      <c r="O11322">
        <v>126.57</v>
      </c>
    </row>
    <row r="11323" spans="1:15" x14ac:dyDescent="0.35">
      <c r="A11323" t="s">
        <v>12113</v>
      </c>
      <c r="B11323" t="s">
        <v>12114</v>
      </c>
      <c r="C11323" t="s">
        <v>11188</v>
      </c>
      <c r="D11323" t="s">
        <v>339</v>
      </c>
      <c r="E11323" t="s">
        <v>296</v>
      </c>
      <c r="F11323" t="s">
        <v>12147</v>
      </c>
      <c r="G11323">
        <v>94</v>
      </c>
      <c r="H11323">
        <v>16623.46</v>
      </c>
      <c r="I11323">
        <v>176.85</v>
      </c>
      <c r="J11323">
        <v>14</v>
      </c>
      <c r="K11323">
        <v>1659.5600000000002</v>
      </c>
      <c r="L11323">
        <v>118.54</v>
      </c>
      <c r="M11323">
        <v>108</v>
      </c>
      <c r="N11323">
        <v>18283.02</v>
      </c>
      <c r="O11323">
        <v>169.29</v>
      </c>
    </row>
    <row r="11324" spans="1:15" x14ac:dyDescent="0.35">
      <c r="A11324" t="s">
        <v>12113</v>
      </c>
      <c r="B11324" t="s">
        <v>12114</v>
      </c>
      <c r="C11324" t="s">
        <v>11188</v>
      </c>
      <c r="D11324" t="s">
        <v>339</v>
      </c>
      <c r="E11324" t="s">
        <v>298</v>
      </c>
      <c r="F11324" t="s">
        <v>12148</v>
      </c>
      <c r="G11324">
        <v>3</v>
      </c>
      <c r="H11324">
        <v>560.07999999999993</v>
      </c>
      <c r="I11324">
        <v>186.69</v>
      </c>
      <c r="J11324">
        <v>3</v>
      </c>
      <c r="K11324">
        <v>414.03</v>
      </c>
      <c r="L11324">
        <v>138.01</v>
      </c>
      <c r="M11324">
        <v>6</v>
      </c>
      <c r="N11324">
        <v>974.1099999999999</v>
      </c>
      <c r="O11324">
        <v>162.35</v>
      </c>
    </row>
    <row r="11325" spans="1:15" x14ac:dyDescent="0.35">
      <c r="A11325" t="s">
        <v>12113</v>
      </c>
      <c r="B11325" t="s">
        <v>12114</v>
      </c>
      <c r="C11325" t="s">
        <v>11188</v>
      </c>
      <c r="D11325" t="s">
        <v>339</v>
      </c>
      <c r="E11325" t="s">
        <v>300</v>
      </c>
      <c r="F11325" t="s">
        <v>12149</v>
      </c>
      <c r="G11325">
        <v>1</v>
      </c>
      <c r="H11325">
        <v>210.4</v>
      </c>
      <c r="I11325">
        <v>210.4</v>
      </c>
      <c r="J11325">
        <v>0</v>
      </c>
      <c r="K11325">
        <v>0</v>
      </c>
      <c r="L11325">
        <v>0</v>
      </c>
      <c r="M11325">
        <v>1</v>
      </c>
      <c r="N11325">
        <v>210.4</v>
      </c>
      <c r="O11325">
        <v>210.4</v>
      </c>
    </row>
    <row r="11326" spans="1:15" x14ac:dyDescent="0.35">
      <c r="A11326" t="s">
        <v>12113</v>
      </c>
      <c r="B11326" t="s">
        <v>12114</v>
      </c>
      <c r="C11326" t="s">
        <v>11188</v>
      </c>
      <c r="D11326" t="s">
        <v>339</v>
      </c>
      <c r="E11326" t="s">
        <v>306</v>
      </c>
      <c r="F11326" t="s">
        <v>12150</v>
      </c>
      <c r="G11326">
        <v>55</v>
      </c>
      <c r="H11326">
        <v>6660.4699999999993</v>
      </c>
      <c r="I11326">
        <v>121.1</v>
      </c>
      <c r="J11326">
        <v>89</v>
      </c>
      <c r="K11326">
        <v>7844.46</v>
      </c>
      <c r="L11326">
        <v>88.14</v>
      </c>
      <c r="M11326">
        <v>144</v>
      </c>
      <c r="N11326">
        <v>14504.93</v>
      </c>
      <c r="O11326">
        <v>100.73</v>
      </c>
    </row>
    <row r="11327" spans="1:15" x14ac:dyDescent="0.35">
      <c r="A11327" t="s">
        <v>12113</v>
      </c>
      <c r="B11327" t="s">
        <v>12114</v>
      </c>
      <c r="C11327" t="s">
        <v>11188</v>
      </c>
      <c r="D11327" t="s">
        <v>339</v>
      </c>
      <c r="E11327" t="s">
        <v>308</v>
      </c>
      <c r="F11327" t="s">
        <v>12151</v>
      </c>
      <c r="G11327">
        <v>562</v>
      </c>
      <c r="H11327">
        <v>70086.210000000006</v>
      </c>
      <c r="I11327">
        <v>124.71</v>
      </c>
      <c r="J11327">
        <v>0</v>
      </c>
      <c r="K11327">
        <v>0</v>
      </c>
      <c r="L11327">
        <v>0</v>
      </c>
      <c r="M11327">
        <v>562</v>
      </c>
      <c r="N11327">
        <v>70086.210000000006</v>
      </c>
      <c r="O11327">
        <v>124.71</v>
      </c>
    </row>
    <row r="11328" spans="1:15" x14ac:dyDescent="0.35">
      <c r="A11328" t="s">
        <v>12113</v>
      </c>
      <c r="B11328" t="s">
        <v>12114</v>
      </c>
      <c r="C11328" t="s">
        <v>11188</v>
      </c>
      <c r="D11328" t="s">
        <v>339</v>
      </c>
      <c r="E11328" t="s">
        <v>310</v>
      </c>
      <c r="F11328" t="s">
        <v>12152</v>
      </c>
      <c r="G11328">
        <v>1715</v>
      </c>
      <c r="H11328">
        <v>228889.16999999998</v>
      </c>
      <c r="I11328">
        <v>133.46</v>
      </c>
      <c r="J11328">
        <v>446</v>
      </c>
      <c r="K11328">
        <v>44774.849999999991</v>
      </c>
      <c r="L11328">
        <v>100.39</v>
      </c>
      <c r="M11328">
        <v>2161</v>
      </c>
      <c r="N11328">
        <v>273664.01999999996</v>
      </c>
      <c r="O11328">
        <v>126.64</v>
      </c>
    </row>
    <row r="11329" spans="1:15" x14ac:dyDescent="0.35">
      <c r="A11329" t="s">
        <v>12113</v>
      </c>
      <c r="B11329" t="s">
        <v>12114</v>
      </c>
      <c r="C11329" t="s">
        <v>11188</v>
      </c>
      <c r="D11329" t="s">
        <v>339</v>
      </c>
      <c r="E11329" t="s">
        <v>312</v>
      </c>
      <c r="F11329" t="s">
        <v>12153</v>
      </c>
      <c r="G11329">
        <v>1153</v>
      </c>
      <c r="H11329">
        <v>158802.95999999996</v>
      </c>
      <c r="I11329">
        <v>137.72999999999999</v>
      </c>
      <c r="J11329">
        <v>446</v>
      </c>
      <c r="K11329">
        <v>44774.849999999991</v>
      </c>
      <c r="L11329">
        <v>100.39</v>
      </c>
      <c r="M11329">
        <v>1599</v>
      </c>
      <c r="N11329">
        <v>203577.80999999994</v>
      </c>
      <c r="O11329">
        <v>127.32</v>
      </c>
    </row>
    <row r="11330" spans="1:15" x14ac:dyDescent="0.35">
      <c r="A11330" t="s">
        <v>12113</v>
      </c>
      <c r="B11330" t="s">
        <v>12114</v>
      </c>
      <c r="C11330" t="s">
        <v>11188</v>
      </c>
      <c r="D11330" t="s">
        <v>348</v>
      </c>
      <c r="E11330" t="s">
        <v>349</v>
      </c>
      <c r="F11330" t="s">
        <v>12154</v>
      </c>
      <c r="G11330">
        <v>2564</v>
      </c>
      <c r="H11330">
        <v>271043.57999999996</v>
      </c>
      <c r="I11330">
        <v>147.79</v>
      </c>
      <c r="J11330">
        <v>446</v>
      </c>
      <c r="K11330">
        <v>44774.849999999991</v>
      </c>
      <c r="L11330">
        <v>100.39</v>
      </c>
      <c r="M11330">
        <v>3010</v>
      </c>
      <c r="N11330">
        <v>315818.42999999993</v>
      </c>
      <c r="O11330">
        <v>138.52000000000001</v>
      </c>
    </row>
    <row r="11331" spans="1:15" x14ac:dyDescent="0.35">
      <c r="A11331" t="s">
        <v>12155</v>
      </c>
      <c r="B11331" t="s">
        <v>12156</v>
      </c>
      <c r="C11331" t="s">
        <v>11188</v>
      </c>
      <c r="D11331" t="s">
        <v>293</v>
      </c>
      <c r="E11331" t="s">
        <v>294</v>
      </c>
      <c r="F11331" t="s">
        <v>12157</v>
      </c>
      <c r="G11331">
        <v>455</v>
      </c>
      <c r="H11331">
        <v>76632.34</v>
      </c>
      <c r="I11331">
        <v>168.42</v>
      </c>
      <c r="J11331">
        <v>0</v>
      </c>
      <c r="K11331">
        <v>0</v>
      </c>
      <c r="L11331">
        <v>0</v>
      </c>
      <c r="M11331">
        <v>455</v>
      </c>
      <c r="N11331">
        <v>76632.34</v>
      </c>
      <c r="O11331">
        <v>168.42</v>
      </c>
    </row>
    <row r="11332" spans="1:15" x14ac:dyDescent="0.35">
      <c r="A11332" t="s">
        <v>12155</v>
      </c>
      <c r="B11332" t="s">
        <v>12156</v>
      </c>
      <c r="C11332" t="s">
        <v>11188</v>
      </c>
      <c r="D11332" t="s">
        <v>293</v>
      </c>
      <c r="E11332" t="s">
        <v>296</v>
      </c>
      <c r="F11332" t="s">
        <v>12158</v>
      </c>
      <c r="G11332">
        <v>377</v>
      </c>
      <c r="H11332">
        <v>79405.080000000016</v>
      </c>
      <c r="I11332">
        <v>210.62</v>
      </c>
      <c r="J11332">
        <v>0</v>
      </c>
      <c r="K11332">
        <v>0</v>
      </c>
      <c r="L11332">
        <v>0</v>
      </c>
      <c r="M11332">
        <v>377</v>
      </c>
      <c r="N11332">
        <v>79405.080000000016</v>
      </c>
      <c r="O11332">
        <v>210.62</v>
      </c>
    </row>
    <row r="11333" spans="1:15" x14ac:dyDescent="0.35">
      <c r="A11333" t="s">
        <v>12155</v>
      </c>
      <c r="B11333" t="s">
        <v>12156</v>
      </c>
      <c r="C11333" t="s">
        <v>11188</v>
      </c>
      <c r="D11333" t="s">
        <v>293</v>
      </c>
      <c r="E11333" t="s">
        <v>298</v>
      </c>
      <c r="F11333" t="s">
        <v>12159</v>
      </c>
      <c r="G11333">
        <v>204</v>
      </c>
      <c r="H11333">
        <v>51017.25</v>
      </c>
      <c r="I11333">
        <v>250.08</v>
      </c>
      <c r="J11333">
        <v>0</v>
      </c>
      <c r="K11333">
        <v>0</v>
      </c>
      <c r="L11333">
        <v>0</v>
      </c>
      <c r="M11333">
        <v>204</v>
      </c>
      <c r="N11333">
        <v>51017.25</v>
      </c>
      <c r="O11333">
        <v>250.08</v>
      </c>
    </row>
    <row r="11334" spans="1:15" x14ac:dyDescent="0.35">
      <c r="A11334" t="s">
        <v>12155</v>
      </c>
      <c r="B11334" t="s">
        <v>12156</v>
      </c>
      <c r="C11334" t="s">
        <v>11188</v>
      </c>
      <c r="D11334" t="s">
        <v>293</v>
      </c>
      <c r="E11334" t="s">
        <v>300</v>
      </c>
      <c r="F11334" t="s">
        <v>12160</v>
      </c>
      <c r="G11334">
        <v>25</v>
      </c>
      <c r="H11334">
        <v>7414.78</v>
      </c>
      <c r="I11334">
        <v>296.58999999999997</v>
      </c>
      <c r="J11334">
        <v>0</v>
      </c>
      <c r="K11334">
        <v>0</v>
      </c>
      <c r="L11334">
        <v>0</v>
      </c>
      <c r="M11334">
        <v>25</v>
      </c>
      <c r="N11334">
        <v>7414.78</v>
      </c>
      <c r="O11334">
        <v>296.58999999999997</v>
      </c>
    </row>
    <row r="11335" spans="1:15" x14ac:dyDescent="0.35">
      <c r="A11335" t="s">
        <v>12155</v>
      </c>
      <c r="B11335" t="s">
        <v>12156</v>
      </c>
      <c r="C11335" t="s">
        <v>11188</v>
      </c>
      <c r="D11335" t="s">
        <v>293</v>
      </c>
      <c r="E11335" t="s">
        <v>302</v>
      </c>
      <c r="F11335" t="s">
        <v>12161</v>
      </c>
      <c r="G11335">
        <v>0</v>
      </c>
      <c r="H11335">
        <v>0</v>
      </c>
      <c r="I11335">
        <v>0</v>
      </c>
      <c r="J11335">
        <v>0</v>
      </c>
      <c r="K11335">
        <v>0</v>
      </c>
      <c r="L11335">
        <v>0</v>
      </c>
      <c r="M11335">
        <v>0</v>
      </c>
      <c r="N11335">
        <v>0</v>
      </c>
      <c r="O11335">
        <v>0</v>
      </c>
    </row>
    <row r="11336" spans="1:15" x14ac:dyDescent="0.35">
      <c r="A11336" t="s">
        <v>12155</v>
      </c>
      <c r="B11336" t="s">
        <v>12156</v>
      </c>
      <c r="C11336" t="s">
        <v>11188</v>
      </c>
      <c r="D11336" t="s">
        <v>293</v>
      </c>
      <c r="E11336" t="s">
        <v>304</v>
      </c>
      <c r="F11336" t="s">
        <v>12162</v>
      </c>
      <c r="G11336">
        <v>0</v>
      </c>
      <c r="H11336">
        <v>0</v>
      </c>
      <c r="I11336">
        <v>0</v>
      </c>
      <c r="J11336">
        <v>0</v>
      </c>
      <c r="K11336">
        <v>0</v>
      </c>
      <c r="L11336">
        <v>0</v>
      </c>
      <c r="M11336">
        <v>0</v>
      </c>
      <c r="N11336">
        <v>0</v>
      </c>
      <c r="O11336">
        <v>0</v>
      </c>
    </row>
    <row r="11337" spans="1:15" x14ac:dyDescent="0.35">
      <c r="A11337" t="s">
        <v>12155</v>
      </c>
      <c r="B11337" t="s">
        <v>12156</v>
      </c>
      <c r="C11337" t="s">
        <v>11188</v>
      </c>
      <c r="D11337" t="s">
        <v>293</v>
      </c>
      <c r="E11337" t="s">
        <v>306</v>
      </c>
      <c r="F11337" t="s">
        <v>12163</v>
      </c>
      <c r="G11337">
        <v>38</v>
      </c>
      <c r="H11337">
        <v>7747.18</v>
      </c>
      <c r="I11337">
        <v>203.87</v>
      </c>
      <c r="J11337">
        <v>0</v>
      </c>
      <c r="K11337">
        <v>0</v>
      </c>
      <c r="L11337">
        <v>0</v>
      </c>
      <c r="M11337">
        <v>38</v>
      </c>
      <c r="N11337">
        <v>7747.18</v>
      </c>
      <c r="O11337">
        <v>203.87</v>
      </c>
    </row>
    <row r="11338" spans="1:15" x14ac:dyDescent="0.35">
      <c r="A11338" t="s">
        <v>12155</v>
      </c>
      <c r="B11338" t="s">
        <v>12156</v>
      </c>
      <c r="C11338" t="s">
        <v>11188</v>
      </c>
      <c r="D11338" t="s">
        <v>293</v>
      </c>
      <c r="E11338" t="s">
        <v>308</v>
      </c>
      <c r="F11338" t="s">
        <v>12164</v>
      </c>
      <c r="G11338">
        <v>3</v>
      </c>
      <c r="H11338">
        <v>517.68000000000006</v>
      </c>
      <c r="I11338">
        <v>172.56</v>
      </c>
      <c r="J11338">
        <v>0</v>
      </c>
      <c r="K11338">
        <v>0</v>
      </c>
      <c r="L11338">
        <v>0</v>
      </c>
      <c r="M11338">
        <v>3</v>
      </c>
      <c r="N11338">
        <v>517.68000000000006</v>
      </c>
      <c r="O11338">
        <v>172.56</v>
      </c>
    </row>
    <row r="11339" spans="1:15" x14ac:dyDescent="0.35">
      <c r="A11339" t="s">
        <v>12155</v>
      </c>
      <c r="B11339" t="s">
        <v>12156</v>
      </c>
      <c r="C11339" t="s">
        <v>11188</v>
      </c>
      <c r="D11339" t="s">
        <v>293</v>
      </c>
      <c r="E11339" t="s">
        <v>310</v>
      </c>
      <c r="F11339" t="s">
        <v>12165</v>
      </c>
      <c r="G11339">
        <v>1102</v>
      </c>
      <c r="H11339">
        <v>222734.31</v>
      </c>
      <c r="I11339">
        <v>202.12</v>
      </c>
      <c r="J11339">
        <v>0</v>
      </c>
      <c r="K11339">
        <v>0</v>
      </c>
      <c r="L11339">
        <v>0</v>
      </c>
      <c r="M11339">
        <v>1102</v>
      </c>
      <c r="N11339">
        <v>222734.31</v>
      </c>
      <c r="O11339">
        <v>202.12</v>
      </c>
    </row>
    <row r="11340" spans="1:15" x14ac:dyDescent="0.35">
      <c r="A11340" t="s">
        <v>12155</v>
      </c>
      <c r="B11340" t="s">
        <v>12156</v>
      </c>
      <c r="C11340" t="s">
        <v>11188</v>
      </c>
      <c r="D11340" t="s">
        <v>293</v>
      </c>
      <c r="E11340" t="s">
        <v>312</v>
      </c>
      <c r="F11340" t="s">
        <v>12166</v>
      </c>
      <c r="G11340">
        <v>1099</v>
      </c>
      <c r="H11340">
        <v>222216.63</v>
      </c>
      <c r="I11340">
        <v>202.2</v>
      </c>
      <c r="J11340">
        <v>0</v>
      </c>
      <c r="K11340">
        <v>0</v>
      </c>
      <c r="L11340">
        <v>0</v>
      </c>
      <c r="M11340">
        <v>1099</v>
      </c>
      <c r="N11340">
        <v>222216.63</v>
      </c>
      <c r="O11340">
        <v>202.2</v>
      </c>
    </row>
    <row r="11341" spans="1:15" x14ac:dyDescent="0.35">
      <c r="A11341" t="s">
        <v>12155</v>
      </c>
      <c r="B11341" t="s">
        <v>12156</v>
      </c>
      <c r="C11341" t="s">
        <v>11188</v>
      </c>
      <c r="D11341" t="s">
        <v>314</v>
      </c>
      <c r="E11341" t="s">
        <v>294</v>
      </c>
      <c r="F11341" t="s">
        <v>12167</v>
      </c>
      <c r="G11341">
        <v>2</v>
      </c>
      <c r="H11341">
        <v>468.06</v>
      </c>
      <c r="I11341">
        <v>234.03</v>
      </c>
      <c r="J11341">
        <v>0</v>
      </c>
      <c r="K11341">
        <v>0</v>
      </c>
      <c r="L11341">
        <v>0</v>
      </c>
      <c r="M11341">
        <v>2</v>
      </c>
      <c r="N11341">
        <v>468.06</v>
      </c>
      <c r="O11341">
        <v>234.03</v>
      </c>
    </row>
    <row r="11342" spans="1:15" x14ac:dyDescent="0.35">
      <c r="A11342" t="s">
        <v>12155</v>
      </c>
      <c r="B11342" t="s">
        <v>12156</v>
      </c>
      <c r="C11342" t="s">
        <v>11188</v>
      </c>
      <c r="D11342" t="s">
        <v>314</v>
      </c>
      <c r="E11342" t="s">
        <v>296</v>
      </c>
      <c r="F11342" t="s">
        <v>12168</v>
      </c>
      <c r="G11342">
        <v>1</v>
      </c>
      <c r="H11342">
        <v>277.17</v>
      </c>
      <c r="I11342">
        <v>277.17</v>
      </c>
      <c r="J11342">
        <v>0</v>
      </c>
      <c r="K11342">
        <v>0</v>
      </c>
      <c r="L11342">
        <v>0</v>
      </c>
      <c r="M11342">
        <v>1</v>
      </c>
      <c r="N11342">
        <v>277.17</v>
      </c>
      <c r="O11342">
        <v>277.17</v>
      </c>
    </row>
    <row r="11343" spans="1:15" x14ac:dyDescent="0.35">
      <c r="A11343" t="s">
        <v>12155</v>
      </c>
      <c r="B11343" t="s">
        <v>12156</v>
      </c>
      <c r="C11343" t="s">
        <v>11188</v>
      </c>
      <c r="D11343" t="s">
        <v>314</v>
      </c>
      <c r="E11343" t="s">
        <v>298</v>
      </c>
      <c r="F11343" t="s">
        <v>12169</v>
      </c>
      <c r="G11343">
        <v>0</v>
      </c>
      <c r="H11343">
        <v>0</v>
      </c>
      <c r="I11343">
        <v>0</v>
      </c>
      <c r="J11343">
        <v>0</v>
      </c>
      <c r="K11343">
        <v>0</v>
      </c>
      <c r="L11343">
        <v>0</v>
      </c>
      <c r="M11343">
        <v>0</v>
      </c>
      <c r="N11343">
        <v>0</v>
      </c>
      <c r="O11343">
        <v>0</v>
      </c>
    </row>
    <row r="11344" spans="1:15" x14ac:dyDescent="0.35">
      <c r="A11344" t="s">
        <v>12155</v>
      </c>
      <c r="B11344" t="s">
        <v>12156</v>
      </c>
      <c r="C11344" t="s">
        <v>11188</v>
      </c>
      <c r="D11344" t="s">
        <v>314</v>
      </c>
      <c r="E11344" t="s">
        <v>300</v>
      </c>
      <c r="F11344" t="s">
        <v>12170</v>
      </c>
      <c r="G11344">
        <v>0</v>
      </c>
      <c r="H11344">
        <v>0</v>
      </c>
      <c r="I11344">
        <v>0</v>
      </c>
      <c r="J11344">
        <v>0</v>
      </c>
      <c r="K11344">
        <v>0</v>
      </c>
      <c r="L11344">
        <v>0</v>
      </c>
      <c r="M11344">
        <v>0</v>
      </c>
      <c r="N11344">
        <v>0</v>
      </c>
      <c r="O11344">
        <v>0</v>
      </c>
    </row>
    <row r="11345" spans="1:15" x14ac:dyDescent="0.35">
      <c r="A11345" t="s">
        <v>12155</v>
      </c>
      <c r="B11345" t="s">
        <v>12156</v>
      </c>
      <c r="C11345" t="s">
        <v>11188</v>
      </c>
      <c r="D11345" t="s">
        <v>314</v>
      </c>
      <c r="E11345" t="s">
        <v>306</v>
      </c>
      <c r="F11345" t="s">
        <v>12171</v>
      </c>
      <c r="G11345">
        <v>1</v>
      </c>
      <c r="H11345">
        <v>265.75</v>
      </c>
      <c r="I11345">
        <v>265.75</v>
      </c>
      <c r="J11345">
        <v>0</v>
      </c>
      <c r="K11345">
        <v>0</v>
      </c>
      <c r="L11345">
        <v>0</v>
      </c>
      <c r="M11345">
        <v>1</v>
      </c>
      <c r="N11345">
        <v>265.75</v>
      </c>
      <c r="O11345">
        <v>265.75</v>
      </c>
    </row>
    <row r="11346" spans="1:15" x14ac:dyDescent="0.35">
      <c r="A11346" t="s">
        <v>12155</v>
      </c>
      <c r="B11346" t="s">
        <v>12156</v>
      </c>
      <c r="C11346" t="s">
        <v>11188</v>
      </c>
      <c r="D11346" t="s">
        <v>314</v>
      </c>
      <c r="E11346" t="s">
        <v>308</v>
      </c>
      <c r="F11346" t="s">
        <v>12172</v>
      </c>
      <c r="G11346">
        <v>121</v>
      </c>
      <c r="H11346">
        <v>44451.770000000004</v>
      </c>
      <c r="I11346">
        <v>367.37</v>
      </c>
      <c r="J11346">
        <v>0</v>
      </c>
      <c r="K11346">
        <v>0</v>
      </c>
      <c r="L11346">
        <v>0</v>
      </c>
      <c r="M11346">
        <v>121</v>
      </c>
      <c r="N11346">
        <v>44451.770000000004</v>
      </c>
      <c r="O11346">
        <v>367.37</v>
      </c>
    </row>
    <row r="11347" spans="1:15" x14ac:dyDescent="0.35">
      <c r="A11347" t="s">
        <v>12155</v>
      </c>
      <c r="B11347" t="s">
        <v>12156</v>
      </c>
      <c r="C11347" t="s">
        <v>11188</v>
      </c>
      <c r="D11347" t="s">
        <v>314</v>
      </c>
      <c r="E11347" t="s">
        <v>312</v>
      </c>
      <c r="F11347" t="s">
        <v>12173</v>
      </c>
      <c r="G11347">
        <v>4</v>
      </c>
      <c r="H11347">
        <v>1010.98</v>
      </c>
      <c r="I11347">
        <v>252.75</v>
      </c>
      <c r="J11347">
        <v>0</v>
      </c>
      <c r="K11347">
        <v>0</v>
      </c>
      <c r="L11347">
        <v>0</v>
      </c>
      <c r="M11347">
        <v>4</v>
      </c>
      <c r="N11347">
        <v>1010.98</v>
      </c>
      <c r="O11347">
        <v>252.75</v>
      </c>
    </row>
    <row r="11348" spans="1:15" x14ac:dyDescent="0.35">
      <c r="A11348" t="s">
        <v>12155</v>
      </c>
      <c r="B11348" t="s">
        <v>12156</v>
      </c>
      <c r="C11348" t="s">
        <v>11188</v>
      </c>
      <c r="D11348" t="s">
        <v>314</v>
      </c>
      <c r="E11348" t="s">
        <v>310</v>
      </c>
      <c r="F11348" t="s">
        <v>12174</v>
      </c>
      <c r="G11348">
        <v>125</v>
      </c>
      <c r="H11348">
        <v>45462.750000000007</v>
      </c>
      <c r="I11348">
        <v>363.7</v>
      </c>
      <c r="J11348">
        <v>0</v>
      </c>
      <c r="K11348">
        <v>0</v>
      </c>
      <c r="L11348">
        <v>0</v>
      </c>
      <c r="M11348">
        <v>125</v>
      </c>
      <c r="N11348">
        <v>45462.750000000007</v>
      </c>
      <c r="O11348">
        <v>363.7</v>
      </c>
    </row>
    <row r="11349" spans="1:15" x14ac:dyDescent="0.35">
      <c r="A11349" t="s">
        <v>12155</v>
      </c>
      <c r="B11349" t="s">
        <v>12156</v>
      </c>
      <c r="C11349" t="s">
        <v>11188</v>
      </c>
      <c r="D11349" t="s">
        <v>323</v>
      </c>
      <c r="E11349" t="s">
        <v>294</v>
      </c>
      <c r="F11349" t="s">
        <v>12175</v>
      </c>
      <c r="G11349">
        <v>2153</v>
      </c>
      <c r="H11349">
        <v>250779.42</v>
      </c>
      <c r="I11349">
        <v>116.48</v>
      </c>
      <c r="J11349">
        <v>0</v>
      </c>
      <c r="K11349">
        <v>0</v>
      </c>
      <c r="L11349">
        <v>0</v>
      </c>
      <c r="M11349">
        <v>2153</v>
      </c>
      <c r="N11349">
        <v>250779.42</v>
      </c>
      <c r="O11349">
        <v>116.48</v>
      </c>
    </row>
    <row r="11350" spans="1:15" x14ac:dyDescent="0.35">
      <c r="A11350" t="s">
        <v>12155</v>
      </c>
      <c r="B11350" t="s">
        <v>12156</v>
      </c>
      <c r="C11350" t="s">
        <v>11188</v>
      </c>
      <c r="D11350" t="s">
        <v>323</v>
      </c>
      <c r="E11350" t="s">
        <v>296</v>
      </c>
      <c r="F11350" t="s">
        <v>12176</v>
      </c>
      <c r="G11350">
        <v>3156</v>
      </c>
      <c r="H11350">
        <v>439588.16999999993</v>
      </c>
      <c r="I11350">
        <v>139.29</v>
      </c>
      <c r="J11350">
        <v>0</v>
      </c>
      <c r="K11350">
        <v>0</v>
      </c>
      <c r="L11350">
        <v>0</v>
      </c>
      <c r="M11350">
        <v>3156</v>
      </c>
      <c r="N11350">
        <v>439588.16999999993</v>
      </c>
      <c r="O11350">
        <v>139.29</v>
      </c>
    </row>
    <row r="11351" spans="1:15" x14ac:dyDescent="0.35">
      <c r="A11351" t="s">
        <v>12155</v>
      </c>
      <c r="B11351" t="s">
        <v>12156</v>
      </c>
      <c r="C11351" t="s">
        <v>11188</v>
      </c>
      <c r="D11351" t="s">
        <v>323</v>
      </c>
      <c r="E11351" t="s">
        <v>298</v>
      </c>
      <c r="F11351" t="s">
        <v>12177</v>
      </c>
      <c r="G11351">
        <v>3170</v>
      </c>
      <c r="H11351">
        <v>492465.43</v>
      </c>
      <c r="I11351">
        <v>155.35</v>
      </c>
      <c r="J11351">
        <v>0</v>
      </c>
      <c r="K11351">
        <v>0</v>
      </c>
      <c r="L11351">
        <v>0</v>
      </c>
      <c r="M11351">
        <v>3170</v>
      </c>
      <c r="N11351">
        <v>492465.43</v>
      </c>
      <c r="O11351">
        <v>155.35</v>
      </c>
    </row>
    <row r="11352" spans="1:15" x14ac:dyDescent="0.35">
      <c r="A11352" t="s">
        <v>12155</v>
      </c>
      <c r="B11352" t="s">
        <v>12156</v>
      </c>
      <c r="C11352" t="s">
        <v>11188</v>
      </c>
      <c r="D11352" t="s">
        <v>323</v>
      </c>
      <c r="E11352" t="s">
        <v>300</v>
      </c>
      <c r="F11352" t="s">
        <v>12178</v>
      </c>
      <c r="G11352">
        <v>280</v>
      </c>
      <c r="H11352">
        <v>49543.090000000004</v>
      </c>
      <c r="I11352">
        <v>176.94</v>
      </c>
      <c r="J11352">
        <v>0</v>
      </c>
      <c r="K11352">
        <v>0</v>
      </c>
      <c r="L11352">
        <v>0</v>
      </c>
      <c r="M11352">
        <v>280</v>
      </c>
      <c r="N11352">
        <v>49543.090000000004</v>
      </c>
      <c r="O11352">
        <v>176.94</v>
      </c>
    </row>
    <row r="11353" spans="1:15" x14ac:dyDescent="0.35">
      <c r="A11353" t="s">
        <v>12155</v>
      </c>
      <c r="B11353" t="s">
        <v>12156</v>
      </c>
      <c r="C11353" t="s">
        <v>11188</v>
      </c>
      <c r="D11353" t="s">
        <v>323</v>
      </c>
      <c r="E11353" t="s">
        <v>302</v>
      </c>
      <c r="F11353" t="s">
        <v>12179</v>
      </c>
      <c r="G11353">
        <v>20</v>
      </c>
      <c r="H11353">
        <v>3788.88</v>
      </c>
      <c r="I11353">
        <v>189.44</v>
      </c>
      <c r="J11353">
        <v>0</v>
      </c>
      <c r="K11353">
        <v>0</v>
      </c>
      <c r="L11353">
        <v>0</v>
      </c>
      <c r="M11353">
        <v>20</v>
      </c>
      <c r="N11353">
        <v>3788.88</v>
      </c>
      <c r="O11353">
        <v>189.44</v>
      </c>
    </row>
    <row r="11354" spans="1:15" x14ac:dyDescent="0.35">
      <c r="A11354" t="s">
        <v>12155</v>
      </c>
      <c r="B11354" t="s">
        <v>12156</v>
      </c>
      <c r="C11354" t="s">
        <v>11188</v>
      </c>
      <c r="D11354" t="s">
        <v>323</v>
      </c>
      <c r="E11354" t="s">
        <v>304</v>
      </c>
      <c r="F11354" t="s">
        <v>12180</v>
      </c>
      <c r="G11354">
        <v>4</v>
      </c>
      <c r="H11354">
        <v>788.44</v>
      </c>
      <c r="I11354">
        <v>197.11</v>
      </c>
      <c r="J11354">
        <v>0</v>
      </c>
      <c r="K11354">
        <v>0</v>
      </c>
      <c r="L11354">
        <v>0</v>
      </c>
      <c r="M11354">
        <v>4</v>
      </c>
      <c r="N11354">
        <v>788.44</v>
      </c>
      <c r="O11354">
        <v>197.11</v>
      </c>
    </row>
    <row r="11355" spans="1:15" x14ac:dyDescent="0.35">
      <c r="A11355" t="s">
        <v>12155</v>
      </c>
      <c r="B11355" t="s">
        <v>12156</v>
      </c>
      <c r="C11355" t="s">
        <v>11188</v>
      </c>
      <c r="D11355" t="s">
        <v>323</v>
      </c>
      <c r="E11355" t="s">
        <v>306</v>
      </c>
      <c r="F11355" t="s">
        <v>12181</v>
      </c>
      <c r="G11355">
        <v>32</v>
      </c>
      <c r="H11355">
        <v>3325.97</v>
      </c>
      <c r="I11355">
        <v>103.94</v>
      </c>
      <c r="J11355">
        <v>0</v>
      </c>
      <c r="K11355">
        <v>0</v>
      </c>
      <c r="L11355">
        <v>0</v>
      </c>
      <c r="M11355">
        <v>32</v>
      </c>
      <c r="N11355">
        <v>3325.97</v>
      </c>
      <c r="O11355">
        <v>103.94</v>
      </c>
    </row>
    <row r="11356" spans="1:15" x14ac:dyDescent="0.35">
      <c r="A11356" t="s">
        <v>12155</v>
      </c>
      <c r="B11356" t="s">
        <v>12156</v>
      </c>
      <c r="C11356" t="s">
        <v>11188</v>
      </c>
      <c r="D11356" t="s">
        <v>323</v>
      </c>
      <c r="E11356" t="s">
        <v>308</v>
      </c>
      <c r="F11356" t="s">
        <v>12182</v>
      </c>
      <c r="G11356">
        <v>0</v>
      </c>
      <c r="H11356">
        <v>0</v>
      </c>
      <c r="I11356">
        <v>0</v>
      </c>
      <c r="J11356">
        <v>0</v>
      </c>
      <c r="K11356">
        <v>0</v>
      </c>
      <c r="L11356">
        <v>0</v>
      </c>
      <c r="M11356">
        <v>0</v>
      </c>
      <c r="N11356">
        <v>0</v>
      </c>
      <c r="O11356">
        <v>0</v>
      </c>
    </row>
    <row r="11357" spans="1:15" x14ac:dyDescent="0.35">
      <c r="A11357" t="s">
        <v>12155</v>
      </c>
      <c r="B11357" t="s">
        <v>12156</v>
      </c>
      <c r="C11357" t="s">
        <v>11188</v>
      </c>
      <c r="D11357" t="s">
        <v>323</v>
      </c>
      <c r="E11357" t="s">
        <v>310</v>
      </c>
      <c r="F11357" t="s">
        <v>12183</v>
      </c>
      <c r="G11357">
        <v>8815</v>
      </c>
      <c r="H11357">
        <v>1240279.3999999999</v>
      </c>
      <c r="I11357">
        <v>140.69999999999999</v>
      </c>
      <c r="J11357">
        <v>0</v>
      </c>
      <c r="K11357">
        <v>0</v>
      </c>
      <c r="L11357">
        <v>0</v>
      </c>
      <c r="M11357">
        <v>8815</v>
      </c>
      <c r="N11357">
        <v>1240279.3999999999</v>
      </c>
      <c r="O11357">
        <v>140.69999999999999</v>
      </c>
    </row>
    <row r="11358" spans="1:15" x14ac:dyDescent="0.35">
      <c r="A11358" t="s">
        <v>12155</v>
      </c>
      <c r="B11358" t="s">
        <v>12156</v>
      </c>
      <c r="C11358" t="s">
        <v>11188</v>
      </c>
      <c r="D11358" t="s">
        <v>323</v>
      </c>
      <c r="E11358" t="s">
        <v>312</v>
      </c>
      <c r="F11358" t="s">
        <v>12184</v>
      </c>
      <c r="G11358">
        <v>8815</v>
      </c>
      <c r="H11358">
        <v>1240279.3999999999</v>
      </c>
      <c r="I11358">
        <v>140.69999999999999</v>
      </c>
      <c r="J11358">
        <v>0</v>
      </c>
      <c r="K11358">
        <v>0</v>
      </c>
      <c r="L11358">
        <v>0</v>
      </c>
      <c r="M11358">
        <v>8815</v>
      </c>
      <c r="N11358">
        <v>1240279.3999999999</v>
      </c>
      <c r="O11358">
        <v>140.69999999999999</v>
      </c>
    </row>
    <row r="11359" spans="1:15" x14ac:dyDescent="0.35">
      <c r="A11359" t="s">
        <v>12155</v>
      </c>
      <c r="B11359" t="s">
        <v>12156</v>
      </c>
      <c r="C11359" t="s">
        <v>11188</v>
      </c>
      <c r="D11359" t="s">
        <v>334</v>
      </c>
      <c r="E11359" t="s">
        <v>312</v>
      </c>
      <c r="F11359" t="s">
        <v>12185</v>
      </c>
      <c r="G11359">
        <v>10149</v>
      </c>
      <c r="H11359">
        <v>1462496.0299999998</v>
      </c>
      <c r="I11359">
        <v>147.52000000000001</v>
      </c>
      <c r="J11359">
        <v>0</v>
      </c>
      <c r="K11359">
        <v>0</v>
      </c>
      <c r="L11359">
        <v>0</v>
      </c>
      <c r="M11359">
        <v>10149</v>
      </c>
      <c r="N11359">
        <v>1462496.0299999998</v>
      </c>
      <c r="O11359">
        <v>147.52000000000001</v>
      </c>
    </row>
    <row r="11360" spans="1:15" x14ac:dyDescent="0.35">
      <c r="A11360" t="s">
        <v>12155</v>
      </c>
      <c r="B11360" t="s">
        <v>12156</v>
      </c>
      <c r="C11360" t="s">
        <v>11188</v>
      </c>
      <c r="D11360" t="s">
        <v>334</v>
      </c>
      <c r="E11360" t="s">
        <v>308</v>
      </c>
      <c r="F11360" t="s">
        <v>12186</v>
      </c>
      <c r="G11360">
        <v>25</v>
      </c>
      <c r="H11360">
        <v>517.68000000000006</v>
      </c>
      <c r="I11360">
        <v>172.56</v>
      </c>
      <c r="J11360">
        <v>0</v>
      </c>
      <c r="K11360">
        <v>0</v>
      </c>
      <c r="L11360">
        <v>0</v>
      </c>
      <c r="M11360">
        <v>25</v>
      </c>
      <c r="N11360">
        <v>517.68000000000006</v>
      </c>
      <c r="O11360">
        <v>172.56</v>
      </c>
    </row>
    <row r="11361" spans="1:15" x14ac:dyDescent="0.35">
      <c r="A11361" t="s">
        <v>12155</v>
      </c>
      <c r="B11361" t="s">
        <v>12156</v>
      </c>
      <c r="C11361" t="s">
        <v>11188</v>
      </c>
      <c r="D11361" t="s">
        <v>337</v>
      </c>
      <c r="E11361" t="s">
        <v>337</v>
      </c>
      <c r="F11361" t="s">
        <v>12187</v>
      </c>
      <c r="G11361">
        <v>1046</v>
      </c>
      <c r="J11361">
        <v>0</v>
      </c>
      <c r="M11361">
        <v>1046</v>
      </c>
    </row>
    <row r="11362" spans="1:15" x14ac:dyDescent="0.35">
      <c r="A11362" t="s">
        <v>12155</v>
      </c>
      <c r="B11362" t="s">
        <v>12156</v>
      </c>
      <c r="C11362" t="s">
        <v>11188</v>
      </c>
      <c r="D11362" t="s">
        <v>339</v>
      </c>
      <c r="E11362" t="s">
        <v>294</v>
      </c>
      <c r="F11362" t="s">
        <v>12188</v>
      </c>
      <c r="G11362">
        <v>613</v>
      </c>
      <c r="H11362">
        <v>84856.33</v>
      </c>
      <c r="I11362">
        <v>138.43</v>
      </c>
      <c r="J11362">
        <v>0</v>
      </c>
      <c r="K11362">
        <v>0</v>
      </c>
      <c r="L11362">
        <v>0</v>
      </c>
      <c r="M11362">
        <v>613</v>
      </c>
      <c r="N11362">
        <v>84856.33</v>
      </c>
      <c r="O11362">
        <v>138.43</v>
      </c>
    </row>
    <row r="11363" spans="1:15" x14ac:dyDescent="0.35">
      <c r="A11363" t="s">
        <v>12155</v>
      </c>
      <c r="B11363" t="s">
        <v>12156</v>
      </c>
      <c r="C11363" t="s">
        <v>11188</v>
      </c>
      <c r="D11363" t="s">
        <v>339</v>
      </c>
      <c r="E11363" t="s">
        <v>296</v>
      </c>
      <c r="F11363" t="s">
        <v>12189</v>
      </c>
      <c r="G11363">
        <v>57</v>
      </c>
      <c r="H11363">
        <v>8546.760000000002</v>
      </c>
      <c r="I11363">
        <v>149.94</v>
      </c>
      <c r="J11363">
        <v>0</v>
      </c>
      <c r="K11363">
        <v>0</v>
      </c>
      <c r="L11363">
        <v>0</v>
      </c>
      <c r="M11363">
        <v>57</v>
      </c>
      <c r="N11363">
        <v>8546.760000000002</v>
      </c>
      <c r="O11363">
        <v>149.94</v>
      </c>
    </row>
    <row r="11364" spans="1:15" x14ac:dyDescent="0.35">
      <c r="A11364" t="s">
        <v>12155</v>
      </c>
      <c r="B11364" t="s">
        <v>12156</v>
      </c>
      <c r="C11364" t="s">
        <v>11188</v>
      </c>
      <c r="D11364" t="s">
        <v>339</v>
      </c>
      <c r="E11364" t="s">
        <v>298</v>
      </c>
      <c r="F11364" t="s">
        <v>12190</v>
      </c>
      <c r="G11364">
        <v>6</v>
      </c>
      <c r="H11364">
        <v>929.88</v>
      </c>
      <c r="I11364">
        <v>154.97999999999999</v>
      </c>
      <c r="J11364">
        <v>0</v>
      </c>
      <c r="K11364">
        <v>0</v>
      </c>
      <c r="L11364">
        <v>0</v>
      </c>
      <c r="M11364">
        <v>6</v>
      </c>
      <c r="N11364">
        <v>929.88</v>
      </c>
      <c r="O11364">
        <v>154.97999999999999</v>
      </c>
    </row>
    <row r="11365" spans="1:15" x14ac:dyDescent="0.35">
      <c r="A11365" t="s">
        <v>12155</v>
      </c>
      <c r="B11365" t="s">
        <v>12156</v>
      </c>
      <c r="C11365" t="s">
        <v>11188</v>
      </c>
      <c r="D11365" t="s">
        <v>339</v>
      </c>
      <c r="E11365" t="s">
        <v>300</v>
      </c>
      <c r="F11365" t="s">
        <v>12191</v>
      </c>
      <c r="G11365">
        <v>0</v>
      </c>
      <c r="H11365">
        <v>0</v>
      </c>
      <c r="I11365">
        <v>0</v>
      </c>
      <c r="J11365">
        <v>0</v>
      </c>
      <c r="K11365">
        <v>0</v>
      </c>
      <c r="L11365">
        <v>0</v>
      </c>
      <c r="M11365">
        <v>0</v>
      </c>
      <c r="N11365">
        <v>0</v>
      </c>
      <c r="O11365">
        <v>0</v>
      </c>
    </row>
    <row r="11366" spans="1:15" x14ac:dyDescent="0.35">
      <c r="A11366" t="s">
        <v>12155</v>
      </c>
      <c r="B11366" t="s">
        <v>12156</v>
      </c>
      <c r="C11366" t="s">
        <v>11188</v>
      </c>
      <c r="D11366" t="s">
        <v>339</v>
      </c>
      <c r="E11366" t="s">
        <v>306</v>
      </c>
      <c r="F11366" t="s">
        <v>12192</v>
      </c>
      <c r="G11366">
        <v>104</v>
      </c>
      <c r="H11366">
        <v>11734.45</v>
      </c>
      <c r="I11366">
        <v>112.83</v>
      </c>
      <c r="J11366">
        <v>12</v>
      </c>
      <c r="K11366">
        <v>1586.28</v>
      </c>
      <c r="L11366">
        <v>132.19</v>
      </c>
      <c r="M11366">
        <v>116</v>
      </c>
      <c r="N11366">
        <v>13320.730000000001</v>
      </c>
      <c r="O11366">
        <v>114.83</v>
      </c>
    </row>
    <row r="11367" spans="1:15" x14ac:dyDescent="0.35">
      <c r="A11367" t="s">
        <v>12155</v>
      </c>
      <c r="B11367" t="s">
        <v>12156</v>
      </c>
      <c r="C11367" t="s">
        <v>11188</v>
      </c>
      <c r="D11367" t="s">
        <v>339</v>
      </c>
      <c r="E11367" t="s">
        <v>308</v>
      </c>
      <c r="F11367" t="s">
        <v>12193</v>
      </c>
      <c r="G11367">
        <v>89</v>
      </c>
      <c r="H11367">
        <v>10808.130000000001</v>
      </c>
      <c r="I11367">
        <v>121.44</v>
      </c>
      <c r="J11367">
        <v>0</v>
      </c>
      <c r="K11367">
        <v>0</v>
      </c>
      <c r="L11367">
        <v>0</v>
      </c>
      <c r="M11367">
        <v>89</v>
      </c>
      <c r="N11367">
        <v>10808.130000000001</v>
      </c>
      <c r="O11367">
        <v>121.44</v>
      </c>
    </row>
    <row r="11368" spans="1:15" x14ac:dyDescent="0.35">
      <c r="A11368" t="s">
        <v>12155</v>
      </c>
      <c r="B11368" t="s">
        <v>12156</v>
      </c>
      <c r="C11368" t="s">
        <v>11188</v>
      </c>
      <c r="D11368" t="s">
        <v>339</v>
      </c>
      <c r="E11368" t="s">
        <v>310</v>
      </c>
      <c r="F11368" t="s">
        <v>12194</v>
      </c>
      <c r="G11368">
        <v>869</v>
      </c>
      <c r="H11368">
        <v>116875.55</v>
      </c>
      <c r="I11368">
        <v>134.49</v>
      </c>
      <c r="J11368">
        <v>12</v>
      </c>
      <c r="K11368">
        <v>1586.28</v>
      </c>
      <c r="L11368">
        <v>132.19</v>
      </c>
      <c r="M11368">
        <v>881</v>
      </c>
      <c r="N11368">
        <v>118461.83</v>
      </c>
      <c r="O11368">
        <v>134.46</v>
      </c>
    </row>
    <row r="11369" spans="1:15" x14ac:dyDescent="0.35">
      <c r="A11369" t="s">
        <v>12155</v>
      </c>
      <c r="B11369" t="s">
        <v>12156</v>
      </c>
      <c r="C11369" t="s">
        <v>11188</v>
      </c>
      <c r="D11369" t="s">
        <v>339</v>
      </c>
      <c r="E11369" t="s">
        <v>312</v>
      </c>
      <c r="F11369" t="s">
        <v>12195</v>
      </c>
      <c r="G11369">
        <v>780</v>
      </c>
      <c r="H11369">
        <v>106067.42</v>
      </c>
      <c r="I11369">
        <v>135.97999999999999</v>
      </c>
      <c r="J11369">
        <v>12</v>
      </c>
      <c r="K11369">
        <v>1586.28</v>
      </c>
      <c r="L11369">
        <v>132.19</v>
      </c>
      <c r="M11369">
        <v>792</v>
      </c>
      <c r="N11369">
        <v>107653.7</v>
      </c>
      <c r="O11369">
        <v>135.93</v>
      </c>
    </row>
    <row r="11370" spans="1:15" x14ac:dyDescent="0.35">
      <c r="A11370" t="s">
        <v>12155</v>
      </c>
      <c r="B11370" t="s">
        <v>12156</v>
      </c>
      <c r="C11370" t="s">
        <v>11188</v>
      </c>
      <c r="D11370" t="s">
        <v>348</v>
      </c>
      <c r="E11370" t="s">
        <v>349</v>
      </c>
      <c r="F11370" t="s">
        <v>12196</v>
      </c>
      <c r="G11370">
        <v>1147</v>
      </c>
      <c r="H11370">
        <v>162338.30000000005</v>
      </c>
      <c r="I11370">
        <v>163.32</v>
      </c>
      <c r="J11370">
        <v>12</v>
      </c>
      <c r="K11370">
        <v>1586.28</v>
      </c>
      <c r="L11370">
        <v>132.19</v>
      </c>
      <c r="M11370">
        <v>1159</v>
      </c>
      <c r="N11370">
        <v>163924.58000000005</v>
      </c>
      <c r="O11370">
        <v>162.94999999999999</v>
      </c>
    </row>
    <row r="11371" spans="1:15" x14ac:dyDescent="0.35">
      <c r="A11371" t="s">
        <v>12197</v>
      </c>
      <c r="B11371" t="s">
        <v>12198</v>
      </c>
      <c r="C11371" t="s">
        <v>11188</v>
      </c>
      <c r="D11371" t="s">
        <v>293</v>
      </c>
      <c r="E11371" t="s">
        <v>294</v>
      </c>
      <c r="F11371" t="s">
        <v>12199</v>
      </c>
      <c r="G11371">
        <v>671</v>
      </c>
      <c r="H11371">
        <v>140267.02000000002</v>
      </c>
      <c r="I11371">
        <v>209.04</v>
      </c>
      <c r="J11371">
        <v>333</v>
      </c>
      <c r="K11371">
        <v>61528.41</v>
      </c>
      <c r="L11371">
        <v>184.77</v>
      </c>
      <c r="M11371">
        <v>1004</v>
      </c>
      <c r="N11371">
        <v>201795.43000000002</v>
      </c>
      <c r="O11371">
        <v>200.99</v>
      </c>
    </row>
    <row r="11372" spans="1:15" x14ac:dyDescent="0.35">
      <c r="A11372" t="s">
        <v>12197</v>
      </c>
      <c r="B11372" t="s">
        <v>12198</v>
      </c>
      <c r="C11372" t="s">
        <v>11188</v>
      </c>
      <c r="D11372" t="s">
        <v>293</v>
      </c>
      <c r="E11372" t="s">
        <v>296</v>
      </c>
      <c r="F11372" t="s">
        <v>12200</v>
      </c>
      <c r="G11372">
        <v>789</v>
      </c>
      <c r="H11372">
        <v>199933.75999999995</v>
      </c>
      <c r="I11372">
        <v>253.4</v>
      </c>
      <c r="J11372">
        <v>292</v>
      </c>
      <c r="K11372">
        <v>61492.28</v>
      </c>
      <c r="L11372">
        <v>210.59</v>
      </c>
      <c r="M11372">
        <v>1081</v>
      </c>
      <c r="N11372">
        <v>261426.03999999995</v>
      </c>
      <c r="O11372">
        <v>241.84</v>
      </c>
    </row>
    <row r="11373" spans="1:15" x14ac:dyDescent="0.35">
      <c r="A11373" t="s">
        <v>12197</v>
      </c>
      <c r="B11373" t="s">
        <v>12198</v>
      </c>
      <c r="C11373" t="s">
        <v>11188</v>
      </c>
      <c r="D11373" t="s">
        <v>293</v>
      </c>
      <c r="E11373" t="s">
        <v>298</v>
      </c>
      <c r="F11373" t="s">
        <v>12201</v>
      </c>
      <c r="G11373">
        <v>597</v>
      </c>
      <c r="H11373">
        <v>168111.9</v>
      </c>
      <c r="I11373">
        <v>281.58999999999997</v>
      </c>
      <c r="J11373">
        <v>333</v>
      </c>
      <c r="K11373">
        <v>68548.05</v>
      </c>
      <c r="L11373">
        <v>205.85</v>
      </c>
      <c r="M11373">
        <v>930</v>
      </c>
      <c r="N11373">
        <v>236659.95</v>
      </c>
      <c r="O11373">
        <v>254.47</v>
      </c>
    </row>
    <row r="11374" spans="1:15" x14ac:dyDescent="0.35">
      <c r="A11374" t="s">
        <v>12197</v>
      </c>
      <c r="B11374" t="s">
        <v>12198</v>
      </c>
      <c r="C11374" t="s">
        <v>11188</v>
      </c>
      <c r="D11374" t="s">
        <v>293</v>
      </c>
      <c r="E11374" t="s">
        <v>300</v>
      </c>
      <c r="F11374" t="s">
        <v>12202</v>
      </c>
      <c r="G11374">
        <v>23</v>
      </c>
      <c r="H11374">
        <v>7483.0300000000007</v>
      </c>
      <c r="I11374">
        <v>325.35000000000002</v>
      </c>
      <c r="J11374">
        <v>34</v>
      </c>
      <c r="K11374">
        <v>7461.2999999999993</v>
      </c>
      <c r="L11374">
        <v>219.45</v>
      </c>
      <c r="M11374">
        <v>57</v>
      </c>
      <c r="N11374">
        <v>14944.33</v>
      </c>
      <c r="O11374">
        <v>262.18</v>
      </c>
    </row>
    <row r="11375" spans="1:15" x14ac:dyDescent="0.35">
      <c r="A11375" t="s">
        <v>12197</v>
      </c>
      <c r="B11375" t="s">
        <v>12198</v>
      </c>
      <c r="C11375" t="s">
        <v>11188</v>
      </c>
      <c r="D11375" t="s">
        <v>293</v>
      </c>
      <c r="E11375" t="s">
        <v>302</v>
      </c>
      <c r="F11375" t="s">
        <v>12203</v>
      </c>
      <c r="G11375">
        <v>0</v>
      </c>
      <c r="H11375">
        <v>0</v>
      </c>
      <c r="I11375">
        <v>0</v>
      </c>
      <c r="J11375">
        <v>0</v>
      </c>
      <c r="K11375">
        <v>0</v>
      </c>
      <c r="L11375">
        <v>0</v>
      </c>
      <c r="M11375">
        <v>0</v>
      </c>
      <c r="N11375">
        <v>0</v>
      </c>
      <c r="O11375">
        <v>0</v>
      </c>
    </row>
    <row r="11376" spans="1:15" x14ac:dyDescent="0.35">
      <c r="A11376" t="s">
        <v>12197</v>
      </c>
      <c r="B11376" t="s">
        <v>12198</v>
      </c>
      <c r="C11376" t="s">
        <v>11188</v>
      </c>
      <c r="D11376" t="s">
        <v>293</v>
      </c>
      <c r="E11376" t="s">
        <v>304</v>
      </c>
      <c r="F11376" t="s">
        <v>12204</v>
      </c>
      <c r="G11376">
        <v>0</v>
      </c>
      <c r="H11376">
        <v>0</v>
      </c>
      <c r="I11376">
        <v>0</v>
      </c>
      <c r="J11376">
        <v>0</v>
      </c>
      <c r="K11376">
        <v>0</v>
      </c>
      <c r="L11376">
        <v>0</v>
      </c>
      <c r="M11376">
        <v>0</v>
      </c>
      <c r="N11376">
        <v>0</v>
      </c>
      <c r="O11376">
        <v>0</v>
      </c>
    </row>
    <row r="11377" spans="1:15" x14ac:dyDescent="0.35">
      <c r="A11377" t="s">
        <v>12197</v>
      </c>
      <c r="B11377" t="s">
        <v>12198</v>
      </c>
      <c r="C11377" t="s">
        <v>11188</v>
      </c>
      <c r="D11377" t="s">
        <v>293</v>
      </c>
      <c r="E11377" t="s">
        <v>306</v>
      </c>
      <c r="F11377" t="s">
        <v>12205</v>
      </c>
      <c r="G11377">
        <v>8</v>
      </c>
      <c r="H11377">
        <v>1407.32</v>
      </c>
      <c r="I11377">
        <v>175.92</v>
      </c>
      <c r="J11377">
        <v>8</v>
      </c>
      <c r="K11377">
        <v>1580.48</v>
      </c>
      <c r="L11377">
        <v>197.56</v>
      </c>
      <c r="M11377">
        <v>16</v>
      </c>
      <c r="N11377">
        <v>2987.8</v>
      </c>
      <c r="O11377">
        <v>186.74</v>
      </c>
    </row>
    <row r="11378" spans="1:15" x14ac:dyDescent="0.35">
      <c r="A11378" t="s">
        <v>12197</v>
      </c>
      <c r="B11378" t="s">
        <v>12198</v>
      </c>
      <c r="C11378" t="s">
        <v>11188</v>
      </c>
      <c r="D11378" t="s">
        <v>293</v>
      </c>
      <c r="E11378" t="s">
        <v>308</v>
      </c>
      <c r="F11378" t="s">
        <v>12206</v>
      </c>
      <c r="G11378">
        <v>1</v>
      </c>
      <c r="H11378">
        <v>172.56</v>
      </c>
      <c r="I11378">
        <v>172.56</v>
      </c>
      <c r="J11378">
        <v>0</v>
      </c>
      <c r="K11378">
        <v>0</v>
      </c>
      <c r="L11378">
        <v>0</v>
      </c>
      <c r="M11378">
        <v>1</v>
      </c>
      <c r="N11378">
        <v>172.56</v>
      </c>
      <c r="O11378">
        <v>172.56</v>
      </c>
    </row>
    <row r="11379" spans="1:15" x14ac:dyDescent="0.35">
      <c r="A11379" t="s">
        <v>12197</v>
      </c>
      <c r="B11379" t="s">
        <v>12198</v>
      </c>
      <c r="C11379" t="s">
        <v>11188</v>
      </c>
      <c r="D11379" t="s">
        <v>293</v>
      </c>
      <c r="E11379" t="s">
        <v>310</v>
      </c>
      <c r="F11379" t="s">
        <v>12207</v>
      </c>
      <c r="G11379">
        <v>2089</v>
      </c>
      <c r="H11379">
        <v>517375.58999999997</v>
      </c>
      <c r="I11379">
        <v>247.67</v>
      </c>
      <c r="J11379">
        <v>1000</v>
      </c>
      <c r="K11379">
        <v>200610.52</v>
      </c>
      <c r="L11379">
        <v>200.61</v>
      </c>
      <c r="M11379">
        <v>3089</v>
      </c>
      <c r="N11379">
        <v>717986.11</v>
      </c>
      <c r="O11379">
        <v>232.43</v>
      </c>
    </row>
    <row r="11380" spans="1:15" x14ac:dyDescent="0.35">
      <c r="A11380" t="s">
        <v>12197</v>
      </c>
      <c r="B11380" t="s">
        <v>12198</v>
      </c>
      <c r="C11380" t="s">
        <v>11188</v>
      </c>
      <c r="D11380" t="s">
        <v>293</v>
      </c>
      <c r="E11380" t="s">
        <v>312</v>
      </c>
      <c r="F11380" t="s">
        <v>12208</v>
      </c>
      <c r="G11380">
        <v>2088</v>
      </c>
      <c r="H11380">
        <v>517203.02999999997</v>
      </c>
      <c r="I11380">
        <v>247.7</v>
      </c>
      <c r="J11380">
        <v>1000</v>
      </c>
      <c r="K11380">
        <v>200610.52</v>
      </c>
      <c r="L11380">
        <v>200.61</v>
      </c>
      <c r="M11380">
        <v>3088</v>
      </c>
      <c r="N11380">
        <v>717813.54999999993</v>
      </c>
      <c r="O11380">
        <v>232.45</v>
      </c>
    </row>
    <row r="11381" spans="1:15" x14ac:dyDescent="0.35">
      <c r="A11381" t="s">
        <v>12197</v>
      </c>
      <c r="B11381" t="s">
        <v>12198</v>
      </c>
      <c r="C11381" t="s">
        <v>11188</v>
      </c>
      <c r="D11381" t="s">
        <v>314</v>
      </c>
      <c r="E11381" t="s">
        <v>294</v>
      </c>
      <c r="F11381" t="s">
        <v>12209</v>
      </c>
      <c r="G11381">
        <v>100</v>
      </c>
      <c r="H11381">
        <v>29489.840000000004</v>
      </c>
      <c r="I11381">
        <v>294.89999999999998</v>
      </c>
      <c r="J11381">
        <v>0</v>
      </c>
      <c r="K11381">
        <v>0</v>
      </c>
      <c r="L11381">
        <v>0</v>
      </c>
      <c r="M11381">
        <v>100</v>
      </c>
      <c r="N11381">
        <v>29489.840000000004</v>
      </c>
      <c r="O11381">
        <v>294.89999999999998</v>
      </c>
    </row>
    <row r="11382" spans="1:15" x14ac:dyDescent="0.35">
      <c r="A11382" t="s">
        <v>12197</v>
      </c>
      <c r="B11382" t="s">
        <v>12198</v>
      </c>
      <c r="C11382" t="s">
        <v>11188</v>
      </c>
      <c r="D11382" t="s">
        <v>314</v>
      </c>
      <c r="E11382" t="s">
        <v>296</v>
      </c>
      <c r="F11382" t="s">
        <v>12210</v>
      </c>
      <c r="G11382">
        <v>9</v>
      </c>
      <c r="H11382">
        <v>2625.84</v>
      </c>
      <c r="I11382">
        <v>291.76</v>
      </c>
      <c r="J11382">
        <v>0</v>
      </c>
      <c r="K11382">
        <v>0</v>
      </c>
      <c r="L11382">
        <v>0</v>
      </c>
      <c r="M11382">
        <v>9</v>
      </c>
      <c r="N11382">
        <v>2625.84</v>
      </c>
      <c r="O11382">
        <v>291.76</v>
      </c>
    </row>
    <row r="11383" spans="1:15" x14ac:dyDescent="0.35">
      <c r="A11383" t="s">
        <v>12197</v>
      </c>
      <c r="B11383" t="s">
        <v>12198</v>
      </c>
      <c r="C11383" t="s">
        <v>11188</v>
      </c>
      <c r="D11383" t="s">
        <v>314</v>
      </c>
      <c r="E11383" t="s">
        <v>298</v>
      </c>
      <c r="F11383" t="s">
        <v>12211</v>
      </c>
      <c r="G11383">
        <v>0</v>
      </c>
      <c r="H11383">
        <v>0</v>
      </c>
      <c r="I11383">
        <v>0</v>
      </c>
      <c r="J11383">
        <v>0</v>
      </c>
      <c r="K11383">
        <v>0</v>
      </c>
      <c r="L11383">
        <v>0</v>
      </c>
      <c r="M11383">
        <v>0</v>
      </c>
      <c r="N11383">
        <v>0</v>
      </c>
      <c r="O11383">
        <v>0</v>
      </c>
    </row>
    <row r="11384" spans="1:15" x14ac:dyDescent="0.35">
      <c r="A11384" t="s">
        <v>12197</v>
      </c>
      <c r="B11384" t="s">
        <v>12198</v>
      </c>
      <c r="C11384" t="s">
        <v>11188</v>
      </c>
      <c r="D11384" t="s">
        <v>314</v>
      </c>
      <c r="E11384" t="s">
        <v>300</v>
      </c>
      <c r="F11384" t="s">
        <v>12212</v>
      </c>
      <c r="G11384">
        <v>0</v>
      </c>
      <c r="H11384">
        <v>0</v>
      </c>
      <c r="I11384">
        <v>0</v>
      </c>
      <c r="J11384">
        <v>0</v>
      </c>
      <c r="K11384">
        <v>0</v>
      </c>
      <c r="L11384">
        <v>0</v>
      </c>
      <c r="M11384">
        <v>0</v>
      </c>
      <c r="N11384">
        <v>0</v>
      </c>
      <c r="O11384">
        <v>0</v>
      </c>
    </row>
    <row r="11385" spans="1:15" x14ac:dyDescent="0.35">
      <c r="A11385" t="s">
        <v>12197</v>
      </c>
      <c r="B11385" t="s">
        <v>12198</v>
      </c>
      <c r="C11385" t="s">
        <v>11188</v>
      </c>
      <c r="D11385" t="s">
        <v>314</v>
      </c>
      <c r="E11385" t="s">
        <v>306</v>
      </c>
      <c r="F11385" t="s">
        <v>12213</v>
      </c>
      <c r="G11385">
        <v>15</v>
      </c>
      <c r="H11385">
        <v>3360.45</v>
      </c>
      <c r="I11385">
        <v>224.03</v>
      </c>
      <c r="J11385">
        <v>0</v>
      </c>
      <c r="K11385">
        <v>0</v>
      </c>
      <c r="L11385">
        <v>0</v>
      </c>
      <c r="M11385">
        <v>15</v>
      </c>
      <c r="N11385">
        <v>3360.45</v>
      </c>
      <c r="O11385">
        <v>224.03</v>
      </c>
    </row>
    <row r="11386" spans="1:15" x14ac:dyDescent="0.35">
      <c r="A11386" t="s">
        <v>12197</v>
      </c>
      <c r="B11386" t="s">
        <v>12198</v>
      </c>
      <c r="C11386" t="s">
        <v>11188</v>
      </c>
      <c r="D11386" t="s">
        <v>314</v>
      </c>
      <c r="E11386" t="s">
        <v>308</v>
      </c>
      <c r="F11386" t="s">
        <v>12214</v>
      </c>
      <c r="G11386">
        <v>0</v>
      </c>
      <c r="H11386">
        <v>0</v>
      </c>
      <c r="I11386">
        <v>0</v>
      </c>
      <c r="J11386">
        <v>0</v>
      </c>
      <c r="K11386">
        <v>0</v>
      </c>
      <c r="L11386">
        <v>0</v>
      </c>
      <c r="M11386">
        <v>0</v>
      </c>
      <c r="N11386">
        <v>0</v>
      </c>
      <c r="O11386">
        <v>0</v>
      </c>
    </row>
    <row r="11387" spans="1:15" x14ac:dyDescent="0.35">
      <c r="A11387" t="s">
        <v>12197</v>
      </c>
      <c r="B11387" t="s">
        <v>12198</v>
      </c>
      <c r="C11387" t="s">
        <v>11188</v>
      </c>
      <c r="D11387" t="s">
        <v>314</v>
      </c>
      <c r="E11387" t="s">
        <v>312</v>
      </c>
      <c r="F11387" t="s">
        <v>12215</v>
      </c>
      <c r="G11387">
        <v>124</v>
      </c>
      <c r="H11387">
        <v>35476.130000000005</v>
      </c>
      <c r="I11387">
        <v>286.10000000000002</v>
      </c>
      <c r="J11387">
        <v>0</v>
      </c>
      <c r="K11387">
        <v>0</v>
      </c>
      <c r="L11387">
        <v>0</v>
      </c>
      <c r="M11387">
        <v>124</v>
      </c>
      <c r="N11387">
        <v>35476.130000000005</v>
      </c>
      <c r="O11387">
        <v>286.10000000000002</v>
      </c>
    </row>
    <row r="11388" spans="1:15" x14ac:dyDescent="0.35">
      <c r="A11388" t="s">
        <v>12197</v>
      </c>
      <c r="B11388" t="s">
        <v>12198</v>
      </c>
      <c r="C11388" t="s">
        <v>11188</v>
      </c>
      <c r="D11388" t="s">
        <v>314</v>
      </c>
      <c r="E11388" t="s">
        <v>310</v>
      </c>
      <c r="F11388" t="s">
        <v>12216</v>
      </c>
      <c r="G11388">
        <v>124</v>
      </c>
      <c r="H11388">
        <v>35476.130000000005</v>
      </c>
      <c r="I11388">
        <v>286.10000000000002</v>
      </c>
      <c r="J11388">
        <v>0</v>
      </c>
      <c r="K11388">
        <v>0</v>
      </c>
      <c r="L11388">
        <v>0</v>
      </c>
      <c r="M11388">
        <v>124</v>
      </c>
      <c r="N11388">
        <v>35476.130000000005</v>
      </c>
      <c r="O11388">
        <v>286.10000000000002</v>
      </c>
    </row>
    <row r="11389" spans="1:15" x14ac:dyDescent="0.35">
      <c r="A11389" t="s">
        <v>12197</v>
      </c>
      <c r="B11389" t="s">
        <v>12198</v>
      </c>
      <c r="C11389" t="s">
        <v>11188</v>
      </c>
      <c r="D11389" t="s">
        <v>323</v>
      </c>
      <c r="E11389" t="s">
        <v>294</v>
      </c>
      <c r="F11389" t="s">
        <v>12217</v>
      </c>
      <c r="G11389">
        <v>2235</v>
      </c>
      <c r="H11389">
        <v>272036.88</v>
      </c>
      <c r="I11389">
        <v>121.72</v>
      </c>
      <c r="J11389">
        <v>5458</v>
      </c>
      <c r="K11389">
        <v>636239.05999999994</v>
      </c>
      <c r="L11389">
        <v>116.57</v>
      </c>
      <c r="M11389">
        <v>7693</v>
      </c>
      <c r="N11389">
        <v>908275.94</v>
      </c>
      <c r="O11389">
        <v>118.07</v>
      </c>
    </row>
    <row r="11390" spans="1:15" x14ac:dyDescent="0.35">
      <c r="A11390" t="s">
        <v>12197</v>
      </c>
      <c r="B11390" t="s">
        <v>12198</v>
      </c>
      <c r="C11390" t="s">
        <v>11188</v>
      </c>
      <c r="D11390" t="s">
        <v>323</v>
      </c>
      <c r="E11390" t="s">
        <v>296</v>
      </c>
      <c r="F11390" t="s">
        <v>12218</v>
      </c>
      <c r="G11390">
        <v>3405</v>
      </c>
      <c r="H11390">
        <v>484395.58</v>
      </c>
      <c r="I11390">
        <v>142.26</v>
      </c>
      <c r="J11390">
        <v>6166</v>
      </c>
      <c r="K11390">
        <v>814096.98</v>
      </c>
      <c r="L11390">
        <v>132.03</v>
      </c>
      <c r="M11390">
        <v>9571</v>
      </c>
      <c r="N11390">
        <v>1298492.56</v>
      </c>
      <c r="O11390">
        <v>135.66999999999999</v>
      </c>
    </row>
    <row r="11391" spans="1:15" x14ac:dyDescent="0.35">
      <c r="A11391" t="s">
        <v>12197</v>
      </c>
      <c r="B11391" t="s">
        <v>12198</v>
      </c>
      <c r="C11391" t="s">
        <v>11188</v>
      </c>
      <c r="D11391" t="s">
        <v>323</v>
      </c>
      <c r="E11391" t="s">
        <v>298</v>
      </c>
      <c r="F11391" t="s">
        <v>12219</v>
      </c>
      <c r="G11391">
        <v>2909</v>
      </c>
      <c r="H11391">
        <v>477270.35999999993</v>
      </c>
      <c r="I11391">
        <v>164.07</v>
      </c>
      <c r="J11391">
        <v>5347</v>
      </c>
      <c r="K11391">
        <v>785581.24</v>
      </c>
      <c r="L11391">
        <v>146.91999999999999</v>
      </c>
      <c r="M11391">
        <v>8256</v>
      </c>
      <c r="N11391">
        <v>1262851.5999999999</v>
      </c>
      <c r="O11391">
        <v>152.96</v>
      </c>
    </row>
    <row r="11392" spans="1:15" x14ac:dyDescent="0.35">
      <c r="A11392" t="s">
        <v>12197</v>
      </c>
      <c r="B11392" t="s">
        <v>12198</v>
      </c>
      <c r="C11392" t="s">
        <v>11188</v>
      </c>
      <c r="D11392" t="s">
        <v>323</v>
      </c>
      <c r="E11392" t="s">
        <v>300</v>
      </c>
      <c r="F11392" t="s">
        <v>12220</v>
      </c>
      <c r="G11392">
        <v>822</v>
      </c>
      <c r="H11392">
        <v>147364.24</v>
      </c>
      <c r="I11392">
        <v>179.28</v>
      </c>
      <c r="J11392">
        <v>538</v>
      </c>
      <c r="K11392">
        <v>90066.58</v>
      </c>
      <c r="L11392">
        <v>167.41</v>
      </c>
      <c r="M11392">
        <v>1360</v>
      </c>
      <c r="N11392">
        <v>237430.82</v>
      </c>
      <c r="O11392">
        <v>174.58</v>
      </c>
    </row>
    <row r="11393" spans="1:15" x14ac:dyDescent="0.35">
      <c r="A11393" t="s">
        <v>12197</v>
      </c>
      <c r="B11393" t="s">
        <v>12198</v>
      </c>
      <c r="C11393" t="s">
        <v>11188</v>
      </c>
      <c r="D11393" t="s">
        <v>323</v>
      </c>
      <c r="E11393" t="s">
        <v>302</v>
      </c>
      <c r="F11393" t="s">
        <v>12221</v>
      </c>
      <c r="G11393">
        <v>98</v>
      </c>
      <c r="H11393">
        <v>19150.599999999999</v>
      </c>
      <c r="I11393">
        <v>195.41</v>
      </c>
      <c r="J11393">
        <v>66</v>
      </c>
      <c r="K11393">
        <v>11959.86</v>
      </c>
      <c r="L11393">
        <v>181.21</v>
      </c>
      <c r="M11393">
        <v>164</v>
      </c>
      <c r="N11393">
        <v>31110.46</v>
      </c>
      <c r="O11393">
        <v>189.7</v>
      </c>
    </row>
    <row r="11394" spans="1:15" x14ac:dyDescent="0.35">
      <c r="A11394" t="s">
        <v>12197</v>
      </c>
      <c r="B11394" t="s">
        <v>12198</v>
      </c>
      <c r="C11394" t="s">
        <v>11188</v>
      </c>
      <c r="D11394" t="s">
        <v>323</v>
      </c>
      <c r="E11394" t="s">
        <v>304</v>
      </c>
      <c r="F11394" t="s">
        <v>12222</v>
      </c>
      <c r="G11394">
        <v>69</v>
      </c>
      <c r="H11394">
        <v>14372.82</v>
      </c>
      <c r="I11394">
        <v>208.3</v>
      </c>
      <c r="J11394">
        <v>13</v>
      </c>
      <c r="K11394">
        <v>2849.6</v>
      </c>
      <c r="L11394">
        <v>219.2</v>
      </c>
      <c r="M11394">
        <v>82</v>
      </c>
      <c r="N11394">
        <v>17222.419999999998</v>
      </c>
      <c r="O11394">
        <v>210.03</v>
      </c>
    </row>
    <row r="11395" spans="1:15" x14ac:dyDescent="0.35">
      <c r="A11395" t="s">
        <v>12197</v>
      </c>
      <c r="B11395" t="s">
        <v>12198</v>
      </c>
      <c r="C11395" t="s">
        <v>11188</v>
      </c>
      <c r="D11395" t="s">
        <v>323</v>
      </c>
      <c r="E11395" t="s">
        <v>306</v>
      </c>
      <c r="F11395" t="s">
        <v>12223</v>
      </c>
      <c r="G11395">
        <v>38</v>
      </c>
      <c r="H11395">
        <v>4072.4700000000003</v>
      </c>
      <c r="I11395">
        <v>107.17</v>
      </c>
      <c r="J11395">
        <v>287</v>
      </c>
      <c r="K11395">
        <v>33556.04</v>
      </c>
      <c r="L11395">
        <v>116.92</v>
      </c>
      <c r="M11395">
        <v>325</v>
      </c>
      <c r="N11395">
        <v>37628.51</v>
      </c>
      <c r="O11395">
        <v>115.78</v>
      </c>
    </row>
    <row r="11396" spans="1:15" x14ac:dyDescent="0.35">
      <c r="A11396" t="s">
        <v>12197</v>
      </c>
      <c r="B11396" t="s">
        <v>12198</v>
      </c>
      <c r="C11396" t="s">
        <v>11188</v>
      </c>
      <c r="D11396" t="s">
        <v>323</v>
      </c>
      <c r="E11396" t="s">
        <v>308</v>
      </c>
      <c r="F11396" t="s">
        <v>12224</v>
      </c>
      <c r="G11396">
        <v>8</v>
      </c>
      <c r="H11396">
        <v>869.84</v>
      </c>
      <c r="I11396">
        <v>108.73</v>
      </c>
      <c r="J11396">
        <v>0</v>
      </c>
      <c r="K11396">
        <v>0</v>
      </c>
      <c r="L11396">
        <v>0</v>
      </c>
      <c r="M11396">
        <v>8</v>
      </c>
      <c r="N11396">
        <v>869.84</v>
      </c>
      <c r="O11396">
        <v>108.73</v>
      </c>
    </row>
    <row r="11397" spans="1:15" x14ac:dyDescent="0.35">
      <c r="A11397" t="s">
        <v>12197</v>
      </c>
      <c r="B11397" t="s">
        <v>12198</v>
      </c>
      <c r="C11397" t="s">
        <v>11188</v>
      </c>
      <c r="D11397" t="s">
        <v>323</v>
      </c>
      <c r="E11397" t="s">
        <v>310</v>
      </c>
      <c r="F11397" t="s">
        <v>12225</v>
      </c>
      <c r="G11397">
        <v>9584</v>
      </c>
      <c r="H11397">
        <v>1419532.79</v>
      </c>
      <c r="I11397">
        <v>148.11000000000001</v>
      </c>
      <c r="J11397">
        <v>17875</v>
      </c>
      <c r="K11397">
        <v>2374349.3600000003</v>
      </c>
      <c r="L11397">
        <v>132.83000000000001</v>
      </c>
      <c r="M11397">
        <v>27459</v>
      </c>
      <c r="N11397">
        <v>3793882.1500000004</v>
      </c>
      <c r="O11397">
        <v>138.16999999999999</v>
      </c>
    </row>
    <row r="11398" spans="1:15" x14ac:dyDescent="0.35">
      <c r="A11398" t="s">
        <v>12197</v>
      </c>
      <c r="B11398" t="s">
        <v>12198</v>
      </c>
      <c r="C11398" t="s">
        <v>11188</v>
      </c>
      <c r="D11398" t="s">
        <v>323</v>
      </c>
      <c r="E11398" t="s">
        <v>312</v>
      </c>
      <c r="F11398" t="s">
        <v>12226</v>
      </c>
      <c r="G11398">
        <v>9576</v>
      </c>
      <c r="H11398">
        <v>1418662.95</v>
      </c>
      <c r="I11398">
        <v>148.15</v>
      </c>
      <c r="J11398">
        <v>17875</v>
      </c>
      <c r="K11398">
        <v>2374349.3600000003</v>
      </c>
      <c r="L11398">
        <v>132.83000000000001</v>
      </c>
      <c r="M11398">
        <v>27451</v>
      </c>
      <c r="N11398">
        <v>3793012.3100000005</v>
      </c>
      <c r="O11398">
        <v>138.16999999999999</v>
      </c>
    </row>
    <row r="11399" spans="1:15" x14ac:dyDescent="0.35">
      <c r="A11399" t="s">
        <v>12197</v>
      </c>
      <c r="B11399" t="s">
        <v>12198</v>
      </c>
      <c r="C11399" t="s">
        <v>11188</v>
      </c>
      <c r="D11399" t="s">
        <v>334</v>
      </c>
      <c r="E11399" t="s">
        <v>312</v>
      </c>
      <c r="F11399" t="s">
        <v>12227</v>
      </c>
      <c r="G11399">
        <v>13823</v>
      </c>
      <c r="H11399">
        <v>1935865.98</v>
      </c>
      <c r="I11399">
        <v>165.97</v>
      </c>
      <c r="J11399">
        <v>18875</v>
      </c>
      <c r="K11399">
        <v>2574959.88</v>
      </c>
      <c r="L11399">
        <v>136.41999999999999</v>
      </c>
      <c r="M11399">
        <v>32698</v>
      </c>
      <c r="N11399">
        <v>4510825.8599999994</v>
      </c>
      <c r="O11399">
        <v>147.71</v>
      </c>
    </row>
    <row r="11400" spans="1:15" x14ac:dyDescent="0.35">
      <c r="A11400" t="s">
        <v>12197</v>
      </c>
      <c r="B11400" t="s">
        <v>12198</v>
      </c>
      <c r="C11400" t="s">
        <v>11188</v>
      </c>
      <c r="D11400" t="s">
        <v>334</v>
      </c>
      <c r="E11400" t="s">
        <v>308</v>
      </c>
      <c r="F11400" t="s">
        <v>12228</v>
      </c>
      <c r="G11400">
        <v>14</v>
      </c>
      <c r="H11400">
        <v>1042.4000000000001</v>
      </c>
      <c r="I11400">
        <v>115.82</v>
      </c>
      <c r="J11400">
        <v>0</v>
      </c>
      <c r="K11400">
        <v>0</v>
      </c>
      <c r="L11400">
        <v>0</v>
      </c>
      <c r="M11400">
        <v>14</v>
      </c>
      <c r="N11400">
        <v>1042.4000000000001</v>
      </c>
      <c r="O11400">
        <v>115.82</v>
      </c>
    </row>
    <row r="11401" spans="1:15" x14ac:dyDescent="0.35">
      <c r="A11401" t="s">
        <v>12197</v>
      </c>
      <c r="B11401" t="s">
        <v>12198</v>
      </c>
      <c r="C11401" t="s">
        <v>11188</v>
      </c>
      <c r="D11401" t="s">
        <v>337</v>
      </c>
      <c r="E11401" t="s">
        <v>337</v>
      </c>
      <c r="F11401" t="s">
        <v>12229</v>
      </c>
      <c r="G11401">
        <v>3368</v>
      </c>
      <c r="J11401">
        <v>157</v>
      </c>
      <c r="M11401">
        <v>3525</v>
      </c>
    </row>
    <row r="11402" spans="1:15" x14ac:dyDescent="0.35">
      <c r="A11402" t="s">
        <v>12197</v>
      </c>
      <c r="B11402" t="s">
        <v>12198</v>
      </c>
      <c r="C11402" t="s">
        <v>11188</v>
      </c>
      <c r="D11402" t="s">
        <v>339</v>
      </c>
      <c r="E11402" t="s">
        <v>294</v>
      </c>
      <c r="F11402" t="s">
        <v>12230</v>
      </c>
      <c r="G11402">
        <v>1206</v>
      </c>
      <c r="H11402">
        <v>162301.71</v>
      </c>
      <c r="I11402">
        <v>134.58000000000001</v>
      </c>
      <c r="J11402">
        <v>0</v>
      </c>
      <c r="K11402">
        <v>0</v>
      </c>
      <c r="L11402">
        <v>0</v>
      </c>
      <c r="M11402">
        <v>1206</v>
      </c>
      <c r="N11402">
        <v>162301.71</v>
      </c>
      <c r="O11402">
        <v>134.58000000000001</v>
      </c>
    </row>
    <row r="11403" spans="1:15" x14ac:dyDescent="0.35">
      <c r="A11403" t="s">
        <v>12197</v>
      </c>
      <c r="B11403" t="s">
        <v>12198</v>
      </c>
      <c r="C11403" t="s">
        <v>11188</v>
      </c>
      <c r="D11403" t="s">
        <v>339</v>
      </c>
      <c r="E11403" t="s">
        <v>296</v>
      </c>
      <c r="F11403" t="s">
        <v>12231</v>
      </c>
      <c r="G11403">
        <v>101</v>
      </c>
      <c r="H11403">
        <v>16014.239999999998</v>
      </c>
      <c r="I11403">
        <v>158.56</v>
      </c>
      <c r="J11403">
        <v>0</v>
      </c>
      <c r="K11403">
        <v>0</v>
      </c>
      <c r="L11403">
        <v>0</v>
      </c>
      <c r="M11403">
        <v>101</v>
      </c>
      <c r="N11403">
        <v>16014.239999999998</v>
      </c>
      <c r="O11403">
        <v>158.56</v>
      </c>
    </row>
    <row r="11404" spans="1:15" x14ac:dyDescent="0.35">
      <c r="A11404" t="s">
        <v>12197</v>
      </c>
      <c r="B11404" t="s">
        <v>12198</v>
      </c>
      <c r="C11404" t="s">
        <v>11188</v>
      </c>
      <c r="D11404" t="s">
        <v>339</v>
      </c>
      <c r="E11404" t="s">
        <v>298</v>
      </c>
      <c r="F11404" t="s">
        <v>12232</v>
      </c>
      <c r="G11404">
        <v>10</v>
      </c>
      <c r="H11404">
        <v>1562.0499999999997</v>
      </c>
      <c r="I11404">
        <v>156.21</v>
      </c>
      <c r="J11404">
        <v>0</v>
      </c>
      <c r="K11404">
        <v>0</v>
      </c>
      <c r="L11404">
        <v>0</v>
      </c>
      <c r="M11404">
        <v>10</v>
      </c>
      <c r="N11404">
        <v>1562.0499999999997</v>
      </c>
      <c r="O11404">
        <v>156.21</v>
      </c>
    </row>
    <row r="11405" spans="1:15" x14ac:dyDescent="0.35">
      <c r="A11405" t="s">
        <v>12197</v>
      </c>
      <c r="B11405" t="s">
        <v>12198</v>
      </c>
      <c r="C11405" t="s">
        <v>11188</v>
      </c>
      <c r="D11405" t="s">
        <v>339</v>
      </c>
      <c r="E11405" t="s">
        <v>300</v>
      </c>
      <c r="F11405" t="s">
        <v>12233</v>
      </c>
      <c r="G11405">
        <v>1</v>
      </c>
      <c r="H11405">
        <v>171.81</v>
      </c>
      <c r="I11405">
        <v>171.81</v>
      </c>
      <c r="J11405">
        <v>0</v>
      </c>
      <c r="K11405">
        <v>0</v>
      </c>
      <c r="L11405">
        <v>0</v>
      </c>
      <c r="M11405">
        <v>1</v>
      </c>
      <c r="N11405">
        <v>171.81</v>
      </c>
      <c r="O11405">
        <v>171.81</v>
      </c>
    </row>
    <row r="11406" spans="1:15" x14ac:dyDescent="0.35">
      <c r="A11406" t="s">
        <v>12197</v>
      </c>
      <c r="B11406" t="s">
        <v>12198</v>
      </c>
      <c r="C11406" t="s">
        <v>11188</v>
      </c>
      <c r="D11406" t="s">
        <v>339</v>
      </c>
      <c r="E11406" t="s">
        <v>306</v>
      </c>
      <c r="F11406" t="s">
        <v>12234</v>
      </c>
      <c r="G11406">
        <v>149</v>
      </c>
      <c r="H11406">
        <v>16554.48</v>
      </c>
      <c r="I11406">
        <v>111.1</v>
      </c>
      <c r="J11406">
        <v>0</v>
      </c>
      <c r="K11406">
        <v>0</v>
      </c>
      <c r="L11406">
        <v>0</v>
      </c>
      <c r="M11406">
        <v>149</v>
      </c>
      <c r="N11406">
        <v>16554.48</v>
      </c>
      <c r="O11406">
        <v>111.1</v>
      </c>
    </row>
    <row r="11407" spans="1:15" x14ac:dyDescent="0.35">
      <c r="A11407" t="s">
        <v>12197</v>
      </c>
      <c r="B11407" t="s">
        <v>12198</v>
      </c>
      <c r="C11407" t="s">
        <v>11188</v>
      </c>
      <c r="D11407" t="s">
        <v>339</v>
      </c>
      <c r="E11407" t="s">
        <v>308</v>
      </c>
      <c r="F11407" t="s">
        <v>12235</v>
      </c>
      <c r="G11407">
        <v>119</v>
      </c>
      <c r="H11407">
        <v>15327.48</v>
      </c>
      <c r="I11407">
        <v>128.80000000000001</v>
      </c>
      <c r="J11407">
        <v>0</v>
      </c>
      <c r="K11407">
        <v>0</v>
      </c>
      <c r="L11407">
        <v>0</v>
      </c>
      <c r="M11407">
        <v>119</v>
      </c>
      <c r="N11407">
        <v>15327.48</v>
      </c>
      <c r="O11407">
        <v>128.80000000000001</v>
      </c>
    </row>
    <row r="11408" spans="1:15" x14ac:dyDescent="0.35">
      <c r="A11408" t="s">
        <v>12197</v>
      </c>
      <c r="B11408" t="s">
        <v>12198</v>
      </c>
      <c r="C11408" t="s">
        <v>11188</v>
      </c>
      <c r="D11408" t="s">
        <v>339</v>
      </c>
      <c r="E11408" t="s">
        <v>310</v>
      </c>
      <c r="F11408" t="s">
        <v>12236</v>
      </c>
      <c r="G11408">
        <v>1586</v>
      </c>
      <c r="H11408">
        <v>211931.77</v>
      </c>
      <c r="I11408">
        <v>133.63</v>
      </c>
      <c r="J11408">
        <v>0</v>
      </c>
      <c r="K11408">
        <v>0</v>
      </c>
      <c r="L11408">
        <v>0</v>
      </c>
      <c r="M11408">
        <v>1586</v>
      </c>
      <c r="N11408">
        <v>211931.77</v>
      </c>
      <c r="O11408">
        <v>133.63</v>
      </c>
    </row>
    <row r="11409" spans="1:15" x14ac:dyDescent="0.35">
      <c r="A11409" t="s">
        <v>12197</v>
      </c>
      <c r="B11409" t="s">
        <v>12198</v>
      </c>
      <c r="C11409" t="s">
        <v>11188</v>
      </c>
      <c r="D11409" t="s">
        <v>339</v>
      </c>
      <c r="E11409" t="s">
        <v>312</v>
      </c>
      <c r="F11409" t="s">
        <v>12237</v>
      </c>
      <c r="G11409">
        <v>1467</v>
      </c>
      <c r="H11409">
        <v>196604.28999999998</v>
      </c>
      <c r="I11409">
        <v>134.02000000000001</v>
      </c>
      <c r="J11409">
        <v>0</v>
      </c>
      <c r="K11409">
        <v>0</v>
      </c>
      <c r="L11409">
        <v>0</v>
      </c>
      <c r="M11409">
        <v>1467</v>
      </c>
      <c r="N11409">
        <v>196604.28999999998</v>
      </c>
      <c r="O11409">
        <v>134.02000000000001</v>
      </c>
    </row>
    <row r="11410" spans="1:15" x14ac:dyDescent="0.35">
      <c r="A11410" t="s">
        <v>12197</v>
      </c>
      <c r="B11410" t="s">
        <v>12198</v>
      </c>
      <c r="C11410" t="s">
        <v>11188</v>
      </c>
      <c r="D11410" t="s">
        <v>348</v>
      </c>
      <c r="E11410" t="s">
        <v>349</v>
      </c>
      <c r="F11410" t="s">
        <v>12238</v>
      </c>
      <c r="G11410">
        <v>1901</v>
      </c>
      <c r="H11410">
        <v>247407.9</v>
      </c>
      <c r="I11410">
        <v>144.68</v>
      </c>
      <c r="J11410">
        <v>0</v>
      </c>
      <c r="K11410">
        <v>0</v>
      </c>
      <c r="L11410">
        <v>0</v>
      </c>
      <c r="M11410">
        <v>1901</v>
      </c>
      <c r="N11410">
        <v>247407.9</v>
      </c>
      <c r="O11410">
        <v>144.68</v>
      </c>
    </row>
    <row r="11411" spans="1:15" x14ac:dyDescent="0.35">
      <c r="A11411" t="s">
        <v>12239</v>
      </c>
      <c r="B11411" t="s">
        <v>12240</v>
      </c>
      <c r="C11411" t="s">
        <v>11188</v>
      </c>
      <c r="D11411" t="s">
        <v>293</v>
      </c>
      <c r="E11411" t="s">
        <v>294</v>
      </c>
      <c r="F11411" t="s">
        <v>12241</v>
      </c>
      <c r="G11411">
        <v>155</v>
      </c>
      <c r="H11411">
        <v>30336.49</v>
      </c>
      <c r="I11411">
        <v>195.72</v>
      </c>
      <c r="J11411">
        <v>113</v>
      </c>
      <c r="K11411">
        <v>21671.14</v>
      </c>
      <c r="L11411">
        <v>191.78</v>
      </c>
      <c r="M11411">
        <v>268</v>
      </c>
      <c r="N11411">
        <v>52007.630000000005</v>
      </c>
      <c r="O11411">
        <v>194.06</v>
      </c>
    </row>
    <row r="11412" spans="1:15" x14ac:dyDescent="0.35">
      <c r="A11412" t="s">
        <v>12239</v>
      </c>
      <c r="B11412" t="s">
        <v>12240</v>
      </c>
      <c r="C11412" t="s">
        <v>11188</v>
      </c>
      <c r="D11412" t="s">
        <v>293</v>
      </c>
      <c r="E11412" t="s">
        <v>296</v>
      </c>
      <c r="F11412" t="s">
        <v>12242</v>
      </c>
      <c r="G11412">
        <v>261</v>
      </c>
      <c r="H11412">
        <v>58217.210000000006</v>
      </c>
      <c r="I11412">
        <v>223.05</v>
      </c>
      <c r="J11412">
        <v>308</v>
      </c>
      <c r="K11412">
        <v>66518.759999999995</v>
      </c>
      <c r="L11412">
        <v>215.97</v>
      </c>
      <c r="M11412">
        <v>569</v>
      </c>
      <c r="N11412">
        <v>124735.97</v>
      </c>
      <c r="O11412">
        <v>219.22</v>
      </c>
    </row>
    <row r="11413" spans="1:15" x14ac:dyDescent="0.35">
      <c r="A11413" t="s">
        <v>12239</v>
      </c>
      <c r="B11413" t="s">
        <v>12240</v>
      </c>
      <c r="C11413" t="s">
        <v>11188</v>
      </c>
      <c r="D11413" t="s">
        <v>293</v>
      </c>
      <c r="E11413" t="s">
        <v>298</v>
      </c>
      <c r="F11413" t="s">
        <v>12243</v>
      </c>
      <c r="G11413">
        <v>127</v>
      </c>
      <c r="H11413">
        <v>35081.479999999996</v>
      </c>
      <c r="I11413">
        <v>276.23</v>
      </c>
      <c r="J11413">
        <v>140</v>
      </c>
      <c r="K11413">
        <v>32939.199999999997</v>
      </c>
      <c r="L11413">
        <v>235.28</v>
      </c>
      <c r="M11413">
        <v>267</v>
      </c>
      <c r="N11413">
        <v>68020.679999999993</v>
      </c>
      <c r="O11413">
        <v>254.76</v>
      </c>
    </row>
    <row r="11414" spans="1:15" x14ac:dyDescent="0.35">
      <c r="A11414" t="s">
        <v>12239</v>
      </c>
      <c r="B11414" t="s">
        <v>12240</v>
      </c>
      <c r="C11414" t="s">
        <v>11188</v>
      </c>
      <c r="D11414" t="s">
        <v>293</v>
      </c>
      <c r="E11414" t="s">
        <v>300</v>
      </c>
      <c r="F11414" t="s">
        <v>12244</v>
      </c>
      <c r="G11414">
        <v>12</v>
      </c>
      <c r="H11414">
        <v>3785.8500000000004</v>
      </c>
      <c r="I11414">
        <v>315.49</v>
      </c>
      <c r="J11414">
        <v>56</v>
      </c>
      <c r="K11414">
        <v>12950.56</v>
      </c>
      <c r="L11414">
        <v>231.26</v>
      </c>
      <c r="M11414">
        <v>68</v>
      </c>
      <c r="N11414">
        <v>16736.41</v>
      </c>
      <c r="O11414">
        <v>246.12</v>
      </c>
    </row>
    <row r="11415" spans="1:15" x14ac:dyDescent="0.35">
      <c r="A11415" t="s">
        <v>12239</v>
      </c>
      <c r="B11415" t="s">
        <v>12240</v>
      </c>
      <c r="C11415" t="s">
        <v>11188</v>
      </c>
      <c r="D11415" t="s">
        <v>293</v>
      </c>
      <c r="E11415" t="s">
        <v>302</v>
      </c>
      <c r="F11415" t="s">
        <v>12245</v>
      </c>
      <c r="G11415">
        <v>0</v>
      </c>
      <c r="H11415">
        <v>0</v>
      </c>
      <c r="I11415">
        <v>0</v>
      </c>
      <c r="J11415">
        <v>5</v>
      </c>
      <c r="K11415">
        <v>1372.75</v>
      </c>
      <c r="L11415">
        <v>274.55</v>
      </c>
      <c r="M11415">
        <v>5</v>
      </c>
      <c r="N11415">
        <v>1372.75</v>
      </c>
      <c r="O11415">
        <v>274.55</v>
      </c>
    </row>
    <row r="11416" spans="1:15" x14ac:dyDescent="0.35">
      <c r="A11416" t="s">
        <v>12239</v>
      </c>
      <c r="B11416" t="s">
        <v>12240</v>
      </c>
      <c r="C11416" t="s">
        <v>11188</v>
      </c>
      <c r="D11416" t="s">
        <v>293</v>
      </c>
      <c r="E11416" t="s">
        <v>304</v>
      </c>
      <c r="F11416" t="s">
        <v>12246</v>
      </c>
      <c r="G11416">
        <v>0</v>
      </c>
      <c r="H11416">
        <v>0</v>
      </c>
      <c r="I11416">
        <v>0</v>
      </c>
      <c r="J11416">
        <v>1</v>
      </c>
      <c r="K11416">
        <v>251.02</v>
      </c>
      <c r="L11416">
        <v>251.02</v>
      </c>
      <c r="M11416">
        <v>1</v>
      </c>
      <c r="N11416">
        <v>251.02</v>
      </c>
      <c r="O11416">
        <v>251.02</v>
      </c>
    </row>
    <row r="11417" spans="1:15" x14ac:dyDescent="0.35">
      <c r="A11417" t="s">
        <v>12239</v>
      </c>
      <c r="B11417" t="s">
        <v>12240</v>
      </c>
      <c r="C11417" t="s">
        <v>11188</v>
      </c>
      <c r="D11417" t="s">
        <v>293</v>
      </c>
      <c r="E11417" t="s">
        <v>306</v>
      </c>
      <c r="F11417" t="s">
        <v>12247</v>
      </c>
      <c r="G11417">
        <v>2</v>
      </c>
      <c r="H11417">
        <v>381.34</v>
      </c>
      <c r="I11417">
        <v>190.67</v>
      </c>
      <c r="J11417">
        <v>4</v>
      </c>
      <c r="K11417">
        <v>775.96</v>
      </c>
      <c r="L11417">
        <v>193.99</v>
      </c>
      <c r="M11417">
        <v>6</v>
      </c>
      <c r="N11417">
        <v>1157.3</v>
      </c>
      <c r="O11417">
        <v>192.88</v>
      </c>
    </row>
    <row r="11418" spans="1:15" x14ac:dyDescent="0.35">
      <c r="A11418" t="s">
        <v>12239</v>
      </c>
      <c r="B11418" t="s">
        <v>12240</v>
      </c>
      <c r="C11418" t="s">
        <v>11188</v>
      </c>
      <c r="D11418" t="s">
        <v>293</v>
      </c>
      <c r="E11418" t="s">
        <v>308</v>
      </c>
      <c r="F11418" t="s">
        <v>12248</v>
      </c>
      <c r="G11418">
        <v>0</v>
      </c>
      <c r="H11418">
        <v>0</v>
      </c>
      <c r="I11418">
        <v>0</v>
      </c>
      <c r="J11418">
        <v>0</v>
      </c>
      <c r="K11418">
        <v>0</v>
      </c>
      <c r="L11418">
        <v>0</v>
      </c>
      <c r="M11418">
        <v>0</v>
      </c>
      <c r="N11418">
        <v>0</v>
      </c>
      <c r="O11418">
        <v>0</v>
      </c>
    </row>
    <row r="11419" spans="1:15" x14ac:dyDescent="0.35">
      <c r="A11419" t="s">
        <v>12239</v>
      </c>
      <c r="B11419" t="s">
        <v>12240</v>
      </c>
      <c r="C11419" t="s">
        <v>11188</v>
      </c>
      <c r="D11419" t="s">
        <v>293</v>
      </c>
      <c r="E11419" t="s">
        <v>310</v>
      </c>
      <c r="F11419" t="s">
        <v>12249</v>
      </c>
      <c r="G11419">
        <v>557</v>
      </c>
      <c r="H11419">
        <v>127802.37000000001</v>
      </c>
      <c r="I11419">
        <v>229.45</v>
      </c>
      <c r="J11419">
        <v>627</v>
      </c>
      <c r="K11419">
        <v>136479.38999999998</v>
      </c>
      <c r="L11419">
        <v>217.67</v>
      </c>
      <c r="M11419">
        <v>1184</v>
      </c>
      <c r="N11419">
        <v>264281.76</v>
      </c>
      <c r="O11419">
        <v>223.21</v>
      </c>
    </row>
    <row r="11420" spans="1:15" x14ac:dyDescent="0.35">
      <c r="A11420" t="s">
        <v>12239</v>
      </c>
      <c r="B11420" t="s">
        <v>12240</v>
      </c>
      <c r="C11420" t="s">
        <v>11188</v>
      </c>
      <c r="D11420" t="s">
        <v>293</v>
      </c>
      <c r="E11420" t="s">
        <v>312</v>
      </c>
      <c r="F11420" t="s">
        <v>12250</v>
      </c>
      <c r="G11420">
        <v>557</v>
      </c>
      <c r="H11420">
        <v>127802.37000000001</v>
      </c>
      <c r="I11420">
        <v>229.45</v>
      </c>
      <c r="J11420">
        <v>627</v>
      </c>
      <c r="K11420">
        <v>136479.38999999998</v>
      </c>
      <c r="L11420">
        <v>217.67</v>
      </c>
      <c r="M11420">
        <v>1184</v>
      </c>
      <c r="N11420">
        <v>264281.76</v>
      </c>
      <c r="O11420">
        <v>223.21</v>
      </c>
    </row>
    <row r="11421" spans="1:15" x14ac:dyDescent="0.35">
      <c r="A11421" t="s">
        <v>12239</v>
      </c>
      <c r="B11421" t="s">
        <v>12240</v>
      </c>
      <c r="C11421" t="s">
        <v>11188</v>
      </c>
      <c r="D11421" t="s">
        <v>314</v>
      </c>
      <c r="E11421" t="s">
        <v>294</v>
      </c>
      <c r="F11421" t="s">
        <v>12251</v>
      </c>
      <c r="G11421">
        <v>54</v>
      </c>
      <c r="H11421">
        <v>8324.65</v>
      </c>
      <c r="I11421">
        <v>154.16</v>
      </c>
      <c r="J11421">
        <v>0</v>
      </c>
      <c r="K11421">
        <v>0</v>
      </c>
      <c r="L11421">
        <v>0</v>
      </c>
      <c r="M11421">
        <v>54</v>
      </c>
      <c r="N11421">
        <v>8324.65</v>
      </c>
      <c r="O11421">
        <v>154.16</v>
      </c>
    </row>
    <row r="11422" spans="1:15" x14ac:dyDescent="0.35">
      <c r="A11422" t="s">
        <v>12239</v>
      </c>
      <c r="B11422" t="s">
        <v>12240</v>
      </c>
      <c r="C11422" t="s">
        <v>11188</v>
      </c>
      <c r="D11422" t="s">
        <v>314</v>
      </c>
      <c r="E11422" t="s">
        <v>296</v>
      </c>
      <c r="F11422" t="s">
        <v>12252</v>
      </c>
      <c r="G11422">
        <v>0</v>
      </c>
      <c r="H11422">
        <v>0</v>
      </c>
      <c r="I11422">
        <v>0</v>
      </c>
      <c r="J11422">
        <v>0</v>
      </c>
      <c r="K11422">
        <v>0</v>
      </c>
      <c r="L11422">
        <v>0</v>
      </c>
      <c r="M11422">
        <v>0</v>
      </c>
      <c r="N11422">
        <v>0</v>
      </c>
      <c r="O11422">
        <v>0</v>
      </c>
    </row>
    <row r="11423" spans="1:15" x14ac:dyDescent="0.35">
      <c r="A11423" t="s">
        <v>12239</v>
      </c>
      <c r="B11423" t="s">
        <v>12240</v>
      </c>
      <c r="C11423" t="s">
        <v>11188</v>
      </c>
      <c r="D11423" t="s">
        <v>314</v>
      </c>
      <c r="E11423" t="s">
        <v>298</v>
      </c>
      <c r="F11423" t="s">
        <v>12253</v>
      </c>
      <c r="G11423">
        <v>0</v>
      </c>
      <c r="H11423">
        <v>0</v>
      </c>
      <c r="I11423">
        <v>0</v>
      </c>
      <c r="J11423">
        <v>0</v>
      </c>
      <c r="K11423">
        <v>0</v>
      </c>
      <c r="L11423">
        <v>0</v>
      </c>
      <c r="M11423">
        <v>0</v>
      </c>
      <c r="N11423">
        <v>0</v>
      </c>
      <c r="O11423">
        <v>0</v>
      </c>
    </row>
    <row r="11424" spans="1:15" x14ac:dyDescent="0.35">
      <c r="A11424" t="s">
        <v>12239</v>
      </c>
      <c r="B11424" t="s">
        <v>12240</v>
      </c>
      <c r="C11424" t="s">
        <v>11188</v>
      </c>
      <c r="D11424" t="s">
        <v>314</v>
      </c>
      <c r="E11424" t="s">
        <v>300</v>
      </c>
      <c r="F11424" t="s">
        <v>12254</v>
      </c>
      <c r="G11424">
        <v>0</v>
      </c>
      <c r="H11424">
        <v>0</v>
      </c>
      <c r="I11424">
        <v>0</v>
      </c>
      <c r="J11424">
        <v>0</v>
      </c>
      <c r="K11424">
        <v>0</v>
      </c>
      <c r="L11424">
        <v>0</v>
      </c>
      <c r="M11424">
        <v>0</v>
      </c>
      <c r="N11424">
        <v>0</v>
      </c>
      <c r="O11424">
        <v>0</v>
      </c>
    </row>
    <row r="11425" spans="1:15" x14ac:dyDescent="0.35">
      <c r="A11425" t="s">
        <v>12239</v>
      </c>
      <c r="B11425" t="s">
        <v>12240</v>
      </c>
      <c r="C11425" t="s">
        <v>11188</v>
      </c>
      <c r="D11425" t="s">
        <v>314</v>
      </c>
      <c r="E11425" t="s">
        <v>306</v>
      </c>
      <c r="F11425" t="s">
        <v>12255</v>
      </c>
      <c r="G11425">
        <v>0</v>
      </c>
      <c r="H11425">
        <v>0</v>
      </c>
      <c r="I11425">
        <v>0</v>
      </c>
      <c r="J11425">
        <v>0</v>
      </c>
      <c r="K11425">
        <v>0</v>
      </c>
      <c r="L11425">
        <v>0</v>
      </c>
      <c r="M11425">
        <v>0</v>
      </c>
      <c r="N11425">
        <v>0</v>
      </c>
      <c r="O11425">
        <v>0</v>
      </c>
    </row>
    <row r="11426" spans="1:15" x14ac:dyDescent="0.35">
      <c r="A11426" t="s">
        <v>12239</v>
      </c>
      <c r="B11426" t="s">
        <v>12240</v>
      </c>
      <c r="C11426" t="s">
        <v>11188</v>
      </c>
      <c r="D11426" t="s">
        <v>314</v>
      </c>
      <c r="E11426" t="s">
        <v>308</v>
      </c>
      <c r="F11426" t="s">
        <v>12256</v>
      </c>
      <c r="G11426">
        <v>0</v>
      </c>
      <c r="H11426">
        <v>0</v>
      </c>
      <c r="I11426">
        <v>0</v>
      </c>
      <c r="J11426">
        <v>0</v>
      </c>
      <c r="K11426">
        <v>0</v>
      </c>
      <c r="L11426">
        <v>0</v>
      </c>
      <c r="M11426">
        <v>0</v>
      </c>
      <c r="N11426">
        <v>0</v>
      </c>
      <c r="O11426">
        <v>0</v>
      </c>
    </row>
    <row r="11427" spans="1:15" x14ac:dyDescent="0.35">
      <c r="A11427" t="s">
        <v>12239</v>
      </c>
      <c r="B11427" t="s">
        <v>12240</v>
      </c>
      <c r="C11427" t="s">
        <v>11188</v>
      </c>
      <c r="D11427" t="s">
        <v>314</v>
      </c>
      <c r="E11427" t="s">
        <v>312</v>
      </c>
      <c r="F11427" t="s">
        <v>12257</v>
      </c>
      <c r="G11427">
        <v>54</v>
      </c>
      <c r="H11427">
        <v>8324.65</v>
      </c>
      <c r="I11427">
        <v>154.16</v>
      </c>
      <c r="J11427">
        <v>0</v>
      </c>
      <c r="K11427">
        <v>0</v>
      </c>
      <c r="L11427">
        <v>0</v>
      </c>
      <c r="M11427">
        <v>54</v>
      </c>
      <c r="N11427">
        <v>8324.65</v>
      </c>
      <c r="O11427">
        <v>154.16</v>
      </c>
    </row>
    <row r="11428" spans="1:15" x14ac:dyDescent="0.35">
      <c r="A11428" t="s">
        <v>12239</v>
      </c>
      <c r="B11428" t="s">
        <v>12240</v>
      </c>
      <c r="C11428" t="s">
        <v>11188</v>
      </c>
      <c r="D11428" t="s">
        <v>314</v>
      </c>
      <c r="E11428" t="s">
        <v>310</v>
      </c>
      <c r="F11428" t="s">
        <v>12258</v>
      </c>
      <c r="G11428">
        <v>54</v>
      </c>
      <c r="H11428">
        <v>8324.65</v>
      </c>
      <c r="I11428">
        <v>154.16</v>
      </c>
      <c r="J11428">
        <v>0</v>
      </c>
      <c r="K11428">
        <v>0</v>
      </c>
      <c r="L11428">
        <v>0</v>
      </c>
      <c r="M11428">
        <v>54</v>
      </c>
      <c r="N11428">
        <v>8324.65</v>
      </c>
      <c r="O11428">
        <v>154.16</v>
      </c>
    </row>
    <row r="11429" spans="1:15" x14ac:dyDescent="0.35">
      <c r="A11429" t="s">
        <v>12239</v>
      </c>
      <c r="B11429" t="s">
        <v>12240</v>
      </c>
      <c r="C11429" t="s">
        <v>11188</v>
      </c>
      <c r="D11429" t="s">
        <v>323</v>
      </c>
      <c r="E11429" t="s">
        <v>294</v>
      </c>
      <c r="F11429" t="s">
        <v>12259</v>
      </c>
      <c r="G11429">
        <v>379</v>
      </c>
      <c r="H11429">
        <v>46847.099999999991</v>
      </c>
      <c r="I11429">
        <v>123.61</v>
      </c>
      <c r="J11429">
        <v>1198</v>
      </c>
      <c r="K11429">
        <v>132367.01999999999</v>
      </c>
      <c r="L11429">
        <v>110.49</v>
      </c>
      <c r="M11429">
        <v>1577</v>
      </c>
      <c r="N11429">
        <v>179214.12</v>
      </c>
      <c r="O11429">
        <v>113.64</v>
      </c>
    </row>
    <row r="11430" spans="1:15" x14ac:dyDescent="0.35">
      <c r="A11430" t="s">
        <v>12239</v>
      </c>
      <c r="B11430" t="s">
        <v>12240</v>
      </c>
      <c r="C11430" t="s">
        <v>11188</v>
      </c>
      <c r="D11430" t="s">
        <v>323</v>
      </c>
      <c r="E11430" t="s">
        <v>296</v>
      </c>
      <c r="F11430" t="s">
        <v>12260</v>
      </c>
      <c r="G11430">
        <v>1313</v>
      </c>
      <c r="H11430">
        <v>191925.21999999997</v>
      </c>
      <c r="I11430">
        <v>146.16999999999999</v>
      </c>
      <c r="J11430">
        <v>1169</v>
      </c>
      <c r="K11430">
        <v>149842.42000000001</v>
      </c>
      <c r="L11430">
        <v>128.18</v>
      </c>
      <c r="M11430">
        <v>2482</v>
      </c>
      <c r="N11430">
        <v>341767.64</v>
      </c>
      <c r="O11430">
        <v>137.69999999999999</v>
      </c>
    </row>
    <row r="11431" spans="1:15" x14ac:dyDescent="0.35">
      <c r="A11431" t="s">
        <v>12239</v>
      </c>
      <c r="B11431" t="s">
        <v>12240</v>
      </c>
      <c r="C11431" t="s">
        <v>11188</v>
      </c>
      <c r="D11431" t="s">
        <v>323</v>
      </c>
      <c r="E11431" t="s">
        <v>298</v>
      </c>
      <c r="F11431" t="s">
        <v>12261</v>
      </c>
      <c r="G11431">
        <v>913</v>
      </c>
      <c r="H11431">
        <v>151745.32</v>
      </c>
      <c r="I11431">
        <v>166.21</v>
      </c>
      <c r="J11431">
        <v>1101</v>
      </c>
      <c r="K11431">
        <v>166944.63</v>
      </c>
      <c r="L11431">
        <v>151.63</v>
      </c>
      <c r="M11431">
        <v>2014</v>
      </c>
      <c r="N11431">
        <v>318689.95</v>
      </c>
      <c r="O11431">
        <v>158.24</v>
      </c>
    </row>
    <row r="11432" spans="1:15" x14ac:dyDescent="0.35">
      <c r="A11432" t="s">
        <v>12239</v>
      </c>
      <c r="B11432" t="s">
        <v>12240</v>
      </c>
      <c r="C11432" t="s">
        <v>11188</v>
      </c>
      <c r="D11432" t="s">
        <v>323</v>
      </c>
      <c r="E11432" t="s">
        <v>300</v>
      </c>
      <c r="F11432" t="s">
        <v>12262</v>
      </c>
      <c r="G11432">
        <v>168</v>
      </c>
      <c r="H11432">
        <v>31579.38</v>
      </c>
      <c r="I11432">
        <v>187.97</v>
      </c>
      <c r="J11432">
        <v>108</v>
      </c>
      <c r="K11432">
        <v>19295.28</v>
      </c>
      <c r="L11432">
        <v>178.66</v>
      </c>
      <c r="M11432">
        <v>276</v>
      </c>
      <c r="N11432">
        <v>50874.66</v>
      </c>
      <c r="O11432">
        <v>184.33</v>
      </c>
    </row>
    <row r="11433" spans="1:15" x14ac:dyDescent="0.35">
      <c r="A11433" t="s">
        <v>12239</v>
      </c>
      <c r="B11433" t="s">
        <v>12240</v>
      </c>
      <c r="C11433" t="s">
        <v>11188</v>
      </c>
      <c r="D11433" t="s">
        <v>323</v>
      </c>
      <c r="E11433" t="s">
        <v>302</v>
      </c>
      <c r="F11433" t="s">
        <v>12263</v>
      </c>
      <c r="G11433">
        <v>18</v>
      </c>
      <c r="H11433">
        <v>3388.6400000000003</v>
      </c>
      <c r="I11433">
        <v>188.26</v>
      </c>
      <c r="J11433">
        <v>16</v>
      </c>
      <c r="K11433">
        <v>3059.52</v>
      </c>
      <c r="L11433">
        <v>191.22</v>
      </c>
      <c r="M11433">
        <v>34</v>
      </c>
      <c r="N11433">
        <v>6448.16</v>
      </c>
      <c r="O11433">
        <v>189.65</v>
      </c>
    </row>
    <row r="11434" spans="1:15" x14ac:dyDescent="0.35">
      <c r="A11434" t="s">
        <v>12239</v>
      </c>
      <c r="B11434" t="s">
        <v>12240</v>
      </c>
      <c r="C11434" t="s">
        <v>11188</v>
      </c>
      <c r="D11434" t="s">
        <v>323</v>
      </c>
      <c r="E11434" t="s">
        <v>304</v>
      </c>
      <c r="F11434" t="s">
        <v>12264</v>
      </c>
      <c r="G11434">
        <v>0</v>
      </c>
      <c r="H11434">
        <v>0</v>
      </c>
      <c r="I11434">
        <v>0</v>
      </c>
      <c r="J11434">
        <v>1</v>
      </c>
      <c r="K11434">
        <v>190.64</v>
      </c>
      <c r="L11434">
        <v>190.64</v>
      </c>
      <c r="M11434">
        <v>1</v>
      </c>
      <c r="N11434">
        <v>190.64</v>
      </c>
      <c r="O11434">
        <v>190.64</v>
      </c>
    </row>
    <row r="11435" spans="1:15" x14ac:dyDescent="0.35">
      <c r="A11435" t="s">
        <v>12239</v>
      </c>
      <c r="B11435" t="s">
        <v>12240</v>
      </c>
      <c r="C11435" t="s">
        <v>11188</v>
      </c>
      <c r="D11435" t="s">
        <v>323</v>
      </c>
      <c r="E11435" t="s">
        <v>306</v>
      </c>
      <c r="F11435" t="s">
        <v>12265</v>
      </c>
      <c r="G11435">
        <v>28</v>
      </c>
      <c r="H11435">
        <v>3031.3600000000006</v>
      </c>
      <c r="I11435">
        <v>108.26</v>
      </c>
      <c r="J11435">
        <v>329</v>
      </c>
      <c r="K11435">
        <v>32324.25</v>
      </c>
      <c r="L11435">
        <v>98.25</v>
      </c>
      <c r="M11435">
        <v>357</v>
      </c>
      <c r="N11435">
        <v>35355.61</v>
      </c>
      <c r="O11435">
        <v>99.04</v>
      </c>
    </row>
    <row r="11436" spans="1:15" x14ac:dyDescent="0.35">
      <c r="A11436" t="s">
        <v>12239</v>
      </c>
      <c r="B11436" t="s">
        <v>12240</v>
      </c>
      <c r="C11436" t="s">
        <v>11188</v>
      </c>
      <c r="D11436" t="s">
        <v>323</v>
      </c>
      <c r="E11436" t="s">
        <v>308</v>
      </c>
      <c r="F11436" t="s">
        <v>12266</v>
      </c>
      <c r="G11436">
        <v>0</v>
      </c>
      <c r="H11436">
        <v>0</v>
      </c>
      <c r="I11436">
        <v>0</v>
      </c>
      <c r="J11436">
        <v>0</v>
      </c>
      <c r="K11436">
        <v>0</v>
      </c>
      <c r="L11436">
        <v>0</v>
      </c>
      <c r="M11436">
        <v>0</v>
      </c>
      <c r="N11436">
        <v>0</v>
      </c>
      <c r="O11436">
        <v>0</v>
      </c>
    </row>
    <row r="11437" spans="1:15" x14ac:dyDescent="0.35">
      <c r="A11437" t="s">
        <v>12239</v>
      </c>
      <c r="B11437" t="s">
        <v>12240</v>
      </c>
      <c r="C11437" t="s">
        <v>11188</v>
      </c>
      <c r="D11437" t="s">
        <v>323</v>
      </c>
      <c r="E11437" t="s">
        <v>310</v>
      </c>
      <c r="F11437" t="s">
        <v>12267</v>
      </c>
      <c r="G11437">
        <v>2819</v>
      </c>
      <c r="H11437">
        <v>428517.01999999996</v>
      </c>
      <c r="I11437">
        <v>152.01</v>
      </c>
      <c r="J11437">
        <v>3922</v>
      </c>
      <c r="K11437">
        <v>504023.76</v>
      </c>
      <c r="L11437">
        <v>128.51</v>
      </c>
      <c r="M11437">
        <v>6741</v>
      </c>
      <c r="N11437">
        <v>932540.78</v>
      </c>
      <c r="O11437">
        <v>138.34</v>
      </c>
    </row>
    <row r="11438" spans="1:15" x14ac:dyDescent="0.35">
      <c r="A11438" t="s">
        <v>12239</v>
      </c>
      <c r="B11438" t="s">
        <v>12240</v>
      </c>
      <c r="C11438" t="s">
        <v>11188</v>
      </c>
      <c r="D11438" t="s">
        <v>323</v>
      </c>
      <c r="E11438" t="s">
        <v>312</v>
      </c>
      <c r="F11438" t="s">
        <v>12268</v>
      </c>
      <c r="G11438">
        <v>2819</v>
      </c>
      <c r="H11438">
        <v>428517.01999999996</v>
      </c>
      <c r="I11438">
        <v>152.01</v>
      </c>
      <c r="J11438">
        <v>3922</v>
      </c>
      <c r="K11438">
        <v>504023.76</v>
      </c>
      <c r="L11438">
        <v>128.51</v>
      </c>
      <c r="M11438">
        <v>6741</v>
      </c>
      <c r="N11438">
        <v>932540.78</v>
      </c>
      <c r="O11438">
        <v>138.34</v>
      </c>
    </row>
    <row r="11439" spans="1:15" x14ac:dyDescent="0.35">
      <c r="A11439" t="s">
        <v>12239</v>
      </c>
      <c r="B11439" t="s">
        <v>12240</v>
      </c>
      <c r="C11439" t="s">
        <v>11188</v>
      </c>
      <c r="D11439" t="s">
        <v>334</v>
      </c>
      <c r="E11439" t="s">
        <v>312</v>
      </c>
      <c r="F11439" t="s">
        <v>12269</v>
      </c>
      <c r="G11439">
        <v>3656</v>
      </c>
      <c r="H11439">
        <v>556319.3899999999</v>
      </c>
      <c r="I11439">
        <v>164.79</v>
      </c>
      <c r="J11439">
        <v>4549</v>
      </c>
      <c r="K11439">
        <v>640503.15</v>
      </c>
      <c r="L11439">
        <v>140.80000000000001</v>
      </c>
      <c r="M11439">
        <v>8205</v>
      </c>
      <c r="N11439">
        <v>1196822.54</v>
      </c>
      <c r="O11439">
        <v>151.02000000000001</v>
      </c>
    </row>
    <row r="11440" spans="1:15" x14ac:dyDescent="0.35">
      <c r="A11440" t="s">
        <v>12239</v>
      </c>
      <c r="B11440" t="s">
        <v>12240</v>
      </c>
      <c r="C11440" t="s">
        <v>11188</v>
      </c>
      <c r="D11440" t="s">
        <v>334</v>
      </c>
      <c r="E11440" t="s">
        <v>308</v>
      </c>
      <c r="F11440" t="s">
        <v>12270</v>
      </c>
      <c r="G11440">
        <v>1</v>
      </c>
      <c r="H11440">
        <v>0</v>
      </c>
      <c r="I11440">
        <v>0</v>
      </c>
      <c r="J11440">
        <v>0</v>
      </c>
      <c r="K11440">
        <v>0</v>
      </c>
      <c r="L11440">
        <v>0</v>
      </c>
      <c r="M11440">
        <v>1</v>
      </c>
      <c r="N11440">
        <v>0</v>
      </c>
      <c r="O11440">
        <v>0</v>
      </c>
    </row>
    <row r="11441" spans="1:15" x14ac:dyDescent="0.35">
      <c r="A11441" t="s">
        <v>12239</v>
      </c>
      <c r="B11441" t="s">
        <v>12240</v>
      </c>
      <c r="C11441" t="s">
        <v>11188</v>
      </c>
      <c r="D11441" t="s">
        <v>337</v>
      </c>
      <c r="E11441" t="s">
        <v>337</v>
      </c>
      <c r="F11441" t="s">
        <v>12271</v>
      </c>
      <c r="G11441">
        <v>910</v>
      </c>
      <c r="J11441">
        <v>0</v>
      </c>
      <c r="M11441">
        <v>910</v>
      </c>
    </row>
    <row r="11442" spans="1:15" x14ac:dyDescent="0.35">
      <c r="A11442" t="s">
        <v>12239</v>
      </c>
      <c r="B11442" t="s">
        <v>12240</v>
      </c>
      <c r="C11442" t="s">
        <v>11188</v>
      </c>
      <c r="D11442" t="s">
        <v>339</v>
      </c>
      <c r="E11442" t="s">
        <v>294</v>
      </c>
      <c r="F11442" t="s">
        <v>12272</v>
      </c>
      <c r="G11442">
        <v>949</v>
      </c>
      <c r="H11442">
        <v>121939.19</v>
      </c>
      <c r="I11442">
        <v>128.49</v>
      </c>
      <c r="J11442">
        <v>66</v>
      </c>
      <c r="K11442">
        <v>7208.5199999999995</v>
      </c>
      <c r="L11442">
        <v>109.22</v>
      </c>
      <c r="M11442">
        <v>1015</v>
      </c>
      <c r="N11442">
        <v>129147.71</v>
      </c>
      <c r="O11442">
        <v>127.24</v>
      </c>
    </row>
    <row r="11443" spans="1:15" x14ac:dyDescent="0.35">
      <c r="A11443" t="s">
        <v>12239</v>
      </c>
      <c r="B11443" t="s">
        <v>12240</v>
      </c>
      <c r="C11443" t="s">
        <v>11188</v>
      </c>
      <c r="D11443" t="s">
        <v>339</v>
      </c>
      <c r="E11443" t="s">
        <v>296</v>
      </c>
      <c r="F11443" t="s">
        <v>12273</v>
      </c>
      <c r="G11443">
        <v>71</v>
      </c>
      <c r="H11443">
        <v>10481.030000000001</v>
      </c>
      <c r="I11443">
        <v>147.62</v>
      </c>
      <c r="J11443">
        <v>3</v>
      </c>
      <c r="K11443">
        <v>380.13</v>
      </c>
      <c r="L11443">
        <v>126.71</v>
      </c>
      <c r="M11443">
        <v>74</v>
      </c>
      <c r="N11443">
        <v>10861.16</v>
      </c>
      <c r="O11443">
        <v>146.77000000000001</v>
      </c>
    </row>
    <row r="11444" spans="1:15" x14ac:dyDescent="0.35">
      <c r="A11444" t="s">
        <v>12239</v>
      </c>
      <c r="B11444" t="s">
        <v>12240</v>
      </c>
      <c r="C11444" t="s">
        <v>11188</v>
      </c>
      <c r="D11444" t="s">
        <v>339</v>
      </c>
      <c r="E11444" t="s">
        <v>298</v>
      </c>
      <c r="F11444" t="s">
        <v>12274</v>
      </c>
      <c r="G11444">
        <v>13</v>
      </c>
      <c r="H11444">
        <v>1846.97</v>
      </c>
      <c r="I11444">
        <v>142.07</v>
      </c>
      <c r="J11444">
        <v>2</v>
      </c>
      <c r="K11444">
        <v>310.92</v>
      </c>
      <c r="L11444">
        <v>155.46</v>
      </c>
      <c r="M11444">
        <v>15</v>
      </c>
      <c r="N11444">
        <v>2157.89</v>
      </c>
      <c r="O11444">
        <v>143.86000000000001</v>
      </c>
    </row>
    <row r="11445" spans="1:15" x14ac:dyDescent="0.35">
      <c r="A11445" t="s">
        <v>12239</v>
      </c>
      <c r="B11445" t="s">
        <v>12240</v>
      </c>
      <c r="C11445" t="s">
        <v>11188</v>
      </c>
      <c r="D11445" t="s">
        <v>339</v>
      </c>
      <c r="E11445" t="s">
        <v>300</v>
      </c>
      <c r="F11445" t="s">
        <v>12275</v>
      </c>
      <c r="G11445">
        <v>1</v>
      </c>
      <c r="H11445">
        <v>152.52000000000001</v>
      </c>
      <c r="I11445">
        <v>152.52000000000001</v>
      </c>
      <c r="J11445">
        <v>0</v>
      </c>
      <c r="K11445">
        <v>0</v>
      </c>
      <c r="L11445">
        <v>0</v>
      </c>
      <c r="M11445">
        <v>1</v>
      </c>
      <c r="N11445">
        <v>152.52000000000001</v>
      </c>
      <c r="O11445">
        <v>152.52000000000001</v>
      </c>
    </row>
    <row r="11446" spans="1:15" x14ac:dyDescent="0.35">
      <c r="A11446" t="s">
        <v>12239</v>
      </c>
      <c r="B11446" t="s">
        <v>12240</v>
      </c>
      <c r="C11446" t="s">
        <v>11188</v>
      </c>
      <c r="D11446" t="s">
        <v>339</v>
      </c>
      <c r="E11446" t="s">
        <v>306</v>
      </c>
      <c r="F11446" t="s">
        <v>12276</v>
      </c>
      <c r="G11446">
        <v>95</v>
      </c>
      <c r="H11446">
        <v>10716.990000000002</v>
      </c>
      <c r="I11446">
        <v>112.81</v>
      </c>
      <c r="J11446">
        <v>54</v>
      </c>
      <c r="K11446">
        <v>5238.54</v>
      </c>
      <c r="L11446">
        <v>97.01</v>
      </c>
      <c r="M11446">
        <v>149</v>
      </c>
      <c r="N11446">
        <v>15955.530000000002</v>
      </c>
      <c r="O11446">
        <v>107.08</v>
      </c>
    </row>
    <row r="11447" spans="1:15" x14ac:dyDescent="0.35">
      <c r="A11447" t="s">
        <v>12239</v>
      </c>
      <c r="B11447" t="s">
        <v>12240</v>
      </c>
      <c r="C11447" t="s">
        <v>11188</v>
      </c>
      <c r="D11447" t="s">
        <v>339</v>
      </c>
      <c r="E11447" t="s">
        <v>308</v>
      </c>
      <c r="F11447" t="s">
        <v>12277</v>
      </c>
      <c r="G11447">
        <v>71</v>
      </c>
      <c r="H11447">
        <v>11581.369999999999</v>
      </c>
      <c r="I11447">
        <v>163.12</v>
      </c>
      <c r="J11447">
        <v>0</v>
      </c>
      <c r="K11447">
        <v>0</v>
      </c>
      <c r="L11447">
        <v>0</v>
      </c>
      <c r="M11447">
        <v>71</v>
      </c>
      <c r="N11447">
        <v>11581.369999999999</v>
      </c>
      <c r="O11447">
        <v>163.12</v>
      </c>
    </row>
    <row r="11448" spans="1:15" x14ac:dyDescent="0.35">
      <c r="A11448" t="s">
        <v>12239</v>
      </c>
      <c r="B11448" t="s">
        <v>12240</v>
      </c>
      <c r="C11448" t="s">
        <v>11188</v>
      </c>
      <c r="D11448" t="s">
        <v>339</v>
      </c>
      <c r="E11448" t="s">
        <v>310</v>
      </c>
      <c r="F11448" t="s">
        <v>12278</v>
      </c>
      <c r="G11448">
        <v>1200</v>
      </c>
      <c r="H11448">
        <v>156718.06999999998</v>
      </c>
      <c r="I11448">
        <v>130.6</v>
      </c>
      <c r="J11448">
        <v>125</v>
      </c>
      <c r="K11448">
        <v>13138.11</v>
      </c>
      <c r="L11448">
        <v>105.1</v>
      </c>
      <c r="M11448">
        <v>1325</v>
      </c>
      <c r="N11448">
        <v>169856.18</v>
      </c>
      <c r="O11448">
        <v>128.19</v>
      </c>
    </row>
    <row r="11449" spans="1:15" x14ac:dyDescent="0.35">
      <c r="A11449" t="s">
        <v>12239</v>
      </c>
      <c r="B11449" t="s">
        <v>12240</v>
      </c>
      <c r="C11449" t="s">
        <v>11188</v>
      </c>
      <c r="D11449" t="s">
        <v>339</v>
      </c>
      <c r="E11449" t="s">
        <v>312</v>
      </c>
      <c r="F11449" t="s">
        <v>12279</v>
      </c>
      <c r="G11449">
        <v>1129</v>
      </c>
      <c r="H11449">
        <v>145136.69999999998</v>
      </c>
      <c r="I11449">
        <v>128.55000000000001</v>
      </c>
      <c r="J11449">
        <v>125</v>
      </c>
      <c r="K11449">
        <v>13138.11</v>
      </c>
      <c r="L11449">
        <v>105.1</v>
      </c>
      <c r="M11449">
        <v>1254</v>
      </c>
      <c r="N11449">
        <v>158274.81</v>
      </c>
      <c r="O11449">
        <v>126.22</v>
      </c>
    </row>
    <row r="11450" spans="1:15" x14ac:dyDescent="0.35">
      <c r="A11450" t="s">
        <v>12239</v>
      </c>
      <c r="B11450" t="s">
        <v>12240</v>
      </c>
      <c r="C11450" t="s">
        <v>11188</v>
      </c>
      <c r="D11450" t="s">
        <v>348</v>
      </c>
      <c r="E11450" t="s">
        <v>349</v>
      </c>
      <c r="F11450" t="s">
        <v>12280</v>
      </c>
      <c r="G11450">
        <v>1336</v>
      </c>
      <c r="H11450">
        <v>165042.71999999997</v>
      </c>
      <c r="I11450">
        <v>131.61000000000001</v>
      </c>
      <c r="J11450">
        <v>125</v>
      </c>
      <c r="K11450">
        <v>13138.11</v>
      </c>
      <c r="L11450">
        <v>105.1</v>
      </c>
      <c r="M11450">
        <v>1461</v>
      </c>
      <c r="N11450">
        <v>178180.82999999996</v>
      </c>
      <c r="O11450">
        <v>129.21</v>
      </c>
    </row>
    <row r="11451" spans="1:15" x14ac:dyDescent="0.35">
      <c r="A11451" t="s">
        <v>12281</v>
      </c>
      <c r="B11451" t="s">
        <v>12282</v>
      </c>
      <c r="C11451" t="s">
        <v>11188</v>
      </c>
      <c r="D11451" t="s">
        <v>293</v>
      </c>
      <c r="E11451" t="s">
        <v>294</v>
      </c>
      <c r="F11451" t="s">
        <v>12283</v>
      </c>
      <c r="G11451">
        <v>361</v>
      </c>
      <c r="H11451">
        <v>80587.51999999999</v>
      </c>
      <c r="I11451">
        <v>223.23</v>
      </c>
      <c r="J11451">
        <v>0</v>
      </c>
      <c r="K11451">
        <v>0</v>
      </c>
      <c r="L11451">
        <v>0</v>
      </c>
      <c r="M11451">
        <v>361</v>
      </c>
      <c r="N11451">
        <v>80587.51999999999</v>
      </c>
      <c r="O11451">
        <v>223.23</v>
      </c>
    </row>
    <row r="11452" spans="1:15" x14ac:dyDescent="0.35">
      <c r="A11452" t="s">
        <v>12281</v>
      </c>
      <c r="B11452" t="s">
        <v>12282</v>
      </c>
      <c r="C11452" t="s">
        <v>11188</v>
      </c>
      <c r="D11452" t="s">
        <v>293</v>
      </c>
      <c r="E11452" t="s">
        <v>296</v>
      </c>
      <c r="F11452" t="s">
        <v>12284</v>
      </c>
      <c r="G11452">
        <v>404</v>
      </c>
      <c r="H11452">
        <v>107548.82</v>
      </c>
      <c r="I11452">
        <v>266.20999999999998</v>
      </c>
      <c r="J11452">
        <v>0</v>
      </c>
      <c r="K11452">
        <v>0</v>
      </c>
      <c r="L11452">
        <v>0</v>
      </c>
      <c r="M11452">
        <v>404</v>
      </c>
      <c r="N11452">
        <v>107548.82</v>
      </c>
      <c r="O11452">
        <v>266.20999999999998</v>
      </c>
    </row>
    <row r="11453" spans="1:15" x14ac:dyDescent="0.35">
      <c r="A11453" t="s">
        <v>12281</v>
      </c>
      <c r="B11453" t="s">
        <v>12282</v>
      </c>
      <c r="C11453" t="s">
        <v>11188</v>
      </c>
      <c r="D11453" t="s">
        <v>293</v>
      </c>
      <c r="E11453" t="s">
        <v>298</v>
      </c>
      <c r="F11453" t="s">
        <v>12285</v>
      </c>
      <c r="G11453">
        <v>72</v>
      </c>
      <c r="H11453">
        <v>17744.02</v>
      </c>
      <c r="I11453">
        <v>246.44</v>
      </c>
      <c r="J11453">
        <v>0</v>
      </c>
      <c r="K11453">
        <v>0</v>
      </c>
      <c r="L11453">
        <v>0</v>
      </c>
      <c r="M11453">
        <v>72</v>
      </c>
      <c r="N11453">
        <v>17744.02</v>
      </c>
      <c r="O11453">
        <v>246.44</v>
      </c>
    </row>
    <row r="11454" spans="1:15" x14ac:dyDescent="0.35">
      <c r="A11454" t="s">
        <v>12281</v>
      </c>
      <c r="B11454" t="s">
        <v>12282</v>
      </c>
      <c r="C11454" t="s">
        <v>11188</v>
      </c>
      <c r="D11454" t="s">
        <v>293</v>
      </c>
      <c r="E11454" t="s">
        <v>300</v>
      </c>
      <c r="F11454" t="s">
        <v>12286</v>
      </c>
      <c r="G11454">
        <v>21</v>
      </c>
      <c r="H11454">
        <v>5368.1</v>
      </c>
      <c r="I11454">
        <v>255.62</v>
      </c>
      <c r="J11454">
        <v>0</v>
      </c>
      <c r="K11454">
        <v>0</v>
      </c>
      <c r="L11454">
        <v>0</v>
      </c>
      <c r="M11454">
        <v>21</v>
      </c>
      <c r="N11454">
        <v>5368.1</v>
      </c>
      <c r="O11454">
        <v>255.62</v>
      </c>
    </row>
    <row r="11455" spans="1:15" x14ac:dyDescent="0.35">
      <c r="A11455" t="s">
        <v>12281</v>
      </c>
      <c r="B11455" t="s">
        <v>12282</v>
      </c>
      <c r="C11455" t="s">
        <v>11188</v>
      </c>
      <c r="D11455" t="s">
        <v>293</v>
      </c>
      <c r="E11455" t="s">
        <v>302</v>
      </c>
      <c r="F11455" t="s">
        <v>12287</v>
      </c>
      <c r="G11455">
        <v>2</v>
      </c>
      <c r="H11455">
        <v>420.36</v>
      </c>
      <c r="I11455">
        <v>210.18</v>
      </c>
      <c r="J11455">
        <v>0</v>
      </c>
      <c r="K11455">
        <v>0</v>
      </c>
      <c r="L11455">
        <v>0</v>
      </c>
      <c r="M11455">
        <v>2</v>
      </c>
      <c r="N11455">
        <v>420.36</v>
      </c>
      <c r="O11455">
        <v>210.18</v>
      </c>
    </row>
    <row r="11456" spans="1:15" x14ac:dyDescent="0.35">
      <c r="A11456" t="s">
        <v>12281</v>
      </c>
      <c r="B11456" t="s">
        <v>12282</v>
      </c>
      <c r="C11456" t="s">
        <v>11188</v>
      </c>
      <c r="D11456" t="s">
        <v>293</v>
      </c>
      <c r="E11456" t="s">
        <v>304</v>
      </c>
      <c r="F11456" t="s">
        <v>12288</v>
      </c>
      <c r="G11456">
        <v>0</v>
      </c>
      <c r="H11456">
        <v>0</v>
      </c>
      <c r="I11456">
        <v>0</v>
      </c>
      <c r="J11456">
        <v>0</v>
      </c>
      <c r="K11456">
        <v>0</v>
      </c>
      <c r="L11456">
        <v>0</v>
      </c>
      <c r="M11456">
        <v>0</v>
      </c>
      <c r="N11456">
        <v>0</v>
      </c>
      <c r="O11456">
        <v>0</v>
      </c>
    </row>
    <row r="11457" spans="1:15" x14ac:dyDescent="0.35">
      <c r="A11457" t="s">
        <v>12281</v>
      </c>
      <c r="B11457" t="s">
        <v>12282</v>
      </c>
      <c r="C11457" t="s">
        <v>11188</v>
      </c>
      <c r="D11457" t="s">
        <v>293</v>
      </c>
      <c r="E11457" t="s">
        <v>306</v>
      </c>
      <c r="F11457" t="s">
        <v>12289</v>
      </c>
      <c r="G11457">
        <v>10</v>
      </c>
      <c r="H11457">
        <v>1926.79</v>
      </c>
      <c r="I11457">
        <v>192.68</v>
      </c>
      <c r="J11457">
        <v>0</v>
      </c>
      <c r="K11457">
        <v>0</v>
      </c>
      <c r="L11457">
        <v>0</v>
      </c>
      <c r="M11457">
        <v>10</v>
      </c>
      <c r="N11457">
        <v>1926.79</v>
      </c>
      <c r="O11457">
        <v>192.68</v>
      </c>
    </row>
    <row r="11458" spans="1:15" x14ac:dyDescent="0.35">
      <c r="A11458" t="s">
        <v>12281</v>
      </c>
      <c r="B11458" t="s">
        <v>12282</v>
      </c>
      <c r="C11458" t="s">
        <v>11188</v>
      </c>
      <c r="D11458" t="s">
        <v>293</v>
      </c>
      <c r="E11458" t="s">
        <v>308</v>
      </c>
      <c r="F11458" t="s">
        <v>12290</v>
      </c>
      <c r="G11458">
        <v>0</v>
      </c>
      <c r="H11458">
        <v>0</v>
      </c>
      <c r="I11458">
        <v>0</v>
      </c>
      <c r="J11458">
        <v>0</v>
      </c>
      <c r="K11458">
        <v>0</v>
      </c>
      <c r="L11458">
        <v>0</v>
      </c>
      <c r="M11458">
        <v>0</v>
      </c>
      <c r="N11458">
        <v>0</v>
      </c>
      <c r="O11458">
        <v>0</v>
      </c>
    </row>
    <row r="11459" spans="1:15" x14ac:dyDescent="0.35">
      <c r="A11459" t="s">
        <v>12281</v>
      </c>
      <c r="B11459" t="s">
        <v>12282</v>
      </c>
      <c r="C11459" t="s">
        <v>11188</v>
      </c>
      <c r="D11459" t="s">
        <v>293</v>
      </c>
      <c r="E11459" t="s">
        <v>310</v>
      </c>
      <c r="F11459" t="s">
        <v>12291</v>
      </c>
      <c r="G11459">
        <v>870</v>
      </c>
      <c r="H11459">
        <v>213595.61</v>
      </c>
      <c r="I11459">
        <v>245.51</v>
      </c>
      <c r="J11459">
        <v>0</v>
      </c>
      <c r="K11459">
        <v>0</v>
      </c>
      <c r="L11459">
        <v>0</v>
      </c>
      <c r="M11459">
        <v>870</v>
      </c>
      <c r="N11459">
        <v>213595.61</v>
      </c>
      <c r="O11459">
        <v>245.51</v>
      </c>
    </row>
    <row r="11460" spans="1:15" x14ac:dyDescent="0.35">
      <c r="A11460" t="s">
        <v>12281</v>
      </c>
      <c r="B11460" t="s">
        <v>12282</v>
      </c>
      <c r="C11460" t="s">
        <v>11188</v>
      </c>
      <c r="D11460" t="s">
        <v>293</v>
      </c>
      <c r="E11460" t="s">
        <v>312</v>
      </c>
      <c r="F11460" t="s">
        <v>12292</v>
      </c>
      <c r="G11460">
        <v>870</v>
      </c>
      <c r="H11460">
        <v>213595.61</v>
      </c>
      <c r="I11460">
        <v>245.51</v>
      </c>
      <c r="J11460">
        <v>0</v>
      </c>
      <c r="K11460">
        <v>0</v>
      </c>
      <c r="L11460">
        <v>0</v>
      </c>
      <c r="M11460">
        <v>870</v>
      </c>
      <c r="N11460">
        <v>213595.61</v>
      </c>
      <c r="O11460">
        <v>245.51</v>
      </c>
    </row>
    <row r="11461" spans="1:15" x14ac:dyDescent="0.35">
      <c r="A11461" t="s">
        <v>12281</v>
      </c>
      <c r="B11461" t="s">
        <v>12282</v>
      </c>
      <c r="C11461" t="s">
        <v>11188</v>
      </c>
      <c r="D11461" t="s">
        <v>314</v>
      </c>
      <c r="E11461" t="s">
        <v>294</v>
      </c>
      <c r="F11461" t="s">
        <v>12293</v>
      </c>
      <c r="G11461">
        <v>31</v>
      </c>
      <c r="H11461">
        <v>8088.65</v>
      </c>
      <c r="I11461">
        <v>260.92</v>
      </c>
      <c r="J11461">
        <v>0</v>
      </c>
      <c r="K11461">
        <v>0</v>
      </c>
      <c r="L11461">
        <v>0</v>
      </c>
      <c r="M11461">
        <v>31</v>
      </c>
      <c r="N11461">
        <v>8088.65</v>
      </c>
      <c r="O11461">
        <v>260.92</v>
      </c>
    </row>
    <row r="11462" spans="1:15" x14ac:dyDescent="0.35">
      <c r="A11462" t="s">
        <v>12281</v>
      </c>
      <c r="B11462" t="s">
        <v>12282</v>
      </c>
      <c r="C11462" t="s">
        <v>11188</v>
      </c>
      <c r="D11462" t="s">
        <v>314</v>
      </c>
      <c r="E11462" t="s">
        <v>296</v>
      </c>
      <c r="F11462" t="s">
        <v>12294</v>
      </c>
      <c r="G11462">
        <v>2</v>
      </c>
      <c r="H11462">
        <v>685.12</v>
      </c>
      <c r="I11462">
        <v>342.56</v>
      </c>
      <c r="J11462">
        <v>0</v>
      </c>
      <c r="K11462">
        <v>0</v>
      </c>
      <c r="L11462">
        <v>0</v>
      </c>
      <c r="M11462">
        <v>2</v>
      </c>
      <c r="N11462">
        <v>685.12</v>
      </c>
      <c r="O11462">
        <v>342.56</v>
      </c>
    </row>
    <row r="11463" spans="1:15" x14ac:dyDescent="0.35">
      <c r="A11463" t="s">
        <v>12281</v>
      </c>
      <c r="B11463" t="s">
        <v>12282</v>
      </c>
      <c r="C11463" t="s">
        <v>11188</v>
      </c>
      <c r="D11463" t="s">
        <v>314</v>
      </c>
      <c r="E11463" t="s">
        <v>298</v>
      </c>
      <c r="F11463" t="s">
        <v>12295</v>
      </c>
      <c r="G11463">
        <v>0</v>
      </c>
      <c r="H11463">
        <v>0</v>
      </c>
      <c r="I11463">
        <v>0</v>
      </c>
      <c r="J11463">
        <v>0</v>
      </c>
      <c r="K11463">
        <v>0</v>
      </c>
      <c r="L11463">
        <v>0</v>
      </c>
      <c r="M11463">
        <v>0</v>
      </c>
      <c r="N11463">
        <v>0</v>
      </c>
      <c r="O11463">
        <v>0</v>
      </c>
    </row>
    <row r="11464" spans="1:15" x14ac:dyDescent="0.35">
      <c r="A11464" t="s">
        <v>12281</v>
      </c>
      <c r="B11464" t="s">
        <v>12282</v>
      </c>
      <c r="C11464" t="s">
        <v>11188</v>
      </c>
      <c r="D11464" t="s">
        <v>314</v>
      </c>
      <c r="E11464" t="s">
        <v>300</v>
      </c>
      <c r="F11464" t="s">
        <v>12296</v>
      </c>
      <c r="G11464">
        <v>0</v>
      </c>
      <c r="H11464">
        <v>0</v>
      </c>
      <c r="I11464">
        <v>0</v>
      </c>
      <c r="J11464">
        <v>0</v>
      </c>
      <c r="K11464">
        <v>0</v>
      </c>
      <c r="L11464">
        <v>0</v>
      </c>
      <c r="M11464">
        <v>0</v>
      </c>
      <c r="N11464">
        <v>0</v>
      </c>
      <c r="O11464">
        <v>0</v>
      </c>
    </row>
    <row r="11465" spans="1:15" x14ac:dyDescent="0.35">
      <c r="A11465" t="s">
        <v>12281</v>
      </c>
      <c r="B11465" t="s">
        <v>12282</v>
      </c>
      <c r="C11465" t="s">
        <v>11188</v>
      </c>
      <c r="D11465" t="s">
        <v>314</v>
      </c>
      <c r="E11465" t="s">
        <v>306</v>
      </c>
      <c r="F11465" t="s">
        <v>12297</v>
      </c>
      <c r="G11465">
        <v>0</v>
      </c>
      <c r="H11465">
        <v>0</v>
      </c>
      <c r="I11465">
        <v>0</v>
      </c>
      <c r="J11465">
        <v>0</v>
      </c>
      <c r="K11465">
        <v>0</v>
      </c>
      <c r="L11465">
        <v>0</v>
      </c>
      <c r="M11465">
        <v>0</v>
      </c>
      <c r="N11465">
        <v>0</v>
      </c>
      <c r="O11465">
        <v>0</v>
      </c>
    </row>
    <row r="11466" spans="1:15" x14ac:dyDescent="0.35">
      <c r="A11466" t="s">
        <v>12281</v>
      </c>
      <c r="B11466" t="s">
        <v>12282</v>
      </c>
      <c r="C11466" t="s">
        <v>11188</v>
      </c>
      <c r="D11466" t="s">
        <v>314</v>
      </c>
      <c r="E11466" t="s">
        <v>308</v>
      </c>
      <c r="F11466" t="s">
        <v>12298</v>
      </c>
      <c r="G11466">
        <v>0</v>
      </c>
      <c r="H11466">
        <v>0</v>
      </c>
      <c r="I11466">
        <v>0</v>
      </c>
      <c r="J11466">
        <v>0</v>
      </c>
      <c r="K11466">
        <v>0</v>
      </c>
      <c r="L11466">
        <v>0</v>
      </c>
      <c r="M11466">
        <v>0</v>
      </c>
      <c r="N11466">
        <v>0</v>
      </c>
      <c r="O11466">
        <v>0</v>
      </c>
    </row>
    <row r="11467" spans="1:15" x14ac:dyDescent="0.35">
      <c r="A11467" t="s">
        <v>12281</v>
      </c>
      <c r="B11467" t="s">
        <v>12282</v>
      </c>
      <c r="C11467" t="s">
        <v>11188</v>
      </c>
      <c r="D11467" t="s">
        <v>314</v>
      </c>
      <c r="E11467" t="s">
        <v>312</v>
      </c>
      <c r="F11467" t="s">
        <v>12299</v>
      </c>
      <c r="G11467">
        <v>33</v>
      </c>
      <c r="H11467">
        <v>8773.77</v>
      </c>
      <c r="I11467">
        <v>265.87</v>
      </c>
      <c r="J11467">
        <v>0</v>
      </c>
      <c r="K11467">
        <v>0</v>
      </c>
      <c r="L11467">
        <v>0</v>
      </c>
      <c r="M11467">
        <v>33</v>
      </c>
      <c r="N11467">
        <v>8773.77</v>
      </c>
      <c r="O11467">
        <v>265.87</v>
      </c>
    </row>
    <row r="11468" spans="1:15" x14ac:dyDescent="0.35">
      <c r="A11468" t="s">
        <v>12281</v>
      </c>
      <c r="B11468" t="s">
        <v>12282</v>
      </c>
      <c r="C11468" t="s">
        <v>11188</v>
      </c>
      <c r="D11468" t="s">
        <v>314</v>
      </c>
      <c r="E11468" t="s">
        <v>310</v>
      </c>
      <c r="F11468" t="s">
        <v>12300</v>
      </c>
      <c r="G11468">
        <v>33</v>
      </c>
      <c r="H11468">
        <v>8773.77</v>
      </c>
      <c r="I11468">
        <v>265.87</v>
      </c>
      <c r="J11468">
        <v>0</v>
      </c>
      <c r="K11468">
        <v>0</v>
      </c>
      <c r="L11468">
        <v>0</v>
      </c>
      <c r="M11468">
        <v>33</v>
      </c>
      <c r="N11468">
        <v>8773.77</v>
      </c>
      <c r="O11468">
        <v>265.87</v>
      </c>
    </row>
    <row r="11469" spans="1:15" x14ac:dyDescent="0.35">
      <c r="A11469" t="s">
        <v>12281</v>
      </c>
      <c r="B11469" t="s">
        <v>12282</v>
      </c>
      <c r="C11469" t="s">
        <v>11188</v>
      </c>
      <c r="D11469" t="s">
        <v>323</v>
      </c>
      <c r="E11469" t="s">
        <v>294</v>
      </c>
      <c r="F11469" t="s">
        <v>12301</v>
      </c>
      <c r="G11469">
        <v>2610</v>
      </c>
      <c r="H11469">
        <v>361560.77</v>
      </c>
      <c r="I11469">
        <v>138.53</v>
      </c>
      <c r="J11469">
        <v>0</v>
      </c>
      <c r="K11469">
        <v>0</v>
      </c>
      <c r="L11469">
        <v>0</v>
      </c>
      <c r="M11469">
        <v>2610</v>
      </c>
      <c r="N11469">
        <v>361560.77</v>
      </c>
      <c r="O11469">
        <v>138.53</v>
      </c>
    </row>
    <row r="11470" spans="1:15" x14ac:dyDescent="0.35">
      <c r="A11470" t="s">
        <v>12281</v>
      </c>
      <c r="B11470" t="s">
        <v>12282</v>
      </c>
      <c r="C11470" t="s">
        <v>11188</v>
      </c>
      <c r="D11470" t="s">
        <v>323</v>
      </c>
      <c r="E11470" t="s">
        <v>296</v>
      </c>
      <c r="F11470" t="s">
        <v>12302</v>
      </c>
      <c r="G11470">
        <v>2623</v>
      </c>
      <c r="H11470">
        <v>405313.75999999995</v>
      </c>
      <c r="I11470">
        <v>154.52000000000001</v>
      </c>
      <c r="J11470">
        <v>0</v>
      </c>
      <c r="K11470">
        <v>0</v>
      </c>
      <c r="L11470">
        <v>0</v>
      </c>
      <c r="M11470">
        <v>2623</v>
      </c>
      <c r="N11470">
        <v>405313.75999999995</v>
      </c>
      <c r="O11470">
        <v>154.52000000000001</v>
      </c>
    </row>
    <row r="11471" spans="1:15" x14ac:dyDescent="0.35">
      <c r="A11471" t="s">
        <v>12281</v>
      </c>
      <c r="B11471" t="s">
        <v>12282</v>
      </c>
      <c r="C11471" t="s">
        <v>11188</v>
      </c>
      <c r="D11471" t="s">
        <v>323</v>
      </c>
      <c r="E11471" t="s">
        <v>298</v>
      </c>
      <c r="F11471" t="s">
        <v>12303</v>
      </c>
      <c r="G11471">
        <v>2162</v>
      </c>
      <c r="H11471">
        <v>357323.36999999994</v>
      </c>
      <c r="I11471">
        <v>165.27</v>
      </c>
      <c r="J11471">
        <v>0</v>
      </c>
      <c r="K11471">
        <v>0</v>
      </c>
      <c r="L11471">
        <v>0</v>
      </c>
      <c r="M11471">
        <v>2162</v>
      </c>
      <c r="N11471">
        <v>357323.36999999994</v>
      </c>
      <c r="O11471">
        <v>165.27</v>
      </c>
    </row>
    <row r="11472" spans="1:15" x14ac:dyDescent="0.35">
      <c r="A11472" t="s">
        <v>12281</v>
      </c>
      <c r="B11472" t="s">
        <v>12282</v>
      </c>
      <c r="C11472" t="s">
        <v>11188</v>
      </c>
      <c r="D11472" t="s">
        <v>323</v>
      </c>
      <c r="E11472" t="s">
        <v>300</v>
      </c>
      <c r="F11472" t="s">
        <v>12304</v>
      </c>
      <c r="G11472">
        <v>286</v>
      </c>
      <c r="H11472">
        <v>51722.669999999991</v>
      </c>
      <c r="I11472">
        <v>180.85</v>
      </c>
      <c r="J11472">
        <v>0</v>
      </c>
      <c r="K11472">
        <v>0</v>
      </c>
      <c r="L11472">
        <v>0</v>
      </c>
      <c r="M11472">
        <v>286</v>
      </c>
      <c r="N11472">
        <v>51722.669999999991</v>
      </c>
      <c r="O11472">
        <v>180.85</v>
      </c>
    </row>
    <row r="11473" spans="1:15" x14ac:dyDescent="0.35">
      <c r="A11473" t="s">
        <v>12281</v>
      </c>
      <c r="B11473" t="s">
        <v>12282</v>
      </c>
      <c r="C11473" t="s">
        <v>11188</v>
      </c>
      <c r="D11473" t="s">
        <v>323</v>
      </c>
      <c r="E11473" t="s">
        <v>302</v>
      </c>
      <c r="F11473" t="s">
        <v>12305</v>
      </c>
      <c r="G11473">
        <v>10</v>
      </c>
      <c r="H11473">
        <v>1931.3</v>
      </c>
      <c r="I11473">
        <v>193.13</v>
      </c>
      <c r="J11473">
        <v>0</v>
      </c>
      <c r="K11473">
        <v>0</v>
      </c>
      <c r="L11473">
        <v>0</v>
      </c>
      <c r="M11473">
        <v>10</v>
      </c>
      <c r="N11473">
        <v>1931.3</v>
      </c>
      <c r="O11473">
        <v>193.13</v>
      </c>
    </row>
    <row r="11474" spans="1:15" x14ac:dyDescent="0.35">
      <c r="A11474" t="s">
        <v>12281</v>
      </c>
      <c r="B11474" t="s">
        <v>12282</v>
      </c>
      <c r="C11474" t="s">
        <v>11188</v>
      </c>
      <c r="D11474" t="s">
        <v>323</v>
      </c>
      <c r="E11474" t="s">
        <v>304</v>
      </c>
      <c r="F11474" t="s">
        <v>12306</v>
      </c>
      <c r="G11474">
        <v>1</v>
      </c>
      <c r="H11474">
        <v>218.78</v>
      </c>
      <c r="I11474">
        <v>218.78</v>
      </c>
      <c r="J11474">
        <v>0</v>
      </c>
      <c r="K11474">
        <v>0</v>
      </c>
      <c r="L11474">
        <v>0</v>
      </c>
      <c r="M11474">
        <v>1</v>
      </c>
      <c r="N11474">
        <v>218.78</v>
      </c>
      <c r="O11474">
        <v>218.78</v>
      </c>
    </row>
    <row r="11475" spans="1:15" x14ac:dyDescent="0.35">
      <c r="A11475" t="s">
        <v>12281</v>
      </c>
      <c r="B11475" t="s">
        <v>12282</v>
      </c>
      <c r="C11475" t="s">
        <v>11188</v>
      </c>
      <c r="D11475" t="s">
        <v>323</v>
      </c>
      <c r="E11475" t="s">
        <v>306</v>
      </c>
      <c r="F11475" t="s">
        <v>12307</v>
      </c>
      <c r="G11475">
        <v>139</v>
      </c>
      <c r="H11475">
        <v>18670.240000000002</v>
      </c>
      <c r="I11475">
        <v>134.32</v>
      </c>
      <c r="J11475">
        <v>0</v>
      </c>
      <c r="K11475">
        <v>0</v>
      </c>
      <c r="L11475">
        <v>0</v>
      </c>
      <c r="M11475">
        <v>139</v>
      </c>
      <c r="N11475">
        <v>18670.240000000002</v>
      </c>
      <c r="O11475">
        <v>134.32</v>
      </c>
    </row>
    <row r="11476" spans="1:15" x14ac:dyDescent="0.35">
      <c r="A11476" t="s">
        <v>12281</v>
      </c>
      <c r="B11476" t="s">
        <v>12282</v>
      </c>
      <c r="C11476" t="s">
        <v>11188</v>
      </c>
      <c r="D11476" t="s">
        <v>323</v>
      </c>
      <c r="E11476" t="s">
        <v>308</v>
      </c>
      <c r="F11476" t="s">
        <v>12308</v>
      </c>
      <c r="G11476">
        <v>0</v>
      </c>
      <c r="H11476">
        <v>0</v>
      </c>
      <c r="I11476">
        <v>0</v>
      </c>
      <c r="J11476">
        <v>0</v>
      </c>
      <c r="K11476">
        <v>0</v>
      </c>
      <c r="L11476">
        <v>0</v>
      </c>
      <c r="M11476">
        <v>0</v>
      </c>
      <c r="N11476">
        <v>0</v>
      </c>
      <c r="O11476">
        <v>0</v>
      </c>
    </row>
    <row r="11477" spans="1:15" x14ac:dyDescent="0.35">
      <c r="A11477" t="s">
        <v>12281</v>
      </c>
      <c r="B11477" t="s">
        <v>12282</v>
      </c>
      <c r="C11477" t="s">
        <v>11188</v>
      </c>
      <c r="D11477" t="s">
        <v>323</v>
      </c>
      <c r="E11477" t="s">
        <v>310</v>
      </c>
      <c r="F11477" t="s">
        <v>12309</v>
      </c>
      <c r="G11477">
        <v>7831</v>
      </c>
      <c r="H11477">
        <v>1196740.8899999999</v>
      </c>
      <c r="I11477">
        <v>152.82</v>
      </c>
      <c r="J11477">
        <v>0</v>
      </c>
      <c r="K11477">
        <v>0</v>
      </c>
      <c r="L11477">
        <v>0</v>
      </c>
      <c r="M11477">
        <v>7831</v>
      </c>
      <c r="N11477">
        <v>1196740.8899999999</v>
      </c>
      <c r="O11477">
        <v>152.82</v>
      </c>
    </row>
    <row r="11478" spans="1:15" x14ac:dyDescent="0.35">
      <c r="A11478" t="s">
        <v>12281</v>
      </c>
      <c r="B11478" t="s">
        <v>12282</v>
      </c>
      <c r="C11478" t="s">
        <v>11188</v>
      </c>
      <c r="D11478" t="s">
        <v>323</v>
      </c>
      <c r="E11478" t="s">
        <v>312</v>
      </c>
      <c r="F11478" t="s">
        <v>12310</v>
      </c>
      <c r="G11478">
        <v>7831</v>
      </c>
      <c r="H11478">
        <v>1196740.8899999999</v>
      </c>
      <c r="I11478">
        <v>152.82</v>
      </c>
      <c r="J11478">
        <v>0</v>
      </c>
      <c r="K11478">
        <v>0</v>
      </c>
      <c r="L11478">
        <v>0</v>
      </c>
      <c r="M11478">
        <v>7831</v>
      </c>
      <c r="N11478">
        <v>1196740.8899999999</v>
      </c>
      <c r="O11478">
        <v>152.82</v>
      </c>
    </row>
    <row r="11479" spans="1:15" x14ac:dyDescent="0.35">
      <c r="A11479" t="s">
        <v>12281</v>
      </c>
      <c r="B11479" t="s">
        <v>12282</v>
      </c>
      <c r="C11479" t="s">
        <v>11188</v>
      </c>
      <c r="D11479" t="s">
        <v>334</v>
      </c>
      <c r="E11479" t="s">
        <v>312</v>
      </c>
      <c r="F11479" t="s">
        <v>12311</v>
      </c>
      <c r="G11479">
        <v>8838</v>
      </c>
      <c r="H11479">
        <v>1410336.4999999998</v>
      </c>
      <c r="I11479">
        <v>162.09</v>
      </c>
      <c r="J11479">
        <v>0</v>
      </c>
      <c r="K11479">
        <v>0</v>
      </c>
      <c r="L11479">
        <v>0</v>
      </c>
      <c r="M11479">
        <v>8838</v>
      </c>
      <c r="N11479">
        <v>1410336.4999999998</v>
      </c>
      <c r="O11479">
        <v>162.09</v>
      </c>
    </row>
    <row r="11480" spans="1:15" x14ac:dyDescent="0.35">
      <c r="A11480" t="s">
        <v>12281</v>
      </c>
      <c r="B11480" t="s">
        <v>12282</v>
      </c>
      <c r="C11480" t="s">
        <v>11188</v>
      </c>
      <c r="D11480" t="s">
        <v>334</v>
      </c>
      <c r="E11480" t="s">
        <v>308</v>
      </c>
      <c r="F11480" t="s">
        <v>12312</v>
      </c>
      <c r="G11480">
        <v>0</v>
      </c>
      <c r="H11480">
        <v>0</v>
      </c>
      <c r="I11480">
        <v>0</v>
      </c>
      <c r="J11480">
        <v>0</v>
      </c>
      <c r="K11480">
        <v>0</v>
      </c>
      <c r="L11480">
        <v>0</v>
      </c>
      <c r="M11480">
        <v>0</v>
      </c>
      <c r="N11480">
        <v>0</v>
      </c>
      <c r="O11480">
        <v>0</v>
      </c>
    </row>
    <row r="11481" spans="1:15" x14ac:dyDescent="0.35">
      <c r="A11481" t="s">
        <v>12281</v>
      </c>
      <c r="B11481" t="s">
        <v>12282</v>
      </c>
      <c r="C11481" t="s">
        <v>11188</v>
      </c>
      <c r="D11481" t="s">
        <v>337</v>
      </c>
      <c r="E11481" t="s">
        <v>337</v>
      </c>
      <c r="F11481" t="s">
        <v>12313</v>
      </c>
      <c r="G11481">
        <v>435</v>
      </c>
      <c r="J11481">
        <v>0</v>
      </c>
      <c r="M11481">
        <v>435</v>
      </c>
    </row>
    <row r="11482" spans="1:15" x14ac:dyDescent="0.35">
      <c r="A11482" t="s">
        <v>12281</v>
      </c>
      <c r="B11482" t="s">
        <v>12282</v>
      </c>
      <c r="C11482" t="s">
        <v>11188</v>
      </c>
      <c r="D11482" t="s">
        <v>339</v>
      </c>
      <c r="E11482" t="s">
        <v>294</v>
      </c>
      <c r="F11482" t="s">
        <v>12314</v>
      </c>
      <c r="G11482">
        <v>731</v>
      </c>
      <c r="H11482">
        <v>109217.41000000002</v>
      </c>
      <c r="I11482">
        <v>149.41</v>
      </c>
      <c r="J11482">
        <v>0</v>
      </c>
      <c r="K11482">
        <v>0</v>
      </c>
      <c r="L11482">
        <v>0</v>
      </c>
      <c r="M11482">
        <v>731</v>
      </c>
      <c r="N11482">
        <v>109217.41000000002</v>
      </c>
      <c r="O11482">
        <v>149.41</v>
      </c>
    </row>
    <row r="11483" spans="1:15" x14ac:dyDescent="0.35">
      <c r="A11483" t="s">
        <v>12281</v>
      </c>
      <c r="B11483" t="s">
        <v>12282</v>
      </c>
      <c r="C11483" t="s">
        <v>11188</v>
      </c>
      <c r="D11483" t="s">
        <v>339</v>
      </c>
      <c r="E11483" t="s">
        <v>296</v>
      </c>
      <c r="F11483" t="s">
        <v>12315</v>
      </c>
      <c r="G11483">
        <v>54</v>
      </c>
      <c r="H11483">
        <v>9419.4600000000009</v>
      </c>
      <c r="I11483">
        <v>174.43</v>
      </c>
      <c r="J11483">
        <v>0</v>
      </c>
      <c r="K11483">
        <v>0</v>
      </c>
      <c r="L11483">
        <v>0</v>
      </c>
      <c r="M11483">
        <v>54</v>
      </c>
      <c r="N11483">
        <v>9419.4600000000009</v>
      </c>
      <c r="O11483">
        <v>174.43</v>
      </c>
    </row>
    <row r="11484" spans="1:15" x14ac:dyDescent="0.35">
      <c r="A11484" t="s">
        <v>12281</v>
      </c>
      <c r="B11484" t="s">
        <v>12282</v>
      </c>
      <c r="C11484" t="s">
        <v>11188</v>
      </c>
      <c r="D11484" t="s">
        <v>339</v>
      </c>
      <c r="E11484" t="s">
        <v>298</v>
      </c>
      <c r="F11484" t="s">
        <v>12316</v>
      </c>
      <c r="G11484">
        <v>2</v>
      </c>
      <c r="H11484">
        <v>367.53999999999996</v>
      </c>
      <c r="I11484">
        <v>183.77</v>
      </c>
      <c r="J11484">
        <v>0</v>
      </c>
      <c r="K11484">
        <v>0</v>
      </c>
      <c r="L11484">
        <v>0</v>
      </c>
      <c r="M11484">
        <v>2</v>
      </c>
      <c r="N11484">
        <v>367.53999999999996</v>
      </c>
      <c r="O11484">
        <v>183.77</v>
      </c>
    </row>
    <row r="11485" spans="1:15" x14ac:dyDescent="0.35">
      <c r="A11485" t="s">
        <v>12281</v>
      </c>
      <c r="B11485" t="s">
        <v>12282</v>
      </c>
      <c r="C11485" t="s">
        <v>11188</v>
      </c>
      <c r="D11485" t="s">
        <v>339</v>
      </c>
      <c r="E11485" t="s">
        <v>300</v>
      </c>
      <c r="F11485" t="s">
        <v>12317</v>
      </c>
      <c r="G11485">
        <v>0</v>
      </c>
      <c r="H11485">
        <v>0</v>
      </c>
      <c r="I11485">
        <v>0</v>
      </c>
      <c r="J11485">
        <v>0</v>
      </c>
      <c r="K11485">
        <v>0</v>
      </c>
      <c r="L11485">
        <v>0</v>
      </c>
      <c r="M11485">
        <v>0</v>
      </c>
      <c r="N11485">
        <v>0</v>
      </c>
      <c r="O11485">
        <v>0</v>
      </c>
    </row>
    <row r="11486" spans="1:15" x14ac:dyDescent="0.35">
      <c r="A11486" t="s">
        <v>12281</v>
      </c>
      <c r="B11486" t="s">
        <v>12282</v>
      </c>
      <c r="C11486" t="s">
        <v>11188</v>
      </c>
      <c r="D11486" t="s">
        <v>339</v>
      </c>
      <c r="E11486" t="s">
        <v>306</v>
      </c>
      <c r="F11486" t="s">
        <v>12318</v>
      </c>
      <c r="G11486">
        <v>113</v>
      </c>
      <c r="H11486">
        <v>16792.55</v>
      </c>
      <c r="I11486">
        <v>148.61000000000001</v>
      </c>
      <c r="J11486">
        <v>0</v>
      </c>
      <c r="K11486">
        <v>0</v>
      </c>
      <c r="L11486">
        <v>0</v>
      </c>
      <c r="M11486">
        <v>113</v>
      </c>
      <c r="N11486">
        <v>16792.55</v>
      </c>
      <c r="O11486">
        <v>148.61000000000001</v>
      </c>
    </row>
    <row r="11487" spans="1:15" x14ac:dyDescent="0.35">
      <c r="A11487" t="s">
        <v>12281</v>
      </c>
      <c r="B11487" t="s">
        <v>12282</v>
      </c>
      <c r="C11487" t="s">
        <v>11188</v>
      </c>
      <c r="D11487" t="s">
        <v>339</v>
      </c>
      <c r="E11487" t="s">
        <v>308</v>
      </c>
      <c r="F11487" t="s">
        <v>12319</v>
      </c>
      <c r="G11487">
        <v>77</v>
      </c>
      <c r="H11487">
        <v>13042.88</v>
      </c>
      <c r="I11487">
        <v>169.39</v>
      </c>
      <c r="J11487">
        <v>0</v>
      </c>
      <c r="K11487">
        <v>0</v>
      </c>
      <c r="L11487">
        <v>0</v>
      </c>
      <c r="M11487">
        <v>77</v>
      </c>
      <c r="N11487">
        <v>13042.88</v>
      </c>
      <c r="O11487">
        <v>169.39</v>
      </c>
    </row>
    <row r="11488" spans="1:15" x14ac:dyDescent="0.35">
      <c r="A11488" t="s">
        <v>12281</v>
      </c>
      <c r="B11488" t="s">
        <v>12282</v>
      </c>
      <c r="C11488" t="s">
        <v>11188</v>
      </c>
      <c r="D11488" t="s">
        <v>339</v>
      </c>
      <c r="E11488" t="s">
        <v>310</v>
      </c>
      <c r="F11488" t="s">
        <v>12320</v>
      </c>
      <c r="G11488">
        <v>977</v>
      </c>
      <c r="H11488">
        <v>148839.84000000003</v>
      </c>
      <c r="I11488">
        <v>152.34</v>
      </c>
      <c r="J11488">
        <v>0</v>
      </c>
      <c r="K11488">
        <v>0</v>
      </c>
      <c r="L11488">
        <v>0</v>
      </c>
      <c r="M11488">
        <v>977</v>
      </c>
      <c r="N11488">
        <v>148839.84000000003</v>
      </c>
      <c r="O11488">
        <v>152.34</v>
      </c>
    </row>
    <row r="11489" spans="1:15" x14ac:dyDescent="0.35">
      <c r="A11489" t="s">
        <v>12281</v>
      </c>
      <c r="B11489" t="s">
        <v>12282</v>
      </c>
      <c r="C11489" t="s">
        <v>11188</v>
      </c>
      <c r="D11489" t="s">
        <v>339</v>
      </c>
      <c r="E11489" t="s">
        <v>312</v>
      </c>
      <c r="F11489" t="s">
        <v>12321</v>
      </c>
      <c r="G11489">
        <v>900</v>
      </c>
      <c r="H11489">
        <v>135796.96000000002</v>
      </c>
      <c r="I11489">
        <v>150.88999999999999</v>
      </c>
      <c r="J11489">
        <v>0</v>
      </c>
      <c r="K11489">
        <v>0</v>
      </c>
      <c r="L11489">
        <v>0</v>
      </c>
      <c r="M11489">
        <v>900</v>
      </c>
      <c r="N11489">
        <v>135796.96000000002</v>
      </c>
      <c r="O11489">
        <v>150.88999999999999</v>
      </c>
    </row>
    <row r="11490" spans="1:15" x14ac:dyDescent="0.35">
      <c r="A11490" t="s">
        <v>12281</v>
      </c>
      <c r="B11490" t="s">
        <v>12282</v>
      </c>
      <c r="C11490" t="s">
        <v>11188</v>
      </c>
      <c r="D11490" t="s">
        <v>348</v>
      </c>
      <c r="E11490" t="s">
        <v>349</v>
      </c>
      <c r="F11490" t="s">
        <v>12322</v>
      </c>
      <c r="G11490">
        <v>1070</v>
      </c>
      <c r="H11490">
        <v>157613.61000000002</v>
      </c>
      <c r="I11490">
        <v>156.05000000000001</v>
      </c>
      <c r="J11490">
        <v>0</v>
      </c>
      <c r="K11490">
        <v>0</v>
      </c>
      <c r="L11490">
        <v>0</v>
      </c>
      <c r="M11490">
        <v>1070</v>
      </c>
      <c r="N11490">
        <v>157613.61000000002</v>
      </c>
      <c r="O11490">
        <v>156.05000000000001</v>
      </c>
    </row>
    <row r="11491" spans="1:15" x14ac:dyDescent="0.35">
      <c r="A11491" t="s">
        <v>12323</v>
      </c>
      <c r="B11491" t="s">
        <v>157</v>
      </c>
      <c r="C11491" t="s">
        <v>11188</v>
      </c>
      <c r="D11491" t="s">
        <v>293</v>
      </c>
      <c r="E11491" t="s">
        <v>294</v>
      </c>
      <c r="F11491" t="s">
        <v>12324</v>
      </c>
      <c r="G11491">
        <v>543</v>
      </c>
      <c r="H11491">
        <v>118770.54999999999</v>
      </c>
      <c r="I11491">
        <v>218.73</v>
      </c>
      <c r="J11491">
        <v>0</v>
      </c>
      <c r="K11491">
        <v>0</v>
      </c>
      <c r="L11491">
        <v>0</v>
      </c>
      <c r="M11491">
        <v>543</v>
      </c>
      <c r="N11491">
        <v>118770.54999999999</v>
      </c>
      <c r="O11491">
        <v>218.73</v>
      </c>
    </row>
    <row r="11492" spans="1:15" x14ac:dyDescent="0.35">
      <c r="A11492" t="s">
        <v>12323</v>
      </c>
      <c r="B11492" t="s">
        <v>157</v>
      </c>
      <c r="C11492" t="s">
        <v>11188</v>
      </c>
      <c r="D11492" t="s">
        <v>293</v>
      </c>
      <c r="E11492" t="s">
        <v>296</v>
      </c>
      <c r="F11492" t="s">
        <v>12325</v>
      </c>
      <c r="G11492">
        <v>624</v>
      </c>
      <c r="H11492">
        <v>166115.44</v>
      </c>
      <c r="I11492">
        <v>266.20999999999998</v>
      </c>
      <c r="J11492">
        <v>0</v>
      </c>
      <c r="K11492">
        <v>0</v>
      </c>
      <c r="L11492">
        <v>0</v>
      </c>
      <c r="M11492">
        <v>624</v>
      </c>
      <c r="N11492">
        <v>166115.44</v>
      </c>
      <c r="O11492">
        <v>266.20999999999998</v>
      </c>
    </row>
    <row r="11493" spans="1:15" x14ac:dyDescent="0.35">
      <c r="A11493" t="s">
        <v>12323</v>
      </c>
      <c r="B11493" t="s">
        <v>157</v>
      </c>
      <c r="C11493" t="s">
        <v>11188</v>
      </c>
      <c r="D11493" t="s">
        <v>293</v>
      </c>
      <c r="E11493" t="s">
        <v>298</v>
      </c>
      <c r="F11493" t="s">
        <v>12326</v>
      </c>
      <c r="G11493">
        <v>117</v>
      </c>
      <c r="H11493">
        <v>28280.180000000008</v>
      </c>
      <c r="I11493">
        <v>241.71</v>
      </c>
      <c r="J11493">
        <v>0</v>
      </c>
      <c r="K11493">
        <v>0</v>
      </c>
      <c r="L11493">
        <v>0</v>
      </c>
      <c r="M11493">
        <v>117</v>
      </c>
      <c r="N11493">
        <v>28280.180000000008</v>
      </c>
      <c r="O11493">
        <v>241.71</v>
      </c>
    </row>
    <row r="11494" spans="1:15" x14ac:dyDescent="0.35">
      <c r="A11494" t="s">
        <v>12323</v>
      </c>
      <c r="B11494" t="s">
        <v>157</v>
      </c>
      <c r="C11494" t="s">
        <v>11188</v>
      </c>
      <c r="D11494" t="s">
        <v>293</v>
      </c>
      <c r="E11494" t="s">
        <v>300</v>
      </c>
      <c r="F11494" t="s">
        <v>12327</v>
      </c>
      <c r="G11494">
        <v>20</v>
      </c>
      <c r="H11494">
        <v>5829.85</v>
      </c>
      <c r="I11494">
        <v>291.49</v>
      </c>
      <c r="J11494">
        <v>0</v>
      </c>
      <c r="K11494">
        <v>0</v>
      </c>
      <c r="L11494">
        <v>0</v>
      </c>
      <c r="M11494">
        <v>20</v>
      </c>
      <c r="N11494">
        <v>5829.85</v>
      </c>
      <c r="O11494">
        <v>291.49</v>
      </c>
    </row>
    <row r="11495" spans="1:15" x14ac:dyDescent="0.35">
      <c r="A11495" t="s">
        <v>12323</v>
      </c>
      <c r="B11495" t="s">
        <v>157</v>
      </c>
      <c r="C11495" t="s">
        <v>11188</v>
      </c>
      <c r="D11495" t="s">
        <v>293</v>
      </c>
      <c r="E11495" t="s">
        <v>302</v>
      </c>
      <c r="F11495" t="s">
        <v>12328</v>
      </c>
      <c r="G11495">
        <v>0</v>
      </c>
      <c r="H11495">
        <v>0</v>
      </c>
      <c r="I11495">
        <v>0</v>
      </c>
      <c r="J11495">
        <v>0</v>
      </c>
      <c r="K11495">
        <v>0</v>
      </c>
      <c r="L11495">
        <v>0</v>
      </c>
      <c r="M11495">
        <v>0</v>
      </c>
      <c r="N11495">
        <v>0</v>
      </c>
      <c r="O11495">
        <v>0</v>
      </c>
    </row>
    <row r="11496" spans="1:15" x14ac:dyDescent="0.35">
      <c r="A11496" t="s">
        <v>12323</v>
      </c>
      <c r="B11496" t="s">
        <v>157</v>
      </c>
      <c r="C11496" t="s">
        <v>11188</v>
      </c>
      <c r="D11496" t="s">
        <v>293</v>
      </c>
      <c r="E11496" t="s">
        <v>304</v>
      </c>
      <c r="F11496" t="s">
        <v>12329</v>
      </c>
      <c r="G11496">
        <v>3</v>
      </c>
      <c r="H11496">
        <v>770</v>
      </c>
      <c r="I11496">
        <v>256.67</v>
      </c>
      <c r="J11496">
        <v>0</v>
      </c>
      <c r="K11496">
        <v>0</v>
      </c>
      <c r="L11496">
        <v>0</v>
      </c>
      <c r="M11496">
        <v>3</v>
      </c>
      <c r="N11496">
        <v>770</v>
      </c>
      <c r="O11496">
        <v>256.67</v>
      </c>
    </row>
    <row r="11497" spans="1:15" x14ac:dyDescent="0.35">
      <c r="A11497" t="s">
        <v>12323</v>
      </c>
      <c r="B11497" t="s">
        <v>157</v>
      </c>
      <c r="C11497" t="s">
        <v>11188</v>
      </c>
      <c r="D11497" t="s">
        <v>293</v>
      </c>
      <c r="E11497" t="s">
        <v>306</v>
      </c>
      <c r="F11497" t="s">
        <v>12330</v>
      </c>
      <c r="G11497">
        <v>54</v>
      </c>
      <c r="H11497">
        <v>8859.58</v>
      </c>
      <c r="I11497">
        <v>164.07</v>
      </c>
      <c r="J11497">
        <v>0</v>
      </c>
      <c r="K11497">
        <v>0</v>
      </c>
      <c r="L11497">
        <v>0</v>
      </c>
      <c r="M11497">
        <v>54</v>
      </c>
      <c r="N11497">
        <v>8859.58</v>
      </c>
      <c r="O11497">
        <v>164.07</v>
      </c>
    </row>
    <row r="11498" spans="1:15" x14ac:dyDescent="0.35">
      <c r="A11498" t="s">
        <v>12323</v>
      </c>
      <c r="B11498" t="s">
        <v>157</v>
      </c>
      <c r="C11498" t="s">
        <v>11188</v>
      </c>
      <c r="D11498" t="s">
        <v>293</v>
      </c>
      <c r="E11498" t="s">
        <v>308</v>
      </c>
      <c r="F11498" t="s">
        <v>12331</v>
      </c>
      <c r="G11498">
        <v>0</v>
      </c>
      <c r="H11498">
        <v>0</v>
      </c>
      <c r="I11498">
        <v>0</v>
      </c>
      <c r="J11498">
        <v>0</v>
      </c>
      <c r="K11498">
        <v>0</v>
      </c>
      <c r="L11498">
        <v>0</v>
      </c>
      <c r="M11498">
        <v>0</v>
      </c>
      <c r="N11498">
        <v>0</v>
      </c>
      <c r="O11498">
        <v>0</v>
      </c>
    </row>
    <row r="11499" spans="1:15" x14ac:dyDescent="0.35">
      <c r="A11499" t="s">
        <v>12323</v>
      </c>
      <c r="B11499" t="s">
        <v>157</v>
      </c>
      <c r="C11499" t="s">
        <v>11188</v>
      </c>
      <c r="D11499" t="s">
        <v>293</v>
      </c>
      <c r="E11499" t="s">
        <v>310</v>
      </c>
      <c r="F11499" t="s">
        <v>12332</v>
      </c>
      <c r="G11499">
        <v>1361</v>
      </c>
      <c r="H11499">
        <v>328625.59999999998</v>
      </c>
      <c r="I11499">
        <v>241.46</v>
      </c>
      <c r="J11499">
        <v>0</v>
      </c>
      <c r="K11499">
        <v>0</v>
      </c>
      <c r="L11499">
        <v>0</v>
      </c>
      <c r="M11499">
        <v>1361</v>
      </c>
      <c r="N11499">
        <v>328625.59999999998</v>
      </c>
      <c r="O11499">
        <v>241.46</v>
      </c>
    </row>
    <row r="11500" spans="1:15" x14ac:dyDescent="0.35">
      <c r="A11500" t="s">
        <v>12323</v>
      </c>
      <c r="B11500" t="s">
        <v>157</v>
      </c>
      <c r="C11500" t="s">
        <v>11188</v>
      </c>
      <c r="D11500" t="s">
        <v>293</v>
      </c>
      <c r="E11500" t="s">
        <v>312</v>
      </c>
      <c r="F11500" t="s">
        <v>12333</v>
      </c>
      <c r="G11500">
        <v>1361</v>
      </c>
      <c r="H11500">
        <v>328625.59999999998</v>
      </c>
      <c r="I11500">
        <v>241.46</v>
      </c>
      <c r="J11500">
        <v>0</v>
      </c>
      <c r="K11500">
        <v>0</v>
      </c>
      <c r="L11500">
        <v>0</v>
      </c>
      <c r="M11500">
        <v>1361</v>
      </c>
      <c r="N11500">
        <v>328625.59999999998</v>
      </c>
      <c r="O11500">
        <v>241.46</v>
      </c>
    </row>
    <row r="11501" spans="1:15" x14ac:dyDescent="0.35">
      <c r="A11501" t="s">
        <v>12323</v>
      </c>
      <c r="B11501" t="s">
        <v>157</v>
      </c>
      <c r="C11501" t="s">
        <v>11188</v>
      </c>
      <c r="D11501" t="s">
        <v>314</v>
      </c>
      <c r="E11501" t="s">
        <v>294</v>
      </c>
      <c r="F11501" t="s">
        <v>12334</v>
      </c>
      <c r="G11501">
        <v>22</v>
      </c>
      <c r="H11501">
        <v>5755.88</v>
      </c>
      <c r="I11501">
        <v>261.63</v>
      </c>
      <c r="J11501">
        <v>0</v>
      </c>
      <c r="K11501">
        <v>0</v>
      </c>
      <c r="L11501">
        <v>0</v>
      </c>
      <c r="M11501">
        <v>22</v>
      </c>
      <c r="N11501">
        <v>5755.88</v>
      </c>
      <c r="O11501">
        <v>261.63</v>
      </c>
    </row>
    <row r="11502" spans="1:15" x14ac:dyDescent="0.35">
      <c r="A11502" t="s">
        <v>12323</v>
      </c>
      <c r="B11502" t="s">
        <v>157</v>
      </c>
      <c r="C11502" t="s">
        <v>11188</v>
      </c>
      <c r="D11502" t="s">
        <v>314</v>
      </c>
      <c r="E11502" t="s">
        <v>296</v>
      </c>
      <c r="F11502" t="s">
        <v>12335</v>
      </c>
      <c r="G11502">
        <v>0</v>
      </c>
      <c r="H11502">
        <v>0</v>
      </c>
      <c r="I11502">
        <v>0</v>
      </c>
      <c r="J11502">
        <v>0</v>
      </c>
      <c r="K11502">
        <v>0</v>
      </c>
      <c r="L11502">
        <v>0</v>
      </c>
      <c r="M11502">
        <v>0</v>
      </c>
      <c r="N11502">
        <v>0</v>
      </c>
      <c r="O11502">
        <v>0</v>
      </c>
    </row>
    <row r="11503" spans="1:15" x14ac:dyDescent="0.35">
      <c r="A11503" t="s">
        <v>12323</v>
      </c>
      <c r="B11503" t="s">
        <v>157</v>
      </c>
      <c r="C11503" t="s">
        <v>11188</v>
      </c>
      <c r="D11503" t="s">
        <v>314</v>
      </c>
      <c r="E11503" t="s">
        <v>298</v>
      </c>
      <c r="F11503" t="s">
        <v>12336</v>
      </c>
      <c r="G11503">
        <v>0</v>
      </c>
      <c r="H11503">
        <v>0</v>
      </c>
      <c r="I11503">
        <v>0</v>
      </c>
      <c r="J11503">
        <v>0</v>
      </c>
      <c r="K11503">
        <v>0</v>
      </c>
      <c r="L11503">
        <v>0</v>
      </c>
      <c r="M11503">
        <v>0</v>
      </c>
      <c r="N11503">
        <v>0</v>
      </c>
      <c r="O11503">
        <v>0</v>
      </c>
    </row>
    <row r="11504" spans="1:15" x14ac:dyDescent="0.35">
      <c r="A11504" t="s">
        <v>12323</v>
      </c>
      <c r="B11504" t="s">
        <v>157</v>
      </c>
      <c r="C11504" t="s">
        <v>11188</v>
      </c>
      <c r="D11504" t="s">
        <v>314</v>
      </c>
      <c r="E11504" t="s">
        <v>300</v>
      </c>
      <c r="F11504" t="s">
        <v>12337</v>
      </c>
      <c r="G11504">
        <v>0</v>
      </c>
      <c r="H11504">
        <v>0</v>
      </c>
      <c r="I11504">
        <v>0</v>
      </c>
      <c r="J11504">
        <v>0</v>
      </c>
      <c r="K11504">
        <v>0</v>
      </c>
      <c r="L11504">
        <v>0</v>
      </c>
      <c r="M11504">
        <v>0</v>
      </c>
      <c r="N11504">
        <v>0</v>
      </c>
      <c r="O11504">
        <v>0</v>
      </c>
    </row>
    <row r="11505" spans="1:15" x14ac:dyDescent="0.35">
      <c r="A11505" t="s">
        <v>12323</v>
      </c>
      <c r="B11505" t="s">
        <v>157</v>
      </c>
      <c r="C11505" t="s">
        <v>11188</v>
      </c>
      <c r="D11505" t="s">
        <v>314</v>
      </c>
      <c r="E11505" t="s">
        <v>306</v>
      </c>
      <c r="F11505" t="s">
        <v>12338</v>
      </c>
      <c r="G11505">
        <v>0</v>
      </c>
      <c r="H11505">
        <v>0</v>
      </c>
      <c r="I11505">
        <v>0</v>
      </c>
      <c r="J11505">
        <v>0</v>
      </c>
      <c r="K11505">
        <v>0</v>
      </c>
      <c r="L11505">
        <v>0</v>
      </c>
      <c r="M11505">
        <v>0</v>
      </c>
      <c r="N11505">
        <v>0</v>
      </c>
      <c r="O11505">
        <v>0</v>
      </c>
    </row>
    <row r="11506" spans="1:15" x14ac:dyDescent="0.35">
      <c r="A11506" t="s">
        <v>12323</v>
      </c>
      <c r="B11506" t="s">
        <v>157</v>
      </c>
      <c r="C11506" t="s">
        <v>11188</v>
      </c>
      <c r="D11506" t="s">
        <v>314</v>
      </c>
      <c r="E11506" t="s">
        <v>308</v>
      </c>
      <c r="F11506" t="s">
        <v>12339</v>
      </c>
      <c r="G11506">
        <v>1</v>
      </c>
      <c r="H11506">
        <v>127.58</v>
      </c>
      <c r="I11506">
        <v>127.58</v>
      </c>
      <c r="J11506">
        <v>0</v>
      </c>
      <c r="K11506">
        <v>0</v>
      </c>
      <c r="L11506">
        <v>0</v>
      </c>
      <c r="M11506">
        <v>1</v>
      </c>
      <c r="N11506">
        <v>127.58</v>
      </c>
      <c r="O11506">
        <v>127.58</v>
      </c>
    </row>
    <row r="11507" spans="1:15" x14ac:dyDescent="0.35">
      <c r="A11507" t="s">
        <v>12323</v>
      </c>
      <c r="B11507" t="s">
        <v>157</v>
      </c>
      <c r="C11507" t="s">
        <v>11188</v>
      </c>
      <c r="D11507" t="s">
        <v>314</v>
      </c>
      <c r="E11507" t="s">
        <v>312</v>
      </c>
      <c r="F11507" t="s">
        <v>12340</v>
      </c>
      <c r="G11507">
        <v>22</v>
      </c>
      <c r="H11507">
        <v>5755.88</v>
      </c>
      <c r="I11507">
        <v>261.63</v>
      </c>
      <c r="J11507">
        <v>0</v>
      </c>
      <c r="K11507">
        <v>0</v>
      </c>
      <c r="L11507">
        <v>0</v>
      </c>
      <c r="M11507">
        <v>22</v>
      </c>
      <c r="N11507">
        <v>5755.88</v>
      </c>
      <c r="O11507">
        <v>261.63</v>
      </c>
    </row>
    <row r="11508" spans="1:15" x14ac:dyDescent="0.35">
      <c r="A11508" t="s">
        <v>12323</v>
      </c>
      <c r="B11508" t="s">
        <v>157</v>
      </c>
      <c r="C11508" t="s">
        <v>11188</v>
      </c>
      <c r="D11508" t="s">
        <v>314</v>
      </c>
      <c r="E11508" t="s">
        <v>310</v>
      </c>
      <c r="F11508" t="s">
        <v>12341</v>
      </c>
      <c r="G11508">
        <v>23</v>
      </c>
      <c r="H11508">
        <v>5883.46</v>
      </c>
      <c r="I11508">
        <v>255.8</v>
      </c>
      <c r="J11508">
        <v>0</v>
      </c>
      <c r="K11508">
        <v>0</v>
      </c>
      <c r="L11508">
        <v>0</v>
      </c>
      <c r="M11508">
        <v>23</v>
      </c>
      <c r="N11508">
        <v>5883.46</v>
      </c>
      <c r="O11508">
        <v>255.8</v>
      </c>
    </row>
    <row r="11509" spans="1:15" x14ac:dyDescent="0.35">
      <c r="A11509" t="s">
        <v>12323</v>
      </c>
      <c r="B11509" t="s">
        <v>157</v>
      </c>
      <c r="C11509" t="s">
        <v>11188</v>
      </c>
      <c r="D11509" t="s">
        <v>323</v>
      </c>
      <c r="E11509" t="s">
        <v>294</v>
      </c>
      <c r="F11509" t="s">
        <v>12342</v>
      </c>
      <c r="G11509">
        <v>3684</v>
      </c>
      <c r="H11509">
        <v>474874.73000000004</v>
      </c>
      <c r="I11509">
        <v>128.9</v>
      </c>
      <c r="J11509">
        <v>10246</v>
      </c>
      <c r="K11509">
        <v>1335771.02</v>
      </c>
      <c r="L11509">
        <v>130.37</v>
      </c>
      <c r="M11509">
        <v>13930</v>
      </c>
      <c r="N11509">
        <v>1810645.75</v>
      </c>
      <c r="O11509">
        <v>129.97999999999999</v>
      </c>
    </row>
    <row r="11510" spans="1:15" x14ac:dyDescent="0.35">
      <c r="A11510" t="s">
        <v>12323</v>
      </c>
      <c r="B11510" t="s">
        <v>157</v>
      </c>
      <c r="C11510" t="s">
        <v>11188</v>
      </c>
      <c r="D11510" t="s">
        <v>323</v>
      </c>
      <c r="E11510" t="s">
        <v>296</v>
      </c>
      <c r="F11510" t="s">
        <v>12343</v>
      </c>
      <c r="G11510">
        <v>4457</v>
      </c>
      <c r="H11510">
        <v>664446.35</v>
      </c>
      <c r="I11510">
        <v>149.08000000000001</v>
      </c>
      <c r="J11510">
        <v>13125</v>
      </c>
      <c r="K11510">
        <v>1700475</v>
      </c>
      <c r="L11510">
        <v>129.56</v>
      </c>
      <c r="M11510">
        <v>17582</v>
      </c>
      <c r="N11510">
        <v>2364921.35</v>
      </c>
      <c r="O11510">
        <v>134.51</v>
      </c>
    </row>
    <row r="11511" spans="1:15" x14ac:dyDescent="0.35">
      <c r="A11511" t="s">
        <v>12323</v>
      </c>
      <c r="B11511" t="s">
        <v>157</v>
      </c>
      <c r="C11511" t="s">
        <v>11188</v>
      </c>
      <c r="D11511" t="s">
        <v>323</v>
      </c>
      <c r="E11511" t="s">
        <v>298</v>
      </c>
      <c r="F11511" t="s">
        <v>12344</v>
      </c>
      <c r="G11511">
        <v>3164</v>
      </c>
      <c r="H11511">
        <v>533518.00000000012</v>
      </c>
      <c r="I11511">
        <v>168.62</v>
      </c>
      <c r="J11511">
        <v>8759</v>
      </c>
      <c r="K11511">
        <v>1241062.71</v>
      </c>
      <c r="L11511">
        <v>141.69</v>
      </c>
      <c r="M11511">
        <v>11923</v>
      </c>
      <c r="N11511">
        <v>1774580.71</v>
      </c>
      <c r="O11511">
        <v>148.84</v>
      </c>
    </row>
    <row r="11512" spans="1:15" x14ac:dyDescent="0.35">
      <c r="A11512" t="s">
        <v>12323</v>
      </c>
      <c r="B11512" t="s">
        <v>157</v>
      </c>
      <c r="C11512" t="s">
        <v>11188</v>
      </c>
      <c r="D11512" t="s">
        <v>323</v>
      </c>
      <c r="E11512" t="s">
        <v>300</v>
      </c>
      <c r="F11512" t="s">
        <v>12345</v>
      </c>
      <c r="G11512">
        <v>799</v>
      </c>
      <c r="H11512">
        <v>150070.25999999998</v>
      </c>
      <c r="I11512">
        <v>187.82</v>
      </c>
      <c r="J11512">
        <v>2112</v>
      </c>
      <c r="K11512">
        <v>324382.08000000002</v>
      </c>
      <c r="L11512">
        <v>153.59</v>
      </c>
      <c r="M11512">
        <v>2911</v>
      </c>
      <c r="N11512">
        <v>474452.33999999997</v>
      </c>
      <c r="O11512">
        <v>162.99</v>
      </c>
    </row>
    <row r="11513" spans="1:15" x14ac:dyDescent="0.35">
      <c r="A11513" t="s">
        <v>12323</v>
      </c>
      <c r="B11513" t="s">
        <v>157</v>
      </c>
      <c r="C11513" t="s">
        <v>11188</v>
      </c>
      <c r="D11513" t="s">
        <v>323</v>
      </c>
      <c r="E11513" t="s">
        <v>302</v>
      </c>
      <c r="F11513" t="s">
        <v>12346</v>
      </c>
      <c r="G11513">
        <v>110</v>
      </c>
      <c r="H11513">
        <v>21806.780000000002</v>
      </c>
      <c r="I11513">
        <v>198.24</v>
      </c>
      <c r="J11513">
        <v>283</v>
      </c>
      <c r="K11513">
        <v>47679.839999999997</v>
      </c>
      <c r="L11513">
        <v>168.48</v>
      </c>
      <c r="M11513">
        <v>393</v>
      </c>
      <c r="N11513">
        <v>69486.62</v>
      </c>
      <c r="O11513">
        <v>176.81</v>
      </c>
    </row>
    <row r="11514" spans="1:15" x14ac:dyDescent="0.35">
      <c r="A11514" t="s">
        <v>12323</v>
      </c>
      <c r="B11514" t="s">
        <v>157</v>
      </c>
      <c r="C11514" t="s">
        <v>11188</v>
      </c>
      <c r="D11514" t="s">
        <v>323</v>
      </c>
      <c r="E11514" t="s">
        <v>304</v>
      </c>
      <c r="F11514" t="s">
        <v>12347</v>
      </c>
      <c r="G11514">
        <v>12</v>
      </c>
      <c r="H11514">
        <v>2448.7399999999998</v>
      </c>
      <c r="I11514">
        <v>204.06</v>
      </c>
      <c r="J11514">
        <v>113</v>
      </c>
      <c r="K11514">
        <v>20267.68</v>
      </c>
      <c r="L11514">
        <v>179.36</v>
      </c>
      <c r="M11514">
        <v>125</v>
      </c>
      <c r="N11514">
        <v>22716.42</v>
      </c>
      <c r="O11514">
        <v>181.73</v>
      </c>
    </row>
    <row r="11515" spans="1:15" x14ac:dyDescent="0.35">
      <c r="A11515" t="s">
        <v>12323</v>
      </c>
      <c r="B11515" t="s">
        <v>157</v>
      </c>
      <c r="C11515" t="s">
        <v>11188</v>
      </c>
      <c r="D11515" t="s">
        <v>323</v>
      </c>
      <c r="E11515" t="s">
        <v>306</v>
      </c>
      <c r="F11515" t="s">
        <v>12348</v>
      </c>
      <c r="G11515">
        <v>124</v>
      </c>
      <c r="H11515">
        <v>14358.63</v>
      </c>
      <c r="I11515">
        <v>115.8</v>
      </c>
      <c r="J11515">
        <v>1506</v>
      </c>
      <c r="K11515">
        <v>161021.51999999999</v>
      </c>
      <c r="L11515">
        <v>106.92</v>
      </c>
      <c r="M11515">
        <v>1630</v>
      </c>
      <c r="N11515">
        <v>175380.15</v>
      </c>
      <c r="O11515">
        <v>107.6</v>
      </c>
    </row>
    <row r="11516" spans="1:15" x14ac:dyDescent="0.35">
      <c r="A11516" t="s">
        <v>12323</v>
      </c>
      <c r="B11516" t="s">
        <v>157</v>
      </c>
      <c r="C11516" t="s">
        <v>11188</v>
      </c>
      <c r="D11516" t="s">
        <v>323</v>
      </c>
      <c r="E11516" t="s">
        <v>308</v>
      </c>
      <c r="F11516" t="s">
        <v>12349</v>
      </c>
      <c r="G11516">
        <v>0</v>
      </c>
      <c r="H11516">
        <v>0</v>
      </c>
      <c r="I11516">
        <v>0</v>
      </c>
      <c r="J11516">
        <v>0</v>
      </c>
      <c r="K11516">
        <v>0</v>
      </c>
      <c r="L11516">
        <v>0</v>
      </c>
      <c r="M11516">
        <v>0</v>
      </c>
      <c r="N11516">
        <v>0</v>
      </c>
      <c r="O11516">
        <v>0</v>
      </c>
    </row>
    <row r="11517" spans="1:15" x14ac:dyDescent="0.35">
      <c r="A11517" t="s">
        <v>12323</v>
      </c>
      <c r="B11517" t="s">
        <v>157</v>
      </c>
      <c r="C11517" t="s">
        <v>11188</v>
      </c>
      <c r="D11517" t="s">
        <v>323</v>
      </c>
      <c r="E11517" t="s">
        <v>310</v>
      </c>
      <c r="F11517" t="s">
        <v>12350</v>
      </c>
      <c r="G11517">
        <v>12350</v>
      </c>
      <c r="H11517">
        <v>1861523.49</v>
      </c>
      <c r="I11517">
        <v>150.72999999999999</v>
      </c>
      <c r="J11517">
        <v>36144</v>
      </c>
      <c r="K11517">
        <v>4830659.8499999996</v>
      </c>
      <c r="L11517">
        <v>133.65</v>
      </c>
      <c r="M11517">
        <v>48494</v>
      </c>
      <c r="N11517">
        <v>6692183.3399999999</v>
      </c>
      <c r="O11517">
        <v>138</v>
      </c>
    </row>
    <row r="11518" spans="1:15" x14ac:dyDescent="0.35">
      <c r="A11518" t="s">
        <v>12323</v>
      </c>
      <c r="B11518" t="s">
        <v>157</v>
      </c>
      <c r="C11518" t="s">
        <v>11188</v>
      </c>
      <c r="D11518" t="s">
        <v>323</v>
      </c>
      <c r="E11518" t="s">
        <v>312</v>
      </c>
      <c r="F11518" t="s">
        <v>12351</v>
      </c>
      <c r="G11518">
        <v>12350</v>
      </c>
      <c r="H11518">
        <v>1861523.49</v>
      </c>
      <c r="I11518">
        <v>150.72999999999999</v>
      </c>
      <c r="J11518">
        <v>36144</v>
      </c>
      <c r="K11518">
        <v>4830659.8499999996</v>
      </c>
      <c r="L11518">
        <v>133.65</v>
      </c>
      <c r="M11518">
        <v>48494</v>
      </c>
      <c r="N11518">
        <v>6692183.3399999999</v>
      </c>
      <c r="O11518">
        <v>138</v>
      </c>
    </row>
    <row r="11519" spans="1:15" x14ac:dyDescent="0.35">
      <c r="A11519" t="s">
        <v>12323</v>
      </c>
      <c r="B11519" t="s">
        <v>157</v>
      </c>
      <c r="C11519" t="s">
        <v>11188</v>
      </c>
      <c r="D11519" t="s">
        <v>334</v>
      </c>
      <c r="E11519" t="s">
        <v>312</v>
      </c>
      <c r="F11519" t="s">
        <v>12352</v>
      </c>
      <c r="G11519">
        <v>15382</v>
      </c>
      <c r="H11519">
        <v>2190149.09</v>
      </c>
      <c r="I11519">
        <v>159.74</v>
      </c>
      <c r="J11519">
        <v>36144</v>
      </c>
      <c r="K11519">
        <v>4830659.8499999996</v>
      </c>
      <c r="L11519">
        <v>133.65</v>
      </c>
      <c r="M11519">
        <v>51526</v>
      </c>
      <c r="N11519">
        <v>7020808.9399999995</v>
      </c>
      <c r="O11519">
        <v>140.82</v>
      </c>
    </row>
    <row r="11520" spans="1:15" x14ac:dyDescent="0.35">
      <c r="A11520" t="s">
        <v>12323</v>
      </c>
      <c r="B11520" t="s">
        <v>157</v>
      </c>
      <c r="C11520" t="s">
        <v>11188</v>
      </c>
      <c r="D11520" t="s">
        <v>334</v>
      </c>
      <c r="E11520" t="s">
        <v>308</v>
      </c>
      <c r="F11520" t="s">
        <v>12353</v>
      </c>
      <c r="G11520">
        <v>329</v>
      </c>
      <c r="H11520">
        <v>0</v>
      </c>
      <c r="I11520">
        <v>0</v>
      </c>
      <c r="J11520">
        <v>0</v>
      </c>
      <c r="K11520">
        <v>0</v>
      </c>
      <c r="L11520">
        <v>0</v>
      </c>
      <c r="M11520">
        <v>329</v>
      </c>
      <c r="N11520">
        <v>0</v>
      </c>
      <c r="O11520">
        <v>0</v>
      </c>
    </row>
    <row r="11521" spans="1:15" x14ac:dyDescent="0.35">
      <c r="A11521" t="s">
        <v>12323</v>
      </c>
      <c r="B11521" t="s">
        <v>157</v>
      </c>
      <c r="C11521" t="s">
        <v>11188</v>
      </c>
      <c r="D11521" t="s">
        <v>337</v>
      </c>
      <c r="E11521" t="s">
        <v>337</v>
      </c>
      <c r="F11521" t="s">
        <v>12354</v>
      </c>
      <c r="G11521">
        <v>2955</v>
      </c>
      <c r="J11521">
        <v>190</v>
      </c>
      <c r="M11521">
        <v>3145</v>
      </c>
    </row>
    <row r="11522" spans="1:15" x14ac:dyDescent="0.35">
      <c r="A11522" t="s">
        <v>12323</v>
      </c>
      <c r="B11522" t="s">
        <v>157</v>
      </c>
      <c r="C11522" t="s">
        <v>11188</v>
      </c>
      <c r="D11522" t="s">
        <v>339</v>
      </c>
      <c r="E11522" t="s">
        <v>294</v>
      </c>
      <c r="F11522" t="s">
        <v>12355</v>
      </c>
      <c r="G11522">
        <v>1124</v>
      </c>
      <c r="H11522">
        <v>160939.09999999998</v>
      </c>
      <c r="I11522">
        <v>143.18</v>
      </c>
      <c r="J11522">
        <v>673</v>
      </c>
      <c r="K11522">
        <v>78290.09</v>
      </c>
      <c r="L11522">
        <v>116.33</v>
      </c>
      <c r="M11522">
        <v>1797</v>
      </c>
      <c r="N11522">
        <v>239229.18999999997</v>
      </c>
      <c r="O11522">
        <v>133.13</v>
      </c>
    </row>
    <row r="11523" spans="1:15" x14ac:dyDescent="0.35">
      <c r="A11523" t="s">
        <v>12323</v>
      </c>
      <c r="B11523" t="s">
        <v>157</v>
      </c>
      <c r="C11523" t="s">
        <v>11188</v>
      </c>
      <c r="D11523" t="s">
        <v>339</v>
      </c>
      <c r="E11523" t="s">
        <v>296</v>
      </c>
      <c r="F11523" t="s">
        <v>12356</v>
      </c>
      <c r="G11523">
        <v>98</v>
      </c>
      <c r="H11523">
        <v>15699.840000000002</v>
      </c>
      <c r="I11523">
        <v>160.19999999999999</v>
      </c>
      <c r="J11523">
        <v>12</v>
      </c>
      <c r="K11523">
        <v>1627.1999999999998</v>
      </c>
      <c r="L11523">
        <v>135.6</v>
      </c>
      <c r="M11523">
        <v>110</v>
      </c>
      <c r="N11523">
        <v>17327.04</v>
      </c>
      <c r="O11523">
        <v>157.52000000000001</v>
      </c>
    </row>
    <row r="11524" spans="1:15" x14ac:dyDescent="0.35">
      <c r="A11524" t="s">
        <v>12323</v>
      </c>
      <c r="B11524" t="s">
        <v>157</v>
      </c>
      <c r="C11524" t="s">
        <v>11188</v>
      </c>
      <c r="D11524" t="s">
        <v>339</v>
      </c>
      <c r="E11524" t="s">
        <v>298</v>
      </c>
      <c r="F11524" t="s">
        <v>12357</v>
      </c>
      <c r="G11524">
        <v>6</v>
      </c>
      <c r="H11524">
        <v>1043.03</v>
      </c>
      <c r="I11524">
        <v>173.84</v>
      </c>
      <c r="J11524">
        <v>2</v>
      </c>
      <c r="K11524">
        <v>289.83999999999997</v>
      </c>
      <c r="L11524">
        <v>144.91999999999999</v>
      </c>
      <c r="M11524">
        <v>8</v>
      </c>
      <c r="N11524">
        <v>1332.87</v>
      </c>
      <c r="O11524">
        <v>166.61</v>
      </c>
    </row>
    <row r="11525" spans="1:15" x14ac:dyDescent="0.35">
      <c r="A11525" t="s">
        <v>12323</v>
      </c>
      <c r="B11525" t="s">
        <v>157</v>
      </c>
      <c r="C11525" t="s">
        <v>11188</v>
      </c>
      <c r="D11525" t="s">
        <v>339</v>
      </c>
      <c r="E11525" t="s">
        <v>300</v>
      </c>
      <c r="F11525" t="s">
        <v>12358</v>
      </c>
      <c r="G11525">
        <v>0</v>
      </c>
      <c r="H11525">
        <v>0</v>
      </c>
      <c r="I11525">
        <v>0</v>
      </c>
      <c r="J11525">
        <v>0</v>
      </c>
      <c r="K11525">
        <v>0</v>
      </c>
      <c r="L11525">
        <v>0</v>
      </c>
      <c r="M11525">
        <v>0</v>
      </c>
      <c r="N11525">
        <v>0</v>
      </c>
      <c r="O11525">
        <v>0</v>
      </c>
    </row>
    <row r="11526" spans="1:15" x14ac:dyDescent="0.35">
      <c r="A11526" t="s">
        <v>12323</v>
      </c>
      <c r="B11526" t="s">
        <v>157</v>
      </c>
      <c r="C11526" t="s">
        <v>11188</v>
      </c>
      <c r="D11526" t="s">
        <v>339</v>
      </c>
      <c r="E11526" t="s">
        <v>306</v>
      </c>
      <c r="F11526" t="s">
        <v>12359</v>
      </c>
      <c r="G11526">
        <v>243</v>
      </c>
      <c r="H11526">
        <v>28032.759999999995</v>
      </c>
      <c r="I11526">
        <v>115.36</v>
      </c>
      <c r="J11526">
        <v>41</v>
      </c>
      <c r="K11526">
        <v>4187.33</v>
      </c>
      <c r="L11526">
        <v>102.13</v>
      </c>
      <c r="M11526">
        <v>284</v>
      </c>
      <c r="N11526">
        <v>32220.089999999997</v>
      </c>
      <c r="O11526">
        <v>113.45</v>
      </c>
    </row>
    <row r="11527" spans="1:15" x14ac:dyDescent="0.35">
      <c r="A11527" t="s">
        <v>12323</v>
      </c>
      <c r="B11527" t="s">
        <v>157</v>
      </c>
      <c r="C11527" t="s">
        <v>11188</v>
      </c>
      <c r="D11527" t="s">
        <v>339</v>
      </c>
      <c r="E11527" t="s">
        <v>308</v>
      </c>
      <c r="F11527" t="s">
        <v>12360</v>
      </c>
      <c r="G11527">
        <v>471</v>
      </c>
      <c r="H11527">
        <v>63822.28</v>
      </c>
      <c r="I11527">
        <v>135.5</v>
      </c>
      <c r="J11527">
        <v>0</v>
      </c>
      <c r="K11527">
        <v>0</v>
      </c>
      <c r="L11527">
        <v>0</v>
      </c>
      <c r="M11527">
        <v>471</v>
      </c>
      <c r="N11527">
        <v>63822.28</v>
      </c>
      <c r="O11527">
        <v>135.5</v>
      </c>
    </row>
    <row r="11528" spans="1:15" x14ac:dyDescent="0.35">
      <c r="A11528" t="s">
        <v>12323</v>
      </c>
      <c r="B11528" t="s">
        <v>157</v>
      </c>
      <c r="C11528" t="s">
        <v>11188</v>
      </c>
      <c r="D11528" t="s">
        <v>339</v>
      </c>
      <c r="E11528" t="s">
        <v>310</v>
      </c>
      <c r="F11528" t="s">
        <v>12361</v>
      </c>
      <c r="G11528">
        <v>1942</v>
      </c>
      <c r="H11528">
        <v>269537.01</v>
      </c>
      <c r="I11528">
        <v>138.79</v>
      </c>
      <c r="J11528">
        <v>728</v>
      </c>
      <c r="K11528">
        <v>84394.459999999992</v>
      </c>
      <c r="L11528">
        <v>115.93</v>
      </c>
      <c r="M11528">
        <v>2670</v>
      </c>
      <c r="N11528">
        <v>353931.47</v>
      </c>
      <c r="O11528">
        <v>132.56</v>
      </c>
    </row>
    <row r="11529" spans="1:15" x14ac:dyDescent="0.35">
      <c r="A11529" t="s">
        <v>12323</v>
      </c>
      <c r="B11529" t="s">
        <v>157</v>
      </c>
      <c r="C11529" t="s">
        <v>11188</v>
      </c>
      <c r="D11529" t="s">
        <v>339</v>
      </c>
      <c r="E11529" t="s">
        <v>312</v>
      </c>
      <c r="F11529" t="s">
        <v>12362</v>
      </c>
      <c r="G11529">
        <v>1471</v>
      </c>
      <c r="H11529">
        <v>205714.72999999998</v>
      </c>
      <c r="I11529">
        <v>139.85</v>
      </c>
      <c r="J11529">
        <v>728</v>
      </c>
      <c r="K11529">
        <v>84394.459999999992</v>
      </c>
      <c r="L11529">
        <v>115.93</v>
      </c>
      <c r="M11529">
        <v>2199</v>
      </c>
      <c r="N11529">
        <v>290109.18999999994</v>
      </c>
      <c r="O11529">
        <v>131.93</v>
      </c>
    </row>
    <row r="11530" spans="1:15" x14ac:dyDescent="0.35">
      <c r="A11530" t="s">
        <v>12323</v>
      </c>
      <c r="B11530" t="s">
        <v>157</v>
      </c>
      <c r="C11530" t="s">
        <v>11188</v>
      </c>
      <c r="D11530" t="s">
        <v>348</v>
      </c>
      <c r="E11530" t="s">
        <v>349</v>
      </c>
      <c r="F11530" t="s">
        <v>12363</v>
      </c>
      <c r="G11530">
        <v>2090</v>
      </c>
      <c r="H11530">
        <v>275420.46999999997</v>
      </c>
      <c r="I11530">
        <v>140.16</v>
      </c>
      <c r="J11530">
        <v>728</v>
      </c>
      <c r="K11530">
        <v>84394.459999999992</v>
      </c>
      <c r="L11530">
        <v>115.93</v>
      </c>
      <c r="M11530">
        <v>2818</v>
      </c>
      <c r="N11530">
        <v>359814.92999999993</v>
      </c>
      <c r="O11530">
        <v>133.61000000000001</v>
      </c>
    </row>
    <row r="11531" spans="1:15" x14ac:dyDescent="0.35">
      <c r="A11531" t="s">
        <v>12364</v>
      </c>
      <c r="B11531" t="s">
        <v>171</v>
      </c>
      <c r="C11531" t="s">
        <v>11188</v>
      </c>
      <c r="D11531" t="s">
        <v>293</v>
      </c>
      <c r="E11531" t="s">
        <v>294</v>
      </c>
      <c r="F11531" t="s">
        <v>12365</v>
      </c>
      <c r="G11531">
        <v>109</v>
      </c>
      <c r="H11531">
        <v>20508.239999999998</v>
      </c>
      <c r="I11531">
        <v>188.15</v>
      </c>
      <c r="J11531">
        <v>91</v>
      </c>
      <c r="K11531">
        <v>17340.05</v>
      </c>
      <c r="L11531">
        <v>190.55</v>
      </c>
      <c r="M11531">
        <v>200</v>
      </c>
      <c r="N11531">
        <v>37848.289999999994</v>
      </c>
      <c r="O11531">
        <v>189.24</v>
      </c>
    </row>
    <row r="11532" spans="1:15" x14ac:dyDescent="0.35">
      <c r="A11532" t="s">
        <v>12364</v>
      </c>
      <c r="B11532" t="s">
        <v>171</v>
      </c>
      <c r="C11532" t="s">
        <v>11188</v>
      </c>
      <c r="D11532" t="s">
        <v>293</v>
      </c>
      <c r="E11532" t="s">
        <v>296</v>
      </c>
      <c r="F11532" t="s">
        <v>12366</v>
      </c>
      <c r="G11532">
        <v>167</v>
      </c>
      <c r="H11532">
        <v>38200.65</v>
      </c>
      <c r="I11532">
        <v>228.75</v>
      </c>
      <c r="J11532">
        <v>204</v>
      </c>
      <c r="K11532">
        <v>47901.24</v>
      </c>
      <c r="L11532">
        <v>234.81</v>
      </c>
      <c r="M11532">
        <v>371</v>
      </c>
      <c r="N11532">
        <v>86101.89</v>
      </c>
      <c r="O11532">
        <v>232.08</v>
      </c>
    </row>
    <row r="11533" spans="1:15" x14ac:dyDescent="0.35">
      <c r="A11533" t="s">
        <v>12364</v>
      </c>
      <c r="B11533" t="s">
        <v>171</v>
      </c>
      <c r="C11533" t="s">
        <v>11188</v>
      </c>
      <c r="D11533" t="s">
        <v>293</v>
      </c>
      <c r="E11533" t="s">
        <v>298</v>
      </c>
      <c r="F11533" t="s">
        <v>12367</v>
      </c>
      <c r="G11533">
        <v>80</v>
      </c>
      <c r="H11533">
        <v>21736.32</v>
      </c>
      <c r="I11533">
        <v>271.7</v>
      </c>
      <c r="J11533">
        <v>86</v>
      </c>
      <c r="K11533">
        <v>25533.399999999998</v>
      </c>
      <c r="L11533">
        <v>296.89999999999998</v>
      </c>
      <c r="M11533">
        <v>166</v>
      </c>
      <c r="N11533">
        <v>47269.72</v>
      </c>
      <c r="O11533">
        <v>284.76</v>
      </c>
    </row>
    <row r="11534" spans="1:15" x14ac:dyDescent="0.35">
      <c r="A11534" t="s">
        <v>12364</v>
      </c>
      <c r="B11534" t="s">
        <v>171</v>
      </c>
      <c r="C11534" t="s">
        <v>11188</v>
      </c>
      <c r="D11534" t="s">
        <v>293</v>
      </c>
      <c r="E11534" t="s">
        <v>300</v>
      </c>
      <c r="F11534" t="s">
        <v>12368</v>
      </c>
      <c r="G11534">
        <v>18</v>
      </c>
      <c r="H11534">
        <v>5192.79</v>
      </c>
      <c r="I11534">
        <v>288.49</v>
      </c>
      <c r="J11534">
        <v>0</v>
      </c>
      <c r="K11534">
        <v>0</v>
      </c>
      <c r="L11534">
        <v>0</v>
      </c>
      <c r="M11534">
        <v>18</v>
      </c>
      <c r="N11534">
        <v>5192.79</v>
      </c>
      <c r="O11534">
        <v>288.49</v>
      </c>
    </row>
    <row r="11535" spans="1:15" x14ac:dyDescent="0.35">
      <c r="A11535" t="s">
        <v>12364</v>
      </c>
      <c r="B11535" t="s">
        <v>171</v>
      </c>
      <c r="C11535" t="s">
        <v>11188</v>
      </c>
      <c r="D11535" t="s">
        <v>293</v>
      </c>
      <c r="E11535" t="s">
        <v>302</v>
      </c>
      <c r="F11535" t="s">
        <v>12369</v>
      </c>
      <c r="G11535">
        <v>0</v>
      </c>
      <c r="H11535">
        <v>0</v>
      </c>
      <c r="I11535">
        <v>0</v>
      </c>
      <c r="J11535">
        <v>0</v>
      </c>
      <c r="K11535">
        <v>0</v>
      </c>
      <c r="L11535">
        <v>0</v>
      </c>
      <c r="M11535">
        <v>0</v>
      </c>
      <c r="N11535">
        <v>0</v>
      </c>
      <c r="O11535">
        <v>0</v>
      </c>
    </row>
    <row r="11536" spans="1:15" x14ac:dyDescent="0.35">
      <c r="A11536" t="s">
        <v>12364</v>
      </c>
      <c r="B11536" t="s">
        <v>171</v>
      </c>
      <c r="C11536" t="s">
        <v>11188</v>
      </c>
      <c r="D11536" t="s">
        <v>293</v>
      </c>
      <c r="E11536" t="s">
        <v>304</v>
      </c>
      <c r="F11536" t="s">
        <v>12370</v>
      </c>
      <c r="G11536">
        <v>0</v>
      </c>
      <c r="H11536">
        <v>0</v>
      </c>
      <c r="I11536">
        <v>0</v>
      </c>
      <c r="J11536">
        <v>0</v>
      </c>
      <c r="K11536">
        <v>0</v>
      </c>
      <c r="L11536">
        <v>0</v>
      </c>
      <c r="M11536">
        <v>0</v>
      </c>
      <c r="N11536">
        <v>0</v>
      </c>
      <c r="O11536">
        <v>0</v>
      </c>
    </row>
    <row r="11537" spans="1:15" x14ac:dyDescent="0.35">
      <c r="A11537" t="s">
        <v>12364</v>
      </c>
      <c r="B11537" t="s">
        <v>171</v>
      </c>
      <c r="C11537" t="s">
        <v>11188</v>
      </c>
      <c r="D11537" t="s">
        <v>293</v>
      </c>
      <c r="E11537" t="s">
        <v>306</v>
      </c>
      <c r="F11537" t="s">
        <v>12371</v>
      </c>
      <c r="G11537">
        <v>0</v>
      </c>
      <c r="H11537">
        <v>0</v>
      </c>
      <c r="I11537">
        <v>0</v>
      </c>
      <c r="J11537">
        <v>0</v>
      </c>
      <c r="K11537">
        <v>0</v>
      </c>
      <c r="L11537">
        <v>0</v>
      </c>
      <c r="M11537">
        <v>0</v>
      </c>
      <c r="N11537">
        <v>0</v>
      </c>
      <c r="O11537">
        <v>0</v>
      </c>
    </row>
    <row r="11538" spans="1:15" x14ac:dyDescent="0.35">
      <c r="A11538" t="s">
        <v>12364</v>
      </c>
      <c r="B11538" t="s">
        <v>171</v>
      </c>
      <c r="C11538" t="s">
        <v>11188</v>
      </c>
      <c r="D11538" t="s">
        <v>293</v>
      </c>
      <c r="E11538" t="s">
        <v>308</v>
      </c>
      <c r="F11538" t="s">
        <v>12372</v>
      </c>
      <c r="G11538">
        <v>0</v>
      </c>
      <c r="H11538">
        <v>0</v>
      </c>
      <c r="I11538">
        <v>0</v>
      </c>
      <c r="J11538">
        <v>0</v>
      </c>
      <c r="K11538">
        <v>0</v>
      </c>
      <c r="L11538">
        <v>0</v>
      </c>
      <c r="M11538">
        <v>0</v>
      </c>
      <c r="N11538">
        <v>0</v>
      </c>
      <c r="O11538">
        <v>0</v>
      </c>
    </row>
    <row r="11539" spans="1:15" x14ac:dyDescent="0.35">
      <c r="A11539" t="s">
        <v>12364</v>
      </c>
      <c r="B11539" t="s">
        <v>171</v>
      </c>
      <c r="C11539" t="s">
        <v>11188</v>
      </c>
      <c r="D11539" t="s">
        <v>293</v>
      </c>
      <c r="E11539" t="s">
        <v>310</v>
      </c>
      <c r="F11539" t="s">
        <v>12373</v>
      </c>
      <c r="G11539">
        <v>374</v>
      </c>
      <c r="H11539">
        <v>85637.999999999985</v>
      </c>
      <c r="I11539">
        <v>228.98</v>
      </c>
      <c r="J11539">
        <v>381</v>
      </c>
      <c r="K11539">
        <v>90774.689999999988</v>
      </c>
      <c r="L11539">
        <v>238.25</v>
      </c>
      <c r="M11539">
        <v>755</v>
      </c>
      <c r="N11539">
        <v>176412.68999999997</v>
      </c>
      <c r="O11539">
        <v>233.66</v>
      </c>
    </row>
    <row r="11540" spans="1:15" x14ac:dyDescent="0.35">
      <c r="A11540" t="s">
        <v>12364</v>
      </c>
      <c r="B11540" t="s">
        <v>171</v>
      </c>
      <c r="C11540" t="s">
        <v>11188</v>
      </c>
      <c r="D11540" t="s">
        <v>293</v>
      </c>
      <c r="E11540" t="s">
        <v>312</v>
      </c>
      <c r="F11540" t="s">
        <v>12374</v>
      </c>
      <c r="G11540">
        <v>374</v>
      </c>
      <c r="H11540">
        <v>85637.999999999985</v>
      </c>
      <c r="I11540">
        <v>228.98</v>
      </c>
      <c r="J11540">
        <v>381</v>
      </c>
      <c r="K11540">
        <v>90774.689999999988</v>
      </c>
      <c r="L11540">
        <v>238.25</v>
      </c>
      <c r="M11540">
        <v>755</v>
      </c>
      <c r="N11540">
        <v>176412.68999999997</v>
      </c>
      <c r="O11540">
        <v>233.66</v>
      </c>
    </row>
    <row r="11541" spans="1:15" x14ac:dyDescent="0.35">
      <c r="A11541" t="s">
        <v>12364</v>
      </c>
      <c r="B11541" t="s">
        <v>171</v>
      </c>
      <c r="C11541" t="s">
        <v>11188</v>
      </c>
      <c r="D11541" t="s">
        <v>314</v>
      </c>
      <c r="E11541" t="s">
        <v>294</v>
      </c>
      <c r="F11541" t="s">
        <v>12375</v>
      </c>
      <c r="G11541">
        <v>39</v>
      </c>
      <c r="H11541">
        <v>8093.18</v>
      </c>
      <c r="I11541">
        <v>207.52</v>
      </c>
      <c r="J11541">
        <v>0</v>
      </c>
      <c r="K11541">
        <v>0</v>
      </c>
      <c r="L11541">
        <v>0</v>
      </c>
      <c r="M11541">
        <v>39</v>
      </c>
      <c r="N11541">
        <v>8093.18</v>
      </c>
      <c r="O11541">
        <v>207.52</v>
      </c>
    </row>
    <row r="11542" spans="1:15" x14ac:dyDescent="0.35">
      <c r="A11542" t="s">
        <v>12364</v>
      </c>
      <c r="B11542" t="s">
        <v>171</v>
      </c>
      <c r="C11542" t="s">
        <v>11188</v>
      </c>
      <c r="D11542" t="s">
        <v>314</v>
      </c>
      <c r="E11542" t="s">
        <v>296</v>
      </c>
      <c r="F11542" t="s">
        <v>12376</v>
      </c>
      <c r="G11542">
        <v>0</v>
      </c>
      <c r="H11542">
        <v>0</v>
      </c>
      <c r="I11542">
        <v>0</v>
      </c>
      <c r="J11542">
        <v>0</v>
      </c>
      <c r="K11542">
        <v>0</v>
      </c>
      <c r="L11542">
        <v>0</v>
      </c>
      <c r="M11542">
        <v>0</v>
      </c>
      <c r="N11542">
        <v>0</v>
      </c>
      <c r="O11542">
        <v>0</v>
      </c>
    </row>
    <row r="11543" spans="1:15" x14ac:dyDescent="0.35">
      <c r="A11543" t="s">
        <v>12364</v>
      </c>
      <c r="B11543" t="s">
        <v>171</v>
      </c>
      <c r="C11543" t="s">
        <v>11188</v>
      </c>
      <c r="D11543" t="s">
        <v>314</v>
      </c>
      <c r="E11543" t="s">
        <v>298</v>
      </c>
      <c r="F11543" t="s">
        <v>12377</v>
      </c>
      <c r="G11543">
        <v>0</v>
      </c>
      <c r="H11543">
        <v>0</v>
      </c>
      <c r="I11543">
        <v>0</v>
      </c>
      <c r="J11543">
        <v>0</v>
      </c>
      <c r="K11543">
        <v>0</v>
      </c>
      <c r="L11543">
        <v>0</v>
      </c>
      <c r="M11543">
        <v>0</v>
      </c>
      <c r="N11543">
        <v>0</v>
      </c>
      <c r="O11543">
        <v>0</v>
      </c>
    </row>
    <row r="11544" spans="1:15" x14ac:dyDescent="0.35">
      <c r="A11544" t="s">
        <v>12364</v>
      </c>
      <c r="B11544" t="s">
        <v>171</v>
      </c>
      <c r="C11544" t="s">
        <v>11188</v>
      </c>
      <c r="D11544" t="s">
        <v>314</v>
      </c>
      <c r="E11544" t="s">
        <v>300</v>
      </c>
      <c r="F11544" t="s">
        <v>12378</v>
      </c>
      <c r="G11544">
        <v>0</v>
      </c>
      <c r="H11544">
        <v>0</v>
      </c>
      <c r="I11544">
        <v>0</v>
      </c>
      <c r="J11544">
        <v>0</v>
      </c>
      <c r="K11544">
        <v>0</v>
      </c>
      <c r="L11544">
        <v>0</v>
      </c>
      <c r="M11544">
        <v>0</v>
      </c>
      <c r="N11544">
        <v>0</v>
      </c>
      <c r="O11544">
        <v>0</v>
      </c>
    </row>
    <row r="11545" spans="1:15" x14ac:dyDescent="0.35">
      <c r="A11545" t="s">
        <v>12364</v>
      </c>
      <c r="B11545" t="s">
        <v>171</v>
      </c>
      <c r="C11545" t="s">
        <v>11188</v>
      </c>
      <c r="D11545" t="s">
        <v>314</v>
      </c>
      <c r="E11545" t="s">
        <v>306</v>
      </c>
      <c r="F11545" t="s">
        <v>12379</v>
      </c>
      <c r="G11545">
        <v>0</v>
      </c>
      <c r="H11545">
        <v>0</v>
      </c>
      <c r="I11545">
        <v>0</v>
      </c>
      <c r="J11545">
        <v>0</v>
      </c>
      <c r="K11545">
        <v>0</v>
      </c>
      <c r="L11545">
        <v>0</v>
      </c>
      <c r="M11545">
        <v>0</v>
      </c>
      <c r="N11545">
        <v>0</v>
      </c>
      <c r="O11545">
        <v>0</v>
      </c>
    </row>
    <row r="11546" spans="1:15" x14ac:dyDescent="0.35">
      <c r="A11546" t="s">
        <v>12364</v>
      </c>
      <c r="B11546" t="s">
        <v>171</v>
      </c>
      <c r="C11546" t="s">
        <v>11188</v>
      </c>
      <c r="D11546" t="s">
        <v>314</v>
      </c>
      <c r="E11546" t="s">
        <v>308</v>
      </c>
      <c r="F11546" t="s">
        <v>12380</v>
      </c>
      <c r="G11546">
        <v>0</v>
      </c>
      <c r="H11546">
        <v>0</v>
      </c>
      <c r="I11546">
        <v>0</v>
      </c>
      <c r="J11546">
        <v>0</v>
      </c>
      <c r="K11546">
        <v>0</v>
      </c>
      <c r="L11546">
        <v>0</v>
      </c>
      <c r="M11546">
        <v>0</v>
      </c>
      <c r="N11546">
        <v>0</v>
      </c>
      <c r="O11546">
        <v>0</v>
      </c>
    </row>
    <row r="11547" spans="1:15" x14ac:dyDescent="0.35">
      <c r="A11547" t="s">
        <v>12364</v>
      </c>
      <c r="B11547" t="s">
        <v>171</v>
      </c>
      <c r="C11547" t="s">
        <v>11188</v>
      </c>
      <c r="D11547" t="s">
        <v>314</v>
      </c>
      <c r="E11547" t="s">
        <v>312</v>
      </c>
      <c r="F11547" t="s">
        <v>12381</v>
      </c>
      <c r="G11547">
        <v>39</v>
      </c>
      <c r="H11547">
        <v>8093.18</v>
      </c>
      <c r="I11547">
        <v>207.52</v>
      </c>
      <c r="J11547">
        <v>0</v>
      </c>
      <c r="K11547">
        <v>0</v>
      </c>
      <c r="L11547">
        <v>0</v>
      </c>
      <c r="M11547">
        <v>39</v>
      </c>
      <c r="N11547">
        <v>8093.18</v>
      </c>
      <c r="O11547">
        <v>207.52</v>
      </c>
    </row>
    <row r="11548" spans="1:15" x14ac:dyDescent="0.35">
      <c r="A11548" t="s">
        <v>12364</v>
      </c>
      <c r="B11548" t="s">
        <v>171</v>
      </c>
      <c r="C11548" t="s">
        <v>11188</v>
      </c>
      <c r="D11548" t="s">
        <v>314</v>
      </c>
      <c r="E11548" t="s">
        <v>310</v>
      </c>
      <c r="F11548" t="s">
        <v>12382</v>
      </c>
      <c r="G11548">
        <v>39</v>
      </c>
      <c r="H11548">
        <v>8093.18</v>
      </c>
      <c r="I11548">
        <v>207.52</v>
      </c>
      <c r="J11548">
        <v>0</v>
      </c>
      <c r="K11548">
        <v>0</v>
      </c>
      <c r="L11548">
        <v>0</v>
      </c>
      <c r="M11548">
        <v>39</v>
      </c>
      <c r="N11548">
        <v>8093.18</v>
      </c>
      <c r="O11548">
        <v>207.52</v>
      </c>
    </row>
    <row r="11549" spans="1:15" x14ac:dyDescent="0.35">
      <c r="A11549" t="s">
        <v>12364</v>
      </c>
      <c r="B11549" t="s">
        <v>171</v>
      </c>
      <c r="C11549" t="s">
        <v>11188</v>
      </c>
      <c r="D11549" t="s">
        <v>323</v>
      </c>
      <c r="E11549" t="s">
        <v>294</v>
      </c>
      <c r="F11549" t="s">
        <v>12383</v>
      </c>
      <c r="G11549">
        <v>913</v>
      </c>
      <c r="H11549">
        <v>110595.30999999998</v>
      </c>
      <c r="I11549">
        <v>121.13</v>
      </c>
      <c r="J11549">
        <v>1213</v>
      </c>
      <c r="K11549">
        <v>137808.93</v>
      </c>
      <c r="L11549">
        <v>113.61</v>
      </c>
      <c r="M11549">
        <v>2126</v>
      </c>
      <c r="N11549">
        <v>248404.24</v>
      </c>
      <c r="O11549">
        <v>116.84</v>
      </c>
    </row>
    <row r="11550" spans="1:15" x14ac:dyDescent="0.35">
      <c r="A11550" t="s">
        <v>12364</v>
      </c>
      <c r="B11550" t="s">
        <v>171</v>
      </c>
      <c r="C11550" t="s">
        <v>11188</v>
      </c>
      <c r="D11550" t="s">
        <v>323</v>
      </c>
      <c r="E11550" t="s">
        <v>296</v>
      </c>
      <c r="F11550" t="s">
        <v>12384</v>
      </c>
      <c r="G11550">
        <v>1623</v>
      </c>
      <c r="H11550">
        <v>234550.44999999995</v>
      </c>
      <c r="I11550">
        <v>144.52000000000001</v>
      </c>
      <c r="J11550">
        <v>1935</v>
      </c>
      <c r="K11550">
        <v>255516.75000000003</v>
      </c>
      <c r="L11550">
        <v>132.05000000000001</v>
      </c>
      <c r="M11550">
        <v>3558</v>
      </c>
      <c r="N11550">
        <v>490067.19999999995</v>
      </c>
      <c r="O11550">
        <v>137.74</v>
      </c>
    </row>
    <row r="11551" spans="1:15" x14ac:dyDescent="0.35">
      <c r="A11551" t="s">
        <v>12364</v>
      </c>
      <c r="B11551" t="s">
        <v>171</v>
      </c>
      <c r="C11551" t="s">
        <v>11188</v>
      </c>
      <c r="D11551" t="s">
        <v>323</v>
      </c>
      <c r="E11551" t="s">
        <v>298</v>
      </c>
      <c r="F11551" t="s">
        <v>12385</v>
      </c>
      <c r="G11551">
        <v>992</v>
      </c>
      <c r="H11551">
        <v>164329.34</v>
      </c>
      <c r="I11551">
        <v>165.65</v>
      </c>
      <c r="J11551">
        <v>1834</v>
      </c>
      <c r="K11551">
        <v>270441.64</v>
      </c>
      <c r="L11551">
        <v>147.46</v>
      </c>
      <c r="M11551">
        <v>2826</v>
      </c>
      <c r="N11551">
        <v>434770.98</v>
      </c>
      <c r="O11551">
        <v>153.85</v>
      </c>
    </row>
    <row r="11552" spans="1:15" x14ac:dyDescent="0.35">
      <c r="A11552" t="s">
        <v>12364</v>
      </c>
      <c r="B11552" t="s">
        <v>171</v>
      </c>
      <c r="C11552" t="s">
        <v>11188</v>
      </c>
      <c r="D11552" t="s">
        <v>323</v>
      </c>
      <c r="E11552" t="s">
        <v>300</v>
      </c>
      <c r="F11552" t="s">
        <v>12386</v>
      </c>
      <c r="G11552">
        <v>151</v>
      </c>
      <c r="H11552">
        <v>27117.65</v>
      </c>
      <c r="I11552">
        <v>179.59</v>
      </c>
      <c r="J11552">
        <v>47</v>
      </c>
      <c r="K11552">
        <v>7865.45</v>
      </c>
      <c r="L11552">
        <v>167.35</v>
      </c>
      <c r="M11552">
        <v>198</v>
      </c>
      <c r="N11552">
        <v>34983.1</v>
      </c>
      <c r="O11552">
        <v>176.68</v>
      </c>
    </row>
    <row r="11553" spans="1:15" x14ac:dyDescent="0.35">
      <c r="A11553" t="s">
        <v>12364</v>
      </c>
      <c r="B11553" t="s">
        <v>171</v>
      </c>
      <c r="C11553" t="s">
        <v>11188</v>
      </c>
      <c r="D11553" t="s">
        <v>323</v>
      </c>
      <c r="E11553" t="s">
        <v>302</v>
      </c>
      <c r="F11553" t="s">
        <v>12387</v>
      </c>
      <c r="G11553">
        <v>0</v>
      </c>
      <c r="H11553">
        <v>0</v>
      </c>
      <c r="I11553">
        <v>0</v>
      </c>
      <c r="J11553">
        <v>4</v>
      </c>
      <c r="K11553">
        <v>679.16</v>
      </c>
      <c r="L11553">
        <v>169.79</v>
      </c>
      <c r="M11553">
        <v>4</v>
      </c>
      <c r="N11553">
        <v>679.16</v>
      </c>
      <c r="O11553">
        <v>169.79</v>
      </c>
    </row>
    <row r="11554" spans="1:15" x14ac:dyDescent="0.35">
      <c r="A11554" t="s">
        <v>12364</v>
      </c>
      <c r="B11554" t="s">
        <v>171</v>
      </c>
      <c r="C11554" t="s">
        <v>11188</v>
      </c>
      <c r="D11554" t="s">
        <v>323</v>
      </c>
      <c r="E11554" t="s">
        <v>304</v>
      </c>
      <c r="F11554" t="s">
        <v>12388</v>
      </c>
      <c r="G11554">
        <v>1</v>
      </c>
      <c r="H11554">
        <v>189.08</v>
      </c>
      <c r="I11554">
        <v>189.08</v>
      </c>
      <c r="J11554">
        <v>0</v>
      </c>
      <c r="K11554">
        <v>0</v>
      </c>
      <c r="L11554">
        <v>0</v>
      </c>
      <c r="M11554">
        <v>1</v>
      </c>
      <c r="N11554">
        <v>189.08</v>
      </c>
      <c r="O11554">
        <v>189.08</v>
      </c>
    </row>
    <row r="11555" spans="1:15" x14ac:dyDescent="0.35">
      <c r="A11555" t="s">
        <v>12364</v>
      </c>
      <c r="B11555" t="s">
        <v>171</v>
      </c>
      <c r="C11555" t="s">
        <v>11188</v>
      </c>
      <c r="D11555" t="s">
        <v>323</v>
      </c>
      <c r="E11555" t="s">
        <v>306</v>
      </c>
      <c r="F11555" t="s">
        <v>12389</v>
      </c>
      <c r="G11555">
        <v>55</v>
      </c>
      <c r="H11555">
        <v>5418.3700000000008</v>
      </c>
      <c r="I11555">
        <v>98.52</v>
      </c>
      <c r="J11555">
        <v>121</v>
      </c>
      <c r="K11555">
        <v>11492.58</v>
      </c>
      <c r="L11555">
        <v>94.98</v>
      </c>
      <c r="M11555">
        <v>176</v>
      </c>
      <c r="N11555">
        <v>16910.95</v>
      </c>
      <c r="O11555">
        <v>96.08</v>
      </c>
    </row>
    <row r="11556" spans="1:15" x14ac:dyDescent="0.35">
      <c r="A11556" t="s">
        <v>12364</v>
      </c>
      <c r="B11556" t="s">
        <v>171</v>
      </c>
      <c r="C11556" t="s">
        <v>11188</v>
      </c>
      <c r="D11556" t="s">
        <v>323</v>
      </c>
      <c r="E11556" t="s">
        <v>308</v>
      </c>
      <c r="F11556" t="s">
        <v>12390</v>
      </c>
      <c r="G11556">
        <v>0</v>
      </c>
      <c r="H11556">
        <v>0</v>
      </c>
      <c r="I11556">
        <v>0</v>
      </c>
      <c r="J11556">
        <v>0</v>
      </c>
      <c r="K11556">
        <v>0</v>
      </c>
      <c r="L11556">
        <v>0</v>
      </c>
      <c r="M11556">
        <v>0</v>
      </c>
      <c r="N11556">
        <v>0</v>
      </c>
      <c r="O11556">
        <v>0</v>
      </c>
    </row>
    <row r="11557" spans="1:15" x14ac:dyDescent="0.35">
      <c r="A11557" t="s">
        <v>12364</v>
      </c>
      <c r="B11557" t="s">
        <v>171</v>
      </c>
      <c r="C11557" t="s">
        <v>11188</v>
      </c>
      <c r="D11557" t="s">
        <v>323</v>
      </c>
      <c r="E11557" t="s">
        <v>310</v>
      </c>
      <c r="F11557" t="s">
        <v>12391</v>
      </c>
      <c r="G11557">
        <v>3735</v>
      </c>
      <c r="H11557">
        <v>542200.19999999995</v>
      </c>
      <c r="I11557">
        <v>145.16999999999999</v>
      </c>
      <c r="J11557">
        <v>5154</v>
      </c>
      <c r="K11557">
        <v>683804.51</v>
      </c>
      <c r="L11557">
        <v>132.66999999999999</v>
      </c>
      <c r="M11557">
        <v>8889</v>
      </c>
      <c r="N11557">
        <v>1226004.71</v>
      </c>
      <c r="O11557">
        <v>137.91999999999999</v>
      </c>
    </row>
    <row r="11558" spans="1:15" x14ac:dyDescent="0.35">
      <c r="A11558" t="s">
        <v>12364</v>
      </c>
      <c r="B11558" t="s">
        <v>171</v>
      </c>
      <c r="C11558" t="s">
        <v>11188</v>
      </c>
      <c r="D11558" t="s">
        <v>323</v>
      </c>
      <c r="E11558" t="s">
        <v>312</v>
      </c>
      <c r="F11558" t="s">
        <v>12392</v>
      </c>
      <c r="G11558">
        <v>3735</v>
      </c>
      <c r="H11558">
        <v>542200.19999999995</v>
      </c>
      <c r="I11558">
        <v>145.16999999999999</v>
      </c>
      <c r="J11558">
        <v>5154</v>
      </c>
      <c r="K11558">
        <v>683804.51</v>
      </c>
      <c r="L11558">
        <v>132.66999999999999</v>
      </c>
      <c r="M11558">
        <v>8889</v>
      </c>
      <c r="N11558">
        <v>1226004.71</v>
      </c>
      <c r="O11558">
        <v>137.91999999999999</v>
      </c>
    </row>
    <row r="11559" spans="1:15" x14ac:dyDescent="0.35">
      <c r="A11559" t="s">
        <v>12364</v>
      </c>
      <c r="B11559" t="s">
        <v>171</v>
      </c>
      <c r="C11559" t="s">
        <v>11188</v>
      </c>
      <c r="D11559" t="s">
        <v>334</v>
      </c>
      <c r="E11559" t="s">
        <v>312</v>
      </c>
      <c r="F11559" t="s">
        <v>12393</v>
      </c>
      <c r="G11559">
        <v>4579</v>
      </c>
      <c r="H11559">
        <v>627838.19999999984</v>
      </c>
      <c r="I11559">
        <v>152.80000000000001</v>
      </c>
      <c r="J11559">
        <v>5535</v>
      </c>
      <c r="K11559">
        <v>774579.19999999995</v>
      </c>
      <c r="L11559">
        <v>139.94</v>
      </c>
      <c r="M11559">
        <v>10114</v>
      </c>
      <c r="N11559">
        <v>1402417.4</v>
      </c>
      <c r="O11559">
        <v>145.41999999999999</v>
      </c>
    </row>
    <row r="11560" spans="1:15" x14ac:dyDescent="0.35">
      <c r="A11560" t="s">
        <v>12364</v>
      </c>
      <c r="B11560" t="s">
        <v>171</v>
      </c>
      <c r="C11560" t="s">
        <v>11188</v>
      </c>
      <c r="D11560" t="s">
        <v>334</v>
      </c>
      <c r="E11560" t="s">
        <v>308</v>
      </c>
      <c r="F11560" t="s">
        <v>12394</v>
      </c>
      <c r="G11560">
        <v>8</v>
      </c>
      <c r="H11560">
        <v>0</v>
      </c>
      <c r="I11560">
        <v>0</v>
      </c>
      <c r="J11560">
        <v>0</v>
      </c>
      <c r="K11560">
        <v>0</v>
      </c>
      <c r="L11560">
        <v>0</v>
      </c>
      <c r="M11560">
        <v>8</v>
      </c>
      <c r="N11560">
        <v>0</v>
      </c>
      <c r="O11560">
        <v>0</v>
      </c>
    </row>
    <row r="11561" spans="1:15" x14ac:dyDescent="0.35">
      <c r="A11561" t="s">
        <v>12364</v>
      </c>
      <c r="B11561" t="s">
        <v>171</v>
      </c>
      <c r="C11561" t="s">
        <v>11188</v>
      </c>
      <c r="D11561" t="s">
        <v>337</v>
      </c>
      <c r="E11561" t="s">
        <v>337</v>
      </c>
      <c r="F11561" t="s">
        <v>12395</v>
      </c>
      <c r="G11561">
        <v>937</v>
      </c>
      <c r="J11561">
        <v>6</v>
      </c>
      <c r="M11561">
        <v>943</v>
      </c>
    </row>
    <row r="11562" spans="1:15" x14ac:dyDescent="0.35">
      <c r="A11562" t="s">
        <v>12364</v>
      </c>
      <c r="B11562" t="s">
        <v>171</v>
      </c>
      <c r="C11562" t="s">
        <v>11188</v>
      </c>
      <c r="D11562" t="s">
        <v>339</v>
      </c>
      <c r="E11562" t="s">
        <v>294</v>
      </c>
      <c r="F11562" t="s">
        <v>12396</v>
      </c>
      <c r="G11562">
        <v>650</v>
      </c>
      <c r="H11562">
        <v>97693.35</v>
      </c>
      <c r="I11562">
        <v>150.30000000000001</v>
      </c>
      <c r="J11562">
        <v>419</v>
      </c>
      <c r="K11562">
        <v>48541.149999999994</v>
      </c>
      <c r="L11562">
        <v>115.85</v>
      </c>
      <c r="M11562">
        <v>1069</v>
      </c>
      <c r="N11562">
        <v>146234.5</v>
      </c>
      <c r="O11562">
        <v>136.80000000000001</v>
      </c>
    </row>
    <row r="11563" spans="1:15" x14ac:dyDescent="0.35">
      <c r="A11563" t="s">
        <v>12364</v>
      </c>
      <c r="B11563" t="s">
        <v>171</v>
      </c>
      <c r="C11563" t="s">
        <v>11188</v>
      </c>
      <c r="D11563" t="s">
        <v>339</v>
      </c>
      <c r="E11563" t="s">
        <v>296</v>
      </c>
      <c r="F11563" t="s">
        <v>12397</v>
      </c>
      <c r="G11563">
        <v>42</v>
      </c>
      <c r="H11563">
        <v>7155.1900000000005</v>
      </c>
      <c r="I11563">
        <v>170.36</v>
      </c>
      <c r="J11563">
        <v>17</v>
      </c>
      <c r="K11563">
        <v>2240.4299999999998</v>
      </c>
      <c r="L11563">
        <v>131.79</v>
      </c>
      <c r="M11563">
        <v>59</v>
      </c>
      <c r="N11563">
        <v>9395.6200000000008</v>
      </c>
      <c r="O11563">
        <v>159.25</v>
      </c>
    </row>
    <row r="11564" spans="1:15" x14ac:dyDescent="0.35">
      <c r="A11564" t="s">
        <v>12364</v>
      </c>
      <c r="B11564" t="s">
        <v>171</v>
      </c>
      <c r="C11564" t="s">
        <v>11188</v>
      </c>
      <c r="D11564" t="s">
        <v>339</v>
      </c>
      <c r="E11564" t="s">
        <v>298</v>
      </c>
      <c r="F11564" t="s">
        <v>12398</v>
      </c>
      <c r="G11564">
        <v>4</v>
      </c>
      <c r="H11564">
        <v>725.83999999999992</v>
      </c>
      <c r="I11564">
        <v>181.46</v>
      </c>
      <c r="J11564">
        <v>0</v>
      </c>
      <c r="K11564">
        <v>0</v>
      </c>
      <c r="L11564">
        <v>0</v>
      </c>
      <c r="M11564">
        <v>4</v>
      </c>
      <c r="N11564">
        <v>725.83999999999992</v>
      </c>
      <c r="O11564">
        <v>181.46</v>
      </c>
    </row>
    <row r="11565" spans="1:15" x14ac:dyDescent="0.35">
      <c r="A11565" t="s">
        <v>12364</v>
      </c>
      <c r="B11565" t="s">
        <v>171</v>
      </c>
      <c r="C11565" t="s">
        <v>11188</v>
      </c>
      <c r="D11565" t="s">
        <v>339</v>
      </c>
      <c r="E11565" t="s">
        <v>300</v>
      </c>
      <c r="F11565" t="s">
        <v>12399</v>
      </c>
      <c r="G11565">
        <v>0</v>
      </c>
      <c r="H11565">
        <v>0</v>
      </c>
      <c r="I11565">
        <v>0</v>
      </c>
      <c r="J11565">
        <v>0</v>
      </c>
      <c r="K11565">
        <v>0</v>
      </c>
      <c r="L11565">
        <v>0</v>
      </c>
      <c r="M11565">
        <v>0</v>
      </c>
      <c r="N11565">
        <v>0</v>
      </c>
      <c r="O11565">
        <v>0</v>
      </c>
    </row>
    <row r="11566" spans="1:15" x14ac:dyDescent="0.35">
      <c r="A11566" t="s">
        <v>12364</v>
      </c>
      <c r="B11566" t="s">
        <v>171</v>
      </c>
      <c r="C11566" t="s">
        <v>11188</v>
      </c>
      <c r="D11566" t="s">
        <v>339</v>
      </c>
      <c r="E11566" t="s">
        <v>306</v>
      </c>
      <c r="F11566" t="s">
        <v>12400</v>
      </c>
      <c r="G11566">
        <v>55</v>
      </c>
      <c r="H11566">
        <v>6523.4000000000005</v>
      </c>
      <c r="I11566">
        <v>118.61</v>
      </c>
      <c r="J11566">
        <v>47</v>
      </c>
      <c r="K11566">
        <v>4288.75</v>
      </c>
      <c r="L11566">
        <v>91.25</v>
      </c>
      <c r="M11566">
        <v>102</v>
      </c>
      <c r="N11566">
        <v>10812.150000000001</v>
      </c>
      <c r="O11566">
        <v>106</v>
      </c>
    </row>
    <row r="11567" spans="1:15" x14ac:dyDescent="0.35">
      <c r="A11567" t="s">
        <v>12364</v>
      </c>
      <c r="B11567" t="s">
        <v>171</v>
      </c>
      <c r="C11567" t="s">
        <v>11188</v>
      </c>
      <c r="D11567" t="s">
        <v>339</v>
      </c>
      <c r="E11567" t="s">
        <v>308</v>
      </c>
      <c r="F11567" t="s">
        <v>12401</v>
      </c>
      <c r="G11567">
        <v>59</v>
      </c>
      <c r="H11567">
        <v>8256.44</v>
      </c>
      <c r="I11567">
        <v>139.94</v>
      </c>
      <c r="J11567">
        <v>0</v>
      </c>
      <c r="K11567">
        <v>0</v>
      </c>
      <c r="L11567">
        <v>0</v>
      </c>
      <c r="M11567">
        <v>59</v>
      </c>
      <c r="N11567">
        <v>8256.44</v>
      </c>
      <c r="O11567">
        <v>139.94</v>
      </c>
    </row>
    <row r="11568" spans="1:15" x14ac:dyDescent="0.35">
      <c r="A11568" t="s">
        <v>12364</v>
      </c>
      <c r="B11568" t="s">
        <v>171</v>
      </c>
      <c r="C11568" t="s">
        <v>11188</v>
      </c>
      <c r="D11568" t="s">
        <v>339</v>
      </c>
      <c r="E11568" t="s">
        <v>310</v>
      </c>
      <c r="F11568" t="s">
        <v>12402</v>
      </c>
      <c r="G11568">
        <v>810</v>
      </c>
      <c r="H11568">
        <v>120354.22</v>
      </c>
      <c r="I11568">
        <v>148.59</v>
      </c>
      <c r="J11568">
        <v>483</v>
      </c>
      <c r="K11568">
        <v>55070.329999999994</v>
      </c>
      <c r="L11568">
        <v>114.02</v>
      </c>
      <c r="M11568">
        <v>1293</v>
      </c>
      <c r="N11568">
        <v>175424.55</v>
      </c>
      <c r="O11568">
        <v>135.66999999999999</v>
      </c>
    </row>
    <row r="11569" spans="1:15" x14ac:dyDescent="0.35">
      <c r="A11569" t="s">
        <v>12364</v>
      </c>
      <c r="B11569" t="s">
        <v>171</v>
      </c>
      <c r="C11569" t="s">
        <v>11188</v>
      </c>
      <c r="D11569" t="s">
        <v>339</v>
      </c>
      <c r="E11569" t="s">
        <v>312</v>
      </c>
      <c r="F11569" t="s">
        <v>12403</v>
      </c>
      <c r="G11569">
        <v>751</v>
      </c>
      <c r="H11569">
        <v>112097.78</v>
      </c>
      <c r="I11569">
        <v>149.26</v>
      </c>
      <c r="J11569">
        <v>483</v>
      </c>
      <c r="K11569">
        <v>55070.329999999994</v>
      </c>
      <c r="L11569">
        <v>114.02</v>
      </c>
      <c r="M11569">
        <v>1234</v>
      </c>
      <c r="N11569">
        <v>167168.10999999999</v>
      </c>
      <c r="O11569">
        <v>135.47</v>
      </c>
    </row>
    <row r="11570" spans="1:15" x14ac:dyDescent="0.35">
      <c r="A11570" t="s">
        <v>12364</v>
      </c>
      <c r="B11570" t="s">
        <v>171</v>
      </c>
      <c r="C11570" t="s">
        <v>11188</v>
      </c>
      <c r="D11570" t="s">
        <v>348</v>
      </c>
      <c r="E11570" t="s">
        <v>349</v>
      </c>
      <c r="F11570" t="s">
        <v>12404</v>
      </c>
      <c r="G11570">
        <v>1353</v>
      </c>
      <c r="H11570">
        <v>128447.4</v>
      </c>
      <c r="I11570">
        <v>151.29</v>
      </c>
      <c r="J11570">
        <v>483</v>
      </c>
      <c r="K11570">
        <v>55070.329999999994</v>
      </c>
      <c r="L11570">
        <v>114.02</v>
      </c>
      <c r="M11570">
        <v>1836</v>
      </c>
      <c r="N11570">
        <v>183517.72999999998</v>
      </c>
      <c r="O11570">
        <v>137.78</v>
      </c>
    </row>
    <row r="11571" spans="1:15" x14ac:dyDescent="0.35">
      <c r="A11571" t="s">
        <v>12405</v>
      </c>
      <c r="B11571" t="s">
        <v>188</v>
      </c>
      <c r="C11571" t="s">
        <v>11188</v>
      </c>
      <c r="D11571" t="s">
        <v>293</v>
      </c>
      <c r="E11571" t="s">
        <v>294</v>
      </c>
      <c r="F11571" t="s">
        <v>12406</v>
      </c>
      <c r="G11571">
        <v>1272</v>
      </c>
      <c r="H11571">
        <v>299892.22000000003</v>
      </c>
      <c r="I11571">
        <v>235.76</v>
      </c>
      <c r="J11571">
        <v>84</v>
      </c>
      <c r="K11571">
        <v>22120.559999999998</v>
      </c>
      <c r="L11571">
        <v>263.33999999999997</v>
      </c>
      <c r="M11571">
        <v>1356</v>
      </c>
      <c r="N11571">
        <v>322012.78000000003</v>
      </c>
      <c r="O11571">
        <v>237.47</v>
      </c>
    </row>
    <row r="11572" spans="1:15" x14ac:dyDescent="0.35">
      <c r="A11572" t="s">
        <v>12405</v>
      </c>
      <c r="B11572" t="s">
        <v>188</v>
      </c>
      <c r="C11572" t="s">
        <v>11188</v>
      </c>
      <c r="D11572" t="s">
        <v>293</v>
      </c>
      <c r="E11572" t="s">
        <v>296</v>
      </c>
      <c r="F11572" t="s">
        <v>12407</v>
      </c>
      <c r="G11572">
        <v>1259</v>
      </c>
      <c r="H11572">
        <v>332187.88999999996</v>
      </c>
      <c r="I11572">
        <v>263.85000000000002</v>
      </c>
      <c r="J11572">
        <v>86</v>
      </c>
      <c r="K11572">
        <v>24489.360000000001</v>
      </c>
      <c r="L11572">
        <v>284.76</v>
      </c>
      <c r="M11572">
        <v>1345</v>
      </c>
      <c r="N11572">
        <v>356677.24999999994</v>
      </c>
      <c r="O11572">
        <v>265.19</v>
      </c>
    </row>
    <row r="11573" spans="1:15" x14ac:dyDescent="0.35">
      <c r="A11573" t="s">
        <v>12405</v>
      </c>
      <c r="B11573" t="s">
        <v>188</v>
      </c>
      <c r="C11573" t="s">
        <v>11188</v>
      </c>
      <c r="D11573" t="s">
        <v>293</v>
      </c>
      <c r="E11573" t="s">
        <v>298</v>
      </c>
      <c r="F11573" t="s">
        <v>12408</v>
      </c>
      <c r="G11573">
        <v>1029</v>
      </c>
      <c r="H11573">
        <v>292506.43</v>
      </c>
      <c r="I11573">
        <v>284.26</v>
      </c>
      <c r="J11573">
        <v>110</v>
      </c>
      <c r="K11573">
        <v>34029.599999999999</v>
      </c>
      <c r="L11573">
        <v>309.36</v>
      </c>
      <c r="M11573">
        <v>1139</v>
      </c>
      <c r="N11573">
        <v>326536.02999999997</v>
      </c>
      <c r="O11573">
        <v>286.69</v>
      </c>
    </row>
    <row r="11574" spans="1:15" x14ac:dyDescent="0.35">
      <c r="A11574" t="s">
        <v>12405</v>
      </c>
      <c r="B11574" t="s">
        <v>188</v>
      </c>
      <c r="C11574" t="s">
        <v>11188</v>
      </c>
      <c r="D11574" t="s">
        <v>293</v>
      </c>
      <c r="E11574" t="s">
        <v>300</v>
      </c>
      <c r="F11574" t="s">
        <v>12409</v>
      </c>
      <c r="G11574">
        <v>298</v>
      </c>
      <c r="H11574">
        <v>88538.260000000009</v>
      </c>
      <c r="I11574">
        <v>297.11</v>
      </c>
      <c r="J11574">
        <v>52</v>
      </c>
      <c r="K11574">
        <v>18452.2</v>
      </c>
      <c r="L11574">
        <v>354.85</v>
      </c>
      <c r="M11574">
        <v>350</v>
      </c>
      <c r="N11574">
        <v>106990.46</v>
      </c>
      <c r="O11574">
        <v>305.69</v>
      </c>
    </row>
    <row r="11575" spans="1:15" x14ac:dyDescent="0.35">
      <c r="A11575" t="s">
        <v>12405</v>
      </c>
      <c r="B11575" t="s">
        <v>188</v>
      </c>
      <c r="C11575" t="s">
        <v>11188</v>
      </c>
      <c r="D11575" t="s">
        <v>293</v>
      </c>
      <c r="E11575" t="s">
        <v>302</v>
      </c>
      <c r="F11575" t="s">
        <v>12410</v>
      </c>
      <c r="G11575">
        <v>31</v>
      </c>
      <c r="H11575">
        <v>8634.0500000000011</v>
      </c>
      <c r="I11575">
        <v>278.52</v>
      </c>
      <c r="J11575">
        <v>0</v>
      </c>
      <c r="K11575">
        <v>0</v>
      </c>
      <c r="L11575">
        <v>0</v>
      </c>
      <c r="M11575">
        <v>31</v>
      </c>
      <c r="N11575">
        <v>8634.0500000000011</v>
      </c>
      <c r="O11575">
        <v>278.52</v>
      </c>
    </row>
    <row r="11576" spans="1:15" x14ac:dyDescent="0.35">
      <c r="A11576" t="s">
        <v>12405</v>
      </c>
      <c r="B11576" t="s">
        <v>188</v>
      </c>
      <c r="C11576" t="s">
        <v>11188</v>
      </c>
      <c r="D11576" t="s">
        <v>293</v>
      </c>
      <c r="E11576" t="s">
        <v>304</v>
      </c>
      <c r="F11576" t="s">
        <v>12411</v>
      </c>
      <c r="G11576">
        <v>0</v>
      </c>
      <c r="H11576">
        <v>0</v>
      </c>
      <c r="I11576">
        <v>0</v>
      </c>
      <c r="J11576">
        <v>0</v>
      </c>
      <c r="K11576">
        <v>0</v>
      </c>
      <c r="L11576">
        <v>0</v>
      </c>
      <c r="M11576">
        <v>0</v>
      </c>
      <c r="N11576">
        <v>0</v>
      </c>
      <c r="O11576">
        <v>0</v>
      </c>
    </row>
    <row r="11577" spans="1:15" x14ac:dyDescent="0.35">
      <c r="A11577" t="s">
        <v>12405</v>
      </c>
      <c r="B11577" t="s">
        <v>188</v>
      </c>
      <c r="C11577" t="s">
        <v>11188</v>
      </c>
      <c r="D11577" t="s">
        <v>293</v>
      </c>
      <c r="E11577" t="s">
        <v>306</v>
      </c>
      <c r="F11577" t="s">
        <v>12412</v>
      </c>
      <c r="G11577">
        <v>11</v>
      </c>
      <c r="H11577">
        <v>2093.48</v>
      </c>
      <c r="I11577">
        <v>190.32</v>
      </c>
      <c r="J11577">
        <v>0</v>
      </c>
      <c r="K11577">
        <v>0</v>
      </c>
      <c r="L11577">
        <v>0</v>
      </c>
      <c r="M11577">
        <v>11</v>
      </c>
      <c r="N11577">
        <v>2093.48</v>
      </c>
      <c r="O11577">
        <v>190.32</v>
      </c>
    </row>
    <row r="11578" spans="1:15" x14ac:dyDescent="0.35">
      <c r="A11578" t="s">
        <v>12405</v>
      </c>
      <c r="B11578" t="s">
        <v>188</v>
      </c>
      <c r="C11578" t="s">
        <v>11188</v>
      </c>
      <c r="D11578" t="s">
        <v>293</v>
      </c>
      <c r="E11578" t="s">
        <v>308</v>
      </c>
      <c r="F11578" t="s">
        <v>12413</v>
      </c>
      <c r="G11578">
        <v>0</v>
      </c>
      <c r="H11578">
        <v>0</v>
      </c>
      <c r="I11578">
        <v>0</v>
      </c>
      <c r="J11578">
        <v>0</v>
      </c>
      <c r="K11578">
        <v>0</v>
      </c>
      <c r="L11578">
        <v>0</v>
      </c>
      <c r="M11578">
        <v>0</v>
      </c>
      <c r="N11578">
        <v>0</v>
      </c>
      <c r="O11578">
        <v>0</v>
      </c>
    </row>
    <row r="11579" spans="1:15" x14ac:dyDescent="0.35">
      <c r="A11579" t="s">
        <v>12405</v>
      </c>
      <c r="B11579" t="s">
        <v>188</v>
      </c>
      <c r="C11579" t="s">
        <v>11188</v>
      </c>
      <c r="D11579" t="s">
        <v>293</v>
      </c>
      <c r="E11579" t="s">
        <v>310</v>
      </c>
      <c r="F11579" t="s">
        <v>12414</v>
      </c>
      <c r="G11579">
        <v>3900</v>
      </c>
      <c r="H11579">
        <v>1023852.3300000001</v>
      </c>
      <c r="I11579">
        <v>262.52999999999997</v>
      </c>
      <c r="J11579">
        <v>332</v>
      </c>
      <c r="K11579">
        <v>99091.719999999987</v>
      </c>
      <c r="L11579">
        <v>298.47000000000003</v>
      </c>
      <c r="M11579">
        <v>4232</v>
      </c>
      <c r="N11579">
        <v>1122944.05</v>
      </c>
      <c r="O11579">
        <v>265.35000000000002</v>
      </c>
    </row>
    <row r="11580" spans="1:15" x14ac:dyDescent="0.35">
      <c r="A11580" t="s">
        <v>12405</v>
      </c>
      <c r="B11580" t="s">
        <v>188</v>
      </c>
      <c r="C11580" t="s">
        <v>11188</v>
      </c>
      <c r="D11580" t="s">
        <v>293</v>
      </c>
      <c r="E11580" t="s">
        <v>312</v>
      </c>
      <c r="F11580" t="s">
        <v>12415</v>
      </c>
      <c r="G11580">
        <v>3900</v>
      </c>
      <c r="H11580">
        <v>1023852.3300000001</v>
      </c>
      <c r="I11580">
        <v>262.52999999999997</v>
      </c>
      <c r="J11580">
        <v>332</v>
      </c>
      <c r="K11580">
        <v>99091.719999999987</v>
      </c>
      <c r="L11580">
        <v>298.47000000000003</v>
      </c>
      <c r="M11580">
        <v>4232</v>
      </c>
      <c r="N11580">
        <v>1122944.05</v>
      </c>
      <c r="O11580">
        <v>265.35000000000002</v>
      </c>
    </row>
    <row r="11581" spans="1:15" x14ac:dyDescent="0.35">
      <c r="A11581" t="s">
        <v>12405</v>
      </c>
      <c r="B11581" t="s">
        <v>188</v>
      </c>
      <c r="C11581" t="s">
        <v>11188</v>
      </c>
      <c r="D11581" t="s">
        <v>314</v>
      </c>
      <c r="E11581" t="s">
        <v>294</v>
      </c>
      <c r="F11581" t="s">
        <v>12416</v>
      </c>
      <c r="G11581">
        <v>113</v>
      </c>
      <c r="H11581">
        <v>30927.93</v>
      </c>
      <c r="I11581">
        <v>273.7</v>
      </c>
      <c r="J11581">
        <v>0</v>
      </c>
      <c r="K11581">
        <v>0</v>
      </c>
      <c r="L11581">
        <v>0</v>
      </c>
      <c r="M11581">
        <v>113</v>
      </c>
      <c r="N11581">
        <v>30927.93</v>
      </c>
      <c r="O11581">
        <v>273.7</v>
      </c>
    </row>
    <row r="11582" spans="1:15" x14ac:dyDescent="0.35">
      <c r="A11582" t="s">
        <v>12405</v>
      </c>
      <c r="B11582" t="s">
        <v>188</v>
      </c>
      <c r="C11582" t="s">
        <v>11188</v>
      </c>
      <c r="D11582" t="s">
        <v>314</v>
      </c>
      <c r="E11582" t="s">
        <v>296</v>
      </c>
      <c r="F11582" t="s">
        <v>12417</v>
      </c>
      <c r="G11582">
        <v>3</v>
      </c>
      <c r="H11582">
        <v>729.09</v>
      </c>
      <c r="I11582">
        <v>243.03</v>
      </c>
      <c r="J11582">
        <v>0</v>
      </c>
      <c r="K11582">
        <v>0</v>
      </c>
      <c r="L11582">
        <v>0</v>
      </c>
      <c r="M11582">
        <v>3</v>
      </c>
      <c r="N11582">
        <v>729.09</v>
      </c>
      <c r="O11582">
        <v>243.03</v>
      </c>
    </row>
    <row r="11583" spans="1:15" x14ac:dyDescent="0.35">
      <c r="A11583" t="s">
        <v>12405</v>
      </c>
      <c r="B11583" t="s">
        <v>188</v>
      </c>
      <c r="C11583" t="s">
        <v>11188</v>
      </c>
      <c r="D11583" t="s">
        <v>314</v>
      </c>
      <c r="E11583" t="s">
        <v>298</v>
      </c>
      <c r="F11583" t="s">
        <v>12418</v>
      </c>
      <c r="G11583">
        <v>0</v>
      </c>
      <c r="H11583">
        <v>0</v>
      </c>
      <c r="I11583">
        <v>0</v>
      </c>
      <c r="J11583">
        <v>0</v>
      </c>
      <c r="K11583">
        <v>0</v>
      </c>
      <c r="L11583">
        <v>0</v>
      </c>
      <c r="M11583">
        <v>0</v>
      </c>
      <c r="N11583">
        <v>0</v>
      </c>
      <c r="O11583">
        <v>0</v>
      </c>
    </row>
    <row r="11584" spans="1:15" x14ac:dyDescent="0.35">
      <c r="A11584" t="s">
        <v>12405</v>
      </c>
      <c r="B11584" t="s">
        <v>188</v>
      </c>
      <c r="C11584" t="s">
        <v>11188</v>
      </c>
      <c r="D11584" t="s">
        <v>314</v>
      </c>
      <c r="E11584" t="s">
        <v>300</v>
      </c>
      <c r="F11584" t="s">
        <v>12419</v>
      </c>
      <c r="G11584">
        <v>0</v>
      </c>
      <c r="H11584">
        <v>0</v>
      </c>
      <c r="I11584">
        <v>0</v>
      </c>
      <c r="J11584">
        <v>0</v>
      </c>
      <c r="K11584">
        <v>0</v>
      </c>
      <c r="L11584">
        <v>0</v>
      </c>
      <c r="M11584">
        <v>0</v>
      </c>
      <c r="N11584">
        <v>0</v>
      </c>
      <c r="O11584">
        <v>0</v>
      </c>
    </row>
    <row r="11585" spans="1:15" x14ac:dyDescent="0.35">
      <c r="A11585" t="s">
        <v>12405</v>
      </c>
      <c r="B11585" t="s">
        <v>188</v>
      </c>
      <c r="C11585" t="s">
        <v>11188</v>
      </c>
      <c r="D11585" t="s">
        <v>314</v>
      </c>
      <c r="E11585" t="s">
        <v>306</v>
      </c>
      <c r="F11585" t="s">
        <v>12420</v>
      </c>
      <c r="G11585">
        <v>98</v>
      </c>
      <c r="H11585">
        <v>35805.279999999999</v>
      </c>
      <c r="I11585">
        <v>365.36</v>
      </c>
      <c r="J11585">
        <v>0</v>
      </c>
      <c r="K11585">
        <v>0</v>
      </c>
      <c r="L11585">
        <v>0</v>
      </c>
      <c r="M11585">
        <v>98</v>
      </c>
      <c r="N11585">
        <v>35805.279999999999</v>
      </c>
      <c r="O11585">
        <v>365.36</v>
      </c>
    </row>
    <row r="11586" spans="1:15" x14ac:dyDescent="0.35">
      <c r="A11586" t="s">
        <v>12405</v>
      </c>
      <c r="B11586" t="s">
        <v>188</v>
      </c>
      <c r="C11586" t="s">
        <v>11188</v>
      </c>
      <c r="D11586" t="s">
        <v>314</v>
      </c>
      <c r="E11586" t="s">
        <v>308</v>
      </c>
      <c r="F11586" t="s">
        <v>12421</v>
      </c>
      <c r="G11586">
        <v>0</v>
      </c>
      <c r="H11586">
        <v>0</v>
      </c>
      <c r="I11586">
        <v>0</v>
      </c>
      <c r="J11586">
        <v>0</v>
      </c>
      <c r="K11586">
        <v>0</v>
      </c>
      <c r="L11586">
        <v>0</v>
      </c>
      <c r="M11586">
        <v>0</v>
      </c>
      <c r="N11586">
        <v>0</v>
      </c>
      <c r="O11586">
        <v>0</v>
      </c>
    </row>
    <row r="11587" spans="1:15" x14ac:dyDescent="0.35">
      <c r="A11587" t="s">
        <v>12405</v>
      </c>
      <c r="B11587" t="s">
        <v>188</v>
      </c>
      <c r="C11587" t="s">
        <v>11188</v>
      </c>
      <c r="D11587" t="s">
        <v>314</v>
      </c>
      <c r="E11587" t="s">
        <v>312</v>
      </c>
      <c r="F11587" t="s">
        <v>12422</v>
      </c>
      <c r="G11587">
        <v>214</v>
      </c>
      <c r="H11587">
        <v>67462.3</v>
      </c>
      <c r="I11587">
        <v>315.24</v>
      </c>
      <c r="J11587">
        <v>0</v>
      </c>
      <c r="K11587">
        <v>0</v>
      </c>
      <c r="L11587">
        <v>0</v>
      </c>
      <c r="M11587">
        <v>214</v>
      </c>
      <c r="N11587">
        <v>67462.3</v>
      </c>
      <c r="O11587">
        <v>315.24</v>
      </c>
    </row>
    <row r="11588" spans="1:15" x14ac:dyDescent="0.35">
      <c r="A11588" t="s">
        <v>12405</v>
      </c>
      <c r="B11588" t="s">
        <v>188</v>
      </c>
      <c r="C11588" t="s">
        <v>11188</v>
      </c>
      <c r="D11588" t="s">
        <v>314</v>
      </c>
      <c r="E11588" t="s">
        <v>310</v>
      </c>
      <c r="F11588" t="s">
        <v>12423</v>
      </c>
      <c r="G11588">
        <v>214</v>
      </c>
      <c r="H11588">
        <v>67462.3</v>
      </c>
      <c r="I11588">
        <v>315.24</v>
      </c>
      <c r="J11588">
        <v>0</v>
      </c>
      <c r="K11588">
        <v>0</v>
      </c>
      <c r="L11588">
        <v>0</v>
      </c>
      <c r="M11588">
        <v>214</v>
      </c>
      <c r="N11588">
        <v>67462.3</v>
      </c>
      <c r="O11588">
        <v>315.24</v>
      </c>
    </row>
    <row r="11589" spans="1:15" x14ac:dyDescent="0.35">
      <c r="A11589" t="s">
        <v>12405</v>
      </c>
      <c r="B11589" t="s">
        <v>188</v>
      </c>
      <c r="C11589" t="s">
        <v>11188</v>
      </c>
      <c r="D11589" t="s">
        <v>323</v>
      </c>
      <c r="E11589" t="s">
        <v>294</v>
      </c>
      <c r="F11589" t="s">
        <v>12424</v>
      </c>
      <c r="G11589">
        <v>6204</v>
      </c>
      <c r="H11589">
        <v>825147.87999999989</v>
      </c>
      <c r="I11589">
        <v>133</v>
      </c>
      <c r="J11589">
        <v>3245</v>
      </c>
      <c r="K11589">
        <v>393910.55</v>
      </c>
      <c r="L11589">
        <v>121.39</v>
      </c>
      <c r="M11589">
        <v>9449</v>
      </c>
      <c r="N11589">
        <v>1219058.43</v>
      </c>
      <c r="O11589">
        <v>129.01</v>
      </c>
    </row>
    <row r="11590" spans="1:15" x14ac:dyDescent="0.35">
      <c r="A11590" t="s">
        <v>12405</v>
      </c>
      <c r="B11590" t="s">
        <v>188</v>
      </c>
      <c r="C11590" t="s">
        <v>11188</v>
      </c>
      <c r="D11590" t="s">
        <v>323</v>
      </c>
      <c r="E11590" t="s">
        <v>296</v>
      </c>
      <c r="F11590" t="s">
        <v>12425</v>
      </c>
      <c r="G11590">
        <v>9109</v>
      </c>
      <c r="H11590">
        <v>1372427.53</v>
      </c>
      <c r="I11590">
        <v>150.66999999999999</v>
      </c>
      <c r="J11590">
        <v>4576</v>
      </c>
      <c r="K11590">
        <v>619773.43999999994</v>
      </c>
      <c r="L11590">
        <v>135.44</v>
      </c>
      <c r="M11590">
        <v>13685</v>
      </c>
      <c r="N11590">
        <v>1992200.97</v>
      </c>
      <c r="O11590">
        <v>145.58000000000001</v>
      </c>
    </row>
    <row r="11591" spans="1:15" x14ac:dyDescent="0.35">
      <c r="A11591" t="s">
        <v>12405</v>
      </c>
      <c r="B11591" t="s">
        <v>188</v>
      </c>
      <c r="C11591" t="s">
        <v>11188</v>
      </c>
      <c r="D11591" t="s">
        <v>323</v>
      </c>
      <c r="E11591" t="s">
        <v>298</v>
      </c>
      <c r="F11591" t="s">
        <v>12426</v>
      </c>
      <c r="G11591">
        <v>6609</v>
      </c>
      <c r="H11591">
        <v>1119263.56</v>
      </c>
      <c r="I11591">
        <v>169.35</v>
      </c>
      <c r="J11591">
        <v>2582</v>
      </c>
      <c r="K11591">
        <v>395355.84</v>
      </c>
      <c r="L11591">
        <v>153.12</v>
      </c>
      <c r="M11591">
        <v>9191</v>
      </c>
      <c r="N11591">
        <v>1514619.4000000001</v>
      </c>
      <c r="O11591">
        <v>164.79</v>
      </c>
    </row>
    <row r="11592" spans="1:15" x14ac:dyDescent="0.35">
      <c r="A11592" t="s">
        <v>12405</v>
      </c>
      <c r="B11592" t="s">
        <v>188</v>
      </c>
      <c r="C11592" t="s">
        <v>11188</v>
      </c>
      <c r="D11592" t="s">
        <v>323</v>
      </c>
      <c r="E11592" t="s">
        <v>300</v>
      </c>
      <c r="F11592" t="s">
        <v>12427</v>
      </c>
      <c r="G11592">
        <v>2077</v>
      </c>
      <c r="H11592">
        <v>386058.25</v>
      </c>
      <c r="I11592">
        <v>185.87</v>
      </c>
      <c r="J11592">
        <v>497</v>
      </c>
      <c r="K11592">
        <v>87119.12999999999</v>
      </c>
      <c r="L11592">
        <v>175.29</v>
      </c>
      <c r="M11592">
        <v>2574</v>
      </c>
      <c r="N11592">
        <v>473177.38</v>
      </c>
      <c r="O11592">
        <v>183.83</v>
      </c>
    </row>
    <row r="11593" spans="1:15" x14ac:dyDescent="0.35">
      <c r="A11593" t="s">
        <v>12405</v>
      </c>
      <c r="B11593" t="s">
        <v>188</v>
      </c>
      <c r="C11593" t="s">
        <v>11188</v>
      </c>
      <c r="D11593" t="s">
        <v>323</v>
      </c>
      <c r="E11593" t="s">
        <v>302</v>
      </c>
      <c r="F11593" t="s">
        <v>12428</v>
      </c>
      <c r="G11593">
        <v>592</v>
      </c>
      <c r="H11593">
        <v>117155.09999999999</v>
      </c>
      <c r="I11593">
        <v>197.9</v>
      </c>
      <c r="J11593">
        <v>76</v>
      </c>
      <c r="K11593">
        <v>14399.72</v>
      </c>
      <c r="L11593">
        <v>189.47</v>
      </c>
      <c r="M11593">
        <v>668</v>
      </c>
      <c r="N11593">
        <v>131554.81999999998</v>
      </c>
      <c r="O11593">
        <v>196.94</v>
      </c>
    </row>
    <row r="11594" spans="1:15" x14ac:dyDescent="0.35">
      <c r="A11594" t="s">
        <v>12405</v>
      </c>
      <c r="B11594" t="s">
        <v>188</v>
      </c>
      <c r="C11594" t="s">
        <v>11188</v>
      </c>
      <c r="D11594" t="s">
        <v>323</v>
      </c>
      <c r="E11594" t="s">
        <v>304</v>
      </c>
      <c r="F11594" t="s">
        <v>12429</v>
      </c>
      <c r="G11594">
        <v>185</v>
      </c>
      <c r="H11594">
        <v>38488.42</v>
      </c>
      <c r="I11594">
        <v>208.05</v>
      </c>
      <c r="J11594">
        <v>13</v>
      </c>
      <c r="K11594">
        <v>2585.0499999999997</v>
      </c>
      <c r="L11594">
        <v>198.85</v>
      </c>
      <c r="M11594">
        <v>198</v>
      </c>
      <c r="N11594">
        <v>41073.47</v>
      </c>
      <c r="O11594">
        <v>207.44</v>
      </c>
    </row>
    <row r="11595" spans="1:15" x14ac:dyDescent="0.35">
      <c r="A11595" t="s">
        <v>12405</v>
      </c>
      <c r="B11595" t="s">
        <v>188</v>
      </c>
      <c r="C11595" t="s">
        <v>11188</v>
      </c>
      <c r="D11595" t="s">
        <v>323</v>
      </c>
      <c r="E11595" t="s">
        <v>306</v>
      </c>
      <c r="F11595" t="s">
        <v>12430</v>
      </c>
      <c r="G11595">
        <v>284</v>
      </c>
      <c r="H11595">
        <v>30958.660000000003</v>
      </c>
      <c r="I11595">
        <v>109.01</v>
      </c>
      <c r="J11595">
        <v>660</v>
      </c>
      <c r="K11595">
        <v>68316.600000000006</v>
      </c>
      <c r="L11595">
        <v>103.51</v>
      </c>
      <c r="M11595">
        <v>944</v>
      </c>
      <c r="N11595">
        <v>99275.260000000009</v>
      </c>
      <c r="O11595">
        <v>105.16</v>
      </c>
    </row>
    <row r="11596" spans="1:15" x14ac:dyDescent="0.35">
      <c r="A11596" t="s">
        <v>12405</v>
      </c>
      <c r="B11596" t="s">
        <v>188</v>
      </c>
      <c r="C11596" t="s">
        <v>11188</v>
      </c>
      <c r="D11596" t="s">
        <v>323</v>
      </c>
      <c r="E11596" t="s">
        <v>308</v>
      </c>
      <c r="F11596" t="s">
        <v>12431</v>
      </c>
      <c r="G11596">
        <v>25</v>
      </c>
      <c r="H11596">
        <v>2927.39</v>
      </c>
      <c r="I11596">
        <v>117.1</v>
      </c>
      <c r="J11596">
        <v>0</v>
      </c>
      <c r="K11596">
        <v>0</v>
      </c>
      <c r="L11596">
        <v>0</v>
      </c>
      <c r="M11596">
        <v>25</v>
      </c>
      <c r="N11596">
        <v>2927.39</v>
      </c>
      <c r="O11596">
        <v>117.1</v>
      </c>
    </row>
    <row r="11597" spans="1:15" x14ac:dyDescent="0.35">
      <c r="A11597" t="s">
        <v>12405</v>
      </c>
      <c r="B11597" t="s">
        <v>188</v>
      </c>
      <c r="C11597" t="s">
        <v>11188</v>
      </c>
      <c r="D11597" t="s">
        <v>323</v>
      </c>
      <c r="E11597" t="s">
        <v>310</v>
      </c>
      <c r="F11597" t="s">
        <v>12432</v>
      </c>
      <c r="G11597">
        <v>25085</v>
      </c>
      <c r="H11597">
        <v>3892426.7900000005</v>
      </c>
      <c r="I11597">
        <v>155.16999999999999</v>
      </c>
      <c r="J11597">
        <v>11649</v>
      </c>
      <c r="K11597">
        <v>1581460.33</v>
      </c>
      <c r="L11597">
        <v>135.76</v>
      </c>
      <c r="M11597">
        <v>36734</v>
      </c>
      <c r="N11597">
        <v>5473887.120000001</v>
      </c>
      <c r="O11597">
        <v>149.01</v>
      </c>
    </row>
    <row r="11598" spans="1:15" x14ac:dyDescent="0.35">
      <c r="A11598" t="s">
        <v>12405</v>
      </c>
      <c r="B11598" t="s">
        <v>188</v>
      </c>
      <c r="C11598" t="s">
        <v>11188</v>
      </c>
      <c r="D11598" t="s">
        <v>323</v>
      </c>
      <c r="E11598" t="s">
        <v>312</v>
      </c>
      <c r="F11598" t="s">
        <v>12433</v>
      </c>
      <c r="G11598">
        <v>25060</v>
      </c>
      <c r="H11598">
        <v>3889499.4000000004</v>
      </c>
      <c r="I11598">
        <v>155.21</v>
      </c>
      <c r="J11598">
        <v>11649</v>
      </c>
      <c r="K11598">
        <v>1581460.33</v>
      </c>
      <c r="L11598">
        <v>135.76</v>
      </c>
      <c r="M11598">
        <v>36709</v>
      </c>
      <c r="N11598">
        <v>5470959.7300000004</v>
      </c>
      <c r="O11598">
        <v>149.04</v>
      </c>
    </row>
    <row r="11599" spans="1:15" x14ac:dyDescent="0.35">
      <c r="A11599" t="s">
        <v>12405</v>
      </c>
      <c r="B11599" t="s">
        <v>188</v>
      </c>
      <c r="C11599" t="s">
        <v>11188</v>
      </c>
      <c r="D11599" t="s">
        <v>334</v>
      </c>
      <c r="E11599" t="s">
        <v>312</v>
      </c>
      <c r="F11599" t="s">
        <v>12434</v>
      </c>
      <c r="G11599">
        <v>30966</v>
      </c>
      <c r="H11599">
        <v>4913351.7300000004</v>
      </c>
      <c r="I11599">
        <v>169.66</v>
      </c>
      <c r="J11599">
        <v>11981</v>
      </c>
      <c r="K11599">
        <v>1680552.05</v>
      </c>
      <c r="L11599">
        <v>140.27000000000001</v>
      </c>
      <c r="M11599">
        <v>42947</v>
      </c>
      <c r="N11599">
        <v>6593903.7800000003</v>
      </c>
      <c r="O11599">
        <v>161.06</v>
      </c>
    </row>
    <row r="11600" spans="1:15" x14ac:dyDescent="0.35">
      <c r="A11600" t="s">
        <v>12405</v>
      </c>
      <c r="B11600" t="s">
        <v>188</v>
      </c>
      <c r="C11600" t="s">
        <v>11188</v>
      </c>
      <c r="D11600" t="s">
        <v>334</v>
      </c>
      <c r="E11600" t="s">
        <v>308</v>
      </c>
      <c r="F11600" t="s">
        <v>12435</v>
      </c>
      <c r="G11600">
        <v>124</v>
      </c>
      <c r="H11600">
        <v>2927.39</v>
      </c>
      <c r="I11600">
        <v>117.1</v>
      </c>
      <c r="J11600">
        <v>0</v>
      </c>
      <c r="K11600">
        <v>0</v>
      </c>
      <c r="L11600">
        <v>0</v>
      </c>
      <c r="M11600">
        <v>124</v>
      </c>
      <c r="N11600">
        <v>2927.39</v>
      </c>
      <c r="O11600">
        <v>117.1</v>
      </c>
    </row>
    <row r="11601" spans="1:15" x14ac:dyDescent="0.35">
      <c r="A11601" t="s">
        <v>12405</v>
      </c>
      <c r="B11601" t="s">
        <v>188</v>
      </c>
      <c r="C11601" t="s">
        <v>11188</v>
      </c>
      <c r="D11601" t="s">
        <v>337</v>
      </c>
      <c r="E11601" t="s">
        <v>337</v>
      </c>
      <c r="F11601" t="s">
        <v>12436</v>
      </c>
      <c r="G11601">
        <v>4047</v>
      </c>
      <c r="J11601">
        <v>2</v>
      </c>
      <c r="M11601">
        <v>4049</v>
      </c>
    </row>
    <row r="11602" spans="1:15" x14ac:dyDescent="0.35">
      <c r="A11602" t="s">
        <v>12405</v>
      </c>
      <c r="B11602" t="s">
        <v>188</v>
      </c>
      <c r="C11602" t="s">
        <v>11188</v>
      </c>
      <c r="D11602" t="s">
        <v>339</v>
      </c>
      <c r="E11602" t="s">
        <v>294</v>
      </c>
      <c r="F11602" t="s">
        <v>12437</v>
      </c>
      <c r="G11602">
        <v>1527</v>
      </c>
      <c r="H11602">
        <v>220013.3</v>
      </c>
      <c r="I11602">
        <v>144.08000000000001</v>
      </c>
      <c r="J11602">
        <v>0</v>
      </c>
      <c r="K11602">
        <v>0</v>
      </c>
      <c r="L11602">
        <v>0</v>
      </c>
      <c r="M11602">
        <v>1527</v>
      </c>
      <c r="N11602">
        <v>220013.3</v>
      </c>
      <c r="O11602">
        <v>144.08000000000001</v>
      </c>
    </row>
    <row r="11603" spans="1:15" x14ac:dyDescent="0.35">
      <c r="A11603" t="s">
        <v>12405</v>
      </c>
      <c r="B11603" t="s">
        <v>188</v>
      </c>
      <c r="C11603" t="s">
        <v>11188</v>
      </c>
      <c r="D11603" t="s">
        <v>339</v>
      </c>
      <c r="E11603" t="s">
        <v>296</v>
      </c>
      <c r="F11603" t="s">
        <v>12438</v>
      </c>
      <c r="G11603">
        <v>67</v>
      </c>
      <c r="H11603">
        <v>11157.840000000002</v>
      </c>
      <c r="I11603">
        <v>166.53</v>
      </c>
      <c r="J11603">
        <v>0</v>
      </c>
      <c r="K11603">
        <v>0</v>
      </c>
      <c r="L11603">
        <v>0</v>
      </c>
      <c r="M11603">
        <v>67</v>
      </c>
      <c r="N11603">
        <v>11157.840000000002</v>
      </c>
      <c r="O11603">
        <v>166.53</v>
      </c>
    </row>
    <row r="11604" spans="1:15" x14ac:dyDescent="0.35">
      <c r="A11604" t="s">
        <v>12405</v>
      </c>
      <c r="B11604" t="s">
        <v>188</v>
      </c>
      <c r="C11604" t="s">
        <v>11188</v>
      </c>
      <c r="D11604" t="s">
        <v>339</v>
      </c>
      <c r="E11604" t="s">
        <v>298</v>
      </c>
      <c r="F11604" t="s">
        <v>12439</v>
      </c>
      <c r="G11604">
        <v>4</v>
      </c>
      <c r="H11604">
        <v>689.49</v>
      </c>
      <c r="I11604">
        <v>172.37</v>
      </c>
      <c r="J11604">
        <v>0</v>
      </c>
      <c r="K11604">
        <v>0</v>
      </c>
      <c r="L11604">
        <v>0</v>
      </c>
      <c r="M11604">
        <v>4</v>
      </c>
      <c r="N11604">
        <v>689.49</v>
      </c>
      <c r="O11604">
        <v>172.37</v>
      </c>
    </row>
    <row r="11605" spans="1:15" x14ac:dyDescent="0.35">
      <c r="A11605" t="s">
        <v>12405</v>
      </c>
      <c r="B11605" t="s">
        <v>188</v>
      </c>
      <c r="C11605" t="s">
        <v>11188</v>
      </c>
      <c r="D11605" t="s">
        <v>339</v>
      </c>
      <c r="E11605" t="s">
        <v>300</v>
      </c>
      <c r="F11605" t="s">
        <v>12440</v>
      </c>
      <c r="G11605">
        <v>0</v>
      </c>
      <c r="H11605">
        <v>0</v>
      </c>
      <c r="I11605">
        <v>0</v>
      </c>
      <c r="J11605">
        <v>0</v>
      </c>
      <c r="K11605">
        <v>0</v>
      </c>
      <c r="L11605">
        <v>0</v>
      </c>
      <c r="M11605">
        <v>0</v>
      </c>
      <c r="N11605">
        <v>0</v>
      </c>
      <c r="O11605">
        <v>0</v>
      </c>
    </row>
    <row r="11606" spans="1:15" x14ac:dyDescent="0.35">
      <c r="A11606" t="s">
        <v>12405</v>
      </c>
      <c r="B11606" t="s">
        <v>188</v>
      </c>
      <c r="C11606" t="s">
        <v>11188</v>
      </c>
      <c r="D11606" t="s">
        <v>339</v>
      </c>
      <c r="E11606" t="s">
        <v>306</v>
      </c>
      <c r="F11606" t="s">
        <v>12441</v>
      </c>
      <c r="G11606">
        <v>95</v>
      </c>
      <c r="H11606">
        <v>11383.300000000001</v>
      </c>
      <c r="I11606">
        <v>119.82</v>
      </c>
      <c r="J11606">
        <v>0</v>
      </c>
      <c r="K11606">
        <v>0</v>
      </c>
      <c r="L11606">
        <v>0</v>
      </c>
      <c r="M11606">
        <v>95</v>
      </c>
      <c r="N11606">
        <v>11383.300000000001</v>
      </c>
      <c r="O11606">
        <v>119.82</v>
      </c>
    </row>
    <row r="11607" spans="1:15" x14ac:dyDescent="0.35">
      <c r="A11607" t="s">
        <v>12405</v>
      </c>
      <c r="B11607" t="s">
        <v>188</v>
      </c>
      <c r="C11607" t="s">
        <v>11188</v>
      </c>
      <c r="D11607" t="s">
        <v>339</v>
      </c>
      <c r="E11607" t="s">
        <v>308</v>
      </c>
      <c r="F11607" t="s">
        <v>12442</v>
      </c>
      <c r="G11607">
        <v>230</v>
      </c>
      <c r="H11607">
        <v>28043.39</v>
      </c>
      <c r="I11607">
        <v>121.93</v>
      </c>
      <c r="J11607">
        <v>2</v>
      </c>
      <c r="K11607">
        <v>185.16</v>
      </c>
      <c r="L11607">
        <v>92.58</v>
      </c>
      <c r="M11607">
        <v>232</v>
      </c>
      <c r="N11607">
        <v>28228.55</v>
      </c>
      <c r="O11607">
        <v>121.67</v>
      </c>
    </row>
    <row r="11608" spans="1:15" x14ac:dyDescent="0.35">
      <c r="A11608" t="s">
        <v>12405</v>
      </c>
      <c r="B11608" t="s">
        <v>188</v>
      </c>
      <c r="C11608" t="s">
        <v>11188</v>
      </c>
      <c r="D11608" t="s">
        <v>339</v>
      </c>
      <c r="E11608" t="s">
        <v>310</v>
      </c>
      <c r="F11608" t="s">
        <v>12443</v>
      </c>
      <c r="G11608">
        <v>1923</v>
      </c>
      <c r="H11608">
        <v>271287.31999999995</v>
      </c>
      <c r="I11608">
        <v>141.08000000000001</v>
      </c>
      <c r="J11608">
        <v>2</v>
      </c>
      <c r="K11608">
        <v>185.16</v>
      </c>
      <c r="L11608">
        <v>92.58</v>
      </c>
      <c r="M11608">
        <v>1925</v>
      </c>
      <c r="N11608">
        <v>271472.47999999992</v>
      </c>
      <c r="O11608">
        <v>141.02000000000001</v>
      </c>
    </row>
    <row r="11609" spans="1:15" x14ac:dyDescent="0.35">
      <c r="A11609" t="s">
        <v>12405</v>
      </c>
      <c r="B11609" t="s">
        <v>188</v>
      </c>
      <c r="C11609" t="s">
        <v>11188</v>
      </c>
      <c r="D11609" t="s">
        <v>339</v>
      </c>
      <c r="E11609" t="s">
        <v>312</v>
      </c>
      <c r="F11609" t="s">
        <v>12444</v>
      </c>
      <c r="G11609">
        <v>1693</v>
      </c>
      <c r="H11609">
        <v>243243.92999999996</v>
      </c>
      <c r="I11609">
        <v>143.68</v>
      </c>
      <c r="J11609">
        <v>0</v>
      </c>
      <c r="K11609">
        <v>0</v>
      </c>
      <c r="L11609">
        <v>0</v>
      </c>
      <c r="M11609">
        <v>1693</v>
      </c>
      <c r="N11609">
        <v>243243.92999999996</v>
      </c>
      <c r="O11609">
        <v>143.68</v>
      </c>
    </row>
    <row r="11610" spans="1:15" x14ac:dyDescent="0.35">
      <c r="A11610" t="s">
        <v>12405</v>
      </c>
      <c r="B11610" t="s">
        <v>188</v>
      </c>
      <c r="C11610" t="s">
        <v>11188</v>
      </c>
      <c r="D11610" t="s">
        <v>348</v>
      </c>
      <c r="E11610" t="s">
        <v>349</v>
      </c>
      <c r="F11610" t="s">
        <v>12445</v>
      </c>
      <c r="G11610">
        <v>2354</v>
      </c>
      <c r="H11610">
        <v>338749.62</v>
      </c>
      <c r="I11610">
        <v>158.52000000000001</v>
      </c>
      <c r="J11610">
        <v>2</v>
      </c>
      <c r="K11610">
        <v>185.16</v>
      </c>
      <c r="L11610">
        <v>92.58</v>
      </c>
      <c r="M11610">
        <v>2356</v>
      </c>
      <c r="N11610">
        <v>338934.77999999997</v>
      </c>
      <c r="O11610">
        <v>158.44999999999999</v>
      </c>
    </row>
    <row r="11611" spans="1:15" x14ac:dyDescent="0.35">
      <c r="A11611" t="s">
        <v>12446</v>
      </c>
      <c r="B11611" t="s">
        <v>195</v>
      </c>
      <c r="C11611" t="s">
        <v>11188</v>
      </c>
      <c r="D11611" t="s">
        <v>293</v>
      </c>
      <c r="E11611" t="s">
        <v>294</v>
      </c>
      <c r="F11611" t="s">
        <v>12447</v>
      </c>
      <c r="G11611">
        <v>360</v>
      </c>
      <c r="H11611">
        <v>70609.149999999994</v>
      </c>
      <c r="I11611">
        <v>196.14</v>
      </c>
      <c r="J11611">
        <v>88</v>
      </c>
      <c r="K11611">
        <v>21112.959999999999</v>
      </c>
      <c r="L11611">
        <v>239.92</v>
      </c>
      <c r="M11611">
        <v>448</v>
      </c>
      <c r="N11611">
        <v>91722.109999999986</v>
      </c>
      <c r="O11611">
        <v>204.74</v>
      </c>
    </row>
    <row r="11612" spans="1:15" x14ac:dyDescent="0.35">
      <c r="A11612" t="s">
        <v>12446</v>
      </c>
      <c r="B11612" t="s">
        <v>195</v>
      </c>
      <c r="C11612" t="s">
        <v>11188</v>
      </c>
      <c r="D11612" t="s">
        <v>293</v>
      </c>
      <c r="E11612" t="s">
        <v>296</v>
      </c>
      <c r="F11612" t="s">
        <v>12448</v>
      </c>
      <c r="G11612">
        <v>922</v>
      </c>
      <c r="H11612">
        <v>210233.46</v>
      </c>
      <c r="I11612">
        <v>228.02</v>
      </c>
      <c r="J11612">
        <v>22</v>
      </c>
      <c r="K11612">
        <v>5749.04</v>
      </c>
      <c r="L11612">
        <v>261.32</v>
      </c>
      <c r="M11612">
        <v>944</v>
      </c>
      <c r="N11612">
        <v>215982.5</v>
      </c>
      <c r="O11612">
        <v>228.8</v>
      </c>
    </row>
    <row r="11613" spans="1:15" x14ac:dyDescent="0.35">
      <c r="A11613" t="s">
        <v>12446</v>
      </c>
      <c r="B11613" t="s">
        <v>195</v>
      </c>
      <c r="C11613" t="s">
        <v>11188</v>
      </c>
      <c r="D11613" t="s">
        <v>293</v>
      </c>
      <c r="E11613" t="s">
        <v>298</v>
      </c>
      <c r="F11613" t="s">
        <v>12449</v>
      </c>
      <c r="G11613">
        <v>414</v>
      </c>
      <c r="H11613">
        <v>106013.3</v>
      </c>
      <c r="I11613">
        <v>256.07</v>
      </c>
      <c r="J11613">
        <v>7</v>
      </c>
      <c r="K11613">
        <v>1995.8400000000001</v>
      </c>
      <c r="L11613">
        <v>285.12</v>
      </c>
      <c r="M11613">
        <v>421</v>
      </c>
      <c r="N11613">
        <v>108009.14</v>
      </c>
      <c r="O11613">
        <v>256.55</v>
      </c>
    </row>
    <row r="11614" spans="1:15" x14ac:dyDescent="0.35">
      <c r="A11614" t="s">
        <v>12446</v>
      </c>
      <c r="B11614" t="s">
        <v>195</v>
      </c>
      <c r="C11614" t="s">
        <v>11188</v>
      </c>
      <c r="D11614" t="s">
        <v>293</v>
      </c>
      <c r="E11614" t="s">
        <v>300</v>
      </c>
      <c r="F11614" t="s">
        <v>12450</v>
      </c>
      <c r="G11614">
        <v>128</v>
      </c>
      <c r="H11614">
        <v>33318.47</v>
      </c>
      <c r="I11614">
        <v>260.3</v>
      </c>
      <c r="J11614">
        <v>0</v>
      </c>
      <c r="K11614">
        <v>0</v>
      </c>
      <c r="L11614">
        <v>0</v>
      </c>
      <c r="M11614">
        <v>128</v>
      </c>
      <c r="N11614">
        <v>33318.47</v>
      </c>
      <c r="O11614">
        <v>260.3</v>
      </c>
    </row>
    <row r="11615" spans="1:15" x14ac:dyDescent="0.35">
      <c r="A11615" t="s">
        <v>12446</v>
      </c>
      <c r="B11615" t="s">
        <v>195</v>
      </c>
      <c r="C11615" t="s">
        <v>11188</v>
      </c>
      <c r="D11615" t="s">
        <v>293</v>
      </c>
      <c r="E11615" t="s">
        <v>302</v>
      </c>
      <c r="F11615" t="s">
        <v>12451</v>
      </c>
      <c r="G11615">
        <v>4</v>
      </c>
      <c r="H11615">
        <v>1279.49</v>
      </c>
      <c r="I11615">
        <v>319.87</v>
      </c>
      <c r="J11615">
        <v>0</v>
      </c>
      <c r="K11615">
        <v>0</v>
      </c>
      <c r="L11615">
        <v>0</v>
      </c>
      <c r="M11615">
        <v>4</v>
      </c>
      <c r="N11615">
        <v>1279.49</v>
      </c>
      <c r="O11615">
        <v>319.87</v>
      </c>
    </row>
    <row r="11616" spans="1:15" x14ac:dyDescent="0.35">
      <c r="A11616" t="s">
        <v>12446</v>
      </c>
      <c r="B11616" t="s">
        <v>195</v>
      </c>
      <c r="C11616" t="s">
        <v>11188</v>
      </c>
      <c r="D11616" t="s">
        <v>293</v>
      </c>
      <c r="E11616" t="s">
        <v>304</v>
      </c>
      <c r="F11616" t="s">
        <v>12452</v>
      </c>
      <c r="G11616">
        <v>0</v>
      </c>
      <c r="H11616">
        <v>0</v>
      </c>
      <c r="I11616">
        <v>0</v>
      </c>
      <c r="J11616">
        <v>0</v>
      </c>
      <c r="K11616">
        <v>0</v>
      </c>
      <c r="L11616">
        <v>0</v>
      </c>
      <c r="M11616">
        <v>0</v>
      </c>
      <c r="N11616">
        <v>0</v>
      </c>
      <c r="O11616">
        <v>0</v>
      </c>
    </row>
    <row r="11617" spans="1:15" x14ac:dyDescent="0.35">
      <c r="A11617" t="s">
        <v>12446</v>
      </c>
      <c r="B11617" t="s">
        <v>195</v>
      </c>
      <c r="C11617" t="s">
        <v>11188</v>
      </c>
      <c r="D11617" t="s">
        <v>293</v>
      </c>
      <c r="E11617" t="s">
        <v>306</v>
      </c>
      <c r="F11617" t="s">
        <v>12453</v>
      </c>
      <c r="G11617">
        <v>13</v>
      </c>
      <c r="H11617">
        <v>1662.85</v>
      </c>
      <c r="I11617">
        <v>127.91</v>
      </c>
      <c r="J11617">
        <v>0</v>
      </c>
      <c r="K11617">
        <v>0</v>
      </c>
      <c r="L11617">
        <v>0</v>
      </c>
      <c r="M11617">
        <v>13</v>
      </c>
      <c r="N11617">
        <v>1662.85</v>
      </c>
      <c r="O11617">
        <v>127.91</v>
      </c>
    </row>
    <row r="11618" spans="1:15" x14ac:dyDescent="0.35">
      <c r="A11618" t="s">
        <v>12446</v>
      </c>
      <c r="B11618" t="s">
        <v>195</v>
      </c>
      <c r="C11618" t="s">
        <v>11188</v>
      </c>
      <c r="D11618" t="s">
        <v>293</v>
      </c>
      <c r="E11618" t="s">
        <v>308</v>
      </c>
      <c r="F11618" t="s">
        <v>12454</v>
      </c>
      <c r="G11618">
        <v>0</v>
      </c>
      <c r="H11618">
        <v>0</v>
      </c>
      <c r="I11618">
        <v>0</v>
      </c>
      <c r="J11618">
        <v>0</v>
      </c>
      <c r="K11618">
        <v>0</v>
      </c>
      <c r="L11618">
        <v>0</v>
      </c>
      <c r="M11618">
        <v>0</v>
      </c>
      <c r="N11618">
        <v>0</v>
      </c>
      <c r="O11618">
        <v>0</v>
      </c>
    </row>
    <row r="11619" spans="1:15" x14ac:dyDescent="0.35">
      <c r="A11619" t="s">
        <v>12446</v>
      </c>
      <c r="B11619" t="s">
        <v>195</v>
      </c>
      <c r="C11619" t="s">
        <v>11188</v>
      </c>
      <c r="D11619" t="s">
        <v>293</v>
      </c>
      <c r="E11619" t="s">
        <v>310</v>
      </c>
      <c r="F11619" t="s">
        <v>12455</v>
      </c>
      <c r="G11619">
        <v>1841</v>
      </c>
      <c r="H11619">
        <v>423116.72</v>
      </c>
      <c r="I11619">
        <v>229.83</v>
      </c>
      <c r="J11619">
        <v>117</v>
      </c>
      <c r="K11619">
        <v>28857.84</v>
      </c>
      <c r="L11619">
        <v>246.65</v>
      </c>
      <c r="M11619">
        <v>1958</v>
      </c>
      <c r="N11619">
        <v>451974.56</v>
      </c>
      <c r="O11619">
        <v>230.83</v>
      </c>
    </row>
    <row r="11620" spans="1:15" x14ac:dyDescent="0.35">
      <c r="A11620" t="s">
        <v>12446</v>
      </c>
      <c r="B11620" t="s">
        <v>195</v>
      </c>
      <c r="C11620" t="s">
        <v>11188</v>
      </c>
      <c r="D11620" t="s">
        <v>293</v>
      </c>
      <c r="E11620" t="s">
        <v>312</v>
      </c>
      <c r="F11620" t="s">
        <v>12456</v>
      </c>
      <c r="G11620">
        <v>1841</v>
      </c>
      <c r="H11620">
        <v>423116.72</v>
      </c>
      <c r="I11620">
        <v>229.83</v>
      </c>
      <c r="J11620">
        <v>117</v>
      </c>
      <c r="K11620">
        <v>28857.84</v>
      </c>
      <c r="L11620">
        <v>246.65</v>
      </c>
      <c r="M11620">
        <v>1958</v>
      </c>
      <c r="N11620">
        <v>451974.56</v>
      </c>
      <c r="O11620">
        <v>230.83</v>
      </c>
    </row>
    <row r="11621" spans="1:15" x14ac:dyDescent="0.35">
      <c r="A11621" t="s">
        <v>12446</v>
      </c>
      <c r="B11621" t="s">
        <v>195</v>
      </c>
      <c r="C11621" t="s">
        <v>11188</v>
      </c>
      <c r="D11621" t="s">
        <v>314</v>
      </c>
      <c r="E11621" t="s">
        <v>294</v>
      </c>
      <c r="F11621" t="s">
        <v>12457</v>
      </c>
      <c r="G11621">
        <v>73</v>
      </c>
      <c r="H11621">
        <v>17865.29</v>
      </c>
      <c r="I11621">
        <v>244.73</v>
      </c>
      <c r="J11621">
        <v>0</v>
      </c>
      <c r="K11621">
        <v>0</v>
      </c>
      <c r="L11621">
        <v>0</v>
      </c>
      <c r="M11621">
        <v>73</v>
      </c>
      <c r="N11621">
        <v>17865.29</v>
      </c>
      <c r="O11621">
        <v>244.73</v>
      </c>
    </row>
    <row r="11622" spans="1:15" x14ac:dyDescent="0.35">
      <c r="A11622" t="s">
        <v>12446</v>
      </c>
      <c r="B11622" t="s">
        <v>195</v>
      </c>
      <c r="C11622" t="s">
        <v>11188</v>
      </c>
      <c r="D11622" t="s">
        <v>314</v>
      </c>
      <c r="E11622" t="s">
        <v>296</v>
      </c>
      <c r="F11622" t="s">
        <v>12458</v>
      </c>
      <c r="G11622">
        <v>10</v>
      </c>
      <c r="H11622">
        <v>3071.5299999999997</v>
      </c>
      <c r="I11622">
        <v>307.14999999999998</v>
      </c>
      <c r="J11622">
        <v>0</v>
      </c>
      <c r="K11622">
        <v>0</v>
      </c>
      <c r="L11622">
        <v>0</v>
      </c>
      <c r="M11622">
        <v>10</v>
      </c>
      <c r="N11622">
        <v>3071.5299999999997</v>
      </c>
      <c r="O11622">
        <v>307.14999999999998</v>
      </c>
    </row>
    <row r="11623" spans="1:15" x14ac:dyDescent="0.35">
      <c r="A11623" t="s">
        <v>12446</v>
      </c>
      <c r="B11623" t="s">
        <v>195</v>
      </c>
      <c r="C11623" t="s">
        <v>11188</v>
      </c>
      <c r="D11623" t="s">
        <v>314</v>
      </c>
      <c r="E11623" t="s">
        <v>298</v>
      </c>
      <c r="F11623" t="s">
        <v>12459</v>
      </c>
      <c r="G11623">
        <v>0</v>
      </c>
      <c r="H11623">
        <v>0</v>
      </c>
      <c r="I11623">
        <v>0</v>
      </c>
      <c r="J11623">
        <v>0</v>
      </c>
      <c r="K11623">
        <v>0</v>
      </c>
      <c r="L11623">
        <v>0</v>
      </c>
      <c r="M11623">
        <v>0</v>
      </c>
      <c r="N11623">
        <v>0</v>
      </c>
      <c r="O11623">
        <v>0</v>
      </c>
    </row>
    <row r="11624" spans="1:15" x14ac:dyDescent="0.35">
      <c r="A11624" t="s">
        <v>12446</v>
      </c>
      <c r="B11624" t="s">
        <v>195</v>
      </c>
      <c r="C11624" t="s">
        <v>11188</v>
      </c>
      <c r="D11624" t="s">
        <v>314</v>
      </c>
      <c r="E11624" t="s">
        <v>300</v>
      </c>
      <c r="F11624" t="s">
        <v>12460</v>
      </c>
      <c r="G11624">
        <v>0</v>
      </c>
      <c r="H11624">
        <v>0</v>
      </c>
      <c r="I11624">
        <v>0</v>
      </c>
      <c r="J11624">
        <v>0</v>
      </c>
      <c r="K11624">
        <v>0</v>
      </c>
      <c r="L11624">
        <v>0</v>
      </c>
      <c r="M11624">
        <v>0</v>
      </c>
      <c r="N11624">
        <v>0</v>
      </c>
      <c r="O11624">
        <v>0</v>
      </c>
    </row>
    <row r="11625" spans="1:15" x14ac:dyDescent="0.35">
      <c r="A11625" t="s">
        <v>12446</v>
      </c>
      <c r="B11625" t="s">
        <v>195</v>
      </c>
      <c r="C11625" t="s">
        <v>11188</v>
      </c>
      <c r="D11625" t="s">
        <v>314</v>
      </c>
      <c r="E11625" t="s">
        <v>306</v>
      </c>
      <c r="F11625" t="s">
        <v>12461</v>
      </c>
      <c r="G11625">
        <v>0</v>
      </c>
      <c r="H11625">
        <v>0</v>
      </c>
      <c r="I11625">
        <v>0</v>
      </c>
      <c r="J11625">
        <v>0</v>
      </c>
      <c r="K11625">
        <v>0</v>
      </c>
      <c r="L11625">
        <v>0</v>
      </c>
      <c r="M11625">
        <v>0</v>
      </c>
      <c r="N11625">
        <v>0</v>
      </c>
      <c r="O11625">
        <v>0</v>
      </c>
    </row>
    <row r="11626" spans="1:15" x14ac:dyDescent="0.35">
      <c r="A11626" t="s">
        <v>12446</v>
      </c>
      <c r="B11626" t="s">
        <v>195</v>
      </c>
      <c r="C11626" t="s">
        <v>11188</v>
      </c>
      <c r="D11626" t="s">
        <v>314</v>
      </c>
      <c r="E11626" t="s">
        <v>308</v>
      </c>
      <c r="F11626" t="s">
        <v>12462</v>
      </c>
      <c r="G11626">
        <v>0</v>
      </c>
      <c r="H11626">
        <v>0</v>
      </c>
      <c r="I11626">
        <v>0</v>
      </c>
      <c r="J11626">
        <v>0</v>
      </c>
      <c r="K11626">
        <v>0</v>
      </c>
      <c r="L11626">
        <v>0</v>
      </c>
      <c r="M11626">
        <v>0</v>
      </c>
      <c r="N11626">
        <v>0</v>
      </c>
      <c r="O11626">
        <v>0</v>
      </c>
    </row>
    <row r="11627" spans="1:15" x14ac:dyDescent="0.35">
      <c r="A11627" t="s">
        <v>12446</v>
      </c>
      <c r="B11627" t="s">
        <v>195</v>
      </c>
      <c r="C11627" t="s">
        <v>11188</v>
      </c>
      <c r="D11627" t="s">
        <v>314</v>
      </c>
      <c r="E11627" t="s">
        <v>312</v>
      </c>
      <c r="F11627" t="s">
        <v>12463</v>
      </c>
      <c r="G11627">
        <v>83</v>
      </c>
      <c r="H11627">
        <v>20936.82</v>
      </c>
      <c r="I11627">
        <v>252.25</v>
      </c>
      <c r="J11627">
        <v>0</v>
      </c>
      <c r="K11627">
        <v>0</v>
      </c>
      <c r="L11627">
        <v>0</v>
      </c>
      <c r="M11627">
        <v>83</v>
      </c>
      <c r="N11627">
        <v>20936.82</v>
      </c>
      <c r="O11627">
        <v>252.25</v>
      </c>
    </row>
    <row r="11628" spans="1:15" x14ac:dyDescent="0.35">
      <c r="A11628" t="s">
        <v>12446</v>
      </c>
      <c r="B11628" t="s">
        <v>195</v>
      </c>
      <c r="C11628" t="s">
        <v>11188</v>
      </c>
      <c r="D11628" t="s">
        <v>314</v>
      </c>
      <c r="E11628" t="s">
        <v>310</v>
      </c>
      <c r="F11628" t="s">
        <v>12464</v>
      </c>
      <c r="G11628">
        <v>83</v>
      </c>
      <c r="H11628">
        <v>20936.82</v>
      </c>
      <c r="I11628">
        <v>252.25</v>
      </c>
      <c r="J11628">
        <v>0</v>
      </c>
      <c r="K11628">
        <v>0</v>
      </c>
      <c r="L11628">
        <v>0</v>
      </c>
      <c r="M11628">
        <v>83</v>
      </c>
      <c r="N11628">
        <v>20936.82</v>
      </c>
      <c r="O11628">
        <v>252.25</v>
      </c>
    </row>
    <row r="11629" spans="1:15" x14ac:dyDescent="0.35">
      <c r="A11629" t="s">
        <v>12446</v>
      </c>
      <c r="B11629" t="s">
        <v>195</v>
      </c>
      <c r="C11629" t="s">
        <v>11188</v>
      </c>
      <c r="D11629" t="s">
        <v>323</v>
      </c>
      <c r="E11629" t="s">
        <v>294</v>
      </c>
      <c r="F11629" t="s">
        <v>12465</v>
      </c>
      <c r="G11629">
        <v>1853</v>
      </c>
      <c r="H11629">
        <v>222796.88999999998</v>
      </c>
      <c r="I11629">
        <v>120.24</v>
      </c>
      <c r="J11629">
        <v>2685</v>
      </c>
      <c r="K11629">
        <v>292181.69999999995</v>
      </c>
      <c r="L11629">
        <v>108.82</v>
      </c>
      <c r="M11629">
        <v>4538</v>
      </c>
      <c r="N11629">
        <v>514978.58999999997</v>
      </c>
      <c r="O11629">
        <v>113.48</v>
      </c>
    </row>
    <row r="11630" spans="1:15" x14ac:dyDescent="0.35">
      <c r="A11630" t="s">
        <v>12446</v>
      </c>
      <c r="B11630" t="s">
        <v>195</v>
      </c>
      <c r="C11630" t="s">
        <v>11188</v>
      </c>
      <c r="D11630" t="s">
        <v>323</v>
      </c>
      <c r="E11630" t="s">
        <v>296</v>
      </c>
      <c r="F11630" t="s">
        <v>12466</v>
      </c>
      <c r="G11630">
        <v>3280</v>
      </c>
      <c r="H11630">
        <v>455750.69999999995</v>
      </c>
      <c r="I11630">
        <v>138.94999999999999</v>
      </c>
      <c r="J11630">
        <v>3177</v>
      </c>
      <c r="K11630">
        <v>403892.01</v>
      </c>
      <c r="L11630">
        <v>127.13</v>
      </c>
      <c r="M11630">
        <v>6457</v>
      </c>
      <c r="N11630">
        <v>859642.71</v>
      </c>
      <c r="O11630">
        <v>133.13</v>
      </c>
    </row>
    <row r="11631" spans="1:15" x14ac:dyDescent="0.35">
      <c r="A11631" t="s">
        <v>12446</v>
      </c>
      <c r="B11631" t="s">
        <v>195</v>
      </c>
      <c r="C11631" t="s">
        <v>11188</v>
      </c>
      <c r="D11631" t="s">
        <v>323</v>
      </c>
      <c r="E11631" t="s">
        <v>298</v>
      </c>
      <c r="F11631" t="s">
        <v>12467</v>
      </c>
      <c r="G11631">
        <v>2875</v>
      </c>
      <c r="H11631">
        <v>459374.97</v>
      </c>
      <c r="I11631">
        <v>159.78</v>
      </c>
      <c r="J11631">
        <v>2897</v>
      </c>
      <c r="K11631">
        <v>426641.19</v>
      </c>
      <c r="L11631">
        <v>147.27000000000001</v>
      </c>
      <c r="M11631">
        <v>5772</v>
      </c>
      <c r="N11631">
        <v>886016.15999999992</v>
      </c>
      <c r="O11631">
        <v>153.5</v>
      </c>
    </row>
    <row r="11632" spans="1:15" x14ac:dyDescent="0.35">
      <c r="A11632" t="s">
        <v>12446</v>
      </c>
      <c r="B11632" t="s">
        <v>195</v>
      </c>
      <c r="C11632" t="s">
        <v>11188</v>
      </c>
      <c r="D11632" t="s">
        <v>323</v>
      </c>
      <c r="E11632" t="s">
        <v>300</v>
      </c>
      <c r="F11632" t="s">
        <v>12468</v>
      </c>
      <c r="G11632">
        <v>483</v>
      </c>
      <c r="H11632">
        <v>85983.889999999985</v>
      </c>
      <c r="I11632">
        <v>178.02</v>
      </c>
      <c r="J11632">
        <v>265</v>
      </c>
      <c r="K11632">
        <v>45452.800000000003</v>
      </c>
      <c r="L11632">
        <v>171.52</v>
      </c>
      <c r="M11632">
        <v>748</v>
      </c>
      <c r="N11632">
        <v>131436.69</v>
      </c>
      <c r="O11632">
        <v>175.72</v>
      </c>
    </row>
    <row r="11633" spans="1:15" x14ac:dyDescent="0.35">
      <c r="A11633" t="s">
        <v>12446</v>
      </c>
      <c r="B11633" t="s">
        <v>195</v>
      </c>
      <c r="C11633" t="s">
        <v>11188</v>
      </c>
      <c r="D11633" t="s">
        <v>323</v>
      </c>
      <c r="E11633" t="s">
        <v>302</v>
      </c>
      <c r="F11633" t="s">
        <v>12469</v>
      </c>
      <c r="G11633">
        <v>91</v>
      </c>
      <c r="H11633">
        <v>17548.310000000001</v>
      </c>
      <c r="I11633">
        <v>192.84</v>
      </c>
      <c r="J11633">
        <v>35</v>
      </c>
      <c r="K11633">
        <v>6615.7000000000007</v>
      </c>
      <c r="L11633">
        <v>189.02</v>
      </c>
      <c r="M11633">
        <v>126</v>
      </c>
      <c r="N11633">
        <v>24164.010000000002</v>
      </c>
      <c r="O11633">
        <v>191.78</v>
      </c>
    </row>
    <row r="11634" spans="1:15" x14ac:dyDescent="0.35">
      <c r="A11634" t="s">
        <v>12446</v>
      </c>
      <c r="B11634" t="s">
        <v>195</v>
      </c>
      <c r="C11634" t="s">
        <v>11188</v>
      </c>
      <c r="D11634" t="s">
        <v>323</v>
      </c>
      <c r="E11634" t="s">
        <v>304</v>
      </c>
      <c r="F11634" t="s">
        <v>12470</v>
      </c>
      <c r="G11634">
        <v>15</v>
      </c>
      <c r="H11634">
        <v>3072.51</v>
      </c>
      <c r="I11634">
        <v>204.83</v>
      </c>
      <c r="J11634">
        <v>8</v>
      </c>
      <c r="K11634">
        <v>1683.92</v>
      </c>
      <c r="L11634">
        <v>210.49</v>
      </c>
      <c r="M11634">
        <v>23</v>
      </c>
      <c r="N11634">
        <v>4756.43</v>
      </c>
      <c r="O11634">
        <v>206.8</v>
      </c>
    </row>
    <row r="11635" spans="1:15" x14ac:dyDescent="0.35">
      <c r="A11635" t="s">
        <v>12446</v>
      </c>
      <c r="B11635" t="s">
        <v>195</v>
      </c>
      <c r="C11635" t="s">
        <v>11188</v>
      </c>
      <c r="D11635" t="s">
        <v>323</v>
      </c>
      <c r="E11635" t="s">
        <v>306</v>
      </c>
      <c r="F11635" t="s">
        <v>12471</v>
      </c>
      <c r="G11635">
        <v>111</v>
      </c>
      <c r="H11635">
        <v>11828.32</v>
      </c>
      <c r="I11635">
        <v>106.56</v>
      </c>
      <c r="J11635">
        <v>270</v>
      </c>
      <c r="K11635">
        <v>25598.7</v>
      </c>
      <c r="L11635">
        <v>94.81</v>
      </c>
      <c r="M11635">
        <v>381</v>
      </c>
      <c r="N11635">
        <v>37427.020000000004</v>
      </c>
      <c r="O11635">
        <v>98.23</v>
      </c>
    </row>
    <row r="11636" spans="1:15" x14ac:dyDescent="0.35">
      <c r="A11636" t="s">
        <v>12446</v>
      </c>
      <c r="B11636" t="s">
        <v>195</v>
      </c>
      <c r="C11636" t="s">
        <v>11188</v>
      </c>
      <c r="D11636" t="s">
        <v>323</v>
      </c>
      <c r="E11636" t="s">
        <v>308</v>
      </c>
      <c r="F11636" t="s">
        <v>12472</v>
      </c>
      <c r="G11636">
        <v>7</v>
      </c>
      <c r="H11636">
        <v>625.03000000000009</v>
      </c>
      <c r="I11636">
        <v>89.29</v>
      </c>
      <c r="J11636">
        <v>0</v>
      </c>
      <c r="K11636">
        <v>0</v>
      </c>
      <c r="L11636">
        <v>0</v>
      </c>
      <c r="M11636">
        <v>7</v>
      </c>
      <c r="N11636">
        <v>625.03000000000009</v>
      </c>
      <c r="O11636">
        <v>89.29</v>
      </c>
    </row>
    <row r="11637" spans="1:15" x14ac:dyDescent="0.35">
      <c r="A11637" t="s">
        <v>12446</v>
      </c>
      <c r="B11637" t="s">
        <v>195</v>
      </c>
      <c r="C11637" t="s">
        <v>11188</v>
      </c>
      <c r="D11637" t="s">
        <v>323</v>
      </c>
      <c r="E11637" t="s">
        <v>310</v>
      </c>
      <c r="F11637" t="s">
        <v>12473</v>
      </c>
      <c r="G11637">
        <v>8715</v>
      </c>
      <c r="H11637">
        <v>1256980.6200000001</v>
      </c>
      <c r="I11637">
        <v>144.22999999999999</v>
      </c>
      <c r="J11637">
        <v>9337</v>
      </c>
      <c r="K11637">
        <v>1202066.0199999998</v>
      </c>
      <c r="L11637">
        <v>128.74</v>
      </c>
      <c r="M11637">
        <v>18052</v>
      </c>
      <c r="N11637">
        <v>2459046.6399999997</v>
      </c>
      <c r="O11637">
        <v>136.22</v>
      </c>
    </row>
    <row r="11638" spans="1:15" x14ac:dyDescent="0.35">
      <c r="A11638" t="s">
        <v>12446</v>
      </c>
      <c r="B11638" t="s">
        <v>195</v>
      </c>
      <c r="C11638" t="s">
        <v>11188</v>
      </c>
      <c r="D11638" t="s">
        <v>323</v>
      </c>
      <c r="E11638" t="s">
        <v>312</v>
      </c>
      <c r="F11638" t="s">
        <v>12474</v>
      </c>
      <c r="G11638">
        <v>8708</v>
      </c>
      <c r="H11638">
        <v>1256355.5900000001</v>
      </c>
      <c r="I11638">
        <v>144.28</v>
      </c>
      <c r="J11638">
        <v>9337</v>
      </c>
      <c r="K11638">
        <v>1202066.0199999998</v>
      </c>
      <c r="L11638">
        <v>128.74</v>
      </c>
      <c r="M11638">
        <v>18045</v>
      </c>
      <c r="N11638">
        <v>2458421.61</v>
      </c>
      <c r="O11638">
        <v>136.24</v>
      </c>
    </row>
    <row r="11639" spans="1:15" x14ac:dyDescent="0.35">
      <c r="A11639" t="s">
        <v>12446</v>
      </c>
      <c r="B11639" t="s">
        <v>195</v>
      </c>
      <c r="C11639" t="s">
        <v>11188</v>
      </c>
      <c r="D11639" t="s">
        <v>334</v>
      </c>
      <c r="E11639" t="s">
        <v>312</v>
      </c>
      <c r="F11639" t="s">
        <v>12475</v>
      </c>
      <c r="G11639">
        <v>11024</v>
      </c>
      <c r="H11639">
        <v>1679472.31</v>
      </c>
      <c r="I11639">
        <v>159.21</v>
      </c>
      <c r="J11639">
        <v>9454</v>
      </c>
      <c r="K11639">
        <v>1230923.8599999999</v>
      </c>
      <c r="L11639">
        <v>130.19999999999999</v>
      </c>
      <c r="M11639">
        <v>20478</v>
      </c>
      <c r="N11639">
        <v>2910396.17</v>
      </c>
      <c r="O11639">
        <v>145.5</v>
      </c>
    </row>
    <row r="11640" spans="1:15" x14ac:dyDescent="0.35">
      <c r="A11640" t="s">
        <v>12446</v>
      </c>
      <c r="B11640" t="s">
        <v>195</v>
      </c>
      <c r="C11640" t="s">
        <v>11188</v>
      </c>
      <c r="D11640" t="s">
        <v>334</v>
      </c>
      <c r="E11640" t="s">
        <v>308</v>
      </c>
      <c r="F11640" t="s">
        <v>12476</v>
      </c>
      <c r="G11640">
        <v>13</v>
      </c>
      <c r="H11640">
        <v>625.03000000000009</v>
      </c>
      <c r="I11640">
        <v>89.29</v>
      </c>
      <c r="J11640">
        <v>0</v>
      </c>
      <c r="K11640">
        <v>0</v>
      </c>
      <c r="L11640">
        <v>0</v>
      </c>
      <c r="M11640">
        <v>13</v>
      </c>
      <c r="N11640">
        <v>625.03000000000009</v>
      </c>
      <c r="O11640">
        <v>89.29</v>
      </c>
    </row>
    <row r="11641" spans="1:15" x14ac:dyDescent="0.35">
      <c r="A11641" t="s">
        <v>12446</v>
      </c>
      <c r="B11641" t="s">
        <v>195</v>
      </c>
      <c r="C11641" t="s">
        <v>11188</v>
      </c>
      <c r="D11641" t="s">
        <v>337</v>
      </c>
      <c r="E11641" t="s">
        <v>337</v>
      </c>
      <c r="F11641" t="s">
        <v>12477</v>
      </c>
      <c r="G11641">
        <v>2155</v>
      </c>
      <c r="J11641">
        <v>284</v>
      </c>
      <c r="M11641">
        <v>2439</v>
      </c>
    </row>
    <row r="11642" spans="1:15" x14ac:dyDescent="0.35">
      <c r="A11642" t="s">
        <v>12446</v>
      </c>
      <c r="B11642" t="s">
        <v>195</v>
      </c>
      <c r="C11642" t="s">
        <v>11188</v>
      </c>
      <c r="D11642" t="s">
        <v>339</v>
      </c>
      <c r="E11642" t="s">
        <v>294</v>
      </c>
      <c r="F11642" t="s">
        <v>12478</v>
      </c>
      <c r="G11642">
        <v>884</v>
      </c>
      <c r="H11642">
        <v>112854.50000000001</v>
      </c>
      <c r="I11642">
        <v>127.66</v>
      </c>
      <c r="J11642">
        <v>345</v>
      </c>
      <c r="K11642">
        <v>36404.400000000001</v>
      </c>
      <c r="L11642">
        <v>105.52</v>
      </c>
      <c r="M11642">
        <v>1229</v>
      </c>
      <c r="N11642">
        <v>149258.90000000002</v>
      </c>
      <c r="O11642">
        <v>121.45</v>
      </c>
    </row>
    <row r="11643" spans="1:15" x14ac:dyDescent="0.35">
      <c r="A11643" t="s">
        <v>12446</v>
      </c>
      <c r="B11643" t="s">
        <v>195</v>
      </c>
      <c r="C11643" t="s">
        <v>11188</v>
      </c>
      <c r="D11643" t="s">
        <v>339</v>
      </c>
      <c r="E11643" t="s">
        <v>296</v>
      </c>
      <c r="F11643" t="s">
        <v>12479</v>
      </c>
      <c r="G11643">
        <v>58</v>
      </c>
      <c r="H11643">
        <v>8449.23</v>
      </c>
      <c r="I11643">
        <v>145.68</v>
      </c>
      <c r="J11643">
        <v>1</v>
      </c>
      <c r="K11643">
        <v>131.09</v>
      </c>
      <c r="L11643">
        <v>131.09</v>
      </c>
      <c r="M11643">
        <v>59</v>
      </c>
      <c r="N11643">
        <v>8580.32</v>
      </c>
      <c r="O11643">
        <v>145.43</v>
      </c>
    </row>
    <row r="11644" spans="1:15" x14ac:dyDescent="0.35">
      <c r="A11644" t="s">
        <v>12446</v>
      </c>
      <c r="B11644" t="s">
        <v>195</v>
      </c>
      <c r="C11644" t="s">
        <v>11188</v>
      </c>
      <c r="D11644" t="s">
        <v>339</v>
      </c>
      <c r="E11644" t="s">
        <v>298</v>
      </c>
      <c r="F11644" t="s">
        <v>12480</v>
      </c>
      <c r="G11644">
        <v>12</v>
      </c>
      <c r="H11644">
        <v>1998.48</v>
      </c>
      <c r="I11644">
        <v>166.54</v>
      </c>
      <c r="J11644">
        <v>0</v>
      </c>
      <c r="K11644">
        <v>0</v>
      </c>
      <c r="L11644">
        <v>0</v>
      </c>
      <c r="M11644">
        <v>12</v>
      </c>
      <c r="N11644">
        <v>1998.48</v>
      </c>
      <c r="O11644">
        <v>166.54</v>
      </c>
    </row>
    <row r="11645" spans="1:15" x14ac:dyDescent="0.35">
      <c r="A11645" t="s">
        <v>12446</v>
      </c>
      <c r="B11645" t="s">
        <v>195</v>
      </c>
      <c r="C11645" t="s">
        <v>11188</v>
      </c>
      <c r="D11645" t="s">
        <v>339</v>
      </c>
      <c r="E11645" t="s">
        <v>300</v>
      </c>
      <c r="F11645" t="s">
        <v>12481</v>
      </c>
      <c r="G11645">
        <v>1</v>
      </c>
      <c r="H11645">
        <v>182.9</v>
      </c>
      <c r="I11645">
        <v>182.9</v>
      </c>
      <c r="J11645">
        <v>0</v>
      </c>
      <c r="K11645">
        <v>0</v>
      </c>
      <c r="L11645">
        <v>0</v>
      </c>
      <c r="M11645">
        <v>1</v>
      </c>
      <c r="N11645">
        <v>182.9</v>
      </c>
      <c r="O11645">
        <v>182.9</v>
      </c>
    </row>
    <row r="11646" spans="1:15" x14ac:dyDescent="0.35">
      <c r="A11646" t="s">
        <v>12446</v>
      </c>
      <c r="B11646" t="s">
        <v>195</v>
      </c>
      <c r="C11646" t="s">
        <v>11188</v>
      </c>
      <c r="D11646" t="s">
        <v>339</v>
      </c>
      <c r="E11646" t="s">
        <v>306</v>
      </c>
      <c r="F11646" t="s">
        <v>12482</v>
      </c>
      <c r="G11646">
        <v>116</v>
      </c>
      <c r="H11646">
        <v>12419.670000000002</v>
      </c>
      <c r="I11646">
        <v>107.07</v>
      </c>
      <c r="J11646">
        <v>114</v>
      </c>
      <c r="K11646">
        <v>10543.859999999999</v>
      </c>
      <c r="L11646">
        <v>92.49</v>
      </c>
      <c r="M11646">
        <v>230</v>
      </c>
      <c r="N11646">
        <v>22963.53</v>
      </c>
      <c r="O11646">
        <v>99.84</v>
      </c>
    </row>
    <row r="11647" spans="1:15" x14ac:dyDescent="0.35">
      <c r="A11647" t="s">
        <v>12446</v>
      </c>
      <c r="B11647" t="s">
        <v>195</v>
      </c>
      <c r="C11647" t="s">
        <v>11188</v>
      </c>
      <c r="D11647" t="s">
        <v>339</v>
      </c>
      <c r="E11647" t="s">
        <v>308</v>
      </c>
      <c r="F11647" t="s">
        <v>12483</v>
      </c>
      <c r="G11647">
        <v>518</v>
      </c>
      <c r="H11647">
        <v>74607.59</v>
      </c>
      <c r="I11647">
        <v>144.03</v>
      </c>
      <c r="J11647">
        <v>0</v>
      </c>
      <c r="K11647">
        <v>0</v>
      </c>
      <c r="L11647">
        <v>0</v>
      </c>
      <c r="M11647">
        <v>518</v>
      </c>
      <c r="N11647">
        <v>74607.59</v>
      </c>
      <c r="O11647">
        <v>144.03</v>
      </c>
    </row>
    <row r="11648" spans="1:15" x14ac:dyDescent="0.35">
      <c r="A11648" t="s">
        <v>12446</v>
      </c>
      <c r="B11648" t="s">
        <v>195</v>
      </c>
      <c r="C11648" t="s">
        <v>11188</v>
      </c>
      <c r="D11648" t="s">
        <v>339</v>
      </c>
      <c r="E11648" t="s">
        <v>310</v>
      </c>
      <c r="F11648" t="s">
        <v>12484</v>
      </c>
      <c r="G11648">
        <v>1589</v>
      </c>
      <c r="H11648">
        <v>210512.37</v>
      </c>
      <c r="I11648">
        <v>132.47999999999999</v>
      </c>
      <c r="J11648">
        <v>460</v>
      </c>
      <c r="K11648">
        <v>47079.35</v>
      </c>
      <c r="L11648">
        <v>102.35</v>
      </c>
      <c r="M11648">
        <v>2049</v>
      </c>
      <c r="N11648">
        <v>257591.72</v>
      </c>
      <c r="O11648">
        <v>125.72</v>
      </c>
    </row>
    <row r="11649" spans="1:15" x14ac:dyDescent="0.35">
      <c r="A11649" t="s">
        <v>12446</v>
      </c>
      <c r="B11649" t="s">
        <v>195</v>
      </c>
      <c r="C11649" t="s">
        <v>11188</v>
      </c>
      <c r="D11649" t="s">
        <v>339</v>
      </c>
      <c r="E11649" t="s">
        <v>312</v>
      </c>
      <c r="F11649" t="s">
        <v>12485</v>
      </c>
      <c r="G11649">
        <v>1071</v>
      </c>
      <c r="H11649">
        <v>135904.78</v>
      </c>
      <c r="I11649">
        <v>126.9</v>
      </c>
      <c r="J11649">
        <v>460</v>
      </c>
      <c r="K11649">
        <v>47079.35</v>
      </c>
      <c r="L11649">
        <v>102.35</v>
      </c>
      <c r="M11649">
        <v>1531</v>
      </c>
      <c r="N11649">
        <v>182984.13</v>
      </c>
      <c r="O11649">
        <v>119.52</v>
      </c>
    </row>
    <row r="11650" spans="1:15" x14ac:dyDescent="0.35">
      <c r="A11650" t="s">
        <v>12446</v>
      </c>
      <c r="B11650" t="s">
        <v>195</v>
      </c>
      <c r="C11650" t="s">
        <v>11188</v>
      </c>
      <c r="D11650" t="s">
        <v>348</v>
      </c>
      <c r="E11650" t="s">
        <v>349</v>
      </c>
      <c r="F11650" t="s">
        <v>12486</v>
      </c>
      <c r="G11650">
        <v>1875</v>
      </c>
      <c r="H11650">
        <v>231449.19000000003</v>
      </c>
      <c r="I11650">
        <v>138.43</v>
      </c>
      <c r="J11650">
        <v>460</v>
      </c>
      <c r="K11650">
        <v>47079.35</v>
      </c>
      <c r="L11650">
        <v>102.35</v>
      </c>
      <c r="M11650">
        <v>2335</v>
      </c>
      <c r="N11650">
        <v>278528.54000000004</v>
      </c>
      <c r="O11650">
        <v>130.63999999999999</v>
      </c>
    </row>
    <row r="11651" spans="1:15" x14ac:dyDescent="0.35">
      <c r="A11651" t="s">
        <v>12487</v>
      </c>
      <c r="B11651" t="s">
        <v>196</v>
      </c>
      <c r="C11651" t="s">
        <v>11188</v>
      </c>
      <c r="D11651" t="s">
        <v>293</v>
      </c>
      <c r="E11651" t="s">
        <v>294</v>
      </c>
      <c r="F11651" t="s">
        <v>12488</v>
      </c>
      <c r="G11651">
        <v>536</v>
      </c>
      <c r="H11651">
        <v>117663.12000000002</v>
      </c>
      <c r="I11651">
        <v>219.52</v>
      </c>
      <c r="J11651">
        <v>105</v>
      </c>
      <c r="K11651">
        <v>20885.55</v>
      </c>
      <c r="L11651">
        <v>198.91</v>
      </c>
      <c r="M11651">
        <v>641</v>
      </c>
      <c r="N11651">
        <v>138548.67000000001</v>
      </c>
      <c r="O11651">
        <v>216.14</v>
      </c>
    </row>
    <row r="11652" spans="1:15" x14ac:dyDescent="0.35">
      <c r="A11652" t="s">
        <v>12487</v>
      </c>
      <c r="B11652" t="s">
        <v>196</v>
      </c>
      <c r="C11652" t="s">
        <v>11188</v>
      </c>
      <c r="D11652" t="s">
        <v>293</v>
      </c>
      <c r="E11652" t="s">
        <v>296</v>
      </c>
      <c r="F11652" t="s">
        <v>12489</v>
      </c>
      <c r="G11652">
        <v>629</v>
      </c>
      <c r="H11652">
        <v>156541.95000000001</v>
      </c>
      <c r="I11652">
        <v>248.87</v>
      </c>
      <c r="J11652">
        <v>189</v>
      </c>
      <c r="K11652">
        <v>38391.57</v>
      </c>
      <c r="L11652">
        <v>203.13</v>
      </c>
      <c r="M11652">
        <v>818</v>
      </c>
      <c r="N11652">
        <v>194933.52000000002</v>
      </c>
      <c r="O11652">
        <v>238.31</v>
      </c>
    </row>
    <row r="11653" spans="1:15" x14ac:dyDescent="0.35">
      <c r="A11653" t="s">
        <v>12487</v>
      </c>
      <c r="B11653" t="s">
        <v>196</v>
      </c>
      <c r="C11653" t="s">
        <v>11188</v>
      </c>
      <c r="D11653" t="s">
        <v>293</v>
      </c>
      <c r="E11653" t="s">
        <v>298</v>
      </c>
      <c r="F11653" t="s">
        <v>12490</v>
      </c>
      <c r="G11653">
        <v>323</v>
      </c>
      <c r="H11653">
        <v>83609.36</v>
      </c>
      <c r="I11653">
        <v>258.85000000000002</v>
      </c>
      <c r="J11653">
        <v>200</v>
      </c>
      <c r="K11653">
        <v>45300</v>
      </c>
      <c r="L11653">
        <v>226.5</v>
      </c>
      <c r="M11653">
        <v>523</v>
      </c>
      <c r="N11653">
        <v>128909.36</v>
      </c>
      <c r="O11653">
        <v>246.48</v>
      </c>
    </row>
    <row r="11654" spans="1:15" x14ac:dyDescent="0.35">
      <c r="A11654" t="s">
        <v>12487</v>
      </c>
      <c r="B11654" t="s">
        <v>196</v>
      </c>
      <c r="C11654" t="s">
        <v>11188</v>
      </c>
      <c r="D11654" t="s">
        <v>293</v>
      </c>
      <c r="E11654" t="s">
        <v>300</v>
      </c>
      <c r="F11654" t="s">
        <v>12491</v>
      </c>
      <c r="G11654">
        <v>84</v>
      </c>
      <c r="H11654">
        <v>23653.979999999996</v>
      </c>
      <c r="I11654">
        <v>281.60000000000002</v>
      </c>
      <c r="J11654">
        <v>86</v>
      </c>
      <c r="K11654">
        <v>19976.080000000002</v>
      </c>
      <c r="L11654">
        <v>232.28</v>
      </c>
      <c r="M11654">
        <v>170</v>
      </c>
      <c r="N11654">
        <v>43630.06</v>
      </c>
      <c r="O11654">
        <v>256.64999999999998</v>
      </c>
    </row>
    <row r="11655" spans="1:15" x14ac:dyDescent="0.35">
      <c r="A11655" t="s">
        <v>12487</v>
      </c>
      <c r="B11655" t="s">
        <v>196</v>
      </c>
      <c r="C11655" t="s">
        <v>11188</v>
      </c>
      <c r="D11655" t="s">
        <v>293</v>
      </c>
      <c r="E11655" t="s">
        <v>302</v>
      </c>
      <c r="F11655" t="s">
        <v>12492</v>
      </c>
      <c r="G11655">
        <v>0</v>
      </c>
      <c r="H11655">
        <v>0</v>
      </c>
      <c r="I11655">
        <v>0</v>
      </c>
      <c r="J11655">
        <v>12</v>
      </c>
      <c r="K11655">
        <v>2722.68</v>
      </c>
      <c r="L11655">
        <v>226.89</v>
      </c>
      <c r="M11655">
        <v>12</v>
      </c>
      <c r="N11655">
        <v>2722.68</v>
      </c>
      <c r="O11655">
        <v>226.89</v>
      </c>
    </row>
    <row r="11656" spans="1:15" x14ac:dyDescent="0.35">
      <c r="A11656" t="s">
        <v>12487</v>
      </c>
      <c r="B11656" t="s">
        <v>196</v>
      </c>
      <c r="C11656" t="s">
        <v>11188</v>
      </c>
      <c r="D11656" t="s">
        <v>293</v>
      </c>
      <c r="E11656" t="s">
        <v>304</v>
      </c>
      <c r="F11656" t="s">
        <v>12493</v>
      </c>
      <c r="G11656">
        <v>0</v>
      </c>
      <c r="H11656">
        <v>0</v>
      </c>
      <c r="I11656">
        <v>0</v>
      </c>
      <c r="J11656">
        <v>6</v>
      </c>
      <c r="K11656">
        <v>1634.22</v>
      </c>
      <c r="L11656">
        <v>272.37</v>
      </c>
      <c r="M11656">
        <v>6</v>
      </c>
      <c r="N11656">
        <v>1634.22</v>
      </c>
      <c r="O11656">
        <v>272.37</v>
      </c>
    </row>
    <row r="11657" spans="1:15" x14ac:dyDescent="0.35">
      <c r="A11657" t="s">
        <v>12487</v>
      </c>
      <c r="B11657" t="s">
        <v>196</v>
      </c>
      <c r="C11657" t="s">
        <v>11188</v>
      </c>
      <c r="D11657" t="s">
        <v>293</v>
      </c>
      <c r="E11657" t="s">
        <v>306</v>
      </c>
      <c r="F11657" t="s">
        <v>12494</v>
      </c>
      <c r="G11657">
        <v>26</v>
      </c>
      <c r="H11657">
        <v>4355.3</v>
      </c>
      <c r="I11657">
        <v>167.51</v>
      </c>
      <c r="J11657">
        <v>7</v>
      </c>
      <c r="K11657">
        <v>1224.79</v>
      </c>
      <c r="L11657">
        <v>174.97</v>
      </c>
      <c r="M11657">
        <v>33</v>
      </c>
      <c r="N11657">
        <v>5580.09</v>
      </c>
      <c r="O11657">
        <v>169.09</v>
      </c>
    </row>
    <row r="11658" spans="1:15" x14ac:dyDescent="0.35">
      <c r="A11658" t="s">
        <v>12487</v>
      </c>
      <c r="B11658" t="s">
        <v>196</v>
      </c>
      <c r="C11658" t="s">
        <v>11188</v>
      </c>
      <c r="D11658" t="s">
        <v>293</v>
      </c>
      <c r="E11658" t="s">
        <v>308</v>
      </c>
      <c r="F11658" t="s">
        <v>12495</v>
      </c>
      <c r="G11658">
        <v>0</v>
      </c>
      <c r="H11658">
        <v>0</v>
      </c>
      <c r="I11658">
        <v>0</v>
      </c>
      <c r="J11658">
        <v>0</v>
      </c>
      <c r="K11658">
        <v>0</v>
      </c>
      <c r="L11658">
        <v>0</v>
      </c>
      <c r="M11658">
        <v>0</v>
      </c>
      <c r="N11658">
        <v>0</v>
      </c>
      <c r="O11658">
        <v>0</v>
      </c>
    </row>
    <row r="11659" spans="1:15" x14ac:dyDescent="0.35">
      <c r="A11659" t="s">
        <v>12487</v>
      </c>
      <c r="B11659" t="s">
        <v>196</v>
      </c>
      <c r="C11659" t="s">
        <v>11188</v>
      </c>
      <c r="D11659" t="s">
        <v>293</v>
      </c>
      <c r="E11659" t="s">
        <v>310</v>
      </c>
      <c r="F11659" t="s">
        <v>12496</v>
      </c>
      <c r="G11659">
        <v>1598</v>
      </c>
      <c r="H11659">
        <v>385823.71</v>
      </c>
      <c r="I11659">
        <v>241.44</v>
      </c>
      <c r="J11659">
        <v>605</v>
      </c>
      <c r="K11659">
        <v>130134.88999999998</v>
      </c>
      <c r="L11659">
        <v>215.1</v>
      </c>
      <c r="M11659">
        <v>2203</v>
      </c>
      <c r="N11659">
        <v>515958.6</v>
      </c>
      <c r="O11659">
        <v>234.21</v>
      </c>
    </row>
    <row r="11660" spans="1:15" x14ac:dyDescent="0.35">
      <c r="A11660" t="s">
        <v>12487</v>
      </c>
      <c r="B11660" t="s">
        <v>196</v>
      </c>
      <c r="C11660" t="s">
        <v>11188</v>
      </c>
      <c r="D11660" t="s">
        <v>293</v>
      </c>
      <c r="E11660" t="s">
        <v>312</v>
      </c>
      <c r="F11660" t="s">
        <v>12497</v>
      </c>
      <c r="G11660">
        <v>1598</v>
      </c>
      <c r="H11660">
        <v>385823.71</v>
      </c>
      <c r="I11660">
        <v>241.44</v>
      </c>
      <c r="J11660">
        <v>605</v>
      </c>
      <c r="K11660">
        <v>130134.88999999998</v>
      </c>
      <c r="L11660">
        <v>215.1</v>
      </c>
      <c r="M11660">
        <v>2203</v>
      </c>
      <c r="N11660">
        <v>515958.6</v>
      </c>
      <c r="O11660">
        <v>234.21</v>
      </c>
    </row>
    <row r="11661" spans="1:15" x14ac:dyDescent="0.35">
      <c r="A11661" t="s">
        <v>12487</v>
      </c>
      <c r="B11661" t="s">
        <v>196</v>
      </c>
      <c r="C11661" t="s">
        <v>11188</v>
      </c>
      <c r="D11661" t="s">
        <v>314</v>
      </c>
      <c r="E11661" t="s">
        <v>294</v>
      </c>
      <c r="F11661" t="s">
        <v>12498</v>
      </c>
      <c r="G11661">
        <v>34</v>
      </c>
      <c r="H11661">
        <v>9762.14</v>
      </c>
      <c r="I11661">
        <v>287.12</v>
      </c>
      <c r="J11661">
        <v>10</v>
      </c>
      <c r="K11661">
        <v>1939.3000000000002</v>
      </c>
      <c r="L11661">
        <v>193.93</v>
      </c>
      <c r="M11661">
        <v>44</v>
      </c>
      <c r="N11661">
        <v>11701.439999999999</v>
      </c>
      <c r="O11661">
        <v>265.94</v>
      </c>
    </row>
    <row r="11662" spans="1:15" x14ac:dyDescent="0.35">
      <c r="A11662" t="s">
        <v>12487</v>
      </c>
      <c r="B11662" t="s">
        <v>196</v>
      </c>
      <c r="C11662" t="s">
        <v>11188</v>
      </c>
      <c r="D11662" t="s">
        <v>314</v>
      </c>
      <c r="E11662" t="s">
        <v>296</v>
      </c>
      <c r="F11662" t="s">
        <v>12499</v>
      </c>
      <c r="G11662">
        <v>0</v>
      </c>
      <c r="H11662">
        <v>0</v>
      </c>
      <c r="I11662">
        <v>0</v>
      </c>
      <c r="J11662">
        <v>0</v>
      </c>
      <c r="K11662">
        <v>0</v>
      </c>
      <c r="L11662">
        <v>0</v>
      </c>
      <c r="M11662">
        <v>0</v>
      </c>
      <c r="N11662">
        <v>0</v>
      </c>
      <c r="O11662">
        <v>0</v>
      </c>
    </row>
    <row r="11663" spans="1:15" x14ac:dyDescent="0.35">
      <c r="A11663" t="s">
        <v>12487</v>
      </c>
      <c r="B11663" t="s">
        <v>196</v>
      </c>
      <c r="C11663" t="s">
        <v>11188</v>
      </c>
      <c r="D11663" t="s">
        <v>314</v>
      </c>
      <c r="E11663" t="s">
        <v>298</v>
      </c>
      <c r="F11663" t="s">
        <v>12500</v>
      </c>
      <c r="G11663">
        <v>0</v>
      </c>
      <c r="H11663">
        <v>0</v>
      </c>
      <c r="I11663">
        <v>0</v>
      </c>
      <c r="J11663">
        <v>0</v>
      </c>
      <c r="K11663">
        <v>0</v>
      </c>
      <c r="L11663">
        <v>0</v>
      </c>
      <c r="M11663">
        <v>0</v>
      </c>
      <c r="N11663">
        <v>0</v>
      </c>
      <c r="O11663">
        <v>0</v>
      </c>
    </row>
    <row r="11664" spans="1:15" x14ac:dyDescent="0.35">
      <c r="A11664" t="s">
        <v>12487</v>
      </c>
      <c r="B11664" t="s">
        <v>196</v>
      </c>
      <c r="C11664" t="s">
        <v>11188</v>
      </c>
      <c r="D11664" t="s">
        <v>314</v>
      </c>
      <c r="E11664" t="s">
        <v>300</v>
      </c>
      <c r="F11664" t="s">
        <v>12501</v>
      </c>
      <c r="G11664">
        <v>0</v>
      </c>
      <c r="H11664">
        <v>0</v>
      </c>
      <c r="I11664">
        <v>0</v>
      </c>
      <c r="J11664">
        <v>0</v>
      </c>
      <c r="K11664">
        <v>0</v>
      </c>
      <c r="L11664">
        <v>0</v>
      </c>
      <c r="M11664">
        <v>0</v>
      </c>
      <c r="N11664">
        <v>0</v>
      </c>
      <c r="O11664">
        <v>0</v>
      </c>
    </row>
    <row r="11665" spans="1:15" x14ac:dyDescent="0.35">
      <c r="A11665" t="s">
        <v>12487</v>
      </c>
      <c r="B11665" t="s">
        <v>196</v>
      </c>
      <c r="C11665" t="s">
        <v>11188</v>
      </c>
      <c r="D11665" t="s">
        <v>314</v>
      </c>
      <c r="E11665" t="s">
        <v>306</v>
      </c>
      <c r="F11665" t="s">
        <v>12502</v>
      </c>
      <c r="G11665">
        <v>0</v>
      </c>
      <c r="H11665">
        <v>0</v>
      </c>
      <c r="I11665">
        <v>0</v>
      </c>
      <c r="J11665">
        <v>0</v>
      </c>
      <c r="K11665">
        <v>0</v>
      </c>
      <c r="L11665">
        <v>0</v>
      </c>
      <c r="M11665">
        <v>0</v>
      </c>
      <c r="N11665">
        <v>0</v>
      </c>
      <c r="O11665">
        <v>0</v>
      </c>
    </row>
    <row r="11666" spans="1:15" x14ac:dyDescent="0.35">
      <c r="A11666" t="s">
        <v>12487</v>
      </c>
      <c r="B11666" t="s">
        <v>196</v>
      </c>
      <c r="C11666" t="s">
        <v>11188</v>
      </c>
      <c r="D11666" t="s">
        <v>314</v>
      </c>
      <c r="E11666" t="s">
        <v>308</v>
      </c>
      <c r="F11666" t="s">
        <v>12503</v>
      </c>
      <c r="G11666">
        <v>0</v>
      </c>
      <c r="H11666">
        <v>0</v>
      </c>
      <c r="I11666">
        <v>0</v>
      </c>
      <c r="J11666">
        <v>0</v>
      </c>
      <c r="K11666">
        <v>0</v>
      </c>
      <c r="L11666">
        <v>0</v>
      </c>
      <c r="M11666">
        <v>0</v>
      </c>
      <c r="N11666">
        <v>0</v>
      </c>
      <c r="O11666">
        <v>0</v>
      </c>
    </row>
    <row r="11667" spans="1:15" x14ac:dyDescent="0.35">
      <c r="A11667" t="s">
        <v>12487</v>
      </c>
      <c r="B11667" t="s">
        <v>196</v>
      </c>
      <c r="C11667" t="s">
        <v>11188</v>
      </c>
      <c r="D11667" t="s">
        <v>314</v>
      </c>
      <c r="E11667" t="s">
        <v>312</v>
      </c>
      <c r="F11667" t="s">
        <v>12504</v>
      </c>
      <c r="G11667">
        <v>34</v>
      </c>
      <c r="H11667">
        <v>9762.14</v>
      </c>
      <c r="I11667">
        <v>287.12</v>
      </c>
      <c r="J11667">
        <v>10</v>
      </c>
      <c r="K11667">
        <v>1939.3000000000002</v>
      </c>
      <c r="L11667">
        <v>193.93</v>
      </c>
      <c r="M11667">
        <v>44</v>
      </c>
      <c r="N11667">
        <v>11701.439999999999</v>
      </c>
      <c r="O11667">
        <v>265.94</v>
      </c>
    </row>
    <row r="11668" spans="1:15" x14ac:dyDescent="0.35">
      <c r="A11668" t="s">
        <v>12487</v>
      </c>
      <c r="B11668" t="s">
        <v>196</v>
      </c>
      <c r="C11668" t="s">
        <v>11188</v>
      </c>
      <c r="D11668" t="s">
        <v>314</v>
      </c>
      <c r="E11668" t="s">
        <v>310</v>
      </c>
      <c r="F11668" t="s">
        <v>12505</v>
      </c>
      <c r="G11668">
        <v>34</v>
      </c>
      <c r="H11668">
        <v>9762.14</v>
      </c>
      <c r="I11668">
        <v>287.12</v>
      </c>
      <c r="J11668">
        <v>10</v>
      </c>
      <c r="K11668">
        <v>1939.3000000000002</v>
      </c>
      <c r="L11668">
        <v>193.93</v>
      </c>
      <c r="M11668">
        <v>44</v>
      </c>
      <c r="N11668">
        <v>11701.439999999999</v>
      </c>
      <c r="O11668">
        <v>265.94</v>
      </c>
    </row>
    <row r="11669" spans="1:15" x14ac:dyDescent="0.35">
      <c r="A11669" t="s">
        <v>12487</v>
      </c>
      <c r="B11669" t="s">
        <v>196</v>
      </c>
      <c r="C11669" t="s">
        <v>11188</v>
      </c>
      <c r="D11669" t="s">
        <v>323</v>
      </c>
      <c r="E11669" t="s">
        <v>294</v>
      </c>
      <c r="F11669" t="s">
        <v>12506</v>
      </c>
      <c r="G11669">
        <v>2604</v>
      </c>
      <c r="H11669">
        <v>377345.83999999997</v>
      </c>
      <c r="I11669">
        <v>144.91</v>
      </c>
      <c r="J11669">
        <v>3645</v>
      </c>
      <c r="K11669">
        <v>440607.6</v>
      </c>
      <c r="L11669">
        <v>120.88</v>
      </c>
      <c r="M11669">
        <v>6249</v>
      </c>
      <c r="N11669">
        <v>817953.44</v>
      </c>
      <c r="O11669">
        <v>130.88999999999999</v>
      </c>
    </row>
    <row r="11670" spans="1:15" x14ac:dyDescent="0.35">
      <c r="A11670" t="s">
        <v>12487</v>
      </c>
      <c r="B11670" t="s">
        <v>196</v>
      </c>
      <c r="C11670" t="s">
        <v>11188</v>
      </c>
      <c r="D11670" t="s">
        <v>323</v>
      </c>
      <c r="E11670" t="s">
        <v>296</v>
      </c>
      <c r="F11670" t="s">
        <v>12507</v>
      </c>
      <c r="G11670">
        <v>2206</v>
      </c>
      <c r="H11670">
        <v>361496.21</v>
      </c>
      <c r="I11670">
        <v>163.87</v>
      </c>
      <c r="J11670">
        <v>6261</v>
      </c>
      <c r="K11670">
        <v>907218.9</v>
      </c>
      <c r="L11670">
        <v>144.9</v>
      </c>
      <c r="M11670">
        <v>8467</v>
      </c>
      <c r="N11670">
        <v>1268715.1100000001</v>
      </c>
      <c r="O11670">
        <v>149.84</v>
      </c>
    </row>
    <row r="11671" spans="1:15" x14ac:dyDescent="0.35">
      <c r="A11671" t="s">
        <v>12487</v>
      </c>
      <c r="B11671" t="s">
        <v>196</v>
      </c>
      <c r="C11671" t="s">
        <v>11188</v>
      </c>
      <c r="D11671" t="s">
        <v>323</v>
      </c>
      <c r="E11671" t="s">
        <v>298</v>
      </c>
      <c r="F11671" t="s">
        <v>12508</v>
      </c>
      <c r="G11671">
        <v>1540</v>
      </c>
      <c r="H11671">
        <v>274877.73000000004</v>
      </c>
      <c r="I11671">
        <v>178.49</v>
      </c>
      <c r="J11671">
        <v>4023</v>
      </c>
      <c r="K11671">
        <v>735002.1</v>
      </c>
      <c r="L11671">
        <v>182.7</v>
      </c>
      <c r="M11671">
        <v>5563</v>
      </c>
      <c r="N11671">
        <v>1009879.8300000001</v>
      </c>
      <c r="O11671">
        <v>181.54</v>
      </c>
    </row>
    <row r="11672" spans="1:15" x14ac:dyDescent="0.35">
      <c r="A11672" t="s">
        <v>12487</v>
      </c>
      <c r="B11672" t="s">
        <v>196</v>
      </c>
      <c r="C11672" t="s">
        <v>11188</v>
      </c>
      <c r="D11672" t="s">
        <v>323</v>
      </c>
      <c r="E11672" t="s">
        <v>300</v>
      </c>
      <c r="F11672" t="s">
        <v>12509</v>
      </c>
      <c r="G11672">
        <v>271</v>
      </c>
      <c r="H11672">
        <v>50993.880000000012</v>
      </c>
      <c r="I11672">
        <v>188.17</v>
      </c>
      <c r="J11672">
        <v>951</v>
      </c>
      <c r="K11672">
        <v>194850.38999999998</v>
      </c>
      <c r="L11672">
        <v>204.89</v>
      </c>
      <c r="M11672">
        <v>1222</v>
      </c>
      <c r="N11672">
        <v>245844.27</v>
      </c>
      <c r="O11672">
        <v>201.18</v>
      </c>
    </row>
    <row r="11673" spans="1:15" x14ac:dyDescent="0.35">
      <c r="A11673" t="s">
        <v>12487</v>
      </c>
      <c r="B11673" t="s">
        <v>196</v>
      </c>
      <c r="C11673" t="s">
        <v>11188</v>
      </c>
      <c r="D11673" t="s">
        <v>323</v>
      </c>
      <c r="E11673" t="s">
        <v>302</v>
      </c>
      <c r="F11673" t="s">
        <v>12510</v>
      </c>
      <c r="G11673">
        <v>30</v>
      </c>
      <c r="H11673">
        <v>5964.64</v>
      </c>
      <c r="I11673">
        <v>198.82</v>
      </c>
      <c r="J11673">
        <v>81</v>
      </c>
      <c r="K11673">
        <v>18754.739999999998</v>
      </c>
      <c r="L11673">
        <v>231.54</v>
      </c>
      <c r="M11673">
        <v>111</v>
      </c>
      <c r="N11673">
        <v>24719.379999999997</v>
      </c>
      <c r="O11673">
        <v>222.7</v>
      </c>
    </row>
    <row r="11674" spans="1:15" x14ac:dyDescent="0.35">
      <c r="A11674" t="s">
        <v>12487</v>
      </c>
      <c r="B11674" t="s">
        <v>196</v>
      </c>
      <c r="C11674" t="s">
        <v>11188</v>
      </c>
      <c r="D11674" t="s">
        <v>323</v>
      </c>
      <c r="E11674" t="s">
        <v>304</v>
      </c>
      <c r="F11674" t="s">
        <v>12511</v>
      </c>
      <c r="G11674">
        <v>15</v>
      </c>
      <c r="H11674">
        <v>3155.19</v>
      </c>
      <c r="I11674">
        <v>210.35</v>
      </c>
      <c r="J11674">
        <v>20</v>
      </c>
      <c r="K11674">
        <v>5338</v>
      </c>
      <c r="L11674">
        <v>266.89999999999998</v>
      </c>
      <c r="M11674">
        <v>35</v>
      </c>
      <c r="N11674">
        <v>8493.19</v>
      </c>
      <c r="O11674">
        <v>242.66</v>
      </c>
    </row>
    <row r="11675" spans="1:15" x14ac:dyDescent="0.35">
      <c r="A11675" t="s">
        <v>12487</v>
      </c>
      <c r="B11675" t="s">
        <v>196</v>
      </c>
      <c r="C11675" t="s">
        <v>11188</v>
      </c>
      <c r="D11675" t="s">
        <v>323</v>
      </c>
      <c r="E11675" t="s">
        <v>306</v>
      </c>
      <c r="F11675" t="s">
        <v>12512</v>
      </c>
      <c r="G11675">
        <v>149</v>
      </c>
      <c r="H11675">
        <v>18276.829999999998</v>
      </c>
      <c r="I11675">
        <v>122.66</v>
      </c>
      <c r="J11675">
        <v>525</v>
      </c>
      <c r="K11675">
        <v>50489.25</v>
      </c>
      <c r="L11675">
        <v>96.17</v>
      </c>
      <c r="M11675">
        <v>674</v>
      </c>
      <c r="N11675">
        <v>68766.080000000002</v>
      </c>
      <c r="O11675">
        <v>102.03</v>
      </c>
    </row>
    <row r="11676" spans="1:15" x14ac:dyDescent="0.35">
      <c r="A11676" t="s">
        <v>12487</v>
      </c>
      <c r="B11676" t="s">
        <v>196</v>
      </c>
      <c r="C11676" t="s">
        <v>11188</v>
      </c>
      <c r="D11676" t="s">
        <v>323</v>
      </c>
      <c r="E11676" t="s">
        <v>308</v>
      </c>
      <c r="F11676" t="s">
        <v>12513</v>
      </c>
      <c r="G11676">
        <v>0</v>
      </c>
      <c r="H11676">
        <v>0</v>
      </c>
      <c r="I11676">
        <v>0</v>
      </c>
      <c r="J11676">
        <v>184</v>
      </c>
      <c r="K11676">
        <v>17956.560000000001</v>
      </c>
      <c r="L11676">
        <v>97.59</v>
      </c>
      <c r="M11676">
        <v>184</v>
      </c>
      <c r="N11676">
        <v>17956.560000000001</v>
      </c>
      <c r="O11676">
        <v>97.59</v>
      </c>
    </row>
    <row r="11677" spans="1:15" x14ac:dyDescent="0.35">
      <c r="A11677" t="s">
        <v>12487</v>
      </c>
      <c r="B11677" t="s">
        <v>196</v>
      </c>
      <c r="C11677" t="s">
        <v>11188</v>
      </c>
      <c r="D11677" t="s">
        <v>323</v>
      </c>
      <c r="E11677" t="s">
        <v>310</v>
      </c>
      <c r="F11677" t="s">
        <v>12514</v>
      </c>
      <c r="G11677">
        <v>6815</v>
      </c>
      <c r="H11677">
        <v>1092110.32</v>
      </c>
      <c r="I11677">
        <v>160.25</v>
      </c>
      <c r="J11677">
        <v>15690</v>
      </c>
      <c r="K11677">
        <v>2370217.5400000005</v>
      </c>
      <c r="L11677">
        <v>151.07</v>
      </c>
      <c r="M11677">
        <v>22505</v>
      </c>
      <c r="N11677">
        <v>3462327.8600000003</v>
      </c>
      <c r="O11677">
        <v>153.85</v>
      </c>
    </row>
    <row r="11678" spans="1:15" x14ac:dyDescent="0.35">
      <c r="A11678" t="s">
        <v>12487</v>
      </c>
      <c r="B11678" t="s">
        <v>196</v>
      </c>
      <c r="C11678" t="s">
        <v>11188</v>
      </c>
      <c r="D11678" t="s">
        <v>323</v>
      </c>
      <c r="E11678" t="s">
        <v>312</v>
      </c>
      <c r="F11678" t="s">
        <v>12515</v>
      </c>
      <c r="G11678">
        <v>6815</v>
      </c>
      <c r="H11678">
        <v>1092110.32</v>
      </c>
      <c r="I11678">
        <v>160.25</v>
      </c>
      <c r="J11678">
        <v>15506</v>
      </c>
      <c r="K11678">
        <v>2352260.9800000004</v>
      </c>
      <c r="L11678">
        <v>151.69999999999999</v>
      </c>
      <c r="M11678">
        <v>22321</v>
      </c>
      <c r="N11678">
        <v>3444371.3000000007</v>
      </c>
      <c r="O11678">
        <v>154.31</v>
      </c>
    </row>
    <row r="11679" spans="1:15" x14ac:dyDescent="0.35">
      <c r="A11679" t="s">
        <v>12487</v>
      </c>
      <c r="B11679" t="s">
        <v>196</v>
      </c>
      <c r="C11679" t="s">
        <v>11188</v>
      </c>
      <c r="D11679" t="s">
        <v>334</v>
      </c>
      <c r="E11679" t="s">
        <v>312</v>
      </c>
      <c r="F11679" t="s">
        <v>12516</v>
      </c>
      <c r="G11679">
        <v>9328</v>
      </c>
      <c r="H11679">
        <v>1477934.03</v>
      </c>
      <c r="I11679">
        <v>175.67</v>
      </c>
      <c r="J11679">
        <v>16111</v>
      </c>
      <c r="K11679">
        <v>2482395.8700000006</v>
      </c>
      <c r="L11679">
        <v>154.08000000000001</v>
      </c>
      <c r="M11679">
        <v>25439</v>
      </c>
      <c r="N11679">
        <v>3960329.9000000004</v>
      </c>
      <c r="O11679">
        <v>161.49</v>
      </c>
    </row>
    <row r="11680" spans="1:15" x14ac:dyDescent="0.35">
      <c r="A11680" t="s">
        <v>12487</v>
      </c>
      <c r="B11680" t="s">
        <v>196</v>
      </c>
      <c r="C11680" t="s">
        <v>11188</v>
      </c>
      <c r="D11680" t="s">
        <v>334</v>
      </c>
      <c r="E11680" t="s">
        <v>308</v>
      </c>
      <c r="F11680" t="s">
        <v>12517</v>
      </c>
      <c r="G11680">
        <v>324</v>
      </c>
      <c r="H11680">
        <v>0</v>
      </c>
      <c r="I11680">
        <v>0</v>
      </c>
      <c r="J11680">
        <v>184</v>
      </c>
      <c r="K11680">
        <v>17956.560000000001</v>
      </c>
      <c r="L11680">
        <v>97.59</v>
      </c>
      <c r="M11680">
        <v>508</v>
      </c>
      <c r="N11680">
        <v>17956.560000000001</v>
      </c>
      <c r="O11680">
        <v>97.59</v>
      </c>
    </row>
    <row r="11681" spans="1:15" x14ac:dyDescent="0.35">
      <c r="A11681" t="s">
        <v>12487</v>
      </c>
      <c r="B11681" t="s">
        <v>196</v>
      </c>
      <c r="C11681" t="s">
        <v>11188</v>
      </c>
      <c r="D11681" t="s">
        <v>337</v>
      </c>
      <c r="E11681" t="s">
        <v>337</v>
      </c>
      <c r="F11681" t="s">
        <v>12518</v>
      </c>
      <c r="G11681">
        <v>2818</v>
      </c>
      <c r="J11681">
        <v>87</v>
      </c>
      <c r="M11681">
        <v>2905</v>
      </c>
    </row>
    <row r="11682" spans="1:15" x14ac:dyDescent="0.35">
      <c r="A11682" t="s">
        <v>12487</v>
      </c>
      <c r="B11682" t="s">
        <v>196</v>
      </c>
      <c r="C11682" t="s">
        <v>11188</v>
      </c>
      <c r="D11682" t="s">
        <v>339</v>
      </c>
      <c r="E11682" t="s">
        <v>294</v>
      </c>
      <c r="F11682" t="s">
        <v>12519</v>
      </c>
      <c r="G11682">
        <v>1199</v>
      </c>
      <c r="H11682">
        <v>187361.57</v>
      </c>
      <c r="I11682">
        <v>156.26</v>
      </c>
      <c r="J11682">
        <v>789</v>
      </c>
      <c r="K11682">
        <v>81606.27</v>
      </c>
      <c r="L11682">
        <v>103.43</v>
      </c>
      <c r="M11682">
        <v>1988</v>
      </c>
      <c r="N11682">
        <v>268967.84000000003</v>
      </c>
      <c r="O11682">
        <v>135.30000000000001</v>
      </c>
    </row>
    <row r="11683" spans="1:15" x14ac:dyDescent="0.35">
      <c r="A11683" t="s">
        <v>12487</v>
      </c>
      <c r="B11683" t="s">
        <v>196</v>
      </c>
      <c r="C11683" t="s">
        <v>11188</v>
      </c>
      <c r="D11683" t="s">
        <v>339</v>
      </c>
      <c r="E11683" t="s">
        <v>296</v>
      </c>
      <c r="F11683" t="s">
        <v>12520</v>
      </c>
      <c r="G11683">
        <v>84</v>
      </c>
      <c r="H11683">
        <v>14416.74</v>
      </c>
      <c r="I11683">
        <v>171.63</v>
      </c>
      <c r="J11683">
        <v>15</v>
      </c>
      <c r="K11683">
        <v>1962.3</v>
      </c>
      <c r="L11683">
        <v>130.82</v>
      </c>
      <c r="M11683">
        <v>99</v>
      </c>
      <c r="N11683">
        <v>16379.039999999999</v>
      </c>
      <c r="O11683">
        <v>165.44</v>
      </c>
    </row>
    <row r="11684" spans="1:15" x14ac:dyDescent="0.35">
      <c r="A11684" t="s">
        <v>12487</v>
      </c>
      <c r="B11684" t="s">
        <v>196</v>
      </c>
      <c r="C11684" t="s">
        <v>11188</v>
      </c>
      <c r="D11684" t="s">
        <v>339</v>
      </c>
      <c r="E11684" t="s">
        <v>298</v>
      </c>
      <c r="F11684" t="s">
        <v>12521</v>
      </c>
      <c r="G11684">
        <v>5</v>
      </c>
      <c r="H11684">
        <v>1105.54</v>
      </c>
      <c r="I11684">
        <v>221.11</v>
      </c>
      <c r="J11684">
        <v>0</v>
      </c>
      <c r="K11684">
        <v>0</v>
      </c>
      <c r="L11684">
        <v>0</v>
      </c>
      <c r="M11684">
        <v>5</v>
      </c>
      <c r="N11684">
        <v>1105.54</v>
      </c>
      <c r="O11684">
        <v>221.11</v>
      </c>
    </row>
    <row r="11685" spans="1:15" x14ac:dyDescent="0.35">
      <c r="A11685" t="s">
        <v>12487</v>
      </c>
      <c r="B11685" t="s">
        <v>196</v>
      </c>
      <c r="C11685" t="s">
        <v>11188</v>
      </c>
      <c r="D11685" t="s">
        <v>339</v>
      </c>
      <c r="E11685" t="s">
        <v>300</v>
      </c>
      <c r="F11685" t="s">
        <v>12522</v>
      </c>
      <c r="G11685">
        <v>0</v>
      </c>
      <c r="H11685">
        <v>0</v>
      </c>
      <c r="I11685">
        <v>0</v>
      </c>
      <c r="J11685">
        <v>0</v>
      </c>
      <c r="K11685">
        <v>0</v>
      </c>
      <c r="L11685">
        <v>0</v>
      </c>
      <c r="M11685">
        <v>0</v>
      </c>
      <c r="N11685">
        <v>0</v>
      </c>
      <c r="O11685">
        <v>0</v>
      </c>
    </row>
    <row r="11686" spans="1:15" x14ac:dyDescent="0.35">
      <c r="A11686" t="s">
        <v>12487</v>
      </c>
      <c r="B11686" t="s">
        <v>196</v>
      </c>
      <c r="C11686" t="s">
        <v>11188</v>
      </c>
      <c r="D11686" t="s">
        <v>339</v>
      </c>
      <c r="E11686" t="s">
        <v>306</v>
      </c>
      <c r="F11686" t="s">
        <v>12523</v>
      </c>
      <c r="G11686">
        <v>80</v>
      </c>
      <c r="H11686">
        <v>10458.1</v>
      </c>
      <c r="I11686">
        <v>130.72999999999999</v>
      </c>
      <c r="J11686">
        <v>272</v>
      </c>
      <c r="K11686">
        <v>21463.52</v>
      </c>
      <c r="L11686">
        <v>78.91</v>
      </c>
      <c r="M11686">
        <v>352</v>
      </c>
      <c r="N11686">
        <v>31921.620000000003</v>
      </c>
      <c r="O11686">
        <v>90.69</v>
      </c>
    </row>
    <row r="11687" spans="1:15" x14ac:dyDescent="0.35">
      <c r="A11687" t="s">
        <v>12487</v>
      </c>
      <c r="B11687" t="s">
        <v>196</v>
      </c>
      <c r="C11687" t="s">
        <v>11188</v>
      </c>
      <c r="D11687" t="s">
        <v>339</v>
      </c>
      <c r="E11687" t="s">
        <v>308</v>
      </c>
      <c r="F11687" t="s">
        <v>12524</v>
      </c>
      <c r="G11687">
        <v>426</v>
      </c>
      <c r="H11687">
        <v>55854.05</v>
      </c>
      <c r="I11687">
        <v>131.11000000000001</v>
      </c>
      <c r="J11687">
        <v>0</v>
      </c>
      <c r="K11687">
        <v>0</v>
      </c>
      <c r="L11687">
        <v>0</v>
      </c>
      <c r="M11687">
        <v>426</v>
      </c>
      <c r="N11687">
        <v>55854.05</v>
      </c>
      <c r="O11687">
        <v>131.11000000000001</v>
      </c>
    </row>
    <row r="11688" spans="1:15" x14ac:dyDescent="0.35">
      <c r="A11688" t="s">
        <v>12487</v>
      </c>
      <c r="B11688" t="s">
        <v>196</v>
      </c>
      <c r="C11688" t="s">
        <v>11188</v>
      </c>
      <c r="D11688" t="s">
        <v>339</v>
      </c>
      <c r="E11688" t="s">
        <v>310</v>
      </c>
      <c r="F11688" t="s">
        <v>12525</v>
      </c>
      <c r="G11688">
        <v>1794</v>
      </c>
      <c r="H11688">
        <v>269196</v>
      </c>
      <c r="I11688">
        <v>150.05000000000001</v>
      </c>
      <c r="J11688">
        <v>1076</v>
      </c>
      <c r="K11688">
        <v>105032.09000000001</v>
      </c>
      <c r="L11688">
        <v>97.61</v>
      </c>
      <c r="M11688">
        <v>2870</v>
      </c>
      <c r="N11688">
        <v>374228.09</v>
      </c>
      <c r="O11688">
        <v>130.38999999999999</v>
      </c>
    </row>
    <row r="11689" spans="1:15" x14ac:dyDescent="0.35">
      <c r="A11689" t="s">
        <v>12487</v>
      </c>
      <c r="B11689" t="s">
        <v>196</v>
      </c>
      <c r="C11689" t="s">
        <v>11188</v>
      </c>
      <c r="D11689" t="s">
        <v>339</v>
      </c>
      <c r="E11689" t="s">
        <v>312</v>
      </c>
      <c r="F11689" t="s">
        <v>12526</v>
      </c>
      <c r="G11689">
        <v>1368</v>
      </c>
      <c r="H11689">
        <v>213341.95</v>
      </c>
      <c r="I11689">
        <v>155.94999999999999</v>
      </c>
      <c r="J11689">
        <v>1076</v>
      </c>
      <c r="K11689">
        <v>105032.09000000001</v>
      </c>
      <c r="L11689">
        <v>97.61</v>
      </c>
      <c r="M11689">
        <v>2444</v>
      </c>
      <c r="N11689">
        <v>318374.04000000004</v>
      </c>
      <c r="O11689">
        <v>130.27000000000001</v>
      </c>
    </row>
    <row r="11690" spans="1:15" x14ac:dyDescent="0.35">
      <c r="A11690" t="s">
        <v>12487</v>
      </c>
      <c r="B11690" t="s">
        <v>196</v>
      </c>
      <c r="C11690" t="s">
        <v>11188</v>
      </c>
      <c r="D11690" t="s">
        <v>348</v>
      </c>
      <c r="E11690" t="s">
        <v>349</v>
      </c>
      <c r="F11690" t="s">
        <v>12527</v>
      </c>
      <c r="G11690">
        <v>1959</v>
      </c>
      <c r="H11690">
        <v>278958.14</v>
      </c>
      <c r="I11690">
        <v>152.6</v>
      </c>
      <c r="J11690">
        <v>1086</v>
      </c>
      <c r="K11690">
        <v>106971.39000000001</v>
      </c>
      <c r="L11690">
        <v>98.5</v>
      </c>
      <c r="M11690">
        <v>3045</v>
      </c>
      <c r="N11690">
        <v>385929.53</v>
      </c>
      <c r="O11690">
        <v>132.44</v>
      </c>
    </row>
    <row r="11691" spans="1:15" x14ac:dyDescent="0.35">
      <c r="A11691" t="s">
        <v>12528</v>
      </c>
      <c r="B11691" t="s">
        <v>210</v>
      </c>
      <c r="C11691" t="s">
        <v>11188</v>
      </c>
      <c r="D11691" t="s">
        <v>293</v>
      </c>
      <c r="E11691" t="s">
        <v>294</v>
      </c>
      <c r="F11691" t="s">
        <v>12529</v>
      </c>
      <c r="G11691">
        <v>332</v>
      </c>
      <c r="H11691">
        <v>83245.079999999987</v>
      </c>
      <c r="I11691">
        <v>250.74</v>
      </c>
      <c r="J11691">
        <v>0</v>
      </c>
      <c r="K11691">
        <v>0</v>
      </c>
      <c r="L11691">
        <v>0</v>
      </c>
      <c r="M11691">
        <v>332</v>
      </c>
      <c r="N11691">
        <v>83245.079999999987</v>
      </c>
      <c r="O11691">
        <v>250.74</v>
      </c>
    </row>
    <row r="11692" spans="1:15" x14ac:dyDescent="0.35">
      <c r="A11692" t="s">
        <v>12528</v>
      </c>
      <c r="B11692" t="s">
        <v>210</v>
      </c>
      <c r="C11692" t="s">
        <v>11188</v>
      </c>
      <c r="D11692" t="s">
        <v>293</v>
      </c>
      <c r="E11692" t="s">
        <v>296</v>
      </c>
      <c r="F11692" t="s">
        <v>12530</v>
      </c>
      <c r="G11692">
        <v>299</v>
      </c>
      <c r="H11692">
        <v>76714.36</v>
      </c>
      <c r="I11692">
        <v>256.57</v>
      </c>
      <c r="J11692">
        <v>0</v>
      </c>
      <c r="K11692">
        <v>0</v>
      </c>
      <c r="L11692">
        <v>0</v>
      </c>
      <c r="M11692">
        <v>299</v>
      </c>
      <c r="N11692">
        <v>76714.36</v>
      </c>
      <c r="O11692">
        <v>256.57</v>
      </c>
    </row>
    <row r="11693" spans="1:15" x14ac:dyDescent="0.35">
      <c r="A11693" t="s">
        <v>12528</v>
      </c>
      <c r="B11693" t="s">
        <v>210</v>
      </c>
      <c r="C11693" t="s">
        <v>11188</v>
      </c>
      <c r="D11693" t="s">
        <v>293</v>
      </c>
      <c r="E11693" t="s">
        <v>298</v>
      </c>
      <c r="F11693" t="s">
        <v>12531</v>
      </c>
      <c r="G11693">
        <v>126</v>
      </c>
      <c r="H11693">
        <v>30879.33</v>
      </c>
      <c r="I11693">
        <v>245.07</v>
      </c>
      <c r="J11693">
        <v>0</v>
      </c>
      <c r="K11693">
        <v>0</v>
      </c>
      <c r="L11693">
        <v>0</v>
      </c>
      <c r="M11693">
        <v>126</v>
      </c>
      <c r="N11693">
        <v>30879.33</v>
      </c>
      <c r="O11693">
        <v>245.07</v>
      </c>
    </row>
    <row r="11694" spans="1:15" x14ac:dyDescent="0.35">
      <c r="A11694" t="s">
        <v>12528</v>
      </c>
      <c r="B11694" t="s">
        <v>210</v>
      </c>
      <c r="C11694" t="s">
        <v>11188</v>
      </c>
      <c r="D11694" t="s">
        <v>293</v>
      </c>
      <c r="E11694" t="s">
        <v>300</v>
      </c>
      <c r="F11694" t="s">
        <v>12532</v>
      </c>
      <c r="G11694">
        <v>16</v>
      </c>
      <c r="H11694">
        <v>4261.75</v>
      </c>
      <c r="I11694">
        <v>266.36</v>
      </c>
      <c r="J11694">
        <v>0</v>
      </c>
      <c r="K11694">
        <v>0</v>
      </c>
      <c r="L11694">
        <v>0</v>
      </c>
      <c r="M11694">
        <v>16</v>
      </c>
      <c r="N11694">
        <v>4261.75</v>
      </c>
      <c r="O11694">
        <v>266.36</v>
      </c>
    </row>
    <row r="11695" spans="1:15" x14ac:dyDescent="0.35">
      <c r="A11695" t="s">
        <v>12528</v>
      </c>
      <c r="B11695" t="s">
        <v>210</v>
      </c>
      <c r="C11695" t="s">
        <v>11188</v>
      </c>
      <c r="D11695" t="s">
        <v>293</v>
      </c>
      <c r="E11695" t="s">
        <v>302</v>
      </c>
      <c r="F11695" t="s">
        <v>12533</v>
      </c>
      <c r="G11695">
        <v>0</v>
      </c>
      <c r="H11695">
        <v>0</v>
      </c>
      <c r="I11695">
        <v>0</v>
      </c>
      <c r="J11695">
        <v>0</v>
      </c>
      <c r="K11695">
        <v>0</v>
      </c>
      <c r="L11695">
        <v>0</v>
      </c>
      <c r="M11695">
        <v>0</v>
      </c>
      <c r="N11695">
        <v>0</v>
      </c>
      <c r="O11695">
        <v>0</v>
      </c>
    </row>
    <row r="11696" spans="1:15" x14ac:dyDescent="0.35">
      <c r="A11696" t="s">
        <v>12528</v>
      </c>
      <c r="B11696" t="s">
        <v>210</v>
      </c>
      <c r="C11696" t="s">
        <v>11188</v>
      </c>
      <c r="D11696" t="s">
        <v>293</v>
      </c>
      <c r="E11696" t="s">
        <v>304</v>
      </c>
      <c r="F11696" t="s">
        <v>12534</v>
      </c>
      <c r="G11696">
        <v>0</v>
      </c>
      <c r="H11696">
        <v>0</v>
      </c>
      <c r="I11696">
        <v>0</v>
      </c>
      <c r="J11696">
        <v>0</v>
      </c>
      <c r="K11696">
        <v>0</v>
      </c>
      <c r="L11696">
        <v>0</v>
      </c>
      <c r="M11696">
        <v>0</v>
      </c>
      <c r="N11696">
        <v>0</v>
      </c>
      <c r="O11696">
        <v>0</v>
      </c>
    </row>
    <row r="11697" spans="1:15" x14ac:dyDescent="0.35">
      <c r="A11697" t="s">
        <v>12528</v>
      </c>
      <c r="B11697" t="s">
        <v>210</v>
      </c>
      <c r="C11697" t="s">
        <v>11188</v>
      </c>
      <c r="D11697" t="s">
        <v>293</v>
      </c>
      <c r="E11697" t="s">
        <v>306</v>
      </c>
      <c r="F11697" t="s">
        <v>12535</v>
      </c>
      <c r="G11697">
        <v>33</v>
      </c>
      <c r="H11697">
        <v>7142.05</v>
      </c>
      <c r="I11697">
        <v>216.43</v>
      </c>
      <c r="J11697">
        <v>0</v>
      </c>
      <c r="K11697">
        <v>0</v>
      </c>
      <c r="L11697">
        <v>0</v>
      </c>
      <c r="M11697">
        <v>33</v>
      </c>
      <c r="N11697">
        <v>7142.05</v>
      </c>
      <c r="O11697">
        <v>216.43</v>
      </c>
    </row>
    <row r="11698" spans="1:15" x14ac:dyDescent="0.35">
      <c r="A11698" t="s">
        <v>12528</v>
      </c>
      <c r="B11698" t="s">
        <v>210</v>
      </c>
      <c r="C11698" t="s">
        <v>11188</v>
      </c>
      <c r="D11698" t="s">
        <v>293</v>
      </c>
      <c r="E11698" t="s">
        <v>308</v>
      </c>
      <c r="F11698" t="s">
        <v>12536</v>
      </c>
      <c r="G11698">
        <v>1</v>
      </c>
      <c r="H11698">
        <v>165.46</v>
      </c>
      <c r="I11698">
        <v>165.46</v>
      </c>
      <c r="J11698">
        <v>0</v>
      </c>
      <c r="K11698">
        <v>0</v>
      </c>
      <c r="L11698">
        <v>0</v>
      </c>
      <c r="M11698">
        <v>1</v>
      </c>
      <c r="N11698">
        <v>165.46</v>
      </c>
      <c r="O11698">
        <v>165.46</v>
      </c>
    </row>
    <row r="11699" spans="1:15" x14ac:dyDescent="0.35">
      <c r="A11699" t="s">
        <v>12528</v>
      </c>
      <c r="B11699" t="s">
        <v>210</v>
      </c>
      <c r="C11699" t="s">
        <v>11188</v>
      </c>
      <c r="D11699" t="s">
        <v>293</v>
      </c>
      <c r="E11699" t="s">
        <v>310</v>
      </c>
      <c r="F11699" t="s">
        <v>12537</v>
      </c>
      <c r="G11699">
        <v>807</v>
      </c>
      <c r="H11699">
        <v>202408.03</v>
      </c>
      <c r="I11699">
        <v>250.82</v>
      </c>
      <c r="J11699">
        <v>0</v>
      </c>
      <c r="K11699">
        <v>0</v>
      </c>
      <c r="L11699">
        <v>0</v>
      </c>
      <c r="M11699">
        <v>807</v>
      </c>
      <c r="N11699">
        <v>202408.03</v>
      </c>
      <c r="O11699">
        <v>250.82</v>
      </c>
    </row>
    <row r="11700" spans="1:15" x14ac:dyDescent="0.35">
      <c r="A11700" t="s">
        <v>12528</v>
      </c>
      <c r="B11700" t="s">
        <v>210</v>
      </c>
      <c r="C11700" t="s">
        <v>11188</v>
      </c>
      <c r="D11700" t="s">
        <v>293</v>
      </c>
      <c r="E11700" t="s">
        <v>312</v>
      </c>
      <c r="F11700" t="s">
        <v>12538</v>
      </c>
      <c r="G11700">
        <v>806</v>
      </c>
      <c r="H11700">
        <v>202242.57</v>
      </c>
      <c r="I11700">
        <v>250.92</v>
      </c>
      <c r="J11700">
        <v>0</v>
      </c>
      <c r="K11700">
        <v>0</v>
      </c>
      <c r="L11700">
        <v>0</v>
      </c>
      <c r="M11700">
        <v>806</v>
      </c>
      <c r="N11700">
        <v>202242.57</v>
      </c>
      <c r="O11700">
        <v>250.92</v>
      </c>
    </row>
    <row r="11701" spans="1:15" x14ac:dyDescent="0.35">
      <c r="A11701" t="s">
        <v>12528</v>
      </c>
      <c r="B11701" t="s">
        <v>210</v>
      </c>
      <c r="C11701" t="s">
        <v>11188</v>
      </c>
      <c r="D11701" t="s">
        <v>314</v>
      </c>
      <c r="E11701" t="s">
        <v>294</v>
      </c>
      <c r="F11701" t="s">
        <v>12539</v>
      </c>
      <c r="G11701">
        <v>93</v>
      </c>
      <c r="H11701">
        <v>27376.080000000002</v>
      </c>
      <c r="I11701">
        <v>294.37</v>
      </c>
      <c r="J11701">
        <v>0</v>
      </c>
      <c r="K11701">
        <v>0</v>
      </c>
      <c r="L11701">
        <v>0</v>
      </c>
      <c r="M11701">
        <v>93</v>
      </c>
      <c r="N11701">
        <v>27376.080000000002</v>
      </c>
      <c r="O11701">
        <v>294.37</v>
      </c>
    </row>
    <row r="11702" spans="1:15" x14ac:dyDescent="0.35">
      <c r="A11702" t="s">
        <v>12528</v>
      </c>
      <c r="B11702" t="s">
        <v>210</v>
      </c>
      <c r="C11702" t="s">
        <v>11188</v>
      </c>
      <c r="D11702" t="s">
        <v>314</v>
      </c>
      <c r="E11702" t="s">
        <v>296</v>
      </c>
      <c r="F11702" t="s">
        <v>12540</v>
      </c>
      <c r="G11702">
        <v>3</v>
      </c>
      <c r="H11702">
        <v>975.66000000000008</v>
      </c>
      <c r="I11702">
        <v>325.22000000000003</v>
      </c>
      <c r="J11702">
        <v>0</v>
      </c>
      <c r="K11702">
        <v>0</v>
      </c>
      <c r="L11702">
        <v>0</v>
      </c>
      <c r="M11702">
        <v>3</v>
      </c>
      <c r="N11702">
        <v>975.66000000000008</v>
      </c>
      <c r="O11702">
        <v>325.22000000000003</v>
      </c>
    </row>
    <row r="11703" spans="1:15" x14ac:dyDescent="0.35">
      <c r="A11703" t="s">
        <v>12528</v>
      </c>
      <c r="B11703" t="s">
        <v>210</v>
      </c>
      <c r="C11703" t="s">
        <v>11188</v>
      </c>
      <c r="D11703" t="s">
        <v>314</v>
      </c>
      <c r="E11703" t="s">
        <v>298</v>
      </c>
      <c r="F11703" t="s">
        <v>12541</v>
      </c>
      <c r="G11703">
        <v>0</v>
      </c>
      <c r="H11703">
        <v>0</v>
      </c>
      <c r="I11703">
        <v>0</v>
      </c>
      <c r="J11703">
        <v>0</v>
      </c>
      <c r="K11703">
        <v>0</v>
      </c>
      <c r="L11703">
        <v>0</v>
      </c>
      <c r="M11703">
        <v>0</v>
      </c>
      <c r="N11703">
        <v>0</v>
      </c>
      <c r="O11703">
        <v>0</v>
      </c>
    </row>
    <row r="11704" spans="1:15" x14ac:dyDescent="0.35">
      <c r="A11704" t="s">
        <v>12528</v>
      </c>
      <c r="B11704" t="s">
        <v>210</v>
      </c>
      <c r="C11704" t="s">
        <v>11188</v>
      </c>
      <c r="D11704" t="s">
        <v>314</v>
      </c>
      <c r="E11704" t="s">
        <v>300</v>
      </c>
      <c r="F11704" t="s">
        <v>12542</v>
      </c>
      <c r="G11704">
        <v>0</v>
      </c>
      <c r="H11704">
        <v>0</v>
      </c>
      <c r="I11704">
        <v>0</v>
      </c>
      <c r="J11704">
        <v>0</v>
      </c>
      <c r="K11704">
        <v>0</v>
      </c>
      <c r="L11704">
        <v>0</v>
      </c>
      <c r="M11704">
        <v>0</v>
      </c>
      <c r="N11704">
        <v>0</v>
      </c>
      <c r="O11704">
        <v>0</v>
      </c>
    </row>
    <row r="11705" spans="1:15" x14ac:dyDescent="0.35">
      <c r="A11705" t="s">
        <v>12528</v>
      </c>
      <c r="B11705" t="s">
        <v>210</v>
      </c>
      <c r="C11705" t="s">
        <v>11188</v>
      </c>
      <c r="D11705" t="s">
        <v>314</v>
      </c>
      <c r="E11705" t="s">
        <v>306</v>
      </c>
      <c r="F11705" t="s">
        <v>12543</v>
      </c>
      <c r="G11705">
        <v>2</v>
      </c>
      <c r="H11705">
        <v>590.98</v>
      </c>
      <c r="I11705">
        <v>295.49</v>
      </c>
      <c r="J11705">
        <v>0</v>
      </c>
      <c r="K11705">
        <v>0</v>
      </c>
      <c r="L11705">
        <v>0</v>
      </c>
      <c r="M11705">
        <v>2</v>
      </c>
      <c r="N11705">
        <v>590.98</v>
      </c>
      <c r="O11705">
        <v>295.49</v>
      </c>
    </row>
    <row r="11706" spans="1:15" x14ac:dyDescent="0.35">
      <c r="A11706" t="s">
        <v>12528</v>
      </c>
      <c r="B11706" t="s">
        <v>210</v>
      </c>
      <c r="C11706" t="s">
        <v>11188</v>
      </c>
      <c r="D11706" t="s">
        <v>314</v>
      </c>
      <c r="E11706" t="s">
        <v>308</v>
      </c>
      <c r="F11706" t="s">
        <v>12544</v>
      </c>
      <c r="G11706">
        <v>0</v>
      </c>
      <c r="H11706">
        <v>0</v>
      </c>
      <c r="I11706">
        <v>0</v>
      </c>
      <c r="J11706">
        <v>0</v>
      </c>
      <c r="K11706">
        <v>0</v>
      </c>
      <c r="L11706">
        <v>0</v>
      </c>
      <c r="M11706">
        <v>0</v>
      </c>
      <c r="N11706">
        <v>0</v>
      </c>
      <c r="O11706">
        <v>0</v>
      </c>
    </row>
    <row r="11707" spans="1:15" x14ac:dyDescent="0.35">
      <c r="A11707" t="s">
        <v>12528</v>
      </c>
      <c r="B11707" t="s">
        <v>210</v>
      </c>
      <c r="C11707" t="s">
        <v>11188</v>
      </c>
      <c r="D11707" t="s">
        <v>314</v>
      </c>
      <c r="E11707" t="s">
        <v>312</v>
      </c>
      <c r="F11707" t="s">
        <v>12545</v>
      </c>
      <c r="G11707">
        <v>98</v>
      </c>
      <c r="H11707">
        <v>28942.720000000001</v>
      </c>
      <c r="I11707">
        <v>295.33</v>
      </c>
      <c r="J11707">
        <v>0</v>
      </c>
      <c r="K11707">
        <v>0</v>
      </c>
      <c r="L11707">
        <v>0</v>
      </c>
      <c r="M11707">
        <v>98</v>
      </c>
      <c r="N11707">
        <v>28942.720000000001</v>
      </c>
      <c r="O11707">
        <v>295.33</v>
      </c>
    </row>
    <row r="11708" spans="1:15" x14ac:dyDescent="0.35">
      <c r="A11708" t="s">
        <v>12528</v>
      </c>
      <c r="B11708" t="s">
        <v>210</v>
      </c>
      <c r="C11708" t="s">
        <v>11188</v>
      </c>
      <c r="D11708" t="s">
        <v>314</v>
      </c>
      <c r="E11708" t="s">
        <v>310</v>
      </c>
      <c r="F11708" t="s">
        <v>12546</v>
      </c>
      <c r="G11708">
        <v>98</v>
      </c>
      <c r="H11708">
        <v>28942.720000000001</v>
      </c>
      <c r="I11708">
        <v>295.33</v>
      </c>
      <c r="J11708">
        <v>0</v>
      </c>
      <c r="K11708">
        <v>0</v>
      </c>
      <c r="L11708">
        <v>0</v>
      </c>
      <c r="M11708">
        <v>98</v>
      </c>
      <c r="N11708">
        <v>28942.720000000001</v>
      </c>
      <c r="O11708">
        <v>295.33</v>
      </c>
    </row>
    <row r="11709" spans="1:15" x14ac:dyDescent="0.35">
      <c r="A11709" t="s">
        <v>12528</v>
      </c>
      <c r="B11709" t="s">
        <v>210</v>
      </c>
      <c r="C11709" t="s">
        <v>11188</v>
      </c>
      <c r="D11709" t="s">
        <v>323</v>
      </c>
      <c r="E11709" t="s">
        <v>294</v>
      </c>
      <c r="F11709" t="s">
        <v>12547</v>
      </c>
      <c r="G11709">
        <v>3884</v>
      </c>
      <c r="H11709">
        <v>584806.25</v>
      </c>
      <c r="I11709">
        <v>150.57</v>
      </c>
      <c r="J11709">
        <v>3478</v>
      </c>
      <c r="K11709">
        <v>497632.24000000005</v>
      </c>
      <c r="L11709">
        <v>143.08000000000001</v>
      </c>
      <c r="M11709">
        <v>7362</v>
      </c>
      <c r="N11709">
        <v>1082438.49</v>
      </c>
      <c r="O11709">
        <v>147.03</v>
      </c>
    </row>
    <row r="11710" spans="1:15" x14ac:dyDescent="0.35">
      <c r="A11710" t="s">
        <v>12528</v>
      </c>
      <c r="B11710" t="s">
        <v>210</v>
      </c>
      <c r="C11710" t="s">
        <v>11188</v>
      </c>
      <c r="D11710" t="s">
        <v>323</v>
      </c>
      <c r="E11710" t="s">
        <v>296</v>
      </c>
      <c r="F11710" t="s">
        <v>12548</v>
      </c>
      <c r="G11710">
        <v>3418</v>
      </c>
      <c r="H11710">
        <v>571727.30000000005</v>
      </c>
      <c r="I11710">
        <v>167.27</v>
      </c>
      <c r="J11710">
        <v>3598</v>
      </c>
      <c r="K11710">
        <v>578126.64</v>
      </c>
      <c r="L11710">
        <v>160.68</v>
      </c>
      <c r="M11710">
        <v>7016</v>
      </c>
      <c r="N11710">
        <v>1149853.94</v>
      </c>
      <c r="O11710">
        <v>163.89</v>
      </c>
    </row>
    <row r="11711" spans="1:15" x14ac:dyDescent="0.35">
      <c r="A11711" t="s">
        <v>12528</v>
      </c>
      <c r="B11711" t="s">
        <v>210</v>
      </c>
      <c r="C11711" t="s">
        <v>11188</v>
      </c>
      <c r="D11711" t="s">
        <v>323</v>
      </c>
      <c r="E11711" t="s">
        <v>298</v>
      </c>
      <c r="F11711" t="s">
        <v>12549</v>
      </c>
      <c r="G11711">
        <v>1653</v>
      </c>
      <c r="H11711">
        <v>295546.81000000006</v>
      </c>
      <c r="I11711">
        <v>178.79</v>
      </c>
      <c r="J11711">
        <v>2352</v>
      </c>
      <c r="K11711">
        <v>416021.76000000001</v>
      </c>
      <c r="L11711">
        <v>176.88</v>
      </c>
      <c r="M11711">
        <v>4005</v>
      </c>
      <c r="N11711">
        <v>711568.57000000007</v>
      </c>
      <c r="O11711">
        <v>177.67</v>
      </c>
    </row>
    <row r="11712" spans="1:15" x14ac:dyDescent="0.35">
      <c r="A11712" t="s">
        <v>12528</v>
      </c>
      <c r="B11712" t="s">
        <v>210</v>
      </c>
      <c r="C11712" t="s">
        <v>11188</v>
      </c>
      <c r="D11712" t="s">
        <v>323</v>
      </c>
      <c r="E11712" t="s">
        <v>300</v>
      </c>
      <c r="F11712" t="s">
        <v>12550</v>
      </c>
      <c r="G11712">
        <v>248</v>
      </c>
      <c r="H11712">
        <v>47029.689999999995</v>
      </c>
      <c r="I11712">
        <v>189.64</v>
      </c>
      <c r="J11712">
        <v>375</v>
      </c>
      <c r="K11712">
        <v>72480</v>
      </c>
      <c r="L11712">
        <v>193.28</v>
      </c>
      <c r="M11712">
        <v>623</v>
      </c>
      <c r="N11712">
        <v>119509.69</v>
      </c>
      <c r="O11712">
        <v>191.83</v>
      </c>
    </row>
    <row r="11713" spans="1:15" x14ac:dyDescent="0.35">
      <c r="A11713" t="s">
        <v>12528</v>
      </c>
      <c r="B11713" t="s">
        <v>210</v>
      </c>
      <c r="C11713" t="s">
        <v>11188</v>
      </c>
      <c r="D11713" t="s">
        <v>323</v>
      </c>
      <c r="E11713" t="s">
        <v>302</v>
      </c>
      <c r="F11713" t="s">
        <v>12551</v>
      </c>
      <c r="G11713">
        <v>22</v>
      </c>
      <c r="H11713">
        <v>4387.62</v>
      </c>
      <c r="I11713">
        <v>199.44</v>
      </c>
      <c r="J11713">
        <v>33</v>
      </c>
      <c r="K11713">
        <v>6924.39</v>
      </c>
      <c r="L11713">
        <v>209.83</v>
      </c>
      <c r="M11713">
        <v>55</v>
      </c>
      <c r="N11713">
        <v>11312.01</v>
      </c>
      <c r="O11713">
        <v>205.67</v>
      </c>
    </row>
    <row r="11714" spans="1:15" x14ac:dyDescent="0.35">
      <c r="A11714" t="s">
        <v>12528</v>
      </c>
      <c r="B11714" t="s">
        <v>210</v>
      </c>
      <c r="C11714" t="s">
        <v>11188</v>
      </c>
      <c r="D11714" t="s">
        <v>323</v>
      </c>
      <c r="E11714" t="s">
        <v>304</v>
      </c>
      <c r="F11714" t="s">
        <v>12552</v>
      </c>
      <c r="G11714">
        <v>3</v>
      </c>
      <c r="H11714">
        <v>641.16</v>
      </c>
      <c r="I11714">
        <v>213.72</v>
      </c>
      <c r="J11714">
        <v>12</v>
      </c>
      <c r="K11714">
        <v>2624.88</v>
      </c>
      <c r="L11714">
        <v>218.74</v>
      </c>
      <c r="M11714">
        <v>15</v>
      </c>
      <c r="N11714">
        <v>3266.04</v>
      </c>
      <c r="O11714">
        <v>217.74</v>
      </c>
    </row>
    <row r="11715" spans="1:15" x14ac:dyDescent="0.35">
      <c r="A11715" t="s">
        <v>12528</v>
      </c>
      <c r="B11715" t="s">
        <v>210</v>
      </c>
      <c r="C11715" t="s">
        <v>11188</v>
      </c>
      <c r="D11715" t="s">
        <v>323</v>
      </c>
      <c r="E11715" t="s">
        <v>306</v>
      </c>
      <c r="F11715" t="s">
        <v>12553</v>
      </c>
      <c r="G11715">
        <v>263</v>
      </c>
      <c r="H11715">
        <v>34908.26</v>
      </c>
      <c r="I11715">
        <v>132.72999999999999</v>
      </c>
      <c r="J11715">
        <v>1064</v>
      </c>
      <c r="K11715">
        <v>129063.2</v>
      </c>
      <c r="L11715">
        <v>121.3</v>
      </c>
      <c r="M11715">
        <v>1327</v>
      </c>
      <c r="N11715">
        <v>163971.46</v>
      </c>
      <c r="O11715">
        <v>123.57</v>
      </c>
    </row>
    <row r="11716" spans="1:15" x14ac:dyDescent="0.35">
      <c r="A11716" t="s">
        <v>12528</v>
      </c>
      <c r="B11716" t="s">
        <v>210</v>
      </c>
      <c r="C11716" t="s">
        <v>11188</v>
      </c>
      <c r="D11716" t="s">
        <v>323</v>
      </c>
      <c r="E11716" t="s">
        <v>308</v>
      </c>
      <c r="F11716" t="s">
        <v>12554</v>
      </c>
      <c r="G11716">
        <v>16</v>
      </c>
      <c r="H11716">
        <v>3465.12</v>
      </c>
      <c r="I11716">
        <v>216.57</v>
      </c>
      <c r="J11716">
        <v>0</v>
      </c>
      <c r="K11716">
        <v>0</v>
      </c>
      <c r="L11716">
        <v>0</v>
      </c>
      <c r="M11716">
        <v>16</v>
      </c>
      <c r="N11716">
        <v>3465.12</v>
      </c>
      <c r="O11716">
        <v>216.57</v>
      </c>
    </row>
    <row r="11717" spans="1:15" x14ac:dyDescent="0.35">
      <c r="A11717" t="s">
        <v>12528</v>
      </c>
      <c r="B11717" t="s">
        <v>210</v>
      </c>
      <c r="C11717" t="s">
        <v>11188</v>
      </c>
      <c r="D11717" t="s">
        <v>323</v>
      </c>
      <c r="E11717" t="s">
        <v>310</v>
      </c>
      <c r="F11717" t="s">
        <v>12555</v>
      </c>
      <c r="G11717">
        <v>9507</v>
      </c>
      <c r="H11717">
        <v>1542512.2100000002</v>
      </c>
      <c r="I11717">
        <v>162.25</v>
      </c>
      <c r="J11717">
        <v>10912</v>
      </c>
      <c r="K11717">
        <v>1702873.1099999999</v>
      </c>
      <c r="L11717">
        <v>156.06</v>
      </c>
      <c r="M11717">
        <v>20419</v>
      </c>
      <c r="N11717">
        <v>3245385.3200000003</v>
      </c>
      <c r="O11717">
        <v>158.94</v>
      </c>
    </row>
    <row r="11718" spans="1:15" x14ac:dyDescent="0.35">
      <c r="A11718" t="s">
        <v>12528</v>
      </c>
      <c r="B11718" t="s">
        <v>210</v>
      </c>
      <c r="C11718" t="s">
        <v>11188</v>
      </c>
      <c r="D11718" t="s">
        <v>323</v>
      </c>
      <c r="E11718" t="s">
        <v>312</v>
      </c>
      <c r="F11718" t="s">
        <v>12556</v>
      </c>
      <c r="G11718">
        <v>9491</v>
      </c>
      <c r="H11718">
        <v>1539047.09</v>
      </c>
      <c r="I11718">
        <v>162.16</v>
      </c>
      <c r="J11718">
        <v>10912</v>
      </c>
      <c r="K11718">
        <v>1702873.1099999999</v>
      </c>
      <c r="L11718">
        <v>156.06</v>
      </c>
      <c r="M11718">
        <v>20403</v>
      </c>
      <c r="N11718">
        <v>3241920.2</v>
      </c>
      <c r="O11718">
        <v>158.88999999999999</v>
      </c>
    </row>
    <row r="11719" spans="1:15" x14ac:dyDescent="0.35">
      <c r="A11719" t="s">
        <v>12528</v>
      </c>
      <c r="B11719" t="s">
        <v>210</v>
      </c>
      <c r="C11719" t="s">
        <v>11188</v>
      </c>
      <c r="D11719" t="s">
        <v>334</v>
      </c>
      <c r="E11719" t="s">
        <v>312</v>
      </c>
      <c r="F11719" t="s">
        <v>12557</v>
      </c>
      <c r="G11719">
        <v>12485</v>
      </c>
      <c r="H11719">
        <v>1741289.6600000001</v>
      </c>
      <c r="I11719">
        <v>169.11</v>
      </c>
      <c r="J11719">
        <v>10912</v>
      </c>
      <c r="K11719">
        <v>1702873.1099999999</v>
      </c>
      <c r="L11719">
        <v>156.06</v>
      </c>
      <c r="M11719">
        <v>23397</v>
      </c>
      <c r="N11719">
        <v>3444162.77</v>
      </c>
      <c r="O11719">
        <v>162.38999999999999</v>
      </c>
    </row>
    <row r="11720" spans="1:15" x14ac:dyDescent="0.35">
      <c r="A11720" t="s">
        <v>12528</v>
      </c>
      <c r="B11720" t="s">
        <v>210</v>
      </c>
      <c r="C11720" t="s">
        <v>11188</v>
      </c>
      <c r="D11720" t="s">
        <v>334</v>
      </c>
      <c r="E11720" t="s">
        <v>308</v>
      </c>
      <c r="F11720" t="s">
        <v>12558</v>
      </c>
      <c r="G11720">
        <v>926</v>
      </c>
      <c r="H11720">
        <v>3630.58</v>
      </c>
      <c r="I11720">
        <v>213.56</v>
      </c>
      <c r="J11720">
        <v>0</v>
      </c>
      <c r="K11720">
        <v>0</v>
      </c>
      <c r="L11720">
        <v>0</v>
      </c>
      <c r="M11720">
        <v>926</v>
      </c>
      <c r="N11720">
        <v>3630.58</v>
      </c>
      <c r="O11720">
        <v>213.56</v>
      </c>
    </row>
    <row r="11721" spans="1:15" x14ac:dyDescent="0.35">
      <c r="A11721" t="s">
        <v>12528</v>
      </c>
      <c r="B11721" t="s">
        <v>210</v>
      </c>
      <c r="C11721" t="s">
        <v>11188</v>
      </c>
      <c r="D11721" t="s">
        <v>337</v>
      </c>
      <c r="E11721" t="s">
        <v>337</v>
      </c>
      <c r="F11721" t="s">
        <v>12559</v>
      </c>
      <c r="G11721">
        <v>484</v>
      </c>
      <c r="J11721">
        <v>0</v>
      </c>
      <c r="M11721">
        <v>484</v>
      </c>
    </row>
    <row r="11722" spans="1:15" x14ac:dyDescent="0.35">
      <c r="A11722" t="s">
        <v>12528</v>
      </c>
      <c r="B11722" t="s">
        <v>210</v>
      </c>
      <c r="C11722" t="s">
        <v>11188</v>
      </c>
      <c r="D11722" t="s">
        <v>339</v>
      </c>
      <c r="E11722" t="s">
        <v>294</v>
      </c>
      <c r="F11722" t="s">
        <v>12560</v>
      </c>
      <c r="G11722">
        <v>781</v>
      </c>
      <c r="H11722">
        <v>129730.76000000001</v>
      </c>
      <c r="I11722">
        <v>166.11</v>
      </c>
      <c r="J11722">
        <v>666</v>
      </c>
      <c r="K11722">
        <v>98141.760000000009</v>
      </c>
      <c r="L11722">
        <v>147.36000000000001</v>
      </c>
      <c r="M11722">
        <v>1447</v>
      </c>
      <c r="N11722">
        <v>227872.52000000002</v>
      </c>
      <c r="O11722">
        <v>157.47999999999999</v>
      </c>
    </row>
    <row r="11723" spans="1:15" x14ac:dyDescent="0.35">
      <c r="A11723" t="s">
        <v>12528</v>
      </c>
      <c r="B11723" t="s">
        <v>210</v>
      </c>
      <c r="C11723" t="s">
        <v>11188</v>
      </c>
      <c r="D11723" t="s">
        <v>339</v>
      </c>
      <c r="E11723" t="s">
        <v>296</v>
      </c>
      <c r="F11723" t="s">
        <v>12561</v>
      </c>
      <c r="G11723">
        <v>49</v>
      </c>
      <c r="H11723">
        <v>8640.84</v>
      </c>
      <c r="I11723">
        <v>176.34</v>
      </c>
      <c r="J11723">
        <v>11</v>
      </c>
      <c r="K11723">
        <v>1815.99</v>
      </c>
      <c r="L11723">
        <v>165.09</v>
      </c>
      <c r="M11723">
        <v>60</v>
      </c>
      <c r="N11723">
        <v>10456.83</v>
      </c>
      <c r="O11723">
        <v>174.28</v>
      </c>
    </row>
    <row r="11724" spans="1:15" x14ac:dyDescent="0.35">
      <c r="A11724" t="s">
        <v>12528</v>
      </c>
      <c r="B11724" t="s">
        <v>210</v>
      </c>
      <c r="C11724" t="s">
        <v>11188</v>
      </c>
      <c r="D11724" t="s">
        <v>339</v>
      </c>
      <c r="E11724" t="s">
        <v>298</v>
      </c>
      <c r="F11724" t="s">
        <v>12562</v>
      </c>
      <c r="G11724">
        <v>2</v>
      </c>
      <c r="H11724">
        <v>379.65</v>
      </c>
      <c r="I11724">
        <v>189.83</v>
      </c>
      <c r="J11724">
        <v>1</v>
      </c>
      <c r="K11724">
        <v>174.72</v>
      </c>
      <c r="L11724">
        <v>174.72</v>
      </c>
      <c r="M11724">
        <v>3</v>
      </c>
      <c r="N11724">
        <v>554.37</v>
      </c>
      <c r="O11724">
        <v>184.79</v>
      </c>
    </row>
    <row r="11725" spans="1:15" x14ac:dyDescent="0.35">
      <c r="A11725" t="s">
        <v>12528</v>
      </c>
      <c r="B11725" t="s">
        <v>210</v>
      </c>
      <c r="C11725" t="s">
        <v>11188</v>
      </c>
      <c r="D11725" t="s">
        <v>339</v>
      </c>
      <c r="E11725" t="s">
        <v>300</v>
      </c>
      <c r="F11725" t="s">
        <v>12563</v>
      </c>
      <c r="G11725">
        <v>2</v>
      </c>
      <c r="H11725">
        <v>438.3</v>
      </c>
      <c r="I11725">
        <v>219.15</v>
      </c>
      <c r="J11725">
        <v>0</v>
      </c>
      <c r="K11725">
        <v>0</v>
      </c>
      <c r="L11725">
        <v>0</v>
      </c>
      <c r="M11725">
        <v>2</v>
      </c>
      <c r="N11725">
        <v>438.3</v>
      </c>
      <c r="O11725">
        <v>219.15</v>
      </c>
    </row>
    <row r="11726" spans="1:15" x14ac:dyDescent="0.35">
      <c r="A11726" t="s">
        <v>12528</v>
      </c>
      <c r="B11726" t="s">
        <v>210</v>
      </c>
      <c r="C11726" t="s">
        <v>11188</v>
      </c>
      <c r="D11726" t="s">
        <v>339</v>
      </c>
      <c r="E11726" t="s">
        <v>306</v>
      </c>
      <c r="F11726" t="s">
        <v>12564</v>
      </c>
      <c r="G11726">
        <v>477</v>
      </c>
      <c r="H11726">
        <v>65621.709999999992</v>
      </c>
      <c r="I11726">
        <v>137.57</v>
      </c>
      <c r="J11726">
        <v>372</v>
      </c>
      <c r="K11726">
        <v>46470.239999999998</v>
      </c>
      <c r="L11726">
        <v>124.92</v>
      </c>
      <c r="M11726">
        <v>849</v>
      </c>
      <c r="N11726">
        <v>112091.94999999998</v>
      </c>
      <c r="O11726">
        <v>132.03</v>
      </c>
    </row>
    <row r="11727" spans="1:15" x14ac:dyDescent="0.35">
      <c r="A11727" t="s">
        <v>12528</v>
      </c>
      <c r="B11727" t="s">
        <v>210</v>
      </c>
      <c r="C11727" t="s">
        <v>11188</v>
      </c>
      <c r="D11727" t="s">
        <v>339</v>
      </c>
      <c r="E11727" t="s">
        <v>308</v>
      </c>
      <c r="F11727" t="s">
        <v>12565</v>
      </c>
      <c r="G11727">
        <v>529</v>
      </c>
      <c r="H11727">
        <v>68183.070000000007</v>
      </c>
      <c r="I11727">
        <v>128.88999999999999</v>
      </c>
      <c r="J11727">
        <v>0</v>
      </c>
      <c r="K11727">
        <v>0</v>
      </c>
      <c r="L11727">
        <v>0</v>
      </c>
      <c r="M11727">
        <v>529</v>
      </c>
      <c r="N11727">
        <v>68183.070000000007</v>
      </c>
      <c r="O11727">
        <v>128.88999999999999</v>
      </c>
    </row>
    <row r="11728" spans="1:15" x14ac:dyDescent="0.35">
      <c r="A11728" t="s">
        <v>12528</v>
      </c>
      <c r="B11728" t="s">
        <v>210</v>
      </c>
      <c r="C11728" t="s">
        <v>11188</v>
      </c>
      <c r="D11728" t="s">
        <v>339</v>
      </c>
      <c r="E11728" t="s">
        <v>310</v>
      </c>
      <c r="F11728" t="s">
        <v>12566</v>
      </c>
      <c r="G11728">
        <v>1840</v>
      </c>
      <c r="H11728">
        <v>272994.32999999996</v>
      </c>
      <c r="I11728">
        <v>148.37</v>
      </c>
      <c r="J11728">
        <v>1050</v>
      </c>
      <c r="K11728">
        <v>146602.71000000002</v>
      </c>
      <c r="L11728">
        <v>139.62</v>
      </c>
      <c r="M11728">
        <v>2890</v>
      </c>
      <c r="N11728">
        <v>419597.04</v>
      </c>
      <c r="O11728">
        <v>145.19</v>
      </c>
    </row>
    <row r="11729" spans="1:15" x14ac:dyDescent="0.35">
      <c r="A11729" t="s">
        <v>12528</v>
      </c>
      <c r="B11729" t="s">
        <v>210</v>
      </c>
      <c r="C11729" t="s">
        <v>11188</v>
      </c>
      <c r="D11729" t="s">
        <v>339</v>
      </c>
      <c r="E11729" t="s">
        <v>312</v>
      </c>
      <c r="F11729" t="s">
        <v>12567</v>
      </c>
      <c r="G11729">
        <v>1311</v>
      </c>
      <c r="H11729">
        <v>204811.25999999998</v>
      </c>
      <c r="I11729">
        <v>156.22999999999999</v>
      </c>
      <c r="J11729">
        <v>1050</v>
      </c>
      <c r="K11729">
        <v>146602.71000000002</v>
      </c>
      <c r="L11729">
        <v>139.62</v>
      </c>
      <c r="M11729">
        <v>2361</v>
      </c>
      <c r="N11729">
        <v>351413.97</v>
      </c>
      <c r="O11729">
        <v>148.84</v>
      </c>
    </row>
    <row r="11730" spans="1:15" x14ac:dyDescent="0.35">
      <c r="A11730" t="s">
        <v>12528</v>
      </c>
      <c r="B11730" t="s">
        <v>210</v>
      </c>
      <c r="C11730" t="s">
        <v>11188</v>
      </c>
      <c r="D11730" t="s">
        <v>348</v>
      </c>
      <c r="E11730" t="s">
        <v>349</v>
      </c>
      <c r="F11730" t="s">
        <v>12568</v>
      </c>
      <c r="G11730">
        <v>2200</v>
      </c>
      <c r="H11730">
        <v>301937.05</v>
      </c>
      <c r="I11730">
        <v>155.80000000000001</v>
      </c>
      <c r="J11730">
        <v>1050</v>
      </c>
      <c r="K11730">
        <v>146602.71000000002</v>
      </c>
      <c r="L11730">
        <v>139.62</v>
      </c>
      <c r="M11730">
        <v>3250</v>
      </c>
      <c r="N11730">
        <v>448539.76</v>
      </c>
      <c r="O11730">
        <v>150.11000000000001</v>
      </c>
    </row>
    <row r="11731" spans="1:15" x14ac:dyDescent="0.35">
      <c r="A11731" t="s">
        <v>898</v>
      </c>
      <c r="B11731" t="s">
        <v>898</v>
      </c>
      <c r="C11731" t="s">
        <v>898</v>
      </c>
      <c r="D11731" t="s">
        <v>293</v>
      </c>
      <c r="E11731" t="s">
        <v>294</v>
      </c>
      <c r="F11731" t="s">
        <v>12569</v>
      </c>
      <c r="G11731">
        <v>4652</v>
      </c>
      <c r="H11731">
        <v>541715.68999999994</v>
      </c>
      <c r="I11731">
        <v>116.45</v>
      </c>
      <c r="J11731">
        <v>944</v>
      </c>
      <c r="K11731">
        <v>110397.66999999998</v>
      </c>
      <c r="L11731">
        <v>116.95</v>
      </c>
      <c r="M11731">
        <v>5596</v>
      </c>
      <c r="N11731">
        <v>652113.36</v>
      </c>
      <c r="O11731">
        <v>116.53</v>
      </c>
    </row>
    <row r="11732" spans="1:15" x14ac:dyDescent="0.35">
      <c r="A11732" t="s">
        <v>898</v>
      </c>
      <c r="B11732" t="s">
        <v>898</v>
      </c>
      <c r="C11732" t="s">
        <v>898</v>
      </c>
      <c r="D11732" t="s">
        <v>293</v>
      </c>
      <c r="E11732" t="s">
        <v>296</v>
      </c>
      <c r="F11732" t="s">
        <v>12570</v>
      </c>
      <c r="G11732">
        <v>13375</v>
      </c>
      <c r="H11732">
        <v>1836415.7299999997</v>
      </c>
      <c r="I11732">
        <v>137.30000000000001</v>
      </c>
      <c r="J11732">
        <v>2315</v>
      </c>
      <c r="K11732">
        <v>317212.60999999993</v>
      </c>
      <c r="L11732">
        <v>137.02000000000001</v>
      </c>
      <c r="M11732">
        <v>15690</v>
      </c>
      <c r="N11732">
        <v>2153628.3400000003</v>
      </c>
      <c r="O11732">
        <v>137.26</v>
      </c>
    </row>
    <row r="11733" spans="1:15" x14ac:dyDescent="0.35">
      <c r="A11733" t="s">
        <v>898</v>
      </c>
      <c r="B11733" t="s">
        <v>898</v>
      </c>
      <c r="C11733" t="s">
        <v>898</v>
      </c>
      <c r="D11733" t="s">
        <v>293</v>
      </c>
      <c r="E11733" t="s">
        <v>298</v>
      </c>
      <c r="F11733" t="s">
        <v>12571</v>
      </c>
      <c r="G11733">
        <v>6945</v>
      </c>
      <c r="H11733">
        <v>1080785.9000000001</v>
      </c>
      <c r="I11733">
        <v>155.62</v>
      </c>
      <c r="J11733">
        <v>1449</v>
      </c>
      <c r="K11733">
        <v>226107.78</v>
      </c>
      <c r="L11733">
        <v>156.04</v>
      </c>
      <c r="M11733">
        <v>8394</v>
      </c>
      <c r="N11733">
        <v>1306893.68</v>
      </c>
      <c r="O11733">
        <v>155.69</v>
      </c>
    </row>
    <row r="11734" spans="1:15" x14ac:dyDescent="0.35">
      <c r="A11734" t="s">
        <v>898</v>
      </c>
      <c r="B11734" t="s">
        <v>898</v>
      </c>
      <c r="C11734" t="s">
        <v>898</v>
      </c>
      <c r="D11734" t="s">
        <v>293</v>
      </c>
      <c r="E11734" t="s">
        <v>300</v>
      </c>
      <c r="F11734" t="s">
        <v>12572</v>
      </c>
      <c r="G11734">
        <v>862</v>
      </c>
      <c r="H11734">
        <v>167988.01</v>
      </c>
      <c r="I11734">
        <v>194.88</v>
      </c>
      <c r="J11734">
        <v>228</v>
      </c>
      <c r="K11734">
        <v>40567.510000000009</v>
      </c>
      <c r="L11734">
        <v>177.93</v>
      </c>
      <c r="M11734">
        <v>1090</v>
      </c>
      <c r="N11734">
        <v>208555.52000000002</v>
      </c>
      <c r="O11734">
        <v>191.34</v>
      </c>
    </row>
    <row r="11735" spans="1:15" x14ac:dyDescent="0.35">
      <c r="A11735" t="s">
        <v>898</v>
      </c>
      <c r="B11735" t="s">
        <v>898</v>
      </c>
      <c r="C11735" t="s">
        <v>898</v>
      </c>
      <c r="D11735" t="s">
        <v>293</v>
      </c>
      <c r="E11735" t="s">
        <v>302</v>
      </c>
      <c r="F11735" t="s">
        <v>12573</v>
      </c>
      <c r="G11735">
        <v>12</v>
      </c>
      <c r="H11735">
        <v>2183.5299999999997</v>
      </c>
      <c r="I11735">
        <v>181.96</v>
      </c>
      <c r="J11735">
        <v>43</v>
      </c>
      <c r="K11735">
        <v>8158.3099999999995</v>
      </c>
      <c r="L11735">
        <v>189.73</v>
      </c>
      <c r="M11735">
        <v>55</v>
      </c>
      <c r="N11735">
        <v>10341.839999999998</v>
      </c>
      <c r="O11735">
        <v>188.03</v>
      </c>
    </row>
    <row r="11736" spans="1:15" x14ac:dyDescent="0.35">
      <c r="A11736" t="s">
        <v>898</v>
      </c>
      <c r="B11736" t="s">
        <v>898</v>
      </c>
      <c r="C11736" t="s">
        <v>898</v>
      </c>
      <c r="D11736" t="s">
        <v>293</v>
      </c>
      <c r="E11736" t="s">
        <v>304</v>
      </c>
      <c r="F11736" t="s">
        <v>12574</v>
      </c>
      <c r="G11736">
        <v>1</v>
      </c>
      <c r="H11736">
        <v>164</v>
      </c>
      <c r="I11736">
        <v>164</v>
      </c>
      <c r="J11736">
        <v>12</v>
      </c>
      <c r="K11736">
        <v>3108</v>
      </c>
      <c r="L11736">
        <v>259</v>
      </c>
      <c r="M11736">
        <v>13</v>
      </c>
      <c r="N11736">
        <v>3272</v>
      </c>
      <c r="O11736">
        <v>251.69</v>
      </c>
    </row>
    <row r="11737" spans="1:15" x14ac:dyDescent="0.35">
      <c r="A11737" t="s">
        <v>898</v>
      </c>
      <c r="B11737" t="s">
        <v>898</v>
      </c>
      <c r="C11737" t="s">
        <v>898</v>
      </c>
      <c r="D11737" t="s">
        <v>293</v>
      </c>
      <c r="E11737" t="s">
        <v>306</v>
      </c>
      <c r="F11737" t="s">
        <v>12575</v>
      </c>
      <c r="G11737">
        <v>8</v>
      </c>
      <c r="H11737">
        <v>821.68</v>
      </c>
      <c r="I11737">
        <v>102.71</v>
      </c>
      <c r="J11737">
        <v>64</v>
      </c>
      <c r="K11737">
        <v>6468.48</v>
      </c>
      <c r="L11737">
        <v>101.07</v>
      </c>
      <c r="M11737">
        <v>72</v>
      </c>
      <c r="N11737">
        <v>7290.16</v>
      </c>
      <c r="O11737">
        <v>101.25</v>
      </c>
    </row>
    <row r="11738" spans="1:15" x14ac:dyDescent="0.35">
      <c r="A11738" t="s">
        <v>898</v>
      </c>
      <c r="B11738" t="s">
        <v>898</v>
      </c>
      <c r="C11738" t="s">
        <v>898</v>
      </c>
      <c r="D11738" t="s">
        <v>293</v>
      </c>
      <c r="E11738" t="s">
        <v>308</v>
      </c>
      <c r="F11738" t="s">
        <v>12576</v>
      </c>
      <c r="G11738">
        <v>0</v>
      </c>
      <c r="H11738">
        <v>0</v>
      </c>
      <c r="I11738">
        <v>0</v>
      </c>
      <c r="J11738">
        <v>0</v>
      </c>
      <c r="K11738">
        <v>0</v>
      </c>
      <c r="L11738">
        <v>0</v>
      </c>
      <c r="M11738">
        <v>0</v>
      </c>
      <c r="N11738">
        <v>0</v>
      </c>
      <c r="O11738">
        <v>0</v>
      </c>
    </row>
    <row r="11739" spans="1:15" x14ac:dyDescent="0.35">
      <c r="A11739" t="s">
        <v>898</v>
      </c>
      <c r="B11739" t="s">
        <v>898</v>
      </c>
      <c r="C11739" t="s">
        <v>898</v>
      </c>
      <c r="D11739" t="s">
        <v>293</v>
      </c>
      <c r="E11739" t="s">
        <v>310</v>
      </c>
      <c r="F11739" t="s">
        <v>12577</v>
      </c>
      <c r="G11739">
        <v>25855</v>
      </c>
      <c r="H11739">
        <v>3630074.54</v>
      </c>
      <c r="I11739">
        <v>140.4</v>
      </c>
      <c r="J11739">
        <v>5055</v>
      </c>
      <c r="K11739">
        <v>712020.35999999987</v>
      </c>
      <c r="L11739">
        <v>140.85</v>
      </c>
      <c r="M11739">
        <v>30910</v>
      </c>
      <c r="N11739">
        <v>4342094.9000000004</v>
      </c>
      <c r="O11739">
        <v>140.47999999999999</v>
      </c>
    </row>
    <row r="11740" spans="1:15" x14ac:dyDescent="0.35">
      <c r="A11740" t="s">
        <v>898</v>
      </c>
      <c r="B11740" t="s">
        <v>898</v>
      </c>
      <c r="C11740" t="s">
        <v>898</v>
      </c>
      <c r="D11740" t="s">
        <v>293</v>
      </c>
      <c r="E11740" t="s">
        <v>312</v>
      </c>
      <c r="F11740" t="s">
        <v>12578</v>
      </c>
      <c r="G11740">
        <v>25855</v>
      </c>
      <c r="H11740">
        <v>3630074.54</v>
      </c>
      <c r="I11740">
        <v>140.4</v>
      </c>
      <c r="J11740">
        <v>5055</v>
      </c>
      <c r="K11740">
        <v>712020.35999999987</v>
      </c>
      <c r="L11740">
        <v>140.85</v>
      </c>
      <c r="M11740">
        <v>30910</v>
      </c>
      <c r="N11740">
        <v>4342094.9000000004</v>
      </c>
      <c r="O11740">
        <v>140.47999999999999</v>
      </c>
    </row>
    <row r="11741" spans="1:15" x14ac:dyDescent="0.35">
      <c r="A11741" t="s">
        <v>898</v>
      </c>
      <c r="B11741" t="s">
        <v>898</v>
      </c>
      <c r="C11741" t="s">
        <v>898</v>
      </c>
      <c r="D11741" t="s">
        <v>314</v>
      </c>
      <c r="E11741" t="s">
        <v>294</v>
      </c>
      <c r="F11741" t="s">
        <v>12579</v>
      </c>
      <c r="G11741">
        <v>585</v>
      </c>
      <c r="H11741">
        <v>142827.29999999999</v>
      </c>
      <c r="I11741">
        <v>244.15</v>
      </c>
      <c r="J11741">
        <v>473</v>
      </c>
      <c r="K11741">
        <v>77780</v>
      </c>
      <c r="L11741">
        <v>164.44</v>
      </c>
      <c r="M11741">
        <v>1058</v>
      </c>
      <c r="N11741">
        <v>220607.3</v>
      </c>
      <c r="O11741">
        <v>208.51</v>
      </c>
    </row>
    <row r="11742" spans="1:15" x14ac:dyDescent="0.35">
      <c r="A11742" t="s">
        <v>898</v>
      </c>
      <c r="B11742" t="s">
        <v>898</v>
      </c>
      <c r="C11742" t="s">
        <v>898</v>
      </c>
      <c r="D11742" t="s">
        <v>314</v>
      </c>
      <c r="E11742" t="s">
        <v>296</v>
      </c>
      <c r="F11742" t="s">
        <v>12580</v>
      </c>
      <c r="G11742">
        <v>159</v>
      </c>
      <c r="H11742">
        <v>26892.769999999997</v>
      </c>
      <c r="I11742">
        <v>169.14</v>
      </c>
      <c r="J11742">
        <v>476</v>
      </c>
      <c r="K11742">
        <v>70201.349999999991</v>
      </c>
      <c r="L11742">
        <v>147.47999999999999</v>
      </c>
      <c r="M11742">
        <v>635</v>
      </c>
      <c r="N11742">
        <v>97094.12</v>
      </c>
      <c r="O11742">
        <v>152.9</v>
      </c>
    </row>
    <row r="11743" spans="1:15" x14ac:dyDescent="0.35">
      <c r="A11743" t="s">
        <v>898</v>
      </c>
      <c r="B11743" t="s">
        <v>898</v>
      </c>
      <c r="C11743" t="s">
        <v>898</v>
      </c>
      <c r="D11743" t="s">
        <v>314</v>
      </c>
      <c r="E11743" t="s">
        <v>298</v>
      </c>
      <c r="F11743" t="s">
        <v>12581</v>
      </c>
      <c r="G11743">
        <v>14</v>
      </c>
      <c r="H11743">
        <v>3860.05</v>
      </c>
      <c r="I11743">
        <v>275.72000000000003</v>
      </c>
      <c r="J11743">
        <v>12</v>
      </c>
      <c r="K11743">
        <v>2140.25</v>
      </c>
      <c r="L11743">
        <v>178.35</v>
      </c>
      <c r="M11743">
        <v>26</v>
      </c>
      <c r="N11743">
        <v>6000.3</v>
      </c>
      <c r="O11743">
        <v>230.78</v>
      </c>
    </row>
    <row r="11744" spans="1:15" x14ac:dyDescent="0.35">
      <c r="A11744" t="s">
        <v>898</v>
      </c>
      <c r="B11744" t="s">
        <v>898</v>
      </c>
      <c r="C11744" t="s">
        <v>898</v>
      </c>
      <c r="D11744" t="s">
        <v>314</v>
      </c>
      <c r="E11744" t="s">
        <v>300</v>
      </c>
      <c r="F11744" t="s">
        <v>12582</v>
      </c>
      <c r="G11744">
        <v>0</v>
      </c>
      <c r="H11744">
        <v>0</v>
      </c>
      <c r="I11744">
        <v>0</v>
      </c>
      <c r="J11744">
        <v>2</v>
      </c>
      <c r="K11744">
        <v>357.46</v>
      </c>
      <c r="L11744">
        <v>178.73</v>
      </c>
      <c r="M11744">
        <v>2</v>
      </c>
      <c r="N11744">
        <v>357.46</v>
      </c>
      <c r="O11744">
        <v>178.73</v>
      </c>
    </row>
    <row r="11745" spans="1:15" x14ac:dyDescent="0.35">
      <c r="A11745" t="s">
        <v>898</v>
      </c>
      <c r="B11745" t="s">
        <v>898</v>
      </c>
      <c r="C11745" t="s">
        <v>898</v>
      </c>
      <c r="D11745" t="s">
        <v>314</v>
      </c>
      <c r="E11745" t="s">
        <v>306</v>
      </c>
      <c r="F11745" t="s">
        <v>12583</v>
      </c>
      <c r="G11745">
        <v>29</v>
      </c>
      <c r="H11745">
        <v>8976.4399999999987</v>
      </c>
      <c r="I11745">
        <v>309.52999999999997</v>
      </c>
      <c r="J11745">
        <v>0</v>
      </c>
      <c r="K11745">
        <v>0</v>
      </c>
      <c r="L11745">
        <v>0</v>
      </c>
      <c r="M11745">
        <v>29</v>
      </c>
      <c r="N11745">
        <v>8976.4399999999987</v>
      </c>
      <c r="O11745">
        <v>309.52999999999997</v>
      </c>
    </row>
    <row r="11746" spans="1:15" x14ac:dyDescent="0.35">
      <c r="A11746" t="s">
        <v>898</v>
      </c>
      <c r="B11746" t="s">
        <v>898</v>
      </c>
      <c r="C11746" t="s">
        <v>898</v>
      </c>
      <c r="D11746" t="s">
        <v>314</v>
      </c>
      <c r="E11746" t="s">
        <v>308</v>
      </c>
      <c r="F11746" t="s">
        <v>12584</v>
      </c>
      <c r="G11746">
        <v>35</v>
      </c>
      <c r="H11746">
        <v>12861.699999999999</v>
      </c>
      <c r="I11746">
        <v>367.48</v>
      </c>
      <c r="J11746">
        <v>9</v>
      </c>
      <c r="K11746">
        <v>642.6</v>
      </c>
      <c r="L11746">
        <v>71.400000000000006</v>
      </c>
      <c r="M11746">
        <v>44</v>
      </c>
      <c r="N11746">
        <v>13504.3</v>
      </c>
      <c r="O11746">
        <v>306.92</v>
      </c>
    </row>
    <row r="11747" spans="1:15" x14ac:dyDescent="0.35">
      <c r="A11747" t="s">
        <v>898</v>
      </c>
      <c r="B11747" t="s">
        <v>898</v>
      </c>
      <c r="C11747" t="s">
        <v>898</v>
      </c>
      <c r="D11747" t="s">
        <v>314</v>
      </c>
      <c r="E11747" t="s">
        <v>312</v>
      </c>
      <c r="F11747" t="s">
        <v>12585</v>
      </c>
      <c r="G11747">
        <v>787</v>
      </c>
      <c r="H11747">
        <v>182556.55999999997</v>
      </c>
      <c r="I11747">
        <v>231.97</v>
      </c>
      <c r="J11747">
        <v>963</v>
      </c>
      <c r="K11747">
        <v>150479.06000000003</v>
      </c>
      <c r="L11747">
        <v>156.26</v>
      </c>
      <c r="M11747">
        <v>1750</v>
      </c>
      <c r="N11747">
        <v>333035.62</v>
      </c>
      <c r="O11747">
        <v>190.31</v>
      </c>
    </row>
    <row r="11748" spans="1:15" x14ac:dyDescent="0.35">
      <c r="A11748" t="s">
        <v>898</v>
      </c>
      <c r="B11748" t="s">
        <v>898</v>
      </c>
      <c r="C11748" t="s">
        <v>898</v>
      </c>
      <c r="D11748" t="s">
        <v>314</v>
      </c>
      <c r="E11748" t="s">
        <v>310</v>
      </c>
      <c r="F11748" t="s">
        <v>12586</v>
      </c>
      <c r="G11748">
        <v>822</v>
      </c>
      <c r="H11748">
        <v>195418.25999999998</v>
      </c>
      <c r="I11748">
        <v>237.74</v>
      </c>
      <c r="J11748">
        <v>972</v>
      </c>
      <c r="K11748">
        <v>151121.66</v>
      </c>
      <c r="L11748">
        <v>155.47</v>
      </c>
      <c r="M11748">
        <v>1794</v>
      </c>
      <c r="N11748">
        <v>346539.92</v>
      </c>
      <c r="O11748">
        <v>193.17</v>
      </c>
    </row>
    <row r="11749" spans="1:15" x14ac:dyDescent="0.35">
      <c r="A11749" t="s">
        <v>898</v>
      </c>
      <c r="B11749" t="s">
        <v>898</v>
      </c>
      <c r="C11749" t="s">
        <v>898</v>
      </c>
      <c r="D11749" t="s">
        <v>323</v>
      </c>
      <c r="E11749" t="s">
        <v>294</v>
      </c>
      <c r="F11749" t="s">
        <v>12587</v>
      </c>
      <c r="G11749">
        <v>18456</v>
      </c>
      <c r="H11749">
        <v>1709466.3800000001</v>
      </c>
      <c r="I11749">
        <v>92.62</v>
      </c>
      <c r="J11749">
        <v>37475</v>
      </c>
      <c r="K11749">
        <v>3050243.69</v>
      </c>
      <c r="L11749">
        <v>81.39</v>
      </c>
      <c r="M11749">
        <v>55931</v>
      </c>
      <c r="N11749">
        <v>4759710.0700000012</v>
      </c>
      <c r="O11749">
        <v>85.1</v>
      </c>
    </row>
    <row r="11750" spans="1:15" x14ac:dyDescent="0.35">
      <c r="A11750" t="s">
        <v>898</v>
      </c>
      <c r="B11750" t="s">
        <v>898</v>
      </c>
      <c r="C11750" t="s">
        <v>898</v>
      </c>
      <c r="D11750" t="s">
        <v>323</v>
      </c>
      <c r="E11750" t="s">
        <v>296</v>
      </c>
      <c r="F11750" t="s">
        <v>12588</v>
      </c>
      <c r="G11750">
        <v>38782</v>
      </c>
      <c r="H11750">
        <v>4190891.1600000011</v>
      </c>
      <c r="I11750">
        <v>108.06</v>
      </c>
      <c r="J11750">
        <v>45374</v>
      </c>
      <c r="K11750">
        <v>4197474.7100000009</v>
      </c>
      <c r="L11750">
        <v>92.51</v>
      </c>
      <c r="M11750">
        <v>84156</v>
      </c>
      <c r="N11750">
        <v>8388365.8700000001</v>
      </c>
      <c r="O11750">
        <v>99.68</v>
      </c>
    </row>
    <row r="11751" spans="1:15" x14ac:dyDescent="0.35">
      <c r="A11751" t="s">
        <v>898</v>
      </c>
      <c r="B11751" t="s">
        <v>898</v>
      </c>
      <c r="C11751" t="s">
        <v>898</v>
      </c>
      <c r="D11751" t="s">
        <v>323</v>
      </c>
      <c r="E11751" t="s">
        <v>298</v>
      </c>
      <c r="F11751" t="s">
        <v>12589</v>
      </c>
      <c r="G11751">
        <v>34880</v>
      </c>
      <c r="H11751">
        <v>4110744.9200000009</v>
      </c>
      <c r="I11751">
        <v>117.85</v>
      </c>
      <c r="J11751">
        <v>55849</v>
      </c>
      <c r="K11751">
        <v>5598732.2200000007</v>
      </c>
      <c r="L11751">
        <v>100.25</v>
      </c>
      <c r="M11751">
        <v>90729</v>
      </c>
      <c r="N11751">
        <v>9709477.1399999987</v>
      </c>
      <c r="O11751">
        <v>107.02</v>
      </c>
    </row>
    <row r="11752" spans="1:15" x14ac:dyDescent="0.35">
      <c r="A11752" t="s">
        <v>898</v>
      </c>
      <c r="B11752" t="s">
        <v>898</v>
      </c>
      <c r="C11752" t="s">
        <v>898</v>
      </c>
      <c r="D11752" t="s">
        <v>323</v>
      </c>
      <c r="E11752" t="s">
        <v>300</v>
      </c>
      <c r="F11752" t="s">
        <v>12590</v>
      </c>
      <c r="G11752">
        <v>2677</v>
      </c>
      <c r="H11752">
        <v>358337.25999999995</v>
      </c>
      <c r="I11752">
        <v>133.86000000000001</v>
      </c>
      <c r="J11752">
        <v>2968</v>
      </c>
      <c r="K11752">
        <v>322777.93</v>
      </c>
      <c r="L11752">
        <v>108.75</v>
      </c>
      <c r="M11752">
        <v>5645</v>
      </c>
      <c r="N11752">
        <v>681115.19</v>
      </c>
      <c r="O11752">
        <v>120.66</v>
      </c>
    </row>
    <row r="11753" spans="1:15" x14ac:dyDescent="0.35">
      <c r="A11753" t="s">
        <v>898</v>
      </c>
      <c r="B11753" t="s">
        <v>898</v>
      </c>
      <c r="C11753" t="s">
        <v>898</v>
      </c>
      <c r="D11753" t="s">
        <v>323</v>
      </c>
      <c r="E11753" t="s">
        <v>302</v>
      </c>
      <c r="F11753" t="s">
        <v>12591</v>
      </c>
      <c r="G11753">
        <v>180</v>
      </c>
      <c r="H11753">
        <v>25315.42</v>
      </c>
      <c r="I11753">
        <v>140.63999999999999</v>
      </c>
      <c r="J11753">
        <v>292</v>
      </c>
      <c r="K11753">
        <v>35450.32</v>
      </c>
      <c r="L11753">
        <v>121.41</v>
      </c>
      <c r="M11753">
        <v>472</v>
      </c>
      <c r="N11753">
        <v>60765.74</v>
      </c>
      <c r="O11753">
        <v>128.74</v>
      </c>
    </row>
    <row r="11754" spans="1:15" x14ac:dyDescent="0.35">
      <c r="A11754" t="s">
        <v>898</v>
      </c>
      <c r="B11754" t="s">
        <v>898</v>
      </c>
      <c r="C11754" t="s">
        <v>898</v>
      </c>
      <c r="D11754" t="s">
        <v>323</v>
      </c>
      <c r="E11754" t="s">
        <v>304</v>
      </c>
      <c r="F11754" t="s">
        <v>12592</v>
      </c>
      <c r="G11754">
        <v>41</v>
      </c>
      <c r="H11754">
        <v>6441.0599999999995</v>
      </c>
      <c r="I11754">
        <v>157.1</v>
      </c>
      <c r="J11754">
        <v>46</v>
      </c>
      <c r="K11754">
        <v>5766.4800000000005</v>
      </c>
      <c r="L11754">
        <v>125.36</v>
      </c>
      <c r="M11754">
        <v>87</v>
      </c>
      <c r="N11754">
        <v>12207.540000000005</v>
      </c>
      <c r="O11754">
        <v>140.32</v>
      </c>
    </row>
    <row r="11755" spans="1:15" x14ac:dyDescent="0.35">
      <c r="A11755" t="s">
        <v>898</v>
      </c>
      <c r="B11755" t="s">
        <v>898</v>
      </c>
      <c r="C11755" t="s">
        <v>898</v>
      </c>
      <c r="D11755" t="s">
        <v>323</v>
      </c>
      <c r="E11755" t="s">
        <v>306</v>
      </c>
      <c r="F11755" t="s">
        <v>12593</v>
      </c>
      <c r="G11755">
        <v>760</v>
      </c>
      <c r="H11755">
        <v>59402.640000000014</v>
      </c>
      <c r="I11755">
        <v>78.16</v>
      </c>
      <c r="J11755">
        <v>1222</v>
      </c>
      <c r="K11755">
        <v>87160.409999999974</v>
      </c>
      <c r="L11755">
        <v>71.33</v>
      </c>
      <c r="M11755">
        <v>1982</v>
      </c>
      <c r="N11755">
        <v>146563.05000000002</v>
      </c>
      <c r="O11755">
        <v>73.95</v>
      </c>
    </row>
    <row r="11756" spans="1:15" x14ac:dyDescent="0.35">
      <c r="A11756" t="s">
        <v>898</v>
      </c>
      <c r="B11756" t="s">
        <v>898</v>
      </c>
      <c r="C11756" t="s">
        <v>898</v>
      </c>
      <c r="D11756" t="s">
        <v>323</v>
      </c>
      <c r="E11756" t="s">
        <v>308</v>
      </c>
      <c r="F11756" t="s">
        <v>12594</v>
      </c>
      <c r="G11756">
        <v>19</v>
      </c>
      <c r="H11756">
        <v>1961.3400000000001</v>
      </c>
      <c r="I11756">
        <v>103.23</v>
      </c>
      <c r="J11756">
        <v>14</v>
      </c>
      <c r="K11756">
        <v>821.99</v>
      </c>
      <c r="L11756">
        <v>58.71</v>
      </c>
      <c r="M11756">
        <v>33</v>
      </c>
      <c r="N11756">
        <v>2783.3300000000004</v>
      </c>
      <c r="O11756">
        <v>84.34</v>
      </c>
    </row>
    <row r="11757" spans="1:15" x14ac:dyDescent="0.35">
      <c r="A11757" t="s">
        <v>898</v>
      </c>
      <c r="B11757" t="s">
        <v>898</v>
      </c>
      <c r="C11757" t="s">
        <v>898</v>
      </c>
      <c r="D11757" t="s">
        <v>323</v>
      </c>
      <c r="E11757" t="s">
        <v>310</v>
      </c>
      <c r="F11757" t="s">
        <v>12595</v>
      </c>
      <c r="G11757">
        <v>95795</v>
      </c>
      <c r="H11757">
        <v>10462560.180000002</v>
      </c>
      <c r="I11757">
        <v>109.22</v>
      </c>
      <c r="J11757">
        <v>143240</v>
      </c>
      <c r="K11757">
        <v>13298427.750000002</v>
      </c>
      <c r="L11757">
        <v>92.84</v>
      </c>
      <c r="M11757">
        <v>239035</v>
      </c>
      <c r="N11757">
        <v>23760987.930000003</v>
      </c>
      <c r="O11757">
        <v>99.4</v>
      </c>
    </row>
    <row r="11758" spans="1:15" x14ac:dyDescent="0.35">
      <c r="A11758" t="s">
        <v>898</v>
      </c>
      <c r="B11758" t="s">
        <v>898</v>
      </c>
      <c r="C11758" t="s">
        <v>898</v>
      </c>
      <c r="D11758" t="s">
        <v>323</v>
      </c>
      <c r="E11758" t="s">
        <v>312</v>
      </c>
      <c r="F11758" t="s">
        <v>12596</v>
      </c>
      <c r="G11758">
        <v>95776</v>
      </c>
      <c r="H11758">
        <v>10460598.840000002</v>
      </c>
      <c r="I11758">
        <v>109.22</v>
      </c>
      <c r="J11758">
        <v>143226</v>
      </c>
      <c r="K11758">
        <v>13297605.760000002</v>
      </c>
      <c r="L11758">
        <v>92.84</v>
      </c>
      <c r="M11758">
        <v>239002</v>
      </c>
      <c r="N11758">
        <v>23758204.600000001</v>
      </c>
      <c r="O11758">
        <v>99.41</v>
      </c>
    </row>
    <row r="11759" spans="1:15" x14ac:dyDescent="0.35">
      <c r="A11759" t="s">
        <v>898</v>
      </c>
      <c r="B11759" t="s">
        <v>898</v>
      </c>
      <c r="C11759" t="s">
        <v>898</v>
      </c>
      <c r="D11759" t="s">
        <v>334</v>
      </c>
      <c r="E11759" t="s">
        <v>312</v>
      </c>
      <c r="F11759" t="s">
        <v>12597</v>
      </c>
      <c r="G11759">
        <v>126763</v>
      </c>
      <c r="H11759">
        <v>14090673.380000005</v>
      </c>
      <c r="I11759">
        <v>115.85</v>
      </c>
      <c r="J11759">
        <v>148281</v>
      </c>
      <c r="K11759">
        <v>14009626.120000001</v>
      </c>
      <c r="L11759">
        <v>94.48</v>
      </c>
      <c r="M11759">
        <v>275044</v>
      </c>
      <c r="N11759">
        <v>28100299.500000007</v>
      </c>
      <c r="O11759">
        <v>104.11</v>
      </c>
    </row>
    <row r="11760" spans="1:15" x14ac:dyDescent="0.35">
      <c r="A11760" t="s">
        <v>898</v>
      </c>
      <c r="B11760" t="s">
        <v>898</v>
      </c>
      <c r="C11760" t="s">
        <v>898</v>
      </c>
      <c r="D11760" t="s">
        <v>334</v>
      </c>
      <c r="E11760" t="s">
        <v>308</v>
      </c>
      <c r="F11760" t="s">
        <v>12598</v>
      </c>
      <c r="G11760">
        <v>472</v>
      </c>
      <c r="H11760">
        <v>1961.3400000000001</v>
      </c>
      <c r="I11760">
        <v>103.23</v>
      </c>
      <c r="J11760">
        <v>14</v>
      </c>
      <c r="K11760">
        <v>821.99</v>
      </c>
      <c r="L11760">
        <v>58.71</v>
      </c>
      <c r="M11760">
        <v>486</v>
      </c>
      <c r="N11760">
        <v>2783.33</v>
      </c>
      <c r="O11760">
        <v>84.34</v>
      </c>
    </row>
    <row r="11761" spans="1:15" x14ac:dyDescent="0.35">
      <c r="A11761" t="s">
        <v>898</v>
      </c>
      <c r="B11761" t="s">
        <v>898</v>
      </c>
      <c r="C11761" t="s">
        <v>898</v>
      </c>
      <c r="D11761" t="s">
        <v>337</v>
      </c>
      <c r="E11761" t="s">
        <v>337</v>
      </c>
      <c r="F11761" t="s">
        <v>12599</v>
      </c>
      <c r="G11761">
        <v>20573</v>
      </c>
      <c r="J11761">
        <v>279</v>
      </c>
      <c r="M11761">
        <v>20852</v>
      </c>
    </row>
    <row r="11762" spans="1:15" x14ac:dyDescent="0.35">
      <c r="A11762" t="s">
        <v>898</v>
      </c>
      <c r="B11762" t="s">
        <v>898</v>
      </c>
      <c r="C11762" t="s">
        <v>898</v>
      </c>
      <c r="D11762" t="s">
        <v>339</v>
      </c>
      <c r="E11762" t="s">
        <v>294</v>
      </c>
      <c r="F11762" t="s">
        <v>12600</v>
      </c>
      <c r="G11762">
        <v>16556</v>
      </c>
      <c r="H11762">
        <v>1853219.3299999998</v>
      </c>
      <c r="I11762">
        <v>111.94</v>
      </c>
      <c r="J11762">
        <v>12872</v>
      </c>
      <c r="K11762">
        <v>1084248.58</v>
      </c>
      <c r="L11762">
        <v>84.23</v>
      </c>
      <c r="M11762">
        <v>29428</v>
      </c>
      <c r="N11762">
        <v>2937467.9100000011</v>
      </c>
      <c r="O11762">
        <v>99.82</v>
      </c>
    </row>
    <row r="11763" spans="1:15" x14ac:dyDescent="0.35">
      <c r="A11763" t="s">
        <v>898</v>
      </c>
      <c r="B11763" t="s">
        <v>898</v>
      </c>
      <c r="C11763" t="s">
        <v>898</v>
      </c>
      <c r="D11763" t="s">
        <v>339</v>
      </c>
      <c r="E11763" t="s">
        <v>296</v>
      </c>
      <c r="F11763" t="s">
        <v>12601</v>
      </c>
      <c r="G11763">
        <v>6862</v>
      </c>
      <c r="H11763">
        <v>807642.52999999991</v>
      </c>
      <c r="I11763">
        <v>117.7</v>
      </c>
      <c r="J11763">
        <v>6924</v>
      </c>
      <c r="K11763">
        <v>664461.89</v>
      </c>
      <c r="L11763">
        <v>95.97</v>
      </c>
      <c r="M11763">
        <v>13786</v>
      </c>
      <c r="N11763">
        <v>1472104.4199999995</v>
      </c>
      <c r="O11763">
        <v>106.78</v>
      </c>
    </row>
    <row r="11764" spans="1:15" x14ac:dyDescent="0.35">
      <c r="A11764" t="s">
        <v>898</v>
      </c>
      <c r="B11764" t="s">
        <v>898</v>
      </c>
      <c r="C11764" t="s">
        <v>898</v>
      </c>
      <c r="D11764" t="s">
        <v>339</v>
      </c>
      <c r="E11764" t="s">
        <v>298</v>
      </c>
      <c r="F11764" t="s">
        <v>12602</v>
      </c>
      <c r="G11764">
        <v>204</v>
      </c>
      <c r="H11764">
        <v>26488.23000000001</v>
      </c>
      <c r="I11764">
        <v>129.84</v>
      </c>
      <c r="J11764">
        <v>148</v>
      </c>
      <c r="K11764">
        <v>15918.479999999998</v>
      </c>
      <c r="L11764">
        <v>107.56</v>
      </c>
      <c r="M11764">
        <v>352</v>
      </c>
      <c r="N11764">
        <v>42406.709999999992</v>
      </c>
      <c r="O11764">
        <v>120.47</v>
      </c>
    </row>
    <row r="11765" spans="1:15" x14ac:dyDescent="0.35">
      <c r="A11765" t="s">
        <v>898</v>
      </c>
      <c r="B11765" t="s">
        <v>898</v>
      </c>
      <c r="C11765" t="s">
        <v>898</v>
      </c>
      <c r="D11765" t="s">
        <v>339</v>
      </c>
      <c r="E11765" t="s">
        <v>300</v>
      </c>
      <c r="F11765" t="s">
        <v>12603</v>
      </c>
      <c r="G11765">
        <v>17</v>
      </c>
      <c r="H11765">
        <v>3322.21</v>
      </c>
      <c r="I11765">
        <v>195.42</v>
      </c>
      <c r="J11765">
        <v>12</v>
      </c>
      <c r="K11765">
        <v>1353.31</v>
      </c>
      <c r="L11765">
        <v>112.78</v>
      </c>
      <c r="M11765">
        <v>29</v>
      </c>
      <c r="N11765">
        <v>4675.5200000000004</v>
      </c>
      <c r="O11765">
        <v>161.22</v>
      </c>
    </row>
    <row r="11766" spans="1:15" x14ac:dyDescent="0.35">
      <c r="A11766" t="s">
        <v>898</v>
      </c>
      <c r="B11766" t="s">
        <v>898</v>
      </c>
      <c r="C11766" t="s">
        <v>898</v>
      </c>
      <c r="D11766" t="s">
        <v>339</v>
      </c>
      <c r="E11766" t="s">
        <v>302</v>
      </c>
      <c r="F11766" t="s">
        <v>12604</v>
      </c>
      <c r="G11766">
        <v>0</v>
      </c>
      <c r="H11766">
        <v>0</v>
      </c>
      <c r="I11766">
        <v>0</v>
      </c>
      <c r="J11766">
        <v>0</v>
      </c>
      <c r="K11766">
        <v>0</v>
      </c>
      <c r="L11766">
        <v>0</v>
      </c>
      <c r="M11766">
        <v>0</v>
      </c>
      <c r="N11766">
        <v>0</v>
      </c>
      <c r="O11766">
        <v>0</v>
      </c>
    </row>
    <row r="11767" spans="1:15" x14ac:dyDescent="0.35">
      <c r="A11767" t="s">
        <v>898</v>
      </c>
      <c r="B11767" t="s">
        <v>898</v>
      </c>
      <c r="C11767" t="s">
        <v>898</v>
      </c>
      <c r="D11767" t="s">
        <v>339</v>
      </c>
      <c r="E11767" t="s">
        <v>304</v>
      </c>
      <c r="F11767" t="s">
        <v>12605</v>
      </c>
      <c r="G11767">
        <v>0</v>
      </c>
      <c r="H11767">
        <v>0</v>
      </c>
      <c r="I11767">
        <v>0</v>
      </c>
      <c r="J11767">
        <v>0</v>
      </c>
      <c r="K11767">
        <v>0</v>
      </c>
      <c r="L11767">
        <v>0</v>
      </c>
      <c r="M11767">
        <v>0</v>
      </c>
      <c r="N11767">
        <v>0</v>
      </c>
      <c r="O11767">
        <v>0</v>
      </c>
    </row>
    <row r="11768" spans="1:15" x14ac:dyDescent="0.35">
      <c r="A11768" t="s">
        <v>898</v>
      </c>
      <c r="B11768" t="s">
        <v>898</v>
      </c>
      <c r="C11768" t="s">
        <v>898</v>
      </c>
      <c r="D11768" t="s">
        <v>339</v>
      </c>
      <c r="E11768" t="s">
        <v>306</v>
      </c>
      <c r="F11768" t="s">
        <v>12606</v>
      </c>
      <c r="G11768">
        <v>1688</v>
      </c>
      <c r="H11768">
        <v>148718.45000000007</v>
      </c>
      <c r="I11768">
        <v>88.1</v>
      </c>
      <c r="J11768">
        <v>625</v>
      </c>
      <c r="K11768">
        <v>44615.460000000006</v>
      </c>
      <c r="L11768">
        <v>71.38</v>
      </c>
      <c r="M11768">
        <v>2313</v>
      </c>
      <c r="N11768">
        <v>193333.91000000003</v>
      </c>
      <c r="O11768">
        <v>83.59</v>
      </c>
    </row>
    <row r="11769" spans="1:15" x14ac:dyDescent="0.35">
      <c r="A11769" t="s">
        <v>898</v>
      </c>
      <c r="B11769" t="s">
        <v>898</v>
      </c>
      <c r="C11769" t="s">
        <v>898</v>
      </c>
      <c r="D11769" t="s">
        <v>339</v>
      </c>
      <c r="E11769" t="s">
        <v>308</v>
      </c>
      <c r="F11769" t="s">
        <v>12607</v>
      </c>
      <c r="G11769">
        <v>2598</v>
      </c>
      <c r="H11769">
        <v>424943.91999999993</v>
      </c>
      <c r="I11769">
        <v>163.57</v>
      </c>
      <c r="J11769">
        <v>93</v>
      </c>
      <c r="K11769">
        <v>6891.81</v>
      </c>
      <c r="L11769">
        <v>74.11</v>
      </c>
      <c r="M11769">
        <v>2691</v>
      </c>
      <c r="N11769">
        <v>431835.73</v>
      </c>
      <c r="O11769">
        <v>160.47</v>
      </c>
    </row>
    <row r="11770" spans="1:15" x14ac:dyDescent="0.35">
      <c r="A11770" t="s">
        <v>898</v>
      </c>
      <c r="B11770" t="s">
        <v>898</v>
      </c>
      <c r="C11770" t="s">
        <v>898</v>
      </c>
      <c r="D11770" t="s">
        <v>339</v>
      </c>
      <c r="E11770" t="s">
        <v>310</v>
      </c>
      <c r="F11770" t="s">
        <v>12608</v>
      </c>
      <c r="G11770">
        <v>27925</v>
      </c>
      <c r="H11770">
        <v>3264334.6700000004</v>
      </c>
      <c r="I11770">
        <v>116.9</v>
      </c>
      <c r="J11770">
        <v>20674</v>
      </c>
      <c r="K11770">
        <v>1817489.5299999998</v>
      </c>
      <c r="L11770">
        <v>87.91</v>
      </c>
      <c r="M11770">
        <v>48599</v>
      </c>
      <c r="N11770">
        <v>5081824.2</v>
      </c>
      <c r="O11770">
        <v>104.57</v>
      </c>
    </row>
    <row r="11771" spans="1:15" x14ac:dyDescent="0.35">
      <c r="A11771" t="s">
        <v>898</v>
      </c>
      <c r="B11771" t="s">
        <v>898</v>
      </c>
      <c r="C11771" t="s">
        <v>898</v>
      </c>
      <c r="D11771" t="s">
        <v>339</v>
      </c>
      <c r="E11771" t="s">
        <v>312</v>
      </c>
      <c r="F11771" t="s">
        <v>12609</v>
      </c>
      <c r="G11771">
        <v>25327</v>
      </c>
      <c r="H11771">
        <v>2839390.7499999995</v>
      </c>
      <c r="I11771">
        <v>112.11</v>
      </c>
      <c r="J11771">
        <v>20581</v>
      </c>
      <c r="K11771">
        <v>1810597.72</v>
      </c>
      <c r="L11771">
        <v>87.97</v>
      </c>
      <c r="M11771">
        <v>45908</v>
      </c>
      <c r="N11771">
        <v>4649988.47</v>
      </c>
      <c r="O11771">
        <v>101.29</v>
      </c>
    </row>
    <row r="11772" spans="1:15" x14ac:dyDescent="0.35">
      <c r="A11772" t="s">
        <v>898</v>
      </c>
      <c r="B11772" t="s">
        <v>898</v>
      </c>
      <c r="C11772" t="s">
        <v>898</v>
      </c>
      <c r="D11772" t="s">
        <v>348</v>
      </c>
      <c r="E11772" t="s">
        <v>349</v>
      </c>
      <c r="F11772" t="s">
        <v>12610</v>
      </c>
      <c r="G11772">
        <v>31776</v>
      </c>
      <c r="H11772">
        <v>3459752.9299999997</v>
      </c>
      <c r="I11772">
        <v>120.35</v>
      </c>
      <c r="J11772">
        <v>21646</v>
      </c>
      <c r="K11772">
        <v>1968611.19</v>
      </c>
      <c r="L11772">
        <v>90.95</v>
      </c>
      <c r="M11772">
        <v>53422</v>
      </c>
      <c r="N11772">
        <v>5428364.1199999992</v>
      </c>
      <c r="O11772">
        <v>107.72</v>
      </c>
    </row>
    <row r="11773" spans="1:15" x14ac:dyDescent="0.35">
      <c r="A11773" t="s">
        <v>898</v>
      </c>
      <c r="B11773" t="s">
        <v>898</v>
      </c>
      <c r="C11773" t="s">
        <v>898</v>
      </c>
      <c r="D11773" t="s">
        <v>310</v>
      </c>
      <c r="E11773" t="s">
        <v>310</v>
      </c>
      <c r="F11773" t="s">
        <v>12611</v>
      </c>
      <c r="G11773">
        <v>179584</v>
      </c>
      <c r="H11773">
        <v>17552387.650000002</v>
      </c>
      <c r="I11773">
        <v>116.71</v>
      </c>
      <c r="J11773">
        <v>170220</v>
      </c>
      <c r="K11773">
        <v>15962423.73</v>
      </c>
      <c r="L11773">
        <v>94</v>
      </c>
      <c r="M11773">
        <v>349804</v>
      </c>
      <c r="N11773">
        <v>33514811.380000003</v>
      </c>
      <c r="O11773">
        <v>104.67</v>
      </c>
    </row>
    <row r="11774" spans="1:15" x14ac:dyDescent="0.35">
      <c r="A11774" t="s">
        <v>1477</v>
      </c>
      <c r="B11774" t="s">
        <v>1477</v>
      </c>
      <c r="C11774" t="s">
        <v>1477</v>
      </c>
      <c r="D11774" t="s">
        <v>293</v>
      </c>
      <c r="E11774" t="s">
        <v>294</v>
      </c>
      <c r="F11774" t="s">
        <v>12612</v>
      </c>
      <c r="G11774">
        <v>12477</v>
      </c>
      <c r="H11774">
        <v>1803388.5199999998</v>
      </c>
      <c r="I11774">
        <v>144.54</v>
      </c>
      <c r="J11774">
        <v>1059</v>
      </c>
      <c r="K11774">
        <v>164255.6</v>
      </c>
      <c r="L11774">
        <v>155.1</v>
      </c>
      <c r="M11774">
        <v>13536</v>
      </c>
      <c r="N11774">
        <v>1967644.12</v>
      </c>
      <c r="O11774">
        <v>145.36000000000001</v>
      </c>
    </row>
    <row r="11775" spans="1:15" x14ac:dyDescent="0.35">
      <c r="A11775" t="s">
        <v>1477</v>
      </c>
      <c r="B11775" t="s">
        <v>1477</v>
      </c>
      <c r="C11775" t="s">
        <v>1477</v>
      </c>
      <c r="D11775" t="s">
        <v>293</v>
      </c>
      <c r="E11775" t="s">
        <v>296</v>
      </c>
      <c r="F11775" t="s">
        <v>12613</v>
      </c>
      <c r="G11775">
        <v>24265</v>
      </c>
      <c r="H11775">
        <v>4313591.4400000013</v>
      </c>
      <c r="I11775">
        <v>177.77</v>
      </c>
      <c r="J11775">
        <v>1799</v>
      </c>
      <c r="K11775">
        <v>325118.65999999997</v>
      </c>
      <c r="L11775">
        <v>180.72</v>
      </c>
      <c r="M11775">
        <v>26064</v>
      </c>
      <c r="N11775">
        <v>4638710.1000000006</v>
      </c>
      <c r="O11775">
        <v>177.97</v>
      </c>
    </row>
    <row r="11776" spans="1:15" x14ac:dyDescent="0.35">
      <c r="A11776" t="s">
        <v>1477</v>
      </c>
      <c r="B11776" t="s">
        <v>1477</v>
      </c>
      <c r="C11776" t="s">
        <v>1477</v>
      </c>
      <c r="D11776" t="s">
        <v>293</v>
      </c>
      <c r="E11776" t="s">
        <v>298</v>
      </c>
      <c r="F11776" t="s">
        <v>12614</v>
      </c>
      <c r="G11776">
        <v>11193</v>
      </c>
      <c r="H11776">
        <v>2292372.71</v>
      </c>
      <c r="I11776">
        <v>204.8</v>
      </c>
      <c r="J11776">
        <v>709</v>
      </c>
      <c r="K11776">
        <v>154315.38999999998</v>
      </c>
      <c r="L11776">
        <v>217.65</v>
      </c>
      <c r="M11776">
        <v>11902</v>
      </c>
      <c r="N11776">
        <v>2446688.1</v>
      </c>
      <c r="O11776">
        <v>205.57</v>
      </c>
    </row>
    <row r="11777" spans="1:15" x14ac:dyDescent="0.35">
      <c r="A11777" t="s">
        <v>1477</v>
      </c>
      <c r="B11777" t="s">
        <v>1477</v>
      </c>
      <c r="C11777" t="s">
        <v>1477</v>
      </c>
      <c r="D11777" t="s">
        <v>293</v>
      </c>
      <c r="E11777" t="s">
        <v>300</v>
      </c>
      <c r="F11777" t="s">
        <v>12615</v>
      </c>
      <c r="G11777">
        <v>1544</v>
      </c>
      <c r="H11777">
        <v>388466.62</v>
      </c>
      <c r="I11777">
        <v>251.6</v>
      </c>
      <c r="J11777">
        <v>119</v>
      </c>
      <c r="K11777">
        <v>32479.420000000006</v>
      </c>
      <c r="L11777">
        <v>272.94</v>
      </c>
      <c r="M11777">
        <v>1663</v>
      </c>
      <c r="N11777">
        <v>420946.04000000004</v>
      </c>
      <c r="O11777">
        <v>253.12</v>
      </c>
    </row>
    <row r="11778" spans="1:15" x14ac:dyDescent="0.35">
      <c r="A11778" t="s">
        <v>1477</v>
      </c>
      <c r="B11778" t="s">
        <v>1477</v>
      </c>
      <c r="C11778" t="s">
        <v>1477</v>
      </c>
      <c r="D11778" t="s">
        <v>293</v>
      </c>
      <c r="E11778" t="s">
        <v>302</v>
      </c>
      <c r="F11778" t="s">
        <v>12616</v>
      </c>
      <c r="G11778">
        <v>47</v>
      </c>
      <c r="H11778">
        <v>11112.989999999998</v>
      </c>
      <c r="I11778">
        <v>236.45</v>
      </c>
      <c r="J11778">
        <v>17</v>
      </c>
      <c r="K11778">
        <v>4089.9800000000005</v>
      </c>
      <c r="L11778">
        <v>240.59</v>
      </c>
      <c r="M11778">
        <v>64</v>
      </c>
      <c r="N11778">
        <v>15202.970000000001</v>
      </c>
      <c r="O11778">
        <v>237.55</v>
      </c>
    </row>
    <row r="11779" spans="1:15" x14ac:dyDescent="0.35">
      <c r="A11779" t="s">
        <v>1477</v>
      </c>
      <c r="B11779" t="s">
        <v>1477</v>
      </c>
      <c r="C11779" t="s">
        <v>1477</v>
      </c>
      <c r="D11779" t="s">
        <v>293</v>
      </c>
      <c r="E11779" t="s">
        <v>304</v>
      </c>
      <c r="F11779" t="s">
        <v>12617</v>
      </c>
      <c r="G11779">
        <v>1</v>
      </c>
      <c r="H11779">
        <v>164</v>
      </c>
      <c r="I11779">
        <v>164</v>
      </c>
      <c r="J11779">
        <v>3</v>
      </c>
      <c r="K11779">
        <v>763.98</v>
      </c>
      <c r="L11779">
        <v>254.66</v>
      </c>
      <c r="M11779">
        <v>4</v>
      </c>
      <c r="N11779">
        <v>927.98</v>
      </c>
      <c r="O11779">
        <v>232</v>
      </c>
    </row>
    <row r="11780" spans="1:15" x14ac:dyDescent="0.35">
      <c r="A11780" t="s">
        <v>1477</v>
      </c>
      <c r="B11780" t="s">
        <v>1477</v>
      </c>
      <c r="C11780" t="s">
        <v>1477</v>
      </c>
      <c r="D11780" t="s">
        <v>293</v>
      </c>
      <c r="E11780" t="s">
        <v>306</v>
      </c>
      <c r="F11780" t="s">
        <v>12618</v>
      </c>
      <c r="G11780">
        <v>69</v>
      </c>
      <c r="H11780">
        <v>9842.6499999999978</v>
      </c>
      <c r="I11780">
        <v>142.65</v>
      </c>
      <c r="J11780">
        <v>12</v>
      </c>
      <c r="K11780">
        <v>1900.06</v>
      </c>
      <c r="L11780">
        <v>158.34</v>
      </c>
      <c r="M11780">
        <v>81</v>
      </c>
      <c r="N11780">
        <v>11742.71</v>
      </c>
      <c r="O11780">
        <v>144.97</v>
      </c>
    </row>
    <row r="11781" spans="1:15" x14ac:dyDescent="0.35">
      <c r="A11781" t="s">
        <v>1477</v>
      </c>
      <c r="B11781" t="s">
        <v>1477</v>
      </c>
      <c r="C11781" t="s">
        <v>1477</v>
      </c>
      <c r="D11781" t="s">
        <v>293</v>
      </c>
      <c r="E11781" t="s">
        <v>308</v>
      </c>
      <c r="F11781" t="s">
        <v>12619</v>
      </c>
      <c r="G11781">
        <v>9</v>
      </c>
      <c r="H11781">
        <v>989.61</v>
      </c>
      <c r="I11781">
        <v>109.96</v>
      </c>
      <c r="J11781">
        <v>13</v>
      </c>
      <c r="K11781">
        <v>1276.1100000000001</v>
      </c>
      <c r="L11781">
        <v>98.16</v>
      </c>
      <c r="M11781">
        <v>22</v>
      </c>
      <c r="N11781">
        <v>2265.7199999999998</v>
      </c>
      <c r="O11781">
        <v>102.99</v>
      </c>
    </row>
    <row r="11782" spans="1:15" x14ac:dyDescent="0.35">
      <c r="A11782" t="s">
        <v>1477</v>
      </c>
      <c r="B11782" t="s">
        <v>1477</v>
      </c>
      <c r="C11782" t="s">
        <v>1477</v>
      </c>
      <c r="D11782" t="s">
        <v>293</v>
      </c>
      <c r="E11782" t="s">
        <v>310</v>
      </c>
      <c r="F11782" t="s">
        <v>12620</v>
      </c>
      <c r="G11782">
        <v>49605</v>
      </c>
      <c r="H11782">
        <v>8819928.5399999991</v>
      </c>
      <c r="I11782">
        <v>177.8</v>
      </c>
      <c r="J11782">
        <v>3731</v>
      </c>
      <c r="K11782">
        <v>684199.2</v>
      </c>
      <c r="L11782">
        <v>183.38</v>
      </c>
      <c r="M11782">
        <v>53336</v>
      </c>
      <c r="N11782">
        <v>9504127.7399999984</v>
      </c>
      <c r="O11782">
        <v>178.19</v>
      </c>
    </row>
    <row r="11783" spans="1:15" x14ac:dyDescent="0.35">
      <c r="A11783" t="s">
        <v>1477</v>
      </c>
      <c r="B11783" t="s">
        <v>1477</v>
      </c>
      <c r="C11783" t="s">
        <v>1477</v>
      </c>
      <c r="D11783" t="s">
        <v>293</v>
      </c>
      <c r="E11783" t="s">
        <v>312</v>
      </c>
      <c r="F11783" t="s">
        <v>12621</v>
      </c>
      <c r="G11783">
        <v>49596</v>
      </c>
      <c r="H11783">
        <v>8818938.9299999997</v>
      </c>
      <c r="I11783">
        <v>177.82</v>
      </c>
      <c r="J11783">
        <v>3718</v>
      </c>
      <c r="K11783">
        <v>682923.09</v>
      </c>
      <c r="L11783">
        <v>183.68</v>
      </c>
      <c r="M11783">
        <v>53314</v>
      </c>
      <c r="N11783">
        <v>9501862.0199999996</v>
      </c>
      <c r="O11783">
        <v>178.22</v>
      </c>
    </row>
    <row r="11784" spans="1:15" x14ac:dyDescent="0.35">
      <c r="A11784" t="s">
        <v>1477</v>
      </c>
      <c r="B11784" t="s">
        <v>1477</v>
      </c>
      <c r="C11784" t="s">
        <v>1477</v>
      </c>
      <c r="D11784" t="s">
        <v>314</v>
      </c>
      <c r="E11784" t="s">
        <v>294</v>
      </c>
      <c r="F11784" t="s">
        <v>12622</v>
      </c>
      <c r="G11784">
        <v>494</v>
      </c>
      <c r="H11784">
        <v>97019.980000000025</v>
      </c>
      <c r="I11784">
        <v>196.4</v>
      </c>
      <c r="J11784">
        <v>370</v>
      </c>
      <c r="K11784">
        <v>70476.5</v>
      </c>
      <c r="L11784">
        <v>190.48</v>
      </c>
      <c r="M11784">
        <v>864</v>
      </c>
      <c r="N11784">
        <v>167496.48000000004</v>
      </c>
      <c r="O11784">
        <v>193.86</v>
      </c>
    </row>
    <row r="11785" spans="1:15" x14ac:dyDescent="0.35">
      <c r="A11785" t="s">
        <v>1477</v>
      </c>
      <c r="B11785" t="s">
        <v>1477</v>
      </c>
      <c r="C11785" t="s">
        <v>1477</v>
      </c>
      <c r="D11785" t="s">
        <v>314</v>
      </c>
      <c r="E11785" t="s">
        <v>296</v>
      </c>
      <c r="F11785" t="s">
        <v>12623</v>
      </c>
      <c r="G11785">
        <v>133</v>
      </c>
      <c r="H11785">
        <v>30747.760000000002</v>
      </c>
      <c r="I11785">
        <v>231.19</v>
      </c>
      <c r="J11785">
        <v>110</v>
      </c>
      <c r="K11785">
        <v>27110.02</v>
      </c>
      <c r="L11785">
        <v>246.45</v>
      </c>
      <c r="M11785">
        <v>243</v>
      </c>
      <c r="N11785">
        <v>57857.78</v>
      </c>
      <c r="O11785">
        <v>238.1</v>
      </c>
    </row>
    <row r="11786" spans="1:15" x14ac:dyDescent="0.35">
      <c r="A11786" t="s">
        <v>1477</v>
      </c>
      <c r="B11786" t="s">
        <v>1477</v>
      </c>
      <c r="C11786" t="s">
        <v>1477</v>
      </c>
      <c r="D11786" t="s">
        <v>314</v>
      </c>
      <c r="E11786" t="s">
        <v>298</v>
      </c>
      <c r="F11786" t="s">
        <v>12624</v>
      </c>
      <c r="G11786">
        <v>6</v>
      </c>
      <c r="H11786">
        <v>1174.5999999999999</v>
      </c>
      <c r="I11786">
        <v>195.77</v>
      </c>
      <c r="J11786">
        <v>0</v>
      </c>
      <c r="K11786">
        <v>0</v>
      </c>
      <c r="L11786">
        <v>0</v>
      </c>
      <c r="M11786">
        <v>6</v>
      </c>
      <c r="N11786">
        <v>1174.5999999999999</v>
      </c>
      <c r="O11786">
        <v>195.77</v>
      </c>
    </row>
    <row r="11787" spans="1:15" x14ac:dyDescent="0.35">
      <c r="A11787" t="s">
        <v>1477</v>
      </c>
      <c r="B11787" t="s">
        <v>1477</v>
      </c>
      <c r="C11787" t="s">
        <v>1477</v>
      </c>
      <c r="D11787" t="s">
        <v>314</v>
      </c>
      <c r="E11787" t="s">
        <v>300</v>
      </c>
      <c r="F11787" t="s">
        <v>12625</v>
      </c>
      <c r="G11787">
        <v>4</v>
      </c>
      <c r="H11787">
        <v>879</v>
      </c>
      <c r="I11787">
        <v>219.75</v>
      </c>
      <c r="J11787">
        <v>0</v>
      </c>
      <c r="K11787">
        <v>0</v>
      </c>
      <c r="L11787">
        <v>0</v>
      </c>
      <c r="M11787">
        <v>4</v>
      </c>
      <c r="N11787">
        <v>879</v>
      </c>
      <c r="O11787">
        <v>219.75</v>
      </c>
    </row>
    <row r="11788" spans="1:15" x14ac:dyDescent="0.35">
      <c r="A11788" t="s">
        <v>1477</v>
      </c>
      <c r="B11788" t="s">
        <v>1477</v>
      </c>
      <c r="C11788" t="s">
        <v>1477</v>
      </c>
      <c r="D11788" t="s">
        <v>314</v>
      </c>
      <c r="E11788" t="s">
        <v>306</v>
      </c>
      <c r="F11788" t="s">
        <v>12626</v>
      </c>
      <c r="G11788">
        <v>197</v>
      </c>
      <c r="H11788">
        <v>24691.58</v>
      </c>
      <c r="I11788">
        <v>125.34</v>
      </c>
      <c r="J11788">
        <v>5</v>
      </c>
      <c r="K11788">
        <v>889.35</v>
      </c>
      <c r="L11788">
        <v>177.87</v>
      </c>
      <c r="M11788">
        <v>202</v>
      </c>
      <c r="N11788">
        <v>25580.93</v>
      </c>
      <c r="O11788">
        <v>126.64</v>
      </c>
    </row>
    <row r="11789" spans="1:15" x14ac:dyDescent="0.35">
      <c r="A11789" t="s">
        <v>1477</v>
      </c>
      <c r="B11789" t="s">
        <v>1477</v>
      </c>
      <c r="C11789" t="s">
        <v>1477</v>
      </c>
      <c r="D11789" t="s">
        <v>314</v>
      </c>
      <c r="E11789" t="s">
        <v>308</v>
      </c>
      <c r="F11789" t="s">
        <v>12627</v>
      </c>
      <c r="G11789">
        <v>0</v>
      </c>
      <c r="H11789">
        <v>0</v>
      </c>
      <c r="I11789">
        <v>0</v>
      </c>
      <c r="J11789">
        <v>0</v>
      </c>
      <c r="K11789">
        <v>0</v>
      </c>
      <c r="L11789">
        <v>0</v>
      </c>
      <c r="M11789">
        <v>0</v>
      </c>
      <c r="N11789">
        <v>0</v>
      </c>
      <c r="O11789">
        <v>0</v>
      </c>
    </row>
    <row r="11790" spans="1:15" x14ac:dyDescent="0.35">
      <c r="A11790" t="s">
        <v>1477</v>
      </c>
      <c r="B11790" t="s">
        <v>1477</v>
      </c>
      <c r="C11790" t="s">
        <v>1477</v>
      </c>
      <c r="D11790" t="s">
        <v>314</v>
      </c>
      <c r="E11790" t="s">
        <v>312</v>
      </c>
      <c r="F11790" t="s">
        <v>12628</v>
      </c>
      <c r="G11790">
        <v>834</v>
      </c>
      <c r="H11790">
        <v>154512.91999999998</v>
      </c>
      <c r="I11790">
        <v>185.27</v>
      </c>
      <c r="J11790">
        <v>485</v>
      </c>
      <c r="K11790">
        <v>98475.870000000024</v>
      </c>
      <c r="L11790">
        <v>203.04</v>
      </c>
      <c r="M11790">
        <v>1319</v>
      </c>
      <c r="N11790">
        <v>252988.79</v>
      </c>
      <c r="O11790">
        <v>191.8</v>
      </c>
    </row>
    <row r="11791" spans="1:15" x14ac:dyDescent="0.35">
      <c r="A11791" t="s">
        <v>1477</v>
      </c>
      <c r="B11791" t="s">
        <v>1477</v>
      </c>
      <c r="C11791" t="s">
        <v>1477</v>
      </c>
      <c r="D11791" t="s">
        <v>314</v>
      </c>
      <c r="E11791" t="s">
        <v>310</v>
      </c>
      <c r="F11791" t="s">
        <v>12629</v>
      </c>
      <c r="G11791">
        <v>834</v>
      </c>
      <c r="H11791">
        <v>154512.91999999998</v>
      </c>
      <c r="I11791">
        <v>185.27</v>
      </c>
      <c r="J11791">
        <v>485</v>
      </c>
      <c r="K11791">
        <v>98475.870000000024</v>
      </c>
      <c r="L11791">
        <v>203.04</v>
      </c>
      <c r="M11791">
        <v>1319</v>
      </c>
      <c r="N11791">
        <v>252988.79</v>
      </c>
      <c r="O11791">
        <v>191.8</v>
      </c>
    </row>
    <row r="11792" spans="1:15" x14ac:dyDescent="0.35">
      <c r="A11792" t="s">
        <v>1477</v>
      </c>
      <c r="B11792" t="s">
        <v>1477</v>
      </c>
      <c r="C11792" t="s">
        <v>1477</v>
      </c>
      <c r="D11792" t="s">
        <v>323</v>
      </c>
      <c r="E11792" t="s">
        <v>294</v>
      </c>
      <c r="F11792" t="s">
        <v>12630</v>
      </c>
      <c r="G11792">
        <v>39670</v>
      </c>
      <c r="H11792">
        <v>4127840.850000001</v>
      </c>
      <c r="I11792">
        <v>104.05</v>
      </c>
      <c r="J11792">
        <v>30572</v>
      </c>
      <c r="K11792">
        <v>2903342.7099999995</v>
      </c>
      <c r="L11792">
        <v>94.97</v>
      </c>
      <c r="M11792">
        <v>70242</v>
      </c>
      <c r="N11792">
        <v>7031183.5600000024</v>
      </c>
      <c r="O11792">
        <v>100.1</v>
      </c>
    </row>
    <row r="11793" spans="1:15" x14ac:dyDescent="0.35">
      <c r="A11793" t="s">
        <v>1477</v>
      </c>
      <c r="B11793" t="s">
        <v>1477</v>
      </c>
      <c r="C11793" t="s">
        <v>1477</v>
      </c>
      <c r="D11793" t="s">
        <v>323</v>
      </c>
      <c r="E11793" t="s">
        <v>296</v>
      </c>
      <c r="F11793" t="s">
        <v>12631</v>
      </c>
      <c r="G11793">
        <v>71442</v>
      </c>
      <c r="H11793">
        <v>8579694.6499999985</v>
      </c>
      <c r="I11793">
        <v>120.09</v>
      </c>
      <c r="J11793">
        <v>43253</v>
      </c>
      <c r="K11793">
        <v>4744727.1399999997</v>
      </c>
      <c r="L11793">
        <v>109.7</v>
      </c>
      <c r="M11793">
        <v>114695</v>
      </c>
      <c r="N11793">
        <v>13324421.790000001</v>
      </c>
      <c r="O11793">
        <v>116.17</v>
      </c>
    </row>
    <row r="11794" spans="1:15" x14ac:dyDescent="0.35">
      <c r="A11794" t="s">
        <v>1477</v>
      </c>
      <c r="B11794" t="s">
        <v>1477</v>
      </c>
      <c r="C11794" t="s">
        <v>1477</v>
      </c>
      <c r="D11794" t="s">
        <v>323</v>
      </c>
      <c r="E11794" t="s">
        <v>298</v>
      </c>
      <c r="F11794" t="s">
        <v>12632</v>
      </c>
      <c r="G11794">
        <v>66180</v>
      </c>
      <c r="H11794">
        <v>8924604.0099999998</v>
      </c>
      <c r="I11794">
        <v>134.85</v>
      </c>
      <c r="J11794">
        <v>53149</v>
      </c>
      <c r="K11794">
        <v>6593391.6000000015</v>
      </c>
      <c r="L11794">
        <v>124.05</v>
      </c>
      <c r="M11794">
        <v>119329</v>
      </c>
      <c r="N11794">
        <v>15517995.609999999</v>
      </c>
      <c r="O11794">
        <v>130.04</v>
      </c>
    </row>
    <row r="11795" spans="1:15" x14ac:dyDescent="0.35">
      <c r="A11795" t="s">
        <v>1477</v>
      </c>
      <c r="B11795" t="s">
        <v>1477</v>
      </c>
      <c r="C11795" t="s">
        <v>1477</v>
      </c>
      <c r="D11795" t="s">
        <v>323</v>
      </c>
      <c r="E11795" t="s">
        <v>300</v>
      </c>
      <c r="F11795" t="s">
        <v>12633</v>
      </c>
      <c r="G11795">
        <v>5970</v>
      </c>
      <c r="H11795">
        <v>901605.66999999981</v>
      </c>
      <c r="I11795">
        <v>151.02000000000001</v>
      </c>
      <c r="J11795">
        <v>3803</v>
      </c>
      <c r="K11795">
        <v>527396.71</v>
      </c>
      <c r="L11795">
        <v>138.68</v>
      </c>
      <c r="M11795">
        <v>9773</v>
      </c>
      <c r="N11795">
        <v>1429002.3800000001</v>
      </c>
      <c r="O11795">
        <v>146.22</v>
      </c>
    </row>
    <row r="11796" spans="1:15" x14ac:dyDescent="0.35">
      <c r="A11796" t="s">
        <v>1477</v>
      </c>
      <c r="B11796" t="s">
        <v>1477</v>
      </c>
      <c r="C11796" t="s">
        <v>1477</v>
      </c>
      <c r="D11796" t="s">
        <v>323</v>
      </c>
      <c r="E11796" t="s">
        <v>302</v>
      </c>
      <c r="F11796" t="s">
        <v>12634</v>
      </c>
      <c r="G11796">
        <v>435</v>
      </c>
      <c r="H11796">
        <v>68922.320000000022</v>
      </c>
      <c r="I11796">
        <v>158.44</v>
      </c>
      <c r="J11796">
        <v>226</v>
      </c>
      <c r="K11796">
        <v>33620.020000000004</v>
      </c>
      <c r="L11796">
        <v>148.76</v>
      </c>
      <c r="M11796">
        <v>661</v>
      </c>
      <c r="N11796">
        <v>102542.34</v>
      </c>
      <c r="O11796">
        <v>155.13</v>
      </c>
    </row>
    <row r="11797" spans="1:15" x14ac:dyDescent="0.35">
      <c r="A11797" t="s">
        <v>1477</v>
      </c>
      <c r="B11797" t="s">
        <v>1477</v>
      </c>
      <c r="C11797" t="s">
        <v>1477</v>
      </c>
      <c r="D11797" t="s">
        <v>323</v>
      </c>
      <c r="E11797" t="s">
        <v>304</v>
      </c>
      <c r="F11797" t="s">
        <v>12635</v>
      </c>
      <c r="G11797">
        <v>80</v>
      </c>
      <c r="H11797">
        <v>13299.139999999998</v>
      </c>
      <c r="I11797">
        <v>166.24</v>
      </c>
      <c r="J11797">
        <v>46</v>
      </c>
      <c r="K11797">
        <v>7198.5600000000013</v>
      </c>
      <c r="L11797">
        <v>156.49</v>
      </c>
      <c r="M11797">
        <v>126</v>
      </c>
      <c r="N11797">
        <v>20497.7</v>
      </c>
      <c r="O11797">
        <v>162.68</v>
      </c>
    </row>
    <row r="11798" spans="1:15" x14ac:dyDescent="0.35">
      <c r="A11798" t="s">
        <v>1477</v>
      </c>
      <c r="B11798" t="s">
        <v>1477</v>
      </c>
      <c r="C11798" t="s">
        <v>1477</v>
      </c>
      <c r="D11798" t="s">
        <v>323</v>
      </c>
      <c r="E11798" t="s">
        <v>306</v>
      </c>
      <c r="F11798" t="s">
        <v>12636</v>
      </c>
      <c r="G11798">
        <v>2367</v>
      </c>
      <c r="H11798">
        <v>215108.77</v>
      </c>
      <c r="I11798">
        <v>90.88</v>
      </c>
      <c r="J11798">
        <v>3140</v>
      </c>
      <c r="K11798">
        <v>263743.16999999993</v>
      </c>
      <c r="L11798">
        <v>83.99</v>
      </c>
      <c r="M11798">
        <v>5507</v>
      </c>
      <c r="N11798">
        <v>478851.94</v>
      </c>
      <c r="O11798">
        <v>86.95</v>
      </c>
    </row>
    <row r="11799" spans="1:15" x14ac:dyDescent="0.35">
      <c r="A11799" t="s">
        <v>1477</v>
      </c>
      <c r="B11799" t="s">
        <v>1477</v>
      </c>
      <c r="C11799" t="s">
        <v>1477</v>
      </c>
      <c r="D11799" t="s">
        <v>323</v>
      </c>
      <c r="E11799" t="s">
        <v>308</v>
      </c>
      <c r="F11799" t="s">
        <v>12637</v>
      </c>
      <c r="G11799">
        <v>60</v>
      </c>
      <c r="H11799">
        <v>4737.97</v>
      </c>
      <c r="I11799">
        <v>78.97</v>
      </c>
      <c r="J11799">
        <v>187</v>
      </c>
      <c r="K11799">
        <v>17525.14</v>
      </c>
      <c r="L11799">
        <v>93.72</v>
      </c>
      <c r="M11799">
        <v>247</v>
      </c>
      <c r="N11799">
        <v>22263.11</v>
      </c>
      <c r="O11799">
        <v>90.13</v>
      </c>
    </row>
    <row r="11800" spans="1:15" x14ac:dyDescent="0.35">
      <c r="A11800" t="s">
        <v>1477</v>
      </c>
      <c r="B11800" t="s">
        <v>1477</v>
      </c>
      <c r="C11800" t="s">
        <v>1477</v>
      </c>
      <c r="D11800" t="s">
        <v>323</v>
      </c>
      <c r="E11800" t="s">
        <v>310</v>
      </c>
      <c r="F11800" t="s">
        <v>12638</v>
      </c>
      <c r="G11800">
        <v>186204</v>
      </c>
      <c r="H11800">
        <v>22835813.379999999</v>
      </c>
      <c r="I11800">
        <v>122.64</v>
      </c>
      <c r="J11800">
        <v>134376</v>
      </c>
      <c r="K11800">
        <v>15090945.050000001</v>
      </c>
      <c r="L11800">
        <v>112.3</v>
      </c>
      <c r="M11800">
        <v>320580</v>
      </c>
      <c r="N11800">
        <v>37926758.43</v>
      </c>
      <c r="O11800">
        <v>118.31</v>
      </c>
    </row>
    <row r="11801" spans="1:15" x14ac:dyDescent="0.35">
      <c r="A11801" t="s">
        <v>1477</v>
      </c>
      <c r="B11801" t="s">
        <v>1477</v>
      </c>
      <c r="C11801" t="s">
        <v>1477</v>
      </c>
      <c r="D11801" t="s">
        <v>323</v>
      </c>
      <c r="E11801" t="s">
        <v>312</v>
      </c>
      <c r="F11801" t="s">
        <v>12639</v>
      </c>
      <c r="G11801">
        <v>186144</v>
      </c>
      <c r="H11801">
        <v>22831075.41</v>
      </c>
      <c r="I11801">
        <v>122.65</v>
      </c>
      <c r="J11801">
        <v>134189</v>
      </c>
      <c r="K11801">
        <v>15073419.91</v>
      </c>
      <c r="L11801">
        <v>112.33</v>
      </c>
      <c r="M11801">
        <v>320333</v>
      </c>
      <c r="N11801">
        <v>37904495.32</v>
      </c>
      <c r="O11801">
        <v>118.33</v>
      </c>
    </row>
    <row r="11802" spans="1:15" x14ac:dyDescent="0.35">
      <c r="A11802" t="s">
        <v>1477</v>
      </c>
      <c r="B11802" t="s">
        <v>1477</v>
      </c>
      <c r="C11802" t="s">
        <v>1477</v>
      </c>
      <c r="D11802" t="s">
        <v>334</v>
      </c>
      <c r="E11802" t="s">
        <v>312</v>
      </c>
      <c r="F11802" t="s">
        <v>12640</v>
      </c>
      <c r="G11802">
        <v>241011</v>
      </c>
      <c r="H11802">
        <v>31650014.339999996</v>
      </c>
      <c r="I11802">
        <v>134.26</v>
      </c>
      <c r="J11802">
        <v>137907</v>
      </c>
      <c r="K11802">
        <v>15756343</v>
      </c>
      <c r="L11802">
        <v>114.25</v>
      </c>
      <c r="M11802">
        <v>378918</v>
      </c>
      <c r="N11802">
        <v>47406357.339999996</v>
      </c>
      <c r="O11802">
        <v>126.87</v>
      </c>
    </row>
    <row r="11803" spans="1:15" x14ac:dyDescent="0.35">
      <c r="A11803" t="s">
        <v>1477</v>
      </c>
      <c r="B11803" t="s">
        <v>1477</v>
      </c>
      <c r="C11803" t="s">
        <v>1477</v>
      </c>
      <c r="D11803" t="s">
        <v>334</v>
      </c>
      <c r="E11803" t="s">
        <v>308</v>
      </c>
      <c r="F11803" t="s">
        <v>12641</v>
      </c>
      <c r="G11803">
        <v>1790</v>
      </c>
      <c r="H11803">
        <v>5727.58</v>
      </c>
      <c r="I11803">
        <v>83.01</v>
      </c>
      <c r="J11803">
        <v>200</v>
      </c>
      <c r="K11803">
        <v>18801.25</v>
      </c>
      <c r="L11803">
        <v>94.01</v>
      </c>
      <c r="M11803">
        <v>1990</v>
      </c>
      <c r="N11803">
        <v>24528.83</v>
      </c>
      <c r="O11803">
        <v>91.19</v>
      </c>
    </row>
    <row r="11804" spans="1:15" x14ac:dyDescent="0.35">
      <c r="A11804" t="s">
        <v>1477</v>
      </c>
      <c r="B11804" t="s">
        <v>1477</v>
      </c>
      <c r="C11804" t="s">
        <v>1477</v>
      </c>
      <c r="D11804" t="s">
        <v>337</v>
      </c>
      <c r="E11804" t="s">
        <v>337</v>
      </c>
      <c r="F11804" t="s">
        <v>12642</v>
      </c>
      <c r="G11804">
        <v>31972</v>
      </c>
      <c r="J11804">
        <v>918</v>
      </c>
      <c r="M11804">
        <v>32890</v>
      </c>
    </row>
    <row r="11805" spans="1:15" x14ac:dyDescent="0.35">
      <c r="A11805" t="s">
        <v>1477</v>
      </c>
      <c r="B11805" t="s">
        <v>1477</v>
      </c>
      <c r="C11805" t="s">
        <v>1477</v>
      </c>
      <c r="D11805" t="s">
        <v>339</v>
      </c>
      <c r="E11805" t="s">
        <v>294</v>
      </c>
      <c r="F11805" t="s">
        <v>12643</v>
      </c>
      <c r="G11805">
        <v>21747</v>
      </c>
      <c r="H11805">
        <v>2559217.8499999992</v>
      </c>
      <c r="I11805">
        <v>117.68</v>
      </c>
      <c r="J11805">
        <v>12708</v>
      </c>
      <c r="K11805">
        <v>1258368.0900000001</v>
      </c>
      <c r="L11805">
        <v>99.02</v>
      </c>
      <c r="M11805">
        <v>34455</v>
      </c>
      <c r="N11805">
        <v>3817585.9400000004</v>
      </c>
      <c r="O11805">
        <v>110.8</v>
      </c>
    </row>
    <row r="11806" spans="1:15" x14ac:dyDescent="0.35">
      <c r="A11806" t="s">
        <v>1477</v>
      </c>
      <c r="B11806" t="s">
        <v>1477</v>
      </c>
      <c r="C11806" t="s">
        <v>1477</v>
      </c>
      <c r="D11806" t="s">
        <v>339</v>
      </c>
      <c r="E11806" t="s">
        <v>296</v>
      </c>
      <c r="F11806" t="s">
        <v>12644</v>
      </c>
      <c r="G11806">
        <v>3566</v>
      </c>
      <c r="H11806">
        <v>488870.44999999995</v>
      </c>
      <c r="I11806">
        <v>137.09</v>
      </c>
      <c r="J11806">
        <v>2391</v>
      </c>
      <c r="K11806">
        <v>298096.22000000003</v>
      </c>
      <c r="L11806">
        <v>124.67</v>
      </c>
      <c r="M11806">
        <v>5957</v>
      </c>
      <c r="N11806">
        <v>786966.67</v>
      </c>
      <c r="O11806">
        <v>132.11000000000001</v>
      </c>
    </row>
    <row r="11807" spans="1:15" x14ac:dyDescent="0.35">
      <c r="A11807" t="s">
        <v>1477</v>
      </c>
      <c r="B11807" t="s">
        <v>1477</v>
      </c>
      <c r="C11807" t="s">
        <v>1477</v>
      </c>
      <c r="D11807" t="s">
        <v>339</v>
      </c>
      <c r="E11807" t="s">
        <v>298</v>
      </c>
      <c r="F11807" t="s">
        <v>12645</v>
      </c>
      <c r="G11807">
        <v>201</v>
      </c>
      <c r="H11807">
        <v>33357.000000000007</v>
      </c>
      <c r="I11807">
        <v>165.96</v>
      </c>
      <c r="J11807">
        <v>91</v>
      </c>
      <c r="K11807">
        <v>11589.119999999999</v>
      </c>
      <c r="L11807">
        <v>127.35</v>
      </c>
      <c r="M11807">
        <v>292</v>
      </c>
      <c r="N11807">
        <v>44946.12</v>
      </c>
      <c r="O11807">
        <v>153.93</v>
      </c>
    </row>
    <row r="11808" spans="1:15" x14ac:dyDescent="0.35">
      <c r="A11808" t="s">
        <v>1477</v>
      </c>
      <c r="B11808" t="s">
        <v>1477</v>
      </c>
      <c r="C11808" t="s">
        <v>1477</v>
      </c>
      <c r="D11808" t="s">
        <v>339</v>
      </c>
      <c r="E11808" t="s">
        <v>300</v>
      </c>
      <c r="F11808" t="s">
        <v>12646</v>
      </c>
      <c r="G11808">
        <v>42</v>
      </c>
      <c r="H11808">
        <v>7162.74</v>
      </c>
      <c r="I11808">
        <v>170.54</v>
      </c>
      <c r="J11808">
        <v>6</v>
      </c>
      <c r="K11808">
        <v>855.7</v>
      </c>
      <c r="L11808">
        <v>142.62</v>
      </c>
      <c r="M11808">
        <v>48</v>
      </c>
      <c r="N11808">
        <v>8018.44</v>
      </c>
      <c r="O11808">
        <v>167.05</v>
      </c>
    </row>
    <row r="11809" spans="1:15" x14ac:dyDescent="0.35">
      <c r="A11809" t="s">
        <v>1477</v>
      </c>
      <c r="B11809" t="s">
        <v>1477</v>
      </c>
      <c r="C11809" t="s">
        <v>1477</v>
      </c>
      <c r="D11809" t="s">
        <v>339</v>
      </c>
      <c r="E11809" t="s">
        <v>302</v>
      </c>
      <c r="F11809" t="s">
        <v>12647</v>
      </c>
      <c r="G11809">
        <v>0</v>
      </c>
      <c r="H11809">
        <v>0</v>
      </c>
      <c r="I11809">
        <v>0</v>
      </c>
      <c r="J11809">
        <v>0</v>
      </c>
      <c r="K11809">
        <v>0</v>
      </c>
      <c r="L11809">
        <v>0</v>
      </c>
      <c r="M11809">
        <v>0</v>
      </c>
      <c r="N11809">
        <v>0</v>
      </c>
      <c r="O11809">
        <v>0</v>
      </c>
    </row>
    <row r="11810" spans="1:15" x14ac:dyDescent="0.35">
      <c r="A11810" t="s">
        <v>1477</v>
      </c>
      <c r="B11810" t="s">
        <v>1477</v>
      </c>
      <c r="C11810" t="s">
        <v>1477</v>
      </c>
      <c r="D11810" t="s">
        <v>339</v>
      </c>
      <c r="E11810" t="s">
        <v>304</v>
      </c>
      <c r="F11810" t="s">
        <v>12648</v>
      </c>
      <c r="G11810">
        <v>0</v>
      </c>
      <c r="H11810">
        <v>0</v>
      </c>
      <c r="I11810">
        <v>0</v>
      </c>
      <c r="J11810">
        <v>0</v>
      </c>
      <c r="K11810">
        <v>0</v>
      </c>
      <c r="L11810">
        <v>0</v>
      </c>
      <c r="M11810">
        <v>0</v>
      </c>
      <c r="N11810">
        <v>0</v>
      </c>
      <c r="O11810">
        <v>0</v>
      </c>
    </row>
    <row r="11811" spans="1:15" x14ac:dyDescent="0.35">
      <c r="A11811" t="s">
        <v>1477</v>
      </c>
      <c r="B11811" t="s">
        <v>1477</v>
      </c>
      <c r="C11811" t="s">
        <v>1477</v>
      </c>
      <c r="D11811" t="s">
        <v>339</v>
      </c>
      <c r="E11811" t="s">
        <v>306</v>
      </c>
      <c r="F11811" t="s">
        <v>12649</v>
      </c>
      <c r="G11811">
        <v>2772</v>
      </c>
      <c r="H11811">
        <v>283975.25</v>
      </c>
      <c r="I11811">
        <v>102.44</v>
      </c>
      <c r="J11811">
        <v>884</v>
      </c>
      <c r="K11811">
        <v>80600.849999999991</v>
      </c>
      <c r="L11811">
        <v>91.18</v>
      </c>
      <c r="M11811">
        <v>3656</v>
      </c>
      <c r="N11811">
        <v>364576.1</v>
      </c>
      <c r="O11811">
        <v>99.72</v>
      </c>
    </row>
    <row r="11812" spans="1:15" x14ac:dyDescent="0.35">
      <c r="A11812" t="s">
        <v>1477</v>
      </c>
      <c r="B11812" t="s">
        <v>1477</v>
      </c>
      <c r="C11812" t="s">
        <v>1477</v>
      </c>
      <c r="D11812" t="s">
        <v>339</v>
      </c>
      <c r="E11812" t="s">
        <v>308</v>
      </c>
      <c r="F11812" t="s">
        <v>12650</v>
      </c>
      <c r="G11812">
        <v>4082</v>
      </c>
      <c r="H11812">
        <v>538800.88</v>
      </c>
      <c r="I11812">
        <v>131.99</v>
      </c>
      <c r="J11812">
        <v>207</v>
      </c>
      <c r="K11812">
        <v>22181.360000000001</v>
      </c>
      <c r="L11812">
        <v>107.16</v>
      </c>
      <c r="M11812">
        <v>4289</v>
      </c>
      <c r="N11812">
        <v>560982.24</v>
      </c>
      <c r="O11812">
        <v>130.80000000000001</v>
      </c>
    </row>
    <row r="11813" spans="1:15" x14ac:dyDescent="0.35">
      <c r="A11813" t="s">
        <v>1477</v>
      </c>
      <c r="B11813" t="s">
        <v>1477</v>
      </c>
      <c r="C11813" t="s">
        <v>1477</v>
      </c>
      <c r="D11813" t="s">
        <v>339</v>
      </c>
      <c r="E11813" t="s">
        <v>310</v>
      </c>
      <c r="F11813" t="s">
        <v>12651</v>
      </c>
      <c r="G11813">
        <v>32410</v>
      </c>
      <c r="H11813">
        <v>3911384.17</v>
      </c>
      <c r="I11813">
        <v>120.68</v>
      </c>
      <c r="J11813">
        <v>16287</v>
      </c>
      <c r="K11813">
        <v>1671691.3399999994</v>
      </c>
      <c r="L11813">
        <v>102.64</v>
      </c>
      <c r="M11813">
        <v>48697</v>
      </c>
      <c r="N11813">
        <v>5583075.5099999998</v>
      </c>
      <c r="O11813">
        <v>114.65</v>
      </c>
    </row>
    <row r="11814" spans="1:15" x14ac:dyDescent="0.35">
      <c r="A11814" t="s">
        <v>1477</v>
      </c>
      <c r="B11814" t="s">
        <v>1477</v>
      </c>
      <c r="C11814" t="s">
        <v>1477</v>
      </c>
      <c r="D11814" t="s">
        <v>339</v>
      </c>
      <c r="E11814" t="s">
        <v>312</v>
      </c>
      <c r="F11814" t="s">
        <v>12652</v>
      </c>
      <c r="G11814">
        <v>28328</v>
      </c>
      <c r="H11814">
        <v>3372583.2899999991</v>
      </c>
      <c r="I11814">
        <v>119.05</v>
      </c>
      <c r="J11814">
        <v>16080</v>
      </c>
      <c r="K11814">
        <v>1649509.9799999997</v>
      </c>
      <c r="L11814">
        <v>102.58</v>
      </c>
      <c r="M11814">
        <v>44408</v>
      </c>
      <c r="N11814">
        <v>5022093.2699999986</v>
      </c>
      <c r="O11814">
        <v>113.09</v>
      </c>
    </row>
    <row r="11815" spans="1:15" x14ac:dyDescent="0.35">
      <c r="A11815" t="s">
        <v>1477</v>
      </c>
      <c r="B11815" t="s">
        <v>1477</v>
      </c>
      <c r="C11815" t="s">
        <v>1477</v>
      </c>
      <c r="D11815" t="s">
        <v>348</v>
      </c>
      <c r="E11815" t="s">
        <v>349</v>
      </c>
      <c r="F11815" t="s">
        <v>12653</v>
      </c>
      <c r="G11815">
        <v>38097</v>
      </c>
      <c r="H11815">
        <v>4065897.0899999989</v>
      </c>
      <c r="I11815">
        <v>122.3</v>
      </c>
      <c r="J11815">
        <v>16772</v>
      </c>
      <c r="K11815">
        <v>1770167.2100000004</v>
      </c>
      <c r="L11815">
        <v>105.54</v>
      </c>
      <c r="M11815">
        <v>54869</v>
      </c>
      <c r="N11815">
        <v>5836064.2999999989</v>
      </c>
      <c r="O11815">
        <v>116.68</v>
      </c>
    </row>
    <row r="11816" spans="1:15" x14ac:dyDescent="0.35">
      <c r="A11816" t="s">
        <v>1477</v>
      </c>
      <c r="B11816" t="s">
        <v>1477</v>
      </c>
      <c r="C11816" t="s">
        <v>1477</v>
      </c>
      <c r="D11816" t="s">
        <v>310</v>
      </c>
      <c r="E11816" t="s">
        <v>310</v>
      </c>
      <c r="F11816" t="s">
        <v>12654</v>
      </c>
      <c r="G11816">
        <v>312870</v>
      </c>
      <c r="H11816">
        <v>35721639.009999998</v>
      </c>
      <c r="I11816">
        <v>132.77000000000001</v>
      </c>
      <c r="J11816">
        <v>155797</v>
      </c>
      <c r="K11816">
        <v>17537643.809999999</v>
      </c>
      <c r="L11816">
        <v>113.27</v>
      </c>
      <c r="M11816">
        <v>468667</v>
      </c>
      <c r="N11816">
        <v>53259282.819999993</v>
      </c>
      <c r="O11816">
        <v>125.65</v>
      </c>
    </row>
    <row r="11817" spans="1:15" x14ac:dyDescent="0.35">
      <c r="A11817" s="418" t="s">
        <v>109</v>
      </c>
      <c r="B11817" s="418" t="s">
        <v>109</v>
      </c>
      <c r="C11817" s="418" t="s">
        <v>109</v>
      </c>
      <c r="D11817" s="418" t="s">
        <v>293</v>
      </c>
      <c r="E11817" s="418" t="s">
        <v>294</v>
      </c>
      <c r="F11817" s="418" t="s">
        <v>12655</v>
      </c>
      <c r="G11817" s="418">
        <v>71850</v>
      </c>
      <c r="H11817" s="418">
        <v>10914518.360000001</v>
      </c>
      <c r="I11817" s="418">
        <v>151.91</v>
      </c>
      <c r="J11817" s="418">
        <v>9328</v>
      </c>
      <c r="K11817" s="418">
        <v>1398321.79</v>
      </c>
      <c r="L11817" s="418">
        <v>149.91</v>
      </c>
      <c r="M11817" s="418">
        <v>81178</v>
      </c>
      <c r="N11817" s="418">
        <v>12312840.150000002</v>
      </c>
      <c r="O11817" s="418">
        <v>151.68</v>
      </c>
    </row>
    <row r="11818" spans="1:15" x14ac:dyDescent="0.35">
      <c r="A11818" s="418" t="s">
        <v>109</v>
      </c>
      <c r="B11818" s="418" t="s">
        <v>109</v>
      </c>
      <c r="C11818" s="418" t="s">
        <v>109</v>
      </c>
      <c r="D11818" s="418" t="s">
        <v>293</v>
      </c>
      <c r="E11818" s="418" t="s">
        <v>296</v>
      </c>
      <c r="F11818" s="418" t="s">
        <v>12656</v>
      </c>
      <c r="G11818" s="418">
        <v>174827</v>
      </c>
      <c r="H11818" s="418">
        <v>28785131.789999999</v>
      </c>
      <c r="I11818" s="418">
        <v>164.65</v>
      </c>
      <c r="J11818" s="418">
        <v>18844</v>
      </c>
      <c r="K11818" s="418">
        <v>3104646.07</v>
      </c>
      <c r="L11818" s="418">
        <v>164.76</v>
      </c>
      <c r="M11818" s="418">
        <v>193671</v>
      </c>
      <c r="N11818" s="418">
        <v>31889777.859999999</v>
      </c>
      <c r="O11818" s="418">
        <v>164.66</v>
      </c>
    </row>
    <row r="11819" spans="1:15" x14ac:dyDescent="0.35">
      <c r="A11819" s="418" t="s">
        <v>109</v>
      </c>
      <c r="B11819" s="418" t="s">
        <v>109</v>
      </c>
      <c r="C11819" s="418" t="s">
        <v>109</v>
      </c>
      <c r="D11819" s="418" t="s">
        <v>293</v>
      </c>
      <c r="E11819" s="418" t="s">
        <v>298</v>
      </c>
      <c r="F11819" s="418" t="s">
        <v>12657</v>
      </c>
      <c r="G11819" s="418">
        <v>98332</v>
      </c>
      <c r="H11819" s="418">
        <v>17564510.250000004</v>
      </c>
      <c r="I11819" s="418">
        <v>178.62</v>
      </c>
      <c r="J11819" s="418">
        <v>11114</v>
      </c>
      <c r="K11819" s="418">
        <v>2046688.79</v>
      </c>
      <c r="L11819" s="418">
        <v>184.15</v>
      </c>
      <c r="M11819" s="418">
        <v>109446</v>
      </c>
      <c r="N11819" s="418">
        <v>19611199.040000003</v>
      </c>
      <c r="O11819" s="418">
        <v>179.19</v>
      </c>
    </row>
    <row r="11820" spans="1:15" x14ac:dyDescent="0.35">
      <c r="A11820" s="418" t="s">
        <v>109</v>
      </c>
      <c r="B11820" s="418" t="s">
        <v>109</v>
      </c>
      <c r="C11820" s="418" t="s">
        <v>109</v>
      </c>
      <c r="D11820" s="418" t="s">
        <v>293</v>
      </c>
      <c r="E11820" s="418" t="s">
        <v>300</v>
      </c>
      <c r="F11820" s="418" t="s">
        <v>12658</v>
      </c>
      <c r="G11820" s="418">
        <v>12264</v>
      </c>
      <c r="H11820" s="418">
        <v>2769702.91</v>
      </c>
      <c r="I11820" s="418">
        <v>225.84</v>
      </c>
      <c r="J11820" s="418">
        <v>2055</v>
      </c>
      <c r="K11820" s="418">
        <v>450135.40000000008</v>
      </c>
      <c r="L11820" s="418">
        <v>219.04</v>
      </c>
      <c r="M11820" s="418">
        <v>14319</v>
      </c>
      <c r="N11820" s="418">
        <v>3219838.31</v>
      </c>
      <c r="O11820" s="418">
        <v>224.86</v>
      </c>
    </row>
    <row r="11821" spans="1:15" x14ac:dyDescent="0.35">
      <c r="A11821" s="418" t="s">
        <v>109</v>
      </c>
      <c r="B11821" s="418" t="s">
        <v>109</v>
      </c>
      <c r="C11821" s="418" t="s">
        <v>109</v>
      </c>
      <c r="D11821" s="418" t="s">
        <v>293</v>
      </c>
      <c r="E11821" s="418" t="s">
        <v>302</v>
      </c>
      <c r="F11821" s="418" t="s">
        <v>12659</v>
      </c>
      <c r="G11821" s="418">
        <v>422</v>
      </c>
      <c r="H11821" s="418">
        <v>90583.17</v>
      </c>
      <c r="I11821" s="418">
        <v>214.65</v>
      </c>
      <c r="J11821" s="418">
        <v>236</v>
      </c>
      <c r="K11821" s="418">
        <v>52365.569999999992</v>
      </c>
      <c r="L11821" s="418">
        <v>221.89</v>
      </c>
      <c r="M11821" s="418">
        <v>658</v>
      </c>
      <c r="N11821" s="418">
        <v>142948.74</v>
      </c>
      <c r="O11821" s="418">
        <v>217.25</v>
      </c>
    </row>
    <row r="11822" spans="1:15" x14ac:dyDescent="0.35">
      <c r="A11822" s="418" t="s">
        <v>109</v>
      </c>
      <c r="B11822" s="418" t="s">
        <v>109</v>
      </c>
      <c r="C11822" s="418" t="s">
        <v>109</v>
      </c>
      <c r="D11822" s="418" t="s">
        <v>293</v>
      </c>
      <c r="E11822" s="418" t="s">
        <v>304</v>
      </c>
      <c r="F11822" s="418" t="s">
        <v>12660</v>
      </c>
      <c r="G11822" s="418">
        <v>53</v>
      </c>
      <c r="H11822" s="418">
        <v>12795</v>
      </c>
      <c r="I11822" s="418">
        <v>241.42</v>
      </c>
      <c r="J11822" s="418">
        <v>57</v>
      </c>
      <c r="K11822" s="418">
        <v>14351.07</v>
      </c>
      <c r="L11822" s="418">
        <v>251.77</v>
      </c>
      <c r="M11822" s="418">
        <v>110</v>
      </c>
      <c r="N11822" s="418">
        <v>27146.07</v>
      </c>
      <c r="O11822" s="418">
        <v>246.78</v>
      </c>
    </row>
    <row r="11823" spans="1:15" x14ac:dyDescent="0.35">
      <c r="A11823" s="418" t="s">
        <v>109</v>
      </c>
      <c r="B11823" s="418" t="s">
        <v>109</v>
      </c>
      <c r="C11823" s="418" t="s">
        <v>109</v>
      </c>
      <c r="D11823" s="418" t="s">
        <v>293</v>
      </c>
      <c r="E11823" s="418" t="s">
        <v>306</v>
      </c>
      <c r="F11823" s="418" t="s">
        <v>12661</v>
      </c>
      <c r="G11823" s="418">
        <v>905</v>
      </c>
      <c r="H11823" s="418">
        <v>152157.14000000001</v>
      </c>
      <c r="I11823" s="418">
        <v>168.13</v>
      </c>
      <c r="J11823" s="418">
        <v>326</v>
      </c>
      <c r="K11823" s="418">
        <v>47495.14</v>
      </c>
      <c r="L11823" s="418">
        <v>145.69</v>
      </c>
      <c r="M11823" s="418">
        <v>1231</v>
      </c>
      <c r="N11823" s="418">
        <v>199652.28000000003</v>
      </c>
      <c r="O11823" s="418">
        <v>162.19</v>
      </c>
    </row>
    <row r="11824" spans="1:15" x14ac:dyDescent="0.35">
      <c r="A11824" s="418" t="s">
        <v>109</v>
      </c>
      <c r="B11824" s="418" t="s">
        <v>109</v>
      </c>
      <c r="C11824" s="418" t="s">
        <v>109</v>
      </c>
      <c r="D11824" s="418" t="s">
        <v>293</v>
      </c>
      <c r="E11824" s="418" t="s">
        <v>308</v>
      </c>
      <c r="F11824" s="418" t="s">
        <v>12662</v>
      </c>
      <c r="G11824" s="418">
        <v>120</v>
      </c>
      <c r="H11824" s="418">
        <v>15556.91</v>
      </c>
      <c r="I11824" s="418">
        <v>129.63999999999999</v>
      </c>
      <c r="J11824" s="418">
        <v>37</v>
      </c>
      <c r="K11824" s="418">
        <v>3971.46</v>
      </c>
      <c r="L11824" s="418">
        <v>107.34</v>
      </c>
      <c r="M11824" s="418">
        <v>157</v>
      </c>
      <c r="N11824" s="418">
        <v>19528.37</v>
      </c>
      <c r="O11824" s="418">
        <v>124.38</v>
      </c>
    </row>
    <row r="11825" spans="1:15" x14ac:dyDescent="0.35">
      <c r="A11825" s="418" t="s">
        <v>109</v>
      </c>
      <c r="B11825" s="418" t="s">
        <v>109</v>
      </c>
      <c r="C11825" s="418" t="s">
        <v>109</v>
      </c>
      <c r="D11825" s="418" t="s">
        <v>293</v>
      </c>
      <c r="E11825" s="418" t="s">
        <v>312</v>
      </c>
      <c r="F11825" s="418" t="s">
        <v>12663</v>
      </c>
      <c r="G11825" s="418">
        <v>358653</v>
      </c>
      <c r="H11825" s="418">
        <v>60289398.620000012</v>
      </c>
      <c r="I11825" s="418">
        <v>168.1</v>
      </c>
      <c r="J11825" s="418">
        <v>41960</v>
      </c>
      <c r="K11825" s="418">
        <v>7114003.8299999982</v>
      </c>
      <c r="L11825" s="418">
        <v>169.54</v>
      </c>
      <c r="M11825" s="418">
        <v>400613</v>
      </c>
      <c r="N11825" s="418">
        <v>67403402.450000018</v>
      </c>
      <c r="O11825" s="418">
        <v>168.25</v>
      </c>
    </row>
    <row r="11826" spans="1:15" x14ac:dyDescent="0.35">
      <c r="A11826" s="418" t="s">
        <v>109</v>
      </c>
      <c r="B11826" s="418" t="s">
        <v>109</v>
      </c>
      <c r="C11826" s="418" t="s">
        <v>109</v>
      </c>
      <c r="D11826" s="418" t="s">
        <v>293</v>
      </c>
      <c r="E11826" s="418" t="s">
        <v>310</v>
      </c>
      <c r="F11826" s="418" t="s">
        <v>12664</v>
      </c>
      <c r="G11826" s="418">
        <v>358773</v>
      </c>
      <c r="H11826" s="418">
        <v>60304955.530000009</v>
      </c>
      <c r="I11826" s="418">
        <v>168.09</v>
      </c>
      <c r="J11826" s="418">
        <v>41997</v>
      </c>
      <c r="K11826" s="418">
        <v>7117975.2899999991</v>
      </c>
      <c r="L11826" s="418">
        <v>169.49</v>
      </c>
      <c r="M11826" s="418">
        <v>400770</v>
      </c>
      <c r="N11826" s="418">
        <v>67422930.820000008</v>
      </c>
      <c r="O11826" s="418">
        <v>168.23</v>
      </c>
    </row>
    <row r="11827" spans="1:15" x14ac:dyDescent="0.35">
      <c r="A11827" s="418" t="s">
        <v>109</v>
      </c>
      <c r="B11827" s="418" t="s">
        <v>109</v>
      </c>
      <c r="C11827" s="418" t="s">
        <v>109</v>
      </c>
      <c r="D11827" s="418" t="s">
        <v>314</v>
      </c>
      <c r="E11827" s="418" t="s">
        <v>294</v>
      </c>
      <c r="F11827" s="418" t="s">
        <v>12665</v>
      </c>
      <c r="G11827" s="418">
        <v>9552</v>
      </c>
      <c r="H11827" s="418">
        <v>2175918.9500000002</v>
      </c>
      <c r="I11827" s="418">
        <v>227.8</v>
      </c>
      <c r="J11827" s="418">
        <v>3472</v>
      </c>
      <c r="K11827" s="418">
        <v>623784.15</v>
      </c>
      <c r="L11827" s="418">
        <v>179.66</v>
      </c>
      <c r="M11827" s="418">
        <v>13024</v>
      </c>
      <c r="N11827" s="418">
        <v>2799703.1</v>
      </c>
      <c r="O11827" s="418">
        <v>214.96</v>
      </c>
    </row>
    <row r="11828" spans="1:15" x14ac:dyDescent="0.35">
      <c r="A11828" s="418" t="s">
        <v>109</v>
      </c>
      <c r="B11828" s="418" t="s">
        <v>109</v>
      </c>
      <c r="C11828" s="418" t="s">
        <v>109</v>
      </c>
      <c r="D11828" s="418" t="s">
        <v>314</v>
      </c>
      <c r="E11828" s="418" t="s">
        <v>296</v>
      </c>
      <c r="F11828" s="418" t="s">
        <v>12666</v>
      </c>
      <c r="G11828" s="418">
        <v>6225</v>
      </c>
      <c r="H11828" s="418">
        <v>1423409.04</v>
      </c>
      <c r="I11828" s="418">
        <v>228.66</v>
      </c>
      <c r="J11828" s="418">
        <v>1579</v>
      </c>
      <c r="K11828" s="418">
        <v>283643.39</v>
      </c>
      <c r="L11828" s="418">
        <v>179.63</v>
      </c>
      <c r="M11828" s="418">
        <v>7804</v>
      </c>
      <c r="N11828" s="418">
        <v>1707052.4300000002</v>
      </c>
      <c r="O11828" s="418">
        <v>218.74</v>
      </c>
    </row>
    <row r="11829" spans="1:15" x14ac:dyDescent="0.35">
      <c r="A11829" s="418" t="s">
        <v>109</v>
      </c>
      <c r="B11829" s="418" t="s">
        <v>109</v>
      </c>
      <c r="C11829" s="418" t="s">
        <v>109</v>
      </c>
      <c r="D11829" s="418" t="s">
        <v>314</v>
      </c>
      <c r="E11829" s="418" t="s">
        <v>298</v>
      </c>
      <c r="F11829" s="418" t="s">
        <v>12667</v>
      </c>
      <c r="G11829" s="418">
        <v>139</v>
      </c>
      <c r="H11829" s="418">
        <v>30804.59</v>
      </c>
      <c r="I11829" s="418">
        <v>221.62</v>
      </c>
      <c r="J11829" s="418">
        <v>76</v>
      </c>
      <c r="K11829" s="418">
        <v>13493.999999999998</v>
      </c>
      <c r="L11829" s="418">
        <v>177.55</v>
      </c>
      <c r="M11829" s="418">
        <v>215</v>
      </c>
      <c r="N11829" s="418">
        <v>44298.59</v>
      </c>
      <c r="O11829" s="418">
        <v>206.04</v>
      </c>
    </row>
    <row r="11830" spans="1:15" x14ac:dyDescent="0.35">
      <c r="A11830" s="418" t="s">
        <v>109</v>
      </c>
      <c r="B11830" s="418" t="s">
        <v>109</v>
      </c>
      <c r="C11830" s="418" t="s">
        <v>109</v>
      </c>
      <c r="D11830" s="418" t="s">
        <v>314</v>
      </c>
      <c r="E11830" s="418" t="s">
        <v>300</v>
      </c>
      <c r="F11830" s="418" t="s">
        <v>12668</v>
      </c>
      <c r="G11830" s="418">
        <v>25</v>
      </c>
      <c r="H11830" s="418">
        <v>5907.0999999999995</v>
      </c>
      <c r="I11830" s="418">
        <v>236.28</v>
      </c>
      <c r="J11830" s="418">
        <v>17</v>
      </c>
      <c r="K11830" s="418">
        <v>4258.3499999999995</v>
      </c>
      <c r="L11830" s="418">
        <v>250.49</v>
      </c>
      <c r="M11830" s="418">
        <v>42</v>
      </c>
      <c r="N11830" s="418">
        <v>10165.449999999999</v>
      </c>
      <c r="O11830" s="418">
        <v>242.03</v>
      </c>
    </row>
    <row r="11831" spans="1:15" x14ac:dyDescent="0.35">
      <c r="A11831" s="418" t="s">
        <v>109</v>
      </c>
      <c r="B11831" s="418" t="s">
        <v>109</v>
      </c>
      <c r="C11831" s="418" t="s">
        <v>109</v>
      </c>
      <c r="D11831" s="418" t="s">
        <v>314</v>
      </c>
      <c r="E11831" s="418" t="s">
        <v>306</v>
      </c>
      <c r="F11831" s="418" t="s">
        <v>12669</v>
      </c>
      <c r="G11831" s="418">
        <v>812</v>
      </c>
      <c r="H11831" s="418">
        <v>198377.68000000002</v>
      </c>
      <c r="I11831" s="418">
        <v>244.31</v>
      </c>
      <c r="J11831" s="418">
        <v>83</v>
      </c>
      <c r="K11831" s="418">
        <v>12483.789999999999</v>
      </c>
      <c r="L11831" s="418">
        <v>150.41</v>
      </c>
      <c r="M11831" s="418">
        <v>895</v>
      </c>
      <c r="N11831" s="418">
        <v>210861.47000000003</v>
      </c>
      <c r="O11831" s="418">
        <v>235.6</v>
      </c>
    </row>
    <row r="11832" spans="1:15" x14ac:dyDescent="0.35">
      <c r="A11832" s="418" t="s">
        <v>109</v>
      </c>
      <c r="B11832" s="418" t="s">
        <v>109</v>
      </c>
      <c r="C11832" s="418" t="s">
        <v>109</v>
      </c>
      <c r="D11832" s="418" t="s">
        <v>314</v>
      </c>
      <c r="E11832" s="418" t="s">
        <v>308</v>
      </c>
      <c r="F11832" s="418" t="s">
        <v>12670</v>
      </c>
      <c r="G11832" s="418">
        <v>649</v>
      </c>
      <c r="H11832" s="418">
        <v>187203.88</v>
      </c>
      <c r="I11832" s="418">
        <v>288.45</v>
      </c>
      <c r="J11832" s="418">
        <v>268</v>
      </c>
      <c r="K11832" s="418">
        <v>38279.03</v>
      </c>
      <c r="L11832" s="418">
        <v>142.83000000000001</v>
      </c>
      <c r="M11832" s="418">
        <v>917</v>
      </c>
      <c r="N11832" s="418">
        <v>225482.91</v>
      </c>
      <c r="O11832" s="418">
        <v>245.89</v>
      </c>
    </row>
    <row r="11833" spans="1:15" x14ac:dyDescent="0.35">
      <c r="A11833" s="418" t="s">
        <v>109</v>
      </c>
      <c r="B11833" s="418" t="s">
        <v>109</v>
      </c>
      <c r="C11833" s="418" t="s">
        <v>109</v>
      </c>
      <c r="D11833" s="418" t="s">
        <v>314</v>
      </c>
      <c r="E11833" s="418" t="s">
        <v>312</v>
      </c>
      <c r="F11833" s="418" t="s">
        <v>12671</v>
      </c>
      <c r="G11833" s="418">
        <v>16753</v>
      </c>
      <c r="H11833" s="418">
        <v>3834417.3600000003</v>
      </c>
      <c r="I11833" s="418">
        <v>228.88</v>
      </c>
      <c r="J11833" s="418">
        <v>5227</v>
      </c>
      <c r="K11833" s="418">
        <v>937663.68000000017</v>
      </c>
      <c r="L11833" s="418">
        <v>179.39</v>
      </c>
      <c r="M11833" s="418">
        <v>21980</v>
      </c>
      <c r="N11833" s="418">
        <v>4772081.040000001</v>
      </c>
      <c r="O11833" s="418">
        <v>217.11</v>
      </c>
    </row>
    <row r="11834" spans="1:15" x14ac:dyDescent="0.35">
      <c r="A11834" s="418" t="s">
        <v>109</v>
      </c>
      <c r="B11834" s="418" t="s">
        <v>109</v>
      </c>
      <c r="C11834" s="418" t="s">
        <v>109</v>
      </c>
      <c r="D11834" s="418" t="s">
        <v>314</v>
      </c>
      <c r="E11834" s="418" t="s">
        <v>310</v>
      </c>
      <c r="F11834" s="418" t="s">
        <v>12672</v>
      </c>
      <c r="G11834" s="418">
        <v>17402</v>
      </c>
      <c r="H11834" s="418">
        <v>4021621.2400000007</v>
      </c>
      <c r="I11834" s="418">
        <v>231.1</v>
      </c>
      <c r="J11834" s="418">
        <v>5495</v>
      </c>
      <c r="K11834" s="418">
        <v>975942.71000000008</v>
      </c>
      <c r="L11834" s="418">
        <v>177.61</v>
      </c>
      <c r="M11834" s="418">
        <v>22897</v>
      </c>
      <c r="N11834" s="418">
        <v>4997563.9500000011</v>
      </c>
      <c r="O11834" s="418">
        <v>218.26</v>
      </c>
    </row>
    <row r="11835" spans="1:15" x14ac:dyDescent="0.35">
      <c r="A11835" s="418" t="s">
        <v>109</v>
      </c>
      <c r="B11835" s="418" t="s">
        <v>109</v>
      </c>
      <c r="C11835" s="418" t="s">
        <v>109</v>
      </c>
      <c r="D11835" s="418" t="s">
        <v>323</v>
      </c>
      <c r="E11835" s="418" t="s">
        <v>294</v>
      </c>
      <c r="F11835" s="418" t="s">
        <v>12673</v>
      </c>
      <c r="G11835" s="418">
        <v>426209</v>
      </c>
      <c r="H11835" s="418">
        <v>43356626.759999998</v>
      </c>
      <c r="I11835" s="418">
        <v>101.73</v>
      </c>
      <c r="J11835" s="418">
        <v>374599</v>
      </c>
      <c r="K11835" s="418">
        <v>35493950.469999999</v>
      </c>
      <c r="L11835" s="418">
        <v>94.75</v>
      </c>
      <c r="M11835" s="418">
        <v>800808</v>
      </c>
      <c r="N11835" s="418">
        <v>78850577.229999989</v>
      </c>
      <c r="O11835" s="418">
        <v>98.46</v>
      </c>
    </row>
    <row r="11836" spans="1:15" x14ac:dyDescent="0.35">
      <c r="A11836" s="418" t="s">
        <v>109</v>
      </c>
      <c r="B11836" s="418" t="s">
        <v>109</v>
      </c>
      <c r="C11836" s="418" t="s">
        <v>109</v>
      </c>
      <c r="D11836" s="418" t="s">
        <v>323</v>
      </c>
      <c r="E11836" s="418" t="s">
        <v>296</v>
      </c>
      <c r="F11836" s="418" t="s">
        <v>12674</v>
      </c>
      <c r="G11836" s="418">
        <v>694572</v>
      </c>
      <c r="H11836" s="418">
        <v>80725936.510000005</v>
      </c>
      <c r="I11836" s="418">
        <v>116.22</v>
      </c>
      <c r="J11836" s="418">
        <v>489772</v>
      </c>
      <c r="K11836" s="418">
        <v>52294608.909999996</v>
      </c>
      <c r="L11836" s="418">
        <v>106.77</v>
      </c>
      <c r="M11836" s="418">
        <v>1184344</v>
      </c>
      <c r="N11836" s="418">
        <v>133020545.42</v>
      </c>
      <c r="O11836" s="418">
        <v>112.32</v>
      </c>
    </row>
    <row r="11837" spans="1:15" x14ac:dyDescent="0.35">
      <c r="A11837" s="418" t="s">
        <v>109</v>
      </c>
      <c r="B11837" s="418" t="s">
        <v>109</v>
      </c>
      <c r="C11837" s="418" t="s">
        <v>109</v>
      </c>
      <c r="D11837" s="418" t="s">
        <v>323</v>
      </c>
      <c r="E11837" s="418" t="s">
        <v>298</v>
      </c>
      <c r="F11837" s="418" t="s">
        <v>12675</v>
      </c>
      <c r="G11837" s="418">
        <v>628327</v>
      </c>
      <c r="H11837" s="418">
        <v>80572747.160000026</v>
      </c>
      <c r="I11837" s="418">
        <v>128.22999999999999</v>
      </c>
      <c r="J11837" s="418">
        <v>473187</v>
      </c>
      <c r="K11837" s="418">
        <v>55480796.159999996</v>
      </c>
      <c r="L11837" s="418">
        <v>117.25</v>
      </c>
      <c r="M11837" s="418">
        <v>1101514</v>
      </c>
      <c r="N11837" s="418">
        <v>136053543.32000002</v>
      </c>
      <c r="O11837" s="418">
        <v>123.52</v>
      </c>
    </row>
    <row r="11838" spans="1:15" x14ac:dyDescent="0.35">
      <c r="A11838" s="418" t="s">
        <v>109</v>
      </c>
      <c r="B11838" s="418" t="s">
        <v>109</v>
      </c>
      <c r="C11838" s="418" t="s">
        <v>109</v>
      </c>
      <c r="D11838" s="418" t="s">
        <v>323</v>
      </c>
      <c r="E11838" s="418" t="s">
        <v>300</v>
      </c>
      <c r="F11838" s="418" t="s">
        <v>12676</v>
      </c>
      <c r="G11838" s="418">
        <v>66195</v>
      </c>
      <c r="H11838" s="418">
        <v>9930690.8099999987</v>
      </c>
      <c r="I11838" s="418">
        <v>150.02000000000001</v>
      </c>
      <c r="J11838" s="418">
        <v>40142</v>
      </c>
      <c r="K11838" s="418">
        <v>5624162.4900000002</v>
      </c>
      <c r="L11838" s="418">
        <v>140.11000000000001</v>
      </c>
      <c r="M11838" s="418">
        <v>106337</v>
      </c>
      <c r="N11838" s="418">
        <v>15554853.299999999</v>
      </c>
      <c r="O11838" s="418">
        <v>146.28</v>
      </c>
    </row>
    <row r="11839" spans="1:15" x14ac:dyDescent="0.35">
      <c r="A11839" s="418" t="s">
        <v>109</v>
      </c>
      <c r="B11839" s="418" t="s">
        <v>109</v>
      </c>
      <c r="C11839" s="418" t="s">
        <v>109</v>
      </c>
      <c r="D11839" s="418" t="s">
        <v>323</v>
      </c>
      <c r="E11839" s="418" t="s">
        <v>302</v>
      </c>
      <c r="F11839" s="418" t="s">
        <v>12677</v>
      </c>
      <c r="G11839" s="418">
        <v>5736</v>
      </c>
      <c r="H11839" s="418">
        <v>954115.49999999988</v>
      </c>
      <c r="I11839" s="418">
        <v>166.34</v>
      </c>
      <c r="J11839" s="418">
        <v>3804</v>
      </c>
      <c r="K11839" s="418">
        <v>623690.37999999977</v>
      </c>
      <c r="L11839" s="418">
        <v>163.96</v>
      </c>
      <c r="M11839" s="418">
        <v>9540</v>
      </c>
      <c r="N11839" s="418">
        <v>1577805.8799999997</v>
      </c>
      <c r="O11839" s="418">
        <v>165.39</v>
      </c>
    </row>
    <row r="11840" spans="1:15" x14ac:dyDescent="0.35">
      <c r="A11840" s="418" t="s">
        <v>109</v>
      </c>
      <c r="B11840" s="418" t="s">
        <v>109</v>
      </c>
      <c r="C11840" s="418" t="s">
        <v>109</v>
      </c>
      <c r="D11840" s="418" t="s">
        <v>323</v>
      </c>
      <c r="E11840" s="418" t="s">
        <v>304</v>
      </c>
      <c r="F11840" s="418" t="s">
        <v>12678</v>
      </c>
      <c r="G11840" s="418">
        <v>1222</v>
      </c>
      <c r="H11840" s="418">
        <v>216609.76</v>
      </c>
      <c r="I11840" s="418">
        <v>177.26</v>
      </c>
      <c r="J11840" s="418">
        <v>952</v>
      </c>
      <c r="K11840" s="418">
        <v>169861.06000000003</v>
      </c>
      <c r="L11840" s="418">
        <v>178.43</v>
      </c>
      <c r="M11840" s="418">
        <v>2174</v>
      </c>
      <c r="N11840" s="418">
        <v>386470.82000000007</v>
      </c>
      <c r="O11840" s="418">
        <v>177.77</v>
      </c>
    </row>
    <row r="11841" spans="1:15" x14ac:dyDescent="0.35">
      <c r="A11841" s="418" t="s">
        <v>109</v>
      </c>
      <c r="B11841" s="418" t="s">
        <v>109</v>
      </c>
      <c r="C11841" s="418" t="s">
        <v>109</v>
      </c>
      <c r="D11841" s="418" t="s">
        <v>323</v>
      </c>
      <c r="E11841" s="418" t="s">
        <v>306</v>
      </c>
      <c r="F11841" s="418" t="s">
        <v>12679</v>
      </c>
      <c r="G11841" s="418">
        <v>17133</v>
      </c>
      <c r="H11841" s="418">
        <v>1581884.04</v>
      </c>
      <c r="I11841" s="418">
        <v>92.33</v>
      </c>
      <c r="J11841" s="418">
        <v>28385</v>
      </c>
      <c r="K11841" s="418">
        <v>2628435.8299999991</v>
      </c>
      <c r="L11841" s="418">
        <v>92.6</v>
      </c>
      <c r="M11841" s="418">
        <v>45518</v>
      </c>
      <c r="N11841" s="418">
        <v>4210319.8699999992</v>
      </c>
      <c r="O11841" s="418">
        <v>92.5</v>
      </c>
    </row>
    <row r="11842" spans="1:15" x14ac:dyDescent="0.35">
      <c r="A11842" s="418" t="s">
        <v>109</v>
      </c>
      <c r="B11842" s="418" t="s">
        <v>109</v>
      </c>
      <c r="C11842" s="418" t="s">
        <v>109</v>
      </c>
      <c r="D11842" s="418" t="s">
        <v>323</v>
      </c>
      <c r="E11842" s="418" t="s">
        <v>308</v>
      </c>
      <c r="F11842" s="418" t="s">
        <v>12680</v>
      </c>
      <c r="G11842" s="418">
        <v>895</v>
      </c>
      <c r="H11842" s="418">
        <v>90935.23</v>
      </c>
      <c r="I11842" s="418">
        <v>101.6</v>
      </c>
      <c r="J11842" s="418">
        <v>2683</v>
      </c>
      <c r="K11842" s="418">
        <v>181385.77000000002</v>
      </c>
      <c r="L11842" s="418">
        <v>67.61</v>
      </c>
      <c r="M11842" s="418">
        <v>3578</v>
      </c>
      <c r="N11842" s="418">
        <v>272321</v>
      </c>
      <c r="O11842" s="418">
        <v>76.11</v>
      </c>
    </row>
    <row r="11843" spans="1:15" x14ac:dyDescent="0.35">
      <c r="A11843" s="418" t="s">
        <v>109</v>
      </c>
      <c r="B11843" s="418" t="s">
        <v>109</v>
      </c>
      <c r="C11843" s="418" t="s">
        <v>109</v>
      </c>
      <c r="D11843" s="418" t="s">
        <v>323</v>
      </c>
      <c r="E11843" s="418" t="s">
        <v>312</v>
      </c>
      <c r="F11843" s="418" t="s">
        <v>12681</v>
      </c>
      <c r="G11843" s="418">
        <v>1839394</v>
      </c>
      <c r="H11843" s="418">
        <v>217338610.53999999</v>
      </c>
      <c r="I11843" s="418">
        <v>118.16</v>
      </c>
      <c r="J11843" s="418">
        <v>1410841</v>
      </c>
      <c r="K11843" s="418">
        <v>152315505.30000001</v>
      </c>
      <c r="L11843" s="418">
        <v>107.96</v>
      </c>
      <c r="M11843" s="418">
        <v>3250235</v>
      </c>
      <c r="N11843" s="418">
        <v>369654115.84000003</v>
      </c>
      <c r="O11843" s="418">
        <v>113.73</v>
      </c>
    </row>
    <row r="11844" spans="1:15" x14ac:dyDescent="0.35">
      <c r="A11844" s="418" t="s">
        <v>109</v>
      </c>
      <c r="B11844" s="418" t="s">
        <v>109</v>
      </c>
      <c r="C11844" s="418" t="s">
        <v>109</v>
      </c>
      <c r="D11844" s="418" t="s">
        <v>323</v>
      </c>
      <c r="E11844" s="418" t="s">
        <v>310</v>
      </c>
      <c r="F11844" s="418" t="s">
        <v>12682</v>
      </c>
      <c r="G11844" s="418">
        <v>1840289</v>
      </c>
      <c r="H11844" s="418">
        <v>217429545.77000004</v>
      </c>
      <c r="I11844" s="418">
        <v>118.15</v>
      </c>
      <c r="J11844" s="418">
        <v>1413524</v>
      </c>
      <c r="K11844" s="418">
        <v>152496891.06999999</v>
      </c>
      <c r="L11844" s="418">
        <v>107.88</v>
      </c>
      <c r="M11844" s="418">
        <v>3253813</v>
      </c>
      <c r="N11844" s="418">
        <v>369926436.84000003</v>
      </c>
      <c r="O11844" s="418">
        <v>113.69</v>
      </c>
    </row>
    <row r="11845" spans="1:15" x14ac:dyDescent="0.35">
      <c r="A11845" s="418" t="s">
        <v>109</v>
      </c>
      <c r="B11845" s="418" t="s">
        <v>109</v>
      </c>
      <c r="C11845" s="418" t="s">
        <v>109</v>
      </c>
      <c r="D11845" s="418" t="s">
        <v>334</v>
      </c>
      <c r="E11845" s="418" t="s">
        <v>308</v>
      </c>
      <c r="F11845" s="418" t="s">
        <v>12683</v>
      </c>
      <c r="G11845" s="418">
        <v>12444</v>
      </c>
      <c r="H11845" s="418">
        <v>106492.13999999997</v>
      </c>
      <c r="I11845" s="418">
        <v>8.56</v>
      </c>
      <c r="J11845" s="418">
        <v>2720</v>
      </c>
      <c r="K11845" s="418">
        <v>185357.22999999998</v>
      </c>
      <c r="L11845" s="418">
        <v>68.150000000000006</v>
      </c>
      <c r="M11845" s="418">
        <v>15164</v>
      </c>
      <c r="N11845" s="418">
        <v>291849.36999999994</v>
      </c>
      <c r="O11845" s="418">
        <v>19.25</v>
      </c>
    </row>
    <row r="11846" spans="1:15" x14ac:dyDescent="0.35">
      <c r="A11846" s="418" t="s">
        <v>109</v>
      </c>
      <c r="B11846" s="418" t="s">
        <v>109</v>
      </c>
      <c r="C11846" s="418" t="s">
        <v>109</v>
      </c>
      <c r="D11846" s="418" t="s">
        <v>334</v>
      </c>
      <c r="E11846" s="418" t="s">
        <v>312</v>
      </c>
      <c r="F11846" s="418" t="s">
        <v>12684</v>
      </c>
      <c r="G11846" s="418">
        <v>2286014</v>
      </c>
      <c r="H11846" s="418">
        <v>277628009.15999997</v>
      </c>
      <c r="I11846" s="418">
        <v>121.45</v>
      </c>
      <c r="J11846" s="418">
        <v>1452801</v>
      </c>
      <c r="K11846" s="418">
        <v>159429509.13</v>
      </c>
      <c r="L11846" s="418">
        <v>109.74</v>
      </c>
      <c r="M11846" s="418">
        <v>3738815</v>
      </c>
      <c r="N11846" s="418">
        <v>437057518.28999996</v>
      </c>
      <c r="O11846" s="418">
        <v>116.9</v>
      </c>
    </row>
    <row r="11847" spans="1:15" x14ac:dyDescent="0.35">
      <c r="A11847" s="418" t="s">
        <v>109</v>
      </c>
      <c r="B11847" s="418" t="s">
        <v>109</v>
      </c>
      <c r="C11847" s="418" t="s">
        <v>109</v>
      </c>
      <c r="D11847" s="418" t="s">
        <v>337</v>
      </c>
      <c r="E11847" s="418" t="s">
        <v>337</v>
      </c>
      <c r="F11847" s="418" t="s">
        <v>12685</v>
      </c>
      <c r="G11847" s="418">
        <v>267072</v>
      </c>
      <c r="H11847" s="418"/>
      <c r="I11847" s="418">
        <v>0</v>
      </c>
      <c r="J11847" s="418">
        <v>7099</v>
      </c>
      <c r="K11847" s="418"/>
      <c r="L11847" s="418">
        <v>0</v>
      </c>
      <c r="M11847" s="418">
        <v>274171</v>
      </c>
      <c r="N11847" s="418">
        <v>0</v>
      </c>
      <c r="O11847" s="418">
        <v>0</v>
      </c>
    </row>
    <row r="11848" spans="1:15" x14ac:dyDescent="0.35">
      <c r="A11848" s="418" t="s">
        <v>109</v>
      </c>
      <c r="B11848" s="418" t="s">
        <v>109</v>
      </c>
      <c r="C11848" s="418" t="s">
        <v>109</v>
      </c>
      <c r="D11848" s="418" t="s">
        <v>339</v>
      </c>
      <c r="E11848" s="418" t="s">
        <v>294</v>
      </c>
      <c r="F11848" s="418" t="s">
        <v>12686</v>
      </c>
      <c r="G11848" s="418">
        <v>213137</v>
      </c>
      <c r="H11848" s="418">
        <v>24789986.749999996</v>
      </c>
      <c r="I11848" s="418">
        <v>116.31</v>
      </c>
      <c r="J11848" s="418">
        <v>74330</v>
      </c>
      <c r="K11848" s="418">
        <v>6941418.0499999998</v>
      </c>
      <c r="L11848" s="418">
        <v>93.39</v>
      </c>
      <c r="M11848" s="418">
        <v>287467</v>
      </c>
      <c r="N11848" s="418">
        <v>31731404.799999997</v>
      </c>
      <c r="O11848" s="418">
        <v>110.38</v>
      </c>
    </row>
    <row r="11849" spans="1:15" x14ac:dyDescent="0.35">
      <c r="A11849" s="418" t="s">
        <v>109</v>
      </c>
      <c r="B11849" s="418" t="s">
        <v>109</v>
      </c>
      <c r="C11849" s="418" t="s">
        <v>109</v>
      </c>
      <c r="D11849" s="418" t="s">
        <v>339</v>
      </c>
      <c r="E11849" s="418" t="s">
        <v>296</v>
      </c>
      <c r="F11849" s="418" t="s">
        <v>12687</v>
      </c>
      <c r="G11849" s="418">
        <v>48066</v>
      </c>
      <c r="H11849" s="418">
        <v>6058333.870000001</v>
      </c>
      <c r="I11849" s="418">
        <v>126.04</v>
      </c>
      <c r="J11849" s="418">
        <v>16871</v>
      </c>
      <c r="K11849" s="418">
        <v>1712849.81</v>
      </c>
      <c r="L11849" s="418">
        <v>101.53</v>
      </c>
      <c r="M11849" s="418">
        <v>64937</v>
      </c>
      <c r="N11849" s="418">
        <v>7771183.6800000016</v>
      </c>
      <c r="O11849" s="418">
        <v>119.67</v>
      </c>
    </row>
    <row r="11850" spans="1:15" x14ac:dyDescent="0.35">
      <c r="A11850" s="418" t="s">
        <v>109</v>
      </c>
      <c r="B11850" s="418" t="s">
        <v>109</v>
      </c>
      <c r="C11850" s="418" t="s">
        <v>109</v>
      </c>
      <c r="D11850" s="418" t="s">
        <v>339</v>
      </c>
      <c r="E11850" s="418" t="s">
        <v>298</v>
      </c>
      <c r="F11850" s="418" t="s">
        <v>12688</v>
      </c>
      <c r="G11850" s="418">
        <v>2361</v>
      </c>
      <c r="H11850" s="418">
        <v>339065.26000000007</v>
      </c>
      <c r="I11850" s="418">
        <v>143.61000000000001</v>
      </c>
      <c r="J11850" s="418">
        <v>534</v>
      </c>
      <c r="K11850" s="418">
        <v>65084.41</v>
      </c>
      <c r="L11850" s="418">
        <v>121.88</v>
      </c>
      <c r="M11850" s="418">
        <v>2895</v>
      </c>
      <c r="N11850" s="418">
        <v>404149.67000000004</v>
      </c>
      <c r="O11850" s="418">
        <v>139.6</v>
      </c>
    </row>
    <row r="11851" spans="1:15" x14ac:dyDescent="0.35">
      <c r="A11851" s="418" t="s">
        <v>109</v>
      </c>
      <c r="B11851" s="418" t="s">
        <v>109</v>
      </c>
      <c r="C11851" s="418" t="s">
        <v>109</v>
      </c>
      <c r="D11851" s="418" t="s">
        <v>339</v>
      </c>
      <c r="E11851" s="418" t="s">
        <v>300</v>
      </c>
      <c r="F11851" s="418" t="s">
        <v>12689</v>
      </c>
      <c r="G11851" s="418">
        <v>214</v>
      </c>
      <c r="H11851" s="418">
        <v>39123.040000000001</v>
      </c>
      <c r="I11851" s="418">
        <v>182.82</v>
      </c>
      <c r="J11851" s="418">
        <v>32</v>
      </c>
      <c r="K11851" s="418">
        <v>4965.5000000000009</v>
      </c>
      <c r="L11851" s="418">
        <v>155.16999999999999</v>
      </c>
      <c r="M11851" s="418">
        <v>246</v>
      </c>
      <c r="N11851" s="418">
        <v>44088.54</v>
      </c>
      <c r="O11851" s="418">
        <v>179.22</v>
      </c>
    </row>
    <row r="11852" spans="1:15" x14ac:dyDescent="0.35">
      <c r="A11852" s="418" t="s">
        <v>109</v>
      </c>
      <c r="B11852" s="418" t="s">
        <v>109</v>
      </c>
      <c r="C11852" s="418" t="s">
        <v>109</v>
      </c>
      <c r="D11852" s="418" t="s">
        <v>339</v>
      </c>
      <c r="E11852" s="418" t="s">
        <v>302</v>
      </c>
      <c r="F11852" s="418" t="s">
        <v>12690</v>
      </c>
      <c r="G11852" s="418">
        <v>0</v>
      </c>
      <c r="H11852" s="418">
        <v>0</v>
      </c>
      <c r="I11852" s="418">
        <v>0</v>
      </c>
      <c r="J11852" s="418">
        <v>0</v>
      </c>
      <c r="K11852" s="418">
        <v>0</v>
      </c>
      <c r="L11852" s="418">
        <v>0</v>
      </c>
      <c r="M11852" s="418">
        <v>0</v>
      </c>
      <c r="N11852" s="418">
        <v>0</v>
      </c>
      <c r="O11852" s="418">
        <v>0</v>
      </c>
    </row>
    <row r="11853" spans="1:15" x14ac:dyDescent="0.35">
      <c r="A11853" s="418" t="s">
        <v>109</v>
      </c>
      <c r="B11853" s="418" t="s">
        <v>109</v>
      </c>
      <c r="C11853" s="418" t="s">
        <v>109</v>
      </c>
      <c r="D11853" s="418" t="s">
        <v>339</v>
      </c>
      <c r="E11853" s="418" t="s">
        <v>304</v>
      </c>
      <c r="F11853" s="418" t="s">
        <v>12691</v>
      </c>
      <c r="G11853" s="418">
        <v>0</v>
      </c>
      <c r="H11853" s="418">
        <v>0</v>
      </c>
      <c r="I11853" s="418">
        <v>0</v>
      </c>
      <c r="J11853" s="418">
        <v>0</v>
      </c>
      <c r="K11853" s="418">
        <v>0</v>
      </c>
      <c r="L11853" s="418">
        <v>0</v>
      </c>
      <c r="M11853" s="418">
        <v>0</v>
      </c>
      <c r="N11853" s="418">
        <v>0</v>
      </c>
      <c r="O11853" s="418">
        <v>0</v>
      </c>
    </row>
    <row r="11854" spans="1:15" x14ac:dyDescent="0.35">
      <c r="A11854" s="418" t="s">
        <v>109</v>
      </c>
      <c r="B11854" s="418" t="s">
        <v>109</v>
      </c>
      <c r="C11854" s="418" t="s">
        <v>109</v>
      </c>
      <c r="D11854" s="418" t="s">
        <v>339</v>
      </c>
      <c r="E11854" s="418" t="s">
        <v>306</v>
      </c>
      <c r="F11854" s="418" t="s">
        <v>12692</v>
      </c>
      <c r="G11854" s="418">
        <v>26060</v>
      </c>
      <c r="H11854" s="418">
        <v>2582202.85</v>
      </c>
      <c r="I11854" s="418">
        <v>99.09</v>
      </c>
      <c r="J11854" s="418">
        <v>6545</v>
      </c>
      <c r="K11854" s="418">
        <v>561938.37</v>
      </c>
      <c r="L11854" s="418">
        <v>85.86</v>
      </c>
      <c r="M11854" s="418">
        <v>32605</v>
      </c>
      <c r="N11854" s="418">
        <v>3144141.22</v>
      </c>
      <c r="O11854" s="418">
        <v>96.43</v>
      </c>
    </row>
    <row r="11855" spans="1:15" x14ac:dyDescent="0.35">
      <c r="A11855" s="418" t="s">
        <v>109</v>
      </c>
      <c r="B11855" s="418" t="s">
        <v>109</v>
      </c>
      <c r="C11855" s="418" t="s">
        <v>109</v>
      </c>
      <c r="D11855" s="418" t="s">
        <v>339</v>
      </c>
      <c r="E11855" s="418" t="s">
        <v>308</v>
      </c>
      <c r="F11855" s="418" t="s">
        <v>12693</v>
      </c>
      <c r="G11855" s="418">
        <v>39347</v>
      </c>
      <c r="H11855" s="418">
        <v>5447554.8400000008</v>
      </c>
      <c r="I11855" s="418">
        <v>138.44999999999999</v>
      </c>
      <c r="J11855" s="418">
        <v>1082</v>
      </c>
      <c r="K11855" s="418">
        <v>88306.559999999998</v>
      </c>
      <c r="L11855" s="418">
        <v>81.61</v>
      </c>
      <c r="M11855" s="418">
        <v>40429</v>
      </c>
      <c r="N11855" s="418">
        <v>5535861.4000000004</v>
      </c>
      <c r="O11855" s="418">
        <v>136.93</v>
      </c>
    </row>
    <row r="11856" spans="1:15" x14ac:dyDescent="0.35">
      <c r="A11856" s="418" t="s">
        <v>109</v>
      </c>
      <c r="B11856" s="418" t="s">
        <v>109</v>
      </c>
      <c r="C11856" s="418" t="s">
        <v>109</v>
      </c>
      <c r="D11856" s="418" t="s">
        <v>339</v>
      </c>
      <c r="E11856" s="418" t="s">
        <v>312</v>
      </c>
      <c r="F11856" s="418" t="s">
        <v>12694</v>
      </c>
      <c r="G11856" s="418">
        <v>289838</v>
      </c>
      <c r="H11856" s="418">
        <v>33808711.770000003</v>
      </c>
      <c r="I11856" s="418">
        <v>116.65</v>
      </c>
      <c r="J11856" s="418">
        <v>98312</v>
      </c>
      <c r="K11856" s="418">
        <v>9286256.1400000006</v>
      </c>
      <c r="L11856" s="418">
        <v>94.46</v>
      </c>
      <c r="M11856" s="418">
        <v>388150</v>
      </c>
      <c r="N11856" s="418">
        <v>43094967.910000004</v>
      </c>
      <c r="O11856" s="418">
        <v>111.03</v>
      </c>
    </row>
    <row r="11857" spans="1:15" x14ac:dyDescent="0.35">
      <c r="A11857" s="418" t="s">
        <v>109</v>
      </c>
      <c r="B11857" s="418" t="s">
        <v>109</v>
      </c>
      <c r="C11857" s="418" t="s">
        <v>109</v>
      </c>
      <c r="D11857" s="418" t="s">
        <v>339</v>
      </c>
      <c r="E11857" s="418" t="s">
        <v>310</v>
      </c>
      <c r="F11857" s="418" t="s">
        <v>12695</v>
      </c>
      <c r="G11857" s="418">
        <v>329185</v>
      </c>
      <c r="H11857" s="418">
        <v>39256266.610000007</v>
      </c>
      <c r="I11857" s="418">
        <v>119.25</v>
      </c>
      <c r="J11857" s="418">
        <v>99394</v>
      </c>
      <c r="K11857" s="418">
        <v>9374562.7000000011</v>
      </c>
      <c r="L11857" s="418">
        <v>94.32</v>
      </c>
      <c r="M11857" s="418">
        <v>428579</v>
      </c>
      <c r="N11857" s="418">
        <v>48630829.31000001</v>
      </c>
      <c r="O11857" s="418">
        <v>113.47</v>
      </c>
    </row>
    <row r="11858" spans="1:15" x14ac:dyDescent="0.35">
      <c r="A11858" s="418" t="s">
        <v>109</v>
      </c>
      <c r="B11858" s="418" t="s">
        <v>109</v>
      </c>
      <c r="C11858" s="418" t="s">
        <v>109</v>
      </c>
      <c r="D11858" s="418" t="s">
        <v>348</v>
      </c>
      <c r="E11858" s="418" t="s">
        <v>349</v>
      </c>
      <c r="F11858" s="418" t="s">
        <v>12696</v>
      </c>
      <c r="G11858" s="418">
        <v>400013</v>
      </c>
      <c r="H11858" s="418">
        <v>43277887.850000001</v>
      </c>
      <c r="I11858" s="418">
        <v>108.19</v>
      </c>
      <c r="J11858" s="418">
        <v>104889</v>
      </c>
      <c r="K11858" s="418">
        <v>10350505.409999998</v>
      </c>
      <c r="L11858" s="418">
        <v>98.68</v>
      </c>
      <c r="M11858" s="418">
        <v>504902</v>
      </c>
      <c r="N11858" s="418">
        <v>53628393.259999998</v>
      </c>
      <c r="O11858" s="418">
        <v>106.22</v>
      </c>
    </row>
    <row r="11859" spans="1:15" x14ac:dyDescent="0.35">
      <c r="A11859" s="418" t="s">
        <v>109</v>
      </c>
      <c r="B11859" s="418" t="s">
        <v>109</v>
      </c>
      <c r="C11859" s="418" t="s">
        <v>109</v>
      </c>
      <c r="D11859" s="418" t="s">
        <v>310</v>
      </c>
      <c r="E11859" s="418" t="s">
        <v>310</v>
      </c>
      <c r="F11859" s="418" t="s">
        <v>12697</v>
      </c>
      <c r="G11859" s="418">
        <v>2965543</v>
      </c>
      <c r="H11859" s="418">
        <v>321012389.14999998</v>
      </c>
      <c r="I11859" s="418">
        <v>108.25</v>
      </c>
      <c r="J11859" s="418">
        <v>1567512</v>
      </c>
      <c r="K11859" s="418">
        <v>169861183.86999997</v>
      </c>
      <c r="L11859" s="418">
        <v>108.36</v>
      </c>
      <c r="M11859" s="418">
        <v>4533055</v>
      </c>
      <c r="N11859" s="418">
        <v>490873573.01999998</v>
      </c>
      <c r="O11859" s="418">
        <v>108.29</v>
      </c>
    </row>
    <row r="11860" spans="1:15" x14ac:dyDescent="0.35">
      <c r="A11860" t="s">
        <v>11188</v>
      </c>
      <c r="B11860" t="s">
        <v>11188</v>
      </c>
      <c r="C11860" t="s">
        <v>11188</v>
      </c>
      <c r="D11860" t="s">
        <v>293</v>
      </c>
      <c r="E11860" t="s">
        <v>294</v>
      </c>
      <c r="F11860" t="s">
        <v>12698</v>
      </c>
      <c r="G11860">
        <v>15532</v>
      </c>
      <c r="H11860">
        <v>3312554.8600000003</v>
      </c>
      <c r="I11860">
        <v>213.27</v>
      </c>
      <c r="J11860">
        <v>2912</v>
      </c>
      <c r="K11860">
        <v>555059.13</v>
      </c>
      <c r="L11860">
        <v>190.61</v>
      </c>
      <c r="M11860">
        <v>18444</v>
      </c>
      <c r="N11860">
        <v>3867613.9899999998</v>
      </c>
      <c r="O11860">
        <v>209.69</v>
      </c>
    </row>
    <row r="11861" spans="1:15" x14ac:dyDescent="0.35">
      <c r="A11861" t="s">
        <v>11188</v>
      </c>
      <c r="B11861" t="s">
        <v>11188</v>
      </c>
      <c r="C11861" t="s">
        <v>11188</v>
      </c>
      <c r="D11861" t="s">
        <v>293</v>
      </c>
      <c r="E11861" t="s">
        <v>296</v>
      </c>
      <c r="F11861" t="s">
        <v>12699</v>
      </c>
      <c r="G11861">
        <v>19521</v>
      </c>
      <c r="H11861">
        <v>4789825.8599999994</v>
      </c>
      <c r="I11861">
        <v>245.37</v>
      </c>
      <c r="J11861">
        <v>4022</v>
      </c>
      <c r="K11861">
        <v>910805.8899999999</v>
      </c>
      <c r="L11861">
        <v>226.46</v>
      </c>
      <c r="M11861">
        <v>23543</v>
      </c>
      <c r="N11861">
        <v>5700631.75</v>
      </c>
      <c r="O11861">
        <v>242.14</v>
      </c>
    </row>
    <row r="11862" spans="1:15" x14ac:dyDescent="0.35">
      <c r="A11862" t="s">
        <v>11188</v>
      </c>
      <c r="B11862" t="s">
        <v>11188</v>
      </c>
      <c r="C11862" t="s">
        <v>11188</v>
      </c>
      <c r="D11862" t="s">
        <v>293</v>
      </c>
      <c r="E11862" t="s">
        <v>298</v>
      </c>
      <c r="F11862" t="s">
        <v>12700</v>
      </c>
      <c r="G11862">
        <v>9254</v>
      </c>
      <c r="H11862">
        <v>2455762.2799999998</v>
      </c>
      <c r="I11862">
        <v>265.37</v>
      </c>
      <c r="J11862">
        <v>2470</v>
      </c>
      <c r="K11862">
        <v>617504.91</v>
      </c>
      <c r="L11862">
        <v>250</v>
      </c>
      <c r="M11862">
        <v>11724</v>
      </c>
      <c r="N11862">
        <v>3073267.19</v>
      </c>
      <c r="O11862">
        <v>262.13</v>
      </c>
    </row>
    <row r="11863" spans="1:15" x14ac:dyDescent="0.35">
      <c r="A11863" t="s">
        <v>11188</v>
      </c>
      <c r="B11863" t="s">
        <v>11188</v>
      </c>
      <c r="C11863" t="s">
        <v>11188</v>
      </c>
      <c r="D11863" t="s">
        <v>293</v>
      </c>
      <c r="E11863" t="s">
        <v>300</v>
      </c>
      <c r="F11863" t="s">
        <v>12701</v>
      </c>
      <c r="G11863">
        <v>1723</v>
      </c>
      <c r="H11863">
        <v>497765.74</v>
      </c>
      <c r="I11863">
        <v>288.89</v>
      </c>
      <c r="J11863">
        <v>612</v>
      </c>
      <c r="K11863">
        <v>164643.01999999999</v>
      </c>
      <c r="L11863">
        <v>269.02</v>
      </c>
      <c r="M11863">
        <v>2335</v>
      </c>
      <c r="N11863">
        <v>662408.76000000013</v>
      </c>
      <c r="O11863">
        <v>283.69</v>
      </c>
    </row>
    <row r="11864" spans="1:15" x14ac:dyDescent="0.35">
      <c r="A11864" t="s">
        <v>11188</v>
      </c>
      <c r="B11864" t="s">
        <v>11188</v>
      </c>
      <c r="C11864" t="s">
        <v>11188</v>
      </c>
      <c r="D11864" t="s">
        <v>293</v>
      </c>
      <c r="E11864" t="s">
        <v>302</v>
      </c>
      <c r="F11864" t="s">
        <v>12702</v>
      </c>
      <c r="G11864">
        <v>81</v>
      </c>
      <c r="H11864">
        <v>23764.850000000002</v>
      </c>
      <c r="I11864">
        <v>293.39</v>
      </c>
      <c r="J11864">
        <v>45</v>
      </c>
      <c r="K11864">
        <v>12274.48</v>
      </c>
      <c r="L11864">
        <v>272.77</v>
      </c>
      <c r="M11864">
        <v>126</v>
      </c>
      <c r="N11864">
        <v>36039.33</v>
      </c>
      <c r="O11864">
        <v>286.02999999999997</v>
      </c>
    </row>
    <row r="11865" spans="1:15" x14ac:dyDescent="0.35">
      <c r="A11865" t="s">
        <v>11188</v>
      </c>
      <c r="B11865" t="s">
        <v>11188</v>
      </c>
      <c r="C11865" t="s">
        <v>11188</v>
      </c>
      <c r="D11865" t="s">
        <v>293</v>
      </c>
      <c r="E11865" t="s">
        <v>304</v>
      </c>
      <c r="F11865" t="s">
        <v>12703</v>
      </c>
      <c r="G11865">
        <v>14</v>
      </c>
      <c r="H11865">
        <v>4525</v>
      </c>
      <c r="I11865">
        <v>323.20999999999998</v>
      </c>
      <c r="J11865">
        <v>10</v>
      </c>
      <c r="K11865">
        <v>2633.9300000000003</v>
      </c>
      <c r="L11865">
        <v>263.39</v>
      </c>
      <c r="M11865">
        <v>24</v>
      </c>
      <c r="N11865">
        <v>7158.93</v>
      </c>
      <c r="O11865">
        <v>298.29000000000002</v>
      </c>
    </row>
    <row r="11866" spans="1:15" x14ac:dyDescent="0.35">
      <c r="A11866" t="s">
        <v>11188</v>
      </c>
      <c r="B11866" t="s">
        <v>11188</v>
      </c>
      <c r="C11866" t="s">
        <v>11188</v>
      </c>
      <c r="D11866" t="s">
        <v>293</v>
      </c>
      <c r="E11866" t="s">
        <v>306</v>
      </c>
      <c r="F11866" t="s">
        <v>12704</v>
      </c>
      <c r="G11866">
        <v>595</v>
      </c>
      <c r="H11866">
        <v>109605.50000000001</v>
      </c>
      <c r="I11866">
        <v>184.21</v>
      </c>
      <c r="J11866">
        <v>149</v>
      </c>
      <c r="K11866">
        <v>22229.5</v>
      </c>
      <c r="L11866">
        <v>149.19</v>
      </c>
      <c r="M11866">
        <v>744</v>
      </c>
      <c r="N11866">
        <v>131835</v>
      </c>
      <c r="O11866">
        <v>177.2</v>
      </c>
    </row>
    <row r="11867" spans="1:15" x14ac:dyDescent="0.35">
      <c r="A11867" t="s">
        <v>11188</v>
      </c>
      <c r="B11867" t="s">
        <v>11188</v>
      </c>
      <c r="C11867" t="s">
        <v>11188</v>
      </c>
      <c r="D11867" t="s">
        <v>293</v>
      </c>
      <c r="E11867" t="s">
        <v>308</v>
      </c>
      <c r="F11867" t="s">
        <v>12705</v>
      </c>
      <c r="G11867">
        <v>52</v>
      </c>
      <c r="H11867">
        <v>6350.5400000000009</v>
      </c>
      <c r="I11867">
        <v>122.13</v>
      </c>
      <c r="J11867">
        <v>8</v>
      </c>
      <c r="K11867">
        <v>1190.8</v>
      </c>
      <c r="L11867">
        <v>148.85</v>
      </c>
      <c r="M11867">
        <v>60</v>
      </c>
      <c r="N11867">
        <v>7541.34</v>
      </c>
      <c r="O11867">
        <v>125.69</v>
      </c>
    </row>
    <row r="11868" spans="1:15" x14ac:dyDescent="0.35">
      <c r="A11868" t="s">
        <v>11188</v>
      </c>
      <c r="B11868" t="s">
        <v>11188</v>
      </c>
      <c r="C11868" t="s">
        <v>11188</v>
      </c>
      <c r="D11868" t="s">
        <v>293</v>
      </c>
      <c r="E11868" t="s">
        <v>310</v>
      </c>
      <c r="F11868" t="s">
        <v>12706</v>
      </c>
      <c r="G11868">
        <v>46772</v>
      </c>
      <c r="H11868">
        <v>11200154.629999999</v>
      </c>
      <c r="I11868">
        <v>239.46</v>
      </c>
      <c r="J11868">
        <v>10228</v>
      </c>
      <c r="K11868">
        <v>2286341.66</v>
      </c>
      <c r="L11868">
        <v>223.54</v>
      </c>
      <c r="M11868">
        <v>57000</v>
      </c>
      <c r="N11868">
        <v>13486496.289999999</v>
      </c>
      <c r="O11868">
        <v>236.61</v>
      </c>
    </row>
    <row r="11869" spans="1:15" x14ac:dyDescent="0.35">
      <c r="A11869" t="s">
        <v>11188</v>
      </c>
      <c r="B11869" t="s">
        <v>11188</v>
      </c>
      <c r="C11869" t="s">
        <v>11188</v>
      </c>
      <c r="D11869" t="s">
        <v>293</v>
      </c>
      <c r="E11869" t="s">
        <v>312</v>
      </c>
      <c r="F11869" t="s">
        <v>12707</v>
      </c>
      <c r="G11869">
        <v>46720</v>
      </c>
      <c r="H11869">
        <v>11193804.090000004</v>
      </c>
      <c r="I11869">
        <v>239.59</v>
      </c>
      <c r="J11869">
        <v>10220</v>
      </c>
      <c r="K11869">
        <v>2285150.86</v>
      </c>
      <c r="L11869">
        <v>223.6</v>
      </c>
      <c r="M11869">
        <v>56940</v>
      </c>
      <c r="N11869">
        <v>13478954.950000003</v>
      </c>
      <c r="O11869">
        <v>236.72</v>
      </c>
    </row>
    <row r="11870" spans="1:15" x14ac:dyDescent="0.35">
      <c r="A11870" t="s">
        <v>11188</v>
      </c>
      <c r="B11870" t="s">
        <v>11188</v>
      </c>
      <c r="C11870" t="s">
        <v>11188</v>
      </c>
      <c r="D11870" t="s">
        <v>314</v>
      </c>
      <c r="E11870" t="s">
        <v>294</v>
      </c>
      <c r="F11870" t="s">
        <v>12708</v>
      </c>
      <c r="G11870">
        <v>1592</v>
      </c>
      <c r="H11870">
        <v>430203.87</v>
      </c>
      <c r="I11870">
        <v>270.23</v>
      </c>
      <c r="J11870">
        <v>349</v>
      </c>
      <c r="K11870">
        <v>79974.16</v>
      </c>
      <c r="L11870">
        <v>229.15</v>
      </c>
      <c r="M11870">
        <v>1941</v>
      </c>
      <c r="N11870">
        <v>510178.03</v>
      </c>
      <c r="O11870">
        <v>262.83999999999997</v>
      </c>
    </row>
    <row r="11871" spans="1:15" x14ac:dyDescent="0.35">
      <c r="A11871" t="s">
        <v>11188</v>
      </c>
      <c r="B11871" t="s">
        <v>11188</v>
      </c>
      <c r="C11871" t="s">
        <v>11188</v>
      </c>
      <c r="D11871" t="s">
        <v>314</v>
      </c>
      <c r="E11871" t="s">
        <v>296</v>
      </c>
      <c r="F11871" t="s">
        <v>12709</v>
      </c>
      <c r="G11871">
        <v>197</v>
      </c>
      <c r="H11871">
        <v>63463.88</v>
      </c>
      <c r="I11871">
        <v>322.14999999999998</v>
      </c>
      <c r="J11871">
        <v>22</v>
      </c>
      <c r="K11871">
        <v>5139.9100000000008</v>
      </c>
      <c r="L11871">
        <v>233.63</v>
      </c>
      <c r="M11871">
        <v>219</v>
      </c>
      <c r="N11871">
        <v>68603.789999999994</v>
      </c>
      <c r="O11871">
        <v>313.26</v>
      </c>
    </row>
    <row r="11872" spans="1:15" x14ac:dyDescent="0.35">
      <c r="A11872" t="s">
        <v>11188</v>
      </c>
      <c r="B11872" t="s">
        <v>11188</v>
      </c>
      <c r="C11872" t="s">
        <v>11188</v>
      </c>
      <c r="D11872" t="s">
        <v>314</v>
      </c>
      <c r="E11872" t="s">
        <v>298</v>
      </c>
      <c r="F11872" t="s">
        <v>12710</v>
      </c>
      <c r="G11872">
        <v>18</v>
      </c>
      <c r="H11872">
        <v>6536.38</v>
      </c>
      <c r="I11872">
        <v>363.13</v>
      </c>
      <c r="J11872">
        <v>0</v>
      </c>
      <c r="K11872">
        <v>0</v>
      </c>
      <c r="L11872">
        <v>0</v>
      </c>
      <c r="M11872">
        <v>18</v>
      </c>
      <c r="N11872">
        <v>6536.38</v>
      </c>
      <c r="O11872">
        <v>363.13</v>
      </c>
    </row>
    <row r="11873" spans="1:15" x14ac:dyDescent="0.35">
      <c r="A11873" t="s">
        <v>11188</v>
      </c>
      <c r="B11873" t="s">
        <v>11188</v>
      </c>
      <c r="C11873" t="s">
        <v>11188</v>
      </c>
      <c r="D11873" t="s">
        <v>314</v>
      </c>
      <c r="E11873" t="s">
        <v>300</v>
      </c>
      <c r="F11873" t="s">
        <v>12711</v>
      </c>
      <c r="G11873">
        <v>0</v>
      </c>
      <c r="H11873">
        <v>0</v>
      </c>
      <c r="I11873">
        <v>0</v>
      </c>
      <c r="J11873">
        <v>0</v>
      </c>
      <c r="K11873">
        <v>0</v>
      </c>
      <c r="L11873">
        <v>0</v>
      </c>
      <c r="M11873">
        <v>0</v>
      </c>
      <c r="N11873">
        <v>0</v>
      </c>
      <c r="O11873">
        <v>0</v>
      </c>
    </row>
    <row r="11874" spans="1:15" x14ac:dyDescent="0.35">
      <c r="A11874" t="s">
        <v>11188</v>
      </c>
      <c r="B11874" t="s">
        <v>11188</v>
      </c>
      <c r="C11874" t="s">
        <v>11188</v>
      </c>
      <c r="D11874" t="s">
        <v>314</v>
      </c>
      <c r="E11874" t="s">
        <v>306</v>
      </c>
      <c r="F11874" t="s">
        <v>12712</v>
      </c>
      <c r="G11874">
        <v>141</v>
      </c>
      <c r="H11874">
        <v>47916.409999999996</v>
      </c>
      <c r="I11874">
        <v>339.83</v>
      </c>
      <c r="J11874">
        <v>4</v>
      </c>
      <c r="K11874">
        <v>1360</v>
      </c>
      <c r="L11874">
        <v>340</v>
      </c>
      <c r="M11874">
        <v>145</v>
      </c>
      <c r="N11874">
        <v>49276.409999999996</v>
      </c>
      <c r="O11874">
        <v>339.84</v>
      </c>
    </row>
    <row r="11875" spans="1:15" x14ac:dyDescent="0.35">
      <c r="A11875" t="s">
        <v>11188</v>
      </c>
      <c r="B11875" t="s">
        <v>11188</v>
      </c>
      <c r="C11875" t="s">
        <v>11188</v>
      </c>
      <c r="D11875" t="s">
        <v>314</v>
      </c>
      <c r="E11875" t="s">
        <v>308</v>
      </c>
      <c r="F11875" t="s">
        <v>12713</v>
      </c>
      <c r="G11875">
        <v>137</v>
      </c>
      <c r="H11875">
        <v>49693.990000000005</v>
      </c>
      <c r="I11875">
        <v>362.73</v>
      </c>
      <c r="J11875">
        <v>0</v>
      </c>
      <c r="K11875">
        <v>0</v>
      </c>
      <c r="L11875">
        <v>0</v>
      </c>
      <c r="M11875">
        <v>137</v>
      </c>
      <c r="N11875">
        <v>49693.990000000005</v>
      </c>
      <c r="O11875">
        <v>362.73</v>
      </c>
    </row>
    <row r="11876" spans="1:15" x14ac:dyDescent="0.35">
      <c r="A11876" t="s">
        <v>11188</v>
      </c>
      <c r="B11876" t="s">
        <v>11188</v>
      </c>
      <c r="C11876" t="s">
        <v>11188</v>
      </c>
      <c r="D11876" t="s">
        <v>314</v>
      </c>
      <c r="E11876" t="s">
        <v>312</v>
      </c>
      <c r="F11876" t="s">
        <v>12714</v>
      </c>
      <c r="G11876">
        <v>1948</v>
      </c>
      <c r="H11876">
        <v>548120.53999999992</v>
      </c>
      <c r="I11876">
        <v>281.38</v>
      </c>
      <c r="J11876">
        <v>375</v>
      </c>
      <c r="K11876">
        <v>86474.07</v>
      </c>
      <c r="L11876">
        <v>230.6</v>
      </c>
      <c r="M11876">
        <v>2323</v>
      </c>
      <c r="N11876">
        <v>634594.60999999987</v>
      </c>
      <c r="O11876">
        <v>273.18</v>
      </c>
    </row>
    <row r="11877" spans="1:15" x14ac:dyDescent="0.35">
      <c r="A11877" t="s">
        <v>11188</v>
      </c>
      <c r="B11877" t="s">
        <v>11188</v>
      </c>
      <c r="C11877" t="s">
        <v>11188</v>
      </c>
      <c r="D11877" t="s">
        <v>314</v>
      </c>
      <c r="E11877" t="s">
        <v>310</v>
      </c>
      <c r="F11877" t="s">
        <v>12715</v>
      </c>
      <c r="G11877">
        <v>2085</v>
      </c>
      <c r="H11877">
        <v>597814.53</v>
      </c>
      <c r="I11877">
        <v>286.72000000000003</v>
      </c>
      <c r="J11877">
        <v>375</v>
      </c>
      <c r="K11877">
        <v>86474.07</v>
      </c>
      <c r="L11877">
        <v>230.6</v>
      </c>
      <c r="M11877">
        <v>2460</v>
      </c>
      <c r="N11877">
        <v>684288.60000000009</v>
      </c>
      <c r="O11877">
        <v>278.17</v>
      </c>
    </row>
    <row r="11878" spans="1:15" x14ac:dyDescent="0.35">
      <c r="A11878" t="s">
        <v>11188</v>
      </c>
      <c r="B11878" t="s">
        <v>11188</v>
      </c>
      <c r="C11878" t="s">
        <v>11188</v>
      </c>
      <c r="D11878" t="s">
        <v>323</v>
      </c>
      <c r="E11878" t="s">
        <v>294</v>
      </c>
      <c r="F11878" t="s">
        <v>12716</v>
      </c>
      <c r="G11878">
        <v>75747</v>
      </c>
      <c r="H11878">
        <v>9948464.3199999984</v>
      </c>
      <c r="I11878">
        <v>131.34</v>
      </c>
      <c r="J11878">
        <v>103735</v>
      </c>
      <c r="K11878">
        <v>12206666.869999997</v>
      </c>
      <c r="L11878">
        <v>117.67</v>
      </c>
      <c r="M11878">
        <v>179482</v>
      </c>
      <c r="N11878">
        <v>22155131.189999998</v>
      </c>
      <c r="O11878">
        <v>123.44</v>
      </c>
    </row>
    <row r="11879" spans="1:15" x14ac:dyDescent="0.35">
      <c r="A11879" t="s">
        <v>11188</v>
      </c>
      <c r="B11879" t="s">
        <v>11188</v>
      </c>
      <c r="C11879" t="s">
        <v>11188</v>
      </c>
      <c r="D11879" t="s">
        <v>323</v>
      </c>
      <c r="E11879" t="s">
        <v>296</v>
      </c>
      <c r="F11879" t="s">
        <v>12717</v>
      </c>
      <c r="G11879">
        <v>106806</v>
      </c>
      <c r="H11879">
        <v>15788626.1</v>
      </c>
      <c r="I11879">
        <v>147.83000000000001</v>
      </c>
      <c r="J11879">
        <v>132741</v>
      </c>
      <c r="K11879">
        <v>17490090.579999998</v>
      </c>
      <c r="L11879">
        <v>131.76</v>
      </c>
      <c r="M11879">
        <v>239547</v>
      </c>
      <c r="N11879">
        <v>33278716.68</v>
      </c>
      <c r="O11879">
        <v>138.91999999999999</v>
      </c>
    </row>
    <row r="11880" spans="1:15" x14ac:dyDescent="0.35">
      <c r="A11880" t="s">
        <v>11188</v>
      </c>
      <c r="B11880" t="s">
        <v>11188</v>
      </c>
      <c r="C11880" t="s">
        <v>11188</v>
      </c>
      <c r="D11880" t="s">
        <v>323</v>
      </c>
      <c r="E11880" t="s">
        <v>298</v>
      </c>
      <c r="F11880" t="s">
        <v>12718</v>
      </c>
      <c r="G11880">
        <v>81355</v>
      </c>
      <c r="H11880">
        <v>13385087.790000003</v>
      </c>
      <c r="I11880">
        <v>164.53</v>
      </c>
      <c r="J11880">
        <v>96423</v>
      </c>
      <c r="K11880">
        <v>14421905.34</v>
      </c>
      <c r="L11880">
        <v>149.57</v>
      </c>
      <c r="M11880">
        <v>177778</v>
      </c>
      <c r="N11880">
        <v>27806993.130000006</v>
      </c>
      <c r="O11880">
        <v>156.41</v>
      </c>
    </row>
    <row r="11881" spans="1:15" x14ac:dyDescent="0.35">
      <c r="A11881" t="s">
        <v>11188</v>
      </c>
      <c r="B11881" t="s">
        <v>11188</v>
      </c>
      <c r="C11881" t="s">
        <v>11188</v>
      </c>
      <c r="D11881" t="s">
        <v>323</v>
      </c>
      <c r="E11881" t="s">
        <v>300</v>
      </c>
      <c r="F11881" t="s">
        <v>12719</v>
      </c>
      <c r="G11881">
        <v>17786</v>
      </c>
      <c r="H11881">
        <v>3241159.7299999991</v>
      </c>
      <c r="I11881">
        <v>182.23</v>
      </c>
      <c r="J11881">
        <v>15582</v>
      </c>
      <c r="K11881">
        <v>2670469.15</v>
      </c>
      <c r="L11881">
        <v>171.38</v>
      </c>
      <c r="M11881">
        <v>33368</v>
      </c>
      <c r="N11881">
        <v>5911628.8799999999</v>
      </c>
      <c r="O11881">
        <v>177.16</v>
      </c>
    </row>
    <row r="11882" spans="1:15" x14ac:dyDescent="0.35">
      <c r="A11882" t="s">
        <v>11188</v>
      </c>
      <c r="B11882" t="s">
        <v>11188</v>
      </c>
      <c r="C11882" t="s">
        <v>11188</v>
      </c>
      <c r="D11882" t="s">
        <v>323</v>
      </c>
      <c r="E11882" t="s">
        <v>302</v>
      </c>
      <c r="F11882" t="s">
        <v>12720</v>
      </c>
      <c r="G11882">
        <v>2345</v>
      </c>
      <c r="H11882">
        <v>460407.17999999988</v>
      </c>
      <c r="I11882">
        <v>196.34</v>
      </c>
      <c r="J11882">
        <v>2154</v>
      </c>
      <c r="K11882">
        <v>405394.16999999993</v>
      </c>
      <c r="L11882">
        <v>188.21</v>
      </c>
      <c r="M11882">
        <v>4499</v>
      </c>
      <c r="N11882">
        <v>865801.35</v>
      </c>
      <c r="O11882">
        <v>192.44</v>
      </c>
    </row>
    <row r="11883" spans="1:15" x14ac:dyDescent="0.35">
      <c r="A11883" t="s">
        <v>11188</v>
      </c>
      <c r="B11883" t="s">
        <v>11188</v>
      </c>
      <c r="C11883" t="s">
        <v>11188</v>
      </c>
      <c r="D11883" t="s">
        <v>323</v>
      </c>
      <c r="E11883" t="s">
        <v>304</v>
      </c>
      <c r="F11883" t="s">
        <v>12721</v>
      </c>
      <c r="G11883">
        <v>522</v>
      </c>
      <c r="H11883">
        <v>107953.99000000003</v>
      </c>
      <c r="I11883">
        <v>206.81</v>
      </c>
      <c r="J11883">
        <v>587</v>
      </c>
      <c r="K11883">
        <v>119285.38</v>
      </c>
      <c r="L11883">
        <v>203.21</v>
      </c>
      <c r="M11883">
        <v>1109</v>
      </c>
      <c r="N11883">
        <v>227239.36999999997</v>
      </c>
      <c r="O11883">
        <v>204.9</v>
      </c>
    </row>
    <row r="11884" spans="1:15" x14ac:dyDescent="0.35">
      <c r="A11884" t="s">
        <v>11188</v>
      </c>
      <c r="B11884" t="s">
        <v>11188</v>
      </c>
      <c r="C11884" t="s">
        <v>11188</v>
      </c>
      <c r="D11884" t="s">
        <v>323</v>
      </c>
      <c r="E11884" t="s">
        <v>306</v>
      </c>
      <c r="F11884" t="s">
        <v>12722</v>
      </c>
      <c r="G11884">
        <v>4241</v>
      </c>
      <c r="H11884">
        <v>484796.70999999996</v>
      </c>
      <c r="I11884">
        <v>114.31</v>
      </c>
      <c r="J11884">
        <v>15140</v>
      </c>
      <c r="K11884">
        <v>1562004.39</v>
      </c>
      <c r="L11884">
        <v>103.17</v>
      </c>
      <c r="M11884">
        <v>19381</v>
      </c>
      <c r="N11884">
        <v>2046801.0999999999</v>
      </c>
      <c r="O11884">
        <v>105.61</v>
      </c>
    </row>
    <row r="11885" spans="1:15" x14ac:dyDescent="0.35">
      <c r="A11885" t="s">
        <v>11188</v>
      </c>
      <c r="B11885" t="s">
        <v>11188</v>
      </c>
      <c r="C11885" t="s">
        <v>11188</v>
      </c>
      <c r="D11885" t="s">
        <v>323</v>
      </c>
      <c r="E11885" t="s">
        <v>308</v>
      </c>
      <c r="F11885" t="s">
        <v>12723</v>
      </c>
      <c r="G11885">
        <v>620</v>
      </c>
      <c r="H11885">
        <v>66120.42</v>
      </c>
      <c r="I11885">
        <v>106.65</v>
      </c>
      <c r="J11885">
        <v>1300</v>
      </c>
      <c r="K11885">
        <v>92434.5</v>
      </c>
      <c r="L11885">
        <v>71.099999999999994</v>
      </c>
      <c r="M11885">
        <v>1920</v>
      </c>
      <c r="N11885">
        <v>158554.91999999998</v>
      </c>
      <c r="O11885">
        <v>82.58</v>
      </c>
    </row>
    <row r="11886" spans="1:15" x14ac:dyDescent="0.35">
      <c r="A11886" t="s">
        <v>11188</v>
      </c>
      <c r="B11886" t="s">
        <v>11188</v>
      </c>
      <c r="C11886" t="s">
        <v>11188</v>
      </c>
      <c r="D11886" t="s">
        <v>323</v>
      </c>
      <c r="E11886" t="s">
        <v>310</v>
      </c>
      <c r="F11886" t="s">
        <v>12724</v>
      </c>
      <c r="G11886">
        <v>289422</v>
      </c>
      <c r="H11886">
        <v>43482616.240000002</v>
      </c>
      <c r="I11886">
        <v>150.24</v>
      </c>
      <c r="J11886">
        <v>367662</v>
      </c>
      <c r="K11886">
        <v>48968250.380000003</v>
      </c>
      <c r="L11886">
        <v>133.19</v>
      </c>
      <c r="M11886">
        <v>657084</v>
      </c>
      <c r="N11886">
        <v>92450866.620000005</v>
      </c>
      <c r="O11886">
        <v>140.69999999999999</v>
      </c>
    </row>
    <row r="11887" spans="1:15" x14ac:dyDescent="0.35">
      <c r="A11887" t="s">
        <v>11188</v>
      </c>
      <c r="B11887" t="s">
        <v>11188</v>
      </c>
      <c r="C11887" t="s">
        <v>11188</v>
      </c>
      <c r="D11887" t="s">
        <v>323</v>
      </c>
      <c r="E11887" t="s">
        <v>312</v>
      </c>
      <c r="F11887" t="s">
        <v>12725</v>
      </c>
      <c r="G11887">
        <v>288802</v>
      </c>
      <c r="H11887">
        <v>43416495.820000008</v>
      </c>
      <c r="I11887">
        <v>150.33000000000001</v>
      </c>
      <c r="J11887">
        <v>366362</v>
      </c>
      <c r="K11887">
        <v>48875815.88000001</v>
      </c>
      <c r="L11887">
        <v>133.41</v>
      </c>
      <c r="M11887">
        <v>655164</v>
      </c>
      <c r="N11887">
        <v>92292311.700000018</v>
      </c>
      <c r="O11887">
        <v>140.87</v>
      </c>
    </row>
    <row r="11888" spans="1:15" x14ac:dyDescent="0.35">
      <c r="A11888" t="s">
        <v>11188</v>
      </c>
      <c r="B11888" t="s">
        <v>11188</v>
      </c>
      <c r="C11888" t="s">
        <v>11188</v>
      </c>
      <c r="D11888" t="s">
        <v>334</v>
      </c>
      <c r="E11888" t="s">
        <v>312</v>
      </c>
      <c r="F11888" t="s">
        <v>12726</v>
      </c>
      <c r="G11888">
        <v>369495</v>
      </c>
      <c r="H11888">
        <v>54610299.909999996</v>
      </c>
      <c r="I11888">
        <v>162.76</v>
      </c>
      <c r="J11888">
        <v>376582</v>
      </c>
      <c r="K11888">
        <v>51160966.739999995</v>
      </c>
      <c r="L11888">
        <v>135.86000000000001</v>
      </c>
      <c r="M11888">
        <v>746077</v>
      </c>
      <c r="N11888">
        <v>105771266.64999999</v>
      </c>
      <c r="O11888">
        <v>148.53</v>
      </c>
    </row>
    <row r="11889" spans="1:15" x14ac:dyDescent="0.35">
      <c r="A11889" t="s">
        <v>11188</v>
      </c>
      <c r="B11889" t="s">
        <v>11188</v>
      </c>
      <c r="C11889" t="s">
        <v>11188</v>
      </c>
      <c r="D11889" t="s">
        <v>334</v>
      </c>
      <c r="E11889" t="s">
        <v>308</v>
      </c>
      <c r="F11889" t="s">
        <v>12727</v>
      </c>
      <c r="G11889">
        <v>6344</v>
      </c>
      <c r="H11889">
        <v>72470.959999999992</v>
      </c>
      <c r="I11889">
        <v>107.84</v>
      </c>
      <c r="J11889">
        <v>1308</v>
      </c>
      <c r="K11889">
        <v>93625.3</v>
      </c>
      <c r="L11889">
        <v>71.58</v>
      </c>
      <c r="M11889">
        <v>7652</v>
      </c>
      <c r="N11889">
        <v>166096.26</v>
      </c>
      <c r="O11889">
        <v>83.89</v>
      </c>
    </row>
    <row r="11890" spans="1:15" x14ac:dyDescent="0.35">
      <c r="A11890" t="s">
        <v>11188</v>
      </c>
      <c r="B11890" t="s">
        <v>11188</v>
      </c>
      <c r="C11890" t="s">
        <v>11188</v>
      </c>
      <c r="D11890" t="s">
        <v>337</v>
      </c>
      <c r="E11890" t="s">
        <v>337</v>
      </c>
      <c r="F11890" t="s">
        <v>12728</v>
      </c>
      <c r="G11890">
        <v>57262</v>
      </c>
      <c r="J11890">
        <v>1638</v>
      </c>
      <c r="M11890">
        <v>58900</v>
      </c>
    </row>
    <row r="11891" spans="1:15" x14ac:dyDescent="0.35">
      <c r="A11891" t="s">
        <v>11188</v>
      </c>
      <c r="B11891" t="s">
        <v>11188</v>
      </c>
      <c r="C11891" t="s">
        <v>11188</v>
      </c>
      <c r="D11891" t="s">
        <v>339</v>
      </c>
      <c r="E11891" t="s">
        <v>294</v>
      </c>
      <c r="F11891" t="s">
        <v>12729</v>
      </c>
      <c r="G11891">
        <v>27369</v>
      </c>
      <c r="H11891">
        <v>3931252.9899999998</v>
      </c>
      <c r="I11891">
        <v>143.63999999999999</v>
      </c>
      <c r="J11891">
        <v>10920</v>
      </c>
      <c r="K11891">
        <v>1220065.2000000002</v>
      </c>
      <c r="L11891">
        <v>111.73</v>
      </c>
      <c r="M11891">
        <v>38289</v>
      </c>
      <c r="N11891">
        <v>5151318.1899999995</v>
      </c>
      <c r="O11891">
        <v>134.54</v>
      </c>
    </row>
    <row r="11892" spans="1:15" x14ac:dyDescent="0.35">
      <c r="A11892" t="s">
        <v>11188</v>
      </c>
      <c r="B11892" t="s">
        <v>11188</v>
      </c>
      <c r="C11892" t="s">
        <v>11188</v>
      </c>
      <c r="D11892" t="s">
        <v>339</v>
      </c>
      <c r="E11892" t="s">
        <v>296</v>
      </c>
      <c r="F11892" t="s">
        <v>12730</v>
      </c>
      <c r="G11892">
        <v>2284</v>
      </c>
      <c r="H11892">
        <v>373035.77000000008</v>
      </c>
      <c r="I11892">
        <v>163.33000000000001</v>
      </c>
      <c r="J11892">
        <v>296</v>
      </c>
      <c r="K11892">
        <v>37385.320000000007</v>
      </c>
      <c r="L11892">
        <v>126.3</v>
      </c>
      <c r="M11892">
        <v>2580</v>
      </c>
      <c r="N11892">
        <v>410421.08999999997</v>
      </c>
      <c r="O11892">
        <v>159.08000000000001</v>
      </c>
    </row>
    <row r="11893" spans="1:15" x14ac:dyDescent="0.35">
      <c r="A11893" t="s">
        <v>11188</v>
      </c>
      <c r="B11893" t="s">
        <v>11188</v>
      </c>
      <c r="C11893" t="s">
        <v>11188</v>
      </c>
      <c r="D11893" t="s">
        <v>339</v>
      </c>
      <c r="E11893" t="s">
        <v>298</v>
      </c>
      <c r="F11893" t="s">
        <v>12731</v>
      </c>
      <c r="G11893">
        <v>206</v>
      </c>
      <c r="H11893">
        <v>35005.610000000008</v>
      </c>
      <c r="I11893">
        <v>169.93</v>
      </c>
      <c r="J11893">
        <v>26</v>
      </c>
      <c r="K11893">
        <v>3814.54</v>
      </c>
      <c r="L11893">
        <v>146.71</v>
      </c>
      <c r="M11893">
        <v>232</v>
      </c>
      <c r="N11893">
        <v>38820.149999999994</v>
      </c>
      <c r="O11893">
        <v>167.33</v>
      </c>
    </row>
    <row r="11894" spans="1:15" x14ac:dyDescent="0.35">
      <c r="A11894" t="s">
        <v>11188</v>
      </c>
      <c r="B11894" t="s">
        <v>11188</v>
      </c>
      <c r="C11894" t="s">
        <v>11188</v>
      </c>
      <c r="D11894" t="s">
        <v>339</v>
      </c>
      <c r="E11894" t="s">
        <v>300</v>
      </c>
      <c r="F11894" t="s">
        <v>12732</v>
      </c>
      <c r="G11894">
        <v>20</v>
      </c>
      <c r="H11894">
        <v>3878.3800000000006</v>
      </c>
      <c r="I11894">
        <v>193.92</v>
      </c>
      <c r="J11894">
        <v>5</v>
      </c>
      <c r="K11894">
        <v>1002.0100000000001</v>
      </c>
      <c r="L11894">
        <v>200.4</v>
      </c>
      <c r="M11894">
        <v>25</v>
      </c>
      <c r="N11894">
        <v>4880.3900000000003</v>
      </c>
      <c r="O11894">
        <v>195.22</v>
      </c>
    </row>
    <row r="11895" spans="1:15" x14ac:dyDescent="0.35">
      <c r="A11895" t="s">
        <v>11188</v>
      </c>
      <c r="B11895" t="s">
        <v>11188</v>
      </c>
      <c r="C11895" t="s">
        <v>11188</v>
      </c>
      <c r="D11895" t="s">
        <v>339</v>
      </c>
      <c r="E11895" t="s">
        <v>302</v>
      </c>
      <c r="F11895" t="s">
        <v>12733</v>
      </c>
      <c r="G11895">
        <v>0</v>
      </c>
      <c r="H11895">
        <v>0</v>
      </c>
      <c r="I11895">
        <v>0</v>
      </c>
      <c r="J11895">
        <v>0</v>
      </c>
      <c r="K11895">
        <v>0</v>
      </c>
      <c r="L11895">
        <v>0</v>
      </c>
      <c r="M11895">
        <v>0</v>
      </c>
      <c r="N11895">
        <v>0</v>
      </c>
      <c r="O11895">
        <v>0</v>
      </c>
    </row>
    <row r="11896" spans="1:15" x14ac:dyDescent="0.35">
      <c r="A11896" t="s">
        <v>11188</v>
      </c>
      <c r="B11896" t="s">
        <v>11188</v>
      </c>
      <c r="C11896" t="s">
        <v>11188</v>
      </c>
      <c r="D11896" t="s">
        <v>339</v>
      </c>
      <c r="E11896" t="s">
        <v>304</v>
      </c>
      <c r="F11896" t="s">
        <v>12734</v>
      </c>
      <c r="G11896">
        <v>0</v>
      </c>
      <c r="H11896">
        <v>0</v>
      </c>
      <c r="I11896">
        <v>0</v>
      </c>
      <c r="J11896">
        <v>0</v>
      </c>
      <c r="K11896">
        <v>0</v>
      </c>
      <c r="L11896">
        <v>0</v>
      </c>
      <c r="M11896">
        <v>0</v>
      </c>
      <c r="N11896">
        <v>0</v>
      </c>
      <c r="O11896">
        <v>0</v>
      </c>
    </row>
    <row r="11897" spans="1:15" x14ac:dyDescent="0.35">
      <c r="A11897" t="s">
        <v>11188</v>
      </c>
      <c r="B11897" t="s">
        <v>11188</v>
      </c>
      <c r="C11897" t="s">
        <v>11188</v>
      </c>
      <c r="D11897" t="s">
        <v>339</v>
      </c>
      <c r="E11897" t="s">
        <v>306</v>
      </c>
      <c r="F11897" t="s">
        <v>12735</v>
      </c>
      <c r="G11897">
        <v>5116</v>
      </c>
      <c r="H11897">
        <v>638517.96</v>
      </c>
      <c r="I11897">
        <v>124.81</v>
      </c>
      <c r="J11897">
        <v>1790</v>
      </c>
      <c r="K11897">
        <v>179705.61999999997</v>
      </c>
      <c r="L11897">
        <v>100.39</v>
      </c>
      <c r="M11897">
        <v>6906</v>
      </c>
      <c r="N11897">
        <v>818223.58000000007</v>
      </c>
      <c r="O11897">
        <v>118.48</v>
      </c>
    </row>
    <row r="11898" spans="1:15" x14ac:dyDescent="0.35">
      <c r="A11898" t="s">
        <v>11188</v>
      </c>
      <c r="B11898" t="s">
        <v>11188</v>
      </c>
      <c r="C11898" t="s">
        <v>11188</v>
      </c>
      <c r="D11898" t="s">
        <v>339</v>
      </c>
      <c r="E11898" t="s">
        <v>308</v>
      </c>
      <c r="F11898" t="s">
        <v>12736</v>
      </c>
      <c r="G11898">
        <v>8600</v>
      </c>
      <c r="H11898">
        <v>1171862.93</v>
      </c>
      <c r="I11898">
        <v>136.26</v>
      </c>
      <c r="J11898">
        <v>162</v>
      </c>
      <c r="K11898">
        <v>12705.36</v>
      </c>
      <c r="L11898">
        <v>78.430000000000007</v>
      </c>
      <c r="M11898">
        <v>8762</v>
      </c>
      <c r="N11898">
        <v>1184568.29</v>
      </c>
      <c r="O11898">
        <v>135.19</v>
      </c>
    </row>
    <row r="11899" spans="1:15" x14ac:dyDescent="0.35">
      <c r="A11899" t="s">
        <v>11188</v>
      </c>
      <c r="B11899" t="s">
        <v>11188</v>
      </c>
      <c r="C11899" t="s">
        <v>11188</v>
      </c>
      <c r="D11899" t="s">
        <v>339</v>
      </c>
      <c r="E11899" t="s">
        <v>310</v>
      </c>
      <c r="F11899" t="s">
        <v>12737</v>
      </c>
      <c r="G11899">
        <v>43595</v>
      </c>
      <c r="H11899">
        <v>6153553.6399999987</v>
      </c>
      <c r="I11899">
        <v>141.15</v>
      </c>
      <c r="J11899">
        <v>13199</v>
      </c>
      <c r="K11899">
        <v>1454678.05</v>
      </c>
      <c r="L11899">
        <v>110.21</v>
      </c>
      <c r="M11899">
        <v>56794</v>
      </c>
      <c r="N11899">
        <v>7608231.6899999985</v>
      </c>
      <c r="O11899">
        <v>133.96</v>
      </c>
    </row>
    <row r="11900" spans="1:15" x14ac:dyDescent="0.35">
      <c r="A11900" t="s">
        <v>11188</v>
      </c>
      <c r="B11900" t="s">
        <v>11188</v>
      </c>
      <c r="C11900" t="s">
        <v>11188</v>
      </c>
      <c r="D11900" t="s">
        <v>339</v>
      </c>
      <c r="E11900" t="s">
        <v>312</v>
      </c>
      <c r="F11900" t="s">
        <v>12738</v>
      </c>
      <c r="G11900">
        <v>34995</v>
      </c>
      <c r="H11900">
        <v>4981690.7100000009</v>
      </c>
      <c r="I11900">
        <v>142.35</v>
      </c>
      <c r="J11900">
        <v>13037</v>
      </c>
      <c r="K11900">
        <v>1441972.69</v>
      </c>
      <c r="L11900">
        <v>110.61</v>
      </c>
      <c r="M11900">
        <v>48032</v>
      </c>
      <c r="N11900">
        <v>6423663.4000000004</v>
      </c>
      <c r="O11900">
        <v>133.74</v>
      </c>
    </row>
    <row r="11901" spans="1:15" x14ac:dyDescent="0.35">
      <c r="A11901" t="s">
        <v>11188</v>
      </c>
      <c r="B11901" t="s">
        <v>11188</v>
      </c>
      <c r="C11901" t="s">
        <v>11188</v>
      </c>
      <c r="D11901" t="s">
        <v>348</v>
      </c>
      <c r="E11901" t="s">
        <v>349</v>
      </c>
      <c r="F11901" t="s">
        <v>12739</v>
      </c>
      <c r="G11901">
        <v>55201</v>
      </c>
      <c r="H11901">
        <v>6751368.1699999999</v>
      </c>
      <c r="I11901">
        <v>147.80000000000001</v>
      </c>
      <c r="J11901">
        <v>13574</v>
      </c>
      <c r="K11901">
        <v>1541152.1200000003</v>
      </c>
      <c r="L11901">
        <v>113.54</v>
      </c>
      <c r="M11901">
        <v>68775</v>
      </c>
      <c r="N11901">
        <v>8292520.29</v>
      </c>
      <c r="O11901">
        <v>139.94999999999999</v>
      </c>
    </row>
    <row r="11902" spans="1:15" x14ac:dyDescent="0.35">
      <c r="A11902" t="s">
        <v>11188</v>
      </c>
      <c r="B11902" t="s">
        <v>11188</v>
      </c>
      <c r="C11902" t="s">
        <v>11188</v>
      </c>
      <c r="D11902" t="s">
        <v>310</v>
      </c>
      <c r="E11902" t="s">
        <v>310</v>
      </c>
      <c r="F11902" t="s">
        <v>12740</v>
      </c>
      <c r="G11902">
        <v>488302</v>
      </c>
      <c r="H11902">
        <v>61434139.040000007</v>
      </c>
      <c r="I11902">
        <v>160.88</v>
      </c>
      <c r="J11902">
        <v>393102</v>
      </c>
      <c r="K11902">
        <v>52795744.160000004</v>
      </c>
      <c r="L11902">
        <v>134.87</v>
      </c>
      <c r="M11902">
        <v>881404</v>
      </c>
      <c r="N11902">
        <v>114229883.20000002</v>
      </c>
      <c r="O11902">
        <v>147.71</v>
      </c>
    </row>
    <row r="11903" spans="1:15" x14ac:dyDescent="0.35">
      <c r="A11903" t="s">
        <v>292</v>
      </c>
      <c r="B11903" t="s">
        <v>292</v>
      </c>
      <c r="C11903" t="s">
        <v>292</v>
      </c>
      <c r="D11903" t="s">
        <v>293</v>
      </c>
      <c r="E11903" t="s">
        <v>294</v>
      </c>
      <c r="F11903" t="s">
        <v>12741</v>
      </c>
      <c r="G11903">
        <v>1132</v>
      </c>
      <c r="H11903">
        <v>117696.11</v>
      </c>
      <c r="I11903">
        <v>103.97</v>
      </c>
      <c r="J11903">
        <v>668</v>
      </c>
      <c r="K11903">
        <v>75697.31</v>
      </c>
      <c r="L11903">
        <v>113.32</v>
      </c>
      <c r="M11903">
        <v>1800</v>
      </c>
      <c r="N11903">
        <v>193393.41999999998</v>
      </c>
      <c r="O11903">
        <v>107.44</v>
      </c>
    </row>
    <row r="11904" spans="1:15" x14ac:dyDescent="0.35">
      <c r="A11904" t="s">
        <v>292</v>
      </c>
      <c r="B11904" t="s">
        <v>292</v>
      </c>
      <c r="C11904" t="s">
        <v>292</v>
      </c>
      <c r="D11904" t="s">
        <v>293</v>
      </c>
      <c r="E11904" t="s">
        <v>296</v>
      </c>
      <c r="F11904" t="s">
        <v>12742</v>
      </c>
      <c r="G11904">
        <v>12418</v>
      </c>
      <c r="H11904">
        <v>1484590.0199999998</v>
      </c>
      <c r="I11904">
        <v>119.55</v>
      </c>
      <c r="J11904">
        <v>1123</v>
      </c>
      <c r="K11904">
        <v>130814.14000000001</v>
      </c>
      <c r="L11904">
        <v>116.49</v>
      </c>
      <c r="M11904">
        <v>13541</v>
      </c>
      <c r="N11904">
        <v>1615404.16</v>
      </c>
      <c r="O11904">
        <v>119.3</v>
      </c>
    </row>
    <row r="11905" spans="1:15" x14ac:dyDescent="0.35">
      <c r="A11905" t="s">
        <v>292</v>
      </c>
      <c r="B11905" t="s">
        <v>292</v>
      </c>
      <c r="C11905" t="s">
        <v>292</v>
      </c>
      <c r="D11905" t="s">
        <v>293</v>
      </c>
      <c r="E11905" t="s">
        <v>298</v>
      </c>
      <c r="F11905" t="s">
        <v>12743</v>
      </c>
      <c r="G11905">
        <v>6555</v>
      </c>
      <c r="H11905">
        <v>870331.94000000018</v>
      </c>
      <c r="I11905">
        <v>132.77000000000001</v>
      </c>
      <c r="J11905">
        <v>553</v>
      </c>
      <c r="K11905">
        <v>71494.100000000006</v>
      </c>
      <c r="L11905">
        <v>129.28</v>
      </c>
      <c r="M11905">
        <v>7108</v>
      </c>
      <c r="N11905">
        <v>941826.04</v>
      </c>
      <c r="O11905">
        <v>132.5</v>
      </c>
    </row>
    <row r="11906" spans="1:15" x14ac:dyDescent="0.35">
      <c r="A11906" t="s">
        <v>292</v>
      </c>
      <c r="B11906" t="s">
        <v>292</v>
      </c>
      <c r="C11906" t="s">
        <v>292</v>
      </c>
      <c r="D11906" t="s">
        <v>293</v>
      </c>
      <c r="E11906" t="s">
        <v>300</v>
      </c>
      <c r="F11906" t="s">
        <v>12744</v>
      </c>
      <c r="G11906">
        <v>464</v>
      </c>
      <c r="H11906">
        <v>69286.73000000001</v>
      </c>
      <c r="I11906">
        <v>149.32</v>
      </c>
      <c r="J11906">
        <v>72</v>
      </c>
      <c r="K11906">
        <v>12156.79</v>
      </c>
      <c r="L11906">
        <v>168.84</v>
      </c>
      <c r="M11906">
        <v>536</v>
      </c>
      <c r="N11906">
        <v>81443.520000000004</v>
      </c>
      <c r="O11906">
        <v>151.94999999999999</v>
      </c>
    </row>
    <row r="11907" spans="1:15" x14ac:dyDescent="0.35">
      <c r="A11907" t="s">
        <v>292</v>
      </c>
      <c r="B11907" t="s">
        <v>292</v>
      </c>
      <c r="C11907" t="s">
        <v>292</v>
      </c>
      <c r="D11907" t="s">
        <v>293</v>
      </c>
      <c r="E11907" t="s">
        <v>302</v>
      </c>
      <c r="F11907" t="s">
        <v>12745</v>
      </c>
      <c r="G11907">
        <v>24</v>
      </c>
      <c r="H11907">
        <v>4043.65</v>
      </c>
      <c r="I11907">
        <v>168.49</v>
      </c>
      <c r="J11907">
        <v>3</v>
      </c>
      <c r="K11907">
        <v>493.36</v>
      </c>
      <c r="L11907">
        <v>164.45</v>
      </c>
      <c r="M11907">
        <v>27</v>
      </c>
      <c r="N11907">
        <v>4537.01</v>
      </c>
      <c r="O11907">
        <v>168.04</v>
      </c>
    </row>
    <row r="11908" spans="1:15" x14ac:dyDescent="0.35">
      <c r="A11908" t="s">
        <v>292</v>
      </c>
      <c r="B11908" t="s">
        <v>292</v>
      </c>
      <c r="C11908" t="s">
        <v>292</v>
      </c>
      <c r="D11908" t="s">
        <v>293</v>
      </c>
      <c r="E11908" t="s">
        <v>304</v>
      </c>
      <c r="F11908" t="s">
        <v>12746</v>
      </c>
      <c r="G11908">
        <v>1</v>
      </c>
      <c r="H11908">
        <v>144</v>
      </c>
      <c r="I11908">
        <v>144</v>
      </c>
      <c r="J11908">
        <v>2</v>
      </c>
      <c r="K11908">
        <v>261.85000000000002</v>
      </c>
      <c r="L11908">
        <v>130.93</v>
      </c>
      <c r="M11908">
        <v>3</v>
      </c>
      <c r="N11908">
        <v>405.84999999999997</v>
      </c>
      <c r="O11908">
        <v>135.28</v>
      </c>
    </row>
    <row r="11909" spans="1:15" x14ac:dyDescent="0.35">
      <c r="A11909" t="s">
        <v>292</v>
      </c>
      <c r="B11909" t="s">
        <v>292</v>
      </c>
      <c r="C11909" t="s">
        <v>292</v>
      </c>
      <c r="D11909" t="s">
        <v>293</v>
      </c>
      <c r="E11909" t="s">
        <v>306</v>
      </c>
      <c r="F11909" t="s">
        <v>12747</v>
      </c>
      <c r="G11909">
        <v>5</v>
      </c>
      <c r="H11909">
        <v>526.96</v>
      </c>
      <c r="I11909">
        <v>105.39</v>
      </c>
      <c r="J11909">
        <v>0</v>
      </c>
      <c r="K11909">
        <v>0</v>
      </c>
      <c r="L11909">
        <v>0</v>
      </c>
      <c r="M11909">
        <v>5</v>
      </c>
      <c r="N11909">
        <v>526.96</v>
      </c>
      <c r="O11909">
        <v>105.39</v>
      </c>
    </row>
    <row r="11910" spans="1:15" x14ac:dyDescent="0.35">
      <c r="A11910" t="s">
        <v>292</v>
      </c>
      <c r="B11910" t="s">
        <v>292</v>
      </c>
      <c r="C11910" t="s">
        <v>292</v>
      </c>
      <c r="D11910" t="s">
        <v>293</v>
      </c>
      <c r="E11910" t="s">
        <v>308</v>
      </c>
      <c r="F11910" t="s">
        <v>12748</v>
      </c>
      <c r="G11910">
        <v>6</v>
      </c>
      <c r="H11910">
        <v>545.16</v>
      </c>
      <c r="I11910">
        <v>90.86</v>
      </c>
      <c r="J11910">
        <v>0</v>
      </c>
      <c r="K11910">
        <v>0</v>
      </c>
      <c r="L11910">
        <v>0</v>
      </c>
      <c r="M11910">
        <v>6</v>
      </c>
      <c r="N11910">
        <v>545.16</v>
      </c>
      <c r="O11910">
        <v>90.86</v>
      </c>
    </row>
    <row r="11911" spans="1:15" x14ac:dyDescent="0.35">
      <c r="A11911" t="s">
        <v>292</v>
      </c>
      <c r="B11911" t="s">
        <v>292</v>
      </c>
      <c r="C11911" t="s">
        <v>292</v>
      </c>
      <c r="D11911" t="s">
        <v>293</v>
      </c>
      <c r="E11911" t="s">
        <v>310</v>
      </c>
      <c r="F11911" t="s">
        <v>12749</v>
      </c>
      <c r="G11911">
        <v>20605</v>
      </c>
      <c r="H11911">
        <v>2547164.5699999998</v>
      </c>
      <c r="I11911">
        <v>123.62</v>
      </c>
      <c r="J11911">
        <v>2421</v>
      </c>
      <c r="K11911">
        <v>290917.55</v>
      </c>
      <c r="L11911">
        <v>120.16</v>
      </c>
      <c r="M11911">
        <v>23026</v>
      </c>
      <c r="N11911">
        <v>2838082.1199999996</v>
      </c>
      <c r="O11911">
        <v>123.26</v>
      </c>
    </row>
    <row r="11912" spans="1:15" x14ac:dyDescent="0.35">
      <c r="A11912" t="s">
        <v>292</v>
      </c>
      <c r="B11912" t="s">
        <v>292</v>
      </c>
      <c r="C11912" t="s">
        <v>292</v>
      </c>
      <c r="D11912" t="s">
        <v>293</v>
      </c>
      <c r="E11912" t="s">
        <v>312</v>
      </c>
      <c r="F11912" t="s">
        <v>12750</v>
      </c>
      <c r="G11912">
        <v>20599</v>
      </c>
      <c r="H11912">
        <v>2546619.4099999997</v>
      </c>
      <c r="I11912">
        <v>123.63</v>
      </c>
      <c r="J11912">
        <v>2421</v>
      </c>
      <c r="K11912">
        <v>290917.55</v>
      </c>
      <c r="L11912">
        <v>120.16</v>
      </c>
      <c r="M11912">
        <v>23020</v>
      </c>
      <c r="N11912">
        <v>2837536.9599999995</v>
      </c>
      <c r="O11912">
        <v>123.26</v>
      </c>
    </row>
    <row r="11913" spans="1:15" x14ac:dyDescent="0.35">
      <c r="A11913" t="s">
        <v>292</v>
      </c>
      <c r="B11913" t="s">
        <v>292</v>
      </c>
      <c r="C11913" t="s">
        <v>292</v>
      </c>
      <c r="D11913" t="s">
        <v>314</v>
      </c>
      <c r="E11913" t="s">
        <v>294</v>
      </c>
      <c r="F11913" t="s">
        <v>12751</v>
      </c>
      <c r="G11913">
        <v>590</v>
      </c>
      <c r="H11913">
        <v>139195.53</v>
      </c>
      <c r="I11913">
        <v>235.92</v>
      </c>
      <c r="J11913">
        <v>536</v>
      </c>
      <c r="K11913">
        <v>97079.999999999985</v>
      </c>
      <c r="L11913">
        <v>181.12</v>
      </c>
      <c r="M11913">
        <v>1126</v>
      </c>
      <c r="N11913">
        <v>236275.52999999997</v>
      </c>
      <c r="O11913">
        <v>209.84</v>
      </c>
    </row>
    <row r="11914" spans="1:15" x14ac:dyDescent="0.35">
      <c r="A11914" t="s">
        <v>292</v>
      </c>
      <c r="B11914" t="s">
        <v>292</v>
      </c>
      <c r="C11914" t="s">
        <v>292</v>
      </c>
      <c r="D11914" t="s">
        <v>314</v>
      </c>
      <c r="E11914" t="s">
        <v>296</v>
      </c>
      <c r="F11914" t="s">
        <v>12752</v>
      </c>
      <c r="G11914">
        <v>1312</v>
      </c>
      <c r="H11914">
        <v>248093.63</v>
      </c>
      <c r="I11914">
        <v>189.1</v>
      </c>
      <c r="J11914">
        <v>290</v>
      </c>
      <c r="K11914">
        <v>57690.81</v>
      </c>
      <c r="L11914">
        <v>198.93</v>
      </c>
      <c r="M11914">
        <v>1602</v>
      </c>
      <c r="N11914">
        <v>305784.44</v>
      </c>
      <c r="O11914">
        <v>190.88</v>
      </c>
    </row>
    <row r="11915" spans="1:15" x14ac:dyDescent="0.35">
      <c r="A11915" t="s">
        <v>292</v>
      </c>
      <c r="B11915" t="s">
        <v>292</v>
      </c>
      <c r="C11915" t="s">
        <v>292</v>
      </c>
      <c r="D11915" t="s">
        <v>314</v>
      </c>
      <c r="E11915" t="s">
        <v>298</v>
      </c>
      <c r="F11915" t="s">
        <v>12753</v>
      </c>
      <c r="G11915">
        <v>42</v>
      </c>
      <c r="H11915">
        <v>6103.19</v>
      </c>
      <c r="I11915">
        <v>145.31</v>
      </c>
      <c r="J11915">
        <v>26</v>
      </c>
      <c r="K11915">
        <v>3518.5699999999997</v>
      </c>
      <c r="L11915">
        <v>135.33000000000001</v>
      </c>
      <c r="M11915">
        <v>68</v>
      </c>
      <c r="N11915">
        <v>9621.7599999999984</v>
      </c>
      <c r="O11915">
        <v>141.5</v>
      </c>
    </row>
    <row r="11916" spans="1:15" x14ac:dyDescent="0.35">
      <c r="A11916" t="s">
        <v>292</v>
      </c>
      <c r="B11916" t="s">
        <v>292</v>
      </c>
      <c r="C11916" t="s">
        <v>292</v>
      </c>
      <c r="D11916" t="s">
        <v>314</v>
      </c>
      <c r="E11916" t="s">
        <v>300</v>
      </c>
      <c r="F11916" t="s">
        <v>12754</v>
      </c>
      <c r="G11916">
        <v>0</v>
      </c>
      <c r="H11916">
        <v>0</v>
      </c>
      <c r="I11916">
        <v>0</v>
      </c>
      <c r="J11916">
        <v>0</v>
      </c>
      <c r="K11916">
        <v>0</v>
      </c>
      <c r="L11916">
        <v>0</v>
      </c>
      <c r="M11916">
        <v>0</v>
      </c>
      <c r="N11916">
        <v>0</v>
      </c>
      <c r="O11916">
        <v>0</v>
      </c>
    </row>
    <row r="11917" spans="1:15" x14ac:dyDescent="0.35">
      <c r="A11917" t="s">
        <v>292</v>
      </c>
      <c r="B11917" t="s">
        <v>292</v>
      </c>
      <c r="C11917" t="s">
        <v>292</v>
      </c>
      <c r="D11917" t="s">
        <v>314</v>
      </c>
      <c r="E11917" t="s">
        <v>306</v>
      </c>
      <c r="F11917" t="s">
        <v>12755</v>
      </c>
      <c r="G11917">
        <v>0</v>
      </c>
      <c r="H11917">
        <v>0</v>
      </c>
      <c r="I11917">
        <v>0</v>
      </c>
      <c r="J11917">
        <v>0</v>
      </c>
      <c r="K11917">
        <v>0</v>
      </c>
      <c r="L11917">
        <v>0</v>
      </c>
      <c r="M11917">
        <v>0</v>
      </c>
      <c r="N11917">
        <v>0</v>
      </c>
      <c r="O11917">
        <v>0</v>
      </c>
    </row>
    <row r="11918" spans="1:15" x14ac:dyDescent="0.35">
      <c r="A11918" t="s">
        <v>292</v>
      </c>
      <c r="B11918" t="s">
        <v>292</v>
      </c>
      <c r="C11918" t="s">
        <v>292</v>
      </c>
      <c r="D11918" t="s">
        <v>314</v>
      </c>
      <c r="E11918" t="s">
        <v>308</v>
      </c>
      <c r="F11918" t="s">
        <v>12756</v>
      </c>
      <c r="G11918">
        <v>51</v>
      </c>
      <c r="H11918">
        <v>11714.539999999999</v>
      </c>
      <c r="I11918">
        <v>229.7</v>
      </c>
      <c r="J11918">
        <v>6</v>
      </c>
      <c r="K11918">
        <v>440.58000000000004</v>
      </c>
      <c r="L11918">
        <v>73.430000000000007</v>
      </c>
      <c r="M11918">
        <v>57</v>
      </c>
      <c r="N11918">
        <v>12155.119999999999</v>
      </c>
      <c r="O11918">
        <v>213.25</v>
      </c>
    </row>
    <row r="11919" spans="1:15" x14ac:dyDescent="0.35">
      <c r="A11919" t="s">
        <v>292</v>
      </c>
      <c r="B11919" t="s">
        <v>292</v>
      </c>
      <c r="C11919" t="s">
        <v>292</v>
      </c>
      <c r="D11919" t="s">
        <v>314</v>
      </c>
      <c r="E11919" t="s">
        <v>312</v>
      </c>
      <c r="F11919" t="s">
        <v>12757</v>
      </c>
      <c r="G11919">
        <v>1944</v>
      </c>
      <c r="H11919">
        <v>393392.35000000003</v>
      </c>
      <c r="I11919">
        <v>202.36</v>
      </c>
      <c r="J11919">
        <v>852</v>
      </c>
      <c r="K11919">
        <v>158289.38000000003</v>
      </c>
      <c r="L11919">
        <v>185.79</v>
      </c>
      <c r="M11919">
        <v>2796</v>
      </c>
      <c r="N11919">
        <v>551681.7300000001</v>
      </c>
      <c r="O11919">
        <v>197.31</v>
      </c>
    </row>
    <row r="11920" spans="1:15" x14ac:dyDescent="0.35">
      <c r="A11920" t="s">
        <v>292</v>
      </c>
      <c r="B11920" t="s">
        <v>292</v>
      </c>
      <c r="C11920" t="s">
        <v>292</v>
      </c>
      <c r="D11920" t="s">
        <v>314</v>
      </c>
      <c r="E11920" t="s">
        <v>310</v>
      </c>
      <c r="F11920" t="s">
        <v>12758</v>
      </c>
      <c r="G11920">
        <v>1995</v>
      </c>
      <c r="H11920">
        <v>405106.89</v>
      </c>
      <c r="I11920">
        <v>203.06</v>
      </c>
      <c r="J11920">
        <v>858</v>
      </c>
      <c r="K11920">
        <v>158729.96000000002</v>
      </c>
      <c r="L11920">
        <v>185</v>
      </c>
      <c r="M11920">
        <v>2853</v>
      </c>
      <c r="N11920">
        <v>563836.85000000009</v>
      </c>
      <c r="O11920">
        <v>197.63</v>
      </c>
    </row>
    <row r="11921" spans="1:15" x14ac:dyDescent="0.35">
      <c r="A11921" t="s">
        <v>292</v>
      </c>
      <c r="B11921" t="s">
        <v>292</v>
      </c>
      <c r="C11921" t="s">
        <v>292</v>
      </c>
      <c r="D11921" t="s">
        <v>323</v>
      </c>
      <c r="E11921" t="s">
        <v>294</v>
      </c>
      <c r="F11921" t="s">
        <v>12759</v>
      </c>
      <c r="G11921">
        <v>32177</v>
      </c>
      <c r="H11921">
        <v>2764759.93</v>
      </c>
      <c r="I11921">
        <v>85.92</v>
      </c>
      <c r="J11921">
        <v>15215</v>
      </c>
      <c r="K11921">
        <v>1202998.28</v>
      </c>
      <c r="L11921">
        <v>79.069999999999993</v>
      </c>
      <c r="M11921">
        <v>47392</v>
      </c>
      <c r="N11921">
        <v>3967758.21</v>
      </c>
      <c r="O11921">
        <v>83.72</v>
      </c>
    </row>
    <row r="11922" spans="1:15" x14ac:dyDescent="0.35">
      <c r="A11922" t="s">
        <v>292</v>
      </c>
      <c r="B11922" t="s">
        <v>292</v>
      </c>
      <c r="C11922" t="s">
        <v>292</v>
      </c>
      <c r="D11922" t="s">
        <v>323</v>
      </c>
      <c r="E11922" t="s">
        <v>296</v>
      </c>
      <c r="F11922" t="s">
        <v>12760</v>
      </c>
      <c r="G11922">
        <v>55374</v>
      </c>
      <c r="H11922">
        <v>5311240.4200000009</v>
      </c>
      <c r="I11922">
        <v>95.92</v>
      </c>
      <c r="J11922">
        <v>31364</v>
      </c>
      <c r="K11922">
        <v>2826036.74</v>
      </c>
      <c r="L11922">
        <v>90.1</v>
      </c>
      <c r="M11922">
        <v>86738</v>
      </c>
      <c r="N11922">
        <v>8137277.1600000001</v>
      </c>
      <c r="O11922">
        <v>93.81</v>
      </c>
    </row>
    <row r="11923" spans="1:15" x14ac:dyDescent="0.35">
      <c r="A11923" t="s">
        <v>292</v>
      </c>
      <c r="B11923" t="s">
        <v>292</v>
      </c>
      <c r="C11923" t="s">
        <v>292</v>
      </c>
      <c r="D11923" t="s">
        <v>323</v>
      </c>
      <c r="E11923" t="s">
        <v>298</v>
      </c>
      <c r="F11923" t="s">
        <v>12761</v>
      </c>
      <c r="G11923">
        <v>46018</v>
      </c>
      <c r="H11923">
        <v>4868348.370000001</v>
      </c>
      <c r="I11923">
        <v>105.79</v>
      </c>
      <c r="J11923">
        <v>29624</v>
      </c>
      <c r="K11923">
        <v>2914829.3000000003</v>
      </c>
      <c r="L11923">
        <v>98.39</v>
      </c>
      <c r="M11923">
        <v>75642</v>
      </c>
      <c r="N11923">
        <v>7783177.6700000009</v>
      </c>
      <c r="O11923">
        <v>102.89</v>
      </c>
    </row>
    <row r="11924" spans="1:15" x14ac:dyDescent="0.35">
      <c r="A11924" t="s">
        <v>292</v>
      </c>
      <c r="B11924" t="s">
        <v>292</v>
      </c>
      <c r="C11924" t="s">
        <v>292</v>
      </c>
      <c r="D11924" t="s">
        <v>323</v>
      </c>
      <c r="E11924" t="s">
        <v>300</v>
      </c>
      <c r="F11924" t="s">
        <v>12762</v>
      </c>
      <c r="G11924">
        <v>2951</v>
      </c>
      <c r="H11924">
        <v>343529.06</v>
      </c>
      <c r="I11924">
        <v>116.41</v>
      </c>
      <c r="J11924">
        <v>1540</v>
      </c>
      <c r="K11924">
        <v>162573.06</v>
      </c>
      <c r="L11924">
        <v>105.57</v>
      </c>
      <c r="M11924">
        <v>4491</v>
      </c>
      <c r="N11924">
        <v>506102.12</v>
      </c>
      <c r="O11924">
        <v>112.69</v>
      </c>
    </row>
    <row r="11925" spans="1:15" x14ac:dyDescent="0.35">
      <c r="A11925" t="s">
        <v>292</v>
      </c>
      <c r="B11925" t="s">
        <v>292</v>
      </c>
      <c r="C11925" t="s">
        <v>292</v>
      </c>
      <c r="D11925" t="s">
        <v>323</v>
      </c>
      <c r="E11925" t="s">
        <v>302</v>
      </c>
      <c r="F11925" t="s">
        <v>12763</v>
      </c>
      <c r="G11925">
        <v>222</v>
      </c>
      <c r="H11925">
        <v>28346.489999999998</v>
      </c>
      <c r="I11925">
        <v>127.69</v>
      </c>
      <c r="J11925">
        <v>77</v>
      </c>
      <c r="K11925">
        <v>8764.9500000000007</v>
      </c>
      <c r="L11925">
        <v>113.83</v>
      </c>
      <c r="M11925">
        <v>299</v>
      </c>
      <c r="N11925">
        <v>37111.440000000002</v>
      </c>
      <c r="O11925">
        <v>124.12</v>
      </c>
    </row>
    <row r="11926" spans="1:15" x14ac:dyDescent="0.35">
      <c r="A11926" t="s">
        <v>292</v>
      </c>
      <c r="B11926" t="s">
        <v>292</v>
      </c>
      <c r="C11926" t="s">
        <v>292</v>
      </c>
      <c r="D11926" t="s">
        <v>323</v>
      </c>
      <c r="E11926" t="s">
        <v>304</v>
      </c>
      <c r="F11926" t="s">
        <v>12764</v>
      </c>
      <c r="G11926">
        <v>20</v>
      </c>
      <c r="H11926">
        <v>2856.5499999999997</v>
      </c>
      <c r="I11926">
        <v>142.83000000000001</v>
      </c>
      <c r="J11926">
        <v>22</v>
      </c>
      <c r="K11926">
        <v>2885.38</v>
      </c>
      <c r="L11926">
        <v>131.15</v>
      </c>
      <c r="M11926">
        <v>42</v>
      </c>
      <c r="N11926">
        <v>5741.9299999999994</v>
      </c>
      <c r="O11926">
        <v>136.71</v>
      </c>
    </row>
    <row r="11927" spans="1:15" x14ac:dyDescent="0.35">
      <c r="A11927" t="s">
        <v>292</v>
      </c>
      <c r="B11927" t="s">
        <v>292</v>
      </c>
      <c r="C11927" t="s">
        <v>292</v>
      </c>
      <c r="D11927" t="s">
        <v>323</v>
      </c>
      <c r="E11927" t="s">
        <v>306</v>
      </c>
      <c r="F11927" t="s">
        <v>12765</v>
      </c>
      <c r="G11927">
        <v>492</v>
      </c>
      <c r="H11927">
        <v>38144.25</v>
      </c>
      <c r="I11927">
        <v>77.53</v>
      </c>
      <c r="J11927">
        <v>273</v>
      </c>
      <c r="K11927">
        <v>19387.589999999997</v>
      </c>
      <c r="L11927">
        <v>71.02</v>
      </c>
      <c r="M11927">
        <v>765</v>
      </c>
      <c r="N11927">
        <v>57531.839999999997</v>
      </c>
      <c r="O11927">
        <v>75.209999999999994</v>
      </c>
    </row>
    <row r="11928" spans="1:15" x14ac:dyDescent="0.35">
      <c r="A11928" t="s">
        <v>292</v>
      </c>
      <c r="B11928" t="s">
        <v>292</v>
      </c>
      <c r="C11928" t="s">
        <v>292</v>
      </c>
      <c r="D11928" t="s">
        <v>323</v>
      </c>
      <c r="E11928" t="s">
        <v>308</v>
      </c>
      <c r="F11928" t="s">
        <v>12766</v>
      </c>
      <c r="G11928">
        <v>2</v>
      </c>
      <c r="H11928">
        <v>159.62</v>
      </c>
      <c r="I11928">
        <v>79.81</v>
      </c>
      <c r="J11928">
        <v>0</v>
      </c>
      <c r="K11928">
        <v>0</v>
      </c>
      <c r="L11928">
        <v>0</v>
      </c>
      <c r="M11928">
        <v>2</v>
      </c>
      <c r="N11928">
        <v>159.62</v>
      </c>
      <c r="O11928">
        <v>79.81</v>
      </c>
    </row>
    <row r="11929" spans="1:15" x14ac:dyDescent="0.35">
      <c r="A11929" t="s">
        <v>292</v>
      </c>
      <c r="B11929" t="s">
        <v>292</v>
      </c>
      <c r="C11929" t="s">
        <v>292</v>
      </c>
      <c r="D11929" t="s">
        <v>323</v>
      </c>
      <c r="E11929" t="s">
        <v>310</v>
      </c>
      <c r="F11929" t="s">
        <v>12767</v>
      </c>
      <c r="G11929">
        <v>137256</v>
      </c>
      <c r="H11929">
        <v>13357384.690000001</v>
      </c>
      <c r="I11929">
        <v>97.32</v>
      </c>
      <c r="J11929">
        <v>78115</v>
      </c>
      <c r="K11929">
        <v>7137475.3000000007</v>
      </c>
      <c r="L11929">
        <v>91.37</v>
      </c>
      <c r="M11929">
        <v>215371</v>
      </c>
      <c r="N11929">
        <v>20494859.990000002</v>
      </c>
      <c r="O11929">
        <v>95.16</v>
      </c>
    </row>
    <row r="11930" spans="1:15" x14ac:dyDescent="0.35">
      <c r="A11930" t="s">
        <v>292</v>
      </c>
      <c r="B11930" t="s">
        <v>292</v>
      </c>
      <c r="C11930" t="s">
        <v>292</v>
      </c>
      <c r="D11930" t="s">
        <v>323</v>
      </c>
      <c r="E11930" t="s">
        <v>312</v>
      </c>
      <c r="F11930" t="s">
        <v>12768</v>
      </c>
      <c r="G11930">
        <v>137254</v>
      </c>
      <c r="H11930">
        <v>13357225.07</v>
      </c>
      <c r="I11930">
        <v>97.32</v>
      </c>
      <c r="J11930">
        <v>78115</v>
      </c>
      <c r="K11930">
        <v>7137475.3000000007</v>
      </c>
      <c r="L11930">
        <v>91.37</v>
      </c>
      <c r="M11930">
        <v>215369</v>
      </c>
      <c r="N11930">
        <v>20494700.370000001</v>
      </c>
      <c r="O11930">
        <v>95.16</v>
      </c>
    </row>
    <row r="11931" spans="1:15" x14ac:dyDescent="0.35">
      <c r="A11931" t="s">
        <v>292</v>
      </c>
      <c r="B11931" t="s">
        <v>292</v>
      </c>
      <c r="C11931" t="s">
        <v>292</v>
      </c>
      <c r="D11931" t="s">
        <v>334</v>
      </c>
      <c r="E11931" t="s">
        <v>312</v>
      </c>
      <c r="F11931" t="s">
        <v>12769</v>
      </c>
      <c r="G11931">
        <v>160993</v>
      </c>
      <c r="H11931">
        <v>15903844.480000004</v>
      </c>
      <c r="I11931">
        <v>100.75</v>
      </c>
      <c r="J11931">
        <v>80536</v>
      </c>
      <c r="K11931">
        <v>7428392.8500000006</v>
      </c>
      <c r="L11931">
        <v>92.24</v>
      </c>
      <c r="M11931">
        <v>241529</v>
      </c>
      <c r="N11931">
        <v>23332237.330000006</v>
      </c>
      <c r="O11931">
        <v>97.87</v>
      </c>
    </row>
    <row r="11932" spans="1:15" x14ac:dyDescent="0.35">
      <c r="A11932" t="s">
        <v>292</v>
      </c>
      <c r="B11932" t="s">
        <v>292</v>
      </c>
      <c r="C11932" t="s">
        <v>292</v>
      </c>
      <c r="D11932" t="s">
        <v>334</v>
      </c>
      <c r="E11932" t="s">
        <v>308</v>
      </c>
      <c r="F11932" t="s">
        <v>12770</v>
      </c>
      <c r="G11932">
        <v>139</v>
      </c>
      <c r="H11932">
        <v>704.78</v>
      </c>
      <c r="I11932">
        <v>88.1</v>
      </c>
      <c r="J11932">
        <v>0</v>
      </c>
      <c r="K11932">
        <v>0</v>
      </c>
      <c r="L11932">
        <v>0</v>
      </c>
      <c r="M11932">
        <v>139</v>
      </c>
      <c r="N11932">
        <v>704.78</v>
      </c>
      <c r="O11932">
        <v>88.1</v>
      </c>
    </row>
    <row r="11933" spans="1:15" x14ac:dyDescent="0.35">
      <c r="A11933" t="s">
        <v>292</v>
      </c>
      <c r="B11933" t="s">
        <v>292</v>
      </c>
      <c r="C11933" t="s">
        <v>292</v>
      </c>
      <c r="D11933" t="s">
        <v>337</v>
      </c>
      <c r="E11933" t="s">
        <v>337</v>
      </c>
      <c r="F11933" t="s">
        <v>12771</v>
      </c>
      <c r="G11933">
        <v>5438</v>
      </c>
      <c r="J11933">
        <v>14</v>
      </c>
      <c r="M11933">
        <v>5452</v>
      </c>
    </row>
    <row r="11934" spans="1:15" x14ac:dyDescent="0.35">
      <c r="A11934" t="s">
        <v>292</v>
      </c>
      <c r="B11934" t="s">
        <v>292</v>
      </c>
      <c r="C11934" t="s">
        <v>292</v>
      </c>
      <c r="D11934" t="s">
        <v>339</v>
      </c>
      <c r="E11934" t="s">
        <v>294</v>
      </c>
      <c r="F11934" t="s">
        <v>12772</v>
      </c>
      <c r="G11934">
        <v>11227</v>
      </c>
      <c r="H11934">
        <v>1180935.93</v>
      </c>
      <c r="I11934">
        <v>105.19</v>
      </c>
      <c r="J11934">
        <v>4127</v>
      </c>
      <c r="K11934">
        <v>339178.58999999997</v>
      </c>
      <c r="L11934">
        <v>82.19</v>
      </c>
      <c r="M11934">
        <v>15354</v>
      </c>
      <c r="N11934">
        <v>1520114.52</v>
      </c>
      <c r="O11934">
        <v>99</v>
      </c>
    </row>
    <row r="11935" spans="1:15" x14ac:dyDescent="0.35">
      <c r="A11935" t="s">
        <v>292</v>
      </c>
      <c r="B11935" t="s">
        <v>292</v>
      </c>
      <c r="C11935" t="s">
        <v>292</v>
      </c>
      <c r="D11935" t="s">
        <v>339</v>
      </c>
      <c r="E11935" t="s">
        <v>296</v>
      </c>
      <c r="F11935" t="s">
        <v>12773</v>
      </c>
      <c r="G11935">
        <v>5268</v>
      </c>
      <c r="H11935">
        <v>606086.25</v>
      </c>
      <c r="I11935">
        <v>115.05</v>
      </c>
      <c r="J11935">
        <v>972</v>
      </c>
      <c r="K11935">
        <v>92108.260000000009</v>
      </c>
      <c r="L11935">
        <v>94.76</v>
      </c>
      <c r="M11935">
        <v>6240</v>
      </c>
      <c r="N11935">
        <v>698194.51</v>
      </c>
      <c r="O11935">
        <v>111.89</v>
      </c>
    </row>
    <row r="11936" spans="1:15" x14ac:dyDescent="0.35">
      <c r="A11936" t="s">
        <v>292</v>
      </c>
      <c r="B11936" t="s">
        <v>292</v>
      </c>
      <c r="C11936" t="s">
        <v>292</v>
      </c>
      <c r="D11936" t="s">
        <v>339</v>
      </c>
      <c r="E11936" t="s">
        <v>298</v>
      </c>
      <c r="F11936" t="s">
        <v>12774</v>
      </c>
      <c r="G11936">
        <v>302</v>
      </c>
      <c r="H11936">
        <v>39219.079999999994</v>
      </c>
      <c r="I11936">
        <v>129.86000000000001</v>
      </c>
      <c r="J11936">
        <v>52</v>
      </c>
      <c r="K11936">
        <v>5335.3700000000008</v>
      </c>
      <c r="L11936">
        <v>102.6</v>
      </c>
      <c r="M11936">
        <v>354</v>
      </c>
      <c r="N11936">
        <v>44554.45</v>
      </c>
      <c r="O11936">
        <v>125.86</v>
      </c>
    </row>
    <row r="11937" spans="1:15" x14ac:dyDescent="0.35">
      <c r="A11937" t="s">
        <v>292</v>
      </c>
      <c r="B11937" t="s">
        <v>292</v>
      </c>
      <c r="C11937" t="s">
        <v>292</v>
      </c>
      <c r="D11937" t="s">
        <v>339</v>
      </c>
      <c r="E11937" t="s">
        <v>300</v>
      </c>
      <c r="F11937" t="s">
        <v>12775</v>
      </c>
      <c r="G11937">
        <v>14</v>
      </c>
      <c r="H11937">
        <v>2195.2800000000002</v>
      </c>
      <c r="I11937">
        <v>156.81</v>
      </c>
      <c r="J11937">
        <v>1</v>
      </c>
      <c r="K11937">
        <v>118.21</v>
      </c>
      <c r="L11937">
        <v>118.21</v>
      </c>
      <c r="M11937">
        <v>15</v>
      </c>
      <c r="N11937">
        <v>2313.4900000000002</v>
      </c>
      <c r="O11937">
        <v>154.22999999999999</v>
      </c>
    </row>
    <row r="11938" spans="1:15" x14ac:dyDescent="0.35">
      <c r="A11938" t="s">
        <v>292</v>
      </c>
      <c r="B11938" t="s">
        <v>292</v>
      </c>
      <c r="C11938" t="s">
        <v>292</v>
      </c>
      <c r="D11938" t="s">
        <v>339</v>
      </c>
      <c r="E11938" t="s">
        <v>302</v>
      </c>
      <c r="F11938" t="s">
        <v>12776</v>
      </c>
      <c r="G11938">
        <v>0</v>
      </c>
      <c r="H11938">
        <v>0</v>
      </c>
      <c r="I11938">
        <v>0</v>
      </c>
      <c r="J11938">
        <v>0</v>
      </c>
      <c r="K11938">
        <v>0</v>
      </c>
      <c r="L11938">
        <v>0</v>
      </c>
      <c r="M11938">
        <v>0</v>
      </c>
      <c r="N11938">
        <v>0</v>
      </c>
      <c r="O11938">
        <v>0</v>
      </c>
    </row>
    <row r="11939" spans="1:15" x14ac:dyDescent="0.35">
      <c r="A11939" t="s">
        <v>292</v>
      </c>
      <c r="B11939" t="s">
        <v>292</v>
      </c>
      <c r="C11939" t="s">
        <v>292</v>
      </c>
      <c r="D11939" t="s">
        <v>339</v>
      </c>
      <c r="E11939" t="s">
        <v>304</v>
      </c>
      <c r="F11939" t="s">
        <v>12777</v>
      </c>
      <c r="G11939">
        <v>0</v>
      </c>
      <c r="H11939">
        <v>0</v>
      </c>
      <c r="I11939">
        <v>0</v>
      </c>
      <c r="J11939">
        <v>0</v>
      </c>
      <c r="K11939">
        <v>0</v>
      </c>
      <c r="L11939">
        <v>0</v>
      </c>
      <c r="M11939">
        <v>0</v>
      </c>
      <c r="N11939">
        <v>0</v>
      </c>
      <c r="O11939">
        <v>0</v>
      </c>
    </row>
    <row r="11940" spans="1:15" x14ac:dyDescent="0.35">
      <c r="A11940" t="s">
        <v>292</v>
      </c>
      <c r="B11940" t="s">
        <v>292</v>
      </c>
      <c r="C11940" t="s">
        <v>292</v>
      </c>
      <c r="D11940" t="s">
        <v>339</v>
      </c>
      <c r="E11940" t="s">
        <v>306</v>
      </c>
      <c r="F11940" t="s">
        <v>12778</v>
      </c>
      <c r="G11940">
        <v>1689</v>
      </c>
      <c r="H11940">
        <v>141720.65</v>
      </c>
      <c r="I11940">
        <v>83.91</v>
      </c>
      <c r="J11940">
        <v>68</v>
      </c>
      <c r="K11940">
        <v>4941.32</v>
      </c>
      <c r="L11940">
        <v>72.67</v>
      </c>
      <c r="M11940">
        <v>1757</v>
      </c>
      <c r="N11940">
        <v>146661.97</v>
      </c>
      <c r="O11940">
        <v>83.47</v>
      </c>
    </row>
    <row r="11941" spans="1:15" x14ac:dyDescent="0.35">
      <c r="A11941" t="s">
        <v>292</v>
      </c>
      <c r="B11941" t="s">
        <v>292</v>
      </c>
      <c r="C11941" t="s">
        <v>292</v>
      </c>
      <c r="D11941" t="s">
        <v>339</v>
      </c>
      <c r="E11941" t="s">
        <v>308</v>
      </c>
      <c r="F11941" t="s">
        <v>12779</v>
      </c>
      <c r="G11941">
        <v>2164</v>
      </c>
      <c r="H11941">
        <v>325140.28999999992</v>
      </c>
      <c r="I11941">
        <v>150.25</v>
      </c>
      <c r="J11941">
        <v>39</v>
      </c>
      <c r="K11941">
        <v>2218.6799999999998</v>
      </c>
      <c r="L11941">
        <v>56.89</v>
      </c>
      <c r="M11941">
        <v>2203</v>
      </c>
      <c r="N11941">
        <v>327358.96999999991</v>
      </c>
      <c r="O11941">
        <v>148.6</v>
      </c>
    </row>
    <row r="11942" spans="1:15" x14ac:dyDescent="0.35">
      <c r="A11942" t="s">
        <v>292</v>
      </c>
      <c r="B11942" t="s">
        <v>292</v>
      </c>
      <c r="C11942" t="s">
        <v>292</v>
      </c>
      <c r="D11942" t="s">
        <v>339</v>
      </c>
      <c r="E11942" t="s">
        <v>310</v>
      </c>
      <c r="F11942" t="s">
        <v>12780</v>
      </c>
      <c r="G11942">
        <v>20664</v>
      </c>
      <c r="H11942">
        <v>2295297.48</v>
      </c>
      <c r="I11942">
        <v>111.08</v>
      </c>
      <c r="J11942">
        <v>5259</v>
      </c>
      <c r="K11942">
        <v>443900.43</v>
      </c>
      <c r="L11942">
        <v>84.41</v>
      </c>
      <c r="M11942">
        <v>25923</v>
      </c>
      <c r="N11942">
        <v>2739197.91</v>
      </c>
      <c r="O11942">
        <v>105.67</v>
      </c>
    </row>
    <row r="11943" spans="1:15" x14ac:dyDescent="0.35">
      <c r="A11943" t="s">
        <v>292</v>
      </c>
      <c r="B11943" t="s">
        <v>292</v>
      </c>
      <c r="C11943" t="s">
        <v>292</v>
      </c>
      <c r="D11943" t="s">
        <v>339</v>
      </c>
      <c r="E11943" t="s">
        <v>312</v>
      </c>
      <c r="F11943" t="s">
        <v>12781</v>
      </c>
      <c r="G11943">
        <v>18500</v>
      </c>
      <c r="H11943">
        <v>1970157.19</v>
      </c>
      <c r="I11943">
        <v>106.49</v>
      </c>
      <c r="J11943">
        <v>5220</v>
      </c>
      <c r="K11943">
        <v>441681.75</v>
      </c>
      <c r="L11943">
        <v>84.61</v>
      </c>
      <c r="M11943">
        <v>23720</v>
      </c>
      <c r="N11943">
        <v>2411838.94</v>
      </c>
      <c r="O11943">
        <v>101.68</v>
      </c>
    </row>
    <row r="11944" spans="1:15" x14ac:dyDescent="0.35">
      <c r="A11944" t="s">
        <v>292</v>
      </c>
      <c r="B11944" t="s">
        <v>292</v>
      </c>
      <c r="C11944" t="s">
        <v>292</v>
      </c>
      <c r="D11944" t="s">
        <v>348</v>
      </c>
      <c r="E11944" t="s">
        <v>349</v>
      </c>
      <c r="F11944" t="s">
        <v>12782</v>
      </c>
      <c r="G11944">
        <v>24846</v>
      </c>
      <c r="H11944">
        <v>2700404.3699999996</v>
      </c>
      <c r="I11944">
        <v>119.18</v>
      </c>
      <c r="J11944">
        <v>6117</v>
      </c>
      <c r="K11944">
        <v>602630.3899999999</v>
      </c>
      <c r="L11944">
        <v>98.52</v>
      </c>
      <c r="M11944">
        <v>30963</v>
      </c>
      <c r="N11944">
        <v>3303034.76</v>
      </c>
      <c r="O11944">
        <v>114.78</v>
      </c>
    </row>
    <row r="11945" spans="1:15" x14ac:dyDescent="0.35">
      <c r="A11945" t="s">
        <v>292</v>
      </c>
      <c r="B11945" t="s">
        <v>292</v>
      </c>
      <c r="C11945" t="s">
        <v>292</v>
      </c>
      <c r="D11945" t="s">
        <v>310</v>
      </c>
      <c r="E11945" t="s">
        <v>310</v>
      </c>
      <c r="F11945" t="s">
        <v>12783</v>
      </c>
      <c r="G11945">
        <v>191416</v>
      </c>
      <c r="H11945">
        <v>18604953.630000003</v>
      </c>
      <c r="I11945">
        <v>103.06</v>
      </c>
      <c r="J11945">
        <v>86667</v>
      </c>
      <c r="K11945">
        <v>8031023.2400000002</v>
      </c>
      <c r="L11945">
        <v>92.68</v>
      </c>
      <c r="M11945">
        <v>278083</v>
      </c>
      <c r="N11945">
        <v>26635976.870000005</v>
      </c>
      <c r="O11945">
        <v>99.7</v>
      </c>
    </row>
    <row r="11946" spans="1:15" x14ac:dyDescent="0.35">
      <c r="A11946" t="s">
        <v>520</v>
      </c>
      <c r="B11946" t="s">
        <v>520</v>
      </c>
      <c r="C11946" t="s">
        <v>520</v>
      </c>
      <c r="D11946" t="s">
        <v>293</v>
      </c>
      <c r="E11946" t="s">
        <v>294</v>
      </c>
      <c r="F11946" t="s">
        <v>12784</v>
      </c>
      <c r="G11946">
        <v>8357</v>
      </c>
      <c r="H11946">
        <v>934186.78999999969</v>
      </c>
      <c r="I11946">
        <v>111.78</v>
      </c>
      <c r="J11946">
        <v>576</v>
      </c>
      <c r="K11946">
        <v>60580.76</v>
      </c>
      <c r="L11946">
        <v>105.17</v>
      </c>
      <c r="M11946">
        <v>8933</v>
      </c>
      <c r="N11946">
        <v>994767.5499999997</v>
      </c>
      <c r="O11946">
        <v>111.36</v>
      </c>
    </row>
    <row r="11947" spans="1:15" x14ac:dyDescent="0.35">
      <c r="A11947" t="s">
        <v>520</v>
      </c>
      <c r="B11947" t="s">
        <v>520</v>
      </c>
      <c r="C11947" t="s">
        <v>520</v>
      </c>
      <c r="D11947" t="s">
        <v>293</v>
      </c>
      <c r="E11947" t="s">
        <v>296</v>
      </c>
      <c r="F11947" t="s">
        <v>12785</v>
      </c>
      <c r="G11947">
        <v>29979</v>
      </c>
      <c r="H11947">
        <v>3889434.2600000007</v>
      </c>
      <c r="I11947">
        <v>129.74</v>
      </c>
      <c r="J11947">
        <v>1099</v>
      </c>
      <c r="K11947">
        <v>140275.99999999997</v>
      </c>
      <c r="L11947">
        <v>127.64</v>
      </c>
      <c r="M11947">
        <v>31078</v>
      </c>
      <c r="N11947">
        <v>4029710.26</v>
      </c>
      <c r="O11947">
        <v>129.66</v>
      </c>
    </row>
    <row r="11948" spans="1:15" x14ac:dyDescent="0.35">
      <c r="A11948" t="s">
        <v>520</v>
      </c>
      <c r="B11948" t="s">
        <v>520</v>
      </c>
      <c r="C11948" t="s">
        <v>520</v>
      </c>
      <c r="D11948" t="s">
        <v>293</v>
      </c>
      <c r="E11948" t="s">
        <v>298</v>
      </c>
      <c r="F11948" t="s">
        <v>12786</v>
      </c>
      <c r="G11948">
        <v>22564</v>
      </c>
      <c r="H11948">
        <v>3186491.4</v>
      </c>
      <c r="I11948">
        <v>141.22</v>
      </c>
      <c r="J11948">
        <v>728</v>
      </c>
      <c r="K11948">
        <v>100004.72</v>
      </c>
      <c r="L11948">
        <v>137.37</v>
      </c>
      <c r="M11948">
        <v>23292</v>
      </c>
      <c r="N11948">
        <v>3286496.12</v>
      </c>
      <c r="O11948">
        <v>141.1</v>
      </c>
    </row>
    <row r="11949" spans="1:15" x14ac:dyDescent="0.35">
      <c r="A11949" t="s">
        <v>520</v>
      </c>
      <c r="B11949" t="s">
        <v>520</v>
      </c>
      <c r="C11949" t="s">
        <v>520</v>
      </c>
      <c r="D11949" t="s">
        <v>293</v>
      </c>
      <c r="E11949" t="s">
        <v>300</v>
      </c>
      <c r="F11949" t="s">
        <v>12787</v>
      </c>
      <c r="G11949">
        <v>2013</v>
      </c>
      <c r="H11949">
        <v>331037.29000000004</v>
      </c>
      <c r="I11949">
        <v>164.45</v>
      </c>
      <c r="J11949">
        <v>54</v>
      </c>
      <c r="K11949">
        <v>9355.75</v>
      </c>
      <c r="L11949">
        <v>173.25</v>
      </c>
      <c r="M11949">
        <v>2067</v>
      </c>
      <c r="N11949">
        <v>340393.04000000004</v>
      </c>
      <c r="O11949">
        <v>164.68</v>
      </c>
    </row>
    <row r="11950" spans="1:15" x14ac:dyDescent="0.35">
      <c r="A11950" t="s">
        <v>520</v>
      </c>
      <c r="B11950" t="s">
        <v>520</v>
      </c>
      <c r="C11950" t="s">
        <v>520</v>
      </c>
      <c r="D11950" t="s">
        <v>293</v>
      </c>
      <c r="E11950" t="s">
        <v>302</v>
      </c>
      <c r="F11950" t="s">
        <v>12788</v>
      </c>
      <c r="G11950">
        <v>100</v>
      </c>
      <c r="H11950">
        <v>16813.12</v>
      </c>
      <c r="I11950">
        <v>168.13</v>
      </c>
      <c r="J11950">
        <v>33</v>
      </c>
      <c r="K11950">
        <v>5592.55</v>
      </c>
      <c r="L11950">
        <v>169.47</v>
      </c>
      <c r="M11950">
        <v>133</v>
      </c>
      <c r="N11950">
        <v>22405.669999999995</v>
      </c>
      <c r="O11950">
        <v>168.46</v>
      </c>
    </row>
    <row r="11951" spans="1:15" x14ac:dyDescent="0.35">
      <c r="A11951" t="s">
        <v>520</v>
      </c>
      <c r="B11951" t="s">
        <v>520</v>
      </c>
      <c r="C11951" t="s">
        <v>520</v>
      </c>
      <c r="D11951" t="s">
        <v>293</v>
      </c>
      <c r="E11951" t="s">
        <v>304</v>
      </c>
      <c r="F11951" t="s">
        <v>12789</v>
      </c>
      <c r="G11951">
        <v>11</v>
      </c>
      <c r="H11951">
        <v>2613</v>
      </c>
      <c r="I11951">
        <v>237.55</v>
      </c>
      <c r="J11951">
        <v>4</v>
      </c>
      <c r="K11951">
        <v>614.32000000000005</v>
      </c>
      <c r="L11951">
        <v>153.58000000000001</v>
      </c>
      <c r="M11951">
        <v>15</v>
      </c>
      <c r="N11951">
        <v>3227.32</v>
      </c>
      <c r="O11951">
        <v>215.15</v>
      </c>
    </row>
    <row r="11952" spans="1:15" x14ac:dyDescent="0.35">
      <c r="A11952" t="s">
        <v>520</v>
      </c>
      <c r="B11952" t="s">
        <v>520</v>
      </c>
      <c r="C11952" t="s">
        <v>520</v>
      </c>
      <c r="D11952" t="s">
        <v>293</v>
      </c>
      <c r="E11952" t="s">
        <v>306</v>
      </c>
      <c r="F11952" t="s">
        <v>12790</v>
      </c>
      <c r="G11952">
        <v>5</v>
      </c>
      <c r="H11952">
        <v>490.78999999999996</v>
      </c>
      <c r="I11952">
        <v>98.16</v>
      </c>
      <c r="J11952">
        <v>0</v>
      </c>
      <c r="K11952">
        <v>0</v>
      </c>
      <c r="L11952">
        <v>0</v>
      </c>
      <c r="M11952">
        <v>5</v>
      </c>
      <c r="N11952">
        <v>490.78999999999996</v>
      </c>
      <c r="O11952">
        <v>98.16</v>
      </c>
    </row>
    <row r="11953" spans="1:15" x14ac:dyDescent="0.35">
      <c r="A11953" t="s">
        <v>520</v>
      </c>
      <c r="B11953" t="s">
        <v>520</v>
      </c>
      <c r="C11953" t="s">
        <v>520</v>
      </c>
      <c r="D11953" t="s">
        <v>293</v>
      </c>
      <c r="E11953" t="s">
        <v>308</v>
      </c>
      <c r="F11953" t="s">
        <v>12791</v>
      </c>
      <c r="G11953">
        <v>12</v>
      </c>
      <c r="H11953">
        <v>1552.1399999999999</v>
      </c>
      <c r="I11953">
        <v>129.35</v>
      </c>
      <c r="J11953">
        <v>0</v>
      </c>
      <c r="K11953">
        <v>0</v>
      </c>
      <c r="L11953">
        <v>0</v>
      </c>
      <c r="M11953">
        <v>12</v>
      </c>
      <c r="N11953">
        <v>1552.1399999999999</v>
      </c>
      <c r="O11953">
        <v>129.35</v>
      </c>
    </row>
    <row r="11954" spans="1:15" x14ac:dyDescent="0.35">
      <c r="A11954" t="s">
        <v>520</v>
      </c>
      <c r="B11954" t="s">
        <v>520</v>
      </c>
      <c r="C11954" t="s">
        <v>520</v>
      </c>
      <c r="D11954" t="s">
        <v>293</v>
      </c>
      <c r="E11954" t="s">
        <v>310</v>
      </c>
      <c r="F11954" t="s">
        <v>12792</v>
      </c>
      <c r="G11954">
        <v>63041</v>
      </c>
      <c r="H11954">
        <v>8362618.790000001</v>
      </c>
      <c r="I11954">
        <v>132.65</v>
      </c>
      <c r="J11954">
        <v>2494</v>
      </c>
      <c r="K11954">
        <v>316424.09999999998</v>
      </c>
      <c r="L11954">
        <v>126.87</v>
      </c>
      <c r="M11954">
        <v>65535</v>
      </c>
      <c r="N11954">
        <v>8679042.8900000006</v>
      </c>
      <c r="O11954">
        <v>132.43</v>
      </c>
    </row>
    <row r="11955" spans="1:15" x14ac:dyDescent="0.35">
      <c r="A11955" t="s">
        <v>520</v>
      </c>
      <c r="B11955" t="s">
        <v>520</v>
      </c>
      <c r="C11955" t="s">
        <v>520</v>
      </c>
      <c r="D11955" t="s">
        <v>293</v>
      </c>
      <c r="E11955" t="s">
        <v>312</v>
      </c>
      <c r="F11955" t="s">
        <v>12793</v>
      </c>
      <c r="G11955">
        <v>63029</v>
      </c>
      <c r="H11955">
        <v>8361066.6500000004</v>
      </c>
      <c r="I11955">
        <v>132.65</v>
      </c>
      <c r="J11955">
        <v>2494</v>
      </c>
      <c r="K11955">
        <v>316424.09999999998</v>
      </c>
      <c r="L11955">
        <v>126.87</v>
      </c>
      <c r="M11955">
        <v>65523</v>
      </c>
      <c r="N11955">
        <v>8677490.75</v>
      </c>
      <c r="O11955">
        <v>132.43</v>
      </c>
    </row>
    <row r="11956" spans="1:15" x14ac:dyDescent="0.35">
      <c r="A11956" t="s">
        <v>520</v>
      </c>
      <c r="B11956" t="s">
        <v>520</v>
      </c>
      <c r="C11956" t="s">
        <v>520</v>
      </c>
      <c r="D11956" t="s">
        <v>314</v>
      </c>
      <c r="E11956" t="s">
        <v>294</v>
      </c>
      <c r="F11956" t="s">
        <v>12794</v>
      </c>
      <c r="G11956">
        <v>1964</v>
      </c>
      <c r="H11956">
        <v>398530.46</v>
      </c>
      <c r="I11956">
        <v>202.92</v>
      </c>
      <c r="J11956">
        <v>544</v>
      </c>
      <c r="K11956">
        <v>100918.61000000002</v>
      </c>
      <c r="L11956">
        <v>185.51</v>
      </c>
      <c r="M11956">
        <v>2508</v>
      </c>
      <c r="N11956">
        <v>499449.07000000007</v>
      </c>
      <c r="O11956">
        <v>199.14</v>
      </c>
    </row>
    <row r="11957" spans="1:15" x14ac:dyDescent="0.35">
      <c r="A11957" t="s">
        <v>520</v>
      </c>
      <c r="B11957" t="s">
        <v>520</v>
      </c>
      <c r="C11957" t="s">
        <v>520</v>
      </c>
      <c r="D11957" t="s">
        <v>314</v>
      </c>
      <c r="E11957" t="s">
        <v>296</v>
      </c>
      <c r="F11957" t="s">
        <v>12795</v>
      </c>
      <c r="G11957">
        <v>1542</v>
      </c>
      <c r="H11957">
        <v>314016.66000000003</v>
      </c>
      <c r="I11957">
        <v>203.64</v>
      </c>
      <c r="J11957">
        <v>138</v>
      </c>
      <c r="K11957">
        <v>27392.150000000005</v>
      </c>
      <c r="L11957">
        <v>198.49</v>
      </c>
      <c r="M11957">
        <v>1680</v>
      </c>
      <c r="N11957">
        <v>341408.81000000006</v>
      </c>
      <c r="O11957">
        <v>203.22</v>
      </c>
    </row>
    <row r="11958" spans="1:15" x14ac:dyDescent="0.35">
      <c r="A11958" t="s">
        <v>520</v>
      </c>
      <c r="B11958" t="s">
        <v>520</v>
      </c>
      <c r="C11958" t="s">
        <v>520</v>
      </c>
      <c r="D11958" t="s">
        <v>314</v>
      </c>
      <c r="E11958" t="s">
        <v>298</v>
      </c>
      <c r="F11958" t="s">
        <v>12796</v>
      </c>
      <c r="G11958">
        <v>8</v>
      </c>
      <c r="H11958">
        <v>2054.89</v>
      </c>
      <c r="I11958">
        <v>256.86</v>
      </c>
      <c r="J11958">
        <v>0</v>
      </c>
      <c r="K11958">
        <v>0</v>
      </c>
      <c r="L11958">
        <v>0</v>
      </c>
      <c r="M11958">
        <v>8</v>
      </c>
      <c r="N11958">
        <v>2054.89</v>
      </c>
      <c r="O11958">
        <v>256.86</v>
      </c>
    </row>
    <row r="11959" spans="1:15" x14ac:dyDescent="0.35">
      <c r="A11959" t="s">
        <v>520</v>
      </c>
      <c r="B11959" t="s">
        <v>520</v>
      </c>
      <c r="C11959" t="s">
        <v>520</v>
      </c>
      <c r="D11959" t="s">
        <v>314</v>
      </c>
      <c r="E11959" t="s">
        <v>300</v>
      </c>
      <c r="F11959" t="s">
        <v>12797</v>
      </c>
      <c r="G11959">
        <v>11</v>
      </c>
      <c r="H11959">
        <v>2536.34</v>
      </c>
      <c r="I11959">
        <v>230.58</v>
      </c>
      <c r="J11959">
        <v>0</v>
      </c>
      <c r="K11959">
        <v>0</v>
      </c>
      <c r="L11959">
        <v>0</v>
      </c>
      <c r="M11959">
        <v>11</v>
      </c>
      <c r="N11959">
        <v>2536.34</v>
      </c>
      <c r="O11959">
        <v>230.58</v>
      </c>
    </row>
    <row r="11960" spans="1:15" x14ac:dyDescent="0.35">
      <c r="A11960" t="s">
        <v>520</v>
      </c>
      <c r="B11960" t="s">
        <v>520</v>
      </c>
      <c r="C11960" t="s">
        <v>520</v>
      </c>
      <c r="D11960" t="s">
        <v>314</v>
      </c>
      <c r="E11960" t="s">
        <v>306</v>
      </c>
      <c r="F11960" t="s">
        <v>12798</v>
      </c>
      <c r="G11960">
        <v>83</v>
      </c>
      <c r="H11960">
        <v>24523.86</v>
      </c>
      <c r="I11960">
        <v>295.47000000000003</v>
      </c>
      <c r="J11960">
        <v>10</v>
      </c>
      <c r="K11960">
        <v>3299.9</v>
      </c>
      <c r="L11960">
        <v>329.99</v>
      </c>
      <c r="M11960">
        <v>93</v>
      </c>
      <c r="N11960">
        <v>27823.760000000002</v>
      </c>
      <c r="O11960">
        <v>299.18</v>
      </c>
    </row>
    <row r="11961" spans="1:15" x14ac:dyDescent="0.35">
      <c r="A11961" t="s">
        <v>520</v>
      </c>
      <c r="B11961" t="s">
        <v>520</v>
      </c>
      <c r="C11961" t="s">
        <v>520</v>
      </c>
      <c r="D11961" t="s">
        <v>314</v>
      </c>
      <c r="E11961" t="s">
        <v>308</v>
      </c>
      <c r="F11961" t="s">
        <v>12799</v>
      </c>
      <c r="G11961">
        <v>107</v>
      </c>
      <c r="H11961">
        <v>27442.649999999998</v>
      </c>
      <c r="I11961">
        <v>256.47000000000003</v>
      </c>
      <c r="J11961">
        <v>0</v>
      </c>
      <c r="K11961">
        <v>0</v>
      </c>
      <c r="L11961">
        <v>0</v>
      </c>
      <c r="M11961">
        <v>107</v>
      </c>
      <c r="N11961">
        <v>27442.649999999998</v>
      </c>
      <c r="O11961">
        <v>256.47000000000003</v>
      </c>
    </row>
    <row r="11962" spans="1:15" x14ac:dyDescent="0.35">
      <c r="A11962" t="s">
        <v>520</v>
      </c>
      <c r="B11962" t="s">
        <v>520</v>
      </c>
      <c r="C11962" t="s">
        <v>520</v>
      </c>
      <c r="D11962" t="s">
        <v>314</v>
      </c>
      <c r="E11962" t="s">
        <v>312</v>
      </c>
      <c r="F11962" t="s">
        <v>12800</v>
      </c>
      <c r="G11962">
        <v>3608</v>
      </c>
      <c r="H11962">
        <v>741662.21000000031</v>
      </c>
      <c r="I11962">
        <v>205.56</v>
      </c>
      <c r="J11962">
        <v>692</v>
      </c>
      <c r="K11962">
        <v>131610.66</v>
      </c>
      <c r="L11962">
        <v>190.19</v>
      </c>
      <c r="M11962">
        <v>4300</v>
      </c>
      <c r="N11962">
        <v>873272.87000000034</v>
      </c>
      <c r="O11962">
        <v>203.09</v>
      </c>
    </row>
    <row r="11963" spans="1:15" x14ac:dyDescent="0.35">
      <c r="A11963" t="s">
        <v>520</v>
      </c>
      <c r="B11963" t="s">
        <v>520</v>
      </c>
      <c r="C11963" t="s">
        <v>520</v>
      </c>
      <c r="D11963" t="s">
        <v>314</v>
      </c>
      <c r="E11963" t="s">
        <v>310</v>
      </c>
      <c r="F11963" t="s">
        <v>12801</v>
      </c>
      <c r="G11963">
        <v>3715</v>
      </c>
      <c r="H11963">
        <v>769104.86000000034</v>
      </c>
      <c r="I11963">
        <v>207.03</v>
      </c>
      <c r="J11963">
        <v>692</v>
      </c>
      <c r="K11963">
        <v>131610.66</v>
      </c>
      <c r="L11963">
        <v>190.19</v>
      </c>
      <c r="M11963">
        <v>4407</v>
      </c>
      <c r="N11963">
        <v>900715.52000000037</v>
      </c>
      <c r="O11963">
        <v>204.38</v>
      </c>
    </row>
    <row r="11964" spans="1:15" x14ac:dyDescent="0.35">
      <c r="A11964" t="s">
        <v>520</v>
      </c>
      <c r="B11964" t="s">
        <v>520</v>
      </c>
      <c r="C11964" t="s">
        <v>520</v>
      </c>
      <c r="D11964" t="s">
        <v>323</v>
      </c>
      <c r="E11964" t="s">
        <v>294</v>
      </c>
      <c r="F11964" t="s">
        <v>12802</v>
      </c>
      <c r="G11964">
        <v>85047</v>
      </c>
      <c r="H11964">
        <v>7464047.7399999993</v>
      </c>
      <c r="I11964">
        <v>87.76</v>
      </c>
      <c r="J11964">
        <v>18882</v>
      </c>
      <c r="K11964">
        <v>1532941.07</v>
      </c>
      <c r="L11964">
        <v>81.19</v>
      </c>
      <c r="M11964">
        <v>103929</v>
      </c>
      <c r="N11964">
        <v>8996988.8100000024</v>
      </c>
      <c r="O11964">
        <v>86.57</v>
      </c>
    </row>
    <row r="11965" spans="1:15" x14ac:dyDescent="0.35">
      <c r="A11965" t="s">
        <v>520</v>
      </c>
      <c r="B11965" t="s">
        <v>520</v>
      </c>
      <c r="C11965" t="s">
        <v>520</v>
      </c>
      <c r="D11965" t="s">
        <v>323</v>
      </c>
      <c r="E11965" t="s">
        <v>296</v>
      </c>
      <c r="F11965" t="s">
        <v>12803</v>
      </c>
      <c r="G11965">
        <v>126725</v>
      </c>
      <c r="H11965">
        <v>12681091.230000002</v>
      </c>
      <c r="I11965">
        <v>100.07</v>
      </c>
      <c r="J11965">
        <v>22389</v>
      </c>
      <c r="K11965">
        <v>2051436.7499999998</v>
      </c>
      <c r="L11965">
        <v>91.63</v>
      </c>
      <c r="M11965">
        <v>149114</v>
      </c>
      <c r="N11965">
        <v>14732527.98</v>
      </c>
      <c r="O11965">
        <v>98.8</v>
      </c>
    </row>
    <row r="11966" spans="1:15" x14ac:dyDescent="0.35">
      <c r="A11966" t="s">
        <v>520</v>
      </c>
      <c r="B11966" t="s">
        <v>520</v>
      </c>
      <c r="C11966" t="s">
        <v>520</v>
      </c>
      <c r="D11966" t="s">
        <v>323</v>
      </c>
      <c r="E11966" t="s">
        <v>298</v>
      </c>
      <c r="F11966" t="s">
        <v>12804</v>
      </c>
      <c r="G11966">
        <v>138684</v>
      </c>
      <c r="H11966">
        <v>15412994.009999996</v>
      </c>
      <c r="I11966">
        <v>111.14</v>
      </c>
      <c r="J11966">
        <v>26004</v>
      </c>
      <c r="K11966">
        <v>2608325.94</v>
      </c>
      <c r="L11966">
        <v>100.3</v>
      </c>
      <c r="M11966">
        <v>164688</v>
      </c>
      <c r="N11966">
        <v>18021319.949999999</v>
      </c>
      <c r="O11966">
        <v>109.43</v>
      </c>
    </row>
    <row r="11967" spans="1:15" x14ac:dyDescent="0.35">
      <c r="A11967" t="s">
        <v>520</v>
      </c>
      <c r="B11967" t="s">
        <v>520</v>
      </c>
      <c r="C11967" t="s">
        <v>520</v>
      </c>
      <c r="D11967" t="s">
        <v>323</v>
      </c>
      <c r="E11967" t="s">
        <v>300</v>
      </c>
      <c r="F11967" t="s">
        <v>12805</v>
      </c>
      <c r="G11967">
        <v>11936</v>
      </c>
      <c r="H11967">
        <v>1441582.58</v>
      </c>
      <c r="I11967">
        <v>120.78</v>
      </c>
      <c r="J11967">
        <v>1826</v>
      </c>
      <c r="K11967">
        <v>202507.59000000003</v>
      </c>
      <c r="L11967">
        <v>110.9</v>
      </c>
      <c r="M11967">
        <v>13762</v>
      </c>
      <c r="N11967">
        <v>1644090.1700000002</v>
      </c>
      <c r="O11967">
        <v>119.47</v>
      </c>
    </row>
    <row r="11968" spans="1:15" x14ac:dyDescent="0.35">
      <c r="A11968" t="s">
        <v>520</v>
      </c>
      <c r="B11968" t="s">
        <v>520</v>
      </c>
      <c r="C11968" t="s">
        <v>520</v>
      </c>
      <c r="D11968" t="s">
        <v>323</v>
      </c>
      <c r="E11968" t="s">
        <v>302</v>
      </c>
      <c r="F11968" t="s">
        <v>12806</v>
      </c>
      <c r="G11968">
        <v>784</v>
      </c>
      <c r="H11968">
        <v>102120.04000000002</v>
      </c>
      <c r="I11968">
        <v>130.26</v>
      </c>
      <c r="J11968">
        <v>145</v>
      </c>
      <c r="K11968">
        <v>16966.760000000002</v>
      </c>
      <c r="L11968">
        <v>117.01</v>
      </c>
      <c r="M11968">
        <v>929</v>
      </c>
      <c r="N11968">
        <v>119086.8</v>
      </c>
      <c r="O11968">
        <v>128.19</v>
      </c>
    </row>
    <row r="11969" spans="1:15" x14ac:dyDescent="0.35">
      <c r="A11969" t="s">
        <v>520</v>
      </c>
      <c r="B11969" t="s">
        <v>520</v>
      </c>
      <c r="C11969" t="s">
        <v>520</v>
      </c>
      <c r="D11969" t="s">
        <v>323</v>
      </c>
      <c r="E11969" t="s">
        <v>304</v>
      </c>
      <c r="F11969" t="s">
        <v>12807</v>
      </c>
      <c r="G11969">
        <v>197</v>
      </c>
      <c r="H11969">
        <v>27689.539999999997</v>
      </c>
      <c r="I11969">
        <v>140.56</v>
      </c>
      <c r="J11969">
        <v>64</v>
      </c>
      <c r="K11969">
        <v>8105.16</v>
      </c>
      <c r="L11969">
        <v>126.64</v>
      </c>
      <c r="M11969">
        <v>261</v>
      </c>
      <c r="N11969">
        <v>35794.699999999997</v>
      </c>
      <c r="O11969">
        <v>137.13999999999999</v>
      </c>
    </row>
    <row r="11970" spans="1:15" x14ac:dyDescent="0.35">
      <c r="A11970" t="s">
        <v>520</v>
      </c>
      <c r="B11970" t="s">
        <v>520</v>
      </c>
      <c r="C11970" t="s">
        <v>520</v>
      </c>
      <c r="D11970" t="s">
        <v>323</v>
      </c>
      <c r="E11970" t="s">
        <v>306</v>
      </c>
      <c r="F11970" t="s">
        <v>12808</v>
      </c>
      <c r="G11970">
        <v>1714</v>
      </c>
      <c r="H11970">
        <v>131643.31</v>
      </c>
      <c r="I11970">
        <v>76.8</v>
      </c>
      <c r="J11970">
        <v>610</v>
      </c>
      <c r="K11970">
        <v>44261.05</v>
      </c>
      <c r="L11970">
        <v>72.56</v>
      </c>
      <c r="M11970">
        <v>2324</v>
      </c>
      <c r="N11970">
        <v>175904.36</v>
      </c>
      <c r="O11970">
        <v>75.69</v>
      </c>
    </row>
    <row r="11971" spans="1:15" x14ac:dyDescent="0.35">
      <c r="A11971" t="s">
        <v>520</v>
      </c>
      <c r="B11971" t="s">
        <v>520</v>
      </c>
      <c r="C11971" t="s">
        <v>520</v>
      </c>
      <c r="D11971" t="s">
        <v>323</v>
      </c>
      <c r="E11971" t="s">
        <v>308</v>
      </c>
      <c r="F11971" t="s">
        <v>12809</v>
      </c>
      <c r="G11971">
        <v>53</v>
      </c>
      <c r="H11971">
        <v>3866.26</v>
      </c>
      <c r="I11971">
        <v>72.95</v>
      </c>
      <c r="J11971">
        <v>7</v>
      </c>
      <c r="K11971">
        <v>512.23</v>
      </c>
      <c r="L11971">
        <v>73.180000000000007</v>
      </c>
      <c r="M11971">
        <v>60</v>
      </c>
      <c r="N11971">
        <v>4378.49</v>
      </c>
      <c r="O11971">
        <v>72.97</v>
      </c>
    </row>
    <row r="11972" spans="1:15" x14ac:dyDescent="0.35">
      <c r="A11972" t="s">
        <v>520</v>
      </c>
      <c r="B11972" t="s">
        <v>520</v>
      </c>
      <c r="C11972" t="s">
        <v>520</v>
      </c>
      <c r="D11972" t="s">
        <v>323</v>
      </c>
      <c r="E11972" t="s">
        <v>310</v>
      </c>
      <c r="F11972" t="s">
        <v>12810</v>
      </c>
      <c r="G11972">
        <v>365140</v>
      </c>
      <c r="H11972">
        <v>37265034.709999993</v>
      </c>
      <c r="I11972">
        <v>102.06</v>
      </c>
      <c r="J11972">
        <v>69927</v>
      </c>
      <c r="K11972">
        <v>6465056.5499999989</v>
      </c>
      <c r="L11972">
        <v>92.45</v>
      </c>
      <c r="M11972">
        <v>435067</v>
      </c>
      <c r="N11972">
        <v>43730091.25999999</v>
      </c>
      <c r="O11972">
        <v>100.51</v>
      </c>
    </row>
    <row r="11973" spans="1:15" x14ac:dyDescent="0.35">
      <c r="A11973" t="s">
        <v>520</v>
      </c>
      <c r="B11973" t="s">
        <v>520</v>
      </c>
      <c r="C11973" t="s">
        <v>520</v>
      </c>
      <c r="D11973" t="s">
        <v>323</v>
      </c>
      <c r="E11973" t="s">
        <v>312</v>
      </c>
      <c r="F11973" t="s">
        <v>12811</v>
      </c>
      <c r="G11973">
        <v>365087</v>
      </c>
      <c r="H11973">
        <v>37261168.449999996</v>
      </c>
      <c r="I11973">
        <v>102.06</v>
      </c>
      <c r="J11973">
        <v>69920</v>
      </c>
      <c r="K11973">
        <v>6464544.3199999994</v>
      </c>
      <c r="L11973">
        <v>92.46</v>
      </c>
      <c r="M11973">
        <v>435007</v>
      </c>
      <c r="N11973">
        <v>43725712.769999996</v>
      </c>
      <c r="O11973">
        <v>100.52</v>
      </c>
    </row>
    <row r="11974" spans="1:15" x14ac:dyDescent="0.35">
      <c r="A11974" t="s">
        <v>520</v>
      </c>
      <c r="B11974" t="s">
        <v>520</v>
      </c>
      <c r="C11974" t="s">
        <v>520</v>
      </c>
      <c r="D11974" t="s">
        <v>334</v>
      </c>
      <c r="E11974" t="s">
        <v>312</v>
      </c>
      <c r="F11974" t="s">
        <v>12812</v>
      </c>
      <c r="G11974">
        <v>441230</v>
      </c>
      <c r="H11974">
        <v>45622235.100000001</v>
      </c>
      <c r="I11974">
        <v>106.57</v>
      </c>
      <c r="J11974">
        <v>72414</v>
      </c>
      <c r="K11974">
        <v>6780968.419999999</v>
      </c>
      <c r="L11974">
        <v>93.64</v>
      </c>
      <c r="M11974">
        <v>513644</v>
      </c>
      <c r="N11974">
        <v>52403203.520000003</v>
      </c>
      <c r="O11974">
        <v>104.7</v>
      </c>
    </row>
    <row r="11975" spans="1:15" x14ac:dyDescent="0.35">
      <c r="A11975" t="s">
        <v>520</v>
      </c>
      <c r="B11975" t="s">
        <v>520</v>
      </c>
      <c r="C11975" t="s">
        <v>520</v>
      </c>
      <c r="D11975" t="s">
        <v>334</v>
      </c>
      <c r="E11975" t="s">
        <v>308</v>
      </c>
      <c r="F11975" t="s">
        <v>12813</v>
      </c>
      <c r="G11975">
        <v>459</v>
      </c>
      <c r="H11975">
        <v>5418.4</v>
      </c>
      <c r="I11975">
        <v>83.36</v>
      </c>
      <c r="J11975">
        <v>7</v>
      </c>
      <c r="K11975">
        <v>512.23</v>
      </c>
      <c r="L11975">
        <v>73.180000000000007</v>
      </c>
      <c r="M11975">
        <v>466</v>
      </c>
      <c r="N11975">
        <v>5930.6299999999992</v>
      </c>
      <c r="O11975">
        <v>82.37</v>
      </c>
    </row>
    <row r="11976" spans="1:15" x14ac:dyDescent="0.35">
      <c r="A11976" t="s">
        <v>520</v>
      </c>
      <c r="B11976" t="s">
        <v>520</v>
      </c>
      <c r="C11976" t="s">
        <v>520</v>
      </c>
      <c r="D11976" t="s">
        <v>337</v>
      </c>
      <c r="E11976" t="s">
        <v>337</v>
      </c>
      <c r="F11976" t="s">
        <v>12814</v>
      </c>
      <c r="G11976">
        <v>24666</v>
      </c>
      <c r="J11976">
        <v>121</v>
      </c>
      <c r="M11976">
        <v>24787</v>
      </c>
    </row>
    <row r="11977" spans="1:15" x14ac:dyDescent="0.35">
      <c r="A11977" t="s">
        <v>520</v>
      </c>
      <c r="B11977" t="s">
        <v>520</v>
      </c>
      <c r="C11977" t="s">
        <v>520</v>
      </c>
      <c r="D11977" t="s">
        <v>339</v>
      </c>
      <c r="E11977" t="s">
        <v>294</v>
      </c>
      <c r="F11977" t="s">
        <v>12815</v>
      </c>
      <c r="G11977">
        <v>45262</v>
      </c>
      <c r="H11977">
        <v>4772264.6000000006</v>
      </c>
      <c r="I11977">
        <v>105.44</v>
      </c>
      <c r="J11977">
        <v>6201</v>
      </c>
      <c r="K11977">
        <v>536100.54999999993</v>
      </c>
      <c r="L11977">
        <v>86.45</v>
      </c>
      <c r="M11977">
        <v>51463</v>
      </c>
      <c r="N11977">
        <v>5308365.1499999985</v>
      </c>
      <c r="O11977">
        <v>103.15</v>
      </c>
    </row>
    <row r="11978" spans="1:15" x14ac:dyDescent="0.35">
      <c r="A11978" t="s">
        <v>520</v>
      </c>
      <c r="B11978" t="s">
        <v>520</v>
      </c>
      <c r="C11978" t="s">
        <v>520</v>
      </c>
      <c r="D11978" t="s">
        <v>339</v>
      </c>
      <c r="E11978" t="s">
        <v>296</v>
      </c>
      <c r="F11978" t="s">
        <v>12816</v>
      </c>
      <c r="G11978">
        <v>8274</v>
      </c>
      <c r="H11978">
        <v>963022.08000000031</v>
      </c>
      <c r="I11978">
        <v>116.39</v>
      </c>
      <c r="J11978">
        <v>829</v>
      </c>
      <c r="K11978">
        <v>81068.069999999992</v>
      </c>
      <c r="L11978">
        <v>97.79</v>
      </c>
      <c r="M11978">
        <v>9103</v>
      </c>
      <c r="N11978">
        <v>1044090.15</v>
      </c>
      <c r="O11978">
        <v>114.7</v>
      </c>
    </row>
    <row r="11979" spans="1:15" x14ac:dyDescent="0.35">
      <c r="A11979" t="s">
        <v>520</v>
      </c>
      <c r="B11979" t="s">
        <v>520</v>
      </c>
      <c r="C11979" t="s">
        <v>520</v>
      </c>
      <c r="D11979" t="s">
        <v>339</v>
      </c>
      <c r="E11979" t="s">
        <v>298</v>
      </c>
      <c r="F11979" t="s">
        <v>12817</v>
      </c>
      <c r="G11979">
        <v>591</v>
      </c>
      <c r="H11979">
        <v>77555.070000000036</v>
      </c>
      <c r="I11979">
        <v>131.22999999999999</v>
      </c>
      <c r="J11979">
        <v>37</v>
      </c>
      <c r="K11979">
        <v>3775.62</v>
      </c>
      <c r="L11979">
        <v>102.04</v>
      </c>
      <c r="M11979">
        <v>628</v>
      </c>
      <c r="N11979">
        <v>81330.69</v>
      </c>
      <c r="O11979">
        <v>129.51</v>
      </c>
    </row>
    <row r="11980" spans="1:15" x14ac:dyDescent="0.35">
      <c r="A11980" t="s">
        <v>520</v>
      </c>
      <c r="B11980" t="s">
        <v>520</v>
      </c>
      <c r="C11980" t="s">
        <v>520</v>
      </c>
      <c r="D11980" t="s">
        <v>339</v>
      </c>
      <c r="E11980" t="s">
        <v>300</v>
      </c>
      <c r="F11980" t="s">
        <v>12818</v>
      </c>
      <c r="G11980">
        <v>63</v>
      </c>
      <c r="H11980">
        <v>11266.18</v>
      </c>
      <c r="I11980">
        <v>178.83</v>
      </c>
      <c r="J11980">
        <v>1</v>
      </c>
      <c r="K11980">
        <v>112.42</v>
      </c>
      <c r="L11980">
        <v>112.42</v>
      </c>
      <c r="M11980">
        <v>64</v>
      </c>
      <c r="N11980">
        <v>11378.6</v>
      </c>
      <c r="O11980">
        <v>177.79</v>
      </c>
    </row>
    <row r="11981" spans="1:15" x14ac:dyDescent="0.35">
      <c r="A11981" t="s">
        <v>520</v>
      </c>
      <c r="B11981" t="s">
        <v>520</v>
      </c>
      <c r="C11981" t="s">
        <v>520</v>
      </c>
      <c r="D11981" t="s">
        <v>339</v>
      </c>
      <c r="E11981" t="s">
        <v>302</v>
      </c>
      <c r="F11981" t="s">
        <v>12819</v>
      </c>
      <c r="G11981">
        <v>0</v>
      </c>
      <c r="H11981">
        <v>0</v>
      </c>
      <c r="I11981">
        <v>0</v>
      </c>
      <c r="J11981">
        <v>0</v>
      </c>
      <c r="K11981">
        <v>0</v>
      </c>
      <c r="L11981">
        <v>0</v>
      </c>
      <c r="M11981">
        <v>0</v>
      </c>
      <c r="N11981">
        <v>0</v>
      </c>
      <c r="O11981">
        <v>0</v>
      </c>
    </row>
    <row r="11982" spans="1:15" x14ac:dyDescent="0.35">
      <c r="A11982" t="s">
        <v>520</v>
      </c>
      <c r="B11982" t="s">
        <v>520</v>
      </c>
      <c r="C11982" t="s">
        <v>520</v>
      </c>
      <c r="D11982" t="s">
        <v>339</v>
      </c>
      <c r="E11982" t="s">
        <v>304</v>
      </c>
      <c r="F11982" t="s">
        <v>12820</v>
      </c>
      <c r="G11982">
        <v>0</v>
      </c>
      <c r="H11982">
        <v>0</v>
      </c>
      <c r="I11982">
        <v>0</v>
      </c>
      <c r="J11982">
        <v>0</v>
      </c>
      <c r="K11982">
        <v>0</v>
      </c>
      <c r="L11982">
        <v>0</v>
      </c>
      <c r="M11982">
        <v>0</v>
      </c>
      <c r="N11982">
        <v>0</v>
      </c>
      <c r="O11982">
        <v>0</v>
      </c>
    </row>
    <row r="11983" spans="1:15" x14ac:dyDescent="0.35">
      <c r="A11983" t="s">
        <v>520</v>
      </c>
      <c r="B11983" t="s">
        <v>520</v>
      </c>
      <c r="C11983" t="s">
        <v>520</v>
      </c>
      <c r="D11983" t="s">
        <v>339</v>
      </c>
      <c r="E11983" t="s">
        <v>306</v>
      </c>
      <c r="F11983" t="s">
        <v>12821</v>
      </c>
      <c r="G11983">
        <v>4862</v>
      </c>
      <c r="H11983">
        <v>419205.41</v>
      </c>
      <c r="I11983">
        <v>86.22</v>
      </c>
      <c r="J11983">
        <v>284</v>
      </c>
      <c r="K11983">
        <v>21329.14</v>
      </c>
      <c r="L11983">
        <v>75.099999999999994</v>
      </c>
      <c r="M11983">
        <v>5146</v>
      </c>
      <c r="N11983">
        <v>440534.54999999993</v>
      </c>
      <c r="O11983">
        <v>85.61</v>
      </c>
    </row>
    <row r="11984" spans="1:15" x14ac:dyDescent="0.35">
      <c r="A11984" t="s">
        <v>520</v>
      </c>
      <c r="B11984" t="s">
        <v>520</v>
      </c>
      <c r="C11984" t="s">
        <v>520</v>
      </c>
      <c r="D11984" t="s">
        <v>339</v>
      </c>
      <c r="E11984" t="s">
        <v>308</v>
      </c>
      <c r="F11984" t="s">
        <v>12822</v>
      </c>
      <c r="G11984">
        <v>6417</v>
      </c>
      <c r="H11984">
        <v>920356.39000000013</v>
      </c>
      <c r="I11984">
        <v>143.41999999999999</v>
      </c>
      <c r="J11984">
        <v>376</v>
      </c>
      <c r="K11984">
        <v>24745.640000000003</v>
      </c>
      <c r="L11984">
        <v>65.81</v>
      </c>
      <c r="M11984">
        <v>6793</v>
      </c>
      <c r="N11984">
        <v>945102.03</v>
      </c>
      <c r="O11984">
        <v>139.13</v>
      </c>
    </row>
    <row r="11985" spans="1:15" x14ac:dyDescent="0.35">
      <c r="A11985" t="s">
        <v>520</v>
      </c>
      <c r="B11985" t="s">
        <v>520</v>
      </c>
      <c r="C11985" t="s">
        <v>520</v>
      </c>
      <c r="D11985" t="s">
        <v>339</v>
      </c>
      <c r="E11985" t="s">
        <v>310</v>
      </c>
      <c r="F11985" t="s">
        <v>12823</v>
      </c>
      <c r="G11985">
        <v>65469</v>
      </c>
      <c r="H11985">
        <v>7163669.7300000023</v>
      </c>
      <c r="I11985">
        <v>109.42</v>
      </c>
      <c r="J11985">
        <v>7728</v>
      </c>
      <c r="K11985">
        <v>667131.44000000006</v>
      </c>
      <c r="L11985">
        <v>86.33</v>
      </c>
      <c r="M11985">
        <v>73197</v>
      </c>
      <c r="N11985">
        <v>7830801.1700000027</v>
      </c>
      <c r="O11985">
        <v>106.98</v>
      </c>
    </row>
    <row r="11986" spans="1:15" x14ac:dyDescent="0.35">
      <c r="A11986" t="s">
        <v>520</v>
      </c>
      <c r="B11986" t="s">
        <v>520</v>
      </c>
      <c r="C11986" t="s">
        <v>520</v>
      </c>
      <c r="D11986" t="s">
        <v>339</v>
      </c>
      <c r="E11986" t="s">
        <v>312</v>
      </c>
      <c r="F11986" t="s">
        <v>12824</v>
      </c>
      <c r="G11986">
        <v>59052</v>
      </c>
      <c r="H11986">
        <v>6243313.3399999999</v>
      </c>
      <c r="I11986">
        <v>105.73</v>
      </c>
      <c r="J11986">
        <v>7352</v>
      </c>
      <c r="K11986">
        <v>642385.80000000005</v>
      </c>
      <c r="L11986">
        <v>87.38</v>
      </c>
      <c r="M11986">
        <v>66404</v>
      </c>
      <c r="N11986">
        <v>6885699.1399999997</v>
      </c>
      <c r="O11986">
        <v>103.69</v>
      </c>
    </row>
    <row r="11987" spans="1:15" x14ac:dyDescent="0.35">
      <c r="A11987" t="s">
        <v>520</v>
      </c>
      <c r="B11987" t="s">
        <v>520</v>
      </c>
      <c r="C11987" t="s">
        <v>520</v>
      </c>
      <c r="D11987" t="s">
        <v>348</v>
      </c>
      <c r="E11987" t="s">
        <v>349</v>
      </c>
      <c r="F11987" t="s">
        <v>12825</v>
      </c>
      <c r="G11987">
        <v>76722</v>
      </c>
      <c r="H11987">
        <v>7932774.5900000017</v>
      </c>
      <c r="I11987">
        <v>114.66</v>
      </c>
      <c r="J11987">
        <v>8420</v>
      </c>
      <c r="K11987">
        <v>798742.1</v>
      </c>
      <c r="L11987">
        <v>94.86</v>
      </c>
      <c r="M11987">
        <v>85142</v>
      </c>
      <c r="N11987">
        <v>8731516.6900000013</v>
      </c>
      <c r="O11987">
        <v>112.51</v>
      </c>
    </row>
    <row r="11988" spans="1:15" x14ac:dyDescent="0.35">
      <c r="A11988" t="s">
        <v>520</v>
      </c>
      <c r="B11988" t="s">
        <v>520</v>
      </c>
      <c r="C11988" t="s">
        <v>520</v>
      </c>
      <c r="D11988" t="s">
        <v>310</v>
      </c>
      <c r="E11988" t="s">
        <v>310</v>
      </c>
      <c r="F11988" t="s">
        <v>12826</v>
      </c>
      <c r="G11988">
        <v>543077</v>
      </c>
      <c r="H11988">
        <v>53560428.089999996</v>
      </c>
      <c r="I11988">
        <v>107.69</v>
      </c>
      <c r="J11988">
        <v>80962</v>
      </c>
      <c r="K11988">
        <v>7541597.1899999985</v>
      </c>
      <c r="L11988">
        <v>93.58</v>
      </c>
      <c r="M11988">
        <v>624039</v>
      </c>
      <c r="N11988">
        <v>61102025.279999994</v>
      </c>
      <c r="O11988">
        <v>105.72</v>
      </c>
    </row>
    <row r="11989" spans="1:15" x14ac:dyDescent="0.35">
      <c r="A11989" t="s">
        <v>1644</v>
      </c>
      <c r="B11989" t="s">
        <v>1644</v>
      </c>
      <c r="C11989" t="s">
        <v>1644</v>
      </c>
      <c r="D11989" t="s">
        <v>293</v>
      </c>
      <c r="E11989" t="s">
        <v>294</v>
      </c>
      <c r="F11989" t="s">
        <v>12827</v>
      </c>
      <c r="G11989">
        <v>14746</v>
      </c>
      <c r="H11989">
        <v>2386617.1099999989</v>
      </c>
      <c r="I11989">
        <v>161.85</v>
      </c>
      <c r="J11989">
        <v>1656</v>
      </c>
      <c r="K11989">
        <v>263156.62</v>
      </c>
      <c r="L11989">
        <v>158.91</v>
      </c>
      <c r="M11989">
        <v>16402</v>
      </c>
      <c r="N11989">
        <v>2649773.73</v>
      </c>
      <c r="O11989">
        <v>161.55000000000001</v>
      </c>
    </row>
    <row r="11990" spans="1:15" x14ac:dyDescent="0.35">
      <c r="A11990" t="s">
        <v>1644</v>
      </c>
      <c r="B11990" t="s">
        <v>1644</v>
      </c>
      <c r="C11990" t="s">
        <v>1644</v>
      </c>
      <c r="D11990" t="s">
        <v>293</v>
      </c>
      <c r="E11990" t="s">
        <v>296</v>
      </c>
      <c r="F11990" t="s">
        <v>12828</v>
      </c>
      <c r="G11990">
        <v>31308</v>
      </c>
      <c r="H11990">
        <v>6233344.4199999981</v>
      </c>
      <c r="I11990">
        <v>199.1</v>
      </c>
      <c r="J11990">
        <v>2930</v>
      </c>
      <c r="K11990">
        <v>574759.32999999996</v>
      </c>
      <c r="L11990">
        <v>196.16</v>
      </c>
      <c r="M11990">
        <v>34238</v>
      </c>
      <c r="N11990">
        <v>6808103.75</v>
      </c>
      <c r="O11990">
        <v>198.85</v>
      </c>
    </row>
    <row r="11991" spans="1:15" x14ac:dyDescent="0.35">
      <c r="A11991" t="s">
        <v>1644</v>
      </c>
      <c r="B11991" t="s">
        <v>1644</v>
      </c>
      <c r="C11991" t="s">
        <v>1644</v>
      </c>
      <c r="D11991" t="s">
        <v>293</v>
      </c>
      <c r="E11991" t="s">
        <v>298</v>
      </c>
      <c r="F11991" t="s">
        <v>12829</v>
      </c>
      <c r="G11991">
        <v>14422</v>
      </c>
      <c r="H11991">
        <v>3333367.5900000012</v>
      </c>
      <c r="I11991">
        <v>231.13</v>
      </c>
      <c r="J11991">
        <v>1531</v>
      </c>
      <c r="K11991">
        <v>343657.85000000009</v>
      </c>
      <c r="L11991">
        <v>224.47</v>
      </c>
      <c r="M11991">
        <v>15953</v>
      </c>
      <c r="N11991">
        <v>3677025.4400000004</v>
      </c>
      <c r="O11991">
        <v>230.49</v>
      </c>
    </row>
    <row r="11992" spans="1:15" x14ac:dyDescent="0.35">
      <c r="A11992" t="s">
        <v>1644</v>
      </c>
      <c r="B11992" t="s">
        <v>1644</v>
      </c>
      <c r="C11992" t="s">
        <v>1644</v>
      </c>
      <c r="D11992" t="s">
        <v>293</v>
      </c>
      <c r="E11992" t="s">
        <v>300</v>
      </c>
      <c r="F11992" t="s">
        <v>12830</v>
      </c>
      <c r="G11992">
        <v>2365</v>
      </c>
      <c r="H11992">
        <v>671928.63</v>
      </c>
      <c r="I11992">
        <v>284.11</v>
      </c>
      <c r="J11992">
        <v>203</v>
      </c>
      <c r="K11992">
        <v>54972.69</v>
      </c>
      <c r="L11992">
        <v>270.8</v>
      </c>
      <c r="M11992">
        <v>2568</v>
      </c>
      <c r="N11992">
        <v>726901.31999999983</v>
      </c>
      <c r="O11992">
        <v>283.06</v>
      </c>
    </row>
    <row r="11993" spans="1:15" x14ac:dyDescent="0.35">
      <c r="A11993" t="s">
        <v>1644</v>
      </c>
      <c r="B11993" t="s">
        <v>1644</v>
      </c>
      <c r="C11993" t="s">
        <v>1644</v>
      </c>
      <c r="D11993" t="s">
        <v>293</v>
      </c>
      <c r="E11993" t="s">
        <v>302</v>
      </c>
      <c r="F11993" t="s">
        <v>12831</v>
      </c>
      <c r="G11993">
        <v>32</v>
      </c>
      <c r="H11993">
        <v>8434.5999999999985</v>
      </c>
      <c r="I11993">
        <v>263.58</v>
      </c>
      <c r="J11993">
        <v>33</v>
      </c>
      <c r="K11993">
        <v>10350.329999999998</v>
      </c>
      <c r="L11993">
        <v>313.64999999999998</v>
      </c>
      <c r="M11993">
        <v>65</v>
      </c>
      <c r="N11993">
        <v>18784.93</v>
      </c>
      <c r="O11993">
        <v>289</v>
      </c>
    </row>
    <row r="11994" spans="1:15" x14ac:dyDescent="0.35">
      <c r="A11994" t="s">
        <v>1644</v>
      </c>
      <c r="B11994" t="s">
        <v>1644</v>
      </c>
      <c r="C11994" t="s">
        <v>1644</v>
      </c>
      <c r="D11994" t="s">
        <v>293</v>
      </c>
      <c r="E11994" t="s">
        <v>304</v>
      </c>
      <c r="F11994" t="s">
        <v>12832</v>
      </c>
      <c r="G11994">
        <v>2</v>
      </c>
      <c r="H11994">
        <v>578</v>
      </c>
      <c r="I11994">
        <v>289</v>
      </c>
      <c r="J11994">
        <v>11</v>
      </c>
      <c r="K11994">
        <v>2911.9399999999996</v>
      </c>
      <c r="L11994">
        <v>264.72000000000003</v>
      </c>
      <c r="M11994">
        <v>13</v>
      </c>
      <c r="N11994">
        <v>3489.9399999999996</v>
      </c>
      <c r="O11994">
        <v>268.45999999999998</v>
      </c>
    </row>
    <row r="11995" spans="1:15" x14ac:dyDescent="0.35">
      <c r="A11995" t="s">
        <v>1644</v>
      </c>
      <c r="B11995" t="s">
        <v>1644</v>
      </c>
      <c r="C11995" t="s">
        <v>1644</v>
      </c>
      <c r="D11995" t="s">
        <v>293</v>
      </c>
      <c r="E11995" t="s">
        <v>306</v>
      </c>
      <c r="F11995" t="s">
        <v>12833</v>
      </c>
      <c r="G11995">
        <v>106</v>
      </c>
      <c r="H11995">
        <v>15589.95</v>
      </c>
      <c r="I11995">
        <v>147.08000000000001</v>
      </c>
      <c r="J11995">
        <v>84</v>
      </c>
      <c r="K11995">
        <v>15293.609999999999</v>
      </c>
      <c r="L11995">
        <v>182.07</v>
      </c>
      <c r="M11995">
        <v>190</v>
      </c>
      <c r="N11995">
        <v>30883.56</v>
      </c>
      <c r="O11995">
        <v>162.55000000000001</v>
      </c>
    </row>
    <row r="11996" spans="1:15" x14ac:dyDescent="0.35">
      <c r="A11996" t="s">
        <v>1644</v>
      </c>
      <c r="B11996" t="s">
        <v>1644</v>
      </c>
      <c r="C11996" t="s">
        <v>1644</v>
      </c>
      <c r="D11996" t="s">
        <v>293</v>
      </c>
      <c r="E11996" t="s">
        <v>308</v>
      </c>
      <c r="F11996" t="s">
        <v>12834</v>
      </c>
      <c r="G11996">
        <v>0</v>
      </c>
      <c r="H11996">
        <v>0</v>
      </c>
      <c r="I11996">
        <v>0</v>
      </c>
      <c r="J11996">
        <v>16</v>
      </c>
      <c r="K11996">
        <v>1504.55</v>
      </c>
      <c r="L11996">
        <v>94.03</v>
      </c>
      <c r="M11996">
        <v>16</v>
      </c>
      <c r="N11996">
        <v>1504.55</v>
      </c>
      <c r="O11996">
        <v>94.03</v>
      </c>
    </row>
    <row r="11997" spans="1:15" x14ac:dyDescent="0.35">
      <c r="A11997" t="s">
        <v>1644</v>
      </c>
      <c r="B11997" t="s">
        <v>1644</v>
      </c>
      <c r="C11997" t="s">
        <v>1644</v>
      </c>
      <c r="D11997" t="s">
        <v>293</v>
      </c>
      <c r="E11997" t="s">
        <v>310</v>
      </c>
      <c r="F11997" t="s">
        <v>12835</v>
      </c>
      <c r="G11997">
        <v>62981</v>
      </c>
      <c r="H11997">
        <v>12649860.300000003</v>
      </c>
      <c r="I11997">
        <v>200.85</v>
      </c>
      <c r="J11997">
        <v>6464</v>
      </c>
      <c r="K11997">
        <v>1266606.9199999997</v>
      </c>
      <c r="L11997">
        <v>195.95</v>
      </c>
      <c r="M11997">
        <v>69445</v>
      </c>
      <c r="N11997">
        <v>13916467.220000003</v>
      </c>
      <c r="O11997">
        <v>200.4</v>
      </c>
    </row>
    <row r="11998" spans="1:15" x14ac:dyDescent="0.35">
      <c r="A11998" t="s">
        <v>1644</v>
      </c>
      <c r="B11998" t="s">
        <v>1644</v>
      </c>
      <c r="C11998" t="s">
        <v>1644</v>
      </c>
      <c r="D11998" t="s">
        <v>293</v>
      </c>
      <c r="E11998" t="s">
        <v>312</v>
      </c>
      <c r="F11998" t="s">
        <v>12836</v>
      </c>
      <c r="G11998">
        <v>62981</v>
      </c>
      <c r="H11998">
        <v>12649860.300000003</v>
      </c>
      <c r="I11998">
        <v>200.85</v>
      </c>
      <c r="J11998">
        <v>6448</v>
      </c>
      <c r="K11998">
        <v>1265102.3699999996</v>
      </c>
      <c r="L11998">
        <v>196.2</v>
      </c>
      <c r="M11998">
        <v>69429</v>
      </c>
      <c r="N11998">
        <v>13914962.670000002</v>
      </c>
      <c r="O11998">
        <v>200.42</v>
      </c>
    </row>
    <row r="11999" spans="1:15" x14ac:dyDescent="0.35">
      <c r="A11999" t="s">
        <v>1644</v>
      </c>
      <c r="B11999" t="s">
        <v>1644</v>
      </c>
      <c r="C11999" t="s">
        <v>1644</v>
      </c>
      <c r="D11999" t="s">
        <v>314</v>
      </c>
      <c r="E11999" t="s">
        <v>294</v>
      </c>
      <c r="F11999" t="s">
        <v>12837</v>
      </c>
      <c r="G11999">
        <v>1474</v>
      </c>
      <c r="H11999">
        <v>327095.39999999997</v>
      </c>
      <c r="I11999">
        <v>221.91</v>
      </c>
      <c r="J11999">
        <v>547</v>
      </c>
      <c r="K11999">
        <v>90037.54</v>
      </c>
      <c r="L11999">
        <v>164.6</v>
      </c>
      <c r="M11999">
        <v>2021</v>
      </c>
      <c r="N11999">
        <v>417132.93999999994</v>
      </c>
      <c r="O11999">
        <v>206.4</v>
      </c>
    </row>
    <row r="12000" spans="1:15" x14ac:dyDescent="0.35">
      <c r="A12000" t="s">
        <v>1644</v>
      </c>
      <c r="B12000" t="s">
        <v>1644</v>
      </c>
      <c r="C12000" t="s">
        <v>1644</v>
      </c>
      <c r="D12000" t="s">
        <v>314</v>
      </c>
      <c r="E12000" t="s">
        <v>296</v>
      </c>
      <c r="F12000" t="s">
        <v>12838</v>
      </c>
      <c r="G12000">
        <v>596</v>
      </c>
      <c r="H12000">
        <v>165189.98000000001</v>
      </c>
      <c r="I12000">
        <v>277.16000000000003</v>
      </c>
      <c r="J12000">
        <v>205</v>
      </c>
      <c r="K12000">
        <v>36605.25</v>
      </c>
      <c r="L12000">
        <v>178.56</v>
      </c>
      <c r="M12000">
        <v>801</v>
      </c>
      <c r="N12000">
        <v>201795.23</v>
      </c>
      <c r="O12000">
        <v>251.93</v>
      </c>
    </row>
    <row r="12001" spans="1:15" x14ac:dyDescent="0.35">
      <c r="A12001" t="s">
        <v>1644</v>
      </c>
      <c r="B12001" t="s">
        <v>1644</v>
      </c>
      <c r="C12001" t="s">
        <v>1644</v>
      </c>
      <c r="D12001" t="s">
        <v>314</v>
      </c>
      <c r="E12001" t="s">
        <v>298</v>
      </c>
      <c r="F12001" t="s">
        <v>12839</v>
      </c>
      <c r="G12001">
        <v>3</v>
      </c>
      <c r="H12001">
        <v>747.81</v>
      </c>
      <c r="I12001">
        <v>249.27</v>
      </c>
      <c r="J12001">
        <v>23</v>
      </c>
      <c r="K12001">
        <v>4950.7199999999993</v>
      </c>
      <c r="L12001">
        <v>215.25</v>
      </c>
      <c r="M12001">
        <v>26</v>
      </c>
      <c r="N12001">
        <v>5698.5299999999988</v>
      </c>
      <c r="O12001">
        <v>219.17</v>
      </c>
    </row>
    <row r="12002" spans="1:15" x14ac:dyDescent="0.35">
      <c r="A12002" t="s">
        <v>1644</v>
      </c>
      <c r="B12002" t="s">
        <v>1644</v>
      </c>
      <c r="C12002" t="s">
        <v>1644</v>
      </c>
      <c r="D12002" t="s">
        <v>314</v>
      </c>
      <c r="E12002" t="s">
        <v>300</v>
      </c>
      <c r="F12002" t="s">
        <v>12840</v>
      </c>
      <c r="G12002">
        <v>0</v>
      </c>
      <c r="H12002">
        <v>0</v>
      </c>
      <c r="I12002">
        <v>0</v>
      </c>
      <c r="J12002">
        <v>15</v>
      </c>
      <c r="K12002">
        <v>3900.89</v>
      </c>
      <c r="L12002">
        <v>260.06</v>
      </c>
      <c r="M12002">
        <v>15</v>
      </c>
      <c r="N12002">
        <v>3900.89</v>
      </c>
      <c r="O12002">
        <v>260.06</v>
      </c>
    </row>
    <row r="12003" spans="1:15" x14ac:dyDescent="0.35">
      <c r="A12003" t="s">
        <v>1644</v>
      </c>
      <c r="B12003" t="s">
        <v>1644</v>
      </c>
      <c r="C12003" t="s">
        <v>1644</v>
      </c>
      <c r="D12003" t="s">
        <v>314</v>
      </c>
      <c r="E12003" t="s">
        <v>306</v>
      </c>
      <c r="F12003" t="s">
        <v>12841</v>
      </c>
      <c r="G12003">
        <v>214</v>
      </c>
      <c r="H12003">
        <v>51560.27</v>
      </c>
      <c r="I12003">
        <v>240.94</v>
      </c>
      <c r="J12003">
        <v>4</v>
      </c>
      <c r="K12003">
        <v>743.26</v>
      </c>
      <c r="L12003">
        <v>185.82</v>
      </c>
      <c r="M12003">
        <v>218</v>
      </c>
      <c r="N12003">
        <v>52303.53</v>
      </c>
      <c r="O12003">
        <v>239.92</v>
      </c>
    </row>
    <row r="12004" spans="1:15" x14ac:dyDescent="0.35">
      <c r="A12004" t="s">
        <v>1644</v>
      </c>
      <c r="B12004" t="s">
        <v>1644</v>
      </c>
      <c r="C12004" t="s">
        <v>1644</v>
      </c>
      <c r="D12004" t="s">
        <v>314</v>
      </c>
      <c r="E12004" t="s">
        <v>308</v>
      </c>
      <c r="F12004" t="s">
        <v>12842</v>
      </c>
      <c r="G12004">
        <v>69</v>
      </c>
      <c r="H12004">
        <v>15609.120000000003</v>
      </c>
      <c r="I12004">
        <v>226.22</v>
      </c>
      <c r="J12004">
        <v>224</v>
      </c>
      <c r="K12004">
        <v>29233.24</v>
      </c>
      <c r="L12004">
        <v>130.51</v>
      </c>
      <c r="M12004">
        <v>293</v>
      </c>
      <c r="N12004">
        <v>44842.36</v>
      </c>
      <c r="O12004">
        <v>153.05000000000001</v>
      </c>
    </row>
    <row r="12005" spans="1:15" x14ac:dyDescent="0.35">
      <c r="A12005" t="s">
        <v>1644</v>
      </c>
      <c r="B12005" t="s">
        <v>1644</v>
      </c>
      <c r="C12005" t="s">
        <v>1644</v>
      </c>
      <c r="D12005" t="s">
        <v>314</v>
      </c>
      <c r="E12005" t="s">
        <v>312</v>
      </c>
      <c r="F12005" t="s">
        <v>12843</v>
      </c>
      <c r="G12005">
        <v>2287</v>
      </c>
      <c r="H12005">
        <v>544593.4600000002</v>
      </c>
      <c r="I12005">
        <v>238.13</v>
      </c>
      <c r="J12005">
        <v>794</v>
      </c>
      <c r="K12005">
        <v>136237.66</v>
      </c>
      <c r="L12005">
        <v>171.58</v>
      </c>
      <c r="M12005">
        <v>3081</v>
      </c>
      <c r="N12005">
        <v>680831.12000000023</v>
      </c>
      <c r="O12005">
        <v>220.98</v>
      </c>
    </row>
    <row r="12006" spans="1:15" x14ac:dyDescent="0.35">
      <c r="A12006" t="s">
        <v>1644</v>
      </c>
      <c r="B12006" t="s">
        <v>1644</v>
      </c>
      <c r="C12006" t="s">
        <v>1644</v>
      </c>
      <c r="D12006" t="s">
        <v>314</v>
      </c>
      <c r="E12006" t="s">
        <v>310</v>
      </c>
      <c r="F12006" t="s">
        <v>12844</v>
      </c>
      <c r="G12006">
        <v>2356</v>
      </c>
      <c r="H12006">
        <v>560202.58000000007</v>
      </c>
      <c r="I12006">
        <v>237.78</v>
      </c>
      <c r="J12006">
        <v>1018</v>
      </c>
      <c r="K12006">
        <v>165470.89999999997</v>
      </c>
      <c r="L12006">
        <v>162.55000000000001</v>
      </c>
      <c r="M12006">
        <v>3374</v>
      </c>
      <c r="N12006">
        <v>725673.48</v>
      </c>
      <c r="O12006">
        <v>215.08</v>
      </c>
    </row>
    <row r="12007" spans="1:15" x14ac:dyDescent="0.35">
      <c r="A12007" t="s">
        <v>1644</v>
      </c>
      <c r="B12007" t="s">
        <v>1644</v>
      </c>
      <c r="C12007" t="s">
        <v>1644</v>
      </c>
      <c r="D12007" t="s">
        <v>323</v>
      </c>
      <c r="E12007" t="s">
        <v>294</v>
      </c>
      <c r="F12007" t="s">
        <v>12845</v>
      </c>
      <c r="G12007">
        <v>54620</v>
      </c>
      <c r="H12007">
        <v>6141126.1700000009</v>
      </c>
      <c r="I12007">
        <v>112.43</v>
      </c>
      <c r="J12007">
        <v>39180</v>
      </c>
      <c r="K12007">
        <v>3861813.5300000007</v>
      </c>
      <c r="L12007">
        <v>98.57</v>
      </c>
      <c r="M12007">
        <v>93800</v>
      </c>
      <c r="N12007">
        <v>10002939.699999994</v>
      </c>
      <c r="O12007">
        <v>106.64</v>
      </c>
    </row>
    <row r="12008" spans="1:15" x14ac:dyDescent="0.35">
      <c r="A12008" t="s">
        <v>1644</v>
      </c>
      <c r="B12008" t="s">
        <v>1644</v>
      </c>
      <c r="C12008" t="s">
        <v>1644</v>
      </c>
      <c r="D12008" t="s">
        <v>323</v>
      </c>
      <c r="E12008" t="s">
        <v>296</v>
      </c>
      <c r="F12008" t="s">
        <v>12846</v>
      </c>
      <c r="G12008">
        <v>94100</v>
      </c>
      <c r="H12008">
        <v>12336297.810000004</v>
      </c>
      <c r="I12008">
        <v>131.1</v>
      </c>
      <c r="J12008">
        <v>50623</v>
      </c>
      <c r="K12008">
        <v>5688629.6800000006</v>
      </c>
      <c r="L12008">
        <v>112.37</v>
      </c>
      <c r="M12008">
        <v>144723</v>
      </c>
      <c r="N12008">
        <v>18024927.490000006</v>
      </c>
      <c r="O12008">
        <v>124.55</v>
      </c>
    </row>
    <row r="12009" spans="1:15" x14ac:dyDescent="0.35">
      <c r="A12009" t="s">
        <v>1644</v>
      </c>
      <c r="B12009" t="s">
        <v>1644</v>
      </c>
      <c r="C12009" t="s">
        <v>1644</v>
      </c>
      <c r="D12009" t="s">
        <v>323</v>
      </c>
      <c r="E12009" t="s">
        <v>298</v>
      </c>
      <c r="F12009" t="s">
        <v>12847</v>
      </c>
      <c r="G12009">
        <v>89978</v>
      </c>
      <c r="H12009">
        <v>13334204.66</v>
      </c>
      <c r="I12009">
        <v>148.19</v>
      </c>
      <c r="J12009">
        <v>52128</v>
      </c>
      <c r="K12009">
        <v>6706995.5800000001</v>
      </c>
      <c r="L12009">
        <v>128.66</v>
      </c>
      <c r="M12009">
        <v>142106</v>
      </c>
      <c r="N12009">
        <v>20041200.239999998</v>
      </c>
      <c r="O12009">
        <v>141.03</v>
      </c>
    </row>
    <row r="12010" spans="1:15" x14ac:dyDescent="0.35">
      <c r="A12010" t="s">
        <v>1644</v>
      </c>
      <c r="B12010" t="s">
        <v>1644</v>
      </c>
      <c r="C12010" t="s">
        <v>1644</v>
      </c>
      <c r="D12010" t="s">
        <v>323</v>
      </c>
      <c r="E12010" t="s">
        <v>300</v>
      </c>
      <c r="F12010" t="s">
        <v>12848</v>
      </c>
      <c r="G12010">
        <v>7920</v>
      </c>
      <c r="H12010">
        <v>1315095.1099999996</v>
      </c>
      <c r="I12010">
        <v>166.05</v>
      </c>
      <c r="J12010">
        <v>3894</v>
      </c>
      <c r="K12010">
        <v>543231.30999999994</v>
      </c>
      <c r="L12010">
        <v>139.5</v>
      </c>
      <c r="M12010">
        <v>11814</v>
      </c>
      <c r="N12010">
        <v>1858326.4199999995</v>
      </c>
      <c r="O12010">
        <v>157.30000000000001</v>
      </c>
    </row>
    <row r="12011" spans="1:15" x14ac:dyDescent="0.35">
      <c r="A12011" t="s">
        <v>1644</v>
      </c>
      <c r="B12011" t="s">
        <v>1644</v>
      </c>
      <c r="C12011" t="s">
        <v>1644</v>
      </c>
      <c r="D12011" t="s">
        <v>323</v>
      </c>
      <c r="E12011" t="s">
        <v>302</v>
      </c>
      <c r="F12011" t="s">
        <v>12849</v>
      </c>
      <c r="G12011">
        <v>349</v>
      </c>
      <c r="H12011">
        <v>63027.58</v>
      </c>
      <c r="I12011">
        <v>180.59</v>
      </c>
      <c r="J12011">
        <v>310</v>
      </c>
      <c r="K12011">
        <v>47392.12999999999</v>
      </c>
      <c r="L12011">
        <v>152.88</v>
      </c>
      <c r="M12011">
        <v>659</v>
      </c>
      <c r="N12011">
        <v>110419.70999999998</v>
      </c>
      <c r="O12011">
        <v>167.56</v>
      </c>
    </row>
    <row r="12012" spans="1:15" x14ac:dyDescent="0.35">
      <c r="A12012" t="s">
        <v>1644</v>
      </c>
      <c r="B12012" t="s">
        <v>1644</v>
      </c>
      <c r="C12012" t="s">
        <v>1644</v>
      </c>
      <c r="D12012" t="s">
        <v>323</v>
      </c>
      <c r="E12012" t="s">
        <v>304</v>
      </c>
      <c r="F12012" t="s">
        <v>12850</v>
      </c>
      <c r="G12012">
        <v>49</v>
      </c>
      <c r="H12012">
        <v>9307.8700000000008</v>
      </c>
      <c r="I12012">
        <v>189.96</v>
      </c>
      <c r="J12012">
        <v>39</v>
      </c>
      <c r="K12012">
        <v>6974.39</v>
      </c>
      <c r="L12012">
        <v>178.83</v>
      </c>
      <c r="M12012">
        <v>88</v>
      </c>
      <c r="N12012">
        <v>16282.26</v>
      </c>
      <c r="O12012">
        <v>185.03</v>
      </c>
    </row>
    <row r="12013" spans="1:15" x14ac:dyDescent="0.35">
      <c r="A12013" t="s">
        <v>1644</v>
      </c>
      <c r="B12013" t="s">
        <v>1644</v>
      </c>
      <c r="C12013" t="s">
        <v>1644</v>
      </c>
      <c r="D12013" t="s">
        <v>323</v>
      </c>
      <c r="E12013" t="s">
        <v>306</v>
      </c>
      <c r="F12013" t="s">
        <v>12851</v>
      </c>
      <c r="G12013">
        <v>2892</v>
      </c>
      <c r="H12013">
        <v>278709.80000000005</v>
      </c>
      <c r="I12013">
        <v>96.37</v>
      </c>
      <c r="J12013">
        <v>4171</v>
      </c>
      <c r="K12013">
        <v>364925.63000000006</v>
      </c>
      <c r="L12013">
        <v>87.49</v>
      </c>
      <c r="M12013">
        <v>7063</v>
      </c>
      <c r="N12013">
        <v>643635.42999999993</v>
      </c>
      <c r="O12013">
        <v>91.13</v>
      </c>
    </row>
    <row r="12014" spans="1:15" x14ac:dyDescent="0.35">
      <c r="A12014" t="s">
        <v>1644</v>
      </c>
      <c r="B12014" t="s">
        <v>1644</v>
      </c>
      <c r="C12014" t="s">
        <v>1644</v>
      </c>
      <c r="D12014" t="s">
        <v>323</v>
      </c>
      <c r="E12014" t="s">
        <v>308</v>
      </c>
      <c r="F12014" t="s">
        <v>12852</v>
      </c>
      <c r="G12014">
        <v>97</v>
      </c>
      <c r="H12014">
        <v>10715.79</v>
      </c>
      <c r="I12014">
        <v>110.47</v>
      </c>
      <c r="J12014">
        <v>188</v>
      </c>
      <c r="K12014">
        <v>17538.859999999997</v>
      </c>
      <c r="L12014">
        <v>93.29</v>
      </c>
      <c r="M12014">
        <v>285</v>
      </c>
      <c r="N12014">
        <v>28254.649999999994</v>
      </c>
      <c r="O12014">
        <v>99.14</v>
      </c>
    </row>
    <row r="12015" spans="1:15" x14ac:dyDescent="0.35">
      <c r="A12015" t="s">
        <v>1644</v>
      </c>
      <c r="B12015" t="s">
        <v>1644</v>
      </c>
      <c r="C12015" t="s">
        <v>1644</v>
      </c>
      <c r="D12015" t="s">
        <v>323</v>
      </c>
      <c r="E12015" t="s">
        <v>310</v>
      </c>
      <c r="F12015" t="s">
        <v>12853</v>
      </c>
      <c r="G12015">
        <v>250005</v>
      </c>
      <c r="H12015">
        <v>33488484.789999999</v>
      </c>
      <c r="I12015">
        <v>133.94999999999999</v>
      </c>
      <c r="J12015">
        <v>150533</v>
      </c>
      <c r="K12015">
        <v>17237501.109999999</v>
      </c>
      <c r="L12015">
        <v>114.51</v>
      </c>
      <c r="M12015">
        <v>400538</v>
      </c>
      <c r="N12015">
        <v>50725985.899999999</v>
      </c>
      <c r="O12015">
        <v>126.64</v>
      </c>
    </row>
    <row r="12016" spans="1:15" x14ac:dyDescent="0.35">
      <c r="A12016" t="s">
        <v>1644</v>
      </c>
      <c r="B12016" t="s">
        <v>1644</v>
      </c>
      <c r="C12016" t="s">
        <v>1644</v>
      </c>
      <c r="D12016" t="s">
        <v>323</v>
      </c>
      <c r="E12016" t="s">
        <v>312</v>
      </c>
      <c r="F12016" t="s">
        <v>12854</v>
      </c>
      <c r="G12016">
        <v>249908</v>
      </c>
      <c r="H12016">
        <v>33477769</v>
      </c>
      <c r="I12016">
        <v>133.96</v>
      </c>
      <c r="J12016">
        <v>150345</v>
      </c>
      <c r="K12016">
        <v>17219962.249999996</v>
      </c>
      <c r="L12016">
        <v>114.54</v>
      </c>
      <c r="M12016">
        <v>400253</v>
      </c>
      <c r="N12016">
        <v>50697731.25</v>
      </c>
      <c r="O12016">
        <v>126.66</v>
      </c>
    </row>
    <row r="12017" spans="1:15" x14ac:dyDescent="0.35">
      <c r="A12017" t="s">
        <v>1644</v>
      </c>
      <c r="B12017" t="s">
        <v>1644</v>
      </c>
      <c r="C12017" t="s">
        <v>1644</v>
      </c>
      <c r="D12017" t="s">
        <v>334</v>
      </c>
      <c r="E12017" t="s">
        <v>312</v>
      </c>
      <c r="F12017" t="s">
        <v>12855</v>
      </c>
      <c r="G12017">
        <v>323024</v>
      </c>
      <c r="H12017">
        <v>46127629.29999999</v>
      </c>
      <c r="I12017">
        <v>147.41999999999999</v>
      </c>
      <c r="J12017">
        <v>156793</v>
      </c>
      <c r="K12017">
        <v>18485064.620000001</v>
      </c>
      <c r="L12017">
        <v>117.89</v>
      </c>
      <c r="M12017">
        <v>479817</v>
      </c>
      <c r="N12017">
        <v>64612693.919999987</v>
      </c>
      <c r="O12017">
        <v>137.57</v>
      </c>
    </row>
    <row r="12018" spans="1:15" x14ac:dyDescent="0.35">
      <c r="A12018" t="s">
        <v>1644</v>
      </c>
      <c r="B12018" t="s">
        <v>1644</v>
      </c>
      <c r="C12018" t="s">
        <v>1644</v>
      </c>
      <c r="D12018" t="s">
        <v>334</v>
      </c>
      <c r="E12018" t="s">
        <v>308</v>
      </c>
      <c r="F12018" t="s">
        <v>12856</v>
      </c>
      <c r="G12018">
        <v>1363</v>
      </c>
      <c r="H12018">
        <v>10715.79</v>
      </c>
      <c r="I12018">
        <v>110.47</v>
      </c>
      <c r="J12018">
        <v>204</v>
      </c>
      <c r="K12018">
        <v>19043.409999999996</v>
      </c>
      <c r="L12018">
        <v>93.35</v>
      </c>
      <c r="M12018">
        <v>1567</v>
      </c>
      <c r="N12018">
        <v>29759.199999999997</v>
      </c>
      <c r="O12018">
        <v>98.87</v>
      </c>
    </row>
    <row r="12019" spans="1:15" x14ac:dyDescent="0.35">
      <c r="A12019" t="s">
        <v>1644</v>
      </c>
      <c r="B12019" t="s">
        <v>1644</v>
      </c>
      <c r="C12019" t="s">
        <v>1644</v>
      </c>
      <c r="D12019" t="s">
        <v>337</v>
      </c>
      <c r="E12019" t="s">
        <v>337</v>
      </c>
      <c r="F12019" t="s">
        <v>12857</v>
      </c>
      <c r="G12019">
        <v>61543</v>
      </c>
      <c r="J12019">
        <v>2892</v>
      </c>
      <c r="M12019">
        <v>64435</v>
      </c>
    </row>
    <row r="12020" spans="1:15" x14ac:dyDescent="0.35">
      <c r="A12020" t="s">
        <v>1644</v>
      </c>
      <c r="B12020" t="s">
        <v>1644</v>
      </c>
      <c r="C12020" t="s">
        <v>1644</v>
      </c>
      <c r="D12020" t="s">
        <v>339</v>
      </c>
      <c r="E12020" t="s">
        <v>294</v>
      </c>
      <c r="F12020" t="s">
        <v>12858</v>
      </c>
      <c r="G12020">
        <v>27858</v>
      </c>
      <c r="H12020">
        <v>3473804.93</v>
      </c>
      <c r="I12020">
        <v>124.7</v>
      </c>
      <c r="J12020">
        <v>10376</v>
      </c>
      <c r="K12020">
        <v>1002355.2100000002</v>
      </c>
      <c r="L12020">
        <v>96.6</v>
      </c>
      <c r="M12020">
        <v>38234</v>
      </c>
      <c r="N12020">
        <v>4476160.1399999997</v>
      </c>
      <c r="O12020">
        <v>117.07</v>
      </c>
    </row>
    <row r="12021" spans="1:15" x14ac:dyDescent="0.35">
      <c r="A12021" t="s">
        <v>1644</v>
      </c>
      <c r="B12021" t="s">
        <v>1644</v>
      </c>
      <c r="C12021" t="s">
        <v>1644</v>
      </c>
      <c r="D12021" t="s">
        <v>339</v>
      </c>
      <c r="E12021" t="s">
        <v>296</v>
      </c>
      <c r="F12021" t="s">
        <v>12859</v>
      </c>
      <c r="G12021">
        <v>4913</v>
      </c>
      <c r="H12021">
        <v>712962.95</v>
      </c>
      <c r="I12021">
        <v>145.12</v>
      </c>
      <c r="J12021">
        <v>1060</v>
      </c>
      <c r="K12021">
        <v>119187.64</v>
      </c>
      <c r="L12021">
        <v>112.44</v>
      </c>
      <c r="M12021">
        <v>5973</v>
      </c>
      <c r="N12021">
        <v>832150.59</v>
      </c>
      <c r="O12021">
        <v>139.32</v>
      </c>
    </row>
    <row r="12022" spans="1:15" x14ac:dyDescent="0.35">
      <c r="A12022" t="s">
        <v>1644</v>
      </c>
      <c r="B12022" t="s">
        <v>1644</v>
      </c>
      <c r="C12022" t="s">
        <v>1644</v>
      </c>
      <c r="D12022" t="s">
        <v>339</v>
      </c>
      <c r="E12022" t="s">
        <v>298</v>
      </c>
      <c r="F12022" t="s">
        <v>12860</v>
      </c>
      <c r="G12022">
        <v>234</v>
      </c>
      <c r="H12022">
        <v>38832.87000000001</v>
      </c>
      <c r="I12022">
        <v>165.95</v>
      </c>
      <c r="J12022">
        <v>89</v>
      </c>
      <c r="K12022">
        <v>14974.84</v>
      </c>
      <c r="L12022">
        <v>168.26</v>
      </c>
      <c r="M12022">
        <v>323</v>
      </c>
      <c r="N12022">
        <v>53807.710000000006</v>
      </c>
      <c r="O12022">
        <v>166.59</v>
      </c>
    </row>
    <row r="12023" spans="1:15" x14ac:dyDescent="0.35">
      <c r="A12023" t="s">
        <v>1644</v>
      </c>
      <c r="B12023" t="s">
        <v>1644</v>
      </c>
      <c r="C12023" t="s">
        <v>1644</v>
      </c>
      <c r="D12023" t="s">
        <v>339</v>
      </c>
      <c r="E12023" t="s">
        <v>300</v>
      </c>
      <c r="F12023" t="s">
        <v>12861</v>
      </c>
      <c r="G12023">
        <v>15</v>
      </c>
      <c r="H12023">
        <v>2954.5199999999995</v>
      </c>
      <c r="I12023">
        <v>196.97</v>
      </c>
      <c r="J12023">
        <v>4</v>
      </c>
      <c r="K12023">
        <v>1070.1600000000001</v>
      </c>
      <c r="L12023">
        <v>267.54000000000002</v>
      </c>
      <c r="M12023">
        <v>19</v>
      </c>
      <c r="N12023">
        <v>4024.68</v>
      </c>
      <c r="O12023">
        <v>211.83</v>
      </c>
    </row>
    <row r="12024" spans="1:15" x14ac:dyDescent="0.35">
      <c r="A12024" t="s">
        <v>1644</v>
      </c>
      <c r="B12024" t="s">
        <v>1644</v>
      </c>
      <c r="C12024" t="s">
        <v>1644</v>
      </c>
      <c r="D12024" t="s">
        <v>339</v>
      </c>
      <c r="E12024" t="s">
        <v>302</v>
      </c>
      <c r="F12024" t="s">
        <v>12862</v>
      </c>
      <c r="G12024">
        <v>0</v>
      </c>
      <c r="H12024">
        <v>0</v>
      </c>
      <c r="I12024">
        <v>0</v>
      </c>
      <c r="J12024">
        <v>0</v>
      </c>
      <c r="K12024">
        <v>0</v>
      </c>
      <c r="L12024">
        <v>0</v>
      </c>
      <c r="M12024">
        <v>0</v>
      </c>
      <c r="N12024">
        <v>0</v>
      </c>
      <c r="O12024">
        <v>0</v>
      </c>
    </row>
    <row r="12025" spans="1:15" x14ac:dyDescent="0.35">
      <c r="A12025" t="s">
        <v>1644</v>
      </c>
      <c r="B12025" t="s">
        <v>1644</v>
      </c>
      <c r="C12025" t="s">
        <v>1644</v>
      </c>
      <c r="D12025" t="s">
        <v>339</v>
      </c>
      <c r="E12025" t="s">
        <v>304</v>
      </c>
      <c r="F12025" t="s">
        <v>12863</v>
      </c>
      <c r="G12025">
        <v>0</v>
      </c>
      <c r="H12025">
        <v>0</v>
      </c>
      <c r="I12025">
        <v>0</v>
      </c>
      <c r="J12025">
        <v>0</v>
      </c>
      <c r="K12025">
        <v>0</v>
      </c>
      <c r="L12025">
        <v>0</v>
      </c>
      <c r="M12025">
        <v>0</v>
      </c>
      <c r="N12025">
        <v>0</v>
      </c>
      <c r="O12025">
        <v>0</v>
      </c>
    </row>
    <row r="12026" spans="1:15" x14ac:dyDescent="0.35">
      <c r="A12026" t="s">
        <v>1644</v>
      </c>
      <c r="B12026" t="s">
        <v>1644</v>
      </c>
      <c r="C12026" t="s">
        <v>1644</v>
      </c>
      <c r="D12026" t="s">
        <v>339</v>
      </c>
      <c r="E12026" t="s">
        <v>306</v>
      </c>
      <c r="F12026" t="s">
        <v>12864</v>
      </c>
      <c r="G12026">
        <v>4593</v>
      </c>
      <c r="H12026">
        <v>456581.15000000008</v>
      </c>
      <c r="I12026">
        <v>99.41</v>
      </c>
      <c r="J12026">
        <v>1605</v>
      </c>
      <c r="K12026">
        <v>134964.26999999999</v>
      </c>
      <c r="L12026">
        <v>84.09</v>
      </c>
      <c r="M12026">
        <v>6198</v>
      </c>
      <c r="N12026">
        <v>591545.42000000004</v>
      </c>
      <c r="O12026">
        <v>95.44</v>
      </c>
    </row>
    <row r="12027" spans="1:15" x14ac:dyDescent="0.35">
      <c r="A12027" t="s">
        <v>1644</v>
      </c>
      <c r="B12027" t="s">
        <v>1644</v>
      </c>
      <c r="C12027" t="s">
        <v>1644</v>
      </c>
      <c r="D12027" t="s">
        <v>339</v>
      </c>
      <c r="E12027" t="s">
        <v>308</v>
      </c>
      <c r="F12027" t="s">
        <v>12865</v>
      </c>
      <c r="G12027">
        <v>4612</v>
      </c>
      <c r="H12027">
        <v>667580.29999999993</v>
      </c>
      <c r="I12027">
        <v>144.75</v>
      </c>
      <c r="J12027">
        <v>125</v>
      </c>
      <c r="K12027">
        <v>11957.989999999998</v>
      </c>
      <c r="L12027">
        <v>95.66</v>
      </c>
      <c r="M12027">
        <v>4737</v>
      </c>
      <c r="N12027">
        <v>679538.2899999998</v>
      </c>
      <c r="O12027">
        <v>143.44999999999999</v>
      </c>
    </row>
    <row r="12028" spans="1:15" x14ac:dyDescent="0.35">
      <c r="A12028" t="s">
        <v>1644</v>
      </c>
      <c r="B12028" t="s">
        <v>1644</v>
      </c>
      <c r="C12028" t="s">
        <v>1644</v>
      </c>
      <c r="D12028" t="s">
        <v>339</v>
      </c>
      <c r="E12028" t="s">
        <v>310</v>
      </c>
      <c r="F12028" t="s">
        <v>12866</v>
      </c>
      <c r="G12028">
        <v>42225</v>
      </c>
      <c r="H12028">
        <v>5352716.7200000007</v>
      </c>
      <c r="I12028">
        <v>126.77</v>
      </c>
      <c r="J12028">
        <v>13259</v>
      </c>
      <c r="K12028">
        <v>1284510.1100000001</v>
      </c>
      <c r="L12028">
        <v>96.88</v>
      </c>
      <c r="M12028">
        <v>55484</v>
      </c>
      <c r="N12028">
        <v>6637226.830000001</v>
      </c>
      <c r="O12028">
        <v>119.62</v>
      </c>
    </row>
    <row r="12029" spans="1:15" x14ac:dyDescent="0.35">
      <c r="A12029" t="s">
        <v>1644</v>
      </c>
      <c r="B12029" t="s">
        <v>1644</v>
      </c>
      <c r="C12029" t="s">
        <v>1644</v>
      </c>
      <c r="D12029" t="s">
        <v>339</v>
      </c>
      <c r="E12029" t="s">
        <v>312</v>
      </c>
      <c r="F12029" t="s">
        <v>12867</v>
      </c>
      <c r="G12029">
        <v>37613</v>
      </c>
      <c r="H12029">
        <v>4685136.42</v>
      </c>
      <c r="I12029">
        <v>124.56</v>
      </c>
      <c r="J12029">
        <v>13134</v>
      </c>
      <c r="K12029">
        <v>1272552.1200000001</v>
      </c>
      <c r="L12029">
        <v>96.89</v>
      </c>
      <c r="M12029">
        <v>50747</v>
      </c>
      <c r="N12029">
        <v>5957688.54</v>
      </c>
      <c r="O12029">
        <v>117.4</v>
      </c>
    </row>
    <row r="12030" spans="1:15" x14ac:dyDescent="0.35">
      <c r="A12030" t="s">
        <v>1644</v>
      </c>
      <c r="B12030" t="s">
        <v>1644</v>
      </c>
      <c r="C12030" t="s">
        <v>1644</v>
      </c>
      <c r="D12030" t="s">
        <v>348</v>
      </c>
      <c r="E12030" t="s">
        <v>349</v>
      </c>
      <c r="F12030" t="s">
        <v>12868</v>
      </c>
      <c r="G12030">
        <v>53987</v>
      </c>
      <c r="H12030">
        <v>5912919.2999999998</v>
      </c>
      <c r="I12030">
        <v>132.63</v>
      </c>
      <c r="J12030">
        <v>14277</v>
      </c>
      <c r="K12030">
        <v>1449981.01</v>
      </c>
      <c r="L12030">
        <v>101.56</v>
      </c>
      <c r="M12030">
        <v>68264</v>
      </c>
      <c r="N12030">
        <v>7362900.3099999996</v>
      </c>
      <c r="O12030">
        <v>125.1</v>
      </c>
    </row>
    <row r="12031" spans="1:15" x14ac:dyDescent="0.35">
      <c r="A12031" t="s">
        <v>1644</v>
      </c>
      <c r="B12031" t="s">
        <v>1644</v>
      </c>
      <c r="C12031" t="s">
        <v>1644</v>
      </c>
      <c r="D12031" t="s">
        <v>310</v>
      </c>
      <c r="E12031" t="s">
        <v>310</v>
      </c>
      <c r="F12031" t="s">
        <v>12869</v>
      </c>
      <c r="G12031">
        <v>439917</v>
      </c>
      <c r="H12031">
        <v>52051264.390000001</v>
      </c>
      <c r="I12031">
        <v>145.57</v>
      </c>
      <c r="J12031">
        <v>174169</v>
      </c>
      <c r="K12031">
        <v>19923050.769999996</v>
      </c>
      <c r="L12031">
        <v>116.44</v>
      </c>
      <c r="M12031">
        <v>614086</v>
      </c>
      <c r="N12031">
        <v>71974315.159999996</v>
      </c>
      <c r="O12031">
        <v>136.13999999999999</v>
      </c>
    </row>
    <row r="12032" spans="1:15" x14ac:dyDescent="0.35">
      <c r="A12032" t="s">
        <v>1184</v>
      </c>
      <c r="B12032" t="s">
        <v>1184</v>
      </c>
      <c r="C12032" t="s">
        <v>1184</v>
      </c>
      <c r="D12032" t="s">
        <v>293</v>
      </c>
      <c r="E12032" t="s">
        <v>294</v>
      </c>
      <c r="F12032" t="s">
        <v>12870</v>
      </c>
      <c r="G12032">
        <v>6924</v>
      </c>
      <c r="H12032">
        <v>895437.22999999986</v>
      </c>
      <c r="I12032">
        <v>129.32</v>
      </c>
      <c r="J12032">
        <v>440</v>
      </c>
      <c r="K12032">
        <v>55790.039999999994</v>
      </c>
      <c r="L12032">
        <v>126.8</v>
      </c>
      <c r="M12032">
        <v>7364</v>
      </c>
      <c r="N12032">
        <v>951227.2699999999</v>
      </c>
      <c r="O12032">
        <v>129.16999999999999</v>
      </c>
    </row>
    <row r="12033" spans="1:15" x14ac:dyDescent="0.35">
      <c r="A12033" t="s">
        <v>1184</v>
      </c>
      <c r="B12033" t="s">
        <v>1184</v>
      </c>
      <c r="C12033" t="s">
        <v>1184</v>
      </c>
      <c r="D12033" t="s">
        <v>293</v>
      </c>
      <c r="E12033" t="s">
        <v>296</v>
      </c>
      <c r="F12033" t="s">
        <v>12871</v>
      </c>
      <c r="G12033">
        <v>15158</v>
      </c>
      <c r="H12033">
        <v>2379506.91</v>
      </c>
      <c r="I12033">
        <v>156.97999999999999</v>
      </c>
      <c r="J12033">
        <v>883</v>
      </c>
      <c r="K12033">
        <v>134023.02000000002</v>
      </c>
      <c r="L12033">
        <v>151.78</v>
      </c>
      <c r="M12033">
        <v>16041</v>
      </c>
      <c r="N12033">
        <v>2513529.9300000002</v>
      </c>
      <c r="O12033">
        <v>156.69</v>
      </c>
    </row>
    <row r="12034" spans="1:15" x14ac:dyDescent="0.35">
      <c r="A12034" t="s">
        <v>1184</v>
      </c>
      <c r="B12034" t="s">
        <v>1184</v>
      </c>
      <c r="C12034" t="s">
        <v>1184</v>
      </c>
      <c r="D12034" t="s">
        <v>293</v>
      </c>
      <c r="E12034" t="s">
        <v>298</v>
      </c>
      <c r="F12034" t="s">
        <v>12872</v>
      </c>
      <c r="G12034">
        <v>8491</v>
      </c>
      <c r="H12034">
        <v>1558696.1500000001</v>
      </c>
      <c r="I12034">
        <v>183.57</v>
      </c>
      <c r="J12034">
        <v>658</v>
      </c>
      <c r="K12034">
        <v>118448.19</v>
      </c>
      <c r="L12034">
        <v>180.01</v>
      </c>
      <c r="M12034">
        <v>9149</v>
      </c>
      <c r="N12034">
        <v>1677144.3400000003</v>
      </c>
      <c r="O12034">
        <v>183.31</v>
      </c>
    </row>
    <row r="12035" spans="1:15" x14ac:dyDescent="0.35">
      <c r="A12035" t="s">
        <v>1184</v>
      </c>
      <c r="B12035" t="s">
        <v>1184</v>
      </c>
      <c r="C12035" t="s">
        <v>1184</v>
      </c>
      <c r="D12035" t="s">
        <v>293</v>
      </c>
      <c r="E12035" t="s">
        <v>300</v>
      </c>
      <c r="F12035" t="s">
        <v>12873</v>
      </c>
      <c r="G12035">
        <v>1301</v>
      </c>
      <c r="H12035">
        <v>290956.93</v>
      </c>
      <c r="I12035">
        <v>223.64</v>
      </c>
      <c r="J12035">
        <v>106</v>
      </c>
      <c r="K12035">
        <v>24340.880000000001</v>
      </c>
      <c r="L12035">
        <v>229.63</v>
      </c>
      <c r="M12035">
        <v>1407</v>
      </c>
      <c r="N12035">
        <v>315297.81</v>
      </c>
      <c r="O12035">
        <v>224.09</v>
      </c>
    </row>
    <row r="12036" spans="1:15" x14ac:dyDescent="0.35">
      <c r="A12036" t="s">
        <v>1184</v>
      </c>
      <c r="B12036" t="s">
        <v>1184</v>
      </c>
      <c r="C12036" t="s">
        <v>1184</v>
      </c>
      <c r="D12036" t="s">
        <v>293</v>
      </c>
      <c r="E12036" t="s">
        <v>302</v>
      </c>
      <c r="F12036" t="s">
        <v>12874</v>
      </c>
      <c r="G12036">
        <v>38</v>
      </c>
      <c r="H12036">
        <v>8608.7699999999986</v>
      </c>
      <c r="I12036">
        <v>226.55</v>
      </c>
      <c r="J12036">
        <v>10</v>
      </c>
      <c r="K12036">
        <v>2509.6100000000006</v>
      </c>
      <c r="L12036">
        <v>250.96</v>
      </c>
      <c r="M12036">
        <v>48</v>
      </c>
      <c r="N12036">
        <v>11118.379999999997</v>
      </c>
      <c r="O12036">
        <v>231.63</v>
      </c>
    </row>
    <row r="12037" spans="1:15" x14ac:dyDescent="0.35">
      <c r="A12037" t="s">
        <v>1184</v>
      </c>
      <c r="B12037" t="s">
        <v>1184</v>
      </c>
      <c r="C12037" t="s">
        <v>1184</v>
      </c>
      <c r="D12037" t="s">
        <v>293</v>
      </c>
      <c r="E12037" t="s">
        <v>304</v>
      </c>
      <c r="F12037" t="s">
        <v>12875</v>
      </c>
      <c r="G12037">
        <v>3</v>
      </c>
      <c r="H12037">
        <v>756</v>
      </c>
      <c r="I12037">
        <v>252</v>
      </c>
      <c r="J12037">
        <v>7</v>
      </c>
      <c r="K12037">
        <v>1865.51</v>
      </c>
      <c r="L12037">
        <v>266.5</v>
      </c>
      <c r="M12037">
        <v>10</v>
      </c>
      <c r="N12037">
        <v>2621.51</v>
      </c>
      <c r="O12037">
        <v>262.14999999999998</v>
      </c>
    </row>
    <row r="12038" spans="1:15" x14ac:dyDescent="0.35">
      <c r="A12038" t="s">
        <v>1184</v>
      </c>
      <c r="B12038" t="s">
        <v>1184</v>
      </c>
      <c r="C12038" t="s">
        <v>1184</v>
      </c>
      <c r="D12038" t="s">
        <v>293</v>
      </c>
      <c r="E12038" t="s">
        <v>306</v>
      </c>
      <c r="F12038" t="s">
        <v>12876</v>
      </c>
      <c r="G12038">
        <v>54</v>
      </c>
      <c r="H12038">
        <v>6746.6599999999989</v>
      </c>
      <c r="I12038">
        <v>124.94</v>
      </c>
      <c r="J12038">
        <v>5</v>
      </c>
      <c r="K12038">
        <v>444.7</v>
      </c>
      <c r="L12038">
        <v>88.94</v>
      </c>
      <c r="M12038">
        <v>59</v>
      </c>
      <c r="N12038">
        <v>7191.36</v>
      </c>
      <c r="O12038">
        <v>121.89</v>
      </c>
    </row>
    <row r="12039" spans="1:15" x14ac:dyDescent="0.35">
      <c r="A12039" t="s">
        <v>1184</v>
      </c>
      <c r="B12039" t="s">
        <v>1184</v>
      </c>
      <c r="C12039" t="s">
        <v>1184</v>
      </c>
      <c r="D12039" t="s">
        <v>293</v>
      </c>
      <c r="E12039" t="s">
        <v>308</v>
      </c>
      <c r="F12039" t="s">
        <v>12877</v>
      </c>
      <c r="G12039">
        <v>12</v>
      </c>
      <c r="H12039">
        <v>2002.8000000000002</v>
      </c>
      <c r="I12039">
        <v>166.9</v>
      </c>
      <c r="J12039">
        <v>0</v>
      </c>
      <c r="K12039">
        <v>0</v>
      </c>
      <c r="L12039">
        <v>0</v>
      </c>
      <c r="M12039">
        <v>12</v>
      </c>
      <c r="N12039">
        <v>2002.8000000000002</v>
      </c>
      <c r="O12039">
        <v>166.9</v>
      </c>
    </row>
    <row r="12040" spans="1:15" x14ac:dyDescent="0.35">
      <c r="A12040" t="s">
        <v>1184</v>
      </c>
      <c r="B12040" t="s">
        <v>1184</v>
      </c>
      <c r="C12040" t="s">
        <v>1184</v>
      </c>
      <c r="D12040" t="s">
        <v>293</v>
      </c>
      <c r="E12040" t="s">
        <v>310</v>
      </c>
      <c r="F12040" t="s">
        <v>12878</v>
      </c>
      <c r="G12040">
        <v>31981</v>
      </c>
      <c r="H12040">
        <v>5142711.45</v>
      </c>
      <c r="I12040">
        <v>160.81</v>
      </c>
      <c r="J12040">
        <v>2109</v>
      </c>
      <c r="K12040">
        <v>337421.94999999995</v>
      </c>
      <c r="L12040">
        <v>159.99</v>
      </c>
      <c r="M12040">
        <v>34090</v>
      </c>
      <c r="N12040">
        <v>5480133.4000000004</v>
      </c>
      <c r="O12040">
        <v>160.75</v>
      </c>
    </row>
    <row r="12041" spans="1:15" x14ac:dyDescent="0.35">
      <c r="A12041" t="s">
        <v>1184</v>
      </c>
      <c r="B12041" t="s">
        <v>1184</v>
      </c>
      <c r="C12041" t="s">
        <v>1184</v>
      </c>
      <c r="D12041" t="s">
        <v>293</v>
      </c>
      <c r="E12041" t="s">
        <v>312</v>
      </c>
      <c r="F12041" t="s">
        <v>12879</v>
      </c>
      <c r="G12041">
        <v>31969</v>
      </c>
      <c r="H12041">
        <v>5140708.6500000004</v>
      </c>
      <c r="I12041">
        <v>160.80000000000001</v>
      </c>
      <c r="J12041">
        <v>2109</v>
      </c>
      <c r="K12041">
        <v>337421.94999999995</v>
      </c>
      <c r="L12041">
        <v>159.99</v>
      </c>
      <c r="M12041">
        <v>34078</v>
      </c>
      <c r="N12041">
        <v>5478130.6000000006</v>
      </c>
      <c r="O12041">
        <v>160.75</v>
      </c>
    </row>
    <row r="12042" spans="1:15" x14ac:dyDescent="0.35">
      <c r="A12042" t="s">
        <v>1184</v>
      </c>
      <c r="B12042" t="s">
        <v>1184</v>
      </c>
      <c r="C12042" t="s">
        <v>1184</v>
      </c>
      <c r="D12042" t="s">
        <v>314</v>
      </c>
      <c r="E12042" t="s">
        <v>294</v>
      </c>
      <c r="F12042" t="s">
        <v>12880</v>
      </c>
      <c r="G12042">
        <v>694</v>
      </c>
      <c r="H12042">
        <v>121826.05</v>
      </c>
      <c r="I12042">
        <v>175.54</v>
      </c>
      <c r="J12042">
        <v>196</v>
      </c>
      <c r="K12042">
        <v>33496.949999999997</v>
      </c>
      <c r="L12042">
        <v>170.9</v>
      </c>
      <c r="M12042">
        <v>890</v>
      </c>
      <c r="N12042">
        <v>155323</v>
      </c>
      <c r="O12042">
        <v>174.52</v>
      </c>
    </row>
    <row r="12043" spans="1:15" x14ac:dyDescent="0.35">
      <c r="A12043" t="s">
        <v>1184</v>
      </c>
      <c r="B12043" t="s">
        <v>1184</v>
      </c>
      <c r="C12043" t="s">
        <v>1184</v>
      </c>
      <c r="D12043" t="s">
        <v>314</v>
      </c>
      <c r="E12043" t="s">
        <v>296</v>
      </c>
      <c r="F12043" t="s">
        <v>12881</v>
      </c>
      <c r="G12043">
        <v>367</v>
      </c>
      <c r="H12043">
        <v>73169.62999999999</v>
      </c>
      <c r="I12043">
        <v>199.37</v>
      </c>
      <c r="J12043">
        <v>100</v>
      </c>
      <c r="K12043">
        <v>19153.79</v>
      </c>
      <c r="L12043">
        <v>191.54</v>
      </c>
      <c r="M12043">
        <v>467</v>
      </c>
      <c r="N12043">
        <v>92323.419999999984</v>
      </c>
      <c r="O12043">
        <v>197.69</v>
      </c>
    </row>
    <row r="12044" spans="1:15" x14ac:dyDescent="0.35">
      <c r="A12044" t="s">
        <v>1184</v>
      </c>
      <c r="B12044" t="s">
        <v>1184</v>
      </c>
      <c r="C12044" t="s">
        <v>1184</v>
      </c>
      <c r="D12044" t="s">
        <v>314</v>
      </c>
      <c r="E12044" t="s">
        <v>298</v>
      </c>
      <c r="F12044" t="s">
        <v>12882</v>
      </c>
      <c r="G12044">
        <v>17</v>
      </c>
      <c r="H12044">
        <v>4760.05</v>
      </c>
      <c r="I12044">
        <v>280</v>
      </c>
      <c r="J12044">
        <v>1</v>
      </c>
      <c r="K12044">
        <v>193.66</v>
      </c>
      <c r="L12044">
        <v>193.66</v>
      </c>
      <c r="M12044">
        <v>18</v>
      </c>
      <c r="N12044">
        <v>4953.71</v>
      </c>
      <c r="O12044">
        <v>275.20999999999998</v>
      </c>
    </row>
    <row r="12045" spans="1:15" x14ac:dyDescent="0.35">
      <c r="A12045" t="s">
        <v>1184</v>
      </c>
      <c r="B12045" t="s">
        <v>1184</v>
      </c>
      <c r="C12045" t="s">
        <v>1184</v>
      </c>
      <c r="D12045" t="s">
        <v>314</v>
      </c>
      <c r="E12045" t="s">
        <v>300</v>
      </c>
      <c r="F12045" t="s">
        <v>12883</v>
      </c>
      <c r="G12045">
        <v>3</v>
      </c>
      <c r="H12045">
        <v>1039.47</v>
      </c>
      <c r="I12045">
        <v>346.49</v>
      </c>
      <c r="J12045">
        <v>0</v>
      </c>
      <c r="K12045">
        <v>0</v>
      </c>
      <c r="L12045">
        <v>0</v>
      </c>
      <c r="M12045">
        <v>3</v>
      </c>
      <c r="N12045">
        <v>1039.47</v>
      </c>
      <c r="O12045">
        <v>346.49</v>
      </c>
    </row>
    <row r="12046" spans="1:15" x14ac:dyDescent="0.35">
      <c r="A12046" t="s">
        <v>1184</v>
      </c>
      <c r="B12046" t="s">
        <v>1184</v>
      </c>
      <c r="C12046" t="s">
        <v>1184</v>
      </c>
      <c r="D12046" t="s">
        <v>314</v>
      </c>
      <c r="E12046" t="s">
        <v>306</v>
      </c>
      <c r="F12046" t="s">
        <v>12884</v>
      </c>
      <c r="G12046">
        <v>22</v>
      </c>
      <c r="H12046">
        <v>5128.92</v>
      </c>
      <c r="I12046">
        <v>233.13</v>
      </c>
      <c r="J12046">
        <v>59</v>
      </c>
      <c r="K12046">
        <v>6096.8099999999995</v>
      </c>
      <c r="L12046">
        <v>103.34</v>
      </c>
      <c r="M12046">
        <v>81</v>
      </c>
      <c r="N12046">
        <v>11225.73</v>
      </c>
      <c r="O12046">
        <v>138.59</v>
      </c>
    </row>
    <row r="12047" spans="1:15" x14ac:dyDescent="0.35">
      <c r="A12047" t="s">
        <v>1184</v>
      </c>
      <c r="B12047" t="s">
        <v>1184</v>
      </c>
      <c r="C12047" t="s">
        <v>1184</v>
      </c>
      <c r="D12047" t="s">
        <v>314</v>
      </c>
      <c r="E12047" t="s">
        <v>308</v>
      </c>
      <c r="F12047" t="s">
        <v>12885</v>
      </c>
      <c r="G12047">
        <v>100</v>
      </c>
      <c r="H12047">
        <v>28841.690000000002</v>
      </c>
      <c r="I12047">
        <v>288.42</v>
      </c>
      <c r="J12047">
        <v>24</v>
      </c>
      <c r="K12047">
        <v>7650.4100000000008</v>
      </c>
      <c r="L12047">
        <v>318.77</v>
      </c>
      <c r="M12047">
        <v>124</v>
      </c>
      <c r="N12047">
        <v>36492.100000000006</v>
      </c>
      <c r="O12047">
        <v>294.29000000000002</v>
      </c>
    </row>
    <row r="12048" spans="1:15" x14ac:dyDescent="0.35">
      <c r="A12048" t="s">
        <v>1184</v>
      </c>
      <c r="B12048" t="s">
        <v>1184</v>
      </c>
      <c r="C12048" t="s">
        <v>1184</v>
      </c>
      <c r="D12048" t="s">
        <v>314</v>
      </c>
      <c r="E12048" t="s">
        <v>312</v>
      </c>
      <c r="F12048" t="s">
        <v>12886</v>
      </c>
      <c r="G12048">
        <v>1103</v>
      </c>
      <c r="H12048">
        <v>205924.12000000005</v>
      </c>
      <c r="I12048">
        <v>186.69</v>
      </c>
      <c r="J12048">
        <v>356</v>
      </c>
      <c r="K12048">
        <v>58941.21</v>
      </c>
      <c r="L12048">
        <v>165.57</v>
      </c>
      <c r="M12048">
        <v>1459</v>
      </c>
      <c r="N12048">
        <v>264865.33000000007</v>
      </c>
      <c r="O12048">
        <v>181.54</v>
      </c>
    </row>
    <row r="12049" spans="1:15" x14ac:dyDescent="0.35">
      <c r="A12049" t="s">
        <v>1184</v>
      </c>
      <c r="B12049" t="s">
        <v>1184</v>
      </c>
      <c r="C12049" t="s">
        <v>1184</v>
      </c>
      <c r="D12049" t="s">
        <v>314</v>
      </c>
      <c r="E12049" t="s">
        <v>310</v>
      </c>
      <c r="F12049" t="s">
        <v>12887</v>
      </c>
      <c r="G12049">
        <v>1203</v>
      </c>
      <c r="H12049">
        <v>234765.81000000003</v>
      </c>
      <c r="I12049">
        <v>195.15</v>
      </c>
      <c r="J12049">
        <v>380</v>
      </c>
      <c r="K12049">
        <v>66591.62</v>
      </c>
      <c r="L12049">
        <v>175.24</v>
      </c>
      <c r="M12049">
        <v>1583</v>
      </c>
      <c r="N12049">
        <v>301357.43000000005</v>
      </c>
      <c r="O12049">
        <v>190.37</v>
      </c>
    </row>
    <row r="12050" spans="1:15" x14ac:dyDescent="0.35">
      <c r="A12050" t="s">
        <v>1184</v>
      </c>
      <c r="B12050" t="s">
        <v>1184</v>
      </c>
      <c r="C12050" t="s">
        <v>1184</v>
      </c>
      <c r="D12050" t="s">
        <v>323</v>
      </c>
      <c r="E12050" t="s">
        <v>294</v>
      </c>
      <c r="F12050" t="s">
        <v>12888</v>
      </c>
      <c r="G12050">
        <v>35925</v>
      </c>
      <c r="H12050">
        <v>3468813.18</v>
      </c>
      <c r="I12050">
        <v>96.56</v>
      </c>
      <c r="J12050">
        <v>19808</v>
      </c>
      <c r="K12050">
        <v>1709166.45</v>
      </c>
      <c r="L12050">
        <v>86.29</v>
      </c>
      <c r="M12050">
        <v>55733</v>
      </c>
      <c r="N12050">
        <v>5177979.63</v>
      </c>
      <c r="O12050">
        <v>92.91</v>
      </c>
    </row>
    <row r="12051" spans="1:15" x14ac:dyDescent="0.35">
      <c r="A12051" t="s">
        <v>1184</v>
      </c>
      <c r="B12051" t="s">
        <v>1184</v>
      </c>
      <c r="C12051" t="s">
        <v>1184</v>
      </c>
      <c r="D12051" t="s">
        <v>323</v>
      </c>
      <c r="E12051" t="s">
        <v>296</v>
      </c>
      <c r="F12051" t="s">
        <v>12889</v>
      </c>
      <c r="G12051">
        <v>71035</v>
      </c>
      <c r="H12051">
        <v>8022666.4299999997</v>
      </c>
      <c r="I12051">
        <v>112.94</v>
      </c>
      <c r="J12051">
        <v>30948</v>
      </c>
      <c r="K12051">
        <v>2995125.2600000002</v>
      </c>
      <c r="L12051">
        <v>96.78</v>
      </c>
      <c r="M12051">
        <v>101983</v>
      </c>
      <c r="N12051">
        <v>11017791.690000005</v>
      </c>
      <c r="O12051">
        <v>108.04</v>
      </c>
    </row>
    <row r="12052" spans="1:15" x14ac:dyDescent="0.35">
      <c r="A12052" t="s">
        <v>1184</v>
      </c>
      <c r="B12052" t="s">
        <v>1184</v>
      </c>
      <c r="C12052" t="s">
        <v>1184</v>
      </c>
      <c r="D12052" t="s">
        <v>323</v>
      </c>
      <c r="E12052" t="s">
        <v>298</v>
      </c>
      <c r="F12052" t="s">
        <v>12890</v>
      </c>
      <c r="G12052">
        <v>59336</v>
      </c>
      <c r="H12052">
        <v>7477535.79</v>
      </c>
      <c r="I12052">
        <v>126.02</v>
      </c>
      <c r="J12052">
        <v>29254</v>
      </c>
      <c r="K12052">
        <v>3169150.16</v>
      </c>
      <c r="L12052">
        <v>108.33</v>
      </c>
      <c r="M12052">
        <v>88590</v>
      </c>
      <c r="N12052">
        <v>10646685.950000001</v>
      </c>
      <c r="O12052">
        <v>120.18</v>
      </c>
    </row>
    <row r="12053" spans="1:15" x14ac:dyDescent="0.35">
      <c r="A12053" t="s">
        <v>1184</v>
      </c>
      <c r="B12053" t="s">
        <v>1184</v>
      </c>
      <c r="C12053" t="s">
        <v>1184</v>
      </c>
      <c r="D12053" t="s">
        <v>323</v>
      </c>
      <c r="E12053" t="s">
        <v>300</v>
      </c>
      <c r="F12053" t="s">
        <v>12891</v>
      </c>
      <c r="G12053">
        <v>5567</v>
      </c>
      <c r="H12053">
        <v>814460.02000000014</v>
      </c>
      <c r="I12053">
        <v>146.30000000000001</v>
      </c>
      <c r="J12053">
        <v>1681</v>
      </c>
      <c r="K12053">
        <v>202091.5</v>
      </c>
      <c r="L12053">
        <v>120.22</v>
      </c>
      <c r="M12053">
        <v>7248</v>
      </c>
      <c r="N12053">
        <v>1016551.52</v>
      </c>
      <c r="O12053">
        <v>140.25</v>
      </c>
    </row>
    <row r="12054" spans="1:15" x14ac:dyDescent="0.35">
      <c r="A12054" t="s">
        <v>1184</v>
      </c>
      <c r="B12054" t="s">
        <v>1184</v>
      </c>
      <c r="C12054" t="s">
        <v>1184</v>
      </c>
      <c r="D12054" t="s">
        <v>323</v>
      </c>
      <c r="E12054" t="s">
        <v>302</v>
      </c>
      <c r="F12054" t="s">
        <v>12892</v>
      </c>
      <c r="G12054">
        <v>259</v>
      </c>
      <c r="H12054">
        <v>40468.229999999996</v>
      </c>
      <c r="I12054">
        <v>156.25</v>
      </c>
      <c r="J12054">
        <v>85</v>
      </c>
      <c r="K12054">
        <v>11069.089999999998</v>
      </c>
      <c r="L12054">
        <v>130.22</v>
      </c>
      <c r="M12054">
        <v>344</v>
      </c>
      <c r="N12054">
        <v>51537.319999999992</v>
      </c>
      <c r="O12054">
        <v>149.82</v>
      </c>
    </row>
    <row r="12055" spans="1:15" x14ac:dyDescent="0.35">
      <c r="A12055" t="s">
        <v>1184</v>
      </c>
      <c r="B12055" t="s">
        <v>1184</v>
      </c>
      <c r="C12055" t="s">
        <v>1184</v>
      </c>
      <c r="D12055" t="s">
        <v>323</v>
      </c>
      <c r="E12055" t="s">
        <v>304</v>
      </c>
      <c r="F12055" t="s">
        <v>12893</v>
      </c>
      <c r="G12055">
        <v>55</v>
      </c>
      <c r="H12055">
        <v>8791.81</v>
      </c>
      <c r="I12055">
        <v>159.85</v>
      </c>
      <c r="J12055">
        <v>30</v>
      </c>
      <c r="K12055">
        <v>4199.9399999999996</v>
      </c>
      <c r="L12055">
        <v>140</v>
      </c>
      <c r="M12055">
        <v>85</v>
      </c>
      <c r="N12055">
        <v>12991.749999999998</v>
      </c>
      <c r="O12055">
        <v>152.84</v>
      </c>
    </row>
    <row r="12056" spans="1:15" x14ac:dyDescent="0.35">
      <c r="A12056" t="s">
        <v>1184</v>
      </c>
      <c r="B12056" t="s">
        <v>1184</v>
      </c>
      <c r="C12056" t="s">
        <v>1184</v>
      </c>
      <c r="D12056" t="s">
        <v>323</v>
      </c>
      <c r="E12056" t="s">
        <v>306</v>
      </c>
      <c r="F12056" t="s">
        <v>12894</v>
      </c>
      <c r="G12056">
        <v>1500</v>
      </c>
      <c r="H12056">
        <v>121844.42000000001</v>
      </c>
      <c r="I12056">
        <v>81.23</v>
      </c>
      <c r="J12056">
        <v>1153</v>
      </c>
      <c r="K12056">
        <v>89569.01</v>
      </c>
      <c r="L12056">
        <v>77.680000000000007</v>
      </c>
      <c r="M12056">
        <v>2653</v>
      </c>
      <c r="N12056">
        <v>211413.43000000005</v>
      </c>
      <c r="O12056">
        <v>79.69</v>
      </c>
    </row>
    <row r="12057" spans="1:15" x14ac:dyDescent="0.35">
      <c r="A12057" t="s">
        <v>1184</v>
      </c>
      <c r="B12057" t="s">
        <v>1184</v>
      </c>
      <c r="C12057" t="s">
        <v>1184</v>
      </c>
      <c r="D12057" t="s">
        <v>323</v>
      </c>
      <c r="E12057" t="s">
        <v>308</v>
      </c>
      <c r="F12057" t="s">
        <v>12895</v>
      </c>
      <c r="G12057">
        <v>17</v>
      </c>
      <c r="H12057">
        <v>1380.5500000000002</v>
      </c>
      <c r="I12057">
        <v>81.209999999999994</v>
      </c>
      <c r="J12057">
        <v>20</v>
      </c>
      <c r="K12057">
        <v>1426.3999999999999</v>
      </c>
      <c r="L12057">
        <v>71.319999999999993</v>
      </c>
      <c r="M12057">
        <v>37</v>
      </c>
      <c r="N12057">
        <v>2806.95</v>
      </c>
      <c r="O12057">
        <v>75.86</v>
      </c>
    </row>
    <row r="12058" spans="1:15" x14ac:dyDescent="0.35">
      <c r="A12058" t="s">
        <v>1184</v>
      </c>
      <c r="B12058" t="s">
        <v>1184</v>
      </c>
      <c r="C12058" t="s">
        <v>1184</v>
      </c>
      <c r="D12058" t="s">
        <v>323</v>
      </c>
      <c r="E12058" t="s">
        <v>310</v>
      </c>
      <c r="F12058" t="s">
        <v>12896</v>
      </c>
      <c r="G12058">
        <v>173694</v>
      </c>
      <c r="H12058">
        <v>19955960.429999996</v>
      </c>
      <c r="I12058">
        <v>114.89</v>
      </c>
      <c r="J12058">
        <v>82979</v>
      </c>
      <c r="K12058">
        <v>8181797.8100000005</v>
      </c>
      <c r="L12058">
        <v>98.6</v>
      </c>
      <c r="M12058">
        <v>256673</v>
      </c>
      <c r="N12058">
        <v>28137758.239999995</v>
      </c>
      <c r="O12058">
        <v>109.62</v>
      </c>
    </row>
    <row r="12059" spans="1:15" x14ac:dyDescent="0.35">
      <c r="A12059" t="s">
        <v>1184</v>
      </c>
      <c r="B12059" t="s">
        <v>1184</v>
      </c>
      <c r="C12059" t="s">
        <v>1184</v>
      </c>
      <c r="D12059" t="s">
        <v>323</v>
      </c>
      <c r="E12059" t="s">
        <v>312</v>
      </c>
      <c r="F12059" t="s">
        <v>12897</v>
      </c>
      <c r="G12059">
        <v>173677</v>
      </c>
      <c r="H12059">
        <v>19954579.879999999</v>
      </c>
      <c r="I12059">
        <v>114.89</v>
      </c>
      <c r="J12059">
        <v>82959</v>
      </c>
      <c r="K12059">
        <v>8180371.4100000011</v>
      </c>
      <c r="L12059">
        <v>98.61</v>
      </c>
      <c r="M12059">
        <v>256636</v>
      </c>
      <c r="N12059">
        <v>28134951.289999999</v>
      </c>
      <c r="O12059">
        <v>109.63</v>
      </c>
    </row>
    <row r="12060" spans="1:15" x14ac:dyDescent="0.35">
      <c r="A12060" t="s">
        <v>1184</v>
      </c>
      <c r="B12060" t="s">
        <v>1184</v>
      </c>
      <c r="C12060" t="s">
        <v>1184</v>
      </c>
      <c r="D12060" t="s">
        <v>334</v>
      </c>
      <c r="E12060" t="s">
        <v>312</v>
      </c>
      <c r="F12060" t="s">
        <v>12898</v>
      </c>
      <c r="G12060">
        <v>212374</v>
      </c>
      <c r="H12060">
        <v>25095288.530000001</v>
      </c>
      <c r="I12060">
        <v>122.03</v>
      </c>
      <c r="J12060">
        <v>85068</v>
      </c>
      <c r="K12060">
        <v>8517793.3599999994</v>
      </c>
      <c r="L12060">
        <v>100.13</v>
      </c>
      <c r="M12060">
        <v>297442</v>
      </c>
      <c r="N12060">
        <v>33613081.890000001</v>
      </c>
      <c r="O12060">
        <v>115.62</v>
      </c>
    </row>
    <row r="12061" spans="1:15" x14ac:dyDescent="0.35">
      <c r="A12061" t="s">
        <v>1184</v>
      </c>
      <c r="B12061" t="s">
        <v>1184</v>
      </c>
      <c r="C12061" t="s">
        <v>1184</v>
      </c>
      <c r="D12061" t="s">
        <v>334</v>
      </c>
      <c r="E12061" t="s">
        <v>308</v>
      </c>
      <c r="F12061" t="s">
        <v>12899</v>
      </c>
      <c r="G12061">
        <v>354</v>
      </c>
      <c r="H12061">
        <v>3383.3500000000004</v>
      </c>
      <c r="I12061">
        <v>116.67</v>
      </c>
      <c r="J12061">
        <v>20</v>
      </c>
      <c r="K12061">
        <v>1426.3999999999999</v>
      </c>
      <c r="L12061">
        <v>71.319999999999993</v>
      </c>
      <c r="M12061">
        <v>374</v>
      </c>
      <c r="N12061">
        <v>4809.75</v>
      </c>
      <c r="O12061">
        <v>98.16</v>
      </c>
    </row>
    <row r="12062" spans="1:15" x14ac:dyDescent="0.35">
      <c r="A12062" t="s">
        <v>1184</v>
      </c>
      <c r="B12062" t="s">
        <v>1184</v>
      </c>
      <c r="C12062" t="s">
        <v>1184</v>
      </c>
      <c r="D12062" t="s">
        <v>337</v>
      </c>
      <c r="E12062" t="s">
        <v>337</v>
      </c>
      <c r="F12062" t="s">
        <v>12900</v>
      </c>
      <c r="G12062">
        <v>30265</v>
      </c>
      <c r="J12062">
        <v>368</v>
      </c>
      <c r="M12062">
        <v>30633</v>
      </c>
    </row>
    <row r="12063" spans="1:15" x14ac:dyDescent="0.35">
      <c r="A12063" t="s">
        <v>1184</v>
      </c>
      <c r="B12063" t="s">
        <v>1184</v>
      </c>
      <c r="C12063" t="s">
        <v>1184</v>
      </c>
      <c r="D12063" t="s">
        <v>339</v>
      </c>
      <c r="E12063" t="s">
        <v>294</v>
      </c>
      <c r="F12063" t="s">
        <v>12901</v>
      </c>
      <c r="G12063">
        <v>25653</v>
      </c>
      <c r="H12063">
        <v>2796016.5699999994</v>
      </c>
      <c r="I12063">
        <v>108.99</v>
      </c>
      <c r="J12063">
        <v>6658</v>
      </c>
      <c r="K12063">
        <v>612848.14</v>
      </c>
      <c r="L12063">
        <v>92.05</v>
      </c>
      <c r="M12063">
        <v>32311</v>
      </c>
      <c r="N12063">
        <v>3408864.71</v>
      </c>
      <c r="O12063">
        <v>105.5</v>
      </c>
    </row>
    <row r="12064" spans="1:15" x14ac:dyDescent="0.35">
      <c r="A12064" t="s">
        <v>1184</v>
      </c>
      <c r="B12064" t="s">
        <v>1184</v>
      </c>
      <c r="C12064" t="s">
        <v>1184</v>
      </c>
      <c r="D12064" t="s">
        <v>339</v>
      </c>
      <c r="E12064" t="s">
        <v>296</v>
      </c>
      <c r="F12064" t="s">
        <v>12902</v>
      </c>
      <c r="G12064">
        <v>6373</v>
      </c>
      <c r="H12064">
        <v>796821.08000000007</v>
      </c>
      <c r="I12064">
        <v>125.03</v>
      </c>
      <c r="J12064">
        <v>1044</v>
      </c>
      <c r="K12064">
        <v>105170.95000000001</v>
      </c>
      <c r="L12064">
        <v>100.74</v>
      </c>
      <c r="M12064">
        <v>7417</v>
      </c>
      <c r="N12064">
        <v>901992.03</v>
      </c>
      <c r="O12064">
        <v>121.61</v>
      </c>
    </row>
    <row r="12065" spans="1:15" x14ac:dyDescent="0.35">
      <c r="A12065" t="s">
        <v>1184</v>
      </c>
      <c r="B12065" t="s">
        <v>1184</v>
      </c>
      <c r="C12065" t="s">
        <v>1184</v>
      </c>
      <c r="D12065" t="s">
        <v>339</v>
      </c>
      <c r="E12065" t="s">
        <v>298</v>
      </c>
      <c r="F12065" t="s">
        <v>12903</v>
      </c>
      <c r="G12065">
        <v>196</v>
      </c>
      <c r="H12065">
        <v>29438.329999999998</v>
      </c>
      <c r="I12065">
        <v>150.19999999999999</v>
      </c>
      <c r="J12065">
        <v>37</v>
      </c>
      <c r="K12065">
        <v>4193.97</v>
      </c>
      <c r="L12065">
        <v>113.35</v>
      </c>
      <c r="M12065">
        <v>233</v>
      </c>
      <c r="N12065">
        <v>33632.299999999996</v>
      </c>
      <c r="O12065">
        <v>144.34</v>
      </c>
    </row>
    <row r="12066" spans="1:15" x14ac:dyDescent="0.35">
      <c r="A12066" t="s">
        <v>1184</v>
      </c>
      <c r="B12066" t="s">
        <v>1184</v>
      </c>
      <c r="C12066" t="s">
        <v>1184</v>
      </c>
      <c r="D12066" t="s">
        <v>339</v>
      </c>
      <c r="E12066" t="s">
        <v>300</v>
      </c>
      <c r="F12066" t="s">
        <v>12904</v>
      </c>
      <c r="G12066">
        <v>19</v>
      </c>
      <c r="H12066">
        <v>3781.5500000000006</v>
      </c>
      <c r="I12066">
        <v>199.03</v>
      </c>
      <c r="J12066">
        <v>2</v>
      </c>
      <c r="K12066">
        <v>284.68</v>
      </c>
      <c r="L12066">
        <v>142.34</v>
      </c>
      <c r="M12066">
        <v>21</v>
      </c>
      <c r="N12066">
        <v>4066.23</v>
      </c>
      <c r="O12066">
        <v>193.63</v>
      </c>
    </row>
    <row r="12067" spans="1:15" x14ac:dyDescent="0.35">
      <c r="A12067" t="s">
        <v>1184</v>
      </c>
      <c r="B12067" t="s">
        <v>1184</v>
      </c>
      <c r="C12067" t="s">
        <v>1184</v>
      </c>
      <c r="D12067" t="s">
        <v>339</v>
      </c>
      <c r="E12067" t="s">
        <v>302</v>
      </c>
      <c r="F12067" t="s">
        <v>12905</v>
      </c>
      <c r="G12067">
        <v>0</v>
      </c>
      <c r="H12067">
        <v>0</v>
      </c>
      <c r="I12067">
        <v>0</v>
      </c>
      <c r="J12067">
        <v>0</v>
      </c>
      <c r="K12067">
        <v>0</v>
      </c>
      <c r="L12067">
        <v>0</v>
      </c>
      <c r="M12067">
        <v>0</v>
      </c>
      <c r="N12067">
        <v>0</v>
      </c>
      <c r="O12067">
        <v>0</v>
      </c>
    </row>
    <row r="12068" spans="1:15" x14ac:dyDescent="0.35">
      <c r="A12068" t="s">
        <v>1184</v>
      </c>
      <c r="B12068" t="s">
        <v>1184</v>
      </c>
      <c r="C12068" t="s">
        <v>1184</v>
      </c>
      <c r="D12068" t="s">
        <v>339</v>
      </c>
      <c r="E12068" t="s">
        <v>304</v>
      </c>
      <c r="F12068" t="s">
        <v>12906</v>
      </c>
      <c r="G12068">
        <v>0</v>
      </c>
      <c r="H12068">
        <v>0</v>
      </c>
      <c r="I12068">
        <v>0</v>
      </c>
      <c r="J12068">
        <v>0</v>
      </c>
      <c r="K12068">
        <v>0</v>
      </c>
      <c r="L12068">
        <v>0</v>
      </c>
      <c r="M12068">
        <v>0</v>
      </c>
      <c r="N12068">
        <v>0</v>
      </c>
      <c r="O12068">
        <v>0</v>
      </c>
    </row>
    <row r="12069" spans="1:15" x14ac:dyDescent="0.35">
      <c r="A12069" t="s">
        <v>1184</v>
      </c>
      <c r="B12069" t="s">
        <v>1184</v>
      </c>
      <c r="C12069" t="s">
        <v>1184</v>
      </c>
      <c r="D12069" t="s">
        <v>339</v>
      </c>
      <c r="E12069" t="s">
        <v>306</v>
      </c>
      <c r="F12069" t="s">
        <v>12907</v>
      </c>
      <c r="G12069">
        <v>1867</v>
      </c>
      <c r="H12069">
        <v>185321.29</v>
      </c>
      <c r="I12069">
        <v>99.26</v>
      </c>
      <c r="J12069">
        <v>450</v>
      </c>
      <c r="K12069">
        <v>37627.01</v>
      </c>
      <c r="L12069">
        <v>83.62</v>
      </c>
      <c r="M12069">
        <v>2317</v>
      </c>
      <c r="N12069">
        <v>222948.30000000008</v>
      </c>
      <c r="O12069">
        <v>96.22</v>
      </c>
    </row>
    <row r="12070" spans="1:15" x14ac:dyDescent="0.35">
      <c r="A12070" t="s">
        <v>1184</v>
      </c>
      <c r="B12070" t="s">
        <v>1184</v>
      </c>
      <c r="C12070" t="s">
        <v>1184</v>
      </c>
      <c r="D12070" t="s">
        <v>339</v>
      </c>
      <c r="E12070" t="s">
        <v>308</v>
      </c>
      <c r="F12070" t="s">
        <v>12908</v>
      </c>
      <c r="G12070">
        <v>4095</v>
      </c>
      <c r="H12070">
        <v>498086.43999999994</v>
      </c>
      <c r="I12070">
        <v>121.63</v>
      </c>
      <c r="J12070">
        <v>33</v>
      </c>
      <c r="K12070">
        <v>4282.4100000000008</v>
      </c>
      <c r="L12070">
        <v>129.77000000000001</v>
      </c>
      <c r="M12070">
        <v>4128</v>
      </c>
      <c r="N12070">
        <v>502368.85</v>
      </c>
      <c r="O12070">
        <v>121.7</v>
      </c>
    </row>
    <row r="12071" spans="1:15" x14ac:dyDescent="0.35">
      <c r="A12071" t="s">
        <v>1184</v>
      </c>
      <c r="B12071" t="s">
        <v>1184</v>
      </c>
      <c r="C12071" t="s">
        <v>1184</v>
      </c>
      <c r="D12071" t="s">
        <v>339</v>
      </c>
      <c r="E12071" t="s">
        <v>310</v>
      </c>
      <c r="F12071" t="s">
        <v>12909</v>
      </c>
      <c r="G12071">
        <v>38203</v>
      </c>
      <c r="H12071">
        <v>4309465.2600000007</v>
      </c>
      <c r="I12071">
        <v>112.8</v>
      </c>
      <c r="J12071">
        <v>8224</v>
      </c>
      <c r="K12071">
        <v>764407.16</v>
      </c>
      <c r="L12071">
        <v>92.95</v>
      </c>
      <c r="M12071">
        <v>46427</v>
      </c>
      <c r="N12071">
        <v>5073872.4200000009</v>
      </c>
      <c r="O12071">
        <v>109.29</v>
      </c>
    </row>
    <row r="12072" spans="1:15" x14ac:dyDescent="0.35">
      <c r="A12072" t="s">
        <v>1184</v>
      </c>
      <c r="B12072" t="s">
        <v>1184</v>
      </c>
      <c r="C12072" t="s">
        <v>1184</v>
      </c>
      <c r="D12072" t="s">
        <v>339</v>
      </c>
      <c r="E12072" t="s">
        <v>312</v>
      </c>
      <c r="F12072" t="s">
        <v>12910</v>
      </c>
      <c r="G12072">
        <v>34108</v>
      </c>
      <c r="H12072">
        <v>3811378.82</v>
      </c>
      <c r="I12072">
        <v>111.74</v>
      </c>
      <c r="J12072">
        <v>8191</v>
      </c>
      <c r="K12072">
        <v>760124.75000000012</v>
      </c>
      <c r="L12072">
        <v>92.8</v>
      </c>
      <c r="M12072">
        <v>42299</v>
      </c>
      <c r="N12072">
        <v>4571503.57</v>
      </c>
      <c r="O12072">
        <v>108.08</v>
      </c>
    </row>
    <row r="12073" spans="1:15" x14ac:dyDescent="0.35">
      <c r="A12073" t="s">
        <v>1184</v>
      </c>
      <c r="B12073" t="s">
        <v>1184</v>
      </c>
      <c r="C12073" t="s">
        <v>1184</v>
      </c>
      <c r="D12073" t="s">
        <v>348</v>
      </c>
      <c r="E12073" t="s">
        <v>349</v>
      </c>
      <c r="F12073" t="s">
        <v>12911</v>
      </c>
      <c r="G12073">
        <v>44575</v>
      </c>
      <c r="H12073">
        <v>4544231.0699999994</v>
      </c>
      <c r="I12073">
        <v>115.32</v>
      </c>
      <c r="J12073">
        <v>8604</v>
      </c>
      <c r="K12073">
        <v>830998.78</v>
      </c>
      <c r="L12073">
        <v>96.58</v>
      </c>
      <c r="M12073">
        <v>53179</v>
      </c>
      <c r="N12073">
        <v>5375229.8499999996</v>
      </c>
      <c r="O12073">
        <v>111.96</v>
      </c>
    </row>
    <row r="12074" spans="1:15" x14ac:dyDescent="0.35">
      <c r="A12074" t="s">
        <v>1184</v>
      </c>
      <c r="B12074" t="s">
        <v>1184</v>
      </c>
      <c r="C12074" t="s">
        <v>1184</v>
      </c>
      <c r="D12074" t="s">
        <v>310</v>
      </c>
      <c r="E12074" t="s">
        <v>310</v>
      </c>
      <c r="F12074" t="s">
        <v>12912</v>
      </c>
      <c r="G12074">
        <v>287568</v>
      </c>
      <c r="H12074">
        <v>29642902.949999996</v>
      </c>
      <c r="I12074">
        <v>120.95</v>
      </c>
      <c r="J12074">
        <v>94060</v>
      </c>
      <c r="K12074">
        <v>9339997.6899999995</v>
      </c>
      <c r="L12074">
        <v>99.74</v>
      </c>
      <c r="M12074">
        <v>381628</v>
      </c>
      <c r="N12074">
        <v>38982900.639999993</v>
      </c>
      <c r="O12074">
        <v>115.09</v>
      </c>
    </row>
    <row r="12075" spans="1:15" x14ac:dyDescent="0.35">
      <c r="A12075" t="s">
        <v>1059</v>
      </c>
      <c r="B12075" t="s">
        <v>1059</v>
      </c>
      <c r="C12075" t="s">
        <v>1059</v>
      </c>
      <c r="D12075" t="s">
        <v>293</v>
      </c>
      <c r="E12075" t="s">
        <v>294</v>
      </c>
      <c r="F12075" t="s">
        <v>12913</v>
      </c>
      <c r="G12075">
        <v>4841</v>
      </c>
      <c r="H12075">
        <v>572042.7300000001</v>
      </c>
      <c r="I12075">
        <v>118.17</v>
      </c>
      <c r="J12075">
        <v>515</v>
      </c>
      <c r="K12075">
        <v>54837.320000000007</v>
      </c>
      <c r="L12075">
        <v>106.48</v>
      </c>
      <c r="M12075">
        <v>5356</v>
      </c>
      <c r="N12075">
        <v>626880.04999999993</v>
      </c>
      <c r="O12075">
        <v>117.04</v>
      </c>
    </row>
    <row r="12076" spans="1:15" x14ac:dyDescent="0.35">
      <c r="A12076" t="s">
        <v>1059</v>
      </c>
      <c r="B12076" t="s">
        <v>1059</v>
      </c>
      <c r="C12076" t="s">
        <v>1059</v>
      </c>
      <c r="D12076" t="s">
        <v>293</v>
      </c>
      <c r="E12076" t="s">
        <v>296</v>
      </c>
      <c r="F12076" t="s">
        <v>12914</v>
      </c>
      <c r="G12076">
        <v>15422</v>
      </c>
      <c r="H12076">
        <v>2163509.3800000004</v>
      </c>
      <c r="I12076">
        <v>140.29</v>
      </c>
      <c r="J12076">
        <v>2325</v>
      </c>
      <c r="K12076">
        <v>290499.31</v>
      </c>
      <c r="L12076">
        <v>124.95</v>
      </c>
      <c r="M12076">
        <v>17747</v>
      </c>
      <c r="N12076">
        <v>2454008.69</v>
      </c>
      <c r="O12076">
        <v>138.28</v>
      </c>
    </row>
    <row r="12077" spans="1:15" x14ac:dyDescent="0.35">
      <c r="A12077" t="s">
        <v>1059</v>
      </c>
      <c r="B12077" t="s">
        <v>1059</v>
      </c>
      <c r="C12077" t="s">
        <v>1059</v>
      </c>
      <c r="D12077" t="s">
        <v>293</v>
      </c>
      <c r="E12077" t="s">
        <v>298</v>
      </c>
      <c r="F12077" t="s">
        <v>12915</v>
      </c>
      <c r="G12077">
        <v>9444</v>
      </c>
      <c r="H12077">
        <v>1471761.2500000002</v>
      </c>
      <c r="I12077">
        <v>155.84</v>
      </c>
      <c r="J12077">
        <v>1596</v>
      </c>
      <c r="K12077">
        <v>221948.12999999998</v>
      </c>
      <c r="L12077">
        <v>139.07</v>
      </c>
      <c r="M12077">
        <v>11040</v>
      </c>
      <c r="N12077">
        <v>1693709.38</v>
      </c>
      <c r="O12077">
        <v>153.41999999999999</v>
      </c>
    </row>
    <row r="12078" spans="1:15" x14ac:dyDescent="0.35">
      <c r="A12078" t="s">
        <v>1059</v>
      </c>
      <c r="B12078" t="s">
        <v>1059</v>
      </c>
      <c r="C12078" t="s">
        <v>1059</v>
      </c>
      <c r="D12078" t="s">
        <v>293</v>
      </c>
      <c r="E12078" t="s">
        <v>300</v>
      </c>
      <c r="F12078" t="s">
        <v>12916</v>
      </c>
      <c r="G12078">
        <v>1233</v>
      </c>
      <c r="H12078">
        <v>229073.16999999998</v>
      </c>
      <c r="I12078">
        <v>185.79</v>
      </c>
      <c r="J12078">
        <v>471</v>
      </c>
      <c r="K12078">
        <v>77707.28</v>
      </c>
      <c r="L12078">
        <v>164.98</v>
      </c>
      <c r="M12078">
        <v>1704</v>
      </c>
      <c r="N12078">
        <v>306780.44999999995</v>
      </c>
      <c r="O12078">
        <v>180.04</v>
      </c>
    </row>
    <row r="12079" spans="1:15" x14ac:dyDescent="0.35">
      <c r="A12079" t="s">
        <v>1059</v>
      </c>
      <c r="B12079" t="s">
        <v>1059</v>
      </c>
      <c r="C12079" t="s">
        <v>1059</v>
      </c>
      <c r="D12079" t="s">
        <v>293</v>
      </c>
      <c r="E12079" t="s">
        <v>302</v>
      </c>
      <c r="F12079" t="s">
        <v>12917</v>
      </c>
      <c r="G12079">
        <v>48</v>
      </c>
      <c r="H12079">
        <v>9150.1</v>
      </c>
      <c r="I12079">
        <v>190.63</v>
      </c>
      <c r="J12079">
        <v>43</v>
      </c>
      <c r="K12079">
        <v>7401.2</v>
      </c>
      <c r="L12079">
        <v>172.12</v>
      </c>
      <c r="M12079">
        <v>91</v>
      </c>
      <c r="N12079">
        <v>16551.3</v>
      </c>
      <c r="O12079">
        <v>181.88</v>
      </c>
    </row>
    <row r="12080" spans="1:15" x14ac:dyDescent="0.35">
      <c r="A12080" t="s">
        <v>1059</v>
      </c>
      <c r="B12080" t="s">
        <v>1059</v>
      </c>
      <c r="C12080" t="s">
        <v>1059</v>
      </c>
      <c r="D12080" t="s">
        <v>293</v>
      </c>
      <c r="E12080" t="s">
        <v>304</v>
      </c>
      <c r="F12080" t="s">
        <v>12918</v>
      </c>
      <c r="G12080">
        <v>13</v>
      </c>
      <c r="H12080">
        <v>2718</v>
      </c>
      <c r="I12080">
        <v>209.08</v>
      </c>
      <c r="J12080">
        <v>5</v>
      </c>
      <c r="K12080">
        <v>1227.6499999999999</v>
      </c>
      <c r="L12080">
        <v>245.53</v>
      </c>
      <c r="M12080">
        <v>18</v>
      </c>
      <c r="N12080">
        <v>3945.6499999999996</v>
      </c>
      <c r="O12080">
        <v>219.2</v>
      </c>
    </row>
    <row r="12081" spans="1:15" x14ac:dyDescent="0.35">
      <c r="A12081" t="s">
        <v>1059</v>
      </c>
      <c r="B12081" t="s">
        <v>1059</v>
      </c>
      <c r="C12081" t="s">
        <v>1059</v>
      </c>
      <c r="D12081" t="s">
        <v>293</v>
      </c>
      <c r="E12081" t="s">
        <v>306</v>
      </c>
      <c r="F12081" t="s">
        <v>12919</v>
      </c>
      <c r="G12081">
        <v>55</v>
      </c>
      <c r="H12081">
        <v>7656.9</v>
      </c>
      <c r="I12081">
        <v>139.22</v>
      </c>
      <c r="J12081">
        <v>12</v>
      </c>
      <c r="K12081">
        <v>1158.79</v>
      </c>
      <c r="L12081">
        <v>96.57</v>
      </c>
      <c r="M12081">
        <v>67</v>
      </c>
      <c r="N12081">
        <v>8815.6899999999987</v>
      </c>
      <c r="O12081">
        <v>131.58000000000001</v>
      </c>
    </row>
    <row r="12082" spans="1:15" x14ac:dyDescent="0.35">
      <c r="A12082" t="s">
        <v>1059</v>
      </c>
      <c r="B12082" t="s">
        <v>1059</v>
      </c>
      <c r="C12082" t="s">
        <v>1059</v>
      </c>
      <c r="D12082" t="s">
        <v>293</v>
      </c>
      <c r="E12082" t="s">
        <v>308</v>
      </c>
      <c r="F12082" t="s">
        <v>12920</v>
      </c>
      <c r="G12082">
        <v>29</v>
      </c>
      <c r="H12082">
        <v>4116.66</v>
      </c>
      <c r="I12082">
        <v>141.94999999999999</v>
      </c>
      <c r="J12082">
        <v>0</v>
      </c>
      <c r="K12082">
        <v>0</v>
      </c>
      <c r="L12082">
        <v>0</v>
      </c>
      <c r="M12082">
        <v>29</v>
      </c>
      <c r="N12082">
        <v>4116.66</v>
      </c>
      <c r="O12082">
        <v>141.94999999999999</v>
      </c>
    </row>
    <row r="12083" spans="1:15" x14ac:dyDescent="0.35">
      <c r="A12083" t="s">
        <v>1059</v>
      </c>
      <c r="B12083" t="s">
        <v>1059</v>
      </c>
      <c r="C12083" t="s">
        <v>1059</v>
      </c>
      <c r="D12083" t="s">
        <v>293</v>
      </c>
      <c r="E12083" t="s">
        <v>310</v>
      </c>
      <c r="F12083" t="s">
        <v>12921</v>
      </c>
      <c r="G12083">
        <v>31085</v>
      </c>
      <c r="H12083">
        <v>4460028.1900000013</v>
      </c>
      <c r="I12083">
        <v>143.47999999999999</v>
      </c>
      <c r="J12083">
        <v>4967</v>
      </c>
      <c r="K12083">
        <v>654779.67999999993</v>
      </c>
      <c r="L12083">
        <v>131.83000000000001</v>
      </c>
      <c r="M12083">
        <v>36052</v>
      </c>
      <c r="N12083">
        <v>5114807.870000001</v>
      </c>
      <c r="O12083">
        <v>141.87</v>
      </c>
    </row>
    <row r="12084" spans="1:15" x14ac:dyDescent="0.35">
      <c r="A12084" t="s">
        <v>1059</v>
      </c>
      <c r="B12084" t="s">
        <v>1059</v>
      </c>
      <c r="C12084" t="s">
        <v>1059</v>
      </c>
      <c r="D12084" t="s">
        <v>293</v>
      </c>
      <c r="E12084" t="s">
        <v>312</v>
      </c>
      <c r="F12084" t="s">
        <v>12922</v>
      </c>
      <c r="G12084">
        <v>31056</v>
      </c>
      <c r="H12084">
        <v>4455911.5300000021</v>
      </c>
      <c r="I12084">
        <v>143.47999999999999</v>
      </c>
      <c r="J12084">
        <v>4967</v>
      </c>
      <c r="K12084">
        <v>654779.67999999993</v>
      </c>
      <c r="L12084">
        <v>131.83000000000001</v>
      </c>
      <c r="M12084">
        <v>36023</v>
      </c>
      <c r="N12084">
        <v>5110691.2100000018</v>
      </c>
      <c r="O12084">
        <v>141.87</v>
      </c>
    </row>
    <row r="12085" spans="1:15" x14ac:dyDescent="0.35">
      <c r="A12085" t="s">
        <v>1059</v>
      </c>
      <c r="B12085" t="s">
        <v>1059</v>
      </c>
      <c r="C12085" t="s">
        <v>1059</v>
      </c>
      <c r="D12085" t="s">
        <v>314</v>
      </c>
      <c r="E12085" t="s">
        <v>294</v>
      </c>
      <c r="F12085" t="s">
        <v>12923</v>
      </c>
      <c r="G12085">
        <v>1439</v>
      </c>
      <c r="H12085">
        <v>338984.33000000007</v>
      </c>
      <c r="I12085">
        <v>235.57</v>
      </c>
      <c r="J12085">
        <v>266</v>
      </c>
      <c r="K12085">
        <v>34063.99</v>
      </c>
      <c r="L12085">
        <v>128.06</v>
      </c>
      <c r="M12085">
        <v>1705</v>
      </c>
      <c r="N12085">
        <v>373048.32000000007</v>
      </c>
      <c r="O12085">
        <v>218.8</v>
      </c>
    </row>
    <row r="12086" spans="1:15" x14ac:dyDescent="0.35">
      <c r="A12086" t="s">
        <v>1059</v>
      </c>
      <c r="B12086" t="s">
        <v>1059</v>
      </c>
      <c r="C12086" t="s">
        <v>1059</v>
      </c>
      <c r="D12086" t="s">
        <v>314</v>
      </c>
      <c r="E12086" t="s">
        <v>296</v>
      </c>
      <c r="F12086" t="s">
        <v>12924</v>
      </c>
      <c r="G12086">
        <v>1403</v>
      </c>
      <c r="H12086">
        <v>361457.75000000006</v>
      </c>
      <c r="I12086">
        <v>257.63</v>
      </c>
      <c r="J12086">
        <v>97</v>
      </c>
      <c r="K12086">
        <v>13671.14</v>
      </c>
      <c r="L12086">
        <v>140.94</v>
      </c>
      <c r="M12086">
        <v>1500</v>
      </c>
      <c r="N12086">
        <v>375128.89000000007</v>
      </c>
      <c r="O12086">
        <v>250.09</v>
      </c>
    </row>
    <row r="12087" spans="1:15" x14ac:dyDescent="0.35">
      <c r="A12087" t="s">
        <v>1059</v>
      </c>
      <c r="B12087" t="s">
        <v>1059</v>
      </c>
      <c r="C12087" t="s">
        <v>1059</v>
      </c>
      <c r="D12087" t="s">
        <v>314</v>
      </c>
      <c r="E12087" t="s">
        <v>298</v>
      </c>
      <c r="F12087" t="s">
        <v>12925</v>
      </c>
      <c r="G12087">
        <v>26</v>
      </c>
      <c r="H12087">
        <v>4647.6000000000004</v>
      </c>
      <c r="I12087">
        <v>178.75</v>
      </c>
      <c r="J12087">
        <v>14</v>
      </c>
      <c r="K12087">
        <v>2690.7999999999997</v>
      </c>
      <c r="L12087">
        <v>192.2</v>
      </c>
      <c r="M12087">
        <v>40</v>
      </c>
      <c r="N12087">
        <v>7338.4</v>
      </c>
      <c r="O12087">
        <v>183.46</v>
      </c>
    </row>
    <row r="12088" spans="1:15" x14ac:dyDescent="0.35">
      <c r="A12088" t="s">
        <v>1059</v>
      </c>
      <c r="B12088" t="s">
        <v>1059</v>
      </c>
      <c r="C12088" t="s">
        <v>1059</v>
      </c>
      <c r="D12088" t="s">
        <v>314</v>
      </c>
      <c r="E12088" t="s">
        <v>300</v>
      </c>
      <c r="F12088" t="s">
        <v>12926</v>
      </c>
      <c r="G12088">
        <v>6</v>
      </c>
      <c r="H12088">
        <v>1280.1799999999998</v>
      </c>
      <c r="I12088">
        <v>213.36</v>
      </c>
      <c r="J12088">
        <v>0</v>
      </c>
      <c r="K12088">
        <v>0</v>
      </c>
      <c r="L12088">
        <v>0</v>
      </c>
      <c r="M12088">
        <v>6</v>
      </c>
      <c r="N12088">
        <v>1280.1799999999998</v>
      </c>
      <c r="O12088">
        <v>213.36</v>
      </c>
    </row>
    <row r="12089" spans="1:15" x14ac:dyDescent="0.35">
      <c r="A12089" t="s">
        <v>1059</v>
      </c>
      <c r="B12089" t="s">
        <v>1059</v>
      </c>
      <c r="C12089" t="s">
        <v>1059</v>
      </c>
      <c r="D12089" t="s">
        <v>314</v>
      </c>
      <c r="E12089" t="s">
        <v>306</v>
      </c>
      <c r="F12089" t="s">
        <v>12927</v>
      </c>
      <c r="G12089">
        <v>96</v>
      </c>
      <c r="H12089">
        <v>27160.100000000002</v>
      </c>
      <c r="I12089">
        <v>282.92</v>
      </c>
      <c r="J12089">
        <v>1</v>
      </c>
      <c r="K12089">
        <v>94.47</v>
      </c>
      <c r="L12089">
        <v>94.47</v>
      </c>
      <c r="M12089">
        <v>97</v>
      </c>
      <c r="N12089">
        <v>27254.570000000003</v>
      </c>
      <c r="O12089">
        <v>280.97000000000003</v>
      </c>
    </row>
    <row r="12090" spans="1:15" x14ac:dyDescent="0.35">
      <c r="A12090" t="s">
        <v>1059</v>
      </c>
      <c r="B12090" t="s">
        <v>1059</v>
      </c>
      <c r="C12090" t="s">
        <v>1059</v>
      </c>
      <c r="D12090" t="s">
        <v>314</v>
      </c>
      <c r="E12090" t="s">
        <v>308</v>
      </c>
      <c r="F12090" t="s">
        <v>12928</v>
      </c>
      <c r="G12090">
        <v>34</v>
      </c>
      <c r="H12090">
        <v>9739.6200000000008</v>
      </c>
      <c r="I12090">
        <v>286.45999999999998</v>
      </c>
      <c r="J12090">
        <v>5</v>
      </c>
      <c r="K12090">
        <v>312.2</v>
      </c>
      <c r="L12090">
        <v>62.44</v>
      </c>
      <c r="M12090">
        <v>39</v>
      </c>
      <c r="N12090">
        <v>10051.820000000002</v>
      </c>
      <c r="O12090">
        <v>257.74</v>
      </c>
    </row>
    <row r="12091" spans="1:15" x14ac:dyDescent="0.35">
      <c r="A12091" t="s">
        <v>1059</v>
      </c>
      <c r="B12091" t="s">
        <v>1059</v>
      </c>
      <c r="C12091" t="s">
        <v>1059</v>
      </c>
      <c r="D12091" t="s">
        <v>314</v>
      </c>
      <c r="E12091" t="s">
        <v>312</v>
      </c>
      <c r="F12091" t="s">
        <v>12929</v>
      </c>
      <c r="G12091">
        <v>2970</v>
      </c>
      <c r="H12091">
        <v>733529.96</v>
      </c>
      <c r="I12091">
        <v>246.98</v>
      </c>
      <c r="J12091">
        <v>378</v>
      </c>
      <c r="K12091">
        <v>50520.399999999994</v>
      </c>
      <c r="L12091">
        <v>133.65</v>
      </c>
      <c r="M12091">
        <v>3348</v>
      </c>
      <c r="N12091">
        <v>784050.36</v>
      </c>
      <c r="O12091">
        <v>234.18</v>
      </c>
    </row>
    <row r="12092" spans="1:15" x14ac:dyDescent="0.35">
      <c r="A12092" t="s">
        <v>1059</v>
      </c>
      <c r="B12092" t="s">
        <v>1059</v>
      </c>
      <c r="C12092" t="s">
        <v>1059</v>
      </c>
      <c r="D12092" t="s">
        <v>314</v>
      </c>
      <c r="E12092" t="s">
        <v>310</v>
      </c>
      <c r="F12092" t="s">
        <v>12930</v>
      </c>
      <c r="G12092">
        <v>3004</v>
      </c>
      <c r="H12092">
        <v>743269.58</v>
      </c>
      <c r="I12092">
        <v>247.43</v>
      </c>
      <c r="J12092">
        <v>383</v>
      </c>
      <c r="K12092">
        <v>50832.6</v>
      </c>
      <c r="L12092">
        <v>132.72</v>
      </c>
      <c r="M12092">
        <v>3387</v>
      </c>
      <c r="N12092">
        <v>794102.17999999993</v>
      </c>
      <c r="O12092">
        <v>234.46</v>
      </c>
    </row>
    <row r="12093" spans="1:15" x14ac:dyDescent="0.35">
      <c r="A12093" t="s">
        <v>1059</v>
      </c>
      <c r="B12093" t="s">
        <v>1059</v>
      </c>
      <c r="C12093" t="s">
        <v>1059</v>
      </c>
      <c r="D12093" t="s">
        <v>323</v>
      </c>
      <c r="E12093" t="s">
        <v>294</v>
      </c>
      <c r="F12093" t="s">
        <v>12931</v>
      </c>
      <c r="G12093">
        <v>45279</v>
      </c>
      <c r="H12093">
        <v>4279201.47</v>
      </c>
      <c r="I12093">
        <v>94.51</v>
      </c>
      <c r="J12093">
        <v>50709</v>
      </c>
      <c r="K12093">
        <v>4287683.1500000004</v>
      </c>
      <c r="L12093">
        <v>84.55</v>
      </c>
      <c r="M12093">
        <v>95988</v>
      </c>
      <c r="N12093">
        <v>8566884.620000001</v>
      </c>
      <c r="O12093">
        <v>89.25</v>
      </c>
    </row>
    <row r="12094" spans="1:15" x14ac:dyDescent="0.35">
      <c r="A12094" t="s">
        <v>1059</v>
      </c>
      <c r="B12094" t="s">
        <v>1059</v>
      </c>
      <c r="C12094" t="s">
        <v>1059</v>
      </c>
      <c r="D12094" t="s">
        <v>323</v>
      </c>
      <c r="E12094" t="s">
        <v>296</v>
      </c>
      <c r="F12094" t="s">
        <v>12932</v>
      </c>
      <c r="G12094">
        <v>76804</v>
      </c>
      <c r="H12094">
        <v>8377659.2500000009</v>
      </c>
      <c r="I12094">
        <v>109.08</v>
      </c>
      <c r="J12094">
        <v>56963</v>
      </c>
      <c r="K12094">
        <v>5362312.28</v>
      </c>
      <c r="L12094">
        <v>94.14</v>
      </c>
      <c r="M12094">
        <v>133767</v>
      </c>
      <c r="N12094">
        <v>13739971.529999997</v>
      </c>
      <c r="O12094">
        <v>102.72</v>
      </c>
    </row>
    <row r="12095" spans="1:15" x14ac:dyDescent="0.35">
      <c r="A12095" t="s">
        <v>1059</v>
      </c>
      <c r="B12095" t="s">
        <v>1059</v>
      </c>
      <c r="C12095" t="s">
        <v>1059</v>
      </c>
      <c r="D12095" t="s">
        <v>323</v>
      </c>
      <c r="E12095" t="s">
        <v>298</v>
      </c>
      <c r="F12095" t="s">
        <v>12933</v>
      </c>
      <c r="G12095">
        <v>65768</v>
      </c>
      <c r="H12095">
        <v>7928010.3200000012</v>
      </c>
      <c r="I12095">
        <v>120.55</v>
      </c>
      <c r="J12095">
        <v>65253</v>
      </c>
      <c r="K12095">
        <v>6972937.7600000007</v>
      </c>
      <c r="L12095">
        <v>106.86</v>
      </c>
      <c r="M12095">
        <v>131021</v>
      </c>
      <c r="N12095">
        <v>14900948.080000004</v>
      </c>
      <c r="O12095">
        <v>113.73</v>
      </c>
    </row>
    <row r="12096" spans="1:15" x14ac:dyDescent="0.35">
      <c r="A12096" t="s">
        <v>1059</v>
      </c>
      <c r="B12096" t="s">
        <v>1059</v>
      </c>
      <c r="C12096" t="s">
        <v>1059</v>
      </c>
      <c r="D12096" t="s">
        <v>323</v>
      </c>
      <c r="E12096" t="s">
        <v>300</v>
      </c>
      <c r="F12096" t="s">
        <v>12934</v>
      </c>
      <c r="G12096">
        <v>6731</v>
      </c>
      <c r="H12096">
        <v>934448.01</v>
      </c>
      <c r="I12096">
        <v>138.83000000000001</v>
      </c>
      <c r="J12096">
        <v>4207</v>
      </c>
      <c r="K12096">
        <v>498538.31999999995</v>
      </c>
      <c r="L12096">
        <v>118.5</v>
      </c>
      <c r="M12096">
        <v>10938</v>
      </c>
      <c r="N12096">
        <v>1432986.3299999996</v>
      </c>
      <c r="O12096">
        <v>131.01</v>
      </c>
    </row>
    <row r="12097" spans="1:15" x14ac:dyDescent="0.35">
      <c r="A12097" t="s">
        <v>1059</v>
      </c>
      <c r="B12097" t="s">
        <v>1059</v>
      </c>
      <c r="C12097" t="s">
        <v>1059</v>
      </c>
      <c r="D12097" t="s">
        <v>323</v>
      </c>
      <c r="E12097" t="s">
        <v>302</v>
      </c>
      <c r="F12097" t="s">
        <v>12935</v>
      </c>
      <c r="G12097">
        <v>622</v>
      </c>
      <c r="H12097">
        <v>90815.65</v>
      </c>
      <c r="I12097">
        <v>146.01</v>
      </c>
      <c r="J12097">
        <v>237</v>
      </c>
      <c r="K12097">
        <v>32596.35</v>
      </c>
      <c r="L12097">
        <v>137.54</v>
      </c>
      <c r="M12097">
        <v>859</v>
      </c>
      <c r="N12097">
        <v>123412</v>
      </c>
      <c r="O12097">
        <v>143.66999999999999</v>
      </c>
    </row>
    <row r="12098" spans="1:15" x14ac:dyDescent="0.35">
      <c r="A12098" t="s">
        <v>1059</v>
      </c>
      <c r="B12098" t="s">
        <v>1059</v>
      </c>
      <c r="C12098" t="s">
        <v>1059</v>
      </c>
      <c r="D12098" t="s">
        <v>323</v>
      </c>
      <c r="E12098" t="s">
        <v>304</v>
      </c>
      <c r="F12098" t="s">
        <v>12936</v>
      </c>
      <c r="G12098">
        <v>170</v>
      </c>
      <c r="H12098">
        <v>27308.620000000003</v>
      </c>
      <c r="I12098">
        <v>160.63999999999999</v>
      </c>
      <c r="J12098">
        <v>65</v>
      </c>
      <c r="K12098">
        <v>8978.7400000000016</v>
      </c>
      <c r="L12098">
        <v>138.13</v>
      </c>
      <c r="M12098">
        <v>235</v>
      </c>
      <c r="N12098">
        <v>36287.360000000001</v>
      </c>
      <c r="O12098">
        <v>154.41</v>
      </c>
    </row>
    <row r="12099" spans="1:15" x14ac:dyDescent="0.35">
      <c r="A12099" t="s">
        <v>1059</v>
      </c>
      <c r="B12099" t="s">
        <v>1059</v>
      </c>
      <c r="C12099" t="s">
        <v>1059</v>
      </c>
      <c r="D12099" t="s">
        <v>323</v>
      </c>
      <c r="E12099" t="s">
        <v>306</v>
      </c>
      <c r="F12099" t="s">
        <v>12937</v>
      </c>
      <c r="G12099">
        <v>2415</v>
      </c>
      <c r="H12099">
        <v>194795.87000000002</v>
      </c>
      <c r="I12099">
        <v>80.66</v>
      </c>
      <c r="J12099">
        <v>1813</v>
      </c>
      <c r="K12099">
        <v>136415.04999999999</v>
      </c>
      <c r="L12099">
        <v>75.239999999999995</v>
      </c>
      <c r="M12099">
        <v>4228</v>
      </c>
      <c r="N12099">
        <v>331210.92</v>
      </c>
      <c r="O12099">
        <v>78.34</v>
      </c>
    </row>
    <row r="12100" spans="1:15" x14ac:dyDescent="0.35">
      <c r="A12100" t="s">
        <v>1059</v>
      </c>
      <c r="B12100" t="s">
        <v>1059</v>
      </c>
      <c r="C12100" t="s">
        <v>1059</v>
      </c>
      <c r="D12100" t="s">
        <v>323</v>
      </c>
      <c r="E12100" t="s">
        <v>308</v>
      </c>
      <c r="F12100" t="s">
        <v>12938</v>
      </c>
      <c r="G12100">
        <v>14</v>
      </c>
      <c r="H12100">
        <v>1106.52</v>
      </c>
      <c r="I12100">
        <v>79.040000000000006</v>
      </c>
      <c r="J12100">
        <v>797</v>
      </c>
      <c r="K12100">
        <v>37233.259999999995</v>
      </c>
      <c r="L12100">
        <v>46.72</v>
      </c>
      <c r="M12100">
        <v>811</v>
      </c>
      <c r="N12100">
        <v>38339.78</v>
      </c>
      <c r="O12100">
        <v>47.27</v>
      </c>
    </row>
    <row r="12101" spans="1:15" x14ac:dyDescent="0.35">
      <c r="A12101" t="s">
        <v>1059</v>
      </c>
      <c r="B12101" t="s">
        <v>1059</v>
      </c>
      <c r="C12101" t="s">
        <v>1059</v>
      </c>
      <c r="D12101" t="s">
        <v>323</v>
      </c>
      <c r="E12101" t="s">
        <v>310</v>
      </c>
      <c r="F12101" t="s">
        <v>12939</v>
      </c>
      <c r="G12101">
        <v>197803</v>
      </c>
      <c r="H12101">
        <v>21833345.709999997</v>
      </c>
      <c r="I12101">
        <v>110.38</v>
      </c>
      <c r="J12101">
        <v>180044</v>
      </c>
      <c r="K12101">
        <v>17336694.91</v>
      </c>
      <c r="L12101">
        <v>96.29</v>
      </c>
      <c r="M12101">
        <v>377847</v>
      </c>
      <c r="N12101">
        <v>39170040.619999997</v>
      </c>
      <c r="O12101">
        <v>103.67</v>
      </c>
    </row>
    <row r="12102" spans="1:15" x14ac:dyDescent="0.35">
      <c r="A12102" t="s">
        <v>1059</v>
      </c>
      <c r="B12102" t="s">
        <v>1059</v>
      </c>
      <c r="C12102" t="s">
        <v>1059</v>
      </c>
      <c r="D12102" t="s">
        <v>323</v>
      </c>
      <c r="E12102" t="s">
        <v>312</v>
      </c>
      <c r="F12102" t="s">
        <v>12940</v>
      </c>
      <c r="G12102">
        <v>197789</v>
      </c>
      <c r="H12102">
        <v>21832239.189999998</v>
      </c>
      <c r="I12102">
        <v>110.38</v>
      </c>
      <c r="J12102">
        <v>179247</v>
      </c>
      <c r="K12102">
        <v>17299461.650000002</v>
      </c>
      <c r="L12102">
        <v>96.51</v>
      </c>
      <c r="M12102">
        <v>377036</v>
      </c>
      <c r="N12102">
        <v>39131700.840000004</v>
      </c>
      <c r="O12102">
        <v>103.79</v>
      </c>
    </row>
    <row r="12103" spans="1:15" x14ac:dyDescent="0.35">
      <c r="A12103" t="s">
        <v>1059</v>
      </c>
      <c r="B12103" t="s">
        <v>1059</v>
      </c>
      <c r="C12103" t="s">
        <v>1059</v>
      </c>
      <c r="D12103" t="s">
        <v>334</v>
      </c>
      <c r="E12103" t="s">
        <v>312</v>
      </c>
      <c r="F12103" t="s">
        <v>12941</v>
      </c>
      <c r="G12103">
        <v>235401</v>
      </c>
      <c r="H12103">
        <v>26288150.720000003</v>
      </c>
      <c r="I12103">
        <v>114.87</v>
      </c>
      <c r="J12103">
        <v>184214</v>
      </c>
      <c r="K12103">
        <v>17954241.330000002</v>
      </c>
      <c r="L12103">
        <v>97.46</v>
      </c>
      <c r="M12103">
        <v>419615</v>
      </c>
      <c r="N12103">
        <v>44242392.050000004</v>
      </c>
      <c r="O12103">
        <v>107.11</v>
      </c>
    </row>
    <row r="12104" spans="1:15" x14ac:dyDescent="0.35">
      <c r="A12104" t="s">
        <v>1059</v>
      </c>
      <c r="B12104" t="s">
        <v>1059</v>
      </c>
      <c r="C12104" t="s">
        <v>1059</v>
      </c>
      <c r="D12104" t="s">
        <v>334</v>
      </c>
      <c r="E12104" t="s">
        <v>308</v>
      </c>
      <c r="F12104" t="s">
        <v>12942</v>
      </c>
      <c r="G12104">
        <v>1467</v>
      </c>
      <c r="H12104">
        <v>5223.18</v>
      </c>
      <c r="I12104">
        <v>121.47</v>
      </c>
      <c r="J12104">
        <v>797</v>
      </c>
      <c r="K12104">
        <v>37233.259999999995</v>
      </c>
      <c r="L12104">
        <v>46.72</v>
      </c>
      <c r="M12104">
        <v>2264</v>
      </c>
      <c r="N12104">
        <v>42456.439999999995</v>
      </c>
      <c r="O12104">
        <v>50.54</v>
      </c>
    </row>
    <row r="12105" spans="1:15" x14ac:dyDescent="0.35">
      <c r="A12105" t="s">
        <v>1059</v>
      </c>
      <c r="B12105" t="s">
        <v>1059</v>
      </c>
      <c r="C12105" t="s">
        <v>1059</v>
      </c>
      <c r="D12105" t="s">
        <v>337</v>
      </c>
      <c r="E12105" t="s">
        <v>337</v>
      </c>
      <c r="F12105" t="s">
        <v>12943</v>
      </c>
      <c r="G12105">
        <v>21875</v>
      </c>
      <c r="J12105">
        <v>321</v>
      </c>
      <c r="M12105">
        <v>22196</v>
      </c>
    </row>
    <row r="12106" spans="1:15" x14ac:dyDescent="0.35">
      <c r="A12106" t="s">
        <v>1059</v>
      </c>
      <c r="B12106" t="s">
        <v>1059</v>
      </c>
      <c r="C12106" t="s">
        <v>1059</v>
      </c>
      <c r="D12106" t="s">
        <v>339</v>
      </c>
      <c r="E12106" t="s">
        <v>294</v>
      </c>
      <c r="F12106" t="s">
        <v>12944</v>
      </c>
      <c r="G12106">
        <v>22405</v>
      </c>
      <c r="H12106">
        <v>2568442.5599999996</v>
      </c>
      <c r="I12106">
        <v>114.64</v>
      </c>
      <c r="J12106">
        <v>4319</v>
      </c>
      <c r="K12106">
        <v>376477.85999999993</v>
      </c>
      <c r="L12106">
        <v>87.17</v>
      </c>
      <c r="M12106">
        <v>26724</v>
      </c>
      <c r="N12106">
        <v>2944920.4199999995</v>
      </c>
      <c r="O12106">
        <v>110.2</v>
      </c>
    </row>
    <row r="12107" spans="1:15" x14ac:dyDescent="0.35">
      <c r="A12107" t="s">
        <v>1059</v>
      </c>
      <c r="B12107" t="s">
        <v>1059</v>
      </c>
      <c r="C12107" t="s">
        <v>1059</v>
      </c>
      <c r="D12107" t="s">
        <v>339</v>
      </c>
      <c r="E12107" t="s">
        <v>296</v>
      </c>
      <c r="F12107" t="s">
        <v>12945</v>
      </c>
      <c r="G12107">
        <v>5815</v>
      </c>
      <c r="H12107">
        <v>749941.77999999991</v>
      </c>
      <c r="I12107">
        <v>128.97</v>
      </c>
      <c r="J12107">
        <v>1542</v>
      </c>
      <c r="K12107">
        <v>145968.22999999998</v>
      </c>
      <c r="L12107">
        <v>94.66</v>
      </c>
      <c r="M12107">
        <v>7357</v>
      </c>
      <c r="N12107">
        <v>895910.00999999989</v>
      </c>
      <c r="O12107">
        <v>121.78</v>
      </c>
    </row>
    <row r="12108" spans="1:15" x14ac:dyDescent="0.35">
      <c r="A12108" t="s">
        <v>1059</v>
      </c>
      <c r="B12108" t="s">
        <v>1059</v>
      </c>
      <c r="C12108" t="s">
        <v>1059</v>
      </c>
      <c r="D12108" t="s">
        <v>339</v>
      </c>
      <c r="E12108" t="s">
        <v>298</v>
      </c>
      <c r="F12108" t="s">
        <v>12946</v>
      </c>
      <c r="G12108">
        <v>203</v>
      </c>
      <c r="H12108">
        <v>28143.370000000003</v>
      </c>
      <c r="I12108">
        <v>138.63999999999999</v>
      </c>
      <c r="J12108">
        <v>13</v>
      </c>
      <c r="K12108">
        <v>1417.8100000000002</v>
      </c>
      <c r="L12108">
        <v>109.06</v>
      </c>
      <c r="M12108">
        <v>216</v>
      </c>
      <c r="N12108">
        <v>29561.18</v>
      </c>
      <c r="O12108">
        <v>136.86000000000001</v>
      </c>
    </row>
    <row r="12109" spans="1:15" x14ac:dyDescent="0.35">
      <c r="A12109" t="s">
        <v>1059</v>
      </c>
      <c r="B12109" t="s">
        <v>1059</v>
      </c>
      <c r="C12109" t="s">
        <v>1059</v>
      </c>
      <c r="D12109" t="s">
        <v>339</v>
      </c>
      <c r="E12109" t="s">
        <v>300</v>
      </c>
      <c r="F12109" t="s">
        <v>12947</v>
      </c>
      <c r="G12109">
        <v>11</v>
      </c>
      <c r="H12109">
        <v>2710.44</v>
      </c>
      <c r="I12109">
        <v>246.4</v>
      </c>
      <c r="J12109">
        <v>1</v>
      </c>
      <c r="K12109">
        <v>169.01</v>
      </c>
      <c r="L12109">
        <v>169.01</v>
      </c>
      <c r="M12109">
        <v>12</v>
      </c>
      <c r="N12109">
        <v>2879.4500000000003</v>
      </c>
      <c r="O12109">
        <v>239.95</v>
      </c>
    </row>
    <row r="12110" spans="1:15" x14ac:dyDescent="0.35">
      <c r="A12110" t="s">
        <v>1059</v>
      </c>
      <c r="B12110" t="s">
        <v>1059</v>
      </c>
      <c r="C12110" t="s">
        <v>1059</v>
      </c>
      <c r="D12110" t="s">
        <v>339</v>
      </c>
      <c r="E12110" t="s">
        <v>302</v>
      </c>
      <c r="F12110" t="s">
        <v>12948</v>
      </c>
      <c r="G12110">
        <v>0</v>
      </c>
      <c r="H12110">
        <v>0</v>
      </c>
      <c r="I12110">
        <v>0</v>
      </c>
      <c r="J12110">
        <v>0</v>
      </c>
      <c r="K12110">
        <v>0</v>
      </c>
      <c r="L12110">
        <v>0</v>
      </c>
      <c r="M12110">
        <v>0</v>
      </c>
      <c r="N12110">
        <v>0</v>
      </c>
      <c r="O12110">
        <v>0</v>
      </c>
    </row>
    <row r="12111" spans="1:15" x14ac:dyDescent="0.35">
      <c r="A12111" t="s">
        <v>1059</v>
      </c>
      <c r="B12111" t="s">
        <v>1059</v>
      </c>
      <c r="C12111" t="s">
        <v>1059</v>
      </c>
      <c r="D12111" t="s">
        <v>339</v>
      </c>
      <c r="E12111" t="s">
        <v>304</v>
      </c>
      <c r="F12111" t="s">
        <v>12949</v>
      </c>
      <c r="G12111">
        <v>0</v>
      </c>
      <c r="H12111">
        <v>0</v>
      </c>
      <c r="I12111">
        <v>0</v>
      </c>
      <c r="J12111">
        <v>0</v>
      </c>
      <c r="K12111">
        <v>0</v>
      </c>
      <c r="L12111">
        <v>0</v>
      </c>
      <c r="M12111">
        <v>0</v>
      </c>
      <c r="N12111">
        <v>0</v>
      </c>
      <c r="O12111">
        <v>0</v>
      </c>
    </row>
    <row r="12112" spans="1:15" x14ac:dyDescent="0.35">
      <c r="A12112" t="s">
        <v>1059</v>
      </c>
      <c r="B12112" t="s">
        <v>1059</v>
      </c>
      <c r="C12112" t="s">
        <v>1059</v>
      </c>
      <c r="D12112" t="s">
        <v>339</v>
      </c>
      <c r="E12112" t="s">
        <v>306</v>
      </c>
      <c r="F12112" t="s">
        <v>12950</v>
      </c>
      <c r="G12112">
        <v>1799</v>
      </c>
      <c r="H12112">
        <v>167326.71999999994</v>
      </c>
      <c r="I12112">
        <v>93.01</v>
      </c>
      <c r="J12112">
        <v>208</v>
      </c>
      <c r="K12112">
        <v>15622.77</v>
      </c>
      <c r="L12112">
        <v>75.11</v>
      </c>
      <c r="M12112">
        <v>2007</v>
      </c>
      <c r="N12112">
        <v>182949.49000000002</v>
      </c>
      <c r="O12112">
        <v>91.16</v>
      </c>
    </row>
    <row r="12113" spans="1:15" x14ac:dyDescent="0.35">
      <c r="A12113" t="s">
        <v>1059</v>
      </c>
      <c r="B12113" t="s">
        <v>1059</v>
      </c>
      <c r="C12113" t="s">
        <v>1059</v>
      </c>
      <c r="D12113" t="s">
        <v>339</v>
      </c>
      <c r="E12113" t="s">
        <v>308</v>
      </c>
      <c r="F12113" t="s">
        <v>12951</v>
      </c>
      <c r="G12113">
        <v>3497</v>
      </c>
      <c r="H12113">
        <v>370449.85999999993</v>
      </c>
      <c r="I12113">
        <v>105.93</v>
      </c>
      <c r="J12113">
        <v>0</v>
      </c>
      <c r="K12113">
        <v>0</v>
      </c>
      <c r="L12113">
        <v>0</v>
      </c>
      <c r="M12113">
        <v>3497</v>
      </c>
      <c r="N12113">
        <v>370449.85999999993</v>
      </c>
      <c r="O12113">
        <v>105.93</v>
      </c>
    </row>
    <row r="12114" spans="1:15" x14ac:dyDescent="0.35">
      <c r="A12114" t="s">
        <v>1059</v>
      </c>
      <c r="B12114" t="s">
        <v>1059</v>
      </c>
      <c r="C12114" t="s">
        <v>1059</v>
      </c>
      <c r="D12114" t="s">
        <v>339</v>
      </c>
      <c r="E12114" t="s">
        <v>310</v>
      </c>
      <c r="F12114" t="s">
        <v>12952</v>
      </c>
      <c r="G12114">
        <v>33730</v>
      </c>
      <c r="H12114">
        <v>3887014.7299999995</v>
      </c>
      <c r="I12114">
        <v>115.24</v>
      </c>
      <c r="J12114">
        <v>6083</v>
      </c>
      <c r="K12114">
        <v>539655.67999999993</v>
      </c>
      <c r="L12114">
        <v>88.72</v>
      </c>
      <c r="M12114">
        <v>39813</v>
      </c>
      <c r="N12114">
        <v>4426670.4099999992</v>
      </c>
      <c r="O12114">
        <v>111.19</v>
      </c>
    </row>
    <row r="12115" spans="1:15" x14ac:dyDescent="0.35">
      <c r="A12115" t="s">
        <v>1059</v>
      </c>
      <c r="B12115" t="s">
        <v>1059</v>
      </c>
      <c r="C12115" t="s">
        <v>1059</v>
      </c>
      <c r="D12115" t="s">
        <v>339</v>
      </c>
      <c r="E12115" t="s">
        <v>312</v>
      </c>
      <c r="F12115" t="s">
        <v>12953</v>
      </c>
      <c r="G12115">
        <v>30233</v>
      </c>
      <c r="H12115">
        <v>3516564.8699999992</v>
      </c>
      <c r="I12115">
        <v>116.32</v>
      </c>
      <c r="J12115">
        <v>6083</v>
      </c>
      <c r="K12115">
        <v>539655.67999999993</v>
      </c>
      <c r="L12115">
        <v>88.72</v>
      </c>
      <c r="M12115">
        <v>36316</v>
      </c>
      <c r="N12115">
        <v>4056220.5499999989</v>
      </c>
      <c r="O12115">
        <v>111.69</v>
      </c>
    </row>
    <row r="12116" spans="1:15" x14ac:dyDescent="0.35">
      <c r="A12116" t="s">
        <v>1059</v>
      </c>
      <c r="B12116" t="s">
        <v>1059</v>
      </c>
      <c r="C12116" t="s">
        <v>1059</v>
      </c>
      <c r="D12116" t="s">
        <v>348</v>
      </c>
      <c r="E12116" t="s">
        <v>349</v>
      </c>
      <c r="F12116" t="s">
        <v>12954</v>
      </c>
      <c r="G12116">
        <v>43912</v>
      </c>
      <c r="H12116">
        <v>4630284.3099999996</v>
      </c>
      <c r="I12116">
        <v>126.05</v>
      </c>
      <c r="J12116">
        <v>6466</v>
      </c>
      <c r="K12116">
        <v>590488.28</v>
      </c>
      <c r="L12116">
        <v>91.32</v>
      </c>
      <c r="M12116">
        <v>50378</v>
      </c>
      <c r="N12116">
        <v>5220772.59</v>
      </c>
      <c r="O12116">
        <v>120.85</v>
      </c>
    </row>
    <row r="12117" spans="1:15" x14ac:dyDescent="0.35">
      <c r="A12117" t="s">
        <v>1059</v>
      </c>
      <c r="B12117" t="s">
        <v>1059</v>
      </c>
      <c r="C12117" t="s">
        <v>1059</v>
      </c>
      <c r="D12117" t="s">
        <v>310</v>
      </c>
      <c r="E12117" t="s">
        <v>310</v>
      </c>
      <c r="F12117" t="s">
        <v>12955</v>
      </c>
      <c r="G12117">
        <v>302655</v>
      </c>
      <c r="H12117">
        <v>30923658.209999997</v>
      </c>
      <c r="I12117">
        <v>116.42</v>
      </c>
      <c r="J12117">
        <v>191798</v>
      </c>
      <c r="K12117">
        <v>18581962.870000001</v>
      </c>
      <c r="L12117">
        <v>97.05</v>
      </c>
      <c r="M12117">
        <v>494453</v>
      </c>
      <c r="N12117">
        <v>49505621.079999998</v>
      </c>
      <c r="O12117">
        <v>108.3</v>
      </c>
    </row>
    <row r="12118" spans="1:15" x14ac:dyDescent="0.35">
      <c r="A12118" t="s">
        <v>688</v>
      </c>
      <c r="B12118" t="s">
        <v>688</v>
      </c>
      <c r="C12118" t="s">
        <v>688</v>
      </c>
      <c r="D12118" t="s">
        <v>293</v>
      </c>
      <c r="E12118" t="s">
        <v>294</v>
      </c>
      <c r="F12118" t="s">
        <v>12956</v>
      </c>
      <c r="G12118">
        <v>3189</v>
      </c>
      <c r="H12118">
        <v>350879.32000000007</v>
      </c>
      <c r="I12118">
        <v>110.03</v>
      </c>
      <c r="J12118">
        <v>558</v>
      </c>
      <c r="K12118">
        <v>58547.340000000004</v>
      </c>
      <c r="L12118">
        <v>104.92</v>
      </c>
      <c r="M12118">
        <v>3747</v>
      </c>
      <c r="N12118">
        <v>409426.66000000003</v>
      </c>
      <c r="O12118">
        <v>109.27</v>
      </c>
    </row>
    <row r="12119" spans="1:15" x14ac:dyDescent="0.35">
      <c r="A12119" t="s">
        <v>688</v>
      </c>
      <c r="B12119" t="s">
        <v>688</v>
      </c>
      <c r="C12119" t="s">
        <v>688</v>
      </c>
      <c r="D12119" t="s">
        <v>293</v>
      </c>
      <c r="E12119" t="s">
        <v>296</v>
      </c>
      <c r="F12119" t="s">
        <v>12957</v>
      </c>
      <c r="G12119">
        <v>13381</v>
      </c>
      <c r="H12119">
        <v>1694913.77</v>
      </c>
      <c r="I12119">
        <v>126.67</v>
      </c>
      <c r="J12119">
        <v>2348</v>
      </c>
      <c r="K12119">
        <v>281137.11</v>
      </c>
      <c r="L12119">
        <v>119.73</v>
      </c>
      <c r="M12119">
        <v>15729</v>
      </c>
      <c r="N12119">
        <v>1976050.8800000004</v>
      </c>
      <c r="O12119">
        <v>125.63</v>
      </c>
    </row>
    <row r="12120" spans="1:15" x14ac:dyDescent="0.35">
      <c r="A12120" t="s">
        <v>688</v>
      </c>
      <c r="B12120" t="s">
        <v>688</v>
      </c>
      <c r="C12120" t="s">
        <v>688</v>
      </c>
      <c r="D12120" t="s">
        <v>293</v>
      </c>
      <c r="E12120" t="s">
        <v>298</v>
      </c>
      <c r="F12120" t="s">
        <v>12958</v>
      </c>
      <c r="G12120">
        <v>9464</v>
      </c>
      <c r="H12120">
        <v>1314941.03</v>
      </c>
      <c r="I12120">
        <v>138.94</v>
      </c>
      <c r="J12120">
        <v>1420</v>
      </c>
      <c r="K12120">
        <v>193207.72</v>
      </c>
      <c r="L12120">
        <v>136.06</v>
      </c>
      <c r="M12120">
        <v>10884</v>
      </c>
      <c r="N12120">
        <v>1508148.75</v>
      </c>
      <c r="O12120">
        <v>138.57</v>
      </c>
    </row>
    <row r="12121" spans="1:15" x14ac:dyDescent="0.35">
      <c r="A12121" t="s">
        <v>688</v>
      </c>
      <c r="B12121" t="s">
        <v>688</v>
      </c>
      <c r="C12121" t="s">
        <v>688</v>
      </c>
      <c r="D12121" t="s">
        <v>293</v>
      </c>
      <c r="E12121" t="s">
        <v>300</v>
      </c>
      <c r="F12121" t="s">
        <v>12959</v>
      </c>
      <c r="G12121">
        <v>759</v>
      </c>
      <c r="H12121">
        <v>123199.79000000001</v>
      </c>
      <c r="I12121">
        <v>162.32</v>
      </c>
      <c r="J12121">
        <v>190</v>
      </c>
      <c r="K12121">
        <v>33912.060000000005</v>
      </c>
      <c r="L12121">
        <v>178.48</v>
      </c>
      <c r="M12121">
        <v>949</v>
      </c>
      <c r="N12121">
        <v>157111.84999999998</v>
      </c>
      <c r="O12121">
        <v>165.56</v>
      </c>
    </row>
    <row r="12122" spans="1:15" x14ac:dyDescent="0.35">
      <c r="A12122" t="s">
        <v>688</v>
      </c>
      <c r="B12122" t="s">
        <v>688</v>
      </c>
      <c r="C12122" t="s">
        <v>688</v>
      </c>
      <c r="D12122" t="s">
        <v>293</v>
      </c>
      <c r="E12122" t="s">
        <v>302</v>
      </c>
      <c r="F12122" t="s">
        <v>12960</v>
      </c>
      <c r="G12122">
        <v>40</v>
      </c>
      <c r="H12122">
        <v>6471.5599999999995</v>
      </c>
      <c r="I12122">
        <v>161.79</v>
      </c>
      <c r="J12122">
        <v>9</v>
      </c>
      <c r="K12122">
        <v>1495.75</v>
      </c>
      <c r="L12122">
        <v>166.19</v>
      </c>
      <c r="M12122">
        <v>49</v>
      </c>
      <c r="N12122">
        <v>7967.3099999999995</v>
      </c>
      <c r="O12122">
        <v>162.6</v>
      </c>
    </row>
    <row r="12123" spans="1:15" x14ac:dyDescent="0.35">
      <c r="A12123" t="s">
        <v>688</v>
      </c>
      <c r="B12123" t="s">
        <v>688</v>
      </c>
      <c r="C12123" t="s">
        <v>688</v>
      </c>
      <c r="D12123" t="s">
        <v>293</v>
      </c>
      <c r="E12123" t="s">
        <v>304</v>
      </c>
      <c r="F12123" t="s">
        <v>12961</v>
      </c>
      <c r="G12123">
        <v>7</v>
      </c>
      <c r="H12123">
        <v>1133</v>
      </c>
      <c r="I12123">
        <v>161.86000000000001</v>
      </c>
      <c r="J12123">
        <v>3</v>
      </c>
      <c r="K12123">
        <v>963.8900000000001</v>
      </c>
      <c r="L12123">
        <v>321.3</v>
      </c>
      <c r="M12123">
        <v>10</v>
      </c>
      <c r="N12123">
        <v>2096.8900000000003</v>
      </c>
      <c r="O12123">
        <v>209.69</v>
      </c>
    </row>
    <row r="12124" spans="1:15" x14ac:dyDescent="0.35">
      <c r="A12124" t="s">
        <v>688</v>
      </c>
      <c r="B12124" t="s">
        <v>688</v>
      </c>
      <c r="C12124" t="s">
        <v>688</v>
      </c>
      <c r="D12124" t="s">
        <v>293</v>
      </c>
      <c r="E12124" t="s">
        <v>306</v>
      </c>
      <c r="F12124" t="s">
        <v>12962</v>
      </c>
      <c r="G12124">
        <v>8</v>
      </c>
      <c r="H12124">
        <v>876.05000000000018</v>
      </c>
      <c r="I12124">
        <v>109.51</v>
      </c>
      <c r="J12124">
        <v>0</v>
      </c>
      <c r="K12124">
        <v>0</v>
      </c>
      <c r="L12124">
        <v>0</v>
      </c>
      <c r="M12124">
        <v>8</v>
      </c>
      <c r="N12124">
        <v>876.05000000000018</v>
      </c>
      <c r="O12124">
        <v>109.51</v>
      </c>
    </row>
    <row r="12125" spans="1:15" x14ac:dyDescent="0.35">
      <c r="A12125" t="s">
        <v>688</v>
      </c>
      <c r="B12125" t="s">
        <v>688</v>
      </c>
      <c r="C12125" t="s">
        <v>688</v>
      </c>
      <c r="D12125" t="s">
        <v>293</v>
      </c>
      <c r="E12125" t="s">
        <v>308</v>
      </c>
      <c r="F12125" t="s">
        <v>12963</v>
      </c>
      <c r="G12125">
        <v>0</v>
      </c>
      <c r="H12125">
        <v>0</v>
      </c>
      <c r="I12125">
        <v>0</v>
      </c>
      <c r="J12125">
        <v>0</v>
      </c>
      <c r="K12125">
        <v>0</v>
      </c>
      <c r="L12125">
        <v>0</v>
      </c>
      <c r="M12125">
        <v>0</v>
      </c>
      <c r="N12125">
        <v>0</v>
      </c>
      <c r="O12125">
        <v>0</v>
      </c>
    </row>
    <row r="12126" spans="1:15" x14ac:dyDescent="0.35">
      <c r="A12126" t="s">
        <v>688</v>
      </c>
      <c r="B12126" t="s">
        <v>688</v>
      </c>
      <c r="C12126" t="s">
        <v>688</v>
      </c>
      <c r="D12126" t="s">
        <v>293</v>
      </c>
      <c r="E12126" t="s">
        <v>310</v>
      </c>
      <c r="F12126" t="s">
        <v>12964</v>
      </c>
      <c r="G12126">
        <v>26848</v>
      </c>
      <c r="H12126">
        <v>3492414.52</v>
      </c>
      <c r="I12126">
        <v>130.08000000000001</v>
      </c>
      <c r="J12126">
        <v>4528</v>
      </c>
      <c r="K12126">
        <v>569263.86999999988</v>
      </c>
      <c r="L12126">
        <v>125.72</v>
      </c>
      <c r="M12126">
        <v>31376</v>
      </c>
      <c r="N12126">
        <v>4061678.3899999997</v>
      </c>
      <c r="O12126">
        <v>129.44999999999999</v>
      </c>
    </row>
    <row r="12127" spans="1:15" x14ac:dyDescent="0.35">
      <c r="A12127" t="s">
        <v>688</v>
      </c>
      <c r="B12127" t="s">
        <v>688</v>
      </c>
      <c r="C12127" t="s">
        <v>688</v>
      </c>
      <c r="D12127" t="s">
        <v>293</v>
      </c>
      <c r="E12127" t="s">
        <v>312</v>
      </c>
      <c r="F12127" t="s">
        <v>12965</v>
      </c>
      <c r="G12127">
        <v>26848</v>
      </c>
      <c r="H12127">
        <v>3492414.52</v>
      </c>
      <c r="I12127">
        <v>130.08000000000001</v>
      </c>
      <c r="J12127">
        <v>4528</v>
      </c>
      <c r="K12127">
        <v>569263.86999999988</v>
      </c>
      <c r="L12127">
        <v>125.72</v>
      </c>
      <c r="M12127">
        <v>31376</v>
      </c>
      <c r="N12127">
        <v>4061678.3899999997</v>
      </c>
      <c r="O12127">
        <v>129.44999999999999</v>
      </c>
    </row>
    <row r="12128" spans="1:15" x14ac:dyDescent="0.35">
      <c r="A12128" t="s">
        <v>688</v>
      </c>
      <c r="B12128" t="s">
        <v>688</v>
      </c>
      <c r="C12128" t="s">
        <v>688</v>
      </c>
      <c r="D12128" t="s">
        <v>314</v>
      </c>
      <c r="E12128" t="s">
        <v>294</v>
      </c>
      <c r="F12128" t="s">
        <v>12966</v>
      </c>
      <c r="G12128">
        <v>720</v>
      </c>
      <c r="H12128">
        <v>180236.03</v>
      </c>
      <c r="I12128">
        <v>250.33</v>
      </c>
      <c r="J12128">
        <v>191</v>
      </c>
      <c r="K12128">
        <v>39956.400000000001</v>
      </c>
      <c r="L12128">
        <v>209.2</v>
      </c>
      <c r="M12128">
        <v>911</v>
      </c>
      <c r="N12128">
        <v>220192.43</v>
      </c>
      <c r="O12128">
        <v>241.7</v>
      </c>
    </row>
    <row r="12129" spans="1:15" x14ac:dyDescent="0.35">
      <c r="A12129" t="s">
        <v>688</v>
      </c>
      <c r="B12129" t="s">
        <v>688</v>
      </c>
      <c r="C12129" t="s">
        <v>688</v>
      </c>
      <c r="D12129" t="s">
        <v>314</v>
      </c>
      <c r="E12129" t="s">
        <v>296</v>
      </c>
      <c r="F12129" t="s">
        <v>12967</v>
      </c>
      <c r="G12129">
        <v>516</v>
      </c>
      <c r="H12129">
        <v>140376.98000000001</v>
      </c>
      <c r="I12129">
        <v>272.05</v>
      </c>
      <c r="J12129">
        <v>141</v>
      </c>
      <c r="K12129">
        <v>26678.97</v>
      </c>
      <c r="L12129">
        <v>189.21</v>
      </c>
      <c r="M12129">
        <v>657</v>
      </c>
      <c r="N12129">
        <v>167055.95000000001</v>
      </c>
      <c r="O12129">
        <v>254.27</v>
      </c>
    </row>
    <row r="12130" spans="1:15" x14ac:dyDescent="0.35">
      <c r="A12130" t="s">
        <v>688</v>
      </c>
      <c r="B12130" t="s">
        <v>688</v>
      </c>
      <c r="C12130" t="s">
        <v>688</v>
      </c>
      <c r="D12130" t="s">
        <v>314</v>
      </c>
      <c r="E12130" t="s">
        <v>298</v>
      </c>
      <c r="F12130" t="s">
        <v>12968</v>
      </c>
      <c r="G12130">
        <v>5</v>
      </c>
      <c r="H12130">
        <v>920.0200000000001</v>
      </c>
      <c r="I12130">
        <v>184</v>
      </c>
      <c r="J12130">
        <v>0</v>
      </c>
      <c r="K12130">
        <v>0</v>
      </c>
      <c r="L12130">
        <v>0</v>
      </c>
      <c r="M12130">
        <v>5</v>
      </c>
      <c r="N12130">
        <v>920.0200000000001</v>
      </c>
      <c r="O12130">
        <v>184</v>
      </c>
    </row>
    <row r="12131" spans="1:15" x14ac:dyDescent="0.35">
      <c r="A12131" t="s">
        <v>688</v>
      </c>
      <c r="B12131" t="s">
        <v>688</v>
      </c>
      <c r="C12131" t="s">
        <v>688</v>
      </c>
      <c r="D12131" t="s">
        <v>314</v>
      </c>
      <c r="E12131" t="s">
        <v>300</v>
      </c>
      <c r="F12131" t="s">
        <v>12969</v>
      </c>
      <c r="G12131">
        <v>1</v>
      </c>
      <c r="H12131">
        <v>172.11</v>
      </c>
      <c r="I12131">
        <v>172.11</v>
      </c>
      <c r="J12131">
        <v>0</v>
      </c>
      <c r="K12131">
        <v>0</v>
      </c>
      <c r="L12131">
        <v>0</v>
      </c>
      <c r="M12131">
        <v>1</v>
      </c>
      <c r="N12131">
        <v>172.11</v>
      </c>
      <c r="O12131">
        <v>172.11</v>
      </c>
    </row>
    <row r="12132" spans="1:15" x14ac:dyDescent="0.35">
      <c r="A12132" t="s">
        <v>688</v>
      </c>
      <c r="B12132" t="s">
        <v>688</v>
      </c>
      <c r="C12132" t="s">
        <v>688</v>
      </c>
      <c r="D12132" t="s">
        <v>314</v>
      </c>
      <c r="E12132" t="s">
        <v>306</v>
      </c>
      <c r="F12132" t="s">
        <v>12970</v>
      </c>
      <c r="G12132">
        <v>30</v>
      </c>
      <c r="H12132">
        <v>8420.1</v>
      </c>
      <c r="I12132">
        <v>280.67</v>
      </c>
      <c r="J12132">
        <v>0</v>
      </c>
      <c r="K12132">
        <v>0</v>
      </c>
      <c r="L12132">
        <v>0</v>
      </c>
      <c r="M12132">
        <v>30</v>
      </c>
      <c r="N12132">
        <v>8420.1</v>
      </c>
      <c r="O12132">
        <v>280.67</v>
      </c>
    </row>
    <row r="12133" spans="1:15" x14ac:dyDescent="0.35">
      <c r="A12133" t="s">
        <v>688</v>
      </c>
      <c r="B12133" t="s">
        <v>688</v>
      </c>
      <c r="C12133" t="s">
        <v>688</v>
      </c>
      <c r="D12133" t="s">
        <v>314</v>
      </c>
      <c r="E12133" t="s">
        <v>308</v>
      </c>
      <c r="F12133" t="s">
        <v>12971</v>
      </c>
      <c r="G12133">
        <v>116</v>
      </c>
      <c r="H12133">
        <v>31300.57</v>
      </c>
      <c r="I12133">
        <v>269.83</v>
      </c>
      <c r="J12133">
        <v>0</v>
      </c>
      <c r="K12133">
        <v>0</v>
      </c>
      <c r="L12133">
        <v>0</v>
      </c>
      <c r="M12133">
        <v>116</v>
      </c>
      <c r="N12133">
        <v>31300.57</v>
      </c>
      <c r="O12133">
        <v>269.83</v>
      </c>
    </row>
    <row r="12134" spans="1:15" x14ac:dyDescent="0.35">
      <c r="A12134" t="s">
        <v>688</v>
      </c>
      <c r="B12134" t="s">
        <v>688</v>
      </c>
      <c r="C12134" t="s">
        <v>688</v>
      </c>
      <c r="D12134" t="s">
        <v>314</v>
      </c>
      <c r="E12134" t="s">
        <v>312</v>
      </c>
      <c r="F12134" t="s">
        <v>12972</v>
      </c>
      <c r="G12134">
        <v>1272</v>
      </c>
      <c r="H12134">
        <v>330125.24</v>
      </c>
      <c r="I12134">
        <v>259.52999999999997</v>
      </c>
      <c r="J12134">
        <v>332</v>
      </c>
      <c r="K12134">
        <v>66635.37000000001</v>
      </c>
      <c r="L12134">
        <v>200.71</v>
      </c>
      <c r="M12134">
        <v>1604</v>
      </c>
      <c r="N12134">
        <v>396760.61</v>
      </c>
      <c r="O12134">
        <v>247.36</v>
      </c>
    </row>
    <row r="12135" spans="1:15" x14ac:dyDescent="0.35">
      <c r="A12135" t="s">
        <v>688</v>
      </c>
      <c r="B12135" t="s">
        <v>688</v>
      </c>
      <c r="C12135" t="s">
        <v>688</v>
      </c>
      <c r="D12135" t="s">
        <v>314</v>
      </c>
      <c r="E12135" t="s">
        <v>310</v>
      </c>
      <c r="F12135" t="s">
        <v>12973</v>
      </c>
      <c r="G12135">
        <v>1388</v>
      </c>
      <c r="H12135">
        <v>361425.81</v>
      </c>
      <c r="I12135">
        <v>260.39</v>
      </c>
      <c r="J12135">
        <v>332</v>
      </c>
      <c r="K12135">
        <v>66635.37000000001</v>
      </c>
      <c r="L12135">
        <v>200.71</v>
      </c>
      <c r="M12135">
        <v>1720</v>
      </c>
      <c r="N12135">
        <v>428061.18</v>
      </c>
      <c r="O12135">
        <v>248.87</v>
      </c>
    </row>
    <row r="12136" spans="1:15" x14ac:dyDescent="0.35">
      <c r="A12136" t="s">
        <v>688</v>
      </c>
      <c r="B12136" t="s">
        <v>688</v>
      </c>
      <c r="C12136" t="s">
        <v>688</v>
      </c>
      <c r="D12136" t="s">
        <v>323</v>
      </c>
      <c r="E12136" t="s">
        <v>294</v>
      </c>
      <c r="F12136" t="s">
        <v>12974</v>
      </c>
      <c r="G12136">
        <v>39288</v>
      </c>
      <c r="H12136">
        <v>3452906.72</v>
      </c>
      <c r="I12136">
        <v>87.89</v>
      </c>
      <c r="J12136">
        <v>59023</v>
      </c>
      <c r="K12136">
        <v>4739094.7200000007</v>
      </c>
      <c r="L12136">
        <v>80.290000000000006</v>
      </c>
      <c r="M12136">
        <v>98311</v>
      </c>
      <c r="N12136">
        <v>8192001.4399999995</v>
      </c>
      <c r="O12136">
        <v>83.33</v>
      </c>
    </row>
    <row r="12137" spans="1:15" x14ac:dyDescent="0.35">
      <c r="A12137" t="s">
        <v>688</v>
      </c>
      <c r="B12137" t="s">
        <v>688</v>
      </c>
      <c r="C12137" t="s">
        <v>688</v>
      </c>
      <c r="D12137" t="s">
        <v>323</v>
      </c>
      <c r="E12137" t="s">
        <v>296</v>
      </c>
      <c r="F12137" t="s">
        <v>12975</v>
      </c>
      <c r="G12137">
        <v>53504</v>
      </c>
      <c r="H12137">
        <v>5437769.459999999</v>
      </c>
      <c r="I12137">
        <v>101.63</v>
      </c>
      <c r="J12137">
        <v>76117</v>
      </c>
      <c r="K12137">
        <v>6938775.7699999996</v>
      </c>
      <c r="L12137">
        <v>91.16</v>
      </c>
      <c r="M12137">
        <v>129621</v>
      </c>
      <c r="N12137">
        <v>12376545.230000002</v>
      </c>
      <c r="O12137">
        <v>95.48</v>
      </c>
    </row>
    <row r="12138" spans="1:15" x14ac:dyDescent="0.35">
      <c r="A12138" t="s">
        <v>688</v>
      </c>
      <c r="B12138" t="s">
        <v>688</v>
      </c>
      <c r="C12138" t="s">
        <v>688</v>
      </c>
      <c r="D12138" t="s">
        <v>323</v>
      </c>
      <c r="E12138" t="s">
        <v>298</v>
      </c>
      <c r="F12138" t="s">
        <v>12976</v>
      </c>
      <c r="G12138">
        <v>46128</v>
      </c>
      <c r="H12138">
        <v>5131217.290000001</v>
      </c>
      <c r="I12138">
        <v>111.24</v>
      </c>
      <c r="J12138">
        <v>65503</v>
      </c>
      <c r="K12138">
        <v>6494528.2600000007</v>
      </c>
      <c r="L12138">
        <v>99.15</v>
      </c>
      <c r="M12138">
        <v>111631</v>
      </c>
      <c r="N12138">
        <v>11625745.550000001</v>
      </c>
      <c r="O12138">
        <v>104.14</v>
      </c>
    </row>
    <row r="12139" spans="1:15" x14ac:dyDescent="0.35">
      <c r="A12139" t="s">
        <v>688</v>
      </c>
      <c r="B12139" t="s">
        <v>688</v>
      </c>
      <c r="C12139" t="s">
        <v>688</v>
      </c>
      <c r="D12139" t="s">
        <v>323</v>
      </c>
      <c r="E12139" t="s">
        <v>300</v>
      </c>
      <c r="F12139" t="s">
        <v>12977</v>
      </c>
      <c r="G12139">
        <v>4657</v>
      </c>
      <c r="H12139">
        <v>580473.37000000011</v>
      </c>
      <c r="I12139">
        <v>124.65</v>
      </c>
      <c r="J12139">
        <v>4641</v>
      </c>
      <c r="K12139">
        <v>494576.92000000004</v>
      </c>
      <c r="L12139">
        <v>106.57</v>
      </c>
      <c r="M12139">
        <v>9298</v>
      </c>
      <c r="N12139">
        <v>1075050.29</v>
      </c>
      <c r="O12139">
        <v>115.62</v>
      </c>
    </row>
    <row r="12140" spans="1:15" x14ac:dyDescent="0.35">
      <c r="A12140" t="s">
        <v>688</v>
      </c>
      <c r="B12140" t="s">
        <v>688</v>
      </c>
      <c r="C12140" t="s">
        <v>688</v>
      </c>
      <c r="D12140" t="s">
        <v>323</v>
      </c>
      <c r="E12140" t="s">
        <v>302</v>
      </c>
      <c r="F12140" t="s">
        <v>12978</v>
      </c>
      <c r="G12140">
        <v>540</v>
      </c>
      <c r="H12140">
        <v>74692.590000000011</v>
      </c>
      <c r="I12140">
        <v>138.32</v>
      </c>
      <c r="J12140">
        <v>278</v>
      </c>
      <c r="K12140">
        <v>32436.590000000004</v>
      </c>
      <c r="L12140">
        <v>116.68</v>
      </c>
      <c r="M12140">
        <v>818</v>
      </c>
      <c r="N12140">
        <v>107129.18000000001</v>
      </c>
      <c r="O12140">
        <v>130.96</v>
      </c>
    </row>
    <row r="12141" spans="1:15" x14ac:dyDescent="0.35">
      <c r="A12141" t="s">
        <v>688</v>
      </c>
      <c r="B12141" t="s">
        <v>688</v>
      </c>
      <c r="C12141" t="s">
        <v>688</v>
      </c>
      <c r="D12141" t="s">
        <v>323</v>
      </c>
      <c r="E12141" t="s">
        <v>304</v>
      </c>
      <c r="F12141" t="s">
        <v>12979</v>
      </c>
      <c r="G12141">
        <v>88</v>
      </c>
      <c r="H12141">
        <v>12961.18</v>
      </c>
      <c r="I12141">
        <v>147.29</v>
      </c>
      <c r="J12141">
        <v>53</v>
      </c>
      <c r="K12141">
        <v>6467.03</v>
      </c>
      <c r="L12141">
        <v>122.02</v>
      </c>
      <c r="M12141">
        <v>141</v>
      </c>
      <c r="N12141">
        <v>19428.210000000003</v>
      </c>
      <c r="O12141">
        <v>137.79</v>
      </c>
    </row>
    <row r="12142" spans="1:15" x14ac:dyDescent="0.35">
      <c r="A12142" t="s">
        <v>688</v>
      </c>
      <c r="B12142" t="s">
        <v>688</v>
      </c>
      <c r="C12142" t="s">
        <v>688</v>
      </c>
      <c r="D12142" t="s">
        <v>323</v>
      </c>
      <c r="E12142" t="s">
        <v>306</v>
      </c>
      <c r="F12142" t="s">
        <v>12980</v>
      </c>
      <c r="G12142">
        <v>752</v>
      </c>
      <c r="H12142">
        <v>57438.270000000004</v>
      </c>
      <c r="I12142">
        <v>76.38</v>
      </c>
      <c r="J12142">
        <v>863</v>
      </c>
      <c r="K12142">
        <v>60969.53</v>
      </c>
      <c r="L12142">
        <v>70.650000000000006</v>
      </c>
      <c r="M12142">
        <v>1615</v>
      </c>
      <c r="N12142">
        <v>118407.79999999999</v>
      </c>
      <c r="O12142">
        <v>73.319999999999993</v>
      </c>
    </row>
    <row r="12143" spans="1:15" x14ac:dyDescent="0.35">
      <c r="A12143" t="s">
        <v>688</v>
      </c>
      <c r="B12143" t="s">
        <v>688</v>
      </c>
      <c r="C12143" t="s">
        <v>688</v>
      </c>
      <c r="D12143" t="s">
        <v>323</v>
      </c>
      <c r="E12143" t="s">
        <v>308</v>
      </c>
      <c r="F12143" t="s">
        <v>12981</v>
      </c>
      <c r="G12143">
        <v>13</v>
      </c>
      <c r="H12143">
        <v>886.76</v>
      </c>
      <c r="I12143">
        <v>68.209999999999994</v>
      </c>
      <c r="J12143">
        <v>170</v>
      </c>
      <c r="K12143">
        <v>13893.39</v>
      </c>
      <c r="L12143">
        <v>81.73</v>
      </c>
      <c r="M12143">
        <v>183</v>
      </c>
      <c r="N12143">
        <v>14780.15</v>
      </c>
      <c r="O12143">
        <v>80.77</v>
      </c>
    </row>
    <row r="12144" spans="1:15" x14ac:dyDescent="0.35">
      <c r="A12144" t="s">
        <v>688</v>
      </c>
      <c r="B12144" t="s">
        <v>688</v>
      </c>
      <c r="C12144" t="s">
        <v>688</v>
      </c>
      <c r="D12144" t="s">
        <v>323</v>
      </c>
      <c r="E12144" t="s">
        <v>310</v>
      </c>
      <c r="F12144" t="s">
        <v>12982</v>
      </c>
      <c r="G12144">
        <v>144970</v>
      </c>
      <c r="H12144">
        <v>14748345.640000002</v>
      </c>
      <c r="I12144">
        <v>101.73</v>
      </c>
      <c r="J12144">
        <v>206648</v>
      </c>
      <c r="K12144">
        <v>18780742.210000001</v>
      </c>
      <c r="L12144">
        <v>90.88</v>
      </c>
      <c r="M12144">
        <v>351618</v>
      </c>
      <c r="N12144">
        <v>33529087.850000001</v>
      </c>
      <c r="O12144">
        <v>95.36</v>
      </c>
    </row>
    <row r="12145" spans="1:15" x14ac:dyDescent="0.35">
      <c r="A12145" t="s">
        <v>688</v>
      </c>
      <c r="B12145" t="s">
        <v>688</v>
      </c>
      <c r="C12145" t="s">
        <v>688</v>
      </c>
      <c r="D12145" t="s">
        <v>323</v>
      </c>
      <c r="E12145" t="s">
        <v>312</v>
      </c>
      <c r="F12145" t="s">
        <v>12983</v>
      </c>
      <c r="G12145">
        <v>144957</v>
      </c>
      <c r="H12145">
        <v>14747458.880000003</v>
      </c>
      <c r="I12145">
        <v>101.74</v>
      </c>
      <c r="J12145">
        <v>206478</v>
      </c>
      <c r="K12145">
        <v>18766848.82</v>
      </c>
      <c r="L12145">
        <v>90.89</v>
      </c>
      <c r="M12145">
        <v>351435</v>
      </c>
      <c r="N12145">
        <v>33514307.700000003</v>
      </c>
      <c r="O12145">
        <v>95.36</v>
      </c>
    </row>
    <row r="12146" spans="1:15" x14ac:dyDescent="0.35">
      <c r="A12146" t="s">
        <v>688</v>
      </c>
      <c r="B12146" t="s">
        <v>688</v>
      </c>
      <c r="C12146" t="s">
        <v>688</v>
      </c>
      <c r="D12146" t="s">
        <v>334</v>
      </c>
      <c r="E12146" t="s">
        <v>312</v>
      </c>
      <c r="F12146" t="s">
        <v>12984</v>
      </c>
      <c r="G12146">
        <v>175723</v>
      </c>
      <c r="H12146">
        <v>18239873.400000002</v>
      </c>
      <c r="I12146">
        <v>106.17</v>
      </c>
      <c r="J12146">
        <v>211006</v>
      </c>
      <c r="K12146">
        <v>19336112.690000005</v>
      </c>
      <c r="L12146">
        <v>91.64</v>
      </c>
      <c r="M12146">
        <v>386729</v>
      </c>
      <c r="N12146">
        <v>37575986.090000004</v>
      </c>
      <c r="O12146">
        <v>98.16</v>
      </c>
    </row>
    <row r="12147" spans="1:15" x14ac:dyDescent="0.35">
      <c r="A12147" t="s">
        <v>688</v>
      </c>
      <c r="B12147" t="s">
        <v>688</v>
      </c>
      <c r="C12147" t="s">
        <v>688</v>
      </c>
      <c r="D12147" t="s">
        <v>334</v>
      </c>
      <c r="E12147" t="s">
        <v>308</v>
      </c>
      <c r="F12147" t="s">
        <v>12985</v>
      </c>
      <c r="G12147">
        <v>56</v>
      </c>
      <c r="H12147">
        <v>886.76</v>
      </c>
      <c r="I12147">
        <v>68.209999999999994</v>
      </c>
      <c r="J12147">
        <v>170</v>
      </c>
      <c r="K12147">
        <v>13893.39</v>
      </c>
      <c r="L12147">
        <v>81.73</v>
      </c>
      <c r="M12147">
        <v>226</v>
      </c>
      <c r="N12147">
        <v>14780.15</v>
      </c>
      <c r="O12147">
        <v>80.77</v>
      </c>
    </row>
    <row r="12148" spans="1:15" x14ac:dyDescent="0.35">
      <c r="A12148" t="s">
        <v>688</v>
      </c>
      <c r="B12148" t="s">
        <v>688</v>
      </c>
      <c r="C12148" t="s">
        <v>688</v>
      </c>
      <c r="D12148" t="s">
        <v>337</v>
      </c>
      <c r="E12148" t="s">
        <v>337</v>
      </c>
      <c r="F12148" t="s">
        <v>12986</v>
      </c>
      <c r="G12148">
        <v>13478</v>
      </c>
      <c r="J12148">
        <v>548</v>
      </c>
      <c r="M12148">
        <v>14026</v>
      </c>
    </row>
    <row r="12149" spans="1:15" x14ac:dyDescent="0.35">
      <c r="A12149" t="s">
        <v>688</v>
      </c>
      <c r="B12149" t="s">
        <v>688</v>
      </c>
      <c r="C12149" t="s">
        <v>688</v>
      </c>
      <c r="D12149" t="s">
        <v>339</v>
      </c>
      <c r="E12149" t="s">
        <v>294</v>
      </c>
      <c r="F12149" t="s">
        <v>12987</v>
      </c>
      <c r="G12149">
        <v>15060</v>
      </c>
      <c r="H12149">
        <v>1654831.99</v>
      </c>
      <c r="I12149">
        <v>109.88</v>
      </c>
      <c r="J12149">
        <v>6149</v>
      </c>
      <c r="K12149">
        <v>511775.82999999996</v>
      </c>
      <c r="L12149">
        <v>83.23</v>
      </c>
      <c r="M12149">
        <v>21209</v>
      </c>
      <c r="N12149">
        <v>2166607.8199999998</v>
      </c>
      <c r="O12149">
        <v>102.16</v>
      </c>
    </row>
    <row r="12150" spans="1:15" x14ac:dyDescent="0.35">
      <c r="A12150" t="s">
        <v>688</v>
      </c>
      <c r="B12150" t="s">
        <v>688</v>
      </c>
      <c r="C12150" t="s">
        <v>688</v>
      </c>
      <c r="D12150" t="s">
        <v>339</v>
      </c>
      <c r="E12150" t="s">
        <v>296</v>
      </c>
      <c r="F12150" t="s">
        <v>12988</v>
      </c>
      <c r="G12150">
        <v>4711</v>
      </c>
      <c r="H12150">
        <v>559950.98</v>
      </c>
      <c r="I12150">
        <v>118.86</v>
      </c>
      <c r="J12150">
        <v>1813</v>
      </c>
      <c r="K12150">
        <v>169403.22999999998</v>
      </c>
      <c r="L12150">
        <v>93.44</v>
      </c>
      <c r="M12150">
        <v>6524</v>
      </c>
      <c r="N12150">
        <v>729354.21000000008</v>
      </c>
      <c r="O12150">
        <v>111.8</v>
      </c>
    </row>
    <row r="12151" spans="1:15" x14ac:dyDescent="0.35">
      <c r="A12151" t="s">
        <v>688</v>
      </c>
      <c r="B12151" t="s">
        <v>688</v>
      </c>
      <c r="C12151" t="s">
        <v>688</v>
      </c>
      <c r="D12151" t="s">
        <v>339</v>
      </c>
      <c r="E12151" t="s">
        <v>298</v>
      </c>
      <c r="F12151" t="s">
        <v>12989</v>
      </c>
      <c r="G12151">
        <v>224</v>
      </c>
      <c r="H12151">
        <v>31025.699999999997</v>
      </c>
      <c r="I12151">
        <v>138.51</v>
      </c>
      <c r="J12151">
        <v>41</v>
      </c>
      <c r="K12151">
        <v>4064.66</v>
      </c>
      <c r="L12151">
        <v>99.14</v>
      </c>
      <c r="M12151">
        <v>265</v>
      </c>
      <c r="N12151">
        <v>35090.36</v>
      </c>
      <c r="O12151">
        <v>132.41999999999999</v>
      </c>
    </row>
    <row r="12152" spans="1:15" x14ac:dyDescent="0.35">
      <c r="A12152" t="s">
        <v>688</v>
      </c>
      <c r="B12152" t="s">
        <v>688</v>
      </c>
      <c r="C12152" t="s">
        <v>688</v>
      </c>
      <c r="D12152" t="s">
        <v>339</v>
      </c>
      <c r="E12152" t="s">
        <v>300</v>
      </c>
      <c r="F12152" t="s">
        <v>12990</v>
      </c>
      <c r="G12152">
        <v>13</v>
      </c>
      <c r="H12152">
        <v>1851.7399999999998</v>
      </c>
      <c r="I12152">
        <v>142.44</v>
      </c>
      <c r="J12152">
        <v>0</v>
      </c>
      <c r="K12152">
        <v>0</v>
      </c>
      <c r="L12152">
        <v>0</v>
      </c>
      <c r="M12152">
        <v>13</v>
      </c>
      <c r="N12152">
        <v>1851.7399999999998</v>
      </c>
      <c r="O12152">
        <v>142.44</v>
      </c>
    </row>
    <row r="12153" spans="1:15" x14ac:dyDescent="0.35">
      <c r="A12153" t="s">
        <v>688</v>
      </c>
      <c r="B12153" t="s">
        <v>688</v>
      </c>
      <c r="C12153" t="s">
        <v>688</v>
      </c>
      <c r="D12153" t="s">
        <v>339</v>
      </c>
      <c r="E12153" t="s">
        <v>302</v>
      </c>
      <c r="F12153" t="s">
        <v>12991</v>
      </c>
      <c r="G12153">
        <v>0</v>
      </c>
      <c r="H12153">
        <v>0</v>
      </c>
      <c r="I12153">
        <v>0</v>
      </c>
      <c r="J12153">
        <v>0</v>
      </c>
      <c r="K12153">
        <v>0</v>
      </c>
      <c r="L12153">
        <v>0</v>
      </c>
      <c r="M12153">
        <v>0</v>
      </c>
      <c r="N12153">
        <v>0</v>
      </c>
      <c r="O12153">
        <v>0</v>
      </c>
    </row>
    <row r="12154" spans="1:15" x14ac:dyDescent="0.35">
      <c r="A12154" t="s">
        <v>688</v>
      </c>
      <c r="B12154" t="s">
        <v>688</v>
      </c>
      <c r="C12154" t="s">
        <v>688</v>
      </c>
      <c r="D12154" t="s">
        <v>339</v>
      </c>
      <c r="E12154" t="s">
        <v>304</v>
      </c>
      <c r="F12154" t="s">
        <v>12992</v>
      </c>
      <c r="G12154">
        <v>0</v>
      </c>
      <c r="H12154">
        <v>0</v>
      </c>
      <c r="I12154">
        <v>0</v>
      </c>
      <c r="J12154">
        <v>0</v>
      </c>
      <c r="K12154">
        <v>0</v>
      </c>
      <c r="L12154">
        <v>0</v>
      </c>
      <c r="M12154">
        <v>0</v>
      </c>
      <c r="N12154">
        <v>0</v>
      </c>
      <c r="O12154">
        <v>0</v>
      </c>
    </row>
    <row r="12155" spans="1:15" x14ac:dyDescent="0.35">
      <c r="A12155" t="s">
        <v>688</v>
      </c>
      <c r="B12155" t="s">
        <v>688</v>
      </c>
      <c r="C12155" t="s">
        <v>688</v>
      </c>
      <c r="D12155" t="s">
        <v>339</v>
      </c>
      <c r="E12155" t="s">
        <v>306</v>
      </c>
      <c r="F12155" t="s">
        <v>12993</v>
      </c>
      <c r="G12155">
        <v>1674</v>
      </c>
      <c r="H12155">
        <v>140835.97000000003</v>
      </c>
      <c r="I12155">
        <v>84.13</v>
      </c>
      <c r="J12155">
        <v>631</v>
      </c>
      <c r="K12155">
        <v>42531.93</v>
      </c>
      <c r="L12155">
        <v>67.400000000000006</v>
      </c>
      <c r="M12155">
        <v>2305</v>
      </c>
      <c r="N12155">
        <v>183367.90000000005</v>
      </c>
      <c r="O12155">
        <v>79.55</v>
      </c>
    </row>
    <row r="12156" spans="1:15" x14ac:dyDescent="0.35">
      <c r="A12156" t="s">
        <v>688</v>
      </c>
      <c r="B12156" t="s">
        <v>688</v>
      </c>
      <c r="C12156" t="s">
        <v>688</v>
      </c>
      <c r="D12156" t="s">
        <v>339</v>
      </c>
      <c r="E12156" t="s">
        <v>308</v>
      </c>
      <c r="F12156" t="s">
        <v>12994</v>
      </c>
      <c r="G12156">
        <v>3282</v>
      </c>
      <c r="H12156">
        <v>530333.82999999996</v>
      </c>
      <c r="I12156">
        <v>161.59</v>
      </c>
      <c r="J12156">
        <v>47</v>
      </c>
      <c r="K12156">
        <v>3323.3100000000004</v>
      </c>
      <c r="L12156">
        <v>70.709999999999994</v>
      </c>
      <c r="M12156">
        <v>3329</v>
      </c>
      <c r="N12156">
        <v>533657.14000000013</v>
      </c>
      <c r="O12156">
        <v>160.31</v>
      </c>
    </row>
    <row r="12157" spans="1:15" x14ac:dyDescent="0.35">
      <c r="A12157" t="s">
        <v>688</v>
      </c>
      <c r="B12157" t="s">
        <v>688</v>
      </c>
      <c r="C12157" t="s">
        <v>688</v>
      </c>
      <c r="D12157" t="s">
        <v>339</v>
      </c>
      <c r="E12157" t="s">
        <v>310</v>
      </c>
      <c r="F12157" t="s">
        <v>12995</v>
      </c>
      <c r="G12157">
        <v>24964</v>
      </c>
      <c r="H12157">
        <v>2918830.21</v>
      </c>
      <c r="I12157">
        <v>116.92</v>
      </c>
      <c r="J12157">
        <v>8681</v>
      </c>
      <c r="K12157">
        <v>731098.96000000008</v>
      </c>
      <c r="L12157">
        <v>84.22</v>
      </c>
      <c r="M12157">
        <v>33645</v>
      </c>
      <c r="N12157">
        <v>3649929.17</v>
      </c>
      <c r="O12157">
        <v>108.48</v>
      </c>
    </row>
    <row r="12158" spans="1:15" x14ac:dyDescent="0.35">
      <c r="A12158" t="s">
        <v>688</v>
      </c>
      <c r="B12158" t="s">
        <v>688</v>
      </c>
      <c r="C12158" t="s">
        <v>688</v>
      </c>
      <c r="D12158" t="s">
        <v>339</v>
      </c>
      <c r="E12158" t="s">
        <v>312</v>
      </c>
      <c r="F12158" t="s">
        <v>12996</v>
      </c>
      <c r="G12158">
        <v>21682</v>
      </c>
      <c r="H12158">
        <v>2388496.38</v>
      </c>
      <c r="I12158">
        <v>110.16</v>
      </c>
      <c r="J12158">
        <v>8634</v>
      </c>
      <c r="K12158">
        <v>727775.65</v>
      </c>
      <c r="L12158">
        <v>84.29</v>
      </c>
      <c r="M12158">
        <v>30316</v>
      </c>
      <c r="N12158">
        <v>3116272.03</v>
      </c>
      <c r="O12158">
        <v>102.79</v>
      </c>
    </row>
    <row r="12159" spans="1:15" x14ac:dyDescent="0.35">
      <c r="A12159" t="s">
        <v>688</v>
      </c>
      <c r="B12159" t="s">
        <v>688</v>
      </c>
      <c r="C12159" t="s">
        <v>688</v>
      </c>
      <c r="D12159" t="s">
        <v>348</v>
      </c>
      <c r="E12159" t="s">
        <v>349</v>
      </c>
      <c r="F12159" t="s">
        <v>12997</v>
      </c>
      <c r="G12159">
        <v>30897</v>
      </c>
      <c r="H12159">
        <v>3280256.0200000009</v>
      </c>
      <c r="I12159">
        <v>124.48</v>
      </c>
      <c r="J12159">
        <v>9013</v>
      </c>
      <c r="K12159">
        <v>797734.33000000007</v>
      </c>
      <c r="L12159">
        <v>88.51</v>
      </c>
      <c r="M12159">
        <v>39910</v>
      </c>
      <c r="N12159">
        <v>4077990.350000001</v>
      </c>
      <c r="O12159">
        <v>115.31</v>
      </c>
    </row>
    <row r="12160" spans="1:15" x14ac:dyDescent="0.35">
      <c r="A12160" t="s">
        <v>688</v>
      </c>
      <c r="B12160" t="s">
        <v>688</v>
      </c>
      <c r="C12160" t="s">
        <v>688</v>
      </c>
      <c r="D12160" t="s">
        <v>310</v>
      </c>
      <c r="E12160" t="s">
        <v>310</v>
      </c>
      <c r="F12160" t="s">
        <v>12998</v>
      </c>
      <c r="G12160">
        <v>220154</v>
      </c>
      <c r="H12160">
        <v>21521016.18</v>
      </c>
      <c r="I12160">
        <v>108.6</v>
      </c>
      <c r="J12160">
        <v>220737</v>
      </c>
      <c r="K12160">
        <v>20147740.410000004</v>
      </c>
      <c r="L12160">
        <v>91.5</v>
      </c>
      <c r="M12160">
        <v>440891</v>
      </c>
      <c r="N12160">
        <v>41668756.590000004</v>
      </c>
      <c r="O12160">
        <v>99.6</v>
      </c>
    </row>
  </sheetData>
  <pageMargins left="0.7" right="0.7" top="0.75" bottom="0.75" header="0.3" footer="0.3"/>
  <tableParts count="1">
    <tablePart r:id="rId1"/>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92D050"/>
  </sheetPr>
  <dimension ref="A1:CJ306"/>
  <sheetViews>
    <sheetView topLeftCell="A265" zoomScale="70" zoomScaleNormal="70" workbookViewId="0"/>
  </sheetViews>
  <sheetFormatPr defaultColWidth="8.73046875" defaultRowHeight="12.75" x14ac:dyDescent="0.35"/>
  <sheetData>
    <row r="1" spans="1:88" x14ac:dyDescent="0.35">
      <c r="A1" s="284" t="s">
        <v>8902</v>
      </c>
      <c r="B1" s="284" t="s">
        <v>8903</v>
      </c>
      <c r="C1" s="284" t="s">
        <v>12999</v>
      </c>
      <c r="D1" s="284" t="s">
        <v>13000</v>
      </c>
      <c r="E1" s="284" t="s">
        <v>13001</v>
      </c>
      <c r="F1" s="284" t="s">
        <v>13002</v>
      </c>
      <c r="G1" s="284" t="s">
        <v>13003</v>
      </c>
      <c r="H1" s="284" t="s">
        <v>13004</v>
      </c>
      <c r="I1" s="284" t="s">
        <v>13005</v>
      </c>
      <c r="J1" s="284" t="s">
        <v>13006</v>
      </c>
      <c r="K1" s="284" t="s">
        <v>13007</v>
      </c>
      <c r="L1" s="284" t="s">
        <v>13008</v>
      </c>
      <c r="M1" s="284" t="s">
        <v>13009</v>
      </c>
      <c r="N1" s="284" t="s">
        <v>13010</v>
      </c>
      <c r="O1" s="284" t="s">
        <v>13011</v>
      </c>
      <c r="P1" s="284" t="s">
        <v>13012</v>
      </c>
      <c r="Q1" s="284" t="s">
        <v>13013</v>
      </c>
      <c r="R1" s="284" t="s">
        <v>13014</v>
      </c>
      <c r="S1" s="284" t="s">
        <v>13015</v>
      </c>
      <c r="T1" s="284" t="s">
        <v>13016</v>
      </c>
      <c r="U1" s="284" t="s">
        <v>13017</v>
      </c>
      <c r="V1" s="284"/>
      <c r="W1" s="284"/>
      <c r="X1" s="284"/>
      <c r="Y1" s="284"/>
      <c r="Z1" s="284"/>
      <c r="AA1" s="284"/>
      <c r="AB1" s="284"/>
      <c r="AC1" s="284"/>
      <c r="AD1" s="284"/>
      <c r="AE1" s="284"/>
      <c r="AF1" s="284"/>
      <c r="AG1" s="284"/>
      <c r="AH1" s="284"/>
      <c r="AI1" s="284"/>
      <c r="AJ1" s="284"/>
      <c r="AK1" s="284"/>
      <c r="AL1" s="284"/>
      <c r="AM1" s="284"/>
      <c r="AN1" s="284"/>
      <c r="AO1" s="284"/>
      <c r="AP1" s="284"/>
      <c r="AQ1" s="284"/>
      <c r="AR1" s="284"/>
      <c r="AS1" s="284"/>
      <c r="AT1" s="284"/>
      <c r="AU1" s="284"/>
      <c r="AV1" s="284"/>
      <c r="AW1" s="284"/>
      <c r="AX1" s="284"/>
      <c r="AY1" s="284"/>
      <c r="AZ1" s="284"/>
      <c r="BA1" s="284"/>
      <c r="BB1" s="284"/>
      <c r="BC1" s="284"/>
      <c r="BD1" s="284"/>
      <c r="BE1" s="284"/>
      <c r="BF1" s="284"/>
      <c r="BG1" s="284"/>
      <c r="BH1" s="284"/>
      <c r="BI1" s="284"/>
      <c r="BJ1" s="284"/>
      <c r="BK1" s="284"/>
      <c r="BL1" s="284"/>
      <c r="BM1" s="284"/>
      <c r="BN1" s="284"/>
      <c r="BO1" s="284"/>
      <c r="BP1" s="284"/>
      <c r="BQ1" s="284"/>
      <c r="BR1" s="284"/>
      <c r="BS1" s="284"/>
      <c r="BT1" s="284"/>
      <c r="BU1" s="284"/>
      <c r="BV1" s="284"/>
      <c r="BW1" s="284"/>
      <c r="BX1" s="284"/>
      <c r="BY1" s="284"/>
      <c r="BZ1" s="284"/>
      <c r="CA1" s="284"/>
      <c r="CB1" s="284"/>
      <c r="CC1" s="284"/>
      <c r="CD1" s="284"/>
      <c r="CE1" s="284"/>
      <c r="CF1" s="284"/>
    </row>
    <row r="2" spans="1:88" x14ac:dyDescent="0.35">
      <c r="A2" s="284" t="s">
        <v>3125</v>
      </c>
      <c r="B2" s="284" t="s">
        <v>3126</v>
      </c>
      <c r="C2" s="284" t="s">
        <v>13018</v>
      </c>
      <c r="D2" s="284" t="s">
        <v>13019</v>
      </c>
      <c r="E2" s="284" t="s">
        <v>13020</v>
      </c>
      <c r="F2" s="284" t="s">
        <v>13021</v>
      </c>
      <c r="G2" s="284" t="s">
        <v>13022</v>
      </c>
      <c r="H2" s="284" t="s">
        <v>13023</v>
      </c>
      <c r="I2" s="284" t="s">
        <v>13024</v>
      </c>
      <c r="J2" s="284" t="s">
        <v>13025</v>
      </c>
      <c r="K2" s="284" t="s">
        <v>13026</v>
      </c>
      <c r="L2" s="284" t="s">
        <v>13027</v>
      </c>
      <c r="M2" s="284" t="s">
        <v>13028</v>
      </c>
      <c r="N2" s="284" t="s">
        <v>13002</v>
      </c>
      <c r="O2" s="284" t="s">
        <v>13029</v>
      </c>
      <c r="P2" s="284" t="s">
        <v>13006</v>
      </c>
      <c r="Q2" s="284" t="s">
        <v>13030</v>
      </c>
      <c r="R2" s="284" t="s">
        <v>13031</v>
      </c>
      <c r="S2" s="284" t="s">
        <v>13032</v>
      </c>
      <c r="T2" s="284" t="s">
        <v>13033</v>
      </c>
      <c r="U2" s="284" t="s">
        <v>13034</v>
      </c>
      <c r="V2" s="284" t="s">
        <v>13035</v>
      </c>
      <c r="W2" s="284" t="s">
        <v>13036</v>
      </c>
      <c r="X2" s="284" t="s">
        <v>13037</v>
      </c>
      <c r="Y2" s="284" t="s">
        <v>13038</v>
      </c>
      <c r="Z2" s="284" t="s">
        <v>13039</v>
      </c>
      <c r="AA2" s="284" t="s">
        <v>13040</v>
      </c>
      <c r="AB2" s="284" t="s">
        <v>13041</v>
      </c>
      <c r="AC2" s="284" t="s">
        <v>13012</v>
      </c>
      <c r="AD2" s="284" t="s">
        <v>13014</v>
      </c>
      <c r="AE2" s="284" t="s">
        <v>13042</v>
      </c>
      <c r="AF2" s="284" t="s">
        <v>13043</v>
      </c>
      <c r="AG2" s="284" t="s">
        <v>13044</v>
      </c>
      <c r="AH2" s="284"/>
      <c r="AI2" s="284"/>
      <c r="AJ2" s="284"/>
      <c r="AK2" s="284"/>
      <c r="AL2" s="284"/>
      <c r="AM2" s="284"/>
      <c r="AN2" s="284"/>
      <c r="AO2" s="284"/>
      <c r="AP2" s="284"/>
      <c r="AQ2" s="284"/>
      <c r="AR2" s="284"/>
      <c r="AS2" s="284"/>
      <c r="AT2" s="284"/>
      <c r="AU2" s="284"/>
      <c r="AV2" s="284"/>
      <c r="AW2" s="284"/>
      <c r="AX2" s="284"/>
      <c r="AY2" s="284"/>
      <c r="AZ2" s="284"/>
      <c r="BA2" s="284"/>
      <c r="BB2" s="284"/>
      <c r="BC2" s="284"/>
      <c r="BD2" s="284"/>
      <c r="BE2" s="284"/>
      <c r="BF2" s="284"/>
      <c r="BG2" s="284"/>
      <c r="BH2" s="284"/>
      <c r="BI2" s="284"/>
      <c r="BJ2" s="284"/>
      <c r="BK2" s="284"/>
      <c r="BL2" s="284"/>
      <c r="BM2" s="284"/>
      <c r="BN2" s="284"/>
      <c r="BO2" s="284"/>
      <c r="BP2" s="284"/>
      <c r="BQ2" s="284"/>
      <c r="BR2" s="284"/>
      <c r="BS2" s="284"/>
      <c r="BT2" s="284"/>
      <c r="BU2" s="284"/>
      <c r="BV2" s="284"/>
      <c r="BW2" s="284"/>
      <c r="BX2" s="284"/>
      <c r="BY2" s="284"/>
      <c r="BZ2" s="284"/>
      <c r="CA2" s="284"/>
      <c r="CB2" s="284"/>
      <c r="CC2" s="284"/>
      <c r="CD2" s="284"/>
      <c r="CE2" s="284"/>
      <c r="CF2" s="284"/>
    </row>
    <row r="3" spans="1:88" x14ac:dyDescent="0.35">
      <c r="A3" s="284" t="s">
        <v>8944</v>
      </c>
      <c r="B3" s="284" t="s">
        <v>8945</v>
      </c>
      <c r="C3" t="s">
        <v>13045</v>
      </c>
      <c r="D3" s="284" t="s">
        <v>13046</v>
      </c>
      <c r="E3" s="284" t="s">
        <v>13023</v>
      </c>
      <c r="F3" s="284" t="s">
        <v>13047</v>
      </c>
      <c r="G3" s="284" t="s">
        <v>13048</v>
      </c>
      <c r="H3" s="284" t="s">
        <v>13000</v>
      </c>
      <c r="I3" s="284" t="s">
        <v>13049</v>
      </c>
      <c r="J3" s="284" t="s">
        <v>13027</v>
      </c>
      <c r="K3" s="284" t="s">
        <v>13050</v>
      </c>
      <c r="L3" s="284" t="s">
        <v>13028</v>
      </c>
      <c r="M3" s="284" t="s">
        <v>13002</v>
      </c>
      <c r="N3" s="284" t="s">
        <v>13003</v>
      </c>
      <c r="O3" s="284" t="s">
        <v>13004</v>
      </c>
      <c r="P3" s="284" t="s">
        <v>13051</v>
      </c>
      <c r="Q3" s="284" t="s">
        <v>13052</v>
      </c>
      <c r="R3" s="284" t="s">
        <v>13005</v>
      </c>
      <c r="S3" s="284" t="s">
        <v>13029</v>
      </c>
      <c r="T3" s="284" t="s">
        <v>13053</v>
      </c>
      <c r="U3" s="284" t="s">
        <v>13007</v>
      </c>
      <c r="V3" s="284" t="s">
        <v>13054</v>
      </c>
      <c r="W3" s="284" t="s">
        <v>13055</v>
      </c>
      <c r="X3" s="284" t="s">
        <v>13033</v>
      </c>
      <c r="Y3" s="284" t="s">
        <v>13038</v>
      </c>
      <c r="Z3" s="284" t="s">
        <v>13039</v>
      </c>
      <c r="AA3" s="284" t="s">
        <v>13009</v>
      </c>
      <c r="AB3" s="284" t="s">
        <v>13056</v>
      </c>
      <c r="AC3" s="284" t="s">
        <v>13010</v>
      </c>
      <c r="AD3" s="284" t="s">
        <v>13057</v>
      </c>
      <c r="AE3" s="284" t="s">
        <v>13011</v>
      </c>
      <c r="AF3" s="284" t="s">
        <v>13058</v>
      </c>
      <c r="AG3" s="284" t="s">
        <v>13041</v>
      </c>
      <c r="AH3" s="284" t="s">
        <v>13059</v>
      </c>
      <c r="AI3" s="284" t="s">
        <v>13012</v>
      </c>
      <c r="AJ3" s="284" t="s">
        <v>13060</v>
      </c>
      <c r="AK3" s="284" t="s">
        <v>13014</v>
      </c>
      <c r="AL3" s="284" t="s">
        <v>13061</v>
      </c>
      <c r="AM3" s="284" t="s">
        <v>13015</v>
      </c>
      <c r="AN3" s="284" t="s">
        <v>13062</v>
      </c>
      <c r="AO3" s="284" t="s">
        <v>13017</v>
      </c>
      <c r="AP3" s="284"/>
      <c r="AQ3" s="284"/>
      <c r="AR3" s="284"/>
      <c r="AS3" s="284"/>
      <c r="AT3" s="284"/>
      <c r="AU3" s="284"/>
      <c r="AV3" s="284"/>
      <c r="AW3" s="284"/>
      <c r="AX3" s="284"/>
      <c r="AY3" s="284"/>
      <c r="AZ3" s="284"/>
      <c r="BA3" s="284"/>
      <c r="BB3" s="284"/>
      <c r="BC3" s="284"/>
      <c r="BD3" s="284"/>
      <c r="BE3" s="284"/>
      <c r="BF3" s="284"/>
      <c r="BG3" s="284"/>
      <c r="BH3" s="284"/>
      <c r="BI3" s="284"/>
      <c r="BJ3" s="284"/>
      <c r="BK3" s="284"/>
      <c r="BL3" s="284"/>
      <c r="BM3" s="284"/>
      <c r="BN3" s="284"/>
      <c r="BO3" s="284"/>
      <c r="BP3" s="284"/>
      <c r="BQ3" s="284"/>
      <c r="BR3" s="284"/>
      <c r="BS3" s="284"/>
      <c r="BT3" s="284"/>
      <c r="BU3" s="284"/>
      <c r="BV3" s="284"/>
      <c r="BW3" s="284"/>
      <c r="BX3" s="284"/>
      <c r="BY3" s="284"/>
      <c r="BZ3" s="284"/>
      <c r="CA3" s="284"/>
      <c r="CB3" s="284"/>
      <c r="CC3" s="284"/>
      <c r="CD3" s="284"/>
      <c r="CE3" s="284"/>
      <c r="CF3" s="284"/>
      <c r="CG3" s="284"/>
    </row>
    <row r="4" spans="1:88" x14ac:dyDescent="0.35">
      <c r="A4" s="284" t="s">
        <v>7292</v>
      </c>
      <c r="B4" s="284" t="s">
        <v>7293</v>
      </c>
      <c r="C4" t="s">
        <v>13063</v>
      </c>
      <c r="D4" s="284" t="s">
        <v>13064</v>
      </c>
      <c r="E4" s="284" t="s">
        <v>13021</v>
      </c>
      <c r="F4" s="284" t="s">
        <v>13023</v>
      </c>
      <c r="G4" s="284" t="s">
        <v>13065</v>
      </c>
      <c r="H4" s="284" t="s">
        <v>13024</v>
      </c>
      <c r="I4" s="284" t="s">
        <v>13025</v>
      </c>
      <c r="J4" s="284" t="s">
        <v>13026</v>
      </c>
      <c r="K4" s="284" t="s">
        <v>13027</v>
      </c>
      <c r="L4" s="284" t="s">
        <v>13028</v>
      </c>
      <c r="M4" s="284" t="s">
        <v>13003</v>
      </c>
      <c r="N4" s="284" t="s">
        <v>13066</v>
      </c>
      <c r="O4" s="284" t="s">
        <v>13067</v>
      </c>
      <c r="P4" s="284" t="s">
        <v>13005</v>
      </c>
      <c r="Q4" s="284" t="s">
        <v>13029</v>
      </c>
      <c r="R4" s="284" t="s">
        <v>13006</v>
      </c>
      <c r="S4" s="284" t="s">
        <v>13030</v>
      </c>
      <c r="T4" s="284" t="s">
        <v>13068</v>
      </c>
      <c r="U4" s="284" t="s">
        <v>13031</v>
      </c>
      <c r="V4" s="284" t="s">
        <v>13055</v>
      </c>
      <c r="W4" s="284" t="s">
        <v>13069</v>
      </c>
      <c r="X4" s="284" t="s">
        <v>13033</v>
      </c>
      <c r="Y4" s="284" t="s">
        <v>13034</v>
      </c>
      <c r="Z4" s="284" t="s">
        <v>13035</v>
      </c>
      <c r="AA4" s="284" t="s">
        <v>13036</v>
      </c>
      <c r="AB4" s="284" t="s">
        <v>13009</v>
      </c>
      <c r="AC4" s="284" t="s">
        <v>13012</v>
      </c>
      <c r="AD4" s="284" t="s">
        <v>13042</v>
      </c>
      <c r="AE4" s="284" t="s">
        <v>13070</v>
      </c>
      <c r="AF4" s="284"/>
      <c r="AG4" s="284"/>
      <c r="AH4" s="284"/>
      <c r="AI4" s="284"/>
      <c r="AJ4" s="284"/>
      <c r="AK4" s="284"/>
      <c r="AL4" s="284"/>
      <c r="AM4" s="284"/>
      <c r="AN4" s="284"/>
      <c r="AO4" s="284"/>
      <c r="AP4" s="284"/>
      <c r="AQ4" s="284"/>
      <c r="AR4" s="284"/>
      <c r="AS4" s="284"/>
      <c r="AT4" s="284"/>
      <c r="AU4" s="284"/>
      <c r="AV4" s="284"/>
      <c r="AW4" s="284"/>
      <c r="AX4" s="284"/>
      <c r="AY4" s="284"/>
      <c r="AZ4" s="284"/>
      <c r="BA4" s="284"/>
      <c r="BB4" s="284"/>
      <c r="BC4" s="284"/>
      <c r="BD4" s="284"/>
      <c r="BE4" s="284"/>
      <c r="BF4" s="284"/>
      <c r="BG4" s="284"/>
      <c r="BH4" s="284"/>
      <c r="BI4" s="284"/>
      <c r="BJ4" s="284"/>
      <c r="BK4" s="284"/>
      <c r="BL4" s="284"/>
      <c r="BM4" s="284"/>
      <c r="BN4" s="284"/>
      <c r="BO4" s="284"/>
      <c r="BP4" s="284"/>
      <c r="BQ4" s="284"/>
      <c r="BR4" s="284"/>
      <c r="BS4" s="284"/>
      <c r="BT4" s="284"/>
      <c r="BU4" s="284"/>
      <c r="BV4" s="284"/>
      <c r="BW4" s="284"/>
      <c r="BX4" s="284"/>
      <c r="BY4" s="284"/>
      <c r="BZ4" s="284"/>
      <c r="CA4" s="284"/>
      <c r="CB4" s="284"/>
      <c r="CC4" s="284"/>
      <c r="CD4" s="284"/>
      <c r="CE4" s="284"/>
      <c r="CF4" s="284"/>
      <c r="CG4" s="284"/>
    </row>
    <row r="5" spans="1:88" x14ac:dyDescent="0.35">
      <c r="A5" s="284" t="s">
        <v>5425</v>
      </c>
      <c r="B5" s="284" t="s">
        <v>5426</v>
      </c>
      <c r="C5" t="s">
        <v>13071</v>
      </c>
      <c r="D5" s="284" t="s">
        <v>13072</v>
      </c>
      <c r="E5" s="284" t="s">
        <v>13021</v>
      </c>
      <c r="F5" s="284" t="s">
        <v>13023</v>
      </c>
      <c r="G5" s="284" t="s">
        <v>13073</v>
      </c>
      <c r="H5" s="284" t="s">
        <v>13000</v>
      </c>
      <c r="I5" s="284" t="s">
        <v>13074</v>
      </c>
      <c r="J5" s="284" t="s">
        <v>13075</v>
      </c>
      <c r="K5" s="284" t="s">
        <v>13028</v>
      </c>
      <c r="L5" s="284" t="s">
        <v>13002</v>
      </c>
      <c r="M5" s="284" t="s">
        <v>13003</v>
      </c>
      <c r="N5" s="284" t="s">
        <v>13004</v>
      </c>
      <c r="O5" s="284" t="s">
        <v>13066</v>
      </c>
      <c r="P5" s="284" t="s">
        <v>13076</v>
      </c>
      <c r="Q5" s="284" t="s">
        <v>13029</v>
      </c>
      <c r="R5" s="284" t="s">
        <v>13007</v>
      </c>
      <c r="S5" s="284" t="s">
        <v>13008</v>
      </c>
      <c r="T5" s="284" t="s">
        <v>13077</v>
      </c>
      <c r="U5" s="284" t="s">
        <v>13033</v>
      </c>
      <c r="V5" s="284" t="s">
        <v>13034</v>
      </c>
      <c r="W5" s="284" t="s">
        <v>13037</v>
      </c>
      <c r="X5" s="284" t="s">
        <v>13038</v>
      </c>
      <c r="Y5" s="284" t="s">
        <v>13039</v>
      </c>
      <c r="Z5" s="284" t="s">
        <v>13078</v>
      </c>
      <c r="AA5" s="284" t="s">
        <v>13009</v>
      </c>
      <c r="AB5" s="284" t="s">
        <v>13011</v>
      </c>
      <c r="AC5" s="284" t="s">
        <v>13041</v>
      </c>
      <c r="AD5" s="284" t="s">
        <v>13014</v>
      </c>
      <c r="AE5" s="284" t="s">
        <v>13042</v>
      </c>
      <c r="AF5" s="284" t="s">
        <v>13079</v>
      </c>
      <c r="AG5" s="284" t="s">
        <v>13080</v>
      </c>
      <c r="AH5" s="284"/>
      <c r="AI5" s="284"/>
      <c r="AJ5" s="284"/>
      <c r="AK5" s="284"/>
      <c r="AL5" s="284"/>
      <c r="AM5" s="284"/>
      <c r="AN5" s="284"/>
      <c r="AO5" s="284"/>
      <c r="AP5" s="284"/>
      <c r="AQ5" s="284"/>
      <c r="AR5" s="284"/>
      <c r="AS5" s="284"/>
      <c r="AT5" s="284"/>
      <c r="AU5" s="284"/>
      <c r="AV5" s="284"/>
      <c r="AW5" s="284"/>
      <c r="AX5" s="284"/>
      <c r="AY5" s="284"/>
      <c r="AZ5" s="284"/>
      <c r="BA5" s="284"/>
      <c r="BB5" s="284"/>
      <c r="BC5" s="284"/>
      <c r="BD5" s="284"/>
      <c r="BE5" s="284"/>
      <c r="BF5" s="284"/>
      <c r="BG5" s="284"/>
      <c r="BH5" s="284"/>
      <c r="BI5" s="284"/>
      <c r="BJ5" s="284"/>
      <c r="BK5" s="284"/>
      <c r="BL5" s="284"/>
      <c r="BM5" s="284"/>
      <c r="BN5" s="284"/>
      <c r="BO5" s="284"/>
      <c r="BP5" s="284"/>
      <c r="BQ5" s="284"/>
      <c r="BR5" s="284"/>
      <c r="BS5" s="284"/>
      <c r="BT5" s="284"/>
      <c r="BU5" s="284"/>
      <c r="BV5" s="284"/>
      <c r="BW5" s="284"/>
      <c r="BX5" s="284"/>
      <c r="BY5" s="284"/>
      <c r="BZ5" s="284"/>
      <c r="CA5" s="284"/>
      <c r="CB5" s="284"/>
      <c r="CC5" s="284"/>
      <c r="CD5" s="284"/>
      <c r="CE5" s="284"/>
      <c r="CF5" s="284"/>
      <c r="CG5" s="284"/>
    </row>
    <row r="6" spans="1:88" x14ac:dyDescent="0.35">
      <c r="A6" s="284" t="s">
        <v>8119</v>
      </c>
      <c r="B6" s="284" t="s">
        <v>8120</v>
      </c>
      <c r="C6" t="s">
        <v>13081</v>
      </c>
      <c r="D6" s="284" t="s">
        <v>13023</v>
      </c>
      <c r="E6" s="284" t="s">
        <v>13082</v>
      </c>
      <c r="F6" s="284" t="s">
        <v>13083</v>
      </c>
      <c r="G6" s="284" t="s">
        <v>13084</v>
      </c>
      <c r="H6" s="284" t="s">
        <v>13085</v>
      </c>
      <c r="I6" s="284" t="s">
        <v>13086</v>
      </c>
      <c r="J6" s="284" t="s">
        <v>13087</v>
      </c>
      <c r="K6" s="284" t="s">
        <v>13027</v>
      </c>
      <c r="L6" s="284" t="s">
        <v>13088</v>
      </c>
      <c r="M6" s="284" t="s">
        <v>13050</v>
      </c>
      <c r="N6" s="284" t="s">
        <v>13028</v>
      </c>
      <c r="O6" s="284" t="s">
        <v>13003</v>
      </c>
      <c r="P6" s="284" t="s">
        <v>13066</v>
      </c>
      <c r="Q6" s="284" t="s">
        <v>13006</v>
      </c>
      <c r="R6" s="284" t="s">
        <v>13008</v>
      </c>
      <c r="S6" s="284" t="s">
        <v>13077</v>
      </c>
      <c r="T6" s="284" t="s">
        <v>13089</v>
      </c>
      <c r="U6" s="284" t="s">
        <v>13036</v>
      </c>
      <c r="V6" s="284" t="s">
        <v>13037</v>
      </c>
      <c r="W6" s="284" t="s">
        <v>13090</v>
      </c>
      <c r="X6" s="284" t="s">
        <v>13038</v>
      </c>
      <c r="Y6" s="284" t="s">
        <v>13039</v>
      </c>
      <c r="Z6" s="284" t="s">
        <v>13091</v>
      </c>
      <c r="AA6" s="284" t="s">
        <v>13009</v>
      </c>
      <c r="AB6" s="284" t="s">
        <v>13092</v>
      </c>
      <c r="AC6" s="284" t="s">
        <v>13093</v>
      </c>
      <c r="AD6" s="284" t="s">
        <v>13094</v>
      </c>
      <c r="AE6" s="284" t="s">
        <v>13095</v>
      </c>
      <c r="AF6" s="284" t="s">
        <v>13096</v>
      </c>
      <c r="AG6" s="284"/>
      <c r="AH6" s="284"/>
      <c r="AI6" s="284"/>
      <c r="AJ6" s="284"/>
      <c r="AK6" s="284"/>
      <c r="AL6" s="284"/>
      <c r="AM6" s="284"/>
      <c r="AN6" s="284"/>
      <c r="AO6" s="284"/>
      <c r="AP6" s="284"/>
      <c r="AQ6" s="284"/>
      <c r="AR6" s="284"/>
      <c r="AS6" s="284"/>
      <c r="AT6" s="284"/>
      <c r="AU6" s="284"/>
      <c r="AV6" s="284"/>
      <c r="AW6" s="284"/>
      <c r="AX6" s="284"/>
      <c r="AY6" s="284"/>
      <c r="AZ6" s="284"/>
      <c r="BA6" s="284"/>
      <c r="BB6" s="284"/>
      <c r="BC6" s="284"/>
      <c r="BD6" s="284"/>
      <c r="BE6" s="284"/>
      <c r="BF6" s="284"/>
      <c r="BG6" s="284"/>
      <c r="BH6" s="284"/>
      <c r="BI6" s="284"/>
      <c r="BJ6" s="284"/>
      <c r="BK6" s="284"/>
      <c r="BL6" s="284"/>
      <c r="BM6" s="284"/>
      <c r="BN6" s="284"/>
      <c r="BO6" s="284"/>
      <c r="BP6" s="284"/>
      <c r="BQ6" s="284"/>
      <c r="BR6" s="284"/>
      <c r="BS6" s="284"/>
      <c r="BT6" s="284"/>
      <c r="BU6" s="284"/>
      <c r="BV6" s="284"/>
      <c r="BW6" s="284"/>
      <c r="BX6" s="284"/>
      <c r="BY6" s="284"/>
      <c r="BZ6" s="284"/>
      <c r="CA6" s="284"/>
      <c r="CB6" s="284"/>
      <c r="CC6" s="284"/>
      <c r="CD6" s="284"/>
      <c r="CE6" s="284"/>
      <c r="CF6" s="284"/>
      <c r="CG6" s="284"/>
    </row>
    <row r="7" spans="1:88" x14ac:dyDescent="0.35">
      <c r="A7" s="284" t="s">
        <v>11229</v>
      </c>
      <c r="B7" s="284" t="s">
        <v>11230</v>
      </c>
      <c r="C7" t="s">
        <v>13097</v>
      </c>
      <c r="D7" s="284" t="s">
        <v>13023</v>
      </c>
      <c r="E7" s="284" t="s">
        <v>13000</v>
      </c>
      <c r="F7" s="284" t="s">
        <v>13098</v>
      </c>
      <c r="G7" s="284" t="s">
        <v>13099</v>
      </c>
      <c r="H7" s="284" t="s">
        <v>13086</v>
      </c>
      <c r="I7" s="284" t="s">
        <v>13002</v>
      </c>
      <c r="J7" s="284" t="s">
        <v>13100</v>
      </c>
      <c r="K7" s="284" t="s">
        <v>13005</v>
      </c>
      <c r="L7" s="284" t="s">
        <v>13101</v>
      </c>
      <c r="M7" s="284" t="s">
        <v>13006</v>
      </c>
      <c r="N7" s="284" t="s">
        <v>13007</v>
      </c>
      <c r="O7" s="284" t="s">
        <v>13102</v>
      </c>
      <c r="P7" s="284" t="s">
        <v>13103</v>
      </c>
      <c r="Q7" s="284" t="s">
        <v>13054</v>
      </c>
      <c r="R7" s="284" t="s">
        <v>13055</v>
      </c>
      <c r="S7" s="284" t="s">
        <v>13104</v>
      </c>
      <c r="T7" s="284" t="s">
        <v>13034</v>
      </c>
      <c r="U7" s="284" t="s">
        <v>13105</v>
      </c>
      <c r="V7" s="284" t="s">
        <v>13038</v>
      </c>
      <c r="W7" s="284" t="s">
        <v>13009</v>
      </c>
      <c r="X7" s="284" t="s">
        <v>13057</v>
      </c>
      <c r="Y7" s="284" t="s">
        <v>13011</v>
      </c>
      <c r="Z7" s="284" t="s">
        <v>13058</v>
      </c>
      <c r="AA7" s="284" t="s">
        <v>13106</v>
      </c>
      <c r="AB7" s="284" t="s">
        <v>13107</v>
      </c>
      <c r="AC7" s="284" t="s">
        <v>13042</v>
      </c>
      <c r="AD7" s="284" t="s">
        <v>13108</v>
      </c>
      <c r="AE7" s="284"/>
      <c r="AF7" s="284"/>
      <c r="AG7" s="284"/>
      <c r="AH7" s="284"/>
      <c r="AI7" s="284"/>
      <c r="AJ7" s="284"/>
      <c r="AK7" s="284"/>
      <c r="AL7" s="284"/>
      <c r="AM7" s="284"/>
      <c r="AN7" s="284"/>
      <c r="AO7" s="284"/>
      <c r="AP7" s="284"/>
      <c r="AQ7" s="284"/>
      <c r="AR7" s="284"/>
      <c r="AS7" s="284"/>
      <c r="AT7" s="284"/>
      <c r="AU7" s="284"/>
      <c r="AV7" s="284"/>
      <c r="AW7" s="284"/>
      <c r="AX7" s="284"/>
      <c r="AY7" s="284"/>
      <c r="AZ7" s="284"/>
      <c r="BA7" s="284"/>
      <c r="BB7" s="284"/>
      <c r="BC7" s="284"/>
      <c r="BD7" s="284"/>
      <c r="BE7" s="284"/>
      <c r="BF7" s="284"/>
      <c r="BG7" s="284"/>
      <c r="BH7" s="284"/>
      <c r="BI7" s="284"/>
      <c r="BJ7" s="284"/>
      <c r="BK7" s="284"/>
      <c r="BL7" s="284"/>
      <c r="BM7" s="284"/>
      <c r="BN7" s="284"/>
      <c r="BO7" s="284"/>
      <c r="BP7" s="284"/>
      <c r="BQ7" s="284"/>
      <c r="BR7" s="284"/>
      <c r="BS7" s="284"/>
      <c r="BT7" s="284"/>
      <c r="BU7" s="284"/>
      <c r="BV7" s="284"/>
      <c r="BW7" s="284"/>
      <c r="BX7" s="284"/>
      <c r="BY7" s="284"/>
      <c r="BZ7" s="284"/>
      <c r="CA7" s="284"/>
      <c r="CB7" s="284"/>
      <c r="CC7" s="284"/>
      <c r="CD7" s="284"/>
      <c r="CE7" s="284"/>
      <c r="CF7" s="284"/>
      <c r="CG7" s="284"/>
    </row>
    <row r="8" spans="1:88" x14ac:dyDescent="0.35">
      <c r="A8" s="284" t="s">
        <v>11271</v>
      </c>
      <c r="B8" s="284" t="s">
        <v>11272</v>
      </c>
      <c r="C8" t="s">
        <v>13109</v>
      </c>
      <c r="D8" s="284" t="s">
        <v>13110</v>
      </c>
      <c r="E8" s="284" t="s">
        <v>13111</v>
      </c>
      <c r="F8" s="284" t="s">
        <v>13023</v>
      </c>
      <c r="G8" s="284" t="s">
        <v>13112</v>
      </c>
      <c r="H8" s="284" t="s">
        <v>13113</v>
      </c>
      <c r="I8" s="284" t="s">
        <v>13114</v>
      </c>
      <c r="J8" s="284" t="s">
        <v>13115</v>
      </c>
      <c r="K8" s="284" t="s">
        <v>13116</v>
      </c>
      <c r="L8" s="284" t="s">
        <v>13000</v>
      </c>
      <c r="M8" s="284" t="s">
        <v>13117</v>
      </c>
      <c r="N8" s="284" t="s">
        <v>13118</v>
      </c>
      <c r="O8" s="284" t="s">
        <v>13119</v>
      </c>
      <c r="P8" s="284" t="s">
        <v>13120</v>
      </c>
      <c r="Q8" s="284" t="s">
        <v>13121</v>
      </c>
      <c r="R8" s="284" t="s">
        <v>13085</v>
      </c>
      <c r="S8" s="284" t="s">
        <v>13099</v>
      </c>
      <c r="T8" s="284" t="s">
        <v>13122</v>
      </c>
      <c r="U8" s="284" t="s">
        <v>13027</v>
      </c>
      <c r="V8" s="284" t="s">
        <v>13001</v>
      </c>
      <c r="W8" s="284" t="s">
        <v>13123</v>
      </c>
      <c r="X8" s="284" t="s">
        <v>13002</v>
      </c>
      <c r="Y8" s="284" t="s">
        <v>13066</v>
      </c>
      <c r="Z8" s="284" t="s">
        <v>13124</v>
      </c>
      <c r="AA8" s="284" t="s">
        <v>13125</v>
      </c>
      <c r="AB8" s="284" t="s">
        <v>13126</v>
      </c>
      <c r="AC8" s="284" t="s">
        <v>13127</v>
      </c>
      <c r="AD8" s="284" t="s">
        <v>13128</v>
      </c>
      <c r="AE8" s="284" t="s">
        <v>13005</v>
      </c>
      <c r="AF8" s="284" t="s">
        <v>13006</v>
      </c>
      <c r="AG8" s="284" t="s">
        <v>13103</v>
      </c>
      <c r="AH8" s="284" t="s">
        <v>13054</v>
      </c>
      <c r="AI8" s="284" t="s">
        <v>13129</v>
      </c>
      <c r="AJ8" s="284" t="s">
        <v>13130</v>
      </c>
      <c r="AK8" s="284" t="s">
        <v>13131</v>
      </c>
      <c r="AL8" s="284" t="s">
        <v>13132</v>
      </c>
      <c r="AM8" s="284" t="s">
        <v>13133</v>
      </c>
      <c r="AN8" s="284" t="s">
        <v>13134</v>
      </c>
      <c r="AO8" s="284" t="s">
        <v>13135</v>
      </c>
      <c r="AP8" s="284" t="s">
        <v>13055</v>
      </c>
      <c r="AQ8" s="284" t="s">
        <v>13104</v>
      </c>
      <c r="AR8" s="284" t="s">
        <v>13033</v>
      </c>
      <c r="AS8" s="284" t="s">
        <v>13037</v>
      </c>
      <c r="AT8" s="284" t="s">
        <v>13136</v>
      </c>
      <c r="AU8" s="284" t="s">
        <v>13038</v>
      </c>
      <c r="AV8" s="284" t="s">
        <v>13039</v>
      </c>
      <c r="AW8" s="284" t="s">
        <v>13078</v>
      </c>
      <c r="AX8" s="284" t="s">
        <v>13091</v>
      </c>
      <c r="AY8" s="284" t="s">
        <v>13009</v>
      </c>
      <c r="AZ8" s="284" t="s">
        <v>13011</v>
      </c>
      <c r="BA8" s="284" t="s">
        <v>13058</v>
      </c>
      <c r="BB8" s="284" t="s">
        <v>13137</v>
      </c>
      <c r="BC8" s="284" t="s">
        <v>13138</v>
      </c>
      <c r="BD8" s="284" t="s">
        <v>13139</v>
      </c>
      <c r="BE8" s="284" t="s">
        <v>13140</v>
      </c>
      <c r="BF8" s="284" t="s">
        <v>13014</v>
      </c>
      <c r="BG8" s="284" t="s">
        <v>13141</v>
      </c>
      <c r="BH8" s="284" t="s">
        <v>13042</v>
      </c>
      <c r="BI8" s="284" t="s">
        <v>13142</v>
      </c>
      <c r="BJ8" s="284" t="s">
        <v>13143</v>
      </c>
      <c r="BK8" s="284" t="s">
        <v>13016</v>
      </c>
      <c r="BL8" s="284" t="s">
        <v>13144</v>
      </c>
      <c r="BM8" s="284"/>
      <c r="BN8" s="284"/>
      <c r="BO8" s="284"/>
      <c r="BP8" s="284"/>
      <c r="BQ8" s="284"/>
      <c r="BR8" s="284"/>
      <c r="BS8" s="284"/>
      <c r="BT8" s="284"/>
      <c r="BU8" s="284"/>
      <c r="BV8" s="284"/>
      <c r="BW8" s="284"/>
      <c r="BX8" s="284"/>
      <c r="BY8" s="284"/>
      <c r="BZ8" s="284"/>
      <c r="CA8" s="284"/>
      <c r="CB8" s="284"/>
      <c r="CC8" s="284"/>
      <c r="CD8" s="284"/>
      <c r="CE8" s="284"/>
      <c r="CF8" s="284"/>
      <c r="CG8" s="284"/>
    </row>
    <row r="9" spans="1:88" x14ac:dyDescent="0.35">
      <c r="A9" s="284" t="s">
        <v>10308</v>
      </c>
      <c r="B9" s="284" t="s">
        <v>10309</v>
      </c>
      <c r="C9" t="s">
        <v>13145</v>
      </c>
      <c r="D9" s="284" t="s">
        <v>13146</v>
      </c>
      <c r="E9" s="284" t="s">
        <v>13064</v>
      </c>
      <c r="F9" s="284" t="s">
        <v>13019</v>
      </c>
      <c r="G9" s="284" t="s">
        <v>13023</v>
      </c>
      <c r="H9" s="284" t="s">
        <v>13147</v>
      </c>
      <c r="I9" s="284" t="s">
        <v>13027</v>
      </c>
      <c r="J9" s="284" t="s">
        <v>13148</v>
      </c>
      <c r="K9" s="284" t="s">
        <v>13001</v>
      </c>
      <c r="L9" s="284" t="s">
        <v>13149</v>
      </c>
      <c r="M9" s="284" t="s">
        <v>13028</v>
      </c>
      <c r="N9" s="284" t="s">
        <v>13150</v>
      </c>
      <c r="O9" s="284" t="s">
        <v>13002</v>
      </c>
      <c r="P9" s="284" t="s">
        <v>13066</v>
      </c>
      <c r="Q9" s="284" t="s">
        <v>13151</v>
      </c>
      <c r="R9" s="284" t="s">
        <v>13076</v>
      </c>
      <c r="S9" s="284" t="s">
        <v>13033</v>
      </c>
      <c r="T9" s="284" t="s">
        <v>13037</v>
      </c>
      <c r="U9" s="284" t="s">
        <v>13038</v>
      </c>
      <c r="V9" s="284" t="s">
        <v>13091</v>
      </c>
      <c r="W9" s="284" t="s">
        <v>13009</v>
      </c>
      <c r="X9" s="284" t="s">
        <v>13152</v>
      </c>
      <c r="Y9" s="284" t="s">
        <v>13153</v>
      </c>
      <c r="Z9" s="284" t="s">
        <v>13014</v>
      </c>
      <c r="AA9" s="284" t="s">
        <v>13042</v>
      </c>
      <c r="AB9" s="284" t="s">
        <v>13154</v>
      </c>
      <c r="AC9" s="284" t="s">
        <v>13155</v>
      </c>
      <c r="AD9" s="284" t="s">
        <v>13156</v>
      </c>
      <c r="AE9" s="284" t="s">
        <v>13157</v>
      </c>
      <c r="AF9" s="284"/>
      <c r="AG9" s="284"/>
      <c r="AH9" s="284"/>
      <c r="AI9" s="284"/>
      <c r="AJ9" s="284"/>
      <c r="AK9" s="284"/>
      <c r="AL9" s="284"/>
      <c r="AM9" s="284"/>
      <c r="AN9" s="284"/>
      <c r="AO9" s="284"/>
      <c r="AP9" s="284"/>
      <c r="AQ9" s="284"/>
      <c r="AR9" s="284"/>
      <c r="AS9" s="284"/>
      <c r="AT9" s="284"/>
      <c r="AU9" s="284"/>
      <c r="AV9" s="284"/>
      <c r="AW9" s="284"/>
      <c r="AX9" s="284"/>
      <c r="AY9" s="284"/>
      <c r="AZ9" s="284"/>
      <c r="BA9" s="284"/>
      <c r="BB9" s="284"/>
      <c r="BC9" s="284"/>
      <c r="BD9" s="284"/>
      <c r="BE9" s="284"/>
      <c r="BF9" s="284"/>
      <c r="BG9" s="284"/>
      <c r="BH9" s="284"/>
      <c r="BI9" s="284"/>
      <c r="BJ9" s="284"/>
      <c r="BK9" s="284"/>
      <c r="BL9" s="284"/>
      <c r="BM9" s="284"/>
      <c r="BN9" s="284"/>
      <c r="BO9" s="284"/>
      <c r="BP9" s="284"/>
      <c r="BQ9" s="284"/>
      <c r="BR9" s="284"/>
      <c r="BS9" s="284"/>
      <c r="BT9" s="284"/>
      <c r="BU9" s="284"/>
      <c r="BV9" s="284"/>
      <c r="BW9" s="284"/>
      <c r="BX9" s="284"/>
      <c r="BY9" s="284"/>
      <c r="BZ9" s="284"/>
      <c r="CA9" s="284"/>
      <c r="CB9" s="284"/>
      <c r="CC9" s="284"/>
      <c r="CD9" s="284"/>
      <c r="CE9" s="284"/>
      <c r="CF9" s="284"/>
      <c r="CG9" s="284"/>
    </row>
    <row r="10" spans="1:88" x14ac:dyDescent="0.35">
      <c r="A10" s="284" t="s">
        <v>4003</v>
      </c>
      <c r="B10" s="284" t="s">
        <v>4004</v>
      </c>
      <c r="C10" t="s">
        <v>13158</v>
      </c>
      <c r="D10" s="284" t="s">
        <v>13021</v>
      </c>
      <c r="E10" s="284" t="s">
        <v>13023</v>
      </c>
      <c r="F10" s="284" t="s">
        <v>13083</v>
      </c>
      <c r="G10" s="284" t="s">
        <v>13159</v>
      </c>
      <c r="H10" s="284" t="s">
        <v>13000</v>
      </c>
      <c r="I10" s="284" t="s">
        <v>13085</v>
      </c>
      <c r="J10" s="284" t="s">
        <v>13086</v>
      </c>
      <c r="K10" s="284" t="s">
        <v>13160</v>
      </c>
      <c r="L10" s="284" t="s">
        <v>13002</v>
      </c>
      <c r="M10" s="284" t="s">
        <v>13003</v>
      </c>
      <c r="N10" s="284" t="s">
        <v>13161</v>
      </c>
      <c r="O10" s="284" t="s">
        <v>13100</v>
      </c>
      <c r="P10" s="284" t="s">
        <v>13005</v>
      </c>
      <c r="Q10" s="284" t="s">
        <v>13101</v>
      </c>
      <c r="R10" s="284" t="s">
        <v>13029</v>
      </c>
      <c r="S10" s="284" t="s">
        <v>13006</v>
      </c>
      <c r="T10" s="284" t="s">
        <v>13007</v>
      </c>
      <c r="U10" s="284" t="s">
        <v>13162</v>
      </c>
      <c r="V10" s="284" t="s">
        <v>13103</v>
      </c>
      <c r="W10" s="284" t="s">
        <v>13008</v>
      </c>
      <c r="X10" s="284" t="s">
        <v>13104</v>
      </c>
      <c r="Y10" s="284" t="s">
        <v>13033</v>
      </c>
      <c r="Z10" s="284" t="s">
        <v>13105</v>
      </c>
      <c r="AA10" s="284" t="s">
        <v>13078</v>
      </c>
      <c r="AB10" s="284" t="s">
        <v>13009</v>
      </c>
      <c r="AC10" s="284" t="s">
        <v>13106</v>
      </c>
      <c r="AD10" s="284" t="s">
        <v>13163</v>
      </c>
      <c r="AE10" s="284" t="s">
        <v>13164</v>
      </c>
      <c r="AF10" s="284" t="s">
        <v>13014</v>
      </c>
      <c r="AG10" s="284" t="s">
        <v>13165</v>
      </c>
      <c r="AH10" s="284"/>
      <c r="AI10" s="284"/>
      <c r="AJ10" s="284"/>
      <c r="AK10" s="284"/>
      <c r="AL10" s="284"/>
      <c r="AM10" s="284"/>
      <c r="AN10" s="284"/>
      <c r="AO10" s="284"/>
      <c r="AP10" s="284"/>
      <c r="AQ10" s="284"/>
      <c r="AR10" s="284"/>
      <c r="AS10" s="284"/>
      <c r="AT10" s="284"/>
      <c r="AU10" s="284"/>
      <c r="AV10" s="284"/>
      <c r="AW10" s="284"/>
      <c r="AX10" s="284"/>
      <c r="AY10" s="284"/>
      <c r="AZ10" s="284"/>
      <c r="BA10" s="284"/>
      <c r="BB10" s="284"/>
      <c r="BC10" s="284"/>
      <c r="BD10" s="284"/>
      <c r="BE10" s="284"/>
      <c r="BF10" s="284"/>
      <c r="BG10" s="284"/>
      <c r="BH10" s="284"/>
      <c r="BI10" s="284"/>
      <c r="BJ10" s="284"/>
      <c r="BK10" s="284"/>
      <c r="BL10" s="284"/>
      <c r="BM10" s="284"/>
      <c r="BN10" s="284"/>
      <c r="BO10" s="284"/>
      <c r="BP10" s="284"/>
      <c r="BQ10" s="284"/>
      <c r="BR10" s="284"/>
      <c r="BS10" s="284"/>
      <c r="BT10" s="284"/>
      <c r="BU10" s="284"/>
      <c r="BV10" s="284"/>
      <c r="BW10" s="284"/>
      <c r="BX10" s="284"/>
      <c r="BY10" s="284"/>
      <c r="BZ10" s="284"/>
      <c r="CA10" s="284"/>
      <c r="CB10" s="284"/>
      <c r="CC10" s="284"/>
      <c r="CD10" s="284"/>
      <c r="CE10" s="284"/>
      <c r="CF10" s="284"/>
      <c r="CG10" s="284"/>
    </row>
    <row r="11" spans="1:88" x14ac:dyDescent="0.35">
      <c r="A11" s="284" t="s">
        <v>4739</v>
      </c>
      <c r="B11" s="284" t="s">
        <v>4740</v>
      </c>
      <c r="C11" t="s">
        <v>13166</v>
      </c>
      <c r="D11" s="284" t="s">
        <v>13046</v>
      </c>
      <c r="E11" s="284" t="s">
        <v>13167</v>
      </c>
      <c r="F11" s="284" t="s">
        <v>13021</v>
      </c>
      <c r="G11" s="284" t="s">
        <v>13023</v>
      </c>
      <c r="H11" s="284" t="s">
        <v>13048</v>
      </c>
      <c r="I11" s="284" t="s">
        <v>13000</v>
      </c>
      <c r="J11" s="284" t="s">
        <v>13074</v>
      </c>
      <c r="K11" s="284" t="s">
        <v>13168</v>
      </c>
      <c r="L11" s="284" t="s">
        <v>13027</v>
      </c>
      <c r="M11" s="284" t="s">
        <v>13050</v>
      </c>
      <c r="N11" s="284" t="s">
        <v>13028</v>
      </c>
      <c r="O11" s="284" t="s">
        <v>13002</v>
      </c>
      <c r="P11" s="284" t="s">
        <v>13003</v>
      </c>
      <c r="Q11" s="284" t="s">
        <v>13169</v>
      </c>
      <c r="R11" s="284" t="s">
        <v>13170</v>
      </c>
      <c r="S11" s="284" t="s">
        <v>13005</v>
      </c>
      <c r="T11" s="284" t="s">
        <v>13006</v>
      </c>
      <c r="U11" s="284" t="s">
        <v>13007</v>
      </c>
      <c r="V11" s="284" t="s">
        <v>13033</v>
      </c>
      <c r="W11" s="284" t="s">
        <v>13171</v>
      </c>
      <c r="X11" s="284" t="s">
        <v>13038</v>
      </c>
      <c r="Y11" s="284" t="s">
        <v>13039</v>
      </c>
      <c r="Z11" s="284" t="s">
        <v>13009</v>
      </c>
      <c r="AA11" s="284" t="s">
        <v>13056</v>
      </c>
      <c r="AB11" s="284" t="s">
        <v>13172</v>
      </c>
      <c r="AC11" s="284" t="s">
        <v>13011</v>
      </c>
      <c r="AD11" s="284" t="s">
        <v>13058</v>
      </c>
      <c r="AE11" s="284" t="s">
        <v>13041</v>
      </c>
      <c r="AF11" s="284" t="s">
        <v>13012</v>
      </c>
      <c r="AG11" s="284" t="s">
        <v>13014</v>
      </c>
      <c r="AH11" s="284" t="s">
        <v>13173</v>
      </c>
      <c r="AI11" s="284" t="s">
        <v>13174</v>
      </c>
      <c r="AJ11" s="284" t="s">
        <v>13175</v>
      </c>
      <c r="AK11" s="284" t="s">
        <v>13015</v>
      </c>
      <c r="AL11" s="284" t="s">
        <v>13176</v>
      </c>
      <c r="AM11" s="284"/>
      <c r="AN11" s="284"/>
      <c r="AO11" s="284"/>
      <c r="AP11" s="284"/>
      <c r="AQ11" s="284"/>
      <c r="AR11" s="284"/>
      <c r="AS11" s="284"/>
      <c r="AT11" s="284"/>
      <c r="AU11" s="284"/>
      <c r="AV11" s="284"/>
      <c r="AW11" s="284"/>
      <c r="AX11" s="284"/>
      <c r="AY11" s="284"/>
      <c r="AZ11" s="284"/>
      <c r="BA11" s="284"/>
      <c r="BB11" s="284"/>
      <c r="BC11" s="284"/>
      <c r="BD11" s="284"/>
      <c r="BE11" s="284"/>
      <c r="BF11" s="284"/>
      <c r="BG11" s="284"/>
      <c r="BH11" s="284"/>
      <c r="BI11" s="284"/>
      <c r="BJ11" s="284"/>
      <c r="BK11" s="284"/>
      <c r="BL11" s="284"/>
      <c r="BM11" s="284"/>
      <c r="BN11" s="284"/>
      <c r="BO11" s="284"/>
      <c r="BP11" s="284"/>
      <c r="BQ11" s="284"/>
      <c r="BR11" s="284"/>
      <c r="BS11" s="284"/>
      <c r="BT11" s="284"/>
      <c r="BU11" s="284"/>
      <c r="BV11" s="284"/>
      <c r="BW11" s="284"/>
      <c r="BX11" s="284"/>
      <c r="BY11" s="284"/>
      <c r="BZ11" s="284"/>
      <c r="CA11" s="284"/>
      <c r="CB11" s="284"/>
      <c r="CC11" s="284"/>
      <c r="CD11" s="284"/>
      <c r="CE11" s="284"/>
      <c r="CF11" s="284"/>
      <c r="CG11" s="284"/>
    </row>
    <row r="12" spans="1:88" x14ac:dyDescent="0.35">
      <c r="A12" s="284" t="s">
        <v>7334</v>
      </c>
      <c r="B12" s="284" t="s">
        <v>7335</v>
      </c>
      <c r="C12" s="284" t="s">
        <v>13177</v>
      </c>
      <c r="D12" s="284" t="s">
        <v>13064</v>
      </c>
      <c r="E12" s="284" t="s">
        <v>13021</v>
      </c>
      <c r="F12" s="284" t="s">
        <v>13022</v>
      </c>
      <c r="G12" s="284" t="s">
        <v>13023</v>
      </c>
      <c r="H12" s="284" t="s">
        <v>13147</v>
      </c>
      <c r="I12" s="284" t="s">
        <v>13065</v>
      </c>
      <c r="J12" s="284" t="s">
        <v>13024</v>
      </c>
      <c r="K12" s="284" t="s">
        <v>13025</v>
      </c>
      <c r="L12" s="284" t="s">
        <v>13027</v>
      </c>
      <c r="M12" s="284" t="s">
        <v>13028</v>
      </c>
      <c r="N12" s="284" t="s">
        <v>13178</v>
      </c>
      <c r="O12" s="284" t="s">
        <v>13076</v>
      </c>
      <c r="P12" s="284" t="s">
        <v>13029</v>
      </c>
      <c r="Q12" s="284" t="s">
        <v>13006</v>
      </c>
      <c r="R12" s="284" t="s">
        <v>13162</v>
      </c>
      <c r="S12" s="284" t="s">
        <v>13030</v>
      </c>
      <c r="T12" s="284" t="s">
        <v>13068</v>
      </c>
      <c r="U12" s="284" t="s">
        <v>13033</v>
      </c>
      <c r="V12" s="284" t="s">
        <v>13034</v>
      </c>
      <c r="W12" s="284" t="s">
        <v>13035</v>
      </c>
      <c r="X12" s="284" t="s">
        <v>13036</v>
      </c>
      <c r="Y12" s="284" t="s">
        <v>13105</v>
      </c>
      <c r="Z12" s="284" t="s">
        <v>13179</v>
      </c>
      <c r="AA12" s="284" t="s">
        <v>13038</v>
      </c>
      <c r="AB12" s="284" t="s">
        <v>13039</v>
      </c>
      <c r="AC12" s="284" t="s">
        <v>13091</v>
      </c>
      <c r="AD12" s="284" t="s">
        <v>13009</v>
      </c>
      <c r="AE12" s="284" t="s">
        <v>13180</v>
      </c>
      <c r="AF12" s="284" t="s">
        <v>13152</v>
      </c>
      <c r="AG12" s="284" t="s">
        <v>13012</v>
      </c>
      <c r="AH12" s="284" t="s">
        <v>13014</v>
      </c>
      <c r="AI12" s="284" t="s">
        <v>13154</v>
      </c>
      <c r="AJ12" s="284" t="s">
        <v>13155</v>
      </c>
      <c r="AK12" s="284"/>
      <c r="AL12" s="284"/>
      <c r="AM12" s="284"/>
      <c r="AN12" s="284"/>
      <c r="AO12" s="284"/>
      <c r="AP12" s="284"/>
      <c r="AQ12" s="284"/>
      <c r="AR12" s="284"/>
      <c r="AS12" s="284"/>
      <c r="AT12" s="284"/>
      <c r="AU12" s="284"/>
      <c r="AV12" s="284"/>
      <c r="AW12" s="284"/>
      <c r="AX12" s="284"/>
      <c r="AY12" s="284"/>
      <c r="AZ12" s="284"/>
      <c r="BA12" s="284"/>
      <c r="BB12" s="284"/>
      <c r="BC12" s="284"/>
      <c r="BD12" s="284"/>
      <c r="BE12" s="284"/>
      <c r="BF12" s="284"/>
      <c r="BG12" s="284"/>
      <c r="BH12" s="284"/>
      <c r="BI12" s="284"/>
      <c r="BJ12" s="284"/>
      <c r="BK12" s="284"/>
      <c r="BL12" s="284"/>
      <c r="BM12" s="284"/>
      <c r="BN12" s="284"/>
      <c r="BO12" s="284"/>
      <c r="BP12" s="284"/>
      <c r="BQ12" s="284"/>
      <c r="BR12" s="284"/>
      <c r="BS12" s="284"/>
      <c r="BT12" s="284"/>
      <c r="BU12" s="284"/>
      <c r="BV12" s="284"/>
      <c r="BW12" s="284"/>
      <c r="BX12" s="284"/>
      <c r="BY12" s="284"/>
      <c r="BZ12" s="284"/>
      <c r="CA12" s="284"/>
      <c r="CB12" s="284"/>
      <c r="CC12" s="284"/>
      <c r="CD12" s="284"/>
      <c r="CE12" s="284"/>
      <c r="CF12" s="284"/>
    </row>
    <row r="13" spans="1:88" x14ac:dyDescent="0.35">
      <c r="A13" s="284" t="s">
        <v>1182</v>
      </c>
      <c r="B13" s="284" t="s">
        <v>1183</v>
      </c>
      <c r="C13" t="s">
        <v>13181</v>
      </c>
      <c r="D13" s="284" t="s">
        <v>13182</v>
      </c>
      <c r="E13" s="284" t="s">
        <v>13167</v>
      </c>
      <c r="F13" s="284" t="s">
        <v>13021</v>
      </c>
      <c r="G13" s="284" t="s">
        <v>13023</v>
      </c>
      <c r="H13" s="284" t="s">
        <v>13048</v>
      </c>
      <c r="I13" s="284" t="s">
        <v>13183</v>
      </c>
      <c r="J13" s="284" t="s">
        <v>13184</v>
      </c>
      <c r="K13" s="284" t="s">
        <v>13185</v>
      </c>
      <c r="L13" s="284" t="s">
        <v>13186</v>
      </c>
      <c r="M13" s="284" t="s">
        <v>13119</v>
      </c>
      <c r="N13" s="284" t="s">
        <v>13187</v>
      </c>
      <c r="O13" s="284" t="s">
        <v>13074</v>
      </c>
      <c r="P13" s="284" t="s">
        <v>13188</v>
      </c>
      <c r="Q13" s="284" t="s">
        <v>13027</v>
      </c>
      <c r="R13" s="284" t="s">
        <v>13189</v>
      </c>
      <c r="S13" s="284" t="s">
        <v>13028</v>
      </c>
      <c r="T13" s="284" t="s">
        <v>13002</v>
      </c>
      <c r="U13" s="284" t="s">
        <v>13170</v>
      </c>
      <c r="V13" s="284" t="s">
        <v>13190</v>
      </c>
      <c r="W13" s="284" t="s">
        <v>13191</v>
      </c>
      <c r="X13" s="284" t="s">
        <v>13192</v>
      </c>
      <c r="Y13" s="284" t="s">
        <v>13193</v>
      </c>
      <c r="Z13" s="284" t="s">
        <v>13033</v>
      </c>
      <c r="AA13" s="284" t="s">
        <v>13034</v>
      </c>
      <c r="AB13" s="284" t="s">
        <v>13038</v>
      </c>
      <c r="AC13" s="284" t="s">
        <v>13009</v>
      </c>
      <c r="AD13" s="284" t="s">
        <v>13194</v>
      </c>
      <c r="AE13" s="284" t="s">
        <v>13058</v>
      </c>
      <c r="AF13" s="284" t="s">
        <v>13012</v>
      </c>
      <c r="AG13" s="284" t="s">
        <v>13014</v>
      </c>
      <c r="AH13" s="284" t="s">
        <v>13042</v>
      </c>
      <c r="AI13" s="284" t="s">
        <v>13079</v>
      </c>
      <c r="AJ13" s="284" t="s">
        <v>13195</v>
      </c>
      <c r="AK13" s="284"/>
      <c r="AL13" s="284"/>
      <c r="AM13" s="284"/>
      <c r="AN13" s="284"/>
      <c r="AO13" s="284"/>
      <c r="AP13" s="284"/>
      <c r="AQ13" s="284"/>
      <c r="AR13" s="284"/>
      <c r="AS13" s="284"/>
      <c r="AT13" s="284"/>
      <c r="AU13" s="284"/>
      <c r="AV13" s="284"/>
      <c r="AW13" s="284"/>
      <c r="AX13" s="284"/>
      <c r="AY13" s="284"/>
      <c r="AZ13" s="284"/>
      <c r="BA13" s="284"/>
      <c r="BB13" s="284"/>
      <c r="BC13" s="284"/>
      <c r="BD13" s="284"/>
      <c r="BE13" s="284"/>
      <c r="BF13" s="284"/>
      <c r="BG13" s="284"/>
      <c r="BH13" s="284"/>
      <c r="BI13" s="284"/>
      <c r="BJ13" s="284"/>
      <c r="BK13" s="284"/>
      <c r="BL13" s="284"/>
      <c r="BM13" s="284"/>
      <c r="BN13" s="284"/>
      <c r="BO13" s="284"/>
      <c r="BP13" s="284"/>
      <c r="BQ13" s="284"/>
      <c r="BR13" s="284"/>
      <c r="BS13" s="284"/>
      <c r="BT13" s="284"/>
      <c r="BU13" s="284"/>
      <c r="BV13" s="284"/>
      <c r="BW13" s="284"/>
      <c r="BX13" s="284"/>
      <c r="BY13" s="284"/>
      <c r="BZ13" s="284"/>
      <c r="CA13" s="284"/>
      <c r="CB13" s="284"/>
      <c r="CC13" s="284"/>
      <c r="CD13" s="284"/>
      <c r="CE13" s="284"/>
      <c r="CF13" s="284"/>
      <c r="CG13" s="284"/>
    </row>
    <row r="14" spans="1:88" x14ac:dyDescent="0.35">
      <c r="A14" s="284" t="s">
        <v>2421</v>
      </c>
      <c r="B14" s="284" t="s">
        <v>2422</v>
      </c>
      <c r="C14" t="s">
        <v>13196</v>
      </c>
      <c r="D14" s="284" t="s">
        <v>13072</v>
      </c>
      <c r="E14" s="284" t="s">
        <v>13022</v>
      </c>
      <c r="F14" s="284" t="s">
        <v>13023</v>
      </c>
      <c r="G14" s="284" t="s">
        <v>13082</v>
      </c>
      <c r="H14" s="284" t="s">
        <v>13197</v>
      </c>
      <c r="I14" s="284" t="s">
        <v>13000</v>
      </c>
      <c r="J14" s="284" t="s">
        <v>13198</v>
      </c>
      <c r="K14" s="284" t="s">
        <v>13119</v>
      </c>
      <c r="L14" s="284" t="s">
        <v>13049</v>
      </c>
      <c r="M14" s="284" t="s">
        <v>13027</v>
      </c>
      <c r="N14" s="284" t="s">
        <v>13050</v>
      </c>
      <c r="O14" s="284" t="s">
        <v>13028</v>
      </c>
      <c r="P14" s="284" t="s">
        <v>13199</v>
      </c>
      <c r="Q14" s="284" t="s">
        <v>13003</v>
      </c>
      <c r="R14" s="284" t="s">
        <v>13200</v>
      </c>
      <c r="S14" s="284" t="s">
        <v>13066</v>
      </c>
      <c r="T14" s="284" t="s">
        <v>13201</v>
      </c>
      <c r="U14" s="284" t="s">
        <v>13005</v>
      </c>
      <c r="V14" s="284" t="s">
        <v>13202</v>
      </c>
      <c r="W14" s="284" t="s">
        <v>13006</v>
      </c>
      <c r="X14" s="284" t="s">
        <v>13007</v>
      </c>
      <c r="Y14" s="284" t="s">
        <v>13103</v>
      </c>
      <c r="Z14" s="284" t="s">
        <v>13008</v>
      </c>
      <c r="AA14" s="284" t="s">
        <v>13077</v>
      </c>
      <c r="AB14" s="284" t="s">
        <v>13135</v>
      </c>
      <c r="AC14" s="284" t="s">
        <v>13104</v>
      </c>
      <c r="AD14" s="284" t="s">
        <v>13033</v>
      </c>
      <c r="AE14" s="284" t="s">
        <v>13034</v>
      </c>
      <c r="AF14" s="284" t="s">
        <v>13038</v>
      </c>
      <c r="AG14" s="284" t="s">
        <v>13039</v>
      </c>
      <c r="AH14" s="284" t="s">
        <v>13203</v>
      </c>
      <c r="AI14" s="284" t="s">
        <v>13041</v>
      </c>
      <c r="AJ14" s="284" t="s">
        <v>13204</v>
      </c>
      <c r="AK14" s="284" t="s">
        <v>13205</v>
      </c>
      <c r="AL14" s="284" t="s">
        <v>13012</v>
      </c>
      <c r="AM14" s="284" t="s">
        <v>13138</v>
      </c>
      <c r="AN14" s="284" t="s">
        <v>13206</v>
      </c>
      <c r="AO14" s="284" t="s">
        <v>13014</v>
      </c>
      <c r="AP14" s="284" t="s">
        <v>13165</v>
      </c>
      <c r="AQ14" s="284" t="s">
        <v>13042</v>
      </c>
      <c r="AR14" s="284" t="s">
        <v>13207</v>
      </c>
      <c r="AS14" s="284"/>
      <c r="AT14" s="284"/>
      <c r="AU14" s="284"/>
      <c r="AV14" s="284"/>
      <c r="AW14" s="284"/>
      <c r="AX14" s="284"/>
      <c r="AY14" s="284"/>
      <c r="AZ14" s="284"/>
      <c r="BA14" s="284"/>
      <c r="BB14" s="284"/>
      <c r="BC14" s="284"/>
      <c r="BD14" s="284"/>
      <c r="BE14" s="284"/>
      <c r="BF14" s="284"/>
      <c r="BG14" s="284"/>
      <c r="BH14" s="284"/>
      <c r="BI14" s="284"/>
      <c r="BJ14" s="284"/>
      <c r="BK14" s="284"/>
      <c r="BL14" s="284"/>
      <c r="BM14" s="284"/>
      <c r="BN14" s="284"/>
      <c r="BO14" s="284"/>
      <c r="BP14" s="284"/>
      <c r="BQ14" s="284"/>
      <c r="BR14" s="284"/>
      <c r="BS14" s="284"/>
      <c r="BT14" s="284"/>
      <c r="BU14" s="284"/>
      <c r="BV14" s="284"/>
      <c r="BW14" s="284"/>
      <c r="BX14" s="284"/>
      <c r="BY14" s="284"/>
      <c r="BZ14" s="284"/>
      <c r="CA14" s="284"/>
      <c r="CB14" s="284"/>
      <c r="CC14" s="284"/>
      <c r="CD14" s="284"/>
      <c r="CE14" s="284"/>
      <c r="CF14" s="284"/>
      <c r="CG14" s="284"/>
    </row>
    <row r="15" spans="1:88" x14ac:dyDescent="0.35">
      <c r="A15" s="284" t="s">
        <v>11313</v>
      </c>
      <c r="B15" s="284" t="s">
        <v>11314</v>
      </c>
      <c r="C15" t="s">
        <v>13208</v>
      </c>
      <c r="D15" s="284" t="s">
        <v>13110</v>
      </c>
      <c r="E15" s="284" t="s">
        <v>13021</v>
      </c>
      <c r="F15" s="284" t="s">
        <v>13023</v>
      </c>
      <c r="G15" s="284" t="s">
        <v>13209</v>
      </c>
      <c r="H15" s="284" t="s">
        <v>13210</v>
      </c>
      <c r="I15" s="284" t="s">
        <v>13211</v>
      </c>
      <c r="J15" s="284" t="s">
        <v>13159</v>
      </c>
      <c r="K15" s="284" t="s">
        <v>13000</v>
      </c>
      <c r="L15" s="284" t="s">
        <v>13212</v>
      </c>
      <c r="M15" s="284" t="s">
        <v>13213</v>
      </c>
      <c r="N15" s="284" t="s">
        <v>13098</v>
      </c>
      <c r="O15" s="284" t="s">
        <v>13120</v>
      </c>
      <c r="P15" s="284" t="s">
        <v>13027</v>
      </c>
      <c r="Q15" s="284" t="s">
        <v>13001</v>
      </c>
      <c r="R15" s="284" t="s">
        <v>13214</v>
      </c>
      <c r="S15" s="284" t="s">
        <v>13215</v>
      </c>
      <c r="T15" s="284" t="s">
        <v>13003</v>
      </c>
      <c r="U15" s="284" t="s">
        <v>13004</v>
      </c>
      <c r="V15" s="284" t="s">
        <v>13216</v>
      </c>
      <c r="W15" s="284" t="s">
        <v>13005</v>
      </c>
      <c r="X15" s="284" t="s">
        <v>13029</v>
      </c>
      <c r="Y15" s="284" t="s">
        <v>13007</v>
      </c>
      <c r="Z15" s="284" t="s">
        <v>13217</v>
      </c>
      <c r="AA15" s="284" t="s">
        <v>13103</v>
      </c>
      <c r="AB15" s="284" t="s">
        <v>13008</v>
      </c>
      <c r="AC15" s="284" t="s">
        <v>13077</v>
      </c>
      <c r="AD15" s="284" t="s">
        <v>13055</v>
      </c>
      <c r="AE15" s="284" t="s">
        <v>13104</v>
      </c>
      <c r="AF15" s="284" t="s">
        <v>13218</v>
      </c>
      <c r="AG15" s="284" t="s">
        <v>13219</v>
      </c>
      <c r="AH15" s="284" t="s">
        <v>13033</v>
      </c>
      <c r="AI15" s="284" t="s">
        <v>13037</v>
      </c>
      <c r="AJ15" s="284" t="s">
        <v>13009</v>
      </c>
      <c r="AK15" s="284" t="s">
        <v>13011</v>
      </c>
      <c r="AL15" s="284" t="s">
        <v>13220</v>
      </c>
      <c r="AM15" s="284" t="s">
        <v>13042</v>
      </c>
      <c r="AN15" s="284" t="s">
        <v>13221</v>
      </c>
      <c r="AO15" s="284" t="s">
        <v>13222</v>
      </c>
      <c r="AP15" s="284" t="s">
        <v>13062</v>
      </c>
      <c r="AQ15" s="284" t="s">
        <v>13223</v>
      </c>
      <c r="AR15" s="284"/>
      <c r="AS15" s="284"/>
      <c r="AT15" s="284"/>
      <c r="AU15" s="284"/>
      <c r="AV15" s="284"/>
      <c r="AW15" s="284"/>
      <c r="AX15" s="284"/>
      <c r="AY15" s="284"/>
      <c r="AZ15" s="284"/>
      <c r="BA15" s="284"/>
      <c r="BB15" s="284"/>
      <c r="BC15" s="284"/>
      <c r="BD15" s="284"/>
      <c r="BE15" s="284"/>
      <c r="BF15" s="284"/>
      <c r="BG15" s="284"/>
      <c r="BH15" s="284"/>
      <c r="BI15" s="284"/>
      <c r="BJ15" s="284"/>
      <c r="BK15" s="284"/>
      <c r="BL15" s="284"/>
      <c r="BM15" s="284"/>
      <c r="BN15" s="284"/>
      <c r="BO15" s="284"/>
      <c r="BP15" s="284"/>
      <c r="BQ15" s="284"/>
      <c r="BR15" s="284"/>
      <c r="BS15" s="284"/>
      <c r="BT15" s="284"/>
      <c r="BU15" s="284"/>
      <c r="BV15" s="284"/>
      <c r="BW15" s="284"/>
      <c r="BX15" s="284"/>
      <c r="BY15" s="284"/>
      <c r="BZ15" s="284"/>
      <c r="CA15" s="284"/>
      <c r="CB15" s="284"/>
      <c r="CC15" s="284"/>
      <c r="CD15" s="284"/>
      <c r="CE15" s="284"/>
      <c r="CF15" s="284"/>
      <c r="CG15" s="284"/>
    </row>
    <row r="16" spans="1:88" x14ac:dyDescent="0.35">
      <c r="A16" s="284" t="s">
        <v>10643</v>
      </c>
      <c r="B16" s="284" t="s">
        <v>10644</v>
      </c>
      <c r="C16" t="s">
        <v>13224</v>
      </c>
      <c r="D16" s="284" t="s">
        <v>13225</v>
      </c>
      <c r="E16" s="284" t="s">
        <v>13020</v>
      </c>
      <c r="F16" s="284" t="s">
        <v>13021</v>
      </c>
      <c r="G16" s="284" t="s">
        <v>13022</v>
      </c>
      <c r="H16" s="284" t="s">
        <v>13023</v>
      </c>
      <c r="I16" s="284" t="s">
        <v>13113</v>
      </c>
      <c r="J16" s="284" t="s">
        <v>13226</v>
      </c>
      <c r="K16" s="284" t="s">
        <v>13082</v>
      </c>
      <c r="L16" s="284" t="s">
        <v>13227</v>
      </c>
      <c r="M16" s="284" t="s">
        <v>13228</v>
      </c>
      <c r="N16" s="284" t="s">
        <v>13229</v>
      </c>
      <c r="O16" s="284" t="s">
        <v>13114</v>
      </c>
      <c r="P16" s="284" t="s">
        <v>13230</v>
      </c>
      <c r="Q16" s="284" t="s">
        <v>13231</v>
      </c>
      <c r="R16" s="284" t="s">
        <v>13232</v>
      </c>
      <c r="S16" s="284" t="s">
        <v>13233</v>
      </c>
      <c r="T16" s="284" t="s">
        <v>13234</v>
      </c>
      <c r="U16" s="284" t="s">
        <v>13235</v>
      </c>
      <c r="V16" s="284" t="s">
        <v>13236</v>
      </c>
      <c r="W16" s="284" t="s">
        <v>13237</v>
      </c>
      <c r="X16" s="284" t="s">
        <v>13000</v>
      </c>
      <c r="Y16" s="284" t="s">
        <v>13238</v>
      </c>
      <c r="Z16" s="284" t="s">
        <v>13119</v>
      </c>
      <c r="AA16" s="284" t="s">
        <v>13239</v>
      </c>
      <c r="AB16" s="284" t="s">
        <v>13187</v>
      </c>
      <c r="AC16" s="284" t="s">
        <v>13240</v>
      </c>
      <c r="AD16" s="284" t="s">
        <v>13099</v>
      </c>
      <c r="AE16" s="284" t="s">
        <v>13241</v>
      </c>
      <c r="AF16" s="284" t="s">
        <v>13049</v>
      </c>
      <c r="AG16" s="284" t="s">
        <v>13168</v>
      </c>
      <c r="AH16" s="284" t="s">
        <v>13242</v>
      </c>
      <c r="AI16" s="284" t="s">
        <v>13027</v>
      </c>
      <c r="AJ16" s="284" t="s">
        <v>13243</v>
      </c>
      <c r="AK16" s="284" t="s">
        <v>13001</v>
      </c>
      <c r="AL16" s="284" t="s">
        <v>13149</v>
      </c>
      <c r="AM16" s="284" t="s">
        <v>13244</v>
      </c>
      <c r="AN16" s="284" t="s">
        <v>13245</v>
      </c>
      <c r="AO16" s="284" t="s">
        <v>13028</v>
      </c>
      <c r="AP16" s="284" t="s">
        <v>13246</v>
      </c>
      <c r="AQ16" s="284" t="s">
        <v>13002</v>
      </c>
      <c r="AR16" s="284" t="s">
        <v>13003</v>
      </c>
      <c r="AS16" s="284" t="s">
        <v>13066</v>
      </c>
      <c r="AT16" s="284" t="s">
        <v>13178</v>
      </c>
      <c r="AU16" s="284" t="s">
        <v>13076</v>
      </c>
      <c r="AV16" s="284" t="s">
        <v>13247</v>
      </c>
      <c r="AW16" s="284" t="s">
        <v>13248</v>
      </c>
      <c r="AX16" s="284" t="s">
        <v>13249</v>
      </c>
      <c r="AY16" s="284" t="s">
        <v>13250</v>
      </c>
      <c r="AZ16" s="284" t="s">
        <v>13033</v>
      </c>
      <c r="BA16" s="284" t="s">
        <v>13034</v>
      </c>
      <c r="BB16" s="284" t="s">
        <v>13035</v>
      </c>
      <c r="BC16" s="284" t="s">
        <v>13036</v>
      </c>
      <c r="BD16" s="284" t="s">
        <v>13105</v>
      </c>
      <c r="BE16" s="284" t="s">
        <v>13251</v>
      </c>
      <c r="BF16" s="284" t="s">
        <v>13038</v>
      </c>
      <c r="BG16" s="284" t="s">
        <v>13039</v>
      </c>
      <c r="BH16" s="284" t="s">
        <v>13078</v>
      </c>
      <c r="BI16" s="284" t="s">
        <v>13091</v>
      </c>
      <c r="BJ16" s="284" t="s">
        <v>13009</v>
      </c>
      <c r="BK16" s="284" t="s">
        <v>13252</v>
      </c>
      <c r="BL16" s="284" t="s">
        <v>13253</v>
      </c>
      <c r="BM16" s="284" t="s">
        <v>13254</v>
      </c>
      <c r="BN16" s="284" t="s">
        <v>13255</v>
      </c>
      <c r="BO16" s="284" t="s">
        <v>13011</v>
      </c>
      <c r="BP16" s="284" t="s">
        <v>13256</v>
      </c>
      <c r="BQ16" s="284" t="s">
        <v>13257</v>
      </c>
      <c r="BR16" s="284" t="s">
        <v>13258</v>
      </c>
      <c r="BS16" s="284" t="s">
        <v>13012</v>
      </c>
      <c r="BT16" s="284" t="s">
        <v>13259</v>
      </c>
      <c r="BU16" s="284" t="s">
        <v>13220</v>
      </c>
      <c r="BV16" s="284" t="s">
        <v>13206</v>
      </c>
      <c r="BW16" s="284" t="s">
        <v>13260</v>
      </c>
      <c r="BX16" s="284" t="s">
        <v>13261</v>
      </c>
      <c r="BY16" s="284" t="s">
        <v>13262</v>
      </c>
      <c r="BZ16" s="284" t="s">
        <v>13042</v>
      </c>
      <c r="CA16" s="284" t="s">
        <v>13263</v>
      </c>
      <c r="CB16" s="284" t="s">
        <v>13264</v>
      </c>
      <c r="CC16" s="284" t="s">
        <v>13222</v>
      </c>
      <c r="CD16" s="284" t="s">
        <v>13265</v>
      </c>
      <c r="CE16" s="284" t="s">
        <v>13266</v>
      </c>
      <c r="CF16" s="284" t="s">
        <v>13267</v>
      </c>
      <c r="CG16" s="284" t="s">
        <v>13016</v>
      </c>
      <c r="CH16" t="s">
        <v>13144</v>
      </c>
      <c r="CI16" t="s">
        <v>13268</v>
      </c>
      <c r="CJ16" t="s">
        <v>13269</v>
      </c>
    </row>
    <row r="17" spans="1:85" x14ac:dyDescent="0.35">
      <c r="A17" s="284" t="s">
        <v>6411</v>
      </c>
      <c r="B17" s="284" t="s">
        <v>6412</v>
      </c>
      <c r="C17" t="s">
        <v>13270</v>
      </c>
      <c r="D17" s="284" t="s">
        <v>13021</v>
      </c>
      <c r="E17" s="284" t="s">
        <v>13022</v>
      </c>
      <c r="F17" s="284" t="s">
        <v>13023</v>
      </c>
      <c r="G17" s="284" t="s">
        <v>13238</v>
      </c>
      <c r="H17" s="284" t="s">
        <v>13024</v>
      </c>
      <c r="I17" s="284" t="s">
        <v>13074</v>
      </c>
      <c r="J17" s="284" t="s">
        <v>13026</v>
      </c>
      <c r="K17" s="284" t="s">
        <v>13271</v>
      </c>
      <c r="L17" s="284" t="s">
        <v>13149</v>
      </c>
      <c r="M17" s="284" t="s">
        <v>13029</v>
      </c>
      <c r="N17" s="284" t="s">
        <v>13248</v>
      </c>
      <c r="O17" s="284" t="s">
        <v>13272</v>
      </c>
      <c r="P17" s="284" t="s">
        <v>13030</v>
      </c>
      <c r="Q17" s="284" t="s">
        <v>13077</v>
      </c>
      <c r="R17" s="284" t="s">
        <v>13055</v>
      </c>
      <c r="S17" s="284" t="s">
        <v>13033</v>
      </c>
      <c r="T17" s="284" t="s">
        <v>13034</v>
      </c>
      <c r="U17" s="284" t="s">
        <v>13035</v>
      </c>
      <c r="V17" s="284" t="s">
        <v>13036</v>
      </c>
      <c r="W17" s="284" t="s">
        <v>13009</v>
      </c>
      <c r="X17" s="284" t="s">
        <v>13012</v>
      </c>
      <c r="Y17" s="284" t="s">
        <v>13042</v>
      </c>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4"/>
      <c r="AX17" s="284"/>
      <c r="AY17" s="284"/>
      <c r="AZ17" s="284"/>
      <c r="BA17" s="284"/>
      <c r="BB17" s="284"/>
      <c r="BC17" s="284"/>
      <c r="BD17" s="284"/>
      <c r="BE17" s="284"/>
      <c r="BF17" s="284"/>
      <c r="BG17" s="284"/>
      <c r="BH17" s="284"/>
      <c r="BI17" s="284"/>
      <c r="BJ17" s="284"/>
      <c r="BK17" s="284"/>
      <c r="BL17" s="284"/>
      <c r="BM17" s="284"/>
      <c r="BN17" s="284"/>
      <c r="BO17" s="284"/>
      <c r="BP17" s="284"/>
      <c r="BQ17" s="284"/>
      <c r="BR17" s="284"/>
      <c r="BS17" s="284"/>
      <c r="BT17" s="284"/>
      <c r="BU17" s="284"/>
      <c r="BV17" s="284"/>
      <c r="BW17" s="284"/>
      <c r="BX17" s="284"/>
      <c r="BY17" s="284"/>
      <c r="BZ17" s="284"/>
      <c r="CA17" s="284"/>
      <c r="CB17" s="284"/>
      <c r="CC17" s="284"/>
      <c r="CD17" s="284"/>
      <c r="CE17" s="284"/>
      <c r="CF17" s="284"/>
      <c r="CG17" s="284"/>
    </row>
    <row r="18" spans="1:85" x14ac:dyDescent="0.35">
      <c r="A18" s="284" t="s">
        <v>602</v>
      </c>
      <c r="B18" s="284" t="s">
        <v>603</v>
      </c>
      <c r="C18" s="284" t="s">
        <v>13020</v>
      </c>
      <c r="D18" s="284" t="s">
        <v>13023</v>
      </c>
      <c r="E18" s="284" t="s">
        <v>13113</v>
      </c>
      <c r="F18" s="284" t="s">
        <v>13082</v>
      </c>
      <c r="G18" s="284" t="s">
        <v>13273</v>
      </c>
      <c r="H18" s="284" t="s">
        <v>13085</v>
      </c>
      <c r="I18" s="284" t="s">
        <v>13027</v>
      </c>
      <c r="J18" s="284" t="s">
        <v>13148</v>
      </c>
      <c r="K18" s="284" t="s">
        <v>13149</v>
      </c>
      <c r="L18" s="284" t="s">
        <v>13028</v>
      </c>
      <c r="M18" s="284" t="s">
        <v>13003</v>
      </c>
      <c r="N18" s="284" t="s">
        <v>13066</v>
      </c>
      <c r="O18" s="284" t="s">
        <v>13274</v>
      </c>
      <c r="P18" s="284" t="s">
        <v>13275</v>
      </c>
      <c r="Q18" s="284" t="s">
        <v>13029</v>
      </c>
      <c r="R18" s="284" t="s">
        <v>13249</v>
      </c>
      <c r="S18" s="284" t="s">
        <v>13276</v>
      </c>
      <c r="T18" s="284" t="s">
        <v>13032</v>
      </c>
      <c r="U18" s="284" t="s">
        <v>13033</v>
      </c>
      <c r="V18" s="284" t="s">
        <v>13034</v>
      </c>
      <c r="W18" s="284" t="s">
        <v>13036</v>
      </c>
      <c r="X18" s="284" t="s">
        <v>13277</v>
      </c>
      <c r="Y18" s="284" t="s">
        <v>13038</v>
      </c>
      <c r="Z18" s="284" t="s">
        <v>13078</v>
      </c>
      <c r="AA18" s="284" t="s">
        <v>13009</v>
      </c>
      <c r="AB18" s="284" t="s">
        <v>13014</v>
      </c>
      <c r="AC18" s="284" t="s">
        <v>13154</v>
      </c>
      <c r="AD18" s="284" t="s">
        <v>13222</v>
      </c>
      <c r="AE18" s="284"/>
      <c r="AF18" s="284"/>
      <c r="AG18" s="284"/>
      <c r="AH18" s="284"/>
      <c r="AI18" s="284"/>
      <c r="AJ18" s="284"/>
      <c r="AK18" s="284"/>
      <c r="AL18" s="284"/>
      <c r="AM18" s="284"/>
      <c r="AN18" s="284"/>
      <c r="AO18" s="284"/>
      <c r="AP18" s="284"/>
      <c r="AQ18" s="284"/>
      <c r="AR18" s="284"/>
      <c r="AS18" s="284"/>
      <c r="AT18" s="284"/>
      <c r="AU18" s="284"/>
      <c r="AV18" s="284"/>
      <c r="AW18" s="284"/>
      <c r="AX18" s="284"/>
      <c r="AY18" s="284"/>
      <c r="AZ18" s="284"/>
      <c r="BA18" s="284"/>
      <c r="BB18" s="284"/>
      <c r="BC18" s="284"/>
      <c r="BD18" s="284"/>
      <c r="BE18" s="284"/>
      <c r="BF18" s="284"/>
      <c r="BG18" s="284"/>
      <c r="BH18" s="284"/>
      <c r="BI18" s="284"/>
      <c r="BJ18" s="284"/>
      <c r="BK18" s="284"/>
      <c r="BL18" s="284"/>
      <c r="BM18" s="284"/>
      <c r="BN18" s="284"/>
      <c r="BO18" s="284"/>
      <c r="BP18" s="284"/>
      <c r="BQ18" s="284"/>
      <c r="BR18" s="284"/>
      <c r="BS18" s="284"/>
      <c r="BT18" s="284"/>
      <c r="BU18" s="284"/>
      <c r="BV18" s="284"/>
      <c r="BW18" s="284"/>
      <c r="BX18" s="284"/>
      <c r="BY18" s="284"/>
      <c r="BZ18" s="284"/>
      <c r="CA18" s="284"/>
      <c r="CB18" s="284"/>
      <c r="CC18" s="284"/>
      <c r="CD18" s="284"/>
      <c r="CE18" s="284"/>
      <c r="CF18" s="284"/>
    </row>
    <row r="19" spans="1:85" x14ac:dyDescent="0.35">
      <c r="A19" s="284" t="s">
        <v>644</v>
      </c>
      <c r="B19" s="284" t="s">
        <v>645</v>
      </c>
      <c r="C19" s="284" t="s">
        <v>13278</v>
      </c>
      <c r="D19" s="284" t="s">
        <v>13023</v>
      </c>
      <c r="E19" s="284" t="s">
        <v>13113</v>
      </c>
      <c r="F19" s="284" t="s">
        <v>13279</v>
      </c>
      <c r="G19" s="284" t="s">
        <v>13065</v>
      </c>
      <c r="H19" s="284" t="s">
        <v>13280</v>
      </c>
      <c r="I19" s="284" t="s">
        <v>13238</v>
      </c>
      <c r="J19" s="284" t="s">
        <v>13085</v>
      </c>
      <c r="K19" s="284" t="s">
        <v>13281</v>
      </c>
      <c r="L19" s="284" t="s">
        <v>13148</v>
      </c>
      <c r="M19" s="284" t="s">
        <v>13149</v>
      </c>
      <c r="N19" s="284" t="s">
        <v>13028</v>
      </c>
      <c r="O19" s="284" t="s">
        <v>13002</v>
      </c>
      <c r="P19" s="284" t="s">
        <v>13003</v>
      </c>
      <c r="Q19" s="284" t="s">
        <v>13066</v>
      </c>
      <c r="R19" s="284" t="s">
        <v>13282</v>
      </c>
      <c r="S19" s="284" t="s">
        <v>13283</v>
      </c>
      <c r="T19" s="284" t="s">
        <v>13284</v>
      </c>
      <c r="U19" s="284" t="s">
        <v>13033</v>
      </c>
      <c r="V19" s="284" t="s">
        <v>13034</v>
      </c>
      <c r="W19" s="284" t="s">
        <v>13036</v>
      </c>
      <c r="X19" s="284" t="s">
        <v>13277</v>
      </c>
      <c r="Y19" s="284" t="s">
        <v>13078</v>
      </c>
      <c r="Z19" s="284" t="s">
        <v>13285</v>
      </c>
      <c r="AA19" s="284" t="s">
        <v>13014</v>
      </c>
      <c r="AB19" s="284" t="s">
        <v>13286</v>
      </c>
      <c r="AC19" s="284"/>
      <c r="AD19" s="284"/>
      <c r="AE19" s="284"/>
      <c r="AF19" s="284"/>
      <c r="AG19" s="284"/>
      <c r="AH19" s="284"/>
      <c r="AI19" s="284"/>
      <c r="AJ19" s="284"/>
      <c r="AK19" s="284"/>
      <c r="AL19" s="284"/>
      <c r="AM19" s="284"/>
      <c r="AN19" s="284"/>
      <c r="AO19" s="284"/>
      <c r="AP19" s="284"/>
      <c r="AQ19" s="284"/>
      <c r="AR19" s="284"/>
      <c r="AS19" s="284"/>
      <c r="AT19" s="284"/>
      <c r="AU19" s="284"/>
      <c r="AV19" s="284"/>
      <c r="AW19" s="284"/>
      <c r="AX19" s="284"/>
      <c r="AY19" s="284"/>
      <c r="AZ19" s="284"/>
      <c r="BA19" s="284"/>
      <c r="BB19" s="284"/>
      <c r="BC19" s="284"/>
      <c r="BD19" s="284"/>
      <c r="BE19" s="284"/>
      <c r="BF19" s="284"/>
      <c r="BG19" s="284"/>
      <c r="BH19" s="284"/>
      <c r="BI19" s="284"/>
      <c r="BJ19" s="284"/>
      <c r="BK19" s="284"/>
      <c r="BL19" s="284"/>
      <c r="BM19" s="284"/>
      <c r="BN19" s="284"/>
      <c r="BO19" s="284"/>
      <c r="BP19" s="284"/>
      <c r="BQ19" s="284"/>
      <c r="BR19" s="284"/>
      <c r="BS19" s="284"/>
      <c r="BT19" s="284"/>
      <c r="BU19" s="284"/>
      <c r="BV19" s="284"/>
      <c r="BW19" s="284"/>
      <c r="BX19" s="284"/>
      <c r="BY19" s="284"/>
      <c r="BZ19" s="284"/>
      <c r="CA19" s="284"/>
      <c r="CB19" s="284"/>
      <c r="CC19" s="284"/>
      <c r="CD19" s="284"/>
      <c r="CE19" s="284"/>
      <c r="CF19" s="284"/>
    </row>
    <row r="20" spans="1:85" x14ac:dyDescent="0.35">
      <c r="A20" s="284" t="s">
        <v>3167</v>
      </c>
      <c r="B20" s="284" t="s">
        <v>3168</v>
      </c>
      <c r="C20" t="s">
        <v>13287</v>
      </c>
      <c r="D20" s="284" t="s">
        <v>13064</v>
      </c>
      <c r="E20" s="284" t="s">
        <v>13019</v>
      </c>
      <c r="F20" s="284" t="s">
        <v>13065</v>
      </c>
      <c r="G20" s="284" t="s">
        <v>13273</v>
      </c>
      <c r="H20" s="284" t="s">
        <v>13024</v>
      </c>
      <c r="I20" s="284" t="s">
        <v>13099</v>
      </c>
      <c r="J20" s="284" t="s">
        <v>13025</v>
      </c>
      <c r="K20" s="284" t="s">
        <v>13026</v>
      </c>
      <c r="L20" s="284" t="s">
        <v>13027</v>
      </c>
      <c r="M20" s="284" t="s">
        <v>13028</v>
      </c>
      <c r="N20" s="284" t="s">
        <v>13002</v>
      </c>
      <c r="O20" s="284" t="s">
        <v>13003</v>
      </c>
      <c r="P20" s="284" t="s">
        <v>13066</v>
      </c>
      <c r="Q20" s="284" t="s">
        <v>13029</v>
      </c>
      <c r="R20" s="284" t="s">
        <v>13055</v>
      </c>
      <c r="S20" s="284" t="s">
        <v>13033</v>
      </c>
      <c r="T20" s="284" t="s">
        <v>13034</v>
      </c>
      <c r="U20" s="284" t="s">
        <v>13035</v>
      </c>
      <c r="V20" s="284" t="s">
        <v>13036</v>
      </c>
      <c r="W20" s="284" t="s">
        <v>13105</v>
      </c>
      <c r="X20" s="284" t="s">
        <v>13179</v>
      </c>
      <c r="Y20" s="284" t="s">
        <v>13038</v>
      </c>
      <c r="Z20" s="284" t="s">
        <v>13092</v>
      </c>
      <c r="AA20" s="284" t="s">
        <v>13152</v>
      </c>
      <c r="AB20" s="284" t="s">
        <v>13014</v>
      </c>
      <c r="AC20" s="284" t="s">
        <v>13042</v>
      </c>
      <c r="AD20" s="284" t="s">
        <v>13154</v>
      </c>
      <c r="AE20" s="284" t="s">
        <v>13264</v>
      </c>
      <c r="AF20" s="284"/>
      <c r="AG20" s="284"/>
      <c r="AH20" s="284"/>
      <c r="AI20" s="284"/>
      <c r="AJ20" s="284"/>
      <c r="AK20" s="284"/>
      <c r="AL20" s="284"/>
      <c r="AM20" s="284"/>
      <c r="AN20" s="284"/>
      <c r="AO20" s="284"/>
      <c r="AP20" s="284"/>
      <c r="AQ20" s="284"/>
      <c r="AR20" s="284"/>
      <c r="AS20" s="284"/>
      <c r="AT20" s="284"/>
      <c r="AU20" s="284"/>
      <c r="AV20" s="284"/>
      <c r="AW20" s="284"/>
      <c r="AX20" s="284"/>
      <c r="AY20" s="284"/>
      <c r="AZ20" s="284"/>
      <c r="BA20" s="284"/>
      <c r="BB20" s="284"/>
      <c r="BC20" s="284"/>
      <c r="BD20" s="284"/>
      <c r="BE20" s="284"/>
      <c r="BF20" s="284"/>
      <c r="BG20" s="284"/>
      <c r="BH20" s="284"/>
      <c r="BI20" s="284"/>
      <c r="BJ20" s="284"/>
      <c r="BK20" s="284"/>
      <c r="BL20" s="284"/>
      <c r="BM20" s="284"/>
      <c r="BN20" s="284"/>
      <c r="BO20" s="284"/>
      <c r="BP20" s="284"/>
      <c r="BQ20" s="284"/>
      <c r="BR20" s="284"/>
      <c r="BS20" s="284"/>
      <c r="BT20" s="284"/>
      <c r="BU20" s="284"/>
      <c r="BV20" s="284"/>
      <c r="BW20" s="284"/>
      <c r="BX20" s="284"/>
      <c r="BY20" s="284"/>
      <c r="BZ20" s="284"/>
      <c r="CA20" s="284"/>
      <c r="CB20" s="284"/>
      <c r="CC20" s="284"/>
      <c r="CD20" s="284"/>
      <c r="CE20" s="284"/>
      <c r="CF20" s="284"/>
      <c r="CG20" s="284"/>
    </row>
    <row r="21" spans="1:85" x14ac:dyDescent="0.35">
      <c r="A21" s="284" t="s">
        <v>9684</v>
      </c>
      <c r="B21" s="284" t="s">
        <v>9685</v>
      </c>
      <c r="C21" t="s">
        <v>13020</v>
      </c>
      <c r="D21" s="284" t="s">
        <v>13023</v>
      </c>
      <c r="E21" s="284" t="s">
        <v>13113</v>
      </c>
      <c r="F21" s="284" t="s">
        <v>13288</v>
      </c>
      <c r="G21" s="284" t="s">
        <v>13289</v>
      </c>
      <c r="H21" s="284" t="s">
        <v>13273</v>
      </c>
      <c r="I21" s="284" t="s">
        <v>13000</v>
      </c>
      <c r="J21" s="284" t="s">
        <v>13148</v>
      </c>
      <c r="K21" s="284" t="s">
        <v>13149</v>
      </c>
      <c r="L21" s="284" t="s">
        <v>13160</v>
      </c>
      <c r="M21" s="284" t="s">
        <v>13066</v>
      </c>
      <c r="N21" s="284" t="s">
        <v>13290</v>
      </c>
      <c r="O21" s="284" t="s">
        <v>13291</v>
      </c>
      <c r="P21" s="284" t="s">
        <v>13249</v>
      </c>
      <c r="Q21" s="284" t="s">
        <v>13292</v>
      </c>
      <c r="R21" s="284" t="s">
        <v>13276</v>
      </c>
      <c r="S21" s="284" t="s">
        <v>13033</v>
      </c>
      <c r="T21" s="284" t="s">
        <v>13034</v>
      </c>
      <c r="U21" s="284" t="s">
        <v>13171</v>
      </c>
      <c r="V21" s="284" t="s">
        <v>13036</v>
      </c>
      <c r="W21" s="284" t="s">
        <v>13078</v>
      </c>
      <c r="X21" s="284" t="s">
        <v>13009</v>
      </c>
      <c r="Y21" s="284" t="s">
        <v>13293</v>
      </c>
      <c r="Z21" s="284" t="s">
        <v>13014</v>
      </c>
      <c r="AA21" s="284" t="s">
        <v>13042</v>
      </c>
      <c r="AB21" s="284" t="s">
        <v>13286</v>
      </c>
      <c r="AC21" s="284"/>
      <c r="AD21" s="284"/>
      <c r="AE21" s="284"/>
      <c r="AF21" s="284"/>
      <c r="AG21" s="284"/>
      <c r="AH21" s="284"/>
      <c r="AI21" s="284"/>
      <c r="AJ21" s="284"/>
      <c r="AK21" s="284"/>
      <c r="AL21" s="284"/>
      <c r="AM21" s="284"/>
      <c r="AN21" s="284"/>
      <c r="AO21" s="284"/>
      <c r="AP21" s="284"/>
      <c r="AQ21" s="284"/>
      <c r="AR21" s="284"/>
      <c r="AS21" s="284"/>
      <c r="AT21" s="284"/>
      <c r="AU21" s="284"/>
      <c r="AV21" s="284"/>
      <c r="AW21" s="284"/>
      <c r="AX21" s="284"/>
      <c r="AY21" s="284"/>
      <c r="AZ21" s="284"/>
      <c r="BA21" s="284"/>
      <c r="BB21" s="284"/>
      <c r="BC21" s="284"/>
      <c r="BD21" s="284"/>
      <c r="BE21" s="284"/>
      <c r="BF21" s="284"/>
      <c r="BG21" s="284"/>
      <c r="BH21" s="284"/>
      <c r="BI21" s="284"/>
      <c r="BJ21" s="284"/>
      <c r="BK21" s="284"/>
      <c r="BL21" s="284"/>
      <c r="BM21" s="284"/>
      <c r="BN21" s="284"/>
      <c r="BO21" s="284"/>
      <c r="BP21" s="284"/>
      <c r="BQ21" s="284"/>
      <c r="BR21" s="284"/>
      <c r="BS21" s="284"/>
      <c r="BT21" s="284"/>
      <c r="BU21" s="284"/>
      <c r="BV21" s="284"/>
      <c r="BW21" s="284"/>
      <c r="BX21" s="284"/>
      <c r="BY21" s="284"/>
      <c r="BZ21" s="284"/>
      <c r="CA21" s="284"/>
      <c r="CB21" s="284"/>
      <c r="CC21" s="284"/>
      <c r="CD21" s="284"/>
      <c r="CE21" s="284"/>
      <c r="CF21" s="284"/>
      <c r="CG21" s="284"/>
    </row>
    <row r="22" spans="1:85" x14ac:dyDescent="0.35">
      <c r="A22" s="284" t="s">
        <v>6705</v>
      </c>
      <c r="B22" s="284" t="s">
        <v>6706</v>
      </c>
      <c r="C22" s="284" t="s">
        <v>13294</v>
      </c>
      <c r="D22" s="284" t="s">
        <v>13072</v>
      </c>
      <c r="E22" s="284" t="s">
        <v>13021</v>
      </c>
      <c r="F22" s="284" t="s">
        <v>13022</v>
      </c>
      <c r="G22" s="284" t="s">
        <v>13085</v>
      </c>
      <c r="H22" s="284" t="s">
        <v>13025</v>
      </c>
      <c r="I22" s="284" t="s">
        <v>13027</v>
      </c>
      <c r="J22" s="284" t="s">
        <v>13028</v>
      </c>
      <c r="K22" s="284" t="s">
        <v>13003</v>
      </c>
      <c r="L22" s="284" t="s">
        <v>13295</v>
      </c>
      <c r="M22" s="284" t="s">
        <v>13296</v>
      </c>
      <c r="N22" s="284" t="s">
        <v>13005</v>
      </c>
      <c r="O22" s="284" t="s">
        <v>13162</v>
      </c>
      <c r="P22" s="284" t="s">
        <v>13035</v>
      </c>
      <c r="Q22" s="284" t="s">
        <v>13036</v>
      </c>
      <c r="R22" s="284" t="s">
        <v>13297</v>
      </c>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284"/>
      <c r="AR22" s="284"/>
      <c r="AS22" s="284"/>
      <c r="AT22" s="284"/>
      <c r="AU22" s="284"/>
      <c r="AV22" s="284"/>
      <c r="AW22" s="284"/>
      <c r="AX22" s="284"/>
      <c r="AY22" s="284"/>
      <c r="AZ22" s="284"/>
      <c r="BA22" s="284"/>
      <c r="BB22" s="284"/>
      <c r="BC22" s="284"/>
      <c r="BD22" s="284"/>
      <c r="BE22" s="284"/>
      <c r="BF22" s="284"/>
      <c r="BG22" s="284"/>
      <c r="BH22" s="284"/>
      <c r="BI22" s="284"/>
      <c r="BJ22" s="284"/>
      <c r="BK22" s="284"/>
      <c r="BL22" s="284"/>
      <c r="BM22" s="284"/>
      <c r="BN22" s="284"/>
      <c r="BO22" s="284"/>
      <c r="BP22" s="284"/>
      <c r="BQ22" s="284"/>
      <c r="BR22" s="284"/>
      <c r="BS22" s="284"/>
      <c r="BT22" s="284"/>
      <c r="BU22" s="284"/>
      <c r="BV22" s="284"/>
      <c r="BW22" s="284"/>
      <c r="BX22" s="284"/>
      <c r="BY22" s="284"/>
      <c r="BZ22" s="284"/>
      <c r="CA22" s="284"/>
      <c r="CB22" s="284"/>
      <c r="CC22" s="284"/>
      <c r="CD22" s="284"/>
      <c r="CE22" s="284"/>
      <c r="CF22" s="284"/>
    </row>
    <row r="23" spans="1:85" x14ac:dyDescent="0.35">
      <c r="A23" s="284" t="s">
        <v>2547</v>
      </c>
      <c r="B23" s="284" t="s">
        <v>2548</v>
      </c>
      <c r="C23" s="284" t="s">
        <v>13298</v>
      </c>
      <c r="D23" s="284" t="s">
        <v>13299</v>
      </c>
      <c r="E23" s="284" t="s">
        <v>13046</v>
      </c>
      <c r="F23" s="284" t="s">
        <v>13167</v>
      </c>
      <c r="G23" s="284" t="s">
        <v>13021</v>
      </c>
      <c r="H23" s="284" t="s">
        <v>13023</v>
      </c>
      <c r="I23" s="284" t="s">
        <v>13048</v>
      </c>
      <c r="J23" s="284" t="s">
        <v>13065</v>
      </c>
      <c r="K23" s="284" t="s">
        <v>13300</v>
      </c>
      <c r="L23" s="284" t="s">
        <v>13301</v>
      </c>
      <c r="M23" s="284" t="s">
        <v>13302</v>
      </c>
      <c r="N23" s="284" t="s">
        <v>13000</v>
      </c>
      <c r="O23" s="284" t="s">
        <v>13303</v>
      </c>
      <c r="P23" s="284" t="s">
        <v>13049</v>
      </c>
      <c r="Q23" s="284" t="s">
        <v>13027</v>
      </c>
      <c r="R23" s="284" t="s">
        <v>13028</v>
      </c>
      <c r="S23" s="284" t="s">
        <v>13003</v>
      </c>
      <c r="T23" s="284" t="s">
        <v>13066</v>
      </c>
      <c r="U23" s="284" t="s">
        <v>13201</v>
      </c>
      <c r="V23" s="284" t="s">
        <v>13007</v>
      </c>
      <c r="W23" s="284" t="s">
        <v>13054</v>
      </c>
      <c r="X23" s="284" t="s">
        <v>13033</v>
      </c>
      <c r="Y23" s="284" t="s">
        <v>13304</v>
      </c>
      <c r="Z23" s="284" t="s">
        <v>13037</v>
      </c>
      <c r="AA23" s="284" t="s">
        <v>13038</v>
      </c>
      <c r="AB23" s="284" t="s">
        <v>13039</v>
      </c>
      <c r="AC23" s="284" t="s">
        <v>13078</v>
      </c>
      <c r="AD23" s="284" t="s">
        <v>13009</v>
      </c>
      <c r="AE23" s="284" t="s">
        <v>13305</v>
      </c>
      <c r="AF23" s="284" t="s">
        <v>13058</v>
      </c>
      <c r="AG23" s="284" t="s">
        <v>13041</v>
      </c>
      <c r="AH23" s="284" t="s">
        <v>13306</v>
      </c>
      <c r="AI23" s="284" t="s">
        <v>13205</v>
      </c>
      <c r="AJ23" s="284" t="s">
        <v>13012</v>
      </c>
      <c r="AK23" s="284" t="s">
        <v>13060</v>
      </c>
      <c r="AL23" s="284" t="s">
        <v>13014</v>
      </c>
      <c r="AM23" s="284" t="s">
        <v>13174</v>
      </c>
      <c r="AN23" s="284" t="s">
        <v>13079</v>
      </c>
      <c r="AO23" s="284" t="s">
        <v>13307</v>
      </c>
      <c r="AP23" s="284" t="s">
        <v>13016</v>
      </c>
      <c r="AQ23" s="284" t="s">
        <v>13144</v>
      </c>
      <c r="AR23" s="284"/>
      <c r="AS23" s="284"/>
      <c r="AT23" s="284"/>
      <c r="AU23" s="284"/>
      <c r="AV23" s="284"/>
      <c r="AW23" s="284"/>
      <c r="AX23" s="284"/>
      <c r="AY23" s="284"/>
      <c r="AZ23" s="284"/>
      <c r="BA23" s="284"/>
      <c r="BB23" s="284"/>
      <c r="BC23" s="284"/>
      <c r="BD23" s="284"/>
      <c r="BE23" s="284"/>
      <c r="BF23" s="284"/>
      <c r="BG23" s="284"/>
      <c r="BH23" s="284"/>
      <c r="BI23" s="284"/>
      <c r="BJ23" s="284"/>
      <c r="BK23" s="284"/>
      <c r="BL23" s="284"/>
      <c r="BM23" s="284"/>
      <c r="BN23" s="284"/>
      <c r="BO23" s="284"/>
      <c r="BP23" s="284"/>
      <c r="BQ23" s="284"/>
      <c r="BR23" s="284"/>
      <c r="BS23" s="284"/>
      <c r="BT23" s="284"/>
      <c r="BU23" s="284"/>
      <c r="BV23" s="284"/>
      <c r="BW23" s="284"/>
      <c r="BX23" s="284"/>
      <c r="BY23" s="284"/>
      <c r="BZ23" s="284"/>
      <c r="CA23" s="284"/>
      <c r="CB23" s="284"/>
      <c r="CC23" s="284"/>
      <c r="CD23" s="284"/>
      <c r="CE23" s="284"/>
      <c r="CF23" s="284"/>
    </row>
    <row r="24" spans="1:85" x14ac:dyDescent="0.35">
      <c r="A24" s="284" t="s">
        <v>1685</v>
      </c>
      <c r="B24" s="284" t="s">
        <v>1686</v>
      </c>
      <c r="C24" t="s">
        <v>13308</v>
      </c>
      <c r="D24" s="284" t="s">
        <v>13166</v>
      </c>
      <c r="E24" s="284" t="s">
        <v>13046</v>
      </c>
      <c r="F24" s="284" t="s">
        <v>13167</v>
      </c>
      <c r="G24" s="284" t="s">
        <v>13072</v>
      </c>
      <c r="H24" s="284" t="s">
        <v>13021</v>
      </c>
      <c r="I24" s="284" t="s">
        <v>13023</v>
      </c>
      <c r="J24" s="284" t="s">
        <v>13000</v>
      </c>
      <c r="K24" s="284" t="s">
        <v>13309</v>
      </c>
      <c r="L24" s="284" t="s">
        <v>13310</v>
      </c>
      <c r="M24" s="284" t="s">
        <v>13168</v>
      </c>
      <c r="N24" s="284" t="s">
        <v>13028</v>
      </c>
      <c r="O24" s="284" t="s">
        <v>13002</v>
      </c>
      <c r="P24" s="284" t="s">
        <v>13003</v>
      </c>
      <c r="Q24" s="284" t="s">
        <v>13169</v>
      </c>
      <c r="R24" s="284" t="s">
        <v>13051</v>
      </c>
      <c r="S24" s="284" t="s">
        <v>13005</v>
      </c>
      <c r="T24" s="284" t="s">
        <v>13101</v>
      </c>
      <c r="U24" s="284" t="s">
        <v>13029</v>
      </c>
      <c r="V24" s="284" t="s">
        <v>13006</v>
      </c>
      <c r="W24" s="284" t="s">
        <v>13007</v>
      </c>
      <c r="X24" s="284" t="s">
        <v>13054</v>
      </c>
      <c r="Y24" s="284" t="s">
        <v>13069</v>
      </c>
      <c r="Z24" s="284" t="s">
        <v>13104</v>
      </c>
      <c r="AA24" s="284" t="s">
        <v>13034</v>
      </c>
      <c r="AB24" s="284" t="s">
        <v>13038</v>
      </c>
      <c r="AC24" s="284" t="s">
        <v>13039</v>
      </c>
      <c r="AD24" s="284" t="s">
        <v>13011</v>
      </c>
      <c r="AE24" s="284" t="s">
        <v>13058</v>
      </c>
      <c r="AF24" s="284" t="s">
        <v>13041</v>
      </c>
      <c r="AG24" s="284" t="s">
        <v>13012</v>
      </c>
      <c r="AH24" s="284" t="s">
        <v>13060</v>
      </c>
      <c r="AI24" s="284" t="s">
        <v>13014</v>
      </c>
      <c r="AJ24" s="284" t="s">
        <v>13174</v>
      </c>
      <c r="AK24" s="284" t="s">
        <v>13015</v>
      </c>
      <c r="AL24" s="284"/>
      <c r="AM24" s="284"/>
      <c r="AN24" s="284"/>
      <c r="AO24" s="284"/>
      <c r="AP24" s="284"/>
      <c r="AQ24" s="284"/>
      <c r="AR24" s="284"/>
      <c r="AS24" s="284"/>
      <c r="AT24" s="284"/>
      <c r="AU24" s="284"/>
      <c r="AV24" s="284"/>
      <c r="AW24" s="284"/>
      <c r="AX24" s="284"/>
      <c r="AY24" s="284"/>
      <c r="AZ24" s="284"/>
      <c r="BA24" s="284"/>
      <c r="BB24" s="284"/>
      <c r="BC24" s="284"/>
      <c r="BD24" s="284"/>
      <c r="BE24" s="284"/>
      <c r="BF24" s="284"/>
      <c r="BG24" s="284"/>
      <c r="BH24" s="284"/>
      <c r="BI24" s="284"/>
      <c r="BJ24" s="284"/>
      <c r="BK24" s="284"/>
      <c r="BL24" s="284"/>
      <c r="BM24" s="284"/>
      <c r="BN24" s="284"/>
      <c r="BO24" s="284"/>
      <c r="BP24" s="284"/>
      <c r="BQ24" s="284"/>
      <c r="BR24" s="284"/>
      <c r="BS24" s="284"/>
      <c r="BT24" s="284"/>
      <c r="BU24" s="284"/>
      <c r="BV24" s="284"/>
      <c r="BW24" s="284"/>
      <c r="BX24" s="284"/>
      <c r="BY24" s="284"/>
      <c r="BZ24" s="284"/>
      <c r="CA24" s="284"/>
      <c r="CB24" s="284"/>
      <c r="CC24" s="284"/>
      <c r="CD24" s="284"/>
      <c r="CE24" s="284"/>
      <c r="CF24" s="284"/>
      <c r="CG24" s="284"/>
    </row>
    <row r="25" spans="1:85" x14ac:dyDescent="0.35">
      <c r="A25" s="284" t="s">
        <v>10935</v>
      </c>
      <c r="B25" s="284" t="s">
        <v>10936</v>
      </c>
      <c r="C25" s="284" t="s">
        <v>13311</v>
      </c>
      <c r="D25" s="284" t="s">
        <v>13312</v>
      </c>
      <c r="E25" s="284" t="s">
        <v>13072</v>
      </c>
      <c r="F25" s="284" t="s">
        <v>13023</v>
      </c>
      <c r="G25" s="284" t="s">
        <v>13113</v>
      </c>
      <c r="H25" s="284" t="s">
        <v>13082</v>
      </c>
      <c r="I25" s="284" t="s">
        <v>13065</v>
      </c>
      <c r="J25" s="284" t="s">
        <v>13313</v>
      </c>
      <c r="K25" s="284" t="s">
        <v>13314</v>
      </c>
      <c r="L25" s="284" t="s">
        <v>13315</v>
      </c>
      <c r="M25" s="284" t="s">
        <v>13316</v>
      </c>
      <c r="N25" s="284" t="s">
        <v>13317</v>
      </c>
      <c r="O25" s="284" t="s">
        <v>13273</v>
      </c>
      <c r="P25" s="284" t="s">
        <v>13318</v>
      </c>
      <c r="Q25" s="284" t="s">
        <v>13319</v>
      </c>
      <c r="R25" s="284" t="s">
        <v>13320</v>
      </c>
      <c r="S25" s="284" t="s">
        <v>13000</v>
      </c>
      <c r="T25" s="284" t="s">
        <v>13321</v>
      </c>
      <c r="U25" s="284" t="s">
        <v>13238</v>
      </c>
      <c r="V25" s="284" t="s">
        <v>13099</v>
      </c>
      <c r="W25" s="284" t="s">
        <v>13322</v>
      </c>
      <c r="X25" s="284" t="s">
        <v>13148</v>
      </c>
      <c r="Y25" s="284" t="s">
        <v>13001</v>
      </c>
      <c r="Z25" s="284" t="s">
        <v>13149</v>
      </c>
      <c r="AA25" s="284" t="s">
        <v>13028</v>
      </c>
      <c r="AB25" s="284" t="s">
        <v>13160</v>
      </c>
      <c r="AC25" s="284" t="s">
        <v>13002</v>
      </c>
      <c r="AD25" s="284" t="s">
        <v>13003</v>
      </c>
      <c r="AE25" s="284" t="s">
        <v>13066</v>
      </c>
      <c r="AF25" s="284" t="s">
        <v>13323</v>
      </c>
      <c r="AG25" s="284" t="s">
        <v>13201</v>
      </c>
      <c r="AH25" s="284" t="s">
        <v>13076</v>
      </c>
      <c r="AI25" s="284" t="s">
        <v>13274</v>
      </c>
      <c r="AJ25" s="284" t="s">
        <v>13029</v>
      </c>
      <c r="AK25" s="284" t="s">
        <v>13202</v>
      </c>
      <c r="AL25" s="284" t="s">
        <v>13192</v>
      </c>
      <c r="AM25" s="284" t="s">
        <v>13284</v>
      </c>
      <c r="AN25" s="284" t="s">
        <v>13054</v>
      </c>
      <c r="AO25" s="284" t="s">
        <v>13033</v>
      </c>
      <c r="AP25" s="284" t="s">
        <v>13034</v>
      </c>
      <c r="AQ25" s="284" t="s">
        <v>13171</v>
      </c>
      <c r="AR25" s="284" t="s">
        <v>13036</v>
      </c>
      <c r="AS25" s="284" t="s">
        <v>13038</v>
      </c>
      <c r="AT25" s="284" t="s">
        <v>13091</v>
      </c>
      <c r="AU25" s="284" t="s">
        <v>13009</v>
      </c>
      <c r="AV25" s="284" t="s">
        <v>13012</v>
      </c>
      <c r="AW25" s="284" t="s">
        <v>13285</v>
      </c>
      <c r="AX25" s="284" t="s">
        <v>13014</v>
      </c>
      <c r="AY25" s="284" t="s">
        <v>13042</v>
      </c>
      <c r="AZ25" s="284" t="s">
        <v>13096</v>
      </c>
      <c r="BA25" s="284" t="s">
        <v>13154</v>
      </c>
      <c r="BB25" s="284" t="s">
        <v>13155</v>
      </c>
      <c r="BC25" s="284" t="s">
        <v>13156</v>
      </c>
      <c r="BD25" s="284" t="s">
        <v>13016</v>
      </c>
      <c r="BE25" s="284" t="s">
        <v>13144</v>
      </c>
      <c r="BF25" s="284" t="s">
        <v>13157</v>
      </c>
      <c r="BG25" s="284" t="s">
        <v>13286</v>
      </c>
      <c r="BH25" s="284"/>
      <c r="BI25" s="284"/>
      <c r="BJ25" s="284"/>
      <c r="BK25" s="284"/>
      <c r="BL25" s="284"/>
      <c r="BM25" s="284"/>
      <c r="BN25" s="284"/>
      <c r="BO25" s="284"/>
      <c r="BP25" s="284"/>
      <c r="BQ25" s="284"/>
      <c r="BR25" s="284"/>
      <c r="BS25" s="284"/>
      <c r="BT25" s="284"/>
      <c r="BU25" s="284"/>
      <c r="BV25" s="284"/>
      <c r="BW25" s="284"/>
      <c r="BX25" s="284"/>
      <c r="BY25" s="284"/>
      <c r="BZ25" s="284"/>
      <c r="CA25" s="284"/>
      <c r="CB25" s="284"/>
      <c r="CC25" s="284"/>
      <c r="CD25" s="284"/>
      <c r="CE25" s="284"/>
      <c r="CF25" s="284"/>
    </row>
    <row r="26" spans="1:85" x14ac:dyDescent="0.35">
      <c r="A26" s="284" t="s">
        <v>4045</v>
      </c>
      <c r="B26" s="284" t="s">
        <v>4046</v>
      </c>
      <c r="C26" t="s">
        <v>13324</v>
      </c>
      <c r="D26" s="284" t="s">
        <v>13023</v>
      </c>
      <c r="E26" s="284" t="s">
        <v>13082</v>
      </c>
      <c r="F26" s="284" t="s">
        <v>13083</v>
      </c>
      <c r="G26" s="284" t="s">
        <v>13000</v>
      </c>
      <c r="H26" s="284" t="s">
        <v>13325</v>
      </c>
      <c r="I26" s="284" t="s">
        <v>13084</v>
      </c>
      <c r="J26" s="284" t="s">
        <v>13074</v>
      </c>
      <c r="K26" s="284" t="s">
        <v>13086</v>
      </c>
      <c r="L26" s="284" t="s">
        <v>13087</v>
      </c>
      <c r="M26" s="284" t="s">
        <v>13027</v>
      </c>
      <c r="N26" s="284" t="s">
        <v>13001</v>
      </c>
      <c r="O26" s="284" t="s">
        <v>13050</v>
      </c>
      <c r="P26" s="284" t="s">
        <v>13028</v>
      </c>
      <c r="Q26" s="284" t="s">
        <v>13002</v>
      </c>
      <c r="R26" s="284" t="s">
        <v>13003</v>
      </c>
      <c r="S26" s="284" t="s">
        <v>13178</v>
      </c>
      <c r="T26" s="284" t="s">
        <v>13076</v>
      </c>
      <c r="U26" s="284" t="s">
        <v>13100</v>
      </c>
      <c r="V26" s="284" t="s">
        <v>13005</v>
      </c>
      <c r="W26" s="284" t="s">
        <v>13029</v>
      </c>
      <c r="X26" s="284" t="s">
        <v>13006</v>
      </c>
      <c r="Y26" s="284" t="s">
        <v>13007</v>
      </c>
      <c r="Z26" s="284" t="s">
        <v>13162</v>
      </c>
      <c r="AA26" s="284" t="s">
        <v>13008</v>
      </c>
      <c r="AB26" s="284" t="s">
        <v>13104</v>
      </c>
      <c r="AC26" s="284" t="s">
        <v>13033</v>
      </c>
      <c r="AD26" s="284" t="s">
        <v>13034</v>
      </c>
      <c r="AE26" s="284" t="s">
        <v>13037</v>
      </c>
      <c r="AF26" s="284" t="s">
        <v>13090</v>
      </c>
      <c r="AG26" s="284" t="s">
        <v>13038</v>
      </c>
      <c r="AH26" s="284" t="s">
        <v>13039</v>
      </c>
      <c r="AI26" s="284" t="s">
        <v>13078</v>
      </c>
      <c r="AJ26" s="284" t="s">
        <v>13091</v>
      </c>
      <c r="AK26" s="284" t="s">
        <v>13009</v>
      </c>
      <c r="AL26" s="284" t="s">
        <v>13041</v>
      </c>
      <c r="AM26" s="284" t="s">
        <v>13106</v>
      </c>
      <c r="AN26" s="284" t="s">
        <v>13014</v>
      </c>
      <c r="AO26" s="284" t="s">
        <v>13095</v>
      </c>
      <c r="AP26" s="284" t="s">
        <v>13326</v>
      </c>
      <c r="AQ26" s="284" t="s">
        <v>13327</v>
      </c>
      <c r="AR26" s="284" t="s">
        <v>13328</v>
      </c>
      <c r="AS26" s="284"/>
      <c r="AT26" s="284"/>
      <c r="AU26" s="284"/>
      <c r="AV26" s="284"/>
      <c r="AW26" s="284"/>
      <c r="AX26" s="284"/>
      <c r="AY26" s="284"/>
      <c r="AZ26" s="284"/>
      <c r="BA26" s="284"/>
      <c r="BB26" s="284"/>
      <c r="BC26" s="284"/>
      <c r="BD26" s="284"/>
      <c r="BE26" s="284"/>
      <c r="BF26" s="284"/>
      <c r="BG26" s="284"/>
      <c r="BH26" s="284"/>
      <c r="BI26" s="284"/>
      <c r="BJ26" s="284"/>
      <c r="BK26" s="284"/>
      <c r="BL26" s="284"/>
      <c r="BM26" s="284"/>
      <c r="BN26" s="284"/>
      <c r="BO26" s="284"/>
      <c r="BP26" s="284"/>
      <c r="BQ26" s="284"/>
      <c r="BR26" s="284"/>
      <c r="BS26" s="284"/>
      <c r="BT26" s="284"/>
      <c r="BU26" s="284"/>
      <c r="BV26" s="284"/>
      <c r="BW26" s="284"/>
      <c r="BX26" s="284"/>
      <c r="BY26" s="284"/>
      <c r="BZ26" s="284"/>
      <c r="CA26" s="284"/>
      <c r="CB26" s="284"/>
      <c r="CC26" s="284"/>
      <c r="CD26" s="284"/>
      <c r="CE26" s="284"/>
      <c r="CF26" s="284"/>
      <c r="CG26" s="284"/>
    </row>
    <row r="27" spans="1:85" x14ac:dyDescent="0.35">
      <c r="A27" s="284" t="s">
        <v>6998</v>
      </c>
      <c r="B27" s="284" t="s">
        <v>6999</v>
      </c>
      <c r="C27" s="284" t="s">
        <v>13329</v>
      </c>
      <c r="D27" s="284" t="s">
        <v>13023</v>
      </c>
      <c r="E27" s="284" t="s">
        <v>13330</v>
      </c>
      <c r="F27" s="284" t="s">
        <v>13000</v>
      </c>
      <c r="G27" s="284" t="s">
        <v>13085</v>
      </c>
      <c r="H27" s="284" t="s">
        <v>13087</v>
      </c>
      <c r="I27" s="284" t="s">
        <v>13001</v>
      </c>
      <c r="J27" s="284" t="s">
        <v>13050</v>
      </c>
      <c r="K27" s="284" t="s">
        <v>13003</v>
      </c>
      <c r="L27" s="284" t="s">
        <v>13076</v>
      </c>
      <c r="M27" s="284" t="s">
        <v>13331</v>
      </c>
      <c r="N27" s="284" t="s">
        <v>13029</v>
      </c>
      <c r="O27" s="284" t="s">
        <v>13284</v>
      </c>
      <c r="P27" s="284" t="s">
        <v>13008</v>
      </c>
      <c r="Q27" s="284" t="s">
        <v>13077</v>
      </c>
      <c r="R27" s="284" t="s">
        <v>13089</v>
      </c>
      <c r="S27" s="284" t="s">
        <v>13033</v>
      </c>
      <c r="T27" s="284" t="s">
        <v>13034</v>
      </c>
      <c r="U27" s="284" t="s">
        <v>13036</v>
      </c>
      <c r="V27" s="284" t="s">
        <v>13090</v>
      </c>
      <c r="W27" s="284" t="s">
        <v>13038</v>
      </c>
      <c r="X27" s="284" t="s">
        <v>13039</v>
      </c>
      <c r="Y27" s="284" t="s">
        <v>13091</v>
      </c>
      <c r="Z27" s="284" t="s">
        <v>13009</v>
      </c>
      <c r="AA27" s="284" t="s">
        <v>13092</v>
      </c>
      <c r="AB27" s="284" t="s">
        <v>13093</v>
      </c>
      <c r="AC27" s="284" t="s">
        <v>13041</v>
      </c>
      <c r="AD27" s="284" t="s">
        <v>13095</v>
      </c>
      <c r="AE27" s="284" t="s">
        <v>13165</v>
      </c>
      <c r="AF27" s="284" t="s">
        <v>13332</v>
      </c>
      <c r="AG27" s="284"/>
      <c r="AH27" s="284"/>
      <c r="AI27" s="284"/>
      <c r="AJ27" s="284"/>
      <c r="AK27" s="284"/>
      <c r="AL27" s="284"/>
      <c r="AM27" s="284"/>
      <c r="AN27" s="284"/>
      <c r="AO27" s="284"/>
      <c r="AP27" s="284"/>
      <c r="AQ27" s="284"/>
      <c r="AR27" s="284"/>
      <c r="AS27" s="284"/>
      <c r="AT27" s="284"/>
      <c r="AU27" s="284"/>
      <c r="AV27" s="284"/>
      <c r="AW27" s="284"/>
      <c r="AX27" s="284"/>
      <c r="AY27" s="284"/>
      <c r="AZ27" s="284"/>
      <c r="BA27" s="284"/>
      <c r="BB27" s="284"/>
      <c r="BC27" s="284"/>
      <c r="BD27" s="284"/>
      <c r="BE27" s="284"/>
      <c r="BF27" s="284"/>
      <c r="BG27" s="284"/>
      <c r="BH27" s="284"/>
      <c r="BI27" s="284"/>
      <c r="BJ27" s="284"/>
      <c r="BK27" s="284"/>
      <c r="BL27" s="284"/>
      <c r="BM27" s="284"/>
      <c r="BN27" s="284"/>
      <c r="BO27" s="284"/>
      <c r="BP27" s="284"/>
      <c r="BQ27" s="284"/>
      <c r="BR27" s="284"/>
      <c r="BS27" s="284"/>
      <c r="BT27" s="284"/>
      <c r="BU27" s="284"/>
      <c r="BV27" s="284"/>
      <c r="BW27" s="284"/>
      <c r="BX27" s="284"/>
      <c r="BY27" s="284"/>
      <c r="BZ27" s="284"/>
      <c r="CA27" s="284"/>
      <c r="CB27" s="284"/>
      <c r="CC27" s="284"/>
      <c r="CD27" s="284"/>
      <c r="CE27" s="284"/>
      <c r="CF27" s="284"/>
    </row>
    <row r="28" spans="1:85" x14ac:dyDescent="0.35">
      <c r="A28" s="284" t="s">
        <v>11355</v>
      </c>
      <c r="B28" s="284" t="s">
        <v>11356</v>
      </c>
      <c r="C28" s="284" t="s">
        <v>13333</v>
      </c>
      <c r="D28" s="284" t="s">
        <v>13110</v>
      </c>
      <c r="E28" s="284" t="s">
        <v>13112</v>
      </c>
      <c r="F28" s="284" t="s">
        <v>13334</v>
      </c>
      <c r="G28" s="284" t="s">
        <v>13082</v>
      </c>
      <c r="H28" s="284" t="s">
        <v>13318</v>
      </c>
      <c r="I28" s="284" t="s">
        <v>13000</v>
      </c>
      <c r="J28" s="284" t="s">
        <v>13117</v>
      </c>
      <c r="K28" s="284" t="s">
        <v>13335</v>
      </c>
      <c r="L28" s="284" t="s">
        <v>13119</v>
      </c>
      <c r="M28" s="284" t="s">
        <v>13122</v>
      </c>
      <c r="N28" s="284" t="s">
        <v>13027</v>
      </c>
      <c r="O28" s="284" t="s">
        <v>13001</v>
      </c>
      <c r="P28" s="284" t="s">
        <v>13050</v>
      </c>
      <c r="Q28" s="284" t="s">
        <v>13336</v>
      </c>
      <c r="R28" s="284" t="s">
        <v>13002</v>
      </c>
      <c r="S28" s="284" t="s">
        <v>13337</v>
      </c>
      <c r="T28" s="284" t="s">
        <v>13004</v>
      </c>
      <c r="U28" s="284" t="s">
        <v>13066</v>
      </c>
      <c r="V28" s="284" t="s">
        <v>13124</v>
      </c>
      <c r="W28" s="284" t="s">
        <v>13125</v>
      </c>
      <c r="X28" s="284" t="s">
        <v>13127</v>
      </c>
      <c r="Y28" s="284" t="s">
        <v>13338</v>
      </c>
      <c r="Z28" s="284" t="s">
        <v>13201</v>
      </c>
      <c r="AA28" s="284" t="s">
        <v>13178</v>
      </c>
      <c r="AB28" s="284" t="s">
        <v>13076</v>
      </c>
      <c r="AC28" s="284" t="s">
        <v>13005</v>
      </c>
      <c r="AD28" s="284" t="s">
        <v>13029</v>
      </c>
      <c r="AE28" s="284" t="s">
        <v>13339</v>
      </c>
      <c r="AF28" s="284" t="s">
        <v>13192</v>
      </c>
      <c r="AG28" s="284" t="s">
        <v>13006</v>
      </c>
      <c r="AH28" s="284" t="s">
        <v>13103</v>
      </c>
      <c r="AI28" s="284" t="s">
        <v>13054</v>
      </c>
      <c r="AJ28" s="284" t="s">
        <v>13340</v>
      </c>
      <c r="AK28" s="284" t="s">
        <v>13129</v>
      </c>
      <c r="AL28" s="284" t="s">
        <v>13130</v>
      </c>
      <c r="AM28" s="284" t="s">
        <v>13341</v>
      </c>
      <c r="AN28" s="284" t="s">
        <v>13133</v>
      </c>
      <c r="AO28" s="284" t="s">
        <v>13135</v>
      </c>
      <c r="AP28" s="284" t="s">
        <v>13055</v>
      </c>
      <c r="AQ28" s="284" t="s">
        <v>13069</v>
      </c>
      <c r="AR28" s="284" t="s">
        <v>13104</v>
      </c>
      <c r="AS28" s="284" t="s">
        <v>13342</v>
      </c>
      <c r="AT28" s="284" t="s">
        <v>13037</v>
      </c>
      <c r="AU28" s="284" t="s">
        <v>13009</v>
      </c>
      <c r="AV28" s="284" t="s">
        <v>13343</v>
      </c>
      <c r="AW28" s="284" t="s">
        <v>13011</v>
      </c>
      <c r="AX28" s="284" t="s">
        <v>13058</v>
      </c>
      <c r="AY28" s="284" t="s">
        <v>13306</v>
      </c>
      <c r="AZ28" s="284" t="s">
        <v>13138</v>
      </c>
      <c r="BA28" s="284" t="s">
        <v>13344</v>
      </c>
      <c r="BB28" s="284" t="s">
        <v>13220</v>
      </c>
      <c r="BC28" s="284" t="s">
        <v>13014</v>
      </c>
      <c r="BD28" s="284" t="s">
        <v>13042</v>
      </c>
      <c r="BE28" s="284" t="s">
        <v>13345</v>
      </c>
      <c r="BF28" s="284" t="s">
        <v>13016</v>
      </c>
      <c r="BG28" s="284" t="s">
        <v>13346</v>
      </c>
      <c r="BH28" s="284" t="s">
        <v>13286</v>
      </c>
      <c r="BI28" s="284"/>
      <c r="BJ28" s="284"/>
      <c r="BK28" s="284"/>
      <c r="BL28" s="284"/>
      <c r="BM28" s="284"/>
      <c r="BN28" s="284"/>
      <c r="BO28" s="284"/>
      <c r="BP28" s="284"/>
      <c r="BQ28" s="284"/>
      <c r="BR28" s="284"/>
      <c r="BS28" s="284"/>
      <c r="BT28" s="284"/>
      <c r="BU28" s="284"/>
      <c r="BV28" s="284"/>
      <c r="BW28" s="284"/>
      <c r="BX28" s="284"/>
      <c r="BY28" s="284"/>
      <c r="BZ28" s="284"/>
      <c r="CA28" s="284"/>
      <c r="CB28" s="284"/>
      <c r="CC28" s="284"/>
      <c r="CD28" s="284"/>
      <c r="CE28" s="284"/>
      <c r="CF28" s="284"/>
    </row>
    <row r="29" spans="1:85" x14ac:dyDescent="0.35">
      <c r="A29" s="284" t="s">
        <v>4087</v>
      </c>
      <c r="B29" s="284" t="s">
        <v>4088</v>
      </c>
      <c r="C29" t="s">
        <v>13347</v>
      </c>
      <c r="D29" s="284" t="s">
        <v>13023</v>
      </c>
      <c r="E29" s="284" t="s">
        <v>13348</v>
      </c>
      <c r="F29" s="284" t="s">
        <v>13349</v>
      </c>
      <c r="G29" s="284" t="s">
        <v>13083</v>
      </c>
      <c r="H29" s="284" t="s">
        <v>13000</v>
      </c>
      <c r="I29" s="284" t="s">
        <v>13086</v>
      </c>
      <c r="J29" s="284" t="s">
        <v>13350</v>
      </c>
      <c r="K29" s="284" t="s">
        <v>13028</v>
      </c>
      <c r="L29" s="284" t="s">
        <v>13002</v>
      </c>
      <c r="M29" s="284" t="s">
        <v>13076</v>
      </c>
      <c r="N29" s="284" t="s">
        <v>13005</v>
      </c>
      <c r="O29" s="284" t="s">
        <v>13007</v>
      </c>
      <c r="P29" s="284" t="s">
        <v>13103</v>
      </c>
      <c r="Q29" s="284" t="s">
        <v>13008</v>
      </c>
      <c r="R29" s="284" t="s">
        <v>13104</v>
      </c>
      <c r="S29" s="284" t="s">
        <v>13090</v>
      </c>
      <c r="T29" s="284" t="s">
        <v>13039</v>
      </c>
      <c r="U29" s="284" t="s">
        <v>13078</v>
      </c>
      <c r="V29" s="284" t="s">
        <v>13009</v>
      </c>
      <c r="W29" s="284" t="s">
        <v>13041</v>
      </c>
      <c r="X29" s="284" t="s">
        <v>13106</v>
      </c>
      <c r="Y29" s="284" t="s">
        <v>13351</v>
      </c>
      <c r="Z29" s="284" t="s">
        <v>13108</v>
      </c>
      <c r="AA29" s="284"/>
      <c r="AB29" s="284"/>
      <c r="AC29" s="284"/>
      <c r="AD29" s="284"/>
      <c r="AE29" s="284"/>
      <c r="AF29" s="284"/>
      <c r="AG29" s="284"/>
      <c r="AH29" s="284"/>
      <c r="AI29" s="284"/>
      <c r="AJ29" s="284"/>
      <c r="AK29" s="284"/>
      <c r="AL29" s="284"/>
      <c r="AM29" s="284"/>
      <c r="AN29" s="284"/>
      <c r="AO29" s="284"/>
      <c r="AP29" s="284"/>
      <c r="AQ29" s="284"/>
      <c r="AR29" s="284"/>
      <c r="AS29" s="284"/>
      <c r="AT29" s="284"/>
      <c r="AU29" s="284"/>
      <c r="AV29" s="284"/>
      <c r="AW29" s="284"/>
      <c r="AX29" s="284"/>
      <c r="AY29" s="284"/>
      <c r="AZ29" s="284"/>
      <c r="BA29" s="284"/>
      <c r="BB29" s="284"/>
      <c r="BC29" s="284"/>
      <c r="BD29" s="284"/>
      <c r="BE29" s="284"/>
      <c r="BF29" s="284"/>
      <c r="BG29" s="284"/>
      <c r="BH29" s="284"/>
      <c r="BI29" s="284"/>
      <c r="BJ29" s="284"/>
      <c r="BK29" s="284"/>
      <c r="BL29" s="284"/>
      <c r="BM29" s="284"/>
      <c r="BN29" s="284"/>
      <c r="BO29" s="284"/>
      <c r="BP29" s="284"/>
      <c r="BQ29" s="284"/>
      <c r="BR29" s="284"/>
      <c r="BS29" s="284"/>
      <c r="BT29" s="284"/>
      <c r="BU29" s="284"/>
      <c r="BV29" s="284"/>
      <c r="BW29" s="284"/>
      <c r="BX29" s="284"/>
      <c r="BY29" s="284"/>
      <c r="BZ29" s="284"/>
      <c r="CA29" s="284"/>
      <c r="CB29" s="284"/>
      <c r="CC29" s="284"/>
      <c r="CD29" s="284"/>
      <c r="CE29" s="284"/>
      <c r="CF29" s="284"/>
      <c r="CG29" s="284"/>
    </row>
    <row r="30" spans="1:85" x14ac:dyDescent="0.35">
      <c r="A30" s="284" t="s">
        <v>1968</v>
      </c>
      <c r="B30" s="284" t="s">
        <v>1969</v>
      </c>
      <c r="C30" t="s">
        <v>13352</v>
      </c>
      <c r="D30" s="284" t="s">
        <v>13353</v>
      </c>
      <c r="E30" s="284" t="s">
        <v>13023</v>
      </c>
      <c r="F30" s="284" t="s">
        <v>13082</v>
      </c>
      <c r="G30" s="284" t="s">
        <v>13354</v>
      </c>
      <c r="H30" s="284" t="s">
        <v>13065</v>
      </c>
      <c r="I30" s="284" t="s">
        <v>13355</v>
      </c>
      <c r="J30" s="284" t="s">
        <v>13356</v>
      </c>
      <c r="K30" s="284" t="s">
        <v>13357</v>
      </c>
      <c r="L30" s="284" t="s">
        <v>13358</v>
      </c>
      <c r="M30" s="284" t="s">
        <v>13000</v>
      </c>
      <c r="N30" s="284" t="s">
        <v>13119</v>
      </c>
      <c r="O30" s="284" t="s">
        <v>13049</v>
      </c>
      <c r="P30" s="284" t="s">
        <v>13027</v>
      </c>
      <c r="Q30" s="284" t="s">
        <v>13359</v>
      </c>
      <c r="R30" s="284" t="s">
        <v>13002</v>
      </c>
      <c r="S30" s="284" t="s">
        <v>13004</v>
      </c>
      <c r="T30" s="284" t="s">
        <v>13125</v>
      </c>
      <c r="U30" s="284" t="s">
        <v>13178</v>
      </c>
      <c r="V30" s="284" t="s">
        <v>13076</v>
      </c>
      <c r="W30" s="284" t="s">
        <v>13005</v>
      </c>
      <c r="X30" s="284" t="s">
        <v>13029</v>
      </c>
      <c r="Y30" s="284" t="s">
        <v>13006</v>
      </c>
      <c r="Z30" s="284" t="s">
        <v>13007</v>
      </c>
      <c r="AA30" s="284" t="s">
        <v>13054</v>
      </c>
      <c r="AB30" s="284" t="s">
        <v>13008</v>
      </c>
      <c r="AC30" s="284" t="s">
        <v>13077</v>
      </c>
      <c r="AD30" s="284" t="s">
        <v>13133</v>
      </c>
      <c r="AE30" s="284" t="s">
        <v>13033</v>
      </c>
      <c r="AF30" s="284" t="s">
        <v>13360</v>
      </c>
      <c r="AG30" s="284" t="s">
        <v>13037</v>
      </c>
      <c r="AH30" s="284" t="s">
        <v>13091</v>
      </c>
      <c r="AI30" s="284" t="s">
        <v>13009</v>
      </c>
      <c r="AJ30" s="284" t="s">
        <v>13056</v>
      </c>
      <c r="AK30" s="284" t="s">
        <v>13010</v>
      </c>
      <c r="AL30" s="284" t="s">
        <v>13011</v>
      </c>
      <c r="AM30" s="284" t="s">
        <v>13041</v>
      </c>
      <c r="AN30" s="284" t="s">
        <v>13306</v>
      </c>
      <c r="AO30" s="284" t="s">
        <v>13012</v>
      </c>
      <c r="AP30" s="284" t="s">
        <v>13361</v>
      </c>
      <c r="AQ30" s="284" t="s">
        <v>13362</v>
      </c>
      <c r="AR30" s="284" t="s">
        <v>13220</v>
      </c>
      <c r="AS30" s="284" t="s">
        <v>13013</v>
      </c>
      <c r="AT30" s="284" t="s">
        <v>13014</v>
      </c>
      <c r="AU30" s="284" t="s">
        <v>13042</v>
      </c>
      <c r="AV30" s="284" t="s">
        <v>13363</v>
      </c>
      <c r="AW30" s="284" t="s">
        <v>13016</v>
      </c>
      <c r="AX30" s="284" t="s">
        <v>13017</v>
      </c>
      <c r="AY30" s="284" t="s">
        <v>13364</v>
      </c>
      <c r="AZ30" s="284"/>
      <c r="BA30" s="284"/>
      <c r="BB30" s="284"/>
      <c r="BC30" s="284"/>
      <c r="BD30" s="284"/>
      <c r="BE30" s="284"/>
      <c r="BF30" s="284"/>
      <c r="BG30" s="284"/>
      <c r="BH30" s="284"/>
      <c r="BI30" s="284"/>
      <c r="BJ30" s="284"/>
      <c r="BK30" s="284"/>
      <c r="BL30" s="284"/>
      <c r="BM30" s="284"/>
      <c r="BN30" s="284"/>
      <c r="BO30" s="284"/>
      <c r="BP30" s="284"/>
      <c r="BQ30" s="284"/>
      <c r="BR30" s="284"/>
      <c r="BS30" s="284"/>
      <c r="BT30" s="284"/>
      <c r="BU30" s="284"/>
      <c r="BV30" s="284"/>
      <c r="BW30" s="284"/>
      <c r="BX30" s="284"/>
      <c r="BY30" s="284"/>
      <c r="BZ30" s="284"/>
      <c r="CA30" s="284"/>
      <c r="CB30" s="284"/>
      <c r="CC30" s="284"/>
      <c r="CD30" s="284"/>
      <c r="CE30" s="284"/>
      <c r="CF30" s="284"/>
      <c r="CG30" s="284"/>
    </row>
    <row r="31" spans="1:85" x14ac:dyDescent="0.35">
      <c r="A31" s="284" t="s">
        <v>1225</v>
      </c>
      <c r="B31" s="284" t="s">
        <v>1226</v>
      </c>
      <c r="C31" t="s">
        <v>13365</v>
      </c>
      <c r="D31" s="284" t="s">
        <v>13182</v>
      </c>
      <c r="E31" s="284" t="s">
        <v>13167</v>
      </c>
      <c r="F31" s="284" t="s">
        <v>13021</v>
      </c>
      <c r="G31" s="284" t="s">
        <v>13023</v>
      </c>
      <c r="H31" s="284" t="s">
        <v>13226</v>
      </c>
      <c r="I31" s="284" t="s">
        <v>13048</v>
      </c>
      <c r="J31" s="284" t="s">
        <v>13065</v>
      </c>
      <c r="K31" s="284" t="s">
        <v>13366</v>
      </c>
      <c r="L31" s="284" t="s">
        <v>13184</v>
      </c>
      <c r="M31" s="284" t="s">
        <v>13367</v>
      </c>
      <c r="N31" s="284" t="s">
        <v>13368</v>
      </c>
      <c r="O31" s="284" t="s">
        <v>13235</v>
      </c>
      <c r="P31" s="284" t="s">
        <v>13369</v>
      </c>
      <c r="Q31" s="284" t="s">
        <v>13000</v>
      </c>
      <c r="R31" s="284" t="s">
        <v>13186</v>
      </c>
      <c r="S31" s="284" t="s">
        <v>13119</v>
      </c>
      <c r="T31" s="284" t="s">
        <v>13187</v>
      </c>
      <c r="U31" s="284" t="s">
        <v>13168</v>
      </c>
      <c r="V31" s="284" t="s">
        <v>13027</v>
      </c>
      <c r="W31" s="284" t="s">
        <v>13243</v>
      </c>
      <c r="X31" s="284" t="s">
        <v>13189</v>
      </c>
      <c r="Y31" s="284" t="s">
        <v>13001</v>
      </c>
      <c r="Z31" s="284" t="s">
        <v>13028</v>
      </c>
      <c r="AA31" s="284" t="s">
        <v>13002</v>
      </c>
      <c r="AB31" s="284" t="s">
        <v>13003</v>
      </c>
      <c r="AC31" s="284" t="s">
        <v>13066</v>
      </c>
      <c r="AD31" s="284" t="s">
        <v>13170</v>
      </c>
      <c r="AE31" s="284" t="s">
        <v>13370</v>
      </c>
      <c r="AF31" s="284" t="s">
        <v>13190</v>
      </c>
      <c r="AG31" s="284" t="s">
        <v>13029</v>
      </c>
      <c r="AH31" s="284" t="s">
        <v>13191</v>
      </c>
      <c r="AI31" s="284" t="s">
        <v>13007</v>
      </c>
      <c r="AJ31" s="284" t="s">
        <v>13193</v>
      </c>
      <c r="AK31" s="284" t="s">
        <v>13371</v>
      </c>
      <c r="AL31" s="284" t="s">
        <v>13033</v>
      </c>
      <c r="AM31" s="284" t="s">
        <v>13034</v>
      </c>
      <c r="AN31" s="284" t="s">
        <v>13038</v>
      </c>
      <c r="AO31" s="284" t="s">
        <v>13078</v>
      </c>
      <c r="AP31" s="284" t="s">
        <v>13009</v>
      </c>
      <c r="AQ31" s="284" t="s">
        <v>13372</v>
      </c>
      <c r="AR31" s="284" t="s">
        <v>13373</v>
      </c>
      <c r="AS31" s="284" t="s">
        <v>13058</v>
      </c>
      <c r="AT31" s="284" t="s">
        <v>13306</v>
      </c>
      <c r="AU31" s="284" t="s">
        <v>13205</v>
      </c>
      <c r="AV31" s="284" t="s">
        <v>13012</v>
      </c>
      <c r="AW31" s="284" t="s">
        <v>13206</v>
      </c>
      <c r="AX31" s="284" t="s">
        <v>13014</v>
      </c>
      <c r="AY31" s="284" t="s">
        <v>13042</v>
      </c>
      <c r="AZ31" s="284" t="s">
        <v>13374</v>
      </c>
      <c r="BA31" s="284" t="s">
        <v>13174</v>
      </c>
      <c r="BB31" s="284" t="s">
        <v>13375</v>
      </c>
      <c r="BC31" s="284"/>
      <c r="BD31" s="284"/>
      <c r="BE31" s="284"/>
      <c r="BF31" s="284"/>
      <c r="BG31" s="284"/>
      <c r="BH31" s="284"/>
      <c r="BI31" s="284"/>
      <c r="BJ31" s="284"/>
      <c r="BK31" s="284"/>
      <c r="BL31" s="284"/>
      <c r="BM31" s="284"/>
      <c r="BN31" s="284"/>
      <c r="BO31" s="284"/>
      <c r="BP31" s="284"/>
      <c r="BQ31" s="284"/>
      <c r="BR31" s="284"/>
      <c r="BS31" s="284"/>
      <c r="BT31" s="284"/>
      <c r="BU31" s="284"/>
      <c r="BV31" s="284"/>
      <c r="BW31" s="284"/>
      <c r="BX31" s="284"/>
      <c r="BY31" s="284"/>
      <c r="BZ31" s="284"/>
      <c r="CA31" s="284"/>
      <c r="CB31" s="284"/>
      <c r="CC31" s="284"/>
      <c r="CD31" s="284"/>
      <c r="CE31" s="284"/>
      <c r="CF31" s="284"/>
      <c r="CG31" s="284"/>
    </row>
    <row r="32" spans="1:85" x14ac:dyDescent="0.35">
      <c r="A32" s="284" t="s">
        <v>7040</v>
      </c>
      <c r="B32" s="284" t="s">
        <v>7041</v>
      </c>
      <c r="C32" t="s">
        <v>13376</v>
      </c>
      <c r="D32" s="284" t="s">
        <v>13021</v>
      </c>
      <c r="E32" s="284" t="s">
        <v>13330</v>
      </c>
      <c r="F32" s="284" t="s">
        <v>13000</v>
      </c>
      <c r="G32" s="284" t="s">
        <v>13084</v>
      </c>
      <c r="H32" s="284" t="s">
        <v>13087</v>
      </c>
      <c r="I32" s="284" t="s">
        <v>13027</v>
      </c>
      <c r="J32" s="284" t="s">
        <v>13002</v>
      </c>
      <c r="K32" s="284" t="s">
        <v>13003</v>
      </c>
      <c r="L32" s="284" t="s">
        <v>13178</v>
      </c>
      <c r="M32" s="284" t="s">
        <v>13076</v>
      </c>
      <c r="N32" s="284" t="s">
        <v>13331</v>
      </c>
      <c r="O32" s="284" t="s">
        <v>13029</v>
      </c>
      <c r="P32" s="284" t="s">
        <v>13008</v>
      </c>
      <c r="Q32" s="284" t="s">
        <v>13077</v>
      </c>
      <c r="R32" s="284" t="s">
        <v>13033</v>
      </c>
      <c r="S32" s="284" t="s">
        <v>13034</v>
      </c>
      <c r="T32" s="284" t="s">
        <v>13036</v>
      </c>
      <c r="U32" s="284" t="s">
        <v>13090</v>
      </c>
      <c r="V32" s="284" t="s">
        <v>13038</v>
      </c>
      <c r="W32" s="284" t="s">
        <v>13039</v>
      </c>
      <c r="X32" s="284" t="s">
        <v>13091</v>
      </c>
      <c r="Y32" s="284" t="s">
        <v>13041</v>
      </c>
      <c r="Z32" s="284" t="s">
        <v>13014</v>
      </c>
      <c r="AA32" s="284" t="s">
        <v>13165</v>
      </c>
      <c r="AB32" s="284" t="s">
        <v>13332</v>
      </c>
      <c r="AC32" s="284"/>
      <c r="AD32" s="284"/>
      <c r="AE32" s="284"/>
      <c r="AF32" s="284"/>
      <c r="AG32" s="284"/>
      <c r="AH32" s="284"/>
      <c r="AI32" s="284"/>
      <c r="AJ32" s="284"/>
      <c r="AK32" s="284"/>
      <c r="AL32" s="284"/>
      <c r="AM32" s="284"/>
      <c r="AN32" s="284"/>
      <c r="AO32" s="284"/>
      <c r="AP32" s="284"/>
      <c r="AQ32" s="284"/>
      <c r="AR32" s="284"/>
      <c r="AS32" s="284"/>
      <c r="AT32" s="284"/>
      <c r="AU32" s="284"/>
      <c r="AV32" s="284"/>
      <c r="AW32" s="284"/>
      <c r="AX32" s="284"/>
      <c r="AY32" s="284"/>
      <c r="AZ32" s="284"/>
      <c r="BA32" s="284"/>
      <c r="BB32" s="284"/>
      <c r="BC32" s="284"/>
      <c r="BD32" s="284"/>
      <c r="BE32" s="284"/>
      <c r="BF32" s="284"/>
      <c r="BG32" s="284"/>
      <c r="BH32" s="284"/>
      <c r="BI32" s="284"/>
      <c r="BJ32" s="284"/>
      <c r="BK32" s="284"/>
      <c r="BL32" s="284"/>
      <c r="BM32" s="284"/>
      <c r="BN32" s="284"/>
      <c r="BO32" s="284"/>
      <c r="BP32" s="284"/>
      <c r="BQ32" s="284"/>
      <c r="BR32" s="284"/>
      <c r="BS32" s="284"/>
      <c r="BT32" s="284"/>
      <c r="BU32" s="284"/>
      <c r="BV32" s="284"/>
      <c r="BW32" s="284"/>
      <c r="BX32" s="284"/>
      <c r="BY32" s="284"/>
      <c r="BZ32" s="284"/>
      <c r="CA32" s="284"/>
      <c r="CB32" s="284"/>
      <c r="CC32" s="284"/>
      <c r="CD32" s="284"/>
      <c r="CE32" s="284"/>
      <c r="CF32" s="284"/>
      <c r="CG32" s="284"/>
    </row>
    <row r="33" spans="1:85" x14ac:dyDescent="0.35">
      <c r="A33" s="284" t="s">
        <v>11397</v>
      </c>
      <c r="B33" s="284" t="s">
        <v>11398</v>
      </c>
      <c r="C33" s="284" t="s">
        <v>13377</v>
      </c>
      <c r="D33" s="284" t="s">
        <v>13110</v>
      </c>
      <c r="E33" s="284" t="s">
        <v>13072</v>
      </c>
      <c r="F33" s="284" t="s">
        <v>13021</v>
      </c>
      <c r="G33" s="284" t="s">
        <v>13378</v>
      </c>
      <c r="H33" s="284" t="s">
        <v>13023</v>
      </c>
      <c r="I33" s="284" t="s">
        <v>13379</v>
      </c>
      <c r="J33" s="284" t="s">
        <v>13065</v>
      </c>
      <c r="K33" s="284" t="s">
        <v>13114</v>
      </c>
      <c r="L33" s="284" t="s">
        <v>13380</v>
      </c>
      <c r="M33" s="284" t="s">
        <v>13381</v>
      </c>
      <c r="N33" s="284" t="s">
        <v>13382</v>
      </c>
      <c r="O33" s="284" t="s">
        <v>13358</v>
      </c>
      <c r="P33" s="284" t="s">
        <v>13211</v>
      </c>
      <c r="Q33" s="284" t="s">
        <v>13000</v>
      </c>
      <c r="R33" s="284" t="s">
        <v>13098</v>
      </c>
      <c r="S33" s="284" t="s">
        <v>13383</v>
      </c>
      <c r="T33" s="284" t="s">
        <v>13384</v>
      </c>
      <c r="U33" s="284" t="s">
        <v>13385</v>
      </c>
      <c r="V33" s="284" t="s">
        <v>13027</v>
      </c>
      <c r="W33" s="284" t="s">
        <v>13001</v>
      </c>
      <c r="X33" s="284" t="s">
        <v>13215</v>
      </c>
      <c r="Y33" s="284" t="s">
        <v>13002</v>
      </c>
      <c r="Z33" s="284" t="s">
        <v>13003</v>
      </c>
      <c r="AA33" s="284" t="s">
        <v>13004</v>
      </c>
      <c r="AB33" s="284" t="s">
        <v>13216</v>
      </c>
      <c r="AC33" s="284" t="s">
        <v>13178</v>
      </c>
      <c r="AD33" s="284" t="s">
        <v>13076</v>
      </c>
      <c r="AE33" s="284" t="s">
        <v>13005</v>
      </c>
      <c r="AF33" s="284" t="s">
        <v>13101</v>
      </c>
      <c r="AG33" s="284" t="s">
        <v>13029</v>
      </c>
      <c r="AH33" s="284" t="s">
        <v>13006</v>
      </c>
      <c r="AI33" s="284" t="s">
        <v>13007</v>
      </c>
      <c r="AJ33" s="284" t="s">
        <v>13103</v>
      </c>
      <c r="AK33" s="284" t="s">
        <v>13054</v>
      </c>
      <c r="AL33" s="284" t="s">
        <v>13340</v>
      </c>
      <c r="AM33" s="284" t="s">
        <v>13008</v>
      </c>
      <c r="AN33" s="284" t="s">
        <v>13104</v>
      </c>
      <c r="AO33" s="284" t="s">
        <v>13218</v>
      </c>
      <c r="AP33" s="284" t="s">
        <v>13386</v>
      </c>
      <c r="AQ33" s="284" t="s">
        <v>13387</v>
      </c>
      <c r="AR33" s="284" t="s">
        <v>13388</v>
      </c>
      <c r="AS33" s="284" t="s">
        <v>13389</v>
      </c>
      <c r="AT33" s="284" t="s">
        <v>13037</v>
      </c>
      <c r="AU33" s="284" t="s">
        <v>13038</v>
      </c>
      <c r="AV33" s="284" t="s">
        <v>13039</v>
      </c>
      <c r="AW33" s="284" t="s">
        <v>13009</v>
      </c>
      <c r="AX33" s="284" t="s">
        <v>13011</v>
      </c>
      <c r="AY33" s="284" t="s">
        <v>13390</v>
      </c>
      <c r="AZ33" s="284" t="s">
        <v>13391</v>
      </c>
      <c r="BA33" s="284" t="s">
        <v>13014</v>
      </c>
      <c r="BB33" s="284" t="s">
        <v>13042</v>
      </c>
      <c r="BC33" s="284" t="s">
        <v>13062</v>
      </c>
      <c r="BD33" s="284" t="s">
        <v>13392</v>
      </c>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c r="CC33" s="284"/>
      <c r="CD33" s="284"/>
      <c r="CE33" s="284"/>
      <c r="CF33" s="284"/>
    </row>
    <row r="34" spans="1:85" x14ac:dyDescent="0.35">
      <c r="A34" s="284" t="s">
        <v>9195</v>
      </c>
      <c r="B34" s="284" t="s">
        <v>9196</v>
      </c>
      <c r="C34" t="s">
        <v>13021</v>
      </c>
      <c r="D34" s="284" t="s">
        <v>13022</v>
      </c>
      <c r="E34" s="284" t="s">
        <v>13235</v>
      </c>
      <c r="F34" s="284" t="s">
        <v>13236</v>
      </c>
      <c r="G34" s="284" t="s">
        <v>13393</v>
      </c>
      <c r="H34" s="284" t="s">
        <v>13237</v>
      </c>
      <c r="I34" s="284" t="s">
        <v>13000</v>
      </c>
      <c r="J34" s="284" t="s">
        <v>13099</v>
      </c>
      <c r="K34" s="284" t="s">
        <v>13027</v>
      </c>
      <c r="L34" s="284" t="s">
        <v>13243</v>
      </c>
      <c r="M34" s="284" t="s">
        <v>13149</v>
      </c>
      <c r="N34" s="284" t="s">
        <v>13003</v>
      </c>
      <c r="O34" s="284" t="s">
        <v>13066</v>
      </c>
      <c r="P34" s="284" t="s">
        <v>13248</v>
      </c>
      <c r="Q34" s="284" t="s">
        <v>13035</v>
      </c>
      <c r="R34" s="284" t="s">
        <v>13036</v>
      </c>
      <c r="S34" s="284" t="s">
        <v>13394</v>
      </c>
      <c r="T34" s="284" t="s">
        <v>13011</v>
      </c>
      <c r="U34" s="284" t="s">
        <v>13012</v>
      </c>
      <c r="V34" s="284" t="s">
        <v>13267</v>
      </c>
      <c r="W34" s="284"/>
      <c r="X34" s="284"/>
      <c r="Y34" s="284"/>
      <c r="Z34" s="284"/>
      <c r="AA34" s="284"/>
      <c r="AB34" s="284"/>
      <c r="AC34" s="284"/>
      <c r="AD34" s="284"/>
      <c r="AE34" s="284"/>
      <c r="AF34" s="284"/>
      <c r="AG34" s="284"/>
      <c r="AH34" s="284"/>
      <c r="AI34" s="284"/>
      <c r="AJ34" s="284"/>
      <c r="AK34" s="284"/>
      <c r="AL34" s="284"/>
      <c r="AM34" s="284"/>
      <c r="AN34" s="284"/>
      <c r="AO34" s="284"/>
      <c r="AP34" s="284"/>
      <c r="AQ34" s="284"/>
      <c r="AR34" s="284"/>
      <c r="AS34" s="284"/>
      <c r="AT34" s="284"/>
      <c r="AU34" s="284"/>
      <c r="AV34" s="284"/>
      <c r="AW34" s="284"/>
      <c r="AX34" s="284"/>
      <c r="AY34" s="284"/>
      <c r="AZ34" s="284"/>
      <c r="BA34" s="284"/>
      <c r="BB34" s="284"/>
      <c r="BC34" s="284"/>
      <c r="BD34" s="284"/>
      <c r="BE34" s="284"/>
      <c r="BF34" s="284"/>
      <c r="BG34" s="284"/>
      <c r="BH34" s="284"/>
      <c r="BI34" s="284"/>
      <c r="BJ34" s="284"/>
      <c r="BK34" s="284"/>
      <c r="BL34" s="284"/>
      <c r="BM34" s="284"/>
      <c r="BN34" s="284"/>
      <c r="BO34" s="284"/>
      <c r="BP34" s="284"/>
      <c r="BQ34" s="284"/>
      <c r="BR34" s="284"/>
      <c r="BS34" s="284"/>
      <c r="BT34" s="284"/>
      <c r="BU34" s="284"/>
      <c r="BV34" s="284"/>
      <c r="BW34" s="284"/>
      <c r="BX34" s="284"/>
      <c r="BY34" s="284"/>
      <c r="BZ34" s="284"/>
      <c r="CA34" s="284"/>
      <c r="CB34" s="284"/>
      <c r="CC34" s="284"/>
      <c r="CD34" s="284"/>
      <c r="CE34" s="284"/>
      <c r="CF34" s="284"/>
      <c r="CG34" s="284"/>
    </row>
    <row r="35" spans="1:85" x14ac:dyDescent="0.35">
      <c r="A35" s="284" t="s">
        <v>5191</v>
      </c>
      <c r="B35" s="284" t="s">
        <v>5192</v>
      </c>
      <c r="C35" s="284" t="s">
        <v>13022</v>
      </c>
      <c r="D35" s="284" t="s">
        <v>13023</v>
      </c>
      <c r="E35" s="284" t="s">
        <v>13348</v>
      </c>
      <c r="F35" s="284" t="s">
        <v>13000</v>
      </c>
      <c r="G35" s="284" t="s">
        <v>13050</v>
      </c>
      <c r="H35" s="284" t="s">
        <v>13199</v>
      </c>
      <c r="I35" s="284" t="s">
        <v>13002</v>
      </c>
      <c r="J35" s="284" t="s">
        <v>13169</v>
      </c>
      <c r="K35" s="284" t="s">
        <v>13005</v>
      </c>
      <c r="L35" s="284" t="s">
        <v>13006</v>
      </c>
      <c r="M35" s="284" t="s">
        <v>13103</v>
      </c>
      <c r="N35" s="284" t="s">
        <v>13054</v>
      </c>
      <c r="O35" s="284" t="s">
        <v>13131</v>
      </c>
      <c r="P35" s="284" t="s">
        <v>13135</v>
      </c>
      <c r="Q35" s="284" t="s">
        <v>13104</v>
      </c>
      <c r="R35" s="284" t="s">
        <v>13009</v>
      </c>
      <c r="S35" s="284" t="s">
        <v>13203</v>
      </c>
      <c r="T35" s="284" t="s">
        <v>13011</v>
      </c>
      <c r="U35" s="284" t="s">
        <v>13395</v>
      </c>
      <c r="V35" s="284"/>
      <c r="W35" s="284"/>
      <c r="X35" s="284"/>
      <c r="Y35" s="284"/>
      <c r="Z35" s="284"/>
      <c r="AA35" s="284"/>
      <c r="AB35" s="284"/>
      <c r="AC35" s="284"/>
      <c r="AD35" s="284"/>
      <c r="AE35" s="284"/>
      <c r="AF35" s="284"/>
      <c r="AG35" s="284"/>
      <c r="AH35" s="284"/>
      <c r="AI35" s="284"/>
      <c r="AJ35" s="284"/>
      <c r="AK35" s="284"/>
      <c r="AL35" s="284"/>
      <c r="AM35" s="284"/>
      <c r="AN35" s="284"/>
      <c r="AO35" s="284"/>
      <c r="AP35" s="284"/>
      <c r="AQ35" s="284"/>
      <c r="AR35" s="284"/>
      <c r="AS35" s="284"/>
      <c r="AT35" s="284"/>
      <c r="AU35" s="284"/>
      <c r="AV35" s="284"/>
      <c r="AW35" s="284"/>
      <c r="AX35" s="284"/>
      <c r="AY35" s="284"/>
      <c r="AZ35" s="284"/>
      <c r="BA35" s="284"/>
      <c r="BB35" s="284"/>
      <c r="BC35" s="284"/>
      <c r="BD35" s="284"/>
      <c r="BE35" s="284"/>
      <c r="BF35" s="284"/>
      <c r="BG35" s="284"/>
      <c r="BH35" s="284"/>
      <c r="BI35" s="284"/>
      <c r="BJ35" s="284"/>
      <c r="BK35" s="284"/>
      <c r="BL35" s="284"/>
      <c r="BM35" s="284"/>
      <c r="BN35" s="284"/>
      <c r="BO35" s="284"/>
      <c r="BP35" s="284"/>
      <c r="BQ35" s="284"/>
      <c r="BR35" s="284"/>
      <c r="BS35" s="284"/>
      <c r="BT35" s="284"/>
      <c r="BU35" s="284"/>
      <c r="BV35" s="284"/>
      <c r="BW35" s="284"/>
      <c r="BX35" s="284"/>
      <c r="BY35" s="284"/>
      <c r="BZ35" s="284"/>
      <c r="CA35" s="284"/>
      <c r="CB35" s="284"/>
      <c r="CC35" s="284"/>
      <c r="CD35" s="284"/>
      <c r="CE35" s="284"/>
      <c r="CF35" s="284"/>
    </row>
    <row r="36" spans="1:85" x14ac:dyDescent="0.35">
      <c r="A36" s="284" t="s">
        <v>7376</v>
      </c>
      <c r="B36" s="284" t="s">
        <v>7377</v>
      </c>
      <c r="C36" s="284" t="s">
        <v>13396</v>
      </c>
      <c r="D36" s="284" t="s">
        <v>13072</v>
      </c>
      <c r="E36" s="284" t="s">
        <v>13021</v>
      </c>
      <c r="F36" s="284" t="s">
        <v>13022</v>
      </c>
      <c r="G36" s="284" t="s">
        <v>13023</v>
      </c>
      <c r="H36" s="284" t="s">
        <v>13024</v>
      </c>
      <c r="I36" s="284" t="s">
        <v>13025</v>
      </c>
      <c r="J36" s="284" t="s">
        <v>13026</v>
      </c>
      <c r="K36" s="284" t="s">
        <v>13271</v>
      </c>
      <c r="L36" s="284" t="s">
        <v>13027</v>
      </c>
      <c r="M36" s="284" t="s">
        <v>13028</v>
      </c>
      <c r="N36" s="284" t="s">
        <v>13067</v>
      </c>
      <c r="O36" s="284" t="s">
        <v>13006</v>
      </c>
      <c r="P36" s="284" t="s">
        <v>13248</v>
      </c>
      <c r="Q36" s="284" t="s">
        <v>13030</v>
      </c>
      <c r="R36" s="284" t="s">
        <v>13055</v>
      </c>
      <c r="S36" s="284" t="s">
        <v>13033</v>
      </c>
      <c r="T36" s="284" t="s">
        <v>13034</v>
      </c>
      <c r="U36" s="284" t="s">
        <v>13035</v>
      </c>
      <c r="V36" s="284" t="s">
        <v>13036</v>
      </c>
      <c r="W36" s="284" t="s">
        <v>13070</v>
      </c>
      <c r="X36" s="284"/>
      <c r="Y36" s="284"/>
      <c r="Z36" s="284"/>
      <c r="AA36" s="284"/>
      <c r="AB36" s="284"/>
      <c r="AC36" s="284"/>
      <c r="AD36" s="284"/>
      <c r="AE36" s="284"/>
      <c r="AF36" s="284"/>
      <c r="AG36" s="284"/>
      <c r="AH36" s="284"/>
      <c r="AI36" s="284"/>
      <c r="AJ36" s="284"/>
      <c r="AK36" s="284"/>
      <c r="AL36" s="284"/>
      <c r="AM36" s="284"/>
      <c r="AN36" s="284"/>
      <c r="AO36" s="284"/>
      <c r="AP36" s="284"/>
      <c r="AQ36" s="284"/>
      <c r="AR36" s="284"/>
      <c r="AS36" s="284"/>
      <c r="AT36" s="284"/>
      <c r="AU36" s="284"/>
      <c r="AV36" s="284"/>
      <c r="AW36" s="284"/>
      <c r="AX36" s="284"/>
      <c r="AY36" s="284"/>
      <c r="AZ36" s="284"/>
      <c r="BA36" s="284"/>
      <c r="BB36" s="284"/>
      <c r="BC36" s="284"/>
      <c r="BD36" s="284"/>
      <c r="BE36" s="284"/>
      <c r="BF36" s="284"/>
      <c r="BG36" s="284"/>
      <c r="BH36" s="284"/>
      <c r="BI36" s="284"/>
      <c r="BJ36" s="284"/>
      <c r="BK36" s="284"/>
      <c r="BL36" s="284"/>
      <c r="BM36" s="284"/>
      <c r="BN36" s="284"/>
      <c r="BO36" s="284"/>
      <c r="BP36" s="284"/>
      <c r="BQ36" s="284"/>
      <c r="BR36" s="284"/>
      <c r="BS36" s="284"/>
      <c r="BT36" s="284"/>
      <c r="BU36" s="284"/>
      <c r="BV36" s="284"/>
      <c r="BW36" s="284"/>
      <c r="BX36" s="284"/>
      <c r="BY36" s="284"/>
      <c r="BZ36" s="284"/>
      <c r="CA36" s="284"/>
      <c r="CB36" s="284"/>
      <c r="CC36" s="284"/>
      <c r="CD36" s="284"/>
      <c r="CE36" s="284"/>
      <c r="CF36" s="284"/>
    </row>
    <row r="37" spans="1:85" x14ac:dyDescent="0.35">
      <c r="A37" s="284" t="s">
        <v>2631</v>
      </c>
      <c r="B37" s="284" t="s">
        <v>2632</v>
      </c>
      <c r="C37" t="s">
        <v>13308</v>
      </c>
      <c r="D37" s="284" t="s">
        <v>13166</v>
      </c>
      <c r="E37" s="284" t="s">
        <v>13046</v>
      </c>
      <c r="F37" s="284" t="s">
        <v>13167</v>
      </c>
      <c r="G37" s="284" t="s">
        <v>13021</v>
      </c>
      <c r="H37" s="284" t="s">
        <v>13022</v>
      </c>
      <c r="I37" s="284" t="s">
        <v>13023</v>
      </c>
      <c r="J37" s="284" t="s">
        <v>13235</v>
      </c>
      <c r="K37" s="284" t="s">
        <v>13000</v>
      </c>
      <c r="L37" s="284" t="s">
        <v>13119</v>
      </c>
      <c r="M37" s="284" t="s">
        <v>13074</v>
      </c>
      <c r="N37" s="284" t="s">
        <v>13397</v>
      </c>
      <c r="O37" s="284" t="s">
        <v>13027</v>
      </c>
      <c r="P37" s="284" t="s">
        <v>13243</v>
      </c>
      <c r="Q37" s="284" t="s">
        <v>13398</v>
      </c>
      <c r="R37" s="284" t="s">
        <v>13050</v>
      </c>
      <c r="S37" s="284" t="s">
        <v>13028</v>
      </c>
      <c r="T37" s="284" t="s">
        <v>13199</v>
      </c>
      <c r="U37" s="284" t="s">
        <v>13399</v>
      </c>
      <c r="V37" s="284" t="s">
        <v>13002</v>
      </c>
      <c r="W37" s="284" t="s">
        <v>13003</v>
      </c>
      <c r="X37" s="284" t="s">
        <v>13169</v>
      </c>
      <c r="Y37" s="284" t="s">
        <v>13051</v>
      </c>
      <c r="Z37" s="284" t="s">
        <v>13005</v>
      </c>
      <c r="AA37" s="284" t="s">
        <v>13400</v>
      </c>
      <c r="AB37" s="284" t="s">
        <v>13006</v>
      </c>
      <c r="AC37" s="284" t="s">
        <v>13007</v>
      </c>
      <c r="AD37" s="284" t="s">
        <v>13054</v>
      </c>
      <c r="AE37" s="284" t="s">
        <v>13131</v>
      </c>
      <c r="AF37" s="284" t="s">
        <v>13008</v>
      </c>
      <c r="AG37" s="284" t="s">
        <v>13135</v>
      </c>
      <c r="AH37" s="284" t="s">
        <v>13055</v>
      </c>
      <c r="AI37" s="284" t="s">
        <v>13104</v>
      </c>
      <c r="AJ37" s="284" t="s">
        <v>13033</v>
      </c>
      <c r="AK37" s="284" t="s">
        <v>13034</v>
      </c>
      <c r="AL37" s="284" t="s">
        <v>13036</v>
      </c>
      <c r="AM37" s="284" t="s">
        <v>13401</v>
      </c>
      <c r="AN37" s="284" t="s">
        <v>13037</v>
      </c>
      <c r="AO37" s="284" t="s">
        <v>13402</v>
      </c>
      <c r="AP37" s="284" t="s">
        <v>13038</v>
      </c>
      <c r="AQ37" s="284" t="s">
        <v>13039</v>
      </c>
      <c r="AR37" s="284" t="s">
        <v>13078</v>
      </c>
      <c r="AS37" s="284" t="s">
        <v>13091</v>
      </c>
      <c r="AT37" s="284" t="s">
        <v>13009</v>
      </c>
      <c r="AU37" s="284" t="s">
        <v>13403</v>
      </c>
      <c r="AV37" s="284" t="s">
        <v>13011</v>
      </c>
      <c r="AW37" s="284" t="s">
        <v>13058</v>
      </c>
      <c r="AX37" s="284" t="s">
        <v>13041</v>
      </c>
      <c r="AY37" s="284" t="s">
        <v>13012</v>
      </c>
      <c r="AZ37" s="284" t="s">
        <v>13404</v>
      </c>
      <c r="BA37" s="284" t="s">
        <v>13405</v>
      </c>
      <c r="BB37" s="284" t="s">
        <v>13206</v>
      </c>
      <c r="BC37" s="284" t="s">
        <v>13014</v>
      </c>
      <c r="BD37" s="284" t="s">
        <v>13042</v>
      </c>
      <c r="BE37" s="284" t="s">
        <v>13174</v>
      </c>
      <c r="BF37" s="284" t="s">
        <v>13395</v>
      </c>
      <c r="BG37" s="284" t="s">
        <v>13222</v>
      </c>
      <c r="BH37" s="284" t="s">
        <v>13016</v>
      </c>
      <c r="BI37" s="284" t="s">
        <v>13144</v>
      </c>
      <c r="BJ37" s="284" t="s">
        <v>13207</v>
      </c>
      <c r="BK37" s="284"/>
      <c r="BL37" s="284"/>
      <c r="BM37" s="284"/>
      <c r="BN37" s="284"/>
      <c r="BO37" s="284"/>
      <c r="BP37" s="284"/>
      <c r="BQ37" s="284"/>
      <c r="BR37" s="284"/>
      <c r="BS37" s="284"/>
      <c r="BT37" s="284"/>
      <c r="BU37" s="284"/>
      <c r="BV37" s="284"/>
      <c r="BW37" s="284"/>
      <c r="BX37" s="284"/>
      <c r="BY37" s="284"/>
      <c r="BZ37" s="284"/>
      <c r="CA37" s="284"/>
      <c r="CB37" s="284"/>
      <c r="CC37" s="284"/>
      <c r="CD37" s="284"/>
      <c r="CE37" s="284"/>
      <c r="CF37" s="284"/>
      <c r="CG37" s="284"/>
    </row>
    <row r="38" spans="1:85" x14ac:dyDescent="0.35">
      <c r="A38" s="284" t="s">
        <v>5917</v>
      </c>
      <c r="B38" s="284" t="s">
        <v>5918</v>
      </c>
      <c r="C38" s="284" t="s">
        <v>13406</v>
      </c>
      <c r="D38" s="284" t="s">
        <v>13312</v>
      </c>
      <c r="E38" s="284" t="s">
        <v>13072</v>
      </c>
      <c r="F38" s="284" t="s">
        <v>13023</v>
      </c>
      <c r="G38" s="284" t="s">
        <v>13407</v>
      </c>
      <c r="H38" s="284" t="s">
        <v>13273</v>
      </c>
      <c r="I38" s="284" t="s">
        <v>13408</v>
      </c>
      <c r="J38" s="284" t="s">
        <v>13238</v>
      </c>
      <c r="K38" s="284" t="s">
        <v>13085</v>
      </c>
      <c r="L38" s="284" t="s">
        <v>13049</v>
      </c>
      <c r="M38" s="284" t="s">
        <v>13148</v>
      </c>
      <c r="N38" s="284" t="s">
        <v>13149</v>
      </c>
      <c r="O38" s="284" t="s">
        <v>13028</v>
      </c>
      <c r="P38" s="284" t="s">
        <v>13003</v>
      </c>
      <c r="Q38" s="284" t="s">
        <v>13066</v>
      </c>
      <c r="R38" s="284" t="s">
        <v>13284</v>
      </c>
      <c r="S38" s="284" t="s">
        <v>13292</v>
      </c>
      <c r="T38" s="284" t="s">
        <v>13276</v>
      </c>
      <c r="U38" s="284" t="s">
        <v>13033</v>
      </c>
      <c r="V38" s="284" t="s">
        <v>13034</v>
      </c>
      <c r="W38" s="284" t="s">
        <v>13036</v>
      </c>
      <c r="X38" s="284" t="s">
        <v>13277</v>
      </c>
      <c r="Y38" s="284" t="s">
        <v>13091</v>
      </c>
      <c r="Z38" s="284" t="s">
        <v>13154</v>
      </c>
      <c r="AA38" s="284" t="s">
        <v>13286</v>
      </c>
      <c r="AB38" s="284"/>
      <c r="AC38" s="284"/>
      <c r="AD38" s="284"/>
      <c r="AE38" s="284"/>
      <c r="AF38" s="284"/>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c r="CE38" s="284"/>
      <c r="CF38" s="284"/>
    </row>
    <row r="39" spans="1:85" x14ac:dyDescent="0.35">
      <c r="A39" s="284" t="s">
        <v>9726</v>
      </c>
      <c r="B39" s="284" t="s">
        <v>9727</v>
      </c>
      <c r="C39" t="s">
        <v>13409</v>
      </c>
      <c r="D39" s="284" t="s">
        <v>13020</v>
      </c>
      <c r="E39" s="284" t="s">
        <v>13410</v>
      </c>
      <c r="F39" s="284" t="s">
        <v>13023</v>
      </c>
      <c r="G39" s="284" t="s">
        <v>13289</v>
      </c>
      <c r="H39" s="284" t="s">
        <v>13407</v>
      </c>
      <c r="I39" s="284" t="s">
        <v>13238</v>
      </c>
      <c r="J39" s="284" t="s">
        <v>13085</v>
      </c>
      <c r="K39" s="284" t="s">
        <v>13099</v>
      </c>
      <c r="L39" s="284" t="s">
        <v>13411</v>
      </c>
      <c r="M39" s="284" t="s">
        <v>13027</v>
      </c>
      <c r="N39" s="284" t="s">
        <v>13148</v>
      </c>
      <c r="O39" s="284" t="s">
        <v>13149</v>
      </c>
      <c r="P39" s="284" t="s">
        <v>13003</v>
      </c>
      <c r="Q39" s="284" t="s">
        <v>13066</v>
      </c>
      <c r="R39" s="284" t="s">
        <v>13290</v>
      </c>
      <c r="S39" s="284" t="s">
        <v>13291</v>
      </c>
      <c r="T39" s="284" t="s">
        <v>13412</v>
      </c>
      <c r="U39" s="284" t="s">
        <v>13413</v>
      </c>
      <c r="V39" s="284" t="s">
        <v>13249</v>
      </c>
      <c r="W39" s="284" t="s">
        <v>13284</v>
      </c>
      <c r="X39" s="284" t="s">
        <v>13276</v>
      </c>
      <c r="Y39" s="284" t="s">
        <v>13032</v>
      </c>
      <c r="Z39" s="284" t="s">
        <v>13033</v>
      </c>
      <c r="AA39" s="284" t="s">
        <v>13034</v>
      </c>
      <c r="AB39" s="284" t="s">
        <v>13414</v>
      </c>
      <c r="AC39" s="284" t="s">
        <v>13036</v>
      </c>
      <c r="AD39" s="284" t="s">
        <v>13277</v>
      </c>
      <c r="AE39" s="284" t="s">
        <v>13037</v>
      </c>
      <c r="AF39" s="284" t="s">
        <v>13009</v>
      </c>
      <c r="AG39" s="284" t="s">
        <v>13415</v>
      </c>
      <c r="AH39" s="284" t="s">
        <v>13014</v>
      </c>
      <c r="AI39" s="284" t="s">
        <v>13042</v>
      </c>
      <c r="AJ39" s="284" t="s">
        <v>13416</v>
      </c>
      <c r="AK39" s="284" t="s">
        <v>13286</v>
      </c>
      <c r="AL39" s="284"/>
      <c r="AM39" s="284"/>
      <c r="AN39" s="284"/>
      <c r="AO39" s="284"/>
      <c r="AP39" s="284"/>
      <c r="AQ39" s="284"/>
      <c r="AR39" s="284"/>
      <c r="AS39" s="284"/>
      <c r="AT39" s="284"/>
      <c r="AU39" s="284"/>
      <c r="AV39" s="284"/>
      <c r="AW39" s="284"/>
      <c r="AX39" s="284"/>
      <c r="AY39" s="284"/>
      <c r="AZ39" s="284"/>
      <c r="BA39" s="284"/>
      <c r="BB39" s="284"/>
      <c r="BC39" s="284"/>
      <c r="BD39" s="284"/>
      <c r="BE39" s="284"/>
      <c r="BF39" s="284"/>
      <c r="BG39" s="284"/>
      <c r="BH39" s="284"/>
      <c r="BI39" s="284"/>
      <c r="BJ39" s="284"/>
      <c r="BK39" s="284"/>
      <c r="BL39" s="284"/>
      <c r="BM39" s="284"/>
      <c r="BN39" s="284"/>
      <c r="BO39" s="284"/>
      <c r="BP39" s="284"/>
      <c r="BQ39" s="284"/>
      <c r="BR39" s="284"/>
      <c r="BS39" s="284"/>
      <c r="BT39" s="284"/>
      <c r="BU39" s="284"/>
      <c r="BV39" s="284"/>
      <c r="BW39" s="284"/>
      <c r="BX39" s="284"/>
      <c r="BY39" s="284"/>
      <c r="BZ39" s="284"/>
      <c r="CA39" s="284"/>
      <c r="CB39" s="284"/>
      <c r="CC39" s="284"/>
      <c r="CD39" s="284"/>
      <c r="CE39" s="284"/>
      <c r="CF39" s="284"/>
      <c r="CG39" s="284"/>
    </row>
    <row r="40" spans="1:85" x14ac:dyDescent="0.35">
      <c r="A40" s="284" t="s">
        <v>10977</v>
      </c>
      <c r="B40" s="284" t="s">
        <v>10978</v>
      </c>
      <c r="C40" t="s">
        <v>13312</v>
      </c>
      <c r="D40" s="284" t="s">
        <v>13072</v>
      </c>
      <c r="E40" s="284" t="s">
        <v>13023</v>
      </c>
      <c r="F40" s="284" t="s">
        <v>13113</v>
      </c>
      <c r="G40" s="284" t="s">
        <v>13147</v>
      </c>
      <c r="H40" s="284" t="s">
        <v>13065</v>
      </c>
      <c r="I40" s="284" t="s">
        <v>13417</v>
      </c>
      <c r="J40" s="284" t="s">
        <v>13418</v>
      </c>
      <c r="K40" s="284" t="s">
        <v>13320</v>
      </c>
      <c r="L40" s="284" t="s">
        <v>13321</v>
      </c>
      <c r="M40" s="284" t="s">
        <v>13238</v>
      </c>
      <c r="N40" s="284" t="s">
        <v>13419</v>
      </c>
      <c r="O40" s="284" t="s">
        <v>13027</v>
      </c>
      <c r="P40" s="284" t="s">
        <v>13028</v>
      </c>
      <c r="Q40" s="284" t="s">
        <v>13150</v>
      </c>
      <c r="R40" s="284" t="s">
        <v>13160</v>
      </c>
      <c r="S40" s="284" t="s">
        <v>13002</v>
      </c>
      <c r="T40" s="284" t="s">
        <v>13003</v>
      </c>
      <c r="U40" s="284" t="s">
        <v>13420</v>
      </c>
      <c r="V40" s="284" t="s">
        <v>13066</v>
      </c>
      <c r="W40" s="284" t="s">
        <v>13421</v>
      </c>
      <c r="X40" s="284" t="s">
        <v>13249</v>
      </c>
      <c r="Y40" s="284" t="s">
        <v>13033</v>
      </c>
      <c r="Z40" s="284" t="s">
        <v>13034</v>
      </c>
      <c r="AA40" s="284" t="s">
        <v>13091</v>
      </c>
      <c r="AB40" s="284" t="s">
        <v>13009</v>
      </c>
      <c r="AC40" s="284" t="s">
        <v>13012</v>
      </c>
      <c r="AD40" s="284" t="s">
        <v>13285</v>
      </c>
      <c r="AE40" s="284" t="s">
        <v>13014</v>
      </c>
      <c r="AF40" s="284" t="s">
        <v>13042</v>
      </c>
      <c r="AG40" s="284" t="s">
        <v>13422</v>
      </c>
      <c r="AH40" s="284" t="s">
        <v>13154</v>
      </c>
      <c r="AI40" s="284" t="s">
        <v>13157</v>
      </c>
      <c r="AJ40" s="284" t="s">
        <v>13286</v>
      </c>
      <c r="AK40" s="284"/>
      <c r="AL40" s="284"/>
      <c r="AM40" s="284"/>
      <c r="AN40" s="284"/>
      <c r="AO40" s="284"/>
      <c r="AP40" s="284"/>
      <c r="AQ40" s="284"/>
      <c r="AR40" s="284"/>
      <c r="AS40" s="284"/>
      <c r="AT40" s="284"/>
      <c r="AU40" s="284"/>
      <c r="AV40" s="284"/>
      <c r="AW40" s="284"/>
      <c r="AX40" s="284"/>
      <c r="AY40" s="284"/>
      <c r="AZ40" s="284"/>
      <c r="BA40" s="284"/>
      <c r="BB40" s="284"/>
      <c r="BC40" s="284"/>
      <c r="BD40" s="284"/>
      <c r="BE40" s="284"/>
      <c r="BF40" s="284"/>
      <c r="BG40" s="284"/>
      <c r="BH40" s="284"/>
      <c r="BI40" s="284"/>
      <c r="BJ40" s="284"/>
      <c r="BK40" s="284"/>
      <c r="BL40" s="284"/>
      <c r="BM40" s="284"/>
      <c r="BN40" s="284"/>
      <c r="BO40" s="284"/>
      <c r="BP40" s="284"/>
      <c r="BQ40" s="284"/>
      <c r="BR40" s="284"/>
      <c r="BS40" s="284"/>
      <c r="BT40" s="284"/>
      <c r="BU40" s="284"/>
      <c r="BV40" s="284"/>
      <c r="BW40" s="284"/>
      <c r="BX40" s="284"/>
      <c r="BY40" s="284"/>
      <c r="BZ40" s="284"/>
      <c r="CA40" s="284"/>
      <c r="CB40" s="284"/>
      <c r="CC40" s="284"/>
      <c r="CD40" s="284"/>
      <c r="CE40" s="284"/>
      <c r="CF40" s="284"/>
      <c r="CG40" s="284"/>
    </row>
    <row r="41" spans="1:85" x14ac:dyDescent="0.35">
      <c r="A41" s="284" t="s">
        <v>2923</v>
      </c>
      <c r="B41" s="284" t="s">
        <v>2924</v>
      </c>
      <c r="C41" s="284" t="s">
        <v>13423</v>
      </c>
      <c r="D41" s="284" t="s">
        <v>13023</v>
      </c>
      <c r="E41" s="284" t="s">
        <v>13424</v>
      </c>
      <c r="F41" s="284" t="s">
        <v>13425</v>
      </c>
      <c r="G41" s="284" t="s">
        <v>13000</v>
      </c>
      <c r="H41" s="284" t="s">
        <v>13085</v>
      </c>
      <c r="I41" s="284" t="s">
        <v>13087</v>
      </c>
      <c r="J41" s="284" t="s">
        <v>13026</v>
      </c>
      <c r="K41" s="284" t="s">
        <v>13050</v>
      </c>
      <c r="L41" s="284" t="s">
        <v>13028</v>
      </c>
      <c r="M41" s="284" t="s">
        <v>13003</v>
      </c>
      <c r="N41" s="284" t="s">
        <v>13426</v>
      </c>
      <c r="O41" s="284" t="s">
        <v>13005</v>
      </c>
      <c r="P41" s="284" t="s">
        <v>13006</v>
      </c>
      <c r="Q41" s="284" t="s">
        <v>13008</v>
      </c>
      <c r="R41" s="284" t="s">
        <v>13133</v>
      </c>
      <c r="S41" s="284" t="s">
        <v>13089</v>
      </c>
      <c r="T41" s="284" t="s">
        <v>13427</v>
      </c>
      <c r="U41" s="284" t="s">
        <v>13104</v>
      </c>
      <c r="V41" s="284" t="s">
        <v>13034</v>
      </c>
      <c r="W41" s="284" t="s">
        <v>13039</v>
      </c>
      <c r="X41" s="284" t="s">
        <v>13091</v>
      </c>
      <c r="Y41" s="284" t="s">
        <v>13009</v>
      </c>
      <c r="Z41" s="284" t="s">
        <v>13041</v>
      </c>
      <c r="AA41" s="284" t="s">
        <v>13012</v>
      </c>
      <c r="AB41" s="284" t="s">
        <v>13428</v>
      </c>
      <c r="AC41" s="284" t="s">
        <v>13429</v>
      </c>
      <c r="AD41" s="284" t="s">
        <v>13165</v>
      </c>
      <c r="AE41" s="284" t="s">
        <v>13042</v>
      </c>
      <c r="AF41" s="284" t="s">
        <v>13430</v>
      </c>
      <c r="AG41" s="284" t="s">
        <v>13416</v>
      </c>
      <c r="AH41" s="284" t="s">
        <v>13207</v>
      </c>
      <c r="AI41" s="284"/>
      <c r="AJ41" s="284"/>
      <c r="AK41" s="284"/>
      <c r="AL41" s="284"/>
      <c r="AM41" s="284"/>
      <c r="AN41" s="284"/>
      <c r="AO41" s="284"/>
      <c r="AP41" s="284"/>
      <c r="AQ41" s="284"/>
      <c r="AR41" s="284"/>
      <c r="AS41" s="284"/>
      <c r="AT41" s="284"/>
      <c r="AU41" s="284"/>
      <c r="AV41" s="284"/>
      <c r="AW41" s="284"/>
      <c r="AX41" s="284"/>
      <c r="AY41" s="284"/>
      <c r="AZ41" s="284"/>
      <c r="BA41" s="284"/>
      <c r="BB41" s="284"/>
      <c r="BC41" s="284"/>
      <c r="BD41" s="284"/>
      <c r="BE41" s="284"/>
      <c r="BF41" s="284"/>
      <c r="BG41" s="284"/>
      <c r="BH41" s="284"/>
      <c r="BI41" s="284"/>
      <c r="BJ41" s="284"/>
      <c r="BK41" s="284"/>
      <c r="BL41" s="284"/>
      <c r="BM41" s="284"/>
      <c r="BN41" s="284"/>
      <c r="BO41" s="284"/>
      <c r="BP41" s="284"/>
      <c r="BQ41" s="284"/>
      <c r="BR41" s="284"/>
      <c r="BS41" s="284"/>
      <c r="BT41" s="284"/>
      <c r="BU41" s="284"/>
      <c r="BV41" s="284"/>
      <c r="BW41" s="284"/>
      <c r="BX41" s="284"/>
      <c r="BY41" s="284"/>
      <c r="BZ41" s="284"/>
      <c r="CA41" s="284"/>
      <c r="CB41" s="284"/>
      <c r="CC41" s="284"/>
      <c r="CD41" s="284"/>
      <c r="CE41" s="284"/>
      <c r="CF41" s="284"/>
    </row>
    <row r="42" spans="1:85" x14ac:dyDescent="0.35">
      <c r="A42" s="284" t="s">
        <v>11439</v>
      </c>
      <c r="B42" s="284" t="s">
        <v>11440</v>
      </c>
      <c r="C42" t="s">
        <v>13431</v>
      </c>
      <c r="D42" s="284" t="s">
        <v>13110</v>
      </c>
      <c r="E42" s="284" t="s">
        <v>13308</v>
      </c>
      <c r="F42" s="284" t="s">
        <v>13432</v>
      </c>
      <c r="G42" s="284" t="s">
        <v>13112</v>
      </c>
      <c r="H42" s="284" t="s">
        <v>13433</v>
      </c>
      <c r="I42" s="284" t="s">
        <v>13318</v>
      </c>
      <c r="J42" s="284" t="s">
        <v>13000</v>
      </c>
      <c r="K42" s="284" t="s">
        <v>13212</v>
      </c>
      <c r="L42" s="284" t="s">
        <v>13434</v>
      </c>
      <c r="M42" s="284" t="s">
        <v>13001</v>
      </c>
      <c r="N42" s="284" t="s">
        <v>13435</v>
      </c>
      <c r="O42" s="284" t="s">
        <v>13436</v>
      </c>
      <c r="P42" s="284" t="s">
        <v>13337</v>
      </c>
      <c r="Q42" s="284" t="s">
        <v>13124</v>
      </c>
      <c r="R42" s="284" t="s">
        <v>13437</v>
      </c>
      <c r="S42" s="284" t="s">
        <v>13005</v>
      </c>
      <c r="T42" s="284" t="s">
        <v>13102</v>
      </c>
      <c r="U42" s="284" t="s">
        <v>13438</v>
      </c>
      <c r="V42" s="284" t="s">
        <v>13103</v>
      </c>
      <c r="W42" s="284" t="s">
        <v>13054</v>
      </c>
      <c r="X42" s="284" t="s">
        <v>13129</v>
      </c>
      <c r="Y42" s="284" t="s">
        <v>13130</v>
      </c>
      <c r="Z42" s="284" t="s">
        <v>13341</v>
      </c>
      <c r="AA42" s="284" t="s">
        <v>13133</v>
      </c>
      <c r="AB42" s="284" t="s">
        <v>13055</v>
      </c>
      <c r="AC42" s="284" t="s">
        <v>13104</v>
      </c>
      <c r="AD42" s="284" t="s">
        <v>13033</v>
      </c>
      <c r="AE42" s="284" t="s">
        <v>13078</v>
      </c>
      <c r="AF42" s="284" t="s">
        <v>13009</v>
      </c>
      <c r="AG42" s="284" t="s">
        <v>13343</v>
      </c>
      <c r="AH42" s="284" t="s">
        <v>13439</v>
      </c>
      <c r="AI42" s="284" t="s">
        <v>13440</v>
      </c>
      <c r="AJ42" s="284" t="s">
        <v>13441</v>
      </c>
      <c r="AK42" s="284" t="s">
        <v>13011</v>
      </c>
      <c r="AL42" s="284" t="s">
        <v>13058</v>
      </c>
      <c r="AM42" s="284" t="s">
        <v>13442</v>
      </c>
      <c r="AN42" s="284" t="s">
        <v>13443</v>
      </c>
      <c r="AO42" s="284" t="s">
        <v>13306</v>
      </c>
      <c r="AP42" s="284" t="s">
        <v>13138</v>
      </c>
      <c r="AQ42" s="284" t="s">
        <v>13014</v>
      </c>
      <c r="AR42" s="284" t="s">
        <v>13141</v>
      </c>
      <c r="AS42" s="284" t="s">
        <v>13042</v>
      </c>
      <c r="AT42" s="284" t="s">
        <v>13345</v>
      </c>
      <c r="AU42" s="284" t="s">
        <v>13444</v>
      </c>
      <c r="AV42" s="284"/>
      <c r="AW42" s="284"/>
      <c r="AX42" s="284"/>
      <c r="AY42" s="284"/>
      <c r="AZ42" s="284"/>
      <c r="BA42" s="284"/>
      <c r="BB42" s="284"/>
      <c r="BC42" s="284"/>
      <c r="BD42" s="284"/>
      <c r="BE42" s="284"/>
      <c r="BF42" s="284"/>
      <c r="BG42" s="284"/>
      <c r="BH42" s="284"/>
      <c r="BI42" s="284"/>
      <c r="BJ42" s="284"/>
      <c r="BK42" s="284"/>
      <c r="BL42" s="284"/>
      <c r="BM42" s="284"/>
      <c r="BN42" s="284"/>
      <c r="BO42" s="284"/>
      <c r="BP42" s="284"/>
      <c r="BQ42" s="284"/>
      <c r="BR42" s="284"/>
      <c r="BS42" s="284"/>
      <c r="BT42" s="284"/>
      <c r="BU42" s="284"/>
      <c r="BV42" s="284"/>
      <c r="BW42" s="284"/>
      <c r="BX42" s="284"/>
      <c r="BY42" s="284"/>
      <c r="BZ42" s="284"/>
      <c r="CA42" s="284"/>
      <c r="CB42" s="284"/>
      <c r="CC42" s="284"/>
      <c r="CD42" s="284"/>
      <c r="CE42" s="284"/>
      <c r="CF42" s="284"/>
      <c r="CG42" s="284"/>
    </row>
    <row r="43" spans="1:85" x14ac:dyDescent="0.35">
      <c r="A43" s="284" t="s">
        <v>7794</v>
      </c>
      <c r="B43" s="284" t="s">
        <v>7795</v>
      </c>
      <c r="C43" t="s">
        <v>13445</v>
      </c>
      <c r="D43" s="284" t="s">
        <v>13020</v>
      </c>
      <c r="E43" s="284" t="s">
        <v>13021</v>
      </c>
      <c r="F43" s="284" t="s">
        <v>13022</v>
      </c>
      <c r="G43" s="284" t="s">
        <v>13023</v>
      </c>
      <c r="H43" s="284" t="s">
        <v>13446</v>
      </c>
      <c r="I43" s="284" t="s">
        <v>13065</v>
      </c>
      <c r="J43" s="284" t="s">
        <v>13447</v>
      </c>
      <c r="K43" s="284" t="s">
        <v>13235</v>
      </c>
      <c r="L43" s="284" t="s">
        <v>13237</v>
      </c>
      <c r="M43" s="284" t="s">
        <v>13000</v>
      </c>
      <c r="N43" s="284" t="s">
        <v>13243</v>
      </c>
      <c r="O43" s="284" t="s">
        <v>13028</v>
      </c>
      <c r="P43" s="284" t="s">
        <v>13448</v>
      </c>
      <c r="Q43" s="284" t="s">
        <v>13003</v>
      </c>
      <c r="R43" s="284" t="s">
        <v>13066</v>
      </c>
      <c r="S43" s="284" t="s">
        <v>13400</v>
      </c>
      <c r="T43" s="284" t="s">
        <v>13248</v>
      </c>
      <c r="U43" s="284" t="s">
        <v>13008</v>
      </c>
      <c r="V43" s="284" t="s">
        <v>13077</v>
      </c>
      <c r="W43" s="284" t="s">
        <v>13035</v>
      </c>
      <c r="X43" s="284" t="s">
        <v>13038</v>
      </c>
      <c r="Y43" s="284" t="s">
        <v>13009</v>
      </c>
      <c r="Z43" s="284" t="s">
        <v>13449</v>
      </c>
      <c r="AA43" s="284" t="s">
        <v>13450</v>
      </c>
      <c r="AB43" s="284" t="s">
        <v>13451</v>
      </c>
      <c r="AC43" s="284" t="s">
        <v>13264</v>
      </c>
      <c r="AD43" s="284" t="s">
        <v>13267</v>
      </c>
      <c r="AE43" s="284"/>
      <c r="AF43" s="284"/>
      <c r="AG43" s="284"/>
      <c r="AH43" s="284"/>
      <c r="AI43" s="284"/>
      <c r="AJ43" s="284"/>
      <c r="AK43" s="284"/>
      <c r="AL43" s="284"/>
      <c r="AM43" s="284"/>
      <c r="AN43" s="284"/>
      <c r="AO43" s="284"/>
      <c r="AP43" s="284"/>
      <c r="AQ43" s="284"/>
      <c r="AR43" s="284"/>
      <c r="AS43" s="284"/>
      <c r="AT43" s="284"/>
      <c r="AU43" s="284"/>
      <c r="AV43" s="284"/>
      <c r="AW43" s="284"/>
      <c r="AX43" s="284"/>
      <c r="AY43" s="284"/>
      <c r="AZ43" s="284"/>
      <c r="BA43" s="284"/>
      <c r="BB43" s="284"/>
      <c r="BC43" s="284"/>
      <c r="BD43" s="284"/>
      <c r="BE43" s="284"/>
      <c r="BF43" s="284"/>
      <c r="BG43" s="284"/>
      <c r="BH43" s="284"/>
      <c r="BI43" s="284"/>
      <c r="BJ43" s="284"/>
      <c r="BK43" s="284"/>
      <c r="BL43" s="284"/>
      <c r="BM43" s="284"/>
      <c r="BN43" s="284"/>
      <c r="BO43" s="284"/>
      <c r="BP43" s="284"/>
      <c r="BQ43" s="284"/>
      <c r="BR43" s="284"/>
      <c r="BS43" s="284"/>
      <c r="BT43" s="284"/>
      <c r="BU43" s="284"/>
      <c r="BV43" s="284"/>
      <c r="BW43" s="284"/>
      <c r="BX43" s="284"/>
      <c r="BY43" s="284"/>
      <c r="BZ43" s="284"/>
      <c r="CA43" s="284"/>
      <c r="CB43" s="284"/>
      <c r="CC43" s="284"/>
      <c r="CD43" s="284"/>
      <c r="CE43" s="284"/>
      <c r="CF43" s="284"/>
      <c r="CG43" s="284"/>
    </row>
    <row r="44" spans="1:85" x14ac:dyDescent="0.35">
      <c r="A44" s="284" t="s">
        <v>5467</v>
      </c>
      <c r="B44" s="284" t="s">
        <v>5468</v>
      </c>
      <c r="C44" t="s">
        <v>13452</v>
      </c>
      <c r="D44" s="284" t="s">
        <v>13021</v>
      </c>
      <c r="E44" s="284" t="s">
        <v>13023</v>
      </c>
      <c r="F44" s="284" t="s">
        <v>13212</v>
      </c>
      <c r="G44" s="284" t="s">
        <v>13049</v>
      </c>
      <c r="H44" s="284" t="s">
        <v>13453</v>
      </c>
      <c r="I44" s="284" t="s">
        <v>13454</v>
      </c>
      <c r="J44" s="284" t="s">
        <v>13027</v>
      </c>
      <c r="K44" s="284" t="s">
        <v>13075</v>
      </c>
      <c r="L44" s="284" t="s">
        <v>13028</v>
      </c>
      <c r="M44" s="284" t="s">
        <v>13160</v>
      </c>
      <c r="N44" s="284" t="s">
        <v>13002</v>
      </c>
      <c r="O44" s="284" t="s">
        <v>13003</v>
      </c>
      <c r="P44" s="284" t="s">
        <v>13004</v>
      </c>
      <c r="Q44" s="284" t="s">
        <v>13066</v>
      </c>
      <c r="R44" s="284" t="s">
        <v>13005</v>
      </c>
      <c r="S44" s="284" t="s">
        <v>13029</v>
      </c>
      <c r="T44" s="284" t="s">
        <v>13007</v>
      </c>
      <c r="U44" s="284" t="s">
        <v>13008</v>
      </c>
      <c r="V44" s="284" t="s">
        <v>13077</v>
      </c>
      <c r="W44" s="284" t="s">
        <v>13455</v>
      </c>
      <c r="X44" s="284" t="s">
        <v>13033</v>
      </c>
      <c r="Y44" s="284" t="s">
        <v>13034</v>
      </c>
      <c r="Z44" s="284" t="s">
        <v>13009</v>
      </c>
      <c r="AA44" s="284" t="s">
        <v>13011</v>
      </c>
      <c r="AB44" s="284" t="s">
        <v>13106</v>
      </c>
      <c r="AC44" s="284" t="s">
        <v>13456</v>
      </c>
      <c r="AD44" s="284" t="s">
        <v>13042</v>
      </c>
      <c r="AE44" s="284" t="s">
        <v>13079</v>
      </c>
      <c r="AF44" s="284" t="s">
        <v>13457</v>
      </c>
      <c r="AG44" s="284" t="s">
        <v>13080</v>
      </c>
      <c r="AH44" s="284" t="s">
        <v>13016</v>
      </c>
      <c r="AI44" s="284"/>
      <c r="AJ44" s="284"/>
      <c r="AK44" s="284"/>
      <c r="AL44" s="284"/>
      <c r="AM44" s="284"/>
      <c r="AN44" s="284"/>
      <c r="AO44" s="284"/>
      <c r="AP44" s="284"/>
      <c r="AQ44" s="284"/>
      <c r="AR44" s="284"/>
      <c r="AS44" s="284"/>
      <c r="AT44" s="284"/>
      <c r="AU44" s="284"/>
      <c r="AV44" s="284"/>
      <c r="AW44" s="284"/>
      <c r="AX44" s="284"/>
      <c r="AY44" s="284"/>
      <c r="AZ44" s="284"/>
      <c r="BA44" s="284"/>
      <c r="BB44" s="284"/>
      <c r="BC44" s="284"/>
      <c r="BD44" s="284"/>
      <c r="BE44" s="284"/>
      <c r="BF44" s="284"/>
      <c r="BG44" s="284"/>
      <c r="BH44" s="284"/>
      <c r="BI44" s="284"/>
      <c r="BJ44" s="284"/>
      <c r="BK44" s="284"/>
      <c r="BL44" s="284"/>
      <c r="BM44" s="284"/>
      <c r="BN44" s="284"/>
      <c r="BO44" s="284"/>
      <c r="BP44" s="284"/>
      <c r="BQ44" s="284"/>
      <c r="BR44" s="284"/>
      <c r="BS44" s="284"/>
      <c r="BT44" s="284"/>
      <c r="BU44" s="284"/>
      <c r="BV44" s="284"/>
      <c r="BW44" s="284"/>
      <c r="BX44" s="284"/>
      <c r="BY44" s="284"/>
      <c r="BZ44" s="284"/>
      <c r="CA44" s="284"/>
      <c r="CB44" s="284"/>
      <c r="CC44" s="284"/>
      <c r="CD44" s="284"/>
      <c r="CE44" s="284"/>
      <c r="CF44" s="284"/>
      <c r="CG44" s="284"/>
    </row>
    <row r="45" spans="1:85" x14ac:dyDescent="0.35">
      <c r="A45" s="284" t="s">
        <v>4129</v>
      </c>
      <c r="B45" s="284" t="s">
        <v>4130</v>
      </c>
      <c r="C45" t="s">
        <v>13458</v>
      </c>
      <c r="D45" s="284" t="s">
        <v>13021</v>
      </c>
      <c r="E45" s="284" t="s">
        <v>13023</v>
      </c>
      <c r="F45" s="284" t="s">
        <v>13083</v>
      </c>
      <c r="G45" s="284" t="s">
        <v>13086</v>
      </c>
      <c r="H45" s="284" t="s">
        <v>13002</v>
      </c>
      <c r="I45" s="284" t="s">
        <v>13066</v>
      </c>
      <c r="J45" s="284" t="s">
        <v>13100</v>
      </c>
      <c r="K45" s="284" t="s">
        <v>13005</v>
      </c>
      <c r="L45" s="284" t="s">
        <v>13007</v>
      </c>
      <c r="M45" s="284" t="s">
        <v>13162</v>
      </c>
      <c r="N45" s="284" t="s">
        <v>13103</v>
      </c>
      <c r="O45" s="284" t="s">
        <v>13054</v>
      </c>
      <c r="P45" s="284" t="s">
        <v>13008</v>
      </c>
      <c r="Q45" s="284" t="s">
        <v>13133</v>
      </c>
      <c r="R45" s="284" t="s">
        <v>13459</v>
      </c>
      <c r="S45" s="284" t="s">
        <v>13104</v>
      </c>
      <c r="T45" s="284" t="s">
        <v>13033</v>
      </c>
      <c r="U45" s="284" t="s">
        <v>13090</v>
      </c>
      <c r="V45" s="284" t="s">
        <v>13011</v>
      </c>
      <c r="W45" s="284" t="s">
        <v>13106</v>
      </c>
      <c r="X45" s="284" t="s">
        <v>13460</v>
      </c>
      <c r="Y45" s="284" t="s">
        <v>13141</v>
      </c>
      <c r="Z45" s="284" t="s">
        <v>13165</v>
      </c>
      <c r="AA45" s="284" t="s">
        <v>13042</v>
      </c>
      <c r="AB45" s="284"/>
      <c r="AC45" s="284"/>
      <c r="AD45" s="284"/>
      <c r="AE45" s="284"/>
      <c r="AF45" s="284"/>
      <c r="AG45" s="284"/>
      <c r="AH45" s="284"/>
      <c r="AI45" s="284"/>
      <c r="AJ45" s="284"/>
      <c r="AK45" s="284"/>
      <c r="AL45" s="284"/>
      <c r="AM45" s="284"/>
      <c r="AN45" s="284"/>
      <c r="AO45" s="284"/>
      <c r="AP45" s="284"/>
      <c r="AQ45" s="284"/>
      <c r="AR45" s="284"/>
      <c r="AS45" s="284"/>
      <c r="AT45" s="284"/>
      <c r="AU45" s="284"/>
      <c r="AV45" s="284"/>
      <c r="AW45" s="284"/>
      <c r="AX45" s="284"/>
      <c r="AY45" s="284"/>
      <c r="AZ45" s="284"/>
      <c r="BA45" s="284"/>
      <c r="BB45" s="284"/>
      <c r="BC45" s="284"/>
      <c r="BD45" s="284"/>
      <c r="BE45" s="284"/>
      <c r="BF45" s="284"/>
      <c r="BG45" s="284"/>
      <c r="BH45" s="284"/>
      <c r="BI45" s="284"/>
      <c r="BJ45" s="284"/>
      <c r="BK45" s="284"/>
      <c r="BL45" s="284"/>
      <c r="BM45" s="284"/>
      <c r="BN45" s="284"/>
      <c r="BO45" s="284"/>
      <c r="BP45" s="284"/>
      <c r="BQ45" s="284"/>
      <c r="BR45" s="284"/>
      <c r="BS45" s="284"/>
      <c r="BT45" s="284"/>
      <c r="BU45" s="284"/>
      <c r="BV45" s="284"/>
      <c r="BW45" s="284"/>
      <c r="BX45" s="284"/>
      <c r="BY45" s="284"/>
      <c r="BZ45" s="284"/>
      <c r="CA45" s="284"/>
      <c r="CB45" s="284"/>
      <c r="CC45" s="284"/>
      <c r="CD45" s="284"/>
      <c r="CE45" s="284"/>
      <c r="CF45" s="284"/>
      <c r="CG45" s="284"/>
    </row>
    <row r="46" spans="1:85" x14ac:dyDescent="0.35">
      <c r="A46" s="284" t="s">
        <v>2463</v>
      </c>
      <c r="B46" s="284" t="s">
        <v>2464</v>
      </c>
      <c r="C46" s="284" t="s">
        <v>13461</v>
      </c>
      <c r="D46" s="284" t="s">
        <v>13072</v>
      </c>
      <c r="E46" s="284" t="s">
        <v>13021</v>
      </c>
      <c r="F46" s="284" t="s">
        <v>13022</v>
      </c>
      <c r="G46" s="284" t="s">
        <v>13023</v>
      </c>
      <c r="H46" s="284" t="s">
        <v>13000</v>
      </c>
      <c r="I46" s="284" t="s">
        <v>13198</v>
      </c>
      <c r="J46" s="284" t="s">
        <v>13119</v>
      </c>
      <c r="K46" s="284" t="s">
        <v>13397</v>
      </c>
      <c r="L46" s="284" t="s">
        <v>13462</v>
      </c>
      <c r="M46" s="284" t="s">
        <v>13027</v>
      </c>
      <c r="N46" s="284" t="s">
        <v>13001</v>
      </c>
      <c r="O46" s="284" t="s">
        <v>13028</v>
      </c>
      <c r="P46" s="284" t="s">
        <v>13199</v>
      </c>
      <c r="Q46" s="284" t="s">
        <v>13002</v>
      </c>
      <c r="R46" s="284" t="s">
        <v>13003</v>
      </c>
      <c r="S46" s="284" t="s">
        <v>13066</v>
      </c>
      <c r="T46" s="284" t="s">
        <v>13201</v>
      </c>
      <c r="U46" s="284" t="s">
        <v>13076</v>
      </c>
      <c r="V46" s="284" t="s">
        <v>13005</v>
      </c>
      <c r="W46" s="284" t="s">
        <v>13463</v>
      </c>
      <c r="X46" s="284" t="s">
        <v>13054</v>
      </c>
      <c r="Y46" s="284" t="s">
        <v>13008</v>
      </c>
      <c r="Z46" s="284" t="s">
        <v>13077</v>
      </c>
      <c r="AA46" s="284" t="s">
        <v>13135</v>
      </c>
      <c r="AB46" s="284" t="s">
        <v>13104</v>
      </c>
      <c r="AC46" s="284" t="s">
        <v>13033</v>
      </c>
      <c r="AD46" s="284" t="s">
        <v>13034</v>
      </c>
      <c r="AE46" s="284" t="s">
        <v>13037</v>
      </c>
      <c r="AF46" s="284" t="s">
        <v>13038</v>
      </c>
      <c r="AG46" s="284" t="s">
        <v>13039</v>
      </c>
      <c r="AH46" s="284" t="s">
        <v>13203</v>
      </c>
      <c r="AI46" s="284" t="s">
        <v>13092</v>
      </c>
      <c r="AJ46" s="284" t="s">
        <v>13058</v>
      </c>
      <c r="AK46" s="284" t="s">
        <v>13041</v>
      </c>
      <c r="AL46" s="284" t="s">
        <v>13205</v>
      </c>
      <c r="AM46" s="284" t="s">
        <v>13012</v>
      </c>
      <c r="AN46" s="284" t="s">
        <v>13138</v>
      </c>
      <c r="AO46" s="284" t="s">
        <v>13014</v>
      </c>
      <c r="AP46" s="284" t="s">
        <v>13042</v>
      </c>
      <c r="AQ46" s="284" t="s">
        <v>13395</v>
      </c>
      <c r="AR46" s="284" t="s">
        <v>13464</v>
      </c>
      <c r="AS46" s="284" t="s">
        <v>13207</v>
      </c>
      <c r="AT46" s="284"/>
      <c r="AU46" s="284"/>
      <c r="AV46" s="284"/>
      <c r="AW46" s="284"/>
      <c r="AX46" s="284"/>
      <c r="AY46" s="284"/>
      <c r="AZ46" s="284"/>
      <c r="BA46" s="284"/>
      <c r="BB46" s="284"/>
      <c r="BC46" s="284"/>
      <c r="BD46" s="284"/>
      <c r="BE46" s="284"/>
      <c r="BF46" s="284"/>
      <c r="BG46" s="284"/>
      <c r="BH46" s="284"/>
      <c r="BI46" s="284"/>
      <c r="BJ46" s="284"/>
      <c r="BK46" s="284"/>
      <c r="BL46" s="284"/>
      <c r="BM46" s="284"/>
      <c r="BN46" s="284"/>
      <c r="BO46" s="284"/>
      <c r="BP46" s="284"/>
      <c r="BQ46" s="284"/>
      <c r="BR46" s="284"/>
      <c r="BS46" s="284"/>
      <c r="BT46" s="284"/>
      <c r="BU46" s="284"/>
      <c r="BV46" s="284"/>
      <c r="BW46" s="284"/>
      <c r="BX46" s="284"/>
      <c r="BY46" s="284"/>
      <c r="BZ46" s="284"/>
      <c r="CA46" s="284"/>
      <c r="CB46" s="284"/>
      <c r="CC46" s="284"/>
      <c r="CD46" s="284"/>
      <c r="CE46" s="284"/>
      <c r="CF46" s="284"/>
    </row>
    <row r="47" spans="1:85" x14ac:dyDescent="0.35">
      <c r="A47" s="284" t="s">
        <v>6453</v>
      </c>
      <c r="B47" s="284" t="s">
        <v>6454</v>
      </c>
      <c r="C47" t="s">
        <v>13465</v>
      </c>
      <c r="D47" s="284" t="s">
        <v>13020</v>
      </c>
      <c r="E47" s="284" t="s">
        <v>13021</v>
      </c>
      <c r="F47" s="284" t="s">
        <v>13022</v>
      </c>
      <c r="G47" s="284" t="s">
        <v>13023</v>
      </c>
      <c r="H47" s="284" t="s">
        <v>13115</v>
      </c>
      <c r="I47" s="284" t="s">
        <v>13024</v>
      </c>
      <c r="J47" s="284" t="s">
        <v>13085</v>
      </c>
      <c r="K47" s="284" t="s">
        <v>13099</v>
      </c>
      <c r="L47" s="284" t="s">
        <v>13049</v>
      </c>
      <c r="M47" s="284" t="s">
        <v>13027</v>
      </c>
      <c r="N47" s="284" t="s">
        <v>13148</v>
      </c>
      <c r="O47" s="284" t="s">
        <v>13149</v>
      </c>
      <c r="P47" s="284" t="s">
        <v>13028</v>
      </c>
      <c r="Q47" s="284" t="s">
        <v>13003</v>
      </c>
      <c r="R47" s="284" t="s">
        <v>13066</v>
      </c>
      <c r="S47" s="284" t="s">
        <v>13029</v>
      </c>
      <c r="T47" s="284" t="s">
        <v>13006</v>
      </c>
      <c r="U47" s="284" t="s">
        <v>13248</v>
      </c>
      <c r="V47" s="284" t="s">
        <v>13030</v>
      </c>
      <c r="W47" s="284" t="s">
        <v>13055</v>
      </c>
      <c r="X47" s="284" t="s">
        <v>13033</v>
      </c>
      <c r="Y47" s="284" t="s">
        <v>13034</v>
      </c>
      <c r="Z47" s="284" t="s">
        <v>13035</v>
      </c>
      <c r="AA47" s="284" t="s">
        <v>13036</v>
      </c>
      <c r="AB47" s="284" t="s">
        <v>13037</v>
      </c>
      <c r="AC47" s="284" t="s">
        <v>13039</v>
      </c>
      <c r="AD47" s="284" t="s">
        <v>13041</v>
      </c>
      <c r="AE47" s="284" t="s">
        <v>13205</v>
      </c>
      <c r="AF47" s="284" t="s">
        <v>13012</v>
      </c>
      <c r="AG47" s="284" t="s">
        <v>13285</v>
      </c>
      <c r="AH47" s="284" t="s">
        <v>13466</v>
      </c>
      <c r="AI47" s="284" t="s">
        <v>13467</v>
      </c>
      <c r="AJ47" s="284" t="s">
        <v>13042</v>
      </c>
      <c r="AK47" s="284" t="s">
        <v>13222</v>
      </c>
      <c r="AL47" s="284" t="s">
        <v>13070</v>
      </c>
      <c r="AM47" s="284"/>
      <c r="AN47" s="284"/>
      <c r="AO47" s="284"/>
      <c r="AP47" s="284"/>
      <c r="AQ47" s="284"/>
      <c r="AR47" s="284"/>
      <c r="AS47" s="284"/>
      <c r="AT47" s="284"/>
      <c r="AU47" s="284"/>
      <c r="AV47" s="284"/>
      <c r="AW47" s="284"/>
      <c r="AX47" s="284"/>
      <c r="AY47" s="284"/>
      <c r="AZ47" s="284"/>
      <c r="BA47" s="284"/>
      <c r="BB47" s="284"/>
      <c r="BC47" s="284"/>
      <c r="BD47" s="284"/>
      <c r="BE47" s="284"/>
      <c r="BF47" s="284"/>
      <c r="BG47" s="284"/>
      <c r="BH47" s="284"/>
      <c r="BI47" s="284"/>
      <c r="BJ47" s="284"/>
      <c r="BK47" s="284"/>
      <c r="BL47" s="284"/>
      <c r="BM47" s="284"/>
      <c r="BN47" s="284"/>
      <c r="BO47" s="284"/>
      <c r="BP47" s="284"/>
      <c r="BQ47" s="284"/>
      <c r="BR47" s="284"/>
      <c r="BS47" s="284"/>
      <c r="BT47" s="284"/>
      <c r="BU47" s="284"/>
      <c r="BV47" s="284"/>
      <c r="BW47" s="284"/>
      <c r="BX47" s="284"/>
      <c r="BY47" s="284"/>
      <c r="BZ47" s="284"/>
      <c r="CA47" s="284"/>
      <c r="CB47" s="284"/>
      <c r="CC47" s="284"/>
      <c r="CD47" s="284"/>
      <c r="CE47" s="284"/>
      <c r="CF47" s="284"/>
      <c r="CG47" s="284"/>
    </row>
    <row r="48" spans="1:85" x14ac:dyDescent="0.35">
      <c r="A48" s="284" t="s">
        <v>4171</v>
      </c>
      <c r="B48" s="284" t="s">
        <v>4172</v>
      </c>
      <c r="C48" t="s">
        <v>13468</v>
      </c>
      <c r="D48" s="284" t="s">
        <v>13021</v>
      </c>
      <c r="E48" s="284" t="s">
        <v>13288</v>
      </c>
      <c r="F48" s="284" t="s">
        <v>13083</v>
      </c>
      <c r="G48" s="284" t="s">
        <v>13000</v>
      </c>
      <c r="H48" s="284" t="s">
        <v>13084</v>
      </c>
      <c r="I48" s="284" t="s">
        <v>13074</v>
      </c>
      <c r="J48" s="284" t="s">
        <v>13086</v>
      </c>
      <c r="K48" s="284" t="s">
        <v>13027</v>
      </c>
      <c r="L48" s="284" t="s">
        <v>13001</v>
      </c>
      <c r="M48" s="284" t="s">
        <v>13050</v>
      </c>
      <c r="N48" s="284" t="s">
        <v>13028</v>
      </c>
      <c r="O48" s="284" t="s">
        <v>13160</v>
      </c>
      <c r="P48" s="284" t="s">
        <v>13002</v>
      </c>
      <c r="Q48" s="284" t="s">
        <v>13178</v>
      </c>
      <c r="R48" s="284" t="s">
        <v>13076</v>
      </c>
      <c r="S48" s="284" t="s">
        <v>13005</v>
      </c>
      <c r="T48" s="284" t="s">
        <v>13029</v>
      </c>
      <c r="U48" s="284" t="s">
        <v>13400</v>
      </c>
      <c r="V48" s="284" t="s">
        <v>13006</v>
      </c>
      <c r="W48" s="284" t="s">
        <v>13007</v>
      </c>
      <c r="X48" s="284" t="s">
        <v>13162</v>
      </c>
      <c r="Y48" s="284" t="s">
        <v>13103</v>
      </c>
      <c r="Z48" s="284" t="s">
        <v>13054</v>
      </c>
      <c r="AA48" s="284" t="s">
        <v>13008</v>
      </c>
      <c r="AB48" s="284" t="s">
        <v>13133</v>
      </c>
      <c r="AC48" s="284" t="s">
        <v>13104</v>
      </c>
      <c r="AD48" s="284" t="s">
        <v>13090</v>
      </c>
      <c r="AE48" s="284" t="s">
        <v>13038</v>
      </c>
      <c r="AF48" s="284" t="s">
        <v>13039</v>
      </c>
      <c r="AG48" s="284" t="s">
        <v>13009</v>
      </c>
      <c r="AH48" s="284" t="s">
        <v>13041</v>
      </c>
      <c r="AI48" s="284" t="s">
        <v>13106</v>
      </c>
      <c r="AJ48" s="284" t="s">
        <v>13014</v>
      </c>
      <c r="AK48" s="284" t="s">
        <v>13469</v>
      </c>
      <c r="AL48" s="284"/>
      <c r="AM48" s="284"/>
      <c r="AN48" s="284"/>
      <c r="AO48" s="284"/>
      <c r="AP48" s="284"/>
      <c r="AQ48" s="284"/>
      <c r="AR48" s="284"/>
      <c r="AS48" s="284"/>
      <c r="AT48" s="284"/>
      <c r="AU48" s="284"/>
      <c r="AV48" s="284"/>
      <c r="AW48" s="284"/>
      <c r="AX48" s="284"/>
      <c r="AY48" s="284"/>
      <c r="AZ48" s="284"/>
      <c r="BA48" s="284"/>
      <c r="BB48" s="284"/>
      <c r="BC48" s="284"/>
      <c r="BD48" s="284"/>
      <c r="BE48" s="284"/>
      <c r="BF48" s="284"/>
      <c r="BG48" s="284"/>
      <c r="BH48" s="284"/>
      <c r="BI48" s="284"/>
      <c r="BJ48" s="284"/>
      <c r="BK48" s="284"/>
      <c r="BL48" s="284"/>
      <c r="BM48" s="284"/>
      <c r="BN48" s="284"/>
      <c r="BO48" s="284"/>
      <c r="BP48" s="284"/>
      <c r="BQ48" s="284"/>
      <c r="BR48" s="284"/>
      <c r="BS48" s="284"/>
      <c r="BT48" s="284"/>
      <c r="BU48" s="284"/>
      <c r="BV48" s="284"/>
      <c r="BW48" s="284"/>
      <c r="BX48" s="284"/>
      <c r="BY48" s="284"/>
      <c r="BZ48" s="284"/>
      <c r="CA48" s="284"/>
      <c r="CB48" s="284"/>
      <c r="CC48" s="284"/>
      <c r="CD48" s="284"/>
      <c r="CE48" s="284"/>
      <c r="CF48" s="284"/>
      <c r="CG48" s="284"/>
    </row>
    <row r="49" spans="1:85" x14ac:dyDescent="0.35">
      <c r="A49" s="284" t="s">
        <v>4497</v>
      </c>
      <c r="B49" s="284" t="s">
        <v>4498</v>
      </c>
      <c r="C49" t="s">
        <v>13470</v>
      </c>
      <c r="D49" s="284" t="s">
        <v>13299</v>
      </c>
      <c r="E49" s="284" t="s">
        <v>13021</v>
      </c>
      <c r="F49" s="284" t="s">
        <v>13023</v>
      </c>
      <c r="G49" s="284" t="s">
        <v>13082</v>
      </c>
      <c r="H49" s="284" t="s">
        <v>13065</v>
      </c>
      <c r="I49" s="284" t="s">
        <v>13235</v>
      </c>
      <c r="J49" s="284" t="s">
        <v>13471</v>
      </c>
      <c r="K49" s="284" t="s">
        <v>13472</v>
      </c>
      <c r="L49" s="284" t="s">
        <v>13473</v>
      </c>
      <c r="M49" s="284" t="s">
        <v>13474</v>
      </c>
      <c r="N49" s="284" t="s">
        <v>13187</v>
      </c>
      <c r="O49" s="284" t="s">
        <v>13168</v>
      </c>
      <c r="P49" s="284" t="s">
        <v>13475</v>
      </c>
      <c r="Q49" s="284" t="s">
        <v>13243</v>
      </c>
      <c r="R49" s="284" t="s">
        <v>13028</v>
      </c>
      <c r="S49" s="284" t="s">
        <v>13160</v>
      </c>
      <c r="T49" s="284" t="s">
        <v>13002</v>
      </c>
      <c r="U49" s="284" t="s">
        <v>13003</v>
      </c>
      <c r="V49" s="284" t="s">
        <v>13201</v>
      </c>
      <c r="W49" s="284" t="s">
        <v>13190</v>
      </c>
      <c r="X49" s="284" t="s">
        <v>13191</v>
      </c>
      <c r="Y49" s="284" t="s">
        <v>13035</v>
      </c>
      <c r="Z49" s="284" t="s">
        <v>13394</v>
      </c>
      <c r="AA49" s="284" t="s">
        <v>13038</v>
      </c>
      <c r="AB49" s="284" t="s">
        <v>13078</v>
      </c>
      <c r="AC49" s="284" t="s">
        <v>13091</v>
      </c>
      <c r="AD49" s="284" t="s">
        <v>13009</v>
      </c>
      <c r="AE49" s="284" t="s">
        <v>13058</v>
      </c>
      <c r="AF49" s="284" t="s">
        <v>13041</v>
      </c>
      <c r="AG49" s="284" t="s">
        <v>13014</v>
      </c>
      <c r="AH49" s="284" t="s">
        <v>13042</v>
      </c>
      <c r="AI49" s="284"/>
      <c r="AJ49" s="284"/>
      <c r="AK49" s="284"/>
      <c r="AL49" s="284"/>
      <c r="AM49" s="284"/>
      <c r="AN49" s="284"/>
      <c r="AO49" s="284"/>
      <c r="AP49" s="284"/>
      <c r="AQ49" s="284"/>
      <c r="AR49" s="284"/>
      <c r="AS49" s="284"/>
      <c r="AT49" s="284"/>
      <c r="AU49" s="284"/>
      <c r="AV49" s="284"/>
      <c r="AW49" s="284"/>
      <c r="AX49" s="284"/>
      <c r="AY49" s="284"/>
      <c r="AZ49" s="284"/>
      <c r="BA49" s="284"/>
      <c r="BB49" s="284"/>
      <c r="BC49" s="284"/>
      <c r="BD49" s="284"/>
      <c r="BE49" s="284"/>
      <c r="BF49" s="284"/>
      <c r="BG49" s="284"/>
      <c r="BH49" s="284"/>
      <c r="BI49" s="284"/>
      <c r="BJ49" s="284"/>
      <c r="BK49" s="284"/>
      <c r="BL49" s="284"/>
      <c r="BM49" s="284"/>
      <c r="BN49" s="284"/>
      <c r="BO49" s="284"/>
      <c r="BP49" s="284"/>
      <c r="BQ49" s="284"/>
      <c r="BR49" s="284"/>
      <c r="BS49" s="284"/>
      <c r="BT49" s="284"/>
      <c r="BU49" s="284"/>
      <c r="BV49" s="284"/>
      <c r="BW49" s="284"/>
      <c r="BX49" s="284"/>
      <c r="BY49" s="284"/>
      <c r="BZ49" s="284"/>
      <c r="CA49" s="284"/>
      <c r="CB49" s="284"/>
      <c r="CC49" s="284"/>
      <c r="CD49" s="284"/>
      <c r="CE49" s="284"/>
      <c r="CF49" s="284"/>
      <c r="CG49" s="284"/>
    </row>
    <row r="50" spans="1:85" x14ac:dyDescent="0.35">
      <c r="A50" s="284" t="s">
        <v>7586</v>
      </c>
      <c r="B50" s="284" t="s">
        <v>7587</v>
      </c>
      <c r="C50" t="s">
        <v>13476</v>
      </c>
      <c r="D50" s="284" t="s">
        <v>13110</v>
      </c>
      <c r="E50" s="284" t="s">
        <v>13166</v>
      </c>
      <c r="F50" s="284" t="s">
        <v>13046</v>
      </c>
      <c r="G50" s="284" t="s">
        <v>13021</v>
      </c>
      <c r="H50" s="284" t="s">
        <v>13022</v>
      </c>
      <c r="I50" s="284" t="s">
        <v>13023</v>
      </c>
      <c r="J50" s="284" t="s">
        <v>13477</v>
      </c>
      <c r="K50" s="284" t="s">
        <v>13235</v>
      </c>
      <c r="L50" s="284" t="s">
        <v>13159</v>
      </c>
      <c r="M50" s="284" t="s">
        <v>13000</v>
      </c>
      <c r="N50" s="284" t="s">
        <v>13074</v>
      </c>
      <c r="O50" s="284" t="s">
        <v>13397</v>
      </c>
      <c r="P50" s="284" t="s">
        <v>13027</v>
      </c>
      <c r="Q50" s="284" t="s">
        <v>13243</v>
      </c>
      <c r="R50" s="284" t="s">
        <v>13028</v>
      </c>
      <c r="S50" s="284" t="s">
        <v>13002</v>
      </c>
      <c r="T50" s="284" t="s">
        <v>13003</v>
      </c>
      <c r="U50" s="284" t="s">
        <v>13066</v>
      </c>
      <c r="V50" s="284" t="s">
        <v>13029</v>
      </c>
      <c r="W50" s="284" t="s">
        <v>13192</v>
      </c>
      <c r="X50" s="284" t="s">
        <v>13007</v>
      </c>
      <c r="Y50" s="284" t="s">
        <v>13217</v>
      </c>
      <c r="Z50" s="284" t="s">
        <v>13008</v>
      </c>
      <c r="AA50" s="284" t="s">
        <v>13077</v>
      </c>
      <c r="AB50" s="284" t="s">
        <v>13135</v>
      </c>
      <c r="AC50" s="284" t="s">
        <v>13104</v>
      </c>
      <c r="AD50" s="284" t="s">
        <v>13033</v>
      </c>
      <c r="AE50" s="284" t="s">
        <v>13035</v>
      </c>
      <c r="AF50" s="284" t="s">
        <v>13038</v>
      </c>
      <c r="AG50" s="284" t="s">
        <v>13039</v>
      </c>
      <c r="AH50" s="284" t="s">
        <v>13091</v>
      </c>
      <c r="AI50" s="284" t="s">
        <v>13009</v>
      </c>
      <c r="AJ50" s="284" t="s">
        <v>13092</v>
      </c>
      <c r="AK50" s="284" t="s">
        <v>13403</v>
      </c>
      <c r="AL50" s="284" t="s">
        <v>13058</v>
      </c>
      <c r="AM50" s="284" t="s">
        <v>13041</v>
      </c>
      <c r="AN50" s="284" t="s">
        <v>13205</v>
      </c>
      <c r="AO50" s="284" t="s">
        <v>13012</v>
      </c>
      <c r="AP50" s="284" t="s">
        <v>13060</v>
      </c>
      <c r="AQ50" s="284" t="s">
        <v>13014</v>
      </c>
      <c r="AR50" s="284" t="s">
        <v>13395</v>
      </c>
      <c r="AS50" s="284" t="s">
        <v>13478</v>
      </c>
      <c r="AT50" s="284" t="s">
        <v>13207</v>
      </c>
      <c r="AU50" s="284"/>
      <c r="AV50" s="284"/>
      <c r="AW50" s="284"/>
      <c r="AX50" s="284"/>
      <c r="AY50" s="284"/>
      <c r="AZ50" s="284"/>
      <c r="BA50" s="284"/>
      <c r="BB50" s="284"/>
      <c r="BC50" s="284"/>
      <c r="BD50" s="284"/>
      <c r="BE50" s="284"/>
      <c r="BF50" s="284"/>
      <c r="BG50" s="284"/>
      <c r="BH50" s="284"/>
      <c r="BI50" s="284"/>
      <c r="BJ50" s="284"/>
      <c r="BK50" s="284"/>
      <c r="BL50" s="284"/>
      <c r="BM50" s="284"/>
      <c r="BN50" s="284"/>
      <c r="BO50" s="284"/>
      <c r="BP50" s="284"/>
      <c r="BQ50" s="284"/>
      <c r="BR50" s="284"/>
      <c r="BS50" s="284"/>
      <c r="BT50" s="284"/>
      <c r="BU50" s="284"/>
      <c r="BV50" s="284"/>
      <c r="BW50" s="284"/>
      <c r="BX50" s="284"/>
      <c r="BY50" s="284"/>
      <c r="BZ50" s="284"/>
      <c r="CA50" s="284"/>
      <c r="CB50" s="284"/>
      <c r="CC50" s="284"/>
      <c r="CD50" s="284"/>
      <c r="CE50" s="284"/>
      <c r="CF50" s="284"/>
      <c r="CG50" s="284"/>
    </row>
    <row r="51" spans="1:85" x14ac:dyDescent="0.35">
      <c r="A51" s="284" t="s">
        <v>2178</v>
      </c>
      <c r="B51" s="284" t="s">
        <v>2179</v>
      </c>
      <c r="C51" t="s">
        <v>13020</v>
      </c>
      <c r="D51" s="284" t="s">
        <v>13410</v>
      </c>
      <c r="E51" s="284" t="s">
        <v>13023</v>
      </c>
      <c r="F51" s="284" t="s">
        <v>13113</v>
      </c>
      <c r="G51" s="284" t="s">
        <v>13446</v>
      </c>
      <c r="H51" s="284" t="s">
        <v>13082</v>
      </c>
      <c r="I51" s="284" t="s">
        <v>13065</v>
      </c>
      <c r="J51" s="284" t="s">
        <v>13115</v>
      </c>
      <c r="K51" s="284" t="s">
        <v>13289</v>
      </c>
      <c r="L51" s="284" t="s">
        <v>13479</v>
      </c>
      <c r="M51" s="284" t="s">
        <v>13480</v>
      </c>
      <c r="N51" s="284" t="s">
        <v>13481</v>
      </c>
      <c r="O51" s="284" t="s">
        <v>13000</v>
      </c>
      <c r="P51" s="284" t="s">
        <v>13099</v>
      </c>
      <c r="Q51" s="284" t="s">
        <v>13482</v>
      </c>
      <c r="R51" s="284" t="s">
        <v>13148</v>
      </c>
      <c r="S51" s="284" t="s">
        <v>13149</v>
      </c>
      <c r="T51" s="284" t="s">
        <v>13483</v>
      </c>
      <c r="U51" s="284" t="s">
        <v>13028</v>
      </c>
      <c r="V51" s="284" t="s">
        <v>13160</v>
      </c>
      <c r="W51" s="284" t="s">
        <v>13484</v>
      </c>
      <c r="X51" s="284" t="s">
        <v>13066</v>
      </c>
      <c r="Y51" s="284" t="s">
        <v>13291</v>
      </c>
      <c r="Z51" s="284" t="s">
        <v>13178</v>
      </c>
      <c r="AA51" s="284" t="s">
        <v>13076</v>
      </c>
      <c r="AB51" s="284" t="s">
        <v>13274</v>
      </c>
      <c r="AC51" s="284" t="s">
        <v>13005</v>
      </c>
      <c r="AD51" s="284" t="s">
        <v>13029</v>
      </c>
      <c r="AE51" s="284" t="s">
        <v>13485</v>
      </c>
      <c r="AF51" s="284" t="s">
        <v>13249</v>
      </c>
      <c r="AG51" s="284" t="s">
        <v>13284</v>
      </c>
      <c r="AH51" s="284" t="s">
        <v>13486</v>
      </c>
      <c r="AI51" s="284" t="s">
        <v>13276</v>
      </c>
      <c r="AJ51" s="284" t="s">
        <v>13032</v>
      </c>
      <c r="AK51" s="284" t="s">
        <v>13033</v>
      </c>
      <c r="AL51" s="284" t="s">
        <v>13034</v>
      </c>
      <c r="AM51" s="284" t="s">
        <v>13035</v>
      </c>
      <c r="AN51" s="284" t="s">
        <v>13171</v>
      </c>
      <c r="AO51" s="284" t="s">
        <v>13487</v>
      </c>
      <c r="AP51" s="284" t="s">
        <v>13036</v>
      </c>
      <c r="AQ51" s="284" t="s">
        <v>13277</v>
      </c>
      <c r="AR51" s="284" t="s">
        <v>13037</v>
      </c>
      <c r="AS51" s="284" t="s">
        <v>13038</v>
      </c>
      <c r="AT51" s="284" t="s">
        <v>13039</v>
      </c>
      <c r="AU51" s="284" t="s">
        <v>13091</v>
      </c>
      <c r="AV51" s="284" t="s">
        <v>13009</v>
      </c>
      <c r="AW51" s="284" t="s">
        <v>13488</v>
      </c>
      <c r="AX51" s="284" t="s">
        <v>13489</v>
      </c>
      <c r="AY51" s="284" t="s">
        <v>13041</v>
      </c>
      <c r="AZ51" s="284" t="s">
        <v>13490</v>
      </c>
      <c r="BA51" s="284" t="s">
        <v>13491</v>
      </c>
      <c r="BB51" s="284" t="s">
        <v>13014</v>
      </c>
      <c r="BC51" s="284" t="s">
        <v>13492</v>
      </c>
      <c r="BD51" s="284" t="s">
        <v>13042</v>
      </c>
      <c r="BE51" s="284" t="s">
        <v>13493</v>
      </c>
      <c r="BF51" s="284" t="s">
        <v>13494</v>
      </c>
      <c r="BG51" s="284" t="s">
        <v>13495</v>
      </c>
      <c r="BH51" s="284" t="s">
        <v>13496</v>
      </c>
      <c r="BI51" s="284" t="s">
        <v>13286</v>
      </c>
      <c r="BJ51" s="284"/>
      <c r="BK51" s="284"/>
      <c r="BL51" s="284"/>
      <c r="BM51" s="284"/>
      <c r="BN51" s="284"/>
      <c r="BO51" s="284"/>
      <c r="BP51" s="284"/>
      <c r="BQ51" s="284"/>
      <c r="BR51" s="284"/>
      <c r="BS51" s="284"/>
      <c r="BT51" s="284"/>
      <c r="BU51" s="284"/>
      <c r="BV51" s="284"/>
      <c r="BW51" s="284"/>
      <c r="BX51" s="284"/>
      <c r="BY51" s="284"/>
      <c r="BZ51" s="284"/>
      <c r="CA51" s="284"/>
      <c r="CB51" s="284"/>
      <c r="CC51" s="284"/>
      <c r="CD51" s="284"/>
      <c r="CE51" s="284"/>
      <c r="CF51" s="284"/>
      <c r="CG51" s="284"/>
    </row>
    <row r="52" spans="1:85" x14ac:dyDescent="0.35">
      <c r="A52" s="284" t="s">
        <v>2220</v>
      </c>
      <c r="B52" s="284" t="s">
        <v>2221</v>
      </c>
      <c r="C52" t="s">
        <v>13497</v>
      </c>
      <c r="D52" s="284" t="s">
        <v>13410</v>
      </c>
      <c r="E52" s="284" t="s">
        <v>13023</v>
      </c>
      <c r="F52" s="284" t="s">
        <v>13446</v>
      </c>
      <c r="G52" s="284" t="s">
        <v>13082</v>
      </c>
      <c r="H52" s="284" t="s">
        <v>13065</v>
      </c>
      <c r="I52" s="284" t="s">
        <v>13498</v>
      </c>
      <c r="J52" s="284" t="s">
        <v>13481</v>
      </c>
      <c r="K52" s="284" t="s">
        <v>13000</v>
      </c>
      <c r="L52" s="284" t="s">
        <v>13085</v>
      </c>
      <c r="M52" s="284" t="s">
        <v>13099</v>
      </c>
      <c r="N52" s="284" t="s">
        <v>13074</v>
      </c>
      <c r="O52" s="284" t="s">
        <v>13168</v>
      </c>
      <c r="P52" s="284" t="s">
        <v>13499</v>
      </c>
      <c r="Q52" s="284" t="s">
        <v>13500</v>
      </c>
      <c r="R52" s="284" t="s">
        <v>13027</v>
      </c>
      <c r="S52" s="284" t="s">
        <v>13148</v>
      </c>
      <c r="T52" s="284" t="s">
        <v>13501</v>
      </c>
      <c r="U52" s="284" t="s">
        <v>13149</v>
      </c>
      <c r="V52" s="284" t="s">
        <v>13483</v>
      </c>
      <c r="W52" s="284" t="s">
        <v>13028</v>
      </c>
      <c r="X52" s="284" t="s">
        <v>13160</v>
      </c>
      <c r="Y52" s="284" t="s">
        <v>13002</v>
      </c>
      <c r="Z52" s="284" t="s">
        <v>13003</v>
      </c>
      <c r="AA52" s="284" t="s">
        <v>13066</v>
      </c>
      <c r="AB52" s="284" t="s">
        <v>13291</v>
      </c>
      <c r="AC52" s="284" t="s">
        <v>13274</v>
      </c>
      <c r="AD52" s="284" t="s">
        <v>13005</v>
      </c>
      <c r="AE52" s="284" t="s">
        <v>13485</v>
      </c>
      <c r="AF52" s="284" t="s">
        <v>13284</v>
      </c>
      <c r="AG52" s="284" t="s">
        <v>13486</v>
      </c>
      <c r="AH52" s="284" t="s">
        <v>13276</v>
      </c>
      <c r="AI52" s="284" t="s">
        <v>13033</v>
      </c>
      <c r="AJ52" s="284" t="s">
        <v>13034</v>
      </c>
      <c r="AK52" s="284" t="s">
        <v>13171</v>
      </c>
      <c r="AL52" s="284" t="s">
        <v>13487</v>
      </c>
      <c r="AM52" s="284" t="s">
        <v>13036</v>
      </c>
      <c r="AN52" s="284" t="s">
        <v>13277</v>
      </c>
      <c r="AO52" s="284" t="s">
        <v>13037</v>
      </c>
      <c r="AP52" s="284" t="s">
        <v>13038</v>
      </c>
      <c r="AQ52" s="284" t="s">
        <v>13039</v>
      </c>
      <c r="AR52" s="284" t="s">
        <v>13091</v>
      </c>
      <c r="AS52" s="284" t="s">
        <v>13009</v>
      </c>
      <c r="AT52" s="284" t="s">
        <v>13502</v>
      </c>
      <c r="AU52" s="284" t="s">
        <v>13041</v>
      </c>
      <c r="AV52" s="284" t="s">
        <v>13503</v>
      </c>
      <c r="AW52" s="284" t="s">
        <v>13504</v>
      </c>
      <c r="AX52" s="284" t="s">
        <v>13014</v>
      </c>
      <c r="AY52" s="284" t="s">
        <v>13042</v>
      </c>
      <c r="AZ52" s="284" t="s">
        <v>13493</v>
      </c>
      <c r="BA52" s="284" t="s">
        <v>13156</v>
      </c>
      <c r="BB52" s="284" t="s">
        <v>13494</v>
      </c>
      <c r="BC52" s="284" t="s">
        <v>13505</v>
      </c>
      <c r="BD52" s="284" t="s">
        <v>13286</v>
      </c>
      <c r="BE52" s="284"/>
      <c r="BF52" s="284"/>
      <c r="BG52" s="284"/>
      <c r="BH52" s="284"/>
      <c r="BI52" s="284"/>
      <c r="BJ52" s="284"/>
      <c r="BK52" s="284"/>
      <c r="BL52" s="284"/>
      <c r="BM52" s="284"/>
      <c r="BN52" s="284"/>
      <c r="BO52" s="284"/>
      <c r="BP52" s="284"/>
      <c r="BQ52" s="284"/>
      <c r="BR52" s="284"/>
      <c r="BS52" s="284"/>
      <c r="BT52" s="284"/>
      <c r="BU52" s="284"/>
      <c r="BV52" s="284"/>
      <c r="BW52" s="284"/>
      <c r="BX52" s="284"/>
      <c r="BY52" s="284"/>
      <c r="BZ52" s="284"/>
      <c r="CA52" s="284"/>
      <c r="CB52" s="284"/>
      <c r="CC52" s="284"/>
      <c r="CD52" s="284"/>
      <c r="CE52" s="284"/>
      <c r="CF52" s="284"/>
      <c r="CG52" s="284"/>
    </row>
    <row r="53" spans="1:85" x14ac:dyDescent="0.35">
      <c r="A53" s="284" t="s">
        <v>3209</v>
      </c>
      <c r="B53" s="284" t="s">
        <v>3210</v>
      </c>
      <c r="C53" s="284" t="s">
        <v>13506</v>
      </c>
      <c r="D53" s="284" t="s">
        <v>13019</v>
      </c>
      <c r="E53" s="284" t="s">
        <v>13020</v>
      </c>
      <c r="F53" s="284" t="s">
        <v>13021</v>
      </c>
      <c r="G53" s="284" t="s">
        <v>13507</v>
      </c>
      <c r="H53" s="284" t="s">
        <v>13023</v>
      </c>
      <c r="I53" s="284" t="s">
        <v>13508</v>
      </c>
      <c r="J53" s="284" t="s">
        <v>13509</v>
      </c>
      <c r="K53" s="284" t="s">
        <v>13024</v>
      </c>
      <c r="L53" s="284" t="s">
        <v>13085</v>
      </c>
      <c r="M53" s="284" t="s">
        <v>13099</v>
      </c>
      <c r="N53" s="284" t="s">
        <v>13049</v>
      </c>
      <c r="O53" s="284" t="s">
        <v>13025</v>
      </c>
      <c r="P53" s="284" t="s">
        <v>13027</v>
      </c>
      <c r="Q53" s="284" t="s">
        <v>13148</v>
      </c>
      <c r="R53" s="284" t="s">
        <v>13001</v>
      </c>
      <c r="S53" s="284" t="s">
        <v>13149</v>
      </c>
      <c r="T53" s="284" t="s">
        <v>13028</v>
      </c>
      <c r="U53" s="284" t="s">
        <v>13002</v>
      </c>
      <c r="V53" s="284" t="s">
        <v>13003</v>
      </c>
      <c r="W53" s="284" t="s">
        <v>13066</v>
      </c>
      <c r="X53" s="284" t="s">
        <v>13029</v>
      </c>
      <c r="Y53" s="284" t="s">
        <v>13006</v>
      </c>
      <c r="Z53" s="284" t="s">
        <v>13030</v>
      </c>
      <c r="AA53" s="284" t="s">
        <v>13033</v>
      </c>
      <c r="AB53" s="284" t="s">
        <v>13034</v>
      </c>
      <c r="AC53" s="284" t="s">
        <v>13036</v>
      </c>
      <c r="AD53" s="284" t="s">
        <v>13037</v>
      </c>
      <c r="AE53" s="284" t="s">
        <v>13038</v>
      </c>
      <c r="AF53" s="284" t="s">
        <v>13039</v>
      </c>
      <c r="AG53" s="284" t="s">
        <v>13078</v>
      </c>
      <c r="AH53" s="284" t="s">
        <v>13091</v>
      </c>
      <c r="AI53" s="284" t="s">
        <v>13009</v>
      </c>
      <c r="AJ53" s="284" t="s">
        <v>13152</v>
      </c>
      <c r="AK53" s="284" t="s">
        <v>13041</v>
      </c>
      <c r="AL53" s="284" t="s">
        <v>13014</v>
      </c>
      <c r="AM53" s="284" t="s">
        <v>13154</v>
      </c>
      <c r="AN53" s="284" t="s">
        <v>13144</v>
      </c>
      <c r="AO53" s="284"/>
      <c r="AP53" s="284"/>
      <c r="AQ53" s="284"/>
      <c r="AR53" s="284"/>
      <c r="AS53" s="284"/>
      <c r="AT53" s="284"/>
      <c r="AU53" s="284"/>
      <c r="AV53" s="284"/>
      <c r="AW53" s="284"/>
      <c r="AX53" s="284"/>
      <c r="AY53" s="284"/>
      <c r="AZ53" s="284"/>
      <c r="BA53" s="284"/>
      <c r="BB53" s="284"/>
      <c r="BC53" s="284"/>
      <c r="BD53" s="284"/>
      <c r="BE53" s="284"/>
      <c r="BF53" s="284"/>
      <c r="BG53" s="284"/>
      <c r="BH53" s="284"/>
      <c r="BI53" s="284"/>
      <c r="BJ53" s="284"/>
      <c r="BK53" s="284"/>
      <c r="BL53" s="284"/>
      <c r="BM53" s="284"/>
      <c r="BN53" s="284"/>
      <c r="BO53" s="284"/>
      <c r="BP53" s="284"/>
      <c r="BQ53" s="284"/>
      <c r="BR53" s="284"/>
      <c r="BS53" s="284"/>
      <c r="BT53" s="284"/>
      <c r="BU53" s="284"/>
      <c r="BV53" s="284"/>
      <c r="BW53" s="284"/>
      <c r="BX53" s="284"/>
      <c r="BY53" s="284"/>
      <c r="BZ53" s="284"/>
      <c r="CA53" s="284"/>
      <c r="CB53" s="284"/>
      <c r="CC53" s="284"/>
      <c r="CD53" s="284"/>
      <c r="CE53" s="284"/>
      <c r="CF53" s="284"/>
    </row>
    <row r="54" spans="1:85" x14ac:dyDescent="0.35">
      <c r="A54" s="284" t="s">
        <v>8986</v>
      </c>
      <c r="B54" s="284" t="s">
        <v>8987</v>
      </c>
      <c r="C54" t="s">
        <v>13110</v>
      </c>
      <c r="D54" s="284" t="s">
        <v>13166</v>
      </c>
      <c r="E54" s="284" t="s">
        <v>13167</v>
      </c>
      <c r="F54" s="284" t="s">
        <v>13021</v>
      </c>
      <c r="G54" s="284" t="s">
        <v>13023</v>
      </c>
      <c r="H54" s="284" t="s">
        <v>13047</v>
      </c>
      <c r="I54" s="284" t="s">
        <v>13048</v>
      </c>
      <c r="J54" s="284" t="s">
        <v>13082</v>
      </c>
      <c r="K54" s="284" t="s">
        <v>13510</v>
      </c>
      <c r="L54" s="284" t="s">
        <v>13000</v>
      </c>
      <c r="M54" s="284" t="s">
        <v>13027</v>
      </c>
      <c r="N54" s="284" t="s">
        <v>13050</v>
      </c>
      <c r="O54" s="284" t="s">
        <v>13028</v>
      </c>
      <c r="P54" s="284" t="s">
        <v>13002</v>
      </c>
      <c r="Q54" s="284" t="s">
        <v>13004</v>
      </c>
      <c r="R54" s="284" t="s">
        <v>13066</v>
      </c>
      <c r="S54" s="284" t="s">
        <v>13076</v>
      </c>
      <c r="T54" s="284" t="s">
        <v>13029</v>
      </c>
      <c r="U54" s="284" t="s">
        <v>13053</v>
      </c>
      <c r="V54" s="284" t="s">
        <v>13006</v>
      </c>
      <c r="W54" s="284" t="s">
        <v>13007</v>
      </c>
      <c r="X54" s="284" t="s">
        <v>13511</v>
      </c>
      <c r="Y54" s="284" t="s">
        <v>13054</v>
      </c>
      <c r="Z54" s="284" t="s">
        <v>13512</v>
      </c>
      <c r="AA54" s="284" t="s">
        <v>13033</v>
      </c>
      <c r="AB54" s="284" t="s">
        <v>13034</v>
      </c>
      <c r="AC54" s="284" t="s">
        <v>13038</v>
      </c>
      <c r="AD54" s="284" t="s">
        <v>13039</v>
      </c>
      <c r="AE54" s="284" t="s">
        <v>13010</v>
      </c>
      <c r="AF54" s="284" t="s">
        <v>13011</v>
      </c>
      <c r="AG54" s="284" t="s">
        <v>13058</v>
      </c>
      <c r="AH54" s="284" t="s">
        <v>13041</v>
      </c>
      <c r="AI54" s="284" t="s">
        <v>13059</v>
      </c>
      <c r="AJ54" s="284" t="s">
        <v>13205</v>
      </c>
      <c r="AK54" s="284" t="s">
        <v>13012</v>
      </c>
      <c r="AL54" s="284" t="s">
        <v>13060</v>
      </c>
      <c r="AM54" s="284" t="s">
        <v>13014</v>
      </c>
      <c r="AN54" s="284" t="s">
        <v>13174</v>
      </c>
      <c r="AO54" s="284" t="s">
        <v>13015</v>
      </c>
      <c r="AP54" s="284" t="s">
        <v>13017</v>
      </c>
      <c r="AQ54" s="284"/>
      <c r="AR54" s="284"/>
      <c r="AS54" s="284"/>
      <c r="AT54" s="284"/>
      <c r="AU54" s="284"/>
      <c r="AV54" s="284"/>
      <c r="AW54" s="284"/>
      <c r="AX54" s="284"/>
      <c r="AY54" s="284"/>
      <c r="AZ54" s="284"/>
      <c r="BA54" s="284"/>
      <c r="BB54" s="284"/>
      <c r="BC54" s="284"/>
      <c r="BD54" s="284"/>
      <c r="BE54" s="284"/>
      <c r="BF54" s="284"/>
      <c r="BG54" s="284"/>
      <c r="BH54" s="284"/>
      <c r="BI54" s="284"/>
      <c r="BJ54" s="284"/>
      <c r="BK54" s="284"/>
      <c r="BL54" s="284"/>
      <c r="BM54" s="284"/>
      <c r="BN54" s="284"/>
      <c r="BO54" s="284"/>
      <c r="BP54" s="284"/>
      <c r="BQ54" s="284"/>
      <c r="BR54" s="284"/>
      <c r="BS54" s="284"/>
      <c r="BT54" s="284"/>
      <c r="BU54" s="284"/>
      <c r="BV54" s="284"/>
      <c r="BW54" s="284"/>
      <c r="BX54" s="284"/>
      <c r="BY54" s="284"/>
      <c r="BZ54" s="284"/>
      <c r="CA54" s="284"/>
      <c r="CB54" s="284"/>
      <c r="CC54" s="284"/>
      <c r="CD54" s="284"/>
      <c r="CE54" s="284"/>
      <c r="CF54" s="284"/>
      <c r="CG54" s="284"/>
    </row>
    <row r="55" spans="1:85" x14ac:dyDescent="0.35">
      <c r="A55" s="284" t="s">
        <v>5959</v>
      </c>
      <c r="B55" s="284" t="s">
        <v>5960</v>
      </c>
      <c r="C55" t="s">
        <v>13513</v>
      </c>
      <c r="D55" s="284" t="s">
        <v>13072</v>
      </c>
      <c r="E55" s="284" t="s">
        <v>13023</v>
      </c>
      <c r="F55" s="284" t="s">
        <v>13113</v>
      </c>
      <c r="G55" s="284" t="s">
        <v>13279</v>
      </c>
      <c r="H55" s="284" t="s">
        <v>13289</v>
      </c>
      <c r="I55" s="284" t="s">
        <v>13273</v>
      </c>
      <c r="J55" s="284" t="s">
        <v>13280</v>
      </c>
      <c r="K55" s="284" t="s">
        <v>13238</v>
      </c>
      <c r="L55" s="284" t="s">
        <v>13085</v>
      </c>
      <c r="M55" s="284" t="s">
        <v>13099</v>
      </c>
      <c r="N55" s="284" t="s">
        <v>13514</v>
      </c>
      <c r="O55" s="284" t="s">
        <v>13500</v>
      </c>
      <c r="P55" s="284" t="s">
        <v>13148</v>
      </c>
      <c r="Q55" s="284" t="s">
        <v>13149</v>
      </c>
      <c r="R55" s="284" t="s">
        <v>13515</v>
      </c>
      <c r="S55" s="284" t="s">
        <v>13002</v>
      </c>
      <c r="T55" s="284" t="s">
        <v>13291</v>
      </c>
      <c r="U55" s="284" t="s">
        <v>13005</v>
      </c>
      <c r="V55" s="284" t="s">
        <v>13516</v>
      </c>
      <c r="W55" s="284" t="s">
        <v>13486</v>
      </c>
      <c r="X55" s="284" t="s">
        <v>13276</v>
      </c>
      <c r="Y55" s="284" t="s">
        <v>13033</v>
      </c>
      <c r="Z55" s="284" t="s">
        <v>13034</v>
      </c>
      <c r="AA55" s="284" t="s">
        <v>13171</v>
      </c>
      <c r="AB55" s="284" t="s">
        <v>13036</v>
      </c>
      <c r="AC55" s="284" t="s">
        <v>13277</v>
      </c>
      <c r="AD55" s="284" t="s">
        <v>13091</v>
      </c>
      <c r="AE55" s="284" t="s">
        <v>13014</v>
      </c>
      <c r="AF55" s="284" t="s">
        <v>13154</v>
      </c>
      <c r="AG55" s="284" t="s">
        <v>13286</v>
      </c>
      <c r="AH55" s="284"/>
      <c r="AI55" s="284"/>
      <c r="AJ55" s="284"/>
      <c r="AK55" s="284"/>
      <c r="AL55" s="284"/>
      <c r="AM55" s="284"/>
      <c r="AN55" s="284"/>
      <c r="AO55" s="284"/>
      <c r="AP55" s="284"/>
      <c r="AQ55" s="284"/>
      <c r="AR55" s="284"/>
      <c r="AS55" s="284"/>
      <c r="AT55" s="284"/>
      <c r="AU55" s="284"/>
      <c r="AV55" s="284"/>
      <c r="AW55" s="284"/>
      <c r="AX55" s="284"/>
      <c r="AY55" s="284"/>
      <c r="AZ55" s="284"/>
      <c r="BA55" s="284"/>
      <c r="BB55" s="284"/>
      <c r="BC55" s="284"/>
      <c r="BD55" s="284"/>
      <c r="BE55" s="284"/>
      <c r="BF55" s="284"/>
      <c r="BG55" s="284"/>
      <c r="BH55" s="284"/>
      <c r="BI55" s="284"/>
      <c r="BJ55" s="284"/>
      <c r="BK55" s="284"/>
      <c r="BL55" s="284"/>
      <c r="BM55" s="284"/>
      <c r="BN55" s="284"/>
      <c r="BO55" s="284"/>
      <c r="BP55" s="284"/>
      <c r="BQ55" s="284"/>
      <c r="BR55" s="284"/>
      <c r="BS55" s="284"/>
      <c r="BT55" s="284"/>
      <c r="BU55" s="284"/>
      <c r="BV55" s="284"/>
      <c r="BW55" s="284"/>
      <c r="BX55" s="284"/>
      <c r="BY55" s="284"/>
      <c r="BZ55" s="284"/>
      <c r="CA55" s="284"/>
      <c r="CB55" s="284"/>
      <c r="CC55" s="284"/>
      <c r="CD55" s="284"/>
      <c r="CE55" s="284"/>
      <c r="CF55" s="284"/>
      <c r="CG55" s="284"/>
    </row>
    <row r="56" spans="1:85" x14ac:dyDescent="0.35">
      <c r="A56" s="284" t="s">
        <v>11186</v>
      </c>
      <c r="B56" s="284" t="s">
        <v>11187</v>
      </c>
      <c r="C56" s="284" t="s">
        <v>13517</v>
      </c>
      <c r="D56" s="284" t="s">
        <v>13023</v>
      </c>
      <c r="E56" s="284" t="s">
        <v>13306</v>
      </c>
      <c r="F56" s="284" t="s">
        <v>13518</v>
      </c>
      <c r="G56" s="284" t="s">
        <v>13014</v>
      </c>
      <c r="H56" s="284"/>
      <c r="I56" s="284"/>
      <c r="J56" s="284"/>
      <c r="K56" s="284"/>
      <c r="L56" s="284"/>
      <c r="M56" s="284"/>
      <c r="N56" s="284"/>
      <c r="O56" s="284"/>
      <c r="P56" s="284"/>
      <c r="Q56" s="284"/>
      <c r="R56" s="284"/>
      <c r="S56" s="284"/>
      <c r="T56" s="284"/>
      <c r="U56" s="284"/>
      <c r="V56" s="284"/>
      <c r="W56" s="284"/>
      <c r="X56" s="284"/>
      <c r="Y56" s="284"/>
      <c r="Z56" s="284"/>
      <c r="AA56" s="284"/>
      <c r="AB56" s="284"/>
      <c r="AC56" s="284"/>
      <c r="AD56" s="284"/>
      <c r="AE56" s="284"/>
      <c r="AF56" s="284"/>
      <c r="AG56" s="284"/>
      <c r="AH56" s="284"/>
      <c r="AI56" s="284"/>
      <c r="AJ56" s="284"/>
      <c r="AK56" s="284"/>
      <c r="AL56" s="284"/>
      <c r="AM56" s="284"/>
      <c r="AN56" s="284"/>
      <c r="AO56" s="284"/>
      <c r="AP56" s="284"/>
      <c r="AQ56" s="284"/>
      <c r="AR56" s="284"/>
      <c r="AS56" s="284"/>
      <c r="AT56" s="284"/>
      <c r="AU56" s="284"/>
      <c r="AV56" s="284"/>
      <c r="AW56" s="284"/>
      <c r="AX56" s="284"/>
      <c r="AY56" s="284"/>
      <c r="AZ56" s="284"/>
      <c r="BA56" s="284"/>
      <c r="BB56" s="284"/>
      <c r="BC56" s="284"/>
      <c r="BD56" s="284"/>
      <c r="BE56" s="284"/>
      <c r="BF56" s="284"/>
      <c r="BG56" s="284"/>
      <c r="BH56" s="284"/>
      <c r="BI56" s="284"/>
      <c r="BJ56" s="284"/>
      <c r="BK56" s="284"/>
      <c r="BL56" s="284"/>
      <c r="BM56" s="284"/>
      <c r="BN56" s="284"/>
      <c r="BO56" s="284"/>
      <c r="BP56" s="284"/>
      <c r="BQ56" s="284"/>
      <c r="BR56" s="284"/>
      <c r="BS56" s="284"/>
      <c r="BT56" s="284"/>
      <c r="BU56" s="284"/>
      <c r="BV56" s="284"/>
      <c r="BW56" s="284"/>
      <c r="BX56" s="284"/>
      <c r="BY56" s="284"/>
      <c r="BZ56" s="284"/>
      <c r="CA56" s="284"/>
      <c r="CB56" s="284"/>
      <c r="CC56" s="284"/>
      <c r="CD56" s="284"/>
      <c r="CE56" s="284"/>
      <c r="CF56" s="284"/>
    </row>
    <row r="57" spans="1:85" x14ac:dyDescent="0.35">
      <c r="A57" s="284" t="s">
        <v>4213</v>
      </c>
      <c r="B57" s="284" t="s">
        <v>4214</v>
      </c>
      <c r="C57" t="s">
        <v>13519</v>
      </c>
      <c r="D57" s="284" t="s">
        <v>13021</v>
      </c>
      <c r="E57" s="284" t="s">
        <v>13023</v>
      </c>
      <c r="F57" s="284" t="s">
        <v>13113</v>
      </c>
      <c r="G57" s="284" t="s">
        <v>13082</v>
      </c>
      <c r="H57" s="284" t="s">
        <v>13520</v>
      </c>
      <c r="I57" s="284" t="s">
        <v>13083</v>
      </c>
      <c r="J57" s="284" t="s">
        <v>13358</v>
      </c>
      <c r="K57" s="284" t="s">
        <v>13000</v>
      </c>
      <c r="L57" s="284" t="s">
        <v>13212</v>
      </c>
      <c r="M57" s="284" t="s">
        <v>13119</v>
      </c>
      <c r="N57" s="284" t="s">
        <v>13084</v>
      </c>
      <c r="O57" s="284" t="s">
        <v>13085</v>
      </c>
      <c r="P57" s="284" t="s">
        <v>13099</v>
      </c>
      <c r="Q57" s="284" t="s">
        <v>13074</v>
      </c>
      <c r="R57" s="284" t="s">
        <v>13086</v>
      </c>
      <c r="S57" s="284" t="s">
        <v>13049</v>
      </c>
      <c r="T57" s="284" t="s">
        <v>13168</v>
      </c>
      <c r="U57" s="284" t="s">
        <v>13087</v>
      </c>
      <c r="V57" s="284" t="s">
        <v>13027</v>
      </c>
      <c r="W57" s="284" t="s">
        <v>13001</v>
      </c>
      <c r="X57" s="284" t="s">
        <v>13050</v>
      </c>
      <c r="Y57" s="284" t="s">
        <v>13028</v>
      </c>
      <c r="Z57" s="284" t="s">
        <v>13002</v>
      </c>
      <c r="AA57" s="284" t="s">
        <v>13066</v>
      </c>
      <c r="AB57" s="284" t="s">
        <v>13076</v>
      </c>
      <c r="AC57" s="284" t="s">
        <v>13274</v>
      </c>
      <c r="AD57" s="284" t="s">
        <v>13100</v>
      </c>
      <c r="AE57" s="284" t="s">
        <v>13005</v>
      </c>
      <c r="AF57" s="284" t="s">
        <v>13029</v>
      </c>
      <c r="AG57" s="284" t="s">
        <v>13521</v>
      </c>
      <c r="AH57" s="284" t="s">
        <v>13162</v>
      </c>
      <c r="AI57" s="284" t="s">
        <v>13103</v>
      </c>
      <c r="AJ57" s="284" t="s">
        <v>13089</v>
      </c>
      <c r="AK57" s="284" t="s">
        <v>13522</v>
      </c>
      <c r="AL57" s="284" t="s">
        <v>13104</v>
      </c>
      <c r="AM57" s="284" t="s">
        <v>13033</v>
      </c>
      <c r="AN57" s="284" t="s">
        <v>13034</v>
      </c>
      <c r="AO57" s="284" t="s">
        <v>13036</v>
      </c>
      <c r="AP57" s="284" t="s">
        <v>13090</v>
      </c>
      <c r="AQ57" s="284" t="s">
        <v>13038</v>
      </c>
      <c r="AR57" s="284" t="s">
        <v>13039</v>
      </c>
      <c r="AS57" s="284" t="s">
        <v>13078</v>
      </c>
      <c r="AT57" s="284" t="s">
        <v>13009</v>
      </c>
      <c r="AU57" s="284" t="s">
        <v>13092</v>
      </c>
      <c r="AV57" s="284" t="s">
        <v>13041</v>
      </c>
      <c r="AW57" s="284" t="s">
        <v>13523</v>
      </c>
      <c r="AX57" s="284" t="s">
        <v>13106</v>
      </c>
      <c r="AY57" s="284" t="s">
        <v>13014</v>
      </c>
      <c r="AZ57" s="284" t="s">
        <v>13524</v>
      </c>
      <c r="BA57" s="284" t="s">
        <v>13525</v>
      </c>
      <c r="BB57" s="284" t="s">
        <v>13144</v>
      </c>
      <c r="BC57" s="284" t="s">
        <v>13526</v>
      </c>
      <c r="BD57" s="284"/>
      <c r="BE57" s="284"/>
      <c r="BF57" s="284"/>
      <c r="BG57" s="284"/>
      <c r="BH57" s="284"/>
      <c r="BI57" s="284"/>
      <c r="BJ57" s="284"/>
      <c r="BK57" s="284"/>
      <c r="BL57" s="284"/>
      <c r="BM57" s="284"/>
      <c r="BN57" s="284"/>
      <c r="BO57" s="284"/>
      <c r="BP57" s="284"/>
      <c r="BQ57" s="284"/>
      <c r="BR57" s="284"/>
      <c r="BS57" s="284"/>
      <c r="BT57" s="284"/>
      <c r="BU57" s="284"/>
      <c r="BV57" s="284"/>
      <c r="BW57" s="284"/>
      <c r="BX57" s="284"/>
      <c r="BY57" s="284"/>
      <c r="BZ57" s="284"/>
      <c r="CA57" s="284"/>
      <c r="CB57" s="284"/>
      <c r="CC57" s="284"/>
      <c r="CD57" s="284"/>
      <c r="CE57" s="284"/>
      <c r="CF57" s="284"/>
      <c r="CG57" s="284"/>
    </row>
    <row r="58" spans="1:85" x14ac:dyDescent="0.35">
      <c r="A58" s="284" t="s">
        <v>2304</v>
      </c>
      <c r="B58" s="284" t="s">
        <v>2305</v>
      </c>
      <c r="C58" t="s">
        <v>13527</v>
      </c>
      <c r="D58" s="284" t="s">
        <v>13021</v>
      </c>
      <c r="E58" s="284" t="s">
        <v>13023</v>
      </c>
      <c r="F58" s="284" t="s">
        <v>13048</v>
      </c>
      <c r="G58" s="284" t="s">
        <v>13082</v>
      </c>
      <c r="H58" s="284" t="s">
        <v>13288</v>
      </c>
      <c r="I58" s="284" t="s">
        <v>13528</v>
      </c>
      <c r="J58" s="284" t="s">
        <v>13529</v>
      </c>
      <c r="K58" s="284" t="s">
        <v>13530</v>
      </c>
      <c r="L58" s="284" t="s">
        <v>13531</v>
      </c>
      <c r="M58" s="284" t="s">
        <v>13532</v>
      </c>
      <c r="N58" s="284" t="s">
        <v>13533</v>
      </c>
      <c r="O58" s="284" t="s">
        <v>13534</v>
      </c>
      <c r="P58" s="284" t="s">
        <v>13099</v>
      </c>
      <c r="Q58" s="284" t="s">
        <v>13049</v>
      </c>
      <c r="R58" s="284" t="s">
        <v>13027</v>
      </c>
      <c r="S58" s="284" t="s">
        <v>13001</v>
      </c>
      <c r="T58" s="284" t="s">
        <v>13050</v>
      </c>
      <c r="U58" s="284" t="s">
        <v>13028</v>
      </c>
      <c r="V58" s="284" t="s">
        <v>13160</v>
      </c>
      <c r="W58" s="284" t="s">
        <v>13002</v>
      </c>
      <c r="X58" s="284" t="s">
        <v>13003</v>
      </c>
      <c r="Y58" s="284" t="s">
        <v>13178</v>
      </c>
      <c r="Z58" s="284" t="s">
        <v>13076</v>
      </c>
      <c r="AA58" s="284" t="s">
        <v>13331</v>
      </c>
      <c r="AB58" s="284" t="s">
        <v>13190</v>
      </c>
      <c r="AC58" s="284" t="s">
        <v>13029</v>
      </c>
      <c r="AD58" s="284" t="s">
        <v>13007</v>
      </c>
      <c r="AE58" s="284" t="s">
        <v>13054</v>
      </c>
      <c r="AF58" s="284" t="s">
        <v>13535</v>
      </c>
      <c r="AG58" s="284" t="s">
        <v>13033</v>
      </c>
      <c r="AH58" s="284" t="s">
        <v>13034</v>
      </c>
      <c r="AI58" s="284" t="s">
        <v>13536</v>
      </c>
      <c r="AJ58" s="284" t="s">
        <v>13036</v>
      </c>
      <c r="AK58" s="284" t="s">
        <v>13105</v>
      </c>
      <c r="AL58" s="284" t="s">
        <v>13038</v>
      </c>
      <c r="AM58" s="284" t="s">
        <v>13078</v>
      </c>
      <c r="AN58" s="284" t="s">
        <v>13091</v>
      </c>
      <c r="AO58" s="284" t="s">
        <v>13009</v>
      </c>
      <c r="AP58" s="284" t="s">
        <v>13011</v>
      </c>
      <c r="AQ58" s="284" t="s">
        <v>13058</v>
      </c>
      <c r="AR58" s="284" t="s">
        <v>13060</v>
      </c>
      <c r="AS58" s="284" t="s">
        <v>13537</v>
      </c>
      <c r="AT58" s="284" t="s">
        <v>13538</v>
      </c>
      <c r="AU58" s="284" t="s">
        <v>13539</v>
      </c>
      <c r="AV58" s="284" t="s">
        <v>13014</v>
      </c>
      <c r="AW58" s="284" t="s">
        <v>13540</v>
      </c>
      <c r="AX58" s="284" t="s">
        <v>13016</v>
      </c>
      <c r="AY58" s="284" t="s">
        <v>13541</v>
      </c>
      <c r="AZ58" s="284" t="s">
        <v>13542</v>
      </c>
      <c r="BA58" s="284"/>
      <c r="BB58" s="284"/>
      <c r="BC58" s="284"/>
      <c r="BD58" s="284"/>
      <c r="BE58" s="284"/>
      <c r="BF58" s="284"/>
      <c r="BG58" s="284"/>
      <c r="BH58" s="284"/>
      <c r="BI58" s="284"/>
      <c r="BJ58" s="284"/>
      <c r="BK58" s="284"/>
      <c r="BL58" s="284"/>
      <c r="BM58" s="284"/>
      <c r="BN58" s="284"/>
      <c r="BO58" s="284"/>
      <c r="BP58" s="284"/>
      <c r="BQ58" s="284"/>
      <c r="BR58" s="284"/>
      <c r="BS58" s="284"/>
      <c r="BT58" s="284"/>
      <c r="BU58" s="284"/>
      <c r="BV58" s="284"/>
      <c r="BW58" s="284"/>
      <c r="BX58" s="284"/>
      <c r="BY58" s="284"/>
      <c r="BZ58" s="284"/>
      <c r="CA58" s="284"/>
      <c r="CB58" s="284"/>
      <c r="CC58" s="284"/>
      <c r="CD58" s="284"/>
      <c r="CE58" s="284"/>
      <c r="CF58" s="284"/>
      <c r="CG58" s="284"/>
    </row>
    <row r="59" spans="1:85" x14ac:dyDescent="0.35">
      <c r="A59" s="284" t="s">
        <v>4539</v>
      </c>
      <c r="B59" s="284" t="s">
        <v>4540</v>
      </c>
      <c r="C59" t="s">
        <v>13021</v>
      </c>
      <c r="D59" s="284" t="s">
        <v>13023</v>
      </c>
      <c r="E59" s="284" t="s">
        <v>13235</v>
      </c>
      <c r="F59" s="284" t="s">
        <v>13543</v>
      </c>
      <c r="G59" s="284" t="s">
        <v>13474</v>
      </c>
      <c r="H59" s="284" t="s">
        <v>13074</v>
      </c>
      <c r="I59" s="284" t="s">
        <v>13243</v>
      </c>
      <c r="J59" s="284" t="s">
        <v>13028</v>
      </c>
      <c r="K59" s="284" t="s">
        <v>13003</v>
      </c>
      <c r="L59" s="284" t="s">
        <v>13191</v>
      </c>
      <c r="M59" s="284" t="s">
        <v>13248</v>
      </c>
      <c r="N59" s="284" t="s">
        <v>13035</v>
      </c>
      <c r="O59" s="284" t="s">
        <v>13394</v>
      </c>
      <c r="P59" s="284" t="s">
        <v>13078</v>
      </c>
      <c r="Q59" s="284" t="s">
        <v>13091</v>
      </c>
      <c r="R59" s="284" t="s">
        <v>13009</v>
      </c>
      <c r="S59" s="284" t="s">
        <v>13403</v>
      </c>
      <c r="T59" s="284" t="s">
        <v>13058</v>
      </c>
      <c r="U59" s="284" t="s">
        <v>13012</v>
      </c>
      <c r="V59" s="284" t="s">
        <v>13285</v>
      </c>
      <c r="W59" s="284" t="s">
        <v>13014</v>
      </c>
      <c r="X59" s="284" t="s">
        <v>13544</v>
      </c>
      <c r="Y59" s="284"/>
      <c r="Z59" s="284"/>
      <c r="AA59" s="284"/>
      <c r="AB59" s="284"/>
      <c r="AC59" s="284"/>
      <c r="AD59" s="284"/>
      <c r="AE59" s="284"/>
      <c r="AF59" s="284"/>
      <c r="AG59" s="284"/>
      <c r="AH59" s="284"/>
      <c r="AI59" s="284"/>
      <c r="AJ59" s="284"/>
      <c r="AK59" s="284"/>
      <c r="AL59" s="284"/>
      <c r="AM59" s="284"/>
      <c r="AN59" s="284"/>
      <c r="AO59" s="284"/>
      <c r="AP59" s="284"/>
      <c r="AQ59" s="284"/>
      <c r="AR59" s="284"/>
      <c r="AS59" s="284"/>
      <c r="AT59" s="284"/>
      <c r="AU59" s="284"/>
      <c r="AV59" s="284"/>
      <c r="AW59" s="284"/>
      <c r="AX59" s="284"/>
      <c r="AY59" s="284"/>
      <c r="AZ59" s="284"/>
      <c r="BA59" s="284"/>
      <c r="BB59" s="284"/>
      <c r="BC59" s="284"/>
      <c r="BD59" s="284"/>
      <c r="BE59" s="284"/>
      <c r="BF59" s="284"/>
      <c r="BG59" s="284"/>
      <c r="BH59" s="284"/>
      <c r="BI59" s="284"/>
      <c r="BJ59" s="284"/>
      <c r="BK59" s="284"/>
      <c r="BL59" s="284"/>
      <c r="BM59" s="284"/>
      <c r="BN59" s="284"/>
      <c r="BO59" s="284"/>
      <c r="BP59" s="284"/>
      <c r="BQ59" s="284"/>
      <c r="BR59" s="284"/>
      <c r="BS59" s="284"/>
      <c r="BT59" s="284"/>
      <c r="BU59" s="284"/>
      <c r="BV59" s="284"/>
      <c r="BW59" s="284"/>
      <c r="BX59" s="284"/>
      <c r="BY59" s="284"/>
      <c r="BZ59" s="284"/>
      <c r="CA59" s="284"/>
      <c r="CB59" s="284"/>
      <c r="CC59" s="284"/>
      <c r="CD59" s="284"/>
      <c r="CE59" s="284"/>
      <c r="CF59" s="284"/>
      <c r="CG59" s="284"/>
    </row>
    <row r="60" spans="1:85" x14ac:dyDescent="0.35">
      <c r="A60" s="284" t="s">
        <v>2136</v>
      </c>
      <c r="B60" s="284" t="s">
        <v>2137</v>
      </c>
      <c r="C60" s="284" t="s">
        <v>13545</v>
      </c>
      <c r="D60" s="284" t="s">
        <v>13072</v>
      </c>
      <c r="E60" s="284" t="s">
        <v>13023</v>
      </c>
      <c r="F60" s="284" t="s">
        <v>13082</v>
      </c>
      <c r="G60" s="284" t="s">
        <v>13546</v>
      </c>
      <c r="H60" s="284" t="s">
        <v>13547</v>
      </c>
      <c r="I60" s="284" t="s">
        <v>13065</v>
      </c>
      <c r="J60" s="284" t="s">
        <v>13548</v>
      </c>
      <c r="K60" s="284" t="s">
        <v>13273</v>
      </c>
      <c r="L60" s="284" t="s">
        <v>13549</v>
      </c>
      <c r="M60" s="284" t="s">
        <v>13550</v>
      </c>
      <c r="N60" s="284" t="s">
        <v>13551</v>
      </c>
      <c r="O60" s="284" t="s">
        <v>13049</v>
      </c>
      <c r="P60" s="284" t="s">
        <v>13552</v>
      </c>
      <c r="Q60" s="284" t="s">
        <v>13553</v>
      </c>
      <c r="R60" s="284" t="s">
        <v>13027</v>
      </c>
      <c r="S60" s="284" t="s">
        <v>13554</v>
      </c>
      <c r="T60" s="284" t="s">
        <v>13028</v>
      </c>
      <c r="U60" s="284" t="s">
        <v>13002</v>
      </c>
      <c r="V60" s="284" t="s">
        <v>13003</v>
      </c>
      <c r="W60" s="284" t="s">
        <v>13420</v>
      </c>
      <c r="X60" s="284" t="s">
        <v>13066</v>
      </c>
      <c r="Y60" s="284" t="s">
        <v>13555</v>
      </c>
      <c r="Z60" s="284" t="s">
        <v>13556</v>
      </c>
      <c r="AA60" s="284" t="s">
        <v>13557</v>
      </c>
      <c r="AB60" s="284" t="s">
        <v>13558</v>
      </c>
      <c r="AC60" s="284" t="s">
        <v>13559</v>
      </c>
      <c r="AD60" s="284" t="s">
        <v>13033</v>
      </c>
      <c r="AE60" s="284" t="s">
        <v>13034</v>
      </c>
      <c r="AF60" s="284" t="s">
        <v>13036</v>
      </c>
      <c r="AG60" s="284" t="s">
        <v>13560</v>
      </c>
      <c r="AH60" s="284" t="s">
        <v>13037</v>
      </c>
      <c r="AI60" s="284" t="s">
        <v>13038</v>
      </c>
      <c r="AJ60" s="284" t="s">
        <v>13091</v>
      </c>
      <c r="AK60" s="284" t="s">
        <v>13009</v>
      </c>
      <c r="AL60" s="284" t="s">
        <v>13561</v>
      </c>
      <c r="AM60" s="284" t="s">
        <v>13107</v>
      </c>
      <c r="AN60" s="284" t="s">
        <v>13562</v>
      </c>
      <c r="AO60" s="284" t="s">
        <v>13042</v>
      </c>
      <c r="AP60" s="284" t="s">
        <v>13096</v>
      </c>
      <c r="AQ60" s="284" t="s">
        <v>13156</v>
      </c>
      <c r="AR60" s="284" t="s">
        <v>13016</v>
      </c>
      <c r="AS60" s="284" t="s">
        <v>13563</v>
      </c>
      <c r="AT60" s="284"/>
      <c r="AU60" s="284"/>
      <c r="AV60" s="284"/>
      <c r="AW60" s="284"/>
      <c r="AX60" s="284"/>
      <c r="AY60" s="284"/>
      <c r="AZ60" s="284"/>
      <c r="BA60" s="284"/>
      <c r="BB60" s="284"/>
      <c r="BC60" s="284"/>
      <c r="BD60" s="284"/>
      <c r="BE60" s="284"/>
      <c r="BF60" s="284"/>
      <c r="BG60" s="284"/>
      <c r="BH60" s="284"/>
      <c r="BI60" s="284"/>
      <c r="BJ60" s="284"/>
      <c r="BK60" s="284"/>
      <c r="BL60" s="284"/>
      <c r="BM60" s="284"/>
      <c r="BN60" s="284"/>
      <c r="BO60" s="284"/>
      <c r="BP60" s="284"/>
      <c r="BQ60" s="284"/>
      <c r="BR60" s="284"/>
      <c r="BS60" s="284"/>
      <c r="BT60" s="284"/>
      <c r="BU60" s="284"/>
      <c r="BV60" s="284"/>
      <c r="BW60" s="284"/>
      <c r="BX60" s="284"/>
      <c r="BY60" s="284"/>
      <c r="BZ60" s="284"/>
      <c r="CA60" s="284"/>
      <c r="CB60" s="284"/>
      <c r="CC60" s="284"/>
      <c r="CD60" s="284"/>
      <c r="CE60" s="284"/>
      <c r="CF60" s="284"/>
    </row>
    <row r="61" spans="1:85" x14ac:dyDescent="0.35">
      <c r="A61" s="284" t="s">
        <v>10685</v>
      </c>
      <c r="B61" s="284" t="s">
        <v>10686</v>
      </c>
      <c r="C61" t="s">
        <v>13021</v>
      </c>
      <c r="D61" s="284" t="s">
        <v>13023</v>
      </c>
      <c r="E61" s="284" t="s">
        <v>13226</v>
      </c>
      <c r="F61" s="284" t="s">
        <v>13082</v>
      </c>
      <c r="G61" s="284" t="s">
        <v>13065</v>
      </c>
      <c r="H61" s="284" t="s">
        <v>13237</v>
      </c>
      <c r="I61" s="284" t="s">
        <v>13000</v>
      </c>
      <c r="J61" s="284" t="s">
        <v>13564</v>
      </c>
      <c r="K61" s="284" t="s">
        <v>13119</v>
      </c>
      <c r="L61" s="284" t="s">
        <v>13310</v>
      </c>
      <c r="M61" s="284" t="s">
        <v>13027</v>
      </c>
      <c r="N61" s="284" t="s">
        <v>13243</v>
      </c>
      <c r="O61" s="284" t="s">
        <v>13244</v>
      </c>
      <c r="P61" s="284" t="s">
        <v>13028</v>
      </c>
      <c r="Q61" s="284" t="s">
        <v>13002</v>
      </c>
      <c r="R61" s="284" t="s">
        <v>13003</v>
      </c>
      <c r="S61" s="284" t="s">
        <v>13420</v>
      </c>
      <c r="T61" s="284" t="s">
        <v>13066</v>
      </c>
      <c r="U61" s="284" t="s">
        <v>13201</v>
      </c>
      <c r="V61" s="284" t="s">
        <v>13248</v>
      </c>
      <c r="W61" s="284" t="s">
        <v>13250</v>
      </c>
      <c r="X61" s="284" t="s">
        <v>13008</v>
      </c>
      <c r="Y61" s="284" t="s">
        <v>13077</v>
      </c>
      <c r="Z61" s="284" t="s">
        <v>13031</v>
      </c>
      <c r="AA61" s="284" t="s">
        <v>13055</v>
      </c>
      <c r="AB61" s="284" t="s">
        <v>13033</v>
      </c>
      <c r="AC61" s="284" t="s">
        <v>13105</v>
      </c>
      <c r="AD61" s="284" t="s">
        <v>13009</v>
      </c>
      <c r="AE61" s="284" t="s">
        <v>13011</v>
      </c>
      <c r="AF61" s="284" t="s">
        <v>13257</v>
      </c>
      <c r="AG61" s="284" t="s">
        <v>13258</v>
      </c>
      <c r="AH61" s="284" t="s">
        <v>13565</v>
      </c>
      <c r="AI61" s="284" t="s">
        <v>13012</v>
      </c>
      <c r="AJ61" s="284" t="s">
        <v>13467</v>
      </c>
      <c r="AK61" s="284" t="s">
        <v>13206</v>
      </c>
      <c r="AL61" s="284" t="s">
        <v>13222</v>
      </c>
      <c r="AM61" s="284"/>
      <c r="AN61" s="284"/>
      <c r="AO61" s="284"/>
      <c r="AP61" s="284"/>
      <c r="AQ61" s="284"/>
      <c r="AR61" s="284"/>
      <c r="AS61" s="284"/>
      <c r="AT61" s="284"/>
      <c r="AU61" s="284"/>
      <c r="AV61" s="284"/>
      <c r="AW61" s="284"/>
      <c r="AX61" s="284"/>
      <c r="AY61" s="284"/>
      <c r="AZ61" s="284"/>
      <c r="BA61" s="284"/>
      <c r="BB61" s="284"/>
      <c r="BC61" s="284"/>
      <c r="BD61" s="284"/>
      <c r="BE61" s="284"/>
      <c r="BF61" s="284"/>
      <c r="BG61" s="284"/>
      <c r="BH61" s="284"/>
      <c r="BI61" s="284"/>
      <c r="BJ61" s="284"/>
      <c r="BK61" s="284"/>
      <c r="BL61" s="284"/>
      <c r="BM61" s="284"/>
      <c r="BN61" s="284"/>
      <c r="BO61" s="284"/>
      <c r="BP61" s="284"/>
      <c r="BQ61" s="284"/>
      <c r="BR61" s="284"/>
      <c r="BS61" s="284"/>
      <c r="BT61" s="284"/>
      <c r="BU61" s="284"/>
      <c r="BV61" s="284"/>
      <c r="BW61" s="284"/>
      <c r="BX61" s="284"/>
      <c r="BY61" s="284"/>
      <c r="BZ61" s="284"/>
      <c r="CA61" s="284"/>
      <c r="CB61" s="284"/>
      <c r="CC61" s="284"/>
      <c r="CD61" s="284"/>
      <c r="CE61" s="284"/>
      <c r="CF61" s="284"/>
      <c r="CG61" s="284"/>
    </row>
    <row r="62" spans="1:85" x14ac:dyDescent="0.35">
      <c r="A62" s="284" t="s">
        <v>9028</v>
      </c>
      <c r="B62" s="284" t="s">
        <v>9029</v>
      </c>
      <c r="C62" s="284" t="s">
        <v>13566</v>
      </c>
      <c r="D62" s="284" t="s">
        <v>13166</v>
      </c>
      <c r="E62" s="284" t="s">
        <v>13023</v>
      </c>
      <c r="F62" s="284" t="s">
        <v>13000</v>
      </c>
      <c r="G62" s="284" t="s">
        <v>13567</v>
      </c>
      <c r="H62" s="284" t="s">
        <v>13148</v>
      </c>
      <c r="I62" s="284" t="s">
        <v>13160</v>
      </c>
      <c r="J62" s="284" t="s">
        <v>13003</v>
      </c>
      <c r="K62" s="284" t="s">
        <v>13004</v>
      </c>
      <c r="L62" s="284" t="s">
        <v>13066</v>
      </c>
      <c r="M62" s="284" t="s">
        <v>13216</v>
      </c>
      <c r="N62" s="284" t="s">
        <v>13051</v>
      </c>
      <c r="O62" s="284" t="s">
        <v>13005</v>
      </c>
      <c r="P62" s="284" t="s">
        <v>13053</v>
      </c>
      <c r="Q62" s="284" t="s">
        <v>13006</v>
      </c>
      <c r="R62" s="284" t="s">
        <v>13007</v>
      </c>
      <c r="S62" s="284" t="s">
        <v>13568</v>
      </c>
      <c r="T62" s="284" t="s">
        <v>13054</v>
      </c>
      <c r="U62" s="284" t="s">
        <v>13033</v>
      </c>
      <c r="V62" s="284" t="s">
        <v>13569</v>
      </c>
      <c r="W62" s="284" t="s">
        <v>13009</v>
      </c>
      <c r="X62" s="284" t="s">
        <v>13010</v>
      </c>
      <c r="Y62" s="284" t="s">
        <v>13011</v>
      </c>
      <c r="Z62" s="284" t="s">
        <v>13012</v>
      </c>
      <c r="AA62" s="284" t="s">
        <v>13094</v>
      </c>
      <c r="AB62" s="284" t="s">
        <v>13014</v>
      </c>
      <c r="AC62" s="284" t="s">
        <v>13079</v>
      </c>
      <c r="AD62" s="284" t="s">
        <v>13570</v>
      </c>
      <c r="AE62" s="284" t="s">
        <v>13364</v>
      </c>
      <c r="AF62" s="284" t="s">
        <v>13207</v>
      </c>
      <c r="AG62" s="284"/>
      <c r="AH62" s="284"/>
      <c r="AI62" s="284"/>
      <c r="AJ62" s="284"/>
      <c r="AK62" s="284"/>
      <c r="AL62" s="284"/>
      <c r="AM62" s="284"/>
      <c r="AN62" s="284"/>
      <c r="AO62" s="284"/>
      <c r="AP62" s="284"/>
      <c r="AQ62" s="284"/>
      <c r="AR62" s="284"/>
      <c r="AS62" s="284"/>
      <c r="AT62" s="284"/>
      <c r="AU62" s="284"/>
      <c r="AV62" s="284"/>
      <c r="AW62" s="284"/>
      <c r="AX62" s="284"/>
      <c r="AY62" s="284"/>
      <c r="AZ62" s="284"/>
      <c r="BA62" s="284"/>
      <c r="BB62" s="284"/>
      <c r="BC62" s="284"/>
      <c r="BD62" s="284"/>
      <c r="BE62" s="284"/>
      <c r="BF62" s="284"/>
      <c r="BG62" s="284"/>
      <c r="BH62" s="284"/>
      <c r="BI62" s="284"/>
      <c r="BJ62" s="284"/>
      <c r="BK62" s="284"/>
      <c r="BL62" s="284"/>
      <c r="BM62" s="284"/>
      <c r="BN62" s="284"/>
      <c r="BO62" s="284"/>
      <c r="BP62" s="284"/>
      <c r="BQ62" s="284"/>
      <c r="BR62" s="284"/>
      <c r="BS62" s="284"/>
      <c r="BT62" s="284"/>
      <c r="BU62" s="284"/>
      <c r="BV62" s="284"/>
      <c r="BW62" s="284"/>
      <c r="BX62" s="284"/>
      <c r="BY62" s="284"/>
      <c r="BZ62" s="284"/>
      <c r="CA62" s="284"/>
      <c r="CB62" s="284"/>
      <c r="CC62" s="284"/>
      <c r="CD62" s="284"/>
      <c r="CE62" s="284"/>
      <c r="CF62" s="284"/>
    </row>
    <row r="63" spans="1:85" x14ac:dyDescent="0.35">
      <c r="A63" s="284" t="s">
        <v>11481</v>
      </c>
      <c r="B63" s="284" t="s">
        <v>11482</v>
      </c>
      <c r="C63" t="s">
        <v>13571</v>
      </c>
      <c r="D63" s="284" t="s">
        <v>13110</v>
      </c>
      <c r="E63" s="284" t="s">
        <v>13166</v>
      </c>
      <c r="F63" s="284" t="s">
        <v>13046</v>
      </c>
      <c r="G63" s="284" t="s">
        <v>13572</v>
      </c>
      <c r="H63" s="284" t="s">
        <v>13021</v>
      </c>
      <c r="I63" s="284" t="s">
        <v>13023</v>
      </c>
      <c r="J63" s="284" t="s">
        <v>13573</v>
      </c>
      <c r="K63" s="284" t="s">
        <v>13065</v>
      </c>
      <c r="L63" s="284" t="s">
        <v>13380</v>
      </c>
      <c r="M63" s="284" t="s">
        <v>13318</v>
      </c>
      <c r="N63" s="284" t="s">
        <v>13210</v>
      </c>
      <c r="O63" s="284" t="s">
        <v>13358</v>
      </c>
      <c r="P63" s="284" t="s">
        <v>13159</v>
      </c>
      <c r="Q63" s="284" t="s">
        <v>13000</v>
      </c>
      <c r="R63" s="284" t="s">
        <v>13098</v>
      </c>
      <c r="S63" s="284" t="s">
        <v>13383</v>
      </c>
      <c r="T63" s="284" t="s">
        <v>13574</v>
      </c>
      <c r="U63" s="284" t="s">
        <v>13384</v>
      </c>
      <c r="V63" s="284" t="s">
        <v>13575</v>
      </c>
      <c r="W63" s="284" t="s">
        <v>13099</v>
      </c>
      <c r="X63" s="284" t="s">
        <v>13576</v>
      </c>
      <c r="Y63" s="284" t="s">
        <v>13049</v>
      </c>
      <c r="Z63" s="284" t="s">
        <v>13027</v>
      </c>
      <c r="AA63" s="284" t="s">
        <v>13001</v>
      </c>
      <c r="AB63" s="284" t="s">
        <v>13149</v>
      </c>
      <c r="AC63" s="284" t="s">
        <v>13050</v>
      </c>
      <c r="AD63" s="284" t="s">
        <v>13215</v>
      </c>
      <c r="AE63" s="284" t="s">
        <v>13002</v>
      </c>
      <c r="AF63" s="284" t="s">
        <v>13003</v>
      </c>
      <c r="AG63" s="284" t="s">
        <v>13004</v>
      </c>
      <c r="AH63" s="284" t="s">
        <v>13216</v>
      </c>
      <c r="AI63" s="284" t="s">
        <v>13201</v>
      </c>
      <c r="AJ63" s="284" t="s">
        <v>13076</v>
      </c>
      <c r="AK63" s="284" t="s">
        <v>13005</v>
      </c>
      <c r="AL63" s="284" t="s">
        <v>13101</v>
      </c>
      <c r="AM63" s="284" t="s">
        <v>13029</v>
      </c>
      <c r="AN63" s="284" t="s">
        <v>13339</v>
      </c>
      <c r="AO63" s="284" t="s">
        <v>13577</v>
      </c>
      <c r="AP63" s="284" t="s">
        <v>13006</v>
      </c>
      <c r="AQ63" s="284" t="s">
        <v>13007</v>
      </c>
      <c r="AR63" s="284" t="s">
        <v>13103</v>
      </c>
      <c r="AS63" s="284" t="s">
        <v>13054</v>
      </c>
      <c r="AT63" s="284" t="s">
        <v>13340</v>
      </c>
      <c r="AU63" s="284" t="s">
        <v>13008</v>
      </c>
      <c r="AV63" s="284" t="s">
        <v>13077</v>
      </c>
      <c r="AW63" s="284" t="s">
        <v>13055</v>
      </c>
      <c r="AX63" s="284" t="s">
        <v>13104</v>
      </c>
      <c r="AY63" s="284" t="s">
        <v>13218</v>
      </c>
      <c r="AZ63" s="284" t="s">
        <v>13033</v>
      </c>
      <c r="BA63" s="284" t="s">
        <v>13578</v>
      </c>
      <c r="BB63" s="284" t="s">
        <v>13389</v>
      </c>
      <c r="BC63" s="284" t="s">
        <v>13037</v>
      </c>
      <c r="BD63" s="284" t="s">
        <v>13038</v>
      </c>
      <c r="BE63" s="284" t="s">
        <v>13039</v>
      </c>
      <c r="BF63" s="284" t="s">
        <v>13009</v>
      </c>
      <c r="BG63" s="284" t="s">
        <v>13011</v>
      </c>
      <c r="BH63" s="284" t="s">
        <v>13579</v>
      </c>
      <c r="BI63" s="284" t="s">
        <v>13058</v>
      </c>
      <c r="BJ63" s="284" t="s">
        <v>13041</v>
      </c>
      <c r="BK63" s="284" t="s">
        <v>13220</v>
      </c>
      <c r="BL63" s="284" t="s">
        <v>13580</v>
      </c>
      <c r="BM63" s="284" t="s">
        <v>13014</v>
      </c>
      <c r="BN63" s="284" t="s">
        <v>13042</v>
      </c>
      <c r="BO63" s="284" t="s">
        <v>13062</v>
      </c>
      <c r="BP63" s="284" t="s">
        <v>13144</v>
      </c>
      <c r="BQ63" s="284"/>
      <c r="BR63" s="284"/>
      <c r="BS63" s="284"/>
      <c r="BT63" s="284"/>
      <c r="BU63" s="284"/>
      <c r="BV63" s="284"/>
      <c r="BW63" s="284"/>
      <c r="BX63" s="284"/>
      <c r="BY63" s="284"/>
      <c r="BZ63" s="284"/>
      <c r="CA63" s="284"/>
      <c r="CB63" s="284"/>
      <c r="CC63" s="284"/>
      <c r="CD63" s="284"/>
      <c r="CE63" s="284"/>
      <c r="CF63" s="284"/>
      <c r="CG63" s="284"/>
    </row>
    <row r="64" spans="1:85" x14ac:dyDescent="0.35">
      <c r="A64" s="284" t="s">
        <v>2756</v>
      </c>
      <c r="B64" s="284" t="s">
        <v>2757</v>
      </c>
      <c r="C64" s="284" t="s">
        <v>13023</v>
      </c>
      <c r="D64" s="284" t="s">
        <v>13147</v>
      </c>
      <c r="E64" s="284" t="s">
        <v>13549</v>
      </c>
      <c r="F64" s="284" t="s">
        <v>13238</v>
      </c>
      <c r="G64" s="284" t="s">
        <v>13119</v>
      </c>
      <c r="H64" s="284" t="s">
        <v>13581</v>
      </c>
      <c r="I64" s="284" t="s">
        <v>13085</v>
      </c>
      <c r="J64" s="284" t="s">
        <v>13168</v>
      </c>
      <c r="K64" s="284" t="s">
        <v>13027</v>
      </c>
      <c r="L64" s="284" t="s">
        <v>13028</v>
      </c>
      <c r="M64" s="284" t="s">
        <v>13002</v>
      </c>
      <c r="N64" s="284" t="s">
        <v>13003</v>
      </c>
      <c r="O64" s="284" t="s">
        <v>13066</v>
      </c>
      <c r="P64" s="284" t="s">
        <v>13582</v>
      </c>
      <c r="Q64" s="284" t="s">
        <v>13583</v>
      </c>
      <c r="R64" s="284" t="s">
        <v>13584</v>
      </c>
      <c r="S64" s="284" t="s">
        <v>13585</v>
      </c>
      <c r="T64" s="284" t="s">
        <v>13516</v>
      </c>
      <c r="U64" s="284" t="s">
        <v>13032</v>
      </c>
      <c r="V64" s="284" t="s">
        <v>13036</v>
      </c>
      <c r="W64" s="284" t="s">
        <v>13560</v>
      </c>
      <c r="X64" s="284" t="s">
        <v>13009</v>
      </c>
      <c r="Y64" s="284" t="s">
        <v>13285</v>
      </c>
      <c r="Z64" s="284" t="s">
        <v>13586</v>
      </c>
      <c r="AA64" s="284" t="s">
        <v>13562</v>
      </c>
      <c r="AB64" s="284" t="s">
        <v>13042</v>
      </c>
      <c r="AC64" s="284" t="s">
        <v>13061</v>
      </c>
      <c r="AD64" s="284" t="s">
        <v>13156</v>
      </c>
      <c r="AE64" s="284" t="s">
        <v>13587</v>
      </c>
      <c r="AF64" s="284"/>
      <c r="AG64" s="284"/>
      <c r="AH64" s="284"/>
      <c r="AI64" s="284"/>
      <c r="AJ64" s="284"/>
      <c r="AK64" s="284"/>
      <c r="AL64" s="284"/>
      <c r="AM64" s="284"/>
      <c r="AN64" s="284"/>
      <c r="AO64" s="284"/>
      <c r="AP64" s="284"/>
      <c r="AQ64" s="284"/>
      <c r="AR64" s="284"/>
      <c r="AS64" s="284"/>
      <c r="AT64" s="284"/>
      <c r="AU64" s="284"/>
      <c r="AV64" s="284"/>
      <c r="AW64" s="284"/>
      <c r="AX64" s="284"/>
      <c r="AY64" s="284"/>
      <c r="AZ64" s="284"/>
      <c r="BA64" s="284"/>
      <c r="BB64" s="284"/>
      <c r="BC64" s="284"/>
      <c r="BD64" s="284"/>
      <c r="BE64" s="284"/>
      <c r="BF64" s="284"/>
      <c r="BG64" s="284"/>
      <c r="BH64" s="284"/>
      <c r="BI64" s="284"/>
      <c r="BJ64" s="284"/>
      <c r="BK64" s="284"/>
      <c r="BL64" s="284"/>
      <c r="BM64" s="284"/>
      <c r="BN64" s="284"/>
      <c r="BO64" s="284"/>
      <c r="BP64" s="284"/>
      <c r="BQ64" s="284"/>
      <c r="BR64" s="284"/>
      <c r="BS64" s="284"/>
      <c r="BT64" s="284"/>
      <c r="BU64" s="284"/>
      <c r="BV64" s="284"/>
      <c r="BW64" s="284"/>
      <c r="BX64" s="284"/>
      <c r="BY64" s="284"/>
      <c r="BZ64" s="284"/>
      <c r="CA64" s="284"/>
      <c r="CB64" s="284"/>
      <c r="CC64" s="284"/>
      <c r="CD64" s="284"/>
      <c r="CE64" s="284"/>
      <c r="CF64" s="284"/>
    </row>
    <row r="65" spans="1:85" x14ac:dyDescent="0.35">
      <c r="A65" s="284" t="s">
        <v>5225</v>
      </c>
      <c r="B65" s="284" t="s">
        <v>5226</v>
      </c>
      <c r="C65" t="s">
        <v>13588</v>
      </c>
      <c r="D65" s="284" t="s">
        <v>13022</v>
      </c>
      <c r="E65" s="284" t="s">
        <v>13023</v>
      </c>
      <c r="F65" s="284" t="s">
        <v>13082</v>
      </c>
      <c r="G65" s="284" t="s">
        <v>13000</v>
      </c>
      <c r="H65" s="284" t="s">
        <v>13212</v>
      </c>
      <c r="I65" s="284" t="s">
        <v>13074</v>
      </c>
      <c r="J65" s="284" t="s">
        <v>13397</v>
      </c>
      <c r="K65" s="284" t="s">
        <v>13168</v>
      </c>
      <c r="L65" s="284" t="s">
        <v>13027</v>
      </c>
      <c r="M65" s="284" t="s">
        <v>13050</v>
      </c>
      <c r="N65" s="284" t="s">
        <v>13028</v>
      </c>
      <c r="O65" s="284" t="s">
        <v>13199</v>
      </c>
      <c r="P65" s="284" t="s">
        <v>13125</v>
      </c>
      <c r="Q65" s="284" t="s">
        <v>13178</v>
      </c>
      <c r="R65" s="284" t="s">
        <v>13076</v>
      </c>
      <c r="S65" s="284" t="s">
        <v>13005</v>
      </c>
      <c r="T65" s="284" t="s">
        <v>13589</v>
      </c>
      <c r="U65" s="284" t="s">
        <v>13006</v>
      </c>
      <c r="V65" s="284" t="s">
        <v>13103</v>
      </c>
      <c r="W65" s="284" t="s">
        <v>13054</v>
      </c>
      <c r="X65" s="284" t="s">
        <v>13131</v>
      </c>
      <c r="Y65" s="284" t="s">
        <v>13135</v>
      </c>
      <c r="Z65" s="284" t="s">
        <v>13104</v>
      </c>
      <c r="AA65" s="284" t="s">
        <v>13037</v>
      </c>
      <c r="AB65" s="284" t="s">
        <v>13402</v>
      </c>
      <c r="AC65" s="284" t="s">
        <v>13038</v>
      </c>
      <c r="AD65" s="284" t="s">
        <v>13039</v>
      </c>
      <c r="AE65" s="284" t="s">
        <v>13009</v>
      </c>
      <c r="AF65" s="284" t="s">
        <v>13203</v>
      </c>
      <c r="AG65" s="284" t="s">
        <v>13590</v>
      </c>
      <c r="AH65" s="284" t="s">
        <v>13591</v>
      </c>
      <c r="AI65" s="284" t="s">
        <v>13395</v>
      </c>
      <c r="AJ65" s="284" t="s">
        <v>13142</v>
      </c>
      <c r="AK65" s="284" t="s">
        <v>13016</v>
      </c>
      <c r="AL65" s="284"/>
      <c r="AM65" s="284"/>
      <c r="AN65" s="284"/>
      <c r="AO65" s="284"/>
      <c r="AP65" s="284"/>
      <c r="AQ65" s="284"/>
      <c r="AR65" s="284"/>
      <c r="AS65" s="284"/>
      <c r="AT65" s="284"/>
      <c r="AU65" s="284"/>
      <c r="AV65" s="284"/>
      <c r="AW65" s="284"/>
      <c r="AX65" s="284"/>
      <c r="AY65" s="284"/>
      <c r="AZ65" s="284"/>
      <c r="BA65" s="284"/>
      <c r="BB65" s="284"/>
      <c r="BC65" s="284"/>
      <c r="BD65" s="284"/>
      <c r="BE65" s="284"/>
      <c r="BF65" s="284"/>
      <c r="BG65" s="284"/>
      <c r="BH65" s="284"/>
      <c r="BI65" s="284"/>
      <c r="BJ65" s="284"/>
      <c r="BK65" s="284"/>
      <c r="BL65" s="284"/>
      <c r="BM65" s="284"/>
      <c r="BN65" s="284"/>
      <c r="BO65" s="284"/>
      <c r="BP65" s="284"/>
      <c r="BQ65" s="284"/>
      <c r="BR65" s="284"/>
      <c r="BS65" s="284"/>
      <c r="BT65" s="284"/>
      <c r="BU65" s="284"/>
      <c r="BV65" s="284"/>
      <c r="BW65" s="284"/>
      <c r="BX65" s="284"/>
      <c r="BY65" s="284"/>
      <c r="BZ65" s="284"/>
      <c r="CA65" s="284"/>
      <c r="CB65" s="284"/>
      <c r="CC65" s="284"/>
      <c r="CD65" s="284"/>
      <c r="CE65" s="284"/>
      <c r="CF65" s="284"/>
      <c r="CG65" s="284"/>
    </row>
    <row r="66" spans="1:85" x14ac:dyDescent="0.35">
      <c r="A66" s="284" t="s">
        <v>476</v>
      </c>
      <c r="B66" s="284" t="s">
        <v>477</v>
      </c>
      <c r="C66" t="s">
        <v>13592</v>
      </c>
      <c r="D66" s="284" t="s">
        <v>13593</v>
      </c>
      <c r="E66" s="284" t="s">
        <v>13072</v>
      </c>
      <c r="F66" s="284" t="s">
        <v>13023</v>
      </c>
      <c r="G66" s="284" t="s">
        <v>13113</v>
      </c>
      <c r="H66" s="284" t="s">
        <v>13546</v>
      </c>
      <c r="I66" s="284" t="s">
        <v>13547</v>
      </c>
      <c r="J66" s="284" t="s">
        <v>13065</v>
      </c>
      <c r="K66" s="284" t="s">
        <v>13594</v>
      </c>
      <c r="L66" s="284" t="s">
        <v>13288</v>
      </c>
      <c r="M66" s="284" t="s">
        <v>13595</v>
      </c>
      <c r="N66" s="284" t="s">
        <v>13549</v>
      </c>
      <c r="O66" s="284" t="s">
        <v>13238</v>
      </c>
      <c r="P66" s="284" t="s">
        <v>13085</v>
      </c>
      <c r="Q66" s="284" t="s">
        <v>13552</v>
      </c>
      <c r="R66" s="284" t="s">
        <v>13027</v>
      </c>
      <c r="S66" s="284" t="s">
        <v>13149</v>
      </c>
      <c r="T66" s="284" t="s">
        <v>13554</v>
      </c>
      <c r="U66" s="284" t="s">
        <v>13028</v>
      </c>
      <c r="V66" s="284" t="s">
        <v>13002</v>
      </c>
      <c r="W66" s="284" t="s">
        <v>13003</v>
      </c>
      <c r="X66" s="284" t="s">
        <v>13066</v>
      </c>
      <c r="Y66" s="284" t="s">
        <v>13556</v>
      </c>
      <c r="Z66" s="284" t="s">
        <v>13557</v>
      </c>
      <c r="AA66" s="284" t="s">
        <v>13558</v>
      </c>
      <c r="AB66" s="284" t="s">
        <v>13596</v>
      </c>
      <c r="AC66" s="284" t="s">
        <v>13559</v>
      </c>
      <c r="AD66" s="284" t="s">
        <v>13033</v>
      </c>
      <c r="AE66" s="284" t="s">
        <v>13034</v>
      </c>
      <c r="AF66" s="284" t="s">
        <v>13036</v>
      </c>
      <c r="AG66" s="284" t="s">
        <v>13560</v>
      </c>
      <c r="AH66" s="284" t="s">
        <v>13037</v>
      </c>
      <c r="AI66" s="284" t="s">
        <v>13078</v>
      </c>
      <c r="AJ66" s="284" t="s">
        <v>13009</v>
      </c>
      <c r="AK66" s="284" t="s">
        <v>13597</v>
      </c>
      <c r="AL66" s="284" t="s">
        <v>13598</v>
      </c>
      <c r="AM66" s="284" t="s">
        <v>13096</v>
      </c>
      <c r="AN66" s="284" t="s">
        <v>13156</v>
      </c>
      <c r="AO66" s="284"/>
      <c r="AP66" s="284"/>
      <c r="AQ66" s="284"/>
      <c r="AR66" s="284"/>
      <c r="AS66" s="284"/>
      <c r="AT66" s="284"/>
      <c r="AU66" s="284"/>
      <c r="AV66" s="284"/>
      <c r="AW66" s="284"/>
      <c r="AX66" s="284"/>
      <c r="AY66" s="284"/>
      <c r="AZ66" s="284"/>
      <c r="BA66" s="284"/>
      <c r="BB66" s="284"/>
      <c r="BC66" s="284"/>
      <c r="BD66" s="284"/>
      <c r="BE66" s="284"/>
      <c r="BF66" s="284"/>
      <c r="BG66" s="284"/>
      <c r="BH66" s="284"/>
      <c r="BI66" s="284"/>
      <c r="BJ66" s="284"/>
      <c r="BK66" s="284"/>
      <c r="BL66" s="284"/>
      <c r="BM66" s="284"/>
      <c r="BN66" s="284"/>
      <c r="BO66" s="284"/>
      <c r="BP66" s="284"/>
      <c r="BQ66" s="284"/>
      <c r="BR66" s="284"/>
      <c r="BS66" s="284"/>
      <c r="BT66" s="284"/>
      <c r="BU66" s="284"/>
      <c r="BV66" s="284"/>
      <c r="BW66" s="284"/>
      <c r="BX66" s="284"/>
      <c r="BY66" s="284"/>
      <c r="BZ66" s="284"/>
      <c r="CA66" s="284"/>
      <c r="CB66" s="284"/>
      <c r="CC66" s="284"/>
      <c r="CD66" s="284"/>
      <c r="CE66" s="284"/>
      <c r="CF66" s="284"/>
      <c r="CG66" s="284"/>
    </row>
    <row r="67" spans="1:85" x14ac:dyDescent="0.35">
      <c r="A67" s="284" t="s">
        <v>5509</v>
      </c>
      <c r="B67" s="284" t="s">
        <v>5510</v>
      </c>
      <c r="C67" t="s">
        <v>13599</v>
      </c>
      <c r="D67" s="284" t="s">
        <v>13021</v>
      </c>
      <c r="E67" s="284" t="s">
        <v>13023</v>
      </c>
      <c r="F67" s="284" t="s">
        <v>13210</v>
      </c>
      <c r="G67" s="284" t="s">
        <v>13000</v>
      </c>
      <c r="H67" s="284" t="s">
        <v>13212</v>
      </c>
      <c r="I67" s="284" t="s">
        <v>13600</v>
      </c>
      <c r="J67" s="284" t="s">
        <v>13601</v>
      </c>
      <c r="K67" s="284" t="s">
        <v>13027</v>
      </c>
      <c r="L67" s="284" t="s">
        <v>13602</v>
      </c>
      <c r="M67" s="284" t="s">
        <v>13603</v>
      </c>
      <c r="N67" s="284" t="s">
        <v>13004</v>
      </c>
      <c r="O67" s="284" t="s">
        <v>13005</v>
      </c>
      <c r="P67" s="284" t="s">
        <v>13029</v>
      </c>
      <c r="Q67" s="284" t="s">
        <v>13007</v>
      </c>
      <c r="R67" s="284" t="s">
        <v>13217</v>
      </c>
      <c r="S67" s="284" t="s">
        <v>13008</v>
      </c>
      <c r="T67" s="284" t="s">
        <v>13077</v>
      </c>
      <c r="U67" s="284" t="s">
        <v>13033</v>
      </c>
      <c r="V67" s="284" t="s">
        <v>13037</v>
      </c>
      <c r="W67" s="284" t="s">
        <v>13038</v>
      </c>
      <c r="X67" s="284" t="s">
        <v>13039</v>
      </c>
      <c r="Y67" s="284" t="s">
        <v>13078</v>
      </c>
      <c r="Z67" s="284" t="s">
        <v>13011</v>
      </c>
      <c r="AA67" s="284" t="s">
        <v>13042</v>
      </c>
      <c r="AB67" s="284" t="s">
        <v>13079</v>
      </c>
      <c r="AC67" s="284" t="s">
        <v>13080</v>
      </c>
      <c r="AD67" s="284" t="s">
        <v>13108</v>
      </c>
      <c r="AE67" s="284"/>
      <c r="AF67" s="284"/>
      <c r="AG67" s="284"/>
      <c r="AH67" s="284"/>
      <c r="AI67" s="284"/>
      <c r="AJ67" s="284"/>
      <c r="AK67" s="284"/>
      <c r="AL67" s="284"/>
      <c r="AM67" s="284"/>
      <c r="AN67" s="284"/>
      <c r="AO67" s="284"/>
      <c r="AP67" s="284"/>
      <c r="AQ67" s="284"/>
      <c r="AR67" s="284"/>
      <c r="AS67" s="284"/>
      <c r="AT67" s="284"/>
      <c r="AU67" s="284"/>
      <c r="AV67" s="284"/>
      <c r="AW67" s="284"/>
      <c r="AX67" s="284"/>
      <c r="AY67" s="284"/>
      <c r="AZ67" s="284"/>
      <c r="BA67" s="284"/>
      <c r="BB67" s="284"/>
      <c r="BC67" s="284"/>
      <c r="BD67" s="284"/>
      <c r="BE67" s="284"/>
      <c r="BF67" s="284"/>
      <c r="BG67" s="284"/>
      <c r="BH67" s="284"/>
      <c r="BI67" s="284"/>
      <c r="BJ67" s="284"/>
      <c r="BK67" s="284"/>
      <c r="BL67" s="284"/>
      <c r="BM67" s="284"/>
      <c r="BN67" s="284"/>
      <c r="BO67" s="284"/>
      <c r="BP67" s="284"/>
      <c r="BQ67" s="284"/>
      <c r="BR67" s="284"/>
      <c r="BS67" s="284"/>
      <c r="BT67" s="284"/>
      <c r="BU67" s="284"/>
      <c r="BV67" s="284"/>
      <c r="BW67" s="284"/>
      <c r="BX67" s="284"/>
      <c r="BY67" s="284"/>
      <c r="BZ67" s="284"/>
      <c r="CA67" s="284"/>
      <c r="CB67" s="284"/>
      <c r="CC67" s="284"/>
      <c r="CD67" s="284"/>
      <c r="CE67" s="284"/>
      <c r="CF67" s="284"/>
      <c r="CG67" s="284"/>
    </row>
    <row r="68" spans="1:85" x14ac:dyDescent="0.35">
      <c r="A68" s="284" t="s">
        <v>896</v>
      </c>
      <c r="B68" s="284" t="s">
        <v>897</v>
      </c>
      <c r="C68" t="s">
        <v>13604</v>
      </c>
      <c r="D68" s="284" t="s">
        <v>13019</v>
      </c>
      <c r="E68" s="284" t="s">
        <v>13022</v>
      </c>
      <c r="F68" s="284" t="s">
        <v>13023</v>
      </c>
      <c r="G68" s="284" t="s">
        <v>13605</v>
      </c>
      <c r="H68" s="284" t="s">
        <v>13082</v>
      </c>
      <c r="I68" s="284" t="s">
        <v>13065</v>
      </c>
      <c r="J68" s="284" t="s">
        <v>13238</v>
      </c>
      <c r="K68" s="284" t="s">
        <v>13606</v>
      </c>
      <c r="L68" s="284" t="s">
        <v>13607</v>
      </c>
      <c r="M68" s="284" t="s">
        <v>13119</v>
      </c>
      <c r="N68" s="284" t="s">
        <v>13024</v>
      </c>
      <c r="O68" s="284" t="s">
        <v>13168</v>
      </c>
      <c r="P68" s="284" t="s">
        <v>13026</v>
      </c>
      <c r="Q68" s="284" t="s">
        <v>13027</v>
      </c>
      <c r="R68" s="284" t="s">
        <v>13148</v>
      </c>
      <c r="S68" s="284" t="s">
        <v>13028</v>
      </c>
      <c r="T68" s="284" t="s">
        <v>13002</v>
      </c>
      <c r="U68" s="284" t="s">
        <v>13003</v>
      </c>
      <c r="V68" s="284" t="s">
        <v>13066</v>
      </c>
      <c r="W68" s="284" t="s">
        <v>13076</v>
      </c>
      <c r="X68" s="284" t="s">
        <v>13029</v>
      </c>
      <c r="Y68" s="284" t="s">
        <v>13006</v>
      </c>
      <c r="Z68" s="284" t="s">
        <v>13162</v>
      </c>
      <c r="AA68" s="284" t="s">
        <v>13030</v>
      </c>
      <c r="AB68" s="284" t="s">
        <v>13033</v>
      </c>
      <c r="AC68" s="284" t="s">
        <v>13034</v>
      </c>
      <c r="AD68" s="284" t="s">
        <v>13136</v>
      </c>
      <c r="AE68" s="284" t="s">
        <v>13038</v>
      </c>
      <c r="AF68" s="284" t="s">
        <v>13039</v>
      </c>
      <c r="AG68" s="284" t="s">
        <v>13078</v>
      </c>
      <c r="AH68" s="284" t="s">
        <v>13009</v>
      </c>
      <c r="AI68" s="284" t="s">
        <v>13041</v>
      </c>
      <c r="AJ68" s="284" t="s">
        <v>13012</v>
      </c>
      <c r="AK68" s="284" t="s">
        <v>13014</v>
      </c>
      <c r="AL68" s="284" t="s">
        <v>13042</v>
      </c>
      <c r="AM68" s="284" t="s">
        <v>13608</v>
      </c>
      <c r="AN68" s="284" t="s">
        <v>13070</v>
      </c>
      <c r="AO68" s="284" t="s">
        <v>13044</v>
      </c>
      <c r="AP68" s="284"/>
      <c r="AQ68" s="284"/>
      <c r="AR68" s="284"/>
      <c r="AS68" s="284"/>
      <c r="AT68" s="284"/>
      <c r="AU68" s="284"/>
      <c r="AV68" s="284"/>
      <c r="AW68" s="284"/>
      <c r="AX68" s="284"/>
      <c r="AY68" s="284"/>
      <c r="AZ68" s="284"/>
      <c r="BA68" s="284"/>
      <c r="BB68" s="284"/>
      <c r="BC68" s="284"/>
      <c r="BD68" s="284"/>
      <c r="BE68" s="284"/>
      <c r="BF68" s="284"/>
      <c r="BG68" s="284"/>
      <c r="BH68" s="284"/>
      <c r="BI68" s="284"/>
      <c r="BJ68" s="284"/>
      <c r="BK68" s="284"/>
      <c r="BL68" s="284"/>
      <c r="BM68" s="284"/>
      <c r="BN68" s="284"/>
      <c r="BO68" s="284"/>
      <c r="BP68" s="284"/>
      <c r="BQ68" s="284"/>
      <c r="BR68" s="284"/>
      <c r="BS68" s="284"/>
      <c r="BT68" s="284"/>
      <c r="BU68" s="284"/>
      <c r="BV68" s="284"/>
      <c r="BW68" s="284"/>
      <c r="BX68" s="284"/>
      <c r="BY68" s="284"/>
      <c r="BZ68" s="284"/>
      <c r="CA68" s="284"/>
      <c r="CB68" s="284"/>
      <c r="CC68" s="284"/>
      <c r="CD68" s="284"/>
      <c r="CE68" s="284"/>
      <c r="CF68" s="284"/>
      <c r="CG68" s="284"/>
    </row>
    <row r="69" spans="1:85" x14ac:dyDescent="0.35">
      <c r="A69" s="284" t="s">
        <v>3251</v>
      </c>
      <c r="B69" s="284" t="s">
        <v>3252</v>
      </c>
      <c r="C69" t="s">
        <v>13609</v>
      </c>
      <c r="D69" s="284" t="s">
        <v>13610</v>
      </c>
      <c r="E69" s="284" t="s">
        <v>13024</v>
      </c>
      <c r="F69" s="284" t="s">
        <v>13026</v>
      </c>
      <c r="G69" s="284" t="s">
        <v>13027</v>
      </c>
      <c r="H69" s="284" t="s">
        <v>13611</v>
      </c>
      <c r="I69" s="284" t="s">
        <v>13148</v>
      </c>
      <c r="J69" s="284" t="s">
        <v>13028</v>
      </c>
      <c r="K69" s="284" t="s">
        <v>13003</v>
      </c>
      <c r="L69" s="284" t="s">
        <v>13612</v>
      </c>
      <c r="M69" s="284" t="s">
        <v>13029</v>
      </c>
      <c r="N69" s="284" t="s">
        <v>13006</v>
      </c>
      <c r="O69" s="284" t="s">
        <v>13030</v>
      </c>
      <c r="P69" s="284" t="s">
        <v>13613</v>
      </c>
      <c r="Q69" s="284" t="s">
        <v>13034</v>
      </c>
      <c r="R69" s="284" t="s">
        <v>13035</v>
      </c>
      <c r="S69" s="284" t="s">
        <v>13105</v>
      </c>
      <c r="T69" s="284" t="s">
        <v>13038</v>
      </c>
      <c r="U69" s="284" t="s">
        <v>13614</v>
      </c>
      <c r="V69" s="284" t="s">
        <v>13152</v>
      </c>
      <c r="W69" s="284" t="s">
        <v>13014</v>
      </c>
      <c r="X69" s="284" t="s">
        <v>13156</v>
      </c>
      <c r="Y69" s="284"/>
      <c r="Z69" s="284"/>
      <c r="AA69" s="284"/>
      <c r="AB69" s="284"/>
      <c r="AC69" s="284"/>
      <c r="AD69" s="284"/>
      <c r="AE69" s="284"/>
      <c r="AF69" s="284"/>
      <c r="AG69" s="284"/>
      <c r="AH69" s="284"/>
      <c r="AI69" s="284"/>
      <c r="AJ69" s="284"/>
      <c r="AK69" s="284"/>
      <c r="AL69" s="284"/>
      <c r="AM69" s="284"/>
      <c r="AN69" s="284"/>
      <c r="AO69" s="284"/>
      <c r="AP69" s="284"/>
      <c r="AQ69" s="284"/>
      <c r="AR69" s="284"/>
      <c r="AS69" s="284"/>
      <c r="AT69" s="284"/>
      <c r="AU69" s="284"/>
      <c r="AV69" s="284"/>
      <c r="AW69" s="284"/>
      <c r="AX69" s="284"/>
      <c r="AY69" s="284"/>
      <c r="AZ69" s="284"/>
      <c r="BA69" s="284"/>
      <c r="BB69" s="284"/>
      <c r="BC69" s="284"/>
      <c r="BD69" s="284"/>
      <c r="BE69" s="284"/>
      <c r="BF69" s="284"/>
      <c r="BG69" s="284"/>
      <c r="BH69" s="284"/>
      <c r="BI69" s="284"/>
      <c r="BJ69" s="284"/>
      <c r="BK69" s="284"/>
      <c r="BL69" s="284"/>
      <c r="BM69" s="284"/>
      <c r="BN69" s="284"/>
      <c r="BO69" s="284"/>
      <c r="BP69" s="284"/>
      <c r="BQ69" s="284"/>
      <c r="BR69" s="284"/>
      <c r="BS69" s="284"/>
      <c r="BT69" s="284"/>
      <c r="BU69" s="284"/>
      <c r="BV69" s="284"/>
      <c r="BW69" s="284"/>
      <c r="BX69" s="284"/>
      <c r="BY69" s="284"/>
      <c r="BZ69" s="284"/>
      <c r="CA69" s="284"/>
      <c r="CB69" s="284"/>
      <c r="CC69" s="284"/>
      <c r="CD69" s="284"/>
      <c r="CE69" s="284"/>
      <c r="CF69" s="284"/>
      <c r="CG69" s="284"/>
    </row>
    <row r="70" spans="1:85" x14ac:dyDescent="0.35">
      <c r="A70" s="284" t="s">
        <v>10350</v>
      </c>
      <c r="B70" s="284" t="s">
        <v>10351</v>
      </c>
      <c r="C70" t="s">
        <v>13615</v>
      </c>
      <c r="D70" s="284" t="s">
        <v>13064</v>
      </c>
      <c r="E70" s="284" t="s">
        <v>13019</v>
      </c>
      <c r="F70" s="284" t="s">
        <v>13021</v>
      </c>
      <c r="G70" s="284" t="s">
        <v>13507</v>
      </c>
      <c r="H70" s="284" t="s">
        <v>13023</v>
      </c>
      <c r="I70" s="284" t="s">
        <v>13147</v>
      </c>
      <c r="J70" s="284" t="s">
        <v>13616</v>
      </c>
      <c r="K70" s="284" t="s">
        <v>13617</v>
      </c>
      <c r="L70" s="284" t="s">
        <v>13049</v>
      </c>
      <c r="M70" s="284" t="s">
        <v>13552</v>
      </c>
      <c r="N70" s="284" t="s">
        <v>13027</v>
      </c>
      <c r="O70" s="284" t="s">
        <v>13148</v>
      </c>
      <c r="P70" s="284" t="s">
        <v>13028</v>
      </c>
      <c r="Q70" s="284" t="s">
        <v>13150</v>
      </c>
      <c r="R70" s="284" t="s">
        <v>13002</v>
      </c>
      <c r="S70" s="284" t="s">
        <v>13003</v>
      </c>
      <c r="T70" s="284" t="s">
        <v>13420</v>
      </c>
      <c r="U70" s="284" t="s">
        <v>13066</v>
      </c>
      <c r="V70" s="284" t="s">
        <v>13151</v>
      </c>
      <c r="W70" s="284" t="s">
        <v>13178</v>
      </c>
      <c r="X70" s="284" t="s">
        <v>13076</v>
      </c>
      <c r="Y70" s="284" t="s">
        <v>13029</v>
      </c>
      <c r="Z70" s="284" t="s">
        <v>13068</v>
      </c>
      <c r="AA70" s="284" t="s">
        <v>13032</v>
      </c>
      <c r="AB70" s="284" t="s">
        <v>13033</v>
      </c>
      <c r="AC70" s="284" t="s">
        <v>13034</v>
      </c>
      <c r="AD70" s="284" t="s">
        <v>13036</v>
      </c>
      <c r="AE70" s="284" t="s">
        <v>13560</v>
      </c>
      <c r="AF70" s="284" t="s">
        <v>13038</v>
      </c>
      <c r="AG70" s="284" t="s">
        <v>13039</v>
      </c>
      <c r="AH70" s="284" t="s">
        <v>13078</v>
      </c>
      <c r="AI70" s="284" t="s">
        <v>13091</v>
      </c>
      <c r="AJ70" s="284" t="s">
        <v>13009</v>
      </c>
      <c r="AK70" s="284" t="s">
        <v>13152</v>
      </c>
      <c r="AL70" s="284" t="s">
        <v>13012</v>
      </c>
      <c r="AM70" s="284" t="s">
        <v>13107</v>
      </c>
      <c r="AN70" s="284" t="s">
        <v>13153</v>
      </c>
      <c r="AO70" s="284" t="s">
        <v>13014</v>
      </c>
      <c r="AP70" s="284" t="s">
        <v>13618</v>
      </c>
      <c r="AQ70" s="284" t="s">
        <v>13042</v>
      </c>
      <c r="AR70" s="284" t="s">
        <v>13154</v>
      </c>
      <c r="AS70" s="284" t="s">
        <v>13155</v>
      </c>
      <c r="AT70" s="284" t="s">
        <v>13157</v>
      </c>
      <c r="AU70" s="284"/>
      <c r="AV70" s="284"/>
      <c r="AW70" s="284"/>
      <c r="AX70" s="284"/>
      <c r="AY70" s="284"/>
      <c r="AZ70" s="284"/>
      <c r="BA70" s="284"/>
      <c r="BB70" s="284"/>
      <c r="BC70" s="284"/>
      <c r="BD70" s="284"/>
      <c r="BE70" s="284"/>
      <c r="BF70" s="284"/>
      <c r="BG70" s="284"/>
      <c r="BH70" s="284"/>
      <c r="BI70" s="284"/>
      <c r="BJ70" s="284"/>
      <c r="BK70" s="284"/>
      <c r="BL70" s="284"/>
      <c r="BM70" s="284"/>
      <c r="BN70" s="284"/>
      <c r="BO70" s="284"/>
      <c r="BP70" s="284"/>
      <c r="BQ70" s="284"/>
      <c r="BR70" s="284"/>
      <c r="BS70" s="284"/>
      <c r="BT70" s="284"/>
      <c r="BU70" s="284"/>
      <c r="BV70" s="284"/>
      <c r="BW70" s="284"/>
      <c r="BX70" s="284"/>
      <c r="BY70" s="284"/>
      <c r="BZ70" s="284"/>
      <c r="CA70" s="284"/>
      <c r="CB70" s="284"/>
      <c r="CC70" s="284"/>
      <c r="CD70" s="284"/>
      <c r="CE70" s="284"/>
      <c r="CF70" s="284"/>
      <c r="CG70" s="284"/>
    </row>
    <row r="71" spans="1:85" x14ac:dyDescent="0.35">
      <c r="A71" s="284" t="s">
        <v>2589</v>
      </c>
      <c r="B71" s="284" t="s">
        <v>2590</v>
      </c>
      <c r="C71" t="s">
        <v>13619</v>
      </c>
      <c r="D71" s="284" t="s">
        <v>13299</v>
      </c>
      <c r="E71" s="284" t="s">
        <v>13167</v>
      </c>
      <c r="F71" s="284" t="s">
        <v>13021</v>
      </c>
      <c r="G71" s="284" t="s">
        <v>13023</v>
      </c>
      <c r="H71" s="284" t="s">
        <v>13047</v>
      </c>
      <c r="I71" s="284" t="s">
        <v>13048</v>
      </c>
      <c r="J71" s="284" t="s">
        <v>13082</v>
      </c>
      <c r="K71" s="284" t="s">
        <v>13065</v>
      </c>
      <c r="L71" s="284" t="s">
        <v>13301</v>
      </c>
      <c r="M71" s="284" t="s">
        <v>13159</v>
      </c>
      <c r="N71" s="284" t="s">
        <v>13119</v>
      </c>
      <c r="O71" s="284" t="s">
        <v>13620</v>
      </c>
      <c r="P71" s="284" t="s">
        <v>13303</v>
      </c>
      <c r="Q71" s="284" t="s">
        <v>13085</v>
      </c>
      <c r="R71" s="284" t="s">
        <v>13049</v>
      </c>
      <c r="S71" s="284" t="s">
        <v>13168</v>
      </c>
      <c r="T71" s="284" t="s">
        <v>13500</v>
      </c>
      <c r="U71" s="284" t="s">
        <v>13027</v>
      </c>
      <c r="V71" s="284" t="s">
        <v>13050</v>
      </c>
      <c r="W71" s="284" t="s">
        <v>13028</v>
      </c>
      <c r="X71" s="284" t="s">
        <v>13160</v>
      </c>
      <c r="Y71" s="284" t="s">
        <v>13003</v>
      </c>
      <c r="Z71" s="284" t="s">
        <v>13066</v>
      </c>
      <c r="AA71" s="284" t="s">
        <v>13076</v>
      </c>
      <c r="AB71" s="284" t="s">
        <v>13331</v>
      </c>
      <c r="AC71" s="284" t="s">
        <v>13190</v>
      </c>
      <c r="AD71" s="284" t="s">
        <v>13029</v>
      </c>
      <c r="AE71" s="284" t="s">
        <v>13621</v>
      </c>
      <c r="AF71" s="284" t="s">
        <v>13007</v>
      </c>
      <c r="AG71" s="284" t="s">
        <v>13054</v>
      </c>
      <c r="AH71" s="284" t="s">
        <v>13033</v>
      </c>
      <c r="AI71" s="284" t="s">
        <v>13037</v>
      </c>
      <c r="AJ71" s="284" t="s">
        <v>13038</v>
      </c>
      <c r="AK71" s="284" t="s">
        <v>13039</v>
      </c>
      <c r="AL71" s="284" t="s">
        <v>13009</v>
      </c>
      <c r="AM71" s="284" t="s">
        <v>13305</v>
      </c>
      <c r="AN71" s="284" t="s">
        <v>13058</v>
      </c>
      <c r="AO71" s="284" t="s">
        <v>13041</v>
      </c>
      <c r="AP71" s="284" t="s">
        <v>13205</v>
      </c>
      <c r="AQ71" s="284" t="s">
        <v>13012</v>
      </c>
      <c r="AR71" s="284" t="s">
        <v>13622</v>
      </c>
      <c r="AS71" s="284" t="s">
        <v>13060</v>
      </c>
      <c r="AT71" s="284" t="s">
        <v>13220</v>
      </c>
      <c r="AU71" s="284" t="s">
        <v>13285</v>
      </c>
      <c r="AV71" s="284" t="s">
        <v>13014</v>
      </c>
      <c r="AW71" s="284" t="s">
        <v>13623</v>
      </c>
      <c r="AX71" s="284" t="s">
        <v>13174</v>
      </c>
      <c r="AY71" s="284" t="s">
        <v>13016</v>
      </c>
      <c r="AZ71" s="284" t="s">
        <v>13542</v>
      </c>
      <c r="BA71" s="284"/>
      <c r="BB71" s="284"/>
      <c r="BC71" s="284"/>
      <c r="BD71" s="284"/>
      <c r="BE71" s="284"/>
      <c r="BF71" s="284"/>
      <c r="BG71" s="284"/>
      <c r="BH71" s="284"/>
      <c r="BI71" s="284"/>
      <c r="BJ71" s="284"/>
      <c r="BK71" s="284"/>
      <c r="BL71" s="284"/>
      <c r="BM71" s="284"/>
      <c r="BN71" s="284"/>
      <c r="BO71" s="284"/>
      <c r="BP71" s="284"/>
      <c r="BQ71" s="284"/>
      <c r="BR71" s="284"/>
      <c r="BS71" s="284"/>
      <c r="BT71" s="284"/>
      <c r="BU71" s="284"/>
      <c r="BV71" s="284"/>
      <c r="BW71" s="284"/>
      <c r="BX71" s="284"/>
      <c r="BY71" s="284"/>
      <c r="BZ71" s="284"/>
      <c r="CA71" s="284"/>
      <c r="CB71" s="284"/>
      <c r="CC71" s="284"/>
      <c r="CD71" s="284"/>
      <c r="CE71" s="284"/>
      <c r="CF71" s="284"/>
      <c r="CG71" s="284"/>
    </row>
    <row r="72" spans="1:85" x14ac:dyDescent="0.35">
      <c r="A72" s="284" t="s">
        <v>5551</v>
      </c>
      <c r="B72" s="284" t="s">
        <v>5552</v>
      </c>
      <c r="C72" t="s">
        <v>13624</v>
      </c>
      <c r="D72" s="284" t="s">
        <v>13021</v>
      </c>
      <c r="E72" s="284" t="s">
        <v>13023</v>
      </c>
      <c r="F72" s="284" t="s">
        <v>13065</v>
      </c>
      <c r="G72" s="284" t="s">
        <v>13074</v>
      </c>
      <c r="H72" s="284" t="s">
        <v>13049</v>
      </c>
      <c r="I72" s="284" t="s">
        <v>13027</v>
      </c>
      <c r="J72" s="284" t="s">
        <v>13028</v>
      </c>
      <c r="K72" s="284" t="s">
        <v>13160</v>
      </c>
      <c r="L72" s="284" t="s">
        <v>13002</v>
      </c>
      <c r="M72" s="284" t="s">
        <v>13003</v>
      </c>
      <c r="N72" s="284" t="s">
        <v>13066</v>
      </c>
      <c r="O72" s="284" t="s">
        <v>13625</v>
      </c>
      <c r="P72" s="284" t="s">
        <v>13007</v>
      </c>
      <c r="Q72" s="284" t="s">
        <v>13340</v>
      </c>
      <c r="R72" s="284" t="s">
        <v>13008</v>
      </c>
      <c r="S72" s="284" t="s">
        <v>13077</v>
      </c>
      <c r="T72" s="284" t="s">
        <v>13033</v>
      </c>
      <c r="U72" s="284" t="s">
        <v>13034</v>
      </c>
      <c r="V72" s="284" t="s">
        <v>13037</v>
      </c>
      <c r="W72" s="284" t="s">
        <v>13626</v>
      </c>
      <c r="X72" s="284" t="s">
        <v>13038</v>
      </c>
      <c r="Y72" s="284" t="s">
        <v>13039</v>
      </c>
      <c r="Z72" s="284" t="s">
        <v>13091</v>
      </c>
      <c r="AA72" s="284" t="s">
        <v>13009</v>
      </c>
      <c r="AB72" s="284" t="s">
        <v>13011</v>
      </c>
      <c r="AC72" s="284" t="s">
        <v>13041</v>
      </c>
      <c r="AD72" s="284" t="s">
        <v>13042</v>
      </c>
      <c r="AE72" s="284" t="s">
        <v>13079</v>
      </c>
      <c r="AF72" s="284" t="s">
        <v>13061</v>
      </c>
      <c r="AG72" s="284" t="s">
        <v>13080</v>
      </c>
      <c r="AH72" s="284"/>
      <c r="AI72" s="284"/>
      <c r="AJ72" s="284"/>
      <c r="AK72" s="284"/>
      <c r="AL72" s="284"/>
      <c r="AM72" s="284"/>
      <c r="AN72" s="284"/>
      <c r="AO72" s="284"/>
      <c r="AP72" s="284"/>
      <c r="AQ72" s="284"/>
      <c r="AR72" s="284"/>
      <c r="AS72" s="284"/>
      <c r="AT72" s="284"/>
      <c r="AU72" s="284"/>
      <c r="AV72" s="284"/>
      <c r="AW72" s="284"/>
      <c r="AX72" s="284"/>
      <c r="AY72" s="284"/>
      <c r="AZ72" s="284"/>
      <c r="BA72" s="284"/>
      <c r="BB72" s="284"/>
      <c r="BC72" s="284"/>
      <c r="BD72" s="284"/>
      <c r="BE72" s="284"/>
      <c r="BF72" s="284"/>
      <c r="BG72" s="284"/>
      <c r="BH72" s="284"/>
      <c r="BI72" s="284"/>
      <c r="BJ72" s="284"/>
      <c r="BK72" s="284"/>
      <c r="BL72" s="284"/>
      <c r="BM72" s="284"/>
      <c r="BN72" s="284"/>
      <c r="BO72" s="284"/>
      <c r="BP72" s="284"/>
      <c r="BQ72" s="284"/>
      <c r="BR72" s="284"/>
      <c r="BS72" s="284"/>
      <c r="BT72" s="284"/>
      <c r="BU72" s="284"/>
      <c r="BV72" s="284"/>
      <c r="BW72" s="284"/>
      <c r="BX72" s="284"/>
      <c r="BY72" s="284"/>
      <c r="BZ72" s="284"/>
      <c r="CA72" s="284"/>
      <c r="CB72" s="284"/>
      <c r="CC72" s="284"/>
      <c r="CD72" s="284"/>
      <c r="CE72" s="284"/>
      <c r="CF72" s="284"/>
      <c r="CG72" s="284"/>
    </row>
    <row r="73" spans="1:85" x14ac:dyDescent="0.35">
      <c r="A73" s="284" t="s">
        <v>10727</v>
      </c>
      <c r="B73" s="284" t="s">
        <v>10728</v>
      </c>
      <c r="C73" t="s">
        <v>13627</v>
      </c>
      <c r="D73" s="284" t="s">
        <v>13021</v>
      </c>
      <c r="E73" s="284" t="s">
        <v>13023</v>
      </c>
      <c r="F73" s="284" t="s">
        <v>13230</v>
      </c>
      <c r="G73" s="284" t="s">
        <v>13235</v>
      </c>
      <c r="H73" s="284" t="s">
        <v>13628</v>
      </c>
      <c r="I73" s="284" t="s">
        <v>13237</v>
      </c>
      <c r="J73" s="284" t="s">
        <v>13000</v>
      </c>
      <c r="K73" s="284" t="s">
        <v>13099</v>
      </c>
      <c r="L73" s="284" t="s">
        <v>13027</v>
      </c>
      <c r="M73" s="284" t="s">
        <v>13243</v>
      </c>
      <c r="N73" s="284" t="s">
        <v>13028</v>
      </c>
      <c r="O73" s="284" t="s">
        <v>13002</v>
      </c>
      <c r="P73" s="284" t="s">
        <v>13448</v>
      </c>
      <c r="Q73" s="284" t="s">
        <v>13003</v>
      </c>
      <c r="R73" s="284" t="s">
        <v>13066</v>
      </c>
      <c r="S73" s="284" t="s">
        <v>13248</v>
      </c>
      <c r="T73" s="284" t="s">
        <v>13250</v>
      </c>
      <c r="U73" s="284" t="s">
        <v>13035</v>
      </c>
      <c r="V73" s="284" t="s">
        <v>13039</v>
      </c>
      <c r="W73" s="284" t="s">
        <v>13009</v>
      </c>
      <c r="X73" s="284" t="s">
        <v>13041</v>
      </c>
      <c r="Y73" s="284" t="s">
        <v>13012</v>
      </c>
      <c r="Z73" s="284" t="s">
        <v>13264</v>
      </c>
      <c r="AA73" s="284" t="s">
        <v>13267</v>
      </c>
      <c r="AB73" s="284" t="s">
        <v>13016</v>
      </c>
      <c r="AC73" s="284" t="s">
        <v>13207</v>
      </c>
      <c r="AD73" s="284"/>
      <c r="AE73" s="284"/>
      <c r="AF73" s="284"/>
      <c r="AG73" s="284"/>
      <c r="AH73" s="284"/>
      <c r="AI73" s="284"/>
      <c r="AJ73" s="284"/>
      <c r="AK73" s="284"/>
      <c r="AL73" s="284"/>
      <c r="AM73" s="284"/>
      <c r="AN73" s="284"/>
      <c r="AO73" s="284"/>
      <c r="AP73" s="284"/>
      <c r="AQ73" s="284"/>
      <c r="AR73" s="284"/>
      <c r="AS73" s="284"/>
      <c r="AT73" s="284"/>
      <c r="AU73" s="284"/>
      <c r="AV73" s="284"/>
      <c r="AW73" s="284"/>
      <c r="AX73" s="284"/>
      <c r="AY73" s="284"/>
      <c r="AZ73" s="284"/>
      <c r="BA73" s="284"/>
      <c r="BB73" s="284"/>
      <c r="BC73" s="284"/>
      <c r="BD73" s="284"/>
      <c r="BE73" s="284"/>
      <c r="BF73" s="284"/>
      <c r="BG73" s="284"/>
      <c r="BH73" s="284"/>
      <c r="BI73" s="284"/>
      <c r="BJ73" s="284"/>
      <c r="BK73" s="284"/>
      <c r="BL73" s="284"/>
      <c r="BM73" s="284"/>
      <c r="BN73" s="284"/>
      <c r="BO73" s="284"/>
      <c r="BP73" s="284"/>
      <c r="BQ73" s="284"/>
      <c r="BR73" s="284"/>
      <c r="BS73" s="284"/>
      <c r="BT73" s="284"/>
      <c r="BU73" s="284"/>
      <c r="BV73" s="284"/>
      <c r="BW73" s="284"/>
      <c r="BX73" s="284"/>
      <c r="BY73" s="284"/>
      <c r="BZ73" s="284"/>
      <c r="CA73" s="284"/>
      <c r="CB73" s="284"/>
      <c r="CC73" s="284"/>
      <c r="CD73" s="284"/>
      <c r="CE73" s="284"/>
      <c r="CF73" s="284"/>
      <c r="CG73" s="284"/>
    </row>
    <row r="74" spans="1:85" x14ac:dyDescent="0.35">
      <c r="A74" s="284" t="s">
        <v>11523</v>
      </c>
      <c r="B74" s="284" t="s">
        <v>11524</v>
      </c>
      <c r="C74" t="s">
        <v>13629</v>
      </c>
      <c r="D74" s="284" t="s">
        <v>13110</v>
      </c>
      <c r="E74" s="284" t="s">
        <v>13308</v>
      </c>
      <c r="F74" s="284" t="s">
        <v>13166</v>
      </c>
      <c r="G74" s="284" t="s">
        <v>13630</v>
      </c>
      <c r="H74" s="284" t="s">
        <v>13023</v>
      </c>
      <c r="I74" s="284" t="s">
        <v>13082</v>
      </c>
      <c r="J74" s="284" t="s">
        <v>13065</v>
      </c>
      <c r="K74" s="284" t="s">
        <v>13114</v>
      </c>
      <c r="L74" s="284" t="s">
        <v>13115</v>
      </c>
      <c r="M74" s="284" t="s">
        <v>13631</v>
      </c>
      <c r="N74" s="284" t="s">
        <v>13433</v>
      </c>
      <c r="O74" s="284" t="s">
        <v>13318</v>
      </c>
      <c r="P74" s="284" t="s">
        <v>13159</v>
      </c>
      <c r="Q74" s="284" t="s">
        <v>13000</v>
      </c>
      <c r="R74" s="284" t="s">
        <v>13632</v>
      </c>
      <c r="S74" s="284" t="s">
        <v>13098</v>
      </c>
      <c r="T74" s="284" t="s">
        <v>13633</v>
      </c>
      <c r="U74" s="284" t="s">
        <v>13634</v>
      </c>
      <c r="V74" s="284" t="s">
        <v>13122</v>
      </c>
      <c r="W74" s="284" t="s">
        <v>13027</v>
      </c>
      <c r="X74" s="284" t="s">
        <v>13001</v>
      </c>
      <c r="Y74" s="284" t="s">
        <v>13028</v>
      </c>
      <c r="Z74" s="284" t="s">
        <v>13160</v>
      </c>
      <c r="AA74" s="284" t="s">
        <v>13002</v>
      </c>
      <c r="AB74" s="284" t="s">
        <v>13003</v>
      </c>
      <c r="AC74" s="284" t="s">
        <v>13337</v>
      </c>
      <c r="AD74" s="284" t="s">
        <v>13635</v>
      </c>
      <c r="AE74" s="284" t="s">
        <v>13066</v>
      </c>
      <c r="AF74" s="284" t="s">
        <v>13124</v>
      </c>
      <c r="AG74" s="284" t="s">
        <v>13127</v>
      </c>
      <c r="AH74" s="284" t="s">
        <v>13005</v>
      </c>
      <c r="AI74" s="284" t="s">
        <v>13101</v>
      </c>
      <c r="AJ74" s="284" t="s">
        <v>13006</v>
      </c>
      <c r="AK74" s="284" t="s">
        <v>13007</v>
      </c>
      <c r="AL74" s="284" t="s">
        <v>13516</v>
      </c>
      <c r="AM74" s="284" t="s">
        <v>13103</v>
      </c>
      <c r="AN74" s="284" t="s">
        <v>13054</v>
      </c>
      <c r="AO74" s="284" t="s">
        <v>13129</v>
      </c>
      <c r="AP74" s="284" t="s">
        <v>13636</v>
      </c>
      <c r="AQ74" s="284" t="s">
        <v>13133</v>
      </c>
      <c r="AR74" s="284" t="s">
        <v>13055</v>
      </c>
      <c r="AS74" s="284" t="s">
        <v>13069</v>
      </c>
      <c r="AT74" s="284" t="s">
        <v>13104</v>
      </c>
      <c r="AU74" s="284" t="s">
        <v>13033</v>
      </c>
      <c r="AV74" s="284" t="s">
        <v>13637</v>
      </c>
      <c r="AW74" s="284" t="s">
        <v>13009</v>
      </c>
      <c r="AX74" s="284" t="s">
        <v>13011</v>
      </c>
      <c r="AY74" s="284" t="s">
        <v>13058</v>
      </c>
      <c r="AZ74" s="284" t="s">
        <v>13443</v>
      </c>
      <c r="BA74" s="284" t="s">
        <v>13306</v>
      </c>
      <c r="BB74" s="284" t="s">
        <v>13012</v>
      </c>
      <c r="BC74" s="284" t="s">
        <v>13138</v>
      </c>
      <c r="BD74" s="284" t="s">
        <v>13344</v>
      </c>
      <c r="BE74" s="284" t="s">
        <v>13638</v>
      </c>
      <c r="BF74" s="284" t="s">
        <v>13391</v>
      </c>
      <c r="BG74" s="284" t="s">
        <v>13014</v>
      </c>
      <c r="BH74" s="284" t="s">
        <v>13042</v>
      </c>
      <c r="BI74" s="284" t="s">
        <v>13062</v>
      </c>
      <c r="BJ74" s="284" t="s">
        <v>13639</v>
      </c>
      <c r="BK74" s="284" t="s">
        <v>13142</v>
      </c>
      <c r="BL74" s="284" t="s">
        <v>13156</v>
      </c>
      <c r="BM74" s="284" t="s">
        <v>13143</v>
      </c>
      <c r="BN74" s="284" t="s">
        <v>13144</v>
      </c>
      <c r="BO74" s="284" t="s">
        <v>13640</v>
      </c>
      <c r="BP74" s="284"/>
      <c r="BQ74" s="284"/>
      <c r="BR74" s="284"/>
      <c r="BS74" s="284"/>
      <c r="BT74" s="284"/>
      <c r="BU74" s="284"/>
      <c r="BV74" s="284"/>
      <c r="BW74" s="284"/>
      <c r="BX74" s="284"/>
      <c r="BY74" s="284"/>
      <c r="BZ74" s="284"/>
      <c r="CA74" s="284"/>
      <c r="CB74" s="284"/>
      <c r="CC74" s="284"/>
      <c r="CD74" s="284"/>
      <c r="CE74" s="284"/>
      <c r="CF74" s="284"/>
      <c r="CG74" s="284"/>
    </row>
    <row r="75" spans="1:85" x14ac:dyDescent="0.35">
      <c r="A75" s="284" t="s">
        <v>2965</v>
      </c>
      <c r="B75" s="284" t="s">
        <v>2966</v>
      </c>
      <c r="C75" t="s">
        <v>13072</v>
      </c>
      <c r="D75" s="284" t="s">
        <v>13022</v>
      </c>
      <c r="E75" s="284" t="s">
        <v>13000</v>
      </c>
      <c r="F75" s="284" t="s">
        <v>13198</v>
      </c>
      <c r="G75" s="284" t="s">
        <v>13084</v>
      </c>
      <c r="H75" s="284" t="s">
        <v>13085</v>
      </c>
      <c r="I75" s="284" t="s">
        <v>13074</v>
      </c>
      <c r="J75" s="284" t="s">
        <v>13087</v>
      </c>
      <c r="K75" s="284" t="s">
        <v>13050</v>
      </c>
      <c r="L75" s="284" t="s">
        <v>13028</v>
      </c>
      <c r="M75" s="284" t="s">
        <v>13426</v>
      </c>
      <c r="N75" s="284" t="s">
        <v>13029</v>
      </c>
      <c r="O75" s="284" t="s">
        <v>13006</v>
      </c>
      <c r="P75" s="284" t="s">
        <v>13284</v>
      </c>
      <c r="Q75" s="284" t="s">
        <v>13008</v>
      </c>
      <c r="R75" s="284" t="s">
        <v>13077</v>
      </c>
      <c r="S75" s="284" t="s">
        <v>13104</v>
      </c>
      <c r="T75" s="284" t="s">
        <v>13034</v>
      </c>
      <c r="U75" s="284" t="s">
        <v>13036</v>
      </c>
      <c r="V75" s="284" t="s">
        <v>13090</v>
      </c>
      <c r="W75" s="284" t="s">
        <v>13038</v>
      </c>
      <c r="X75" s="284" t="s">
        <v>13039</v>
      </c>
      <c r="Y75" s="284" t="s">
        <v>13091</v>
      </c>
      <c r="Z75" s="284" t="s">
        <v>13009</v>
      </c>
      <c r="AA75" s="284" t="s">
        <v>13092</v>
      </c>
      <c r="AB75" s="284" t="s">
        <v>13058</v>
      </c>
      <c r="AC75" s="284" t="s">
        <v>13041</v>
      </c>
      <c r="AD75" s="284" t="s">
        <v>13012</v>
      </c>
      <c r="AE75" s="284" t="s">
        <v>13428</v>
      </c>
      <c r="AF75" s="284" t="s">
        <v>13095</v>
      </c>
      <c r="AG75" s="284" t="s">
        <v>13165</v>
      </c>
      <c r="AH75" s="284" t="s">
        <v>13207</v>
      </c>
      <c r="AI75" s="284"/>
      <c r="AJ75" s="284"/>
      <c r="AK75" s="284"/>
      <c r="AL75" s="284"/>
      <c r="AM75" s="284"/>
      <c r="AN75" s="284"/>
      <c r="AO75" s="284"/>
      <c r="AP75" s="284"/>
      <c r="AQ75" s="284"/>
      <c r="AR75" s="284"/>
      <c r="AS75" s="284"/>
      <c r="AT75" s="284"/>
      <c r="AU75" s="284"/>
      <c r="AV75" s="284"/>
      <c r="AW75" s="284"/>
      <c r="AX75" s="284"/>
      <c r="AY75" s="284"/>
      <c r="AZ75" s="284"/>
      <c r="BA75" s="284"/>
      <c r="BB75" s="284"/>
      <c r="BC75" s="284"/>
      <c r="BD75" s="284"/>
      <c r="BE75" s="284"/>
      <c r="BF75" s="284"/>
      <c r="BG75" s="284"/>
      <c r="BH75" s="284"/>
      <c r="BI75" s="284"/>
      <c r="BJ75" s="284"/>
      <c r="BK75" s="284"/>
      <c r="BL75" s="284"/>
      <c r="BM75" s="284"/>
      <c r="BN75" s="284"/>
      <c r="BO75" s="284"/>
      <c r="BP75" s="284"/>
      <c r="BQ75" s="284"/>
      <c r="BR75" s="284"/>
      <c r="BS75" s="284"/>
      <c r="BT75" s="284"/>
      <c r="BU75" s="284"/>
      <c r="BV75" s="284"/>
      <c r="BW75" s="284"/>
      <c r="BX75" s="284"/>
      <c r="BY75" s="284"/>
      <c r="BZ75" s="284"/>
      <c r="CA75" s="284"/>
      <c r="CB75" s="284"/>
      <c r="CC75" s="284"/>
      <c r="CD75" s="284"/>
      <c r="CE75" s="284"/>
      <c r="CF75" s="284"/>
      <c r="CG75" s="284"/>
    </row>
    <row r="76" spans="1:85" x14ac:dyDescent="0.35">
      <c r="A76" s="284" t="s">
        <v>3461</v>
      </c>
      <c r="B76" s="284" t="s">
        <v>3462</v>
      </c>
      <c r="C76" t="s">
        <v>13641</v>
      </c>
      <c r="D76" s="284" t="s">
        <v>13642</v>
      </c>
      <c r="E76" s="284" t="s">
        <v>13167</v>
      </c>
      <c r="F76" s="284" t="s">
        <v>13021</v>
      </c>
      <c r="G76" s="284" t="s">
        <v>13047</v>
      </c>
      <c r="H76" s="284" t="s">
        <v>13048</v>
      </c>
      <c r="I76" s="284" t="s">
        <v>13643</v>
      </c>
      <c r="J76" s="284" t="s">
        <v>13065</v>
      </c>
      <c r="K76" s="284" t="s">
        <v>13644</v>
      </c>
      <c r="L76" s="284" t="s">
        <v>13187</v>
      </c>
      <c r="M76" s="284" t="s">
        <v>13074</v>
      </c>
      <c r="N76" s="284" t="s">
        <v>13049</v>
      </c>
      <c r="O76" s="284" t="s">
        <v>13027</v>
      </c>
      <c r="P76" s="284" t="s">
        <v>13050</v>
      </c>
      <c r="Q76" s="284" t="s">
        <v>13028</v>
      </c>
      <c r="R76" s="284" t="s">
        <v>13003</v>
      </c>
      <c r="S76" s="284" t="s">
        <v>13066</v>
      </c>
      <c r="T76" s="284" t="s">
        <v>13190</v>
      </c>
      <c r="U76" s="284" t="s">
        <v>13516</v>
      </c>
      <c r="V76" s="284" t="s">
        <v>13217</v>
      </c>
      <c r="W76" s="284" t="s">
        <v>13036</v>
      </c>
      <c r="X76" s="284" t="s">
        <v>13105</v>
      </c>
      <c r="Y76" s="284" t="s">
        <v>13038</v>
      </c>
      <c r="Z76" s="284" t="s">
        <v>13078</v>
      </c>
      <c r="AA76" s="284" t="s">
        <v>13091</v>
      </c>
      <c r="AB76" s="284" t="s">
        <v>13009</v>
      </c>
      <c r="AC76" s="284" t="s">
        <v>13645</v>
      </c>
      <c r="AD76" s="284" t="s">
        <v>13058</v>
      </c>
      <c r="AE76" s="284" t="s">
        <v>13012</v>
      </c>
      <c r="AF76" s="284" t="s">
        <v>13060</v>
      </c>
      <c r="AG76" s="284" t="s">
        <v>13646</v>
      </c>
      <c r="AH76" s="284" t="s">
        <v>13647</v>
      </c>
      <c r="AI76" s="284" t="s">
        <v>13014</v>
      </c>
      <c r="AJ76" s="284" t="s">
        <v>13222</v>
      </c>
      <c r="AK76" s="284" t="s">
        <v>13541</v>
      </c>
      <c r="AL76" s="284" t="s">
        <v>13542</v>
      </c>
      <c r="AM76" s="284"/>
      <c r="AN76" s="284"/>
      <c r="AO76" s="284"/>
      <c r="AP76" s="284"/>
      <c r="AQ76" s="284"/>
      <c r="AR76" s="284"/>
      <c r="AS76" s="284"/>
      <c r="AT76" s="284"/>
      <c r="AU76" s="284"/>
      <c r="AV76" s="284"/>
      <c r="AW76" s="284"/>
      <c r="AX76" s="284"/>
      <c r="AY76" s="284"/>
      <c r="AZ76" s="284"/>
      <c r="BA76" s="284"/>
      <c r="BB76" s="284"/>
      <c r="BC76" s="284"/>
      <c r="BD76" s="284"/>
      <c r="BE76" s="284"/>
      <c r="BF76" s="284"/>
      <c r="BG76" s="284"/>
      <c r="BH76" s="284"/>
      <c r="BI76" s="284"/>
      <c r="BJ76" s="284"/>
      <c r="BK76" s="284"/>
      <c r="BL76" s="284"/>
      <c r="BM76" s="284"/>
      <c r="BN76" s="284"/>
      <c r="BO76" s="284"/>
      <c r="BP76" s="284"/>
      <c r="BQ76" s="284"/>
      <c r="BR76" s="284"/>
      <c r="BS76" s="284"/>
      <c r="BT76" s="284"/>
      <c r="BU76" s="284"/>
      <c r="BV76" s="284"/>
      <c r="BW76" s="284"/>
      <c r="BX76" s="284"/>
      <c r="BY76" s="284"/>
      <c r="BZ76" s="284"/>
      <c r="CA76" s="284"/>
      <c r="CB76" s="284"/>
      <c r="CC76" s="284"/>
      <c r="CD76" s="284"/>
      <c r="CE76" s="284"/>
      <c r="CF76" s="284"/>
      <c r="CG76" s="284"/>
    </row>
    <row r="77" spans="1:85" x14ac:dyDescent="0.35">
      <c r="A77" s="284" t="s">
        <v>4781</v>
      </c>
      <c r="B77" s="284" t="s">
        <v>4782</v>
      </c>
      <c r="C77" t="s">
        <v>13308</v>
      </c>
      <c r="D77" s="284" t="s">
        <v>13166</v>
      </c>
      <c r="E77" s="284" t="s">
        <v>13046</v>
      </c>
      <c r="F77" s="284" t="s">
        <v>13167</v>
      </c>
      <c r="G77" s="284" t="s">
        <v>13021</v>
      </c>
      <c r="H77" s="284" t="s">
        <v>13023</v>
      </c>
      <c r="I77" s="284" t="s">
        <v>13048</v>
      </c>
      <c r="J77" s="284" t="s">
        <v>13000</v>
      </c>
      <c r="K77" s="284" t="s">
        <v>13027</v>
      </c>
      <c r="L77" s="284" t="s">
        <v>13002</v>
      </c>
      <c r="M77" s="284" t="s">
        <v>13005</v>
      </c>
      <c r="N77" s="284" t="s">
        <v>13029</v>
      </c>
      <c r="O77" s="284" t="s">
        <v>13006</v>
      </c>
      <c r="P77" s="284" t="s">
        <v>13007</v>
      </c>
      <c r="Q77" s="284" t="s">
        <v>13512</v>
      </c>
      <c r="R77" s="284" t="s">
        <v>13033</v>
      </c>
      <c r="S77" s="284" t="s">
        <v>13037</v>
      </c>
      <c r="T77" s="284" t="s">
        <v>13039</v>
      </c>
      <c r="U77" s="284" t="s">
        <v>13009</v>
      </c>
      <c r="V77" s="284" t="s">
        <v>13011</v>
      </c>
      <c r="W77" s="284" t="s">
        <v>13058</v>
      </c>
      <c r="X77" s="284" t="s">
        <v>13041</v>
      </c>
      <c r="Y77" s="284" t="s">
        <v>13012</v>
      </c>
      <c r="Z77" s="284" t="s">
        <v>13060</v>
      </c>
      <c r="AA77" s="284" t="s">
        <v>13014</v>
      </c>
      <c r="AB77" s="284" t="s">
        <v>13174</v>
      </c>
      <c r="AC77" s="284" t="s">
        <v>13175</v>
      </c>
      <c r="AD77" s="284" t="s">
        <v>13015</v>
      </c>
      <c r="AE77" s="284" t="s">
        <v>13016</v>
      </c>
      <c r="AF77" s="284"/>
      <c r="AG77" s="284"/>
      <c r="AH77" s="284"/>
      <c r="AI77" s="284"/>
      <c r="AJ77" s="284"/>
      <c r="AK77" s="284"/>
      <c r="AL77" s="284"/>
      <c r="AM77" s="284"/>
      <c r="AN77" s="284"/>
      <c r="AO77" s="284"/>
      <c r="AP77" s="284"/>
      <c r="AQ77" s="284"/>
      <c r="AR77" s="284"/>
      <c r="AS77" s="284"/>
      <c r="AT77" s="284"/>
      <c r="AU77" s="284"/>
      <c r="AV77" s="284"/>
      <c r="AW77" s="284"/>
      <c r="AX77" s="284"/>
      <c r="AY77" s="284"/>
      <c r="AZ77" s="284"/>
      <c r="BA77" s="284"/>
      <c r="BB77" s="284"/>
      <c r="BC77" s="284"/>
      <c r="BD77" s="284"/>
      <c r="BE77" s="284"/>
      <c r="BF77" s="284"/>
      <c r="BG77" s="284"/>
      <c r="BH77" s="284"/>
      <c r="BI77" s="284"/>
      <c r="BJ77" s="284"/>
      <c r="BK77" s="284"/>
      <c r="BL77" s="284"/>
      <c r="BM77" s="284"/>
      <c r="BN77" s="284"/>
      <c r="BO77" s="284"/>
      <c r="BP77" s="284"/>
      <c r="BQ77" s="284"/>
      <c r="BR77" s="284"/>
      <c r="BS77" s="284"/>
      <c r="BT77" s="284"/>
      <c r="BU77" s="284"/>
      <c r="BV77" s="284"/>
      <c r="BW77" s="284"/>
      <c r="BX77" s="284"/>
      <c r="BY77" s="284"/>
      <c r="BZ77" s="284"/>
      <c r="CA77" s="284"/>
      <c r="CB77" s="284"/>
      <c r="CC77" s="284"/>
      <c r="CD77" s="284"/>
      <c r="CE77" s="284"/>
      <c r="CF77" s="284"/>
      <c r="CG77" s="284"/>
    </row>
    <row r="78" spans="1:85" x14ac:dyDescent="0.35">
      <c r="A78" s="284" t="s">
        <v>9518</v>
      </c>
      <c r="B78" s="284" t="s">
        <v>9519</v>
      </c>
      <c r="C78" s="284" t="s">
        <v>13648</v>
      </c>
      <c r="D78" s="284" t="s">
        <v>13348</v>
      </c>
      <c r="E78" s="284" t="s">
        <v>13065</v>
      </c>
      <c r="F78" s="284" t="s">
        <v>13649</v>
      </c>
      <c r="G78" s="284" t="s">
        <v>13083</v>
      </c>
      <c r="H78" s="284" t="s">
        <v>13000</v>
      </c>
      <c r="I78" s="284" t="s">
        <v>13074</v>
      </c>
      <c r="J78" s="284" t="s">
        <v>13462</v>
      </c>
      <c r="K78" s="284" t="s">
        <v>13168</v>
      </c>
      <c r="L78" s="284" t="s">
        <v>13050</v>
      </c>
      <c r="M78" s="284" t="s">
        <v>13199</v>
      </c>
      <c r="N78" s="284" t="s">
        <v>13002</v>
      </c>
      <c r="O78" s="284" t="s">
        <v>13003</v>
      </c>
      <c r="P78" s="284" t="s">
        <v>13066</v>
      </c>
      <c r="Q78" s="284" t="s">
        <v>13178</v>
      </c>
      <c r="R78" s="284" t="s">
        <v>13076</v>
      </c>
      <c r="S78" s="284" t="s">
        <v>13005</v>
      </c>
      <c r="T78" s="284" t="s">
        <v>13006</v>
      </c>
      <c r="U78" s="284" t="s">
        <v>13103</v>
      </c>
      <c r="V78" s="284" t="s">
        <v>13054</v>
      </c>
      <c r="W78" s="284" t="s">
        <v>13131</v>
      </c>
      <c r="X78" s="284" t="s">
        <v>13133</v>
      </c>
      <c r="Y78" s="284" t="s">
        <v>13135</v>
      </c>
      <c r="Z78" s="284" t="s">
        <v>13104</v>
      </c>
      <c r="AA78" s="284" t="s">
        <v>13033</v>
      </c>
      <c r="AB78" s="284" t="s">
        <v>13038</v>
      </c>
      <c r="AC78" s="284" t="s">
        <v>13039</v>
      </c>
      <c r="AD78" s="284" t="s">
        <v>13009</v>
      </c>
      <c r="AE78" s="284" t="s">
        <v>13203</v>
      </c>
      <c r="AF78" s="284" t="s">
        <v>13058</v>
      </c>
      <c r="AG78" s="284" t="s">
        <v>13041</v>
      </c>
      <c r="AH78" s="284" t="s">
        <v>13165</v>
      </c>
      <c r="AI78" s="284" t="s">
        <v>13395</v>
      </c>
      <c r="AJ78" s="284"/>
      <c r="AK78" s="284"/>
      <c r="AL78" s="284"/>
      <c r="AM78" s="284"/>
      <c r="AN78" s="284"/>
      <c r="AO78" s="284"/>
      <c r="AP78" s="284"/>
      <c r="AQ78" s="284"/>
      <c r="AR78" s="284"/>
      <c r="AS78" s="284"/>
      <c r="AT78" s="284"/>
      <c r="AU78" s="284"/>
      <c r="AV78" s="284"/>
      <c r="AW78" s="284"/>
      <c r="AX78" s="284"/>
      <c r="AY78" s="284"/>
      <c r="AZ78" s="284"/>
      <c r="BA78" s="284"/>
      <c r="BB78" s="284"/>
      <c r="BC78" s="284"/>
      <c r="BD78" s="284"/>
      <c r="BE78" s="284"/>
      <c r="BF78" s="284"/>
      <c r="BG78" s="284"/>
      <c r="BH78" s="284"/>
      <c r="BI78" s="284"/>
      <c r="BJ78" s="284"/>
      <c r="BK78" s="284"/>
      <c r="BL78" s="284"/>
      <c r="BM78" s="284"/>
      <c r="BN78" s="284"/>
      <c r="BO78" s="284"/>
      <c r="BP78" s="284"/>
      <c r="BQ78" s="284"/>
      <c r="BR78" s="284"/>
      <c r="BS78" s="284"/>
      <c r="BT78" s="284"/>
      <c r="BU78" s="284"/>
      <c r="BV78" s="284"/>
      <c r="BW78" s="284"/>
      <c r="BX78" s="284"/>
      <c r="BY78" s="284"/>
      <c r="BZ78" s="284"/>
      <c r="CA78" s="284"/>
      <c r="CB78" s="284"/>
      <c r="CC78" s="284"/>
      <c r="CD78" s="284"/>
      <c r="CE78" s="284"/>
      <c r="CF78" s="284"/>
    </row>
    <row r="79" spans="1:85" x14ac:dyDescent="0.35">
      <c r="A79" s="284" t="s">
        <v>6747</v>
      </c>
      <c r="B79" s="284" t="s">
        <v>6748</v>
      </c>
      <c r="C79" t="s">
        <v>13650</v>
      </c>
      <c r="D79" s="284" t="s">
        <v>13064</v>
      </c>
      <c r="E79" s="284" t="s">
        <v>13021</v>
      </c>
      <c r="F79" s="284" t="s">
        <v>13022</v>
      </c>
      <c r="G79" s="284" t="s">
        <v>13023</v>
      </c>
      <c r="H79" s="284" t="s">
        <v>13119</v>
      </c>
      <c r="I79" s="284" t="s">
        <v>13024</v>
      </c>
      <c r="J79" s="284" t="s">
        <v>13025</v>
      </c>
      <c r="K79" s="284" t="s">
        <v>13027</v>
      </c>
      <c r="L79" s="284" t="s">
        <v>13148</v>
      </c>
      <c r="M79" s="284" t="s">
        <v>13028</v>
      </c>
      <c r="N79" s="284" t="s">
        <v>13003</v>
      </c>
      <c r="O79" s="284" t="s">
        <v>13651</v>
      </c>
      <c r="P79" s="284" t="s">
        <v>13652</v>
      </c>
      <c r="Q79" s="284" t="s">
        <v>13295</v>
      </c>
      <c r="R79" s="284" t="s">
        <v>13296</v>
      </c>
      <c r="S79" s="284" t="s">
        <v>13030</v>
      </c>
      <c r="T79" s="284" t="s">
        <v>13068</v>
      </c>
      <c r="U79" s="284" t="s">
        <v>13033</v>
      </c>
      <c r="V79" s="284" t="s">
        <v>13035</v>
      </c>
      <c r="W79" s="284" t="s">
        <v>13036</v>
      </c>
      <c r="X79" s="284" t="s">
        <v>13038</v>
      </c>
      <c r="Y79" s="284" t="s">
        <v>13078</v>
      </c>
      <c r="Z79" s="284" t="s">
        <v>13009</v>
      </c>
      <c r="AA79" s="284" t="s">
        <v>13012</v>
      </c>
      <c r="AB79" s="284" t="s">
        <v>13653</v>
      </c>
      <c r="AC79" s="284" t="s">
        <v>13079</v>
      </c>
      <c r="AD79" s="284"/>
      <c r="AE79" s="284"/>
      <c r="AF79" s="284"/>
      <c r="AG79" s="284"/>
      <c r="AH79" s="284"/>
      <c r="AI79" s="284"/>
      <c r="AJ79" s="284"/>
      <c r="AK79" s="284"/>
      <c r="AL79" s="284"/>
      <c r="AM79" s="284"/>
      <c r="AN79" s="284"/>
      <c r="AO79" s="284"/>
      <c r="AP79" s="284"/>
      <c r="AQ79" s="284"/>
      <c r="AR79" s="284"/>
      <c r="AS79" s="284"/>
      <c r="AT79" s="284"/>
      <c r="AU79" s="284"/>
      <c r="AV79" s="284"/>
      <c r="AW79" s="284"/>
      <c r="AX79" s="284"/>
      <c r="AY79" s="284"/>
      <c r="AZ79" s="284"/>
      <c r="BA79" s="284"/>
      <c r="BB79" s="284"/>
      <c r="BC79" s="284"/>
      <c r="BD79" s="284"/>
      <c r="BE79" s="284"/>
      <c r="BF79" s="284"/>
      <c r="BG79" s="284"/>
      <c r="BH79" s="284"/>
      <c r="BI79" s="284"/>
      <c r="BJ79" s="284"/>
      <c r="BK79" s="284"/>
      <c r="BL79" s="284"/>
      <c r="BM79" s="284"/>
      <c r="BN79" s="284"/>
      <c r="BO79" s="284"/>
      <c r="BP79" s="284"/>
      <c r="BQ79" s="284"/>
      <c r="BR79" s="284"/>
      <c r="BS79" s="284"/>
      <c r="BT79" s="284"/>
      <c r="BU79" s="284"/>
      <c r="BV79" s="284"/>
      <c r="BW79" s="284"/>
      <c r="BX79" s="284"/>
      <c r="BY79" s="284"/>
      <c r="BZ79" s="284"/>
      <c r="CA79" s="284"/>
      <c r="CB79" s="284"/>
      <c r="CC79" s="284"/>
      <c r="CD79" s="284"/>
      <c r="CE79" s="284"/>
      <c r="CF79" s="284"/>
      <c r="CG79" s="284"/>
    </row>
    <row r="80" spans="1:85" x14ac:dyDescent="0.35">
      <c r="A80" s="284" t="s">
        <v>729</v>
      </c>
      <c r="B80" s="284" t="s">
        <v>730</v>
      </c>
      <c r="C80" s="284" t="s">
        <v>13654</v>
      </c>
      <c r="D80" s="284" t="s">
        <v>13146</v>
      </c>
      <c r="E80" s="284" t="s">
        <v>13072</v>
      </c>
      <c r="F80" s="284" t="s">
        <v>13023</v>
      </c>
      <c r="G80" s="284" t="s">
        <v>13113</v>
      </c>
      <c r="H80" s="284" t="s">
        <v>13082</v>
      </c>
      <c r="I80" s="284" t="s">
        <v>13147</v>
      </c>
      <c r="J80" s="284" t="s">
        <v>13065</v>
      </c>
      <c r="K80" s="284" t="s">
        <v>13594</v>
      </c>
      <c r="L80" s="284" t="s">
        <v>13595</v>
      </c>
      <c r="M80" s="284" t="s">
        <v>13119</v>
      </c>
      <c r="N80" s="284" t="s">
        <v>13027</v>
      </c>
      <c r="O80" s="284" t="s">
        <v>13148</v>
      </c>
      <c r="P80" s="284" t="s">
        <v>13554</v>
      </c>
      <c r="Q80" s="284" t="s">
        <v>13028</v>
      </c>
      <c r="R80" s="284" t="s">
        <v>13160</v>
      </c>
      <c r="S80" s="284" t="s">
        <v>13002</v>
      </c>
      <c r="T80" s="284" t="s">
        <v>13003</v>
      </c>
      <c r="U80" s="284" t="s">
        <v>13655</v>
      </c>
      <c r="V80" s="284" t="s">
        <v>13656</v>
      </c>
      <c r="W80" s="284" t="s">
        <v>13066</v>
      </c>
      <c r="X80" s="284" t="s">
        <v>13657</v>
      </c>
      <c r="Y80" s="284" t="s">
        <v>13557</v>
      </c>
      <c r="Z80" s="284" t="s">
        <v>13658</v>
      </c>
      <c r="AA80" s="284" t="s">
        <v>13033</v>
      </c>
      <c r="AB80" s="284" t="s">
        <v>13034</v>
      </c>
      <c r="AC80" s="284" t="s">
        <v>13036</v>
      </c>
      <c r="AD80" s="284" t="s">
        <v>13560</v>
      </c>
      <c r="AE80" s="284" t="s">
        <v>13037</v>
      </c>
      <c r="AF80" s="284" t="s">
        <v>13038</v>
      </c>
      <c r="AG80" s="284" t="s">
        <v>13039</v>
      </c>
      <c r="AH80" s="284" t="s">
        <v>13091</v>
      </c>
      <c r="AI80" s="284" t="s">
        <v>13009</v>
      </c>
      <c r="AJ80" s="284" t="s">
        <v>13041</v>
      </c>
      <c r="AK80" s="284" t="s">
        <v>13659</v>
      </c>
      <c r="AL80" s="284" t="s">
        <v>13014</v>
      </c>
      <c r="AM80" s="284" t="s">
        <v>13042</v>
      </c>
      <c r="AN80" s="284" t="s">
        <v>13096</v>
      </c>
      <c r="AO80" s="284" t="s">
        <v>13154</v>
      </c>
      <c r="AP80" s="284" t="s">
        <v>13079</v>
      </c>
      <c r="AQ80" s="284" t="s">
        <v>13155</v>
      </c>
      <c r="AR80" s="284" t="s">
        <v>13660</v>
      </c>
      <c r="AS80" s="284" t="s">
        <v>13157</v>
      </c>
      <c r="AT80" s="284"/>
      <c r="AU80" s="284"/>
      <c r="AV80" s="284"/>
      <c r="AW80" s="284"/>
      <c r="AX80" s="284"/>
      <c r="AY80" s="284"/>
      <c r="AZ80" s="284"/>
      <c r="BA80" s="284"/>
      <c r="BB80" s="284"/>
      <c r="BC80" s="284"/>
      <c r="BD80" s="284"/>
      <c r="BE80" s="284"/>
      <c r="BF80" s="284"/>
      <c r="BG80" s="284"/>
      <c r="BH80" s="284"/>
      <c r="BI80" s="284"/>
      <c r="BJ80" s="284"/>
      <c r="BK80" s="284"/>
      <c r="BL80" s="284"/>
      <c r="BM80" s="284"/>
      <c r="BN80" s="284"/>
      <c r="BO80" s="284"/>
      <c r="BP80" s="284"/>
      <c r="BQ80" s="284"/>
      <c r="BR80" s="284"/>
      <c r="BS80" s="284"/>
      <c r="BT80" s="284"/>
      <c r="BU80" s="284"/>
      <c r="BV80" s="284"/>
      <c r="BW80" s="284"/>
      <c r="BX80" s="284"/>
      <c r="BY80" s="284"/>
      <c r="BZ80" s="284"/>
      <c r="CA80" s="284"/>
      <c r="CB80" s="284"/>
      <c r="CC80" s="284"/>
      <c r="CD80" s="284"/>
      <c r="CE80" s="284"/>
      <c r="CF80" s="284"/>
    </row>
    <row r="81" spans="1:85" x14ac:dyDescent="0.35">
      <c r="A81" s="284" t="s">
        <v>7836</v>
      </c>
      <c r="B81" s="284" t="s">
        <v>7837</v>
      </c>
      <c r="C81" t="s">
        <v>13021</v>
      </c>
      <c r="D81" s="284" t="s">
        <v>13023</v>
      </c>
      <c r="E81" s="284" t="s">
        <v>13446</v>
      </c>
      <c r="F81" s="284" t="s">
        <v>13082</v>
      </c>
      <c r="G81" s="284" t="s">
        <v>13159</v>
      </c>
      <c r="H81" s="284" t="s">
        <v>13024</v>
      </c>
      <c r="I81" s="284" t="s">
        <v>13028</v>
      </c>
      <c r="J81" s="284" t="s">
        <v>13003</v>
      </c>
      <c r="K81" s="284" t="s">
        <v>13066</v>
      </c>
      <c r="L81" s="284" t="s">
        <v>13076</v>
      </c>
      <c r="M81" s="284" t="s">
        <v>13029</v>
      </c>
      <c r="N81" s="284" t="s">
        <v>13006</v>
      </c>
      <c r="O81" s="284" t="s">
        <v>13248</v>
      </c>
      <c r="P81" s="284" t="s">
        <v>13069</v>
      </c>
      <c r="Q81" s="284" t="s">
        <v>13034</v>
      </c>
      <c r="R81" s="284" t="s">
        <v>13035</v>
      </c>
      <c r="S81" s="284" t="s">
        <v>13038</v>
      </c>
      <c r="T81" s="284" t="s">
        <v>13039</v>
      </c>
      <c r="U81" s="284" t="s">
        <v>13009</v>
      </c>
      <c r="V81" s="284" t="s">
        <v>13041</v>
      </c>
      <c r="W81" s="284" t="s">
        <v>13042</v>
      </c>
      <c r="X81" s="284" t="s">
        <v>13608</v>
      </c>
      <c r="Y81" s="284" t="s">
        <v>13070</v>
      </c>
      <c r="Z81" s="284"/>
      <c r="AA81" s="284"/>
      <c r="AB81" s="284"/>
      <c r="AC81" s="284"/>
      <c r="AD81" s="284"/>
      <c r="AE81" s="284"/>
      <c r="AF81" s="284"/>
      <c r="AG81" s="284"/>
      <c r="AH81" s="284"/>
      <c r="AI81" s="284"/>
      <c r="AJ81" s="284"/>
      <c r="AK81" s="284"/>
      <c r="AL81" s="284"/>
      <c r="AM81" s="284"/>
      <c r="AN81" s="284"/>
      <c r="AO81" s="284"/>
      <c r="AP81" s="284"/>
      <c r="AQ81" s="284"/>
      <c r="AR81" s="284"/>
      <c r="AS81" s="284"/>
      <c r="AT81" s="284"/>
      <c r="AU81" s="284"/>
      <c r="AV81" s="284"/>
      <c r="AW81" s="284"/>
      <c r="AX81" s="284"/>
      <c r="AY81" s="284"/>
      <c r="AZ81" s="284"/>
      <c r="BA81" s="284"/>
      <c r="BB81" s="284"/>
      <c r="BC81" s="284"/>
      <c r="BD81" s="284"/>
      <c r="BE81" s="284"/>
      <c r="BF81" s="284"/>
      <c r="BG81" s="284"/>
      <c r="BH81" s="284"/>
      <c r="BI81" s="284"/>
      <c r="BJ81" s="284"/>
      <c r="BK81" s="284"/>
      <c r="BL81" s="284"/>
      <c r="BM81" s="284"/>
      <c r="BN81" s="284"/>
      <c r="BO81" s="284"/>
      <c r="BP81" s="284"/>
      <c r="BQ81" s="284"/>
      <c r="BR81" s="284"/>
      <c r="BS81" s="284"/>
      <c r="BT81" s="284"/>
      <c r="BU81" s="284"/>
      <c r="BV81" s="284"/>
      <c r="BW81" s="284"/>
      <c r="BX81" s="284"/>
      <c r="BY81" s="284"/>
      <c r="BZ81" s="284"/>
      <c r="CA81" s="284"/>
      <c r="CB81" s="284"/>
      <c r="CC81" s="284"/>
      <c r="CD81" s="284"/>
      <c r="CE81" s="284"/>
      <c r="CF81" s="284"/>
      <c r="CG81" s="284"/>
    </row>
    <row r="82" spans="1:85" x14ac:dyDescent="0.35">
      <c r="A82" s="284" t="s">
        <v>9601</v>
      </c>
      <c r="B82" s="284" t="s">
        <v>9602</v>
      </c>
      <c r="C82" s="284" t="s">
        <v>13661</v>
      </c>
      <c r="D82" s="284" t="s">
        <v>13023</v>
      </c>
      <c r="E82" s="284" t="s">
        <v>13662</v>
      </c>
      <c r="F82" s="284" t="s">
        <v>13330</v>
      </c>
      <c r="G82" s="284" t="s">
        <v>13084</v>
      </c>
      <c r="H82" s="284" t="s">
        <v>13074</v>
      </c>
      <c r="I82" s="284" t="s">
        <v>13049</v>
      </c>
      <c r="J82" s="284" t="s">
        <v>13087</v>
      </c>
      <c r="K82" s="284" t="s">
        <v>13027</v>
      </c>
      <c r="L82" s="284" t="s">
        <v>13050</v>
      </c>
      <c r="M82" s="284" t="s">
        <v>13002</v>
      </c>
      <c r="N82" s="284" t="s">
        <v>13003</v>
      </c>
      <c r="O82" s="284" t="s">
        <v>13663</v>
      </c>
      <c r="P82" s="284" t="s">
        <v>13217</v>
      </c>
      <c r="Q82" s="284" t="s">
        <v>13008</v>
      </c>
      <c r="R82" s="284" t="s">
        <v>13077</v>
      </c>
      <c r="S82" s="284" t="s">
        <v>13089</v>
      </c>
      <c r="T82" s="284" t="s">
        <v>13069</v>
      </c>
      <c r="U82" s="284" t="s">
        <v>13664</v>
      </c>
      <c r="V82" s="284" t="s">
        <v>13033</v>
      </c>
      <c r="W82" s="284" t="s">
        <v>13034</v>
      </c>
      <c r="X82" s="284" t="s">
        <v>13036</v>
      </c>
      <c r="Y82" s="284" t="s">
        <v>13090</v>
      </c>
      <c r="Z82" s="284" t="s">
        <v>13038</v>
      </c>
      <c r="AA82" s="284" t="s">
        <v>13039</v>
      </c>
      <c r="AB82" s="284" t="s">
        <v>13091</v>
      </c>
      <c r="AC82" s="284" t="s">
        <v>13009</v>
      </c>
      <c r="AD82" s="284" t="s">
        <v>13093</v>
      </c>
      <c r="AE82" s="284" t="s">
        <v>13095</v>
      </c>
      <c r="AF82" s="284" t="s">
        <v>13665</v>
      </c>
      <c r="AG82" s="284" t="s">
        <v>13525</v>
      </c>
      <c r="AH82" s="284" t="s">
        <v>13165</v>
      </c>
      <c r="AI82" s="284" t="s">
        <v>13666</v>
      </c>
      <c r="AJ82" s="284" t="s">
        <v>13332</v>
      </c>
      <c r="AK82" s="284"/>
      <c r="AL82" s="284"/>
      <c r="AM82" s="284"/>
      <c r="AN82" s="284"/>
      <c r="AO82" s="284"/>
      <c r="AP82" s="284"/>
      <c r="AQ82" s="284"/>
      <c r="AR82" s="284"/>
      <c r="AS82" s="284"/>
      <c r="AT82" s="284"/>
      <c r="AU82" s="284"/>
      <c r="AV82" s="284"/>
      <c r="AW82" s="284"/>
      <c r="AX82" s="284"/>
      <c r="AY82" s="284"/>
      <c r="AZ82" s="284"/>
      <c r="BA82" s="284"/>
      <c r="BB82" s="284"/>
      <c r="BC82" s="284"/>
      <c r="BD82" s="284"/>
      <c r="BE82" s="284"/>
      <c r="BF82" s="284"/>
      <c r="BG82" s="284"/>
      <c r="BH82" s="284"/>
      <c r="BI82" s="284"/>
      <c r="BJ82" s="284"/>
      <c r="BK82" s="284"/>
      <c r="BL82" s="284"/>
      <c r="BM82" s="284"/>
      <c r="BN82" s="284"/>
      <c r="BO82" s="284"/>
      <c r="BP82" s="284"/>
      <c r="BQ82" s="284"/>
      <c r="BR82" s="284"/>
      <c r="BS82" s="284"/>
      <c r="BT82" s="284"/>
      <c r="BU82" s="284"/>
      <c r="BV82" s="284"/>
      <c r="BW82" s="284"/>
      <c r="BX82" s="284"/>
      <c r="BY82" s="284"/>
      <c r="BZ82" s="284"/>
      <c r="CA82" s="284"/>
      <c r="CB82" s="284"/>
      <c r="CC82" s="284"/>
      <c r="CD82" s="284"/>
      <c r="CE82" s="284"/>
      <c r="CF82" s="284"/>
    </row>
    <row r="83" spans="1:85" x14ac:dyDescent="0.35">
      <c r="A83" s="284" t="s">
        <v>3794</v>
      </c>
      <c r="B83" s="284" t="s">
        <v>3795</v>
      </c>
      <c r="C83" t="s">
        <v>13667</v>
      </c>
      <c r="D83" s="284" t="s">
        <v>13110</v>
      </c>
      <c r="E83" s="284" t="s">
        <v>13353</v>
      </c>
      <c r="F83" s="284" t="s">
        <v>13023</v>
      </c>
      <c r="G83" s="284" t="s">
        <v>13113</v>
      </c>
      <c r="H83" s="284" t="s">
        <v>13065</v>
      </c>
      <c r="I83" s="284" t="s">
        <v>13000</v>
      </c>
      <c r="J83" s="284" t="s">
        <v>13168</v>
      </c>
      <c r="K83" s="284" t="s">
        <v>13050</v>
      </c>
      <c r="L83" s="284" t="s">
        <v>13002</v>
      </c>
      <c r="M83" s="284" t="s">
        <v>13003</v>
      </c>
      <c r="N83" s="284" t="s">
        <v>13005</v>
      </c>
      <c r="O83" s="284" t="s">
        <v>13029</v>
      </c>
      <c r="P83" s="284" t="s">
        <v>13007</v>
      </c>
      <c r="Q83" s="284" t="s">
        <v>13008</v>
      </c>
      <c r="R83" s="284" t="s">
        <v>13077</v>
      </c>
      <c r="S83" s="284" t="s">
        <v>13033</v>
      </c>
      <c r="T83" s="284" t="s">
        <v>13078</v>
      </c>
      <c r="U83" s="284" t="s">
        <v>13009</v>
      </c>
      <c r="V83" s="284" t="s">
        <v>13056</v>
      </c>
      <c r="W83" s="284" t="s">
        <v>13010</v>
      </c>
      <c r="X83" s="284" t="s">
        <v>13011</v>
      </c>
      <c r="Y83" s="284" t="s">
        <v>13205</v>
      </c>
      <c r="Z83" s="284" t="s">
        <v>13012</v>
      </c>
      <c r="AA83" s="284" t="s">
        <v>13361</v>
      </c>
      <c r="AB83" s="284" t="s">
        <v>13079</v>
      </c>
      <c r="AC83" s="284" t="s">
        <v>13364</v>
      </c>
      <c r="AD83" s="284"/>
      <c r="AE83" s="284"/>
      <c r="AF83" s="284"/>
      <c r="AG83" s="284"/>
      <c r="AH83" s="284"/>
      <c r="AI83" s="284"/>
      <c r="AJ83" s="284"/>
      <c r="AK83" s="284"/>
      <c r="AL83" s="284"/>
      <c r="AM83" s="284"/>
      <c r="AN83" s="284"/>
      <c r="AO83" s="284"/>
      <c r="AP83" s="284"/>
      <c r="AQ83" s="284"/>
      <c r="AR83" s="284"/>
      <c r="AS83" s="284"/>
      <c r="AT83" s="284"/>
      <c r="AU83" s="284"/>
      <c r="AV83" s="284"/>
      <c r="AW83" s="284"/>
      <c r="AX83" s="284"/>
      <c r="AY83" s="284"/>
      <c r="AZ83" s="284"/>
      <c r="BA83" s="284"/>
      <c r="BB83" s="284"/>
      <c r="BC83" s="284"/>
      <c r="BD83" s="284"/>
      <c r="BE83" s="284"/>
      <c r="BF83" s="284"/>
      <c r="BG83" s="284"/>
      <c r="BH83" s="284"/>
      <c r="BI83" s="284"/>
      <c r="BJ83" s="284"/>
      <c r="BK83" s="284"/>
      <c r="BL83" s="284"/>
      <c r="BM83" s="284"/>
      <c r="BN83" s="284"/>
      <c r="BO83" s="284"/>
      <c r="BP83" s="284"/>
      <c r="BQ83" s="284"/>
      <c r="BR83" s="284"/>
      <c r="BS83" s="284"/>
      <c r="BT83" s="284"/>
      <c r="BU83" s="284"/>
      <c r="BV83" s="284"/>
      <c r="BW83" s="284"/>
      <c r="BX83" s="284"/>
      <c r="BY83" s="284"/>
      <c r="BZ83" s="284"/>
      <c r="CA83" s="284"/>
      <c r="CB83" s="284"/>
      <c r="CC83" s="284"/>
      <c r="CD83" s="284"/>
      <c r="CE83" s="284"/>
      <c r="CF83" s="284"/>
      <c r="CG83" s="284"/>
    </row>
    <row r="84" spans="1:85" x14ac:dyDescent="0.35">
      <c r="A84" s="284" t="s">
        <v>4823</v>
      </c>
      <c r="B84" s="284" t="s">
        <v>4824</v>
      </c>
      <c r="C84" s="284" t="s">
        <v>13668</v>
      </c>
      <c r="D84" s="284" t="s">
        <v>13166</v>
      </c>
      <c r="E84" s="284" t="s">
        <v>13167</v>
      </c>
      <c r="F84" s="284" t="s">
        <v>13021</v>
      </c>
      <c r="G84" s="284" t="s">
        <v>13023</v>
      </c>
      <c r="H84" s="284" t="s">
        <v>13047</v>
      </c>
      <c r="I84" s="284" t="s">
        <v>13048</v>
      </c>
      <c r="J84" s="284" t="s">
        <v>13065</v>
      </c>
      <c r="K84" s="284" t="s">
        <v>13000</v>
      </c>
      <c r="L84" s="284" t="s">
        <v>13669</v>
      </c>
      <c r="M84" s="284" t="s">
        <v>13099</v>
      </c>
      <c r="N84" s="284" t="s">
        <v>13027</v>
      </c>
      <c r="O84" s="284" t="s">
        <v>13028</v>
      </c>
      <c r="P84" s="284" t="s">
        <v>13160</v>
      </c>
      <c r="Q84" s="284" t="s">
        <v>13002</v>
      </c>
      <c r="R84" s="284" t="s">
        <v>13003</v>
      </c>
      <c r="S84" s="284" t="s">
        <v>13004</v>
      </c>
      <c r="T84" s="284" t="s">
        <v>13005</v>
      </c>
      <c r="U84" s="284" t="s">
        <v>13054</v>
      </c>
      <c r="V84" s="284" t="s">
        <v>13033</v>
      </c>
      <c r="W84" s="284" t="s">
        <v>13037</v>
      </c>
      <c r="X84" s="284" t="s">
        <v>13056</v>
      </c>
      <c r="Y84" s="284" t="s">
        <v>13011</v>
      </c>
      <c r="Z84" s="284" t="s">
        <v>13058</v>
      </c>
      <c r="AA84" s="284" t="s">
        <v>13012</v>
      </c>
      <c r="AB84" s="284" t="s">
        <v>13060</v>
      </c>
      <c r="AC84" s="284" t="s">
        <v>13174</v>
      </c>
      <c r="AD84" s="284" t="s">
        <v>13175</v>
      </c>
      <c r="AE84" s="284" t="s">
        <v>13015</v>
      </c>
      <c r="AF84" s="284" t="s">
        <v>13016</v>
      </c>
      <c r="AG84" s="284"/>
      <c r="AH84" s="284"/>
      <c r="AI84" s="284"/>
      <c r="AJ84" s="284"/>
      <c r="AK84" s="284"/>
      <c r="AL84" s="284"/>
      <c r="AM84" s="284"/>
      <c r="AN84" s="284"/>
      <c r="AO84" s="284"/>
      <c r="AP84" s="284"/>
      <c r="AQ84" s="284"/>
      <c r="AR84" s="284"/>
      <c r="AS84" s="284"/>
      <c r="AT84" s="284"/>
      <c r="AU84" s="284"/>
      <c r="AV84" s="284"/>
      <c r="AW84" s="284"/>
      <c r="AX84" s="284"/>
      <c r="AY84" s="284"/>
      <c r="AZ84" s="284"/>
      <c r="BA84" s="284"/>
      <c r="BB84" s="284"/>
      <c r="BC84" s="284"/>
      <c r="BD84" s="284"/>
      <c r="BE84" s="284"/>
      <c r="BF84" s="284"/>
      <c r="BG84" s="284"/>
      <c r="BH84" s="284"/>
      <c r="BI84" s="284"/>
      <c r="BJ84" s="284"/>
      <c r="BK84" s="284"/>
      <c r="BL84" s="284"/>
      <c r="BM84" s="284"/>
      <c r="BN84" s="284"/>
      <c r="BO84" s="284"/>
      <c r="BP84" s="284"/>
      <c r="BQ84" s="284"/>
      <c r="BR84" s="284"/>
      <c r="BS84" s="284"/>
      <c r="BT84" s="284"/>
      <c r="BU84" s="284"/>
      <c r="BV84" s="284"/>
      <c r="BW84" s="284"/>
      <c r="BX84" s="284"/>
      <c r="BY84" s="284"/>
      <c r="BZ84" s="284"/>
      <c r="CA84" s="284"/>
      <c r="CB84" s="284"/>
      <c r="CC84" s="284"/>
      <c r="CD84" s="284"/>
      <c r="CE84" s="284"/>
      <c r="CF84" s="284"/>
    </row>
    <row r="85" spans="1:85" x14ac:dyDescent="0.35">
      <c r="A85" s="284" t="s">
        <v>8245</v>
      </c>
      <c r="B85" s="284" t="s">
        <v>8246</v>
      </c>
      <c r="C85" t="s">
        <v>13670</v>
      </c>
      <c r="D85" s="284" t="s">
        <v>13308</v>
      </c>
      <c r="E85" s="284" t="s">
        <v>13166</v>
      </c>
      <c r="F85" s="284" t="s">
        <v>13021</v>
      </c>
      <c r="G85" s="284" t="s">
        <v>13027</v>
      </c>
      <c r="H85" s="284" t="s">
        <v>13050</v>
      </c>
      <c r="I85" s="284" t="s">
        <v>13028</v>
      </c>
      <c r="J85" s="284" t="s">
        <v>13127</v>
      </c>
      <c r="K85" s="284" t="s">
        <v>13671</v>
      </c>
      <c r="L85" s="284" t="s">
        <v>13005</v>
      </c>
      <c r="M85" s="284" t="s">
        <v>13006</v>
      </c>
      <c r="N85" s="284" t="s">
        <v>13568</v>
      </c>
      <c r="O85" s="284" t="s">
        <v>13055</v>
      </c>
      <c r="P85" s="284" t="s">
        <v>13104</v>
      </c>
      <c r="Q85" s="284" t="s">
        <v>13037</v>
      </c>
      <c r="R85" s="284" t="s">
        <v>13091</v>
      </c>
      <c r="S85" s="284" t="s">
        <v>13011</v>
      </c>
      <c r="T85" s="284" t="s">
        <v>13672</v>
      </c>
      <c r="U85" s="284" t="s">
        <v>13673</v>
      </c>
      <c r="V85" s="284" t="s">
        <v>13674</v>
      </c>
      <c r="W85" s="284" t="s">
        <v>13570</v>
      </c>
      <c r="X85" s="284" t="s">
        <v>13675</v>
      </c>
      <c r="Y85" s="284" t="s">
        <v>13016</v>
      </c>
      <c r="Z85" s="284" t="s">
        <v>13640</v>
      </c>
      <c r="AA85" s="284"/>
      <c r="AB85" s="284"/>
      <c r="AC85" s="284"/>
      <c r="AD85" s="284"/>
      <c r="AE85" s="284"/>
      <c r="AF85" s="284"/>
      <c r="AG85" s="284"/>
      <c r="AH85" s="284"/>
      <c r="AI85" s="284"/>
      <c r="AJ85" s="284"/>
      <c r="AK85" s="284"/>
      <c r="AL85" s="284"/>
      <c r="AM85" s="284"/>
      <c r="AN85" s="284"/>
      <c r="AO85" s="284"/>
      <c r="AP85" s="284"/>
      <c r="AQ85" s="284"/>
      <c r="AR85" s="284"/>
      <c r="AS85" s="284"/>
      <c r="AT85" s="284"/>
      <c r="AU85" s="284"/>
      <c r="AV85" s="284"/>
      <c r="AW85" s="284"/>
      <c r="AX85" s="284"/>
      <c r="AY85" s="284"/>
      <c r="AZ85" s="284"/>
      <c r="BA85" s="284"/>
      <c r="BB85" s="284"/>
      <c r="BC85" s="284"/>
      <c r="BD85" s="284"/>
      <c r="BE85" s="284"/>
      <c r="BF85" s="284"/>
      <c r="BG85" s="284"/>
      <c r="BH85" s="284"/>
      <c r="BI85" s="284"/>
      <c r="BJ85" s="284"/>
      <c r="BK85" s="284"/>
      <c r="BL85" s="284"/>
      <c r="BM85" s="284"/>
      <c r="BN85" s="284"/>
      <c r="BO85" s="284"/>
      <c r="BP85" s="284"/>
      <c r="BQ85" s="284"/>
      <c r="BR85" s="284"/>
      <c r="BS85" s="284"/>
      <c r="BT85" s="284"/>
      <c r="BU85" s="284"/>
      <c r="BV85" s="284"/>
      <c r="BW85" s="284"/>
      <c r="BX85" s="284"/>
      <c r="BY85" s="284"/>
      <c r="BZ85" s="284"/>
      <c r="CA85" s="284"/>
      <c r="CB85" s="284"/>
      <c r="CC85" s="284"/>
      <c r="CD85" s="284"/>
      <c r="CE85" s="284"/>
      <c r="CF85" s="284"/>
      <c r="CG85" s="284"/>
    </row>
    <row r="86" spans="1:85" x14ac:dyDescent="0.35">
      <c r="A86" s="284" t="s">
        <v>11565</v>
      </c>
      <c r="B86" s="284" t="s">
        <v>11566</v>
      </c>
      <c r="C86" t="s">
        <v>13676</v>
      </c>
      <c r="D86" s="284" t="s">
        <v>13110</v>
      </c>
      <c r="E86" s="284" t="s">
        <v>13677</v>
      </c>
      <c r="F86" s="284" t="s">
        <v>13023</v>
      </c>
      <c r="G86" s="284" t="s">
        <v>13112</v>
      </c>
      <c r="H86" s="284" t="s">
        <v>13113</v>
      </c>
      <c r="I86" s="284" t="s">
        <v>13082</v>
      </c>
      <c r="J86" s="284" t="s">
        <v>13115</v>
      </c>
      <c r="K86" s="284" t="s">
        <v>13116</v>
      </c>
      <c r="L86" s="284" t="s">
        <v>13000</v>
      </c>
      <c r="M86" s="284" t="s">
        <v>13098</v>
      </c>
      <c r="N86" s="284" t="s">
        <v>13309</v>
      </c>
      <c r="O86" s="284" t="s">
        <v>13027</v>
      </c>
      <c r="P86" s="284" t="s">
        <v>13001</v>
      </c>
      <c r="Q86" s="284" t="s">
        <v>13028</v>
      </c>
      <c r="R86" s="284" t="s">
        <v>13160</v>
      </c>
      <c r="S86" s="284" t="s">
        <v>13002</v>
      </c>
      <c r="T86" s="284" t="s">
        <v>13003</v>
      </c>
      <c r="U86" s="284" t="s">
        <v>13635</v>
      </c>
      <c r="V86" s="284" t="s">
        <v>13066</v>
      </c>
      <c r="W86" s="284" t="s">
        <v>13124</v>
      </c>
      <c r="X86" s="284" t="s">
        <v>13127</v>
      </c>
      <c r="Y86" s="284" t="s">
        <v>13076</v>
      </c>
      <c r="Z86" s="284" t="s">
        <v>13100</v>
      </c>
      <c r="AA86" s="284" t="s">
        <v>13005</v>
      </c>
      <c r="AB86" s="284" t="s">
        <v>13006</v>
      </c>
      <c r="AC86" s="284" t="s">
        <v>13007</v>
      </c>
      <c r="AD86" s="284" t="s">
        <v>13102</v>
      </c>
      <c r="AE86" s="284" t="s">
        <v>13678</v>
      </c>
      <c r="AF86" s="284" t="s">
        <v>13103</v>
      </c>
      <c r="AG86" s="284" t="s">
        <v>13054</v>
      </c>
      <c r="AH86" s="284" t="s">
        <v>13008</v>
      </c>
      <c r="AI86" s="284" t="s">
        <v>13341</v>
      </c>
      <c r="AJ86" s="284" t="s">
        <v>13133</v>
      </c>
      <c r="AK86" s="284" t="s">
        <v>13135</v>
      </c>
      <c r="AL86" s="284" t="s">
        <v>13679</v>
      </c>
      <c r="AM86" s="284" t="s">
        <v>13104</v>
      </c>
      <c r="AN86" s="284" t="s">
        <v>13033</v>
      </c>
      <c r="AO86" s="284" t="s">
        <v>13038</v>
      </c>
      <c r="AP86" s="284" t="s">
        <v>13009</v>
      </c>
      <c r="AQ86" s="284" t="s">
        <v>13011</v>
      </c>
      <c r="AR86" s="284" t="s">
        <v>13058</v>
      </c>
      <c r="AS86" s="284" t="s">
        <v>13442</v>
      </c>
      <c r="AT86" s="284" t="s">
        <v>13680</v>
      </c>
      <c r="AU86" s="284" t="s">
        <v>13138</v>
      </c>
      <c r="AV86" s="284" t="s">
        <v>13344</v>
      </c>
      <c r="AW86" s="284" t="s">
        <v>13014</v>
      </c>
      <c r="AX86" s="284" t="s">
        <v>13042</v>
      </c>
      <c r="AY86" s="284" t="s">
        <v>13681</v>
      </c>
      <c r="AZ86" s="284" t="s">
        <v>13016</v>
      </c>
      <c r="BA86" s="284" t="s">
        <v>13144</v>
      </c>
      <c r="BB86" s="284"/>
      <c r="BC86" s="284"/>
      <c r="BD86" s="284"/>
      <c r="BE86" s="284"/>
      <c r="BF86" s="284"/>
      <c r="BG86" s="284"/>
      <c r="BH86" s="284"/>
      <c r="BI86" s="284"/>
      <c r="BJ86" s="284"/>
      <c r="BK86" s="284"/>
      <c r="BL86" s="284"/>
      <c r="BM86" s="284"/>
      <c r="BN86" s="284"/>
      <c r="BO86" s="284"/>
      <c r="BP86" s="284"/>
      <c r="BQ86" s="284"/>
      <c r="BR86" s="284"/>
      <c r="BS86" s="284"/>
      <c r="BT86" s="284"/>
      <c r="BU86" s="284"/>
      <c r="BV86" s="284"/>
      <c r="BW86" s="284"/>
      <c r="BX86" s="284"/>
      <c r="BY86" s="284"/>
      <c r="BZ86" s="284"/>
      <c r="CA86" s="284"/>
      <c r="CB86" s="284"/>
      <c r="CC86" s="284"/>
      <c r="CD86" s="284"/>
      <c r="CE86" s="284"/>
      <c r="CF86" s="284"/>
      <c r="CG86" s="284"/>
    </row>
    <row r="87" spans="1:85" x14ac:dyDescent="0.35">
      <c r="A87" s="284" t="s">
        <v>4255</v>
      </c>
      <c r="B87" s="284" t="s">
        <v>4256</v>
      </c>
      <c r="C87" t="s">
        <v>13682</v>
      </c>
      <c r="D87" s="284" t="s">
        <v>13046</v>
      </c>
      <c r="E87" s="284" t="s">
        <v>13023</v>
      </c>
      <c r="F87" s="284" t="s">
        <v>13082</v>
      </c>
      <c r="G87" s="284" t="s">
        <v>13348</v>
      </c>
      <c r="H87" s="284" t="s">
        <v>13083</v>
      </c>
      <c r="I87" s="284" t="s">
        <v>13000</v>
      </c>
      <c r="J87" s="284" t="s">
        <v>13086</v>
      </c>
      <c r="K87" s="284" t="s">
        <v>13050</v>
      </c>
      <c r="L87" s="284" t="s">
        <v>13002</v>
      </c>
      <c r="M87" s="284" t="s">
        <v>13005</v>
      </c>
      <c r="N87" s="284" t="s">
        <v>13006</v>
      </c>
      <c r="O87" s="284" t="s">
        <v>13007</v>
      </c>
      <c r="P87" s="284" t="s">
        <v>13162</v>
      </c>
      <c r="Q87" s="284" t="s">
        <v>13103</v>
      </c>
      <c r="R87" s="284" t="s">
        <v>13104</v>
      </c>
      <c r="S87" s="284" t="s">
        <v>13033</v>
      </c>
      <c r="T87" s="284" t="s">
        <v>13090</v>
      </c>
      <c r="U87" s="284" t="s">
        <v>13009</v>
      </c>
      <c r="V87" s="284" t="s">
        <v>13058</v>
      </c>
      <c r="W87" s="284" t="s">
        <v>13106</v>
      </c>
      <c r="X87" s="284" t="s">
        <v>13683</v>
      </c>
      <c r="Y87" s="284" t="s">
        <v>13165</v>
      </c>
      <c r="Z87" s="284" t="s">
        <v>13042</v>
      </c>
      <c r="AA87" s="284"/>
      <c r="AB87" s="284"/>
      <c r="AC87" s="284"/>
      <c r="AD87" s="284"/>
      <c r="AE87" s="284"/>
      <c r="AF87" s="284"/>
      <c r="AG87" s="284"/>
      <c r="AH87" s="284"/>
      <c r="AI87" s="284"/>
      <c r="AJ87" s="284"/>
      <c r="AK87" s="284"/>
      <c r="AL87" s="284"/>
      <c r="AM87" s="284"/>
      <c r="AN87" s="284"/>
      <c r="AO87" s="284"/>
      <c r="AP87" s="284"/>
      <c r="AQ87" s="284"/>
      <c r="AR87" s="284"/>
      <c r="AS87" s="284"/>
      <c r="AT87" s="284"/>
      <c r="AU87" s="284"/>
      <c r="AV87" s="284"/>
      <c r="AW87" s="284"/>
      <c r="AX87" s="284"/>
      <c r="AY87" s="284"/>
      <c r="AZ87" s="284"/>
      <c r="BA87" s="284"/>
      <c r="BB87" s="284"/>
      <c r="BC87" s="284"/>
      <c r="BD87" s="284"/>
      <c r="BE87" s="284"/>
      <c r="BF87" s="284"/>
      <c r="BG87" s="284"/>
      <c r="BH87" s="284"/>
      <c r="BI87" s="284"/>
      <c r="BJ87" s="284"/>
      <c r="BK87" s="284"/>
      <c r="BL87" s="284"/>
      <c r="BM87" s="284"/>
      <c r="BN87" s="284"/>
      <c r="BO87" s="284"/>
      <c r="BP87" s="284"/>
      <c r="BQ87" s="284"/>
      <c r="BR87" s="284"/>
      <c r="BS87" s="284"/>
      <c r="BT87" s="284"/>
      <c r="BU87" s="284"/>
      <c r="BV87" s="284"/>
      <c r="BW87" s="284"/>
      <c r="BX87" s="284"/>
      <c r="BY87" s="284"/>
      <c r="BZ87" s="284"/>
      <c r="CA87" s="284"/>
      <c r="CB87" s="284"/>
      <c r="CC87" s="284"/>
      <c r="CD87" s="284"/>
      <c r="CE87" s="284"/>
      <c r="CF87" s="284"/>
      <c r="CG87" s="284"/>
    </row>
    <row r="88" spans="1:85" x14ac:dyDescent="0.35">
      <c r="A88" s="284" t="s">
        <v>8287</v>
      </c>
      <c r="B88" s="284" t="s">
        <v>8288</v>
      </c>
      <c r="C88" s="284" t="s">
        <v>13021</v>
      </c>
      <c r="D88" s="284" t="s">
        <v>13082</v>
      </c>
      <c r="E88" s="284" t="s">
        <v>13065</v>
      </c>
      <c r="F88" s="284" t="s">
        <v>13000</v>
      </c>
      <c r="G88" s="284" t="s">
        <v>13684</v>
      </c>
      <c r="H88" s="284" t="s">
        <v>13160</v>
      </c>
      <c r="I88" s="284" t="s">
        <v>13002</v>
      </c>
      <c r="J88" s="284" t="s">
        <v>13066</v>
      </c>
      <c r="K88" s="284" t="s">
        <v>13005</v>
      </c>
      <c r="L88" s="284" t="s">
        <v>13663</v>
      </c>
      <c r="M88" s="284" t="s">
        <v>13685</v>
      </c>
      <c r="N88" s="284" t="s">
        <v>13006</v>
      </c>
      <c r="O88" s="284" t="s">
        <v>13568</v>
      </c>
      <c r="P88" s="284" t="s">
        <v>13008</v>
      </c>
      <c r="Q88" s="284" t="s">
        <v>13077</v>
      </c>
      <c r="R88" s="284" t="s">
        <v>13055</v>
      </c>
      <c r="S88" s="284" t="s">
        <v>13569</v>
      </c>
      <c r="T88" s="284" t="s">
        <v>13091</v>
      </c>
      <c r="U88" s="284" t="s">
        <v>13579</v>
      </c>
      <c r="V88" s="284" t="s">
        <v>13686</v>
      </c>
      <c r="W88" s="284" t="s">
        <v>13014</v>
      </c>
      <c r="X88" s="284" t="s">
        <v>13042</v>
      </c>
      <c r="Y88" s="284" t="s">
        <v>13079</v>
      </c>
      <c r="Z88" s="284" t="s">
        <v>13570</v>
      </c>
      <c r="AA88" s="284" t="s">
        <v>13062</v>
      </c>
      <c r="AB88" s="284" t="s">
        <v>13016</v>
      </c>
      <c r="AC88" s="284"/>
      <c r="AD88" s="284"/>
      <c r="AE88" s="284"/>
      <c r="AF88" s="284"/>
      <c r="AG88" s="284"/>
      <c r="AH88" s="284"/>
      <c r="AI88" s="284"/>
      <c r="AJ88" s="284"/>
      <c r="AK88" s="284"/>
      <c r="AL88" s="284"/>
      <c r="AM88" s="284"/>
      <c r="AN88" s="284"/>
      <c r="AO88" s="284"/>
      <c r="AP88" s="284"/>
      <c r="AQ88" s="284"/>
      <c r="AR88" s="284"/>
      <c r="AS88" s="284"/>
      <c r="AT88" s="284"/>
      <c r="AU88" s="284"/>
      <c r="AV88" s="284"/>
      <c r="AW88" s="284"/>
      <c r="AX88" s="284"/>
      <c r="AY88" s="284"/>
      <c r="AZ88" s="284"/>
      <c r="BA88" s="284"/>
      <c r="BB88" s="284"/>
      <c r="BC88" s="284"/>
      <c r="BD88" s="284"/>
      <c r="BE88" s="284"/>
      <c r="BF88" s="284"/>
      <c r="BG88" s="284"/>
      <c r="BH88" s="284"/>
      <c r="BI88" s="284"/>
      <c r="BJ88" s="284"/>
      <c r="BK88" s="284"/>
      <c r="BL88" s="284"/>
      <c r="BM88" s="284"/>
      <c r="BN88" s="284"/>
      <c r="BO88" s="284"/>
      <c r="BP88" s="284"/>
      <c r="BQ88" s="284"/>
      <c r="BR88" s="284"/>
      <c r="BS88" s="284"/>
      <c r="BT88" s="284"/>
      <c r="BU88" s="284"/>
      <c r="BV88" s="284"/>
      <c r="BW88" s="284"/>
      <c r="BX88" s="284"/>
      <c r="BY88" s="284"/>
      <c r="BZ88" s="284"/>
      <c r="CA88" s="284"/>
      <c r="CB88" s="284"/>
      <c r="CC88" s="284"/>
      <c r="CD88" s="284"/>
      <c r="CE88" s="284"/>
      <c r="CF88" s="284"/>
    </row>
    <row r="89" spans="1:85" x14ac:dyDescent="0.35">
      <c r="A89" s="284" t="s">
        <v>3293</v>
      </c>
      <c r="B89" s="284" t="s">
        <v>3294</v>
      </c>
      <c r="C89" s="284" t="s">
        <v>13022</v>
      </c>
      <c r="D89" s="284" t="s">
        <v>13607</v>
      </c>
      <c r="E89" s="284" t="s">
        <v>13024</v>
      </c>
      <c r="F89" s="284" t="s">
        <v>13099</v>
      </c>
      <c r="G89" s="284" t="s">
        <v>13025</v>
      </c>
      <c r="H89" s="284" t="s">
        <v>13026</v>
      </c>
      <c r="I89" s="284" t="s">
        <v>13271</v>
      </c>
      <c r="J89" s="284" t="s">
        <v>13027</v>
      </c>
      <c r="K89" s="284" t="s">
        <v>13003</v>
      </c>
      <c r="L89" s="284" t="s">
        <v>13066</v>
      </c>
      <c r="M89" s="284" t="s">
        <v>13029</v>
      </c>
      <c r="N89" s="284" t="s">
        <v>13006</v>
      </c>
      <c r="O89" s="284" t="s">
        <v>13248</v>
      </c>
      <c r="P89" s="284" t="s">
        <v>13030</v>
      </c>
      <c r="Q89" s="284" t="s">
        <v>13033</v>
      </c>
      <c r="R89" s="284" t="s">
        <v>13034</v>
      </c>
      <c r="S89" s="284" t="s">
        <v>13035</v>
      </c>
      <c r="T89" s="284" t="s">
        <v>13078</v>
      </c>
      <c r="U89" s="284" t="s">
        <v>13014</v>
      </c>
      <c r="V89" s="284" t="s">
        <v>13042</v>
      </c>
      <c r="W89" s="284" t="s">
        <v>13070</v>
      </c>
      <c r="X89" s="284"/>
      <c r="Y89" s="284"/>
      <c r="Z89" s="284"/>
      <c r="AA89" s="284"/>
      <c r="AB89" s="284"/>
      <c r="AC89" s="284"/>
      <c r="AD89" s="284"/>
      <c r="AE89" s="284"/>
      <c r="AF89" s="284"/>
      <c r="AG89" s="284"/>
      <c r="AH89" s="284"/>
      <c r="AI89" s="284"/>
      <c r="AJ89" s="284"/>
      <c r="AK89" s="284"/>
      <c r="AL89" s="284"/>
      <c r="AM89" s="284"/>
      <c r="AN89" s="284"/>
      <c r="AO89" s="284"/>
      <c r="AP89" s="284"/>
      <c r="AQ89" s="284"/>
      <c r="AR89" s="284"/>
      <c r="AS89" s="284"/>
      <c r="AT89" s="284"/>
      <c r="AU89" s="284"/>
      <c r="AV89" s="284"/>
      <c r="AW89" s="284"/>
      <c r="AX89" s="284"/>
      <c r="AY89" s="284"/>
      <c r="AZ89" s="284"/>
      <c r="BA89" s="284"/>
      <c r="BB89" s="284"/>
      <c r="BC89" s="284"/>
      <c r="BD89" s="284"/>
      <c r="BE89" s="284"/>
      <c r="BF89" s="284"/>
      <c r="BG89" s="284"/>
      <c r="BH89" s="284"/>
      <c r="BI89" s="284"/>
      <c r="BJ89" s="284"/>
      <c r="BK89" s="284"/>
      <c r="BL89" s="284"/>
      <c r="BM89" s="284"/>
      <c r="BN89" s="284"/>
      <c r="BO89" s="284"/>
      <c r="BP89" s="284"/>
      <c r="BQ89" s="284"/>
      <c r="BR89" s="284"/>
      <c r="BS89" s="284"/>
      <c r="BT89" s="284"/>
      <c r="BU89" s="284"/>
      <c r="BV89" s="284"/>
      <c r="BW89" s="284"/>
      <c r="BX89" s="284"/>
      <c r="BY89" s="284"/>
      <c r="BZ89" s="284"/>
      <c r="CA89" s="284"/>
      <c r="CB89" s="284"/>
      <c r="CC89" s="284"/>
      <c r="CD89" s="284"/>
      <c r="CE89" s="284"/>
      <c r="CF89" s="284"/>
    </row>
    <row r="90" spans="1:85" x14ac:dyDescent="0.35">
      <c r="A90" s="284" t="s">
        <v>3503</v>
      </c>
      <c r="B90" s="284" t="s">
        <v>3504</v>
      </c>
      <c r="C90" t="s">
        <v>13687</v>
      </c>
      <c r="D90" s="284" t="s">
        <v>13021</v>
      </c>
      <c r="E90" s="284" t="s">
        <v>13048</v>
      </c>
      <c r="F90" s="284" t="s">
        <v>13301</v>
      </c>
      <c r="G90" s="284" t="s">
        <v>13528</v>
      </c>
      <c r="H90" s="284" t="s">
        <v>13000</v>
      </c>
      <c r="I90" s="284" t="s">
        <v>13644</v>
      </c>
      <c r="J90" s="284" t="s">
        <v>13688</v>
      </c>
      <c r="K90" s="284" t="s">
        <v>13049</v>
      </c>
      <c r="L90" s="284" t="s">
        <v>13168</v>
      </c>
      <c r="M90" s="284" t="s">
        <v>13027</v>
      </c>
      <c r="N90" s="284" t="s">
        <v>13002</v>
      </c>
      <c r="O90" s="284" t="s">
        <v>13066</v>
      </c>
      <c r="P90" s="284" t="s">
        <v>13170</v>
      </c>
      <c r="Q90" s="284" t="s">
        <v>13190</v>
      </c>
      <c r="R90" s="284" t="s">
        <v>13005</v>
      </c>
      <c r="S90" s="284" t="s">
        <v>13621</v>
      </c>
      <c r="T90" s="284" t="s">
        <v>13007</v>
      </c>
      <c r="U90" s="284" t="s">
        <v>13033</v>
      </c>
      <c r="V90" s="284" t="s">
        <v>13034</v>
      </c>
      <c r="W90" s="284" t="s">
        <v>13036</v>
      </c>
      <c r="X90" s="284" t="s">
        <v>13078</v>
      </c>
      <c r="Y90" s="284" t="s">
        <v>13009</v>
      </c>
      <c r="Z90" s="284" t="s">
        <v>13058</v>
      </c>
      <c r="AA90" s="284" t="s">
        <v>13012</v>
      </c>
      <c r="AB90" s="284" t="s">
        <v>13060</v>
      </c>
      <c r="AC90" s="284" t="s">
        <v>13646</v>
      </c>
      <c r="AD90" s="284" t="s">
        <v>13014</v>
      </c>
      <c r="AE90" s="284" t="s">
        <v>13541</v>
      </c>
      <c r="AF90" s="284"/>
      <c r="AG90" s="284"/>
      <c r="AH90" s="284"/>
      <c r="AI90" s="284"/>
      <c r="AJ90" s="284"/>
      <c r="AK90" s="284"/>
      <c r="AL90" s="284"/>
      <c r="AM90" s="284"/>
      <c r="AN90" s="284"/>
      <c r="AO90" s="284"/>
      <c r="AP90" s="284"/>
      <c r="AQ90" s="284"/>
      <c r="AR90" s="284"/>
      <c r="AS90" s="284"/>
      <c r="AT90" s="284"/>
      <c r="AU90" s="284"/>
      <c r="AV90" s="284"/>
      <c r="AW90" s="284"/>
      <c r="AX90" s="284"/>
      <c r="AY90" s="284"/>
      <c r="AZ90" s="284"/>
      <c r="BA90" s="284"/>
      <c r="BB90" s="284"/>
      <c r="BC90" s="284"/>
      <c r="BD90" s="284"/>
      <c r="BE90" s="284"/>
      <c r="BF90" s="284"/>
      <c r="BG90" s="284"/>
      <c r="BH90" s="284"/>
      <c r="BI90" s="284"/>
      <c r="BJ90" s="284"/>
      <c r="BK90" s="284"/>
      <c r="BL90" s="284"/>
      <c r="BM90" s="284"/>
      <c r="BN90" s="284"/>
      <c r="BO90" s="284"/>
      <c r="BP90" s="284"/>
      <c r="BQ90" s="284"/>
      <c r="BR90" s="284"/>
      <c r="BS90" s="284"/>
      <c r="BT90" s="284"/>
      <c r="BU90" s="284"/>
      <c r="BV90" s="284"/>
      <c r="BW90" s="284"/>
      <c r="BX90" s="284"/>
      <c r="BY90" s="284"/>
      <c r="BZ90" s="284"/>
      <c r="CA90" s="284"/>
      <c r="CB90" s="284"/>
      <c r="CC90" s="284"/>
      <c r="CD90" s="284"/>
      <c r="CE90" s="284"/>
      <c r="CF90" s="284"/>
      <c r="CG90" s="284"/>
    </row>
    <row r="91" spans="1:85" x14ac:dyDescent="0.35">
      <c r="A91" s="284" t="s">
        <v>4865</v>
      </c>
      <c r="B91" s="284" t="s">
        <v>4866</v>
      </c>
      <c r="C91" t="s">
        <v>13689</v>
      </c>
      <c r="D91" s="284" t="s">
        <v>13166</v>
      </c>
      <c r="E91" s="284" t="s">
        <v>13167</v>
      </c>
      <c r="F91" s="284" t="s">
        <v>13021</v>
      </c>
      <c r="G91" s="284" t="s">
        <v>13023</v>
      </c>
      <c r="H91" s="284" t="s">
        <v>13048</v>
      </c>
      <c r="I91" s="284" t="s">
        <v>13065</v>
      </c>
      <c r="J91" s="284" t="s">
        <v>13301</v>
      </c>
      <c r="K91" s="284" t="s">
        <v>13690</v>
      </c>
      <c r="L91" s="284" t="s">
        <v>13000</v>
      </c>
      <c r="M91" s="284" t="s">
        <v>13027</v>
      </c>
      <c r="N91" s="284" t="s">
        <v>13028</v>
      </c>
      <c r="O91" s="284" t="s">
        <v>13160</v>
      </c>
      <c r="P91" s="284" t="s">
        <v>13002</v>
      </c>
      <c r="Q91" s="284" t="s">
        <v>13004</v>
      </c>
      <c r="R91" s="284" t="s">
        <v>13076</v>
      </c>
      <c r="S91" s="284" t="s">
        <v>13053</v>
      </c>
      <c r="T91" s="284" t="s">
        <v>13007</v>
      </c>
      <c r="U91" s="284" t="s">
        <v>13133</v>
      </c>
      <c r="V91" s="284" t="s">
        <v>13691</v>
      </c>
      <c r="W91" s="284" t="s">
        <v>13036</v>
      </c>
      <c r="X91" s="284" t="s">
        <v>13039</v>
      </c>
      <c r="Y91" s="284" t="s">
        <v>13009</v>
      </c>
      <c r="Z91" s="284" t="s">
        <v>13041</v>
      </c>
      <c r="AA91" s="284" t="s">
        <v>13012</v>
      </c>
      <c r="AB91" s="284" t="s">
        <v>13692</v>
      </c>
      <c r="AC91" s="284" t="s">
        <v>13285</v>
      </c>
      <c r="AD91" s="284" t="s">
        <v>13014</v>
      </c>
      <c r="AE91" s="284" t="s">
        <v>13174</v>
      </c>
      <c r="AF91" s="284" t="s">
        <v>13175</v>
      </c>
      <c r="AG91" s="284" t="s">
        <v>13015</v>
      </c>
      <c r="AH91" s="284"/>
      <c r="AI91" s="284"/>
      <c r="AJ91" s="284"/>
      <c r="AK91" s="284"/>
      <c r="AL91" s="284"/>
      <c r="AM91" s="284"/>
      <c r="AN91" s="284"/>
      <c r="AO91" s="284"/>
      <c r="AP91" s="284"/>
      <c r="AQ91" s="284"/>
      <c r="AR91" s="284"/>
      <c r="AS91" s="284"/>
      <c r="AT91" s="284"/>
      <c r="AU91" s="284"/>
      <c r="AV91" s="284"/>
      <c r="AW91" s="284"/>
      <c r="AX91" s="284"/>
      <c r="AY91" s="284"/>
      <c r="AZ91" s="284"/>
      <c r="BA91" s="284"/>
      <c r="BB91" s="284"/>
      <c r="BC91" s="284"/>
      <c r="BD91" s="284"/>
      <c r="BE91" s="284"/>
      <c r="BF91" s="284"/>
      <c r="BG91" s="284"/>
      <c r="BH91" s="284"/>
      <c r="BI91" s="284"/>
      <c r="BJ91" s="284"/>
      <c r="BK91" s="284"/>
      <c r="BL91" s="284"/>
      <c r="BM91" s="284"/>
      <c r="BN91" s="284"/>
      <c r="BO91" s="284"/>
      <c r="BP91" s="284"/>
      <c r="BQ91" s="284"/>
      <c r="BR91" s="284"/>
      <c r="BS91" s="284"/>
      <c r="BT91" s="284"/>
      <c r="BU91" s="284"/>
      <c r="BV91" s="284"/>
      <c r="BW91" s="284"/>
      <c r="BX91" s="284"/>
      <c r="BY91" s="284"/>
      <c r="BZ91" s="284"/>
      <c r="CA91" s="284"/>
      <c r="CB91" s="284"/>
      <c r="CC91" s="284"/>
      <c r="CD91" s="284"/>
      <c r="CE91" s="284"/>
      <c r="CF91" s="284"/>
      <c r="CG91" s="284"/>
    </row>
    <row r="92" spans="1:85" x14ac:dyDescent="0.35">
      <c r="A92" s="284" t="s">
        <v>2999</v>
      </c>
      <c r="B92" s="284" t="s">
        <v>3000</v>
      </c>
      <c r="C92" s="284" t="s">
        <v>13072</v>
      </c>
      <c r="D92" s="284" t="s">
        <v>13022</v>
      </c>
      <c r="E92" s="284" t="s">
        <v>13023</v>
      </c>
      <c r="F92" s="284" t="s">
        <v>13065</v>
      </c>
      <c r="G92" s="284" t="s">
        <v>13159</v>
      </c>
      <c r="H92" s="284" t="s">
        <v>13000</v>
      </c>
      <c r="I92" s="284" t="s">
        <v>13198</v>
      </c>
      <c r="J92" s="284" t="s">
        <v>13168</v>
      </c>
      <c r="K92" s="284" t="s">
        <v>13087</v>
      </c>
      <c r="L92" s="284" t="s">
        <v>13027</v>
      </c>
      <c r="M92" s="284" t="s">
        <v>13028</v>
      </c>
      <c r="N92" s="284" t="s">
        <v>13002</v>
      </c>
      <c r="O92" s="284" t="s">
        <v>13003</v>
      </c>
      <c r="P92" s="284" t="s">
        <v>13426</v>
      </c>
      <c r="Q92" s="284" t="s">
        <v>13066</v>
      </c>
      <c r="R92" s="284" t="s">
        <v>13006</v>
      </c>
      <c r="S92" s="284" t="s">
        <v>13284</v>
      </c>
      <c r="T92" s="284" t="s">
        <v>13104</v>
      </c>
      <c r="U92" s="284" t="s">
        <v>13034</v>
      </c>
      <c r="V92" s="284" t="s">
        <v>13035</v>
      </c>
      <c r="W92" s="284" t="s">
        <v>13105</v>
      </c>
      <c r="X92" s="284" t="s">
        <v>13179</v>
      </c>
      <c r="Y92" s="284" t="s">
        <v>13037</v>
      </c>
      <c r="Z92" s="284" t="s">
        <v>13090</v>
      </c>
      <c r="AA92" s="284" t="s">
        <v>13038</v>
      </c>
      <c r="AB92" s="284" t="s">
        <v>13091</v>
      </c>
      <c r="AC92" s="284" t="s">
        <v>13009</v>
      </c>
      <c r="AD92" s="284" t="s">
        <v>13428</v>
      </c>
      <c r="AE92" s="284" t="s">
        <v>13165</v>
      </c>
      <c r="AF92" s="284" t="s">
        <v>13693</v>
      </c>
      <c r="AG92" s="284" t="s">
        <v>13207</v>
      </c>
      <c r="AH92" s="284"/>
      <c r="AI92" s="284"/>
      <c r="AJ92" s="284"/>
      <c r="AK92" s="284"/>
      <c r="AL92" s="284"/>
      <c r="AM92" s="284"/>
      <c r="AN92" s="284"/>
      <c r="AO92" s="284"/>
      <c r="AP92" s="284"/>
      <c r="AQ92" s="284"/>
      <c r="AR92" s="284"/>
      <c r="AS92" s="284"/>
      <c r="AT92" s="284"/>
      <c r="AU92" s="284"/>
      <c r="AV92" s="284"/>
      <c r="AW92" s="284"/>
      <c r="AX92" s="284"/>
      <c r="AY92" s="284"/>
      <c r="AZ92" s="284"/>
      <c r="BA92" s="284"/>
      <c r="BB92" s="284"/>
      <c r="BC92" s="284"/>
      <c r="BD92" s="284"/>
      <c r="BE92" s="284"/>
      <c r="BF92" s="284"/>
      <c r="BG92" s="284"/>
      <c r="BH92" s="284"/>
      <c r="BI92" s="284"/>
      <c r="BJ92" s="284"/>
      <c r="BK92" s="284"/>
      <c r="BL92" s="284"/>
      <c r="BM92" s="284"/>
      <c r="BN92" s="284"/>
      <c r="BO92" s="284"/>
      <c r="BP92" s="284"/>
      <c r="BQ92" s="284"/>
      <c r="BR92" s="284"/>
      <c r="BS92" s="284"/>
      <c r="BT92" s="284"/>
      <c r="BU92" s="284"/>
      <c r="BV92" s="284"/>
      <c r="BW92" s="284"/>
      <c r="BX92" s="284"/>
      <c r="BY92" s="284"/>
      <c r="BZ92" s="284"/>
      <c r="CA92" s="284"/>
      <c r="CB92" s="284"/>
      <c r="CC92" s="284"/>
      <c r="CD92" s="284"/>
      <c r="CE92" s="284"/>
      <c r="CF92" s="284"/>
    </row>
    <row r="93" spans="1:85" x14ac:dyDescent="0.35">
      <c r="A93" s="284" t="s">
        <v>5719</v>
      </c>
      <c r="B93" s="284" t="s">
        <v>5720</v>
      </c>
      <c r="C93" s="284" t="s">
        <v>13694</v>
      </c>
      <c r="D93" s="284" t="s">
        <v>13023</v>
      </c>
      <c r="E93" s="284" t="s">
        <v>13695</v>
      </c>
      <c r="F93" s="284" t="s">
        <v>13159</v>
      </c>
      <c r="G93" s="284" t="s">
        <v>13212</v>
      </c>
      <c r="H93" s="284" t="s">
        <v>13074</v>
      </c>
      <c r="I93" s="284" t="s">
        <v>13049</v>
      </c>
      <c r="J93" s="284" t="s">
        <v>13027</v>
      </c>
      <c r="K93" s="284" t="s">
        <v>13028</v>
      </c>
      <c r="L93" s="284" t="s">
        <v>13003</v>
      </c>
      <c r="M93" s="284" t="s">
        <v>13004</v>
      </c>
      <c r="N93" s="284" t="s">
        <v>13066</v>
      </c>
      <c r="O93" s="284" t="s">
        <v>13696</v>
      </c>
      <c r="P93" s="284" t="s">
        <v>13005</v>
      </c>
      <c r="Q93" s="284" t="s">
        <v>13192</v>
      </c>
      <c r="R93" s="284" t="s">
        <v>13697</v>
      </c>
      <c r="S93" s="284" t="s">
        <v>13007</v>
      </c>
      <c r="T93" s="284" t="s">
        <v>13008</v>
      </c>
      <c r="U93" s="284" t="s">
        <v>13077</v>
      </c>
      <c r="V93" s="284" t="s">
        <v>13033</v>
      </c>
      <c r="W93" s="284" t="s">
        <v>13037</v>
      </c>
      <c r="X93" s="284" t="s">
        <v>13038</v>
      </c>
      <c r="Y93" s="284" t="s">
        <v>13039</v>
      </c>
      <c r="Z93" s="284" t="s">
        <v>13078</v>
      </c>
      <c r="AA93" s="284" t="s">
        <v>13091</v>
      </c>
      <c r="AB93" s="284" t="s">
        <v>13009</v>
      </c>
      <c r="AC93" s="284" t="s">
        <v>13698</v>
      </c>
      <c r="AD93" s="284" t="s">
        <v>13011</v>
      </c>
      <c r="AE93" s="284" t="s">
        <v>13041</v>
      </c>
      <c r="AF93" s="284" t="s">
        <v>13014</v>
      </c>
      <c r="AG93" s="284" t="s">
        <v>13042</v>
      </c>
      <c r="AH93" s="284" t="s">
        <v>13699</v>
      </c>
      <c r="AI93" s="284" t="s">
        <v>13079</v>
      </c>
      <c r="AJ93" s="284" t="s">
        <v>13222</v>
      </c>
      <c r="AK93" s="284"/>
      <c r="AL93" s="284"/>
      <c r="AM93" s="284"/>
      <c r="AN93" s="284"/>
      <c r="AO93" s="284"/>
      <c r="AP93" s="284"/>
      <c r="AQ93" s="284"/>
      <c r="AR93" s="284"/>
      <c r="AS93" s="284"/>
      <c r="AT93" s="284"/>
      <c r="AU93" s="284"/>
      <c r="AV93" s="284"/>
      <c r="AW93" s="284"/>
      <c r="AX93" s="284"/>
      <c r="AY93" s="284"/>
      <c r="AZ93" s="284"/>
      <c r="BA93" s="284"/>
      <c r="BB93" s="284"/>
      <c r="BC93" s="284"/>
      <c r="BD93" s="284"/>
      <c r="BE93" s="284"/>
      <c r="BF93" s="284"/>
      <c r="BG93" s="284"/>
      <c r="BH93" s="284"/>
      <c r="BI93" s="284"/>
      <c r="BJ93" s="284"/>
      <c r="BK93" s="284"/>
      <c r="BL93" s="284"/>
      <c r="BM93" s="284"/>
      <c r="BN93" s="284"/>
      <c r="BO93" s="284"/>
      <c r="BP93" s="284"/>
      <c r="BQ93" s="284"/>
      <c r="BR93" s="284"/>
      <c r="BS93" s="284"/>
      <c r="BT93" s="284"/>
      <c r="BU93" s="284"/>
      <c r="BV93" s="284"/>
      <c r="BW93" s="284"/>
      <c r="BX93" s="284"/>
      <c r="BY93" s="284"/>
      <c r="BZ93" s="284"/>
      <c r="CA93" s="284"/>
      <c r="CB93" s="284"/>
      <c r="CC93" s="284"/>
      <c r="CD93" s="284"/>
      <c r="CE93" s="284"/>
      <c r="CF93" s="284"/>
    </row>
    <row r="94" spans="1:85" x14ac:dyDescent="0.35">
      <c r="A94" s="284" t="s">
        <v>4573</v>
      </c>
      <c r="B94" s="284" t="s">
        <v>4574</v>
      </c>
      <c r="C94" t="s">
        <v>13021</v>
      </c>
      <c r="D94" s="284" t="s">
        <v>13023</v>
      </c>
      <c r="E94" s="284" t="s">
        <v>13082</v>
      </c>
      <c r="F94" s="284" t="s">
        <v>13184</v>
      </c>
      <c r="G94" s="284" t="s">
        <v>13235</v>
      </c>
      <c r="H94" s="284" t="s">
        <v>13237</v>
      </c>
      <c r="I94" s="284" t="s">
        <v>13074</v>
      </c>
      <c r="J94" s="284" t="s">
        <v>13049</v>
      </c>
      <c r="K94" s="284" t="s">
        <v>13475</v>
      </c>
      <c r="L94" s="284" t="s">
        <v>13027</v>
      </c>
      <c r="M94" s="284" t="s">
        <v>13028</v>
      </c>
      <c r="N94" s="284" t="s">
        <v>13160</v>
      </c>
      <c r="O94" s="284" t="s">
        <v>13003</v>
      </c>
      <c r="P94" s="284" t="s">
        <v>13178</v>
      </c>
      <c r="Q94" s="284" t="s">
        <v>13076</v>
      </c>
      <c r="R94" s="284" t="s">
        <v>13331</v>
      </c>
      <c r="S94" s="284" t="s">
        <v>13190</v>
      </c>
      <c r="T94" s="284" t="s">
        <v>13005</v>
      </c>
      <c r="U94" s="284" t="s">
        <v>13191</v>
      </c>
      <c r="V94" s="284" t="s">
        <v>13031</v>
      </c>
      <c r="W94" s="284" t="s">
        <v>13394</v>
      </c>
      <c r="X94" s="284" t="s">
        <v>13009</v>
      </c>
      <c r="Y94" s="284" t="s">
        <v>13058</v>
      </c>
      <c r="Z94" s="284" t="s">
        <v>13012</v>
      </c>
      <c r="AA94" s="284" t="s">
        <v>13014</v>
      </c>
      <c r="AB94" s="284" t="s">
        <v>13544</v>
      </c>
      <c r="AC94" s="284" t="s">
        <v>13016</v>
      </c>
      <c r="AD94" s="284" t="s">
        <v>13700</v>
      </c>
      <c r="AE94" s="284"/>
      <c r="AF94" s="284"/>
      <c r="AG94" s="284"/>
      <c r="AH94" s="284"/>
      <c r="AI94" s="284"/>
      <c r="AJ94" s="284"/>
      <c r="AK94" s="284"/>
      <c r="AL94" s="284"/>
      <c r="AM94" s="284"/>
      <c r="AN94" s="284"/>
      <c r="AO94" s="284"/>
      <c r="AP94" s="284"/>
      <c r="AQ94" s="284"/>
      <c r="AR94" s="284"/>
      <c r="AS94" s="284"/>
      <c r="AT94" s="284"/>
      <c r="AU94" s="284"/>
      <c r="AV94" s="284"/>
      <c r="AW94" s="284"/>
      <c r="AX94" s="284"/>
      <c r="AY94" s="284"/>
      <c r="AZ94" s="284"/>
      <c r="BA94" s="284"/>
      <c r="BB94" s="284"/>
      <c r="BC94" s="284"/>
      <c r="BD94" s="284"/>
      <c r="BE94" s="284"/>
      <c r="BF94" s="284"/>
      <c r="BG94" s="284"/>
      <c r="BH94" s="284"/>
      <c r="BI94" s="284"/>
      <c r="BJ94" s="284"/>
      <c r="BK94" s="284"/>
      <c r="BL94" s="284"/>
      <c r="BM94" s="284"/>
      <c r="BN94" s="284"/>
      <c r="BO94" s="284"/>
      <c r="BP94" s="284"/>
      <c r="BQ94" s="284"/>
      <c r="BR94" s="284"/>
      <c r="BS94" s="284"/>
      <c r="BT94" s="284"/>
      <c r="BU94" s="284"/>
      <c r="BV94" s="284"/>
      <c r="BW94" s="284"/>
      <c r="BX94" s="284"/>
      <c r="BY94" s="284"/>
      <c r="BZ94" s="284"/>
      <c r="CA94" s="284"/>
      <c r="CB94" s="284"/>
      <c r="CC94" s="284"/>
      <c r="CD94" s="284"/>
      <c r="CE94" s="284"/>
      <c r="CF94" s="284"/>
      <c r="CG94" s="284"/>
    </row>
    <row r="95" spans="1:85" x14ac:dyDescent="0.35">
      <c r="A95" s="284" t="s">
        <v>6001</v>
      </c>
      <c r="B95" s="284" t="s">
        <v>6002</v>
      </c>
      <c r="C95" t="s">
        <v>13072</v>
      </c>
      <c r="D95" s="284" t="s">
        <v>13113</v>
      </c>
      <c r="E95" s="284" t="s">
        <v>13147</v>
      </c>
      <c r="F95" s="284" t="s">
        <v>13288</v>
      </c>
      <c r="G95" s="284" t="s">
        <v>13273</v>
      </c>
      <c r="H95" s="284" t="s">
        <v>13280</v>
      </c>
      <c r="I95" s="284" t="s">
        <v>13085</v>
      </c>
      <c r="J95" s="284" t="s">
        <v>13099</v>
      </c>
      <c r="K95" s="284" t="s">
        <v>13499</v>
      </c>
      <c r="L95" s="284" t="s">
        <v>13027</v>
      </c>
      <c r="M95" s="284" t="s">
        <v>13148</v>
      </c>
      <c r="N95" s="284" t="s">
        <v>13028</v>
      </c>
      <c r="O95" s="284" t="s">
        <v>13066</v>
      </c>
      <c r="P95" s="284" t="s">
        <v>13291</v>
      </c>
      <c r="Q95" s="284" t="s">
        <v>13076</v>
      </c>
      <c r="R95" s="284" t="s">
        <v>13274</v>
      </c>
      <c r="S95" s="284" t="s">
        <v>13284</v>
      </c>
      <c r="T95" s="284" t="s">
        <v>13679</v>
      </c>
      <c r="U95" s="284" t="s">
        <v>13033</v>
      </c>
      <c r="V95" s="284" t="s">
        <v>13034</v>
      </c>
      <c r="W95" s="284" t="s">
        <v>13036</v>
      </c>
      <c r="X95" s="284" t="s">
        <v>13277</v>
      </c>
      <c r="Y95" s="284" t="s">
        <v>13038</v>
      </c>
      <c r="Z95" s="284" t="s">
        <v>13039</v>
      </c>
      <c r="AA95" s="284" t="s">
        <v>13041</v>
      </c>
      <c r="AB95" s="284" t="s">
        <v>13014</v>
      </c>
      <c r="AC95" s="284" t="s">
        <v>13156</v>
      </c>
      <c r="AD95" s="284" t="s">
        <v>13286</v>
      </c>
      <c r="AE95" s="284"/>
      <c r="AF95" s="284"/>
      <c r="AG95" s="284"/>
      <c r="AH95" s="284"/>
      <c r="AI95" s="284"/>
      <c r="AJ95" s="284"/>
      <c r="AK95" s="284"/>
      <c r="AL95" s="284"/>
      <c r="AM95" s="284"/>
      <c r="AN95" s="284"/>
      <c r="AO95" s="284"/>
      <c r="AP95" s="284"/>
      <c r="AQ95" s="284"/>
      <c r="AR95" s="284"/>
      <c r="AS95" s="284"/>
      <c r="AT95" s="284"/>
      <c r="AU95" s="284"/>
      <c r="AV95" s="284"/>
      <c r="AW95" s="284"/>
      <c r="AX95" s="284"/>
      <c r="AY95" s="284"/>
      <c r="AZ95" s="284"/>
      <c r="BA95" s="284"/>
      <c r="BB95" s="284"/>
      <c r="BC95" s="284"/>
      <c r="BD95" s="284"/>
      <c r="BE95" s="284"/>
      <c r="BF95" s="284"/>
      <c r="BG95" s="284"/>
      <c r="BH95" s="284"/>
      <c r="BI95" s="284"/>
      <c r="BJ95" s="284"/>
      <c r="BK95" s="284"/>
      <c r="BL95" s="284"/>
      <c r="BM95" s="284"/>
      <c r="BN95" s="284"/>
      <c r="BO95" s="284"/>
      <c r="BP95" s="284"/>
      <c r="BQ95" s="284"/>
      <c r="BR95" s="284"/>
      <c r="BS95" s="284"/>
      <c r="BT95" s="284"/>
      <c r="BU95" s="284"/>
      <c r="BV95" s="284"/>
      <c r="BW95" s="284"/>
      <c r="BX95" s="284"/>
      <c r="BY95" s="284"/>
      <c r="BZ95" s="284"/>
      <c r="CA95" s="284"/>
      <c r="CB95" s="284"/>
      <c r="CC95" s="284"/>
      <c r="CD95" s="284"/>
      <c r="CE95" s="284"/>
      <c r="CF95" s="284"/>
      <c r="CG95" s="284"/>
    </row>
    <row r="96" spans="1:85" x14ac:dyDescent="0.35">
      <c r="A96" s="284" t="s">
        <v>11144</v>
      </c>
      <c r="B96" s="284" t="s">
        <v>11145</v>
      </c>
      <c r="C96" s="284" t="s">
        <v>13701</v>
      </c>
      <c r="D96" s="284" t="s">
        <v>13072</v>
      </c>
      <c r="E96" s="284" t="s">
        <v>13702</v>
      </c>
      <c r="F96" s="284" t="s">
        <v>13023</v>
      </c>
      <c r="G96" s="284" t="s">
        <v>13547</v>
      </c>
      <c r="H96" s="284" t="s">
        <v>13065</v>
      </c>
      <c r="I96" s="284" t="s">
        <v>13549</v>
      </c>
      <c r="J96" s="284" t="s">
        <v>13551</v>
      </c>
      <c r="K96" s="284" t="s">
        <v>13027</v>
      </c>
      <c r="L96" s="284" t="s">
        <v>13002</v>
      </c>
      <c r="M96" s="284" t="s">
        <v>13003</v>
      </c>
      <c r="N96" s="284" t="s">
        <v>13066</v>
      </c>
      <c r="O96" s="284" t="s">
        <v>13557</v>
      </c>
      <c r="P96" s="284" t="s">
        <v>13703</v>
      </c>
      <c r="Q96" s="284" t="s">
        <v>13033</v>
      </c>
      <c r="R96" s="284" t="s">
        <v>13034</v>
      </c>
      <c r="S96" s="284" t="s">
        <v>13560</v>
      </c>
      <c r="T96" s="284" t="s">
        <v>13037</v>
      </c>
      <c r="U96" s="284" t="s">
        <v>13009</v>
      </c>
      <c r="V96" s="284" t="s">
        <v>13107</v>
      </c>
      <c r="W96" s="284" t="s">
        <v>13042</v>
      </c>
      <c r="X96" s="284" t="s">
        <v>13096</v>
      </c>
      <c r="Y96" s="284" t="s">
        <v>13704</v>
      </c>
      <c r="Z96" s="284" t="s">
        <v>13156</v>
      </c>
      <c r="AA96" s="284"/>
      <c r="AB96" s="284"/>
      <c r="AC96" s="284"/>
      <c r="AD96" s="284"/>
      <c r="AE96" s="284"/>
      <c r="AF96" s="284"/>
      <c r="AG96" s="284"/>
      <c r="AH96" s="284"/>
      <c r="AI96" s="284"/>
      <c r="AJ96" s="284"/>
      <c r="AK96" s="284"/>
      <c r="AL96" s="284"/>
      <c r="AM96" s="284"/>
      <c r="AN96" s="284"/>
      <c r="AO96" s="284"/>
      <c r="AP96" s="284"/>
      <c r="AQ96" s="284"/>
      <c r="AR96" s="284"/>
      <c r="AS96" s="284"/>
      <c r="AT96" s="284"/>
      <c r="AU96" s="284"/>
      <c r="AV96" s="284"/>
      <c r="AW96" s="284"/>
      <c r="AX96" s="284"/>
      <c r="AY96" s="284"/>
      <c r="AZ96" s="284"/>
      <c r="BA96" s="284"/>
      <c r="BB96" s="284"/>
      <c r="BC96" s="284"/>
      <c r="BD96" s="284"/>
      <c r="BE96" s="284"/>
      <c r="BF96" s="284"/>
      <c r="BG96" s="284"/>
      <c r="BH96" s="284"/>
      <c r="BI96" s="284"/>
      <c r="BJ96" s="284"/>
      <c r="BK96" s="284"/>
      <c r="BL96" s="284"/>
      <c r="BM96" s="284"/>
      <c r="BN96" s="284"/>
      <c r="BO96" s="284"/>
      <c r="BP96" s="284"/>
      <c r="BQ96" s="284"/>
      <c r="BR96" s="284"/>
      <c r="BS96" s="284"/>
      <c r="BT96" s="284"/>
      <c r="BU96" s="284"/>
      <c r="BV96" s="284"/>
      <c r="BW96" s="284"/>
      <c r="BX96" s="284"/>
      <c r="BY96" s="284"/>
      <c r="BZ96" s="284"/>
      <c r="CA96" s="284"/>
      <c r="CB96" s="284"/>
      <c r="CC96" s="284"/>
      <c r="CD96" s="284"/>
      <c r="CE96" s="284"/>
      <c r="CF96" s="284"/>
    </row>
    <row r="97" spans="1:85" x14ac:dyDescent="0.35">
      <c r="A97" s="284" t="s">
        <v>7418</v>
      </c>
      <c r="B97" s="284" t="s">
        <v>7419</v>
      </c>
      <c r="C97" s="284" t="s">
        <v>13072</v>
      </c>
      <c r="D97" s="284" t="s">
        <v>13064</v>
      </c>
      <c r="E97" s="284" t="s">
        <v>13021</v>
      </c>
      <c r="F97" s="284" t="s">
        <v>13022</v>
      </c>
      <c r="G97" s="284" t="s">
        <v>13023</v>
      </c>
      <c r="H97" s="284" t="s">
        <v>13065</v>
      </c>
      <c r="I97" s="284" t="s">
        <v>13024</v>
      </c>
      <c r="J97" s="284" t="s">
        <v>13085</v>
      </c>
      <c r="K97" s="284" t="s">
        <v>13025</v>
      </c>
      <c r="L97" s="284" t="s">
        <v>13027</v>
      </c>
      <c r="M97" s="284" t="s">
        <v>13160</v>
      </c>
      <c r="N97" s="284" t="s">
        <v>13002</v>
      </c>
      <c r="O97" s="284" t="s">
        <v>13003</v>
      </c>
      <c r="P97" s="284" t="s">
        <v>13066</v>
      </c>
      <c r="Q97" s="284" t="s">
        <v>13067</v>
      </c>
      <c r="R97" s="284" t="s">
        <v>13029</v>
      </c>
      <c r="S97" s="284" t="s">
        <v>13006</v>
      </c>
      <c r="T97" s="284" t="s">
        <v>13030</v>
      </c>
      <c r="U97" s="284" t="s">
        <v>13055</v>
      </c>
      <c r="V97" s="284" t="s">
        <v>13033</v>
      </c>
      <c r="W97" s="284" t="s">
        <v>13034</v>
      </c>
      <c r="X97" s="284" t="s">
        <v>13035</v>
      </c>
      <c r="Y97" s="284" t="s">
        <v>13036</v>
      </c>
      <c r="Z97" s="284" t="s">
        <v>13038</v>
      </c>
      <c r="AA97" s="284" t="s">
        <v>13039</v>
      </c>
      <c r="AB97" s="284" t="s">
        <v>13285</v>
      </c>
      <c r="AC97" s="284" t="s">
        <v>13014</v>
      </c>
      <c r="AD97" s="284" t="s">
        <v>13070</v>
      </c>
      <c r="AE97" s="284"/>
      <c r="AF97" s="284"/>
      <c r="AG97" s="284"/>
      <c r="AH97" s="284"/>
      <c r="AI97" s="284"/>
      <c r="AJ97" s="284"/>
      <c r="AK97" s="284"/>
      <c r="AL97" s="284"/>
      <c r="AM97" s="284"/>
      <c r="AN97" s="284"/>
      <c r="AO97" s="284"/>
      <c r="AP97" s="284"/>
      <c r="AQ97" s="284"/>
      <c r="AR97" s="284"/>
      <c r="AS97" s="284"/>
      <c r="AT97" s="284"/>
      <c r="AU97" s="284"/>
      <c r="AV97" s="284"/>
      <c r="AW97" s="284"/>
      <c r="AX97" s="284"/>
      <c r="AY97" s="284"/>
      <c r="AZ97" s="284"/>
      <c r="BA97" s="284"/>
      <c r="BB97" s="284"/>
      <c r="BC97" s="284"/>
      <c r="BD97" s="284"/>
      <c r="BE97" s="284"/>
      <c r="BF97" s="284"/>
      <c r="BG97" s="284"/>
      <c r="BH97" s="284"/>
      <c r="BI97" s="284"/>
      <c r="BJ97" s="284"/>
      <c r="BK97" s="284"/>
      <c r="BL97" s="284"/>
      <c r="BM97" s="284"/>
      <c r="BN97" s="284"/>
      <c r="BO97" s="284"/>
      <c r="BP97" s="284"/>
      <c r="BQ97" s="284"/>
      <c r="BR97" s="284"/>
      <c r="BS97" s="284"/>
      <c r="BT97" s="284"/>
      <c r="BU97" s="284"/>
      <c r="BV97" s="284"/>
      <c r="BW97" s="284"/>
      <c r="BX97" s="284"/>
      <c r="BY97" s="284"/>
      <c r="BZ97" s="284"/>
      <c r="CA97" s="284"/>
      <c r="CB97" s="284"/>
      <c r="CC97" s="284"/>
      <c r="CD97" s="284"/>
      <c r="CE97" s="284"/>
      <c r="CF97" s="284"/>
    </row>
    <row r="98" spans="1:85" x14ac:dyDescent="0.35">
      <c r="A98" s="284" t="s">
        <v>4615</v>
      </c>
      <c r="B98" s="284" t="s">
        <v>4616</v>
      </c>
      <c r="C98" s="284" t="s">
        <v>13705</v>
      </c>
      <c r="D98" s="284" t="s">
        <v>13021</v>
      </c>
      <c r="E98" s="284" t="s">
        <v>13023</v>
      </c>
      <c r="F98" s="284" t="s">
        <v>13082</v>
      </c>
      <c r="G98" s="284" t="s">
        <v>13065</v>
      </c>
      <c r="H98" s="284" t="s">
        <v>13235</v>
      </c>
      <c r="I98" s="284" t="s">
        <v>13473</v>
      </c>
      <c r="J98" s="284" t="s">
        <v>13474</v>
      </c>
      <c r="K98" s="284" t="s">
        <v>13187</v>
      </c>
      <c r="L98" s="284" t="s">
        <v>13085</v>
      </c>
      <c r="M98" s="284" t="s">
        <v>13099</v>
      </c>
      <c r="N98" s="284" t="s">
        <v>13049</v>
      </c>
      <c r="O98" s="284" t="s">
        <v>13168</v>
      </c>
      <c r="P98" s="284" t="s">
        <v>13475</v>
      </c>
      <c r="Q98" s="284" t="s">
        <v>13027</v>
      </c>
      <c r="R98" s="284" t="s">
        <v>13243</v>
      </c>
      <c r="S98" s="284" t="s">
        <v>13189</v>
      </c>
      <c r="T98" s="284" t="s">
        <v>13028</v>
      </c>
      <c r="U98" s="284" t="s">
        <v>13002</v>
      </c>
      <c r="V98" s="284" t="s">
        <v>13003</v>
      </c>
      <c r="W98" s="284" t="s">
        <v>13066</v>
      </c>
      <c r="X98" s="284" t="s">
        <v>13076</v>
      </c>
      <c r="Y98" s="284" t="s">
        <v>13190</v>
      </c>
      <c r="Z98" s="284" t="s">
        <v>13029</v>
      </c>
      <c r="AA98" s="284" t="s">
        <v>13191</v>
      </c>
      <c r="AB98" s="284" t="s">
        <v>13007</v>
      </c>
      <c r="AC98" s="284" t="s">
        <v>13033</v>
      </c>
      <c r="AD98" s="284" t="s">
        <v>13034</v>
      </c>
      <c r="AE98" s="284" t="s">
        <v>13035</v>
      </c>
      <c r="AF98" s="284" t="s">
        <v>13394</v>
      </c>
      <c r="AG98" s="284" t="s">
        <v>13038</v>
      </c>
      <c r="AH98" s="284" t="s">
        <v>13091</v>
      </c>
      <c r="AI98" s="284" t="s">
        <v>13058</v>
      </c>
      <c r="AJ98" s="284" t="s">
        <v>13012</v>
      </c>
      <c r="AK98" s="284" t="s">
        <v>13706</v>
      </c>
      <c r="AL98" s="284" t="s">
        <v>13014</v>
      </c>
      <c r="AM98" s="284" t="s">
        <v>13042</v>
      </c>
      <c r="AN98" s="284" t="s">
        <v>13222</v>
      </c>
      <c r="AO98" s="284" t="s">
        <v>13544</v>
      </c>
      <c r="AP98" s="284" t="s">
        <v>13016</v>
      </c>
      <c r="AQ98" s="284"/>
      <c r="AR98" s="284"/>
      <c r="AS98" s="284"/>
      <c r="AT98" s="284"/>
      <c r="AU98" s="284"/>
      <c r="AV98" s="284"/>
      <c r="AW98" s="284"/>
      <c r="AX98" s="284"/>
      <c r="AY98" s="284"/>
      <c r="AZ98" s="284"/>
      <c r="BA98" s="284"/>
      <c r="BB98" s="284"/>
      <c r="BC98" s="284"/>
      <c r="BD98" s="284"/>
      <c r="BE98" s="284"/>
      <c r="BF98" s="284"/>
      <c r="BG98" s="284"/>
      <c r="BH98" s="284"/>
      <c r="BI98" s="284"/>
      <c r="BJ98" s="284"/>
      <c r="BK98" s="284"/>
      <c r="BL98" s="284"/>
      <c r="BM98" s="284"/>
      <c r="BN98" s="284"/>
      <c r="BO98" s="284"/>
      <c r="BP98" s="284"/>
      <c r="BQ98" s="284"/>
      <c r="BR98" s="284"/>
      <c r="BS98" s="284"/>
      <c r="BT98" s="284"/>
      <c r="BU98" s="284"/>
      <c r="BV98" s="284"/>
      <c r="BW98" s="284"/>
      <c r="BX98" s="284"/>
      <c r="BY98" s="284"/>
      <c r="BZ98" s="284"/>
      <c r="CA98" s="284"/>
      <c r="CB98" s="284"/>
      <c r="CC98" s="284"/>
      <c r="CD98" s="284"/>
      <c r="CE98" s="284"/>
      <c r="CF98" s="284"/>
    </row>
    <row r="99" spans="1:85" x14ac:dyDescent="0.35">
      <c r="A99" s="284" t="s">
        <v>4907</v>
      </c>
      <c r="B99" s="284" t="s">
        <v>4908</v>
      </c>
      <c r="C99" s="284" t="s">
        <v>13707</v>
      </c>
      <c r="D99" s="284" t="s">
        <v>13167</v>
      </c>
      <c r="E99" s="284" t="s">
        <v>13021</v>
      </c>
      <c r="F99" s="284" t="s">
        <v>13708</v>
      </c>
      <c r="G99" s="284" t="s">
        <v>13023</v>
      </c>
      <c r="H99" s="284" t="s">
        <v>13690</v>
      </c>
      <c r="I99" s="284" t="s">
        <v>13002</v>
      </c>
      <c r="J99" s="284" t="s">
        <v>13066</v>
      </c>
      <c r="K99" s="284" t="s">
        <v>13053</v>
      </c>
      <c r="L99" s="284" t="s">
        <v>13007</v>
      </c>
      <c r="M99" s="284" t="s">
        <v>13033</v>
      </c>
      <c r="N99" s="284" t="s">
        <v>13034</v>
      </c>
      <c r="O99" s="284" t="s">
        <v>13036</v>
      </c>
      <c r="P99" s="284" t="s">
        <v>13037</v>
      </c>
      <c r="Q99" s="284" t="s">
        <v>13009</v>
      </c>
      <c r="R99" s="284" t="s">
        <v>13011</v>
      </c>
      <c r="S99" s="284" t="s">
        <v>13012</v>
      </c>
      <c r="T99" s="284" t="s">
        <v>13285</v>
      </c>
      <c r="U99" s="284" t="s">
        <v>13014</v>
      </c>
      <c r="V99" s="284" t="s">
        <v>13173</v>
      </c>
      <c r="W99" s="284" t="s">
        <v>13174</v>
      </c>
      <c r="X99" s="284" t="s">
        <v>13709</v>
      </c>
      <c r="Y99" s="284" t="s">
        <v>13175</v>
      </c>
      <c r="Z99" s="284" t="s">
        <v>13015</v>
      </c>
      <c r="AA99" s="284"/>
      <c r="AB99" s="284"/>
      <c r="AC99" s="284"/>
      <c r="AD99" s="284"/>
      <c r="AE99" s="284"/>
      <c r="AF99" s="284"/>
      <c r="AG99" s="284"/>
      <c r="AH99" s="284"/>
      <c r="AI99" s="284"/>
      <c r="AJ99" s="284"/>
      <c r="AK99" s="284"/>
      <c r="AL99" s="284"/>
      <c r="AM99" s="284"/>
      <c r="AN99" s="284"/>
      <c r="AO99" s="284"/>
      <c r="AP99" s="284"/>
      <c r="AQ99" s="284"/>
      <c r="AR99" s="284"/>
      <c r="AS99" s="284"/>
      <c r="AT99" s="284"/>
      <c r="AU99" s="284"/>
      <c r="AV99" s="284"/>
      <c r="AW99" s="284"/>
      <c r="AX99" s="284"/>
      <c r="AY99" s="284"/>
      <c r="AZ99" s="284"/>
      <c r="BA99" s="284"/>
      <c r="BB99" s="284"/>
      <c r="BC99" s="284"/>
      <c r="BD99" s="284"/>
      <c r="BE99" s="284"/>
      <c r="BF99" s="284"/>
      <c r="BG99" s="284"/>
      <c r="BH99" s="284"/>
      <c r="BI99" s="284"/>
      <c r="BJ99" s="284"/>
      <c r="BK99" s="284"/>
      <c r="BL99" s="284"/>
      <c r="BM99" s="284"/>
      <c r="BN99" s="284"/>
      <c r="BO99" s="284"/>
      <c r="BP99" s="284"/>
      <c r="BQ99" s="284"/>
      <c r="BR99" s="284"/>
      <c r="BS99" s="284"/>
      <c r="BT99" s="284"/>
      <c r="BU99" s="284"/>
      <c r="BV99" s="284"/>
      <c r="BW99" s="284"/>
      <c r="BX99" s="284"/>
      <c r="BY99" s="284"/>
      <c r="BZ99" s="284"/>
      <c r="CA99" s="284"/>
      <c r="CB99" s="284"/>
      <c r="CC99" s="284"/>
      <c r="CD99" s="284"/>
      <c r="CE99" s="284"/>
      <c r="CF99" s="284"/>
    </row>
    <row r="100" spans="1:85" x14ac:dyDescent="0.35">
      <c r="A100" s="284" t="s">
        <v>5593</v>
      </c>
      <c r="B100" s="284" t="s">
        <v>5594</v>
      </c>
      <c r="C100" t="s">
        <v>13710</v>
      </c>
      <c r="D100" s="284" t="s">
        <v>13021</v>
      </c>
      <c r="E100" s="284" t="s">
        <v>13000</v>
      </c>
      <c r="F100" s="284" t="s">
        <v>13027</v>
      </c>
      <c r="G100" s="284" t="s">
        <v>13602</v>
      </c>
      <c r="H100" s="284" t="s">
        <v>13603</v>
      </c>
      <c r="I100" s="284" t="s">
        <v>13028</v>
      </c>
      <c r="J100" s="284" t="s">
        <v>13002</v>
      </c>
      <c r="K100" s="284" t="s">
        <v>13004</v>
      </c>
      <c r="L100" s="284" t="s">
        <v>13005</v>
      </c>
      <c r="M100" s="284" t="s">
        <v>13007</v>
      </c>
      <c r="N100" s="284" t="s">
        <v>13340</v>
      </c>
      <c r="O100" s="284" t="s">
        <v>13008</v>
      </c>
      <c r="P100" s="284" t="s">
        <v>13077</v>
      </c>
      <c r="Q100" s="284" t="s">
        <v>13033</v>
      </c>
      <c r="R100" s="284" t="s">
        <v>13034</v>
      </c>
      <c r="S100" s="284" t="s">
        <v>13039</v>
      </c>
      <c r="T100" s="284" t="s">
        <v>13091</v>
      </c>
      <c r="U100" s="284" t="s">
        <v>13011</v>
      </c>
      <c r="V100" s="284" t="s">
        <v>13041</v>
      </c>
      <c r="W100" s="284" t="s">
        <v>13711</v>
      </c>
      <c r="X100" s="284" t="s">
        <v>13079</v>
      </c>
      <c r="Y100" s="284" t="s">
        <v>13080</v>
      </c>
      <c r="Z100" s="284"/>
      <c r="AA100" s="284"/>
      <c r="AB100" s="284"/>
      <c r="AC100" s="284"/>
      <c r="AD100" s="284"/>
      <c r="AE100" s="284"/>
      <c r="AF100" s="284"/>
      <c r="AG100" s="284"/>
      <c r="AH100" s="284"/>
      <c r="AI100" s="284"/>
      <c r="AJ100" s="284"/>
      <c r="AK100" s="284"/>
      <c r="AL100" s="284"/>
      <c r="AM100" s="284"/>
      <c r="AN100" s="284"/>
      <c r="AO100" s="284"/>
      <c r="AP100" s="284"/>
      <c r="AQ100" s="284"/>
      <c r="AR100" s="284"/>
      <c r="AS100" s="284"/>
      <c r="AT100" s="284"/>
      <c r="AU100" s="284"/>
      <c r="AV100" s="284"/>
      <c r="AW100" s="284"/>
      <c r="AX100" s="284"/>
      <c r="AY100" s="284"/>
      <c r="AZ100" s="284"/>
      <c r="BA100" s="284"/>
      <c r="BB100" s="284"/>
      <c r="BC100" s="284"/>
      <c r="BD100" s="284"/>
      <c r="BE100" s="284"/>
      <c r="BF100" s="284"/>
      <c r="BG100" s="284"/>
      <c r="BH100" s="284"/>
      <c r="BI100" s="284"/>
      <c r="BJ100" s="284"/>
      <c r="BK100" s="284"/>
      <c r="BL100" s="284"/>
      <c r="BM100" s="284"/>
      <c r="BN100" s="284"/>
      <c r="BO100" s="284"/>
      <c r="BP100" s="284"/>
      <c r="BQ100" s="284"/>
      <c r="BR100" s="284"/>
      <c r="BS100" s="284"/>
      <c r="BT100" s="284"/>
      <c r="BU100" s="284"/>
      <c r="BV100" s="284"/>
      <c r="BW100" s="284"/>
      <c r="BX100" s="284"/>
      <c r="BY100" s="284"/>
      <c r="BZ100" s="284"/>
      <c r="CA100" s="284"/>
      <c r="CB100" s="284"/>
      <c r="CC100" s="284"/>
      <c r="CD100" s="284"/>
      <c r="CE100" s="284"/>
      <c r="CF100" s="284"/>
      <c r="CG100" s="284"/>
    </row>
    <row r="101" spans="1:85" x14ac:dyDescent="0.35">
      <c r="A101" s="284" t="s">
        <v>7082</v>
      </c>
      <c r="B101" s="284" t="s">
        <v>7083</v>
      </c>
      <c r="C101" t="s">
        <v>13712</v>
      </c>
      <c r="D101" s="284" t="s">
        <v>13023</v>
      </c>
      <c r="E101" s="284" t="s">
        <v>13330</v>
      </c>
      <c r="F101" s="284" t="s">
        <v>13000</v>
      </c>
      <c r="G101" s="284" t="s">
        <v>13024</v>
      </c>
      <c r="H101" s="284" t="s">
        <v>13049</v>
      </c>
      <c r="I101" s="284" t="s">
        <v>13087</v>
      </c>
      <c r="J101" s="284" t="s">
        <v>13027</v>
      </c>
      <c r="K101" s="284" t="s">
        <v>13713</v>
      </c>
      <c r="L101" s="284" t="s">
        <v>13003</v>
      </c>
      <c r="M101" s="284" t="s">
        <v>13008</v>
      </c>
      <c r="N101" s="284" t="s">
        <v>13077</v>
      </c>
      <c r="O101" s="284" t="s">
        <v>13089</v>
      </c>
      <c r="P101" s="284" t="s">
        <v>13033</v>
      </c>
      <c r="Q101" s="284" t="s">
        <v>13034</v>
      </c>
      <c r="R101" s="284" t="s">
        <v>13036</v>
      </c>
      <c r="S101" s="284" t="s">
        <v>13105</v>
      </c>
      <c r="T101" s="284" t="s">
        <v>13037</v>
      </c>
      <c r="U101" s="284" t="s">
        <v>13090</v>
      </c>
      <c r="V101" s="284" t="s">
        <v>13039</v>
      </c>
      <c r="W101" s="284" t="s">
        <v>13091</v>
      </c>
      <c r="X101" s="284" t="s">
        <v>13093</v>
      </c>
      <c r="Y101" s="284" t="s">
        <v>13041</v>
      </c>
      <c r="Z101" s="284" t="s">
        <v>13714</v>
      </c>
      <c r="AA101" s="284" t="s">
        <v>13332</v>
      </c>
      <c r="AB101" s="284" t="s">
        <v>13715</v>
      </c>
      <c r="AC101" s="284"/>
      <c r="AD101" s="284"/>
      <c r="AE101" s="284"/>
      <c r="AF101" s="284"/>
      <c r="AG101" s="284"/>
      <c r="AH101" s="284"/>
      <c r="AI101" s="284"/>
      <c r="AJ101" s="284"/>
      <c r="AK101" s="284"/>
      <c r="AL101" s="284"/>
      <c r="AM101" s="284"/>
      <c r="AN101" s="284"/>
      <c r="AO101" s="284"/>
      <c r="AP101" s="284"/>
      <c r="AQ101" s="284"/>
      <c r="AR101" s="284"/>
      <c r="AS101" s="284"/>
      <c r="AT101" s="284"/>
      <c r="AU101" s="284"/>
      <c r="AV101" s="284"/>
      <c r="AW101" s="284"/>
      <c r="AX101" s="284"/>
      <c r="AY101" s="284"/>
      <c r="AZ101" s="284"/>
      <c r="BA101" s="284"/>
      <c r="BB101" s="284"/>
      <c r="BC101" s="284"/>
      <c r="BD101" s="284"/>
      <c r="BE101" s="284"/>
      <c r="BF101" s="284"/>
      <c r="BG101" s="284"/>
      <c r="BH101" s="284"/>
      <c r="BI101" s="284"/>
      <c r="BJ101" s="284"/>
      <c r="BK101" s="284"/>
      <c r="BL101" s="284"/>
      <c r="BM101" s="284"/>
      <c r="BN101" s="284"/>
      <c r="BO101" s="284"/>
      <c r="BP101" s="284"/>
      <c r="BQ101" s="284"/>
      <c r="BR101" s="284"/>
      <c r="BS101" s="284"/>
      <c r="BT101" s="284"/>
      <c r="BU101" s="284"/>
      <c r="BV101" s="284"/>
      <c r="BW101" s="284"/>
      <c r="BX101" s="284"/>
      <c r="BY101" s="284"/>
      <c r="BZ101" s="284"/>
      <c r="CA101" s="284"/>
      <c r="CB101" s="284"/>
      <c r="CC101" s="284"/>
      <c r="CD101" s="284"/>
      <c r="CE101" s="284"/>
      <c r="CF101" s="284"/>
      <c r="CG101" s="284"/>
    </row>
    <row r="102" spans="1:85" x14ac:dyDescent="0.35">
      <c r="A102" s="284" t="s">
        <v>11607</v>
      </c>
      <c r="B102" s="284" t="s">
        <v>11608</v>
      </c>
      <c r="C102" t="s">
        <v>13716</v>
      </c>
      <c r="D102" s="284" t="s">
        <v>13110</v>
      </c>
      <c r="E102" s="284" t="s">
        <v>13023</v>
      </c>
      <c r="F102" s="284" t="s">
        <v>13065</v>
      </c>
      <c r="G102" s="284" t="s">
        <v>13318</v>
      </c>
      <c r="H102" s="284" t="s">
        <v>13210</v>
      </c>
      <c r="I102" s="284" t="s">
        <v>13358</v>
      </c>
      <c r="J102" s="284" t="s">
        <v>13098</v>
      </c>
      <c r="K102" s="284" t="s">
        <v>13309</v>
      </c>
      <c r="L102" s="284" t="s">
        <v>13384</v>
      </c>
      <c r="M102" s="284" t="s">
        <v>13049</v>
      </c>
      <c r="N102" s="284" t="s">
        <v>13027</v>
      </c>
      <c r="O102" s="284" t="s">
        <v>13717</v>
      </c>
      <c r="P102" s="284" t="s">
        <v>13001</v>
      </c>
      <c r="Q102" s="284" t="s">
        <v>13215</v>
      </c>
      <c r="R102" s="284" t="s">
        <v>13002</v>
      </c>
      <c r="S102" s="284" t="s">
        <v>13337</v>
      </c>
      <c r="T102" s="284" t="s">
        <v>13635</v>
      </c>
      <c r="U102" s="284" t="s">
        <v>13004</v>
      </c>
      <c r="V102" s="284" t="s">
        <v>13066</v>
      </c>
      <c r="W102" s="284" t="s">
        <v>13201</v>
      </c>
      <c r="X102" s="284" t="s">
        <v>13100</v>
      </c>
      <c r="Y102" s="284" t="s">
        <v>13005</v>
      </c>
      <c r="Z102" s="284" t="s">
        <v>13029</v>
      </c>
      <c r="AA102" s="284" t="s">
        <v>13007</v>
      </c>
      <c r="AB102" s="284" t="s">
        <v>13718</v>
      </c>
      <c r="AC102" s="284" t="s">
        <v>13103</v>
      </c>
      <c r="AD102" s="284" t="s">
        <v>13054</v>
      </c>
      <c r="AE102" s="284" t="s">
        <v>13008</v>
      </c>
      <c r="AF102" s="284" t="s">
        <v>13055</v>
      </c>
      <c r="AG102" s="284" t="s">
        <v>13104</v>
      </c>
      <c r="AH102" s="284" t="s">
        <v>13218</v>
      </c>
      <c r="AI102" s="284" t="s">
        <v>13719</v>
      </c>
      <c r="AJ102" s="284" t="s">
        <v>13037</v>
      </c>
      <c r="AK102" s="284" t="s">
        <v>13009</v>
      </c>
      <c r="AL102" s="284" t="s">
        <v>13011</v>
      </c>
      <c r="AM102" s="284" t="s">
        <v>13344</v>
      </c>
      <c r="AN102" s="284" t="s">
        <v>13720</v>
      </c>
      <c r="AO102" s="284" t="s">
        <v>13014</v>
      </c>
      <c r="AP102" s="284" t="s">
        <v>13042</v>
      </c>
      <c r="AQ102" s="284" t="s">
        <v>13265</v>
      </c>
      <c r="AR102" s="284" t="s">
        <v>13016</v>
      </c>
      <c r="AS102" s="284"/>
      <c r="AT102" s="284"/>
      <c r="AU102" s="284"/>
      <c r="AV102" s="284"/>
      <c r="AW102" s="284"/>
      <c r="AX102" s="284"/>
      <c r="AY102" s="284"/>
      <c r="AZ102" s="284"/>
      <c r="BA102" s="284"/>
      <c r="BB102" s="284"/>
      <c r="BC102" s="284"/>
      <c r="BD102" s="284"/>
      <c r="BE102" s="284"/>
      <c r="BF102" s="284"/>
      <c r="BG102" s="284"/>
      <c r="BH102" s="284"/>
      <c r="BI102" s="284"/>
      <c r="BJ102" s="284"/>
      <c r="BK102" s="284"/>
      <c r="BL102" s="284"/>
      <c r="BM102" s="284"/>
      <c r="BN102" s="284"/>
      <c r="BO102" s="284"/>
      <c r="BP102" s="284"/>
      <c r="BQ102" s="284"/>
      <c r="BR102" s="284"/>
      <c r="BS102" s="284"/>
      <c r="BT102" s="284"/>
      <c r="BU102" s="284"/>
      <c r="BV102" s="284"/>
      <c r="BW102" s="284"/>
      <c r="BX102" s="284"/>
      <c r="BY102" s="284"/>
      <c r="BZ102" s="284"/>
      <c r="CA102" s="284"/>
      <c r="CB102" s="284"/>
      <c r="CC102" s="284"/>
      <c r="CD102" s="284"/>
      <c r="CE102" s="284"/>
      <c r="CF102" s="284"/>
      <c r="CG102" s="284"/>
    </row>
    <row r="103" spans="1:85" x14ac:dyDescent="0.35">
      <c r="A103" s="284" t="s">
        <v>8329</v>
      </c>
      <c r="B103" s="284" t="s">
        <v>8330</v>
      </c>
      <c r="C103" t="s">
        <v>13721</v>
      </c>
      <c r="D103" s="284" t="s">
        <v>13166</v>
      </c>
      <c r="E103" s="284" t="s">
        <v>13722</v>
      </c>
      <c r="F103" s="284" t="s">
        <v>13167</v>
      </c>
      <c r="G103" s="284" t="s">
        <v>13021</v>
      </c>
      <c r="H103" s="284" t="s">
        <v>13723</v>
      </c>
      <c r="I103" s="284" t="s">
        <v>13000</v>
      </c>
      <c r="J103" s="284" t="s">
        <v>13074</v>
      </c>
      <c r="K103" s="284" t="s">
        <v>13724</v>
      </c>
      <c r="L103" s="284" t="s">
        <v>13725</v>
      </c>
      <c r="M103" s="284" t="s">
        <v>13002</v>
      </c>
      <c r="N103" s="284" t="s">
        <v>13005</v>
      </c>
      <c r="O103" s="284" t="s">
        <v>13006</v>
      </c>
      <c r="P103" s="284" t="s">
        <v>13568</v>
      </c>
      <c r="Q103" s="284" t="s">
        <v>13055</v>
      </c>
      <c r="R103" s="284" t="s">
        <v>13034</v>
      </c>
      <c r="S103" s="284" t="s">
        <v>13039</v>
      </c>
      <c r="T103" s="284" t="s">
        <v>13078</v>
      </c>
      <c r="U103" s="284" t="s">
        <v>13057</v>
      </c>
      <c r="V103" s="284" t="s">
        <v>13011</v>
      </c>
      <c r="W103" s="284" t="s">
        <v>13058</v>
      </c>
      <c r="X103" s="284" t="s">
        <v>13041</v>
      </c>
      <c r="Y103" s="284" t="s">
        <v>13205</v>
      </c>
      <c r="Z103" s="284" t="s">
        <v>13012</v>
      </c>
      <c r="AA103" s="284" t="s">
        <v>13726</v>
      </c>
      <c r="AB103" s="284" t="s">
        <v>13014</v>
      </c>
      <c r="AC103" s="284" t="s">
        <v>13727</v>
      </c>
      <c r="AD103" s="284" t="s">
        <v>13042</v>
      </c>
      <c r="AE103" s="284" t="s">
        <v>13174</v>
      </c>
      <c r="AF103" s="284" t="s">
        <v>13079</v>
      </c>
      <c r="AG103" s="284" t="s">
        <v>13570</v>
      </c>
      <c r="AH103" s="284" t="s">
        <v>13015</v>
      </c>
      <c r="AI103" s="284" t="s">
        <v>13016</v>
      </c>
      <c r="AJ103" s="284" t="s">
        <v>13144</v>
      </c>
      <c r="AK103" s="284" t="s">
        <v>13364</v>
      </c>
      <c r="AL103" s="284"/>
      <c r="AM103" s="284"/>
      <c r="AN103" s="284"/>
      <c r="AO103" s="284"/>
      <c r="AP103" s="284"/>
      <c r="AQ103" s="284"/>
      <c r="AR103" s="284"/>
      <c r="AS103" s="284"/>
      <c r="AT103" s="284"/>
      <c r="AU103" s="284"/>
      <c r="AV103" s="284"/>
      <c r="AW103" s="284"/>
      <c r="AX103" s="284"/>
      <c r="AY103" s="284"/>
      <c r="AZ103" s="284"/>
      <c r="BA103" s="284"/>
      <c r="BB103" s="284"/>
      <c r="BC103" s="284"/>
      <c r="BD103" s="284"/>
      <c r="BE103" s="284"/>
      <c r="BF103" s="284"/>
      <c r="BG103" s="284"/>
      <c r="BH103" s="284"/>
      <c r="BI103" s="284"/>
      <c r="BJ103" s="284"/>
      <c r="BK103" s="284"/>
      <c r="BL103" s="284"/>
      <c r="BM103" s="284"/>
      <c r="BN103" s="284"/>
      <c r="BO103" s="284"/>
      <c r="BP103" s="284"/>
      <c r="BQ103" s="284"/>
      <c r="BR103" s="284"/>
      <c r="BS103" s="284"/>
      <c r="BT103" s="284"/>
      <c r="BU103" s="284"/>
      <c r="BV103" s="284"/>
      <c r="BW103" s="284"/>
      <c r="BX103" s="284"/>
      <c r="BY103" s="284"/>
      <c r="BZ103" s="284"/>
      <c r="CA103" s="284"/>
      <c r="CB103" s="284"/>
      <c r="CC103" s="284"/>
      <c r="CD103" s="284"/>
      <c r="CE103" s="284"/>
      <c r="CF103" s="284"/>
      <c r="CG103" s="284"/>
    </row>
    <row r="104" spans="1:85" x14ac:dyDescent="0.35">
      <c r="A104" s="284" t="s">
        <v>11649</v>
      </c>
      <c r="B104" s="284" t="s">
        <v>11650</v>
      </c>
      <c r="C104" t="s">
        <v>13728</v>
      </c>
      <c r="D104" s="284" t="s">
        <v>13110</v>
      </c>
      <c r="E104" s="284" t="s">
        <v>13677</v>
      </c>
      <c r="F104" s="284" t="s">
        <v>13021</v>
      </c>
      <c r="G104" s="284" t="s">
        <v>13111</v>
      </c>
      <c r="H104" s="284" t="s">
        <v>13023</v>
      </c>
      <c r="I104" s="284" t="s">
        <v>13729</v>
      </c>
      <c r="J104" s="284" t="s">
        <v>13433</v>
      </c>
      <c r="K104" s="284" t="s">
        <v>13318</v>
      </c>
      <c r="L104" s="284" t="s">
        <v>13000</v>
      </c>
      <c r="M104" s="284" t="s">
        <v>13730</v>
      </c>
      <c r="N104" s="284" t="s">
        <v>13120</v>
      </c>
      <c r="O104" s="284" t="s">
        <v>13731</v>
      </c>
      <c r="P104" s="284" t="s">
        <v>13350</v>
      </c>
      <c r="Q104" s="284" t="s">
        <v>13001</v>
      </c>
      <c r="R104" s="284" t="s">
        <v>13732</v>
      </c>
      <c r="S104" s="284" t="s">
        <v>13733</v>
      </c>
      <c r="T104" s="284" t="s">
        <v>13635</v>
      </c>
      <c r="U104" s="284" t="s">
        <v>13734</v>
      </c>
      <c r="V104" s="284" t="s">
        <v>13437</v>
      </c>
      <c r="W104" s="284" t="s">
        <v>13735</v>
      </c>
      <c r="X104" s="284" t="s">
        <v>13100</v>
      </c>
      <c r="Y104" s="284" t="s">
        <v>13005</v>
      </c>
      <c r="Z104" s="284" t="s">
        <v>13006</v>
      </c>
      <c r="AA104" s="284" t="s">
        <v>13162</v>
      </c>
      <c r="AB104" s="284" t="s">
        <v>13102</v>
      </c>
      <c r="AC104" s="284" t="s">
        <v>13678</v>
      </c>
      <c r="AD104" s="284" t="s">
        <v>13103</v>
      </c>
      <c r="AE104" s="284" t="s">
        <v>13054</v>
      </c>
      <c r="AF104" s="284" t="s">
        <v>13340</v>
      </c>
      <c r="AG104" s="284" t="s">
        <v>13133</v>
      </c>
      <c r="AH104" s="284" t="s">
        <v>13459</v>
      </c>
      <c r="AI104" s="284" t="s">
        <v>13135</v>
      </c>
      <c r="AJ104" s="284" t="s">
        <v>13055</v>
      </c>
      <c r="AK104" s="284" t="s">
        <v>13104</v>
      </c>
      <c r="AL104" s="284" t="s">
        <v>13736</v>
      </c>
      <c r="AM104" s="284" t="s">
        <v>13737</v>
      </c>
      <c r="AN104" s="284" t="s">
        <v>13033</v>
      </c>
      <c r="AO104" s="284" t="s">
        <v>13034</v>
      </c>
      <c r="AP104" s="284" t="s">
        <v>13738</v>
      </c>
      <c r="AQ104" s="284" t="s">
        <v>13739</v>
      </c>
      <c r="AR104" s="284" t="s">
        <v>13740</v>
      </c>
      <c r="AS104" s="284" t="s">
        <v>13091</v>
      </c>
      <c r="AT104" s="284" t="s">
        <v>13009</v>
      </c>
      <c r="AU104" s="284" t="s">
        <v>13741</v>
      </c>
      <c r="AV104" s="284" t="s">
        <v>13057</v>
      </c>
      <c r="AW104" s="284" t="s">
        <v>13011</v>
      </c>
      <c r="AX104" s="284" t="s">
        <v>13058</v>
      </c>
      <c r="AY104" s="284" t="s">
        <v>13306</v>
      </c>
      <c r="AZ104" s="284" t="s">
        <v>13138</v>
      </c>
      <c r="BA104" s="284" t="s">
        <v>13344</v>
      </c>
      <c r="BB104" s="284" t="s">
        <v>13014</v>
      </c>
      <c r="BC104" s="284" t="s">
        <v>13141</v>
      </c>
      <c r="BD104" s="284" t="s">
        <v>13042</v>
      </c>
      <c r="BE104" s="284" t="s">
        <v>13742</v>
      </c>
      <c r="BF104" s="284" t="s">
        <v>13743</v>
      </c>
      <c r="BG104" s="284"/>
      <c r="BH104" s="284"/>
      <c r="BI104" s="284"/>
      <c r="BJ104" s="284"/>
      <c r="BK104" s="284"/>
      <c r="BL104" s="284"/>
      <c r="BM104" s="284"/>
      <c r="BN104" s="284"/>
      <c r="BO104" s="284"/>
      <c r="BP104" s="284"/>
      <c r="BQ104" s="284"/>
      <c r="BR104" s="284"/>
      <c r="BS104" s="284"/>
      <c r="BT104" s="284"/>
      <c r="BU104" s="284"/>
      <c r="BV104" s="284"/>
      <c r="BW104" s="284"/>
      <c r="BX104" s="284"/>
      <c r="BY104" s="284"/>
      <c r="BZ104" s="284"/>
      <c r="CA104" s="284"/>
      <c r="CB104" s="284"/>
      <c r="CC104" s="284"/>
      <c r="CD104" s="284"/>
      <c r="CE104" s="284"/>
      <c r="CF104" s="284"/>
      <c r="CG104" s="284"/>
    </row>
    <row r="105" spans="1:85" x14ac:dyDescent="0.35">
      <c r="A105" s="284" t="s">
        <v>518</v>
      </c>
      <c r="B105" s="284" t="s">
        <v>519</v>
      </c>
      <c r="C105" t="s">
        <v>13023</v>
      </c>
      <c r="D105" s="284" t="s">
        <v>13288</v>
      </c>
      <c r="E105" s="284" t="s">
        <v>13273</v>
      </c>
      <c r="F105" s="284" t="s">
        <v>13000</v>
      </c>
      <c r="G105" s="284" t="s">
        <v>13238</v>
      </c>
      <c r="H105" s="284" t="s">
        <v>13027</v>
      </c>
      <c r="I105" s="284" t="s">
        <v>13483</v>
      </c>
      <c r="J105" s="284" t="s">
        <v>13028</v>
      </c>
      <c r="K105" s="284" t="s">
        <v>13003</v>
      </c>
      <c r="L105" s="284" t="s">
        <v>13066</v>
      </c>
      <c r="M105" s="284" t="s">
        <v>13274</v>
      </c>
      <c r="N105" s="284" t="s">
        <v>13744</v>
      </c>
      <c r="O105" s="284" t="s">
        <v>13485</v>
      </c>
      <c r="P105" s="284" t="s">
        <v>13276</v>
      </c>
      <c r="Q105" s="284" t="s">
        <v>13033</v>
      </c>
      <c r="R105" s="284" t="s">
        <v>13487</v>
      </c>
      <c r="S105" s="284" t="s">
        <v>13036</v>
      </c>
      <c r="T105" s="284" t="s">
        <v>13037</v>
      </c>
      <c r="U105" s="284" t="s">
        <v>13009</v>
      </c>
      <c r="V105" s="284" t="s">
        <v>13042</v>
      </c>
      <c r="W105" s="284" t="s">
        <v>13493</v>
      </c>
      <c r="X105" s="284" t="s">
        <v>13494</v>
      </c>
      <c r="Y105" s="284" t="s">
        <v>13286</v>
      </c>
      <c r="Z105" s="284"/>
      <c r="AA105" s="284"/>
      <c r="AB105" s="284"/>
      <c r="AC105" s="284"/>
      <c r="AD105" s="284"/>
      <c r="AE105" s="284"/>
      <c r="AF105" s="284"/>
      <c r="AG105" s="284"/>
      <c r="AH105" s="284"/>
      <c r="AI105" s="284"/>
      <c r="AJ105" s="284"/>
      <c r="AK105" s="284"/>
      <c r="AL105" s="284"/>
      <c r="AM105" s="284"/>
      <c r="AN105" s="284"/>
      <c r="AO105" s="284"/>
      <c r="AP105" s="284"/>
      <c r="AQ105" s="284"/>
      <c r="AR105" s="284"/>
      <c r="AS105" s="284"/>
      <c r="AT105" s="284"/>
      <c r="AU105" s="284"/>
      <c r="AV105" s="284"/>
      <c r="AW105" s="284"/>
      <c r="AX105" s="284"/>
      <c r="AY105" s="284"/>
      <c r="AZ105" s="284"/>
      <c r="BA105" s="284"/>
      <c r="BB105" s="284"/>
      <c r="BC105" s="284"/>
      <c r="BD105" s="284"/>
      <c r="BE105" s="284"/>
      <c r="BF105" s="284"/>
      <c r="BG105" s="284"/>
      <c r="BH105" s="284"/>
      <c r="BI105" s="284"/>
      <c r="BJ105" s="284"/>
      <c r="BK105" s="284"/>
      <c r="BL105" s="284"/>
      <c r="BM105" s="284"/>
      <c r="BN105" s="284"/>
      <c r="BO105" s="284"/>
      <c r="BP105" s="284"/>
      <c r="BQ105" s="284"/>
      <c r="BR105" s="284"/>
      <c r="BS105" s="284"/>
      <c r="BT105" s="284"/>
      <c r="BU105" s="284"/>
      <c r="BV105" s="284"/>
      <c r="BW105" s="284"/>
      <c r="BX105" s="284"/>
      <c r="BY105" s="284"/>
      <c r="BZ105" s="284"/>
      <c r="CA105" s="284"/>
      <c r="CB105" s="284"/>
      <c r="CC105" s="284"/>
      <c r="CD105" s="284"/>
      <c r="CE105" s="284"/>
      <c r="CF105" s="284"/>
      <c r="CG105" s="284"/>
    </row>
    <row r="106" spans="1:85" x14ac:dyDescent="0.35">
      <c r="A106" s="284" t="s">
        <v>11691</v>
      </c>
      <c r="B106" s="284" t="s">
        <v>11692</v>
      </c>
      <c r="C106" t="s">
        <v>13745</v>
      </c>
      <c r="D106" s="284" t="s">
        <v>13110</v>
      </c>
      <c r="E106" s="284" t="s">
        <v>13308</v>
      </c>
      <c r="F106" s="284" t="s">
        <v>13746</v>
      </c>
      <c r="G106" s="284" t="s">
        <v>13023</v>
      </c>
      <c r="H106" s="284" t="s">
        <v>13112</v>
      </c>
      <c r="I106" s="284" t="s">
        <v>13433</v>
      </c>
      <c r="J106" s="284" t="s">
        <v>13318</v>
      </c>
      <c r="K106" s="284" t="s">
        <v>13000</v>
      </c>
      <c r="L106" s="284" t="s">
        <v>13632</v>
      </c>
      <c r="M106" s="284" t="s">
        <v>13747</v>
      </c>
      <c r="N106" s="284" t="s">
        <v>13027</v>
      </c>
      <c r="O106" s="284" t="s">
        <v>13001</v>
      </c>
      <c r="P106" s="284" t="s">
        <v>13748</v>
      </c>
      <c r="Q106" s="284" t="s">
        <v>13435</v>
      </c>
      <c r="R106" s="284" t="s">
        <v>13003</v>
      </c>
      <c r="S106" s="284" t="s">
        <v>13124</v>
      </c>
      <c r="T106" s="284" t="s">
        <v>13127</v>
      </c>
      <c r="U106" s="284" t="s">
        <v>13178</v>
      </c>
      <c r="V106" s="284" t="s">
        <v>13076</v>
      </c>
      <c r="W106" s="284" t="s">
        <v>13005</v>
      </c>
      <c r="X106" s="284" t="s">
        <v>13101</v>
      </c>
      <c r="Y106" s="284" t="s">
        <v>13006</v>
      </c>
      <c r="Z106" s="284" t="s">
        <v>13103</v>
      </c>
      <c r="AA106" s="284" t="s">
        <v>13054</v>
      </c>
      <c r="AB106" s="284" t="s">
        <v>13129</v>
      </c>
      <c r="AC106" s="284" t="s">
        <v>13055</v>
      </c>
      <c r="AD106" s="284" t="s">
        <v>13104</v>
      </c>
      <c r="AE106" s="284" t="s">
        <v>13033</v>
      </c>
      <c r="AF106" s="284" t="s">
        <v>13078</v>
      </c>
      <c r="AG106" s="284" t="s">
        <v>13011</v>
      </c>
      <c r="AH106" s="284" t="s">
        <v>13579</v>
      </c>
      <c r="AI106" s="284" t="s">
        <v>13058</v>
      </c>
      <c r="AJ106" s="284" t="s">
        <v>13442</v>
      </c>
      <c r="AK106" s="284" t="s">
        <v>13306</v>
      </c>
      <c r="AL106" s="284" t="s">
        <v>13638</v>
      </c>
      <c r="AM106" s="284" t="s">
        <v>13014</v>
      </c>
      <c r="AN106" s="284" t="s">
        <v>13749</v>
      </c>
      <c r="AO106" s="284" t="s">
        <v>13042</v>
      </c>
      <c r="AP106" s="284" t="s">
        <v>13750</v>
      </c>
      <c r="AQ106" s="284" t="s">
        <v>13444</v>
      </c>
      <c r="AR106" s="284" t="s">
        <v>13640</v>
      </c>
      <c r="AS106" s="284"/>
      <c r="AT106" s="284"/>
      <c r="AU106" s="284"/>
      <c r="AV106" s="284"/>
      <c r="AW106" s="284"/>
      <c r="AX106" s="284"/>
      <c r="AY106" s="284"/>
      <c r="AZ106" s="284"/>
      <c r="BA106" s="284"/>
      <c r="BB106" s="284"/>
      <c r="BC106" s="284"/>
      <c r="BD106" s="284"/>
      <c r="BE106" s="284"/>
      <c r="BF106" s="284"/>
      <c r="BG106" s="284"/>
      <c r="BH106" s="284"/>
      <c r="BI106" s="284"/>
      <c r="BJ106" s="284"/>
      <c r="BK106" s="284"/>
      <c r="BL106" s="284"/>
      <c r="BM106" s="284"/>
      <c r="BN106" s="284"/>
      <c r="BO106" s="284"/>
      <c r="BP106" s="284"/>
      <c r="BQ106" s="284"/>
      <c r="BR106" s="284"/>
      <c r="BS106" s="284"/>
      <c r="BT106" s="284"/>
      <c r="BU106" s="284"/>
      <c r="BV106" s="284"/>
      <c r="BW106" s="284"/>
      <c r="BX106" s="284"/>
      <c r="BY106" s="284"/>
      <c r="BZ106" s="284"/>
      <c r="CA106" s="284"/>
      <c r="CB106" s="284"/>
      <c r="CC106" s="284"/>
      <c r="CD106" s="284"/>
      <c r="CE106" s="284"/>
      <c r="CF106" s="284"/>
      <c r="CG106" s="284"/>
    </row>
    <row r="107" spans="1:85" x14ac:dyDescent="0.35">
      <c r="A107" s="284" t="s">
        <v>6495</v>
      </c>
      <c r="B107" s="284" t="s">
        <v>6496</v>
      </c>
      <c r="C107" t="s">
        <v>13021</v>
      </c>
      <c r="D107" s="284" t="s">
        <v>13022</v>
      </c>
      <c r="E107" s="284" t="s">
        <v>13119</v>
      </c>
      <c r="F107" s="284" t="s">
        <v>13024</v>
      </c>
      <c r="G107" s="284" t="s">
        <v>13025</v>
      </c>
      <c r="H107" s="284" t="s">
        <v>13271</v>
      </c>
      <c r="I107" s="284" t="s">
        <v>13027</v>
      </c>
      <c r="J107" s="284" t="s">
        <v>13028</v>
      </c>
      <c r="K107" s="284" t="s">
        <v>13190</v>
      </c>
      <c r="L107" s="284" t="s">
        <v>13248</v>
      </c>
      <c r="M107" s="284" t="s">
        <v>13030</v>
      </c>
      <c r="N107" s="284" t="s">
        <v>13077</v>
      </c>
      <c r="O107" s="284" t="s">
        <v>13055</v>
      </c>
      <c r="P107" s="284" t="s">
        <v>13034</v>
      </c>
      <c r="Q107" s="284" t="s">
        <v>13035</v>
      </c>
      <c r="R107" s="284" t="s">
        <v>13038</v>
      </c>
      <c r="S107" s="284" t="s">
        <v>13039</v>
      </c>
      <c r="T107" s="284" t="s">
        <v>13041</v>
      </c>
      <c r="U107" s="284" t="s">
        <v>13012</v>
      </c>
      <c r="V107" s="284" t="s">
        <v>13014</v>
      </c>
      <c r="W107" s="284" t="s">
        <v>13042</v>
      </c>
      <c r="X107" s="284" t="s">
        <v>13222</v>
      </c>
      <c r="Y107" s="284" t="s">
        <v>13207</v>
      </c>
      <c r="Z107" s="284"/>
      <c r="AA107" s="284"/>
      <c r="AB107" s="284"/>
      <c r="AC107" s="284"/>
      <c r="AD107" s="284"/>
      <c r="AE107" s="284"/>
      <c r="AF107" s="284"/>
      <c r="AG107" s="284"/>
      <c r="AH107" s="284"/>
      <c r="AI107" s="284"/>
      <c r="AJ107" s="284"/>
      <c r="AK107" s="284"/>
      <c r="AL107" s="284"/>
      <c r="AM107" s="284"/>
      <c r="AN107" s="284"/>
      <c r="AO107" s="284"/>
      <c r="AP107" s="284"/>
      <c r="AQ107" s="284"/>
      <c r="AR107" s="284"/>
      <c r="AS107" s="284"/>
      <c r="AT107" s="284"/>
      <c r="AU107" s="284"/>
      <c r="AV107" s="284"/>
      <c r="AW107" s="284"/>
      <c r="AX107" s="284"/>
      <c r="AY107" s="284"/>
      <c r="AZ107" s="284"/>
      <c r="BA107" s="284"/>
      <c r="BB107" s="284"/>
      <c r="BC107" s="284"/>
      <c r="BD107" s="284"/>
      <c r="BE107" s="284"/>
      <c r="BF107" s="284"/>
      <c r="BG107" s="284"/>
      <c r="BH107" s="284"/>
      <c r="BI107" s="284"/>
      <c r="BJ107" s="284"/>
      <c r="BK107" s="284"/>
      <c r="BL107" s="284"/>
      <c r="BM107" s="284"/>
      <c r="BN107" s="284"/>
      <c r="BO107" s="284"/>
      <c r="BP107" s="284"/>
      <c r="BQ107" s="284"/>
      <c r="BR107" s="284"/>
      <c r="BS107" s="284"/>
      <c r="BT107" s="284"/>
      <c r="BU107" s="284"/>
      <c r="BV107" s="284"/>
      <c r="BW107" s="284"/>
      <c r="BX107" s="284"/>
      <c r="BY107" s="284"/>
      <c r="BZ107" s="284"/>
      <c r="CA107" s="284"/>
      <c r="CB107" s="284"/>
      <c r="CC107" s="284"/>
      <c r="CD107" s="284"/>
      <c r="CE107" s="284"/>
      <c r="CF107" s="284"/>
      <c r="CG107" s="284"/>
    </row>
    <row r="108" spans="1:85" x14ac:dyDescent="0.35">
      <c r="A108" s="284" t="s">
        <v>11733</v>
      </c>
      <c r="B108" s="284" t="s">
        <v>11734</v>
      </c>
      <c r="C108" t="s">
        <v>13751</v>
      </c>
      <c r="D108" s="284" t="s">
        <v>13111</v>
      </c>
      <c r="E108" s="284" t="s">
        <v>13023</v>
      </c>
      <c r="F108" s="284" t="s">
        <v>13112</v>
      </c>
      <c r="G108" s="284" t="s">
        <v>13433</v>
      </c>
      <c r="H108" s="284" t="s">
        <v>13116</v>
      </c>
      <c r="I108" s="284" t="s">
        <v>13000</v>
      </c>
      <c r="J108" s="284" t="s">
        <v>13632</v>
      </c>
      <c r="K108" s="284" t="s">
        <v>13574</v>
      </c>
      <c r="L108" s="284" t="s">
        <v>13120</v>
      </c>
      <c r="M108" s="284" t="s">
        <v>13027</v>
      </c>
      <c r="N108" s="284" t="s">
        <v>13752</v>
      </c>
      <c r="O108" s="284" t="s">
        <v>13001</v>
      </c>
      <c r="P108" s="284" t="s">
        <v>13123</v>
      </c>
      <c r="Q108" s="284" t="s">
        <v>13002</v>
      </c>
      <c r="R108" s="284" t="s">
        <v>13753</v>
      </c>
      <c r="S108" s="284" t="s">
        <v>13635</v>
      </c>
      <c r="T108" s="284" t="s">
        <v>13124</v>
      </c>
      <c r="U108" s="284" t="s">
        <v>13437</v>
      </c>
      <c r="V108" s="284" t="s">
        <v>13125</v>
      </c>
      <c r="W108" s="284" t="s">
        <v>13754</v>
      </c>
      <c r="X108" s="284" t="s">
        <v>13100</v>
      </c>
      <c r="Y108" s="284" t="s">
        <v>13005</v>
      </c>
      <c r="Z108" s="284" t="s">
        <v>13192</v>
      </c>
      <c r="AA108" s="284" t="s">
        <v>13006</v>
      </c>
      <c r="AB108" s="284" t="s">
        <v>13007</v>
      </c>
      <c r="AC108" s="284" t="s">
        <v>13755</v>
      </c>
      <c r="AD108" s="284" t="s">
        <v>13102</v>
      </c>
      <c r="AE108" s="284" t="s">
        <v>13103</v>
      </c>
      <c r="AF108" s="284" t="s">
        <v>13054</v>
      </c>
      <c r="AG108" s="284" t="s">
        <v>13133</v>
      </c>
      <c r="AH108" s="284" t="s">
        <v>13055</v>
      </c>
      <c r="AI108" s="284" t="s">
        <v>13104</v>
      </c>
      <c r="AJ108" s="284" t="s">
        <v>13033</v>
      </c>
      <c r="AK108" s="284" t="s">
        <v>13034</v>
      </c>
      <c r="AL108" s="284" t="s">
        <v>13740</v>
      </c>
      <c r="AM108" s="284" t="s">
        <v>13037</v>
      </c>
      <c r="AN108" s="284" t="s">
        <v>13038</v>
      </c>
      <c r="AO108" s="284" t="s">
        <v>13091</v>
      </c>
      <c r="AP108" s="284" t="s">
        <v>13009</v>
      </c>
      <c r="AQ108" s="284" t="s">
        <v>13741</v>
      </c>
      <c r="AR108" s="284" t="s">
        <v>13011</v>
      </c>
      <c r="AS108" s="284" t="s">
        <v>13058</v>
      </c>
      <c r="AT108" s="284" t="s">
        <v>13306</v>
      </c>
      <c r="AU108" s="284" t="s">
        <v>13680</v>
      </c>
      <c r="AV108" s="284" t="s">
        <v>13138</v>
      </c>
      <c r="AW108" s="284" t="s">
        <v>13344</v>
      </c>
      <c r="AX108" s="284" t="s">
        <v>13220</v>
      </c>
      <c r="AY108" s="284" t="s">
        <v>13141</v>
      </c>
      <c r="AZ108" s="284" t="s">
        <v>13042</v>
      </c>
      <c r="BA108" s="284" t="s">
        <v>13016</v>
      </c>
      <c r="BB108" s="284" t="s">
        <v>13756</v>
      </c>
      <c r="BC108" s="284" t="s">
        <v>13757</v>
      </c>
      <c r="BD108" s="284" t="s">
        <v>13743</v>
      </c>
      <c r="BE108" s="284"/>
      <c r="BF108" s="284"/>
      <c r="BG108" s="284"/>
      <c r="BH108" s="284"/>
      <c r="BI108" s="284"/>
      <c r="BJ108" s="284"/>
      <c r="BK108" s="284"/>
      <c r="BL108" s="284"/>
      <c r="BM108" s="284"/>
      <c r="BN108" s="284"/>
      <c r="BO108" s="284"/>
      <c r="BP108" s="284"/>
      <c r="BQ108" s="284"/>
      <c r="BR108" s="284"/>
      <c r="BS108" s="284"/>
      <c r="BT108" s="284"/>
      <c r="BU108" s="284"/>
      <c r="BV108" s="284"/>
      <c r="BW108" s="284"/>
      <c r="BX108" s="284"/>
      <c r="BY108" s="284"/>
      <c r="BZ108" s="284"/>
      <c r="CA108" s="284"/>
      <c r="CB108" s="284"/>
      <c r="CC108" s="284"/>
      <c r="CD108" s="284"/>
      <c r="CE108" s="284"/>
      <c r="CF108" s="284"/>
      <c r="CG108" s="284"/>
    </row>
    <row r="109" spans="1:85" x14ac:dyDescent="0.35">
      <c r="A109" s="284" t="s">
        <v>4297</v>
      </c>
      <c r="B109" s="284" t="s">
        <v>4298</v>
      </c>
      <c r="C109" s="284" t="s">
        <v>13758</v>
      </c>
      <c r="D109" s="284" t="s">
        <v>13023</v>
      </c>
      <c r="E109" s="284" t="s">
        <v>13348</v>
      </c>
      <c r="F109" s="284" t="s">
        <v>13083</v>
      </c>
      <c r="G109" s="284" t="s">
        <v>13000</v>
      </c>
      <c r="H109" s="284" t="s">
        <v>13086</v>
      </c>
      <c r="I109" s="284" t="s">
        <v>13027</v>
      </c>
      <c r="J109" s="284" t="s">
        <v>13759</v>
      </c>
      <c r="K109" s="284" t="s">
        <v>13028</v>
      </c>
      <c r="L109" s="284" t="s">
        <v>13002</v>
      </c>
      <c r="M109" s="284" t="s">
        <v>13178</v>
      </c>
      <c r="N109" s="284" t="s">
        <v>13076</v>
      </c>
      <c r="O109" s="284" t="s">
        <v>13005</v>
      </c>
      <c r="P109" s="284" t="s">
        <v>13006</v>
      </c>
      <c r="Q109" s="284" t="s">
        <v>13007</v>
      </c>
      <c r="R109" s="284" t="s">
        <v>13760</v>
      </c>
      <c r="S109" s="284" t="s">
        <v>13162</v>
      </c>
      <c r="T109" s="284" t="s">
        <v>13103</v>
      </c>
      <c r="U109" s="284" t="s">
        <v>13008</v>
      </c>
      <c r="V109" s="284" t="s">
        <v>13104</v>
      </c>
      <c r="W109" s="284" t="s">
        <v>13034</v>
      </c>
      <c r="X109" s="284" t="s">
        <v>13038</v>
      </c>
      <c r="Y109" s="284" t="s">
        <v>13039</v>
      </c>
      <c r="Z109" s="284" t="s">
        <v>13091</v>
      </c>
      <c r="AA109" s="284" t="s">
        <v>13009</v>
      </c>
      <c r="AB109" s="284" t="s">
        <v>13041</v>
      </c>
      <c r="AC109" s="284" t="s">
        <v>13106</v>
      </c>
      <c r="AD109" s="284" t="s">
        <v>13042</v>
      </c>
      <c r="AE109" s="284"/>
      <c r="AF109" s="284"/>
      <c r="AG109" s="284"/>
      <c r="AH109" s="284"/>
      <c r="AI109" s="284"/>
      <c r="AJ109" s="284"/>
      <c r="AK109" s="284"/>
      <c r="AL109" s="284"/>
      <c r="AM109" s="284"/>
      <c r="AN109" s="284"/>
      <c r="AO109" s="284"/>
      <c r="AP109" s="284"/>
      <c r="AQ109" s="284"/>
      <c r="AR109" s="284"/>
      <c r="AS109" s="284"/>
      <c r="AT109" s="284"/>
      <c r="AU109" s="284"/>
      <c r="AV109" s="284"/>
      <c r="AW109" s="284"/>
      <c r="AX109" s="284"/>
      <c r="AY109" s="284"/>
      <c r="AZ109" s="284"/>
      <c r="BA109" s="284"/>
      <c r="BB109" s="284"/>
      <c r="BC109" s="284"/>
      <c r="BD109" s="284"/>
      <c r="BE109" s="284"/>
      <c r="BF109" s="284"/>
      <c r="BG109" s="284"/>
      <c r="BH109" s="284"/>
      <c r="BI109" s="284"/>
      <c r="BJ109" s="284"/>
      <c r="BK109" s="284"/>
      <c r="BL109" s="284"/>
      <c r="BM109" s="284"/>
      <c r="BN109" s="284"/>
      <c r="BO109" s="284"/>
      <c r="BP109" s="284"/>
      <c r="BQ109" s="284"/>
      <c r="BR109" s="284"/>
      <c r="BS109" s="284"/>
      <c r="BT109" s="284"/>
      <c r="BU109" s="284"/>
      <c r="BV109" s="284"/>
      <c r="BW109" s="284"/>
      <c r="BX109" s="284"/>
      <c r="BY109" s="284"/>
      <c r="BZ109" s="284"/>
      <c r="CA109" s="284"/>
      <c r="CB109" s="284"/>
      <c r="CC109" s="284"/>
      <c r="CD109" s="284"/>
      <c r="CE109" s="284"/>
      <c r="CF109" s="284"/>
    </row>
    <row r="110" spans="1:85" x14ac:dyDescent="0.35">
      <c r="A110" s="284" t="s">
        <v>11775</v>
      </c>
      <c r="B110" s="284" t="s">
        <v>11776</v>
      </c>
      <c r="C110" s="284" t="s">
        <v>13761</v>
      </c>
      <c r="D110" s="284" t="s">
        <v>13110</v>
      </c>
      <c r="E110" s="284" t="s">
        <v>13023</v>
      </c>
      <c r="F110" s="284" t="s">
        <v>13082</v>
      </c>
      <c r="G110" s="284" t="s">
        <v>13065</v>
      </c>
      <c r="H110" s="284" t="s">
        <v>13159</v>
      </c>
      <c r="I110" s="284" t="s">
        <v>13000</v>
      </c>
      <c r="J110" s="284" t="s">
        <v>13098</v>
      </c>
      <c r="K110" s="284" t="s">
        <v>13398</v>
      </c>
      <c r="L110" s="284" t="s">
        <v>13028</v>
      </c>
      <c r="M110" s="284" t="s">
        <v>13002</v>
      </c>
      <c r="N110" s="284" t="s">
        <v>13004</v>
      </c>
      <c r="O110" s="284" t="s">
        <v>13124</v>
      </c>
      <c r="P110" s="284" t="s">
        <v>13125</v>
      </c>
      <c r="Q110" s="284" t="s">
        <v>13127</v>
      </c>
      <c r="R110" s="284" t="s">
        <v>13005</v>
      </c>
      <c r="S110" s="284" t="s">
        <v>13029</v>
      </c>
      <c r="T110" s="284" t="s">
        <v>13006</v>
      </c>
      <c r="U110" s="284" t="s">
        <v>13007</v>
      </c>
      <c r="V110" s="284" t="s">
        <v>13103</v>
      </c>
      <c r="W110" s="284" t="s">
        <v>13054</v>
      </c>
      <c r="X110" s="284" t="s">
        <v>13129</v>
      </c>
      <c r="Y110" s="284" t="s">
        <v>13133</v>
      </c>
      <c r="Z110" s="284" t="s">
        <v>13135</v>
      </c>
      <c r="AA110" s="284" t="s">
        <v>13055</v>
      </c>
      <c r="AB110" s="284" t="s">
        <v>13104</v>
      </c>
      <c r="AC110" s="284" t="s">
        <v>13762</v>
      </c>
      <c r="AD110" s="284" t="s">
        <v>13039</v>
      </c>
      <c r="AE110" s="284" t="s">
        <v>13078</v>
      </c>
      <c r="AF110" s="284" t="s">
        <v>13009</v>
      </c>
      <c r="AG110" s="284" t="s">
        <v>13011</v>
      </c>
      <c r="AH110" s="284" t="s">
        <v>13058</v>
      </c>
      <c r="AI110" s="284" t="s">
        <v>13041</v>
      </c>
      <c r="AJ110" s="284" t="s">
        <v>13344</v>
      </c>
      <c r="AK110" s="284" t="s">
        <v>13014</v>
      </c>
      <c r="AL110" s="284" t="s">
        <v>13042</v>
      </c>
      <c r="AM110" s="284" t="s">
        <v>13144</v>
      </c>
      <c r="AN110" s="284" t="s">
        <v>13444</v>
      </c>
      <c r="AO110" s="284" t="s">
        <v>13640</v>
      </c>
      <c r="AP110" s="284"/>
      <c r="AQ110" s="284"/>
      <c r="AR110" s="284"/>
      <c r="AS110" s="284"/>
      <c r="AT110" s="284"/>
      <c r="AU110" s="284"/>
      <c r="AV110" s="284"/>
      <c r="AW110" s="284"/>
      <c r="AX110" s="284"/>
      <c r="AY110" s="284"/>
      <c r="AZ110" s="284"/>
      <c r="BA110" s="284"/>
      <c r="BB110" s="284"/>
      <c r="BC110" s="284"/>
      <c r="BD110" s="284"/>
      <c r="BE110" s="284"/>
      <c r="BF110" s="284"/>
      <c r="BG110" s="284"/>
      <c r="BH110" s="284"/>
      <c r="BI110" s="284"/>
      <c r="BJ110" s="284"/>
      <c r="BK110" s="284"/>
      <c r="BL110" s="284"/>
      <c r="BM110" s="284"/>
      <c r="BN110" s="284"/>
      <c r="BO110" s="284"/>
      <c r="BP110" s="284"/>
      <c r="BQ110" s="284"/>
      <c r="BR110" s="284"/>
      <c r="BS110" s="284"/>
      <c r="BT110" s="284"/>
      <c r="BU110" s="284"/>
      <c r="BV110" s="284"/>
      <c r="BW110" s="284"/>
      <c r="BX110" s="284"/>
      <c r="BY110" s="284"/>
      <c r="BZ110" s="284"/>
      <c r="CA110" s="284"/>
      <c r="CB110" s="284"/>
      <c r="CC110" s="284"/>
      <c r="CD110" s="284"/>
      <c r="CE110" s="284"/>
      <c r="CF110" s="284"/>
    </row>
    <row r="111" spans="1:85" x14ac:dyDescent="0.35">
      <c r="A111" s="284" t="s">
        <v>4949</v>
      </c>
      <c r="B111" s="284" t="s">
        <v>4950</v>
      </c>
      <c r="C111" t="s">
        <v>13110</v>
      </c>
      <c r="D111" s="284" t="s">
        <v>13167</v>
      </c>
      <c r="E111" s="284" t="s">
        <v>13072</v>
      </c>
      <c r="F111" s="284" t="s">
        <v>13021</v>
      </c>
      <c r="G111" s="284" t="s">
        <v>13023</v>
      </c>
      <c r="H111" s="284" t="s">
        <v>13048</v>
      </c>
      <c r="I111" s="284" t="s">
        <v>13082</v>
      </c>
      <c r="J111" s="284" t="s">
        <v>13000</v>
      </c>
      <c r="K111" s="284" t="s">
        <v>13074</v>
      </c>
      <c r="L111" s="284" t="s">
        <v>13050</v>
      </c>
      <c r="M111" s="284" t="s">
        <v>13028</v>
      </c>
      <c r="N111" s="284" t="s">
        <v>13002</v>
      </c>
      <c r="O111" s="284" t="s">
        <v>13051</v>
      </c>
      <c r="P111" s="284" t="s">
        <v>13005</v>
      </c>
      <c r="Q111" s="284" t="s">
        <v>13006</v>
      </c>
      <c r="R111" s="284" t="s">
        <v>13007</v>
      </c>
      <c r="S111" s="284" t="s">
        <v>13104</v>
      </c>
      <c r="T111" s="284" t="s">
        <v>13011</v>
      </c>
      <c r="U111" s="284" t="s">
        <v>13058</v>
      </c>
      <c r="V111" s="284" t="s">
        <v>13012</v>
      </c>
      <c r="W111" s="284" t="s">
        <v>13060</v>
      </c>
      <c r="X111" s="284" t="s">
        <v>13174</v>
      </c>
      <c r="Y111" s="284" t="s">
        <v>13015</v>
      </c>
      <c r="Z111" s="284" t="s">
        <v>13144</v>
      </c>
      <c r="AA111" s="284"/>
      <c r="AB111" s="284"/>
      <c r="AC111" s="284"/>
      <c r="AD111" s="284"/>
      <c r="AE111" s="284"/>
      <c r="AF111" s="284"/>
      <c r="AG111" s="284"/>
      <c r="AH111" s="284"/>
      <c r="AI111" s="284"/>
      <c r="AJ111" s="284"/>
      <c r="AK111" s="284"/>
      <c r="AL111" s="284"/>
      <c r="AM111" s="284"/>
      <c r="AN111" s="284"/>
      <c r="AO111" s="284"/>
      <c r="AP111" s="284"/>
      <c r="AQ111" s="284"/>
      <c r="AR111" s="284"/>
      <c r="AS111" s="284"/>
      <c r="AT111" s="284"/>
      <c r="AU111" s="284"/>
      <c r="AV111" s="284"/>
      <c r="AW111" s="284"/>
      <c r="AX111" s="284"/>
      <c r="AY111" s="284"/>
      <c r="AZ111" s="284"/>
      <c r="BA111" s="284"/>
      <c r="BB111" s="284"/>
      <c r="BC111" s="284"/>
      <c r="BD111" s="284"/>
      <c r="BE111" s="284"/>
      <c r="BF111" s="284"/>
      <c r="BG111" s="284"/>
      <c r="BH111" s="284"/>
      <c r="BI111" s="284"/>
      <c r="BJ111" s="284"/>
      <c r="BK111" s="284"/>
      <c r="BL111" s="284"/>
      <c r="BM111" s="284"/>
      <c r="BN111" s="284"/>
      <c r="BO111" s="284"/>
      <c r="BP111" s="284"/>
      <c r="BQ111" s="284"/>
      <c r="BR111" s="284"/>
      <c r="BS111" s="284"/>
      <c r="BT111" s="284"/>
      <c r="BU111" s="284"/>
      <c r="BV111" s="284"/>
      <c r="BW111" s="284"/>
      <c r="BX111" s="284"/>
      <c r="BY111" s="284"/>
      <c r="BZ111" s="284"/>
      <c r="CA111" s="284"/>
      <c r="CB111" s="284"/>
      <c r="CC111" s="284"/>
      <c r="CD111" s="284"/>
      <c r="CE111" s="284"/>
      <c r="CF111" s="284"/>
      <c r="CG111" s="284"/>
    </row>
    <row r="112" spans="1:85" x14ac:dyDescent="0.35">
      <c r="A112" s="284" t="s">
        <v>290</v>
      </c>
      <c r="B112" s="284" t="s">
        <v>291</v>
      </c>
      <c r="C112" s="284" t="s">
        <v>13763</v>
      </c>
      <c r="D112" s="284" t="s">
        <v>13072</v>
      </c>
      <c r="E112" s="284" t="s">
        <v>13023</v>
      </c>
      <c r="F112" s="284" t="s">
        <v>13546</v>
      </c>
      <c r="G112" s="284" t="s">
        <v>13547</v>
      </c>
      <c r="H112" s="284" t="s">
        <v>13065</v>
      </c>
      <c r="I112" s="284" t="s">
        <v>13273</v>
      </c>
      <c r="J112" s="284" t="s">
        <v>13119</v>
      </c>
      <c r="K112" s="284" t="s">
        <v>13028</v>
      </c>
      <c r="L112" s="284" t="s">
        <v>13002</v>
      </c>
      <c r="M112" s="284" t="s">
        <v>13003</v>
      </c>
      <c r="N112" s="284" t="s">
        <v>13657</v>
      </c>
      <c r="O112" s="284" t="s">
        <v>13557</v>
      </c>
      <c r="P112" s="284" t="s">
        <v>13558</v>
      </c>
      <c r="Q112" s="284" t="s">
        <v>13162</v>
      </c>
      <c r="R112" s="284" t="s">
        <v>13559</v>
      </c>
      <c r="S112" s="284" t="s">
        <v>13033</v>
      </c>
      <c r="T112" s="284" t="s">
        <v>13560</v>
      </c>
      <c r="U112" s="284" t="s">
        <v>13038</v>
      </c>
      <c r="V112" s="284" t="s">
        <v>13091</v>
      </c>
      <c r="W112" s="284" t="s">
        <v>13009</v>
      </c>
      <c r="X112" s="284" t="s">
        <v>13764</v>
      </c>
      <c r="Y112" s="284" t="s">
        <v>13096</v>
      </c>
      <c r="Z112" s="284" t="s">
        <v>13765</v>
      </c>
      <c r="AA112" s="284"/>
      <c r="AB112" s="284"/>
      <c r="AC112" s="284"/>
      <c r="AD112" s="284"/>
      <c r="AE112" s="284"/>
      <c r="AF112" s="284"/>
      <c r="AG112" s="284"/>
      <c r="AH112" s="284"/>
      <c r="AI112" s="284"/>
      <c r="AJ112" s="284"/>
      <c r="AK112" s="284"/>
      <c r="AL112" s="284"/>
      <c r="AM112" s="284"/>
      <c r="AN112" s="284"/>
      <c r="AO112" s="284"/>
      <c r="AP112" s="284"/>
      <c r="AQ112" s="284"/>
      <c r="AR112" s="284"/>
      <c r="AS112" s="284"/>
      <c r="AT112" s="284"/>
      <c r="AU112" s="284"/>
      <c r="AV112" s="284"/>
      <c r="AW112" s="284"/>
      <c r="AX112" s="284"/>
      <c r="AY112" s="284"/>
      <c r="AZ112" s="284"/>
      <c r="BA112" s="284"/>
      <c r="BB112" s="284"/>
      <c r="BC112" s="284"/>
      <c r="BD112" s="284"/>
      <c r="BE112" s="284"/>
      <c r="BF112" s="284"/>
      <c r="BG112" s="284"/>
      <c r="BH112" s="284"/>
      <c r="BI112" s="284"/>
      <c r="BJ112" s="284"/>
      <c r="BK112" s="284"/>
      <c r="BL112" s="284"/>
      <c r="BM112" s="284"/>
      <c r="BN112" s="284"/>
      <c r="BO112" s="284"/>
      <c r="BP112" s="284"/>
      <c r="BQ112" s="284"/>
      <c r="BR112" s="284"/>
      <c r="BS112" s="284"/>
      <c r="BT112" s="284"/>
      <c r="BU112" s="284"/>
      <c r="BV112" s="284"/>
      <c r="BW112" s="284"/>
      <c r="BX112" s="284"/>
      <c r="BY112" s="284"/>
      <c r="BZ112" s="284"/>
      <c r="CA112" s="284"/>
      <c r="CB112" s="284"/>
      <c r="CC112" s="284"/>
      <c r="CD112" s="284"/>
      <c r="CE112" s="284"/>
      <c r="CF112" s="284"/>
    </row>
    <row r="113" spans="1:85" x14ac:dyDescent="0.35">
      <c r="A113" s="284" t="s">
        <v>3836</v>
      </c>
      <c r="B113" s="284" t="s">
        <v>3837</v>
      </c>
      <c r="C113" t="s">
        <v>13766</v>
      </c>
      <c r="D113" s="284" t="s">
        <v>13046</v>
      </c>
      <c r="E113" s="284" t="s">
        <v>13023</v>
      </c>
      <c r="F113" s="284" t="s">
        <v>13354</v>
      </c>
      <c r="G113" s="284" t="s">
        <v>13027</v>
      </c>
      <c r="H113" s="284" t="s">
        <v>13002</v>
      </c>
      <c r="I113" s="284" t="s">
        <v>13003</v>
      </c>
      <c r="J113" s="284" t="s">
        <v>13100</v>
      </c>
      <c r="K113" s="284" t="s">
        <v>13005</v>
      </c>
      <c r="L113" s="284" t="s">
        <v>13008</v>
      </c>
      <c r="M113" s="284" t="s">
        <v>13077</v>
      </c>
      <c r="N113" s="284" t="s">
        <v>13033</v>
      </c>
      <c r="O113" s="284" t="s">
        <v>13389</v>
      </c>
      <c r="P113" s="284" t="s">
        <v>13078</v>
      </c>
      <c r="Q113" s="284" t="s">
        <v>13009</v>
      </c>
      <c r="R113" s="284" t="s">
        <v>13010</v>
      </c>
      <c r="S113" s="284" t="s">
        <v>13011</v>
      </c>
      <c r="T113" s="284" t="s">
        <v>13012</v>
      </c>
      <c r="U113" s="284" t="s">
        <v>13364</v>
      </c>
      <c r="V113" s="284"/>
      <c r="W113" s="284"/>
      <c r="X113" s="284"/>
      <c r="Y113" s="284"/>
      <c r="Z113" s="284"/>
      <c r="AA113" s="284"/>
      <c r="AB113" s="284"/>
      <c r="AC113" s="284"/>
      <c r="AD113" s="284"/>
      <c r="AE113" s="284"/>
      <c r="AF113" s="284"/>
      <c r="AG113" s="284"/>
      <c r="AH113" s="284"/>
      <c r="AI113" s="284"/>
      <c r="AJ113" s="284"/>
      <c r="AK113" s="284"/>
      <c r="AL113" s="284"/>
      <c r="AM113" s="284"/>
      <c r="AN113" s="284"/>
      <c r="AO113" s="284"/>
      <c r="AP113" s="284"/>
      <c r="AQ113" s="284"/>
      <c r="AR113" s="284"/>
      <c r="AS113" s="284"/>
      <c r="AT113" s="284"/>
      <c r="AU113" s="284"/>
      <c r="AV113" s="284"/>
      <c r="AW113" s="284"/>
      <c r="AX113" s="284"/>
      <c r="AY113" s="284"/>
      <c r="AZ113" s="284"/>
      <c r="BA113" s="284"/>
      <c r="BB113" s="284"/>
      <c r="BC113" s="284"/>
      <c r="BD113" s="284"/>
      <c r="BE113" s="284"/>
      <c r="BF113" s="284"/>
      <c r="BG113" s="284"/>
      <c r="BH113" s="284"/>
      <c r="BI113" s="284"/>
      <c r="BJ113" s="284"/>
      <c r="BK113" s="284"/>
      <c r="BL113" s="284"/>
      <c r="BM113" s="284"/>
      <c r="BN113" s="284"/>
      <c r="BO113" s="284"/>
      <c r="BP113" s="284"/>
      <c r="BQ113" s="284"/>
      <c r="BR113" s="284"/>
      <c r="BS113" s="284"/>
      <c r="BT113" s="284"/>
      <c r="BU113" s="284"/>
      <c r="BV113" s="284"/>
      <c r="BW113" s="284"/>
      <c r="BX113" s="284"/>
      <c r="BY113" s="284"/>
      <c r="BZ113" s="284"/>
      <c r="CA113" s="284"/>
      <c r="CB113" s="284"/>
      <c r="CC113" s="284"/>
      <c r="CD113" s="284"/>
      <c r="CE113" s="284"/>
      <c r="CF113" s="284"/>
      <c r="CG113" s="284"/>
    </row>
    <row r="114" spans="1:85" x14ac:dyDescent="0.35">
      <c r="A114" s="284" t="s">
        <v>4983</v>
      </c>
      <c r="B114" s="284" t="s">
        <v>4984</v>
      </c>
      <c r="C114" t="s">
        <v>13046</v>
      </c>
      <c r="D114" s="284" t="s">
        <v>13167</v>
      </c>
      <c r="E114" s="284" t="s">
        <v>13021</v>
      </c>
      <c r="F114" s="284" t="s">
        <v>13708</v>
      </c>
      <c r="G114" s="284" t="s">
        <v>13048</v>
      </c>
      <c r="H114" s="284" t="s">
        <v>13049</v>
      </c>
      <c r="I114" s="284" t="s">
        <v>13027</v>
      </c>
      <c r="J114" s="284" t="s">
        <v>13752</v>
      </c>
      <c r="K114" s="284" t="s">
        <v>13767</v>
      </c>
      <c r="L114" s="284" t="s">
        <v>13028</v>
      </c>
      <c r="M114" s="284" t="s">
        <v>13002</v>
      </c>
      <c r="N114" s="284" t="s">
        <v>13003</v>
      </c>
      <c r="O114" s="284" t="s">
        <v>13004</v>
      </c>
      <c r="P114" s="284" t="s">
        <v>13066</v>
      </c>
      <c r="Q114" s="284" t="s">
        <v>13005</v>
      </c>
      <c r="R114" s="284" t="s">
        <v>13007</v>
      </c>
      <c r="S114" s="284" t="s">
        <v>13512</v>
      </c>
      <c r="T114" s="284" t="s">
        <v>13033</v>
      </c>
      <c r="U114" s="284" t="s">
        <v>13036</v>
      </c>
      <c r="V114" s="284" t="s">
        <v>13037</v>
      </c>
      <c r="W114" s="284" t="s">
        <v>13038</v>
      </c>
      <c r="X114" s="284" t="s">
        <v>13039</v>
      </c>
      <c r="Y114" s="284" t="s">
        <v>13009</v>
      </c>
      <c r="Z114" s="284" t="s">
        <v>13056</v>
      </c>
      <c r="AA114" s="284" t="s">
        <v>13011</v>
      </c>
      <c r="AB114" s="284" t="s">
        <v>13041</v>
      </c>
      <c r="AC114" s="284" t="s">
        <v>13012</v>
      </c>
      <c r="AD114" s="284" t="s">
        <v>13060</v>
      </c>
      <c r="AE114" s="284" t="s">
        <v>13285</v>
      </c>
      <c r="AF114" s="284" t="s">
        <v>13014</v>
      </c>
      <c r="AG114" s="284" t="s">
        <v>13174</v>
      </c>
      <c r="AH114" s="284" t="s">
        <v>13175</v>
      </c>
      <c r="AI114" s="284" t="s">
        <v>13015</v>
      </c>
      <c r="AJ114" s="284" t="s">
        <v>13156</v>
      </c>
      <c r="AK114" s="284" t="s">
        <v>13016</v>
      </c>
      <c r="AL114" s="284"/>
      <c r="AM114" s="284"/>
      <c r="AN114" s="284"/>
      <c r="AO114" s="284"/>
      <c r="AP114" s="284"/>
      <c r="AQ114" s="284"/>
      <c r="AR114" s="284"/>
      <c r="AS114" s="284"/>
      <c r="AT114" s="284"/>
      <c r="AU114" s="284"/>
      <c r="AV114" s="284"/>
      <c r="AW114" s="284"/>
      <c r="AX114" s="284"/>
      <c r="AY114" s="284"/>
      <c r="AZ114" s="284"/>
      <c r="BA114" s="284"/>
      <c r="BB114" s="284"/>
      <c r="BC114" s="284"/>
      <c r="BD114" s="284"/>
      <c r="BE114" s="284"/>
      <c r="BF114" s="284"/>
      <c r="BG114" s="284"/>
      <c r="BH114" s="284"/>
      <c r="BI114" s="284"/>
      <c r="BJ114" s="284"/>
      <c r="BK114" s="284"/>
      <c r="BL114" s="284"/>
      <c r="BM114" s="284"/>
      <c r="BN114" s="284"/>
      <c r="BO114" s="284"/>
      <c r="BP114" s="284"/>
      <c r="BQ114" s="284"/>
      <c r="BR114" s="284"/>
      <c r="BS114" s="284"/>
      <c r="BT114" s="284"/>
      <c r="BU114" s="284"/>
      <c r="BV114" s="284"/>
      <c r="BW114" s="284"/>
      <c r="BX114" s="284"/>
      <c r="BY114" s="284"/>
      <c r="BZ114" s="284"/>
      <c r="CA114" s="284"/>
      <c r="CB114" s="284"/>
      <c r="CC114" s="284"/>
      <c r="CD114" s="284"/>
      <c r="CE114" s="284"/>
      <c r="CF114" s="284"/>
      <c r="CG114" s="284"/>
    </row>
    <row r="115" spans="1:85" x14ac:dyDescent="0.35">
      <c r="A115" s="284" t="s">
        <v>11817</v>
      </c>
      <c r="B115" s="284" t="s">
        <v>11818</v>
      </c>
      <c r="C115" t="s">
        <v>13768</v>
      </c>
      <c r="D115" s="284" t="s">
        <v>13110</v>
      </c>
      <c r="E115" s="284" t="s">
        <v>13023</v>
      </c>
      <c r="F115" s="284" t="s">
        <v>13065</v>
      </c>
      <c r="G115" s="284" t="s">
        <v>13349</v>
      </c>
      <c r="H115" s="284" t="s">
        <v>13318</v>
      </c>
      <c r="I115" s="284" t="s">
        <v>13000</v>
      </c>
      <c r="J115" s="284" t="s">
        <v>13098</v>
      </c>
      <c r="K115" s="284" t="s">
        <v>13099</v>
      </c>
      <c r="L115" s="284" t="s">
        <v>13086</v>
      </c>
      <c r="M115" s="284" t="s">
        <v>13027</v>
      </c>
      <c r="N115" s="284" t="s">
        <v>13001</v>
      </c>
      <c r="O115" s="284" t="s">
        <v>13050</v>
      </c>
      <c r="P115" s="284" t="s">
        <v>13002</v>
      </c>
      <c r="Q115" s="284" t="s">
        <v>13003</v>
      </c>
      <c r="R115" s="284" t="s">
        <v>13100</v>
      </c>
      <c r="S115" s="284" t="s">
        <v>13005</v>
      </c>
      <c r="T115" s="284" t="s">
        <v>13101</v>
      </c>
      <c r="U115" s="284" t="s">
        <v>13577</v>
      </c>
      <c r="V115" s="284" t="s">
        <v>13006</v>
      </c>
      <c r="W115" s="284" t="s">
        <v>13007</v>
      </c>
      <c r="X115" s="284" t="s">
        <v>13102</v>
      </c>
      <c r="Y115" s="284" t="s">
        <v>13103</v>
      </c>
      <c r="Z115" s="284" t="s">
        <v>13054</v>
      </c>
      <c r="AA115" s="284" t="s">
        <v>13008</v>
      </c>
      <c r="AB115" s="284" t="s">
        <v>13104</v>
      </c>
      <c r="AC115" s="284" t="s">
        <v>13011</v>
      </c>
      <c r="AD115" s="284" t="s">
        <v>13106</v>
      </c>
      <c r="AE115" s="284" t="s">
        <v>13014</v>
      </c>
      <c r="AF115" s="284" t="s">
        <v>13042</v>
      </c>
      <c r="AG115" s="284" t="s">
        <v>13222</v>
      </c>
      <c r="AH115" s="284" t="s">
        <v>13016</v>
      </c>
      <c r="AI115" s="284" t="s">
        <v>13108</v>
      </c>
      <c r="AJ115" s="284"/>
      <c r="AK115" s="284"/>
      <c r="AL115" s="284"/>
      <c r="AM115" s="284"/>
      <c r="AN115" s="284"/>
      <c r="AO115" s="284"/>
      <c r="AP115" s="284"/>
      <c r="AQ115" s="284"/>
      <c r="AR115" s="284"/>
      <c r="AS115" s="284"/>
      <c r="AT115" s="284"/>
      <c r="AU115" s="284"/>
      <c r="AV115" s="284"/>
      <c r="AW115" s="284"/>
      <c r="AX115" s="284"/>
      <c r="AY115" s="284"/>
      <c r="AZ115" s="284"/>
      <c r="BA115" s="284"/>
      <c r="BB115" s="284"/>
      <c r="BC115" s="284"/>
      <c r="BD115" s="284"/>
      <c r="BE115" s="284"/>
      <c r="BF115" s="284"/>
      <c r="BG115" s="284"/>
      <c r="BH115" s="284"/>
      <c r="BI115" s="284"/>
      <c r="BJ115" s="284"/>
      <c r="BK115" s="284"/>
      <c r="BL115" s="284"/>
      <c r="BM115" s="284"/>
      <c r="BN115" s="284"/>
      <c r="BO115" s="284"/>
      <c r="BP115" s="284"/>
      <c r="BQ115" s="284"/>
      <c r="BR115" s="284"/>
      <c r="BS115" s="284"/>
      <c r="BT115" s="284"/>
      <c r="BU115" s="284"/>
      <c r="BV115" s="284"/>
      <c r="BW115" s="284"/>
      <c r="BX115" s="284"/>
      <c r="BY115" s="284"/>
      <c r="BZ115" s="284"/>
      <c r="CA115" s="284"/>
      <c r="CB115" s="284"/>
      <c r="CC115" s="284"/>
      <c r="CD115" s="284"/>
      <c r="CE115" s="284"/>
      <c r="CF115" s="284"/>
      <c r="CG115" s="284"/>
    </row>
    <row r="116" spans="1:85" x14ac:dyDescent="0.35">
      <c r="A116" s="284" t="s">
        <v>1057</v>
      </c>
      <c r="B116" s="284" t="s">
        <v>1058</v>
      </c>
      <c r="C116" t="s">
        <v>13769</v>
      </c>
      <c r="D116" s="284" t="s">
        <v>13021</v>
      </c>
      <c r="E116" s="284" t="s">
        <v>13023</v>
      </c>
      <c r="F116" s="284" t="s">
        <v>13065</v>
      </c>
      <c r="G116" s="284" t="s">
        <v>13235</v>
      </c>
      <c r="H116" s="284" t="s">
        <v>13237</v>
      </c>
      <c r="I116" s="284" t="s">
        <v>13770</v>
      </c>
      <c r="J116" s="284" t="s">
        <v>13085</v>
      </c>
      <c r="K116" s="284" t="s">
        <v>13027</v>
      </c>
      <c r="L116" s="284" t="s">
        <v>13243</v>
      </c>
      <c r="M116" s="284" t="s">
        <v>13028</v>
      </c>
      <c r="N116" s="284" t="s">
        <v>13002</v>
      </c>
      <c r="O116" s="284" t="s">
        <v>13003</v>
      </c>
      <c r="P116" s="284" t="s">
        <v>13066</v>
      </c>
      <c r="Q116" s="284" t="s">
        <v>13178</v>
      </c>
      <c r="R116" s="284" t="s">
        <v>13076</v>
      </c>
      <c r="S116" s="284" t="s">
        <v>13248</v>
      </c>
      <c r="T116" s="284" t="s">
        <v>13284</v>
      </c>
      <c r="U116" s="284" t="s">
        <v>13035</v>
      </c>
      <c r="V116" s="284" t="s">
        <v>13560</v>
      </c>
      <c r="W116" s="284" t="s">
        <v>13394</v>
      </c>
      <c r="X116" s="284" t="s">
        <v>13091</v>
      </c>
      <c r="Y116" s="284" t="s">
        <v>13009</v>
      </c>
      <c r="Z116" s="284" t="s">
        <v>13771</v>
      </c>
      <c r="AA116" s="284" t="s">
        <v>13012</v>
      </c>
      <c r="AB116" s="284" t="s">
        <v>13772</v>
      </c>
      <c r="AC116" s="284" t="s">
        <v>13773</v>
      </c>
      <c r="AD116" s="284" t="s">
        <v>13014</v>
      </c>
      <c r="AE116" s="284" t="s">
        <v>13544</v>
      </c>
      <c r="AF116" s="284" t="s">
        <v>13700</v>
      </c>
      <c r="AG116" s="284"/>
      <c r="AH116" s="284"/>
      <c r="AI116" s="284"/>
      <c r="AJ116" s="284"/>
      <c r="AK116" s="284"/>
      <c r="AL116" s="284"/>
      <c r="AM116" s="284"/>
      <c r="AN116" s="284"/>
      <c r="AO116" s="284"/>
      <c r="AP116" s="284"/>
      <c r="AQ116" s="284"/>
      <c r="AR116" s="284"/>
      <c r="AS116" s="284"/>
      <c r="AT116" s="284"/>
      <c r="AU116" s="284"/>
      <c r="AV116" s="284"/>
      <c r="AW116" s="284"/>
      <c r="AX116" s="284"/>
      <c r="AY116" s="284"/>
      <c r="AZ116" s="284"/>
      <c r="BA116" s="284"/>
      <c r="BB116" s="284"/>
      <c r="BC116" s="284"/>
      <c r="BD116" s="284"/>
      <c r="BE116" s="284"/>
      <c r="BF116" s="284"/>
      <c r="BG116" s="284"/>
      <c r="BH116" s="284"/>
      <c r="BI116" s="284"/>
      <c r="BJ116" s="284"/>
      <c r="BK116" s="284"/>
      <c r="BL116" s="284"/>
      <c r="BM116" s="284"/>
      <c r="BN116" s="284"/>
      <c r="BO116" s="284"/>
      <c r="BP116" s="284"/>
      <c r="BQ116" s="284"/>
      <c r="BR116" s="284"/>
      <c r="BS116" s="284"/>
      <c r="BT116" s="284"/>
      <c r="BU116" s="284"/>
      <c r="BV116" s="284"/>
      <c r="BW116" s="284"/>
      <c r="BX116" s="284"/>
      <c r="BY116" s="284"/>
      <c r="BZ116" s="284"/>
      <c r="CA116" s="284"/>
      <c r="CB116" s="284"/>
      <c r="CC116" s="284"/>
      <c r="CD116" s="284"/>
      <c r="CE116" s="284"/>
      <c r="CF116" s="284"/>
      <c r="CG116" s="284"/>
    </row>
    <row r="117" spans="1:85" x14ac:dyDescent="0.35">
      <c r="A117" s="284" t="s">
        <v>5267</v>
      </c>
      <c r="B117" s="284" t="s">
        <v>5268</v>
      </c>
      <c r="C117" s="284" t="s">
        <v>13022</v>
      </c>
      <c r="D117" s="284" t="s">
        <v>13112</v>
      </c>
      <c r="E117" s="284" t="s">
        <v>13082</v>
      </c>
      <c r="F117" s="284" t="s">
        <v>13348</v>
      </c>
      <c r="G117" s="284" t="s">
        <v>13000</v>
      </c>
      <c r="H117" s="284" t="s">
        <v>13049</v>
      </c>
      <c r="I117" s="284" t="s">
        <v>13462</v>
      </c>
      <c r="J117" s="284" t="s">
        <v>13027</v>
      </c>
      <c r="K117" s="284" t="s">
        <v>13001</v>
      </c>
      <c r="L117" s="284" t="s">
        <v>13199</v>
      </c>
      <c r="M117" s="284" t="s">
        <v>13002</v>
      </c>
      <c r="N117" s="284" t="s">
        <v>13003</v>
      </c>
      <c r="O117" s="284" t="s">
        <v>13124</v>
      </c>
      <c r="P117" s="284" t="s">
        <v>13005</v>
      </c>
      <c r="Q117" s="284" t="s">
        <v>13006</v>
      </c>
      <c r="R117" s="284" t="s">
        <v>13103</v>
      </c>
      <c r="S117" s="284" t="s">
        <v>13054</v>
      </c>
      <c r="T117" s="284" t="s">
        <v>13131</v>
      </c>
      <c r="U117" s="284" t="s">
        <v>13133</v>
      </c>
      <c r="V117" s="284" t="s">
        <v>13135</v>
      </c>
      <c r="W117" s="284" t="s">
        <v>13104</v>
      </c>
      <c r="X117" s="284" t="s">
        <v>13774</v>
      </c>
      <c r="Y117" s="284" t="s">
        <v>13033</v>
      </c>
      <c r="Z117" s="284" t="s">
        <v>13037</v>
      </c>
      <c r="AA117" s="284" t="s">
        <v>13009</v>
      </c>
      <c r="AB117" s="284" t="s">
        <v>13343</v>
      </c>
      <c r="AC117" s="284" t="s">
        <v>13203</v>
      </c>
      <c r="AD117" s="284" t="s">
        <v>13011</v>
      </c>
      <c r="AE117" s="284" t="s">
        <v>13058</v>
      </c>
      <c r="AF117" s="284" t="s">
        <v>13344</v>
      </c>
      <c r="AG117" s="284" t="s">
        <v>13014</v>
      </c>
      <c r="AH117" s="284" t="s">
        <v>13141</v>
      </c>
      <c r="AI117" s="284" t="s">
        <v>13395</v>
      </c>
      <c r="AJ117" s="284" t="s">
        <v>13142</v>
      </c>
      <c r="AK117" s="284"/>
      <c r="AL117" s="284"/>
      <c r="AM117" s="284"/>
      <c r="AN117" s="284"/>
      <c r="AO117" s="284"/>
      <c r="AP117" s="284"/>
      <c r="AQ117" s="284"/>
      <c r="AR117" s="284"/>
      <c r="AS117" s="284"/>
      <c r="AT117" s="284"/>
      <c r="AU117" s="284"/>
      <c r="AV117" s="284"/>
      <c r="AW117" s="284"/>
      <c r="AX117" s="284"/>
      <c r="AY117" s="284"/>
      <c r="AZ117" s="284"/>
      <c r="BA117" s="284"/>
      <c r="BB117" s="284"/>
      <c r="BC117" s="284"/>
      <c r="BD117" s="284"/>
      <c r="BE117" s="284"/>
      <c r="BF117" s="284"/>
      <c r="BG117" s="284"/>
      <c r="BH117" s="284"/>
      <c r="BI117" s="284"/>
      <c r="BJ117" s="284"/>
      <c r="BK117" s="284"/>
      <c r="BL117" s="284"/>
      <c r="BM117" s="284"/>
      <c r="BN117" s="284"/>
      <c r="BO117" s="284"/>
      <c r="BP117" s="284"/>
      <c r="BQ117" s="284"/>
      <c r="BR117" s="284"/>
      <c r="BS117" s="284"/>
      <c r="BT117" s="284"/>
      <c r="BU117" s="284"/>
      <c r="BV117" s="284"/>
      <c r="BW117" s="284"/>
      <c r="BX117" s="284"/>
      <c r="BY117" s="284"/>
      <c r="BZ117" s="284"/>
      <c r="CA117" s="284"/>
      <c r="CB117" s="284"/>
      <c r="CC117" s="284"/>
      <c r="CD117" s="284"/>
      <c r="CE117" s="284"/>
      <c r="CF117" s="284"/>
    </row>
    <row r="118" spans="1:85" x14ac:dyDescent="0.35">
      <c r="A118" s="284" t="s">
        <v>3335</v>
      </c>
      <c r="B118" s="284" t="s">
        <v>3336</v>
      </c>
      <c r="C118" t="s">
        <v>13775</v>
      </c>
      <c r="D118" s="284" t="s">
        <v>13020</v>
      </c>
      <c r="E118" s="284" t="s">
        <v>13023</v>
      </c>
      <c r="F118" s="284" t="s">
        <v>13289</v>
      </c>
      <c r="G118" s="284" t="s">
        <v>13481</v>
      </c>
      <c r="H118" s="284" t="s">
        <v>13024</v>
      </c>
      <c r="I118" s="284" t="s">
        <v>13025</v>
      </c>
      <c r="J118" s="284" t="s">
        <v>13027</v>
      </c>
      <c r="K118" s="284" t="s">
        <v>13148</v>
      </c>
      <c r="L118" s="284" t="s">
        <v>13028</v>
      </c>
      <c r="M118" s="284" t="s">
        <v>13066</v>
      </c>
      <c r="N118" s="284" t="s">
        <v>13412</v>
      </c>
      <c r="O118" s="284" t="s">
        <v>13030</v>
      </c>
      <c r="P118" s="284" t="s">
        <v>13276</v>
      </c>
      <c r="Q118" s="284" t="s">
        <v>13032</v>
      </c>
      <c r="R118" s="284" t="s">
        <v>13613</v>
      </c>
      <c r="S118" s="284" t="s">
        <v>13034</v>
      </c>
      <c r="T118" s="284" t="s">
        <v>13105</v>
      </c>
      <c r="U118" s="284" t="s">
        <v>13038</v>
      </c>
      <c r="V118" s="284" t="s">
        <v>13039</v>
      </c>
      <c r="W118" s="284" t="s">
        <v>13009</v>
      </c>
      <c r="X118" s="284" t="s">
        <v>13152</v>
      </c>
      <c r="Y118" s="284" t="s">
        <v>13041</v>
      </c>
      <c r="Z118" s="284" t="s">
        <v>13012</v>
      </c>
      <c r="AA118" s="284" t="s">
        <v>13014</v>
      </c>
      <c r="AB118" s="284" t="s">
        <v>13286</v>
      </c>
      <c r="AC118" s="284"/>
      <c r="AD118" s="284"/>
      <c r="AE118" s="284"/>
      <c r="AF118" s="284"/>
      <c r="AG118" s="284"/>
      <c r="AH118" s="284"/>
      <c r="AI118" s="284"/>
      <c r="AJ118" s="284"/>
      <c r="AK118" s="284"/>
      <c r="AL118" s="284"/>
      <c r="AM118" s="284"/>
      <c r="AN118" s="284"/>
      <c r="AO118" s="284"/>
      <c r="AP118" s="284"/>
      <c r="AQ118" s="284"/>
      <c r="AR118" s="284"/>
      <c r="AS118" s="284"/>
      <c r="AT118" s="284"/>
      <c r="AU118" s="284"/>
      <c r="AV118" s="284"/>
      <c r="AW118" s="284"/>
      <c r="AX118" s="284"/>
      <c r="AY118" s="284"/>
      <c r="AZ118" s="284"/>
      <c r="BA118" s="284"/>
      <c r="BB118" s="284"/>
      <c r="BC118" s="284"/>
      <c r="BD118" s="284"/>
      <c r="BE118" s="284"/>
      <c r="BF118" s="284"/>
      <c r="BG118" s="284"/>
      <c r="BH118" s="284"/>
      <c r="BI118" s="284"/>
      <c r="BJ118" s="284"/>
      <c r="BK118" s="284"/>
      <c r="BL118" s="284"/>
      <c r="BM118" s="284"/>
      <c r="BN118" s="284"/>
      <c r="BO118" s="284"/>
      <c r="BP118" s="284"/>
      <c r="BQ118" s="284"/>
      <c r="BR118" s="284"/>
      <c r="BS118" s="284"/>
      <c r="BT118" s="284"/>
      <c r="BU118" s="284"/>
      <c r="BV118" s="284"/>
      <c r="BW118" s="284"/>
      <c r="BX118" s="284"/>
      <c r="BY118" s="284"/>
      <c r="BZ118" s="284"/>
      <c r="CA118" s="284"/>
      <c r="CB118" s="284"/>
      <c r="CC118" s="284"/>
      <c r="CD118" s="284"/>
      <c r="CE118" s="284"/>
      <c r="CF118" s="284"/>
      <c r="CG118" s="284"/>
    </row>
    <row r="119" spans="1:85" x14ac:dyDescent="0.35">
      <c r="A119" s="284" t="s">
        <v>11859</v>
      </c>
      <c r="B119" s="284" t="s">
        <v>11860</v>
      </c>
      <c r="C119" t="s">
        <v>13776</v>
      </c>
      <c r="D119" s="284" t="s">
        <v>13110</v>
      </c>
      <c r="E119" s="284" t="s">
        <v>13308</v>
      </c>
      <c r="F119" s="284" t="s">
        <v>13166</v>
      </c>
      <c r="G119" s="284" t="s">
        <v>13046</v>
      </c>
      <c r="H119" s="284" t="s">
        <v>13023</v>
      </c>
      <c r="I119" s="284" t="s">
        <v>13082</v>
      </c>
      <c r="J119" s="284" t="s">
        <v>13065</v>
      </c>
      <c r="K119" s="284" t="s">
        <v>13433</v>
      </c>
      <c r="L119" s="284" t="s">
        <v>13632</v>
      </c>
      <c r="M119" s="284" t="s">
        <v>13098</v>
      </c>
      <c r="N119" s="284" t="s">
        <v>13777</v>
      </c>
      <c r="O119" s="284" t="s">
        <v>13027</v>
      </c>
      <c r="P119" s="284" t="s">
        <v>13398</v>
      </c>
      <c r="Q119" s="284" t="s">
        <v>13001</v>
      </c>
      <c r="R119" s="284" t="s">
        <v>13778</v>
      </c>
      <c r="S119" s="284" t="s">
        <v>13050</v>
      </c>
      <c r="T119" s="284" t="s">
        <v>13002</v>
      </c>
      <c r="U119" s="284" t="s">
        <v>13066</v>
      </c>
      <c r="V119" s="284" t="s">
        <v>13124</v>
      </c>
      <c r="W119" s="284" t="s">
        <v>13127</v>
      </c>
      <c r="X119" s="284" t="s">
        <v>13005</v>
      </c>
      <c r="Y119" s="284" t="s">
        <v>13101</v>
      </c>
      <c r="Z119" s="284" t="s">
        <v>13006</v>
      </c>
      <c r="AA119" s="284" t="s">
        <v>13103</v>
      </c>
      <c r="AB119" s="284" t="s">
        <v>13054</v>
      </c>
      <c r="AC119" s="284" t="s">
        <v>13340</v>
      </c>
      <c r="AD119" s="284" t="s">
        <v>13135</v>
      </c>
      <c r="AE119" s="284" t="s">
        <v>13055</v>
      </c>
      <c r="AF119" s="284" t="s">
        <v>13104</v>
      </c>
      <c r="AG119" s="284" t="s">
        <v>13388</v>
      </c>
      <c r="AH119" s="284" t="s">
        <v>13033</v>
      </c>
      <c r="AI119" s="284" t="s">
        <v>13779</v>
      </c>
      <c r="AJ119" s="284" t="s">
        <v>13038</v>
      </c>
      <c r="AK119" s="284" t="s">
        <v>13039</v>
      </c>
      <c r="AL119" s="284" t="s">
        <v>13009</v>
      </c>
      <c r="AM119" s="284" t="s">
        <v>13011</v>
      </c>
      <c r="AN119" s="284" t="s">
        <v>13058</v>
      </c>
      <c r="AO119" s="284" t="s">
        <v>13041</v>
      </c>
      <c r="AP119" s="284" t="s">
        <v>13138</v>
      </c>
      <c r="AQ119" s="284" t="s">
        <v>13780</v>
      </c>
      <c r="AR119" s="284" t="s">
        <v>13014</v>
      </c>
      <c r="AS119" s="284" t="s">
        <v>13042</v>
      </c>
      <c r="AT119" s="284" t="s">
        <v>13444</v>
      </c>
      <c r="AU119" s="284" t="s">
        <v>13640</v>
      </c>
      <c r="AV119" s="284"/>
      <c r="AW119" s="284"/>
      <c r="AX119" s="284"/>
      <c r="AY119" s="284"/>
      <c r="AZ119" s="284"/>
      <c r="BA119" s="284"/>
      <c r="BB119" s="284"/>
      <c r="BC119" s="284"/>
      <c r="BD119" s="284"/>
      <c r="BE119" s="284"/>
      <c r="BF119" s="284"/>
      <c r="BG119" s="284"/>
      <c r="BH119" s="284"/>
      <c r="BI119" s="284"/>
      <c r="BJ119" s="284"/>
      <c r="BK119" s="284"/>
      <c r="BL119" s="284"/>
      <c r="BM119" s="284"/>
      <c r="BN119" s="284"/>
      <c r="BO119" s="284"/>
      <c r="BP119" s="284"/>
      <c r="BQ119" s="284"/>
      <c r="BR119" s="284"/>
      <c r="BS119" s="284"/>
      <c r="BT119" s="284"/>
      <c r="BU119" s="284"/>
      <c r="BV119" s="284"/>
      <c r="BW119" s="284"/>
      <c r="BX119" s="284"/>
      <c r="BY119" s="284"/>
      <c r="BZ119" s="284"/>
      <c r="CA119" s="284"/>
      <c r="CB119" s="284"/>
      <c r="CC119" s="284"/>
      <c r="CD119" s="284"/>
      <c r="CE119" s="284"/>
      <c r="CF119" s="284"/>
      <c r="CG119" s="284"/>
    </row>
    <row r="120" spans="1:85" x14ac:dyDescent="0.35">
      <c r="A120" s="284" t="s">
        <v>6537</v>
      </c>
      <c r="B120" s="284" t="s">
        <v>6538</v>
      </c>
      <c r="C120" s="284" t="s">
        <v>13781</v>
      </c>
      <c r="D120" s="284" t="s">
        <v>13020</v>
      </c>
      <c r="E120" s="284" t="s">
        <v>13021</v>
      </c>
      <c r="F120" s="284" t="s">
        <v>13023</v>
      </c>
      <c r="G120" s="284" t="s">
        <v>13082</v>
      </c>
      <c r="H120" s="284" t="s">
        <v>13065</v>
      </c>
      <c r="I120" s="284" t="s">
        <v>13024</v>
      </c>
      <c r="J120" s="284" t="s">
        <v>13049</v>
      </c>
      <c r="K120" s="284" t="s">
        <v>13026</v>
      </c>
      <c r="L120" s="284" t="s">
        <v>13271</v>
      </c>
      <c r="M120" s="284" t="s">
        <v>13027</v>
      </c>
      <c r="N120" s="284" t="s">
        <v>13066</v>
      </c>
      <c r="O120" s="284" t="s">
        <v>13076</v>
      </c>
      <c r="P120" s="284" t="s">
        <v>13029</v>
      </c>
      <c r="Q120" s="284" t="s">
        <v>13248</v>
      </c>
      <c r="R120" s="284" t="s">
        <v>13292</v>
      </c>
      <c r="S120" s="284" t="s">
        <v>13030</v>
      </c>
      <c r="T120" s="284" t="s">
        <v>13008</v>
      </c>
      <c r="U120" s="284" t="s">
        <v>13077</v>
      </c>
      <c r="V120" s="284" t="s">
        <v>13055</v>
      </c>
      <c r="W120" s="284" t="s">
        <v>13034</v>
      </c>
      <c r="X120" s="284" t="s">
        <v>13035</v>
      </c>
      <c r="Y120" s="284" t="s">
        <v>13036</v>
      </c>
      <c r="Z120" s="284" t="s">
        <v>13012</v>
      </c>
      <c r="AA120" s="284" t="s">
        <v>13042</v>
      </c>
      <c r="AB120" s="284" t="s">
        <v>13222</v>
      </c>
      <c r="AC120" s="284" t="s">
        <v>13070</v>
      </c>
      <c r="AD120" s="284"/>
      <c r="AE120" s="284"/>
      <c r="AF120" s="284"/>
      <c r="AG120" s="284"/>
      <c r="AH120" s="284"/>
      <c r="AI120" s="284"/>
      <c r="AJ120" s="284"/>
      <c r="AK120" s="284"/>
      <c r="AL120" s="284"/>
      <c r="AM120" s="284"/>
      <c r="AN120" s="284"/>
      <c r="AO120" s="284"/>
      <c r="AP120" s="284"/>
      <c r="AQ120" s="284"/>
      <c r="AR120" s="284"/>
      <c r="AS120" s="284"/>
      <c r="AT120" s="284"/>
      <c r="AU120" s="284"/>
      <c r="AV120" s="284"/>
      <c r="AW120" s="284"/>
      <c r="AX120" s="284"/>
      <c r="AY120" s="284"/>
      <c r="AZ120" s="284"/>
      <c r="BA120" s="284"/>
      <c r="BB120" s="284"/>
      <c r="BC120" s="284"/>
      <c r="BD120" s="284"/>
      <c r="BE120" s="284"/>
      <c r="BF120" s="284"/>
      <c r="BG120" s="284"/>
      <c r="BH120" s="284"/>
      <c r="BI120" s="284"/>
      <c r="BJ120" s="284"/>
      <c r="BK120" s="284"/>
      <c r="BL120" s="284"/>
      <c r="BM120" s="284"/>
      <c r="BN120" s="284"/>
      <c r="BO120" s="284"/>
      <c r="BP120" s="284"/>
      <c r="BQ120" s="284"/>
      <c r="BR120" s="284"/>
      <c r="BS120" s="284"/>
      <c r="BT120" s="284"/>
      <c r="BU120" s="284"/>
      <c r="BV120" s="284"/>
      <c r="BW120" s="284"/>
      <c r="BX120" s="284"/>
      <c r="BY120" s="284"/>
      <c r="BZ120" s="284"/>
      <c r="CA120" s="284"/>
      <c r="CB120" s="284"/>
      <c r="CC120" s="284"/>
      <c r="CD120" s="284"/>
      <c r="CE120" s="284"/>
      <c r="CF120" s="284"/>
    </row>
    <row r="121" spans="1:85" x14ac:dyDescent="0.35">
      <c r="A121" s="284" t="s">
        <v>9070</v>
      </c>
      <c r="B121" s="284" t="s">
        <v>9071</v>
      </c>
      <c r="C121" t="s">
        <v>13308</v>
      </c>
      <c r="D121" s="284" t="s">
        <v>13166</v>
      </c>
      <c r="E121" s="284" t="s">
        <v>13023</v>
      </c>
      <c r="F121" s="284" t="s">
        <v>13048</v>
      </c>
      <c r="G121" s="284" t="s">
        <v>13000</v>
      </c>
      <c r="H121" s="284" t="s">
        <v>13074</v>
      </c>
      <c r="I121" s="284" t="s">
        <v>13050</v>
      </c>
      <c r="J121" s="284" t="s">
        <v>13028</v>
      </c>
      <c r="K121" s="284" t="s">
        <v>13002</v>
      </c>
      <c r="L121" s="284" t="s">
        <v>13003</v>
      </c>
      <c r="M121" s="284" t="s">
        <v>13004</v>
      </c>
      <c r="N121" s="284" t="s">
        <v>13178</v>
      </c>
      <c r="O121" s="284" t="s">
        <v>13076</v>
      </c>
      <c r="P121" s="284" t="s">
        <v>13331</v>
      </c>
      <c r="Q121" s="284" t="s">
        <v>13005</v>
      </c>
      <c r="R121" s="284" t="s">
        <v>13006</v>
      </c>
      <c r="S121" s="284" t="s">
        <v>13007</v>
      </c>
      <c r="T121" s="284" t="s">
        <v>13568</v>
      </c>
      <c r="U121" s="284" t="s">
        <v>13008</v>
      </c>
      <c r="V121" s="284" t="s">
        <v>13077</v>
      </c>
      <c r="W121" s="284" t="s">
        <v>13033</v>
      </c>
      <c r="X121" s="284" t="s">
        <v>13569</v>
      </c>
      <c r="Y121" s="284" t="s">
        <v>13782</v>
      </c>
      <c r="Z121" s="284" t="s">
        <v>13039</v>
      </c>
      <c r="AA121" s="284" t="s">
        <v>13009</v>
      </c>
      <c r="AB121" s="284" t="s">
        <v>13056</v>
      </c>
      <c r="AC121" s="284" t="s">
        <v>13010</v>
      </c>
      <c r="AD121" s="284" t="s">
        <v>13011</v>
      </c>
      <c r="AE121" s="284" t="s">
        <v>13041</v>
      </c>
      <c r="AF121" s="284" t="s">
        <v>13205</v>
      </c>
      <c r="AG121" s="284" t="s">
        <v>13012</v>
      </c>
      <c r="AH121" s="284" t="s">
        <v>13014</v>
      </c>
      <c r="AI121" s="284" t="s">
        <v>13015</v>
      </c>
      <c r="AJ121" s="284" t="s">
        <v>13156</v>
      </c>
      <c r="AK121" s="284" t="s">
        <v>13017</v>
      </c>
      <c r="AL121" s="284" t="s">
        <v>13364</v>
      </c>
      <c r="AM121" s="284"/>
      <c r="AN121" s="284"/>
      <c r="AO121" s="284"/>
      <c r="AP121" s="284"/>
      <c r="AQ121" s="284"/>
      <c r="AR121" s="284"/>
      <c r="AS121" s="284"/>
      <c r="AT121" s="284"/>
      <c r="AU121" s="284"/>
      <c r="AV121" s="284"/>
      <c r="AW121" s="284"/>
      <c r="AX121" s="284"/>
      <c r="AY121" s="284"/>
      <c r="AZ121" s="284"/>
      <c r="BA121" s="284"/>
      <c r="BB121" s="284"/>
      <c r="BC121" s="284"/>
      <c r="BD121" s="284"/>
      <c r="BE121" s="284"/>
      <c r="BF121" s="284"/>
      <c r="BG121" s="284"/>
      <c r="BH121" s="284"/>
      <c r="BI121" s="284"/>
      <c r="BJ121" s="284"/>
      <c r="BK121" s="284"/>
      <c r="BL121" s="284"/>
      <c r="BM121" s="284"/>
      <c r="BN121" s="284"/>
      <c r="BO121" s="284"/>
      <c r="BP121" s="284"/>
      <c r="BQ121" s="284"/>
      <c r="BR121" s="284"/>
      <c r="BS121" s="284"/>
      <c r="BT121" s="284"/>
      <c r="BU121" s="284"/>
      <c r="BV121" s="284"/>
      <c r="BW121" s="284"/>
      <c r="BX121" s="284"/>
      <c r="BY121" s="284"/>
      <c r="BZ121" s="284"/>
      <c r="CA121" s="284"/>
      <c r="CB121" s="284"/>
      <c r="CC121" s="284"/>
      <c r="CD121" s="284"/>
      <c r="CE121" s="284"/>
      <c r="CF121" s="284"/>
      <c r="CG121" s="284"/>
    </row>
    <row r="122" spans="1:85" x14ac:dyDescent="0.35">
      <c r="A122" s="284" t="s">
        <v>11901</v>
      </c>
      <c r="B122" s="284" t="s">
        <v>11902</v>
      </c>
      <c r="C122" t="s">
        <v>13783</v>
      </c>
      <c r="D122" s="284" t="s">
        <v>13110</v>
      </c>
      <c r="E122" s="284" t="s">
        <v>13308</v>
      </c>
      <c r="F122" s="284" t="s">
        <v>13166</v>
      </c>
      <c r="G122" s="284" t="s">
        <v>13022</v>
      </c>
      <c r="H122" s="284" t="s">
        <v>13784</v>
      </c>
      <c r="I122" s="284" t="s">
        <v>13115</v>
      </c>
      <c r="J122" s="284" t="s">
        <v>13433</v>
      </c>
      <c r="K122" s="284" t="s">
        <v>13159</v>
      </c>
      <c r="L122" s="284" t="s">
        <v>13000</v>
      </c>
      <c r="M122" s="284" t="s">
        <v>13632</v>
      </c>
      <c r="N122" s="284" t="s">
        <v>13098</v>
      </c>
      <c r="O122" s="284" t="s">
        <v>13785</v>
      </c>
      <c r="P122" s="284" t="s">
        <v>13786</v>
      </c>
      <c r="Q122" s="284" t="s">
        <v>13119</v>
      </c>
      <c r="R122" s="284" t="s">
        <v>13787</v>
      </c>
      <c r="S122" s="284" t="s">
        <v>13398</v>
      </c>
      <c r="T122" s="284" t="s">
        <v>13001</v>
      </c>
      <c r="U122" s="284" t="s">
        <v>13028</v>
      </c>
      <c r="V122" s="284" t="s">
        <v>13002</v>
      </c>
      <c r="W122" s="284" t="s">
        <v>13003</v>
      </c>
      <c r="X122" s="284" t="s">
        <v>13337</v>
      </c>
      <c r="Y122" s="284" t="s">
        <v>13066</v>
      </c>
      <c r="Z122" s="284" t="s">
        <v>13788</v>
      </c>
      <c r="AA122" s="284" t="s">
        <v>13789</v>
      </c>
      <c r="AB122" s="284" t="s">
        <v>13127</v>
      </c>
      <c r="AC122" s="284" t="s">
        <v>13178</v>
      </c>
      <c r="AD122" s="284" t="s">
        <v>13076</v>
      </c>
      <c r="AE122" s="284" t="s">
        <v>13005</v>
      </c>
      <c r="AF122" s="284" t="s">
        <v>13006</v>
      </c>
      <c r="AG122" s="284" t="s">
        <v>13103</v>
      </c>
      <c r="AH122" s="284" t="s">
        <v>13054</v>
      </c>
      <c r="AI122" s="284" t="s">
        <v>13129</v>
      </c>
      <c r="AJ122" s="284" t="s">
        <v>13790</v>
      </c>
      <c r="AK122" s="284" t="s">
        <v>13133</v>
      </c>
      <c r="AL122" s="284" t="s">
        <v>13055</v>
      </c>
      <c r="AM122" s="284" t="s">
        <v>13104</v>
      </c>
      <c r="AN122" s="284" t="s">
        <v>13033</v>
      </c>
      <c r="AO122" s="284" t="s">
        <v>13791</v>
      </c>
      <c r="AP122" s="284" t="s">
        <v>13779</v>
      </c>
      <c r="AQ122" s="284" t="s">
        <v>13038</v>
      </c>
      <c r="AR122" s="284" t="s">
        <v>13039</v>
      </c>
      <c r="AS122" s="284" t="s">
        <v>13009</v>
      </c>
      <c r="AT122" s="284" t="s">
        <v>13343</v>
      </c>
      <c r="AU122" s="284" t="s">
        <v>13011</v>
      </c>
      <c r="AV122" s="284" t="s">
        <v>13058</v>
      </c>
      <c r="AW122" s="284" t="s">
        <v>13442</v>
      </c>
      <c r="AX122" s="284" t="s">
        <v>13306</v>
      </c>
      <c r="AY122" s="284" t="s">
        <v>13138</v>
      </c>
      <c r="AZ122" s="284" t="s">
        <v>13014</v>
      </c>
      <c r="BA122" s="284" t="s">
        <v>13042</v>
      </c>
      <c r="BB122" s="284" t="s">
        <v>13750</v>
      </c>
      <c r="BC122" s="284" t="s">
        <v>13681</v>
      </c>
      <c r="BD122" s="284" t="s">
        <v>13792</v>
      </c>
      <c r="BE122" s="284" t="s">
        <v>13793</v>
      </c>
      <c r="BF122" s="284"/>
      <c r="BG122" s="284"/>
      <c r="BH122" s="284"/>
      <c r="BI122" s="284"/>
      <c r="BJ122" s="284"/>
      <c r="BK122" s="284"/>
      <c r="BL122" s="284"/>
      <c r="BM122" s="284"/>
      <c r="BN122" s="284"/>
      <c r="BO122" s="284"/>
      <c r="BP122" s="284"/>
      <c r="BQ122" s="284"/>
      <c r="BR122" s="284"/>
      <c r="BS122" s="284"/>
      <c r="BT122" s="284"/>
      <c r="BU122" s="284"/>
      <c r="BV122" s="284"/>
      <c r="BW122" s="284"/>
      <c r="BX122" s="284"/>
      <c r="BY122" s="284"/>
      <c r="BZ122" s="284"/>
      <c r="CA122" s="284"/>
      <c r="CB122" s="284"/>
      <c r="CC122" s="284"/>
      <c r="CD122" s="284"/>
      <c r="CE122" s="284"/>
      <c r="CF122" s="284"/>
      <c r="CG122" s="284"/>
    </row>
    <row r="123" spans="1:85" x14ac:dyDescent="0.35">
      <c r="A123" s="284" t="s">
        <v>3041</v>
      </c>
      <c r="B123" s="284" t="s">
        <v>3042</v>
      </c>
      <c r="C123" s="284" t="s">
        <v>13072</v>
      </c>
      <c r="D123" s="284" t="s">
        <v>13022</v>
      </c>
      <c r="E123" s="284" t="s">
        <v>13023</v>
      </c>
      <c r="F123" s="284" t="s">
        <v>13065</v>
      </c>
      <c r="G123" s="284" t="s">
        <v>13000</v>
      </c>
      <c r="H123" s="284" t="s">
        <v>13198</v>
      </c>
      <c r="I123" s="284" t="s">
        <v>13119</v>
      </c>
      <c r="J123" s="284" t="s">
        <v>13085</v>
      </c>
      <c r="K123" s="284" t="s">
        <v>13027</v>
      </c>
      <c r="L123" s="284" t="s">
        <v>13050</v>
      </c>
      <c r="M123" s="284" t="s">
        <v>13028</v>
      </c>
      <c r="N123" s="284" t="s">
        <v>13002</v>
      </c>
      <c r="O123" s="284" t="s">
        <v>13003</v>
      </c>
      <c r="P123" s="284" t="s">
        <v>13426</v>
      </c>
      <c r="Q123" s="284" t="s">
        <v>13004</v>
      </c>
      <c r="R123" s="284" t="s">
        <v>13066</v>
      </c>
      <c r="S123" s="284" t="s">
        <v>13005</v>
      </c>
      <c r="T123" s="284" t="s">
        <v>13029</v>
      </c>
      <c r="U123" s="284" t="s">
        <v>13006</v>
      </c>
      <c r="V123" s="284" t="s">
        <v>13284</v>
      </c>
      <c r="W123" s="284" t="s">
        <v>13008</v>
      </c>
      <c r="X123" s="284" t="s">
        <v>13077</v>
      </c>
      <c r="Y123" s="284" t="s">
        <v>13104</v>
      </c>
      <c r="Z123" s="284" t="s">
        <v>13033</v>
      </c>
      <c r="AA123" s="284" t="s">
        <v>13034</v>
      </c>
      <c r="AB123" s="284" t="s">
        <v>13035</v>
      </c>
      <c r="AC123" s="284" t="s">
        <v>13036</v>
      </c>
      <c r="AD123" s="284" t="s">
        <v>13794</v>
      </c>
      <c r="AE123" s="284" t="s">
        <v>13179</v>
      </c>
      <c r="AF123" s="284" t="s">
        <v>13037</v>
      </c>
      <c r="AG123" s="284" t="s">
        <v>13038</v>
      </c>
      <c r="AH123" s="284" t="s">
        <v>13039</v>
      </c>
      <c r="AI123" s="284" t="s">
        <v>13078</v>
      </c>
      <c r="AJ123" s="284" t="s">
        <v>13041</v>
      </c>
      <c r="AK123" s="284" t="s">
        <v>13012</v>
      </c>
      <c r="AL123" s="284" t="s">
        <v>13428</v>
      </c>
      <c r="AM123" s="284" t="s">
        <v>13014</v>
      </c>
      <c r="AN123" s="284" t="s">
        <v>13095</v>
      </c>
      <c r="AO123" s="284" t="s">
        <v>13165</v>
      </c>
      <c r="AP123" s="284" t="s">
        <v>13207</v>
      </c>
      <c r="AQ123" s="284"/>
      <c r="AR123" s="284"/>
      <c r="AS123" s="284"/>
      <c r="AT123" s="284"/>
      <c r="AU123" s="284"/>
      <c r="AV123" s="284"/>
      <c r="AW123" s="284"/>
      <c r="AX123" s="284"/>
      <c r="AY123" s="284"/>
      <c r="AZ123" s="284"/>
      <c r="BA123" s="284"/>
      <c r="BB123" s="284"/>
      <c r="BC123" s="284"/>
      <c r="BD123" s="284"/>
      <c r="BE123" s="284"/>
      <c r="BF123" s="284"/>
      <c r="BG123" s="284"/>
      <c r="BH123" s="284"/>
      <c r="BI123" s="284"/>
      <c r="BJ123" s="284"/>
      <c r="BK123" s="284"/>
      <c r="BL123" s="284"/>
      <c r="BM123" s="284"/>
      <c r="BN123" s="284"/>
      <c r="BO123" s="284"/>
      <c r="BP123" s="284"/>
      <c r="BQ123" s="284"/>
      <c r="BR123" s="284"/>
      <c r="BS123" s="284"/>
      <c r="BT123" s="284"/>
      <c r="BU123" s="284"/>
      <c r="BV123" s="284"/>
      <c r="BW123" s="284"/>
      <c r="BX123" s="284"/>
      <c r="BY123" s="284"/>
      <c r="BZ123" s="284"/>
      <c r="CA123" s="284"/>
      <c r="CB123" s="284"/>
      <c r="CC123" s="284"/>
      <c r="CD123" s="284"/>
      <c r="CE123" s="284"/>
      <c r="CF123" s="284"/>
    </row>
    <row r="124" spans="1:85" x14ac:dyDescent="0.35">
      <c r="A124" s="284" t="s">
        <v>6035</v>
      </c>
      <c r="B124" s="284" t="s">
        <v>6036</v>
      </c>
      <c r="C124" t="s">
        <v>13072</v>
      </c>
      <c r="D124" s="284" t="s">
        <v>13023</v>
      </c>
      <c r="E124" s="284" t="s">
        <v>13082</v>
      </c>
      <c r="F124" s="284" t="s">
        <v>13288</v>
      </c>
      <c r="G124" s="284" t="s">
        <v>13407</v>
      </c>
      <c r="H124" s="284" t="s">
        <v>13273</v>
      </c>
      <c r="I124" s="284" t="s">
        <v>13238</v>
      </c>
      <c r="J124" s="284" t="s">
        <v>13085</v>
      </c>
      <c r="K124" s="284" t="s">
        <v>13099</v>
      </c>
      <c r="L124" s="284" t="s">
        <v>13049</v>
      </c>
      <c r="M124" s="284" t="s">
        <v>13148</v>
      </c>
      <c r="N124" s="284" t="s">
        <v>13149</v>
      </c>
      <c r="O124" s="284" t="s">
        <v>13028</v>
      </c>
      <c r="P124" s="284" t="s">
        <v>13160</v>
      </c>
      <c r="Q124" s="284" t="s">
        <v>13003</v>
      </c>
      <c r="R124" s="284" t="s">
        <v>13066</v>
      </c>
      <c r="S124" s="284" t="s">
        <v>13249</v>
      </c>
      <c r="T124" s="284" t="s">
        <v>13516</v>
      </c>
      <c r="U124" s="284" t="s">
        <v>13276</v>
      </c>
      <c r="V124" s="284" t="s">
        <v>13032</v>
      </c>
      <c r="W124" s="284" t="s">
        <v>13033</v>
      </c>
      <c r="X124" s="284" t="s">
        <v>13034</v>
      </c>
      <c r="Y124" s="284" t="s">
        <v>13036</v>
      </c>
      <c r="Z124" s="284" t="s">
        <v>13039</v>
      </c>
      <c r="AA124" s="284" t="s">
        <v>13091</v>
      </c>
      <c r="AB124" s="284" t="s">
        <v>13154</v>
      </c>
      <c r="AC124" s="284" t="s">
        <v>13222</v>
      </c>
      <c r="AD124" s="284" t="s">
        <v>13286</v>
      </c>
      <c r="AE124" s="284"/>
      <c r="AF124" s="284"/>
      <c r="AG124" s="284"/>
      <c r="AH124" s="284"/>
      <c r="AI124" s="284"/>
      <c r="AJ124" s="284"/>
      <c r="AK124" s="284"/>
      <c r="AL124" s="284"/>
      <c r="AM124" s="284"/>
      <c r="AN124" s="284"/>
      <c r="AO124" s="284"/>
      <c r="AP124" s="284"/>
      <c r="AQ124" s="284"/>
      <c r="AR124" s="284"/>
      <c r="AS124" s="284"/>
      <c r="AT124" s="284"/>
      <c r="AU124" s="284"/>
      <c r="AV124" s="284"/>
      <c r="AW124" s="284"/>
      <c r="AX124" s="284"/>
      <c r="AY124" s="284"/>
      <c r="AZ124" s="284"/>
      <c r="BA124" s="284"/>
      <c r="BB124" s="284"/>
      <c r="BC124" s="284"/>
      <c r="BD124" s="284"/>
      <c r="BE124" s="284"/>
      <c r="BF124" s="284"/>
      <c r="BG124" s="284"/>
      <c r="BH124" s="284"/>
      <c r="BI124" s="284"/>
      <c r="BJ124" s="284"/>
      <c r="BK124" s="284"/>
      <c r="BL124" s="284"/>
      <c r="BM124" s="284"/>
      <c r="BN124" s="284"/>
      <c r="BO124" s="284"/>
      <c r="BP124" s="284"/>
      <c r="BQ124" s="284"/>
      <c r="BR124" s="284"/>
      <c r="BS124" s="284"/>
      <c r="BT124" s="284"/>
      <c r="BU124" s="284"/>
      <c r="BV124" s="284"/>
      <c r="BW124" s="284"/>
      <c r="BX124" s="284"/>
      <c r="BY124" s="284"/>
      <c r="BZ124" s="284"/>
      <c r="CA124" s="284"/>
      <c r="CB124" s="284"/>
      <c r="CC124" s="284"/>
      <c r="CD124" s="284"/>
      <c r="CE124" s="284"/>
      <c r="CF124" s="284"/>
      <c r="CG124" s="284"/>
    </row>
    <row r="125" spans="1:85" x14ac:dyDescent="0.35">
      <c r="A125" s="284" t="s">
        <v>8161</v>
      </c>
      <c r="B125" s="284" t="s">
        <v>8162</v>
      </c>
      <c r="C125" t="s">
        <v>13795</v>
      </c>
      <c r="D125" s="284" t="s">
        <v>13023</v>
      </c>
      <c r="E125" s="284" t="s">
        <v>13330</v>
      </c>
      <c r="F125" s="284" t="s">
        <v>13084</v>
      </c>
      <c r="G125" s="284" t="s">
        <v>13085</v>
      </c>
      <c r="H125" s="284" t="s">
        <v>13049</v>
      </c>
      <c r="I125" s="284" t="s">
        <v>13087</v>
      </c>
      <c r="J125" s="284" t="s">
        <v>13001</v>
      </c>
      <c r="K125" s="284" t="s">
        <v>13028</v>
      </c>
      <c r="L125" s="284" t="s">
        <v>13002</v>
      </c>
      <c r="M125" s="284" t="s">
        <v>13003</v>
      </c>
      <c r="N125" s="284" t="s">
        <v>13076</v>
      </c>
      <c r="O125" s="284" t="s">
        <v>13103</v>
      </c>
      <c r="P125" s="284" t="s">
        <v>13340</v>
      </c>
      <c r="Q125" s="284" t="s">
        <v>13008</v>
      </c>
      <c r="R125" s="284" t="s">
        <v>13077</v>
      </c>
      <c r="S125" s="284" t="s">
        <v>13089</v>
      </c>
      <c r="T125" s="284" t="s">
        <v>13034</v>
      </c>
      <c r="U125" s="284" t="s">
        <v>13036</v>
      </c>
      <c r="V125" s="284" t="s">
        <v>13090</v>
      </c>
      <c r="W125" s="284" t="s">
        <v>13078</v>
      </c>
      <c r="X125" s="284" t="s">
        <v>13091</v>
      </c>
      <c r="Y125" s="284" t="s">
        <v>13009</v>
      </c>
      <c r="Z125" s="284" t="s">
        <v>13093</v>
      </c>
      <c r="AA125" s="284" t="s">
        <v>13041</v>
      </c>
      <c r="AB125" s="284" t="s">
        <v>13796</v>
      </c>
      <c r="AC125" s="284" t="s">
        <v>13014</v>
      </c>
      <c r="AD125" s="284" t="s">
        <v>13797</v>
      </c>
      <c r="AE125" s="284" t="s">
        <v>13165</v>
      </c>
      <c r="AF125" s="284" t="s">
        <v>13042</v>
      </c>
      <c r="AG125" s="284" t="s">
        <v>13156</v>
      </c>
      <c r="AH125" s="284" t="s">
        <v>13798</v>
      </c>
      <c r="AI125" s="284" t="s">
        <v>13416</v>
      </c>
      <c r="AJ125" s="284"/>
      <c r="AK125" s="284"/>
      <c r="AL125" s="284"/>
      <c r="AM125" s="284"/>
      <c r="AN125" s="284"/>
      <c r="AO125" s="284"/>
      <c r="AP125" s="284"/>
      <c r="AQ125" s="284"/>
      <c r="AR125" s="284"/>
      <c r="AS125" s="284"/>
      <c r="AT125" s="284"/>
      <c r="AU125" s="284"/>
      <c r="AV125" s="284"/>
      <c r="AW125" s="284"/>
      <c r="AX125" s="284"/>
      <c r="AY125" s="284"/>
      <c r="AZ125" s="284"/>
      <c r="BA125" s="284"/>
      <c r="BB125" s="284"/>
      <c r="BC125" s="284"/>
      <c r="BD125" s="284"/>
      <c r="BE125" s="284"/>
      <c r="BF125" s="284"/>
      <c r="BG125" s="284"/>
      <c r="BH125" s="284"/>
      <c r="BI125" s="284"/>
      <c r="BJ125" s="284"/>
      <c r="BK125" s="284"/>
      <c r="BL125" s="284"/>
      <c r="BM125" s="284"/>
      <c r="BN125" s="284"/>
      <c r="BO125" s="284"/>
      <c r="BP125" s="284"/>
      <c r="BQ125" s="284"/>
      <c r="BR125" s="284"/>
      <c r="BS125" s="284"/>
      <c r="BT125" s="284"/>
      <c r="BU125" s="284"/>
      <c r="BV125" s="284"/>
      <c r="BW125" s="284"/>
      <c r="BX125" s="284"/>
      <c r="BY125" s="284"/>
      <c r="BZ125" s="284"/>
      <c r="CA125" s="284"/>
      <c r="CB125" s="284"/>
      <c r="CC125" s="284"/>
      <c r="CD125" s="284"/>
      <c r="CE125" s="284"/>
      <c r="CF125" s="284"/>
      <c r="CG125" s="284"/>
    </row>
    <row r="126" spans="1:85" x14ac:dyDescent="0.35">
      <c r="A126" s="284" t="s">
        <v>2094</v>
      </c>
      <c r="B126" s="284" t="s">
        <v>2095</v>
      </c>
      <c r="C126" t="s">
        <v>13799</v>
      </c>
      <c r="D126" s="284" t="s">
        <v>13023</v>
      </c>
      <c r="E126" s="284" t="s">
        <v>13028</v>
      </c>
      <c r="F126" s="284" t="s">
        <v>13003</v>
      </c>
      <c r="G126" s="284" t="s">
        <v>13800</v>
      </c>
      <c r="H126" s="284" t="s">
        <v>13007</v>
      </c>
      <c r="I126" s="284" t="s">
        <v>13033</v>
      </c>
      <c r="J126" s="284" t="s">
        <v>13037</v>
      </c>
      <c r="K126" s="284" t="s">
        <v>13011</v>
      </c>
      <c r="L126" s="284" t="s">
        <v>13058</v>
      </c>
      <c r="M126" s="284" t="s">
        <v>13801</v>
      </c>
      <c r="N126" s="284" t="s">
        <v>13285</v>
      </c>
      <c r="O126" s="284" t="s">
        <v>13174</v>
      </c>
      <c r="P126" s="284" t="s">
        <v>13175</v>
      </c>
      <c r="Q126" s="284" t="s">
        <v>13802</v>
      </c>
      <c r="R126" s="284" t="s">
        <v>13176</v>
      </c>
      <c r="S126" s="284"/>
      <c r="T126" s="284"/>
      <c r="U126" s="284"/>
      <c r="V126" s="284"/>
      <c r="W126" s="284"/>
      <c r="X126" s="284"/>
      <c r="Y126" s="284"/>
      <c r="Z126" s="284"/>
      <c r="AA126" s="284"/>
      <c r="AB126" s="284"/>
      <c r="AC126" s="284"/>
      <c r="AD126" s="284"/>
      <c r="AE126" s="284"/>
      <c r="AF126" s="284"/>
      <c r="AG126" s="284"/>
      <c r="AH126" s="284"/>
      <c r="AI126" s="284"/>
      <c r="AJ126" s="284"/>
      <c r="AK126" s="284"/>
      <c r="AL126" s="284"/>
      <c r="AM126" s="284"/>
      <c r="AN126" s="284"/>
      <c r="AO126" s="284"/>
      <c r="AP126" s="284"/>
      <c r="AQ126" s="284"/>
      <c r="AR126" s="284"/>
      <c r="AS126" s="284"/>
      <c r="AT126" s="284"/>
      <c r="AU126" s="284"/>
      <c r="AV126" s="284"/>
      <c r="AW126" s="284"/>
      <c r="AX126" s="284"/>
      <c r="AY126" s="284"/>
      <c r="AZ126" s="284"/>
      <c r="BA126" s="284"/>
      <c r="BB126" s="284"/>
      <c r="BC126" s="284"/>
      <c r="BD126" s="284"/>
      <c r="BE126" s="284"/>
      <c r="BF126" s="284"/>
      <c r="BG126" s="284"/>
      <c r="BH126" s="284"/>
      <c r="BI126" s="284"/>
      <c r="BJ126" s="284"/>
      <c r="BK126" s="284"/>
      <c r="BL126" s="284"/>
      <c r="BM126" s="284"/>
      <c r="BN126" s="284"/>
      <c r="BO126" s="284"/>
      <c r="BP126" s="284"/>
      <c r="BQ126" s="284"/>
      <c r="BR126" s="284"/>
      <c r="BS126" s="284"/>
      <c r="BT126" s="284"/>
      <c r="BU126" s="284"/>
      <c r="BV126" s="284"/>
      <c r="BW126" s="284"/>
      <c r="BX126" s="284"/>
      <c r="BY126" s="284"/>
      <c r="BZ126" s="284"/>
      <c r="CA126" s="284"/>
      <c r="CB126" s="284"/>
      <c r="CC126" s="284"/>
      <c r="CD126" s="284"/>
      <c r="CE126" s="284"/>
      <c r="CF126" s="284"/>
      <c r="CG126" s="284"/>
    </row>
    <row r="127" spans="1:85" x14ac:dyDescent="0.35">
      <c r="A127" s="284" t="s">
        <v>2346</v>
      </c>
      <c r="B127" s="284" t="s">
        <v>2347</v>
      </c>
      <c r="C127" s="284" t="s">
        <v>13803</v>
      </c>
      <c r="D127" s="284" t="s">
        <v>13532</v>
      </c>
      <c r="E127" s="284" t="s">
        <v>13190</v>
      </c>
      <c r="F127" s="284"/>
      <c r="G127" s="284"/>
      <c r="H127" s="284"/>
      <c r="I127" s="284"/>
      <c r="J127" s="284"/>
      <c r="K127" s="284"/>
      <c r="L127" s="284"/>
      <c r="M127" s="284"/>
      <c r="N127" s="284"/>
      <c r="O127" s="284"/>
      <c r="P127" s="284"/>
      <c r="Q127" s="284"/>
      <c r="R127" s="284"/>
      <c r="S127" s="284"/>
      <c r="T127" s="284"/>
      <c r="U127" s="284"/>
      <c r="V127" s="284"/>
      <c r="W127" s="284"/>
      <c r="X127" s="284"/>
      <c r="Y127" s="284"/>
      <c r="Z127" s="284"/>
      <c r="AA127" s="284"/>
      <c r="AB127" s="284"/>
      <c r="AC127" s="284"/>
      <c r="AD127" s="284"/>
      <c r="AE127" s="284"/>
      <c r="AF127" s="284"/>
      <c r="AG127" s="284"/>
      <c r="AH127" s="284"/>
      <c r="AI127" s="284"/>
      <c r="AJ127" s="284"/>
      <c r="AK127" s="284"/>
      <c r="AL127" s="284"/>
      <c r="AM127" s="284"/>
      <c r="AN127" s="284"/>
      <c r="AO127" s="284"/>
      <c r="AP127" s="284"/>
      <c r="AQ127" s="284"/>
      <c r="AR127" s="284"/>
      <c r="AS127" s="284"/>
      <c r="AT127" s="284"/>
      <c r="AU127" s="284"/>
      <c r="AV127" s="284"/>
      <c r="AW127" s="284"/>
      <c r="AX127" s="284"/>
      <c r="AY127" s="284"/>
      <c r="AZ127" s="284"/>
      <c r="BA127" s="284"/>
      <c r="BB127" s="284"/>
      <c r="BC127" s="284"/>
      <c r="BD127" s="284"/>
      <c r="BE127" s="284"/>
      <c r="BF127" s="284"/>
      <c r="BG127" s="284"/>
      <c r="BH127" s="284"/>
      <c r="BI127" s="284"/>
      <c r="BJ127" s="284"/>
      <c r="BK127" s="284"/>
      <c r="BL127" s="284"/>
      <c r="BM127" s="284"/>
      <c r="BN127" s="284"/>
      <c r="BO127" s="284"/>
      <c r="BP127" s="284"/>
      <c r="BQ127" s="284"/>
      <c r="BR127" s="284"/>
      <c r="BS127" s="284"/>
      <c r="BT127" s="284"/>
      <c r="BU127" s="284"/>
      <c r="BV127" s="284"/>
      <c r="BW127" s="284"/>
      <c r="BX127" s="284"/>
      <c r="BY127" s="284"/>
      <c r="BZ127" s="284"/>
      <c r="CA127" s="284"/>
      <c r="CB127" s="284"/>
      <c r="CC127" s="284"/>
      <c r="CD127" s="284"/>
      <c r="CE127" s="284"/>
      <c r="CF127" s="284"/>
    </row>
    <row r="128" spans="1:85" x14ac:dyDescent="0.35">
      <c r="A128" s="284" t="s">
        <v>11943</v>
      </c>
      <c r="B128" s="284" t="s">
        <v>11944</v>
      </c>
      <c r="C128" t="s">
        <v>13804</v>
      </c>
      <c r="D128" s="284" t="s">
        <v>13023</v>
      </c>
      <c r="E128" s="284" t="s">
        <v>13112</v>
      </c>
      <c r="F128" s="284" t="s">
        <v>13729</v>
      </c>
      <c r="G128" s="284" t="s">
        <v>13805</v>
      </c>
      <c r="H128" s="284" t="s">
        <v>13433</v>
      </c>
      <c r="I128" s="284" t="s">
        <v>13000</v>
      </c>
      <c r="J128" s="284" t="s">
        <v>13574</v>
      </c>
      <c r="K128" s="284" t="s">
        <v>13099</v>
      </c>
      <c r="L128" s="284" t="s">
        <v>13806</v>
      </c>
      <c r="M128" s="284" t="s">
        <v>13807</v>
      </c>
      <c r="N128" s="284" t="s">
        <v>13001</v>
      </c>
      <c r="O128" s="284" t="s">
        <v>13002</v>
      </c>
      <c r="P128" s="284" t="s">
        <v>13003</v>
      </c>
      <c r="Q128" s="284" t="s">
        <v>13004</v>
      </c>
      <c r="R128" s="284" t="s">
        <v>13124</v>
      </c>
      <c r="S128" s="284" t="s">
        <v>13808</v>
      </c>
      <c r="T128" s="284" t="s">
        <v>13437</v>
      </c>
      <c r="U128" s="284" t="s">
        <v>13735</v>
      </c>
      <c r="V128" s="284" t="s">
        <v>13216</v>
      </c>
      <c r="W128" s="284" t="s">
        <v>13005</v>
      </c>
      <c r="X128" s="284" t="s">
        <v>13809</v>
      </c>
      <c r="Y128" s="284" t="s">
        <v>13006</v>
      </c>
      <c r="Z128" s="284" t="s">
        <v>13755</v>
      </c>
      <c r="AA128" s="284" t="s">
        <v>13102</v>
      </c>
      <c r="AB128" s="284" t="s">
        <v>13103</v>
      </c>
      <c r="AC128" s="284" t="s">
        <v>13054</v>
      </c>
      <c r="AD128" s="284" t="s">
        <v>13810</v>
      </c>
      <c r="AE128" s="284" t="s">
        <v>13133</v>
      </c>
      <c r="AF128" s="284" t="s">
        <v>13055</v>
      </c>
      <c r="AG128" s="284" t="s">
        <v>13104</v>
      </c>
      <c r="AH128" s="284" t="s">
        <v>13736</v>
      </c>
      <c r="AI128" s="284" t="s">
        <v>13387</v>
      </c>
      <c r="AJ128" s="284" t="s">
        <v>13033</v>
      </c>
      <c r="AK128" s="284" t="s">
        <v>13034</v>
      </c>
      <c r="AL128" s="284" t="s">
        <v>13740</v>
      </c>
      <c r="AM128" s="284" t="s">
        <v>13811</v>
      </c>
      <c r="AN128" s="284" t="s">
        <v>13009</v>
      </c>
      <c r="AO128" s="284" t="s">
        <v>13343</v>
      </c>
      <c r="AP128" s="284" t="s">
        <v>13741</v>
      </c>
      <c r="AQ128" s="284" t="s">
        <v>13812</v>
      </c>
      <c r="AR128" s="284" t="s">
        <v>13057</v>
      </c>
      <c r="AS128" s="284" t="s">
        <v>13011</v>
      </c>
      <c r="AT128" s="284" t="s">
        <v>13058</v>
      </c>
      <c r="AU128" s="284" t="s">
        <v>13390</v>
      </c>
      <c r="AV128" s="284" t="s">
        <v>13306</v>
      </c>
      <c r="AW128" s="284" t="s">
        <v>13138</v>
      </c>
      <c r="AX128" s="284" t="s">
        <v>13344</v>
      </c>
      <c r="AY128" s="284" t="s">
        <v>13014</v>
      </c>
      <c r="AZ128" s="284" t="s">
        <v>13042</v>
      </c>
      <c r="BA128" s="284" t="s">
        <v>13813</v>
      </c>
      <c r="BB128" s="284" t="s">
        <v>13156</v>
      </c>
      <c r="BC128" s="284" t="s">
        <v>13743</v>
      </c>
      <c r="BD128" s="284"/>
      <c r="BE128" s="284"/>
      <c r="BF128" s="284"/>
      <c r="BG128" s="284"/>
      <c r="BH128" s="284"/>
      <c r="BI128" s="284"/>
      <c r="BJ128" s="284"/>
      <c r="BK128" s="284"/>
      <c r="BL128" s="284"/>
      <c r="BM128" s="284"/>
      <c r="BN128" s="284"/>
      <c r="BO128" s="284"/>
      <c r="BP128" s="284"/>
      <c r="BQ128" s="284"/>
      <c r="BR128" s="284"/>
      <c r="BS128" s="284"/>
      <c r="BT128" s="284"/>
      <c r="BU128" s="284"/>
      <c r="BV128" s="284"/>
      <c r="BW128" s="284"/>
      <c r="BX128" s="284"/>
      <c r="BY128" s="284"/>
      <c r="BZ128" s="284"/>
      <c r="CA128" s="284"/>
      <c r="CB128" s="284"/>
      <c r="CC128" s="284"/>
      <c r="CD128" s="284"/>
      <c r="CE128" s="284"/>
      <c r="CF128" s="284"/>
      <c r="CG128" s="284"/>
    </row>
    <row r="129" spans="1:85" x14ac:dyDescent="0.35">
      <c r="A129" s="284" t="s">
        <v>11985</v>
      </c>
      <c r="B129" s="284" t="s">
        <v>11986</v>
      </c>
      <c r="C129" s="284" t="s">
        <v>13814</v>
      </c>
      <c r="D129" s="284" t="s">
        <v>13110</v>
      </c>
      <c r="E129" s="284" t="s">
        <v>13023</v>
      </c>
      <c r="F129" s="284" t="s">
        <v>13112</v>
      </c>
      <c r="G129" s="284" t="s">
        <v>13433</v>
      </c>
      <c r="H129" s="284" t="s">
        <v>13000</v>
      </c>
      <c r="I129" s="284" t="s">
        <v>13576</v>
      </c>
      <c r="J129" s="284" t="s">
        <v>13001</v>
      </c>
      <c r="K129" s="284" t="s">
        <v>13435</v>
      </c>
      <c r="L129" s="284" t="s">
        <v>13337</v>
      </c>
      <c r="M129" s="284" t="s">
        <v>13127</v>
      </c>
      <c r="N129" s="284" t="s">
        <v>13005</v>
      </c>
      <c r="O129" s="284" t="s">
        <v>13101</v>
      </c>
      <c r="P129" s="284" t="s">
        <v>13006</v>
      </c>
      <c r="Q129" s="284" t="s">
        <v>13815</v>
      </c>
      <c r="R129" s="284" t="s">
        <v>13103</v>
      </c>
      <c r="S129" s="284" t="s">
        <v>13054</v>
      </c>
      <c r="T129" s="284" t="s">
        <v>13129</v>
      </c>
      <c r="U129" s="284" t="s">
        <v>13104</v>
      </c>
      <c r="V129" s="284" t="s">
        <v>13033</v>
      </c>
      <c r="W129" s="284" t="s">
        <v>13342</v>
      </c>
      <c r="X129" s="284" t="s">
        <v>13078</v>
      </c>
      <c r="Y129" s="284" t="s">
        <v>13009</v>
      </c>
      <c r="Z129" s="284" t="s">
        <v>13011</v>
      </c>
      <c r="AA129" s="284" t="s">
        <v>13058</v>
      </c>
      <c r="AB129" s="284" t="s">
        <v>13443</v>
      </c>
      <c r="AC129" s="284" t="s">
        <v>13816</v>
      </c>
      <c r="AD129" s="284" t="s">
        <v>13306</v>
      </c>
      <c r="AE129" s="284" t="s">
        <v>13094</v>
      </c>
      <c r="AF129" s="284" t="s">
        <v>13014</v>
      </c>
      <c r="AG129" s="284" t="s">
        <v>13061</v>
      </c>
      <c r="AH129" s="284" t="s">
        <v>13156</v>
      </c>
      <c r="AI129" s="284" t="s">
        <v>13444</v>
      </c>
      <c r="AJ129" s="284"/>
      <c r="AK129" s="284"/>
      <c r="AL129" s="284"/>
      <c r="AM129" s="284"/>
      <c r="AN129" s="284"/>
      <c r="AO129" s="284"/>
      <c r="AP129" s="284"/>
      <c r="AQ129" s="284"/>
      <c r="AR129" s="284"/>
      <c r="AS129" s="284"/>
      <c r="AT129" s="284"/>
      <c r="AU129" s="284"/>
      <c r="AV129" s="284"/>
      <c r="AW129" s="284"/>
      <c r="AX129" s="284"/>
      <c r="AY129" s="284"/>
      <c r="AZ129" s="284"/>
      <c r="BA129" s="284"/>
      <c r="BB129" s="284"/>
      <c r="BC129" s="284"/>
      <c r="BD129" s="284"/>
      <c r="BE129" s="284"/>
      <c r="BF129" s="284"/>
      <c r="BG129" s="284"/>
      <c r="BH129" s="284"/>
      <c r="BI129" s="284"/>
      <c r="BJ129" s="284"/>
      <c r="BK129" s="284"/>
      <c r="BL129" s="284"/>
      <c r="BM129" s="284"/>
      <c r="BN129" s="284"/>
      <c r="BO129" s="284"/>
      <c r="BP129" s="284"/>
      <c r="BQ129" s="284"/>
      <c r="BR129" s="284"/>
      <c r="BS129" s="284"/>
      <c r="BT129" s="284"/>
      <c r="BU129" s="284"/>
      <c r="BV129" s="284"/>
      <c r="BW129" s="284"/>
      <c r="BX129" s="284"/>
      <c r="BY129" s="284"/>
      <c r="BZ129" s="284"/>
      <c r="CA129" s="284"/>
      <c r="CB129" s="284"/>
      <c r="CC129" s="284"/>
      <c r="CD129" s="284"/>
      <c r="CE129" s="284"/>
      <c r="CF129" s="284"/>
    </row>
    <row r="130" spans="1:85" x14ac:dyDescent="0.35">
      <c r="A130" s="284" t="s">
        <v>7124</v>
      </c>
      <c r="B130" s="284" t="s">
        <v>7125</v>
      </c>
      <c r="C130" s="284" t="s">
        <v>13817</v>
      </c>
      <c r="D130" s="284" t="s">
        <v>13022</v>
      </c>
      <c r="E130" s="284" t="s">
        <v>13023</v>
      </c>
      <c r="F130" s="284" t="s">
        <v>13082</v>
      </c>
      <c r="G130" s="284" t="s">
        <v>13330</v>
      </c>
      <c r="H130" s="284" t="s">
        <v>13000</v>
      </c>
      <c r="I130" s="284" t="s">
        <v>13168</v>
      </c>
      <c r="J130" s="284" t="s">
        <v>13087</v>
      </c>
      <c r="K130" s="284" t="s">
        <v>13818</v>
      </c>
      <c r="L130" s="284" t="s">
        <v>13050</v>
      </c>
      <c r="M130" s="284" t="s">
        <v>13003</v>
      </c>
      <c r="N130" s="284" t="s">
        <v>13296</v>
      </c>
      <c r="O130" s="284" t="s">
        <v>13284</v>
      </c>
      <c r="P130" s="284" t="s">
        <v>13340</v>
      </c>
      <c r="Q130" s="284" t="s">
        <v>13077</v>
      </c>
      <c r="R130" s="284" t="s">
        <v>13033</v>
      </c>
      <c r="S130" s="284" t="s">
        <v>13034</v>
      </c>
      <c r="T130" s="284" t="s">
        <v>13035</v>
      </c>
      <c r="U130" s="284" t="s">
        <v>13036</v>
      </c>
      <c r="V130" s="284" t="s">
        <v>13037</v>
      </c>
      <c r="W130" s="284" t="s">
        <v>13090</v>
      </c>
      <c r="X130" s="284" t="s">
        <v>13091</v>
      </c>
      <c r="Y130" s="284" t="s">
        <v>13009</v>
      </c>
      <c r="Z130" s="284" t="s">
        <v>13012</v>
      </c>
      <c r="AA130" s="284" t="s">
        <v>13165</v>
      </c>
      <c r="AB130" s="284" t="s">
        <v>13332</v>
      </c>
      <c r="AC130" s="284" t="s">
        <v>13819</v>
      </c>
      <c r="AD130" s="284" t="s">
        <v>13715</v>
      </c>
      <c r="AE130" s="284"/>
      <c r="AF130" s="284"/>
      <c r="AG130" s="284"/>
      <c r="AH130" s="284"/>
      <c r="AI130" s="284"/>
      <c r="AJ130" s="284"/>
      <c r="AK130" s="284"/>
      <c r="AL130" s="284"/>
      <c r="AM130" s="284"/>
      <c r="AN130" s="284"/>
      <c r="AO130" s="284"/>
      <c r="AP130" s="284"/>
      <c r="AQ130" s="284"/>
      <c r="AR130" s="284"/>
      <c r="AS130" s="284"/>
      <c r="AT130" s="284"/>
      <c r="AU130" s="284"/>
      <c r="AV130" s="284"/>
      <c r="AW130" s="284"/>
      <c r="AX130" s="284"/>
      <c r="AY130" s="284"/>
      <c r="AZ130" s="284"/>
      <c r="BA130" s="284"/>
      <c r="BB130" s="284"/>
      <c r="BC130" s="284"/>
      <c r="BD130" s="284"/>
      <c r="BE130" s="284"/>
      <c r="BF130" s="284"/>
      <c r="BG130" s="284"/>
      <c r="BH130" s="284"/>
      <c r="BI130" s="284"/>
      <c r="BJ130" s="284"/>
      <c r="BK130" s="284"/>
      <c r="BL130" s="284"/>
      <c r="BM130" s="284"/>
      <c r="BN130" s="284"/>
      <c r="BO130" s="284"/>
      <c r="BP130" s="284"/>
      <c r="BQ130" s="284"/>
      <c r="BR130" s="284"/>
      <c r="BS130" s="284"/>
      <c r="BT130" s="284"/>
      <c r="BU130" s="284"/>
      <c r="BV130" s="284"/>
      <c r="BW130" s="284"/>
      <c r="BX130" s="284"/>
      <c r="BY130" s="284"/>
      <c r="BZ130" s="284"/>
      <c r="CA130" s="284"/>
      <c r="CB130" s="284"/>
      <c r="CC130" s="284"/>
      <c r="CD130" s="284"/>
      <c r="CE130" s="284"/>
      <c r="CF130" s="284"/>
    </row>
    <row r="131" spans="1:85" x14ac:dyDescent="0.35">
      <c r="A131" s="284" t="s">
        <v>686</v>
      </c>
      <c r="B131" s="284" t="s">
        <v>687</v>
      </c>
      <c r="C131" t="s">
        <v>13820</v>
      </c>
      <c r="D131" s="284" t="s">
        <v>13023</v>
      </c>
      <c r="E131" s="284" t="s">
        <v>13113</v>
      </c>
      <c r="F131" s="284" t="s">
        <v>13273</v>
      </c>
      <c r="G131" s="284" t="s">
        <v>13099</v>
      </c>
      <c r="H131" s="284" t="s">
        <v>13027</v>
      </c>
      <c r="I131" s="284" t="s">
        <v>13821</v>
      </c>
      <c r="J131" s="284" t="s">
        <v>13148</v>
      </c>
      <c r="K131" s="284" t="s">
        <v>13001</v>
      </c>
      <c r="L131" s="284" t="s">
        <v>13160</v>
      </c>
      <c r="M131" s="284" t="s">
        <v>13002</v>
      </c>
      <c r="N131" s="284" t="s">
        <v>13003</v>
      </c>
      <c r="O131" s="284" t="s">
        <v>13655</v>
      </c>
      <c r="P131" s="284" t="s">
        <v>13822</v>
      </c>
      <c r="Q131" s="284" t="s">
        <v>13823</v>
      </c>
      <c r="R131" s="284" t="s">
        <v>13824</v>
      </c>
      <c r="S131" s="284" t="s">
        <v>13656</v>
      </c>
      <c r="T131" s="284" t="s">
        <v>13066</v>
      </c>
      <c r="U131" s="284" t="s">
        <v>13657</v>
      </c>
      <c r="V131" s="284" t="s">
        <v>13658</v>
      </c>
      <c r="W131" s="284" t="s">
        <v>13033</v>
      </c>
      <c r="X131" s="284" t="s">
        <v>13034</v>
      </c>
      <c r="Y131" s="284" t="s">
        <v>13560</v>
      </c>
      <c r="Z131" s="284" t="s">
        <v>13037</v>
      </c>
      <c r="AA131" s="284" t="s">
        <v>13091</v>
      </c>
      <c r="AB131" s="284" t="s">
        <v>13009</v>
      </c>
      <c r="AC131" s="284" t="s">
        <v>13153</v>
      </c>
      <c r="AD131" s="284" t="s">
        <v>13220</v>
      </c>
      <c r="AE131" s="284" t="s">
        <v>13042</v>
      </c>
      <c r="AF131" s="284" t="s">
        <v>13096</v>
      </c>
      <c r="AG131" s="284" t="s">
        <v>13154</v>
      </c>
      <c r="AH131" s="284" t="s">
        <v>13156</v>
      </c>
      <c r="AI131" s="284" t="s">
        <v>13016</v>
      </c>
      <c r="AJ131" s="284" t="s">
        <v>13825</v>
      </c>
      <c r="AK131" s="284" t="s">
        <v>13157</v>
      </c>
      <c r="AL131" s="284"/>
      <c r="AM131" s="284"/>
      <c r="AN131" s="284"/>
      <c r="AO131" s="284"/>
      <c r="AP131" s="284"/>
      <c r="AQ131" s="284"/>
      <c r="AR131" s="284"/>
      <c r="AS131" s="284"/>
      <c r="AT131" s="284"/>
      <c r="AU131" s="284"/>
      <c r="AV131" s="284"/>
      <c r="AW131" s="284"/>
      <c r="AX131" s="284"/>
      <c r="AY131" s="284"/>
      <c r="AZ131" s="284"/>
      <c r="BA131" s="284"/>
      <c r="BB131" s="284"/>
      <c r="BC131" s="284"/>
      <c r="BD131" s="284"/>
      <c r="BE131" s="284"/>
      <c r="BF131" s="284"/>
      <c r="BG131" s="284"/>
      <c r="BH131" s="284"/>
      <c r="BI131" s="284"/>
      <c r="BJ131" s="284"/>
      <c r="BK131" s="284"/>
      <c r="BL131" s="284"/>
      <c r="BM131" s="284"/>
      <c r="BN131" s="284"/>
      <c r="BO131" s="284"/>
      <c r="BP131" s="284"/>
      <c r="BQ131" s="284"/>
      <c r="BR131" s="284"/>
      <c r="BS131" s="284"/>
      <c r="BT131" s="284"/>
      <c r="BU131" s="284"/>
      <c r="BV131" s="284"/>
      <c r="BW131" s="284"/>
      <c r="BX131" s="284"/>
      <c r="BY131" s="284"/>
      <c r="BZ131" s="284"/>
      <c r="CA131" s="284"/>
      <c r="CB131" s="284"/>
      <c r="CC131" s="284"/>
      <c r="CD131" s="284"/>
      <c r="CE131" s="284"/>
      <c r="CF131" s="284"/>
      <c r="CG131" s="284"/>
    </row>
    <row r="132" spans="1:85" x14ac:dyDescent="0.35">
      <c r="A132" s="284" t="s">
        <v>12027</v>
      </c>
      <c r="B132" s="284" t="s">
        <v>12028</v>
      </c>
      <c r="C132" t="s">
        <v>13826</v>
      </c>
      <c r="D132" s="284" t="s">
        <v>13166</v>
      </c>
      <c r="E132" s="284" t="s">
        <v>13046</v>
      </c>
      <c r="F132" s="284" t="s">
        <v>13021</v>
      </c>
      <c r="G132" s="284" t="s">
        <v>13023</v>
      </c>
      <c r="H132" s="284" t="s">
        <v>13433</v>
      </c>
      <c r="I132" s="284" t="s">
        <v>13000</v>
      </c>
      <c r="J132" s="284" t="s">
        <v>13632</v>
      </c>
      <c r="K132" s="284" t="s">
        <v>13027</v>
      </c>
      <c r="L132" s="284" t="s">
        <v>13001</v>
      </c>
      <c r="M132" s="284" t="s">
        <v>13149</v>
      </c>
      <c r="N132" s="284" t="s">
        <v>13002</v>
      </c>
      <c r="O132" s="284" t="s">
        <v>13003</v>
      </c>
      <c r="P132" s="284" t="s">
        <v>13127</v>
      </c>
      <c r="Q132" s="284" t="s">
        <v>13671</v>
      </c>
      <c r="R132" s="284" t="s">
        <v>13005</v>
      </c>
      <c r="S132" s="284" t="s">
        <v>13663</v>
      </c>
      <c r="T132" s="284" t="s">
        <v>13006</v>
      </c>
      <c r="U132" s="284" t="s">
        <v>13827</v>
      </c>
      <c r="V132" s="284" t="s">
        <v>13568</v>
      </c>
      <c r="W132" s="284" t="s">
        <v>13054</v>
      </c>
      <c r="X132" s="284" t="s">
        <v>13133</v>
      </c>
      <c r="Y132" s="284" t="s">
        <v>13055</v>
      </c>
      <c r="Z132" s="284" t="s">
        <v>13069</v>
      </c>
      <c r="AA132" s="284" t="s">
        <v>13033</v>
      </c>
      <c r="AB132" s="284" t="s">
        <v>13037</v>
      </c>
      <c r="AC132" s="284" t="s">
        <v>13779</v>
      </c>
      <c r="AD132" s="284" t="s">
        <v>13039</v>
      </c>
      <c r="AE132" s="284" t="s">
        <v>13011</v>
      </c>
      <c r="AF132" s="284" t="s">
        <v>13058</v>
      </c>
      <c r="AG132" s="284" t="s">
        <v>13041</v>
      </c>
      <c r="AH132" s="284" t="s">
        <v>13137</v>
      </c>
      <c r="AI132" s="284" t="s">
        <v>13220</v>
      </c>
      <c r="AJ132" s="284" t="s">
        <v>13014</v>
      </c>
      <c r="AK132" s="284" t="s">
        <v>13042</v>
      </c>
      <c r="AL132" s="284" t="s">
        <v>13673</v>
      </c>
      <c r="AM132" s="284" t="s">
        <v>13062</v>
      </c>
      <c r="AN132" s="284" t="s">
        <v>13016</v>
      </c>
      <c r="AO132" s="284" t="s">
        <v>13444</v>
      </c>
      <c r="AP132" s="284" t="s">
        <v>13640</v>
      </c>
      <c r="AQ132" s="284"/>
      <c r="AR132" s="284"/>
      <c r="AS132" s="284"/>
      <c r="AT132" s="284"/>
      <c r="AU132" s="284"/>
      <c r="AV132" s="284"/>
      <c r="AW132" s="284"/>
      <c r="AX132" s="284"/>
      <c r="AY132" s="284"/>
      <c r="AZ132" s="284"/>
      <c r="BA132" s="284"/>
      <c r="BB132" s="284"/>
      <c r="BC132" s="284"/>
      <c r="BD132" s="284"/>
      <c r="BE132" s="284"/>
      <c r="BF132" s="284"/>
      <c r="BG132" s="284"/>
      <c r="BH132" s="284"/>
      <c r="BI132" s="284"/>
      <c r="BJ132" s="284"/>
      <c r="BK132" s="284"/>
      <c r="BL132" s="284"/>
      <c r="BM132" s="284"/>
      <c r="BN132" s="284"/>
      <c r="BO132" s="284"/>
      <c r="BP132" s="284"/>
      <c r="BQ132" s="284"/>
      <c r="BR132" s="284"/>
      <c r="BS132" s="284"/>
      <c r="BT132" s="284"/>
      <c r="BU132" s="284"/>
      <c r="BV132" s="284"/>
      <c r="BW132" s="284"/>
      <c r="BX132" s="284"/>
      <c r="BY132" s="284"/>
      <c r="BZ132" s="284"/>
      <c r="CA132" s="284"/>
      <c r="CB132" s="284"/>
      <c r="CC132" s="284"/>
      <c r="CD132" s="284"/>
      <c r="CE132" s="284"/>
      <c r="CF132" s="284"/>
      <c r="CG132" s="284"/>
    </row>
    <row r="133" spans="1:85" x14ac:dyDescent="0.35">
      <c r="A133" s="284" t="s">
        <v>11019</v>
      </c>
      <c r="B133" s="284" t="s">
        <v>11020</v>
      </c>
      <c r="C133" t="s">
        <v>13828</v>
      </c>
      <c r="D133" s="284" t="s">
        <v>13146</v>
      </c>
      <c r="E133" s="284" t="s">
        <v>13072</v>
      </c>
      <c r="F133" s="284" t="s">
        <v>13410</v>
      </c>
      <c r="G133" s="284" t="s">
        <v>13023</v>
      </c>
      <c r="H133" s="284" t="s">
        <v>13113</v>
      </c>
      <c r="I133" s="284" t="s">
        <v>13115</v>
      </c>
      <c r="J133" s="284" t="s">
        <v>13273</v>
      </c>
      <c r="K133" s="284" t="s">
        <v>13320</v>
      </c>
      <c r="L133" s="284" t="s">
        <v>13321</v>
      </c>
      <c r="M133" s="284" t="s">
        <v>13829</v>
      </c>
      <c r="N133" s="284" t="s">
        <v>13552</v>
      </c>
      <c r="O133" s="284" t="s">
        <v>13500</v>
      </c>
      <c r="P133" s="284" t="s">
        <v>13027</v>
      </c>
      <c r="Q133" s="284" t="s">
        <v>13149</v>
      </c>
      <c r="R133" s="284" t="s">
        <v>13028</v>
      </c>
      <c r="S133" s="284" t="s">
        <v>13150</v>
      </c>
      <c r="T133" s="284" t="s">
        <v>13160</v>
      </c>
      <c r="U133" s="284" t="s">
        <v>13002</v>
      </c>
      <c r="V133" s="284" t="s">
        <v>13003</v>
      </c>
      <c r="W133" s="284" t="s">
        <v>13420</v>
      </c>
      <c r="X133" s="284" t="s">
        <v>13066</v>
      </c>
      <c r="Y133" s="284" t="s">
        <v>13323</v>
      </c>
      <c r="Z133" s="284" t="s">
        <v>13830</v>
      </c>
      <c r="AA133" s="284" t="s">
        <v>13652</v>
      </c>
      <c r="AB133" s="284" t="s">
        <v>13076</v>
      </c>
      <c r="AC133" s="284" t="s">
        <v>13192</v>
      </c>
      <c r="AD133" s="284" t="s">
        <v>13831</v>
      </c>
      <c r="AE133" s="284" t="s">
        <v>13033</v>
      </c>
      <c r="AF133" s="284" t="s">
        <v>13038</v>
      </c>
      <c r="AG133" s="284" t="s">
        <v>13039</v>
      </c>
      <c r="AH133" s="284" t="s">
        <v>13091</v>
      </c>
      <c r="AI133" s="284" t="s">
        <v>13009</v>
      </c>
      <c r="AJ133" s="284" t="s">
        <v>13041</v>
      </c>
      <c r="AK133" s="284" t="s">
        <v>13832</v>
      </c>
      <c r="AL133" s="284" t="s">
        <v>13012</v>
      </c>
      <c r="AM133" s="284" t="s">
        <v>13042</v>
      </c>
      <c r="AN133" s="284" t="s">
        <v>13154</v>
      </c>
      <c r="AO133" s="284" t="s">
        <v>13222</v>
      </c>
      <c r="AP133" s="284" t="s">
        <v>13833</v>
      </c>
      <c r="AQ133" s="284" t="s">
        <v>13155</v>
      </c>
      <c r="AR133" s="284" t="s">
        <v>13156</v>
      </c>
      <c r="AS133" s="284" t="s">
        <v>13157</v>
      </c>
      <c r="AT133" s="284" t="s">
        <v>13286</v>
      </c>
      <c r="AU133" s="284"/>
      <c r="AV133" s="284"/>
      <c r="AW133" s="284"/>
      <c r="AX133" s="284"/>
      <c r="AY133" s="284"/>
      <c r="AZ133" s="284"/>
      <c r="BA133" s="284"/>
      <c r="BB133" s="284"/>
      <c r="BC133" s="284"/>
      <c r="BD133" s="284"/>
      <c r="BE133" s="284"/>
      <c r="BF133" s="284"/>
      <c r="BG133" s="284"/>
      <c r="BH133" s="284"/>
      <c r="BI133" s="284"/>
      <c r="BJ133" s="284"/>
      <c r="BK133" s="284"/>
      <c r="BL133" s="284"/>
      <c r="BM133" s="284"/>
      <c r="BN133" s="284"/>
      <c r="BO133" s="284"/>
      <c r="BP133" s="284"/>
      <c r="BQ133" s="284"/>
      <c r="BR133" s="284"/>
      <c r="BS133" s="284"/>
      <c r="BT133" s="284"/>
      <c r="BU133" s="284"/>
      <c r="BV133" s="284"/>
      <c r="BW133" s="284"/>
      <c r="BX133" s="284"/>
      <c r="BY133" s="284"/>
      <c r="BZ133" s="284"/>
      <c r="CA133" s="284"/>
      <c r="CB133" s="284"/>
      <c r="CC133" s="284"/>
      <c r="CD133" s="284"/>
      <c r="CE133" s="284"/>
      <c r="CF133" s="284"/>
      <c r="CG133" s="284"/>
    </row>
    <row r="134" spans="1:85" x14ac:dyDescent="0.35">
      <c r="A134" s="284" t="s">
        <v>10100</v>
      </c>
      <c r="B134" s="284" t="s">
        <v>10101</v>
      </c>
      <c r="C134" t="s">
        <v>13023</v>
      </c>
      <c r="D134" s="284" t="s">
        <v>13065</v>
      </c>
      <c r="E134" s="284" t="s">
        <v>13834</v>
      </c>
      <c r="F134" s="284" t="s">
        <v>13835</v>
      </c>
      <c r="G134" s="284" t="s">
        <v>13085</v>
      </c>
      <c r="H134" s="284" t="s">
        <v>13499</v>
      </c>
      <c r="I134" s="284" t="s">
        <v>13149</v>
      </c>
      <c r="J134" s="284" t="s">
        <v>13515</v>
      </c>
      <c r="K134" s="284" t="s">
        <v>13028</v>
      </c>
      <c r="L134" s="284" t="s">
        <v>13003</v>
      </c>
      <c r="M134" s="284" t="s">
        <v>13836</v>
      </c>
      <c r="N134" s="284" t="s">
        <v>13837</v>
      </c>
      <c r="O134" s="284" t="s">
        <v>13274</v>
      </c>
      <c r="P134" s="284" t="s">
        <v>13744</v>
      </c>
      <c r="Q134" s="284" t="s">
        <v>13284</v>
      </c>
      <c r="R134" s="284" t="s">
        <v>13486</v>
      </c>
      <c r="S134" s="284" t="s">
        <v>13276</v>
      </c>
      <c r="T134" s="284" t="s">
        <v>13033</v>
      </c>
      <c r="U134" s="284" t="s">
        <v>13487</v>
      </c>
      <c r="V134" s="284" t="s">
        <v>13838</v>
      </c>
      <c r="W134" s="284" t="s">
        <v>13036</v>
      </c>
      <c r="X134" s="284" t="s">
        <v>13839</v>
      </c>
      <c r="Y134" s="284" t="s">
        <v>13037</v>
      </c>
      <c r="Z134" s="284" t="s">
        <v>13009</v>
      </c>
      <c r="AA134" s="284" t="s">
        <v>13840</v>
      </c>
      <c r="AB134" s="284" t="s">
        <v>13042</v>
      </c>
      <c r="AC134" s="284" t="s">
        <v>13493</v>
      </c>
      <c r="AD134" s="284" t="s">
        <v>13841</v>
      </c>
      <c r="AE134" s="284" t="s">
        <v>13286</v>
      </c>
      <c r="AF134" s="284"/>
      <c r="AG134" s="284"/>
      <c r="AH134" s="284"/>
      <c r="AI134" s="284"/>
      <c r="AJ134" s="284"/>
      <c r="AK134" s="284"/>
      <c r="AL134" s="284"/>
      <c r="AM134" s="284"/>
      <c r="AN134" s="284"/>
      <c r="AO134" s="284"/>
      <c r="AP134" s="284"/>
      <c r="AQ134" s="284"/>
      <c r="AR134" s="284"/>
      <c r="AS134" s="284"/>
      <c r="AT134" s="284"/>
      <c r="AU134" s="284"/>
      <c r="AV134" s="284"/>
      <c r="AW134" s="284"/>
      <c r="AX134" s="284"/>
      <c r="AY134" s="284"/>
      <c r="AZ134" s="284"/>
      <c r="BA134" s="284"/>
      <c r="BB134" s="284"/>
      <c r="BC134" s="284"/>
      <c r="BD134" s="284"/>
      <c r="BE134" s="284"/>
      <c r="BF134" s="284"/>
      <c r="BG134" s="284"/>
      <c r="BH134" s="284"/>
      <c r="BI134" s="284"/>
      <c r="BJ134" s="284"/>
      <c r="BK134" s="284"/>
      <c r="BL134" s="284"/>
      <c r="BM134" s="284"/>
      <c r="BN134" s="284"/>
      <c r="BO134" s="284"/>
      <c r="BP134" s="284"/>
      <c r="BQ134" s="284"/>
      <c r="BR134" s="284"/>
      <c r="BS134" s="284"/>
      <c r="BT134" s="284"/>
      <c r="BU134" s="284"/>
      <c r="BV134" s="284"/>
      <c r="BW134" s="284"/>
      <c r="BX134" s="284"/>
      <c r="BY134" s="284"/>
      <c r="BZ134" s="284"/>
      <c r="CA134" s="284"/>
      <c r="CB134" s="284"/>
      <c r="CC134" s="284"/>
      <c r="CD134" s="284"/>
      <c r="CE134" s="284"/>
      <c r="CF134" s="284"/>
      <c r="CG134" s="284"/>
    </row>
    <row r="135" spans="1:85" x14ac:dyDescent="0.35">
      <c r="A135" s="284" t="s">
        <v>12071</v>
      </c>
      <c r="B135" s="284" t="s">
        <v>12072</v>
      </c>
      <c r="C135" t="s">
        <v>13842</v>
      </c>
      <c r="D135" s="284" t="s">
        <v>13110</v>
      </c>
      <c r="E135" s="284" t="s">
        <v>13021</v>
      </c>
      <c r="F135" s="284" t="s">
        <v>13023</v>
      </c>
      <c r="G135" s="284" t="s">
        <v>13112</v>
      </c>
      <c r="H135" s="284" t="s">
        <v>13573</v>
      </c>
      <c r="I135" s="284" t="s">
        <v>13082</v>
      </c>
      <c r="J135" s="284" t="s">
        <v>13843</v>
      </c>
      <c r="K135" s="284" t="s">
        <v>13844</v>
      </c>
      <c r="L135" s="284" t="s">
        <v>13000</v>
      </c>
      <c r="M135" s="284" t="s">
        <v>13845</v>
      </c>
      <c r="N135" s="284" t="s">
        <v>13098</v>
      </c>
      <c r="O135" s="284" t="s">
        <v>13846</v>
      </c>
      <c r="P135" s="284" t="s">
        <v>13847</v>
      </c>
      <c r="Q135" s="284" t="s">
        <v>13384</v>
      </c>
      <c r="R135" s="284" t="s">
        <v>13576</v>
      </c>
      <c r="S135" s="284" t="s">
        <v>13049</v>
      </c>
      <c r="T135" s="284" t="s">
        <v>13350</v>
      </c>
      <c r="U135" s="284" t="s">
        <v>13027</v>
      </c>
      <c r="V135" s="284" t="s">
        <v>13848</v>
      </c>
      <c r="W135" s="284" t="s">
        <v>13435</v>
      </c>
      <c r="X135" s="284" t="s">
        <v>13849</v>
      </c>
      <c r="Y135" s="284" t="s">
        <v>13215</v>
      </c>
      <c r="Z135" s="284" t="s">
        <v>13028</v>
      </c>
      <c r="AA135" s="284" t="s">
        <v>13850</v>
      </c>
      <c r="AB135" s="284" t="s">
        <v>13160</v>
      </c>
      <c r="AC135" s="284" t="s">
        <v>13002</v>
      </c>
      <c r="AD135" s="284" t="s">
        <v>13851</v>
      </c>
      <c r="AE135" s="284" t="s">
        <v>13003</v>
      </c>
      <c r="AF135" s="284" t="s">
        <v>13004</v>
      </c>
      <c r="AG135" s="284" t="s">
        <v>13852</v>
      </c>
      <c r="AH135" s="284" t="s">
        <v>13066</v>
      </c>
      <c r="AI135" s="284" t="s">
        <v>13124</v>
      </c>
      <c r="AJ135" s="284" t="s">
        <v>13853</v>
      </c>
      <c r="AK135" s="284" t="s">
        <v>13125</v>
      </c>
      <c r="AL135" s="284" t="s">
        <v>13789</v>
      </c>
      <c r="AM135" s="284" t="s">
        <v>13216</v>
      </c>
      <c r="AN135" s="284" t="s">
        <v>13854</v>
      </c>
      <c r="AO135" s="284" t="s">
        <v>13855</v>
      </c>
      <c r="AP135" s="284" t="s">
        <v>13178</v>
      </c>
      <c r="AQ135" s="284" t="s">
        <v>13005</v>
      </c>
      <c r="AR135" s="284" t="s">
        <v>13029</v>
      </c>
      <c r="AS135" s="284" t="s">
        <v>13006</v>
      </c>
      <c r="AT135" s="284" t="s">
        <v>13856</v>
      </c>
      <c r="AU135" s="284" t="s">
        <v>13857</v>
      </c>
      <c r="AV135" s="284" t="s">
        <v>13718</v>
      </c>
      <c r="AW135" s="284" t="s">
        <v>13103</v>
      </c>
      <c r="AX135" s="284" t="s">
        <v>13054</v>
      </c>
      <c r="AY135" s="284" t="s">
        <v>13133</v>
      </c>
      <c r="AZ135" s="284" t="s">
        <v>13858</v>
      </c>
      <c r="BA135" s="284" t="s">
        <v>13055</v>
      </c>
      <c r="BB135" s="284" t="s">
        <v>13859</v>
      </c>
      <c r="BC135" s="284" t="s">
        <v>13522</v>
      </c>
      <c r="BD135" s="284" t="s">
        <v>13104</v>
      </c>
      <c r="BE135" s="284" t="s">
        <v>13860</v>
      </c>
      <c r="BF135" s="284" t="s">
        <v>13218</v>
      </c>
      <c r="BG135" s="284" t="s">
        <v>13387</v>
      </c>
      <c r="BH135" s="284" t="s">
        <v>13033</v>
      </c>
      <c r="BI135" s="284" t="s">
        <v>13389</v>
      </c>
      <c r="BJ135" s="284" t="s">
        <v>13078</v>
      </c>
      <c r="BK135" s="284" t="s">
        <v>13009</v>
      </c>
      <c r="BL135" s="284" t="s">
        <v>13011</v>
      </c>
      <c r="BM135" s="284" t="s">
        <v>13058</v>
      </c>
      <c r="BN135" s="284" t="s">
        <v>13390</v>
      </c>
      <c r="BO135" s="284" t="s">
        <v>13306</v>
      </c>
      <c r="BP135" s="284" t="s">
        <v>13861</v>
      </c>
      <c r="BQ135" s="284" t="s">
        <v>13862</v>
      </c>
      <c r="BR135" s="284" t="s">
        <v>13014</v>
      </c>
      <c r="BS135" s="284" t="s">
        <v>13863</v>
      </c>
      <c r="BT135" s="284" t="s">
        <v>13042</v>
      </c>
      <c r="BU135" s="284" t="s">
        <v>13864</v>
      </c>
      <c r="BV135" s="284" t="s">
        <v>13865</v>
      </c>
      <c r="BW135" s="284" t="s">
        <v>13866</v>
      </c>
      <c r="BX135" s="284" t="s">
        <v>13062</v>
      </c>
      <c r="BY135" s="284" t="s">
        <v>13867</v>
      </c>
      <c r="BZ135" s="284" t="s">
        <v>13868</v>
      </c>
      <c r="CA135" s="284" t="s">
        <v>13016</v>
      </c>
      <c r="CB135" s="284" t="s">
        <v>13869</v>
      </c>
      <c r="CC135" s="284" t="s">
        <v>13144</v>
      </c>
      <c r="CD135" s="284"/>
      <c r="CE135" s="284"/>
      <c r="CF135" s="284"/>
      <c r="CG135" s="284"/>
    </row>
    <row r="136" spans="1:85" x14ac:dyDescent="0.35">
      <c r="A136" s="284" t="s">
        <v>6077</v>
      </c>
      <c r="B136" s="284" t="s">
        <v>6078</v>
      </c>
      <c r="C136" s="284" t="s">
        <v>13870</v>
      </c>
      <c r="D136" s="284" t="s">
        <v>13023</v>
      </c>
      <c r="E136" s="284" t="s">
        <v>13113</v>
      </c>
      <c r="F136" s="284" t="s">
        <v>13279</v>
      </c>
      <c r="G136" s="284" t="s">
        <v>13082</v>
      </c>
      <c r="H136" s="284" t="s">
        <v>13407</v>
      </c>
      <c r="I136" s="284" t="s">
        <v>13273</v>
      </c>
      <c r="J136" s="284" t="s">
        <v>13871</v>
      </c>
      <c r="K136" s="284" t="s">
        <v>13549</v>
      </c>
      <c r="L136" s="284" t="s">
        <v>13238</v>
      </c>
      <c r="M136" s="284" t="s">
        <v>13119</v>
      </c>
      <c r="N136" s="284" t="s">
        <v>13085</v>
      </c>
      <c r="O136" s="284" t="s">
        <v>13049</v>
      </c>
      <c r="P136" s="284" t="s">
        <v>13148</v>
      </c>
      <c r="Q136" s="284" t="s">
        <v>13149</v>
      </c>
      <c r="R136" s="284" t="s">
        <v>13028</v>
      </c>
      <c r="S136" s="284" t="s">
        <v>13160</v>
      </c>
      <c r="T136" s="284" t="s">
        <v>13002</v>
      </c>
      <c r="U136" s="284" t="s">
        <v>13003</v>
      </c>
      <c r="V136" s="284" t="s">
        <v>13066</v>
      </c>
      <c r="W136" s="284" t="s">
        <v>13291</v>
      </c>
      <c r="X136" s="284" t="s">
        <v>13201</v>
      </c>
      <c r="Y136" s="284" t="s">
        <v>13178</v>
      </c>
      <c r="Z136" s="284" t="s">
        <v>13076</v>
      </c>
      <c r="AA136" s="284" t="s">
        <v>13872</v>
      </c>
      <c r="AB136" s="284" t="s">
        <v>13276</v>
      </c>
      <c r="AC136" s="284" t="s">
        <v>13033</v>
      </c>
      <c r="AD136" s="284" t="s">
        <v>13034</v>
      </c>
      <c r="AE136" s="284" t="s">
        <v>13036</v>
      </c>
      <c r="AF136" s="284" t="s">
        <v>13078</v>
      </c>
      <c r="AG136" s="284" t="s">
        <v>13009</v>
      </c>
      <c r="AH136" s="284" t="s">
        <v>13873</v>
      </c>
      <c r="AI136" s="284" t="s">
        <v>13285</v>
      </c>
      <c r="AJ136" s="284" t="s">
        <v>13562</v>
      </c>
      <c r="AK136" s="284" t="s">
        <v>13014</v>
      </c>
      <c r="AL136" s="284" t="s">
        <v>13042</v>
      </c>
      <c r="AM136" s="284" t="s">
        <v>13286</v>
      </c>
      <c r="AN136" s="284"/>
      <c r="AO136" s="284"/>
      <c r="AP136" s="284"/>
      <c r="AQ136" s="284"/>
      <c r="AR136" s="284"/>
      <c r="AS136" s="284"/>
      <c r="AT136" s="284"/>
      <c r="AU136" s="284"/>
      <c r="AV136" s="284"/>
      <c r="AW136" s="284"/>
      <c r="AX136" s="284"/>
      <c r="AY136" s="284"/>
      <c r="AZ136" s="284"/>
      <c r="BA136" s="284"/>
      <c r="BB136" s="284"/>
      <c r="BC136" s="284"/>
      <c r="BD136" s="284"/>
      <c r="BE136" s="284"/>
      <c r="BF136" s="284"/>
      <c r="BG136" s="284"/>
      <c r="BH136" s="284"/>
      <c r="BI136" s="284"/>
      <c r="BJ136" s="284"/>
      <c r="BK136" s="284"/>
      <c r="BL136" s="284"/>
      <c r="BM136" s="284"/>
      <c r="BN136" s="284"/>
      <c r="BO136" s="284"/>
      <c r="BP136" s="284"/>
      <c r="BQ136" s="284"/>
      <c r="BR136" s="284"/>
      <c r="BS136" s="284"/>
      <c r="BT136" s="284"/>
      <c r="BU136" s="284"/>
      <c r="BV136" s="284"/>
      <c r="BW136" s="284"/>
      <c r="BX136" s="284"/>
      <c r="BY136" s="284"/>
      <c r="BZ136" s="284"/>
      <c r="CA136" s="284"/>
      <c r="CB136" s="284"/>
      <c r="CC136" s="284"/>
      <c r="CD136" s="284"/>
      <c r="CE136" s="284"/>
      <c r="CF136" s="284"/>
    </row>
    <row r="137" spans="1:85" x14ac:dyDescent="0.35">
      <c r="A137" s="284" t="s">
        <v>11061</v>
      </c>
      <c r="B137" s="284" t="s">
        <v>11062</v>
      </c>
      <c r="C137" t="s">
        <v>13874</v>
      </c>
      <c r="D137" s="284" t="s">
        <v>13146</v>
      </c>
      <c r="E137" s="284" t="s">
        <v>13312</v>
      </c>
      <c r="F137" s="284" t="s">
        <v>13072</v>
      </c>
      <c r="G137" s="284" t="s">
        <v>13410</v>
      </c>
      <c r="H137" s="284" t="s">
        <v>13023</v>
      </c>
      <c r="I137" s="284" t="s">
        <v>13113</v>
      </c>
      <c r="J137" s="284" t="s">
        <v>13082</v>
      </c>
      <c r="K137" s="284" t="s">
        <v>13065</v>
      </c>
      <c r="L137" s="284" t="s">
        <v>13115</v>
      </c>
      <c r="M137" s="284" t="s">
        <v>13315</v>
      </c>
      <c r="N137" s="284" t="s">
        <v>13595</v>
      </c>
      <c r="O137" s="284" t="s">
        <v>13159</v>
      </c>
      <c r="P137" s="284" t="s">
        <v>13000</v>
      </c>
      <c r="Q137" s="284" t="s">
        <v>13321</v>
      </c>
      <c r="R137" s="284" t="s">
        <v>13238</v>
      </c>
      <c r="S137" s="284" t="s">
        <v>13119</v>
      </c>
      <c r="T137" s="284" t="s">
        <v>13120</v>
      </c>
      <c r="U137" s="284" t="s">
        <v>13875</v>
      </c>
      <c r="V137" s="284" t="s">
        <v>13552</v>
      </c>
      <c r="W137" s="284" t="s">
        <v>13500</v>
      </c>
      <c r="X137" s="284" t="s">
        <v>13027</v>
      </c>
      <c r="Y137" s="284" t="s">
        <v>13001</v>
      </c>
      <c r="Z137" s="284" t="s">
        <v>13149</v>
      </c>
      <c r="AA137" s="284" t="s">
        <v>13876</v>
      </c>
      <c r="AB137" s="284" t="s">
        <v>13554</v>
      </c>
      <c r="AC137" s="284" t="s">
        <v>13028</v>
      </c>
      <c r="AD137" s="284" t="s">
        <v>13002</v>
      </c>
      <c r="AE137" s="284" t="s">
        <v>13003</v>
      </c>
      <c r="AF137" s="284" t="s">
        <v>13420</v>
      </c>
      <c r="AG137" s="284" t="s">
        <v>13066</v>
      </c>
      <c r="AH137" s="284" t="s">
        <v>13323</v>
      </c>
      <c r="AI137" s="284" t="s">
        <v>13877</v>
      </c>
      <c r="AJ137" s="284" t="s">
        <v>13657</v>
      </c>
      <c r="AK137" s="284" t="s">
        <v>13557</v>
      </c>
      <c r="AL137" s="284" t="s">
        <v>13652</v>
      </c>
      <c r="AM137" s="284" t="s">
        <v>13878</v>
      </c>
      <c r="AN137" s="284" t="s">
        <v>13274</v>
      </c>
      <c r="AO137" s="284" t="s">
        <v>13879</v>
      </c>
      <c r="AP137" s="284" t="s">
        <v>13192</v>
      </c>
      <c r="AQ137" s="284" t="s">
        <v>13069</v>
      </c>
      <c r="AR137" s="284" t="s">
        <v>13032</v>
      </c>
      <c r="AS137" s="284" t="s">
        <v>13033</v>
      </c>
      <c r="AT137" s="284" t="s">
        <v>13034</v>
      </c>
      <c r="AU137" s="284" t="s">
        <v>13171</v>
      </c>
      <c r="AV137" s="284" t="s">
        <v>13880</v>
      </c>
      <c r="AW137" s="284" t="s">
        <v>13036</v>
      </c>
      <c r="AX137" s="284" t="s">
        <v>13560</v>
      </c>
      <c r="AY137" s="284" t="s">
        <v>13037</v>
      </c>
      <c r="AZ137" s="284" t="s">
        <v>13038</v>
      </c>
      <c r="BA137" s="284" t="s">
        <v>13078</v>
      </c>
      <c r="BB137" s="284" t="s">
        <v>13091</v>
      </c>
      <c r="BC137" s="284" t="s">
        <v>13009</v>
      </c>
      <c r="BD137" s="284" t="s">
        <v>13041</v>
      </c>
      <c r="BE137" s="284" t="s">
        <v>13832</v>
      </c>
      <c r="BF137" s="284" t="s">
        <v>13012</v>
      </c>
      <c r="BG137" s="284" t="s">
        <v>13881</v>
      </c>
      <c r="BH137" s="284" t="s">
        <v>13882</v>
      </c>
      <c r="BI137" s="284" t="s">
        <v>13014</v>
      </c>
      <c r="BJ137" s="284" t="s">
        <v>13042</v>
      </c>
      <c r="BK137" s="284" t="s">
        <v>13883</v>
      </c>
      <c r="BL137" s="284" t="s">
        <v>13154</v>
      </c>
      <c r="BM137" s="284" t="s">
        <v>13833</v>
      </c>
      <c r="BN137" s="284" t="s">
        <v>13155</v>
      </c>
      <c r="BO137" s="284" t="s">
        <v>13016</v>
      </c>
      <c r="BP137" s="284" t="s">
        <v>13157</v>
      </c>
      <c r="BQ137" s="284" t="s">
        <v>13286</v>
      </c>
      <c r="BR137" s="284"/>
      <c r="BS137" s="284"/>
      <c r="BT137" s="284"/>
      <c r="BU137" s="284"/>
      <c r="BV137" s="284"/>
      <c r="BW137" s="284"/>
      <c r="BX137" s="284"/>
      <c r="BY137" s="284"/>
      <c r="BZ137" s="284"/>
      <c r="CA137" s="284"/>
      <c r="CB137" s="284"/>
      <c r="CC137" s="284"/>
      <c r="CD137" s="284"/>
      <c r="CE137" s="284"/>
      <c r="CF137" s="284"/>
      <c r="CG137" s="284"/>
    </row>
    <row r="138" spans="1:85" x14ac:dyDescent="0.35">
      <c r="A138" s="284" t="s">
        <v>939</v>
      </c>
      <c r="B138" s="284" t="s">
        <v>940</v>
      </c>
      <c r="C138" t="s">
        <v>13884</v>
      </c>
      <c r="D138" s="284" t="s">
        <v>13020</v>
      </c>
      <c r="E138" s="284" t="s">
        <v>13021</v>
      </c>
      <c r="F138" s="284" t="s">
        <v>13022</v>
      </c>
      <c r="G138" s="284" t="s">
        <v>13023</v>
      </c>
      <c r="H138" s="284" t="s">
        <v>13113</v>
      </c>
      <c r="I138" s="284" t="s">
        <v>13885</v>
      </c>
      <c r="J138" s="284" t="s">
        <v>13065</v>
      </c>
      <c r="K138" s="284" t="s">
        <v>13886</v>
      </c>
      <c r="L138" s="284" t="s">
        <v>13238</v>
      </c>
      <c r="M138" s="284" t="s">
        <v>13119</v>
      </c>
      <c r="N138" s="284" t="s">
        <v>13024</v>
      </c>
      <c r="O138" s="284" t="s">
        <v>13099</v>
      </c>
      <c r="P138" s="284" t="s">
        <v>13049</v>
      </c>
      <c r="Q138" s="284" t="s">
        <v>13168</v>
      </c>
      <c r="R138" s="284" t="s">
        <v>13025</v>
      </c>
      <c r="S138" s="284" t="s">
        <v>13149</v>
      </c>
      <c r="T138" s="284" t="s">
        <v>13160</v>
      </c>
      <c r="U138" s="284" t="s">
        <v>13002</v>
      </c>
      <c r="V138" s="284" t="s">
        <v>13066</v>
      </c>
      <c r="W138" s="284" t="s">
        <v>13274</v>
      </c>
      <c r="X138" s="284" t="s">
        <v>13029</v>
      </c>
      <c r="Y138" s="284" t="s">
        <v>13887</v>
      </c>
      <c r="Z138" s="284" t="s">
        <v>13006</v>
      </c>
      <c r="AA138" s="284" t="s">
        <v>13248</v>
      </c>
      <c r="AB138" s="284" t="s">
        <v>13272</v>
      </c>
      <c r="AC138" s="284" t="s">
        <v>13030</v>
      </c>
      <c r="AD138" s="284" t="s">
        <v>13055</v>
      </c>
      <c r="AE138" s="284" t="s">
        <v>13033</v>
      </c>
      <c r="AF138" s="284" t="s">
        <v>13034</v>
      </c>
      <c r="AG138" s="284" t="s">
        <v>13035</v>
      </c>
      <c r="AH138" s="284" t="s">
        <v>13036</v>
      </c>
      <c r="AI138" s="284" t="s">
        <v>13888</v>
      </c>
      <c r="AJ138" s="284" t="s">
        <v>13038</v>
      </c>
      <c r="AK138" s="284" t="s">
        <v>13039</v>
      </c>
      <c r="AL138" s="284" t="s">
        <v>13009</v>
      </c>
      <c r="AM138" s="284" t="s">
        <v>13205</v>
      </c>
      <c r="AN138" s="284" t="s">
        <v>13012</v>
      </c>
      <c r="AO138" s="284" t="s">
        <v>13042</v>
      </c>
      <c r="AP138" s="284" t="s">
        <v>13889</v>
      </c>
      <c r="AQ138" s="284" t="s">
        <v>13222</v>
      </c>
      <c r="AR138" s="284" t="s">
        <v>13070</v>
      </c>
      <c r="AS138" s="284" t="s">
        <v>13890</v>
      </c>
      <c r="AT138" s="284"/>
      <c r="AU138" s="284"/>
      <c r="AV138" s="284"/>
      <c r="AW138" s="284"/>
      <c r="AX138" s="284"/>
      <c r="AY138" s="284"/>
      <c r="AZ138" s="284"/>
      <c r="BA138" s="284"/>
      <c r="BB138" s="284"/>
      <c r="BC138" s="284"/>
      <c r="BD138" s="284"/>
      <c r="BE138" s="284"/>
      <c r="BF138" s="284"/>
      <c r="BG138" s="284"/>
      <c r="BH138" s="284"/>
      <c r="BI138" s="284"/>
      <c r="BJ138" s="284"/>
      <c r="BK138" s="284"/>
      <c r="BL138" s="284"/>
      <c r="BM138" s="284"/>
      <c r="BN138" s="284"/>
      <c r="BO138" s="284"/>
      <c r="BP138" s="284"/>
      <c r="BQ138" s="284"/>
      <c r="BR138" s="284"/>
      <c r="BS138" s="284"/>
      <c r="BT138" s="284"/>
      <c r="BU138" s="284"/>
      <c r="BV138" s="284"/>
      <c r="BW138" s="284"/>
      <c r="BX138" s="284"/>
      <c r="BY138" s="284"/>
      <c r="BZ138" s="284"/>
      <c r="CA138" s="284"/>
      <c r="CB138" s="284"/>
      <c r="CC138" s="284"/>
      <c r="CD138" s="284"/>
      <c r="CE138" s="284"/>
      <c r="CF138" s="284"/>
      <c r="CG138" s="284"/>
    </row>
    <row r="139" spans="1:85" x14ac:dyDescent="0.35">
      <c r="A139" s="284" t="s">
        <v>3878</v>
      </c>
      <c r="B139" s="284" t="s">
        <v>3879</v>
      </c>
      <c r="C139" t="s">
        <v>13891</v>
      </c>
      <c r="D139" s="284" t="s">
        <v>13110</v>
      </c>
      <c r="E139" s="284" t="s">
        <v>13082</v>
      </c>
      <c r="F139" s="284" t="s">
        <v>13000</v>
      </c>
      <c r="G139" s="284" t="s">
        <v>13892</v>
      </c>
      <c r="H139" s="284" t="s">
        <v>13027</v>
      </c>
      <c r="I139" s="284" t="s">
        <v>13001</v>
      </c>
      <c r="J139" s="284" t="s">
        <v>13050</v>
      </c>
      <c r="K139" s="284" t="s">
        <v>13028</v>
      </c>
      <c r="L139" s="284" t="s">
        <v>13002</v>
      </c>
      <c r="M139" s="284" t="s">
        <v>13003</v>
      </c>
      <c r="N139" s="284" t="s">
        <v>13004</v>
      </c>
      <c r="O139" s="284" t="s">
        <v>13066</v>
      </c>
      <c r="P139" s="284" t="s">
        <v>13178</v>
      </c>
      <c r="Q139" s="284" t="s">
        <v>13076</v>
      </c>
      <c r="R139" s="284" t="s">
        <v>13274</v>
      </c>
      <c r="S139" s="284" t="s">
        <v>13005</v>
      </c>
      <c r="T139" s="284" t="s">
        <v>13053</v>
      </c>
      <c r="U139" s="284" t="s">
        <v>13007</v>
      </c>
      <c r="V139" s="284" t="s">
        <v>13893</v>
      </c>
      <c r="W139" s="284" t="s">
        <v>13008</v>
      </c>
      <c r="X139" s="284" t="s">
        <v>13077</v>
      </c>
      <c r="Y139" s="284" t="s">
        <v>13894</v>
      </c>
      <c r="Z139" s="284" t="s">
        <v>13033</v>
      </c>
      <c r="AA139" s="284" t="s">
        <v>13569</v>
      </c>
      <c r="AB139" s="284" t="s">
        <v>13038</v>
      </c>
      <c r="AC139" s="284" t="s">
        <v>13039</v>
      </c>
      <c r="AD139" s="284" t="s">
        <v>13078</v>
      </c>
      <c r="AE139" s="284" t="s">
        <v>13009</v>
      </c>
      <c r="AF139" s="284" t="s">
        <v>13056</v>
      </c>
      <c r="AG139" s="284" t="s">
        <v>13010</v>
      </c>
      <c r="AH139" s="284" t="s">
        <v>13011</v>
      </c>
      <c r="AI139" s="284" t="s">
        <v>13041</v>
      </c>
      <c r="AJ139" s="284" t="s">
        <v>13012</v>
      </c>
      <c r="AK139" s="284" t="s">
        <v>13361</v>
      </c>
      <c r="AL139" s="284" t="s">
        <v>13895</v>
      </c>
      <c r="AM139" s="284" t="s">
        <v>13014</v>
      </c>
      <c r="AN139" s="284"/>
      <c r="AO139" s="284"/>
      <c r="AP139" s="284"/>
      <c r="AQ139" s="284"/>
      <c r="AR139" s="284"/>
      <c r="AS139" s="284"/>
      <c r="AT139" s="284"/>
      <c r="AU139" s="284"/>
      <c r="AV139" s="284"/>
      <c r="AW139" s="284"/>
      <c r="AX139" s="284"/>
      <c r="AY139" s="284"/>
      <c r="AZ139" s="284"/>
      <c r="BA139" s="284"/>
      <c r="BB139" s="284"/>
      <c r="BC139" s="284"/>
      <c r="BD139" s="284"/>
      <c r="BE139" s="284"/>
      <c r="BF139" s="284"/>
      <c r="BG139" s="284"/>
      <c r="BH139" s="284"/>
      <c r="BI139" s="284"/>
      <c r="BJ139" s="284"/>
      <c r="BK139" s="284"/>
      <c r="BL139" s="284"/>
      <c r="BM139" s="284"/>
      <c r="BN139" s="284"/>
      <c r="BO139" s="284"/>
      <c r="BP139" s="284"/>
      <c r="BQ139" s="284"/>
      <c r="BR139" s="284"/>
      <c r="BS139" s="284"/>
      <c r="BT139" s="284"/>
      <c r="BU139" s="284"/>
      <c r="BV139" s="284"/>
      <c r="BW139" s="284"/>
      <c r="BX139" s="284"/>
      <c r="BY139" s="284"/>
      <c r="BZ139" s="284"/>
      <c r="CA139" s="284"/>
      <c r="CB139" s="284"/>
      <c r="CC139" s="284"/>
      <c r="CD139" s="284"/>
      <c r="CE139" s="284"/>
      <c r="CF139" s="284"/>
      <c r="CG139" s="284"/>
    </row>
    <row r="140" spans="1:85" x14ac:dyDescent="0.35">
      <c r="A140" s="284" t="s">
        <v>12113</v>
      </c>
      <c r="B140" s="284" t="s">
        <v>12114</v>
      </c>
      <c r="C140" s="284" t="s">
        <v>13896</v>
      </c>
      <c r="D140" s="284" t="s">
        <v>13110</v>
      </c>
      <c r="E140" s="284" t="s">
        <v>13023</v>
      </c>
      <c r="F140" s="284" t="s">
        <v>13112</v>
      </c>
      <c r="G140" s="284" t="s">
        <v>13114</v>
      </c>
      <c r="H140" s="284" t="s">
        <v>13897</v>
      </c>
      <c r="I140" s="284" t="s">
        <v>13318</v>
      </c>
      <c r="J140" s="284" t="s">
        <v>13358</v>
      </c>
      <c r="K140" s="284" t="s">
        <v>13211</v>
      </c>
      <c r="L140" s="284" t="s">
        <v>13000</v>
      </c>
      <c r="M140" s="284" t="s">
        <v>13212</v>
      </c>
      <c r="N140" s="284" t="s">
        <v>13117</v>
      </c>
      <c r="O140" s="284" t="s">
        <v>13098</v>
      </c>
      <c r="P140" s="284" t="s">
        <v>13898</v>
      </c>
      <c r="Q140" s="284" t="s">
        <v>13384</v>
      </c>
      <c r="R140" s="284" t="s">
        <v>13001</v>
      </c>
      <c r="S140" s="284" t="s">
        <v>13215</v>
      </c>
      <c r="T140" s="284" t="s">
        <v>13003</v>
      </c>
      <c r="U140" s="284" t="s">
        <v>13337</v>
      </c>
      <c r="V140" s="284" t="s">
        <v>13004</v>
      </c>
      <c r="W140" s="284" t="s">
        <v>13124</v>
      </c>
      <c r="X140" s="284" t="s">
        <v>13899</v>
      </c>
      <c r="Y140" s="284" t="s">
        <v>13900</v>
      </c>
      <c r="Z140" s="284" t="s">
        <v>13855</v>
      </c>
      <c r="AA140" s="284" t="s">
        <v>13901</v>
      </c>
      <c r="AB140" s="284" t="s">
        <v>13902</v>
      </c>
      <c r="AC140" s="284" t="s">
        <v>13100</v>
      </c>
      <c r="AD140" s="284" t="s">
        <v>13005</v>
      </c>
      <c r="AE140" s="284" t="s">
        <v>13029</v>
      </c>
      <c r="AF140" s="284" t="s">
        <v>13577</v>
      </c>
      <c r="AG140" s="284" t="s">
        <v>13903</v>
      </c>
      <c r="AH140" s="284" t="s">
        <v>13006</v>
      </c>
      <c r="AI140" s="284" t="s">
        <v>13007</v>
      </c>
      <c r="AJ140" s="284" t="s">
        <v>13904</v>
      </c>
      <c r="AK140" s="284" t="s">
        <v>13718</v>
      </c>
      <c r="AL140" s="284" t="s">
        <v>13103</v>
      </c>
      <c r="AM140" s="284" t="s">
        <v>13054</v>
      </c>
      <c r="AN140" s="284" t="s">
        <v>13055</v>
      </c>
      <c r="AO140" s="284" t="s">
        <v>13104</v>
      </c>
      <c r="AP140" s="284" t="s">
        <v>13218</v>
      </c>
      <c r="AQ140" s="284" t="s">
        <v>13386</v>
      </c>
      <c r="AR140" s="284" t="s">
        <v>13831</v>
      </c>
      <c r="AS140" s="284" t="s">
        <v>13033</v>
      </c>
      <c r="AT140" s="284" t="s">
        <v>13578</v>
      </c>
      <c r="AU140" s="284" t="s">
        <v>13037</v>
      </c>
      <c r="AV140" s="284" t="s">
        <v>13039</v>
      </c>
      <c r="AW140" s="284" t="s">
        <v>13009</v>
      </c>
      <c r="AX140" s="284" t="s">
        <v>13011</v>
      </c>
      <c r="AY140" s="284" t="s">
        <v>13041</v>
      </c>
      <c r="AZ140" s="284" t="s">
        <v>13137</v>
      </c>
      <c r="BA140" s="284" t="s">
        <v>13443</v>
      </c>
      <c r="BB140" s="284" t="s">
        <v>13306</v>
      </c>
      <c r="BC140" s="284" t="s">
        <v>13905</v>
      </c>
      <c r="BD140" s="284" t="s">
        <v>13344</v>
      </c>
      <c r="BE140" s="284" t="s">
        <v>13906</v>
      </c>
      <c r="BF140" s="284" t="s">
        <v>13907</v>
      </c>
      <c r="BG140" s="284" t="s">
        <v>13042</v>
      </c>
      <c r="BH140" s="284" t="s">
        <v>13062</v>
      </c>
      <c r="BI140" s="284"/>
      <c r="BJ140" s="284"/>
      <c r="BK140" s="284"/>
      <c r="BL140" s="284"/>
      <c r="BM140" s="284"/>
      <c r="BN140" s="284"/>
      <c r="BO140" s="284"/>
      <c r="BP140" s="284"/>
      <c r="BQ140" s="284"/>
      <c r="BR140" s="284"/>
      <c r="BS140" s="284"/>
      <c r="BT140" s="284"/>
      <c r="BU140" s="284"/>
      <c r="BV140" s="284"/>
      <c r="BW140" s="284"/>
      <c r="BX140" s="284"/>
      <c r="BY140" s="284"/>
      <c r="BZ140" s="284"/>
      <c r="CA140" s="284"/>
      <c r="CB140" s="284"/>
      <c r="CC140" s="284"/>
      <c r="CD140" s="284"/>
      <c r="CE140" s="284"/>
      <c r="CF140" s="284"/>
    </row>
    <row r="141" spans="1:85" x14ac:dyDescent="0.35">
      <c r="A141" s="284" t="s">
        <v>7870</v>
      </c>
      <c r="B141" s="284" t="s">
        <v>7871</v>
      </c>
      <c r="C141" t="s">
        <v>13908</v>
      </c>
      <c r="D141" s="284" t="s">
        <v>13021</v>
      </c>
      <c r="E141" s="284" t="s">
        <v>13235</v>
      </c>
      <c r="F141" s="284" t="s">
        <v>13237</v>
      </c>
      <c r="G141" s="284" t="s">
        <v>13000</v>
      </c>
      <c r="H141" s="284" t="s">
        <v>13099</v>
      </c>
      <c r="I141" s="284" t="s">
        <v>13243</v>
      </c>
      <c r="J141" s="284" t="s">
        <v>13028</v>
      </c>
      <c r="K141" s="284" t="s">
        <v>13003</v>
      </c>
      <c r="L141" s="284" t="s">
        <v>13066</v>
      </c>
      <c r="M141" s="284" t="s">
        <v>13006</v>
      </c>
      <c r="N141" s="284" t="s">
        <v>13248</v>
      </c>
      <c r="O141" s="284" t="s">
        <v>13008</v>
      </c>
      <c r="P141" s="284" t="s">
        <v>13077</v>
      </c>
      <c r="Q141" s="284" t="s">
        <v>13035</v>
      </c>
      <c r="R141" s="284" t="s">
        <v>13009</v>
      </c>
      <c r="S141" s="284" t="s">
        <v>13258</v>
      </c>
      <c r="T141" s="284" t="s">
        <v>13012</v>
      </c>
      <c r="U141" s="284" t="s">
        <v>13449</v>
      </c>
      <c r="V141" s="284" t="s">
        <v>13042</v>
      </c>
      <c r="W141" s="284" t="s">
        <v>13451</v>
      </c>
      <c r="X141" s="284" t="s">
        <v>13608</v>
      </c>
      <c r="Y141" s="284" t="s">
        <v>13264</v>
      </c>
      <c r="Z141" s="284" t="s">
        <v>13267</v>
      </c>
      <c r="AA141" s="284" t="s">
        <v>13286</v>
      </c>
      <c r="AB141" s="284"/>
      <c r="AC141" s="284"/>
      <c r="AD141" s="284"/>
      <c r="AE141" s="284"/>
      <c r="AF141" s="284"/>
      <c r="AG141" s="284"/>
      <c r="AH141" s="284"/>
      <c r="AI141" s="284"/>
      <c r="AJ141" s="284"/>
      <c r="AK141" s="284"/>
      <c r="AL141" s="284"/>
      <c r="AM141" s="284"/>
      <c r="AN141" s="284"/>
      <c r="AO141" s="284"/>
      <c r="AP141" s="284"/>
      <c r="AQ141" s="284"/>
      <c r="AR141" s="284"/>
      <c r="AS141" s="284"/>
      <c r="AT141" s="284"/>
      <c r="AU141" s="284"/>
      <c r="AV141" s="284"/>
      <c r="AW141" s="284"/>
      <c r="AX141" s="284"/>
      <c r="AY141" s="284"/>
      <c r="AZ141" s="284"/>
      <c r="BA141" s="284"/>
      <c r="BB141" s="284"/>
      <c r="BC141" s="284"/>
      <c r="BD141" s="284"/>
      <c r="BE141" s="284"/>
      <c r="BF141" s="284"/>
      <c r="BG141" s="284"/>
      <c r="BH141" s="284"/>
      <c r="BI141" s="284"/>
      <c r="BJ141" s="284"/>
      <c r="BK141" s="284"/>
      <c r="BL141" s="284"/>
      <c r="BM141" s="284"/>
      <c r="BN141" s="284"/>
      <c r="BO141" s="284"/>
      <c r="BP141" s="284"/>
      <c r="BQ141" s="284"/>
      <c r="BR141" s="284"/>
      <c r="BS141" s="284"/>
      <c r="BT141" s="284"/>
      <c r="BU141" s="284"/>
      <c r="BV141" s="284"/>
      <c r="BW141" s="284"/>
      <c r="BX141" s="284"/>
      <c r="BY141" s="284"/>
      <c r="BZ141" s="284"/>
      <c r="CA141" s="284"/>
      <c r="CB141" s="284"/>
      <c r="CC141" s="284"/>
      <c r="CD141" s="284"/>
      <c r="CE141" s="284"/>
      <c r="CF141" s="284"/>
      <c r="CG141" s="284"/>
    </row>
    <row r="142" spans="1:85" x14ac:dyDescent="0.35">
      <c r="A142" s="284" t="s">
        <v>6789</v>
      </c>
      <c r="B142" s="284" t="s">
        <v>6790</v>
      </c>
      <c r="C142" t="s">
        <v>13909</v>
      </c>
      <c r="D142" s="284" t="s">
        <v>13064</v>
      </c>
      <c r="E142" s="284" t="s">
        <v>13021</v>
      </c>
      <c r="F142" s="284" t="s">
        <v>13022</v>
      </c>
      <c r="G142" s="284" t="s">
        <v>13023</v>
      </c>
      <c r="H142" s="284" t="s">
        <v>13065</v>
      </c>
      <c r="I142" s="284" t="s">
        <v>13024</v>
      </c>
      <c r="J142" s="284" t="s">
        <v>13025</v>
      </c>
      <c r="K142" s="284" t="s">
        <v>13027</v>
      </c>
      <c r="L142" s="284" t="s">
        <v>13066</v>
      </c>
      <c r="M142" s="284" t="s">
        <v>13651</v>
      </c>
      <c r="N142" s="284" t="s">
        <v>13910</v>
      </c>
      <c r="O142" s="284" t="s">
        <v>13911</v>
      </c>
      <c r="P142" s="284" t="s">
        <v>13029</v>
      </c>
      <c r="Q142" s="284" t="s">
        <v>13162</v>
      </c>
      <c r="R142" s="284" t="s">
        <v>13030</v>
      </c>
      <c r="S142" s="284" t="s">
        <v>13068</v>
      </c>
      <c r="T142" s="284" t="s">
        <v>13033</v>
      </c>
      <c r="U142" s="284" t="s">
        <v>13034</v>
      </c>
      <c r="V142" s="284" t="s">
        <v>13035</v>
      </c>
      <c r="W142" s="284" t="s">
        <v>13036</v>
      </c>
      <c r="X142" s="284" t="s">
        <v>13037</v>
      </c>
      <c r="Y142" s="284" t="s">
        <v>13009</v>
      </c>
      <c r="Z142" s="284" t="s">
        <v>13285</v>
      </c>
      <c r="AA142" s="284" t="s">
        <v>13016</v>
      </c>
      <c r="AB142" s="284"/>
      <c r="AC142" s="284"/>
      <c r="AD142" s="284"/>
      <c r="AE142" s="284"/>
      <c r="AF142" s="284"/>
      <c r="AG142" s="284"/>
      <c r="AH142" s="284"/>
      <c r="AI142" s="284"/>
      <c r="AJ142" s="284"/>
      <c r="AK142" s="284"/>
      <c r="AL142" s="284"/>
      <c r="AM142" s="284"/>
      <c r="AN142" s="284"/>
      <c r="AO142" s="284"/>
      <c r="AP142" s="284"/>
      <c r="AQ142" s="284"/>
      <c r="AR142" s="284"/>
      <c r="AS142" s="284"/>
      <c r="AT142" s="284"/>
      <c r="AU142" s="284"/>
      <c r="AV142" s="284"/>
      <c r="AW142" s="284"/>
      <c r="AX142" s="284"/>
      <c r="AY142" s="284"/>
      <c r="AZ142" s="284"/>
      <c r="BA142" s="284"/>
      <c r="BB142" s="284"/>
      <c r="BC142" s="284"/>
      <c r="BD142" s="284"/>
      <c r="BE142" s="284"/>
      <c r="BF142" s="284"/>
      <c r="BG142" s="284"/>
      <c r="BH142" s="284"/>
      <c r="BI142" s="284"/>
      <c r="BJ142" s="284"/>
      <c r="BK142" s="284"/>
      <c r="BL142" s="284"/>
      <c r="BM142" s="284"/>
      <c r="BN142" s="284"/>
      <c r="BO142" s="284"/>
      <c r="BP142" s="284"/>
      <c r="BQ142" s="284"/>
      <c r="BR142" s="284"/>
      <c r="BS142" s="284"/>
      <c r="BT142" s="284"/>
      <c r="BU142" s="284"/>
      <c r="BV142" s="284"/>
      <c r="BW142" s="284"/>
      <c r="BX142" s="284"/>
      <c r="BY142" s="284"/>
      <c r="BZ142" s="284"/>
      <c r="CA142" s="284"/>
      <c r="CB142" s="284"/>
      <c r="CC142" s="284"/>
      <c r="CD142" s="284"/>
      <c r="CE142" s="284"/>
      <c r="CF142" s="284"/>
      <c r="CG142" s="284"/>
    </row>
    <row r="143" spans="1:85" x14ac:dyDescent="0.35">
      <c r="A143" s="284" t="s">
        <v>10142</v>
      </c>
      <c r="B143" s="284" t="s">
        <v>10143</v>
      </c>
      <c r="C143" t="s">
        <v>13912</v>
      </c>
      <c r="D143" s="284" t="s">
        <v>13020</v>
      </c>
      <c r="E143" s="284" t="s">
        <v>13913</v>
      </c>
      <c r="F143" s="284" t="s">
        <v>13023</v>
      </c>
      <c r="G143" s="284" t="s">
        <v>13279</v>
      </c>
      <c r="H143" s="284" t="s">
        <v>13065</v>
      </c>
      <c r="I143" s="284" t="s">
        <v>13914</v>
      </c>
      <c r="J143" s="284" t="s">
        <v>13915</v>
      </c>
      <c r="K143" s="284" t="s">
        <v>13273</v>
      </c>
      <c r="L143" s="284" t="s">
        <v>13916</v>
      </c>
      <c r="M143" s="284" t="s">
        <v>13917</v>
      </c>
      <c r="N143" s="284" t="s">
        <v>13918</v>
      </c>
      <c r="O143" s="284" t="s">
        <v>13835</v>
      </c>
      <c r="P143" s="284" t="s">
        <v>13919</v>
      </c>
      <c r="Q143" s="284" t="s">
        <v>13238</v>
      </c>
      <c r="R143" s="284" t="s">
        <v>13920</v>
      </c>
      <c r="S143" s="284" t="s">
        <v>13921</v>
      </c>
      <c r="T143" s="284" t="s">
        <v>13922</v>
      </c>
      <c r="U143" s="284" t="s">
        <v>13923</v>
      </c>
      <c r="V143" s="284" t="s">
        <v>13085</v>
      </c>
      <c r="W143" s="284" t="s">
        <v>13099</v>
      </c>
      <c r="X143" s="284" t="s">
        <v>13924</v>
      </c>
      <c r="Y143" s="284" t="s">
        <v>13049</v>
      </c>
      <c r="Z143" s="284" t="s">
        <v>13168</v>
      </c>
      <c r="AA143" s="284" t="s">
        <v>13027</v>
      </c>
      <c r="AB143" s="284" t="s">
        <v>13925</v>
      </c>
      <c r="AC143" s="284" t="s">
        <v>13149</v>
      </c>
      <c r="AD143" s="284" t="s">
        <v>13926</v>
      </c>
      <c r="AE143" s="284" t="s">
        <v>13515</v>
      </c>
      <c r="AF143" s="284" t="s">
        <v>13927</v>
      </c>
      <c r="AG143" s="284" t="s">
        <v>13028</v>
      </c>
      <c r="AH143" s="284" t="s">
        <v>13160</v>
      </c>
      <c r="AI143" s="284" t="s">
        <v>13928</v>
      </c>
      <c r="AJ143" s="284" t="s">
        <v>13929</v>
      </c>
      <c r="AK143" s="284" t="s">
        <v>13003</v>
      </c>
      <c r="AL143" s="284" t="s">
        <v>13066</v>
      </c>
      <c r="AM143" s="284" t="s">
        <v>13930</v>
      </c>
      <c r="AN143" s="284" t="s">
        <v>13931</v>
      </c>
      <c r="AO143" s="284" t="s">
        <v>13932</v>
      </c>
      <c r="AP143" s="284" t="s">
        <v>13933</v>
      </c>
      <c r="AQ143" s="284" t="s">
        <v>13934</v>
      </c>
      <c r="AR143" s="284" t="s">
        <v>13935</v>
      </c>
      <c r="AS143" s="284" t="s">
        <v>13744</v>
      </c>
      <c r="AT143" s="284" t="s">
        <v>13936</v>
      </c>
      <c r="AU143" s="284" t="s">
        <v>13937</v>
      </c>
      <c r="AV143" s="284" t="s">
        <v>13284</v>
      </c>
      <c r="AW143" s="284" t="s">
        <v>13516</v>
      </c>
      <c r="AX143" s="284" t="s">
        <v>13938</v>
      </c>
      <c r="AY143" s="284" t="s">
        <v>13486</v>
      </c>
      <c r="AZ143" s="284" t="s">
        <v>13276</v>
      </c>
      <c r="BA143" s="284" t="s">
        <v>13032</v>
      </c>
      <c r="BB143" s="284" t="s">
        <v>13939</v>
      </c>
      <c r="BC143" s="284" t="s">
        <v>13033</v>
      </c>
      <c r="BD143" s="284" t="s">
        <v>13034</v>
      </c>
      <c r="BE143" s="284" t="s">
        <v>13487</v>
      </c>
      <c r="BF143" s="284" t="s">
        <v>13838</v>
      </c>
      <c r="BG143" s="284" t="s">
        <v>13940</v>
      </c>
      <c r="BH143" s="284" t="s">
        <v>13941</v>
      </c>
      <c r="BI143" s="284" t="s">
        <v>13036</v>
      </c>
      <c r="BJ143" s="284" t="s">
        <v>13942</v>
      </c>
      <c r="BK143" s="284" t="s">
        <v>13839</v>
      </c>
      <c r="BL143" s="284" t="s">
        <v>13277</v>
      </c>
      <c r="BM143" s="284" t="s">
        <v>13037</v>
      </c>
      <c r="BN143" s="284" t="s">
        <v>13136</v>
      </c>
      <c r="BO143" s="284" t="s">
        <v>13943</v>
      </c>
      <c r="BP143" s="284" t="s">
        <v>13078</v>
      </c>
      <c r="BQ143" s="284" t="s">
        <v>13091</v>
      </c>
      <c r="BR143" s="284" t="s">
        <v>13009</v>
      </c>
      <c r="BS143" s="284" t="s">
        <v>13944</v>
      </c>
      <c r="BT143" s="284" t="s">
        <v>13945</v>
      </c>
      <c r="BU143" s="284" t="s">
        <v>13946</v>
      </c>
      <c r="BV143" s="284" t="s">
        <v>13947</v>
      </c>
      <c r="BW143" s="284" t="s">
        <v>13948</v>
      </c>
      <c r="BX143" s="284" t="s">
        <v>13491</v>
      </c>
      <c r="BY143" s="284" t="s">
        <v>13042</v>
      </c>
      <c r="BZ143" s="284" t="s">
        <v>13949</v>
      </c>
      <c r="CA143" s="284" t="s">
        <v>13493</v>
      </c>
      <c r="CB143" s="284" t="s">
        <v>13222</v>
      </c>
      <c r="CC143" s="284" t="s">
        <v>13156</v>
      </c>
      <c r="CD143" s="284" t="s">
        <v>13950</v>
      </c>
      <c r="CE143" s="284" t="s">
        <v>13286</v>
      </c>
      <c r="CF143" s="284"/>
      <c r="CG143" s="284"/>
    </row>
    <row r="144" spans="1:85" x14ac:dyDescent="0.35">
      <c r="A144" s="284" t="s">
        <v>1518</v>
      </c>
      <c r="B144" s="284" t="s">
        <v>1519</v>
      </c>
      <c r="C144" t="s">
        <v>13951</v>
      </c>
      <c r="D144" s="284" t="s">
        <v>13021</v>
      </c>
      <c r="E144" s="284" t="s">
        <v>13022</v>
      </c>
      <c r="F144" s="284" t="s">
        <v>13023</v>
      </c>
      <c r="G144" s="284" t="s">
        <v>13952</v>
      </c>
      <c r="H144" s="284" t="s">
        <v>13000</v>
      </c>
      <c r="I144" s="284" t="s">
        <v>13050</v>
      </c>
      <c r="J144" s="284" t="s">
        <v>13028</v>
      </c>
      <c r="K144" s="284" t="s">
        <v>13199</v>
      </c>
      <c r="L144" s="284" t="s">
        <v>13002</v>
      </c>
      <c r="M144" s="284" t="s">
        <v>13200</v>
      </c>
      <c r="N144" s="284" t="s">
        <v>13953</v>
      </c>
      <c r="O144" s="284" t="s">
        <v>13201</v>
      </c>
      <c r="P144" s="284" t="s">
        <v>13005</v>
      </c>
      <c r="Q144" s="284" t="s">
        <v>13463</v>
      </c>
      <c r="R144" s="284" t="s">
        <v>13006</v>
      </c>
      <c r="S144" s="284" t="s">
        <v>13103</v>
      </c>
      <c r="T144" s="284" t="s">
        <v>13636</v>
      </c>
      <c r="U144" s="284" t="s">
        <v>13135</v>
      </c>
      <c r="V144" s="284" t="s">
        <v>13104</v>
      </c>
      <c r="W144" s="284" t="s">
        <v>13033</v>
      </c>
      <c r="X144" s="284" t="s">
        <v>13034</v>
      </c>
      <c r="Y144" s="284" t="s">
        <v>13038</v>
      </c>
      <c r="Z144" s="284" t="s">
        <v>13009</v>
      </c>
      <c r="AA144" s="284" t="s">
        <v>13203</v>
      </c>
      <c r="AB144" s="284" t="s">
        <v>13011</v>
      </c>
      <c r="AC144" s="284" t="s">
        <v>13012</v>
      </c>
      <c r="AD144" s="284" t="s">
        <v>13138</v>
      </c>
      <c r="AE144" s="284" t="s">
        <v>13014</v>
      </c>
      <c r="AF144" s="284" t="s">
        <v>13165</v>
      </c>
      <c r="AG144" s="284" t="s">
        <v>13144</v>
      </c>
      <c r="AH144" s="284" t="s">
        <v>13207</v>
      </c>
      <c r="AI144" s="284"/>
      <c r="AJ144" s="284"/>
      <c r="AK144" s="284"/>
      <c r="AL144" s="284"/>
      <c r="AM144" s="284"/>
      <c r="AN144" s="284"/>
      <c r="AO144" s="284"/>
      <c r="AP144" s="284"/>
      <c r="AQ144" s="284"/>
      <c r="AR144" s="284"/>
      <c r="AS144" s="284"/>
      <c r="AT144" s="284"/>
      <c r="AU144" s="284"/>
      <c r="AV144" s="284"/>
      <c r="AW144" s="284"/>
      <c r="AX144" s="284"/>
      <c r="AY144" s="284"/>
      <c r="AZ144" s="284"/>
      <c r="BA144" s="284"/>
      <c r="BB144" s="284"/>
      <c r="BC144" s="284"/>
      <c r="BD144" s="284"/>
      <c r="BE144" s="284"/>
      <c r="BF144" s="284"/>
      <c r="BG144" s="284"/>
      <c r="BH144" s="284"/>
      <c r="BI144" s="284"/>
      <c r="BJ144" s="284"/>
      <c r="BK144" s="284"/>
      <c r="BL144" s="284"/>
      <c r="BM144" s="284"/>
      <c r="BN144" s="284"/>
      <c r="BO144" s="284"/>
      <c r="BP144" s="284"/>
      <c r="BQ144" s="284"/>
      <c r="BR144" s="284"/>
      <c r="BS144" s="284"/>
      <c r="BT144" s="284"/>
      <c r="BU144" s="284"/>
      <c r="BV144" s="284"/>
      <c r="BW144" s="284"/>
      <c r="BX144" s="284"/>
      <c r="BY144" s="284"/>
      <c r="BZ144" s="284"/>
      <c r="CA144" s="284"/>
      <c r="CB144" s="284"/>
      <c r="CC144" s="284"/>
      <c r="CD144" s="284"/>
      <c r="CE144" s="284"/>
      <c r="CF144" s="284"/>
      <c r="CG144" s="284"/>
    </row>
    <row r="145" spans="1:85" x14ac:dyDescent="0.35">
      <c r="A145" s="284" t="s">
        <v>5635</v>
      </c>
      <c r="B145" s="284" t="s">
        <v>5636</v>
      </c>
      <c r="C145" t="s">
        <v>13954</v>
      </c>
      <c r="D145" s="284" t="s">
        <v>13955</v>
      </c>
      <c r="E145" s="284" t="s">
        <v>13021</v>
      </c>
      <c r="F145" s="284" t="s">
        <v>13956</v>
      </c>
      <c r="G145" s="284" t="s">
        <v>13023</v>
      </c>
      <c r="H145" s="284" t="s">
        <v>13082</v>
      </c>
      <c r="I145" s="284" t="s">
        <v>13000</v>
      </c>
      <c r="J145" s="284" t="s">
        <v>13074</v>
      </c>
      <c r="K145" s="284" t="s">
        <v>13049</v>
      </c>
      <c r="L145" s="284" t="s">
        <v>13027</v>
      </c>
      <c r="M145" s="284" t="s">
        <v>13075</v>
      </c>
      <c r="N145" s="284" t="s">
        <v>13602</v>
      </c>
      <c r="O145" s="284" t="s">
        <v>13603</v>
      </c>
      <c r="P145" s="284" t="s">
        <v>13028</v>
      </c>
      <c r="Q145" s="284" t="s">
        <v>13160</v>
      </c>
      <c r="R145" s="284" t="s">
        <v>13002</v>
      </c>
      <c r="S145" s="284" t="s">
        <v>13003</v>
      </c>
      <c r="T145" s="284" t="s">
        <v>13004</v>
      </c>
      <c r="U145" s="284" t="s">
        <v>13066</v>
      </c>
      <c r="V145" s="284" t="s">
        <v>13005</v>
      </c>
      <c r="W145" s="284" t="s">
        <v>13029</v>
      </c>
      <c r="X145" s="284" t="s">
        <v>13007</v>
      </c>
      <c r="Y145" s="284" t="s">
        <v>13340</v>
      </c>
      <c r="Z145" s="284" t="s">
        <v>13957</v>
      </c>
      <c r="AA145" s="284" t="s">
        <v>13958</v>
      </c>
      <c r="AB145" s="284" t="s">
        <v>13008</v>
      </c>
      <c r="AC145" s="284" t="s">
        <v>13077</v>
      </c>
      <c r="AD145" s="284" t="s">
        <v>13959</v>
      </c>
      <c r="AE145" s="284" t="s">
        <v>13033</v>
      </c>
      <c r="AF145" s="284" t="s">
        <v>13034</v>
      </c>
      <c r="AG145" s="284" t="s">
        <v>13037</v>
      </c>
      <c r="AH145" s="284" t="s">
        <v>13038</v>
      </c>
      <c r="AI145" s="284" t="s">
        <v>13039</v>
      </c>
      <c r="AJ145" s="284" t="s">
        <v>13009</v>
      </c>
      <c r="AK145" s="284" t="s">
        <v>13960</v>
      </c>
      <c r="AL145" s="284" t="s">
        <v>13011</v>
      </c>
      <c r="AM145" s="284" t="s">
        <v>13041</v>
      </c>
      <c r="AN145" s="284" t="s">
        <v>13961</v>
      </c>
      <c r="AO145" s="284" t="s">
        <v>13042</v>
      </c>
      <c r="AP145" s="284" t="s">
        <v>13079</v>
      </c>
      <c r="AQ145" s="284" t="s">
        <v>13222</v>
      </c>
      <c r="AR145" s="284" t="s">
        <v>13080</v>
      </c>
      <c r="AS145" s="284" t="s">
        <v>13962</v>
      </c>
      <c r="AT145" s="284" t="s">
        <v>13144</v>
      </c>
      <c r="AU145" s="284"/>
      <c r="AV145" s="284"/>
      <c r="AW145" s="284"/>
      <c r="AX145" s="284"/>
      <c r="AY145" s="284"/>
      <c r="AZ145" s="284"/>
      <c r="BA145" s="284"/>
      <c r="BB145" s="284"/>
      <c r="BC145" s="284"/>
      <c r="BD145" s="284"/>
      <c r="BE145" s="284"/>
      <c r="BF145" s="284"/>
      <c r="BG145" s="284"/>
      <c r="BH145" s="284"/>
      <c r="BI145" s="284"/>
      <c r="BJ145" s="284"/>
      <c r="BK145" s="284"/>
      <c r="BL145" s="284"/>
      <c r="BM145" s="284"/>
      <c r="BN145" s="284"/>
      <c r="BO145" s="284"/>
      <c r="BP145" s="284"/>
      <c r="BQ145" s="284"/>
      <c r="BR145" s="284"/>
      <c r="BS145" s="284"/>
      <c r="BT145" s="284"/>
      <c r="BU145" s="284"/>
      <c r="BV145" s="284"/>
      <c r="BW145" s="284"/>
      <c r="BX145" s="284"/>
      <c r="BY145" s="284"/>
      <c r="BZ145" s="284"/>
      <c r="CA145" s="284"/>
      <c r="CB145" s="284"/>
      <c r="CC145" s="284"/>
      <c r="CD145" s="284"/>
      <c r="CE145" s="284"/>
      <c r="CF145" s="284"/>
      <c r="CG145" s="284"/>
    </row>
    <row r="146" spans="1:85" x14ac:dyDescent="0.35">
      <c r="A146" s="284" t="s">
        <v>4339</v>
      </c>
      <c r="B146" s="284" t="s">
        <v>4340</v>
      </c>
      <c r="C146" t="s">
        <v>13963</v>
      </c>
      <c r="D146" s="284" t="s">
        <v>13083</v>
      </c>
      <c r="E146" s="284" t="s">
        <v>13084</v>
      </c>
      <c r="F146" s="284" t="s">
        <v>13074</v>
      </c>
      <c r="G146" s="284" t="s">
        <v>13086</v>
      </c>
      <c r="H146" s="284" t="s">
        <v>13050</v>
      </c>
      <c r="I146" s="284" t="s">
        <v>13028</v>
      </c>
      <c r="J146" s="284" t="s">
        <v>13178</v>
      </c>
      <c r="K146" s="284" t="s">
        <v>13076</v>
      </c>
      <c r="L146" s="284" t="s">
        <v>13331</v>
      </c>
      <c r="M146" s="284" t="s">
        <v>13005</v>
      </c>
      <c r="N146" s="284" t="s">
        <v>13029</v>
      </c>
      <c r="O146" s="284" t="s">
        <v>13964</v>
      </c>
      <c r="P146" s="284" t="s">
        <v>13006</v>
      </c>
      <c r="Q146" s="284" t="s">
        <v>13007</v>
      </c>
      <c r="R146" s="284" t="s">
        <v>13054</v>
      </c>
      <c r="S146" s="284" t="s">
        <v>13104</v>
      </c>
      <c r="T146" s="284" t="s">
        <v>13033</v>
      </c>
      <c r="U146" s="284" t="s">
        <v>13037</v>
      </c>
      <c r="V146" s="284" t="s">
        <v>13038</v>
      </c>
      <c r="W146" s="284" t="s">
        <v>13039</v>
      </c>
      <c r="X146" s="284" t="s">
        <v>13078</v>
      </c>
      <c r="Y146" s="284" t="s">
        <v>13009</v>
      </c>
      <c r="Z146" s="284" t="s">
        <v>13041</v>
      </c>
      <c r="AA146" s="284" t="s">
        <v>13106</v>
      </c>
      <c r="AB146" s="284"/>
      <c r="AC146" s="284"/>
      <c r="AD146" s="284"/>
      <c r="AE146" s="284"/>
      <c r="AF146" s="284"/>
      <c r="AG146" s="284"/>
      <c r="AH146" s="284"/>
      <c r="AI146" s="284"/>
      <c r="AJ146" s="284"/>
      <c r="AK146" s="284"/>
      <c r="AL146" s="284"/>
      <c r="AM146" s="284"/>
      <c r="AN146" s="284"/>
      <c r="AO146" s="284"/>
      <c r="AP146" s="284"/>
      <c r="AQ146" s="284"/>
      <c r="AR146" s="284"/>
      <c r="AS146" s="284"/>
      <c r="AT146" s="284"/>
      <c r="AU146" s="284"/>
      <c r="AV146" s="284"/>
      <c r="AW146" s="284"/>
      <c r="AX146" s="284"/>
      <c r="AY146" s="284"/>
      <c r="AZ146" s="284"/>
      <c r="BA146" s="284"/>
      <c r="BB146" s="284"/>
      <c r="BC146" s="284"/>
      <c r="BD146" s="284"/>
      <c r="BE146" s="284"/>
      <c r="BF146" s="284"/>
      <c r="BG146" s="284"/>
      <c r="BH146" s="284"/>
      <c r="BI146" s="284"/>
      <c r="BJ146" s="284"/>
      <c r="BK146" s="284"/>
      <c r="BL146" s="284"/>
      <c r="BM146" s="284"/>
      <c r="BN146" s="284"/>
      <c r="BO146" s="284"/>
      <c r="BP146" s="284"/>
      <c r="BQ146" s="284"/>
      <c r="BR146" s="284"/>
      <c r="BS146" s="284"/>
      <c r="BT146" s="284"/>
      <c r="BU146" s="284"/>
      <c r="BV146" s="284"/>
      <c r="BW146" s="284"/>
      <c r="BX146" s="284"/>
      <c r="BY146" s="284"/>
      <c r="BZ146" s="284"/>
      <c r="CA146" s="284"/>
      <c r="CB146" s="284"/>
      <c r="CC146" s="284"/>
      <c r="CD146" s="284"/>
      <c r="CE146" s="284"/>
      <c r="CF146" s="284"/>
      <c r="CG146" s="284"/>
    </row>
    <row r="147" spans="1:85" x14ac:dyDescent="0.35">
      <c r="A147" s="284" t="s">
        <v>9229</v>
      </c>
      <c r="B147" s="284" t="s">
        <v>9230</v>
      </c>
      <c r="C147" t="s">
        <v>13021</v>
      </c>
      <c r="D147" s="284" t="s">
        <v>13023</v>
      </c>
      <c r="E147" s="284" t="s">
        <v>13235</v>
      </c>
      <c r="F147" s="284" t="s">
        <v>13237</v>
      </c>
      <c r="G147" s="284" t="s">
        <v>13049</v>
      </c>
      <c r="H147" s="284" t="s">
        <v>13027</v>
      </c>
      <c r="I147" s="284" t="s">
        <v>13028</v>
      </c>
      <c r="J147" s="284" t="s">
        <v>13003</v>
      </c>
      <c r="K147" s="284" t="s">
        <v>13076</v>
      </c>
      <c r="L147" s="284" t="s">
        <v>13965</v>
      </c>
      <c r="M147" s="284" t="s">
        <v>13035</v>
      </c>
      <c r="N147" s="284" t="s">
        <v>13394</v>
      </c>
      <c r="O147" s="284" t="s">
        <v>13091</v>
      </c>
      <c r="P147" s="284" t="s">
        <v>13009</v>
      </c>
      <c r="Q147" s="284" t="s">
        <v>13012</v>
      </c>
      <c r="R147" s="284" t="s">
        <v>13966</v>
      </c>
      <c r="S147" s="284" t="s">
        <v>13267</v>
      </c>
      <c r="T147" s="284"/>
      <c r="U147" s="284"/>
      <c r="V147" s="284"/>
      <c r="W147" s="284"/>
      <c r="X147" s="284"/>
      <c r="Y147" s="284"/>
      <c r="Z147" s="284"/>
      <c r="AA147" s="284"/>
      <c r="AB147" s="284"/>
      <c r="AC147" s="284"/>
      <c r="AD147" s="284"/>
      <c r="AE147" s="284"/>
      <c r="AF147" s="284"/>
      <c r="AG147" s="284"/>
      <c r="AH147" s="284"/>
      <c r="AI147" s="284"/>
      <c r="AJ147" s="284"/>
      <c r="AK147" s="284"/>
      <c r="AL147" s="284"/>
      <c r="AM147" s="284"/>
      <c r="AN147" s="284"/>
      <c r="AO147" s="284"/>
      <c r="AP147" s="284"/>
      <c r="AQ147" s="284"/>
      <c r="AR147" s="284"/>
      <c r="AS147" s="284"/>
      <c r="AT147" s="284"/>
      <c r="AU147" s="284"/>
      <c r="AV147" s="284"/>
      <c r="AW147" s="284"/>
      <c r="AX147" s="284"/>
      <c r="AY147" s="284"/>
      <c r="AZ147" s="284"/>
      <c r="BA147" s="284"/>
      <c r="BB147" s="284"/>
      <c r="BC147" s="284"/>
      <c r="BD147" s="284"/>
      <c r="BE147" s="284"/>
      <c r="BF147" s="284"/>
      <c r="BG147" s="284"/>
      <c r="BH147" s="284"/>
      <c r="BI147" s="284"/>
      <c r="BJ147" s="284"/>
      <c r="BK147" s="284"/>
      <c r="BL147" s="284"/>
      <c r="BM147" s="284"/>
      <c r="BN147" s="284"/>
      <c r="BO147" s="284"/>
      <c r="BP147" s="284"/>
      <c r="BQ147" s="284"/>
      <c r="BR147" s="284"/>
      <c r="BS147" s="284"/>
      <c r="BT147" s="284"/>
      <c r="BU147" s="284"/>
      <c r="BV147" s="284"/>
      <c r="BW147" s="284"/>
      <c r="BX147" s="284"/>
      <c r="BY147" s="284"/>
      <c r="BZ147" s="284"/>
      <c r="CA147" s="284"/>
      <c r="CB147" s="284"/>
      <c r="CC147" s="284"/>
      <c r="CD147" s="284"/>
      <c r="CE147" s="284"/>
      <c r="CF147" s="284"/>
      <c r="CG147" s="284"/>
    </row>
    <row r="148" spans="1:85" x14ac:dyDescent="0.35">
      <c r="A148" s="284" t="s">
        <v>9768</v>
      </c>
      <c r="B148" s="284" t="s">
        <v>9769</v>
      </c>
      <c r="C148" t="s">
        <v>13967</v>
      </c>
      <c r="D148" s="284" t="s">
        <v>13111</v>
      </c>
      <c r="E148" s="284" t="s">
        <v>13023</v>
      </c>
      <c r="F148" s="284" t="s">
        <v>13968</v>
      </c>
      <c r="G148" s="284" t="s">
        <v>13113</v>
      </c>
      <c r="H148" s="284" t="s">
        <v>13289</v>
      </c>
      <c r="I148" s="284" t="s">
        <v>13407</v>
      </c>
      <c r="J148" s="284" t="s">
        <v>13273</v>
      </c>
      <c r="K148" s="284" t="s">
        <v>13318</v>
      </c>
      <c r="L148" s="284" t="s">
        <v>13000</v>
      </c>
      <c r="M148" s="284" t="s">
        <v>13969</v>
      </c>
      <c r="N148" s="284" t="s">
        <v>13238</v>
      </c>
      <c r="O148" s="284" t="s">
        <v>13574</v>
      </c>
      <c r="P148" s="284" t="s">
        <v>13500</v>
      </c>
      <c r="Q148" s="284" t="s">
        <v>13027</v>
      </c>
      <c r="R148" s="284" t="s">
        <v>13148</v>
      </c>
      <c r="S148" s="284" t="s">
        <v>13001</v>
      </c>
      <c r="T148" s="284" t="s">
        <v>13149</v>
      </c>
      <c r="U148" s="284" t="s">
        <v>13028</v>
      </c>
      <c r="V148" s="284" t="s">
        <v>13160</v>
      </c>
      <c r="W148" s="284" t="s">
        <v>13002</v>
      </c>
      <c r="X148" s="284" t="s">
        <v>13970</v>
      </c>
      <c r="Y148" s="284" t="s">
        <v>13003</v>
      </c>
      <c r="Z148" s="284" t="s">
        <v>13290</v>
      </c>
      <c r="AA148" s="284" t="s">
        <v>13291</v>
      </c>
      <c r="AB148" s="284" t="s">
        <v>13413</v>
      </c>
      <c r="AC148" s="284" t="s">
        <v>13249</v>
      </c>
      <c r="AD148" s="284" t="s">
        <v>13162</v>
      </c>
      <c r="AE148" s="284" t="s">
        <v>13971</v>
      </c>
      <c r="AF148" s="284" t="s">
        <v>13972</v>
      </c>
      <c r="AG148" s="284" t="s">
        <v>13276</v>
      </c>
      <c r="AH148" s="284" t="s">
        <v>13032</v>
      </c>
      <c r="AI148" s="284" t="s">
        <v>13973</v>
      </c>
      <c r="AJ148" s="284" t="s">
        <v>13033</v>
      </c>
      <c r="AK148" s="284" t="s">
        <v>13034</v>
      </c>
      <c r="AL148" s="284" t="s">
        <v>13036</v>
      </c>
      <c r="AM148" s="284" t="s">
        <v>13277</v>
      </c>
      <c r="AN148" s="284" t="s">
        <v>13078</v>
      </c>
      <c r="AO148" s="284" t="s">
        <v>13009</v>
      </c>
      <c r="AP148" s="284" t="s">
        <v>13974</v>
      </c>
      <c r="AQ148" s="284" t="s">
        <v>13489</v>
      </c>
      <c r="AR148" s="284" t="s">
        <v>13106</v>
      </c>
      <c r="AS148" s="284" t="s">
        <v>13975</v>
      </c>
      <c r="AT148" s="284" t="s">
        <v>13014</v>
      </c>
      <c r="AU148" s="284" t="s">
        <v>13042</v>
      </c>
      <c r="AV148" s="284" t="s">
        <v>13222</v>
      </c>
      <c r="AW148" s="284" t="s">
        <v>13061</v>
      </c>
      <c r="AX148" s="284" t="s">
        <v>13156</v>
      </c>
      <c r="AY148" s="284" t="s">
        <v>13495</v>
      </c>
      <c r="AZ148" s="284" t="s">
        <v>13286</v>
      </c>
      <c r="BA148" s="284" t="s">
        <v>13976</v>
      </c>
      <c r="BB148" s="284"/>
      <c r="BC148" s="284"/>
      <c r="BD148" s="284"/>
      <c r="BE148" s="284"/>
      <c r="BF148" s="284"/>
      <c r="BG148" s="284"/>
      <c r="BH148" s="284"/>
      <c r="BI148" s="284"/>
      <c r="BJ148" s="284"/>
      <c r="BK148" s="284"/>
      <c r="BL148" s="284"/>
      <c r="BM148" s="284"/>
      <c r="BN148" s="284"/>
      <c r="BO148" s="284"/>
      <c r="BP148" s="284"/>
      <c r="BQ148" s="284"/>
      <c r="BR148" s="284"/>
      <c r="BS148" s="284"/>
      <c r="BT148" s="284"/>
      <c r="BU148" s="284"/>
      <c r="BV148" s="284"/>
      <c r="BW148" s="284"/>
      <c r="BX148" s="284"/>
      <c r="BY148" s="284"/>
      <c r="BZ148" s="284"/>
      <c r="CA148" s="284"/>
      <c r="CB148" s="284"/>
      <c r="CC148" s="284"/>
      <c r="CD148" s="284"/>
      <c r="CE148" s="284"/>
      <c r="CF148" s="284"/>
      <c r="CG148" s="284"/>
    </row>
    <row r="149" spans="1:85" x14ac:dyDescent="0.35">
      <c r="A149" s="284" t="s">
        <v>7460</v>
      </c>
      <c r="B149" s="284" t="s">
        <v>7461</v>
      </c>
      <c r="C149" t="s">
        <v>13977</v>
      </c>
      <c r="D149" s="284" t="s">
        <v>13064</v>
      </c>
      <c r="E149" s="284" t="s">
        <v>13019</v>
      </c>
      <c r="F149" s="284" t="s">
        <v>13021</v>
      </c>
      <c r="G149" s="284" t="s">
        <v>13022</v>
      </c>
      <c r="H149" s="284" t="s">
        <v>13065</v>
      </c>
      <c r="I149" s="284" t="s">
        <v>13978</v>
      </c>
      <c r="J149" s="284" t="s">
        <v>13024</v>
      </c>
      <c r="K149" s="284" t="s">
        <v>13099</v>
      </c>
      <c r="L149" s="284" t="s">
        <v>13025</v>
      </c>
      <c r="M149" s="284" t="s">
        <v>13027</v>
      </c>
      <c r="N149" s="284" t="s">
        <v>13028</v>
      </c>
      <c r="O149" s="284" t="s">
        <v>13003</v>
      </c>
      <c r="P149" s="284" t="s">
        <v>13066</v>
      </c>
      <c r="Q149" s="284" t="s">
        <v>13067</v>
      </c>
      <c r="R149" s="284" t="s">
        <v>13076</v>
      </c>
      <c r="S149" s="284" t="s">
        <v>13331</v>
      </c>
      <c r="T149" s="284" t="s">
        <v>13029</v>
      </c>
      <c r="U149" s="284" t="s">
        <v>13006</v>
      </c>
      <c r="V149" s="284" t="s">
        <v>13030</v>
      </c>
      <c r="W149" s="284" t="s">
        <v>13068</v>
      </c>
      <c r="X149" s="284" t="s">
        <v>13055</v>
      </c>
      <c r="Y149" s="284" t="s">
        <v>13033</v>
      </c>
      <c r="Z149" s="284" t="s">
        <v>13034</v>
      </c>
      <c r="AA149" s="284" t="s">
        <v>13036</v>
      </c>
      <c r="AB149" s="284" t="s">
        <v>13037</v>
      </c>
      <c r="AC149" s="284" t="s">
        <v>13009</v>
      </c>
      <c r="AD149" s="284" t="s">
        <v>13152</v>
      </c>
      <c r="AE149" s="284" t="s">
        <v>13467</v>
      </c>
      <c r="AF149" s="284" t="s">
        <v>13070</v>
      </c>
      <c r="AG149" s="284" t="s">
        <v>13660</v>
      </c>
      <c r="AH149" s="284"/>
      <c r="AI149" s="284"/>
      <c r="AJ149" s="284"/>
      <c r="AK149" s="284"/>
      <c r="AL149" s="284"/>
      <c r="AM149" s="284"/>
      <c r="AN149" s="284"/>
      <c r="AO149" s="284"/>
      <c r="AP149" s="284"/>
      <c r="AQ149" s="284"/>
      <c r="AR149" s="284"/>
      <c r="AS149" s="284"/>
      <c r="AT149" s="284"/>
      <c r="AU149" s="284"/>
      <c r="AV149" s="284"/>
      <c r="AW149" s="284"/>
      <c r="AX149" s="284"/>
      <c r="AY149" s="284"/>
      <c r="AZ149" s="284"/>
      <c r="BA149" s="284"/>
      <c r="BB149" s="284"/>
      <c r="BC149" s="284"/>
      <c r="BD149" s="284"/>
      <c r="BE149" s="284"/>
      <c r="BF149" s="284"/>
      <c r="BG149" s="284"/>
      <c r="BH149" s="284"/>
      <c r="BI149" s="284"/>
      <c r="BJ149" s="284"/>
      <c r="BK149" s="284"/>
      <c r="BL149" s="284"/>
      <c r="BM149" s="284"/>
      <c r="BN149" s="284"/>
      <c r="BO149" s="284"/>
      <c r="BP149" s="284"/>
      <c r="BQ149" s="284"/>
      <c r="BR149" s="284"/>
      <c r="BS149" s="284"/>
      <c r="BT149" s="284"/>
      <c r="BU149" s="284"/>
      <c r="BV149" s="284"/>
      <c r="BW149" s="284"/>
      <c r="BX149" s="284"/>
      <c r="BY149" s="284"/>
      <c r="BZ149" s="284"/>
      <c r="CA149" s="284"/>
      <c r="CB149" s="284"/>
      <c r="CC149" s="284"/>
      <c r="CD149" s="284"/>
      <c r="CE149" s="284"/>
      <c r="CF149" s="284"/>
      <c r="CG149" s="284"/>
    </row>
    <row r="150" spans="1:85" x14ac:dyDescent="0.35">
      <c r="A150" s="284" t="s">
        <v>1642</v>
      </c>
      <c r="B150" s="284" t="s">
        <v>1643</v>
      </c>
      <c r="C150" t="s">
        <v>13979</v>
      </c>
      <c r="D150" s="284" t="s">
        <v>13021</v>
      </c>
      <c r="E150" s="284" t="s">
        <v>13023</v>
      </c>
      <c r="F150" s="284" t="s">
        <v>13980</v>
      </c>
      <c r="G150" s="284" t="s">
        <v>13000</v>
      </c>
      <c r="H150" s="284" t="s">
        <v>13981</v>
      </c>
      <c r="I150" s="284" t="s">
        <v>13075</v>
      </c>
      <c r="J150" s="284" t="s">
        <v>13001</v>
      </c>
      <c r="K150" s="284" t="s">
        <v>13603</v>
      </c>
      <c r="L150" s="284" t="s">
        <v>13028</v>
      </c>
      <c r="M150" s="284" t="s">
        <v>13002</v>
      </c>
      <c r="N150" s="284" t="s">
        <v>13003</v>
      </c>
      <c r="O150" s="284" t="s">
        <v>13004</v>
      </c>
      <c r="P150" s="284" t="s">
        <v>13066</v>
      </c>
      <c r="Q150" s="284" t="s">
        <v>13982</v>
      </c>
      <c r="R150" s="284" t="s">
        <v>13201</v>
      </c>
      <c r="S150" s="284" t="s">
        <v>13076</v>
      </c>
      <c r="T150" s="284" t="s">
        <v>13331</v>
      </c>
      <c r="U150" s="284" t="s">
        <v>13005</v>
      </c>
      <c r="V150" s="284" t="s">
        <v>13007</v>
      </c>
      <c r="W150" s="284" t="s">
        <v>13054</v>
      </c>
      <c r="X150" s="284" t="s">
        <v>13340</v>
      </c>
      <c r="Y150" s="284" t="s">
        <v>13008</v>
      </c>
      <c r="Z150" s="284" t="s">
        <v>13077</v>
      </c>
      <c r="AA150" s="284" t="s">
        <v>13033</v>
      </c>
      <c r="AB150" s="284" t="s">
        <v>13105</v>
      </c>
      <c r="AC150" s="284" t="s">
        <v>13037</v>
      </c>
      <c r="AD150" s="284" t="s">
        <v>13038</v>
      </c>
      <c r="AE150" s="284" t="s">
        <v>13039</v>
      </c>
      <c r="AF150" s="284" t="s">
        <v>13009</v>
      </c>
      <c r="AG150" s="284" t="s">
        <v>13011</v>
      </c>
      <c r="AH150" s="284" t="s">
        <v>13042</v>
      </c>
      <c r="AI150" s="284" t="s">
        <v>13079</v>
      </c>
      <c r="AJ150" s="284" t="s">
        <v>13080</v>
      </c>
      <c r="AK150" s="284"/>
      <c r="AL150" s="284"/>
      <c r="AM150" s="284"/>
      <c r="AN150" s="284"/>
      <c r="AO150" s="284"/>
      <c r="AP150" s="284"/>
      <c r="AQ150" s="284"/>
      <c r="AR150" s="284"/>
      <c r="AS150" s="284"/>
      <c r="AT150" s="284"/>
      <c r="AU150" s="284"/>
      <c r="AV150" s="284"/>
      <c r="AW150" s="284"/>
      <c r="AX150" s="284"/>
      <c r="AY150" s="284"/>
      <c r="AZ150" s="284"/>
      <c r="BA150" s="284"/>
      <c r="BB150" s="284"/>
      <c r="BC150" s="284"/>
      <c r="BD150" s="284"/>
      <c r="BE150" s="284"/>
      <c r="BF150" s="284"/>
      <c r="BG150" s="284"/>
      <c r="BH150" s="284"/>
      <c r="BI150" s="284"/>
      <c r="BJ150" s="284"/>
      <c r="BK150" s="284"/>
      <c r="BL150" s="284"/>
      <c r="BM150" s="284"/>
      <c r="BN150" s="284"/>
      <c r="BO150" s="284"/>
      <c r="BP150" s="284"/>
      <c r="BQ150" s="284"/>
      <c r="BR150" s="284"/>
      <c r="BS150" s="284"/>
      <c r="BT150" s="284"/>
      <c r="BU150" s="284"/>
      <c r="BV150" s="284"/>
      <c r="BW150" s="284"/>
      <c r="BX150" s="284"/>
      <c r="BY150" s="284"/>
      <c r="BZ150" s="284"/>
      <c r="CA150" s="284"/>
      <c r="CB150" s="284"/>
      <c r="CC150" s="284"/>
      <c r="CD150" s="284"/>
      <c r="CE150" s="284"/>
      <c r="CF150" s="284"/>
      <c r="CG150" s="284"/>
    </row>
    <row r="151" spans="1:85" x14ac:dyDescent="0.35">
      <c r="A151" s="284" t="s">
        <v>6579</v>
      </c>
      <c r="B151" s="284" t="s">
        <v>6580</v>
      </c>
      <c r="C151" t="s">
        <v>13983</v>
      </c>
      <c r="D151" s="284" t="s">
        <v>13021</v>
      </c>
      <c r="E151" s="284" t="s">
        <v>13022</v>
      </c>
      <c r="F151" s="284" t="s">
        <v>13024</v>
      </c>
      <c r="G151" s="284" t="s">
        <v>13074</v>
      </c>
      <c r="H151" s="284" t="s">
        <v>13049</v>
      </c>
      <c r="I151" s="284" t="s">
        <v>13027</v>
      </c>
      <c r="J151" s="284" t="s">
        <v>13028</v>
      </c>
      <c r="K151" s="284" t="s">
        <v>13003</v>
      </c>
      <c r="L151" s="284" t="s">
        <v>13076</v>
      </c>
      <c r="M151" s="284" t="s">
        <v>13331</v>
      </c>
      <c r="N151" s="284" t="s">
        <v>13029</v>
      </c>
      <c r="O151" s="284" t="s">
        <v>13284</v>
      </c>
      <c r="P151" s="284" t="s">
        <v>13030</v>
      </c>
      <c r="Q151" s="284" t="s">
        <v>13055</v>
      </c>
      <c r="R151" s="284" t="s">
        <v>13034</v>
      </c>
      <c r="S151" s="284" t="s">
        <v>13035</v>
      </c>
      <c r="T151" s="284" t="s">
        <v>13036</v>
      </c>
      <c r="U151" s="284" t="s">
        <v>13012</v>
      </c>
      <c r="V151" s="284" t="s">
        <v>13042</v>
      </c>
      <c r="W151" s="284"/>
      <c r="X151" s="284"/>
      <c r="Y151" s="284"/>
      <c r="Z151" s="284"/>
      <c r="AA151" s="284"/>
      <c r="AB151" s="284"/>
      <c r="AC151" s="284"/>
      <c r="AD151" s="284"/>
      <c r="AE151" s="284"/>
      <c r="AF151" s="284"/>
      <c r="AG151" s="284"/>
      <c r="AH151" s="284"/>
      <c r="AI151" s="284"/>
      <c r="AJ151" s="284"/>
      <c r="AK151" s="284"/>
      <c r="AL151" s="284"/>
      <c r="AM151" s="284"/>
      <c r="AN151" s="284"/>
      <c r="AO151" s="284"/>
      <c r="AP151" s="284"/>
      <c r="AQ151" s="284"/>
      <c r="AR151" s="284"/>
      <c r="AS151" s="284"/>
      <c r="AT151" s="284"/>
      <c r="AU151" s="284"/>
      <c r="AV151" s="284"/>
      <c r="AW151" s="284"/>
      <c r="AX151" s="284"/>
      <c r="AY151" s="284"/>
      <c r="AZ151" s="284"/>
      <c r="BA151" s="284"/>
      <c r="BB151" s="284"/>
      <c r="BC151" s="284"/>
      <c r="BD151" s="284"/>
      <c r="BE151" s="284"/>
      <c r="BF151" s="284"/>
      <c r="BG151" s="284"/>
      <c r="BH151" s="284"/>
      <c r="BI151" s="284"/>
      <c r="BJ151" s="284"/>
      <c r="BK151" s="284"/>
      <c r="BL151" s="284"/>
      <c r="BM151" s="284"/>
      <c r="BN151" s="284"/>
      <c r="BO151" s="284"/>
      <c r="BP151" s="284"/>
      <c r="BQ151" s="284"/>
      <c r="BR151" s="284"/>
      <c r="BS151" s="284"/>
      <c r="BT151" s="284"/>
      <c r="BU151" s="284"/>
      <c r="BV151" s="284"/>
      <c r="BW151" s="284"/>
      <c r="BX151" s="284"/>
      <c r="BY151" s="284"/>
      <c r="BZ151" s="284"/>
      <c r="CA151" s="284"/>
      <c r="CB151" s="284"/>
      <c r="CC151" s="284"/>
      <c r="CD151" s="284"/>
      <c r="CE151" s="284"/>
      <c r="CF151" s="284"/>
      <c r="CG151" s="284"/>
    </row>
    <row r="152" spans="1:85" x14ac:dyDescent="0.35">
      <c r="A152" s="284" t="s">
        <v>12155</v>
      </c>
      <c r="B152" s="284" t="s">
        <v>12156</v>
      </c>
      <c r="C152" s="284" t="s">
        <v>13984</v>
      </c>
      <c r="D152" s="284" t="s">
        <v>13046</v>
      </c>
      <c r="E152" s="284" t="s">
        <v>13021</v>
      </c>
      <c r="F152" s="284" t="s">
        <v>13023</v>
      </c>
      <c r="G152" s="284" t="s">
        <v>13433</v>
      </c>
      <c r="H152" s="284" t="s">
        <v>13210</v>
      </c>
      <c r="I152" s="284" t="s">
        <v>13000</v>
      </c>
      <c r="J152" s="284" t="s">
        <v>13098</v>
      </c>
      <c r="K152" s="284" t="s">
        <v>13120</v>
      </c>
      <c r="L152" s="284" t="s">
        <v>13384</v>
      </c>
      <c r="M152" s="284" t="s">
        <v>13002</v>
      </c>
      <c r="N152" s="284" t="s">
        <v>13003</v>
      </c>
      <c r="O152" s="284" t="s">
        <v>13004</v>
      </c>
      <c r="P152" s="284" t="s">
        <v>13671</v>
      </c>
      <c r="Q152" s="284" t="s">
        <v>13005</v>
      </c>
      <c r="R152" s="284" t="s">
        <v>13663</v>
      </c>
      <c r="S152" s="284" t="s">
        <v>13006</v>
      </c>
      <c r="T152" s="284" t="s">
        <v>13827</v>
      </c>
      <c r="U152" s="284" t="s">
        <v>13007</v>
      </c>
      <c r="V152" s="284" t="s">
        <v>13103</v>
      </c>
      <c r="W152" s="284" t="s">
        <v>13054</v>
      </c>
      <c r="X152" s="284" t="s">
        <v>13008</v>
      </c>
      <c r="Y152" s="284" t="s">
        <v>13133</v>
      </c>
      <c r="Z152" s="284" t="s">
        <v>13055</v>
      </c>
      <c r="AA152" s="284" t="s">
        <v>13104</v>
      </c>
      <c r="AB152" s="284" t="s">
        <v>13218</v>
      </c>
      <c r="AC152" s="284" t="s">
        <v>13033</v>
      </c>
      <c r="AD152" s="284" t="s">
        <v>13009</v>
      </c>
      <c r="AE152" s="284" t="s">
        <v>13011</v>
      </c>
      <c r="AF152" s="284" t="s">
        <v>13443</v>
      </c>
      <c r="AG152" s="284" t="s">
        <v>13638</v>
      </c>
      <c r="AH152" s="284" t="s">
        <v>13985</v>
      </c>
      <c r="AI152" s="284" t="s">
        <v>13014</v>
      </c>
      <c r="AJ152" s="284" t="s">
        <v>13042</v>
      </c>
      <c r="AK152" s="284" t="s">
        <v>13062</v>
      </c>
      <c r="AL152" s="284" t="s">
        <v>13640</v>
      </c>
      <c r="AM152" s="284"/>
      <c r="AN152" s="284"/>
      <c r="AO152" s="284"/>
      <c r="AP152" s="284"/>
      <c r="AQ152" s="284"/>
      <c r="AR152" s="284"/>
      <c r="AS152" s="284"/>
      <c r="AT152" s="284"/>
      <c r="AU152" s="284"/>
      <c r="AV152" s="284"/>
      <c r="AW152" s="284"/>
      <c r="AX152" s="284"/>
      <c r="AY152" s="284"/>
      <c r="AZ152" s="284"/>
      <c r="BA152" s="284"/>
      <c r="BB152" s="284"/>
      <c r="BC152" s="284"/>
      <c r="BD152" s="284"/>
      <c r="BE152" s="284"/>
      <c r="BF152" s="284"/>
      <c r="BG152" s="284"/>
      <c r="BH152" s="284"/>
      <c r="BI152" s="284"/>
      <c r="BJ152" s="284"/>
      <c r="BK152" s="284"/>
      <c r="BL152" s="284"/>
      <c r="BM152" s="284"/>
      <c r="BN152" s="284"/>
      <c r="BO152" s="284"/>
      <c r="BP152" s="284"/>
      <c r="BQ152" s="284"/>
      <c r="BR152" s="284"/>
      <c r="BS152" s="284"/>
      <c r="BT152" s="284"/>
      <c r="BU152" s="284"/>
      <c r="BV152" s="284"/>
      <c r="BW152" s="284"/>
      <c r="BX152" s="284"/>
      <c r="BY152" s="284"/>
      <c r="BZ152" s="284"/>
      <c r="CA152" s="284"/>
      <c r="CB152" s="284"/>
      <c r="CC152" s="284"/>
      <c r="CD152" s="284"/>
      <c r="CE152" s="284"/>
      <c r="CF152" s="284"/>
    </row>
    <row r="153" spans="1:85" x14ac:dyDescent="0.35">
      <c r="A153" s="284" t="s">
        <v>3545</v>
      </c>
      <c r="B153" s="284" t="s">
        <v>3546</v>
      </c>
      <c r="C153" s="284" t="s">
        <v>13986</v>
      </c>
      <c r="D153" s="284" t="s">
        <v>13167</v>
      </c>
      <c r="E153" s="284" t="s">
        <v>13021</v>
      </c>
      <c r="F153" s="284" t="s">
        <v>13048</v>
      </c>
      <c r="G153" s="284" t="s">
        <v>13183</v>
      </c>
      <c r="H153" s="284" t="s">
        <v>13000</v>
      </c>
      <c r="I153" s="284" t="s">
        <v>13644</v>
      </c>
      <c r="J153" s="284" t="s">
        <v>13049</v>
      </c>
      <c r="K153" s="284" t="s">
        <v>13987</v>
      </c>
      <c r="L153" s="284" t="s">
        <v>13050</v>
      </c>
      <c r="M153" s="284" t="s">
        <v>13028</v>
      </c>
      <c r="N153" s="284" t="s">
        <v>13003</v>
      </c>
      <c r="O153" s="284" t="s">
        <v>13190</v>
      </c>
      <c r="P153" s="284" t="s">
        <v>13034</v>
      </c>
      <c r="Q153" s="284" t="s">
        <v>13036</v>
      </c>
      <c r="R153" s="284" t="s">
        <v>13105</v>
      </c>
      <c r="S153" s="284" t="s">
        <v>13038</v>
      </c>
      <c r="T153" s="284" t="s">
        <v>13009</v>
      </c>
      <c r="U153" s="284" t="s">
        <v>13058</v>
      </c>
      <c r="V153" s="284" t="s">
        <v>13205</v>
      </c>
      <c r="W153" s="284" t="s">
        <v>13012</v>
      </c>
      <c r="X153" s="284" t="s">
        <v>13646</v>
      </c>
      <c r="Y153" s="284" t="s">
        <v>13988</v>
      </c>
      <c r="Z153" s="284" t="s">
        <v>13014</v>
      </c>
      <c r="AA153" s="284" t="s">
        <v>13989</v>
      </c>
      <c r="AB153" s="284" t="s">
        <v>13990</v>
      </c>
      <c r="AC153" s="284" t="s">
        <v>13016</v>
      </c>
      <c r="AD153" s="284" t="s">
        <v>13541</v>
      </c>
      <c r="AE153" s="284" t="s">
        <v>13542</v>
      </c>
      <c r="AF153" s="284"/>
      <c r="AG153" s="284"/>
      <c r="AH153" s="284"/>
      <c r="AI153" s="284"/>
      <c r="AJ153" s="284"/>
      <c r="AK153" s="284"/>
      <c r="AL153" s="284"/>
      <c r="AM153" s="284"/>
      <c r="AN153" s="284"/>
      <c r="AO153" s="284"/>
      <c r="AP153" s="284"/>
      <c r="AQ153" s="284"/>
      <c r="AR153" s="284"/>
      <c r="AS153" s="284"/>
      <c r="AT153" s="284"/>
      <c r="AU153" s="284"/>
      <c r="AV153" s="284"/>
      <c r="AW153" s="284"/>
      <c r="AX153" s="284"/>
      <c r="AY153" s="284"/>
      <c r="AZ153" s="284"/>
      <c r="BA153" s="284"/>
      <c r="BB153" s="284"/>
      <c r="BC153" s="284"/>
      <c r="BD153" s="284"/>
      <c r="BE153" s="284"/>
      <c r="BF153" s="284"/>
      <c r="BG153" s="284"/>
      <c r="BH153" s="284"/>
      <c r="BI153" s="284"/>
      <c r="BJ153" s="284"/>
      <c r="BK153" s="284"/>
      <c r="BL153" s="284"/>
      <c r="BM153" s="284"/>
      <c r="BN153" s="284"/>
      <c r="BO153" s="284"/>
      <c r="BP153" s="284"/>
      <c r="BQ153" s="284"/>
      <c r="BR153" s="284"/>
      <c r="BS153" s="284"/>
      <c r="BT153" s="284"/>
      <c r="BU153" s="284"/>
      <c r="BV153" s="284"/>
      <c r="BW153" s="284"/>
      <c r="BX153" s="284"/>
      <c r="BY153" s="284"/>
      <c r="BZ153" s="284"/>
      <c r="CA153" s="284"/>
      <c r="CB153" s="284"/>
      <c r="CC153" s="284"/>
      <c r="CD153" s="284"/>
      <c r="CE153" s="284"/>
      <c r="CF153" s="284"/>
    </row>
    <row r="154" spans="1:85" x14ac:dyDescent="0.35">
      <c r="A154" s="284" t="s">
        <v>8203</v>
      </c>
      <c r="B154" s="284" t="s">
        <v>8204</v>
      </c>
      <c r="C154" t="s">
        <v>13991</v>
      </c>
      <c r="D154" s="284" t="s">
        <v>13023</v>
      </c>
      <c r="E154" s="284" t="s">
        <v>13084</v>
      </c>
      <c r="F154" s="284" t="s">
        <v>13087</v>
      </c>
      <c r="G154" s="284" t="s">
        <v>13027</v>
      </c>
      <c r="H154" s="284" t="s">
        <v>13050</v>
      </c>
      <c r="I154" s="284" t="s">
        <v>13028</v>
      </c>
      <c r="J154" s="284" t="s">
        <v>13003</v>
      </c>
      <c r="K154" s="284" t="s">
        <v>13178</v>
      </c>
      <c r="L154" s="284" t="s">
        <v>13076</v>
      </c>
      <c r="M154" s="284" t="s">
        <v>13008</v>
      </c>
      <c r="N154" s="284" t="s">
        <v>13077</v>
      </c>
      <c r="O154" s="284" t="s">
        <v>13089</v>
      </c>
      <c r="P154" s="284" t="s">
        <v>13033</v>
      </c>
      <c r="Q154" s="284" t="s">
        <v>13034</v>
      </c>
      <c r="R154" s="284" t="s">
        <v>13036</v>
      </c>
      <c r="S154" s="284" t="s">
        <v>13992</v>
      </c>
      <c r="T154" s="284" t="s">
        <v>13090</v>
      </c>
      <c r="U154" s="284" t="s">
        <v>13038</v>
      </c>
      <c r="V154" s="284" t="s">
        <v>13039</v>
      </c>
      <c r="W154" s="284" t="s">
        <v>13091</v>
      </c>
      <c r="X154" s="284" t="s">
        <v>13009</v>
      </c>
      <c r="Y154" s="284" t="s">
        <v>13093</v>
      </c>
      <c r="Z154" s="284" t="s">
        <v>13041</v>
      </c>
      <c r="AA154" s="284" t="s">
        <v>13095</v>
      </c>
      <c r="AB154" s="284" t="s">
        <v>13165</v>
      </c>
      <c r="AC154" s="284" t="s">
        <v>13042</v>
      </c>
      <c r="AD154" s="284" t="s">
        <v>13332</v>
      </c>
      <c r="AE154" s="284"/>
      <c r="AF154" s="284"/>
      <c r="AG154" s="284"/>
      <c r="AH154" s="284"/>
      <c r="AI154" s="284"/>
      <c r="AJ154" s="284"/>
      <c r="AK154" s="284"/>
      <c r="AL154" s="284"/>
      <c r="AM154" s="284"/>
      <c r="AN154" s="284"/>
      <c r="AO154" s="284"/>
      <c r="AP154" s="284"/>
      <c r="AQ154" s="284"/>
      <c r="AR154" s="284"/>
      <c r="AS154" s="284"/>
      <c r="AT154" s="284"/>
      <c r="AU154" s="284"/>
      <c r="AV154" s="284"/>
      <c r="AW154" s="284"/>
      <c r="AX154" s="284"/>
      <c r="AY154" s="284"/>
      <c r="AZ154" s="284"/>
      <c r="BA154" s="284"/>
      <c r="BB154" s="284"/>
      <c r="BC154" s="284"/>
      <c r="BD154" s="284"/>
      <c r="BE154" s="284"/>
      <c r="BF154" s="284"/>
      <c r="BG154" s="284"/>
      <c r="BH154" s="284"/>
      <c r="BI154" s="284"/>
      <c r="BJ154" s="284"/>
      <c r="BK154" s="284"/>
      <c r="BL154" s="284"/>
      <c r="BM154" s="284"/>
      <c r="BN154" s="284"/>
      <c r="BO154" s="284"/>
      <c r="BP154" s="284"/>
      <c r="BQ154" s="284"/>
      <c r="BR154" s="284"/>
      <c r="BS154" s="284"/>
      <c r="BT154" s="284"/>
      <c r="BU154" s="284"/>
      <c r="BV154" s="284"/>
      <c r="BW154" s="284"/>
      <c r="BX154" s="284"/>
      <c r="BY154" s="284"/>
      <c r="BZ154" s="284"/>
      <c r="CA154" s="284"/>
      <c r="CB154" s="284"/>
      <c r="CC154" s="284"/>
      <c r="CD154" s="284"/>
      <c r="CE154" s="284"/>
      <c r="CF154" s="284"/>
      <c r="CG154" s="284"/>
    </row>
    <row r="155" spans="1:85" x14ac:dyDescent="0.35">
      <c r="A155" s="284" t="s">
        <v>9112</v>
      </c>
      <c r="B155" s="284" t="s">
        <v>9113</v>
      </c>
      <c r="C155" t="s">
        <v>13167</v>
      </c>
      <c r="D155" s="284" t="s">
        <v>13072</v>
      </c>
      <c r="E155" s="284" t="s">
        <v>13023</v>
      </c>
      <c r="F155" s="284" t="s">
        <v>13048</v>
      </c>
      <c r="G155" s="284" t="s">
        <v>13354</v>
      </c>
      <c r="H155" s="284" t="s">
        <v>13000</v>
      </c>
      <c r="I155" s="284" t="s">
        <v>13575</v>
      </c>
      <c r="J155" s="284" t="s">
        <v>13074</v>
      </c>
      <c r="K155" s="284" t="s">
        <v>13993</v>
      </c>
      <c r="L155" s="284" t="s">
        <v>13027</v>
      </c>
      <c r="M155" s="284" t="s">
        <v>13050</v>
      </c>
      <c r="N155" s="284" t="s">
        <v>13028</v>
      </c>
      <c r="O155" s="284" t="s">
        <v>13002</v>
      </c>
      <c r="P155" s="284" t="s">
        <v>13003</v>
      </c>
      <c r="Q155" s="284" t="s">
        <v>13004</v>
      </c>
      <c r="R155" s="284" t="s">
        <v>13994</v>
      </c>
      <c r="S155" s="284" t="s">
        <v>13178</v>
      </c>
      <c r="T155" s="284" t="s">
        <v>13076</v>
      </c>
      <c r="U155" s="284" t="s">
        <v>13005</v>
      </c>
      <c r="V155" s="284" t="s">
        <v>13006</v>
      </c>
      <c r="W155" s="284" t="s">
        <v>13007</v>
      </c>
      <c r="X155" s="284" t="s">
        <v>13008</v>
      </c>
      <c r="Y155" s="284" t="s">
        <v>13077</v>
      </c>
      <c r="Z155" s="284" t="s">
        <v>13104</v>
      </c>
      <c r="AA155" s="284" t="s">
        <v>13831</v>
      </c>
      <c r="AB155" s="284" t="s">
        <v>13033</v>
      </c>
      <c r="AC155" s="284" t="s">
        <v>13569</v>
      </c>
      <c r="AD155" s="284" t="s">
        <v>13179</v>
      </c>
      <c r="AE155" s="284" t="s">
        <v>13038</v>
      </c>
      <c r="AF155" s="284" t="s">
        <v>13039</v>
      </c>
      <c r="AG155" s="284" t="s">
        <v>13056</v>
      </c>
      <c r="AH155" s="284" t="s">
        <v>13010</v>
      </c>
      <c r="AI155" s="284" t="s">
        <v>13011</v>
      </c>
      <c r="AJ155" s="284" t="s">
        <v>13058</v>
      </c>
      <c r="AK155" s="284" t="s">
        <v>13041</v>
      </c>
      <c r="AL155" s="284" t="s">
        <v>13205</v>
      </c>
      <c r="AM155" s="284" t="s">
        <v>13012</v>
      </c>
      <c r="AN155" s="284" t="s">
        <v>13491</v>
      </c>
      <c r="AO155" s="284" t="s">
        <v>13361</v>
      </c>
      <c r="AP155" s="284" t="s">
        <v>13014</v>
      </c>
      <c r="AQ155" s="284" t="s">
        <v>13174</v>
      </c>
      <c r="AR155" s="284" t="s">
        <v>13079</v>
      </c>
      <c r="AS155" s="284" t="s">
        <v>13017</v>
      </c>
      <c r="AT155" s="284"/>
      <c r="AU155" s="284"/>
      <c r="AV155" s="284"/>
      <c r="AW155" s="284"/>
      <c r="AX155" s="284"/>
      <c r="AY155" s="284"/>
      <c r="AZ155" s="284"/>
      <c r="BA155" s="284"/>
      <c r="BB155" s="284"/>
      <c r="BC155" s="284"/>
      <c r="BD155" s="284"/>
      <c r="BE155" s="284"/>
      <c r="BF155" s="284"/>
      <c r="BG155" s="284"/>
      <c r="BH155" s="284"/>
      <c r="BI155" s="284"/>
      <c r="BJ155" s="284"/>
      <c r="BK155" s="284"/>
      <c r="BL155" s="284"/>
      <c r="BM155" s="284"/>
      <c r="BN155" s="284"/>
      <c r="BO155" s="284"/>
      <c r="BP155" s="284"/>
      <c r="BQ155" s="284"/>
      <c r="BR155" s="284"/>
      <c r="BS155" s="284"/>
      <c r="BT155" s="284"/>
      <c r="BU155" s="284"/>
      <c r="BV155" s="284"/>
      <c r="BW155" s="284"/>
      <c r="BX155" s="284"/>
      <c r="BY155" s="284"/>
      <c r="BZ155" s="284"/>
      <c r="CA155" s="284"/>
      <c r="CB155" s="284"/>
      <c r="CC155" s="284"/>
      <c r="CD155" s="284"/>
      <c r="CE155" s="284"/>
      <c r="CF155" s="284"/>
      <c r="CG155" s="284"/>
    </row>
    <row r="156" spans="1:85" x14ac:dyDescent="0.35">
      <c r="A156" s="284" t="s">
        <v>351</v>
      </c>
      <c r="B156" s="284" t="s">
        <v>352</v>
      </c>
      <c r="C156" t="s">
        <v>13995</v>
      </c>
      <c r="D156" s="284" t="s">
        <v>13072</v>
      </c>
      <c r="E156" s="284" t="s">
        <v>13023</v>
      </c>
      <c r="F156" s="284" t="s">
        <v>13113</v>
      </c>
      <c r="G156" s="284" t="s">
        <v>13547</v>
      </c>
      <c r="H156" s="284" t="s">
        <v>13594</v>
      </c>
      <c r="I156" s="284" t="s">
        <v>13238</v>
      </c>
      <c r="J156" s="284" t="s">
        <v>13574</v>
      </c>
      <c r="K156" s="284" t="s">
        <v>13119</v>
      </c>
      <c r="L156" s="284" t="s">
        <v>13099</v>
      </c>
      <c r="M156" s="284" t="s">
        <v>13027</v>
      </c>
      <c r="N156" s="284" t="s">
        <v>13001</v>
      </c>
      <c r="O156" s="284" t="s">
        <v>13028</v>
      </c>
      <c r="P156" s="284" t="s">
        <v>13002</v>
      </c>
      <c r="Q156" s="284" t="s">
        <v>13003</v>
      </c>
      <c r="R156" s="284" t="s">
        <v>13066</v>
      </c>
      <c r="S156" s="284" t="s">
        <v>13557</v>
      </c>
      <c r="T156" s="284" t="s">
        <v>13076</v>
      </c>
      <c r="U156" s="284" t="s">
        <v>13596</v>
      </c>
      <c r="V156" s="284" t="s">
        <v>13559</v>
      </c>
      <c r="W156" s="284" t="s">
        <v>13996</v>
      </c>
      <c r="X156" s="284" t="s">
        <v>13033</v>
      </c>
      <c r="Y156" s="284" t="s">
        <v>13034</v>
      </c>
      <c r="Z156" s="284" t="s">
        <v>13036</v>
      </c>
      <c r="AA156" s="284" t="s">
        <v>13560</v>
      </c>
      <c r="AB156" s="284" t="s">
        <v>13038</v>
      </c>
      <c r="AC156" s="284" t="s">
        <v>13078</v>
      </c>
      <c r="AD156" s="284" t="s">
        <v>13009</v>
      </c>
      <c r="AE156" s="284" t="s">
        <v>13107</v>
      </c>
      <c r="AF156" s="284" t="s">
        <v>13042</v>
      </c>
      <c r="AG156" s="284" t="s">
        <v>13096</v>
      </c>
      <c r="AH156" s="284" t="s">
        <v>13154</v>
      </c>
      <c r="AI156" s="284"/>
      <c r="AJ156" s="284"/>
      <c r="AK156" s="284"/>
      <c r="AL156" s="284"/>
      <c r="AM156" s="284"/>
      <c r="AN156" s="284"/>
      <c r="AO156" s="284"/>
      <c r="AP156" s="284"/>
      <c r="AQ156" s="284"/>
      <c r="AR156" s="284"/>
      <c r="AS156" s="284"/>
      <c r="AT156" s="284"/>
      <c r="AU156" s="284"/>
      <c r="AV156" s="284"/>
      <c r="AW156" s="284"/>
      <c r="AX156" s="284"/>
      <c r="AY156" s="284"/>
      <c r="AZ156" s="284"/>
      <c r="BA156" s="284"/>
      <c r="BB156" s="284"/>
      <c r="BC156" s="284"/>
      <c r="BD156" s="284"/>
      <c r="BE156" s="284"/>
      <c r="BF156" s="284"/>
      <c r="BG156" s="284"/>
      <c r="BH156" s="284"/>
      <c r="BI156" s="284"/>
      <c r="BJ156" s="284"/>
      <c r="BK156" s="284"/>
      <c r="BL156" s="284"/>
      <c r="BM156" s="284"/>
      <c r="BN156" s="284"/>
      <c r="BO156" s="284"/>
      <c r="BP156" s="284"/>
      <c r="BQ156" s="284"/>
      <c r="BR156" s="284"/>
      <c r="BS156" s="284"/>
      <c r="BT156" s="284"/>
      <c r="BU156" s="284"/>
      <c r="BV156" s="284"/>
      <c r="BW156" s="284"/>
      <c r="BX156" s="284"/>
      <c r="BY156" s="284"/>
      <c r="BZ156" s="284"/>
      <c r="CA156" s="284"/>
      <c r="CB156" s="284"/>
      <c r="CC156" s="284"/>
      <c r="CD156" s="284"/>
      <c r="CE156" s="284"/>
      <c r="CF156" s="284"/>
      <c r="CG156" s="284"/>
    </row>
    <row r="157" spans="1:85" x14ac:dyDescent="0.35">
      <c r="A157" s="284" t="s">
        <v>1926</v>
      </c>
      <c r="B157" s="284" t="s">
        <v>1927</v>
      </c>
      <c r="C157" t="s">
        <v>13997</v>
      </c>
      <c r="D157" s="284" t="s">
        <v>13998</v>
      </c>
      <c r="E157" s="284" t="s">
        <v>13110</v>
      </c>
      <c r="F157" s="284" t="s">
        <v>13072</v>
      </c>
      <c r="G157" s="284" t="s">
        <v>13021</v>
      </c>
      <c r="H157" s="284" t="s">
        <v>13999</v>
      </c>
      <c r="I157" s="284" t="s">
        <v>13022</v>
      </c>
      <c r="J157" s="284" t="s">
        <v>13023</v>
      </c>
      <c r="K157" s="284" t="s">
        <v>13082</v>
      </c>
      <c r="L157" s="284" t="s">
        <v>13065</v>
      </c>
      <c r="M157" s="284" t="s">
        <v>13000</v>
      </c>
      <c r="N157" s="284" t="s">
        <v>13212</v>
      </c>
      <c r="O157" s="284" t="s">
        <v>13198</v>
      </c>
      <c r="P157" s="284" t="s">
        <v>13119</v>
      </c>
      <c r="Q157" s="284" t="s">
        <v>13397</v>
      </c>
      <c r="R157" s="284" t="s">
        <v>13027</v>
      </c>
      <c r="S157" s="284" t="s">
        <v>13001</v>
      </c>
      <c r="T157" s="284" t="s">
        <v>13359</v>
      </c>
      <c r="U157" s="284" t="s">
        <v>13050</v>
      </c>
      <c r="V157" s="284" t="s">
        <v>13028</v>
      </c>
      <c r="W157" s="284" t="s">
        <v>13199</v>
      </c>
      <c r="X157" s="284" t="s">
        <v>13002</v>
      </c>
      <c r="Y157" s="284" t="s">
        <v>13003</v>
      </c>
      <c r="Z157" s="284" t="s">
        <v>13004</v>
      </c>
      <c r="AA157" s="284" t="s">
        <v>13178</v>
      </c>
      <c r="AB157" s="284" t="s">
        <v>13076</v>
      </c>
      <c r="AC157" s="284" t="s">
        <v>13005</v>
      </c>
      <c r="AD157" s="284" t="s">
        <v>13029</v>
      </c>
      <c r="AE157" s="284" t="s">
        <v>13006</v>
      </c>
      <c r="AF157" s="284" t="s">
        <v>13248</v>
      </c>
      <c r="AG157" s="284" t="s">
        <v>14000</v>
      </c>
      <c r="AH157" s="284" t="s">
        <v>13103</v>
      </c>
      <c r="AI157" s="284" t="s">
        <v>13054</v>
      </c>
      <c r="AJ157" s="284" t="s">
        <v>14001</v>
      </c>
      <c r="AK157" s="284" t="s">
        <v>13008</v>
      </c>
      <c r="AL157" s="284" t="s">
        <v>13077</v>
      </c>
      <c r="AM157" s="284" t="s">
        <v>13135</v>
      </c>
      <c r="AN157" s="284" t="s">
        <v>13104</v>
      </c>
      <c r="AO157" s="284" t="s">
        <v>13831</v>
      </c>
      <c r="AP157" s="284" t="s">
        <v>13033</v>
      </c>
      <c r="AQ157" s="284" t="s">
        <v>13034</v>
      </c>
      <c r="AR157" s="284" t="s">
        <v>13037</v>
      </c>
      <c r="AS157" s="284" t="s">
        <v>13038</v>
      </c>
      <c r="AT157" s="284" t="s">
        <v>13039</v>
      </c>
      <c r="AU157" s="284" t="s">
        <v>13009</v>
      </c>
      <c r="AV157" s="284" t="s">
        <v>13203</v>
      </c>
      <c r="AW157" s="284" t="s">
        <v>13011</v>
      </c>
      <c r="AX157" s="284" t="s">
        <v>13058</v>
      </c>
      <c r="AY157" s="284" t="s">
        <v>13041</v>
      </c>
      <c r="AZ157" s="284" t="s">
        <v>13012</v>
      </c>
      <c r="BA157" s="284" t="s">
        <v>13206</v>
      </c>
      <c r="BB157" s="284" t="s">
        <v>13014</v>
      </c>
      <c r="BC157" s="284" t="s">
        <v>13395</v>
      </c>
      <c r="BD157" s="284" t="s">
        <v>13156</v>
      </c>
      <c r="BE157" s="284" t="s">
        <v>13207</v>
      </c>
      <c r="BF157" s="284"/>
      <c r="BG157" s="284"/>
      <c r="BH157" s="284"/>
      <c r="BI157" s="284"/>
      <c r="BJ157" s="284"/>
      <c r="BK157" s="284"/>
      <c r="BL157" s="284"/>
      <c r="BM157" s="284"/>
      <c r="BN157" s="284"/>
      <c r="BO157" s="284"/>
      <c r="BP157" s="284"/>
      <c r="BQ157" s="284"/>
      <c r="BR157" s="284"/>
      <c r="BS157" s="284"/>
      <c r="BT157" s="284"/>
      <c r="BU157" s="284"/>
      <c r="BV157" s="284"/>
      <c r="BW157" s="284"/>
      <c r="BX157" s="284"/>
      <c r="BY157" s="284"/>
      <c r="BZ157" s="284"/>
      <c r="CA157" s="284"/>
      <c r="CB157" s="284"/>
      <c r="CC157" s="284"/>
      <c r="CD157" s="284"/>
      <c r="CE157" s="284"/>
      <c r="CF157" s="284"/>
      <c r="CG157" s="284"/>
    </row>
    <row r="158" spans="1:85" x14ac:dyDescent="0.35">
      <c r="A158" s="284" t="s">
        <v>8371</v>
      </c>
      <c r="B158" s="284" t="s">
        <v>8372</v>
      </c>
      <c r="C158" s="284" t="s">
        <v>14002</v>
      </c>
      <c r="D158" s="284" t="s">
        <v>13110</v>
      </c>
      <c r="E158" s="284" t="s">
        <v>13308</v>
      </c>
      <c r="F158" s="284" t="s">
        <v>13166</v>
      </c>
      <c r="G158" s="284" t="s">
        <v>13046</v>
      </c>
      <c r="H158" s="284" t="s">
        <v>13021</v>
      </c>
      <c r="I158" s="284" t="s">
        <v>13023</v>
      </c>
      <c r="J158" s="284" t="s">
        <v>13065</v>
      </c>
      <c r="K158" s="284" t="s">
        <v>13000</v>
      </c>
      <c r="L158" s="284" t="s">
        <v>14003</v>
      </c>
      <c r="M158" s="284" t="s">
        <v>13074</v>
      </c>
      <c r="N158" s="284" t="s">
        <v>13168</v>
      </c>
      <c r="O158" s="284" t="s">
        <v>13028</v>
      </c>
      <c r="P158" s="284" t="s">
        <v>13002</v>
      </c>
      <c r="Q158" s="284" t="s">
        <v>13005</v>
      </c>
      <c r="R158" s="284" t="s">
        <v>13006</v>
      </c>
      <c r="S158" s="284" t="s">
        <v>13568</v>
      </c>
      <c r="T158" s="284" t="s">
        <v>13054</v>
      </c>
      <c r="U158" s="284" t="s">
        <v>14004</v>
      </c>
      <c r="V158" s="284" t="s">
        <v>13055</v>
      </c>
      <c r="W158" s="284" t="s">
        <v>13569</v>
      </c>
      <c r="X158" s="284" t="s">
        <v>13037</v>
      </c>
      <c r="Y158" s="284" t="s">
        <v>13011</v>
      </c>
      <c r="Z158" s="284" t="s">
        <v>13058</v>
      </c>
      <c r="AA158" s="284" t="s">
        <v>13012</v>
      </c>
      <c r="AB158" s="284" t="s">
        <v>13094</v>
      </c>
      <c r="AC158" s="284" t="s">
        <v>13686</v>
      </c>
      <c r="AD158" s="284" t="s">
        <v>13042</v>
      </c>
      <c r="AE158" s="284" t="s">
        <v>13079</v>
      </c>
      <c r="AF158" s="284" t="s">
        <v>13570</v>
      </c>
      <c r="AG158" s="284"/>
      <c r="AH158" s="284"/>
      <c r="AI158" s="284"/>
      <c r="AJ158" s="284"/>
      <c r="AK158" s="284"/>
      <c r="AL158" s="284"/>
      <c r="AM158" s="284"/>
      <c r="AN158" s="284"/>
      <c r="AO158" s="284"/>
      <c r="AP158" s="284"/>
      <c r="AQ158" s="284"/>
      <c r="AR158" s="284"/>
      <c r="AS158" s="284"/>
      <c r="AT158" s="284"/>
      <c r="AU158" s="284"/>
      <c r="AV158" s="284"/>
      <c r="AW158" s="284"/>
      <c r="AX158" s="284"/>
      <c r="AY158" s="284"/>
      <c r="AZ158" s="284"/>
      <c r="BA158" s="284"/>
      <c r="BB158" s="284"/>
      <c r="BC158" s="284"/>
      <c r="BD158" s="284"/>
      <c r="BE158" s="284"/>
      <c r="BF158" s="284"/>
      <c r="BG158" s="284"/>
      <c r="BH158" s="284"/>
      <c r="BI158" s="284"/>
      <c r="BJ158" s="284"/>
      <c r="BK158" s="284"/>
      <c r="BL158" s="284"/>
      <c r="BM158" s="284"/>
      <c r="BN158" s="284"/>
      <c r="BO158" s="284"/>
      <c r="BP158" s="284"/>
      <c r="BQ158" s="284"/>
      <c r="BR158" s="284"/>
      <c r="BS158" s="284"/>
      <c r="BT158" s="284"/>
      <c r="BU158" s="284"/>
      <c r="BV158" s="284"/>
      <c r="BW158" s="284"/>
      <c r="BX158" s="284"/>
      <c r="BY158" s="284"/>
      <c r="BZ158" s="284"/>
      <c r="CA158" s="284"/>
      <c r="CB158" s="284"/>
      <c r="CC158" s="284"/>
      <c r="CD158" s="284"/>
      <c r="CE158" s="284"/>
      <c r="CF158" s="284"/>
    </row>
    <row r="159" spans="1:85" x14ac:dyDescent="0.35">
      <c r="A159" s="284" t="s">
        <v>5025</v>
      </c>
      <c r="B159" s="284" t="s">
        <v>5026</v>
      </c>
      <c r="C159" t="s">
        <v>14005</v>
      </c>
      <c r="D159" s="284" t="s">
        <v>13046</v>
      </c>
      <c r="E159" s="284" t="s">
        <v>13167</v>
      </c>
      <c r="F159" s="284" t="s">
        <v>13021</v>
      </c>
      <c r="G159" s="284" t="s">
        <v>13023</v>
      </c>
      <c r="H159" s="284" t="s">
        <v>13048</v>
      </c>
      <c r="I159" s="284" t="s">
        <v>13000</v>
      </c>
      <c r="J159" s="284" t="s">
        <v>13085</v>
      </c>
      <c r="K159" s="284" t="s">
        <v>13074</v>
      </c>
      <c r="L159" s="284" t="s">
        <v>13027</v>
      </c>
      <c r="M159" s="284" t="s">
        <v>13002</v>
      </c>
      <c r="N159" s="284" t="s">
        <v>13003</v>
      </c>
      <c r="O159" s="284" t="s">
        <v>13006</v>
      </c>
      <c r="P159" s="284" t="s">
        <v>13007</v>
      </c>
      <c r="Q159" s="284" t="s">
        <v>14006</v>
      </c>
      <c r="R159" s="284" t="s">
        <v>13054</v>
      </c>
      <c r="S159" s="284" t="s">
        <v>13033</v>
      </c>
      <c r="T159" s="284" t="s">
        <v>13034</v>
      </c>
      <c r="U159" s="284" t="s">
        <v>13037</v>
      </c>
      <c r="V159" s="284" t="s">
        <v>13009</v>
      </c>
      <c r="W159" s="284" t="s">
        <v>13305</v>
      </c>
      <c r="X159" s="284" t="s">
        <v>13011</v>
      </c>
      <c r="Y159" s="284" t="s">
        <v>13058</v>
      </c>
      <c r="Z159" s="284" t="s">
        <v>13012</v>
      </c>
      <c r="AA159" s="284" t="s">
        <v>13060</v>
      </c>
      <c r="AB159" s="284" t="s">
        <v>13174</v>
      </c>
      <c r="AC159" s="284" t="s">
        <v>13015</v>
      </c>
      <c r="AD159" s="284"/>
      <c r="AE159" s="284"/>
      <c r="AF159" s="284"/>
      <c r="AG159" s="284"/>
      <c r="AH159" s="284"/>
      <c r="AI159" s="284"/>
      <c r="AJ159" s="284"/>
      <c r="AK159" s="284"/>
      <c r="AL159" s="284"/>
      <c r="AM159" s="284"/>
      <c r="AN159" s="284"/>
      <c r="AO159" s="284"/>
      <c r="AP159" s="284"/>
      <c r="AQ159" s="284"/>
      <c r="AR159" s="284"/>
      <c r="AS159" s="284"/>
      <c r="AT159" s="284"/>
      <c r="AU159" s="284"/>
      <c r="AV159" s="284"/>
      <c r="AW159" s="284"/>
      <c r="AX159" s="284"/>
      <c r="AY159" s="284"/>
      <c r="AZ159" s="284"/>
      <c r="BA159" s="284"/>
      <c r="BB159" s="284"/>
      <c r="BC159" s="284"/>
      <c r="BD159" s="284"/>
      <c r="BE159" s="284"/>
      <c r="BF159" s="284"/>
      <c r="BG159" s="284"/>
      <c r="BH159" s="284"/>
      <c r="BI159" s="284"/>
      <c r="BJ159" s="284"/>
      <c r="BK159" s="284"/>
      <c r="BL159" s="284"/>
      <c r="BM159" s="284"/>
      <c r="BN159" s="284"/>
      <c r="BO159" s="284"/>
      <c r="BP159" s="284"/>
      <c r="BQ159" s="284"/>
      <c r="BR159" s="284"/>
      <c r="BS159" s="284"/>
      <c r="BT159" s="284"/>
      <c r="BU159" s="284"/>
      <c r="BV159" s="284"/>
      <c r="BW159" s="284"/>
      <c r="BX159" s="284"/>
      <c r="BY159" s="284"/>
      <c r="BZ159" s="284"/>
      <c r="CA159" s="284"/>
      <c r="CB159" s="284"/>
      <c r="CC159" s="284"/>
      <c r="CD159" s="284"/>
      <c r="CE159" s="284"/>
      <c r="CF159" s="284"/>
      <c r="CG159" s="284"/>
    </row>
    <row r="160" spans="1:85" x14ac:dyDescent="0.35">
      <c r="A160" s="284" t="s">
        <v>7502</v>
      </c>
      <c r="B160" s="284" t="s">
        <v>7503</v>
      </c>
      <c r="C160" t="s">
        <v>14007</v>
      </c>
      <c r="D160" s="284" t="s">
        <v>13072</v>
      </c>
      <c r="E160" s="284" t="s">
        <v>13064</v>
      </c>
      <c r="F160" s="284" t="s">
        <v>13021</v>
      </c>
      <c r="G160" s="284" t="s">
        <v>13022</v>
      </c>
      <c r="H160" s="284" t="s">
        <v>13023</v>
      </c>
      <c r="I160" s="284" t="s">
        <v>13065</v>
      </c>
      <c r="J160" s="284" t="s">
        <v>13024</v>
      </c>
      <c r="K160" s="284" t="s">
        <v>13085</v>
      </c>
      <c r="L160" s="284" t="s">
        <v>13025</v>
      </c>
      <c r="M160" s="284" t="s">
        <v>13027</v>
      </c>
      <c r="N160" s="284" t="s">
        <v>13028</v>
      </c>
      <c r="O160" s="284" t="s">
        <v>13002</v>
      </c>
      <c r="P160" s="284" t="s">
        <v>13066</v>
      </c>
      <c r="Q160" s="284" t="s">
        <v>13067</v>
      </c>
      <c r="R160" s="284" t="s">
        <v>13076</v>
      </c>
      <c r="S160" s="284" t="s">
        <v>13029</v>
      </c>
      <c r="T160" s="284" t="s">
        <v>13006</v>
      </c>
      <c r="U160" s="284" t="s">
        <v>14008</v>
      </c>
      <c r="V160" s="284" t="s">
        <v>13030</v>
      </c>
      <c r="W160" s="284" t="s">
        <v>13068</v>
      </c>
      <c r="X160" s="284" t="s">
        <v>13055</v>
      </c>
      <c r="Y160" s="284" t="s">
        <v>13033</v>
      </c>
      <c r="Z160" s="284" t="s">
        <v>13034</v>
      </c>
      <c r="AA160" s="284" t="s">
        <v>13035</v>
      </c>
      <c r="AB160" s="284" t="s">
        <v>13036</v>
      </c>
      <c r="AC160" s="284" t="s">
        <v>13038</v>
      </c>
      <c r="AD160" s="284" t="s">
        <v>13009</v>
      </c>
      <c r="AE160" s="284" t="s">
        <v>13205</v>
      </c>
      <c r="AF160" s="284" t="s">
        <v>14009</v>
      </c>
      <c r="AG160" s="284" t="s">
        <v>14010</v>
      </c>
      <c r="AH160" s="284" t="s">
        <v>13042</v>
      </c>
      <c r="AI160" s="284" t="s">
        <v>13222</v>
      </c>
      <c r="AJ160" s="284"/>
      <c r="AK160" s="284"/>
      <c r="AL160" s="284"/>
      <c r="AM160" s="284"/>
      <c r="AN160" s="284"/>
      <c r="AO160" s="284"/>
      <c r="AP160" s="284"/>
      <c r="AQ160" s="284"/>
      <c r="AR160" s="284"/>
      <c r="AS160" s="284"/>
      <c r="AT160" s="284"/>
      <c r="AU160" s="284"/>
      <c r="AV160" s="284"/>
      <c r="AW160" s="284"/>
      <c r="AX160" s="284"/>
      <c r="AY160" s="284"/>
      <c r="AZ160" s="284"/>
      <c r="BA160" s="284"/>
      <c r="BB160" s="284"/>
      <c r="BC160" s="284"/>
      <c r="BD160" s="284"/>
      <c r="BE160" s="284"/>
      <c r="BF160" s="284"/>
      <c r="BG160" s="284"/>
      <c r="BH160" s="284"/>
      <c r="BI160" s="284"/>
      <c r="BJ160" s="284"/>
      <c r="BK160" s="284"/>
      <c r="BL160" s="284"/>
      <c r="BM160" s="284"/>
      <c r="BN160" s="284"/>
      <c r="BO160" s="284"/>
      <c r="BP160" s="284"/>
      <c r="BQ160" s="284"/>
      <c r="BR160" s="284"/>
      <c r="BS160" s="284"/>
      <c r="BT160" s="284"/>
      <c r="BU160" s="284"/>
      <c r="BV160" s="284"/>
      <c r="BW160" s="284"/>
      <c r="BX160" s="284"/>
      <c r="BY160" s="284"/>
      <c r="BZ160" s="284"/>
      <c r="CA160" s="284"/>
      <c r="CB160" s="284"/>
      <c r="CC160" s="284"/>
      <c r="CD160" s="284"/>
      <c r="CE160" s="284"/>
      <c r="CF160" s="284"/>
      <c r="CG160" s="284"/>
    </row>
    <row r="161" spans="1:85" x14ac:dyDescent="0.35">
      <c r="A161" s="284" t="s">
        <v>10476</v>
      </c>
      <c r="B161" s="284" t="s">
        <v>10477</v>
      </c>
      <c r="C161" t="s">
        <v>14011</v>
      </c>
      <c r="D161" s="284" t="s">
        <v>14012</v>
      </c>
      <c r="E161" s="284" t="s">
        <v>13023</v>
      </c>
      <c r="F161" s="284" t="s">
        <v>13113</v>
      </c>
      <c r="G161" s="284" t="s">
        <v>13147</v>
      </c>
      <c r="H161" s="284" t="s">
        <v>13547</v>
      </c>
      <c r="I161" s="284" t="s">
        <v>13549</v>
      </c>
      <c r="J161" s="284" t="s">
        <v>13119</v>
      </c>
      <c r="K161" s="284" t="s">
        <v>14013</v>
      </c>
      <c r="L161" s="284" t="s">
        <v>13028</v>
      </c>
      <c r="M161" s="284" t="s">
        <v>13002</v>
      </c>
      <c r="N161" s="284" t="s">
        <v>14014</v>
      </c>
      <c r="O161" s="284" t="s">
        <v>13003</v>
      </c>
      <c r="P161" s="284" t="s">
        <v>13066</v>
      </c>
      <c r="Q161" s="284" t="s">
        <v>13557</v>
      </c>
      <c r="R161" s="284" t="s">
        <v>14015</v>
      </c>
      <c r="S161" s="284" t="s">
        <v>13029</v>
      </c>
      <c r="T161" s="284" t="s">
        <v>13192</v>
      </c>
      <c r="U161" s="284" t="s">
        <v>13516</v>
      </c>
      <c r="V161" s="284" t="s">
        <v>14016</v>
      </c>
      <c r="W161" s="284" t="s">
        <v>14017</v>
      </c>
      <c r="X161" s="284" t="s">
        <v>13387</v>
      </c>
      <c r="Y161" s="284" t="s">
        <v>13033</v>
      </c>
      <c r="Z161" s="284" t="s">
        <v>13034</v>
      </c>
      <c r="AA161" s="284" t="s">
        <v>13036</v>
      </c>
      <c r="AB161" s="284" t="s">
        <v>13560</v>
      </c>
      <c r="AC161" s="284" t="s">
        <v>13078</v>
      </c>
      <c r="AD161" s="284" t="s">
        <v>13009</v>
      </c>
      <c r="AE161" s="284" t="s">
        <v>14018</v>
      </c>
      <c r="AF161" s="284" t="s">
        <v>13107</v>
      </c>
      <c r="AG161" s="284" t="s">
        <v>13042</v>
      </c>
      <c r="AH161" s="284" t="s">
        <v>13096</v>
      </c>
      <c r="AI161" s="284" t="s">
        <v>13704</v>
      </c>
      <c r="AJ161" s="284" t="s">
        <v>14019</v>
      </c>
      <c r="AK161" s="284"/>
      <c r="AL161" s="284"/>
      <c r="AM161" s="284"/>
      <c r="AN161" s="284"/>
      <c r="AO161" s="284"/>
      <c r="AP161" s="284"/>
      <c r="AQ161" s="284"/>
      <c r="AR161" s="284"/>
      <c r="AS161" s="284"/>
      <c r="AT161" s="284"/>
      <c r="AU161" s="284"/>
      <c r="AV161" s="284"/>
      <c r="AW161" s="284"/>
      <c r="AX161" s="284"/>
      <c r="AY161" s="284"/>
      <c r="AZ161" s="284"/>
      <c r="BA161" s="284"/>
      <c r="BB161" s="284"/>
      <c r="BC161" s="284"/>
      <c r="BD161" s="284"/>
      <c r="BE161" s="284"/>
      <c r="BF161" s="284"/>
      <c r="BG161" s="284"/>
      <c r="BH161" s="284"/>
      <c r="BI161" s="284"/>
      <c r="BJ161" s="284"/>
      <c r="BK161" s="284"/>
      <c r="BL161" s="284"/>
      <c r="BM161" s="284"/>
      <c r="BN161" s="284"/>
      <c r="BO161" s="284"/>
      <c r="BP161" s="284"/>
      <c r="BQ161" s="284"/>
      <c r="BR161" s="284"/>
      <c r="BS161" s="284"/>
      <c r="BT161" s="284"/>
      <c r="BU161" s="284"/>
      <c r="BV161" s="284"/>
      <c r="BW161" s="284"/>
      <c r="BX161" s="284"/>
      <c r="BY161" s="284"/>
      <c r="BZ161" s="284"/>
      <c r="CA161" s="284"/>
      <c r="CB161" s="284"/>
      <c r="CC161" s="284"/>
      <c r="CD161" s="284"/>
      <c r="CE161" s="284"/>
      <c r="CF161" s="284"/>
      <c r="CG161" s="284"/>
    </row>
    <row r="162" spans="1:85" x14ac:dyDescent="0.35">
      <c r="A162" s="284" t="s">
        <v>7912</v>
      </c>
      <c r="B162" s="284" t="s">
        <v>7913</v>
      </c>
      <c r="C162" s="284" t="s">
        <v>13410</v>
      </c>
      <c r="D162" s="284" t="s">
        <v>13023</v>
      </c>
      <c r="E162" s="284" t="s">
        <v>13446</v>
      </c>
      <c r="F162" s="284" t="s">
        <v>14020</v>
      </c>
      <c r="G162" s="284" t="s">
        <v>14021</v>
      </c>
      <c r="H162" s="284" t="s">
        <v>13000</v>
      </c>
      <c r="I162" s="284" t="s">
        <v>14022</v>
      </c>
      <c r="J162" s="284" t="s">
        <v>13027</v>
      </c>
      <c r="K162" s="284" t="s">
        <v>13149</v>
      </c>
      <c r="L162" s="284" t="s">
        <v>13484</v>
      </c>
      <c r="M162" s="284" t="s">
        <v>13003</v>
      </c>
      <c r="N162" s="284" t="s">
        <v>13248</v>
      </c>
      <c r="O162" s="284" t="s">
        <v>13284</v>
      </c>
      <c r="P162" s="284" t="s">
        <v>13487</v>
      </c>
      <c r="Q162" s="284" t="s">
        <v>13105</v>
      </c>
      <c r="R162" s="284" t="s">
        <v>13038</v>
      </c>
      <c r="S162" s="284" t="s">
        <v>13039</v>
      </c>
      <c r="T162" s="284" t="s">
        <v>13009</v>
      </c>
      <c r="U162" s="284" t="s">
        <v>13041</v>
      </c>
      <c r="V162" s="284" t="s">
        <v>13014</v>
      </c>
      <c r="W162" s="284" t="s">
        <v>13042</v>
      </c>
      <c r="X162" s="284" t="s">
        <v>13451</v>
      </c>
      <c r="Y162" s="284"/>
      <c r="Z162" s="284"/>
      <c r="AA162" s="284"/>
      <c r="AB162" s="284"/>
      <c r="AC162" s="284"/>
      <c r="AD162" s="284"/>
      <c r="AE162" s="284"/>
      <c r="AF162" s="284"/>
      <c r="AG162" s="284"/>
      <c r="AH162" s="284"/>
      <c r="AI162" s="284"/>
      <c r="AJ162" s="284"/>
      <c r="AK162" s="284"/>
      <c r="AL162" s="284"/>
      <c r="AM162" s="284"/>
      <c r="AN162" s="284"/>
      <c r="AO162" s="284"/>
      <c r="AP162" s="284"/>
      <c r="AQ162" s="284"/>
      <c r="AR162" s="284"/>
      <c r="AS162" s="284"/>
      <c r="AT162" s="284"/>
      <c r="AU162" s="284"/>
      <c r="AV162" s="284"/>
      <c r="AW162" s="284"/>
      <c r="AX162" s="284"/>
      <c r="AY162" s="284"/>
      <c r="AZ162" s="284"/>
      <c r="BA162" s="284"/>
      <c r="BB162" s="284"/>
      <c r="BC162" s="284"/>
      <c r="BD162" s="284"/>
      <c r="BE162" s="284"/>
      <c r="BF162" s="284"/>
      <c r="BG162" s="284"/>
      <c r="BH162" s="284"/>
      <c r="BI162" s="284"/>
      <c r="BJ162" s="284"/>
      <c r="BK162" s="284"/>
      <c r="BL162" s="284"/>
      <c r="BM162" s="284"/>
      <c r="BN162" s="284"/>
      <c r="BO162" s="284"/>
      <c r="BP162" s="284"/>
      <c r="BQ162" s="284"/>
      <c r="BR162" s="284"/>
      <c r="BS162" s="284"/>
      <c r="BT162" s="284"/>
      <c r="BU162" s="284"/>
      <c r="BV162" s="284"/>
      <c r="BW162" s="284"/>
      <c r="BX162" s="284"/>
      <c r="BY162" s="284"/>
      <c r="BZ162" s="284"/>
      <c r="CA162" s="284"/>
      <c r="CB162" s="284"/>
      <c r="CC162" s="284"/>
      <c r="CD162" s="284"/>
      <c r="CE162" s="284"/>
      <c r="CF162" s="284"/>
    </row>
    <row r="163" spans="1:85" x14ac:dyDescent="0.35">
      <c r="A163" s="284" t="s">
        <v>12197</v>
      </c>
      <c r="B163" s="284" t="s">
        <v>12198</v>
      </c>
      <c r="C163" t="s">
        <v>14023</v>
      </c>
      <c r="D163" s="284" t="s">
        <v>13110</v>
      </c>
      <c r="E163" s="284" t="s">
        <v>13023</v>
      </c>
      <c r="F163" s="284" t="s">
        <v>13112</v>
      </c>
      <c r="G163" s="284" t="s">
        <v>14024</v>
      </c>
      <c r="H163" s="284" t="s">
        <v>13318</v>
      </c>
      <c r="I163" s="284" t="s">
        <v>13000</v>
      </c>
      <c r="J163" s="284" t="s">
        <v>13098</v>
      </c>
      <c r="K163" s="284" t="s">
        <v>13350</v>
      </c>
      <c r="L163" s="284" t="s">
        <v>13027</v>
      </c>
      <c r="M163" s="284" t="s">
        <v>13752</v>
      </c>
      <c r="N163" s="284" t="s">
        <v>13001</v>
      </c>
      <c r="O163" s="284" t="s">
        <v>13028</v>
      </c>
      <c r="P163" s="284" t="s">
        <v>13002</v>
      </c>
      <c r="Q163" s="284" t="s">
        <v>14025</v>
      </c>
      <c r="R163" s="284" t="s">
        <v>13635</v>
      </c>
      <c r="S163" s="284" t="s">
        <v>13735</v>
      </c>
      <c r="T163" s="284" t="s">
        <v>13076</v>
      </c>
      <c r="U163" s="284" t="s">
        <v>13331</v>
      </c>
      <c r="V163" s="284" t="s">
        <v>13100</v>
      </c>
      <c r="W163" s="284" t="s">
        <v>13005</v>
      </c>
      <c r="X163" s="284" t="s">
        <v>14026</v>
      </c>
      <c r="Y163" s="284" t="s">
        <v>13101</v>
      </c>
      <c r="Z163" s="284" t="s">
        <v>13006</v>
      </c>
      <c r="AA163" s="284" t="s">
        <v>13102</v>
      </c>
      <c r="AB163" s="284" t="s">
        <v>13678</v>
      </c>
      <c r="AC163" s="284" t="s">
        <v>13103</v>
      </c>
      <c r="AD163" s="284" t="s">
        <v>13054</v>
      </c>
      <c r="AE163" s="284" t="s">
        <v>13636</v>
      </c>
      <c r="AF163" s="284" t="s">
        <v>13008</v>
      </c>
      <c r="AG163" s="284" t="s">
        <v>13055</v>
      </c>
      <c r="AH163" s="284" t="s">
        <v>13104</v>
      </c>
      <c r="AI163" s="284" t="s">
        <v>13736</v>
      </c>
      <c r="AJ163" s="284" t="s">
        <v>13737</v>
      </c>
      <c r="AK163" s="284" t="s">
        <v>13033</v>
      </c>
      <c r="AL163" s="284" t="s">
        <v>13034</v>
      </c>
      <c r="AM163" s="284" t="s">
        <v>14027</v>
      </c>
      <c r="AN163" s="284" t="s">
        <v>13038</v>
      </c>
      <c r="AO163" s="284" t="s">
        <v>13039</v>
      </c>
      <c r="AP163" s="284" t="s">
        <v>13091</v>
      </c>
      <c r="AQ163" s="284" t="s">
        <v>13009</v>
      </c>
      <c r="AR163" s="284" t="s">
        <v>13011</v>
      </c>
      <c r="AS163" s="284" t="s">
        <v>13058</v>
      </c>
      <c r="AT163" s="284" t="s">
        <v>14028</v>
      </c>
      <c r="AU163" s="284" t="s">
        <v>13106</v>
      </c>
      <c r="AV163" s="284" t="s">
        <v>13138</v>
      </c>
      <c r="AW163" s="284" t="s">
        <v>13344</v>
      </c>
      <c r="AX163" s="284" t="s">
        <v>13014</v>
      </c>
      <c r="AY163" s="284" t="s">
        <v>13042</v>
      </c>
      <c r="AZ163" s="284" t="s">
        <v>14029</v>
      </c>
      <c r="BA163" s="284" t="s">
        <v>14030</v>
      </c>
      <c r="BB163" s="284" t="s">
        <v>14031</v>
      </c>
      <c r="BC163" s="284"/>
      <c r="BD163" s="284"/>
      <c r="BE163" s="284"/>
      <c r="BF163" s="284"/>
      <c r="BG163" s="284"/>
      <c r="BH163" s="284"/>
      <c r="BI163" s="284"/>
      <c r="BJ163" s="284"/>
      <c r="BK163" s="284"/>
      <c r="BL163" s="284"/>
      <c r="BM163" s="284"/>
      <c r="BN163" s="284"/>
      <c r="BO163" s="284"/>
      <c r="BP163" s="284"/>
      <c r="BQ163" s="284"/>
      <c r="BR163" s="284"/>
      <c r="BS163" s="284"/>
      <c r="BT163" s="284"/>
      <c r="BU163" s="284"/>
      <c r="BV163" s="284"/>
      <c r="BW163" s="284"/>
      <c r="BX163" s="284"/>
      <c r="BY163" s="284"/>
      <c r="BZ163" s="284"/>
      <c r="CA163" s="284"/>
      <c r="CB163" s="284"/>
      <c r="CC163" s="284"/>
      <c r="CD163" s="284"/>
      <c r="CE163" s="284"/>
      <c r="CF163" s="284"/>
      <c r="CG163" s="284"/>
    </row>
    <row r="164" spans="1:85" x14ac:dyDescent="0.35">
      <c r="A164" s="284" t="s">
        <v>3587</v>
      </c>
      <c r="B164" s="284" t="s">
        <v>3588</v>
      </c>
      <c r="C164" t="s">
        <v>13021</v>
      </c>
      <c r="D164" s="284" t="s">
        <v>13023</v>
      </c>
      <c r="E164" s="284" t="s">
        <v>13113</v>
      </c>
      <c r="F164" s="284" t="s">
        <v>13047</v>
      </c>
      <c r="G164" s="284" t="s">
        <v>13048</v>
      </c>
      <c r="H164" s="284" t="s">
        <v>13082</v>
      </c>
      <c r="I164" s="284" t="s">
        <v>13049</v>
      </c>
      <c r="J164" s="284" t="s">
        <v>13500</v>
      </c>
      <c r="K164" s="284" t="s">
        <v>13027</v>
      </c>
      <c r="L164" s="284" t="s">
        <v>13050</v>
      </c>
      <c r="M164" s="284" t="s">
        <v>13028</v>
      </c>
      <c r="N164" s="284" t="s">
        <v>13003</v>
      </c>
      <c r="O164" s="284" t="s">
        <v>13178</v>
      </c>
      <c r="P164" s="284" t="s">
        <v>13076</v>
      </c>
      <c r="Q164" s="284" t="s">
        <v>13190</v>
      </c>
      <c r="R164" s="284" t="s">
        <v>13192</v>
      </c>
      <c r="S164" s="284" t="s">
        <v>13007</v>
      </c>
      <c r="T164" s="284" t="s">
        <v>14032</v>
      </c>
      <c r="U164" s="284" t="s">
        <v>13036</v>
      </c>
      <c r="V164" s="284" t="s">
        <v>13038</v>
      </c>
      <c r="W164" s="284" t="s">
        <v>13091</v>
      </c>
      <c r="X164" s="284" t="s">
        <v>13009</v>
      </c>
      <c r="Y164" s="284" t="s">
        <v>13060</v>
      </c>
      <c r="Z164" s="284" t="s">
        <v>14033</v>
      </c>
      <c r="AA164" s="284" t="s">
        <v>13222</v>
      </c>
      <c r="AB164" s="284" t="s">
        <v>13541</v>
      </c>
      <c r="AC164" s="284"/>
      <c r="AD164" s="284"/>
      <c r="AE164" s="284"/>
      <c r="AF164" s="284"/>
      <c r="AG164" s="284"/>
      <c r="AH164" s="284"/>
      <c r="AI164" s="284"/>
      <c r="AJ164" s="284"/>
      <c r="AK164" s="284"/>
      <c r="AL164" s="284"/>
      <c r="AM164" s="284"/>
      <c r="AN164" s="284"/>
      <c r="AO164" s="284"/>
      <c r="AP164" s="284"/>
      <c r="AQ164" s="284"/>
      <c r="AR164" s="284"/>
      <c r="AS164" s="284"/>
      <c r="AT164" s="284"/>
      <c r="AU164" s="284"/>
      <c r="AV164" s="284"/>
      <c r="AW164" s="284"/>
      <c r="AX164" s="284"/>
      <c r="AY164" s="284"/>
      <c r="AZ164" s="284"/>
      <c r="BA164" s="284"/>
      <c r="BB164" s="284"/>
      <c r="BC164" s="284"/>
      <c r="BD164" s="284"/>
      <c r="BE164" s="284"/>
      <c r="BF164" s="284"/>
      <c r="BG164" s="284"/>
      <c r="BH164" s="284"/>
      <c r="BI164" s="284"/>
      <c r="BJ164" s="284"/>
      <c r="BK164" s="284"/>
      <c r="BL164" s="284"/>
      <c r="BM164" s="284"/>
      <c r="BN164" s="284"/>
      <c r="BO164" s="284"/>
      <c r="BP164" s="284"/>
      <c r="BQ164" s="284"/>
      <c r="BR164" s="284"/>
      <c r="BS164" s="284"/>
      <c r="BT164" s="284"/>
      <c r="BU164" s="284"/>
      <c r="BV164" s="284"/>
      <c r="BW164" s="284"/>
      <c r="BX164" s="284"/>
      <c r="BY164" s="284"/>
      <c r="BZ164" s="284"/>
      <c r="CA164" s="284"/>
      <c r="CB164" s="284"/>
      <c r="CC164" s="284"/>
      <c r="CD164" s="284"/>
      <c r="CE164" s="284"/>
      <c r="CF164" s="284"/>
      <c r="CG164" s="284"/>
    </row>
    <row r="165" spans="1:85" x14ac:dyDescent="0.35">
      <c r="A165" s="284" t="s">
        <v>3377</v>
      </c>
      <c r="B165" s="284" t="s">
        <v>3378</v>
      </c>
      <c r="C165" t="s">
        <v>14034</v>
      </c>
      <c r="D165" s="284" t="s">
        <v>13064</v>
      </c>
      <c r="E165" s="284" t="s">
        <v>13019</v>
      </c>
      <c r="F165" s="284" t="s">
        <v>13020</v>
      </c>
      <c r="G165" s="284" t="s">
        <v>13507</v>
      </c>
      <c r="H165" s="284" t="s">
        <v>13508</v>
      </c>
      <c r="I165" s="284" t="s">
        <v>13024</v>
      </c>
      <c r="J165" s="284" t="s">
        <v>13025</v>
      </c>
      <c r="K165" s="284" t="s">
        <v>13026</v>
      </c>
      <c r="L165" s="284" t="s">
        <v>13027</v>
      </c>
      <c r="M165" s="284" t="s">
        <v>13148</v>
      </c>
      <c r="N165" s="284" t="s">
        <v>13028</v>
      </c>
      <c r="O165" s="284" t="s">
        <v>13003</v>
      </c>
      <c r="P165" s="284" t="s">
        <v>13420</v>
      </c>
      <c r="Q165" s="284" t="s">
        <v>13066</v>
      </c>
      <c r="R165" s="284" t="s">
        <v>13029</v>
      </c>
      <c r="S165" s="284" t="s">
        <v>13006</v>
      </c>
      <c r="T165" s="284" t="s">
        <v>13030</v>
      </c>
      <c r="U165" s="284" t="s">
        <v>13069</v>
      </c>
      <c r="V165" s="284" t="s">
        <v>13613</v>
      </c>
      <c r="W165" s="284" t="s">
        <v>13034</v>
      </c>
      <c r="X165" s="284" t="s">
        <v>13035</v>
      </c>
      <c r="Y165" s="284" t="s">
        <v>13179</v>
      </c>
      <c r="Z165" s="284" t="s">
        <v>13037</v>
      </c>
      <c r="AA165" s="284" t="s">
        <v>14035</v>
      </c>
      <c r="AB165" s="284" t="s">
        <v>13038</v>
      </c>
      <c r="AC165" s="284" t="s">
        <v>13039</v>
      </c>
      <c r="AD165" s="284" t="s">
        <v>13091</v>
      </c>
      <c r="AE165" s="284" t="s">
        <v>13009</v>
      </c>
      <c r="AF165" s="284" t="s">
        <v>13152</v>
      </c>
      <c r="AG165" s="284" t="s">
        <v>13041</v>
      </c>
      <c r="AH165" s="284" t="s">
        <v>13014</v>
      </c>
      <c r="AI165" s="284" t="s">
        <v>13154</v>
      </c>
      <c r="AJ165" s="284"/>
      <c r="AK165" s="284"/>
      <c r="AL165" s="284"/>
      <c r="AM165" s="284"/>
      <c r="AN165" s="284"/>
      <c r="AO165" s="284"/>
      <c r="AP165" s="284"/>
      <c r="AQ165" s="284"/>
      <c r="AR165" s="284"/>
      <c r="AS165" s="284"/>
      <c r="AT165" s="284"/>
      <c r="AU165" s="284"/>
      <c r="AV165" s="284"/>
      <c r="AW165" s="284"/>
      <c r="AX165" s="284"/>
      <c r="AY165" s="284"/>
      <c r="AZ165" s="284"/>
      <c r="BA165" s="284"/>
      <c r="BB165" s="284"/>
      <c r="BC165" s="284"/>
      <c r="BD165" s="284"/>
      <c r="BE165" s="284"/>
      <c r="BF165" s="284"/>
      <c r="BG165" s="284"/>
      <c r="BH165" s="284"/>
      <c r="BI165" s="284"/>
      <c r="BJ165" s="284"/>
      <c r="BK165" s="284"/>
      <c r="BL165" s="284"/>
      <c r="BM165" s="284"/>
      <c r="BN165" s="284"/>
      <c r="BO165" s="284"/>
      <c r="BP165" s="284"/>
      <c r="BQ165" s="284"/>
      <c r="BR165" s="284"/>
      <c r="BS165" s="284"/>
      <c r="BT165" s="284"/>
      <c r="BU165" s="284"/>
      <c r="BV165" s="284"/>
      <c r="BW165" s="284"/>
      <c r="BX165" s="284"/>
      <c r="BY165" s="284"/>
      <c r="BZ165" s="284"/>
      <c r="CA165" s="284"/>
      <c r="CB165" s="284"/>
      <c r="CC165" s="284"/>
      <c r="CD165" s="284"/>
      <c r="CE165" s="284"/>
      <c r="CF165" s="284"/>
      <c r="CG165" s="284"/>
    </row>
    <row r="166" spans="1:85" x14ac:dyDescent="0.35">
      <c r="A166" s="284" t="s">
        <v>771</v>
      </c>
      <c r="B166" s="284" t="s">
        <v>772</v>
      </c>
      <c r="C166" t="s">
        <v>13064</v>
      </c>
      <c r="D166" s="284" t="s">
        <v>13021</v>
      </c>
      <c r="E166" s="284" t="s">
        <v>13022</v>
      </c>
      <c r="F166" s="284" t="s">
        <v>13023</v>
      </c>
      <c r="G166" s="284" t="s">
        <v>13113</v>
      </c>
      <c r="H166" s="284" t="s">
        <v>13082</v>
      </c>
      <c r="I166" s="284" t="s">
        <v>13065</v>
      </c>
      <c r="J166" s="284" t="s">
        <v>13159</v>
      </c>
      <c r="K166" s="284" t="s">
        <v>13027</v>
      </c>
      <c r="L166" s="284" t="s">
        <v>14036</v>
      </c>
      <c r="M166" s="284" t="s">
        <v>14037</v>
      </c>
      <c r="N166" s="284" t="s">
        <v>14038</v>
      </c>
      <c r="O166" s="284" t="s">
        <v>13028</v>
      </c>
      <c r="P166" s="284" t="s">
        <v>13003</v>
      </c>
      <c r="Q166" s="284" t="s">
        <v>13066</v>
      </c>
      <c r="R166" s="284" t="s">
        <v>13295</v>
      </c>
      <c r="S166" s="284" t="s">
        <v>13068</v>
      </c>
      <c r="T166" s="284" t="s">
        <v>13033</v>
      </c>
      <c r="U166" s="284" t="s">
        <v>13034</v>
      </c>
      <c r="V166" s="284" t="s">
        <v>13035</v>
      </c>
      <c r="W166" s="284" t="s">
        <v>13036</v>
      </c>
      <c r="X166" s="284" t="s">
        <v>13038</v>
      </c>
      <c r="Y166" s="284" t="s">
        <v>13039</v>
      </c>
      <c r="Z166" s="284" t="s">
        <v>13009</v>
      </c>
      <c r="AA166" s="284" t="s">
        <v>13014</v>
      </c>
      <c r="AB166" s="284" t="s">
        <v>13042</v>
      </c>
      <c r="AC166" s="284" t="s">
        <v>13154</v>
      </c>
      <c r="AD166" s="284"/>
      <c r="AE166" s="284"/>
      <c r="AF166" s="284"/>
      <c r="AG166" s="284"/>
      <c r="AH166" s="284"/>
      <c r="AI166" s="284"/>
      <c r="AJ166" s="284"/>
      <c r="AK166" s="284"/>
      <c r="AL166" s="284"/>
      <c r="AM166" s="284"/>
      <c r="AN166" s="284"/>
      <c r="AO166" s="284"/>
      <c r="AP166" s="284"/>
      <c r="AQ166" s="284"/>
      <c r="AR166" s="284"/>
      <c r="AS166" s="284"/>
      <c r="AT166" s="284"/>
      <c r="AU166" s="284"/>
      <c r="AV166" s="284"/>
      <c r="AW166" s="284"/>
      <c r="AX166" s="284"/>
      <c r="AY166" s="284"/>
      <c r="AZ166" s="284"/>
      <c r="BA166" s="284"/>
      <c r="BB166" s="284"/>
      <c r="BC166" s="284"/>
      <c r="BD166" s="284"/>
      <c r="BE166" s="284"/>
      <c r="BF166" s="284"/>
      <c r="BG166" s="284"/>
      <c r="BH166" s="284"/>
      <c r="BI166" s="284"/>
      <c r="BJ166" s="284"/>
      <c r="BK166" s="284"/>
      <c r="BL166" s="284"/>
      <c r="BM166" s="284"/>
      <c r="BN166" s="284"/>
      <c r="BO166" s="284"/>
      <c r="BP166" s="284"/>
      <c r="BQ166" s="284"/>
      <c r="BR166" s="284"/>
      <c r="BS166" s="284"/>
      <c r="BT166" s="284"/>
      <c r="BU166" s="284"/>
      <c r="BV166" s="284"/>
      <c r="BW166" s="284"/>
      <c r="BX166" s="284"/>
      <c r="BY166" s="284"/>
      <c r="BZ166" s="284"/>
      <c r="CA166" s="284"/>
      <c r="CB166" s="284"/>
      <c r="CC166" s="284"/>
      <c r="CD166" s="284"/>
      <c r="CE166" s="284"/>
      <c r="CF166" s="284"/>
      <c r="CG166" s="284"/>
    </row>
    <row r="167" spans="1:85" x14ac:dyDescent="0.35">
      <c r="A167" s="284" t="s">
        <v>5309</v>
      </c>
      <c r="B167" s="284" t="s">
        <v>5310</v>
      </c>
      <c r="C167" t="s">
        <v>13021</v>
      </c>
      <c r="D167" s="284" t="s">
        <v>13022</v>
      </c>
      <c r="E167" s="284" t="s">
        <v>13023</v>
      </c>
      <c r="F167" s="284" t="s">
        <v>13348</v>
      </c>
      <c r="G167" s="284" t="s">
        <v>13000</v>
      </c>
      <c r="H167" s="284" t="s">
        <v>13462</v>
      </c>
      <c r="I167" s="284" t="s">
        <v>13001</v>
      </c>
      <c r="J167" s="284" t="s">
        <v>13050</v>
      </c>
      <c r="K167" s="284" t="s">
        <v>13028</v>
      </c>
      <c r="L167" s="284" t="s">
        <v>13199</v>
      </c>
      <c r="M167" s="284" t="s">
        <v>13002</v>
      </c>
      <c r="N167" s="284" t="s">
        <v>13003</v>
      </c>
      <c r="O167" s="284" t="s">
        <v>13066</v>
      </c>
      <c r="P167" s="284" t="s">
        <v>13005</v>
      </c>
      <c r="Q167" s="284" t="s">
        <v>13101</v>
      </c>
      <c r="R167" s="284" t="s">
        <v>13006</v>
      </c>
      <c r="S167" s="284" t="s">
        <v>13103</v>
      </c>
      <c r="T167" s="284" t="s">
        <v>13054</v>
      </c>
      <c r="U167" s="284" t="s">
        <v>13131</v>
      </c>
      <c r="V167" s="284" t="s">
        <v>13341</v>
      </c>
      <c r="W167" s="284" t="s">
        <v>13133</v>
      </c>
      <c r="X167" s="284" t="s">
        <v>13135</v>
      </c>
      <c r="Y167" s="284" t="s">
        <v>13104</v>
      </c>
      <c r="Z167" s="284" t="s">
        <v>13033</v>
      </c>
      <c r="AA167" s="284" t="s">
        <v>13037</v>
      </c>
      <c r="AB167" s="284" t="s">
        <v>13038</v>
      </c>
      <c r="AC167" s="284" t="s">
        <v>13039</v>
      </c>
      <c r="AD167" s="284" t="s">
        <v>13091</v>
      </c>
      <c r="AE167" s="284" t="s">
        <v>13009</v>
      </c>
      <c r="AF167" s="284" t="s">
        <v>13203</v>
      </c>
      <c r="AG167" s="284" t="s">
        <v>13011</v>
      </c>
      <c r="AH167" s="284" t="s">
        <v>13012</v>
      </c>
      <c r="AI167" s="284" t="s">
        <v>13014</v>
      </c>
      <c r="AJ167" s="284" t="s">
        <v>13165</v>
      </c>
      <c r="AK167" s="284" t="s">
        <v>13395</v>
      </c>
      <c r="AL167" s="284"/>
      <c r="AM167" s="284"/>
      <c r="AN167" s="284"/>
      <c r="AO167" s="284"/>
      <c r="AP167" s="284"/>
      <c r="AQ167" s="284"/>
      <c r="AR167" s="284"/>
      <c r="AS167" s="284"/>
      <c r="AT167" s="284"/>
      <c r="AU167" s="284"/>
      <c r="AV167" s="284"/>
      <c r="AW167" s="284"/>
      <c r="AX167" s="284"/>
      <c r="AY167" s="284"/>
      <c r="AZ167" s="284"/>
      <c r="BA167" s="284"/>
      <c r="BB167" s="284"/>
      <c r="BC167" s="284"/>
      <c r="BD167" s="284"/>
      <c r="BE167" s="284"/>
      <c r="BF167" s="284"/>
      <c r="BG167" s="284"/>
      <c r="BH167" s="284"/>
      <c r="BI167" s="284"/>
      <c r="BJ167" s="284"/>
      <c r="BK167" s="284"/>
      <c r="BL167" s="284"/>
      <c r="BM167" s="284"/>
      <c r="BN167" s="284"/>
      <c r="BO167" s="284"/>
      <c r="BP167" s="284"/>
      <c r="BQ167" s="284"/>
      <c r="BR167" s="284"/>
      <c r="BS167" s="284"/>
      <c r="BT167" s="284"/>
      <c r="BU167" s="284"/>
      <c r="BV167" s="284"/>
      <c r="BW167" s="284"/>
      <c r="BX167" s="284"/>
      <c r="BY167" s="284"/>
      <c r="BZ167" s="284"/>
      <c r="CA167" s="284"/>
      <c r="CB167" s="284"/>
      <c r="CC167" s="284"/>
      <c r="CD167" s="284"/>
      <c r="CE167" s="284"/>
      <c r="CF167" s="284"/>
      <c r="CG167" s="284"/>
    </row>
    <row r="168" spans="1:85" x14ac:dyDescent="0.35">
      <c r="A168" s="284" t="s">
        <v>6831</v>
      </c>
      <c r="B168" s="284" t="s">
        <v>6832</v>
      </c>
      <c r="C168" t="s">
        <v>14039</v>
      </c>
      <c r="D168" s="284" t="s">
        <v>13064</v>
      </c>
      <c r="E168" s="284" t="s">
        <v>13021</v>
      </c>
      <c r="F168" s="284" t="s">
        <v>13022</v>
      </c>
      <c r="G168" s="284" t="s">
        <v>13065</v>
      </c>
      <c r="H168" s="284" t="s">
        <v>13024</v>
      </c>
      <c r="I168" s="284" t="s">
        <v>13085</v>
      </c>
      <c r="J168" s="284" t="s">
        <v>13025</v>
      </c>
      <c r="K168" s="284" t="s">
        <v>13027</v>
      </c>
      <c r="L168" s="284" t="s">
        <v>13028</v>
      </c>
      <c r="M168" s="284" t="s">
        <v>13003</v>
      </c>
      <c r="N168" s="284" t="s">
        <v>13066</v>
      </c>
      <c r="O168" s="284" t="s">
        <v>13651</v>
      </c>
      <c r="P168" s="284" t="s">
        <v>13296</v>
      </c>
      <c r="Q168" s="284" t="s">
        <v>13030</v>
      </c>
      <c r="R168" s="284" t="s">
        <v>13068</v>
      </c>
      <c r="S168" s="284" t="s">
        <v>13032</v>
      </c>
      <c r="T168" s="284" t="s">
        <v>13033</v>
      </c>
      <c r="U168" s="284" t="s">
        <v>13034</v>
      </c>
      <c r="V168" s="284" t="s">
        <v>13035</v>
      </c>
      <c r="W168" s="284" t="s">
        <v>13036</v>
      </c>
      <c r="X168" s="284" t="s">
        <v>13105</v>
      </c>
      <c r="Y168" s="284" t="s">
        <v>13037</v>
      </c>
      <c r="Z168" s="284" t="s">
        <v>13038</v>
      </c>
      <c r="AA168" s="284" t="s">
        <v>13039</v>
      </c>
      <c r="AB168" s="284" t="s">
        <v>13009</v>
      </c>
      <c r="AC168" s="284" t="s">
        <v>13041</v>
      </c>
      <c r="AD168" s="284" t="s">
        <v>14040</v>
      </c>
      <c r="AE168" s="284" t="s">
        <v>13016</v>
      </c>
      <c r="AF168" s="284"/>
      <c r="AG168" s="284"/>
      <c r="AH168" s="284"/>
      <c r="AI168" s="284"/>
      <c r="AJ168" s="284"/>
      <c r="AK168" s="284"/>
      <c r="AL168" s="284"/>
      <c r="AM168" s="284"/>
      <c r="AN168" s="284"/>
      <c r="AO168" s="284"/>
      <c r="AP168" s="284"/>
      <c r="AQ168" s="284"/>
      <c r="AR168" s="284"/>
      <c r="AS168" s="284"/>
      <c r="AT168" s="284"/>
      <c r="AU168" s="284"/>
      <c r="AV168" s="284"/>
      <c r="AW168" s="284"/>
      <c r="AX168" s="284"/>
      <c r="AY168" s="284"/>
      <c r="AZ168" s="284"/>
      <c r="BA168" s="284"/>
      <c r="BB168" s="284"/>
      <c r="BC168" s="284"/>
      <c r="BD168" s="284"/>
      <c r="BE168" s="284"/>
      <c r="BF168" s="284"/>
      <c r="BG168" s="284"/>
      <c r="BH168" s="284"/>
      <c r="BI168" s="284"/>
      <c r="BJ168" s="284"/>
      <c r="BK168" s="284"/>
      <c r="BL168" s="284"/>
      <c r="BM168" s="284"/>
      <c r="BN168" s="284"/>
      <c r="BO168" s="284"/>
      <c r="BP168" s="284"/>
      <c r="BQ168" s="284"/>
      <c r="BR168" s="284"/>
      <c r="BS168" s="284"/>
      <c r="BT168" s="284"/>
      <c r="BU168" s="284"/>
      <c r="BV168" s="284"/>
      <c r="BW168" s="284"/>
      <c r="BX168" s="284"/>
      <c r="BY168" s="284"/>
      <c r="BZ168" s="284"/>
      <c r="CA168" s="284"/>
      <c r="CB168" s="284"/>
      <c r="CC168" s="284"/>
      <c r="CD168" s="284"/>
      <c r="CE168" s="284"/>
      <c r="CF168" s="284"/>
      <c r="CG168" s="284"/>
    </row>
    <row r="169" spans="1:85" x14ac:dyDescent="0.35">
      <c r="A169" s="284" t="s">
        <v>813</v>
      </c>
      <c r="B169" s="284" t="s">
        <v>814</v>
      </c>
      <c r="C169" s="284" t="s">
        <v>13064</v>
      </c>
      <c r="D169" s="284" t="s">
        <v>13022</v>
      </c>
      <c r="E169" s="284" t="s">
        <v>13023</v>
      </c>
      <c r="F169" s="284" t="s">
        <v>13065</v>
      </c>
      <c r="G169" s="284" t="s">
        <v>13273</v>
      </c>
      <c r="H169" s="284" t="s">
        <v>13025</v>
      </c>
      <c r="I169" s="284" t="s">
        <v>13027</v>
      </c>
      <c r="J169" s="284" t="s">
        <v>13028</v>
      </c>
      <c r="K169" s="284" t="s">
        <v>13002</v>
      </c>
      <c r="L169" s="284" t="s">
        <v>13003</v>
      </c>
      <c r="M169" s="284" t="s">
        <v>13066</v>
      </c>
      <c r="N169" s="284" t="s">
        <v>13651</v>
      </c>
      <c r="O169" s="284" t="s">
        <v>13296</v>
      </c>
      <c r="P169" s="284" t="s">
        <v>13068</v>
      </c>
      <c r="Q169" s="284" t="s">
        <v>13033</v>
      </c>
      <c r="R169" s="284" t="s">
        <v>13034</v>
      </c>
      <c r="S169" s="284" t="s">
        <v>13035</v>
      </c>
      <c r="T169" s="284" t="s">
        <v>13036</v>
      </c>
      <c r="U169" s="284" t="s">
        <v>13038</v>
      </c>
      <c r="V169" s="284" t="s">
        <v>13009</v>
      </c>
      <c r="W169" s="284" t="s">
        <v>13042</v>
      </c>
      <c r="X169" s="284"/>
      <c r="Y169" s="284"/>
      <c r="Z169" s="284"/>
      <c r="AA169" s="284"/>
      <c r="AB169" s="284"/>
      <c r="AC169" s="284"/>
      <c r="AD169" s="284"/>
      <c r="AE169" s="284"/>
      <c r="AF169" s="284"/>
      <c r="AG169" s="284"/>
      <c r="AH169" s="284"/>
      <c r="AI169" s="284"/>
      <c r="AJ169" s="284"/>
      <c r="AK169" s="284"/>
      <c r="AL169" s="284"/>
      <c r="AM169" s="284"/>
      <c r="AN169" s="284"/>
      <c r="AO169" s="284"/>
      <c r="AP169" s="284"/>
      <c r="AQ169" s="284"/>
      <c r="AR169" s="284"/>
      <c r="AS169" s="284"/>
      <c r="AT169" s="284"/>
      <c r="AU169" s="284"/>
      <c r="AV169" s="284"/>
      <c r="AW169" s="284"/>
      <c r="AX169" s="284"/>
      <c r="AY169" s="284"/>
      <c r="AZ169" s="284"/>
      <c r="BA169" s="284"/>
      <c r="BB169" s="284"/>
      <c r="BC169" s="284"/>
      <c r="BD169" s="284"/>
      <c r="BE169" s="284"/>
      <c r="BF169" s="284"/>
      <c r="BG169" s="284"/>
      <c r="BH169" s="284"/>
      <c r="BI169" s="284"/>
      <c r="BJ169" s="284"/>
      <c r="BK169" s="284"/>
      <c r="BL169" s="284"/>
      <c r="BM169" s="284"/>
      <c r="BN169" s="284"/>
      <c r="BO169" s="284"/>
      <c r="BP169" s="284"/>
      <c r="BQ169" s="284"/>
      <c r="BR169" s="284"/>
      <c r="BS169" s="284"/>
      <c r="BT169" s="284"/>
      <c r="BU169" s="284"/>
      <c r="BV169" s="284"/>
      <c r="BW169" s="284"/>
      <c r="BX169" s="284"/>
      <c r="BY169" s="284"/>
      <c r="BZ169" s="284"/>
      <c r="CA169" s="284"/>
      <c r="CB169" s="284"/>
      <c r="CC169" s="284"/>
      <c r="CD169" s="284"/>
      <c r="CE169" s="284"/>
      <c r="CF169" s="284"/>
    </row>
    <row r="170" spans="1:85" x14ac:dyDescent="0.35">
      <c r="A170" s="284" t="s">
        <v>7166</v>
      </c>
      <c r="B170" s="284" t="s">
        <v>7167</v>
      </c>
      <c r="C170" t="s">
        <v>14041</v>
      </c>
      <c r="D170" s="284" t="s">
        <v>13023</v>
      </c>
      <c r="E170" s="284" t="s">
        <v>13330</v>
      </c>
      <c r="F170" s="284" t="s">
        <v>13000</v>
      </c>
      <c r="G170" s="284" t="s">
        <v>13085</v>
      </c>
      <c r="H170" s="284" t="s">
        <v>13087</v>
      </c>
      <c r="I170" s="284" t="s">
        <v>13001</v>
      </c>
      <c r="J170" s="284" t="s">
        <v>13050</v>
      </c>
      <c r="K170" s="284" t="s">
        <v>13002</v>
      </c>
      <c r="L170" s="284" t="s">
        <v>14042</v>
      </c>
      <c r="M170" s="284" t="s">
        <v>13003</v>
      </c>
      <c r="N170" s="284" t="s">
        <v>13066</v>
      </c>
      <c r="O170" s="284" t="s">
        <v>13077</v>
      </c>
      <c r="P170" s="284" t="s">
        <v>13033</v>
      </c>
      <c r="Q170" s="284" t="s">
        <v>13034</v>
      </c>
      <c r="R170" s="284" t="s">
        <v>13036</v>
      </c>
      <c r="S170" s="284" t="s">
        <v>13090</v>
      </c>
      <c r="T170" s="284" t="s">
        <v>13091</v>
      </c>
      <c r="U170" s="284" t="s">
        <v>13016</v>
      </c>
      <c r="V170" s="284"/>
      <c r="W170" s="284"/>
      <c r="X170" s="284"/>
      <c r="Y170" s="284"/>
      <c r="Z170" s="284"/>
      <c r="AA170" s="284"/>
      <c r="AB170" s="284"/>
      <c r="AC170" s="284"/>
      <c r="AD170" s="284"/>
      <c r="AE170" s="284"/>
      <c r="AF170" s="284"/>
      <c r="AG170" s="284"/>
      <c r="AH170" s="284"/>
      <c r="AI170" s="284"/>
      <c r="AJ170" s="284"/>
      <c r="AK170" s="284"/>
      <c r="AL170" s="284"/>
      <c r="AM170" s="284"/>
      <c r="AN170" s="284"/>
      <c r="AO170" s="284"/>
      <c r="AP170" s="284"/>
      <c r="AQ170" s="284"/>
      <c r="AR170" s="284"/>
      <c r="AS170" s="284"/>
      <c r="AT170" s="284"/>
      <c r="AU170" s="284"/>
      <c r="AV170" s="284"/>
      <c r="AW170" s="284"/>
      <c r="AX170" s="284"/>
      <c r="AY170" s="284"/>
      <c r="AZ170" s="284"/>
      <c r="BA170" s="284"/>
      <c r="BB170" s="284"/>
      <c r="BC170" s="284"/>
      <c r="BD170" s="284"/>
      <c r="BE170" s="284"/>
      <c r="BF170" s="284"/>
      <c r="BG170" s="284"/>
      <c r="BH170" s="284"/>
      <c r="BI170" s="284"/>
      <c r="BJ170" s="284"/>
      <c r="BK170" s="284"/>
      <c r="BL170" s="284"/>
      <c r="BM170" s="284"/>
      <c r="BN170" s="284"/>
      <c r="BO170" s="284"/>
      <c r="BP170" s="284"/>
      <c r="BQ170" s="284"/>
      <c r="BR170" s="284"/>
      <c r="BS170" s="284"/>
      <c r="BT170" s="284"/>
      <c r="BU170" s="284"/>
      <c r="BV170" s="284"/>
      <c r="BW170" s="284"/>
      <c r="BX170" s="284"/>
      <c r="BY170" s="284"/>
      <c r="BZ170" s="284"/>
      <c r="CA170" s="284"/>
      <c r="CB170" s="284"/>
      <c r="CC170" s="284"/>
      <c r="CD170" s="284"/>
      <c r="CE170" s="284"/>
      <c r="CF170" s="284"/>
      <c r="CG170" s="284"/>
    </row>
    <row r="171" spans="1:85" x14ac:dyDescent="0.35">
      <c r="A171" s="284" t="s">
        <v>2673</v>
      </c>
      <c r="B171" s="284" t="s">
        <v>2674</v>
      </c>
      <c r="C171" s="284" t="s">
        <v>14043</v>
      </c>
      <c r="D171" s="284" t="s">
        <v>13072</v>
      </c>
      <c r="E171" s="284" t="s">
        <v>13021</v>
      </c>
      <c r="F171" s="284" t="s">
        <v>13022</v>
      </c>
      <c r="G171" s="284" t="s">
        <v>13023</v>
      </c>
      <c r="H171" s="284" t="s">
        <v>13082</v>
      </c>
      <c r="I171" s="284" t="s">
        <v>13065</v>
      </c>
      <c r="J171" s="284" t="s">
        <v>13159</v>
      </c>
      <c r="K171" s="284" t="s">
        <v>13238</v>
      </c>
      <c r="L171" s="284" t="s">
        <v>13198</v>
      </c>
      <c r="M171" s="284" t="s">
        <v>13119</v>
      </c>
      <c r="N171" s="284" t="s">
        <v>13024</v>
      </c>
      <c r="O171" s="284" t="s">
        <v>13085</v>
      </c>
      <c r="P171" s="284" t="s">
        <v>13049</v>
      </c>
      <c r="Q171" s="284" t="s">
        <v>13026</v>
      </c>
      <c r="R171" s="284" t="s">
        <v>13027</v>
      </c>
      <c r="S171" s="284" t="s">
        <v>14044</v>
      </c>
      <c r="T171" s="284" t="s">
        <v>13243</v>
      </c>
      <c r="U171" s="284" t="s">
        <v>13028</v>
      </c>
      <c r="V171" s="284" t="s">
        <v>13002</v>
      </c>
      <c r="W171" s="284" t="s">
        <v>13003</v>
      </c>
      <c r="X171" s="284" t="s">
        <v>13004</v>
      </c>
      <c r="Y171" s="284" t="s">
        <v>13066</v>
      </c>
      <c r="Z171" s="284" t="s">
        <v>13201</v>
      </c>
      <c r="AA171" s="284" t="s">
        <v>13076</v>
      </c>
      <c r="AB171" s="284" t="s">
        <v>13005</v>
      </c>
      <c r="AC171" s="284" t="s">
        <v>13029</v>
      </c>
      <c r="AD171" s="284" t="s">
        <v>13400</v>
      </c>
      <c r="AE171" s="284" t="s">
        <v>13006</v>
      </c>
      <c r="AF171" s="284" t="s">
        <v>13248</v>
      </c>
      <c r="AG171" s="284" t="s">
        <v>14045</v>
      </c>
      <c r="AH171" s="284" t="s">
        <v>13030</v>
      </c>
      <c r="AI171" s="284" t="s">
        <v>13008</v>
      </c>
      <c r="AJ171" s="284" t="s">
        <v>13077</v>
      </c>
      <c r="AK171" s="284" t="s">
        <v>13055</v>
      </c>
      <c r="AL171" s="284" t="s">
        <v>14046</v>
      </c>
      <c r="AM171" s="284" t="s">
        <v>13104</v>
      </c>
      <c r="AN171" s="284" t="s">
        <v>13033</v>
      </c>
      <c r="AO171" s="284" t="s">
        <v>13034</v>
      </c>
      <c r="AP171" s="284" t="s">
        <v>13035</v>
      </c>
      <c r="AQ171" s="284" t="s">
        <v>13105</v>
      </c>
      <c r="AR171" s="284" t="s">
        <v>13038</v>
      </c>
      <c r="AS171" s="284" t="s">
        <v>13039</v>
      </c>
      <c r="AT171" s="284" t="s">
        <v>13009</v>
      </c>
      <c r="AU171" s="284" t="s">
        <v>13011</v>
      </c>
      <c r="AV171" s="284" t="s">
        <v>13041</v>
      </c>
      <c r="AW171" s="284" t="s">
        <v>13205</v>
      </c>
      <c r="AX171" s="284" t="s">
        <v>13012</v>
      </c>
      <c r="AY171" s="284" t="s">
        <v>13206</v>
      </c>
      <c r="AZ171" s="284" t="s">
        <v>13014</v>
      </c>
      <c r="BA171" s="284" t="s">
        <v>14047</v>
      </c>
      <c r="BB171" s="284" t="s">
        <v>13042</v>
      </c>
      <c r="BC171" s="284" t="s">
        <v>13016</v>
      </c>
      <c r="BD171" s="284" t="s">
        <v>13144</v>
      </c>
      <c r="BE171" s="284" t="s">
        <v>14048</v>
      </c>
      <c r="BF171" s="284" t="s">
        <v>13207</v>
      </c>
      <c r="BG171" s="284"/>
      <c r="BH171" s="284"/>
      <c r="BI171" s="284"/>
      <c r="BJ171" s="284"/>
      <c r="BK171" s="284"/>
      <c r="BL171" s="284"/>
      <c r="BM171" s="284"/>
      <c r="BN171" s="284"/>
      <c r="BO171" s="284"/>
      <c r="BP171" s="284"/>
      <c r="BQ171" s="284"/>
      <c r="BR171" s="284"/>
      <c r="BS171" s="284"/>
      <c r="BT171" s="284"/>
      <c r="BU171" s="284"/>
      <c r="BV171" s="284"/>
      <c r="BW171" s="284"/>
      <c r="BX171" s="284"/>
      <c r="BY171" s="284"/>
      <c r="BZ171" s="284"/>
      <c r="CA171" s="284"/>
      <c r="CB171" s="284"/>
      <c r="CC171" s="284"/>
      <c r="CD171" s="284"/>
      <c r="CE171" s="284"/>
      <c r="CF171" s="284"/>
    </row>
    <row r="172" spans="1:85" x14ac:dyDescent="0.35">
      <c r="A172" s="284" t="s">
        <v>1267</v>
      </c>
      <c r="B172" s="284" t="s">
        <v>1268</v>
      </c>
      <c r="C172" t="s">
        <v>14049</v>
      </c>
      <c r="D172" s="284" t="s">
        <v>13167</v>
      </c>
      <c r="E172" s="284" t="s">
        <v>13021</v>
      </c>
      <c r="F172" s="284" t="s">
        <v>13023</v>
      </c>
      <c r="G172" s="284" t="s">
        <v>13048</v>
      </c>
      <c r="H172" s="284" t="s">
        <v>13082</v>
      </c>
      <c r="I172" s="284" t="s">
        <v>13183</v>
      </c>
      <c r="J172" s="284" t="s">
        <v>13184</v>
      </c>
      <c r="K172" s="284" t="s">
        <v>13369</v>
      </c>
      <c r="L172" s="284" t="s">
        <v>13186</v>
      </c>
      <c r="M172" s="284" t="s">
        <v>13119</v>
      </c>
      <c r="N172" s="284" t="s">
        <v>13187</v>
      </c>
      <c r="O172" s="284" t="s">
        <v>13074</v>
      </c>
      <c r="P172" s="284" t="s">
        <v>13049</v>
      </c>
      <c r="Q172" s="284" t="s">
        <v>13027</v>
      </c>
      <c r="R172" s="284" t="s">
        <v>13001</v>
      </c>
      <c r="S172" s="284" t="s">
        <v>13028</v>
      </c>
      <c r="T172" s="284" t="s">
        <v>13160</v>
      </c>
      <c r="U172" s="284" t="s">
        <v>13002</v>
      </c>
      <c r="V172" s="284" t="s">
        <v>13003</v>
      </c>
      <c r="W172" s="284" t="s">
        <v>13066</v>
      </c>
      <c r="X172" s="284" t="s">
        <v>13170</v>
      </c>
      <c r="Y172" s="284" t="s">
        <v>13190</v>
      </c>
      <c r="Z172" s="284" t="s">
        <v>14050</v>
      </c>
      <c r="AA172" s="284" t="s">
        <v>13005</v>
      </c>
      <c r="AB172" s="284" t="s">
        <v>13029</v>
      </c>
      <c r="AC172" s="284" t="s">
        <v>13191</v>
      </c>
      <c r="AD172" s="284" t="s">
        <v>13192</v>
      </c>
      <c r="AE172" s="284" t="s">
        <v>13007</v>
      </c>
      <c r="AF172" s="284" t="s">
        <v>13193</v>
      </c>
      <c r="AG172" s="284" t="s">
        <v>13516</v>
      </c>
      <c r="AH172" s="284" t="s">
        <v>13033</v>
      </c>
      <c r="AI172" s="284" t="s">
        <v>13034</v>
      </c>
      <c r="AJ172" s="284" t="s">
        <v>13394</v>
      </c>
      <c r="AK172" s="284" t="s">
        <v>13038</v>
      </c>
      <c r="AL172" s="284" t="s">
        <v>13078</v>
      </c>
      <c r="AM172" s="284" t="s">
        <v>13009</v>
      </c>
      <c r="AN172" s="284" t="s">
        <v>14051</v>
      </c>
      <c r="AO172" s="284" t="s">
        <v>13058</v>
      </c>
      <c r="AP172" s="284" t="s">
        <v>13205</v>
      </c>
      <c r="AQ172" s="284" t="s">
        <v>13012</v>
      </c>
      <c r="AR172" s="284" t="s">
        <v>13285</v>
      </c>
      <c r="AS172" s="284" t="s">
        <v>13014</v>
      </c>
      <c r="AT172" s="284" t="s">
        <v>13156</v>
      </c>
      <c r="AU172" s="284" t="s">
        <v>13016</v>
      </c>
      <c r="AV172" s="284" t="s">
        <v>13542</v>
      </c>
      <c r="AW172" s="284"/>
      <c r="AX172" s="284"/>
      <c r="AY172" s="284"/>
      <c r="AZ172" s="284"/>
      <c r="BA172" s="284"/>
      <c r="BB172" s="284"/>
      <c r="BC172" s="284"/>
      <c r="BD172" s="284"/>
      <c r="BE172" s="284"/>
      <c r="BF172" s="284"/>
      <c r="BG172" s="284"/>
      <c r="BH172" s="284"/>
      <c r="BI172" s="284"/>
      <c r="BJ172" s="284"/>
      <c r="BK172" s="284"/>
      <c r="BL172" s="284"/>
      <c r="BM172" s="284"/>
      <c r="BN172" s="284"/>
      <c r="BO172" s="284"/>
      <c r="BP172" s="284"/>
      <c r="BQ172" s="284"/>
      <c r="BR172" s="284"/>
      <c r="BS172" s="284"/>
      <c r="BT172" s="284"/>
      <c r="BU172" s="284"/>
      <c r="BV172" s="284"/>
      <c r="BW172" s="284"/>
      <c r="BX172" s="284"/>
      <c r="BY172" s="284"/>
      <c r="BZ172" s="284"/>
      <c r="CA172" s="284"/>
      <c r="CB172" s="284"/>
      <c r="CC172" s="284"/>
      <c r="CD172" s="284"/>
      <c r="CE172" s="284"/>
      <c r="CF172" s="284"/>
      <c r="CG172" s="284"/>
    </row>
    <row r="173" spans="1:85" x14ac:dyDescent="0.35">
      <c r="A173" s="284" t="s">
        <v>10518</v>
      </c>
      <c r="B173" s="284" t="s">
        <v>10519</v>
      </c>
      <c r="C173" s="284" t="s">
        <v>14052</v>
      </c>
      <c r="D173" s="284" t="s">
        <v>13023</v>
      </c>
      <c r="E173" s="284" t="s">
        <v>13113</v>
      </c>
      <c r="F173" s="284" t="s">
        <v>13547</v>
      </c>
      <c r="G173" s="284" t="s">
        <v>13065</v>
      </c>
      <c r="H173" s="284" t="s">
        <v>13549</v>
      </c>
      <c r="I173" s="284" t="s">
        <v>13238</v>
      </c>
      <c r="J173" s="284" t="s">
        <v>13574</v>
      </c>
      <c r="K173" s="284" t="s">
        <v>13119</v>
      </c>
      <c r="L173" s="284" t="s">
        <v>13553</v>
      </c>
      <c r="M173" s="284" t="s">
        <v>13001</v>
      </c>
      <c r="N173" s="284" t="s">
        <v>13149</v>
      </c>
      <c r="O173" s="284" t="s">
        <v>13554</v>
      </c>
      <c r="P173" s="284" t="s">
        <v>13028</v>
      </c>
      <c r="Q173" s="284" t="s">
        <v>13002</v>
      </c>
      <c r="R173" s="284" t="s">
        <v>13003</v>
      </c>
      <c r="S173" s="284" t="s">
        <v>13066</v>
      </c>
      <c r="T173" s="284" t="s">
        <v>13557</v>
      </c>
      <c r="U173" s="284" t="s">
        <v>13005</v>
      </c>
      <c r="V173" s="284" t="s">
        <v>13006</v>
      </c>
      <c r="W173" s="284" t="s">
        <v>13596</v>
      </c>
      <c r="X173" s="284" t="s">
        <v>13033</v>
      </c>
      <c r="Y173" s="284" t="s">
        <v>13034</v>
      </c>
      <c r="Z173" s="284" t="s">
        <v>13036</v>
      </c>
      <c r="AA173" s="284" t="s">
        <v>13560</v>
      </c>
      <c r="AB173" s="284" t="s">
        <v>13037</v>
      </c>
      <c r="AC173" s="284" t="s">
        <v>13009</v>
      </c>
      <c r="AD173" s="284" t="s">
        <v>14053</v>
      </c>
      <c r="AE173" s="284" t="s">
        <v>13107</v>
      </c>
      <c r="AF173" s="284" t="s">
        <v>13042</v>
      </c>
      <c r="AG173" s="284" t="s">
        <v>14054</v>
      </c>
      <c r="AH173" s="284" t="s">
        <v>13096</v>
      </c>
      <c r="AI173" s="284" t="s">
        <v>13061</v>
      </c>
      <c r="AJ173" s="284" t="s">
        <v>13704</v>
      </c>
      <c r="AK173" s="284" t="s">
        <v>13156</v>
      </c>
      <c r="AL173" s="284" t="s">
        <v>14055</v>
      </c>
      <c r="AM173" s="284"/>
      <c r="AN173" s="284"/>
      <c r="AO173" s="284"/>
      <c r="AP173" s="284"/>
      <c r="AQ173" s="284"/>
      <c r="AR173" s="284"/>
      <c r="AS173" s="284"/>
      <c r="AT173" s="284"/>
      <c r="AU173" s="284"/>
      <c r="AV173" s="284"/>
      <c r="AW173" s="284"/>
      <c r="AX173" s="284"/>
      <c r="AY173" s="284"/>
      <c r="AZ173" s="284"/>
      <c r="BA173" s="284"/>
      <c r="BB173" s="284"/>
      <c r="BC173" s="284"/>
      <c r="BD173" s="284"/>
      <c r="BE173" s="284"/>
      <c r="BF173" s="284"/>
      <c r="BG173" s="284"/>
      <c r="BH173" s="284"/>
      <c r="BI173" s="284"/>
      <c r="BJ173" s="284"/>
      <c r="BK173" s="284"/>
      <c r="BL173" s="284"/>
      <c r="BM173" s="284"/>
      <c r="BN173" s="284"/>
      <c r="BO173" s="284"/>
      <c r="BP173" s="284"/>
      <c r="BQ173" s="284"/>
      <c r="BR173" s="284"/>
      <c r="BS173" s="284"/>
      <c r="BT173" s="284"/>
      <c r="BU173" s="284"/>
      <c r="BV173" s="284"/>
      <c r="BW173" s="284"/>
      <c r="BX173" s="284"/>
      <c r="BY173" s="284"/>
      <c r="BZ173" s="284"/>
      <c r="CA173" s="284"/>
      <c r="CB173" s="284"/>
      <c r="CC173" s="284"/>
      <c r="CD173" s="284"/>
      <c r="CE173" s="284"/>
      <c r="CF173" s="284"/>
    </row>
    <row r="174" spans="1:85" x14ac:dyDescent="0.35">
      <c r="A174" s="284" t="s">
        <v>8694</v>
      </c>
      <c r="B174" s="284" t="s">
        <v>8695</v>
      </c>
      <c r="C174" s="284" t="s">
        <v>14056</v>
      </c>
      <c r="D174" s="284" t="s">
        <v>13021</v>
      </c>
      <c r="E174" s="284" t="s">
        <v>13082</v>
      </c>
      <c r="F174" s="284" t="s">
        <v>13237</v>
      </c>
      <c r="G174" s="284" t="s">
        <v>13310</v>
      </c>
      <c r="H174" s="284" t="s">
        <v>13027</v>
      </c>
      <c r="I174" s="284" t="s">
        <v>13066</v>
      </c>
      <c r="J174" s="284" t="s">
        <v>13076</v>
      </c>
      <c r="K174" s="284" t="s">
        <v>13248</v>
      </c>
      <c r="L174" s="284" t="s">
        <v>13008</v>
      </c>
      <c r="M174" s="284" t="s">
        <v>13077</v>
      </c>
      <c r="N174" s="284" t="s">
        <v>13055</v>
      </c>
      <c r="O174" s="284" t="s">
        <v>13034</v>
      </c>
      <c r="P174" s="284" t="s">
        <v>13035</v>
      </c>
      <c r="Q174" s="284" t="s">
        <v>13039</v>
      </c>
      <c r="R174" s="284" t="s">
        <v>13011</v>
      </c>
      <c r="S174" s="284" t="s">
        <v>13041</v>
      </c>
      <c r="T174" s="284" t="s">
        <v>13012</v>
      </c>
      <c r="U174" s="284" t="s">
        <v>13608</v>
      </c>
      <c r="V174" s="284" t="s">
        <v>14057</v>
      </c>
      <c r="W174" s="284" t="s">
        <v>13269</v>
      </c>
      <c r="X174" s="284"/>
      <c r="Y174" s="284"/>
      <c r="Z174" s="284"/>
      <c r="AA174" s="284"/>
      <c r="AB174" s="284"/>
      <c r="AC174" s="284"/>
      <c r="AD174" s="284"/>
      <c r="AE174" s="284"/>
      <c r="AF174" s="284"/>
      <c r="AG174" s="284"/>
      <c r="AH174" s="284"/>
      <c r="AI174" s="284"/>
      <c r="AJ174" s="284"/>
      <c r="AK174" s="284"/>
      <c r="AL174" s="284"/>
      <c r="AM174" s="284"/>
      <c r="AN174" s="284"/>
      <c r="AO174" s="284"/>
      <c r="AP174" s="284"/>
      <c r="AQ174" s="284"/>
      <c r="AR174" s="284"/>
      <c r="AS174" s="284"/>
      <c r="AT174" s="284"/>
      <c r="AU174" s="284"/>
      <c r="AV174" s="284"/>
      <c r="AW174" s="284"/>
      <c r="AX174" s="284"/>
      <c r="AY174" s="284"/>
      <c r="AZ174" s="284"/>
      <c r="BA174" s="284"/>
      <c r="BB174" s="284"/>
      <c r="BC174" s="284"/>
      <c r="BD174" s="284"/>
      <c r="BE174" s="284"/>
      <c r="BF174" s="284"/>
      <c r="BG174" s="284"/>
      <c r="BH174" s="284"/>
      <c r="BI174" s="284"/>
      <c r="BJ174" s="284"/>
      <c r="BK174" s="284"/>
      <c r="BL174" s="284"/>
      <c r="BM174" s="284"/>
      <c r="BN174" s="284"/>
      <c r="BO174" s="284"/>
      <c r="BP174" s="284"/>
      <c r="BQ174" s="284"/>
      <c r="BR174" s="284"/>
      <c r="BS174" s="284"/>
      <c r="BT174" s="284"/>
      <c r="BU174" s="284"/>
      <c r="BV174" s="284"/>
      <c r="BW174" s="284"/>
      <c r="BX174" s="284"/>
      <c r="BY174" s="284"/>
      <c r="BZ174" s="284"/>
      <c r="CA174" s="284"/>
      <c r="CB174" s="284"/>
      <c r="CC174" s="284"/>
      <c r="CD174" s="284"/>
      <c r="CE174" s="284"/>
      <c r="CF174" s="284"/>
    </row>
    <row r="175" spans="1:85" x14ac:dyDescent="0.35">
      <c r="A175" s="284" t="s">
        <v>6621</v>
      </c>
      <c r="B175" s="284" t="s">
        <v>6622</v>
      </c>
      <c r="C175" t="s">
        <v>14058</v>
      </c>
      <c r="D175" s="284" t="s">
        <v>13020</v>
      </c>
      <c r="E175" s="284" t="s">
        <v>13021</v>
      </c>
      <c r="F175" s="284" t="s">
        <v>13022</v>
      </c>
      <c r="G175" s="284" t="s">
        <v>13115</v>
      </c>
      <c r="H175" s="284" t="s">
        <v>13024</v>
      </c>
      <c r="I175" s="284" t="s">
        <v>13074</v>
      </c>
      <c r="J175" s="284" t="s">
        <v>14059</v>
      </c>
      <c r="K175" s="284" t="s">
        <v>13026</v>
      </c>
      <c r="L175" s="284" t="s">
        <v>13271</v>
      </c>
      <c r="M175" s="284" t="s">
        <v>13027</v>
      </c>
      <c r="N175" s="284" t="s">
        <v>13028</v>
      </c>
      <c r="O175" s="284" t="s">
        <v>13003</v>
      </c>
      <c r="P175" s="284" t="s">
        <v>13076</v>
      </c>
      <c r="Q175" s="284" t="s">
        <v>13029</v>
      </c>
      <c r="R175" s="284" t="s">
        <v>13248</v>
      </c>
      <c r="S175" s="284" t="s">
        <v>13030</v>
      </c>
      <c r="T175" s="284" t="s">
        <v>13055</v>
      </c>
      <c r="U175" s="284" t="s">
        <v>13033</v>
      </c>
      <c r="V175" s="284" t="s">
        <v>13034</v>
      </c>
      <c r="W175" s="284" t="s">
        <v>13035</v>
      </c>
      <c r="X175" s="284" t="s">
        <v>13036</v>
      </c>
      <c r="Y175" s="284" t="s">
        <v>13091</v>
      </c>
      <c r="Z175" s="284" t="s">
        <v>13009</v>
      </c>
      <c r="AA175" s="284" t="s">
        <v>13012</v>
      </c>
      <c r="AB175" s="284" t="s">
        <v>13467</v>
      </c>
      <c r="AC175" s="284" t="s">
        <v>13042</v>
      </c>
      <c r="AD175" s="284" t="s">
        <v>13608</v>
      </c>
      <c r="AE175" s="284" t="s">
        <v>13264</v>
      </c>
      <c r="AF175" s="284"/>
      <c r="AG175" s="284"/>
      <c r="AH175" s="284"/>
      <c r="AI175" s="284"/>
      <c r="AJ175" s="284"/>
      <c r="AK175" s="284"/>
      <c r="AL175" s="284"/>
      <c r="AM175" s="284"/>
      <c r="AN175" s="284"/>
      <c r="AO175" s="284"/>
      <c r="AP175" s="284"/>
      <c r="AQ175" s="284"/>
      <c r="AR175" s="284"/>
      <c r="AS175" s="284"/>
      <c r="AT175" s="284"/>
      <c r="AU175" s="284"/>
      <c r="AV175" s="284"/>
      <c r="AW175" s="284"/>
      <c r="AX175" s="284"/>
      <c r="AY175" s="284"/>
      <c r="AZ175" s="284"/>
      <c r="BA175" s="284"/>
      <c r="BB175" s="284"/>
      <c r="BC175" s="284"/>
      <c r="BD175" s="284"/>
      <c r="BE175" s="284"/>
      <c r="BF175" s="284"/>
      <c r="BG175" s="284"/>
      <c r="BH175" s="284"/>
      <c r="BI175" s="284"/>
      <c r="BJ175" s="284"/>
      <c r="BK175" s="284"/>
      <c r="BL175" s="284"/>
      <c r="BM175" s="284"/>
      <c r="BN175" s="284"/>
      <c r="BO175" s="284"/>
      <c r="BP175" s="284"/>
      <c r="BQ175" s="284"/>
      <c r="BR175" s="284"/>
      <c r="BS175" s="284"/>
      <c r="BT175" s="284"/>
      <c r="BU175" s="284"/>
      <c r="BV175" s="284"/>
      <c r="BW175" s="284"/>
      <c r="BX175" s="284"/>
      <c r="BY175" s="284"/>
      <c r="BZ175" s="284"/>
      <c r="CA175" s="284"/>
      <c r="CB175" s="284"/>
      <c r="CC175" s="284"/>
      <c r="CD175" s="284"/>
      <c r="CE175" s="284"/>
      <c r="CF175" s="284"/>
      <c r="CG175" s="284"/>
    </row>
    <row r="176" spans="1:85" x14ac:dyDescent="0.35">
      <c r="A176" s="284" t="s">
        <v>2839</v>
      </c>
      <c r="B176" s="284" t="s">
        <v>2840</v>
      </c>
      <c r="C176" s="284" t="s">
        <v>14060</v>
      </c>
      <c r="D176" s="284" t="s">
        <v>13146</v>
      </c>
      <c r="E176" s="284" t="s">
        <v>13072</v>
      </c>
      <c r="F176" s="284" t="s">
        <v>13023</v>
      </c>
      <c r="G176" s="284" t="s">
        <v>13065</v>
      </c>
      <c r="H176" s="284" t="s">
        <v>13594</v>
      </c>
      <c r="I176" s="284" t="s">
        <v>13288</v>
      </c>
      <c r="J176" s="284" t="s">
        <v>13595</v>
      </c>
      <c r="K176" s="284" t="s">
        <v>14061</v>
      </c>
      <c r="L176" s="284" t="s">
        <v>13549</v>
      </c>
      <c r="M176" s="284" t="s">
        <v>13320</v>
      </c>
      <c r="N176" s="284" t="s">
        <v>13159</v>
      </c>
      <c r="O176" s="284" t="s">
        <v>13119</v>
      </c>
      <c r="P176" s="284" t="s">
        <v>13024</v>
      </c>
      <c r="Q176" s="284" t="s">
        <v>13099</v>
      </c>
      <c r="R176" s="284" t="s">
        <v>13552</v>
      </c>
      <c r="S176" s="284" t="s">
        <v>13500</v>
      </c>
      <c r="T176" s="284" t="s">
        <v>13027</v>
      </c>
      <c r="U176" s="284" t="s">
        <v>14062</v>
      </c>
      <c r="V176" s="284" t="s">
        <v>14063</v>
      </c>
      <c r="W176" s="284" t="s">
        <v>14064</v>
      </c>
      <c r="X176" s="284" t="s">
        <v>13028</v>
      </c>
      <c r="Y176" s="284" t="s">
        <v>13150</v>
      </c>
      <c r="Z176" s="284" t="s">
        <v>13160</v>
      </c>
      <c r="AA176" s="284" t="s">
        <v>13002</v>
      </c>
      <c r="AB176" s="284" t="s">
        <v>13003</v>
      </c>
      <c r="AC176" s="284" t="s">
        <v>13066</v>
      </c>
      <c r="AD176" s="284" t="s">
        <v>13323</v>
      </c>
      <c r="AE176" s="284" t="s">
        <v>13291</v>
      </c>
      <c r="AF176" s="284" t="s">
        <v>14065</v>
      </c>
      <c r="AG176" s="284" t="s">
        <v>13657</v>
      </c>
      <c r="AH176" s="284" t="s">
        <v>13557</v>
      </c>
      <c r="AI176" s="284" t="s">
        <v>14066</v>
      </c>
      <c r="AJ176" s="284" t="s">
        <v>13652</v>
      </c>
      <c r="AK176" s="284" t="s">
        <v>13872</v>
      </c>
      <c r="AL176" s="284" t="s">
        <v>13202</v>
      </c>
      <c r="AM176" s="284" t="s">
        <v>13284</v>
      </c>
      <c r="AN176" s="284" t="s">
        <v>13516</v>
      </c>
      <c r="AO176" s="284" t="s">
        <v>13559</v>
      </c>
      <c r="AP176" s="284" t="s">
        <v>13033</v>
      </c>
      <c r="AQ176" s="284" t="s">
        <v>13036</v>
      </c>
      <c r="AR176" s="284" t="s">
        <v>13560</v>
      </c>
      <c r="AS176" s="284" t="s">
        <v>13179</v>
      </c>
      <c r="AT176" s="284" t="s">
        <v>14067</v>
      </c>
      <c r="AU176" s="284" t="s">
        <v>14068</v>
      </c>
      <c r="AV176" s="284" t="s">
        <v>14069</v>
      </c>
      <c r="AW176" s="284" t="s">
        <v>13038</v>
      </c>
      <c r="AX176" s="284" t="s">
        <v>13039</v>
      </c>
      <c r="AY176" s="284" t="s">
        <v>13091</v>
      </c>
      <c r="AZ176" s="284" t="s">
        <v>13009</v>
      </c>
      <c r="BA176" s="284" t="s">
        <v>13873</v>
      </c>
      <c r="BB176" s="284" t="s">
        <v>13152</v>
      </c>
      <c r="BC176" s="284" t="s">
        <v>13832</v>
      </c>
      <c r="BD176" s="284" t="s">
        <v>13012</v>
      </c>
      <c r="BE176" s="284" t="s">
        <v>14070</v>
      </c>
      <c r="BF176" s="284" t="s">
        <v>13285</v>
      </c>
      <c r="BG176" s="284" t="s">
        <v>14071</v>
      </c>
      <c r="BH176" s="284" t="s">
        <v>13014</v>
      </c>
      <c r="BI176" s="284" t="s">
        <v>14072</v>
      </c>
      <c r="BJ176" s="284" t="s">
        <v>14073</v>
      </c>
      <c r="BK176" s="284" t="s">
        <v>13042</v>
      </c>
      <c r="BL176" s="284" t="s">
        <v>13096</v>
      </c>
      <c r="BM176" s="284" t="s">
        <v>13154</v>
      </c>
      <c r="BN176" s="284" t="s">
        <v>13155</v>
      </c>
      <c r="BO176" s="284" t="s">
        <v>13156</v>
      </c>
      <c r="BP176" s="284" t="s">
        <v>13016</v>
      </c>
      <c r="BQ176" s="284" t="s">
        <v>14074</v>
      </c>
      <c r="BR176" s="284" t="s">
        <v>13157</v>
      </c>
      <c r="BS176" s="284" t="s">
        <v>13286</v>
      </c>
      <c r="BT176" s="284"/>
      <c r="BU176" s="284"/>
      <c r="BV176" s="284"/>
      <c r="BW176" s="284"/>
      <c r="BX176" s="284"/>
      <c r="BY176" s="284"/>
      <c r="BZ176" s="284"/>
      <c r="CA176" s="284"/>
      <c r="CB176" s="284"/>
      <c r="CC176" s="284"/>
      <c r="CD176" s="284"/>
      <c r="CE176" s="284"/>
      <c r="CF176" s="284"/>
    </row>
    <row r="177" spans="1:85" x14ac:dyDescent="0.35">
      <c r="A177" s="284" t="s">
        <v>2505</v>
      </c>
      <c r="B177" s="284" t="s">
        <v>2506</v>
      </c>
      <c r="C177" t="s">
        <v>14075</v>
      </c>
      <c r="D177" s="284" t="s">
        <v>14076</v>
      </c>
      <c r="E177" s="284" t="s">
        <v>13021</v>
      </c>
      <c r="F177" s="284" t="s">
        <v>13023</v>
      </c>
      <c r="G177" s="284" t="s">
        <v>13113</v>
      </c>
      <c r="H177" s="284" t="s">
        <v>13082</v>
      </c>
      <c r="I177" s="284" t="s">
        <v>14077</v>
      </c>
      <c r="J177" s="284" t="s">
        <v>13547</v>
      </c>
      <c r="K177" s="284" t="s">
        <v>13065</v>
      </c>
      <c r="L177" s="284" t="s">
        <v>14078</v>
      </c>
      <c r="M177" s="284" t="s">
        <v>13549</v>
      </c>
      <c r="N177" s="284" t="s">
        <v>13119</v>
      </c>
      <c r="O177" s="284" t="s">
        <v>14079</v>
      </c>
      <c r="P177" s="284" t="s">
        <v>13553</v>
      </c>
      <c r="Q177" s="284" t="s">
        <v>13027</v>
      </c>
      <c r="R177" s="284" t="s">
        <v>13149</v>
      </c>
      <c r="S177" s="284" t="s">
        <v>13554</v>
      </c>
      <c r="T177" s="284" t="s">
        <v>13028</v>
      </c>
      <c r="U177" s="284" t="s">
        <v>14080</v>
      </c>
      <c r="V177" s="284" t="s">
        <v>13002</v>
      </c>
      <c r="W177" s="284" t="s">
        <v>13003</v>
      </c>
      <c r="X177" s="284" t="s">
        <v>13066</v>
      </c>
      <c r="Y177" s="284" t="s">
        <v>13557</v>
      </c>
      <c r="Z177" s="284" t="s">
        <v>13516</v>
      </c>
      <c r="AA177" s="284" t="s">
        <v>13596</v>
      </c>
      <c r="AB177" s="284" t="s">
        <v>13033</v>
      </c>
      <c r="AC177" s="284" t="s">
        <v>13034</v>
      </c>
      <c r="AD177" s="284" t="s">
        <v>13560</v>
      </c>
      <c r="AE177" s="284" t="s">
        <v>13105</v>
      </c>
      <c r="AF177" s="284" t="s">
        <v>13179</v>
      </c>
      <c r="AG177" s="284" t="s">
        <v>13037</v>
      </c>
      <c r="AH177" s="284" t="s">
        <v>13038</v>
      </c>
      <c r="AI177" s="284" t="s">
        <v>13039</v>
      </c>
      <c r="AJ177" s="284" t="s">
        <v>13009</v>
      </c>
      <c r="AK177" s="284" t="s">
        <v>13107</v>
      </c>
      <c r="AL177" s="284" t="s">
        <v>13285</v>
      </c>
      <c r="AM177" s="284" t="s">
        <v>13562</v>
      </c>
      <c r="AN177" s="284" t="s">
        <v>14081</v>
      </c>
      <c r="AO177" s="284" t="s">
        <v>14082</v>
      </c>
      <c r="AP177" s="284" t="s">
        <v>13042</v>
      </c>
      <c r="AQ177" s="284" t="s">
        <v>13096</v>
      </c>
      <c r="AR177" s="284" t="s">
        <v>13061</v>
      </c>
      <c r="AS177" s="284" t="s">
        <v>13704</v>
      </c>
      <c r="AT177" s="284" t="s">
        <v>13016</v>
      </c>
      <c r="AU177" s="284"/>
      <c r="AV177" s="284"/>
      <c r="AW177" s="284"/>
      <c r="AX177" s="284"/>
      <c r="AY177" s="284"/>
      <c r="AZ177" s="284"/>
      <c r="BA177" s="284"/>
      <c r="BB177" s="284"/>
      <c r="BC177" s="284"/>
      <c r="BD177" s="284"/>
      <c r="BE177" s="284"/>
      <c r="BF177" s="284"/>
      <c r="BG177" s="284"/>
      <c r="BH177" s="284"/>
      <c r="BI177" s="284"/>
      <c r="BJ177" s="284"/>
      <c r="BK177" s="284"/>
      <c r="BL177" s="284"/>
      <c r="BM177" s="284"/>
      <c r="BN177" s="284"/>
      <c r="BO177" s="284"/>
      <c r="BP177" s="284"/>
      <c r="BQ177" s="284"/>
      <c r="BR177" s="284"/>
      <c r="BS177" s="284"/>
      <c r="BT177" s="284"/>
      <c r="BU177" s="284"/>
      <c r="BV177" s="284"/>
      <c r="BW177" s="284"/>
      <c r="BX177" s="284"/>
      <c r="BY177" s="284"/>
      <c r="BZ177" s="284"/>
      <c r="CA177" s="284"/>
      <c r="CB177" s="284"/>
      <c r="CC177" s="284"/>
      <c r="CD177" s="284"/>
      <c r="CE177" s="284"/>
      <c r="CF177" s="284"/>
      <c r="CG177" s="284"/>
    </row>
    <row r="178" spans="1:85" x14ac:dyDescent="0.35">
      <c r="A178" s="284" t="s">
        <v>7208</v>
      </c>
      <c r="B178" s="284" t="s">
        <v>7209</v>
      </c>
      <c r="C178" t="s">
        <v>14083</v>
      </c>
      <c r="D178" s="284" t="s">
        <v>13023</v>
      </c>
      <c r="E178" s="284" t="s">
        <v>13330</v>
      </c>
      <c r="F178" s="284" t="s">
        <v>13000</v>
      </c>
      <c r="G178" s="284" t="s">
        <v>13632</v>
      </c>
      <c r="H178" s="284" t="s">
        <v>14084</v>
      </c>
      <c r="I178" s="284" t="s">
        <v>13119</v>
      </c>
      <c r="J178" s="284" t="s">
        <v>13087</v>
      </c>
      <c r="K178" s="284" t="s">
        <v>13027</v>
      </c>
      <c r="L178" s="284" t="s">
        <v>14085</v>
      </c>
      <c r="M178" s="284" t="s">
        <v>13001</v>
      </c>
      <c r="N178" s="284" t="s">
        <v>13002</v>
      </c>
      <c r="O178" s="284" t="s">
        <v>13003</v>
      </c>
      <c r="P178" s="284" t="s">
        <v>13005</v>
      </c>
      <c r="Q178" s="284" t="s">
        <v>13007</v>
      </c>
      <c r="R178" s="284" t="s">
        <v>14086</v>
      </c>
      <c r="S178" s="284" t="s">
        <v>14087</v>
      </c>
      <c r="T178" s="284" t="s">
        <v>13008</v>
      </c>
      <c r="U178" s="284" t="s">
        <v>13077</v>
      </c>
      <c r="V178" s="284" t="s">
        <v>13089</v>
      </c>
      <c r="W178" s="284" t="s">
        <v>13033</v>
      </c>
      <c r="X178" s="284" t="s">
        <v>13034</v>
      </c>
      <c r="Y178" s="284" t="s">
        <v>13037</v>
      </c>
      <c r="Z178" s="284" t="s">
        <v>14088</v>
      </c>
      <c r="AA178" s="284" t="s">
        <v>13090</v>
      </c>
      <c r="AB178" s="284" t="s">
        <v>13091</v>
      </c>
      <c r="AC178" s="284" t="s">
        <v>13011</v>
      </c>
      <c r="AD178" s="284" t="s">
        <v>13012</v>
      </c>
      <c r="AE178" s="284" t="s">
        <v>13014</v>
      </c>
      <c r="AF178" s="284" t="s">
        <v>14089</v>
      </c>
      <c r="AG178" s="284" t="s">
        <v>13715</v>
      </c>
      <c r="AH178" s="284" t="s">
        <v>13207</v>
      </c>
      <c r="AI178" s="284"/>
      <c r="AJ178" s="284"/>
      <c r="AK178" s="284"/>
      <c r="AL178" s="284"/>
      <c r="AM178" s="284"/>
      <c r="AN178" s="284"/>
      <c r="AO178" s="284"/>
      <c r="AP178" s="284"/>
      <c r="AQ178" s="284"/>
      <c r="AR178" s="284"/>
      <c r="AS178" s="284"/>
      <c r="AT178" s="284"/>
      <c r="AU178" s="284"/>
      <c r="AV178" s="284"/>
      <c r="AW178" s="284"/>
      <c r="AX178" s="284"/>
      <c r="AY178" s="284"/>
      <c r="AZ178" s="284"/>
      <c r="BA178" s="284"/>
      <c r="BB178" s="284"/>
      <c r="BC178" s="284"/>
      <c r="BD178" s="284"/>
      <c r="BE178" s="284"/>
      <c r="BF178" s="284"/>
      <c r="BG178" s="284"/>
      <c r="BH178" s="284"/>
      <c r="BI178" s="284"/>
      <c r="BJ178" s="284"/>
      <c r="BK178" s="284"/>
      <c r="BL178" s="284"/>
      <c r="BM178" s="284"/>
      <c r="BN178" s="284"/>
      <c r="BO178" s="284"/>
      <c r="BP178" s="284"/>
      <c r="BQ178" s="284"/>
      <c r="BR178" s="284"/>
      <c r="BS178" s="284"/>
      <c r="BT178" s="284"/>
      <c r="BU178" s="284"/>
      <c r="BV178" s="284"/>
      <c r="BW178" s="284"/>
      <c r="BX178" s="284"/>
      <c r="BY178" s="284"/>
      <c r="BZ178" s="284"/>
      <c r="CA178" s="284"/>
      <c r="CB178" s="284"/>
      <c r="CC178" s="284"/>
      <c r="CD178" s="284"/>
      <c r="CE178" s="284"/>
      <c r="CF178" s="284"/>
      <c r="CG178" s="284"/>
    </row>
    <row r="179" spans="1:85" x14ac:dyDescent="0.35">
      <c r="A179" s="284" t="s">
        <v>1015</v>
      </c>
      <c r="B179" s="284" t="s">
        <v>1016</v>
      </c>
      <c r="C179" t="s">
        <v>14090</v>
      </c>
      <c r="D179" s="284" t="s">
        <v>13072</v>
      </c>
      <c r="E179" s="284" t="s">
        <v>13021</v>
      </c>
      <c r="F179" s="284" t="s">
        <v>13022</v>
      </c>
      <c r="G179" s="284" t="s">
        <v>13023</v>
      </c>
      <c r="H179" s="284" t="s">
        <v>13082</v>
      </c>
      <c r="I179" s="284" t="s">
        <v>13065</v>
      </c>
      <c r="J179" s="284" t="s">
        <v>13273</v>
      </c>
      <c r="K179" s="284" t="s">
        <v>13159</v>
      </c>
      <c r="L179" s="284" t="s">
        <v>13024</v>
      </c>
      <c r="M179" s="284" t="s">
        <v>13099</v>
      </c>
      <c r="N179" s="284" t="s">
        <v>13049</v>
      </c>
      <c r="O179" s="284" t="s">
        <v>13025</v>
      </c>
      <c r="P179" s="284" t="s">
        <v>13027</v>
      </c>
      <c r="Q179" s="284" t="s">
        <v>13149</v>
      </c>
      <c r="R179" s="284" t="s">
        <v>13028</v>
      </c>
      <c r="S179" s="284" t="s">
        <v>13160</v>
      </c>
      <c r="T179" s="284" t="s">
        <v>13003</v>
      </c>
      <c r="U179" s="284" t="s">
        <v>13066</v>
      </c>
      <c r="V179" s="284" t="s">
        <v>13067</v>
      </c>
      <c r="W179" s="284" t="s">
        <v>13029</v>
      </c>
      <c r="X179" s="284" t="s">
        <v>14091</v>
      </c>
      <c r="Y179" s="284" t="s">
        <v>13006</v>
      </c>
      <c r="Z179" s="284" t="s">
        <v>13248</v>
      </c>
      <c r="AA179" s="284" t="s">
        <v>13162</v>
      </c>
      <c r="AB179" s="284" t="s">
        <v>14092</v>
      </c>
      <c r="AC179" s="284" t="s">
        <v>13030</v>
      </c>
      <c r="AD179" s="284" t="s">
        <v>13055</v>
      </c>
      <c r="AE179" s="284" t="s">
        <v>13032</v>
      </c>
      <c r="AF179" s="284" t="s">
        <v>13033</v>
      </c>
      <c r="AG179" s="284" t="s">
        <v>13034</v>
      </c>
      <c r="AH179" s="284" t="s">
        <v>13035</v>
      </c>
      <c r="AI179" s="284" t="s">
        <v>13036</v>
      </c>
      <c r="AJ179" s="284" t="s">
        <v>14093</v>
      </c>
      <c r="AK179" s="284" t="s">
        <v>13038</v>
      </c>
      <c r="AL179" s="284" t="s">
        <v>13078</v>
      </c>
      <c r="AM179" s="284" t="s">
        <v>13009</v>
      </c>
      <c r="AN179" s="284" t="s">
        <v>13058</v>
      </c>
      <c r="AO179" s="284" t="s">
        <v>13205</v>
      </c>
      <c r="AP179" s="284" t="s">
        <v>13012</v>
      </c>
      <c r="AQ179" s="284" t="s">
        <v>13285</v>
      </c>
      <c r="AR179" s="284" t="s">
        <v>13206</v>
      </c>
      <c r="AS179" s="284" t="s">
        <v>13014</v>
      </c>
      <c r="AT179" s="284" t="s">
        <v>13042</v>
      </c>
      <c r="AU179" s="284" t="s">
        <v>13070</v>
      </c>
      <c r="AV179" s="284" t="s">
        <v>13016</v>
      </c>
      <c r="AW179" s="284" t="s">
        <v>14094</v>
      </c>
      <c r="AX179" s="284" t="s">
        <v>13660</v>
      </c>
      <c r="AY179" s="284"/>
      <c r="AZ179" s="284"/>
      <c r="BA179" s="284"/>
      <c r="BB179" s="284"/>
      <c r="BC179" s="284"/>
      <c r="BD179" s="284"/>
      <c r="BE179" s="284"/>
      <c r="BF179" s="284"/>
      <c r="BG179" s="284"/>
      <c r="BH179" s="284"/>
      <c r="BI179" s="284"/>
      <c r="BJ179" s="284"/>
      <c r="BK179" s="284"/>
      <c r="BL179" s="284"/>
      <c r="BM179" s="284"/>
      <c r="BN179" s="284"/>
      <c r="BO179" s="284"/>
      <c r="BP179" s="284"/>
      <c r="BQ179" s="284"/>
      <c r="BR179" s="284"/>
      <c r="BS179" s="284"/>
      <c r="BT179" s="284"/>
      <c r="BU179" s="284"/>
      <c r="BV179" s="284"/>
      <c r="BW179" s="284"/>
      <c r="BX179" s="284"/>
      <c r="BY179" s="284"/>
      <c r="BZ179" s="284"/>
      <c r="CA179" s="284"/>
      <c r="CB179" s="284"/>
      <c r="CC179" s="284"/>
      <c r="CD179" s="284"/>
      <c r="CE179" s="284"/>
      <c r="CF179" s="284"/>
      <c r="CG179" s="284"/>
    </row>
    <row r="180" spans="1:85" x14ac:dyDescent="0.35">
      <c r="A180" s="284" t="s">
        <v>8736</v>
      </c>
      <c r="B180" s="284" t="s">
        <v>8737</v>
      </c>
      <c r="C180" t="s">
        <v>14095</v>
      </c>
      <c r="D180" s="284" t="s">
        <v>13021</v>
      </c>
      <c r="E180" s="284" t="s">
        <v>13022</v>
      </c>
      <c r="F180" s="284" t="s">
        <v>13023</v>
      </c>
      <c r="G180" s="284" t="s">
        <v>13065</v>
      </c>
      <c r="H180" s="284" t="s">
        <v>13115</v>
      </c>
      <c r="I180" s="284" t="s">
        <v>13235</v>
      </c>
      <c r="J180" s="284" t="s">
        <v>13237</v>
      </c>
      <c r="K180" s="284" t="s">
        <v>13000</v>
      </c>
      <c r="L180" s="284" t="s">
        <v>13024</v>
      </c>
      <c r="M180" s="284" t="s">
        <v>13310</v>
      </c>
      <c r="N180" s="284" t="s">
        <v>13049</v>
      </c>
      <c r="O180" s="284" t="s">
        <v>14096</v>
      </c>
      <c r="P180" s="284" t="s">
        <v>13027</v>
      </c>
      <c r="Q180" s="284" t="s">
        <v>13243</v>
      </c>
      <c r="R180" s="284" t="s">
        <v>13028</v>
      </c>
      <c r="S180" s="284" t="s">
        <v>13003</v>
      </c>
      <c r="T180" s="284" t="s">
        <v>13420</v>
      </c>
      <c r="U180" s="284" t="s">
        <v>13066</v>
      </c>
      <c r="V180" s="284" t="s">
        <v>13076</v>
      </c>
      <c r="W180" s="284" t="s">
        <v>13029</v>
      </c>
      <c r="X180" s="284" t="s">
        <v>13192</v>
      </c>
      <c r="Y180" s="284" t="s">
        <v>13248</v>
      </c>
      <c r="Z180" s="284" t="s">
        <v>14097</v>
      </c>
      <c r="AA180" s="284" t="s">
        <v>13008</v>
      </c>
      <c r="AB180" s="284" t="s">
        <v>13077</v>
      </c>
      <c r="AC180" s="284" t="s">
        <v>13055</v>
      </c>
      <c r="AD180" s="284" t="s">
        <v>13033</v>
      </c>
      <c r="AE180" s="284" t="s">
        <v>13034</v>
      </c>
      <c r="AF180" s="284" t="s">
        <v>13035</v>
      </c>
      <c r="AG180" s="284" t="s">
        <v>13037</v>
      </c>
      <c r="AH180" s="284" t="s">
        <v>13038</v>
      </c>
      <c r="AI180" s="284" t="s">
        <v>13039</v>
      </c>
      <c r="AJ180" s="284" t="s">
        <v>13009</v>
      </c>
      <c r="AK180" s="284" t="s">
        <v>13041</v>
      </c>
      <c r="AL180" s="284" t="s">
        <v>13012</v>
      </c>
      <c r="AM180" s="284" t="s">
        <v>13467</v>
      </c>
      <c r="AN180" s="284" t="s">
        <v>13222</v>
      </c>
      <c r="AO180" s="284" t="s">
        <v>13267</v>
      </c>
      <c r="AP180" s="284" t="s">
        <v>13016</v>
      </c>
      <c r="AQ180" s="284"/>
      <c r="AR180" s="284"/>
      <c r="AS180" s="284"/>
      <c r="AT180" s="284"/>
      <c r="AU180" s="284"/>
      <c r="AV180" s="284"/>
      <c r="AW180" s="284"/>
      <c r="AX180" s="284"/>
      <c r="AY180" s="284"/>
      <c r="AZ180" s="284"/>
      <c r="BA180" s="284"/>
      <c r="BB180" s="284"/>
      <c r="BC180" s="284"/>
      <c r="BD180" s="284"/>
      <c r="BE180" s="284"/>
      <c r="BF180" s="284"/>
      <c r="BG180" s="284"/>
      <c r="BH180" s="284"/>
      <c r="BI180" s="284"/>
      <c r="BJ180" s="284"/>
      <c r="BK180" s="284"/>
      <c r="BL180" s="284"/>
      <c r="BM180" s="284"/>
      <c r="BN180" s="284"/>
      <c r="BO180" s="284"/>
      <c r="BP180" s="284"/>
      <c r="BQ180" s="284"/>
      <c r="BR180" s="284"/>
      <c r="BS180" s="284"/>
      <c r="BT180" s="284"/>
      <c r="BU180" s="284"/>
      <c r="BV180" s="284"/>
      <c r="BW180" s="284"/>
      <c r="BX180" s="284"/>
      <c r="BY180" s="284"/>
      <c r="BZ180" s="284"/>
      <c r="CA180" s="284"/>
      <c r="CB180" s="284"/>
      <c r="CC180" s="284"/>
      <c r="CD180" s="284"/>
      <c r="CE180" s="284"/>
      <c r="CF180" s="284"/>
      <c r="CG180" s="284"/>
    </row>
    <row r="181" spans="1:85" x14ac:dyDescent="0.35">
      <c r="A181" s="284" t="s">
        <v>6663</v>
      </c>
      <c r="B181" s="284" t="s">
        <v>6664</v>
      </c>
      <c r="C181" t="s">
        <v>14098</v>
      </c>
      <c r="D181" s="284" t="s">
        <v>13020</v>
      </c>
      <c r="E181" s="284" t="s">
        <v>13021</v>
      </c>
      <c r="F181" s="284" t="s">
        <v>13022</v>
      </c>
      <c r="G181" s="284" t="s">
        <v>13023</v>
      </c>
      <c r="H181" s="284" t="s">
        <v>14099</v>
      </c>
      <c r="I181" s="284" t="s">
        <v>13024</v>
      </c>
      <c r="J181" s="284" t="s">
        <v>13003</v>
      </c>
      <c r="K181" s="284" t="s">
        <v>13066</v>
      </c>
      <c r="L181" s="284" t="s">
        <v>13178</v>
      </c>
      <c r="M181" s="284" t="s">
        <v>13076</v>
      </c>
      <c r="N181" s="284" t="s">
        <v>13006</v>
      </c>
      <c r="O181" s="284" t="s">
        <v>13248</v>
      </c>
      <c r="P181" s="284" t="s">
        <v>13272</v>
      </c>
      <c r="Q181" s="284" t="s">
        <v>13030</v>
      </c>
      <c r="R181" s="284" t="s">
        <v>13055</v>
      </c>
      <c r="S181" s="284" t="s">
        <v>13035</v>
      </c>
      <c r="T181" s="284" t="s">
        <v>13036</v>
      </c>
      <c r="U181" s="284" t="s">
        <v>13038</v>
      </c>
      <c r="V181" s="284" t="s">
        <v>13039</v>
      </c>
      <c r="W181" s="284" t="s">
        <v>13012</v>
      </c>
      <c r="X181" s="284" t="s">
        <v>14100</v>
      </c>
      <c r="Y181" s="284" t="s">
        <v>13042</v>
      </c>
      <c r="Z181" s="284" t="s">
        <v>13222</v>
      </c>
      <c r="AA181" s="284" t="s">
        <v>13016</v>
      </c>
      <c r="AB181" s="284"/>
      <c r="AC181" s="284"/>
      <c r="AD181" s="284"/>
      <c r="AE181" s="284"/>
      <c r="AF181" s="284"/>
      <c r="AG181" s="284"/>
      <c r="AH181" s="284"/>
      <c r="AI181" s="284"/>
      <c r="AJ181" s="284"/>
      <c r="AK181" s="284"/>
      <c r="AL181" s="284"/>
      <c r="AM181" s="284"/>
      <c r="AN181" s="284"/>
      <c r="AO181" s="284"/>
      <c r="AP181" s="284"/>
      <c r="AQ181" s="284"/>
      <c r="AR181" s="284"/>
      <c r="AS181" s="284"/>
      <c r="AT181" s="284"/>
      <c r="AU181" s="284"/>
      <c r="AV181" s="284"/>
      <c r="AW181" s="284"/>
      <c r="AX181" s="284"/>
      <c r="AY181" s="284"/>
      <c r="AZ181" s="284"/>
      <c r="BA181" s="284"/>
      <c r="BB181" s="284"/>
      <c r="BC181" s="284"/>
      <c r="BD181" s="284"/>
      <c r="BE181" s="284"/>
      <c r="BF181" s="284"/>
      <c r="BG181" s="284"/>
      <c r="BH181" s="284"/>
      <c r="BI181" s="284"/>
      <c r="BJ181" s="284"/>
      <c r="BK181" s="284"/>
      <c r="BL181" s="284"/>
      <c r="BM181" s="284"/>
      <c r="BN181" s="284"/>
      <c r="BO181" s="284"/>
      <c r="BP181" s="284"/>
      <c r="BQ181" s="284"/>
      <c r="BR181" s="284"/>
      <c r="BS181" s="284"/>
      <c r="BT181" s="284"/>
      <c r="BU181" s="284"/>
      <c r="BV181" s="284"/>
      <c r="BW181" s="284"/>
      <c r="BX181" s="284"/>
      <c r="BY181" s="284"/>
      <c r="BZ181" s="284"/>
      <c r="CA181" s="284"/>
      <c r="CB181" s="284"/>
      <c r="CC181" s="284"/>
      <c r="CD181" s="284"/>
      <c r="CE181" s="284"/>
      <c r="CF181" s="284"/>
      <c r="CG181" s="284"/>
    </row>
    <row r="182" spans="1:85" x14ac:dyDescent="0.35">
      <c r="A182" s="284" t="s">
        <v>9810</v>
      </c>
      <c r="B182" s="284" t="s">
        <v>9811</v>
      </c>
      <c r="C182" t="s">
        <v>14101</v>
      </c>
      <c r="D182" s="284" t="s">
        <v>13023</v>
      </c>
      <c r="E182" s="284" t="s">
        <v>13289</v>
      </c>
      <c r="F182" s="284" t="s">
        <v>13098</v>
      </c>
      <c r="G182" s="284" t="s">
        <v>13574</v>
      </c>
      <c r="H182" s="284" t="s">
        <v>13099</v>
      </c>
      <c r="I182" s="284" t="s">
        <v>13829</v>
      </c>
      <c r="J182" s="284" t="s">
        <v>13499</v>
      </c>
      <c r="K182" s="284" t="s">
        <v>13027</v>
      </c>
      <c r="L182" s="284" t="s">
        <v>13148</v>
      </c>
      <c r="M182" s="284" t="s">
        <v>13149</v>
      </c>
      <c r="N182" s="284" t="s">
        <v>13160</v>
      </c>
      <c r="O182" s="284" t="s">
        <v>13003</v>
      </c>
      <c r="P182" s="284" t="s">
        <v>13291</v>
      </c>
      <c r="Q182" s="284" t="s">
        <v>13516</v>
      </c>
      <c r="R182" s="284" t="s">
        <v>13276</v>
      </c>
      <c r="S182" s="284" t="s">
        <v>13032</v>
      </c>
      <c r="T182" s="284" t="s">
        <v>13033</v>
      </c>
      <c r="U182" s="284" t="s">
        <v>13034</v>
      </c>
      <c r="V182" s="284" t="s">
        <v>13277</v>
      </c>
      <c r="W182" s="284" t="s">
        <v>13038</v>
      </c>
      <c r="X182" s="284" t="s">
        <v>13974</v>
      </c>
      <c r="Y182" s="284" t="s">
        <v>13014</v>
      </c>
      <c r="Z182" s="284" t="s">
        <v>13042</v>
      </c>
      <c r="AA182" s="284"/>
      <c r="AB182" s="284"/>
      <c r="AC182" s="284"/>
      <c r="AD182" s="284"/>
      <c r="AE182" s="284"/>
      <c r="AF182" s="284"/>
      <c r="AG182" s="284"/>
      <c r="AH182" s="284"/>
      <c r="AI182" s="284"/>
      <c r="AJ182" s="284"/>
      <c r="AK182" s="284"/>
      <c r="AL182" s="284"/>
      <c r="AM182" s="284"/>
      <c r="AN182" s="284"/>
      <c r="AO182" s="284"/>
      <c r="AP182" s="284"/>
      <c r="AQ182" s="284"/>
      <c r="AR182" s="284"/>
      <c r="AS182" s="284"/>
      <c r="AT182" s="284"/>
      <c r="AU182" s="284"/>
      <c r="AV182" s="284"/>
      <c r="AW182" s="284"/>
      <c r="AX182" s="284"/>
      <c r="AY182" s="284"/>
      <c r="AZ182" s="284"/>
      <c r="BA182" s="284"/>
      <c r="BB182" s="284"/>
      <c r="BC182" s="284"/>
      <c r="BD182" s="284"/>
      <c r="BE182" s="284"/>
      <c r="BF182" s="284"/>
      <c r="BG182" s="284"/>
      <c r="BH182" s="284"/>
      <c r="BI182" s="284"/>
      <c r="BJ182" s="284"/>
      <c r="BK182" s="284"/>
      <c r="BL182" s="284"/>
      <c r="BM182" s="284"/>
      <c r="BN182" s="284"/>
      <c r="BO182" s="284"/>
      <c r="BP182" s="284"/>
      <c r="BQ182" s="284"/>
      <c r="BR182" s="284"/>
      <c r="BS182" s="284"/>
      <c r="BT182" s="284"/>
      <c r="BU182" s="284"/>
      <c r="BV182" s="284"/>
      <c r="BW182" s="284"/>
      <c r="BX182" s="284"/>
      <c r="BY182" s="284"/>
      <c r="BZ182" s="284"/>
      <c r="CA182" s="284"/>
      <c r="CB182" s="284"/>
      <c r="CC182" s="284"/>
      <c r="CD182" s="284"/>
      <c r="CE182" s="284"/>
      <c r="CF182" s="284"/>
      <c r="CG182" s="284"/>
    </row>
    <row r="183" spans="1:85" x14ac:dyDescent="0.35">
      <c r="A183" s="284" t="s">
        <v>7628</v>
      </c>
      <c r="B183" s="284" t="s">
        <v>7629</v>
      </c>
      <c r="C183" t="s">
        <v>14102</v>
      </c>
      <c r="D183" s="284" t="s">
        <v>13110</v>
      </c>
      <c r="E183" s="284" t="s">
        <v>13166</v>
      </c>
      <c r="F183" s="284" t="s">
        <v>13021</v>
      </c>
      <c r="G183" s="284" t="s">
        <v>13023</v>
      </c>
      <c r="H183" s="284" t="s">
        <v>13082</v>
      </c>
      <c r="I183" s="284" t="s">
        <v>13235</v>
      </c>
      <c r="J183" s="284" t="s">
        <v>13500</v>
      </c>
      <c r="K183" s="284" t="s">
        <v>13027</v>
      </c>
      <c r="L183" s="284" t="s">
        <v>13243</v>
      </c>
      <c r="M183" s="284" t="s">
        <v>13050</v>
      </c>
      <c r="N183" s="284" t="s">
        <v>13002</v>
      </c>
      <c r="O183" s="284" t="s">
        <v>13003</v>
      </c>
      <c r="P183" s="284" t="s">
        <v>13066</v>
      </c>
      <c r="Q183" s="284" t="s">
        <v>13178</v>
      </c>
      <c r="R183" s="284" t="s">
        <v>13076</v>
      </c>
      <c r="S183" s="284" t="s">
        <v>13051</v>
      </c>
      <c r="T183" s="284" t="s">
        <v>13006</v>
      </c>
      <c r="U183" s="284" t="s">
        <v>13008</v>
      </c>
      <c r="V183" s="284" t="s">
        <v>13077</v>
      </c>
      <c r="W183" s="284" t="s">
        <v>13104</v>
      </c>
      <c r="X183" s="284" t="s">
        <v>13039</v>
      </c>
      <c r="Y183" s="284" t="s">
        <v>13403</v>
      </c>
      <c r="Z183" s="284" t="s">
        <v>13058</v>
      </c>
      <c r="AA183" s="284" t="s">
        <v>13041</v>
      </c>
      <c r="AB183" s="284" t="s">
        <v>14103</v>
      </c>
      <c r="AC183" s="284" t="s">
        <v>13012</v>
      </c>
      <c r="AD183" s="284" t="s">
        <v>14104</v>
      </c>
      <c r="AE183" s="284" t="s">
        <v>13042</v>
      </c>
      <c r="AF183" s="284" t="s">
        <v>13061</v>
      </c>
      <c r="AG183" s="284" t="s">
        <v>13207</v>
      </c>
      <c r="AH183" s="284"/>
      <c r="AI183" s="284"/>
      <c r="AJ183" s="284"/>
      <c r="AK183" s="284"/>
      <c r="AL183" s="284"/>
      <c r="AM183" s="284"/>
      <c r="AN183" s="284"/>
      <c r="AO183" s="284"/>
      <c r="AP183" s="284"/>
      <c r="AQ183" s="284"/>
      <c r="AR183" s="284"/>
      <c r="AS183" s="284"/>
      <c r="AT183" s="284"/>
      <c r="AU183" s="284"/>
      <c r="AV183" s="284"/>
      <c r="AW183" s="284"/>
      <c r="AX183" s="284"/>
      <c r="AY183" s="284"/>
      <c r="AZ183" s="284"/>
      <c r="BA183" s="284"/>
      <c r="BB183" s="284"/>
      <c r="BC183" s="284"/>
      <c r="BD183" s="284"/>
      <c r="BE183" s="284"/>
      <c r="BF183" s="284"/>
      <c r="BG183" s="284"/>
      <c r="BH183" s="284"/>
      <c r="BI183" s="284"/>
      <c r="BJ183" s="284"/>
      <c r="BK183" s="284"/>
      <c r="BL183" s="284"/>
      <c r="BM183" s="284"/>
      <c r="BN183" s="284"/>
      <c r="BO183" s="284"/>
      <c r="BP183" s="284"/>
      <c r="BQ183" s="284"/>
      <c r="BR183" s="284"/>
      <c r="BS183" s="284"/>
      <c r="BT183" s="284"/>
      <c r="BU183" s="284"/>
      <c r="BV183" s="284"/>
      <c r="BW183" s="284"/>
      <c r="BX183" s="284"/>
      <c r="BY183" s="284"/>
      <c r="BZ183" s="284"/>
      <c r="CA183" s="284"/>
      <c r="CB183" s="284"/>
      <c r="CC183" s="284"/>
      <c r="CD183" s="284"/>
      <c r="CE183" s="284"/>
      <c r="CF183" s="284"/>
      <c r="CG183" s="284"/>
    </row>
    <row r="184" spans="1:85" x14ac:dyDescent="0.35">
      <c r="A184" s="284" t="s">
        <v>6119</v>
      </c>
      <c r="B184" s="284" t="s">
        <v>6120</v>
      </c>
      <c r="C184" t="s">
        <v>13072</v>
      </c>
      <c r="D184" s="284" t="s">
        <v>13023</v>
      </c>
      <c r="E184" s="284" t="s">
        <v>13113</v>
      </c>
      <c r="F184" s="284" t="s">
        <v>13288</v>
      </c>
      <c r="G184" s="284" t="s">
        <v>13407</v>
      </c>
      <c r="H184" s="284" t="s">
        <v>13273</v>
      </c>
      <c r="I184" s="284" t="s">
        <v>13085</v>
      </c>
      <c r="J184" s="284" t="s">
        <v>13049</v>
      </c>
      <c r="K184" s="284" t="s">
        <v>13027</v>
      </c>
      <c r="L184" s="284" t="s">
        <v>13148</v>
      </c>
      <c r="M184" s="284" t="s">
        <v>13028</v>
      </c>
      <c r="N184" s="284" t="s">
        <v>13003</v>
      </c>
      <c r="O184" s="284" t="s">
        <v>13066</v>
      </c>
      <c r="P184" s="284" t="s">
        <v>13323</v>
      </c>
      <c r="Q184" s="284" t="s">
        <v>13290</v>
      </c>
      <c r="R184" s="284" t="s">
        <v>13291</v>
      </c>
      <c r="S184" s="284" t="s">
        <v>13005</v>
      </c>
      <c r="T184" s="284" t="s">
        <v>13249</v>
      </c>
      <c r="U184" s="284" t="s">
        <v>13284</v>
      </c>
      <c r="V184" s="284" t="s">
        <v>14105</v>
      </c>
      <c r="W184" s="284" t="s">
        <v>13033</v>
      </c>
      <c r="X184" s="284" t="s">
        <v>13034</v>
      </c>
      <c r="Y184" s="284" t="s">
        <v>13036</v>
      </c>
      <c r="Z184" s="284" t="s">
        <v>13091</v>
      </c>
      <c r="AA184" s="284" t="s">
        <v>13285</v>
      </c>
      <c r="AB184" s="284" t="s">
        <v>13154</v>
      </c>
      <c r="AC184" s="284" t="s">
        <v>13157</v>
      </c>
      <c r="AD184" s="284" t="s">
        <v>13286</v>
      </c>
      <c r="AE184" s="284"/>
      <c r="AF184" s="284"/>
      <c r="AG184" s="284"/>
      <c r="AH184" s="284"/>
      <c r="AI184" s="284"/>
      <c r="AJ184" s="284"/>
      <c r="AK184" s="284"/>
      <c r="AL184" s="284"/>
      <c r="AM184" s="284"/>
      <c r="AN184" s="284"/>
      <c r="AO184" s="284"/>
      <c r="AP184" s="284"/>
      <c r="AQ184" s="284"/>
      <c r="AR184" s="284"/>
      <c r="AS184" s="284"/>
      <c r="AT184" s="284"/>
      <c r="AU184" s="284"/>
      <c r="AV184" s="284"/>
      <c r="AW184" s="284"/>
      <c r="AX184" s="284"/>
      <c r="AY184" s="284"/>
      <c r="AZ184" s="284"/>
      <c r="BA184" s="284"/>
      <c r="BB184" s="284"/>
      <c r="BC184" s="284"/>
      <c r="BD184" s="284"/>
      <c r="BE184" s="284"/>
      <c r="BF184" s="284"/>
      <c r="BG184" s="284"/>
      <c r="BH184" s="284"/>
      <c r="BI184" s="284"/>
      <c r="BJ184" s="284"/>
      <c r="BK184" s="284"/>
      <c r="BL184" s="284"/>
      <c r="BM184" s="284"/>
      <c r="BN184" s="284"/>
      <c r="BO184" s="284"/>
      <c r="BP184" s="284"/>
      <c r="BQ184" s="284"/>
      <c r="BR184" s="284"/>
      <c r="BS184" s="284"/>
      <c r="BT184" s="284"/>
      <c r="BU184" s="284"/>
      <c r="BV184" s="284"/>
      <c r="BW184" s="284"/>
      <c r="BX184" s="284"/>
      <c r="BY184" s="284"/>
      <c r="BZ184" s="284"/>
      <c r="CA184" s="284"/>
      <c r="CB184" s="284"/>
      <c r="CC184" s="284"/>
      <c r="CD184" s="284"/>
      <c r="CE184" s="284"/>
      <c r="CF184" s="284"/>
      <c r="CG184" s="284"/>
    </row>
    <row r="185" spans="1:85" x14ac:dyDescent="0.35">
      <c r="A185" s="284" t="s">
        <v>1475</v>
      </c>
      <c r="B185" s="284" t="s">
        <v>1476</v>
      </c>
      <c r="C185" t="s">
        <v>14106</v>
      </c>
      <c r="D185" s="284" t="s">
        <v>13072</v>
      </c>
      <c r="E185" s="284" t="s">
        <v>13022</v>
      </c>
      <c r="F185" s="284" t="s">
        <v>13023</v>
      </c>
      <c r="G185" s="284" t="s">
        <v>13082</v>
      </c>
      <c r="H185" s="284" t="s">
        <v>13065</v>
      </c>
      <c r="I185" s="284" t="s">
        <v>13159</v>
      </c>
      <c r="J185" s="284" t="s">
        <v>13000</v>
      </c>
      <c r="K185" s="284" t="s">
        <v>13198</v>
      </c>
      <c r="L185" s="284" t="s">
        <v>13049</v>
      </c>
      <c r="M185" s="284" t="s">
        <v>13168</v>
      </c>
      <c r="N185" s="284" t="s">
        <v>13026</v>
      </c>
      <c r="O185" s="284" t="s">
        <v>13027</v>
      </c>
      <c r="P185" s="284" t="s">
        <v>13001</v>
      </c>
      <c r="Q185" s="284" t="s">
        <v>13028</v>
      </c>
      <c r="R185" s="284" t="s">
        <v>13002</v>
      </c>
      <c r="S185" s="284" t="s">
        <v>13003</v>
      </c>
      <c r="T185" s="284" t="s">
        <v>13426</v>
      </c>
      <c r="U185" s="284" t="s">
        <v>13004</v>
      </c>
      <c r="V185" s="284" t="s">
        <v>13200</v>
      </c>
      <c r="W185" s="284" t="s">
        <v>13066</v>
      </c>
      <c r="X185" s="284" t="s">
        <v>13005</v>
      </c>
      <c r="Y185" s="284" t="s">
        <v>13284</v>
      </c>
      <c r="Z185" s="284" t="s">
        <v>13217</v>
      </c>
      <c r="AA185" s="284" t="s">
        <v>13033</v>
      </c>
      <c r="AB185" s="284" t="s">
        <v>13034</v>
      </c>
      <c r="AC185" s="284" t="s">
        <v>13035</v>
      </c>
      <c r="AD185" s="284" t="s">
        <v>13090</v>
      </c>
      <c r="AE185" s="284" t="s">
        <v>13038</v>
      </c>
      <c r="AF185" s="284" t="s">
        <v>13039</v>
      </c>
      <c r="AG185" s="284" t="s">
        <v>13041</v>
      </c>
      <c r="AH185" s="284" t="s">
        <v>13012</v>
      </c>
      <c r="AI185" s="284" t="s">
        <v>13138</v>
      </c>
      <c r="AJ185" s="284" t="s">
        <v>13014</v>
      </c>
      <c r="AK185" s="284" t="s">
        <v>13165</v>
      </c>
      <c r="AL185" s="284" t="s">
        <v>13016</v>
      </c>
      <c r="AM185" s="284" t="s">
        <v>13144</v>
      </c>
      <c r="AN185" s="284" t="s">
        <v>13416</v>
      </c>
      <c r="AO185" s="284" t="s">
        <v>13207</v>
      </c>
      <c r="AP185" s="284"/>
      <c r="AQ185" s="284"/>
      <c r="AR185" s="284"/>
      <c r="AS185" s="284"/>
      <c r="AT185" s="284"/>
      <c r="AU185" s="284"/>
      <c r="AV185" s="284"/>
      <c r="AW185" s="284"/>
      <c r="AX185" s="284"/>
      <c r="AY185" s="284"/>
      <c r="AZ185" s="284"/>
      <c r="BA185" s="284"/>
      <c r="BB185" s="284"/>
      <c r="BC185" s="284"/>
      <c r="BD185" s="284"/>
      <c r="BE185" s="284"/>
      <c r="BF185" s="284"/>
      <c r="BG185" s="284"/>
      <c r="BH185" s="284"/>
      <c r="BI185" s="284"/>
      <c r="BJ185" s="284"/>
      <c r="BK185" s="284"/>
      <c r="BL185" s="284"/>
      <c r="BM185" s="284"/>
      <c r="BN185" s="284"/>
      <c r="BO185" s="284"/>
      <c r="BP185" s="284"/>
      <c r="BQ185" s="284"/>
      <c r="BR185" s="284"/>
      <c r="BS185" s="284"/>
      <c r="BT185" s="284"/>
      <c r="BU185" s="284"/>
      <c r="BV185" s="284"/>
      <c r="BW185" s="284"/>
      <c r="BX185" s="284"/>
      <c r="BY185" s="284"/>
      <c r="BZ185" s="284"/>
      <c r="CA185" s="284"/>
      <c r="CB185" s="284"/>
      <c r="CC185" s="284"/>
      <c r="CD185" s="284"/>
      <c r="CE185" s="284"/>
      <c r="CF185" s="284"/>
      <c r="CG185" s="284"/>
    </row>
    <row r="186" spans="1:85" x14ac:dyDescent="0.35">
      <c r="A186" s="284" t="s">
        <v>1351</v>
      </c>
      <c r="B186" s="284" t="s">
        <v>1352</v>
      </c>
      <c r="C186" t="s">
        <v>14107</v>
      </c>
      <c r="D186" s="284" t="s">
        <v>13021</v>
      </c>
      <c r="E186" s="284" t="s">
        <v>13023</v>
      </c>
      <c r="F186" s="284" t="s">
        <v>13048</v>
      </c>
      <c r="G186" s="284" t="s">
        <v>13301</v>
      </c>
      <c r="H186" s="284" t="s">
        <v>13528</v>
      </c>
      <c r="I186" s="284" t="s">
        <v>13000</v>
      </c>
      <c r="J186" s="284" t="s">
        <v>14108</v>
      </c>
      <c r="K186" s="284" t="s">
        <v>13099</v>
      </c>
      <c r="L186" s="284" t="s">
        <v>13027</v>
      </c>
      <c r="M186" s="284" t="s">
        <v>13050</v>
      </c>
      <c r="N186" s="284" t="s">
        <v>13028</v>
      </c>
      <c r="O186" s="284" t="s">
        <v>13003</v>
      </c>
      <c r="P186" s="284" t="s">
        <v>13274</v>
      </c>
      <c r="Q186" s="284" t="s">
        <v>13190</v>
      </c>
      <c r="R186" s="284" t="s">
        <v>13007</v>
      </c>
      <c r="S186" s="284" t="s">
        <v>14109</v>
      </c>
      <c r="T186" s="284" t="s">
        <v>13033</v>
      </c>
      <c r="U186" s="284" t="s">
        <v>13034</v>
      </c>
      <c r="V186" s="284" t="s">
        <v>14110</v>
      </c>
      <c r="W186" s="284" t="s">
        <v>13536</v>
      </c>
      <c r="X186" s="284" t="s">
        <v>13038</v>
      </c>
      <c r="Y186" s="284" t="s">
        <v>13078</v>
      </c>
      <c r="Z186" s="284" t="s">
        <v>13091</v>
      </c>
      <c r="AA186" s="284" t="s">
        <v>13009</v>
      </c>
      <c r="AB186" s="284" t="s">
        <v>13058</v>
      </c>
      <c r="AC186" s="284" t="s">
        <v>13060</v>
      </c>
      <c r="AD186" s="284" t="s">
        <v>13014</v>
      </c>
      <c r="AE186" s="284" t="s">
        <v>13079</v>
      </c>
      <c r="AF186" s="284" t="s">
        <v>13541</v>
      </c>
      <c r="AG186" s="284" t="s">
        <v>13542</v>
      </c>
      <c r="AH186" s="284"/>
      <c r="AI186" s="284"/>
      <c r="AJ186" s="284"/>
      <c r="AK186" s="284"/>
      <c r="AL186" s="284"/>
      <c r="AM186" s="284"/>
      <c r="AN186" s="284"/>
      <c r="AO186" s="284"/>
      <c r="AP186" s="284"/>
      <c r="AQ186" s="284"/>
      <c r="AR186" s="284"/>
      <c r="AS186" s="284"/>
      <c r="AT186" s="284"/>
      <c r="AU186" s="284"/>
      <c r="AV186" s="284"/>
      <c r="AW186" s="284"/>
      <c r="AX186" s="284"/>
      <c r="AY186" s="284"/>
      <c r="AZ186" s="284"/>
      <c r="BA186" s="284"/>
      <c r="BB186" s="284"/>
      <c r="BC186" s="284"/>
      <c r="BD186" s="284"/>
      <c r="BE186" s="284"/>
      <c r="BF186" s="284"/>
      <c r="BG186" s="284"/>
      <c r="BH186" s="284"/>
      <c r="BI186" s="284"/>
      <c r="BJ186" s="284"/>
      <c r="BK186" s="284"/>
      <c r="BL186" s="284"/>
      <c r="BM186" s="284"/>
      <c r="BN186" s="284"/>
      <c r="BO186" s="284"/>
      <c r="BP186" s="284"/>
      <c r="BQ186" s="284"/>
      <c r="BR186" s="284"/>
      <c r="BS186" s="284"/>
      <c r="BT186" s="284"/>
      <c r="BU186" s="284"/>
      <c r="BV186" s="284"/>
      <c r="BW186" s="284"/>
      <c r="BX186" s="284"/>
      <c r="BY186" s="284"/>
      <c r="BZ186" s="284"/>
      <c r="CA186" s="284"/>
      <c r="CB186" s="284"/>
      <c r="CC186" s="284"/>
      <c r="CD186" s="284"/>
      <c r="CE186" s="284"/>
      <c r="CF186" s="284"/>
      <c r="CG186" s="284"/>
    </row>
    <row r="187" spans="1:85" x14ac:dyDescent="0.35">
      <c r="A187" s="284" t="s">
        <v>2010</v>
      </c>
      <c r="B187" s="284" t="s">
        <v>2011</v>
      </c>
      <c r="C187" t="s">
        <v>14111</v>
      </c>
      <c r="D187" s="284" t="s">
        <v>13167</v>
      </c>
      <c r="E187" s="284" t="s">
        <v>13021</v>
      </c>
      <c r="F187" s="284" t="s">
        <v>13708</v>
      </c>
      <c r="G187" s="284" t="s">
        <v>13023</v>
      </c>
      <c r="H187" s="284" t="s">
        <v>13065</v>
      </c>
      <c r="I187" s="284" t="s">
        <v>13114</v>
      </c>
      <c r="J187" s="284" t="s">
        <v>13301</v>
      </c>
      <c r="K187" s="284" t="s">
        <v>13690</v>
      </c>
      <c r="L187" s="284" t="s">
        <v>13000</v>
      </c>
      <c r="M187" s="284" t="s">
        <v>14112</v>
      </c>
      <c r="N187" s="284" t="s">
        <v>13027</v>
      </c>
      <c r="O187" s="284" t="s">
        <v>13001</v>
      </c>
      <c r="P187" s="284" t="s">
        <v>13767</v>
      </c>
      <c r="Q187" s="284" t="s">
        <v>13028</v>
      </c>
      <c r="R187" s="284" t="s">
        <v>13002</v>
      </c>
      <c r="S187" s="284" t="s">
        <v>13003</v>
      </c>
      <c r="T187" s="284" t="s">
        <v>13004</v>
      </c>
      <c r="U187" s="284" t="s">
        <v>13053</v>
      </c>
      <c r="V187" s="284" t="s">
        <v>13007</v>
      </c>
      <c r="W187" s="284" t="s">
        <v>13033</v>
      </c>
      <c r="X187" s="284" t="s">
        <v>14113</v>
      </c>
      <c r="Y187" s="284" t="s">
        <v>13691</v>
      </c>
      <c r="Z187" s="284" t="s">
        <v>13078</v>
      </c>
      <c r="AA187" s="284" t="s">
        <v>13009</v>
      </c>
      <c r="AB187" s="284" t="s">
        <v>13011</v>
      </c>
      <c r="AC187" s="284" t="s">
        <v>14114</v>
      </c>
      <c r="AD187" s="284" t="s">
        <v>13058</v>
      </c>
      <c r="AE187" s="284" t="s">
        <v>13012</v>
      </c>
      <c r="AF187" s="284" t="s">
        <v>13014</v>
      </c>
      <c r="AG187" s="284" t="s">
        <v>14115</v>
      </c>
      <c r="AH187" s="284" t="s">
        <v>13173</v>
      </c>
      <c r="AI187" s="284" t="s">
        <v>13174</v>
      </c>
      <c r="AJ187" s="284" t="s">
        <v>13175</v>
      </c>
      <c r="AK187" s="284" t="s">
        <v>13015</v>
      </c>
      <c r="AL187" s="284" t="s">
        <v>13016</v>
      </c>
      <c r="AM187" s="284"/>
      <c r="AN187" s="284"/>
      <c r="AO187" s="284"/>
      <c r="AP187" s="284"/>
      <c r="AQ187" s="284"/>
      <c r="AR187" s="284"/>
      <c r="AS187" s="284"/>
      <c r="AT187" s="284"/>
      <c r="AU187" s="284"/>
      <c r="AV187" s="284"/>
      <c r="AW187" s="284"/>
      <c r="AX187" s="284"/>
      <c r="AY187" s="284"/>
      <c r="AZ187" s="284"/>
      <c r="BA187" s="284"/>
      <c r="BB187" s="284"/>
      <c r="BC187" s="284"/>
      <c r="BD187" s="284"/>
      <c r="BE187" s="284"/>
      <c r="BF187" s="284"/>
      <c r="BG187" s="284"/>
      <c r="BH187" s="284"/>
      <c r="BI187" s="284"/>
      <c r="BJ187" s="284"/>
      <c r="BK187" s="284"/>
      <c r="BL187" s="284"/>
      <c r="BM187" s="284"/>
      <c r="BN187" s="284"/>
      <c r="BO187" s="284"/>
      <c r="BP187" s="284"/>
      <c r="BQ187" s="284"/>
      <c r="BR187" s="284"/>
      <c r="BS187" s="284"/>
      <c r="BT187" s="284"/>
      <c r="BU187" s="284"/>
      <c r="BV187" s="284"/>
      <c r="BW187" s="284"/>
      <c r="BX187" s="284"/>
      <c r="BY187" s="284"/>
      <c r="BZ187" s="284"/>
      <c r="CA187" s="284"/>
      <c r="CB187" s="284"/>
      <c r="CC187" s="284"/>
      <c r="CD187" s="284"/>
      <c r="CE187" s="284"/>
      <c r="CF187" s="284"/>
      <c r="CG187" s="284"/>
    </row>
    <row r="188" spans="1:85" x14ac:dyDescent="0.35">
      <c r="A188" s="284" t="s">
        <v>6161</v>
      </c>
      <c r="B188" s="284" t="s">
        <v>6162</v>
      </c>
      <c r="C188" t="s">
        <v>13072</v>
      </c>
      <c r="D188" s="284" t="s">
        <v>13023</v>
      </c>
      <c r="E188" s="284" t="s">
        <v>13113</v>
      </c>
      <c r="F188" s="284" t="s">
        <v>13279</v>
      </c>
      <c r="G188" s="284" t="s">
        <v>13147</v>
      </c>
      <c r="H188" s="284" t="s">
        <v>13065</v>
      </c>
      <c r="I188" s="284" t="s">
        <v>13289</v>
      </c>
      <c r="J188" s="284" t="s">
        <v>13407</v>
      </c>
      <c r="K188" s="284" t="s">
        <v>13273</v>
      </c>
      <c r="L188" s="284" t="s">
        <v>13280</v>
      </c>
      <c r="M188" s="284" t="s">
        <v>13238</v>
      </c>
      <c r="N188" s="284" t="s">
        <v>13085</v>
      </c>
      <c r="O188" s="284" t="s">
        <v>13099</v>
      </c>
      <c r="P188" s="284" t="s">
        <v>13027</v>
      </c>
      <c r="Q188" s="284" t="s">
        <v>13148</v>
      </c>
      <c r="R188" s="284" t="s">
        <v>13149</v>
      </c>
      <c r="S188" s="284" t="s">
        <v>13028</v>
      </c>
      <c r="T188" s="284" t="s">
        <v>13160</v>
      </c>
      <c r="U188" s="284" t="s">
        <v>13003</v>
      </c>
      <c r="V188" s="284" t="s">
        <v>13066</v>
      </c>
      <c r="W188" s="284" t="s">
        <v>13291</v>
      </c>
      <c r="X188" s="284" t="s">
        <v>13076</v>
      </c>
      <c r="Y188" s="284" t="s">
        <v>13005</v>
      </c>
      <c r="Z188" s="284" t="s">
        <v>13516</v>
      </c>
      <c r="AA188" s="284" t="s">
        <v>13486</v>
      </c>
      <c r="AB188" s="284" t="s">
        <v>13276</v>
      </c>
      <c r="AC188" s="284" t="s">
        <v>13387</v>
      </c>
      <c r="AD188" s="284" t="s">
        <v>13033</v>
      </c>
      <c r="AE188" s="284" t="s">
        <v>13034</v>
      </c>
      <c r="AF188" s="284" t="s">
        <v>13036</v>
      </c>
      <c r="AG188" s="284" t="s">
        <v>13277</v>
      </c>
      <c r="AH188" s="284" t="s">
        <v>13038</v>
      </c>
      <c r="AI188" s="284" t="s">
        <v>13039</v>
      </c>
      <c r="AJ188" s="284" t="s">
        <v>13078</v>
      </c>
      <c r="AK188" s="284" t="s">
        <v>13041</v>
      </c>
      <c r="AL188" s="284" t="s">
        <v>13154</v>
      </c>
      <c r="AM188" s="284" t="s">
        <v>13286</v>
      </c>
      <c r="AN188" s="284"/>
      <c r="AO188" s="284"/>
      <c r="AP188" s="284"/>
      <c r="AQ188" s="284"/>
      <c r="AR188" s="284"/>
      <c r="AS188" s="284"/>
      <c r="AT188" s="284"/>
      <c r="AU188" s="284"/>
      <c r="AV188" s="284"/>
      <c r="AW188" s="284"/>
      <c r="AX188" s="284"/>
      <c r="AY188" s="284"/>
      <c r="AZ188" s="284"/>
      <c r="BA188" s="284"/>
      <c r="BB188" s="284"/>
      <c r="BC188" s="284"/>
      <c r="BD188" s="284"/>
      <c r="BE188" s="284"/>
      <c r="BF188" s="284"/>
      <c r="BG188" s="284"/>
      <c r="BH188" s="284"/>
      <c r="BI188" s="284"/>
      <c r="BJ188" s="284"/>
      <c r="BK188" s="284"/>
      <c r="BL188" s="284"/>
      <c r="BM188" s="284"/>
      <c r="BN188" s="284"/>
      <c r="BO188" s="284"/>
      <c r="BP188" s="284"/>
      <c r="BQ188" s="284"/>
      <c r="BR188" s="284"/>
      <c r="BS188" s="284"/>
      <c r="BT188" s="284"/>
      <c r="BU188" s="284"/>
      <c r="BV188" s="284"/>
      <c r="BW188" s="284"/>
      <c r="BX188" s="284"/>
      <c r="BY188" s="284"/>
      <c r="BZ188" s="284"/>
      <c r="CA188" s="284"/>
      <c r="CB188" s="284"/>
      <c r="CC188" s="284"/>
      <c r="CD188" s="284"/>
      <c r="CE188" s="284"/>
      <c r="CF188" s="284"/>
      <c r="CG188" s="284"/>
    </row>
    <row r="189" spans="1:85" x14ac:dyDescent="0.35">
      <c r="A189" s="284" t="s">
        <v>1760</v>
      </c>
      <c r="B189" s="284" t="s">
        <v>1761</v>
      </c>
      <c r="C189" t="s">
        <v>14116</v>
      </c>
      <c r="D189" s="284" t="s">
        <v>13110</v>
      </c>
      <c r="E189" s="284" t="s">
        <v>13308</v>
      </c>
      <c r="F189" s="284" t="s">
        <v>13166</v>
      </c>
      <c r="G189" s="284" t="s">
        <v>13046</v>
      </c>
      <c r="H189" s="284" t="s">
        <v>13167</v>
      </c>
      <c r="I189" s="284" t="s">
        <v>13021</v>
      </c>
      <c r="J189" s="284" t="s">
        <v>13023</v>
      </c>
      <c r="K189" s="284" t="s">
        <v>13065</v>
      </c>
      <c r="L189" s="284" t="s">
        <v>13000</v>
      </c>
      <c r="M189" s="284" t="s">
        <v>13632</v>
      </c>
      <c r="N189" s="284" t="s">
        <v>13238</v>
      </c>
      <c r="O189" s="284" t="s">
        <v>13119</v>
      </c>
      <c r="P189" s="284" t="s">
        <v>13028</v>
      </c>
      <c r="Q189" s="284" t="s">
        <v>13002</v>
      </c>
      <c r="R189" s="284" t="s">
        <v>13169</v>
      </c>
      <c r="S189" s="284" t="s">
        <v>13066</v>
      </c>
      <c r="T189" s="284" t="s">
        <v>13005</v>
      </c>
      <c r="U189" s="284" t="s">
        <v>13685</v>
      </c>
      <c r="V189" s="284" t="s">
        <v>13006</v>
      </c>
      <c r="W189" s="284" t="s">
        <v>13284</v>
      </c>
      <c r="X189" s="284" t="s">
        <v>14117</v>
      </c>
      <c r="Y189" s="284" t="s">
        <v>13055</v>
      </c>
      <c r="Z189" s="284" t="s">
        <v>13104</v>
      </c>
      <c r="AA189" s="284" t="s">
        <v>13033</v>
      </c>
      <c r="AB189" s="284" t="s">
        <v>14118</v>
      </c>
      <c r="AC189" s="284" t="s">
        <v>13038</v>
      </c>
      <c r="AD189" s="284" t="s">
        <v>13039</v>
      </c>
      <c r="AE189" s="284" t="s">
        <v>13078</v>
      </c>
      <c r="AF189" s="284" t="s">
        <v>13009</v>
      </c>
      <c r="AG189" s="284" t="s">
        <v>13403</v>
      </c>
      <c r="AH189" s="284" t="s">
        <v>13011</v>
      </c>
      <c r="AI189" s="284" t="s">
        <v>13058</v>
      </c>
      <c r="AJ189" s="284" t="s">
        <v>13012</v>
      </c>
      <c r="AK189" s="284" t="s">
        <v>13174</v>
      </c>
      <c r="AL189" s="284" t="s">
        <v>13222</v>
      </c>
      <c r="AM189" s="284" t="s">
        <v>13015</v>
      </c>
      <c r="AN189" s="284"/>
      <c r="AO189" s="284"/>
      <c r="AP189" s="284"/>
      <c r="AQ189" s="284"/>
      <c r="AR189" s="284"/>
      <c r="AS189" s="284"/>
      <c r="AT189" s="284"/>
      <c r="AU189" s="284"/>
      <c r="AV189" s="284"/>
      <c r="AW189" s="284"/>
      <c r="AX189" s="284"/>
      <c r="AY189" s="284"/>
      <c r="AZ189" s="284"/>
      <c r="BA189" s="284"/>
      <c r="BB189" s="284"/>
      <c r="BC189" s="284"/>
      <c r="BD189" s="284"/>
      <c r="BE189" s="284"/>
      <c r="BF189" s="284"/>
      <c r="BG189" s="284"/>
      <c r="BH189" s="284"/>
      <c r="BI189" s="284"/>
      <c r="BJ189" s="284"/>
      <c r="BK189" s="284"/>
      <c r="BL189" s="284"/>
      <c r="BM189" s="284"/>
      <c r="BN189" s="284"/>
      <c r="BO189" s="284"/>
      <c r="BP189" s="284"/>
      <c r="BQ189" s="284"/>
      <c r="BR189" s="284"/>
      <c r="BS189" s="284"/>
      <c r="BT189" s="284"/>
      <c r="BU189" s="284"/>
      <c r="BV189" s="284"/>
      <c r="BW189" s="284"/>
      <c r="BX189" s="284"/>
      <c r="BY189" s="284"/>
      <c r="BZ189" s="284"/>
      <c r="CA189" s="284"/>
      <c r="CB189" s="284"/>
      <c r="CC189" s="284"/>
      <c r="CD189" s="284"/>
      <c r="CE189" s="284"/>
      <c r="CF189" s="284"/>
      <c r="CG189" s="284"/>
    </row>
    <row r="190" spans="1:85" x14ac:dyDescent="0.35">
      <c r="A190" s="284" t="s">
        <v>12239</v>
      </c>
      <c r="B190" s="284" t="s">
        <v>12240</v>
      </c>
      <c r="C190" s="284" t="s">
        <v>14119</v>
      </c>
      <c r="D190" s="284" t="s">
        <v>13021</v>
      </c>
      <c r="E190" s="284" t="s">
        <v>13023</v>
      </c>
      <c r="F190" s="284" t="s">
        <v>13318</v>
      </c>
      <c r="G190" s="284" t="s">
        <v>13000</v>
      </c>
      <c r="H190" s="284" t="s">
        <v>13098</v>
      </c>
      <c r="I190" s="284" t="s">
        <v>13086</v>
      </c>
      <c r="J190" s="284" t="s">
        <v>14120</v>
      </c>
      <c r="K190" s="284" t="s">
        <v>13027</v>
      </c>
      <c r="L190" s="284" t="s">
        <v>13001</v>
      </c>
      <c r="M190" s="284" t="s">
        <v>13028</v>
      </c>
      <c r="N190" s="284" t="s">
        <v>13002</v>
      </c>
      <c r="O190" s="284" t="s">
        <v>14121</v>
      </c>
      <c r="P190" s="284" t="s">
        <v>13003</v>
      </c>
      <c r="Q190" s="284" t="s">
        <v>13100</v>
      </c>
      <c r="R190" s="284" t="s">
        <v>13005</v>
      </c>
      <c r="S190" s="284" t="s">
        <v>13101</v>
      </c>
      <c r="T190" s="284" t="s">
        <v>13577</v>
      </c>
      <c r="U190" s="284" t="s">
        <v>13006</v>
      </c>
      <c r="V190" s="284" t="s">
        <v>13102</v>
      </c>
      <c r="W190" s="284" t="s">
        <v>13103</v>
      </c>
      <c r="X190" s="284" t="s">
        <v>13054</v>
      </c>
      <c r="Y190" s="284" t="s">
        <v>13008</v>
      </c>
      <c r="Z190" s="284" t="s">
        <v>13133</v>
      </c>
      <c r="AA190" s="284" t="s">
        <v>13055</v>
      </c>
      <c r="AB190" s="284" t="s">
        <v>13104</v>
      </c>
      <c r="AC190" s="284" t="s">
        <v>13033</v>
      </c>
      <c r="AD190" s="284" t="s">
        <v>13034</v>
      </c>
      <c r="AE190" s="284" t="s">
        <v>13105</v>
      </c>
      <c r="AF190" s="284" t="s">
        <v>13038</v>
      </c>
      <c r="AG190" s="284" t="s">
        <v>13009</v>
      </c>
      <c r="AH190" s="284" t="s">
        <v>13011</v>
      </c>
      <c r="AI190" s="284" t="s">
        <v>13058</v>
      </c>
      <c r="AJ190" s="284" t="s">
        <v>13106</v>
      </c>
      <c r="AK190" s="284" t="s">
        <v>13014</v>
      </c>
      <c r="AL190" s="284" t="s">
        <v>13141</v>
      </c>
      <c r="AM190" s="284" t="s">
        <v>13042</v>
      </c>
      <c r="AN190" s="284"/>
      <c r="AO190" s="284"/>
      <c r="AP190" s="284"/>
      <c r="AQ190" s="284"/>
      <c r="AR190" s="284"/>
      <c r="AS190" s="284"/>
      <c r="AT190" s="284"/>
      <c r="AU190" s="284"/>
      <c r="AV190" s="284"/>
      <c r="AW190" s="284"/>
      <c r="AX190" s="284"/>
      <c r="AY190" s="284"/>
      <c r="AZ190" s="284"/>
      <c r="BA190" s="284"/>
      <c r="BB190" s="284"/>
      <c r="BC190" s="284"/>
      <c r="BD190" s="284"/>
      <c r="BE190" s="284"/>
      <c r="BF190" s="284"/>
      <c r="BG190" s="284"/>
      <c r="BH190" s="284"/>
      <c r="BI190" s="284"/>
      <c r="BJ190" s="284"/>
      <c r="BK190" s="284"/>
      <c r="BL190" s="284"/>
      <c r="BM190" s="284"/>
      <c r="BN190" s="284"/>
      <c r="BO190" s="284"/>
      <c r="BP190" s="284"/>
      <c r="BQ190" s="284"/>
      <c r="BR190" s="284"/>
      <c r="BS190" s="284"/>
      <c r="BT190" s="284"/>
      <c r="BU190" s="284"/>
      <c r="BV190" s="284"/>
      <c r="BW190" s="284"/>
      <c r="BX190" s="284"/>
      <c r="BY190" s="284"/>
      <c r="BZ190" s="284"/>
      <c r="CA190" s="284"/>
      <c r="CB190" s="284"/>
      <c r="CC190" s="284"/>
      <c r="CD190" s="284"/>
      <c r="CE190" s="284"/>
      <c r="CF190" s="284"/>
    </row>
    <row r="191" spans="1:85" x14ac:dyDescent="0.35">
      <c r="A191" s="284" t="s">
        <v>393</v>
      </c>
      <c r="B191" s="284" t="s">
        <v>394</v>
      </c>
      <c r="C191" t="s">
        <v>13072</v>
      </c>
      <c r="D191" s="284" t="s">
        <v>13023</v>
      </c>
      <c r="E191" s="284" t="s">
        <v>13547</v>
      </c>
      <c r="F191" s="284" t="s">
        <v>13065</v>
      </c>
      <c r="G191" s="284" t="s">
        <v>13594</v>
      </c>
      <c r="H191" s="284" t="s">
        <v>13595</v>
      </c>
      <c r="I191" s="284" t="s">
        <v>13238</v>
      </c>
      <c r="J191" s="284" t="s">
        <v>13119</v>
      </c>
      <c r="K191" s="284" t="s">
        <v>13099</v>
      </c>
      <c r="L191" s="284" t="s">
        <v>13553</v>
      </c>
      <c r="M191" s="284" t="s">
        <v>13027</v>
      </c>
      <c r="N191" s="284" t="s">
        <v>13028</v>
      </c>
      <c r="O191" s="284" t="s">
        <v>13160</v>
      </c>
      <c r="P191" s="284" t="s">
        <v>13002</v>
      </c>
      <c r="Q191" s="284" t="s">
        <v>13003</v>
      </c>
      <c r="R191" s="284" t="s">
        <v>13066</v>
      </c>
      <c r="S191" s="284" t="s">
        <v>13557</v>
      </c>
      <c r="T191" s="284" t="s">
        <v>13005</v>
      </c>
      <c r="U191" s="284" t="s">
        <v>13559</v>
      </c>
      <c r="V191" s="284" t="s">
        <v>13032</v>
      </c>
      <c r="W191" s="284" t="s">
        <v>13033</v>
      </c>
      <c r="X191" s="284" t="s">
        <v>13036</v>
      </c>
      <c r="Y191" s="284" t="s">
        <v>13560</v>
      </c>
      <c r="Z191" s="284" t="s">
        <v>13038</v>
      </c>
      <c r="AA191" s="284" t="s">
        <v>14122</v>
      </c>
      <c r="AB191" s="284" t="s">
        <v>13042</v>
      </c>
      <c r="AC191" s="284" t="s">
        <v>13096</v>
      </c>
      <c r="AD191" s="284" t="s">
        <v>13156</v>
      </c>
      <c r="AE191" s="284"/>
      <c r="AF191" s="284"/>
      <c r="AG191" s="284"/>
      <c r="AH191" s="284"/>
      <c r="AI191" s="284"/>
      <c r="AJ191" s="284"/>
      <c r="AK191" s="284"/>
      <c r="AL191" s="284"/>
      <c r="AM191" s="284"/>
      <c r="AN191" s="284"/>
      <c r="AO191" s="284"/>
      <c r="AP191" s="284"/>
      <c r="AQ191" s="284"/>
      <c r="AR191" s="284"/>
      <c r="AS191" s="284"/>
      <c r="AT191" s="284"/>
      <c r="AU191" s="284"/>
      <c r="AV191" s="284"/>
      <c r="AW191" s="284"/>
      <c r="AX191" s="284"/>
      <c r="AY191" s="284"/>
      <c r="AZ191" s="284"/>
      <c r="BA191" s="284"/>
      <c r="BB191" s="284"/>
      <c r="BC191" s="284"/>
      <c r="BD191" s="284"/>
      <c r="BE191" s="284"/>
      <c r="BF191" s="284"/>
      <c r="BG191" s="284"/>
      <c r="BH191" s="284"/>
      <c r="BI191" s="284"/>
      <c r="BJ191" s="284"/>
      <c r="BK191" s="284"/>
      <c r="BL191" s="284"/>
      <c r="BM191" s="284"/>
      <c r="BN191" s="284"/>
      <c r="BO191" s="284"/>
      <c r="BP191" s="284"/>
      <c r="BQ191" s="284"/>
      <c r="BR191" s="284"/>
      <c r="BS191" s="284"/>
      <c r="BT191" s="284"/>
      <c r="BU191" s="284"/>
      <c r="BV191" s="284"/>
      <c r="BW191" s="284"/>
      <c r="BX191" s="284"/>
      <c r="BY191" s="284"/>
      <c r="BZ191" s="284"/>
      <c r="CA191" s="284"/>
      <c r="CB191" s="284"/>
      <c r="CC191" s="284"/>
      <c r="CD191" s="284"/>
      <c r="CE191" s="284"/>
      <c r="CF191" s="284"/>
      <c r="CG191" s="284"/>
    </row>
    <row r="192" spans="1:85" x14ac:dyDescent="0.35">
      <c r="A192" s="284" t="s">
        <v>9271</v>
      </c>
      <c r="B192" s="284" t="s">
        <v>9272</v>
      </c>
      <c r="C192" s="284" t="s">
        <v>14123</v>
      </c>
      <c r="D192" s="284" t="s">
        <v>13021</v>
      </c>
      <c r="E192" s="284" t="s">
        <v>13023</v>
      </c>
      <c r="F192" s="284" t="s">
        <v>13235</v>
      </c>
      <c r="G192" s="284" t="s">
        <v>13236</v>
      </c>
      <c r="H192" s="284" t="s">
        <v>13237</v>
      </c>
      <c r="I192" s="284" t="s">
        <v>13119</v>
      </c>
      <c r="J192" s="284" t="s">
        <v>13099</v>
      </c>
      <c r="K192" s="284" t="s">
        <v>13243</v>
      </c>
      <c r="L192" s="284" t="s">
        <v>13149</v>
      </c>
      <c r="M192" s="284" t="s">
        <v>13028</v>
      </c>
      <c r="N192" s="284" t="s">
        <v>13003</v>
      </c>
      <c r="O192" s="284" t="s">
        <v>13066</v>
      </c>
      <c r="P192" s="284" t="s">
        <v>13248</v>
      </c>
      <c r="Q192" s="284" t="s">
        <v>14124</v>
      </c>
      <c r="R192" s="284" t="s">
        <v>13077</v>
      </c>
      <c r="S192" s="284" t="s">
        <v>13035</v>
      </c>
      <c r="T192" s="284" t="s">
        <v>13394</v>
      </c>
      <c r="U192" s="284" t="s">
        <v>13091</v>
      </c>
      <c r="V192" s="284" t="s">
        <v>13009</v>
      </c>
      <c r="W192" s="284" t="s">
        <v>13012</v>
      </c>
      <c r="X192" s="284" t="s">
        <v>13264</v>
      </c>
      <c r="Y192" s="284" t="s">
        <v>13267</v>
      </c>
      <c r="Z192" s="284" t="s">
        <v>14125</v>
      </c>
      <c r="AA192" s="284"/>
      <c r="AB192" s="284"/>
      <c r="AC192" s="284"/>
      <c r="AD192" s="284"/>
      <c r="AE192" s="284"/>
      <c r="AF192" s="284"/>
      <c r="AG192" s="284"/>
      <c r="AH192" s="284"/>
      <c r="AI192" s="284"/>
      <c r="AJ192" s="284"/>
      <c r="AK192" s="284"/>
      <c r="AL192" s="284"/>
      <c r="AM192" s="284"/>
      <c r="AN192" s="284"/>
      <c r="AO192" s="284"/>
      <c r="AP192" s="284"/>
      <c r="AQ192" s="284"/>
      <c r="AR192" s="284"/>
      <c r="AS192" s="284"/>
      <c r="AT192" s="284"/>
      <c r="AU192" s="284"/>
      <c r="AV192" s="284"/>
      <c r="AW192" s="284"/>
      <c r="AX192" s="284"/>
      <c r="AY192" s="284"/>
      <c r="AZ192" s="284"/>
      <c r="BA192" s="284"/>
      <c r="BB192" s="284"/>
      <c r="BC192" s="284"/>
      <c r="BD192" s="284"/>
      <c r="BE192" s="284"/>
      <c r="BF192" s="284"/>
      <c r="BG192" s="284"/>
      <c r="BH192" s="284"/>
      <c r="BI192" s="284"/>
      <c r="BJ192" s="284"/>
      <c r="BK192" s="284"/>
      <c r="BL192" s="284"/>
      <c r="BM192" s="284"/>
      <c r="BN192" s="284"/>
      <c r="BO192" s="284"/>
      <c r="BP192" s="284"/>
      <c r="BQ192" s="284"/>
      <c r="BR192" s="284"/>
      <c r="BS192" s="284"/>
      <c r="BT192" s="284"/>
      <c r="BU192" s="284"/>
      <c r="BV192" s="284"/>
      <c r="BW192" s="284"/>
      <c r="BX192" s="284"/>
      <c r="BY192" s="284"/>
      <c r="BZ192" s="284"/>
      <c r="CA192" s="284"/>
      <c r="CB192" s="284"/>
      <c r="CC192" s="284"/>
      <c r="CD192" s="284"/>
      <c r="CE192" s="284"/>
      <c r="CF192" s="284"/>
    </row>
    <row r="193" spans="1:85" x14ac:dyDescent="0.35">
      <c r="A193" s="284" t="s">
        <v>8413</v>
      </c>
      <c r="B193" s="284" t="s">
        <v>8414</v>
      </c>
      <c r="C193" t="s">
        <v>14126</v>
      </c>
      <c r="D193" s="284" t="s">
        <v>13308</v>
      </c>
      <c r="E193" s="284" t="s">
        <v>13166</v>
      </c>
      <c r="F193" s="284" t="s">
        <v>13072</v>
      </c>
      <c r="G193" s="284" t="s">
        <v>13021</v>
      </c>
      <c r="H193" s="284" t="s">
        <v>13023</v>
      </c>
      <c r="I193" s="284" t="s">
        <v>13082</v>
      </c>
      <c r="J193" s="284" t="s">
        <v>13065</v>
      </c>
      <c r="K193" s="284" t="s">
        <v>13027</v>
      </c>
      <c r="L193" s="284" t="s">
        <v>13028</v>
      </c>
      <c r="M193" s="284" t="s">
        <v>13160</v>
      </c>
      <c r="N193" s="284" t="s">
        <v>13002</v>
      </c>
      <c r="O193" s="284" t="s">
        <v>13003</v>
      </c>
      <c r="P193" s="284" t="s">
        <v>13004</v>
      </c>
      <c r="Q193" s="284" t="s">
        <v>13066</v>
      </c>
      <c r="R193" s="284" t="s">
        <v>13076</v>
      </c>
      <c r="S193" s="284" t="s">
        <v>13005</v>
      </c>
      <c r="T193" s="284" t="s">
        <v>13029</v>
      </c>
      <c r="U193" s="284" t="s">
        <v>13006</v>
      </c>
      <c r="V193" s="284" t="s">
        <v>13007</v>
      </c>
      <c r="W193" s="284" t="s">
        <v>13568</v>
      </c>
      <c r="X193" s="284" t="s">
        <v>13054</v>
      </c>
      <c r="Y193" s="284" t="s">
        <v>13008</v>
      </c>
      <c r="Z193" s="284" t="s">
        <v>13077</v>
      </c>
      <c r="AA193" s="284" t="s">
        <v>13569</v>
      </c>
      <c r="AB193" s="284" t="s">
        <v>13037</v>
      </c>
      <c r="AC193" s="284" t="s">
        <v>13038</v>
      </c>
      <c r="AD193" s="284" t="s">
        <v>13039</v>
      </c>
      <c r="AE193" s="284" t="s">
        <v>13091</v>
      </c>
      <c r="AF193" s="284" t="s">
        <v>13011</v>
      </c>
      <c r="AG193" s="284" t="s">
        <v>13041</v>
      </c>
      <c r="AH193" s="284" t="s">
        <v>13012</v>
      </c>
      <c r="AI193" s="284" t="s">
        <v>13060</v>
      </c>
      <c r="AJ193" s="284" t="s">
        <v>13094</v>
      </c>
      <c r="AK193" s="284" t="s">
        <v>13014</v>
      </c>
      <c r="AL193" s="284" t="s">
        <v>13079</v>
      </c>
      <c r="AM193" s="284" t="s">
        <v>13570</v>
      </c>
      <c r="AN193" s="284" t="s">
        <v>13016</v>
      </c>
      <c r="AO193" s="284" t="s">
        <v>13144</v>
      </c>
      <c r="AP193" s="284" t="s">
        <v>14127</v>
      </c>
      <c r="AQ193" s="284"/>
      <c r="AR193" s="284"/>
      <c r="AS193" s="284"/>
      <c r="AT193" s="284"/>
      <c r="AU193" s="284"/>
      <c r="AV193" s="284"/>
      <c r="AW193" s="284"/>
      <c r="AX193" s="284"/>
      <c r="AY193" s="284"/>
      <c r="AZ193" s="284"/>
      <c r="BA193" s="284"/>
      <c r="BB193" s="284"/>
      <c r="BC193" s="284"/>
      <c r="BD193" s="284"/>
      <c r="BE193" s="284"/>
      <c r="BF193" s="284"/>
      <c r="BG193" s="284"/>
      <c r="BH193" s="284"/>
      <c r="BI193" s="284"/>
      <c r="BJ193" s="284"/>
      <c r="BK193" s="284"/>
      <c r="BL193" s="284"/>
      <c r="BM193" s="284"/>
      <c r="BN193" s="284"/>
      <c r="BO193" s="284"/>
      <c r="BP193" s="284"/>
      <c r="BQ193" s="284"/>
      <c r="BR193" s="284"/>
      <c r="BS193" s="284"/>
      <c r="BT193" s="284"/>
      <c r="BU193" s="284"/>
      <c r="BV193" s="284"/>
      <c r="BW193" s="284"/>
      <c r="BX193" s="284"/>
      <c r="BY193" s="284"/>
      <c r="BZ193" s="284"/>
      <c r="CA193" s="284"/>
      <c r="CB193" s="284"/>
      <c r="CC193" s="284"/>
      <c r="CD193" s="284"/>
      <c r="CE193" s="284"/>
      <c r="CF193" s="284"/>
      <c r="CG193" s="284"/>
    </row>
    <row r="194" spans="1:85" x14ac:dyDescent="0.35">
      <c r="A194" s="284" t="s">
        <v>6203</v>
      </c>
      <c r="B194" s="284" t="s">
        <v>6204</v>
      </c>
      <c r="C194" s="284" t="s">
        <v>14128</v>
      </c>
      <c r="D194" s="284" t="s">
        <v>13072</v>
      </c>
      <c r="E194" s="284" t="s">
        <v>13407</v>
      </c>
      <c r="F194" s="284" t="s">
        <v>13273</v>
      </c>
      <c r="G194" s="284" t="s">
        <v>13027</v>
      </c>
      <c r="H194" s="284" t="s">
        <v>13148</v>
      </c>
      <c r="I194" s="284" t="s">
        <v>13028</v>
      </c>
      <c r="J194" s="284" t="s">
        <v>13003</v>
      </c>
      <c r="K194" s="284" t="s">
        <v>13291</v>
      </c>
      <c r="L194" s="284" t="s">
        <v>13005</v>
      </c>
      <c r="M194" s="284" t="s">
        <v>13249</v>
      </c>
      <c r="N194" s="284" t="s">
        <v>13516</v>
      </c>
      <c r="O194" s="284" t="s">
        <v>13276</v>
      </c>
      <c r="P194" s="284" t="s">
        <v>13033</v>
      </c>
      <c r="Q194" s="284" t="s">
        <v>13034</v>
      </c>
      <c r="R194" s="284" t="s">
        <v>13036</v>
      </c>
      <c r="S194" s="284" t="s">
        <v>13277</v>
      </c>
      <c r="T194" s="284" t="s">
        <v>13039</v>
      </c>
      <c r="U194" s="284" t="s">
        <v>13009</v>
      </c>
      <c r="V194" s="284" t="s">
        <v>13041</v>
      </c>
      <c r="W194" s="284" t="s">
        <v>14129</v>
      </c>
      <c r="X194" s="284" t="s">
        <v>13154</v>
      </c>
      <c r="Y194" s="284" t="s">
        <v>14130</v>
      </c>
      <c r="Z194" s="284" t="s">
        <v>13286</v>
      </c>
      <c r="AA194" s="284"/>
      <c r="AB194" s="284"/>
      <c r="AC194" s="284"/>
      <c r="AD194" s="284"/>
      <c r="AE194" s="284"/>
      <c r="AF194" s="284"/>
      <c r="AG194" s="284"/>
      <c r="AH194" s="284"/>
      <c r="AI194" s="284"/>
      <c r="AJ194" s="284"/>
      <c r="AK194" s="284"/>
      <c r="AL194" s="284"/>
      <c r="AM194" s="284"/>
      <c r="AN194" s="284"/>
      <c r="AO194" s="284"/>
      <c r="AP194" s="284"/>
      <c r="AQ194" s="284"/>
      <c r="AR194" s="284"/>
      <c r="AS194" s="284"/>
      <c r="AT194" s="284"/>
      <c r="AU194" s="284"/>
      <c r="AV194" s="284"/>
      <c r="AW194" s="284"/>
      <c r="AX194" s="284"/>
      <c r="AY194" s="284"/>
      <c r="AZ194" s="284"/>
      <c r="BA194" s="284"/>
      <c r="BB194" s="284"/>
      <c r="BC194" s="284"/>
      <c r="BD194" s="284"/>
      <c r="BE194" s="284"/>
      <c r="BF194" s="284"/>
      <c r="BG194" s="284"/>
      <c r="BH194" s="284"/>
      <c r="BI194" s="284"/>
      <c r="BJ194" s="284"/>
      <c r="BK194" s="284"/>
      <c r="BL194" s="284"/>
      <c r="BM194" s="284"/>
      <c r="BN194" s="284"/>
      <c r="BO194" s="284"/>
      <c r="BP194" s="284"/>
      <c r="BQ194" s="284"/>
      <c r="BR194" s="284"/>
      <c r="BS194" s="284"/>
      <c r="BT194" s="284"/>
      <c r="BU194" s="284"/>
      <c r="BV194" s="284"/>
      <c r="BW194" s="284"/>
      <c r="BX194" s="284"/>
      <c r="BY194" s="284"/>
      <c r="BZ194" s="284"/>
      <c r="CA194" s="284"/>
      <c r="CB194" s="284"/>
      <c r="CC194" s="284"/>
      <c r="CD194" s="284"/>
      <c r="CE194" s="284"/>
      <c r="CF194" s="284"/>
    </row>
    <row r="195" spans="1:85" x14ac:dyDescent="0.35">
      <c r="A195" s="284" t="s">
        <v>12281</v>
      </c>
      <c r="B195" s="284" t="s">
        <v>12282</v>
      </c>
      <c r="C195" t="s">
        <v>14131</v>
      </c>
      <c r="D195" s="284" t="s">
        <v>13110</v>
      </c>
      <c r="E195" s="284" t="s">
        <v>13166</v>
      </c>
      <c r="F195" s="284" t="s">
        <v>13023</v>
      </c>
      <c r="G195" s="284" t="s">
        <v>13433</v>
      </c>
      <c r="H195" s="284" t="s">
        <v>13098</v>
      </c>
      <c r="I195" s="284" t="s">
        <v>13027</v>
      </c>
      <c r="J195" s="284" t="s">
        <v>13050</v>
      </c>
      <c r="K195" s="284" t="s">
        <v>13002</v>
      </c>
      <c r="L195" s="284" t="s">
        <v>13789</v>
      </c>
      <c r="M195" s="284" t="s">
        <v>13127</v>
      </c>
      <c r="N195" s="284" t="s">
        <v>13005</v>
      </c>
      <c r="O195" s="284" t="s">
        <v>13101</v>
      </c>
      <c r="P195" s="284" t="s">
        <v>13006</v>
      </c>
      <c r="Q195" s="284" t="s">
        <v>13103</v>
      </c>
      <c r="R195" s="284" t="s">
        <v>13054</v>
      </c>
      <c r="S195" s="284" t="s">
        <v>13133</v>
      </c>
      <c r="T195" s="284" t="s">
        <v>13055</v>
      </c>
      <c r="U195" s="284" t="s">
        <v>13104</v>
      </c>
      <c r="V195" s="284" t="s">
        <v>13037</v>
      </c>
      <c r="W195" s="284" t="s">
        <v>14132</v>
      </c>
      <c r="X195" s="284" t="s">
        <v>13779</v>
      </c>
      <c r="Y195" s="284" t="s">
        <v>13011</v>
      </c>
      <c r="Z195" s="284" t="s">
        <v>13058</v>
      </c>
      <c r="AA195" s="284" t="s">
        <v>13012</v>
      </c>
      <c r="AB195" s="284" t="s">
        <v>14133</v>
      </c>
      <c r="AC195" s="284" t="s">
        <v>13014</v>
      </c>
      <c r="AD195" s="284" t="s">
        <v>14134</v>
      </c>
      <c r="AE195" s="284" t="s">
        <v>13673</v>
      </c>
      <c r="AF195" s="284"/>
      <c r="AG195" s="284"/>
      <c r="AH195" s="284"/>
      <c r="AI195" s="284"/>
      <c r="AJ195" s="284"/>
      <c r="AK195" s="284"/>
      <c r="AL195" s="284"/>
      <c r="AM195" s="284"/>
      <c r="AN195" s="284"/>
      <c r="AO195" s="284"/>
      <c r="AP195" s="284"/>
      <c r="AQ195" s="284"/>
      <c r="AR195" s="284"/>
      <c r="AS195" s="284"/>
      <c r="AT195" s="284"/>
      <c r="AU195" s="284"/>
      <c r="AV195" s="284"/>
      <c r="AW195" s="284"/>
      <c r="AX195" s="284"/>
      <c r="AY195" s="284"/>
      <c r="AZ195" s="284"/>
      <c r="BA195" s="284"/>
      <c r="BB195" s="284"/>
      <c r="BC195" s="284"/>
      <c r="BD195" s="284"/>
      <c r="BE195" s="284"/>
      <c r="BF195" s="284"/>
      <c r="BG195" s="284"/>
      <c r="BH195" s="284"/>
      <c r="BI195" s="284"/>
      <c r="BJ195" s="284"/>
      <c r="BK195" s="284"/>
      <c r="BL195" s="284"/>
      <c r="BM195" s="284"/>
      <c r="BN195" s="284"/>
      <c r="BO195" s="284"/>
      <c r="BP195" s="284"/>
      <c r="BQ195" s="284"/>
      <c r="BR195" s="284"/>
      <c r="BS195" s="284"/>
      <c r="BT195" s="284"/>
      <c r="BU195" s="284"/>
      <c r="BV195" s="284"/>
      <c r="BW195" s="284"/>
      <c r="BX195" s="284"/>
      <c r="BY195" s="284"/>
      <c r="BZ195" s="284"/>
      <c r="CA195" s="284"/>
      <c r="CB195" s="284"/>
      <c r="CC195" s="284"/>
      <c r="CD195" s="284"/>
      <c r="CE195" s="284"/>
      <c r="CF195" s="284"/>
      <c r="CG195" s="284"/>
    </row>
    <row r="196" spans="1:85" x14ac:dyDescent="0.35">
      <c r="A196" s="284" t="s">
        <v>9852</v>
      </c>
      <c r="B196" s="284" t="s">
        <v>9853</v>
      </c>
      <c r="C196" t="s">
        <v>13072</v>
      </c>
      <c r="D196" s="284" t="s">
        <v>13023</v>
      </c>
      <c r="E196" s="284" t="s">
        <v>14135</v>
      </c>
      <c r="F196" s="284" t="s">
        <v>13289</v>
      </c>
      <c r="G196" s="284" t="s">
        <v>13574</v>
      </c>
      <c r="H196" s="284" t="s">
        <v>13049</v>
      </c>
      <c r="I196" s="284" t="s">
        <v>13829</v>
      </c>
      <c r="J196" s="284" t="s">
        <v>13027</v>
      </c>
      <c r="K196" s="284" t="s">
        <v>13148</v>
      </c>
      <c r="L196" s="284" t="s">
        <v>13149</v>
      </c>
      <c r="M196" s="284" t="s">
        <v>13028</v>
      </c>
      <c r="N196" s="284" t="s">
        <v>13003</v>
      </c>
      <c r="O196" s="284" t="s">
        <v>13066</v>
      </c>
      <c r="P196" s="284" t="s">
        <v>13151</v>
      </c>
      <c r="Q196" s="284" t="s">
        <v>13291</v>
      </c>
      <c r="R196" s="284" t="s">
        <v>13201</v>
      </c>
      <c r="S196" s="284" t="s">
        <v>13249</v>
      </c>
      <c r="T196" s="284" t="s">
        <v>13276</v>
      </c>
      <c r="U196" s="284" t="s">
        <v>13032</v>
      </c>
      <c r="V196" s="284" t="s">
        <v>13033</v>
      </c>
      <c r="W196" s="284" t="s">
        <v>13036</v>
      </c>
      <c r="X196" s="284" t="s">
        <v>13277</v>
      </c>
      <c r="Y196" s="284" t="s">
        <v>13037</v>
      </c>
      <c r="Z196" s="284" t="s">
        <v>14136</v>
      </c>
      <c r="AA196" s="284" t="s">
        <v>13009</v>
      </c>
      <c r="AB196" s="284" t="s">
        <v>13974</v>
      </c>
      <c r="AC196" s="284" t="s">
        <v>14137</v>
      </c>
      <c r="AD196" s="284" t="s">
        <v>13014</v>
      </c>
      <c r="AE196" s="284" t="s">
        <v>13042</v>
      </c>
      <c r="AF196" s="284" t="s">
        <v>13222</v>
      </c>
      <c r="AG196" s="284" t="s">
        <v>13286</v>
      </c>
      <c r="AH196" s="284"/>
      <c r="AI196" s="284"/>
      <c r="AJ196" s="284"/>
      <c r="AK196" s="284"/>
      <c r="AL196" s="284"/>
      <c r="AM196" s="284"/>
      <c r="AN196" s="284"/>
      <c r="AO196" s="284"/>
      <c r="AP196" s="284"/>
      <c r="AQ196" s="284"/>
      <c r="AR196" s="284"/>
      <c r="AS196" s="284"/>
      <c r="AT196" s="284"/>
      <c r="AU196" s="284"/>
      <c r="AV196" s="284"/>
      <c r="AW196" s="284"/>
      <c r="AX196" s="284"/>
      <c r="AY196" s="284"/>
      <c r="AZ196" s="284"/>
      <c r="BA196" s="284"/>
      <c r="BB196" s="284"/>
      <c r="BC196" s="284"/>
      <c r="BD196" s="284"/>
      <c r="BE196" s="284"/>
      <c r="BF196" s="284"/>
      <c r="BG196" s="284"/>
      <c r="BH196" s="284"/>
      <c r="BI196" s="284"/>
      <c r="BJ196" s="284"/>
      <c r="BK196" s="284"/>
      <c r="BL196" s="284"/>
      <c r="BM196" s="284"/>
      <c r="BN196" s="284"/>
      <c r="BO196" s="284"/>
      <c r="BP196" s="284"/>
      <c r="BQ196" s="284"/>
      <c r="BR196" s="284"/>
      <c r="BS196" s="284"/>
      <c r="BT196" s="284"/>
      <c r="BU196" s="284"/>
      <c r="BV196" s="284"/>
      <c r="BW196" s="284"/>
      <c r="BX196" s="284"/>
      <c r="BY196" s="284"/>
      <c r="BZ196" s="284"/>
      <c r="CA196" s="284"/>
      <c r="CB196" s="284"/>
      <c r="CC196" s="284"/>
      <c r="CD196" s="284"/>
      <c r="CE196" s="284"/>
      <c r="CF196" s="284"/>
      <c r="CG196" s="284"/>
    </row>
    <row r="197" spans="1:85" x14ac:dyDescent="0.35">
      <c r="A197" s="284" t="s">
        <v>4381</v>
      </c>
      <c r="B197" s="284" t="s">
        <v>4382</v>
      </c>
      <c r="C197" s="284" t="s">
        <v>13021</v>
      </c>
      <c r="D197" s="284" t="s">
        <v>13023</v>
      </c>
      <c r="E197" s="284" t="s">
        <v>13083</v>
      </c>
      <c r="F197" s="284" t="s">
        <v>13084</v>
      </c>
      <c r="G197" s="284" t="s">
        <v>13085</v>
      </c>
      <c r="H197" s="284" t="s">
        <v>13086</v>
      </c>
      <c r="I197" s="284" t="s">
        <v>13001</v>
      </c>
      <c r="J197" s="284" t="s">
        <v>13003</v>
      </c>
      <c r="K197" s="284" t="s">
        <v>13076</v>
      </c>
      <c r="L197" s="284" t="s">
        <v>13005</v>
      </c>
      <c r="M197" s="284" t="s">
        <v>13101</v>
      </c>
      <c r="N197" s="284" t="s">
        <v>13029</v>
      </c>
      <c r="O197" s="284" t="s">
        <v>13007</v>
      </c>
      <c r="P197" s="284" t="s">
        <v>13103</v>
      </c>
      <c r="Q197" s="284" t="s">
        <v>13033</v>
      </c>
      <c r="R197" s="284" t="s">
        <v>13038</v>
      </c>
      <c r="S197" s="284" t="s">
        <v>13091</v>
      </c>
      <c r="T197" s="284" t="s">
        <v>13009</v>
      </c>
      <c r="U197" s="284" t="s">
        <v>13011</v>
      </c>
      <c r="V197" s="284" t="s">
        <v>13106</v>
      </c>
      <c r="W197" s="284"/>
      <c r="X197" s="284"/>
      <c r="Y197" s="284"/>
      <c r="Z197" s="284"/>
      <c r="AA197" s="284"/>
      <c r="AB197" s="284"/>
      <c r="AC197" s="284"/>
      <c r="AD197" s="284"/>
      <c r="AE197" s="284"/>
      <c r="AF197" s="284"/>
      <c r="AG197" s="284"/>
      <c r="AH197" s="284"/>
      <c r="AI197" s="284"/>
      <c r="AJ197" s="284"/>
      <c r="AK197" s="284"/>
      <c r="AL197" s="284"/>
      <c r="AM197" s="284"/>
      <c r="AN197" s="284"/>
      <c r="AO197" s="284"/>
      <c r="AP197" s="284"/>
      <c r="AQ197" s="284"/>
      <c r="AR197" s="284"/>
      <c r="AS197" s="284"/>
      <c r="AT197" s="284"/>
      <c r="AU197" s="284"/>
      <c r="AV197" s="284"/>
      <c r="AW197" s="284"/>
      <c r="AX197" s="284"/>
      <c r="AY197" s="284"/>
      <c r="AZ197" s="284"/>
      <c r="BA197" s="284"/>
      <c r="BB197" s="284"/>
      <c r="BC197" s="284"/>
      <c r="BD197" s="284"/>
      <c r="BE197" s="284"/>
      <c r="BF197" s="284"/>
      <c r="BG197" s="284"/>
      <c r="BH197" s="284"/>
      <c r="BI197" s="284"/>
      <c r="BJ197" s="284"/>
      <c r="BK197" s="284"/>
      <c r="BL197" s="284"/>
      <c r="BM197" s="284"/>
      <c r="BN197" s="284"/>
      <c r="BO197" s="284"/>
      <c r="BP197" s="284"/>
      <c r="BQ197" s="284"/>
      <c r="BR197" s="284"/>
      <c r="BS197" s="284"/>
      <c r="BT197" s="284"/>
      <c r="BU197" s="284"/>
      <c r="BV197" s="284"/>
      <c r="BW197" s="284"/>
      <c r="BX197" s="284"/>
      <c r="BY197" s="284"/>
      <c r="BZ197" s="284"/>
      <c r="CA197" s="284"/>
      <c r="CB197" s="284"/>
      <c r="CC197" s="284"/>
      <c r="CD197" s="284"/>
      <c r="CE197" s="284"/>
      <c r="CF197" s="284"/>
    </row>
    <row r="198" spans="1:85" x14ac:dyDescent="0.35">
      <c r="A198" s="284" t="s">
        <v>6245</v>
      </c>
      <c r="B198" s="284" t="s">
        <v>6246</v>
      </c>
      <c r="C198" t="s">
        <v>14138</v>
      </c>
      <c r="D198" s="284" t="s">
        <v>13023</v>
      </c>
      <c r="E198" s="284" t="s">
        <v>13407</v>
      </c>
      <c r="F198" s="284" t="s">
        <v>13273</v>
      </c>
      <c r="G198" s="284" t="s">
        <v>13117</v>
      </c>
      <c r="H198" s="284" t="s">
        <v>13085</v>
      </c>
      <c r="I198" s="284" t="s">
        <v>13148</v>
      </c>
      <c r="J198" s="284" t="s">
        <v>13149</v>
      </c>
      <c r="K198" s="284" t="s">
        <v>13028</v>
      </c>
      <c r="L198" s="284" t="s">
        <v>13003</v>
      </c>
      <c r="M198" s="284" t="s">
        <v>13290</v>
      </c>
      <c r="N198" s="284" t="s">
        <v>13291</v>
      </c>
      <c r="O198" s="284" t="s">
        <v>13201</v>
      </c>
      <c r="P198" s="284" t="s">
        <v>13249</v>
      </c>
      <c r="Q198" s="284" t="s">
        <v>13516</v>
      </c>
      <c r="R198" s="284" t="s">
        <v>13276</v>
      </c>
      <c r="S198" s="284" t="s">
        <v>13032</v>
      </c>
      <c r="T198" s="284" t="s">
        <v>13033</v>
      </c>
      <c r="U198" s="284" t="s">
        <v>13034</v>
      </c>
      <c r="V198" s="284" t="s">
        <v>13036</v>
      </c>
      <c r="W198" s="284" t="s">
        <v>13277</v>
      </c>
      <c r="X198" s="284" t="s">
        <v>13014</v>
      </c>
      <c r="Y198" s="284" t="s">
        <v>13154</v>
      </c>
      <c r="Z198" s="284" t="s">
        <v>13286</v>
      </c>
      <c r="AA198" s="284"/>
      <c r="AB198" s="284"/>
      <c r="AC198" s="284"/>
      <c r="AD198" s="284"/>
      <c r="AE198" s="284"/>
      <c r="AF198" s="284"/>
      <c r="AG198" s="284"/>
      <c r="AH198" s="284"/>
      <c r="AI198" s="284"/>
      <c r="AJ198" s="284"/>
      <c r="AK198" s="284"/>
      <c r="AL198" s="284"/>
      <c r="AM198" s="284"/>
      <c r="AN198" s="284"/>
      <c r="AO198" s="284"/>
      <c r="AP198" s="284"/>
      <c r="AQ198" s="284"/>
      <c r="AR198" s="284"/>
      <c r="AS198" s="284"/>
      <c r="AT198" s="284"/>
      <c r="AU198" s="284"/>
      <c r="AV198" s="284"/>
      <c r="AW198" s="284"/>
      <c r="AX198" s="284"/>
      <c r="AY198" s="284"/>
      <c r="AZ198" s="284"/>
      <c r="BA198" s="284"/>
      <c r="BB198" s="284"/>
      <c r="BC198" s="284"/>
      <c r="BD198" s="284"/>
      <c r="BE198" s="284"/>
      <c r="BF198" s="284"/>
      <c r="BG198" s="284"/>
      <c r="BH198" s="284"/>
      <c r="BI198" s="284"/>
      <c r="BJ198" s="284"/>
      <c r="BK198" s="284"/>
      <c r="BL198" s="284"/>
      <c r="BM198" s="284"/>
      <c r="BN198" s="284"/>
      <c r="BO198" s="284"/>
      <c r="BP198" s="284"/>
      <c r="BQ198" s="284"/>
      <c r="BR198" s="284"/>
      <c r="BS198" s="284"/>
      <c r="BT198" s="284"/>
      <c r="BU198" s="284"/>
      <c r="BV198" s="284"/>
      <c r="BW198" s="284"/>
      <c r="BX198" s="284"/>
      <c r="BY198" s="284"/>
      <c r="BZ198" s="284"/>
      <c r="CA198" s="284"/>
      <c r="CB198" s="284"/>
      <c r="CC198" s="284"/>
      <c r="CD198" s="284"/>
      <c r="CE198" s="284"/>
      <c r="CF198" s="284"/>
      <c r="CG198" s="284"/>
    </row>
    <row r="199" spans="1:85" x14ac:dyDescent="0.35">
      <c r="A199" s="284" t="s">
        <v>3920</v>
      </c>
      <c r="B199" s="284" t="s">
        <v>3921</v>
      </c>
      <c r="C199" t="s">
        <v>14139</v>
      </c>
      <c r="D199" s="284" t="s">
        <v>13046</v>
      </c>
      <c r="E199" s="284" t="s">
        <v>13065</v>
      </c>
      <c r="F199" s="284" t="s">
        <v>13074</v>
      </c>
      <c r="G199" s="284" t="s">
        <v>13049</v>
      </c>
      <c r="H199" s="284" t="s">
        <v>14140</v>
      </c>
      <c r="I199" s="284" t="s">
        <v>13050</v>
      </c>
      <c r="J199" s="284" t="s">
        <v>13028</v>
      </c>
      <c r="K199" s="284" t="s">
        <v>13002</v>
      </c>
      <c r="L199" s="284" t="s">
        <v>13003</v>
      </c>
      <c r="M199" s="284" t="s">
        <v>13076</v>
      </c>
      <c r="N199" s="284" t="s">
        <v>13005</v>
      </c>
      <c r="O199" s="284" t="s">
        <v>13008</v>
      </c>
      <c r="P199" s="284" t="s">
        <v>13077</v>
      </c>
      <c r="Q199" s="284" t="s">
        <v>13033</v>
      </c>
      <c r="R199" s="284" t="s">
        <v>13179</v>
      </c>
      <c r="S199" s="284" t="s">
        <v>13038</v>
      </c>
      <c r="T199" s="284" t="s">
        <v>13039</v>
      </c>
      <c r="U199" s="284" t="s">
        <v>13078</v>
      </c>
      <c r="V199" s="284" t="s">
        <v>13009</v>
      </c>
      <c r="W199" s="284" t="s">
        <v>13011</v>
      </c>
      <c r="X199" s="284" t="s">
        <v>13041</v>
      </c>
      <c r="Y199" s="284" t="s">
        <v>13012</v>
      </c>
      <c r="Z199" s="284" t="s">
        <v>13361</v>
      </c>
      <c r="AA199" s="284"/>
      <c r="AB199" s="284"/>
      <c r="AC199" s="284"/>
      <c r="AD199" s="284"/>
      <c r="AE199" s="284"/>
      <c r="AF199" s="284"/>
      <c r="AG199" s="284"/>
      <c r="AH199" s="284"/>
      <c r="AI199" s="284"/>
      <c r="AJ199" s="284"/>
      <c r="AK199" s="284"/>
      <c r="AL199" s="284"/>
      <c r="AM199" s="284"/>
      <c r="AN199" s="284"/>
      <c r="AO199" s="284"/>
      <c r="AP199" s="284"/>
      <c r="AQ199" s="284"/>
      <c r="AR199" s="284"/>
      <c r="AS199" s="284"/>
      <c r="AT199" s="284"/>
      <c r="AU199" s="284"/>
      <c r="AV199" s="284"/>
      <c r="AW199" s="284"/>
      <c r="AX199" s="284"/>
      <c r="AY199" s="284"/>
      <c r="AZ199" s="284"/>
      <c r="BA199" s="284"/>
      <c r="BB199" s="284"/>
      <c r="BC199" s="284"/>
      <c r="BD199" s="284"/>
      <c r="BE199" s="284"/>
      <c r="BF199" s="284"/>
      <c r="BG199" s="284"/>
      <c r="BH199" s="284"/>
      <c r="BI199" s="284"/>
      <c r="BJ199" s="284"/>
      <c r="BK199" s="284"/>
      <c r="BL199" s="284"/>
      <c r="BM199" s="284"/>
      <c r="BN199" s="284"/>
      <c r="BO199" s="284"/>
      <c r="BP199" s="284"/>
      <c r="BQ199" s="284"/>
      <c r="BR199" s="284"/>
      <c r="BS199" s="284"/>
      <c r="BT199" s="284"/>
      <c r="BU199" s="284"/>
      <c r="BV199" s="284"/>
      <c r="BW199" s="284"/>
      <c r="BX199" s="284"/>
      <c r="BY199" s="284"/>
      <c r="BZ199" s="284"/>
      <c r="CA199" s="284"/>
      <c r="CB199" s="284"/>
      <c r="CC199" s="284"/>
      <c r="CD199" s="284"/>
      <c r="CE199" s="284"/>
      <c r="CF199" s="284"/>
      <c r="CG199" s="284"/>
    </row>
    <row r="200" spans="1:85" x14ac:dyDescent="0.35">
      <c r="A200" s="284" t="s">
        <v>10392</v>
      </c>
      <c r="B200" s="284" t="s">
        <v>10393</v>
      </c>
      <c r="C200" t="s">
        <v>14141</v>
      </c>
      <c r="D200" s="284" t="s">
        <v>13064</v>
      </c>
      <c r="E200" s="284" t="s">
        <v>13019</v>
      </c>
      <c r="F200" s="284" t="s">
        <v>13507</v>
      </c>
      <c r="G200" s="284" t="s">
        <v>13023</v>
      </c>
      <c r="H200" s="284" t="s">
        <v>13508</v>
      </c>
      <c r="I200" s="284" t="s">
        <v>13082</v>
      </c>
      <c r="J200" s="284" t="s">
        <v>13147</v>
      </c>
      <c r="K200" s="284" t="s">
        <v>13065</v>
      </c>
      <c r="L200" s="284" t="s">
        <v>13099</v>
      </c>
      <c r="M200" s="284" t="s">
        <v>13049</v>
      </c>
      <c r="N200" s="284" t="s">
        <v>13027</v>
      </c>
      <c r="O200" s="284" t="s">
        <v>13148</v>
      </c>
      <c r="P200" s="284" t="s">
        <v>13001</v>
      </c>
      <c r="Q200" s="284" t="s">
        <v>13028</v>
      </c>
      <c r="R200" s="284" t="s">
        <v>13160</v>
      </c>
      <c r="S200" s="284" t="s">
        <v>13003</v>
      </c>
      <c r="T200" s="284" t="s">
        <v>13420</v>
      </c>
      <c r="U200" s="284" t="s">
        <v>13323</v>
      </c>
      <c r="V200" s="284" t="s">
        <v>13032</v>
      </c>
      <c r="W200" s="284" t="s">
        <v>13033</v>
      </c>
      <c r="X200" s="284" t="s">
        <v>13034</v>
      </c>
      <c r="Y200" s="284" t="s">
        <v>13036</v>
      </c>
      <c r="Z200" s="284" t="s">
        <v>13078</v>
      </c>
      <c r="AA200" s="284" t="s">
        <v>13091</v>
      </c>
      <c r="AB200" s="284" t="s">
        <v>13009</v>
      </c>
      <c r="AC200" s="284" t="s">
        <v>13152</v>
      </c>
      <c r="AD200" s="284" t="s">
        <v>13012</v>
      </c>
      <c r="AE200" s="284" t="s">
        <v>13153</v>
      </c>
      <c r="AF200" s="284" t="s">
        <v>13014</v>
      </c>
      <c r="AG200" s="284" t="s">
        <v>13154</v>
      </c>
      <c r="AH200" s="284" t="s">
        <v>13155</v>
      </c>
      <c r="AI200" s="284" t="s">
        <v>13157</v>
      </c>
      <c r="AJ200" s="284"/>
      <c r="AK200" s="284"/>
      <c r="AL200" s="284"/>
      <c r="AM200" s="284"/>
      <c r="AN200" s="284"/>
      <c r="AO200" s="284"/>
      <c r="AP200" s="284"/>
      <c r="AQ200" s="284"/>
      <c r="AR200" s="284"/>
      <c r="AS200" s="284"/>
      <c r="AT200" s="284"/>
      <c r="AU200" s="284"/>
      <c r="AV200" s="284"/>
      <c r="AW200" s="284"/>
      <c r="AX200" s="284"/>
      <c r="AY200" s="284"/>
      <c r="AZ200" s="284"/>
      <c r="BA200" s="284"/>
      <c r="BB200" s="284"/>
      <c r="BC200" s="284"/>
      <c r="BD200" s="284"/>
      <c r="BE200" s="284"/>
      <c r="BF200" s="284"/>
      <c r="BG200" s="284"/>
      <c r="BH200" s="284"/>
      <c r="BI200" s="284"/>
      <c r="BJ200" s="284"/>
      <c r="BK200" s="284"/>
      <c r="BL200" s="284"/>
      <c r="BM200" s="284"/>
      <c r="BN200" s="284"/>
      <c r="BO200" s="284"/>
      <c r="BP200" s="284"/>
      <c r="BQ200" s="284"/>
      <c r="BR200" s="284"/>
      <c r="BS200" s="284"/>
      <c r="BT200" s="284"/>
      <c r="BU200" s="284"/>
      <c r="BV200" s="284"/>
      <c r="BW200" s="284"/>
      <c r="BX200" s="284"/>
      <c r="BY200" s="284"/>
      <c r="BZ200" s="284"/>
      <c r="CA200" s="284"/>
      <c r="CB200" s="284"/>
      <c r="CC200" s="284"/>
      <c r="CD200" s="284"/>
      <c r="CE200" s="284"/>
      <c r="CF200" s="284"/>
      <c r="CG200" s="284"/>
    </row>
    <row r="201" spans="1:85" x14ac:dyDescent="0.35">
      <c r="A201" s="284" t="s">
        <v>8778</v>
      </c>
      <c r="B201" s="284" t="s">
        <v>8779</v>
      </c>
      <c r="C201" s="284" t="s">
        <v>14142</v>
      </c>
      <c r="D201" s="284" t="s">
        <v>13021</v>
      </c>
      <c r="E201" s="284" t="s">
        <v>13022</v>
      </c>
      <c r="F201" s="284" t="s">
        <v>13023</v>
      </c>
      <c r="G201" s="284" t="s">
        <v>14077</v>
      </c>
      <c r="H201" s="284" t="s">
        <v>13235</v>
      </c>
      <c r="I201" s="284" t="s">
        <v>14143</v>
      </c>
      <c r="J201" s="284" t="s">
        <v>13237</v>
      </c>
      <c r="K201" s="284" t="s">
        <v>13000</v>
      </c>
      <c r="L201" s="284" t="s">
        <v>14144</v>
      </c>
      <c r="M201" s="284" t="s">
        <v>13238</v>
      </c>
      <c r="N201" s="284" t="s">
        <v>13027</v>
      </c>
      <c r="O201" s="284" t="s">
        <v>13028</v>
      </c>
      <c r="P201" s="284" t="s">
        <v>13003</v>
      </c>
      <c r="Q201" s="284" t="s">
        <v>13005</v>
      </c>
      <c r="R201" s="284" t="s">
        <v>13248</v>
      </c>
      <c r="S201" s="284" t="s">
        <v>13008</v>
      </c>
      <c r="T201" s="284" t="s">
        <v>13077</v>
      </c>
      <c r="U201" s="284" t="s">
        <v>13055</v>
      </c>
      <c r="V201" s="284" t="s">
        <v>13034</v>
      </c>
      <c r="W201" s="284" t="s">
        <v>13035</v>
      </c>
      <c r="X201" s="284" t="s">
        <v>13105</v>
      </c>
      <c r="Y201" s="284" t="s">
        <v>13038</v>
      </c>
      <c r="Z201" s="284" t="s">
        <v>13039</v>
      </c>
      <c r="AA201" s="284" t="s">
        <v>13091</v>
      </c>
      <c r="AB201" s="284" t="s">
        <v>13009</v>
      </c>
      <c r="AC201" s="284" t="s">
        <v>13041</v>
      </c>
      <c r="AD201" s="284" t="s">
        <v>13012</v>
      </c>
      <c r="AE201" s="284" t="s">
        <v>13014</v>
      </c>
      <c r="AF201" s="284" t="s">
        <v>13042</v>
      </c>
      <c r="AG201" s="284" t="s">
        <v>13267</v>
      </c>
      <c r="AH201" s="284" t="s">
        <v>14057</v>
      </c>
      <c r="AI201" s="284"/>
      <c r="AJ201" s="284"/>
      <c r="AK201" s="284"/>
      <c r="AL201" s="284"/>
      <c r="AM201" s="284"/>
      <c r="AN201" s="284"/>
      <c r="AO201" s="284"/>
      <c r="AP201" s="284"/>
      <c r="AQ201" s="284"/>
      <c r="AR201" s="284"/>
      <c r="AS201" s="284"/>
      <c r="AT201" s="284"/>
      <c r="AU201" s="284"/>
      <c r="AV201" s="284"/>
      <c r="AW201" s="284"/>
      <c r="AX201" s="284"/>
      <c r="AY201" s="284"/>
      <c r="AZ201" s="284"/>
      <c r="BA201" s="284"/>
      <c r="BB201" s="284"/>
      <c r="BC201" s="284"/>
      <c r="BD201" s="284"/>
      <c r="BE201" s="284"/>
      <c r="BF201" s="284"/>
      <c r="BG201" s="284"/>
      <c r="BH201" s="284"/>
      <c r="BI201" s="284"/>
      <c r="BJ201" s="284"/>
      <c r="BK201" s="284"/>
      <c r="BL201" s="284"/>
      <c r="BM201" s="284"/>
      <c r="BN201" s="284"/>
      <c r="BO201" s="284"/>
      <c r="BP201" s="284"/>
      <c r="BQ201" s="284"/>
      <c r="BR201" s="284"/>
      <c r="BS201" s="284"/>
      <c r="BT201" s="284"/>
      <c r="BU201" s="284"/>
      <c r="BV201" s="284"/>
      <c r="BW201" s="284"/>
      <c r="BX201" s="284"/>
      <c r="BY201" s="284"/>
      <c r="BZ201" s="284"/>
      <c r="CA201" s="284"/>
      <c r="CB201" s="284"/>
      <c r="CC201" s="284"/>
      <c r="CD201" s="284"/>
      <c r="CE201" s="284"/>
      <c r="CF201" s="284"/>
    </row>
    <row r="202" spans="1:85" x14ac:dyDescent="0.35">
      <c r="A202" s="284" t="s">
        <v>8455</v>
      </c>
      <c r="B202" s="284" t="s">
        <v>8456</v>
      </c>
      <c r="C202" t="s">
        <v>14145</v>
      </c>
      <c r="D202" s="284" t="s">
        <v>13110</v>
      </c>
      <c r="E202" s="284" t="s">
        <v>13308</v>
      </c>
      <c r="F202" s="284" t="s">
        <v>13166</v>
      </c>
      <c r="G202" s="284" t="s">
        <v>13167</v>
      </c>
      <c r="H202" s="284" t="s">
        <v>13072</v>
      </c>
      <c r="I202" s="284" t="s">
        <v>13023</v>
      </c>
      <c r="J202" s="284" t="s">
        <v>13027</v>
      </c>
      <c r="K202" s="284" t="s">
        <v>13003</v>
      </c>
      <c r="L202" s="284" t="s">
        <v>13051</v>
      </c>
      <c r="M202" s="284" t="s">
        <v>13005</v>
      </c>
      <c r="N202" s="284" t="s">
        <v>13006</v>
      </c>
      <c r="O202" s="284" t="s">
        <v>13568</v>
      </c>
      <c r="P202" s="284" t="s">
        <v>13054</v>
      </c>
      <c r="Q202" s="284" t="s">
        <v>13055</v>
      </c>
      <c r="R202" s="284" t="s">
        <v>13039</v>
      </c>
      <c r="S202" s="284" t="s">
        <v>13011</v>
      </c>
      <c r="T202" s="284" t="s">
        <v>13041</v>
      </c>
      <c r="U202" s="284" t="s">
        <v>14146</v>
      </c>
      <c r="V202" s="284" t="s">
        <v>13012</v>
      </c>
      <c r="W202" s="284" t="s">
        <v>13042</v>
      </c>
      <c r="X202" s="284" t="s">
        <v>13079</v>
      </c>
      <c r="Y202" s="284" t="s">
        <v>13570</v>
      </c>
      <c r="Z202" s="284" t="s">
        <v>13015</v>
      </c>
      <c r="AA202" s="284"/>
      <c r="AB202" s="284"/>
      <c r="AC202" s="284"/>
      <c r="AD202" s="284"/>
      <c r="AE202" s="284"/>
      <c r="AF202" s="284"/>
      <c r="AG202" s="284"/>
      <c r="AH202" s="284"/>
      <c r="AI202" s="284"/>
      <c r="AJ202" s="284"/>
      <c r="AK202" s="284"/>
      <c r="AL202" s="284"/>
      <c r="AM202" s="284"/>
      <c r="AN202" s="284"/>
      <c r="AO202" s="284"/>
      <c r="AP202" s="284"/>
      <c r="AQ202" s="284"/>
      <c r="AR202" s="284"/>
      <c r="AS202" s="284"/>
      <c r="AT202" s="284"/>
      <c r="AU202" s="284"/>
      <c r="AV202" s="284"/>
      <c r="AW202" s="284"/>
      <c r="AX202" s="284"/>
      <c r="AY202" s="284"/>
      <c r="AZ202" s="284"/>
      <c r="BA202" s="284"/>
      <c r="BB202" s="284"/>
      <c r="BC202" s="284"/>
      <c r="BD202" s="284"/>
      <c r="BE202" s="284"/>
      <c r="BF202" s="284"/>
      <c r="BG202" s="284"/>
      <c r="BH202" s="284"/>
      <c r="BI202" s="284"/>
      <c r="BJ202" s="284"/>
      <c r="BK202" s="284"/>
      <c r="BL202" s="284"/>
      <c r="BM202" s="284"/>
      <c r="BN202" s="284"/>
      <c r="BO202" s="284"/>
      <c r="BP202" s="284"/>
      <c r="BQ202" s="284"/>
      <c r="BR202" s="284"/>
      <c r="BS202" s="284"/>
      <c r="BT202" s="284"/>
      <c r="BU202" s="284"/>
      <c r="BV202" s="284"/>
      <c r="BW202" s="284"/>
      <c r="BX202" s="284"/>
      <c r="BY202" s="284"/>
      <c r="BZ202" s="284"/>
      <c r="CA202" s="284"/>
      <c r="CB202" s="284"/>
      <c r="CC202" s="284"/>
      <c r="CD202" s="284"/>
      <c r="CE202" s="284"/>
      <c r="CF202" s="284"/>
      <c r="CG202" s="284"/>
    </row>
    <row r="203" spans="1:85" x14ac:dyDescent="0.35">
      <c r="A203" s="284" t="s">
        <v>7544</v>
      </c>
      <c r="B203" s="284" t="s">
        <v>7545</v>
      </c>
      <c r="C203" s="284" t="s">
        <v>13072</v>
      </c>
      <c r="D203" s="284" t="s">
        <v>13064</v>
      </c>
      <c r="E203" s="284" t="s">
        <v>13021</v>
      </c>
      <c r="F203" s="284" t="s">
        <v>13022</v>
      </c>
      <c r="G203" s="284" t="s">
        <v>13023</v>
      </c>
      <c r="H203" s="284" t="s">
        <v>13082</v>
      </c>
      <c r="I203" s="284" t="s">
        <v>13024</v>
      </c>
      <c r="J203" s="284" t="s">
        <v>13085</v>
      </c>
      <c r="K203" s="284" t="s">
        <v>13074</v>
      </c>
      <c r="L203" s="284" t="s">
        <v>13025</v>
      </c>
      <c r="M203" s="284" t="s">
        <v>13026</v>
      </c>
      <c r="N203" s="284" t="s">
        <v>13027</v>
      </c>
      <c r="O203" s="284" t="s">
        <v>13028</v>
      </c>
      <c r="P203" s="284" t="s">
        <v>13160</v>
      </c>
      <c r="Q203" s="284" t="s">
        <v>13066</v>
      </c>
      <c r="R203" s="284" t="s">
        <v>13067</v>
      </c>
      <c r="S203" s="284" t="s">
        <v>13178</v>
      </c>
      <c r="T203" s="284" t="s">
        <v>13076</v>
      </c>
      <c r="U203" s="284" t="s">
        <v>13331</v>
      </c>
      <c r="V203" s="284" t="s">
        <v>13029</v>
      </c>
      <c r="W203" s="284" t="s">
        <v>13006</v>
      </c>
      <c r="X203" s="284" t="s">
        <v>13030</v>
      </c>
      <c r="Y203" s="284" t="s">
        <v>13055</v>
      </c>
      <c r="Z203" s="284" t="s">
        <v>13033</v>
      </c>
      <c r="AA203" s="284" t="s">
        <v>13034</v>
      </c>
      <c r="AB203" s="284" t="s">
        <v>13035</v>
      </c>
      <c r="AC203" s="284" t="s">
        <v>13036</v>
      </c>
      <c r="AD203" s="284" t="s">
        <v>13038</v>
      </c>
      <c r="AE203" s="284" t="s">
        <v>13039</v>
      </c>
      <c r="AF203" s="284" t="s">
        <v>13041</v>
      </c>
      <c r="AG203" s="284" t="s">
        <v>13012</v>
      </c>
      <c r="AH203" s="284" t="s">
        <v>14147</v>
      </c>
      <c r="AI203" s="284" t="s">
        <v>13042</v>
      </c>
      <c r="AJ203" s="284" t="s">
        <v>13070</v>
      </c>
      <c r="AK203" s="284" t="s">
        <v>13016</v>
      </c>
      <c r="AL203" s="284"/>
      <c r="AM203" s="284"/>
      <c r="AN203" s="284"/>
      <c r="AO203" s="284"/>
      <c r="AP203" s="284"/>
      <c r="AQ203" s="284"/>
      <c r="AR203" s="284"/>
      <c r="AS203" s="284"/>
      <c r="AT203" s="284"/>
      <c r="AU203" s="284"/>
      <c r="AV203" s="284"/>
      <c r="AW203" s="284"/>
      <c r="AX203" s="284"/>
      <c r="AY203" s="284"/>
      <c r="AZ203" s="284"/>
      <c r="BA203" s="284"/>
      <c r="BB203" s="284"/>
      <c r="BC203" s="284"/>
      <c r="BD203" s="284"/>
      <c r="BE203" s="284"/>
      <c r="BF203" s="284"/>
      <c r="BG203" s="284"/>
      <c r="BH203" s="284"/>
      <c r="BI203" s="284"/>
      <c r="BJ203" s="284"/>
      <c r="BK203" s="284"/>
      <c r="BL203" s="284"/>
      <c r="BM203" s="284"/>
      <c r="BN203" s="284"/>
      <c r="BO203" s="284"/>
      <c r="BP203" s="284"/>
      <c r="BQ203" s="284"/>
      <c r="BR203" s="284"/>
      <c r="BS203" s="284"/>
      <c r="BT203" s="284"/>
      <c r="BU203" s="284"/>
      <c r="BV203" s="284"/>
      <c r="BW203" s="284"/>
      <c r="BX203" s="284"/>
      <c r="BY203" s="284"/>
      <c r="BZ203" s="284"/>
      <c r="CA203" s="284"/>
      <c r="CB203" s="284"/>
      <c r="CC203" s="284"/>
      <c r="CD203" s="284"/>
      <c r="CE203" s="284"/>
      <c r="CF203" s="284"/>
    </row>
    <row r="204" spans="1:85" x14ac:dyDescent="0.35">
      <c r="A204" s="284" t="s">
        <v>5067</v>
      </c>
      <c r="B204" s="284" t="s">
        <v>5068</v>
      </c>
      <c r="C204" s="284" t="s">
        <v>14148</v>
      </c>
      <c r="D204" s="284" t="s">
        <v>13166</v>
      </c>
      <c r="E204" s="284" t="s">
        <v>13167</v>
      </c>
      <c r="F204" s="284" t="s">
        <v>13072</v>
      </c>
      <c r="G204" s="284" t="s">
        <v>13021</v>
      </c>
      <c r="H204" s="284" t="s">
        <v>13023</v>
      </c>
      <c r="I204" s="284" t="s">
        <v>13047</v>
      </c>
      <c r="J204" s="284" t="s">
        <v>14149</v>
      </c>
      <c r="K204" s="284" t="s">
        <v>13027</v>
      </c>
      <c r="L204" s="284" t="s">
        <v>13752</v>
      </c>
      <c r="M204" s="284" t="s">
        <v>13359</v>
      </c>
      <c r="N204" s="284" t="s">
        <v>13028</v>
      </c>
      <c r="O204" s="284" t="s">
        <v>13002</v>
      </c>
      <c r="P204" s="284" t="s">
        <v>13003</v>
      </c>
      <c r="Q204" s="284" t="s">
        <v>13051</v>
      </c>
      <c r="R204" s="284" t="s">
        <v>13005</v>
      </c>
      <c r="S204" s="284" t="s">
        <v>13006</v>
      </c>
      <c r="T204" s="284" t="s">
        <v>13007</v>
      </c>
      <c r="U204" s="284" t="s">
        <v>13568</v>
      </c>
      <c r="V204" s="284" t="s">
        <v>13054</v>
      </c>
      <c r="W204" s="284" t="s">
        <v>13636</v>
      </c>
      <c r="X204" s="284" t="s">
        <v>13171</v>
      </c>
      <c r="Y204" s="284" t="s">
        <v>13037</v>
      </c>
      <c r="Z204" s="284" t="s">
        <v>13009</v>
      </c>
      <c r="AA204" s="284" t="s">
        <v>13011</v>
      </c>
      <c r="AB204" s="284" t="s">
        <v>13058</v>
      </c>
      <c r="AC204" s="284" t="s">
        <v>13012</v>
      </c>
      <c r="AD204" s="284" t="s">
        <v>13060</v>
      </c>
      <c r="AE204" s="284" t="s">
        <v>13042</v>
      </c>
      <c r="AF204" s="284" t="s">
        <v>13750</v>
      </c>
      <c r="AG204" s="284" t="s">
        <v>13173</v>
      </c>
      <c r="AH204" s="284" t="s">
        <v>13174</v>
      </c>
      <c r="AI204" s="284" t="s">
        <v>13015</v>
      </c>
      <c r="AJ204" s="284"/>
      <c r="AK204" s="284"/>
      <c r="AL204" s="284"/>
      <c r="AM204" s="284"/>
      <c r="AN204" s="284"/>
      <c r="AO204" s="284"/>
      <c r="AP204" s="284"/>
      <c r="AQ204" s="284"/>
      <c r="AR204" s="284"/>
      <c r="AS204" s="284"/>
      <c r="AT204" s="284"/>
      <c r="AU204" s="284"/>
      <c r="AV204" s="284"/>
      <c r="AW204" s="284"/>
      <c r="AX204" s="284"/>
      <c r="AY204" s="284"/>
      <c r="AZ204" s="284"/>
      <c r="BA204" s="284"/>
      <c r="BB204" s="284"/>
      <c r="BC204" s="284"/>
      <c r="BD204" s="284"/>
      <c r="BE204" s="284"/>
      <c r="BF204" s="284"/>
      <c r="BG204" s="284"/>
      <c r="BH204" s="284"/>
      <c r="BI204" s="284"/>
      <c r="BJ204" s="284"/>
      <c r="BK204" s="284"/>
      <c r="BL204" s="284"/>
      <c r="BM204" s="284"/>
      <c r="BN204" s="284"/>
      <c r="BO204" s="284"/>
      <c r="BP204" s="284"/>
      <c r="BQ204" s="284"/>
      <c r="BR204" s="284"/>
      <c r="BS204" s="284"/>
      <c r="BT204" s="284"/>
      <c r="BU204" s="284"/>
      <c r="BV204" s="284"/>
      <c r="BW204" s="284"/>
      <c r="BX204" s="284"/>
      <c r="BY204" s="284"/>
      <c r="BZ204" s="284"/>
      <c r="CA204" s="284"/>
      <c r="CB204" s="284"/>
      <c r="CC204" s="284"/>
      <c r="CD204" s="284"/>
      <c r="CE204" s="284"/>
      <c r="CF204" s="284"/>
    </row>
    <row r="205" spans="1:85" x14ac:dyDescent="0.35">
      <c r="A205" s="284" t="s">
        <v>981</v>
      </c>
      <c r="B205" s="284" t="s">
        <v>982</v>
      </c>
      <c r="C205" t="s">
        <v>13072</v>
      </c>
      <c r="D205" s="284" t="s">
        <v>13021</v>
      </c>
      <c r="E205" s="284" t="s">
        <v>13022</v>
      </c>
      <c r="F205" s="284" t="s">
        <v>13198</v>
      </c>
      <c r="G205" s="284" t="s">
        <v>13024</v>
      </c>
      <c r="H205" s="284" t="s">
        <v>13028</v>
      </c>
      <c r="I205" s="284" t="s">
        <v>13296</v>
      </c>
      <c r="J205" s="284" t="s">
        <v>13284</v>
      </c>
      <c r="K205" s="284" t="s">
        <v>13030</v>
      </c>
      <c r="L205" s="284" t="s">
        <v>13055</v>
      </c>
      <c r="M205" s="284" t="s">
        <v>13035</v>
      </c>
      <c r="N205" s="284" t="s">
        <v>13036</v>
      </c>
      <c r="O205" s="284" t="s">
        <v>13038</v>
      </c>
      <c r="P205" s="284" t="s">
        <v>13012</v>
      </c>
      <c r="Q205" s="284" t="s">
        <v>14150</v>
      </c>
      <c r="R205" s="284"/>
      <c r="S205" s="284"/>
      <c r="T205" s="284"/>
      <c r="U205" s="284"/>
      <c r="V205" s="284"/>
      <c r="W205" s="284"/>
      <c r="X205" s="284"/>
      <c r="Y205" s="284"/>
      <c r="Z205" s="284"/>
      <c r="AA205" s="284"/>
      <c r="AB205" s="284"/>
      <c r="AC205" s="284"/>
      <c r="AD205" s="284"/>
      <c r="AE205" s="284"/>
      <c r="AF205" s="284"/>
      <c r="AG205" s="284"/>
      <c r="AH205" s="284"/>
      <c r="AI205" s="284"/>
      <c r="AJ205" s="284"/>
      <c r="AK205" s="284"/>
      <c r="AL205" s="284"/>
      <c r="AM205" s="284"/>
      <c r="AN205" s="284"/>
      <c r="AO205" s="284"/>
      <c r="AP205" s="284"/>
      <c r="AQ205" s="284"/>
      <c r="AR205" s="284"/>
      <c r="AS205" s="284"/>
      <c r="AT205" s="284"/>
      <c r="AU205" s="284"/>
      <c r="AV205" s="284"/>
      <c r="AW205" s="284"/>
      <c r="AX205" s="284"/>
      <c r="AY205" s="284"/>
      <c r="AZ205" s="284"/>
      <c r="BA205" s="284"/>
      <c r="BB205" s="284"/>
      <c r="BC205" s="284"/>
      <c r="BD205" s="284"/>
      <c r="BE205" s="284"/>
      <c r="BF205" s="284"/>
      <c r="BG205" s="284"/>
      <c r="BH205" s="284"/>
      <c r="BI205" s="284"/>
      <c r="BJ205" s="284"/>
      <c r="BK205" s="284"/>
      <c r="BL205" s="284"/>
      <c r="BM205" s="284"/>
      <c r="BN205" s="284"/>
      <c r="BO205" s="284"/>
      <c r="BP205" s="284"/>
      <c r="BQ205" s="284"/>
      <c r="BR205" s="284"/>
      <c r="BS205" s="284"/>
      <c r="BT205" s="284"/>
      <c r="BU205" s="284"/>
      <c r="BV205" s="284"/>
      <c r="BW205" s="284"/>
      <c r="BX205" s="284"/>
      <c r="BY205" s="284"/>
      <c r="BZ205" s="284"/>
      <c r="CA205" s="284"/>
      <c r="CB205" s="284"/>
      <c r="CC205" s="284"/>
      <c r="CD205" s="284"/>
      <c r="CE205" s="284"/>
      <c r="CF205" s="284"/>
      <c r="CG205" s="284"/>
    </row>
    <row r="206" spans="1:85" x14ac:dyDescent="0.35">
      <c r="A206" s="284" t="s">
        <v>9894</v>
      </c>
      <c r="B206" s="284" t="s">
        <v>9895</v>
      </c>
      <c r="C206" t="s">
        <v>14151</v>
      </c>
      <c r="D206" s="284" t="s">
        <v>13020</v>
      </c>
      <c r="E206" s="284" t="s">
        <v>13111</v>
      </c>
      <c r="F206" s="284" t="s">
        <v>13023</v>
      </c>
      <c r="G206" s="284" t="s">
        <v>13147</v>
      </c>
      <c r="H206" s="284" t="s">
        <v>13289</v>
      </c>
      <c r="I206" s="284" t="s">
        <v>13000</v>
      </c>
      <c r="J206" s="284" t="s">
        <v>13238</v>
      </c>
      <c r="K206" s="284" t="s">
        <v>13098</v>
      </c>
      <c r="L206" s="284" t="s">
        <v>14152</v>
      </c>
      <c r="M206" s="284" t="s">
        <v>13085</v>
      </c>
      <c r="N206" s="284" t="s">
        <v>13049</v>
      </c>
      <c r="O206" s="284" t="s">
        <v>13499</v>
      </c>
      <c r="P206" s="284" t="s">
        <v>13027</v>
      </c>
      <c r="Q206" s="284" t="s">
        <v>13148</v>
      </c>
      <c r="R206" s="284" t="s">
        <v>13160</v>
      </c>
      <c r="S206" s="284" t="s">
        <v>13003</v>
      </c>
      <c r="T206" s="284" t="s">
        <v>14153</v>
      </c>
      <c r="U206" s="284" t="s">
        <v>13290</v>
      </c>
      <c r="V206" s="284" t="s">
        <v>13291</v>
      </c>
      <c r="W206" s="284" t="s">
        <v>13005</v>
      </c>
      <c r="X206" s="284" t="s">
        <v>13413</v>
      </c>
      <c r="Y206" s="284" t="s">
        <v>13249</v>
      </c>
      <c r="Z206" s="284" t="s">
        <v>13276</v>
      </c>
      <c r="AA206" s="284" t="s">
        <v>13033</v>
      </c>
      <c r="AB206" s="284" t="s">
        <v>13034</v>
      </c>
      <c r="AC206" s="284" t="s">
        <v>13036</v>
      </c>
      <c r="AD206" s="284" t="s">
        <v>14154</v>
      </c>
      <c r="AE206" s="284" t="s">
        <v>13277</v>
      </c>
      <c r="AF206" s="284" t="s">
        <v>13037</v>
      </c>
      <c r="AG206" s="284" t="s">
        <v>13136</v>
      </c>
      <c r="AH206" s="284" t="s">
        <v>14155</v>
      </c>
      <c r="AI206" s="284" t="s">
        <v>13078</v>
      </c>
      <c r="AJ206" s="284" t="s">
        <v>13009</v>
      </c>
      <c r="AK206" s="284" t="s">
        <v>13489</v>
      </c>
      <c r="AL206" s="284" t="s">
        <v>13014</v>
      </c>
      <c r="AM206" s="284" t="s">
        <v>13042</v>
      </c>
      <c r="AN206" s="284" t="s">
        <v>13154</v>
      </c>
      <c r="AO206" s="284" t="s">
        <v>13222</v>
      </c>
      <c r="AP206" s="284" t="s">
        <v>13286</v>
      </c>
      <c r="AQ206" s="284"/>
      <c r="AR206" s="284"/>
      <c r="AS206" s="284"/>
      <c r="AT206" s="284"/>
      <c r="AU206" s="284"/>
      <c r="AV206" s="284"/>
      <c r="AW206" s="284"/>
      <c r="AX206" s="284"/>
      <c r="AY206" s="284"/>
      <c r="AZ206" s="284"/>
      <c r="BA206" s="284"/>
      <c r="BB206" s="284"/>
      <c r="BC206" s="284"/>
      <c r="BD206" s="284"/>
      <c r="BE206" s="284"/>
      <c r="BF206" s="284"/>
      <c r="BG206" s="284"/>
      <c r="BH206" s="284"/>
      <c r="BI206" s="284"/>
      <c r="BJ206" s="284"/>
      <c r="BK206" s="284"/>
      <c r="BL206" s="284"/>
      <c r="BM206" s="284"/>
      <c r="BN206" s="284"/>
      <c r="BO206" s="284"/>
      <c r="BP206" s="284"/>
      <c r="BQ206" s="284"/>
      <c r="BR206" s="284"/>
      <c r="BS206" s="284"/>
      <c r="BT206" s="284"/>
      <c r="BU206" s="284"/>
      <c r="BV206" s="284"/>
      <c r="BW206" s="284"/>
      <c r="BX206" s="284"/>
      <c r="BY206" s="284"/>
      <c r="BZ206" s="284"/>
      <c r="CA206" s="284"/>
      <c r="CB206" s="284"/>
      <c r="CC206" s="284"/>
      <c r="CD206" s="284"/>
      <c r="CE206" s="284"/>
      <c r="CF206" s="284"/>
      <c r="CG206" s="284"/>
    </row>
    <row r="207" spans="1:85" x14ac:dyDescent="0.35">
      <c r="A207" s="284" t="s">
        <v>10769</v>
      </c>
      <c r="B207" s="284" t="s">
        <v>10770</v>
      </c>
      <c r="C207" t="s">
        <v>14156</v>
      </c>
      <c r="D207" s="284" t="s">
        <v>13020</v>
      </c>
      <c r="E207" s="284" t="s">
        <v>13021</v>
      </c>
      <c r="F207" s="284" t="s">
        <v>13023</v>
      </c>
      <c r="G207" s="284" t="s">
        <v>13230</v>
      </c>
      <c r="H207" s="284" t="s">
        <v>13235</v>
      </c>
      <c r="I207" s="284" t="s">
        <v>13237</v>
      </c>
      <c r="J207" s="284" t="s">
        <v>13000</v>
      </c>
      <c r="K207" s="284" t="s">
        <v>13099</v>
      </c>
      <c r="L207" s="284" t="s">
        <v>13027</v>
      </c>
      <c r="M207" s="284" t="s">
        <v>13243</v>
      </c>
      <c r="N207" s="284" t="s">
        <v>13001</v>
      </c>
      <c r="O207" s="284" t="s">
        <v>13028</v>
      </c>
      <c r="P207" s="284" t="s">
        <v>13003</v>
      </c>
      <c r="Q207" s="284" t="s">
        <v>13066</v>
      </c>
      <c r="R207" s="284" t="s">
        <v>13076</v>
      </c>
      <c r="S207" s="284" t="s">
        <v>13331</v>
      </c>
      <c r="T207" s="284" t="s">
        <v>14157</v>
      </c>
      <c r="U207" s="284" t="s">
        <v>13248</v>
      </c>
      <c r="V207" s="284" t="s">
        <v>13250</v>
      </c>
      <c r="W207" s="284" t="s">
        <v>13035</v>
      </c>
      <c r="X207" s="284" t="s">
        <v>13091</v>
      </c>
      <c r="Y207" s="284" t="s">
        <v>13009</v>
      </c>
      <c r="Z207" s="284" t="s">
        <v>14158</v>
      </c>
      <c r="AA207" s="284" t="s">
        <v>13011</v>
      </c>
      <c r="AB207" s="284" t="s">
        <v>13257</v>
      </c>
      <c r="AC207" s="284" t="s">
        <v>13012</v>
      </c>
      <c r="AD207" s="284" t="s">
        <v>13260</v>
      </c>
      <c r="AE207" s="284" t="s">
        <v>13042</v>
      </c>
      <c r="AF207" s="284" t="s">
        <v>13264</v>
      </c>
      <c r="AG207" s="284" t="s">
        <v>13222</v>
      </c>
      <c r="AH207" s="284" t="s">
        <v>13267</v>
      </c>
      <c r="AI207" s="284" t="s">
        <v>13144</v>
      </c>
      <c r="AJ207" s="284" t="s">
        <v>14159</v>
      </c>
      <c r="AK207" s="284"/>
      <c r="AL207" s="284"/>
      <c r="AM207" s="284"/>
      <c r="AN207" s="284"/>
      <c r="AO207" s="284"/>
      <c r="AP207" s="284"/>
      <c r="AQ207" s="284"/>
      <c r="AR207" s="284"/>
      <c r="AS207" s="284"/>
      <c r="AT207" s="284"/>
      <c r="AU207" s="284"/>
      <c r="AV207" s="284"/>
      <c r="AW207" s="284"/>
      <c r="AX207" s="284"/>
      <c r="AY207" s="284"/>
      <c r="AZ207" s="284"/>
      <c r="BA207" s="284"/>
      <c r="BB207" s="284"/>
      <c r="BC207" s="284"/>
      <c r="BD207" s="284"/>
      <c r="BE207" s="284"/>
      <c r="BF207" s="284"/>
      <c r="BG207" s="284"/>
      <c r="BH207" s="284"/>
      <c r="BI207" s="284"/>
      <c r="BJ207" s="284"/>
      <c r="BK207" s="284"/>
      <c r="BL207" s="284"/>
      <c r="BM207" s="284"/>
      <c r="BN207" s="284"/>
      <c r="BO207" s="284"/>
      <c r="BP207" s="284"/>
      <c r="BQ207" s="284"/>
      <c r="BR207" s="284"/>
      <c r="BS207" s="284"/>
      <c r="BT207" s="284"/>
      <c r="BU207" s="284"/>
      <c r="BV207" s="284"/>
      <c r="BW207" s="284"/>
      <c r="BX207" s="284"/>
      <c r="BY207" s="284"/>
      <c r="BZ207" s="284"/>
      <c r="CA207" s="284"/>
      <c r="CB207" s="284"/>
      <c r="CC207" s="284"/>
      <c r="CD207" s="284"/>
      <c r="CE207" s="284"/>
      <c r="CF207" s="284"/>
      <c r="CG207" s="284"/>
    </row>
    <row r="208" spans="1:85" x14ac:dyDescent="0.35">
      <c r="A208" s="284" t="s">
        <v>10225</v>
      </c>
      <c r="B208" s="284" t="s">
        <v>10226</v>
      </c>
      <c r="C208" t="s">
        <v>14160</v>
      </c>
      <c r="D208" s="284" t="s">
        <v>13023</v>
      </c>
      <c r="E208" s="284" t="s">
        <v>13279</v>
      </c>
      <c r="F208" s="284" t="s">
        <v>13498</v>
      </c>
      <c r="G208" s="284" t="s">
        <v>13115</v>
      </c>
      <c r="H208" s="284" t="s">
        <v>13920</v>
      </c>
      <c r="I208" s="284" t="s">
        <v>13921</v>
      </c>
      <c r="J208" s="284" t="s">
        <v>13099</v>
      </c>
      <c r="K208" s="284" t="s">
        <v>13924</v>
      </c>
      <c r="L208" s="284" t="s">
        <v>13049</v>
      </c>
      <c r="M208" s="284" t="s">
        <v>13027</v>
      </c>
      <c r="N208" s="284" t="s">
        <v>13148</v>
      </c>
      <c r="O208" s="284" t="s">
        <v>13001</v>
      </c>
      <c r="P208" s="284" t="s">
        <v>13149</v>
      </c>
      <c r="Q208" s="284" t="s">
        <v>13515</v>
      </c>
      <c r="R208" s="284" t="s">
        <v>13028</v>
      </c>
      <c r="S208" s="284" t="s">
        <v>13160</v>
      </c>
      <c r="T208" s="284" t="s">
        <v>13003</v>
      </c>
      <c r="U208" s="284" t="s">
        <v>13066</v>
      </c>
      <c r="V208" s="284" t="s">
        <v>13291</v>
      </c>
      <c r="W208" s="284" t="s">
        <v>13076</v>
      </c>
      <c r="X208" s="284" t="s">
        <v>13934</v>
      </c>
      <c r="Y208" s="284" t="s">
        <v>13744</v>
      </c>
      <c r="Z208" s="284" t="s">
        <v>13486</v>
      </c>
      <c r="AA208" s="284" t="s">
        <v>13276</v>
      </c>
      <c r="AB208" s="284" t="s">
        <v>13033</v>
      </c>
      <c r="AC208" s="284" t="s">
        <v>13487</v>
      </c>
      <c r="AD208" s="284" t="s">
        <v>13838</v>
      </c>
      <c r="AE208" s="284" t="s">
        <v>13036</v>
      </c>
      <c r="AF208" s="284" t="s">
        <v>13839</v>
      </c>
      <c r="AG208" s="284" t="s">
        <v>13277</v>
      </c>
      <c r="AH208" s="284" t="s">
        <v>13009</v>
      </c>
      <c r="AI208" s="284" t="s">
        <v>13285</v>
      </c>
      <c r="AJ208" s="284" t="s">
        <v>13042</v>
      </c>
      <c r="AK208" s="284" t="s">
        <v>13154</v>
      </c>
      <c r="AL208" s="284" t="s">
        <v>13493</v>
      </c>
      <c r="AM208" s="284" t="s">
        <v>13222</v>
      </c>
      <c r="AN208" s="284" t="s">
        <v>13286</v>
      </c>
      <c r="AO208" s="284"/>
      <c r="AP208" s="284"/>
      <c r="AQ208" s="284"/>
      <c r="AR208" s="284"/>
      <c r="AS208" s="284"/>
      <c r="AT208" s="284"/>
      <c r="AU208" s="284"/>
      <c r="AV208" s="284"/>
      <c r="AW208" s="284"/>
      <c r="AX208" s="284"/>
      <c r="AY208" s="284"/>
      <c r="AZ208" s="284"/>
      <c r="BA208" s="284"/>
      <c r="BB208" s="284"/>
      <c r="BC208" s="284"/>
      <c r="BD208" s="284"/>
      <c r="BE208" s="284"/>
      <c r="BF208" s="284"/>
      <c r="BG208" s="284"/>
      <c r="BH208" s="284"/>
      <c r="BI208" s="284"/>
      <c r="BJ208" s="284"/>
      <c r="BK208" s="284"/>
      <c r="BL208" s="284"/>
      <c r="BM208" s="284"/>
      <c r="BN208" s="284"/>
      <c r="BO208" s="284"/>
      <c r="BP208" s="284"/>
      <c r="BQ208" s="284"/>
      <c r="BR208" s="284"/>
      <c r="BS208" s="284"/>
      <c r="BT208" s="284"/>
      <c r="BU208" s="284"/>
      <c r="BV208" s="284"/>
      <c r="BW208" s="284"/>
      <c r="BX208" s="284"/>
      <c r="BY208" s="284"/>
      <c r="BZ208" s="284"/>
      <c r="CA208" s="284"/>
      <c r="CB208" s="284"/>
      <c r="CC208" s="284"/>
      <c r="CD208" s="284"/>
      <c r="CE208" s="284"/>
      <c r="CF208" s="284"/>
      <c r="CG208" s="284"/>
    </row>
    <row r="209" spans="1:85" x14ac:dyDescent="0.35">
      <c r="A209" s="284" t="s">
        <v>5677</v>
      </c>
      <c r="B209" s="284" t="s">
        <v>5678</v>
      </c>
      <c r="C209" t="s">
        <v>13021</v>
      </c>
      <c r="D209" s="284" t="s">
        <v>13022</v>
      </c>
      <c r="E209" s="284" t="s">
        <v>13023</v>
      </c>
      <c r="F209" s="284" t="s">
        <v>14161</v>
      </c>
      <c r="G209" s="284" t="s">
        <v>13119</v>
      </c>
      <c r="H209" s="284" t="s">
        <v>13074</v>
      </c>
      <c r="I209" s="284" t="s">
        <v>13027</v>
      </c>
      <c r="J209" s="284" t="s">
        <v>13004</v>
      </c>
      <c r="K209" s="284" t="s">
        <v>13005</v>
      </c>
      <c r="L209" s="284" t="s">
        <v>14162</v>
      </c>
      <c r="M209" s="284" t="s">
        <v>13006</v>
      </c>
      <c r="N209" s="284" t="s">
        <v>13007</v>
      </c>
      <c r="O209" s="284" t="s">
        <v>13217</v>
      </c>
      <c r="P209" s="284" t="s">
        <v>13008</v>
      </c>
      <c r="Q209" s="284" t="s">
        <v>13077</v>
      </c>
      <c r="R209" s="284" t="s">
        <v>13033</v>
      </c>
      <c r="S209" s="284" t="s">
        <v>13389</v>
      </c>
      <c r="T209" s="284" t="s">
        <v>14163</v>
      </c>
      <c r="U209" s="284" t="s">
        <v>13011</v>
      </c>
      <c r="V209" s="284" t="s">
        <v>13042</v>
      </c>
      <c r="W209" s="284" t="s">
        <v>13079</v>
      </c>
      <c r="X209" s="284" t="s">
        <v>13080</v>
      </c>
      <c r="Y209" s="284"/>
      <c r="Z209" s="284"/>
      <c r="AA209" s="284"/>
      <c r="AB209" s="284"/>
      <c r="AC209" s="284"/>
      <c r="AD209" s="284"/>
      <c r="AE209" s="284"/>
      <c r="AF209" s="284"/>
      <c r="AG209" s="284"/>
      <c r="AH209" s="284"/>
      <c r="AI209" s="284"/>
      <c r="AJ209" s="284"/>
      <c r="AK209" s="284"/>
      <c r="AL209" s="284"/>
      <c r="AM209" s="284"/>
      <c r="AN209" s="284"/>
      <c r="AO209" s="284"/>
      <c r="AP209" s="284"/>
      <c r="AQ209" s="284"/>
      <c r="AR209" s="284"/>
      <c r="AS209" s="284"/>
      <c r="AT209" s="284"/>
      <c r="AU209" s="284"/>
      <c r="AV209" s="284"/>
      <c r="AW209" s="284"/>
      <c r="AX209" s="284"/>
      <c r="AY209" s="284"/>
      <c r="AZ209" s="284"/>
      <c r="BA209" s="284"/>
      <c r="BB209" s="284"/>
      <c r="BC209" s="284"/>
      <c r="BD209" s="284"/>
      <c r="BE209" s="284"/>
      <c r="BF209" s="284"/>
      <c r="BG209" s="284"/>
      <c r="BH209" s="284"/>
      <c r="BI209" s="284"/>
      <c r="BJ209" s="284"/>
      <c r="BK209" s="284"/>
      <c r="BL209" s="284"/>
      <c r="BM209" s="284"/>
      <c r="BN209" s="284"/>
      <c r="BO209" s="284"/>
      <c r="BP209" s="284"/>
      <c r="BQ209" s="284"/>
      <c r="BR209" s="284"/>
      <c r="BS209" s="284"/>
      <c r="BT209" s="284"/>
      <c r="BU209" s="284"/>
      <c r="BV209" s="284"/>
      <c r="BW209" s="284"/>
      <c r="BX209" s="284"/>
      <c r="BY209" s="284"/>
      <c r="BZ209" s="284"/>
      <c r="CA209" s="284"/>
      <c r="CB209" s="284"/>
      <c r="CC209" s="284"/>
      <c r="CD209" s="284"/>
      <c r="CE209" s="284"/>
      <c r="CF209" s="284"/>
      <c r="CG209" s="284"/>
    </row>
    <row r="210" spans="1:85" x14ac:dyDescent="0.35">
      <c r="A210" s="284" t="s">
        <v>10434</v>
      </c>
      <c r="B210" s="284" t="s">
        <v>10435</v>
      </c>
      <c r="C210" s="284" t="s">
        <v>14164</v>
      </c>
      <c r="D210" s="284" t="s">
        <v>13064</v>
      </c>
      <c r="E210" s="284" t="s">
        <v>13019</v>
      </c>
      <c r="F210" s="284" t="s">
        <v>13021</v>
      </c>
      <c r="G210" s="284" t="s">
        <v>13507</v>
      </c>
      <c r="H210" s="284" t="s">
        <v>14165</v>
      </c>
      <c r="I210" s="284" t="s">
        <v>13410</v>
      </c>
      <c r="J210" s="284" t="s">
        <v>13023</v>
      </c>
      <c r="K210" s="284" t="s">
        <v>13508</v>
      </c>
      <c r="L210" s="284" t="s">
        <v>13065</v>
      </c>
      <c r="M210" s="284" t="s">
        <v>13000</v>
      </c>
      <c r="N210" s="284" t="s">
        <v>13119</v>
      </c>
      <c r="O210" s="284" t="s">
        <v>13024</v>
      </c>
      <c r="P210" s="284" t="s">
        <v>13099</v>
      </c>
      <c r="Q210" s="284" t="s">
        <v>13049</v>
      </c>
      <c r="R210" s="284" t="s">
        <v>13027</v>
      </c>
      <c r="S210" s="284" t="s">
        <v>13148</v>
      </c>
      <c r="T210" s="284" t="s">
        <v>13149</v>
      </c>
      <c r="U210" s="284" t="s">
        <v>13028</v>
      </c>
      <c r="V210" s="284" t="s">
        <v>13002</v>
      </c>
      <c r="W210" s="284" t="s">
        <v>13003</v>
      </c>
      <c r="X210" s="284" t="s">
        <v>13420</v>
      </c>
      <c r="Y210" s="284" t="s">
        <v>13066</v>
      </c>
      <c r="Z210" s="284" t="s">
        <v>13323</v>
      </c>
      <c r="AA210" s="284" t="s">
        <v>13274</v>
      </c>
      <c r="AB210" s="284" t="s">
        <v>13029</v>
      </c>
      <c r="AC210" s="284" t="s">
        <v>13006</v>
      </c>
      <c r="AD210" s="284" t="s">
        <v>14166</v>
      </c>
      <c r="AE210" s="284" t="s">
        <v>13032</v>
      </c>
      <c r="AF210" s="284" t="s">
        <v>13613</v>
      </c>
      <c r="AG210" s="284" t="s">
        <v>13033</v>
      </c>
      <c r="AH210" s="284" t="s">
        <v>13034</v>
      </c>
      <c r="AI210" s="284" t="s">
        <v>13036</v>
      </c>
      <c r="AJ210" s="284" t="s">
        <v>13078</v>
      </c>
      <c r="AK210" s="284" t="s">
        <v>13091</v>
      </c>
      <c r="AL210" s="284" t="s">
        <v>13009</v>
      </c>
      <c r="AM210" s="284" t="s">
        <v>13152</v>
      </c>
      <c r="AN210" s="284" t="s">
        <v>13011</v>
      </c>
      <c r="AO210" s="284" t="s">
        <v>13832</v>
      </c>
      <c r="AP210" s="284" t="s">
        <v>13153</v>
      </c>
      <c r="AQ210" s="284" t="s">
        <v>13014</v>
      </c>
      <c r="AR210" s="284" t="s">
        <v>13154</v>
      </c>
      <c r="AS210" s="284" t="s">
        <v>13222</v>
      </c>
      <c r="AT210" s="284" t="s">
        <v>13155</v>
      </c>
      <c r="AU210" s="284" t="s">
        <v>13157</v>
      </c>
      <c r="AV210" s="284" t="s">
        <v>13286</v>
      </c>
      <c r="AW210" s="284" t="s">
        <v>13207</v>
      </c>
      <c r="AX210" s="284"/>
      <c r="AY210" s="284"/>
      <c r="AZ210" s="284"/>
      <c r="BA210" s="284"/>
      <c r="BB210" s="284"/>
      <c r="BC210" s="284"/>
      <c r="BD210" s="284"/>
      <c r="BE210" s="284"/>
      <c r="BF210" s="284"/>
      <c r="BG210" s="284"/>
      <c r="BH210" s="284"/>
      <c r="BI210" s="284"/>
      <c r="BJ210" s="284"/>
      <c r="BK210" s="284"/>
      <c r="BL210" s="284"/>
      <c r="BM210" s="284"/>
      <c r="BN210" s="284"/>
      <c r="BO210" s="284"/>
      <c r="BP210" s="284"/>
      <c r="BQ210" s="284"/>
      <c r="BR210" s="284"/>
      <c r="BS210" s="284"/>
      <c r="BT210" s="284"/>
      <c r="BU210" s="284"/>
      <c r="BV210" s="284"/>
      <c r="BW210" s="284"/>
      <c r="BX210" s="284"/>
      <c r="BY210" s="284"/>
      <c r="BZ210" s="284"/>
      <c r="CA210" s="284"/>
      <c r="CB210" s="284"/>
      <c r="CC210" s="284"/>
      <c r="CD210" s="284"/>
      <c r="CE210" s="284"/>
      <c r="CF210" s="284"/>
    </row>
    <row r="211" spans="1:85" x14ac:dyDescent="0.35">
      <c r="A211" s="284" t="s">
        <v>2262</v>
      </c>
      <c r="B211" s="284" t="s">
        <v>2263</v>
      </c>
      <c r="C211" t="s">
        <v>14167</v>
      </c>
      <c r="D211" s="284" t="s">
        <v>13410</v>
      </c>
      <c r="E211" s="284" t="s">
        <v>13023</v>
      </c>
      <c r="F211" s="284" t="s">
        <v>13114</v>
      </c>
      <c r="G211" s="284" t="s">
        <v>13235</v>
      </c>
      <c r="H211" s="284" t="s">
        <v>13237</v>
      </c>
      <c r="I211" s="284" t="s">
        <v>13000</v>
      </c>
      <c r="J211" s="284" t="s">
        <v>13770</v>
      </c>
      <c r="K211" s="284" t="s">
        <v>13027</v>
      </c>
      <c r="L211" s="284" t="s">
        <v>13148</v>
      </c>
      <c r="M211" s="284" t="s">
        <v>13243</v>
      </c>
      <c r="N211" s="284" t="s">
        <v>13001</v>
      </c>
      <c r="O211" s="284" t="s">
        <v>13028</v>
      </c>
      <c r="P211" s="284" t="s">
        <v>13448</v>
      </c>
      <c r="Q211" s="284" t="s">
        <v>14168</v>
      </c>
      <c r="R211" s="284" t="s">
        <v>13003</v>
      </c>
      <c r="S211" s="284" t="s">
        <v>13248</v>
      </c>
      <c r="T211" s="284" t="s">
        <v>13034</v>
      </c>
      <c r="U211" s="284" t="s">
        <v>13037</v>
      </c>
      <c r="V211" s="284" t="s">
        <v>13394</v>
      </c>
      <c r="W211" s="284" t="s">
        <v>13038</v>
      </c>
      <c r="X211" s="284" t="s">
        <v>13091</v>
      </c>
      <c r="Y211" s="284" t="s">
        <v>13009</v>
      </c>
      <c r="Z211" s="284" t="s">
        <v>14169</v>
      </c>
      <c r="AA211" s="284" t="s">
        <v>14170</v>
      </c>
      <c r="AB211" s="284" t="s">
        <v>14171</v>
      </c>
      <c r="AC211" s="284" t="s">
        <v>14172</v>
      </c>
      <c r="AD211" s="284" t="s">
        <v>13012</v>
      </c>
      <c r="AE211" s="284" t="s">
        <v>14173</v>
      </c>
      <c r="AF211" s="284" t="s">
        <v>13966</v>
      </c>
      <c r="AG211" s="284" t="s">
        <v>13451</v>
      </c>
      <c r="AH211" s="284" t="s">
        <v>13264</v>
      </c>
      <c r="AI211" s="284" t="s">
        <v>14174</v>
      </c>
      <c r="AJ211" s="284" t="s">
        <v>13267</v>
      </c>
      <c r="AK211" s="284"/>
      <c r="AL211" s="284"/>
      <c r="AM211" s="284"/>
      <c r="AN211" s="284"/>
      <c r="AO211" s="284"/>
      <c r="AP211" s="284"/>
      <c r="AQ211" s="284"/>
      <c r="AR211" s="284"/>
      <c r="AS211" s="284"/>
      <c r="AT211" s="284"/>
      <c r="AU211" s="284"/>
      <c r="AV211" s="284"/>
      <c r="AW211" s="284"/>
      <c r="AX211" s="284"/>
      <c r="AY211" s="284"/>
      <c r="AZ211" s="284"/>
      <c r="BA211" s="284"/>
      <c r="BB211" s="284"/>
      <c r="BC211" s="284"/>
      <c r="BD211" s="284"/>
      <c r="BE211" s="284"/>
      <c r="BF211" s="284"/>
      <c r="BG211" s="284"/>
      <c r="BH211" s="284"/>
      <c r="BI211" s="284"/>
      <c r="BJ211" s="284"/>
      <c r="BK211" s="284"/>
      <c r="BL211" s="284"/>
      <c r="BM211" s="284"/>
      <c r="BN211" s="284"/>
      <c r="BO211" s="284"/>
      <c r="BP211" s="284"/>
      <c r="BQ211" s="284"/>
      <c r="BR211" s="284"/>
      <c r="BS211" s="284"/>
      <c r="BT211" s="284"/>
      <c r="BU211" s="284"/>
      <c r="BV211" s="284"/>
      <c r="BW211" s="284"/>
      <c r="BX211" s="284"/>
      <c r="BY211" s="284"/>
      <c r="BZ211" s="284"/>
      <c r="CA211" s="284"/>
      <c r="CB211" s="284"/>
      <c r="CC211" s="284"/>
      <c r="CD211" s="284"/>
      <c r="CE211" s="284"/>
      <c r="CF211" s="284"/>
      <c r="CG211" s="284"/>
    </row>
    <row r="212" spans="1:85" x14ac:dyDescent="0.35">
      <c r="A212" s="284" t="s">
        <v>1802</v>
      </c>
      <c r="B212" s="284" t="s">
        <v>1803</v>
      </c>
      <c r="C212" s="284" t="s">
        <v>14175</v>
      </c>
      <c r="D212" s="284" t="s">
        <v>13308</v>
      </c>
      <c r="E212" s="284" t="s">
        <v>13166</v>
      </c>
      <c r="F212" s="284" t="s">
        <v>13046</v>
      </c>
      <c r="G212" s="284" t="s">
        <v>13167</v>
      </c>
      <c r="H212" s="284" t="s">
        <v>13021</v>
      </c>
      <c r="I212" s="284" t="s">
        <v>13023</v>
      </c>
      <c r="J212" s="284" t="s">
        <v>13082</v>
      </c>
      <c r="K212" s="284" t="s">
        <v>13065</v>
      </c>
      <c r="L212" s="284" t="s">
        <v>13632</v>
      </c>
      <c r="M212" s="284" t="s">
        <v>13397</v>
      </c>
      <c r="N212" s="284" t="s">
        <v>13027</v>
      </c>
      <c r="O212" s="284" t="s">
        <v>13001</v>
      </c>
      <c r="P212" s="284" t="s">
        <v>13050</v>
      </c>
      <c r="Q212" s="284" t="s">
        <v>13002</v>
      </c>
      <c r="R212" s="284" t="s">
        <v>13169</v>
      </c>
      <c r="S212" s="284" t="s">
        <v>13127</v>
      </c>
      <c r="T212" s="284" t="s">
        <v>13051</v>
      </c>
      <c r="U212" s="284" t="s">
        <v>13005</v>
      </c>
      <c r="V212" s="284" t="s">
        <v>13101</v>
      </c>
      <c r="W212" s="284" t="s">
        <v>13006</v>
      </c>
      <c r="X212" s="284" t="s">
        <v>14176</v>
      </c>
      <c r="Y212" s="284" t="s">
        <v>13054</v>
      </c>
      <c r="Z212" s="284" t="s">
        <v>13135</v>
      </c>
      <c r="AA212" s="284" t="s">
        <v>13055</v>
      </c>
      <c r="AB212" s="284" t="s">
        <v>13104</v>
      </c>
      <c r="AC212" s="284" t="s">
        <v>13831</v>
      </c>
      <c r="AD212" s="284" t="s">
        <v>13033</v>
      </c>
      <c r="AE212" s="284" t="s">
        <v>13037</v>
      </c>
      <c r="AF212" s="284" t="s">
        <v>13009</v>
      </c>
      <c r="AG212" s="284" t="s">
        <v>13058</v>
      </c>
      <c r="AH212" s="284" t="s">
        <v>13174</v>
      </c>
      <c r="AI212" s="284" t="s">
        <v>13016</v>
      </c>
      <c r="AJ212" s="284" t="s">
        <v>13144</v>
      </c>
      <c r="AK212" s="284" t="s">
        <v>13640</v>
      </c>
      <c r="AL212" s="284"/>
      <c r="AM212" s="284"/>
      <c r="AN212" s="284"/>
      <c r="AO212" s="284"/>
      <c r="AP212" s="284"/>
      <c r="AQ212" s="284"/>
      <c r="AR212" s="284"/>
      <c r="AS212" s="284"/>
      <c r="AT212" s="284"/>
      <c r="AU212" s="284"/>
      <c r="AV212" s="284"/>
      <c r="AW212" s="284"/>
      <c r="AX212" s="284"/>
      <c r="AY212" s="284"/>
      <c r="AZ212" s="284"/>
      <c r="BA212" s="284"/>
      <c r="BB212" s="284"/>
      <c r="BC212" s="284"/>
      <c r="BD212" s="284"/>
      <c r="BE212" s="284"/>
      <c r="BF212" s="284"/>
      <c r="BG212" s="284"/>
      <c r="BH212" s="284"/>
      <c r="BI212" s="284"/>
      <c r="BJ212" s="284"/>
      <c r="BK212" s="284"/>
      <c r="BL212" s="284"/>
      <c r="BM212" s="284"/>
      <c r="BN212" s="284"/>
      <c r="BO212" s="284"/>
      <c r="BP212" s="284"/>
      <c r="BQ212" s="284"/>
      <c r="BR212" s="284"/>
      <c r="BS212" s="284"/>
      <c r="BT212" s="284"/>
      <c r="BU212" s="284"/>
      <c r="BV212" s="284"/>
      <c r="BW212" s="284"/>
      <c r="BX212" s="284"/>
      <c r="BY212" s="284"/>
      <c r="BZ212" s="284"/>
      <c r="CA212" s="284"/>
      <c r="CB212" s="284"/>
      <c r="CC212" s="284"/>
      <c r="CD212" s="284"/>
      <c r="CE212" s="284"/>
      <c r="CF212" s="284"/>
    </row>
    <row r="213" spans="1:85" x14ac:dyDescent="0.35">
      <c r="A213" s="284" t="s">
        <v>10811</v>
      </c>
      <c r="B213" s="284" t="s">
        <v>10812</v>
      </c>
      <c r="C213" t="s">
        <v>14177</v>
      </c>
      <c r="D213" s="284" t="s">
        <v>13021</v>
      </c>
      <c r="E213" s="284" t="s">
        <v>13023</v>
      </c>
      <c r="F213" s="284" t="s">
        <v>13226</v>
      </c>
      <c r="G213" s="284" t="s">
        <v>14178</v>
      </c>
      <c r="H213" s="284" t="s">
        <v>13235</v>
      </c>
      <c r="I213" s="284" t="s">
        <v>13237</v>
      </c>
      <c r="J213" s="284" t="s">
        <v>13000</v>
      </c>
      <c r="K213" s="284" t="s">
        <v>13027</v>
      </c>
      <c r="L213" s="284" t="s">
        <v>13243</v>
      </c>
      <c r="M213" s="284" t="s">
        <v>13245</v>
      </c>
      <c r="N213" s="284" t="s">
        <v>13028</v>
      </c>
      <c r="O213" s="284" t="s">
        <v>13160</v>
      </c>
      <c r="P213" s="284" t="s">
        <v>13002</v>
      </c>
      <c r="Q213" s="284" t="s">
        <v>13003</v>
      </c>
      <c r="R213" s="284" t="s">
        <v>13066</v>
      </c>
      <c r="S213" s="284" t="s">
        <v>13248</v>
      </c>
      <c r="T213" s="284" t="s">
        <v>13008</v>
      </c>
      <c r="U213" s="284" t="s">
        <v>13077</v>
      </c>
      <c r="V213" s="284" t="s">
        <v>13035</v>
      </c>
      <c r="W213" s="284" t="s">
        <v>14179</v>
      </c>
      <c r="X213" s="284" t="s">
        <v>13105</v>
      </c>
      <c r="Y213" s="284" t="s">
        <v>13009</v>
      </c>
      <c r="Z213" s="284" t="s">
        <v>13253</v>
      </c>
      <c r="AA213" s="284" t="s">
        <v>14180</v>
      </c>
      <c r="AB213" s="284" t="s">
        <v>13011</v>
      </c>
      <c r="AC213" s="284" t="s">
        <v>13257</v>
      </c>
      <c r="AD213" s="284" t="s">
        <v>13258</v>
      </c>
      <c r="AE213" s="284" t="s">
        <v>13012</v>
      </c>
      <c r="AF213" s="284" t="s">
        <v>13285</v>
      </c>
      <c r="AG213" s="284" t="s">
        <v>14181</v>
      </c>
      <c r="AH213" s="284" t="s">
        <v>13206</v>
      </c>
      <c r="AI213" s="284" t="s">
        <v>13264</v>
      </c>
      <c r="AJ213" s="284" t="s">
        <v>13267</v>
      </c>
      <c r="AK213" s="284" t="s">
        <v>14057</v>
      </c>
      <c r="AL213" s="284" t="s">
        <v>13144</v>
      </c>
      <c r="AM213" s="284"/>
      <c r="AN213" s="284"/>
      <c r="AO213" s="284"/>
      <c r="AP213" s="284"/>
      <c r="AQ213" s="284"/>
      <c r="AR213" s="284"/>
      <c r="AS213" s="284"/>
      <c r="AT213" s="284"/>
      <c r="AU213" s="284"/>
      <c r="AV213" s="284"/>
      <c r="AW213" s="284"/>
      <c r="AX213" s="284"/>
      <c r="AY213" s="284"/>
      <c r="AZ213" s="284"/>
      <c r="BA213" s="284"/>
      <c r="BB213" s="284"/>
      <c r="BC213" s="284"/>
      <c r="BD213" s="284"/>
      <c r="BE213" s="284"/>
      <c r="BF213" s="284"/>
      <c r="BG213" s="284"/>
      <c r="BH213" s="284"/>
      <c r="BI213" s="284"/>
      <c r="BJ213" s="284"/>
      <c r="BK213" s="284"/>
      <c r="BL213" s="284"/>
      <c r="BM213" s="284"/>
      <c r="BN213" s="284"/>
      <c r="BO213" s="284"/>
      <c r="BP213" s="284"/>
      <c r="BQ213" s="284"/>
      <c r="BR213" s="284"/>
      <c r="BS213" s="284"/>
      <c r="BT213" s="284"/>
      <c r="BU213" s="284"/>
      <c r="BV213" s="284"/>
      <c r="BW213" s="284"/>
      <c r="BX213" s="284"/>
      <c r="BY213" s="284"/>
      <c r="BZ213" s="284"/>
      <c r="CA213" s="284"/>
      <c r="CB213" s="284"/>
      <c r="CC213" s="284"/>
      <c r="CD213" s="284"/>
      <c r="CE213" s="284"/>
      <c r="CF213" s="284"/>
      <c r="CG213" s="284"/>
    </row>
    <row r="214" spans="1:85" x14ac:dyDescent="0.35">
      <c r="A214" s="284" t="s">
        <v>2881</v>
      </c>
      <c r="B214" s="284" t="s">
        <v>2882</v>
      </c>
      <c r="C214" t="s">
        <v>14182</v>
      </c>
      <c r="D214" s="284" t="s">
        <v>13642</v>
      </c>
      <c r="E214" s="284" t="s">
        <v>13299</v>
      </c>
      <c r="F214" s="284" t="s">
        <v>13167</v>
      </c>
      <c r="G214" s="284" t="s">
        <v>13021</v>
      </c>
      <c r="H214" s="284" t="s">
        <v>13023</v>
      </c>
      <c r="I214" s="284" t="s">
        <v>13047</v>
      </c>
      <c r="J214" s="284" t="s">
        <v>13048</v>
      </c>
      <c r="K214" s="284" t="s">
        <v>13082</v>
      </c>
      <c r="L214" s="284" t="s">
        <v>13301</v>
      </c>
      <c r="M214" s="284" t="s">
        <v>13183</v>
      </c>
      <c r="N214" s="284" t="s">
        <v>13184</v>
      </c>
      <c r="O214" s="284" t="s">
        <v>13159</v>
      </c>
      <c r="P214" s="284" t="s">
        <v>14183</v>
      </c>
      <c r="Q214" s="284" t="s">
        <v>13000</v>
      </c>
      <c r="R214" s="284" t="s">
        <v>14184</v>
      </c>
      <c r="S214" s="284" t="s">
        <v>13186</v>
      </c>
      <c r="T214" s="284" t="s">
        <v>13085</v>
      </c>
      <c r="U214" s="284" t="s">
        <v>13049</v>
      </c>
      <c r="V214" s="284" t="s">
        <v>13987</v>
      </c>
      <c r="W214" s="284" t="s">
        <v>13168</v>
      </c>
      <c r="X214" s="284" t="s">
        <v>14185</v>
      </c>
      <c r="Y214" s="284" t="s">
        <v>13027</v>
      </c>
      <c r="Z214" s="284" t="s">
        <v>13189</v>
      </c>
      <c r="AA214" s="284" t="s">
        <v>13001</v>
      </c>
      <c r="AB214" s="284" t="s">
        <v>13050</v>
      </c>
      <c r="AC214" s="284" t="s">
        <v>13028</v>
      </c>
      <c r="AD214" s="284" t="s">
        <v>13002</v>
      </c>
      <c r="AE214" s="284" t="s">
        <v>13003</v>
      </c>
      <c r="AF214" s="284" t="s">
        <v>13066</v>
      </c>
      <c r="AG214" s="284" t="s">
        <v>13170</v>
      </c>
      <c r="AH214" s="284" t="s">
        <v>13178</v>
      </c>
      <c r="AI214" s="284" t="s">
        <v>13076</v>
      </c>
      <c r="AJ214" s="284" t="s">
        <v>13190</v>
      </c>
      <c r="AK214" s="284" t="s">
        <v>13029</v>
      </c>
      <c r="AL214" s="284" t="s">
        <v>13621</v>
      </c>
      <c r="AM214" s="284" t="s">
        <v>13007</v>
      </c>
      <c r="AN214" s="284" t="s">
        <v>13193</v>
      </c>
      <c r="AO214" s="284" t="s">
        <v>14186</v>
      </c>
      <c r="AP214" s="284" t="s">
        <v>13679</v>
      </c>
      <c r="AQ214" s="284" t="s">
        <v>13033</v>
      </c>
      <c r="AR214" s="284" t="s">
        <v>13034</v>
      </c>
      <c r="AS214" s="284" t="s">
        <v>13035</v>
      </c>
      <c r="AT214" s="284" t="s">
        <v>13105</v>
      </c>
      <c r="AU214" s="284" t="s">
        <v>13037</v>
      </c>
      <c r="AV214" s="284" t="s">
        <v>14187</v>
      </c>
      <c r="AW214" s="284" t="s">
        <v>13038</v>
      </c>
      <c r="AX214" s="284" t="s">
        <v>13039</v>
      </c>
      <c r="AY214" s="284" t="s">
        <v>13078</v>
      </c>
      <c r="AZ214" s="284" t="s">
        <v>13091</v>
      </c>
      <c r="BA214" s="284" t="s">
        <v>13009</v>
      </c>
      <c r="BB214" s="284" t="s">
        <v>13194</v>
      </c>
      <c r="BC214" s="284" t="s">
        <v>14188</v>
      </c>
      <c r="BD214" s="284" t="s">
        <v>13058</v>
      </c>
      <c r="BE214" s="284" t="s">
        <v>13041</v>
      </c>
      <c r="BF214" s="284" t="s">
        <v>13205</v>
      </c>
      <c r="BG214" s="284" t="s">
        <v>13012</v>
      </c>
      <c r="BH214" s="284" t="s">
        <v>13060</v>
      </c>
      <c r="BI214" s="284" t="s">
        <v>14189</v>
      </c>
      <c r="BJ214" s="284" t="s">
        <v>14190</v>
      </c>
      <c r="BK214" s="284" t="s">
        <v>13285</v>
      </c>
      <c r="BL214" s="284" t="s">
        <v>14191</v>
      </c>
      <c r="BM214" s="284" t="s">
        <v>13014</v>
      </c>
      <c r="BN214" s="284" t="s">
        <v>13174</v>
      </c>
      <c r="BO214" s="284" t="s">
        <v>13016</v>
      </c>
      <c r="BP214" s="284" t="s">
        <v>13195</v>
      </c>
      <c r="BQ214" s="284" t="s">
        <v>13542</v>
      </c>
      <c r="BR214" s="284" t="s">
        <v>14192</v>
      </c>
      <c r="BS214" s="284" t="s">
        <v>14193</v>
      </c>
      <c r="BT214" s="284" t="s">
        <v>13207</v>
      </c>
      <c r="BU214" s="284"/>
      <c r="BV214" s="284"/>
      <c r="BW214" s="284"/>
      <c r="BX214" s="284"/>
      <c r="BY214" s="284"/>
      <c r="BZ214" s="284"/>
      <c r="CA214" s="284"/>
      <c r="CB214" s="284"/>
      <c r="CC214" s="284"/>
      <c r="CD214" s="284"/>
      <c r="CE214" s="284"/>
      <c r="CF214" s="284"/>
      <c r="CG214" s="284"/>
    </row>
    <row r="215" spans="1:85" x14ac:dyDescent="0.35">
      <c r="A215" s="284" t="s">
        <v>3083</v>
      </c>
      <c r="B215" s="284" t="s">
        <v>3084</v>
      </c>
      <c r="C215" t="s">
        <v>14194</v>
      </c>
      <c r="D215" s="284" t="s">
        <v>13072</v>
      </c>
      <c r="E215" s="284" t="s">
        <v>13022</v>
      </c>
      <c r="F215" s="284" t="s">
        <v>13023</v>
      </c>
      <c r="G215" s="284" t="s">
        <v>13000</v>
      </c>
      <c r="H215" s="284" t="s">
        <v>13198</v>
      </c>
      <c r="I215" s="284" t="s">
        <v>13074</v>
      </c>
      <c r="J215" s="284" t="s">
        <v>13087</v>
      </c>
      <c r="K215" s="284" t="s">
        <v>13026</v>
      </c>
      <c r="L215" s="284" t="s">
        <v>13050</v>
      </c>
      <c r="M215" s="284" t="s">
        <v>13028</v>
      </c>
      <c r="N215" s="284" t="s">
        <v>13426</v>
      </c>
      <c r="O215" s="284" t="s">
        <v>13005</v>
      </c>
      <c r="P215" s="284" t="s">
        <v>13029</v>
      </c>
      <c r="Q215" s="284" t="s">
        <v>13006</v>
      </c>
      <c r="R215" s="284" t="s">
        <v>13008</v>
      </c>
      <c r="S215" s="284" t="s">
        <v>13077</v>
      </c>
      <c r="T215" s="284" t="s">
        <v>13135</v>
      </c>
      <c r="U215" s="284" t="s">
        <v>13104</v>
      </c>
      <c r="V215" s="284" t="s">
        <v>13033</v>
      </c>
      <c r="W215" s="284" t="s">
        <v>13034</v>
      </c>
      <c r="X215" s="284" t="s">
        <v>13179</v>
      </c>
      <c r="Y215" s="284" t="s">
        <v>13090</v>
      </c>
      <c r="Z215" s="284" t="s">
        <v>13038</v>
      </c>
      <c r="AA215" s="284" t="s">
        <v>13039</v>
      </c>
      <c r="AB215" s="284" t="s">
        <v>13091</v>
      </c>
      <c r="AC215" s="284" t="s">
        <v>13009</v>
      </c>
      <c r="AD215" s="284" t="s">
        <v>13203</v>
      </c>
      <c r="AE215" s="284" t="s">
        <v>13041</v>
      </c>
      <c r="AF215" s="284" t="s">
        <v>13012</v>
      </c>
      <c r="AG215" s="284" t="s">
        <v>13428</v>
      </c>
      <c r="AH215" s="284" t="s">
        <v>13014</v>
      </c>
      <c r="AI215" s="284" t="s">
        <v>13095</v>
      </c>
      <c r="AJ215" s="284" t="s">
        <v>13165</v>
      </c>
      <c r="AK215" s="284" t="s">
        <v>13042</v>
      </c>
      <c r="AL215" s="284" t="s">
        <v>13207</v>
      </c>
      <c r="AM215" s="284"/>
      <c r="AN215" s="284"/>
      <c r="AO215" s="284"/>
      <c r="AP215" s="284"/>
      <c r="AQ215" s="284"/>
      <c r="AR215" s="284"/>
      <c r="AS215" s="284"/>
      <c r="AT215" s="284"/>
      <c r="AU215" s="284"/>
      <c r="AV215" s="284"/>
      <c r="AW215" s="284"/>
      <c r="AX215" s="284"/>
      <c r="AY215" s="284"/>
      <c r="AZ215" s="284"/>
      <c r="BA215" s="284"/>
      <c r="BB215" s="284"/>
      <c r="BC215" s="284"/>
      <c r="BD215" s="284"/>
      <c r="BE215" s="284"/>
      <c r="BF215" s="284"/>
      <c r="BG215" s="284"/>
      <c r="BH215" s="284"/>
      <c r="BI215" s="284"/>
      <c r="BJ215" s="284"/>
      <c r="BK215" s="284"/>
      <c r="BL215" s="284"/>
      <c r="BM215" s="284"/>
      <c r="BN215" s="284"/>
      <c r="BO215" s="284"/>
      <c r="BP215" s="284"/>
      <c r="BQ215" s="284"/>
      <c r="BR215" s="284"/>
      <c r="BS215" s="284"/>
      <c r="BT215" s="284"/>
      <c r="BU215" s="284"/>
      <c r="BV215" s="284"/>
      <c r="BW215" s="284"/>
      <c r="BX215" s="284"/>
      <c r="BY215" s="284"/>
      <c r="BZ215" s="284"/>
      <c r="CA215" s="284"/>
      <c r="CB215" s="284"/>
      <c r="CC215" s="284"/>
      <c r="CD215" s="284"/>
      <c r="CE215" s="284"/>
      <c r="CF215" s="284"/>
      <c r="CG215" s="284"/>
    </row>
    <row r="216" spans="1:85" x14ac:dyDescent="0.35">
      <c r="A216" s="284" t="s">
        <v>3419</v>
      </c>
      <c r="B216" s="284" t="s">
        <v>3420</v>
      </c>
      <c r="C216" s="284" t="s">
        <v>14195</v>
      </c>
      <c r="D216" s="284" t="s">
        <v>13022</v>
      </c>
      <c r="E216" s="284" t="s">
        <v>14196</v>
      </c>
      <c r="F216" s="284" t="s">
        <v>13024</v>
      </c>
      <c r="G216" s="284" t="s">
        <v>13085</v>
      </c>
      <c r="H216" s="284" t="s">
        <v>13025</v>
      </c>
      <c r="I216" s="284" t="s">
        <v>13271</v>
      </c>
      <c r="J216" s="284" t="s">
        <v>13028</v>
      </c>
      <c r="K216" s="284" t="s">
        <v>13002</v>
      </c>
      <c r="L216" s="284" t="s">
        <v>13003</v>
      </c>
      <c r="M216" s="284" t="s">
        <v>13066</v>
      </c>
      <c r="N216" s="284" t="s">
        <v>13029</v>
      </c>
      <c r="O216" s="284" t="s">
        <v>13006</v>
      </c>
      <c r="P216" s="284" t="s">
        <v>13248</v>
      </c>
      <c r="Q216" s="284" t="s">
        <v>13030</v>
      </c>
      <c r="R216" s="284" t="s">
        <v>13068</v>
      </c>
      <c r="S216" s="284" t="s">
        <v>13613</v>
      </c>
      <c r="T216" s="284" t="s">
        <v>13034</v>
      </c>
      <c r="U216" s="284" t="s">
        <v>13035</v>
      </c>
      <c r="V216" s="284" t="s">
        <v>13171</v>
      </c>
      <c r="W216" s="284" t="s">
        <v>13038</v>
      </c>
      <c r="X216" s="284" t="s">
        <v>13039</v>
      </c>
      <c r="Y216" s="284" t="s">
        <v>13009</v>
      </c>
      <c r="Z216" s="284" t="s">
        <v>13041</v>
      </c>
      <c r="AA216" s="284" t="s">
        <v>13042</v>
      </c>
      <c r="AB216" s="284" t="s">
        <v>13608</v>
      </c>
      <c r="AC216" s="284" t="s">
        <v>13264</v>
      </c>
      <c r="AD216" s="284"/>
      <c r="AE216" s="284"/>
      <c r="AF216" s="284"/>
      <c r="AG216" s="284"/>
      <c r="AH216" s="284"/>
      <c r="AI216" s="284"/>
      <c r="AJ216" s="284"/>
      <c r="AK216" s="284"/>
      <c r="AL216" s="284"/>
      <c r="AM216" s="284"/>
      <c r="AN216" s="284"/>
      <c r="AO216" s="284"/>
      <c r="AP216" s="284"/>
      <c r="AQ216" s="284"/>
      <c r="AR216" s="284"/>
      <c r="AS216" s="284"/>
      <c r="AT216" s="284"/>
      <c r="AU216" s="284"/>
      <c r="AV216" s="284"/>
      <c r="AW216" s="284"/>
      <c r="AX216" s="284"/>
      <c r="AY216" s="284"/>
      <c r="AZ216" s="284"/>
      <c r="BA216" s="284"/>
      <c r="BB216" s="284"/>
      <c r="BC216" s="284"/>
      <c r="BD216" s="284"/>
      <c r="BE216" s="284"/>
      <c r="BF216" s="284"/>
      <c r="BG216" s="284"/>
      <c r="BH216" s="284"/>
      <c r="BI216" s="284"/>
      <c r="BJ216" s="284"/>
      <c r="BK216" s="284"/>
      <c r="BL216" s="284"/>
      <c r="BM216" s="284"/>
      <c r="BN216" s="284"/>
      <c r="BO216" s="284"/>
      <c r="BP216" s="284"/>
      <c r="BQ216" s="284"/>
      <c r="BR216" s="284"/>
      <c r="BS216" s="284"/>
      <c r="BT216" s="284"/>
      <c r="BU216" s="284"/>
      <c r="BV216" s="284"/>
      <c r="BW216" s="284"/>
      <c r="BX216" s="284"/>
      <c r="BY216" s="284"/>
      <c r="BZ216" s="284"/>
      <c r="CA216" s="284"/>
      <c r="CB216" s="284"/>
      <c r="CC216" s="284"/>
      <c r="CD216" s="284"/>
      <c r="CE216" s="284"/>
      <c r="CF216" s="284"/>
    </row>
    <row r="217" spans="1:85" x14ac:dyDescent="0.35">
      <c r="A217" s="284" t="s">
        <v>1309</v>
      </c>
      <c r="B217" s="284" t="s">
        <v>1310</v>
      </c>
      <c r="C217" t="s">
        <v>13182</v>
      </c>
      <c r="D217" s="284" t="s">
        <v>13299</v>
      </c>
      <c r="E217" s="284" t="s">
        <v>13021</v>
      </c>
      <c r="F217" s="284" t="s">
        <v>13023</v>
      </c>
      <c r="G217" s="284" t="s">
        <v>13184</v>
      </c>
      <c r="H217" s="284" t="s">
        <v>13235</v>
      </c>
      <c r="I217" s="284" t="s">
        <v>13159</v>
      </c>
      <c r="J217" s="284" t="s">
        <v>13000</v>
      </c>
      <c r="K217" s="284" t="s">
        <v>13186</v>
      </c>
      <c r="L217" s="284" t="s">
        <v>13187</v>
      </c>
      <c r="M217" s="284" t="s">
        <v>13074</v>
      </c>
      <c r="N217" s="284" t="s">
        <v>13027</v>
      </c>
      <c r="O217" s="284" t="s">
        <v>13243</v>
      </c>
      <c r="P217" s="284" t="s">
        <v>13189</v>
      </c>
      <c r="Q217" s="284" t="s">
        <v>13001</v>
      </c>
      <c r="R217" s="284" t="s">
        <v>13028</v>
      </c>
      <c r="S217" s="284" t="s">
        <v>13003</v>
      </c>
      <c r="T217" s="284" t="s">
        <v>13066</v>
      </c>
      <c r="U217" s="284" t="s">
        <v>13170</v>
      </c>
      <c r="V217" s="284" t="s">
        <v>13370</v>
      </c>
      <c r="W217" s="284" t="s">
        <v>13190</v>
      </c>
      <c r="X217" s="284" t="s">
        <v>14197</v>
      </c>
      <c r="Y217" s="284" t="s">
        <v>13191</v>
      </c>
      <c r="Z217" s="284" t="s">
        <v>13193</v>
      </c>
      <c r="AA217" s="284" t="s">
        <v>13033</v>
      </c>
      <c r="AB217" s="284" t="s">
        <v>13034</v>
      </c>
      <c r="AC217" s="284" t="s">
        <v>13105</v>
      </c>
      <c r="AD217" s="284" t="s">
        <v>13038</v>
      </c>
      <c r="AE217" s="284" t="s">
        <v>13009</v>
      </c>
      <c r="AF217" s="284" t="s">
        <v>13373</v>
      </c>
      <c r="AG217" s="284" t="s">
        <v>13058</v>
      </c>
      <c r="AH217" s="284" t="s">
        <v>13205</v>
      </c>
      <c r="AI217" s="284" t="s">
        <v>13012</v>
      </c>
      <c r="AJ217" s="284" t="s">
        <v>13206</v>
      </c>
      <c r="AK217" s="284" t="s">
        <v>13014</v>
      </c>
      <c r="AL217" s="284" t="s">
        <v>14198</v>
      </c>
      <c r="AM217" s="284" t="s">
        <v>13042</v>
      </c>
      <c r="AN217" s="284" t="s">
        <v>13542</v>
      </c>
      <c r="AO217" s="284"/>
      <c r="AP217" s="284"/>
      <c r="AQ217" s="284"/>
      <c r="AR217" s="284"/>
      <c r="AS217" s="284"/>
      <c r="AT217" s="284"/>
      <c r="AU217" s="284"/>
      <c r="AV217" s="284"/>
      <c r="AW217" s="284"/>
      <c r="AX217" s="284"/>
      <c r="AY217" s="284"/>
      <c r="AZ217" s="284"/>
      <c r="BA217" s="284"/>
      <c r="BB217" s="284"/>
      <c r="BC217" s="284"/>
      <c r="BD217" s="284"/>
      <c r="BE217" s="284"/>
      <c r="BF217" s="284"/>
      <c r="BG217" s="284"/>
      <c r="BH217" s="284"/>
      <c r="BI217" s="284"/>
      <c r="BJ217" s="284"/>
      <c r="BK217" s="284"/>
      <c r="BL217" s="284"/>
      <c r="BM217" s="284"/>
      <c r="BN217" s="284"/>
      <c r="BO217" s="284"/>
      <c r="BP217" s="284"/>
      <c r="BQ217" s="284"/>
      <c r="BR217" s="284"/>
      <c r="BS217" s="284"/>
      <c r="BT217" s="284"/>
      <c r="BU217" s="284"/>
      <c r="BV217" s="284"/>
      <c r="BW217" s="284"/>
      <c r="BX217" s="284"/>
      <c r="BY217" s="284"/>
      <c r="BZ217" s="284"/>
      <c r="CA217" s="284"/>
      <c r="CB217" s="284"/>
      <c r="CC217" s="284"/>
      <c r="CD217" s="284"/>
      <c r="CE217" s="284"/>
      <c r="CF217" s="284"/>
      <c r="CG217" s="284"/>
    </row>
    <row r="218" spans="1:85" x14ac:dyDescent="0.35">
      <c r="A218" s="284" t="s">
        <v>3629</v>
      </c>
      <c r="B218" s="284" t="s">
        <v>3630</v>
      </c>
      <c r="C218" t="s">
        <v>14199</v>
      </c>
      <c r="D218" s="284" t="s">
        <v>13021</v>
      </c>
      <c r="E218" s="284" t="s">
        <v>13023</v>
      </c>
      <c r="F218" s="284" t="s">
        <v>13047</v>
      </c>
      <c r="G218" s="284" t="s">
        <v>13048</v>
      </c>
      <c r="H218" s="284" t="s">
        <v>13301</v>
      </c>
      <c r="I218" s="284" t="s">
        <v>13000</v>
      </c>
      <c r="J218" s="284" t="s">
        <v>13085</v>
      </c>
      <c r="K218" s="284" t="s">
        <v>13027</v>
      </c>
      <c r="L218" s="284" t="s">
        <v>13050</v>
      </c>
      <c r="M218" s="284" t="s">
        <v>13028</v>
      </c>
      <c r="N218" s="284" t="s">
        <v>13066</v>
      </c>
      <c r="O218" s="284" t="s">
        <v>13178</v>
      </c>
      <c r="P218" s="284" t="s">
        <v>13076</v>
      </c>
      <c r="Q218" s="284" t="s">
        <v>13190</v>
      </c>
      <c r="R218" s="284" t="s">
        <v>13034</v>
      </c>
      <c r="S218" s="284" t="s">
        <v>13536</v>
      </c>
      <c r="T218" s="284" t="s">
        <v>13036</v>
      </c>
      <c r="U218" s="284" t="s">
        <v>13009</v>
      </c>
      <c r="V218" s="284" t="s">
        <v>13058</v>
      </c>
      <c r="W218" s="284" t="s">
        <v>13646</v>
      </c>
      <c r="X218" s="284" t="s">
        <v>13539</v>
      </c>
      <c r="Y218" s="284" t="s">
        <v>13014</v>
      </c>
      <c r="Z218" s="284" t="s">
        <v>13079</v>
      </c>
      <c r="AA218" s="284" t="s">
        <v>13541</v>
      </c>
      <c r="AB218" s="284" t="s">
        <v>13542</v>
      </c>
      <c r="AC218" s="284"/>
      <c r="AD218" s="284"/>
      <c r="AE218" s="284"/>
      <c r="AF218" s="284"/>
      <c r="AG218" s="284"/>
      <c r="AH218" s="284"/>
      <c r="AI218" s="284"/>
      <c r="AJ218" s="284"/>
      <c r="AK218" s="284"/>
      <c r="AL218" s="284"/>
      <c r="AM218" s="284"/>
      <c r="AN218" s="284"/>
      <c r="AO218" s="284"/>
      <c r="AP218" s="284"/>
      <c r="AQ218" s="284"/>
      <c r="AR218" s="284"/>
      <c r="AS218" s="284"/>
      <c r="AT218" s="284"/>
      <c r="AU218" s="284"/>
      <c r="AV218" s="284"/>
      <c r="AW218" s="284"/>
      <c r="AX218" s="284"/>
      <c r="AY218" s="284"/>
      <c r="AZ218" s="284"/>
      <c r="BA218" s="284"/>
      <c r="BB218" s="284"/>
      <c r="BC218" s="284"/>
      <c r="BD218" s="284"/>
      <c r="BE218" s="284"/>
      <c r="BF218" s="284"/>
      <c r="BG218" s="284"/>
      <c r="BH218" s="284"/>
      <c r="BI218" s="284"/>
      <c r="BJ218" s="284"/>
      <c r="BK218" s="284"/>
      <c r="BL218" s="284"/>
      <c r="BM218" s="284"/>
      <c r="BN218" s="284"/>
      <c r="BO218" s="284"/>
      <c r="BP218" s="284"/>
      <c r="BQ218" s="284"/>
      <c r="BR218" s="284"/>
      <c r="BS218" s="284"/>
      <c r="BT218" s="284"/>
      <c r="BU218" s="284"/>
      <c r="BV218" s="284"/>
      <c r="BW218" s="284"/>
      <c r="BX218" s="284"/>
      <c r="BY218" s="284"/>
      <c r="BZ218" s="284"/>
      <c r="CA218" s="284"/>
      <c r="CB218" s="284"/>
      <c r="CC218" s="284"/>
      <c r="CD218" s="284"/>
      <c r="CE218" s="284"/>
      <c r="CF218" s="284"/>
      <c r="CG218" s="284"/>
    </row>
    <row r="219" spans="1:85" x14ac:dyDescent="0.35">
      <c r="A219" s="284" t="s">
        <v>6873</v>
      </c>
      <c r="B219" s="284" t="s">
        <v>6874</v>
      </c>
      <c r="C219" t="s">
        <v>14200</v>
      </c>
      <c r="D219" s="284" t="s">
        <v>13072</v>
      </c>
      <c r="E219" s="284" t="s">
        <v>13021</v>
      </c>
      <c r="F219" s="284" t="s">
        <v>13022</v>
      </c>
      <c r="G219" s="284" t="s">
        <v>13198</v>
      </c>
      <c r="H219" s="284" t="s">
        <v>13099</v>
      </c>
      <c r="I219" s="284" t="s">
        <v>13025</v>
      </c>
      <c r="J219" s="284" t="s">
        <v>13027</v>
      </c>
      <c r="K219" s="284" t="s">
        <v>13050</v>
      </c>
      <c r="L219" s="284" t="s">
        <v>13028</v>
      </c>
      <c r="M219" s="284" t="s">
        <v>13295</v>
      </c>
      <c r="N219" s="284" t="s">
        <v>13296</v>
      </c>
      <c r="O219" s="284" t="s">
        <v>13190</v>
      </c>
      <c r="P219" s="284" t="s">
        <v>13284</v>
      </c>
      <c r="Q219" s="284" t="s">
        <v>13030</v>
      </c>
      <c r="R219" s="284" t="s">
        <v>13069</v>
      </c>
      <c r="S219" s="284" t="s">
        <v>13032</v>
      </c>
      <c r="T219" s="284" t="s">
        <v>13831</v>
      </c>
      <c r="U219" s="284" t="s">
        <v>13035</v>
      </c>
      <c r="V219" s="284" t="s">
        <v>13036</v>
      </c>
      <c r="W219" s="284" t="s">
        <v>13105</v>
      </c>
      <c r="X219" s="284" t="s">
        <v>13037</v>
      </c>
      <c r="Y219" s="284" t="s">
        <v>13038</v>
      </c>
      <c r="Z219" s="284" t="s">
        <v>13079</v>
      </c>
      <c r="AA219" s="284"/>
      <c r="AB219" s="284"/>
      <c r="AC219" s="284"/>
      <c r="AD219" s="284"/>
      <c r="AE219" s="284"/>
      <c r="AF219" s="284"/>
      <c r="AG219" s="284"/>
      <c r="AH219" s="284"/>
      <c r="AI219" s="284"/>
      <c r="AJ219" s="284"/>
      <c r="AK219" s="284"/>
      <c r="AL219" s="284"/>
      <c r="AM219" s="284"/>
      <c r="AN219" s="284"/>
      <c r="AO219" s="284"/>
      <c r="AP219" s="284"/>
      <c r="AQ219" s="284"/>
      <c r="AR219" s="284"/>
      <c r="AS219" s="284"/>
      <c r="AT219" s="284"/>
      <c r="AU219" s="284"/>
      <c r="AV219" s="284"/>
      <c r="AW219" s="284"/>
      <c r="AX219" s="284"/>
      <c r="AY219" s="284"/>
      <c r="AZ219" s="284"/>
      <c r="BA219" s="284"/>
      <c r="BB219" s="284"/>
      <c r="BC219" s="284"/>
      <c r="BD219" s="284"/>
      <c r="BE219" s="284"/>
      <c r="BF219" s="284"/>
      <c r="BG219" s="284"/>
      <c r="BH219" s="284"/>
      <c r="BI219" s="284"/>
      <c r="BJ219" s="284"/>
      <c r="BK219" s="284"/>
      <c r="BL219" s="284"/>
      <c r="BM219" s="284"/>
      <c r="BN219" s="284"/>
      <c r="BO219" s="284"/>
      <c r="BP219" s="284"/>
      <c r="BQ219" s="284"/>
      <c r="BR219" s="284"/>
      <c r="BS219" s="284"/>
      <c r="BT219" s="284"/>
      <c r="BU219" s="284"/>
      <c r="BV219" s="284"/>
      <c r="BW219" s="284"/>
      <c r="BX219" s="284"/>
      <c r="BY219" s="284"/>
      <c r="BZ219" s="284"/>
      <c r="CA219" s="284"/>
      <c r="CB219" s="284"/>
      <c r="CC219" s="284"/>
      <c r="CD219" s="284"/>
      <c r="CE219" s="284"/>
      <c r="CF219" s="284"/>
      <c r="CG219" s="284"/>
    </row>
    <row r="220" spans="1:85" x14ac:dyDescent="0.35">
      <c r="A220" s="284" t="s">
        <v>6915</v>
      </c>
      <c r="B220" s="284" t="s">
        <v>6916</v>
      </c>
      <c r="C220" s="284" t="s">
        <v>14201</v>
      </c>
      <c r="D220" s="284" t="s">
        <v>13072</v>
      </c>
      <c r="E220" s="284" t="s">
        <v>13021</v>
      </c>
      <c r="F220" s="284" t="s">
        <v>13022</v>
      </c>
      <c r="G220" s="284" t="s">
        <v>13023</v>
      </c>
      <c r="H220" s="284" t="s">
        <v>13198</v>
      </c>
      <c r="I220" s="284" t="s">
        <v>13024</v>
      </c>
      <c r="J220" s="284" t="s">
        <v>13027</v>
      </c>
      <c r="K220" s="284" t="s">
        <v>13359</v>
      </c>
      <c r="L220" s="284" t="s">
        <v>13028</v>
      </c>
      <c r="M220" s="284" t="s">
        <v>13003</v>
      </c>
      <c r="N220" s="284" t="s">
        <v>13651</v>
      </c>
      <c r="O220" s="284" t="s">
        <v>13178</v>
      </c>
      <c r="P220" s="284" t="s">
        <v>13076</v>
      </c>
      <c r="Q220" s="284" t="s">
        <v>13295</v>
      </c>
      <c r="R220" s="284" t="s">
        <v>13296</v>
      </c>
      <c r="S220" s="284" t="s">
        <v>13190</v>
      </c>
      <c r="T220" s="284" t="s">
        <v>13005</v>
      </c>
      <c r="U220" s="284" t="s">
        <v>13029</v>
      </c>
      <c r="V220" s="284" t="s">
        <v>13284</v>
      </c>
      <c r="W220" s="284" t="s">
        <v>13162</v>
      </c>
      <c r="X220" s="284" t="s">
        <v>13030</v>
      </c>
      <c r="Y220" s="284" t="s">
        <v>13032</v>
      </c>
      <c r="Z220" s="284" t="s">
        <v>13033</v>
      </c>
      <c r="AA220" s="284" t="s">
        <v>13034</v>
      </c>
      <c r="AB220" s="284" t="s">
        <v>13035</v>
      </c>
      <c r="AC220" s="284" t="s">
        <v>13036</v>
      </c>
      <c r="AD220" s="284" t="s">
        <v>13038</v>
      </c>
      <c r="AE220" s="284" t="s">
        <v>13039</v>
      </c>
      <c r="AF220" s="284" t="s">
        <v>13009</v>
      </c>
      <c r="AG220" s="284" t="s">
        <v>13041</v>
      </c>
      <c r="AH220" s="284" t="s">
        <v>13207</v>
      </c>
      <c r="AI220" s="284"/>
      <c r="AJ220" s="284"/>
      <c r="AK220" s="284"/>
      <c r="AL220" s="284"/>
      <c r="AM220" s="284"/>
      <c r="AN220" s="284"/>
      <c r="AO220" s="284"/>
      <c r="AP220" s="284"/>
      <c r="AQ220" s="284"/>
      <c r="AR220" s="284"/>
      <c r="AS220" s="284"/>
      <c r="AT220" s="284"/>
      <c r="AU220" s="284"/>
      <c r="AV220" s="284"/>
      <c r="AW220" s="284"/>
      <c r="AX220" s="284"/>
      <c r="AY220" s="284"/>
      <c r="AZ220" s="284"/>
      <c r="BA220" s="284"/>
      <c r="BB220" s="284"/>
      <c r="BC220" s="284"/>
      <c r="BD220" s="284"/>
      <c r="BE220" s="284"/>
      <c r="BF220" s="284"/>
      <c r="BG220" s="284"/>
      <c r="BH220" s="284"/>
      <c r="BI220" s="284"/>
      <c r="BJ220" s="284"/>
      <c r="BK220" s="284"/>
      <c r="BL220" s="284"/>
      <c r="BM220" s="284"/>
      <c r="BN220" s="284"/>
      <c r="BO220" s="284"/>
      <c r="BP220" s="284"/>
      <c r="BQ220" s="284"/>
      <c r="BR220" s="284"/>
      <c r="BS220" s="284"/>
      <c r="BT220" s="284"/>
      <c r="BU220" s="284"/>
      <c r="BV220" s="284"/>
      <c r="BW220" s="284"/>
      <c r="BX220" s="284"/>
      <c r="BY220" s="284"/>
      <c r="BZ220" s="284"/>
      <c r="CA220" s="284"/>
      <c r="CB220" s="284"/>
      <c r="CC220" s="284"/>
      <c r="CD220" s="284"/>
      <c r="CE220" s="284"/>
      <c r="CF220" s="284"/>
    </row>
    <row r="221" spans="1:85" x14ac:dyDescent="0.35">
      <c r="A221" s="284" t="s">
        <v>7250</v>
      </c>
      <c r="B221" s="284" t="s">
        <v>7251</v>
      </c>
      <c r="C221" t="s">
        <v>14202</v>
      </c>
      <c r="D221" s="284" t="s">
        <v>13023</v>
      </c>
      <c r="E221" s="284" t="s">
        <v>13330</v>
      </c>
      <c r="F221" s="284" t="s">
        <v>13000</v>
      </c>
      <c r="G221" s="284" t="s">
        <v>13087</v>
      </c>
      <c r="H221" s="284" t="s">
        <v>13050</v>
      </c>
      <c r="I221" s="284" t="s">
        <v>13028</v>
      </c>
      <c r="J221" s="284" t="s">
        <v>13002</v>
      </c>
      <c r="K221" s="284" t="s">
        <v>13003</v>
      </c>
      <c r="L221" s="284" t="s">
        <v>13076</v>
      </c>
      <c r="M221" s="284" t="s">
        <v>13331</v>
      </c>
      <c r="N221" s="284" t="s">
        <v>13029</v>
      </c>
      <c r="O221" s="284" t="s">
        <v>13008</v>
      </c>
      <c r="P221" s="284" t="s">
        <v>13077</v>
      </c>
      <c r="Q221" s="284" t="s">
        <v>13089</v>
      </c>
      <c r="R221" s="284" t="s">
        <v>13033</v>
      </c>
      <c r="S221" s="284" t="s">
        <v>13034</v>
      </c>
      <c r="T221" s="284" t="s">
        <v>13036</v>
      </c>
      <c r="U221" s="284" t="s">
        <v>13090</v>
      </c>
      <c r="V221" s="284" t="s">
        <v>13038</v>
      </c>
      <c r="W221" s="284" t="s">
        <v>13039</v>
      </c>
      <c r="X221" s="284" t="s">
        <v>13091</v>
      </c>
      <c r="Y221" s="284" t="s">
        <v>13009</v>
      </c>
      <c r="Z221" s="284" t="s">
        <v>13093</v>
      </c>
      <c r="AA221" s="284" t="s">
        <v>13041</v>
      </c>
      <c r="AB221" s="284" t="s">
        <v>13095</v>
      </c>
      <c r="AC221" s="284" t="s">
        <v>13332</v>
      </c>
      <c r="AD221" s="284"/>
      <c r="AE221" s="284"/>
      <c r="AF221" s="284"/>
      <c r="AG221" s="284"/>
      <c r="AH221" s="284"/>
      <c r="AI221" s="284"/>
      <c r="AJ221" s="284"/>
      <c r="AK221" s="284"/>
      <c r="AL221" s="284"/>
      <c r="AM221" s="284"/>
      <c r="AN221" s="284"/>
      <c r="AO221" s="284"/>
      <c r="AP221" s="284"/>
      <c r="AQ221" s="284"/>
      <c r="AR221" s="284"/>
      <c r="AS221" s="284"/>
      <c r="AT221" s="284"/>
      <c r="AU221" s="284"/>
      <c r="AV221" s="284"/>
      <c r="AW221" s="284"/>
      <c r="AX221" s="284"/>
      <c r="AY221" s="284"/>
      <c r="AZ221" s="284"/>
      <c r="BA221" s="284"/>
      <c r="BB221" s="284"/>
      <c r="BC221" s="284"/>
      <c r="BD221" s="284"/>
      <c r="BE221" s="284"/>
      <c r="BF221" s="284"/>
      <c r="BG221" s="284"/>
      <c r="BH221" s="284"/>
      <c r="BI221" s="284"/>
      <c r="BJ221" s="284"/>
      <c r="BK221" s="284"/>
      <c r="BL221" s="284"/>
      <c r="BM221" s="284"/>
      <c r="BN221" s="284"/>
      <c r="BO221" s="284"/>
      <c r="BP221" s="284"/>
      <c r="BQ221" s="284"/>
      <c r="BR221" s="284"/>
      <c r="BS221" s="284"/>
      <c r="BT221" s="284"/>
      <c r="BU221" s="284"/>
      <c r="BV221" s="284"/>
      <c r="BW221" s="284"/>
      <c r="BX221" s="284"/>
      <c r="BY221" s="284"/>
      <c r="BZ221" s="284"/>
      <c r="CA221" s="284"/>
      <c r="CB221" s="284"/>
      <c r="CC221" s="284"/>
      <c r="CD221" s="284"/>
      <c r="CE221" s="284"/>
      <c r="CF221" s="284"/>
      <c r="CG221" s="284"/>
    </row>
    <row r="222" spans="1:85" x14ac:dyDescent="0.35">
      <c r="A222" s="284" t="s">
        <v>7670</v>
      </c>
      <c r="B222" s="284" t="s">
        <v>7671</v>
      </c>
      <c r="C222" t="s">
        <v>14203</v>
      </c>
      <c r="D222" s="284" t="s">
        <v>13110</v>
      </c>
      <c r="E222" s="284" t="s">
        <v>13308</v>
      </c>
      <c r="F222" s="284" t="s">
        <v>13166</v>
      </c>
      <c r="G222" s="284" t="s">
        <v>13046</v>
      </c>
      <c r="H222" s="284" t="s">
        <v>13167</v>
      </c>
      <c r="I222" s="284" t="s">
        <v>13021</v>
      </c>
      <c r="J222" s="284" t="s">
        <v>13023</v>
      </c>
      <c r="K222" s="284" t="s">
        <v>14204</v>
      </c>
      <c r="L222" s="284" t="s">
        <v>13047</v>
      </c>
      <c r="M222" s="284" t="s">
        <v>13048</v>
      </c>
      <c r="N222" s="284" t="s">
        <v>13082</v>
      </c>
      <c r="O222" s="284" t="s">
        <v>13159</v>
      </c>
      <c r="P222" s="284" t="s">
        <v>13000</v>
      </c>
      <c r="Q222" s="284" t="s">
        <v>13119</v>
      </c>
      <c r="R222" s="284" t="s">
        <v>13085</v>
      </c>
      <c r="S222" s="284" t="s">
        <v>13074</v>
      </c>
      <c r="T222" s="284" t="s">
        <v>13397</v>
      </c>
      <c r="U222" s="284" t="s">
        <v>13027</v>
      </c>
      <c r="V222" s="284" t="s">
        <v>13243</v>
      </c>
      <c r="W222" s="284" t="s">
        <v>13050</v>
      </c>
      <c r="X222" s="284" t="s">
        <v>14205</v>
      </c>
      <c r="Y222" s="284" t="s">
        <v>14206</v>
      </c>
      <c r="Z222" s="284" t="s">
        <v>13028</v>
      </c>
      <c r="AA222" s="284" t="s">
        <v>13002</v>
      </c>
      <c r="AB222" s="284" t="s">
        <v>13003</v>
      </c>
      <c r="AC222" s="284" t="s">
        <v>13169</v>
      </c>
      <c r="AD222" s="284" t="s">
        <v>13066</v>
      </c>
      <c r="AE222" s="284" t="s">
        <v>13051</v>
      </c>
      <c r="AF222" s="284" t="s">
        <v>13005</v>
      </c>
      <c r="AG222" s="284" t="s">
        <v>13006</v>
      </c>
      <c r="AH222" s="284" t="s">
        <v>13007</v>
      </c>
      <c r="AI222" s="284" t="s">
        <v>13054</v>
      </c>
      <c r="AJ222" s="284" t="s">
        <v>13104</v>
      </c>
      <c r="AK222" s="284" t="s">
        <v>13033</v>
      </c>
      <c r="AL222" s="284" t="s">
        <v>13105</v>
      </c>
      <c r="AM222" s="284" t="s">
        <v>13401</v>
      </c>
      <c r="AN222" s="284" t="s">
        <v>13039</v>
      </c>
      <c r="AO222" s="284" t="s">
        <v>13403</v>
      </c>
      <c r="AP222" s="284" t="s">
        <v>13058</v>
      </c>
      <c r="AQ222" s="284" t="s">
        <v>13041</v>
      </c>
      <c r="AR222" s="284" t="s">
        <v>13012</v>
      </c>
      <c r="AS222" s="284" t="s">
        <v>13060</v>
      </c>
      <c r="AT222" s="284" t="s">
        <v>13404</v>
      </c>
      <c r="AU222" s="284" t="s">
        <v>13042</v>
      </c>
      <c r="AV222" s="284" t="s">
        <v>13207</v>
      </c>
      <c r="AW222" s="284"/>
      <c r="AX222" s="284"/>
      <c r="AY222" s="284"/>
      <c r="AZ222" s="284"/>
      <c r="BA222" s="284"/>
      <c r="BB222" s="284"/>
      <c r="BC222" s="284"/>
      <c r="BD222" s="284"/>
      <c r="BE222" s="284"/>
      <c r="BF222" s="284"/>
      <c r="BG222" s="284"/>
      <c r="BH222" s="284"/>
      <c r="BI222" s="284"/>
      <c r="BJ222" s="284"/>
      <c r="BK222" s="284"/>
      <c r="BL222" s="284"/>
      <c r="BM222" s="284"/>
      <c r="BN222" s="284"/>
      <c r="BO222" s="284"/>
      <c r="BP222" s="284"/>
      <c r="BQ222" s="284"/>
      <c r="BR222" s="284"/>
      <c r="BS222" s="284"/>
      <c r="BT222" s="284"/>
      <c r="BU222" s="284"/>
      <c r="BV222" s="284"/>
      <c r="BW222" s="284"/>
      <c r="BX222" s="284"/>
      <c r="BY222" s="284"/>
      <c r="BZ222" s="284"/>
      <c r="CA222" s="284"/>
      <c r="CB222" s="284"/>
      <c r="CC222" s="284"/>
      <c r="CD222" s="284"/>
      <c r="CE222" s="284"/>
      <c r="CF222" s="284"/>
      <c r="CG222" s="284"/>
    </row>
    <row r="223" spans="1:85" x14ac:dyDescent="0.35">
      <c r="A223" s="284" t="s">
        <v>6287</v>
      </c>
      <c r="B223" s="284" t="s">
        <v>6288</v>
      </c>
      <c r="C223" t="s">
        <v>14207</v>
      </c>
      <c r="D223" s="284" t="s">
        <v>13072</v>
      </c>
      <c r="E223" s="284" t="s">
        <v>13279</v>
      </c>
      <c r="F223" s="284" t="s">
        <v>13289</v>
      </c>
      <c r="G223" s="284" t="s">
        <v>13273</v>
      </c>
      <c r="H223" s="284" t="s">
        <v>13280</v>
      </c>
      <c r="I223" s="284" t="s">
        <v>13085</v>
      </c>
      <c r="J223" s="284" t="s">
        <v>13924</v>
      </c>
      <c r="K223" s="284" t="s">
        <v>13049</v>
      </c>
      <c r="L223" s="284" t="s">
        <v>13148</v>
      </c>
      <c r="M223" s="284" t="s">
        <v>13001</v>
      </c>
      <c r="N223" s="284" t="s">
        <v>13149</v>
      </c>
      <c r="O223" s="284" t="s">
        <v>13028</v>
      </c>
      <c r="P223" s="284" t="s">
        <v>13160</v>
      </c>
      <c r="Q223" s="284" t="s">
        <v>13002</v>
      </c>
      <c r="R223" s="284" t="s">
        <v>13291</v>
      </c>
      <c r="S223" s="284" t="s">
        <v>13516</v>
      </c>
      <c r="T223" s="284" t="s">
        <v>13486</v>
      </c>
      <c r="U223" s="284" t="s">
        <v>13276</v>
      </c>
      <c r="V223" s="284" t="s">
        <v>13032</v>
      </c>
      <c r="W223" s="284" t="s">
        <v>13033</v>
      </c>
      <c r="X223" s="284" t="s">
        <v>13034</v>
      </c>
      <c r="Y223" s="284" t="s">
        <v>13036</v>
      </c>
      <c r="Z223" s="284" t="s">
        <v>13277</v>
      </c>
      <c r="AA223" s="284" t="s">
        <v>13038</v>
      </c>
      <c r="AB223" s="284" t="s">
        <v>13091</v>
      </c>
      <c r="AC223" s="284" t="s">
        <v>13154</v>
      </c>
      <c r="AD223" s="284" t="s">
        <v>13286</v>
      </c>
      <c r="AE223" s="284"/>
      <c r="AF223" s="284"/>
      <c r="AG223" s="284"/>
      <c r="AH223" s="284"/>
      <c r="AI223" s="284"/>
      <c r="AJ223" s="284"/>
      <c r="AK223" s="284"/>
      <c r="AL223" s="284"/>
      <c r="AM223" s="284"/>
      <c r="AN223" s="284"/>
      <c r="AO223" s="284"/>
      <c r="AP223" s="284"/>
      <c r="AQ223" s="284"/>
      <c r="AR223" s="284"/>
      <c r="AS223" s="284"/>
      <c r="AT223" s="284"/>
      <c r="AU223" s="284"/>
      <c r="AV223" s="284"/>
      <c r="AW223" s="284"/>
      <c r="AX223" s="284"/>
      <c r="AY223" s="284"/>
      <c r="AZ223" s="284"/>
      <c r="BA223" s="284"/>
      <c r="BB223" s="284"/>
      <c r="BC223" s="284"/>
      <c r="BD223" s="284"/>
      <c r="BE223" s="284"/>
      <c r="BF223" s="284"/>
      <c r="BG223" s="284"/>
      <c r="BH223" s="284"/>
      <c r="BI223" s="284"/>
      <c r="BJ223" s="284"/>
      <c r="BK223" s="284"/>
      <c r="BL223" s="284"/>
      <c r="BM223" s="284"/>
      <c r="BN223" s="284"/>
      <c r="BO223" s="284"/>
      <c r="BP223" s="284"/>
      <c r="BQ223" s="284"/>
      <c r="BR223" s="284"/>
      <c r="BS223" s="284"/>
      <c r="BT223" s="284"/>
      <c r="BU223" s="284"/>
      <c r="BV223" s="284"/>
      <c r="BW223" s="284"/>
      <c r="BX223" s="284"/>
      <c r="BY223" s="284"/>
      <c r="BZ223" s="284"/>
      <c r="CA223" s="284"/>
      <c r="CB223" s="284"/>
      <c r="CC223" s="284"/>
      <c r="CD223" s="284"/>
      <c r="CE223" s="284"/>
      <c r="CF223" s="284"/>
      <c r="CG223" s="284"/>
    </row>
    <row r="224" spans="1:85" x14ac:dyDescent="0.35">
      <c r="A224" s="284" t="s">
        <v>7954</v>
      </c>
      <c r="B224" s="284" t="s">
        <v>7955</v>
      </c>
      <c r="C224" t="s">
        <v>13023</v>
      </c>
      <c r="D224" s="284" t="s">
        <v>13446</v>
      </c>
      <c r="E224" s="284" t="s">
        <v>13082</v>
      </c>
      <c r="F224" s="284" t="s">
        <v>13065</v>
      </c>
      <c r="G224" s="284" t="s">
        <v>13235</v>
      </c>
      <c r="H224" s="284" t="s">
        <v>13243</v>
      </c>
      <c r="I224" s="284" t="s">
        <v>13028</v>
      </c>
      <c r="J224" s="284" t="s">
        <v>13448</v>
      </c>
      <c r="K224" s="284" t="s">
        <v>13066</v>
      </c>
      <c r="L224" s="284" t="s">
        <v>13248</v>
      </c>
      <c r="M224" s="284" t="s">
        <v>13038</v>
      </c>
      <c r="N224" s="284" t="s">
        <v>13039</v>
      </c>
      <c r="O224" s="284" t="s">
        <v>13009</v>
      </c>
      <c r="P224" s="284" t="s">
        <v>13041</v>
      </c>
      <c r="Q224" s="284" t="s">
        <v>13012</v>
      </c>
      <c r="R224" s="284" t="s">
        <v>13451</v>
      </c>
      <c r="S224" s="284" t="s">
        <v>13267</v>
      </c>
      <c r="T224" s="284" t="s">
        <v>13016</v>
      </c>
      <c r="U224" s="284"/>
      <c r="V224" s="284"/>
      <c r="W224" s="284"/>
      <c r="X224" s="284"/>
      <c r="Y224" s="284"/>
      <c r="Z224" s="284"/>
      <c r="AA224" s="284"/>
      <c r="AB224" s="284"/>
      <c r="AC224" s="284"/>
      <c r="AD224" s="284"/>
      <c r="AE224" s="284"/>
      <c r="AF224" s="284"/>
      <c r="AG224" s="284"/>
      <c r="AH224" s="284"/>
      <c r="AI224" s="284"/>
      <c r="AJ224" s="284"/>
      <c r="AK224" s="284"/>
      <c r="AL224" s="284"/>
      <c r="AM224" s="284"/>
      <c r="AN224" s="284"/>
      <c r="AO224" s="284"/>
      <c r="AP224" s="284"/>
      <c r="AQ224" s="284"/>
      <c r="AR224" s="284"/>
      <c r="AS224" s="284"/>
      <c r="AT224" s="284"/>
      <c r="AU224" s="284"/>
      <c r="AV224" s="284"/>
      <c r="AW224" s="284"/>
      <c r="AX224" s="284"/>
      <c r="AY224" s="284"/>
      <c r="AZ224" s="284"/>
      <c r="BA224" s="284"/>
      <c r="BB224" s="284"/>
      <c r="BC224" s="284"/>
      <c r="BD224" s="284"/>
      <c r="BE224" s="284"/>
      <c r="BF224" s="284"/>
      <c r="BG224" s="284"/>
      <c r="BH224" s="284"/>
      <c r="BI224" s="284"/>
      <c r="BJ224" s="284"/>
      <c r="BK224" s="284"/>
      <c r="BL224" s="284"/>
      <c r="BM224" s="284"/>
      <c r="BN224" s="284"/>
      <c r="BO224" s="284"/>
      <c r="BP224" s="284"/>
      <c r="BQ224" s="284"/>
      <c r="BR224" s="284"/>
      <c r="BS224" s="284"/>
      <c r="BT224" s="284"/>
      <c r="BU224" s="284"/>
      <c r="BV224" s="284"/>
      <c r="BW224" s="284"/>
      <c r="BX224" s="284"/>
      <c r="BY224" s="284"/>
      <c r="BZ224" s="284"/>
      <c r="CA224" s="284"/>
      <c r="CB224" s="284"/>
      <c r="CC224" s="284"/>
      <c r="CD224" s="284"/>
      <c r="CE224" s="284"/>
      <c r="CF224" s="284"/>
      <c r="CG224" s="284"/>
    </row>
    <row r="225" spans="1:85" x14ac:dyDescent="0.35">
      <c r="A225" s="284" t="s">
        <v>10560</v>
      </c>
      <c r="B225" s="284" t="s">
        <v>10561</v>
      </c>
      <c r="C225" t="s">
        <v>14208</v>
      </c>
      <c r="D225" s="284" t="s">
        <v>13072</v>
      </c>
      <c r="E225" s="284" t="s">
        <v>13023</v>
      </c>
      <c r="F225" s="284" t="s">
        <v>13547</v>
      </c>
      <c r="G225" s="284" t="s">
        <v>14078</v>
      </c>
      <c r="H225" s="284" t="s">
        <v>13119</v>
      </c>
      <c r="I225" s="284" t="s">
        <v>13551</v>
      </c>
      <c r="J225" s="284" t="s">
        <v>13553</v>
      </c>
      <c r="K225" s="284" t="s">
        <v>13027</v>
      </c>
      <c r="L225" s="284" t="s">
        <v>13149</v>
      </c>
      <c r="M225" s="284" t="s">
        <v>13028</v>
      </c>
      <c r="N225" s="284" t="s">
        <v>13002</v>
      </c>
      <c r="O225" s="284" t="s">
        <v>13003</v>
      </c>
      <c r="P225" s="284" t="s">
        <v>13556</v>
      </c>
      <c r="Q225" s="284" t="s">
        <v>13557</v>
      </c>
      <c r="R225" s="284" t="s">
        <v>13076</v>
      </c>
      <c r="S225" s="284" t="s">
        <v>13559</v>
      </c>
      <c r="T225" s="284" t="s">
        <v>13033</v>
      </c>
      <c r="U225" s="284" t="s">
        <v>13034</v>
      </c>
      <c r="V225" s="284" t="s">
        <v>13560</v>
      </c>
      <c r="W225" s="284" t="s">
        <v>13009</v>
      </c>
      <c r="X225" s="284" t="s">
        <v>13107</v>
      </c>
      <c r="Y225" s="284" t="s">
        <v>13042</v>
      </c>
      <c r="Z225" s="284" t="s">
        <v>13096</v>
      </c>
      <c r="AA225" s="284" t="s">
        <v>13704</v>
      </c>
      <c r="AB225" s="284"/>
      <c r="AC225" s="284"/>
      <c r="AD225" s="284"/>
      <c r="AE225" s="284"/>
      <c r="AF225" s="284"/>
      <c r="AG225" s="284"/>
      <c r="AH225" s="284"/>
      <c r="AI225" s="284"/>
      <c r="AJ225" s="284"/>
      <c r="AK225" s="284"/>
      <c r="AL225" s="284"/>
      <c r="AM225" s="284"/>
      <c r="AN225" s="284"/>
      <c r="AO225" s="284"/>
      <c r="AP225" s="284"/>
      <c r="AQ225" s="284"/>
      <c r="AR225" s="284"/>
      <c r="AS225" s="284"/>
      <c r="AT225" s="284"/>
      <c r="AU225" s="284"/>
      <c r="AV225" s="284"/>
      <c r="AW225" s="284"/>
      <c r="AX225" s="284"/>
      <c r="AY225" s="284"/>
      <c r="AZ225" s="284"/>
      <c r="BA225" s="284"/>
      <c r="BB225" s="284"/>
      <c r="BC225" s="284"/>
      <c r="BD225" s="284"/>
      <c r="BE225" s="284"/>
      <c r="BF225" s="284"/>
      <c r="BG225" s="284"/>
      <c r="BH225" s="284"/>
      <c r="BI225" s="284"/>
      <c r="BJ225" s="284"/>
      <c r="BK225" s="284"/>
      <c r="BL225" s="284"/>
      <c r="BM225" s="284"/>
      <c r="BN225" s="284"/>
      <c r="BO225" s="284"/>
      <c r="BP225" s="284"/>
      <c r="BQ225" s="284"/>
      <c r="BR225" s="284"/>
      <c r="BS225" s="284"/>
      <c r="BT225" s="284"/>
      <c r="BU225" s="284"/>
      <c r="BV225" s="284"/>
      <c r="BW225" s="284"/>
      <c r="BX225" s="284"/>
      <c r="BY225" s="284"/>
      <c r="BZ225" s="284"/>
      <c r="CA225" s="284"/>
      <c r="CB225" s="284"/>
      <c r="CC225" s="284"/>
      <c r="CD225" s="284"/>
      <c r="CE225" s="284"/>
      <c r="CF225" s="284"/>
      <c r="CG225" s="284"/>
    </row>
    <row r="226" spans="1:85" x14ac:dyDescent="0.35">
      <c r="A226" s="284" t="s">
        <v>2052</v>
      </c>
      <c r="B226" s="284" t="s">
        <v>2053</v>
      </c>
      <c r="C226" t="s">
        <v>14209</v>
      </c>
      <c r="D226" s="284" t="s">
        <v>13110</v>
      </c>
      <c r="E226" s="284" t="s">
        <v>13046</v>
      </c>
      <c r="F226" s="284" t="s">
        <v>13167</v>
      </c>
      <c r="G226" s="284" t="s">
        <v>13021</v>
      </c>
      <c r="H226" s="284" t="s">
        <v>13023</v>
      </c>
      <c r="I226" s="284" t="s">
        <v>13048</v>
      </c>
      <c r="J226" s="284" t="s">
        <v>13065</v>
      </c>
      <c r="K226" s="284" t="s">
        <v>13114</v>
      </c>
      <c r="L226" s="284" t="s">
        <v>13000</v>
      </c>
      <c r="M226" s="284" t="s">
        <v>13049</v>
      </c>
      <c r="N226" s="284" t="s">
        <v>13027</v>
      </c>
      <c r="O226" s="284" t="s">
        <v>13001</v>
      </c>
      <c r="P226" s="284" t="s">
        <v>14210</v>
      </c>
      <c r="Q226" s="284" t="s">
        <v>13028</v>
      </c>
      <c r="R226" s="284" t="s">
        <v>13160</v>
      </c>
      <c r="S226" s="284" t="s">
        <v>13002</v>
      </c>
      <c r="T226" s="284" t="s">
        <v>13003</v>
      </c>
      <c r="U226" s="284" t="s">
        <v>13004</v>
      </c>
      <c r="V226" s="284" t="s">
        <v>13066</v>
      </c>
      <c r="W226" s="284" t="s">
        <v>13005</v>
      </c>
      <c r="X226" s="284" t="s">
        <v>13053</v>
      </c>
      <c r="Y226" s="284" t="s">
        <v>13007</v>
      </c>
      <c r="Z226" s="284" t="s">
        <v>13033</v>
      </c>
      <c r="AA226" s="284" t="s">
        <v>13034</v>
      </c>
      <c r="AB226" s="284" t="s">
        <v>13037</v>
      </c>
      <c r="AC226" s="284" t="s">
        <v>13038</v>
      </c>
      <c r="AD226" s="284" t="s">
        <v>13009</v>
      </c>
      <c r="AE226" s="284" t="s">
        <v>13056</v>
      </c>
      <c r="AF226" s="284" t="s">
        <v>13011</v>
      </c>
      <c r="AG226" s="284" t="s">
        <v>13058</v>
      </c>
      <c r="AH226" s="284" t="s">
        <v>13205</v>
      </c>
      <c r="AI226" s="284" t="s">
        <v>13012</v>
      </c>
      <c r="AJ226" s="284" t="s">
        <v>13285</v>
      </c>
      <c r="AK226" s="284" t="s">
        <v>13014</v>
      </c>
      <c r="AL226" s="284" t="s">
        <v>13173</v>
      </c>
      <c r="AM226" s="284" t="s">
        <v>13174</v>
      </c>
      <c r="AN226" s="284" t="s">
        <v>14211</v>
      </c>
      <c r="AO226" s="284" t="s">
        <v>13175</v>
      </c>
      <c r="AP226" s="284" t="s">
        <v>13015</v>
      </c>
      <c r="AQ226" s="284" t="s">
        <v>13016</v>
      </c>
      <c r="AR226" s="284" t="s">
        <v>13176</v>
      </c>
      <c r="AS226" s="284"/>
      <c r="AT226" s="284"/>
      <c r="AU226" s="284"/>
      <c r="AV226" s="284"/>
      <c r="AW226" s="284"/>
      <c r="AX226" s="284"/>
      <c r="AY226" s="284"/>
      <c r="AZ226" s="284"/>
      <c r="BA226" s="284"/>
      <c r="BB226" s="284"/>
      <c r="BC226" s="284"/>
      <c r="BD226" s="284"/>
      <c r="BE226" s="284"/>
      <c r="BF226" s="284"/>
      <c r="BG226" s="284"/>
      <c r="BH226" s="284"/>
      <c r="BI226" s="284"/>
      <c r="BJ226" s="284"/>
      <c r="BK226" s="284"/>
      <c r="BL226" s="284"/>
      <c r="BM226" s="284"/>
      <c r="BN226" s="284"/>
      <c r="BO226" s="284"/>
      <c r="BP226" s="284"/>
      <c r="BQ226" s="284"/>
      <c r="BR226" s="284"/>
      <c r="BS226" s="284"/>
      <c r="BT226" s="284"/>
      <c r="BU226" s="284"/>
      <c r="BV226" s="284"/>
      <c r="BW226" s="284"/>
      <c r="BX226" s="284"/>
      <c r="BY226" s="284"/>
      <c r="BZ226" s="284"/>
      <c r="CA226" s="284"/>
      <c r="CB226" s="284"/>
      <c r="CC226" s="284"/>
      <c r="CD226" s="284"/>
      <c r="CE226" s="284"/>
      <c r="CF226" s="284"/>
      <c r="CG226" s="284"/>
    </row>
    <row r="227" spans="1:85" x14ac:dyDescent="0.35">
      <c r="A227" s="284" t="s">
        <v>1560</v>
      </c>
      <c r="B227" s="284" t="s">
        <v>156</v>
      </c>
      <c r="C227" t="s">
        <v>14212</v>
      </c>
      <c r="D227" s="284" t="s">
        <v>13021</v>
      </c>
      <c r="E227" s="284" t="s">
        <v>13023</v>
      </c>
      <c r="F227" s="284" t="s">
        <v>14213</v>
      </c>
      <c r="G227" s="284" t="s">
        <v>14214</v>
      </c>
      <c r="H227" s="284" t="s">
        <v>13083</v>
      </c>
      <c r="I227" s="284" t="s">
        <v>13159</v>
      </c>
      <c r="J227" s="284" t="s">
        <v>13085</v>
      </c>
      <c r="K227" s="284" t="s">
        <v>13099</v>
      </c>
      <c r="L227" s="284" t="s">
        <v>13086</v>
      </c>
      <c r="M227" s="284" t="s">
        <v>13027</v>
      </c>
      <c r="N227" s="284" t="s">
        <v>13001</v>
      </c>
      <c r="O227" s="284" t="s">
        <v>13050</v>
      </c>
      <c r="P227" s="284" t="s">
        <v>13002</v>
      </c>
      <c r="Q227" s="284" t="s">
        <v>14215</v>
      </c>
      <c r="R227" s="284" t="s">
        <v>13066</v>
      </c>
      <c r="S227" s="284" t="s">
        <v>13076</v>
      </c>
      <c r="T227" s="284" t="s">
        <v>13100</v>
      </c>
      <c r="U227" s="284" t="s">
        <v>13005</v>
      </c>
      <c r="V227" s="284" t="s">
        <v>13029</v>
      </c>
      <c r="W227" s="284" t="s">
        <v>13006</v>
      </c>
      <c r="X227" s="284" t="s">
        <v>13007</v>
      </c>
      <c r="Y227" s="284" t="s">
        <v>13103</v>
      </c>
      <c r="Z227" s="284" t="s">
        <v>13008</v>
      </c>
      <c r="AA227" s="284" t="s">
        <v>13104</v>
      </c>
      <c r="AB227" s="284" t="s">
        <v>13033</v>
      </c>
      <c r="AC227" s="284" t="s">
        <v>13038</v>
      </c>
      <c r="AD227" s="284" t="s">
        <v>13078</v>
      </c>
      <c r="AE227" s="284" t="s">
        <v>13091</v>
      </c>
      <c r="AF227" s="284" t="s">
        <v>13009</v>
      </c>
      <c r="AG227" s="284" t="s">
        <v>14216</v>
      </c>
      <c r="AH227" s="284" t="s">
        <v>13011</v>
      </c>
      <c r="AI227" s="284" t="s">
        <v>13041</v>
      </c>
      <c r="AJ227" s="284" t="s">
        <v>13106</v>
      </c>
      <c r="AK227" s="284" t="s">
        <v>13094</v>
      </c>
      <c r="AL227" s="284" t="s">
        <v>13014</v>
      </c>
      <c r="AM227" s="284" t="s">
        <v>13042</v>
      </c>
      <c r="AN227" s="284" t="s">
        <v>13156</v>
      </c>
      <c r="AO227" s="284"/>
      <c r="AP227" s="284"/>
      <c r="AQ227" s="284"/>
      <c r="AR227" s="284"/>
      <c r="AS227" s="284"/>
      <c r="AT227" s="284"/>
      <c r="AU227" s="284"/>
      <c r="AV227" s="284"/>
      <c r="AW227" s="284"/>
      <c r="AX227" s="284"/>
      <c r="AY227" s="284"/>
      <c r="AZ227" s="284"/>
      <c r="BA227" s="284"/>
      <c r="BB227" s="284"/>
      <c r="BC227" s="284"/>
      <c r="BD227" s="284"/>
      <c r="BE227" s="284"/>
      <c r="BF227" s="284"/>
      <c r="BG227" s="284"/>
      <c r="BH227" s="284"/>
      <c r="BI227" s="284"/>
      <c r="BJ227" s="284"/>
      <c r="BK227" s="284"/>
      <c r="BL227" s="284"/>
      <c r="BM227" s="284"/>
      <c r="BN227" s="284"/>
      <c r="BO227" s="284"/>
      <c r="BP227" s="284"/>
      <c r="BQ227" s="284"/>
      <c r="BR227" s="284"/>
      <c r="BS227" s="284"/>
      <c r="BT227" s="284"/>
      <c r="BU227" s="284"/>
      <c r="BV227" s="284"/>
      <c r="BW227" s="284"/>
      <c r="BX227" s="284"/>
      <c r="BY227" s="284"/>
      <c r="BZ227" s="284"/>
      <c r="CA227" s="284"/>
      <c r="CB227" s="284"/>
      <c r="CC227" s="284"/>
      <c r="CD227" s="284"/>
      <c r="CE227" s="284"/>
      <c r="CF227" s="284"/>
      <c r="CG227" s="284"/>
    </row>
    <row r="228" spans="1:85" x14ac:dyDescent="0.35">
      <c r="A228" s="284" t="s">
        <v>12323</v>
      </c>
      <c r="B228" s="284" t="s">
        <v>157</v>
      </c>
      <c r="C228" s="284" t="s">
        <v>14217</v>
      </c>
      <c r="D228" s="284" t="s">
        <v>13110</v>
      </c>
      <c r="E228" s="284" t="s">
        <v>13023</v>
      </c>
      <c r="F228" s="284" t="s">
        <v>13112</v>
      </c>
      <c r="G228" s="284" t="s">
        <v>14218</v>
      </c>
      <c r="H228" s="284" t="s">
        <v>13573</v>
      </c>
      <c r="I228" s="284" t="s">
        <v>14219</v>
      </c>
      <c r="J228" s="284" t="s">
        <v>14220</v>
      </c>
      <c r="K228" s="284" t="s">
        <v>13433</v>
      </c>
      <c r="L228" s="284" t="s">
        <v>13318</v>
      </c>
      <c r="M228" s="284" t="s">
        <v>13000</v>
      </c>
      <c r="N228" s="284" t="s">
        <v>13845</v>
      </c>
      <c r="O228" s="284" t="s">
        <v>14221</v>
      </c>
      <c r="P228" s="284" t="s">
        <v>13384</v>
      </c>
      <c r="Q228" s="284" t="s">
        <v>13027</v>
      </c>
      <c r="R228" s="284" t="s">
        <v>13001</v>
      </c>
      <c r="S228" s="284" t="s">
        <v>14222</v>
      </c>
      <c r="T228" s="284" t="s">
        <v>13215</v>
      </c>
      <c r="U228" s="284" t="s">
        <v>13028</v>
      </c>
      <c r="V228" s="284" t="s">
        <v>14223</v>
      </c>
      <c r="W228" s="284" t="s">
        <v>13003</v>
      </c>
      <c r="X228" s="284" t="s">
        <v>13337</v>
      </c>
      <c r="Y228" s="284" t="s">
        <v>13004</v>
      </c>
      <c r="Z228" s="284" t="s">
        <v>13789</v>
      </c>
      <c r="AA228" s="284" t="s">
        <v>13216</v>
      </c>
      <c r="AB228" s="284" t="s">
        <v>13855</v>
      </c>
      <c r="AC228" s="284" t="s">
        <v>13100</v>
      </c>
      <c r="AD228" s="284" t="s">
        <v>13005</v>
      </c>
      <c r="AE228" s="284" t="s">
        <v>13101</v>
      </c>
      <c r="AF228" s="284" t="s">
        <v>13006</v>
      </c>
      <c r="AG228" s="284" t="s">
        <v>13007</v>
      </c>
      <c r="AH228" s="284" t="s">
        <v>13718</v>
      </c>
      <c r="AI228" s="284" t="s">
        <v>13103</v>
      </c>
      <c r="AJ228" s="284" t="s">
        <v>13054</v>
      </c>
      <c r="AK228" s="284" t="s">
        <v>13129</v>
      </c>
      <c r="AL228" s="284" t="s">
        <v>13133</v>
      </c>
      <c r="AM228" s="284" t="s">
        <v>13055</v>
      </c>
      <c r="AN228" s="284" t="s">
        <v>13104</v>
      </c>
      <c r="AO228" s="284" t="s">
        <v>13218</v>
      </c>
      <c r="AP228" s="284" t="s">
        <v>13388</v>
      </c>
      <c r="AQ228" s="284" t="s">
        <v>13739</v>
      </c>
      <c r="AR228" s="284" t="s">
        <v>13389</v>
      </c>
      <c r="AS228" s="284" t="s">
        <v>14224</v>
      </c>
      <c r="AT228" s="284" t="s">
        <v>14225</v>
      </c>
      <c r="AU228" s="284" t="s">
        <v>13078</v>
      </c>
      <c r="AV228" s="284" t="s">
        <v>13009</v>
      </c>
      <c r="AW228" s="284" t="s">
        <v>13011</v>
      </c>
      <c r="AX228" s="284" t="s">
        <v>14226</v>
      </c>
      <c r="AY228" s="284" t="s">
        <v>13306</v>
      </c>
      <c r="AZ228" s="284" t="s">
        <v>14227</v>
      </c>
      <c r="BA228" s="284" t="s">
        <v>14228</v>
      </c>
      <c r="BB228" s="284" t="s">
        <v>13014</v>
      </c>
      <c r="BC228" s="284" t="s">
        <v>13141</v>
      </c>
      <c r="BD228" s="284" t="s">
        <v>13042</v>
      </c>
      <c r="BE228" s="284" t="s">
        <v>13061</v>
      </c>
      <c r="BF228" s="284" t="s">
        <v>13062</v>
      </c>
      <c r="BG228" s="284" t="s">
        <v>13016</v>
      </c>
      <c r="BH228" s="284" t="s">
        <v>14229</v>
      </c>
      <c r="BI228" s="284"/>
      <c r="BJ228" s="284"/>
      <c r="BK228" s="284"/>
      <c r="BL228" s="284"/>
      <c r="BM228" s="284"/>
      <c r="BN228" s="284"/>
      <c r="BO228" s="284"/>
      <c r="BP228" s="284"/>
      <c r="BQ228" s="284"/>
      <c r="BR228" s="284"/>
      <c r="BS228" s="284"/>
      <c r="BT228" s="284"/>
      <c r="BU228" s="284"/>
      <c r="BV228" s="284"/>
      <c r="BW228" s="284"/>
      <c r="BX228" s="284"/>
      <c r="BY228" s="284"/>
      <c r="BZ228" s="284"/>
      <c r="CA228" s="284"/>
      <c r="CB228" s="284"/>
      <c r="CC228" s="284"/>
      <c r="CD228" s="284"/>
      <c r="CE228" s="284"/>
      <c r="CF228" s="284"/>
    </row>
    <row r="229" spans="1:85" x14ac:dyDescent="0.35">
      <c r="A229" s="284" t="s">
        <v>8497</v>
      </c>
      <c r="B229" s="284" t="s">
        <v>158</v>
      </c>
      <c r="C229" t="s">
        <v>14230</v>
      </c>
      <c r="D229" s="284" t="s">
        <v>13308</v>
      </c>
      <c r="E229" s="284" t="s">
        <v>13166</v>
      </c>
      <c r="F229" s="284" t="s">
        <v>13046</v>
      </c>
      <c r="G229" s="284" t="s">
        <v>13000</v>
      </c>
      <c r="H229" s="284" t="s">
        <v>13027</v>
      </c>
      <c r="I229" s="284" t="s">
        <v>13003</v>
      </c>
      <c r="J229" s="284" t="s">
        <v>13005</v>
      </c>
      <c r="K229" s="284" t="s">
        <v>13006</v>
      </c>
      <c r="L229" s="284" t="s">
        <v>13568</v>
      </c>
      <c r="M229" s="284" t="s">
        <v>13103</v>
      </c>
      <c r="N229" s="284" t="s">
        <v>13054</v>
      </c>
      <c r="O229" s="284" t="s">
        <v>13055</v>
      </c>
      <c r="P229" s="284" t="s">
        <v>13104</v>
      </c>
      <c r="Q229" s="284" t="s">
        <v>13779</v>
      </c>
      <c r="R229" s="284" t="s">
        <v>14231</v>
      </c>
      <c r="S229" s="284" t="s">
        <v>13014</v>
      </c>
      <c r="T229" s="284" t="s">
        <v>13570</v>
      </c>
      <c r="U229" s="284"/>
      <c r="V229" s="284"/>
      <c r="W229" s="284"/>
      <c r="X229" s="284"/>
      <c r="Y229" s="284"/>
      <c r="Z229" s="284"/>
      <c r="AA229" s="284"/>
      <c r="AB229" s="284"/>
      <c r="AC229" s="284"/>
      <c r="AD229" s="284"/>
      <c r="AE229" s="284"/>
      <c r="AF229" s="284"/>
      <c r="AG229" s="284"/>
      <c r="AH229" s="284"/>
      <c r="AI229" s="284"/>
      <c r="AJ229" s="284"/>
      <c r="AK229" s="284"/>
      <c r="AL229" s="284"/>
      <c r="AM229" s="284"/>
      <c r="AN229" s="284"/>
      <c r="AO229" s="284"/>
      <c r="AP229" s="284"/>
      <c r="AQ229" s="284"/>
      <c r="AR229" s="284"/>
      <c r="AS229" s="284"/>
      <c r="AT229" s="284"/>
      <c r="AU229" s="284"/>
      <c r="AV229" s="284"/>
      <c r="AW229" s="284"/>
      <c r="AX229" s="284"/>
      <c r="AY229" s="284"/>
      <c r="AZ229" s="284"/>
      <c r="BA229" s="284"/>
      <c r="BB229" s="284"/>
      <c r="BC229" s="284"/>
      <c r="BD229" s="284"/>
      <c r="BE229" s="284"/>
      <c r="BF229" s="284"/>
      <c r="BG229" s="284"/>
      <c r="BH229" s="284"/>
      <c r="BI229" s="284"/>
      <c r="BJ229" s="284"/>
      <c r="BK229" s="284"/>
      <c r="BL229" s="284"/>
      <c r="BM229" s="284"/>
      <c r="BN229" s="284"/>
      <c r="BO229" s="284"/>
      <c r="BP229" s="284"/>
      <c r="BQ229" s="284"/>
      <c r="BR229" s="284"/>
      <c r="BS229" s="284"/>
      <c r="BT229" s="284"/>
      <c r="BU229" s="284"/>
      <c r="BV229" s="284"/>
      <c r="BW229" s="284"/>
      <c r="BX229" s="284"/>
      <c r="BY229" s="284"/>
      <c r="BZ229" s="284"/>
      <c r="CA229" s="284"/>
      <c r="CB229" s="284"/>
      <c r="CC229" s="284"/>
      <c r="CD229" s="284"/>
      <c r="CE229" s="284"/>
      <c r="CF229" s="284"/>
      <c r="CG229" s="284"/>
    </row>
    <row r="230" spans="1:85" x14ac:dyDescent="0.35">
      <c r="A230" s="284" t="s">
        <v>9436</v>
      </c>
      <c r="B230" s="284" t="s">
        <v>159</v>
      </c>
      <c r="C230" t="s">
        <v>14232</v>
      </c>
      <c r="D230" s="284" t="s">
        <v>13046</v>
      </c>
      <c r="E230" s="284" t="s">
        <v>13022</v>
      </c>
      <c r="F230" s="284" t="s">
        <v>13023</v>
      </c>
      <c r="G230" s="284" t="s">
        <v>13082</v>
      </c>
      <c r="H230" s="284" t="s">
        <v>13348</v>
      </c>
      <c r="I230" s="284" t="s">
        <v>13000</v>
      </c>
      <c r="J230" s="284" t="s">
        <v>13119</v>
      </c>
      <c r="K230" s="284" t="s">
        <v>13168</v>
      </c>
      <c r="L230" s="284" t="s">
        <v>13028</v>
      </c>
      <c r="M230" s="284" t="s">
        <v>13199</v>
      </c>
      <c r="N230" s="284" t="s">
        <v>13002</v>
      </c>
      <c r="O230" s="284" t="s">
        <v>13003</v>
      </c>
      <c r="P230" s="284" t="s">
        <v>13051</v>
      </c>
      <c r="Q230" s="284" t="s">
        <v>13103</v>
      </c>
      <c r="R230" s="284" t="s">
        <v>13054</v>
      </c>
      <c r="S230" s="284" t="s">
        <v>13133</v>
      </c>
      <c r="T230" s="284" t="s">
        <v>13135</v>
      </c>
      <c r="U230" s="284" t="s">
        <v>13055</v>
      </c>
      <c r="V230" s="284" t="s">
        <v>13104</v>
      </c>
      <c r="W230" s="284" t="s">
        <v>13037</v>
      </c>
      <c r="X230" s="284" t="s">
        <v>13039</v>
      </c>
      <c r="Y230" s="284" t="s">
        <v>13203</v>
      </c>
      <c r="Z230" s="284" t="s">
        <v>13058</v>
      </c>
      <c r="AA230" s="284" t="s">
        <v>13041</v>
      </c>
      <c r="AB230" s="284" t="s">
        <v>13395</v>
      </c>
      <c r="AC230" s="284" t="s">
        <v>13142</v>
      </c>
      <c r="AD230" s="284" t="s">
        <v>13207</v>
      </c>
      <c r="AE230" s="284"/>
      <c r="AF230" s="284"/>
      <c r="AG230" s="284"/>
      <c r="AH230" s="284"/>
      <c r="AI230" s="284"/>
      <c r="AJ230" s="284"/>
      <c r="AK230" s="284"/>
      <c r="AL230" s="284"/>
      <c r="AM230" s="284"/>
      <c r="AN230" s="284"/>
      <c r="AO230" s="284"/>
      <c r="AP230" s="284"/>
      <c r="AQ230" s="284"/>
      <c r="AR230" s="284"/>
      <c r="AS230" s="284"/>
      <c r="AT230" s="284"/>
      <c r="AU230" s="284"/>
      <c r="AV230" s="284"/>
      <c r="AW230" s="284"/>
      <c r="AX230" s="284"/>
      <c r="AY230" s="284"/>
      <c r="AZ230" s="284"/>
      <c r="BA230" s="284"/>
      <c r="BB230" s="284"/>
      <c r="BC230" s="284"/>
      <c r="BD230" s="284"/>
      <c r="BE230" s="284"/>
      <c r="BF230" s="284"/>
      <c r="BG230" s="284"/>
      <c r="BH230" s="284"/>
      <c r="BI230" s="284"/>
      <c r="BJ230" s="284"/>
      <c r="BK230" s="284"/>
      <c r="BL230" s="284"/>
      <c r="BM230" s="284"/>
      <c r="BN230" s="284"/>
      <c r="BO230" s="284"/>
      <c r="BP230" s="284"/>
      <c r="BQ230" s="284"/>
      <c r="BR230" s="284"/>
      <c r="BS230" s="284"/>
      <c r="BT230" s="284"/>
      <c r="BU230" s="284"/>
      <c r="BV230" s="284"/>
      <c r="BW230" s="284"/>
      <c r="BX230" s="284"/>
      <c r="BY230" s="284"/>
      <c r="BZ230" s="284"/>
      <c r="CA230" s="284"/>
      <c r="CB230" s="284"/>
      <c r="CC230" s="284"/>
      <c r="CD230" s="284"/>
      <c r="CE230" s="284"/>
      <c r="CF230" s="284"/>
      <c r="CG230" s="284"/>
    </row>
    <row r="231" spans="1:85" x14ac:dyDescent="0.35">
      <c r="A231" s="284" t="s">
        <v>10184</v>
      </c>
      <c r="B231" s="284" t="s">
        <v>160</v>
      </c>
      <c r="C231" t="s">
        <v>13072</v>
      </c>
      <c r="D231" s="284" t="s">
        <v>13410</v>
      </c>
      <c r="E231" s="284" t="s">
        <v>13000</v>
      </c>
      <c r="F231" s="284" t="s">
        <v>13085</v>
      </c>
      <c r="G231" s="284" t="s">
        <v>13499</v>
      </c>
      <c r="H231" s="284" t="s">
        <v>13027</v>
      </c>
      <c r="I231" s="284" t="s">
        <v>13148</v>
      </c>
      <c r="J231" s="284" t="s">
        <v>13028</v>
      </c>
      <c r="K231" s="284" t="s">
        <v>13003</v>
      </c>
      <c r="L231" s="284" t="s">
        <v>13066</v>
      </c>
      <c r="M231" s="284" t="s">
        <v>13291</v>
      </c>
      <c r="N231" s="284" t="s">
        <v>13744</v>
      </c>
      <c r="O231" s="284" t="s">
        <v>13486</v>
      </c>
      <c r="P231" s="284" t="s">
        <v>13276</v>
      </c>
      <c r="Q231" s="284" t="s">
        <v>13032</v>
      </c>
      <c r="R231" s="284" t="s">
        <v>13033</v>
      </c>
      <c r="S231" s="284" t="s">
        <v>13034</v>
      </c>
      <c r="T231" s="284" t="s">
        <v>13487</v>
      </c>
      <c r="U231" s="284" t="s">
        <v>13036</v>
      </c>
      <c r="V231" s="284" t="s">
        <v>13277</v>
      </c>
      <c r="W231" s="284" t="s">
        <v>13037</v>
      </c>
      <c r="X231" s="284" t="s">
        <v>13078</v>
      </c>
      <c r="Y231" s="284" t="s">
        <v>13091</v>
      </c>
      <c r="Z231" s="284" t="s">
        <v>13009</v>
      </c>
      <c r="AA231" s="284" t="s">
        <v>13042</v>
      </c>
      <c r="AB231" s="284" t="s">
        <v>13493</v>
      </c>
      <c r="AC231" s="284" t="s">
        <v>14233</v>
      </c>
      <c r="AD231" s="284" t="s">
        <v>14234</v>
      </c>
      <c r="AE231" s="284" t="s">
        <v>13286</v>
      </c>
      <c r="AF231" s="284"/>
      <c r="AG231" s="284"/>
      <c r="AH231" s="284"/>
      <c r="AI231" s="284"/>
      <c r="AJ231" s="284"/>
      <c r="AK231" s="284"/>
      <c r="AL231" s="284"/>
      <c r="AM231" s="284"/>
      <c r="AN231" s="284"/>
      <c r="AO231" s="284"/>
      <c r="AP231" s="284"/>
      <c r="AQ231" s="284"/>
      <c r="AR231" s="284"/>
      <c r="AS231" s="284"/>
      <c r="AT231" s="284"/>
      <c r="AU231" s="284"/>
      <c r="AV231" s="284"/>
      <c r="AW231" s="284"/>
      <c r="AX231" s="284"/>
      <c r="AY231" s="284"/>
      <c r="AZ231" s="284"/>
      <c r="BA231" s="284"/>
      <c r="BB231" s="284"/>
      <c r="BC231" s="284"/>
      <c r="BD231" s="284"/>
      <c r="BE231" s="284"/>
      <c r="BF231" s="284"/>
      <c r="BG231" s="284"/>
      <c r="BH231" s="284"/>
      <c r="BI231" s="284"/>
      <c r="BJ231" s="284"/>
      <c r="BK231" s="284"/>
      <c r="BL231" s="284"/>
      <c r="BM231" s="284"/>
      <c r="BN231" s="284"/>
      <c r="BO231" s="284"/>
      <c r="BP231" s="284"/>
      <c r="BQ231" s="284"/>
      <c r="BR231" s="284"/>
      <c r="BS231" s="284"/>
      <c r="BT231" s="284"/>
      <c r="BU231" s="284"/>
      <c r="BV231" s="284"/>
      <c r="BW231" s="284"/>
      <c r="BX231" s="284"/>
      <c r="BY231" s="284"/>
      <c r="BZ231" s="284"/>
      <c r="CA231" s="284"/>
      <c r="CB231" s="284"/>
      <c r="CC231" s="284"/>
      <c r="CD231" s="284"/>
      <c r="CE231" s="284"/>
      <c r="CF231" s="284"/>
      <c r="CG231" s="284"/>
    </row>
    <row r="232" spans="1:85" x14ac:dyDescent="0.35">
      <c r="A232" s="284" t="s">
        <v>7996</v>
      </c>
      <c r="B232" s="284" t="s">
        <v>161</v>
      </c>
      <c r="C232" t="s">
        <v>13021</v>
      </c>
      <c r="D232" s="284" t="s">
        <v>13446</v>
      </c>
      <c r="E232" s="284" t="s">
        <v>13147</v>
      </c>
      <c r="F232" s="284" t="s">
        <v>13065</v>
      </c>
      <c r="G232" s="284" t="s">
        <v>13235</v>
      </c>
      <c r="H232" s="284" t="s">
        <v>14021</v>
      </c>
      <c r="I232" s="284" t="s">
        <v>13243</v>
      </c>
      <c r="J232" s="284" t="s">
        <v>13028</v>
      </c>
      <c r="K232" s="284" t="s">
        <v>13448</v>
      </c>
      <c r="L232" s="284" t="s">
        <v>13484</v>
      </c>
      <c r="M232" s="284" t="s">
        <v>13003</v>
      </c>
      <c r="N232" s="284" t="s">
        <v>13066</v>
      </c>
      <c r="O232" s="284" t="s">
        <v>13248</v>
      </c>
      <c r="P232" s="284" t="s">
        <v>13035</v>
      </c>
      <c r="Q232" s="284" t="s">
        <v>13038</v>
      </c>
      <c r="R232" s="284" t="s">
        <v>13039</v>
      </c>
      <c r="S232" s="284" t="s">
        <v>13091</v>
      </c>
      <c r="T232" s="284" t="s">
        <v>13009</v>
      </c>
      <c r="U232" s="284" t="s">
        <v>13041</v>
      </c>
      <c r="V232" s="284" t="s">
        <v>13042</v>
      </c>
      <c r="W232" s="284" t="s">
        <v>13451</v>
      </c>
      <c r="X232" s="284" t="s">
        <v>13061</v>
      </c>
      <c r="Y232" s="284" t="s">
        <v>13267</v>
      </c>
      <c r="Z232" s="284" t="s">
        <v>13156</v>
      </c>
      <c r="AA232" s="284"/>
      <c r="AB232" s="284"/>
      <c r="AC232" s="284"/>
      <c r="AD232" s="284"/>
      <c r="AE232" s="284"/>
      <c r="AF232" s="284"/>
      <c r="AG232" s="284"/>
      <c r="AH232" s="284"/>
      <c r="AI232" s="284"/>
      <c r="AJ232" s="284"/>
      <c r="AK232" s="284"/>
      <c r="AL232" s="284"/>
      <c r="AM232" s="284"/>
      <c r="AN232" s="284"/>
      <c r="AO232" s="284"/>
      <c r="AP232" s="284"/>
      <c r="AQ232" s="284"/>
      <c r="AR232" s="284"/>
      <c r="AS232" s="284"/>
      <c r="AT232" s="284"/>
      <c r="AU232" s="284"/>
      <c r="AV232" s="284"/>
      <c r="AW232" s="284"/>
      <c r="AX232" s="284"/>
      <c r="AY232" s="284"/>
      <c r="AZ232" s="284"/>
      <c r="BA232" s="284"/>
      <c r="BB232" s="284"/>
      <c r="BC232" s="284"/>
      <c r="BD232" s="284"/>
      <c r="BE232" s="284"/>
      <c r="BF232" s="284"/>
      <c r="BG232" s="284"/>
      <c r="BH232" s="284"/>
      <c r="BI232" s="284"/>
      <c r="BJ232" s="284"/>
      <c r="BK232" s="284"/>
      <c r="BL232" s="284"/>
      <c r="BM232" s="284"/>
      <c r="BN232" s="284"/>
      <c r="BO232" s="284"/>
      <c r="BP232" s="284"/>
      <c r="BQ232" s="284"/>
      <c r="BR232" s="284"/>
      <c r="BS232" s="284"/>
      <c r="BT232" s="284"/>
      <c r="BU232" s="284"/>
      <c r="BV232" s="284"/>
      <c r="BW232" s="284"/>
      <c r="BX232" s="284"/>
      <c r="BY232" s="284"/>
      <c r="BZ232" s="284"/>
      <c r="CA232" s="284"/>
      <c r="CB232" s="284"/>
      <c r="CC232" s="284"/>
      <c r="CD232" s="284"/>
      <c r="CE232" s="284"/>
      <c r="CF232" s="284"/>
      <c r="CG232" s="284"/>
    </row>
    <row r="233" spans="1:85" x14ac:dyDescent="0.35">
      <c r="A233" s="284" t="s">
        <v>8037</v>
      </c>
      <c r="B233" s="284" t="s">
        <v>162</v>
      </c>
      <c r="C233" s="284" t="s">
        <v>13023</v>
      </c>
      <c r="D233" s="284" t="s">
        <v>13446</v>
      </c>
      <c r="E233" s="284" t="s">
        <v>13147</v>
      </c>
      <c r="F233" s="284" t="s">
        <v>13065</v>
      </c>
      <c r="G233" s="284" t="s">
        <v>14020</v>
      </c>
      <c r="H233" s="284" t="s">
        <v>14235</v>
      </c>
      <c r="I233" s="284" t="s">
        <v>13024</v>
      </c>
      <c r="J233" s="284" t="s">
        <v>14022</v>
      </c>
      <c r="K233" s="284" t="s">
        <v>13025</v>
      </c>
      <c r="L233" s="284" t="s">
        <v>13148</v>
      </c>
      <c r="M233" s="284" t="s">
        <v>13243</v>
      </c>
      <c r="N233" s="284" t="s">
        <v>13149</v>
      </c>
      <c r="O233" s="284" t="s">
        <v>13028</v>
      </c>
      <c r="P233" s="284" t="s">
        <v>13160</v>
      </c>
      <c r="Q233" s="284" t="s">
        <v>13484</v>
      </c>
      <c r="R233" s="284" t="s">
        <v>13003</v>
      </c>
      <c r="S233" s="284" t="s">
        <v>13066</v>
      </c>
      <c r="T233" s="284" t="s">
        <v>13291</v>
      </c>
      <c r="U233" s="284" t="s">
        <v>13274</v>
      </c>
      <c r="V233" s="284" t="s">
        <v>13248</v>
      </c>
      <c r="W233" s="284" t="s">
        <v>13613</v>
      </c>
      <c r="X233" s="284" t="s">
        <v>13487</v>
      </c>
      <c r="Y233" s="284" t="s">
        <v>13038</v>
      </c>
      <c r="Z233" s="284" t="s">
        <v>13039</v>
      </c>
      <c r="AA233" s="284" t="s">
        <v>13009</v>
      </c>
      <c r="AB233" s="284" t="s">
        <v>13041</v>
      </c>
      <c r="AC233" s="284" t="s">
        <v>14236</v>
      </c>
      <c r="AD233" s="284" t="s">
        <v>13451</v>
      </c>
      <c r="AE233" s="284" t="s">
        <v>13286</v>
      </c>
      <c r="AF233" s="284"/>
      <c r="AG233" s="284"/>
      <c r="AH233" s="284"/>
      <c r="AI233" s="284"/>
      <c r="AJ233" s="284"/>
      <c r="AK233" s="284"/>
      <c r="AL233" s="284"/>
      <c r="AM233" s="284"/>
      <c r="AN233" s="284"/>
      <c r="AO233" s="284"/>
      <c r="AP233" s="284"/>
      <c r="AQ233" s="284"/>
      <c r="AR233" s="284"/>
      <c r="AS233" s="284"/>
      <c r="AT233" s="284"/>
      <c r="AU233" s="284"/>
      <c r="AV233" s="284"/>
      <c r="AW233" s="284"/>
      <c r="AX233" s="284"/>
      <c r="AY233" s="284"/>
      <c r="AZ233" s="284"/>
      <c r="BA233" s="284"/>
      <c r="BB233" s="284"/>
      <c r="BC233" s="284"/>
      <c r="BD233" s="284"/>
      <c r="BE233" s="284"/>
      <c r="BF233" s="284"/>
      <c r="BG233" s="284"/>
      <c r="BH233" s="284"/>
      <c r="BI233" s="284"/>
      <c r="BJ233" s="284"/>
      <c r="BK233" s="284"/>
      <c r="BL233" s="284"/>
      <c r="BM233" s="284"/>
      <c r="BN233" s="284"/>
      <c r="BO233" s="284"/>
      <c r="BP233" s="284"/>
      <c r="BQ233" s="284"/>
      <c r="BR233" s="284"/>
      <c r="BS233" s="284"/>
      <c r="BT233" s="284"/>
      <c r="BU233" s="284"/>
      <c r="BV233" s="284"/>
      <c r="BW233" s="284"/>
      <c r="BX233" s="284"/>
      <c r="BY233" s="284"/>
      <c r="BZ233" s="284"/>
      <c r="CA233" s="284"/>
      <c r="CB233" s="284"/>
      <c r="CC233" s="284"/>
      <c r="CD233" s="284"/>
      <c r="CE233" s="284"/>
      <c r="CF233" s="284"/>
    </row>
    <row r="234" spans="1:85" x14ac:dyDescent="0.35">
      <c r="A234" s="284" t="s">
        <v>9560</v>
      </c>
      <c r="B234" s="284" t="s">
        <v>163</v>
      </c>
      <c r="C234" s="284" t="s">
        <v>14237</v>
      </c>
      <c r="D234" s="284" t="s">
        <v>13021</v>
      </c>
      <c r="E234" s="284" t="s">
        <v>13023</v>
      </c>
      <c r="F234" s="284" t="s">
        <v>13082</v>
      </c>
      <c r="G234" s="284" t="s">
        <v>13348</v>
      </c>
      <c r="H234" s="284" t="s">
        <v>13065</v>
      </c>
      <c r="I234" s="284" t="s">
        <v>13000</v>
      </c>
      <c r="J234" s="284" t="s">
        <v>13099</v>
      </c>
      <c r="K234" s="284" t="s">
        <v>13049</v>
      </c>
      <c r="L234" s="284" t="s">
        <v>13462</v>
      </c>
      <c r="M234" s="284" t="s">
        <v>13168</v>
      </c>
      <c r="N234" s="284" t="s">
        <v>14238</v>
      </c>
      <c r="O234" s="284" t="s">
        <v>13027</v>
      </c>
      <c r="P234" s="284" t="s">
        <v>13050</v>
      </c>
      <c r="Q234" s="284" t="s">
        <v>13199</v>
      </c>
      <c r="R234" s="284" t="s">
        <v>13160</v>
      </c>
      <c r="S234" s="284" t="s">
        <v>13002</v>
      </c>
      <c r="T234" s="284" t="s">
        <v>13003</v>
      </c>
      <c r="U234" s="284" t="s">
        <v>13005</v>
      </c>
      <c r="V234" s="284" t="s">
        <v>13006</v>
      </c>
      <c r="W234" s="284" t="s">
        <v>13103</v>
      </c>
      <c r="X234" s="284" t="s">
        <v>13054</v>
      </c>
      <c r="Y234" s="284" t="s">
        <v>13131</v>
      </c>
      <c r="Z234" s="284" t="s">
        <v>13133</v>
      </c>
      <c r="AA234" s="284" t="s">
        <v>13135</v>
      </c>
      <c r="AB234" s="284" t="s">
        <v>13104</v>
      </c>
      <c r="AC234" s="284" t="s">
        <v>13037</v>
      </c>
      <c r="AD234" s="284" t="s">
        <v>13203</v>
      </c>
      <c r="AE234" s="284" t="s">
        <v>13058</v>
      </c>
      <c r="AF234" s="284" t="s">
        <v>13014</v>
      </c>
      <c r="AG234" s="284" t="s">
        <v>14239</v>
      </c>
      <c r="AH234" s="284" t="s">
        <v>13207</v>
      </c>
      <c r="AI234" s="284"/>
      <c r="AJ234" s="284"/>
      <c r="AK234" s="284"/>
      <c r="AL234" s="284"/>
      <c r="AM234" s="284"/>
      <c r="AN234" s="284"/>
      <c r="AO234" s="284"/>
      <c r="AP234" s="284"/>
      <c r="AQ234" s="284"/>
      <c r="AR234" s="284"/>
      <c r="AS234" s="284"/>
      <c r="AT234" s="284"/>
      <c r="AU234" s="284"/>
      <c r="AV234" s="284"/>
      <c r="AW234" s="284"/>
      <c r="AX234" s="284"/>
      <c r="AY234" s="284"/>
      <c r="AZ234" s="284"/>
      <c r="BA234" s="284"/>
      <c r="BB234" s="284"/>
      <c r="BC234" s="284"/>
      <c r="BD234" s="284"/>
      <c r="BE234" s="284"/>
      <c r="BF234" s="284"/>
      <c r="BG234" s="284"/>
      <c r="BH234" s="284"/>
      <c r="BI234" s="284"/>
      <c r="BJ234" s="284"/>
      <c r="BK234" s="284"/>
      <c r="BL234" s="284"/>
      <c r="BM234" s="284"/>
      <c r="BN234" s="284"/>
      <c r="BO234" s="284"/>
      <c r="BP234" s="284"/>
      <c r="BQ234" s="284"/>
      <c r="BR234" s="284"/>
      <c r="BS234" s="284"/>
      <c r="BT234" s="284"/>
      <c r="BU234" s="284"/>
      <c r="BV234" s="284"/>
      <c r="BW234" s="284"/>
      <c r="BX234" s="284"/>
      <c r="BY234" s="284"/>
      <c r="BZ234" s="284"/>
      <c r="CA234" s="284"/>
      <c r="CB234" s="284"/>
      <c r="CC234" s="284"/>
      <c r="CD234" s="284"/>
      <c r="CE234" s="284"/>
      <c r="CF234" s="284"/>
    </row>
    <row r="235" spans="1:85" x14ac:dyDescent="0.35">
      <c r="A235" s="284" t="s">
        <v>9936</v>
      </c>
      <c r="B235" s="284" t="s">
        <v>164</v>
      </c>
      <c r="C235" t="s">
        <v>14240</v>
      </c>
      <c r="D235" s="284" t="s">
        <v>13023</v>
      </c>
      <c r="E235" s="284" t="s">
        <v>13968</v>
      </c>
      <c r="F235" s="284" t="s">
        <v>13289</v>
      </c>
      <c r="G235" s="284" t="s">
        <v>13273</v>
      </c>
      <c r="H235" s="284" t="s">
        <v>13238</v>
      </c>
      <c r="I235" s="284" t="s">
        <v>13085</v>
      </c>
      <c r="J235" s="284" t="s">
        <v>13099</v>
      </c>
      <c r="K235" s="284" t="s">
        <v>13049</v>
      </c>
      <c r="L235" s="284" t="s">
        <v>13027</v>
      </c>
      <c r="M235" s="284" t="s">
        <v>13148</v>
      </c>
      <c r="N235" s="284" t="s">
        <v>13149</v>
      </c>
      <c r="O235" s="284" t="s">
        <v>13003</v>
      </c>
      <c r="P235" s="284" t="s">
        <v>13066</v>
      </c>
      <c r="Q235" s="284" t="s">
        <v>13290</v>
      </c>
      <c r="R235" s="284" t="s">
        <v>13291</v>
      </c>
      <c r="S235" s="284" t="s">
        <v>13412</v>
      </c>
      <c r="T235" s="284" t="s">
        <v>13274</v>
      </c>
      <c r="U235" s="284" t="s">
        <v>13005</v>
      </c>
      <c r="V235" s="284" t="s">
        <v>13249</v>
      </c>
      <c r="W235" s="284" t="s">
        <v>13284</v>
      </c>
      <c r="X235" s="284" t="s">
        <v>13276</v>
      </c>
      <c r="Y235" s="284" t="s">
        <v>13032</v>
      </c>
      <c r="Z235" s="284" t="s">
        <v>13033</v>
      </c>
      <c r="AA235" s="284" t="s">
        <v>13034</v>
      </c>
      <c r="AB235" s="284" t="s">
        <v>13036</v>
      </c>
      <c r="AC235" s="284" t="s">
        <v>13039</v>
      </c>
      <c r="AD235" s="284" t="s">
        <v>13009</v>
      </c>
      <c r="AE235" s="284" t="s">
        <v>13041</v>
      </c>
      <c r="AF235" s="284" t="s">
        <v>14241</v>
      </c>
      <c r="AG235" s="284" t="s">
        <v>13285</v>
      </c>
      <c r="AH235" s="284" t="s">
        <v>13014</v>
      </c>
      <c r="AI235" s="284" t="s">
        <v>13042</v>
      </c>
      <c r="AJ235" s="284" t="s">
        <v>13286</v>
      </c>
      <c r="AK235" s="284"/>
      <c r="AL235" s="284"/>
      <c r="AM235" s="284"/>
      <c r="AN235" s="284"/>
      <c r="AO235" s="284"/>
      <c r="AP235" s="284"/>
      <c r="AQ235" s="284"/>
      <c r="AR235" s="284"/>
      <c r="AS235" s="284"/>
      <c r="AT235" s="284"/>
      <c r="AU235" s="284"/>
      <c r="AV235" s="284"/>
      <c r="AW235" s="284"/>
      <c r="AX235" s="284"/>
      <c r="AY235" s="284"/>
      <c r="AZ235" s="284"/>
      <c r="BA235" s="284"/>
      <c r="BB235" s="284"/>
      <c r="BC235" s="284"/>
      <c r="BD235" s="284"/>
      <c r="BE235" s="284"/>
      <c r="BF235" s="284"/>
      <c r="BG235" s="284"/>
      <c r="BH235" s="284"/>
      <c r="BI235" s="284"/>
      <c r="BJ235" s="284"/>
      <c r="BK235" s="284"/>
      <c r="BL235" s="284"/>
      <c r="BM235" s="284"/>
      <c r="BN235" s="284"/>
      <c r="BO235" s="284"/>
      <c r="BP235" s="284"/>
      <c r="BQ235" s="284"/>
      <c r="BR235" s="284"/>
      <c r="BS235" s="284"/>
      <c r="BT235" s="284"/>
      <c r="BU235" s="284"/>
      <c r="BV235" s="284"/>
      <c r="BW235" s="284"/>
      <c r="BX235" s="284"/>
      <c r="BY235" s="284"/>
      <c r="BZ235" s="284"/>
      <c r="CA235" s="284"/>
      <c r="CB235" s="284"/>
      <c r="CC235" s="284"/>
      <c r="CD235" s="284"/>
      <c r="CE235" s="284"/>
      <c r="CF235" s="284"/>
      <c r="CG235" s="284"/>
    </row>
    <row r="236" spans="1:85" x14ac:dyDescent="0.35">
      <c r="A236" s="284" t="s">
        <v>435</v>
      </c>
      <c r="B236" s="284" t="s">
        <v>165</v>
      </c>
      <c r="C236" t="s">
        <v>13072</v>
      </c>
      <c r="D236" s="284" t="s">
        <v>13023</v>
      </c>
      <c r="E236" s="284" t="s">
        <v>13113</v>
      </c>
      <c r="F236" s="284" t="s">
        <v>13546</v>
      </c>
      <c r="G236" s="284" t="s">
        <v>13547</v>
      </c>
      <c r="H236" s="284" t="s">
        <v>13594</v>
      </c>
      <c r="I236" s="284" t="s">
        <v>13595</v>
      </c>
      <c r="J236" s="284" t="s">
        <v>13273</v>
      </c>
      <c r="K236" s="284" t="s">
        <v>13238</v>
      </c>
      <c r="L236" s="284" t="s">
        <v>13119</v>
      </c>
      <c r="M236" s="284" t="s">
        <v>13001</v>
      </c>
      <c r="N236" s="284" t="s">
        <v>13554</v>
      </c>
      <c r="O236" s="284" t="s">
        <v>13028</v>
      </c>
      <c r="P236" s="284" t="s">
        <v>13002</v>
      </c>
      <c r="Q236" s="284" t="s">
        <v>13003</v>
      </c>
      <c r="R236" s="284" t="s">
        <v>13557</v>
      </c>
      <c r="S236" s="284" t="s">
        <v>13558</v>
      </c>
      <c r="T236" s="284" t="s">
        <v>13596</v>
      </c>
      <c r="U236" s="284" t="s">
        <v>13559</v>
      </c>
      <c r="V236" s="284" t="s">
        <v>13033</v>
      </c>
      <c r="W236" s="284" t="s">
        <v>13560</v>
      </c>
      <c r="X236" s="284" t="s">
        <v>13042</v>
      </c>
      <c r="Y236" s="284" t="s">
        <v>13096</v>
      </c>
      <c r="Z236" s="284" t="s">
        <v>13154</v>
      </c>
      <c r="AA236" s="284"/>
      <c r="AB236" s="284"/>
      <c r="AC236" s="284"/>
      <c r="AD236" s="284"/>
      <c r="AE236" s="284"/>
      <c r="AF236" s="284"/>
      <c r="AG236" s="284"/>
      <c r="AH236" s="284"/>
      <c r="AI236" s="284"/>
      <c r="AJ236" s="284"/>
      <c r="AK236" s="284"/>
      <c r="AL236" s="284"/>
      <c r="AM236" s="284"/>
      <c r="AN236" s="284"/>
      <c r="AO236" s="284"/>
      <c r="AP236" s="284"/>
      <c r="AQ236" s="284"/>
      <c r="AR236" s="284"/>
      <c r="AS236" s="284"/>
      <c r="AT236" s="284"/>
      <c r="AU236" s="284"/>
      <c r="AV236" s="284"/>
      <c r="AW236" s="284"/>
      <c r="AX236" s="284"/>
      <c r="AY236" s="284"/>
      <c r="AZ236" s="284"/>
      <c r="BA236" s="284"/>
      <c r="BB236" s="284"/>
      <c r="BC236" s="284"/>
      <c r="BD236" s="284"/>
      <c r="BE236" s="284"/>
      <c r="BF236" s="284"/>
      <c r="BG236" s="284"/>
      <c r="BH236" s="284"/>
      <c r="BI236" s="284"/>
      <c r="BJ236" s="284"/>
      <c r="BK236" s="284"/>
      <c r="BL236" s="284"/>
      <c r="BM236" s="284"/>
      <c r="BN236" s="284"/>
      <c r="BO236" s="284"/>
      <c r="BP236" s="284"/>
      <c r="BQ236" s="284"/>
      <c r="BR236" s="284"/>
      <c r="BS236" s="284"/>
      <c r="BT236" s="284"/>
      <c r="BU236" s="284"/>
      <c r="BV236" s="284"/>
      <c r="BW236" s="284"/>
      <c r="BX236" s="284"/>
      <c r="BY236" s="284"/>
      <c r="BZ236" s="284"/>
      <c r="CA236" s="284"/>
      <c r="CB236" s="284"/>
      <c r="CC236" s="284"/>
      <c r="CD236" s="284"/>
      <c r="CE236" s="284"/>
      <c r="CF236" s="284"/>
      <c r="CG236" s="284"/>
    </row>
    <row r="237" spans="1:85" x14ac:dyDescent="0.35">
      <c r="A237" s="284" t="s">
        <v>1141</v>
      </c>
      <c r="B237" s="284" t="s">
        <v>166</v>
      </c>
      <c r="C237" s="284" t="s">
        <v>14242</v>
      </c>
      <c r="D237" s="284" t="s">
        <v>13020</v>
      </c>
      <c r="E237" s="284" t="s">
        <v>13023</v>
      </c>
      <c r="F237" s="284" t="s">
        <v>13446</v>
      </c>
      <c r="G237" s="284" t="s">
        <v>13115</v>
      </c>
      <c r="H237" s="284" t="s">
        <v>14020</v>
      </c>
      <c r="I237" s="284" t="s">
        <v>14021</v>
      </c>
      <c r="J237" s="284" t="s">
        <v>13000</v>
      </c>
      <c r="K237" s="284" t="s">
        <v>14022</v>
      </c>
      <c r="L237" s="284" t="s">
        <v>13027</v>
      </c>
      <c r="M237" s="284" t="s">
        <v>14243</v>
      </c>
      <c r="N237" s="284" t="s">
        <v>13028</v>
      </c>
      <c r="O237" s="284" t="s">
        <v>13160</v>
      </c>
      <c r="P237" s="284" t="s">
        <v>13484</v>
      </c>
      <c r="Q237" s="284" t="s">
        <v>13003</v>
      </c>
      <c r="R237" s="284" t="s">
        <v>13066</v>
      </c>
      <c r="S237" s="284" t="s">
        <v>13412</v>
      </c>
      <c r="T237" s="284" t="s">
        <v>13248</v>
      </c>
      <c r="U237" s="284" t="s">
        <v>13162</v>
      </c>
      <c r="V237" s="284" t="s">
        <v>13034</v>
      </c>
      <c r="W237" s="284" t="s">
        <v>13078</v>
      </c>
      <c r="X237" s="284" t="s">
        <v>13091</v>
      </c>
      <c r="Y237" s="284" t="s">
        <v>13009</v>
      </c>
      <c r="Z237" s="284" t="s">
        <v>14244</v>
      </c>
      <c r="AA237" s="284" t="s">
        <v>14245</v>
      </c>
      <c r="AB237" s="284" t="s">
        <v>13220</v>
      </c>
      <c r="AC237" s="284" t="s">
        <v>13042</v>
      </c>
      <c r="AD237" s="284" t="s">
        <v>13451</v>
      </c>
      <c r="AE237" s="284" t="s">
        <v>13016</v>
      </c>
      <c r="AF237" s="284" t="s">
        <v>14246</v>
      </c>
      <c r="AG237" s="284" t="s">
        <v>13286</v>
      </c>
      <c r="AH237" s="284"/>
      <c r="AI237" s="284"/>
      <c r="AJ237" s="284"/>
      <c r="AK237" s="284"/>
      <c r="AL237" s="284"/>
      <c r="AM237" s="284"/>
      <c r="AN237" s="284"/>
      <c r="AO237" s="284"/>
      <c r="AP237" s="284"/>
      <c r="AQ237" s="284"/>
      <c r="AR237" s="284"/>
      <c r="AS237" s="284"/>
      <c r="AT237" s="284"/>
      <c r="AU237" s="284"/>
      <c r="AV237" s="284"/>
      <c r="AW237" s="284"/>
      <c r="AX237" s="284"/>
      <c r="AY237" s="284"/>
      <c r="AZ237" s="284"/>
      <c r="BA237" s="284"/>
      <c r="BB237" s="284"/>
      <c r="BC237" s="284"/>
      <c r="BD237" s="284"/>
      <c r="BE237" s="284"/>
      <c r="BF237" s="284"/>
      <c r="BG237" s="284"/>
      <c r="BH237" s="284"/>
      <c r="BI237" s="284"/>
      <c r="BJ237" s="284"/>
      <c r="BK237" s="284"/>
      <c r="BL237" s="284"/>
      <c r="BM237" s="284"/>
      <c r="BN237" s="284"/>
      <c r="BO237" s="284"/>
      <c r="BP237" s="284"/>
      <c r="BQ237" s="284"/>
      <c r="BR237" s="284"/>
      <c r="BS237" s="284"/>
      <c r="BT237" s="284"/>
      <c r="BU237" s="284"/>
      <c r="BV237" s="284"/>
      <c r="BW237" s="284"/>
      <c r="BX237" s="284"/>
      <c r="BY237" s="284"/>
      <c r="BZ237" s="284"/>
      <c r="CA237" s="284"/>
      <c r="CB237" s="284"/>
      <c r="CC237" s="284"/>
      <c r="CD237" s="284"/>
      <c r="CE237" s="284"/>
      <c r="CF237" s="284"/>
    </row>
    <row r="238" spans="1:85" x14ac:dyDescent="0.35">
      <c r="A238" s="284" t="s">
        <v>8820</v>
      </c>
      <c r="B238" s="284" t="s">
        <v>167</v>
      </c>
      <c r="C238" t="s">
        <v>14247</v>
      </c>
      <c r="D238" s="284" t="s">
        <v>13021</v>
      </c>
      <c r="E238" s="284" t="s">
        <v>13065</v>
      </c>
      <c r="F238" s="284" t="s">
        <v>13477</v>
      </c>
      <c r="G238" s="284" t="s">
        <v>13235</v>
      </c>
      <c r="H238" s="284" t="s">
        <v>13237</v>
      </c>
      <c r="I238" s="284" t="s">
        <v>13238</v>
      </c>
      <c r="J238" s="284" t="s">
        <v>14248</v>
      </c>
      <c r="K238" s="284" t="s">
        <v>13027</v>
      </c>
      <c r="L238" s="284" t="s">
        <v>13028</v>
      </c>
      <c r="M238" s="284" t="s">
        <v>13003</v>
      </c>
      <c r="N238" s="284" t="s">
        <v>13066</v>
      </c>
      <c r="O238" s="284" t="s">
        <v>13178</v>
      </c>
      <c r="P238" s="284" t="s">
        <v>13076</v>
      </c>
      <c r="Q238" s="284" t="s">
        <v>13005</v>
      </c>
      <c r="R238" s="284" t="s">
        <v>13248</v>
      </c>
      <c r="S238" s="284" t="s">
        <v>14109</v>
      </c>
      <c r="T238" s="284" t="s">
        <v>13008</v>
      </c>
      <c r="U238" s="284" t="s">
        <v>13077</v>
      </c>
      <c r="V238" s="284" t="s">
        <v>13035</v>
      </c>
      <c r="W238" s="284" t="s">
        <v>13038</v>
      </c>
      <c r="X238" s="284" t="s">
        <v>13039</v>
      </c>
      <c r="Y238" s="284" t="s">
        <v>14249</v>
      </c>
      <c r="Z238" s="284" t="s">
        <v>13091</v>
      </c>
      <c r="AA238" s="284" t="s">
        <v>13009</v>
      </c>
      <c r="AB238" s="284" t="s">
        <v>13041</v>
      </c>
      <c r="AC238" s="284" t="s">
        <v>13257</v>
      </c>
      <c r="AD238" s="284" t="s">
        <v>13258</v>
      </c>
      <c r="AE238" s="284" t="s">
        <v>13012</v>
      </c>
      <c r="AF238" s="284" t="s">
        <v>13267</v>
      </c>
      <c r="AG238" s="284" t="s">
        <v>14057</v>
      </c>
      <c r="AH238" s="284" t="s">
        <v>14250</v>
      </c>
      <c r="AI238" s="284"/>
      <c r="AJ238" s="284"/>
      <c r="AK238" s="284"/>
      <c r="AL238" s="284"/>
      <c r="AM238" s="284"/>
      <c r="AN238" s="284"/>
      <c r="AO238" s="284"/>
      <c r="AP238" s="284"/>
      <c r="AQ238" s="284"/>
      <c r="AR238" s="284"/>
      <c r="AS238" s="284"/>
      <c r="AT238" s="284"/>
      <c r="AU238" s="284"/>
      <c r="AV238" s="284"/>
      <c r="AW238" s="284"/>
      <c r="AX238" s="284"/>
      <c r="AY238" s="284"/>
      <c r="AZ238" s="284"/>
      <c r="BA238" s="284"/>
      <c r="BB238" s="284"/>
      <c r="BC238" s="284"/>
      <c r="BD238" s="284"/>
      <c r="BE238" s="284"/>
      <c r="BF238" s="284"/>
      <c r="BG238" s="284"/>
      <c r="BH238" s="284"/>
      <c r="BI238" s="284"/>
      <c r="BJ238" s="284"/>
      <c r="BK238" s="284"/>
      <c r="BL238" s="284"/>
      <c r="BM238" s="284"/>
      <c r="BN238" s="284"/>
      <c r="BO238" s="284"/>
      <c r="BP238" s="284"/>
      <c r="BQ238" s="284"/>
      <c r="BR238" s="284"/>
      <c r="BS238" s="284"/>
      <c r="BT238" s="284"/>
      <c r="BU238" s="284"/>
      <c r="BV238" s="284"/>
      <c r="BW238" s="284"/>
      <c r="BX238" s="284"/>
      <c r="BY238" s="284"/>
      <c r="BZ238" s="284"/>
      <c r="CA238" s="284"/>
      <c r="CB238" s="284"/>
      <c r="CC238" s="284"/>
      <c r="CD238" s="284"/>
      <c r="CE238" s="284"/>
      <c r="CF238" s="284"/>
      <c r="CG238" s="284"/>
    </row>
    <row r="239" spans="1:85" x14ac:dyDescent="0.35">
      <c r="A239" s="284" t="s">
        <v>4657</v>
      </c>
      <c r="B239" s="284" t="s">
        <v>168</v>
      </c>
      <c r="C239" t="s">
        <v>14251</v>
      </c>
      <c r="D239" s="284" t="s">
        <v>13021</v>
      </c>
      <c r="E239" s="284" t="s">
        <v>13023</v>
      </c>
      <c r="F239" s="284" t="s">
        <v>13048</v>
      </c>
      <c r="G239" s="284" t="s">
        <v>13082</v>
      </c>
      <c r="H239" s="284" t="s">
        <v>13114</v>
      </c>
      <c r="I239" s="284" t="s">
        <v>13115</v>
      </c>
      <c r="J239" s="284" t="s">
        <v>13235</v>
      </c>
      <c r="K239" s="284" t="s">
        <v>13474</v>
      </c>
      <c r="L239" s="284" t="s">
        <v>13119</v>
      </c>
      <c r="M239" s="284" t="s">
        <v>13187</v>
      </c>
      <c r="N239" s="284" t="s">
        <v>13074</v>
      </c>
      <c r="O239" s="284" t="s">
        <v>13168</v>
      </c>
      <c r="P239" s="284" t="s">
        <v>14252</v>
      </c>
      <c r="Q239" s="284" t="s">
        <v>13475</v>
      </c>
      <c r="R239" s="284" t="s">
        <v>13243</v>
      </c>
      <c r="S239" s="284" t="s">
        <v>13028</v>
      </c>
      <c r="T239" s="284" t="s">
        <v>13160</v>
      </c>
      <c r="U239" s="284" t="s">
        <v>13002</v>
      </c>
      <c r="V239" s="284" t="s">
        <v>13003</v>
      </c>
      <c r="W239" s="284" t="s">
        <v>13190</v>
      </c>
      <c r="X239" s="284" t="s">
        <v>13191</v>
      </c>
      <c r="Y239" s="284" t="s">
        <v>13033</v>
      </c>
      <c r="Z239" s="284" t="s">
        <v>13034</v>
      </c>
      <c r="AA239" s="284" t="s">
        <v>13035</v>
      </c>
      <c r="AB239" s="284" t="s">
        <v>13394</v>
      </c>
      <c r="AC239" s="284" t="s">
        <v>13038</v>
      </c>
      <c r="AD239" s="284" t="s">
        <v>13039</v>
      </c>
      <c r="AE239" s="284" t="s">
        <v>13078</v>
      </c>
      <c r="AF239" s="284" t="s">
        <v>13091</v>
      </c>
      <c r="AG239" s="284" t="s">
        <v>13009</v>
      </c>
      <c r="AH239" s="284" t="s">
        <v>13058</v>
      </c>
      <c r="AI239" s="284" t="s">
        <v>13041</v>
      </c>
      <c r="AJ239" s="284" t="s">
        <v>13012</v>
      </c>
      <c r="AK239" s="284" t="s">
        <v>13491</v>
      </c>
      <c r="AL239" s="284" t="s">
        <v>13014</v>
      </c>
      <c r="AM239" s="284" t="s">
        <v>14253</v>
      </c>
      <c r="AN239" s="284" t="s">
        <v>13042</v>
      </c>
      <c r="AO239" s="284" t="s">
        <v>13222</v>
      </c>
      <c r="AP239" s="284" t="s">
        <v>13544</v>
      </c>
      <c r="AQ239" s="284" t="s">
        <v>13016</v>
      </c>
      <c r="AR239" s="284"/>
      <c r="AS239" s="284"/>
      <c r="AT239" s="284"/>
      <c r="AU239" s="284"/>
      <c r="AV239" s="284"/>
      <c r="AW239" s="284"/>
      <c r="AX239" s="284"/>
      <c r="AY239" s="284"/>
      <c r="AZ239" s="284"/>
      <c r="BA239" s="284"/>
      <c r="BB239" s="284"/>
      <c r="BC239" s="284"/>
      <c r="BD239" s="284"/>
      <c r="BE239" s="284"/>
      <c r="BF239" s="284"/>
      <c r="BG239" s="284"/>
      <c r="BH239" s="284"/>
      <c r="BI239" s="284"/>
      <c r="BJ239" s="284"/>
      <c r="BK239" s="284"/>
      <c r="BL239" s="284"/>
      <c r="BM239" s="284"/>
      <c r="BN239" s="284"/>
      <c r="BO239" s="284"/>
      <c r="BP239" s="284"/>
      <c r="BQ239" s="284"/>
      <c r="BR239" s="284"/>
      <c r="BS239" s="284"/>
      <c r="BT239" s="284"/>
      <c r="BU239" s="284"/>
      <c r="BV239" s="284"/>
      <c r="BW239" s="284"/>
      <c r="BX239" s="284"/>
      <c r="BY239" s="284"/>
      <c r="BZ239" s="284"/>
      <c r="CA239" s="284"/>
      <c r="CB239" s="284"/>
      <c r="CC239" s="284"/>
      <c r="CD239" s="284"/>
      <c r="CE239" s="284"/>
      <c r="CF239" s="284"/>
      <c r="CG239" s="284"/>
    </row>
    <row r="240" spans="1:85" x14ac:dyDescent="0.35">
      <c r="A240" s="284" t="s">
        <v>10602</v>
      </c>
      <c r="B240" s="284" t="s">
        <v>169</v>
      </c>
      <c r="C240" t="s">
        <v>14254</v>
      </c>
      <c r="D240" s="284" t="s">
        <v>13072</v>
      </c>
      <c r="E240" s="284" t="s">
        <v>14255</v>
      </c>
      <c r="F240" s="284" t="s">
        <v>13023</v>
      </c>
      <c r="G240" s="284" t="s">
        <v>14256</v>
      </c>
      <c r="H240" s="284" t="s">
        <v>13082</v>
      </c>
      <c r="I240" s="284" t="s">
        <v>13546</v>
      </c>
      <c r="J240" s="284" t="s">
        <v>13547</v>
      </c>
      <c r="K240" s="284" t="s">
        <v>13065</v>
      </c>
      <c r="L240" s="284" t="s">
        <v>13549</v>
      </c>
      <c r="M240" s="284" t="s">
        <v>13551</v>
      </c>
      <c r="N240" s="284" t="s">
        <v>13049</v>
      </c>
      <c r="O240" s="284" t="s">
        <v>13553</v>
      </c>
      <c r="P240" s="284" t="s">
        <v>13027</v>
      </c>
      <c r="Q240" s="284" t="s">
        <v>13554</v>
      </c>
      <c r="R240" s="284" t="s">
        <v>13028</v>
      </c>
      <c r="S240" s="284" t="s">
        <v>13002</v>
      </c>
      <c r="T240" s="284" t="s">
        <v>13003</v>
      </c>
      <c r="U240" s="284" t="s">
        <v>13066</v>
      </c>
      <c r="V240" s="284" t="s">
        <v>14257</v>
      </c>
      <c r="W240" s="284" t="s">
        <v>13557</v>
      </c>
      <c r="X240" s="284" t="s">
        <v>13559</v>
      </c>
      <c r="Y240" s="284" t="s">
        <v>13679</v>
      </c>
      <c r="Z240" s="284" t="s">
        <v>14258</v>
      </c>
      <c r="AA240" s="284" t="s">
        <v>13033</v>
      </c>
      <c r="AB240" s="284" t="s">
        <v>13034</v>
      </c>
      <c r="AC240" s="284" t="s">
        <v>13560</v>
      </c>
      <c r="AD240" s="284" t="s">
        <v>13037</v>
      </c>
      <c r="AE240" s="284" t="s">
        <v>13078</v>
      </c>
      <c r="AF240" s="284" t="s">
        <v>13009</v>
      </c>
      <c r="AG240" s="284" t="s">
        <v>14259</v>
      </c>
      <c r="AH240" s="284" t="s">
        <v>13107</v>
      </c>
      <c r="AI240" s="284" t="s">
        <v>13285</v>
      </c>
      <c r="AJ240" s="284" t="s">
        <v>13042</v>
      </c>
      <c r="AK240" s="284" t="s">
        <v>13096</v>
      </c>
      <c r="AL240" s="284" t="s">
        <v>14260</v>
      </c>
      <c r="AM240" s="284" t="s">
        <v>14261</v>
      </c>
      <c r="AN240" s="284"/>
      <c r="AO240" s="284"/>
      <c r="AP240" s="284"/>
      <c r="AQ240" s="284"/>
      <c r="AR240" s="284"/>
      <c r="AS240" s="284"/>
      <c r="AT240" s="284"/>
      <c r="AU240" s="284"/>
      <c r="AV240" s="284"/>
      <c r="AW240" s="284"/>
      <c r="AX240" s="284"/>
      <c r="AY240" s="284"/>
      <c r="AZ240" s="284"/>
      <c r="BA240" s="284"/>
      <c r="BB240" s="284"/>
      <c r="BC240" s="284"/>
      <c r="BD240" s="284"/>
      <c r="BE240" s="284"/>
      <c r="BF240" s="284"/>
      <c r="BG240" s="284"/>
      <c r="BH240" s="284"/>
      <c r="BI240" s="284"/>
      <c r="BJ240" s="284"/>
      <c r="BK240" s="284"/>
      <c r="BL240" s="284"/>
      <c r="BM240" s="284"/>
      <c r="BN240" s="284"/>
      <c r="BO240" s="284"/>
      <c r="BP240" s="284"/>
      <c r="BQ240" s="284"/>
      <c r="BR240" s="284"/>
      <c r="BS240" s="284"/>
      <c r="BT240" s="284"/>
      <c r="BU240" s="284"/>
      <c r="BV240" s="284"/>
      <c r="BW240" s="284"/>
      <c r="BX240" s="284"/>
      <c r="BY240" s="284"/>
      <c r="BZ240" s="284"/>
      <c r="CA240" s="284"/>
      <c r="CB240" s="284"/>
      <c r="CC240" s="284"/>
      <c r="CD240" s="284"/>
      <c r="CE240" s="284"/>
      <c r="CF240" s="284"/>
      <c r="CG240" s="284"/>
    </row>
    <row r="241" spans="1:85" x14ac:dyDescent="0.35">
      <c r="A241" s="284" t="s">
        <v>8538</v>
      </c>
      <c r="B241" s="284" t="s">
        <v>170</v>
      </c>
      <c r="C241" t="s">
        <v>13308</v>
      </c>
      <c r="D241" s="284" t="s">
        <v>13166</v>
      </c>
      <c r="E241" s="284" t="s">
        <v>13072</v>
      </c>
      <c r="F241" s="284" t="s">
        <v>13021</v>
      </c>
      <c r="G241" s="284" t="s">
        <v>13023</v>
      </c>
      <c r="H241" s="284" t="s">
        <v>13048</v>
      </c>
      <c r="I241" s="284" t="s">
        <v>13065</v>
      </c>
      <c r="J241" s="284" t="s">
        <v>13000</v>
      </c>
      <c r="K241" s="284" t="s">
        <v>13049</v>
      </c>
      <c r="L241" s="284" t="s">
        <v>13028</v>
      </c>
      <c r="M241" s="284" t="s">
        <v>13002</v>
      </c>
      <c r="N241" s="284" t="s">
        <v>13066</v>
      </c>
      <c r="O241" s="284" t="s">
        <v>13076</v>
      </c>
      <c r="P241" s="284" t="s">
        <v>13006</v>
      </c>
      <c r="Q241" s="284" t="s">
        <v>13568</v>
      </c>
      <c r="R241" s="284" t="s">
        <v>13037</v>
      </c>
      <c r="S241" s="284" t="s">
        <v>13011</v>
      </c>
      <c r="T241" s="284" t="s">
        <v>13058</v>
      </c>
      <c r="U241" s="284" t="s">
        <v>13012</v>
      </c>
      <c r="V241" s="284" t="s">
        <v>13094</v>
      </c>
      <c r="W241" s="284" t="s">
        <v>13570</v>
      </c>
      <c r="X241" s="284" t="s">
        <v>13015</v>
      </c>
      <c r="Y241" s="284" t="s">
        <v>13156</v>
      </c>
      <c r="Z241" s="284" t="s">
        <v>13016</v>
      </c>
      <c r="AA241" s="284"/>
      <c r="AB241" s="284"/>
      <c r="AC241" s="284"/>
      <c r="AD241" s="284"/>
      <c r="AE241" s="284"/>
      <c r="AF241" s="284"/>
      <c r="AG241" s="284"/>
      <c r="AH241" s="284"/>
      <c r="AI241" s="284"/>
      <c r="AJ241" s="284"/>
      <c r="AK241" s="284"/>
      <c r="AL241" s="284"/>
      <c r="AM241" s="284"/>
      <c r="AN241" s="284"/>
      <c r="AO241" s="284"/>
      <c r="AP241" s="284"/>
      <c r="AQ241" s="284"/>
      <c r="AR241" s="284"/>
      <c r="AS241" s="284"/>
      <c r="AT241" s="284"/>
      <c r="AU241" s="284"/>
      <c r="AV241" s="284"/>
      <c r="AW241" s="284"/>
      <c r="AX241" s="284"/>
      <c r="AY241" s="284"/>
      <c r="AZ241" s="284"/>
      <c r="BA241" s="284"/>
      <c r="BB241" s="284"/>
      <c r="BC241" s="284"/>
      <c r="BD241" s="284"/>
      <c r="BE241" s="284"/>
      <c r="BF241" s="284"/>
      <c r="BG241" s="284"/>
      <c r="BH241" s="284"/>
      <c r="BI241" s="284"/>
      <c r="BJ241" s="284"/>
      <c r="BK241" s="284"/>
      <c r="BL241" s="284"/>
      <c r="BM241" s="284"/>
      <c r="BN241" s="284"/>
      <c r="BO241" s="284"/>
      <c r="BP241" s="284"/>
      <c r="BQ241" s="284"/>
      <c r="BR241" s="284"/>
      <c r="BS241" s="284"/>
      <c r="BT241" s="284"/>
      <c r="BU241" s="284"/>
      <c r="BV241" s="284"/>
      <c r="BW241" s="284"/>
      <c r="BX241" s="284"/>
      <c r="BY241" s="284"/>
      <c r="BZ241" s="284"/>
      <c r="CA241" s="284"/>
      <c r="CB241" s="284"/>
      <c r="CC241" s="284"/>
      <c r="CD241" s="284"/>
      <c r="CE241" s="284"/>
      <c r="CF241" s="284"/>
      <c r="CG241" s="284"/>
    </row>
    <row r="242" spans="1:85" x14ac:dyDescent="0.35">
      <c r="A242" s="284" t="s">
        <v>12364</v>
      </c>
      <c r="B242" s="284" t="s">
        <v>171</v>
      </c>
      <c r="C242" t="s">
        <v>14262</v>
      </c>
      <c r="D242" s="284" t="s">
        <v>13166</v>
      </c>
      <c r="E242" s="284" t="s">
        <v>13046</v>
      </c>
      <c r="F242" s="284" t="s">
        <v>13021</v>
      </c>
      <c r="G242" s="284" t="s">
        <v>13023</v>
      </c>
      <c r="H242" s="284" t="s">
        <v>13082</v>
      </c>
      <c r="I242" s="284" t="s">
        <v>13000</v>
      </c>
      <c r="J242" s="284" t="s">
        <v>13098</v>
      </c>
      <c r="K242" s="284" t="s">
        <v>13383</v>
      </c>
      <c r="L242" s="284" t="s">
        <v>13049</v>
      </c>
      <c r="M242" s="284" t="s">
        <v>13027</v>
      </c>
      <c r="N242" s="284" t="s">
        <v>13002</v>
      </c>
      <c r="O242" s="284" t="s">
        <v>13003</v>
      </c>
      <c r="P242" s="284" t="s">
        <v>14263</v>
      </c>
      <c r="Q242" s="284" t="s">
        <v>13005</v>
      </c>
      <c r="R242" s="284" t="s">
        <v>13663</v>
      </c>
      <c r="S242" s="284" t="s">
        <v>13006</v>
      </c>
      <c r="T242" s="284" t="s">
        <v>13827</v>
      </c>
      <c r="U242" s="284" t="s">
        <v>13007</v>
      </c>
      <c r="V242" s="284" t="s">
        <v>13103</v>
      </c>
      <c r="W242" s="284" t="s">
        <v>13054</v>
      </c>
      <c r="X242" s="284" t="s">
        <v>13636</v>
      </c>
      <c r="Y242" s="284" t="s">
        <v>13008</v>
      </c>
      <c r="Z242" s="284" t="s">
        <v>13077</v>
      </c>
      <c r="AA242" s="284" t="s">
        <v>13104</v>
      </c>
      <c r="AB242" s="284" t="s">
        <v>13033</v>
      </c>
      <c r="AC242" s="284" t="s">
        <v>13036</v>
      </c>
      <c r="AD242" s="284" t="s">
        <v>13569</v>
      </c>
      <c r="AE242" s="284" t="s">
        <v>13037</v>
      </c>
      <c r="AF242" s="284" t="s">
        <v>13038</v>
      </c>
      <c r="AG242" s="284" t="s">
        <v>13039</v>
      </c>
      <c r="AH242" s="284" t="s">
        <v>13011</v>
      </c>
      <c r="AI242" s="284" t="s">
        <v>13579</v>
      </c>
      <c r="AJ242" s="284" t="s">
        <v>13041</v>
      </c>
      <c r="AK242" s="284" t="s">
        <v>13306</v>
      </c>
      <c r="AL242" s="284" t="s">
        <v>14264</v>
      </c>
      <c r="AM242" s="284" t="s">
        <v>13638</v>
      </c>
      <c r="AN242" s="284" t="s">
        <v>13014</v>
      </c>
      <c r="AO242" s="284" t="s">
        <v>13042</v>
      </c>
      <c r="AP242" s="284" t="s">
        <v>13570</v>
      </c>
      <c r="AQ242" s="284" t="s">
        <v>13062</v>
      </c>
      <c r="AR242" s="284" t="s">
        <v>13016</v>
      </c>
      <c r="AS242" s="284"/>
      <c r="AT242" s="284"/>
      <c r="AU242" s="284"/>
      <c r="AV242" s="284"/>
      <c r="AW242" s="284"/>
      <c r="AX242" s="284"/>
      <c r="AY242" s="284"/>
      <c r="AZ242" s="284"/>
      <c r="BA242" s="284"/>
      <c r="BB242" s="284"/>
      <c r="BC242" s="284"/>
      <c r="BD242" s="284"/>
      <c r="BE242" s="284"/>
      <c r="BF242" s="284"/>
      <c r="BG242" s="284"/>
      <c r="BH242" s="284"/>
      <c r="BI242" s="284"/>
      <c r="BJ242" s="284"/>
      <c r="BK242" s="284"/>
      <c r="BL242" s="284"/>
      <c r="BM242" s="284"/>
      <c r="BN242" s="284"/>
      <c r="BO242" s="284"/>
      <c r="BP242" s="284"/>
      <c r="BQ242" s="284"/>
      <c r="BR242" s="284"/>
      <c r="BS242" s="284"/>
      <c r="BT242" s="284"/>
      <c r="BU242" s="284"/>
      <c r="BV242" s="284"/>
      <c r="BW242" s="284"/>
      <c r="BX242" s="284"/>
      <c r="BY242" s="284"/>
      <c r="BZ242" s="284"/>
      <c r="CA242" s="284"/>
      <c r="CB242" s="284"/>
      <c r="CC242" s="284"/>
      <c r="CD242" s="284"/>
      <c r="CE242" s="284"/>
      <c r="CF242" s="284"/>
      <c r="CG242" s="284"/>
    </row>
    <row r="243" spans="1:85" x14ac:dyDescent="0.35">
      <c r="A243" s="284" t="s">
        <v>5761</v>
      </c>
      <c r="B243" s="284" t="s">
        <v>172</v>
      </c>
      <c r="C243" t="s">
        <v>13021</v>
      </c>
      <c r="D243" s="284" t="s">
        <v>13023</v>
      </c>
      <c r="E243" s="284" t="s">
        <v>14265</v>
      </c>
      <c r="F243" s="284" t="s">
        <v>13074</v>
      </c>
      <c r="G243" s="284" t="s">
        <v>13075</v>
      </c>
      <c r="H243" s="284" t="s">
        <v>13752</v>
      </c>
      <c r="I243" s="284" t="s">
        <v>13001</v>
      </c>
      <c r="J243" s="284" t="s">
        <v>13603</v>
      </c>
      <c r="K243" s="284" t="s">
        <v>13215</v>
      </c>
      <c r="L243" s="284" t="s">
        <v>13028</v>
      </c>
      <c r="M243" s="284" t="s">
        <v>13003</v>
      </c>
      <c r="N243" s="284" t="s">
        <v>13004</v>
      </c>
      <c r="O243" s="284" t="s">
        <v>13005</v>
      </c>
      <c r="P243" s="284" t="s">
        <v>14266</v>
      </c>
      <c r="Q243" s="284" t="s">
        <v>13029</v>
      </c>
      <c r="R243" s="284" t="s">
        <v>14267</v>
      </c>
      <c r="S243" s="284" t="s">
        <v>13007</v>
      </c>
      <c r="T243" s="284" t="s">
        <v>13340</v>
      </c>
      <c r="U243" s="284" t="s">
        <v>13008</v>
      </c>
      <c r="V243" s="284" t="s">
        <v>13077</v>
      </c>
      <c r="W243" s="284" t="s">
        <v>13033</v>
      </c>
      <c r="X243" s="284" t="s">
        <v>13034</v>
      </c>
      <c r="Y243" s="284" t="s">
        <v>13037</v>
      </c>
      <c r="Z243" s="284" t="s">
        <v>13038</v>
      </c>
      <c r="AA243" s="284" t="s">
        <v>13039</v>
      </c>
      <c r="AB243" s="284" t="s">
        <v>13091</v>
      </c>
      <c r="AC243" s="284" t="s">
        <v>13009</v>
      </c>
      <c r="AD243" s="284" t="s">
        <v>13011</v>
      </c>
      <c r="AE243" s="284" t="s">
        <v>13041</v>
      </c>
      <c r="AF243" s="284" t="s">
        <v>14268</v>
      </c>
      <c r="AG243" s="284" t="s">
        <v>13042</v>
      </c>
      <c r="AH243" s="284" t="s">
        <v>13080</v>
      </c>
      <c r="AI243" s="284"/>
      <c r="AJ243" s="284"/>
      <c r="AK243" s="284"/>
      <c r="AL243" s="284"/>
      <c r="AM243" s="284"/>
      <c r="AN243" s="284"/>
      <c r="AO243" s="284"/>
      <c r="AP243" s="284"/>
      <c r="AQ243" s="284"/>
      <c r="AR243" s="284"/>
      <c r="AS243" s="284"/>
      <c r="AT243" s="284"/>
      <c r="AU243" s="284"/>
      <c r="AV243" s="284"/>
      <c r="AW243" s="284"/>
      <c r="AX243" s="284"/>
      <c r="AY243" s="284"/>
      <c r="AZ243" s="284"/>
      <c r="BA243" s="284"/>
      <c r="BB243" s="284"/>
      <c r="BC243" s="284"/>
      <c r="BD243" s="284"/>
      <c r="BE243" s="284"/>
      <c r="BF243" s="284"/>
      <c r="BG243" s="284"/>
      <c r="BH243" s="284"/>
      <c r="BI243" s="284"/>
      <c r="BJ243" s="284"/>
      <c r="BK243" s="284"/>
      <c r="BL243" s="284"/>
      <c r="BM243" s="284"/>
      <c r="BN243" s="284"/>
      <c r="BO243" s="284"/>
      <c r="BP243" s="284"/>
      <c r="BQ243" s="284"/>
      <c r="BR243" s="284"/>
      <c r="BS243" s="284"/>
      <c r="BT243" s="284"/>
      <c r="BU243" s="284"/>
      <c r="BV243" s="284"/>
      <c r="BW243" s="284"/>
      <c r="BX243" s="284"/>
      <c r="BY243" s="284"/>
      <c r="BZ243" s="284"/>
      <c r="CA243" s="284"/>
      <c r="CB243" s="284"/>
      <c r="CC243" s="284"/>
      <c r="CD243" s="284"/>
      <c r="CE243" s="284"/>
      <c r="CF243" s="284"/>
      <c r="CG243" s="284"/>
    </row>
    <row r="244" spans="1:85" x14ac:dyDescent="0.35">
      <c r="A244" s="284" t="s">
        <v>1434</v>
      </c>
      <c r="B244" s="284" t="s">
        <v>173</v>
      </c>
      <c r="C244" s="284" t="s">
        <v>14269</v>
      </c>
      <c r="D244" s="284" t="s">
        <v>13110</v>
      </c>
      <c r="E244" s="284" t="s">
        <v>13046</v>
      </c>
      <c r="F244" s="284" t="s">
        <v>13021</v>
      </c>
      <c r="G244" s="284" t="s">
        <v>13023</v>
      </c>
      <c r="H244" s="284" t="s">
        <v>13047</v>
      </c>
      <c r="I244" s="284" t="s">
        <v>13048</v>
      </c>
      <c r="J244" s="284" t="s">
        <v>13184</v>
      </c>
      <c r="K244" s="284" t="s">
        <v>13235</v>
      </c>
      <c r="L244" s="284" t="s">
        <v>13474</v>
      </c>
      <c r="M244" s="284" t="s">
        <v>13500</v>
      </c>
      <c r="N244" s="284" t="s">
        <v>13027</v>
      </c>
      <c r="O244" s="284" t="s">
        <v>13243</v>
      </c>
      <c r="P244" s="284" t="s">
        <v>13001</v>
      </c>
      <c r="Q244" s="284" t="s">
        <v>13028</v>
      </c>
      <c r="R244" s="284" t="s">
        <v>13002</v>
      </c>
      <c r="S244" s="284" t="s">
        <v>13003</v>
      </c>
      <c r="T244" s="284" t="s">
        <v>13066</v>
      </c>
      <c r="U244" s="284" t="s">
        <v>13190</v>
      </c>
      <c r="V244" s="284" t="s">
        <v>13005</v>
      </c>
      <c r="W244" s="284" t="s">
        <v>13029</v>
      </c>
      <c r="X244" s="284" t="s">
        <v>13192</v>
      </c>
      <c r="Y244" s="284" t="s">
        <v>13007</v>
      </c>
      <c r="Z244" s="284" t="s">
        <v>13033</v>
      </c>
      <c r="AA244" s="284" t="s">
        <v>13034</v>
      </c>
      <c r="AB244" s="284" t="s">
        <v>13038</v>
      </c>
      <c r="AC244" s="284" t="s">
        <v>13078</v>
      </c>
      <c r="AD244" s="284" t="s">
        <v>13009</v>
      </c>
      <c r="AE244" s="284" t="s">
        <v>13403</v>
      </c>
      <c r="AF244" s="284" t="s">
        <v>13058</v>
      </c>
      <c r="AG244" s="284" t="s">
        <v>13205</v>
      </c>
      <c r="AH244" s="284" t="s">
        <v>13012</v>
      </c>
      <c r="AI244" s="284" t="s">
        <v>13060</v>
      </c>
      <c r="AJ244" s="284" t="s">
        <v>13014</v>
      </c>
      <c r="AK244" s="284" t="s">
        <v>13042</v>
      </c>
      <c r="AL244" s="284" t="s">
        <v>13195</v>
      </c>
      <c r="AM244" s="284"/>
      <c r="AN244" s="284"/>
      <c r="AO244" s="284"/>
      <c r="AP244" s="284"/>
      <c r="AQ244" s="284"/>
      <c r="AR244" s="284"/>
      <c r="AS244" s="284"/>
      <c r="AT244" s="284"/>
      <c r="AU244" s="284"/>
      <c r="AV244" s="284"/>
      <c r="AW244" s="284"/>
      <c r="AX244" s="284"/>
      <c r="AY244" s="284"/>
      <c r="AZ244" s="284"/>
      <c r="BA244" s="284"/>
      <c r="BB244" s="284"/>
      <c r="BC244" s="284"/>
      <c r="BD244" s="284"/>
      <c r="BE244" s="284"/>
      <c r="BF244" s="284"/>
      <c r="BG244" s="284"/>
      <c r="BH244" s="284"/>
      <c r="BI244" s="284"/>
      <c r="BJ244" s="284"/>
      <c r="BK244" s="284"/>
      <c r="BL244" s="284"/>
      <c r="BM244" s="284"/>
      <c r="BN244" s="284"/>
      <c r="BO244" s="284"/>
      <c r="BP244" s="284"/>
      <c r="BQ244" s="284"/>
      <c r="BR244" s="284"/>
      <c r="BS244" s="284"/>
      <c r="BT244" s="284"/>
      <c r="BU244" s="284"/>
      <c r="BV244" s="284"/>
      <c r="BW244" s="284"/>
      <c r="BX244" s="284"/>
      <c r="BY244" s="284"/>
      <c r="BZ244" s="284"/>
      <c r="CA244" s="284"/>
      <c r="CB244" s="284"/>
      <c r="CC244" s="284"/>
      <c r="CD244" s="284"/>
      <c r="CE244" s="284"/>
      <c r="CF244" s="284"/>
    </row>
    <row r="245" spans="1:85" x14ac:dyDescent="0.35">
      <c r="A245" s="284" t="s">
        <v>9977</v>
      </c>
      <c r="B245" s="284" t="s">
        <v>174</v>
      </c>
      <c r="C245" s="284" t="s">
        <v>13072</v>
      </c>
      <c r="D245" s="284" t="s">
        <v>13020</v>
      </c>
      <c r="E245" s="284" t="s">
        <v>13021</v>
      </c>
      <c r="F245" s="284" t="s">
        <v>13023</v>
      </c>
      <c r="G245" s="284" t="s">
        <v>14270</v>
      </c>
      <c r="H245" s="284" t="s">
        <v>13289</v>
      </c>
      <c r="I245" s="284" t="s">
        <v>13273</v>
      </c>
      <c r="J245" s="284" t="s">
        <v>13238</v>
      </c>
      <c r="K245" s="284" t="s">
        <v>13099</v>
      </c>
      <c r="L245" s="284" t="s">
        <v>14271</v>
      </c>
      <c r="M245" s="284" t="s">
        <v>13829</v>
      </c>
      <c r="N245" s="284" t="s">
        <v>13168</v>
      </c>
      <c r="O245" s="284" t="s">
        <v>13027</v>
      </c>
      <c r="P245" s="284" t="s">
        <v>13148</v>
      </c>
      <c r="Q245" s="284" t="s">
        <v>13149</v>
      </c>
      <c r="R245" s="284" t="s">
        <v>13028</v>
      </c>
      <c r="S245" s="284" t="s">
        <v>13160</v>
      </c>
      <c r="T245" s="284" t="s">
        <v>13003</v>
      </c>
      <c r="U245" s="284" t="s">
        <v>13066</v>
      </c>
      <c r="V245" s="284" t="s">
        <v>13290</v>
      </c>
      <c r="W245" s="284" t="s">
        <v>14272</v>
      </c>
      <c r="X245" s="284" t="s">
        <v>13291</v>
      </c>
      <c r="Y245" s="284" t="s">
        <v>13412</v>
      </c>
      <c r="Z245" s="284" t="s">
        <v>13249</v>
      </c>
      <c r="AA245" s="284" t="s">
        <v>13276</v>
      </c>
      <c r="AB245" s="284" t="s">
        <v>13033</v>
      </c>
      <c r="AC245" s="284" t="s">
        <v>13277</v>
      </c>
      <c r="AD245" s="284" t="s">
        <v>13009</v>
      </c>
      <c r="AE245" s="284" t="s">
        <v>13489</v>
      </c>
      <c r="AF245" s="284" t="s">
        <v>13014</v>
      </c>
      <c r="AG245" s="284" t="s">
        <v>13286</v>
      </c>
      <c r="AH245" s="284"/>
      <c r="AI245" s="284"/>
      <c r="AJ245" s="284"/>
      <c r="AK245" s="284"/>
      <c r="AL245" s="284"/>
      <c r="AM245" s="284"/>
      <c r="AN245" s="284"/>
      <c r="AO245" s="284"/>
      <c r="AP245" s="284"/>
      <c r="AQ245" s="284"/>
      <c r="AR245" s="284"/>
      <c r="AS245" s="284"/>
      <c r="AT245" s="284"/>
      <c r="AU245" s="284"/>
      <c r="AV245" s="284"/>
      <c r="AW245" s="284"/>
      <c r="AX245" s="284"/>
      <c r="AY245" s="284"/>
      <c r="AZ245" s="284"/>
      <c r="BA245" s="284"/>
      <c r="BB245" s="284"/>
      <c r="BC245" s="284"/>
      <c r="BD245" s="284"/>
      <c r="BE245" s="284"/>
      <c r="BF245" s="284"/>
      <c r="BG245" s="284"/>
      <c r="BH245" s="284"/>
      <c r="BI245" s="284"/>
      <c r="BJ245" s="284"/>
      <c r="BK245" s="284"/>
      <c r="BL245" s="284"/>
      <c r="BM245" s="284"/>
      <c r="BN245" s="284"/>
      <c r="BO245" s="284"/>
      <c r="BP245" s="284"/>
      <c r="BQ245" s="284"/>
      <c r="BR245" s="284"/>
      <c r="BS245" s="284"/>
      <c r="BT245" s="284"/>
      <c r="BU245" s="284"/>
      <c r="BV245" s="284"/>
      <c r="BW245" s="284"/>
      <c r="BX245" s="284"/>
      <c r="BY245" s="284"/>
      <c r="BZ245" s="284"/>
      <c r="CA245" s="284"/>
      <c r="CB245" s="284"/>
      <c r="CC245" s="284"/>
      <c r="CD245" s="284"/>
      <c r="CE245" s="284"/>
      <c r="CF245" s="284"/>
    </row>
    <row r="246" spans="1:85" x14ac:dyDescent="0.35">
      <c r="A246" s="284" t="s">
        <v>8078</v>
      </c>
      <c r="B246" s="284" t="s">
        <v>175</v>
      </c>
      <c r="C246" s="284" t="s">
        <v>14273</v>
      </c>
      <c r="D246" s="284" t="s">
        <v>13023</v>
      </c>
      <c r="E246" s="284" t="s">
        <v>13235</v>
      </c>
      <c r="F246" s="284" t="s">
        <v>13237</v>
      </c>
      <c r="G246" s="284" t="s">
        <v>13000</v>
      </c>
      <c r="H246" s="284" t="s">
        <v>13024</v>
      </c>
      <c r="I246" s="284" t="s">
        <v>13085</v>
      </c>
      <c r="J246" s="284" t="s">
        <v>13027</v>
      </c>
      <c r="K246" s="284" t="s">
        <v>13148</v>
      </c>
      <c r="L246" s="284" t="s">
        <v>13066</v>
      </c>
      <c r="M246" s="284" t="s">
        <v>13076</v>
      </c>
      <c r="N246" s="284" t="s">
        <v>13331</v>
      </c>
      <c r="O246" s="284" t="s">
        <v>13029</v>
      </c>
      <c r="P246" s="284" t="s">
        <v>13006</v>
      </c>
      <c r="Q246" s="284" t="s">
        <v>13248</v>
      </c>
      <c r="R246" s="284" t="s">
        <v>13008</v>
      </c>
      <c r="S246" s="284" t="s">
        <v>13077</v>
      </c>
      <c r="T246" s="284" t="s">
        <v>13034</v>
      </c>
      <c r="U246" s="284" t="s">
        <v>13035</v>
      </c>
      <c r="V246" s="284" t="s">
        <v>13039</v>
      </c>
      <c r="W246" s="284" t="s">
        <v>13041</v>
      </c>
      <c r="X246" s="284" t="s">
        <v>14274</v>
      </c>
      <c r="Y246" s="284" t="s">
        <v>13042</v>
      </c>
      <c r="Z246" s="284" t="s">
        <v>13264</v>
      </c>
      <c r="AA246" s="284" t="s">
        <v>13267</v>
      </c>
      <c r="AB246" s="284"/>
      <c r="AC246" s="284"/>
      <c r="AD246" s="284"/>
      <c r="AE246" s="284"/>
      <c r="AF246" s="284"/>
      <c r="AG246" s="284"/>
      <c r="AH246" s="284"/>
      <c r="AI246" s="284"/>
      <c r="AJ246" s="284"/>
      <c r="AK246" s="284"/>
      <c r="AL246" s="284"/>
      <c r="AM246" s="284"/>
      <c r="AN246" s="284"/>
      <c r="AO246" s="284"/>
      <c r="AP246" s="284"/>
      <c r="AQ246" s="284"/>
      <c r="AR246" s="284"/>
      <c r="AS246" s="284"/>
      <c r="AT246" s="284"/>
      <c r="AU246" s="284"/>
      <c r="AV246" s="284"/>
      <c r="AW246" s="284"/>
      <c r="AX246" s="284"/>
      <c r="AY246" s="284"/>
      <c r="AZ246" s="284"/>
      <c r="BA246" s="284"/>
      <c r="BB246" s="284"/>
      <c r="BC246" s="284"/>
      <c r="BD246" s="284"/>
      <c r="BE246" s="284"/>
      <c r="BF246" s="284"/>
      <c r="BG246" s="284"/>
      <c r="BH246" s="284"/>
      <c r="BI246" s="284"/>
      <c r="BJ246" s="284"/>
      <c r="BK246" s="284"/>
      <c r="BL246" s="284"/>
      <c r="BM246" s="284"/>
      <c r="BN246" s="284"/>
      <c r="BO246" s="284"/>
      <c r="BP246" s="284"/>
      <c r="BQ246" s="284"/>
      <c r="BR246" s="284"/>
      <c r="BS246" s="284"/>
      <c r="BT246" s="284"/>
      <c r="BU246" s="284"/>
      <c r="BV246" s="284"/>
      <c r="BW246" s="284"/>
      <c r="BX246" s="284"/>
      <c r="BY246" s="284"/>
      <c r="BZ246" s="284"/>
      <c r="CA246" s="284"/>
      <c r="CB246" s="284"/>
      <c r="CC246" s="284"/>
      <c r="CD246" s="284"/>
      <c r="CE246" s="284"/>
      <c r="CF246" s="284"/>
    </row>
    <row r="247" spans="1:85" x14ac:dyDescent="0.35">
      <c r="A247" s="284" t="s">
        <v>8571</v>
      </c>
      <c r="B247" s="284" t="s">
        <v>176</v>
      </c>
      <c r="C247" t="s">
        <v>14275</v>
      </c>
      <c r="D247" s="284" t="s">
        <v>13110</v>
      </c>
      <c r="E247" s="284" t="s">
        <v>13166</v>
      </c>
      <c r="F247" s="284" t="s">
        <v>13722</v>
      </c>
      <c r="G247" s="284" t="s">
        <v>13000</v>
      </c>
      <c r="H247" s="284" t="s">
        <v>13309</v>
      </c>
      <c r="I247" s="284" t="s">
        <v>13074</v>
      </c>
      <c r="J247" s="284" t="s">
        <v>13027</v>
      </c>
      <c r="K247" s="284" t="s">
        <v>13001</v>
      </c>
      <c r="L247" s="284" t="s">
        <v>13149</v>
      </c>
      <c r="M247" s="284" t="s">
        <v>13426</v>
      </c>
      <c r="N247" s="284" t="s">
        <v>13004</v>
      </c>
      <c r="O247" s="284" t="s">
        <v>13005</v>
      </c>
      <c r="P247" s="284" t="s">
        <v>13006</v>
      </c>
      <c r="Q247" s="284" t="s">
        <v>13568</v>
      </c>
      <c r="R247" s="284" t="s">
        <v>13389</v>
      </c>
      <c r="S247" s="284" t="s">
        <v>13569</v>
      </c>
      <c r="T247" s="284" t="s">
        <v>13037</v>
      </c>
      <c r="U247" s="284" t="s">
        <v>13011</v>
      </c>
      <c r="V247" s="284" t="s">
        <v>13205</v>
      </c>
      <c r="W247" s="284" t="s">
        <v>13012</v>
      </c>
      <c r="X247" s="284" t="s">
        <v>13094</v>
      </c>
      <c r="Y247" s="284" t="s">
        <v>13014</v>
      </c>
      <c r="Z247" s="284" t="s">
        <v>14276</v>
      </c>
      <c r="AA247" s="284" t="s">
        <v>13042</v>
      </c>
      <c r="AB247" s="284" t="s">
        <v>13079</v>
      </c>
      <c r="AC247" s="284" t="s">
        <v>13570</v>
      </c>
      <c r="AD247" s="284"/>
      <c r="AE247" s="284"/>
      <c r="AF247" s="284"/>
      <c r="AG247" s="284"/>
      <c r="AH247" s="284"/>
      <c r="AI247" s="284"/>
      <c r="AJ247" s="284"/>
      <c r="AK247" s="284"/>
      <c r="AL247" s="284"/>
      <c r="AM247" s="284"/>
      <c r="AN247" s="284"/>
      <c r="AO247" s="284"/>
      <c r="AP247" s="284"/>
      <c r="AQ247" s="284"/>
      <c r="AR247" s="284"/>
      <c r="AS247" s="284"/>
      <c r="AT247" s="284"/>
      <c r="AU247" s="284"/>
      <c r="AV247" s="284"/>
      <c r="AW247" s="284"/>
      <c r="AX247" s="284"/>
      <c r="AY247" s="284"/>
      <c r="AZ247" s="284"/>
      <c r="BA247" s="284"/>
      <c r="BB247" s="284"/>
      <c r="BC247" s="284"/>
      <c r="BD247" s="284"/>
      <c r="BE247" s="284"/>
      <c r="BF247" s="284"/>
      <c r="BG247" s="284"/>
      <c r="BH247" s="284"/>
      <c r="BI247" s="284"/>
      <c r="BJ247" s="284"/>
      <c r="BK247" s="284"/>
      <c r="BL247" s="284"/>
      <c r="BM247" s="284"/>
      <c r="BN247" s="284"/>
      <c r="BO247" s="284"/>
      <c r="BP247" s="284"/>
      <c r="BQ247" s="284"/>
      <c r="BR247" s="284"/>
      <c r="BS247" s="284"/>
      <c r="BT247" s="284"/>
      <c r="BU247" s="284"/>
      <c r="BV247" s="284"/>
      <c r="BW247" s="284"/>
      <c r="BX247" s="284"/>
      <c r="BY247" s="284"/>
      <c r="BZ247" s="284"/>
      <c r="CA247" s="284"/>
      <c r="CB247" s="284"/>
      <c r="CC247" s="284"/>
      <c r="CD247" s="284"/>
      <c r="CE247" s="284"/>
      <c r="CF247" s="284"/>
      <c r="CG247" s="284"/>
    </row>
    <row r="248" spans="1:85" x14ac:dyDescent="0.35">
      <c r="A248" s="284" t="s">
        <v>3671</v>
      </c>
      <c r="B248" s="284" t="s">
        <v>177</v>
      </c>
      <c r="C248" t="s">
        <v>14277</v>
      </c>
      <c r="D248" s="284" t="s">
        <v>13021</v>
      </c>
      <c r="E248" s="284" t="s">
        <v>13023</v>
      </c>
      <c r="F248" s="284" t="s">
        <v>13048</v>
      </c>
      <c r="G248" s="284" t="s">
        <v>13065</v>
      </c>
      <c r="H248" s="284" t="s">
        <v>13000</v>
      </c>
      <c r="I248" s="284" t="s">
        <v>13644</v>
      </c>
      <c r="J248" s="284" t="s">
        <v>13085</v>
      </c>
      <c r="K248" s="284" t="s">
        <v>13099</v>
      </c>
      <c r="L248" s="284" t="s">
        <v>13027</v>
      </c>
      <c r="M248" s="284" t="s">
        <v>13050</v>
      </c>
      <c r="N248" s="284" t="s">
        <v>13028</v>
      </c>
      <c r="O248" s="284" t="s">
        <v>13274</v>
      </c>
      <c r="P248" s="284" t="s">
        <v>13190</v>
      </c>
      <c r="Q248" s="284" t="s">
        <v>13006</v>
      </c>
      <c r="R248" s="284" t="s">
        <v>13007</v>
      </c>
      <c r="S248" s="284" t="s">
        <v>13034</v>
      </c>
      <c r="T248" s="284" t="s">
        <v>13036</v>
      </c>
      <c r="U248" s="284" t="s">
        <v>14278</v>
      </c>
      <c r="V248" s="284" t="s">
        <v>13038</v>
      </c>
      <c r="W248" s="284" t="s">
        <v>13091</v>
      </c>
      <c r="X248" s="284" t="s">
        <v>13009</v>
      </c>
      <c r="Y248" s="284" t="s">
        <v>13058</v>
      </c>
      <c r="Z248" s="284" t="s">
        <v>13012</v>
      </c>
      <c r="AA248" s="284" t="s">
        <v>13060</v>
      </c>
      <c r="AB248" s="284" t="s">
        <v>13646</v>
      </c>
      <c r="AC248" s="284" t="s">
        <v>14279</v>
      </c>
      <c r="AD248" s="284" t="s">
        <v>13014</v>
      </c>
      <c r="AE248" s="284" t="s">
        <v>13541</v>
      </c>
      <c r="AF248" s="284" t="s">
        <v>13542</v>
      </c>
      <c r="AG248" s="284"/>
      <c r="AH248" s="284"/>
      <c r="AI248" s="284"/>
      <c r="AJ248" s="284"/>
      <c r="AK248" s="284"/>
      <c r="AL248" s="284"/>
      <c r="AM248" s="284"/>
      <c r="AN248" s="284"/>
      <c r="AO248" s="284"/>
      <c r="AP248" s="284"/>
      <c r="AQ248" s="284"/>
      <c r="AR248" s="284"/>
      <c r="AS248" s="284"/>
      <c r="AT248" s="284"/>
      <c r="AU248" s="284"/>
      <c r="AV248" s="284"/>
      <c r="AW248" s="284"/>
      <c r="AX248" s="284"/>
      <c r="AY248" s="284"/>
      <c r="AZ248" s="284"/>
      <c r="BA248" s="284"/>
      <c r="BB248" s="284"/>
      <c r="BC248" s="284"/>
      <c r="BD248" s="284"/>
      <c r="BE248" s="284"/>
      <c r="BF248" s="284"/>
      <c r="BG248" s="284"/>
      <c r="BH248" s="284"/>
      <c r="BI248" s="284"/>
      <c r="BJ248" s="284"/>
      <c r="BK248" s="284"/>
      <c r="BL248" s="284"/>
      <c r="BM248" s="284"/>
      <c r="BN248" s="284"/>
      <c r="BO248" s="284"/>
      <c r="BP248" s="284"/>
      <c r="BQ248" s="284"/>
      <c r="BR248" s="284"/>
      <c r="BS248" s="284"/>
      <c r="BT248" s="284"/>
      <c r="BU248" s="284"/>
      <c r="BV248" s="284"/>
      <c r="BW248" s="284"/>
      <c r="BX248" s="284"/>
      <c r="BY248" s="284"/>
      <c r="BZ248" s="284"/>
      <c r="CA248" s="284"/>
      <c r="CB248" s="284"/>
      <c r="CC248" s="284"/>
      <c r="CD248" s="284"/>
      <c r="CE248" s="284"/>
      <c r="CF248" s="284"/>
      <c r="CG248" s="284"/>
    </row>
    <row r="249" spans="1:85" x14ac:dyDescent="0.35">
      <c r="A249" s="284" t="s">
        <v>1100</v>
      </c>
      <c r="B249" s="284" t="s">
        <v>178</v>
      </c>
      <c r="C249" s="284" t="s">
        <v>14280</v>
      </c>
      <c r="D249" s="284" t="s">
        <v>13410</v>
      </c>
      <c r="E249" s="284" t="s">
        <v>13023</v>
      </c>
      <c r="F249" s="284" t="s">
        <v>13082</v>
      </c>
      <c r="G249" s="284" t="s">
        <v>13288</v>
      </c>
      <c r="H249" s="284" t="s">
        <v>14281</v>
      </c>
      <c r="I249" s="284" t="s">
        <v>13232</v>
      </c>
      <c r="J249" s="284" t="s">
        <v>13235</v>
      </c>
      <c r="K249" s="284" t="s">
        <v>13770</v>
      </c>
      <c r="L249" s="284" t="s">
        <v>13238</v>
      </c>
      <c r="M249" s="284" t="s">
        <v>13119</v>
      </c>
      <c r="N249" s="284" t="s">
        <v>13027</v>
      </c>
      <c r="O249" s="284" t="s">
        <v>13243</v>
      </c>
      <c r="P249" s="284" t="s">
        <v>13001</v>
      </c>
      <c r="Q249" s="284" t="s">
        <v>13149</v>
      </c>
      <c r="R249" s="284" t="s">
        <v>13028</v>
      </c>
      <c r="S249" s="284" t="s">
        <v>13002</v>
      </c>
      <c r="T249" s="284" t="s">
        <v>13448</v>
      </c>
      <c r="U249" s="284" t="s">
        <v>13003</v>
      </c>
      <c r="V249" s="284" t="s">
        <v>13066</v>
      </c>
      <c r="W249" s="284" t="s">
        <v>13076</v>
      </c>
      <c r="X249" s="284" t="s">
        <v>13248</v>
      </c>
      <c r="Y249" s="284" t="s">
        <v>13893</v>
      </c>
      <c r="Z249" s="284" t="s">
        <v>13033</v>
      </c>
      <c r="AA249" s="284" t="s">
        <v>13880</v>
      </c>
      <c r="AB249" s="284" t="s">
        <v>13036</v>
      </c>
      <c r="AC249" s="284" t="s">
        <v>13037</v>
      </c>
      <c r="AD249" s="284" t="s">
        <v>13038</v>
      </c>
      <c r="AE249" s="284" t="s">
        <v>13091</v>
      </c>
      <c r="AF249" s="284" t="s">
        <v>13009</v>
      </c>
      <c r="AG249" s="284" t="s">
        <v>14171</v>
      </c>
      <c r="AH249" s="284" t="s">
        <v>13451</v>
      </c>
      <c r="AI249" s="284" t="s">
        <v>13264</v>
      </c>
      <c r="AJ249" s="284" t="s">
        <v>13267</v>
      </c>
      <c r="AK249" s="284"/>
      <c r="AL249" s="284"/>
      <c r="AM249" s="284"/>
      <c r="AN249" s="284"/>
      <c r="AO249" s="284"/>
      <c r="AP249" s="284"/>
      <c r="AQ249" s="284"/>
      <c r="AR249" s="284"/>
      <c r="AS249" s="284"/>
      <c r="AT249" s="284"/>
      <c r="AU249" s="284"/>
      <c r="AV249" s="284"/>
      <c r="AW249" s="284"/>
      <c r="AX249" s="284"/>
      <c r="AY249" s="284"/>
      <c r="AZ249" s="284"/>
      <c r="BA249" s="284"/>
      <c r="BB249" s="284"/>
      <c r="BC249" s="284"/>
      <c r="BD249" s="284"/>
      <c r="BE249" s="284"/>
      <c r="BF249" s="284"/>
      <c r="BG249" s="284"/>
      <c r="BH249" s="284"/>
      <c r="BI249" s="284"/>
      <c r="BJ249" s="284"/>
      <c r="BK249" s="284"/>
      <c r="BL249" s="284"/>
      <c r="BM249" s="284"/>
      <c r="BN249" s="284"/>
      <c r="BO249" s="284"/>
      <c r="BP249" s="284"/>
      <c r="BQ249" s="284"/>
      <c r="BR249" s="284"/>
      <c r="BS249" s="284"/>
      <c r="BT249" s="284"/>
      <c r="BU249" s="284"/>
      <c r="BV249" s="284"/>
      <c r="BW249" s="284"/>
      <c r="BX249" s="284"/>
      <c r="BY249" s="284"/>
      <c r="BZ249" s="284"/>
      <c r="CA249" s="284"/>
      <c r="CB249" s="284"/>
      <c r="CC249" s="284"/>
      <c r="CD249" s="284"/>
      <c r="CE249" s="284"/>
      <c r="CF249" s="284"/>
    </row>
    <row r="250" spans="1:85" x14ac:dyDescent="0.35">
      <c r="A250" s="284" t="s">
        <v>4415</v>
      </c>
      <c r="B250" s="284" t="s">
        <v>179</v>
      </c>
      <c r="C250" t="s">
        <v>14282</v>
      </c>
      <c r="D250" s="284" t="s">
        <v>13021</v>
      </c>
      <c r="E250" s="284" t="s">
        <v>13023</v>
      </c>
      <c r="F250" s="284" t="s">
        <v>13082</v>
      </c>
      <c r="G250" s="284" t="s">
        <v>13083</v>
      </c>
      <c r="H250" s="284" t="s">
        <v>13000</v>
      </c>
      <c r="I250" s="284" t="s">
        <v>13119</v>
      </c>
      <c r="J250" s="284" t="s">
        <v>13084</v>
      </c>
      <c r="K250" s="284" t="s">
        <v>13085</v>
      </c>
      <c r="L250" s="284" t="s">
        <v>13074</v>
      </c>
      <c r="M250" s="284" t="s">
        <v>13086</v>
      </c>
      <c r="N250" s="284" t="s">
        <v>13087</v>
      </c>
      <c r="O250" s="284" t="s">
        <v>14096</v>
      </c>
      <c r="P250" s="284" t="s">
        <v>13027</v>
      </c>
      <c r="Q250" s="284" t="s">
        <v>13149</v>
      </c>
      <c r="R250" s="284" t="s">
        <v>13050</v>
      </c>
      <c r="S250" s="284" t="s">
        <v>13028</v>
      </c>
      <c r="T250" s="284" t="s">
        <v>13002</v>
      </c>
      <c r="U250" s="284" t="s">
        <v>13003</v>
      </c>
      <c r="V250" s="284" t="s">
        <v>13066</v>
      </c>
      <c r="W250" s="284" t="s">
        <v>13178</v>
      </c>
      <c r="X250" s="284" t="s">
        <v>13076</v>
      </c>
      <c r="Y250" s="284" t="s">
        <v>13274</v>
      </c>
      <c r="Z250" s="284" t="s">
        <v>13005</v>
      </c>
      <c r="AA250" s="284" t="s">
        <v>13029</v>
      </c>
      <c r="AB250" s="284" t="s">
        <v>13162</v>
      </c>
      <c r="AC250" s="284" t="s">
        <v>13089</v>
      </c>
      <c r="AD250" s="284" t="s">
        <v>13104</v>
      </c>
      <c r="AE250" s="284" t="s">
        <v>13033</v>
      </c>
      <c r="AF250" s="284" t="s">
        <v>13036</v>
      </c>
      <c r="AG250" s="284" t="s">
        <v>13037</v>
      </c>
      <c r="AH250" s="284" t="s">
        <v>13090</v>
      </c>
      <c r="AI250" s="284" t="s">
        <v>13038</v>
      </c>
      <c r="AJ250" s="284" t="s">
        <v>13039</v>
      </c>
      <c r="AK250" s="284" t="s">
        <v>13078</v>
      </c>
      <c r="AL250" s="284" t="s">
        <v>13091</v>
      </c>
      <c r="AM250" s="284" t="s">
        <v>13009</v>
      </c>
      <c r="AN250" s="284" t="s">
        <v>13041</v>
      </c>
      <c r="AO250" s="284" t="s">
        <v>13106</v>
      </c>
      <c r="AP250" s="284" t="s">
        <v>13014</v>
      </c>
      <c r="AQ250" s="284" t="s">
        <v>13042</v>
      </c>
      <c r="AR250" s="284"/>
      <c r="AS250" s="284"/>
      <c r="AT250" s="284"/>
      <c r="AU250" s="284"/>
      <c r="AV250" s="284"/>
      <c r="AW250" s="284"/>
      <c r="AX250" s="284"/>
      <c r="AY250" s="284"/>
      <c r="AZ250" s="284"/>
      <c r="BA250" s="284"/>
      <c r="BB250" s="284"/>
      <c r="BC250" s="284"/>
      <c r="BD250" s="284"/>
      <c r="BE250" s="284"/>
      <c r="BF250" s="284"/>
      <c r="BG250" s="284"/>
      <c r="BH250" s="284"/>
      <c r="BI250" s="284"/>
      <c r="BJ250" s="284"/>
      <c r="BK250" s="284"/>
      <c r="BL250" s="284"/>
      <c r="BM250" s="284"/>
      <c r="BN250" s="284"/>
      <c r="BO250" s="284"/>
      <c r="BP250" s="284"/>
      <c r="BQ250" s="284"/>
      <c r="BR250" s="284"/>
      <c r="BS250" s="284"/>
      <c r="BT250" s="284"/>
      <c r="BU250" s="284"/>
      <c r="BV250" s="284"/>
      <c r="BW250" s="284"/>
      <c r="BX250" s="284"/>
      <c r="BY250" s="284"/>
      <c r="BZ250" s="284"/>
      <c r="CA250" s="284"/>
      <c r="CB250" s="284"/>
      <c r="CC250" s="284"/>
      <c r="CD250" s="284"/>
      <c r="CE250" s="284"/>
      <c r="CF250" s="284"/>
      <c r="CG250" s="284"/>
    </row>
    <row r="251" spans="1:85" x14ac:dyDescent="0.35">
      <c r="A251" s="284" t="s">
        <v>5109</v>
      </c>
      <c r="B251" s="284" t="s">
        <v>180</v>
      </c>
      <c r="C251" t="s">
        <v>13299</v>
      </c>
      <c r="D251" s="284" t="s">
        <v>13167</v>
      </c>
      <c r="E251" s="284" t="s">
        <v>13021</v>
      </c>
      <c r="F251" s="284" t="s">
        <v>13023</v>
      </c>
      <c r="G251" s="284" t="s">
        <v>13047</v>
      </c>
      <c r="H251" s="284" t="s">
        <v>13048</v>
      </c>
      <c r="I251" s="284" t="s">
        <v>13000</v>
      </c>
      <c r="J251" s="284" t="s">
        <v>13119</v>
      </c>
      <c r="K251" s="284" t="s">
        <v>13074</v>
      </c>
      <c r="L251" s="284" t="s">
        <v>14283</v>
      </c>
      <c r="M251" s="284" t="s">
        <v>13002</v>
      </c>
      <c r="N251" s="284" t="s">
        <v>13003</v>
      </c>
      <c r="O251" s="284" t="s">
        <v>14284</v>
      </c>
      <c r="P251" s="284" t="s">
        <v>13190</v>
      </c>
      <c r="Q251" s="284" t="s">
        <v>13005</v>
      </c>
      <c r="R251" s="284" t="s">
        <v>13029</v>
      </c>
      <c r="S251" s="284" t="s">
        <v>13007</v>
      </c>
      <c r="T251" s="284" t="s">
        <v>13033</v>
      </c>
      <c r="U251" s="284" t="s">
        <v>13034</v>
      </c>
      <c r="V251" s="284" t="s">
        <v>13038</v>
      </c>
      <c r="W251" s="284" t="s">
        <v>13039</v>
      </c>
      <c r="X251" s="284" t="s">
        <v>13078</v>
      </c>
      <c r="Y251" s="284" t="s">
        <v>13009</v>
      </c>
      <c r="Z251" s="284" t="s">
        <v>13058</v>
      </c>
      <c r="AA251" s="284" t="s">
        <v>13041</v>
      </c>
      <c r="AB251" s="284" t="s">
        <v>13012</v>
      </c>
      <c r="AC251" s="284" t="s">
        <v>13060</v>
      </c>
      <c r="AD251" s="284" t="s">
        <v>13107</v>
      </c>
      <c r="AE251" s="284" t="s">
        <v>14285</v>
      </c>
      <c r="AF251" s="284" t="s">
        <v>13174</v>
      </c>
      <c r="AG251" s="284" t="s">
        <v>13175</v>
      </c>
      <c r="AH251" s="284" t="s">
        <v>13015</v>
      </c>
      <c r="AI251" s="284" t="s">
        <v>13016</v>
      </c>
      <c r="AJ251" s="284"/>
      <c r="AK251" s="284"/>
      <c r="AL251" s="284"/>
      <c r="AM251" s="284"/>
      <c r="AN251" s="284"/>
      <c r="AO251" s="284"/>
      <c r="AP251" s="284"/>
      <c r="AQ251" s="284"/>
      <c r="AR251" s="284"/>
      <c r="AS251" s="284"/>
      <c r="AT251" s="284"/>
      <c r="AU251" s="284"/>
      <c r="AV251" s="284"/>
      <c r="AW251" s="284"/>
      <c r="AX251" s="284"/>
      <c r="AY251" s="284"/>
      <c r="AZ251" s="284"/>
      <c r="BA251" s="284"/>
      <c r="BB251" s="284"/>
      <c r="BC251" s="284"/>
      <c r="BD251" s="284"/>
      <c r="BE251" s="284"/>
      <c r="BF251" s="284"/>
      <c r="BG251" s="284"/>
      <c r="BH251" s="284"/>
      <c r="BI251" s="284"/>
      <c r="BJ251" s="284"/>
      <c r="BK251" s="284"/>
      <c r="BL251" s="284"/>
      <c r="BM251" s="284"/>
      <c r="BN251" s="284"/>
      <c r="BO251" s="284"/>
      <c r="BP251" s="284"/>
      <c r="BQ251" s="284"/>
      <c r="BR251" s="284"/>
      <c r="BS251" s="284"/>
      <c r="BT251" s="284"/>
      <c r="BU251" s="284"/>
      <c r="BV251" s="284"/>
      <c r="BW251" s="284"/>
      <c r="BX251" s="284"/>
      <c r="BY251" s="284"/>
      <c r="BZ251" s="284"/>
      <c r="CA251" s="284"/>
      <c r="CB251" s="284"/>
      <c r="CC251" s="284"/>
      <c r="CD251" s="284"/>
      <c r="CE251" s="284"/>
      <c r="CF251" s="284"/>
      <c r="CG251" s="284"/>
    </row>
    <row r="252" spans="1:85" x14ac:dyDescent="0.35">
      <c r="A252" s="284" t="s">
        <v>4698</v>
      </c>
      <c r="B252" s="284" t="s">
        <v>181</v>
      </c>
      <c r="C252" t="s">
        <v>13021</v>
      </c>
      <c r="D252" s="284" t="s">
        <v>13023</v>
      </c>
      <c r="E252" s="284" t="s">
        <v>13048</v>
      </c>
      <c r="F252" s="284" t="s">
        <v>13235</v>
      </c>
      <c r="G252" s="284" t="s">
        <v>13237</v>
      </c>
      <c r="H252" s="284" t="s">
        <v>13474</v>
      </c>
      <c r="I252" s="284" t="s">
        <v>13187</v>
      </c>
      <c r="J252" s="284" t="s">
        <v>13074</v>
      </c>
      <c r="K252" s="284" t="s">
        <v>13475</v>
      </c>
      <c r="L252" s="284" t="s">
        <v>13027</v>
      </c>
      <c r="M252" s="284" t="s">
        <v>13243</v>
      </c>
      <c r="N252" s="284" t="s">
        <v>13028</v>
      </c>
      <c r="O252" s="284" t="s">
        <v>13003</v>
      </c>
      <c r="P252" s="284" t="s">
        <v>13201</v>
      </c>
      <c r="Q252" s="284" t="s">
        <v>13190</v>
      </c>
      <c r="R252" s="284" t="s">
        <v>13029</v>
      </c>
      <c r="S252" s="284" t="s">
        <v>13191</v>
      </c>
      <c r="T252" s="284" t="s">
        <v>13007</v>
      </c>
      <c r="U252" s="284" t="s">
        <v>13035</v>
      </c>
      <c r="V252" s="284" t="s">
        <v>13105</v>
      </c>
      <c r="W252" s="284" t="s">
        <v>13394</v>
      </c>
      <c r="X252" s="284" t="s">
        <v>13009</v>
      </c>
      <c r="Y252" s="284" t="s">
        <v>13058</v>
      </c>
      <c r="Z252" s="284" t="s">
        <v>13012</v>
      </c>
      <c r="AA252" s="284" t="s">
        <v>14286</v>
      </c>
      <c r="AB252" s="284" t="s">
        <v>13014</v>
      </c>
      <c r="AC252" s="284" t="s">
        <v>13222</v>
      </c>
      <c r="AD252" s="284" t="s">
        <v>13544</v>
      </c>
      <c r="AE252" s="284" t="s">
        <v>13016</v>
      </c>
      <c r="AF252" s="284"/>
      <c r="AG252" s="284"/>
      <c r="AH252" s="284"/>
      <c r="AI252" s="284"/>
      <c r="AJ252" s="284"/>
      <c r="AK252" s="284"/>
      <c r="AL252" s="284"/>
      <c r="AM252" s="284"/>
      <c r="AN252" s="284"/>
      <c r="AO252" s="284"/>
      <c r="AP252" s="284"/>
      <c r="AQ252" s="284"/>
      <c r="AR252" s="284"/>
      <c r="AS252" s="284"/>
      <c r="AT252" s="284"/>
      <c r="AU252" s="284"/>
      <c r="AV252" s="284"/>
      <c r="AW252" s="284"/>
      <c r="AX252" s="284"/>
      <c r="AY252" s="284"/>
      <c r="AZ252" s="284"/>
      <c r="BA252" s="284"/>
      <c r="BB252" s="284"/>
      <c r="BC252" s="284"/>
      <c r="BD252" s="284"/>
      <c r="BE252" s="284"/>
      <c r="BF252" s="284"/>
      <c r="BG252" s="284"/>
      <c r="BH252" s="284"/>
      <c r="BI252" s="284"/>
      <c r="BJ252" s="284"/>
      <c r="BK252" s="284"/>
      <c r="BL252" s="284"/>
      <c r="BM252" s="284"/>
      <c r="BN252" s="284"/>
      <c r="BO252" s="284"/>
      <c r="BP252" s="284"/>
      <c r="BQ252" s="284"/>
      <c r="BR252" s="284"/>
      <c r="BS252" s="284"/>
      <c r="BT252" s="284"/>
      <c r="BU252" s="284"/>
      <c r="BV252" s="284"/>
      <c r="BW252" s="284"/>
      <c r="BX252" s="284"/>
      <c r="BY252" s="284"/>
      <c r="BZ252" s="284"/>
      <c r="CA252" s="284"/>
      <c r="CB252" s="284"/>
      <c r="CC252" s="284"/>
      <c r="CD252" s="284"/>
      <c r="CE252" s="284"/>
      <c r="CF252" s="284"/>
      <c r="CG252" s="284"/>
    </row>
    <row r="253" spans="1:85" x14ac:dyDescent="0.35">
      <c r="A253" s="284" t="s">
        <v>5794</v>
      </c>
      <c r="B253" s="284" t="s">
        <v>182</v>
      </c>
      <c r="C253" t="s">
        <v>14287</v>
      </c>
      <c r="D253" s="284" t="s">
        <v>13021</v>
      </c>
      <c r="E253" s="284" t="s">
        <v>13023</v>
      </c>
      <c r="F253" s="284" t="s">
        <v>13065</v>
      </c>
      <c r="G253" s="284" t="s">
        <v>13049</v>
      </c>
      <c r="H253" s="284" t="s">
        <v>13027</v>
      </c>
      <c r="I253" s="284" t="s">
        <v>13149</v>
      </c>
      <c r="J253" s="284" t="s">
        <v>13028</v>
      </c>
      <c r="K253" s="284" t="s">
        <v>13002</v>
      </c>
      <c r="L253" s="284" t="s">
        <v>13003</v>
      </c>
      <c r="M253" s="284" t="s">
        <v>13066</v>
      </c>
      <c r="N253" s="284" t="s">
        <v>13125</v>
      </c>
      <c r="O253" s="284" t="s">
        <v>13076</v>
      </c>
      <c r="P253" s="284" t="s">
        <v>13005</v>
      </c>
      <c r="Q253" s="284" t="s">
        <v>13007</v>
      </c>
      <c r="R253" s="284" t="s">
        <v>13516</v>
      </c>
      <c r="S253" s="284" t="s">
        <v>13008</v>
      </c>
      <c r="T253" s="284" t="s">
        <v>13077</v>
      </c>
      <c r="U253" s="284" t="s">
        <v>13033</v>
      </c>
      <c r="V253" s="284" t="s">
        <v>13037</v>
      </c>
      <c r="W253" s="284" t="s">
        <v>13038</v>
      </c>
      <c r="X253" s="284" t="s">
        <v>13009</v>
      </c>
      <c r="Y253" s="284" t="s">
        <v>13011</v>
      </c>
      <c r="Z253" s="284" t="s">
        <v>13042</v>
      </c>
      <c r="AA253" s="284" t="s">
        <v>13079</v>
      </c>
      <c r="AB253" s="284" t="s">
        <v>13080</v>
      </c>
      <c r="AC253" s="284" t="s">
        <v>13016</v>
      </c>
      <c r="AD253" s="284"/>
      <c r="AE253" s="284"/>
      <c r="AF253" s="284"/>
      <c r="AG253" s="284"/>
      <c r="AH253" s="284"/>
      <c r="AI253" s="284"/>
      <c r="AJ253" s="284"/>
      <c r="AK253" s="284"/>
      <c r="AL253" s="284"/>
      <c r="AM253" s="284"/>
      <c r="AN253" s="284"/>
      <c r="AO253" s="284"/>
      <c r="AP253" s="284"/>
      <c r="AQ253" s="284"/>
      <c r="AR253" s="284"/>
      <c r="AS253" s="284"/>
      <c r="AT253" s="284"/>
      <c r="AU253" s="284"/>
      <c r="AV253" s="284"/>
      <c r="AW253" s="284"/>
      <c r="AX253" s="284"/>
      <c r="AY253" s="284"/>
      <c r="AZ253" s="284"/>
      <c r="BA253" s="284"/>
      <c r="BB253" s="284"/>
      <c r="BC253" s="284"/>
      <c r="BD253" s="284"/>
      <c r="BE253" s="284"/>
      <c r="BF253" s="284"/>
      <c r="BG253" s="284"/>
      <c r="BH253" s="284"/>
      <c r="BI253" s="284"/>
      <c r="BJ253" s="284"/>
      <c r="BK253" s="284"/>
      <c r="BL253" s="284"/>
      <c r="BM253" s="284"/>
      <c r="BN253" s="284"/>
      <c r="BO253" s="284"/>
      <c r="BP253" s="284"/>
      <c r="BQ253" s="284"/>
      <c r="BR253" s="284"/>
      <c r="BS253" s="284"/>
      <c r="BT253" s="284"/>
      <c r="BU253" s="284"/>
      <c r="BV253" s="284"/>
      <c r="BW253" s="284"/>
      <c r="BX253" s="284"/>
      <c r="BY253" s="284"/>
      <c r="BZ253" s="284"/>
      <c r="CA253" s="284"/>
      <c r="CB253" s="284"/>
      <c r="CC253" s="284"/>
      <c r="CD253" s="284"/>
      <c r="CE253" s="284"/>
      <c r="CF253" s="284"/>
      <c r="CG253" s="284"/>
    </row>
    <row r="254" spans="1:85" x14ac:dyDescent="0.35">
      <c r="A254" s="284" t="s">
        <v>5343</v>
      </c>
      <c r="B254" s="284" t="s">
        <v>183</v>
      </c>
      <c r="C254" s="284" t="s">
        <v>13022</v>
      </c>
      <c r="D254" s="284" t="s">
        <v>13023</v>
      </c>
      <c r="E254" s="284" t="s">
        <v>13000</v>
      </c>
      <c r="F254" s="284" t="s">
        <v>13001</v>
      </c>
      <c r="G254" s="284" t="s">
        <v>13199</v>
      </c>
      <c r="H254" s="284" t="s">
        <v>13002</v>
      </c>
      <c r="I254" s="284" t="s">
        <v>13003</v>
      </c>
      <c r="J254" s="284" t="s">
        <v>13006</v>
      </c>
      <c r="K254" s="284" t="s">
        <v>13103</v>
      </c>
      <c r="L254" s="284" t="s">
        <v>13054</v>
      </c>
      <c r="M254" s="284" t="s">
        <v>13131</v>
      </c>
      <c r="N254" s="284" t="s">
        <v>13133</v>
      </c>
      <c r="O254" s="284" t="s">
        <v>13135</v>
      </c>
      <c r="P254" s="284" t="s">
        <v>13104</v>
      </c>
      <c r="Q254" s="284" t="s">
        <v>13033</v>
      </c>
      <c r="R254" s="284" t="s">
        <v>13034</v>
      </c>
      <c r="S254" s="284" t="s">
        <v>14288</v>
      </c>
      <c r="T254" s="284" t="s">
        <v>13009</v>
      </c>
      <c r="U254" s="284" t="s">
        <v>13203</v>
      </c>
      <c r="V254" s="284" t="s">
        <v>13058</v>
      </c>
      <c r="W254" s="284" t="s">
        <v>14289</v>
      </c>
      <c r="X254" s="284" t="s">
        <v>13014</v>
      </c>
      <c r="Y254" s="284" t="s">
        <v>13042</v>
      </c>
      <c r="Z254" s="284" t="s">
        <v>13395</v>
      </c>
      <c r="AA254" s="284" t="s">
        <v>13142</v>
      </c>
      <c r="AB254" s="284"/>
      <c r="AC254" s="284"/>
      <c r="AD254" s="284"/>
      <c r="AE254" s="284"/>
      <c r="AF254" s="284"/>
      <c r="AG254" s="284"/>
      <c r="AH254" s="284"/>
      <c r="AI254" s="284"/>
      <c r="AJ254" s="284"/>
      <c r="AK254" s="284"/>
      <c r="AL254" s="284"/>
      <c r="AM254" s="284"/>
      <c r="AN254" s="284"/>
      <c r="AO254" s="284"/>
      <c r="AP254" s="284"/>
      <c r="AQ254" s="284"/>
      <c r="AR254" s="284"/>
      <c r="AS254" s="284"/>
      <c r="AT254" s="284"/>
      <c r="AU254" s="284"/>
      <c r="AV254" s="284"/>
      <c r="AW254" s="284"/>
      <c r="AX254" s="284"/>
      <c r="AY254" s="284"/>
      <c r="AZ254" s="284"/>
      <c r="BA254" s="284"/>
      <c r="BB254" s="284"/>
      <c r="BC254" s="284"/>
      <c r="BD254" s="284"/>
      <c r="BE254" s="284"/>
      <c r="BF254" s="284"/>
      <c r="BG254" s="284"/>
      <c r="BH254" s="284"/>
      <c r="BI254" s="284"/>
      <c r="BJ254" s="284"/>
      <c r="BK254" s="284"/>
      <c r="BL254" s="284"/>
      <c r="BM254" s="284"/>
      <c r="BN254" s="284"/>
      <c r="BO254" s="284"/>
      <c r="BP254" s="284"/>
      <c r="BQ254" s="284"/>
      <c r="BR254" s="284"/>
      <c r="BS254" s="284"/>
      <c r="BT254" s="284"/>
      <c r="BU254" s="284"/>
      <c r="BV254" s="284"/>
      <c r="BW254" s="284"/>
      <c r="BX254" s="284"/>
      <c r="BY254" s="284"/>
      <c r="BZ254" s="284"/>
      <c r="CA254" s="284"/>
      <c r="CB254" s="284"/>
      <c r="CC254" s="284"/>
      <c r="CD254" s="284"/>
      <c r="CE254" s="284"/>
      <c r="CF254" s="284"/>
    </row>
    <row r="255" spans="1:85" x14ac:dyDescent="0.35">
      <c r="A255" s="284" t="s">
        <v>1601</v>
      </c>
      <c r="B255" s="284" t="s">
        <v>184</v>
      </c>
      <c r="C255" t="s">
        <v>14290</v>
      </c>
      <c r="D255" s="284" t="s">
        <v>13023</v>
      </c>
      <c r="E255" s="284" t="s">
        <v>13065</v>
      </c>
      <c r="F255" s="284" t="s">
        <v>13114</v>
      </c>
      <c r="G255" s="284" t="s">
        <v>14214</v>
      </c>
      <c r="H255" s="284" t="s">
        <v>13083</v>
      </c>
      <c r="I255" s="284" t="s">
        <v>13000</v>
      </c>
      <c r="J255" s="284" t="s">
        <v>13086</v>
      </c>
      <c r="K255" s="284" t="s">
        <v>13028</v>
      </c>
      <c r="L255" s="284" t="s">
        <v>13076</v>
      </c>
      <c r="M255" s="284" t="s">
        <v>13100</v>
      </c>
      <c r="N255" s="284" t="s">
        <v>13005</v>
      </c>
      <c r="O255" s="284" t="s">
        <v>13007</v>
      </c>
      <c r="P255" s="284" t="s">
        <v>13103</v>
      </c>
      <c r="Q255" s="284" t="s">
        <v>13008</v>
      </c>
      <c r="R255" s="284" t="s">
        <v>13104</v>
      </c>
      <c r="S255" s="284" t="s">
        <v>13033</v>
      </c>
      <c r="T255" s="284" t="s">
        <v>13105</v>
      </c>
      <c r="U255" s="284" t="s">
        <v>13039</v>
      </c>
      <c r="V255" s="284" t="s">
        <v>13009</v>
      </c>
      <c r="W255" s="284" t="s">
        <v>13011</v>
      </c>
      <c r="X255" s="284" t="s">
        <v>13041</v>
      </c>
      <c r="Y255" s="284" t="s">
        <v>13106</v>
      </c>
      <c r="Z255" s="284" t="s">
        <v>13042</v>
      </c>
      <c r="AA255" s="284"/>
      <c r="AB255" s="284"/>
      <c r="AC255" s="284"/>
      <c r="AD255" s="284"/>
      <c r="AE255" s="284"/>
      <c r="AF255" s="284"/>
      <c r="AG255" s="284"/>
      <c r="AH255" s="284"/>
      <c r="AI255" s="284"/>
      <c r="AJ255" s="284"/>
      <c r="AK255" s="284"/>
      <c r="AL255" s="284"/>
      <c r="AM255" s="284"/>
      <c r="AN255" s="284"/>
      <c r="AO255" s="284"/>
      <c r="AP255" s="284"/>
      <c r="AQ255" s="284"/>
      <c r="AR255" s="284"/>
      <c r="AS255" s="284"/>
      <c r="AT255" s="284"/>
      <c r="AU255" s="284"/>
      <c r="AV255" s="284"/>
      <c r="AW255" s="284"/>
      <c r="AX255" s="284"/>
      <c r="AY255" s="284"/>
      <c r="AZ255" s="284"/>
      <c r="BA255" s="284"/>
      <c r="BB255" s="284"/>
      <c r="BC255" s="284"/>
      <c r="BD255" s="284"/>
      <c r="BE255" s="284"/>
      <c r="BF255" s="284"/>
      <c r="BG255" s="284"/>
      <c r="BH255" s="284"/>
      <c r="BI255" s="284"/>
      <c r="BJ255" s="284"/>
      <c r="BK255" s="284"/>
      <c r="BL255" s="284"/>
      <c r="BM255" s="284"/>
      <c r="BN255" s="284"/>
      <c r="BO255" s="284"/>
      <c r="BP255" s="284"/>
      <c r="BQ255" s="284"/>
      <c r="BR255" s="284"/>
      <c r="BS255" s="284"/>
      <c r="BT255" s="284"/>
      <c r="BU255" s="284"/>
      <c r="BV255" s="284"/>
      <c r="BW255" s="284"/>
      <c r="BX255" s="284"/>
      <c r="BY255" s="284"/>
      <c r="BZ255" s="284"/>
      <c r="CA255" s="284"/>
      <c r="CB255" s="284"/>
      <c r="CC255" s="284"/>
      <c r="CD255" s="284"/>
      <c r="CE255" s="284"/>
      <c r="CF255" s="284"/>
      <c r="CG255" s="284"/>
    </row>
    <row r="256" spans="1:85" x14ac:dyDescent="0.35">
      <c r="A256" s="284" t="s">
        <v>5835</v>
      </c>
      <c r="B256" s="284" t="s">
        <v>185</v>
      </c>
      <c r="C256" s="284" t="s">
        <v>14291</v>
      </c>
      <c r="D256" s="284" t="s">
        <v>13110</v>
      </c>
      <c r="E256" s="284" t="s">
        <v>13021</v>
      </c>
      <c r="F256" s="284" t="s">
        <v>14292</v>
      </c>
      <c r="G256" s="284" t="s">
        <v>13023</v>
      </c>
      <c r="H256" s="284" t="s">
        <v>14293</v>
      </c>
      <c r="I256" s="284" t="s">
        <v>13000</v>
      </c>
      <c r="J256" s="284" t="s">
        <v>14294</v>
      </c>
      <c r="K256" s="284" t="s">
        <v>13168</v>
      </c>
      <c r="L256" s="284" t="s">
        <v>13075</v>
      </c>
      <c r="M256" s="284" t="s">
        <v>14295</v>
      </c>
      <c r="N256" s="284" t="s">
        <v>13002</v>
      </c>
      <c r="O256" s="284" t="s">
        <v>13003</v>
      </c>
      <c r="P256" s="284" t="s">
        <v>13004</v>
      </c>
      <c r="Q256" s="284" t="s">
        <v>13076</v>
      </c>
      <c r="R256" s="284" t="s">
        <v>13190</v>
      </c>
      <c r="S256" s="284" t="s">
        <v>13005</v>
      </c>
      <c r="T256" s="284" t="s">
        <v>13007</v>
      </c>
      <c r="U256" s="284" t="s">
        <v>13008</v>
      </c>
      <c r="V256" s="284" t="s">
        <v>13077</v>
      </c>
      <c r="W256" s="284" t="s">
        <v>13679</v>
      </c>
      <c r="X256" s="284" t="s">
        <v>13033</v>
      </c>
      <c r="Y256" s="284" t="s">
        <v>13034</v>
      </c>
      <c r="Z256" s="284" t="s">
        <v>13037</v>
      </c>
      <c r="AA256" s="284" t="s">
        <v>13038</v>
      </c>
      <c r="AB256" s="284" t="s">
        <v>13039</v>
      </c>
      <c r="AC256" s="284" t="s">
        <v>13091</v>
      </c>
      <c r="AD256" s="284" t="s">
        <v>13009</v>
      </c>
      <c r="AE256" s="284" t="s">
        <v>13011</v>
      </c>
      <c r="AF256" s="284" t="s">
        <v>14296</v>
      </c>
      <c r="AG256" s="284" t="s">
        <v>13042</v>
      </c>
      <c r="AH256" s="284" t="s">
        <v>14297</v>
      </c>
      <c r="AI256" s="284" t="s">
        <v>13079</v>
      </c>
      <c r="AJ256" s="284" t="s">
        <v>13080</v>
      </c>
      <c r="AK256" s="284" t="s">
        <v>13108</v>
      </c>
      <c r="AL256" s="284"/>
      <c r="AM256" s="284"/>
      <c r="AN256" s="284"/>
      <c r="AO256" s="284"/>
      <c r="AP256" s="284"/>
      <c r="AQ256" s="284"/>
      <c r="AR256" s="284"/>
      <c r="AS256" s="284"/>
      <c r="AT256" s="284"/>
      <c r="AU256" s="284"/>
      <c r="AV256" s="284"/>
      <c r="AW256" s="284"/>
      <c r="AX256" s="284"/>
      <c r="AY256" s="284"/>
      <c r="AZ256" s="284"/>
      <c r="BA256" s="284"/>
      <c r="BB256" s="284"/>
      <c r="BC256" s="284"/>
      <c r="BD256" s="284"/>
      <c r="BE256" s="284"/>
      <c r="BF256" s="284"/>
      <c r="BG256" s="284"/>
      <c r="BH256" s="284"/>
      <c r="BI256" s="284"/>
      <c r="BJ256" s="284"/>
      <c r="BK256" s="284"/>
      <c r="BL256" s="284"/>
      <c r="BM256" s="284"/>
      <c r="BN256" s="284"/>
      <c r="BO256" s="284"/>
      <c r="BP256" s="284"/>
      <c r="BQ256" s="284"/>
      <c r="BR256" s="284"/>
      <c r="BS256" s="284"/>
      <c r="BT256" s="284"/>
      <c r="BU256" s="284"/>
      <c r="BV256" s="284"/>
      <c r="BW256" s="284"/>
      <c r="BX256" s="284"/>
      <c r="BY256" s="284"/>
      <c r="BZ256" s="284"/>
      <c r="CA256" s="284"/>
      <c r="CB256" s="284"/>
      <c r="CC256" s="284"/>
      <c r="CD256" s="284"/>
      <c r="CE256" s="284"/>
      <c r="CF256" s="284"/>
    </row>
    <row r="257" spans="1:85" x14ac:dyDescent="0.35">
      <c r="A257" s="284" t="s">
        <v>1393</v>
      </c>
      <c r="B257" s="284" t="s">
        <v>186</v>
      </c>
      <c r="C257" t="s">
        <v>14298</v>
      </c>
      <c r="D257" s="284" t="s">
        <v>13021</v>
      </c>
      <c r="E257" s="284" t="s">
        <v>13023</v>
      </c>
      <c r="F257" s="284" t="s">
        <v>13048</v>
      </c>
      <c r="G257" s="284" t="s">
        <v>13065</v>
      </c>
      <c r="H257" s="284" t="s">
        <v>13528</v>
      </c>
      <c r="I257" s="284" t="s">
        <v>13027</v>
      </c>
      <c r="J257" s="284" t="s">
        <v>13028</v>
      </c>
      <c r="K257" s="284" t="s">
        <v>13160</v>
      </c>
      <c r="L257" s="284" t="s">
        <v>13002</v>
      </c>
      <c r="M257" s="284" t="s">
        <v>13066</v>
      </c>
      <c r="N257" s="284" t="s">
        <v>13178</v>
      </c>
      <c r="O257" s="284" t="s">
        <v>13076</v>
      </c>
      <c r="P257" s="284" t="s">
        <v>13274</v>
      </c>
      <c r="Q257" s="284" t="s">
        <v>13190</v>
      </c>
      <c r="R257" s="284" t="s">
        <v>13621</v>
      </c>
      <c r="S257" s="284" t="s">
        <v>13007</v>
      </c>
      <c r="T257" s="284" t="s">
        <v>13340</v>
      </c>
      <c r="U257" s="284" t="s">
        <v>13034</v>
      </c>
      <c r="V257" s="284" t="s">
        <v>13036</v>
      </c>
      <c r="W257" s="284" t="s">
        <v>13037</v>
      </c>
      <c r="X257" s="284" t="s">
        <v>13078</v>
      </c>
      <c r="Y257" s="284" t="s">
        <v>13091</v>
      </c>
      <c r="Z257" s="284" t="s">
        <v>13009</v>
      </c>
      <c r="AA257" s="284" t="s">
        <v>13058</v>
      </c>
      <c r="AB257" s="284" t="s">
        <v>13205</v>
      </c>
      <c r="AC257" s="284" t="s">
        <v>13012</v>
      </c>
      <c r="AD257" s="284" t="s">
        <v>13220</v>
      </c>
      <c r="AE257" s="284" t="s">
        <v>13539</v>
      </c>
      <c r="AF257" s="284" t="s">
        <v>13014</v>
      </c>
      <c r="AG257" s="284" t="s">
        <v>14299</v>
      </c>
      <c r="AH257" s="284" t="s">
        <v>13541</v>
      </c>
      <c r="AI257" s="284"/>
      <c r="AJ257" s="284"/>
      <c r="AK257" s="284"/>
      <c r="AL257" s="284"/>
      <c r="AM257" s="284"/>
      <c r="AN257" s="284"/>
      <c r="AO257" s="284"/>
      <c r="AP257" s="284"/>
      <c r="AQ257" s="284"/>
      <c r="AR257" s="284"/>
      <c r="AS257" s="284"/>
      <c r="AT257" s="284"/>
      <c r="AU257" s="284"/>
      <c r="AV257" s="284"/>
      <c r="AW257" s="284"/>
      <c r="AX257" s="284"/>
      <c r="AY257" s="284"/>
      <c r="AZ257" s="284"/>
      <c r="BA257" s="284"/>
      <c r="BB257" s="284"/>
      <c r="BC257" s="284"/>
      <c r="BD257" s="284"/>
      <c r="BE257" s="284"/>
      <c r="BF257" s="284"/>
      <c r="BG257" s="284"/>
      <c r="BH257" s="284"/>
      <c r="BI257" s="284"/>
      <c r="BJ257" s="284"/>
      <c r="BK257" s="284"/>
      <c r="BL257" s="284"/>
      <c r="BM257" s="284"/>
      <c r="BN257" s="284"/>
      <c r="BO257" s="284"/>
      <c r="BP257" s="284"/>
      <c r="BQ257" s="284"/>
      <c r="BR257" s="284"/>
      <c r="BS257" s="284"/>
      <c r="BT257" s="284"/>
      <c r="BU257" s="284"/>
      <c r="BV257" s="284"/>
      <c r="BW257" s="284"/>
      <c r="BX257" s="284"/>
      <c r="BY257" s="284"/>
      <c r="BZ257" s="284"/>
      <c r="CA257" s="284"/>
      <c r="CB257" s="284"/>
      <c r="CC257" s="284"/>
      <c r="CD257" s="284"/>
      <c r="CE257" s="284"/>
      <c r="CF257" s="284"/>
      <c r="CG257" s="284"/>
    </row>
    <row r="258" spans="1:85" x14ac:dyDescent="0.35">
      <c r="A258" s="284" t="s">
        <v>3712</v>
      </c>
      <c r="B258" s="284" t="s">
        <v>187</v>
      </c>
      <c r="C258" s="284" t="s">
        <v>13021</v>
      </c>
      <c r="D258" s="284" t="s">
        <v>13113</v>
      </c>
      <c r="E258" s="284" t="s">
        <v>13047</v>
      </c>
      <c r="F258" s="284" t="s">
        <v>13048</v>
      </c>
      <c r="G258" s="284" t="s">
        <v>13082</v>
      </c>
      <c r="H258" s="284" t="s">
        <v>13065</v>
      </c>
      <c r="I258" s="284" t="s">
        <v>13049</v>
      </c>
      <c r="J258" s="284" t="s">
        <v>13027</v>
      </c>
      <c r="K258" s="284" t="s">
        <v>13050</v>
      </c>
      <c r="L258" s="284" t="s">
        <v>13028</v>
      </c>
      <c r="M258" s="284" t="s">
        <v>13190</v>
      </c>
      <c r="N258" s="284" t="s">
        <v>13007</v>
      </c>
      <c r="O258" s="284" t="s">
        <v>14032</v>
      </c>
      <c r="P258" s="284" t="s">
        <v>13033</v>
      </c>
      <c r="Q258" s="284" t="s">
        <v>13034</v>
      </c>
      <c r="R258" s="284" t="s">
        <v>14300</v>
      </c>
      <c r="S258" s="284" t="s">
        <v>13038</v>
      </c>
      <c r="T258" s="284" t="s">
        <v>13091</v>
      </c>
      <c r="U258" s="284" t="s">
        <v>13009</v>
      </c>
      <c r="V258" s="284" t="s">
        <v>13058</v>
      </c>
      <c r="W258" s="284" t="s">
        <v>13539</v>
      </c>
      <c r="X258" s="284" t="s">
        <v>13016</v>
      </c>
      <c r="Y258" s="284" t="s">
        <v>13541</v>
      </c>
      <c r="Z258" s="284" t="s">
        <v>13542</v>
      </c>
      <c r="AA258" s="284" t="s">
        <v>14301</v>
      </c>
      <c r="AB258" s="284"/>
      <c r="AC258" s="284"/>
      <c r="AD258" s="284"/>
      <c r="AE258" s="284"/>
      <c r="AF258" s="284"/>
      <c r="AG258" s="284"/>
      <c r="AH258" s="284"/>
      <c r="AI258" s="284"/>
      <c r="AJ258" s="284"/>
      <c r="AK258" s="284"/>
      <c r="AL258" s="284"/>
      <c r="AM258" s="284"/>
      <c r="AN258" s="284"/>
      <c r="AO258" s="284"/>
      <c r="AP258" s="284"/>
      <c r="AQ258" s="284"/>
      <c r="AR258" s="284"/>
      <c r="AS258" s="284"/>
      <c r="AT258" s="284"/>
      <c r="AU258" s="284"/>
      <c r="AV258" s="284"/>
      <c r="AW258" s="284"/>
      <c r="AX258" s="284"/>
      <c r="AY258" s="284"/>
      <c r="AZ258" s="284"/>
      <c r="BA258" s="284"/>
      <c r="BB258" s="284"/>
      <c r="BC258" s="284"/>
      <c r="BD258" s="284"/>
      <c r="BE258" s="284"/>
      <c r="BF258" s="284"/>
      <c r="BG258" s="284"/>
      <c r="BH258" s="284"/>
      <c r="BI258" s="284"/>
      <c r="BJ258" s="284"/>
      <c r="BK258" s="284"/>
      <c r="BL258" s="284"/>
      <c r="BM258" s="284"/>
      <c r="BN258" s="284"/>
      <c r="BO258" s="284"/>
      <c r="BP258" s="284"/>
      <c r="BQ258" s="284"/>
      <c r="BR258" s="284"/>
      <c r="BS258" s="284"/>
      <c r="BT258" s="284"/>
      <c r="BU258" s="284"/>
      <c r="BV258" s="284"/>
      <c r="BW258" s="284"/>
      <c r="BX258" s="284"/>
      <c r="BY258" s="284"/>
      <c r="BZ258" s="284"/>
      <c r="CA258" s="284"/>
      <c r="CB258" s="284"/>
      <c r="CC258" s="284"/>
      <c r="CD258" s="284"/>
      <c r="CE258" s="284"/>
      <c r="CF258" s="284"/>
    </row>
    <row r="259" spans="1:85" x14ac:dyDescent="0.35">
      <c r="A259" s="284" t="s">
        <v>12405</v>
      </c>
      <c r="B259" s="284" t="s">
        <v>188</v>
      </c>
      <c r="C259" t="s">
        <v>14302</v>
      </c>
      <c r="D259" s="284" t="s">
        <v>13110</v>
      </c>
      <c r="E259" s="284" t="s">
        <v>13112</v>
      </c>
      <c r="F259" s="284" t="s">
        <v>14303</v>
      </c>
      <c r="G259" s="284" t="s">
        <v>13000</v>
      </c>
      <c r="H259" s="284" t="s">
        <v>13212</v>
      </c>
      <c r="I259" s="284" t="s">
        <v>14304</v>
      </c>
      <c r="J259" s="284" t="s">
        <v>13350</v>
      </c>
      <c r="K259" s="284" t="s">
        <v>14305</v>
      </c>
      <c r="L259" s="284" t="s">
        <v>14306</v>
      </c>
      <c r="M259" s="284" t="s">
        <v>13001</v>
      </c>
      <c r="N259" s="284" t="s">
        <v>13028</v>
      </c>
      <c r="O259" s="284" t="s">
        <v>13002</v>
      </c>
      <c r="P259" s="284" t="s">
        <v>13003</v>
      </c>
      <c r="Q259" s="284" t="s">
        <v>13437</v>
      </c>
      <c r="R259" s="284" t="s">
        <v>13735</v>
      </c>
      <c r="S259" s="284" t="s">
        <v>13076</v>
      </c>
      <c r="T259" s="284" t="s">
        <v>13100</v>
      </c>
      <c r="U259" s="284" t="s">
        <v>13005</v>
      </c>
      <c r="V259" s="284" t="s">
        <v>13101</v>
      </c>
      <c r="W259" s="284" t="s">
        <v>13029</v>
      </c>
      <c r="X259" s="284" t="s">
        <v>13577</v>
      </c>
      <c r="Y259" s="284" t="s">
        <v>13006</v>
      </c>
      <c r="Z259" s="284" t="s">
        <v>13102</v>
      </c>
      <c r="AA259" s="284" t="s">
        <v>13678</v>
      </c>
      <c r="AB259" s="284" t="s">
        <v>13103</v>
      </c>
      <c r="AC259" s="284" t="s">
        <v>13054</v>
      </c>
      <c r="AD259" s="284" t="s">
        <v>13340</v>
      </c>
      <c r="AE259" s="284" t="s">
        <v>13008</v>
      </c>
      <c r="AF259" s="284" t="s">
        <v>13133</v>
      </c>
      <c r="AG259" s="284" t="s">
        <v>13055</v>
      </c>
      <c r="AH259" s="284" t="s">
        <v>13104</v>
      </c>
      <c r="AI259" s="284" t="s">
        <v>13737</v>
      </c>
      <c r="AJ259" s="284" t="s">
        <v>13033</v>
      </c>
      <c r="AK259" s="284" t="s">
        <v>13738</v>
      </c>
      <c r="AL259" s="284" t="s">
        <v>13739</v>
      </c>
      <c r="AM259" s="284" t="s">
        <v>13078</v>
      </c>
      <c r="AN259" s="284" t="s">
        <v>13091</v>
      </c>
      <c r="AO259" s="284" t="s">
        <v>13009</v>
      </c>
      <c r="AP259" s="284" t="s">
        <v>14307</v>
      </c>
      <c r="AQ259" s="284" t="s">
        <v>13011</v>
      </c>
      <c r="AR259" s="284" t="s">
        <v>13058</v>
      </c>
      <c r="AS259" s="284" t="s">
        <v>14028</v>
      </c>
      <c r="AT259" s="284" t="s">
        <v>13106</v>
      </c>
      <c r="AU259" s="284" t="s">
        <v>13138</v>
      </c>
      <c r="AV259" s="284" t="s">
        <v>13014</v>
      </c>
      <c r="AW259" s="284" t="s">
        <v>13141</v>
      </c>
      <c r="AX259" s="284" t="s">
        <v>14308</v>
      </c>
      <c r="AY259" s="284" t="s">
        <v>13042</v>
      </c>
      <c r="AZ259" s="284" t="s">
        <v>14309</v>
      </c>
      <c r="BA259" s="284" t="s">
        <v>14310</v>
      </c>
      <c r="BB259" s="284" t="s">
        <v>14311</v>
      </c>
      <c r="BC259" s="284"/>
      <c r="BD259" s="284"/>
      <c r="BE259" s="284"/>
      <c r="BF259" s="284"/>
      <c r="BG259" s="284"/>
      <c r="BH259" s="284"/>
      <c r="BI259" s="284"/>
      <c r="BJ259" s="284"/>
      <c r="BK259" s="284"/>
      <c r="BL259" s="284"/>
      <c r="BM259" s="284"/>
      <c r="BN259" s="284"/>
      <c r="BO259" s="284"/>
      <c r="BP259" s="284"/>
      <c r="BQ259" s="284"/>
      <c r="BR259" s="284"/>
      <c r="BS259" s="284"/>
      <c r="BT259" s="284"/>
      <c r="BU259" s="284"/>
      <c r="BV259" s="284"/>
      <c r="BW259" s="284"/>
      <c r="BX259" s="284"/>
      <c r="BY259" s="284"/>
      <c r="BZ259" s="284"/>
      <c r="CA259" s="284"/>
      <c r="CB259" s="284"/>
      <c r="CC259" s="284"/>
      <c r="CD259" s="284"/>
      <c r="CE259" s="284"/>
      <c r="CF259" s="284"/>
      <c r="CG259" s="284"/>
    </row>
    <row r="260" spans="1:85" x14ac:dyDescent="0.35">
      <c r="A260" s="284" t="s">
        <v>10018</v>
      </c>
      <c r="B260" s="284" t="s">
        <v>189</v>
      </c>
      <c r="C260" t="s">
        <v>14312</v>
      </c>
      <c r="D260" s="284" t="s">
        <v>13023</v>
      </c>
      <c r="E260" s="284" t="s">
        <v>13968</v>
      </c>
      <c r="F260" s="284" t="s">
        <v>13065</v>
      </c>
      <c r="G260" s="284" t="s">
        <v>13289</v>
      </c>
      <c r="H260" s="284" t="s">
        <v>13238</v>
      </c>
      <c r="I260" s="284" t="s">
        <v>13499</v>
      </c>
      <c r="J260" s="284" t="s">
        <v>13500</v>
      </c>
      <c r="K260" s="284" t="s">
        <v>13027</v>
      </c>
      <c r="L260" s="284" t="s">
        <v>13148</v>
      </c>
      <c r="M260" s="284" t="s">
        <v>13028</v>
      </c>
      <c r="N260" s="284" t="s">
        <v>13160</v>
      </c>
      <c r="O260" s="284" t="s">
        <v>13003</v>
      </c>
      <c r="P260" s="284" t="s">
        <v>13066</v>
      </c>
      <c r="Q260" s="284" t="s">
        <v>13290</v>
      </c>
      <c r="R260" s="284" t="s">
        <v>13291</v>
      </c>
      <c r="S260" s="284" t="s">
        <v>13274</v>
      </c>
      <c r="T260" s="284" t="s">
        <v>13005</v>
      </c>
      <c r="U260" s="284" t="s">
        <v>13249</v>
      </c>
      <c r="V260" s="284" t="s">
        <v>13516</v>
      </c>
      <c r="W260" s="284" t="s">
        <v>13972</v>
      </c>
      <c r="X260" s="284" t="s">
        <v>13276</v>
      </c>
      <c r="Y260" s="284" t="s">
        <v>13032</v>
      </c>
      <c r="Z260" s="284" t="s">
        <v>13033</v>
      </c>
      <c r="AA260" s="284" t="s">
        <v>13036</v>
      </c>
      <c r="AB260" s="284" t="s">
        <v>13277</v>
      </c>
      <c r="AC260" s="284" t="s">
        <v>13038</v>
      </c>
      <c r="AD260" s="284" t="s">
        <v>14155</v>
      </c>
      <c r="AE260" s="284" t="s">
        <v>13078</v>
      </c>
      <c r="AF260" s="284" t="s">
        <v>13009</v>
      </c>
      <c r="AG260" s="284" t="s">
        <v>13974</v>
      </c>
      <c r="AH260" s="284" t="s">
        <v>13489</v>
      </c>
      <c r="AI260" s="284" t="s">
        <v>13014</v>
      </c>
      <c r="AJ260" s="284" t="s">
        <v>13042</v>
      </c>
      <c r="AK260" s="284" t="s">
        <v>13495</v>
      </c>
      <c r="AL260" s="284" t="s">
        <v>13286</v>
      </c>
      <c r="AM260" s="284"/>
      <c r="AN260" s="284"/>
      <c r="AO260" s="284"/>
      <c r="AP260" s="284"/>
      <c r="AQ260" s="284"/>
      <c r="AR260" s="284"/>
      <c r="AS260" s="284"/>
      <c r="AT260" s="284"/>
      <c r="AU260" s="284"/>
      <c r="AV260" s="284"/>
      <c r="AW260" s="284"/>
      <c r="AX260" s="284"/>
      <c r="AY260" s="284"/>
      <c r="AZ260" s="284"/>
      <c r="BA260" s="284"/>
      <c r="BB260" s="284"/>
      <c r="BC260" s="284"/>
      <c r="BD260" s="284"/>
      <c r="BE260" s="284"/>
      <c r="BF260" s="284"/>
      <c r="BG260" s="284"/>
      <c r="BH260" s="284"/>
      <c r="BI260" s="284"/>
      <c r="BJ260" s="284"/>
      <c r="BK260" s="284"/>
      <c r="BL260" s="284"/>
      <c r="BM260" s="284"/>
      <c r="BN260" s="284"/>
      <c r="BO260" s="284"/>
      <c r="BP260" s="284"/>
      <c r="BQ260" s="284"/>
      <c r="BR260" s="284"/>
      <c r="BS260" s="284"/>
      <c r="BT260" s="284"/>
      <c r="BU260" s="284"/>
      <c r="BV260" s="284"/>
      <c r="BW260" s="284"/>
      <c r="BX260" s="284"/>
      <c r="BY260" s="284"/>
      <c r="BZ260" s="284"/>
      <c r="CA260" s="284"/>
      <c r="CB260" s="284"/>
      <c r="CC260" s="284"/>
      <c r="CD260" s="284"/>
      <c r="CE260" s="284"/>
      <c r="CF260" s="284"/>
      <c r="CG260" s="284"/>
    </row>
    <row r="261" spans="1:85" x14ac:dyDescent="0.35">
      <c r="A261" s="284" t="s">
        <v>5876</v>
      </c>
      <c r="B261" s="284" t="s">
        <v>190</v>
      </c>
      <c r="C261" t="s">
        <v>14313</v>
      </c>
      <c r="D261" s="284" t="s">
        <v>13110</v>
      </c>
      <c r="E261" s="284" t="s">
        <v>13353</v>
      </c>
      <c r="F261" s="284" t="s">
        <v>13021</v>
      </c>
      <c r="G261" s="284" t="s">
        <v>13023</v>
      </c>
      <c r="H261" s="284" t="s">
        <v>14314</v>
      </c>
      <c r="I261" s="284" t="s">
        <v>13288</v>
      </c>
      <c r="J261" s="284" t="s">
        <v>13000</v>
      </c>
      <c r="K261" s="284" t="s">
        <v>13212</v>
      </c>
      <c r="L261" s="284" t="s">
        <v>14315</v>
      </c>
      <c r="M261" s="284" t="s">
        <v>13074</v>
      </c>
      <c r="N261" s="284" t="s">
        <v>13027</v>
      </c>
      <c r="O261" s="284" t="s">
        <v>13075</v>
      </c>
      <c r="P261" s="284" t="s">
        <v>13001</v>
      </c>
      <c r="Q261" s="284" t="s">
        <v>13050</v>
      </c>
      <c r="R261" s="284" t="s">
        <v>14295</v>
      </c>
      <c r="S261" s="284" t="s">
        <v>13028</v>
      </c>
      <c r="T261" s="284" t="s">
        <v>13002</v>
      </c>
      <c r="U261" s="284" t="s">
        <v>13004</v>
      </c>
      <c r="V261" s="284" t="s">
        <v>13007</v>
      </c>
      <c r="W261" s="284" t="s">
        <v>13340</v>
      </c>
      <c r="X261" s="284" t="s">
        <v>13008</v>
      </c>
      <c r="Y261" s="284" t="s">
        <v>13077</v>
      </c>
      <c r="Z261" s="284" t="s">
        <v>13679</v>
      </c>
      <c r="AA261" s="284" t="s">
        <v>13218</v>
      </c>
      <c r="AB261" s="284" t="s">
        <v>13389</v>
      </c>
      <c r="AC261" s="284" t="s">
        <v>13569</v>
      </c>
      <c r="AD261" s="284" t="s">
        <v>13038</v>
      </c>
      <c r="AE261" s="284" t="s">
        <v>13039</v>
      </c>
      <c r="AF261" s="284" t="s">
        <v>13078</v>
      </c>
      <c r="AG261" s="284" t="s">
        <v>13009</v>
      </c>
      <c r="AH261" s="284" t="s">
        <v>14316</v>
      </c>
      <c r="AI261" s="284" t="s">
        <v>13092</v>
      </c>
      <c r="AJ261" s="284" t="s">
        <v>13041</v>
      </c>
      <c r="AK261" s="284" t="s">
        <v>14317</v>
      </c>
      <c r="AL261" s="284" t="s">
        <v>13042</v>
      </c>
      <c r="AM261" s="284" t="s">
        <v>13079</v>
      </c>
      <c r="AN261" s="284" t="s">
        <v>13080</v>
      </c>
      <c r="AO261" s="284" t="s">
        <v>13016</v>
      </c>
      <c r="AP261" s="284" t="s">
        <v>13108</v>
      </c>
      <c r="AQ261" s="284"/>
      <c r="AR261" s="284"/>
      <c r="AS261" s="284"/>
      <c r="AT261" s="284"/>
      <c r="AU261" s="284"/>
      <c r="AV261" s="284"/>
      <c r="AW261" s="284"/>
      <c r="AX261" s="284"/>
      <c r="AY261" s="284"/>
      <c r="AZ261" s="284"/>
      <c r="BA261" s="284"/>
      <c r="BB261" s="284"/>
      <c r="BC261" s="284"/>
      <c r="BD261" s="284"/>
      <c r="BE261" s="284"/>
      <c r="BF261" s="284"/>
      <c r="BG261" s="284"/>
      <c r="BH261" s="284"/>
      <c r="BI261" s="284"/>
      <c r="BJ261" s="284"/>
      <c r="BK261" s="284"/>
      <c r="BL261" s="284"/>
      <c r="BM261" s="284"/>
      <c r="BN261" s="284"/>
      <c r="BO261" s="284"/>
      <c r="BP261" s="284"/>
      <c r="BQ261" s="284"/>
      <c r="BR261" s="284"/>
      <c r="BS261" s="284"/>
      <c r="BT261" s="284"/>
      <c r="BU261" s="284"/>
      <c r="BV261" s="284"/>
      <c r="BW261" s="284"/>
      <c r="BX261" s="284"/>
      <c r="BY261" s="284"/>
      <c r="BZ261" s="284"/>
      <c r="CA261" s="284"/>
      <c r="CB261" s="284"/>
      <c r="CC261" s="284"/>
      <c r="CD261" s="284"/>
      <c r="CE261" s="284"/>
      <c r="CF261" s="284"/>
      <c r="CG261" s="284"/>
    </row>
    <row r="262" spans="1:85" x14ac:dyDescent="0.35">
      <c r="A262" s="284" t="s">
        <v>4456</v>
      </c>
      <c r="B262" s="284" t="s">
        <v>191</v>
      </c>
      <c r="C262" t="s">
        <v>14318</v>
      </c>
      <c r="D262" s="284" t="s">
        <v>13072</v>
      </c>
      <c r="E262" s="284" t="s">
        <v>13023</v>
      </c>
      <c r="F262" s="284" t="s">
        <v>13348</v>
      </c>
      <c r="G262" s="284" t="s">
        <v>13083</v>
      </c>
      <c r="H262" s="284" t="s">
        <v>13000</v>
      </c>
      <c r="I262" s="284" t="s">
        <v>13119</v>
      </c>
      <c r="J262" s="284" t="s">
        <v>13084</v>
      </c>
      <c r="K262" s="284" t="s">
        <v>13074</v>
      </c>
      <c r="L262" s="284" t="s">
        <v>13086</v>
      </c>
      <c r="M262" s="284" t="s">
        <v>13087</v>
      </c>
      <c r="N262" s="284" t="s">
        <v>13027</v>
      </c>
      <c r="O262" s="284" t="s">
        <v>13001</v>
      </c>
      <c r="P262" s="284" t="s">
        <v>13149</v>
      </c>
      <c r="Q262" s="284" t="s">
        <v>13050</v>
      </c>
      <c r="R262" s="284" t="s">
        <v>13002</v>
      </c>
      <c r="S262" s="284" t="s">
        <v>13003</v>
      </c>
      <c r="T262" s="284" t="s">
        <v>13426</v>
      </c>
      <c r="U262" s="284" t="s">
        <v>13066</v>
      </c>
      <c r="V262" s="284" t="s">
        <v>13076</v>
      </c>
      <c r="W262" s="284" t="s">
        <v>13005</v>
      </c>
      <c r="X262" s="284" t="s">
        <v>13029</v>
      </c>
      <c r="Y262" s="284" t="s">
        <v>13006</v>
      </c>
      <c r="Z262" s="284" t="s">
        <v>13007</v>
      </c>
      <c r="AA262" s="284" t="s">
        <v>13217</v>
      </c>
      <c r="AB262" s="284" t="s">
        <v>13008</v>
      </c>
      <c r="AC262" s="284" t="s">
        <v>13104</v>
      </c>
      <c r="AD262" s="284" t="s">
        <v>13033</v>
      </c>
      <c r="AE262" s="284" t="s">
        <v>13037</v>
      </c>
      <c r="AF262" s="284" t="s">
        <v>13038</v>
      </c>
      <c r="AG262" s="284" t="s">
        <v>13039</v>
      </c>
      <c r="AH262" s="284" t="s">
        <v>13091</v>
      </c>
      <c r="AI262" s="284" t="s">
        <v>13041</v>
      </c>
      <c r="AJ262" s="284" t="s">
        <v>13106</v>
      </c>
      <c r="AK262" s="284" t="s">
        <v>13428</v>
      </c>
      <c r="AL262" s="284"/>
      <c r="AM262" s="284"/>
      <c r="AN262" s="284"/>
      <c r="AO262" s="284"/>
      <c r="AP262" s="284"/>
      <c r="AQ262" s="284"/>
      <c r="AR262" s="284"/>
      <c r="AS262" s="284"/>
      <c r="AT262" s="284"/>
      <c r="AU262" s="284"/>
      <c r="AV262" s="284"/>
      <c r="AW262" s="284"/>
      <c r="AX262" s="284"/>
      <c r="AY262" s="284"/>
      <c r="AZ262" s="284"/>
      <c r="BA262" s="284"/>
      <c r="BB262" s="284"/>
      <c r="BC262" s="284"/>
      <c r="BD262" s="284"/>
      <c r="BE262" s="284"/>
      <c r="BF262" s="284"/>
      <c r="BG262" s="284"/>
      <c r="BH262" s="284"/>
      <c r="BI262" s="284"/>
      <c r="BJ262" s="284"/>
      <c r="BK262" s="284"/>
      <c r="BL262" s="284"/>
      <c r="BM262" s="284"/>
      <c r="BN262" s="284"/>
      <c r="BO262" s="284"/>
      <c r="BP262" s="284"/>
      <c r="BQ262" s="284"/>
      <c r="BR262" s="284"/>
      <c r="BS262" s="284"/>
      <c r="BT262" s="284"/>
      <c r="BU262" s="284"/>
      <c r="BV262" s="284"/>
      <c r="BW262" s="284"/>
      <c r="BX262" s="284"/>
      <c r="BY262" s="284"/>
      <c r="BZ262" s="284"/>
      <c r="CA262" s="284"/>
      <c r="CB262" s="284"/>
      <c r="CC262" s="284"/>
      <c r="CD262" s="284"/>
      <c r="CE262" s="284"/>
      <c r="CF262" s="284"/>
      <c r="CG262" s="284"/>
    </row>
    <row r="263" spans="1:85" x14ac:dyDescent="0.35">
      <c r="A263" s="284" t="s">
        <v>7712</v>
      </c>
      <c r="B263" s="284" t="s">
        <v>192</v>
      </c>
      <c r="C263" t="s">
        <v>14319</v>
      </c>
      <c r="D263" s="284" t="s">
        <v>13110</v>
      </c>
      <c r="E263" s="284" t="s">
        <v>13167</v>
      </c>
      <c r="F263" s="284" t="s">
        <v>13021</v>
      </c>
      <c r="G263" s="284" t="s">
        <v>13022</v>
      </c>
      <c r="H263" s="284" t="s">
        <v>13023</v>
      </c>
      <c r="I263" s="284" t="s">
        <v>13048</v>
      </c>
      <c r="J263" s="284" t="s">
        <v>13082</v>
      </c>
      <c r="K263" s="284" t="s">
        <v>13159</v>
      </c>
      <c r="L263" s="284" t="s">
        <v>14320</v>
      </c>
      <c r="M263" s="284" t="s">
        <v>13000</v>
      </c>
      <c r="N263" s="284" t="s">
        <v>13119</v>
      </c>
      <c r="O263" s="284" t="s">
        <v>14321</v>
      </c>
      <c r="P263" s="284" t="s">
        <v>13085</v>
      </c>
      <c r="Q263" s="284" t="s">
        <v>13243</v>
      </c>
      <c r="R263" s="284" t="s">
        <v>13028</v>
      </c>
      <c r="S263" s="284" t="s">
        <v>13160</v>
      </c>
      <c r="T263" s="284" t="s">
        <v>13002</v>
      </c>
      <c r="U263" s="284" t="s">
        <v>13178</v>
      </c>
      <c r="V263" s="284" t="s">
        <v>13076</v>
      </c>
      <c r="W263" s="284" t="s">
        <v>13331</v>
      </c>
      <c r="X263" s="284" t="s">
        <v>13005</v>
      </c>
      <c r="Y263" s="284" t="s">
        <v>13006</v>
      </c>
      <c r="Z263" s="284" t="s">
        <v>13007</v>
      </c>
      <c r="AA263" s="284" t="s">
        <v>14322</v>
      </c>
      <c r="AB263" s="284" t="s">
        <v>13104</v>
      </c>
      <c r="AC263" s="284" t="s">
        <v>13831</v>
      </c>
      <c r="AD263" s="284" t="s">
        <v>13035</v>
      </c>
      <c r="AE263" s="284" t="s">
        <v>13038</v>
      </c>
      <c r="AF263" s="284" t="s">
        <v>13009</v>
      </c>
      <c r="AG263" s="284" t="s">
        <v>13403</v>
      </c>
      <c r="AH263" s="284" t="s">
        <v>13058</v>
      </c>
      <c r="AI263" s="284" t="s">
        <v>13012</v>
      </c>
      <c r="AJ263" s="284" t="s">
        <v>13060</v>
      </c>
      <c r="AK263" s="284" t="s">
        <v>13014</v>
      </c>
      <c r="AL263" s="284" t="s">
        <v>13207</v>
      </c>
      <c r="AM263" s="284"/>
      <c r="AN263" s="284"/>
      <c r="AO263" s="284"/>
      <c r="AP263" s="284"/>
      <c r="AQ263" s="284"/>
      <c r="AR263" s="284"/>
      <c r="AS263" s="284"/>
      <c r="AT263" s="284"/>
      <c r="AU263" s="284"/>
      <c r="AV263" s="284"/>
      <c r="AW263" s="284"/>
      <c r="AX263" s="284"/>
      <c r="AY263" s="284"/>
      <c r="AZ263" s="284"/>
      <c r="BA263" s="284"/>
      <c r="BB263" s="284"/>
      <c r="BC263" s="284"/>
      <c r="BD263" s="284"/>
      <c r="BE263" s="284"/>
      <c r="BF263" s="284"/>
      <c r="BG263" s="284"/>
      <c r="BH263" s="284"/>
      <c r="BI263" s="284"/>
      <c r="BJ263" s="284"/>
      <c r="BK263" s="284"/>
      <c r="BL263" s="284"/>
      <c r="BM263" s="284"/>
      <c r="BN263" s="284"/>
      <c r="BO263" s="284"/>
      <c r="BP263" s="284"/>
      <c r="BQ263" s="284"/>
      <c r="BR263" s="284"/>
      <c r="BS263" s="284"/>
      <c r="BT263" s="284"/>
      <c r="BU263" s="284"/>
      <c r="BV263" s="284"/>
      <c r="BW263" s="284"/>
      <c r="BX263" s="284"/>
      <c r="BY263" s="284"/>
      <c r="BZ263" s="284"/>
      <c r="CA263" s="284"/>
      <c r="CB263" s="284"/>
      <c r="CC263" s="284"/>
      <c r="CD263" s="284"/>
      <c r="CE263" s="284"/>
      <c r="CF263" s="284"/>
      <c r="CG263" s="284"/>
    </row>
    <row r="264" spans="1:85" x14ac:dyDescent="0.35">
      <c r="A264" s="284" t="s">
        <v>11103</v>
      </c>
      <c r="B264" s="284" t="s">
        <v>193</v>
      </c>
      <c r="C264" s="284" t="s">
        <v>13146</v>
      </c>
      <c r="D264" s="284" t="s">
        <v>13072</v>
      </c>
      <c r="E264" s="284" t="s">
        <v>13023</v>
      </c>
      <c r="F264" s="284" t="s">
        <v>13113</v>
      </c>
      <c r="G264" s="284" t="s">
        <v>13082</v>
      </c>
      <c r="H264" s="284" t="s">
        <v>13065</v>
      </c>
      <c r="I264" s="284" t="s">
        <v>13315</v>
      </c>
      <c r="J264" s="284" t="s">
        <v>13321</v>
      </c>
      <c r="K264" s="284" t="s">
        <v>14323</v>
      </c>
      <c r="L264" s="284" t="s">
        <v>13099</v>
      </c>
      <c r="M264" s="284" t="s">
        <v>13552</v>
      </c>
      <c r="N264" s="284" t="s">
        <v>14324</v>
      </c>
      <c r="O264" s="284" t="s">
        <v>13027</v>
      </c>
      <c r="P264" s="284" t="s">
        <v>13148</v>
      </c>
      <c r="Q264" s="284" t="s">
        <v>13001</v>
      </c>
      <c r="R264" s="284" t="s">
        <v>13028</v>
      </c>
      <c r="S264" s="284" t="s">
        <v>13150</v>
      </c>
      <c r="T264" s="284" t="s">
        <v>13002</v>
      </c>
      <c r="U264" s="284" t="s">
        <v>13003</v>
      </c>
      <c r="V264" s="284" t="s">
        <v>13420</v>
      </c>
      <c r="W264" s="284" t="s">
        <v>13066</v>
      </c>
      <c r="X264" s="284" t="s">
        <v>13323</v>
      </c>
      <c r="Y264" s="284" t="s">
        <v>13557</v>
      </c>
      <c r="Z264" s="284" t="s">
        <v>13201</v>
      </c>
      <c r="AA264" s="284" t="s">
        <v>13652</v>
      </c>
      <c r="AB264" s="284" t="s">
        <v>13029</v>
      </c>
      <c r="AC264" s="284" t="s">
        <v>13033</v>
      </c>
      <c r="AD264" s="284" t="s">
        <v>13171</v>
      </c>
      <c r="AE264" s="284" t="s">
        <v>13038</v>
      </c>
      <c r="AF264" s="284" t="s">
        <v>13039</v>
      </c>
      <c r="AG264" s="284" t="s">
        <v>13152</v>
      </c>
      <c r="AH264" s="284" t="s">
        <v>13041</v>
      </c>
      <c r="AI264" s="284" t="s">
        <v>13012</v>
      </c>
      <c r="AJ264" s="284" t="s">
        <v>13014</v>
      </c>
      <c r="AK264" s="284" t="s">
        <v>13042</v>
      </c>
      <c r="AL264" s="284" t="s">
        <v>13154</v>
      </c>
      <c r="AM264" s="284" t="s">
        <v>13155</v>
      </c>
      <c r="AN264" s="284" t="s">
        <v>14325</v>
      </c>
      <c r="AO264" s="284" t="s">
        <v>13016</v>
      </c>
      <c r="AP264" s="284" t="s">
        <v>13157</v>
      </c>
      <c r="AQ264" s="284" t="s">
        <v>13286</v>
      </c>
      <c r="AR264" s="284"/>
      <c r="AS264" s="284"/>
      <c r="AT264" s="284"/>
      <c r="AU264" s="284"/>
      <c r="AV264" s="284"/>
      <c r="AW264" s="284"/>
      <c r="AX264" s="284"/>
      <c r="AY264" s="284"/>
      <c r="AZ264" s="284"/>
      <c r="BA264" s="284"/>
      <c r="BB264" s="284"/>
      <c r="BC264" s="284"/>
      <c r="BD264" s="284"/>
      <c r="BE264" s="284"/>
      <c r="BF264" s="284"/>
      <c r="BG264" s="284"/>
      <c r="BH264" s="284"/>
      <c r="BI264" s="284"/>
      <c r="BJ264" s="284"/>
      <c r="BK264" s="284"/>
      <c r="BL264" s="284"/>
      <c r="BM264" s="284"/>
      <c r="BN264" s="284"/>
      <c r="BO264" s="284"/>
      <c r="BP264" s="284"/>
      <c r="BQ264" s="284"/>
      <c r="BR264" s="284"/>
      <c r="BS264" s="284"/>
      <c r="BT264" s="284"/>
      <c r="BU264" s="284"/>
      <c r="BV264" s="284"/>
      <c r="BW264" s="284"/>
      <c r="BX264" s="284"/>
      <c r="BY264" s="284"/>
      <c r="BZ264" s="284"/>
      <c r="CA264" s="284"/>
      <c r="CB264" s="284"/>
      <c r="CC264" s="284"/>
      <c r="CD264" s="284"/>
      <c r="CE264" s="284"/>
      <c r="CF264" s="284"/>
    </row>
    <row r="265" spans="1:85" x14ac:dyDescent="0.35">
      <c r="A265" s="284" t="s">
        <v>10853</v>
      </c>
      <c r="B265" s="284" t="s">
        <v>194</v>
      </c>
      <c r="C265" s="284" t="s">
        <v>14326</v>
      </c>
      <c r="D265" s="284" t="s">
        <v>13022</v>
      </c>
      <c r="E265" s="284" t="s">
        <v>13023</v>
      </c>
      <c r="F265" s="284" t="s">
        <v>13082</v>
      </c>
      <c r="G265" s="284" t="s">
        <v>13230</v>
      </c>
      <c r="H265" s="284" t="s">
        <v>13235</v>
      </c>
      <c r="I265" s="284" t="s">
        <v>14327</v>
      </c>
      <c r="J265" s="284" t="s">
        <v>13237</v>
      </c>
      <c r="K265" s="284" t="s">
        <v>13000</v>
      </c>
      <c r="L265" s="284" t="s">
        <v>13027</v>
      </c>
      <c r="M265" s="284" t="s">
        <v>13243</v>
      </c>
      <c r="N265" s="284" t="s">
        <v>13001</v>
      </c>
      <c r="O265" s="284" t="s">
        <v>14328</v>
      </c>
      <c r="P265" s="284" t="s">
        <v>13003</v>
      </c>
      <c r="Q265" s="284" t="s">
        <v>13066</v>
      </c>
      <c r="R265" s="284" t="s">
        <v>14329</v>
      </c>
      <c r="S265" s="284" t="s">
        <v>13248</v>
      </c>
      <c r="T265" s="284" t="s">
        <v>13250</v>
      </c>
      <c r="U265" s="284" t="s">
        <v>13516</v>
      </c>
      <c r="V265" s="284" t="s">
        <v>14330</v>
      </c>
      <c r="W265" s="284" t="s">
        <v>13035</v>
      </c>
      <c r="X265" s="284" t="s">
        <v>13091</v>
      </c>
      <c r="Y265" s="284" t="s">
        <v>13009</v>
      </c>
      <c r="Z265" s="284" t="s">
        <v>13011</v>
      </c>
      <c r="AA265" s="284" t="s">
        <v>13012</v>
      </c>
      <c r="AB265" s="284" t="s">
        <v>14331</v>
      </c>
      <c r="AC265" s="284" t="s">
        <v>13264</v>
      </c>
      <c r="AD265" s="284" t="s">
        <v>13222</v>
      </c>
      <c r="AE265" s="284" t="s">
        <v>13267</v>
      </c>
      <c r="AF265" s="284" t="s">
        <v>13867</v>
      </c>
      <c r="AG265" s="284" t="s">
        <v>13144</v>
      </c>
      <c r="AH265" s="284" t="s">
        <v>14159</v>
      </c>
      <c r="AI265" s="284"/>
      <c r="AJ265" s="284"/>
      <c r="AK265" s="284"/>
      <c r="AL265" s="284"/>
      <c r="AM265" s="284"/>
      <c r="AN265" s="284"/>
      <c r="AO265" s="284"/>
      <c r="AP265" s="284"/>
      <c r="AQ265" s="284"/>
      <c r="AR265" s="284"/>
      <c r="AS265" s="284"/>
      <c r="AT265" s="284"/>
      <c r="AU265" s="284"/>
      <c r="AV265" s="284"/>
      <c r="AW265" s="284"/>
      <c r="AX265" s="284"/>
      <c r="AY265" s="284"/>
      <c r="AZ265" s="284"/>
      <c r="BA265" s="284"/>
      <c r="BB265" s="284"/>
      <c r="BC265" s="284"/>
      <c r="BD265" s="284"/>
      <c r="BE265" s="284"/>
      <c r="BF265" s="284"/>
      <c r="BG265" s="284"/>
      <c r="BH265" s="284"/>
      <c r="BI265" s="284"/>
      <c r="BJ265" s="284"/>
      <c r="BK265" s="284"/>
      <c r="BL265" s="284"/>
      <c r="BM265" s="284"/>
      <c r="BN265" s="284"/>
      <c r="BO265" s="284"/>
      <c r="BP265" s="284"/>
      <c r="BQ265" s="284"/>
      <c r="BR265" s="284"/>
      <c r="BS265" s="284"/>
      <c r="BT265" s="284"/>
      <c r="BU265" s="284"/>
      <c r="BV265" s="284"/>
      <c r="BW265" s="284"/>
      <c r="BX265" s="284"/>
      <c r="BY265" s="284"/>
      <c r="BZ265" s="284"/>
      <c r="CA265" s="284"/>
      <c r="CB265" s="284"/>
      <c r="CC265" s="284"/>
      <c r="CD265" s="284"/>
      <c r="CE265" s="284"/>
      <c r="CF265" s="284"/>
    </row>
    <row r="266" spans="1:85" x14ac:dyDescent="0.35">
      <c r="A266" s="284" t="s">
        <v>12446</v>
      </c>
      <c r="B266" s="284" t="s">
        <v>195</v>
      </c>
      <c r="C266" t="s">
        <v>14332</v>
      </c>
      <c r="D266" s="284" t="s">
        <v>13110</v>
      </c>
      <c r="E266" s="284" t="s">
        <v>13023</v>
      </c>
      <c r="F266" s="284" t="s">
        <v>13729</v>
      </c>
      <c r="G266" s="284" t="s">
        <v>13318</v>
      </c>
      <c r="H266" s="284" t="s">
        <v>13116</v>
      </c>
      <c r="I266" s="284" t="s">
        <v>13000</v>
      </c>
      <c r="J266" s="284" t="s">
        <v>13001</v>
      </c>
      <c r="K266" s="284" t="s">
        <v>13002</v>
      </c>
      <c r="L266" s="284" t="s">
        <v>14025</v>
      </c>
      <c r="M266" s="284" t="s">
        <v>13003</v>
      </c>
      <c r="N266" s="284" t="s">
        <v>13635</v>
      </c>
      <c r="O266" s="284" t="s">
        <v>13437</v>
      </c>
      <c r="P266" s="284" t="s">
        <v>13735</v>
      </c>
      <c r="Q266" s="284" t="s">
        <v>14333</v>
      </c>
      <c r="R266" s="284" t="s">
        <v>13100</v>
      </c>
      <c r="S266" s="284" t="s">
        <v>13005</v>
      </c>
      <c r="T266" s="284" t="s">
        <v>13101</v>
      </c>
      <c r="U266" s="284" t="s">
        <v>13006</v>
      </c>
      <c r="V266" s="284" t="s">
        <v>13102</v>
      </c>
      <c r="W266" s="284" t="s">
        <v>13678</v>
      </c>
      <c r="X266" s="284" t="s">
        <v>13103</v>
      </c>
      <c r="Y266" s="284" t="s">
        <v>13054</v>
      </c>
      <c r="Z266" s="284" t="s">
        <v>13008</v>
      </c>
      <c r="AA266" s="284" t="s">
        <v>13055</v>
      </c>
      <c r="AB266" s="284" t="s">
        <v>13104</v>
      </c>
      <c r="AC266" s="284" t="s">
        <v>13737</v>
      </c>
      <c r="AD266" s="284" t="s">
        <v>13033</v>
      </c>
      <c r="AE266" s="284" t="s">
        <v>13034</v>
      </c>
      <c r="AF266" s="284" t="s">
        <v>13037</v>
      </c>
      <c r="AG266" s="284" t="s">
        <v>13992</v>
      </c>
      <c r="AH266" s="284" t="s">
        <v>13038</v>
      </c>
      <c r="AI266" s="284" t="s">
        <v>13078</v>
      </c>
      <c r="AJ266" s="284" t="s">
        <v>13091</v>
      </c>
      <c r="AK266" s="284" t="s">
        <v>13009</v>
      </c>
      <c r="AL266" s="284" t="s">
        <v>13011</v>
      </c>
      <c r="AM266" s="284" t="s">
        <v>13058</v>
      </c>
      <c r="AN266" s="284" t="s">
        <v>13106</v>
      </c>
      <c r="AO266" s="284" t="s">
        <v>13344</v>
      </c>
      <c r="AP266" s="284" t="s">
        <v>13220</v>
      </c>
      <c r="AQ266" s="284" t="s">
        <v>13014</v>
      </c>
      <c r="AR266" s="284" t="s">
        <v>13042</v>
      </c>
      <c r="AS266" s="284" t="s">
        <v>14334</v>
      </c>
      <c r="AT266" s="284" t="s">
        <v>13016</v>
      </c>
      <c r="AU266" s="284" t="s">
        <v>13640</v>
      </c>
      <c r="AV266" s="284"/>
      <c r="AW266" s="284"/>
      <c r="AX266" s="284"/>
      <c r="AY266" s="284"/>
      <c r="AZ266" s="284"/>
      <c r="BA266" s="284"/>
      <c r="BB266" s="284"/>
      <c r="BC266" s="284"/>
      <c r="BD266" s="284"/>
      <c r="BE266" s="284"/>
      <c r="BF266" s="284"/>
      <c r="BG266" s="284"/>
      <c r="BH266" s="284"/>
      <c r="BI266" s="284"/>
      <c r="BJ266" s="284"/>
      <c r="BK266" s="284"/>
      <c r="BL266" s="284"/>
      <c r="BM266" s="284"/>
      <c r="BN266" s="284"/>
      <c r="BO266" s="284"/>
      <c r="BP266" s="284"/>
      <c r="BQ266" s="284"/>
      <c r="BR266" s="284"/>
      <c r="BS266" s="284"/>
      <c r="BT266" s="284"/>
      <c r="BU266" s="284"/>
      <c r="BV266" s="284"/>
      <c r="BW266" s="284"/>
      <c r="BX266" s="284"/>
      <c r="BY266" s="284"/>
      <c r="BZ266" s="284"/>
      <c r="CA266" s="284"/>
      <c r="CB266" s="284"/>
      <c r="CC266" s="284"/>
      <c r="CD266" s="284"/>
      <c r="CE266" s="284"/>
      <c r="CF266" s="284"/>
      <c r="CG266" s="284"/>
    </row>
    <row r="267" spans="1:85" x14ac:dyDescent="0.35">
      <c r="A267" s="284" t="s">
        <v>12487</v>
      </c>
      <c r="B267" s="284" t="s">
        <v>196</v>
      </c>
      <c r="C267" s="284" t="s">
        <v>14335</v>
      </c>
      <c r="D267" s="284" t="s">
        <v>13110</v>
      </c>
      <c r="E267" s="284" t="s">
        <v>13308</v>
      </c>
      <c r="F267" s="284" t="s">
        <v>13166</v>
      </c>
      <c r="G267" s="284" t="s">
        <v>13023</v>
      </c>
      <c r="H267" s="284" t="s">
        <v>13082</v>
      </c>
      <c r="I267" s="284" t="s">
        <v>14336</v>
      </c>
      <c r="J267" s="284" t="s">
        <v>14337</v>
      </c>
      <c r="K267" s="284" t="s">
        <v>13433</v>
      </c>
      <c r="L267" s="284" t="s">
        <v>13000</v>
      </c>
      <c r="M267" s="284" t="s">
        <v>13098</v>
      </c>
      <c r="N267" s="284" t="s">
        <v>13384</v>
      </c>
      <c r="O267" s="284" t="s">
        <v>13027</v>
      </c>
      <c r="P267" s="284" t="s">
        <v>13001</v>
      </c>
      <c r="Q267" s="284" t="s">
        <v>13635</v>
      </c>
      <c r="R267" s="284" t="s">
        <v>13004</v>
      </c>
      <c r="S267" s="284" t="s">
        <v>14338</v>
      </c>
      <c r="T267" s="284" t="s">
        <v>13005</v>
      </c>
      <c r="U267" s="284" t="s">
        <v>13192</v>
      </c>
      <c r="V267" s="284" t="s">
        <v>13006</v>
      </c>
      <c r="W267" s="284" t="s">
        <v>13162</v>
      </c>
      <c r="X267" s="284" t="s">
        <v>13718</v>
      </c>
      <c r="Y267" s="284" t="s">
        <v>13103</v>
      </c>
      <c r="Z267" s="284" t="s">
        <v>13054</v>
      </c>
      <c r="AA267" s="284" t="s">
        <v>13340</v>
      </c>
      <c r="AB267" s="284" t="s">
        <v>13129</v>
      </c>
      <c r="AC267" s="284" t="s">
        <v>13133</v>
      </c>
      <c r="AD267" s="284" t="s">
        <v>13055</v>
      </c>
      <c r="AE267" s="284" t="s">
        <v>13104</v>
      </c>
      <c r="AF267" s="284" t="s">
        <v>13078</v>
      </c>
      <c r="AG267" s="284" t="s">
        <v>13009</v>
      </c>
      <c r="AH267" s="284" t="s">
        <v>13011</v>
      </c>
      <c r="AI267" s="284" t="s">
        <v>14339</v>
      </c>
      <c r="AJ267" s="284" t="s">
        <v>13058</v>
      </c>
      <c r="AK267" s="284" t="s">
        <v>13638</v>
      </c>
      <c r="AL267" s="284" t="s">
        <v>13391</v>
      </c>
      <c r="AM267" s="284" t="s">
        <v>13014</v>
      </c>
      <c r="AN267" s="284" t="s">
        <v>13042</v>
      </c>
      <c r="AO267" s="284" t="s">
        <v>14340</v>
      </c>
      <c r="AP267" s="284" t="s">
        <v>13062</v>
      </c>
      <c r="AQ267" s="284" t="s">
        <v>13016</v>
      </c>
      <c r="AR267" s="284" t="s">
        <v>13444</v>
      </c>
      <c r="AS267" s="284"/>
      <c r="AT267" s="284"/>
      <c r="AU267" s="284"/>
      <c r="AV267" s="284"/>
      <c r="AW267" s="284"/>
      <c r="AX267" s="284"/>
      <c r="AY267" s="284"/>
      <c r="AZ267" s="284"/>
      <c r="BA267" s="284"/>
      <c r="BB267" s="284"/>
      <c r="BC267" s="284"/>
      <c r="BD267" s="284"/>
      <c r="BE267" s="284"/>
      <c r="BF267" s="284"/>
      <c r="BG267" s="284"/>
      <c r="BH267" s="284"/>
      <c r="BI267" s="284"/>
      <c r="BJ267" s="284"/>
      <c r="BK267" s="284"/>
      <c r="BL267" s="284"/>
      <c r="BM267" s="284"/>
      <c r="BN267" s="284"/>
      <c r="BO267" s="284"/>
      <c r="BP267" s="284"/>
      <c r="BQ267" s="284"/>
      <c r="BR267" s="284"/>
      <c r="BS267" s="284"/>
      <c r="BT267" s="284"/>
      <c r="BU267" s="284"/>
      <c r="BV267" s="284"/>
      <c r="BW267" s="284"/>
      <c r="BX267" s="284"/>
      <c r="BY267" s="284"/>
      <c r="BZ267" s="284"/>
      <c r="CA267" s="284"/>
      <c r="CB267" s="284"/>
      <c r="CC267" s="284"/>
      <c r="CD267" s="284"/>
      <c r="CE267" s="284"/>
      <c r="CF267" s="284"/>
    </row>
    <row r="268" spans="1:85" x14ac:dyDescent="0.35">
      <c r="A268" s="284" t="s">
        <v>561</v>
      </c>
      <c r="B268" s="284" t="s">
        <v>197</v>
      </c>
      <c r="C268" t="s">
        <v>14341</v>
      </c>
      <c r="D268" s="284" t="s">
        <v>13072</v>
      </c>
      <c r="E268" s="284" t="s">
        <v>13023</v>
      </c>
      <c r="F268" s="284" t="s">
        <v>13498</v>
      </c>
      <c r="G268" s="284" t="s">
        <v>13273</v>
      </c>
      <c r="H268" s="284" t="s">
        <v>13000</v>
      </c>
      <c r="I268" s="284" t="s">
        <v>13238</v>
      </c>
      <c r="J268" s="284" t="s">
        <v>13099</v>
      </c>
      <c r="K268" s="284" t="s">
        <v>13168</v>
      </c>
      <c r="L268" s="284" t="s">
        <v>13500</v>
      </c>
      <c r="M268" s="284" t="s">
        <v>13027</v>
      </c>
      <c r="N268" s="284" t="s">
        <v>13148</v>
      </c>
      <c r="O268" s="284" t="s">
        <v>13149</v>
      </c>
      <c r="P268" s="284" t="s">
        <v>13483</v>
      </c>
      <c r="Q268" s="284" t="s">
        <v>13028</v>
      </c>
      <c r="R268" s="284" t="s">
        <v>13003</v>
      </c>
      <c r="S268" s="284" t="s">
        <v>13066</v>
      </c>
      <c r="T268" s="284" t="s">
        <v>13291</v>
      </c>
      <c r="U268" s="284" t="s">
        <v>13274</v>
      </c>
      <c r="V268" s="284" t="s">
        <v>13249</v>
      </c>
      <c r="W268" s="284" t="s">
        <v>13284</v>
      </c>
      <c r="X268" s="284" t="s">
        <v>13292</v>
      </c>
      <c r="Y268" s="284" t="s">
        <v>13054</v>
      </c>
      <c r="Z268" s="284" t="s">
        <v>13486</v>
      </c>
      <c r="AA268" s="284" t="s">
        <v>13276</v>
      </c>
      <c r="AB268" s="284" t="s">
        <v>13033</v>
      </c>
      <c r="AC268" s="284" t="s">
        <v>13034</v>
      </c>
      <c r="AD268" s="284" t="s">
        <v>13487</v>
      </c>
      <c r="AE268" s="284" t="s">
        <v>13039</v>
      </c>
      <c r="AF268" s="284" t="s">
        <v>13009</v>
      </c>
      <c r="AG268" s="284" t="s">
        <v>13041</v>
      </c>
      <c r="AH268" s="284" t="s">
        <v>13493</v>
      </c>
      <c r="AI268" s="284" t="s">
        <v>14233</v>
      </c>
      <c r="AJ268" s="284" t="s">
        <v>13494</v>
      </c>
      <c r="AK268" s="284" t="s">
        <v>13286</v>
      </c>
      <c r="AL268" s="284"/>
      <c r="AM268" s="284"/>
      <c r="AN268" s="284"/>
      <c r="AO268" s="284"/>
      <c r="AP268" s="284"/>
      <c r="AQ268" s="284"/>
      <c r="AR268" s="284"/>
      <c r="AS268" s="284"/>
      <c r="AT268" s="284"/>
      <c r="AU268" s="284"/>
      <c r="AV268" s="284"/>
      <c r="AW268" s="284"/>
      <c r="AX268" s="284"/>
      <c r="AY268" s="284"/>
      <c r="AZ268" s="284"/>
      <c r="BA268" s="284"/>
      <c r="BB268" s="284"/>
      <c r="BC268" s="284"/>
      <c r="BD268" s="284"/>
      <c r="BE268" s="284"/>
      <c r="BF268" s="284"/>
      <c r="BG268" s="284"/>
      <c r="BH268" s="284"/>
      <c r="BI268" s="284"/>
      <c r="BJ268" s="284"/>
      <c r="BK268" s="284"/>
      <c r="BL268" s="284"/>
      <c r="BM268" s="284"/>
      <c r="BN268" s="284"/>
      <c r="BO268" s="284"/>
      <c r="BP268" s="284"/>
      <c r="BQ268" s="284"/>
      <c r="BR268" s="284"/>
      <c r="BS268" s="284"/>
      <c r="BT268" s="284"/>
      <c r="BU268" s="284"/>
      <c r="BV268" s="284"/>
      <c r="BW268" s="284"/>
      <c r="BX268" s="284"/>
      <c r="BY268" s="284"/>
      <c r="BZ268" s="284"/>
      <c r="CA268" s="284"/>
      <c r="CB268" s="284"/>
      <c r="CC268" s="284"/>
      <c r="CD268" s="284"/>
      <c r="CE268" s="284"/>
      <c r="CF268" s="284"/>
      <c r="CG268" s="284"/>
    </row>
    <row r="269" spans="1:85" x14ac:dyDescent="0.35">
      <c r="A269" s="284" t="s">
        <v>8861</v>
      </c>
      <c r="B269" s="284" t="s">
        <v>198</v>
      </c>
      <c r="C269" t="s">
        <v>14342</v>
      </c>
      <c r="D269" s="284" t="s">
        <v>13021</v>
      </c>
      <c r="E269" s="284" t="s">
        <v>13022</v>
      </c>
      <c r="F269" s="284" t="s">
        <v>13235</v>
      </c>
      <c r="G269" s="284" t="s">
        <v>13237</v>
      </c>
      <c r="H269" s="284" t="s">
        <v>13000</v>
      </c>
      <c r="I269" s="284" t="s">
        <v>13238</v>
      </c>
      <c r="J269" s="284" t="s">
        <v>13119</v>
      </c>
      <c r="K269" s="284" t="s">
        <v>13310</v>
      </c>
      <c r="L269" s="284" t="s">
        <v>13027</v>
      </c>
      <c r="M269" s="284" t="s">
        <v>13243</v>
      </c>
      <c r="N269" s="284" t="s">
        <v>13028</v>
      </c>
      <c r="O269" s="284" t="s">
        <v>13003</v>
      </c>
      <c r="P269" s="284" t="s">
        <v>13420</v>
      </c>
      <c r="Q269" s="284" t="s">
        <v>13066</v>
      </c>
      <c r="R269" s="284" t="s">
        <v>13076</v>
      </c>
      <c r="S269" s="284" t="s">
        <v>13005</v>
      </c>
      <c r="T269" s="284" t="s">
        <v>13400</v>
      </c>
      <c r="U269" s="284" t="s">
        <v>13248</v>
      </c>
      <c r="V269" s="284" t="s">
        <v>13008</v>
      </c>
      <c r="W269" s="284" t="s">
        <v>13077</v>
      </c>
      <c r="X269" s="284" t="s">
        <v>13035</v>
      </c>
      <c r="Y269" s="284" t="s">
        <v>13038</v>
      </c>
      <c r="Z269" s="284" t="s">
        <v>13039</v>
      </c>
      <c r="AA269" s="284" t="s">
        <v>13078</v>
      </c>
      <c r="AB269" s="284" t="s">
        <v>13091</v>
      </c>
      <c r="AC269" s="284" t="s">
        <v>13011</v>
      </c>
      <c r="AD269" s="284" t="s">
        <v>13041</v>
      </c>
      <c r="AE269" s="284" t="s">
        <v>13257</v>
      </c>
      <c r="AF269" s="284" t="s">
        <v>13205</v>
      </c>
      <c r="AG269" s="284" t="s">
        <v>13012</v>
      </c>
      <c r="AH269" s="284" t="s">
        <v>13267</v>
      </c>
      <c r="AI269" s="284" t="s">
        <v>14057</v>
      </c>
      <c r="AJ269" s="284"/>
      <c r="AK269" s="284"/>
      <c r="AL269" s="284"/>
      <c r="AM269" s="284"/>
      <c r="AN269" s="284"/>
      <c r="AO269" s="284"/>
      <c r="AP269" s="284"/>
      <c r="AQ269" s="284"/>
      <c r="AR269" s="284"/>
      <c r="AS269" s="284"/>
      <c r="AT269" s="284"/>
      <c r="AU269" s="284"/>
      <c r="AV269" s="284"/>
      <c r="AW269" s="284"/>
      <c r="AX269" s="284"/>
      <c r="AY269" s="284"/>
      <c r="AZ269" s="284"/>
      <c r="BA269" s="284"/>
      <c r="BB269" s="284"/>
      <c r="BC269" s="284"/>
      <c r="BD269" s="284"/>
      <c r="BE269" s="284"/>
      <c r="BF269" s="284"/>
      <c r="BG269" s="284"/>
      <c r="BH269" s="284"/>
      <c r="BI269" s="284"/>
      <c r="BJ269" s="284"/>
      <c r="BK269" s="284"/>
      <c r="BL269" s="284"/>
      <c r="BM269" s="284"/>
      <c r="BN269" s="284"/>
      <c r="BO269" s="284"/>
      <c r="BP269" s="284"/>
      <c r="BQ269" s="284"/>
      <c r="BR269" s="284"/>
      <c r="BS269" s="284"/>
      <c r="BT269" s="284"/>
      <c r="BU269" s="284"/>
      <c r="BV269" s="284"/>
      <c r="BW269" s="284"/>
      <c r="BX269" s="284"/>
      <c r="BY269" s="284"/>
      <c r="BZ269" s="284"/>
      <c r="CA269" s="284"/>
      <c r="CB269" s="284"/>
      <c r="CC269" s="284"/>
      <c r="CD269" s="284"/>
      <c r="CE269" s="284"/>
      <c r="CF269" s="284"/>
      <c r="CG269" s="284"/>
    </row>
    <row r="270" spans="1:85" x14ac:dyDescent="0.35">
      <c r="A270" s="284" t="s">
        <v>5384</v>
      </c>
      <c r="B270" s="284" t="s">
        <v>199</v>
      </c>
      <c r="C270" s="284" t="s">
        <v>13308</v>
      </c>
      <c r="D270" s="284" t="s">
        <v>13023</v>
      </c>
      <c r="E270" s="284" t="s">
        <v>13113</v>
      </c>
      <c r="F270" s="284" t="s">
        <v>13159</v>
      </c>
      <c r="G270" s="284" t="s">
        <v>13000</v>
      </c>
      <c r="H270" s="284" t="s">
        <v>13049</v>
      </c>
      <c r="I270" s="284" t="s">
        <v>13168</v>
      </c>
      <c r="J270" s="284" t="s">
        <v>13199</v>
      </c>
      <c r="K270" s="284" t="s">
        <v>13002</v>
      </c>
      <c r="L270" s="284" t="s">
        <v>13178</v>
      </c>
      <c r="M270" s="284" t="s">
        <v>13076</v>
      </c>
      <c r="N270" s="284" t="s">
        <v>13005</v>
      </c>
      <c r="O270" s="284" t="s">
        <v>13006</v>
      </c>
      <c r="P270" s="284" t="s">
        <v>13054</v>
      </c>
      <c r="Q270" s="284" t="s">
        <v>13131</v>
      </c>
      <c r="R270" s="284" t="s">
        <v>13341</v>
      </c>
      <c r="S270" s="284" t="s">
        <v>13133</v>
      </c>
      <c r="T270" s="284" t="s">
        <v>13135</v>
      </c>
      <c r="U270" s="284" t="s">
        <v>13055</v>
      </c>
      <c r="V270" s="284" t="s">
        <v>13104</v>
      </c>
      <c r="W270" s="284" t="s">
        <v>13033</v>
      </c>
      <c r="X270" s="284" t="s">
        <v>13034</v>
      </c>
      <c r="Y270" s="284" t="s">
        <v>13037</v>
      </c>
      <c r="Z270" s="284" t="s">
        <v>13038</v>
      </c>
      <c r="AA270" s="284" t="s">
        <v>13039</v>
      </c>
      <c r="AB270" s="284" t="s">
        <v>13078</v>
      </c>
      <c r="AC270" s="284" t="s">
        <v>13009</v>
      </c>
      <c r="AD270" s="284" t="s">
        <v>13203</v>
      </c>
      <c r="AE270" s="284" t="s">
        <v>13011</v>
      </c>
      <c r="AF270" s="284" t="s">
        <v>13058</v>
      </c>
      <c r="AG270" s="284" t="s">
        <v>13042</v>
      </c>
      <c r="AH270" s="284" t="s">
        <v>13395</v>
      </c>
      <c r="AI270" s="284" t="s">
        <v>13142</v>
      </c>
      <c r="AJ270" s="284" t="s">
        <v>13016</v>
      </c>
      <c r="AK270" s="284"/>
      <c r="AL270" s="284"/>
      <c r="AM270" s="284"/>
      <c r="AN270" s="284"/>
      <c r="AO270" s="284"/>
      <c r="AP270" s="284"/>
      <c r="AQ270" s="284"/>
      <c r="AR270" s="284"/>
      <c r="AS270" s="284"/>
      <c r="AT270" s="284"/>
      <c r="AU270" s="284"/>
      <c r="AV270" s="284"/>
      <c r="AW270" s="284"/>
      <c r="AX270" s="284"/>
      <c r="AY270" s="284"/>
      <c r="AZ270" s="284"/>
      <c r="BA270" s="284"/>
      <c r="BB270" s="284"/>
      <c r="BC270" s="284"/>
      <c r="BD270" s="284"/>
      <c r="BE270" s="284"/>
      <c r="BF270" s="284"/>
      <c r="BG270" s="284"/>
      <c r="BH270" s="284"/>
      <c r="BI270" s="284"/>
      <c r="BJ270" s="284"/>
      <c r="BK270" s="284"/>
      <c r="BL270" s="284"/>
      <c r="BM270" s="284"/>
      <c r="BN270" s="284"/>
      <c r="BO270" s="284"/>
      <c r="BP270" s="284"/>
      <c r="BQ270" s="284"/>
      <c r="BR270" s="284"/>
      <c r="BS270" s="284"/>
      <c r="BT270" s="284"/>
      <c r="BU270" s="284"/>
      <c r="BV270" s="284"/>
      <c r="BW270" s="284"/>
      <c r="BX270" s="284"/>
      <c r="BY270" s="284"/>
      <c r="BZ270" s="284"/>
      <c r="CA270" s="284"/>
      <c r="CB270" s="284"/>
      <c r="CC270" s="284"/>
      <c r="CD270" s="284"/>
      <c r="CE270" s="284"/>
      <c r="CF270" s="284"/>
    </row>
    <row r="271" spans="1:85" x14ac:dyDescent="0.35">
      <c r="A271" s="284" t="s">
        <v>8612</v>
      </c>
      <c r="B271" s="284" t="s">
        <v>200</v>
      </c>
      <c r="C271" s="284" t="s">
        <v>14343</v>
      </c>
      <c r="D271" s="284" t="s">
        <v>13308</v>
      </c>
      <c r="E271" s="284" t="s">
        <v>13166</v>
      </c>
      <c r="F271" s="284" t="s">
        <v>13046</v>
      </c>
      <c r="G271" s="284" t="s">
        <v>13167</v>
      </c>
      <c r="H271" s="284" t="s">
        <v>13072</v>
      </c>
      <c r="I271" s="284" t="s">
        <v>13021</v>
      </c>
      <c r="J271" s="284" t="s">
        <v>13047</v>
      </c>
      <c r="K271" s="284" t="s">
        <v>13048</v>
      </c>
      <c r="L271" s="284" t="s">
        <v>13000</v>
      </c>
      <c r="M271" s="284" t="s">
        <v>13074</v>
      </c>
      <c r="N271" s="284" t="s">
        <v>13027</v>
      </c>
      <c r="O271" s="284" t="s">
        <v>14344</v>
      </c>
      <c r="P271" s="284" t="s">
        <v>13028</v>
      </c>
      <c r="Q271" s="284" t="s">
        <v>13004</v>
      </c>
      <c r="R271" s="284" t="s">
        <v>13076</v>
      </c>
      <c r="S271" s="284" t="s">
        <v>13005</v>
      </c>
      <c r="T271" s="284" t="s">
        <v>13006</v>
      </c>
      <c r="U271" s="284" t="s">
        <v>13568</v>
      </c>
      <c r="V271" s="284" t="s">
        <v>13069</v>
      </c>
      <c r="W271" s="284" t="s">
        <v>13039</v>
      </c>
      <c r="X271" s="284" t="s">
        <v>13011</v>
      </c>
      <c r="Y271" s="284" t="s">
        <v>13058</v>
      </c>
      <c r="Z271" s="284" t="s">
        <v>13041</v>
      </c>
      <c r="AA271" s="284" t="s">
        <v>13205</v>
      </c>
      <c r="AB271" s="284" t="s">
        <v>13012</v>
      </c>
      <c r="AC271" s="284" t="s">
        <v>13060</v>
      </c>
      <c r="AD271" s="284" t="s">
        <v>13042</v>
      </c>
      <c r="AE271" s="284" t="s">
        <v>13174</v>
      </c>
      <c r="AF271" s="284" t="s">
        <v>13570</v>
      </c>
      <c r="AG271" s="284" t="s">
        <v>13015</v>
      </c>
      <c r="AH271" s="284" t="s">
        <v>13016</v>
      </c>
      <c r="AI271" s="284" t="s">
        <v>14345</v>
      </c>
      <c r="AJ271" s="284" t="s">
        <v>13144</v>
      </c>
      <c r="AK271" s="284"/>
      <c r="AL271" s="284"/>
      <c r="AM271" s="284"/>
      <c r="AN271" s="284"/>
      <c r="AO271" s="284"/>
      <c r="AP271" s="284"/>
      <c r="AQ271" s="284"/>
      <c r="AR271" s="284"/>
      <c r="AS271" s="284"/>
      <c r="AT271" s="284"/>
      <c r="AU271" s="284"/>
      <c r="AV271" s="284"/>
      <c r="AW271" s="284"/>
      <c r="AX271" s="284"/>
      <c r="AY271" s="284"/>
      <c r="AZ271" s="284"/>
      <c r="BA271" s="284"/>
      <c r="BB271" s="284"/>
      <c r="BC271" s="284"/>
      <c r="BD271" s="284"/>
      <c r="BE271" s="284"/>
      <c r="BF271" s="284"/>
      <c r="BG271" s="284"/>
      <c r="BH271" s="284"/>
      <c r="BI271" s="284"/>
      <c r="BJ271" s="284"/>
      <c r="BK271" s="284"/>
      <c r="BL271" s="284"/>
      <c r="BM271" s="284"/>
      <c r="BN271" s="284"/>
      <c r="BO271" s="284"/>
      <c r="BP271" s="284"/>
      <c r="BQ271" s="284"/>
      <c r="BR271" s="284"/>
      <c r="BS271" s="284"/>
      <c r="BT271" s="284"/>
      <c r="BU271" s="284"/>
      <c r="BV271" s="284"/>
      <c r="BW271" s="284"/>
      <c r="BX271" s="284"/>
      <c r="BY271" s="284"/>
      <c r="BZ271" s="284"/>
      <c r="CA271" s="284"/>
      <c r="CB271" s="284"/>
      <c r="CC271" s="284"/>
      <c r="CD271" s="284"/>
      <c r="CE271" s="284"/>
      <c r="CF271" s="284"/>
    </row>
    <row r="272" spans="1:85" x14ac:dyDescent="0.35">
      <c r="A272" s="284" t="s">
        <v>3962</v>
      </c>
      <c r="B272" s="284" t="s">
        <v>201</v>
      </c>
      <c r="C272" t="s">
        <v>14346</v>
      </c>
      <c r="D272" s="284" t="s">
        <v>13166</v>
      </c>
      <c r="E272" s="284" t="s">
        <v>13353</v>
      </c>
      <c r="F272" s="284" t="s">
        <v>13023</v>
      </c>
      <c r="G272" s="284" t="s">
        <v>13000</v>
      </c>
      <c r="H272" s="284" t="s">
        <v>13001</v>
      </c>
      <c r="I272" s="284" t="s">
        <v>13050</v>
      </c>
      <c r="J272" s="284" t="s">
        <v>13028</v>
      </c>
      <c r="K272" s="284" t="s">
        <v>13160</v>
      </c>
      <c r="L272" s="284" t="s">
        <v>13002</v>
      </c>
      <c r="M272" s="284" t="s">
        <v>13178</v>
      </c>
      <c r="N272" s="284" t="s">
        <v>13076</v>
      </c>
      <c r="O272" s="284" t="s">
        <v>13005</v>
      </c>
      <c r="P272" s="284" t="s">
        <v>13029</v>
      </c>
      <c r="Q272" s="284" t="s">
        <v>13007</v>
      </c>
      <c r="R272" s="284" t="s">
        <v>13217</v>
      </c>
      <c r="S272" s="284" t="s">
        <v>13008</v>
      </c>
      <c r="T272" s="284" t="s">
        <v>13077</v>
      </c>
      <c r="U272" s="284" t="s">
        <v>13033</v>
      </c>
      <c r="V272" s="284" t="s">
        <v>13038</v>
      </c>
      <c r="W272" s="284" t="s">
        <v>13039</v>
      </c>
      <c r="X272" s="284" t="s">
        <v>13009</v>
      </c>
      <c r="Y272" s="284" t="s">
        <v>13056</v>
      </c>
      <c r="Z272" s="284" t="s">
        <v>13092</v>
      </c>
      <c r="AA272" s="284" t="s">
        <v>13010</v>
      </c>
      <c r="AB272" s="284" t="s">
        <v>13011</v>
      </c>
      <c r="AC272" s="284" t="s">
        <v>13041</v>
      </c>
      <c r="AD272" s="284" t="s">
        <v>13012</v>
      </c>
      <c r="AE272" s="284" t="s">
        <v>13361</v>
      </c>
      <c r="AF272" s="284" t="s">
        <v>13079</v>
      </c>
      <c r="AG272" s="284" t="s">
        <v>14347</v>
      </c>
      <c r="AH272" s="284"/>
      <c r="AI272" s="284"/>
      <c r="AJ272" s="284"/>
      <c r="AK272" s="284"/>
      <c r="AL272" s="284"/>
      <c r="AM272" s="284"/>
      <c r="AN272" s="284"/>
      <c r="AO272" s="284"/>
      <c r="AP272" s="284"/>
      <c r="AQ272" s="284"/>
      <c r="AR272" s="284"/>
      <c r="AS272" s="284"/>
      <c r="AT272" s="284"/>
      <c r="AU272" s="284"/>
      <c r="AV272" s="284"/>
      <c r="AW272" s="284"/>
      <c r="AX272" s="284"/>
      <c r="AY272" s="284"/>
      <c r="AZ272" s="284"/>
      <c r="BA272" s="284"/>
      <c r="BB272" s="284"/>
      <c r="BC272" s="284"/>
      <c r="BD272" s="284"/>
      <c r="BE272" s="284"/>
      <c r="BF272" s="284"/>
      <c r="BG272" s="284"/>
      <c r="BH272" s="284"/>
      <c r="BI272" s="284"/>
      <c r="BJ272" s="284"/>
      <c r="BK272" s="284"/>
      <c r="BL272" s="284"/>
      <c r="BM272" s="284"/>
      <c r="BN272" s="284"/>
      <c r="BO272" s="284"/>
      <c r="BP272" s="284"/>
      <c r="BQ272" s="284"/>
      <c r="BR272" s="284"/>
      <c r="BS272" s="284"/>
      <c r="BT272" s="284"/>
      <c r="BU272" s="284"/>
      <c r="BV272" s="284"/>
      <c r="BW272" s="284"/>
      <c r="BX272" s="284"/>
      <c r="BY272" s="284"/>
      <c r="BZ272" s="284"/>
      <c r="CA272" s="284"/>
      <c r="CB272" s="284"/>
      <c r="CC272" s="284"/>
      <c r="CD272" s="284"/>
      <c r="CE272" s="284"/>
      <c r="CF272" s="284"/>
      <c r="CG272" s="284"/>
    </row>
    <row r="273" spans="1:85" x14ac:dyDescent="0.35">
      <c r="A273" s="284" t="s">
        <v>9477</v>
      </c>
      <c r="B273" s="284" t="s">
        <v>202</v>
      </c>
      <c r="C273" s="284" t="s">
        <v>14348</v>
      </c>
      <c r="D273" s="284" t="s">
        <v>14349</v>
      </c>
      <c r="E273" s="284" t="s">
        <v>13022</v>
      </c>
      <c r="F273" s="284" t="s">
        <v>13023</v>
      </c>
      <c r="G273" s="284" t="s">
        <v>13082</v>
      </c>
      <c r="H273" s="284" t="s">
        <v>13348</v>
      </c>
      <c r="I273" s="284" t="s">
        <v>13000</v>
      </c>
      <c r="J273" s="284" t="s">
        <v>13212</v>
      </c>
      <c r="K273" s="284" t="s">
        <v>13462</v>
      </c>
      <c r="L273" s="284" t="s">
        <v>13027</v>
      </c>
      <c r="M273" s="284" t="s">
        <v>13028</v>
      </c>
      <c r="N273" s="284" t="s">
        <v>13199</v>
      </c>
      <c r="O273" s="284" t="s">
        <v>13002</v>
      </c>
      <c r="P273" s="284" t="s">
        <v>13066</v>
      </c>
      <c r="Q273" s="284" t="s">
        <v>13005</v>
      </c>
      <c r="R273" s="284" t="s">
        <v>13101</v>
      </c>
      <c r="S273" s="284" t="s">
        <v>13006</v>
      </c>
      <c r="T273" s="284" t="s">
        <v>13007</v>
      </c>
      <c r="U273" s="284" t="s">
        <v>13103</v>
      </c>
      <c r="V273" s="284" t="s">
        <v>13131</v>
      </c>
      <c r="W273" s="284" t="s">
        <v>13133</v>
      </c>
      <c r="X273" s="284" t="s">
        <v>13135</v>
      </c>
      <c r="Y273" s="284" t="s">
        <v>13104</v>
      </c>
      <c r="Z273" s="284" t="s">
        <v>13034</v>
      </c>
      <c r="AA273" s="284" t="s">
        <v>13009</v>
      </c>
      <c r="AB273" s="284" t="s">
        <v>13203</v>
      </c>
      <c r="AC273" s="284" t="s">
        <v>13011</v>
      </c>
      <c r="AD273" s="284" t="s">
        <v>13058</v>
      </c>
      <c r="AE273" s="284" t="s">
        <v>13014</v>
      </c>
      <c r="AF273" s="284" t="s">
        <v>13395</v>
      </c>
      <c r="AG273" s="284" t="s">
        <v>13142</v>
      </c>
      <c r="AH273" s="284"/>
      <c r="AI273" s="284"/>
      <c r="AJ273" s="284"/>
      <c r="AK273" s="284"/>
      <c r="AL273" s="284"/>
      <c r="AM273" s="284"/>
      <c r="AN273" s="284"/>
      <c r="AO273" s="284"/>
      <c r="AP273" s="284"/>
      <c r="AQ273" s="284"/>
      <c r="AR273" s="284"/>
      <c r="AS273" s="284"/>
      <c r="AT273" s="284"/>
      <c r="AU273" s="284"/>
      <c r="AV273" s="284"/>
      <c r="AW273" s="284"/>
      <c r="AX273" s="284"/>
      <c r="AY273" s="284"/>
      <c r="AZ273" s="284"/>
      <c r="BA273" s="284"/>
      <c r="BB273" s="284"/>
      <c r="BC273" s="284"/>
      <c r="BD273" s="284"/>
      <c r="BE273" s="284"/>
      <c r="BF273" s="284"/>
      <c r="BG273" s="284"/>
      <c r="BH273" s="284"/>
      <c r="BI273" s="284"/>
      <c r="BJ273" s="284"/>
      <c r="BK273" s="284"/>
      <c r="BL273" s="284"/>
      <c r="BM273" s="284"/>
      <c r="BN273" s="284"/>
      <c r="BO273" s="284"/>
      <c r="BP273" s="284"/>
      <c r="BQ273" s="284"/>
      <c r="BR273" s="284"/>
      <c r="BS273" s="284"/>
      <c r="BT273" s="284"/>
      <c r="BU273" s="284"/>
      <c r="BV273" s="284"/>
      <c r="BW273" s="284"/>
      <c r="BX273" s="284"/>
      <c r="BY273" s="284"/>
      <c r="BZ273" s="284"/>
      <c r="CA273" s="284"/>
      <c r="CB273" s="284"/>
      <c r="CC273" s="284"/>
      <c r="CD273" s="284"/>
      <c r="CE273" s="284"/>
      <c r="CF273" s="284"/>
    </row>
    <row r="274" spans="1:85" x14ac:dyDescent="0.35">
      <c r="A274" s="284" t="s">
        <v>1719</v>
      </c>
      <c r="B274" s="284" t="s">
        <v>203</v>
      </c>
      <c r="C274" t="s">
        <v>14350</v>
      </c>
      <c r="D274" s="284" t="s">
        <v>13110</v>
      </c>
      <c r="E274" s="284" t="s">
        <v>13308</v>
      </c>
      <c r="F274" s="284" t="s">
        <v>13166</v>
      </c>
      <c r="G274" s="284" t="s">
        <v>13046</v>
      </c>
      <c r="H274" s="284" t="s">
        <v>13167</v>
      </c>
      <c r="I274" s="284" t="s">
        <v>13021</v>
      </c>
      <c r="J274" s="284" t="s">
        <v>13023</v>
      </c>
      <c r="K274" s="284" t="s">
        <v>13047</v>
      </c>
      <c r="L274" s="284" t="s">
        <v>13048</v>
      </c>
      <c r="M274" s="284" t="s">
        <v>13000</v>
      </c>
      <c r="N274" s="284" t="s">
        <v>13074</v>
      </c>
      <c r="O274" s="284" t="s">
        <v>14351</v>
      </c>
      <c r="P274" s="284" t="s">
        <v>13027</v>
      </c>
      <c r="Q274" s="284" t="s">
        <v>13001</v>
      </c>
      <c r="R274" s="284" t="s">
        <v>13028</v>
      </c>
      <c r="S274" s="284" t="s">
        <v>13002</v>
      </c>
      <c r="T274" s="284" t="s">
        <v>13003</v>
      </c>
      <c r="U274" s="284" t="s">
        <v>13005</v>
      </c>
      <c r="V274" s="284" t="s">
        <v>13006</v>
      </c>
      <c r="W274" s="284" t="s">
        <v>13054</v>
      </c>
      <c r="X274" s="284" t="s">
        <v>13133</v>
      </c>
      <c r="Y274" s="284" t="s">
        <v>13104</v>
      </c>
      <c r="Z274" s="284" t="s">
        <v>13033</v>
      </c>
      <c r="AA274" s="284" t="s">
        <v>13039</v>
      </c>
      <c r="AB274" s="284" t="s">
        <v>13009</v>
      </c>
      <c r="AC274" s="284" t="s">
        <v>13011</v>
      </c>
      <c r="AD274" s="284" t="s">
        <v>13058</v>
      </c>
      <c r="AE274" s="284" t="s">
        <v>13041</v>
      </c>
      <c r="AF274" s="284" t="s">
        <v>13012</v>
      </c>
      <c r="AG274" s="284" t="s">
        <v>13060</v>
      </c>
      <c r="AH274" s="284" t="s">
        <v>14352</v>
      </c>
      <c r="AI274" s="284" t="s">
        <v>13042</v>
      </c>
      <c r="AJ274" s="284" t="s">
        <v>13174</v>
      </c>
      <c r="AK274" s="284" t="s">
        <v>13175</v>
      </c>
      <c r="AL274" s="284" t="s">
        <v>13015</v>
      </c>
      <c r="AM274" s="284" t="s">
        <v>13016</v>
      </c>
      <c r="AN274" s="284"/>
      <c r="AO274" s="284"/>
      <c r="AP274" s="284"/>
      <c r="AQ274" s="284"/>
      <c r="AR274" s="284"/>
      <c r="AS274" s="284"/>
      <c r="AT274" s="284"/>
      <c r="AU274" s="284"/>
      <c r="AV274" s="284"/>
      <c r="AW274" s="284"/>
      <c r="AX274" s="284"/>
      <c r="AY274" s="284"/>
      <c r="AZ274" s="284"/>
      <c r="BA274" s="284"/>
      <c r="BB274" s="284"/>
      <c r="BC274" s="284"/>
      <c r="BD274" s="284"/>
      <c r="BE274" s="284"/>
      <c r="BF274" s="284"/>
      <c r="BG274" s="284"/>
      <c r="BH274" s="284"/>
      <c r="BI274" s="284"/>
      <c r="BJ274" s="284"/>
      <c r="BK274" s="284"/>
      <c r="BL274" s="284"/>
      <c r="BM274" s="284"/>
      <c r="BN274" s="284"/>
      <c r="BO274" s="284"/>
      <c r="BP274" s="284"/>
      <c r="BQ274" s="284"/>
      <c r="BR274" s="284"/>
      <c r="BS274" s="284"/>
      <c r="BT274" s="284"/>
      <c r="BU274" s="284"/>
      <c r="BV274" s="284"/>
      <c r="BW274" s="284"/>
      <c r="BX274" s="284"/>
      <c r="BY274" s="284"/>
      <c r="BZ274" s="284"/>
      <c r="CA274" s="284"/>
      <c r="CB274" s="284"/>
      <c r="CC274" s="284"/>
      <c r="CD274" s="284"/>
      <c r="CE274" s="284"/>
      <c r="CF274" s="284"/>
      <c r="CG274" s="284"/>
    </row>
    <row r="275" spans="1:85" x14ac:dyDescent="0.35">
      <c r="A275" s="284" t="s">
        <v>3753</v>
      </c>
      <c r="B275" s="284" t="s">
        <v>204</v>
      </c>
      <c r="C275" t="s">
        <v>14353</v>
      </c>
      <c r="D275" s="284" t="s">
        <v>14354</v>
      </c>
      <c r="E275" s="284" t="s">
        <v>13021</v>
      </c>
      <c r="F275" s="284" t="s">
        <v>13023</v>
      </c>
      <c r="G275" s="284" t="s">
        <v>13048</v>
      </c>
      <c r="H275" s="284" t="s">
        <v>13082</v>
      </c>
      <c r="I275" s="284" t="s">
        <v>13644</v>
      </c>
      <c r="J275" s="284" t="s">
        <v>13049</v>
      </c>
      <c r="K275" s="284" t="s">
        <v>14355</v>
      </c>
      <c r="L275" s="284" t="s">
        <v>13027</v>
      </c>
      <c r="M275" s="284" t="s">
        <v>13050</v>
      </c>
      <c r="N275" s="284" t="s">
        <v>13028</v>
      </c>
      <c r="O275" s="284" t="s">
        <v>13178</v>
      </c>
      <c r="P275" s="284" t="s">
        <v>13076</v>
      </c>
      <c r="Q275" s="284" t="s">
        <v>13190</v>
      </c>
      <c r="R275" s="284" t="s">
        <v>13033</v>
      </c>
      <c r="S275" s="284" t="s">
        <v>13034</v>
      </c>
      <c r="T275" s="284" t="s">
        <v>13536</v>
      </c>
      <c r="U275" s="284" t="s">
        <v>13179</v>
      </c>
      <c r="V275" s="284" t="s">
        <v>13009</v>
      </c>
      <c r="W275" s="284" t="s">
        <v>13058</v>
      </c>
      <c r="X275" s="284" t="s">
        <v>13646</v>
      </c>
      <c r="Y275" s="284" t="s">
        <v>14356</v>
      </c>
      <c r="Z275" s="284" t="s">
        <v>13014</v>
      </c>
      <c r="AA275" s="284" t="s">
        <v>13016</v>
      </c>
      <c r="AB275" s="284" t="s">
        <v>13541</v>
      </c>
      <c r="AC275" s="284" t="s">
        <v>13542</v>
      </c>
      <c r="AD275" s="284"/>
      <c r="AE275" s="284"/>
      <c r="AF275" s="284"/>
      <c r="AG275" s="284"/>
      <c r="AH275" s="284"/>
      <c r="AI275" s="284"/>
      <c r="AJ275" s="284"/>
      <c r="AK275" s="284"/>
      <c r="AL275" s="284"/>
      <c r="AM275" s="284"/>
      <c r="AN275" s="284"/>
      <c r="AO275" s="284"/>
      <c r="AP275" s="284"/>
      <c r="AQ275" s="284"/>
      <c r="AR275" s="284"/>
      <c r="AS275" s="284"/>
      <c r="AT275" s="284"/>
      <c r="AU275" s="284"/>
      <c r="AV275" s="284"/>
      <c r="AW275" s="284"/>
      <c r="AX275" s="284"/>
      <c r="AY275" s="284"/>
      <c r="AZ275" s="284"/>
      <c r="BA275" s="284"/>
      <c r="BB275" s="284"/>
      <c r="BC275" s="284"/>
      <c r="BD275" s="284"/>
      <c r="BE275" s="284"/>
      <c r="BF275" s="284"/>
      <c r="BG275" s="284"/>
      <c r="BH275" s="284"/>
      <c r="BI275" s="284"/>
      <c r="BJ275" s="284"/>
      <c r="BK275" s="284"/>
      <c r="BL275" s="284"/>
      <c r="BM275" s="284"/>
      <c r="BN275" s="284"/>
      <c r="BO275" s="284"/>
      <c r="BP275" s="284"/>
      <c r="BQ275" s="284"/>
      <c r="BR275" s="284"/>
      <c r="BS275" s="284"/>
      <c r="BT275" s="284"/>
      <c r="BU275" s="284"/>
      <c r="BV275" s="284"/>
      <c r="BW275" s="284"/>
      <c r="BX275" s="284"/>
      <c r="BY275" s="284"/>
      <c r="BZ275" s="284"/>
      <c r="CA275" s="284"/>
      <c r="CB275" s="284"/>
      <c r="CC275" s="284"/>
      <c r="CD275" s="284"/>
      <c r="CE275" s="284"/>
      <c r="CF275" s="284"/>
      <c r="CG275" s="284"/>
    </row>
    <row r="276" spans="1:85" x14ac:dyDescent="0.35">
      <c r="A276" s="284" t="s">
        <v>6329</v>
      </c>
      <c r="B276" s="284" t="s">
        <v>205</v>
      </c>
      <c r="C276" s="284" t="s">
        <v>14357</v>
      </c>
      <c r="D276" s="284" t="s">
        <v>13023</v>
      </c>
      <c r="E276" s="284" t="s">
        <v>13279</v>
      </c>
      <c r="F276" s="284" t="s">
        <v>13147</v>
      </c>
      <c r="G276" s="284" t="s">
        <v>13289</v>
      </c>
      <c r="H276" s="284" t="s">
        <v>13407</v>
      </c>
      <c r="I276" s="284" t="s">
        <v>13273</v>
      </c>
      <c r="J276" s="284" t="s">
        <v>13280</v>
      </c>
      <c r="K276" s="284" t="s">
        <v>13085</v>
      </c>
      <c r="L276" s="284" t="s">
        <v>13148</v>
      </c>
      <c r="M276" s="284" t="s">
        <v>13149</v>
      </c>
      <c r="N276" s="284" t="s">
        <v>13028</v>
      </c>
      <c r="O276" s="284" t="s">
        <v>13003</v>
      </c>
      <c r="P276" s="284" t="s">
        <v>13290</v>
      </c>
      <c r="Q276" s="284" t="s">
        <v>13291</v>
      </c>
      <c r="R276" s="284" t="s">
        <v>13744</v>
      </c>
      <c r="S276" s="284" t="s">
        <v>13005</v>
      </c>
      <c r="T276" s="284" t="s">
        <v>13284</v>
      </c>
      <c r="U276" s="284" t="s">
        <v>13486</v>
      </c>
      <c r="V276" s="284" t="s">
        <v>13276</v>
      </c>
      <c r="W276" s="284" t="s">
        <v>13032</v>
      </c>
      <c r="X276" s="284" t="s">
        <v>13033</v>
      </c>
      <c r="Y276" s="284" t="s">
        <v>13487</v>
      </c>
      <c r="Z276" s="284" t="s">
        <v>13036</v>
      </c>
      <c r="AA276" s="284" t="s">
        <v>13277</v>
      </c>
      <c r="AB276" s="284" t="s">
        <v>13038</v>
      </c>
      <c r="AC276" s="284" t="s">
        <v>13039</v>
      </c>
      <c r="AD276" s="284" t="s">
        <v>13078</v>
      </c>
      <c r="AE276" s="284" t="s">
        <v>13009</v>
      </c>
      <c r="AF276" s="284" t="s">
        <v>13042</v>
      </c>
      <c r="AG276" s="284" t="s">
        <v>13673</v>
      </c>
      <c r="AH276" s="284" t="s">
        <v>14358</v>
      </c>
      <c r="AI276" s="284" t="s">
        <v>13493</v>
      </c>
      <c r="AJ276" s="284" t="s">
        <v>13286</v>
      </c>
      <c r="AK276" s="284"/>
      <c r="AL276" s="284"/>
      <c r="AM276" s="284"/>
      <c r="AN276" s="284"/>
      <c r="AO276" s="284"/>
      <c r="AP276" s="284"/>
      <c r="AQ276" s="284"/>
      <c r="AR276" s="284"/>
      <c r="AS276" s="284"/>
      <c r="AT276" s="284"/>
      <c r="AU276" s="284"/>
      <c r="AV276" s="284"/>
      <c r="AW276" s="284"/>
      <c r="AX276" s="284"/>
      <c r="AY276" s="284"/>
      <c r="AZ276" s="284"/>
      <c r="BA276" s="284"/>
      <c r="BB276" s="284"/>
      <c r="BC276" s="284"/>
      <c r="BD276" s="284"/>
      <c r="BE276" s="284"/>
      <c r="BF276" s="284"/>
      <c r="BG276" s="284"/>
      <c r="BH276" s="284"/>
      <c r="BI276" s="284"/>
      <c r="BJ276" s="284"/>
      <c r="BK276" s="284"/>
      <c r="BL276" s="284"/>
      <c r="BM276" s="284"/>
      <c r="BN276" s="284"/>
      <c r="BO276" s="284"/>
      <c r="BP276" s="284"/>
      <c r="BQ276" s="284"/>
      <c r="BR276" s="284"/>
      <c r="BS276" s="284"/>
      <c r="BT276" s="284"/>
      <c r="BU276" s="284"/>
      <c r="BV276" s="284"/>
      <c r="BW276" s="284"/>
      <c r="BX276" s="284"/>
      <c r="BY276" s="284"/>
      <c r="BZ276" s="284"/>
      <c r="CA276" s="284"/>
      <c r="CB276" s="284"/>
      <c r="CC276" s="284"/>
      <c r="CD276" s="284"/>
      <c r="CE276" s="284"/>
      <c r="CF276" s="284"/>
    </row>
    <row r="277" spans="1:85" x14ac:dyDescent="0.35">
      <c r="A277" s="284" t="s">
        <v>6957</v>
      </c>
      <c r="B277" s="284" t="s">
        <v>206</v>
      </c>
      <c r="C277" s="284" t="s">
        <v>13064</v>
      </c>
      <c r="D277" s="284" t="s">
        <v>13021</v>
      </c>
      <c r="E277" s="284" t="s">
        <v>13022</v>
      </c>
      <c r="F277" s="284" t="s">
        <v>13023</v>
      </c>
      <c r="G277" s="284" t="s">
        <v>13025</v>
      </c>
      <c r="H277" s="284" t="s">
        <v>13027</v>
      </c>
      <c r="I277" s="284" t="s">
        <v>13028</v>
      </c>
      <c r="J277" s="284" t="s">
        <v>13651</v>
      </c>
      <c r="K277" s="284" t="s">
        <v>13295</v>
      </c>
      <c r="L277" s="284" t="s">
        <v>13296</v>
      </c>
      <c r="M277" s="284" t="s">
        <v>13029</v>
      </c>
      <c r="N277" s="284" t="s">
        <v>13068</v>
      </c>
      <c r="O277" s="284" t="s">
        <v>13031</v>
      </c>
      <c r="P277" s="284" t="s">
        <v>13033</v>
      </c>
      <c r="Q277" s="284" t="s">
        <v>13034</v>
      </c>
      <c r="R277" s="284" t="s">
        <v>13035</v>
      </c>
      <c r="S277" s="284" t="s">
        <v>13036</v>
      </c>
      <c r="T277" s="284" t="s">
        <v>13037</v>
      </c>
      <c r="U277" s="284" t="s">
        <v>13009</v>
      </c>
      <c r="V277" s="284" t="s">
        <v>13154</v>
      </c>
      <c r="W277" s="284" t="s">
        <v>13016</v>
      </c>
      <c r="X277" s="284"/>
      <c r="Y277" s="284"/>
      <c r="Z277" s="284"/>
      <c r="AA277" s="284"/>
      <c r="AB277" s="284"/>
      <c r="AC277" s="284"/>
      <c r="AD277" s="284"/>
      <c r="AE277" s="284"/>
      <c r="AF277" s="284"/>
      <c r="AG277" s="284"/>
      <c r="AH277" s="284"/>
      <c r="AI277" s="284"/>
      <c r="AJ277" s="284"/>
      <c r="AK277" s="284"/>
      <c r="AL277" s="284"/>
      <c r="AM277" s="284"/>
      <c r="AN277" s="284"/>
      <c r="AO277" s="284"/>
      <c r="AP277" s="284"/>
      <c r="AQ277" s="284"/>
      <c r="AR277" s="284"/>
      <c r="AS277" s="284"/>
      <c r="AT277" s="284"/>
      <c r="AU277" s="284"/>
      <c r="AV277" s="284"/>
      <c r="AW277" s="284"/>
      <c r="AX277" s="284"/>
      <c r="AY277" s="284"/>
      <c r="AZ277" s="284"/>
      <c r="BA277" s="284"/>
      <c r="BB277" s="284"/>
      <c r="BC277" s="284"/>
      <c r="BD277" s="284"/>
      <c r="BE277" s="284"/>
      <c r="BF277" s="284"/>
      <c r="BG277" s="284"/>
      <c r="BH277" s="284"/>
      <c r="BI277" s="284"/>
      <c r="BJ277" s="284"/>
      <c r="BK277" s="284"/>
      <c r="BL277" s="284"/>
      <c r="BM277" s="284"/>
      <c r="BN277" s="284"/>
      <c r="BO277" s="284"/>
      <c r="BP277" s="284"/>
      <c r="BQ277" s="284"/>
      <c r="BR277" s="284"/>
      <c r="BS277" s="284"/>
      <c r="BT277" s="284"/>
      <c r="BU277" s="284"/>
      <c r="BV277" s="284"/>
      <c r="BW277" s="284"/>
      <c r="BX277" s="284"/>
      <c r="BY277" s="284"/>
      <c r="BZ277" s="284"/>
      <c r="CA277" s="284"/>
      <c r="CB277" s="284"/>
      <c r="CC277" s="284"/>
      <c r="CD277" s="284"/>
      <c r="CE277" s="284"/>
      <c r="CF277" s="284"/>
    </row>
    <row r="278" spans="1:85" x14ac:dyDescent="0.35">
      <c r="A278" s="284" t="s">
        <v>2715</v>
      </c>
      <c r="B278" s="284" t="s">
        <v>207</v>
      </c>
      <c r="C278" s="284" t="s">
        <v>14359</v>
      </c>
      <c r="D278" s="284" t="s">
        <v>13072</v>
      </c>
      <c r="E278" s="284" t="s">
        <v>13021</v>
      </c>
      <c r="F278" s="284" t="s">
        <v>13022</v>
      </c>
      <c r="G278" s="284" t="s">
        <v>13023</v>
      </c>
      <c r="H278" s="284" t="s">
        <v>13082</v>
      </c>
      <c r="I278" s="284" t="s">
        <v>13235</v>
      </c>
      <c r="J278" s="284" t="s">
        <v>13000</v>
      </c>
      <c r="K278" s="284" t="s">
        <v>13119</v>
      </c>
      <c r="L278" s="284" t="s">
        <v>13024</v>
      </c>
      <c r="M278" s="284" t="s">
        <v>13397</v>
      </c>
      <c r="N278" s="284" t="s">
        <v>13026</v>
      </c>
      <c r="O278" s="284" t="s">
        <v>13271</v>
      </c>
      <c r="P278" s="284" t="s">
        <v>14044</v>
      </c>
      <c r="Q278" s="284" t="s">
        <v>13243</v>
      </c>
      <c r="R278" s="284" t="s">
        <v>13028</v>
      </c>
      <c r="S278" s="284" t="s">
        <v>13002</v>
      </c>
      <c r="T278" s="284" t="s">
        <v>13003</v>
      </c>
      <c r="U278" s="284" t="s">
        <v>13004</v>
      </c>
      <c r="V278" s="284" t="s">
        <v>13066</v>
      </c>
      <c r="W278" s="284" t="s">
        <v>13201</v>
      </c>
      <c r="X278" s="284" t="s">
        <v>13178</v>
      </c>
      <c r="Y278" s="284" t="s">
        <v>13076</v>
      </c>
      <c r="Z278" s="284" t="s">
        <v>13029</v>
      </c>
      <c r="AA278" s="284" t="s">
        <v>13006</v>
      </c>
      <c r="AB278" s="284" t="s">
        <v>13248</v>
      </c>
      <c r="AC278" s="284" t="s">
        <v>14000</v>
      </c>
      <c r="AD278" s="284" t="s">
        <v>13284</v>
      </c>
      <c r="AE278" s="284" t="s">
        <v>14045</v>
      </c>
      <c r="AF278" s="284" t="s">
        <v>13030</v>
      </c>
      <c r="AG278" s="284" t="s">
        <v>13008</v>
      </c>
      <c r="AH278" s="284" t="s">
        <v>13077</v>
      </c>
      <c r="AI278" s="284" t="s">
        <v>13055</v>
      </c>
      <c r="AJ278" s="284" t="s">
        <v>13104</v>
      </c>
      <c r="AK278" s="284" t="s">
        <v>13033</v>
      </c>
      <c r="AL278" s="284" t="s">
        <v>13034</v>
      </c>
      <c r="AM278" s="284" t="s">
        <v>13035</v>
      </c>
      <c r="AN278" s="284" t="s">
        <v>13037</v>
      </c>
      <c r="AO278" s="284" t="s">
        <v>13038</v>
      </c>
      <c r="AP278" s="284" t="s">
        <v>13039</v>
      </c>
      <c r="AQ278" s="284" t="s">
        <v>13009</v>
      </c>
      <c r="AR278" s="284" t="s">
        <v>13011</v>
      </c>
      <c r="AS278" s="284" t="s">
        <v>13041</v>
      </c>
      <c r="AT278" s="284" t="s">
        <v>13012</v>
      </c>
      <c r="AU278" s="284" t="s">
        <v>13014</v>
      </c>
      <c r="AV278" s="284" t="s">
        <v>13042</v>
      </c>
      <c r="AW278" s="284" t="s">
        <v>13395</v>
      </c>
      <c r="AX278" s="284" t="s">
        <v>13222</v>
      </c>
      <c r="AY278" s="284" t="s">
        <v>13016</v>
      </c>
      <c r="AZ278" s="284" t="s">
        <v>14360</v>
      </c>
      <c r="BA278" s="284" t="s">
        <v>13207</v>
      </c>
      <c r="BB278" s="284"/>
      <c r="BC278" s="284"/>
      <c r="BD278" s="284"/>
      <c r="BE278" s="284"/>
      <c r="BF278" s="284"/>
      <c r="BG278" s="284"/>
      <c r="BH278" s="284"/>
      <c r="BI278" s="284"/>
      <c r="BJ278" s="284"/>
      <c r="BK278" s="284"/>
      <c r="BL278" s="284"/>
      <c r="BM278" s="284"/>
      <c r="BN278" s="284"/>
      <c r="BO278" s="284"/>
      <c r="BP278" s="284"/>
      <c r="BQ278" s="284"/>
      <c r="BR278" s="284"/>
      <c r="BS278" s="284"/>
      <c r="BT278" s="284"/>
      <c r="BU278" s="284"/>
      <c r="BV278" s="284"/>
      <c r="BW278" s="284"/>
      <c r="BX278" s="284"/>
      <c r="BY278" s="284"/>
      <c r="BZ278" s="284"/>
      <c r="CA278" s="284"/>
      <c r="CB278" s="284"/>
      <c r="CC278" s="284"/>
      <c r="CD278" s="284"/>
      <c r="CE278" s="284"/>
      <c r="CF278" s="284"/>
    </row>
    <row r="279" spans="1:85" x14ac:dyDescent="0.35">
      <c r="A279" s="284" t="s">
        <v>7753</v>
      </c>
      <c r="B279" s="284" t="s">
        <v>208</v>
      </c>
      <c r="C279" t="s">
        <v>13110</v>
      </c>
      <c r="D279" s="284" t="s">
        <v>13021</v>
      </c>
      <c r="E279" s="284" t="s">
        <v>13022</v>
      </c>
      <c r="F279" s="284" t="s">
        <v>13023</v>
      </c>
      <c r="G279" s="284" t="s">
        <v>13048</v>
      </c>
      <c r="H279" s="284" t="s">
        <v>13082</v>
      </c>
      <c r="I279" s="284" t="s">
        <v>13000</v>
      </c>
      <c r="J279" s="284" t="s">
        <v>13543</v>
      </c>
      <c r="K279" s="284" t="s">
        <v>13474</v>
      </c>
      <c r="L279" s="284" t="s">
        <v>13074</v>
      </c>
      <c r="M279" s="284" t="s">
        <v>13027</v>
      </c>
      <c r="N279" s="284" t="s">
        <v>13243</v>
      </c>
      <c r="O279" s="284" t="s">
        <v>13028</v>
      </c>
      <c r="P279" s="284" t="s">
        <v>13002</v>
      </c>
      <c r="Q279" s="284" t="s">
        <v>13003</v>
      </c>
      <c r="R279" s="284" t="s">
        <v>13005</v>
      </c>
      <c r="S279" s="284" t="s">
        <v>13029</v>
      </c>
      <c r="T279" s="284" t="s">
        <v>13007</v>
      </c>
      <c r="U279" s="284" t="s">
        <v>13008</v>
      </c>
      <c r="V279" s="284" t="s">
        <v>13104</v>
      </c>
      <c r="W279" s="284" t="s">
        <v>13035</v>
      </c>
      <c r="X279" s="284" t="s">
        <v>13036</v>
      </c>
      <c r="Y279" s="284" t="s">
        <v>13038</v>
      </c>
      <c r="Z279" s="284" t="s">
        <v>13039</v>
      </c>
      <c r="AA279" s="284" t="s">
        <v>13009</v>
      </c>
      <c r="AB279" s="284" t="s">
        <v>13403</v>
      </c>
      <c r="AC279" s="284" t="s">
        <v>13058</v>
      </c>
      <c r="AD279" s="284" t="s">
        <v>13041</v>
      </c>
      <c r="AE279" s="284" t="s">
        <v>13012</v>
      </c>
      <c r="AF279" s="284" t="s">
        <v>13285</v>
      </c>
      <c r="AG279" s="284"/>
      <c r="AH279" s="284"/>
      <c r="AI279" s="284"/>
      <c r="AJ279" s="284"/>
      <c r="AK279" s="284"/>
      <c r="AL279" s="284"/>
      <c r="AM279" s="284"/>
      <c r="AN279" s="284"/>
      <c r="AO279" s="284"/>
      <c r="AP279" s="284"/>
      <c r="AQ279" s="284"/>
      <c r="AR279" s="284"/>
      <c r="AS279" s="284"/>
      <c r="AT279" s="284"/>
      <c r="AU279" s="284"/>
      <c r="AV279" s="284"/>
      <c r="AW279" s="284"/>
      <c r="AX279" s="284"/>
      <c r="AY279" s="284"/>
      <c r="AZ279" s="284"/>
      <c r="BA279" s="284"/>
      <c r="BB279" s="284"/>
      <c r="BC279" s="284"/>
      <c r="BD279" s="284"/>
      <c r="BE279" s="284"/>
      <c r="BF279" s="284"/>
      <c r="BG279" s="284"/>
      <c r="BH279" s="284"/>
      <c r="BI279" s="284"/>
      <c r="BJ279" s="284"/>
      <c r="BK279" s="284"/>
      <c r="BL279" s="284"/>
      <c r="BM279" s="284"/>
      <c r="BN279" s="284"/>
      <c r="BO279" s="284"/>
      <c r="BP279" s="284"/>
      <c r="BQ279" s="284"/>
      <c r="BR279" s="284"/>
      <c r="BS279" s="284"/>
      <c r="BT279" s="284"/>
      <c r="BU279" s="284"/>
      <c r="BV279" s="284"/>
      <c r="BW279" s="284"/>
      <c r="BX279" s="284"/>
      <c r="BY279" s="284"/>
      <c r="BZ279" s="284"/>
      <c r="CA279" s="284"/>
      <c r="CB279" s="284"/>
      <c r="CC279" s="284"/>
      <c r="CD279" s="284"/>
      <c r="CE279" s="284"/>
      <c r="CF279" s="284"/>
      <c r="CG279" s="284"/>
    </row>
    <row r="280" spans="1:85" x14ac:dyDescent="0.35">
      <c r="A280" s="284" t="s">
        <v>9643</v>
      </c>
      <c r="B280" s="284" t="s">
        <v>209</v>
      </c>
      <c r="C280" t="s">
        <v>14361</v>
      </c>
      <c r="D280" s="284" t="s">
        <v>13023</v>
      </c>
      <c r="E280" s="284" t="s">
        <v>14362</v>
      </c>
      <c r="F280" s="284" t="s">
        <v>13330</v>
      </c>
      <c r="G280" s="284" t="s">
        <v>13000</v>
      </c>
      <c r="H280" s="284" t="s">
        <v>13087</v>
      </c>
      <c r="I280" s="284" t="s">
        <v>13027</v>
      </c>
      <c r="J280" s="284" t="s">
        <v>13050</v>
      </c>
      <c r="K280" s="284" t="s">
        <v>13028</v>
      </c>
      <c r="L280" s="284" t="s">
        <v>13002</v>
      </c>
      <c r="M280" s="284" t="s">
        <v>13003</v>
      </c>
      <c r="N280" s="284" t="s">
        <v>13066</v>
      </c>
      <c r="O280" s="284" t="s">
        <v>13178</v>
      </c>
      <c r="P280" s="284" t="s">
        <v>13076</v>
      </c>
      <c r="Q280" s="284" t="s">
        <v>13005</v>
      </c>
      <c r="R280" s="284" t="s">
        <v>13029</v>
      </c>
      <c r="S280" s="284" t="s">
        <v>13006</v>
      </c>
      <c r="T280" s="284" t="s">
        <v>13008</v>
      </c>
      <c r="U280" s="284" t="s">
        <v>13077</v>
      </c>
      <c r="V280" s="284" t="s">
        <v>13089</v>
      </c>
      <c r="W280" s="284" t="s">
        <v>13069</v>
      </c>
      <c r="X280" s="284" t="s">
        <v>13831</v>
      </c>
      <c r="Y280" s="284" t="s">
        <v>13033</v>
      </c>
      <c r="Z280" s="284" t="s">
        <v>13034</v>
      </c>
      <c r="AA280" s="284" t="s">
        <v>13105</v>
      </c>
      <c r="AB280" s="284" t="s">
        <v>13037</v>
      </c>
      <c r="AC280" s="284" t="s">
        <v>13090</v>
      </c>
      <c r="AD280" s="284" t="s">
        <v>13038</v>
      </c>
      <c r="AE280" s="284" t="s">
        <v>13039</v>
      </c>
      <c r="AF280" s="284" t="s">
        <v>13091</v>
      </c>
      <c r="AG280" s="284" t="s">
        <v>13009</v>
      </c>
      <c r="AH280" s="284" t="s">
        <v>13011</v>
      </c>
      <c r="AI280" s="284" t="s">
        <v>13041</v>
      </c>
      <c r="AJ280" s="284" t="s">
        <v>13012</v>
      </c>
      <c r="AK280" s="284" t="s">
        <v>13428</v>
      </c>
      <c r="AL280" s="284" t="s">
        <v>13095</v>
      </c>
      <c r="AM280" s="284" t="s">
        <v>13165</v>
      </c>
      <c r="AN280" s="284" t="s">
        <v>13042</v>
      </c>
      <c r="AO280" s="284" t="s">
        <v>13156</v>
      </c>
      <c r="AP280" s="284" t="s">
        <v>13207</v>
      </c>
      <c r="AQ280" s="284"/>
      <c r="AR280" s="284"/>
      <c r="AS280" s="284"/>
      <c r="AT280" s="284"/>
      <c r="AU280" s="284"/>
      <c r="AV280" s="284"/>
      <c r="AW280" s="284"/>
      <c r="AX280" s="284"/>
      <c r="AY280" s="284"/>
      <c r="AZ280" s="284"/>
      <c r="BA280" s="284"/>
      <c r="BB280" s="284"/>
      <c r="BC280" s="284"/>
      <c r="BD280" s="284"/>
      <c r="BE280" s="284"/>
      <c r="BF280" s="284"/>
      <c r="BG280" s="284"/>
      <c r="BH280" s="284"/>
      <c r="BI280" s="284"/>
      <c r="BJ280" s="284"/>
      <c r="BK280" s="284"/>
      <c r="BL280" s="284"/>
      <c r="BM280" s="284"/>
      <c r="BN280" s="284"/>
      <c r="BO280" s="284"/>
      <c r="BP280" s="284"/>
      <c r="BQ280" s="284"/>
      <c r="BR280" s="284"/>
      <c r="BS280" s="284"/>
      <c r="BT280" s="284"/>
      <c r="BU280" s="284"/>
      <c r="BV280" s="284"/>
      <c r="BW280" s="284"/>
      <c r="BX280" s="284"/>
      <c r="BY280" s="284"/>
      <c r="BZ280" s="284"/>
      <c r="CA280" s="284"/>
      <c r="CB280" s="284"/>
      <c r="CC280" s="284"/>
      <c r="CD280" s="284"/>
      <c r="CE280" s="284"/>
      <c r="CF280" s="284"/>
      <c r="CG280" s="284"/>
    </row>
    <row r="281" spans="1:85" x14ac:dyDescent="0.35">
      <c r="A281" s="284" t="s">
        <v>12528</v>
      </c>
      <c r="B281" s="284" t="s">
        <v>210</v>
      </c>
      <c r="C281" t="s">
        <v>14363</v>
      </c>
      <c r="D281" s="284" t="s">
        <v>13110</v>
      </c>
      <c r="E281" s="284" t="s">
        <v>13023</v>
      </c>
      <c r="F281" s="284" t="s">
        <v>13112</v>
      </c>
      <c r="G281" s="284" t="s">
        <v>13433</v>
      </c>
      <c r="H281" s="284" t="s">
        <v>13318</v>
      </c>
      <c r="I281" s="284" t="s">
        <v>14364</v>
      </c>
      <c r="J281" s="284" t="s">
        <v>13000</v>
      </c>
      <c r="K281" s="284" t="s">
        <v>13119</v>
      </c>
      <c r="L281" s="284" t="s">
        <v>13846</v>
      </c>
      <c r="M281" s="284" t="s">
        <v>13003</v>
      </c>
      <c r="N281" s="284" t="s">
        <v>13337</v>
      </c>
      <c r="O281" s="284" t="s">
        <v>13125</v>
      </c>
      <c r="P281" s="284" t="s">
        <v>13127</v>
      </c>
      <c r="Q281" s="284" t="s">
        <v>13005</v>
      </c>
      <c r="R281" s="284" t="s">
        <v>13101</v>
      </c>
      <c r="S281" s="284" t="s">
        <v>13006</v>
      </c>
      <c r="T281" s="284" t="s">
        <v>14365</v>
      </c>
      <c r="U281" s="284" t="s">
        <v>13103</v>
      </c>
      <c r="V281" s="284" t="s">
        <v>13054</v>
      </c>
      <c r="W281" s="284" t="s">
        <v>13129</v>
      </c>
      <c r="X281" s="284" t="s">
        <v>13133</v>
      </c>
      <c r="Y281" s="284" t="s">
        <v>14366</v>
      </c>
      <c r="Z281" s="284" t="s">
        <v>13104</v>
      </c>
      <c r="AA281" s="284" t="s">
        <v>13033</v>
      </c>
      <c r="AB281" s="284" t="s">
        <v>14367</v>
      </c>
      <c r="AC281" s="284" t="s">
        <v>13078</v>
      </c>
      <c r="AD281" s="284" t="s">
        <v>13009</v>
      </c>
      <c r="AE281" s="284" t="s">
        <v>14307</v>
      </c>
      <c r="AF281" s="284" t="s">
        <v>14368</v>
      </c>
      <c r="AG281" s="284" t="s">
        <v>13440</v>
      </c>
      <c r="AH281" s="284" t="s">
        <v>13011</v>
      </c>
      <c r="AI281" s="284" t="s">
        <v>13058</v>
      </c>
      <c r="AJ281" s="284" t="s">
        <v>13442</v>
      </c>
      <c r="AK281" s="284" t="s">
        <v>13306</v>
      </c>
      <c r="AL281" s="284" t="s">
        <v>14369</v>
      </c>
      <c r="AM281" s="284" t="s">
        <v>13042</v>
      </c>
      <c r="AN281" s="284" t="s">
        <v>14370</v>
      </c>
      <c r="AO281" s="284" t="s">
        <v>13345</v>
      </c>
      <c r="AP281" s="284" t="s">
        <v>13392</v>
      </c>
      <c r="AQ281" s="284" t="s">
        <v>13444</v>
      </c>
      <c r="AR281" s="284"/>
      <c r="AS281" s="284"/>
      <c r="AT281" s="284"/>
      <c r="AU281" s="284"/>
      <c r="AV281" s="284"/>
      <c r="AW281" s="284"/>
      <c r="AX281" s="284"/>
      <c r="AY281" s="284"/>
      <c r="AZ281" s="284"/>
      <c r="BA281" s="284"/>
      <c r="BB281" s="284"/>
      <c r="BC281" s="284"/>
      <c r="BD281" s="284"/>
      <c r="BE281" s="284"/>
      <c r="BF281" s="284"/>
      <c r="BG281" s="284"/>
      <c r="BH281" s="284"/>
      <c r="BI281" s="284"/>
      <c r="BJ281" s="284"/>
      <c r="BK281" s="284"/>
      <c r="BL281" s="284"/>
      <c r="BM281" s="284"/>
      <c r="BN281" s="284"/>
      <c r="BO281" s="284"/>
      <c r="BP281" s="284"/>
      <c r="BQ281" s="284"/>
      <c r="BR281" s="284"/>
      <c r="BS281" s="284"/>
      <c r="BT281" s="284"/>
      <c r="BU281" s="284"/>
      <c r="BV281" s="284"/>
      <c r="BW281" s="284"/>
      <c r="BX281" s="284"/>
      <c r="BY281" s="284"/>
      <c r="BZ281" s="284"/>
      <c r="CA281" s="284"/>
      <c r="CB281" s="284"/>
      <c r="CC281" s="284"/>
      <c r="CD281" s="284"/>
      <c r="CE281" s="284"/>
      <c r="CF281" s="284"/>
      <c r="CG281" s="284"/>
    </row>
    <row r="282" spans="1:85" x14ac:dyDescent="0.35">
      <c r="A282" s="284" t="s">
        <v>2798</v>
      </c>
      <c r="B282" s="284" t="s">
        <v>211</v>
      </c>
      <c r="C282" t="s">
        <v>14371</v>
      </c>
      <c r="D282" s="284" t="s">
        <v>13072</v>
      </c>
      <c r="E282" s="284" t="s">
        <v>13023</v>
      </c>
      <c r="F282" s="284" t="s">
        <v>13595</v>
      </c>
      <c r="G282" s="284" t="s">
        <v>13273</v>
      </c>
      <c r="H282" s="284" t="s">
        <v>13549</v>
      </c>
      <c r="I282" s="284" t="s">
        <v>13238</v>
      </c>
      <c r="J282" s="284" t="s">
        <v>14372</v>
      </c>
      <c r="K282" s="284" t="s">
        <v>13119</v>
      </c>
      <c r="L282" s="284" t="s">
        <v>13581</v>
      </c>
      <c r="M282" s="284" t="s">
        <v>13085</v>
      </c>
      <c r="N282" s="284" t="s">
        <v>13099</v>
      </c>
      <c r="O282" s="284" t="s">
        <v>13027</v>
      </c>
      <c r="P282" s="284" t="s">
        <v>13281</v>
      </c>
      <c r="Q282" s="284" t="s">
        <v>13028</v>
      </c>
      <c r="R282" s="284" t="s">
        <v>13160</v>
      </c>
      <c r="S282" s="284" t="s">
        <v>13002</v>
      </c>
      <c r="T282" s="284" t="s">
        <v>13003</v>
      </c>
      <c r="U282" s="284" t="s">
        <v>13066</v>
      </c>
      <c r="V282" s="284" t="s">
        <v>14373</v>
      </c>
      <c r="W282" s="284" t="s">
        <v>14374</v>
      </c>
      <c r="X282" s="284" t="s">
        <v>13585</v>
      </c>
      <c r="Y282" s="284" t="s">
        <v>13516</v>
      </c>
      <c r="Z282" s="284" t="s">
        <v>13033</v>
      </c>
      <c r="AA282" s="284" t="s">
        <v>13036</v>
      </c>
      <c r="AB282" s="284" t="s">
        <v>13091</v>
      </c>
      <c r="AC282" s="284" t="s">
        <v>13009</v>
      </c>
      <c r="AD282" s="284" t="s">
        <v>13873</v>
      </c>
      <c r="AE282" s="284" t="s">
        <v>14375</v>
      </c>
      <c r="AF282" s="284" t="s">
        <v>13285</v>
      </c>
      <c r="AG282" s="284" t="s">
        <v>13562</v>
      </c>
      <c r="AH282" s="284" t="s">
        <v>13042</v>
      </c>
      <c r="AI282" s="284"/>
      <c r="AJ282" s="284"/>
      <c r="AK282" s="284"/>
      <c r="AL282" s="284"/>
      <c r="AM282" s="284"/>
      <c r="AN282" s="284"/>
      <c r="AO282" s="284"/>
      <c r="AP282" s="284"/>
      <c r="AQ282" s="284"/>
      <c r="AR282" s="284"/>
      <c r="AS282" s="284"/>
      <c r="AT282" s="284"/>
      <c r="AU282" s="284"/>
      <c r="AV282" s="284"/>
      <c r="AW282" s="284"/>
      <c r="AX282" s="284"/>
      <c r="AY282" s="284"/>
      <c r="AZ282" s="284"/>
      <c r="BA282" s="284"/>
      <c r="BB282" s="284"/>
      <c r="BC282" s="284"/>
      <c r="BD282" s="284"/>
      <c r="BE282" s="284"/>
      <c r="BF282" s="284"/>
      <c r="BG282" s="284"/>
      <c r="BH282" s="284"/>
      <c r="BI282" s="284"/>
      <c r="BJ282" s="284"/>
      <c r="BK282" s="284"/>
      <c r="BL282" s="284"/>
      <c r="BM282" s="284"/>
      <c r="BN282" s="284"/>
      <c r="BO282" s="284"/>
      <c r="BP282" s="284"/>
      <c r="BQ282" s="284"/>
      <c r="BR282" s="284"/>
      <c r="BS282" s="284"/>
      <c r="BT282" s="284"/>
      <c r="BU282" s="284"/>
      <c r="BV282" s="284"/>
      <c r="BW282" s="284"/>
      <c r="BX282" s="284"/>
      <c r="BY282" s="284"/>
      <c r="BZ282" s="284"/>
      <c r="CA282" s="284"/>
      <c r="CB282" s="284"/>
      <c r="CC282" s="284"/>
      <c r="CD282" s="284"/>
      <c r="CE282" s="284"/>
      <c r="CF282" s="284"/>
      <c r="CG282" s="284"/>
    </row>
    <row r="283" spans="1:85" x14ac:dyDescent="0.35">
      <c r="A283" s="284" t="s">
        <v>10059</v>
      </c>
      <c r="B283" s="284" t="s">
        <v>212</v>
      </c>
      <c r="C283" s="284" t="s">
        <v>14376</v>
      </c>
      <c r="D283" s="284" t="s">
        <v>13023</v>
      </c>
      <c r="E283" s="284" t="s">
        <v>13147</v>
      </c>
      <c r="F283" s="284" t="s">
        <v>13065</v>
      </c>
      <c r="G283" s="284" t="s">
        <v>13289</v>
      </c>
      <c r="H283" s="284" t="s">
        <v>13273</v>
      </c>
      <c r="I283" s="284" t="s">
        <v>13085</v>
      </c>
      <c r="J283" s="284" t="s">
        <v>13148</v>
      </c>
      <c r="K283" s="284" t="s">
        <v>13149</v>
      </c>
      <c r="L283" s="284" t="s">
        <v>13028</v>
      </c>
      <c r="M283" s="284" t="s">
        <v>13160</v>
      </c>
      <c r="N283" s="284" t="s">
        <v>13003</v>
      </c>
      <c r="O283" s="284" t="s">
        <v>13066</v>
      </c>
      <c r="P283" s="284" t="s">
        <v>13291</v>
      </c>
      <c r="Q283" s="284" t="s">
        <v>13178</v>
      </c>
      <c r="R283" s="284" t="s">
        <v>13076</v>
      </c>
      <c r="S283" s="284" t="s">
        <v>13274</v>
      </c>
      <c r="T283" s="284" t="s">
        <v>13292</v>
      </c>
      <c r="U283" s="284" t="s">
        <v>13516</v>
      </c>
      <c r="V283" s="284" t="s">
        <v>13486</v>
      </c>
      <c r="W283" s="284" t="s">
        <v>13032</v>
      </c>
      <c r="X283" s="284" t="s">
        <v>13033</v>
      </c>
      <c r="Y283" s="284" t="s">
        <v>13034</v>
      </c>
      <c r="Z283" s="284" t="s">
        <v>13171</v>
      </c>
      <c r="AA283" s="284" t="s">
        <v>13487</v>
      </c>
      <c r="AB283" s="284" t="s">
        <v>13838</v>
      </c>
      <c r="AC283" s="284" t="s">
        <v>13036</v>
      </c>
      <c r="AD283" s="284" t="s">
        <v>13009</v>
      </c>
      <c r="AE283" s="284" t="s">
        <v>13467</v>
      </c>
      <c r="AF283" s="284" t="s">
        <v>13014</v>
      </c>
      <c r="AG283" s="284" t="s">
        <v>13042</v>
      </c>
      <c r="AH283" s="284" t="s">
        <v>13154</v>
      </c>
      <c r="AI283" s="284" t="s">
        <v>13493</v>
      </c>
      <c r="AJ283" s="284" t="s">
        <v>13286</v>
      </c>
      <c r="AK283" s="284"/>
      <c r="AL283" s="284"/>
      <c r="AM283" s="284"/>
      <c r="AN283" s="284"/>
      <c r="AO283" s="284"/>
      <c r="AP283" s="284"/>
      <c r="AQ283" s="284"/>
      <c r="AR283" s="284"/>
      <c r="AS283" s="284"/>
      <c r="AT283" s="284"/>
      <c r="AU283" s="284"/>
      <c r="AV283" s="284"/>
      <c r="AW283" s="284"/>
      <c r="AX283" s="284"/>
      <c r="AY283" s="284"/>
      <c r="AZ283" s="284"/>
      <c r="BA283" s="284"/>
      <c r="BB283" s="284"/>
      <c r="BC283" s="284"/>
      <c r="BD283" s="284"/>
      <c r="BE283" s="284"/>
      <c r="BF283" s="284"/>
      <c r="BG283" s="284"/>
      <c r="BH283" s="284"/>
      <c r="BI283" s="284"/>
      <c r="BJ283" s="284"/>
      <c r="BK283" s="284"/>
      <c r="BL283" s="284"/>
      <c r="BM283" s="284"/>
      <c r="BN283" s="284"/>
      <c r="BO283" s="284"/>
      <c r="BP283" s="284"/>
      <c r="BQ283" s="284"/>
      <c r="BR283" s="284"/>
      <c r="BS283" s="284"/>
      <c r="BT283" s="284"/>
      <c r="BU283" s="284"/>
      <c r="BV283" s="284"/>
      <c r="BW283" s="284"/>
      <c r="BX283" s="284"/>
      <c r="BY283" s="284"/>
      <c r="BZ283" s="284"/>
      <c r="CA283" s="284"/>
      <c r="CB283" s="284"/>
      <c r="CC283" s="284"/>
      <c r="CD283" s="284"/>
      <c r="CE283" s="284"/>
      <c r="CF283" s="284"/>
    </row>
    <row r="284" spans="1:85" x14ac:dyDescent="0.35">
      <c r="A284" s="284" t="s">
        <v>2380</v>
      </c>
      <c r="B284" s="284" t="s">
        <v>213</v>
      </c>
      <c r="C284" t="s">
        <v>14377</v>
      </c>
      <c r="D284" s="284" t="s">
        <v>13166</v>
      </c>
      <c r="E284" s="284" t="s">
        <v>13167</v>
      </c>
      <c r="F284" s="284" t="s">
        <v>13021</v>
      </c>
      <c r="G284" s="284" t="s">
        <v>13023</v>
      </c>
      <c r="H284" s="284" t="s">
        <v>13047</v>
      </c>
      <c r="I284" s="284" t="s">
        <v>13048</v>
      </c>
      <c r="J284" s="284" t="s">
        <v>13065</v>
      </c>
      <c r="K284" s="284" t="s">
        <v>13301</v>
      </c>
      <c r="L284" s="284" t="s">
        <v>13235</v>
      </c>
      <c r="M284" s="284" t="s">
        <v>13000</v>
      </c>
      <c r="N284" s="284" t="s">
        <v>13474</v>
      </c>
      <c r="O284" s="284" t="s">
        <v>13186</v>
      </c>
      <c r="P284" s="284" t="s">
        <v>13119</v>
      </c>
      <c r="Q284" s="284" t="s">
        <v>13085</v>
      </c>
      <c r="R284" s="284" t="s">
        <v>13074</v>
      </c>
      <c r="S284" s="284" t="s">
        <v>13049</v>
      </c>
      <c r="T284" s="284" t="s">
        <v>13500</v>
      </c>
      <c r="U284" s="284" t="s">
        <v>13027</v>
      </c>
      <c r="V284" s="284" t="s">
        <v>13243</v>
      </c>
      <c r="W284" s="284" t="s">
        <v>13189</v>
      </c>
      <c r="X284" s="284" t="s">
        <v>13001</v>
      </c>
      <c r="Y284" s="284" t="s">
        <v>13050</v>
      </c>
      <c r="Z284" s="284" t="s">
        <v>13028</v>
      </c>
      <c r="AA284" s="284" t="s">
        <v>13002</v>
      </c>
      <c r="AB284" s="284" t="s">
        <v>13003</v>
      </c>
      <c r="AC284" s="284" t="s">
        <v>13066</v>
      </c>
      <c r="AD284" s="284" t="s">
        <v>13170</v>
      </c>
      <c r="AE284" s="284" t="s">
        <v>13190</v>
      </c>
      <c r="AF284" s="284" t="s">
        <v>13005</v>
      </c>
      <c r="AG284" s="284" t="s">
        <v>13191</v>
      </c>
      <c r="AH284" s="284" t="s">
        <v>13007</v>
      </c>
      <c r="AI284" s="284" t="s">
        <v>13340</v>
      </c>
      <c r="AJ284" s="284" t="s">
        <v>13033</v>
      </c>
      <c r="AK284" s="284" t="s">
        <v>13034</v>
      </c>
      <c r="AL284" s="284" t="s">
        <v>13038</v>
      </c>
      <c r="AM284" s="284" t="s">
        <v>13039</v>
      </c>
      <c r="AN284" s="284" t="s">
        <v>14378</v>
      </c>
      <c r="AO284" s="284" t="s">
        <v>13078</v>
      </c>
      <c r="AP284" s="284" t="s">
        <v>13009</v>
      </c>
      <c r="AQ284" s="284" t="s">
        <v>13194</v>
      </c>
      <c r="AR284" s="284" t="s">
        <v>13403</v>
      </c>
      <c r="AS284" s="284" t="s">
        <v>13058</v>
      </c>
      <c r="AT284" s="284" t="s">
        <v>13041</v>
      </c>
      <c r="AU284" s="284" t="s">
        <v>13205</v>
      </c>
      <c r="AV284" s="284" t="s">
        <v>13012</v>
      </c>
      <c r="AW284" s="284" t="s">
        <v>13060</v>
      </c>
      <c r="AX284" s="284" t="s">
        <v>14379</v>
      </c>
      <c r="AY284" s="284" t="s">
        <v>13285</v>
      </c>
      <c r="AZ284" s="284" t="s">
        <v>14380</v>
      </c>
      <c r="BA284" s="284" t="s">
        <v>14381</v>
      </c>
      <c r="BB284" s="284" t="s">
        <v>13014</v>
      </c>
      <c r="BC284" s="284" t="s">
        <v>13174</v>
      </c>
      <c r="BD284" s="284" t="s">
        <v>13079</v>
      </c>
      <c r="BE284" s="284" t="s">
        <v>13015</v>
      </c>
      <c r="BF284" s="284" t="s">
        <v>13541</v>
      </c>
      <c r="BG284" s="284" t="s">
        <v>13195</v>
      </c>
      <c r="BH284" s="284" t="s">
        <v>13542</v>
      </c>
      <c r="BI284" s="284" t="s">
        <v>13207</v>
      </c>
      <c r="BJ284" s="284"/>
      <c r="BK284" s="284"/>
      <c r="BL284" s="284"/>
      <c r="BM284" s="284"/>
      <c r="BN284" s="284"/>
      <c r="BO284" s="284"/>
      <c r="BP284" s="284"/>
      <c r="BQ284" s="284"/>
      <c r="BR284" s="284"/>
      <c r="BS284" s="284"/>
      <c r="BT284" s="284"/>
      <c r="BU284" s="284"/>
      <c r="BV284" s="284"/>
      <c r="BW284" s="284"/>
      <c r="BX284" s="284"/>
      <c r="BY284" s="284"/>
      <c r="BZ284" s="284"/>
      <c r="CA284" s="284"/>
      <c r="CB284" s="284"/>
      <c r="CC284" s="284"/>
      <c r="CD284" s="284"/>
      <c r="CE284" s="284"/>
      <c r="CF284" s="284"/>
      <c r="CG284" s="284"/>
    </row>
    <row r="285" spans="1:85" x14ac:dyDescent="0.35">
      <c r="A285" s="284" t="s">
        <v>5150</v>
      </c>
      <c r="B285" s="284" t="s">
        <v>214</v>
      </c>
      <c r="C285" t="s">
        <v>14382</v>
      </c>
      <c r="D285" s="284" t="s">
        <v>13308</v>
      </c>
      <c r="E285" s="284" t="s">
        <v>13166</v>
      </c>
      <c r="F285" s="284" t="s">
        <v>13046</v>
      </c>
      <c r="G285" s="284" t="s">
        <v>13167</v>
      </c>
      <c r="H285" s="284" t="s">
        <v>13021</v>
      </c>
      <c r="I285" s="284" t="s">
        <v>13023</v>
      </c>
      <c r="J285" s="284" t="s">
        <v>13047</v>
      </c>
      <c r="K285" s="284" t="s">
        <v>13048</v>
      </c>
      <c r="L285" s="284" t="s">
        <v>13065</v>
      </c>
      <c r="M285" s="284" t="s">
        <v>13301</v>
      </c>
      <c r="N285" s="284" t="s">
        <v>13049</v>
      </c>
      <c r="O285" s="284" t="s">
        <v>13027</v>
      </c>
      <c r="P285" s="284" t="s">
        <v>13752</v>
      </c>
      <c r="Q285" s="284" t="s">
        <v>13028</v>
      </c>
      <c r="R285" s="284" t="s">
        <v>13002</v>
      </c>
      <c r="S285" s="284" t="s">
        <v>13003</v>
      </c>
      <c r="T285" s="284" t="s">
        <v>13004</v>
      </c>
      <c r="U285" s="284" t="s">
        <v>13201</v>
      </c>
      <c r="V285" s="284" t="s">
        <v>13076</v>
      </c>
      <c r="W285" s="284" t="s">
        <v>13053</v>
      </c>
      <c r="X285" s="284" t="s">
        <v>13217</v>
      </c>
      <c r="Y285" s="284" t="s">
        <v>13069</v>
      </c>
      <c r="Z285" s="284" t="s">
        <v>13038</v>
      </c>
      <c r="AA285" s="284" t="s">
        <v>13009</v>
      </c>
      <c r="AB285" s="284" t="s">
        <v>13058</v>
      </c>
      <c r="AC285" s="284" t="s">
        <v>13205</v>
      </c>
      <c r="AD285" s="284" t="s">
        <v>13012</v>
      </c>
      <c r="AE285" s="284" t="s">
        <v>13060</v>
      </c>
      <c r="AF285" s="284" t="s">
        <v>14383</v>
      </c>
      <c r="AG285" s="284" t="s">
        <v>13014</v>
      </c>
      <c r="AH285" s="284" t="s">
        <v>13174</v>
      </c>
      <c r="AI285" s="284" t="s">
        <v>13175</v>
      </c>
      <c r="AJ285" s="284" t="s">
        <v>13015</v>
      </c>
      <c r="AK285" s="284" t="s">
        <v>14384</v>
      </c>
      <c r="AL285" s="284" t="s">
        <v>14385</v>
      </c>
      <c r="AM285" s="284"/>
      <c r="AN285" s="284"/>
      <c r="AO285" s="284"/>
      <c r="AP285" s="284"/>
      <c r="AQ285" s="284"/>
      <c r="AR285" s="284"/>
      <c r="AS285" s="284"/>
      <c r="AT285" s="284"/>
      <c r="AU285" s="284"/>
      <c r="AV285" s="284"/>
      <c r="AW285" s="284"/>
      <c r="AX285" s="284"/>
      <c r="AY285" s="284"/>
      <c r="AZ285" s="284"/>
      <c r="BA285" s="284"/>
      <c r="BB285" s="284"/>
      <c r="BC285" s="284"/>
      <c r="BD285" s="284"/>
      <c r="BE285" s="284"/>
      <c r="BF285" s="284"/>
      <c r="BG285" s="284"/>
      <c r="BH285" s="284"/>
      <c r="BI285" s="284"/>
      <c r="BJ285" s="284"/>
      <c r="BK285" s="284"/>
      <c r="BL285" s="284"/>
      <c r="BM285" s="284"/>
      <c r="BN285" s="284"/>
      <c r="BO285" s="284"/>
      <c r="BP285" s="284"/>
      <c r="BQ285" s="284"/>
      <c r="BR285" s="284"/>
      <c r="BS285" s="284"/>
      <c r="BT285" s="284"/>
      <c r="BU285" s="284"/>
      <c r="BV285" s="284"/>
      <c r="BW285" s="284"/>
      <c r="BX285" s="284"/>
      <c r="BY285" s="284"/>
      <c r="BZ285" s="284"/>
      <c r="CA285" s="284"/>
      <c r="CB285" s="284"/>
      <c r="CC285" s="284"/>
      <c r="CD285" s="284"/>
      <c r="CE285" s="284"/>
      <c r="CF285" s="284"/>
      <c r="CG285" s="284"/>
    </row>
    <row r="286" spans="1:85" x14ac:dyDescent="0.35">
      <c r="A286" s="284" t="s">
        <v>1844</v>
      </c>
      <c r="B286" s="284" t="s">
        <v>215</v>
      </c>
      <c r="C286" t="s">
        <v>13308</v>
      </c>
      <c r="D286" s="284" t="s">
        <v>13166</v>
      </c>
      <c r="E286" s="284" t="s">
        <v>13167</v>
      </c>
      <c r="F286" s="284" t="s">
        <v>13021</v>
      </c>
      <c r="G286" s="284" t="s">
        <v>13023</v>
      </c>
      <c r="H286" s="284" t="s">
        <v>13114</v>
      </c>
      <c r="I286" s="284" t="s">
        <v>13002</v>
      </c>
      <c r="J286" s="284" t="s">
        <v>13169</v>
      </c>
      <c r="K286" s="284" t="s">
        <v>14386</v>
      </c>
      <c r="L286" s="284" t="s">
        <v>13005</v>
      </c>
      <c r="M286" s="284" t="s">
        <v>13101</v>
      </c>
      <c r="N286" s="284" t="s">
        <v>13006</v>
      </c>
      <c r="O286" s="284" t="s">
        <v>13007</v>
      </c>
      <c r="P286" s="284" t="s">
        <v>13054</v>
      </c>
      <c r="Q286" s="284" t="s">
        <v>13810</v>
      </c>
      <c r="R286" s="284" t="s">
        <v>13135</v>
      </c>
      <c r="S286" s="284" t="s">
        <v>13104</v>
      </c>
      <c r="T286" s="284" t="s">
        <v>13033</v>
      </c>
      <c r="U286" s="284" t="s">
        <v>13058</v>
      </c>
      <c r="V286" s="284" t="s">
        <v>13041</v>
      </c>
      <c r="W286" s="284" t="s">
        <v>13042</v>
      </c>
      <c r="X286" s="284" t="s">
        <v>13174</v>
      </c>
      <c r="Y286" s="284"/>
      <c r="Z286" s="284"/>
      <c r="AA286" s="284"/>
      <c r="AB286" s="284"/>
      <c r="AC286" s="284"/>
      <c r="AD286" s="284"/>
      <c r="AE286" s="284"/>
      <c r="AF286" s="284"/>
      <c r="AG286" s="284"/>
      <c r="AH286" s="284"/>
      <c r="AI286" s="284"/>
      <c r="AJ286" s="284"/>
      <c r="AK286" s="284"/>
      <c r="AL286" s="284"/>
      <c r="AM286" s="284"/>
      <c r="AN286" s="284"/>
      <c r="AO286" s="284"/>
      <c r="AP286" s="284"/>
      <c r="AQ286" s="284"/>
      <c r="AR286" s="284"/>
      <c r="AS286" s="284"/>
      <c r="AT286" s="284"/>
      <c r="AU286" s="284"/>
      <c r="AV286" s="284"/>
      <c r="AW286" s="284"/>
      <c r="AX286" s="284"/>
      <c r="AY286" s="284"/>
      <c r="AZ286" s="284"/>
      <c r="BA286" s="284"/>
      <c r="BB286" s="284"/>
      <c r="BC286" s="284"/>
      <c r="BD286" s="284"/>
      <c r="BE286" s="284"/>
      <c r="BF286" s="284"/>
      <c r="BG286" s="284"/>
      <c r="BH286" s="284"/>
      <c r="BI286" s="284"/>
      <c r="BJ286" s="284"/>
      <c r="BK286" s="284"/>
      <c r="BL286" s="284"/>
      <c r="BM286" s="284"/>
      <c r="BN286" s="284"/>
      <c r="BO286" s="284"/>
      <c r="BP286" s="284"/>
      <c r="BQ286" s="284"/>
      <c r="BR286" s="284"/>
      <c r="BS286" s="284"/>
      <c r="BT286" s="284"/>
      <c r="BU286" s="284"/>
      <c r="BV286" s="284"/>
      <c r="BW286" s="284"/>
      <c r="BX286" s="284"/>
      <c r="BY286" s="284"/>
      <c r="BZ286" s="284"/>
      <c r="CA286" s="284"/>
      <c r="CB286" s="284"/>
      <c r="CC286" s="284"/>
      <c r="CD286" s="284"/>
      <c r="CE286" s="284"/>
      <c r="CF286" s="284"/>
      <c r="CG286" s="284"/>
    </row>
    <row r="287" spans="1:85" x14ac:dyDescent="0.35">
      <c r="A287" s="284" t="s">
        <v>10267</v>
      </c>
      <c r="B287" s="284" t="s">
        <v>216</v>
      </c>
      <c r="C287" t="s">
        <v>14387</v>
      </c>
      <c r="D287" s="284" t="s">
        <v>13410</v>
      </c>
      <c r="E287" s="284" t="s">
        <v>13023</v>
      </c>
      <c r="F287" s="284" t="s">
        <v>13082</v>
      </c>
      <c r="G287" s="284" t="s">
        <v>13065</v>
      </c>
      <c r="H287" s="284" t="s">
        <v>13498</v>
      </c>
      <c r="I287" s="284" t="s">
        <v>13273</v>
      </c>
      <c r="J287" s="284" t="s">
        <v>13159</v>
      </c>
      <c r="K287" s="284" t="s">
        <v>13099</v>
      </c>
      <c r="L287" s="284" t="s">
        <v>13924</v>
      </c>
      <c r="M287" s="284" t="s">
        <v>14388</v>
      </c>
      <c r="N287" s="284" t="s">
        <v>13168</v>
      </c>
      <c r="O287" s="284" t="s">
        <v>13027</v>
      </c>
      <c r="P287" s="284" t="s">
        <v>13148</v>
      </c>
      <c r="Q287" s="284" t="s">
        <v>13149</v>
      </c>
      <c r="R287" s="284" t="s">
        <v>13515</v>
      </c>
      <c r="S287" s="284" t="s">
        <v>13028</v>
      </c>
      <c r="T287" s="284" t="s">
        <v>13160</v>
      </c>
      <c r="U287" s="284" t="s">
        <v>13003</v>
      </c>
      <c r="V287" s="284" t="s">
        <v>13066</v>
      </c>
      <c r="W287" s="284" t="s">
        <v>13291</v>
      </c>
      <c r="X287" s="284" t="s">
        <v>13485</v>
      </c>
      <c r="Y287" s="284" t="s">
        <v>13192</v>
      </c>
      <c r="Z287" s="284" t="s">
        <v>13486</v>
      </c>
      <c r="AA287" s="284" t="s">
        <v>13276</v>
      </c>
      <c r="AB287" s="284" t="s">
        <v>13939</v>
      </c>
      <c r="AC287" s="284" t="s">
        <v>13034</v>
      </c>
      <c r="AD287" s="284" t="s">
        <v>13487</v>
      </c>
      <c r="AE287" s="284" t="s">
        <v>13838</v>
      </c>
      <c r="AF287" s="284" t="s">
        <v>13839</v>
      </c>
      <c r="AG287" s="284" t="s">
        <v>13277</v>
      </c>
      <c r="AH287" s="284" t="s">
        <v>13037</v>
      </c>
      <c r="AI287" s="284" t="s">
        <v>13091</v>
      </c>
      <c r="AJ287" s="284" t="s">
        <v>13009</v>
      </c>
      <c r="AK287" s="284" t="s">
        <v>13042</v>
      </c>
      <c r="AL287" s="284" t="s">
        <v>13493</v>
      </c>
      <c r="AM287" s="284" t="s">
        <v>13222</v>
      </c>
      <c r="AN287" s="284" t="s">
        <v>14389</v>
      </c>
      <c r="AO287" s="284" t="s">
        <v>13505</v>
      </c>
      <c r="AP287" s="284"/>
      <c r="AQ287" s="284"/>
      <c r="AR287" s="284"/>
      <c r="AS287" s="284"/>
      <c r="AT287" s="284"/>
      <c r="AU287" s="284"/>
      <c r="AV287" s="284"/>
      <c r="AW287" s="284"/>
      <c r="AX287" s="284"/>
      <c r="AY287" s="284"/>
      <c r="AZ287" s="284"/>
      <c r="BA287" s="284"/>
      <c r="BB287" s="284"/>
      <c r="BC287" s="284"/>
      <c r="BD287" s="284"/>
      <c r="BE287" s="284"/>
      <c r="BF287" s="284"/>
      <c r="BG287" s="284"/>
      <c r="BH287" s="284"/>
      <c r="BI287" s="284"/>
      <c r="BJ287" s="284"/>
      <c r="BK287" s="284"/>
      <c r="BL287" s="284"/>
      <c r="BM287" s="284"/>
      <c r="BN287" s="284"/>
      <c r="BO287" s="284"/>
      <c r="BP287" s="284"/>
      <c r="BQ287" s="284"/>
      <c r="BR287" s="284"/>
      <c r="BS287" s="284"/>
      <c r="BT287" s="284"/>
      <c r="BU287" s="284"/>
      <c r="BV287" s="284"/>
      <c r="BW287" s="284"/>
      <c r="BX287" s="284"/>
      <c r="BY287" s="284"/>
      <c r="BZ287" s="284"/>
      <c r="CA287" s="284"/>
      <c r="CB287" s="284"/>
      <c r="CC287" s="284"/>
      <c r="CD287" s="284"/>
      <c r="CE287" s="284"/>
      <c r="CF287" s="284"/>
      <c r="CG287" s="284"/>
    </row>
    <row r="288" spans="1:85" x14ac:dyDescent="0.35">
      <c r="A288" s="284" t="s">
        <v>8653</v>
      </c>
      <c r="B288" s="284" t="s">
        <v>217</v>
      </c>
      <c r="C288" t="s">
        <v>14390</v>
      </c>
      <c r="D288" s="284" t="s">
        <v>13308</v>
      </c>
      <c r="E288" s="284" t="s">
        <v>13166</v>
      </c>
      <c r="F288" s="284" t="s">
        <v>13046</v>
      </c>
      <c r="G288" s="284" t="s">
        <v>13167</v>
      </c>
      <c r="H288" s="284" t="s">
        <v>13072</v>
      </c>
      <c r="I288" s="284" t="s">
        <v>13021</v>
      </c>
      <c r="J288" s="284" t="s">
        <v>13023</v>
      </c>
      <c r="K288" s="284" t="s">
        <v>13047</v>
      </c>
      <c r="L288" s="284" t="s">
        <v>13000</v>
      </c>
      <c r="M288" s="284" t="s">
        <v>13099</v>
      </c>
      <c r="N288" s="284" t="s">
        <v>13168</v>
      </c>
      <c r="O288" s="284" t="s">
        <v>13027</v>
      </c>
      <c r="P288" s="284" t="s">
        <v>13002</v>
      </c>
      <c r="Q288" s="284" t="s">
        <v>13003</v>
      </c>
      <c r="R288" s="284" t="s">
        <v>13004</v>
      </c>
      <c r="S288" s="284" t="s">
        <v>13051</v>
      </c>
      <c r="T288" s="284" t="s">
        <v>13006</v>
      </c>
      <c r="U288" s="284" t="s">
        <v>13007</v>
      </c>
      <c r="V288" s="284" t="s">
        <v>13568</v>
      </c>
      <c r="W288" s="284" t="s">
        <v>13055</v>
      </c>
      <c r="X288" s="284" t="s">
        <v>13569</v>
      </c>
      <c r="Y288" s="284" t="s">
        <v>13009</v>
      </c>
      <c r="Z288" s="284" t="s">
        <v>13011</v>
      </c>
      <c r="AA288" s="284" t="s">
        <v>13205</v>
      </c>
      <c r="AB288" s="284" t="s">
        <v>13012</v>
      </c>
      <c r="AC288" s="284" t="s">
        <v>13638</v>
      </c>
      <c r="AD288" s="284" t="s">
        <v>13013</v>
      </c>
      <c r="AE288" s="284" t="s">
        <v>13014</v>
      </c>
      <c r="AF288" s="284" t="s">
        <v>13042</v>
      </c>
      <c r="AG288" s="284" t="s">
        <v>13570</v>
      </c>
      <c r="AH288" s="284" t="s">
        <v>13222</v>
      </c>
      <c r="AI288" s="284"/>
      <c r="AJ288" s="284"/>
      <c r="AK288" s="284"/>
      <c r="AL288" s="284"/>
      <c r="AM288" s="284"/>
      <c r="AN288" s="284"/>
      <c r="AO288" s="284"/>
      <c r="AP288" s="284"/>
      <c r="AQ288" s="284"/>
      <c r="AR288" s="284"/>
      <c r="AS288" s="284"/>
      <c r="AT288" s="284"/>
      <c r="AU288" s="284"/>
      <c r="AV288" s="284"/>
      <c r="AW288" s="284"/>
      <c r="AX288" s="284"/>
      <c r="AY288" s="284"/>
      <c r="AZ288" s="284"/>
      <c r="BA288" s="284"/>
      <c r="BB288" s="284"/>
      <c r="BC288" s="284"/>
      <c r="BD288" s="284"/>
      <c r="BE288" s="284"/>
      <c r="BF288" s="284"/>
      <c r="BG288" s="284"/>
      <c r="BH288" s="284"/>
      <c r="BI288" s="284"/>
      <c r="BJ288" s="284"/>
      <c r="BK288" s="284"/>
      <c r="BL288" s="284"/>
      <c r="BM288" s="284"/>
      <c r="BN288" s="284"/>
      <c r="BO288" s="284"/>
      <c r="BP288" s="284"/>
      <c r="BQ288" s="284"/>
      <c r="BR288" s="284"/>
      <c r="BS288" s="284"/>
      <c r="BT288" s="284"/>
      <c r="BU288" s="284"/>
      <c r="BV288" s="284"/>
      <c r="BW288" s="284"/>
      <c r="BX288" s="284"/>
      <c r="BY288" s="284"/>
      <c r="BZ288" s="284"/>
      <c r="CA288" s="284"/>
      <c r="CB288" s="284"/>
      <c r="CC288" s="284"/>
      <c r="CD288" s="284"/>
      <c r="CE288" s="284"/>
      <c r="CF288" s="284"/>
      <c r="CG288" s="284"/>
    </row>
    <row r="289" spans="1:85" x14ac:dyDescent="0.35">
      <c r="A289" s="284" t="s">
        <v>1885</v>
      </c>
      <c r="B289" s="284" t="s">
        <v>218</v>
      </c>
      <c r="C289" t="s">
        <v>14391</v>
      </c>
      <c r="D289" s="284" t="s">
        <v>13110</v>
      </c>
      <c r="E289" s="284" t="s">
        <v>13166</v>
      </c>
      <c r="F289" s="284" t="s">
        <v>13046</v>
      </c>
      <c r="G289" s="284" t="s">
        <v>13167</v>
      </c>
      <c r="H289" s="284" t="s">
        <v>13021</v>
      </c>
      <c r="I289" s="284" t="s">
        <v>13023</v>
      </c>
      <c r="J289" s="284" t="s">
        <v>13048</v>
      </c>
      <c r="K289" s="284" t="s">
        <v>13433</v>
      </c>
      <c r="L289" s="284" t="s">
        <v>13099</v>
      </c>
      <c r="M289" s="284" t="s">
        <v>13310</v>
      </c>
      <c r="N289" s="284" t="s">
        <v>13500</v>
      </c>
      <c r="O289" s="284" t="s">
        <v>13050</v>
      </c>
      <c r="P289" s="284" t="s">
        <v>13028</v>
      </c>
      <c r="Q289" s="284" t="s">
        <v>13002</v>
      </c>
      <c r="R289" s="284" t="s">
        <v>13003</v>
      </c>
      <c r="S289" s="284" t="s">
        <v>13169</v>
      </c>
      <c r="T289" s="284" t="s">
        <v>14392</v>
      </c>
      <c r="U289" s="284" t="s">
        <v>13005</v>
      </c>
      <c r="V289" s="284" t="s">
        <v>13029</v>
      </c>
      <c r="W289" s="284" t="s">
        <v>13006</v>
      </c>
      <c r="X289" s="284" t="s">
        <v>13007</v>
      </c>
      <c r="Y289" s="284" t="s">
        <v>13284</v>
      </c>
      <c r="Z289" s="284" t="s">
        <v>13104</v>
      </c>
      <c r="AA289" s="284" t="s">
        <v>13033</v>
      </c>
      <c r="AB289" s="284" t="s">
        <v>13039</v>
      </c>
      <c r="AC289" s="284" t="s">
        <v>13009</v>
      </c>
      <c r="AD289" s="284" t="s">
        <v>13011</v>
      </c>
      <c r="AE289" s="284" t="s">
        <v>13058</v>
      </c>
      <c r="AF289" s="284" t="s">
        <v>13041</v>
      </c>
      <c r="AG289" s="284" t="s">
        <v>13012</v>
      </c>
      <c r="AH289" s="284" t="s">
        <v>13174</v>
      </c>
      <c r="AI289" s="284" t="s">
        <v>13015</v>
      </c>
      <c r="AJ289" s="284" t="s">
        <v>14393</v>
      </c>
      <c r="AK289" s="284" t="s">
        <v>14394</v>
      </c>
      <c r="AL289" s="284"/>
      <c r="AM289" s="284"/>
      <c r="AN289" s="284"/>
      <c r="AO289" s="284"/>
      <c r="AP289" s="284"/>
      <c r="AQ289" s="284"/>
      <c r="AR289" s="284"/>
      <c r="AS289" s="284"/>
      <c r="AT289" s="284"/>
      <c r="AU289" s="284"/>
      <c r="AV289" s="284"/>
      <c r="AW289" s="284"/>
      <c r="AX289" s="284"/>
      <c r="AY289" s="284"/>
      <c r="AZ289" s="284"/>
      <c r="BA289" s="284"/>
      <c r="BB289" s="284"/>
      <c r="BC289" s="284"/>
      <c r="BD289" s="284"/>
      <c r="BE289" s="284"/>
      <c r="BF289" s="284"/>
      <c r="BG289" s="284"/>
      <c r="BH289" s="284"/>
      <c r="BI289" s="284"/>
      <c r="BJ289" s="284"/>
      <c r="BK289" s="284"/>
      <c r="BL289" s="284"/>
      <c r="BM289" s="284"/>
      <c r="BN289" s="284"/>
      <c r="BO289" s="284"/>
      <c r="BP289" s="284"/>
      <c r="BQ289" s="284"/>
      <c r="BR289" s="284"/>
      <c r="BS289" s="284"/>
      <c r="BT289" s="284"/>
      <c r="BU289" s="284"/>
      <c r="BV289" s="284"/>
      <c r="BW289" s="284"/>
      <c r="BX289" s="284"/>
      <c r="BY289" s="284"/>
      <c r="BZ289" s="284"/>
      <c r="CA289" s="284"/>
      <c r="CB289" s="284"/>
      <c r="CC289" s="284"/>
      <c r="CD289" s="284"/>
      <c r="CE289" s="284"/>
      <c r="CF289" s="284"/>
      <c r="CG289" s="284"/>
    </row>
    <row r="290" spans="1:85" x14ac:dyDescent="0.35">
      <c r="A290" s="284" t="s">
        <v>10894</v>
      </c>
      <c r="B290" s="284" t="s">
        <v>219</v>
      </c>
      <c r="C290" s="284" t="s">
        <v>14395</v>
      </c>
      <c r="D290" s="284" t="s">
        <v>13023</v>
      </c>
      <c r="E290" s="284" t="s">
        <v>13226</v>
      </c>
      <c r="F290" s="284" t="s">
        <v>13082</v>
      </c>
      <c r="G290" s="284" t="s">
        <v>13065</v>
      </c>
      <c r="H290" s="284" t="s">
        <v>13230</v>
      </c>
      <c r="I290" s="284" t="s">
        <v>13235</v>
      </c>
      <c r="J290" s="284" t="s">
        <v>13159</v>
      </c>
      <c r="K290" s="284" t="s">
        <v>13237</v>
      </c>
      <c r="L290" s="284" t="s">
        <v>13000</v>
      </c>
      <c r="M290" s="284" t="s">
        <v>13099</v>
      </c>
      <c r="N290" s="284" t="s">
        <v>13027</v>
      </c>
      <c r="O290" s="284" t="s">
        <v>13243</v>
      </c>
      <c r="P290" s="284" t="s">
        <v>13149</v>
      </c>
      <c r="Q290" s="284" t="s">
        <v>13028</v>
      </c>
      <c r="R290" s="284" t="s">
        <v>14396</v>
      </c>
      <c r="S290" s="284" t="s">
        <v>13002</v>
      </c>
      <c r="T290" s="284" t="s">
        <v>13003</v>
      </c>
      <c r="U290" s="284" t="s">
        <v>13066</v>
      </c>
      <c r="V290" s="284" t="s">
        <v>13076</v>
      </c>
      <c r="W290" s="284" t="s">
        <v>13192</v>
      </c>
      <c r="X290" s="284" t="s">
        <v>13248</v>
      </c>
      <c r="Y290" s="284" t="s">
        <v>13250</v>
      </c>
      <c r="Z290" s="284" t="s">
        <v>13008</v>
      </c>
      <c r="AA290" s="284" t="s">
        <v>13031</v>
      </c>
      <c r="AB290" s="284" t="s">
        <v>13035</v>
      </c>
      <c r="AC290" s="284" t="s">
        <v>13038</v>
      </c>
      <c r="AD290" s="284" t="s">
        <v>13009</v>
      </c>
      <c r="AE290" s="284" t="s">
        <v>13451</v>
      </c>
      <c r="AF290" s="284" t="s">
        <v>13267</v>
      </c>
      <c r="AG290" s="284" t="s">
        <v>13016</v>
      </c>
      <c r="AH290" s="284" t="s">
        <v>14397</v>
      </c>
      <c r="AI290" s="284" t="s">
        <v>14159</v>
      </c>
      <c r="AJ290" s="284"/>
      <c r="AK290" s="284"/>
      <c r="AL290" s="284"/>
      <c r="AM290" s="284"/>
      <c r="AN290" s="284"/>
      <c r="AO290" s="284"/>
      <c r="AP290" s="284"/>
      <c r="AQ290" s="284"/>
      <c r="AR290" s="284"/>
      <c r="AS290" s="284"/>
      <c r="AT290" s="284"/>
      <c r="AU290" s="284"/>
      <c r="AV290" s="284"/>
      <c r="AW290" s="284"/>
      <c r="AX290" s="284"/>
      <c r="AY290" s="284"/>
      <c r="AZ290" s="284"/>
      <c r="BA290" s="284"/>
      <c r="BB290" s="284"/>
      <c r="BC290" s="284"/>
      <c r="BD290" s="284"/>
      <c r="BE290" s="284"/>
      <c r="BF290" s="284"/>
      <c r="BG290" s="284"/>
      <c r="BH290" s="284"/>
      <c r="BI290" s="284"/>
      <c r="BJ290" s="284"/>
      <c r="BK290" s="284"/>
      <c r="BL290" s="284"/>
      <c r="BM290" s="284"/>
      <c r="BN290" s="284"/>
      <c r="BO290" s="284"/>
      <c r="BP290" s="284"/>
      <c r="BQ290" s="284"/>
      <c r="BR290" s="284"/>
      <c r="BS290" s="284"/>
      <c r="BT290" s="284"/>
      <c r="BU290" s="284"/>
      <c r="BV290" s="284"/>
      <c r="BW290" s="284"/>
      <c r="BX290" s="284"/>
      <c r="BY290" s="284"/>
      <c r="BZ290" s="284"/>
      <c r="CA290" s="284"/>
      <c r="CB290" s="284"/>
      <c r="CC290" s="284"/>
      <c r="CD290" s="284"/>
      <c r="CE290" s="284"/>
      <c r="CF290" s="284"/>
    </row>
    <row r="291" spans="1:85" x14ac:dyDescent="0.35">
      <c r="A291" s="284" t="s">
        <v>9313</v>
      </c>
      <c r="B291" s="284" t="s">
        <v>220</v>
      </c>
      <c r="C291" t="s">
        <v>14398</v>
      </c>
      <c r="D291" s="284" t="s">
        <v>13021</v>
      </c>
      <c r="E291" s="284" t="s">
        <v>13023</v>
      </c>
      <c r="F291" s="284" t="s">
        <v>13082</v>
      </c>
      <c r="G291" s="284" t="s">
        <v>13115</v>
      </c>
      <c r="H291" s="284" t="s">
        <v>13235</v>
      </c>
      <c r="I291" s="284" t="s">
        <v>13237</v>
      </c>
      <c r="J291" s="284" t="s">
        <v>13000</v>
      </c>
      <c r="K291" s="284" t="s">
        <v>13119</v>
      </c>
      <c r="L291" s="284" t="s">
        <v>13049</v>
      </c>
      <c r="M291" s="284" t="s">
        <v>13027</v>
      </c>
      <c r="N291" s="284" t="s">
        <v>13028</v>
      </c>
      <c r="O291" s="284" t="s">
        <v>13002</v>
      </c>
      <c r="P291" s="284" t="s">
        <v>13003</v>
      </c>
      <c r="Q291" s="284" t="s">
        <v>13420</v>
      </c>
      <c r="R291" s="284" t="s">
        <v>13066</v>
      </c>
      <c r="S291" s="284" t="s">
        <v>13248</v>
      </c>
      <c r="T291" s="284" t="s">
        <v>13284</v>
      </c>
      <c r="U291" s="284" t="s">
        <v>13008</v>
      </c>
      <c r="V291" s="284" t="s">
        <v>13077</v>
      </c>
      <c r="W291" s="284" t="s">
        <v>13965</v>
      </c>
      <c r="X291" s="284" t="s">
        <v>13035</v>
      </c>
      <c r="Y291" s="284" t="s">
        <v>13036</v>
      </c>
      <c r="Z291" s="284" t="s">
        <v>13394</v>
      </c>
      <c r="AA291" s="284" t="s">
        <v>13091</v>
      </c>
      <c r="AB291" s="284" t="s">
        <v>13009</v>
      </c>
      <c r="AC291" s="284" t="s">
        <v>13012</v>
      </c>
      <c r="AD291" s="284" t="s">
        <v>13467</v>
      </c>
      <c r="AE291" s="284" t="s">
        <v>13222</v>
      </c>
      <c r="AF291" s="284" t="s">
        <v>13267</v>
      </c>
      <c r="AG291" s="284" t="s">
        <v>13016</v>
      </c>
      <c r="AH291" s="284" t="s">
        <v>14399</v>
      </c>
      <c r="AI291" s="284" t="s">
        <v>14125</v>
      </c>
      <c r="AJ291" s="284"/>
      <c r="AK291" s="284"/>
      <c r="AL291" s="284"/>
      <c r="AM291" s="284"/>
      <c r="AN291" s="284"/>
      <c r="AO291" s="284"/>
      <c r="AP291" s="284"/>
      <c r="AQ291" s="284"/>
      <c r="AR291" s="284"/>
      <c r="AS291" s="284"/>
      <c r="AT291" s="284"/>
      <c r="AU291" s="284"/>
      <c r="AV291" s="284"/>
      <c r="AW291" s="284"/>
      <c r="AX291" s="284"/>
      <c r="AY291" s="284"/>
      <c r="AZ291" s="284"/>
      <c r="BA291" s="284"/>
      <c r="BB291" s="284"/>
      <c r="BC291" s="284"/>
      <c r="BD291" s="284"/>
      <c r="BE291" s="284"/>
      <c r="BF291" s="284"/>
      <c r="BG291" s="284"/>
      <c r="BH291" s="284"/>
      <c r="BI291" s="284"/>
      <c r="BJ291" s="284"/>
      <c r="BK291" s="284"/>
      <c r="BL291" s="284"/>
      <c r="BM291" s="284"/>
      <c r="BN291" s="284"/>
      <c r="BO291" s="284"/>
      <c r="BP291" s="284"/>
      <c r="BQ291" s="284"/>
      <c r="BR291" s="284"/>
      <c r="BS291" s="284"/>
      <c r="BT291" s="284"/>
      <c r="BU291" s="284"/>
      <c r="BV291" s="284"/>
      <c r="BW291" s="284"/>
      <c r="BX291" s="284"/>
      <c r="BY291" s="284"/>
      <c r="BZ291" s="284"/>
      <c r="CA291" s="284"/>
      <c r="CB291" s="284"/>
      <c r="CC291" s="284"/>
      <c r="CD291" s="284"/>
      <c r="CE291" s="284"/>
      <c r="CF291" s="284"/>
      <c r="CG291" s="284"/>
    </row>
    <row r="292" spans="1:85" x14ac:dyDescent="0.35">
      <c r="A292" s="284" t="s">
        <v>9154</v>
      </c>
      <c r="B292" s="284" t="s">
        <v>221</v>
      </c>
      <c r="C292" s="284" t="s">
        <v>14400</v>
      </c>
      <c r="D292" s="284" t="s">
        <v>13353</v>
      </c>
      <c r="E292" s="284" t="s">
        <v>13046</v>
      </c>
      <c r="F292" s="284" t="s">
        <v>13023</v>
      </c>
      <c r="G292" s="284" t="s">
        <v>13000</v>
      </c>
      <c r="H292" s="284" t="s">
        <v>13049</v>
      </c>
      <c r="I292" s="284" t="s">
        <v>13027</v>
      </c>
      <c r="J292" s="284" t="s">
        <v>14401</v>
      </c>
      <c r="K292" s="284" t="s">
        <v>13002</v>
      </c>
      <c r="L292" s="284" t="s">
        <v>13003</v>
      </c>
      <c r="M292" s="284" t="s">
        <v>13004</v>
      </c>
      <c r="N292" s="284" t="s">
        <v>13066</v>
      </c>
      <c r="O292" s="284" t="s">
        <v>13005</v>
      </c>
      <c r="P292" s="284" t="s">
        <v>13007</v>
      </c>
      <c r="Q292" s="284" t="s">
        <v>14402</v>
      </c>
      <c r="R292" s="284" t="s">
        <v>13033</v>
      </c>
      <c r="S292" s="284" t="s">
        <v>13009</v>
      </c>
      <c r="T292" s="284" t="s">
        <v>13056</v>
      </c>
      <c r="U292" s="284" t="s">
        <v>13010</v>
      </c>
      <c r="V292" s="284" t="s">
        <v>13011</v>
      </c>
      <c r="W292" s="284" t="s">
        <v>13012</v>
      </c>
      <c r="X292" s="284" t="s">
        <v>13013</v>
      </c>
      <c r="Y292" s="284" t="s">
        <v>13014</v>
      </c>
      <c r="Z292" s="284" t="s">
        <v>13017</v>
      </c>
      <c r="AA292" s="284" t="s">
        <v>13364</v>
      </c>
      <c r="AB292" s="284"/>
      <c r="AC292" s="284"/>
      <c r="AD292" s="284"/>
      <c r="AE292" s="284"/>
      <c r="AF292" s="284"/>
      <c r="AG292" s="284"/>
      <c r="AH292" s="284"/>
      <c r="AI292" s="284"/>
      <c r="AJ292" s="284"/>
      <c r="AK292" s="284"/>
      <c r="AL292" s="284"/>
      <c r="AM292" s="284"/>
      <c r="AN292" s="284"/>
      <c r="AO292" s="284"/>
      <c r="AP292" s="284"/>
      <c r="AQ292" s="284"/>
      <c r="AR292" s="284"/>
      <c r="AS292" s="284"/>
      <c r="AT292" s="284"/>
      <c r="AU292" s="284"/>
      <c r="AV292" s="284"/>
      <c r="AW292" s="284"/>
      <c r="AX292" s="284"/>
      <c r="AY292" s="284"/>
      <c r="AZ292" s="284"/>
      <c r="BA292" s="284"/>
      <c r="BB292" s="284"/>
      <c r="BC292" s="284"/>
      <c r="BD292" s="284"/>
      <c r="BE292" s="284"/>
      <c r="BF292" s="284"/>
      <c r="BG292" s="284"/>
      <c r="BH292" s="284"/>
      <c r="BI292" s="284"/>
      <c r="BJ292" s="284"/>
      <c r="BK292" s="284"/>
      <c r="BL292" s="284"/>
      <c r="BM292" s="284"/>
      <c r="BN292" s="284"/>
      <c r="BO292" s="284"/>
      <c r="BP292" s="284"/>
      <c r="BQ292" s="284"/>
      <c r="BR292" s="284"/>
      <c r="BS292" s="284"/>
      <c r="BT292" s="284"/>
      <c r="BU292" s="284"/>
      <c r="BV292" s="284"/>
      <c r="BW292" s="284"/>
      <c r="BX292" s="284"/>
      <c r="BY292" s="284"/>
      <c r="BZ292" s="284"/>
      <c r="CA292" s="284"/>
      <c r="CB292" s="284"/>
      <c r="CC292" s="284"/>
      <c r="CD292" s="284"/>
      <c r="CE292" s="284"/>
      <c r="CF292" s="284"/>
    </row>
    <row r="293" spans="1:85" x14ac:dyDescent="0.35">
      <c r="A293" s="284" t="s">
        <v>9354</v>
      </c>
      <c r="B293" s="284" t="s">
        <v>222</v>
      </c>
      <c r="C293" t="s">
        <v>13021</v>
      </c>
      <c r="D293" s="284" t="s">
        <v>13023</v>
      </c>
      <c r="E293" s="284" t="s">
        <v>13235</v>
      </c>
      <c r="F293" s="284" t="s">
        <v>13236</v>
      </c>
      <c r="G293" s="284" t="s">
        <v>13237</v>
      </c>
      <c r="H293" s="284" t="s">
        <v>13474</v>
      </c>
      <c r="I293" s="284" t="s">
        <v>13028</v>
      </c>
      <c r="J293" s="284" t="s">
        <v>13003</v>
      </c>
      <c r="K293" s="284" t="s">
        <v>13066</v>
      </c>
      <c r="L293" s="284" t="s">
        <v>13191</v>
      </c>
      <c r="M293" s="284" t="s">
        <v>13248</v>
      </c>
      <c r="N293" s="284" t="s">
        <v>13035</v>
      </c>
      <c r="O293" s="284" t="s">
        <v>13105</v>
      </c>
      <c r="P293" s="284" t="s">
        <v>13394</v>
      </c>
      <c r="Q293" s="284" t="s">
        <v>13091</v>
      </c>
      <c r="R293" s="284" t="s">
        <v>13009</v>
      </c>
      <c r="S293" s="284" t="s">
        <v>13257</v>
      </c>
      <c r="T293" s="284" t="s">
        <v>13012</v>
      </c>
      <c r="U293" s="284" t="s">
        <v>13966</v>
      </c>
      <c r="V293" s="284" t="s">
        <v>13014</v>
      </c>
      <c r="W293" s="284" t="s">
        <v>13264</v>
      </c>
      <c r="X293" s="284" t="s">
        <v>13222</v>
      </c>
      <c r="Y293" s="284" t="s">
        <v>13267</v>
      </c>
      <c r="Z293" s="284" t="s">
        <v>13016</v>
      </c>
      <c r="AA293" s="284"/>
      <c r="AB293" s="284"/>
      <c r="AC293" s="284"/>
      <c r="AD293" s="284"/>
      <c r="AE293" s="284"/>
      <c r="AF293" s="284"/>
      <c r="AG293" s="284"/>
      <c r="AH293" s="284"/>
      <c r="AI293" s="284"/>
      <c r="AJ293" s="284"/>
      <c r="AK293" s="284"/>
      <c r="AL293" s="284"/>
      <c r="AM293" s="284"/>
      <c r="AN293" s="284"/>
      <c r="AO293" s="284"/>
      <c r="AP293" s="284"/>
      <c r="AQ293" s="284"/>
      <c r="AR293" s="284"/>
      <c r="AS293" s="284"/>
      <c r="AT293" s="284"/>
      <c r="AU293" s="284"/>
      <c r="AV293" s="284"/>
      <c r="AW293" s="284"/>
      <c r="AX293" s="284"/>
      <c r="AY293" s="284"/>
      <c r="AZ293" s="284"/>
      <c r="BA293" s="284"/>
      <c r="BB293" s="284"/>
      <c r="BC293" s="284"/>
      <c r="BD293" s="284"/>
      <c r="BE293" s="284"/>
      <c r="BF293" s="284"/>
      <c r="BG293" s="284"/>
      <c r="BH293" s="284"/>
      <c r="BI293" s="284"/>
      <c r="BJ293" s="284"/>
      <c r="BK293" s="284"/>
      <c r="BL293" s="284"/>
      <c r="BM293" s="284"/>
      <c r="BN293" s="284"/>
      <c r="BO293" s="284"/>
      <c r="BP293" s="284"/>
      <c r="BQ293" s="284"/>
      <c r="BR293" s="284"/>
      <c r="BS293" s="284"/>
      <c r="BT293" s="284"/>
      <c r="BU293" s="284"/>
      <c r="BV293" s="284"/>
      <c r="BW293" s="284"/>
      <c r="BX293" s="284"/>
      <c r="BY293" s="284"/>
      <c r="BZ293" s="284"/>
      <c r="CA293" s="284"/>
      <c r="CB293" s="284"/>
      <c r="CC293" s="284"/>
      <c r="CD293" s="284"/>
      <c r="CE293" s="284"/>
      <c r="CF293" s="284"/>
      <c r="CG293" s="284"/>
    </row>
    <row r="294" spans="1:85" x14ac:dyDescent="0.35">
      <c r="A294" s="284" t="s">
        <v>6370</v>
      </c>
      <c r="B294" s="284" t="s">
        <v>223</v>
      </c>
      <c r="C294" t="s">
        <v>13072</v>
      </c>
      <c r="D294" s="284" t="s">
        <v>13021</v>
      </c>
      <c r="E294" s="284" t="s">
        <v>13113</v>
      </c>
      <c r="F294" s="284" t="s">
        <v>13279</v>
      </c>
      <c r="G294" s="284" t="s">
        <v>13147</v>
      </c>
      <c r="H294" s="284" t="s">
        <v>13065</v>
      </c>
      <c r="I294" s="284" t="s">
        <v>13288</v>
      </c>
      <c r="J294" s="284" t="s">
        <v>13273</v>
      </c>
      <c r="K294" s="284" t="s">
        <v>13238</v>
      </c>
      <c r="L294" s="284" t="s">
        <v>13085</v>
      </c>
      <c r="M294" s="284" t="s">
        <v>13148</v>
      </c>
      <c r="N294" s="284" t="s">
        <v>13149</v>
      </c>
      <c r="O294" s="284" t="s">
        <v>13028</v>
      </c>
      <c r="P294" s="284" t="s">
        <v>13066</v>
      </c>
      <c r="Q294" s="284" t="s">
        <v>13291</v>
      </c>
      <c r="R294" s="284" t="s">
        <v>13201</v>
      </c>
      <c r="S294" s="284" t="s">
        <v>13178</v>
      </c>
      <c r="T294" s="284" t="s">
        <v>13076</v>
      </c>
      <c r="U294" s="284" t="s">
        <v>13005</v>
      </c>
      <c r="V294" s="284" t="s">
        <v>13872</v>
      </c>
      <c r="W294" s="284" t="s">
        <v>13029</v>
      </c>
      <c r="X294" s="284" t="s">
        <v>13284</v>
      </c>
      <c r="Y294" s="284" t="s">
        <v>13486</v>
      </c>
      <c r="Z294" s="284" t="s">
        <v>13032</v>
      </c>
      <c r="AA294" s="284" t="s">
        <v>13033</v>
      </c>
      <c r="AB294" s="284" t="s">
        <v>13034</v>
      </c>
      <c r="AC294" s="284" t="s">
        <v>13036</v>
      </c>
      <c r="AD294" s="284" t="s">
        <v>13105</v>
      </c>
      <c r="AE294" s="284" t="s">
        <v>13277</v>
      </c>
      <c r="AF294" s="284" t="s">
        <v>13041</v>
      </c>
      <c r="AG294" s="284" t="s">
        <v>13285</v>
      </c>
      <c r="AH294" s="284" t="s">
        <v>13014</v>
      </c>
      <c r="AI294" s="284" t="s">
        <v>13286</v>
      </c>
      <c r="AJ294" s="284"/>
      <c r="AK294" s="284"/>
      <c r="AL294" s="284"/>
      <c r="AM294" s="284"/>
      <c r="AN294" s="284"/>
      <c r="AO294" s="284"/>
      <c r="AP294" s="284"/>
      <c r="AQ294" s="284"/>
      <c r="AR294" s="284"/>
      <c r="AS294" s="284"/>
      <c r="AT294" s="284"/>
      <c r="AU294" s="284"/>
      <c r="AV294" s="284"/>
      <c r="AW294" s="284"/>
      <c r="AX294" s="284"/>
      <c r="AY294" s="284"/>
      <c r="AZ294" s="284"/>
      <c r="BA294" s="284"/>
      <c r="BB294" s="284"/>
      <c r="BC294" s="284"/>
      <c r="BD294" s="284"/>
      <c r="BE294" s="284"/>
      <c r="BF294" s="284"/>
      <c r="BG294" s="284"/>
      <c r="BH294" s="284"/>
      <c r="BI294" s="284"/>
      <c r="BJ294" s="284"/>
      <c r="BK294" s="284"/>
      <c r="BL294" s="284"/>
      <c r="BM294" s="284"/>
      <c r="BN294" s="284"/>
      <c r="BO294" s="284"/>
      <c r="BP294" s="284"/>
      <c r="BQ294" s="284"/>
      <c r="BR294" s="284"/>
      <c r="BS294" s="284"/>
      <c r="BT294" s="284"/>
      <c r="BU294" s="284"/>
      <c r="BV294" s="284"/>
      <c r="BW294" s="284"/>
      <c r="BX294" s="284"/>
      <c r="BY294" s="284"/>
      <c r="BZ294" s="284"/>
      <c r="CA294" s="284"/>
      <c r="CB294" s="284"/>
      <c r="CC294" s="284"/>
      <c r="CD294" s="284"/>
      <c r="CE294" s="284"/>
      <c r="CF294" s="284"/>
      <c r="CG294" s="284"/>
    </row>
    <row r="295" spans="1:85" x14ac:dyDescent="0.35">
      <c r="A295" s="284" t="s">
        <v>9395</v>
      </c>
      <c r="B295" s="284" t="s">
        <v>224</v>
      </c>
      <c r="C295" t="s">
        <v>13082</v>
      </c>
      <c r="D295" s="284" t="s">
        <v>13235</v>
      </c>
      <c r="E295" s="284" t="s">
        <v>13236</v>
      </c>
      <c r="F295" s="284" t="s">
        <v>13237</v>
      </c>
      <c r="G295" s="284" t="s">
        <v>13085</v>
      </c>
      <c r="H295" s="284" t="s">
        <v>13099</v>
      </c>
      <c r="I295" s="284" t="s">
        <v>13049</v>
      </c>
      <c r="J295" s="284" t="s">
        <v>13002</v>
      </c>
      <c r="K295" s="284" t="s">
        <v>13066</v>
      </c>
      <c r="L295" s="284" t="s">
        <v>13076</v>
      </c>
      <c r="M295" s="284" t="s">
        <v>13248</v>
      </c>
      <c r="N295" s="284" t="s">
        <v>13035</v>
      </c>
      <c r="O295" s="284" t="s">
        <v>13036</v>
      </c>
      <c r="P295" s="284" t="s">
        <v>13394</v>
      </c>
      <c r="Q295" s="284" t="s">
        <v>13009</v>
      </c>
      <c r="R295" s="284" t="s">
        <v>13012</v>
      </c>
      <c r="S295" s="284" t="s">
        <v>13966</v>
      </c>
      <c r="T295" s="284" t="s">
        <v>13016</v>
      </c>
      <c r="U295" s="284"/>
      <c r="V295" s="284"/>
      <c r="W295" s="284"/>
      <c r="X295" s="284"/>
      <c r="Y295" s="284"/>
      <c r="Z295" s="284"/>
      <c r="AA295" s="284"/>
      <c r="AB295" s="284"/>
      <c r="AC295" s="284"/>
      <c r="AD295" s="284"/>
      <c r="AE295" s="284"/>
      <c r="AF295" s="284"/>
      <c r="AG295" s="284"/>
      <c r="AH295" s="284"/>
      <c r="AI295" s="284"/>
      <c r="AJ295" s="284"/>
      <c r="AK295" s="284"/>
      <c r="AL295" s="284"/>
      <c r="AM295" s="284"/>
      <c r="AN295" s="284"/>
      <c r="AO295" s="284"/>
      <c r="AP295" s="284"/>
      <c r="AQ295" s="284"/>
      <c r="AR295" s="284"/>
      <c r="AS295" s="284"/>
      <c r="AT295" s="284"/>
      <c r="AU295" s="284"/>
      <c r="AV295" s="284"/>
      <c r="AW295" s="284"/>
      <c r="AX295" s="284"/>
      <c r="AY295" s="284"/>
      <c r="AZ295" s="284"/>
      <c r="BA295" s="284"/>
      <c r="BB295" s="284"/>
      <c r="BC295" s="284"/>
      <c r="BD295" s="284"/>
      <c r="BE295" s="284"/>
      <c r="BF295" s="284"/>
      <c r="BG295" s="284"/>
      <c r="BH295" s="284"/>
      <c r="BI295" s="284"/>
      <c r="BJ295" s="284"/>
      <c r="BK295" s="284"/>
      <c r="BL295" s="284"/>
      <c r="BM295" s="284"/>
      <c r="BN295" s="284"/>
      <c r="BO295" s="284"/>
      <c r="BP295" s="284"/>
      <c r="BQ295" s="284"/>
      <c r="BR295" s="284"/>
      <c r="BS295" s="284"/>
      <c r="BT295" s="284"/>
      <c r="BU295" s="284"/>
      <c r="BV295" s="284"/>
      <c r="BW295" s="284"/>
      <c r="BX295" s="284"/>
      <c r="BY295" s="284"/>
      <c r="BZ295" s="284"/>
      <c r="CA295" s="284"/>
      <c r="CB295" s="284"/>
      <c r="CC295" s="284"/>
      <c r="CD295" s="284"/>
      <c r="CE295" s="284"/>
      <c r="CF295" s="284"/>
      <c r="CG295" s="284"/>
    </row>
    <row r="296" spans="1:85" x14ac:dyDescent="0.35">
      <c r="A296" t="s">
        <v>855</v>
      </c>
      <c r="B296" t="s">
        <v>225</v>
      </c>
      <c r="C296" t="s">
        <v>14403</v>
      </c>
      <c r="D296" t="s">
        <v>13146</v>
      </c>
      <c r="E296" t="s">
        <v>13072</v>
      </c>
      <c r="F296" t="s">
        <v>13021</v>
      </c>
      <c r="G296" t="s">
        <v>13023</v>
      </c>
      <c r="H296" t="s">
        <v>13065</v>
      </c>
      <c r="I296" t="s">
        <v>13115</v>
      </c>
      <c r="J296" t="s">
        <v>13595</v>
      </c>
      <c r="K296" t="s">
        <v>13000</v>
      </c>
      <c r="L296" t="s">
        <v>14404</v>
      </c>
      <c r="M296" t="s">
        <v>13119</v>
      </c>
      <c r="N296" t="s">
        <v>13027</v>
      </c>
      <c r="O296" t="s">
        <v>13001</v>
      </c>
      <c r="P296" t="s">
        <v>13002</v>
      </c>
      <c r="Q296" t="s">
        <v>13003</v>
      </c>
      <c r="R296" t="s">
        <v>13066</v>
      </c>
      <c r="S296" t="s">
        <v>13657</v>
      </c>
      <c r="T296" t="s">
        <v>13557</v>
      </c>
      <c r="U296" t="s">
        <v>13192</v>
      </c>
      <c r="V296" t="s">
        <v>13033</v>
      </c>
      <c r="W296" t="s">
        <v>13036</v>
      </c>
      <c r="X296" t="s">
        <v>13560</v>
      </c>
      <c r="Y296" t="s">
        <v>13107</v>
      </c>
      <c r="Z296" t="s">
        <v>14405</v>
      </c>
      <c r="AA296" t="s">
        <v>13014</v>
      </c>
      <c r="AB296" t="s">
        <v>13042</v>
      </c>
      <c r="AC296" t="s">
        <v>13096</v>
      </c>
      <c r="AD296" t="s">
        <v>13154</v>
      </c>
      <c r="AE296" t="s">
        <v>13155</v>
      </c>
      <c r="AF296" t="s">
        <v>13157</v>
      </c>
    </row>
    <row r="297" spans="1:85" ht="14.25" x14ac:dyDescent="0.45">
      <c r="A297" t="s">
        <v>898</v>
      </c>
      <c r="B297" t="s">
        <v>898</v>
      </c>
      <c r="C297" s="405" t="s">
        <v>3126</v>
      </c>
      <c r="D297" s="405" t="s">
        <v>7293</v>
      </c>
      <c r="E297" s="405" t="s">
        <v>7335</v>
      </c>
      <c r="F297" s="405" t="s">
        <v>6412</v>
      </c>
      <c r="G297" s="405" t="s">
        <v>3168</v>
      </c>
      <c r="H297" s="405" t="s">
        <v>6706</v>
      </c>
      <c r="I297" s="405" t="s">
        <v>7377</v>
      </c>
      <c r="J297" s="405" t="s">
        <v>6454</v>
      </c>
      <c r="K297" s="405" t="s">
        <v>3210</v>
      </c>
      <c r="L297" s="405" t="s">
        <v>897</v>
      </c>
      <c r="M297" s="405" t="s">
        <v>3252</v>
      </c>
      <c r="N297" s="405" t="s">
        <v>6748</v>
      </c>
      <c r="O297" s="405" t="s">
        <v>3294</v>
      </c>
      <c r="P297" s="405" t="s">
        <v>7419</v>
      </c>
      <c r="Q297" s="405" t="s">
        <v>6496</v>
      </c>
      <c r="R297" s="405" t="s">
        <v>3336</v>
      </c>
      <c r="S297" s="405" t="s">
        <v>6538</v>
      </c>
      <c r="T297" s="405" t="s">
        <v>940</v>
      </c>
      <c r="U297" s="405" t="s">
        <v>6790</v>
      </c>
      <c r="V297" s="405" t="s">
        <v>7461</v>
      </c>
      <c r="W297" s="405" t="s">
        <v>6580</v>
      </c>
      <c r="X297" s="405" t="s">
        <v>7503</v>
      </c>
      <c r="Y297" s="405" t="s">
        <v>3378</v>
      </c>
      <c r="Z297" s="405" t="s">
        <v>6832</v>
      </c>
      <c r="AA297" s="405" t="s">
        <v>2674</v>
      </c>
      <c r="AB297" s="405" t="s">
        <v>6622</v>
      </c>
      <c r="AC297" s="405" t="s">
        <v>1016</v>
      </c>
      <c r="AD297" s="405" t="s">
        <v>6664</v>
      </c>
      <c r="AE297" s="405" t="s">
        <v>7545</v>
      </c>
      <c r="AF297" s="405" t="s">
        <v>982</v>
      </c>
      <c r="AG297" s="405" t="s">
        <v>3420</v>
      </c>
      <c r="AH297" s="405" t="s">
        <v>6874</v>
      </c>
      <c r="AI297" s="405" t="s">
        <v>6916</v>
      </c>
      <c r="AJ297" s="405" t="s">
        <v>206</v>
      </c>
      <c r="AK297" s="405" t="s">
        <v>207</v>
      </c>
    </row>
    <row r="298" spans="1:85" ht="14.25" x14ac:dyDescent="0.45">
      <c r="A298" t="s">
        <v>1477</v>
      </c>
      <c r="B298" t="s">
        <v>1477</v>
      </c>
      <c r="C298" s="405" t="s">
        <v>8120</v>
      </c>
      <c r="D298" s="405" t="s">
        <v>4004</v>
      </c>
      <c r="E298" s="405" t="s">
        <v>2422</v>
      </c>
      <c r="F298" s="405" t="s">
        <v>4046</v>
      </c>
      <c r="G298" s="405" t="s">
        <v>6999</v>
      </c>
      <c r="H298" s="405" t="s">
        <v>4088</v>
      </c>
      <c r="I298" s="405" t="s">
        <v>7041</v>
      </c>
      <c r="J298" s="405" t="s">
        <v>5192</v>
      </c>
      <c r="K298" s="405" t="s">
        <v>2924</v>
      </c>
      <c r="L298" s="405" t="s">
        <v>4130</v>
      </c>
      <c r="M298" s="405" t="s">
        <v>2464</v>
      </c>
      <c r="N298" s="405" t="s">
        <v>4172</v>
      </c>
      <c r="O298" s="405" t="s">
        <v>4214</v>
      </c>
      <c r="P298" s="405" t="s">
        <v>5226</v>
      </c>
      <c r="Q298" s="405" t="s">
        <v>2966</v>
      </c>
      <c r="R298" s="405" t="s">
        <v>9519</v>
      </c>
      <c r="S298" s="405" t="s">
        <v>9602</v>
      </c>
      <c r="T298" s="405" t="s">
        <v>4256</v>
      </c>
      <c r="U298" s="405" t="s">
        <v>3000</v>
      </c>
      <c r="V298" s="405" t="s">
        <v>7083</v>
      </c>
      <c r="W298" s="405" t="s">
        <v>4298</v>
      </c>
      <c r="X298" s="405" t="s">
        <v>5268</v>
      </c>
      <c r="Y298" s="405" t="s">
        <v>3042</v>
      </c>
      <c r="Z298" s="405" t="s">
        <v>8162</v>
      </c>
      <c r="AA298" s="405" t="s">
        <v>7125</v>
      </c>
      <c r="AB298" s="405" t="s">
        <v>1519</v>
      </c>
      <c r="AC298" s="405" t="s">
        <v>4340</v>
      </c>
      <c r="AD298" s="405" t="s">
        <v>8204</v>
      </c>
      <c r="AE298" s="405" t="s">
        <v>5310</v>
      </c>
      <c r="AF298" s="405" t="s">
        <v>7167</v>
      </c>
      <c r="AG298" s="405" t="s">
        <v>7209</v>
      </c>
      <c r="AH298" s="405" t="s">
        <v>1476</v>
      </c>
      <c r="AI298" s="405" t="s">
        <v>4382</v>
      </c>
      <c r="AJ298" s="405" t="s">
        <v>3084</v>
      </c>
      <c r="AK298" s="405" t="s">
        <v>7251</v>
      </c>
      <c r="AL298" s="405" t="s">
        <v>156</v>
      </c>
      <c r="AM298" s="405" t="s">
        <v>159</v>
      </c>
      <c r="AN298" s="405" t="s">
        <v>163</v>
      </c>
      <c r="AO298" s="405" t="s">
        <v>179</v>
      </c>
      <c r="AP298" s="405" t="s">
        <v>183</v>
      </c>
      <c r="AQ298" s="405" t="s">
        <v>184</v>
      </c>
      <c r="AR298" s="405" t="s">
        <v>191</v>
      </c>
      <c r="AS298" s="405" t="s">
        <v>199</v>
      </c>
      <c r="AT298" s="405" t="s">
        <v>202</v>
      </c>
      <c r="AU298" s="405" t="s">
        <v>209</v>
      </c>
    </row>
    <row r="299" spans="1:85" ht="14.25" x14ac:dyDescent="0.45">
      <c r="A299" t="s">
        <v>11188</v>
      </c>
      <c r="B299" t="s">
        <v>11188</v>
      </c>
      <c r="C299" s="405" t="s">
        <v>11230</v>
      </c>
      <c r="D299" s="405" t="s">
        <v>11272</v>
      </c>
      <c r="E299" s="405" t="s">
        <v>11314</v>
      </c>
      <c r="F299" s="405" t="s">
        <v>11356</v>
      </c>
      <c r="G299" s="405" t="s">
        <v>11398</v>
      </c>
      <c r="H299" s="405" t="s">
        <v>11440</v>
      </c>
      <c r="I299" s="405" t="s">
        <v>11187</v>
      </c>
      <c r="J299" s="405" t="s">
        <v>11482</v>
      </c>
      <c r="K299" s="405" t="s">
        <v>11524</v>
      </c>
      <c r="L299" s="405" t="s">
        <v>11566</v>
      </c>
      <c r="M299" s="405" t="s">
        <v>11608</v>
      </c>
      <c r="N299" s="405" t="s">
        <v>11650</v>
      </c>
      <c r="O299" s="405" t="s">
        <v>11692</v>
      </c>
      <c r="P299" s="405" t="s">
        <v>11734</v>
      </c>
      <c r="Q299" s="405" t="s">
        <v>11776</v>
      </c>
      <c r="R299" s="405" t="s">
        <v>11818</v>
      </c>
      <c r="S299" s="405" t="s">
        <v>11860</v>
      </c>
      <c r="T299" s="405" t="s">
        <v>11902</v>
      </c>
      <c r="U299" s="405" t="s">
        <v>11944</v>
      </c>
      <c r="V299" s="405" t="s">
        <v>11986</v>
      </c>
      <c r="W299" s="405" t="s">
        <v>12028</v>
      </c>
      <c r="X299" s="405" t="s">
        <v>12072</v>
      </c>
      <c r="Y299" s="405" t="s">
        <v>12114</v>
      </c>
      <c r="Z299" s="405" t="s">
        <v>12156</v>
      </c>
      <c r="AA299" s="405" t="s">
        <v>12198</v>
      </c>
      <c r="AB299" s="405" t="s">
        <v>12240</v>
      </c>
      <c r="AC299" s="405" t="s">
        <v>12282</v>
      </c>
      <c r="AD299" s="405" t="s">
        <v>157</v>
      </c>
      <c r="AE299" s="405" t="s">
        <v>171</v>
      </c>
      <c r="AF299" s="405" t="s">
        <v>188</v>
      </c>
      <c r="AG299" s="405" t="s">
        <v>195</v>
      </c>
      <c r="AH299" s="405" t="s">
        <v>196</v>
      </c>
      <c r="AI299" s="405" t="s">
        <v>210</v>
      </c>
    </row>
    <row r="300" spans="1:85" ht="14.25" x14ac:dyDescent="0.45">
      <c r="A300" t="s">
        <v>292</v>
      </c>
      <c r="B300" t="s">
        <v>292</v>
      </c>
      <c r="C300" s="405" t="s">
        <v>2137</v>
      </c>
      <c r="D300" s="405" t="s">
        <v>477</v>
      </c>
      <c r="E300" s="405" t="s">
        <v>11145</v>
      </c>
      <c r="F300" s="405" t="s">
        <v>291</v>
      </c>
      <c r="G300" s="405" t="s">
        <v>352</v>
      </c>
      <c r="H300" s="405" t="s">
        <v>10477</v>
      </c>
      <c r="I300" s="405" t="s">
        <v>10519</v>
      </c>
      <c r="J300" s="405" t="s">
        <v>2506</v>
      </c>
      <c r="K300" s="405" t="s">
        <v>394</v>
      </c>
      <c r="L300" s="405" t="s">
        <v>10561</v>
      </c>
      <c r="M300" s="405" t="s">
        <v>165</v>
      </c>
      <c r="N300" s="405" t="s">
        <v>169</v>
      </c>
    </row>
    <row r="301" spans="1:85" ht="14.25" x14ac:dyDescent="0.45">
      <c r="A301" t="s">
        <v>520</v>
      </c>
      <c r="B301" t="s">
        <v>520</v>
      </c>
      <c r="C301" s="405" t="s">
        <v>603</v>
      </c>
      <c r="D301" s="405" t="s">
        <v>645</v>
      </c>
      <c r="E301" s="405" t="s">
        <v>9685</v>
      </c>
      <c r="F301" s="405" t="s">
        <v>5918</v>
      </c>
      <c r="G301" s="405" t="s">
        <v>9727</v>
      </c>
      <c r="H301" s="405" t="s">
        <v>2179</v>
      </c>
      <c r="I301" s="405" t="s">
        <v>2221</v>
      </c>
      <c r="J301" s="405" t="s">
        <v>5960</v>
      </c>
      <c r="K301" s="405" t="s">
        <v>2757</v>
      </c>
      <c r="L301" s="405" t="s">
        <v>6002</v>
      </c>
      <c r="M301" s="405" t="s">
        <v>519</v>
      </c>
      <c r="N301" s="405" t="s">
        <v>6036</v>
      </c>
      <c r="O301" s="405" t="s">
        <v>10101</v>
      </c>
      <c r="P301" s="405" t="s">
        <v>6078</v>
      </c>
      <c r="Q301" s="405" t="s">
        <v>10143</v>
      </c>
      <c r="R301" s="405" t="s">
        <v>9769</v>
      </c>
      <c r="S301" s="405" t="s">
        <v>9811</v>
      </c>
      <c r="T301" s="405" t="s">
        <v>6120</v>
      </c>
      <c r="U301" s="405" t="s">
        <v>6162</v>
      </c>
      <c r="V301" s="405" t="s">
        <v>6204</v>
      </c>
      <c r="W301" s="405" t="s">
        <v>9853</v>
      </c>
      <c r="X301" s="405" t="s">
        <v>6246</v>
      </c>
      <c r="Y301" s="405" t="s">
        <v>9895</v>
      </c>
      <c r="Z301" s="405" t="s">
        <v>10226</v>
      </c>
      <c r="AA301" s="405" t="s">
        <v>6288</v>
      </c>
      <c r="AB301" s="405" t="s">
        <v>160</v>
      </c>
      <c r="AC301" s="405" t="s">
        <v>164</v>
      </c>
      <c r="AD301" s="405" t="s">
        <v>174</v>
      </c>
      <c r="AE301" s="405" t="s">
        <v>189</v>
      </c>
      <c r="AF301" s="405" t="s">
        <v>197</v>
      </c>
      <c r="AG301" s="405" t="s">
        <v>205</v>
      </c>
      <c r="AH301" s="405" t="s">
        <v>211</v>
      </c>
      <c r="AI301" s="405" t="s">
        <v>212</v>
      </c>
      <c r="AJ301" s="405" t="s">
        <v>216</v>
      </c>
      <c r="AK301" s="405" t="s">
        <v>223</v>
      </c>
    </row>
    <row r="302" spans="1:85" ht="14.25" x14ac:dyDescent="0.45">
      <c r="A302" t="s">
        <v>1644</v>
      </c>
      <c r="B302" t="s">
        <v>1644</v>
      </c>
      <c r="C302" s="405" t="s">
        <v>8903</v>
      </c>
      <c r="D302" s="405" t="s">
        <v>8945</v>
      </c>
      <c r="E302" s="405" t="s">
        <v>5426</v>
      </c>
      <c r="F302" s="405" t="s">
        <v>4740</v>
      </c>
      <c r="G302" s="405" t="s">
        <v>1686</v>
      </c>
      <c r="H302" s="405" t="s">
        <v>1969</v>
      </c>
      <c r="I302" s="405" t="s">
        <v>2632</v>
      </c>
      <c r="J302" s="405" t="s">
        <v>5468</v>
      </c>
      <c r="K302" s="405" t="s">
        <v>7587</v>
      </c>
      <c r="L302" s="405" t="s">
        <v>8987</v>
      </c>
      <c r="M302" s="405" t="s">
        <v>9029</v>
      </c>
      <c r="N302" s="405" t="s">
        <v>5510</v>
      </c>
      <c r="O302" s="405" t="s">
        <v>5552</v>
      </c>
      <c r="P302" s="405" t="s">
        <v>4782</v>
      </c>
      <c r="Q302" s="405" t="s">
        <v>3795</v>
      </c>
      <c r="R302" s="405" t="s">
        <v>4824</v>
      </c>
      <c r="S302" s="405" t="s">
        <v>8246</v>
      </c>
      <c r="T302" s="405" t="s">
        <v>8288</v>
      </c>
      <c r="U302" s="405" t="s">
        <v>4866</v>
      </c>
      <c r="V302" s="405" t="s">
        <v>5720</v>
      </c>
      <c r="W302" s="405" t="s">
        <v>4908</v>
      </c>
      <c r="X302" s="405" t="s">
        <v>5594</v>
      </c>
      <c r="Y302" s="405" t="s">
        <v>8330</v>
      </c>
      <c r="Z302" s="405" t="s">
        <v>4950</v>
      </c>
      <c r="AA302" s="405" t="s">
        <v>3837</v>
      </c>
      <c r="AB302" s="405" t="s">
        <v>4984</v>
      </c>
      <c r="AC302" s="405" t="s">
        <v>9071</v>
      </c>
      <c r="AD302" s="405" t="s">
        <v>2095</v>
      </c>
      <c r="AE302" s="405" t="s">
        <v>3879</v>
      </c>
      <c r="AF302" s="405" t="s">
        <v>5636</v>
      </c>
      <c r="AG302" s="405" t="s">
        <v>1643</v>
      </c>
      <c r="AH302" s="405" t="s">
        <v>9113</v>
      </c>
      <c r="AI302" s="405" t="s">
        <v>1927</v>
      </c>
      <c r="AJ302" s="405" t="s">
        <v>8372</v>
      </c>
      <c r="AK302" s="405" t="s">
        <v>5026</v>
      </c>
      <c r="AL302" s="405" t="s">
        <v>7629</v>
      </c>
      <c r="AM302" s="405" t="s">
        <v>2011</v>
      </c>
      <c r="AN302" s="405" t="s">
        <v>1761</v>
      </c>
      <c r="AO302" s="405" t="s">
        <v>8414</v>
      </c>
      <c r="AP302" s="405" t="s">
        <v>3921</v>
      </c>
      <c r="AQ302" s="405" t="s">
        <v>8456</v>
      </c>
      <c r="AR302" s="405" t="s">
        <v>5068</v>
      </c>
      <c r="AS302" s="405" t="s">
        <v>5678</v>
      </c>
      <c r="AT302" s="405" t="s">
        <v>1803</v>
      </c>
      <c r="AU302" s="405" t="s">
        <v>7671</v>
      </c>
      <c r="AV302" s="405" t="s">
        <v>2053</v>
      </c>
      <c r="AW302" s="405" t="s">
        <v>158</v>
      </c>
      <c r="AX302" s="405" t="s">
        <v>170</v>
      </c>
      <c r="AY302" s="405" t="s">
        <v>172</v>
      </c>
      <c r="AZ302" s="405" t="s">
        <v>176</v>
      </c>
      <c r="BA302" s="405" t="s">
        <v>180</v>
      </c>
      <c r="BB302" s="405" t="s">
        <v>182</v>
      </c>
      <c r="BC302" s="405" t="s">
        <v>185</v>
      </c>
      <c r="BD302" s="405" t="s">
        <v>190</v>
      </c>
      <c r="BE302" s="405" t="s">
        <v>192</v>
      </c>
      <c r="BF302" s="405" t="s">
        <v>200</v>
      </c>
      <c r="BG302" s="405" t="s">
        <v>201</v>
      </c>
      <c r="BH302" s="405" t="s">
        <v>203</v>
      </c>
      <c r="BI302" s="405" t="s">
        <v>208</v>
      </c>
      <c r="BJ302" s="405" t="s">
        <v>214</v>
      </c>
      <c r="BK302" s="405" t="s">
        <v>215</v>
      </c>
      <c r="BL302" s="405" t="s">
        <v>217</v>
      </c>
      <c r="BM302" s="405" t="s">
        <v>218</v>
      </c>
      <c r="BN302" s="405" t="s">
        <v>221</v>
      </c>
    </row>
    <row r="303" spans="1:85" ht="14.25" x14ac:dyDescent="0.45">
      <c r="A303" t="s">
        <v>1184</v>
      </c>
      <c r="B303" t="s">
        <v>1184</v>
      </c>
      <c r="C303" s="405" t="s">
        <v>1183</v>
      </c>
      <c r="D303" s="405" t="s">
        <v>2548</v>
      </c>
      <c r="E303" s="405" t="s">
        <v>1226</v>
      </c>
      <c r="F303" s="405" t="s">
        <v>4498</v>
      </c>
      <c r="G303" s="405" t="s">
        <v>2305</v>
      </c>
      <c r="H303" s="405" t="s">
        <v>4540</v>
      </c>
      <c r="I303" s="405" t="s">
        <v>2590</v>
      </c>
      <c r="J303" s="405" t="s">
        <v>3462</v>
      </c>
      <c r="K303" s="405" t="s">
        <v>3504</v>
      </c>
      <c r="L303" s="405" t="s">
        <v>4574</v>
      </c>
      <c r="M303" s="405" t="s">
        <v>4616</v>
      </c>
      <c r="N303" s="405" t="s">
        <v>2347</v>
      </c>
      <c r="O303" s="405" t="s">
        <v>3546</v>
      </c>
      <c r="P303" s="405" t="s">
        <v>3588</v>
      </c>
      <c r="Q303" s="405" t="s">
        <v>1268</v>
      </c>
      <c r="R303" s="405" t="s">
        <v>1352</v>
      </c>
      <c r="S303" s="405" t="s">
        <v>2882</v>
      </c>
      <c r="T303" s="405" t="s">
        <v>1310</v>
      </c>
      <c r="U303" s="405" t="s">
        <v>3630</v>
      </c>
      <c r="V303" s="405" t="s">
        <v>168</v>
      </c>
      <c r="W303" s="405" t="s">
        <v>173</v>
      </c>
      <c r="X303" s="405" t="s">
        <v>177</v>
      </c>
      <c r="Y303" s="405" t="s">
        <v>181</v>
      </c>
      <c r="Z303" s="405" t="s">
        <v>186</v>
      </c>
      <c r="AA303" s="405" t="s">
        <v>187</v>
      </c>
      <c r="AB303" s="405" t="s">
        <v>204</v>
      </c>
      <c r="AC303" s="405" t="s">
        <v>213</v>
      </c>
    </row>
    <row r="304" spans="1:85" ht="14.25" x14ac:dyDescent="0.45">
      <c r="A304" t="s">
        <v>1059</v>
      </c>
      <c r="B304" t="s">
        <v>1059</v>
      </c>
      <c r="C304" s="405" t="s">
        <v>10644</v>
      </c>
      <c r="D304" s="405" t="s">
        <v>9196</v>
      </c>
      <c r="E304" s="405" t="s">
        <v>7795</v>
      </c>
      <c r="F304" s="405" t="s">
        <v>10686</v>
      </c>
      <c r="G304" s="405" t="s">
        <v>10728</v>
      </c>
      <c r="H304" s="405" t="s">
        <v>7837</v>
      </c>
      <c r="I304" s="405" t="s">
        <v>1058</v>
      </c>
      <c r="J304" s="405" t="s">
        <v>7871</v>
      </c>
      <c r="K304" s="405" t="s">
        <v>9230</v>
      </c>
      <c r="L304" s="405" t="s">
        <v>7913</v>
      </c>
      <c r="M304" s="405" t="s">
        <v>8695</v>
      </c>
      <c r="N304" s="405" t="s">
        <v>8737</v>
      </c>
      <c r="O304" s="405" t="s">
        <v>9272</v>
      </c>
      <c r="P304" s="405" t="s">
        <v>8779</v>
      </c>
      <c r="Q304" s="405" t="s">
        <v>10770</v>
      </c>
      <c r="R304" s="405" t="s">
        <v>2263</v>
      </c>
      <c r="S304" s="405" t="s">
        <v>10812</v>
      </c>
      <c r="T304" s="405" t="s">
        <v>7955</v>
      </c>
      <c r="U304" s="405" t="s">
        <v>161</v>
      </c>
      <c r="V304" s="405" t="s">
        <v>162</v>
      </c>
      <c r="W304" s="405" t="s">
        <v>166</v>
      </c>
      <c r="X304" s="405" t="s">
        <v>167</v>
      </c>
      <c r="Y304" s="405" t="s">
        <v>175</v>
      </c>
      <c r="Z304" s="405" t="s">
        <v>178</v>
      </c>
      <c r="AA304" s="405" t="s">
        <v>194</v>
      </c>
      <c r="AB304" s="405" t="s">
        <v>198</v>
      </c>
      <c r="AC304" s="405" t="s">
        <v>219</v>
      </c>
      <c r="AD304" s="405" t="s">
        <v>220</v>
      </c>
      <c r="AE304" s="405" t="s">
        <v>222</v>
      </c>
      <c r="AF304" s="405" t="s">
        <v>224</v>
      </c>
    </row>
    <row r="305" spans="1:17" ht="14.25" x14ac:dyDescent="0.45">
      <c r="A305" t="s">
        <v>688</v>
      </c>
      <c r="B305" t="s">
        <v>688</v>
      </c>
      <c r="C305" s="405" t="s">
        <v>10309</v>
      </c>
      <c r="D305" s="405" t="s">
        <v>10936</v>
      </c>
      <c r="E305" s="405" t="s">
        <v>10978</v>
      </c>
      <c r="F305" s="405" t="s">
        <v>10351</v>
      </c>
      <c r="G305" s="405" t="s">
        <v>730</v>
      </c>
      <c r="H305" s="405" t="s">
        <v>687</v>
      </c>
      <c r="I305" s="405" t="s">
        <v>11020</v>
      </c>
      <c r="J305" s="405" t="s">
        <v>11062</v>
      </c>
      <c r="K305" s="405" t="s">
        <v>772</v>
      </c>
      <c r="L305" s="405" t="s">
        <v>814</v>
      </c>
      <c r="M305" s="405" t="s">
        <v>2840</v>
      </c>
      <c r="N305" s="405" t="s">
        <v>10393</v>
      </c>
      <c r="O305" s="405" t="s">
        <v>10435</v>
      </c>
      <c r="P305" s="405" t="s">
        <v>193</v>
      </c>
      <c r="Q305" s="405" t="s">
        <v>225</v>
      </c>
    </row>
    <row r="306" spans="1:17" x14ac:dyDescent="0.35">
      <c r="A306" t="s">
        <v>109</v>
      </c>
      <c r="B306" t="s">
        <v>109</v>
      </c>
      <c r="C306" t="s">
        <v>898</v>
      </c>
      <c r="D306" t="s">
        <v>1477</v>
      </c>
      <c r="E306" t="s">
        <v>11188</v>
      </c>
      <c r="F306" t="s">
        <v>292</v>
      </c>
      <c r="G306" t="s">
        <v>520</v>
      </c>
      <c r="H306" t="s">
        <v>1644</v>
      </c>
      <c r="I306" t="s">
        <v>1184</v>
      </c>
      <c r="J306" t="s">
        <v>1059</v>
      </c>
      <c r="K306" t="s">
        <v>688</v>
      </c>
    </row>
  </sheetData>
  <pageMargins left="0.7" right="0.7" top="0.75" bottom="0.75" header="0.3" footer="0.3"/>
  <pageSetup paperSize="9" orientation="portrait" r:id="rId1"/>
  <headerFooter>
    <oddHeader>&amp;C&amp;"Calibri"&amp;10&amp;K000000 OFFICIAL&amp;1#_x000D_</oddHeader>
    <oddFooter>&amp;C_x000D_&amp;1#&amp;"Calibri"&amp;10&amp;K000000 OFFICIAL</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92D050"/>
  </sheetPr>
  <dimension ref="A1:AN1714"/>
  <sheetViews>
    <sheetView topLeftCell="V1" zoomScale="80" zoomScaleNormal="80" workbookViewId="0">
      <pane ySplit="1" topLeftCell="A2" activePane="bottomLeft" state="frozen"/>
      <selection activeCell="A3" sqref="A3:CC309"/>
      <selection pane="bottomLeft" activeCell="AB2" sqref="AB2"/>
    </sheetView>
  </sheetViews>
  <sheetFormatPr defaultColWidth="8.796875" defaultRowHeight="12.75" x14ac:dyDescent="0.35"/>
  <cols>
    <col min="2" max="2" width="64.53125" bestFit="1" customWidth="1"/>
    <col min="16" max="16" width="23" bestFit="1" customWidth="1"/>
    <col min="21" max="21" width="9.53125" customWidth="1"/>
    <col min="22" max="22" width="12" customWidth="1"/>
    <col min="28" max="28" width="14.46484375" customWidth="1"/>
    <col min="31" max="31" width="9.46484375" customWidth="1"/>
    <col min="32" max="32" width="20.53125" customWidth="1"/>
    <col min="35" max="35" width="9.46484375" customWidth="1"/>
    <col min="36" max="36" width="20.53125" customWidth="1"/>
    <col min="40" max="40" width="11.53125" customWidth="1"/>
  </cols>
  <sheetData>
    <row r="1" spans="1:40" ht="57" x14ac:dyDescent="0.45">
      <c r="A1" s="143" t="s">
        <v>14406</v>
      </c>
      <c r="B1" s="143" t="s">
        <v>14407</v>
      </c>
      <c r="C1" s="277" t="s">
        <v>14408</v>
      </c>
      <c r="D1" s="277" t="s">
        <v>14409</v>
      </c>
      <c r="E1" s="277" t="s">
        <v>14410</v>
      </c>
      <c r="F1" s="277" t="s">
        <v>14411</v>
      </c>
      <c r="G1" s="277" t="s">
        <v>14412</v>
      </c>
      <c r="I1" s="143" t="s">
        <v>14406</v>
      </c>
      <c r="J1" s="143" t="s">
        <v>14407</v>
      </c>
      <c r="K1" s="143" t="s">
        <v>14413</v>
      </c>
      <c r="P1" s="52" t="s">
        <v>14414</v>
      </c>
      <c r="Q1" s="52"/>
      <c r="U1" t="s">
        <v>14415</v>
      </c>
      <c r="V1" s="419" t="s">
        <v>14416</v>
      </c>
      <c r="AA1" t="s">
        <v>14417</v>
      </c>
      <c r="AB1" t="s">
        <v>14418</v>
      </c>
      <c r="AE1" t="s">
        <v>14419</v>
      </c>
      <c r="AF1" t="s">
        <v>14420</v>
      </c>
      <c r="AI1" t="s">
        <v>277</v>
      </c>
      <c r="AJ1" t="s">
        <v>14421</v>
      </c>
      <c r="AM1" t="s">
        <v>14415</v>
      </c>
      <c r="AN1" t="s">
        <v>14422</v>
      </c>
    </row>
    <row r="2" spans="1:40" x14ac:dyDescent="0.35">
      <c r="A2" t="s">
        <v>14423</v>
      </c>
      <c r="B2" t="s">
        <v>13289</v>
      </c>
      <c r="C2">
        <v>19050</v>
      </c>
      <c r="D2">
        <v>16477</v>
      </c>
      <c r="E2">
        <v>8</v>
      </c>
      <c r="F2">
        <v>2358</v>
      </c>
      <c r="G2">
        <v>207</v>
      </c>
      <c r="I2" t="s">
        <v>14423</v>
      </c>
      <c r="J2" t="s">
        <v>13289</v>
      </c>
      <c r="K2">
        <v>16</v>
      </c>
      <c r="O2" t="str">
        <f>'LARPs and PRPs in region'!B6</f>
        <v/>
      </c>
      <c r="P2" t="s">
        <v>109</v>
      </c>
      <c r="Q2" t="s">
        <v>14424</v>
      </c>
      <c r="U2" t="s">
        <v>109</v>
      </c>
      <c r="V2">
        <v>1407</v>
      </c>
      <c r="AA2" t="s">
        <v>898</v>
      </c>
      <c r="AB2">
        <v>29</v>
      </c>
      <c r="AE2" t="s">
        <v>8120</v>
      </c>
      <c r="AF2" t="s">
        <v>1477</v>
      </c>
      <c r="AI2" t="s">
        <v>1644</v>
      </c>
      <c r="AJ2" t="s">
        <v>8903</v>
      </c>
      <c r="AM2" s="420" t="s">
        <v>109</v>
      </c>
      <c r="AN2" s="421">
        <v>1179</v>
      </c>
    </row>
    <row r="3" spans="1:40" x14ac:dyDescent="0.35">
      <c r="A3" t="s">
        <v>14425</v>
      </c>
      <c r="B3" t="s">
        <v>13122</v>
      </c>
      <c r="C3">
        <v>216</v>
      </c>
      <c r="D3">
        <v>216</v>
      </c>
      <c r="E3">
        <v>0</v>
      </c>
      <c r="F3">
        <v>0</v>
      </c>
      <c r="G3">
        <v>0</v>
      </c>
      <c r="I3" t="s">
        <v>14425</v>
      </c>
      <c r="J3" t="s">
        <v>13122</v>
      </c>
      <c r="K3">
        <v>3</v>
      </c>
      <c r="O3">
        <f>IFERROR(VLOOKUP(O2,P2:Q11,2,0),0)</f>
        <v>0</v>
      </c>
      <c r="P3" t="s">
        <v>898</v>
      </c>
      <c r="Q3" t="s">
        <v>14424</v>
      </c>
      <c r="U3" t="s">
        <v>898</v>
      </c>
      <c r="V3">
        <v>195</v>
      </c>
      <c r="AA3" t="s">
        <v>1477</v>
      </c>
      <c r="AB3">
        <v>35</v>
      </c>
      <c r="AE3" t="s">
        <v>4004</v>
      </c>
      <c r="AF3" t="s">
        <v>1477</v>
      </c>
      <c r="AI3" t="s">
        <v>898</v>
      </c>
      <c r="AJ3" t="s">
        <v>3126</v>
      </c>
      <c r="AM3" s="420" t="s">
        <v>898</v>
      </c>
      <c r="AN3" s="421">
        <v>166</v>
      </c>
    </row>
    <row r="4" spans="1:40" x14ac:dyDescent="0.35">
      <c r="A4" t="s">
        <v>14426</v>
      </c>
      <c r="B4" t="s">
        <v>13531</v>
      </c>
      <c r="C4">
        <v>56</v>
      </c>
      <c r="D4">
        <v>56</v>
      </c>
      <c r="E4">
        <v>0</v>
      </c>
      <c r="F4">
        <v>0</v>
      </c>
      <c r="G4">
        <v>0</v>
      </c>
      <c r="I4" t="s">
        <v>14426</v>
      </c>
      <c r="J4" t="s">
        <v>13531</v>
      </c>
      <c r="K4">
        <v>1</v>
      </c>
      <c r="P4" s="51" t="s">
        <v>1477</v>
      </c>
      <c r="Q4" t="s">
        <v>14424</v>
      </c>
      <c r="U4" t="s">
        <v>1477</v>
      </c>
      <c r="V4">
        <v>238</v>
      </c>
      <c r="AA4" t="s">
        <v>11188</v>
      </c>
      <c r="AB4">
        <v>33</v>
      </c>
      <c r="AE4" t="s">
        <v>2422</v>
      </c>
      <c r="AF4" t="s">
        <v>1477</v>
      </c>
      <c r="AI4" t="s">
        <v>1644</v>
      </c>
      <c r="AJ4" t="s">
        <v>8945</v>
      </c>
      <c r="AM4" s="420" t="s">
        <v>1477</v>
      </c>
      <c r="AN4" s="421">
        <v>203</v>
      </c>
    </row>
    <row r="5" spans="1:40" x14ac:dyDescent="0.35">
      <c r="A5" t="s">
        <v>14427</v>
      </c>
      <c r="B5" t="s">
        <v>13472</v>
      </c>
      <c r="C5">
        <v>95</v>
      </c>
      <c r="D5">
        <v>95</v>
      </c>
      <c r="E5">
        <v>0</v>
      </c>
      <c r="F5">
        <v>0</v>
      </c>
      <c r="G5">
        <v>0</v>
      </c>
      <c r="I5" t="s">
        <v>14427</v>
      </c>
      <c r="J5" t="s">
        <v>13472</v>
      </c>
      <c r="K5">
        <v>1</v>
      </c>
      <c r="P5" t="s">
        <v>11188</v>
      </c>
      <c r="Q5" t="s">
        <v>14424</v>
      </c>
      <c r="U5" t="s">
        <v>11188</v>
      </c>
      <c r="V5">
        <v>387</v>
      </c>
      <c r="AA5" t="s">
        <v>292</v>
      </c>
      <c r="AB5">
        <v>10</v>
      </c>
      <c r="AE5" t="s">
        <v>4046</v>
      </c>
      <c r="AF5" t="s">
        <v>1477</v>
      </c>
      <c r="AI5" t="s">
        <v>898</v>
      </c>
      <c r="AJ5" t="s">
        <v>7293</v>
      </c>
      <c r="AM5" s="420" t="s">
        <v>11188</v>
      </c>
      <c r="AN5" s="421">
        <v>354</v>
      </c>
    </row>
    <row r="6" spans="1:40" x14ac:dyDescent="0.35">
      <c r="A6" t="s">
        <v>14428</v>
      </c>
      <c r="B6" t="s">
        <v>13606</v>
      </c>
      <c r="C6">
        <v>189</v>
      </c>
      <c r="D6">
        <v>189</v>
      </c>
      <c r="E6">
        <v>0</v>
      </c>
      <c r="F6">
        <v>0</v>
      </c>
      <c r="G6">
        <v>0</v>
      </c>
      <c r="I6" t="s">
        <v>14428</v>
      </c>
      <c r="J6" t="s">
        <v>13606</v>
      </c>
      <c r="K6">
        <v>1</v>
      </c>
      <c r="P6" t="s">
        <v>292</v>
      </c>
      <c r="Q6" t="s">
        <v>14424</v>
      </c>
      <c r="U6" t="s">
        <v>292</v>
      </c>
      <c r="V6">
        <v>120</v>
      </c>
      <c r="AA6" t="s">
        <v>520</v>
      </c>
      <c r="AB6">
        <v>21</v>
      </c>
      <c r="AE6" t="s">
        <v>6999</v>
      </c>
      <c r="AF6" t="s">
        <v>1477</v>
      </c>
      <c r="AI6" t="s">
        <v>1644</v>
      </c>
      <c r="AJ6" t="s">
        <v>5426</v>
      </c>
      <c r="AM6" s="420" t="s">
        <v>292</v>
      </c>
      <c r="AN6" s="421">
        <v>110</v>
      </c>
    </row>
    <row r="7" spans="1:40" x14ac:dyDescent="0.35">
      <c r="A7" t="s">
        <v>14429</v>
      </c>
      <c r="B7" t="s">
        <v>13829</v>
      </c>
      <c r="C7">
        <v>11600</v>
      </c>
      <c r="D7">
        <v>11434</v>
      </c>
      <c r="E7">
        <v>3</v>
      </c>
      <c r="F7">
        <v>0</v>
      </c>
      <c r="G7">
        <v>163</v>
      </c>
      <c r="I7" t="s">
        <v>14429</v>
      </c>
      <c r="J7" t="s">
        <v>13829</v>
      </c>
      <c r="K7">
        <v>4</v>
      </c>
      <c r="P7" t="s">
        <v>520</v>
      </c>
      <c r="Q7" t="s">
        <v>14424</v>
      </c>
      <c r="U7" t="s">
        <v>520</v>
      </c>
      <c r="V7">
        <v>244</v>
      </c>
      <c r="AA7" t="s">
        <v>1644</v>
      </c>
      <c r="AB7">
        <v>48</v>
      </c>
      <c r="AE7" t="s">
        <v>4088</v>
      </c>
      <c r="AF7" t="s">
        <v>1477</v>
      </c>
      <c r="AI7" t="s">
        <v>1477</v>
      </c>
      <c r="AJ7" t="s">
        <v>8120</v>
      </c>
      <c r="AM7" s="420" t="s">
        <v>520</v>
      </c>
      <c r="AN7" s="421">
        <v>223</v>
      </c>
    </row>
    <row r="8" spans="1:40" x14ac:dyDescent="0.35">
      <c r="A8" t="s">
        <v>14430</v>
      </c>
      <c r="B8" t="s">
        <v>13475</v>
      </c>
      <c r="C8">
        <v>4831</v>
      </c>
      <c r="D8">
        <v>4330</v>
      </c>
      <c r="E8">
        <v>0</v>
      </c>
      <c r="F8">
        <v>352</v>
      </c>
      <c r="G8">
        <v>149</v>
      </c>
      <c r="I8" t="s">
        <v>14430</v>
      </c>
      <c r="J8" t="s">
        <v>13475</v>
      </c>
      <c r="K8">
        <v>5</v>
      </c>
      <c r="P8" t="s">
        <v>1644</v>
      </c>
      <c r="Q8" t="s">
        <v>14424</v>
      </c>
      <c r="U8" t="s">
        <v>1644</v>
      </c>
      <c r="V8">
        <v>361</v>
      </c>
      <c r="AA8" t="s">
        <v>1184</v>
      </c>
      <c r="AB8">
        <v>21</v>
      </c>
      <c r="AE8" t="s">
        <v>7041</v>
      </c>
      <c r="AF8" t="s">
        <v>1477</v>
      </c>
      <c r="AI8" t="s">
        <v>688</v>
      </c>
      <c r="AJ8" t="s">
        <v>10309</v>
      </c>
      <c r="AM8" s="420" t="s">
        <v>1644</v>
      </c>
      <c r="AN8" s="421">
        <v>313</v>
      </c>
    </row>
    <row r="9" spans="1:40" x14ac:dyDescent="0.35">
      <c r="A9" t="s">
        <v>14431</v>
      </c>
      <c r="B9" t="s">
        <v>14136</v>
      </c>
      <c r="C9">
        <v>12275</v>
      </c>
      <c r="D9">
        <v>11320</v>
      </c>
      <c r="E9">
        <v>0</v>
      </c>
      <c r="F9">
        <v>911</v>
      </c>
      <c r="G9">
        <v>44</v>
      </c>
      <c r="I9" t="s">
        <v>14431</v>
      </c>
      <c r="J9" t="s">
        <v>14136</v>
      </c>
      <c r="K9">
        <v>1</v>
      </c>
      <c r="P9" t="s">
        <v>1184</v>
      </c>
      <c r="Q9" t="s">
        <v>14424</v>
      </c>
      <c r="U9" t="s">
        <v>1184</v>
      </c>
      <c r="V9">
        <v>214</v>
      </c>
      <c r="AA9" t="s">
        <v>1059</v>
      </c>
      <c r="AB9">
        <v>20</v>
      </c>
      <c r="AE9" t="s">
        <v>5192</v>
      </c>
      <c r="AF9" t="s">
        <v>1477</v>
      </c>
      <c r="AI9" t="s">
        <v>1477</v>
      </c>
      <c r="AJ9" t="s">
        <v>4004</v>
      </c>
      <c r="AM9" s="420" t="s">
        <v>1184</v>
      </c>
      <c r="AN9" s="421">
        <v>193</v>
      </c>
    </row>
    <row r="10" spans="1:40" x14ac:dyDescent="0.35">
      <c r="A10" t="s">
        <v>14432</v>
      </c>
      <c r="B10" t="s">
        <v>14035</v>
      </c>
      <c r="C10">
        <v>132</v>
      </c>
      <c r="D10">
        <v>132</v>
      </c>
      <c r="E10">
        <v>0</v>
      </c>
      <c r="F10">
        <v>0</v>
      </c>
      <c r="G10">
        <v>0</v>
      </c>
      <c r="I10" t="s">
        <v>14432</v>
      </c>
      <c r="J10" t="s">
        <v>14035</v>
      </c>
      <c r="K10">
        <v>1</v>
      </c>
      <c r="P10" t="s">
        <v>1059</v>
      </c>
      <c r="Q10" t="s">
        <v>14424</v>
      </c>
      <c r="U10" t="s">
        <v>1059</v>
      </c>
      <c r="V10">
        <v>222</v>
      </c>
      <c r="AA10" t="s">
        <v>688</v>
      </c>
      <c r="AB10">
        <v>11</v>
      </c>
      <c r="AE10" t="s">
        <v>2924</v>
      </c>
      <c r="AF10" t="s">
        <v>1477</v>
      </c>
      <c r="AI10" t="s">
        <v>898</v>
      </c>
      <c r="AJ10" t="s">
        <v>7335</v>
      </c>
      <c r="AM10" s="420" t="s">
        <v>1059</v>
      </c>
      <c r="AN10" s="421">
        <v>202</v>
      </c>
    </row>
    <row r="11" spans="1:40" x14ac:dyDescent="0.35">
      <c r="A11" t="s">
        <v>14433</v>
      </c>
      <c r="B11" t="s">
        <v>14155</v>
      </c>
      <c r="C11">
        <v>7998</v>
      </c>
      <c r="D11">
        <v>7656</v>
      </c>
      <c r="E11">
        <v>14</v>
      </c>
      <c r="F11">
        <v>299</v>
      </c>
      <c r="G11">
        <v>29</v>
      </c>
      <c r="I11" t="s">
        <v>14433</v>
      </c>
      <c r="J11" t="s">
        <v>14155</v>
      </c>
      <c r="K11">
        <v>2</v>
      </c>
      <c r="P11" t="s">
        <v>688</v>
      </c>
      <c r="Q11" t="s">
        <v>14424</v>
      </c>
      <c r="U11" t="s">
        <v>688</v>
      </c>
      <c r="V11">
        <v>183</v>
      </c>
      <c r="AE11" t="s">
        <v>4130</v>
      </c>
      <c r="AF11" t="s">
        <v>1477</v>
      </c>
      <c r="AI11" t="s">
        <v>1184</v>
      </c>
      <c r="AJ11" t="s">
        <v>1183</v>
      </c>
      <c r="AM11" s="420" t="s">
        <v>14434</v>
      </c>
      <c r="AN11" s="421">
        <v>172</v>
      </c>
    </row>
    <row r="12" spans="1:40" x14ac:dyDescent="0.35">
      <c r="A12" t="s">
        <v>14435</v>
      </c>
      <c r="B12" t="s">
        <v>13415</v>
      </c>
      <c r="C12">
        <v>103</v>
      </c>
      <c r="D12">
        <v>63</v>
      </c>
      <c r="E12">
        <v>0</v>
      </c>
      <c r="F12">
        <v>40</v>
      </c>
      <c r="G12">
        <v>0</v>
      </c>
      <c r="I12" t="s">
        <v>14435</v>
      </c>
      <c r="J12" t="s">
        <v>13415</v>
      </c>
      <c r="K12">
        <v>1</v>
      </c>
      <c r="U12" t="s">
        <v>8903</v>
      </c>
      <c r="V12">
        <v>19</v>
      </c>
      <c r="AE12" t="s">
        <v>2464</v>
      </c>
      <c r="AF12" t="s">
        <v>1477</v>
      </c>
      <c r="AI12" t="s">
        <v>1477</v>
      </c>
      <c r="AJ12" t="s">
        <v>2422</v>
      </c>
      <c r="AM12" s="420" t="s">
        <v>8903</v>
      </c>
      <c r="AN12" s="421">
        <v>18</v>
      </c>
    </row>
    <row r="13" spans="1:40" x14ac:dyDescent="0.35">
      <c r="A13" t="s">
        <v>14436</v>
      </c>
      <c r="B13" t="s">
        <v>14241</v>
      </c>
      <c r="C13">
        <v>546</v>
      </c>
      <c r="D13">
        <v>528</v>
      </c>
      <c r="E13">
        <v>0</v>
      </c>
      <c r="F13">
        <v>18</v>
      </c>
      <c r="G13">
        <v>0</v>
      </c>
      <c r="I13" t="s">
        <v>14436</v>
      </c>
      <c r="J13" t="s">
        <v>14241</v>
      </c>
      <c r="K13">
        <v>1</v>
      </c>
      <c r="U13" t="s">
        <v>3126</v>
      </c>
      <c r="V13">
        <v>31</v>
      </c>
      <c r="AE13" t="s">
        <v>4172</v>
      </c>
      <c r="AF13" t="s">
        <v>1477</v>
      </c>
      <c r="AI13" t="s">
        <v>1059</v>
      </c>
      <c r="AJ13" t="s">
        <v>10644</v>
      </c>
      <c r="AM13" s="420" t="s">
        <v>3126</v>
      </c>
      <c r="AN13" s="421">
        <v>30</v>
      </c>
    </row>
    <row r="14" spans="1:40" x14ac:dyDescent="0.35">
      <c r="A14" t="s">
        <v>14437</v>
      </c>
      <c r="B14" t="s">
        <v>14374</v>
      </c>
      <c r="C14">
        <v>10</v>
      </c>
      <c r="D14">
        <v>10</v>
      </c>
      <c r="E14">
        <v>0</v>
      </c>
      <c r="F14">
        <v>0</v>
      </c>
      <c r="G14">
        <v>0</v>
      </c>
      <c r="I14" t="s">
        <v>14437</v>
      </c>
      <c r="J14" t="s">
        <v>14374</v>
      </c>
      <c r="K14">
        <v>1</v>
      </c>
      <c r="U14" t="s">
        <v>8945</v>
      </c>
      <c r="V14">
        <v>39</v>
      </c>
      <c r="AE14" t="s">
        <v>4214</v>
      </c>
      <c r="AF14" t="s">
        <v>1477</v>
      </c>
      <c r="AI14" t="s">
        <v>898</v>
      </c>
      <c r="AJ14" t="s">
        <v>6412</v>
      </c>
      <c r="AM14" s="420" t="s">
        <v>8945</v>
      </c>
      <c r="AN14" s="421">
        <v>38</v>
      </c>
    </row>
    <row r="15" spans="1:40" x14ac:dyDescent="0.35">
      <c r="A15" t="s">
        <v>14438</v>
      </c>
      <c r="B15" t="s">
        <v>14015</v>
      </c>
      <c r="C15">
        <v>747</v>
      </c>
      <c r="D15">
        <v>427</v>
      </c>
      <c r="E15">
        <v>0</v>
      </c>
      <c r="F15">
        <v>320</v>
      </c>
      <c r="G15">
        <v>0</v>
      </c>
      <c r="I15" t="s">
        <v>14438</v>
      </c>
      <c r="J15" t="s">
        <v>14015</v>
      </c>
      <c r="K15">
        <v>1</v>
      </c>
      <c r="U15" t="s">
        <v>7293</v>
      </c>
      <c r="V15">
        <v>29</v>
      </c>
      <c r="AE15" t="s">
        <v>5226</v>
      </c>
      <c r="AF15" t="s">
        <v>1477</v>
      </c>
      <c r="AI15" t="s">
        <v>520</v>
      </c>
      <c r="AJ15" t="s">
        <v>645</v>
      </c>
      <c r="AM15" s="420" t="s">
        <v>7293</v>
      </c>
      <c r="AN15" s="421">
        <v>28</v>
      </c>
    </row>
    <row r="16" spans="1:40" x14ac:dyDescent="0.35">
      <c r="A16" t="s">
        <v>14439</v>
      </c>
      <c r="B16" t="s">
        <v>13603</v>
      </c>
      <c r="C16">
        <v>1130</v>
      </c>
      <c r="D16">
        <v>773</v>
      </c>
      <c r="E16">
        <v>0</v>
      </c>
      <c r="F16">
        <v>90</v>
      </c>
      <c r="G16">
        <v>267</v>
      </c>
      <c r="I16" t="s">
        <v>14439</v>
      </c>
      <c r="J16" t="s">
        <v>13603</v>
      </c>
      <c r="K16">
        <v>5</v>
      </c>
      <c r="U16" t="s">
        <v>5426</v>
      </c>
      <c r="V16">
        <v>31</v>
      </c>
      <c r="AE16" t="s">
        <v>2966</v>
      </c>
      <c r="AF16" t="s">
        <v>1477</v>
      </c>
      <c r="AI16" t="s">
        <v>898</v>
      </c>
      <c r="AJ16" t="s">
        <v>3168</v>
      </c>
      <c r="AM16" s="420" t="s">
        <v>5426</v>
      </c>
      <c r="AN16" s="421">
        <v>30</v>
      </c>
    </row>
    <row r="17" spans="1:40" x14ac:dyDescent="0.35">
      <c r="A17" t="s">
        <v>14440</v>
      </c>
      <c r="B17" t="s">
        <v>13636</v>
      </c>
      <c r="C17">
        <v>146</v>
      </c>
      <c r="D17">
        <v>146</v>
      </c>
      <c r="E17">
        <v>0</v>
      </c>
      <c r="F17">
        <v>0</v>
      </c>
      <c r="G17">
        <v>0</v>
      </c>
      <c r="I17" t="s">
        <v>14440</v>
      </c>
      <c r="J17" t="s">
        <v>13636</v>
      </c>
      <c r="K17">
        <v>5</v>
      </c>
      <c r="U17" t="s">
        <v>8120</v>
      </c>
      <c r="V17">
        <v>30</v>
      </c>
      <c r="AE17" t="s">
        <v>9519</v>
      </c>
      <c r="AF17" t="s">
        <v>1477</v>
      </c>
      <c r="AI17" t="s">
        <v>1477</v>
      </c>
      <c r="AJ17" t="s">
        <v>7125</v>
      </c>
      <c r="AM17" s="420" t="s">
        <v>8120</v>
      </c>
      <c r="AN17" s="421">
        <v>29</v>
      </c>
    </row>
    <row r="18" spans="1:40" x14ac:dyDescent="0.35">
      <c r="A18" t="s">
        <v>14441</v>
      </c>
      <c r="B18" t="s">
        <v>13041</v>
      </c>
      <c r="C18">
        <v>3042</v>
      </c>
      <c r="D18">
        <v>0</v>
      </c>
      <c r="E18">
        <v>0</v>
      </c>
      <c r="F18">
        <v>0</v>
      </c>
      <c r="G18">
        <v>3042</v>
      </c>
      <c r="I18" t="s">
        <v>14441</v>
      </c>
      <c r="J18" t="s">
        <v>13041</v>
      </c>
      <c r="K18">
        <v>109</v>
      </c>
      <c r="U18" t="s">
        <v>11230</v>
      </c>
      <c r="V18">
        <v>28</v>
      </c>
      <c r="AE18" t="s">
        <v>9602</v>
      </c>
      <c r="AF18" t="s">
        <v>1477</v>
      </c>
      <c r="AI18" t="s">
        <v>898</v>
      </c>
      <c r="AJ18" t="s">
        <v>6706</v>
      </c>
      <c r="AM18" s="420" t="s">
        <v>11230</v>
      </c>
      <c r="AN18" s="421">
        <v>27</v>
      </c>
    </row>
    <row r="19" spans="1:40" x14ac:dyDescent="0.35">
      <c r="A19" t="s">
        <v>14442</v>
      </c>
      <c r="B19" t="s">
        <v>13577</v>
      </c>
      <c r="C19">
        <v>73</v>
      </c>
      <c r="D19">
        <v>73</v>
      </c>
      <c r="E19">
        <v>0</v>
      </c>
      <c r="F19">
        <v>0</v>
      </c>
      <c r="G19">
        <v>0</v>
      </c>
      <c r="I19" t="s">
        <v>14442</v>
      </c>
      <c r="J19" t="s">
        <v>13577</v>
      </c>
      <c r="K19">
        <v>5</v>
      </c>
      <c r="U19" t="s">
        <v>11272</v>
      </c>
      <c r="V19">
        <v>62</v>
      </c>
      <c r="AE19" t="s">
        <v>4256</v>
      </c>
      <c r="AF19" t="s">
        <v>1477</v>
      </c>
      <c r="AI19" t="s">
        <v>1184</v>
      </c>
      <c r="AJ19" t="s">
        <v>2548</v>
      </c>
      <c r="AM19" s="420" t="s">
        <v>11272</v>
      </c>
      <c r="AN19" s="421">
        <v>61</v>
      </c>
    </row>
    <row r="20" spans="1:40" x14ac:dyDescent="0.35">
      <c r="A20" t="s">
        <v>14443</v>
      </c>
      <c r="B20" t="s">
        <v>13392</v>
      </c>
      <c r="C20">
        <v>442</v>
      </c>
      <c r="D20">
        <v>442</v>
      </c>
      <c r="E20">
        <v>0</v>
      </c>
      <c r="F20">
        <v>0</v>
      </c>
      <c r="G20">
        <v>0</v>
      </c>
      <c r="I20" t="s">
        <v>14443</v>
      </c>
      <c r="J20" t="s">
        <v>13392</v>
      </c>
      <c r="K20">
        <v>2</v>
      </c>
      <c r="U20" t="s">
        <v>10309</v>
      </c>
      <c r="V20">
        <v>29</v>
      </c>
      <c r="AE20" t="s">
        <v>3000</v>
      </c>
      <c r="AF20" t="s">
        <v>1477</v>
      </c>
      <c r="AI20" t="s">
        <v>1477</v>
      </c>
      <c r="AJ20" t="s">
        <v>6999</v>
      </c>
      <c r="AM20" s="420" t="s">
        <v>10309</v>
      </c>
      <c r="AN20" s="421">
        <v>28</v>
      </c>
    </row>
    <row r="21" spans="1:40" x14ac:dyDescent="0.35">
      <c r="A21" t="s">
        <v>14444</v>
      </c>
      <c r="B21" t="s">
        <v>13288</v>
      </c>
      <c r="C21">
        <v>642</v>
      </c>
      <c r="D21">
        <v>73</v>
      </c>
      <c r="E21">
        <v>0</v>
      </c>
      <c r="F21">
        <v>569</v>
      </c>
      <c r="G21">
        <v>0</v>
      </c>
      <c r="I21" t="s">
        <v>14444</v>
      </c>
      <c r="J21" t="s">
        <v>13288</v>
      </c>
      <c r="K21">
        <v>12</v>
      </c>
      <c r="U21" t="s">
        <v>4004</v>
      </c>
      <c r="V21">
        <v>31</v>
      </c>
      <c r="AE21" t="s">
        <v>7083</v>
      </c>
      <c r="AF21" t="s">
        <v>1477</v>
      </c>
      <c r="AI21" t="s">
        <v>1477</v>
      </c>
      <c r="AJ21" t="s">
        <v>4088</v>
      </c>
      <c r="AM21" s="420" t="s">
        <v>4004</v>
      </c>
      <c r="AN21" s="421">
        <v>30</v>
      </c>
    </row>
    <row r="22" spans="1:40" x14ac:dyDescent="0.35">
      <c r="A22" t="s">
        <v>14445</v>
      </c>
      <c r="B22" t="s">
        <v>14010</v>
      </c>
      <c r="C22">
        <v>41</v>
      </c>
      <c r="D22">
        <v>0</v>
      </c>
      <c r="E22">
        <v>0</v>
      </c>
      <c r="F22">
        <v>41</v>
      </c>
      <c r="G22">
        <v>0</v>
      </c>
      <c r="I22" t="s">
        <v>14445</v>
      </c>
      <c r="J22" t="s">
        <v>14010</v>
      </c>
      <c r="K22">
        <v>1</v>
      </c>
      <c r="U22" t="s">
        <v>4740</v>
      </c>
      <c r="V22">
        <v>36</v>
      </c>
      <c r="AE22" t="s">
        <v>4298</v>
      </c>
      <c r="AF22" t="s">
        <v>1477</v>
      </c>
      <c r="AI22" t="s">
        <v>1644</v>
      </c>
      <c r="AJ22" t="s">
        <v>1969</v>
      </c>
      <c r="AM22" s="420" t="s">
        <v>4740</v>
      </c>
      <c r="AN22" s="421">
        <v>36</v>
      </c>
    </row>
    <row r="23" spans="1:40" x14ac:dyDescent="0.35">
      <c r="A23" t="s">
        <v>14446</v>
      </c>
      <c r="B23" t="s">
        <v>13210</v>
      </c>
      <c r="C23">
        <v>234</v>
      </c>
      <c r="D23">
        <v>0</v>
      </c>
      <c r="E23">
        <v>204</v>
      </c>
      <c r="F23">
        <v>30</v>
      </c>
      <c r="G23">
        <v>0</v>
      </c>
      <c r="I23" t="s">
        <v>14446</v>
      </c>
      <c r="J23" t="s">
        <v>13210</v>
      </c>
      <c r="K23">
        <v>5</v>
      </c>
      <c r="U23" t="s">
        <v>7335</v>
      </c>
      <c r="V23">
        <v>34</v>
      </c>
      <c r="AE23" t="s">
        <v>5268</v>
      </c>
      <c r="AF23" t="s">
        <v>1477</v>
      </c>
      <c r="AI23" t="s">
        <v>1184</v>
      </c>
      <c r="AJ23" t="s">
        <v>14447</v>
      </c>
      <c r="AM23" s="420" t="s">
        <v>7335</v>
      </c>
      <c r="AN23" s="421">
        <v>33</v>
      </c>
    </row>
    <row r="24" spans="1:40" x14ac:dyDescent="0.35">
      <c r="A24" t="s">
        <v>14448</v>
      </c>
      <c r="B24" t="s">
        <v>13364</v>
      </c>
      <c r="C24">
        <v>309</v>
      </c>
      <c r="D24">
        <v>10</v>
      </c>
      <c r="E24">
        <v>0</v>
      </c>
      <c r="F24">
        <v>299</v>
      </c>
      <c r="G24">
        <v>0</v>
      </c>
      <c r="I24" t="s">
        <v>14448</v>
      </c>
      <c r="J24" t="s">
        <v>13364</v>
      </c>
      <c r="K24">
        <v>7</v>
      </c>
      <c r="U24" t="s">
        <v>1183</v>
      </c>
      <c r="V24">
        <v>34</v>
      </c>
      <c r="AE24" t="s">
        <v>3042</v>
      </c>
      <c r="AF24" t="s">
        <v>1477</v>
      </c>
      <c r="AI24" t="s">
        <v>1477</v>
      </c>
      <c r="AJ24" t="s">
        <v>7041</v>
      </c>
      <c r="AM24" s="420" t="s">
        <v>1183</v>
      </c>
      <c r="AN24" s="421">
        <v>33</v>
      </c>
    </row>
    <row r="25" spans="1:40" x14ac:dyDescent="0.35">
      <c r="A25" t="s">
        <v>14449</v>
      </c>
      <c r="B25" t="s">
        <v>13222</v>
      </c>
      <c r="C25">
        <v>402</v>
      </c>
      <c r="D25">
        <v>1</v>
      </c>
      <c r="E25">
        <v>0</v>
      </c>
      <c r="F25">
        <v>401</v>
      </c>
      <c r="G25">
        <v>0</v>
      </c>
      <c r="I25" t="s">
        <v>14449</v>
      </c>
      <c r="J25" t="s">
        <v>13222</v>
      </c>
      <c r="K25">
        <v>36</v>
      </c>
      <c r="U25" t="s">
        <v>2422</v>
      </c>
      <c r="V25">
        <v>42</v>
      </c>
      <c r="AE25" t="s">
        <v>8162</v>
      </c>
      <c r="AF25" t="s">
        <v>1477</v>
      </c>
      <c r="AI25" t="s">
        <v>898</v>
      </c>
      <c r="AJ25" t="s">
        <v>7377</v>
      </c>
      <c r="AM25" s="420" t="s">
        <v>2422</v>
      </c>
      <c r="AN25" s="421">
        <v>41</v>
      </c>
    </row>
    <row r="26" spans="1:40" x14ac:dyDescent="0.35">
      <c r="A26" t="s">
        <v>14450</v>
      </c>
      <c r="B26" t="s">
        <v>13703</v>
      </c>
      <c r="C26">
        <v>283</v>
      </c>
      <c r="D26">
        <v>279</v>
      </c>
      <c r="E26">
        <v>0</v>
      </c>
      <c r="F26">
        <v>4</v>
      </c>
      <c r="G26">
        <v>0</v>
      </c>
      <c r="I26" t="s">
        <v>14450</v>
      </c>
      <c r="J26" t="s">
        <v>13703</v>
      </c>
      <c r="K26">
        <v>1</v>
      </c>
      <c r="U26" t="s">
        <v>11314</v>
      </c>
      <c r="V26">
        <v>41</v>
      </c>
      <c r="AE26" t="s">
        <v>7125</v>
      </c>
      <c r="AF26" t="s">
        <v>1477</v>
      </c>
      <c r="AI26" t="s">
        <v>520</v>
      </c>
      <c r="AJ26" t="s">
        <v>5918</v>
      </c>
      <c r="AM26" s="420" t="s">
        <v>11314</v>
      </c>
      <c r="AN26" s="421">
        <v>40</v>
      </c>
    </row>
    <row r="27" spans="1:40" x14ac:dyDescent="0.35">
      <c r="A27" t="s">
        <v>14451</v>
      </c>
      <c r="B27" t="s">
        <v>13119</v>
      </c>
      <c r="C27">
        <v>549</v>
      </c>
      <c r="D27">
        <v>0</v>
      </c>
      <c r="E27">
        <v>0</v>
      </c>
      <c r="F27">
        <v>549</v>
      </c>
      <c r="G27">
        <v>0</v>
      </c>
      <c r="I27" t="s">
        <v>14451</v>
      </c>
      <c r="J27" t="s">
        <v>13119</v>
      </c>
      <c r="K27">
        <v>54</v>
      </c>
      <c r="U27" t="s">
        <v>10644</v>
      </c>
      <c r="V27">
        <v>86</v>
      </c>
      <c r="AE27" t="s">
        <v>1519</v>
      </c>
      <c r="AF27" t="s">
        <v>1477</v>
      </c>
      <c r="AI27" t="s">
        <v>520</v>
      </c>
      <c r="AJ27" t="s">
        <v>9727</v>
      </c>
      <c r="AM27" s="420" t="s">
        <v>10644</v>
      </c>
      <c r="AN27" s="421">
        <v>85</v>
      </c>
    </row>
    <row r="28" spans="1:40" x14ac:dyDescent="0.35">
      <c r="A28" t="s">
        <v>14452</v>
      </c>
      <c r="B28" t="s">
        <v>13087</v>
      </c>
      <c r="C28">
        <v>32349</v>
      </c>
      <c r="D28">
        <v>29577</v>
      </c>
      <c r="E28">
        <v>0</v>
      </c>
      <c r="F28">
        <v>615</v>
      </c>
      <c r="G28">
        <v>2157</v>
      </c>
      <c r="I28" t="s">
        <v>14452</v>
      </c>
      <c r="J28" t="s">
        <v>13087</v>
      </c>
      <c r="K28">
        <v>20</v>
      </c>
      <c r="U28" t="s">
        <v>6412</v>
      </c>
      <c r="V28">
        <v>23</v>
      </c>
      <c r="AE28" t="s">
        <v>4340</v>
      </c>
      <c r="AF28" t="s">
        <v>1477</v>
      </c>
      <c r="AI28" t="s">
        <v>1477</v>
      </c>
      <c r="AJ28" t="s">
        <v>2924</v>
      </c>
      <c r="AM28" s="420" t="s">
        <v>6412</v>
      </c>
      <c r="AN28" s="421">
        <v>22</v>
      </c>
    </row>
    <row r="29" spans="1:40" x14ac:dyDescent="0.35">
      <c r="A29" t="s">
        <v>14453</v>
      </c>
      <c r="B29" t="s">
        <v>13265</v>
      </c>
      <c r="C29">
        <v>839</v>
      </c>
      <c r="D29">
        <v>0</v>
      </c>
      <c r="E29">
        <v>0</v>
      </c>
      <c r="F29">
        <v>839</v>
      </c>
      <c r="G29">
        <v>0</v>
      </c>
      <c r="I29" t="s">
        <v>14453</v>
      </c>
      <c r="J29" t="s">
        <v>13265</v>
      </c>
      <c r="K29">
        <v>2</v>
      </c>
      <c r="U29" t="s">
        <v>603</v>
      </c>
      <c r="V29">
        <v>28</v>
      </c>
      <c r="AE29" t="s">
        <v>8204</v>
      </c>
      <c r="AF29" t="s">
        <v>1477</v>
      </c>
      <c r="AI29" t="s">
        <v>1059</v>
      </c>
      <c r="AJ29" t="s">
        <v>7795</v>
      </c>
      <c r="AM29" s="420" t="s">
        <v>603</v>
      </c>
      <c r="AN29" s="421">
        <v>28</v>
      </c>
    </row>
    <row r="30" spans="1:40" x14ac:dyDescent="0.35">
      <c r="A30" t="s">
        <v>14454</v>
      </c>
      <c r="B30" t="s">
        <v>13277</v>
      </c>
      <c r="C30">
        <v>11297</v>
      </c>
      <c r="D30">
        <v>9107</v>
      </c>
      <c r="E30">
        <v>0</v>
      </c>
      <c r="F30">
        <v>1751</v>
      </c>
      <c r="G30">
        <v>439</v>
      </c>
      <c r="I30" t="s">
        <v>14454</v>
      </c>
      <c r="J30" t="s">
        <v>13277</v>
      </c>
      <c r="K30">
        <v>24</v>
      </c>
      <c r="U30" t="s">
        <v>645</v>
      </c>
      <c r="V30">
        <v>26</v>
      </c>
      <c r="AE30" t="s">
        <v>5310</v>
      </c>
      <c r="AF30" t="s">
        <v>1477</v>
      </c>
      <c r="AI30" t="s">
        <v>1644</v>
      </c>
      <c r="AJ30" t="s">
        <v>5468</v>
      </c>
      <c r="AM30" s="420" t="s">
        <v>645</v>
      </c>
      <c r="AN30" s="421">
        <v>25</v>
      </c>
    </row>
    <row r="31" spans="1:40" x14ac:dyDescent="0.35">
      <c r="A31" t="s">
        <v>14455</v>
      </c>
      <c r="B31" t="s">
        <v>13245</v>
      </c>
      <c r="C31">
        <v>607</v>
      </c>
      <c r="D31">
        <v>0</v>
      </c>
      <c r="E31">
        <v>4</v>
      </c>
      <c r="F31">
        <v>603</v>
      </c>
      <c r="G31">
        <v>0</v>
      </c>
      <c r="I31" t="s">
        <v>14455</v>
      </c>
      <c r="J31" t="s">
        <v>13245</v>
      </c>
      <c r="K31">
        <v>2</v>
      </c>
      <c r="U31" t="s">
        <v>3168</v>
      </c>
      <c r="V31">
        <v>29</v>
      </c>
      <c r="AE31" t="s">
        <v>7167</v>
      </c>
      <c r="AF31" t="s">
        <v>1477</v>
      </c>
      <c r="AI31" t="s">
        <v>1477</v>
      </c>
      <c r="AJ31" t="s">
        <v>4130</v>
      </c>
      <c r="AM31" s="420" t="s">
        <v>3168</v>
      </c>
      <c r="AN31" s="421">
        <v>28</v>
      </c>
    </row>
    <row r="32" spans="1:40" x14ac:dyDescent="0.35">
      <c r="A32" t="s">
        <v>14456</v>
      </c>
      <c r="B32" t="s">
        <v>14274</v>
      </c>
      <c r="C32">
        <v>49</v>
      </c>
      <c r="D32">
        <v>0</v>
      </c>
      <c r="E32">
        <v>0</v>
      </c>
      <c r="F32">
        <v>49</v>
      </c>
      <c r="G32">
        <v>0</v>
      </c>
      <c r="I32" t="s">
        <v>14456</v>
      </c>
      <c r="J32" t="s">
        <v>14274</v>
      </c>
      <c r="K32">
        <v>1</v>
      </c>
      <c r="U32" t="s">
        <v>9685</v>
      </c>
      <c r="V32">
        <v>26</v>
      </c>
      <c r="AE32" t="s">
        <v>7209</v>
      </c>
      <c r="AF32" t="s">
        <v>1477</v>
      </c>
      <c r="AI32" t="s">
        <v>1477</v>
      </c>
      <c r="AJ32" t="s">
        <v>2464</v>
      </c>
      <c r="AM32" s="420" t="s">
        <v>9685</v>
      </c>
      <c r="AN32" s="421">
        <v>26</v>
      </c>
    </row>
    <row r="33" spans="1:40" x14ac:dyDescent="0.35">
      <c r="A33" t="s">
        <v>14457</v>
      </c>
      <c r="B33" t="s">
        <v>13019</v>
      </c>
      <c r="C33">
        <v>248</v>
      </c>
      <c r="D33">
        <v>125</v>
      </c>
      <c r="E33">
        <v>3</v>
      </c>
      <c r="F33">
        <v>120</v>
      </c>
      <c r="G33">
        <v>0</v>
      </c>
      <c r="I33" t="s">
        <v>14457</v>
      </c>
      <c r="J33" t="s">
        <v>13019</v>
      </c>
      <c r="K33">
        <v>10</v>
      </c>
      <c r="U33" t="s">
        <v>6706</v>
      </c>
      <c r="V33">
        <v>16</v>
      </c>
      <c r="AE33" t="s">
        <v>1476</v>
      </c>
      <c r="AF33" t="s">
        <v>1477</v>
      </c>
      <c r="AI33" t="s">
        <v>898</v>
      </c>
      <c r="AJ33" t="s">
        <v>6454</v>
      </c>
      <c r="AM33" s="420" t="s">
        <v>6706</v>
      </c>
      <c r="AN33" s="421">
        <v>15</v>
      </c>
    </row>
    <row r="34" spans="1:40" x14ac:dyDescent="0.35">
      <c r="A34" t="s">
        <v>14458</v>
      </c>
      <c r="B34" t="s">
        <v>13149</v>
      </c>
      <c r="C34">
        <v>862</v>
      </c>
      <c r="D34">
        <v>0</v>
      </c>
      <c r="E34">
        <v>0</v>
      </c>
      <c r="F34">
        <v>862</v>
      </c>
      <c r="G34">
        <v>0</v>
      </c>
      <c r="I34" t="s">
        <v>14458</v>
      </c>
      <c r="J34" t="s">
        <v>13149</v>
      </c>
      <c r="K34">
        <v>53</v>
      </c>
      <c r="U34" t="s">
        <v>2548</v>
      </c>
      <c r="V34">
        <v>41</v>
      </c>
      <c r="AE34" t="s">
        <v>4382</v>
      </c>
      <c r="AF34" t="s">
        <v>1477</v>
      </c>
      <c r="AI34" t="s">
        <v>1477</v>
      </c>
      <c r="AJ34" t="s">
        <v>4172</v>
      </c>
      <c r="AM34" s="420" t="s">
        <v>2548</v>
      </c>
      <c r="AN34" s="421">
        <v>40</v>
      </c>
    </row>
    <row r="35" spans="1:40" x14ac:dyDescent="0.35">
      <c r="A35" t="s">
        <v>14459</v>
      </c>
      <c r="B35" t="s">
        <v>13066</v>
      </c>
      <c r="C35">
        <v>4313</v>
      </c>
      <c r="D35">
        <v>8</v>
      </c>
      <c r="E35">
        <v>0</v>
      </c>
      <c r="F35">
        <v>4305</v>
      </c>
      <c r="G35">
        <v>0</v>
      </c>
      <c r="I35" t="s">
        <v>14459</v>
      </c>
      <c r="J35" t="s">
        <v>13066</v>
      </c>
      <c r="K35">
        <v>154</v>
      </c>
      <c r="U35" t="s">
        <v>1686</v>
      </c>
      <c r="V35">
        <v>35</v>
      </c>
      <c r="AE35" t="s">
        <v>3084</v>
      </c>
      <c r="AF35" t="s">
        <v>1477</v>
      </c>
      <c r="AI35" t="s">
        <v>1184</v>
      </c>
      <c r="AJ35" t="s">
        <v>4498</v>
      </c>
      <c r="AM35" s="420" t="s">
        <v>1686</v>
      </c>
      <c r="AN35" s="421">
        <v>35</v>
      </c>
    </row>
    <row r="36" spans="1:40" x14ac:dyDescent="0.35">
      <c r="A36" t="s">
        <v>14460</v>
      </c>
      <c r="B36" t="s">
        <v>13085</v>
      </c>
      <c r="C36">
        <v>421</v>
      </c>
      <c r="D36">
        <v>0</v>
      </c>
      <c r="E36">
        <v>0</v>
      </c>
      <c r="F36">
        <v>421</v>
      </c>
      <c r="G36">
        <v>0</v>
      </c>
      <c r="I36" t="s">
        <v>14460</v>
      </c>
      <c r="J36" t="s">
        <v>13085</v>
      </c>
      <c r="K36">
        <v>58</v>
      </c>
      <c r="U36" t="s">
        <v>10936</v>
      </c>
      <c r="V36">
        <v>57</v>
      </c>
      <c r="AE36" t="s">
        <v>7251</v>
      </c>
      <c r="AF36" t="s">
        <v>1477</v>
      </c>
      <c r="AI36" t="s">
        <v>1644</v>
      </c>
      <c r="AJ36" t="s">
        <v>7587</v>
      </c>
      <c r="AM36" s="420" t="s">
        <v>10936</v>
      </c>
      <c r="AN36" s="421">
        <v>56</v>
      </c>
    </row>
    <row r="37" spans="1:40" x14ac:dyDescent="0.35">
      <c r="A37" t="s">
        <v>14461</v>
      </c>
      <c r="B37" t="s">
        <v>13516</v>
      </c>
      <c r="C37">
        <v>238</v>
      </c>
      <c r="D37">
        <v>0</v>
      </c>
      <c r="E37">
        <v>0</v>
      </c>
      <c r="F37">
        <v>238</v>
      </c>
      <c r="G37">
        <v>0</v>
      </c>
      <c r="I37" t="s">
        <v>14461</v>
      </c>
      <c r="J37" t="s">
        <v>13516</v>
      </c>
      <c r="K37">
        <v>20</v>
      </c>
      <c r="U37" t="s">
        <v>4046</v>
      </c>
      <c r="V37">
        <v>42</v>
      </c>
      <c r="AE37" t="s">
        <v>156</v>
      </c>
      <c r="AF37" t="s">
        <v>1477</v>
      </c>
      <c r="AI37" t="s">
        <v>520</v>
      </c>
      <c r="AJ37" t="s">
        <v>2221</v>
      </c>
      <c r="AM37" s="420" t="s">
        <v>4046</v>
      </c>
      <c r="AN37" s="421">
        <v>42</v>
      </c>
    </row>
    <row r="38" spans="1:40" x14ac:dyDescent="0.35">
      <c r="A38" t="s">
        <v>14462</v>
      </c>
      <c r="B38" t="s">
        <v>13028</v>
      </c>
      <c r="C38">
        <v>8184</v>
      </c>
      <c r="D38">
        <v>0</v>
      </c>
      <c r="E38">
        <v>0</v>
      </c>
      <c r="F38">
        <v>0</v>
      </c>
      <c r="G38">
        <v>8184</v>
      </c>
      <c r="I38" t="s">
        <v>14462</v>
      </c>
      <c r="J38" t="s">
        <v>13028</v>
      </c>
      <c r="K38">
        <v>207</v>
      </c>
      <c r="U38" t="s">
        <v>6999</v>
      </c>
      <c r="V38">
        <v>30</v>
      </c>
      <c r="AE38" t="s">
        <v>159</v>
      </c>
      <c r="AF38" t="s">
        <v>1477</v>
      </c>
      <c r="AI38" t="s">
        <v>898</v>
      </c>
      <c r="AJ38" t="s">
        <v>3210</v>
      </c>
      <c r="AM38" s="420" t="s">
        <v>6999</v>
      </c>
      <c r="AN38" s="421">
        <v>29</v>
      </c>
    </row>
    <row r="39" spans="1:40" x14ac:dyDescent="0.35">
      <c r="A39" t="s">
        <v>14463</v>
      </c>
      <c r="B39" t="s">
        <v>13239</v>
      </c>
      <c r="C39">
        <v>417</v>
      </c>
      <c r="D39">
        <v>66</v>
      </c>
      <c r="E39">
        <v>351</v>
      </c>
      <c r="F39">
        <v>0</v>
      </c>
      <c r="G39">
        <v>0</v>
      </c>
      <c r="I39" t="s">
        <v>14463</v>
      </c>
      <c r="J39" t="s">
        <v>13239</v>
      </c>
      <c r="K39">
        <v>1</v>
      </c>
      <c r="U39" t="s">
        <v>11356</v>
      </c>
      <c r="V39">
        <v>58</v>
      </c>
      <c r="AE39" t="s">
        <v>163</v>
      </c>
      <c r="AF39" t="s">
        <v>1477</v>
      </c>
      <c r="AI39" t="s">
        <v>520</v>
      </c>
      <c r="AJ39" t="s">
        <v>5960</v>
      </c>
      <c r="AM39" s="420" t="s">
        <v>11356</v>
      </c>
      <c r="AN39" s="421">
        <v>57</v>
      </c>
    </row>
    <row r="40" spans="1:40" x14ac:dyDescent="0.35">
      <c r="A40" t="s">
        <v>14464</v>
      </c>
      <c r="B40" t="s">
        <v>13144</v>
      </c>
      <c r="C40">
        <v>181</v>
      </c>
      <c r="D40">
        <v>12</v>
      </c>
      <c r="E40">
        <v>0</v>
      </c>
      <c r="F40">
        <v>169</v>
      </c>
      <c r="G40">
        <v>0</v>
      </c>
      <c r="I40" t="s">
        <v>14464</v>
      </c>
      <c r="J40" t="s">
        <v>13144</v>
      </c>
      <c r="K40">
        <v>24</v>
      </c>
      <c r="U40" t="s">
        <v>4088</v>
      </c>
      <c r="V40">
        <v>24</v>
      </c>
      <c r="AE40" t="s">
        <v>179</v>
      </c>
      <c r="AF40" t="s">
        <v>1477</v>
      </c>
      <c r="AI40" t="s">
        <v>688</v>
      </c>
      <c r="AJ40" t="s">
        <v>10936</v>
      </c>
      <c r="AM40" s="420" t="s">
        <v>4088</v>
      </c>
      <c r="AN40" s="421">
        <v>23</v>
      </c>
    </row>
    <row r="41" spans="1:40" x14ac:dyDescent="0.35">
      <c r="A41" t="s">
        <v>14465</v>
      </c>
      <c r="B41" t="s">
        <v>13273</v>
      </c>
      <c r="C41">
        <v>467</v>
      </c>
      <c r="D41">
        <v>0</v>
      </c>
      <c r="E41">
        <v>0</v>
      </c>
      <c r="F41">
        <v>467</v>
      </c>
      <c r="G41">
        <v>0</v>
      </c>
      <c r="I41" t="s">
        <v>14465</v>
      </c>
      <c r="J41" t="s">
        <v>13273</v>
      </c>
      <c r="K41">
        <v>32</v>
      </c>
      <c r="U41" t="s">
        <v>1969</v>
      </c>
      <c r="V41">
        <v>49</v>
      </c>
      <c r="AE41" t="s">
        <v>183</v>
      </c>
      <c r="AF41" t="s">
        <v>1477</v>
      </c>
      <c r="AI41" t="s">
        <v>688</v>
      </c>
      <c r="AJ41" t="s">
        <v>10351</v>
      </c>
      <c r="AM41" s="420" t="s">
        <v>1969</v>
      </c>
      <c r="AN41" s="421">
        <v>48</v>
      </c>
    </row>
    <row r="42" spans="1:40" x14ac:dyDescent="0.35">
      <c r="A42" t="s">
        <v>14466</v>
      </c>
      <c r="B42" t="s">
        <v>13788</v>
      </c>
      <c r="C42">
        <v>111</v>
      </c>
      <c r="D42">
        <v>99</v>
      </c>
      <c r="E42">
        <v>0</v>
      </c>
      <c r="F42">
        <v>12</v>
      </c>
      <c r="G42">
        <v>0</v>
      </c>
      <c r="I42" t="s">
        <v>14466</v>
      </c>
      <c r="J42" t="s">
        <v>13788</v>
      </c>
      <c r="K42">
        <v>1</v>
      </c>
      <c r="U42" t="s">
        <v>1226</v>
      </c>
      <c r="V42">
        <v>52</v>
      </c>
      <c r="AE42" t="s">
        <v>184</v>
      </c>
      <c r="AF42" t="s">
        <v>1477</v>
      </c>
      <c r="AI42" t="s">
        <v>898</v>
      </c>
      <c r="AJ42" t="s">
        <v>6790</v>
      </c>
      <c r="AM42" s="420" t="s">
        <v>1226</v>
      </c>
      <c r="AN42" s="421">
        <v>51</v>
      </c>
    </row>
    <row r="43" spans="1:40" x14ac:dyDescent="0.35">
      <c r="A43" t="s">
        <v>14467</v>
      </c>
      <c r="B43" t="s">
        <v>13272</v>
      </c>
      <c r="C43">
        <v>35</v>
      </c>
      <c r="D43">
        <v>0</v>
      </c>
      <c r="E43">
        <v>0</v>
      </c>
      <c r="F43">
        <v>35</v>
      </c>
      <c r="G43">
        <v>0</v>
      </c>
      <c r="I43" t="s">
        <v>14467</v>
      </c>
      <c r="J43" t="s">
        <v>13272</v>
      </c>
      <c r="K43">
        <v>3</v>
      </c>
      <c r="U43" t="s">
        <v>7041</v>
      </c>
      <c r="V43">
        <v>26</v>
      </c>
      <c r="AE43" t="s">
        <v>191</v>
      </c>
      <c r="AF43" t="s">
        <v>1477</v>
      </c>
      <c r="AI43" t="s">
        <v>11188</v>
      </c>
      <c r="AJ43" t="s">
        <v>11187</v>
      </c>
      <c r="AM43" s="420" t="s">
        <v>7041</v>
      </c>
      <c r="AN43" s="421">
        <v>25</v>
      </c>
    </row>
    <row r="44" spans="1:40" x14ac:dyDescent="0.35">
      <c r="A44" t="s">
        <v>14468</v>
      </c>
      <c r="B44" t="s">
        <v>13607</v>
      </c>
      <c r="C44">
        <v>17</v>
      </c>
      <c r="D44">
        <v>0</v>
      </c>
      <c r="E44">
        <v>0</v>
      </c>
      <c r="F44">
        <v>17</v>
      </c>
      <c r="G44">
        <v>0</v>
      </c>
      <c r="I44" t="s">
        <v>14468</v>
      </c>
      <c r="J44" t="s">
        <v>13607</v>
      </c>
      <c r="K44">
        <v>2</v>
      </c>
      <c r="U44" t="s">
        <v>11398</v>
      </c>
      <c r="V44">
        <v>54</v>
      </c>
      <c r="AE44" t="s">
        <v>199</v>
      </c>
      <c r="AF44" t="s">
        <v>1477</v>
      </c>
      <c r="AI44" t="s">
        <v>11188</v>
      </c>
      <c r="AJ44" t="s">
        <v>210</v>
      </c>
      <c r="AM44" s="420" t="s">
        <v>11398</v>
      </c>
      <c r="AN44" s="421">
        <v>53</v>
      </c>
    </row>
    <row r="45" spans="1:40" x14ac:dyDescent="0.35">
      <c r="A45" t="s">
        <v>14469</v>
      </c>
      <c r="B45" t="s">
        <v>13153</v>
      </c>
      <c r="C45">
        <v>157</v>
      </c>
      <c r="D45">
        <v>0</v>
      </c>
      <c r="E45">
        <v>0</v>
      </c>
      <c r="F45">
        <v>157</v>
      </c>
      <c r="G45">
        <v>0</v>
      </c>
      <c r="I45" t="s">
        <v>14469</v>
      </c>
      <c r="J45" t="s">
        <v>13153</v>
      </c>
      <c r="K45">
        <v>5</v>
      </c>
      <c r="U45" t="s">
        <v>9196</v>
      </c>
      <c r="V45">
        <v>20</v>
      </c>
      <c r="AE45" t="s">
        <v>202</v>
      </c>
      <c r="AF45" t="s">
        <v>1477</v>
      </c>
      <c r="AI45" t="s">
        <v>688</v>
      </c>
      <c r="AJ45" t="s">
        <v>225</v>
      </c>
      <c r="AM45" s="420" t="s">
        <v>9196</v>
      </c>
      <c r="AN45" s="421">
        <v>20</v>
      </c>
    </row>
    <row r="46" spans="1:40" x14ac:dyDescent="0.35">
      <c r="A46" t="s">
        <v>14470</v>
      </c>
      <c r="B46" t="s">
        <v>13060</v>
      </c>
      <c r="C46">
        <v>10549</v>
      </c>
      <c r="D46">
        <v>7666</v>
      </c>
      <c r="E46">
        <v>0</v>
      </c>
      <c r="F46">
        <v>1783</v>
      </c>
      <c r="G46">
        <v>1100</v>
      </c>
      <c r="I46" t="s">
        <v>14470</v>
      </c>
      <c r="J46" t="s">
        <v>13060</v>
      </c>
      <c r="K46">
        <v>28</v>
      </c>
      <c r="U46" t="s">
        <v>5192</v>
      </c>
      <c r="V46">
        <v>19</v>
      </c>
      <c r="AE46" t="s">
        <v>209</v>
      </c>
      <c r="AF46" t="s">
        <v>1477</v>
      </c>
      <c r="AI46" t="s">
        <v>1477</v>
      </c>
      <c r="AJ46" t="s">
        <v>4214</v>
      </c>
      <c r="AM46" s="420" t="s">
        <v>5192</v>
      </c>
      <c r="AN46" s="421">
        <v>19</v>
      </c>
    </row>
    <row r="47" spans="1:40" x14ac:dyDescent="0.35">
      <c r="A47" t="s">
        <v>14471</v>
      </c>
      <c r="B47" t="s">
        <v>13401</v>
      </c>
      <c r="C47">
        <v>5417</v>
      </c>
      <c r="D47">
        <v>3659</v>
      </c>
      <c r="E47">
        <v>0</v>
      </c>
      <c r="F47">
        <v>1693</v>
      </c>
      <c r="G47">
        <v>65</v>
      </c>
      <c r="I47" t="s">
        <v>14471</v>
      </c>
      <c r="J47" t="s">
        <v>13401</v>
      </c>
      <c r="K47">
        <v>2</v>
      </c>
      <c r="U47" t="s">
        <v>7377</v>
      </c>
      <c r="V47">
        <v>21</v>
      </c>
      <c r="AE47" t="s">
        <v>3126</v>
      </c>
      <c r="AF47" t="s">
        <v>898</v>
      </c>
      <c r="AI47" t="s">
        <v>1184</v>
      </c>
      <c r="AJ47" t="s">
        <v>2305</v>
      </c>
      <c r="AM47" s="420" t="s">
        <v>7377</v>
      </c>
      <c r="AN47" s="421">
        <v>20</v>
      </c>
    </row>
    <row r="48" spans="1:40" x14ac:dyDescent="0.35">
      <c r="A48" t="s">
        <v>14472</v>
      </c>
      <c r="B48" t="s">
        <v>14081</v>
      </c>
      <c r="C48">
        <v>20</v>
      </c>
      <c r="D48">
        <v>20</v>
      </c>
      <c r="E48">
        <v>0</v>
      </c>
      <c r="F48">
        <v>0</v>
      </c>
      <c r="G48">
        <v>0</v>
      </c>
      <c r="I48" t="s">
        <v>14472</v>
      </c>
      <c r="J48" t="s">
        <v>14081</v>
      </c>
      <c r="K48">
        <v>1</v>
      </c>
      <c r="U48" t="s">
        <v>2632</v>
      </c>
      <c r="V48">
        <v>60</v>
      </c>
      <c r="AE48" t="s">
        <v>7293</v>
      </c>
      <c r="AF48" t="s">
        <v>898</v>
      </c>
      <c r="AI48" t="s">
        <v>1184</v>
      </c>
      <c r="AJ48" t="s">
        <v>2347</v>
      </c>
      <c r="AM48" s="420" t="s">
        <v>2632</v>
      </c>
      <c r="AN48" s="421">
        <v>60</v>
      </c>
    </row>
    <row r="49" spans="1:40" x14ac:dyDescent="0.35">
      <c r="A49" t="s">
        <v>14473</v>
      </c>
      <c r="B49" t="s">
        <v>13091</v>
      </c>
      <c r="C49">
        <v>6764</v>
      </c>
      <c r="D49">
        <v>4028</v>
      </c>
      <c r="E49">
        <v>0</v>
      </c>
      <c r="F49">
        <v>1472</v>
      </c>
      <c r="G49">
        <v>1264</v>
      </c>
      <c r="I49" t="s">
        <v>14473</v>
      </c>
      <c r="J49" t="s">
        <v>13091</v>
      </c>
      <c r="K49">
        <v>95</v>
      </c>
      <c r="U49" t="s">
        <v>5918</v>
      </c>
      <c r="V49">
        <v>25</v>
      </c>
      <c r="AE49" t="s">
        <v>7335</v>
      </c>
      <c r="AF49" t="s">
        <v>898</v>
      </c>
      <c r="AI49" t="s">
        <v>1644</v>
      </c>
      <c r="AJ49" t="s">
        <v>9029</v>
      </c>
      <c r="AM49" s="420" t="s">
        <v>5918</v>
      </c>
      <c r="AN49" s="421">
        <v>24</v>
      </c>
    </row>
    <row r="50" spans="1:40" x14ac:dyDescent="0.35">
      <c r="A50" t="s">
        <v>14474</v>
      </c>
      <c r="B50" t="s">
        <v>13873</v>
      </c>
      <c r="C50">
        <v>3366</v>
      </c>
      <c r="D50">
        <v>2838</v>
      </c>
      <c r="E50">
        <v>0</v>
      </c>
      <c r="F50">
        <v>392</v>
      </c>
      <c r="G50">
        <v>136</v>
      </c>
      <c r="I50" t="s">
        <v>14474</v>
      </c>
      <c r="J50" t="s">
        <v>13873</v>
      </c>
      <c r="K50">
        <v>3</v>
      </c>
      <c r="U50" t="s">
        <v>9727</v>
      </c>
      <c r="V50">
        <v>35</v>
      </c>
      <c r="AE50" t="s">
        <v>6412</v>
      </c>
      <c r="AF50" t="s">
        <v>898</v>
      </c>
      <c r="AI50" t="s">
        <v>1477</v>
      </c>
      <c r="AJ50" t="s">
        <v>5226</v>
      </c>
      <c r="AM50" s="420" t="s">
        <v>9727</v>
      </c>
      <c r="AN50" s="421">
        <v>34</v>
      </c>
    </row>
    <row r="51" spans="1:40" x14ac:dyDescent="0.35">
      <c r="A51" t="s">
        <v>14475</v>
      </c>
      <c r="B51" t="s">
        <v>13259</v>
      </c>
      <c r="C51">
        <v>1684</v>
      </c>
      <c r="D51">
        <v>0</v>
      </c>
      <c r="E51">
        <v>0</v>
      </c>
      <c r="F51">
        <v>1684</v>
      </c>
      <c r="G51">
        <v>0</v>
      </c>
      <c r="I51" t="s">
        <v>14475</v>
      </c>
      <c r="J51" t="s">
        <v>13259</v>
      </c>
      <c r="K51">
        <v>1</v>
      </c>
      <c r="U51" t="s">
        <v>10978</v>
      </c>
      <c r="V51">
        <v>34</v>
      </c>
      <c r="AE51" t="s">
        <v>3168</v>
      </c>
      <c r="AF51" t="s">
        <v>898</v>
      </c>
      <c r="AI51" t="s">
        <v>292</v>
      </c>
      <c r="AJ51" t="s">
        <v>477</v>
      </c>
      <c r="AM51" s="420" t="s">
        <v>10978</v>
      </c>
      <c r="AN51" s="421">
        <v>34</v>
      </c>
    </row>
    <row r="52" spans="1:40" x14ac:dyDescent="0.35">
      <c r="A52" t="s">
        <v>14476</v>
      </c>
      <c r="B52" t="s">
        <v>13552</v>
      </c>
      <c r="C52">
        <v>341</v>
      </c>
      <c r="D52">
        <v>7</v>
      </c>
      <c r="E52">
        <v>0</v>
      </c>
      <c r="F52">
        <v>334</v>
      </c>
      <c r="G52">
        <v>0</v>
      </c>
      <c r="I52" t="s">
        <v>14476</v>
      </c>
      <c r="J52" t="s">
        <v>13552</v>
      </c>
      <c r="K52">
        <v>7</v>
      </c>
      <c r="U52" t="s">
        <v>2924</v>
      </c>
      <c r="V52">
        <v>32</v>
      </c>
      <c r="AE52" t="s">
        <v>6706</v>
      </c>
      <c r="AF52" t="s">
        <v>898</v>
      </c>
      <c r="AI52" t="s">
        <v>1644</v>
      </c>
      <c r="AJ52" t="s">
        <v>5510</v>
      </c>
      <c r="AM52" s="420" t="s">
        <v>2924</v>
      </c>
      <c r="AN52" s="421">
        <v>31</v>
      </c>
    </row>
    <row r="53" spans="1:40" x14ac:dyDescent="0.35">
      <c r="A53" t="s">
        <v>14477</v>
      </c>
      <c r="B53" t="s">
        <v>13238</v>
      </c>
      <c r="C53">
        <v>714</v>
      </c>
      <c r="D53">
        <v>0</v>
      </c>
      <c r="E53">
        <v>0</v>
      </c>
      <c r="F53">
        <v>714</v>
      </c>
      <c r="G53">
        <v>0</v>
      </c>
      <c r="I53" t="s">
        <v>14477</v>
      </c>
      <c r="J53" t="s">
        <v>13238</v>
      </c>
      <c r="K53">
        <v>36</v>
      </c>
      <c r="U53" t="s">
        <v>11440</v>
      </c>
      <c r="V53">
        <v>45</v>
      </c>
      <c r="AE53" t="s">
        <v>7377</v>
      </c>
      <c r="AF53" t="s">
        <v>898</v>
      </c>
      <c r="AI53" t="s">
        <v>898</v>
      </c>
      <c r="AJ53" t="s">
        <v>897</v>
      </c>
      <c r="AM53" s="420" t="s">
        <v>11440</v>
      </c>
      <c r="AN53" s="421">
        <v>44</v>
      </c>
    </row>
    <row r="54" spans="1:40" x14ac:dyDescent="0.35">
      <c r="A54" t="s">
        <v>14478</v>
      </c>
      <c r="B54" t="s">
        <v>13082</v>
      </c>
      <c r="C54">
        <v>971</v>
      </c>
      <c r="D54">
        <v>0</v>
      </c>
      <c r="E54">
        <v>0</v>
      </c>
      <c r="F54">
        <v>971</v>
      </c>
      <c r="G54">
        <v>0</v>
      </c>
      <c r="I54" t="s">
        <v>14478</v>
      </c>
      <c r="J54" t="s">
        <v>13082</v>
      </c>
      <c r="K54">
        <v>76</v>
      </c>
      <c r="U54" t="s">
        <v>7795</v>
      </c>
      <c r="V54">
        <v>28</v>
      </c>
      <c r="AE54" t="s">
        <v>6454</v>
      </c>
      <c r="AF54" t="s">
        <v>898</v>
      </c>
      <c r="AI54" t="s">
        <v>898</v>
      </c>
      <c r="AJ54" t="s">
        <v>3252</v>
      </c>
      <c r="AM54" s="420" t="s">
        <v>7795</v>
      </c>
      <c r="AN54" s="421">
        <v>27</v>
      </c>
    </row>
    <row r="55" spans="1:40" x14ac:dyDescent="0.35">
      <c r="A55" t="s">
        <v>14479</v>
      </c>
      <c r="B55" t="s">
        <v>13048</v>
      </c>
      <c r="C55">
        <v>20890</v>
      </c>
      <c r="D55">
        <v>16168</v>
      </c>
      <c r="E55">
        <v>0</v>
      </c>
      <c r="F55">
        <v>1841</v>
      </c>
      <c r="G55">
        <v>2881</v>
      </c>
      <c r="I55" t="s">
        <v>14479</v>
      </c>
      <c r="J55" t="s">
        <v>13048</v>
      </c>
      <c r="K55">
        <v>42</v>
      </c>
      <c r="U55" t="s">
        <v>5468</v>
      </c>
      <c r="V55">
        <v>32</v>
      </c>
      <c r="AE55" t="s">
        <v>3210</v>
      </c>
      <c r="AF55" t="s">
        <v>898</v>
      </c>
      <c r="AI55" t="s">
        <v>1184</v>
      </c>
      <c r="AJ55" t="s">
        <v>2590</v>
      </c>
      <c r="AM55" s="420" t="s">
        <v>5468</v>
      </c>
      <c r="AN55" s="421">
        <v>31</v>
      </c>
    </row>
    <row r="56" spans="1:40" x14ac:dyDescent="0.35">
      <c r="A56" t="s">
        <v>14480</v>
      </c>
      <c r="B56" t="s">
        <v>14384</v>
      </c>
      <c r="C56">
        <v>14</v>
      </c>
      <c r="D56">
        <v>14</v>
      </c>
      <c r="E56">
        <v>0</v>
      </c>
      <c r="F56">
        <v>0</v>
      </c>
      <c r="G56">
        <v>0</v>
      </c>
      <c r="I56" t="s">
        <v>14480</v>
      </c>
      <c r="J56" t="s">
        <v>14384</v>
      </c>
      <c r="K56">
        <v>1</v>
      </c>
      <c r="U56" t="s">
        <v>4130</v>
      </c>
      <c r="V56">
        <v>25</v>
      </c>
      <c r="AE56" t="s">
        <v>897</v>
      </c>
      <c r="AF56" t="s">
        <v>898</v>
      </c>
      <c r="AI56" t="s">
        <v>1644</v>
      </c>
      <c r="AJ56" t="s">
        <v>5552</v>
      </c>
      <c r="AM56" s="420" t="s">
        <v>4130</v>
      </c>
      <c r="AN56" s="421">
        <v>24</v>
      </c>
    </row>
    <row r="57" spans="1:40" x14ac:dyDescent="0.35">
      <c r="A57" t="s">
        <v>14481</v>
      </c>
      <c r="B57" t="s">
        <v>13201</v>
      </c>
      <c r="C57">
        <v>376</v>
      </c>
      <c r="D57">
        <v>3</v>
      </c>
      <c r="E57">
        <v>0</v>
      </c>
      <c r="F57">
        <v>373</v>
      </c>
      <c r="G57">
        <v>0</v>
      </c>
      <c r="I57" t="s">
        <v>14481</v>
      </c>
      <c r="J57" t="s">
        <v>13201</v>
      </c>
      <c r="K57">
        <v>20</v>
      </c>
      <c r="U57" t="s">
        <v>2464</v>
      </c>
      <c r="V57">
        <v>43</v>
      </c>
      <c r="AE57" t="s">
        <v>3252</v>
      </c>
      <c r="AF57" t="s">
        <v>898</v>
      </c>
      <c r="AI57" t="s">
        <v>1059</v>
      </c>
      <c r="AJ57" t="s">
        <v>10728</v>
      </c>
      <c r="AM57" s="420" t="s">
        <v>2464</v>
      </c>
      <c r="AN57" s="421">
        <v>42</v>
      </c>
    </row>
    <row r="58" spans="1:40" x14ac:dyDescent="0.35">
      <c r="A58" t="s">
        <v>14482</v>
      </c>
      <c r="B58" t="s">
        <v>13733</v>
      </c>
      <c r="C58">
        <v>46</v>
      </c>
      <c r="D58">
        <v>0</v>
      </c>
      <c r="E58">
        <v>0</v>
      </c>
      <c r="F58">
        <v>46</v>
      </c>
      <c r="G58">
        <v>0</v>
      </c>
      <c r="I58" t="s">
        <v>14482</v>
      </c>
      <c r="J58" t="s">
        <v>13733</v>
      </c>
      <c r="K58">
        <v>1</v>
      </c>
      <c r="U58" t="s">
        <v>6454</v>
      </c>
      <c r="V58">
        <v>36</v>
      </c>
      <c r="AE58" t="s">
        <v>6748</v>
      </c>
      <c r="AF58" t="s">
        <v>898</v>
      </c>
      <c r="AI58" t="s">
        <v>292</v>
      </c>
      <c r="AJ58" t="s">
        <v>2137</v>
      </c>
      <c r="AM58" s="420" t="s">
        <v>6454</v>
      </c>
      <c r="AN58" s="421">
        <v>35</v>
      </c>
    </row>
    <row r="59" spans="1:40" x14ac:dyDescent="0.35">
      <c r="A59" t="s">
        <v>14483</v>
      </c>
      <c r="B59" t="s">
        <v>13093</v>
      </c>
      <c r="C59">
        <v>181</v>
      </c>
      <c r="D59">
        <v>4</v>
      </c>
      <c r="E59">
        <v>0</v>
      </c>
      <c r="F59">
        <v>177</v>
      </c>
      <c r="G59">
        <v>0</v>
      </c>
      <c r="I59" t="s">
        <v>14483</v>
      </c>
      <c r="J59" t="s">
        <v>13093</v>
      </c>
      <c r="K59">
        <v>7</v>
      </c>
      <c r="U59" t="s">
        <v>4172</v>
      </c>
      <c r="V59">
        <v>35</v>
      </c>
      <c r="AE59" t="s">
        <v>3294</v>
      </c>
      <c r="AF59" t="s">
        <v>898</v>
      </c>
      <c r="AI59" t="s">
        <v>1184</v>
      </c>
      <c r="AJ59" t="s">
        <v>3462</v>
      </c>
      <c r="AM59" s="420" t="s">
        <v>4172</v>
      </c>
      <c r="AN59" s="421">
        <v>34</v>
      </c>
    </row>
    <row r="60" spans="1:40" x14ac:dyDescent="0.35">
      <c r="A60" t="s">
        <v>14484</v>
      </c>
      <c r="B60" t="s">
        <v>13388</v>
      </c>
      <c r="C60">
        <v>433</v>
      </c>
      <c r="D60">
        <v>433</v>
      </c>
      <c r="E60">
        <v>0</v>
      </c>
      <c r="F60">
        <v>0</v>
      </c>
      <c r="G60">
        <v>0</v>
      </c>
      <c r="I60" t="s">
        <v>14484</v>
      </c>
      <c r="J60" t="s">
        <v>13388</v>
      </c>
      <c r="K60">
        <v>3</v>
      </c>
      <c r="U60" t="s">
        <v>4498</v>
      </c>
      <c r="V60">
        <v>32</v>
      </c>
      <c r="AE60" t="s">
        <v>7419</v>
      </c>
      <c r="AF60" t="s">
        <v>898</v>
      </c>
      <c r="AI60" t="s">
        <v>1477</v>
      </c>
      <c r="AJ60" t="s">
        <v>9519</v>
      </c>
      <c r="AM60" s="420" t="s">
        <v>4498</v>
      </c>
      <c r="AN60" s="421">
        <v>31</v>
      </c>
    </row>
    <row r="61" spans="1:40" x14ac:dyDescent="0.35">
      <c r="A61" t="s">
        <v>14485</v>
      </c>
      <c r="B61" t="s">
        <v>13831</v>
      </c>
      <c r="C61">
        <v>312</v>
      </c>
      <c r="D61">
        <v>312</v>
      </c>
      <c r="E61">
        <v>0</v>
      </c>
      <c r="F61">
        <v>0</v>
      </c>
      <c r="G61">
        <v>0</v>
      </c>
      <c r="I61" t="s">
        <v>14485</v>
      </c>
      <c r="J61" t="s">
        <v>13831</v>
      </c>
      <c r="K61">
        <v>8</v>
      </c>
      <c r="U61" t="s">
        <v>7587</v>
      </c>
      <c r="V61">
        <v>44</v>
      </c>
      <c r="AE61" t="s">
        <v>6496</v>
      </c>
      <c r="AF61" t="s">
        <v>898</v>
      </c>
      <c r="AI61" t="s">
        <v>898</v>
      </c>
      <c r="AJ61" t="s">
        <v>6748</v>
      </c>
      <c r="AM61" s="420" t="s">
        <v>7587</v>
      </c>
      <c r="AN61" s="421">
        <v>43</v>
      </c>
    </row>
    <row r="62" spans="1:40" x14ac:dyDescent="0.35">
      <c r="A62" t="s">
        <v>14486</v>
      </c>
      <c r="B62" t="s">
        <v>13168</v>
      </c>
      <c r="C62">
        <v>224</v>
      </c>
      <c r="D62">
        <v>0</v>
      </c>
      <c r="E62">
        <v>0</v>
      </c>
      <c r="F62">
        <v>224</v>
      </c>
      <c r="G62">
        <v>0</v>
      </c>
      <c r="I62" t="s">
        <v>14486</v>
      </c>
      <c r="J62" t="s">
        <v>13168</v>
      </c>
      <c r="K62">
        <v>31</v>
      </c>
      <c r="U62" t="s">
        <v>2179</v>
      </c>
      <c r="V62">
        <v>59</v>
      </c>
      <c r="AE62" t="s">
        <v>3336</v>
      </c>
      <c r="AF62" t="s">
        <v>898</v>
      </c>
      <c r="AI62" t="s">
        <v>688</v>
      </c>
      <c r="AJ62" t="s">
        <v>14487</v>
      </c>
      <c r="AM62" s="420" t="s">
        <v>2179</v>
      </c>
      <c r="AN62" s="421">
        <v>59</v>
      </c>
    </row>
    <row r="63" spans="1:40" x14ac:dyDescent="0.35">
      <c r="A63" t="s">
        <v>14488</v>
      </c>
      <c r="B63" t="s">
        <v>13578</v>
      </c>
      <c r="C63">
        <v>756</v>
      </c>
      <c r="D63">
        <v>0</v>
      </c>
      <c r="E63">
        <v>0</v>
      </c>
      <c r="F63">
        <v>756</v>
      </c>
      <c r="G63">
        <v>0</v>
      </c>
      <c r="I63" t="s">
        <v>14488</v>
      </c>
      <c r="J63" t="s">
        <v>13578</v>
      </c>
      <c r="K63">
        <v>2</v>
      </c>
      <c r="U63" t="s">
        <v>2221</v>
      </c>
      <c r="V63">
        <v>54</v>
      </c>
      <c r="AE63" t="s">
        <v>6538</v>
      </c>
      <c r="AF63" t="s">
        <v>898</v>
      </c>
      <c r="AI63" t="s">
        <v>1477</v>
      </c>
      <c r="AJ63" t="s">
        <v>9602</v>
      </c>
      <c r="AM63" s="420" t="s">
        <v>2221</v>
      </c>
      <c r="AN63" s="421">
        <v>53</v>
      </c>
    </row>
    <row r="64" spans="1:40" x14ac:dyDescent="0.35">
      <c r="A64" t="s">
        <v>14489</v>
      </c>
      <c r="B64" t="s">
        <v>13206</v>
      </c>
      <c r="C64">
        <v>882</v>
      </c>
      <c r="D64">
        <v>0</v>
      </c>
      <c r="E64">
        <v>0</v>
      </c>
      <c r="F64">
        <v>882</v>
      </c>
      <c r="G64">
        <v>0</v>
      </c>
      <c r="I64" t="s">
        <v>14489</v>
      </c>
      <c r="J64" t="s">
        <v>13206</v>
      </c>
      <c r="K64">
        <v>10</v>
      </c>
      <c r="U64" t="s">
        <v>3210</v>
      </c>
      <c r="V64">
        <v>38</v>
      </c>
      <c r="AE64" t="s">
        <v>940</v>
      </c>
      <c r="AF64" t="s">
        <v>898</v>
      </c>
      <c r="AI64" t="s">
        <v>1644</v>
      </c>
      <c r="AJ64" t="s">
        <v>3795</v>
      </c>
      <c r="AM64" s="420" t="s">
        <v>3210</v>
      </c>
      <c r="AN64" s="421">
        <v>37</v>
      </c>
    </row>
    <row r="65" spans="1:40" x14ac:dyDescent="0.35">
      <c r="A65" t="s">
        <v>14490</v>
      </c>
      <c r="B65" t="s">
        <v>14243</v>
      </c>
      <c r="C65">
        <v>29</v>
      </c>
      <c r="D65">
        <v>29</v>
      </c>
      <c r="E65">
        <v>0</v>
      </c>
      <c r="F65">
        <v>0</v>
      </c>
      <c r="G65">
        <v>0</v>
      </c>
      <c r="I65" t="s">
        <v>14490</v>
      </c>
      <c r="J65" t="s">
        <v>14243</v>
      </c>
      <c r="K65">
        <v>1</v>
      </c>
      <c r="U65" t="s">
        <v>8987</v>
      </c>
      <c r="V65">
        <v>40</v>
      </c>
      <c r="AE65" t="s">
        <v>6790</v>
      </c>
      <c r="AF65" t="s">
        <v>898</v>
      </c>
      <c r="AI65" t="s">
        <v>1644</v>
      </c>
      <c r="AJ65" t="s">
        <v>4824</v>
      </c>
      <c r="AM65" s="420" t="s">
        <v>8987</v>
      </c>
      <c r="AN65" s="421">
        <v>40</v>
      </c>
    </row>
    <row r="66" spans="1:40" x14ac:dyDescent="0.35">
      <c r="A66" t="s">
        <v>14491</v>
      </c>
      <c r="B66" t="s">
        <v>13871</v>
      </c>
      <c r="C66">
        <v>49</v>
      </c>
      <c r="D66">
        <v>0</v>
      </c>
      <c r="E66">
        <v>0</v>
      </c>
      <c r="F66">
        <v>49</v>
      </c>
      <c r="G66">
        <v>0</v>
      </c>
      <c r="I66" t="s">
        <v>14491</v>
      </c>
      <c r="J66" t="s">
        <v>13871</v>
      </c>
      <c r="K66">
        <v>1</v>
      </c>
      <c r="U66" t="s">
        <v>5960</v>
      </c>
      <c r="V66">
        <v>31</v>
      </c>
      <c r="AE66" t="s">
        <v>7461</v>
      </c>
      <c r="AF66" t="s">
        <v>898</v>
      </c>
      <c r="AI66" t="s">
        <v>1644</v>
      </c>
      <c r="AJ66" t="s">
        <v>8246</v>
      </c>
      <c r="AM66" s="420" t="s">
        <v>5960</v>
      </c>
      <c r="AN66" s="421">
        <v>30</v>
      </c>
    </row>
    <row r="67" spans="1:40" x14ac:dyDescent="0.35">
      <c r="A67" t="s">
        <v>14492</v>
      </c>
      <c r="B67" t="s">
        <v>13583</v>
      </c>
      <c r="C67">
        <v>25</v>
      </c>
      <c r="D67">
        <v>25</v>
      </c>
      <c r="E67">
        <v>0</v>
      </c>
      <c r="F67">
        <v>0</v>
      </c>
      <c r="G67">
        <v>0</v>
      </c>
      <c r="I67" t="s">
        <v>14492</v>
      </c>
      <c r="J67" t="s">
        <v>13583</v>
      </c>
      <c r="K67">
        <v>1</v>
      </c>
      <c r="U67" t="s">
        <v>11187</v>
      </c>
      <c r="V67">
        <v>5</v>
      </c>
      <c r="AE67" t="s">
        <v>6580</v>
      </c>
      <c r="AF67" t="s">
        <v>898</v>
      </c>
      <c r="AI67" t="s">
        <v>1477</v>
      </c>
      <c r="AJ67" t="s">
        <v>4256</v>
      </c>
      <c r="AM67" s="420" t="s">
        <v>11187</v>
      </c>
      <c r="AN67" s="421">
        <v>4</v>
      </c>
    </row>
    <row r="68" spans="1:40" x14ac:dyDescent="0.35">
      <c r="A68" t="s">
        <v>14493</v>
      </c>
      <c r="B68" t="s">
        <v>13156</v>
      </c>
      <c r="C68">
        <v>328</v>
      </c>
      <c r="D68">
        <v>22</v>
      </c>
      <c r="E68">
        <v>0</v>
      </c>
      <c r="F68">
        <v>306</v>
      </c>
      <c r="G68">
        <v>0</v>
      </c>
      <c r="I68" t="s">
        <v>14493</v>
      </c>
      <c r="J68" t="s">
        <v>13156</v>
      </c>
      <c r="K68">
        <v>28</v>
      </c>
      <c r="U68" t="s">
        <v>4214</v>
      </c>
      <c r="V68">
        <v>53</v>
      </c>
      <c r="AE68" t="s">
        <v>7503</v>
      </c>
      <c r="AF68" t="s">
        <v>898</v>
      </c>
      <c r="AI68" t="s">
        <v>1184</v>
      </c>
      <c r="AJ68" t="s">
        <v>3504</v>
      </c>
      <c r="AM68" s="420" t="s">
        <v>4214</v>
      </c>
      <c r="AN68" s="421">
        <v>52</v>
      </c>
    </row>
    <row r="69" spans="1:40" x14ac:dyDescent="0.35">
      <c r="A69" t="s">
        <v>14494</v>
      </c>
      <c r="B69" t="s">
        <v>13920</v>
      </c>
      <c r="C69">
        <v>179</v>
      </c>
      <c r="D69">
        <v>0</v>
      </c>
      <c r="E69">
        <v>0</v>
      </c>
      <c r="F69">
        <v>179</v>
      </c>
      <c r="G69">
        <v>0</v>
      </c>
      <c r="I69" t="s">
        <v>14494</v>
      </c>
      <c r="J69" t="s">
        <v>13920</v>
      </c>
      <c r="K69">
        <v>2</v>
      </c>
      <c r="U69" t="s">
        <v>2305</v>
      </c>
      <c r="V69">
        <v>50</v>
      </c>
      <c r="AE69" t="s">
        <v>3378</v>
      </c>
      <c r="AF69" t="s">
        <v>898</v>
      </c>
      <c r="AI69" t="s">
        <v>1644</v>
      </c>
      <c r="AJ69" t="s">
        <v>4866</v>
      </c>
      <c r="AM69" s="420" t="s">
        <v>2305</v>
      </c>
      <c r="AN69" s="421">
        <v>49</v>
      </c>
    </row>
    <row r="70" spans="1:40" x14ac:dyDescent="0.35">
      <c r="A70" t="s">
        <v>14495</v>
      </c>
      <c r="B70" t="s">
        <v>13226</v>
      </c>
      <c r="C70">
        <v>791</v>
      </c>
      <c r="D70">
        <v>38</v>
      </c>
      <c r="E70">
        <v>753</v>
      </c>
      <c r="F70">
        <v>0</v>
      </c>
      <c r="G70">
        <v>0</v>
      </c>
      <c r="I70" t="s">
        <v>14495</v>
      </c>
      <c r="J70" t="s">
        <v>13226</v>
      </c>
      <c r="K70">
        <v>5</v>
      </c>
      <c r="U70" t="s">
        <v>4540</v>
      </c>
      <c r="V70">
        <v>22</v>
      </c>
      <c r="AE70" t="s">
        <v>6832</v>
      </c>
      <c r="AF70" t="s">
        <v>898</v>
      </c>
      <c r="AI70" t="s">
        <v>1644</v>
      </c>
      <c r="AJ70" t="s">
        <v>5720</v>
      </c>
      <c r="AM70" s="420" t="s">
        <v>4540</v>
      </c>
      <c r="AN70" s="421">
        <v>22</v>
      </c>
    </row>
    <row r="71" spans="1:40" x14ac:dyDescent="0.35">
      <c r="A71" t="s">
        <v>14496</v>
      </c>
      <c r="B71" t="s">
        <v>13205</v>
      </c>
      <c r="C71">
        <v>1709</v>
      </c>
      <c r="D71">
        <v>1398</v>
      </c>
      <c r="E71">
        <v>0</v>
      </c>
      <c r="F71">
        <v>254</v>
      </c>
      <c r="G71">
        <v>57</v>
      </c>
      <c r="I71" t="s">
        <v>14496</v>
      </c>
      <c r="J71" t="s">
        <v>13205</v>
      </c>
      <c r="K71">
        <v>29</v>
      </c>
      <c r="U71" t="s">
        <v>2137</v>
      </c>
      <c r="V71">
        <v>43</v>
      </c>
      <c r="AE71" t="s">
        <v>2674</v>
      </c>
      <c r="AF71" t="s">
        <v>898</v>
      </c>
      <c r="AI71" t="s">
        <v>292</v>
      </c>
      <c r="AJ71" t="s">
        <v>11145</v>
      </c>
      <c r="AM71" s="420" t="s">
        <v>2137</v>
      </c>
      <c r="AN71" s="421">
        <v>42</v>
      </c>
    </row>
    <row r="72" spans="1:40" x14ac:dyDescent="0.35">
      <c r="A72" t="s">
        <v>14497</v>
      </c>
      <c r="B72" t="s">
        <v>13065</v>
      </c>
      <c r="C72">
        <v>1305</v>
      </c>
      <c r="D72">
        <v>0</v>
      </c>
      <c r="E72">
        <v>0</v>
      </c>
      <c r="F72">
        <v>1305</v>
      </c>
      <c r="G72">
        <v>0</v>
      </c>
      <c r="I72" t="s">
        <v>14497</v>
      </c>
      <c r="J72" t="s">
        <v>13065</v>
      </c>
      <c r="K72">
        <v>91</v>
      </c>
      <c r="U72" t="s">
        <v>10686</v>
      </c>
      <c r="V72">
        <v>36</v>
      </c>
      <c r="AE72" t="s">
        <v>6622</v>
      </c>
      <c r="AF72" t="s">
        <v>898</v>
      </c>
      <c r="AI72" t="s">
        <v>1184</v>
      </c>
      <c r="AJ72" t="s">
        <v>4616</v>
      </c>
      <c r="AM72" s="420" t="s">
        <v>10686</v>
      </c>
      <c r="AN72" s="421">
        <v>36</v>
      </c>
    </row>
    <row r="73" spans="1:40" x14ac:dyDescent="0.35">
      <c r="A73" t="s">
        <v>14498</v>
      </c>
      <c r="B73" t="s">
        <v>14135</v>
      </c>
      <c r="C73">
        <v>44</v>
      </c>
      <c r="D73">
        <v>0</v>
      </c>
      <c r="E73">
        <v>0</v>
      </c>
      <c r="F73">
        <v>44</v>
      </c>
      <c r="G73">
        <v>0</v>
      </c>
      <c r="I73" t="s">
        <v>14498</v>
      </c>
      <c r="J73" t="s">
        <v>14135</v>
      </c>
      <c r="K73">
        <v>1</v>
      </c>
      <c r="U73" t="s">
        <v>9029</v>
      </c>
      <c r="V73">
        <v>30</v>
      </c>
      <c r="AE73" t="s">
        <v>1016</v>
      </c>
      <c r="AF73" t="s">
        <v>898</v>
      </c>
      <c r="AI73" t="s">
        <v>1644</v>
      </c>
      <c r="AJ73" t="s">
        <v>4908</v>
      </c>
      <c r="AM73" s="420" t="s">
        <v>9029</v>
      </c>
      <c r="AN73" s="421">
        <v>29</v>
      </c>
    </row>
    <row r="74" spans="1:40" x14ac:dyDescent="0.35">
      <c r="A74" t="s">
        <v>14499</v>
      </c>
      <c r="B74" t="s">
        <v>13340</v>
      </c>
      <c r="C74">
        <v>517</v>
      </c>
      <c r="D74">
        <v>496</v>
      </c>
      <c r="E74">
        <v>0</v>
      </c>
      <c r="F74">
        <v>21</v>
      </c>
      <c r="G74">
        <v>0</v>
      </c>
      <c r="I74" t="s">
        <v>14499</v>
      </c>
      <c r="J74" t="s">
        <v>13340</v>
      </c>
      <c r="K74">
        <v>17</v>
      </c>
      <c r="U74" t="s">
        <v>11482</v>
      </c>
      <c r="V74">
        <v>66</v>
      </c>
      <c r="AE74" t="s">
        <v>6664</v>
      </c>
      <c r="AF74" t="s">
        <v>898</v>
      </c>
      <c r="AI74" t="s">
        <v>1644</v>
      </c>
      <c r="AJ74" t="s">
        <v>5594</v>
      </c>
      <c r="AM74" s="420" t="s">
        <v>11482</v>
      </c>
      <c r="AN74" s="421">
        <v>65</v>
      </c>
    </row>
    <row r="75" spans="1:40" x14ac:dyDescent="0.35">
      <c r="A75" t="s">
        <v>14500</v>
      </c>
      <c r="B75" t="s">
        <v>13974</v>
      </c>
      <c r="C75">
        <v>69</v>
      </c>
      <c r="D75">
        <v>13</v>
      </c>
      <c r="E75">
        <v>6</v>
      </c>
      <c r="F75">
        <v>50</v>
      </c>
      <c r="G75">
        <v>0</v>
      </c>
      <c r="I75" t="s">
        <v>14500</v>
      </c>
      <c r="J75" t="s">
        <v>13974</v>
      </c>
      <c r="K75">
        <v>4</v>
      </c>
      <c r="U75" t="s">
        <v>2757</v>
      </c>
      <c r="V75">
        <v>29</v>
      </c>
      <c r="AE75" t="s">
        <v>7545</v>
      </c>
      <c r="AF75" t="s">
        <v>898</v>
      </c>
      <c r="AI75" t="s">
        <v>1477</v>
      </c>
      <c r="AJ75" t="s">
        <v>7083</v>
      </c>
      <c r="AM75" s="420" t="s">
        <v>2757</v>
      </c>
      <c r="AN75" s="421">
        <v>29</v>
      </c>
    </row>
    <row r="76" spans="1:40" x14ac:dyDescent="0.35">
      <c r="A76" t="s">
        <v>14501</v>
      </c>
      <c r="B76" t="s">
        <v>13980</v>
      </c>
      <c r="C76">
        <v>96</v>
      </c>
      <c r="D76">
        <v>0</v>
      </c>
      <c r="E76">
        <v>0</v>
      </c>
      <c r="F76">
        <v>96</v>
      </c>
      <c r="G76">
        <v>0</v>
      </c>
      <c r="I76" t="s">
        <v>14501</v>
      </c>
      <c r="J76" t="s">
        <v>13980</v>
      </c>
      <c r="K76">
        <v>1</v>
      </c>
      <c r="U76" t="s">
        <v>5226</v>
      </c>
      <c r="V76">
        <v>35</v>
      </c>
      <c r="AE76" t="s">
        <v>982</v>
      </c>
      <c r="AF76" t="s">
        <v>898</v>
      </c>
      <c r="AI76" t="s">
        <v>1644</v>
      </c>
      <c r="AJ76" t="s">
        <v>8330</v>
      </c>
      <c r="AM76" s="420" t="s">
        <v>5226</v>
      </c>
      <c r="AN76" s="421">
        <v>34</v>
      </c>
    </row>
    <row r="77" spans="1:40" x14ac:dyDescent="0.35">
      <c r="A77" t="s">
        <v>14502</v>
      </c>
      <c r="B77" t="s">
        <v>13953</v>
      </c>
      <c r="C77">
        <v>37</v>
      </c>
      <c r="D77">
        <v>14</v>
      </c>
      <c r="E77">
        <v>0</v>
      </c>
      <c r="F77">
        <v>23</v>
      </c>
      <c r="G77">
        <v>0</v>
      </c>
      <c r="I77" t="s">
        <v>14502</v>
      </c>
      <c r="J77" t="s">
        <v>13953</v>
      </c>
      <c r="K77">
        <v>1</v>
      </c>
      <c r="U77" t="s">
        <v>477</v>
      </c>
      <c r="V77">
        <v>38</v>
      </c>
      <c r="AE77" t="s">
        <v>3420</v>
      </c>
      <c r="AF77" t="s">
        <v>898</v>
      </c>
      <c r="AI77" t="s">
        <v>11188</v>
      </c>
      <c r="AJ77" t="s">
        <v>11734</v>
      </c>
      <c r="AM77" s="420" t="s">
        <v>477</v>
      </c>
      <c r="AN77" s="421">
        <v>37</v>
      </c>
    </row>
    <row r="78" spans="1:40" x14ac:dyDescent="0.35">
      <c r="A78" t="s">
        <v>14503</v>
      </c>
      <c r="B78" t="s">
        <v>13113</v>
      </c>
      <c r="C78">
        <v>205</v>
      </c>
      <c r="D78">
        <v>99</v>
      </c>
      <c r="E78">
        <v>0</v>
      </c>
      <c r="F78">
        <v>106</v>
      </c>
      <c r="G78">
        <v>0</v>
      </c>
      <c r="I78" t="s">
        <v>14503</v>
      </c>
      <c r="J78" t="s">
        <v>13113</v>
      </c>
      <c r="K78">
        <v>34</v>
      </c>
      <c r="U78" t="s">
        <v>5510</v>
      </c>
      <c r="V78">
        <v>28</v>
      </c>
      <c r="AE78" t="s">
        <v>6874</v>
      </c>
      <c r="AF78" t="s">
        <v>898</v>
      </c>
      <c r="AI78" t="s">
        <v>1477</v>
      </c>
      <c r="AJ78" t="s">
        <v>4298</v>
      </c>
      <c r="AM78" s="420" t="s">
        <v>5510</v>
      </c>
      <c r="AN78" s="421">
        <v>27</v>
      </c>
    </row>
    <row r="79" spans="1:40" x14ac:dyDescent="0.35">
      <c r="A79" t="s">
        <v>14504</v>
      </c>
      <c r="B79" t="s">
        <v>13679</v>
      </c>
      <c r="C79">
        <v>51</v>
      </c>
      <c r="D79">
        <v>1</v>
      </c>
      <c r="E79">
        <v>0</v>
      </c>
      <c r="F79">
        <v>50</v>
      </c>
      <c r="G79">
        <v>0</v>
      </c>
      <c r="I79" t="s">
        <v>14504</v>
      </c>
      <c r="J79" t="s">
        <v>13679</v>
      </c>
      <c r="K79">
        <v>6</v>
      </c>
      <c r="U79" t="s">
        <v>897</v>
      </c>
      <c r="V79">
        <v>39</v>
      </c>
      <c r="AE79" t="s">
        <v>6916</v>
      </c>
      <c r="AF79" t="s">
        <v>898</v>
      </c>
      <c r="AI79" t="s">
        <v>292</v>
      </c>
      <c r="AJ79" t="s">
        <v>291</v>
      </c>
      <c r="AM79" s="420" t="s">
        <v>897</v>
      </c>
      <c r="AN79" s="421">
        <v>38</v>
      </c>
    </row>
    <row r="80" spans="1:40" x14ac:dyDescent="0.35">
      <c r="A80" t="s">
        <v>14505</v>
      </c>
      <c r="B80" t="s">
        <v>13014</v>
      </c>
      <c r="C80">
        <v>64292</v>
      </c>
      <c r="D80">
        <v>48405</v>
      </c>
      <c r="E80">
        <v>69</v>
      </c>
      <c r="F80">
        <v>8304</v>
      </c>
      <c r="G80">
        <v>7514</v>
      </c>
      <c r="I80" t="s">
        <v>14505</v>
      </c>
      <c r="J80" t="s">
        <v>13014</v>
      </c>
      <c r="K80">
        <v>151</v>
      </c>
      <c r="U80" t="s">
        <v>3252</v>
      </c>
      <c r="V80">
        <v>22</v>
      </c>
      <c r="AE80" t="s">
        <v>206</v>
      </c>
      <c r="AF80" t="s">
        <v>898</v>
      </c>
      <c r="AI80" t="s">
        <v>1644</v>
      </c>
      <c r="AJ80" t="s">
        <v>3837</v>
      </c>
      <c r="AM80" s="420" t="s">
        <v>3252</v>
      </c>
      <c r="AN80" s="421">
        <v>21</v>
      </c>
    </row>
    <row r="81" spans="1:40" x14ac:dyDescent="0.35">
      <c r="A81" t="s">
        <v>14506</v>
      </c>
      <c r="B81" t="s">
        <v>13791</v>
      </c>
      <c r="C81">
        <v>8</v>
      </c>
      <c r="D81">
        <v>0</v>
      </c>
      <c r="E81">
        <v>0</v>
      </c>
      <c r="F81">
        <v>8</v>
      </c>
      <c r="G81">
        <v>0</v>
      </c>
      <c r="I81" t="s">
        <v>14506</v>
      </c>
      <c r="J81" t="s">
        <v>13791</v>
      </c>
      <c r="K81">
        <v>1</v>
      </c>
      <c r="U81" t="s">
        <v>10351</v>
      </c>
      <c r="V81">
        <v>44</v>
      </c>
      <c r="AE81" t="s">
        <v>207</v>
      </c>
      <c r="AF81" t="s">
        <v>898</v>
      </c>
      <c r="AI81" t="s">
        <v>1059</v>
      </c>
      <c r="AJ81" t="s">
        <v>1058</v>
      </c>
      <c r="AM81" s="420" t="s">
        <v>10351</v>
      </c>
      <c r="AN81" s="421">
        <v>43</v>
      </c>
    </row>
    <row r="82" spans="1:40" x14ac:dyDescent="0.35">
      <c r="A82" t="s">
        <v>14507</v>
      </c>
      <c r="B82" t="s">
        <v>13279</v>
      </c>
      <c r="C82">
        <v>107</v>
      </c>
      <c r="D82">
        <v>0</v>
      </c>
      <c r="E82">
        <v>0</v>
      </c>
      <c r="F82">
        <v>107</v>
      </c>
      <c r="G82">
        <v>0</v>
      </c>
      <c r="I82" t="s">
        <v>14507</v>
      </c>
      <c r="J82" t="s">
        <v>13279</v>
      </c>
      <c r="K82">
        <v>9</v>
      </c>
      <c r="U82" t="s">
        <v>2590</v>
      </c>
      <c r="V82">
        <v>50</v>
      </c>
      <c r="AE82" t="s">
        <v>11230</v>
      </c>
      <c r="AF82" t="s">
        <v>11188</v>
      </c>
      <c r="AI82" t="s">
        <v>898</v>
      </c>
      <c r="AJ82" t="s">
        <v>3336</v>
      </c>
      <c r="AM82" s="420" t="s">
        <v>2590</v>
      </c>
      <c r="AN82" s="421">
        <v>49</v>
      </c>
    </row>
    <row r="83" spans="1:40" x14ac:dyDescent="0.35">
      <c r="A83" t="s">
        <v>14508</v>
      </c>
      <c r="B83" t="s">
        <v>13115</v>
      </c>
      <c r="C83">
        <v>471</v>
      </c>
      <c r="D83">
        <v>0</v>
      </c>
      <c r="E83">
        <v>167</v>
      </c>
      <c r="F83">
        <v>304</v>
      </c>
      <c r="G83">
        <v>0</v>
      </c>
      <c r="I83" t="s">
        <v>14508</v>
      </c>
      <c r="J83" t="s">
        <v>13115</v>
      </c>
      <c r="K83">
        <v>15</v>
      </c>
      <c r="U83" t="s">
        <v>5552</v>
      </c>
      <c r="V83">
        <v>31</v>
      </c>
      <c r="AE83" t="s">
        <v>11272</v>
      </c>
      <c r="AF83" t="s">
        <v>11188</v>
      </c>
      <c r="AI83" t="s">
        <v>898</v>
      </c>
      <c r="AJ83" t="s">
        <v>6538</v>
      </c>
      <c r="AM83" s="420" t="s">
        <v>5552</v>
      </c>
      <c r="AN83" s="421">
        <v>30</v>
      </c>
    </row>
    <row r="84" spans="1:40" x14ac:dyDescent="0.35">
      <c r="A84" t="s">
        <v>14509</v>
      </c>
      <c r="B84" t="s">
        <v>13051</v>
      </c>
      <c r="C84">
        <v>62</v>
      </c>
      <c r="D84">
        <v>0</v>
      </c>
      <c r="E84">
        <v>0</v>
      </c>
      <c r="F84">
        <v>62</v>
      </c>
      <c r="G84">
        <v>0</v>
      </c>
      <c r="I84" t="s">
        <v>14509</v>
      </c>
      <c r="J84" t="s">
        <v>13051</v>
      </c>
      <c r="K84">
        <v>12</v>
      </c>
      <c r="U84" t="s">
        <v>10728</v>
      </c>
      <c r="V84">
        <v>27</v>
      </c>
      <c r="AE84" t="s">
        <v>11314</v>
      </c>
      <c r="AF84" t="s">
        <v>11188</v>
      </c>
      <c r="AI84" t="s">
        <v>1477</v>
      </c>
      <c r="AJ84" t="s">
        <v>8162</v>
      </c>
      <c r="AM84" s="420" t="s">
        <v>10728</v>
      </c>
      <c r="AN84" s="421">
        <v>26</v>
      </c>
    </row>
    <row r="85" spans="1:40" x14ac:dyDescent="0.35">
      <c r="A85" t="s">
        <v>14510</v>
      </c>
      <c r="B85" t="s">
        <v>13830</v>
      </c>
      <c r="C85">
        <v>8</v>
      </c>
      <c r="D85">
        <v>8</v>
      </c>
      <c r="E85">
        <v>0</v>
      </c>
      <c r="F85">
        <v>0</v>
      </c>
      <c r="G85">
        <v>0</v>
      </c>
      <c r="I85" t="s">
        <v>14510</v>
      </c>
      <c r="J85" t="s">
        <v>13830</v>
      </c>
      <c r="K85">
        <v>1</v>
      </c>
      <c r="U85" t="s">
        <v>11524</v>
      </c>
      <c r="V85">
        <v>65</v>
      </c>
      <c r="AE85" t="s">
        <v>11356</v>
      </c>
      <c r="AF85" t="s">
        <v>11188</v>
      </c>
      <c r="AI85" t="s">
        <v>1644</v>
      </c>
      <c r="AJ85" t="s">
        <v>2095</v>
      </c>
      <c r="AM85" s="420" t="s">
        <v>11524</v>
      </c>
      <c r="AN85" s="421">
        <v>64</v>
      </c>
    </row>
    <row r="86" spans="1:40" x14ac:dyDescent="0.35">
      <c r="A86" t="s">
        <v>14511</v>
      </c>
      <c r="B86" t="s">
        <v>13315</v>
      </c>
      <c r="C86">
        <v>31</v>
      </c>
      <c r="D86">
        <v>0</v>
      </c>
      <c r="E86">
        <v>31</v>
      </c>
      <c r="F86">
        <v>0</v>
      </c>
      <c r="G86">
        <v>0</v>
      </c>
      <c r="I86" t="s">
        <v>14511</v>
      </c>
      <c r="J86" t="s">
        <v>13315</v>
      </c>
      <c r="K86">
        <v>3</v>
      </c>
      <c r="U86" t="s">
        <v>2966</v>
      </c>
      <c r="V86">
        <v>32</v>
      </c>
      <c r="AE86" t="s">
        <v>11398</v>
      </c>
      <c r="AF86" t="s">
        <v>11188</v>
      </c>
      <c r="AI86" t="s">
        <v>688</v>
      </c>
      <c r="AJ86" t="s">
        <v>687</v>
      </c>
      <c r="AM86" s="420" t="s">
        <v>2966</v>
      </c>
      <c r="AN86" s="421">
        <v>32</v>
      </c>
    </row>
    <row r="87" spans="1:40" x14ac:dyDescent="0.35">
      <c r="A87" t="s">
        <v>14512</v>
      </c>
      <c r="B87" t="s">
        <v>13151</v>
      </c>
      <c r="C87">
        <v>92</v>
      </c>
      <c r="D87">
        <v>92</v>
      </c>
      <c r="E87">
        <v>0</v>
      </c>
      <c r="F87">
        <v>0</v>
      </c>
      <c r="G87">
        <v>0</v>
      </c>
      <c r="I87" t="s">
        <v>14512</v>
      </c>
      <c r="J87" t="s">
        <v>13151</v>
      </c>
      <c r="K87">
        <v>3</v>
      </c>
      <c r="U87" t="s">
        <v>3462</v>
      </c>
      <c r="V87">
        <v>36</v>
      </c>
      <c r="AE87" t="s">
        <v>11440</v>
      </c>
      <c r="AF87" t="s">
        <v>11188</v>
      </c>
      <c r="AI87" t="s">
        <v>688</v>
      </c>
      <c r="AJ87" t="s">
        <v>11020</v>
      </c>
      <c r="AM87" s="420" t="s">
        <v>3462</v>
      </c>
      <c r="AN87" s="421">
        <v>35</v>
      </c>
    </row>
    <row r="88" spans="1:40" x14ac:dyDescent="0.35">
      <c r="A88" t="s">
        <v>14513</v>
      </c>
      <c r="B88" t="s">
        <v>13059</v>
      </c>
      <c r="C88">
        <v>107</v>
      </c>
      <c r="D88">
        <v>0</v>
      </c>
      <c r="E88">
        <v>0</v>
      </c>
      <c r="F88">
        <v>107</v>
      </c>
      <c r="G88">
        <v>0</v>
      </c>
      <c r="I88" t="s">
        <v>14513</v>
      </c>
      <c r="J88" t="s">
        <v>13059</v>
      </c>
      <c r="K88">
        <v>2</v>
      </c>
      <c r="U88" t="s">
        <v>4782</v>
      </c>
      <c r="V88">
        <v>29</v>
      </c>
      <c r="AE88" t="s">
        <v>11187</v>
      </c>
      <c r="AF88" t="s">
        <v>11188</v>
      </c>
      <c r="AI88" t="s">
        <v>520</v>
      </c>
      <c r="AJ88" t="s">
        <v>6078</v>
      </c>
      <c r="AM88" s="420" t="s">
        <v>4782</v>
      </c>
      <c r="AN88" s="421">
        <v>29</v>
      </c>
    </row>
    <row r="89" spans="1:40" x14ac:dyDescent="0.35">
      <c r="A89" t="s">
        <v>14514</v>
      </c>
      <c r="B89" t="s">
        <v>14185</v>
      </c>
      <c r="C89">
        <v>5</v>
      </c>
      <c r="D89">
        <v>5</v>
      </c>
      <c r="E89">
        <v>0</v>
      </c>
      <c r="F89">
        <v>0</v>
      </c>
      <c r="G89">
        <v>0</v>
      </c>
      <c r="I89" t="s">
        <v>14514</v>
      </c>
      <c r="J89" t="s">
        <v>14185</v>
      </c>
      <c r="K89">
        <v>1</v>
      </c>
      <c r="U89" t="s">
        <v>9519</v>
      </c>
      <c r="V89">
        <v>33</v>
      </c>
      <c r="AE89" t="s">
        <v>11482</v>
      </c>
      <c r="AF89" t="s">
        <v>11188</v>
      </c>
      <c r="AI89" t="s">
        <v>688</v>
      </c>
      <c r="AJ89" t="s">
        <v>11062</v>
      </c>
      <c r="AM89" s="420" t="s">
        <v>9519</v>
      </c>
      <c r="AN89" s="421">
        <v>32</v>
      </c>
    </row>
    <row r="90" spans="1:40" x14ac:dyDescent="0.35">
      <c r="A90" t="s">
        <v>14515</v>
      </c>
      <c r="B90" t="s">
        <v>13507</v>
      </c>
      <c r="C90">
        <v>225</v>
      </c>
      <c r="D90">
        <v>225</v>
      </c>
      <c r="E90">
        <v>0</v>
      </c>
      <c r="F90">
        <v>0</v>
      </c>
      <c r="G90">
        <v>0</v>
      </c>
      <c r="I90" t="s">
        <v>14515</v>
      </c>
      <c r="J90" t="s">
        <v>13507</v>
      </c>
      <c r="K90">
        <v>5</v>
      </c>
      <c r="U90" t="s">
        <v>6748</v>
      </c>
      <c r="V90">
        <v>27</v>
      </c>
      <c r="AE90" t="s">
        <v>11524</v>
      </c>
      <c r="AF90" t="s">
        <v>11188</v>
      </c>
      <c r="AI90" t="s">
        <v>898</v>
      </c>
      <c r="AJ90" t="s">
        <v>940</v>
      </c>
      <c r="AM90" s="420" t="s">
        <v>6748</v>
      </c>
      <c r="AN90" s="421">
        <v>26</v>
      </c>
    </row>
    <row r="91" spans="1:40" x14ac:dyDescent="0.35">
      <c r="A91" t="s">
        <v>14516</v>
      </c>
      <c r="B91" t="s">
        <v>14215</v>
      </c>
      <c r="C91">
        <v>321</v>
      </c>
      <c r="D91">
        <v>0</v>
      </c>
      <c r="E91">
        <v>0</v>
      </c>
      <c r="F91">
        <v>321</v>
      </c>
      <c r="G91">
        <v>0</v>
      </c>
      <c r="I91" t="s">
        <v>14516</v>
      </c>
      <c r="J91" t="s">
        <v>14215</v>
      </c>
      <c r="K91">
        <v>1</v>
      </c>
      <c r="U91" t="s">
        <v>730</v>
      </c>
      <c r="V91">
        <v>43</v>
      </c>
      <c r="AE91" t="s">
        <v>11566</v>
      </c>
      <c r="AF91" t="s">
        <v>11188</v>
      </c>
      <c r="AI91" t="s">
        <v>1644</v>
      </c>
      <c r="AJ91" t="s">
        <v>3879</v>
      </c>
      <c r="AM91" s="420" t="s">
        <v>730</v>
      </c>
      <c r="AN91" s="421">
        <v>42</v>
      </c>
    </row>
    <row r="92" spans="1:40" x14ac:dyDescent="0.35">
      <c r="A92" t="s">
        <v>14517</v>
      </c>
      <c r="B92" t="s">
        <v>13752</v>
      </c>
      <c r="C92">
        <v>1068</v>
      </c>
      <c r="D92">
        <v>691</v>
      </c>
      <c r="E92">
        <v>0</v>
      </c>
      <c r="F92">
        <v>0</v>
      </c>
      <c r="G92">
        <v>377</v>
      </c>
      <c r="I92" t="s">
        <v>14517</v>
      </c>
      <c r="J92" t="s">
        <v>13752</v>
      </c>
      <c r="K92">
        <v>6</v>
      </c>
      <c r="U92" t="s">
        <v>7837</v>
      </c>
      <c r="V92">
        <v>23</v>
      </c>
      <c r="AE92" t="s">
        <v>11608</v>
      </c>
      <c r="AF92" t="s">
        <v>11188</v>
      </c>
      <c r="AI92" t="s">
        <v>1059</v>
      </c>
      <c r="AJ92" t="s">
        <v>7871</v>
      </c>
      <c r="AM92" s="420" t="s">
        <v>7837</v>
      </c>
      <c r="AN92" s="421">
        <v>23</v>
      </c>
    </row>
    <row r="93" spans="1:40" x14ac:dyDescent="0.35">
      <c r="A93" t="s">
        <v>14518</v>
      </c>
      <c r="B93" t="s">
        <v>13554</v>
      </c>
      <c r="C93">
        <v>303</v>
      </c>
      <c r="D93">
        <v>303</v>
      </c>
      <c r="E93">
        <v>0</v>
      </c>
      <c r="F93">
        <v>0</v>
      </c>
      <c r="G93">
        <v>0</v>
      </c>
      <c r="I93" t="s">
        <v>14518</v>
      </c>
      <c r="J93" t="s">
        <v>13554</v>
      </c>
      <c r="K93">
        <v>8</v>
      </c>
      <c r="U93" t="s">
        <v>9602</v>
      </c>
      <c r="V93">
        <v>34</v>
      </c>
      <c r="AE93" t="s">
        <v>11650</v>
      </c>
      <c r="AF93" t="s">
        <v>11188</v>
      </c>
      <c r="AI93" t="s">
        <v>520</v>
      </c>
      <c r="AJ93" t="s">
        <v>10143</v>
      </c>
      <c r="AM93" s="420" t="s">
        <v>9602</v>
      </c>
      <c r="AN93" s="421">
        <v>33</v>
      </c>
    </row>
    <row r="94" spans="1:40" x14ac:dyDescent="0.35">
      <c r="A94" t="s">
        <v>14519</v>
      </c>
      <c r="B94" t="s">
        <v>13037</v>
      </c>
      <c r="C94">
        <v>1115</v>
      </c>
      <c r="D94">
        <v>0</v>
      </c>
      <c r="E94">
        <v>0</v>
      </c>
      <c r="F94">
        <v>1115</v>
      </c>
      <c r="G94">
        <v>0</v>
      </c>
      <c r="I94" t="s">
        <v>14519</v>
      </c>
      <c r="J94" t="s">
        <v>13037</v>
      </c>
      <c r="K94">
        <v>93</v>
      </c>
      <c r="U94" t="s">
        <v>3795</v>
      </c>
      <c r="V94">
        <v>27</v>
      </c>
      <c r="AE94" t="s">
        <v>11692</v>
      </c>
      <c r="AF94" t="s">
        <v>11188</v>
      </c>
      <c r="AI94" t="s">
        <v>11188</v>
      </c>
      <c r="AJ94" t="s">
        <v>11230</v>
      </c>
      <c r="AM94" s="420" t="s">
        <v>3795</v>
      </c>
      <c r="AN94" s="421">
        <v>26</v>
      </c>
    </row>
    <row r="95" spans="1:40" x14ac:dyDescent="0.35">
      <c r="A95" t="s">
        <v>14520</v>
      </c>
      <c r="B95" t="s">
        <v>13491</v>
      </c>
      <c r="C95">
        <v>87</v>
      </c>
      <c r="D95">
        <v>0</v>
      </c>
      <c r="E95">
        <v>0</v>
      </c>
      <c r="F95">
        <v>87</v>
      </c>
      <c r="G95">
        <v>0</v>
      </c>
      <c r="I95" t="s">
        <v>14520</v>
      </c>
      <c r="J95" t="s">
        <v>13491</v>
      </c>
      <c r="K95">
        <v>4</v>
      </c>
      <c r="U95" t="s">
        <v>4824</v>
      </c>
      <c r="V95">
        <v>30</v>
      </c>
      <c r="AE95" t="s">
        <v>11734</v>
      </c>
      <c r="AF95" t="s">
        <v>11188</v>
      </c>
      <c r="AI95" t="s">
        <v>11188</v>
      </c>
      <c r="AJ95" t="s">
        <v>11272</v>
      </c>
      <c r="AM95" s="420" t="s">
        <v>4824</v>
      </c>
      <c r="AN95" s="421">
        <v>29</v>
      </c>
    </row>
    <row r="96" spans="1:40" x14ac:dyDescent="0.35">
      <c r="A96" t="s">
        <v>14521</v>
      </c>
      <c r="B96" t="s">
        <v>13159</v>
      </c>
      <c r="C96">
        <v>327</v>
      </c>
      <c r="D96">
        <v>0</v>
      </c>
      <c r="E96">
        <v>0</v>
      </c>
      <c r="F96">
        <v>327</v>
      </c>
      <c r="G96">
        <v>0</v>
      </c>
      <c r="I96" t="s">
        <v>14521</v>
      </c>
      <c r="J96" t="s">
        <v>13159</v>
      </c>
      <c r="K96">
        <v>25</v>
      </c>
      <c r="U96" t="s">
        <v>8246</v>
      </c>
      <c r="V96">
        <v>24</v>
      </c>
      <c r="AE96" t="s">
        <v>11776</v>
      </c>
      <c r="AF96" t="s">
        <v>11188</v>
      </c>
      <c r="AI96" t="s">
        <v>11188</v>
      </c>
      <c r="AJ96" t="s">
        <v>11314</v>
      </c>
      <c r="AM96" s="420" t="s">
        <v>8246</v>
      </c>
      <c r="AN96" s="421">
        <v>23</v>
      </c>
    </row>
    <row r="97" spans="1:40" x14ac:dyDescent="0.35">
      <c r="A97" t="s">
        <v>14522</v>
      </c>
      <c r="B97" t="s">
        <v>13107</v>
      </c>
      <c r="C97">
        <v>466</v>
      </c>
      <c r="D97">
        <v>63</v>
      </c>
      <c r="E97">
        <v>0</v>
      </c>
      <c r="F97">
        <v>403</v>
      </c>
      <c r="G97">
        <v>0</v>
      </c>
      <c r="I97" t="s">
        <v>14522</v>
      </c>
      <c r="J97" t="s">
        <v>13107</v>
      </c>
      <c r="K97">
        <v>12</v>
      </c>
      <c r="U97" t="s">
        <v>11566</v>
      </c>
      <c r="V97">
        <v>51</v>
      </c>
      <c r="AE97" t="s">
        <v>11818</v>
      </c>
      <c r="AF97" t="s">
        <v>11188</v>
      </c>
      <c r="AI97" t="s">
        <v>11188</v>
      </c>
      <c r="AJ97" t="s">
        <v>11356</v>
      </c>
      <c r="AM97" s="420" t="s">
        <v>11566</v>
      </c>
      <c r="AN97" s="421">
        <v>50</v>
      </c>
    </row>
    <row r="98" spans="1:40" x14ac:dyDescent="0.35">
      <c r="A98" t="s">
        <v>14523</v>
      </c>
      <c r="B98" t="s">
        <v>13171</v>
      </c>
      <c r="C98">
        <v>310</v>
      </c>
      <c r="D98">
        <v>217</v>
      </c>
      <c r="E98">
        <v>0</v>
      </c>
      <c r="F98">
        <v>93</v>
      </c>
      <c r="G98">
        <v>0</v>
      </c>
      <c r="I98" t="s">
        <v>14523</v>
      </c>
      <c r="J98" t="s">
        <v>13171</v>
      </c>
      <c r="K98">
        <v>11</v>
      </c>
      <c r="U98" t="s">
        <v>4256</v>
      </c>
      <c r="V98">
        <v>24</v>
      </c>
      <c r="AE98" t="s">
        <v>11860</v>
      </c>
      <c r="AF98" t="s">
        <v>11188</v>
      </c>
      <c r="AI98" t="s">
        <v>11188</v>
      </c>
      <c r="AJ98" t="s">
        <v>11398</v>
      </c>
      <c r="AM98" s="420" t="s">
        <v>4256</v>
      </c>
      <c r="AN98" s="421">
        <v>23</v>
      </c>
    </row>
    <row r="99" spans="1:40" x14ac:dyDescent="0.35">
      <c r="A99" t="s">
        <v>14524</v>
      </c>
      <c r="B99" t="s">
        <v>13998</v>
      </c>
      <c r="C99">
        <v>7</v>
      </c>
      <c r="D99">
        <v>7</v>
      </c>
      <c r="E99">
        <v>0</v>
      </c>
      <c r="F99">
        <v>0</v>
      </c>
      <c r="G99">
        <v>0</v>
      </c>
      <c r="I99" t="s">
        <v>14524</v>
      </c>
      <c r="J99" t="s">
        <v>13998</v>
      </c>
      <c r="K99">
        <v>1</v>
      </c>
      <c r="U99" t="s">
        <v>8288</v>
      </c>
      <c r="V99">
        <v>26</v>
      </c>
      <c r="AE99" t="s">
        <v>11902</v>
      </c>
      <c r="AF99" t="s">
        <v>11188</v>
      </c>
      <c r="AI99" t="s">
        <v>11188</v>
      </c>
      <c r="AJ99" t="s">
        <v>11440</v>
      </c>
      <c r="AM99" s="420" t="s">
        <v>8288</v>
      </c>
      <c r="AN99" s="421">
        <v>26</v>
      </c>
    </row>
    <row r="100" spans="1:40" x14ac:dyDescent="0.35">
      <c r="A100" t="s">
        <v>14525</v>
      </c>
      <c r="B100" t="s">
        <v>13160</v>
      </c>
      <c r="C100">
        <v>1064</v>
      </c>
      <c r="D100">
        <v>0</v>
      </c>
      <c r="E100">
        <v>0</v>
      </c>
      <c r="F100">
        <v>1064</v>
      </c>
      <c r="G100">
        <v>0</v>
      </c>
      <c r="I100" t="s">
        <v>14525</v>
      </c>
      <c r="J100" t="s">
        <v>13160</v>
      </c>
      <c r="K100">
        <v>56</v>
      </c>
      <c r="U100" t="s">
        <v>3294</v>
      </c>
      <c r="V100">
        <v>21</v>
      </c>
      <c r="AE100" t="s">
        <v>11944</v>
      </c>
      <c r="AF100" t="s">
        <v>11188</v>
      </c>
      <c r="AI100" t="s">
        <v>11188</v>
      </c>
      <c r="AJ100" t="s">
        <v>11482</v>
      </c>
      <c r="AM100" s="420" t="s">
        <v>3294</v>
      </c>
      <c r="AN100" s="421">
        <v>21</v>
      </c>
    </row>
    <row r="101" spans="1:40" x14ac:dyDescent="0.35">
      <c r="A101" t="s">
        <v>14526</v>
      </c>
      <c r="B101" t="s">
        <v>13825</v>
      </c>
      <c r="C101">
        <v>55</v>
      </c>
      <c r="D101">
        <v>9</v>
      </c>
      <c r="E101">
        <v>0</v>
      </c>
      <c r="F101">
        <v>46</v>
      </c>
      <c r="G101">
        <v>0</v>
      </c>
      <c r="I101" t="s">
        <v>14526</v>
      </c>
      <c r="J101" t="s">
        <v>13825</v>
      </c>
      <c r="K101">
        <v>1</v>
      </c>
      <c r="U101" t="s">
        <v>3504</v>
      </c>
      <c r="V101">
        <v>29</v>
      </c>
      <c r="AE101" t="s">
        <v>11986</v>
      </c>
      <c r="AF101" t="s">
        <v>11188</v>
      </c>
      <c r="AI101" t="s">
        <v>11188</v>
      </c>
      <c r="AJ101" t="s">
        <v>11524</v>
      </c>
      <c r="AM101" s="420" t="s">
        <v>3504</v>
      </c>
      <c r="AN101" s="421">
        <v>28</v>
      </c>
    </row>
    <row r="102" spans="1:40" x14ac:dyDescent="0.35">
      <c r="A102" t="s">
        <v>14527</v>
      </c>
      <c r="B102" t="s">
        <v>13596</v>
      </c>
      <c r="C102">
        <v>127</v>
      </c>
      <c r="D102">
        <v>57</v>
      </c>
      <c r="E102">
        <v>0</v>
      </c>
      <c r="F102">
        <v>70</v>
      </c>
      <c r="G102">
        <v>0</v>
      </c>
      <c r="I102" t="s">
        <v>14527</v>
      </c>
      <c r="J102" t="s">
        <v>13596</v>
      </c>
      <c r="K102">
        <v>5</v>
      </c>
      <c r="U102" t="s">
        <v>4866</v>
      </c>
      <c r="V102">
        <v>31</v>
      </c>
      <c r="AE102" t="s">
        <v>12028</v>
      </c>
      <c r="AF102" t="s">
        <v>11188</v>
      </c>
      <c r="AI102" t="s">
        <v>11188</v>
      </c>
      <c r="AJ102" t="s">
        <v>11566</v>
      </c>
      <c r="AM102" s="420" t="s">
        <v>4866</v>
      </c>
      <c r="AN102" s="421">
        <v>30</v>
      </c>
    </row>
    <row r="103" spans="1:40" x14ac:dyDescent="0.35">
      <c r="A103" t="s">
        <v>14528</v>
      </c>
      <c r="B103" t="s">
        <v>13098</v>
      </c>
      <c r="C103">
        <v>344</v>
      </c>
      <c r="D103">
        <v>315</v>
      </c>
      <c r="E103">
        <v>13</v>
      </c>
      <c r="F103">
        <v>16</v>
      </c>
      <c r="G103">
        <v>0</v>
      </c>
      <c r="I103" t="s">
        <v>14528</v>
      </c>
      <c r="J103" t="s">
        <v>13098</v>
      </c>
      <c r="K103">
        <v>21</v>
      </c>
      <c r="U103" t="s">
        <v>3000</v>
      </c>
      <c r="V103">
        <v>31</v>
      </c>
      <c r="AE103" t="s">
        <v>12072</v>
      </c>
      <c r="AF103" t="s">
        <v>11188</v>
      </c>
      <c r="AI103" t="s">
        <v>11188</v>
      </c>
      <c r="AJ103" t="s">
        <v>11650</v>
      </c>
      <c r="AM103" s="420" t="s">
        <v>3000</v>
      </c>
      <c r="AN103" s="421">
        <v>31</v>
      </c>
    </row>
    <row r="104" spans="1:40" x14ac:dyDescent="0.35">
      <c r="A104" t="s">
        <v>14529</v>
      </c>
      <c r="B104" t="s">
        <v>13147</v>
      </c>
      <c r="C104">
        <v>142</v>
      </c>
      <c r="D104">
        <v>142</v>
      </c>
      <c r="E104">
        <v>0</v>
      </c>
      <c r="F104">
        <v>0</v>
      </c>
      <c r="G104">
        <v>0</v>
      </c>
      <c r="I104" t="s">
        <v>14529</v>
      </c>
      <c r="J104" t="s">
        <v>13147</v>
      </c>
      <c r="K104">
        <v>16</v>
      </c>
      <c r="U104" t="s">
        <v>5720</v>
      </c>
      <c r="V104">
        <v>34</v>
      </c>
      <c r="AE104" t="s">
        <v>12114</v>
      </c>
      <c r="AF104" t="s">
        <v>11188</v>
      </c>
      <c r="AI104" t="s">
        <v>11188</v>
      </c>
      <c r="AJ104" t="s">
        <v>11692</v>
      </c>
      <c r="AM104" s="420" t="s">
        <v>5720</v>
      </c>
      <c r="AN104" s="421">
        <v>33</v>
      </c>
    </row>
    <row r="105" spans="1:40" x14ac:dyDescent="0.35">
      <c r="A105" t="s">
        <v>14530</v>
      </c>
      <c r="B105" t="s">
        <v>13341</v>
      </c>
      <c r="C105">
        <v>536</v>
      </c>
      <c r="D105">
        <v>521</v>
      </c>
      <c r="E105">
        <v>0</v>
      </c>
      <c r="F105">
        <v>15</v>
      </c>
      <c r="G105">
        <v>0</v>
      </c>
      <c r="I105" t="s">
        <v>14530</v>
      </c>
      <c r="J105" t="s">
        <v>13341</v>
      </c>
      <c r="K105">
        <v>5</v>
      </c>
      <c r="U105" t="s">
        <v>4574</v>
      </c>
      <c r="V105">
        <v>28</v>
      </c>
      <c r="AE105" t="s">
        <v>12156</v>
      </c>
      <c r="AF105" t="s">
        <v>11188</v>
      </c>
      <c r="AI105" t="s">
        <v>11188</v>
      </c>
      <c r="AJ105" t="s">
        <v>11776</v>
      </c>
      <c r="AM105" s="420" t="s">
        <v>4574</v>
      </c>
      <c r="AN105" s="421">
        <v>28</v>
      </c>
    </row>
    <row r="106" spans="1:40" x14ac:dyDescent="0.35">
      <c r="A106" t="s">
        <v>14531</v>
      </c>
      <c r="B106" t="s">
        <v>13975</v>
      </c>
      <c r="C106">
        <v>77</v>
      </c>
      <c r="D106">
        <v>0</v>
      </c>
      <c r="E106">
        <v>0</v>
      </c>
      <c r="F106">
        <v>77</v>
      </c>
      <c r="G106">
        <v>0</v>
      </c>
      <c r="I106" t="s">
        <v>14531</v>
      </c>
      <c r="J106" t="s">
        <v>13975</v>
      </c>
      <c r="K106">
        <v>1</v>
      </c>
      <c r="U106" t="s">
        <v>6002</v>
      </c>
      <c r="V106">
        <v>28</v>
      </c>
      <c r="AE106" t="s">
        <v>12198</v>
      </c>
      <c r="AF106" t="s">
        <v>11188</v>
      </c>
      <c r="AI106" t="s">
        <v>11188</v>
      </c>
      <c r="AJ106" t="s">
        <v>11818</v>
      </c>
      <c r="AM106" s="420" t="s">
        <v>6002</v>
      </c>
      <c r="AN106" s="421">
        <v>28</v>
      </c>
    </row>
    <row r="107" spans="1:40" x14ac:dyDescent="0.35">
      <c r="A107" t="s">
        <v>14532</v>
      </c>
      <c r="B107" t="s">
        <v>13032</v>
      </c>
      <c r="C107">
        <v>403</v>
      </c>
      <c r="D107">
        <v>16</v>
      </c>
      <c r="E107">
        <v>0</v>
      </c>
      <c r="F107">
        <v>387</v>
      </c>
      <c r="G107">
        <v>0</v>
      </c>
      <c r="I107" t="s">
        <v>14532</v>
      </c>
      <c r="J107" t="s">
        <v>13032</v>
      </c>
      <c r="K107">
        <v>28</v>
      </c>
      <c r="U107" t="s">
        <v>11145</v>
      </c>
      <c r="V107">
        <v>24</v>
      </c>
      <c r="AE107" t="s">
        <v>12240</v>
      </c>
      <c r="AF107" t="s">
        <v>11188</v>
      </c>
      <c r="AI107" t="s">
        <v>11188</v>
      </c>
      <c r="AJ107" t="s">
        <v>11860</v>
      </c>
      <c r="AM107" s="420" t="s">
        <v>11145</v>
      </c>
      <c r="AN107" s="421">
        <v>23</v>
      </c>
    </row>
    <row r="108" spans="1:40" x14ac:dyDescent="0.35">
      <c r="A108" t="s">
        <v>14533</v>
      </c>
      <c r="B108" t="s">
        <v>13735</v>
      </c>
      <c r="C108">
        <v>37</v>
      </c>
      <c r="D108">
        <v>37</v>
      </c>
      <c r="E108">
        <v>0</v>
      </c>
      <c r="F108">
        <v>0</v>
      </c>
      <c r="G108">
        <v>0</v>
      </c>
      <c r="I108" t="s">
        <v>14533</v>
      </c>
      <c r="J108" t="s">
        <v>13735</v>
      </c>
      <c r="K108">
        <v>5</v>
      </c>
      <c r="U108" t="s">
        <v>7419</v>
      </c>
      <c r="V108">
        <v>28</v>
      </c>
      <c r="AE108" t="s">
        <v>12282</v>
      </c>
      <c r="AF108" t="s">
        <v>11188</v>
      </c>
      <c r="AI108" t="s">
        <v>11188</v>
      </c>
      <c r="AJ108" t="s">
        <v>11902</v>
      </c>
      <c r="AM108" s="420" t="s">
        <v>7419</v>
      </c>
      <c r="AN108" s="421">
        <v>28</v>
      </c>
    </row>
    <row r="109" spans="1:40" x14ac:dyDescent="0.35">
      <c r="A109" t="s">
        <v>14534</v>
      </c>
      <c r="B109" t="s">
        <v>13049</v>
      </c>
      <c r="C109">
        <v>964</v>
      </c>
      <c r="D109">
        <v>0</v>
      </c>
      <c r="E109">
        <v>0</v>
      </c>
      <c r="F109">
        <v>964</v>
      </c>
      <c r="G109">
        <v>0</v>
      </c>
      <c r="I109" t="s">
        <v>14534</v>
      </c>
      <c r="J109" t="s">
        <v>13049</v>
      </c>
      <c r="K109">
        <v>67</v>
      </c>
      <c r="U109" t="s">
        <v>4616</v>
      </c>
      <c r="V109">
        <v>40</v>
      </c>
      <c r="AE109" t="s">
        <v>157</v>
      </c>
      <c r="AF109" t="s">
        <v>11188</v>
      </c>
      <c r="AI109" t="s">
        <v>11188</v>
      </c>
      <c r="AJ109" t="s">
        <v>11944</v>
      </c>
      <c r="AM109" s="420" t="s">
        <v>4616</v>
      </c>
      <c r="AN109" s="421">
        <v>39</v>
      </c>
    </row>
    <row r="110" spans="1:40" x14ac:dyDescent="0.35">
      <c r="A110" t="s">
        <v>14535</v>
      </c>
      <c r="B110" t="s">
        <v>13016</v>
      </c>
      <c r="C110">
        <v>932</v>
      </c>
      <c r="D110">
        <v>0</v>
      </c>
      <c r="E110">
        <v>0</v>
      </c>
      <c r="F110">
        <v>932</v>
      </c>
      <c r="G110">
        <v>0</v>
      </c>
      <c r="I110" t="s">
        <v>14535</v>
      </c>
      <c r="J110" t="s">
        <v>13016</v>
      </c>
      <c r="K110">
        <v>72</v>
      </c>
      <c r="U110" t="s">
        <v>4908</v>
      </c>
      <c r="V110">
        <v>24</v>
      </c>
      <c r="AE110" t="s">
        <v>171</v>
      </c>
      <c r="AF110" t="s">
        <v>11188</v>
      </c>
      <c r="AI110" t="s">
        <v>11188</v>
      </c>
      <c r="AJ110" t="s">
        <v>12072</v>
      </c>
      <c r="AM110" s="420" t="s">
        <v>4908</v>
      </c>
      <c r="AN110" s="421">
        <v>23</v>
      </c>
    </row>
    <row r="111" spans="1:40" x14ac:dyDescent="0.35">
      <c r="A111" t="s">
        <v>14536</v>
      </c>
      <c r="B111" t="s">
        <v>14024</v>
      </c>
      <c r="C111">
        <v>2</v>
      </c>
      <c r="D111">
        <v>2</v>
      </c>
      <c r="E111">
        <v>0</v>
      </c>
      <c r="F111">
        <v>0</v>
      </c>
      <c r="G111">
        <v>0</v>
      </c>
      <c r="I111" t="s">
        <v>14536</v>
      </c>
      <c r="J111" t="s">
        <v>14024</v>
      </c>
      <c r="K111">
        <v>1</v>
      </c>
      <c r="U111" t="s">
        <v>5594</v>
      </c>
      <c r="V111">
        <v>23</v>
      </c>
      <c r="AE111" t="s">
        <v>188</v>
      </c>
      <c r="AF111" t="s">
        <v>11188</v>
      </c>
      <c r="AI111" t="s">
        <v>11188</v>
      </c>
      <c r="AJ111" t="s">
        <v>12114</v>
      </c>
      <c r="AM111" s="420" t="s">
        <v>5594</v>
      </c>
      <c r="AN111" s="421">
        <v>22</v>
      </c>
    </row>
    <row r="112" spans="1:40" x14ac:dyDescent="0.35">
      <c r="A112" t="s">
        <v>14537</v>
      </c>
      <c r="B112" t="s">
        <v>13241</v>
      </c>
      <c r="C112">
        <v>1</v>
      </c>
      <c r="D112">
        <v>1</v>
      </c>
      <c r="E112">
        <v>0</v>
      </c>
      <c r="F112">
        <v>0</v>
      </c>
      <c r="G112">
        <v>0</v>
      </c>
      <c r="I112" t="s">
        <v>14537</v>
      </c>
      <c r="J112" t="s">
        <v>13241</v>
      </c>
      <c r="K112">
        <v>1</v>
      </c>
      <c r="U112" t="s">
        <v>7083</v>
      </c>
      <c r="V112">
        <v>26</v>
      </c>
      <c r="AE112" t="s">
        <v>195</v>
      </c>
      <c r="AF112" t="s">
        <v>11188</v>
      </c>
      <c r="AI112" t="s">
        <v>11188</v>
      </c>
      <c r="AJ112" t="s">
        <v>12156</v>
      </c>
      <c r="AM112" s="420" t="s">
        <v>7083</v>
      </c>
      <c r="AN112" s="421">
        <v>25</v>
      </c>
    </row>
    <row r="113" spans="1:40" x14ac:dyDescent="0.35">
      <c r="A113" t="s">
        <v>14538</v>
      </c>
      <c r="B113" t="s">
        <v>13024</v>
      </c>
      <c r="C113">
        <v>19022</v>
      </c>
      <c r="D113">
        <v>12425</v>
      </c>
      <c r="E113">
        <v>0</v>
      </c>
      <c r="F113">
        <v>4273</v>
      </c>
      <c r="G113">
        <v>2324</v>
      </c>
      <c r="I113" t="s">
        <v>14538</v>
      </c>
      <c r="J113" t="s">
        <v>13024</v>
      </c>
      <c r="K113">
        <v>39</v>
      </c>
      <c r="U113" t="s">
        <v>11608</v>
      </c>
      <c r="V113">
        <v>42</v>
      </c>
      <c r="AE113" t="s">
        <v>196</v>
      </c>
      <c r="AF113" t="s">
        <v>11188</v>
      </c>
      <c r="AI113" t="s">
        <v>11188</v>
      </c>
      <c r="AJ113" t="s">
        <v>12198</v>
      </c>
      <c r="AM113" s="420" t="s">
        <v>11608</v>
      </c>
      <c r="AN113" s="421">
        <v>41</v>
      </c>
    </row>
    <row r="114" spans="1:40" x14ac:dyDescent="0.35">
      <c r="A114" t="s">
        <v>14539</v>
      </c>
      <c r="B114" t="s">
        <v>13150</v>
      </c>
      <c r="C114">
        <v>287</v>
      </c>
      <c r="D114">
        <v>28</v>
      </c>
      <c r="E114">
        <v>0</v>
      </c>
      <c r="F114">
        <v>259</v>
      </c>
      <c r="G114">
        <v>0</v>
      </c>
      <c r="I114" t="s">
        <v>14539</v>
      </c>
      <c r="J114" t="s">
        <v>13150</v>
      </c>
      <c r="K114">
        <v>6</v>
      </c>
      <c r="U114" t="s">
        <v>8330</v>
      </c>
      <c r="V114">
        <v>35</v>
      </c>
      <c r="AE114" t="s">
        <v>210</v>
      </c>
      <c r="AF114" t="s">
        <v>11188</v>
      </c>
      <c r="AI114" t="s">
        <v>11188</v>
      </c>
      <c r="AJ114" t="s">
        <v>12240</v>
      </c>
      <c r="AM114" s="420" t="s">
        <v>8330</v>
      </c>
      <c r="AN114" s="421">
        <v>34</v>
      </c>
    </row>
    <row r="115" spans="1:40" x14ac:dyDescent="0.35">
      <c r="A115" t="s">
        <v>14540</v>
      </c>
      <c r="B115" t="s">
        <v>13685</v>
      </c>
      <c r="C115">
        <v>3</v>
      </c>
      <c r="D115">
        <v>3</v>
      </c>
      <c r="E115">
        <v>0</v>
      </c>
      <c r="F115">
        <v>0</v>
      </c>
      <c r="G115">
        <v>0</v>
      </c>
      <c r="I115" t="s">
        <v>14540</v>
      </c>
      <c r="J115" t="s">
        <v>13685</v>
      </c>
      <c r="K115">
        <v>2</v>
      </c>
      <c r="U115" t="s">
        <v>11650</v>
      </c>
      <c r="V115">
        <v>56</v>
      </c>
      <c r="AE115" t="s">
        <v>2137</v>
      </c>
      <c r="AF115" t="s">
        <v>292</v>
      </c>
      <c r="AI115" t="s">
        <v>11188</v>
      </c>
      <c r="AJ115" t="s">
        <v>14541</v>
      </c>
      <c r="AM115" s="420" t="s">
        <v>11650</v>
      </c>
      <c r="AN115" s="421">
        <v>55</v>
      </c>
    </row>
    <row r="116" spans="1:40" x14ac:dyDescent="0.35">
      <c r="A116" t="s">
        <v>14542</v>
      </c>
      <c r="B116" t="s">
        <v>13251</v>
      </c>
      <c r="C116">
        <v>15</v>
      </c>
      <c r="D116">
        <v>0</v>
      </c>
      <c r="E116">
        <v>15</v>
      </c>
      <c r="F116">
        <v>0</v>
      </c>
      <c r="G116">
        <v>0</v>
      </c>
      <c r="I116" t="s">
        <v>14542</v>
      </c>
      <c r="J116" t="s">
        <v>13251</v>
      </c>
      <c r="K116">
        <v>1</v>
      </c>
      <c r="U116" t="s">
        <v>519</v>
      </c>
      <c r="V116">
        <v>23</v>
      </c>
      <c r="AE116" t="s">
        <v>477</v>
      </c>
      <c r="AF116" t="s">
        <v>292</v>
      </c>
      <c r="AI116" t="s">
        <v>11188</v>
      </c>
      <c r="AJ116" t="s">
        <v>171</v>
      </c>
      <c r="AM116" s="420" t="s">
        <v>519</v>
      </c>
      <c r="AN116" s="421">
        <v>23</v>
      </c>
    </row>
    <row r="117" spans="1:40" x14ac:dyDescent="0.35">
      <c r="A117" t="s">
        <v>14543</v>
      </c>
      <c r="B117" t="s">
        <v>13292</v>
      </c>
      <c r="C117">
        <v>31</v>
      </c>
      <c r="D117">
        <v>4</v>
      </c>
      <c r="E117">
        <v>0</v>
      </c>
      <c r="F117">
        <v>27</v>
      </c>
      <c r="G117">
        <v>0</v>
      </c>
      <c r="I117" t="s">
        <v>14543</v>
      </c>
      <c r="J117" t="s">
        <v>13292</v>
      </c>
      <c r="K117">
        <v>5</v>
      </c>
      <c r="U117" t="s">
        <v>11692</v>
      </c>
      <c r="V117">
        <v>42</v>
      </c>
      <c r="AE117" t="s">
        <v>11145</v>
      </c>
      <c r="AF117" t="s">
        <v>292</v>
      </c>
      <c r="AI117" t="s">
        <v>11188</v>
      </c>
      <c r="AJ117" t="s">
        <v>188</v>
      </c>
      <c r="AM117" s="420" t="s">
        <v>11692</v>
      </c>
      <c r="AN117" s="421">
        <v>41</v>
      </c>
    </row>
    <row r="118" spans="1:40" x14ac:dyDescent="0.35">
      <c r="A118" t="s">
        <v>14544</v>
      </c>
      <c r="B118" t="s">
        <v>13117</v>
      </c>
      <c r="C118">
        <v>42</v>
      </c>
      <c r="D118">
        <v>4</v>
      </c>
      <c r="E118">
        <v>38</v>
      </c>
      <c r="F118">
        <v>0</v>
      </c>
      <c r="G118">
        <v>0</v>
      </c>
      <c r="I118" t="s">
        <v>14544</v>
      </c>
      <c r="J118" t="s">
        <v>13117</v>
      </c>
      <c r="K118">
        <v>4</v>
      </c>
      <c r="U118" t="s">
        <v>6496</v>
      </c>
      <c r="V118">
        <v>23</v>
      </c>
      <c r="AE118" t="s">
        <v>291</v>
      </c>
      <c r="AF118" t="s">
        <v>292</v>
      </c>
      <c r="AI118" t="s">
        <v>11188</v>
      </c>
      <c r="AJ118" t="s">
        <v>195</v>
      </c>
      <c r="AM118" s="420" t="s">
        <v>6496</v>
      </c>
      <c r="AN118" s="421">
        <v>23</v>
      </c>
    </row>
    <row r="119" spans="1:40" x14ac:dyDescent="0.35">
      <c r="A119" t="s">
        <v>14545</v>
      </c>
      <c r="B119" t="s">
        <v>13162</v>
      </c>
      <c r="C119">
        <v>280</v>
      </c>
      <c r="D119">
        <v>0</v>
      </c>
      <c r="E119">
        <v>0</v>
      </c>
      <c r="F119">
        <v>280</v>
      </c>
      <c r="G119">
        <v>0</v>
      </c>
      <c r="I119" t="s">
        <v>14545</v>
      </c>
      <c r="J119" t="s">
        <v>13162</v>
      </c>
      <c r="K119">
        <v>19</v>
      </c>
      <c r="U119" t="s">
        <v>11734</v>
      </c>
      <c r="V119">
        <v>54</v>
      </c>
      <c r="AE119" t="s">
        <v>352</v>
      </c>
      <c r="AF119" t="s">
        <v>292</v>
      </c>
      <c r="AI119" t="s">
        <v>11188</v>
      </c>
      <c r="AJ119" t="s">
        <v>196</v>
      </c>
      <c r="AM119" s="420" t="s">
        <v>11734</v>
      </c>
      <c r="AN119" s="421">
        <v>53</v>
      </c>
    </row>
    <row r="120" spans="1:40" x14ac:dyDescent="0.35">
      <c r="A120" t="s">
        <v>14546</v>
      </c>
      <c r="B120" t="s">
        <v>13244</v>
      </c>
      <c r="C120">
        <v>350</v>
      </c>
      <c r="D120">
        <v>93</v>
      </c>
      <c r="E120">
        <v>0</v>
      </c>
      <c r="F120">
        <v>257</v>
      </c>
      <c r="G120">
        <v>0</v>
      </c>
      <c r="I120" t="s">
        <v>14546</v>
      </c>
      <c r="J120" t="s">
        <v>13244</v>
      </c>
      <c r="K120">
        <v>2</v>
      </c>
      <c r="U120" t="s">
        <v>4298</v>
      </c>
      <c r="V120">
        <v>28</v>
      </c>
      <c r="AE120" t="s">
        <v>10477</v>
      </c>
      <c r="AF120" t="s">
        <v>292</v>
      </c>
      <c r="AI120" t="s">
        <v>1477</v>
      </c>
      <c r="AJ120" t="s">
        <v>1519</v>
      </c>
      <c r="AM120" s="420" t="s">
        <v>4298</v>
      </c>
      <c r="AN120" s="421">
        <v>27</v>
      </c>
    </row>
    <row r="121" spans="1:40" x14ac:dyDescent="0.35">
      <c r="A121" t="s">
        <v>14547</v>
      </c>
      <c r="B121" t="s">
        <v>13099</v>
      </c>
      <c r="C121">
        <v>607</v>
      </c>
      <c r="D121">
        <v>0</v>
      </c>
      <c r="E121">
        <v>0</v>
      </c>
      <c r="F121">
        <v>607</v>
      </c>
      <c r="G121">
        <v>0</v>
      </c>
      <c r="I121" t="s">
        <v>14547</v>
      </c>
      <c r="J121" t="s">
        <v>13099</v>
      </c>
      <c r="K121">
        <v>54</v>
      </c>
      <c r="U121" t="s">
        <v>11776</v>
      </c>
      <c r="V121">
        <v>39</v>
      </c>
      <c r="AE121" t="s">
        <v>10519</v>
      </c>
      <c r="AF121" t="s">
        <v>292</v>
      </c>
      <c r="AI121" t="s">
        <v>1644</v>
      </c>
      <c r="AJ121" t="s">
        <v>5636</v>
      </c>
      <c r="AM121" s="420" t="s">
        <v>11776</v>
      </c>
      <c r="AN121" s="421">
        <v>38</v>
      </c>
    </row>
    <row r="122" spans="1:40" x14ac:dyDescent="0.35">
      <c r="A122" t="s">
        <v>14548</v>
      </c>
      <c r="B122" t="s">
        <v>14042</v>
      </c>
      <c r="C122">
        <v>22</v>
      </c>
      <c r="D122">
        <v>22</v>
      </c>
      <c r="E122">
        <v>0</v>
      </c>
      <c r="F122">
        <v>0</v>
      </c>
      <c r="G122">
        <v>0</v>
      </c>
      <c r="I122" t="s">
        <v>14548</v>
      </c>
      <c r="J122" t="s">
        <v>14042</v>
      </c>
      <c r="K122">
        <v>1</v>
      </c>
      <c r="U122" t="s">
        <v>4950</v>
      </c>
      <c r="V122">
        <v>24</v>
      </c>
      <c r="AE122" t="s">
        <v>2506</v>
      </c>
      <c r="AF122" t="s">
        <v>292</v>
      </c>
      <c r="AI122" t="s">
        <v>1477</v>
      </c>
      <c r="AJ122" t="s">
        <v>4340</v>
      </c>
      <c r="AM122" s="420" t="s">
        <v>4950</v>
      </c>
      <c r="AN122" s="421">
        <v>24</v>
      </c>
    </row>
    <row r="123" spans="1:40" x14ac:dyDescent="0.35">
      <c r="A123" t="s">
        <v>14549</v>
      </c>
      <c r="B123" t="s">
        <v>13120</v>
      </c>
      <c r="C123">
        <v>140</v>
      </c>
      <c r="D123">
        <v>140</v>
      </c>
      <c r="E123">
        <v>0</v>
      </c>
      <c r="F123">
        <v>0</v>
      </c>
      <c r="G123">
        <v>0</v>
      </c>
      <c r="I123" t="s">
        <v>14549</v>
      </c>
      <c r="J123" t="s">
        <v>13120</v>
      </c>
      <c r="K123">
        <v>6</v>
      </c>
      <c r="U123" t="s">
        <v>291</v>
      </c>
      <c r="V123">
        <v>24</v>
      </c>
      <c r="AE123" t="s">
        <v>394</v>
      </c>
      <c r="AF123" t="s">
        <v>292</v>
      </c>
      <c r="AI123" t="s">
        <v>520</v>
      </c>
      <c r="AJ123" t="s">
        <v>9769</v>
      </c>
      <c r="AM123" s="420" t="s">
        <v>291</v>
      </c>
      <c r="AN123" s="421">
        <v>23</v>
      </c>
    </row>
    <row r="124" spans="1:40" x14ac:dyDescent="0.35">
      <c r="A124" t="s">
        <v>14550</v>
      </c>
      <c r="B124" t="s">
        <v>13702</v>
      </c>
      <c r="C124">
        <v>12</v>
      </c>
      <c r="D124">
        <v>12</v>
      </c>
      <c r="E124">
        <v>0</v>
      </c>
      <c r="F124">
        <v>0</v>
      </c>
      <c r="G124">
        <v>0</v>
      </c>
      <c r="I124" t="s">
        <v>14550</v>
      </c>
      <c r="J124" t="s">
        <v>13702</v>
      </c>
      <c r="K124">
        <v>1</v>
      </c>
      <c r="U124" t="s">
        <v>3837</v>
      </c>
      <c r="V124">
        <v>19</v>
      </c>
      <c r="AE124" t="s">
        <v>10561</v>
      </c>
      <c r="AF124" t="s">
        <v>292</v>
      </c>
      <c r="AI124" t="s">
        <v>898</v>
      </c>
      <c r="AJ124" t="s">
        <v>7461</v>
      </c>
      <c r="AM124" s="420" t="s">
        <v>3837</v>
      </c>
      <c r="AN124" s="421">
        <v>18</v>
      </c>
    </row>
    <row r="125" spans="1:40" x14ac:dyDescent="0.35">
      <c r="A125" t="s">
        <v>14551</v>
      </c>
      <c r="B125" t="s">
        <v>13965</v>
      </c>
      <c r="C125">
        <v>2</v>
      </c>
      <c r="D125">
        <v>2</v>
      </c>
      <c r="E125">
        <v>0</v>
      </c>
      <c r="F125">
        <v>0</v>
      </c>
      <c r="G125">
        <v>0</v>
      </c>
      <c r="I125" t="s">
        <v>14551</v>
      </c>
      <c r="J125" t="s">
        <v>13965</v>
      </c>
      <c r="K125">
        <v>2</v>
      </c>
      <c r="U125" t="s">
        <v>4984</v>
      </c>
      <c r="V125">
        <v>35</v>
      </c>
      <c r="AE125" t="s">
        <v>165</v>
      </c>
      <c r="AF125" t="s">
        <v>292</v>
      </c>
      <c r="AI125" t="s">
        <v>1644</v>
      </c>
      <c r="AJ125" t="s">
        <v>1643</v>
      </c>
      <c r="AM125" s="420" t="s">
        <v>4984</v>
      </c>
      <c r="AN125" s="421">
        <v>35</v>
      </c>
    </row>
    <row r="126" spans="1:40" x14ac:dyDescent="0.35">
      <c r="A126" t="s">
        <v>14552</v>
      </c>
      <c r="B126" t="s">
        <v>13515</v>
      </c>
      <c r="C126">
        <v>280</v>
      </c>
      <c r="D126">
        <v>0</v>
      </c>
      <c r="E126">
        <v>0</v>
      </c>
      <c r="F126">
        <v>280</v>
      </c>
      <c r="G126">
        <v>0</v>
      </c>
      <c r="I126" t="s">
        <v>14552</v>
      </c>
      <c r="J126" t="s">
        <v>13515</v>
      </c>
      <c r="K126">
        <v>5</v>
      </c>
      <c r="U126" t="s">
        <v>11818</v>
      </c>
      <c r="V126">
        <v>33</v>
      </c>
      <c r="AE126" t="s">
        <v>169</v>
      </c>
      <c r="AF126" t="s">
        <v>292</v>
      </c>
      <c r="AI126" t="s">
        <v>898</v>
      </c>
      <c r="AJ126" t="s">
        <v>6580</v>
      </c>
      <c r="AM126" s="420" t="s">
        <v>11818</v>
      </c>
      <c r="AN126" s="421">
        <v>32</v>
      </c>
    </row>
    <row r="127" spans="1:40" x14ac:dyDescent="0.35">
      <c r="A127" t="s">
        <v>14553</v>
      </c>
      <c r="B127" t="s">
        <v>13574</v>
      </c>
      <c r="C127">
        <v>281</v>
      </c>
      <c r="D127">
        <v>0</v>
      </c>
      <c r="E127">
        <v>0</v>
      </c>
      <c r="F127">
        <v>281</v>
      </c>
      <c r="G127">
        <v>0</v>
      </c>
      <c r="I127" t="s">
        <v>14553</v>
      </c>
      <c r="J127" t="s">
        <v>13574</v>
      </c>
      <c r="K127">
        <v>8</v>
      </c>
      <c r="U127" t="s">
        <v>1058</v>
      </c>
      <c r="V127">
        <v>30</v>
      </c>
      <c r="AE127" t="s">
        <v>603</v>
      </c>
      <c r="AF127" t="s">
        <v>520</v>
      </c>
      <c r="AI127" t="s">
        <v>1184</v>
      </c>
      <c r="AJ127" t="s">
        <v>3546</v>
      </c>
      <c r="AM127" s="420" t="s">
        <v>1058</v>
      </c>
      <c r="AN127" s="421">
        <v>29</v>
      </c>
    </row>
    <row r="128" spans="1:40" x14ac:dyDescent="0.35">
      <c r="A128" t="s">
        <v>14554</v>
      </c>
      <c r="B128" t="s">
        <v>14055</v>
      </c>
      <c r="C128">
        <v>24</v>
      </c>
      <c r="D128">
        <v>0</v>
      </c>
      <c r="E128">
        <v>0</v>
      </c>
      <c r="F128">
        <v>24</v>
      </c>
      <c r="G128">
        <v>0</v>
      </c>
      <c r="I128" t="s">
        <v>14554</v>
      </c>
      <c r="J128" t="s">
        <v>14055</v>
      </c>
      <c r="K128">
        <v>1</v>
      </c>
      <c r="U128" t="s">
        <v>5268</v>
      </c>
      <c r="V128">
        <v>34</v>
      </c>
      <c r="AE128" t="s">
        <v>645</v>
      </c>
      <c r="AF128" t="s">
        <v>520</v>
      </c>
      <c r="AI128" t="s">
        <v>1477</v>
      </c>
      <c r="AJ128" t="s">
        <v>8204</v>
      </c>
      <c r="AM128" s="420" t="s">
        <v>5268</v>
      </c>
      <c r="AN128" s="421">
        <v>34</v>
      </c>
    </row>
    <row r="129" spans="1:40" x14ac:dyDescent="0.35">
      <c r="A129" t="s">
        <v>14555</v>
      </c>
      <c r="B129" t="s">
        <v>13924</v>
      </c>
      <c r="C129">
        <v>230</v>
      </c>
      <c r="D129">
        <v>0</v>
      </c>
      <c r="E129">
        <v>0</v>
      </c>
      <c r="F129">
        <v>230</v>
      </c>
      <c r="G129">
        <v>0</v>
      </c>
      <c r="I129" t="s">
        <v>14555</v>
      </c>
      <c r="J129" t="s">
        <v>13924</v>
      </c>
      <c r="K129">
        <v>4</v>
      </c>
      <c r="U129" t="s">
        <v>3336</v>
      </c>
      <c r="V129">
        <v>26</v>
      </c>
      <c r="AE129" t="s">
        <v>9685</v>
      </c>
      <c r="AF129" t="s">
        <v>520</v>
      </c>
      <c r="AI129" t="s">
        <v>292</v>
      </c>
      <c r="AJ129" t="s">
        <v>352</v>
      </c>
      <c r="AM129" s="420" t="s">
        <v>3336</v>
      </c>
      <c r="AN129" s="421">
        <v>25</v>
      </c>
    </row>
    <row r="130" spans="1:40" x14ac:dyDescent="0.35">
      <c r="A130" t="s">
        <v>14556</v>
      </c>
      <c r="B130" t="s">
        <v>13910</v>
      </c>
      <c r="C130">
        <v>40</v>
      </c>
      <c r="D130">
        <v>0</v>
      </c>
      <c r="E130">
        <v>0</v>
      </c>
      <c r="F130">
        <v>40</v>
      </c>
      <c r="G130">
        <v>0</v>
      </c>
      <c r="I130" t="s">
        <v>14556</v>
      </c>
      <c r="J130" t="s">
        <v>13910</v>
      </c>
      <c r="K130">
        <v>1</v>
      </c>
      <c r="U130" t="s">
        <v>11860</v>
      </c>
      <c r="V130">
        <v>45</v>
      </c>
      <c r="AE130" t="s">
        <v>5918</v>
      </c>
      <c r="AF130" t="s">
        <v>520</v>
      </c>
      <c r="AI130" t="s">
        <v>1644</v>
      </c>
      <c r="AJ130" t="s">
        <v>1927</v>
      </c>
      <c r="AM130" s="420" t="s">
        <v>11860</v>
      </c>
      <c r="AN130" s="421">
        <v>44</v>
      </c>
    </row>
    <row r="131" spans="1:40" x14ac:dyDescent="0.35">
      <c r="A131" t="s">
        <v>14557</v>
      </c>
      <c r="B131" t="s">
        <v>13478</v>
      </c>
      <c r="C131">
        <v>77</v>
      </c>
      <c r="D131">
        <v>77</v>
      </c>
      <c r="E131">
        <v>0</v>
      </c>
      <c r="F131">
        <v>0</v>
      </c>
      <c r="G131">
        <v>0</v>
      </c>
      <c r="I131" t="s">
        <v>14557</v>
      </c>
      <c r="J131" t="s">
        <v>13478</v>
      </c>
      <c r="K131">
        <v>1</v>
      </c>
      <c r="U131" t="s">
        <v>6538</v>
      </c>
      <c r="V131">
        <v>27</v>
      </c>
      <c r="AE131" t="s">
        <v>9727</v>
      </c>
      <c r="AF131" t="s">
        <v>520</v>
      </c>
      <c r="AI131" t="s">
        <v>1644</v>
      </c>
      <c r="AJ131" t="s">
        <v>8372</v>
      </c>
      <c r="AM131" s="420" t="s">
        <v>6538</v>
      </c>
      <c r="AN131" s="421">
        <v>26</v>
      </c>
    </row>
    <row r="132" spans="1:40" x14ac:dyDescent="0.35">
      <c r="A132" t="s">
        <v>14558</v>
      </c>
      <c r="B132" t="s">
        <v>13310</v>
      </c>
      <c r="C132">
        <v>38</v>
      </c>
      <c r="D132">
        <v>0</v>
      </c>
      <c r="E132">
        <v>0</v>
      </c>
      <c r="F132">
        <v>38</v>
      </c>
      <c r="G132">
        <v>0</v>
      </c>
      <c r="I132" t="s">
        <v>14558</v>
      </c>
      <c r="J132" t="s">
        <v>13310</v>
      </c>
      <c r="K132">
        <v>6</v>
      </c>
      <c r="U132" t="s">
        <v>9071</v>
      </c>
      <c r="V132">
        <v>36</v>
      </c>
      <c r="AE132" t="s">
        <v>2179</v>
      </c>
      <c r="AF132" t="s">
        <v>520</v>
      </c>
      <c r="AI132" t="s">
        <v>1644</v>
      </c>
      <c r="AJ132" t="s">
        <v>5026</v>
      </c>
      <c r="AM132" s="420" t="s">
        <v>9071</v>
      </c>
      <c r="AN132" s="421">
        <v>36</v>
      </c>
    </row>
    <row r="133" spans="1:40" x14ac:dyDescent="0.35">
      <c r="A133" t="s">
        <v>14559</v>
      </c>
      <c r="B133" t="s">
        <v>13821</v>
      </c>
      <c r="C133">
        <v>68</v>
      </c>
      <c r="D133">
        <v>62</v>
      </c>
      <c r="E133">
        <v>0</v>
      </c>
      <c r="F133">
        <v>6</v>
      </c>
      <c r="G133">
        <v>0</v>
      </c>
      <c r="I133" t="s">
        <v>14559</v>
      </c>
      <c r="J133" t="s">
        <v>13821</v>
      </c>
      <c r="K133">
        <v>1</v>
      </c>
      <c r="U133" t="s">
        <v>11902</v>
      </c>
      <c r="V133">
        <v>55</v>
      </c>
      <c r="AE133" t="s">
        <v>2221</v>
      </c>
      <c r="AF133" t="s">
        <v>520</v>
      </c>
      <c r="AI133" t="s">
        <v>898</v>
      </c>
      <c r="AJ133" t="s">
        <v>7503</v>
      </c>
      <c r="AM133" s="420" t="s">
        <v>11902</v>
      </c>
      <c r="AN133" s="421">
        <v>54</v>
      </c>
    </row>
    <row r="134" spans="1:40" x14ac:dyDescent="0.35">
      <c r="A134" t="s">
        <v>14560</v>
      </c>
      <c r="B134" t="s">
        <v>14154</v>
      </c>
      <c r="C134">
        <v>35</v>
      </c>
      <c r="D134">
        <v>0</v>
      </c>
      <c r="E134">
        <v>0</v>
      </c>
      <c r="F134">
        <v>35</v>
      </c>
      <c r="G134">
        <v>0</v>
      </c>
      <c r="I134" t="s">
        <v>14560</v>
      </c>
      <c r="J134" t="s">
        <v>14154</v>
      </c>
      <c r="K134">
        <v>1</v>
      </c>
      <c r="U134" t="s">
        <v>3042</v>
      </c>
      <c r="V134">
        <v>40</v>
      </c>
      <c r="AE134" t="s">
        <v>5960</v>
      </c>
      <c r="AF134" t="s">
        <v>520</v>
      </c>
      <c r="AI134" t="s">
        <v>292</v>
      </c>
      <c r="AJ134" t="s">
        <v>10477</v>
      </c>
      <c r="AM134" s="420" t="s">
        <v>3042</v>
      </c>
      <c r="AN134" s="421">
        <v>40</v>
      </c>
    </row>
    <row r="135" spans="1:40" x14ac:dyDescent="0.35">
      <c r="A135" t="s">
        <v>14561</v>
      </c>
      <c r="B135" t="s">
        <v>13367</v>
      </c>
      <c r="C135">
        <v>5</v>
      </c>
      <c r="D135">
        <v>5</v>
      </c>
      <c r="E135">
        <v>0</v>
      </c>
      <c r="F135">
        <v>0</v>
      </c>
      <c r="G135">
        <v>0</v>
      </c>
      <c r="I135" t="s">
        <v>14561</v>
      </c>
      <c r="J135" t="s">
        <v>13367</v>
      </c>
      <c r="K135">
        <v>1</v>
      </c>
      <c r="U135" t="s">
        <v>6036</v>
      </c>
      <c r="V135">
        <v>28</v>
      </c>
      <c r="AE135" t="s">
        <v>2757</v>
      </c>
      <c r="AF135" t="s">
        <v>520</v>
      </c>
      <c r="AI135" t="s">
        <v>898</v>
      </c>
      <c r="AJ135" t="s">
        <v>3378</v>
      </c>
      <c r="AM135" s="420" t="s">
        <v>6036</v>
      </c>
      <c r="AN135" s="421">
        <v>28</v>
      </c>
    </row>
    <row r="136" spans="1:40" x14ac:dyDescent="0.35">
      <c r="A136" t="s">
        <v>14562</v>
      </c>
      <c r="B136" t="s">
        <v>13027</v>
      </c>
      <c r="C136">
        <v>2948</v>
      </c>
      <c r="D136">
        <v>0</v>
      </c>
      <c r="E136">
        <v>0</v>
      </c>
      <c r="F136">
        <v>2948</v>
      </c>
      <c r="G136">
        <v>0</v>
      </c>
      <c r="I136" t="s">
        <v>14562</v>
      </c>
      <c r="J136" t="s">
        <v>13027</v>
      </c>
      <c r="K136">
        <v>200</v>
      </c>
      <c r="U136" t="s">
        <v>8162</v>
      </c>
      <c r="V136">
        <v>33</v>
      </c>
      <c r="AE136" t="s">
        <v>6002</v>
      </c>
      <c r="AF136" t="s">
        <v>520</v>
      </c>
      <c r="AI136" t="s">
        <v>898</v>
      </c>
      <c r="AJ136" t="s">
        <v>6832</v>
      </c>
      <c r="AM136" s="420" t="s">
        <v>8162</v>
      </c>
      <c r="AN136" s="421">
        <v>32</v>
      </c>
    </row>
    <row r="137" spans="1:40" x14ac:dyDescent="0.35">
      <c r="A137" t="s">
        <v>14563</v>
      </c>
      <c r="B137" t="s">
        <v>13486</v>
      </c>
      <c r="C137">
        <v>13265</v>
      </c>
      <c r="D137">
        <v>11916</v>
      </c>
      <c r="E137">
        <v>0</v>
      </c>
      <c r="F137">
        <v>961</v>
      </c>
      <c r="G137">
        <v>388</v>
      </c>
      <c r="I137" t="s">
        <v>14563</v>
      </c>
      <c r="J137" t="s">
        <v>13486</v>
      </c>
      <c r="K137">
        <v>14</v>
      </c>
      <c r="U137" t="s">
        <v>2095</v>
      </c>
      <c r="V137">
        <v>16</v>
      </c>
      <c r="AE137" t="s">
        <v>519</v>
      </c>
      <c r="AF137" t="s">
        <v>520</v>
      </c>
      <c r="AI137" t="s">
        <v>1477</v>
      </c>
      <c r="AJ137" t="s">
        <v>7167</v>
      </c>
      <c r="AM137" s="420" t="s">
        <v>2095</v>
      </c>
      <c r="AN137" s="421">
        <v>15</v>
      </c>
    </row>
    <row r="138" spans="1:40" x14ac:dyDescent="0.35">
      <c r="A138" t="s">
        <v>14564</v>
      </c>
      <c r="B138" t="s">
        <v>13643</v>
      </c>
      <c r="C138">
        <v>9</v>
      </c>
      <c r="D138">
        <v>9</v>
      </c>
      <c r="E138">
        <v>0</v>
      </c>
      <c r="F138">
        <v>0</v>
      </c>
      <c r="G138">
        <v>0</v>
      </c>
      <c r="I138" t="s">
        <v>14564</v>
      </c>
      <c r="J138" t="s">
        <v>13643</v>
      </c>
      <c r="K138">
        <v>1</v>
      </c>
      <c r="U138" t="s">
        <v>2347</v>
      </c>
      <c r="V138">
        <v>3</v>
      </c>
      <c r="AE138" t="s">
        <v>6036</v>
      </c>
      <c r="AF138" t="s">
        <v>520</v>
      </c>
      <c r="AI138" t="s">
        <v>898</v>
      </c>
      <c r="AJ138" t="s">
        <v>2674</v>
      </c>
      <c r="AM138" s="420" t="s">
        <v>2347</v>
      </c>
      <c r="AN138" s="421">
        <v>2</v>
      </c>
    </row>
    <row r="139" spans="1:40" x14ac:dyDescent="0.35">
      <c r="A139" t="s">
        <v>14565</v>
      </c>
      <c r="B139" t="s">
        <v>13972</v>
      </c>
      <c r="C139">
        <v>11926</v>
      </c>
      <c r="D139">
        <v>11492</v>
      </c>
      <c r="E139">
        <v>0</v>
      </c>
      <c r="F139">
        <v>272</v>
      </c>
      <c r="G139">
        <v>162</v>
      </c>
      <c r="I139" t="s">
        <v>14565</v>
      </c>
      <c r="J139" t="s">
        <v>13972</v>
      </c>
      <c r="K139">
        <v>2</v>
      </c>
      <c r="U139" t="s">
        <v>11944</v>
      </c>
      <c r="V139">
        <v>53</v>
      </c>
      <c r="AE139" t="s">
        <v>10101</v>
      </c>
      <c r="AF139" t="s">
        <v>520</v>
      </c>
      <c r="AI139" t="s">
        <v>1184</v>
      </c>
      <c r="AJ139" t="s">
        <v>1268</v>
      </c>
      <c r="AM139" s="420" t="s">
        <v>11944</v>
      </c>
      <c r="AN139" s="421">
        <v>52</v>
      </c>
    </row>
    <row r="140" spans="1:40" x14ac:dyDescent="0.35">
      <c r="A140" t="s">
        <v>14566</v>
      </c>
      <c r="B140" t="s">
        <v>14169</v>
      </c>
      <c r="C140">
        <v>51</v>
      </c>
      <c r="D140">
        <v>0</v>
      </c>
      <c r="E140">
        <v>0</v>
      </c>
      <c r="F140">
        <v>51</v>
      </c>
      <c r="G140">
        <v>0</v>
      </c>
      <c r="I140" t="s">
        <v>14566</v>
      </c>
      <c r="J140" t="s">
        <v>14169</v>
      </c>
      <c r="K140">
        <v>1</v>
      </c>
      <c r="U140" t="s">
        <v>11986</v>
      </c>
      <c r="V140">
        <v>33</v>
      </c>
      <c r="AE140" t="s">
        <v>6078</v>
      </c>
      <c r="AF140" t="s">
        <v>520</v>
      </c>
      <c r="AI140" t="s">
        <v>292</v>
      </c>
      <c r="AJ140" t="s">
        <v>10519</v>
      </c>
      <c r="AM140" s="420" t="s">
        <v>11986</v>
      </c>
      <c r="AN140" s="421">
        <v>32</v>
      </c>
    </row>
    <row r="141" spans="1:40" x14ac:dyDescent="0.35">
      <c r="A141" t="s">
        <v>14567</v>
      </c>
      <c r="B141" t="s">
        <v>13955</v>
      </c>
      <c r="C141">
        <v>80</v>
      </c>
      <c r="D141">
        <v>0</v>
      </c>
      <c r="E141">
        <v>0</v>
      </c>
      <c r="F141">
        <v>80</v>
      </c>
      <c r="G141">
        <v>0</v>
      </c>
      <c r="I141" t="s">
        <v>14567</v>
      </c>
      <c r="J141" t="s">
        <v>13955</v>
      </c>
      <c r="K141">
        <v>1</v>
      </c>
      <c r="U141" t="s">
        <v>7125</v>
      </c>
      <c r="V141">
        <v>28</v>
      </c>
      <c r="AE141" t="s">
        <v>10143</v>
      </c>
      <c r="AF141" t="s">
        <v>520</v>
      </c>
      <c r="AI141" t="s">
        <v>1059</v>
      </c>
      <c r="AJ141" t="s">
        <v>8695</v>
      </c>
      <c r="AM141" s="420" t="s">
        <v>7125</v>
      </c>
      <c r="AN141" s="421">
        <v>27</v>
      </c>
    </row>
    <row r="142" spans="1:40" x14ac:dyDescent="0.35">
      <c r="A142" t="s">
        <v>14568</v>
      </c>
      <c r="B142" t="s">
        <v>13593</v>
      </c>
      <c r="C142">
        <v>55</v>
      </c>
      <c r="D142">
        <v>0</v>
      </c>
      <c r="E142">
        <v>0</v>
      </c>
      <c r="F142">
        <v>55</v>
      </c>
      <c r="G142">
        <v>0</v>
      </c>
      <c r="I142" t="s">
        <v>14568</v>
      </c>
      <c r="J142" t="s">
        <v>13593</v>
      </c>
      <c r="K142">
        <v>1</v>
      </c>
      <c r="U142" t="s">
        <v>687</v>
      </c>
      <c r="V142">
        <v>35</v>
      </c>
      <c r="AE142" t="s">
        <v>9769</v>
      </c>
      <c r="AF142" t="s">
        <v>520</v>
      </c>
      <c r="AI142" t="s">
        <v>898</v>
      </c>
      <c r="AJ142" t="s">
        <v>6622</v>
      </c>
      <c r="AM142" s="420" t="s">
        <v>687</v>
      </c>
      <c r="AN142" s="421">
        <v>34</v>
      </c>
    </row>
    <row r="143" spans="1:40" x14ac:dyDescent="0.35">
      <c r="A143" t="s">
        <v>14569</v>
      </c>
      <c r="B143" t="s">
        <v>13614</v>
      </c>
      <c r="C143">
        <v>3</v>
      </c>
      <c r="D143">
        <v>3</v>
      </c>
      <c r="E143">
        <v>0</v>
      </c>
      <c r="F143">
        <v>0</v>
      </c>
      <c r="G143">
        <v>0</v>
      </c>
      <c r="I143" t="s">
        <v>14569</v>
      </c>
      <c r="J143" t="s">
        <v>13614</v>
      </c>
      <c r="K143">
        <v>1</v>
      </c>
      <c r="U143" t="s">
        <v>12028</v>
      </c>
      <c r="V143">
        <v>40</v>
      </c>
      <c r="AE143" t="s">
        <v>9811</v>
      </c>
      <c r="AF143" t="s">
        <v>520</v>
      </c>
      <c r="AI143" t="s">
        <v>688</v>
      </c>
      <c r="AJ143" t="s">
        <v>2840</v>
      </c>
      <c r="AM143" s="420" t="s">
        <v>12028</v>
      </c>
      <c r="AN143" s="421">
        <v>39</v>
      </c>
    </row>
    <row r="144" spans="1:40" x14ac:dyDescent="0.35">
      <c r="A144" t="s">
        <v>14570</v>
      </c>
      <c r="B144" t="s">
        <v>13846</v>
      </c>
      <c r="C144">
        <v>105</v>
      </c>
      <c r="D144">
        <v>105</v>
      </c>
      <c r="E144">
        <v>0</v>
      </c>
      <c r="F144">
        <v>0</v>
      </c>
      <c r="G144">
        <v>0</v>
      </c>
      <c r="I144" t="s">
        <v>14570</v>
      </c>
      <c r="J144" t="s">
        <v>13846</v>
      </c>
      <c r="K144">
        <v>2</v>
      </c>
      <c r="U144" t="s">
        <v>11020</v>
      </c>
      <c r="V144">
        <v>44</v>
      </c>
      <c r="AE144" t="s">
        <v>6120</v>
      </c>
      <c r="AF144" t="s">
        <v>520</v>
      </c>
      <c r="AI144" t="s">
        <v>292</v>
      </c>
      <c r="AJ144" t="s">
        <v>2506</v>
      </c>
      <c r="AM144" s="420" t="s">
        <v>11020</v>
      </c>
      <c r="AN144" s="421">
        <v>43</v>
      </c>
    </row>
    <row r="145" spans="1:40" x14ac:dyDescent="0.35">
      <c r="A145" t="s">
        <v>14571</v>
      </c>
      <c r="B145" t="s">
        <v>13864</v>
      </c>
      <c r="C145">
        <v>17</v>
      </c>
      <c r="D145">
        <v>17</v>
      </c>
      <c r="E145">
        <v>0</v>
      </c>
      <c r="F145">
        <v>0</v>
      </c>
      <c r="G145">
        <v>0</v>
      </c>
      <c r="I145" t="s">
        <v>14571</v>
      </c>
      <c r="J145" t="s">
        <v>13864</v>
      </c>
      <c r="K145">
        <v>1</v>
      </c>
      <c r="U145" t="s">
        <v>10101</v>
      </c>
      <c r="V145">
        <v>29</v>
      </c>
      <c r="AE145" t="s">
        <v>6162</v>
      </c>
      <c r="AF145" t="s">
        <v>520</v>
      </c>
      <c r="AI145" t="s">
        <v>1477</v>
      </c>
      <c r="AJ145" t="s">
        <v>7209</v>
      </c>
      <c r="AM145" s="420" t="s">
        <v>10101</v>
      </c>
      <c r="AN145" s="421">
        <v>29</v>
      </c>
    </row>
    <row r="146" spans="1:40" x14ac:dyDescent="0.35">
      <c r="A146" t="s">
        <v>14572</v>
      </c>
      <c r="B146" t="s">
        <v>13030</v>
      </c>
      <c r="C146">
        <v>10587</v>
      </c>
      <c r="D146">
        <v>8015</v>
      </c>
      <c r="E146">
        <v>0</v>
      </c>
      <c r="F146">
        <v>1147</v>
      </c>
      <c r="G146">
        <v>1425</v>
      </c>
      <c r="I146" t="s">
        <v>14572</v>
      </c>
      <c r="J146" t="s">
        <v>13030</v>
      </c>
      <c r="K146">
        <v>32</v>
      </c>
      <c r="U146" t="s">
        <v>12072</v>
      </c>
      <c r="V146">
        <v>79</v>
      </c>
      <c r="AE146" t="s">
        <v>6204</v>
      </c>
      <c r="AF146" t="s">
        <v>520</v>
      </c>
      <c r="AI146" t="s">
        <v>898</v>
      </c>
      <c r="AJ146" t="s">
        <v>1016</v>
      </c>
      <c r="AM146" s="420" t="s">
        <v>12072</v>
      </c>
      <c r="AN146" s="421">
        <v>78</v>
      </c>
    </row>
    <row r="147" spans="1:40" x14ac:dyDescent="0.35">
      <c r="A147" t="s">
        <v>14573</v>
      </c>
      <c r="B147" t="s">
        <v>13235</v>
      </c>
      <c r="C147">
        <v>31854</v>
      </c>
      <c r="D147">
        <v>26039</v>
      </c>
      <c r="E147">
        <v>0</v>
      </c>
      <c r="F147">
        <v>1546</v>
      </c>
      <c r="G147">
        <v>4269</v>
      </c>
      <c r="I147" t="s">
        <v>14573</v>
      </c>
      <c r="J147" t="s">
        <v>13235</v>
      </c>
      <c r="K147">
        <v>38</v>
      </c>
      <c r="U147" t="s">
        <v>6078</v>
      </c>
      <c r="V147">
        <v>37</v>
      </c>
      <c r="AE147" t="s">
        <v>9853</v>
      </c>
      <c r="AF147" t="s">
        <v>520</v>
      </c>
      <c r="AI147" t="s">
        <v>1059</v>
      </c>
      <c r="AJ147" t="s">
        <v>14574</v>
      </c>
      <c r="AM147" s="420" t="s">
        <v>6078</v>
      </c>
      <c r="AN147" s="421">
        <v>36</v>
      </c>
    </row>
    <row r="148" spans="1:40" x14ac:dyDescent="0.35">
      <c r="A148" t="s">
        <v>14575</v>
      </c>
      <c r="B148" t="s">
        <v>13320</v>
      </c>
      <c r="C148">
        <v>559</v>
      </c>
      <c r="D148">
        <v>0</v>
      </c>
      <c r="E148">
        <v>0</v>
      </c>
      <c r="F148">
        <v>559</v>
      </c>
      <c r="G148">
        <v>0</v>
      </c>
      <c r="I148" t="s">
        <v>14575</v>
      </c>
      <c r="J148" t="s">
        <v>13320</v>
      </c>
      <c r="K148">
        <v>4</v>
      </c>
      <c r="U148" t="s">
        <v>11062</v>
      </c>
      <c r="V148">
        <v>67</v>
      </c>
      <c r="AE148" t="s">
        <v>6246</v>
      </c>
      <c r="AF148" t="s">
        <v>520</v>
      </c>
      <c r="AI148" t="s">
        <v>898</v>
      </c>
      <c r="AJ148" t="s">
        <v>6664</v>
      </c>
      <c r="AM148" s="420" t="s">
        <v>11062</v>
      </c>
      <c r="AN148" s="421">
        <v>66</v>
      </c>
    </row>
    <row r="149" spans="1:40" x14ac:dyDescent="0.35">
      <c r="A149" t="s">
        <v>14576</v>
      </c>
      <c r="B149" t="s">
        <v>13420</v>
      </c>
      <c r="C149">
        <v>163</v>
      </c>
      <c r="D149">
        <v>0</v>
      </c>
      <c r="E149">
        <v>0</v>
      </c>
      <c r="F149">
        <v>163</v>
      </c>
      <c r="G149">
        <v>0</v>
      </c>
      <c r="I149" t="s">
        <v>14576</v>
      </c>
      <c r="J149" t="s">
        <v>13420</v>
      </c>
      <c r="K149">
        <v>13</v>
      </c>
      <c r="U149" t="s">
        <v>940</v>
      </c>
      <c r="V149">
        <v>43</v>
      </c>
      <c r="AE149" t="s">
        <v>9895</v>
      </c>
      <c r="AF149" t="s">
        <v>520</v>
      </c>
      <c r="AI149" t="s">
        <v>520</v>
      </c>
      <c r="AJ149" t="s">
        <v>9811</v>
      </c>
      <c r="AM149" s="420" t="s">
        <v>940</v>
      </c>
      <c r="AN149" s="421">
        <v>42</v>
      </c>
    </row>
    <row r="150" spans="1:40" x14ac:dyDescent="0.35">
      <c r="A150" t="s">
        <v>14577</v>
      </c>
      <c r="B150" t="s">
        <v>13930</v>
      </c>
      <c r="C150">
        <v>64</v>
      </c>
      <c r="D150">
        <v>64</v>
      </c>
      <c r="E150">
        <v>0</v>
      </c>
      <c r="F150">
        <v>0</v>
      </c>
      <c r="G150">
        <v>0</v>
      </c>
      <c r="I150" t="s">
        <v>14577</v>
      </c>
      <c r="J150" t="s">
        <v>13930</v>
      </c>
      <c r="K150">
        <v>1</v>
      </c>
      <c r="U150" t="s">
        <v>3879</v>
      </c>
      <c r="V150">
        <v>37</v>
      </c>
      <c r="AE150" t="s">
        <v>10226</v>
      </c>
      <c r="AF150" t="s">
        <v>520</v>
      </c>
      <c r="AI150" t="s">
        <v>1644</v>
      </c>
      <c r="AJ150" t="s">
        <v>7629</v>
      </c>
      <c r="AM150" s="420" t="s">
        <v>3879</v>
      </c>
      <c r="AN150" s="421">
        <v>36</v>
      </c>
    </row>
    <row r="151" spans="1:40" x14ac:dyDescent="0.35">
      <c r="A151" t="s">
        <v>14578</v>
      </c>
      <c r="B151" t="s">
        <v>13217</v>
      </c>
      <c r="C151">
        <v>179</v>
      </c>
      <c r="D151">
        <v>179</v>
      </c>
      <c r="E151">
        <v>0</v>
      </c>
      <c r="F151">
        <v>0</v>
      </c>
      <c r="G151">
        <v>0</v>
      </c>
      <c r="I151" t="s">
        <v>14578</v>
      </c>
      <c r="J151" t="s">
        <v>13217</v>
      </c>
      <c r="K151">
        <v>10</v>
      </c>
      <c r="U151" t="s">
        <v>12114</v>
      </c>
      <c r="V151">
        <v>58</v>
      </c>
      <c r="AE151" t="s">
        <v>6288</v>
      </c>
      <c r="AF151" t="s">
        <v>520</v>
      </c>
      <c r="AI151" t="s">
        <v>1477</v>
      </c>
      <c r="AJ151" t="s">
        <v>1476</v>
      </c>
      <c r="AM151" s="420" t="s">
        <v>12114</v>
      </c>
      <c r="AN151" s="421">
        <v>57</v>
      </c>
    </row>
    <row r="152" spans="1:40" x14ac:dyDescent="0.35">
      <c r="A152" t="s">
        <v>14579</v>
      </c>
      <c r="B152" t="s">
        <v>13541</v>
      </c>
      <c r="C152">
        <v>7267</v>
      </c>
      <c r="D152">
        <v>5372</v>
      </c>
      <c r="E152">
        <v>0</v>
      </c>
      <c r="F152">
        <v>970</v>
      </c>
      <c r="G152">
        <v>925</v>
      </c>
      <c r="I152" t="s">
        <v>14579</v>
      </c>
      <c r="J152" t="s">
        <v>13541</v>
      </c>
      <c r="K152">
        <v>12</v>
      </c>
      <c r="U152" t="s">
        <v>7871</v>
      </c>
      <c r="V152">
        <v>25</v>
      </c>
      <c r="AE152" t="s">
        <v>160</v>
      </c>
      <c r="AF152" t="s">
        <v>520</v>
      </c>
      <c r="AI152" t="s">
        <v>1184</v>
      </c>
      <c r="AJ152" t="s">
        <v>1352</v>
      </c>
      <c r="AM152" s="420" t="s">
        <v>7871</v>
      </c>
      <c r="AN152" s="421">
        <v>24</v>
      </c>
    </row>
    <row r="153" spans="1:40" x14ac:dyDescent="0.35">
      <c r="A153" t="s">
        <v>14580</v>
      </c>
      <c r="B153" t="s">
        <v>14392</v>
      </c>
      <c r="C153">
        <v>135</v>
      </c>
      <c r="D153">
        <v>34</v>
      </c>
      <c r="E153">
        <v>0</v>
      </c>
      <c r="F153">
        <v>101</v>
      </c>
      <c r="G153">
        <v>0</v>
      </c>
      <c r="I153" t="s">
        <v>14580</v>
      </c>
      <c r="J153" t="s">
        <v>14392</v>
      </c>
      <c r="K153">
        <v>1</v>
      </c>
      <c r="U153" t="s">
        <v>6790</v>
      </c>
      <c r="V153">
        <v>25</v>
      </c>
      <c r="AE153" t="s">
        <v>164</v>
      </c>
      <c r="AF153" t="s">
        <v>520</v>
      </c>
      <c r="AI153" t="s">
        <v>1644</v>
      </c>
      <c r="AJ153" t="s">
        <v>2011</v>
      </c>
      <c r="AM153" s="420" t="s">
        <v>6790</v>
      </c>
      <c r="AN153" s="421">
        <v>24</v>
      </c>
    </row>
    <row r="154" spans="1:40" x14ac:dyDescent="0.35">
      <c r="A154" t="s">
        <v>14581</v>
      </c>
      <c r="B154" t="s">
        <v>13656</v>
      </c>
      <c r="C154">
        <v>74</v>
      </c>
      <c r="D154">
        <v>0</v>
      </c>
      <c r="E154">
        <v>0</v>
      </c>
      <c r="F154">
        <v>74</v>
      </c>
      <c r="G154">
        <v>0</v>
      </c>
      <c r="I154" t="s">
        <v>14581</v>
      </c>
      <c r="J154" t="s">
        <v>13656</v>
      </c>
      <c r="K154">
        <v>2</v>
      </c>
      <c r="U154" t="s">
        <v>10143</v>
      </c>
      <c r="V154">
        <v>81</v>
      </c>
      <c r="AE154" t="s">
        <v>174</v>
      </c>
      <c r="AF154" t="s">
        <v>520</v>
      </c>
      <c r="AI154" t="s">
        <v>1644</v>
      </c>
      <c r="AJ154" t="s">
        <v>1761</v>
      </c>
      <c r="AM154" s="420" t="s">
        <v>10143</v>
      </c>
      <c r="AN154" s="421">
        <v>80</v>
      </c>
    </row>
    <row r="155" spans="1:40" x14ac:dyDescent="0.35">
      <c r="A155" t="s">
        <v>14582</v>
      </c>
      <c r="B155" t="s">
        <v>14351</v>
      </c>
      <c r="C155">
        <v>89</v>
      </c>
      <c r="D155">
        <v>89</v>
      </c>
      <c r="E155">
        <v>0</v>
      </c>
      <c r="F155">
        <v>0</v>
      </c>
      <c r="G155">
        <v>0</v>
      </c>
      <c r="I155" t="s">
        <v>14582</v>
      </c>
      <c r="J155" t="s">
        <v>14351</v>
      </c>
      <c r="K155">
        <v>1</v>
      </c>
      <c r="U155" t="s">
        <v>1519</v>
      </c>
      <c r="V155">
        <v>32</v>
      </c>
      <c r="AE155" t="s">
        <v>189</v>
      </c>
      <c r="AF155" t="s">
        <v>520</v>
      </c>
      <c r="AI155" t="s">
        <v>1059</v>
      </c>
      <c r="AJ155" t="s">
        <v>9272</v>
      </c>
      <c r="AM155" s="420" t="s">
        <v>1519</v>
      </c>
      <c r="AN155" s="421">
        <v>31</v>
      </c>
    </row>
    <row r="156" spans="1:40" x14ac:dyDescent="0.35">
      <c r="A156" t="s">
        <v>14583</v>
      </c>
      <c r="B156" t="s">
        <v>13526</v>
      </c>
      <c r="C156">
        <v>43</v>
      </c>
      <c r="D156">
        <v>0</v>
      </c>
      <c r="E156">
        <v>0</v>
      </c>
      <c r="F156">
        <v>43</v>
      </c>
      <c r="G156">
        <v>0</v>
      </c>
      <c r="I156" t="s">
        <v>14583</v>
      </c>
      <c r="J156" t="s">
        <v>13526</v>
      </c>
      <c r="K156">
        <v>1</v>
      </c>
      <c r="U156" t="s">
        <v>5636</v>
      </c>
      <c r="V156">
        <v>44</v>
      </c>
      <c r="AE156" t="s">
        <v>197</v>
      </c>
      <c r="AF156" t="s">
        <v>520</v>
      </c>
      <c r="AI156" t="s">
        <v>1644</v>
      </c>
      <c r="AJ156" t="s">
        <v>8414</v>
      </c>
      <c r="AM156" s="420" t="s">
        <v>5636</v>
      </c>
      <c r="AN156" s="421">
        <v>43</v>
      </c>
    </row>
    <row r="157" spans="1:40" x14ac:dyDescent="0.35">
      <c r="A157" t="s">
        <v>14584</v>
      </c>
      <c r="B157" t="s">
        <v>13058</v>
      </c>
      <c r="C157">
        <v>77926</v>
      </c>
      <c r="D157">
        <v>60720</v>
      </c>
      <c r="E157">
        <v>1170</v>
      </c>
      <c r="F157">
        <v>5209</v>
      </c>
      <c r="G157">
        <v>10827</v>
      </c>
      <c r="I157" t="s">
        <v>14584</v>
      </c>
      <c r="J157" t="s">
        <v>13058</v>
      </c>
      <c r="K157">
        <v>91</v>
      </c>
      <c r="U157" t="s">
        <v>4340</v>
      </c>
      <c r="V157">
        <v>25</v>
      </c>
      <c r="AE157" t="s">
        <v>205</v>
      </c>
      <c r="AF157" t="s">
        <v>520</v>
      </c>
      <c r="AI157" t="s">
        <v>520</v>
      </c>
      <c r="AJ157" t="s">
        <v>6204</v>
      </c>
      <c r="AM157" s="420" t="s">
        <v>4340</v>
      </c>
      <c r="AN157" s="421">
        <v>24</v>
      </c>
    </row>
    <row r="158" spans="1:40" x14ac:dyDescent="0.35">
      <c r="A158" t="s">
        <v>14585</v>
      </c>
      <c r="B158" t="s">
        <v>13467</v>
      </c>
      <c r="C158">
        <v>191</v>
      </c>
      <c r="D158">
        <v>0</v>
      </c>
      <c r="E158">
        <v>3</v>
      </c>
      <c r="F158">
        <v>188</v>
      </c>
      <c r="G158">
        <v>0</v>
      </c>
      <c r="I158" t="s">
        <v>14585</v>
      </c>
      <c r="J158" t="s">
        <v>13467</v>
      </c>
      <c r="K158">
        <v>7</v>
      </c>
      <c r="U158" t="s">
        <v>9230</v>
      </c>
      <c r="V158">
        <v>17</v>
      </c>
      <c r="AE158" t="s">
        <v>211</v>
      </c>
      <c r="AF158" t="s">
        <v>520</v>
      </c>
      <c r="AI158" t="s">
        <v>520</v>
      </c>
      <c r="AJ158" t="s">
        <v>6246</v>
      </c>
      <c r="AM158" s="420" t="s">
        <v>9230</v>
      </c>
      <c r="AN158" s="421">
        <v>17</v>
      </c>
    </row>
    <row r="159" spans="1:40" x14ac:dyDescent="0.35">
      <c r="A159" t="s">
        <v>14586</v>
      </c>
      <c r="B159" t="s">
        <v>13709</v>
      </c>
      <c r="C159">
        <v>124</v>
      </c>
      <c r="D159">
        <v>0</v>
      </c>
      <c r="E159">
        <v>0</v>
      </c>
      <c r="F159">
        <v>124</v>
      </c>
      <c r="G159">
        <v>0</v>
      </c>
      <c r="I159" t="s">
        <v>14586</v>
      </c>
      <c r="J159" t="s">
        <v>13709</v>
      </c>
      <c r="K159">
        <v>1</v>
      </c>
      <c r="U159" t="s">
        <v>9769</v>
      </c>
      <c r="V159">
        <v>51</v>
      </c>
      <c r="AE159" t="s">
        <v>212</v>
      </c>
      <c r="AF159" t="s">
        <v>520</v>
      </c>
      <c r="AI159" t="s">
        <v>1644</v>
      </c>
      <c r="AJ159" t="s">
        <v>3921</v>
      </c>
      <c r="AM159" s="420" t="s">
        <v>9769</v>
      </c>
      <c r="AN159" s="421">
        <v>50</v>
      </c>
    </row>
    <row r="160" spans="1:40" x14ac:dyDescent="0.35">
      <c r="A160" t="s">
        <v>14587</v>
      </c>
      <c r="B160" t="s">
        <v>14352</v>
      </c>
      <c r="C160">
        <v>16</v>
      </c>
      <c r="D160">
        <v>16</v>
      </c>
      <c r="E160">
        <v>0</v>
      </c>
      <c r="F160">
        <v>0</v>
      </c>
      <c r="G160">
        <v>0</v>
      </c>
      <c r="I160" t="s">
        <v>14587</v>
      </c>
      <c r="J160" t="s">
        <v>14352</v>
      </c>
      <c r="K160">
        <v>1</v>
      </c>
      <c r="U160" t="s">
        <v>7461</v>
      </c>
      <c r="V160">
        <v>31</v>
      </c>
      <c r="AE160" t="s">
        <v>216</v>
      </c>
      <c r="AF160" t="s">
        <v>520</v>
      </c>
      <c r="AI160" t="s">
        <v>688</v>
      </c>
      <c r="AJ160" t="s">
        <v>10393</v>
      </c>
      <c r="AM160" s="420" t="s">
        <v>7461</v>
      </c>
      <c r="AN160" s="421">
        <v>30</v>
      </c>
    </row>
    <row r="161" spans="1:40" x14ac:dyDescent="0.35">
      <c r="A161" t="s">
        <v>14588</v>
      </c>
      <c r="B161" t="s">
        <v>14031</v>
      </c>
      <c r="C161">
        <v>155</v>
      </c>
      <c r="D161">
        <v>0</v>
      </c>
      <c r="E161">
        <v>0</v>
      </c>
      <c r="F161">
        <v>155</v>
      </c>
      <c r="G161">
        <v>0</v>
      </c>
      <c r="I161" t="s">
        <v>14588</v>
      </c>
      <c r="J161" t="s">
        <v>14031</v>
      </c>
      <c r="K161">
        <v>1</v>
      </c>
      <c r="U161" t="s">
        <v>1643</v>
      </c>
      <c r="V161">
        <v>34</v>
      </c>
      <c r="AE161" t="s">
        <v>223</v>
      </c>
      <c r="AF161" t="s">
        <v>520</v>
      </c>
      <c r="AI161" t="s">
        <v>11188</v>
      </c>
      <c r="AJ161" t="s">
        <v>11608</v>
      </c>
      <c r="AM161" s="420" t="s">
        <v>1643</v>
      </c>
      <c r="AN161" s="421">
        <v>33</v>
      </c>
    </row>
    <row r="162" spans="1:40" x14ac:dyDescent="0.35">
      <c r="A162" t="s">
        <v>14589</v>
      </c>
      <c r="B162" t="s">
        <v>14366</v>
      </c>
      <c r="C162">
        <v>73</v>
      </c>
      <c r="D162">
        <v>1</v>
      </c>
      <c r="E162">
        <v>0</v>
      </c>
      <c r="F162">
        <v>72</v>
      </c>
      <c r="G162">
        <v>0</v>
      </c>
      <c r="I162" t="s">
        <v>14589</v>
      </c>
      <c r="J162" t="s">
        <v>14366</v>
      </c>
      <c r="K162">
        <v>1</v>
      </c>
      <c r="U162" t="s">
        <v>6580</v>
      </c>
      <c r="V162">
        <v>20</v>
      </c>
      <c r="AE162" t="s">
        <v>8903</v>
      </c>
      <c r="AF162" t="s">
        <v>1644</v>
      </c>
      <c r="AI162" t="s">
        <v>11188</v>
      </c>
      <c r="AJ162" t="s">
        <v>11986</v>
      </c>
      <c r="AM162" s="420" t="s">
        <v>6580</v>
      </c>
      <c r="AN162" s="421">
        <v>19</v>
      </c>
    </row>
    <row r="163" spans="1:40" x14ac:dyDescent="0.35">
      <c r="A163" t="s">
        <v>14590</v>
      </c>
      <c r="B163" t="s">
        <v>13138</v>
      </c>
      <c r="C163">
        <v>687</v>
      </c>
      <c r="D163">
        <v>687</v>
      </c>
      <c r="E163">
        <v>0</v>
      </c>
      <c r="F163">
        <v>0</v>
      </c>
      <c r="G163">
        <v>0</v>
      </c>
      <c r="I163" t="s">
        <v>14590</v>
      </c>
      <c r="J163" t="s">
        <v>13138</v>
      </c>
      <c r="K163">
        <v>16</v>
      </c>
      <c r="U163" t="s">
        <v>12156</v>
      </c>
      <c r="V163">
        <v>36</v>
      </c>
      <c r="AE163" t="s">
        <v>8945</v>
      </c>
      <c r="AF163" t="s">
        <v>1644</v>
      </c>
      <c r="AI163" t="s">
        <v>11188</v>
      </c>
      <c r="AJ163" t="s">
        <v>12039</v>
      </c>
      <c r="AM163" s="420" t="s">
        <v>12156</v>
      </c>
      <c r="AN163" s="421">
        <v>35</v>
      </c>
    </row>
    <row r="164" spans="1:40" x14ac:dyDescent="0.35">
      <c r="A164" t="s">
        <v>14591</v>
      </c>
      <c r="B164" t="s">
        <v>13621</v>
      </c>
      <c r="C164">
        <v>8512</v>
      </c>
      <c r="D164">
        <v>6129</v>
      </c>
      <c r="E164">
        <v>0</v>
      </c>
      <c r="F164">
        <v>2117</v>
      </c>
      <c r="G164">
        <v>266</v>
      </c>
      <c r="I164" t="s">
        <v>14591</v>
      </c>
      <c r="J164" t="s">
        <v>13621</v>
      </c>
      <c r="K164">
        <v>4</v>
      </c>
      <c r="U164" t="s">
        <v>3546</v>
      </c>
      <c r="V164">
        <v>29</v>
      </c>
      <c r="AE164" t="s">
        <v>5426</v>
      </c>
      <c r="AF164" t="s">
        <v>1644</v>
      </c>
      <c r="AI164" t="s">
        <v>1059</v>
      </c>
      <c r="AJ164" t="s">
        <v>8779</v>
      </c>
      <c r="AM164" s="420" t="s">
        <v>3546</v>
      </c>
      <c r="AN164" s="421">
        <v>28</v>
      </c>
    </row>
    <row r="165" spans="1:40" x14ac:dyDescent="0.35">
      <c r="A165" t="s">
        <v>14592</v>
      </c>
      <c r="B165" t="s">
        <v>13557</v>
      </c>
      <c r="C165">
        <v>29251</v>
      </c>
      <c r="D165">
        <v>26682</v>
      </c>
      <c r="E165">
        <v>0</v>
      </c>
      <c r="F165">
        <v>1583</v>
      </c>
      <c r="G165">
        <v>986</v>
      </c>
      <c r="I165" t="s">
        <v>14592</v>
      </c>
      <c r="J165" t="s">
        <v>13557</v>
      </c>
      <c r="K165">
        <v>17</v>
      </c>
      <c r="U165" t="s">
        <v>8204</v>
      </c>
      <c r="V165">
        <v>28</v>
      </c>
      <c r="AE165" t="s">
        <v>4740</v>
      </c>
      <c r="AF165" t="s">
        <v>1644</v>
      </c>
      <c r="AI165" t="s">
        <v>1644</v>
      </c>
      <c r="AJ165" t="s">
        <v>8456</v>
      </c>
      <c r="AM165" s="420" t="s">
        <v>8204</v>
      </c>
      <c r="AN165" s="421">
        <v>27</v>
      </c>
    </row>
    <row r="166" spans="1:40" x14ac:dyDescent="0.35">
      <c r="A166" t="s">
        <v>14593</v>
      </c>
      <c r="B166" t="s">
        <v>14205</v>
      </c>
      <c r="C166">
        <v>31</v>
      </c>
      <c r="D166">
        <v>0</v>
      </c>
      <c r="E166">
        <v>0</v>
      </c>
      <c r="F166">
        <v>31</v>
      </c>
      <c r="G166">
        <v>0</v>
      </c>
      <c r="I166" t="s">
        <v>14593</v>
      </c>
      <c r="J166" t="s">
        <v>14205</v>
      </c>
      <c r="K166">
        <v>1</v>
      </c>
      <c r="U166" t="s">
        <v>9113</v>
      </c>
      <c r="V166">
        <v>43</v>
      </c>
      <c r="AE166" t="s">
        <v>1686</v>
      </c>
      <c r="AF166" t="s">
        <v>1644</v>
      </c>
      <c r="AI166" t="s">
        <v>1644</v>
      </c>
      <c r="AJ166" t="s">
        <v>5068</v>
      </c>
      <c r="AM166" s="420" t="s">
        <v>9113</v>
      </c>
      <c r="AN166" s="421">
        <v>43</v>
      </c>
    </row>
    <row r="167" spans="1:40" x14ac:dyDescent="0.35">
      <c r="A167" t="s">
        <v>14594</v>
      </c>
      <c r="B167" t="s">
        <v>14368</v>
      </c>
      <c r="C167">
        <v>11</v>
      </c>
      <c r="D167">
        <v>11</v>
      </c>
      <c r="E167">
        <v>0</v>
      </c>
      <c r="F167">
        <v>0</v>
      </c>
      <c r="G167">
        <v>0</v>
      </c>
      <c r="I167" t="s">
        <v>14594</v>
      </c>
      <c r="J167" t="s">
        <v>14368</v>
      </c>
      <c r="K167">
        <v>1</v>
      </c>
      <c r="U167" t="s">
        <v>352</v>
      </c>
      <c r="V167">
        <v>32</v>
      </c>
      <c r="AE167" t="s">
        <v>1969</v>
      </c>
      <c r="AF167" t="s">
        <v>1644</v>
      </c>
      <c r="AI167" t="s">
        <v>520</v>
      </c>
      <c r="AJ167" t="s">
        <v>9895</v>
      </c>
      <c r="AM167" s="420" t="s">
        <v>352</v>
      </c>
      <c r="AN167" s="421">
        <v>31</v>
      </c>
    </row>
    <row r="168" spans="1:40" x14ac:dyDescent="0.35">
      <c r="A168" t="s">
        <v>14595</v>
      </c>
      <c r="B168" t="s">
        <v>13055</v>
      </c>
      <c r="C168">
        <v>22259</v>
      </c>
      <c r="D168">
        <v>17130</v>
      </c>
      <c r="E168">
        <v>0</v>
      </c>
      <c r="F168">
        <v>3064</v>
      </c>
      <c r="G168">
        <v>2065</v>
      </c>
      <c r="I168" t="s">
        <v>14595</v>
      </c>
      <c r="J168" t="s">
        <v>13055</v>
      </c>
      <c r="K168">
        <v>62</v>
      </c>
      <c r="U168" t="s">
        <v>1927</v>
      </c>
      <c r="V168">
        <v>55</v>
      </c>
      <c r="AE168" t="s">
        <v>2632</v>
      </c>
      <c r="AF168" t="s">
        <v>1644</v>
      </c>
      <c r="AI168" t="s">
        <v>1059</v>
      </c>
      <c r="AJ168" t="s">
        <v>10770</v>
      </c>
      <c r="AM168" s="420" t="s">
        <v>1927</v>
      </c>
      <c r="AN168" s="421">
        <v>54</v>
      </c>
    </row>
    <row r="169" spans="1:40" x14ac:dyDescent="0.35">
      <c r="A169" t="s">
        <v>14596</v>
      </c>
      <c r="B169" t="s">
        <v>13015</v>
      </c>
      <c r="C169">
        <v>34074</v>
      </c>
      <c r="D169">
        <v>27404</v>
      </c>
      <c r="E169">
        <v>0</v>
      </c>
      <c r="F169">
        <v>1500</v>
      </c>
      <c r="G169">
        <v>5170</v>
      </c>
      <c r="I169" t="s">
        <v>14596</v>
      </c>
      <c r="J169" t="s">
        <v>13015</v>
      </c>
      <c r="K169">
        <v>26</v>
      </c>
      <c r="U169" t="s">
        <v>8372</v>
      </c>
      <c r="V169">
        <v>30</v>
      </c>
      <c r="AE169" t="s">
        <v>5468</v>
      </c>
      <c r="AF169" t="s">
        <v>1644</v>
      </c>
      <c r="AI169" t="s">
        <v>520</v>
      </c>
      <c r="AJ169" t="s">
        <v>10226</v>
      </c>
      <c r="AM169" s="420" t="s">
        <v>8372</v>
      </c>
      <c r="AN169" s="421">
        <v>29</v>
      </c>
    </row>
    <row r="170" spans="1:40" x14ac:dyDescent="0.35">
      <c r="A170" t="s">
        <v>14597</v>
      </c>
      <c r="B170" t="s">
        <v>13309</v>
      </c>
      <c r="C170">
        <v>84</v>
      </c>
      <c r="D170">
        <v>84</v>
      </c>
      <c r="E170">
        <v>0</v>
      </c>
      <c r="F170">
        <v>0</v>
      </c>
      <c r="G170">
        <v>0</v>
      </c>
      <c r="I170" t="s">
        <v>14597</v>
      </c>
      <c r="J170" t="s">
        <v>13309</v>
      </c>
      <c r="K170">
        <v>4</v>
      </c>
      <c r="U170" t="s">
        <v>5026</v>
      </c>
      <c r="V170">
        <v>27</v>
      </c>
      <c r="AE170" t="s">
        <v>7587</v>
      </c>
      <c r="AF170" t="s">
        <v>1644</v>
      </c>
      <c r="AI170" t="s">
        <v>688</v>
      </c>
      <c r="AJ170" t="s">
        <v>10435</v>
      </c>
      <c r="AM170" s="420" t="s">
        <v>5026</v>
      </c>
      <c r="AN170" s="421">
        <v>26</v>
      </c>
    </row>
    <row r="171" spans="1:40" x14ac:dyDescent="0.35">
      <c r="A171" t="s">
        <v>14598</v>
      </c>
      <c r="B171" t="s">
        <v>14216</v>
      </c>
      <c r="C171">
        <v>36</v>
      </c>
      <c r="D171">
        <v>0</v>
      </c>
      <c r="E171">
        <v>0</v>
      </c>
      <c r="F171">
        <v>36</v>
      </c>
      <c r="G171">
        <v>0</v>
      </c>
      <c r="I171" t="s">
        <v>14598</v>
      </c>
      <c r="J171" t="s">
        <v>14216</v>
      </c>
      <c r="K171">
        <v>1</v>
      </c>
      <c r="U171" t="s">
        <v>7503</v>
      </c>
      <c r="V171">
        <v>33</v>
      </c>
      <c r="AE171" t="s">
        <v>8987</v>
      </c>
      <c r="AF171" t="s">
        <v>1644</v>
      </c>
      <c r="AI171" t="s">
        <v>1059</v>
      </c>
      <c r="AJ171" t="s">
        <v>2263</v>
      </c>
      <c r="AM171" s="420" t="s">
        <v>7503</v>
      </c>
      <c r="AN171" s="421">
        <v>32</v>
      </c>
    </row>
    <row r="172" spans="1:40" x14ac:dyDescent="0.35">
      <c r="A172" t="s">
        <v>14599</v>
      </c>
      <c r="B172" t="s">
        <v>14127</v>
      </c>
      <c r="C172">
        <v>75</v>
      </c>
      <c r="D172">
        <v>0</v>
      </c>
      <c r="E172">
        <v>0</v>
      </c>
      <c r="F172">
        <v>75</v>
      </c>
      <c r="G172">
        <v>0</v>
      </c>
      <c r="I172" t="s">
        <v>14599</v>
      </c>
      <c r="J172" t="s">
        <v>14127</v>
      </c>
      <c r="K172">
        <v>1</v>
      </c>
      <c r="U172" t="s">
        <v>10477</v>
      </c>
      <c r="V172">
        <v>34</v>
      </c>
      <c r="AE172" t="s">
        <v>9029</v>
      </c>
      <c r="AF172" t="s">
        <v>1644</v>
      </c>
      <c r="AI172" t="s">
        <v>1644</v>
      </c>
      <c r="AJ172" t="s">
        <v>1803</v>
      </c>
      <c r="AM172" s="420" t="s">
        <v>10477</v>
      </c>
      <c r="AN172" s="421">
        <v>33</v>
      </c>
    </row>
    <row r="173" spans="1:40" x14ac:dyDescent="0.35">
      <c r="A173" t="s">
        <v>14600</v>
      </c>
      <c r="B173" t="s">
        <v>14399</v>
      </c>
      <c r="C173">
        <v>100</v>
      </c>
      <c r="D173">
        <v>68</v>
      </c>
      <c r="E173">
        <v>0</v>
      </c>
      <c r="F173">
        <v>32</v>
      </c>
      <c r="G173">
        <v>0</v>
      </c>
      <c r="I173" t="s">
        <v>14600</v>
      </c>
      <c r="J173" t="s">
        <v>14399</v>
      </c>
      <c r="K173">
        <v>1</v>
      </c>
      <c r="U173" t="s">
        <v>7913</v>
      </c>
      <c r="V173">
        <v>22</v>
      </c>
      <c r="AE173" t="s">
        <v>5510</v>
      </c>
      <c r="AF173" t="s">
        <v>1644</v>
      </c>
      <c r="AI173" t="s">
        <v>1059</v>
      </c>
      <c r="AJ173" t="s">
        <v>10812</v>
      </c>
      <c r="AM173" s="420" t="s">
        <v>7913</v>
      </c>
      <c r="AN173" s="421">
        <v>22</v>
      </c>
    </row>
    <row r="174" spans="1:40" x14ac:dyDescent="0.35">
      <c r="A174" t="s">
        <v>14601</v>
      </c>
      <c r="B174" t="s">
        <v>13662</v>
      </c>
      <c r="C174">
        <v>6</v>
      </c>
      <c r="D174">
        <v>6</v>
      </c>
      <c r="E174">
        <v>0</v>
      </c>
      <c r="F174">
        <v>0</v>
      </c>
      <c r="G174">
        <v>0</v>
      </c>
      <c r="I174" t="s">
        <v>14601</v>
      </c>
      <c r="J174" t="s">
        <v>13662</v>
      </c>
      <c r="K174">
        <v>1</v>
      </c>
      <c r="U174" t="s">
        <v>12198</v>
      </c>
      <c r="V174">
        <v>52</v>
      </c>
      <c r="AE174" t="s">
        <v>5552</v>
      </c>
      <c r="AF174" t="s">
        <v>1644</v>
      </c>
      <c r="AI174" t="s">
        <v>1184</v>
      </c>
      <c r="AJ174" t="s">
        <v>2882</v>
      </c>
      <c r="AM174" s="420" t="s">
        <v>12198</v>
      </c>
      <c r="AN174" s="421">
        <v>51</v>
      </c>
    </row>
    <row r="175" spans="1:40" x14ac:dyDescent="0.35">
      <c r="A175" t="s">
        <v>14602</v>
      </c>
      <c r="B175" t="s">
        <v>13249</v>
      </c>
      <c r="C175">
        <v>8663</v>
      </c>
      <c r="D175">
        <v>6817</v>
      </c>
      <c r="E175">
        <v>17</v>
      </c>
      <c r="F175">
        <v>1367</v>
      </c>
      <c r="G175">
        <v>462</v>
      </c>
      <c r="I175" t="s">
        <v>14602</v>
      </c>
      <c r="J175" t="s">
        <v>13249</v>
      </c>
      <c r="K175">
        <v>17</v>
      </c>
      <c r="U175" t="s">
        <v>3588</v>
      </c>
      <c r="V175">
        <v>26</v>
      </c>
      <c r="AE175" t="s">
        <v>4782</v>
      </c>
      <c r="AF175" t="s">
        <v>1644</v>
      </c>
      <c r="AI175" t="s">
        <v>1477</v>
      </c>
      <c r="AJ175" t="s">
        <v>3084</v>
      </c>
      <c r="AM175" s="420" t="s">
        <v>3588</v>
      </c>
      <c r="AN175" s="421">
        <v>26</v>
      </c>
    </row>
    <row r="176" spans="1:40" x14ac:dyDescent="0.35">
      <c r="A176" t="s">
        <v>14603</v>
      </c>
      <c r="B176" t="s">
        <v>13549</v>
      </c>
      <c r="C176">
        <v>6725</v>
      </c>
      <c r="D176">
        <v>5597</v>
      </c>
      <c r="E176">
        <v>0</v>
      </c>
      <c r="F176">
        <v>704</v>
      </c>
      <c r="G176">
        <v>424</v>
      </c>
      <c r="I176" t="s">
        <v>14603</v>
      </c>
      <c r="J176" t="s">
        <v>13549</v>
      </c>
      <c r="K176">
        <v>11</v>
      </c>
      <c r="U176" t="s">
        <v>3378</v>
      </c>
      <c r="V176">
        <v>33</v>
      </c>
      <c r="AE176" t="s">
        <v>3795</v>
      </c>
      <c r="AF176" t="s">
        <v>1644</v>
      </c>
      <c r="AI176" t="s">
        <v>898</v>
      </c>
      <c r="AJ176" t="s">
        <v>3420</v>
      </c>
      <c r="AM176" s="420" t="s">
        <v>3378</v>
      </c>
      <c r="AN176" s="421">
        <v>32</v>
      </c>
    </row>
    <row r="177" spans="1:40" x14ac:dyDescent="0.35">
      <c r="A177" t="s">
        <v>14604</v>
      </c>
      <c r="B177" t="s">
        <v>14191</v>
      </c>
      <c r="C177">
        <v>17</v>
      </c>
      <c r="D177">
        <v>0</v>
      </c>
      <c r="E177">
        <v>0</v>
      </c>
      <c r="F177">
        <v>17</v>
      </c>
      <c r="G177">
        <v>0</v>
      </c>
      <c r="I177" t="s">
        <v>14604</v>
      </c>
      <c r="J177" t="s">
        <v>14191</v>
      </c>
      <c r="K177">
        <v>1</v>
      </c>
      <c r="U177" t="s">
        <v>772</v>
      </c>
      <c r="V177">
        <v>27</v>
      </c>
      <c r="AE177" t="s">
        <v>4824</v>
      </c>
      <c r="AF177" t="s">
        <v>1644</v>
      </c>
      <c r="AI177" t="s">
        <v>1184</v>
      </c>
      <c r="AJ177" t="s">
        <v>3630</v>
      </c>
      <c r="AM177" s="420" t="s">
        <v>772</v>
      </c>
      <c r="AN177" s="421">
        <v>27</v>
      </c>
    </row>
    <row r="178" spans="1:40" x14ac:dyDescent="0.35">
      <c r="A178" t="s">
        <v>14605</v>
      </c>
      <c r="B178" t="s">
        <v>13313</v>
      </c>
      <c r="C178">
        <v>118</v>
      </c>
      <c r="D178">
        <v>0</v>
      </c>
      <c r="E178">
        <v>0</v>
      </c>
      <c r="F178">
        <v>118</v>
      </c>
      <c r="G178">
        <v>0</v>
      </c>
      <c r="I178" t="s">
        <v>14605</v>
      </c>
      <c r="J178" t="s">
        <v>13313</v>
      </c>
      <c r="K178">
        <v>1</v>
      </c>
      <c r="U178" t="s">
        <v>5310</v>
      </c>
      <c r="V178">
        <v>35</v>
      </c>
      <c r="AE178" t="s">
        <v>8246</v>
      </c>
      <c r="AF178" t="s">
        <v>1644</v>
      </c>
      <c r="AI178" t="s">
        <v>898</v>
      </c>
      <c r="AJ178" t="s">
        <v>6874</v>
      </c>
      <c r="AM178" s="420" t="s">
        <v>5310</v>
      </c>
      <c r="AN178" s="421">
        <v>35</v>
      </c>
    </row>
    <row r="179" spans="1:40" x14ac:dyDescent="0.35">
      <c r="A179" t="s">
        <v>14606</v>
      </c>
      <c r="B179" t="s">
        <v>13990</v>
      </c>
      <c r="C179">
        <v>4</v>
      </c>
      <c r="D179">
        <v>4</v>
      </c>
      <c r="E179">
        <v>0</v>
      </c>
      <c r="F179">
        <v>0</v>
      </c>
      <c r="G179">
        <v>0</v>
      </c>
      <c r="I179" t="s">
        <v>14606</v>
      </c>
      <c r="J179" t="s">
        <v>13990</v>
      </c>
      <c r="K179">
        <v>1</v>
      </c>
      <c r="U179" t="s">
        <v>6832</v>
      </c>
      <c r="V179">
        <v>29</v>
      </c>
      <c r="AE179" t="s">
        <v>8288</v>
      </c>
      <c r="AF179" t="s">
        <v>1644</v>
      </c>
      <c r="AI179" t="s">
        <v>898</v>
      </c>
      <c r="AJ179" t="s">
        <v>6916</v>
      </c>
      <c r="AM179" s="420" t="s">
        <v>6832</v>
      </c>
      <c r="AN179" s="421">
        <v>28</v>
      </c>
    </row>
    <row r="180" spans="1:40" x14ac:dyDescent="0.35">
      <c r="A180" t="s">
        <v>14607</v>
      </c>
      <c r="B180" t="s">
        <v>14092</v>
      </c>
      <c r="C180">
        <v>45</v>
      </c>
      <c r="D180">
        <v>31</v>
      </c>
      <c r="E180">
        <v>0</v>
      </c>
      <c r="F180">
        <v>14</v>
      </c>
      <c r="G180">
        <v>0</v>
      </c>
      <c r="I180" t="s">
        <v>14607</v>
      </c>
      <c r="J180" t="s">
        <v>14092</v>
      </c>
      <c r="K180">
        <v>1</v>
      </c>
      <c r="U180" t="s">
        <v>814</v>
      </c>
      <c r="V180">
        <v>21</v>
      </c>
      <c r="AE180" t="s">
        <v>4866</v>
      </c>
      <c r="AF180" t="s">
        <v>1644</v>
      </c>
      <c r="AI180" t="s">
        <v>1477</v>
      </c>
      <c r="AJ180" t="s">
        <v>7251</v>
      </c>
      <c r="AM180" s="420" t="s">
        <v>814</v>
      </c>
      <c r="AN180" s="421">
        <v>21</v>
      </c>
    </row>
    <row r="181" spans="1:40" x14ac:dyDescent="0.35">
      <c r="A181" t="s">
        <v>14608</v>
      </c>
      <c r="B181" t="s">
        <v>13274</v>
      </c>
      <c r="C181">
        <v>100</v>
      </c>
      <c r="D181">
        <v>0</v>
      </c>
      <c r="E181">
        <v>0</v>
      </c>
      <c r="F181">
        <v>100</v>
      </c>
      <c r="G181">
        <v>0</v>
      </c>
      <c r="I181" t="s">
        <v>14608</v>
      </c>
      <c r="J181" t="s">
        <v>13274</v>
      </c>
      <c r="K181">
        <v>21</v>
      </c>
      <c r="U181" t="s">
        <v>7167</v>
      </c>
      <c r="V181">
        <v>19</v>
      </c>
      <c r="AE181" t="s">
        <v>5720</v>
      </c>
      <c r="AF181" t="s">
        <v>1644</v>
      </c>
      <c r="AI181" t="s">
        <v>1644</v>
      </c>
      <c r="AJ181" t="s">
        <v>7671</v>
      </c>
      <c r="AM181" s="420" t="s">
        <v>7167</v>
      </c>
      <c r="AN181" s="421">
        <v>18</v>
      </c>
    </row>
    <row r="182" spans="1:40" x14ac:dyDescent="0.35">
      <c r="A182" t="s">
        <v>14609</v>
      </c>
      <c r="B182" t="s">
        <v>13653</v>
      </c>
      <c r="C182">
        <v>2</v>
      </c>
      <c r="D182">
        <v>2</v>
      </c>
      <c r="E182">
        <v>0</v>
      </c>
      <c r="F182">
        <v>0</v>
      </c>
      <c r="G182">
        <v>0</v>
      </c>
      <c r="I182" t="s">
        <v>14609</v>
      </c>
      <c r="J182" t="s">
        <v>13653</v>
      </c>
      <c r="K182">
        <v>1</v>
      </c>
      <c r="U182" t="s">
        <v>2674</v>
      </c>
      <c r="V182">
        <v>56</v>
      </c>
      <c r="AE182" t="s">
        <v>4908</v>
      </c>
      <c r="AF182" t="s">
        <v>1644</v>
      </c>
      <c r="AI182" t="s">
        <v>520</v>
      </c>
      <c r="AJ182" t="s">
        <v>6288</v>
      </c>
      <c r="AM182" s="420" t="s">
        <v>2674</v>
      </c>
      <c r="AN182" s="421">
        <v>55</v>
      </c>
    </row>
    <row r="183" spans="1:40" x14ac:dyDescent="0.35">
      <c r="A183" t="s">
        <v>14610</v>
      </c>
      <c r="B183" t="s">
        <v>13000</v>
      </c>
      <c r="C183">
        <v>109035</v>
      </c>
      <c r="D183">
        <v>89496</v>
      </c>
      <c r="E183">
        <v>648</v>
      </c>
      <c r="F183">
        <v>7350</v>
      </c>
      <c r="G183">
        <v>11541</v>
      </c>
      <c r="I183" t="s">
        <v>14610</v>
      </c>
      <c r="J183" t="s">
        <v>13000</v>
      </c>
      <c r="K183">
        <v>151</v>
      </c>
      <c r="U183" t="s">
        <v>1268</v>
      </c>
      <c r="V183">
        <v>46</v>
      </c>
      <c r="AE183" t="s">
        <v>5594</v>
      </c>
      <c r="AF183" t="s">
        <v>1644</v>
      </c>
      <c r="AI183" t="s">
        <v>292</v>
      </c>
      <c r="AJ183" t="s">
        <v>10561</v>
      </c>
      <c r="AM183" s="420" t="s">
        <v>1268</v>
      </c>
      <c r="AN183" s="421">
        <v>45</v>
      </c>
    </row>
    <row r="184" spans="1:40" x14ac:dyDescent="0.35">
      <c r="A184" t="s">
        <v>14611</v>
      </c>
      <c r="B184" t="s">
        <v>14300</v>
      </c>
      <c r="C184">
        <v>4</v>
      </c>
      <c r="D184">
        <v>4</v>
      </c>
      <c r="E184">
        <v>0</v>
      </c>
      <c r="F184">
        <v>0</v>
      </c>
      <c r="G184">
        <v>0</v>
      </c>
      <c r="I184" t="s">
        <v>14611</v>
      </c>
      <c r="J184" t="s">
        <v>14300</v>
      </c>
      <c r="K184">
        <v>1</v>
      </c>
      <c r="U184" t="s">
        <v>10519</v>
      </c>
      <c r="V184">
        <v>36</v>
      </c>
      <c r="AE184" t="s">
        <v>8330</v>
      </c>
      <c r="AF184" t="s">
        <v>1644</v>
      </c>
      <c r="AI184" t="s">
        <v>1644</v>
      </c>
      <c r="AJ184" t="s">
        <v>2053</v>
      </c>
      <c r="AM184" s="420" t="s">
        <v>10519</v>
      </c>
      <c r="AN184" s="421">
        <v>35</v>
      </c>
    </row>
    <row r="185" spans="1:40" x14ac:dyDescent="0.35">
      <c r="A185" t="s">
        <v>14612</v>
      </c>
      <c r="B185" t="s">
        <v>13332</v>
      </c>
      <c r="C185">
        <v>75</v>
      </c>
      <c r="D185">
        <v>75</v>
      </c>
      <c r="E185">
        <v>0</v>
      </c>
      <c r="F185">
        <v>0</v>
      </c>
      <c r="G185">
        <v>0</v>
      </c>
      <c r="I185" t="s">
        <v>14612</v>
      </c>
      <c r="J185" t="s">
        <v>13332</v>
      </c>
      <c r="K185">
        <v>7</v>
      </c>
      <c r="U185" t="s">
        <v>8695</v>
      </c>
      <c r="V185">
        <v>21</v>
      </c>
      <c r="AE185" t="s">
        <v>4950</v>
      </c>
      <c r="AF185" t="s">
        <v>1644</v>
      </c>
      <c r="AI185" t="s">
        <v>1477</v>
      </c>
      <c r="AJ185" t="s">
        <v>156</v>
      </c>
      <c r="AM185" s="420" t="s">
        <v>8695</v>
      </c>
      <c r="AN185" s="421">
        <v>20</v>
      </c>
    </row>
    <row r="186" spans="1:40" x14ac:dyDescent="0.35">
      <c r="A186" t="s">
        <v>14613</v>
      </c>
      <c r="B186" t="s">
        <v>13547</v>
      </c>
      <c r="C186">
        <v>13868</v>
      </c>
      <c r="D186">
        <v>9678</v>
      </c>
      <c r="E186">
        <v>0</v>
      </c>
      <c r="F186">
        <v>3789</v>
      </c>
      <c r="G186">
        <v>401</v>
      </c>
      <c r="I186" t="s">
        <v>14613</v>
      </c>
      <c r="J186" t="s">
        <v>13547</v>
      </c>
      <c r="K186">
        <v>12</v>
      </c>
      <c r="U186" t="s">
        <v>6622</v>
      </c>
      <c r="V186">
        <v>29</v>
      </c>
      <c r="AE186" t="s">
        <v>3837</v>
      </c>
      <c r="AF186" t="s">
        <v>1644</v>
      </c>
      <c r="AI186" t="s">
        <v>11188</v>
      </c>
      <c r="AJ186" t="s">
        <v>157</v>
      </c>
      <c r="AM186" s="420" t="s">
        <v>6622</v>
      </c>
      <c r="AN186" s="421">
        <v>28</v>
      </c>
    </row>
    <row r="187" spans="1:40" x14ac:dyDescent="0.35">
      <c r="A187" t="s">
        <v>14614</v>
      </c>
      <c r="B187" t="s">
        <v>14000</v>
      </c>
      <c r="C187">
        <v>257</v>
      </c>
      <c r="D187">
        <v>5</v>
      </c>
      <c r="E187">
        <v>0</v>
      </c>
      <c r="F187">
        <v>252</v>
      </c>
      <c r="G187">
        <v>0</v>
      </c>
      <c r="I187" t="s">
        <v>14614</v>
      </c>
      <c r="J187" t="s">
        <v>14000</v>
      </c>
      <c r="K187">
        <v>2</v>
      </c>
      <c r="U187" t="s">
        <v>2840</v>
      </c>
      <c r="V187">
        <v>69</v>
      </c>
      <c r="AE187" t="s">
        <v>4984</v>
      </c>
      <c r="AF187" t="s">
        <v>1644</v>
      </c>
      <c r="AI187" t="s">
        <v>1644</v>
      </c>
      <c r="AJ187" t="s">
        <v>158</v>
      </c>
      <c r="AM187" s="420" t="s">
        <v>2840</v>
      </c>
      <c r="AN187" s="421">
        <v>68</v>
      </c>
    </row>
    <row r="188" spans="1:40" x14ac:dyDescent="0.35">
      <c r="A188" t="s">
        <v>14615</v>
      </c>
      <c r="B188" t="s">
        <v>14193</v>
      </c>
      <c r="C188">
        <v>51</v>
      </c>
      <c r="D188">
        <v>0</v>
      </c>
      <c r="E188">
        <v>0</v>
      </c>
      <c r="F188">
        <v>51</v>
      </c>
      <c r="G188">
        <v>0</v>
      </c>
      <c r="I188" t="s">
        <v>14615</v>
      </c>
      <c r="J188" t="s">
        <v>14193</v>
      </c>
      <c r="K188">
        <v>1</v>
      </c>
      <c r="U188" t="s">
        <v>2506</v>
      </c>
      <c r="V188">
        <v>44</v>
      </c>
      <c r="AE188" t="s">
        <v>9071</v>
      </c>
      <c r="AF188" t="s">
        <v>1644</v>
      </c>
      <c r="AI188" t="s">
        <v>1477</v>
      </c>
      <c r="AJ188" t="s">
        <v>159</v>
      </c>
      <c r="AM188" s="420" t="s">
        <v>2506</v>
      </c>
      <c r="AN188" s="421">
        <v>43</v>
      </c>
    </row>
    <row r="189" spans="1:40" x14ac:dyDescent="0.35">
      <c r="A189" t="s">
        <v>14616</v>
      </c>
      <c r="B189" t="s">
        <v>13047</v>
      </c>
      <c r="C189">
        <v>1659</v>
      </c>
      <c r="D189">
        <v>1214</v>
      </c>
      <c r="E189">
        <v>0</v>
      </c>
      <c r="F189">
        <v>27</v>
      </c>
      <c r="G189">
        <v>418</v>
      </c>
      <c r="I189" t="s">
        <v>14616</v>
      </c>
      <c r="J189" t="s">
        <v>13047</v>
      </c>
      <c r="K189">
        <v>18</v>
      </c>
      <c r="U189" t="s">
        <v>7209</v>
      </c>
      <c r="V189">
        <v>32</v>
      </c>
      <c r="AE189" t="s">
        <v>2095</v>
      </c>
      <c r="AF189" t="s">
        <v>1644</v>
      </c>
      <c r="AI189" t="s">
        <v>1477</v>
      </c>
      <c r="AJ189" t="s">
        <v>163</v>
      </c>
      <c r="AM189" s="420" t="s">
        <v>7209</v>
      </c>
      <c r="AN189" s="421">
        <v>31</v>
      </c>
    </row>
    <row r="190" spans="1:40" x14ac:dyDescent="0.35">
      <c r="A190" t="s">
        <v>14617</v>
      </c>
      <c r="B190" t="s">
        <v>13190</v>
      </c>
      <c r="C190">
        <v>38229</v>
      </c>
      <c r="D190">
        <v>29700</v>
      </c>
      <c r="E190">
        <v>8</v>
      </c>
      <c r="F190">
        <v>3290</v>
      </c>
      <c r="G190">
        <v>5231</v>
      </c>
      <c r="I190" t="s">
        <v>14617</v>
      </c>
      <c r="J190" t="s">
        <v>13190</v>
      </c>
      <c r="K190">
        <v>30</v>
      </c>
      <c r="U190" t="s">
        <v>1016</v>
      </c>
      <c r="V190">
        <v>48</v>
      </c>
      <c r="AE190" t="s">
        <v>3879</v>
      </c>
      <c r="AF190" t="s">
        <v>1644</v>
      </c>
      <c r="AI190" t="s">
        <v>520</v>
      </c>
      <c r="AJ190" t="s">
        <v>164</v>
      </c>
      <c r="AM190" s="420" t="s">
        <v>1016</v>
      </c>
      <c r="AN190" s="421">
        <v>47</v>
      </c>
    </row>
    <row r="191" spans="1:40" x14ac:dyDescent="0.35">
      <c r="A191" t="s">
        <v>14618</v>
      </c>
      <c r="B191" t="s">
        <v>13773</v>
      </c>
      <c r="C191">
        <v>9</v>
      </c>
      <c r="D191">
        <v>9</v>
      </c>
      <c r="E191">
        <v>0</v>
      </c>
      <c r="F191">
        <v>0</v>
      </c>
      <c r="G191">
        <v>0</v>
      </c>
      <c r="I191" t="s">
        <v>14618</v>
      </c>
      <c r="J191" t="s">
        <v>13773</v>
      </c>
      <c r="K191">
        <v>1</v>
      </c>
      <c r="U191" t="s">
        <v>8737</v>
      </c>
      <c r="V191">
        <v>40</v>
      </c>
      <c r="AE191" t="s">
        <v>5636</v>
      </c>
      <c r="AF191" t="s">
        <v>1644</v>
      </c>
      <c r="AI191" t="s">
        <v>1059</v>
      </c>
      <c r="AJ191" t="s">
        <v>166</v>
      </c>
      <c r="AM191" s="420" t="s">
        <v>8737</v>
      </c>
      <c r="AN191" s="421">
        <v>39</v>
      </c>
    </row>
    <row r="192" spans="1:40" x14ac:dyDescent="0.35">
      <c r="A192" t="s">
        <v>14619</v>
      </c>
      <c r="B192" t="s">
        <v>13176</v>
      </c>
      <c r="C192">
        <v>145</v>
      </c>
      <c r="D192">
        <v>3</v>
      </c>
      <c r="E192">
        <v>0</v>
      </c>
      <c r="F192">
        <v>142</v>
      </c>
      <c r="G192">
        <v>0</v>
      </c>
      <c r="I192" t="s">
        <v>14619</v>
      </c>
      <c r="J192" t="s">
        <v>13176</v>
      </c>
      <c r="K192">
        <v>3</v>
      </c>
      <c r="U192" t="s">
        <v>6664</v>
      </c>
      <c r="V192">
        <v>25</v>
      </c>
      <c r="AE192" t="s">
        <v>1643</v>
      </c>
      <c r="AF192" t="s">
        <v>1644</v>
      </c>
      <c r="AI192" t="s">
        <v>1059</v>
      </c>
      <c r="AJ192" t="s">
        <v>167</v>
      </c>
      <c r="AM192" s="420" t="s">
        <v>6664</v>
      </c>
      <c r="AN192" s="421">
        <v>24</v>
      </c>
    </row>
    <row r="193" spans="1:40" x14ac:dyDescent="0.35">
      <c r="A193" t="s">
        <v>14620</v>
      </c>
      <c r="B193" t="s">
        <v>13031</v>
      </c>
      <c r="C193">
        <v>83</v>
      </c>
      <c r="D193">
        <v>0</v>
      </c>
      <c r="E193">
        <v>0</v>
      </c>
      <c r="F193">
        <v>83</v>
      </c>
      <c r="G193">
        <v>0</v>
      </c>
      <c r="I193" t="s">
        <v>14620</v>
      </c>
      <c r="J193" t="s">
        <v>13031</v>
      </c>
      <c r="K193">
        <v>6</v>
      </c>
      <c r="U193" t="s">
        <v>9811</v>
      </c>
      <c r="V193">
        <v>24</v>
      </c>
      <c r="AE193" t="s">
        <v>9113</v>
      </c>
      <c r="AF193" t="s">
        <v>1644</v>
      </c>
      <c r="AI193" t="s">
        <v>1184</v>
      </c>
      <c r="AJ193" t="s">
        <v>168</v>
      </c>
      <c r="AM193" s="420" t="s">
        <v>9811</v>
      </c>
      <c r="AN193" s="421">
        <v>23</v>
      </c>
    </row>
    <row r="194" spans="1:40" x14ac:dyDescent="0.35">
      <c r="A194" t="s">
        <v>14621</v>
      </c>
      <c r="B194" t="s">
        <v>13295</v>
      </c>
      <c r="C194">
        <v>12147</v>
      </c>
      <c r="D194">
        <v>10083</v>
      </c>
      <c r="E194">
        <v>0</v>
      </c>
      <c r="F194">
        <v>1714</v>
      </c>
      <c r="G194">
        <v>350</v>
      </c>
      <c r="I194" t="s">
        <v>14621</v>
      </c>
      <c r="J194" t="s">
        <v>13295</v>
      </c>
      <c r="K194">
        <v>6</v>
      </c>
      <c r="U194" t="s">
        <v>7629</v>
      </c>
      <c r="V194">
        <v>31</v>
      </c>
      <c r="AE194" t="s">
        <v>1927</v>
      </c>
      <c r="AF194" t="s">
        <v>1644</v>
      </c>
      <c r="AI194" t="s">
        <v>292</v>
      </c>
      <c r="AJ194" t="s">
        <v>169</v>
      </c>
      <c r="AM194" s="420" t="s">
        <v>7629</v>
      </c>
      <c r="AN194" s="421">
        <v>30</v>
      </c>
    </row>
    <row r="195" spans="1:40" x14ac:dyDescent="0.35">
      <c r="A195" t="s">
        <v>14622</v>
      </c>
      <c r="B195" t="s">
        <v>13104</v>
      </c>
      <c r="C195">
        <v>79887</v>
      </c>
      <c r="D195">
        <v>64599</v>
      </c>
      <c r="E195">
        <v>536</v>
      </c>
      <c r="F195">
        <v>5623</v>
      </c>
      <c r="G195">
        <v>9129</v>
      </c>
      <c r="I195" t="s">
        <v>14622</v>
      </c>
      <c r="J195" t="s">
        <v>13104</v>
      </c>
      <c r="K195">
        <v>81</v>
      </c>
      <c r="U195" t="s">
        <v>6120</v>
      </c>
      <c r="V195">
        <v>28</v>
      </c>
      <c r="AE195" t="s">
        <v>8372</v>
      </c>
      <c r="AF195" t="s">
        <v>1644</v>
      </c>
      <c r="AI195" t="s">
        <v>1184</v>
      </c>
      <c r="AJ195" t="s">
        <v>173</v>
      </c>
      <c r="AM195" s="420" t="s">
        <v>6120</v>
      </c>
      <c r="AN195" s="421">
        <v>28</v>
      </c>
    </row>
    <row r="196" spans="1:40" x14ac:dyDescent="0.35">
      <c r="A196" t="s">
        <v>14623</v>
      </c>
      <c r="B196" t="s">
        <v>13103</v>
      </c>
      <c r="C196">
        <v>44217</v>
      </c>
      <c r="D196">
        <v>35372</v>
      </c>
      <c r="E196">
        <v>1096</v>
      </c>
      <c r="F196">
        <v>4218</v>
      </c>
      <c r="G196">
        <v>3531</v>
      </c>
      <c r="I196" t="s">
        <v>14623</v>
      </c>
      <c r="J196" t="s">
        <v>13103</v>
      </c>
      <c r="K196">
        <v>55</v>
      </c>
      <c r="U196" t="s">
        <v>1476</v>
      </c>
      <c r="V196">
        <v>39</v>
      </c>
      <c r="AE196" t="s">
        <v>5026</v>
      </c>
      <c r="AF196" t="s">
        <v>1644</v>
      </c>
      <c r="AI196" t="s">
        <v>1059</v>
      </c>
      <c r="AJ196" t="s">
        <v>175</v>
      </c>
      <c r="AM196" s="420" t="s">
        <v>1476</v>
      </c>
      <c r="AN196" s="421">
        <v>38</v>
      </c>
    </row>
    <row r="197" spans="1:40" x14ac:dyDescent="0.35">
      <c r="A197" t="s">
        <v>14624</v>
      </c>
      <c r="B197" t="s">
        <v>14143</v>
      </c>
      <c r="C197">
        <v>12</v>
      </c>
      <c r="D197">
        <v>12</v>
      </c>
      <c r="E197">
        <v>0</v>
      </c>
      <c r="F197">
        <v>0</v>
      </c>
      <c r="G197">
        <v>0</v>
      </c>
      <c r="I197" t="s">
        <v>14624</v>
      </c>
      <c r="J197" t="s">
        <v>14143</v>
      </c>
      <c r="K197">
        <v>1</v>
      </c>
      <c r="U197" t="s">
        <v>1352</v>
      </c>
      <c r="V197">
        <v>31</v>
      </c>
      <c r="AE197" t="s">
        <v>7629</v>
      </c>
      <c r="AF197" t="s">
        <v>1644</v>
      </c>
      <c r="AI197" t="s">
        <v>1644</v>
      </c>
      <c r="AJ197" t="s">
        <v>176</v>
      </c>
      <c r="AM197" s="420" t="s">
        <v>1352</v>
      </c>
      <c r="AN197" s="421">
        <v>30</v>
      </c>
    </row>
    <row r="198" spans="1:40" x14ac:dyDescent="0.35">
      <c r="A198" t="s">
        <v>14625</v>
      </c>
      <c r="B198" t="s">
        <v>14248</v>
      </c>
      <c r="C198">
        <v>8</v>
      </c>
      <c r="D198">
        <v>8</v>
      </c>
      <c r="E198">
        <v>0</v>
      </c>
      <c r="F198">
        <v>0</v>
      </c>
      <c r="G198">
        <v>0</v>
      </c>
      <c r="I198" t="s">
        <v>14625</v>
      </c>
      <c r="J198" t="s">
        <v>14248</v>
      </c>
      <c r="K198">
        <v>1</v>
      </c>
      <c r="U198" t="s">
        <v>2011</v>
      </c>
      <c r="V198">
        <v>36</v>
      </c>
      <c r="AE198" t="s">
        <v>2011</v>
      </c>
      <c r="AF198" t="s">
        <v>1644</v>
      </c>
      <c r="AI198" t="s">
        <v>1184</v>
      </c>
      <c r="AJ198" t="s">
        <v>177</v>
      </c>
      <c r="AM198" s="420" t="s">
        <v>2011</v>
      </c>
      <c r="AN198" s="421">
        <v>35</v>
      </c>
    </row>
    <row r="199" spans="1:40" x14ac:dyDescent="0.35">
      <c r="A199" t="s">
        <v>14626</v>
      </c>
      <c r="B199" t="s">
        <v>13417</v>
      </c>
      <c r="C199">
        <v>8</v>
      </c>
      <c r="D199">
        <v>8</v>
      </c>
      <c r="E199">
        <v>0</v>
      </c>
      <c r="F199">
        <v>0</v>
      </c>
      <c r="G199">
        <v>0</v>
      </c>
      <c r="I199" t="s">
        <v>14626</v>
      </c>
      <c r="J199" t="s">
        <v>13417</v>
      </c>
      <c r="K199">
        <v>1</v>
      </c>
      <c r="U199" t="s">
        <v>6162</v>
      </c>
      <c r="V199">
        <v>37</v>
      </c>
      <c r="AE199" t="s">
        <v>1761</v>
      </c>
      <c r="AF199" t="s">
        <v>1644</v>
      </c>
      <c r="AI199" t="s">
        <v>1059</v>
      </c>
      <c r="AJ199" t="s">
        <v>178</v>
      </c>
      <c r="AM199" s="420" t="s">
        <v>6162</v>
      </c>
      <c r="AN199" s="421">
        <v>37</v>
      </c>
    </row>
    <row r="200" spans="1:40" x14ac:dyDescent="0.35">
      <c r="A200" t="s">
        <v>14627</v>
      </c>
      <c r="B200" t="s">
        <v>14181</v>
      </c>
      <c r="C200">
        <v>29</v>
      </c>
      <c r="D200">
        <v>0</v>
      </c>
      <c r="E200">
        <v>29</v>
      </c>
      <c r="F200">
        <v>0</v>
      </c>
      <c r="G200">
        <v>0</v>
      </c>
      <c r="I200" t="s">
        <v>14627</v>
      </c>
      <c r="J200" t="s">
        <v>14181</v>
      </c>
      <c r="K200">
        <v>1</v>
      </c>
      <c r="U200" t="s">
        <v>1761</v>
      </c>
      <c r="V200">
        <v>37</v>
      </c>
      <c r="AE200" t="s">
        <v>8414</v>
      </c>
      <c r="AF200" t="s">
        <v>1644</v>
      </c>
      <c r="AI200" t="s">
        <v>1477</v>
      </c>
      <c r="AJ200" t="s">
        <v>179</v>
      </c>
      <c r="AM200" s="420" t="s">
        <v>1761</v>
      </c>
      <c r="AN200" s="421">
        <v>36</v>
      </c>
    </row>
    <row r="201" spans="1:40" x14ac:dyDescent="0.35">
      <c r="A201" t="s">
        <v>14628</v>
      </c>
      <c r="B201" t="s">
        <v>14158</v>
      </c>
      <c r="C201">
        <v>21</v>
      </c>
      <c r="D201">
        <v>2</v>
      </c>
      <c r="E201">
        <v>0</v>
      </c>
      <c r="F201">
        <v>19</v>
      </c>
      <c r="G201">
        <v>0</v>
      </c>
      <c r="I201" t="s">
        <v>14628</v>
      </c>
      <c r="J201" t="s">
        <v>14158</v>
      </c>
      <c r="K201">
        <v>1</v>
      </c>
      <c r="U201" t="s">
        <v>12240</v>
      </c>
      <c r="V201">
        <v>37</v>
      </c>
      <c r="AE201" t="s">
        <v>3921</v>
      </c>
      <c r="AF201" t="s">
        <v>1644</v>
      </c>
      <c r="AI201" t="s">
        <v>1644</v>
      </c>
      <c r="AJ201" t="s">
        <v>182</v>
      </c>
      <c r="AM201" s="420" t="s">
        <v>12240</v>
      </c>
      <c r="AN201" s="421">
        <v>36</v>
      </c>
    </row>
    <row r="202" spans="1:40" x14ac:dyDescent="0.35">
      <c r="A202" t="s">
        <v>14629</v>
      </c>
      <c r="B202" t="s">
        <v>13402</v>
      </c>
      <c r="C202">
        <v>18</v>
      </c>
      <c r="D202">
        <v>18</v>
      </c>
      <c r="E202">
        <v>0</v>
      </c>
      <c r="F202">
        <v>0</v>
      </c>
      <c r="G202">
        <v>0</v>
      </c>
      <c r="I202" t="s">
        <v>14629</v>
      </c>
      <c r="J202" t="s">
        <v>13402</v>
      </c>
      <c r="K202">
        <v>2</v>
      </c>
      <c r="U202" t="s">
        <v>394</v>
      </c>
      <c r="V202">
        <v>28</v>
      </c>
      <c r="AE202" t="s">
        <v>8456</v>
      </c>
      <c r="AF202" t="s">
        <v>1644</v>
      </c>
      <c r="AI202" t="s">
        <v>1477</v>
      </c>
      <c r="AJ202" t="s">
        <v>184</v>
      </c>
      <c r="AM202" s="420" t="s">
        <v>394</v>
      </c>
      <c r="AN202" s="421">
        <v>28</v>
      </c>
    </row>
    <row r="203" spans="1:40" x14ac:dyDescent="0.35">
      <c r="A203" t="s">
        <v>14630</v>
      </c>
      <c r="B203" t="s">
        <v>13069</v>
      </c>
      <c r="C203">
        <v>123</v>
      </c>
      <c r="D203">
        <v>123</v>
      </c>
      <c r="E203">
        <v>0</v>
      </c>
      <c r="F203">
        <v>0</v>
      </c>
      <c r="G203">
        <v>0</v>
      </c>
      <c r="I203" t="s">
        <v>14630</v>
      </c>
      <c r="J203" t="s">
        <v>13069</v>
      </c>
      <c r="K203">
        <v>13</v>
      </c>
      <c r="U203" t="s">
        <v>9272</v>
      </c>
      <c r="V203">
        <v>24</v>
      </c>
      <c r="AE203" t="s">
        <v>5068</v>
      </c>
      <c r="AF203" t="s">
        <v>1644</v>
      </c>
      <c r="AI203" t="s">
        <v>1644</v>
      </c>
      <c r="AJ203" t="s">
        <v>185</v>
      </c>
      <c r="AM203" s="420" t="s">
        <v>9272</v>
      </c>
      <c r="AN203" s="421">
        <v>23</v>
      </c>
    </row>
    <row r="204" spans="1:40" x14ac:dyDescent="0.35">
      <c r="A204" t="s">
        <v>14631</v>
      </c>
      <c r="B204" t="s">
        <v>13819</v>
      </c>
      <c r="C204">
        <v>11</v>
      </c>
      <c r="D204">
        <v>7</v>
      </c>
      <c r="E204">
        <v>0</v>
      </c>
      <c r="F204">
        <v>4</v>
      </c>
      <c r="G204">
        <v>0</v>
      </c>
      <c r="I204" t="s">
        <v>14631</v>
      </c>
      <c r="J204" t="s">
        <v>13819</v>
      </c>
      <c r="K204">
        <v>1</v>
      </c>
      <c r="U204" t="s">
        <v>8414</v>
      </c>
      <c r="V204">
        <v>40</v>
      </c>
      <c r="AE204" t="s">
        <v>5678</v>
      </c>
      <c r="AF204" t="s">
        <v>1644</v>
      </c>
      <c r="AI204" t="s">
        <v>1184</v>
      </c>
      <c r="AJ204" t="s">
        <v>186</v>
      </c>
      <c r="AM204" s="420" t="s">
        <v>8414</v>
      </c>
      <c r="AN204" s="421">
        <v>39</v>
      </c>
    </row>
    <row r="205" spans="1:40" x14ac:dyDescent="0.35">
      <c r="A205" t="s">
        <v>14632</v>
      </c>
      <c r="B205" t="s">
        <v>14372</v>
      </c>
      <c r="C205">
        <v>2</v>
      </c>
      <c r="D205">
        <v>2</v>
      </c>
      <c r="E205">
        <v>0</v>
      </c>
      <c r="F205">
        <v>0</v>
      </c>
      <c r="G205">
        <v>0</v>
      </c>
      <c r="I205" t="s">
        <v>14632</v>
      </c>
      <c r="J205" t="s">
        <v>14372</v>
      </c>
      <c r="K205">
        <v>1</v>
      </c>
      <c r="U205" t="s">
        <v>6204</v>
      </c>
      <c r="V205">
        <v>24</v>
      </c>
      <c r="AE205" t="s">
        <v>1803</v>
      </c>
      <c r="AF205" t="s">
        <v>1644</v>
      </c>
      <c r="AI205" t="s">
        <v>520</v>
      </c>
      <c r="AJ205" t="s">
        <v>189</v>
      </c>
      <c r="AM205" s="420" t="s">
        <v>6204</v>
      </c>
      <c r="AN205" s="421">
        <v>23</v>
      </c>
    </row>
    <row r="206" spans="1:40" x14ac:dyDescent="0.35">
      <c r="A206" t="s">
        <v>14633</v>
      </c>
      <c r="B206" t="s">
        <v>14189</v>
      </c>
      <c r="C206">
        <v>66</v>
      </c>
      <c r="D206">
        <v>0</v>
      </c>
      <c r="E206">
        <v>0</v>
      </c>
      <c r="F206">
        <v>66</v>
      </c>
      <c r="G206">
        <v>0</v>
      </c>
      <c r="I206" t="s">
        <v>14633</v>
      </c>
      <c r="J206" t="s">
        <v>14189</v>
      </c>
      <c r="K206">
        <v>1</v>
      </c>
      <c r="U206" t="s">
        <v>12282</v>
      </c>
      <c r="V206">
        <v>29</v>
      </c>
      <c r="AE206" t="s">
        <v>7671</v>
      </c>
      <c r="AF206" t="s">
        <v>1644</v>
      </c>
      <c r="AI206" t="s">
        <v>1644</v>
      </c>
      <c r="AJ206" t="s">
        <v>190</v>
      </c>
      <c r="AM206" s="420" t="s">
        <v>12282</v>
      </c>
      <c r="AN206" s="421">
        <v>28</v>
      </c>
    </row>
    <row r="207" spans="1:40" x14ac:dyDescent="0.35">
      <c r="A207" t="s">
        <v>14634</v>
      </c>
      <c r="B207" t="s">
        <v>13022</v>
      </c>
      <c r="C207">
        <v>36322</v>
      </c>
      <c r="D207">
        <v>28901</v>
      </c>
      <c r="E207">
        <v>0</v>
      </c>
      <c r="F207">
        <v>3267</v>
      </c>
      <c r="G207">
        <v>4154</v>
      </c>
      <c r="I207" t="s">
        <v>14634</v>
      </c>
      <c r="J207" t="s">
        <v>13022</v>
      </c>
      <c r="K207">
        <v>60</v>
      </c>
      <c r="U207" t="s">
        <v>9853</v>
      </c>
      <c r="V207">
        <v>31</v>
      </c>
      <c r="AE207" t="s">
        <v>2053</v>
      </c>
      <c r="AF207" t="s">
        <v>1644</v>
      </c>
      <c r="AI207" t="s">
        <v>1477</v>
      </c>
      <c r="AJ207" t="s">
        <v>191</v>
      </c>
      <c r="AM207" s="420" t="s">
        <v>9853</v>
      </c>
      <c r="AN207" s="421">
        <v>31</v>
      </c>
    </row>
    <row r="208" spans="1:40" x14ac:dyDescent="0.35">
      <c r="A208" t="s">
        <v>14635</v>
      </c>
      <c r="B208" t="s">
        <v>13664</v>
      </c>
      <c r="C208">
        <v>9</v>
      </c>
      <c r="D208">
        <v>9</v>
      </c>
      <c r="E208">
        <v>0</v>
      </c>
      <c r="F208">
        <v>0</v>
      </c>
      <c r="G208">
        <v>0</v>
      </c>
      <c r="I208" t="s">
        <v>14635</v>
      </c>
      <c r="J208" t="s">
        <v>13664</v>
      </c>
      <c r="K208">
        <v>1</v>
      </c>
      <c r="U208" t="s">
        <v>4382</v>
      </c>
      <c r="V208">
        <v>20</v>
      </c>
      <c r="AE208" t="s">
        <v>158</v>
      </c>
      <c r="AF208" t="s">
        <v>1644</v>
      </c>
      <c r="AI208" t="s">
        <v>1644</v>
      </c>
      <c r="AJ208" t="s">
        <v>192</v>
      </c>
      <c r="AM208" s="420" t="s">
        <v>4382</v>
      </c>
      <c r="AN208" s="421">
        <v>21</v>
      </c>
    </row>
    <row r="209" spans="1:40" x14ac:dyDescent="0.35">
      <c r="A209" t="s">
        <v>14636</v>
      </c>
      <c r="B209" t="s">
        <v>13076</v>
      </c>
      <c r="C209">
        <v>3438</v>
      </c>
      <c r="D209">
        <v>971</v>
      </c>
      <c r="E209">
        <v>0</v>
      </c>
      <c r="F209">
        <v>0</v>
      </c>
      <c r="G209">
        <v>2467</v>
      </c>
      <c r="I209" t="s">
        <v>14636</v>
      </c>
      <c r="J209" t="s">
        <v>13076</v>
      </c>
      <c r="K209">
        <v>95</v>
      </c>
      <c r="U209" t="s">
        <v>6246</v>
      </c>
      <c r="V209">
        <v>24</v>
      </c>
      <c r="AE209" t="s">
        <v>170</v>
      </c>
      <c r="AF209" t="s">
        <v>1644</v>
      </c>
      <c r="AI209" t="s">
        <v>1059</v>
      </c>
      <c r="AJ209" t="s">
        <v>194</v>
      </c>
      <c r="AM209" s="420" t="s">
        <v>6246</v>
      </c>
      <c r="AN209" s="421">
        <v>23</v>
      </c>
    </row>
    <row r="210" spans="1:40" x14ac:dyDescent="0.35">
      <c r="A210" t="s">
        <v>14637</v>
      </c>
      <c r="B210" t="s">
        <v>13663</v>
      </c>
      <c r="C210">
        <v>392</v>
      </c>
      <c r="D210">
        <v>392</v>
      </c>
      <c r="E210">
        <v>0</v>
      </c>
      <c r="F210">
        <v>0</v>
      </c>
      <c r="G210">
        <v>0</v>
      </c>
      <c r="I210" t="s">
        <v>14637</v>
      </c>
      <c r="J210" t="s">
        <v>13663</v>
      </c>
      <c r="K210">
        <v>5</v>
      </c>
      <c r="U210" t="s">
        <v>3921</v>
      </c>
      <c r="V210">
        <v>24</v>
      </c>
      <c r="AE210" t="s">
        <v>172</v>
      </c>
      <c r="AF210" t="s">
        <v>1644</v>
      </c>
      <c r="AI210" t="s">
        <v>520</v>
      </c>
      <c r="AJ210" t="s">
        <v>197</v>
      </c>
      <c r="AM210" s="420" t="s">
        <v>3921</v>
      </c>
      <c r="AN210" s="421">
        <v>23</v>
      </c>
    </row>
    <row r="211" spans="1:40" x14ac:dyDescent="0.35">
      <c r="A211" t="s">
        <v>14638</v>
      </c>
      <c r="B211" t="s">
        <v>13848</v>
      </c>
      <c r="C211">
        <v>196</v>
      </c>
      <c r="D211">
        <v>196</v>
      </c>
      <c r="E211">
        <v>0</v>
      </c>
      <c r="F211">
        <v>0</v>
      </c>
      <c r="G211">
        <v>0</v>
      </c>
      <c r="I211" t="s">
        <v>14638</v>
      </c>
      <c r="J211" t="s">
        <v>13848</v>
      </c>
      <c r="K211">
        <v>1</v>
      </c>
      <c r="U211" t="s">
        <v>10393</v>
      </c>
      <c r="V211">
        <v>33</v>
      </c>
      <c r="AE211" t="s">
        <v>176</v>
      </c>
      <c r="AF211" t="s">
        <v>1644</v>
      </c>
      <c r="AI211" t="s">
        <v>1059</v>
      </c>
      <c r="AJ211" t="s">
        <v>198</v>
      </c>
      <c r="AM211" s="420" t="s">
        <v>10393</v>
      </c>
      <c r="AN211" s="421">
        <v>32</v>
      </c>
    </row>
    <row r="212" spans="1:40" x14ac:dyDescent="0.35">
      <c r="A212" t="s">
        <v>14639</v>
      </c>
      <c r="B212" t="s">
        <v>13493</v>
      </c>
      <c r="C212">
        <v>40191</v>
      </c>
      <c r="D212">
        <v>34038</v>
      </c>
      <c r="E212">
        <v>0</v>
      </c>
      <c r="F212">
        <v>4228</v>
      </c>
      <c r="G212">
        <v>1925</v>
      </c>
      <c r="I212" t="s">
        <v>14639</v>
      </c>
      <c r="J212" t="s">
        <v>13493</v>
      </c>
      <c r="K212">
        <v>11</v>
      </c>
      <c r="U212" t="s">
        <v>8779</v>
      </c>
      <c r="V212">
        <v>32</v>
      </c>
      <c r="AE212" t="s">
        <v>180</v>
      </c>
      <c r="AF212" t="s">
        <v>1644</v>
      </c>
      <c r="AI212" t="s">
        <v>1644</v>
      </c>
      <c r="AJ212" t="s">
        <v>200</v>
      </c>
      <c r="AM212" s="420" t="s">
        <v>8779</v>
      </c>
      <c r="AN212" s="421">
        <v>31</v>
      </c>
    </row>
    <row r="213" spans="1:40" x14ac:dyDescent="0.35">
      <c r="A213" t="s">
        <v>14640</v>
      </c>
      <c r="B213" t="s">
        <v>13312</v>
      </c>
      <c r="C213">
        <v>171</v>
      </c>
      <c r="D213">
        <v>22</v>
      </c>
      <c r="E213">
        <v>0</v>
      </c>
      <c r="F213">
        <v>149</v>
      </c>
      <c r="G213">
        <v>0</v>
      </c>
      <c r="I213" t="s">
        <v>14640</v>
      </c>
      <c r="J213" t="s">
        <v>13312</v>
      </c>
      <c r="K213">
        <v>4</v>
      </c>
      <c r="U213" t="s">
        <v>8456</v>
      </c>
      <c r="V213">
        <v>24</v>
      </c>
      <c r="AE213" t="s">
        <v>182</v>
      </c>
      <c r="AF213" t="s">
        <v>1644</v>
      </c>
      <c r="AI213" t="s">
        <v>1644</v>
      </c>
      <c r="AJ213" t="s">
        <v>201</v>
      </c>
      <c r="AM213" s="420" t="s">
        <v>8456</v>
      </c>
      <c r="AN213" s="421">
        <v>23</v>
      </c>
    </row>
    <row r="214" spans="1:40" x14ac:dyDescent="0.35">
      <c r="A214" t="s">
        <v>14641</v>
      </c>
      <c r="B214" t="s">
        <v>13546</v>
      </c>
      <c r="C214">
        <v>18334</v>
      </c>
      <c r="D214">
        <v>18317</v>
      </c>
      <c r="E214">
        <v>0</v>
      </c>
      <c r="F214">
        <v>0</v>
      </c>
      <c r="G214">
        <v>17</v>
      </c>
      <c r="I214" t="s">
        <v>14641</v>
      </c>
      <c r="J214" t="s">
        <v>13546</v>
      </c>
      <c r="K214">
        <v>5</v>
      </c>
      <c r="U214" t="s">
        <v>7545</v>
      </c>
      <c r="V214">
        <v>35</v>
      </c>
      <c r="AE214" t="s">
        <v>185</v>
      </c>
      <c r="AF214" t="s">
        <v>1644</v>
      </c>
      <c r="AI214" t="s">
        <v>1477</v>
      </c>
      <c r="AJ214" t="s">
        <v>202</v>
      </c>
      <c r="AM214" s="420" t="s">
        <v>7545</v>
      </c>
      <c r="AN214" s="421">
        <v>35</v>
      </c>
    </row>
    <row r="215" spans="1:40" x14ac:dyDescent="0.35">
      <c r="A215" t="s">
        <v>14642</v>
      </c>
      <c r="B215" t="s">
        <v>13543</v>
      </c>
      <c r="C215">
        <v>47</v>
      </c>
      <c r="D215">
        <v>47</v>
      </c>
      <c r="E215">
        <v>0</v>
      </c>
      <c r="F215">
        <v>0</v>
      </c>
      <c r="G215">
        <v>0</v>
      </c>
      <c r="I215" t="s">
        <v>14642</v>
      </c>
      <c r="J215" t="s">
        <v>13543</v>
      </c>
      <c r="K215">
        <v>2</v>
      </c>
      <c r="U215" t="s">
        <v>5068</v>
      </c>
      <c r="V215">
        <v>33</v>
      </c>
      <c r="AE215" t="s">
        <v>190</v>
      </c>
      <c r="AF215" t="s">
        <v>1644</v>
      </c>
      <c r="AI215" t="s">
        <v>1644</v>
      </c>
      <c r="AJ215" t="s">
        <v>203</v>
      </c>
      <c r="AM215" s="420" t="s">
        <v>5068</v>
      </c>
      <c r="AN215" s="421">
        <v>32</v>
      </c>
    </row>
    <row r="216" spans="1:40" x14ac:dyDescent="0.35">
      <c r="A216" t="s">
        <v>14643</v>
      </c>
      <c r="B216" t="s">
        <v>13237</v>
      </c>
      <c r="C216">
        <v>29864</v>
      </c>
      <c r="D216">
        <v>26941</v>
      </c>
      <c r="E216">
        <v>0</v>
      </c>
      <c r="F216">
        <v>1154</v>
      </c>
      <c r="G216">
        <v>1769</v>
      </c>
      <c r="I216" t="s">
        <v>14643</v>
      </c>
      <c r="J216" t="s">
        <v>13237</v>
      </c>
      <c r="K216">
        <v>25</v>
      </c>
      <c r="U216" t="s">
        <v>982</v>
      </c>
      <c r="V216">
        <v>15</v>
      </c>
      <c r="AE216" t="s">
        <v>192</v>
      </c>
      <c r="AF216" t="s">
        <v>1644</v>
      </c>
      <c r="AI216" t="s">
        <v>1184</v>
      </c>
      <c r="AJ216" t="s">
        <v>204</v>
      </c>
      <c r="AM216" s="420" t="s">
        <v>982</v>
      </c>
      <c r="AN216" s="421">
        <v>15</v>
      </c>
    </row>
    <row r="217" spans="1:40" x14ac:dyDescent="0.35">
      <c r="A217" t="s">
        <v>14644</v>
      </c>
      <c r="B217" t="s">
        <v>13657</v>
      </c>
      <c r="C217">
        <v>2327</v>
      </c>
      <c r="D217">
        <v>1293</v>
      </c>
      <c r="E217">
        <v>0</v>
      </c>
      <c r="F217">
        <v>370</v>
      </c>
      <c r="G217">
        <v>664</v>
      </c>
      <c r="I217" t="s">
        <v>14644</v>
      </c>
      <c r="J217" t="s">
        <v>13657</v>
      </c>
      <c r="K217">
        <v>6</v>
      </c>
      <c r="U217" t="s">
        <v>9895</v>
      </c>
      <c r="V217">
        <v>40</v>
      </c>
      <c r="AE217" t="s">
        <v>200</v>
      </c>
      <c r="AF217" t="s">
        <v>1644</v>
      </c>
      <c r="AI217" t="s">
        <v>520</v>
      </c>
      <c r="AJ217" t="s">
        <v>205</v>
      </c>
      <c r="AM217" s="420" t="s">
        <v>9895</v>
      </c>
      <c r="AN217" s="421">
        <v>39</v>
      </c>
    </row>
    <row r="218" spans="1:40" x14ac:dyDescent="0.35">
      <c r="A218" t="s">
        <v>14645</v>
      </c>
      <c r="B218" t="s">
        <v>13633</v>
      </c>
      <c r="C218">
        <v>18</v>
      </c>
      <c r="D218">
        <v>18</v>
      </c>
      <c r="E218">
        <v>0</v>
      </c>
      <c r="F218">
        <v>0</v>
      </c>
      <c r="G218">
        <v>0</v>
      </c>
      <c r="I218" t="s">
        <v>14645</v>
      </c>
      <c r="J218" t="s">
        <v>13633</v>
      </c>
      <c r="K218">
        <v>1</v>
      </c>
      <c r="U218" t="s">
        <v>10770</v>
      </c>
      <c r="V218">
        <v>34</v>
      </c>
      <c r="AE218" t="s">
        <v>201</v>
      </c>
      <c r="AF218" t="s">
        <v>1644</v>
      </c>
      <c r="AI218" t="s">
        <v>898</v>
      </c>
      <c r="AJ218" t="s">
        <v>207</v>
      </c>
      <c r="AM218" s="420" t="s">
        <v>10770</v>
      </c>
      <c r="AN218" s="421">
        <v>33</v>
      </c>
    </row>
    <row r="219" spans="1:40" x14ac:dyDescent="0.35">
      <c r="A219" t="s">
        <v>14646</v>
      </c>
      <c r="B219" t="s">
        <v>13038</v>
      </c>
      <c r="C219">
        <v>9279</v>
      </c>
      <c r="D219">
        <v>4095</v>
      </c>
      <c r="E219">
        <v>0</v>
      </c>
      <c r="F219">
        <v>0</v>
      </c>
      <c r="G219">
        <v>5184</v>
      </c>
      <c r="I219" t="s">
        <v>14646</v>
      </c>
      <c r="J219" t="s">
        <v>13038</v>
      </c>
      <c r="K219">
        <v>149</v>
      </c>
      <c r="U219" t="s">
        <v>10226</v>
      </c>
      <c r="V219">
        <v>38</v>
      </c>
      <c r="AE219" t="s">
        <v>203</v>
      </c>
      <c r="AF219" t="s">
        <v>1644</v>
      </c>
      <c r="AI219" t="s">
        <v>1477</v>
      </c>
      <c r="AJ219" t="s">
        <v>209</v>
      </c>
      <c r="AM219" s="420" t="s">
        <v>10226</v>
      </c>
      <c r="AN219" s="421">
        <v>37</v>
      </c>
    </row>
    <row r="220" spans="1:40" x14ac:dyDescent="0.35">
      <c r="A220" t="s">
        <v>14647</v>
      </c>
      <c r="B220" t="s">
        <v>13039</v>
      </c>
      <c r="C220">
        <v>6820</v>
      </c>
      <c r="D220">
        <v>6820</v>
      </c>
      <c r="E220">
        <v>0</v>
      </c>
      <c r="F220">
        <v>0</v>
      </c>
      <c r="G220">
        <v>0</v>
      </c>
      <c r="I220" t="s">
        <v>14647</v>
      </c>
      <c r="J220" t="s">
        <v>13039</v>
      </c>
      <c r="K220">
        <v>126</v>
      </c>
      <c r="U220" t="s">
        <v>5678</v>
      </c>
      <c r="V220">
        <v>22</v>
      </c>
      <c r="AE220" t="s">
        <v>208</v>
      </c>
      <c r="AF220" t="s">
        <v>1644</v>
      </c>
      <c r="AI220" t="s">
        <v>520</v>
      </c>
      <c r="AJ220" t="s">
        <v>211</v>
      </c>
      <c r="AM220" s="420" t="s">
        <v>5678</v>
      </c>
      <c r="AN220" s="421">
        <v>22</v>
      </c>
    </row>
    <row r="221" spans="1:40" x14ac:dyDescent="0.35">
      <c r="A221" t="s">
        <v>14648</v>
      </c>
      <c r="B221" t="s">
        <v>13035</v>
      </c>
      <c r="C221">
        <v>48422</v>
      </c>
      <c r="D221">
        <v>37945</v>
      </c>
      <c r="E221">
        <v>0</v>
      </c>
      <c r="F221">
        <v>3482</v>
      </c>
      <c r="G221">
        <v>6995</v>
      </c>
      <c r="I221" t="s">
        <v>14648</v>
      </c>
      <c r="J221" t="s">
        <v>13035</v>
      </c>
      <c r="K221">
        <v>70</v>
      </c>
      <c r="U221" t="s">
        <v>10435</v>
      </c>
      <c r="V221">
        <v>47</v>
      </c>
      <c r="AE221" t="s">
        <v>214</v>
      </c>
      <c r="AF221" t="s">
        <v>1644</v>
      </c>
      <c r="AI221" t="s">
        <v>520</v>
      </c>
      <c r="AJ221" t="s">
        <v>212</v>
      </c>
      <c r="AM221" s="420" t="s">
        <v>10435</v>
      </c>
      <c r="AN221" s="421">
        <v>46</v>
      </c>
    </row>
    <row r="222" spans="1:40" x14ac:dyDescent="0.35">
      <c r="A222" t="s">
        <v>14649</v>
      </c>
      <c r="B222" t="s">
        <v>14105</v>
      </c>
      <c r="C222">
        <v>95</v>
      </c>
      <c r="D222">
        <v>0</v>
      </c>
      <c r="E222">
        <v>0</v>
      </c>
      <c r="F222">
        <v>95</v>
      </c>
      <c r="G222">
        <v>0</v>
      </c>
      <c r="I222" t="s">
        <v>14649</v>
      </c>
      <c r="J222" t="s">
        <v>14105</v>
      </c>
      <c r="K222">
        <v>1</v>
      </c>
      <c r="U222" t="s">
        <v>2263</v>
      </c>
      <c r="V222">
        <v>34</v>
      </c>
      <c r="AE222" t="s">
        <v>215</v>
      </c>
      <c r="AF222" t="s">
        <v>1644</v>
      </c>
      <c r="AI222" t="s">
        <v>1184</v>
      </c>
      <c r="AJ222" t="s">
        <v>213</v>
      </c>
      <c r="AM222" s="420" t="s">
        <v>2263</v>
      </c>
      <c r="AN222" s="421">
        <v>33</v>
      </c>
    </row>
    <row r="223" spans="1:40" x14ac:dyDescent="0.35">
      <c r="A223" t="s">
        <v>14650</v>
      </c>
      <c r="B223" t="s">
        <v>13550</v>
      </c>
      <c r="C223">
        <v>17</v>
      </c>
      <c r="D223">
        <v>6</v>
      </c>
      <c r="E223">
        <v>0</v>
      </c>
      <c r="F223">
        <v>11</v>
      </c>
      <c r="G223">
        <v>0</v>
      </c>
      <c r="I223" t="s">
        <v>14650</v>
      </c>
      <c r="J223" t="s">
        <v>13550</v>
      </c>
      <c r="K223">
        <v>1</v>
      </c>
      <c r="U223" t="s">
        <v>1803</v>
      </c>
      <c r="V223">
        <v>35</v>
      </c>
      <c r="AE223" t="s">
        <v>217</v>
      </c>
      <c r="AF223" t="s">
        <v>1644</v>
      </c>
      <c r="AI223" t="s">
        <v>1644</v>
      </c>
      <c r="AJ223" t="s">
        <v>214</v>
      </c>
      <c r="AM223" s="420" t="s">
        <v>1803</v>
      </c>
      <c r="AN223" s="421">
        <v>34</v>
      </c>
    </row>
    <row r="224" spans="1:40" x14ac:dyDescent="0.35">
      <c r="A224" t="s">
        <v>14651</v>
      </c>
      <c r="B224" t="s">
        <v>13530</v>
      </c>
      <c r="C224">
        <v>7</v>
      </c>
      <c r="D224">
        <v>7</v>
      </c>
      <c r="E224">
        <v>0</v>
      </c>
      <c r="F224">
        <v>0</v>
      </c>
      <c r="G224">
        <v>0</v>
      </c>
      <c r="I224" t="s">
        <v>14651</v>
      </c>
      <c r="J224" t="s">
        <v>13530</v>
      </c>
      <c r="K224">
        <v>1</v>
      </c>
      <c r="U224" t="s">
        <v>10812</v>
      </c>
      <c r="V224">
        <v>36</v>
      </c>
      <c r="AE224" t="s">
        <v>218</v>
      </c>
      <c r="AF224" t="s">
        <v>1644</v>
      </c>
      <c r="AI224" t="s">
        <v>520</v>
      </c>
      <c r="AJ224" t="s">
        <v>216</v>
      </c>
      <c r="AM224" s="420" t="s">
        <v>10812</v>
      </c>
      <c r="AN224" s="421">
        <v>35</v>
      </c>
    </row>
    <row r="225" spans="1:40" x14ac:dyDescent="0.35">
      <c r="A225" t="s">
        <v>14652</v>
      </c>
      <c r="B225" t="s">
        <v>13622</v>
      </c>
      <c r="C225">
        <v>35</v>
      </c>
      <c r="D225">
        <v>10</v>
      </c>
      <c r="E225">
        <v>0</v>
      </c>
      <c r="F225">
        <v>25</v>
      </c>
      <c r="G225">
        <v>0</v>
      </c>
      <c r="I225" t="s">
        <v>14652</v>
      </c>
      <c r="J225" t="s">
        <v>13622</v>
      </c>
      <c r="K225">
        <v>1</v>
      </c>
      <c r="U225" t="s">
        <v>2882</v>
      </c>
      <c r="V225">
        <v>70</v>
      </c>
      <c r="AE225" t="s">
        <v>221</v>
      </c>
      <c r="AF225" t="s">
        <v>1644</v>
      </c>
      <c r="AI225" t="s">
        <v>1644</v>
      </c>
      <c r="AJ225" t="s">
        <v>217</v>
      </c>
      <c r="AM225" s="420" t="s">
        <v>2882</v>
      </c>
      <c r="AN225" s="421">
        <v>69</v>
      </c>
    </row>
    <row r="226" spans="1:40" x14ac:dyDescent="0.35">
      <c r="A226" t="s">
        <v>14653</v>
      </c>
      <c r="B226" t="s">
        <v>13462</v>
      </c>
      <c r="C226">
        <v>2357</v>
      </c>
      <c r="D226">
        <v>1666</v>
      </c>
      <c r="E226">
        <v>0</v>
      </c>
      <c r="F226">
        <v>508</v>
      </c>
      <c r="G226">
        <v>183</v>
      </c>
      <c r="I226" t="s">
        <v>14653</v>
      </c>
      <c r="J226" t="s">
        <v>13462</v>
      </c>
      <c r="K226">
        <v>6</v>
      </c>
      <c r="U226" t="s">
        <v>3084</v>
      </c>
      <c r="V226">
        <v>36</v>
      </c>
      <c r="AE226" t="s">
        <v>1183</v>
      </c>
      <c r="AF226" t="s">
        <v>1184</v>
      </c>
      <c r="AI226" t="s">
        <v>1644</v>
      </c>
      <c r="AJ226" t="s">
        <v>218</v>
      </c>
      <c r="AM226" s="420" t="s">
        <v>3084</v>
      </c>
      <c r="AN226" s="421">
        <v>35</v>
      </c>
    </row>
    <row r="227" spans="1:40" x14ac:dyDescent="0.35">
      <c r="A227" t="s">
        <v>14654</v>
      </c>
      <c r="B227" t="s">
        <v>13105</v>
      </c>
      <c r="C227">
        <v>1195</v>
      </c>
      <c r="D227">
        <v>0</v>
      </c>
      <c r="E227">
        <v>0</v>
      </c>
      <c r="F227">
        <v>0</v>
      </c>
      <c r="G227">
        <v>1195</v>
      </c>
      <c r="I227" t="s">
        <v>14654</v>
      </c>
      <c r="J227" t="s">
        <v>13105</v>
      </c>
      <c r="K227">
        <v>30</v>
      </c>
      <c r="U227" t="s">
        <v>3420</v>
      </c>
      <c r="V227">
        <v>27</v>
      </c>
      <c r="AE227" t="s">
        <v>2548</v>
      </c>
      <c r="AF227" t="s">
        <v>1184</v>
      </c>
      <c r="AI227" t="s">
        <v>1059</v>
      </c>
      <c r="AJ227" t="s">
        <v>219</v>
      </c>
      <c r="AM227" s="420" t="s">
        <v>3420</v>
      </c>
      <c r="AN227" s="421">
        <v>26</v>
      </c>
    </row>
    <row r="228" spans="1:40" x14ac:dyDescent="0.35">
      <c r="A228" t="s">
        <v>14655</v>
      </c>
      <c r="B228" t="s">
        <v>13880</v>
      </c>
      <c r="C228">
        <v>135</v>
      </c>
      <c r="D228">
        <v>0</v>
      </c>
      <c r="E228">
        <v>0</v>
      </c>
      <c r="F228">
        <v>135</v>
      </c>
      <c r="G228">
        <v>0</v>
      </c>
      <c r="I228" t="s">
        <v>14655</v>
      </c>
      <c r="J228" t="s">
        <v>13880</v>
      </c>
      <c r="K228">
        <v>2</v>
      </c>
      <c r="U228" t="s">
        <v>1310</v>
      </c>
      <c r="V228">
        <v>38</v>
      </c>
      <c r="AE228" t="s">
        <v>1226</v>
      </c>
      <c r="AF228" t="s">
        <v>1184</v>
      </c>
      <c r="AI228" t="s">
        <v>1059</v>
      </c>
      <c r="AJ228" t="s">
        <v>220</v>
      </c>
      <c r="AM228" s="420" t="s">
        <v>1310</v>
      </c>
      <c r="AN228" s="421">
        <v>38</v>
      </c>
    </row>
    <row r="229" spans="1:40" x14ac:dyDescent="0.35">
      <c r="A229" t="s">
        <v>14656</v>
      </c>
      <c r="B229" t="s">
        <v>13092</v>
      </c>
      <c r="C229">
        <v>169</v>
      </c>
      <c r="D229">
        <v>169</v>
      </c>
      <c r="E229">
        <v>0</v>
      </c>
      <c r="F229">
        <v>0</v>
      </c>
      <c r="G229">
        <v>0</v>
      </c>
      <c r="I229" t="s">
        <v>14656</v>
      </c>
      <c r="J229" t="s">
        <v>13092</v>
      </c>
      <c r="K229">
        <v>9</v>
      </c>
      <c r="U229" t="s">
        <v>3630</v>
      </c>
      <c r="V229">
        <v>26</v>
      </c>
      <c r="AE229" t="s">
        <v>4498</v>
      </c>
      <c r="AF229" t="s">
        <v>1184</v>
      </c>
      <c r="AI229" t="s">
        <v>1644</v>
      </c>
      <c r="AJ229" t="s">
        <v>221</v>
      </c>
      <c r="AM229" s="420" t="s">
        <v>3630</v>
      </c>
      <c r="AN229" s="421">
        <v>25</v>
      </c>
    </row>
    <row r="230" spans="1:40" x14ac:dyDescent="0.35">
      <c r="A230" t="s">
        <v>14657</v>
      </c>
      <c r="B230" t="s">
        <v>13459</v>
      </c>
      <c r="C230">
        <v>8</v>
      </c>
      <c r="D230">
        <v>8</v>
      </c>
      <c r="E230">
        <v>0</v>
      </c>
      <c r="F230">
        <v>0</v>
      </c>
      <c r="G230">
        <v>0</v>
      </c>
      <c r="I230" t="s">
        <v>14657</v>
      </c>
      <c r="J230" t="s">
        <v>13459</v>
      </c>
      <c r="K230">
        <v>2</v>
      </c>
      <c r="U230" t="s">
        <v>6874</v>
      </c>
      <c r="V230">
        <v>24</v>
      </c>
      <c r="AE230" t="s">
        <v>2305</v>
      </c>
      <c r="AF230" t="s">
        <v>1184</v>
      </c>
      <c r="AI230" t="s">
        <v>898</v>
      </c>
      <c r="AJ230" t="s">
        <v>898</v>
      </c>
      <c r="AM230" s="420" t="s">
        <v>6874</v>
      </c>
      <c r="AN230" s="421">
        <v>23</v>
      </c>
    </row>
    <row r="231" spans="1:40" x14ac:dyDescent="0.35">
      <c r="A231" t="s">
        <v>14658</v>
      </c>
      <c r="B231" t="s">
        <v>14373</v>
      </c>
      <c r="C231">
        <v>42</v>
      </c>
      <c r="D231">
        <v>42</v>
      </c>
      <c r="E231">
        <v>0</v>
      </c>
      <c r="F231">
        <v>0</v>
      </c>
      <c r="G231">
        <v>0</v>
      </c>
      <c r="I231" t="s">
        <v>14658</v>
      </c>
      <c r="J231" t="s">
        <v>14373</v>
      </c>
      <c r="K231">
        <v>1</v>
      </c>
      <c r="U231" t="s">
        <v>6916</v>
      </c>
      <c r="V231">
        <v>32</v>
      </c>
      <c r="AE231" t="s">
        <v>4540</v>
      </c>
      <c r="AF231" t="s">
        <v>1184</v>
      </c>
      <c r="AI231" t="s">
        <v>1477</v>
      </c>
      <c r="AJ231" t="s">
        <v>1477</v>
      </c>
      <c r="AM231" s="420" t="s">
        <v>6916</v>
      </c>
      <c r="AN231" s="421">
        <v>31</v>
      </c>
    </row>
    <row r="232" spans="1:40" x14ac:dyDescent="0.35">
      <c r="A232" t="s">
        <v>14659</v>
      </c>
      <c r="B232" t="s">
        <v>14301</v>
      </c>
      <c r="C232">
        <v>4</v>
      </c>
      <c r="D232">
        <v>4</v>
      </c>
      <c r="E232">
        <v>0</v>
      </c>
      <c r="F232">
        <v>0</v>
      </c>
      <c r="G232">
        <v>0</v>
      </c>
      <c r="I232" t="s">
        <v>14659</v>
      </c>
      <c r="J232" t="s">
        <v>14301</v>
      </c>
      <c r="K232">
        <v>1</v>
      </c>
      <c r="U232" t="s">
        <v>7251</v>
      </c>
      <c r="V232">
        <v>27</v>
      </c>
      <c r="AE232" t="s">
        <v>2590</v>
      </c>
      <c r="AF232" t="s">
        <v>1184</v>
      </c>
      <c r="AI232" t="s">
        <v>11188</v>
      </c>
      <c r="AJ232" t="s">
        <v>11188</v>
      </c>
      <c r="AM232" s="420" t="s">
        <v>7251</v>
      </c>
      <c r="AN232" s="421">
        <v>26</v>
      </c>
    </row>
    <row r="233" spans="1:40" x14ac:dyDescent="0.35">
      <c r="A233" t="s">
        <v>14660</v>
      </c>
      <c r="B233" t="s">
        <v>13631</v>
      </c>
      <c r="C233">
        <v>86</v>
      </c>
      <c r="D233">
        <v>86</v>
      </c>
      <c r="E233">
        <v>0</v>
      </c>
      <c r="F233">
        <v>0</v>
      </c>
      <c r="G233">
        <v>0</v>
      </c>
      <c r="I233" t="s">
        <v>14660</v>
      </c>
      <c r="J233" t="s">
        <v>13631</v>
      </c>
      <c r="K233">
        <v>1</v>
      </c>
      <c r="U233" t="s">
        <v>7671</v>
      </c>
      <c r="V233">
        <v>46</v>
      </c>
      <c r="AE233" t="s">
        <v>3462</v>
      </c>
      <c r="AF233" t="s">
        <v>1184</v>
      </c>
      <c r="AI233" t="s">
        <v>292</v>
      </c>
      <c r="AJ233" t="s">
        <v>292</v>
      </c>
      <c r="AM233" s="420" t="s">
        <v>7671</v>
      </c>
      <c r="AN233" s="421">
        <v>45</v>
      </c>
    </row>
    <row r="234" spans="1:40" x14ac:dyDescent="0.35">
      <c r="A234" t="s">
        <v>14661</v>
      </c>
      <c r="B234" t="s">
        <v>13282</v>
      </c>
      <c r="C234">
        <v>80</v>
      </c>
      <c r="D234">
        <v>80</v>
      </c>
      <c r="E234">
        <v>0</v>
      </c>
      <c r="F234">
        <v>0</v>
      </c>
      <c r="G234">
        <v>0</v>
      </c>
      <c r="I234" t="s">
        <v>14661</v>
      </c>
      <c r="J234" t="s">
        <v>13282</v>
      </c>
      <c r="K234">
        <v>1</v>
      </c>
      <c r="U234" t="s">
        <v>6288</v>
      </c>
      <c r="V234">
        <v>28</v>
      </c>
      <c r="AE234" t="s">
        <v>3504</v>
      </c>
      <c r="AF234" t="s">
        <v>1184</v>
      </c>
      <c r="AI234" t="s">
        <v>520</v>
      </c>
      <c r="AJ234" t="s">
        <v>520</v>
      </c>
      <c r="AM234" s="420" t="s">
        <v>6288</v>
      </c>
      <c r="AN234" s="421">
        <v>27</v>
      </c>
    </row>
    <row r="235" spans="1:40" x14ac:dyDescent="0.35">
      <c r="A235" t="s">
        <v>14662</v>
      </c>
      <c r="B235" t="s">
        <v>14211</v>
      </c>
      <c r="C235">
        <v>102</v>
      </c>
      <c r="D235">
        <v>0</v>
      </c>
      <c r="E235">
        <v>0</v>
      </c>
      <c r="F235">
        <v>102</v>
      </c>
      <c r="G235">
        <v>0</v>
      </c>
      <c r="I235" t="s">
        <v>14662</v>
      </c>
      <c r="J235" t="s">
        <v>14211</v>
      </c>
      <c r="K235">
        <v>1</v>
      </c>
      <c r="U235" t="s">
        <v>7955</v>
      </c>
      <c r="V235">
        <v>18</v>
      </c>
      <c r="AE235" t="s">
        <v>4574</v>
      </c>
      <c r="AF235" t="s">
        <v>1184</v>
      </c>
      <c r="AI235" t="s">
        <v>1644</v>
      </c>
      <c r="AJ235" t="s">
        <v>1644</v>
      </c>
      <c r="AM235" s="420" t="s">
        <v>7955</v>
      </c>
      <c r="AN235" s="421">
        <v>18</v>
      </c>
    </row>
    <row r="236" spans="1:40" x14ac:dyDescent="0.35">
      <c r="A236" t="s">
        <v>14663</v>
      </c>
      <c r="B236" t="s">
        <v>13540</v>
      </c>
      <c r="C236">
        <v>3</v>
      </c>
      <c r="D236">
        <v>3</v>
      </c>
      <c r="E236">
        <v>0</v>
      </c>
      <c r="F236">
        <v>0</v>
      </c>
      <c r="G236">
        <v>0</v>
      </c>
      <c r="I236" t="s">
        <v>14663</v>
      </c>
      <c r="J236" t="s">
        <v>13540</v>
      </c>
      <c r="K236">
        <v>1</v>
      </c>
      <c r="U236" t="s">
        <v>10561</v>
      </c>
      <c r="V236">
        <v>25</v>
      </c>
      <c r="AE236" t="s">
        <v>4616</v>
      </c>
      <c r="AF236" t="s">
        <v>1184</v>
      </c>
      <c r="AI236" t="s">
        <v>1184</v>
      </c>
      <c r="AJ236" t="s">
        <v>1184</v>
      </c>
      <c r="AM236" s="420" t="s">
        <v>10561</v>
      </c>
      <c r="AN236" s="421">
        <v>24</v>
      </c>
    </row>
    <row r="237" spans="1:40" x14ac:dyDescent="0.35">
      <c r="A237" t="s">
        <v>14664</v>
      </c>
      <c r="B237" t="s">
        <v>14027</v>
      </c>
      <c r="C237">
        <v>235</v>
      </c>
      <c r="D237">
        <v>235</v>
      </c>
      <c r="E237">
        <v>0</v>
      </c>
      <c r="F237">
        <v>0</v>
      </c>
      <c r="G237">
        <v>0</v>
      </c>
      <c r="I237" t="s">
        <v>14664</v>
      </c>
      <c r="J237" t="s">
        <v>14027</v>
      </c>
      <c r="K237">
        <v>1</v>
      </c>
      <c r="U237" t="s">
        <v>2053</v>
      </c>
      <c r="V237">
        <v>42</v>
      </c>
      <c r="AE237" t="s">
        <v>2347</v>
      </c>
      <c r="AF237" t="s">
        <v>1184</v>
      </c>
      <c r="AI237" t="s">
        <v>1059</v>
      </c>
      <c r="AJ237" t="s">
        <v>1059</v>
      </c>
      <c r="AM237" s="420" t="s">
        <v>2053</v>
      </c>
      <c r="AN237" s="421">
        <v>41</v>
      </c>
    </row>
    <row r="238" spans="1:40" x14ac:dyDescent="0.35">
      <c r="A238" t="s">
        <v>14665</v>
      </c>
      <c r="B238" t="s">
        <v>13029</v>
      </c>
      <c r="C238">
        <v>1692</v>
      </c>
      <c r="D238">
        <v>0</v>
      </c>
      <c r="E238">
        <v>0</v>
      </c>
      <c r="F238">
        <v>0</v>
      </c>
      <c r="G238">
        <v>1692</v>
      </c>
      <c r="I238" t="s">
        <v>14665</v>
      </c>
      <c r="J238" t="s">
        <v>13029</v>
      </c>
      <c r="K238">
        <v>88</v>
      </c>
      <c r="U238" t="s">
        <v>156</v>
      </c>
      <c r="V238">
        <v>38</v>
      </c>
      <c r="AE238" t="s">
        <v>3546</v>
      </c>
      <c r="AF238" t="s">
        <v>1184</v>
      </c>
      <c r="AI238" t="s">
        <v>688</v>
      </c>
      <c r="AJ238" t="s">
        <v>688</v>
      </c>
      <c r="AM238" s="420" t="s">
        <v>156</v>
      </c>
      <c r="AN238" s="421">
        <v>37</v>
      </c>
    </row>
    <row r="239" spans="1:40" x14ac:dyDescent="0.35">
      <c r="A239" t="s">
        <v>14666</v>
      </c>
      <c r="B239" t="s">
        <v>13339</v>
      </c>
      <c r="C239">
        <v>28</v>
      </c>
      <c r="D239">
        <v>28</v>
      </c>
      <c r="E239">
        <v>0</v>
      </c>
      <c r="F239">
        <v>0</v>
      </c>
      <c r="G239">
        <v>0</v>
      </c>
      <c r="I239" t="s">
        <v>14666</v>
      </c>
      <c r="J239" t="s">
        <v>13339</v>
      </c>
      <c r="K239">
        <v>2</v>
      </c>
      <c r="U239" t="s">
        <v>157</v>
      </c>
      <c r="V239">
        <v>58</v>
      </c>
      <c r="AE239" t="s">
        <v>3588</v>
      </c>
      <c r="AF239" t="s">
        <v>1184</v>
      </c>
      <c r="AI239" t="s">
        <v>109</v>
      </c>
      <c r="AJ239" t="s">
        <v>109</v>
      </c>
      <c r="AM239" s="420" t="s">
        <v>157</v>
      </c>
      <c r="AN239" s="421">
        <v>57</v>
      </c>
    </row>
    <row r="240" spans="1:40" x14ac:dyDescent="0.35">
      <c r="A240" t="s">
        <v>14667</v>
      </c>
      <c r="B240" t="s">
        <v>13797</v>
      </c>
      <c r="C240">
        <v>28</v>
      </c>
      <c r="D240">
        <v>28</v>
      </c>
      <c r="E240">
        <v>0</v>
      </c>
      <c r="F240">
        <v>0</v>
      </c>
      <c r="G240">
        <v>0</v>
      </c>
      <c r="I240" t="s">
        <v>14667</v>
      </c>
      <c r="J240" t="s">
        <v>13797</v>
      </c>
      <c r="K240">
        <v>1</v>
      </c>
      <c r="U240" t="s">
        <v>158</v>
      </c>
      <c r="V240">
        <v>18</v>
      </c>
      <c r="AE240" t="s">
        <v>1268</v>
      </c>
      <c r="AF240" t="s">
        <v>1184</v>
      </c>
      <c r="AM240" s="420" t="s">
        <v>158</v>
      </c>
      <c r="AN240" s="421">
        <v>17</v>
      </c>
    </row>
    <row r="241" spans="1:40" x14ac:dyDescent="0.35">
      <c r="A241" t="s">
        <v>14668</v>
      </c>
      <c r="B241" t="s">
        <v>14305</v>
      </c>
      <c r="C241">
        <v>11</v>
      </c>
      <c r="D241">
        <v>11</v>
      </c>
      <c r="E241">
        <v>0</v>
      </c>
      <c r="F241">
        <v>0</v>
      </c>
      <c r="G241">
        <v>0</v>
      </c>
      <c r="I241" t="s">
        <v>14668</v>
      </c>
      <c r="J241" t="s">
        <v>14305</v>
      </c>
      <c r="K241">
        <v>1</v>
      </c>
      <c r="U241" t="s">
        <v>159</v>
      </c>
      <c r="V241">
        <v>28</v>
      </c>
      <c r="AE241" t="s">
        <v>1352</v>
      </c>
      <c r="AF241" t="s">
        <v>1184</v>
      </c>
      <c r="AM241" s="420" t="s">
        <v>159</v>
      </c>
      <c r="AN241" s="421">
        <v>27</v>
      </c>
    </row>
    <row r="242" spans="1:40" x14ac:dyDescent="0.35">
      <c r="A242" t="s">
        <v>14669</v>
      </c>
      <c r="B242" t="s">
        <v>13551</v>
      </c>
      <c r="C242">
        <v>1759</v>
      </c>
      <c r="D242">
        <v>1694</v>
      </c>
      <c r="E242">
        <v>0</v>
      </c>
      <c r="F242">
        <v>62</v>
      </c>
      <c r="G242">
        <v>3</v>
      </c>
      <c r="I242" t="s">
        <v>14669</v>
      </c>
      <c r="J242" t="s">
        <v>13551</v>
      </c>
      <c r="K242">
        <v>4</v>
      </c>
      <c r="U242" t="s">
        <v>160</v>
      </c>
      <c r="V242">
        <v>29</v>
      </c>
      <c r="AE242" t="s">
        <v>2882</v>
      </c>
      <c r="AF242" t="s">
        <v>1184</v>
      </c>
      <c r="AM242" s="420" t="s">
        <v>160</v>
      </c>
      <c r="AN242" s="421">
        <v>29</v>
      </c>
    </row>
    <row r="243" spans="1:40" x14ac:dyDescent="0.35">
      <c r="A243" t="s">
        <v>14670</v>
      </c>
      <c r="B243" t="s">
        <v>14299</v>
      </c>
      <c r="C243">
        <v>17</v>
      </c>
      <c r="D243">
        <v>9</v>
      </c>
      <c r="E243">
        <v>0</v>
      </c>
      <c r="F243">
        <v>8</v>
      </c>
      <c r="G243">
        <v>0</v>
      </c>
      <c r="I243" t="s">
        <v>14670</v>
      </c>
      <c r="J243" t="s">
        <v>14299</v>
      </c>
      <c r="K243">
        <v>1</v>
      </c>
      <c r="U243" t="s">
        <v>161</v>
      </c>
      <c r="V243">
        <v>24</v>
      </c>
      <c r="AE243" t="s">
        <v>1310</v>
      </c>
      <c r="AF243" t="s">
        <v>1184</v>
      </c>
      <c r="AM243" s="420" t="s">
        <v>161</v>
      </c>
      <c r="AN243" s="421">
        <v>24</v>
      </c>
    </row>
    <row r="244" spans="1:40" x14ac:dyDescent="0.35">
      <c r="A244" t="s">
        <v>14671</v>
      </c>
      <c r="B244" t="s">
        <v>13359</v>
      </c>
      <c r="C244">
        <v>211</v>
      </c>
      <c r="D244">
        <v>211</v>
      </c>
      <c r="E244">
        <v>0</v>
      </c>
      <c r="F244">
        <v>0</v>
      </c>
      <c r="G244">
        <v>0</v>
      </c>
      <c r="I244" t="s">
        <v>14671</v>
      </c>
      <c r="J244" t="s">
        <v>13359</v>
      </c>
      <c r="K244">
        <v>4</v>
      </c>
      <c r="U244" t="s">
        <v>162</v>
      </c>
      <c r="V244">
        <v>29</v>
      </c>
      <c r="AE244" t="s">
        <v>3630</v>
      </c>
      <c r="AF244" t="s">
        <v>1184</v>
      </c>
      <c r="AM244" s="420" t="s">
        <v>162</v>
      </c>
      <c r="AN244" s="421">
        <v>29</v>
      </c>
    </row>
    <row r="245" spans="1:40" x14ac:dyDescent="0.35">
      <c r="A245" t="s">
        <v>14672</v>
      </c>
      <c r="B245" t="s">
        <v>13727</v>
      </c>
      <c r="C245">
        <v>14</v>
      </c>
      <c r="D245">
        <v>0</v>
      </c>
      <c r="E245">
        <v>0</v>
      </c>
      <c r="F245">
        <v>14</v>
      </c>
      <c r="G245">
        <v>0</v>
      </c>
      <c r="I245" t="s">
        <v>14672</v>
      </c>
      <c r="J245" t="s">
        <v>13727</v>
      </c>
      <c r="K245">
        <v>1</v>
      </c>
      <c r="U245" t="s">
        <v>163</v>
      </c>
      <c r="V245">
        <v>32</v>
      </c>
      <c r="AE245" t="s">
        <v>168</v>
      </c>
      <c r="AF245" t="s">
        <v>1184</v>
      </c>
      <c r="AM245" s="420" t="s">
        <v>163</v>
      </c>
      <c r="AN245" s="421">
        <v>31</v>
      </c>
    </row>
    <row r="246" spans="1:40" x14ac:dyDescent="0.35">
      <c r="A246" t="s">
        <v>14673</v>
      </c>
      <c r="B246" t="s">
        <v>13314</v>
      </c>
      <c r="C246">
        <v>10</v>
      </c>
      <c r="D246">
        <v>0</v>
      </c>
      <c r="E246">
        <v>0</v>
      </c>
      <c r="F246">
        <v>10</v>
      </c>
      <c r="G246">
        <v>0</v>
      </c>
      <c r="I246" t="s">
        <v>14673</v>
      </c>
      <c r="J246" t="s">
        <v>13314</v>
      </c>
      <c r="K246">
        <v>1</v>
      </c>
      <c r="U246" t="s">
        <v>164</v>
      </c>
      <c r="V246">
        <v>34</v>
      </c>
      <c r="AE246" t="s">
        <v>173</v>
      </c>
      <c r="AF246" t="s">
        <v>1184</v>
      </c>
      <c r="AM246" s="420" t="s">
        <v>164</v>
      </c>
      <c r="AN246" s="421">
        <v>33</v>
      </c>
    </row>
    <row r="247" spans="1:40" x14ac:dyDescent="0.35">
      <c r="A247" t="s">
        <v>14674</v>
      </c>
      <c r="B247" t="s">
        <v>13447</v>
      </c>
      <c r="C247">
        <v>1</v>
      </c>
      <c r="D247">
        <v>1</v>
      </c>
      <c r="E247">
        <v>0</v>
      </c>
      <c r="F247">
        <v>0</v>
      </c>
      <c r="G247">
        <v>0</v>
      </c>
      <c r="I247" t="s">
        <v>14674</v>
      </c>
      <c r="J247" t="s">
        <v>13447</v>
      </c>
      <c r="K247">
        <v>1</v>
      </c>
      <c r="U247" t="s">
        <v>165</v>
      </c>
      <c r="V247">
        <v>24</v>
      </c>
      <c r="AE247" t="s">
        <v>177</v>
      </c>
      <c r="AF247" t="s">
        <v>1184</v>
      </c>
      <c r="AM247" s="420" t="s">
        <v>165</v>
      </c>
      <c r="AN247" s="421">
        <v>24</v>
      </c>
    </row>
    <row r="248" spans="1:40" x14ac:dyDescent="0.35">
      <c r="A248" t="s">
        <v>14675</v>
      </c>
      <c r="B248" t="s">
        <v>13942</v>
      </c>
      <c r="C248">
        <v>7</v>
      </c>
      <c r="D248">
        <v>7</v>
      </c>
      <c r="E248">
        <v>0</v>
      </c>
      <c r="F248">
        <v>0</v>
      </c>
      <c r="G248">
        <v>0</v>
      </c>
      <c r="I248" t="s">
        <v>14675</v>
      </c>
      <c r="J248" t="s">
        <v>13942</v>
      </c>
      <c r="K248">
        <v>1</v>
      </c>
      <c r="U248" t="s">
        <v>166</v>
      </c>
      <c r="V248">
        <v>31</v>
      </c>
      <c r="AE248" t="s">
        <v>181</v>
      </c>
      <c r="AF248" t="s">
        <v>1184</v>
      </c>
      <c r="AM248" s="420" t="s">
        <v>166</v>
      </c>
      <c r="AN248" s="421">
        <v>30</v>
      </c>
    </row>
    <row r="249" spans="1:40" x14ac:dyDescent="0.35">
      <c r="A249" t="s">
        <v>14676</v>
      </c>
      <c r="B249" t="s">
        <v>13268</v>
      </c>
      <c r="C249">
        <v>12</v>
      </c>
      <c r="D249">
        <v>12</v>
      </c>
      <c r="E249">
        <v>0</v>
      </c>
      <c r="F249">
        <v>0</v>
      </c>
      <c r="G249">
        <v>0</v>
      </c>
      <c r="I249" t="s">
        <v>14676</v>
      </c>
      <c r="J249" t="s">
        <v>13268</v>
      </c>
      <c r="K249">
        <v>1</v>
      </c>
      <c r="U249" t="s">
        <v>167</v>
      </c>
      <c r="V249">
        <v>32</v>
      </c>
      <c r="AE249" t="s">
        <v>186</v>
      </c>
      <c r="AF249" t="s">
        <v>1184</v>
      </c>
      <c r="AM249" s="420" t="s">
        <v>167</v>
      </c>
      <c r="AN249" s="421">
        <v>31</v>
      </c>
    </row>
    <row r="250" spans="1:40" x14ac:dyDescent="0.35">
      <c r="A250" t="s">
        <v>14677</v>
      </c>
      <c r="B250" t="s">
        <v>13380</v>
      </c>
      <c r="C250">
        <v>27</v>
      </c>
      <c r="D250">
        <v>0</v>
      </c>
      <c r="E250">
        <v>0</v>
      </c>
      <c r="F250">
        <v>27</v>
      </c>
      <c r="G250">
        <v>0</v>
      </c>
      <c r="I250" t="s">
        <v>14677</v>
      </c>
      <c r="J250" t="s">
        <v>13380</v>
      </c>
      <c r="K250">
        <v>2</v>
      </c>
      <c r="U250" t="s">
        <v>168</v>
      </c>
      <c r="V250">
        <v>41</v>
      </c>
      <c r="AE250" t="s">
        <v>187</v>
      </c>
      <c r="AF250" t="s">
        <v>1184</v>
      </c>
      <c r="AM250" s="420" t="s">
        <v>168</v>
      </c>
      <c r="AN250" s="421">
        <v>40</v>
      </c>
    </row>
    <row r="251" spans="1:40" x14ac:dyDescent="0.35">
      <c r="A251" t="s">
        <v>14678</v>
      </c>
      <c r="B251" t="s">
        <v>14096</v>
      </c>
      <c r="C251">
        <v>25</v>
      </c>
      <c r="D251">
        <v>25</v>
      </c>
      <c r="E251">
        <v>0</v>
      </c>
      <c r="F251">
        <v>0</v>
      </c>
      <c r="G251">
        <v>0</v>
      </c>
      <c r="I251" t="s">
        <v>14678</v>
      </c>
      <c r="J251" t="s">
        <v>14096</v>
      </c>
      <c r="K251">
        <v>2</v>
      </c>
      <c r="U251" t="s">
        <v>169</v>
      </c>
      <c r="V251">
        <v>37</v>
      </c>
      <c r="AE251" t="s">
        <v>204</v>
      </c>
      <c r="AF251" t="s">
        <v>1184</v>
      </c>
      <c r="AM251" s="420" t="s">
        <v>169</v>
      </c>
      <c r="AN251" s="421">
        <v>36</v>
      </c>
    </row>
    <row r="252" spans="1:40" x14ac:dyDescent="0.35">
      <c r="A252" t="s">
        <v>14679</v>
      </c>
      <c r="B252" t="s">
        <v>14188</v>
      </c>
      <c r="C252">
        <v>12</v>
      </c>
      <c r="D252">
        <v>0</v>
      </c>
      <c r="E252">
        <v>0</v>
      </c>
      <c r="F252">
        <v>12</v>
      </c>
      <c r="G252">
        <v>0</v>
      </c>
      <c r="I252" t="s">
        <v>14679</v>
      </c>
      <c r="J252" t="s">
        <v>14188</v>
      </c>
      <c r="K252">
        <v>1</v>
      </c>
      <c r="U252" t="s">
        <v>170</v>
      </c>
      <c r="V252">
        <v>24</v>
      </c>
      <c r="AE252" t="s">
        <v>213</v>
      </c>
      <c r="AF252" t="s">
        <v>1184</v>
      </c>
      <c r="AM252" s="420" t="s">
        <v>170</v>
      </c>
      <c r="AN252" s="421">
        <v>24</v>
      </c>
    </row>
    <row r="253" spans="1:40" x14ac:dyDescent="0.35">
      <c r="A253" t="s">
        <v>14680</v>
      </c>
      <c r="B253" t="s">
        <v>14322</v>
      </c>
      <c r="C253">
        <v>8</v>
      </c>
      <c r="D253">
        <v>8</v>
      </c>
      <c r="E253">
        <v>0</v>
      </c>
      <c r="F253">
        <v>0</v>
      </c>
      <c r="G253">
        <v>0</v>
      </c>
      <c r="I253" t="s">
        <v>14680</v>
      </c>
      <c r="J253" t="s">
        <v>14322</v>
      </c>
      <c r="K253">
        <v>1</v>
      </c>
      <c r="U253" t="s">
        <v>171</v>
      </c>
      <c r="V253">
        <v>42</v>
      </c>
      <c r="AE253" t="s">
        <v>10644</v>
      </c>
      <c r="AF253" t="s">
        <v>1059</v>
      </c>
      <c r="AM253" s="420" t="s">
        <v>171</v>
      </c>
      <c r="AN253" s="421">
        <v>41</v>
      </c>
    </row>
    <row r="254" spans="1:40" x14ac:dyDescent="0.35">
      <c r="A254" t="s">
        <v>14681</v>
      </c>
      <c r="B254" t="s">
        <v>14048</v>
      </c>
      <c r="C254">
        <v>4</v>
      </c>
      <c r="D254">
        <v>4</v>
      </c>
      <c r="E254">
        <v>0</v>
      </c>
      <c r="F254">
        <v>0</v>
      </c>
      <c r="G254">
        <v>0</v>
      </c>
      <c r="I254" t="s">
        <v>14681</v>
      </c>
      <c r="J254" t="s">
        <v>14048</v>
      </c>
      <c r="K254">
        <v>1</v>
      </c>
      <c r="U254" t="s">
        <v>172</v>
      </c>
      <c r="V254">
        <v>32</v>
      </c>
      <c r="AE254" t="s">
        <v>9196</v>
      </c>
      <c r="AF254" t="s">
        <v>1059</v>
      </c>
      <c r="AM254" s="420" t="s">
        <v>172</v>
      </c>
      <c r="AN254" s="421">
        <v>32</v>
      </c>
    </row>
    <row r="255" spans="1:40" x14ac:dyDescent="0.35">
      <c r="A255" t="s">
        <v>14682</v>
      </c>
      <c r="B255" t="s">
        <v>13331</v>
      </c>
      <c r="C255">
        <v>485</v>
      </c>
      <c r="D255">
        <v>485</v>
      </c>
      <c r="E255">
        <v>0</v>
      </c>
      <c r="F255">
        <v>0</v>
      </c>
      <c r="G255">
        <v>0</v>
      </c>
      <c r="I255" t="s">
        <v>14682</v>
      </c>
      <c r="J255" t="s">
        <v>13331</v>
      </c>
      <c r="K255">
        <v>16</v>
      </c>
      <c r="U255" t="s">
        <v>173</v>
      </c>
      <c r="V255">
        <v>36</v>
      </c>
      <c r="AE255" t="s">
        <v>7795</v>
      </c>
      <c r="AF255" t="s">
        <v>1059</v>
      </c>
      <c r="AM255" s="420" t="s">
        <v>173</v>
      </c>
      <c r="AN255" s="421">
        <v>35</v>
      </c>
    </row>
    <row r="256" spans="1:40" x14ac:dyDescent="0.35">
      <c r="A256" t="s">
        <v>14683</v>
      </c>
      <c r="B256" t="s">
        <v>13178</v>
      </c>
      <c r="C256">
        <v>1740</v>
      </c>
      <c r="D256">
        <v>1740</v>
      </c>
      <c r="E256">
        <v>0</v>
      </c>
      <c r="F256">
        <v>0</v>
      </c>
      <c r="G256">
        <v>0</v>
      </c>
      <c r="I256" t="s">
        <v>14683</v>
      </c>
      <c r="J256" t="s">
        <v>13178</v>
      </c>
      <c r="K256">
        <v>44</v>
      </c>
      <c r="U256" t="s">
        <v>174</v>
      </c>
      <c r="V256">
        <v>31</v>
      </c>
      <c r="AE256" t="s">
        <v>10686</v>
      </c>
      <c r="AF256" t="s">
        <v>1059</v>
      </c>
      <c r="AM256" s="420" t="s">
        <v>174</v>
      </c>
      <c r="AN256" s="421">
        <v>31</v>
      </c>
    </row>
    <row r="257" spans="1:40" x14ac:dyDescent="0.35">
      <c r="A257" t="s">
        <v>14684</v>
      </c>
      <c r="B257" t="s">
        <v>13899</v>
      </c>
      <c r="C257">
        <v>33</v>
      </c>
      <c r="D257">
        <v>33</v>
      </c>
      <c r="E257">
        <v>0</v>
      </c>
      <c r="F257">
        <v>0</v>
      </c>
      <c r="G257">
        <v>0</v>
      </c>
      <c r="I257" t="s">
        <v>14684</v>
      </c>
      <c r="J257" t="s">
        <v>13899</v>
      </c>
      <c r="K257">
        <v>1</v>
      </c>
      <c r="U257" t="s">
        <v>175</v>
      </c>
      <c r="V257">
        <v>25</v>
      </c>
      <c r="AE257" t="s">
        <v>10728</v>
      </c>
      <c r="AF257" t="s">
        <v>1059</v>
      </c>
      <c r="AM257" s="420" t="s">
        <v>175</v>
      </c>
      <c r="AN257" s="421">
        <v>24</v>
      </c>
    </row>
    <row r="258" spans="1:40" x14ac:dyDescent="0.35">
      <c r="A258" t="s">
        <v>14685</v>
      </c>
      <c r="B258" t="s">
        <v>13630</v>
      </c>
      <c r="C258">
        <v>177</v>
      </c>
      <c r="D258">
        <v>177</v>
      </c>
      <c r="E258">
        <v>0</v>
      </c>
      <c r="F258">
        <v>0</v>
      </c>
      <c r="G258">
        <v>0</v>
      </c>
      <c r="I258" t="s">
        <v>14685</v>
      </c>
      <c r="J258" t="s">
        <v>13630</v>
      </c>
      <c r="K258">
        <v>1</v>
      </c>
      <c r="U258" t="s">
        <v>176</v>
      </c>
      <c r="V258">
        <v>27</v>
      </c>
      <c r="AE258" t="s">
        <v>7837</v>
      </c>
      <c r="AF258" t="s">
        <v>1059</v>
      </c>
      <c r="AM258" s="420" t="s">
        <v>176</v>
      </c>
      <c r="AN258" s="421">
        <v>26</v>
      </c>
    </row>
    <row r="259" spans="1:40" x14ac:dyDescent="0.35">
      <c r="A259" t="s">
        <v>14686</v>
      </c>
      <c r="B259" t="s">
        <v>13742</v>
      </c>
      <c r="C259">
        <v>9</v>
      </c>
      <c r="D259">
        <v>9</v>
      </c>
      <c r="E259">
        <v>0</v>
      </c>
      <c r="F259">
        <v>0</v>
      </c>
      <c r="G259">
        <v>0</v>
      </c>
      <c r="I259" t="s">
        <v>14686</v>
      </c>
      <c r="J259" t="s">
        <v>13742</v>
      </c>
      <c r="K259">
        <v>1</v>
      </c>
      <c r="U259" t="s">
        <v>177</v>
      </c>
      <c r="V259">
        <v>30</v>
      </c>
      <c r="AE259" t="s">
        <v>1058</v>
      </c>
      <c r="AF259" t="s">
        <v>1059</v>
      </c>
      <c r="AM259" s="420" t="s">
        <v>177</v>
      </c>
      <c r="AN259" s="421">
        <v>29</v>
      </c>
    </row>
    <row r="260" spans="1:40" x14ac:dyDescent="0.35">
      <c r="A260" t="s">
        <v>14687</v>
      </c>
      <c r="B260" t="s">
        <v>13567</v>
      </c>
      <c r="C260">
        <v>10</v>
      </c>
      <c r="D260">
        <v>0</v>
      </c>
      <c r="E260">
        <v>0</v>
      </c>
      <c r="F260">
        <v>10</v>
      </c>
      <c r="G260">
        <v>0</v>
      </c>
      <c r="I260" t="s">
        <v>14687</v>
      </c>
      <c r="J260" t="s">
        <v>13567</v>
      </c>
      <c r="K260">
        <v>1</v>
      </c>
      <c r="U260" t="s">
        <v>178</v>
      </c>
      <c r="V260">
        <v>34</v>
      </c>
      <c r="AE260" t="s">
        <v>7871</v>
      </c>
      <c r="AF260" t="s">
        <v>1059</v>
      </c>
      <c r="AM260" s="420" t="s">
        <v>178</v>
      </c>
      <c r="AN260" s="421">
        <v>33</v>
      </c>
    </row>
    <row r="261" spans="1:40" x14ac:dyDescent="0.35">
      <c r="A261" t="s">
        <v>14688</v>
      </c>
      <c r="B261" t="s">
        <v>13620</v>
      </c>
      <c r="C261">
        <v>19</v>
      </c>
      <c r="D261">
        <v>0</v>
      </c>
      <c r="E261">
        <v>0</v>
      </c>
      <c r="F261">
        <v>19</v>
      </c>
      <c r="G261">
        <v>0</v>
      </c>
      <c r="I261" t="s">
        <v>14688</v>
      </c>
      <c r="J261" t="s">
        <v>13620</v>
      </c>
      <c r="K261">
        <v>1</v>
      </c>
      <c r="U261" t="s">
        <v>179</v>
      </c>
      <c r="V261">
        <v>41</v>
      </c>
      <c r="AE261" t="s">
        <v>9230</v>
      </c>
      <c r="AF261" t="s">
        <v>1059</v>
      </c>
      <c r="AM261" s="420" t="s">
        <v>179</v>
      </c>
      <c r="AN261" s="421">
        <v>40</v>
      </c>
    </row>
    <row r="262" spans="1:40" x14ac:dyDescent="0.35">
      <c r="A262" t="s">
        <v>14689</v>
      </c>
      <c r="B262" t="s">
        <v>14245</v>
      </c>
      <c r="C262">
        <v>5</v>
      </c>
      <c r="D262">
        <v>5</v>
      </c>
      <c r="E262">
        <v>0</v>
      </c>
      <c r="F262">
        <v>0</v>
      </c>
      <c r="G262">
        <v>0</v>
      </c>
      <c r="I262" t="s">
        <v>14689</v>
      </c>
      <c r="J262" t="s">
        <v>14245</v>
      </c>
      <c r="K262">
        <v>1</v>
      </c>
      <c r="U262" t="s">
        <v>180</v>
      </c>
      <c r="V262">
        <v>33</v>
      </c>
      <c r="AE262" t="s">
        <v>7913</v>
      </c>
      <c r="AF262" t="s">
        <v>1059</v>
      </c>
      <c r="AM262" s="420" t="s">
        <v>180</v>
      </c>
      <c r="AN262" s="421">
        <v>33</v>
      </c>
    </row>
    <row r="263" spans="1:40" x14ac:dyDescent="0.35">
      <c r="A263" t="s">
        <v>14690</v>
      </c>
      <c r="B263" t="s">
        <v>13137</v>
      </c>
      <c r="C263">
        <v>44</v>
      </c>
      <c r="D263">
        <v>44</v>
      </c>
      <c r="E263">
        <v>0</v>
      </c>
      <c r="F263">
        <v>0</v>
      </c>
      <c r="G263">
        <v>0</v>
      </c>
      <c r="I263" t="s">
        <v>14690</v>
      </c>
      <c r="J263" t="s">
        <v>13137</v>
      </c>
      <c r="K263">
        <v>3</v>
      </c>
      <c r="U263" t="s">
        <v>181</v>
      </c>
      <c r="V263">
        <v>29</v>
      </c>
      <c r="AE263" t="s">
        <v>8695</v>
      </c>
      <c r="AF263" t="s">
        <v>1059</v>
      </c>
      <c r="AM263" s="420" t="s">
        <v>181</v>
      </c>
      <c r="AN263" s="421">
        <v>29</v>
      </c>
    </row>
    <row r="264" spans="1:40" x14ac:dyDescent="0.35">
      <c r="A264" t="s">
        <v>14691</v>
      </c>
      <c r="B264" t="s">
        <v>13524</v>
      </c>
      <c r="C264">
        <v>16</v>
      </c>
      <c r="D264">
        <v>16</v>
      </c>
      <c r="E264">
        <v>0</v>
      </c>
      <c r="F264">
        <v>0</v>
      </c>
      <c r="G264">
        <v>0</v>
      </c>
      <c r="I264" t="s">
        <v>14691</v>
      </c>
      <c r="J264" t="s">
        <v>13524</v>
      </c>
      <c r="K264">
        <v>1</v>
      </c>
      <c r="U264" t="s">
        <v>182</v>
      </c>
      <c r="V264">
        <v>27</v>
      </c>
      <c r="AE264" t="s">
        <v>8737</v>
      </c>
      <c r="AF264" t="s">
        <v>1059</v>
      </c>
      <c r="AM264" s="420" t="s">
        <v>182</v>
      </c>
      <c r="AN264" s="421">
        <v>26</v>
      </c>
    </row>
    <row r="265" spans="1:40" x14ac:dyDescent="0.35">
      <c r="A265" t="s">
        <v>14692</v>
      </c>
      <c r="B265" t="s">
        <v>13471</v>
      </c>
      <c r="C265">
        <v>26</v>
      </c>
      <c r="D265">
        <v>0</v>
      </c>
      <c r="E265">
        <v>0</v>
      </c>
      <c r="F265">
        <v>26</v>
      </c>
      <c r="G265">
        <v>0</v>
      </c>
      <c r="I265" t="s">
        <v>14692</v>
      </c>
      <c r="J265" t="s">
        <v>13471</v>
      </c>
      <c r="K265">
        <v>1</v>
      </c>
      <c r="U265" t="s">
        <v>183</v>
      </c>
      <c r="V265">
        <v>25</v>
      </c>
      <c r="AE265" t="s">
        <v>9272</v>
      </c>
      <c r="AF265" t="s">
        <v>1059</v>
      </c>
      <c r="AM265" s="420" t="s">
        <v>183</v>
      </c>
      <c r="AN265" s="421">
        <v>25</v>
      </c>
    </row>
    <row r="266" spans="1:40" x14ac:dyDescent="0.35">
      <c r="A266" t="s">
        <v>14693</v>
      </c>
      <c r="B266" t="s">
        <v>13408</v>
      </c>
      <c r="C266">
        <v>11</v>
      </c>
      <c r="D266">
        <v>11</v>
      </c>
      <c r="E266">
        <v>0</v>
      </c>
      <c r="F266">
        <v>0</v>
      </c>
      <c r="G266">
        <v>0</v>
      </c>
      <c r="I266" t="s">
        <v>14693</v>
      </c>
      <c r="J266" t="s">
        <v>13408</v>
      </c>
      <c r="K266">
        <v>1</v>
      </c>
      <c r="U266" t="s">
        <v>184</v>
      </c>
      <c r="V266">
        <v>24</v>
      </c>
      <c r="AE266" t="s">
        <v>8779</v>
      </c>
      <c r="AF266" t="s">
        <v>1059</v>
      </c>
      <c r="AM266" s="420" t="s">
        <v>184</v>
      </c>
      <c r="AN266" s="421">
        <v>23</v>
      </c>
    </row>
    <row r="267" spans="1:40" x14ac:dyDescent="0.35">
      <c r="A267" t="s">
        <v>14694</v>
      </c>
      <c r="B267" t="s">
        <v>13281</v>
      </c>
      <c r="C267">
        <v>19</v>
      </c>
      <c r="D267">
        <v>19</v>
      </c>
      <c r="E267">
        <v>0</v>
      </c>
      <c r="F267">
        <v>0</v>
      </c>
      <c r="G267">
        <v>0</v>
      </c>
      <c r="I267" t="s">
        <v>14694</v>
      </c>
      <c r="J267" t="s">
        <v>13281</v>
      </c>
      <c r="K267">
        <v>2</v>
      </c>
      <c r="U267" t="s">
        <v>185</v>
      </c>
      <c r="V267">
        <v>35</v>
      </c>
      <c r="AE267" t="s">
        <v>10770</v>
      </c>
      <c r="AF267" t="s">
        <v>1059</v>
      </c>
      <c r="AM267" s="420" t="s">
        <v>185</v>
      </c>
      <c r="AN267" s="421">
        <v>34</v>
      </c>
    </row>
    <row r="268" spans="1:40" x14ac:dyDescent="0.35">
      <c r="A268" t="s">
        <v>14695</v>
      </c>
      <c r="B268" t="s">
        <v>13011</v>
      </c>
      <c r="C268">
        <v>68736</v>
      </c>
      <c r="D268">
        <v>52317</v>
      </c>
      <c r="E268">
        <v>1237</v>
      </c>
      <c r="F268">
        <v>7198</v>
      </c>
      <c r="G268">
        <v>7984</v>
      </c>
      <c r="I268" t="s">
        <v>14695</v>
      </c>
      <c r="J268" t="s">
        <v>13011</v>
      </c>
      <c r="K268">
        <v>107</v>
      </c>
      <c r="U268" t="s">
        <v>186</v>
      </c>
      <c r="V268">
        <v>32</v>
      </c>
      <c r="AE268" t="s">
        <v>2263</v>
      </c>
      <c r="AF268" t="s">
        <v>1059</v>
      </c>
      <c r="AM268" s="420" t="s">
        <v>186</v>
      </c>
      <c r="AN268" s="421">
        <v>31</v>
      </c>
    </row>
    <row r="269" spans="1:40" x14ac:dyDescent="0.35">
      <c r="A269" t="s">
        <v>14696</v>
      </c>
      <c r="B269" t="s">
        <v>13861</v>
      </c>
      <c r="C269">
        <v>42</v>
      </c>
      <c r="D269">
        <v>0</v>
      </c>
      <c r="E269">
        <v>0</v>
      </c>
      <c r="F269">
        <v>42</v>
      </c>
      <c r="G269">
        <v>0</v>
      </c>
      <c r="I269" t="s">
        <v>14696</v>
      </c>
      <c r="J269" t="s">
        <v>13861</v>
      </c>
      <c r="K269">
        <v>1</v>
      </c>
      <c r="U269" t="s">
        <v>187</v>
      </c>
      <c r="V269">
        <v>25</v>
      </c>
      <c r="AE269" t="s">
        <v>10812</v>
      </c>
      <c r="AF269" t="s">
        <v>1059</v>
      </c>
      <c r="AM269" s="420" t="s">
        <v>187</v>
      </c>
      <c r="AN269" s="421">
        <v>25</v>
      </c>
    </row>
    <row r="270" spans="1:40" x14ac:dyDescent="0.35">
      <c r="A270" t="s">
        <v>14697</v>
      </c>
      <c r="B270" t="s">
        <v>13523</v>
      </c>
      <c r="C270">
        <v>6</v>
      </c>
      <c r="D270">
        <v>6</v>
      </c>
      <c r="E270">
        <v>0</v>
      </c>
      <c r="F270">
        <v>0</v>
      </c>
      <c r="G270">
        <v>0</v>
      </c>
      <c r="I270" t="s">
        <v>14697</v>
      </c>
      <c r="J270" t="s">
        <v>13523</v>
      </c>
      <c r="K270">
        <v>1</v>
      </c>
      <c r="U270" t="s">
        <v>188</v>
      </c>
      <c r="V270">
        <v>52</v>
      </c>
      <c r="AE270" t="s">
        <v>7955</v>
      </c>
      <c r="AF270" t="s">
        <v>1059</v>
      </c>
      <c r="AM270" s="420" t="s">
        <v>188</v>
      </c>
      <c r="AN270" s="421">
        <v>51</v>
      </c>
    </row>
    <row r="271" spans="1:40" x14ac:dyDescent="0.35">
      <c r="A271" t="s">
        <v>14698</v>
      </c>
      <c r="B271" t="s">
        <v>14152</v>
      </c>
      <c r="C271">
        <v>246</v>
      </c>
      <c r="D271">
        <v>246</v>
      </c>
      <c r="E271">
        <v>0</v>
      </c>
      <c r="F271">
        <v>0</v>
      </c>
      <c r="G271">
        <v>0</v>
      </c>
      <c r="I271" t="s">
        <v>14698</v>
      </c>
      <c r="J271" t="s">
        <v>14152</v>
      </c>
      <c r="K271">
        <v>1</v>
      </c>
      <c r="U271" t="s">
        <v>189</v>
      </c>
      <c r="V271">
        <v>36</v>
      </c>
      <c r="AE271" t="s">
        <v>161</v>
      </c>
      <c r="AF271" t="s">
        <v>1059</v>
      </c>
      <c r="AM271" s="420" t="s">
        <v>189</v>
      </c>
      <c r="AN271" s="421">
        <v>35</v>
      </c>
    </row>
    <row r="272" spans="1:40" x14ac:dyDescent="0.35">
      <c r="A272" t="s">
        <v>14699</v>
      </c>
      <c r="B272" t="s">
        <v>14231</v>
      </c>
      <c r="C272">
        <v>25</v>
      </c>
      <c r="D272">
        <v>0</v>
      </c>
      <c r="E272">
        <v>0</v>
      </c>
      <c r="F272">
        <v>25</v>
      </c>
      <c r="G272">
        <v>0</v>
      </c>
      <c r="I272" t="s">
        <v>14699</v>
      </c>
      <c r="J272" t="s">
        <v>14231</v>
      </c>
      <c r="K272">
        <v>1</v>
      </c>
      <c r="U272" t="s">
        <v>190</v>
      </c>
      <c r="V272">
        <v>40</v>
      </c>
      <c r="AE272" t="s">
        <v>162</v>
      </c>
      <c r="AF272" t="s">
        <v>1059</v>
      </c>
      <c r="AM272" s="420" t="s">
        <v>190</v>
      </c>
      <c r="AN272" s="421">
        <v>39</v>
      </c>
    </row>
    <row r="273" spans="1:40" x14ac:dyDescent="0.35">
      <c r="A273" t="s">
        <v>14700</v>
      </c>
      <c r="B273" t="s">
        <v>14178</v>
      </c>
      <c r="C273">
        <v>14</v>
      </c>
      <c r="D273">
        <v>14</v>
      </c>
      <c r="E273">
        <v>0</v>
      </c>
      <c r="F273">
        <v>0</v>
      </c>
      <c r="G273">
        <v>0</v>
      </c>
      <c r="I273" t="s">
        <v>14700</v>
      </c>
      <c r="J273" t="s">
        <v>14178</v>
      </c>
      <c r="K273">
        <v>1</v>
      </c>
      <c r="U273" t="s">
        <v>191</v>
      </c>
      <c r="V273">
        <v>35</v>
      </c>
      <c r="AE273" t="s">
        <v>166</v>
      </c>
      <c r="AF273" t="s">
        <v>1059</v>
      </c>
      <c r="AM273" s="420" t="s">
        <v>191</v>
      </c>
      <c r="AN273" s="421">
        <v>34</v>
      </c>
    </row>
    <row r="274" spans="1:40" x14ac:dyDescent="0.35">
      <c r="A274" t="s">
        <v>14701</v>
      </c>
      <c r="B274" t="s">
        <v>14360</v>
      </c>
      <c r="C274">
        <v>6</v>
      </c>
      <c r="D274">
        <v>0</v>
      </c>
      <c r="E274">
        <v>0</v>
      </c>
      <c r="F274">
        <v>6</v>
      </c>
      <c r="G274">
        <v>0</v>
      </c>
      <c r="I274" t="s">
        <v>14701</v>
      </c>
      <c r="J274" t="s">
        <v>14360</v>
      </c>
      <c r="K274">
        <v>1</v>
      </c>
      <c r="U274" t="s">
        <v>192</v>
      </c>
      <c r="V274">
        <v>36</v>
      </c>
      <c r="AE274" t="s">
        <v>167</v>
      </c>
      <c r="AF274" t="s">
        <v>1059</v>
      </c>
      <c r="AM274" s="420" t="s">
        <v>192</v>
      </c>
      <c r="AN274" s="421">
        <v>35</v>
      </c>
    </row>
    <row r="275" spans="1:40" x14ac:dyDescent="0.35">
      <c r="A275" t="s">
        <v>14702</v>
      </c>
      <c r="B275" t="s">
        <v>13674</v>
      </c>
      <c r="C275">
        <v>311</v>
      </c>
      <c r="D275">
        <v>0</v>
      </c>
      <c r="E275">
        <v>0</v>
      </c>
      <c r="F275">
        <v>311</v>
      </c>
      <c r="G275">
        <v>0</v>
      </c>
      <c r="I275" t="s">
        <v>14702</v>
      </c>
      <c r="J275" t="s">
        <v>13674</v>
      </c>
      <c r="K275">
        <v>1</v>
      </c>
      <c r="U275" t="s">
        <v>193</v>
      </c>
      <c r="V275">
        <v>41</v>
      </c>
      <c r="AE275" t="s">
        <v>175</v>
      </c>
      <c r="AF275" t="s">
        <v>1059</v>
      </c>
      <c r="AM275" s="420" t="s">
        <v>193</v>
      </c>
      <c r="AN275" s="421">
        <v>41</v>
      </c>
    </row>
    <row r="276" spans="1:40" x14ac:dyDescent="0.35">
      <c r="A276" t="s">
        <v>14703</v>
      </c>
      <c r="B276" t="s">
        <v>13501</v>
      </c>
      <c r="C276">
        <v>14</v>
      </c>
      <c r="D276">
        <v>7</v>
      </c>
      <c r="E276">
        <v>0</v>
      </c>
      <c r="F276">
        <v>7</v>
      </c>
      <c r="G276">
        <v>0</v>
      </c>
      <c r="I276" t="s">
        <v>14703</v>
      </c>
      <c r="J276" t="s">
        <v>13501</v>
      </c>
      <c r="K276">
        <v>1</v>
      </c>
      <c r="U276" t="s">
        <v>194</v>
      </c>
      <c r="V276">
        <v>32</v>
      </c>
      <c r="AE276" t="s">
        <v>178</v>
      </c>
      <c r="AF276" t="s">
        <v>1059</v>
      </c>
      <c r="AM276" s="420" t="s">
        <v>194</v>
      </c>
      <c r="AN276" s="421">
        <v>31</v>
      </c>
    </row>
    <row r="277" spans="1:40" x14ac:dyDescent="0.35">
      <c r="A277" t="s">
        <v>14704</v>
      </c>
      <c r="B277" t="s">
        <v>13179</v>
      </c>
      <c r="C277">
        <v>117</v>
      </c>
      <c r="D277">
        <v>117</v>
      </c>
      <c r="E277">
        <v>0</v>
      </c>
      <c r="F277">
        <v>0</v>
      </c>
      <c r="G277">
        <v>0</v>
      </c>
      <c r="I277" t="s">
        <v>14704</v>
      </c>
      <c r="J277" t="s">
        <v>13179</v>
      </c>
      <c r="K277">
        <v>11</v>
      </c>
      <c r="U277" t="s">
        <v>195</v>
      </c>
      <c r="V277">
        <v>45</v>
      </c>
      <c r="AE277" t="s">
        <v>194</v>
      </c>
      <c r="AF277" t="s">
        <v>1059</v>
      </c>
      <c r="AM277" s="420" t="s">
        <v>195</v>
      </c>
      <c r="AN277" s="421">
        <v>44</v>
      </c>
    </row>
    <row r="278" spans="1:40" x14ac:dyDescent="0.35">
      <c r="A278" t="s">
        <v>14705</v>
      </c>
      <c r="B278" t="s">
        <v>14389</v>
      </c>
      <c r="C278">
        <v>32</v>
      </c>
      <c r="D278">
        <v>0</v>
      </c>
      <c r="E278">
        <v>0</v>
      </c>
      <c r="F278">
        <v>32</v>
      </c>
      <c r="G278">
        <v>0</v>
      </c>
      <c r="I278" t="s">
        <v>14705</v>
      </c>
      <c r="J278" t="s">
        <v>14389</v>
      </c>
      <c r="K278">
        <v>1</v>
      </c>
      <c r="U278" t="s">
        <v>196</v>
      </c>
      <c r="V278">
        <v>42</v>
      </c>
      <c r="AE278" t="s">
        <v>198</v>
      </c>
      <c r="AF278" t="s">
        <v>1059</v>
      </c>
      <c r="AM278" s="420" t="s">
        <v>196</v>
      </c>
      <c r="AN278" s="421">
        <v>41</v>
      </c>
    </row>
    <row r="279" spans="1:40" x14ac:dyDescent="0.35">
      <c r="A279" t="s">
        <v>14706</v>
      </c>
      <c r="B279" t="s">
        <v>14284</v>
      </c>
      <c r="C279">
        <v>9</v>
      </c>
      <c r="D279">
        <v>9</v>
      </c>
      <c r="E279">
        <v>0</v>
      </c>
      <c r="F279">
        <v>0</v>
      </c>
      <c r="G279">
        <v>0</v>
      </c>
      <c r="I279" t="s">
        <v>14706</v>
      </c>
      <c r="J279" t="s">
        <v>14284</v>
      </c>
      <c r="K279">
        <v>1</v>
      </c>
      <c r="U279" t="s">
        <v>197</v>
      </c>
      <c r="V279">
        <v>35</v>
      </c>
      <c r="AE279" t="s">
        <v>219</v>
      </c>
      <c r="AF279" t="s">
        <v>1059</v>
      </c>
      <c r="AM279" s="420" t="s">
        <v>197</v>
      </c>
      <c r="AN279" s="421">
        <v>34</v>
      </c>
    </row>
    <row r="280" spans="1:40" x14ac:dyDescent="0.35">
      <c r="A280" t="s">
        <v>14707</v>
      </c>
      <c r="B280" t="s">
        <v>14037</v>
      </c>
      <c r="C280">
        <v>5</v>
      </c>
      <c r="D280">
        <v>5</v>
      </c>
      <c r="E280">
        <v>0</v>
      </c>
      <c r="F280">
        <v>0</v>
      </c>
      <c r="G280">
        <v>0</v>
      </c>
      <c r="I280" t="s">
        <v>14707</v>
      </c>
      <c r="J280" t="s">
        <v>14037</v>
      </c>
      <c r="K280">
        <v>1</v>
      </c>
      <c r="U280" t="s">
        <v>198</v>
      </c>
      <c r="V280">
        <v>33</v>
      </c>
      <c r="AE280" t="s">
        <v>220</v>
      </c>
      <c r="AF280" t="s">
        <v>1059</v>
      </c>
      <c r="AM280" s="420" t="s">
        <v>198</v>
      </c>
      <c r="AN280" s="421">
        <v>32</v>
      </c>
    </row>
    <row r="281" spans="1:40" x14ac:dyDescent="0.35">
      <c r="A281" t="s">
        <v>14708</v>
      </c>
      <c r="B281" t="s">
        <v>14276</v>
      </c>
      <c r="C281">
        <v>43</v>
      </c>
      <c r="D281">
        <v>0</v>
      </c>
      <c r="E281">
        <v>0</v>
      </c>
      <c r="F281">
        <v>43</v>
      </c>
      <c r="G281">
        <v>0</v>
      </c>
      <c r="I281" t="s">
        <v>14708</v>
      </c>
      <c r="J281" t="s">
        <v>14276</v>
      </c>
      <c r="K281">
        <v>1</v>
      </c>
      <c r="U281" t="s">
        <v>199</v>
      </c>
      <c r="V281">
        <v>34</v>
      </c>
      <c r="AE281" t="s">
        <v>222</v>
      </c>
      <c r="AF281" t="s">
        <v>1059</v>
      </c>
      <c r="AM281" s="420" t="s">
        <v>199</v>
      </c>
      <c r="AN281" s="421">
        <v>34</v>
      </c>
    </row>
    <row r="282" spans="1:40" x14ac:dyDescent="0.35">
      <c r="A282" t="s">
        <v>14709</v>
      </c>
      <c r="B282" t="s">
        <v>13371</v>
      </c>
      <c r="C282">
        <v>117</v>
      </c>
      <c r="D282">
        <v>5</v>
      </c>
      <c r="E282">
        <v>0</v>
      </c>
      <c r="F282">
        <v>112</v>
      </c>
      <c r="G282">
        <v>0</v>
      </c>
      <c r="I282" t="s">
        <v>14709</v>
      </c>
      <c r="J282" t="s">
        <v>13371</v>
      </c>
      <c r="K282">
        <v>1</v>
      </c>
      <c r="U282" t="s">
        <v>200</v>
      </c>
      <c r="V282">
        <v>34</v>
      </c>
      <c r="AE282" t="s">
        <v>224</v>
      </c>
      <c r="AF282" t="s">
        <v>1059</v>
      </c>
      <c r="AM282" s="420" t="s">
        <v>200</v>
      </c>
      <c r="AN282" s="421">
        <v>33</v>
      </c>
    </row>
    <row r="283" spans="1:40" x14ac:dyDescent="0.35">
      <c r="A283" t="s">
        <v>14710</v>
      </c>
      <c r="B283" t="s">
        <v>13824</v>
      </c>
      <c r="C283">
        <v>62</v>
      </c>
      <c r="D283">
        <v>0</v>
      </c>
      <c r="E283">
        <v>0</v>
      </c>
      <c r="F283">
        <v>62</v>
      </c>
      <c r="G283">
        <v>0</v>
      </c>
      <c r="I283" t="s">
        <v>14710</v>
      </c>
      <c r="J283" t="s">
        <v>13824</v>
      </c>
      <c r="K283">
        <v>1</v>
      </c>
      <c r="U283" t="s">
        <v>201</v>
      </c>
      <c r="V283">
        <v>31</v>
      </c>
      <c r="AE283" t="s">
        <v>10309</v>
      </c>
      <c r="AF283" t="s">
        <v>688</v>
      </c>
      <c r="AM283" s="420" t="s">
        <v>201</v>
      </c>
      <c r="AN283" s="421">
        <v>30</v>
      </c>
    </row>
    <row r="284" spans="1:40" x14ac:dyDescent="0.35">
      <c r="A284" t="s">
        <v>14711</v>
      </c>
      <c r="B284" t="s">
        <v>13675</v>
      </c>
      <c r="C284">
        <v>117</v>
      </c>
      <c r="D284">
        <v>2</v>
      </c>
      <c r="E284">
        <v>0</v>
      </c>
      <c r="F284">
        <v>115</v>
      </c>
      <c r="G284">
        <v>0</v>
      </c>
      <c r="I284" t="s">
        <v>14711</v>
      </c>
      <c r="J284" t="s">
        <v>13675</v>
      </c>
      <c r="K284">
        <v>1</v>
      </c>
      <c r="U284" t="s">
        <v>202</v>
      </c>
      <c r="V284">
        <v>31</v>
      </c>
      <c r="AE284" t="s">
        <v>10936</v>
      </c>
      <c r="AF284" t="s">
        <v>688</v>
      </c>
      <c r="AM284" s="420" t="s">
        <v>202</v>
      </c>
      <c r="AN284" s="421">
        <v>30</v>
      </c>
    </row>
    <row r="285" spans="1:40" x14ac:dyDescent="0.35">
      <c r="A285" t="s">
        <v>14712</v>
      </c>
      <c r="B285" t="s">
        <v>13759</v>
      </c>
      <c r="C285">
        <v>14</v>
      </c>
      <c r="D285">
        <v>0</v>
      </c>
      <c r="E285">
        <v>0</v>
      </c>
      <c r="F285">
        <v>14</v>
      </c>
      <c r="G285">
        <v>0</v>
      </c>
      <c r="I285" t="s">
        <v>14712</v>
      </c>
      <c r="J285" t="s">
        <v>13759</v>
      </c>
      <c r="K285">
        <v>1</v>
      </c>
      <c r="U285" t="s">
        <v>203</v>
      </c>
      <c r="V285">
        <v>37</v>
      </c>
      <c r="AE285" t="s">
        <v>10978</v>
      </c>
      <c r="AF285" t="s">
        <v>688</v>
      </c>
      <c r="AM285" s="420" t="s">
        <v>203</v>
      </c>
      <c r="AN285" s="421">
        <v>36</v>
      </c>
    </row>
    <row r="286" spans="1:40" x14ac:dyDescent="0.35">
      <c r="A286" t="s">
        <v>14713</v>
      </c>
      <c r="B286" t="s">
        <v>13140</v>
      </c>
      <c r="C286">
        <v>173</v>
      </c>
      <c r="D286">
        <v>0</v>
      </c>
      <c r="E286">
        <v>0</v>
      </c>
      <c r="F286">
        <v>173</v>
      </c>
      <c r="G286">
        <v>0</v>
      </c>
      <c r="I286" t="s">
        <v>14713</v>
      </c>
      <c r="J286" t="s">
        <v>13140</v>
      </c>
      <c r="K286">
        <v>1</v>
      </c>
      <c r="U286" t="s">
        <v>204</v>
      </c>
      <c r="V286">
        <v>27</v>
      </c>
      <c r="AE286" t="s">
        <v>10351</v>
      </c>
      <c r="AF286" t="s">
        <v>688</v>
      </c>
      <c r="AM286" s="420" t="s">
        <v>204</v>
      </c>
      <c r="AN286" s="421">
        <v>26</v>
      </c>
    </row>
    <row r="287" spans="1:40" x14ac:dyDescent="0.35">
      <c r="A287" t="s">
        <v>14714</v>
      </c>
      <c r="B287" t="s">
        <v>14378</v>
      </c>
      <c r="C287">
        <v>228</v>
      </c>
      <c r="D287">
        <v>37</v>
      </c>
      <c r="E287">
        <v>0</v>
      </c>
      <c r="F287">
        <v>191</v>
      </c>
      <c r="G287">
        <v>0</v>
      </c>
      <c r="I287" t="s">
        <v>14714</v>
      </c>
      <c r="J287" t="s">
        <v>14378</v>
      </c>
      <c r="K287">
        <v>1</v>
      </c>
      <c r="U287" t="s">
        <v>205</v>
      </c>
      <c r="V287">
        <v>34</v>
      </c>
      <c r="AE287" t="s">
        <v>730</v>
      </c>
      <c r="AF287" t="s">
        <v>688</v>
      </c>
      <c r="AM287" s="420" t="s">
        <v>205</v>
      </c>
      <c r="AN287" s="421">
        <v>33</v>
      </c>
    </row>
    <row r="288" spans="1:40" x14ac:dyDescent="0.35">
      <c r="A288" t="s">
        <v>14715</v>
      </c>
      <c r="B288" t="s">
        <v>13430</v>
      </c>
      <c r="C288">
        <v>6</v>
      </c>
      <c r="D288">
        <v>6</v>
      </c>
      <c r="E288">
        <v>0</v>
      </c>
      <c r="F288">
        <v>0</v>
      </c>
      <c r="G288">
        <v>0</v>
      </c>
      <c r="I288" t="s">
        <v>14715</v>
      </c>
      <c r="J288" t="s">
        <v>13430</v>
      </c>
      <c r="K288">
        <v>1</v>
      </c>
      <c r="U288" t="s">
        <v>206</v>
      </c>
      <c r="V288">
        <v>21</v>
      </c>
      <c r="AE288" t="s">
        <v>687</v>
      </c>
      <c r="AF288" t="s">
        <v>688</v>
      </c>
      <c r="AM288" s="420" t="s">
        <v>206</v>
      </c>
      <c r="AN288" s="421">
        <v>21</v>
      </c>
    </row>
    <row r="289" spans="1:40" x14ac:dyDescent="0.35">
      <c r="A289" t="s">
        <v>14716</v>
      </c>
      <c r="B289" t="s">
        <v>13952</v>
      </c>
      <c r="C289">
        <v>36</v>
      </c>
      <c r="D289">
        <v>0</v>
      </c>
      <c r="E289">
        <v>0</v>
      </c>
      <c r="F289">
        <v>36</v>
      </c>
      <c r="G289">
        <v>0</v>
      </c>
      <c r="I289" t="s">
        <v>14716</v>
      </c>
      <c r="J289" t="s">
        <v>13952</v>
      </c>
      <c r="K289">
        <v>1</v>
      </c>
      <c r="U289" t="s">
        <v>207</v>
      </c>
      <c r="V289">
        <v>51</v>
      </c>
      <c r="AE289" t="s">
        <v>11020</v>
      </c>
      <c r="AF289" t="s">
        <v>688</v>
      </c>
      <c r="AM289" s="420" t="s">
        <v>207</v>
      </c>
      <c r="AN289" s="421">
        <v>50</v>
      </c>
    </row>
    <row r="290" spans="1:40" x14ac:dyDescent="0.35">
      <c r="A290" t="s">
        <v>14717</v>
      </c>
      <c r="B290" t="s">
        <v>13706</v>
      </c>
      <c r="C290">
        <v>137</v>
      </c>
      <c r="D290">
        <v>0</v>
      </c>
      <c r="E290">
        <v>0</v>
      </c>
      <c r="F290">
        <v>137</v>
      </c>
      <c r="G290">
        <v>0</v>
      </c>
      <c r="I290" t="s">
        <v>14717</v>
      </c>
      <c r="J290" t="s">
        <v>13706</v>
      </c>
      <c r="K290">
        <v>1</v>
      </c>
      <c r="U290" t="s">
        <v>208</v>
      </c>
      <c r="V290">
        <v>30</v>
      </c>
      <c r="AE290" t="s">
        <v>11062</v>
      </c>
      <c r="AF290" t="s">
        <v>688</v>
      </c>
      <c r="AM290" s="420" t="s">
        <v>208</v>
      </c>
      <c r="AN290" s="421">
        <v>30</v>
      </c>
    </row>
    <row r="291" spans="1:40" x14ac:dyDescent="0.35">
      <c r="A291" t="s">
        <v>14718</v>
      </c>
      <c r="B291" t="s">
        <v>13882</v>
      </c>
      <c r="C291">
        <v>28</v>
      </c>
      <c r="D291">
        <v>0</v>
      </c>
      <c r="E291">
        <v>0</v>
      </c>
      <c r="F291">
        <v>28</v>
      </c>
      <c r="G291">
        <v>0</v>
      </c>
      <c r="I291" t="s">
        <v>14718</v>
      </c>
      <c r="J291" t="s">
        <v>13882</v>
      </c>
      <c r="K291">
        <v>1</v>
      </c>
      <c r="U291" t="s">
        <v>209</v>
      </c>
      <c r="V291">
        <v>40</v>
      </c>
      <c r="AE291" t="s">
        <v>772</v>
      </c>
      <c r="AF291" t="s">
        <v>688</v>
      </c>
      <c r="AM291" s="420" t="s">
        <v>209</v>
      </c>
      <c r="AN291" s="421">
        <v>39</v>
      </c>
    </row>
    <row r="292" spans="1:40" x14ac:dyDescent="0.35">
      <c r="A292" t="s">
        <v>14719</v>
      </c>
      <c r="B292" t="s">
        <v>14197</v>
      </c>
      <c r="C292">
        <v>8</v>
      </c>
      <c r="D292">
        <v>8</v>
      </c>
      <c r="E292">
        <v>0</v>
      </c>
      <c r="F292">
        <v>0</v>
      </c>
      <c r="G292">
        <v>0</v>
      </c>
      <c r="I292" t="s">
        <v>14719</v>
      </c>
      <c r="J292" t="s">
        <v>14197</v>
      </c>
      <c r="K292">
        <v>1</v>
      </c>
      <c r="U292" t="s">
        <v>210</v>
      </c>
      <c r="V292">
        <v>41</v>
      </c>
      <c r="AE292" t="s">
        <v>814</v>
      </c>
      <c r="AF292" t="s">
        <v>688</v>
      </c>
      <c r="AM292" s="420" t="s">
        <v>210</v>
      </c>
      <c r="AN292" s="421">
        <v>40</v>
      </c>
    </row>
    <row r="293" spans="1:40" x14ac:dyDescent="0.35">
      <c r="A293" t="s">
        <v>14720</v>
      </c>
      <c r="B293" t="s">
        <v>14253</v>
      </c>
      <c r="C293">
        <v>7</v>
      </c>
      <c r="D293">
        <v>7</v>
      </c>
      <c r="E293">
        <v>0</v>
      </c>
      <c r="F293">
        <v>0</v>
      </c>
      <c r="G293">
        <v>0</v>
      </c>
      <c r="I293" t="s">
        <v>14720</v>
      </c>
      <c r="J293" t="s">
        <v>14253</v>
      </c>
      <c r="K293">
        <v>1</v>
      </c>
      <c r="U293" t="s">
        <v>211</v>
      </c>
      <c r="V293">
        <v>32</v>
      </c>
      <c r="AE293" t="s">
        <v>2840</v>
      </c>
      <c r="AF293" t="s">
        <v>688</v>
      </c>
      <c r="AM293" s="420" t="s">
        <v>211</v>
      </c>
      <c r="AN293" s="421">
        <v>31</v>
      </c>
    </row>
    <row r="294" spans="1:40" x14ac:dyDescent="0.35">
      <c r="A294" t="s">
        <v>14721</v>
      </c>
      <c r="B294" t="s">
        <v>13381</v>
      </c>
      <c r="C294">
        <v>39</v>
      </c>
      <c r="D294">
        <v>0</v>
      </c>
      <c r="E294">
        <v>0</v>
      </c>
      <c r="F294">
        <v>39</v>
      </c>
      <c r="G294">
        <v>0</v>
      </c>
      <c r="I294" t="s">
        <v>14721</v>
      </c>
      <c r="J294" t="s">
        <v>13381</v>
      </c>
      <c r="K294">
        <v>1</v>
      </c>
      <c r="U294" t="s">
        <v>212</v>
      </c>
      <c r="V294">
        <v>34</v>
      </c>
      <c r="AE294" t="s">
        <v>10393</v>
      </c>
      <c r="AF294" t="s">
        <v>688</v>
      </c>
      <c r="AM294" s="420" t="s">
        <v>212</v>
      </c>
      <c r="AN294" s="421">
        <v>33</v>
      </c>
    </row>
    <row r="295" spans="1:40" x14ac:dyDescent="0.35">
      <c r="A295" t="s">
        <v>14722</v>
      </c>
      <c r="B295" t="s">
        <v>14252</v>
      </c>
      <c r="C295">
        <v>2</v>
      </c>
      <c r="D295">
        <v>2</v>
      </c>
      <c r="E295">
        <v>0</v>
      </c>
      <c r="F295">
        <v>0</v>
      </c>
      <c r="G295">
        <v>0</v>
      </c>
      <c r="I295" t="s">
        <v>14722</v>
      </c>
      <c r="J295" t="s">
        <v>14252</v>
      </c>
      <c r="K295">
        <v>1</v>
      </c>
      <c r="U295" t="s">
        <v>213</v>
      </c>
      <c r="V295">
        <v>59</v>
      </c>
      <c r="AE295" t="s">
        <v>10435</v>
      </c>
      <c r="AF295" t="s">
        <v>688</v>
      </c>
      <c r="AM295" s="420" t="s">
        <v>213</v>
      </c>
      <c r="AN295" s="421">
        <v>58</v>
      </c>
    </row>
    <row r="296" spans="1:40" x14ac:dyDescent="0.35">
      <c r="A296" t="s">
        <v>14723</v>
      </c>
      <c r="B296" t="s">
        <v>13635</v>
      </c>
      <c r="C296">
        <v>242</v>
      </c>
      <c r="D296">
        <v>6</v>
      </c>
      <c r="E296">
        <v>0</v>
      </c>
      <c r="F296">
        <v>236</v>
      </c>
      <c r="G296">
        <v>0</v>
      </c>
      <c r="I296" t="s">
        <v>14723</v>
      </c>
      <c r="J296" t="s">
        <v>13635</v>
      </c>
      <c r="K296">
        <v>8</v>
      </c>
      <c r="U296" t="s">
        <v>214</v>
      </c>
      <c r="V296">
        <v>36</v>
      </c>
      <c r="AE296" t="s">
        <v>193</v>
      </c>
      <c r="AF296" t="s">
        <v>688</v>
      </c>
      <c r="AM296" s="420" t="s">
        <v>214</v>
      </c>
      <c r="AN296" s="421">
        <v>35</v>
      </c>
    </row>
    <row r="297" spans="1:40" x14ac:dyDescent="0.35">
      <c r="A297" t="s">
        <v>14724</v>
      </c>
      <c r="B297" t="s">
        <v>14222</v>
      </c>
      <c r="C297">
        <v>7</v>
      </c>
      <c r="D297">
        <v>0</v>
      </c>
      <c r="E297">
        <v>0</v>
      </c>
      <c r="F297">
        <v>7</v>
      </c>
      <c r="G297">
        <v>0</v>
      </c>
      <c r="I297" t="s">
        <v>14724</v>
      </c>
      <c r="J297" t="s">
        <v>14222</v>
      </c>
      <c r="K297">
        <v>1</v>
      </c>
      <c r="U297" t="s">
        <v>215</v>
      </c>
      <c r="V297">
        <v>22</v>
      </c>
      <c r="AE297" t="s">
        <v>225</v>
      </c>
      <c r="AF297" t="s">
        <v>688</v>
      </c>
      <c r="AM297" s="420" t="s">
        <v>215</v>
      </c>
      <c r="AN297" s="421">
        <v>22</v>
      </c>
    </row>
    <row r="298" spans="1:40" x14ac:dyDescent="0.35">
      <c r="A298" t="s">
        <v>14725</v>
      </c>
      <c r="B298" t="s">
        <v>14328</v>
      </c>
      <c r="C298">
        <v>13</v>
      </c>
      <c r="D298">
        <v>13</v>
      </c>
      <c r="E298">
        <v>0</v>
      </c>
      <c r="F298">
        <v>0</v>
      </c>
      <c r="G298">
        <v>0</v>
      </c>
      <c r="I298" t="s">
        <v>14725</v>
      </c>
      <c r="J298" t="s">
        <v>14328</v>
      </c>
      <c r="K298">
        <v>1</v>
      </c>
      <c r="U298" t="s">
        <v>216</v>
      </c>
      <c r="V298">
        <v>39</v>
      </c>
      <c r="AM298" s="420" t="s">
        <v>216</v>
      </c>
      <c r="AN298" s="421">
        <v>38</v>
      </c>
    </row>
    <row r="299" spans="1:40" x14ac:dyDescent="0.35">
      <c r="A299" t="s">
        <v>14726</v>
      </c>
      <c r="B299" t="s">
        <v>14349</v>
      </c>
      <c r="C299">
        <v>14</v>
      </c>
      <c r="D299">
        <v>14</v>
      </c>
      <c r="E299">
        <v>0</v>
      </c>
      <c r="F299">
        <v>0</v>
      </c>
      <c r="G299">
        <v>0</v>
      </c>
      <c r="I299" t="s">
        <v>14726</v>
      </c>
      <c r="J299" t="s">
        <v>14349</v>
      </c>
      <c r="K299">
        <v>1</v>
      </c>
      <c r="U299" t="s">
        <v>217</v>
      </c>
      <c r="V299">
        <v>32</v>
      </c>
      <c r="AM299" s="420" t="s">
        <v>217</v>
      </c>
      <c r="AN299" s="421">
        <v>31</v>
      </c>
    </row>
    <row r="300" spans="1:40" x14ac:dyDescent="0.35">
      <c r="A300" t="s">
        <v>14727</v>
      </c>
      <c r="B300" t="s">
        <v>14086</v>
      </c>
      <c r="C300">
        <v>69</v>
      </c>
      <c r="D300">
        <v>0</v>
      </c>
      <c r="E300">
        <v>0</v>
      </c>
      <c r="F300">
        <v>69</v>
      </c>
      <c r="G300">
        <v>0</v>
      </c>
      <c r="I300" t="s">
        <v>14727</v>
      </c>
      <c r="J300" t="s">
        <v>14086</v>
      </c>
      <c r="K300">
        <v>1</v>
      </c>
      <c r="U300" t="s">
        <v>218</v>
      </c>
      <c r="V300">
        <v>35</v>
      </c>
      <c r="AM300" s="420" t="s">
        <v>218</v>
      </c>
      <c r="AN300" s="421">
        <v>34</v>
      </c>
    </row>
    <row r="301" spans="1:40" x14ac:dyDescent="0.35">
      <c r="A301" t="s">
        <v>14728</v>
      </c>
      <c r="B301" t="s">
        <v>13161</v>
      </c>
      <c r="C301">
        <v>12</v>
      </c>
      <c r="D301">
        <v>0</v>
      </c>
      <c r="E301">
        <v>0</v>
      </c>
      <c r="F301">
        <v>12</v>
      </c>
      <c r="G301">
        <v>0</v>
      </c>
      <c r="I301" t="s">
        <v>14728</v>
      </c>
      <c r="J301" t="s">
        <v>13161</v>
      </c>
      <c r="K301">
        <v>1</v>
      </c>
      <c r="U301" t="s">
        <v>219</v>
      </c>
      <c r="V301">
        <v>33</v>
      </c>
      <c r="AM301" s="420" t="s">
        <v>219</v>
      </c>
      <c r="AN301" s="421">
        <v>32</v>
      </c>
    </row>
    <row r="302" spans="1:40" x14ac:dyDescent="0.35">
      <c r="A302" t="s">
        <v>14729</v>
      </c>
      <c r="B302" t="s">
        <v>13696</v>
      </c>
      <c r="C302">
        <v>16</v>
      </c>
      <c r="D302">
        <v>16</v>
      </c>
      <c r="E302">
        <v>0</v>
      </c>
      <c r="F302">
        <v>0</v>
      </c>
      <c r="G302">
        <v>0</v>
      </c>
      <c r="I302" t="s">
        <v>14729</v>
      </c>
      <c r="J302" t="s">
        <v>13696</v>
      </c>
      <c r="K302">
        <v>1</v>
      </c>
      <c r="U302" t="s">
        <v>220</v>
      </c>
      <c r="V302">
        <v>33</v>
      </c>
      <c r="AM302" s="420" t="s">
        <v>220</v>
      </c>
      <c r="AN302" s="421">
        <v>32</v>
      </c>
    </row>
    <row r="303" spans="1:40" x14ac:dyDescent="0.35">
      <c r="A303" t="s">
        <v>14730</v>
      </c>
      <c r="B303" t="s">
        <v>13327</v>
      </c>
      <c r="C303">
        <v>4</v>
      </c>
      <c r="D303">
        <v>4</v>
      </c>
      <c r="E303">
        <v>0</v>
      </c>
      <c r="F303">
        <v>0</v>
      </c>
      <c r="G303">
        <v>0</v>
      </c>
      <c r="I303" t="s">
        <v>14730</v>
      </c>
      <c r="J303" t="s">
        <v>13327</v>
      </c>
      <c r="K303">
        <v>1</v>
      </c>
      <c r="U303" t="s">
        <v>221</v>
      </c>
      <c r="V303">
        <v>25</v>
      </c>
      <c r="AM303" s="420" t="s">
        <v>221</v>
      </c>
      <c r="AN303" s="421">
        <v>24</v>
      </c>
    </row>
    <row r="304" spans="1:40" x14ac:dyDescent="0.35">
      <c r="A304" t="s">
        <v>14731</v>
      </c>
      <c r="B304" t="s">
        <v>14279</v>
      </c>
      <c r="C304">
        <v>8</v>
      </c>
      <c r="D304">
        <v>0</v>
      </c>
      <c r="E304">
        <v>0</v>
      </c>
      <c r="F304">
        <v>8</v>
      </c>
      <c r="G304">
        <v>0</v>
      </c>
      <c r="I304" t="s">
        <v>14731</v>
      </c>
      <c r="J304" t="s">
        <v>14279</v>
      </c>
      <c r="K304">
        <v>1</v>
      </c>
      <c r="U304" t="s">
        <v>222</v>
      </c>
      <c r="V304">
        <v>24</v>
      </c>
      <c r="AM304" s="420" t="s">
        <v>222</v>
      </c>
      <c r="AN304" s="421">
        <v>24</v>
      </c>
    </row>
    <row r="305" spans="1:40" x14ac:dyDescent="0.35">
      <c r="A305" t="s">
        <v>14732</v>
      </c>
      <c r="B305" t="s">
        <v>13307</v>
      </c>
      <c r="C305">
        <v>22</v>
      </c>
      <c r="D305">
        <v>0</v>
      </c>
      <c r="E305">
        <v>0</v>
      </c>
      <c r="F305">
        <v>22</v>
      </c>
      <c r="G305">
        <v>0</v>
      </c>
      <c r="I305" t="s">
        <v>14732</v>
      </c>
      <c r="J305" t="s">
        <v>13307</v>
      </c>
      <c r="K305">
        <v>1</v>
      </c>
      <c r="U305" t="s">
        <v>223</v>
      </c>
      <c r="V305">
        <v>33</v>
      </c>
      <c r="AM305" s="420" t="s">
        <v>223</v>
      </c>
      <c r="AN305" s="421">
        <v>33</v>
      </c>
    </row>
    <row r="306" spans="1:40" x14ac:dyDescent="0.35">
      <c r="A306" t="s">
        <v>14733</v>
      </c>
      <c r="B306" t="s">
        <v>14186</v>
      </c>
      <c r="C306">
        <v>4</v>
      </c>
      <c r="D306">
        <v>4</v>
      </c>
      <c r="E306">
        <v>0</v>
      </c>
      <c r="F306">
        <v>0</v>
      </c>
      <c r="G306">
        <v>0</v>
      </c>
      <c r="I306" t="s">
        <v>14733</v>
      </c>
      <c r="J306" t="s">
        <v>14186</v>
      </c>
      <c r="K306">
        <v>1</v>
      </c>
      <c r="U306" t="s">
        <v>224</v>
      </c>
      <c r="V306">
        <v>18</v>
      </c>
      <c r="AM306" s="420" t="s">
        <v>224</v>
      </c>
      <c r="AN306" s="421">
        <v>18</v>
      </c>
    </row>
    <row r="307" spans="1:40" x14ac:dyDescent="0.35">
      <c r="A307" t="s">
        <v>14734</v>
      </c>
      <c r="B307" t="s">
        <v>13597</v>
      </c>
      <c r="C307">
        <v>55</v>
      </c>
      <c r="D307">
        <v>0</v>
      </c>
      <c r="E307">
        <v>0</v>
      </c>
      <c r="F307">
        <v>55</v>
      </c>
      <c r="G307">
        <v>0</v>
      </c>
      <c r="I307" t="s">
        <v>14734</v>
      </c>
      <c r="J307" t="s">
        <v>13597</v>
      </c>
      <c r="K307">
        <v>1</v>
      </c>
      <c r="U307" t="s">
        <v>225</v>
      </c>
      <c r="V307">
        <v>30</v>
      </c>
      <c r="AM307" s="422" t="s">
        <v>225</v>
      </c>
      <c r="AN307" s="423">
        <v>29</v>
      </c>
    </row>
    <row r="308" spans="1:40" x14ac:dyDescent="0.35">
      <c r="A308" t="s">
        <v>14735</v>
      </c>
      <c r="B308" t="s">
        <v>14257</v>
      </c>
      <c r="C308">
        <v>8</v>
      </c>
      <c r="D308">
        <v>0</v>
      </c>
      <c r="E308">
        <v>0</v>
      </c>
      <c r="F308">
        <v>8</v>
      </c>
      <c r="G308">
        <v>0</v>
      </c>
      <c r="I308" t="s">
        <v>14735</v>
      </c>
      <c r="J308" t="s">
        <v>14257</v>
      </c>
      <c r="K308">
        <v>1</v>
      </c>
    </row>
    <row r="309" spans="1:40" x14ac:dyDescent="0.35">
      <c r="A309" t="s">
        <v>14736</v>
      </c>
      <c r="B309" t="s">
        <v>13564</v>
      </c>
      <c r="C309">
        <v>119</v>
      </c>
      <c r="D309">
        <v>0</v>
      </c>
      <c r="E309">
        <v>0</v>
      </c>
      <c r="F309">
        <v>119</v>
      </c>
      <c r="G309">
        <v>0</v>
      </c>
      <c r="I309" t="s">
        <v>14736</v>
      </c>
      <c r="J309" t="s">
        <v>13564</v>
      </c>
      <c r="K309">
        <v>1</v>
      </c>
    </row>
    <row r="310" spans="1:40" x14ac:dyDescent="0.35">
      <c r="A310" t="s">
        <v>14737</v>
      </c>
      <c r="B310" t="s">
        <v>14097</v>
      </c>
      <c r="C310">
        <v>30</v>
      </c>
      <c r="D310">
        <v>0</v>
      </c>
      <c r="E310">
        <v>0</v>
      </c>
      <c r="F310">
        <v>30</v>
      </c>
      <c r="G310">
        <v>0</v>
      </c>
      <c r="I310" t="s">
        <v>14737</v>
      </c>
      <c r="J310" t="s">
        <v>14097</v>
      </c>
      <c r="K310">
        <v>1</v>
      </c>
    </row>
    <row r="311" spans="1:40" x14ac:dyDescent="0.35">
      <c r="A311" t="s">
        <v>14738</v>
      </c>
      <c r="B311" t="s">
        <v>13563</v>
      </c>
      <c r="C311">
        <v>7</v>
      </c>
      <c r="D311">
        <v>7</v>
      </c>
      <c r="E311">
        <v>0</v>
      </c>
      <c r="F311">
        <v>0</v>
      </c>
      <c r="G311">
        <v>0</v>
      </c>
      <c r="I311" t="s">
        <v>14738</v>
      </c>
      <c r="J311" t="s">
        <v>13563</v>
      </c>
      <c r="K311">
        <v>1</v>
      </c>
    </row>
    <row r="312" spans="1:40" x14ac:dyDescent="0.35">
      <c r="A312" t="s">
        <v>14739</v>
      </c>
      <c r="B312" t="s">
        <v>14198</v>
      </c>
      <c r="C312">
        <v>10</v>
      </c>
      <c r="D312">
        <v>10</v>
      </c>
      <c r="E312">
        <v>0</v>
      </c>
      <c r="F312">
        <v>0</v>
      </c>
      <c r="G312">
        <v>0</v>
      </c>
      <c r="I312" t="s">
        <v>14739</v>
      </c>
      <c r="J312" t="s">
        <v>14198</v>
      </c>
      <c r="K312">
        <v>1</v>
      </c>
    </row>
    <row r="313" spans="1:40" x14ac:dyDescent="0.35">
      <c r="A313" t="s">
        <v>14740</v>
      </c>
      <c r="B313" t="s">
        <v>14150</v>
      </c>
      <c r="C313">
        <v>103</v>
      </c>
      <c r="D313">
        <v>0</v>
      </c>
      <c r="E313">
        <v>0</v>
      </c>
      <c r="F313">
        <v>103</v>
      </c>
      <c r="G313">
        <v>0</v>
      </c>
      <c r="I313" t="s">
        <v>14740</v>
      </c>
      <c r="J313" t="s">
        <v>14150</v>
      </c>
      <c r="K313">
        <v>1</v>
      </c>
    </row>
    <row r="314" spans="1:40" x14ac:dyDescent="0.35">
      <c r="A314" t="s">
        <v>14741</v>
      </c>
      <c r="B314" t="s">
        <v>14358</v>
      </c>
      <c r="C314">
        <v>6</v>
      </c>
      <c r="D314">
        <v>0</v>
      </c>
      <c r="E314">
        <v>0</v>
      </c>
      <c r="F314">
        <v>6</v>
      </c>
      <c r="G314">
        <v>0</v>
      </c>
      <c r="I314" t="s">
        <v>14741</v>
      </c>
      <c r="J314" t="s">
        <v>14358</v>
      </c>
      <c r="K314">
        <v>1</v>
      </c>
    </row>
    <row r="315" spans="1:40" x14ac:dyDescent="0.35">
      <c r="A315" t="s">
        <v>14742</v>
      </c>
      <c r="B315" t="s">
        <v>13253</v>
      </c>
      <c r="C315">
        <v>182</v>
      </c>
      <c r="D315">
        <v>0</v>
      </c>
      <c r="E315">
        <v>0</v>
      </c>
      <c r="F315">
        <v>182</v>
      </c>
      <c r="G315">
        <v>0</v>
      </c>
      <c r="I315" t="s">
        <v>14742</v>
      </c>
      <c r="J315" t="s">
        <v>13253</v>
      </c>
      <c r="K315">
        <v>2</v>
      </c>
    </row>
    <row r="316" spans="1:40" x14ac:dyDescent="0.35">
      <c r="A316" t="s">
        <v>14743</v>
      </c>
      <c r="B316" t="s">
        <v>14362</v>
      </c>
      <c r="C316">
        <v>7</v>
      </c>
      <c r="D316">
        <v>0</v>
      </c>
      <c r="E316">
        <v>0</v>
      </c>
      <c r="F316">
        <v>7</v>
      </c>
      <c r="G316">
        <v>0</v>
      </c>
      <c r="I316" t="s">
        <v>14743</v>
      </c>
      <c r="J316" t="s">
        <v>14362</v>
      </c>
      <c r="K316">
        <v>1</v>
      </c>
    </row>
    <row r="317" spans="1:40" x14ac:dyDescent="0.35">
      <c r="A317" t="s">
        <v>14744</v>
      </c>
      <c r="B317" t="s">
        <v>13749</v>
      </c>
      <c r="C317">
        <v>40</v>
      </c>
      <c r="D317">
        <v>40</v>
      </c>
      <c r="E317">
        <v>0</v>
      </c>
      <c r="F317">
        <v>0</v>
      </c>
      <c r="G317">
        <v>0</v>
      </c>
      <c r="I317" t="s">
        <v>14744</v>
      </c>
      <c r="J317" t="s">
        <v>13749</v>
      </c>
      <c r="K317">
        <v>1</v>
      </c>
    </row>
    <row r="318" spans="1:40" x14ac:dyDescent="0.35">
      <c r="A318" t="s">
        <v>14745</v>
      </c>
      <c r="B318" t="s">
        <v>14285</v>
      </c>
      <c r="C318">
        <v>18</v>
      </c>
      <c r="D318">
        <v>18</v>
      </c>
      <c r="E318">
        <v>0</v>
      </c>
      <c r="F318">
        <v>0</v>
      </c>
      <c r="G318">
        <v>0</v>
      </c>
      <c r="I318" t="s">
        <v>14745</v>
      </c>
      <c r="J318" t="s">
        <v>14285</v>
      </c>
      <c r="K318">
        <v>1</v>
      </c>
    </row>
    <row r="319" spans="1:40" x14ac:dyDescent="0.35">
      <c r="A319" t="s">
        <v>14746</v>
      </c>
      <c r="B319" t="s">
        <v>13419</v>
      </c>
      <c r="C319">
        <v>21</v>
      </c>
      <c r="D319">
        <v>21</v>
      </c>
      <c r="E319">
        <v>0</v>
      </c>
      <c r="F319">
        <v>0</v>
      </c>
      <c r="G319">
        <v>0</v>
      </c>
      <c r="I319" t="s">
        <v>14746</v>
      </c>
      <c r="J319" t="s">
        <v>13419</v>
      </c>
      <c r="K319">
        <v>1</v>
      </c>
    </row>
    <row r="320" spans="1:40" x14ac:dyDescent="0.35">
      <c r="A320" t="s">
        <v>14747</v>
      </c>
      <c r="B320" t="s">
        <v>14109</v>
      </c>
      <c r="C320">
        <v>16</v>
      </c>
      <c r="D320">
        <v>0</v>
      </c>
      <c r="E320">
        <v>0</v>
      </c>
      <c r="F320">
        <v>16</v>
      </c>
      <c r="G320">
        <v>0</v>
      </c>
      <c r="I320" t="s">
        <v>14747</v>
      </c>
      <c r="J320" t="s">
        <v>14109</v>
      </c>
      <c r="K320">
        <v>1</v>
      </c>
    </row>
    <row r="321" spans="1:11" x14ac:dyDescent="0.35">
      <c r="A321" t="s">
        <v>14748</v>
      </c>
      <c r="B321" t="s">
        <v>14069</v>
      </c>
      <c r="C321">
        <v>15</v>
      </c>
      <c r="D321">
        <v>0</v>
      </c>
      <c r="E321">
        <v>0</v>
      </c>
      <c r="F321">
        <v>15</v>
      </c>
      <c r="G321">
        <v>0</v>
      </c>
      <c r="I321" t="s">
        <v>14748</v>
      </c>
      <c r="J321" t="s">
        <v>14069</v>
      </c>
      <c r="K321">
        <v>1</v>
      </c>
    </row>
    <row r="322" spans="1:11" x14ac:dyDescent="0.35">
      <c r="A322" t="s">
        <v>14749</v>
      </c>
      <c r="B322" t="s">
        <v>14153</v>
      </c>
      <c r="C322">
        <v>44</v>
      </c>
      <c r="D322">
        <v>44</v>
      </c>
      <c r="E322">
        <v>0</v>
      </c>
      <c r="F322">
        <v>0</v>
      </c>
      <c r="G322">
        <v>0</v>
      </c>
      <c r="I322" t="s">
        <v>14749</v>
      </c>
      <c r="J322" t="s">
        <v>14153</v>
      </c>
      <c r="K322">
        <v>1</v>
      </c>
    </row>
    <row r="323" spans="1:11" x14ac:dyDescent="0.35">
      <c r="A323" t="s">
        <v>14750</v>
      </c>
      <c r="B323" t="s">
        <v>14369</v>
      </c>
      <c r="C323">
        <v>12</v>
      </c>
      <c r="D323">
        <v>12</v>
      </c>
      <c r="E323">
        <v>0</v>
      </c>
      <c r="F323">
        <v>0</v>
      </c>
      <c r="G323">
        <v>0</v>
      </c>
      <c r="I323" t="s">
        <v>14750</v>
      </c>
      <c r="J323" t="s">
        <v>14369</v>
      </c>
      <c r="K323">
        <v>1</v>
      </c>
    </row>
    <row r="324" spans="1:11" x14ac:dyDescent="0.35">
      <c r="A324" t="s">
        <v>14751</v>
      </c>
      <c r="B324" t="s">
        <v>14085</v>
      </c>
      <c r="C324">
        <v>100</v>
      </c>
      <c r="D324">
        <v>0</v>
      </c>
      <c r="E324">
        <v>0</v>
      </c>
      <c r="F324">
        <v>100</v>
      </c>
      <c r="G324">
        <v>0</v>
      </c>
      <c r="I324" t="s">
        <v>14751</v>
      </c>
      <c r="J324" t="s">
        <v>14085</v>
      </c>
      <c r="K324">
        <v>1</v>
      </c>
    </row>
    <row r="325" spans="1:11" x14ac:dyDescent="0.35">
      <c r="A325" t="s">
        <v>14752</v>
      </c>
      <c r="B325" t="s">
        <v>13040</v>
      </c>
      <c r="C325">
        <v>8</v>
      </c>
      <c r="D325">
        <v>0</v>
      </c>
      <c r="E325">
        <v>0</v>
      </c>
      <c r="F325">
        <v>8</v>
      </c>
      <c r="G325">
        <v>0</v>
      </c>
      <c r="I325" t="s">
        <v>14752</v>
      </c>
      <c r="J325" t="s">
        <v>13040</v>
      </c>
      <c r="K325">
        <v>1</v>
      </c>
    </row>
    <row r="326" spans="1:11" x14ac:dyDescent="0.35">
      <c r="A326" t="s">
        <v>14753</v>
      </c>
      <c r="B326" t="s">
        <v>13764</v>
      </c>
      <c r="C326">
        <v>24</v>
      </c>
      <c r="D326">
        <v>24</v>
      </c>
      <c r="E326">
        <v>0</v>
      </c>
      <c r="F326">
        <v>0</v>
      </c>
      <c r="G326">
        <v>0</v>
      </c>
      <c r="I326" t="s">
        <v>14753</v>
      </c>
      <c r="J326" t="s">
        <v>13764</v>
      </c>
      <c r="K326">
        <v>1</v>
      </c>
    </row>
    <row r="327" spans="1:11" x14ac:dyDescent="0.35">
      <c r="A327" t="s">
        <v>14754</v>
      </c>
      <c r="B327" t="s">
        <v>14144</v>
      </c>
      <c r="C327">
        <v>16</v>
      </c>
      <c r="D327">
        <v>16</v>
      </c>
      <c r="E327">
        <v>0</v>
      </c>
      <c r="F327">
        <v>0</v>
      </c>
      <c r="G327">
        <v>0</v>
      </c>
      <c r="I327" t="s">
        <v>14754</v>
      </c>
      <c r="J327" t="s">
        <v>14144</v>
      </c>
      <c r="K327">
        <v>1</v>
      </c>
    </row>
    <row r="328" spans="1:11" x14ac:dyDescent="0.35">
      <c r="A328" t="s">
        <v>14755</v>
      </c>
      <c r="B328" t="s">
        <v>13464</v>
      </c>
      <c r="C328">
        <v>4</v>
      </c>
      <c r="D328">
        <v>0</v>
      </c>
      <c r="E328">
        <v>0</v>
      </c>
      <c r="F328">
        <v>4</v>
      </c>
      <c r="G328">
        <v>0</v>
      </c>
      <c r="I328" t="s">
        <v>14755</v>
      </c>
      <c r="J328" t="s">
        <v>13464</v>
      </c>
      <c r="K328">
        <v>1</v>
      </c>
    </row>
    <row r="329" spans="1:11" x14ac:dyDescent="0.35">
      <c r="A329" t="s">
        <v>14756</v>
      </c>
      <c r="B329" t="s">
        <v>13393</v>
      </c>
      <c r="C329">
        <v>42</v>
      </c>
      <c r="D329">
        <v>0</v>
      </c>
      <c r="E329">
        <v>0</v>
      </c>
      <c r="F329">
        <v>42</v>
      </c>
      <c r="G329">
        <v>0</v>
      </c>
      <c r="I329" t="s">
        <v>14756</v>
      </c>
      <c r="J329" t="s">
        <v>13393</v>
      </c>
      <c r="K329">
        <v>1</v>
      </c>
    </row>
    <row r="330" spans="1:11" x14ac:dyDescent="0.35">
      <c r="A330" t="s">
        <v>14757</v>
      </c>
      <c r="B330" t="s">
        <v>13989</v>
      </c>
      <c r="C330">
        <v>85</v>
      </c>
      <c r="D330">
        <v>0</v>
      </c>
      <c r="E330">
        <v>0</v>
      </c>
      <c r="F330">
        <v>85</v>
      </c>
      <c r="G330">
        <v>0</v>
      </c>
      <c r="I330" t="s">
        <v>14757</v>
      </c>
      <c r="J330" t="s">
        <v>13989</v>
      </c>
      <c r="K330">
        <v>1</v>
      </c>
    </row>
    <row r="331" spans="1:11" x14ac:dyDescent="0.35">
      <c r="A331" t="s">
        <v>14758</v>
      </c>
      <c r="B331" t="s">
        <v>13683</v>
      </c>
      <c r="C331">
        <v>47</v>
      </c>
      <c r="D331">
        <v>0</v>
      </c>
      <c r="E331">
        <v>0</v>
      </c>
      <c r="F331">
        <v>47</v>
      </c>
      <c r="G331">
        <v>0</v>
      </c>
      <c r="I331" t="s">
        <v>14758</v>
      </c>
      <c r="J331" t="s">
        <v>13683</v>
      </c>
      <c r="K331">
        <v>1</v>
      </c>
    </row>
    <row r="332" spans="1:11" x14ac:dyDescent="0.35">
      <c r="A332" t="s">
        <v>14759</v>
      </c>
      <c r="B332" t="s">
        <v>13746</v>
      </c>
      <c r="C332">
        <v>12</v>
      </c>
      <c r="D332">
        <v>0</v>
      </c>
      <c r="E332">
        <v>0</v>
      </c>
      <c r="F332">
        <v>12</v>
      </c>
      <c r="G332">
        <v>0</v>
      </c>
      <c r="I332" t="s">
        <v>14759</v>
      </c>
      <c r="J332" t="s">
        <v>13746</v>
      </c>
      <c r="K332">
        <v>1</v>
      </c>
    </row>
    <row r="333" spans="1:11" x14ac:dyDescent="0.35">
      <c r="A333" t="s">
        <v>14760</v>
      </c>
      <c r="B333" t="s">
        <v>13665</v>
      </c>
      <c r="C333">
        <v>67</v>
      </c>
      <c r="D333">
        <v>0</v>
      </c>
      <c r="E333">
        <v>0</v>
      </c>
      <c r="F333">
        <v>67</v>
      </c>
      <c r="G333">
        <v>0</v>
      </c>
      <c r="I333" t="s">
        <v>14760</v>
      </c>
      <c r="J333" t="s">
        <v>13665</v>
      </c>
      <c r="K333">
        <v>1</v>
      </c>
    </row>
    <row r="334" spans="1:11" x14ac:dyDescent="0.35">
      <c r="A334" t="s">
        <v>14761</v>
      </c>
      <c r="B334" t="s">
        <v>13121</v>
      </c>
      <c r="C334">
        <v>78</v>
      </c>
      <c r="D334">
        <v>0</v>
      </c>
      <c r="E334">
        <v>0</v>
      </c>
      <c r="F334">
        <v>78</v>
      </c>
      <c r="G334">
        <v>0</v>
      </c>
      <c r="I334" t="s">
        <v>14761</v>
      </c>
      <c r="J334" t="s">
        <v>13121</v>
      </c>
      <c r="K334">
        <v>1</v>
      </c>
    </row>
    <row r="335" spans="1:11" x14ac:dyDescent="0.35">
      <c r="A335" t="s">
        <v>14762</v>
      </c>
      <c r="B335" t="s">
        <v>13556</v>
      </c>
      <c r="C335">
        <v>101</v>
      </c>
      <c r="D335">
        <v>0</v>
      </c>
      <c r="E335">
        <v>0</v>
      </c>
      <c r="F335">
        <v>101</v>
      </c>
      <c r="G335">
        <v>0</v>
      </c>
      <c r="I335" t="s">
        <v>14762</v>
      </c>
      <c r="J335" t="s">
        <v>13556</v>
      </c>
      <c r="K335">
        <v>3</v>
      </c>
    </row>
    <row r="336" spans="1:11" x14ac:dyDescent="0.35">
      <c r="A336" t="s">
        <v>14763</v>
      </c>
      <c r="B336" t="s">
        <v>14014</v>
      </c>
      <c r="C336">
        <v>60</v>
      </c>
      <c r="D336">
        <v>60</v>
      </c>
      <c r="E336">
        <v>0</v>
      </c>
      <c r="F336">
        <v>0</v>
      </c>
      <c r="G336">
        <v>0</v>
      </c>
      <c r="I336" t="s">
        <v>14763</v>
      </c>
      <c r="J336" t="s">
        <v>14014</v>
      </c>
      <c r="K336">
        <v>1</v>
      </c>
    </row>
    <row r="337" spans="1:11" x14ac:dyDescent="0.35">
      <c r="A337" t="s">
        <v>14764</v>
      </c>
      <c r="B337" t="s">
        <v>13421</v>
      </c>
      <c r="C337">
        <v>32</v>
      </c>
      <c r="D337">
        <v>0</v>
      </c>
      <c r="E337">
        <v>0</v>
      </c>
      <c r="F337">
        <v>32</v>
      </c>
      <c r="G337">
        <v>0</v>
      </c>
      <c r="I337" t="s">
        <v>14764</v>
      </c>
      <c r="J337" t="s">
        <v>13421</v>
      </c>
      <c r="K337">
        <v>1</v>
      </c>
    </row>
    <row r="338" spans="1:11" x14ac:dyDescent="0.35">
      <c r="A338" t="s">
        <v>14765</v>
      </c>
      <c r="B338" t="s">
        <v>13618</v>
      </c>
      <c r="C338">
        <v>15</v>
      </c>
      <c r="D338">
        <v>15</v>
      </c>
      <c r="E338">
        <v>0</v>
      </c>
      <c r="F338">
        <v>0</v>
      </c>
      <c r="G338">
        <v>0</v>
      </c>
      <c r="I338" t="s">
        <v>14765</v>
      </c>
      <c r="J338" t="s">
        <v>13618</v>
      </c>
      <c r="K338">
        <v>1</v>
      </c>
    </row>
    <row r="339" spans="1:11" x14ac:dyDescent="0.35">
      <c r="A339" t="s">
        <v>14766</v>
      </c>
      <c r="B339" t="s">
        <v>13297</v>
      </c>
      <c r="C339">
        <v>10</v>
      </c>
      <c r="D339">
        <v>0</v>
      </c>
      <c r="E339">
        <v>0</v>
      </c>
      <c r="F339">
        <v>10</v>
      </c>
      <c r="G339">
        <v>0</v>
      </c>
      <c r="I339" t="s">
        <v>14766</v>
      </c>
      <c r="J339" t="s">
        <v>13297</v>
      </c>
      <c r="K339">
        <v>1</v>
      </c>
    </row>
    <row r="340" spans="1:11" x14ac:dyDescent="0.35">
      <c r="A340" t="s">
        <v>14767</v>
      </c>
      <c r="B340" t="s">
        <v>14094</v>
      </c>
      <c r="C340">
        <v>20</v>
      </c>
      <c r="D340">
        <v>20</v>
      </c>
      <c r="E340">
        <v>0</v>
      </c>
      <c r="F340">
        <v>0</v>
      </c>
      <c r="G340">
        <v>0</v>
      </c>
      <c r="I340" t="s">
        <v>14767</v>
      </c>
      <c r="J340" t="s">
        <v>14094</v>
      </c>
      <c r="K340">
        <v>1</v>
      </c>
    </row>
    <row r="341" spans="1:11" x14ac:dyDescent="0.35">
      <c r="A341" t="s">
        <v>14768</v>
      </c>
      <c r="B341" t="s">
        <v>14047</v>
      </c>
      <c r="C341">
        <v>20</v>
      </c>
      <c r="D341">
        <v>20</v>
      </c>
      <c r="E341">
        <v>0</v>
      </c>
      <c r="F341">
        <v>0</v>
      </c>
      <c r="G341">
        <v>0</v>
      </c>
      <c r="I341" t="s">
        <v>14768</v>
      </c>
      <c r="J341" t="s">
        <v>14047</v>
      </c>
      <c r="K341">
        <v>1</v>
      </c>
    </row>
    <row r="342" spans="1:11" x14ac:dyDescent="0.35">
      <c r="A342" t="s">
        <v>14769</v>
      </c>
      <c r="B342" t="s">
        <v>14402</v>
      </c>
      <c r="C342">
        <v>74</v>
      </c>
      <c r="D342">
        <v>10</v>
      </c>
      <c r="E342">
        <v>0</v>
      </c>
      <c r="F342">
        <v>64</v>
      </c>
      <c r="G342">
        <v>0</v>
      </c>
      <c r="I342" t="s">
        <v>14769</v>
      </c>
      <c r="J342" t="s">
        <v>14402</v>
      </c>
      <c r="K342">
        <v>1</v>
      </c>
    </row>
    <row r="343" spans="1:11" x14ac:dyDescent="0.35">
      <c r="A343" t="s">
        <v>14770</v>
      </c>
      <c r="B343" t="s">
        <v>13582</v>
      </c>
      <c r="C343">
        <v>10</v>
      </c>
      <c r="D343">
        <v>10</v>
      </c>
      <c r="E343">
        <v>0</v>
      </c>
      <c r="F343">
        <v>0</v>
      </c>
      <c r="G343">
        <v>0</v>
      </c>
      <c r="I343" t="s">
        <v>14770</v>
      </c>
      <c r="J343" t="s">
        <v>13582</v>
      </c>
      <c r="K343">
        <v>1</v>
      </c>
    </row>
    <row r="344" spans="1:11" x14ac:dyDescent="0.35">
      <c r="A344" t="s">
        <v>14771</v>
      </c>
      <c r="B344" t="s">
        <v>14134</v>
      </c>
      <c r="C344">
        <v>12</v>
      </c>
      <c r="D344">
        <v>0</v>
      </c>
      <c r="E344">
        <v>0</v>
      </c>
      <c r="F344">
        <v>12</v>
      </c>
      <c r="G344">
        <v>0</v>
      </c>
      <c r="I344" t="s">
        <v>14771</v>
      </c>
      <c r="J344" t="s">
        <v>14134</v>
      </c>
      <c r="K344">
        <v>1</v>
      </c>
    </row>
    <row r="345" spans="1:11" x14ac:dyDescent="0.35">
      <c r="A345" t="s">
        <v>14772</v>
      </c>
      <c r="B345" t="s">
        <v>14268</v>
      </c>
      <c r="C345">
        <v>69</v>
      </c>
      <c r="D345">
        <v>0</v>
      </c>
      <c r="E345">
        <v>0</v>
      </c>
      <c r="F345">
        <v>69</v>
      </c>
      <c r="G345">
        <v>0</v>
      </c>
      <c r="I345" t="s">
        <v>14772</v>
      </c>
      <c r="J345" t="s">
        <v>14268</v>
      </c>
      <c r="K345">
        <v>1</v>
      </c>
    </row>
    <row r="346" spans="1:11" x14ac:dyDescent="0.35">
      <c r="A346" t="s">
        <v>14773</v>
      </c>
      <c r="B346" t="s">
        <v>13357</v>
      </c>
      <c r="C346">
        <v>12</v>
      </c>
      <c r="D346">
        <v>0</v>
      </c>
      <c r="E346">
        <v>0</v>
      </c>
      <c r="F346">
        <v>12</v>
      </c>
      <c r="G346">
        <v>0</v>
      </c>
      <c r="I346" t="s">
        <v>14773</v>
      </c>
      <c r="J346" t="s">
        <v>13357</v>
      </c>
      <c r="K346">
        <v>1</v>
      </c>
    </row>
    <row r="347" spans="1:11" x14ac:dyDescent="0.35">
      <c r="A347" t="s">
        <v>14774</v>
      </c>
      <c r="B347" t="s">
        <v>14255</v>
      </c>
      <c r="C347">
        <v>31</v>
      </c>
      <c r="D347">
        <v>31</v>
      </c>
      <c r="E347">
        <v>0</v>
      </c>
      <c r="F347">
        <v>0</v>
      </c>
      <c r="G347">
        <v>0</v>
      </c>
      <c r="I347" t="s">
        <v>14774</v>
      </c>
      <c r="J347" t="s">
        <v>14255</v>
      </c>
      <c r="K347">
        <v>1</v>
      </c>
    </row>
    <row r="348" spans="1:11" x14ac:dyDescent="0.35">
      <c r="A348" t="s">
        <v>14775</v>
      </c>
      <c r="B348" t="s">
        <v>13088</v>
      </c>
      <c r="C348">
        <v>31</v>
      </c>
      <c r="D348">
        <v>31</v>
      </c>
      <c r="E348">
        <v>0</v>
      </c>
      <c r="F348">
        <v>0</v>
      </c>
      <c r="G348">
        <v>0</v>
      </c>
      <c r="I348" t="s">
        <v>14775</v>
      </c>
      <c r="J348" t="s">
        <v>13088</v>
      </c>
      <c r="K348">
        <v>1</v>
      </c>
    </row>
    <row r="349" spans="1:11" x14ac:dyDescent="0.35">
      <c r="A349" t="s">
        <v>14776</v>
      </c>
      <c r="B349" t="s">
        <v>13748</v>
      </c>
      <c r="C349">
        <v>92</v>
      </c>
      <c r="D349">
        <v>0</v>
      </c>
      <c r="E349">
        <v>0</v>
      </c>
      <c r="F349">
        <v>92</v>
      </c>
      <c r="G349">
        <v>0</v>
      </c>
      <c r="I349" t="s">
        <v>14776</v>
      </c>
      <c r="J349" t="s">
        <v>13748</v>
      </c>
      <c r="K349">
        <v>1</v>
      </c>
    </row>
    <row r="350" spans="1:11" x14ac:dyDescent="0.35">
      <c r="A350" t="s">
        <v>14777</v>
      </c>
      <c r="B350" t="s">
        <v>13893</v>
      </c>
      <c r="C350">
        <v>79</v>
      </c>
      <c r="D350">
        <v>0</v>
      </c>
      <c r="E350">
        <v>0</v>
      </c>
      <c r="F350">
        <v>79</v>
      </c>
      <c r="G350">
        <v>0</v>
      </c>
      <c r="I350" t="s">
        <v>14777</v>
      </c>
      <c r="J350" t="s">
        <v>13893</v>
      </c>
      <c r="K350">
        <v>2</v>
      </c>
    </row>
    <row r="351" spans="1:11" x14ac:dyDescent="0.35">
      <c r="A351" t="s">
        <v>14778</v>
      </c>
      <c r="B351" t="s">
        <v>13560</v>
      </c>
      <c r="C351">
        <v>1633</v>
      </c>
      <c r="D351">
        <v>558</v>
      </c>
      <c r="E351">
        <v>0</v>
      </c>
      <c r="F351">
        <v>1000</v>
      </c>
      <c r="G351">
        <v>75</v>
      </c>
      <c r="I351" t="s">
        <v>14778</v>
      </c>
      <c r="J351" t="s">
        <v>13560</v>
      </c>
      <c r="K351">
        <v>20</v>
      </c>
    </row>
    <row r="352" spans="1:11" x14ac:dyDescent="0.35">
      <c r="A352" t="s">
        <v>14779</v>
      </c>
      <c r="B352" t="s">
        <v>13589</v>
      </c>
      <c r="C352">
        <v>8</v>
      </c>
      <c r="D352">
        <v>8</v>
      </c>
      <c r="E352">
        <v>0</v>
      </c>
      <c r="F352">
        <v>0</v>
      </c>
      <c r="G352">
        <v>0</v>
      </c>
      <c r="I352" t="s">
        <v>14779</v>
      </c>
      <c r="J352" t="s">
        <v>13589</v>
      </c>
      <c r="K352">
        <v>1</v>
      </c>
    </row>
    <row r="353" spans="1:11" x14ac:dyDescent="0.35">
      <c r="A353" t="s">
        <v>14780</v>
      </c>
      <c r="B353" t="s">
        <v>13876</v>
      </c>
      <c r="C353">
        <v>52</v>
      </c>
      <c r="D353">
        <v>0</v>
      </c>
      <c r="E353">
        <v>0</v>
      </c>
      <c r="F353">
        <v>52</v>
      </c>
      <c r="G353">
        <v>0</v>
      </c>
      <c r="I353" t="s">
        <v>14780</v>
      </c>
      <c r="J353" t="s">
        <v>13876</v>
      </c>
      <c r="K353">
        <v>1</v>
      </c>
    </row>
    <row r="354" spans="1:11" x14ac:dyDescent="0.35">
      <c r="A354" t="s">
        <v>14781</v>
      </c>
      <c r="B354" t="s">
        <v>13688</v>
      </c>
      <c r="C354">
        <v>141</v>
      </c>
      <c r="D354">
        <v>0</v>
      </c>
      <c r="E354">
        <v>0</v>
      </c>
      <c r="F354">
        <v>141</v>
      </c>
      <c r="G354">
        <v>0</v>
      </c>
      <c r="I354" t="s">
        <v>14781</v>
      </c>
      <c r="J354" t="s">
        <v>13688</v>
      </c>
      <c r="K354">
        <v>1</v>
      </c>
    </row>
    <row r="355" spans="1:11" x14ac:dyDescent="0.35">
      <c r="A355" t="s">
        <v>14782</v>
      </c>
      <c r="B355" t="s">
        <v>13128</v>
      </c>
      <c r="C355">
        <v>19</v>
      </c>
      <c r="D355">
        <v>0</v>
      </c>
      <c r="E355">
        <v>0</v>
      </c>
      <c r="F355">
        <v>19</v>
      </c>
      <c r="G355">
        <v>0</v>
      </c>
      <c r="I355" t="s">
        <v>14782</v>
      </c>
      <c r="J355" t="s">
        <v>13128</v>
      </c>
      <c r="K355">
        <v>1</v>
      </c>
    </row>
    <row r="356" spans="1:11" x14ac:dyDescent="0.35">
      <c r="A356" t="s">
        <v>14783</v>
      </c>
      <c r="B356" t="s">
        <v>14386</v>
      </c>
      <c r="C356">
        <v>4</v>
      </c>
      <c r="D356">
        <v>4</v>
      </c>
      <c r="E356">
        <v>0</v>
      </c>
      <c r="F356">
        <v>0</v>
      </c>
      <c r="G356">
        <v>0</v>
      </c>
      <c r="I356" t="s">
        <v>14783</v>
      </c>
      <c r="J356" t="s">
        <v>14386</v>
      </c>
      <c r="K356">
        <v>1</v>
      </c>
    </row>
    <row r="357" spans="1:11" x14ac:dyDescent="0.35">
      <c r="A357" t="s">
        <v>14784</v>
      </c>
      <c r="B357" t="s">
        <v>14320</v>
      </c>
      <c r="C357">
        <v>3</v>
      </c>
      <c r="D357">
        <v>3</v>
      </c>
      <c r="E357">
        <v>0</v>
      </c>
      <c r="F357">
        <v>0</v>
      </c>
      <c r="G357">
        <v>0</v>
      </c>
      <c r="I357" t="s">
        <v>14784</v>
      </c>
      <c r="J357" t="s">
        <v>14320</v>
      </c>
      <c r="K357">
        <v>1</v>
      </c>
    </row>
    <row r="358" spans="1:11" x14ac:dyDescent="0.35">
      <c r="A358" t="s">
        <v>14785</v>
      </c>
      <c r="B358" t="s">
        <v>13172</v>
      </c>
      <c r="C358">
        <v>52</v>
      </c>
      <c r="D358">
        <v>0</v>
      </c>
      <c r="E358">
        <v>0</v>
      </c>
      <c r="F358">
        <v>52</v>
      </c>
      <c r="G358">
        <v>0</v>
      </c>
      <c r="I358" t="s">
        <v>14785</v>
      </c>
      <c r="J358" t="s">
        <v>13172</v>
      </c>
      <c r="K358">
        <v>1</v>
      </c>
    </row>
    <row r="359" spans="1:11" x14ac:dyDescent="0.35">
      <c r="A359" t="s">
        <v>14786</v>
      </c>
      <c r="B359" t="s">
        <v>14133</v>
      </c>
      <c r="C359">
        <v>33</v>
      </c>
      <c r="D359">
        <v>0</v>
      </c>
      <c r="E359">
        <v>0</v>
      </c>
      <c r="F359">
        <v>33</v>
      </c>
      <c r="G359">
        <v>0</v>
      </c>
      <c r="I359" t="s">
        <v>14786</v>
      </c>
      <c r="J359" t="s">
        <v>14133</v>
      </c>
      <c r="K359">
        <v>1</v>
      </c>
    </row>
    <row r="360" spans="1:11" x14ac:dyDescent="0.35">
      <c r="A360" t="s">
        <v>14787</v>
      </c>
      <c r="B360" t="s">
        <v>13247</v>
      </c>
      <c r="C360">
        <v>186</v>
      </c>
      <c r="D360">
        <v>0</v>
      </c>
      <c r="E360">
        <v>0</v>
      </c>
      <c r="F360">
        <v>186</v>
      </c>
      <c r="G360">
        <v>0</v>
      </c>
      <c r="I360" t="s">
        <v>14787</v>
      </c>
      <c r="J360" t="s">
        <v>13247</v>
      </c>
      <c r="K360">
        <v>1</v>
      </c>
    </row>
    <row r="361" spans="1:11" x14ac:dyDescent="0.35">
      <c r="A361" t="s">
        <v>14788</v>
      </c>
      <c r="B361" t="s">
        <v>14297</v>
      </c>
      <c r="C361">
        <v>6</v>
      </c>
      <c r="D361">
        <v>6</v>
      </c>
      <c r="E361">
        <v>0</v>
      </c>
      <c r="F361">
        <v>0</v>
      </c>
      <c r="G361">
        <v>0</v>
      </c>
      <c r="I361" t="s">
        <v>14788</v>
      </c>
      <c r="J361" t="s">
        <v>14297</v>
      </c>
      <c r="K361">
        <v>1</v>
      </c>
    </row>
    <row r="362" spans="1:11" x14ac:dyDescent="0.35">
      <c r="A362" t="s">
        <v>14789</v>
      </c>
      <c r="B362" t="s">
        <v>13699</v>
      </c>
      <c r="C362">
        <v>10</v>
      </c>
      <c r="D362">
        <v>10</v>
      </c>
      <c r="E362">
        <v>0</v>
      </c>
      <c r="F362">
        <v>0</v>
      </c>
      <c r="G362">
        <v>0</v>
      </c>
      <c r="I362" t="s">
        <v>14789</v>
      </c>
      <c r="J362" t="s">
        <v>13699</v>
      </c>
      <c r="K362">
        <v>1</v>
      </c>
    </row>
    <row r="363" spans="1:11" x14ac:dyDescent="0.35">
      <c r="A363" t="s">
        <v>14790</v>
      </c>
      <c r="B363" t="s">
        <v>13693</v>
      </c>
      <c r="C363">
        <v>21</v>
      </c>
      <c r="D363">
        <v>0</v>
      </c>
      <c r="E363">
        <v>0</v>
      </c>
      <c r="F363">
        <v>21</v>
      </c>
      <c r="G363">
        <v>0</v>
      </c>
      <c r="I363" t="s">
        <v>14790</v>
      </c>
      <c r="J363" t="s">
        <v>13693</v>
      </c>
      <c r="K363">
        <v>1</v>
      </c>
    </row>
    <row r="364" spans="1:11" x14ac:dyDescent="0.35">
      <c r="A364" t="s">
        <v>14791</v>
      </c>
      <c r="B364" t="s">
        <v>13261</v>
      </c>
      <c r="C364">
        <v>31</v>
      </c>
      <c r="D364">
        <v>0</v>
      </c>
      <c r="E364">
        <v>0</v>
      </c>
      <c r="F364">
        <v>31</v>
      </c>
      <c r="G364">
        <v>0</v>
      </c>
      <c r="I364" t="s">
        <v>14791</v>
      </c>
      <c r="J364" t="s">
        <v>13261</v>
      </c>
      <c r="K364">
        <v>1</v>
      </c>
    </row>
    <row r="365" spans="1:11" x14ac:dyDescent="0.35">
      <c r="A365" t="s">
        <v>14792</v>
      </c>
      <c r="B365" t="s">
        <v>14009</v>
      </c>
      <c r="C365">
        <v>69</v>
      </c>
      <c r="D365">
        <v>0</v>
      </c>
      <c r="E365">
        <v>0</v>
      </c>
      <c r="F365">
        <v>69</v>
      </c>
      <c r="G365">
        <v>0</v>
      </c>
      <c r="I365" t="s">
        <v>14792</v>
      </c>
      <c r="J365" t="s">
        <v>14009</v>
      </c>
      <c r="K365">
        <v>1</v>
      </c>
    </row>
    <row r="366" spans="1:11" x14ac:dyDescent="0.35">
      <c r="A366" t="s">
        <v>14793</v>
      </c>
      <c r="B366" t="s">
        <v>13907</v>
      </c>
      <c r="C366">
        <v>75</v>
      </c>
      <c r="D366">
        <v>75</v>
      </c>
      <c r="E366">
        <v>0</v>
      </c>
      <c r="F366">
        <v>0</v>
      </c>
      <c r="G366">
        <v>0</v>
      </c>
      <c r="I366" t="s">
        <v>14793</v>
      </c>
      <c r="J366" t="s">
        <v>13907</v>
      </c>
      <c r="K366">
        <v>1</v>
      </c>
    </row>
    <row r="367" spans="1:11" x14ac:dyDescent="0.35">
      <c r="A367" t="s">
        <v>14794</v>
      </c>
      <c r="B367" t="s">
        <v>13269</v>
      </c>
      <c r="C367">
        <v>207</v>
      </c>
      <c r="D367">
        <v>0</v>
      </c>
      <c r="E367">
        <v>0</v>
      </c>
      <c r="F367">
        <v>207</v>
      </c>
      <c r="G367">
        <v>0</v>
      </c>
      <c r="I367" t="s">
        <v>14794</v>
      </c>
      <c r="J367" t="s">
        <v>13269</v>
      </c>
      <c r="K367">
        <v>2</v>
      </c>
    </row>
    <row r="368" spans="1:11" x14ac:dyDescent="0.35">
      <c r="A368" t="s">
        <v>14795</v>
      </c>
      <c r="B368" t="s">
        <v>13982</v>
      </c>
      <c r="C368">
        <v>12</v>
      </c>
      <c r="D368">
        <v>0</v>
      </c>
      <c r="E368">
        <v>0</v>
      </c>
      <c r="F368">
        <v>12</v>
      </c>
      <c r="G368">
        <v>0</v>
      </c>
      <c r="I368" t="s">
        <v>14795</v>
      </c>
      <c r="J368" t="s">
        <v>13982</v>
      </c>
      <c r="K368">
        <v>1</v>
      </c>
    </row>
    <row r="369" spans="1:11" x14ac:dyDescent="0.35">
      <c r="A369" t="s">
        <v>14796</v>
      </c>
      <c r="B369" t="s">
        <v>14003</v>
      </c>
      <c r="C369">
        <v>20</v>
      </c>
      <c r="D369">
        <v>0</v>
      </c>
      <c r="E369">
        <v>0</v>
      </c>
      <c r="F369">
        <v>20</v>
      </c>
      <c r="G369">
        <v>0</v>
      </c>
      <c r="I369" t="s">
        <v>14796</v>
      </c>
      <c r="J369" t="s">
        <v>14003</v>
      </c>
      <c r="K369">
        <v>1</v>
      </c>
    </row>
    <row r="370" spans="1:11" x14ac:dyDescent="0.35">
      <c r="A370" t="s">
        <v>14797</v>
      </c>
      <c r="B370" t="s">
        <v>13518</v>
      </c>
      <c r="C370">
        <v>43</v>
      </c>
      <c r="D370">
        <v>0</v>
      </c>
      <c r="E370">
        <v>0</v>
      </c>
      <c r="F370">
        <v>43</v>
      </c>
      <c r="G370">
        <v>0</v>
      </c>
      <c r="I370" t="s">
        <v>14797</v>
      </c>
      <c r="J370" t="s">
        <v>13518</v>
      </c>
      <c r="K370">
        <v>1</v>
      </c>
    </row>
    <row r="371" spans="1:11" x14ac:dyDescent="0.35">
      <c r="A371" t="s">
        <v>14798</v>
      </c>
      <c r="B371" t="s">
        <v>13555</v>
      </c>
      <c r="C371">
        <v>5</v>
      </c>
      <c r="D371">
        <v>5</v>
      </c>
      <c r="E371">
        <v>0</v>
      </c>
      <c r="F371">
        <v>0</v>
      </c>
      <c r="G371">
        <v>0</v>
      </c>
      <c r="I371" t="s">
        <v>14798</v>
      </c>
      <c r="J371" t="s">
        <v>13555</v>
      </c>
      <c r="K371">
        <v>1</v>
      </c>
    </row>
    <row r="372" spans="1:11" x14ac:dyDescent="0.35">
      <c r="A372" t="s">
        <v>14799</v>
      </c>
      <c r="B372" t="s">
        <v>13719</v>
      </c>
      <c r="C372">
        <v>10</v>
      </c>
      <c r="D372">
        <v>0</v>
      </c>
      <c r="E372">
        <v>0</v>
      </c>
      <c r="F372">
        <v>10</v>
      </c>
      <c r="G372">
        <v>0</v>
      </c>
      <c r="I372" t="s">
        <v>14799</v>
      </c>
      <c r="J372" t="s">
        <v>13719</v>
      </c>
      <c r="K372">
        <v>1</v>
      </c>
    </row>
    <row r="373" spans="1:11" x14ac:dyDescent="0.35">
      <c r="A373" t="s">
        <v>14800</v>
      </c>
      <c r="B373" t="s">
        <v>13892</v>
      </c>
      <c r="C373">
        <v>14</v>
      </c>
      <c r="D373">
        <v>0</v>
      </c>
      <c r="E373">
        <v>0</v>
      </c>
      <c r="F373">
        <v>14</v>
      </c>
      <c r="G373">
        <v>0</v>
      </c>
      <c r="I373" t="s">
        <v>14800</v>
      </c>
      <c r="J373" t="s">
        <v>13892</v>
      </c>
      <c r="K373">
        <v>1</v>
      </c>
    </row>
    <row r="374" spans="1:11" x14ac:dyDescent="0.35">
      <c r="A374" t="s">
        <v>14801</v>
      </c>
      <c r="B374" t="s">
        <v>14394</v>
      </c>
      <c r="C374">
        <v>18</v>
      </c>
      <c r="D374">
        <v>18</v>
      </c>
      <c r="E374">
        <v>0</v>
      </c>
      <c r="F374">
        <v>0</v>
      </c>
      <c r="G374">
        <v>0</v>
      </c>
      <c r="I374" t="s">
        <v>14801</v>
      </c>
      <c r="J374" t="s">
        <v>14394</v>
      </c>
      <c r="K374">
        <v>1</v>
      </c>
    </row>
    <row r="375" spans="1:11" x14ac:dyDescent="0.35">
      <c r="A375" t="s">
        <v>14802</v>
      </c>
      <c r="B375" t="s">
        <v>14321</v>
      </c>
      <c r="C375">
        <v>6</v>
      </c>
      <c r="D375">
        <v>6</v>
      </c>
      <c r="E375">
        <v>0</v>
      </c>
      <c r="F375">
        <v>0</v>
      </c>
      <c r="G375">
        <v>0</v>
      </c>
      <c r="I375" t="s">
        <v>14802</v>
      </c>
      <c r="J375" t="s">
        <v>14321</v>
      </c>
      <c r="K375">
        <v>1</v>
      </c>
    </row>
    <row r="376" spans="1:11" x14ac:dyDescent="0.35">
      <c r="A376" t="s">
        <v>14803</v>
      </c>
      <c r="B376" t="s">
        <v>14265</v>
      </c>
      <c r="C376">
        <v>14</v>
      </c>
      <c r="D376">
        <v>14</v>
      </c>
      <c r="E376">
        <v>0</v>
      </c>
      <c r="F376">
        <v>0</v>
      </c>
      <c r="G376">
        <v>0</v>
      </c>
      <c r="I376" t="s">
        <v>14803</v>
      </c>
      <c r="J376" t="s">
        <v>14265</v>
      </c>
      <c r="K376">
        <v>1</v>
      </c>
    </row>
    <row r="377" spans="1:11" x14ac:dyDescent="0.35">
      <c r="A377" t="s">
        <v>14804</v>
      </c>
      <c r="B377" t="s">
        <v>13511</v>
      </c>
      <c r="C377">
        <v>7</v>
      </c>
      <c r="D377">
        <v>0</v>
      </c>
      <c r="E377">
        <v>0</v>
      </c>
      <c r="F377">
        <v>7</v>
      </c>
      <c r="G377">
        <v>0</v>
      </c>
      <c r="I377" t="s">
        <v>14804</v>
      </c>
      <c r="J377" t="s">
        <v>13511</v>
      </c>
      <c r="K377">
        <v>1</v>
      </c>
    </row>
    <row r="378" spans="1:11" x14ac:dyDescent="0.35">
      <c r="A378" t="s">
        <v>14805</v>
      </c>
      <c r="B378" t="s">
        <v>14172</v>
      </c>
      <c r="C378">
        <v>6</v>
      </c>
      <c r="D378">
        <v>0</v>
      </c>
      <c r="E378">
        <v>0</v>
      </c>
      <c r="F378">
        <v>6</v>
      </c>
      <c r="G378">
        <v>0</v>
      </c>
      <c r="I378" t="s">
        <v>14805</v>
      </c>
      <c r="J378" t="s">
        <v>14172</v>
      </c>
      <c r="K378">
        <v>1</v>
      </c>
    </row>
    <row r="379" spans="1:11" x14ac:dyDescent="0.35">
      <c r="A379" t="s">
        <v>14806</v>
      </c>
      <c r="B379" t="s">
        <v>13601</v>
      </c>
      <c r="C379">
        <v>36</v>
      </c>
      <c r="D379">
        <v>0</v>
      </c>
      <c r="E379">
        <v>0</v>
      </c>
      <c r="F379">
        <v>36</v>
      </c>
      <c r="G379">
        <v>0</v>
      </c>
      <c r="I379" t="s">
        <v>14806</v>
      </c>
      <c r="J379" t="s">
        <v>13601</v>
      </c>
      <c r="K379">
        <v>1</v>
      </c>
    </row>
    <row r="380" spans="1:11" x14ac:dyDescent="0.35">
      <c r="A380" t="s">
        <v>14807</v>
      </c>
      <c r="B380" t="s">
        <v>13865</v>
      </c>
      <c r="C380">
        <v>17</v>
      </c>
      <c r="D380">
        <v>0</v>
      </c>
      <c r="E380">
        <v>0</v>
      </c>
      <c r="F380">
        <v>17</v>
      </c>
      <c r="G380">
        <v>0</v>
      </c>
      <c r="I380" t="s">
        <v>14807</v>
      </c>
      <c r="J380" t="s">
        <v>13865</v>
      </c>
      <c r="K380">
        <v>1</v>
      </c>
    </row>
    <row r="381" spans="1:11" x14ac:dyDescent="0.35">
      <c r="A381" t="s">
        <v>14808</v>
      </c>
      <c r="B381" t="s">
        <v>14204</v>
      </c>
      <c r="C381">
        <v>6</v>
      </c>
      <c r="D381">
        <v>0</v>
      </c>
      <c r="E381">
        <v>0</v>
      </c>
      <c r="F381">
        <v>6</v>
      </c>
      <c r="G381">
        <v>0</v>
      </c>
      <c r="I381" t="s">
        <v>14808</v>
      </c>
      <c r="J381" t="s">
        <v>14204</v>
      </c>
      <c r="K381">
        <v>1</v>
      </c>
    </row>
    <row r="382" spans="1:11" x14ac:dyDescent="0.35">
      <c r="A382" t="s">
        <v>14809</v>
      </c>
      <c r="B382" t="s">
        <v>13669</v>
      </c>
      <c r="C382">
        <v>46</v>
      </c>
      <c r="D382">
        <v>0</v>
      </c>
      <c r="E382">
        <v>0</v>
      </c>
      <c r="F382">
        <v>46</v>
      </c>
      <c r="G382">
        <v>0</v>
      </c>
      <c r="I382" t="s">
        <v>14809</v>
      </c>
      <c r="J382" t="s">
        <v>13669</v>
      </c>
      <c r="K382">
        <v>1</v>
      </c>
    </row>
    <row r="383" spans="1:11" x14ac:dyDescent="0.35">
      <c r="A383" t="s">
        <v>14810</v>
      </c>
      <c r="B383" t="s">
        <v>13850</v>
      </c>
      <c r="C383">
        <v>8</v>
      </c>
      <c r="D383">
        <v>0</v>
      </c>
      <c r="E383">
        <v>0</v>
      </c>
      <c r="F383">
        <v>8</v>
      </c>
      <c r="G383">
        <v>0</v>
      </c>
      <c r="I383" t="s">
        <v>14810</v>
      </c>
      <c r="J383" t="s">
        <v>13850</v>
      </c>
      <c r="K383">
        <v>1</v>
      </c>
    </row>
    <row r="384" spans="1:11" x14ac:dyDescent="0.35">
      <c r="A384" t="s">
        <v>14811</v>
      </c>
      <c r="B384" t="s">
        <v>13180</v>
      </c>
      <c r="C384">
        <v>46</v>
      </c>
      <c r="D384">
        <v>0</v>
      </c>
      <c r="E384">
        <v>0</v>
      </c>
      <c r="F384">
        <v>46</v>
      </c>
      <c r="G384">
        <v>0</v>
      </c>
      <c r="I384" t="s">
        <v>14811</v>
      </c>
      <c r="J384" t="s">
        <v>13180</v>
      </c>
      <c r="K384">
        <v>1</v>
      </c>
    </row>
    <row r="385" spans="1:11" x14ac:dyDescent="0.35">
      <c r="A385" t="s">
        <v>14812</v>
      </c>
      <c r="B385" t="s">
        <v>13771</v>
      </c>
      <c r="C385">
        <v>23</v>
      </c>
      <c r="D385">
        <v>0</v>
      </c>
      <c r="E385">
        <v>0</v>
      </c>
      <c r="F385">
        <v>23</v>
      </c>
      <c r="G385">
        <v>0</v>
      </c>
      <c r="I385" t="s">
        <v>14812</v>
      </c>
      <c r="J385" t="s">
        <v>13771</v>
      </c>
      <c r="K385">
        <v>1</v>
      </c>
    </row>
    <row r="386" spans="1:11" x14ac:dyDescent="0.35">
      <c r="A386" t="s">
        <v>14813</v>
      </c>
      <c r="B386" t="s">
        <v>13450</v>
      </c>
      <c r="C386">
        <v>47</v>
      </c>
      <c r="D386">
        <v>11</v>
      </c>
      <c r="E386">
        <v>0</v>
      </c>
      <c r="F386">
        <v>36</v>
      </c>
      <c r="G386">
        <v>0</v>
      </c>
      <c r="I386" t="s">
        <v>14813</v>
      </c>
      <c r="J386" t="s">
        <v>13450</v>
      </c>
      <c r="K386">
        <v>1</v>
      </c>
    </row>
    <row r="387" spans="1:11" x14ac:dyDescent="0.35">
      <c r="A387" t="s">
        <v>14814</v>
      </c>
      <c r="B387" t="s">
        <v>13425</v>
      </c>
      <c r="C387">
        <v>2</v>
      </c>
      <c r="D387">
        <v>2</v>
      </c>
      <c r="E387">
        <v>0</v>
      </c>
      <c r="F387">
        <v>0</v>
      </c>
      <c r="G387">
        <v>0</v>
      </c>
      <c r="I387" t="s">
        <v>14814</v>
      </c>
      <c r="J387" t="s">
        <v>13425</v>
      </c>
      <c r="K387">
        <v>1</v>
      </c>
    </row>
    <row r="388" spans="1:11" x14ac:dyDescent="0.35">
      <c r="A388" t="s">
        <v>14815</v>
      </c>
      <c r="B388" t="s">
        <v>14082</v>
      </c>
      <c r="C388">
        <v>10</v>
      </c>
      <c r="D388">
        <v>10</v>
      </c>
      <c r="E388">
        <v>0</v>
      </c>
      <c r="F388">
        <v>0</v>
      </c>
      <c r="G388">
        <v>0</v>
      </c>
      <c r="I388" t="s">
        <v>14815</v>
      </c>
      <c r="J388" t="s">
        <v>14082</v>
      </c>
      <c r="K388">
        <v>1</v>
      </c>
    </row>
    <row r="389" spans="1:11" x14ac:dyDescent="0.35">
      <c r="A389" t="s">
        <v>14816</v>
      </c>
      <c r="B389" t="s">
        <v>13798</v>
      </c>
      <c r="C389">
        <v>80</v>
      </c>
      <c r="D389">
        <v>0</v>
      </c>
      <c r="E389">
        <v>0</v>
      </c>
      <c r="F389">
        <v>80</v>
      </c>
      <c r="G389">
        <v>0</v>
      </c>
      <c r="I389" t="s">
        <v>14816</v>
      </c>
      <c r="J389" t="s">
        <v>13798</v>
      </c>
      <c r="K389">
        <v>1</v>
      </c>
    </row>
    <row r="390" spans="1:11" x14ac:dyDescent="0.35">
      <c r="A390" t="s">
        <v>14817</v>
      </c>
      <c r="B390" t="s">
        <v>13126</v>
      </c>
      <c r="C390">
        <v>10</v>
      </c>
      <c r="D390">
        <v>0</v>
      </c>
      <c r="E390">
        <v>0</v>
      </c>
      <c r="F390">
        <v>10</v>
      </c>
      <c r="G390">
        <v>0</v>
      </c>
      <c r="I390" t="s">
        <v>14817</v>
      </c>
      <c r="J390" t="s">
        <v>13126</v>
      </c>
      <c r="K390">
        <v>1</v>
      </c>
    </row>
    <row r="391" spans="1:11" x14ac:dyDescent="0.35">
      <c r="A391" t="s">
        <v>14818</v>
      </c>
      <c r="B391" t="s">
        <v>13666</v>
      </c>
      <c r="C391">
        <v>15</v>
      </c>
      <c r="D391">
        <v>0</v>
      </c>
      <c r="E391">
        <v>0</v>
      </c>
      <c r="F391">
        <v>15</v>
      </c>
      <c r="G391">
        <v>0</v>
      </c>
      <c r="I391" t="s">
        <v>14818</v>
      </c>
      <c r="J391" t="s">
        <v>13666</v>
      </c>
      <c r="K391">
        <v>1</v>
      </c>
    </row>
    <row r="392" spans="1:11" x14ac:dyDescent="0.35">
      <c r="A392" t="s">
        <v>14819</v>
      </c>
      <c r="B392" t="s">
        <v>14324</v>
      </c>
      <c r="C392">
        <v>13</v>
      </c>
      <c r="D392">
        <v>13</v>
      </c>
      <c r="E392">
        <v>0</v>
      </c>
      <c r="F392">
        <v>0</v>
      </c>
      <c r="G392">
        <v>0</v>
      </c>
      <c r="I392" t="s">
        <v>14819</v>
      </c>
      <c r="J392" t="s">
        <v>14324</v>
      </c>
      <c r="K392">
        <v>1</v>
      </c>
    </row>
    <row r="393" spans="1:11" x14ac:dyDescent="0.35">
      <c r="A393" t="s">
        <v>14820</v>
      </c>
      <c r="B393" t="s">
        <v>13325</v>
      </c>
      <c r="C393">
        <v>8</v>
      </c>
      <c r="D393">
        <v>8</v>
      </c>
      <c r="E393">
        <v>0</v>
      </c>
      <c r="F393">
        <v>0</v>
      </c>
      <c r="G393">
        <v>0</v>
      </c>
      <c r="I393" t="s">
        <v>14820</v>
      </c>
      <c r="J393" t="s">
        <v>13325</v>
      </c>
      <c r="K393">
        <v>1</v>
      </c>
    </row>
    <row r="394" spans="1:11" x14ac:dyDescent="0.35">
      <c r="A394" t="s">
        <v>14821</v>
      </c>
      <c r="B394" t="s">
        <v>13978</v>
      </c>
      <c r="C394">
        <v>153</v>
      </c>
      <c r="D394">
        <v>0</v>
      </c>
      <c r="E394">
        <v>0</v>
      </c>
      <c r="F394">
        <v>153</v>
      </c>
      <c r="G394">
        <v>0</v>
      </c>
      <c r="I394" t="s">
        <v>14821</v>
      </c>
      <c r="J394" t="s">
        <v>13978</v>
      </c>
      <c r="K394">
        <v>1</v>
      </c>
    </row>
    <row r="395" spans="1:11" x14ac:dyDescent="0.35">
      <c r="A395" t="s">
        <v>14822</v>
      </c>
      <c r="B395" t="s">
        <v>14046</v>
      </c>
      <c r="C395">
        <v>8</v>
      </c>
      <c r="D395">
        <v>0</v>
      </c>
      <c r="E395">
        <v>0</v>
      </c>
      <c r="F395">
        <v>8</v>
      </c>
      <c r="G395">
        <v>0</v>
      </c>
      <c r="I395" t="s">
        <v>14822</v>
      </c>
      <c r="J395" t="s">
        <v>14046</v>
      </c>
      <c r="K395">
        <v>1</v>
      </c>
    </row>
    <row r="396" spans="1:11" x14ac:dyDescent="0.35">
      <c r="A396" t="s">
        <v>14823</v>
      </c>
      <c r="B396" t="s">
        <v>14109</v>
      </c>
      <c r="C396">
        <v>46</v>
      </c>
      <c r="D396">
        <v>0</v>
      </c>
      <c r="E396">
        <v>0</v>
      </c>
      <c r="F396">
        <v>46</v>
      </c>
      <c r="G396">
        <v>0</v>
      </c>
      <c r="I396" t="s">
        <v>14823</v>
      </c>
      <c r="J396" t="s">
        <v>14109</v>
      </c>
      <c r="K396">
        <v>1</v>
      </c>
    </row>
    <row r="397" spans="1:11" x14ac:dyDescent="0.35">
      <c r="A397" t="s">
        <v>14824</v>
      </c>
      <c r="B397" t="s">
        <v>13240</v>
      </c>
      <c r="C397">
        <v>32</v>
      </c>
      <c r="D397">
        <v>0</v>
      </c>
      <c r="E397">
        <v>0</v>
      </c>
      <c r="F397">
        <v>32</v>
      </c>
      <c r="G397">
        <v>0</v>
      </c>
      <c r="I397" t="s">
        <v>14824</v>
      </c>
      <c r="J397" t="s">
        <v>13240</v>
      </c>
      <c r="K397">
        <v>1</v>
      </c>
    </row>
    <row r="398" spans="1:11" x14ac:dyDescent="0.35">
      <c r="A398" t="s">
        <v>14825</v>
      </c>
      <c r="B398" t="s">
        <v>14089</v>
      </c>
      <c r="C398">
        <v>29</v>
      </c>
      <c r="D398">
        <v>3</v>
      </c>
      <c r="E398">
        <v>0</v>
      </c>
      <c r="F398">
        <v>26</v>
      </c>
      <c r="G398">
        <v>0</v>
      </c>
      <c r="I398" t="s">
        <v>14825</v>
      </c>
      <c r="J398" t="s">
        <v>14089</v>
      </c>
      <c r="K398">
        <v>1</v>
      </c>
    </row>
    <row r="399" spans="1:11" x14ac:dyDescent="0.35">
      <c r="A399" t="s">
        <v>14826</v>
      </c>
      <c r="B399" t="s">
        <v>13488</v>
      </c>
      <c r="C399">
        <v>29</v>
      </c>
      <c r="D399">
        <v>0</v>
      </c>
      <c r="E399">
        <v>0</v>
      </c>
      <c r="F399">
        <v>29</v>
      </c>
      <c r="G399">
        <v>0</v>
      </c>
      <c r="I399" t="s">
        <v>14826</v>
      </c>
      <c r="J399" t="s">
        <v>13488</v>
      </c>
      <c r="K399">
        <v>1</v>
      </c>
    </row>
    <row r="400" spans="1:11" x14ac:dyDescent="0.35">
      <c r="A400" t="s">
        <v>14827</v>
      </c>
      <c r="B400" t="s">
        <v>13525</v>
      </c>
      <c r="C400">
        <v>57</v>
      </c>
      <c r="D400">
        <v>0</v>
      </c>
      <c r="E400">
        <v>0</v>
      </c>
      <c r="F400">
        <v>57</v>
      </c>
      <c r="G400">
        <v>0</v>
      </c>
      <c r="I400" t="s">
        <v>14827</v>
      </c>
      <c r="J400" t="s">
        <v>13525</v>
      </c>
      <c r="K400">
        <v>2</v>
      </c>
    </row>
    <row r="401" spans="1:11" x14ac:dyDescent="0.35">
      <c r="A401" t="s">
        <v>14828</v>
      </c>
      <c r="B401" t="s">
        <v>13647</v>
      </c>
      <c r="C401">
        <v>2</v>
      </c>
      <c r="D401">
        <v>2</v>
      </c>
      <c r="E401">
        <v>0</v>
      </c>
      <c r="F401">
        <v>0</v>
      </c>
      <c r="G401">
        <v>0</v>
      </c>
      <c r="I401" t="s">
        <v>14828</v>
      </c>
      <c r="J401" t="s">
        <v>13647</v>
      </c>
      <c r="K401">
        <v>1</v>
      </c>
    </row>
    <row r="402" spans="1:11" x14ac:dyDescent="0.35">
      <c r="A402" t="s">
        <v>14829</v>
      </c>
      <c r="B402" t="s">
        <v>14073</v>
      </c>
      <c r="C402">
        <v>20</v>
      </c>
      <c r="D402">
        <v>20</v>
      </c>
      <c r="E402">
        <v>0</v>
      </c>
      <c r="F402">
        <v>0</v>
      </c>
      <c r="G402">
        <v>0</v>
      </c>
      <c r="I402" t="s">
        <v>14829</v>
      </c>
      <c r="J402" t="s">
        <v>14073</v>
      </c>
      <c r="K402">
        <v>1</v>
      </c>
    </row>
    <row r="403" spans="1:11" x14ac:dyDescent="0.35">
      <c r="A403" t="s">
        <v>14830</v>
      </c>
      <c r="B403" t="s">
        <v>14223</v>
      </c>
      <c r="C403">
        <v>20</v>
      </c>
      <c r="D403">
        <v>0</v>
      </c>
      <c r="E403">
        <v>0</v>
      </c>
      <c r="F403">
        <v>20</v>
      </c>
      <c r="G403">
        <v>0</v>
      </c>
      <c r="I403" t="s">
        <v>14830</v>
      </c>
      <c r="J403" t="s">
        <v>14223</v>
      </c>
      <c r="K403">
        <v>1</v>
      </c>
    </row>
    <row r="404" spans="1:11" x14ac:dyDescent="0.35">
      <c r="A404" t="s">
        <v>14831</v>
      </c>
      <c r="B404" t="s">
        <v>13204</v>
      </c>
      <c r="C404">
        <v>20</v>
      </c>
      <c r="D404">
        <v>20</v>
      </c>
      <c r="E404">
        <v>0</v>
      </c>
      <c r="F404">
        <v>0</v>
      </c>
      <c r="G404">
        <v>0</v>
      </c>
      <c r="I404" t="s">
        <v>14831</v>
      </c>
      <c r="J404" t="s">
        <v>13204</v>
      </c>
      <c r="K404">
        <v>1</v>
      </c>
    </row>
    <row r="405" spans="1:11" x14ac:dyDescent="0.35">
      <c r="A405" t="s">
        <v>14832</v>
      </c>
      <c r="B405" t="s">
        <v>14325</v>
      </c>
      <c r="C405">
        <v>31</v>
      </c>
      <c r="D405">
        <v>0</v>
      </c>
      <c r="E405">
        <v>0</v>
      </c>
      <c r="F405">
        <v>31</v>
      </c>
      <c r="G405">
        <v>0</v>
      </c>
      <c r="I405" t="s">
        <v>14832</v>
      </c>
      <c r="J405" t="s">
        <v>14325</v>
      </c>
      <c r="K405">
        <v>1</v>
      </c>
    </row>
    <row r="406" spans="1:11" x14ac:dyDescent="0.35">
      <c r="A406" t="s">
        <v>14833</v>
      </c>
      <c r="B406" t="s">
        <v>13794</v>
      </c>
      <c r="C406">
        <v>44</v>
      </c>
      <c r="D406">
        <v>0</v>
      </c>
      <c r="E406">
        <v>0</v>
      </c>
      <c r="F406">
        <v>44</v>
      </c>
      <c r="G406">
        <v>0</v>
      </c>
      <c r="I406" t="s">
        <v>14833</v>
      </c>
      <c r="J406" t="s">
        <v>13794</v>
      </c>
      <c r="K406">
        <v>1</v>
      </c>
    </row>
    <row r="407" spans="1:11" x14ac:dyDescent="0.35">
      <c r="A407" t="s">
        <v>14834</v>
      </c>
      <c r="B407" t="s">
        <v>13681</v>
      </c>
      <c r="C407">
        <v>88</v>
      </c>
      <c r="D407">
        <v>0</v>
      </c>
      <c r="E407">
        <v>0</v>
      </c>
      <c r="F407">
        <v>88</v>
      </c>
      <c r="G407">
        <v>0</v>
      </c>
      <c r="I407" t="s">
        <v>14834</v>
      </c>
      <c r="J407" t="s">
        <v>13681</v>
      </c>
      <c r="K407">
        <v>2</v>
      </c>
    </row>
    <row r="408" spans="1:11" x14ac:dyDescent="0.35">
      <c r="A408" t="s">
        <v>14835</v>
      </c>
      <c r="B408" t="s">
        <v>13999</v>
      </c>
      <c r="C408">
        <v>12</v>
      </c>
      <c r="D408">
        <v>12</v>
      </c>
      <c r="E408">
        <v>0</v>
      </c>
      <c r="F408">
        <v>0</v>
      </c>
      <c r="G408">
        <v>0</v>
      </c>
      <c r="I408" t="s">
        <v>14835</v>
      </c>
      <c r="J408" t="s">
        <v>13999</v>
      </c>
      <c r="K408">
        <v>1</v>
      </c>
    </row>
    <row r="409" spans="1:11" x14ac:dyDescent="0.35">
      <c r="A409" t="s">
        <v>14836</v>
      </c>
      <c r="B409" t="s">
        <v>13994</v>
      </c>
      <c r="C409">
        <v>6</v>
      </c>
      <c r="D409">
        <v>6</v>
      </c>
      <c r="E409">
        <v>0</v>
      </c>
      <c r="F409">
        <v>0</v>
      </c>
      <c r="G409">
        <v>0</v>
      </c>
      <c r="I409" t="s">
        <v>14836</v>
      </c>
      <c r="J409" t="s">
        <v>13994</v>
      </c>
      <c r="K409">
        <v>1</v>
      </c>
    </row>
    <row r="410" spans="1:11" x14ac:dyDescent="0.35">
      <c r="A410" t="s">
        <v>14837</v>
      </c>
      <c r="B410" t="s">
        <v>14235</v>
      </c>
      <c r="C410">
        <v>8</v>
      </c>
      <c r="D410">
        <v>8</v>
      </c>
      <c r="E410">
        <v>0</v>
      </c>
      <c r="F410">
        <v>0</v>
      </c>
      <c r="G410">
        <v>0</v>
      </c>
      <c r="I410" t="s">
        <v>14837</v>
      </c>
      <c r="J410" t="s">
        <v>14235</v>
      </c>
      <c r="K410">
        <v>1</v>
      </c>
    </row>
    <row r="411" spans="1:11" x14ac:dyDescent="0.35">
      <c r="A411" t="s">
        <v>14838</v>
      </c>
      <c r="B411" t="s">
        <v>14236</v>
      </c>
      <c r="C411">
        <v>14</v>
      </c>
      <c r="D411">
        <v>14</v>
      </c>
      <c r="E411">
        <v>0</v>
      </c>
      <c r="F411">
        <v>0</v>
      </c>
      <c r="G411">
        <v>0</v>
      </c>
      <c r="I411" t="s">
        <v>14838</v>
      </c>
      <c r="J411" t="s">
        <v>14236</v>
      </c>
      <c r="K411">
        <v>1</v>
      </c>
    </row>
    <row r="412" spans="1:11" x14ac:dyDescent="0.35">
      <c r="A412" t="s">
        <v>14839</v>
      </c>
      <c r="B412" t="s">
        <v>13260</v>
      </c>
      <c r="C412">
        <v>99</v>
      </c>
      <c r="D412">
        <v>0</v>
      </c>
      <c r="E412">
        <v>0</v>
      </c>
      <c r="F412">
        <v>99</v>
      </c>
      <c r="G412">
        <v>0</v>
      </c>
      <c r="I412" t="s">
        <v>14839</v>
      </c>
      <c r="J412" t="s">
        <v>13260</v>
      </c>
      <c r="K412">
        <v>2</v>
      </c>
    </row>
    <row r="413" spans="1:11" x14ac:dyDescent="0.35">
      <c r="A413" t="s">
        <v>14840</v>
      </c>
      <c r="B413" t="s">
        <v>13869</v>
      </c>
      <c r="C413">
        <v>6</v>
      </c>
      <c r="D413">
        <v>6</v>
      </c>
      <c r="E413">
        <v>0</v>
      </c>
      <c r="F413">
        <v>0</v>
      </c>
      <c r="G413">
        <v>0</v>
      </c>
      <c r="I413" t="s">
        <v>14840</v>
      </c>
      <c r="J413" t="s">
        <v>13869</v>
      </c>
      <c r="K413">
        <v>1</v>
      </c>
    </row>
    <row r="414" spans="1:11" x14ac:dyDescent="0.35">
      <c r="A414" t="s">
        <v>14841</v>
      </c>
      <c r="B414" t="s">
        <v>14404</v>
      </c>
      <c r="C414">
        <v>12</v>
      </c>
      <c r="D414">
        <v>0</v>
      </c>
      <c r="E414">
        <v>0</v>
      </c>
      <c r="F414">
        <v>12</v>
      </c>
      <c r="G414">
        <v>0</v>
      </c>
      <c r="I414" t="s">
        <v>14841</v>
      </c>
      <c r="J414" t="s">
        <v>14404</v>
      </c>
      <c r="K414">
        <v>1</v>
      </c>
    </row>
    <row r="415" spans="1:11" x14ac:dyDescent="0.35">
      <c r="A415" t="s">
        <v>14842</v>
      </c>
      <c r="B415" t="s">
        <v>13209</v>
      </c>
      <c r="C415">
        <v>12</v>
      </c>
      <c r="D415">
        <v>12</v>
      </c>
      <c r="E415">
        <v>0</v>
      </c>
      <c r="F415">
        <v>0</v>
      </c>
      <c r="G415">
        <v>0</v>
      </c>
      <c r="I415" t="s">
        <v>14842</v>
      </c>
      <c r="J415" t="s">
        <v>13209</v>
      </c>
      <c r="K415">
        <v>1</v>
      </c>
    </row>
    <row r="416" spans="1:11" x14ac:dyDescent="0.35">
      <c r="A416" t="s">
        <v>14843</v>
      </c>
      <c r="B416" t="s">
        <v>14380</v>
      </c>
      <c r="C416">
        <v>49</v>
      </c>
      <c r="D416">
        <v>0</v>
      </c>
      <c r="E416">
        <v>0</v>
      </c>
      <c r="F416">
        <v>49</v>
      </c>
      <c r="G416">
        <v>0</v>
      </c>
      <c r="I416" t="s">
        <v>14843</v>
      </c>
      <c r="J416" t="s">
        <v>14380</v>
      </c>
      <c r="K416">
        <v>1</v>
      </c>
    </row>
    <row r="417" spans="1:11" x14ac:dyDescent="0.35">
      <c r="A417" t="s">
        <v>14844</v>
      </c>
      <c r="B417" t="s">
        <v>14165</v>
      </c>
      <c r="C417">
        <v>6</v>
      </c>
      <c r="D417">
        <v>6</v>
      </c>
      <c r="E417">
        <v>0</v>
      </c>
      <c r="F417">
        <v>0</v>
      </c>
      <c r="G417">
        <v>0</v>
      </c>
      <c r="I417" t="s">
        <v>14844</v>
      </c>
      <c r="J417" t="s">
        <v>14165</v>
      </c>
      <c r="K417">
        <v>1</v>
      </c>
    </row>
    <row r="418" spans="1:11" x14ac:dyDescent="0.35">
      <c r="A418" t="s">
        <v>14845</v>
      </c>
      <c r="B418" t="s">
        <v>14168</v>
      </c>
      <c r="C418">
        <v>22</v>
      </c>
      <c r="D418">
        <v>0</v>
      </c>
      <c r="E418">
        <v>0</v>
      </c>
      <c r="F418">
        <v>22</v>
      </c>
      <c r="G418">
        <v>0</v>
      </c>
      <c r="I418" t="s">
        <v>14845</v>
      </c>
      <c r="J418" t="s">
        <v>14168</v>
      </c>
      <c r="K418">
        <v>1</v>
      </c>
    </row>
    <row r="419" spans="1:11" x14ac:dyDescent="0.35">
      <c r="A419" t="s">
        <v>14846</v>
      </c>
      <c r="B419" t="s">
        <v>14061</v>
      </c>
      <c r="C419">
        <v>6</v>
      </c>
      <c r="D419">
        <v>0</v>
      </c>
      <c r="E419">
        <v>0</v>
      </c>
      <c r="F419">
        <v>6</v>
      </c>
      <c r="G419">
        <v>0</v>
      </c>
      <c r="I419" t="s">
        <v>14846</v>
      </c>
      <c r="J419" t="s">
        <v>14061</v>
      </c>
      <c r="K419">
        <v>1</v>
      </c>
    </row>
    <row r="420" spans="1:11" x14ac:dyDescent="0.35">
      <c r="A420" t="s">
        <v>14847</v>
      </c>
      <c r="B420" t="s">
        <v>14249</v>
      </c>
      <c r="C420">
        <v>10</v>
      </c>
      <c r="D420">
        <v>10</v>
      </c>
      <c r="E420">
        <v>0</v>
      </c>
      <c r="F420">
        <v>0</v>
      </c>
      <c r="G420">
        <v>0</v>
      </c>
      <c r="I420" t="s">
        <v>14847</v>
      </c>
      <c r="J420" t="s">
        <v>14249</v>
      </c>
      <c r="K420">
        <v>1</v>
      </c>
    </row>
    <row r="421" spans="1:11" x14ac:dyDescent="0.35">
      <c r="A421" t="s">
        <v>14848</v>
      </c>
      <c r="B421" t="s">
        <v>14067</v>
      </c>
      <c r="C421">
        <v>4</v>
      </c>
      <c r="D421">
        <v>4</v>
      </c>
      <c r="E421">
        <v>0</v>
      </c>
      <c r="F421">
        <v>0</v>
      </c>
      <c r="G421">
        <v>0</v>
      </c>
      <c r="I421" t="s">
        <v>14848</v>
      </c>
      <c r="J421" t="s">
        <v>14067</v>
      </c>
      <c r="K421">
        <v>1</v>
      </c>
    </row>
    <row r="422" spans="1:11" x14ac:dyDescent="0.35">
      <c r="A422" t="s">
        <v>14849</v>
      </c>
      <c r="B422" t="s">
        <v>14294</v>
      </c>
      <c r="C422">
        <v>10</v>
      </c>
      <c r="D422">
        <v>0</v>
      </c>
      <c r="E422">
        <v>0</v>
      </c>
      <c r="F422">
        <v>10</v>
      </c>
      <c r="G422">
        <v>0</v>
      </c>
      <c r="I422" t="s">
        <v>14849</v>
      </c>
      <c r="J422" t="s">
        <v>14294</v>
      </c>
      <c r="K422">
        <v>1</v>
      </c>
    </row>
    <row r="423" spans="1:11" x14ac:dyDescent="0.35">
      <c r="A423" t="s">
        <v>14850</v>
      </c>
      <c r="B423" t="s">
        <v>13610</v>
      </c>
      <c r="C423">
        <v>46</v>
      </c>
      <c r="D423">
        <v>46</v>
      </c>
      <c r="E423">
        <v>0</v>
      </c>
      <c r="F423">
        <v>0</v>
      </c>
      <c r="G423">
        <v>0</v>
      </c>
      <c r="I423" t="s">
        <v>14850</v>
      </c>
      <c r="J423" t="s">
        <v>13610</v>
      </c>
      <c r="K423">
        <v>1</v>
      </c>
    </row>
    <row r="424" spans="1:11" x14ac:dyDescent="0.35">
      <c r="A424" t="s">
        <v>14851</v>
      </c>
      <c r="B424" t="s">
        <v>13242</v>
      </c>
      <c r="C424">
        <v>33</v>
      </c>
      <c r="D424">
        <v>0</v>
      </c>
      <c r="E424">
        <v>0</v>
      </c>
      <c r="F424">
        <v>33</v>
      </c>
      <c r="G424">
        <v>0</v>
      </c>
      <c r="I424" t="s">
        <v>14851</v>
      </c>
      <c r="J424" t="s">
        <v>13242</v>
      </c>
      <c r="K424">
        <v>1</v>
      </c>
    </row>
    <row r="425" spans="1:11" x14ac:dyDescent="0.35">
      <c r="A425" t="s">
        <v>14852</v>
      </c>
      <c r="B425" t="s">
        <v>14029</v>
      </c>
      <c r="C425">
        <v>18</v>
      </c>
      <c r="D425">
        <v>18</v>
      </c>
      <c r="E425">
        <v>0</v>
      </c>
      <c r="F425">
        <v>0</v>
      </c>
      <c r="G425">
        <v>0</v>
      </c>
      <c r="I425" t="s">
        <v>14852</v>
      </c>
      <c r="J425" t="s">
        <v>14029</v>
      </c>
      <c r="K425">
        <v>1</v>
      </c>
    </row>
    <row r="426" spans="1:11" x14ac:dyDescent="0.35">
      <c r="A426" t="s">
        <v>14853</v>
      </c>
      <c r="B426" t="s">
        <v>13366</v>
      </c>
      <c r="C426">
        <v>10</v>
      </c>
      <c r="D426">
        <v>10</v>
      </c>
      <c r="E426">
        <v>0</v>
      </c>
      <c r="F426">
        <v>0</v>
      </c>
      <c r="G426">
        <v>0</v>
      </c>
      <c r="I426" t="s">
        <v>14853</v>
      </c>
      <c r="J426" t="s">
        <v>13366</v>
      </c>
      <c r="K426">
        <v>1</v>
      </c>
    </row>
    <row r="427" spans="1:11" x14ac:dyDescent="0.35">
      <c r="A427" t="s">
        <v>14854</v>
      </c>
      <c r="B427" t="s">
        <v>13275</v>
      </c>
      <c r="C427">
        <v>8</v>
      </c>
      <c r="D427">
        <v>0</v>
      </c>
      <c r="E427">
        <v>0</v>
      </c>
      <c r="F427">
        <v>8</v>
      </c>
      <c r="G427">
        <v>0</v>
      </c>
      <c r="I427" t="s">
        <v>14854</v>
      </c>
      <c r="J427" t="s">
        <v>13275</v>
      </c>
      <c r="K427">
        <v>1</v>
      </c>
    </row>
    <row r="428" spans="1:11" x14ac:dyDescent="0.35">
      <c r="A428" t="s">
        <v>14855</v>
      </c>
      <c r="B428" t="s">
        <v>13534</v>
      </c>
      <c r="C428">
        <v>3</v>
      </c>
      <c r="D428">
        <v>0</v>
      </c>
      <c r="E428">
        <v>0</v>
      </c>
      <c r="F428">
        <v>3</v>
      </c>
      <c r="G428">
        <v>0</v>
      </c>
      <c r="I428" t="s">
        <v>14855</v>
      </c>
      <c r="J428" t="s">
        <v>13534</v>
      </c>
      <c r="K428">
        <v>1</v>
      </c>
    </row>
    <row r="429" spans="1:11" x14ac:dyDescent="0.35">
      <c r="A429" t="s">
        <v>14856</v>
      </c>
      <c r="B429" t="s">
        <v>14162</v>
      </c>
      <c r="C429">
        <v>4</v>
      </c>
      <c r="D429">
        <v>4</v>
      </c>
      <c r="E429">
        <v>0</v>
      </c>
      <c r="F429">
        <v>0</v>
      </c>
      <c r="G429">
        <v>0</v>
      </c>
      <c r="I429" t="s">
        <v>14856</v>
      </c>
      <c r="J429" t="s">
        <v>14162</v>
      </c>
      <c r="K429">
        <v>1</v>
      </c>
    </row>
    <row r="430" spans="1:11" x14ac:dyDescent="0.35">
      <c r="A430" t="s">
        <v>14857</v>
      </c>
      <c r="B430" t="s">
        <v>13043</v>
      </c>
      <c r="C430">
        <v>6</v>
      </c>
      <c r="D430">
        <v>6</v>
      </c>
      <c r="E430">
        <v>0</v>
      </c>
      <c r="F430">
        <v>0</v>
      </c>
      <c r="G430">
        <v>0</v>
      </c>
      <c r="I430" t="s">
        <v>14857</v>
      </c>
      <c r="J430" t="s">
        <v>13043</v>
      </c>
      <c r="K430">
        <v>1</v>
      </c>
    </row>
    <row r="431" spans="1:11" x14ac:dyDescent="0.35">
      <c r="A431" t="s">
        <v>14858</v>
      </c>
      <c r="B431" t="s">
        <v>13750</v>
      </c>
      <c r="C431">
        <v>327</v>
      </c>
      <c r="D431">
        <v>4</v>
      </c>
      <c r="E431">
        <v>0</v>
      </c>
      <c r="F431">
        <v>323</v>
      </c>
      <c r="G431">
        <v>0</v>
      </c>
      <c r="I431" t="s">
        <v>14858</v>
      </c>
      <c r="J431" t="s">
        <v>13750</v>
      </c>
      <c r="K431">
        <v>3</v>
      </c>
    </row>
    <row r="432" spans="1:11" x14ac:dyDescent="0.35">
      <c r="A432" t="s">
        <v>14859</v>
      </c>
      <c r="B432" t="s">
        <v>14314</v>
      </c>
      <c r="C432">
        <v>9</v>
      </c>
      <c r="D432">
        <v>9</v>
      </c>
      <c r="E432">
        <v>0</v>
      </c>
      <c r="F432">
        <v>0</v>
      </c>
      <c r="G432">
        <v>0</v>
      </c>
      <c r="I432" t="s">
        <v>14859</v>
      </c>
      <c r="J432" t="s">
        <v>14314</v>
      </c>
      <c r="K432">
        <v>1</v>
      </c>
    </row>
    <row r="433" spans="1:11" x14ac:dyDescent="0.35">
      <c r="A433" t="s">
        <v>14860</v>
      </c>
      <c r="B433" t="s">
        <v>13816</v>
      </c>
      <c r="C433">
        <v>10</v>
      </c>
      <c r="D433">
        <v>0</v>
      </c>
      <c r="E433">
        <v>0</v>
      </c>
      <c r="F433">
        <v>10</v>
      </c>
      <c r="G433">
        <v>0</v>
      </c>
      <c r="I433" t="s">
        <v>14860</v>
      </c>
      <c r="J433" t="s">
        <v>13816</v>
      </c>
      <c r="K433">
        <v>1</v>
      </c>
    </row>
    <row r="434" spans="1:11" x14ac:dyDescent="0.35">
      <c r="A434" t="s">
        <v>14861</v>
      </c>
      <c r="B434" t="s">
        <v>13612</v>
      </c>
      <c r="C434">
        <v>6</v>
      </c>
      <c r="D434">
        <v>6</v>
      </c>
      <c r="E434">
        <v>0</v>
      </c>
      <c r="F434">
        <v>0</v>
      </c>
      <c r="G434">
        <v>0</v>
      </c>
      <c r="I434" t="s">
        <v>14861</v>
      </c>
      <c r="J434" t="s">
        <v>13612</v>
      </c>
      <c r="K434">
        <v>1</v>
      </c>
    </row>
    <row r="435" spans="1:11" x14ac:dyDescent="0.35">
      <c r="A435" t="s">
        <v>14862</v>
      </c>
      <c r="B435" t="s">
        <v>14250</v>
      </c>
      <c r="C435">
        <v>12</v>
      </c>
      <c r="D435">
        <v>12</v>
      </c>
      <c r="E435">
        <v>0</v>
      </c>
      <c r="F435">
        <v>0</v>
      </c>
      <c r="G435">
        <v>0</v>
      </c>
      <c r="I435" t="s">
        <v>14862</v>
      </c>
      <c r="J435" t="s">
        <v>14250</v>
      </c>
      <c r="K435">
        <v>1</v>
      </c>
    </row>
    <row r="436" spans="1:11" x14ac:dyDescent="0.35">
      <c r="A436" t="s">
        <v>14863</v>
      </c>
      <c r="B436" t="s">
        <v>14079</v>
      </c>
      <c r="C436">
        <v>12</v>
      </c>
      <c r="D436">
        <v>0</v>
      </c>
      <c r="E436">
        <v>0</v>
      </c>
      <c r="F436">
        <v>12</v>
      </c>
      <c r="G436">
        <v>0</v>
      </c>
      <c r="I436" t="s">
        <v>14863</v>
      </c>
      <c r="J436" t="s">
        <v>14079</v>
      </c>
      <c r="K436">
        <v>1</v>
      </c>
    </row>
    <row r="437" spans="1:11" x14ac:dyDescent="0.35">
      <c r="A437" t="s">
        <v>14864</v>
      </c>
      <c r="B437" t="s">
        <v>13714</v>
      </c>
      <c r="C437">
        <v>8</v>
      </c>
      <c r="D437">
        <v>0</v>
      </c>
      <c r="E437">
        <v>0</v>
      </c>
      <c r="F437">
        <v>8</v>
      </c>
      <c r="G437">
        <v>0</v>
      </c>
      <c r="I437" t="s">
        <v>14864</v>
      </c>
      <c r="J437" t="s">
        <v>13714</v>
      </c>
      <c r="K437">
        <v>1</v>
      </c>
    </row>
    <row r="438" spans="1:11" x14ac:dyDescent="0.35">
      <c r="A438" t="s">
        <v>14865</v>
      </c>
      <c r="B438" t="s">
        <v>13561</v>
      </c>
      <c r="C438">
        <v>25</v>
      </c>
      <c r="D438">
        <v>0</v>
      </c>
      <c r="E438">
        <v>0</v>
      </c>
      <c r="F438">
        <v>25</v>
      </c>
      <c r="G438">
        <v>0</v>
      </c>
      <c r="I438" t="s">
        <v>14865</v>
      </c>
      <c r="J438" t="s">
        <v>13561</v>
      </c>
      <c r="K438">
        <v>1</v>
      </c>
    </row>
    <row r="439" spans="1:11" x14ac:dyDescent="0.35">
      <c r="A439" t="s">
        <v>14866</v>
      </c>
      <c r="B439" t="s">
        <v>13756</v>
      </c>
      <c r="C439">
        <v>6</v>
      </c>
      <c r="D439">
        <v>0</v>
      </c>
      <c r="E439">
        <v>0</v>
      </c>
      <c r="F439">
        <v>6</v>
      </c>
      <c r="G439">
        <v>0</v>
      </c>
      <c r="I439" t="s">
        <v>14866</v>
      </c>
      <c r="J439" t="s">
        <v>13756</v>
      </c>
      <c r="K439">
        <v>1</v>
      </c>
    </row>
    <row r="440" spans="1:11" x14ac:dyDescent="0.35">
      <c r="A440" t="s">
        <v>14867</v>
      </c>
      <c r="B440" t="s">
        <v>14355</v>
      </c>
      <c r="C440">
        <v>12</v>
      </c>
      <c r="D440">
        <v>0</v>
      </c>
      <c r="E440">
        <v>0</v>
      </c>
      <c r="F440">
        <v>12</v>
      </c>
      <c r="G440">
        <v>0</v>
      </c>
      <c r="I440" t="s">
        <v>14867</v>
      </c>
      <c r="J440" t="s">
        <v>14355</v>
      </c>
      <c r="K440">
        <v>1</v>
      </c>
    </row>
    <row r="441" spans="1:11" x14ac:dyDescent="0.35">
      <c r="A441" t="s">
        <v>14868</v>
      </c>
      <c r="B441" t="s">
        <v>13533</v>
      </c>
      <c r="C441">
        <v>21</v>
      </c>
      <c r="D441">
        <v>0</v>
      </c>
      <c r="E441">
        <v>0</v>
      </c>
      <c r="F441">
        <v>21</v>
      </c>
      <c r="G441">
        <v>0</v>
      </c>
      <c r="I441" t="s">
        <v>14868</v>
      </c>
      <c r="J441" t="s">
        <v>13533</v>
      </c>
      <c r="K441">
        <v>1</v>
      </c>
    </row>
    <row r="442" spans="1:11" x14ac:dyDescent="0.35">
      <c r="A442" t="s">
        <v>14869</v>
      </c>
      <c r="B442" t="s">
        <v>13480</v>
      </c>
      <c r="C442">
        <v>15</v>
      </c>
      <c r="D442">
        <v>0</v>
      </c>
      <c r="E442">
        <v>0</v>
      </c>
      <c r="F442">
        <v>15</v>
      </c>
      <c r="G442">
        <v>0</v>
      </c>
      <c r="I442" t="s">
        <v>14869</v>
      </c>
      <c r="J442" t="s">
        <v>13480</v>
      </c>
      <c r="K442">
        <v>1</v>
      </c>
    </row>
    <row r="443" spans="1:11" x14ac:dyDescent="0.35">
      <c r="A443" t="s">
        <v>14870</v>
      </c>
      <c r="B443" t="s">
        <v>13765</v>
      </c>
      <c r="C443">
        <v>26</v>
      </c>
      <c r="D443">
        <v>0</v>
      </c>
      <c r="E443">
        <v>0</v>
      </c>
      <c r="F443">
        <v>26</v>
      </c>
      <c r="G443">
        <v>0</v>
      </c>
      <c r="I443" t="s">
        <v>14870</v>
      </c>
      <c r="J443" t="s">
        <v>13765</v>
      </c>
      <c r="K443">
        <v>1</v>
      </c>
    </row>
    <row r="444" spans="1:11" x14ac:dyDescent="0.35">
      <c r="A444" t="s">
        <v>14871</v>
      </c>
      <c r="B444" t="s">
        <v>14296</v>
      </c>
      <c r="C444">
        <v>14</v>
      </c>
      <c r="D444">
        <v>0</v>
      </c>
      <c r="E444">
        <v>0</v>
      </c>
      <c r="F444">
        <v>14</v>
      </c>
      <c r="G444">
        <v>0</v>
      </c>
      <c r="I444" t="s">
        <v>14871</v>
      </c>
      <c r="J444" t="s">
        <v>14296</v>
      </c>
      <c r="K444">
        <v>1</v>
      </c>
    </row>
    <row r="445" spans="1:11" x14ac:dyDescent="0.35">
      <c r="A445" t="s">
        <v>14872</v>
      </c>
      <c r="B445" t="s">
        <v>14066</v>
      </c>
      <c r="C445">
        <v>12</v>
      </c>
      <c r="D445">
        <v>0</v>
      </c>
      <c r="E445">
        <v>0</v>
      </c>
      <c r="F445">
        <v>12</v>
      </c>
      <c r="G445">
        <v>0</v>
      </c>
      <c r="I445" t="s">
        <v>14872</v>
      </c>
      <c r="J445" t="s">
        <v>14066</v>
      </c>
      <c r="K445">
        <v>1</v>
      </c>
    </row>
    <row r="446" spans="1:11" x14ac:dyDescent="0.35">
      <c r="A446" t="s">
        <v>14873</v>
      </c>
      <c r="B446" t="s">
        <v>14130</v>
      </c>
      <c r="C446">
        <v>25</v>
      </c>
      <c r="D446">
        <v>0</v>
      </c>
      <c r="E446">
        <v>0</v>
      </c>
      <c r="F446">
        <v>25</v>
      </c>
      <c r="G446">
        <v>0</v>
      </c>
      <c r="I446" t="s">
        <v>14873</v>
      </c>
      <c r="J446" t="s">
        <v>14130</v>
      </c>
      <c r="K446">
        <v>1</v>
      </c>
    </row>
    <row r="447" spans="1:11" x14ac:dyDescent="0.35">
      <c r="A447" t="s">
        <v>14874</v>
      </c>
      <c r="B447" t="s">
        <v>14036</v>
      </c>
      <c r="C447">
        <v>6</v>
      </c>
      <c r="D447">
        <v>0</v>
      </c>
      <c r="E447">
        <v>0</v>
      </c>
      <c r="F447">
        <v>6</v>
      </c>
      <c r="G447">
        <v>0</v>
      </c>
      <c r="I447" t="s">
        <v>14874</v>
      </c>
      <c r="J447" t="s">
        <v>14036</v>
      </c>
      <c r="K447">
        <v>1</v>
      </c>
    </row>
    <row r="448" spans="1:11" x14ac:dyDescent="0.35">
      <c r="A448" t="s">
        <v>14875</v>
      </c>
      <c r="B448" t="s">
        <v>13883</v>
      </c>
      <c r="C448">
        <v>7</v>
      </c>
      <c r="D448">
        <v>0</v>
      </c>
      <c r="E448">
        <v>0</v>
      </c>
      <c r="F448">
        <v>7</v>
      </c>
      <c r="G448">
        <v>0</v>
      </c>
      <c r="I448" t="s">
        <v>14875</v>
      </c>
      <c r="J448" t="s">
        <v>13883</v>
      </c>
      <c r="K448">
        <v>1</v>
      </c>
    </row>
    <row r="449" spans="1:11" x14ac:dyDescent="0.35">
      <c r="A449" t="s">
        <v>14876</v>
      </c>
      <c r="B449" t="s">
        <v>14286</v>
      </c>
      <c r="C449">
        <v>9</v>
      </c>
      <c r="D449">
        <v>0</v>
      </c>
      <c r="E449">
        <v>0</v>
      </c>
      <c r="F449">
        <v>9</v>
      </c>
      <c r="G449">
        <v>0</v>
      </c>
      <c r="I449" t="s">
        <v>14876</v>
      </c>
      <c r="J449" t="s">
        <v>14286</v>
      </c>
      <c r="K449">
        <v>1</v>
      </c>
    </row>
    <row r="450" spans="1:11" x14ac:dyDescent="0.35">
      <c r="A450" t="s">
        <v>14877</v>
      </c>
      <c r="B450" t="s">
        <v>13374</v>
      </c>
      <c r="C450">
        <v>12</v>
      </c>
      <c r="D450">
        <v>12</v>
      </c>
      <c r="E450">
        <v>0</v>
      </c>
      <c r="F450">
        <v>0</v>
      </c>
      <c r="G450">
        <v>0</v>
      </c>
      <c r="I450" t="s">
        <v>14877</v>
      </c>
      <c r="J450" t="s">
        <v>13374</v>
      </c>
      <c r="K450">
        <v>1</v>
      </c>
    </row>
    <row r="451" spans="1:11" x14ac:dyDescent="0.35">
      <c r="A451" t="s">
        <v>14878</v>
      </c>
      <c r="B451" t="s">
        <v>13720</v>
      </c>
      <c r="C451">
        <v>172</v>
      </c>
      <c r="D451">
        <v>0</v>
      </c>
      <c r="E451">
        <v>0</v>
      </c>
      <c r="F451">
        <v>172</v>
      </c>
      <c r="G451">
        <v>0</v>
      </c>
      <c r="I451" t="s">
        <v>14878</v>
      </c>
      <c r="J451" t="s">
        <v>13720</v>
      </c>
      <c r="K451">
        <v>1</v>
      </c>
    </row>
    <row r="452" spans="1:11" x14ac:dyDescent="0.35">
      <c r="A452" t="s">
        <v>14879</v>
      </c>
      <c r="B452" t="s">
        <v>13317</v>
      </c>
      <c r="C452">
        <v>6</v>
      </c>
      <c r="D452">
        <v>0</v>
      </c>
      <c r="E452">
        <v>0</v>
      </c>
      <c r="F452">
        <v>6</v>
      </c>
      <c r="G452">
        <v>0</v>
      </c>
      <c r="I452" t="s">
        <v>14879</v>
      </c>
      <c r="J452" t="s">
        <v>13317</v>
      </c>
      <c r="K452">
        <v>1</v>
      </c>
    </row>
    <row r="453" spans="1:11" x14ac:dyDescent="0.35">
      <c r="A453" t="s">
        <v>14880</v>
      </c>
      <c r="B453" t="s">
        <v>13809</v>
      </c>
      <c r="C453">
        <v>28</v>
      </c>
      <c r="D453">
        <v>0</v>
      </c>
      <c r="E453">
        <v>0</v>
      </c>
      <c r="F453">
        <v>28</v>
      </c>
      <c r="G453">
        <v>0</v>
      </c>
      <c r="I453" t="s">
        <v>14880</v>
      </c>
      <c r="J453" t="s">
        <v>13809</v>
      </c>
      <c r="K453">
        <v>1</v>
      </c>
    </row>
    <row r="454" spans="1:11" x14ac:dyDescent="0.35">
      <c r="A454" t="s">
        <v>14881</v>
      </c>
      <c r="B454" t="s">
        <v>14184</v>
      </c>
      <c r="C454">
        <v>4</v>
      </c>
      <c r="D454">
        <v>0</v>
      </c>
      <c r="E454">
        <v>0</v>
      </c>
      <c r="F454">
        <v>4</v>
      </c>
      <c r="G454">
        <v>0</v>
      </c>
      <c r="I454" t="s">
        <v>14881</v>
      </c>
      <c r="J454" t="s">
        <v>14184</v>
      </c>
      <c r="K454">
        <v>1</v>
      </c>
    </row>
    <row r="455" spans="1:11" x14ac:dyDescent="0.35">
      <c r="A455" t="s">
        <v>14882</v>
      </c>
      <c r="B455" t="s">
        <v>13959</v>
      </c>
      <c r="C455">
        <v>5</v>
      </c>
      <c r="D455">
        <v>0</v>
      </c>
      <c r="E455">
        <v>0</v>
      </c>
      <c r="F455">
        <v>5</v>
      </c>
      <c r="G455">
        <v>0</v>
      </c>
      <c r="I455" t="s">
        <v>14882</v>
      </c>
      <c r="J455" t="s">
        <v>13959</v>
      </c>
      <c r="K455">
        <v>1</v>
      </c>
    </row>
    <row r="456" spans="1:11" x14ac:dyDescent="0.35">
      <c r="A456" t="s">
        <v>14883</v>
      </c>
      <c r="B456" t="s">
        <v>13351</v>
      </c>
      <c r="C456">
        <v>6</v>
      </c>
      <c r="D456">
        <v>6</v>
      </c>
      <c r="E456">
        <v>0</v>
      </c>
      <c r="F456">
        <v>0</v>
      </c>
      <c r="G456">
        <v>0</v>
      </c>
      <c r="I456" t="s">
        <v>14883</v>
      </c>
      <c r="J456" t="s">
        <v>13351</v>
      </c>
      <c r="K456">
        <v>1</v>
      </c>
    </row>
    <row r="457" spans="1:11" x14ac:dyDescent="0.35">
      <c r="A457" t="s">
        <v>14884</v>
      </c>
      <c r="B457" t="s">
        <v>14040</v>
      </c>
      <c r="C457">
        <v>4</v>
      </c>
      <c r="D457">
        <v>4</v>
      </c>
      <c r="E457">
        <v>0</v>
      </c>
      <c r="F457">
        <v>0</v>
      </c>
      <c r="G457">
        <v>0</v>
      </c>
      <c r="I457" t="s">
        <v>14884</v>
      </c>
      <c r="J457" t="s">
        <v>14040</v>
      </c>
      <c r="K457">
        <v>1</v>
      </c>
    </row>
    <row r="458" spans="1:11" x14ac:dyDescent="0.35">
      <c r="A458" t="s">
        <v>14885</v>
      </c>
      <c r="B458" t="s">
        <v>13418</v>
      </c>
      <c r="C458">
        <v>4</v>
      </c>
      <c r="D458">
        <v>0</v>
      </c>
      <c r="E458">
        <v>0</v>
      </c>
      <c r="F458">
        <v>4</v>
      </c>
      <c r="G458">
        <v>0</v>
      </c>
      <c r="I458" t="s">
        <v>14885</v>
      </c>
      <c r="J458" t="s">
        <v>13418</v>
      </c>
      <c r="K458">
        <v>1</v>
      </c>
    </row>
    <row r="459" spans="1:11" x14ac:dyDescent="0.35">
      <c r="A459" t="s">
        <v>14886</v>
      </c>
      <c r="B459" t="s">
        <v>14329</v>
      </c>
      <c r="C459">
        <v>2</v>
      </c>
      <c r="D459">
        <v>2</v>
      </c>
      <c r="E459">
        <v>0</v>
      </c>
      <c r="F459">
        <v>0</v>
      </c>
      <c r="G459">
        <v>0</v>
      </c>
      <c r="I459" t="s">
        <v>14886</v>
      </c>
      <c r="J459" t="s">
        <v>14329</v>
      </c>
      <c r="K459">
        <v>1</v>
      </c>
    </row>
    <row r="460" spans="1:11" x14ac:dyDescent="0.35">
      <c r="A460" t="s">
        <v>14887</v>
      </c>
      <c r="B460" t="s">
        <v>13985</v>
      </c>
      <c r="C460">
        <v>8</v>
      </c>
      <c r="D460">
        <v>8</v>
      </c>
      <c r="E460">
        <v>0</v>
      </c>
      <c r="F460">
        <v>0</v>
      </c>
      <c r="G460">
        <v>0</v>
      </c>
      <c r="I460" t="s">
        <v>14887</v>
      </c>
      <c r="J460" t="s">
        <v>13985</v>
      </c>
      <c r="K460">
        <v>1</v>
      </c>
    </row>
    <row r="461" spans="1:11" x14ac:dyDescent="0.35">
      <c r="A461" t="s">
        <v>14888</v>
      </c>
      <c r="B461" t="s">
        <v>14292</v>
      </c>
      <c r="C461">
        <v>10</v>
      </c>
      <c r="D461">
        <v>0</v>
      </c>
      <c r="E461">
        <v>0</v>
      </c>
      <c r="F461">
        <v>10</v>
      </c>
      <c r="G461">
        <v>0</v>
      </c>
      <c r="I461" t="s">
        <v>14888</v>
      </c>
      <c r="J461" t="s">
        <v>14292</v>
      </c>
      <c r="K461">
        <v>1</v>
      </c>
    </row>
    <row r="462" spans="1:11" x14ac:dyDescent="0.35">
      <c r="A462" t="s">
        <v>14889</v>
      </c>
      <c r="B462" t="s">
        <v>14054</v>
      </c>
      <c r="C462">
        <v>30</v>
      </c>
      <c r="D462">
        <v>30</v>
      </c>
      <c r="E462">
        <v>0</v>
      </c>
      <c r="F462">
        <v>0</v>
      </c>
      <c r="G462">
        <v>0</v>
      </c>
      <c r="I462" t="s">
        <v>14889</v>
      </c>
      <c r="J462" t="s">
        <v>14054</v>
      </c>
      <c r="K462">
        <v>1</v>
      </c>
    </row>
    <row r="463" spans="1:11" x14ac:dyDescent="0.35">
      <c r="A463" t="s">
        <v>14890</v>
      </c>
      <c r="B463" t="s">
        <v>14146</v>
      </c>
      <c r="C463">
        <v>11</v>
      </c>
      <c r="D463">
        <v>11</v>
      </c>
      <c r="E463">
        <v>0</v>
      </c>
      <c r="F463">
        <v>0</v>
      </c>
      <c r="G463">
        <v>0</v>
      </c>
      <c r="I463" t="s">
        <v>14890</v>
      </c>
      <c r="J463" t="s">
        <v>14146</v>
      </c>
      <c r="K463">
        <v>1</v>
      </c>
    </row>
    <row r="464" spans="1:11" x14ac:dyDescent="0.35">
      <c r="A464" t="s">
        <v>14891</v>
      </c>
      <c r="B464" t="s">
        <v>13492</v>
      </c>
      <c r="C464">
        <v>6</v>
      </c>
      <c r="D464">
        <v>0</v>
      </c>
      <c r="E464">
        <v>0</v>
      </c>
      <c r="F464">
        <v>6</v>
      </c>
      <c r="G464">
        <v>0</v>
      </c>
      <c r="I464" t="s">
        <v>14891</v>
      </c>
      <c r="J464" t="s">
        <v>13492</v>
      </c>
      <c r="K464">
        <v>1</v>
      </c>
    </row>
    <row r="465" spans="1:11" x14ac:dyDescent="0.35">
      <c r="A465" t="s">
        <v>14892</v>
      </c>
      <c r="B465" t="s">
        <v>13605</v>
      </c>
      <c r="C465">
        <v>33</v>
      </c>
      <c r="D465">
        <v>33</v>
      </c>
      <c r="E465">
        <v>0</v>
      </c>
      <c r="F465">
        <v>0</v>
      </c>
      <c r="G465">
        <v>0</v>
      </c>
      <c r="I465" t="s">
        <v>14892</v>
      </c>
      <c r="J465" t="s">
        <v>13605</v>
      </c>
      <c r="K465">
        <v>1</v>
      </c>
    </row>
    <row r="466" spans="1:11" x14ac:dyDescent="0.35">
      <c r="A466" t="s">
        <v>14893</v>
      </c>
      <c r="B466" t="s">
        <v>14059</v>
      </c>
      <c r="C466">
        <v>10</v>
      </c>
      <c r="D466">
        <v>0</v>
      </c>
      <c r="E466">
        <v>0</v>
      </c>
      <c r="F466">
        <v>10</v>
      </c>
      <c r="G466">
        <v>0</v>
      </c>
      <c r="I466" t="s">
        <v>14893</v>
      </c>
      <c r="J466" t="s">
        <v>14059</v>
      </c>
      <c r="K466">
        <v>1</v>
      </c>
    </row>
    <row r="467" spans="1:11" x14ac:dyDescent="0.35">
      <c r="A467" t="s">
        <v>14894</v>
      </c>
      <c r="B467" t="s">
        <v>13548</v>
      </c>
      <c r="C467">
        <v>12</v>
      </c>
      <c r="D467">
        <v>12</v>
      </c>
      <c r="E467">
        <v>0</v>
      </c>
      <c r="F467">
        <v>0</v>
      </c>
      <c r="G467">
        <v>0</v>
      </c>
      <c r="I467" t="s">
        <v>14894</v>
      </c>
      <c r="J467" t="s">
        <v>13548</v>
      </c>
      <c r="K467">
        <v>1</v>
      </c>
    </row>
    <row r="468" spans="1:11" x14ac:dyDescent="0.35">
      <c r="A468" t="s">
        <v>14895</v>
      </c>
      <c r="B468" t="s">
        <v>13456</v>
      </c>
      <c r="C468">
        <v>6</v>
      </c>
      <c r="D468">
        <v>6</v>
      </c>
      <c r="E468">
        <v>0</v>
      </c>
      <c r="F468">
        <v>0</v>
      </c>
      <c r="G468">
        <v>0</v>
      </c>
      <c r="I468" t="s">
        <v>14895</v>
      </c>
      <c r="J468" t="s">
        <v>13456</v>
      </c>
      <c r="K468">
        <v>1</v>
      </c>
    </row>
    <row r="469" spans="1:11" x14ac:dyDescent="0.35">
      <c r="A469" t="s">
        <v>14896</v>
      </c>
      <c r="B469" t="s">
        <v>13879</v>
      </c>
      <c r="C469">
        <v>6</v>
      </c>
      <c r="D469">
        <v>0</v>
      </c>
      <c r="E469">
        <v>0</v>
      </c>
      <c r="F469">
        <v>6</v>
      </c>
      <c r="G469">
        <v>0</v>
      </c>
      <c r="I469" t="s">
        <v>14896</v>
      </c>
      <c r="J469" t="s">
        <v>13879</v>
      </c>
      <c r="K469">
        <v>1</v>
      </c>
    </row>
    <row r="470" spans="1:11" x14ac:dyDescent="0.35">
      <c r="A470" t="s">
        <v>14897</v>
      </c>
      <c r="B470" t="s">
        <v>13316</v>
      </c>
      <c r="C470">
        <v>6</v>
      </c>
      <c r="D470">
        <v>0</v>
      </c>
      <c r="E470">
        <v>0</v>
      </c>
      <c r="F470">
        <v>6</v>
      </c>
      <c r="G470">
        <v>0</v>
      </c>
      <c r="I470" t="s">
        <v>14897</v>
      </c>
      <c r="J470" t="s">
        <v>13316</v>
      </c>
      <c r="K470">
        <v>1</v>
      </c>
    </row>
    <row r="471" spans="1:11" x14ac:dyDescent="0.35">
      <c r="A471" t="s">
        <v>14898</v>
      </c>
      <c r="B471" t="s">
        <v>14323</v>
      </c>
      <c r="C471">
        <v>4</v>
      </c>
      <c r="D471">
        <v>0</v>
      </c>
      <c r="E471">
        <v>0</v>
      </c>
      <c r="F471">
        <v>4</v>
      </c>
      <c r="G471">
        <v>0</v>
      </c>
      <c r="I471" t="s">
        <v>14898</v>
      </c>
      <c r="J471" t="s">
        <v>14323</v>
      </c>
      <c r="K471">
        <v>1</v>
      </c>
    </row>
    <row r="472" spans="1:11" x14ac:dyDescent="0.35">
      <c r="A472" t="s">
        <v>14899</v>
      </c>
      <c r="B472" t="s">
        <v>13429</v>
      </c>
      <c r="C472">
        <v>6</v>
      </c>
      <c r="D472">
        <v>6</v>
      </c>
      <c r="E472">
        <v>0</v>
      </c>
      <c r="F472">
        <v>0</v>
      </c>
      <c r="G472">
        <v>0</v>
      </c>
      <c r="I472" t="s">
        <v>14899</v>
      </c>
      <c r="J472" t="s">
        <v>13429</v>
      </c>
      <c r="K472">
        <v>1</v>
      </c>
    </row>
    <row r="473" spans="1:11" x14ac:dyDescent="0.35">
      <c r="A473" t="s">
        <v>14900</v>
      </c>
      <c r="B473" t="s">
        <v>14196</v>
      </c>
      <c r="C473">
        <v>3</v>
      </c>
      <c r="D473">
        <v>3</v>
      </c>
      <c r="E473">
        <v>0</v>
      </c>
      <c r="F473">
        <v>0</v>
      </c>
      <c r="G473">
        <v>0</v>
      </c>
      <c r="I473" t="s">
        <v>14900</v>
      </c>
      <c r="J473" t="s">
        <v>14196</v>
      </c>
      <c r="K473">
        <v>1</v>
      </c>
    </row>
    <row r="474" spans="1:11" x14ac:dyDescent="0.35">
      <c r="A474" t="s">
        <v>14901</v>
      </c>
      <c r="B474" t="s">
        <v>13490</v>
      </c>
      <c r="C474">
        <v>12</v>
      </c>
      <c r="D474">
        <v>0</v>
      </c>
      <c r="E474">
        <v>0</v>
      </c>
      <c r="F474">
        <v>12</v>
      </c>
      <c r="G474">
        <v>0</v>
      </c>
      <c r="I474" t="s">
        <v>14901</v>
      </c>
      <c r="J474" t="s">
        <v>13490</v>
      </c>
      <c r="K474">
        <v>1</v>
      </c>
    </row>
    <row r="475" spans="1:11" x14ac:dyDescent="0.35">
      <c r="A475" t="s">
        <v>14902</v>
      </c>
      <c r="B475" t="s">
        <v>13469</v>
      </c>
      <c r="C475">
        <v>42</v>
      </c>
      <c r="D475">
        <v>0</v>
      </c>
      <c r="E475">
        <v>0</v>
      </c>
      <c r="F475">
        <v>42</v>
      </c>
      <c r="G475">
        <v>0</v>
      </c>
      <c r="I475" t="s">
        <v>14902</v>
      </c>
      <c r="J475" t="s">
        <v>13469</v>
      </c>
      <c r="K475">
        <v>1</v>
      </c>
    </row>
    <row r="476" spans="1:11" x14ac:dyDescent="0.35">
      <c r="A476" t="s">
        <v>14903</v>
      </c>
      <c r="B476" t="s">
        <v>13711</v>
      </c>
      <c r="C476">
        <v>67</v>
      </c>
      <c r="D476">
        <v>67</v>
      </c>
      <c r="E476">
        <v>0</v>
      </c>
      <c r="F476">
        <v>0</v>
      </c>
      <c r="G476">
        <v>0</v>
      </c>
      <c r="I476" t="s">
        <v>14903</v>
      </c>
      <c r="J476" t="s">
        <v>13711</v>
      </c>
      <c r="K476">
        <v>1</v>
      </c>
    </row>
    <row r="477" spans="1:11" x14ac:dyDescent="0.35">
      <c r="A477" t="s">
        <v>14904</v>
      </c>
      <c r="B477" t="s">
        <v>14065</v>
      </c>
      <c r="C477">
        <v>4</v>
      </c>
      <c r="D477">
        <v>4</v>
      </c>
      <c r="E477">
        <v>0</v>
      </c>
      <c r="F477">
        <v>0</v>
      </c>
      <c r="G477">
        <v>0</v>
      </c>
      <c r="I477" t="s">
        <v>14904</v>
      </c>
      <c r="J477" t="s">
        <v>14065</v>
      </c>
      <c r="K477">
        <v>1</v>
      </c>
    </row>
    <row r="478" spans="1:11" x14ac:dyDescent="0.35">
      <c r="A478" t="s">
        <v>14905</v>
      </c>
      <c r="B478" t="s">
        <v>13482</v>
      </c>
      <c r="C478">
        <v>7</v>
      </c>
      <c r="D478">
        <v>0</v>
      </c>
      <c r="E478">
        <v>0</v>
      </c>
      <c r="F478">
        <v>7</v>
      </c>
      <c r="G478">
        <v>0</v>
      </c>
      <c r="I478" t="s">
        <v>14905</v>
      </c>
      <c r="J478" t="s">
        <v>13482</v>
      </c>
      <c r="K478">
        <v>1</v>
      </c>
    </row>
    <row r="479" spans="1:11" x14ac:dyDescent="0.35">
      <c r="A479" t="s">
        <v>14906</v>
      </c>
      <c r="B479" t="s">
        <v>13319</v>
      </c>
      <c r="C479">
        <v>7</v>
      </c>
      <c r="D479">
        <v>0</v>
      </c>
      <c r="E479">
        <v>0</v>
      </c>
      <c r="F479">
        <v>7</v>
      </c>
      <c r="G479">
        <v>0</v>
      </c>
      <c r="I479" t="s">
        <v>14906</v>
      </c>
      <c r="J479" t="s">
        <v>13319</v>
      </c>
      <c r="K479">
        <v>1</v>
      </c>
    </row>
    <row r="480" spans="1:11" x14ac:dyDescent="0.35">
      <c r="A480" t="s">
        <v>14907</v>
      </c>
      <c r="B480" t="s">
        <v>14072</v>
      </c>
      <c r="C480">
        <v>8</v>
      </c>
      <c r="D480">
        <v>0</v>
      </c>
      <c r="E480">
        <v>0</v>
      </c>
      <c r="F480">
        <v>8</v>
      </c>
      <c r="G480">
        <v>0</v>
      </c>
      <c r="I480" t="s">
        <v>14907</v>
      </c>
      <c r="J480" t="s">
        <v>14072</v>
      </c>
      <c r="K480">
        <v>1</v>
      </c>
    </row>
    <row r="481" spans="1:11" x14ac:dyDescent="0.35">
      <c r="A481" t="s">
        <v>14908</v>
      </c>
      <c r="B481" t="s">
        <v>13623</v>
      </c>
      <c r="C481">
        <v>3</v>
      </c>
      <c r="D481">
        <v>3</v>
      </c>
      <c r="E481">
        <v>0</v>
      </c>
      <c r="F481">
        <v>0</v>
      </c>
      <c r="G481">
        <v>0</v>
      </c>
      <c r="I481" t="s">
        <v>14908</v>
      </c>
      <c r="J481" t="s">
        <v>13623</v>
      </c>
      <c r="K481">
        <v>1</v>
      </c>
    </row>
    <row r="482" spans="1:11" x14ac:dyDescent="0.35">
      <c r="A482" t="s">
        <v>14909</v>
      </c>
      <c r="B482" t="s">
        <v>13961</v>
      </c>
      <c r="C482">
        <v>29</v>
      </c>
      <c r="D482">
        <v>29</v>
      </c>
      <c r="E482">
        <v>0</v>
      </c>
      <c r="F482">
        <v>0</v>
      </c>
      <c r="G482">
        <v>0</v>
      </c>
      <c r="I482" t="s">
        <v>14909</v>
      </c>
      <c r="J482" t="s">
        <v>13961</v>
      </c>
      <c r="K482">
        <v>1</v>
      </c>
    </row>
    <row r="483" spans="1:11" x14ac:dyDescent="0.35">
      <c r="A483" t="s">
        <v>14910</v>
      </c>
      <c r="B483" t="s">
        <v>13466</v>
      </c>
      <c r="C483">
        <v>8</v>
      </c>
      <c r="D483">
        <v>0</v>
      </c>
      <c r="E483">
        <v>0</v>
      </c>
      <c r="F483">
        <v>8</v>
      </c>
      <c r="G483">
        <v>0</v>
      </c>
      <c r="I483" t="s">
        <v>14910</v>
      </c>
      <c r="J483" t="s">
        <v>13466</v>
      </c>
      <c r="K483">
        <v>1</v>
      </c>
    </row>
    <row r="484" spans="1:11" x14ac:dyDescent="0.35">
      <c r="A484" t="s">
        <v>14911</v>
      </c>
      <c r="B484" t="s">
        <v>13658</v>
      </c>
      <c r="C484">
        <v>1453</v>
      </c>
      <c r="D484">
        <v>1262</v>
      </c>
      <c r="E484">
        <v>0</v>
      </c>
      <c r="F484">
        <v>191</v>
      </c>
      <c r="G484">
        <v>0</v>
      </c>
      <c r="I484" t="s">
        <v>14911</v>
      </c>
      <c r="J484" t="s">
        <v>13658</v>
      </c>
      <c r="K484">
        <v>2</v>
      </c>
    </row>
    <row r="485" spans="1:11" x14ac:dyDescent="0.35">
      <c r="A485" t="s">
        <v>14912</v>
      </c>
      <c r="B485" t="s">
        <v>14174</v>
      </c>
      <c r="C485">
        <v>13</v>
      </c>
      <c r="D485">
        <v>0</v>
      </c>
      <c r="E485">
        <v>0</v>
      </c>
      <c r="F485">
        <v>13</v>
      </c>
      <c r="G485">
        <v>0</v>
      </c>
      <c r="I485" t="s">
        <v>14912</v>
      </c>
      <c r="J485" t="s">
        <v>14174</v>
      </c>
      <c r="K485">
        <v>1</v>
      </c>
    </row>
    <row r="486" spans="1:11" x14ac:dyDescent="0.35">
      <c r="A486" t="s">
        <v>14913</v>
      </c>
      <c r="B486" t="s">
        <v>13449</v>
      </c>
      <c r="C486">
        <v>13</v>
      </c>
      <c r="D486">
        <v>13</v>
      </c>
      <c r="E486">
        <v>0</v>
      </c>
      <c r="F486">
        <v>0</v>
      </c>
      <c r="G486">
        <v>0</v>
      </c>
      <c r="I486" t="s">
        <v>14913</v>
      </c>
      <c r="J486" t="s">
        <v>13449</v>
      </c>
      <c r="K486">
        <v>2</v>
      </c>
    </row>
    <row r="487" spans="1:11" x14ac:dyDescent="0.35">
      <c r="A487" t="s">
        <v>14914</v>
      </c>
      <c r="B487" t="s">
        <v>14074</v>
      </c>
      <c r="C487">
        <v>20</v>
      </c>
      <c r="D487">
        <v>0</v>
      </c>
      <c r="E487">
        <v>0</v>
      </c>
      <c r="F487">
        <v>20</v>
      </c>
      <c r="G487">
        <v>0</v>
      </c>
      <c r="I487" t="s">
        <v>14914</v>
      </c>
      <c r="J487" t="s">
        <v>14074</v>
      </c>
      <c r="K487">
        <v>1</v>
      </c>
    </row>
    <row r="488" spans="1:11" x14ac:dyDescent="0.35">
      <c r="A488" t="s">
        <v>14915</v>
      </c>
      <c r="B488" t="s">
        <v>14381</v>
      </c>
      <c r="C488">
        <v>12</v>
      </c>
      <c r="D488">
        <v>12</v>
      </c>
      <c r="E488">
        <v>0</v>
      </c>
      <c r="F488">
        <v>0</v>
      </c>
      <c r="G488">
        <v>0</v>
      </c>
      <c r="I488" t="s">
        <v>14915</v>
      </c>
      <c r="J488" t="s">
        <v>14381</v>
      </c>
      <c r="K488">
        <v>1</v>
      </c>
    </row>
    <row r="489" spans="1:11" x14ac:dyDescent="0.35">
      <c r="A489" t="s">
        <v>14916</v>
      </c>
      <c r="B489" t="s">
        <v>13326</v>
      </c>
      <c r="C489">
        <v>27</v>
      </c>
      <c r="D489">
        <v>0</v>
      </c>
      <c r="E489">
        <v>0</v>
      </c>
      <c r="F489">
        <v>27</v>
      </c>
      <c r="G489">
        <v>0</v>
      </c>
      <c r="I489" t="s">
        <v>14916</v>
      </c>
      <c r="J489" t="s">
        <v>13326</v>
      </c>
      <c r="K489">
        <v>1</v>
      </c>
    </row>
    <row r="490" spans="1:11" x14ac:dyDescent="0.35">
      <c r="A490" t="s">
        <v>14917</v>
      </c>
      <c r="B490" t="s">
        <v>13584</v>
      </c>
      <c r="C490">
        <v>6</v>
      </c>
      <c r="D490">
        <v>0</v>
      </c>
      <c r="E490">
        <v>0</v>
      </c>
      <c r="F490">
        <v>6</v>
      </c>
      <c r="G490">
        <v>0</v>
      </c>
      <c r="I490" t="s">
        <v>14917</v>
      </c>
      <c r="J490" t="s">
        <v>13584</v>
      </c>
      <c r="K490">
        <v>1</v>
      </c>
    </row>
    <row r="491" spans="1:11" x14ac:dyDescent="0.35">
      <c r="A491" t="s">
        <v>14918</v>
      </c>
      <c r="B491" t="s">
        <v>14183</v>
      </c>
      <c r="C491">
        <v>33</v>
      </c>
      <c r="D491">
        <v>0</v>
      </c>
      <c r="E491">
        <v>0</v>
      </c>
      <c r="F491">
        <v>33</v>
      </c>
      <c r="G491">
        <v>0</v>
      </c>
      <c r="I491" t="s">
        <v>14918</v>
      </c>
      <c r="J491" t="s">
        <v>14183</v>
      </c>
      <c r="K491">
        <v>1</v>
      </c>
    </row>
    <row r="492" spans="1:11" x14ac:dyDescent="0.35">
      <c r="A492" t="s">
        <v>14919</v>
      </c>
      <c r="B492" t="s">
        <v>13479</v>
      </c>
      <c r="C492">
        <v>10</v>
      </c>
      <c r="D492">
        <v>10</v>
      </c>
      <c r="E492">
        <v>0</v>
      </c>
      <c r="F492">
        <v>0</v>
      </c>
      <c r="G492">
        <v>0</v>
      </c>
      <c r="I492" t="s">
        <v>14919</v>
      </c>
      <c r="J492" t="s">
        <v>13479</v>
      </c>
      <c r="K492">
        <v>1</v>
      </c>
    </row>
    <row r="493" spans="1:11" x14ac:dyDescent="0.35">
      <c r="A493" t="s">
        <v>14920</v>
      </c>
      <c r="B493" t="s">
        <v>14331</v>
      </c>
      <c r="C493">
        <v>12</v>
      </c>
      <c r="D493">
        <v>12</v>
      </c>
      <c r="E493">
        <v>0</v>
      </c>
      <c r="F493">
        <v>0</v>
      </c>
      <c r="G493">
        <v>0</v>
      </c>
      <c r="I493" t="s">
        <v>14920</v>
      </c>
      <c r="J493" t="s">
        <v>14331</v>
      </c>
      <c r="K493">
        <v>1</v>
      </c>
    </row>
    <row r="494" spans="1:11" x14ac:dyDescent="0.35">
      <c r="A494" t="s">
        <v>14921</v>
      </c>
      <c r="B494" t="s">
        <v>13514</v>
      </c>
      <c r="C494">
        <v>5</v>
      </c>
      <c r="D494">
        <v>5</v>
      </c>
      <c r="E494">
        <v>0</v>
      </c>
      <c r="F494">
        <v>0</v>
      </c>
      <c r="G494">
        <v>0</v>
      </c>
      <c r="I494" t="s">
        <v>14921</v>
      </c>
      <c r="J494" t="s">
        <v>13514</v>
      </c>
      <c r="K494">
        <v>1</v>
      </c>
    </row>
    <row r="495" spans="1:11" x14ac:dyDescent="0.35">
      <c r="A495" t="s">
        <v>14922</v>
      </c>
      <c r="B495" t="s">
        <v>13322</v>
      </c>
      <c r="C495">
        <v>8</v>
      </c>
      <c r="D495">
        <v>8</v>
      </c>
      <c r="E495">
        <v>0</v>
      </c>
      <c r="F495">
        <v>0</v>
      </c>
      <c r="G495">
        <v>0</v>
      </c>
      <c r="I495" t="s">
        <v>14922</v>
      </c>
      <c r="J495" t="s">
        <v>13322</v>
      </c>
      <c r="K495">
        <v>1</v>
      </c>
    </row>
    <row r="496" spans="1:11" x14ac:dyDescent="0.35">
      <c r="A496" t="s">
        <v>14923</v>
      </c>
      <c r="B496" t="s">
        <v>13626</v>
      </c>
      <c r="C496">
        <v>6</v>
      </c>
      <c r="D496">
        <v>0</v>
      </c>
      <c r="E496">
        <v>0</v>
      </c>
      <c r="F496">
        <v>6</v>
      </c>
      <c r="G496">
        <v>0</v>
      </c>
      <c r="I496" t="s">
        <v>14923</v>
      </c>
      <c r="J496" t="s">
        <v>13626</v>
      </c>
      <c r="K496">
        <v>1</v>
      </c>
    </row>
    <row r="497" spans="1:11" x14ac:dyDescent="0.35">
      <c r="A497" t="s">
        <v>14924</v>
      </c>
      <c r="B497" t="s">
        <v>13616</v>
      </c>
      <c r="C497">
        <v>6</v>
      </c>
      <c r="D497">
        <v>0</v>
      </c>
      <c r="E497">
        <v>0</v>
      </c>
      <c r="F497">
        <v>6</v>
      </c>
      <c r="G497">
        <v>0</v>
      </c>
      <c r="I497" t="s">
        <v>14924</v>
      </c>
      <c r="J497" t="s">
        <v>13616</v>
      </c>
      <c r="K497">
        <v>1</v>
      </c>
    </row>
    <row r="498" spans="1:11" x14ac:dyDescent="0.35">
      <c r="A498" t="s">
        <v>14925</v>
      </c>
      <c r="B498" t="s">
        <v>14315</v>
      </c>
      <c r="C498">
        <v>14</v>
      </c>
      <c r="D498">
        <v>14</v>
      </c>
      <c r="E498">
        <v>0</v>
      </c>
      <c r="F498">
        <v>0</v>
      </c>
      <c r="G498">
        <v>0</v>
      </c>
      <c r="I498" t="s">
        <v>14925</v>
      </c>
      <c r="J498" t="s">
        <v>14315</v>
      </c>
      <c r="K498">
        <v>1</v>
      </c>
    </row>
    <row r="499" spans="1:11" x14ac:dyDescent="0.35">
      <c r="A499" t="s">
        <v>14926</v>
      </c>
      <c r="B499" t="s">
        <v>14317</v>
      </c>
      <c r="C499">
        <v>16</v>
      </c>
      <c r="D499">
        <v>16</v>
      </c>
      <c r="E499">
        <v>0</v>
      </c>
      <c r="F499">
        <v>0</v>
      </c>
      <c r="G499">
        <v>0</v>
      </c>
      <c r="I499" t="s">
        <v>14926</v>
      </c>
      <c r="J499" t="s">
        <v>14317</v>
      </c>
      <c r="K499">
        <v>1</v>
      </c>
    </row>
    <row r="500" spans="1:11" x14ac:dyDescent="0.35">
      <c r="A500" t="s">
        <v>14927</v>
      </c>
      <c r="B500" t="s">
        <v>13368</v>
      </c>
      <c r="C500">
        <v>22</v>
      </c>
      <c r="D500">
        <v>0</v>
      </c>
      <c r="E500">
        <v>0</v>
      </c>
      <c r="F500">
        <v>22</v>
      </c>
      <c r="G500">
        <v>0</v>
      </c>
      <c r="I500" t="s">
        <v>14927</v>
      </c>
      <c r="J500" t="s">
        <v>13368</v>
      </c>
      <c r="K500">
        <v>1</v>
      </c>
    </row>
    <row r="501" spans="1:11" x14ac:dyDescent="0.35">
      <c r="A501" t="s">
        <v>14928</v>
      </c>
      <c r="B501" t="s">
        <v>14293</v>
      </c>
      <c r="C501">
        <v>2</v>
      </c>
      <c r="D501">
        <v>0</v>
      </c>
      <c r="E501">
        <v>0</v>
      </c>
      <c r="F501">
        <v>2</v>
      </c>
      <c r="G501">
        <v>0</v>
      </c>
      <c r="I501" t="s">
        <v>14928</v>
      </c>
      <c r="J501" t="s">
        <v>14293</v>
      </c>
      <c r="K501">
        <v>1</v>
      </c>
    </row>
    <row r="502" spans="1:11" x14ac:dyDescent="0.35">
      <c r="A502" t="s">
        <v>14929</v>
      </c>
      <c r="B502" t="s">
        <v>13118</v>
      </c>
      <c r="C502">
        <v>23</v>
      </c>
      <c r="D502">
        <v>23</v>
      </c>
      <c r="E502">
        <v>0</v>
      </c>
      <c r="F502">
        <v>0</v>
      </c>
      <c r="G502">
        <v>0</v>
      </c>
      <c r="I502" t="s">
        <v>14929</v>
      </c>
      <c r="J502" t="s">
        <v>13118</v>
      </c>
      <c r="K502">
        <v>1</v>
      </c>
    </row>
    <row r="503" spans="1:11" x14ac:dyDescent="0.35">
      <c r="A503" t="s">
        <v>14930</v>
      </c>
      <c r="B503" t="s">
        <v>14110</v>
      </c>
      <c r="C503">
        <v>73</v>
      </c>
      <c r="D503">
        <v>0</v>
      </c>
      <c r="E503">
        <v>0</v>
      </c>
      <c r="F503">
        <v>73</v>
      </c>
      <c r="G503">
        <v>0</v>
      </c>
      <c r="I503" t="s">
        <v>14930</v>
      </c>
      <c r="J503" t="s">
        <v>14110</v>
      </c>
      <c r="K503">
        <v>1</v>
      </c>
    </row>
    <row r="504" spans="1:11" x14ac:dyDescent="0.35">
      <c r="A504" t="s">
        <v>14931</v>
      </c>
      <c r="B504" t="s">
        <v>14122</v>
      </c>
      <c r="C504">
        <v>25</v>
      </c>
      <c r="D504">
        <v>0</v>
      </c>
      <c r="E504">
        <v>0</v>
      </c>
      <c r="F504">
        <v>25</v>
      </c>
      <c r="G504">
        <v>0</v>
      </c>
      <c r="I504" t="s">
        <v>14931</v>
      </c>
      <c r="J504" t="s">
        <v>14122</v>
      </c>
      <c r="K504">
        <v>1</v>
      </c>
    </row>
    <row r="505" spans="1:11" x14ac:dyDescent="0.35">
      <c r="A505" t="s">
        <v>14932</v>
      </c>
      <c r="B505" t="s">
        <v>14192</v>
      </c>
      <c r="C505">
        <v>8</v>
      </c>
      <c r="D505">
        <v>0</v>
      </c>
      <c r="E505">
        <v>0</v>
      </c>
      <c r="F505">
        <v>8</v>
      </c>
      <c r="G505">
        <v>0</v>
      </c>
      <c r="I505" t="s">
        <v>14932</v>
      </c>
      <c r="J505" t="s">
        <v>14192</v>
      </c>
      <c r="K505">
        <v>1</v>
      </c>
    </row>
    <row r="506" spans="1:11" x14ac:dyDescent="0.35">
      <c r="A506" t="s">
        <v>14933</v>
      </c>
      <c r="B506" t="s">
        <v>13778</v>
      </c>
      <c r="C506">
        <v>16</v>
      </c>
      <c r="D506">
        <v>16</v>
      </c>
      <c r="E506">
        <v>0</v>
      </c>
      <c r="F506">
        <v>0</v>
      </c>
      <c r="G506">
        <v>0</v>
      </c>
      <c r="I506" t="s">
        <v>14933</v>
      </c>
      <c r="J506" t="s">
        <v>13778</v>
      </c>
      <c r="K506">
        <v>1</v>
      </c>
    </row>
    <row r="507" spans="1:11" x14ac:dyDescent="0.35">
      <c r="A507" t="s">
        <v>14934</v>
      </c>
      <c r="B507" t="s">
        <v>14108</v>
      </c>
      <c r="C507">
        <v>2</v>
      </c>
      <c r="D507">
        <v>2</v>
      </c>
      <c r="E507">
        <v>0</v>
      </c>
      <c r="F507">
        <v>0</v>
      </c>
      <c r="G507">
        <v>0</v>
      </c>
      <c r="I507" t="s">
        <v>14934</v>
      </c>
      <c r="J507" t="s">
        <v>14108</v>
      </c>
      <c r="K507">
        <v>1</v>
      </c>
    </row>
    <row r="508" spans="1:11" x14ac:dyDescent="0.35">
      <c r="A508" t="s">
        <v>14935</v>
      </c>
      <c r="B508" t="s">
        <v>13435</v>
      </c>
      <c r="C508">
        <v>94</v>
      </c>
      <c r="D508">
        <v>19</v>
      </c>
      <c r="E508">
        <v>0</v>
      </c>
      <c r="F508">
        <v>75</v>
      </c>
      <c r="G508">
        <v>0</v>
      </c>
      <c r="I508" t="s">
        <v>14935</v>
      </c>
      <c r="J508" t="s">
        <v>13435</v>
      </c>
      <c r="K508">
        <v>4</v>
      </c>
    </row>
    <row r="509" spans="1:11" x14ac:dyDescent="0.35">
      <c r="A509" t="s">
        <v>14936</v>
      </c>
      <c r="B509" t="s">
        <v>13422</v>
      </c>
      <c r="C509">
        <v>4</v>
      </c>
      <c r="D509">
        <v>0</v>
      </c>
      <c r="E509">
        <v>0</v>
      </c>
      <c r="F509">
        <v>4</v>
      </c>
      <c r="G509">
        <v>0</v>
      </c>
      <c r="I509" t="s">
        <v>14936</v>
      </c>
      <c r="J509" t="s">
        <v>13422</v>
      </c>
      <c r="K509">
        <v>1</v>
      </c>
    </row>
    <row r="510" spans="1:11" x14ac:dyDescent="0.35">
      <c r="A510" t="s">
        <v>14937</v>
      </c>
      <c r="B510" t="s">
        <v>14327</v>
      </c>
      <c r="C510">
        <v>6</v>
      </c>
      <c r="D510">
        <v>6</v>
      </c>
      <c r="E510">
        <v>0</v>
      </c>
      <c r="F510">
        <v>0</v>
      </c>
      <c r="G510">
        <v>0</v>
      </c>
      <c r="I510" t="s">
        <v>14937</v>
      </c>
      <c r="J510" t="s">
        <v>14327</v>
      </c>
      <c r="K510">
        <v>1</v>
      </c>
    </row>
    <row r="511" spans="1:11" x14ac:dyDescent="0.35">
      <c r="A511" t="s">
        <v>14938</v>
      </c>
      <c r="B511" t="s">
        <v>13434</v>
      </c>
      <c r="C511">
        <v>158</v>
      </c>
      <c r="D511">
        <v>115</v>
      </c>
      <c r="E511">
        <v>43</v>
      </c>
      <c r="F511">
        <v>0</v>
      </c>
      <c r="G511">
        <v>0</v>
      </c>
      <c r="I511" t="s">
        <v>14938</v>
      </c>
      <c r="J511" t="s">
        <v>13434</v>
      </c>
      <c r="K511">
        <v>1</v>
      </c>
    </row>
    <row r="512" spans="1:11" x14ac:dyDescent="0.35">
      <c r="A512" t="s">
        <v>14939</v>
      </c>
      <c r="B512" t="s">
        <v>13936</v>
      </c>
      <c r="C512">
        <v>215</v>
      </c>
      <c r="D512">
        <v>215</v>
      </c>
      <c r="E512">
        <v>0</v>
      </c>
      <c r="F512">
        <v>0</v>
      </c>
      <c r="G512">
        <v>0</v>
      </c>
      <c r="I512" t="s">
        <v>14939</v>
      </c>
      <c r="J512" t="s">
        <v>13936</v>
      </c>
      <c r="K512">
        <v>1</v>
      </c>
    </row>
    <row r="513" spans="1:11" x14ac:dyDescent="0.35">
      <c r="A513" t="s">
        <v>14940</v>
      </c>
      <c r="B513" t="s">
        <v>13754</v>
      </c>
      <c r="C513">
        <v>158</v>
      </c>
      <c r="D513">
        <v>158</v>
      </c>
      <c r="E513">
        <v>0</v>
      </c>
      <c r="F513">
        <v>0</v>
      </c>
      <c r="G513">
        <v>0</v>
      </c>
      <c r="I513" t="s">
        <v>14940</v>
      </c>
      <c r="J513" t="s">
        <v>13754</v>
      </c>
      <c r="K513">
        <v>1</v>
      </c>
    </row>
    <row r="514" spans="1:11" x14ac:dyDescent="0.35">
      <c r="A514" t="s">
        <v>14941</v>
      </c>
      <c r="B514" t="s">
        <v>13885</v>
      </c>
      <c r="C514">
        <v>378</v>
      </c>
      <c r="D514">
        <v>357</v>
      </c>
      <c r="E514">
        <v>0</v>
      </c>
      <c r="F514">
        <v>21</v>
      </c>
      <c r="G514">
        <v>0</v>
      </c>
      <c r="I514" t="s">
        <v>14941</v>
      </c>
      <c r="J514" t="s">
        <v>13885</v>
      </c>
      <c r="K514">
        <v>1</v>
      </c>
    </row>
    <row r="515" spans="1:11" x14ac:dyDescent="0.35">
      <c r="A515" t="s">
        <v>14942</v>
      </c>
      <c r="B515" t="s">
        <v>13233</v>
      </c>
      <c r="C515">
        <v>313</v>
      </c>
      <c r="D515">
        <v>313</v>
      </c>
      <c r="E515">
        <v>0</v>
      </c>
      <c r="F515">
        <v>0</v>
      </c>
      <c r="G515">
        <v>0</v>
      </c>
      <c r="I515" t="s">
        <v>14942</v>
      </c>
      <c r="J515" t="s">
        <v>13233</v>
      </c>
      <c r="K515">
        <v>1</v>
      </c>
    </row>
    <row r="516" spans="1:11" x14ac:dyDescent="0.35">
      <c r="A516" t="s">
        <v>14943</v>
      </c>
      <c r="B516" t="s">
        <v>13915</v>
      </c>
      <c r="C516">
        <v>119</v>
      </c>
      <c r="D516">
        <v>119</v>
      </c>
      <c r="E516">
        <v>0</v>
      </c>
      <c r="F516">
        <v>0</v>
      </c>
      <c r="G516">
        <v>0</v>
      </c>
      <c r="I516" t="s">
        <v>14943</v>
      </c>
      <c r="J516" t="s">
        <v>13915</v>
      </c>
      <c r="K516">
        <v>1</v>
      </c>
    </row>
    <row r="517" spans="1:11" x14ac:dyDescent="0.35">
      <c r="A517" t="s">
        <v>14944</v>
      </c>
      <c r="B517" t="s">
        <v>14117</v>
      </c>
      <c r="C517">
        <v>92</v>
      </c>
      <c r="D517">
        <v>92</v>
      </c>
      <c r="E517">
        <v>0</v>
      </c>
      <c r="F517">
        <v>0</v>
      </c>
      <c r="G517">
        <v>0</v>
      </c>
      <c r="I517" t="s">
        <v>14944</v>
      </c>
      <c r="J517" t="s">
        <v>14117</v>
      </c>
      <c r="K517">
        <v>1</v>
      </c>
    </row>
    <row r="518" spans="1:11" x14ac:dyDescent="0.35">
      <c r="A518" t="s">
        <v>14945</v>
      </c>
      <c r="B518" t="s">
        <v>13740</v>
      </c>
      <c r="C518">
        <v>136</v>
      </c>
      <c r="D518">
        <v>136</v>
      </c>
      <c r="E518">
        <v>0</v>
      </c>
      <c r="F518">
        <v>0</v>
      </c>
      <c r="G518">
        <v>0</v>
      </c>
      <c r="I518" t="s">
        <v>14945</v>
      </c>
      <c r="J518" t="s">
        <v>13740</v>
      </c>
      <c r="K518">
        <v>3</v>
      </c>
    </row>
    <row r="519" spans="1:11" x14ac:dyDescent="0.35">
      <c r="A519" t="s">
        <v>14946</v>
      </c>
      <c r="B519" t="s">
        <v>13139</v>
      </c>
      <c r="C519">
        <v>38</v>
      </c>
      <c r="D519">
        <v>38</v>
      </c>
      <c r="E519">
        <v>0</v>
      </c>
      <c r="F519">
        <v>0</v>
      </c>
      <c r="G519">
        <v>0</v>
      </c>
      <c r="I519" t="s">
        <v>14946</v>
      </c>
      <c r="J519" t="s">
        <v>13139</v>
      </c>
      <c r="K519">
        <v>1</v>
      </c>
    </row>
    <row r="520" spans="1:11" x14ac:dyDescent="0.35">
      <c r="A520" t="s">
        <v>14947</v>
      </c>
      <c r="B520" t="s">
        <v>14336</v>
      </c>
      <c r="C520">
        <v>66</v>
      </c>
      <c r="D520">
        <v>66</v>
      </c>
      <c r="E520">
        <v>0</v>
      </c>
      <c r="F520">
        <v>0</v>
      </c>
      <c r="G520">
        <v>0</v>
      </c>
      <c r="I520" t="s">
        <v>14947</v>
      </c>
      <c r="J520" t="s">
        <v>14336</v>
      </c>
      <c r="K520">
        <v>1</v>
      </c>
    </row>
    <row r="521" spans="1:11" x14ac:dyDescent="0.35">
      <c r="A521" t="s">
        <v>14948</v>
      </c>
      <c r="B521" t="s">
        <v>13246</v>
      </c>
      <c r="C521">
        <v>58</v>
      </c>
      <c r="D521">
        <v>58</v>
      </c>
      <c r="E521">
        <v>0</v>
      </c>
      <c r="F521">
        <v>0</v>
      </c>
      <c r="G521">
        <v>0</v>
      </c>
      <c r="I521" t="s">
        <v>14948</v>
      </c>
      <c r="J521" t="s">
        <v>13246</v>
      </c>
      <c r="K521">
        <v>1</v>
      </c>
    </row>
    <row r="522" spans="1:11" x14ac:dyDescent="0.35">
      <c r="A522" t="s">
        <v>14949</v>
      </c>
      <c r="B522" t="s">
        <v>13424</v>
      </c>
      <c r="C522">
        <v>84</v>
      </c>
      <c r="D522">
        <v>9</v>
      </c>
      <c r="E522">
        <v>75</v>
      </c>
      <c r="F522">
        <v>0</v>
      </c>
      <c r="G522">
        <v>0</v>
      </c>
      <c r="I522" t="s">
        <v>14949</v>
      </c>
      <c r="J522" t="s">
        <v>13424</v>
      </c>
      <c r="K522">
        <v>1</v>
      </c>
    </row>
    <row r="523" spans="1:11" x14ac:dyDescent="0.35">
      <c r="A523" t="s">
        <v>14950</v>
      </c>
      <c r="B523" t="s">
        <v>13849</v>
      </c>
      <c r="C523">
        <v>19</v>
      </c>
      <c r="D523">
        <v>19</v>
      </c>
      <c r="E523">
        <v>0</v>
      </c>
      <c r="F523">
        <v>0</v>
      </c>
      <c r="G523">
        <v>0</v>
      </c>
      <c r="I523" t="s">
        <v>14950</v>
      </c>
      <c r="J523" t="s">
        <v>13849</v>
      </c>
      <c r="K523">
        <v>1</v>
      </c>
    </row>
    <row r="524" spans="1:11" x14ac:dyDescent="0.35">
      <c r="A524" t="s">
        <v>14951</v>
      </c>
      <c r="B524" t="s">
        <v>13902</v>
      </c>
      <c r="C524">
        <v>42</v>
      </c>
      <c r="D524">
        <v>41</v>
      </c>
      <c r="E524">
        <v>1</v>
      </c>
      <c r="F524">
        <v>0</v>
      </c>
      <c r="G524">
        <v>0</v>
      </c>
      <c r="I524" t="s">
        <v>14951</v>
      </c>
      <c r="J524" t="s">
        <v>13902</v>
      </c>
      <c r="K524">
        <v>1</v>
      </c>
    </row>
    <row r="525" spans="1:11" x14ac:dyDescent="0.35">
      <c r="A525" t="s">
        <v>14952</v>
      </c>
      <c r="B525" t="s">
        <v>14307</v>
      </c>
      <c r="C525">
        <v>88</v>
      </c>
      <c r="D525">
        <v>88</v>
      </c>
      <c r="E525">
        <v>0</v>
      </c>
      <c r="F525">
        <v>0</v>
      </c>
      <c r="G525">
        <v>0</v>
      </c>
      <c r="I525" t="s">
        <v>14952</v>
      </c>
      <c r="J525" t="s">
        <v>14307</v>
      </c>
      <c r="K525">
        <v>2</v>
      </c>
    </row>
    <row r="526" spans="1:11" x14ac:dyDescent="0.35">
      <c r="A526" t="s">
        <v>14953</v>
      </c>
      <c r="B526" t="s">
        <v>13436</v>
      </c>
      <c r="C526">
        <v>58</v>
      </c>
      <c r="D526">
        <v>58</v>
      </c>
      <c r="E526">
        <v>0</v>
      </c>
      <c r="F526">
        <v>0</v>
      </c>
      <c r="G526">
        <v>0</v>
      </c>
      <c r="I526" t="s">
        <v>14953</v>
      </c>
      <c r="J526" t="s">
        <v>13436</v>
      </c>
      <c r="K526">
        <v>1</v>
      </c>
    </row>
    <row r="527" spans="1:11" x14ac:dyDescent="0.35">
      <c r="A527" t="s">
        <v>14954</v>
      </c>
      <c r="B527" t="s">
        <v>13860</v>
      </c>
      <c r="C527">
        <v>27</v>
      </c>
      <c r="D527">
        <v>27</v>
      </c>
      <c r="E527">
        <v>0</v>
      </c>
      <c r="F527">
        <v>0</v>
      </c>
      <c r="G527">
        <v>0</v>
      </c>
      <c r="I527" t="s">
        <v>14954</v>
      </c>
      <c r="J527" t="s">
        <v>13860</v>
      </c>
      <c r="K527">
        <v>1</v>
      </c>
    </row>
    <row r="528" spans="1:11" x14ac:dyDescent="0.35">
      <c r="A528" t="s">
        <v>14955</v>
      </c>
      <c r="B528" t="s">
        <v>13932</v>
      </c>
      <c r="C528">
        <v>128</v>
      </c>
      <c r="D528">
        <v>128</v>
      </c>
      <c r="E528">
        <v>0</v>
      </c>
      <c r="F528">
        <v>0</v>
      </c>
      <c r="G528">
        <v>0</v>
      </c>
      <c r="I528" t="s">
        <v>14955</v>
      </c>
      <c r="J528" t="s">
        <v>13932</v>
      </c>
      <c r="K528">
        <v>1</v>
      </c>
    </row>
    <row r="529" spans="1:11" x14ac:dyDescent="0.35">
      <c r="A529" t="s">
        <v>14956</v>
      </c>
      <c r="B529" t="s">
        <v>13919</v>
      </c>
      <c r="C529">
        <v>75</v>
      </c>
      <c r="D529">
        <v>75</v>
      </c>
      <c r="E529">
        <v>0</v>
      </c>
      <c r="F529">
        <v>0</v>
      </c>
      <c r="G529">
        <v>0</v>
      </c>
      <c r="I529" t="s">
        <v>14956</v>
      </c>
      <c r="J529" t="s">
        <v>13919</v>
      </c>
      <c r="K529">
        <v>1</v>
      </c>
    </row>
    <row r="530" spans="1:11" x14ac:dyDescent="0.35">
      <c r="A530" t="s">
        <v>14957</v>
      </c>
      <c r="B530" t="s">
        <v>13345</v>
      </c>
      <c r="C530">
        <v>91</v>
      </c>
      <c r="D530">
        <v>91</v>
      </c>
      <c r="E530">
        <v>0</v>
      </c>
      <c r="F530">
        <v>0</v>
      </c>
      <c r="G530">
        <v>0</v>
      </c>
      <c r="I530" t="s">
        <v>14957</v>
      </c>
      <c r="J530" t="s">
        <v>13345</v>
      </c>
      <c r="K530">
        <v>3</v>
      </c>
    </row>
    <row r="531" spans="1:11" x14ac:dyDescent="0.35">
      <c r="A531" t="s">
        <v>14958</v>
      </c>
      <c r="B531" t="s">
        <v>13941</v>
      </c>
      <c r="C531">
        <v>99</v>
      </c>
      <c r="D531">
        <v>99</v>
      </c>
      <c r="E531">
        <v>0</v>
      </c>
      <c r="F531">
        <v>0</v>
      </c>
      <c r="G531">
        <v>0</v>
      </c>
      <c r="I531" t="s">
        <v>14958</v>
      </c>
      <c r="J531" t="s">
        <v>13941</v>
      </c>
      <c r="K531">
        <v>1</v>
      </c>
    </row>
    <row r="532" spans="1:11" x14ac:dyDescent="0.35">
      <c r="A532" t="s">
        <v>14959</v>
      </c>
      <c r="B532" t="s">
        <v>13929</v>
      </c>
      <c r="C532">
        <v>117</v>
      </c>
      <c r="D532">
        <v>117</v>
      </c>
      <c r="E532">
        <v>0</v>
      </c>
      <c r="F532">
        <v>0</v>
      </c>
      <c r="G532">
        <v>0</v>
      </c>
      <c r="I532" t="s">
        <v>14959</v>
      </c>
      <c r="J532" t="s">
        <v>13929</v>
      </c>
      <c r="K532">
        <v>1</v>
      </c>
    </row>
    <row r="533" spans="1:11" x14ac:dyDescent="0.35">
      <c r="A533" t="s">
        <v>14960</v>
      </c>
      <c r="B533" t="s">
        <v>13897</v>
      </c>
      <c r="C533">
        <v>90</v>
      </c>
      <c r="D533">
        <v>90</v>
      </c>
      <c r="E533">
        <v>0</v>
      </c>
      <c r="F533">
        <v>0</v>
      </c>
      <c r="G533">
        <v>0</v>
      </c>
      <c r="I533" t="s">
        <v>14960</v>
      </c>
      <c r="J533" t="s">
        <v>13897</v>
      </c>
      <c r="K533">
        <v>1</v>
      </c>
    </row>
    <row r="534" spans="1:11" x14ac:dyDescent="0.35">
      <c r="A534" t="s">
        <v>14961</v>
      </c>
      <c r="B534" t="s">
        <v>13680</v>
      </c>
      <c r="C534">
        <v>63</v>
      </c>
      <c r="D534">
        <v>63</v>
      </c>
      <c r="E534">
        <v>0</v>
      </c>
      <c r="F534">
        <v>0</v>
      </c>
      <c r="G534">
        <v>0</v>
      </c>
      <c r="I534" t="s">
        <v>14961</v>
      </c>
      <c r="J534" t="s">
        <v>13680</v>
      </c>
      <c r="K534">
        <v>2</v>
      </c>
    </row>
    <row r="535" spans="1:11" x14ac:dyDescent="0.35">
      <c r="A535" t="s">
        <v>14962</v>
      </c>
      <c r="B535" t="s">
        <v>13227</v>
      </c>
      <c r="C535">
        <v>77</v>
      </c>
      <c r="D535">
        <v>77</v>
      </c>
      <c r="E535">
        <v>0</v>
      </c>
      <c r="F535">
        <v>0</v>
      </c>
      <c r="G535">
        <v>0</v>
      </c>
      <c r="I535" t="s">
        <v>14962</v>
      </c>
      <c r="J535" t="s">
        <v>13227</v>
      </c>
      <c r="K535">
        <v>1</v>
      </c>
    </row>
    <row r="536" spans="1:11" x14ac:dyDescent="0.35">
      <c r="A536" t="s">
        <v>14963</v>
      </c>
      <c r="B536" t="s">
        <v>13913</v>
      </c>
      <c r="C536">
        <v>138</v>
      </c>
      <c r="D536">
        <v>138</v>
      </c>
      <c r="E536">
        <v>0</v>
      </c>
      <c r="F536">
        <v>0</v>
      </c>
      <c r="G536">
        <v>0</v>
      </c>
      <c r="I536" t="s">
        <v>14963</v>
      </c>
      <c r="J536" t="s">
        <v>13913</v>
      </c>
      <c r="K536">
        <v>1</v>
      </c>
    </row>
    <row r="537" spans="1:11" x14ac:dyDescent="0.35">
      <c r="A537" t="s">
        <v>14964</v>
      </c>
      <c r="B537" t="s">
        <v>13969</v>
      </c>
      <c r="C537">
        <v>16</v>
      </c>
      <c r="D537">
        <v>1</v>
      </c>
      <c r="E537">
        <v>15</v>
      </c>
      <c r="F537">
        <v>0</v>
      </c>
      <c r="G537">
        <v>0</v>
      </c>
      <c r="I537" t="s">
        <v>14964</v>
      </c>
      <c r="J537" t="s">
        <v>13969</v>
      </c>
      <c r="K537">
        <v>1</v>
      </c>
    </row>
    <row r="538" spans="1:11" x14ac:dyDescent="0.35">
      <c r="A538" t="s">
        <v>14965</v>
      </c>
      <c r="B538" t="s">
        <v>13887</v>
      </c>
      <c r="C538">
        <v>117</v>
      </c>
      <c r="D538">
        <v>117</v>
      </c>
      <c r="E538">
        <v>0</v>
      </c>
      <c r="F538">
        <v>0</v>
      </c>
      <c r="G538">
        <v>0</v>
      </c>
      <c r="I538" t="s">
        <v>14965</v>
      </c>
      <c r="J538" t="s">
        <v>13887</v>
      </c>
      <c r="K538">
        <v>1</v>
      </c>
    </row>
    <row r="539" spans="1:11" x14ac:dyDescent="0.35">
      <c r="A539" t="s">
        <v>14966</v>
      </c>
      <c r="B539" t="s">
        <v>14308</v>
      </c>
      <c r="C539">
        <v>25</v>
      </c>
      <c r="D539">
        <v>25</v>
      </c>
      <c r="E539">
        <v>0</v>
      </c>
      <c r="F539">
        <v>0</v>
      </c>
      <c r="G539">
        <v>0</v>
      </c>
      <c r="I539" t="s">
        <v>14966</v>
      </c>
      <c r="J539" t="s">
        <v>14308</v>
      </c>
      <c r="K539">
        <v>1</v>
      </c>
    </row>
    <row r="540" spans="1:11" x14ac:dyDescent="0.35">
      <c r="A540" t="s">
        <v>14967</v>
      </c>
      <c r="B540" t="s">
        <v>13659</v>
      </c>
      <c r="C540">
        <v>78</v>
      </c>
      <c r="D540">
        <v>41</v>
      </c>
      <c r="E540">
        <v>0</v>
      </c>
      <c r="F540">
        <v>37</v>
      </c>
      <c r="G540">
        <v>0</v>
      </c>
      <c r="I540" t="s">
        <v>14967</v>
      </c>
      <c r="J540" t="s">
        <v>13659</v>
      </c>
      <c r="K540">
        <v>1</v>
      </c>
    </row>
    <row r="541" spans="1:11" x14ac:dyDescent="0.35">
      <c r="A541" t="s">
        <v>14968</v>
      </c>
      <c r="B541" t="s">
        <v>13266</v>
      </c>
      <c r="C541">
        <v>136</v>
      </c>
      <c r="D541">
        <v>136</v>
      </c>
      <c r="E541">
        <v>0</v>
      </c>
      <c r="F541">
        <v>0</v>
      </c>
      <c r="G541">
        <v>0</v>
      </c>
      <c r="I541" t="s">
        <v>14968</v>
      </c>
      <c r="J541" t="s">
        <v>13266</v>
      </c>
      <c r="K541">
        <v>1</v>
      </c>
    </row>
    <row r="542" spans="1:11" x14ac:dyDescent="0.35">
      <c r="A542" t="s">
        <v>14969</v>
      </c>
      <c r="B542" t="s">
        <v>13254</v>
      </c>
      <c r="C542">
        <v>47</v>
      </c>
      <c r="D542">
        <v>47</v>
      </c>
      <c r="E542">
        <v>0</v>
      </c>
      <c r="F542">
        <v>0</v>
      </c>
      <c r="G542">
        <v>0</v>
      </c>
      <c r="I542" t="s">
        <v>14969</v>
      </c>
      <c r="J542" t="s">
        <v>13254</v>
      </c>
      <c r="K542">
        <v>1</v>
      </c>
    </row>
    <row r="543" spans="1:11" x14ac:dyDescent="0.35">
      <c r="A543" t="s">
        <v>14970</v>
      </c>
      <c r="B543" t="s">
        <v>13755</v>
      </c>
      <c r="C543">
        <v>82</v>
      </c>
      <c r="D543">
        <v>82</v>
      </c>
      <c r="E543">
        <v>0</v>
      </c>
      <c r="F543">
        <v>0</v>
      </c>
      <c r="G543">
        <v>0</v>
      </c>
      <c r="I543" t="s">
        <v>14970</v>
      </c>
      <c r="J543" t="s">
        <v>13755</v>
      </c>
      <c r="K543">
        <v>2</v>
      </c>
    </row>
    <row r="544" spans="1:11" x14ac:dyDescent="0.35">
      <c r="A544" t="s">
        <v>14971</v>
      </c>
      <c r="B544" t="s">
        <v>13844</v>
      </c>
      <c r="C544">
        <v>86</v>
      </c>
      <c r="D544">
        <v>86</v>
      </c>
      <c r="E544">
        <v>0</v>
      </c>
      <c r="F544">
        <v>0</v>
      </c>
      <c r="G544">
        <v>0</v>
      </c>
      <c r="I544" t="s">
        <v>14971</v>
      </c>
      <c r="J544" t="s">
        <v>13844</v>
      </c>
      <c r="K544">
        <v>1</v>
      </c>
    </row>
    <row r="545" spans="1:11" x14ac:dyDescent="0.35">
      <c r="A545" t="s">
        <v>14972</v>
      </c>
      <c r="B545" t="s">
        <v>13379</v>
      </c>
      <c r="C545">
        <v>49</v>
      </c>
      <c r="D545">
        <v>49</v>
      </c>
      <c r="E545">
        <v>0</v>
      </c>
      <c r="F545">
        <v>0</v>
      </c>
      <c r="G545">
        <v>0</v>
      </c>
      <c r="I545" t="s">
        <v>14972</v>
      </c>
      <c r="J545" t="s">
        <v>13379</v>
      </c>
      <c r="K545">
        <v>1</v>
      </c>
    </row>
    <row r="546" spans="1:11" x14ac:dyDescent="0.35">
      <c r="A546" t="s">
        <v>14973</v>
      </c>
      <c r="B546" t="s">
        <v>13808</v>
      </c>
      <c r="C546">
        <v>104</v>
      </c>
      <c r="D546">
        <v>104</v>
      </c>
      <c r="E546">
        <v>0</v>
      </c>
      <c r="F546">
        <v>0</v>
      </c>
      <c r="G546">
        <v>0</v>
      </c>
      <c r="I546" t="s">
        <v>14973</v>
      </c>
      <c r="J546" t="s">
        <v>13808</v>
      </c>
      <c r="K546">
        <v>1</v>
      </c>
    </row>
    <row r="547" spans="1:11" x14ac:dyDescent="0.35">
      <c r="A547" t="s">
        <v>14974</v>
      </c>
      <c r="B547" t="s">
        <v>13439</v>
      </c>
      <c r="C547">
        <v>3</v>
      </c>
      <c r="D547">
        <v>3</v>
      </c>
      <c r="E547">
        <v>0</v>
      </c>
      <c r="F547">
        <v>0</v>
      </c>
      <c r="G547">
        <v>0</v>
      </c>
      <c r="I547" t="s">
        <v>14974</v>
      </c>
      <c r="J547" t="s">
        <v>13439</v>
      </c>
      <c r="K547">
        <v>1</v>
      </c>
    </row>
    <row r="548" spans="1:11" x14ac:dyDescent="0.35">
      <c r="A548" t="s">
        <v>14975</v>
      </c>
      <c r="B548" t="s">
        <v>14339</v>
      </c>
      <c r="C548">
        <v>36</v>
      </c>
      <c r="D548">
        <v>36</v>
      </c>
      <c r="E548">
        <v>0</v>
      </c>
      <c r="F548">
        <v>0</v>
      </c>
      <c r="G548">
        <v>0</v>
      </c>
      <c r="I548" t="s">
        <v>14975</v>
      </c>
      <c r="J548" t="s">
        <v>14339</v>
      </c>
      <c r="K548">
        <v>1</v>
      </c>
    </row>
    <row r="549" spans="1:11" x14ac:dyDescent="0.35">
      <c r="A549" t="s">
        <v>14976</v>
      </c>
      <c r="B549" t="s">
        <v>13263</v>
      </c>
      <c r="C549">
        <v>90</v>
      </c>
      <c r="D549">
        <v>90</v>
      </c>
      <c r="E549">
        <v>0</v>
      </c>
      <c r="F549">
        <v>0</v>
      </c>
      <c r="G549">
        <v>0</v>
      </c>
      <c r="I549" t="s">
        <v>14976</v>
      </c>
      <c r="J549" t="s">
        <v>13263</v>
      </c>
      <c r="K549">
        <v>1</v>
      </c>
    </row>
    <row r="550" spans="1:11" x14ac:dyDescent="0.35">
      <c r="A550" t="s">
        <v>14977</v>
      </c>
      <c r="B550" t="s">
        <v>13813</v>
      </c>
      <c r="C550">
        <v>26</v>
      </c>
      <c r="D550">
        <v>26</v>
      </c>
      <c r="E550">
        <v>0</v>
      </c>
      <c r="F550">
        <v>0</v>
      </c>
      <c r="G550">
        <v>0</v>
      </c>
      <c r="I550" t="s">
        <v>14977</v>
      </c>
      <c r="J550" t="s">
        <v>13813</v>
      </c>
      <c r="K550">
        <v>1</v>
      </c>
    </row>
    <row r="551" spans="1:11" x14ac:dyDescent="0.35">
      <c r="A551" t="s">
        <v>14978</v>
      </c>
      <c r="B551" t="s">
        <v>13812</v>
      </c>
      <c r="C551">
        <v>107</v>
      </c>
      <c r="D551">
        <v>107</v>
      </c>
      <c r="E551">
        <v>0</v>
      </c>
      <c r="F551">
        <v>0</v>
      </c>
      <c r="G551">
        <v>0</v>
      </c>
      <c r="I551" t="s">
        <v>14978</v>
      </c>
      <c r="J551" t="s">
        <v>13812</v>
      </c>
      <c r="K551">
        <v>1</v>
      </c>
    </row>
    <row r="552" spans="1:11" x14ac:dyDescent="0.35">
      <c r="A552" t="s">
        <v>14979</v>
      </c>
      <c r="B552" t="s">
        <v>14340</v>
      </c>
      <c r="C552">
        <v>70</v>
      </c>
      <c r="D552">
        <v>70</v>
      </c>
      <c r="E552">
        <v>0</v>
      </c>
      <c r="F552">
        <v>0</v>
      </c>
      <c r="G552">
        <v>0</v>
      </c>
      <c r="I552" t="s">
        <v>14979</v>
      </c>
      <c r="J552" t="s">
        <v>14340</v>
      </c>
      <c r="K552">
        <v>1</v>
      </c>
    </row>
    <row r="553" spans="1:11" x14ac:dyDescent="0.35">
      <c r="A553" t="s">
        <v>14980</v>
      </c>
      <c r="B553" t="s">
        <v>13363</v>
      </c>
      <c r="C553">
        <v>66</v>
      </c>
      <c r="D553">
        <v>12</v>
      </c>
      <c r="E553">
        <v>54</v>
      </c>
      <c r="F553">
        <v>0</v>
      </c>
      <c r="G553">
        <v>0</v>
      </c>
      <c r="I553" t="s">
        <v>14980</v>
      </c>
      <c r="J553" t="s">
        <v>13363</v>
      </c>
      <c r="K553">
        <v>1</v>
      </c>
    </row>
    <row r="554" spans="1:11" x14ac:dyDescent="0.35">
      <c r="A554" t="s">
        <v>14981</v>
      </c>
      <c r="B554" t="s">
        <v>13787</v>
      </c>
      <c r="C554">
        <v>75</v>
      </c>
      <c r="D554">
        <v>75</v>
      </c>
      <c r="E554">
        <v>0</v>
      </c>
      <c r="F554">
        <v>0</v>
      </c>
      <c r="G554">
        <v>0</v>
      </c>
      <c r="I554" t="s">
        <v>14981</v>
      </c>
      <c r="J554" t="s">
        <v>13787</v>
      </c>
      <c r="K554">
        <v>1</v>
      </c>
    </row>
    <row r="555" spans="1:11" x14ac:dyDescent="0.35">
      <c r="A555" t="s">
        <v>14982</v>
      </c>
      <c r="B555" t="s">
        <v>14306</v>
      </c>
      <c r="C555">
        <v>79</v>
      </c>
      <c r="D555">
        <v>79</v>
      </c>
      <c r="E555">
        <v>0</v>
      </c>
      <c r="F555">
        <v>0</v>
      </c>
      <c r="G555">
        <v>0</v>
      </c>
      <c r="I555" t="s">
        <v>14982</v>
      </c>
      <c r="J555" t="s">
        <v>14306</v>
      </c>
      <c r="K555">
        <v>1</v>
      </c>
    </row>
    <row r="556" spans="1:11" x14ac:dyDescent="0.35">
      <c r="A556" t="s">
        <v>14983</v>
      </c>
      <c r="B556" t="s">
        <v>13950</v>
      </c>
      <c r="C556">
        <v>67</v>
      </c>
      <c r="D556">
        <v>67</v>
      </c>
      <c r="E556">
        <v>0</v>
      </c>
      <c r="F556">
        <v>0</v>
      </c>
      <c r="G556">
        <v>0</v>
      </c>
      <c r="I556" t="s">
        <v>14983</v>
      </c>
      <c r="J556" t="s">
        <v>13950</v>
      </c>
      <c r="K556">
        <v>1</v>
      </c>
    </row>
    <row r="557" spans="1:11" x14ac:dyDescent="0.35">
      <c r="A557" t="s">
        <v>14984</v>
      </c>
      <c r="B557" t="s">
        <v>14132</v>
      </c>
      <c r="C557">
        <v>25</v>
      </c>
      <c r="D557">
        <v>25</v>
      </c>
      <c r="E557">
        <v>0</v>
      </c>
      <c r="F557">
        <v>0</v>
      </c>
      <c r="G557">
        <v>0</v>
      </c>
      <c r="I557" t="s">
        <v>14984</v>
      </c>
      <c r="J557" t="s">
        <v>14132</v>
      </c>
      <c r="K557">
        <v>1</v>
      </c>
    </row>
    <row r="558" spans="1:11" x14ac:dyDescent="0.35">
      <c r="A558" t="s">
        <v>14985</v>
      </c>
      <c r="B558" t="s">
        <v>13338</v>
      </c>
      <c r="C558">
        <v>37</v>
      </c>
      <c r="D558">
        <v>37</v>
      </c>
      <c r="E558">
        <v>0</v>
      </c>
      <c r="F558">
        <v>0</v>
      </c>
      <c r="G558">
        <v>0</v>
      </c>
      <c r="I558" t="s">
        <v>14985</v>
      </c>
      <c r="J558" t="s">
        <v>13338</v>
      </c>
      <c r="K558">
        <v>1</v>
      </c>
    </row>
    <row r="559" spans="1:11" x14ac:dyDescent="0.35">
      <c r="A559" t="s">
        <v>14986</v>
      </c>
      <c r="B559" t="s">
        <v>13335</v>
      </c>
      <c r="C559">
        <v>53</v>
      </c>
      <c r="D559">
        <v>53</v>
      </c>
      <c r="E559">
        <v>0</v>
      </c>
      <c r="F559">
        <v>0</v>
      </c>
      <c r="G559">
        <v>0</v>
      </c>
      <c r="I559" t="s">
        <v>14986</v>
      </c>
      <c r="J559" t="s">
        <v>13335</v>
      </c>
      <c r="K559">
        <v>1</v>
      </c>
    </row>
    <row r="560" spans="1:11" x14ac:dyDescent="0.35">
      <c r="A560" t="s">
        <v>14987</v>
      </c>
      <c r="B560" t="s">
        <v>13565</v>
      </c>
      <c r="C560">
        <v>69</v>
      </c>
      <c r="D560">
        <v>69</v>
      </c>
      <c r="E560">
        <v>0</v>
      </c>
      <c r="F560">
        <v>0</v>
      </c>
      <c r="G560">
        <v>0</v>
      </c>
      <c r="I560" t="s">
        <v>14987</v>
      </c>
      <c r="J560" t="s">
        <v>13565</v>
      </c>
      <c r="K560">
        <v>1</v>
      </c>
    </row>
    <row r="561" spans="1:11" x14ac:dyDescent="0.35">
      <c r="A561" t="s">
        <v>14988</v>
      </c>
      <c r="B561" t="s">
        <v>13732</v>
      </c>
      <c r="C561">
        <v>86</v>
      </c>
      <c r="D561">
        <v>86</v>
      </c>
      <c r="E561">
        <v>0</v>
      </c>
      <c r="F561">
        <v>0</v>
      </c>
      <c r="G561">
        <v>0</v>
      </c>
      <c r="I561" t="s">
        <v>14988</v>
      </c>
      <c r="J561" t="s">
        <v>13732</v>
      </c>
      <c r="K561">
        <v>1</v>
      </c>
    </row>
    <row r="562" spans="1:11" x14ac:dyDescent="0.35">
      <c r="A562" t="s">
        <v>14989</v>
      </c>
      <c r="B562" t="s">
        <v>13847</v>
      </c>
      <c r="C562">
        <v>69</v>
      </c>
      <c r="D562">
        <v>69</v>
      </c>
      <c r="E562">
        <v>0</v>
      </c>
      <c r="F562">
        <v>0</v>
      </c>
      <c r="G562">
        <v>0</v>
      </c>
      <c r="I562" t="s">
        <v>14989</v>
      </c>
      <c r="J562" t="s">
        <v>13847</v>
      </c>
      <c r="K562">
        <v>1</v>
      </c>
    </row>
    <row r="563" spans="1:11" x14ac:dyDescent="0.35">
      <c r="A563" t="s">
        <v>14990</v>
      </c>
      <c r="B563" t="s">
        <v>14013</v>
      </c>
      <c r="C563">
        <v>29</v>
      </c>
      <c r="D563">
        <v>29</v>
      </c>
      <c r="E563">
        <v>0</v>
      </c>
      <c r="F563">
        <v>0</v>
      </c>
      <c r="G563">
        <v>0</v>
      </c>
      <c r="I563" t="s">
        <v>14990</v>
      </c>
      <c r="J563" t="s">
        <v>14013</v>
      </c>
      <c r="K563">
        <v>1</v>
      </c>
    </row>
    <row r="564" spans="1:11" x14ac:dyDescent="0.35">
      <c r="A564" t="s">
        <v>14991</v>
      </c>
      <c r="B564" t="s">
        <v>13639</v>
      </c>
      <c r="C564">
        <v>41</v>
      </c>
      <c r="D564">
        <v>41</v>
      </c>
      <c r="E564">
        <v>0</v>
      </c>
      <c r="F564">
        <v>0</v>
      </c>
      <c r="G564">
        <v>0</v>
      </c>
      <c r="I564" t="s">
        <v>14991</v>
      </c>
      <c r="J564" t="s">
        <v>13639</v>
      </c>
      <c r="K564">
        <v>1</v>
      </c>
    </row>
    <row r="565" spans="1:11" x14ac:dyDescent="0.35">
      <c r="A565" t="s">
        <v>14992</v>
      </c>
      <c r="B565" t="s">
        <v>14239</v>
      </c>
      <c r="C565">
        <v>94</v>
      </c>
      <c r="D565">
        <v>94</v>
      </c>
      <c r="E565">
        <v>0</v>
      </c>
      <c r="F565">
        <v>0</v>
      </c>
      <c r="G565">
        <v>0</v>
      </c>
      <c r="I565" t="s">
        <v>14992</v>
      </c>
      <c r="J565" t="s">
        <v>14239</v>
      </c>
      <c r="K565">
        <v>1</v>
      </c>
    </row>
    <row r="566" spans="1:11" x14ac:dyDescent="0.35">
      <c r="A566" t="s">
        <v>14993</v>
      </c>
      <c r="B566" t="s">
        <v>13886</v>
      </c>
      <c r="C566">
        <v>139</v>
      </c>
      <c r="D566">
        <v>125</v>
      </c>
      <c r="E566">
        <v>0</v>
      </c>
      <c r="F566">
        <v>14</v>
      </c>
      <c r="G566">
        <v>0</v>
      </c>
      <c r="I566" t="s">
        <v>14993</v>
      </c>
      <c r="J566" t="s">
        <v>13886</v>
      </c>
      <c r="K566">
        <v>1</v>
      </c>
    </row>
    <row r="567" spans="1:11" x14ac:dyDescent="0.35">
      <c r="A567" t="s">
        <v>14994</v>
      </c>
      <c r="B567" t="s">
        <v>13843</v>
      </c>
      <c r="C567">
        <v>39</v>
      </c>
      <c r="D567">
        <v>39</v>
      </c>
      <c r="E567">
        <v>0</v>
      </c>
      <c r="F567">
        <v>0</v>
      </c>
      <c r="G567">
        <v>0</v>
      </c>
      <c r="I567" t="s">
        <v>14994</v>
      </c>
      <c r="J567" t="s">
        <v>13843</v>
      </c>
      <c r="K567">
        <v>1</v>
      </c>
    </row>
    <row r="568" spans="1:11" x14ac:dyDescent="0.35">
      <c r="A568" t="s">
        <v>14995</v>
      </c>
      <c r="B568" t="s">
        <v>13252</v>
      </c>
      <c r="C568">
        <v>74</v>
      </c>
      <c r="D568">
        <v>74</v>
      </c>
      <c r="E568">
        <v>0</v>
      </c>
      <c r="F568">
        <v>0</v>
      </c>
      <c r="G568">
        <v>0</v>
      </c>
      <c r="I568" t="s">
        <v>14995</v>
      </c>
      <c r="J568" t="s">
        <v>13252</v>
      </c>
      <c r="K568">
        <v>1</v>
      </c>
    </row>
    <row r="569" spans="1:11" x14ac:dyDescent="0.35">
      <c r="A569" t="s">
        <v>14996</v>
      </c>
      <c r="B569" t="s">
        <v>13934</v>
      </c>
      <c r="C569">
        <v>50</v>
      </c>
      <c r="D569">
        <v>50</v>
      </c>
      <c r="E569">
        <v>0</v>
      </c>
      <c r="F569">
        <v>0</v>
      </c>
      <c r="G569">
        <v>0</v>
      </c>
      <c r="I569" t="s">
        <v>14996</v>
      </c>
      <c r="J569" t="s">
        <v>13934</v>
      </c>
      <c r="K569">
        <v>2</v>
      </c>
    </row>
    <row r="570" spans="1:11" x14ac:dyDescent="0.35">
      <c r="A570" t="s">
        <v>14997</v>
      </c>
      <c r="B570" t="s">
        <v>14176</v>
      </c>
      <c r="C570">
        <v>99</v>
      </c>
      <c r="D570">
        <v>99</v>
      </c>
      <c r="E570">
        <v>0</v>
      </c>
      <c r="F570">
        <v>0</v>
      </c>
      <c r="G570">
        <v>0</v>
      </c>
      <c r="I570" t="s">
        <v>14997</v>
      </c>
      <c r="J570" t="s">
        <v>14176</v>
      </c>
      <c r="K570">
        <v>1</v>
      </c>
    </row>
    <row r="571" spans="1:11" x14ac:dyDescent="0.35">
      <c r="A571" t="s">
        <v>14998</v>
      </c>
      <c r="B571" t="s">
        <v>14303</v>
      </c>
      <c r="C571">
        <v>21</v>
      </c>
      <c r="D571">
        <v>21</v>
      </c>
      <c r="E571">
        <v>0</v>
      </c>
      <c r="F571">
        <v>0</v>
      </c>
      <c r="G571">
        <v>0</v>
      </c>
      <c r="I571" t="s">
        <v>14998</v>
      </c>
      <c r="J571" t="s">
        <v>14303</v>
      </c>
      <c r="K571">
        <v>1</v>
      </c>
    </row>
    <row r="572" spans="1:11" x14ac:dyDescent="0.35">
      <c r="A572" t="s">
        <v>14999</v>
      </c>
      <c r="B572" t="s">
        <v>14365</v>
      </c>
      <c r="C572">
        <v>5</v>
      </c>
      <c r="D572">
        <v>5</v>
      </c>
      <c r="E572">
        <v>0</v>
      </c>
      <c r="F572">
        <v>0</v>
      </c>
      <c r="G572">
        <v>0</v>
      </c>
      <c r="I572" t="s">
        <v>14999</v>
      </c>
      <c r="J572" t="s">
        <v>14365</v>
      </c>
      <c r="K572">
        <v>1</v>
      </c>
    </row>
    <row r="573" spans="1:11" x14ac:dyDescent="0.35">
      <c r="A573" t="s">
        <v>15000</v>
      </c>
      <c r="B573" t="s">
        <v>14258</v>
      </c>
      <c r="C573">
        <v>23</v>
      </c>
      <c r="D573">
        <v>23</v>
      </c>
      <c r="E573">
        <v>0</v>
      </c>
      <c r="F573">
        <v>0</v>
      </c>
      <c r="G573">
        <v>0</v>
      </c>
      <c r="I573" t="s">
        <v>15000</v>
      </c>
      <c r="J573" t="s">
        <v>14258</v>
      </c>
      <c r="K573">
        <v>1</v>
      </c>
    </row>
    <row r="574" spans="1:11" x14ac:dyDescent="0.35">
      <c r="A574" t="s">
        <v>15001</v>
      </c>
      <c r="B574" t="s">
        <v>13806</v>
      </c>
      <c r="C574">
        <v>35</v>
      </c>
      <c r="D574">
        <v>35</v>
      </c>
      <c r="E574">
        <v>0</v>
      </c>
      <c r="F574">
        <v>0</v>
      </c>
      <c r="G574">
        <v>0</v>
      </c>
      <c r="I574" t="s">
        <v>15001</v>
      </c>
      <c r="J574" t="s">
        <v>13806</v>
      </c>
      <c r="K574">
        <v>1</v>
      </c>
    </row>
    <row r="575" spans="1:11" x14ac:dyDescent="0.35">
      <c r="A575" t="s">
        <v>15002</v>
      </c>
      <c r="B575" t="s">
        <v>14019</v>
      </c>
      <c r="C575">
        <v>12</v>
      </c>
      <c r="D575">
        <v>12</v>
      </c>
      <c r="E575">
        <v>0</v>
      </c>
      <c r="F575">
        <v>0</v>
      </c>
      <c r="G575">
        <v>0</v>
      </c>
      <c r="I575" t="s">
        <v>15002</v>
      </c>
      <c r="J575" t="s">
        <v>14019</v>
      </c>
      <c r="K575">
        <v>1</v>
      </c>
    </row>
    <row r="576" spans="1:11" x14ac:dyDescent="0.35">
      <c r="A576" t="s">
        <v>15003</v>
      </c>
      <c r="B576" t="s">
        <v>13927</v>
      </c>
      <c r="C576">
        <v>42</v>
      </c>
      <c r="D576">
        <v>42</v>
      </c>
      <c r="E576">
        <v>0</v>
      </c>
      <c r="F576">
        <v>0</v>
      </c>
      <c r="G576">
        <v>0</v>
      </c>
      <c r="I576" t="s">
        <v>15003</v>
      </c>
      <c r="J576" t="s">
        <v>13927</v>
      </c>
      <c r="K576">
        <v>1</v>
      </c>
    </row>
    <row r="577" spans="1:11" x14ac:dyDescent="0.35">
      <c r="A577" t="s">
        <v>15004</v>
      </c>
      <c r="B577" t="s">
        <v>13888</v>
      </c>
      <c r="C577">
        <v>121</v>
      </c>
      <c r="D577">
        <v>121</v>
      </c>
      <c r="E577">
        <v>0</v>
      </c>
      <c r="F577">
        <v>0</v>
      </c>
      <c r="G577">
        <v>0</v>
      </c>
      <c r="I577" t="s">
        <v>15004</v>
      </c>
      <c r="J577" t="s">
        <v>13888</v>
      </c>
      <c r="K577">
        <v>1</v>
      </c>
    </row>
    <row r="578" spans="1:11" x14ac:dyDescent="0.35">
      <c r="A578" t="s">
        <v>15005</v>
      </c>
      <c r="B578" t="s">
        <v>13881</v>
      </c>
      <c r="C578">
        <v>38</v>
      </c>
      <c r="D578">
        <v>38</v>
      </c>
      <c r="E578">
        <v>0</v>
      </c>
      <c r="F578">
        <v>0</v>
      </c>
      <c r="G578">
        <v>0</v>
      </c>
      <c r="I578" t="s">
        <v>15005</v>
      </c>
      <c r="J578" t="s">
        <v>13881</v>
      </c>
      <c r="K578">
        <v>1</v>
      </c>
    </row>
    <row r="579" spans="1:11" x14ac:dyDescent="0.35">
      <c r="A579" t="s">
        <v>15006</v>
      </c>
      <c r="B579" t="s">
        <v>14028</v>
      </c>
      <c r="C579">
        <v>678</v>
      </c>
      <c r="D579">
        <v>678</v>
      </c>
      <c r="E579">
        <v>0</v>
      </c>
      <c r="F579">
        <v>0</v>
      </c>
      <c r="G579">
        <v>0</v>
      </c>
      <c r="I579" t="s">
        <v>15006</v>
      </c>
      <c r="J579" t="s">
        <v>14028</v>
      </c>
      <c r="K579">
        <v>2</v>
      </c>
    </row>
    <row r="580" spans="1:11" x14ac:dyDescent="0.35">
      <c r="A580" t="s">
        <v>15007</v>
      </c>
      <c r="B580" t="s">
        <v>13731</v>
      </c>
      <c r="C580">
        <v>62</v>
      </c>
      <c r="D580">
        <v>62</v>
      </c>
      <c r="E580">
        <v>0</v>
      </c>
      <c r="F580">
        <v>0</v>
      </c>
      <c r="G580">
        <v>0</v>
      </c>
      <c r="I580" t="s">
        <v>15007</v>
      </c>
      <c r="J580" t="s">
        <v>13731</v>
      </c>
      <c r="K580">
        <v>1</v>
      </c>
    </row>
    <row r="581" spans="1:11" x14ac:dyDescent="0.35">
      <c r="A581" t="s">
        <v>15008</v>
      </c>
      <c r="B581" t="s">
        <v>13438</v>
      </c>
      <c r="C581">
        <v>106</v>
      </c>
      <c r="D581">
        <v>106</v>
      </c>
      <c r="E581">
        <v>0</v>
      </c>
      <c r="F581">
        <v>0</v>
      </c>
      <c r="G581">
        <v>0</v>
      </c>
      <c r="I581" t="s">
        <v>15008</v>
      </c>
      <c r="J581" t="s">
        <v>13438</v>
      </c>
      <c r="K581">
        <v>1</v>
      </c>
    </row>
    <row r="582" spans="1:11" x14ac:dyDescent="0.35">
      <c r="A582" t="s">
        <v>15009</v>
      </c>
      <c r="B582" t="s">
        <v>13938</v>
      </c>
      <c r="C582">
        <v>87</v>
      </c>
      <c r="D582">
        <v>87</v>
      </c>
      <c r="E582">
        <v>0</v>
      </c>
      <c r="F582">
        <v>0</v>
      </c>
      <c r="G582">
        <v>0</v>
      </c>
      <c r="I582" t="s">
        <v>15009</v>
      </c>
      <c r="J582" t="s">
        <v>13938</v>
      </c>
      <c r="K582">
        <v>1</v>
      </c>
    </row>
    <row r="583" spans="1:11" x14ac:dyDescent="0.35">
      <c r="A583" t="s">
        <v>15010</v>
      </c>
      <c r="B583" t="s">
        <v>13372</v>
      </c>
      <c r="C583">
        <v>17</v>
      </c>
      <c r="D583">
        <v>13</v>
      </c>
      <c r="E583">
        <v>4</v>
      </c>
      <c r="F583">
        <v>0</v>
      </c>
      <c r="G583">
        <v>0</v>
      </c>
      <c r="I583" t="s">
        <v>15010</v>
      </c>
      <c r="J583" t="s">
        <v>13372</v>
      </c>
      <c r="K583">
        <v>1</v>
      </c>
    </row>
    <row r="584" spans="1:11" x14ac:dyDescent="0.35">
      <c r="A584" t="s">
        <v>15011</v>
      </c>
      <c r="B584" t="s">
        <v>13730</v>
      </c>
      <c r="C584">
        <v>24</v>
      </c>
      <c r="D584">
        <v>24</v>
      </c>
      <c r="E584">
        <v>0</v>
      </c>
      <c r="F584">
        <v>0</v>
      </c>
      <c r="G584">
        <v>0</v>
      </c>
      <c r="I584" t="s">
        <v>15011</v>
      </c>
      <c r="J584" t="s">
        <v>13730</v>
      </c>
      <c r="K584">
        <v>1</v>
      </c>
    </row>
    <row r="585" spans="1:11" x14ac:dyDescent="0.35">
      <c r="A585" t="s">
        <v>15012</v>
      </c>
      <c r="B585" t="s">
        <v>13811</v>
      </c>
      <c r="C585">
        <v>25</v>
      </c>
      <c r="D585">
        <v>0</v>
      </c>
      <c r="E585">
        <v>25</v>
      </c>
      <c r="F585">
        <v>0</v>
      </c>
      <c r="G585">
        <v>0</v>
      </c>
      <c r="I585" t="s">
        <v>15012</v>
      </c>
      <c r="J585" t="s">
        <v>13811</v>
      </c>
      <c r="K585">
        <v>1</v>
      </c>
    </row>
    <row r="586" spans="1:11" x14ac:dyDescent="0.35">
      <c r="A586" t="s">
        <v>15013</v>
      </c>
      <c r="B586" t="s">
        <v>13851</v>
      </c>
      <c r="C586">
        <v>15</v>
      </c>
      <c r="D586">
        <v>15</v>
      </c>
      <c r="E586">
        <v>0</v>
      </c>
      <c r="F586">
        <v>0</v>
      </c>
      <c r="G586">
        <v>0</v>
      </c>
      <c r="I586" t="s">
        <v>15013</v>
      </c>
      <c r="J586" t="s">
        <v>13851</v>
      </c>
      <c r="K586">
        <v>1</v>
      </c>
    </row>
    <row r="587" spans="1:11" x14ac:dyDescent="0.35">
      <c r="A587" t="s">
        <v>15014</v>
      </c>
      <c r="B587" t="s">
        <v>14261</v>
      </c>
      <c r="C587">
        <v>67</v>
      </c>
      <c r="D587">
        <v>67</v>
      </c>
      <c r="E587">
        <v>0</v>
      </c>
      <c r="F587">
        <v>0</v>
      </c>
      <c r="G587">
        <v>0</v>
      </c>
      <c r="I587" t="s">
        <v>15014</v>
      </c>
      <c r="J587" t="s">
        <v>14261</v>
      </c>
      <c r="K587">
        <v>1</v>
      </c>
    </row>
    <row r="588" spans="1:11" x14ac:dyDescent="0.35">
      <c r="A588" t="s">
        <v>15015</v>
      </c>
      <c r="B588" t="s">
        <v>14221</v>
      </c>
      <c r="C588">
        <v>56</v>
      </c>
      <c r="D588">
        <v>56</v>
      </c>
      <c r="E588">
        <v>0</v>
      </c>
      <c r="F588">
        <v>0</v>
      </c>
      <c r="G588">
        <v>0</v>
      </c>
      <c r="I588" t="s">
        <v>15015</v>
      </c>
      <c r="J588" t="s">
        <v>14221</v>
      </c>
      <c r="K588">
        <v>1</v>
      </c>
    </row>
    <row r="589" spans="1:11" x14ac:dyDescent="0.35">
      <c r="A589" t="s">
        <v>15016</v>
      </c>
      <c r="B589" t="s">
        <v>13334</v>
      </c>
      <c r="C589">
        <v>65</v>
      </c>
      <c r="D589">
        <v>65</v>
      </c>
      <c r="E589">
        <v>0</v>
      </c>
      <c r="F589">
        <v>0</v>
      </c>
      <c r="G589">
        <v>0</v>
      </c>
      <c r="I589" t="s">
        <v>15016</v>
      </c>
      <c r="J589" t="s">
        <v>13334</v>
      </c>
      <c r="K589">
        <v>1</v>
      </c>
    </row>
    <row r="590" spans="1:11" x14ac:dyDescent="0.35">
      <c r="A590" t="s">
        <v>15017</v>
      </c>
      <c r="B590" t="s">
        <v>13213</v>
      </c>
      <c r="C590">
        <v>90</v>
      </c>
      <c r="D590">
        <v>90</v>
      </c>
      <c r="E590">
        <v>0</v>
      </c>
      <c r="F590">
        <v>0</v>
      </c>
      <c r="G590">
        <v>0</v>
      </c>
      <c r="I590" t="s">
        <v>15017</v>
      </c>
      <c r="J590" t="s">
        <v>13213</v>
      </c>
      <c r="K590">
        <v>1</v>
      </c>
    </row>
    <row r="591" spans="1:11" x14ac:dyDescent="0.35">
      <c r="A591" t="s">
        <v>15018</v>
      </c>
      <c r="B591" t="s">
        <v>13223</v>
      </c>
      <c r="C591">
        <v>83</v>
      </c>
      <c r="D591">
        <v>83</v>
      </c>
      <c r="E591">
        <v>0</v>
      </c>
      <c r="F591">
        <v>0</v>
      </c>
      <c r="G591">
        <v>0</v>
      </c>
      <c r="I591" t="s">
        <v>15018</v>
      </c>
      <c r="J591" t="s">
        <v>13223</v>
      </c>
      <c r="K591">
        <v>1</v>
      </c>
    </row>
    <row r="592" spans="1:11" x14ac:dyDescent="0.35">
      <c r="A592" t="s">
        <v>15019</v>
      </c>
      <c r="B592" t="s">
        <v>13427</v>
      </c>
      <c r="C592">
        <v>11</v>
      </c>
      <c r="D592">
        <v>0</v>
      </c>
      <c r="E592">
        <v>11</v>
      </c>
      <c r="F592">
        <v>0</v>
      </c>
      <c r="G592">
        <v>0</v>
      </c>
      <c r="I592" t="s">
        <v>15019</v>
      </c>
      <c r="J592" t="s">
        <v>13427</v>
      </c>
      <c r="K592">
        <v>1</v>
      </c>
    </row>
    <row r="593" spans="1:11" x14ac:dyDescent="0.35">
      <c r="A593" t="s">
        <v>15020</v>
      </c>
      <c r="B593" t="s">
        <v>14149</v>
      </c>
      <c r="C593">
        <v>21</v>
      </c>
      <c r="D593">
        <v>21</v>
      </c>
      <c r="E593">
        <v>0</v>
      </c>
      <c r="F593">
        <v>0</v>
      </c>
      <c r="G593">
        <v>0</v>
      </c>
      <c r="I593" t="s">
        <v>15020</v>
      </c>
      <c r="J593" t="s">
        <v>14149</v>
      </c>
      <c r="K593">
        <v>1</v>
      </c>
    </row>
    <row r="594" spans="1:11" x14ac:dyDescent="0.35">
      <c r="A594" t="s">
        <v>15021</v>
      </c>
      <c r="B594" t="s">
        <v>14018</v>
      </c>
      <c r="C594">
        <v>12</v>
      </c>
      <c r="D594">
        <v>12</v>
      </c>
      <c r="E594">
        <v>0</v>
      </c>
      <c r="F594">
        <v>0</v>
      </c>
      <c r="G594">
        <v>0</v>
      </c>
      <c r="I594" t="s">
        <v>15021</v>
      </c>
      <c r="J594" t="s">
        <v>14018</v>
      </c>
      <c r="K594">
        <v>1</v>
      </c>
    </row>
    <row r="595" spans="1:11" x14ac:dyDescent="0.35">
      <c r="A595" t="s">
        <v>15022</v>
      </c>
      <c r="B595" t="s">
        <v>13940</v>
      </c>
      <c r="C595">
        <v>19</v>
      </c>
      <c r="D595">
        <v>19</v>
      </c>
      <c r="E595">
        <v>0</v>
      </c>
      <c r="F595">
        <v>0</v>
      </c>
      <c r="G595">
        <v>0</v>
      </c>
      <c r="I595" t="s">
        <v>15022</v>
      </c>
      <c r="J595" t="s">
        <v>13940</v>
      </c>
      <c r="K595">
        <v>1</v>
      </c>
    </row>
    <row r="596" spans="1:11" x14ac:dyDescent="0.35">
      <c r="A596" t="s">
        <v>15023</v>
      </c>
      <c r="B596" t="s">
        <v>13905</v>
      </c>
      <c r="C596">
        <v>23</v>
      </c>
      <c r="D596">
        <v>23</v>
      </c>
      <c r="E596">
        <v>0</v>
      </c>
      <c r="F596">
        <v>0</v>
      </c>
      <c r="G596">
        <v>0</v>
      </c>
      <c r="I596" t="s">
        <v>15023</v>
      </c>
      <c r="J596" t="s">
        <v>13905</v>
      </c>
      <c r="K596">
        <v>1</v>
      </c>
    </row>
    <row r="597" spans="1:11" x14ac:dyDescent="0.35">
      <c r="A597" t="s">
        <v>15024</v>
      </c>
      <c r="B597" t="s">
        <v>13255</v>
      </c>
      <c r="C597">
        <v>33</v>
      </c>
      <c r="D597">
        <v>33</v>
      </c>
      <c r="E597">
        <v>0</v>
      </c>
      <c r="F597">
        <v>0</v>
      </c>
      <c r="G597">
        <v>0</v>
      </c>
      <c r="I597" t="s">
        <v>15024</v>
      </c>
      <c r="J597" t="s">
        <v>13255</v>
      </c>
      <c r="K597">
        <v>1</v>
      </c>
    </row>
    <row r="598" spans="1:11" x14ac:dyDescent="0.35">
      <c r="A598" t="s">
        <v>15025</v>
      </c>
      <c r="B598" t="s">
        <v>14219</v>
      </c>
      <c r="C598">
        <v>48</v>
      </c>
      <c r="D598">
        <v>26</v>
      </c>
      <c r="E598">
        <v>22</v>
      </c>
      <c r="F598">
        <v>0</v>
      </c>
      <c r="G598">
        <v>0</v>
      </c>
      <c r="I598" t="s">
        <v>15025</v>
      </c>
      <c r="J598" t="s">
        <v>14219</v>
      </c>
      <c r="K598">
        <v>1</v>
      </c>
    </row>
    <row r="599" spans="1:11" x14ac:dyDescent="0.35">
      <c r="A599" t="s">
        <v>15026</v>
      </c>
      <c r="B599" t="s">
        <v>13949</v>
      </c>
      <c r="C599">
        <v>40</v>
      </c>
      <c r="D599">
        <v>40</v>
      </c>
      <c r="E599">
        <v>0</v>
      </c>
      <c r="F599">
        <v>0</v>
      </c>
      <c r="G599">
        <v>0</v>
      </c>
      <c r="I599" t="s">
        <v>15026</v>
      </c>
      <c r="J599" t="s">
        <v>13949</v>
      </c>
      <c r="K599">
        <v>1</v>
      </c>
    </row>
    <row r="600" spans="1:11" x14ac:dyDescent="0.35">
      <c r="A600" t="s">
        <v>15027</v>
      </c>
      <c r="B600" t="s">
        <v>13933</v>
      </c>
      <c r="C600">
        <v>40</v>
      </c>
      <c r="D600">
        <v>40</v>
      </c>
      <c r="E600">
        <v>0</v>
      </c>
      <c r="F600">
        <v>0</v>
      </c>
      <c r="G600">
        <v>0</v>
      </c>
      <c r="I600" t="s">
        <v>15027</v>
      </c>
      <c r="J600" t="s">
        <v>13933</v>
      </c>
      <c r="K600">
        <v>1</v>
      </c>
    </row>
    <row r="601" spans="1:11" x14ac:dyDescent="0.35">
      <c r="A601" t="s">
        <v>15028</v>
      </c>
      <c r="B601" t="s">
        <v>13922</v>
      </c>
      <c r="C601">
        <v>32</v>
      </c>
      <c r="D601">
        <v>32</v>
      </c>
      <c r="E601">
        <v>0</v>
      </c>
      <c r="F601">
        <v>0</v>
      </c>
      <c r="G601">
        <v>0</v>
      </c>
      <c r="I601" t="s">
        <v>15028</v>
      </c>
      <c r="J601" t="s">
        <v>13922</v>
      </c>
      <c r="K601">
        <v>1</v>
      </c>
    </row>
    <row r="602" spans="1:11" x14ac:dyDescent="0.35">
      <c r="A602" t="s">
        <v>15029</v>
      </c>
      <c r="B602" t="s">
        <v>13925</v>
      </c>
      <c r="C602">
        <v>30</v>
      </c>
      <c r="D602">
        <v>30</v>
      </c>
      <c r="E602">
        <v>0</v>
      </c>
      <c r="F602">
        <v>0</v>
      </c>
      <c r="G602">
        <v>0</v>
      </c>
      <c r="I602" t="s">
        <v>15029</v>
      </c>
      <c r="J602" t="s">
        <v>13925</v>
      </c>
      <c r="K602">
        <v>1</v>
      </c>
    </row>
    <row r="603" spans="1:11" x14ac:dyDescent="0.35">
      <c r="A603" t="s">
        <v>15030</v>
      </c>
      <c r="B603" t="s">
        <v>14026</v>
      </c>
      <c r="C603">
        <v>64</v>
      </c>
      <c r="D603">
        <v>64</v>
      </c>
      <c r="E603">
        <v>0</v>
      </c>
      <c r="F603">
        <v>0</v>
      </c>
      <c r="G603">
        <v>0</v>
      </c>
      <c r="I603" t="s">
        <v>15030</v>
      </c>
      <c r="J603" t="s">
        <v>14026</v>
      </c>
      <c r="K603">
        <v>1</v>
      </c>
    </row>
    <row r="604" spans="1:11" x14ac:dyDescent="0.35">
      <c r="A604" t="s">
        <v>15031</v>
      </c>
      <c r="B604" t="s">
        <v>13441</v>
      </c>
      <c r="C604">
        <v>29</v>
      </c>
      <c r="D604">
        <v>26</v>
      </c>
      <c r="E604">
        <v>0</v>
      </c>
      <c r="F604">
        <v>3</v>
      </c>
      <c r="G604">
        <v>0</v>
      </c>
      <c r="I604" t="s">
        <v>15031</v>
      </c>
      <c r="J604" t="s">
        <v>13441</v>
      </c>
      <c r="K604">
        <v>1</v>
      </c>
    </row>
    <row r="605" spans="1:11" x14ac:dyDescent="0.35">
      <c r="A605" t="s">
        <v>15032</v>
      </c>
      <c r="B605" t="s">
        <v>13996</v>
      </c>
      <c r="C605">
        <v>29</v>
      </c>
      <c r="D605">
        <v>29</v>
      </c>
      <c r="E605">
        <v>0</v>
      </c>
      <c r="F605">
        <v>0</v>
      </c>
      <c r="G605">
        <v>0</v>
      </c>
      <c r="I605" t="s">
        <v>15032</v>
      </c>
      <c r="J605" t="s">
        <v>13996</v>
      </c>
      <c r="K605">
        <v>1</v>
      </c>
    </row>
    <row r="606" spans="1:11" x14ac:dyDescent="0.35">
      <c r="A606" t="s">
        <v>15033</v>
      </c>
      <c r="B606" t="s">
        <v>13625</v>
      </c>
      <c r="C606">
        <v>52</v>
      </c>
      <c r="D606">
        <v>52</v>
      </c>
      <c r="E606">
        <v>0</v>
      </c>
      <c r="F606">
        <v>0</v>
      </c>
      <c r="G606">
        <v>0</v>
      </c>
      <c r="I606" t="s">
        <v>15033</v>
      </c>
      <c r="J606" t="s">
        <v>13625</v>
      </c>
      <c r="K606">
        <v>1</v>
      </c>
    </row>
    <row r="607" spans="1:11" x14ac:dyDescent="0.35">
      <c r="A607" t="s">
        <v>15034</v>
      </c>
      <c r="B607" t="s">
        <v>13928</v>
      </c>
      <c r="C607">
        <v>34</v>
      </c>
      <c r="D607">
        <v>34</v>
      </c>
      <c r="E607">
        <v>0</v>
      </c>
      <c r="F607">
        <v>0</v>
      </c>
      <c r="G607">
        <v>0</v>
      </c>
      <c r="I607" t="s">
        <v>15034</v>
      </c>
      <c r="J607" t="s">
        <v>13928</v>
      </c>
      <c r="K607">
        <v>1</v>
      </c>
    </row>
    <row r="608" spans="1:11" x14ac:dyDescent="0.35">
      <c r="A608" t="s">
        <v>15035</v>
      </c>
      <c r="B608" t="s">
        <v>14256</v>
      </c>
      <c r="C608">
        <v>31</v>
      </c>
      <c r="D608">
        <v>31</v>
      </c>
      <c r="E608">
        <v>0</v>
      </c>
      <c r="F608">
        <v>0</v>
      </c>
      <c r="G608">
        <v>0</v>
      </c>
      <c r="I608" t="s">
        <v>15035</v>
      </c>
      <c r="J608" t="s">
        <v>14256</v>
      </c>
      <c r="K608">
        <v>1</v>
      </c>
    </row>
    <row r="609" spans="1:11" x14ac:dyDescent="0.35">
      <c r="A609" t="s">
        <v>15036</v>
      </c>
      <c r="B609" t="s">
        <v>13600</v>
      </c>
      <c r="C609">
        <v>47</v>
      </c>
      <c r="D609">
        <v>47</v>
      </c>
      <c r="E609">
        <v>0</v>
      </c>
      <c r="F609">
        <v>0</v>
      </c>
      <c r="G609">
        <v>0</v>
      </c>
      <c r="I609" t="s">
        <v>15036</v>
      </c>
      <c r="J609" t="s">
        <v>13600</v>
      </c>
      <c r="K609">
        <v>1</v>
      </c>
    </row>
    <row r="610" spans="1:11" x14ac:dyDescent="0.35">
      <c r="A610" t="s">
        <v>15037</v>
      </c>
      <c r="B610" t="s">
        <v>13947</v>
      </c>
      <c r="C610">
        <v>40</v>
      </c>
      <c r="D610">
        <v>40</v>
      </c>
      <c r="E610">
        <v>0</v>
      </c>
      <c r="F610">
        <v>0</v>
      </c>
      <c r="G610">
        <v>0</v>
      </c>
      <c r="I610" t="s">
        <v>15037</v>
      </c>
      <c r="J610" t="s">
        <v>13947</v>
      </c>
      <c r="K610">
        <v>1</v>
      </c>
    </row>
    <row r="611" spans="1:11" x14ac:dyDescent="0.35">
      <c r="A611" t="s">
        <v>15038</v>
      </c>
      <c r="B611" t="s">
        <v>13785</v>
      </c>
      <c r="C611">
        <v>23</v>
      </c>
      <c r="D611">
        <v>23</v>
      </c>
      <c r="E611">
        <v>0</v>
      </c>
      <c r="F611">
        <v>0</v>
      </c>
      <c r="G611">
        <v>0</v>
      </c>
      <c r="I611" t="s">
        <v>15038</v>
      </c>
      <c r="J611" t="s">
        <v>13785</v>
      </c>
      <c r="K611">
        <v>1</v>
      </c>
    </row>
    <row r="612" spans="1:11" x14ac:dyDescent="0.35">
      <c r="A612" t="s">
        <v>15039</v>
      </c>
      <c r="B612" t="s">
        <v>14345</v>
      </c>
      <c r="C612">
        <v>48</v>
      </c>
      <c r="D612">
        <v>48</v>
      </c>
      <c r="E612">
        <v>0</v>
      </c>
      <c r="F612">
        <v>0</v>
      </c>
      <c r="G612">
        <v>0</v>
      </c>
      <c r="I612" t="s">
        <v>15039</v>
      </c>
      <c r="J612" t="s">
        <v>14345</v>
      </c>
      <c r="K612">
        <v>1</v>
      </c>
    </row>
    <row r="613" spans="1:11" x14ac:dyDescent="0.35">
      <c r="A613" t="s">
        <v>15040</v>
      </c>
      <c r="B613" t="s">
        <v>13342</v>
      </c>
      <c r="C613">
        <v>18</v>
      </c>
      <c r="D613">
        <v>18</v>
      </c>
      <c r="E613">
        <v>0</v>
      </c>
      <c r="F613">
        <v>0</v>
      </c>
      <c r="G613">
        <v>0</v>
      </c>
      <c r="I613" t="s">
        <v>15040</v>
      </c>
      <c r="J613" t="s">
        <v>13342</v>
      </c>
      <c r="K613">
        <v>2</v>
      </c>
    </row>
    <row r="614" spans="1:11" x14ac:dyDescent="0.35">
      <c r="A614" t="s">
        <v>15041</v>
      </c>
      <c r="B614" t="s">
        <v>13723</v>
      </c>
      <c r="C614">
        <v>45</v>
      </c>
      <c r="D614">
        <v>45</v>
      </c>
      <c r="E614">
        <v>0</v>
      </c>
      <c r="F614">
        <v>0</v>
      </c>
      <c r="G614">
        <v>0</v>
      </c>
      <c r="I614" t="s">
        <v>15041</v>
      </c>
      <c r="J614" t="s">
        <v>13723</v>
      </c>
      <c r="K614">
        <v>1</v>
      </c>
    </row>
    <row r="615" spans="1:11" x14ac:dyDescent="0.35">
      <c r="A615" t="s">
        <v>15042</v>
      </c>
      <c r="B615" t="s">
        <v>13900</v>
      </c>
      <c r="C615">
        <v>38</v>
      </c>
      <c r="D615">
        <v>28</v>
      </c>
      <c r="E615">
        <v>10</v>
      </c>
      <c r="F615">
        <v>0</v>
      </c>
      <c r="G615">
        <v>0</v>
      </c>
      <c r="I615" t="s">
        <v>15042</v>
      </c>
      <c r="J615" t="s">
        <v>13900</v>
      </c>
      <c r="K615">
        <v>1</v>
      </c>
    </row>
    <row r="616" spans="1:11" x14ac:dyDescent="0.35">
      <c r="A616" t="s">
        <v>15043</v>
      </c>
      <c r="B616" t="s">
        <v>14259</v>
      </c>
      <c r="C616">
        <v>87</v>
      </c>
      <c r="D616">
        <v>87</v>
      </c>
      <c r="E616">
        <v>0</v>
      </c>
      <c r="F616">
        <v>0</v>
      </c>
      <c r="G616">
        <v>0</v>
      </c>
      <c r="I616" t="s">
        <v>15043</v>
      </c>
      <c r="J616" t="s">
        <v>14259</v>
      </c>
      <c r="K616">
        <v>1</v>
      </c>
    </row>
    <row r="617" spans="1:11" x14ac:dyDescent="0.35">
      <c r="A617" t="s">
        <v>15044</v>
      </c>
      <c r="B617" t="s">
        <v>13976</v>
      </c>
      <c r="C617">
        <v>6</v>
      </c>
      <c r="D617">
        <v>6</v>
      </c>
      <c r="E617">
        <v>0</v>
      </c>
      <c r="F617">
        <v>0</v>
      </c>
      <c r="G617">
        <v>0</v>
      </c>
      <c r="I617" t="s">
        <v>15044</v>
      </c>
      <c r="J617" t="s">
        <v>13976</v>
      </c>
      <c r="K617">
        <v>1</v>
      </c>
    </row>
    <row r="618" spans="1:11" x14ac:dyDescent="0.35">
      <c r="A618" t="s">
        <v>15045</v>
      </c>
      <c r="B618" t="s">
        <v>14218</v>
      </c>
      <c r="C618">
        <v>23</v>
      </c>
      <c r="D618">
        <v>23</v>
      </c>
      <c r="E618">
        <v>0</v>
      </c>
      <c r="F618">
        <v>0</v>
      </c>
      <c r="G618">
        <v>0</v>
      </c>
      <c r="I618" t="s">
        <v>15045</v>
      </c>
      <c r="J618" t="s">
        <v>14218</v>
      </c>
      <c r="K618">
        <v>1</v>
      </c>
    </row>
    <row r="619" spans="1:11" x14ac:dyDescent="0.35">
      <c r="A619" t="s">
        <v>15046</v>
      </c>
      <c r="B619" t="s">
        <v>13346</v>
      </c>
      <c r="C619">
        <v>18</v>
      </c>
      <c r="D619">
        <v>18</v>
      </c>
      <c r="E619">
        <v>0</v>
      </c>
      <c r="F619">
        <v>0</v>
      </c>
      <c r="G619">
        <v>0</v>
      </c>
      <c r="I619" t="s">
        <v>15046</v>
      </c>
      <c r="J619" t="s">
        <v>13346</v>
      </c>
      <c r="K619">
        <v>1</v>
      </c>
    </row>
    <row r="620" spans="1:11" x14ac:dyDescent="0.35">
      <c r="A620" t="s">
        <v>15047</v>
      </c>
      <c r="B620" t="s">
        <v>13937</v>
      </c>
      <c r="C620">
        <v>54</v>
      </c>
      <c r="D620">
        <v>54</v>
      </c>
      <c r="E620">
        <v>0</v>
      </c>
      <c r="F620">
        <v>0</v>
      </c>
      <c r="G620">
        <v>0</v>
      </c>
      <c r="I620" t="s">
        <v>15047</v>
      </c>
      <c r="J620" t="s">
        <v>13937</v>
      </c>
      <c r="K620">
        <v>1</v>
      </c>
    </row>
    <row r="621" spans="1:11" x14ac:dyDescent="0.35">
      <c r="A621" t="s">
        <v>15048</v>
      </c>
      <c r="B621" t="s">
        <v>13904</v>
      </c>
      <c r="C621">
        <v>27</v>
      </c>
      <c r="D621">
        <v>0</v>
      </c>
      <c r="E621">
        <v>0</v>
      </c>
      <c r="F621">
        <v>27</v>
      </c>
      <c r="G621">
        <v>0</v>
      </c>
      <c r="I621" t="s">
        <v>15048</v>
      </c>
      <c r="J621" t="s">
        <v>13904</v>
      </c>
      <c r="K621">
        <v>1</v>
      </c>
    </row>
    <row r="622" spans="1:11" x14ac:dyDescent="0.35">
      <c r="A622" t="s">
        <v>15049</v>
      </c>
      <c r="B622" t="s">
        <v>13944</v>
      </c>
      <c r="C622">
        <v>46</v>
      </c>
      <c r="D622">
        <v>46</v>
      </c>
      <c r="E622">
        <v>0</v>
      </c>
      <c r="F622">
        <v>0</v>
      </c>
      <c r="G622">
        <v>0</v>
      </c>
      <c r="I622" t="s">
        <v>15049</v>
      </c>
      <c r="J622" t="s">
        <v>13944</v>
      </c>
      <c r="K622">
        <v>1</v>
      </c>
    </row>
    <row r="623" spans="1:11" x14ac:dyDescent="0.35">
      <c r="A623" t="s">
        <v>15050</v>
      </c>
      <c r="B623" t="s">
        <v>13231</v>
      </c>
      <c r="C623">
        <v>34</v>
      </c>
      <c r="D623">
        <v>34</v>
      </c>
      <c r="E623">
        <v>0</v>
      </c>
      <c r="F623">
        <v>0</v>
      </c>
      <c r="G623">
        <v>0</v>
      </c>
      <c r="I623" t="s">
        <v>15050</v>
      </c>
      <c r="J623" t="s">
        <v>13231</v>
      </c>
      <c r="K623">
        <v>1</v>
      </c>
    </row>
    <row r="624" spans="1:11" x14ac:dyDescent="0.35">
      <c r="A624" t="s">
        <v>15051</v>
      </c>
      <c r="B624" t="s">
        <v>14080</v>
      </c>
      <c r="C624">
        <v>26</v>
      </c>
      <c r="D624">
        <v>26</v>
      </c>
      <c r="E624">
        <v>0</v>
      </c>
      <c r="F624">
        <v>0</v>
      </c>
      <c r="G624">
        <v>0</v>
      </c>
      <c r="I624" t="s">
        <v>15051</v>
      </c>
      <c r="J624" t="s">
        <v>14080</v>
      </c>
      <c r="K624">
        <v>1</v>
      </c>
    </row>
    <row r="625" spans="1:11" x14ac:dyDescent="0.35">
      <c r="A625" t="s">
        <v>15052</v>
      </c>
      <c r="B625" t="s">
        <v>13432</v>
      </c>
      <c r="C625">
        <v>44</v>
      </c>
      <c r="D625">
        <v>44</v>
      </c>
      <c r="E625">
        <v>0</v>
      </c>
      <c r="F625">
        <v>0</v>
      </c>
      <c r="G625">
        <v>0</v>
      </c>
      <c r="I625" t="s">
        <v>15052</v>
      </c>
      <c r="J625" t="s">
        <v>13432</v>
      </c>
      <c r="K625">
        <v>1</v>
      </c>
    </row>
    <row r="626" spans="1:11" x14ac:dyDescent="0.35">
      <c r="A626" t="s">
        <v>15053</v>
      </c>
      <c r="B626" t="s">
        <v>13293</v>
      </c>
      <c r="C626">
        <v>28</v>
      </c>
      <c r="D626">
        <v>28</v>
      </c>
      <c r="E626">
        <v>0</v>
      </c>
      <c r="F626">
        <v>0</v>
      </c>
      <c r="G626">
        <v>0</v>
      </c>
      <c r="I626" t="s">
        <v>15053</v>
      </c>
      <c r="J626" t="s">
        <v>13293</v>
      </c>
      <c r="K626">
        <v>1</v>
      </c>
    </row>
    <row r="627" spans="1:11" x14ac:dyDescent="0.35">
      <c r="A627" t="s">
        <v>15054</v>
      </c>
      <c r="B627" t="s">
        <v>13225</v>
      </c>
      <c r="C627">
        <v>49</v>
      </c>
      <c r="D627">
        <v>49</v>
      </c>
      <c r="E627">
        <v>0</v>
      </c>
      <c r="F627">
        <v>0</v>
      </c>
      <c r="G627">
        <v>0</v>
      </c>
      <c r="I627" t="s">
        <v>15054</v>
      </c>
      <c r="J627" t="s">
        <v>13225</v>
      </c>
      <c r="K627">
        <v>1</v>
      </c>
    </row>
    <row r="628" spans="1:11" x14ac:dyDescent="0.35">
      <c r="A628" t="s">
        <v>15055</v>
      </c>
      <c r="B628" t="s">
        <v>14364</v>
      </c>
      <c r="C628">
        <v>12</v>
      </c>
      <c r="D628">
        <v>12</v>
      </c>
      <c r="E628">
        <v>0</v>
      </c>
      <c r="F628">
        <v>0</v>
      </c>
      <c r="G628">
        <v>0</v>
      </c>
      <c r="I628" t="s">
        <v>15055</v>
      </c>
      <c r="J628" t="s">
        <v>14364</v>
      </c>
      <c r="K628">
        <v>1</v>
      </c>
    </row>
    <row r="629" spans="1:11" x14ac:dyDescent="0.35">
      <c r="A629" t="s">
        <v>15056</v>
      </c>
      <c r="B629" t="s">
        <v>13866</v>
      </c>
      <c r="C629">
        <v>50</v>
      </c>
      <c r="D629">
        <v>50</v>
      </c>
      <c r="E629">
        <v>0</v>
      </c>
      <c r="F629">
        <v>0</v>
      </c>
      <c r="G629">
        <v>0</v>
      </c>
      <c r="I629" t="s">
        <v>15056</v>
      </c>
      <c r="J629" t="s">
        <v>13866</v>
      </c>
      <c r="K629">
        <v>1</v>
      </c>
    </row>
    <row r="630" spans="1:11" x14ac:dyDescent="0.35">
      <c r="A630" t="s">
        <v>15057</v>
      </c>
      <c r="B630" t="s">
        <v>13757</v>
      </c>
      <c r="C630">
        <v>4</v>
      </c>
      <c r="D630">
        <v>2</v>
      </c>
      <c r="E630">
        <v>2</v>
      </c>
      <c r="F630">
        <v>0</v>
      </c>
      <c r="G630">
        <v>0</v>
      </c>
      <c r="I630" t="s">
        <v>15057</v>
      </c>
      <c r="J630" t="s">
        <v>13757</v>
      </c>
      <c r="K630">
        <v>1</v>
      </c>
    </row>
    <row r="631" spans="1:11" x14ac:dyDescent="0.35">
      <c r="A631" t="s">
        <v>15058</v>
      </c>
      <c r="B631" t="s">
        <v>14260</v>
      </c>
      <c r="C631">
        <v>30</v>
      </c>
      <c r="D631">
        <v>30</v>
      </c>
      <c r="E631">
        <v>0</v>
      </c>
      <c r="F631">
        <v>0</v>
      </c>
      <c r="G631">
        <v>0</v>
      </c>
      <c r="I631" t="s">
        <v>15058</v>
      </c>
      <c r="J631" t="s">
        <v>14260</v>
      </c>
      <c r="K631">
        <v>1</v>
      </c>
    </row>
    <row r="632" spans="1:11" x14ac:dyDescent="0.35">
      <c r="A632" t="s">
        <v>15059</v>
      </c>
      <c r="B632" t="s">
        <v>13815</v>
      </c>
      <c r="C632">
        <v>17</v>
      </c>
      <c r="D632">
        <v>17</v>
      </c>
      <c r="E632">
        <v>0</v>
      </c>
      <c r="F632">
        <v>0</v>
      </c>
      <c r="G632">
        <v>0</v>
      </c>
      <c r="I632" t="s">
        <v>15059</v>
      </c>
      <c r="J632" t="s">
        <v>13815</v>
      </c>
      <c r="K632">
        <v>1</v>
      </c>
    </row>
    <row r="633" spans="1:11" x14ac:dyDescent="0.35">
      <c r="A633" t="s">
        <v>15060</v>
      </c>
      <c r="B633" t="s">
        <v>13960</v>
      </c>
      <c r="C633">
        <v>77</v>
      </c>
      <c r="D633">
        <v>77</v>
      </c>
      <c r="E633">
        <v>0</v>
      </c>
      <c r="F633">
        <v>0</v>
      </c>
      <c r="G633">
        <v>0</v>
      </c>
      <c r="I633" t="s">
        <v>15060</v>
      </c>
      <c r="J633" t="s">
        <v>13960</v>
      </c>
      <c r="K633">
        <v>1</v>
      </c>
    </row>
    <row r="634" spans="1:11" x14ac:dyDescent="0.35">
      <c r="A634" t="s">
        <v>15061</v>
      </c>
      <c r="B634" t="s">
        <v>14093</v>
      </c>
      <c r="C634">
        <v>12</v>
      </c>
      <c r="D634">
        <v>12</v>
      </c>
      <c r="E634">
        <v>0</v>
      </c>
      <c r="F634">
        <v>0</v>
      </c>
      <c r="G634">
        <v>0</v>
      </c>
      <c r="I634" t="s">
        <v>15061</v>
      </c>
      <c r="J634" t="s">
        <v>14093</v>
      </c>
      <c r="K634">
        <v>1</v>
      </c>
    </row>
    <row r="635" spans="1:11" x14ac:dyDescent="0.35">
      <c r="A635" t="s">
        <v>15062</v>
      </c>
      <c r="B635" t="s">
        <v>13836</v>
      </c>
      <c r="C635">
        <v>65</v>
      </c>
      <c r="D635">
        <v>0</v>
      </c>
      <c r="E635">
        <v>0</v>
      </c>
      <c r="F635">
        <v>65</v>
      </c>
      <c r="G635">
        <v>0</v>
      </c>
      <c r="I635" t="s">
        <v>15062</v>
      </c>
      <c r="J635" t="s">
        <v>13836</v>
      </c>
      <c r="K635">
        <v>1</v>
      </c>
    </row>
    <row r="636" spans="1:11" x14ac:dyDescent="0.35">
      <c r="A636" t="s">
        <v>15063</v>
      </c>
      <c r="B636" t="s">
        <v>14114</v>
      </c>
      <c r="C636">
        <v>36</v>
      </c>
      <c r="D636">
        <v>34</v>
      </c>
      <c r="E636">
        <v>2</v>
      </c>
      <c r="F636">
        <v>0</v>
      </c>
      <c r="G636">
        <v>0</v>
      </c>
      <c r="I636" t="s">
        <v>15063</v>
      </c>
      <c r="J636" t="s">
        <v>14114</v>
      </c>
      <c r="K636">
        <v>1</v>
      </c>
    </row>
    <row r="637" spans="1:11" x14ac:dyDescent="0.35">
      <c r="A637" t="s">
        <v>15064</v>
      </c>
      <c r="B637" t="s">
        <v>13737</v>
      </c>
      <c r="C637">
        <v>66</v>
      </c>
      <c r="D637">
        <v>3</v>
      </c>
      <c r="E637">
        <v>63</v>
      </c>
      <c r="F637">
        <v>0</v>
      </c>
      <c r="G637">
        <v>0</v>
      </c>
      <c r="I637" t="s">
        <v>15064</v>
      </c>
      <c r="J637" t="s">
        <v>13737</v>
      </c>
      <c r="K637">
        <v>4</v>
      </c>
    </row>
    <row r="638" spans="1:11" x14ac:dyDescent="0.35">
      <c r="A638" t="s">
        <v>15065</v>
      </c>
      <c r="B638" t="s">
        <v>13903</v>
      </c>
      <c r="C638">
        <v>18</v>
      </c>
      <c r="D638">
        <v>18</v>
      </c>
      <c r="E638">
        <v>0</v>
      </c>
      <c r="F638">
        <v>0</v>
      </c>
      <c r="G638">
        <v>0</v>
      </c>
      <c r="I638" t="s">
        <v>15065</v>
      </c>
      <c r="J638" t="s">
        <v>13903</v>
      </c>
      <c r="K638">
        <v>1</v>
      </c>
    </row>
    <row r="639" spans="1:11" x14ac:dyDescent="0.35">
      <c r="A639" t="s">
        <v>15066</v>
      </c>
      <c r="B639" t="s">
        <v>13946</v>
      </c>
      <c r="C639">
        <v>23</v>
      </c>
      <c r="D639">
        <v>23</v>
      </c>
      <c r="E639">
        <v>0</v>
      </c>
      <c r="F639">
        <v>0</v>
      </c>
      <c r="G639">
        <v>0</v>
      </c>
      <c r="I639" t="s">
        <v>15066</v>
      </c>
      <c r="J639" t="s">
        <v>13946</v>
      </c>
      <c r="K639">
        <v>1</v>
      </c>
    </row>
    <row r="640" spans="1:11" x14ac:dyDescent="0.35">
      <c r="A640" t="s">
        <v>15067</v>
      </c>
      <c r="B640" t="s">
        <v>13837</v>
      </c>
      <c r="C640">
        <v>24</v>
      </c>
      <c r="D640">
        <v>24</v>
      </c>
      <c r="E640">
        <v>0</v>
      </c>
      <c r="F640">
        <v>0</v>
      </c>
      <c r="G640">
        <v>0</v>
      </c>
      <c r="I640" t="s">
        <v>15067</v>
      </c>
      <c r="J640" t="s">
        <v>13837</v>
      </c>
      <c r="K640">
        <v>1</v>
      </c>
    </row>
    <row r="641" spans="1:11" x14ac:dyDescent="0.35">
      <c r="A641" t="s">
        <v>15068</v>
      </c>
      <c r="B641" t="s">
        <v>13971</v>
      </c>
      <c r="C641">
        <v>85</v>
      </c>
      <c r="D641">
        <v>0</v>
      </c>
      <c r="E641">
        <v>85</v>
      </c>
      <c r="F641">
        <v>0</v>
      </c>
      <c r="G641">
        <v>0</v>
      </c>
      <c r="I641" t="s">
        <v>15068</v>
      </c>
      <c r="J641" t="s">
        <v>13971</v>
      </c>
      <c r="K641">
        <v>1</v>
      </c>
    </row>
    <row r="642" spans="1:11" x14ac:dyDescent="0.35">
      <c r="A642" t="s">
        <v>15069</v>
      </c>
      <c r="B642" t="s">
        <v>14330</v>
      </c>
      <c r="C642">
        <v>24</v>
      </c>
      <c r="D642">
        <v>24</v>
      </c>
      <c r="E642">
        <v>0</v>
      </c>
      <c r="F642">
        <v>0</v>
      </c>
      <c r="G642">
        <v>0</v>
      </c>
      <c r="I642" t="s">
        <v>15069</v>
      </c>
      <c r="J642" t="s">
        <v>14330</v>
      </c>
      <c r="K642">
        <v>1</v>
      </c>
    </row>
    <row r="643" spans="1:11" x14ac:dyDescent="0.35">
      <c r="A643" t="s">
        <v>15070</v>
      </c>
      <c r="B643" t="s">
        <v>13834</v>
      </c>
      <c r="C643">
        <v>19</v>
      </c>
      <c r="D643">
        <v>19</v>
      </c>
      <c r="E643">
        <v>0</v>
      </c>
      <c r="F643">
        <v>0</v>
      </c>
      <c r="G643">
        <v>0</v>
      </c>
      <c r="I643" t="s">
        <v>15070</v>
      </c>
      <c r="J643" t="s">
        <v>13834</v>
      </c>
      <c r="K643">
        <v>1</v>
      </c>
    </row>
    <row r="644" spans="1:11" x14ac:dyDescent="0.35">
      <c r="A644" t="s">
        <v>15071</v>
      </c>
      <c r="B644" t="s">
        <v>13923</v>
      </c>
      <c r="C644">
        <v>382</v>
      </c>
      <c r="D644">
        <v>303</v>
      </c>
      <c r="E644">
        <v>0</v>
      </c>
      <c r="F644">
        <v>79</v>
      </c>
      <c r="G644">
        <v>0</v>
      </c>
      <c r="I644" t="s">
        <v>15071</v>
      </c>
      <c r="J644" t="s">
        <v>13923</v>
      </c>
      <c r="K644">
        <v>1</v>
      </c>
    </row>
    <row r="645" spans="1:11" x14ac:dyDescent="0.35">
      <c r="A645" t="s">
        <v>15072</v>
      </c>
      <c r="B645" t="s">
        <v>13697</v>
      </c>
      <c r="C645">
        <v>27</v>
      </c>
      <c r="D645">
        <v>27</v>
      </c>
      <c r="E645">
        <v>0</v>
      </c>
      <c r="F645">
        <v>0</v>
      </c>
      <c r="G645">
        <v>0</v>
      </c>
      <c r="I645" t="s">
        <v>15072</v>
      </c>
      <c r="J645" t="s">
        <v>13697</v>
      </c>
      <c r="K645">
        <v>1</v>
      </c>
    </row>
    <row r="646" spans="1:11" x14ac:dyDescent="0.35">
      <c r="A646" t="s">
        <v>15073</v>
      </c>
      <c r="B646" t="s">
        <v>14016</v>
      </c>
      <c r="C646">
        <v>8</v>
      </c>
      <c r="D646">
        <v>8</v>
      </c>
      <c r="E646">
        <v>0</v>
      </c>
      <c r="F646">
        <v>0</v>
      </c>
      <c r="G646">
        <v>0</v>
      </c>
      <c r="I646" t="s">
        <v>15073</v>
      </c>
      <c r="J646" t="s">
        <v>14016</v>
      </c>
      <c r="K646">
        <v>1</v>
      </c>
    </row>
    <row r="647" spans="1:11" x14ac:dyDescent="0.35">
      <c r="A647" t="s">
        <v>15074</v>
      </c>
      <c r="B647" t="s">
        <v>13857</v>
      </c>
      <c r="C647">
        <v>56</v>
      </c>
      <c r="D647">
        <v>56</v>
      </c>
      <c r="E647">
        <v>0</v>
      </c>
      <c r="F647">
        <v>0</v>
      </c>
      <c r="G647">
        <v>0</v>
      </c>
      <c r="I647" t="s">
        <v>15074</v>
      </c>
      <c r="J647" t="s">
        <v>13857</v>
      </c>
      <c r="K647">
        <v>1</v>
      </c>
    </row>
    <row r="648" spans="1:11" x14ac:dyDescent="0.35">
      <c r="A648" t="s">
        <v>15075</v>
      </c>
      <c r="B648" t="s">
        <v>13859</v>
      </c>
      <c r="C648">
        <v>25</v>
      </c>
      <c r="D648">
        <v>25</v>
      </c>
      <c r="E648">
        <v>0</v>
      </c>
      <c r="F648">
        <v>0</v>
      </c>
      <c r="G648">
        <v>0</v>
      </c>
      <c r="I648" t="s">
        <v>15075</v>
      </c>
      <c r="J648" t="s">
        <v>13859</v>
      </c>
      <c r="K648">
        <v>1</v>
      </c>
    </row>
    <row r="649" spans="1:11" x14ac:dyDescent="0.35">
      <c r="A649" t="s">
        <v>15076</v>
      </c>
      <c r="B649" t="s">
        <v>13856</v>
      </c>
      <c r="C649">
        <v>13</v>
      </c>
      <c r="D649">
        <v>13</v>
      </c>
      <c r="E649">
        <v>0</v>
      </c>
      <c r="F649">
        <v>0</v>
      </c>
      <c r="G649">
        <v>0</v>
      </c>
      <c r="I649" t="s">
        <v>15076</v>
      </c>
      <c r="J649" t="s">
        <v>13856</v>
      </c>
      <c r="K649">
        <v>1</v>
      </c>
    </row>
    <row r="650" spans="1:11" x14ac:dyDescent="0.35">
      <c r="A650" t="s">
        <v>15077</v>
      </c>
      <c r="B650" t="s">
        <v>14220</v>
      </c>
      <c r="C650">
        <v>39</v>
      </c>
      <c r="D650">
        <v>39</v>
      </c>
      <c r="E650">
        <v>0</v>
      </c>
      <c r="F650">
        <v>0</v>
      </c>
      <c r="G650">
        <v>0</v>
      </c>
      <c r="I650" t="s">
        <v>15077</v>
      </c>
      <c r="J650" t="s">
        <v>14220</v>
      </c>
      <c r="K650">
        <v>1</v>
      </c>
    </row>
    <row r="651" spans="1:11" x14ac:dyDescent="0.35">
      <c r="A651" t="s">
        <v>15078</v>
      </c>
      <c r="B651" t="s">
        <v>13863</v>
      </c>
      <c r="C651">
        <v>42</v>
      </c>
      <c r="D651">
        <v>42</v>
      </c>
      <c r="E651">
        <v>0</v>
      </c>
      <c r="F651">
        <v>0</v>
      </c>
      <c r="G651">
        <v>0</v>
      </c>
      <c r="I651" t="s">
        <v>15078</v>
      </c>
      <c r="J651" t="s">
        <v>13863</v>
      </c>
      <c r="K651">
        <v>1</v>
      </c>
    </row>
    <row r="652" spans="1:11" x14ac:dyDescent="0.35">
      <c r="A652" t="s">
        <v>15079</v>
      </c>
      <c r="B652" t="s">
        <v>14333</v>
      </c>
      <c r="C652">
        <v>12</v>
      </c>
      <c r="D652">
        <v>12</v>
      </c>
      <c r="E652">
        <v>0</v>
      </c>
      <c r="F652">
        <v>0</v>
      </c>
      <c r="G652">
        <v>0</v>
      </c>
      <c r="I652" t="s">
        <v>15079</v>
      </c>
      <c r="J652" t="s">
        <v>14333</v>
      </c>
      <c r="K652">
        <v>1</v>
      </c>
    </row>
    <row r="653" spans="1:11" x14ac:dyDescent="0.35">
      <c r="A653" t="s">
        <v>15080</v>
      </c>
      <c r="B653" t="s">
        <v>13632</v>
      </c>
      <c r="C653">
        <v>311</v>
      </c>
      <c r="D653">
        <v>311</v>
      </c>
      <c r="E653">
        <v>0</v>
      </c>
      <c r="F653">
        <v>0</v>
      </c>
      <c r="G653">
        <v>0</v>
      </c>
      <c r="I653" t="s">
        <v>15080</v>
      </c>
      <c r="J653" t="s">
        <v>13632</v>
      </c>
      <c r="K653">
        <v>9</v>
      </c>
    </row>
    <row r="654" spans="1:11" x14ac:dyDescent="0.35">
      <c r="A654" t="s">
        <v>15081</v>
      </c>
      <c r="B654" t="s">
        <v>14224</v>
      </c>
      <c r="C654">
        <v>78</v>
      </c>
      <c r="D654">
        <v>78</v>
      </c>
      <c r="E654">
        <v>0</v>
      </c>
      <c r="F654">
        <v>0</v>
      </c>
      <c r="G654">
        <v>0</v>
      </c>
      <c r="I654" t="s">
        <v>15081</v>
      </c>
      <c r="J654" t="s">
        <v>14224</v>
      </c>
      <c r="K654">
        <v>1</v>
      </c>
    </row>
    <row r="655" spans="1:11" x14ac:dyDescent="0.35">
      <c r="A655" t="s">
        <v>15082</v>
      </c>
      <c r="B655" t="s">
        <v>13901</v>
      </c>
      <c r="C655">
        <v>15</v>
      </c>
      <c r="D655">
        <v>15</v>
      </c>
      <c r="E655">
        <v>0</v>
      </c>
      <c r="F655">
        <v>0</v>
      </c>
      <c r="G655">
        <v>0</v>
      </c>
      <c r="I655" t="s">
        <v>15082</v>
      </c>
      <c r="J655" t="s">
        <v>13901</v>
      </c>
      <c r="K655">
        <v>1</v>
      </c>
    </row>
    <row r="656" spans="1:11" x14ac:dyDescent="0.35">
      <c r="A656" t="s">
        <v>15083</v>
      </c>
      <c r="B656" t="s">
        <v>13898</v>
      </c>
      <c r="C656">
        <v>19</v>
      </c>
      <c r="D656">
        <v>19</v>
      </c>
      <c r="E656">
        <v>0</v>
      </c>
      <c r="F656">
        <v>0</v>
      </c>
      <c r="G656">
        <v>0</v>
      </c>
      <c r="I656" t="s">
        <v>15083</v>
      </c>
      <c r="J656" t="s">
        <v>13898</v>
      </c>
      <c r="K656">
        <v>1</v>
      </c>
    </row>
    <row r="657" spans="1:11" x14ac:dyDescent="0.35">
      <c r="A657" t="s">
        <v>15084</v>
      </c>
      <c r="B657" t="s">
        <v>13943</v>
      </c>
      <c r="C657">
        <v>37</v>
      </c>
      <c r="D657">
        <v>37</v>
      </c>
      <c r="E657">
        <v>0</v>
      </c>
      <c r="F657">
        <v>0</v>
      </c>
      <c r="G657">
        <v>0</v>
      </c>
      <c r="I657" t="s">
        <v>15084</v>
      </c>
      <c r="J657" t="s">
        <v>13943</v>
      </c>
      <c r="K657">
        <v>1</v>
      </c>
    </row>
    <row r="658" spans="1:11" x14ac:dyDescent="0.35">
      <c r="A658" t="s">
        <v>15085</v>
      </c>
      <c r="B658" t="s">
        <v>13840</v>
      </c>
      <c r="C658">
        <v>24</v>
      </c>
      <c r="D658">
        <v>24</v>
      </c>
      <c r="E658">
        <v>0</v>
      </c>
      <c r="F658">
        <v>0</v>
      </c>
      <c r="G658">
        <v>0</v>
      </c>
      <c r="I658" t="s">
        <v>15085</v>
      </c>
      <c r="J658" t="s">
        <v>13840</v>
      </c>
      <c r="K658">
        <v>1</v>
      </c>
    </row>
    <row r="659" spans="1:11" x14ac:dyDescent="0.35">
      <c r="A659" t="s">
        <v>15086</v>
      </c>
      <c r="B659" t="s">
        <v>14030</v>
      </c>
      <c r="C659">
        <v>24</v>
      </c>
      <c r="D659">
        <v>24</v>
      </c>
      <c r="E659">
        <v>0</v>
      </c>
      <c r="F659">
        <v>0</v>
      </c>
      <c r="G659">
        <v>0</v>
      </c>
      <c r="I659" t="s">
        <v>15086</v>
      </c>
      <c r="J659" t="s">
        <v>14030</v>
      </c>
      <c r="K659">
        <v>1</v>
      </c>
    </row>
    <row r="660" spans="1:11" x14ac:dyDescent="0.35">
      <c r="A660" t="s">
        <v>15087</v>
      </c>
      <c r="B660" t="s">
        <v>13914</v>
      </c>
      <c r="C660">
        <v>15</v>
      </c>
      <c r="D660">
        <v>15</v>
      </c>
      <c r="E660">
        <v>0</v>
      </c>
      <c r="F660">
        <v>0</v>
      </c>
      <c r="G660">
        <v>0</v>
      </c>
      <c r="I660" t="s">
        <v>15087</v>
      </c>
      <c r="J660" t="s">
        <v>13914</v>
      </c>
      <c r="K660">
        <v>1</v>
      </c>
    </row>
    <row r="661" spans="1:11" x14ac:dyDescent="0.35">
      <c r="A661" t="s">
        <v>15088</v>
      </c>
      <c r="B661" t="s">
        <v>14012</v>
      </c>
      <c r="C661">
        <v>12</v>
      </c>
      <c r="D661">
        <v>12</v>
      </c>
      <c r="E661">
        <v>0</v>
      </c>
      <c r="F661">
        <v>0</v>
      </c>
      <c r="G661">
        <v>0</v>
      </c>
      <c r="I661" t="s">
        <v>15088</v>
      </c>
      <c r="J661" t="s">
        <v>14012</v>
      </c>
      <c r="K661">
        <v>1</v>
      </c>
    </row>
    <row r="662" spans="1:11" x14ac:dyDescent="0.35">
      <c r="A662" t="s">
        <v>15089</v>
      </c>
      <c r="B662" t="s">
        <v>13841</v>
      </c>
      <c r="C662">
        <v>35</v>
      </c>
      <c r="D662">
        <v>35</v>
      </c>
      <c r="E662">
        <v>0</v>
      </c>
      <c r="F662">
        <v>0</v>
      </c>
      <c r="G662">
        <v>0</v>
      </c>
      <c r="I662" t="s">
        <v>15089</v>
      </c>
      <c r="J662" t="s">
        <v>13841</v>
      </c>
      <c r="K662">
        <v>1</v>
      </c>
    </row>
    <row r="663" spans="1:11" x14ac:dyDescent="0.35">
      <c r="A663" t="s">
        <v>15090</v>
      </c>
      <c r="B663" t="s">
        <v>13926</v>
      </c>
      <c r="C663">
        <v>40</v>
      </c>
      <c r="D663">
        <v>40</v>
      </c>
      <c r="E663">
        <v>0</v>
      </c>
      <c r="F663">
        <v>0</v>
      </c>
      <c r="G663">
        <v>0</v>
      </c>
      <c r="I663" t="s">
        <v>15090</v>
      </c>
      <c r="J663" t="s">
        <v>13926</v>
      </c>
      <c r="K663">
        <v>1</v>
      </c>
    </row>
    <row r="664" spans="1:11" x14ac:dyDescent="0.35">
      <c r="A664" t="s">
        <v>15091</v>
      </c>
      <c r="B664" t="s">
        <v>13792</v>
      </c>
      <c r="C664">
        <v>92</v>
      </c>
      <c r="D664">
        <v>92</v>
      </c>
      <c r="E664">
        <v>0</v>
      </c>
      <c r="F664">
        <v>0</v>
      </c>
      <c r="G664">
        <v>0</v>
      </c>
      <c r="I664" t="s">
        <v>15091</v>
      </c>
      <c r="J664" t="s">
        <v>13792</v>
      </c>
      <c r="K664">
        <v>1</v>
      </c>
    </row>
    <row r="665" spans="1:11" x14ac:dyDescent="0.35">
      <c r="A665" t="s">
        <v>15092</v>
      </c>
      <c r="B665" t="s">
        <v>13790</v>
      </c>
      <c r="C665">
        <v>20</v>
      </c>
      <c r="D665">
        <v>20</v>
      </c>
      <c r="E665">
        <v>0</v>
      </c>
      <c r="F665">
        <v>0</v>
      </c>
      <c r="G665">
        <v>0</v>
      </c>
      <c r="I665" t="s">
        <v>15092</v>
      </c>
      <c r="J665" t="s">
        <v>13790</v>
      </c>
      <c r="K665">
        <v>1</v>
      </c>
    </row>
    <row r="666" spans="1:11" x14ac:dyDescent="0.35">
      <c r="A666" t="s">
        <v>15093</v>
      </c>
      <c r="B666" t="s">
        <v>13845</v>
      </c>
      <c r="C666">
        <v>164</v>
      </c>
      <c r="D666">
        <v>164</v>
      </c>
      <c r="E666">
        <v>0</v>
      </c>
      <c r="F666">
        <v>0</v>
      </c>
      <c r="G666">
        <v>0</v>
      </c>
      <c r="I666" t="s">
        <v>15093</v>
      </c>
      <c r="J666" t="s">
        <v>13845</v>
      </c>
      <c r="K666">
        <v>2</v>
      </c>
    </row>
    <row r="667" spans="1:11" x14ac:dyDescent="0.35">
      <c r="A667" t="s">
        <v>15094</v>
      </c>
      <c r="B667" t="s">
        <v>14227</v>
      </c>
      <c r="C667">
        <v>44</v>
      </c>
      <c r="D667">
        <v>44</v>
      </c>
      <c r="E667">
        <v>0</v>
      </c>
      <c r="F667">
        <v>0</v>
      </c>
      <c r="G667">
        <v>0</v>
      </c>
      <c r="I667" t="s">
        <v>15094</v>
      </c>
      <c r="J667" t="s">
        <v>14227</v>
      </c>
      <c r="K667">
        <v>1</v>
      </c>
    </row>
    <row r="668" spans="1:11" x14ac:dyDescent="0.35">
      <c r="A668" t="s">
        <v>15095</v>
      </c>
      <c r="B668" t="s">
        <v>13219</v>
      </c>
      <c r="C668">
        <v>24</v>
      </c>
      <c r="D668">
        <v>24</v>
      </c>
      <c r="E668">
        <v>0</v>
      </c>
      <c r="F668">
        <v>0</v>
      </c>
      <c r="G668">
        <v>0</v>
      </c>
      <c r="I668" t="s">
        <v>15095</v>
      </c>
      <c r="J668" t="s">
        <v>13219</v>
      </c>
      <c r="K668">
        <v>1</v>
      </c>
    </row>
    <row r="669" spans="1:11" x14ac:dyDescent="0.35">
      <c r="A669" t="s">
        <v>15096</v>
      </c>
      <c r="B669" t="s">
        <v>14078</v>
      </c>
      <c r="C669">
        <v>174</v>
      </c>
      <c r="D669">
        <v>174</v>
      </c>
      <c r="E669">
        <v>0</v>
      </c>
      <c r="F669">
        <v>0</v>
      </c>
      <c r="G669">
        <v>0</v>
      </c>
      <c r="I669" t="s">
        <v>15096</v>
      </c>
      <c r="J669" t="s">
        <v>14078</v>
      </c>
      <c r="K669">
        <v>2</v>
      </c>
    </row>
    <row r="670" spans="1:11" x14ac:dyDescent="0.35">
      <c r="A670" t="s">
        <v>15097</v>
      </c>
      <c r="B670" t="s">
        <v>14338</v>
      </c>
      <c r="C670">
        <v>54</v>
      </c>
      <c r="D670">
        <v>54</v>
      </c>
      <c r="E670">
        <v>0</v>
      </c>
      <c r="F670">
        <v>0</v>
      </c>
      <c r="G670">
        <v>0</v>
      </c>
      <c r="I670" t="s">
        <v>15097</v>
      </c>
      <c r="J670" t="s">
        <v>14338</v>
      </c>
      <c r="K670">
        <v>1</v>
      </c>
    </row>
    <row r="671" spans="1:11" x14ac:dyDescent="0.35">
      <c r="A671" t="s">
        <v>15098</v>
      </c>
      <c r="B671" t="s">
        <v>13918</v>
      </c>
      <c r="C671">
        <v>20</v>
      </c>
      <c r="D671">
        <v>20</v>
      </c>
      <c r="E671">
        <v>0</v>
      </c>
      <c r="F671">
        <v>0</v>
      </c>
      <c r="G671">
        <v>0</v>
      </c>
      <c r="I671" t="s">
        <v>15098</v>
      </c>
      <c r="J671" t="s">
        <v>13918</v>
      </c>
      <c r="K671">
        <v>1</v>
      </c>
    </row>
    <row r="672" spans="1:11" x14ac:dyDescent="0.35">
      <c r="A672" t="s">
        <v>15099</v>
      </c>
      <c r="B672" t="s">
        <v>14025</v>
      </c>
      <c r="C672">
        <v>40</v>
      </c>
      <c r="D672">
        <v>25</v>
      </c>
      <c r="E672">
        <v>0</v>
      </c>
      <c r="F672">
        <v>15</v>
      </c>
      <c r="G672">
        <v>0</v>
      </c>
      <c r="I672" t="s">
        <v>15099</v>
      </c>
      <c r="J672" t="s">
        <v>14025</v>
      </c>
      <c r="K672">
        <v>2</v>
      </c>
    </row>
    <row r="673" spans="1:11" x14ac:dyDescent="0.35">
      <c r="A673" t="s">
        <v>15100</v>
      </c>
      <c r="B673" t="s">
        <v>13877</v>
      </c>
      <c r="C673">
        <v>8</v>
      </c>
      <c r="D673">
        <v>8</v>
      </c>
      <c r="E673">
        <v>0</v>
      </c>
      <c r="F673">
        <v>0</v>
      </c>
      <c r="G673">
        <v>0</v>
      </c>
      <c r="I673" t="s">
        <v>15100</v>
      </c>
      <c r="J673" t="s">
        <v>13877</v>
      </c>
      <c r="K673">
        <v>1</v>
      </c>
    </row>
    <row r="674" spans="1:11" x14ac:dyDescent="0.35">
      <c r="A674" t="s">
        <v>15101</v>
      </c>
      <c r="B674" t="s">
        <v>14210</v>
      </c>
      <c r="C674">
        <v>56</v>
      </c>
      <c r="D674">
        <v>20</v>
      </c>
      <c r="E674">
        <v>36</v>
      </c>
      <c r="F674">
        <v>0</v>
      </c>
      <c r="G674">
        <v>0</v>
      </c>
      <c r="I674" t="s">
        <v>15101</v>
      </c>
      <c r="J674" t="s">
        <v>14210</v>
      </c>
      <c r="K674">
        <v>1</v>
      </c>
    </row>
    <row r="675" spans="1:11" x14ac:dyDescent="0.35">
      <c r="A675" t="s">
        <v>15102</v>
      </c>
      <c r="B675" t="s">
        <v>13931</v>
      </c>
      <c r="C675">
        <v>48</v>
      </c>
      <c r="D675">
        <v>48</v>
      </c>
      <c r="E675">
        <v>0</v>
      </c>
      <c r="F675">
        <v>0</v>
      </c>
      <c r="G675">
        <v>0</v>
      </c>
      <c r="I675" t="s">
        <v>15102</v>
      </c>
      <c r="J675" t="s">
        <v>13931</v>
      </c>
      <c r="K675">
        <v>1</v>
      </c>
    </row>
    <row r="676" spans="1:11" x14ac:dyDescent="0.35">
      <c r="A676" t="s">
        <v>15103</v>
      </c>
      <c r="B676" t="s">
        <v>13793</v>
      </c>
      <c r="C676">
        <v>24</v>
      </c>
      <c r="D676">
        <v>24</v>
      </c>
      <c r="E676">
        <v>0</v>
      </c>
      <c r="F676">
        <v>0</v>
      </c>
      <c r="G676">
        <v>0</v>
      </c>
      <c r="I676" t="s">
        <v>15103</v>
      </c>
      <c r="J676" t="s">
        <v>13793</v>
      </c>
      <c r="K676">
        <v>1</v>
      </c>
    </row>
    <row r="677" spans="1:11" x14ac:dyDescent="0.35">
      <c r="A677" t="s">
        <v>15104</v>
      </c>
      <c r="B677" t="s">
        <v>13573</v>
      </c>
      <c r="C677">
        <v>205</v>
      </c>
      <c r="D677">
        <v>154</v>
      </c>
      <c r="E677">
        <v>51</v>
      </c>
      <c r="F677">
        <v>0</v>
      </c>
      <c r="G677">
        <v>0</v>
      </c>
      <c r="I677" t="s">
        <v>15104</v>
      </c>
      <c r="J677" t="s">
        <v>13573</v>
      </c>
      <c r="K677">
        <v>3</v>
      </c>
    </row>
    <row r="678" spans="1:11" x14ac:dyDescent="0.35">
      <c r="A678" t="s">
        <v>15105</v>
      </c>
      <c r="B678" t="s">
        <v>13916</v>
      </c>
      <c r="C678">
        <v>18</v>
      </c>
      <c r="D678">
        <v>18</v>
      </c>
      <c r="E678">
        <v>0</v>
      </c>
      <c r="F678">
        <v>0</v>
      </c>
      <c r="G678">
        <v>0</v>
      </c>
      <c r="I678" t="s">
        <v>15105</v>
      </c>
      <c r="J678" t="s">
        <v>13916</v>
      </c>
      <c r="K678">
        <v>1</v>
      </c>
    </row>
    <row r="679" spans="1:11" x14ac:dyDescent="0.35">
      <c r="A679" t="s">
        <v>15106</v>
      </c>
      <c r="B679" t="s">
        <v>13777</v>
      </c>
      <c r="C679">
        <v>6</v>
      </c>
      <c r="D679">
        <v>6</v>
      </c>
      <c r="E679">
        <v>0</v>
      </c>
      <c r="F679">
        <v>0</v>
      </c>
      <c r="G679">
        <v>0</v>
      </c>
      <c r="I679" t="s">
        <v>15106</v>
      </c>
      <c r="J679" t="s">
        <v>13777</v>
      </c>
      <c r="K679">
        <v>1</v>
      </c>
    </row>
    <row r="680" spans="1:11" x14ac:dyDescent="0.35">
      <c r="A680" t="s">
        <v>15107</v>
      </c>
      <c r="B680" t="s">
        <v>13970</v>
      </c>
      <c r="C680">
        <v>75</v>
      </c>
      <c r="D680">
        <v>75</v>
      </c>
      <c r="E680">
        <v>0</v>
      </c>
      <c r="F680">
        <v>0</v>
      </c>
      <c r="G680">
        <v>0</v>
      </c>
      <c r="I680" t="s">
        <v>15107</v>
      </c>
      <c r="J680" t="s">
        <v>13970</v>
      </c>
      <c r="K680">
        <v>1</v>
      </c>
    </row>
    <row r="681" spans="1:11" x14ac:dyDescent="0.35">
      <c r="A681" t="s">
        <v>15108</v>
      </c>
      <c r="B681" t="s">
        <v>14238</v>
      </c>
      <c r="C681">
        <v>20</v>
      </c>
      <c r="D681">
        <v>20</v>
      </c>
      <c r="E681">
        <v>0</v>
      </c>
      <c r="F681">
        <v>0</v>
      </c>
      <c r="G681">
        <v>0</v>
      </c>
      <c r="I681" t="s">
        <v>15108</v>
      </c>
      <c r="J681" t="s">
        <v>14238</v>
      </c>
      <c r="K681">
        <v>1</v>
      </c>
    </row>
    <row r="682" spans="1:11" x14ac:dyDescent="0.35">
      <c r="A682" t="s">
        <v>15109</v>
      </c>
      <c r="B682" t="s">
        <v>13214</v>
      </c>
      <c r="C682">
        <v>76</v>
      </c>
      <c r="D682">
        <v>76</v>
      </c>
      <c r="E682">
        <v>0</v>
      </c>
      <c r="F682">
        <v>0</v>
      </c>
      <c r="G682">
        <v>0</v>
      </c>
      <c r="I682" t="s">
        <v>15109</v>
      </c>
      <c r="J682" t="s">
        <v>13214</v>
      </c>
      <c r="K682">
        <v>1</v>
      </c>
    </row>
    <row r="683" spans="1:11" x14ac:dyDescent="0.35">
      <c r="A683" t="s">
        <v>15110</v>
      </c>
      <c r="B683" t="s">
        <v>13221</v>
      </c>
      <c r="C683">
        <v>32</v>
      </c>
      <c r="D683">
        <v>32</v>
      </c>
      <c r="E683">
        <v>0</v>
      </c>
      <c r="F683">
        <v>0</v>
      </c>
      <c r="G683">
        <v>0</v>
      </c>
      <c r="I683" t="s">
        <v>15110</v>
      </c>
      <c r="J683" t="s">
        <v>13221</v>
      </c>
      <c r="K683">
        <v>1</v>
      </c>
    </row>
    <row r="684" spans="1:11" x14ac:dyDescent="0.35">
      <c r="A684" t="s">
        <v>15111</v>
      </c>
      <c r="B684" t="s">
        <v>13453</v>
      </c>
      <c r="C684">
        <v>59</v>
      </c>
      <c r="D684">
        <v>59</v>
      </c>
      <c r="E684">
        <v>0</v>
      </c>
      <c r="F684">
        <v>0</v>
      </c>
      <c r="G684">
        <v>0</v>
      </c>
      <c r="I684" t="s">
        <v>15111</v>
      </c>
      <c r="J684" t="s">
        <v>13453</v>
      </c>
      <c r="K684">
        <v>1</v>
      </c>
    </row>
    <row r="685" spans="1:11" x14ac:dyDescent="0.35">
      <c r="A685" t="s">
        <v>15112</v>
      </c>
      <c r="B685" t="s">
        <v>14001</v>
      </c>
      <c r="C685">
        <v>42</v>
      </c>
      <c r="D685">
        <v>42</v>
      </c>
      <c r="E685">
        <v>0</v>
      </c>
      <c r="F685">
        <v>0</v>
      </c>
      <c r="G685">
        <v>0</v>
      </c>
      <c r="I685" t="s">
        <v>15112</v>
      </c>
      <c r="J685" t="s">
        <v>14001</v>
      </c>
      <c r="K685">
        <v>1</v>
      </c>
    </row>
    <row r="686" spans="1:11" x14ac:dyDescent="0.35">
      <c r="A686" t="s">
        <v>15113</v>
      </c>
      <c r="B686" t="s">
        <v>13784</v>
      </c>
      <c r="C686">
        <v>55</v>
      </c>
      <c r="D686">
        <v>55</v>
      </c>
      <c r="E686">
        <v>0</v>
      </c>
      <c r="F686">
        <v>0</v>
      </c>
      <c r="G686">
        <v>0</v>
      </c>
      <c r="I686" t="s">
        <v>15113</v>
      </c>
      <c r="J686" t="s">
        <v>13784</v>
      </c>
      <c r="K686">
        <v>1</v>
      </c>
    </row>
    <row r="687" spans="1:11" x14ac:dyDescent="0.35">
      <c r="A687" t="s">
        <v>15114</v>
      </c>
      <c r="B687" t="s">
        <v>13457</v>
      </c>
      <c r="C687">
        <v>40</v>
      </c>
      <c r="D687">
        <v>40</v>
      </c>
      <c r="E687">
        <v>0</v>
      </c>
      <c r="F687">
        <v>0</v>
      </c>
      <c r="G687">
        <v>0</v>
      </c>
      <c r="I687" t="s">
        <v>15114</v>
      </c>
      <c r="J687" t="s">
        <v>13457</v>
      </c>
      <c r="K687">
        <v>1</v>
      </c>
    </row>
    <row r="688" spans="1:11" x14ac:dyDescent="0.35">
      <c r="A688" t="s">
        <v>15115</v>
      </c>
      <c r="B688" t="s">
        <v>13958</v>
      </c>
      <c r="C688">
        <v>36</v>
      </c>
      <c r="D688">
        <v>36</v>
      </c>
      <c r="E688">
        <v>0</v>
      </c>
      <c r="F688">
        <v>0</v>
      </c>
      <c r="G688">
        <v>0</v>
      </c>
      <c r="I688" t="s">
        <v>15115</v>
      </c>
      <c r="J688" t="s">
        <v>13958</v>
      </c>
      <c r="K688">
        <v>1</v>
      </c>
    </row>
    <row r="689" spans="1:11" x14ac:dyDescent="0.35">
      <c r="A689" t="s">
        <v>15116</v>
      </c>
      <c r="B689" t="s">
        <v>13858</v>
      </c>
      <c r="C689">
        <v>27</v>
      </c>
      <c r="D689">
        <v>27</v>
      </c>
      <c r="E689">
        <v>0</v>
      </c>
      <c r="F689">
        <v>0</v>
      </c>
      <c r="G689">
        <v>0</v>
      </c>
      <c r="I689" t="s">
        <v>15116</v>
      </c>
      <c r="J689" t="s">
        <v>13858</v>
      </c>
      <c r="K689">
        <v>1</v>
      </c>
    </row>
    <row r="690" spans="1:11" x14ac:dyDescent="0.35">
      <c r="A690" t="s">
        <v>15117</v>
      </c>
      <c r="B690" t="s">
        <v>14226</v>
      </c>
      <c r="C690">
        <v>30</v>
      </c>
      <c r="D690">
        <v>30</v>
      </c>
      <c r="E690">
        <v>0</v>
      </c>
      <c r="F690">
        <v>0</v>
      </c>
      <c r="G690">
        <v>0</v>
      </c>
      <c r="I690" t="s">
        <v>15117</v>
      </c>
      <c r="J690" t="s">
        <v>14226</v>
      </c>
      <c r="K690">
        <v>1</v>
      </c>
    </row>
    <row r="691" spans="1:11" x14ac:dyDescent="0.35">
      <c r="A691" t="s">
        <v>15118</v>
      </c>
      <c r="B691" t="s">
        <v>13981</v>
      </c>
      <c r="C691">
        <v>29</v>
      </c>
      <c r="D691">
        <v>29</v>
      </c>
      <c r="E691">
        <v>0</v>
      </c>
      <c r="F691">
        <v>0</v>
      </c>
      <c r="G691">
        <v>0</v>
      </c>
      <c r="I691" t="s">
        <v>15118</v>
      </c>
      <c r="J691" t="s">
        <v>13981</v>
      </c>
      <c r="K691">
        <v>1</v>
      </c>
    </row>
    <row r="692" spans="1:11" x14ac:dyDescent="0.35">
      <c r="A692" t="s">
        <v>15119</v>
      </c>
      <c r="B692" t="s">
        <v>13957</v>
      </c>
      <c r="C692">
        <v>25</v>
      </c>
      <c r="D692">
        <v>25</v>
      </c>
      <c r="E692">
        <v>0</v>
      </c>
      <c r="F692">
        <v>0</v>
      </c>
      <c r="G692">
        <v>0</v>
      </c>
      <c r="I692" t="s">
        <v>15119</v>
      </c>
      <c r="J692" t="s">
        <v>13957</v>
      </c>
      <c r="K692">
        <v>1</v>
      </c>
    </row>
    <row r="693" spans="1:11" x14ac:dyDescent="0.35">
      <c r="A693" t="s">
        <v>15120</v>
      </c>
      <c r="B693" t="s">
        <v>13455</v>
      </c>
      <c r="C693">
        <v>25</v>
      </c>
      <c r="D693">
        <v>25</v>
      </c>
      <c r="E693">
        <v>0</v>
      </c>
      <c r="F693">
        <v>0</v>
      </c>
      <c r="G693">
        <v>0</v>
      </c>
      <c r="I693" t="s">
        <v>15120</v>
      </c>
      <c r="J693" t="s">
        <v>13455</v>
      </c>
      <c r="K693">
        <v>1</v>
      </c>
    </row>
    <row r="694" spans="1:11" x14ac:dyDescent="0.35">
      <c r="A694" t="s">
        <v>15121</v>
      </c>
      <c r="B694" t="s">
        <v>13698</v>
      </c>
      <c r="C694">
        <v>19</v>
      </c>
      <c r="D694">
        <v>19</v>
      </c>
      <c r="E694">
        <v>0</v>
      </c>
      <c r="F694">
        <v>0</v>
      </c>
      <c r="G694">
        <v>0</v>
      </c>
      <c r="I694" t="s">
        <v>15121</v>
      </c>
      <c r="J694" t="s">
        <v>13698</v>
      </c>
      <c r="K694">
        <v>1</v>
      </c>
    </row>
    <row r="695" spans="1:11" x14ac:dyDescent="0.35">
      <c r="A695" t="s">
        <v>15122</v>
      </c>
      <c r="B695" t="s">
        <v>13956</v>
      </c>
      <c r="C695">
        <v>46</v>
      </c>
      <c r="D695">
        <v>46</v>
      </c>
      <c r="E695">
        <v>0</v>
      </c>
      <c r="F695">
        <v>0</v>
      </c>
      <c r="G695">
        <v>0</v>
      </c>
      <c r="I695" t="s">
        <v>15122</v>
      </c>
      <c r="J695" t="s">
        <v>13956</v>
      </c>
      <c r="K695">
        <v>1</v>
      </c>
    </row>
    <row r="696" spans="1:11" x14ac:dyDescent="0.35">
      <c r="A696" t="s">
        <v>15123</v>
      </c>
      <c r="B696" t="s">
        <v>13695</v>
      </c>
      <c r="C696">
        <v>42</v>
      </c>
      <c r="D696">
        <v>42</v>
      </c>
      <c r="E696">
        <v>0</v>
      </c>
      <c r="F696">
        <v>0</v>
      </c>
      <c r="G696">
        <v>0</v>
      </c>
      <c r="I696" t="s">
        <v>15123</v>
      </c>
      <c r="J696" t="s">
        <v>13695</v>
      </c>
      <c r="K696">
        <v>1</v>
      </c>
    </row>
    <row r="697" spans="1:11" x14ac:dyDescent="0.35">
      <c r="A697" t="s">
        <v>15124</v>
      </c>
      <c r="B697" t="s">
        <v>14266</v>
      </c>
      <c r="C697">
        <v>17</v>
      </c>
      <c r="D697">
        <v>17</v>
      </c>
      <c r="E697">
        <v>0</v>
      </c>
      <c r="F697">
        <v>0</v>
      </c>
      <c r="G697">
        <v>0</v>
      </c>
      <c r="I697" t="s">
        <v>15124</v>
      </c>
      <c r="J697" t="s">
        <v>14266</v>
      </c>
      <c r="K697">
        <v>1</v>
      </c>
    </row>
    <row r="698" spans="1:11" x14ac:dyDescent="0.35">
      <c r="A698" t="s">
        <v>15125</v>
      </c>
      <c r="B698" t="s">
        <v>14267</v>
      </c>
      <c r="C698">
        <v>36</v>
      </c>
      <c r="D698">
        <v>36</v>
      </c>
      <c r="E698">
        <v>0</v>
      </c>
      <c r="F698">
        <v>0</v>
      </c>
      <c r="G698">
        <v>0</v>
      </c>
      <c r="I698" t="s">
        <v>15125</v>
      </c>
      <c r="J698" t="s">
        <v>14267</v>
      </c>
      <c r="K698">
        <v>1</v>
      </c>
    </row>
    <row r="699" spans="1:11" x14ac:dyDescent="0.35">
      <c r="A699" t="s">
        <v>15126</v>
      </c>
      <c r="B699" t="s">
        <v>13073</v>
      </c>
      <c r="C699">
        <v>40</v>
      </c>
      <c r="D699">
        <v>40</v>
      </c>
      <c r="E699">
        <v>0</v>
      </c>
      <c r="F699">
        <v>0</v>
      </c>
      <c r="G699">
        <v>0</v>
      </c>
      <c r="I699" t="s">
        <v>15126</v>
      </c>
      <c r="J699" t="s">
        <v>13073</v>
      </c>
      <c r="K699">
        <v>1</v>
      </c>
    </row>
    <row r="700" spans="1:11" x14ac:dyDescent="0.35">
      <c r="A700" t="s">
        <v>15127</v>
      </c>
      <c r="B700" t="s">
        <v>13454</v>
      </c>
      <c r="C700">
        <v>35</v>
      </c>
      <c r="D700">
        <v>35</v>
      </c>
      <c r="E700">
        <v>0</v>
      </c>
      <c r="F700">
        <v>0</v>
      </c>
      <c r="G700">
        <v>0</v>
      </c>
      <c r="I700" t="s">
        <v>15127</v>
      </c>
      <c r="J700" t="s">
        <v>13454</v>
      </c>
      <c r="K700">
        <v>1</v>
      </c>
    </row>
    <row r="701" spans="1:11" x14ac:dyDescent="0.35">
      <c r="A701" t="s">
        <v>15128</v>
      </c>
      <c r="B701" t="s">
        <v>13962</v>
      </c>
      <c r="C701">
        <v>34</v>
      </c>
      <c r="D701">
        <v>34</v>
      </c>
      <c r="E701">
        <v>0</v>
      </c>
      <c r="F701">
        <v>0</v>
      </c>
      <c r="G701">
        <v>0</v>
      </c>
      <c r="I701" t="s">
        <v>15128</v>
      </c>
      <c r="J701" t="s">
        <v>13962</v>
      </c>
      <c r="K701">
        <v>1</v>
      </c>
    </row>
    <row r="702" spans="1:11" x14ac:dyDescent="0.35">
      <c r="A702" t="s">
        <v>15129</v>
      </c>
      <c r="B702" t="s">
        <v>14311</v>
      </c>
      <c r="C702">
        <v>66</v>
      </c>
      <c r="D702">
        <v>66</v>
      </c>
      <c r="E702">
        <v>0</v>
      </c>
      <c r="F702">
        <v>0</v>
      </c>
      <c r="G702">
        <v>0</v>
      </c>
      <c r="I702" t="s">
        <v>15129</v>
      </c>
      <c r="J702" t="s">
        <v>14311</v>
      </c>
      <c r="K702">
        <v>1</v>
      </c>
    </row>
    <row r="703" spans="1:11" x14ac:dyDescent="0.35">
      <c r="A703" t="s">
        <v>15130</v>
      </c>
      <c r="B703" t="s">
        <v>13853</v>
      </c>
      <c r="C703">
        <v>59</v>
      </c>
      <c r="D703">
        <v>59</v>
      </c>
      <c r="E703">
        <v>0</v>
      </c>
      <c r="F703">
        <v>0</v>
      </c>
      <c r="G703">
        <v>0</v>
      </c>
      <c r="I703" t="s">
        <v>15130</v>
      </c>
      <c r="J703" t="s">
        <v>13853</v>
      </c>
      <c r="K703">
        <v>1</v>
      </c>
    </row>
    <row r="704" spans="1:11" x14ac:dyDescent="0.35">
      <c r="A704" t="s">
        <v>15131</v>
      </c>
      <c r="B704" t="s">
        <v>13503</v>
      </c>
      <c r="C704">
        <v>12</v>
      </c>
      <c r="D704">
        <v>0</v>
      </c>
      <c r="E704">
        <v>0</v>
      </c>
      <c r="F704">
        <v>12</v>
      </c>
      <c r="G704">
        <v>0</v>
      </c>
      <c r="I704" t="s">
        <v>15131</v>
      </c>
      <c r="J704" t="s">
        <v>13503</v>
      </c>
      <c r="K704">
        <v>1</v>
      </c>
    </row>
    <row r="705" spans="1:11" x14ac:dyDescent="0.35">
      <c r="A705" t="s">
        <v>15132</v>
      </c>
      <c r="B705" t="s">
        <v>14228</v>
      </c>
      <c r="C705">
        <v>7</v>
      </c>
      <c r="D705">
        <v>0</v>
      </c>
      <c r="E705">
        <v>0</v>
      </c>
      <c r="F705">
        <v>7</v>
      </c>
      <c r="G705">
        <v>0</v>
      </c>
      <c r="I705" t="s">
        <v>15132</v>
      </c>
      <c r="J705" t="s">
        <v>14228</v>
      </c>
      <c r="K705">
        <v>1</v>
      </c>
    </row>
    <row r="706" spans="1:11" x14ac:dyDescent="0.35">
      <c r="A706" t="s">
        <v>15133</v>
      </c>
      <c r="B706" t="s">
        <v>14170</v>
      </c>
      <c r="C706">
        <v>22</v>
      </c>
      <c r="D706">
        <v>0</v>
      </c>
      <c r="E706">
        <v>0</v>
      </c>
      <c r="F706">
        <v>22</v>
      </c>
      <c r="G706">
        <v>0</v>
      </c>
      <c r="I706" t="s">
        <v>15133</v>
      </c>
      <c r="J706" t="s">
        <v>14170</v>
      </c>
      <c r="K706">
        <v>1</v>
      </c>
    </row>
    <row r="707" spans="1:11" x14ac:dyDescent="0.35">
      <c r="A707" t="s">
        <v>15134</v>
      </c>
      <c r="B707" t="s">
        <v>14289</v>
      </c>
      <c r="C707">
        <v>12</v>
      </c>
      <c r="D707">
        <v>0</v>
      </c>
      <c r="E707">
        <v>0</v>
      </c>
      <c r="F707">
        <v>12</v>
      </c>
      <c r="G707">
        <v>0</v>
      </c>
      <c r="I707" t="s">
        <v>15134</v>
      </c>
      <c r="J707" t="s">
        <v>14289</v>
      </c>
      <c r="K707">
        <v>1</v>
      </c>
    </row>
    <row r="708" spans="1:11" x14ac:dyDescent="0.35">
      <c r="A708" t="s">
        <v>15135</v>
      </c>
      <c r="B708" t="s">
        <v>13598</v>
      </c>
      <c r="C708">
        <v>20</v>
      </c>
      <c r="D708">
        <v>0</v>
      </c>
      <c r="E708">
        <v>0</v>
      </c>
      <c r="F708">
        <v>20</v>
      </c>
      <c r="G708">
        <v>0</v>
      </c>
      <c r="I708" t="s">
        <v>15135</v>
      </c>
      <c r="J708" t="s">
        <v>13598</v>
      </c>
      <c r="K708">
        <v>1</v>
      </c>
    </row>
    <row r="709" spans="1:11" x14ac:dyDescent="0.35">
      <c r="A709" t="s">
        <v>15136</v>
      </c>
      <c r="B709" t="s">
        <v>14070</v>
      </c>
      <c r="C709">
        <v>10</v>
      </c>
      <c r="D709">
        <v>0</v>
      </c>
      <c r="E709">
        <v>0</v>
      </c>
      <c r="F709">
        <v>10</v>
      </c>
      <c r="G709">
        <v>0</v>
      </c>
      <c r="I709" t="s">
        <v>15136</v>
      </c>
      <c r="J709" t="s">
        <v>14070</v>
      </c>
      <c r="K709">
        <v>1</v>
      </c>
    </row>
    <row r="710" spans="1:11" x14ac:dyDescent="0.35">
      <c r="A710" t="s">
        <v>15137</v>
      </c>
      <c r="B710" t="s">
        <v>14051</v>
      </c>
      <c r="C710">
        <v>25</v>
      </c>
      <c r="D710">
        <v>0</v>
      </c>
      <c r="E710">
        <v>0</v>
      </c>
      <c r="F710">
        <v>25</v>
      </c>
      <c r="G710">
        <v>0</v>
      </c>
      <c r="I710" t="s">
        <v>15137</v>
      </c>
      <c r="J710" t="s">
        <v>14051</v>
      </c>
      <c r="K710">
        <v>1</v>
      </c>
    </row>
    <row r="711" spans="1:11" x14ac:dyDescent="0.35">
      <c r="A711" t="s">
        <v>15138</v>
      </c>
      <c r="B711" t="s">
        <v>13692</v>
      </c>
      <c r="C711">
        <v>16</v>
      </c>
      <c r="D711">
        <v>0</v>
      </c>
      <c r="E711">
        <v>0</v>
      </c>
      <c r="F711">
        <v>16</v>
      </c>
      <c r="G711">
        <v>0</v>
      </c>
      <c r="I711" t="s">
        <v>15138</v>
      </c>
      <c r="J711" t="s">
        <v>13692</v>
      </c>
      <c r="K711">
        <v>1</v>
      </c>
    </row>
    <row r="712" spans="1:11" x14ac:dyDescent="0.35">
      <c r="A712" t="s">
        <v>15139</v>
      </c>
      <c r="B712" t="s">
        <v>13734</v>
      </c>
      <c r="C712">
        <v>74</v>
      </c>
      <c r="D712">
        <v>4</v>
      </c>
      <c r="E712">
        <v>70</v>
      </c>
      <c r="F712">
        <v>0</v>
      </c>
      <c r="G712">
        <v>0</v>
      </c>
      <c r="I712" t="s">
        <v>15139</v>
      </c>
      <c r="J712" t="s">
        <v>13734</v>
      </c>
      <c r="K712">
        <v>1</v>
      </c>
    </row>
    <row r="713" spans="1:11" x14ac:dyDescent="0.35">
      <c r="A713" t="s">
        <v>15140</v>
      </c>
      <c r="B713" t="s">
        <v>13182</v>
      </c>
      <c r="C713">
        <v>76</v>
      </c>
      <c r="D713">
        <v>0</v>
      </c>
      <c r="E713">
        <v>0</v>
      </c>
      <c r="F713">
        <v>76</v>
      </c>
      <c r="G713">
        <v>0</v>
      </c>
      <c r="I713" t="s">
        <v>15140</v>
      </c>
      <c r="J713" t="s">
        <v>13182</v>
      </c>
      <c r="K713">
        <v>3</v>
      </c>
    </row>
    <row r="714" spans="1:11" x14ac:dyDescent="0.35">
      <c r="A714" t="s">
        <v>15141</v>
      </c>
      <c r="B714" t="s">
        <v>13645</v>
      </c>
      <c r="C714">
        <v>32</v>
      </c>
      <c r="D714">
        <v>0</v>
      </c>
      <c r="E714">
        <v>0</v>
      </c>
      <c r="F714">
        <v>32</v>
      </c>
      <c r="G714">
        <v>0</v>
      </c>
      <c r="I714" t="s">
        <v>15141</v>
      </c>
      <c r="J714" t="s">
        <v>13645</v>
      </c>
      <c r="K714">
        <v>1</v>
      </c>
    </row>
    <row r="715" spans="1:11" x14ac:dyDescent="0.35">
      <c r="A715" t="s">
        <v>15142</v>
      </c>
      <c r="B715" t="s">
        <v>13324</v>
      </c>
      <c r="C715">
        <v>103</v>
      </c>
      <c r="D715">
        <v>0</v>
      </c>
      <c r="E715">
        <v>0</v>
      </c>
      <c r="F715">
        <v>103</v>
      </c>
      <c r="G715">
        <v>0</v>
      </c>
      <c r="I715" t="s">
        <v>15142</v>
      </c>
      <c r="J715" t="s">
        <v>13324</v>
      </c>
      <c r="K715">
        <v>1</v>
      </c>
    </row>
    <row r="716" spans="1:11" x14ac:dyDescent="0.35">
      <c r="A716" t="s">
        <v>15143</v>
      </c>
      <c r="B716" t="s">
        <v>13586</v>
      </c>
      <c r="C716">
        <v>20</v>
      </c>
      <c r="D716">
        <v>0</v>
      </c>
      <c r="E716">
        <v>0</v>
      </c>
      <c r="F716">
        <v>20</v>
      </c>
      <c r="G716">
        <v>0</v>
      </c>
      <c r="I716" t="s">
        <v>15143</v>
      </c>
      <c r="J716" t="s">
        <v>13586</v>
      </c>
      <c r="K716">
        <v>1</v>
      </c>
    </row>
    <row r="717" spans="1:11" x14ac:dyDescent="0.35">
      <c r="A717" t="s">
        <v>15144</v>
      </c>
      <c r="B717" t="s">
        <v>14112</v>
      </c>
      <c r="C717">
        <v>28</v>
      </c>
      <c r="D717">
        <v>0</v>
      </c>
      <c r="E717">
        <v>0</v>
      </c>
      <c r="F717">
        <v>28</v>
      </c>
      <c r="G717">
        <v>0</v>
      </c>
      <c r="I717" t="s">
        <v>15144</v>
      </c>
      <c r="J717" t="s">
        <v>14112</v>
      </c>
      <c r="K717">
        <v>1</v>
      </c>
    </row>
    <row r="718" spans="1:11" x14ac:dyDescent="0.35">
      <c r="A718" t="s">
        <v>15145</v>
      </c>
      <c r="B718" t="s">
        <v>13353</v>
      </c>
      <c r="C718">
        <v>115</v>
      </c>
      <c r="D718">
        <v>3</v>
      </c>
      <c r="E718">
        <v>0</v>
      </c>
      <c r="F718">
        <v>112</v>
      </c>
      <c r="G718">
        <v>0</v>
      </c>
      <c r="I718" t="s">
        <v>15145</v>
      </c>
      <c r="J718" t="s">
        <v>13353</v>
      </c>
      <c r="K718">
        <v>5</v>
      </c>
    </row>
    <row r="719" spans="1:11" x14ac:dyDescent="0.35">
      <c r="A719" t="s">
        <v>15146</v>
      </c>
      <c r="B719" t="s">
        <v>13537</v>
      </c>
      <c r="C719">
        <v>8</v>
      </c>
      <c r="D719">
        <v>0</v>
      </c>
      <c r="E719">
        <v>0</v>
      </c>
      <c r="F719">
        <v>8</v>
      </c>
      <c r="G719">
        <v>0</v>
      </c>
      <c r="I719" t="s">
        <v>15146</v>
      </c>
      <c r="J719" t="s">
        <v>13537</v>
      </c>
      <c r="K719">
        <v>1</v>
      </c>
    </row>
    <row r="720" spans="1:11" x14ac:dyDescent="0.35">
      <c r="A720" t="s">
        <v>15147</v>
      </c>
      <c r="B720" t="s">
        <v>14375</v>
      </c>
      <c r="C720">
        <v>12</v>
      </c>
      <c r="D720">
        <v>0</v>
      </c>
      <c r="E720">
        <v>0</v>
      </c>
      <c r="F720">
        <v>12</v>
      </c>
      <c r="G720">
        <v>0</v>
      </c>
      <c r="I720" t="s">
        <v>15147</v>
      </c>
      <c r="J720" t="s">
        <v>14375</v>
      </c>
      <c r="K720">
        <v>1</v>
      </c>
    </row>
    <row r="721" spans="1:11" x14ac:dyDescent="0.35">
      <c r="A721" t="s">
        <v>15148</v>
      </c>
      <c r="B721" t="s">
        <v>13780</v>
      </c>
      <c r="C721">
        <v>30</v>
      </c>
      <c r="D721">
        <v>0</v>
      </c>
      <c r="E721">
        <v>0</v>
      </c>
      <c r="F721">
        <v>30</v>
      </c>
      <c r="G721">
        <v>0</v>
      </c>
      <c r="I721" t="s">
        <v>15148</v>
      </c>
      <c r="J721" t="s">
        <v>13780</v>
      </c>
      <c r="K721">
        <v>1</v>
      </c>
    </row>
    <row r="722" spans="1:11" x14ac:dyDescent="0.35">
      <c r="A722" t="s">
        <v>15149</v>
      </c>
      <c r="B722" t="s">
        <v>13163</v>
      </c>
      <c r="C722">
        <v>23</v>
      </c>
      <c r="D722">
        <v>0</v>
      </c>
      <c r="E722">
        <v>0</v>
      </c>
      <c r="F722">
        <v>23</v>
      </c>
      <c r="G722">
        <v>0</v>
      </c>
      <c r="I722" t="s">
        <v>15149</v>
      </c>
      <c r="J722" t="s">
        <v>13163</v>
      </c>
      <c r="K722">
        <v>1</v>
      </c>
    </row>
    <row r="723" spans="1:11" x14ac:dyDescent="0.35">
      <c r="A723" t="s">
        <v>15150</v>
      </c>
      <c r="B723" t="s">
        <v>13988</v>
      </c>
      <c r="C723">
        <v>10</v>
      </c>
      <c r="D723">
        <v>0</v>
      </c>
      <c r="E723">
        <v>0</v>
      </c>
      <c r="F723">
        <v>10</v>
      </c>
      <c r="G723">
        <v>0</v>
      </c>
      <c r="I723" t="s">
        <v>15150</v>
      </c>
      <c r="J723" t="s">
        <v>13988</v>
      </c>
      <c r="K723">
        <v>1</v>
      </c>
    </row>
    <row r="724" spans="1:11" x14ac:dyDescent="0.35">
      <c r="A724" t="s">
        <v>15151</v>
      </c>
      <c r="B724" t="s">
        <v>14076</v>
      </c>
      <c r="C724">
        <v>21</v>
      </c>
      <c r="D724">
        <v>0</v>
      </c>
      <c r="E724">
        <v>0</v>
      </c>
      <c r="F724">
        <v>21</v>
      </c>
      <c r="G724">
        <v>0</v>
      </c>
      <c r="I724" t="s">
        <v>15151</v>
      </c>
      <c r="J724" t="s">
        <v>14076</v>
      </c>
      <c r="K724">
        <v>1</v>
      </c>
    </row>
    <row r="725" spans="1:11" x14ac:dyDescent="0.35">
      <c r="A725" t="s">
        <v>15152</v>
      </c>
      <c r="B725" t="s">
        <v>13580</v>
      </c>
      <c r="C725">
        <v>9</v>
      </c>
      <c r="D725">
        <v>0</v>
      </c>
      <c r="E725">
        <v>0</v>
      </c>
      <c r="F725">
        <v>9</v>
      </c>
      <c r="G725">
        <v>0</v>
      </c>
      <c r="I725" t="s">
        <v>15152</v>
      </c>
      <c r="J725" t="s">
        <v>13580</v>
      </c>
      <c r="K725">
        <v>1</v>
      </c>
    </row>
    <row r="726" spans="1:11" x14ac:dyDescent="0.35">
      <c r="A726" t="s">
        <v>15153</v>
      </c>
      <c r="B726" t="s">
        <v>14278</v>
      </c>
      <c r="C726">
        <v>37</v>
      </c>
      <c r="D726">
        <v>0</v>
      </c>
      <c r="E726">
        <v>0</v>
      </c>
      <c r="F726">
        <v>37</v>
      </c>
      <c r="G726">
        <v>0</v>
      </c>
      <c r="I726" t="s">
        <v>15153</v>
      </c>
      <c r="J726" t="s">
        <v>14278</v>
      </c>
      <c r="K726">
        <v>1</v>
      </c>
    </row>
    <row r="727" spans="1:11" x14ac:dyDescent="0.35">
      <c r="A727" t="s">
        <v>15154</v>
      </c>
      <c r="B727" t="s">
        <v>14064</v>
      </c>
      <c r="C727">
        <v>55</v>
      </c>
      <c r="D727">
        <v>0</v>
      </c>
      <c r="E727">
        <v>0</v>
      </c>
      <c r="F727">
        <v>55</v>
      </c>
      <c r="G727">
        <v>0</v>
      </c>
      <c r="I727" t="s">
        <v>15154</v>
      </c>
      <c r="J727" t="s">
        <v>14064</v>
      </c>
      <c r="K727">
        <v>1</v>
      </c>
    </row>
    <row r="728" spans="1:11" x14ac:dyDescent="0.35">
      <c r="A728" t="s">
        <v>15155</v>
      </c>
      <c r="B728" t="s">
        <v>14213</v>
      </c>
      <c r="C728">
        <v>22</v>
      </c>
      <c r="D728">
        <v>0</v>
      </c>
      <c r="E728">
        <v>0</v>
      </c>
      <c r="F728">
        <v>22</v>
      </c>
      <c r="G728">
        <v>0</v>
      </c>
      <c r="I728" t="s">
        <v>15155</v>
      </c>
      <c r="J728" t="s">
        <v>14213</v>
      </c>
      <c r="K728">
        <v>1</v>
      </c>
    </row>
    <row r="729" spans="1:11" x14ac:dyDescent="0.35">
      <c r="A729" t="s">
        <v>15156</v>
      </c>
      <c r="B729" t="s">
        <v>14263</v>
      </c>
      <c r="C729">
        <v>8</v>
      </c>
      <c r="D729">
        <v>0</v>
      </c>
      <c r="E729">
        <v>8</v>
      </c>
      <c r="F729">
        <v>0</v>
      </c>
      <c r="G729">
        <v>0</v>
      </c>
      <c r="I729" t="s">
        <v>15156</v>
      </c>
      <c r="J729" t="s">
        <v>14263</v>
      </c>
      <c r="K729">
        <v>1</v>
      </c>
    </row>
    <row r="730" spans="1:11" x14ac:dyDescent="0.35">
      <c r="A730" t="s">
        <v>15157</v>
      </c>
      <c r="B730" t="s">
        <v>14124</v>
      </c>
      <c r="C730">
        <v>106</v>
      </c>
      <c r="D730">
        <v>52</v>
      </c>
      <c r="E730">
        <v>0</v>
      </c>
      <c r="F730">
        <v>54</v>
      </c>
      <c r="G730">
        <v>0</v>
      </c>
      <c r="I730" t="s">
        <v>15157</v>
      </c>
      <c r="J730" t="s">
        <v>14124</v>
      </c>
      <c r="K730">
        <v>1</v>
      </c>
    </row>
    <row r="731" spans="1:11" x14ac:dyDescent="0.35">
      <c r="A731" t="s">
        <v>15158</v>
      </c>
      <c r="B731" t="s">
        <v>13285</v>
      </c>
      <c r="C731">
        <v>684</v>
      </c>
      <c r="D731">
        <v>0</v>
      </c>
      <c r="E731">
        <v>0</v>
      </c>
      <c r="F731">
        <v>684</v>
      </c>
      <c r="G731">
        <v>0</v>
      </c>
      <c r="I731" t="s">
        <v>15158</v>
      </c>
      <c r="J731" t="s">
        <v>13285</v>
      </c>
      <c r="K731">
        <v>29</v>
      </c>
    </row>
    <row r="732" spans="1:11" x14ac:dyDescent="0.35">
      <c r="A732" t="s">
        <v>15159</v>
      </c>
      <c r="B732" t="s">
        <v>13590</v>
      </c>
      <c r="C732">
        <v>35</v>
      </c>
      <c r="D732">
        <v>0</v>
      </c>
      <c r="E732">
        <v>0</v>
      </c>
      <c r="F732">
        <v>35</v>
      </c>
      <c r="G732">
        <v>0</v>
      </c>
      <c r="I732" t="s">
        <v>15159</v>
      </c>
      <c r="J732" t="s">
        <v>13590</v>
      </c>
      <c r="K732">
        <v>1</v>
      </c>
    </row>
    <row r="733" spans="1:11" x14ac:dyDescent="0.35">
      <c r="A733" t="s">
        <v>15160</v>
      </c>
      <c r="B733" t="s">
        <v>13579</v>
      </c>
      <c r="C733">
        <v>61</v>
      </c>
      <c r="D733">
        <v>0</v>
      </c>
      <c r="E733">
        <v>0</v>
      </c>
      <c r="F733">
        <v>61</v>
      </c>
      <c r="G733">
        <v>0</v>
      </c>
      <c r="I733" t="s">
        <v>15160</v>
      </c>
      <c r="J733" t="s">
        <v>13579</v>
      </c>
      <c r="K733">
        <v>4</v>
      </c>
    </row>
    <row r="734" spans="1:11" x14ac:dyDescent="0.35">
      <c r="A734" t="s">
        <v>15161</v>
      </c>
      <c r="B734" t="s">
        <v>13343</v>
      </c>
      <c r="C734">
        <v>311</v>
      </c>
      <c r="D734">
        <v>121</v>
      </c>
      <c r="E734">
        <v>60</v>
      </c>
      <c r="F734">
        <v>130</v>
      </c>
      <c r="G734">
        <v>0</v>
      </c>
      <c r="I734" t="s">
        <v>15161</v>
      </c>
      <c r="J734" t="s">
        <v>13343</v>
      </c>
      <c r="K734">
        <v>5</v>
      </c>
    </row>
    <row r="735" spans="1:11" x14ac:dyDescent="0.35">
      <c r="A735" t="s">
        <v>15162</v>
      </c>
      <c r="B735" t="s">
        <v>14356</v>
      </c>
      <c r="C735">
        <v>7</v>
      </c>
      <c r="D735">
        <v>0</v>
      </c>
      <c r="E735">
        <v>0</v>
      </c>
      <c r="F735">
        <v>7</v>
      </c>
      <c r="G735">
        <v>0</v>
      </c>
      <c r="I735" t="s">
        <v>15162</v>
      </c>
      <c r="J735" t="s">
        <v>14356</v>
      </c>
      <c r="K735">
        <v>1</v>
      </c>
    </row>
    <row r="736" spans="1:11" x14ac:dyDescent="0.35">
      <c r="A736" t="s">
        <v>15163</v>
      </c>
      <c r="B736" t="s">
        <v>13460</v>
      </c>
      <c r="C736">
        <v>11</v>
      </c>
      <c r="D736">
        <v>0</v>
      </c>
      <c r="E736">
        <v>0</v>
      </c>
      <c r="F736">
        <v>11</v>
      </c>
      <c r="G736">
        <v>0</v>
      </c>
      <c r="I736" t="s">
        <v>15163</v>
      </c>
      <c r="J736" t="s">
        <v>13460</v>
      </c>
      <c r="K736">
        <v>1</v>
      </c>
    </row>
    <row r="737" spans="1:11" x14ac:dyDescent="0.35">
      <c r="A737" t="s">
        <v>15164</v>
      </c>
      <c r="B737" t="s">
        <v>14397</v>
      </c>
      <c r="C737">
        <v>25</v>
      </c>
      <c r="D737">
        <v>0</v>
      </c>
      <c r="E737">
        <v>0</v>
      </c>
      <c r="F737">
        <v>25</v>
      </c>
      <c r="G737">
        <v>0</v>
      </c>
      <c r="I737" t="s">
        <v>15164</v>
      </c>
      <c r="J737" t="s">
        <v>14397</v>
      </c>
      <c r="K737">
        <v>1</v>
      </c>
    </row>
    <row r="738" spans="1:11" x14ac:dyDescent="0.35">
      <c r="A738" t="s">
        <v>15165</v>
      </c>
      <c r="B738" t="s">
        <v>13889</v>
      </c>
      <c r="C738">
        <v>14</v>
      </c>
      <c r="D738">
        <v>0</v>
      </c>
      <c r="E738">
        <v>0</v>
      </c>
      <c r="F738">
        <v>14</v>
      </c>
      <c r="G738">
        <v>0</v>
      </c>
      <c r="I738" t="s">
        <v>15165</v>
      </c>
      <c r="J738" t="s">
        <v>13889</v>
      </c>
      <c r="K738">
        <v>1</v>
      </c>
    </row>
    <row r="739" spans="1:11" x14ac:dyDescent="0.35">
      <c r="A739" t="s">
        <v>15166</v>
      </c>
      <c r="B739" t="s">
        <v>13405</v>
      </c>
      <c r="C739">
        <v>11</v>
      </c>
      <c r="D739">
        <v>0</v>
      </c>
      <c r="E739">
        <v>0</v>
      </c>
      <c r="F739">
        <v>11</v>
      </c>
      <c r="G739">
        <v>0</v>
      </c>
      <c r="I739" t="s">
        <v>15166</v>
      </c>
      <c r="J739" t="s">
        <v>13405</v>
      </c>
      <c r="K739">
        <v>1</v>
      </c>
    </row>
    <row r="740" spans="1:11" x14ac:dyDescent="0.35">
      <c r="A740" t="s">
        <v>15167</v>
      </c>
      <c r="B740" t="s">
        <v>13433</v>
      </c>
      <c r="C740">
        <v>1742</v>
      </c>
      <c r="D740">
        <v>374</v>
      </c>
      <c r="E740">
        <v>0</v>
      </c>
      <c r="F740">
        <v>1344</v>
      </c>
      <c r="G740">
        <v>24</v>
      </c>
      <c r="I740" t="s">
        <v>15167</v>
      </c>
      <c r="J740" t="s">
        <v>13433</v>
      </c>
      <c r="K740">
        <v>16</v>
      </c>
    </row>
    <row r="741" spans="1:11" x14ac:dyDescent="0.35">
      <c r="A741" t="s">
        <v>15168</v>
      </c>
      <c r="B741" t="s">
        <v>13164</v>
      </c>
      <c r="C741">
        <v>10</v>
      </c>
      <c r="D741">
        <v>0</v>
      </c>
      <c r="E741">
        <v>0</v>
      </c>
      <c r="F741">
        <v>10</v>
      </c>
      <c r="G741">
        <v>0</v>
      </c>
      <c r="I741" t="s">
        <v>15168</v>
      </c>
      <c r="J741" t="s">
        <v>13164</v>
      </c>
      <c r="K741">
        <v>1</v>
      </c>
    </row>
    <row r="742" spans="1:11" x14ac:dyDescent="0.35">
      <c r="A742" t="s">
        <v>15169</v>
      </c>
      <c r="B742" t="s">
        <v>14367</v>
      </c>
      <c r="C742">
        <v>112</v>
      </c>
      <c r="D742">
        <v>0</v>
      </c>
      <c r="E742">
        <v>0</v>
      </c>
      <c r="F742">
        <v>112</v>
      </c>
      <c r="G742">
        <v>0</v>
      </c>
      <c r="I742" t="s">
        <v>15169</v>
      </c>
      <c r="J742" t="s">
        <v>14367</v>
      </c>
      <c r="K742">
        <v>1</v>
      </c>
    </row>
    <row r="743" spans="1:11" x14ac:dyDescent="0.35">
      <c r="A743" t="s">
        <v>15170</v>
      </c>
      <c r="B743" t="s">
        <v>13354</v>
      </c>
      <c r="C743">
        <v>438</v>
      </c>
      <c r="D743">
        <v>304</v>
      </c>
      <c r="E743">
        <v>0</v>
      </c>
      <c r="F743">
        <v>134</v>
      </c>
      <c r="G743">
        <v>0</v>
      </c>
      <c r="I743" t="s">
        <v>15170</v>
      </c>
      <c r="J743" t="s">
        <v>13354</v>
      </c>
      <c r="K743">
        <v>3</v>
      </c>
    </row>
    <row r="744" spans="1:11" x14ac:dyDescent="0.35">
      <c r="A744" t="s">
        <v>15171</v>
      </c>
      <c r="B744" t="s">
        <v>13917</v>
      </c>
      <c r="C744">
        <v>129</v>
      </c>
      <c r="D744">
        <v>0</v>
      </c>
      <c r="E744">
        <v>0</v>
      </c>
      <c r="F744">
        <v>129</v>
      </c>
      <c r="G744">
        <v>0</v>
      </c>
      <c r="I744" t="s">
        <v>15171</v>
      </c>
      <c r="J744" t="s">
        <v>13917</v>
      </c>
      <c r="K744">
        <v>1</v>
      </c>
    </row>
    <row r="745" spans="1:11" x14ac:dyDescent="0.35">
      <c r="A745" t="s">
        <v>15172</v>
      </c>
      <c r="B745" t="s">
        <v>13318</v>
      </c>
      <c r="C745">
        <v>354</v>
      </c>
      <c r="D745">
        <v>77</v>
      </c>
      <c r="E745">
        <v>50</v>
      </c>
      <c r="F745">
        <v>227</v>
      </c>
      <c r="G745">
        <v>0</v>
      </c>
      <c r="I745" t="s">
        <v>15172</v>
      </c>
      <c r="J745" t="s">
        <v>13318</v>
      </c>
      <c r="K745">
        <v>16</v>
      </c>
    </row>
    <row r="746" spans="1:11" x14ac:dyDescent="0.35">
      <c r="A746" t="s">
        <v>15173</v>
      </c>
      <c r="B746" t="s">
        <v>14050</v>
      </c>
      <c r="C746">
        <v>34</v>
      </c>
      <c r="D746">
        <v>0</v>
      </c>
      <c r="E746">
        <v>0</v>
      </c>
      <c r="F746">
        <v>34</v>
      </c>
      <c r="G746">
        <v>0</v>
      </c>
      <c r="I746" t="s">
        <v>15173</v>
      </c>
      <c r="J746" t="s">
        <v>14050</v>
      </c>
      <c r="K746">
        <v>1</v>
      </c>
    </row>
    <row r="747" spans="1:11" x14ac:dyDescent="0.35">
      <c r="A747" t="s">
        <v>15174</v>
      </c>
      <c r="B747" t="s">
        <v>14405</v>
      </c>
      <c r="C747">
        <v>44</v>
      </c>
      <c r="D747">
        <v>0</v>
      </c>
      <c r="E747">
        <v>0</v>
      </c>
      <c r="F747">
        <v>44</v>
      </c>
      <c r="G747">
        <v>0</v>
      </c>
      <c r="I747" t="s">
        <v>15174</v>
      </c>
      <c r="J747" t="s">
        <v>14405</v>
      </c>
      <c r="K747">
        <v>1</v>
      </c>
    </row>
    <row r="748" spans="1:11" x14ac:dyDescent="0.35">
      <c r="A748" t="s">
        <v>15175</v>
      </c>
      <c r="B748" t="s">
        <v>13801</v>
      </c>
      <c r="C748">
        <v>16</v>
      </c>
      <c r="D748">
        <v>0</v>
      </c>
      <c r="E748">
        <v>0</v>
      </c>
      <c r="F748">
        <v>16</v>
      </c>
      <c r="G748">
        <v>0</v>
      </c>
      <c r="I748" t="s">
        <v>15175</v>
      </c>
      <c r="J748" t="s">
        <v>13801</v>
      </c>
      <c r="K748">
        <v>1</v>
      </c>
    </row>
    <row r="749" spans="1:11" x14ac:dyDescent="0.35">
      <c r="A749" t="s">
        <v>15176</v>
      </c>
      <c r="B749" t="s">
        <v>13299</v>
      </c>
      <c r="C749">
        <v>144</v>
      </c>
      <c r="D749">
        <v>0</v>
      </c>
      <c r="E749">
        <v>0</v>
      </c>
      <c r="F749">
        <v>144</v>
      </c>
      <c r="G749">
        <v>0</v>
      </c>
      <c r="I749" t="s">
        <v>15176</v>
      </c>
      <c r="J749" t="s">
        <v>13299</v>
      </c>
      <c r="K749">
        <v>6</v>
      </c>
    </row>
    <row r="750" spans="1:11" x14ac:dyDescent="0.35">
      <c r="A750" t="s">
        <v>15177</v>
      </c>
      <c r="B750" t="s">
        <v>14017</v>
      </c>
      <c r="C750">
        <v>226</v>
      </c>
      <c r="D750">
        <v>17</v>
      </c>
      <c r="E750">
        <v>125</v>
      </c>
      <c r="F750">
        <v>84</v>
      </c>
      <c r="G750">
        <v>0</v>
      </c>
      <c r="I750" t="s">
        <v>15177</v>
      </c>
      <c r="J750" t="s">
        <v>14017</v>
      </c>
      <c r="K750">
        <v>1</v>
      </c>
    </row>
    <row r="751" spans="1:11" x14ac:dyDescent="0.35">
      <c r="A751" t="s">
        <v>15178</v>
      </c>
      <c r="B751" t="s">
        <v>13895</v>
      </c>
      <c r="C751">
        <v>9</v>
      </c>
      <c r="D751">
        <v>0</v>
      </c>
      <c r="E751">
        <v>0</v>
      </c>
      <c r="F751">
        <v>9</v>
      </c>
      <c r="G751">
        <v>0</v>
      </c>
      <c r="I751" t="s">
        <v>15178</v>
      </c>
      <c r="J751" t="s">
        <v>13895</v>
      </c>
      <c r="K751">
        <v>1</v>
      </c>
    </row>
    <row r="752" spans="1:11" x14ac:dyDescent="0.35">
      <c r="A752" t="s">
        <v>15179</v>
      </c>
      <c r="B752" t="s">
        <v>13538</v>
      </c>
      <c r="C752">
        <v>13</v>
      </c>
      <c r="D752">
        <v>0</v>
      </c>
      <c r="E752">
        <v>0</v>
      </c>
      <c r="F752">
        <v>13</v>
      </c>
      <c r="G752">
        <v>0</v>
      </c>
      <c r="I752" t="s">
        <v>15179</v>
      </c>
      <c r="J752" t="s">
        <v>13538</v>
      </c>
      <c r="K752">
        <v>1</v>
      </c>
    </row>
    <row r="753" spans="1:11" x14ac:dyDescent="0.35">
      <c r="A753" t="s">
        <v>15180</v>
      </c>
      <c r="B753" t="s">
        <v>13890</v>
      </c>
      <c r="C753">
        <v>117</v>
      </c>
      <c r="D753">
        <v>0</v>
      </c>
      <c r="E753">
        <v>0</v>
      </c>
      <c r="F753">
        <v>117</v>
      </c>
      <c r="G753">
        <v>0</v>
      </c>
      <c r="I753" t="s">
        <v>15180</v>
      </c>
      <c r="J753" t="s">
        <v>13890</v>
      </c>
      <c r="K753">
        <v>1</v>
      </c>
    </row>
    <row r="754" spans="1:11" x14ac:dyDescent="0.35">
      <c r="A754" t="s">
        <v>15181</v>
      </c>
      <c r="B754" t="s">
        <v>13570</v>
      </c>
      <c r="C754">
        <v>911</v>
      </c>
      <c r="D754">
        <v>2</v>
      </c>
      <c r="E754">
        <v>0</v>
      </c>
      <c r="F754">
        <v>909</v>
      </c>
      <c r="G754">
        <v>0</v>
      </c>
      <c r="I754" t="s">
        <v>15181</v>
      </c>
      <c r="J754" t="s">
        <v>13570</v>
      </c>
      <c r="K754">
        <v>13</v>
      </c>
    </row>
    <row r="755" spans="1:11" x14ac:dyDescent="0.35">
      <c r="A755" t="s">
        <v>15182</v>
      </c>
      <c r="B755" t="s">
        <v>14190</v>
      </c>
      <c r="C755">
        <v>9</v>
      </c>
      <c r="D755">
        <v>0</v>
      </c>
      <c r="E755">
        <v>0</v>
      </c>
      <c r="F755">
        <v>9</v>
      </c>
      <c r="G755">
        <v>0</v>
      </c>
      <c r="I755" t="s">
        <v>15182</v>
      </c>
      <c r="J755" t="s">
        <v>14190</v>
      </c>
      <c r="K755">
        <v>1</v>
      </c>
    </row>
    <row r="756" spans="1:11" x14ac:dyDescent="0.35">
      <c r="A756" t="s">
        <v>15183</v>
      </c>
      <c r="B756" t="s">
        <v>13411</v>
      </c>
      <c r="C756">
        <v>33</v>
      </c>
      <c r="D756">
        <v>0</v>
      </c>
      <c r="E756">
        <v>0</v>
      </c>
      <c r="F756">
        <v>33</v>
      </c>
      <c r="G756">
        <v>0</v>
      </c>
      <c r="I756" t="s">
        <v>15183</v>
      </c>
      <c r="J756" t="s">
        <v>13411</v>
      </c>
      <c r="K756">
        <v>1</v>
      </c>
    </row>
    <row r="757" spans="1:11" x14ac:dyDescent="0.35">
      <c r="A757" t="s">
        <v>15184</v>
      </c>
      <c r="B757" t="s">
        <v>13061</v>
      </c>
      <c r="C757">
        <v>100</v>
      </c>
      <c r="D757">
        <v>0</v>
      </c>
      <c r="E757">
        <v>0</v>
      </c>
      <c r="F757">
        <v>100</v>
      </c>
      <c r="G757">
        <v>0</v>
      </c>
      <c r="I757" t="s">
        <v>15184</v>
      </c>
      <c r="J757" t="s">
        <v>13061</v>
      </c>
      <c r="K757">
        <v>10</v>
      </c>
    </row>
    <row r="758" spans="1:11" x14ac:dyDescent="0.35">
      <c r="A758" t="s">
        <v>15185</v>
      </c>
      <c r="B758" t="s">
        <v>13911</v>
      </c>
      <c r="C758">
        <v>171</v>
      </c>
      <c r="D758">
        <v>0</v>
      </c>
      <c r="E758">
        <v>0</v>
      </c>
      <c r="F758">
        <v>171</v>
      </c>
      <c r="G758">
        <v>0</v>
      </c>
      <c r="I758" t="s">
        <v>15185</v>
      </c>
      <c r="J758" t="s">
        <v>13911</v>
      </c>
      <c r="K758">
        <v>1</v>
      </c>
    </row>
    <row r="759" spans="1:11" x14ac:dyDescent="0.35">
      <c r="A759" t="s">
        <v>15186</v>
      </c>
      <c r="B759" t="s">
        <v>14113</v>
      </c>
      <c r="C759">
        <v>41</v>
      </c>
      <c r="D759">
        <v>10</v>
      </c>
      <c r="E759">
        <v>0</v>
      </c>
      <c r="F759">
        <v>31</v>
      </c>
      <c r="G759">
        <v>0</v>
      </c>
      <c r="I759" t="s">
        <v>15186</v>
      </c>
      <c r="J759" t="s">
        <v>14113</v>
      </c>
      <c r="K759">
        <v>1</v>
      </c>
    </row>
    <row r="760" spans="1:11" x14ac:dyDescent="0.35">
      <c r="A760" t="s">
        <v>15187</v>
      </c>
      <c r="B760" t="s">
        <v>14354</v>
      </c>
      <c r="C760">
        <v>18</v>
      </c>
      <c r="D760">
        <v>0</v>
      </c>
      <c r="E760">
        <v>0</v>
      </c>
      <c r="F760">
        <v>18</v>
      </c>
      <c r="G760">
        <v>0</v>
      </c>
      <c r="I760" t="s">
        <v>15187</v>
      </c>
      <c r="J760" t="s">
        <v>14354</v>
      </c>
      <c r="K760">
        <v>1</v>
      </c>
    </row>
    <row r="761" spans="1:11" x14ac:dyDescent="0.35">
      <c r="A761" t="s">
        <v>15188</v>
      </c>
      <c r="B761" t="s">
        <v>13642</v>
      </c>
      <c r="C761">
        <v>39</v>
      </c>
      <c r="D761">
        <v>0</v>
      </c>
      <c r="E761">
        <v>0</v>
      </c>
      <c r="F761">
        <v>39</v>
      </c>
      <c r="G761">
        <v>0</v>
      </c>
      <c r="I761" t="s">
        <v>15188</v>
      </c>
      <c r="J761" t="s">
        <v>13642</v>
      </c>
      <c r="K761">
        <v>2</v>
      </c>
    </row>
    <row r="762" spans="1:11" x14ac:dyDescent="0.35">
      <c r="A762" t="s">
        <v>15189</v>
      </c>
      <c r="B762" t="s">
        <v>14104</v>
      </c>
      <c r="C762">
        <v>11</v>
      </c>
      <c r="D762">
        <v>0</v>
      </c>
      <c r="E762">
        <v>0</v>
      </c>
      <c r="F762">
        <v>11</v>
      </c>
      <c r="G762">
        <v>0</v>
      </c>
      <c r="I762" t="s">
        <v>15189</v>
      </c>
      <c r="J762" t="s">
        <v>14104</v>
      </c>
      <c r="K762">
        <v>1</v>
      </c>
    </row>
    <row r="763" spans="1:11" x14ac:dyDescent="0.35">
      <c r="A763" t="s">
        <v>15190</v>
      </c>
      <c r="B763" t="s">
        <v>13906</v>
      </c>
      <c r="C763">
        <v>5</v>
      </c>
      <c r="D763">
        <v>0</v>
      </c>
      <c r="E763">
        <v>0</v>
      </c>
      <c r="F763">
        <v>5</v>
      </c>
      <c r="G763">
        <v>0</v>
      </c>
      <c r="I763" t="s">
        <v>15190</v>
      </c>
      <c r="J763" t="s">
        <v>13906</v>
      </c>
      <c r="K763">
        <v>1</v>
      </c>
    </row>
    <row r="764" spans="1:11" x14ac:dyDescent="0.35">
      <c r="A764" t="s">
        <v>15191</v>
      </c>
      <c r="B764" t="s">
        <v>13772</v>
      </c>
      <c r="C764">
        <v>11</v>
      </c>
      <c r="D764">
        <v>0</v>
      </c>
      <c r="E764">
        <v>0</v>
      </c>
      <c r="F764">
        <v>11</v>
      </c>
      <c r="G764">
        <v>0</v>
      </c>
      <c r="I764" t="s">
        <v>15191</v>
      </c>
      <c r="J764" t="s">
        <v>13772</v>
      </c>
      <c r="K764">
        <v>1</v>
      </c>
    </row>
    <row r="765" spans="1:11" x14ac:dyDescent="0.35">
      <c r="A765" t="s">
        <v>15192</v>
      </c>
      <c r="B765" t="s">
        <v>13726</v>
      </c>
      <c r="C765">
        <v>9</v>
      </c>
      <c r="D765">
        <v>0</v>
      </c>
      <c r="E765">
        <v>0</v>
      </c>
      <c r="F765">
        <v>9</v>
      </c>
      <c r="G765">
        <v>0</v>
      </c>
      <c r="I765" t="s">
        <v>15192</v>
      </c>
      <c r="J765" t="s">
        <v>13726</v>
      </c>
      <c r="K765">
        <v>1</v>
      </c>
    </row>
    <row r="766" spans="1:11" x14ac:dyDescent="0.35">
      <c r="A766" t="s">
        <v>15193</v>
      </c>
      <c r="B766" t="s">
        <v>14379</v>
      </c>
      <c r="C766">
        <v>12</v>
      </c>
      <c r="D766">
        <v>0</v>
      </c>
      <c r="E766">
        <v>0</v>
      </c>
      <c r="F766">
        <v>12</v>
      </c>
      <c r="G766">
        <v>0</v>
      </c>
      <c r="I766" t="s">
        <v>15193</v>
      </c>
      <c r="J766" t="s">
        <v>14379</v>
      </c>
      <c r="K766">
        <v>1</v>
      </c>
    </row>
    <row r="767" spans="1:11" x14ac:dyDescent="0.35">
      <c r="A767" t="s">
        <v>15194</v>
      </c>
      <c r="B767" t="s">
        <v>13390</v>
      </c>
      <c r="C767">
        <v>58</v>
      </c>
      <c r="D767">
        <v>0</v>
      </c>
      <c r="E767">
        <v>0</v>
      </c>
      <c r="F767">
        <v>58</v>
      </c>
      <c r="G767">
        <v>0</v>
      </c>
      <c r="I767" t="s">
        <v>15194</v>
      </c>
      <c r="J767" t="s">
        <v>13390</v>
      </c>
      <c r="K767">
        <v>3</v>
      </c>
    </row>
    <row r="768" spans="1:11" x14ac:dyDescent="0.35">
      <c r="A768" t="s">
        <v>15195</v>
      </c>
      <c r="B768" t="s">
        <v>13832</v>
      </c>
      <c r="C768">
        <v>272</v>
      </c>
      <c r="D768">
        <v>0</v>
      </c>
      <c r="E768">
        <v>0</v>
      </c>
      <c r="F768">
        <v>272</v>
      </c>
      <c r="G768">
        <v>0</v>
      </c>
      <c r="I768" t="s">
        <v>15195</v>
      </c>
      <c r="J768" t="s">
        <v>13832</v>
      </c>
      <c r="K768">
        <v>4</v>
      </c>
    </row>
    <row r="769" spans="1:11" x14ac:dyDescent="0.35">
      <c r="A769" t="s">
        <v>15196</v>
      </c>
      <c r="B769" t="s">
        <v>14179</v>
      </c>
      <c r="C769">
        <v>22</v>
      </c>
      <c r="D769">
        <v>0</v>
      </c>
      <c r="E769">
        <v>0</v>
      </c>
      <c r="F769">
        <v>22</v>
      </c>
      <c r="G769">
        <v>0</v>
      </c>
      <c r="I769" t="s">
        <v>15196</v>
      </c>
      <c r="J769" t="s">
        <v>14179</v>
      </c>
      <c r="K769">
        <v>1</v>
      </c>
    </row>
    <row r="770" spans="1:11" x14ac:dyDescent="0.35">
      <c r="A770" t="s">
        <v>15197</v>
      </c>
      <c r="B770" t="s">
        <v>14033</v>
      </c>
      <c r="C770">
        <v>9</v>
      </c>
      <c r="D770">
        <v>0</v>
      </c>
      <c r="E770">
        <v>0</v>
      </c>
      <c r="F770">
        <v>9</v>
      </c>
      <c r="G770">
        <v>0</v>
      </c>
      <c r="I770" t="s">
        <v>15197</v>
      </c>
      <c r="J770" t="s">
        <v>14033</v>
      </c>
      <c r="K770">
        <v>1</v>
      </c>
    </row>
    <row r="771" spans="1:11" x14ac:dyDescent="0.35">
      <c r="A771" t="s">
        <v>15198</v>
      </c>
      <c r="B771" t="s">
        <v>13660</v>
      </c>
      <c r="C771">
        <v>166</v>
      </c>
      <c r="D771">
        <v>0</v>
      </c>
      <c r="E771">
        <v>0</v>
      </c>
      <c r="F771">
        <v>166</v>
      </c>
      <c r="G771">
        <v>0</v>
      </c>
      <c r="I771" t="s">
        <v>15198</v>
      </c>
      <c r="J771" t="s">
        <v>13660</v>
      </c>
      <c r="K771">
        <v>3</v>
      </c>
    </row>
    <row r="772" spans="1:11" x14ac:dyDescent="0.35">
      <c r="A772" t="s">
        <v>15199</v>
      </c>
      <c r="B772" t="s">
        <v>13722</v>
      </c>
      <c r="C772">
        <v>15</v>
      </c>
      <c r="D772">
        <v>0</v>
      </c>
      <c r="E772">
        <v>0</v>
      </c>
      <c r="F772">
        <v>15</v>
      </c>
      <c r="G772">
        <v>0</v>
      </c>
      <c r="I772" t="s">
        <v>15199</v>
      </c>
      <c r="J772" t="s">
        <v>13722</v>
      </c>
      <c r="K772">
        <v>2</v>
      </c>
    </row>
    <row r="773" spans="1:11" x14ac:dyDescent="0.35">
      <c r="A773" t="s">
        <v>15200</v>
      </c>
      <c r="B773" t="s">
        <v>13539</v>
      </c>
      <c r="C773">
        <v>52</v>
      </c>
      <c r="D773">
        <v>0</v>
      </c>
      <c r="E773">
        <v>0</v>
      </c>
      <c r="F773">
        <v>52</v>
      </c>
      <c r="G773">
        <v>0</v>
      </c>
      <c r="I773" t="s">
        <v>15200</v>
      </c>
      <c r="J773" t="s">
        <v>13539</v>
      </c>
      <c r="K773">
        <v>4</v>
      </c>
    </row>
    <row r="774" spans="1:11" x14ac:dyDescent="0.35">
      <c r="A774" t="s">
        <v>15201</v>
      </c>
      <c r="B774" t="s">
        <v>14071</v>
      </c>
      <c r="C774">
        <v>20</v>
      </c>
      <c r="D774">
        <v>8</v>
      </c>
      <c r="E774">
        <v>0</v>
      </c>
      <c r="F774">
        <v>12</v>
      </c>
      <c r="G774">
        <v>0</v>
      </c>
      <c r="I774" t="s">
        <v>15201</v>
      </c>
      <c r="J774" t="s">
        <v>14071</v>
      </c>
      <c r="K774">
        <v>1</v>
      </c>
    </row>
    <row r="775" spans="1:11" x14ac:dyDescent="0.35">
      <c r="A775" t="s">
        <v>15202</v>
      </c>
      <c r="B775" t="s">
        <v>13862</v>
      </c>
      <c r="C775">
        <v>7</v>
      </c>
      <c r="D775">
        <v>0</v>
      </c>
      <c r="E775">
        <v>0</v>
      </c>
      <c r="F775">
        <v>7</v>
      </c>
      <c r="G775">
        <v>0</v>
      </c>
      <c r="I775" t="s">
        <v>15202</v>
      </c>
      <c r="J775" t="s">
        <v>13862</v>
      </c>
      <c r="K775">
        <v>1</v>
      </c>
    </row>
    <row r="776" spans="1:11" x14ac:dyDescent="0.35">
      <c r="A776" t="s">
        <v>15203</v>
      </c>
      <c r="B776" t="s">
        <v>13591</v>
      </c>
      <c r="C776">
        <v>12</v>
      </c>
      <c r="D776">
        <v>0</v>
      </c>
      <c r="E776">
        <v>0</v>
      </c>
      <c r="F776">
        <v>12</v>
      </c>
      <c r="G776">
        <v>0</v>
      </c>
      <c r="I776" t="s">
        <v>15203</v>
      </c>
      <c r="J776" t="s">
        <v>13591</v>
      </c>
      <c r="K776">
        <v>1</v>
      </c>
    </row>
    <row r="777" spans="1:11" x14ac:dyDescent="0.35">
      <c r="A777" t="s">
        <v>15204</v>
      </c>
      <c r="B777" t="s">
        <v>14383</v>
      </c>
      <c r="C777">
        <v>10</v>
      </c>
      <c r="D777">
        <v>0</v>
      </c>
      <c r="E777">
        <v>0</v>
      </c>
      <c r="F777">
        <v>10</v>
      </c>
      <c r="G777">
        <v>0</v>
      </c>
      <c r="I777" t="s">
        <v>15204</v>
      </c>
      <c r="J777" t="s">
        <v>14383</v>
      </c>
      <c r="K777">
        <v>1</v>
      </c>
    </row>
    <row r="778" spans="1:11" x14ac:dyDescent="0.35">
      <c r="A778" t="s">
        <v>15205</v>
      </c>
      <c r="B778" t="s">
        <v>13391</v>
      </c>
      <c r="C778">
        <v>22</v>
      </c>
      <c r="D778">
        <v>0</v>
      </c>
      <c r="E778">
        <v>0</v>
      </c>
      <c r="F778">
        <v>22</v>
      </c>
      <c r="G778">
        <v>0</v>
      </c>
      <c r="I778" t="s">
        <v>15205</v>
      </c>
      <c r="J778" t="s">
        <v>13391</v>
      </c>
      <c r="K778">
        <v>3</v>
      </c>
    </row>
    <row r="779" spans="1:11" x14ac:dyDescent="0.35">
      <c r="A779" t="s">
        <v>15206</v>
      </c>
      <c r="B779" t="s">
        <v>13617</v>
      </c>
      <c r="C779">
        <v>30</v>
      </c>
      <c r="D779">
        <v>0</v>
      </c>
      <c r="E779">
        <v>0</v>
      </c>
      <c r="F779">
        <v>30</v>
      </c>
      <c r="G779">
        <v>0</v>
      </c>
      <c r="I779" t="s">
        <v>15206</v>
      </c>
      <c r="J779" t="s">
        <v>13617</v>
      </c>
      <c r="K779">
        <v>1</v>
      </c>
    </row>
    <row r="780" spans="1:11" x14ac:dyDescent="0.35">
      <c r="A780" t="s">
        <v>15207</v>
      </c>
      <c r="B780" t="s">
        <v>13686</v>
      </c>
      <c r="C780">
        <v>66</v>
      </c>
      <c r="D780">
        <v>0</v>
      </c>
      <c r="E780">
        <v>0</v>
      </c>
      <c r="F780">
        <v>66</v>
      </c>
      <c r="G780">
        <v>0</v>
      </c>
      <c r="I780" t="s">
        <v>15207</v>
      </c>
      <c r="J780" t="s">
        <v>13686</v>
      </c>
      <c r="K780">
        <v>2</v>
      </c>
    </row>
    <row r="781" spans="1:11" x14ac:dyDescent="0.35">
      <c r="A781" t="s">
        <v>15208</v>
      </c>
      <c r="B781" t="s">
        <v>14225</v>
      </c>
      <c r="C781">
        <v>16</v>
      </c>
      <c r="D781">
        <v>0</v>
      </c>
      <c r="E781">
        <v>0</v>
      </c>
      <c r="F781">
        <v>16</v>
      </c>
      <c r="G781">
        <v>0</v>
      </c>
      <c r="I781" t="s">
        <v>15208</v>
      </c>
      <c r="J781" t="s">
        <v>14225</v>
      </c>
      <c r="K781">
        <v>1</v>
      </c>
    </row>
    <row r="782" spans="1:11" x14ac:dyDescent="0.35">
      <c r="A782" t="s">
        <v>15209</v>
      </c>
      <c r="B782" t="s">
        <v>13807</v>
      </c>
      <c r="C782">
        <v>9</v>
      </c>
      <c r="D782">
        <v>0</v>
      </c>
      <c r="E782">
        <v>0</v>
      </c>
      <c r="F782">
        <v>9</v>
      </c>
      <c r="G782">
        <v>0</v>
      </c>
      <c r="I782" t="s">
        <v>15209</v>
      </c>
      <c r="J782" t="s">
        <v>13807</v>
      </c>
      <c r="K782">
        <v>1</v>
      </c>
    </row>
    <row r="783" spans="1:11" x14ac:dyDescent="0.35">
      <c r="A783" t="s">
        <v>15210</v>
      </c>
      <c r="B783" t="s">
        <v>13504</v>
      </c>
      <c r="C783">
        <v>10</v>
      </c>
      <c r="D783">
        <v>0</v>
      </c>
      <c r="E783">
        <v>0</v>
      </c>
      <c r="F783">
        <v>10</v>
      </c>
      <c r="G783">
        <v>0</v>
      </c>
      <c r="I783" t="s">
        <v>15210</v>
      </c>
      <c r="J783" t="s">
        <v>13504</v>
      </c>
      <c r="K783">
        <v>1</v>
      </c>
    </row>
    <row r="784" spans="1:11" x14ac:dyDescent="0.35">
      <c r="A784" t="s">
        <v>15211</v>
      </c>
      <c r="B784" t="s">
        <v>13387</v>
      </c>
      <c r="C784">
        <v>46</v>
      </c>
      <c r="D784">
        <v>0</v>
      </c>
      <c r="E784">
        <v>0</v>
      </c>
      <c r="F784">
        <v>46</v>
      </c>
      <c r="G784">
        <v>0</v>
      </c>
      <c r="I784" t="s">
        <v>15211</v>
      </c>
      <c r="J784" t="s">
        <v>13387</v>
      </c>
      <c r="K784">
        <v>5</v>
      </c>
    </row>
    <row r="785" spans="1:11" x14ac:dyDescent="0.35">
      <c r="A785" t="s">
        <v>15212</v>
      </c>
      <c r="B785" t="s">
        <v>13356</v>
      </c>
      <c r="C785">
        <v>302</v>
      </c>
      <c r="D785">
        <v>0</v>
      </c>
      <c r="E785">
        <v>0</v>
      </c>
      <c r="F785">
        <v>302</v>
      </c>
      <c r="G785">
        <v>0</v>
      </c>
      <c r="I785" t="s">
        <v>15212</v>
      </c>
      <c r="J785" t="s">
        <v>13356</v>
      </c>
      <c r="K785">
        <v>1</v>
      </c>
    </row>
    <row r="786" spans="1:11" x14ac:dyDescent="0.35">
      <c r="A786" t="s">
        <v>15213</v>
      </c>
      <c r="B786" t="s">
        <v>14396</v>
      </c>
      <c r="C786">
        <v>12</v>
      </c>
      <c r="D786">
        <v>0</v>
      </c>
      <c r="E786">
        <v>0</v>
      </c>
      <c r="F786">
        <v>12</v>
      </c>
      <c r="G786">
        <v>0</v>
      </c>
      <c r="I786" t="s">
        <v>15213</v>
      </c>
      <c r="J786" t="s">
        <v>14396</v>
      </c>
      <c r="K786">
        <v>1</v>
      </c>
    </row>
    <row r="787" spans="1:11" x14ac:dyDescent="0.35">
      <c r="A787" t="s">
        <v>15214</v>
      </c>
      <c r="B787" t="s">
        <v>13200</v>
      </c>
      <c r="C787">
        <v>68</v>
      </c>
      <c r="D787">
        <v>0</v>
      </c>
      <c r="E787">
        <v>0</v>
      </c>
      <c r="F787">
        <v>68</v>
      </c>
      <c r="G787">
        <v>0</v>
      </c>
      <c r="I787" t="s">
        <v>15214</v>
      </c>
      <c r="J787" t="s">
        <v>13200</v>
      </c>
      <c r="K787">
        <v>3</v>
      </c>
    </row>
    <row r="788" spans="1:11" x14ac:dyDescent="0.35">
      <c r="A788" t="s">
        <v>15215</v>
      </c>
      <c r="B788" t="s">
        <v>13611</v>
      </c>
      <c r="C788">
        <v>8</v>
      </c>
      <c r="D788">
        <v>0</v>
      </c>
      <c r="E788">
        <v>0</v>
      </c>
      <c r="F788">
        <v>8</v>
      </c>
      <c r="G788">
        <v>0</v>
      </c>
      <c r="I788" t="s">
        <v>15215</v>
      </c>
      <c r="J788" t="s">
        <v>13611</v>
      </c>
      <c r="K788">
        <v>1</v>
      </c>
    </row>
    <row r="789" spans="1:11" x14ac:dyDescent="0.35">
      <c r="A789" t="s">
        <v>15216</v>
      </c>
      <c r="B789" t="s">
        <v>13715</v>
      </c>
      <c r="C789">
        <v>204</v>
      </c>
      <c r="D789">
        <v>0</v>
      </c>
      <c r="E789">
        <v>0</v>
      </c>
      <c r="F789">
        <v>204</v>
      </c>
      <c r="G789">
        <v>0</v>
      </c>
      <c r="I789" t="s">
        <v>15216</v>
      </c>
      <c r="J789" t="s">
        <v>13715</v>
      </c>
      <c r="K789">
        <v>3</v>
      </c>
    </row>
    <row r="790" spans="1:11" x14ac:dyDescent="0.35">
      <c r="A790" t="s">
        <v>15217</v>
      </c>
      <c r="B790" t="s">
        <v>14129</v>
      </c>
      <c r="C790">
        <v>10</v>
      </c>
      <c r="D790">
        <v>0</v>
      </c>
      <c r="E790">
        <v>0</v>
      </c>
      <c r="F790">
        <v>10</v>
      </c>
      <c r="G790">
        <v>0</v>
      </c>
      <c r="I790" t="s">
        <v>15217</v>
      </c>
      <c r="J790" t="s">
        <v>14129</v>
      </c>
      <c r="K790">
        <v>1</v>
      </c>
    </row>
    <row r="791" spans="1:11" x14ac:dyDescent="0.35">
      <c r="A791" t="s">
        <v>15218</v>
      </c>
      <c r="B791" t="s">
        <v>13528</v>
      </c>
      <c r="C791">
        <v>179</v>
      </c>
      <c r="D791">
        <v>0</v>
      </c>
      <c r="E791">
        <v>0</v>
      </c>
      <c r="F791">
        <v>179</v>
      </c>
      <c r="G791">
        <v>0</v>
      </c>
      <c r="I791" t="s">
        <v>15218</v>
      </c>
      <c r="J791" t="s">
        <v>13528</v>
      </c>
      <c r="K791">
        <v>4</v>
      </c>
    </row>
    <row r="792" spans="1:11" x14ac:dyDescent="0.35">
      <c r="A792" t="s">
        <v>15219</v>
      </c>
      <c r="B792" t="s">
        <v>13257</v>
      </c>
      <c r="C792">
        <v>613</v>
      </c>
      <c r="D792">
        <v>62</v>
      </c>
      <c r="E792">
        <v>124</v>
      </c>
      <c r="F792">
        <v>427</v>
      </c>
      <c r="G792">
        <v>0</v>
      </c>
      <c r="I792" t="s">
        <v>15219</v>
      </c>
      <c r="J792" t="s">
        <v>13257</v>
      </c>
      <c r="K792">
        <v>7</v>
      </c>
    </row>
    <row r="793" spans="1:11" x14ac:dyDescent="0.35">
      <c r="A793" t="s">
        <v>15220</v>
      </c>
      <c r="B793" t="s">
        <v>13496</v>
      </c>
      <c r="C793">
        <v>77</v>
      </c>
      <c r="D793">
        <v>0</v>
      </c>
      <c r="E793">
        <v>0</v>
      </c>
      <c r="F793">
        <v>77</v>
      </c>
      <c r="G793">
        <v>0</v>
      </c>
      <c r="I793" t="s">
        <v>15220</v>
      </c>
      <c r="J793" t="s">
        <v>13496</v>
      </c>
      <c r="K793">
        <v>1</v>
      </c>
    </row>
    <row r="794" spans="1:11" x14ac:dyDescent="0.35">
      <c r="A794" t="s">
        <v>15221</v>
      </c>
      <c r="B794" t="s">
        <v>13044</v>
      </c>
      <c r="C794">
        <v>205</v>
      </c>
      <c r="D794">
        <v>0</v>
      </c>
      <c r="E794">
        <v>0</v>
      </c>
      <c r="F794">
        <v>205</v>
      </c>
      <c r="G794">
        <v>0</v>
      </c>
      <c r="I794" t="s">
        <v>15221</v>
      </c>
      <c r="J794" t="s">
        <v>13044</v>
      </c>
      <c r="K794">
        <v>2</v>
      </c>
    </row>
    <row r="795" spans="1:11" x14ac:dyDescent="0.35">
      <c r="A795" t="s">
        <v>15222</v>
      </c>
      <c r="B795" t="s">
        <v>13743</v>
      </c>
      <c r="C795">
        <v>396</v>
      </c>
      <c r="D795">
        <v>0</v>
      </c>
      <c r="E795">
        <v>8</v>
      </c>
      <c r="F795">
        <v>388</v>
      </c>
      <c r="G795">
        <v>0</v>
      </c>
      <c r="I795" t="s">
        <v>15222</v>
      </c>
      <c r="J795" t="s">
        <v>13743</v>
      </c>
      <c r="K795">
        <v>3</v>
      </c>
    </row>
    <row r="796" spans="1:11" x14ac:dyDescent="0.35">
      <c r="A796" t="s">
        <v>15223</v>
      </c>
      <c r="B796" t="s">
        <v>13796</v>
      </c>
      <c r="C796">
        <v>36</v>
      </c>
      <c r="D796">
        <v>0</v>
      </c>
      <c r="E796">
        <v>0</v>
      </c>
      <c r="F796">
        <v>36</v>
      </c>
      <c r="G796">
        <v>0</v>
      </c>
      <c r="I796" t="s">
        <v>15223</v>
      </c>
      <c r="J796" t="s">
        <v>13796</v>
      </c>
      <c r="K796">
        <v>1</v>
      </c>
    </row>
    <row r="797" spans="1:11" x14ac:dyDescent="0.35">
      <c r="A797" t="s">
        <v>15224</v>
      </c>
      <c r="B797" t="s">
        <v>14173</v>
      </c>
      <c r="C797">
        <v>11</v>
      </c>
      <c r="D797">
        <v>0</v>
      </c>
      <c r="E797">
        <v>0</v>
      </c>
      <c r="F797">
        <v>11</v>
      </c>
      <c r="G797">
        <v>0</v>
      </c>
      <c r="I797" t="s">
        <v>15224</v>
      </c>
      <c r="J797" t="s">
        <v>14173</v>
      </c>
      <c r="K797">
        <v>1</v>
      </c>
    </row>
    <row r="798" spans="1:11" x14ac:dyDescent="0.35">
      <c r="A798" t="s">
        <v>15225</v>
      </c>
      <c r="B798" t="s">
        <v>13416</v>
      </c>
      <c r="C798">
        <v>321</v>
      </c>
      <c r="D798">
        <v>0</v>
      </c>
      <c r="E798">
        <v>0</v>
      </c>
      <c r="F798">
        <v>321</v>
      </c>
      <c r="G798">
        <v>0</v>
      </c>
      <c r="I798" t="s">
        <v>15225</v>
      </c>
      <c r="J798" t="s">
        <v>13416</v>
      </c>
      <c r="K798">
        <v>4</v>
      </c>
    </row>
    <row r="799" spans="1:11" x14ac:dyDescent="0.35">
      <c r="A799" t="s">
        <v>15226</v>
      </c>
      <c r="B799" t="s">
        <v>13183</v>
      </c>
      <c r="C799">
        <v>328</v>
      </c>
      <c r="D799">
        <v>0</v>
      </c>
      <c r="E799">
        <v>0</v>
      </c>
      <c r="F799">
        <v>328</v>
      </c>
      <c r="G799">
        <v>0</v>
      </c>
      <c r="I799" t="s">
        <v>15226</v>
      </c>
      <c r="J799" t="s">
        <v>13183</v>
      </c>
      <c r="K799">
        <v>4</v>
      </c>
    </row>
    <row r="800" spans="1:11" x14ac:dyDescent="0.35">
      <c r="A800" t="s">
        <v>15227</v>
      </c>
      <c r="B800" t="s">
        <v>13302</v>
      </c>
      <c r="C800">
        <v>114</v>
      </c>
      <c r="D800">
        <v>0</v>
      </c>
      <c r="E800">
        <v>0</v>
      </c>
      <c r="F800">
        <v>114</v>
      </c>
      <c r="G800">
        <v>0</v>
      </c>
      <c r="I800" t="s">
        <v>15227</v>
      </c>
      <c r="J800" t="s">
        <v>13302</v>
      </c>
      <c r="K800">
        <v>1</v>
      </c>
    </row>
    <row r="801" spans="1:11" x14ac:dyDescent="0.35">
      <c r="A801" t="s">
        <v>15228</v>
      </c>
      <c r="B801" t="s">
        <v>13473</v>
      </c>
      <c r="C801">
        <v>220</v>
      </c>
      <c r="D801">
        <v>31</v>
      </c>
      <c r="E801">
        <v>0</v>
      </c>
      <c r="F801">
        <v>189</v>
      </c>
      <c r="G801">
        <v>0</v>
      </c>
      <c r="I801" t="s">
        <v>15228</v>
      </c>
      <c r="J801" t="s">
        <v>13473</v>
      </c>
      <c r="K801">
        <v>2</v>
      </c>
    </row>
    <row r="802" spans="1:11" x14ac:dyDescent="0.35">
      <c r="A802" t="s">
        <v>15229</v>
      </c>
      <c r="B802" t="s">
        <v>13256</v>
      </c>
      <c r="C802">
        <v>123</v>
      </c>
      <c r="D802">
        <v>0</v>
      </c>
      <c r="E802">
        <v>0</v>
      </c>
      <c r="F802">
        <v>123</v>
      </c>
      <c r="G802">
        <v>0</v>
      </c>
      <c r="I802" t="s">
        <v>15229</v>
      </c>
      <c r="J802" t="s">
        <v>13256</v>
      </c>
      <c r="K802">
        <v>1</v>
      </c>
    </row>
    <row r="803" spans="1:11" x14ac:dyDescent="0.35">
      <c r="A803" t="s">
        <v>15230</v>
      </c>
      <c r="B803" t="s">
        <v>13823</v>
      </c>
      <c r="C803">
        <v>73</v>
      </c>
      <c r="D803">
        <v>0</v>
      </c>
      <c r="E803">
        <v>0</v>
      </c>
      <c r="F803">
        <v>73</v>
      </c>
      <c r="G803">
        <v>0</v>
      </c>
      <c r="I803" t="s">
        <v>15230</v>
      </c>
      <c r="J803" t="s">
        <v>13823</v>
      </c>
      <c r="K803">
        <v>1</v>
      </c>
    </row>
    <row r="804" spans="1:11" x14ac:dyDescent="0.35">
      <c r="A804" t="s">
        <v>15231</v>
      </c>
      <c r="B804" t="s">
        <v>14020</v>
      </c>
      <c r="C804">
        <v>192</v>
      </c>
      <c r="D804">
        <v>0</v>
      </c>
      <c r="E804">
        <v>0</v>
      </c>
      <c r="F804">
        <v>192</v>
      </c>
      <c r="G804">
        <v>0</v>
      </c>
      <c r="I804" t="s">
        <v>15231</v>
      </c>
      <c r="J804" t="s">
        <v>14020</v>
      </c>
      <c r="K804">
        <v>3</v>
      </c>
    </row>
    <row r="805" spans="1:11" x14ac:dyDescent="0.35">
      <c r="A805" t="s">
        <v>15232</v>
      </c>
      <c r="B805" t="s">
        <v>13576</v>
      </c>
      <c r="C805">
        <v>434</v>
      </c>
      <c r="D805">
        <v>0</v>
      </c>
      <c r="E805">
        <v>0</v>
      </c>
      <c r="F805">
        <v>434</v>
      </c>
      <c r="G805">
        <v>0</v>
      </c>
      <c r="I805" t="s">
        <v>15232</v>
      </c>
      <c r="J805" t="s">
        <v>13576</v>
      </c>
      <c r="K805">
        <v>3</v>
      </c>
    </row>
    <row r="806" spans="1:11" x14ac:dyDescent="0.35">
      <c r="A806" t="s">
        <v>15233</v>
      </c>
      <c r="B806" t="s">
        <v>13131</v>
      </c>
      <c r="C806">
        <v>733</v>
      </c>
      <c r="D806">
        <v>0</v>
      </c>
      <c r="E806">
        <v>0</v>
      </c>
      <c r="F806">
        <v>733</v>
      </c>
      <c r="G806">
        <v>0</v>
      </c>
      <c r="I806" t="s">
        <v>15233</v>
      </c>
      <c r="J806" t="s">
        <v>13131</v>
      </c>
      <c r="K806">
        <v>11</v>
      </c>
    </row>
    <row r="807" spans="1:11" x14ac:dyDescent="0.35">
      <c r="A807" t="s">
        <v>15234</v>
      </c>
      <c r="B807" t="s">
        <v>14246</v>
      </c>
      <c r="C807">
        <v>209</v>
      </c>
      <c r="D807">
        <v>92</v>
      </c>
      <c r="E807">
        <v>0</v>
      </c>
      <c r="F807">
        <v>117</v>
      </c>
      <c r="G807">
        <v>0</v>
      </c>
      <c r="I807" t="s">
        <v>15234</v>
      </c>
      <c r="J807" t="s">
        <v>14246</v>
      </c>
      <c r="K807">
        <v>1</v>
      </c>
    </row>
    <row r="808" spans="1:11" x14ac:dyDescent="0.35">
      <c r="A808" t="s">
        <v>15235</v>
      </c>
      <c r="B808" t="s">
        <v>13102</v>
      </c>
      <c r="C808">
        <v>7320</v>
      </c>
      <c r="D808">
        <v>5208</v>
      </c>
      <c r="E808">
        <v>268</v>
      </c>
      <c r="F808">
        <v>579</v>
      </c>
      <c r="G808">
        <v>1265</v>
      </c>
      <c r="I808" t="s">
        <v>15235</v>
      </c>
      <c r="J808" t="s">
        <v>13102</v>
      </c>
      <c r="K808">
        <v>11</v>
      </c>
    </row>
    <row r="809" spans="1:11" x14ac:dyDescent="0.35">
      <c r="A809" t="s">
        <v>15236</v>
      </c>
      <c r="B809" t="s">
        <v>13360</v>
      </c>
      <c r="C809">
        <v>44</v>
      </c>
      <c r="D809">
        <v>0</v>
      </c>
      <c r="E809">
        <v>0</v>
      </c>
      <c r="F809">
        <v>44</v>
      </c>
      <c r="G809">
        <v>0</v>
      </c>
      <c r="I809" t="s">
        <v>15236</v>
      </c>
      <c r="J809" t="s">
        <v>13360</v>
      </c>
      <c r="K809">
        <v>1</v>
      </c>
    </row>
    <row r="810" spans="1:11" x14ac:dyDescent="0.35">
      <c r="A810" t="s">
        <v>15237</v>
      </c>
      <c r="B810" t="s">
        <v>13050</v>
      </c>
      <c r="C810">
        <v>5146</v>
      </c>
      <c r="D810">
        <v>4265</v>
      </c>
      <c r="E810">
        <v>0</v>
      </c>
      <c r="F810">
        <v>0</v>
      </c>
      <c r="G810">
        <v>881</v>
      </c>
      <c r="I810" t="s">
        <v>15237</v>
      </c>
      <c r="J810" t="s">
        <v>13050</v>
      </c>
      <c r="K810">
        <v>63</v>
      </c>
    </row>
    <row r="811" spans="1:11" x14ac:dyDescent="0.35">
      <c r="A811" t="s">
        <v>15238</v>
      </c>
      <c r="B811" t="s">
        <v>14244</v>
      </c>
      <c r="C811">
        <v>604</v>
      </c>
      <c r="D811">
        <v>604</v>
      </c>
      <c r="E811">
        <v>0</v>
      </c>
      <c r="F811">
        <v>0</v>
      </c>
      <c r="G811">
        <v>0</v>
      </c>
      <c r="I811" t="s">
        <v>15238</v>
      </c>
      <c r="J811" t="s">
        <v>14244</v>
      </c>
      <c r="K811">
        <v>1</v>
      </c>
    </row>
    <row r="812" spans="1:11" x14ac:dyDescent="0.35">
      <c r="A812" t="s">
        <v>15239</v>
      </c>
      <c r="B812" t="s">
        <v>13330</v>
      </c>
      <c r="C812">
        <v>5605</v>
      </c>
      <c r="D812">
        <v>4513</v>
      </c>
      <c r="E812">
        <v>4</v>
      </c>
      <c r="F812">
        <v>731</v>
      </c>
      <c r="G812">
        <v>357</v>
      </c>
      <c r="I812" t="s">
        <v>15239</v>
      </c>
      <c r="J812" t="s">
        <v>13330</v>
      </c>
      <c r="K812">
        <v>10</v>
      </c>
    </row>
    <row r="813" spans="1:11" x14ac:dyDescent="0.35">
      <c r="A813" t="s">
        <v>15240</v>
      </c>
      <c r="B813" t="s">
        <v>13089</v>
      </c>
      <c r="C813">
        <v>3980</v>
      </c>
      <c r="D813">
        <v>2984</v>
      </c>
      <c r="E813">
        <v>0</v>
      </c>
      <c r="F813">
        <v>808</v>
      </c>
      <c r="G813">
        <v>188</v>
      </c>
      <c r="I813" t="s">
        <v>15240</v>
      </c>
      <c r="J813" t="s">
        <v>13089</v>
      </c>
      <c r="K813">
        <v>12</v>
      </c>
    </row>
    <row r="814" spans="1:11" x14ac:dyDescent="0.35">
      <c r="A814" t="s">
        <v>15241</v>
      </c>
      <c r="B814" t="s">
        <v>13684</v>
      </c>
      <c r="C814">
        <v>91</v>
      </c>
      <c r="D814">
        <v>0</v>
      </c>
      <c r="E814">
        <v>0</v>
      </c>
      <c r="F814">
        <v>91</v>
      </c>
      <c r="G814">
        <v>0</v>
      </c>
      <c r="I814" t="s">
        <v>15241</v>
      </c>
      <c r="J814" t="s">
        <v>13684</v>
      </c>
      <c r="K814">
        <v>1</v>
      </c>
    </row>
    <row r="815" spans="1:11" x14ac:dyDescent="0.35">
      <c r="A815" t="s">
        <v>15242</v>
      </c>
      <c r="B815" t="s">
        <v>13568</v>
      </c>
      <c r="C815">
        <v>1559</v>
      </c>
      <c r="D815">
        <v>1036</v>
      </c>
      <c r="E815">
        <v>0</v>
      </c>
      <c r="F815">
        <v>336</v>
      </c>
      <c r="G815">
        <v>187</v>
      </c>
      <c r="I815" t="s">
        <v>15242</v>
      </c>
      <c r="J815" t="s">
        <v>13568</v>
      </c>
      <c r="K815">
        <v>15</v>
      </c>
    </row>
    <row r="816" spans="1:11" x14ac:dyDescent="0.35">
      <c r="A816" t="s">
        <v>15243</v>
      </c>
      <c r="B816" t="s">
        <v>13382</v>
      </c>
      <c r="C816">
        <v>49</v>
      </c>
      <c r="D816">
        <v>49</v>
      </c>
      <c r="E816">
        <v>0</v>
      </c>
      <c r="F816">
        <v>0</v>
      </c>
      <c r="G816">
        <v>0</v>
      </c>
      <c r="I816" t="s">
        <v>15243</v>
      </c>
      <c r="J816" t="s">
        <v>13382</v>
      </c>
      <c r="K816">
        <v>1</v>
      </c>
    </row>
    <row r="817" spans="1:11" x14ac:dyDescent="0.35">
      <c r="A817" t="s">
        <v>15244</v>
      </c>
      <c r="B817" t="s">
        <v>14393</v>
      </c>
      <c r="C817">
        <v>42</v>
      </c>
      <c r="D817">
        <v>0</v>
      </c>
      <c r="E817">
        <v>0</v>
      </c>
      <c r="F817">
        <v>42</v>
      </c>
      <c r="G817">
        <v>0</v>
      </c>
      <c r="I817" t="s">
        <v>15244</v>
      </c>
      <c r="J817" t="s">
        <v>14393</v>
      </c>
      <c r="K817">
        <v>1</v>
      </c>
    </row>
    <row r="818" spans="1:11" x14ac:dyDescent="0.35">
      <c r="A818" t="s">
        <v>15245</v>
      </c>
      <c r="B818" t="s">
        <v>13003</v>
      </c>
      <c r="C818">
        <v>21697</v>
      </c>
      <c r="D818">
        <v>27</v>
      </c>
      <c r="E818">
        <v>0</v>
      </c>
      <c r="F818">
        <v>20076</v>
      </c>
      <c r="G818">
        <v>1594</v>
      </c>
      <c r="I818" t="s">
        <v>15245</v>
      </c>
      <c r="J818" t="s">
        <v>13003</v>
      </c>
      <c r="K818">
        <v>211</v>
      </c>
    </row>
    <row r="819" spans="1:11" x14ac:dyDescent="0.35">
      <c r="A819" t="s">
        <v>15246</v>
      </c>
      <c r="B819" t="s">
        <v>13290</v>
      </c>
      <c r="C819">
        <v>7378</v>
      </c>
      <c r="D819">
        <v>6453</v>
      </c>
      <c r="E819">
        <v>0</v>
      </c>
      <c r="F819">
        <v>733</v>
      </c>
      <c r="G819">
        <v>192</v>
      </c>
      <c r="I819" t="s">
        <v>15246</v>
      </c>
      <c r="J819" t="s">
        <v>13290</v>
      </c>
      <c r="K819">
        <v>10</v>
      </c>
    </row>
    <row r="820" spans="1:11" x14ac:dyDescent="0.35">
      <c r="A820" t="s">
        <v>15247</v>
      </c>
      <c r="B820" t="s">
        <v>13935</v>
      </c>
      <c r="C820">
        <v>206</v>
      </c>
      <c r="D820">
        <v>40</v>
      </c>
      <c r="E820">
        <v>0</v>
      </c>
      <c r="F820">
        <v>166</v>
      </c>
      <c r="G820">
        <v>0</v>
      </c>
      <c r="I820" t="s">
        <v>15247</v>
      </c>
      <c r="J820" t="s">
        <v>13935</v>
      </c>
      <c r="K820">
        <v>1</v>
      </c>
    </row>
    <row r="821" spans="1:11" x14ac:dyDescent="0.35">
      <c r="A821" t="s">
        <v>15248</v>
      </c>
      <c r="B821" t="s">
        <v>14004</v>
      </c>
      <c r="C821">
        <v>15</v>
      </c>
      <c r="D821">
        <v>3</v>
      </c>
      <c r="E821">
        <v>0</v>
      </c>
      <c r="F821">
        <v>12</v>
      </c>
      <c r="G821">
        <v>0</v>
      </c>
      <c r="I821" t="s">
        <v>15248</v>
      </c>
      <c r="J821" t="s">
        <v>14004</v>
      </c>
      <c r="K821">
        <v>1</v>
      </c>
    </row>
    <row r="822" spans="1:11" x14ac:dyDescent="0.35">
      <c r="A822" t="s">
        <v>15249</v>
      </c>
      <c r="B822" t="s">
        <v>13152</v>
      </c>
      <c r="C822">
        <v>4945</v>
      </c>
      <c r="D822">
        <v>3534</v>
      </c>
      <c r="E822">
        <v>0</v>
      </c>
      <c r="F822">
        <v>1138</v>
      </c>
      <c r="G822">
        <v>273</v>
      </c>
      <c r="I822" t="s">
        <v>15249</v>
      </c>
      <c r="J822" t="s">
        <v>13152</v>
      </c>
      <c r="K822">
        <v>13</v>
      </c>
    </row>
    <row r="823" spans="1:11" x14ac:dyDescent="0.35">
      <c r="A823" t="s">
        <v>15250</v>
      </c>
      <c r="B823" t="s">
        <v>14120</v>
      </c>
      <c r="C823">
        <v>124</v>
      </c>
      <c r="D823">
        <v>124</v>
      </c>
      <c r="E823">
        <v>0</v>
      </c>
      <c r="F823">
        <v>0</v>
      </c>
      <c r="G823">
        <v>0</v>
      </c>
      <c r="I823" t="s">
        <v>15250</v>
      </c>
      <c r="J823" t="s">
        <v>14120</v>
      </c>
      <c r="K823">
        <v>1</v>
      </c>
    </row>
    <row r="824" spans="1:11" x14ac:dyDescent="0.35">
      <c r="A824" t="s">
        <v>15251</v>
      </c>
      <c r="B824" t="s">
        <v>13690</v>
      </c>
      <c r="C824">
        <v>191</v>
      </c>
      <c r="D824">
        <v>0</v>
      </c>
      <c r="E824">
        <v>0</v>
      </c>
      <c r="F824">
        <v>191</v>
      </c>
      <c r="G824">
        <v>0</v>
      </c>
      <c r="I824" t="s">
        <v>15251</v>
      </c>
      <c r="J824" t="s">
        <v>13690</v>
      </c>
      <c r="K824">
        <v>3</v>
      </c>
    </row>
    <row r="825" spans="1:11" x14ac:dyDescent="0.35">
      <c r="A825" t="s">
        <v>15252</v>
      </c>
      <c r="B825" t="s">
        <v>13637</v>
      </c>
      <c r="C825">
        <v>38</v>
      </c>
      <c r="D825">
        <v>38</v>
      </c>
      <c r="E825">
        <v>0</v>
      </c>
      <c r="F825">
        <v>0</v>
      </c>
      <c r="G825">
        <v>0</v>
      </c>
      <c r="I825" t="s">
        <v>15252</v>
      </c>
      <c r="J825" t="s">
        <v>13637</v>
      </c>
      <c r="K825">
        <v>1</v>
      </c>
    </row>
    <row r="826" spans="1:11" x14ac:dyDescent="0.35">
      <c r="A826" t="s">
        <v>15253</v>
      </c>
      <c r="B826" t="s">
        <v>13644</v>
      </c>
      <c r="C826">
        <v>1411</v>
      </c>
      <c r="D826">
        <v>1351</v>
      </c>
      <c r="E826">
        <v>0</v>
      </c>
      <c r="F826">
        <v>0</v>
      </c>
      <c r="G826">
        <v>60</v>
      </c>
      <c r="I826" t="s">
        <v>15253</v>
      </c>
      <c r="J826" t="s">
        <v>13644</v>
      </c>
      <c r="K826">
        <v>5</v>
      </c>
    </row>
    <row r="827" spans="1:11" x14ac:dyDescent="0.35">
      <c r="A827" t="s">
        <v>15254</v>
      </c>
      <c r="B827" t="s">
        <v>13672</v>
      </c>
      <c r="C827">
        <v>15</v>
      </c>
      <c r="D827">
        <v>0</v>
      </c>
      <c r="E827">
        <v>0</v>
      </c>
      <c r="F827">
        <v>15</v>
      </c>
      <c r="G827">
        <v>0</v>
      </c>
      <c r="I827" t="s">
        <v>15254</v>
      </c>
      <c r="J827" t="s">
        <v>13672</v>
      </c>
      <c r="K827">
        <v>1</v>
      </c>
    </row>
    <row r="828" spans="1:11" x14ac:dyDescent="0.35">
      <c r="A828" t="s">
        <v>15255</v>
      </c>
      <c r="B828" t="s">
        <v>13512</v>
      </c>
      <c r="C828">
        <v>307</v>
      </c>
      <c r="D828">
        <v>287</v>
      </c>
      <c r="E828">
        <v>0</v>
      </c>
      <c r="F828">
        <v>20</v>
      </c>
      <c r="G828">
        <v>0</v>
      </c>
      <c r="I828" t="s">
        <v>15255</v>
      </c>
      <c r="J828" t="s">
        <v>13512</v>
      </c>
      <c r="K828">
        <v>3</v>
      </c>
    </row>
    <row r="829" spans="1:11" x14ac:dyDescent="0.35">
      <c r="A829" t="s">
        <v>15256</v>
      </c>
      <c r="B829" t="s">
        <v>13009</v>
      </c>
      <c r="C829">
        <v>70282</v>
      </c>
      <c r="D829">
        <v>50863</v>
      </c>
      <c r="E829">
        <v>513</v>
      </c>
      <c r="F829">
        <v>15812</v>
      </c>
      <c r="G829">
        <v>3094</v>
      </c>
      <c r="I829" t="s">
        <v>15256</v>
      </c>
      <c r="J829" t="s">
        <v>13009</v>
      </c>
      <c r="K829">
        <v>220</v>
      </c>
    </row>
    <row r="830" spans="1:11" x14ac:dyDescent="0.35">
      <c r="A830" t="s">
        <v>15257</v>
      </c>
      <c r="B830" t="s">
        <v>13587</v>
      </c>
      <c r="C830">
        <v>638</v>
      </c>
      <c r="D830">
        <v>638</v>
      </c>
      <c r="E830">
        <v>0</v>
      </c>
      <c r="F830">
        <v>0</v>
      </c>
      <c r="G830">
        <v>0</v>
      </c>
      <c r="I830" t="s">
        <v>15257</v>
      </c>
      <c r="J830" t="s">
        <v>13587</v>
      </c>
      <c r="K830">
        <v>1</v>
      </c>
    </row>
    <row r="831" spans="1:11" x14ac:dyDescent="0.35">
      <c r="A831" t="s">
        <v>15258</v>
      </c>
      <c r="B831" t="s">
        <v>13141</v>
      </c>
      <c r="C831">
        <v>1482</v>
      </c>
      <c r="D831">
        <v>1218</v>
      </c>
      <c r="E831">
        <v>0</v>
      </c>
      <c r="F831">
        <v>196</v>
      </c>
      <c r="G831">
        <v>68</v>
      </c>
      <c r="I831" t="s">
        <v>15258</v>
      </c>
      <c r="J831" t="s">
        <v>13141</v>
      </c>
      <c r="K831">
        <v>9</v>
      </c>
    </row>
    <row r="832" spans="1:11" x14ac:dyDescent="0.35">
      <c r="A832" t="s">
        <v>15259</v>
      </c>
      <c r="B832" t="s">
        <v>13062</v>
      </c>
      <c r="C832">
        <v>6777</v>
      </c>
      <c r="D832">
        <v>5790</v>
      </c>
      <c r="E832">
        <v>5</v>
      </c>
      <c r="F832">
        <v>211</v>
      </c>
      <c r="G832">
        <v>771</v>
      </c>
      <c r="I832" t="s">
        <v>15259</v>
      </c>
      <c r="J832" t="s">
        <v>13062</v>
      </c>
      <c r="K832">
        <v>13</v>
      </c>
    </row>
    <row r="833" spans="1:11" x14ac:dyDescent="0.35">
      <c r="A833" t="s">
        <v>15260</v>
      </c>
      <c r="B833" t="s">
        <v>14337</v>
      </c>
      <c r="C833">
        <v>18</v>
      </c>
      <c r="D833">
        <v>18</v>
      </c>
      <c r="E833">
        <v>0</v>
      </c>
      <c r="F833">
        <v>0</v>
      </c>
      <c r="G833">
        <v>0</v>
      </c>
      <c r="I833" t="s">
        <v>15260</v>
      </c>
      <c r="J833" t="s">
        <v>14337</v>
      </c>
      <c r="K833">
        <v>1</v>
      </c>
    </row>
    <row r="834" spans="1:11" x14ac:dyDescent="0.35">
      <c r="A834" t="s">
        <v>15261</v>
      </c>
      <c r="B834" t="s">
        <v>13717</v>
      </c>
      <c r="C834">
        <v>17</v>
      </c>
      <c r="D834">
        <v>17</v>
      </c>
      <c r="E834">
        <v>0</v>
      </c>
      <c r="F834">
        <v>0</v>
      </c>
      <c r="G834">
        <v>0</v>
      </c>
      <c r="I834" t="s">
        <v>15261</v>
      </c>
      <c r="J834" t="s">
        <v>13717</v>
      </c>
      <c r="K834">
        <v>1</v>
      </c>
    </row>
    <row r="835" spans="1:11" x14ac:dyDescent="0.35">
      <c r="A835" t="s">
        <v>15262</v>
      </c>
      <c r="B835" t="s">
        <v>13007</v>
      </c>
      <c r="C835">
        <v>19550</v>
      </c>
      <c r="D835">
        <v>11925</v>
      </c>
      <c r="E835">
        <v>0</v>
      </c>
      <c r="F835">
        <v>1767</v>
      </c>
      <c r="G835">
        <v>5858</v>
      </c>
      <c r="I835" t="s">
        <v>15262</v>
      </c>
      <c r="J835" t="s">
        <v>13007</v>
      </c>
      <c r="K835">
        <v>91</v>
      </c>
    </row>
    <row r="836" spans="1:11" x14ac:dyDescent="0.35">
      <c r="A836" t="s">
        <v>15263</v>
      </c>
      <c r="B836" t="s">
        <v>14347</v>
      </c>
      <c r="C836">
        <v>17</v>
      </c>
      <c r="D836">
        <v>0</v>
      </c>
      <c r="E836">
        <v>0</v>
      </c>
      <c r="F836">
        <v>17</v>
      </c>
      <c r="G836">
        <v>0</v>
      </c>
      <c r="I836" t="s">
        <v>15263</v>
      </c>
      <c r="J836" t="s">
        <v>14347</v>
      </c>
      <c r="K836">
        <v>1</v>
      </c>
    </row>
    <row r="837" spans="1:11" x14ac:dyDescent="0.35">
      <c r="A837" t="s">
        <v>15264</v>
      </c>
      <c r="B837" t="s">
        <v>13283</v>
      </c>
      <c r="C837">
        <v>51</v>
      </c>
      <c r="D837">
        <v>51</v>
      </c>
      <c r="E837">
        <v>0</v>
      </c>
      <c r="F837">
        <v>0</v>
      </c>
      <c r="G837">
        <v>0</v>
      </c>
      <c r="I837" t="s">
        <v>15264</v>
      </c>
      <c r="J837" t="s">
        <v>13283</v>
      </c>
      <c r="K837">
        <v>1</v>
      </c>
    </row>
    <row r="838" spans="1:11" x14ac:dyDescent="0.35">
      <c r="A838" t="s">
        <v>15265</v>
      </c>
      <c r="B838" t="s">
        <v>13651</v>
      </c>
      <c r="C838">
        <v>363</v>
      </c>
      <c r="D838">
        <v>242</v>
      </c>
      <c r="E838">
        <v>0</v>
      </c>
      <c r="F838">
        <v>121</v>
      </c>
      <c r="G838">
        <v>0</v>
      </c>
      <c r="I838" t="s">
        <v>15265</v>
      </c>
      <c r="J838" t="s">
        <v>13651</v>
      </c>
      <c r="K838">
        <v>6</v>
      </c>
    </row>
    <row r="839" spans="1:11" x14ac:dyDescent="0.35">
      <c r="A839" t="s">
        <v>15266</v>
      </c>
      <c r="B839" t="s">
        <v>13878</v>
      </c>
      <c r="C839">
        <v>474</v>
      </c>
      <c r="D839">
        <v>229</v>
      </c>
      <c r="E839">
        <v>0</v>
      </c>
      <c r="F839">
        <v>245</v>
      </c>
      <c r="G839">
        <v>0</v>
      </c>
      <c r="I839" t="s">
        <v>15266</v>
      </c>
      <c r="J839" t="s">
        <v>13878</v>
      </c>
      <c r="K839">
        <v>1</v>
      </c>
    </row>
    <row r="840" spans="1:11" x14ac:dyDescent="0.35">
      <c r="A840" t="s">
        <v>15267</v>
      </c>
      <c r="B840" t="s">
        <v>13634</v>
      </c>
      <c r="C840">
        <v>23</v>
      </c>
      <c r="D840">
        <v>23</v>
      </c>
      <c r="E840">
        <v>0</v>
      </c>
      <c r="F840">
        <v>0</v>
      </c>
      <c r="G840">
        <v>0</v>
      </c>
      <c r="I840" t="s">
        <v>15267</v>
      </c>
      <c r="J840" t="s">
        <v>13634</v>
      </c>
      <c r="K840">
        <v>1</v>
      </c>
    </row>
    <row r="841" spans="1:11" x14ac:dyDescent="0.35">
      <c r="A841" t="s">
        <v>15268</v>
      </c>
      <c r="B841" t="s">
        <v>13437</v>
      </c>
      <c r="C841">
        <v>2339</v>
      </c>
      <c r="D841">
        <v>1853</v>
      </c>
      <c r="E841">
        <v>0</v>
      </c>
      <c r="F841">
        <v>103</v>
      </c>
      <c r="G841">
        <v>383</v>
      </c>
      <c r="I841" t="s">
        <v>15268</v>
      </c>
      <c r="J841" t="s">
        <v>13437</v>
      </c>
      <c r="K841">
        <v>6</v>
      </c>
    </row>
    <row r="842" spans="1:11" x14ac:dyDescent="0.35">
      <c r="A842" t="s">
        <v>15269</v>
      </c>
      <c r="B842" t="s">
        <v>14334</v>
      </c>
      <c r="C842">
        <v>329</v>
      </c>
      <c r="D842">
        <v>156</v>
      </c>
      <c r="E842">
        <v>0</v>
      </c>
      <c r="F842">
        <v>173</v>
      </c>
      <c r="G842">
        <v>0</v>
      </c>
      <c r="I842" t="s">
        <v>15269</v>
      </c>
      <c r="J842" t="s">
        <v>14334</v>
      </c>
      <c r="K842">
        <v>1</v>
      </c>
    </row>
    <row r="843" spans="1:11" x14ac:dyDescent="0.35">
      <c r="A843" t="s">
        <v>15270</v>
      </c>
      <c r="B843" t="s">
        <v>14147</v>
      </c>
      <c r="C843">
        <v>12</v>
      </c>
      <c r="D843">
        <v>0</v>
      </c>
      <c r="E843">
        <v>0</v>
      </c>
      <c r="F843">
        <v>12</v>
      </c>
      <c r="G843">
        <v>0</v>
      </c>
      <c r="I843" t="s">
        <v>15270</v>
      </c>
      <c r="J843" t="s">
        <v>14147</v>
      </c>
      <c r="K843">
        <v>1</v>
      </c>
    </row>
    <row r="844" spans="1:11" x14ac:dyDescent="0.35">
      <c r="A844" t="s">
        <v>15271</v>
      </c>
      <c r="B844" t="s">
        <v>13638</v>
      </c>
      <c r="C844">
        <v>1421</v>
      </c>
      <c r="D844">
        <v>855</v>
      </c>
      <c r="E844">
        <v>315</v>
      </c>
      <c r="F844">
        <v>0</v>
      </c>
      <c r="G844">
        <v>251</v>
      </c>
      <c r="I844" t="s">
        <v>15271</v>
      </c>
      <c r="J844" t="s">
        <v>13638</v>
      </c>
      <c r="K844">
        <v>6</v>
      </c>
    </row>
    <row r="845" spans="1:11" x14ac:dyDescent="0.35">
      <c r="A845" t="s">
        <v>15272</v>
      </c>
      <c r="B845" t="s">
        <v>13350</v>
      </c>
      <c r="C845">
        <v>2890</v>
      </c>
      <c r="D845">
        <v>1928</v>
      </c>
      <c r="E845">
        <v>23</v>
      </c>
      <c r="F845">
        <v>549</v>
      </c>
      <c r="G845">
        <v>390</v>
      </c>
      <c r="I845" t="s">
        <v>15272</v>
      </c>
      <c r="J845" t="s">
        <v>13350</v>
      </c>
      <c r="K845">
        <v>5</v>
      </c>
    </row>
    <row r="846" spans="1:11" x14ac:dyDescent="0.35">
      <c r="A846" t="s">
        <v>15273</v>
      </c>
      <c r="B846" t="s">
        <v>14233</v>
      </c>
      <c r="C846">
        <v>1353</v>
      </c>
      <c r="D846">
        <v>1091</v>
      </c>
      <c r="E846">
        <v>0</v>
      </c>
      <c r="F846">
        <v>228</v>
      </c>
      <c r="G846">
        <v>34</v>
      </c>
      <c r="I846" t="s">
        <v>15273</v>
      </c>
      <c r="J846" t="s">
        <v>14233</v>
      </c>
      <c r="K846">
        <v>2</v>
      </c>
    </row>
    <row r="847" spans="1:11" x14ac:dyDescent="0.35">
      <c r="A847" t="s">
        <v>15274</v>
      </c>
      <c r="B847" t="s">
        <v>13303</v>
      </c>
      <c r="C847">
        <v>491</v>
      </c>
      <c r="D847">
        <v>68</v>
      </c>
      <c r="E847">
        <v>0</v>
      </c>
      <c r="F847">
        <v>423</v>
      </c>
      <c r="G847">
        <v>0</v>
      </c>
      <c r="I847" t="s">
        <v>15274</v>
      </c>
      <c r="J847" t="s">
        <v>13303</v>
      </c>
      <c r="K847">
        <v>2</v>
      </c>
    </row>
    <row r="848" spans="1:11" x14ac:dyDescent="0.35">
      <c r="A848" t="s">
        <v>15275</v>
      </c>
      <c r="B848" t="s">
        <v>14281</v>
      </c>
      <c r="C848">
        <v>42</v>
      </c>
      <c r="D848">
        <v>0</v>
      </c>
      <c r="E848">
        <v>0</v>
      </c>
      <c r="F848">
        <v>42</v>
      </c>
      <c r="G848">
        <v>0</v>
      </c>
      <c r="I848" t="s">
        <v>15275</v>
      </c>
      <c r="J848" t="s">
        <v>14281</v>
      </c>
      <c r="K848">
        <v>1</v>
      </c>
    </row>
    <row r="849" spans="1:11" x14ac:dyDescent="0.35">
      <c r="A849" t="s">
        <v>15276</v>
      </c>
      <c r="B849" t="s">
        <v>13033</v>
      </c>
      <c r="C849">
        <v>40908</v>
      </c>
      <c r="D849">
        <v>35129</v>
      </c>
      <c r="E849">
        <v>2</v>
      </c>
      <c r="F849">
        <v>2696</v>
      </c>
      <c r="G849">
        <v>3081</v>
      </c>
      <c r="I849" t="s">
        <v>15276</v>
      </c>
      <c r="J849" t="s">
        <v>13033</v>
      </c>
      <c r="K849">
        <v>202</v>
      </c>
    </row>
    <row r="850" spans="1:11" x14ac:dyDescent="0.35">
      <c r="A850" t="s">
        <v>15277</v>
      </c>
      <c r="B850" t="s">
        <v>13385</v>
      </c>
      <c r="C850">
        <v>141</v>
      </c>
      <c r="D850">
        <v>0</v>
      </c>
      <c r="E850">
        <v>0</v>
      </c>
      <c r="F850">
        <v>141</v>
      </c>
      <c r="G850">
        <v>0</v>
      </c>
      <c r="I850" t="s">
        <v>15277</v>
      </c>
      <c r="J850" t="s">
        <v>13385</v>
      </c>
      <c r="K850">
        <v>1</v>
      </c>
    </row>
    <row r="851" spans="1:11" x14ac:dyDescent="0.35">
      <c r="A851" t="s">
        <v>15278</v>
      </c>
      <c r="B851" t="s">
        <v>13400</v>
      </c>
      <c r="C851">
        <v>191</v>
      </c>
      <c r="D851">
        <v>0</v>
      </c>
      <c r="E851">
        <v>0</v>
      </c>
      <c r="F851">
        <v>191</v>
      </c>
      <c r="G851">
        <v>0</v>
      </c>
      <c r="I851" t="s">
        <v>15278</v>
      </c>
      <c r="J851" t="s">
        <v>13400</v>
      </c>
      <c r="K851">
        <v>5</v>
      </c>
    </row>
    <row r="852" spans="1:11" x14ac:dyDescent="0.35">
      <c r="A852" t="s">
        <v>15279</v>
      </c>
      <c r="B852" t="s">
        <v>13691</v>
      </c>
      <c r="C852">
        <v>159</v>
      </c>
      <c r="D852">
        <v>47</v>
      </c>
      <c r="E852">
        <v>0</v>
      </c>
      <c r="F852">
        <v>112</v>
      </c>
      <c r="G852">
        <v>0</v>
      </c>
      <c r="I852" t="s">
        <v>15279</v>
      </c>
      <c r="J852" t="s">
        <v>13691</v>
      </c>
      <c r="K852">
        <v>2</v>
      </c>
    </row>
    <row r="853" spans="1:11" x14ac:dyDescent="0.35">
      <c r="A853" t="s">
        <v>15280</v>
      </c>
      <c r="B853" t="s">
        <v>13174</v>
      </c>
      <c r="C853">
        <v>7578</v>
      </c>
      <c r="D853">
        <v>5294</v>
      </c>
      <c r="E853">
        <v>0</v>
      </c>
      <c r="F853">
        <v>196</v>
      </c>
      <c r="G853">
        <v>2088</v>
      </c>
      <c r="I853" t="s">
        <v>15280</v>
      </c>
      <c r="J853" t="s">
        <v>13174</v>
      </c>
      <c r="K853">
        <v>30</v>
      </c>
    </row>
    <row r="854" spans="1:11" x14ac:dyDescent="0.35">
      <c r="A854" t="s">
        <v>15281</v>
      </c>
      <c r="B854" t="s">
        <v>13355</v>
      </c>
      <c r="C854">
        <v>135</v>
      </c>
      <c r="D854">
        <v>135</v>
      </c>
      <c r="E854">
        <v>0</v>
      </c>
      <c r="F854">
        <v>0</v>
      </c>
      <c r="G854">
        <v>0</v>
      </c>
      <c r="I854" t="s">
        <v>15281</v>
      </c>
      <c r="J854" t="s">
        <v>13355</v>
      </c>
      <c r="K854">
        <v>1</v>
      </c>
    </row>
    <row r="855" spans="1:11" x14ac:dyDescent="0.35">
      <c r="A855" t="s">
        <v>15282</v>
      </c>
      <c r="B855" t="s">
        <v>13739</v>
      </c>
      <c r="C855">
        <v>458</v>
      </c>
      <c r="D855">
        <v>88</v>
      </c>
      <c r="E855">
        <v>0</v>
      </c>
      <c r="F855">
        <v>370</v>
      </c>
      <c r="G855">
        <v>0</v>
      </c>
      <c r="I855" t="s">
        <v>15282</v>
      </c>
      <c r="J855" t="s">
        <v>13739</v>
      </c>
      <c r="K855">
        <v>3</v>
      </c>
    </row>
    <row r="856" spans="1:11" x14ac:dyDescent="0.35">
      <c r="A856" t="s">
        <v>15283</v>
      </c>
      <c r="B856" t="s">
        <v>13232</v>
      </c>
      <c r="C856">
        <v>3465</v>
      </c>
      <c r="D856">
        <v>3058</v>
      </c>
      <c r="E856">
        <v>0</v>
      </c>
      <c r="F856">
        <v>271</v>
      </c>
      <c r="G856">
        <v>136</v>
      </c>
      <c r="I856" t="s">
        <v>15283</v>
      </c>
      <c r="J856" t="s">
        <v>13232</v>
      </c>
      <c r="K856">
        <v>2</v>
      </c>
    </row>
    <row r="857" spans="1:11" x14ac:dyDescent="0.35">
      <c r="A857" t="s">
        <v>15284</v>
      </c>
      <c r="B857" t="s">
        <v>13129</v>
      </c>
      <c r="C857">
        <v>4926</v>
      </c>
      <c r="D857">
        <v>3819</v>
      </c>
      <c r="E857">
        <v>172</v>
      </c>
      <c r="F857">
        <v>379</v>
      </c>
      <c r="G857">
        <v>556</v>
      </c>
      <c r="I857" t="s">
        <v>15284</v>
      </c>
      <c r="J857" t="s">
        <v>13129</v>
      </c>
      <c r="K857">
        <v>11</v>
      </c>
    </row>
    <row r="858" spans="1:11" x14ac:dyDescent="0.35">
      <c r="A858" t="s">
        <v>15285</v>
      </c>
      <c r="B858" t="s">
        <v>13426</v>
      </c>
      <c r="C858">
        <v>1362</v>
      </c>
      <c r="D858">
        <v>1236</v>
      </c>
      <c r="E858">
        <v>13</v>
      </c>
      <c r="F858">
        <v>0</v>
      </c>
      <c r="G858">
        <v>113</v>
      </c>
      <c r="I858" t="s">
        <v>15285</v>
      </c>
      <c r="J858" t="s">
        <v>13426</v>
      </c>
      <c r="K858">
        <v>8</v>
      </c>
    </row>
    <row r="859" spans="1:11" x14ac:dyDescent="0.35">
      <c r="A859" t="s">
        <v>15286</v>
      </c>
      <c r="B859" t="s">
        <v>13753</v>
      </c>
      <c r="C859">
        <v>389</v>
      </c>
      <c r="D859">
        <v>219</v>
      </c>
      <c r="E859">
        <v>0</v>
      </c>
      <c r="F859">
        <v>170</v>
      </c>
      <c r="G859">
        <v>0</v>
      </c>
      <c r="I859" t="s">
        <v>15286</v>
      </c>
      <c r="J859" t="s">
        <v>13753</v>
      </c>
      <c r="K859">
        <v>1</v>
      </c>
    </row>
    <row r="860" spans="1:11" x14ac:dyDescent="0.35">
      <c r="A860" t="s">
        <v>15287</v>
      </c>
      <c r="B860" t="s">
        <v>14264</v>
      </c>
      <c r="C860">
        <v>507</v>
      </c>
      <c r="D860">
        <v>107</v>
      </c>
      <c r="E860">
        <v>0</v>
      </c>
      <c r="F860">
        <v>400</v>
      </c>
      <c r="G860">
        <v>0</v>
      </c>
      <c r="I860" t="s">
        <v>15287</v>
      </c>
      <c r="J860" t="s">
        <v>14264</v>
      </c>
      <c r="K860">
        <v>1</v>
      </c>
    </row>
    <row r="861" spans="1:11" x14ac:dyDescent="0.35">
      <c r="A861" t="s">
        <v>15288</v>
      </c>
      <c r="B861" t="s">
        <v>13006</v>
      </c>
      <c r="C861">
        <v>43782</v>
      </c>
      <c r="D861">
        <v>30138</v>
      </c>
      <c r="E861">
        <v>548</v>
      </c>
      <c r="F861">
        <v>4982</v>
      </c>
      <c r="G861">
        <v>8114</v>
      </c>
      <c r="I861" t="s">
        <v>15288</v>
      </c>
      <c r="J861" t="s">
        <v>13006</v>
      </c>
      <c r="K861">
        <v>115</v>
      </c>
    </row>
    <row r="862" spans="1:11" x14ac:dyDescent="0.35">
      <c r="A862" t="s">
        <v>15289</v>
      </c>
      <c r="B862" t="s">
        <v>13505</v>
      </c>
      <c r="C862">
        <v>841</v>
      </c>
      <c r="D862">
        <v>611</v>
      </c>
      <c r="E862">
        <v>0</v>
      </c>
      <c r="F862">
        <v>230</v>
      </c>
      <c r="G862">
        <v>0</v>
      </c>
      <c r="I862" t="s">
        <v>15289</v>
      </c>
      <c r="J862" t="s">
        <v>13505</v>
      </c>
      <c r="K862">
        <v>2</v>
      </c>
    </row>
    <row r="863" spans="1:11" x14ac:dyDescent="0.35">
      <c r="A863" t="s">
        <v>15290</v>
      </c>
      <c r="B863" t="s">
        <v>14316</v>
      </c>
      <c r="C863">
        <v>94</v>
      </c>
      <c r="D863">
        <v>0</v>
      </c>
      <c r="E863">
        <v>0</v>
      </c>
      <c r="F863">
        <v>94</v>
      </c>
      <c r="G863">
        <v>0</v>
      </c>
      <c r="I863" t="s">
        <v>15290</v>
      </c>
      <c r="J863" t="s">
        <v>14316</v>
      </c>
      <c r="K863">
        <v>1</v>
      </c>
    </row>
    <row r="864" spans="1:11" x14ac:dyDescent="0.35">
      <c r="A864" t="s">
        <v>15291</v>
      </c>
      <c r="B864" t="s">
        <v>13133</v>
      </c>
      <c r="C864">
        <v>6592</v>
      </c>
      <c r="D864">
        <v>4739</v>
      </c>
      <c r="E864">
        <v>457</v>
      </c>
      <c r="F864">
        <v>674</v>
      </c>
      <c r="G864">
        <v>722</v>
      </c>
      <c r="I864" t="s">
        <v>15291</v>
      </c>
      <c r="J864" t="s">
        <v>13133</v>
      </c>
      <c r="K864">
        <v>33</v>
      </c>
    </row>
    <row r="865" spans="1:11" x14ac:dyDescent="0.35">
      <c r="A865" t="s">
        <v>15292</v>
      </c>
      <c r="B865" t="s">
        <v>13839</v>
      </c>
      <c r="C865">
        <v>133</v>
      </c>
      <c r="D865">
        <v>69</v>
      </c>
      <c r="E865">
        <v>0</v>
      </c>
      <c r="F865">
        <v>64</v>
      </c>
      <c r="G865">
        <v>0</v>
      </c>
      <c r="I865" t="s">
        <v>15292</v>
      </c>
      <c r="J865" t="s">
        <v>13839</v>
      </c>
      <c r="K865">
        <v>4</v>
      </c>
    </row>
    <row r="866" spans="1:11" x14ac:dyDescent="0.35">
      <c r="A866" t="s">
        <v>15293</v>
      </c>
      <c r="B866" t="s">
        <v>13671</v>
      </c>
      <c r="C866">
        <v>275</v>
      </c>
      <c r="D866">
        <v>187</v>
      </c>
      <c r="E866">
        <v>0</v>
      </c>
      <c r="F866">
        <v>88</v>
      </c>
      <c r="G866">
        <v>0</v>
      </c>
      <c r="I866" t="s">
        <v>15293</v>
      </c>
      <c r="J866" t="s">
        <v>13671</v>
      </c>
      <c r="K866">
        <v>3</v>
      </c>
    </row>
    <row r="867" spans="1:11" x14ac:dyDescent="0.35">
      <c r="A867" t="s">
        <v>15294</v>
      </c>
      <c r="B867" t="s">
        <v>14288</v>
      </c>
      <c r="C867">
        <v>27</v>
      </c>
      <c r="D867">
        <v>0</v>
      </c>
      <c r="E867">
        <v>0</v>
      </c>
      <c r="F867">
        <v>27</v>
      </c>
      <c r="G867">
        <v>0</v>
      </c>
      <c r="I867" t="s">
        <v>15294</v>
      </c>
      <c r="J867" t="s">
        <v>14288</v>
      </c>
      <c r="K867">
        <v>1</v>
      </c>
    </row>
    <row r="868" spans="1:11" x14ac:dyDescent="0.35">
      <c r="A868" t="s">
        <v>15295</v>
      </c>
      <c r="B868" t="s">
        <v>14161</v>
      </c>
      <c r="C868">
        <v>8</v>
      </c>
      <c r="D868">
        <v>8</v>
      </c>
      <c r="E868">
        <v>0</v>
      </c>
      <c r="F868">
        <v>0</v>
      </c>
      <c r="G868">
        <v>0</v>
      </c>
      <c r="I868" t="s">
        <v>15295</v>
      </c>
      <c r="J868" t="s">
        <v>14161</v>
      </c>
      <c r="K868">
        <v>1</v>
      </c>
    </row>
    <row r="869" spans="1:11" x14ac:dyDescent="0.35">
      <c r="A869" t="s">
        <v>15296</v>
      </c>
      <c r="B869" t="s">
        <v>13708</v>
      </c>
      <c r="C869">
        <v>241</v>
      </c>
      <c r="D869">
        <v>0</v>
      </c>
      <c r="E869">
        <v>0</v>
      </c>
      <c r="F869">
        <v>241</v>
      </c>
      <c r="G869">
        <v>0</v>
      </c>
      <c r="I869" t="s">
        <v>15296</v>
      </c>
      <c r="J869" t="s">
        <v>13708</v>
      </c>
      <c r="K869">
        <v>3</v>
      </c>
    </row>
    <row r="870" spans="1:11" x14ac:dyDescent="0.35">
      <c r="A870" t="s">
        <v>15297</v>
      </c>
      <c r="B870" t="s">
        <v>13398</v>
      </c>
      <c r="C870">
        <v>444</v>
      </c>
      <c r="D870">
        <v>112</v>
      </c>
      <c r="E870">
        <v>0</v>
      </c>
      <c r="F870">
        <v>332</v>
      </c>
      <c r="G870">
        <v>0</v>
      </c>
      <c r="I870" t="s">
        <v>15297</v>
      </c>
      <c r="J870" t="s">
        <v>13398</v>
      </c>
      <c r="K870">
        <v>4</v>
      </c>
    </row>
    <row r="871" spans="1:11" x14ac:dyDescent="0.35">
      <c r="A871" t="s">
        <v>15298</v>
      </c>
      <c r="B871" t="s">
        <v>13855</v>
      </c>
      <c r="C871">
        <v>323</v>
      </c>
      <c r="D871">
        <v>323</v>
      </c>
      <c r="E871">
        <v>0</v>
      </c>
      <c r="F871">
        <v>0</v>
      </c>
      <c r="G871">
        <v>0</v>
      </c>
      <c r="I871" t="s">
        <v>15298</v>
      </c>
      <c r="J871" t="s">
        <v>13855</v>
      </c>
      <c r="K871">
        <v>3</v>
      </c>
    </row>
    <row r="872" spans="1:11" x14ac:dyDescent="0.35">
      <c r="A872" t="s">
        <v>15299</v>
      </c>
      <c r="B872" t="s">
        <v>14295</v>
      </c>
      <c r="C872">
        <v>116</v>
      </c>
      <c r="D872">
        <v>116</v>
      </c>
      <c r="E872">
        <v>0</v>
      </c>
      <c r="F872">
        <v>0</v>
      </c>
      <c r="G872">
        <v>0</v>
      </c>
      <c r="I872" t="s">
        <v>15299</v>
      </c>
      <c r="J872" t="s">
        <v>14295</v>
      </c>
      <c r="K872">
        <v>2</v>
      </c>
    </row>
    <row r="873" spans="1:11" x14ac:dyDescent="0.35">
      <c r="A873" t="s">
        <v>15300</v>
      </c>
      <c r="B873" t="s">
        <v>14008</v>
      </c>
      <c r="C873">
        <v>28</v>
      </c>
      <c r="D873">
        <v>0</v>
      </c>
      <c r="E873">
        <v>0</v>
      </c>
      <c r="F873">
        <v>28</v>
      </c>
      <c r="G873">
        <v>0</v>
      </c>
      <c r="I873" t="s">
        <v>15300</v>
      </c>
      <c r="J873" t="s">
        <v>14008</v>
      </c>
      <c r="K873">
        <v>1</v>
      </c>
    </row>
    <row r="874" spans="1:11" x14ac:dyDescent="0.35">
      <c r="A874" t="s">
        <v>15301</v>
      </c>
      <c r="B874" t="s">
        <v>13337</v>
      </c>
      <c r="C874">
        <v>837</v>
      </c>
      <c r="D874">
        <v>820</v>
      </c>
      <c r="E874">
        <v>2</v>
      </c>
      <c r="F874">
        <v>15</v>
      </c>
      <c r="G874">
        <v>0</v>
      </c>
      <c r="I874" t="s">
        <v>15301</v>
      </c>
      <c r="J874" t="s">
        <v>13337</v>
      </c>
      <c r="K874">
        <v>9</v>
      </c>
    </row>
    <row r="875" spans="1:11" x14ac:dyDescent="0.35">
      <c r="A875" t="s">
        <v>15302</v>
      </c>
      <c r="B875" t="s">
        <v>13264</v>
      </c>
      <c r="C875">
        <v>3031</v>
      </c>
      <c r="D875">
        <v>1998</v>
      </c>
      <c r="E875">
        <v>0</v>
      </c>
      <c r="F875">
        <v>939</v>
      </c>
      <c r="G875">
        <v>94</v>
      </c>
      <c r="I875" t="s">
        <v>15302</v>
      </c>
      <c r="J875" t="s">
        <v>13264</v>
      </c>
      <c r="K875">
        <v>15</v>
      </c>
    </row>
    <row r="876" spans="1:11" x14ac:dyDescent="0.35">
      <c r="A876" t="s">
        <v>15303</v>
      </c>
      <c r="B876" t="s">
        <v>13428</v>
      </c>
      <c r="C876">
        <v>2974</v>
      </c>
      <c r="D876">
        <v>2136</v>
      </c>
      <c r="E876">
        <v>2</v>
      </c>
      <c r="F876">
        <v>393</v>
      </c>
      <c r="G876">
        <v>443</v>
      </c>
      <c r="I876" t="s">
        <v>15303</v>
      </c>
      <c r="J876" t="s">
        <v>13428</v>
      </c>
      <c r="K876">
        <v>7</v>
      </c>
    </row>
    <row r="877" spans="1:11" x14ac:dyDescent="0.35">
      <c r="A877" t="s">
        <v>15304</v>
      </c>
      <c r="B877" t="s">
        <v>13328</v>
      </c>
      <c r="C877">
        <v>41</v>
      </c>
      <c r="D877">
        <v>0</v>
      </c>
      <c r="E877">
        <v>0</v>
      </c>
      <c r="F877">
        <v>41</v>
      </c>
      <c r="G877">
        <v>0</v>
      </c>
      <c r="I877" t="s">
        <v>15304</v>
      </c>
      <c r="J877" t="s">
        <v>13328</v>
      </c>
      <c r="K877">
        <v>1</v>
      </c>
    </row>
    <row r="878" spans="1:11" x14ac:dyDescent="0.35">
      <c r="A878" t="s">
        <v>15305</v>
      </c>
      <c r="B878" t="s">
        <v>13838</v>
      </c>
      <c r="C878">
        <v>2587</v>
      </c>
      <c r="D878">
        <v>2290</v>
      </c>
      <c r="E878">
        <v>0</v>
      </c>
      <c r="F878">
        <v>253</v>
      </c>
      <c r="G878">
        <v>44</v>
      </c>
      <c r="I878" t="s">
        <v>15305</v>
      </c>
      <c r="J878" t="s">
        <v>13838</v>
      </c>
      <c r="K878">
        <v>5</v>
      </c>
    </row>
    <row r="879" spans="1:11" x14ac:dyDescent="0.35">
      <c r="A879" t="s">
        <v>15306</v>
      </c>
      <c r="B879" t="s">
        <v>13300</v>
      </c>
      <c r="C879">
        <v>21</v>
      </c>
      <c r="D879">
        <v>10</v>
      </c>
      <c r="E879">
        <v>0</v>
      </c>
      <c r="F879">
        <v>11</v>
      </c>
      <c r="G879">
        <v>0</v>
      </c>
      <c r="I879" t="s">
        <v>15306</v>
      </c>
      <c r="J879" t="s">
        <v>13300</v>
      </c>
      <c r="K879">
        <v>1</v>
      </c>
    </row>
    <row r="880" spans="1:11" x14ac:dyDescent="0.35">
      <c r="A880" t="s">
        <v>15307</v>
      </c>
      <c r="B880" t="s">
        <v>13802</v>
      </c>
      <c r="C880">
        <v>431</v>
      </c>
      <c r="D880">
        <v>422</v>
      </c>
      <c r="E880">
        <v>0</v>
      </c>
      <c r="F880">
        <v>9</v>
      </c>
      <c r="G880">
        <v>0</v>
      </c>
      <c r="I880" t="s">
        <v>15307</v>
      </c>
      <c r="J880" t="s">
        <v>13802</v>
      </c>
      <c r="K880">
        <v>1</v>
      </c>
    </row>
    <row r="881" spans="1:11" x14ac:dyDescent="0.35">
      <c r="A881" t="s">
        <v>15308</v>
      </c>
      <c r="B881" t="s">
        <v>13649</v>
      </c>
      <c r="C881">
        <v>6</v>
      </c>
      <c r="D881">
        <v>0</v>
      </c>
      <c r="E881">
        <v>0</v>
      </c>
      <c r="F881">
        <v>6</v>
      </c>
      <c r="G881">
        <v>0</v>
      </c>
      <c r="I881" t="s">
        <v>15308</v>
      </c>
      <c r="J881" t="s">
        <v>13649</v>
      </c>
      <c r="K881">
        <v>1</v>
      </c>
    </row>
    <row r="882" spans="1:11" x14ac:dyDescent="0.35">
      <c r="A882" t="s">
        <v>15309</v>
      </c>
      <c r="B882" t="s">
        <v>14062</v>
      </c>
      <c r="C882">
        <v>33</v>
      </c>
      <c r="D882">
        <v>33</v>
      </c>
      <c r="E882">
        <v>0</v>
      </c>
      <c r="F882">
        <v>0</v>
      </c>
      <c r="G882">
        <v>0</v>
      </c>
      <c r="I882" t="s">
        <v>15309</v>
      </c>
      <c r="J882" t="s">
        <v>14062</v>
      </c>
      <c r="K882">
        <v>1</v>
      </c>
    </row>
    <row r="883" spans="1:11" x14ac:dyDescent="0.35">
      <c r="A883" t="s">
        <v>15310</v>
      </c>
      <c r="B883" t="s">
        <v>13146</v>
      </c>
      <c r="C883">
        <v>2712</v>
      </c>
      <c r="D883">
        <v>2178</v>
      </c>
      <c r="E883">
        <v>2</v>
      </c>
      <c r="F883">
        <v>370</v>
      </c>
      <c r="G883">
        <v>162</v>
      </c>
      <c r="I883" t="s">
        <v>15310</v>
      </c>
      <c r="J883" t="s">
        <v>13146</v>
      </c>
      <c r="K883">
        <v>7</v>
      </c>
    </row>
    <row r="884" spans="1:11" x14ac:dyDescent="0.35">
      <c r="A884" t="s">
        <v>15311</v>
      </c>
      <c r="B884" t="s">
        <v>13410</v>
      </c>
      <c r="C884">
        <v>955</v>
      </c>
      <c r="D884">
        <v>0</v>
      </c>
      <c r="E884">
        <v>0</v>
      </c>
      <c r="F884">
        <v>955</v>
      </c>
      <c r="G884">
        <v>0</v>
      </c>
      <c r="I884" t="s">
        <v>15311</v>
      </c>
      <c r="J884" t="s">
        <v>13410</v>
      </c>
      <c r="K884">
        <v>11</v>
      </c>
    </row>
    <row r="885" spans="1:11" x14ac:dyDescent="0.35">
      <c r="A885" t="s">
        <v>15312</v>
      </c>
      <c r="B885" t="s">
        <v>14099</v>
      </c>
      <c r="C885">
        <v>8</v>
      </c>
      <c r="D885">
        <v>0</v>
      </c>
      <c r="E885">
        <v>0</v>
      </c>
      <c r="F885">
        <v>8</v>
      </c>
      <c r="G885">
        <v>0</v>
      </c>
      <c r="I885" t="s">
        <v>15312</v>
      </c>
      <c r="J885" t="s">
        <v>14099</v>
      </c>
      <c r="K885">
        <v>1</v>
      </c>
    </row>
    <row r="886" spans="1:11" x14ac:dyDescent="0.35">
      <c r="A886" t="s">
        <v>15313</v>
      </c>
      <c r="B886" t="s">
        <v>14053</v>
      </c>
      <c r="C886">
        <v>115</v>
      </c>
      <c r="D886">
        <v>90</v>
      </c>
      <c r="E886">
        <v>0</v>
      </c>
      <c r="F886">
        <v>25</v>
      </c>
      <c r="G886">
        <v>0</v>
      </c>
      <c r="I886" t="s">
        <v>15313</v>
      </c>
      <c r="J886" t="s">
        <v>14053</v>
      </c>
      <c r="K886">
        <v>1</v>
      </c>
    </row>
    <row r="887" spans="1:11" x14ac:dyDescent="0.35">
      <c r="A887" t="s">
        <v>15314</v>
      </c>
      <c r="B887" t="s">
        <v>13148</v>
      </c>
      <c r="C887">
        <v>22175</v>
      </c>
      <c r="D887">
        <v>16962</v>
      </c>
      <c r="E887">
        <v>0</v>
      </c>
      <c r="F887">
        <v>1787</v>
      </c>
      <c r="G887">
        <v>3426</v>
      </c>
      <c r="I887" t="s">
        <v>15314</v>
      </c>
      <c r="J887" t="s">
        <v>13148</v>
      </c>
      <c r="K887">
        <v>49</v>
      </c>
    </row>
    <row r="888" spans="1:11" x14ac:dyDescent="0.35">
      <c r="A888" t="s">
        <v>15315</v>
      </c>
      <c r="B888" t="s">
        <v>14388</v>
      </c>
      <c r="C888">
        <v>401</v>
      </c>
      <c r="D888">
        <v>344</v>
      </c>
      <c r="E888">
        <v>0</v>
      </c>
      <c r="F888">
        <v>57</v>
      </c>
      <c r="G888">
        <v>0</v>
      </c>
      <c r="I888" t="s">
        <v>15315</v>
      </c>
      <c r="J888" t="s">
        <v>14388</v>
      </c>
      <c r="K888">
        <v>1</v>
      </c>
    </row>
    <row r="889" spans="1:11" x14ac:dyDescent="0.35">
      <c r="A889" t="s">
        <v>15316</v>
      </c>
      <c r="B889" t="s">
        <v>13218</v>
      </c>
      <c r="C889">
        <v>483</v>
      </c>
      <c r="D889">
        <v>465</v>
      </c>
      <c r="E889">
        <v>0</v>
      </c>
      <c r="F889">
        <v>18</v>
      </c>
      <c r="G889">
        <v>0</v>
      </c>
      <c r="I889" t="s">
        <v>15316</v>
      </c>
      <c r="J889" t="s">
        <v>13218</v>
      </c>
      <c r="K889">
        <v>9</v>
      </c>
    </row>
    <row r="890" spans="1:11" x14ac:dyDescent="0.35">
      <c r="A890" t="s">
        <v>15317</v>
      </c>
      <c r="B890" t="s">
        <v>14006</v>
      </c>
      <c r="C890">
        <v>102</v>
      </c>
      <c r="D890">
        <v>0</v>
      </c>
      <c r="E890">
        <v>0</v>
      </c>
      <c r="F890">
        <v>102</v>
      </c>
      <c r="G890">
        <v>0</v>
      </c>
      <c r="I890" t="s">
        <v>15317</v>
      </c>
      <c r="J890" t="s">
        <v>14006</v>
      </c>
      <c r="K890">
        <v>1</v>
      </c>
    </row>
    <row r="891" spans="1:11" x14ac:dyDescent="0.35">
      <c r="A891" t="s">
        <v>15318</v>
      </c>
      <c r="B891" t="s">
        <v>13052</v>
      </c>
      <c r="C891">
        <v>93</v>
      </c>
      <c r="D891">
        <v>2</v>
      </c>
      <c r="E891">
        <v>0</v>
      </c>
      <c r="F891">
        <v>91</v>
      </c>
      <c r="G891">
        <v>0</v>
      </c>
      <c r="I891" t="s">
        <v>15318</v>
      </c>
      <c r="J891" t="s">
        <v>13052</v>
      </c>
      <c r="K891">
        <v>1</v>
      </c>
    </row>
    <row r="892" spans="1:11" x14ac:dyDescent="0.35">
      <c r="A892" t="s">
        <v>15319</v>
      </c>
      <c r="B892" t="s">
        <v>13349</v>
      </c>
      <c r="C892">
        <v>171</v>
      </c>
      <c r="D892">
        <v>164</v>
      </c>
      <c r="E892">
        <v>7</v>
      </c>
      <c r="F892">
        <v>0</v>
      </c>
      <c r="G892">
        <v>0</v>
      </c>
      <c r="I892" t="s">
        <v>15319</v>
      </c>
      <c r="J892" t="s">
        <v>13349</v>
      </c>
      <c r="K892">
        <v>2</v>
      </c>
    </row>
    <row r="893" spans="1:11" x14ac:dyDescent="0.35">
      <c r="A893" t="s">
        <v>15320</v>
      </c>
      <c r="B893" t="s">
        <v>13521</v>
      </c>
      <c r="C893">
        <v>43</v>
      </c>
      <c r="D893">
        <v>0</v>
      </c>
      <c r="E893">
        <v>0</v>
      </c>
      <c r="F893">
        <v>43</v>
      </c>
      <c r="G893">
        <v>0</v>
      </c>
      <c r="I893" t="s">
        <v>15320</v>
      </c>
      <c r="J893" t="s">
        <v>13521</v>
      </c>
      <c r="K893">
        <v>1</v>
      </c>
    </row>
    <row r="894" spans="1:11" x14ac:dyDescent="0.35">
      <c r="A894" t="s">
        <v>15321</v>
      </c>
      <c r="B894" t="s">
        <v>13498</v>
      </c>
      <c r="C894">
        <v>332</v>
      </c>
      <c r="D894">
        <v>0</v>
      </c>
      <c r="E894">
        <v>0</v>
      </c>
      <c r="F894">
        <v>332</v>
      </c>
      <c r="G894">
        <v>0</v>
      </c>
      <c r="I894" t="s">
        <v>15321</v>
      </c>
      <c r="J894" t="s">
        <v>13498</v>
      </c>
      <c r="K894">
        <v>4</v>
      </c>
    </row>
    <row r="895" spans="1:11" x14ac:dyDescent="0.35">
      <c r="A895" t="s">
        <v>15322</v>
      </c>
      <c r="B895" t="s">
        <v>13510</v>
      </c>
      <c r="C895">
        <v>101</v>
      </c>
      <c r="D895">
        <v>0</v>
      </c>
      <c r="E895">
        <v>0</v>
      </c>
      <c r="F895">
        <v>101</v>
      </c>
      <c r="G895">
        <v>0</v>
      </c>
      <c r="I895" t="s">
        <v>15322</v>
      </c>
      <c r="J895" t="s">
        <v>13510</v>
      </c>
      <c r="K895">
        <v>1</v>
      </c>
    </row>
    <row r="896" spans="1:11" x14ac:dyDescent="0.35">
      <c r="A896" t="s">
        <v>15323</v>
      </c>
      <c r="B896" t="s">
        <v>13132</v>
      </c>
      <c r="C896">
        <v>61</v>
      </c>
      <c r="D896">
        <v>0</v>
      </c>
      <c r="E896">
        <v>0</v>
      </c>
      <c r="F896">
        <v>61</v>
      </c>
      <c r="G896">
        <v>0</v>
      </c>
      <c r="I896" t="s">
        <v>15323</v>
      </c>
      <c r="J896" t="s">
        <v>13132</v>
      </c>
      <c r="K896">
        <v>1</v>
      </c>
    </row>
    <row r="897" spans="1:11" x14ac:dyDescent="0.35">
      <c r="A897" t="s">
        <v>15324</v>
      </c>
      <c r="B897" t="s">
        <v>13228</v>
      </c>
      <c r="C897">
        <v>217</v>
      </c>
      <c r="D897">
        <v>217</v>
      </c>
      <c r="E897">
        <v>0</v>
      </c>
      <c r="F897">
        <v>0</v>
      </c>
      <c r="G897">
        <v>0</v>
      </c>
      <c r="I897" t="s">
        <v>15324</v>
      </c>
      <c r="J897" t="s">
        <v>13228</v>
      </c>
      <c r="K897">
        <v>1</v>
      </c>
    </row>
    <row r="898" spans="1:11" x14ac:dyDescent="0.35">
      <c r="A898" t="s">
        <v>15325</v>
      </c>
      <c r="B898" t="s">
        <v>14087</v>
      </c>
      <c r="C898">
        <v>301</v>
      </c>
      <c r="D898">
        <v>3</v>
      </c>
      <c r="E898">
        <v>0</v>
      </c>
      <c r="F898">
        <v>298</v>
      </c>
      <c r="G898">
        <v>0</v>
      </c>
      <c r="I898" t="s">
        <v>15325</v>
      </c>
      <c r="J898" t="s">
        <v>14087</v>
      </c>
      <c r="K898">
        <v>1</v>
      </c>
    </row>
    <row r="899" spans="1:11" x14ac:dyDescent="0.35">
      <c r="A899" t="s">
        <v>15326</v>
      </c>
      <c r="B899" t="s">
        <v>14171</v>
      </c>
      <c r="C899">
        <v>301</v>
      </c>
      <c r="D899">
        <v>281</v>
      </c>
      <c r="E899">
        <v>0</v>
      </c>
      <c r="F899">
        <v>20</v>
      </c>
      <c r="G899">
        <v>0</v>
      </c>
      <c r="I899" t="s">
        <v>15326</v>
      </c>
      <c r="J899" t="s">
        <v>14171</v>
      </c>
      <c r="K899">
        <v>2</v>
      </c>
    </row>
    <row r="900" spans="1:11" x14ac:dyDescent="0.35">
      <c r="A900" t="s">
        <v>15327</v>
      </c>
      <c r="B900" t="s">
        <v>13782</v>
      </c>
      <c r="C900">
        <v>32</v>
      </c>
      <c r="D900">
        <v>0</v>
      </c>
      <c r="E900">
        <v>0</v>
      </c>
      <c r="F900">
        <v>32</v>
      </c>
      <c r="G900">
        <v>0</v>
      </c>
      <c r="I900" t="s">
        <v>15327</v>
      </c>
      <c r="J900" t="s">
        <v>13782</v>
      </c>
      <c r="K900">
        <v>1</v>
      </c>
    </row>
    <row r="901" spans="1:11" x14ac:dyDescent="0.35">
      <c r="A901" t="s">
        <v>15328</v>
      </c>
      <c r="B901" t="s">
        <v>13114</v>
      </c>
      <c r="C901">
        <v>158</v>
      </c>
      <c r="D901">
        <v>59</v>
      </c>
      <c r="E901">
        <v>0</v>
      </c>
      <c r="F901">
        <v>99</v>
      </c>
      <c r="G901">
        <v>0</v>
      </c>
      <c r="I901" t="s">
        <v>15328</v>
      </c>
      <c r="J901" t="s">
        <v>13114</v>
      </c>
      <c r="K901">
        <v>11</v>
      </c>
    </row>
    <row r="902" spans="1:11" x14ac:dyDescent="0.35">
      <c r="A902" t="s">
        <v>15329</v>
      </c>
      <c r="B902" t="s">
        <v>13894</v>
      </c>
      <c r="C902">
        <v>17</v>
      </c>
      <c r="D902">
        <v>0</v>
      </c>
      <c r="E902">
        <v>0</v>
      </c>
      <c r="F902">
        <v>17</v>
      </c>
      <c r="G902">
        <v>0</v>
      </c>
      <c r="I902" t="s">
        <v>15329</v>
      </c>
      <c r="J902" t="s">
        <v>13894</v>
      </c>
      <c r="K902">
        <v>1</v>
      </c>
    </row>
    <row r="903" spans="1:11" x14ac:dyDescent="0.35">
      <c r="A903" t="s">
        <v>15330</v>
      </c>
      <c r="B903" t="s">
        <v>13463</v>
      </c>
      <c r="C903">
        <v>436</v>
      </c>
      <c r="D903">
        <v>341</v>
      </c>
      <c r="E903">
        <v>0</v>
      </c>
      <c r="F903">
        <v>95</v>
      </c>
      <c r="G903">
        <v>0</v>
      </c>
      <c r="I903" t="s">
        <v>15330</v>
      </c>
      <c r="J903" t="s">
        <v>13463</v>
      </c>
      <c r="K903">
        <v>2</v>
      </c>
    </row>
    <row r="904" spans="1:11" x14ac:dyDescent="0.35">
      <c r="A904" t="s">
        <v>15331</v>
      </c>
      <c r="B904" t="s">
        <v>14214</v>
      </c>
      <c r="C904">
        <v>44</v>
      </c>
      <c r="D904">
        <v>0</v>
      </c>
      <c r="E904">
        <v>0</v>
      </c>
      <c r="F904">
        <v>44</v>
      </c>
      <c r="G904">
        <v>0</v>
      </c>
      <c r="I904" t="s">
        <v>15331</v>
      </c>
      <c r="J904" t="s">
        <v>14214</v>
      </c>
      <c r="K904">
        <v>2</v>
      </c>
    </row>
    <row r="905" spans="1:11" x14ac:dyDescent="0.35">
      <c r="A905" t="s">
        <v>15332</v>
      </c>
      <c r="B905" t="s">
        <v>13762</v>
      </c>
      <c r="C905">
        <v>30</v>
      </c>
      <c r="D905">
        <v>0</v>
      </c>
      <c r="E905">
        <v>0</v>
      </c>
      <c r="F905">
        <v>30</v>
      </c>
      <c r="G905">
        <v>0</v>
      </c>
      <c r="I905" t="s">
        <v>15332</v>
      </c>
      <c r="J905" t="s">
        <v>13762</v>
      </c>
      <c r="K905">
        <v>1</v>
      </c>
    </row>
    <row r="906" spans="1:11" x14ac:dyDescent="0.35">
      <c r="A906" t="s">
        <v>15333</v>
      </c>
      <c r="B906" t="s">
        <v>13404</v>
      </c>
      <c r="C906">
        <v>101</v>
      </c>
      <c r="D906">
        <v>0</v>
      </c>
      <c r="E906">
        <v>0</v>
      </c>
      <c r="F906">
        <v>101</v>
      </c>
      <c r="G906">
        <v>0</v>
      </c>
      <c r="I906" t="s">
        <v>15333</v>
      </c>
      <c r="J906" t="s">
        <v>13404</v>
      </c>
      <c r="K906">
        <v>2</v>
      </c>
    </row>
    <row r="907" spans="1:11" x14ac:dyDescent="0.35">
      <c r="A907" t="s">
        <v>15334</v>
      </c>
      <c r="B907" t="s">
        <v>13215</v>
      </c>
      <c r="C907">
        <v>4298</v>
      </c>
      <c r="D907">
        <v>3658</v>
      </c>
      <c r="E907">
        <v>28</v>
      </c>
      <c r="F907">
        <v>253</v>
      </c>
      <c r="G907">
        <v>359</v>
      </c>
      <c r="I907" t="s">
        <v>15334</v>
      </c>
      <c r="J907" t="s">
        <v>13215</v>
      </c>
      <c r="K907">
        <v>8</v>
      </c>
    </row>
    <row r="908" spans="1:11" x14ac:dyDescent="0.35">
      <c r="A908" t="s">
        <v>15335</v>
      </c>
      <c r="B908" t="s">
        <v>13444</v>
      </c>
      <c r="C908">
        <v>898</v>
      </c>
      <c r="D908">
        <v>696</v>
      </c>
      <c r="E908">
        <v>20</v>
      </c>
      <c r="F908">
        <v>182</v>
      </c>
      <c r="G908">
        <v>0</v>
      </c>
      <c r="I908" t="s">
        <v>15335</v>
      </c>
      <c r="J908" t="s">
        <v>13444</v>
      </c>
      <c r="K908">
        <v>8</v>
      </c>
    </row>
    <row r="909" spans="1:11" x14ac:dyDescent="0.35">
      <c r="A909" t="s">
        <v>15336</v>
      </c>
      <c r="B909" t="s">
        <v>13964</v>
      </c>
      <c r="C909">
        <v>57</v>
      </c>
      <c r="D909">
        <v>0</v>
      </c>
      <c r="E909">
        <v>0</v>
      </c>
      <c r="F909">
        <v>57</v>
      </c>
      <c r="G909">
        <v>0</v>
      </c>
      <c r="I909" t="s">
        <v>15336</v>
      </c>
      <c r="J909" t="s">
        <v>13964</v>
      </c>
      <c r="K909">
        <v>1</v>
      </c>
    </row>
    <row r="910" spans="1:11" x14ac:dyDescent="0.35">
      <c r="A910" t="s">
        <v>15337</v>
      </c>
      <c r="B910" t="s">
        <v>13012</v>
      </c>
      <c r="C910">
        <v>33147</v>
      </c>
      <c r="D910">
        <v>26653</v>
      </c>
      <c r="E910">
        <v>8</v>
      </c>
      <c r="F910">
        <v>2662</v>
      </c>
      <c r="G910">
        <v>3824</v>
      </c>
      <c r="I910" t="s">
        <v>15337</v>
      </c>
      <c r="J910" t="s">
        <v>13012</v>
      </c>
      <c r="K910">
        <v>126</v>
      </c>
    </row>
    <row r="911" spans="1:11" x14ac:dyDescent="0.35">
      <c r="A911" t="s">
        <v>15338</v>
      </c>
      <c r="B911" t="s">
        <v>14229</v>
      </c>
      <c r="C911">
        <v>22</v>
      </c>
      <c r="D911">
        <v>0</v>
      </c>
      <c r="E911">
        <v>0</v>
      </c>
      <c r="F911">
        <v>22</v>
      </c>
      <c r="G911">
        <v>0</v>
      </c>
      <c r="I911" t="s">
        <v>15338</v>
      </c>
      <c r="J911" t="s">
        <v>14229</v>
      </c>
      <c r="K911">
        <v>1</v>
      </c>
    </row>
    <row r="912" spans="1:11" x14ac:dyDescent="0.35">
      <c r="A912" t="s">
        <v>15339</v>
      </c>
      <c r="B912" t="s">
        <v>13230</v>
      </c>
      <c r="C912">
        <v>2172</v>
      </c>
      <c r="D912">
        <v>1729</v>
      </c>
      <c r="E912">
        <v>0</v>
      </c>
      <c r="F912">
        <v>316</v>
      </c>
      <c r="G912">
        <v>127</v>
      </c>
      <c r="I912" t="s">
        <v>15339</v>
      </c>
      <c r="J912" t="s">
        <v>13230</v>
      </c>
      <c r="K912">
        <v>5</v>
      </c>
    </row>
    <row r="913" spans="1:11" x14ac:dyDescent="0.35">
      <c r="A913" t="s">
        <v>15340</v>
      </c>
      <c r="B913" t="s">
        <v>13993</v>
      </c>
      <c r="C913">
        <v>283</v>
      </c>
      <c r="D913">
        <v>283</v>
      </c>
      <c r="E913">
        <v>0</v>
      </c>
      <c r="F913">
        <v>0</v>
      </c>
      <c r="G913">
        <v>0</v>
      </c>
      <c r="I913" t="s">
        <v>15340</v>
      </c>
      <c r="J913" t="s">
        <v>13993</v>
      </c>
      <c r="K913">
        <v>1</v>
      </c>
    </row>
    <row r="914" spans="1:11" x14ac:dyDescent="0.35">
      <c r="A914" t="s">
        <v>15341</v>
      </c>
      <c r="B914" t="s">
        <v>13211</v>
      </c>
      <c r="C914">
        <v>197</v>
      </c>
      <c r="D914">
        <v>5</v>
      </c>
      <c r="E914">
        <v>0</v>
      </c>
      <c r="F914">
        <v>192</v>
      </c>
      <c r="G914">
        <v>0</v>
      </c>
      <c r="I914" t="s">
        <v>15341</v>
      </c>
      <c r="J914" t="s">
        <v>13211</v>
      </c>
      <c r="K914">
        <v>3</v>
      </c>
    </row>
    <row r="915" spans="1:11" x14ac:dyDescent="0.35">
      <c r="A915" t="s">
        <v>15342</v>
      </c>
      <c r="B915" t="s">
        <v>13286</v>
      </c>
      <c r="C915">
        <v>24571</v>
      </c>
      <c r="D915">
        <v>18281</v>
      </c>
      <c r="E915">
        <v>5</v>
      </c>
      <c r="F915">
        <v>4101</v>
      </c>
      <c r="G915">
        <v>2184</v>
      </c>
      <c r="I915" t="s">
        <v>15342</v>
      </c>
      <c r="J915" t="s">
        <v>13286</v>
      </c>
      <c r="K915">
        <v>42</v>
      </c>
    </row>
    <row r="916" spans="1:11" x14ac:dyDescent="0.35">
      <c r="A916" t="s">
        <v>15343</v>
      </c>
      <c r="B916" t="s">
        <v>13413</v>
      </c>
      <c r="C916">
        <v>78</v>
      </c>
      <c r="D916">
        <v>9</v>
      </c>
      <c r="E916">
        <v>0</v>
      </c>
      <c r="F916">
        <v>69</v>
      </c>
      <c r="G916">
        <v>0</v>
      </c>
      <c r="I916" t="s">
        <v>15343</v>
      </c>
      <c r="J916" t="s">
        <v>13413</v>
      </c>
      <c r="K916">
        <v>3</v>
      </c>
    </row>
    <row r="917" spans="1:11" x14ac:dyDescent="0.35">
      <c r="A917" t="s">
        <v>15344</v>
      </c>
      <c r="B917" t="s">
        <v>13370</v>
      </c>
      <c r="C917">
        <v>147</v>
      </c>
      <c r="D917">
        <v>147</v>
      </c>
      <c r="E917">
        <v>0</v>
      </c>
      <c r="F917">
        <v>0</v>
      </c>
      <c r="G917">
        <v>0</v>
      </c>
      <c r="I917" t="s">
        <v>15344</v>
      </c>
      <c r="J917" t="s">
        <v>13370</v>
      </c>
      <c r="K917">
        <v>2</v>
      </c>
    </row>
    <row r="918" spans="1:11" x14ac:dyDescent="0.35">
      <c r="A918" t="s">
        <v>15345</v>
      </c>
      <c r="B918" t="s">
        <v>13921</v>
      </c>
      <c r="C918">
        <v>442</v>
      </c>
      <c r="D918">
        <v>360</v>
      </c>
      <c r="E918">
        <v>0</v>
      </c>
      <c r="F918">
        <v>82</v>
      </c>
      <c r="G918">
        <v>0</v>
      </c>
      <c r="I918" t="s">
        <v>15345</v>
      </c>
      <c r="J918" t="s">
        <v>13921</v>
      </c>
      <c r="K918">
        <v>2</v>
      </c>
    </row>
    <row r="919" spans="1:11" x14ac:dyDescent="0.35">
      <c r="A919" t="s">
        <v>15346</v>
      </c>
      <c r="B919" t="s">
        <v>13800</v>
      </c>
      <c r="C919">
        <v>36</v>
      </c>
      <c r="D919">
        <v>36</v>
      </c>
      <c r="E919">
        <v>0</v>
      </c>
      <c r="F919">
        <v>0</v>
      </c>
      <c r="G919">
        <v>0</v>
      </c>
      <c r="I919" t="s">
        <v>15346</v>
      </c>
      <c r="J919" t="s">
        <v>13800</v>
      </c>
      <c r="K919">
        <v>1</v>
      </c>
    </row>
    <row r="920" spans="1:11" x14ac:dyDescent="0.35">
      <c r="A920" t="s">
        <v>15347</v>
      </c>
      <c r="B920" t="s">
        <v>13013</v>
      </c>
      <c r="C920">
        <v>58</v>
      </c>
      <c r="D920">
        <v>58</v>
      </c>
      <c r="E920">
        <v>0</v>
      </c>
      <c r="F920">
        <v>0</v>
      </c>
      <c r="G920">
        <v>0</v>
      </c>
      <c r="I920" t="s">
        <v>15347</v>
      </c>
      <c r="J920" t="s">
        <v>13013</v>
      </c>
      <c r="K920">
        <v>4</v>
      </c>
    </row>
    <row r="921" spans="1:11" x14ac:dyDescent="0.35">
      <c r="A921" t="s">
        <v>15348</v>
      </c>
      <c r="B921" t="s">
        <v>14103</v>
      </c>
      <c r="C921">
        <v>38</v>
      </c>
      <c r="D921">
        <v>0</v>
      </c>
      <c r="E921">
        <v>0</v>
      </c>
      <c r="F921">
        <v>38</v>
      </c>
      <c r="G921">
        <v>0</v>
      </c>
      <c r="I921" t="s">
        <v>15348</v>
      </c>
      <c r="J921" t="s">
        <v>14103</v>
      </c>
      <c r="K921">
        <v>1</v>
      </c>
    </row>
    <row r="922" spans="1:11" x14ac:dyDescent="0.35">
      <c r="A922" t="s">
        <v>15349</v>
      </c>
      <c r="B922" t="s">
        <v>13010</v>
      </c>
      <c r="C922">
        <v>435</v>
      </c>
      <c r="D922">
        <v>0</v>
      </c>
      <c r="E922">
        <v>0</v>
      </c>
      <c r="F922">
        <v>435</v>
      </c>
      <c r="G922">
        <v>0</v>
      </c>
      <c r="I922" t="s">
        <v>15349</v>
      </c>
      <c r="J922" t="s">
        <v>13010</v>
      </c>
      <c r="K922">
        <v>12</v>
      </c>
    </row>
    <row r="923" spans="1:11" x14ac:dyDescent="0.35">
      <c r="A923" t="s">
        <v>15350</v>
      </c>
      <c r="B923" t="s">
        <v>14344</v>
      </c>
      <c r="C923">
        <v>49</v>
      </c>
      <c r="D923">
        <v>0</v>
      </c>
      <c r="E923">
        <v>0</v>
      </c>
      <c r="F923">
        <v>49</v>
      </c>
      <c r="G923">
        <v>0</v>
      </c>
      <c r="I923" t="s">
        <v>15350</v>
      </c>
      <c r="J923" t="s">
        <v>14344</v>
      </c>
      <c r="K923">
        <v>1</v>
      </c>
    </row>
    <row r="924" spans="1:11" x14ac:dyDescent="0.35">
      <c r="A924" t="s">
        <v>15351</v>
      </c>
      <c r="B924" t="s">
        <v>13700</v>
      </c>
      <c r="C924">
        <v>453</v>
      </c>
      <c r="D924">
        <v>431</v>
      </c>
      <c r="E924">
        <v>0</v>
      </c>
      <c r="F924">
        <v>22</v>
      </c>
      <c r="G924">
        <v>0</v>
      </c>
      <c r="I924" t="s">
        <v>15351</v>
      </c>
      <c r="J924" t="s">
        <v>13700</v>
      </c>
      <c r="K924">
        <v>2</v>
      </c>
    </row>
    <row r="925" spans="1:11" x14ac:dyDescent="0.35">
      <c r="A925" t="s">
        <v>15352</v>
      </c>
      <c r="B925" t="s">
        <v>13774</v>
      </c>
      <c r="C925">
        <v>118</v>
      </c>
      <c r="D925">
        <v>118</v>
      </c>
      <c r="E925">
        <v>0</v>
      </c>
      <c r="F925">
        <v>0</v>
      </c>
      <c r="G925">
        <v>0</v>
      </c>
      <c r="I925" t="s">
        <v>15352</v>
      </c>
      <c r="J925" t="s">
        <v>13774</v>
      </c>
      <c r="K925">
        <v>1</v>
      </c>
    </row>
    <row r="926" spans="1:11" x14ac:dyDescent="0.35">
      <c r="A926" t="s">
        <v>15353</v>
      </c>
      <c r="B926" t="s">
        <v>13216</v>
      </c>
      <c r="C926">
        <v>844</v>
      </c>
      <c r="D926">
        <v>625</v>
      </c>
      <c r="E926">
        <v>0</v>
      </c>
      <c r="F926">
        <v>219</v>
      </c>
      <c r="G926">
        <v>0</v>
      </c>
      <c r="I926" t="s">
        <v>15353</v>
      </c>
      <c r="J926" t="s">
        <v>13216</v>
      </c>
      <c r="K926">
        <v>7</v>
      </c>
    </row>
    <row r="927" spans="1:11" x14ac:dyDescent="0.35">
      <c r="A927" t="s">
        <v>15354</v>
      </c>
      <c r="B927" t="s">
        <v>13992</v>
      </c>
      <c r="C927">
        <v>5</v>
      </c>
      <c r="D927">
        <v>1</v>
      </c>
      <c r="E927">
        <v>0</v>
      </c>
      <c r="F927">
        <v>4</v>
      </c>
      <c r="G927">
        <v>0</v>
      </c>
      <c r="I927" t="s">
        <v>15354</v>
      </c>
      <c r="J927" t="s">
        <v>13992</v>
      </c>
      <c r="K927">
        <v>2</v>
      </c>
    </row>
    <row r="928" spans="1:11" x14ac:dyDescent="0.35">
      <c r="A928" t="s">
        <v>15355</v>
      </c>
      <c r="B928" t="s">
        <v>13725</v>
      </c>
      <c r="C928">
        <v>30</v>
      </c>
      <c r="D928">
        <v>0</v>
      </c>
      <c r="E928">
        <v>0</v>
      </c>
      <c r="F928">
        <v>30</v>
      </c>
      <c r="G928">
        <v>0</v>
      </c>
      <c r="I928" t="s">
        <v>15355</v>
      </c>
      <c r="J928" t="s">
        <v>13725</v>
      </c>
      <c r="K928">
        <v>1</v>
      </c>
    </row>
    <row r="929" spans="1:11" x14ac:dyDescent="0.35">
      <c r="A929" t="s">
        <v>15356</v>
      </c>
      <c r="B929" t="s">
        <v>14206</v>
      </c>
      <c r="C929">
        <v>76</v>
      </c>
      <c r="D929">
        <v>76</v>
      </c>
      <c r="E929">
        <v>0</v>
      </c>
      <c r="F929">
        <v>0</v>
      </c>
      <c r="G929">
        <v>0</v>
      </c>
      <c r="I929" t="s">
        <v>15356</v>
      </c>
      <c r="J929" t="s">
        <v>14206</v>
      </c>
      <c r="K929">
        <v>1</v>
      </c>
    </row>
    <row r="930" spans="1:11" x14ac:dyDescent="0.35">
      <c r="A930" t="s">
        <v>15357</v>
      </c>
      <c r="B930" t="s">
        <v>13810</v>
      </c>
      <c r="C930">
        <v>55</v>
      </c>
      <c r="D930">
        <v>53</v>
      </c>
      <c r="E930">
        <v>2</v>
      </c>
      <c r="F930">
        <v>0</v>
      </c>
      <c r="G930">
        <v>0</v>
      </c>
      <c r="I930" t="s">
        <v>15357</v>
      </c>
      <c r="J930" t="s">
        <v>13810</v>
      </c>
      <c r="K930">
        <v>2</v>
      </c>
    </row>
    <row r="931" spans="1:11" x14ac:dyDescent="0.35">
      <c r="A931" t="s">
        <v>15358</v>
      </c>
      <c r="B931" t="s">
        <v>13786</v>
      </c>
      <c r="C931">
        <v>8</v>
      </c>
      <c r="D931">
        <v>0</v>
      </c>
      <c r="E931">
        <v>0</v>
      </c>
      <c r="F931">
        <v>8</v>
      </c>
      <c r="G931">
        <v>0</v>
      </c>
      <c r="I931" t="s">
        <v>15358</v>
      </c>
      <c r="J931" t="s">
        <v>13786</v>
      </c>
      <c r="K931">
        <v>1</v>
      </c>
    </row>
    <row r="932" spans="1:11" x14ac:dyDescent="0.35">
      <c r="A932" t="s">
        <v>15359</v>
      </c>
      <c r="B932" t="s">
        <v>13502</v>
      </c>
      <c r="C932">
        <v>115</v>
      </c>
      <c r="D932">
        <v>115</v>
      </c>
      <c r="E932">
        <v>0</v>
      </c>
      <c r="F932">
        <v>0</v>
      </c>
      <c r="G932">
        <v>0</v>
      </c>
      <c r="I932" t="s">
        <v>15359</v>
      </c>
      <c r="J932" t="s">
        <v>13502</v>
      </c>
      <c r="K932">
        <v>1</v>
      </c>
    </row>
    <row r="933" spans="1:11" x14ac:dyDescent="0.35">
      <c r="A933" t="s">
        <v>15360</v>
      </c>
      <c r="B933" t="s">
        <v>13414</v>
      </c>
      <c r="C933">
        <v>188</v>
      </c>
      <c r="D933">
        <v>188</v>
      </c>
      <c r="E933">
        <v>0</v>
      </c>
      <c r="F933">
        <v>0</v>
      </c>
      <c r="G933">
        <v>0</v>
      </c>
      <c r="I933" t="s">
        <v>15360</v>
      </c>
      <c r="J933" t="s">
        <v>13414</v>
      </c>
      <c r="K933">
        <v>1</v>
      </c>
    </row>
    <row r="934" spans="1:11" x14ac:dyDescent="0.35">
      <c r="A934" t="s">
        <v>15361</v>
      </c>
      <c r="B934" t="s">
        <v>13389</v>
      </c>
      <c r="C934">
        <v>357</v>
      </c>
      <c r="D934">
        <v>284</v>
      </c>
      <c r="E934">
        <v>0</v>
      </c>
      <c r="F934">
        <v>73</v>
      </c>
      <c r="G934">
        <v>0</v>
      </c>
      <c r="I934" t="s">
        <v>15361</v>
      </c>
      <c r="J934" t="s">
        <v>13389</v>
      </c>
      <c r="K934">
        <v>8</v>
      </c>
    </row>
    <row r="935" spans="1:11" x14ac:dyDescent="0.35">
      <c r="A935" t="s">
        <v>15362</v>
      </c>
      <c r="B935" t="s">
        <v>13199</v>
      </c>
      <c r="C935">
        <v>8290</v>
      </c>
      <c r="D935">
        <v>6286</v>
      </c>
      <c r="E935">
        <v>0</v>
      </c>
      <c r="F935">
        <v>654</v>
      </c>
      <c r="G935">
        <v>1350</v>
      </c>
      <c r="I935" t="s">
        <v>15362</v>
      </c>
      <c r="J935" t="s">
        <v>13199</v>
      </c>
      <c r="K935">
        <v>15</v>
      </c>
    </row>
    <row r="936" spans="1:11" x14ac:dyDescent="0.35">
      <c r="A936" t="s">
        <v>15363</v>
      </c>
      <c r="B936" t="s">
        <v>14063</v>
      </c>
      <c r="C936">
        <v>248</v>
      </c>
      <c r="D936">
        <v>236</v>
      </c>
      <c r="E936">
        <v>0</v>
      </c>
      <c r="F936">
        <v>12</v>
      </c>
      <c r="G936">
        <v>0</v>
      </c>
      <c r="I936" t="s">
        <v>15363</v>
      </c>
      <c r="J936" t="s">
        <v>14063</v>
      </c>
      <c r="K936">
        <v>1</v>
      </c>
    </row>
    <row r="937" spans="1:11" x14ac:dyDescent="0.35">
      <c r="A937" t="s">
        <v>15364</v>
      </c>
      <c r="B937" t="s">
        <v>13284</v>
      </c>
      <c r="C937">
        <v>5728</v>
      </c>
      <c r="D937">
        <v>4640</v>
      </c>
      <c r="E937">
        <v>7</v>
      </c>
      <c r="F937">
        <v>575</v>
      </c>
      <c r="G937">
        <v>506</v>
      </c>
      <c r="I937" t="s">
        <v>15364</v>
      </c>
      <c r="J937" t="s">
        <v>13284</v>
      </c>
      <c r="K937">
        <v>31</v>
      </c>
    </row>
    <row r="938" spans="1:11" x14ac:dyDescent="0.35">
      <c r="A938" t="s">
        <v>15365</v>
      </c>
      <c r="B938" t="s">
        <v>14140</v>
      </c>
      <c r="C938">
        <v>52</v>
      </c>
      <c r="D938">
        <v>0</v>
      </c>
      <c r="E938">
        <v>0</v>
      </c>
      <c r="F938">
        <v>52</v>
      </c>
      <c r="G938">
        <v>0</v>
      </c>
      <c r="I938" t="s">
        <v>15365</v>
      </c>
      <c r="J938" t="s">
        <v>14140</v>
      </c>
      <c r="K938">
        <v>1</v>
      </c>
    </row>
    <row r="939" spans="1:11" x14ac:dyDescent="0.35">
      <c r="A939" t="s">
        <v>15366</v>
      </c>
      <c r="B939" t="s">
        <v>13304</v>
      </c>
      <c r="C939">
        <v>12</v>
      </c>
      <c r="D939">
        <v>12</v>
      </c>
      <c r="E939">
        <v>0</v>
      </c>
      <c r="F939">
        <v>0</v>
      </c>
      <c r="G939">
        <v>0</v>
      </c>
      <c r="I939" t="s">
        <v>15366</v>
      </c>
      <c r="J939" t="s">
        <v>13304</v>
      </c>
      <c r="K939">
        <v>1</v>
      </c>
    </row>
    <row r="940" spans="1:11" x14ac:dyDescent="0.35">
      <c r="A940" t="s">
        <v>15367</v>
      </c>
      <c r="B940" t="s">
        <v>13321</v>
      </c>
      <c r="C940">
        <v>3353</v>
      </c>
      <c r="D940">
        <v>2061</v>
      </c>
      <c r="E940">
        <v>8</v>
      </c>
      <c r="F940">
        <v>1021</v>
      </c>
      <c r="G940">
        <v>263</v>
      </c>
      <c r="I940" t="s">
        <v>15367</v>
      </c>
      <c r="J940" t="s">
        <v>13321</v>
      </c>
      <c r="K940">
        <v>5</v>
      </c>
    </row>
    <row r="941" spans="1:11" x14ac:dyDescent="0.35">
      <c r="A941" t="s">
        <v>15368</v>
      </c>
      <c r="B941" t="s">
        <v>13542</v>
      </c>
      <c r="C941">
        <v>1484</v>
      </c>
      <c r="D941">
        <v>1381</v>
      </c>
      <c r="E941">
        <v>0</v>
      </c>
      <c r="F941">
        <v>0</v>
      </c>
      <c r="G941">
        <v>103</v>
      </c>
      <c r="I941" t="s">
        <v>15368</v>
      </c>
      <c r="J941" t="s">
        <v>13542</v>
      </c>
      <c r="K941">
        <v>13</v>
      </c>
    </row>
    <row r="942" spans="1:11" x14ac:dyDescent="0.35">
      <c r="A942" t="s">
        <v>15369</v>
      </c>
      <c r="B942" t="s">
        <v>13822</v>
      </c>
      <c r="C942">
        <v>45</v>
      </c>
      <c r="D942">
        <v>45</v>
      </c>
      <c r="E942">
        <v>0</v>
      </c>
      <c r="F942">
        <v>0</v>
      </c>
      <c r="G942">
        <v>0</v>
      </c>
      <c r="I942" t="s">
        <v>15369</v>
      </c>
      <c r="J942" t="s">
        <v>13822</v>
      </c>
      <c r="K942">
        <v>1</v>
      </c>
    </row>
    <row r="943" spans="1:11" x14ac:dyDescent="0.35">
      <c r="A943" t="s">
        <v>15370</v>
      </c>
      <c r="B943" t="s">
        <v>13189</v>
      </c>
      <c r="C943">
        <v>546</v>
      </c>
      <c r="D943">
        <v>211</v>
      </c>
      <c r="E943">
        <v>0</v>
      </c>
      <c r="F943">
        <v>335</v>
      </c>
      <c r="G943">
        <v>0</v>
      </c>
      <c r="I943" t="s">
        <v>15370</v>
      </c>
      <c r="J943" t="s">
        <v>13189</v>
      </c>
      <c r="K943">
        <v>6</v>
      </c>
    </row>
    <row r="944" spans="1:11" x14ac:dyDescent="0.35">
      <c r="A944" t="s">
        <v>15371</v>
      </c>
      <c r="B944" t="s">
        <v>14166</v>
      </c>
      <c r="C944">
        <v>60</v>
      </c>
      <c r="D944">
        <v>29</v>
      </c>
      <c r="E944">
        <v>0</v>
      </c>
      <c r="F944">
        <v>31</v>
      </c>
      <c r="G944">
        <v>0</v>
      </c>
      <c r="I944" t="s">
        <v>15371</v>
      </c>
      <c r="J944" t="s">
        <v>14166</v>
      </c>
      <c r="K944">
        <v>1</v>
      </c>
    </row>
    <row r="945" spans="1:11" x14ac:dyDescent="0.35">
      <c r="A945" t="s">
        <v>15372</v>
      </c>
      <c r="B945" t="s">
        <v>13805</v>
      </c>
      <c r="C945">
        <v>299</v>
      </c>
      <c r="D945">
        <v>269</v>
      </c>
      <c r="E945">
        <v>0</v>
      </c>
      <c r="F945">
        <v>30</v>
      </c>
      <c r="G945">
        <v>0</v>
      </c>
      <c r="I945" t="s">
        <v>15372</v>
      </c>
      <c r="J945" t="s">
        <v>13805</v>
      </c>
      <c r="K945">
        <v>1</v>
      </c>
    </row>
    <row r="946" spans="1:11" x14ac:dyDescent="0.35">
      <c r="A946" t="s">
        <v>15373</v>
      </c>
      <c r="B946" t="s">
        <v>14385</v>
      </c>
      <c r="C946">
        <v>92</v>
      </c>
      <c r="D946">
        <v>92</v>
      </c>
      <c r="E946">
        <v>0</v>
      </c>
      <c r="F946">
        <v>0</v>
      </c>
      <c r="G946">
        <v>0</v>
      </c>
      <c r="I946" t="s">
        <v>15373</v>
      </c>
      <c r="J946" t="s">
        <v>14385</v>
      </c>
      <c r="K946">
        <v>1</v>
      </c>
    </row>
    <row r="947" spans="1:11" x14ac:dyDescent="0.35">
      <c r="A947" t="s">
        <v>15374</v>
      </c>
      <c r="B947" t="s">
        <v>14100</v>
      </c>
      <c r="C947">
        <v>35</v>
      </c>
      <c r="D947">
        <v>35</v>
      </c>
      <c r="E947">
        <v>0</v>
      </c>
      <c r="F947">
        <v>0</v>
      </c>
      <c r="G947">
        <v>0</v>
      </c>
      <c r="I947" t="s">
        <v>15374</v>
      </c>
      <c r="J947" t="s">
        <v>14100</v>
      </c>
      <c r="K947">
        <v>1</v>
      </c>
    </row>
    <row r="948" spans="1:11" x14ac:dyDescent="0.35">
      <c r="A948" t="s">
        <v>15375</v>
      </c>
      <c r="B948" t="s">
        <v>13229</v>
      </c>
      <c r="C948">
        <v>42</v>
      </c>
      <c r="D948">
        <v>8</v>
      </c>
      <c r="E948">
        <v>0</v>
      </c>
      <c r="F948">
        <v>34</v>
      </c>
      <c r="G948">
        <v>0</v>
      </c>
      <c r="I948" t="s">
        <v>15375</v>
      </c>
      <c r="J948" t="s">
        <v>13229</v>
      </c>
      <c r="K948">
        <v>1</v>
      </c>
    </row>
    <row r="949" spans="1:11" x14ac:dyDescent="0.35">
      <c r="A949" t="s">
        <v>15376</v>
      </c>
      <c r="B949" t="s">
        <v>13002</v>
      </c>
      <c r="C949">
        <v>47929</v>
      </c>
      <c r="D949">
        <v>38206</v>
      </c>
      <c r="E949">
        <v>0</v>
      </c>
      <c r="F949">
        <v>5920</v>
      </c>
      <c r="G949">
        <v>3803</v>
      </c>
      <c r="I949" t="s">
        <v>15376</v>
      </c>
      <c r="J949" t="s">
        <v>13002</v>
      </c>
      <c r="K949">
        <v>172</v>
      </c>
    </row>
    <row r="950" spans="1:11" x14ac:dyDescent="0.35">
      <c r="A950" t="s">
        <v>15377</v>
      </c>
      <c r="B950" t="s">
        <v>13575</v>
      </c>
      <c r="C950">
        <v>283</v>
      </c>
      <c r="D950">
        <v>17</v>
      </c>
      <c r="E950">
        <v>0</v>
      </c>
      <c r="F950">
        <v>266</v>
      </c>
      <c r="G950">
        <v>0</v>
      </c>
      <c r="I950" t="s">
        <v>15377</v>
      </c>
      <c r="J950" t="s">
        <v>13575</v>
      </c>
      <c r="K950">
        <v>2</v>
      </c>
    </row>
    <row r="951" spans="1:11" x14ac:dyDescent="0.35">
      <c r="A951" t="s">
        <v>15378</v>
      </c>
      <c r="B951" t="s">
        <v>13655</v>
      </c>
      <c r="C951">
        <v>477</v>
      </c>
      <c r="D951">
        <v>229</v>
      </c>
      <c r="E951">
        <v>0</v>
      </c>
      <c r="F951">
        <v>248</v>
      </c>
      <c r="G951">
        <v>0</v>
      </c>
      <c r="I951" t="s">
        <v>15378</v>
      </c>
      <c r="J951" t="s">
        <v>13655</v>
      </c>
      <c r="K951">
        <v>2</v>
      </c>
    </row>
    <row r="952" spans="1:11" x14ac:dyDescent="0.35">
      <c r="A952" t="s">
        <v>15379</v>
      </c>
      <c r="B952" t="s">
        <v>13258</v>
      </c>
      <c r="C952">
        <v>544</v>
      </c>
      <c r="D952">
        <v>64</v>
      </c>
      <c r="E952">
        <v>0</v>
      </c>
      <c r="F952">
        <v>480</v>
      </c>
      <c r="G952">
        <v>0</v>
      </c>
      <c r="I952" t="s">
        <v>15379</v>
      </c>
      <c r="J952" t="s">
        <v>13258</v>
      </c>
      <c r="K952">
        <v>5</v>
      </c>
    </row>
    <row r="953" spans="1:11" x14ac:dyDescent="0.35">
      <c r="A953" t="s">
        <v>15380</v>
      </c>
      <c r="B953" t="s">
        <v>13086</v>
      </c>
      <c r="C953">
        <v>4282</v>
      </c>
      <c r="D953">
        <v>3550</v>
      </c>
      <c r="E953">
        <v>0</v>
      </c>
      <c r="F953">
        <v>162</v>
      </c>
      <c r="G953">
        <v>570</v>
      </c>
      <c r="I953" t="s">
        <v>15380</v>
      </c>
      <c r="J953" t="s">
        <v>13086</v>
      </c>
      <c r="K953">
        <v>18</v>
      </c>
    </row>
    <row r="954" spans="1:11" x14ac:dyDescent="0.35">
      <c r="A954" t="s">
        <v>15381</v>
      </c>
      <c r="B954" t="s">
        <v>13195</v>
      </c>
      <c r="C954">
        <v>421</v>
      </c>
      <c r="D954">
        <v>421</v>
      </c>
      <c r="E954">
        <v>0</v>
      </c>
      <c r="F954">
        <v>0</v>
      </c>
      <c r="G954">
        <v>0</v>
      </c>
      <c r="I954" t="s">
        <v>15381</v>
      </c>
      <c r="J954" t="s">
        <v>13195</v>
      </c>
      <c r="K954">
        <v>4</v>
      </c>
    </row>
    <row r="955" spans="1:11" x14ac:dyDescent="0.35">
      <c r="A955" t="s">
        <v>15382</v>
      </c>
      <c r="B955" t="s">
        <v>13188</v>
      </c>
      <c r="C955">
        <v>6</v>
      </c>
      <c r="D955">
        <v>0</v>
      </c>
      <c r="E955">
        <v>0</v>
      </c>
      <c r="F955">
        <v>6</v>
      </c>
      <c r="G955">
        <v>0</v>
      </c>
      <c r="I955" t="s">
        <v>15382</v>
      </c>
      <c r="J955" t="s">
        <v>13188</v>
      </c>
      <c r="K955">
        <v>1</v>
      </c>
    </row>
    <row r="956" spans="1:11" x14ac:dyDescent="0.35">
      <c r="A956" t="s">
        <v>15383</v>
      </c>
      <c r="B956" t="s">
        <v>13532</v>
      </c>
      <c r="C956">
        <v>361</v>
      </c>
      <c r="D956">
        <v>361</v>
      </c>
      <c r="E956">
        <v>0</v>
      </c>
      <c r="F956">
        <v>0</v>
      </c>
      <c r="G956">
        <v>0</v>
      </c>
      <c r="I956" t="s">
        <v>15383</v>
      </c>
      <c r="J956" t="s">
        <v>13532</v>
      </c>
      <c r="K956">
        <v>2</v>
      </c>
    </row>
    <row r="957" spans="1:11" x14ac:dyDescent="0.35">
      <c r="A957" t="s">
        <v>15384</v>
      </c>
      <c r="B957" t="s">
        <v>13987</v>
      </c>
      <c r="C957">
        <v>293</v>
      </c>
      <c r="D957">
        <v>293</v>
      </c>
      <c r="E957">
        <v>0</v>
      </c>
      <c r="F957">
        <v>0</v>
      </c>
      <c r="G957">
        <v>0</v>
      </c>
      <c r="I957" t="s">
        <v>15384</v>
      </c>
      <c r="J957" t="s">
        <v>13987</v>
      </c>
      <c r="K957">
        <v>2</v>
      </c>
    </row>
    <row r="958" spans="1:11" x14ac:dyDescent="0.35">
      <c r="A958" t="s">
        <v>15385</v>
      </c>
      <c r="B958" t="s">
        <v>13358</v>
      </c>
      <c r="C958">
        <v>235</v>
      </c>
      <c r="D958">
        <v>198</v>
      </c>
      <c r="E958">
        <v>37</v>
      </c>
      <c r="F958">
        <v>0</v>
      </c>
      <c r="G958">
        <v>0</v>
      </c>
      <c r="I958" t="s">
        <v>15385</v>
      </c>
      <c r="J958" t="s">
        <v>13358</v>
      </c>
      <c r="K958">
        <v>6</v>
      </c>
    </row>
    <row r="959" spans="1:11" x14ac:dyDescent="0.35">
      <c r="A959" t="s">
        <v>15386</v>
      </c>
      <c r="B959" t="s">
        <v>13939</v>
      </c>
      <c r="C959">
        <v>543</v>
      </c>
      <c r="D959">
        <v>505</v>
      </c>
      <c r="E959">
        <v>0</v>
      </c>
      <c r="F959">
        <v>38</v>
      </c>
      <c r="G959">
        <v>0</v>
      </c>
      <c r="I959" t="s">
        <v>15386</v>
      </c>
      <c r="J959" t="s">
        <v>13939</v>
      </c>
      <c r="K959">
        <v>2</v>
      </c>
    </row>
    <row r="960" spans="1:11" x14ac:dyDescent="0.35">
      <c r="A960" t="s">
        <v>15387</v>
      </c>
      <c r="B960" t="s">
        <v>13296</v>
      </c>
      <c r="C960">
        <v>405</v>
      </c>
      <c r="D960">
        <v>405</v>
      </c>
      <c r="E960">
        <v>0</v>
      </c>
      <c r="F960">
        <v>0</v>
      </c>
      <c r="G960">
        <v>0</v>
      </c>
      <c r="I960" t="s">
        <v>15387</v>
      </c>
      <c r="J960" t="s">
        <v>13296</v>
      </c>
      <c r="K960">
        <v>9</v>
      </c>
    </row>
    <row r="961" spans="1:11" x14ac:dyDescent="0.35">
      <c r="A961" t="s">
        <v>15388</v>
      </c>
      <c r="B961" t="s">
        <v>13948</v>
      </c>
      <c r="C961">
        <v>276</v>
      </c>
      <c r="D961">
        <v>194</v>
      </c>
      <c r="E961">
        <v>0</v>
      </c>
      <c r="F961">
        <v>82</v>
      </c>
      <c r="G961">
        <v>0</v>
      </c>
      <c r="I961" t="s">
        <v>15388</v>
      </c>
      <c r="J961" t="s">
        <v>13948</v>
      </c>
      <c r="K961">
        <v>1</v>
      </c>
    </row>
    <row r="962" spans="1:11" x14ac:dyDescent="0.35">
      <c r="A962" t="s">
        <v>15389</v>
      </c>
      <c r="B962" t="s">
        <v>13968</v>
      </c>
      <c r="C962">
        <v>1110</v>
      </c>
      <c r="D962">
        <v>958</v>
      </c>
      <c r="E962">
        <v>0</v>
      </c>
      <c r="F962">
        <v>147</v>
      </c>
      <c r="G962">
        <v>5</v>
      </c>
      <c r="I962" t="s">
        <v>15389</v>
      </c>
      <c r="J962" t="s">
        <v>13968</v>
      </c>
      <c r="K962">
        <v>3</v>
      </c>
    </row>
    <row r="963" spans="1:11" x14ac:dyDescent="0.35">
      <c r="A963" t="s">
        <v>15390</v>
      </c>
      <c r="B963" t="s">
        <v>13202</v>
      </c>
      <c r="C963">
        <v>1428</v>
      </c>
      <c r="D963">
        <v>1386</v>
      </c>
      <c r="E963">
        <v>0</v>
      </c>
      <c r="F963">
        <v>0</v>
      </c>
      <c r="G963">
        <v>42</v>
      </c>
      <c r="I963" t="s">
        <v>15390</v>
      </c>
      <c r="J963" t="s">
        <v>13202</v>
      </c>
      <c r="K963">
        <v>3</v>
      </c>
    </row>
    <row r="964" spans="1:11" x14ac:dyDescent="0.35">
      <c r="A964" t="s">
        <v>15391</v>
      </c>
      <c r="B964" t="s">
        <v>13130</v>
      </c>
      <c r="C964">
        <v>156</v>
      </c>
      <c r="D964">
        <v>156</v>
      </c>
      <c r="E964">
        <v>0</v>
      </c>
      <c r="F964">
        <v>0</v>
      </c>
      <c r="G964">
        <v>0</v>
      </c>
      <c r="I964" t="s">
        <v>15391</v>
      </c>
      <c r="J964" t="s">
        <v>13130</v>
      </c>
      <c r="K964">
        <v>3</v>
      </c>
    </row>
    <row r="965" spans="1:11" x14ac:dyDescent="0.35">
      <c r="A965" t="s">
        <v>15392</v>
      </c>
      <c r="B965" t="s">
        <v>13184</v>
      </c>
      <c r="C965">
        <v>3303</v>
      </c>
      <c r="D965">
        <v>2903</v>
      </c>
      <c r="E965">
        <v>0</v>
      </c>
      <c r="F965">
        <v>203</v>
      </c>
      <c r="G965">
        <v>197</v>
      </c>
      <c r="I965" t="s">
        <v>15392</v>
      </c>
      <c r="J965" t="s">
        <v>13184</v>
      </c>
      <c r="K965">
        <v>7</v>
      </c>
    </row>
    <row r="966" spans="1:11" x14ac:dyDescent="0.35">
      <c r="A966" t="s">
        <v>15393</v>
      </c>
      <c r="B966" t="s">
        <v>14271</v>
      </c>
      <c r="C966">
        <v>16</v>
      </c>
      <c r="D966">
        <v>16</v>
      </c>
      <c r="E966">
        <v>0</v>
      </c>
      <c r="F966">
        <v>0</v>
      </c>
      <c r="G966">
        <v>0</v>
      </c>
      <c r="I966" t="s">
        <v>15393</v>
      </c>
      <c r="J966" t="s">
        <v>14271</v>
      </c>
      <c r="K966">
        <v>1</v>
      </c>
    </row>
    <row r="967" spans="1:11" x14ac:dyDescent="0.35">
      <c r="A967" t="s">
        <v>15394</v>
      </c>
      <c r="B967" t="s">
        <v>13070</v>
      </c>
      <c r="C967">
        <v>1585</v>
      </c>
      <c r="D967">
        <v>1300</v>
      </c>
      <c r="E967">
        <v>0</v>
      </c>
      <c r="F967">
        <v>198</v>
      </c>
      <c r="G967">
        <v>87</v>
      </c>
      <c r="I967" t="s">
        <v>15394</v>
      </c>
      <c r="J967" t="s">
        <v>13070</v>
      </c>
      <c r="K967">
        <v>12</v>
      </c>
    </row>
    <row r="968" spans="1:11" x14ac:dyDescent="0.35">
      <c r="A968" t="s">
        <v>15395</v>
      </c>
      <c r="B968" t="s">
        <v>13250</v>
      </c>
      <c r="C968">
        <v>1234</v>
      </c>
      <c r="D968">
        <v>926</v>
      </c>
      <c r="E968">
        <v>0</v>
      </c>
      <c r="F968">
        <v>305</v>
      </c>
      <c r="G968">
        <v>3</v>
      </c>
      <c r="I968" t="s">
        <v>15395</v>
      </c>
      <c r="J968" t="s">
        <v>13250</v>
      </c>
      <c r="K968">
        <v>6</v>
      </c>
    </row>
    <row r="969" spans="1:11" x14ac:dyDescent="0.35">
      <c r="A969" t="s">
        <v>15396</v>
      </c>
      <c r="B969" t="s">
        <v>13872</v>
      </c>
      <c r="C969">
        <v>111</v>
      </c>
      <c r="D969">
        <v>111</v>
      </c>
      <c r="E969">
        <v>0</v>
      </c>
      <c r="F969">
        <v>0</v>
      </c>
      <c r="G969">
        <v>0</v>
      </c>
      <c r="I969" t="s">
        <v>15396</v>
      </c>
      <c r="J969" t="s">
        <v>13872</v>
      </c>
      <c r="K969">
        <v>3</v>
      </c>
    </row>
    <row r="970" spans="1:11" x14ac:dyDescent="0.35">
      <c r="A970" t="s">
        <v>15397</v>
      </c>
      <c r="B970" t="s">
        <v>14057</v>
      </c>
      <c r="C970">
        <v>485</v>
      </c>
      <c r="D970">
        <v>485</v>
      </c>
      <c r="E970">
        <v>0</v>
      </c>
      <c r="F970">
        <v>0</v>
      </c>
      <c r="G970">
        <v>0</v>
      </c>
      <c r="I970" t="s">
        <v>15397</v>
      </c>
      <c r="J970" t="s">
        <v>14057</v>
      </c>
      <c r="K970">
        <v>5</v>
      </c>
    </row>
    <row r="971" spans="1:11" x14ac:dyDescent="0.35">
      <c r="A971" t="s">
        <v>15398</v>
      </c>
      <c r="B971" t="s">
        <v>13522</v>
      </c>
      <c r="C971">
        <v>66</v>
      </c>
      <c r="D971">
        <v>66</v>
      </c>
      <c r="E971">
        <v>0</v>
      </c>
      <c r="F971">
        <v>0</v>
      </c>
      <c r="G971">
        <v>0</v>
      </c>
      <c r="I971" t="s">
        <v>15398</v>
      </c>
      <c r="J971" t="s">
        <v>13522</v>
      </c>
      <c r="K971">
        <v>2</v>
      </c>
    </row>
    <row r="972" spans="1:11" x14ac:dyDescent="0.35">
      <c r="A972" t="s">
        <v>15399</v>
      </c>
      <c r="B972" t="s">
        <v>13613</v>
      </c>
      <c r="C972">
        <v>194</v>
      </c>
      <c r="D972">
        <v>194</v>
      </c>
      <c r="E972">
        <v>0</v>
      </c>
      <c r="F972">
        <v>0</v>
      </c>
      <c r="G972">
        <v>0</v>
      </c>
      <c r="I972" t="s">
        <v>15399</v>
      </c>
      <c r="J972" t="s">
        <v>13613</v>
      </c>
      <c r="K972">
        <v>6</v>
      </c>
    </row>
    <row r="973" spans="1:11" x14ac:dyDescent="0.35">
      <c r="A973" t="s">
        <v>15400</v>
      </c>
      <c r="B973" t="s">
        <v>13373</v>
      </c>
      <c r="C973">
        <v>3</v>
      </c>
      <c r="D973">
        <v>3</v>
      </c>
      <c r="E973">
        <v>0</v>
      </c>
      <c r="F973">
        <v>0</v>
      </c>
      <c r="G973">
        <v>0</v>
      </c>
      <c r="I973" t="s">
        <v>15400</v>
      </c>
      <c r="J973" t="s">
        <v>13373</v>
      </c>
      <c r="K973">
        <v>2</v>
      </c>
    </row>
    <row r="974" spans="1:11" x14ac:dyDescent="0.35">
      <c r="A974" t="s">
        <v>15401</v>
      </c>
      <c r="B974" t="s">
        <v>14370</v>
      </c>
      <c r="C974">
        <v>494</v>
      </c>
      <c r="D974">
        <v>494</v>
      </c>
      <c r="E974">
        <v>0</v>
      </c>
      <c r="F974">
        <v>0</v>
      </c>
      <c r="G974">
        <v>0</v>
      </c>
      <c r="I974" t="s">
        <v>15401</v>
      </c>
      <c r="J974" t="s">
        <v>14370</v>
      </c>
      <c r="K974">
        <v>1</v>
      </c>
    </row>
    <row r="975" spans="1:11" x14ac:dyDescent="0.35">
      <c r="A975" t="s">
        <v>15402</v>
      </c>
      <c r="B975" t="s">
        <v>13827</v>
      </c>
      <c r="C975">
        <v>57</v>
      </c>
      <c r="D975">
        <v>40</v>
      </c>
      <c r="E975">
        <v>1</v>
      </c>
      <c r="F975">
        <v>16</v>
      </c>
      <c r="G975">
        <v>0</v>
      </c>
      <c r="I975" t="s">
        <v>15402</v>
      </c>
      <c r="J975" t="s">
        <v>13827</v>
      </c>
      <c r="K975">
        <v>3</v>
      </c>
    </row>
    <row r="976" spans="1:11" x14ac:dyDescent="0.35">
      <c r="A976" t="s">
        <v>15403</v>
      </c>
      <c r="B976" t="s">
        <v>14045</v>
      </c>
      <c r="C976">
        <v>353</v>
      </c>
      <c r="D976">
        <v>353</v>
      </c>
      <c r="E976">
        <v>0</v>
      </c>
      <c r="F976">
        <v>0</v>
      </c>
      <c r="G976">
        <v>0</v>
      </c>
      <c r="I976" t="s">
        <v>15403</v>
      </c>
      <c r="J976" t="s">
        <v>14045</v>
      </c>
      <c r="K976">
        <v>2</v>
      </c>
    </row>
    <row r="977" spans="1:11" x14ac:dyDescent="0.35">
      <c r="A977" t="s">
        <v>15404</v>
      </c>
      <c r="B977" t="s">
        <v>13399</v>
      </c>
      <c r="C977">
        <v>29</v>
      </c>
      <c r="D977">
        <v>29</v>
      </c>
      <c r="E977">
        <v>0</v>
      </c>
      <c r="F977">
        <v>0</v>
      </c>
      <c r="G977">
        <v>0</v>
      </c>
      <c r="I977" t="s">
        <v>15404</v>
      </c>
      <c r="J977" t="s">
        <v>13399</v>
      </c>
      <c r="K977">
        <v>1</v>
      </c>
    </row>
    <row r="978" spans="1:11" x14ac:dyDescent="0.35">
      <c r="A978" t="s">
        <v>15405</v>
      </c>
      <c r="B978" t="s">
        <v>13074</v>
      </c>
      <c r="C978">
        <v>1559</v>
      </c>
      <c r="D978">
        <v>1164</v>
      </c>
      <c r="E978">
        <v>0</v>
      </c>
      <c r="F978">
        <v>0</v>
      </c>
      <c r="G978">
        <v>395</v>
      </c>
      <c r="I978" t="s">
        <v>15405</v>
      </c>
      <c r="J978" t="s">
        <v>13074</v>
      </c>
      <c r="K978">
        <v>48</v>
      </c>
    </row>
    <row r="979" spans="1:11" x14ac:dyDescent="0.35">
      <c r="A979" t="s">
        <v>15406</v>
      </c>
      <c r="B979" t="s">
        <v>13760</v>
      </c>
      <c r="C979">
        <v>3</v>
      </c>
      <c r="D979">
        <v>3</v>
      </c>
      <c r="E979">
        <v>0</v>
      </c>
      <c r="F979">
        <v>0</v>
      </c>
      <c r="G979">
        <v>0</v>
      </c>
      <c r="I979" t="s">
        <v>15406</v>
      </c>
      <c r="J979" t="s">
        <v>13760</v>
      </c>
      <c r="K979">
        <v>1</v>
      </c>
    </row>
    <row r="980" spans="1:11" x14ac:dyDescent="0.35">
      <c r="A980" t="s">
        <v>15407</v>
      </c>
      <c r="B980" t="s">
        <v>13077</v>
      </c>
      <c r="C980">
        <v>34308</v>
      </c>
      <c r="D980">
        <v>30793</v>
      </c>
      <c r="E980">
        <v>10</v>
      </c>
      <c r="F980">
        <v>3450</v>
      </c>
      <c r="G980">
        <v>55</v>
      </c>
      <c r="I980" t="s">
        <v>15407</v>
      </c>
      <c r="J980" t="s">
        <v>13077</v>
      </c>
      <c r="K980">
        <v>63</v>
      </c>
    </row>
    <row r="981" spans="1:11" x14ac:dyDescent="0.35">
      <c r="A981" t="s">
        <v>15408</v>
      </c>
      <c r="B981" t="s">
        <v>13169</v>
      </c>
      <c r="C981">
        <v>5752</v>
      </c>
      <c r="D981">
        <v>4526</v>
      </c>
      <c r="E981">
        <v>47</v>
      </c>
      <c r="F981">
        <v>572</v>
      </c>
      <c r="G981">
        <v>607</v>
      </c>
      <c r="I981" t="s">
        <v>15408</v>
      </c>
      <c r="J981" t="s">
        <v>13169</v>
      </c>
      <c r="K981">
        <v>9</v>
      </c>
    </row>
    <row r="982" spans="1:11" x14ac:dyDescent="0.35">
      <c r="A982" t="s">
        <v>15409</v>
      </c>
      <c r="B982" t="s">
        <v>13973</v>
      </c>
      <c r="C982">
        <v>275</v>
      </c>
      <c r="D982">
        <v>275</v>
      </c>
      <c r="E982">
        <v>0</v>
      </c>
      <c r="F982">
        <v>0</v>
      </c>
      <c r="G982">
        <v>0</v>
      </c>
      <c r="I982" t="s">
        <v>15409</v>
      </c>
      <c r="J982" t="s">
        <v>13973</v>
      </c>
      <c r="K982">
        <v>1</v>
      </c>
    </row>
    <row r="983" spans="1:11" x14ac:dyDescent="0.35">
      <c r="A983" t="s">
        <v>15410</v>
      </c>
      <c r="B983" t="s">
        <v>13262</v>
      </c>
      <c r="C983">
        <v>2456</v>
      </c>
      <c r="D983">
        <v>2282</v>
      </c>
      <c r="E983">
        <v>0</v>
      </c>
      <c r="F983">
        <v>128</v>
      </c>
      <c r="G983">
        <v>46</v>
      </c>
      <c r="I983" t="s">
        <v>15410</v>
      </c>
      <c r="J983" t="s">
        <v>13262</v>
      </c>
      <c r="K983">
        <v>1</v>
      </c>
    </row>
    <row r="984" spans="1:11" x14ac:dyDescent="0.35">
      <c r="A984" t="s">
        <v>15411</v>
      </c>
      <c r="B984" t="s">
        <v>13008</v>
      </c>
      <c r="C984">
        <v>6210</v>
      </c>
      <c r="D984">
        <v>123</v>
      </c>
      <c r="E984">
        <v>0</v>
      </c>
      <c r="F984">
        <v>0</v>
      </c>
      <c r="G984">
        <v>6087</v>
      </c>
      <c r="I984" t="s">
        <v>15411</v>
      </c>
      <c r="J984" t="s">
        <v>13008</v>
      </c>
      <c r="K984">
        <v>81</v>
      </c>
    </row>
    <row r="985" spans="1:11" x14ac:dyDescent="0.35">
      <c r="A985" t="s">
        <v>15412</v>
      </c>
      <c r="B985" t="s">
        <v>13403</v>
      </c>
      <c r="C985">
        <v>7641</v>
      </c>
      <c r="D985">
        <v>6003</v>
      </c>
      <c r="E985">
        <v>0</v>
      </c>
      <c r="F985">
        <v>729</v>
      </c>
      <c r="G985">
        <v>909</v>
      </c>
      <c r="I985" t="s">
        <v>15412</v>
      </c>
      <c r="J985" t="s">
        <v>13403</v>
      </c>
      <c r="K985">
        <v>10</v>
      </c>
    </row>
    <row r="986" spans="1:11" x14ac:dyDescent="0.35">
      <c r="A986" t="s">
        <v>15413</v>
      </c>
      <c r="B986" t="s">
        <v>13581</v>
      </c>
      <c r="C986">
        <v>1819</v>
      </c>
      <c r="D986">
        <v>1573</v>
      </c>
      <c r="E986">
        <v>0</v>
      </c>
      <c r="F986">
        <v>149</v>
      </c>
      <c r="G986">
        <v>97</v>
      </c>
      <c r="I986" t="s">
        <v>15413</v>
      </c>
      <c r="J986" t="s">
        <v>13581</v>
      </c>
      <c r="K986">
        <v>2</v>
      </c>
    </row>
    <row r="987" spans="1:11" x14ac:dyDescent="0.35">
      <c r="A987" t="s">
        <v>15414</v>
      </c>
      <c r="B987" t="s">
        <v>13106</v>
      </c>
      <c r="C987">
        <v>8518</v>
      </c>
      <c r="D987">
        <v>7212</v>
      </c>
      <c r="E987">
        <v>675</v>
      </c>
      <c r="F987">
        <v>347</v>
      </c>
      <c r="G987">
        <v>284</v>
      </c>
      <c r="I987" t="s">
        <v>15414</v>
      </c>
      <c r="J987" t="s">
        <v>13106</v>
      </c>
      <c r="K987">
        <v>22</v>
      </c>
    </row>
    <row r="988" spans="1:11" x14ac:dyDescent="0.35">
      <c r="A988" t="s">
        <v>15415</v>
      </c>
      <c r="B988" t="s">
        <v>13154</v>
      </c>
      <c r="C988">
        <v>37174</v>
      </c>
      <c r="D988">
        <v>34346</v>
      </c>
      <c r="E988">
        <v>0</v>
      </c>
      <c r="F988">
        <v>1069</v>
      </c>
      <c r="G988">
        <v>1759</v>
      </c>
      <c r="I988" t="s">
        <v>15415</v>
      </c>
      <c r="J988" t="s">
        <v>13154</v>
      </c>
      <c r="K988">
        <v>33</v>
      </c>
    </row>
    <row r="989" spans="1:11" x14ac:dyDescent="0.35">
      <c r="A989" t="s">
        <v>15416</v>
      </c>
      <c r="B989" t="s">
        <v>14022</v>
      </c>
      <c r="C989">
        <v>1375</v>
      </c>
      <c r="D989">
        <v>1354</v>
      </c>
      <c r="E989">
        <v>0</v>
      </c>
      <c r="F989">
        <v>19</v>
      </c>
      <c r="G989">
        <v>2</v>
      </c>
      <c r="I989" t="s">
        <v>15416</v>
      </c>
      <c r="J989" t="s">
        <v>14022</v>
      </c>
      <c r="K989">
        <v>3</v>
      </c>
    </row>
    <row r="990" spans="1:11" x14ac:dyDescent="0.35">
      <c r="A990" t="s">
        <v>15417</v>
      </c>
      <c r="B990" t="s">
        <v>13738</v>
      </c>
      <c r="C990">
        <v>5545</v>
      </c>
      <c r="D990">
        <v>5147</v>
      </c>
      <c r="E990">
        <v>0</v>
      </c>
      <c r="F990">
        <v>0</v>
      </c>
      <c r="G990">
        <v>398</v>
      </c>
      <c r="I990" t="s">
        <v>15417</v>
      </c>
      <c r="J990" t="s">
        <v>13738</v>
      </c>
      <c r="K990">
        <v>2</v>
      </c>
    </row>
    <row r="991" spans="1:11" x14ac:dyDescent="0.35">
      <c r="A991" t="s">
        <v>15418</v>
      </c>
      <c r="B991" t="s">
        <v>13167</v>
      </c>
      <c r="C991">
        <v>32582</v>
      </c>
      <c r="D991">
        <v>26499</v>
      </c>
      <c r="E991">
        <v>64</v>
      </c>
      <c r="F991">
        <v>3306</v>
      </c>
      <c r="G991">
        <v>2713</v>
      </c>
      <c r="I991" t="s">
        <v>15418</v>
      </c>
      <c r="J991" t="s">
        <v>13167</v>
      </c>
      <c r="K991">
        <v>37</v>
      </c>
    </row>
    <row r="992" spans="1:11" x14ac:dyDescent="0.35">
      <c r="A992" t="s">
        <v>15419</v>
      </c>
      <c r="B992" t="s">
        <v>14021</v>
      </c>
      <c r="C992">
        <v>19</v>
      </c>
      <c r="D992">
        <v>0</v>
      </c>
      <c r="E992">
        <v>0</v>
      </c>
      <c r="F992">
        <v>19</v>
      </c>
      <c r="G992">
        <v>0</v>
      </c>
      <c r="I992" t="s">
        <v>15419</v>
      </c>
      <c r="J992" t="s">
        <v>14021</v>
      </c>
      <c r="K992">
        <v>3</v>
      </c>
    </row>
    <row r="993" spans="1:11" x14ac:dyDescent="0.35">
      <c r="A993" t="s">
        <v>15420</v>
      </c>
      <c r="B993" t="s">
        <v>14180</v>
      </c>
      <c r="C993">
        <v>113</v>
      </c>
      <c r="D993">
        <v>0</v>
      </c>
      <c r="E993">
        <v>0</v>
      </c>
      <c r="F993">
        <v>113</v>
      </c>
      <c r="G993">
        <v>0</v>
      </c>
      <c r="I993" t="s">
        <v>15420</v>
      </c>
      <c r="J993" t="s">
        <v>14180</v>
      </c>
      <c r="K993">
        <v>1</v>
      </c>
    </row>
    <row r="994" spans="1:11" x14ac:dyDescent="0.35">
      <c r="A994" t="s">
        <v>15421</v>
      </c>
      <c r="B994" t="s">
        <v>14270</v>
      </c>
      <c r="C994">
        <v>944</v>
      </c>
      <c r="D994">
        <v>944</v>
      </c>
      <c r="E994">
        <v>0</v>
      </c>
      <c r="F994">
        <v>0</v>
      </c>
      <c r="G994">
        <v>0</v>
      </c>
      <c r="I994" t="s">
        <v>15421</v>
      </c>
      <c r="J994" t="s">
        <v>14270</v>
      </c>
      <c r="K994">
        <v>1</v>
      </c>
    </row>
    <row r="995" spans="1:11" x14ac:dyDescent="0.35">
      <c r="A995" t="s">
        <v>15422</v>
      </c>
      <c r="B995" t="s">
        <v>13500</v>
      </c>
      <c r="C995">
        <v>1632</v>
      </c>
      <c r="D995">
        <v>1190</v>
      </c>
      <c r="E995">
        <v>256</v>
      </c>
      <c r="F995">
        <v>72</v>
      </c>
      <c r="G995">
        <v>114</v>
      </c>
      <c r="I995" t="s">
        <v>15422</v>
      </c>
      <c r="J995" t="s">
        <v>13500</v>
      </c>
      <c r="K995">
        <v>14</v>
      </c>
    </row>
    <row r="996" spans="1:11" x14ac:dyDescent="0.35">
      <c r="A996" t="s">
        <v>15423</v>
      </c>
      <c r="B996" t="s">
        <v>14115</v>
      </c>
      <c r="C996">
        <v>82</v>
      </c>
      <c r="D996">
        <v>0</v>
      </c>
      <c r="E996">
        <v>0</v>
      </c>
      <c r="F996">
        <v>82</v>
      </c>
      <c r="G996">
        <v>0</v>
      </c>
      <c r="I996" t="s">
        <v>15423</v>
      </c>
      <c r="J996" t="s">
        <v>14115</v>
      </c>
      <c r="K996">
        <v>1</v>
      </c>
    </row>
    <row r="997" spans="1:11" x14ac:dyDescent="0.35">
      <c r="A997" t="s">
        <v>15424</v>
      </c>
      <c r="B997" t="s">
        <v>13378</v>
      </c>
      <c r="C997">
        <v>1</v>
      </c>
      <c r="D997">
        <v>1</v>
      </c>
      <c r="E997">
        <v>0</v>
      </c>
      <c r="F997">
        <v>0</v>
      </c>
      <c r="G997">
        <v>0</v>
      </c>
      <c r="I997" t="s">
        <v>15424</v>
      </c>
      <c r="J997" t="s">
        <v>13378</v>
      </c>
      <c r="K997">
        <v>1</v>
      </c>
    </row>
    <row r="998" spans="1:11" x14ac:dyDescent="0.35">
      <c r="A998" t="s">
        <v>15425</v>
      </c>
      <c r="B998" t="s">
        <v>13234</v>
      </c>
      <c r="C998">
        <v>142</v>
      </c>
      <c r="D998">
        <v>0</v>
      </c>
      <c r="E998">
        <v>0</v>
      </c>
      <c r="F998">
        <v>142</v>
      </c>
      <c r="G998">
        <v>0</v>
      </c>
      <c r="I998" t="s">
        <v>15425</v>
      </c>
      <c r="J998" t="s">
        <v>13234</v>
      </c>
      <c r="K998">
        <v>1</v>
      </c>
    </row>
    <row r="999" spans="1:11" x14ac:dyDescent="0.35">
      <c r="A999" t="s">
        <v>15426</v>
      </c>
      <c r="B999" t="s">
        <v>13495</v>
      </c>
      <c r="C999">
        <v>13859</v>
      </c>
      <c r="D999">
        <v>13291</v>
      </c>
      <c r="E999">
        <v>5</v>
      </c>
      <c r="F999">
        <v>185</v>
      </c>
      <c r="G999">
        <v>378</v>
      </c>
      <c r="I999" t="s">
        <v>15426</v>
      </c>
      <c r="J999" t="s">
        <v>13495</v>
      </c>
      <c r="K999">
        <v>3</v>
      </c>
    </row>
    <row r="1000" spans="1:11" x14ac:dyDescent="0.35">
      <c r="A1000" t="s">
        <v>15427</v>
      </c>
      <c r="B1000" t="s">
        <v>13852</v>
      </c>
      <c r="C1000">
        <v>2240</v>
      </c>
      <c r="D1000">
        <v>2171</v>
      </c>
      <c r="E1000">
        <v>0</v>
      </c>
      <c r="F1000">
        <v>42</v>
      </c>
      <c r="G1000">
        <v>27</v>
      </c>
      <c r="I1000" t="s">
        <v>15427</v>
      </c>
      <c r="J1000" t="s">
        <v>13852</v>
      </c>
      <c r="K1000">
        <v>1</v>
      </c>
    </row>
    <row r="1001" spans="1:11" x14ac:dyDescent="0.35">
      <c r="A1001" t="s">
        <v>15428</v>
      </c>
      <c r="B1001" t="s">
        <v>13064</v>
      </c>
      <c r="C1001">
        <v>6782</v>
      </c>
      <c r="D1001">
        <v>5884</v>
      </c>
      <c r="E1001">
        <v>1</v>
      </c>
      <c r="F1001">
        <v>258</v>
      </c>
      <c r="G1001">
        <v>639</v>
      </c>
      <c r="I1001" t="s">
        <v>15428</v>
      </c>
      <c r="J1001" t="s">
        <v>13064</v>
      </c>
      <c r="K1001">
        <v>18</v>
      </c>
    </row>
    <row r="1002" spans="1:11" x14ac:dyDescent="0.35">
      <c r="A1002" t="s">
        <v>15429</v>
      </c>
      <c r="B1002" t="s">
        <v>13945</v>
      </c>
      <c r="C1002">
        <v>3815</v>
      </c>
      <c r="D1002">
        <v>3652</v>
      </c>
      <c r="E1002">
        <v>0</v>
      </c>
      <c r="F1002">
        <v>123</v>
      </c>
      <c r="G1002">
        <v>40</v>
      </c>
      <c r="I1002" t="s">
        <v>15429</v>
      </c>
      <c r="J1002" t="s">
        <v>13945</v>
      </c>
      <c r="K1002">
        <v>1</v>
      </c>
    </row>
    <row r="1003" spans="1:11" x14ac:dyDescent="0.35">
      <c r="A1003" t="s">
        <v>15430</v>
      </c>
      <c r="B1003" t="s">
        <v>13446</v>
      </c>
      <c r="C1003">
        <v>9318</v>
      </c>
      <c r="D1003">
        <v>8263</v>
      </c>
      <c r="E1003">
        <v>0</v>
      </c>
      <c r="F1003">
        <v>543</v>
      </c>
      <c r="G1003">
        <v>512</v>
      </c>
      <c r="I1003" t="s">
        <v>15430</v>
      </c>
      <c r="J1003" t="s">
        <v>13446</v>
      </c>
      <c r="K1003">
        <v>9</v>
      </c>
    </row>
    <row r="1004" spans="1:11" x14ac:dyDescent="0.35">
      <c r="A1004" t="s">
        <v>15431</v>
      </c>
      <c r="B1004" t="s">
        <v>13079</v>
      </c>
      <c r="C1004">
        <v>12640</v>
      </c>
      <c r="D1004">
        <v>10263</v>
      </c>
      <c r="E1004">
        <v>0</v>
      </c>
      <c r="F1004">
        <v>930</v>
      </c>
      <c r="G1004">
        <v>1447</v>
      </c>
      <c r="I1004" t="s">
        <v>15431</v>
      </c>
      <c r="J1004" t="s">
        <v>13079</v>
      </c>
      <c r="K1004">
        <v>30</v>
      </c>
    </row>
    <row r="1005" spans="1:11" x14ac:dyDescent="0.35">
      <c r="A1005" t="s">
        <v>15432</v>
      </c>
      <c r="B1005" t="s">
        <v>13407</v>
      </c>
      <c r="C1005">
        <v>5408</v>
      </c>
      <c r="D1005">
        <v>3928</v>
      </c>
      <c r="E1005">
        <v>0</v>
      </c>
      <c r="F1005">
        <v>1478</v>
      </c>
      <c r="G1005">
        <v>2</v>
      </c>
      <c r="I1005" t="s">
        <v>15432</v>
      </c>
      <c r="J1005" t="s">
        <v>13407</v>
      </c>
      <c r="K1005">
        <v>10</v>
      </c>
    </row>
    <row r="1006" spans="1:11" x14ac:dyDescent="0.35">
      <c r="A1006" t="s">
        <v>15433</v>
      </c>
      <c r="B1006" t="s">
        <v>14309</v>
      </c>
      <c r="C1006">
        <v>2050</v>
      </c>
      <c r="D1006">
        <v>1998</v>
      </c>
      <c r="E1006">
        <v>0</v>
      </c>
      <c r="F1006">
        <v>0</v>
      </c>
      <c r="G1006">
        <v>52</v>
      </c>
      <c r="I1006" t="s">
        <v>15433</v>
      </c>
      <c r="J1006" t="s">
        <v>14309</v>
      </c>
      <c r="K1006">
        <v>1</v>
      </c>
    </row>
    <row r="1007" spans="1:11" x14ac:dyDescent="0.35">
      <c r="A1007" t="s">
        <v>15434</v>
      </c>
      <c r="B1007" t="s">
        <v>13779</v>
      </c>
      <c r="C1007">
        <v>7691</v>
      </c>
      <c r="D1007">
        <v>7060</v>
      </c>
      <c r="E1007">
        <v>0</v>
      </c>
      <c r="F1007">
        <v>414</v>
      </c>
      <c r="G1007">
        <v>217</v>
      </c>
      <c r="I1007" t="s">
        <v>15434</v>
      </c>
      <c r="J1007" t="s">
        <v>13779</v>
      </c>
      <c r="K1007">
        <v>5</v>
      </c>
    </row>
    <row r="1008" spans="1:11" x14ac:dyDescent="0.35">
      <c r="A1008" t="s">
        <v>15435</v>
      </c>
      <c r="B1008" t="s">
        <v>13056</v>
      </c>
      <c r="C1008">
        <v>6232</v>
      </c>
      <c r="D1008">
        <v>4304</v>
      </c>
      <c r="E1008">
        <v>0</v>
      </c>
      <c r="F1008">
        <v>1458</v>
      </c>
      <c r="G1008">
        <v>470</v>
      </c>
      <c r="I1008" t="s">
        <v>15435</v>
      </c>
      <c r="J1008" t="s">
        <v>13056</v>
      </c>
      <c r="K1008">
        <v>12</v>
      </c>
    </row>
    <row r="1009" spans="1:11" x14ac:dyDescent="0.35">
      <c r="A1009" t="s">
        <v>15436</v>
      </c>
      <c r="B1009" t="s">
        <v>13053</v>
      </c>
      <c r="C1009">
        <v>6137</v>
      </c>
      <c r="D1009">
        <v>5487</v>
      </c>
      <c r="E1009">
        <v>0</v>
      </c>
      <c r="F1009">
        <v>441</v>
      </c>
      <c r="G1009">
        <v>209</v>
      </c>
      <c r="I1009" t="s">
        <v>15436</v>
      </c>
      <c r="J1009" t="s">
        <v>13053</v>
      </c>
      <c r="K1009">
        <v>9</v>
      </c>
    </row>
    <row r="1010" spans="1:11" x14ac:dyDescent="0.35">
      <c r="A1010" t="s">
        <v>15437</v>
      </c>
      <c r="B1010" t="s">
        <v>13608</v>
      </c>
      <c r="C1010">
        <v>6719</v>
      </c>
      <c r="D1010">
        <v>6204</v>
      </c>
      <c r="E1010">
        <v>0</v>
      </c>
      <c r="F1010">
        <v>167</v>
      </c>
      <c r="G1010">
        <v>348</v>
      </c>
      <c r="I1010" t="s">
        <v>15437</v>
      </c>
      <c r="J1010" t="s">
        <v>13608</v>
      </c>
      <c r="K1010">
        <v>6</v>
      </c>
    </row>
    <row r="1011" spans="1:11" x14ac:dyDescent="0.35">
      <c r="A1011" t="s">
        <v>15438</v>
      </c>
      <c r="B1011" t="s">
        <v>13474</v>
      </c>
      <c r="C1011">
        <v>5728</v>
      </c>
      <c r="D1011">
        <v>5166</v>
      </c>
      <c r="E1011">
        <v>0</v>
      </c>
      <c r="F1011">
        <v>0</v>
      </c>
      <c r="G1011">
        <v>562</v>
      </c>
      <c r="I1011" t="s">
        <v>15438</v>
      </c>
      <c r="J1011" t="s">
        <v>13474</v>
      </c>
      <c r="K1011">
        <v>9</v>
      </c>
    </row>
    <row r="1012" spans="1:11" x14ac:dyDescent="0.35">
      <c r="A1012" t="s">
        <v>15439</v>
      </c>
      <c r="B1012" t="s">
        <v>13553</v>
      </c>
      <c r="C1012">
        <v>28717</v>
      </c>
      <c r="D1012">
        <v>28159</v>
      </c>
      <c r="E1012">
        <v>0</v>
      </c>
      <c r="F1012">
        <v>376</v>
      </c>
      <c r="G1012">
        <v>182</v>
      </c>
      <c r="I1012" t="s">
        <v>15439</v>
      </c>
      <c r="J1012" t="s">
        <v>13553</v>
      </c>
      <c r="K1012">
        <v>6</v>
      </c>
    </row>
    <row r="1013" spans="1:11" x14ac:dyDescent="0.35">
      <c r="A1013" t="s">
        <v>15440</v>
      </c>
      <c r="B1013" t="s">
        <v>13083</v>
      </c>
      <c r="C1013">
        <v>10608</v>
      </c>
      <c r="D1013">
        <v>9917</v>
      </c>
      <c r="E1013">
        <v>0</v>
      </c>
      <c r="F1013">
        <v>46</v>
      </c>
      <c r="G1013">
        <v>645</v>
      </c>
      <c r="I1013" t="s">
        <v>15440</v>
      </c>
      <c r="J1013" t="s">
        <v>13083</v>
      </c>
      <c r="K1013">
        <v>16</v>
      </c>
    </row>
    <row r="1014" spans="1:11" x14ac:dyDescent="0.35">
      <c r="A1014" t="s">
        <v>15441</v>
      </c>
      <c r="B1014" t="s">
        <v>13569</v>
      </c>
      <c r="C1014">
        <v>6274</v>
      </c>
      <c r="D1014">
        <v>5419</v>
      </c>
      <c r="E1014">
        <v>0</v>
      </c>
      <c r="F1014">
        <v>361</v>
      </c>
      <c r="G1014">
        <v>494</v>
      </c>
      <c r="I1014" t="s">
        <v>15441</v>
      </c>
      <c r="J1014" t="s">
        <v>13569</v>
      </c>
      <c r="K1014">
        <v>11</v>
      </c>
    </row>
    <row r="1015" spans="1:11" x14ac:dyDescent="0.35">
      <c r="A1015" t="s">
        <v>15442</v>
      </c>
      <c r="B1015" t="s">
        <v>13494</v>
      </c>
      <c r="C1015">
        <v>6592</v>
      </c>
      <c r="D1015">
        <v>6256</v>
      </c>
      <c r="E1015">
        <v>0</v>
      </c>
      <c r="F1015">
        <v>109</v>
      </c>
      <c r="G1015">
        <v>227</v>
      </c>
      <c r="I1015" t="s">
        <v>15442</v>
      </c>
      <c r="J1015" t="s">
        <v>13494</v>
      </c>
      <c r="K1015">
        <v>4</v>
      </c>
    </row>
    <row r="1016" spans="1:11" x14ac:dyDescent="0.35">
      <c r="A1016" t="s">
        <v>15443</v>
      </c>
      <c r="B1016" t="s">
        <v>13854</v>
      </c>
      <c r="C1016">
        <v>51</v>
      </c>
      <c r="D1016">
        <v>51</v>
      </c>
      <c r="E1016">
        <v>0</v>
      </c>
      <c r="F1016">
        <v>0</v>
      </c>
      <c r="G1016">
        <v>0</v>
      </c>
      <c r="I1016" t="s">
        <v>15443</v>
      </c>
      <c r="J1016" t="s">
        <v>13854</v>
      </c>
      <c r="K1016">
        <v>1</v>
      </c>
    </row>
    <row r="1017" spans="1:11" x14ac:dyDescent="0.35">
      <c r="A1017" t="s">
        <v>15444</v>
      </c>
      <c r="B1017" t="s">
        <v>13835</v>
      </c>
      <c r="C1017">
        <v>5773</v>
      </c>
      <c r="D1017">
        <v>5767</v>
      </c>
      <c r="E1017">
        <v>0</v>
      </c>
      <c r="F1017">
        <v>0</v>
      </c>
      <c r="G1017">
        <v>6</v>
      </c>
      <c r="I1017" t="s">
        <v>15444</v>
      </c>
      <c r="J1017" t="s">
        <v>13835</v>
      </c>
      <c r="K1017">
        <v>2</v>
      </c>
    </row>
    <row r="1018" spans="1:11" x14ac:dyDescent="0.35">
      <c r="A1018" t="s">
        <v>15445</v>
      </c>
      <c r="B1018" t="s">
        <v>13136</v>
      </c>
      <c r="C1018">
        <v>301</v>
      </c>
      <c r="D1018">
        <v>0</v>
      </c>
      <c r="E1018">
        <v>0</v>
      </c>
      <c r="F1018">
        <v>301</v>
      </c>
      <c r="G1018">
        <v>0</v>
      </c>
      <c r="I1018" t="s">
        <v>15445</v>
      </c>
      <c r="J1018" t="s">
        <v>13136</v>
      </c>
      <c r="K1018">
        <v>4</v>
      </c>
    </row>
    <row r="1019" spans="1:11" x14ac:dyDescent="0.35">
      <c r="A1019" t="s">
        <v>15446</v>
      </c>
      <c r="B1019" t="s">
        <v>13203</v>
      </c>
      <c r="C1019">
        <v>9591</v>
      </c>
      <c r="D1019">
        <v>7958</v>
      </c>
      <c r="E1019">
        <v>0</v>
      </c>
      <c r="F1019">
        <v>841</v>
      </c>
      <c r="G1019">
        <v>792</v>
      </c>
      <c r="I1019" t="s">
        <v>15446</v>
      </c>
      <c r="J1019" t="s">
        <v>13203</v>
      </c>
      <c r="K1019">
        <v>15</v>
      </c>
    </row>
    <row r="1020" spans="1:11" x14ac:dyDescent="0.35">
      <c r="A1020" t="s">
        <v>15447</v>
      </c>
      <c r="B1020" t="s">
        <v>13026</v>
      </c>
      <c r="C1020">
        <v>6934</v>
      </c>
      <c r="D1020">
        <v>4251</v>
      </c>
      <c r="E1020">
        <v>25</v>
      </c>
      <c r="F1020">
        <v>2221</v>
      </c>
      <c r="G1020">
        <v>437</v>
      </c>
      <c r="I1020" t="s">
        <v>15447</v>
      </c>
      <c r="J1020" t="s">
        <v>13026</v>
      </c>
      <c r="K1020">
        <v>17</v>
      </c>
    </row>
    <row r="1021" spans="1:11" x14ac:dyDescent="0.35">
      <c r="A1021" t="s">
        <v>15448</v>
      </c>
      <c r="B1021" t="s">
        <v>13344</v>
      </c>
      <c r="C1021">
        <v>308</v>
      </c>
      <c r="D1021">
        <v>308</v>
      </c>
      <c r="E1021">
        <v>0</v>
      </c>
      <c r="F1021">
        <v>0</v>
      </c>
      <c r="G1021">
        <v>0</v>
      </c>
      <c r="I1021" t="s">
        <v>15448</v>
      </c>
      <c r="J1021" t="s">
        <v>13344</v>
      </c>
      <c r="K1021">
        <v>12</v>
      </c>
    </row>
    <row r="1022" spans="1:11" x14ac:dyDescent="0.35">
      <c r="A1022" t="s">
        <v>15449</v>
      </c>
      <c r="B1022" t="s">
        <v>13867</v>
      </c>
      <c r="C1022">
        <v>2609</v>
      </c>
      <c r="D1022">
        <v>2523</v>
      </c>
      <c r="E1022">
        <v>0</v>
      </c>
      <c r="F1022">
        <v>86</v>
      </c>
      <c r="G1022">
        <v>0</v>
      </c>
      <c r="I1022" t="s">
        <v>15449</v>
      </c>
      <c r="J1022" t="s">
        <v>13867</v>
      </c>
      <c r="K1022">
        <v>2</v>
      </c>
    </row>
    <row r="1023" spans="1:11" x14ac:dyDescent="0.35">
      <c r="A1023" t="s">
        <v>15450</v>
      </c>
      <c r="B1023" t="s">
        <v>13544</v>
      </c>
      <c r="C1023">
        <v>4639</v>
      </c>
      <c r="D1023">
        <v>3718</v>
      </c>
      <c r="E1023">
        <v>0</v>
      </c>
      <c r="F1023">
        <v>569</v>
      </c>
      <c r="G1023">
        <v>352</v>
      </c>
      <c r="I1023" t="s">
        <v>15450</v>
      </c>
      <c r="J1023" t="s">
        <v>13544</v>
      </c>
      <c r="K1023">
        <v>6</v>
      </c>
    </row>
    <row r="1024" spans="1:11" x14ac:dyDescent="0.35">
      <c r="A1024" t="s">
        <v>15451</v>
      </c>
      <c r="B1024" t="s">
        <v>13267</v>
      </c>
      <c r="C1024">
        <v>22114</v>
      </c>
      <c r="D1024">
        <v>20860</v>
      </c>
      <c r="E1024">
        <v>0</v>
      </c>
      <c r="F1024">
        <v>385</v>
      </c>
      <c r="G1024">
        <v>869</v>
      </c>
      <c r="I1024" t="s">
        <v>15451</v>
      </c>
      <c r="J1024" t="s">
        <v>13267</v>
      </c>
      <c r="K1024">
        <v>22</v>
      </c>
    </row>
    <row r="1025" spans="1:11" x14ac:dyDescent="0.35">
      <c r="A1025" t="s">
        <v>15452</v>
      </c>
      <c r="B1025" t="s">
        <v>14157</v>
      </c>
      <c r="C1025">
        <v>200</v>
      </c>
      <c r="D1025">
        <v>200</v>
      </c>
      <c r="E1025">
        <v>0</v>
      </c>
      <c r="F1025">
        <v>0</v>
      </c>
      <c r="G1025">
        <v>0</v>
      </c>
      <c r="I1025" t="s">
        <v>15452</v>
      </c>
      <c r="J1025" t="s">
        <v>14157</v>
      </c>
      <c r="K1025">
        <v>1</v>
      </c>
    </row>
    <row r="1026" spans="1:11" x14ac:dyDescent="0.35">
      <c r="A1026" t="s">
        <v>15453</v>
      </c>
      <c r="B1026" t="s">
        <v>14304</v>
      </c>
      <c r="C1026">
        <v>2367</v>
      </c>
      <c r="D1026">
        <v>2322</v>
      </c>
      <c r="E1026">
        <v>0</v>
      </c>
      <c r="F1026">
        <v>0</v>
      </c>
      <c r="G1026">
        <v>45</v>
      </c>
      <c r="I1026" t="s">
        <v>15453</v>
      </c>
      <c r="J1026" t="s">
        <v>14304</v>
      </c>
      <c r="K1026">
        <v>1</v>
      </c>
    </row>
    <row r="1027" spans="1:11" x14ac:dyDescent="0.35">
      <c r="A1027" t="s">
        <v>15454</v>
      </c>
      <c r="B1027" t="s">
        <v>13485</v>
      </c>
      <c r="C1027">
        <v>12760</v>
      </c>
      <c r="D1027">
        <v>10808</v>
      </c>
      <c r="E1027">
        <v>0</v>
      </c>
      <c r="F1027">
        <v>1842</v>
      </c>
      <c r="G1027">
        <v>110</v>
      </c>
      <c r="I1027" t="s">
        <v>15454</v>
      </c>
      <c r="J1027" t="s">
        <v>13485</v>
      </c>
      <c r="K1027">
        <v>4</v>
      </c>
    </row>
    <row r="1028" spans="1:11" x14ac:dyDescent="0.35">
      <c r="A1028" t="s">
        <v>15455</v>
      </c>
      <c r="B1028" t="s">
        <v>13155</v>
      </c>
      <c r="C1028">
        <v>32299</v>
      </c>
      <c r="D1028">
        <v>29727</v>
      </c>
      <c r="E1028">
        <v>0</v>
      </c>
      <c r="F1028">
        <v>1450</v>
      </c>
      <c r="G1028">
        <v>1122</v>
      </c>
      <c r="I1028" t="s">
        <v>15455</v>
      </c>
      <c r="J1028" t="s">
        <v>13155</v>
      </c>
      <c r="K1028">
        <v>12</v>
      </c>
    </row>
    <row r="1029" spans="1:11" x14ac:dyDescent="0.35">
      <c r="A1029" t="s">
        <v>15456</v>
      </c>
      <c r="B1029" t="s">
        <v>13336</v>
      </c>
      <c r="C1029">
        <v>723</v>
      </c>
      <c r="D1029">
        <v>720</v>
      </c>
      <c r="E1029">
        <v>0</v>
      </c>
      <c r="F1029">
        <v>3</v>
      </c>
      <c r="G1029">
        <v>0</v>
      </c>
      <c r="I1029" t="s">
        <v>15456</v>
      </c>
      <c r="J1029" t="s">
        <v>13336</v>
      </c>
      <c r="K1029">
        <v>1</v>
      </c>
    </row>
    <row r="1030" spans="1:11" x14ac:dyDescent="0.35">
      <c r="A1030" t="s">
        <v>15457</v>
      </c>
      <c r="B1030" t="s">
        <v>13477</v>
      </c>
      <c r="C1030">
        <v>27</v>
      </c>
      <c r="D1030">
        <v>11</v>
      </c>
      <c r="E1030">
        <v>0</v>
      </c>
      <c r="F1030">
        <v>16</v>
      </c>
      <c r="G1030">
        <v>0</v>
      </c>
      <c r="I1030" t="s">
        <v>15457</v>
      </c>
      <c r="J1030" t="s">
        <v>13477</v>
      </c>
      <c r="K1030">
        <v>2</v>
      </c>
    </row>
    <row r="1031" spans="1:11" x14ac:dyDescent="0.35">
      <c r="A1031" t="s">
        <v>15458</v>
      </c>
      <c r="B1031" t="s">
        <v>13348</v>
      </c>
      <c r="C1031">
        <v>4833</v>
      </c>
      <c r="D1031">
        <v>4064</v>
      </c>
      <c r="E1031">
        <v>0</v>
      </c>
      <c r="F1031">
        <v>330</v>
      </c>
      <c r="G1031">
        <v>439</v>
      </c>
      <c r="I1031" t="s">
        <v>15458</v>
      </c>
      <c r="J1031" t="s">
        <v>13348</v>
      </c>
      <c r="K1031">
        <v>11</v>
      </c>
    </row>
    <row r="1032" spans="1:11" x14ac:dyDescent="0.35">
      <c r="A1032" t="s">
        <v>15459</v>
      </c>
      <c r="B1032" t="s">
        <v>13483</v>
      </c>
      <c r="C1032">
        <v>7405</v>
      </c>
      <c r="D1032">
        <v>6863</v>
      </c>
      <c r="E1032">
        <v>0</v>
      </c>
      <c r="F1032">
        <v>262</v>
      </c>
      <c r="G1032">
        <v>280</v>
      </c>
      <c r="I1032" t="s">
        <v>15459</v>
      </c>
      <c r="J1032" t="s">
        <v>13483</v>
      </c>
      <c r="K1032">
        <v>4</v>
      </c>
    </row>
    <row r="1033" spans="1:11" x14ac:dyDescent="0.35">
      <c r="A1033" t="s">
        <v>15460</v>
      </c>
      <c r="B1033" t="s">
        <v>13280</v>
      </c>
      <c r="C1033">
        <v>7031</v>
      </c>
      <c r="D1033">
        <v>6248</v>
      </c>
      <c r="E1033">
        <v>0</v>
      </c>
      <c r="F1033">
        <v>669</v>
      </c>
      <c r="G1033">
        <v>114</v>
      </c>
      <c r="I1033" t="s">
        <v>15460</v>
      </c>
      <c r="J1033" t="s">
        <v>13280</v>
      </c>
      <c r="K1033">
        <v>6</v>
      </c>
    </row>
    <row r="1034" spans="1:11" x14ac:dyDescent="0.35">
      <c r="A1034" t="s">
        <v>15461</v>
      </c>
      <c r="B1034" t="s">
        <v>13193</v>
      </c>
      <c r="C1034">
        <v>7172</v>
      </c>
      <c r="D1034">
        <v>6746</v>
      </c>
      <c r="E1034">
        <v>0</v>
      </c>
      <c r="F1034">
        <v>86</v>
      </c>
      <c r="G1034">
        <v>340</v>
      </c>
      <c r="I1034" t="s">
        <v>15461</v>
      </c>
      <c r="J1034" t="s">
        <v>13193</v>
      </c>
      <c r="K1034">
        <v>5</v>
      </c>
    </row>
    <row r="1035" spans="1:11" x14ac:dyDescent="0.35">
      <c r="A1035" t="s">
        <v>15462</v>
      </c>
      <c r="B1035" t="s">
        <v>13818</v>
      </c>
      <c r="C1035">
        <v>6875</v>
      </c>
      <c r="D1035">
        <v>6186</v>
      </c>
      <c r="E1035">
        <v>22</v>
      </c>
      <c r="F1035">
        <v>593</v>
      </c>
      <c r="G1035">
        <v>74</v>
      </c>
      <c r="I1035" t="s">
        <v>15462</v>
      </c>
      <c r="J1035" t="s">
        <v>13818</v>
      </c>
      <c r="K1035">
        <v>1</v>
      </c>
    </row>
    <row r="1036" spans="1:11" x14ac:dyDescent="0.35">
      <c r="A1036" t="s">
        <v>15463</v>
      </c>
      <c r="B1036" t="s">
        <v>13248</v>
      </c>
      <c r="C1036">
        <v>30492</v>
      </c>
      <c r="D1036">
        <v>25807</v>
      </c>
      <c r="E1036">
        <v>2</v>
      </c>
      <c r="F1036">
        <v>2200</v>
      </c>
      <c r="G1036">
        <v>2483</v>
      </c>
      <c r="I1036" t="s">
        <v>15463</v>
      </c>
      <c r="J1036" t="s">
        <v>13248</v>
      </c>
      <c r="K1036">
        <v>44</v>
      </c>
    </row>
    <row r="1037" spans="1:11" x14ac:dyDescent="0.35">
      <c r="A1037" t="s">
        <v>15464</v>
      </c>
      <c r="B1037" t="s">
        <v>13481</v>
      </c>
      <c r="C1037">
        <v>5287</v>
      </c>
      <c r="D1037">
        <v>3991</v>
      </c>
      <c r="E1037">
        <v>0</v>
      </c>
      <c r="F1037">
        <v>1158</v>
      </c>
      <c r="G1037">
        <v>138</v>
      </c>
      <c r="I1037" t="s">
        <v>15464</v>
      </c>
      <c r="J1037" t="s">
        <v>13481</v>
      </c>
      <c r="K1037">
        <v>3</v>
      </c>
    </row>
    <row r="1038" spans="1:11" x14ac:dyDescent="0.35">
      <c r="A1038" t="s">
        <v>15465</v>
      </c>
      <c r="B1038" t="s">
        <v>13397</v>
      </c>
      <c r="C1038">
        <v>8981</v>
      </c>
      <c r="D1038">
        <v>7857</v>
      </c>
      <c r="E1038">
        <v>0</v>
      </c>
      <c r="F1038">
        <v>645</v>
      </c>
      <c r="G1038">
        <v>479</v>
      </c>
      <c r="I1038" t="s">
        <v>15465</v>
      </c>
      <c r="J1038" t="s">
        <v>13397</v>
      </c>
      <c r="K1038">
        <v>8</v>
      </c>
    </row>
    <row r="1039" spans="1:11" x14ac:dyDescent="0.35">
      <c r="A1039" t="s">
        <v>15466</v>
      </c>
      <c r="B1039" t="s">
        <v>13323</v>
      </c>
      <c r="C1039">
        <v>21331</v>
      </c>
      <c r="D1039">
        <v>20286</v>
      </c>
      <c r="E1039">
        <v>0</v>
      </c>
      <c r="F1039">
        <v>794</v>
      </c>
      <c r="G1039">
        <v>251</v>
      </c>
      <c r="I1039" t="s">
        <v>15466</v>
      </c>
      <c r="J1039" t="s">
        <v>13323</v>
      </c>
      <c r="K1039">
        <v>8</v>
      </c>
    </row>
    <row r="1040" spans="1:11" x14ac:dyDescent="0.35">
      <c r="A1040" t="s">
        <v>15467</v>
      </c>
      <c r="B1040" t="s">
        <v>13191</v>
      </c>
      <c r="C1040">
        <v>12761</v>
      </c>
      <c r="D1040">
        <v>10380</v>
      </c>
      <c r="E1040">
        <v>0</v>
      </c>
      <c r="F1040">
        <v>1819</v>
      </c>
      <c r="G1040">
        <v>562</v>
      </c>
      <c r="I1040" t="s">
        <v>15467</v>
      </c>
      <c r="J1040" t="s">
        <v>13191</v>
      </c>
      <c r="K1040">
        <v>12</v>
      </c>
    </row>
    <row r="1041" spans="1:11" x14ac:dyDescent="0.35">
      <c r="A1041" t="s">
        <v>15468</v>
      </c>
      <c r="B1041" t="s">
        <v>13068</v>
      </c>
      <c r="C1041">
        <v>11450</v>
      </c>
      <c r="D1041">
        <v>11085</v>
      </c>
      <c r="E1041">
        <v>2</v>
      </c>
      <c r="F1041">
        <v>193</v>
      </c>
      <c r="G1041">
        <v>170</v>
      </c>
      <c r="I1041" t="s">
        <v>15468</v>
      </c>
      <c r="J1041" t="s">
        <v>13068</v>
      </c>
      <c r="K1041">
        <v>12</v>
      </c>
    </row>
    <row r="1042" spans="1:11" x14ac:dyDescent="0.35">
      <c r="A1042" t="s">
        <v>15469</v>
      </c>
      <c r="B1042" t="s">
        <v>13142</v>
      </c>
      <c r="C1042">
        <v>6056</v>
      </c>
      <c r="D1042">
        <v>4907</v>
      </c>
      <c r="E1042">
        <v>91</v>
      </c>
      <c r="F1042">
        <v>713</v>
      </c>
      <c r="G1042">
        <v>345</v>
      </c>
      <c r="I1042" t="s">
        <v>15469</v>
      </c>
      <c r="J1042" t="s">
        <v>13142</v>
      </c>
      <c r="K1042">
        <v>8</v>
      </c>
    </row>
    <row r="1043" spans="1:11" x14ac:dyDescent="0.35">
      <c r="A1043" t="s">
        <v>15470</v>
      </c>
      <c r="B1043" t="s">
        <v>13271</v>
      </c>
      <c r="C1043">
        <v>3446</v>
      </c>
      <c r="D1043">
        <v>2398</v>
      </c>
      <c r="E1043">
        <v>0</v>
      </c>
      <c r="F1043">
        <v>860</v>
      </c>
      <c r="G1043">
        <v>188</v>
      </c>
      <c r="I1043" t="s">
        <v>15470</v>
      </c>
      <c r="J1043" t="s">
        <v>13271</v>
      </c>
      <c r="K1043">
        <v>8</v>
      </c>
    </row>
    <row r="1044" spans="1:11" x14ac:dyDescent="0.35">
      <c r="A1044" t="s">
        <v>15471</v>
      </c>
      <c r="B1044" t="s">
        <v>13084</v>
      </c>
      <c r="C1044">
        <v>13969</v>
      </c>
      <c r="D1044">
        <v>11972</v>
      </c>
      <c r="E1044">
        <v>0</v>
      </c>
      <c r="F1044">
        <v>804</v>
      </c>
      <c r="G1044">
        <v>1193</v>
      </c>
      <c r="I1044" t="s">
        <v>15471</v>
      </c>
      <c r="J1044" t="s">
        <v>13084</v>
      </c>
      <c r="K1044">
        <v>13</v>
      </c>
    </row>
    <row r="1045" spans="1:11" x14ac:dyDescent="0.35">
      <c r="A1045" t="s">
        <v>15472</v>
      </c>
      <c r="B1045" t="s">
        <v>13386</v>
      </c>
      <c r="C1045">
        <v>6533</v>
      </c>
      <c r="D1045">
        <v>6442</v>
      </c>
      <c r="E1045">
        <v>0</v>
      </c>
      <c r="F1045">
        <v>60</v>
      </c>
      <c r="G1045">
        <v>31</v>
      </c>
      <c r="I1045" t="s">
        <v>15472</v>
      </c>
      <c r="J1045" t="s">
        <v>13386</v>
      </c>
      <c r="K1045">
        <v>2</v>
      </c>
    </row>
    <row r="1046" spans="1:11" x14ac:dyDescent="0.35">
      <c r="A1046" t="s">
        <v>15473</v>
      </c>
      <c r="B1046" t="s">
        <v>13489</v>
      </c>
      <c r="C1046">
        <v>6336</v>
      </c>
      <c r="D1046">
        <v>5807</v>
      </c>
      <c r="E1046">
        <v>0</v>
      </c>
      <c r="F1046">
        <v>222</v>
      </c>
      <c r="G1046">
        <v>307</v>
      </c>
      <c r="I1046" t="s">
        <v>15473</v>
      </c>
      <c r="J1046" t="s">
        <v>13489</v>
      </c>
      <c r="K1046">
        <v>5</v>
      </c>
    </row>
    <row r="1047" spans="1:11" x14ac:dyDescent="0.35">
      <c r="A1047" t="s">
        <v>15474</v>
      </c>
      <c r="B1047" t="s">
        <v>14044</v>
      </c>
      <c r="C1047">
        <v>5165</v>
      </c>
      <c r="D1047">
        <v>4670</v>
      </c>
      <c r="E1047">
        <v>0</v>
      </c>
      <c r="F1047">
        <v>228</v>
      </c>
      <c r="G1047">
        <v>267</v>
      </c>
      <c r="I1047" t="s">
        <v>15474</v>
      </c>
      <c r="J1047" t="s">
        <v>14044</v>
      </c>
      <c r="K1047">
        <v>2</v>
      </c>
    </row>
    <row r="1048" spans="1:11" x14ac:dyDescent="0.35">
      <c r="A1048" t="s">
        <v>15475</v>
      </c>
      <c r="B1048" t="s">
        <v>13005</v>
      </c>
      <c r="C1048">
        <v>88521</v>
      </c>
      <c r="D1048">
        <v>67156</v>
      </c>
      <c r="E1048">
        <v>12</v>
      </c>
      <c r="F1048">
        <v>7491</v>
      </c>
      <c r="G1048">
        <v>13862</v>
      </c>
      <c r="I1048" t="s">
        <v>15475</v>
      </c>
      <c r="J1048" t="s">
        <v>13005</v>
      </c>
      <c r="K1048">
        <v>138</v>
      </c>
    </row>
    <row r="1049" spans="1:11" x14ac:dyDescent="0.35">
      <c r="A1049" t="s">
        <v>15476</v>
      </c>
      <c r="B1049" t="s">
        <v>13395</v>
      </c>
      <c r="C1049">
        <v>5210</v>
      </c>
      <c r="D1049">
        <v>3994</v>
      </c>
      <c r="E1049">
        <v>0</v>
      </c>
      <c r="F1049">
        <v>544</v>
      </c>
      <c r="G1049">
        <v>672</v>
      </c>
      <c r="I1049" t="s">
        <v>15476</v>
      </c>
      <c r="J1049" t="s">
        <v>13395</v>
      </c>
      <c r="K1049">
        <v>14</v>
      </c>
    </row>
    <row r="1050" spans="1:11" x14ac:dyDescent="0.35">
      <c r="A1050" t="s">
        <v>15477</v>
      </c>
      <c r="B1050" t="s">
        <v>13157</v>
      </c>
      <c r="C1050">
        <v>18791</v>
      </c>
      <c r="D1050">
        <v>15984</v>
      </c>
      <c r="E1050">
        <v>0</v>
      </c>
      <c r="F1050">
        <v>1236</v>
      </c>
      <c r="G1050">
        <v>1571</v>
      </c>
      <c r="I1050" t="s">
        <v>15477</v>
      </c>
      <c r="J1050" t="s">
        <v>13157</v>
      </c>
      <c r="K1050">
        <v>14</v>
      </c>
    </row>
    <row r="1051" spans="1:11" x14ac:dyDescent="0.35">
      <c r="A1051" t="s">
        <v>15478</v>
      </c>
      <c r="B1051" t="s">
        <v>13096</v>
      </c>
      <c r="C1051">
        <v>35288</v>
      </c>
      <c r="D1051">
        <v>30627</v>
      </c>
      <c r="E1051">
        <v>8</v>
      </c>
      <c r="F1051">
        <v>3089</v>
      </c>
      <c r="G1051">
        <v>1564</v>
      </c>
      <c r="I1051" t="s">
        <v>15478</v>
      </c>
      <c r="J1051" t="s">
        <v>13096</v>
      </c>
      <c r="K1051">
        <v>18</v>
      </c>
    </row>
    <row r="1052" spans="1:11" x14ac:dyDescent="0.35">
      <c r="A1052" t="s">
        <v>15479</v>
      </c>
      <c r="B1052" t="s">
        <v>13499</v>
      </c>
      <c r="C1052">
        <v>17940</v>
      </c>
      <c r="D1052">
        <v>16080</v>
      </c>
      <c r="E1052">
        <v>0</v>
      </c>
      <c r="F1052">
        <v>1705</v>
      </c>
      <c r="G1052">
        <v>155</v>
      </c>
      <c r="I1052" t="s">
        <v>15479</v>
      </c>
      <c r="J1052" t="s">
        <v>13499</v>
      </c>
      <c r="K1052">
        <v>7</v>
      </c>
    </row>
    <row r="1053" spans="1:11" x14ac:dyDescent="0.35">
      <c r="A1053" t="s">
        <v>15480</v>
      </c>
      <c r="B1053" t="s">
        <v>13067</v>
      </c>
      <c r="C1053">
        <v>3527</v>
      </c>
      <c r="D1053">
        <v>2533</v>
      </c>
      <c r="E1053">
        <v>0</v>
      </c>
      <c r="F1053">
        <v>866</v>
      </c>
      <c r="G1053">
        <v>128</v>
      </c>
      <c r="I1053" t="s">
        <v>15480</v>
      </c>
      <c r="J1053" t="s">
        <v>13067</v>
      </c>
      <c r="K1053">
        <v>7</v>
      </c>
    </row>
    <row r="1054" spans="1:11" x14ac:dyDescent="0.35">
      <c r="A1054" t="s">
        <v>15481</v>
      </c>
      <c r="B1054" t="s">
        <v>13729</v>
      </c>
      <c r="C1054">
        <v>144</v>
      </c>
      <c r="D1054">
        <v>144</v>
      </c>
      <c r="E1054">
        <v>0</v>
      </c>
      <c r="F1054">
        <v>0</v>
      </c>
      <c r="G1054">
        <v>0</v>
      </c>
      <c r="I1054" t="s">
        <v>15481</v>
      </c>
      <c r="J1054" t="s">
        <v>13729</v>
      </c>
      <c r="K1054">
        <v>3</v>
      </c>
    </row>
    <row r="1055" spans="1:11" x14ac:dyDescent="0.35">
      <c r="A1055" t="s">
        <v>15482</v>
      </c>
      <c r="B1055" t="s">
        <v>13562</v>
      </c>
      <c r="C1055">
        <v>102</v>
      </c>
      <c r="D1055">
        <v>0</v>
      </c>
      <c r="E1055">
        <v>0</v>
      </c>
      <c r="F1055">
        <v>102</v>
      </c>
      <c r="G1055">
        <v>0</v>
      </c>
      <c r="I1055" t="s">
        <v>15482</v>
      </c>
      <c r="J1055" t="s">
        <v>13562</v>
      </c>
      <c r="K1055">
        <v>5</v>
      </c>
    </row>
    <row r="1056" spans="1:11" x14ac:dyDescent="0.35">
      <c r="A1056" t="s">
        <v>15483</v>
      </c>
      <c r="B1056" t="s">
        <v>13558</v>
      </c>
      <c r="C1056">
        <v>8942</v>
      </c>
      <c r="D1056">
        <v>8928</v>
      </c>
      <c r="E1056">
        <v>0</v>
      </c>
      <c r="F1056">
        <v>0</v>
      </c>
      <c r="G1056">
        <v>14</v>
      </c>
      <c r="I1056" t="s">
        <v>15483</v>
      </c>
      <c r="J1056" t="s">
        <v>13558</v>
      </c>
      <c r="K1056">
        <v>4</v>
      </c>
    </row>
    <row r="1057" spans="1:11" x14ac:dyDescent="0.35">
      <c r="A1057" t="s">
        <v>15484</v>
      </c>
      <c r="B1057" t="s">
        <v>13536</v>
      </c>
      <c r="C1057">
        <v>14740</v>
      </c>
      <c r="D1057">
        <v>12553</v>
      </c>
      <c r="E1057">
        <v>0</v>
      </c>
      <c r="F1057">
        <v>1733</v>
      </c>
      <c r="G1057">
        <v>454</v>
      </c>
      <c r="I1057" t="s">
        <v>15484</v>
      </c>
      <c r="J1057" t="s">
        <v>13536</v>
      </c>
      <c r="K1057">
        <v>4</v>
      </c>
    </row>
    <row r="1058" spans="1:11" x14ac:dyDescent="0.35">
      <c r="A1058" t="s">
        <v>15485</v>
      </c>
      <c r="B1058" t="s">
        <v>13108</v>
      </c>
      <c r="C1058">
        <v>322</v>
      </c>
      <c r="D1058">
        <v>61</v>
      </c>
      <c r="E1058">
        <v>0</v>
      </c>
      <c r="F1058">
        <v>261</v>
      </c>
      <c r="G1058">
        <v>0</v>
      </c>
      <c r="I1058" t="s">
        <v>15485</v>
      </c>
      <c r="J1058" t="s">
        <v>13108</v>
      </c>
      <c r="K1058">
        <v>6</v>
      </c>
    </row>
    <row r="1059" spans="1:11" x14ac:dyDescent="0.35">
      <c r="A1059" t="s">
        <v>15486</v>
      </c>
      <c r="B1059" t="s">
        <v>13170</v>
      </c>
      <c r="C1059">
        <v>270</v>
      </c>
      <c r="D1059">
        <v>0</v>
      </c>
      <c r="E1059">
        <v>0</v>
      </c>
      <c r="F1059">
        <v>270</v>
      </c>
      <c r="G1059">
        <v>0</v>
      </c>
      <c r="I1059" t="s">
        <v>15486</v>
      </c>
      <c r="J1059" t="s">
        <v>13170</v>
      </c>
      <c r="K1059">
        <v>8</v>
      </c>
    </row>
    <row r="1060" spans="1:11" x14ac:dyDescent="0.35">
      <c r="A1060" t="s">
        <v>15487</v>
      </c>
      <c r="B1060" t="s">
        <v>14159</v>
      </c>
      <c r="C1060">
        <v>267</v>
      </c>
      <c r="D1060">
        <v>63</v>
      </c>
      <c r="E1060">
        <v>47</v>
      </c>
      <c r="F1060">
        <v>157</v>
      </c>
      <c r="G1060">
        <v>0</v>
      </c>
      <c r="I1060" t="s">
        <v>15487</v>
      </c>
      <c r="J1060" t="s">
        <v>14159</v>
      </c>
      <c r="K1060">
        <v>3</v>
      </c>
    </row>
    <row r="1061" spans="1:11" x14ac:dyDescent="0.35">
      <c r="A1061" t="s">
        <v>15488</v>
      </c>
      <c r="B1061" t="s">
        <v>14118</v>
      </c>
      <c r="C1061">
        <v>40</v>
      </c>
      <c r="D1061">
        <v>0</v>
      </c>
      <c r="E1061">
        <v>0</v>
      </c>
      <c r="F1061">
        <v>40</v>
      </c>
      <c r="G1061">
        <v>0</v>
      </c>
      <c r="I1061" t="s">
        <v>15488</v>
      </c>
      <c r="J1061" t="s">
        <v>14118</v>
      </c>
      <c r="K1061">
        <v>1</v>
      </c>
    </row>
    <row r="1062" spans="1:11" x14ac:dyDescent="0.35">
      <c r="A1062" t="s">
        <v>15489</v>
      </c>
      <c r="B1062" t="s">
        <v>13042</v>
      </c>
      <c r="C1062">
        <v>64763</v>
      </c>
      <c r="D1062">
        <v>48911</v>
      </c>
      <c r="E1062">
        <v>19</v>
      </c>
      <c r="F1062">
        <v>10676</v>
      </c>
      <c r="G1062">
        <v>5157</v>
      </c>
      <c r="I1062" t="s">
        <v>15489</v>
      </c>
      <c r="J1062" t="s">
        <v>13042</v>
      </c>
      <c r="K1062">
        <v>150</v>
      </c>
    </row>
    <row r="1063" spans="1:11" x14ac:dyDescent="0.35">
      <c r="A1063" t="s">
        <v>15490</v>
      </c>
      <c r="B1063" t="s">
        <v>13487</v>
      </c>
      <c r="C1063">
        <v>13560</v>
      </c>
      <c r="D1063">
        <v>11937</v>
      </c>
      <c r="E1063">
        <v>0</v>
      </c>
      <c r="F1063">
        <v>752</v>
      </c>
      <c r="G1063">
        <v>871</v>
      </c>
      <c r="I1063" t="s">
        <v>15490</v>
      </c>
      <c r="J1063" t="s">
        <v>13487</v>
      </c>
      <c r="K1063">
        <v>13</v>
      </c>
    </row>
    <row r="1064" spans="1:11" x14ac:dyDescent="0.35">
      <c r="A1064" t="s">
        <v>15491</v>
      </c>
      <c r="B1064" t="s">
        <v>13101</v>
      </c>
      <c r="C1064">
        <v>1000</v>
      </c>
      <c r="D1064">
        <v>27</v>
      </c>
      <c r="E1064">
        <v>0</v>
      </c>
      <c r="F1064">
        <v>973</v>
      </c>
      <c r="G1064">
        <v>0</v>
      </c>
      <c r="I1064" t="s">
        <v>15491</v>
      </c>
      <c r="J1064" t="s">
        <v>13101</v>
      </c>
      <c r="K1064">
        <v>22</v>
      </c>
    </row>
    <row r="1065" spans="1:11" x14ac:dyDescent="0.35">
      <c r="A1065" t="s">
        <v>15492</v>
      </c>
      <c r="B1065" t="s">
        <v>13004</v>
      </c>
      <c r="C1065">
        <v>25390</v>
      </c>
      <c r="D1065">
        <v>19543</v>
      </c>
      <c r="E1065">
        <v>85</v>
      </c>
      <c r="F1065">
        <v>2072</v>
      </c>
      <c r="G1065">
        <v>3690</v>
      </c>
      <c r="I1065" t="s">
        <v>15492</v>
      </c>
      <c r="J1065" t="s">
        <v>13004</v>
      </c>
      <c r="K1065">
        <v>47</v>
      </c>
    </row>
    <row r="1066" spans="1:11" x14ac:dyDescent="0.35">
      <c r="A1066" t="s">
        <v>15493</v>
      </c>
      <c r="B1066" t="s">
        <v>13361</v>
      </c>
      <c r="C1066">
        <v>431</v>
      </c>
      <c r="D1066">
        <v>0</v>
      </c>
      <c r="E1066">
        <v>0</v>
      </c>
      <c r="F1066">
        <v>431</v>
      </c>
      <c r="G1066">
        <v>0</v>
      </c>
      <c r="I1066" t="s">
        <v>15493</v>
      </c>
      <c r="J1066" t="s">
        <v>13361</v>
      </c>
      <c r="K1066">
        <v>6</v>
      </c>
    </row>
    <row r="1067" spans="1:11" x14ac:dyDescent="0.35">
      <c r="A1067" t="s">
        <v>15494</v>
      </c>
      <c r="B1067" t="s">
        <v>13559</v>
      </c>
      <c r="C1067">
        <v>3971</v>
      </c>
      <c r="D1067">
        <v>3350</v>
      </c>
      <c r="E1067">
        <v>0</v>
      </c>
      <c r="F1067">
        <v>593</v>
      </c>
      <c r="G1067">
        <v>28</v>
      </c>
      <c r="I1067" t="s">
        <v>15494</v>
      </c>
      <c r="J1067" t="s">
        <v>13559</v>
      </c>
      <c r="K1067">
        <v>9</v>
      </c>
    </row>
    <row r="1068" spans="1:11" x14ac:dyDescent="0.35">
      <c r="A1068" t="s">
        <v>15495</v>
      </c>
      <c r="B1068" t="s">
        <v>13291</v>
      </c>
      <c r="C1068">
        <v>16369</v>
      </c>
      <c r="D1068">
        <v>12941</v>
      </c>
      <c r="E1068">
        <v>0</v>
      </c>
      <c r="F1068">
        <v>2107</v>
      </c>
      <c r="G1068">
        <v>1321</v>
      </c>
      <c r="I1068" t="s">
        <v>15495</v>
      </c>
      <c r="J1068" t="s">
        <v>13291</v>
      </c>
      <c r="K1068">
        <v>28</v>
      </c>
    </row>
    <row r="1069" spans="1:11" x14ac:dyDescent="0.35">
      <c r="A1069" t="s">
        <v>15496</v>
      </c>
      <c r="B1069" t="s">
        <v>13301</v>
      </c>
      <c r="C1069">
        <v>1190</v>
      </c>
      <c r="D1069">
        <v>465</v>
      </c>
      <c r="E1069">
        <v>16</v>
      </c>
      <c r="F1069">
        <v>682</v>
      </c>
      <c r="G1069">
        <v>27</v>
      </c>
      <c r="I1069" t="s">
        <v>15496</v>
      </c>
      <c r="J1069" t="s">
        <v>13301</v>
      </c>
      <c r="K1069">
        <v>10</v>
      </c>
    </row>
    <row r="1070" spans="1:11" x14ac:dyDescent="0.35">
      <c r="A1070" t="s">
        <v>15497</v>
      </c>
      <c r="B1070" t="s">
        <v>13212</v>
      </c>
      <c r="C1070">
        <v>750</v>
      </c>
      <c r="D1070">
        <v>744</v>
      </c>
      <c r="E1070">
        <v>6</v>
      </c>
      <c r="F1070">
        <v>0</v>
      </c>
      <c r="G1070">
        <v>0</v>
      </c>
      <c r="I1070" t="s">
        <v>15497</v>
      </c>
      <c r="J1070" t="s">
        <v>13212</v>
      </c>
      <c r="K1070">
        <v>12</v>
      </c>
    </row>
    <row r="1071" spans="1:11" x14ac:dyDescent="0.35">
      <c r="A1071" t="s">
        <v>15498</v>
      </c>
      <c r="B1071" t="s">
        <v>13276</v>
      </c>
      <c r="C1071">
        <v>30184</v>
      </c>
      <c r="D1071">
        <v>22872</v>
      </c>
      <c r="E1071">
        <v>0</v>
      </c>
      <c r="F1071">
        <v>5825</v>
      </c>
      <c r="G1071">
        <v>1487</v>
      </c>
      <c r="I1071" t="s">
        <v>15498</v>
      </c>
      <c r="J1071" t="s">
        <v>13276</v>
      </c>
      <c r="K1071">
        <v>29</v>
      </c>
    </row>
    <row r="1072" spans="1:11" x14ac:dyDescent="0.35">
      <c r="A1072" t="s">
        <v>15499</v>
      </c>
      <c r="B1072" t="s">
        <v>13369</v>
      </c>
      <c r="C1072">
        <v>1128</v>
      </c>
      <c r="D1072">
        <v>4</v>
      </c>
      <c r="E1072">
        <v>0</v>
      </c>
      <c r="F1072">
        <v>1100</v>
      </c>
      <c r="G1072">
        <v>24</v>
      </c>
      <c r="I1072" t="s">
        <v>15499</v>
      </c>
      <c r="J1072" t="s">
        <v>13369</v>
      </c>
      <c r="K1072">
        <v>2</v>
      </c>
    </row>
    <row r="1073" spans="1:11" x14ac:dyDescent="0.35">
      <c r="A1073" t="s">
        <v>15500</v>
      </c>
      <c r="B1073" t="s">
        <v>13306</v>
      </c>
      <c r="C1073">
        <v>1410</v>
      </c>
      <c r="D1073">
        <v>24</v>
      </c>
      <c r="E1073">
        <v>95</v>
      </c>
      <c r="F1073">
        <v>1291</v>
      </c>
      <c r="G1073">
        <v>0</v>
      </c>
      <c r="I1073" t="s">
        <v>15500</v>
      </c>
      <c r="J1073" t="s">
        <v>13306</v>
      </c>
      <c r="K1073">
        <v>18</v>
      </c>
    </row>
    <row r="1074" spans="1:11" x14ac:dyDescent="0.35">
      <c r="A1074" t="s">
        <v>15501</v>
      </c>
      <c r="B1074" t="s">
        <v>13021</v>
      </c>
      <c r="C1074">
        <v>2230</v>
      </c>
      <c r="D1074">
        <v>4</v>
      </c>
      <c r="E1074">
        <v>0</v>
      </c>
      <c r="F1074">
        <v>1469</v>
      </c>
      <c r="G1074">
        <v>757</v>
      </c>
      <c r="I1074" t="s">
        <v>15501</v>
      </c>
      <c r="J1074" t="s">
        <v>13021</v>
      </c>
      <c r="K1074">
        <v>149</v>
      </c>
    </row>
    <row r="1075" spans="1:11" x14ac:dyDescent="0.35">
      <c r="A1075" t="s">
        <v>15502</v>
      </c>
      <c r="B1075" t="s">
        <v>13110</v>
      </c>
      <c r="C1075">
        <v>12170</v>
      </c>
      <c r="D1075">
        <v>9273</v>
      </c>
      <c r="E1075">
        <v>2</v>
      </c>
      <c r="F1075">
        <v>1052</v>
      </c>
      <c r="G1075">
        <v>1843</v>
      </c>
      <c r="I1075" t="s">
        <v>15502</v>
      </c>
      <c r="J1075" t="s">
        <v>13110</v>
      </c>
      <c r="K1075">
        <v>45</v>
      </c>
    </row>
    <row r="1076" spans="1:11" x14ac:dyDescent="0.35">
      <c r="A1076" t="s">
        <v>15503</v>
      </c>
      <c r="B1076" t="s">
        <v>13305</v>
      </c>
      <c r="C1076">
        <v>426</v>
      </c>
      <c r="D1076">
        <v>394</v>
      </c>
      <c r="E1076">
        <v>0</v>
      </c>
      <c r="F1076">
        <v>32</v>
      </c>
      <c r="G1076">
        <v>0</v>
      </c>
      <c r="I1076" t="s">
        <v>15503</v>
      </c>
      <c r="J1076" t="s">
        <v>13305</v>
      </c>
      <c r="K1076">
        <v>3</v>
      </c>
    </row>
    <row r="1077" spans="1:11" x14ac:dyDescent="0.35">
      <c r="A1077" t="s">
        <v>15504</v>
      </c>
      <c r="B1077" t="s">
        <v>13143</v>
      </c>
      <c r="C1077">
        <v>91</v>
      </c>
      <c r="D1077">
        <v>0</v>
      </c>
      <c r="E1077">
        <v>0</v>
      </c>
      <c r="F1077">
        <v>91</v>
      </c>
      <c r="G1077">
        <v>0</v>
      </c>
      <c r="I1077" t="s">
        <v>15504</v>
      </c>
      <c r="J1077" t="s">
        <v>13143</v>
      </c>
      <c r="K1077">
        <v>2</v>
      </c>
    </row>
    <row r="1078" spans="1:11" x14ac:dyDescent="0.35">
      <c r="A1078" t="s">
        <v>15505</v>
      </c>
      <c r="B1078" t="s">
        <v>13220</v>
      </c>
      <c r="C1078">
        <v>582</v>
      </c>
      <c r="D1078">
        <v>293</v>
      </c>
      <c r="E1078">
        <v>15</v>
      </c>
      <c r="F1078">
        <v>274</v>
      </c>
      <c r="G1078">
        <v>0</v>
      </c>
      <c r="I1078" t="s">
        <v>15505</v>
      </c>
      <c r="J1078" t="s">
        <v>13220</v>
      </c>
      <c r="K1078">
        <v>12</v>
      </c>
    </row>
    <row r="1079" spans="1:11" x14ac:dyDescent="0.35">
      <c r="A1079" t="s">
        <v>15506</v>
      </c>
      <c r="B1079" t="s">
        <v>13001</v>
      </c>
      <c r="C1079">
        <v>3309</v>
      </c>
      <c r="D1079">
        <v>2604</v>
      </c>
      <c r="E1079">
        <v>0</v>
      </c>
      <c r="F1079">
        <v>703</v>
      </c>
      <c r="G1079">
        <v>2</v>
      </c>
      <c r="I1079" t="s">
        <v>15506</v>
      </c>
      <c r="J1079" t="s">
        <v>13001</v>
      </c>
      <c r="K1079">
        <v>78</v>
      </c>
    </row>
    <row r="1080" spans="1:11" x14ac:dyDescent="0.35">
      <c r="A1080" t="s">
        <v>15507</v>
      </c>
      <c r="B1080" t="s">
        <v>13383</v>
      </c>
      <c r="C1080">
        <v>1428</v>
      </c>
      <c r="D1080">
        <v>922</v>
      </c>
      <c r="E1080">
        <v>0</v>
      </c>
      <c r="F1080">
        <v>431</v>
      </c>
      <c r="G1080">
        <v>75</v>
      </c>
      <c r="I1080" t="s">
        <v>15507</v>
      </c>
      <c r="J1080" t="s">
        <v>13383</v>
      </c>
      <c r="K1080">
        <v>3</v>
      </c>
    </row>
    <row r="1081" spans="1:11" x14ac:dyDescent="0.35">
      <c r="A1081" t="s">
        <v>15508</v>
      </c>
      <c r="B1081" t="s">
        <v>14283</v>
      </c>
      <c r="C1081">
        <v>267</v>
      </c>
      <c r="D1081">
        <v>186</v>
      </c>
      <c r="E1081">
        <v>0</v>
      </c>
      <c r="F1081">
        <v>81</v>
      </c>
      <c r="G1081">
        <v>0</v>
      </c>
      <c r="I1081" t="s">
        <v>15508</v>
      </c>
      <c r="J1081" t="s">
        <v>14283</v>
      </c>
      <c r="K1081">
        <v>1</v>
      </c>
    </row>
    <row r="1082" spans="1:11" x14ac:dyDescent="0.35">
      <c r="A1082" t="s">
        <v>15509</v>
      </c>
      <c r="B1082" t="s">
        <v>14310</v>
      </c>
      <c r="C1082">
        <v>66</v>
      </c>
      <c r="D1082">
        <v>0</v>
      </c>
      <c r="E1082">
        <v>66</v>
      </c>
      <c r="F1082">
        <v>0</v>
      </c>
      <c r="G1082">
        <v>0</v>
      </c>
      <c r="I1082" t="s">
        <v>15509</v>
      </c>
      <c r="J1082" t="s">
        <v>14310</v>
      </c>
      <c r="K1082">
        <v>1</v>
      </c>
    </row>
    <row r="1083" spans="1:11" x14ac:dyDescent="0.35">
      <c r="A1083" t="s">
        <v>15510</v>
      </c>
      <c r="B1083" t="s">
        <v>13116</v>
      </c>
      <c r="C1083">
        <v>1397</v>
      </c>
      <c r="D1083">
        <v>961</v>
      </c>
      <c r="E1083">
        <v>0</v>
      </c>
      <c r="F1083">
        <v>419</v>
      </c>
      <c r="G1083">
        <v>17</v>
      </c>
      <c r="I1083" t="s">
        <v>15510</v>
      </c>
      <c r="J1083" t="s">
        <v>13116</v>
      </c>
      <c r="K1083">
        <v>4</v>
      </c>
    </row>
    <row r="1084" spans="1:11" x14ac:dyDescent="0.35">
      <c r="A1084" t="s">
        <v>15511</v>
      </c>
      <c r="B1084" t="s">
        <v>14163</v>
      </c>
      <c r="C1084">
        <v>124</v>
      </c>
      <c r="D1084">
        <v>0</v>
      </c>
      <c r="E1084">
        <v>0</v>
      </c>
      <c r="F1084">
        <v>124</v>
      </c>
      <c r="G1084">
        <v>0</v>
      </c>
      <c r="I1084" t="s">
        <v>15511</v>
      </c>
      <c r="J1084" t="s">
        <v>14163</v>
      </c>
      <c r="K1084">
        <v>1</v>
      </c>
    </row>
    <row r="1085" spans="1:11" x14ac:dyDescent="0.35">
      <c r="A1085" t="s">
        <v>15512</v>
      </c>
      <c r="B1085" t="s">
        <v>13602</v>
      </c>
      <c r="C1085">
        <v>578</v>
      </c>
      <c r="D1085">
        <v>546</v>
      </c>
      <c r="E1085">
        <v>0</v>
      </c>
      <c r="F1085">
        <v>32</v>
      </c>
      <c r="G1085">
        <v>0</v>
      </c>
      <c r="I1085" t="s">
        <v>15512</v>
      </c>
      <c r="J1085" t="s">
        <v>13602</v>
      </c>
      <c r="K1085">
        <v>3</v>
      </c>
    </row>
    <row r="1086" spans="1:11" x14ac:dyDescent="0.35">
      <c r="A1086" t="s">
        <v>15513</v>
      </c>
      <c r="B1086" t="s">
        <v>13508</v>
      </c>
      <c r="C1086">
        <v>1354</v>
      </c>
      <c r="D1086">
        <v>1195</v>
      </c>
      <c r="E1086">
        <v>0</v>
      </c>
      <c r="F1086">
        <v>44</v>
      </c>
      <c r="G1086">
        <v>115</v>
      </c>
      <c r="I1086" t="s">
        <v>15513</v>
      </c>
      <c r="J1086" t="s">
        <v>13508</v>
      </c>
      <c r="K1086">
        <v>4</v>
      </c>
    </row>
    <row r="1087" spans="1:11" x14ac:dyDescent="0.35">
      <c r="A1087" t="s">
        <v>15514</v>
      </c>
      <c r="B1087" t="s">
        <v>13736</v>
      </c>
      <c r="C1087">
        <v>304</v>
      </c>
      <c r="D1087">
        <v>58</v>
      </c>
      <c r="E1087">
        <v>38</v>
      </c>
      <c r="F1087">
        <v>208</v>
      </c>
      <c r="G1087">
        <v>0</v>
      </c>
      <c r="I1087" t="s">
        <v>15514</v>
      </c>
      <c r="J1087" t="s">
        <v>13736</v>
      </c>
      <c r="K1087">
        <v>3</v>
      </c>
    </row>
    <row r="1088" spans="1:11" x14ac:dyDescent="0.35">
      <c r="A1088" t="s">
        <v>15515</v>
      </c>
      <c r="B1088" t="s">
        <v>13125</v>
      </c>
      <c r="C1088">
        <v>448</v>
      </c>
      <c r="D1088">
        <v>5</v>
      </c>
      <c r="E1088">
        <v>0</v>
      </c>
      <c r="F1088">
        <v>443</v>
      </c>
      <c r="G1088">
        <v>0</v>
      </c>
      <c r="I1088" t="s">
        <v>15515</v>
      </c>
      <c r="J1088" t="s">
        <v>13125</v>
      </c>
      <c r="K1088">
        <v>9</v>
      </c>
    </row>
    <row r="1089" spans="1:11" x14ac:dyDescent="0.35">
      <c r="A1089" t="s">
        <v>15516</v>
      </c>
      <c r="B1089" t="s">
        <v>14091</v>
      </c>
      <c r="C1089">
        <v>110</v>
      </c>
      <c r="D1089">
        <v>0</v>
      </c>
      <c r="E1089">
        <v>0</v>
      </c>
      <c r="F1089">
        <v>110</v>
      </c>
      <c r="G1089">
        <v>0</v>
      </c>
      <c r="I1089" t="s">
        <v>15516</v>
      </c>
      <c r="J1089" t="s">
        <v>14091</v>
      </c>
      <c r="K1089">
        <v>1</v>
      </c>
    </row>
    <row r="1090" spans="1:11" x14ac:dyDescent="0.35">
      <c r="A1090" t="s">
        <v>15517</v>
      </c>
      <c r="B1090" t="s">
        <v>13724</v>
      </c>
      <c r="C1090">
        <v>87</v>
      </c>
      <c r="D1090">
        <v>0</v>
      </c>
      <c r="E1090">
        <v>0</v>
      </c>
      <c r="F1090">
        <v>87</v>
      </c>
      <c r="G1090">
        <v>0</v>
      </c>
      <c r="I1090" t="s">
        <v>15517</v>
      </c>
      <c r="J1090" t="s">
        <v>13724</v>
      </c>
      <c r="K1090">
        <v>1</v>
      </c>
    </row>
    <row r="1091" spans="1:11" x14ac:dyDescent="0.35">
      <c r="A1091" t="s">
        <v>15518</v>
      </c>
      <c r="B1091" t="s">
        <v>13187</v>
      </c>
      <c r="C1091">
        <v>705</v>
      </c>
      <c r="D1091">
        <v>451</v>
      </c>
      <c r="E1091">
        <v>3</v>
      </c>
      <c r="F1091">
        <v>251</v>
      </c>
      <c r="G1091">
        <v>0</v>
      </c>
      <c r="I1091" t="s">
        <v>15518</v>
      </c>
      <c r="J1091" t="s">
        <v>13187</v>
      </c>
      <c r="K1091">
        <v>10</v>
      </c>
    </row>
    <row r="1092" spans="1:11" x14ac:dyDescent="0.35">
      <c r="A1092" t="s">
        <v>15519</v>
      </c>
      <c r="B1092" t="s">
        <v>13652</v>
      </c>
      <c r="C1092">
        <v>4682</v>
      </c>
      <c r="D1092">
        <v>3750</v>
      </c>
      <c r="E1092">
        <v>0</v>
      </c>
      <c r="F1092">
        <v>456</v>
      </c>
      <c r="G1092">
        <v>476</v>
      </c>
      <c r="I1092" t="s">
        <v>15519</v>
      </c>
      <c r="J1092" t="s">
        <v>13652</v>
      </c>
      <c r="K1092">
        <v>5</v>
      </c>
    </row>
    <row r="1093" spans="1:11" x14ac:dyDescent="0.35">
      <c r="A1093" t="s">
        <v>15520</v>
      </c>
      <c r="B1093" t="s">
        <v>13875</v>
      </c>
      <c r="C1093">
        <v>30</v>
      </c>
      <c r="D1093">
        <v>0</v>
      </c>
      <c r="E1093">
        <v>0</v>
      </c>
      <c r="F1093">
        <v>30</v>
      </c>
      <c r="G1093">
        <v>0</v>
      </c>
      <c r="I1093" t="s">
        <v>15520</v>
      </c>
      <c r="J1093" t="s">
        <v>13875</v>
      </c>
      <c r="K1093">
        <v>1</v>
      </c>
    </row>
    <row r="1094" spans="1:11" x14ac:dyDescent="0.35">
      <c r="A1094" t="s">
        <v>15521</v>
      </c>
      <c r="B1094" t="s">
        <v>13123</v>
      </c>
      <c r="C1094">
        <v>66</v>
      </c>
      <c r="D1094">
        <v>1</v>
      </c>
      <c r="E1094">
        <v>0</v>
      </c>
      <c r="F1094">
        <v>65</v>
      </c>
      <c r="G1094">
        <v>0</v>
      </c>
      <c r="I1094" t="s">
        <v>15521</v>
      </c>
      <c r="J1094" t="s">
        <v>13123</v>
      </c>
      <c r="K1094">
        <v>2</v>
      </c>
    </row>
    <row r="1095" spans="1:11" x14ac:dyDescent="0.35">
      <c r="A1095" t="s">
        <v>15522</v>
      </c>
      <c r="B1095" t="s">
        <v>13440</v>
      </c>
      <c r="C1095">
        <v>736</v>
      </c>
      <c r="D1095">
        <v>717</v>
      </c>
      <c r="E1095">
        <v>0</v>
      </c>
      <c r="F1095">
        <v>19</v>
      </c>
      <c r="G1095">
        <v>0</v>
      </c>
      <c r="I1095" t="s">
        <v>15522</v>
      </c>
      <c r="J1095" t="s">
        <v>13440</v>
      </c>
      <c r="K1095">
        <v>2</v>
      </c>
    </row>
    <row r="1096" spans="1:11" x14ac:dyDescent="0.35">
      <c r="A1096" t="s">
        <v>15523</v>
      </c>
      <c r="B1096" t="s">
        <v>13020</v>
      </c>
      <c r="C1096">
        <v>577</v>
      </c>
      <c r="D1096">
        <v>0</v>
      </c>
      <c r="E1096">
        <v>117</v>
      </c>
      <c r="F1096">
        <v>460</v>
      </c>
      <c r="G1096">
        <v>0</v>
      </c>
      <c r="I1096" t="s">
        <v>15523</v>
      </c>
      <c r="J1096" t="s">
        <v>13020</v>
      </c>
      <c r="K1096">
        <v>20</v>
      </c>
    </row>
    <row r="1097" spans="1:11" x14ac:dyDescent="0.35">
      <c r="A1097" t="s">
        <v>15524</v>
      </c>
      <c r="B1097" t="s">
        <v>13520</v>
      </c>
      <c r="C1097">
        <v>69</v>
      </c>
      <c r="D1097">
        <v>0</v>
      </c>
      <c r="E1097">
        <v>0</v>
      </c>
      <c r="F1097">
        <v>69</v>
      </c>
      <c r="G1097">
        <v>0</v>
      </c>
      <c r="I1097" t="s">
        <v>15524</v>
      </c>
      <c r="J1097" t="s">
        <v>13520</v>
      </c>
      <c r="K1097">
        <v>1</v>
      </c>
    </row>
    <row r="1098" spans="1:11" x14ac:dyDescent="0.35">
      <c r="A1098" t="s">
        <v>15525</v>
      </c>
      <c r="B1098" t="s">
        <v>13165</v>
      </c>
      <c r="C1098">
        <v>666</v>
      </c>
      <c r="D1098">
        <v>172</v>
      </c>
      <c r="E1098">
        <v>0</v>
      </c>
      <c r="F1098">
        <v>494</v>
      </c>
      <c r="G1098">
        <v>0</v>
      </c>
      <c r="I1098" t="s">
        <v>15525</v>
      </c>
      <c r="J1098" t="s">
        <v>13165</v>
      </c>
      <c r="K1098">
        <v>20</v>
      </c>
    </row>
    <row r="1099" spans="1:11" x14ac:dyDescent="0.35">
      <c r="A1099" t="s">
        <v>15526</v>
      </c>
      <c r="B1099" t="s">
        <v>13197</v>
      </c>
      <c r="C1099">
        <v>166</v>
      </c>
      <c r="D1099">
        <v>63</v>
      </c>
      <c r="E1099">
        <v>0</v>
      </c>
      <c r="F1099">
        <v>103</v>
      </c>
      <c r="G1099">
        <v>0</v>
      </c>
      <c r="I1099" t="s">
        <v>15526</v>
      </c>
      <c r="J1099" t="s">
        <v>13197</v>
      </c>
      <c r="K1099">
        <v>1</v>
      </c>
    </row>
    <row r="1100" spans="1:11" x14ac:dyDescent="0.35">
      <c r="A1100" t="s">
        <v>15527</v>
      </c>
      <c r="B1100" t="s">
        <v>14088</v>
      </c>
      <c r="C1100">
        <v>20</v>
      </c>
      <c r="D1100">
        <v>0</v>
      </c>
      <c r="E1100">
        <v>0</v>
      </c>
      <c r="F1100">
        <v>20</v>
      </c>
      <c r="G1100">
        <v>0</v>
      </c>
      <c r="I1100" t="s">
        <v>15527</v>
      </c>
      <c r="J1100" t="s">
        <v>14088</v>
      </c>
      <c r="K1100">
        <v>1</v>
      </c>
    </row>
    <row r="1101" spans="1:11" x14ac:dyDescent="0.35">
      <c r="A1101" t="s">
        <v>15528</v>
      </c>
      <c r="B1101" t="s">
        <v>13057</v>
      </c>
      <c r="C1101">
        <v>93</v>
      </c>
      <c r="D1101">
        <v>93</v>
      </c>
      <c r="E1101">
        <v>0</v>
      </c>
      <c r="F1101">
        <v>0</v>
      </c>
      <c r="G1101">
        <v>0</v>
      </c>
      <c r="I1101" t="s">
        <v>15528</v>
      </c>
      <c r="J1101" t="s">
        <v>13057</v>
      </c>
      <c r="K1101">
        <v>5</v>
      </c>
    </row>
    <row r="1102" spans="1:11" x14ac:dyDescent="0.35">
      <c r="A1102" t="s">
        <v>15529</v>
      </c>
      <c r="B1102" t="s">
        <v>13585</v>
      </c>
      <c r="C1102">
        <v>140</v>
      </c>
      <c r="D1102">
        <v>140</v>
      </c>
      <c r="E1102">
        <v>0</v>
      </c>
      <c r="F1102">
        <v>0</v>
      </c>
      <c r="G1102">
        <v>0</v>
      </c>
      <c r="I1102" t="s">
        <v>15529</v>
      </c>
      <c r="J1102" t="s">
        <v>13585</v>
      </c>
      <c r="K1102">
        <v>2</v>
      </c>
    </row>
    <row r="1103" spans="1:11" x14ac:dyDescent="0.35">
      <c r="A1103" t="s">
        <v>15530</v>
      </c>
      <c r="B1103" t="s">
        <v>13072</v>
      </c>
      <c r="C1103">
        <v>19875</v>
      </c>
      <c r="D1103">
        <v>16496</v>
      </c>
      <c r="E1103">
        <v>44</v>
      </c>
      <c r="F1103">
        <v>1827</v>
      </c>
      <c r="G1103">
        <v>1508</v>
      </c>
      <c r="I1103" t="s">
        <v>15530</v>
      </c>
      <c r="J1103" t="s">
        <v>13072</v>
      </c>
      <c r="K1103">
        <v>62</v>
      </c>
    </row>
    <row r="1104" spans="1:11" x14ac:dyDescent="0.35">
      <c r="A1104" t="s">
        <v>15531</v>
      </c>
      <c r="B1104" t="s">
        <v>13443</v>
      </c>
      <c r="C1104">
        <v>65</v>
      </c>
      <c r="D1104">
        <v>4</v>
      </c>
      <c r="E1104">
        <v>0</v>
      </c>
      <c r="F1104">
        <v>61</v>
      </c>
      <c r="G1104">
        <v>0</v>
      </c>
      <c r="I1104" t="s">
        <v>15531</v>
      </c>
      <c r="J1104" t="s">
        <v>13443</v>
      </c>
      <c r="K1104">
        <v>5</v>
      </c>
    </row>
    <row r="1105" spans="1:11" x14ac:dyDescent="0.35">
      <c r="A1105" t="s">
        <v>15532</v>
      </c>
      <c r="B1105" t="s">
        <v>13362</v>
      </c>
      <c r="C1105">
        <v>14</v>
      </c>
      <c r="D1105">
        <v>14</v>
      </c>
      <c r="E1105">
        <v>0</v>
      </c>
      <c r="F1105">
        <v>0</v>
      </c>
      <c r="G1105">
        <v>0</v>
      </c>
      <c r="I1105" t="s">
        <v>15532</v>
      </c>
      <c r="J1105" t="s">
        <v>13362</v>
      </c>
      <c r="K1105">
        <v>1</v>
      </c>
    </row>
    <row r="1106" spans="1:11" x14ac:dyDescent="0.35">
      <c r="A1106" t="s">
        <v>15533</v>
      </c>
      <c r="B1106" t="s">
        <v>13134</v>
      </c>
      <c r="C1106">
        <v>11</v>
      </c>
      <c r="D1106">
        <v>0</v>
      </c>
      <c r="E1106">
        <v>0</v>
      </c>
      <c r="F1106">
        <v>11</v>
      </c>
      <c r="G1106">
        <v>0</v>
      </c>
      <c r="I1106" t="s">
        <v>15533</v>
      </c>
      <c r="J1106" t="s">
        <v>13134</v>
      </c>
      <c r="K1106">
        <v>1</v>
      </c>
    </row>
    <row r="1107" spans="1:11" x14ac:dyDescent="0.35">
      <c r="A1107" t="s">
        <v>15534</v>
      </c>
      <c r="B1107" t="s">
        <v>14084</v>
      </c>
      <c r="C1107">
        <v>51</v>
      </c>
      <c r="D1107">
        <v>0</v>
      </c>
      <c r="E1107">
        <v>0</v>
      </c>
      <c r="F1107">
        <v>51</v>
      </c>
      <c r="G1107">
        <v>0</v>
      </c>
      <c r="I1107" t="s">
        <v>15534</v>
      </c>
      <c r="J1107" t="s">
        <v>14084</v>
      </c>
      <c r="K1107">
        <v>1</v>
      </c>
    </row>
    <row r="1108" spans="1:11" x14ac:dyDescent="0.35">
      <c r="A1108" t="s">
        <v>15535</v>
      </c>
      <c r="B1108" t="s">
        <v>14121</v>
      </c>
      <c r="C1108">
        <v>70</v>
      </c>
      <c r="D1108">
        <v>0</v>
      </c>
      <c r="E1108">
        <v>0</v>
      </c>
      <c r="F1108">
        <v>70</v>
      </c>
      <c r="G1108">
        <v>0</v>
      </c>
      <c r="I1108" t="s">
        <v>15535</v>
      </c>
      <c r="J1108" t="s">
        <v>14121</v>
      </c>
      <c r="K1108">
        <v>1</v>
      </c>
    </row>
    <row r="1109" spans="1:11" x14ac:dyDescent="0.35">
      <c r="A1109" t="s">
        <v>15536</v>
      </c>
      <c r="B1109" t="s">
        <v>13484</v>
      </c>
      <c r="C1109">
        <v>3071</v>
      </c>
      <c r="D1109">
        <v>2247</v>
      </c>
      <c r="E1109">
        <v>24</v>
      </c>
      <c r="F1109">
        <v>602</v>
      </c>
      <c r="G1109">
        <v>198</v>
      </c>
      <c r="I1109" t="s">
        <v>15536</v>
      </c>
      <c r="J1109" t="s">
        <v>13484</v>
      </c>
      <c r="K1109">
        <v>5</v>
      </c>
    </row>
    <row r="1110" spans="1:11" x14ac:dyDescent="0.35">
      <c r="A1110" t="s">
        <v>15537</v>
      </c>
      <c r="B1110" t="s">
        <v>13046</v>
      </c>
      <c r="C1110">
        <v>650</v>
      </c>
      <c r="D1110">
        <v>103</v>
      </c>
      <c r="E1110">
        <v>0</v>
      </c>
      <c r="F1110">
        <v>547</v>
      </c>
      <c r="G1110">
        <v>0</v>
      </c>
      <c r="I1110" t="s">
        <v>15537</v>
      </c>
      <c r="J1110" t="s">
        <v>13046</v>
      </c>
      <c r="K1110">
        <v>31</v>
      </c>
    </row>
    <row r="1111" spans="1:11" x14ac:dyDescent="0.35">
      <c r="A1111" t="s">
        <v>15538</v>
      </c>
      <c r="B1111" t="s">
        <v>13375</v>
      </c>
      <c r="C1111">
        <v>18</v>
      </c>
      <c r="D1111">
        <v>0</v>
      </c>
      <c r="E1111">
        <v>0</v>
      </c>
      <c r="F1111">
        <v>18</v>
      </c>
      <c r="G1111">
        <v>0</v>
      </c>
      <c r="I1111" t="s">
        <v>15538</v>
      </c>
      <c r="J1111" t="s">
        <v>13375</v>
      </c>
      <c r="K1111">
        <v>1</v>
      </c>
    </row>
    <row r="1112" spans="1:11" x14ac:dyDescent="0.35">
      <c r="A1112" t="s">
        <v>15539</v>
      </c>
      <c r="B1112" t="s">
        <v>13192</v>
      </c>
      <c r="C1112">
        <v>671</v>
      </c>
      <c r="D1112">
        <v>0</v>
      </c>
      <c r="E1112">
        <v>0</v>
      </c>
      <c r="F1112">
        <v>671</v>
      </c>
      <c r="G1112">
        <v>0</v>
      </c>
      <c r="I1112" t="s">
        <v>15539</v>
      </c>
      <c r="J1112" t="s">
        <v>13192</v>
      </c>
      <c r="K1112">
        <v>17</v>
      </c>
    </row>
    <row r="1113" spans="1:11" x14ac:dyDescent="0.35">
      <c r="A1113" t="s">
        <v>15540</v>
      </c>
      <c r="B1113" t="s">
        <v>13078</v>
      </c>
      <c r="C1113">
        <v>3341</v>
      </c>
      <c r="D1113">
        <v>1267</v>
      </c>
      <c r="E1113">
        <v>7</v>
      </c>
      <c r="F1113">
        <v>2067</v>
      </c>
      <c r="G1113">
        <v>0</v>
      </c>
      <c r="I1113" t="s">
        <v>15540</v>
      </c>
      <c r="J1113" t="s">
        <v>13078</v>
      </c>
      <c r="K1113">
        <v>75</v>
      </c>
    </row>
    <row r="1114" spans="1:11" x14ac:dyDescent="0.35">
      <c r="A1114" t="s">
        <v>15541</v>
      </c>
      <c r="B1114" t="s">
        <v>13628</v>
      </c>
      <c r="C1114">
        <v>255</v>
      </c>
      <c r="D1114">
        <v>0</v>
      </c>
      <c r="E1114">
        <v>0</v>
      </c>
      <c r="F1114">
        <v>255</v>
      </c>
      <c r="G1114">
        <v>0</v>
      </c>
      <c r="I1114" t="s">
        <v>15541</v>
      </c>
      <c r="J1114" t="s">
        <v>13628</v>
      </c>
      <c r="K1114">
        <v>1</v>
      </c>
    </row>
    <row r="1115" spans="1:11" x14ac:dyDescent="0.35">
      <c r="A1115" t="s">
        <v>15542</v>
      </c>
      <c r="B1115" t="s">
        <v>13094</v>
      </c>
      <c r="C1115">
        <v>106</v>
      </c>
      <c r="D1115">
        <v>0</v>
      </c>
      <c r="E1115">
        <v>0</v>
      </c>
      <c r="F1115">
        <v>106</v>
      </c>
      <c r="G1115">
        <v>0</v>
      </c>
      <c r="I1115" t="s">
        <v>15542</v>
      </c>
      <c r="J1115" t="s">
        <v>13094</v>
      </c>
      <c r="K1115">
        <v>8</v>
      </c>
    </row>
    <row r="1116" spans="1:11" x14ac:dyDescent="0.35">
      <c r="A1116" t="s">
        <v>15543</v>
      </c>
      <c r="B1116" t="s">
        <v>13572</v>
      </c>
      <c r="C1116">
        <v>16</v>
      </c>
      <c r="D1116">
        <v>9</v>
      </c>
      <c r="E1116">
        <v>7</v>
      </c>
      <c r="F1116">
        <v>0</v>
      </c>
      <c r="G1116">
        <v>0</v>
      </c>
      <c r="I1116" t="s">
        <v>15543</v>
      </c>
      <c r="J1116" t="s">
        <v>13572</v>
      </c>
      <c r="K1116">
        <v>1</v>
      </c>
    </row>
    <row r="1117" spans="1:11" x14ac:dyDescent="0.35">
      <c r="A1117" t="s">
        <v>15544</v>
      </c>
      <c r="B1117" t="s">
        <v>13868</v>
      </c>
      <c r="C1117">
        <v>44</v>
      </c>
      <c r="D1117">
        <v>27</v>
      </c>
      <c r="E1117">
        <v>0</v>
      </c>
      <c r="F1117">
        <v>17</v>
      </c>
      <c r="G1117">
        <v>0</v>
      </c>
      <c r="I1117" t="s">
        <v>15544</v>
      </c>
      <c r="J1117" t="s">
        <v>13868</v>
      </c>
      <c r="K1117">
        <v>1</v>
      </c>
    </row>
    <row r="1118" spans="1:11" x14ac:dyDescent="0.35">
      <c r="A1118" t="s">
        <v>15545</v>
      </c>
      <c r="B1118" t="s">
        <v>14068</v>
      </c>
      <c r="C1118">
        <v>22</v>
      </c>
      <c r="D1118">
        <v>5</v>
      </c>
      <c r="E1118">
        <v>0</v>
      </c>
      <c r="F1118">
        <v>17</v>
      </c>
      <c r="G1118">
        <v>0</v>
      </c>
      <c r="I1118" t="s">
        <v>15545</v>
      </c>
      <c r="J1118" t="s">
        <v>14068</v>
      </c>
      <c r="K1118">
        <v>1</v>
      </c>
    </row>
    <row r="1119" spans="1:11" x14ac:dyDescent="0.35">
      <c r="A1119" t="s">
        <v>15546</v>
      </c>
      <c r="B1119" t="s">
        <v>13111</v>
      </c>
      <c r="C1119">
        <v>634</v>
      </c>
      <c r="D1119">
        <v>547</v>
      </c>
      <c r="E1119">
        <v>2</v>
      </c>
      <c r="F1119">
        <v>85</v>
      </c>
      <c r="G1119">
        <v>0</v>
      </c>
      <c r="I1119" t="s">
        <v>15546</v>
      </c>
      <c r="J1119" t="s">
        <v>13111</v>
      </c>
      <c r="K1119">
        <v>5</v>
      </c>
    </row>
    <row r="1120" spans="1:11" x14ac:dyDescent="0.35">
      <c r="A1120" t="s">
        <v>15547</v>
      </c>
      <c r="B1120" t="s">
        <v>14234</v>
      </c>
      <c r="C1120">
        <v>147</v>
      </c>
      <c r="D1120">
        <v>44</v>
      </c>
      <c r="E1120">
        <v>0</v>
      </c>
      <c r="F1120">
        <v>103</v>
      </c>
      <c r="G1120">
        <v>0</v>
      </c>
      <c r="I1120" t="s">
        <v>15547</v>
      </c>
      <c r="J1120" t="s">
        <v>14234</v>
      </c>
      <c r="K1120">
        <v>1</v>
      </c>
    </row>
    <row r="1121" spans="1:11" x14ac:dyDescent="0.35">
      <c r="A1121" t="s">
        <v>15548</v>
      </c>
      <c r="B1121" t="s">
        <v>14125</v>
      </c>
      <c r="C1121">
        <v>208</v>
      </c>
      <c r="D1121">
        <v>122</v>
      </c>
      <c r="E1121">
        <v>5</v>
      </c>
      <c r="F1121">
        <v>81</v>
      </c>
      <c r="G1121">
        <v>0</v>
      </c>
      <c r="I1121" t="s">
        <v>15548</v>
      </c>
      <c r="J1121" t="s">
        <v>14125</v>
      </c>
      <c r="K1121">
        <v>2</v>
      </c>
    </row>
    <row r="1122" spans="1:11" x14ac:dyDescent="0.35">
      <c r="A1122" t="s">
        <v>15549</v>
      </c>
      <c r="B1122" t="s">
        <v>13127</v>
      </c>
      <c r="C1122">
        <v>1854</v>
      </c>
      <c r="D1122">
        <v>1727</v>
      </c>
      <c r="E1122">
        <v>0</v>
      </c>
      <c r="F1122">
        <v>40</v>
      </c>
      <c r="G1122">
        <v>87</v>
      </c>
      <c r="I1122" t="s">
        <v>15549</v>
      </c>
      <c r="J1122" t="s">
        <v>13127</v>
      </c>
      <c r="K1122">
        <v>14</v>
      </c>
    </row>
    <row r="1123" spans="1:11" x14ac:dyDescent="0.35">
      <c r="A1123" t="s">
        <v>15550</v>
      </c>
      <c r="B1123" t="s">
        <v>13833</v>
      </c>
      <c r="C1123">
        <v>1382</v>
      </c>
      <c r="D1123">
        <v>1299</v>
      </c>
      <c r="E1123">
        <v>0</v>
      </c>
      <c r="F1123">
        <v>24</v>
      </c>
      <c r="G1123">
        <v>59</v>
      </c>
      <c r="I1123" t="s">
        <v>15550</v>
      </c>
      <c r="J1123" t="s">
        <v>13833</v>
      </c>
      <c r="K1123">
        <v>2</v>
      </c>
    </row>
    <row r="1124" spans="1:11" x14ac:dyDescent="0.35">
      <c r="A1124" t="s">
        <v>15551</v>
      </c>
      <c r="B1124" t="s">
        <v>14077</v>
      </c>
      <c r="C1124">
        <v>32</v>
      </c>
      <c r="D1124">
        <v>0</v>
      </c>
      <c r="E1124">
        <v>0</v>
      </c>
      <c r="F1124">
        <v>32</v>
      </c>
      <c r="G1124">
        <v>0</v>
      </c>
      <c r="I1124" t="s">
        <v>15551</v>
      </c>
      <c r="J1124" t="s">
        <v>14077</v>
      </c>
      <c r="K1124">
        <v>2</v>
      </c>
    </row>
    <row r="1125" spans="1:11" x14ac:dyDescent="0.35">
      <c r="A1125" t="s">
        <v>15552</v>
      </c>
      <c r="B1125" t="s">
        <v>13112</v>
      </c>
      <c r="C1125">
        <v>887</v>
      </c>
      <c r="D1125">
        <v>854</v>
      </c>
      <c r="E1125">
        <v>0</v>
      </c>
      <c r="F1125">
        <v>33</v>
      </c>
      <c r="G1125">
        <v>0</v>
      </c>
      <c r="I1125" t="s">
        <v>15552</v>
      </c>
      <c r="J1125" t="s">
        <v>13112</v>
      </c>
      <c r="K1125">
        <v>15</v>
      </c>
    </row>
    <row r="1126" spans="1:11" x14ac:dyDescent="0.35">
      <c r="A1126" t="s">
        <v>15553</v>
      </c>
      <c r="B1126" t="s">
        <v>13080</v>
      </c>
      <c r="C1126">
        <v>8485</v>
      </c>
      <c r="D1126">
        <v>6612</v>
      </c>
      <c r="E1126">
        <v>0</v>
      </c>
      <c r="F1126">
        <v>854</v>
      </c>
      <c r="G1126">
        <v>1019</v>
      </c>
      <c r="I1126" t="s">
        <v>15553</v>
      </c>
      <c r="J1126" t="s">
        <v>13080</v>
      </c>
      <c r="K1126">
        <v>12</v>
      </c>
    </row>
    <row r="1127" spans="1:11" x14ac:dyDescent="0.35">
      <c r="A1127" t="s">
        <v>15554</v>
      </c>
      <c r="B1127" t="s">
        <v>13124</v>
      </c>
      <c r="C1127">
        <v>603</v>
      </c>
      <c r="D1127">
        <v>540</v>
      </c>
      <c r="E1127">
        <v>0</v>
      </c>
      <c r="F1127">
        <v>63</v>
      </c>
      <c r="G1127">
        <v>0</v>
      </c>
      <c r="I1127" t="s">
        <v>15554</v>
      </c>
      <c r="J1127" t="s">
        <v>13124</v>
      </c>
      <c r="K1127">
        <v>13</v>
      </c>
    </row>
    <row r="1128" spans="1:11" x14ac:dyDescent="0.35">
      <c r="A1128" t="s">
        <v>15555</v>
      </c>
      <c r="B1128" t="s">
        <v>13678</v>
      </c>
      <c r="C1128">
        <v>1063</v>
      </c>
      <c r="D1128">
        <v>984</v>
      </c>
      <c r="E1128">
        <v>0</v>
      </c>
      <c r="F1128">
        <v>0</v>
      </c>
      <c r="G1128">
        <v>79</v>
      </c>
      <c r="I1128" t="s">
        <v>15555</v>
      </c>
      <c r="J1128" t="s">
        <v>13678</v>
      </c>
      <c r="K1128">
        <v>5</v>
      </c>
    </row>
    <row r="1129" spans="1:11" x14ac:dyDescent="0.35">
      <c r="A1129" t="s">
        <v>15556</v>
      </c>
      <c r="B1129" t="s">
        <v>13747</v>
      </c>
      <c r="C1129">
        <v>25</v>
      </c>
      <c r="D1129">
        <v>0</v>
      </c>
      <c r="E1129">
        <v>25</v>
      </c>
      <c r="F1129">
        <v>0</v>
      </c>
      <c r="G1129">
        <v>0</v>
      </c>
      <c r="I1129" t="s">
        <v>15556</v>
      </c>
      <c r="J1129" t="s">
        <v>13747</v>
      </c>
      <c r="K1129">
        <v>1</v>
      </c>
    </row>
    <row r="1130" spans="1:11" x14ac:dyDescent="0.35">
      <c r="A1130" t="s">
        <v>15557</v>
      </c>
      <c r="B1130" t="s">
        <v>13741</v>
      </c>
      <c r="C1130">
        <v>476</v>
      </c>
      <c r="D1130">
        <v>476</v>
      </c>
      <c r="E1130">
        <v>0</v>
      </c>
      <c r="F1130">
        <v>0</v>
      </c>
      <c r="G1130">
        <v>0</v>
      </c>
      <c r="I1130" t="s">
        <v>15557</v>
      </c>
      <c r="J1130" t="s">
        <v>13741</v>
      </c>
      <c r="K1130">
        <v>3</v>
      </c>
    </row>
    <row r="1131" spans="1:11" x14ac:dyDescent="0.35">
      <c r="A1131" t="s">
        <v>15558</v>
      </c>
      <c r="B1131" t="s">
        <v>13207</v>
      </c>
      <c r="C1131">
        <v>16996</v>
      </c>
      <c r="D1131">
        <v>12444</v>
      </c>
      <c r="E1131">
        <v>166</v>
      </c>
      <c r="F1131">
        <v>1219</v>
      </c>
      <c r="G1131">
        <v>3167</v>
      </c>
      <c r="I1131" t="s">
        <v>15558</v>
      </c>
      <c r="J1131" t="s">
        <v>13207</v>
      </c>
      <c r="K1131">
        <v>28</v>
      </c>
    </row>
    <row r="1132" spans="1:11" x14ac:dyDescent="0.35">
      <c r="A1132" t="s">
        <v>15559</v>
      </c>
      <c r="B1132" t="s">
        <v>13767</v>
      </c>
      <c r="C1132">
        <v>126</v>
      </c>
      <c r="D1132">
        <v>0</v>
      </c>
      <c r="E1132">
        <v>0</v>
      </c>
      <c r="F1132">
        <v>126</v>
      </c>
      <c r="G1132">
        <v>0</v>
      </c>
      <c r="I1132" t="s">
        <v>15559</v>
      </c>
      <c r="J1132" t="s">
        <v>13767</v>
      </c>
      <c r="K1132">
        <v>2</v>
      </c>
    </row>
    <row r="1133" spans="1:11" x14ac:dyDescent="0.35">
      <c r="A1133" t="s">
        <v>15560</v>
      </c>
      <c r="B1133" t="s">
        <v>13243</v>
      </c>
      <c r="C1133">
        <v>24863</v>
      </c>
      <c r="D1133">
        <v>20212</v>
      </c>
      <c r="E1133">
        <v>12</v>
      </c>
      <c r="F1133">
        <v>2821</v>
      </c>
      <c r="G1133">
        <v>1818</v>
      </c>
      <c r="I1133" t="s">
        <v>15560</v>
      </c>
      <c r="J1133" t="s">
        <v>13243</v>
      </c>
      <c r="K1133">
        <v>36</v>
      </c>
    </row>
    <row r="1134" spans="1:11" x14ac:dyDescent="0.35">
      <c r="A1134" t="s">
        <v>15561</v>
      </c>
      <c r="B1134" t="s">
        <v>13175</v>
      </c>
      <c r="C1134">
        <v>701</v>
      </c>
      <c r="D1134">
        <v>0</v>
      </c>
      <c r="E1134">
        <v>0</v>
      </c>
      <c r="F1134">
        <v>701</v>
      </c>
      <c r="G1134">
        <v>0</v>
      </c>
      <c r="I1134" t="s">
        <v>15561</v>
      </c>
      <c r="J1134" t="s">
        <v>13175</v>
      </c>
      <c r="K1134">
        <v>12</v>
      </c>
    </row>
    <row r="1135" spans="1:11" x14ac:dyDescent="0.35">
      <c r="A1135" t="s">
        <v>15562</v>
      </c>
      <c r="B1135" t="s">
        <v>13034</v>
      </c>
      <c r="C1135">
        <v>21772</v>
      </c>
      <c r="D1135">
        <v>16282</v>
      </c>
      <c r="E1135">
        <v>253</v>
      </c>
      <c r="F1135">
        <v>4598</v>
      </c>
      <c r="G1135">
        <v>639</v>
      </c>
      <c r="I1135" t="s">
        <v>15562</v>
      </c>
      <c r="J1135" t="s">
        <v>13034</v>
      </c>
      <c r="K1135">
        <v>150</v>
      </c>
    </row>
    <row r="1136" spans="1:11" x14ac:dyDescent="0.35">
      <c r="A1136" t="s">
        <v>15563</v>
      </c>
      <c r="B1136" t="s">
        <v>13384</v>
      </c>
      <c r="C1136">
        <v>485</v>
      </c>
      <c r="D1136">
        <v>437</v>
      </c>
      <c r="E1136">
        <v>0</v>
      </c>
      <c r="F1136">
        <v>48</v>
      </c>
      <c r="G1136">
        <v>0</v>
      </c>
      <c r="I1136" t="s">
        <v>15563</v>
      </c>
      <c r="J1136" t="s">
        <v>13384</v>
      </c>
      <c r="K1136">
        <v>8</v>
      </c>
    </row>
    <row r="1137" spans="1:11" x14ac:dyDescent="0.35">
      <c r="A1137" t="s">
        <v>15564</v>
      </c>
      <c r="B1137" t="s">
        <v>13509</v>
      </c>
      <c r="C1137">
        <v>33</v>
      </c>
      <c r="D1137">
        <v>0</v>
      </c>
      <c r="E1137">
        <v>0</v>
      </c>
      <c r="F1137">
        <v>33</v>
      </c>
      <c r="G1137">
        <v>0</v>
      </c>
      <c r="I1137" t="s">
        <v>15564</v>
      </c>
      <c r="J1137" t="s">
        <v>13509</v>
      </c>
      <c r="K1137">
        <v>1</v>
      </c>
    </row>
    <row r="1138" spans="1:11" x14ac:dyDescent="0.35">
      <c r="A1138" t="s">
        <v>15565</v>
      </c>
      <c r="B1138" t="s">
        <v>13718</v>
      </c>
      <c r="C1138">
        <v>496</v>
      </c>
      <c r="D1138">
        <v>443</v>
      </c>
      <c r="E1138">
        <v>0</v>
      </c>
      <c r="F1138">
        <v>53</v>
      </c>
      <c r="G1138">
        <v>0</v>
      </c>
      <c r="I1138" t="s">
        <v>15565</v>
      </c>
      <c r="J1138" t="s">
        <v>13718</v>
      </c>
      <c r="K1138">
        <v>5</v>
      </c>
    </row>
    <row r="1139" spans="1:11" x14ac:dyDescent="0.35">
      <c r="A1139" t="s">
        <v>15566</v>
      </c>
      <c r="B1139" t="s">
        <v>13595</v>
      </c>
      <c r="C1139">
        <v>6893</v>
      </c>
      <c r="D1139">
        <v>6136</v>
      </c>
      <c r="E1139">
        <v>8</v>
      </c>
      <c r="F1139">
        <v>336</v>
      </c>
      <c r="G1139">
        <v>413</v>
      </c>
      <c r="I1139" t="s">
        <v>15566</v>
      </c>
      <c r="J1139" t="s">
        <v>13595</v>
      </c>
      <c r="K1139">
        <v>8</v>
      </c>
    </row>
    <row r="1140" spans="1:11" x14ac:dyDescent="0.35">
      <c r="A1140" t="s">
        <v>15567</v>
      </c>
      <c r="B1140" t="s">
        <v>13036</v>
      </c>
      <c r="C1140">
        <v>9917</v>
      </c>
      <c r="D1140">
        <v>5335</v>
      </c>
      <c r="E1140">
        <v>0</v>
      </c>
      <c r="F1140">
        <v>4176</v>
      </c>
      <c r="G1140">
        <v>406</v>
      </c>
      <c r="I1140" t="s">
        <v>15567</v>
      </c>
      <c r="J1140" t="s">
        <v>13036</v>
      </c>
      <c r="K1140">
        <v>106</v>
      </c>
    </row>
    <row r="1141" spans="1:11" x14ac:dyDescent="0.35">
      <c r="A1141" t="s">
        <v>15568</v>
      </c>
      <c r="B1141" t="s">
        <v>14187</v>
      </c>
      <c r="C1141">
        <v>774</v>
      </c>
      <c r="D1141">
        <v>774</v>
      </c>
      <c r="E1141">
        <v>0</v>
      </c>
      <c r="F1141">
        <v>0</v>
      </c>
      <c r="G1141">
        <v>0</v>
      </c>
      <c r="I1141" t="s">
        <v>15568</v>
      </c>
      <c r="J1141" t="s">
        <v>14187</v>
      </c>
      <c r="K1141">
        <v>1</v>
      </c>
    </row>
    <row r="1142" spans="1:11" x14ac:dyDescent="0.35">
      <c r="A1142" t="s">
        <v>15569</v>
      </c>
      <c r="B1142" t="s">
        <v>13394</v>
      </c>
      <c r="C1142">
        <v>6542</v>
      </c>
      <c r="D1142">
        <v>5241</v>
      </c>
      <c r="E1142">
        <v>267</v>
      </c>
      <c r="F1142">
        <v>653</v>
      </c>
      <c r="G1142">
        <v>381</v>
      </c>
      <c r="I1142" t="s">
        <v>15569</v>
      </c>
      <c r="J1142" t="s">
        <v>13394</v>
      </c>
      <c r="K1142">
        <v>15</v>
      </c>
    </row>
    <row r="1143" spans="1:11" x14ac:dyDescent="0.35">
      <c r="A1143" t="s">
        <v>15570</v>
      </c>
      <c r="B1143" t="s">
        <v>13640</v>
      </c>
      <c r="C1143">
        <v>1197</v>
      </c>
      <c r="D1143">
        <v>56</v>
      </c>
      <c r="E1143">
        <v>0</v>
      </c>
      <c r="F1143">
        <v>1141</v>
      </c>
      <c r="G1143">
        <v>0</v>
      </c>
      <c r="I1143" t="s">
        <v>15570</v>
      </c>
      <c r="J1143" t="s">
        <v>13640</v>
      </c>
      <c r="K1143">
        <v>9</v>
      </c>
    </row>
    <row r="1144" spans="1:11" x14ac:dyDescent="0.35">
      <c r="A1144" t="s">
        <v>15571</v>
      </c>
      <c r="B1144" t="s">
        <v>13023</v>
      </c>
      <c r="C1144">
        <v>37419</v>
      </c>
      <c r="D1144">
        <v>238</v>
      </c>
      <c r="E1144">
        <v>0</v>
      </c>
      <c r="F1144">
        <v>35521</v>
      </c>
      <c r="G1144">
        <v>1660</v>
      </c>
      <c r="I1144" t="s">
        <v>15571</v>
      </c>
      <c r="J1144" t="s">
        <v>13023</v>
      </c>
      <c r="K1144">
        <v>245</v>
      </c>
    </row>
    <row r="1145" spans="1:11" x14ac:dyDescent="0.35">
      <c r="A1145" t="s">
        <v>15572</v>
      </c>
      <c r="B1145" t="s">
        <v>13194</v>
      </c>
      <c r="C1145">
        <v>7153</v>
      </c>
      <c r="D1145">
        <v>5171</v>
      </c>
      <c r="E1145">
        <v>0</v>
      </c>
      <c r="F1145">
        <v>1499</v>
      </c>
      <c r="G1145">
        <v>483</v>
      </c>
      <c r="I1145" t="s">
        <v>15572</v>
      </c>
      <c r="J1145" t="s">
        <v>13194</v>
      </c>
      <c r="K1145">
        <v>3</v>
      </c>
    </row>
    <row r="1146" spans="1:11" x14ac:dyDescent="0.35">
      <c r="A1146" t="s">
        <v>15573</v>
      </c>
      <c r="B1146" t="s">
        <v>14401</v>
      </c>
      <c r="C1146">
        <v>5</v>
      </c>
      <c r="D1146">
        <v>0</v>
      </c>
      <c r="E1146">
        <v>0</v>
      </c>
      <c r="F1146">
        <v>5</v>
      </c>
      <c r="G1146">
        <v>0</v>
      </c>
      <c r="I1146" t="s">
        <v>15573</v>
      </c>
      <c r="J1146" t="s">
        <v>14401</v>
      </c>
      <c r="K1146">
        <v>1</v>
      </c>
    </row>
    <row r="1147" spans="1:11" x14ac:dyDescent="0.35">
      <c r="A1147" t="s">
        <v>15574</v>
      </c>
      <c r="B1147" t="s">
        <v>13448</v>
      </c>
      <c r="C1147">
        <v>19122</v>
      </c>
      <c r="D1147">
        <v>15944</v>
      </c>
      <c r="E1147">
        <v>0</v>
      </c>
      <c r="F1147">
        <v>2234</v>
      </c>
      <c r="G1147">
        <v>944</v>
      </c>
      <c r="I1147" t="s">
        <v>15574</v>
      </c>
      <c r="J1147" t="s">
        <v>13448</v>
      </c>
      <c r="K1147">
        <v>6</v>
      </c>
    </row>
    <row r="1148" spans="1:11" x14ac:dyDescent="0.35">
      <c r="A1148" t="s">
        <v>15575</v>
      </c>
      <c r="B1148" t="s">
        <v>13135</v>
      </c>
      <c r="C1148">
        <v>15769</v>
      </c>
      <c r="D1148">
        <v>12626</v>
      </c>
      <c r="E1148">
        <v>3</v>
      </c>
      <c r="F1148">
        <v>154</v>
      </c>
      <c r="G1148">
        <v>2986</v>
      </c>
      <c r="I1148" t="s">
        <v>15575</v>
      </c>
      <c r="J1148" t="s">
        <v>13135</v>
      </c>
      <c r="K1148">
        <v>25</v>
      </c>
    </row>
    <row r="1149" spans="1:11" x14ac:dyDescent="0.35">
      <c r="A1149" t="s">
        <v>15576</v>
      </c>
      <c r="B1149" t="s">
        <v>13166</v>
      </c>
      <c r="C1149">
        <v>11985</v>
      </c>
      <c r="D1149">
        <v>10186</v>
      </c>
      <c r="E1149">
        <v>0</v>
      </c>
      <c r="F1149">
        <v>845</v>
      </c>
      <c r="G1149">
        <v>954</v>
      </c>
      <c r="I1149" t="s">
        <v>15576</v>
      </c>
      <c r="J1149" t="s">
        <v>13166</v>
      </c>
      <c r="K1149">
        <v>39</v>
      </c>
    </row>
    <row r="1150" spans="1:11" x14ac:dyDescent="0.35">
      <c r="A1150" t="s">
        <v>15577</v>
      </c>
      <c r="B1150" t="s">
        <v>14038</v>
      </c>
      <c r="C1150">
        <v>106</v>
      </c>
      <c r="D1150">
        <v>0</v>
      </c>
      <c r="E1150">
        <v>0</v>
      </c>
      <c r="F1150">
        <v>106</v>
      </c>
      <c r="G1150">
        <v>0</v>
      </c>
      <c r="I1150" t="s">
        <v>15577</v>
      </c>
      <c r="J1150" t="s">
        <v>14038</v>
      </c>
      <c r="K1150">
        <v>1</v>
      </c>
    </row>
    <row r="1151" spans="1:11" x14ac:dyDescent="0.35">
      <c r="A1151" t="s">
        <v>15578</v>
      </c>
      <c r="B1151" t="s">
        <v>13529</v>
      </c>
      <c r="C1151">
        <v>5311</v>
      </c>
      <c r="D1151">
        <v>3700</v>
      </c>
      <c r="E1151">
        <v>0</v>
      </c>
      <c r="F1151">
        <v>957</v>
      </c>
      <c r="G1151">
        <v>654</v>
      </c>
      <c r="I1151" t="s">
        <v>15578</v>
      </c>
      <c r="J1151" t="s">
        <v>13529</v>
      </c>
      <c r="K1151">
        <v>1</v>
      </c>
    </row>
    <row r="1152" spans="1:11" x14ac:dyDescent="0.35">
      <c r="A1152" t="s">
        <v>15579</v>
      </c>
      <c r="B1152" t="s">
        <v>13025</v>
      </c>
      <c r="C1152">
        <v>1179</v>
      </c>
      <c r="D1152">
        <v>0</v>
      </c>
      <c r="E1152">
        <v>0</v>
      </c>
      <c r="F1152">
        <v>1179</v>
      </c>
      <c r="G1152">
        <v>0</v>
      </c>
      <c r="I1152" t="s">
        <v>15579</v>
      </c>
      <c r="J1152" t="s">
        <v>13025</v>
      </c>
      <c r="K1152">
        <v>25</v>
      </c>
    </row>
    <row r="1153" spans="1:11" x14ac:dyDescent="0.35">
      <c r="A1153" t="s">
        <v>15580</v>
      </c>
      <c r="B1153" t="s">
        <v>13017</v>
      </c>
      <c r="C1153">
        <v>3921</v>
      </c>
      <c r="D1153">
        <v>3403</v>
      </c>
      <c r="E1153">
        <v>0</v>
      </c>
      <c r="F1153">
        <v>256</v>
      </c>
      <c r="G1153">
        <v>262</v>
      </c>
      <c r="I1153" t="s">
        <v>15580</v>
      </c>
      <c r="J1153" t="s">
        <v>13017</v>
      </c>
      <c r="K1153">
        <v>7</v>
      </c>
    </row>
    <row r="1154" spans="1:11" x14ac:dyDescent="0.35">
      <c r="A1154" t="s">
        <v>15581</v>
      </c>
      <c r="B1154" t="s">
        <v>13186</v>
      </c>
      <c r="C1154">
        <v>13033</v>
      </c>
      <c r="D1154">
        <v>10058</v>
      </c>
      <c r="E1154">
        <v>0</v>
      </c>
      <c r="F1154">
        <v>2100</v>
      </c>
      <c r="G1154">
        <v>875</v>
      </c>
      <c r="I1154" t="s">
        <v>15581</v>
      </c>
      <c r="J1154" t="s">
        <v>13186</v>
      </c>
      <c r="K1154">
        <v>6</v>
      </c>
    </row>
    <row r="1155" spans="1:11" x14ac:dyDescent="0.35">
      <c r="A1155" t="s">
        <v>15582</v>
      </c>
      <c r="B1155" t="s">
        <v>13451</v>
      </c>
      <c r="C1155">
        <v>13376</v>
      </c>
      <c r="D1155">
        <v>10710</v>
      </c>
      <c r="E1155">
        <v>0</v>
      </c>
      <c r="F1155">
        <v>2322</v>
      </c>
      <c r="G1155">
        <v>344</v>
      </c>
      <c r="I1155" t="s">
        <v>15582</v>
      </c>
      <c r="J1155" t="s">
        <v>13451</v>
      </c>
      <c r="K1155">
        <v>10</v>
      </c>
    </row>
    <row r="1156" spans="1:11" x14ac:dyDescent="0.35">
      <c r="A1156" t="s">
        <v>15583</v>
      </c>
      <c r="B1156" t="s">
        <v>13535</v>
      </c>
      <c r="C1156">
        <v>4414</v>
      </c>
      <c r="D1156">
        <v>3619</v>
      </c>
      <c r="E1156">
        <v>0</v>
      </c>
      <c r="F1156">
        <v>661</v>
      </c>
      <c r="G1156">
        <v>134</v>
      </c>
      <c r="I1156" t="s">
        <v>15583</v>
      </c>
      <c r="J1156" t="s">
        <v>13535</v>
      </c>
      <c r="K1156">
        <v>1</v>
      </c>
    </row>
    <row r="1157" spans="1:11" x14ac:dyDescent="0.35">
      <c r="A1157" t="s">
        <v>15584</v>
      </c>
      <c r="B1157" t="s">
        <v>14032</v>
      </c>
      <c r="C1157">
        <v>3350</v>
      </c>
      <c r="D1157">
        <v>2718</v>
      </c>
      <c r="E1157">
        <v>0</v>
      </c>
      <c r="F1157">
        <v>544</v>
      </c>
      <c r="G1157">
        <v>88</v>
      </c>
      <c r="I1157" t="s">
        <v>15584</v>
      </c>
      <c r="J1157" t="s">
        <v>14032</v>
      </c>
      <c r="K1157">
        <v>2</v>
      </c>
    </row>
    <row r="1158" spans="1:11" x14ac:dyDescent="0.35">
      <c r="A1158" t="s">
        <v>15585</v>
      </c>
      <c r="B1158" t="s">
        <v>13713</v>
      </c>
      <c r="C1158">
        <v>58</v>
      </c>
      <c r="D1158">
        <v>0</v>
      </c>
      <c r="E1158">
        <v>0</v>
      </c>
      <c r="F1158">
        <v>58</v>
      </c>
      <c r="G1158">
        <v>0</v>
      </c>
      <c r="I1158" t="s">
        <v>15585</v>
      </c>
      <c r="J1158" t="s">
        <v>13713</v>
      </c>
      <c r="K1158">
        <v>1</v>
      </c>
    </row>
    <row r="1159" spans="1:11" x14ac:dyDescent="0.35">
      <c r="A1159" t="s">
        <v>15586</v>
      </c>
      <c r="B1159" t="s">
        <v>13966</v>
      </c>
      <c r="C1159">
        <v>6004</v>
      </c>
      <c r="D1159">
        <v>3567</v>
      </c>
      <c r="E1159">
        <v>0</v>
      </c>
      <c r="F1159">
        <v>2061</v>
      </c>
      <c r="G1159">
        <v>376</v>
      </c>
      <c r="I1159" t="s">
        <v>15586</v>
      </c>
      <c r="J1159" t="s">
        <v>13966</v>
      </c>
      <c r="K1159">
        <v>4</v>
      </c>
    </row>
    <row r="1160" spans="1:11" x14ac:dyDescent="0.35">
      <c r="A1160" t="s">
        <v>15587</v>
      </c>
      <c r="B1160" t="s">
        <v>13412</v>
      </c>
      <c r="C1160">
        <v>15183</v>
      </c>
      <c r="D1160">
        <v>14219</v>
      </c>
      <c r="E1160">
        <v>0</v>
      </c>
      <c r="F1160">
        <v>942</v>
      </c>
      <c r="G1160">
        <v>22</v>
      </c>
      <c r="I1160" t="s">
        <v>15587</v>
      </c>
      <c r="J1160" t="s">
        <v>13412</v>
      </c>
      <c r="K1160">
        <v>5</v>
      </c>
    </row>
    <row r="1161" spans="1:11" x14ac:dyDescent="0.35">
      <c r="A1161" t="s">
        <v>15588</v>
      </c>
      <c r="B1161" t="s">
        <v>13704</v>
      </c>
      <c r="C1161">
        <v>358</v>
      </c>
      <c r="D1161">
        <v>17</v>
      </c>
      <c r="E1161">
        <v>0</v>
      </c>
      <c r="F1161">
        <v>341</v>
      </c>
      <c r="G1161">
        <v>0</v>
      </c>
      <c r="I1161" t="s">
        <v>15588</v>
      </c>
      <c r="J1161" t="s">
        <v>13704</v>
      </c>
      <c r="K1161">
        <v>5</v>
      </c>
    </row>
    <row r="1162" spans="1:11" x14ac:dyDescent="0.35">
      <c r="A1162" t="s">
        <v>15589</v>
      </c>
      <c r="B1162" t="s">
        <v>13185</v>
      </c>
      <c r="C1162">
        <v>1</v>
      </c>
      <c r="D1162">
        <v>1</v>
      </c>
      <c r="E1162">
        <v>0</v>
      </c>
      <c r="F1162">
        <v>0</v>
      </c>
      <c r="G1162">
        <v>0</v>
      </c>
      <c r="I1162" t="s">
        <v>15589</v>
      </c>
      <c r="J1162" t="s">
        <v>13185</v>
      </c>
      <c r="K1162">
        <v>1</v>
      </c>
    </row>
    <row r="1163" spans="1:11" x14ac:dyDescent="0.35">
      <c r="A1163" t="s">
        <v>15590</v>
      </c>
      <c r="B1163" t="s">
        <v>13173</v>
      </c>
      <c r="C1163">
        <v>450</v>
      </c>
      <c r="D1163">
        <v>154</v>
      </c>
      <c r="E1163">
        <v>40</v>
      </c>
      <c r="F1163">
        <v>256</v>
      </c>
      <c r="G1163">
        <v>0</v>
      </c>
      <c r="I1163" t="s">
        <v>15590</v>
      </c>
      <c r="J1163" t="s">
        <v>13173</v>
      </c>
      <c r="K1163">
        <v>5</v>
      </c>
    </row>
    <row r="1164" spans="1:11" x14ac:dyDescent="0.35">
      <c r="A1164" t="s">
        <v>15591</v>
      </c>
      <c r="B1164" t="s">
        <v>13673</v>
      </c>
      <c r="C1164">
        <v>60</v>
      </c>
      <c r="D1164">
        <v>34</v>
      </c>
      <c r="E1164">
        <v>26</v>
      </c>
      <c r="F1164">
        <v>0</v>
      </c>
      <c r="G1164">
        <v>0</v>
      </c>
      <c r="I1164" t="s">
        <v>15591</v>
      </c>
      <c r="J1164" t="s">
        <v>13673</v>
      </c>
      <c r="K1164">
        <v>4</v>
      </c>
    </row>
    <row r="1165" spans="1:11" x14ac:dyDescent="0.35">
      <c r="A1165" t="s">
        <v>15592</v>
      </c>
      <c r="B1165" t="s">
        <v>13095</v>
      </c>
      <c r="C1165">
        <v>7725</v>
      </c>
      <c r="D1165">
        <v>6867</v>
      </c>
      <c r="E1165">
        <v>0</v>
      </c>
      <c r="F1165">
        <v>359</v>
      </c>
      <c r="G1165">
        <v>499</v>
      </c>
      <c r="I1165" t="s">
        <v>15592</v>
      </c>
      <c r="J1165" t="s">
        <v>13095</v>
      </c>
      <c r="K1165">
        <v>10</v>
      </c>
    </row>
    <row r="1166" spans="1:11" x14ac:dyDescent="0.35">
      <c r="A1166" t="s">
        <v>15593</v>
      </c>
      <c r="B1166" t="s">
        <v>13744</v>
      </c>
      <c r="C1166">
        <v>13158</v>
      </c>
      <c r="D1166">
        <v>11874</v>
      </c>
      <c r="E1166">
        <v>4</v>
      </c>
      <c r="F1166">
        <v>851</v>
      </c>
      <c r="G1166">
        <v>429</v>
      </c>
      <c r="I1166" t="s">
        <v>15593</v>
      </c>
      <c r="J1166" t="s">
        <v>13744</v>
      </c>
      <c r="K1166">
        <v>6</v>
      </c>
    </row>
    <row r="1167" spans="1:11" x14ac:dyDescent="0.35">
      <c r="A1167" t="s">
        <v>15594</v>
      </c>
      <c r="B1167" t="s">
        <v>14272</v>
      </c>
      <c r="C1167">
        <v>5</v>
      </c>
      <c r="D1167">
        <v>5</v>
      </c>
      <c r="E1167">
        <v>0</v>
      </c>
      <c r="F1167">
        <v>0</v>
      </c>
      <c r="G1167">
        <v>0</v>
      </c>
      <c r="I1167" t="s">
        <v>15594</v>
      </c>
      <c r="J1167" t="s">
        <v>14272</v>
      </c>
      <c r="K1167">
        <v>1</v>
      </c>
    </row>
    <row r="1168" spans="1:11" x14ac:dyDescent="0.35">
      <c r="A1168" t="s">
        <v>15595</v>
      </c>
      <c r="B1168" t="s">
        <v>13770</v>
      </c>
      <c r="C1168">
        <v>10899</v>
      </c>
      <c r="D1168">
        <v>8730</v>
      </c>
      <c r="E1168">
        <v>0</v>
      </c>
      <c r="F1168">
        <v>1628</v>
      </c>
      <c r="G1168">
        <v>541</v>
      </c>
      <c r="I1168" t="s">
        <v>15595</v>
      </c>
      <c r="J1168" t="s">
        <v>13770</v>
      </c>
      <c r="K1168">
        <v>3</v>
      </c>
    </row>
    <row r="1169" spans="1:11" x14ac:dyDescent="0.35">
      <c r="A1169" t="s">
        <v>15596</v>
      </c>
      <c r="B1169" t="s">
        <v>13789</v>
      </c>
      <c r="C1169">
        <v>72</v>
      </c>
      <c r="D1169">
        <v>0</v>
      </c>
      <c r="E1169">
        <v>0</v>
      </c>
      <c r="F1169">
        <v>72</v>
      </c>
      <c r="G1169">
        <v>0</v>
      </c>
      <c r="I1169" t="s">
        <v>15596</v>
      </c>
      <c r="J1169" t="s">
        <v>13789</v>
      </c>
      <c r="K1169">
        <v>4</v>
      </c>
    </row>
    <row r="1170" spans="1:11" x14ac:dyDescent="0.35">
      <c r="A1170" t="s">
        <v>15597</v>
      </c>
      <c r="B1170" t="s">
        <v>13594</v>
      </c>
      <c r="C1170">
        <v>15570</v>
      </c>
      <c r="D1170">
        <v>14732</v>
      </c>
      <c r="E1170">
        <v>0</v>
      </c>
      <c r="F1170">
        <v>500</v>
      </c>
      <c r="G1170">
        <v>338</v>
      </c>
      <c r="I1170" t="s">
        <v>15597</v>
      </c>
      <c r="J1170" t="s">
        <v>13594</v>
      </c>
      <c r="K1170">
        <v>6</v>
      </c>
    </row>
    <row r="1171" spans="1:11" x14ac:dyDescent="0.35">
      <c r="A1171" t="s">
        <v>15598</v>
      </c>
      <c r="B1171" t="s">
        <v>13075</v>
      </c>
      <c r="C1171">
        <v>7802</v>
      </c>
      <c r="D1171">
        <v>6875</v>
      </c>
      <c r="E1171">
        <v>0</v>
      </c>
      <c r="F1171">
        <v>382</v>
      </c>
      <c r="G1171">
        <v>545</v>
      </c>
      <c r="I1171" t="s">
        <v>15598</v>
      </c>
      <c r="J1171" t="s">
        <v>13075</v>
      </c>
      <c r="K1171">
        <v>7</v>
      </c>
    </row>
    <row r="1172" spans="1:11" x14ac:dyDescent="0.35">
      <c r="A1172" t="s">
        <v>15599</v>
      </c>
      <c r="B1172" t="s">
        <v>13646</v>
      </c>
      <c r="C1172">
        <v>3923</v>
      </c>
      <c r="D1172">
        <v>2749</v>
      </c>
      <c r="E1172">
        <v>0</v>
      </c>
      <c r="F1172">
        <v>997</v>
      </c>
      <c r="G1172">
        <v>177</v>
      </c>
      <c r="I1172" t="s">
        <v>15599</v>
      </c>
      <c r="J1172" t="s">
        <v>13646</v>
      </c>
      <c r="K1172">
        <v>6</v>
      </c>
    </row>
    <row r="1173" spans="1:11" x14ac:dyDescent="0.35">
      <c r="A1173" t="s">
        <v>15600</v>
      </c>
      <c r="B1173" t="s">
        <v>13090</v>
      </c>
      <c r="C1173">
        <v>6764</v>
      </c>
      <c r="D1173">
        <v>5588</v>
      </c>
      <c r="E1173">
        <v>0</v>
      </c>
      <c r="F1173">
        <v>717</v>
      </c>
      <c r="G1173">
        <v>459</v>
      </c>
      <c r="I1173" t="s">
        <v>15600</v>
      </c>
      <c r="J1173" t="s">
        <v>13090</v>
      </c>
      <c r="K1173">
        <v>23</v>
      </c>
    </row>
    <row r="1174" spans="1:11" x14ac:dyDescent="0.35">
      <c r="A1174" t="s">
        <v>15601</v>
      </c>
      <c r="B1174" t="s">
        <v>13236</v>
      </c>
      <c r="C1174">
        <v>4098</v>
      </c>
      <c r="D1174">
        <v>2897</v>
      </c>
      <c r="E1174">
        <v>0</v>
      </c>
      <c r="F1174">
        <v>918</v>
      </c>
      <c r="G1174">
        <v>283</v>
      </c>
      <c r="I1174" t="s">
        <v>15601</v>
      </c>
      <c r="J1174" t="s">
        <v>13236</v>
      </c>
      <c r="K1174">
        <v>5</v>
      </c>
    </row>
    <row r="1175" spans="1:11" x14ac:dyDescent="0.35">
      <c r="A1175" t="s">
        <v>15602</v>
      </c>
      <c r="B1175" t="s">
        <v>13198</v>
      </c>
      <c r="C1175">
        <v>13059</v>
      </c>
      <c r="D1175">
        <v>10257</v>
      </c>
      <c r="E1175">
        <v>6</v>
      </c>
      <c r="F1175">
        <v>1375</v>
      </c>
      <c r="G1175">
        <v>1421</v>
      </c>
      <c r="I1175" t="s">
        <v>15602</v>
      </c>
      <c r="J1175" t="s">
        <v>13198</v>
      </c>
      <c r="K1175">
        <v>12</v>
      </c>
    </row>
    <row r="1176" spans="1:11" x14ac:dyDescent="0.35">
      <c r="A1176" t="s">
        <v>15603</v>
      </c>
      <c r="B1176" t="s">
        <v>13100</v>
      </c>
      <c r="C1176">
        <v>1671</v>
      </c>
      <c r="D1176">
        <v>1623</v>
      </c>
      <c r="E1176">
        <v>0</v>
      </c>
      <c r="F1176">
        <v>48</v>
      </c>
      <c r="G1176">
        <v>0</v>
      </c>
      <c r="I1176" t="s">
        <v>15603</v>
      </c>
      <c r="J1176" t="s">
        <v>13100</v>
      </c>
      <c r="K1176">
        <v>19</v>
      </c>
    </row>
    <row r="1177" spans="1:11" x14ac:dyDescent="0.35">
      <c r="A1177" t="s">
        <v>15604</v>
      </c>
      <c r="B1177" t="s">
        <v>13054</v>
      </c>
      <c r="C1177">
        <v>5164</v>
      </c>
      <c r="D1177">
        <v>21</v>
      </c>
      <c r="E1177">
        <v>0</v>
      </c>
      <c r="F1177">
        <v>0</v>
      </c>
      <c r="G1177">
        <v>5143</v>
      </c>
      <c r="I1177" t="s">
        <v>15604</v>
      </c>
      <c r="J1177" t="s">
        <v>13054</v>
      </c>
      <c r="K1177">
        <v>68</v>
      </c>
    </row>
    <row r="1178" spans="1:11" x14ac:dyDescent="0.35">
      <c r="A1178" t="s">
        <v>15605</v>
      </c>
      <c r="B1178" t="s">
        <v>14137</v>
      </c>
      <c r="C1178">
        <v>30</v>
      </c>
      <c r="D1178">
        <v>30</v>
      </c>
      <c r="E1178">
        <v>0</v>
      </c>
      <c r="F1178">
        <v>0</v>
      </c>
      <c r="G1178">
        <v>0</v>
      </c>
      <c r="I1178" t="s">
        <v>15605</v>
      </c>
      <c r="J1178" t="s">
        <v>14137</v>
      </c>
      <c r="K1178">
        <v>1</v>
      </c>
    </row>
    <row r="1179" spans="1:11" x14ac:dyDescent="0.35">
      <c r="A1179" t="s">
        <v>15606</v>
      </c>
      <c r="B1179" t="s">
        <v>13442</v>
      </c>
      <c r="C1179">
        <v>137</v>
      </c>
      <c r="D1179">
        <v>136</v>
      </c>
      <c r="E1179">
        <v>0</v>
      </c>
      <c r="F1179">
        <v>1</v>
      </c>
      <c r="G1179">
        <v>0</v>
      </c>
      <c r="I1179" t="s">
        <v>15606</v>
      </c>
      <c r="J1179" t="s">
        <v>13442</v>
      </c>
      <c r="K1179">
        <v>5</v>
      </c>
    </row>
    <row r="1180" spans="1:11" x14ac:dyDescent="0.35">
      <c r="A1180" t="s">
        <v>15607</v>
      </c>
      <c r="B1180" t="s">
        <v>13677</v>
      </c>
      <c r="C1180">
        <v>39</v>
      </c>
      <c r="D1180">
        <v>39</v>
      </c>
      <c r="E1180">
        <v>0</v>
      </c>
      <c r="F1180">
        <v>0</v>
      </c>
      <c r="G1180">
        <v>0</v>
      </c>
      <c r="I1180" t="s">
        <v>15607</v>
      </c>
      <c r="J1180" t="s">
        <v>13677</v>
      </c>
      <c r="K1180">
        <v>2</v>
      </c>
    </row>
    <row r="1181" spans="1:11" x14ac:dyDescent="0.35">
      <c r="A1181" t="s">
        <v>15608</v>
      </c>
      <c r="B1181" t="s">
        <v>13308</v>
      </c>
      <c r="C1181">
        <v>1171</v>
      </c>
      <c r="D1181">
        <v>59</v>
      </c>
      <c r="E1181">
        <v>0</v>
      </c>
      <c r="F1181">
        <v>0</v>
      </c>
      <c r="G1181">
        <v>1112</v>
      </c>
      <c r="I1181" t="s">
        <v>15608</v>
      </c>
      <c r="J1181" t="s">
        <v>13308</v>
      </c>
      <c r="K1181">
        <v>25</v>
      </c>
    </row>
    <row r="1182" spans="1:11" x14ac:dyDescent="0.35">
      <c r="A1182" t="s">
        <v>15609</v>
      </c>
      <c r="B1182" t="s">
        <v>12999</v>
      </c>
      <c r="C1182">
        <v>5415</v>
      </c>
      <c r="D1182">
        <v>2256</v>
      </c>
      <c r="E1182">
        <v>0</v>
      </c>
      <c r="F1182">
        <v>267</v>
      </c>
      <c r="G1182">
        <v>2892</v>
      </c>
    </row>
    <row r="1183" spans="1:11" x14ac:dyDescent="0.35">
      <c r="A1183" t="s">
        <v>15610</v>
      </c>
      <c r="B1183" t="s">
        <v>13018</v>
      </c>
      <c r="C1183">
        <v>0</v>
      </c>
      <c r="D1183">
        <v>0</v>
      </c>
      <c r="E1183">
        <v>0</v>
      </c>
      <c r="F1183">
        <v>0</v>
      </c>
      <c r="G1183">
        <v>0</v>
      </c>
    </row>
    <row r="1184" spans="1:11" x14ac:dyDescent="0.35">
      <c r="A1184" t="s">
        <v>15611</v>
      </c>
      <c r="B1184" t="s">
        <v>13045</v>
      </c>
      <c r="C1184">
        <v>3367</v>
      </c>
      <c r="D1184">
        <v>2622</v>
      </c>
      <c r="E1184">
        <v>10</v>
      </c>
      <c r="F1184">
        <v>691</v>
      </c>
      <c r="G1184">
        <v>44</v>
      </c>
    </row>
    <row r="1185" spans="1:7" x14ac:dyDescent="0.35">
      <c r="A1185" t="s">
        <v>15612</v>
      </c>
      <c r="B1185" t="s">
        <v>13063</v>
      </c>
      <c r="C1185">
        <v>6446</v>
      </c>
      <c r="D1185">
        <v>4811</v>
      </c>
      <c r="E1185">
        <v>1</v>
      </c>
      <c r="F1185">
        <v>1634</v>
      </c>
      <c r="G1185">
        <v>0</v>
      </c>
    </row>
    <row r="1186" spans="1:7" x14ac:dyDescent="0.35">
      <c r="A1186" t="s">
        <v>15613</v>
      </c>
      <c r="B1186" t="s">
        <v>13071</v>
      </c>
      <c r="C1186">
        <v>4296</v>
      </c>
      <c r="D1186">
        <v>4064</v>
      </c>
      <c r="E1186">
        <v>0</v>
      </c>
      <c r="F1186">
        <v>213</v>
      </c>
      <c r="G1186">
        <v>19</v>
      </c>
    </row>
    <row r="1187" spans="1:7" x14ac:dyDescent="0.35">
      <c r="A1187" t="s">
        <v>15614</v>
      </c>
      <c r="B1187" t="s">
        <v>13081</v>
      </c>
      <c r="C1187">
        <v>3337</v>
      </c>
      <c r="D1187">
        <v>2994</v>
      </c>
      <c r="E1187">
        <v>22</v>
      </c>
      <c r="F1187">
        <v>260</v>
      </c>
      <c r="G1187">
        <v>61</v>
      </c>
    </row>
    <row r="1188" spans="1:7" x14ac:dyDescent="0.35">
      <c r="A1188" t="s">
        <v>15615</v>
      </c>
      <c r="B1188" t="s">
        <v>13145</v>
      </c>
      <c r="C1188">
        <v>17921</v>
      </c>
      <c r="D1188">
        <v>17198</v>
      </c>
      <c r="E1188">
        <v>0</v>
      </c>
      <c r="F1188">
        <v>723</v>
      </c>
      <c r="G1188">
        <v>0</v>
      </c>
    </row>
    <row r="1189" spans="1:7" x14ac:dyDescent="0.35">
      <c r="A1189" t="s">
        <v>15616</v>
      </c>
      <c r="B1189" t="s">
        <v>15617</v>
      </c>
      <c r="C1189">
        <v>10822</v>
      </c>
      <c r="D1189">
        <v>8929</v>
      </c>
      <c r="E1189">
        <v>0</v>
      </c>
      <c r="F1189">
        <v>1687</v>
      </c>
      <c r="G1189">
        <v>206</v>
      </c>
    </row>
    <row r="1190" spans="1:7" x14ac:dyDescent="0.35">
      <c r="A1190" t="s">
        <v>15618</v>
      </c>
      <c r="B1190" t="s">
        <v>13177</v>
      </c>
      <c r="C1190">
        <v>6360</v>
      </c>
      <c r="D1190">
        <v>6294</v>
      </c>
      <c r="E1190">
        <v>0</v>
      </c>
      <c r="F1190">
        <v>66</v>
      </c>
      <c r="G1190">
        <v>0</v>
      </c>
    </row>
    <row r="1191" spans="1:7" x14ac:dyDescent="0.35">
      <c r="A1191" t="s">
        <v>15619</v>
      </c>
      <c r="B1191" t="s">
        <v>13181</v>
      </c>
      <c r="C1191">
        <v>12</v>
      </c>
      <c r="D1191">
        <v>10</v>
      </c>
      <c r="E1191">
        <v>0</v>
      </c>
      <c r="F1191">
        <v>0</v>
      </c>
      <c r="G1191">
        <v>2</v>
      </c>
    </row>
    <row r="1192" spans="1:7" x14ac:dyDescent="0.35">
      <c r="A1192" t="s">
        <v>15620</v>
      </c>
      <c r="B1192" t="s">
        <v>13196</v>
      </c>
      <c r="C1192">
        <v>0</v>
      </c>
      <c r="D1192">
        <v>0</v>
      </c>
      <c r="E1192">
        <v>0</v>
      </c>
      <c r="F1192">
        <v>0</v>
      </c>
      <c r="G1192">
        <v>0</v>
      </c>
    </row>
    <row r="1193" spans="1:7" x14ac:dyDescent="0.35">
      <c r="A1193" t="s">
        <v>15621</v>
      </c>
      <c r="B1193" t="s">
        <v>13224</v>
      </c>
      <c r="C1193">
        <v>56841</v>
      </c>
      <c r="D1193">
        <v>51085</v>
      </c>
      <c r="E1193">
        <v>783</v>
      </c>
      <c r="F1193">
        <v>4901</v>
      </c>
      <c r="G1193">
        <v>72</v>
      </c>
    </row>
    <row r="1194" spans="1:7" x14ac:dyDescent="0.35">
      <c r="A1194" t="s">
        <v>15622</v>
      </c>
      <c r="B1194" t="s">
        <v>13270</v>
      </c>
      <c r="C1194">
        <v>15</v>
      </c>
      <c r="D1194">
        <v>15</v>
      </c>
      <c r="E1194">
        <v>0</v>
      </c>
      <c r="F1194">
        <v>0</v>
      </c>
      <c r="G1194">
        <v>0</v>
      </c>
    </row>
    <row r="1195" spans="1:7" x14ac:dyDescent="0.35">
      <c r="A1195" t="s">
        <v>15623</v>
      </c>
      <c r="B1195" t="s">
        <v>13278</v>
      </c>
      <c r="C1195">
        <v>4163</v>
      </c>
      <c r="D1195">
        <v>3340</v>
      </c>
      <c r="E1195">
        <v>0</v>
      </c>
      <c r="F1195">
        <v>823</v>
      </c>
      <c r="G1195">
        <v>0</v>
      </c>
    </row>
    <row r="1196" spans="1:7" x14ac:dyDescent="0.35">
      <c r="A1196" t="s">
        <v>15624</v>
      </c>
      <c r="B1196" t="s">
        <v>13287</v>
      </c>
      <c r="C1196">
        <v>4625</v>
      </c>
      <c r="D1196">
        <v>2458</v>
      </c>
      <c r="E1196">
        <v>0</v>
      </c>
      <c r="F1196">
        <v>2167</v>
      </c>
      <c r="G1196">
        <v>0</v>
      </c>
    </row>
    <row r="1197" spans="1:7" x14ac:dyDescent="0.35">
      <c r="A1197" t="s">
        <v>15625</v>
      </c>
      <c r="B1197" t="s">
        <v>13817</v>
      </c>
      <c r="C1197">
        <v>2</v>
      </c>
      <c r="D1197">
        <v>0</v>
      </c>
      <c r="E1197">
        <v>0</v>
      </c>
      <c r="F1197">
        <v>0</v>
      </c>
      <c r="G1197">
        <v>2</v>
      </c>
    </row>
    <row r="1198" spans="1:7" x14ac:dyDescent="0.35">
      <c r="A1198" t="s">
        <v>15626</v>
      </c>
      <c r="B1198" t="s">
        <v>13294</v>
      </c>
      <c r="C1198">
        <v>0</v>
      </c>
      <c r="D1198">
        <v>0</v>
      </c>
      <c r="E1198">
        <v>0</v>
      </c>
      <c r="F1198">
        <v>0</v>
      </c>
      <c r="G1198">
        <v>0</v>
      </c>
    </row>
    <row r="1199" spans="1:7" x14ac:dyDescent="0.35">
      <c r="A1199" t="s">
        <v>15627</v>
      </c>
      <c r="B1199" t="s">
        <v>13298</v>
      </c>
      <c r="C1199">
        <v>9231</v>
      </c>
      <c r="D1199">
        <v>7118</v>
      </c>
      <c r="E1199">
        <v>0</v>
      </c>
      <c r="F1199">
        <v>2074</v>
      </c>
      <c r="G1199">
        <v>39</v>
      </c>
    </row>
    <row r="1200" spans="1:7" x14ac:dyDescent="0.35">
      <c r="A1200" t="s">
        <v>15628</v>
      </c>
      <c r="B1200" t="s">
        <v>13329</v>
      </c>
      <c r="C1200">
        <v>55</v>
      </c>
      <c r="D1200">
        <v>48</v>
      </c>
      <c r="E1200">
        <v>7</v>
      </c>
      <c r="F1200">
        <v>0</v>
      </c>
      <c r="G1200">
        <v>0</v>
      </c>
    </row>
    <row r="1201" spans="1:7" x14ac:dyDescent="0.35">
      <c r="A1201" t="s">
        <v>15629</v>
      </c>
      <c r="B1201" t="s">
        <v>13347</v>
      </c>
      <c r="C1201">
        <v>2332</v>
      </c>
      <c r="D1201">
        <v>1928</v>
      </c>
      <c r="E1201">
        <v>0</v>
      </c>
      <c r="F1201">
        <v>392</v>
      </c>
      <c r="G1201">
        <v>12</v>
      </c>
    </row>
    <row r="1202" spans="1:7" x14ac:dyDescent="0.35">
      <c r="A1202" t="s">
        <v>15630</v>
      </c>
      <c r="B1202" t="s">
        <v>13352</v>
      </c>
      <c r="C1202">
        <v>11424</v>
      </c>
      <c r="D1202">
        <v>10587</v>
      </c>
      <c r="E1202">
        <v>0</v>
      </c>
      <c r="F1202">
        <v>837</v>
      </c>
      <c r="G1202">
        <v>0</v>
      </c>
    </row>
    <row r="1203" spans="1:7" x14ac:dyDescent="0.35">
      <c r="A1203" t="s">
        <v>15631</v>
      </c>
      <c r="B1203" t="s">
        <v>13365</v>
      </c>
      <c r="C1203">
        <v>26799</v>
      </c>
      <c r="D1203">
        <v>25787</v>
      </c>
      <c r="E1203">
        <v>0</v>
      </c>
      <c r="F1203">
        <v>981</v>
      </c>
      <c r="G1203">
        <v>31</v>
      </c>
    </row>
    <row r="1204" spans="1:7" x14ac:dyDescent="0.35">
      <c r="A1204" t="s">
        <v>15632</v>
      </c>
      <c r="B1204" t="s">
        <v>13376</v>
      </c>
      <c r="C1204">
        <v>39</v>
      </c>
      <c r="D1204">
        <v>4</v>
      </c>
      <c r="E1204">
        <v>35</v>
      </c>
      <c r="F1204">
        <v>0</v>
      </c>
      <c r="G1204">
        <v>0</v>
      </c>
    </row>
    <row r="1205" spans="1:7" x14ac:dyDescent="0.35">
      <c r="A1205" t="s">
        <v>15633</v>
      </c>
      <c r="B1205" t="s">
        <v>13396</v>
      </c>
      <c r="C1205">
        <v>4383</v>
      </c>
      <c r="D1205">
        <v>3259</v>
      </c>
      <c r="E1205">
        <v>0</v>
      </c>
      <c r="F1205">
        <v>1120</v>
      </c>
      <c r="G1205">
        <v>4</v>
      </c>
    </row>
    <row r="1206" spans="1:7" x14ac:dyDescent="0.35">
      <c r="A1206" t="s">
        <v>15634</v>
      </c>
      <c r="B1206" t="s">
        <v>13406</v>
      </c>
      <c r="C1206">
        <v>17</v>
      </c>
      <c r="D1206">
        <v>13</v>
      </c>
      <c r="E1206">
        <v>4</v>
      </c>
      <c r="F1206">
        <v>0</v>
      </c>
      <c r="G1206">
        <v>0</v>
      </c>
    </row>
    <row r="1207" spans="1:7" x14ac:dyDescent="0.35">
      <c r="A1207" t="s">
        <v>15635</v>
      </c>
      <c r="B1207" t="s">
        <v>13409</v>
      </c>
      <c r="C1207">
        <v>7590</v>
      </c>
      <c r="D1207">
        <v>7137</v>
      </c>
      <c r="E1207">
        <v>0</v>
      </c>
      <c r="F1207">
        <v>448</v>
      </c>
      <c r="G1207">
        <v>5</v>
      </c>
    </row>
    <row r="1208" spans="1:7" x14ac:dyDescent="0.35">
      <c r="A1208" t="s">
        <v>15636</v>
      </c>
      <c r="B1208" t="s">
        <v>13423</v>
      </c>
      <c r="C1208">
        <v>6752</v>
      </c>
      <c r="D1208">
        <v>6112</v>
      </c>
      <c r="E1208">
        <v>21</v>
      </c>
      <c r="F1208">
        <v>539</v>
      </c>
      <c r="G1208">
        <v>80</v>
      </c>
    </row>
    <row r="1209" spans="1:7" x14ac:dyDescent="0.35">
      <c r="A1209" t="s">
        <v>15637</v>
      </c>
      <c r="B1209" t="s">
        <v>13445</v>
      </c>
      <c r="C1209">
        <v>4863</v>
      </c>
      <c r="D1209">
        <v>4769</v>
      </c>
      <c r="E1209">
        <v>0</v>
      </c>
      <c r="F1209">
        <v>94</v>
      </c>
      <c r="G1209">
        <v>0</v>
      </c>
    </row>
    <row r="1210" spans="1:7" x14ac:dyDescent="0.35">
      <c r="A1210" t="s">
        <v>15638</v>
      </c>
      <c r="B1210" t="s">
        <v>13452</v>
      </c>
      <c r="C1210">
        <v>5043</v>
      </c>
      <c r="D1210">
        <v>4437</v>
      </c>
      <c r="E1210">
        <v>22</v>
      </c>
      <c r="F1210">
        <v>584</v>
      </c>
      <c r="G1210">
        <v>0</v>
      </c>
    </row>
    <row r="1211" spans="1:7" x14ac:dyDescent="0.35">
      <c r="A1211" t="s">
        <v>15639</v>
      </c>
      <c r="B1211" t="s">
        <v>13458</v>
      </c>
      <c r="C1211">
        <v>1490</v>
      </c>
      <c r="D1211">
        <v>1179</v>
      </c>
      <c r="E1211">
        <v>0</v>
      </c>
      <c r="F1211">
        <v>311</v>
      </c>
      <c r="G1211">
        <v>0</v>
      </c>
    </row>
    <row r="1212" spans="1:7" x14ac:dyDescent="0.35">
      <c r="A1212" t="s">
        <v>15640</v>
      </c>
      <c r="B1212" t="s">
        <v>13461</v>
      </c>
      <c r="C1212">
        <v>5000</v>
      </c>
      <c r="D1212">
        <v>4406</v>
      </c>
      <c r="E1212">
        <v>56</v>
      </c>
      <c r="F1212">
        <v>496</v>
      </c>
      <c r="G1212">
        <v>42</v>
      </c>
    </row>
    <row r="1213" spans="1:7" x14ac:dyDescent="0.35">
      <c r="A1213" t="s">
        <v>15641</v>
      </c>
      <c r="B1213" t="s">
        <v>13465</v>
      </c>
      <c r="C1213">
        <v>5418</v>
      </c>
      <c r="D1213">
        <v>4997</v>
      </c>
      <c r="E1213">
        <v>0</v>
      </c>
      <c r="F1213">
        <v>421</v>
      </c>
      <c r="G1213">
        <v>0</v>
      </c>
    </row>
    <row r="1214" spans="1:7" x14ac:dyDescent="0.35">
      <c r="A1214" t="s">
        <v>15642</v>
      </c>
      <c r="B1214" t="s">
        <v>13468</v>
      </c>
      <c r="C1214">
        <v>75</v>
      </c>
      <c r="D1214">
        <v>75</v>
      </c>
      <c r="E1214">
        <v>0</v>
      </c>
      <c r="F1214">
        <v>0</v>
      </c>
      <c r="G1214">
        <v>0</v>
      </c>
    </row>
    <row r="1215" spans="1:7" x14ac:dyDescent="0.35">
      <c r="A1215" t="s">
        <v>15643</v>
      </c>
      <c r="B1215" t="s">
        <v>13470</v>
      </c>
      <c r="C1215">
        <v>4361</v>
      </c>
      <c r="D1215">
        <v>3833</v>
      </c>
      <c r="E1215">
        <v>0</v>
      </c>
      <c r="F1215">
        <v>490</v>
      </c>
      <c r="G1215">
        <v>38</v>
      </c>
    </row>
    <row r="1216" spans="1:7" x14ac:dyDescent="0.35">
      <c r="A1216" t="s">
        <v>15644</v>
      </c>
      <c r="B1216" t="s">
        <v>13476</v>
      </c>
      <c r="C1216">
        <v>100</v>
      </c>
      <c r="D1216">
        <v>0</v>
      </c>
      <c r="E1216">
        <v>0</v>
      </c>
      <c r="F1216">
        <v>0</v>
      </c>
      <c r="G1216">
        <v>100</v>
      </c>
    </row>
    <row r="1217" spans="1:7" x14ac:dyDescent="0.35">
      <c r="A1217" t="s">
        <v>15645</v>
      </c>
      <c r="B1217" t="s">
        <v>13497</v>
      </c>
      <c r="C1217">
        <v>5074</v>
      </c>
      <c r="D1217">
        <v>5045</v>
      </c>
      <c r="E1217">
        <v>0</v>
      </c>
      <c r="F1217">
        <v>9</v>
      </c>
      <c r="G1217">
        <v>20</v>
      </c>
    </row>
    <row r="1218" spans="1:7" x14ac:dyDescent="0.35">
      <c r="A1218" t="s">
        <v>15646</v>
      </c>
      <c r="B1218" t="s">
        <v>13506</v>
      </c>
      <c r="C1218">
        <v>8722</v>
      </c>
      <c r="D1218">
        <v>8581</v>
      </c>
      <c r="E1218">
        <v>0</v>
      </c>
      <c r="F1218">
        <v>141</v>
      </c>
      <c r="G1218">
        <v>0</v>
      </c>
    </row>
    <row r="1219" spans="1:7" x14ac:dyDescent="0.35">
      <c r="A1219" t="s">
        <v>15647</v>
      </c>
      <c r="B1219" t="s">
        <v>13513</v>
      </c>
      <c r="C1219">
        <v>0</v>
      </c>
      <c r="D1219">
        <v>0</v>
      </c>
      <c r="E1219">
        <v>0</v>
      </c>
      <c r="F1219">
        <v>0</v>
      </c>
      <c r="G1219">
        <v>0</v>
      </c>
    </row>
    <row r="1220" spans="1:7" x14ac:dyDescent="0.35">
      <c r="A1220" t="s">
        <v>15648</v>
      </c>
      <c r="B1220" t="s">
        <v>13311</v>
      </c>
      <c r="C1220">
        <v>159</v>
      </c>
      <c r="D1220">
        <v>90</v>
      </c>
      <c r="E1220">
        <v>0</v>
      </c>
      <c r="F1220">
        <v>69</v>
      </c>
      <c r="G1220">
        <v>0</v>
      </c>
    </row>
    <row r="1221" spans="1:7" x14ac:dyDescent="0.35">
      <c r="A1221" t="s">
        <v>15649</v>
      </c>
      <c r="B1221" t="s">
        <v>13615</v>
      </c>
      <c r="C1221">
        <v>19283</v>
      </c>
      <c r="D1221">
        <v>19283</v>
      </c>
      <c r="E1221">
        <v>0</v>
      </c>
      <c r="F1221">
        <v>0</v>
      </c>
      <c r="G1221">
        <v>0</v>
      </c>
    </row>
    <row r="1222" spans="1:7" x14ac:dyDescent="0.35">
      <c r="A1222" t="s">
        <v>15650</v>
      </c>
      <c r="B1222" t="s">
        <v>13909</v>
      </c>
      <c r="C1222">
        <v>7318</v>
      </c>
      <c r="D1222">
        <v>6924</v>
      </c>
      <c r="E1222">
        <v>0</v>
      </c>
      <c r="F1222">
        <v>394</v>
      </c>
      <c r="G1222">
        <v>0</v>
      </c>
    </row>
    <row r="1223" spans="1:7" x14ac:dyDescent="0.35">
      <c r="A1223" t="s">
        <v>15651</v>
      </c>
      <c r="B1223" t="s">
        <v>13517</v>
      </c>
      <c r="C1223">
        <v>1923</v>
      </c>
      <c r="D1223">
        <v>1792</v>
      </c>
      <c r="E1223">
        <v>0</v>
      </c>
      <c r="F1223">
        <v>131</v>
      </c>
      <c r="G1223">
        <v>0</v>
      </c>
    </row>
    <row r="1224" spans="1:7" x14ac:dyDescent="0.35">
      <c r="A1224" t="s">
        <v>15652</v>
      </c>
      <c r="B1224" t="s">
        <v>14363</v>
      </c>
      <c r="C1224">
        <v>11962</v>
      </c>
      <c r="D1224">
        <v>10912</v>
      </c>
      <c r="E1224">
        <v>0</v>
      </c>
      <c r="F1224">
        <v>1050</v>
      </c>
      <c r="G1224">
        <v>0</v>
      </c>
    </row>
    <row r="1225" spans="1:7" x14ac:dyDescent="0.35">
      <c r="A1225" t="s">
        <v>15653</v>
      </c>
      <c r="B1225" t="s">
        <v>14403</v>
      </c>
      <c r="C1225">
        <v>7481</v>
      </c>
      <c r="D1225">
        <v>6900</v>
      </c>
      <c r="E1225">
        <v>0</v>
      </c>
      <c r="F1225">
        <v>455</v>
      </c>
      <c r="G1225">
        <v>126</v>
      </c>
    </row>
    <row r="1226" spans="1:7" x14ac:dyDescent="0.35">
      <c r="A1226" t="s">
        <v>15654</v>
      </c>
      <c r="B1226" t="s">
        <v>13519</v>
      </c>
      <c r="C1226">
        <v>6020</v>
      </c>
      <c r="D1226">
        <v>5392</v>
      </c>
      <c r="E1226">
        <v>0</v>
      </c>
      <c r="F1226">
        <v>622</v>
      </c>
      <c r="G1226">
        <v>6</v>
      </c>
    </row>
    <row r="1227" spans="1:7" x14ac:dyDescent="0.35">
      <c r="A1227" t="s">
        <v>15655</v>
      </c>
      <c r="B1227" t="s">
        <v>13527</v>
      </c>
      <c r="C1227">
        <v>10355</v>
      </c>
      <c r="D1227">
        <v>10183</v>
      </c>
      <c r="E1227">
        <v>0</v>
      </c>
      <c r="F1227">
        <v>75</v>
      </c>
      <c r="G1227">
        <v>97</v>
      </c>
    </row>
    <row r="1228" spans="1:7" x14ac:dyDescent="0.35">
      <c r="A1228" t="s">
        <v>15656</v>
      </c>
      <c r="B1228" t="s">
        <v>13803</v>
      </c>
      <c r="C1228">
        <v>97</v>
      </c>
      <c r="D1228">
        <v>97</v>
      </c>
      <c r="E1228">
        <v>0</v>
      </c>
      <c r="F1228">
        <v>0</v>
      </c>
      <c r="G1228">
        <v>0</v>
      </c>
    </row>
    <row r="1229" spans="1:7" x14ac:dyDescent="0.35">
      <c r="A1229" t="s">
        <v>15657</v>
      </c>
      <c r="B1229" t="s">
        <v>13566</v>
      </c>
      <c r="C1229">
        <v>7891</v>
      </c>
      <c r="D1229">
        <v>7218</v>
      </c>
      <c r="E1229">
        <v>0</v>
      </c>
      <c r="F1229">
        <v>560</v>
      </c>
      <c r="G1229">
        <v>113</v>
      </c>
    </row>
    <row r="1230" spans="1:7" x14ac:dyDescent="0.35">
      <c r="A1230" t="s">
        <v>15658</v>
      </c>
      <c r="B1230" t="s">
        <v>13588</v>
      </c>
      <c r="C1230">
        <v>10240</v>
      </c>
      <c r="D1230">
        <v>8345</v>
      </c>
      <c r="E1230">
        <v>0</v>
      </c>
      <c r="F1230">
        <v>1894</v>
      </c>
      <c r="G1230">
        <v>1</v>
      </c>
    </row>
    <row r="1231" spans="1:7" x14ac:dyDescent="0.35">
      <c r="A1231" t="s">
        <v>15659</v>
      </c>
      <c r="B1231" t="s">
        <v>13592</v>
      </c>
      <c r="C1231">
        <v>3878</v>
      </c>
      <c r="D1231">
        <v>3621</v>
      </c>
      <c r="E1231">
        <v>0</v>
      </c>
      <c r="F1231">
        <v>257</v>
      </c>
      <c r="G1231">
        <v>0</v>
      </c>
    </row>
    <row r="1232" spans="1:7" x14ac:dyDescent="0.35">
      <c r="A1232" t="s">
        <v>15660</v>
      </c>
      <c r="B1232" t="s">
        <v>13599</v>
      </c>
      <c r="C1232">
        <v>4067</v>
      </c>
      <c r="D1232">
        <v>3627</v>
      </c>
      <c r="E1232">
        <v>0</v>
      </c>
      <c r="F1232">
        <v>440</v>
      </c>
      <c r="G1232">
        <v>0</v>
      </c>
    </row>
    <row r="1233" spans="1:7" x14ac:dyDescent="0.35">
      <c r="A1233" t="s">
        <v>15661</v>
      </c>
      <c r="B1233" t="s">
        <v>13604</v>
      </c>
      <c r="C1233">
        <v>11826</v>
      </c>
      <c r="D1233">
        <v>9495</v>
      </c>
      <c r="E1233">
        <v>0</v>
      </c>
      <c r="F1233">
        <v>2271</v>
      </c>
      <c r="G1233">
        <v>60</v>
      </c>
    </row>
    <row r="1234" spans="1:7" x14ac:dyDescent="0.35">
      <c r="A1234" t="s">
        <v>15662</v>
      </c>
      <c r="B1234" t="s">
        <v>13609</v>
      </c>
      <c r="C1234">
        <v>42</v>
      </c>
      <c r="D1234">
        <v>38</v>
      </c>
      <c r="E1234">
        <v>0</v>
      </c>
      <c r="F1234">
        <v>0</v>
      </c>
      <c r="G1234">
        <v>4</v>
      </c>
    </row>
    <row r="1235" spans="1:7" x14ac:dyDescent="0.35">
      <c r="A1235" t="s">
        <v>15663</v>
      </c>
      <c r="B1235" t="s">
        <v>13619</v>
      </c>
      <c r="C1235">
        <v>51</v>
      </c>
      <c r="D1235">
        <v>2</v>
      </c>
      <c r="E1235">
        <v>0</v>
      </c>
      <c r="F1235">
        <v>49</v>
      </c>
      <c r="G1235">
        <v>0</v>
      </c>
    </row>
    <row r="1236" spans="1:7" x14ac:dyDescent="0.35">
      <c r="A1236" t="s">
        <v>15664</v>
      </c>
      <c r="B1236" t="s">
        <v>13624</v>
      </c>
      <c r="C1236">
        <v>4403</v>
      </c>
      <c r="D1236">
        <v>4360</v>
      </c>
      <c r="E1236">
        <v>0</v>
      </c>
      <c r="F1236">
        <v>0</v>
      </c>
      <c r="G1236">
        <v>43</v>
      </c>
    </row>
    <row r="1237" spans="1:7" x14ac:dyDescent="0.35">
      <c r="A1237" t="s">
        <v>15665</v>
      </c>
      <c r="B1237" t="s">
        <v>13627</v>
      </c>
      <c r="C1237">
        <v>20226</v>
      </c>
      <c r="D1237">
        <v>19900</v>
      </c>
      <c r="E1237">
        <v>0</v>
      </c>
      <c r="F1237">
        <v>326</v>
      </c>
      <c r="G1237">
        <v>0</v>
      </c>
    </row>
    <row r="1238" spans="1:7" x14ac:dyDescent="0.35">
      <c r="A1238" t="s">
        <v>15666</v>
      </c>
      <c r="B1238" t="s">
        <v>13545</v>
      </c>
      <c r="C1238">
        <v>48</v>
      </c>
      <c r="D1238">
        <v>17</v>
      </c>
      <c r="E1238">
        <v>0</v>
      </c>
      <c r="F1238">
        <v>31</v>
      </c>
      <c r="G1238">
        <v>0</v>
      </c>
    </row>
    <row r="1239" spans="1:7" x14ac:dyDescent="0.35">
      <c r="A1239" t="s">
        <v>15667</v>
      </c>
      <c r="B1239" t="s">
        <v>13641</v>
      </c>
      <c r="C1239">
        <v>4056</v>
      </c>
      <c r="D1239">
        <v>2687</v>
      </c>
      <c r="E1239">
        <v>20</v>
      </c>
      <c r="F1239">
        <v>1349</v>
      </c>
      <c r="G1239">
        <v>0</v>
      </c>
    </row>
    <row r="1240" spans="1:7" x14ac:dyDescent="0.35">
      <c r="A1240" t="s">
        <v>15668</v>
      </c>
      <c r="B1240" t="s">
        <v>13648</v>
      </c>
      <c r="C1240">
        <v>0</v>
      </c>
      <c r="D1240">
        <v>0</v>
      </c>
      <c r="E1240">
        <v>0</v>
      </c>
      <c r="F1240">
        <v>0</v>
      </c>
      <c r="G1240">
        <v>0</v>
      </c>
    </row>
    <row r="1241" spans="1:7" x14ac:dyDescent="0.35">
      <c r="A1241" t="s">
        <v>15669</v>
      </c>
      <c r="B1241" t="s">
        <v>13650</v>
      </c>
      <c r="C1241">
        <v>0</v>
      </c>
      <c r="D1241">
        <v>0</v>
      </c>
      <c r="E1241">
        <v>0</v>
      </c>
      <c r="F1241">
        <v>0</v>
      </c>
      <c r="G1241">
        <v>0</v>
      </c>
    </row>
    <row r="1242" spans="1:7" x14ac:dyDescent="0.35">
      <c r="A1242" t="s">
        <v>15670</v>
      </c>
      <c r="B1242" t="s">
        <v>13654</v>
      </c>
      <c r="C1242">
        <v>10028</v>
      </c>
      <c r="D1242">
        <v>9363</v>
      </c>
      <c r="E1242">
        <v>0</v>
      </c>
      <c r="F1242">
        <v>528</v>
      </c>
      <c r="G1242">
        <v>137</v>
      </c>
    </row>
    <row r="1243" spans="1:7" x14ac:dyDescent="0.35">
      <c r="A1243" t="s">
        <v>15671</v>
      </c>
      <c r="B1243" t="s">
        <v>13661</v>
      </c>
      <c r="C1243">
        <v>4190</v>
      </c>
      <c r="D1243">
        <v>3806</v>
      </c>
      <c r="E1243">
        <v>6</v>
      </c>
      <c r="F1243">
        <v>357</v>
      </c>
      <c r="G1243">
        <v>21</v>
      </c>
    </row>
    <row r="1244" spans="1:7" x14ac:dyDescent="0.35">
      <c r="A1244" t="s">
        <v>15672</v>
      </c>
      <c r="B1244" t="s">
        <v>13667</v>
      </c>
      <c r="C1244">
        <v>3280</v>
      </c>
      <c r="D1244">
        <v>2961</v>
      </c>
      <c r="E1244">
        <v>0</v>
      </c>
      <c r="F1244">
        <v>292</v>
      </c>
      <c r="G1244">
        <v>27</v>
      </c>
    </row>
    <row r="1245" spans="1:7" x14ac:dyDescent="0.35">
      <c r="A1245" t="s">
        <v>15673</v>
      </c>
      <c r="B1245" t="s">
        <v>13668</v>
      </c>
      <c r="C1245">
        <v>10</v>
      </c>
      <c r="D1245">
        <v>10</v>
      </c>
      <c r="E1245">
        <v>0</v>
      </c>
      <c r="F1245">
        <v>0</v>
      </c>
      <c r="G1245">
        <v>0</v>
      </c>
    </row>
    <row r="1246" spans="1:7" x14ac:dyDescent="0.35">
      <c r="A1246" t="s">
        <v>15674</v>
      </c>
      <c r="B1246" t="s">
        <v>13670</v>
      </c>
      <c r="C1246">
        <v>48</v>
      </c>
      <c r="D1246">
        <v>48</v>
      </c>
      <c r="E1246">
        <v>0</v>
      </c>
      <c r="F1246">
        <v>0</v>
      </c>
      <c r="G1246">
        <v>0</v>
      </c>
    </row>
    <row r="1247" spans="1:7" x14ac:dyDescent="0.35">
      <c r="A1247" t="s">
        <v>15675</v>
      </c>
      <c r="B1247" t="s">
        <v>13682</v>
      </c>
      <c r="C1247">
        <v>6167</v>
      </c>
      <c r="D1247">
        <v>5613</v>
      </c>
      <c r="E1247">
        <v>0</v>
      </c>
      <c r="F1247">
        <v>554</v>
      </c>
      <c r="G1247">
        <v>0</v>
      </c>
    </row>
    <row r="1248" spans="1:7" x14ac:dyDescent="0.35">
      <c r="A1248" t="s">
        <v>15676</v>
      </c>
      <c r="B1248" t="s">
        <v>13687</v>
      </c>
      <c r="C1248">
        <v>4593</v>
      </c>
      <c r="D1248">
        <v>4580</v>
      </c>
      <c r="E1248">
        <v>0</v>
      </c>
      <c r="F1248">
        <v>0</v>
      </c>
      <c r="G1248">
        <v>13</v>
      </c>
    </row>
    <row r="1249" spans="1:7" x14ac:dyDescent="0.35">
      <c r="A1249" t="s">
        <v>15677</v>
      </c>
      <c r="B1249" t="s">
        <v>13689</v>
      </c>
      <c r="C1249">
        <v>2273</v>
      </c>
      <c r="D1249">
        <v>1662</v>
      </c>
      <c r="E1249">
        <v>14</v>
      </c>
      <c r="F1249">
        <v>530</v>
      </c>
      <c r="G1249">
        <v>67</v>
      </c>
    </row>
    <row r="1250" spans="1:7" x14ac:dyDescent="0.35">
      <c r="A1250" t="s">
        <v>15678</v>
      </c>
      <c r="B1250" t="s">
        <v>13694</v>
      </c>
      <c r="C1250">
        <v>3254</v>
      </c>
      <c r="D1250">
        <v>2625</v>
      </c>
      <c r="E1250">
        <v>0</v>
      </c>
      <c r="F1250">
        <v>611</v>
      </c>
      <c r="G1250">
        <v>18</v>
      </c>
    </row>
    <row r="1251" spans="1:7" x14ac:dyDescent="0.35">
      <c r="A1251" t="s">
        <v>15679</v>
      </c>
      <c r="B1251" t="s">
        <v>13701</v>
      </c>
      <c r="C1251">
        <v>17894</v>
      </c>
      <c r="D1251">
        <v>16380</v>
      </c>
      <c r="E1251">
        <v>0</v>
      </c>
      <c r="F1251">
        <v>1507</v>
      </c>
      <c r="G1251">
        <v>7</v>
      </c>
    </row>
    <row r="1252" spans="1:7" x14ac:dyDescent="0.35">
      <c r="A1252" t="s">
        <v>15680</v>
      </c>
      <c r="B1252" t="s">
        <v>13705</v>
      </c>
      <c r="C1252">
        <v>0</v>
      </c>
      <c r="D1252">
        <v>0</v>
      </c>
      <c r="E1252">
        <v>0</v>
      </c>
      <c r="F1252">
        <v>0</v>
      </c>
      <c r="G1252">
        <v>0</v>
      </c>
    </row>
    <row r="1253" spans="1:7" x14ac:dyDescent="0.35">
      <c r="A1253" t="s">
        <v>15681</v>
      </c>
      <c r="B1253" t="s">
        <v>13707</v>
      </c>
      <c r="C1253">
        <v>3013</v>
      </c>
      <c r="D1253">
        <v>2741</v>
      </c>
      <c r="E1253">
        <v>0</v>
      </c>
      <c r="F1253">
        <v>272</v>
      </c>
      <c r="G1253">
        <v>0</v>
      </c>
    </row>
    <row r="1254" spans="1:7" x14ac:dyDescent="0.35">
      <c r="A1254" t="s">
        <v>15682</v>
      </c>
      <c r="B1254" t="s">
        <v>13710</v>
      </c>
      <c r="C1254">
        <v>5420</v>
      </c>
      <c r="D1254">
        <v>5420</v>
      </c>
      <c r="E1254">
        <v>0</v>
      </c>
      <c r="F1254">
        <v>0</v>
      </c>
      <c r="G1254">
        <v>0</v>
      </c>
    </row>
    <row r="1255" spans="1:7" x14ac:dyDescent="0.35">
      <c r="A1255" t="s">
        <v>15683</v>
      </c>
      <c r="B1255" t="s">
        <v>13712</v>
      </c>
      <c r="C1255">
        <v>5667</v>
      </c>
      <c r="D1255">
        <v>4703</v>
      </c>
      <c r="E1255">
        <v>0</v>
      </c>
      <c r="F1255">
        <v>964</v>
      </c>
      <c r="G1255">
        <v>0</v>
      </c>
    </row>
    <row r="1256" spans="1:7" x14ac:dyDescent="0.35">
      <c r="A1256" t="s">
        <v>15684</v>
      </c>
      <c r="B1256" t="s">
        <v>13721</v>
      </c>
      <c r="C1256">
        <v>5012</v>
      </c>
      <c r="D1256">
        <v>4775</v>
      </c>
      <c r="E1256">
        <v>0</v>
      </c>
      <c r="F1256">
        <v>46</v>
      </c>
      <c r="G1256">
        <v>191</v>
      </c>
    </row>
    <row r="1257" spans="1:7" x14ac:dyDescent="0.35">
      <c r="A1257" t="s">
        <v>15685</v>
      </c>
      <c r="B1257" t="s">
        <v>13751</v>
      </c>
      <c r="C1257">
        <v>14918</v>
      </c>
      <c r="D1257">
        <v>13583</v>
      </c>
      <c r="E1257">
        <v>0</v>
      </c>
      <c r="F1257">
        <v>1316</v>
      </c>
      <c r="G1257">
        <v>19</v>
      </c>
    </row>
    <row r="1258" spans="1:7" x14ac:dyDescent="0.35">
      <c r="A1258" t="s">
        <v>15686</v>
      </c>
      <c r="B1258" t="s">
        <v>13758</v>
      </c>
      <c r="C1258">
        <v>9050</v>
      </c>
      <c r="D1258">
        <v>8515</v>
      </c>
      <c r="E1258">
        <v>3</v>
      </c>
      <c r="F1258">
        <v>523</v>
      </c>
      <c r="G1258">
        <v>9</v>
      </c>
    </row>
    <row r="1259" spans="1:7" x14ac:dyDescent="0.35">
      <c r="A1259" t="s">
        <v>15687</v>
      </c>
      <c r="B1259" t="s">
        <v>13763</v>
      </c>
      <c r="C1259">
        <v>0</v>
      </c>
      <c r="D1259">
        <v>0</v>
      </c>
      <c r="E1259">
        <v>0</v>
      </c>
      <c r="F1259">
        <v>0</v>
      </c>
      <c r="G1259">
        <v>0</v>
      </c>
    </row>
    <row r="1260" spans="1:7" x14ac:dyDescent="0.35">
      <c r="A1260" t="s">
        <v>15688</v>
      </c>
      <c r="B1260" t="s">
        <v>13766</v>
      </c>
      <c r="C1260">
        <v>93</v>
      </c>
      <c r="D1260">
        <v>66</v>
      </c>
      <c r="E1260">
        <v>12</v>
      </c>
      <c r="F1260">
        <v>15</v>
      </c>
      <c r="G1260">
        <v>0</v>
      </c>
    </row>
    <row r="1261" spans="1:7" x14ac:dyDescent="0.35">
      <c r="A1261" t="s">
        <v>15689</v>
      </c>
      <c r="B1261" t="s">
        <v>13769</v>
      </c>
      <c r="C1261">
        <v>0</v>
      </c>
      <c r="D1261">
        <v>0</v>
      </c>
      <c r="E1261">
        <v>0</v>
      </c>
      <c r="F1261">
        <v>0</v>
      </c>
      <c r="G1261">
        <v>0</v>
      </c>
    </row>
    <row r="1262" spans="1:7" x14ac:dyDescent="0.35">
      <c r="A1262" t="s">
        <v>15690</v>
      </c>
      <c r="B1262" t="s">
        <v>13775</v>
      </c>
      <c r="C1262">
        <v>3801</v>
      </c>
      <c r="D1262">
        <v>3531</v>
      </c>
      <c r="E1262">
        <v>0</v>
      </c>
      <c r="F1262">
        <v>270</v>
      </c>
      <c r="G1262">
        <v>0</v>
      </c>
    </row>
    <row r="1263" spans="1:7" x14ac:dyDescent="0.35">
      <c r="A1263" t="s">
        <v>15691</v>
      </c>
      <c r="B1263" t="s">
        <v>13781</v>
      </c>
      <c r="C1263">
        <v>3094</v>
      </c>
      <c r="D1263">
        <v>2729</v>
      </c>
      <c r="E1263">
        <v>0</v>
      </c>
      <c r="F1263">
        <v>363</v>
      </c>
      <c r="G1263">
        <v>2</v>
      </c>
    </row>
    <row r="1264" spans="1:7" x14ac:dyDescent="0.35">
      <c r="A1264" t="s">
        <v>15692</v>
      </c>
      <c r="B1264" t="s">
        <v>13795</v>
      </c>
      <c r="C1264">
        <v>7646</v>
      </c>
      <c r="D1264">
        <v>7646</v>
      </c>
      <c r="E1264">
        <v>0</v>
      </c>
      <c r="F1264">
        <v>0</v>
      </c>
      <c r="G1264">
        <v>0</v>
      </c>
    </row>
    <row r="1265" spans="1:7" x14ac:dyDescent="0.35">
      <c r="A1265" t="s">
        <v>15693</v>
      </c>
      <c r="B1265" t="s">
        <v>13799</v>
      </c>
      <c r="C1265">
        <v>50</v>
      </c>
      <c r="D1265">
        <v>0</v>
      </c>
      <c r="E1265">
        <v>0</v>
      </c>
      <c r="F1265">
        <v>0</v>
      </c>
      <c r="G1265">
        <v>50</v>
      </c>
    </row>
    <row r="1266" spans="1:7" x14ac:dyDescent="0.35">
      <c r="A1266" t="s">
        <v>15694</v>
      </c>
      <c r="B1266" t="s">
        <v>13820</v>
      </c>
      <c r="C1266">
        <v>22354</v>
      </c>
      <c r="D1266">
        <v>21582</v>
      </c>
      <c r="E1266">
        <v>97</v>
      </c>
      <c r="F1266">
        <v>675</v>
      </c>
      <c r="G1266">
        <v>0</v>
      </c>
    </row>
    <row r="1267" spans="1:7" x14ac:dyDescent="0.35">
      <c r="A1267" t="s">
        <v>15695</v>
      </c>
      <c r="B1267" t="s">
        <v>13828</v>
      </c>
      <c r="C1267">
        <v>21551</v>
      </c>
      <c r="D1267">
        <v>21013</v>
      </c>
      <c r="E1267">
        <v>0</v>
      </c>
      <c r="F1267">
        <v>538</v>
      </c>
      <c r="G1267">
        <v>0</v>
      </c>
    </row>
    <row r="1268" spans="1:7" x14ac:dyDescent="0.35">
      <c r="A1268" t="s">
        <v>15696</v>
      </c>
      <c r="B1268" t="s">
        <v>13870</v>
      </c>
      <c r="C1268">
        <v>3602</v>
      </c>
      <c r="D1268">
        <v>3016</v>
      </c>
      <c r="E1268">
        <v>0</v>
      </c>
      <c r="F1268">
        <v>585</v>
      </c>
      <c r="G1268">
        <v>1</v>
      </c>
    </row>
    <row r="1269" spans="1:7" x14ac:dyDescent="0.35">
      <c r="A1269" t="s">
        <v>15697</v>
      </c>
      <c r="B1269" t="s">
        <v>13874</v>
      </c>
      <c r="C1269">
        <v>51808</v>
      </c>
      <c r="D1269">
        <v>47730</v>
      </c>
      <c r="E1269">
        <v>0</v>
      </c>
      <c r="F1269">
        <v>4072</v>
      </c>
      <c r="G1269">
        <v>6</v>
      </c>
    </row>
    <row r="1270" spans="1:7" x14ac:dyDescent="0.35">
      <c r="A1270" t="s">
        <v>15698</v>
      </c>
      <c r="B1270" t="s">
        <v>13884</v>
      </c>
      <c r="C1270">
        <v>18511</v>
      </c>
      <c r="D1270">
        <v>18392</v>
      </c>
      <c r="E1270">
        <v>3</v>
      </c>
      <c r="F1270">
        <v>116</v>
      </c>
      <c r="G1270">
        <v>0</v>
      </c>
    </row>
    <row r="1271" spans="1:7" x14ac:dyDescent="0.35">
      <c r="A1271" t="s">
        <v>15699</v>
      </c>
      <c r="B1271" t="s">
        <v>13891</v>
      </c>
      <c r="C1271">
        <v>3125</v>
      </c>
      <c r="D1271">
        <v>2730</v>
      </c>
      <c r="E1271">
        <v>0</v>
      </c>
      <c r="F1271">
        <v>379</v>
      </c>
      <c r="G1271">
        <v>16</v>
      </c>
    </row>
    <row r="1272" spans="1:7" x14ac:dyDescent="0.35">
      <c r="A1272" t="s">
        <v>15700</v>
      </c>
      <c r="B1272" t="s">
        <v>13908</v>
      </c>
      <c r="C1272">
        <v>11</v>
      </c>
      <c r="D1272">
        <v>11</v>
      </c>
      <c r="E1272">
        <v>0</v>
      </c>
      <c r="F1272">
        <v>0</v>
      </c>
      <c r="G1272">
        <v>0</v>
      </c>
    </row>
    <row r="1273" spans="1:7" x14ac:dyDescent="0.35">
      <c r="A1273" t="s">
        <v>15701</v>
      </c>
      <c r="B1273" t="s">
        <v>13912</v>
      </c>
      <c r="C1273">
        <v>6</v>
      </c>
      <c r="D1273">
        <v>6</v>
      </c>
      <c r="E1273">
        <v>0</v>
      </c>
      <c r="F1273">
        <v>0</v>
      </c>
      <c r="G1273">
        <v>0</v>
      </c>
    </row>
    <row r="1274" spans="1:7" x14ac:dyDescent="0.35">
      <c r="A1274" t="s">
        <v>15702</v>
      </c>
      <c r="B1274" t="s">
        <v>13097</v>
      </c>
      <c r="C1274">
        <v>15100</v>
      </c>
      <c r="D1274">
        <v>14338</v>
      </c>
      <c r="E1274">
        <v>0</v>
      </c>
      <c r="F1274">
        <v>730</v>
      </c>
      <c r="G1274">
        <v>32</v>
      </c>
    </row>
    <row r="1275" spans="1:7" x14ac:dyDescent="0.35">
      <c r="A1275" t="s">
        <v>15703</v>
      </c>
      <c r="B1275" t="s">
        <v>13109</v>
      </c>
      <c r="C1275">
        <v>8458</v>
      </c>
      <c r="D1275">
        <v>7799</v>
      </c>
      <c r="E1275">
        <v>0</v>
      </c>
      <c r="F1275">
        <v>647</v>
      </c>
      <c r="G1275">
        <v>12</v>
      </c>
    </row>
    <row r="1276" spans="1:7" x14ac:dyDescent="0.35">
      <c r="A1276" t="s">
        <v>15704</v>
      </c>
      <c r="B1276" t="s">
        <v>13208</v>
      </c>
      <c r="C1276">
        <v>3</v>
      </c>
      <c r="D1276">
        <v>3</v>
      </c>
      <c r="E1276">
        <v>0</v>
      </c>
      <c r="F1276">
        <v>0</v>
      </c>
      <c r="G1276">
        <v>0</v>
      </c>
    </row>
    <row r="1277" spans="1:7" x14ac:dyDescent="0.35">
      <c r="A1277" t="s">
        <v>15705</v>
      </c>
      <c r="B1277" t="s">
        <v>13333</v>
      </c>
      <c r="C1277">
        <v>7433</v>
      </c>
      <c r="D1277">
        <v>7407</v>
      </c>
      <c r="E1277">
        <v>0</v>
      </c>
      <c r="F1277">
        <v>0</v>
      </c>
      <c r="G1277">
        <v>26</v>
      </c>
    </row>
    <row r="1278" spans="1:7" x14ac:dyDescent="0.35">
      <c r="A1278" t="s">
        <v>15706</v>
      </c>
      <c r="B1278" t="s">
        <v>13377</v>
      </c>
      <c r="C1278">
        <v>1</v>
      </c>
      <c r="D1278">
        <v>1</v>
      </c>
      <c r="E1278">
        <v>0</v>
      </c>
      <c r="F1278">
        <v>0</v>
      </c>
      <c r="G1278">
        <v>0</v>
      </c>
    </row>
    <row r="1279" spans="1:7" x14ac:dyDescent="0.35">
      <c r="A1279" t="s">
        <v>15707</v>
      </c>
      <c r="B1279" t="s">
        <v>13431</v>
      </c>
      <c r="C1279">
        <v>22654</v>
      </c>
      <c r="D1279">
        <v>22426</v>
      </c>
      <c r="E1279">
        <v>213</v>
      </c>
      <c r="F1279">
        <v>0</v>
      </c>
      <c r="G1279">
        <v>15</v>
      </c>
    </row>
    <row r="1280" spans="1:7" x14ac:dyDescent="0.35">
      <c r="A1280" t="s">
        <v>15708</v>
      </c>
      <c r="B1280" t="s">
        <v>13571</v>
      </c>
      <c r="C1280">
        <v>13051</v>
      </c>
      <c r="D1280">
        <v>11807</v>
      </c>
      <c r="E1280">
        <v>0</v>
      </c>
      <c r="F1280">
        <v>1237</v>
      </c>
      <c r="G1280">
        <v>7</v>
      </c>
    </row>
    <row r="1281" spans="1:7" x14ac:dyDescent="0.35">
      <c r="A1281" t="s">
        <v>15709</v>
      </c>
      <c r="B1281" t="s">
        <v>13629</v>
      </c>
      <c r="C1281">
        <v>10245</v>
      </c>
      <c r="D1281">
        <v>9054</v>
      </c>
      <c r="E1281">
        <v>0</v>
      </c>
      <c r="F1281">
        <v>1091</v>
      </c>
      <c r="G1281">
        <v>100</v>
      </c>
    </row>
    <row r="1282" spans="1:7" x14ac:dyDescent="0.35">
      <c r="A1282" t="s">
        <v>15710</v>
      </c>
      <c r="B1282" t="s">
        <v>13676</v>
      </c>
      <c r="C1282">
        <v>9781</v>
      </c>
      <c r="D1282">
        <v>9721</v>
      </c>
      <c r="E1282">
        <v>5</v>
      </c>
      <c r="F1282">
        <v>0</v>
      </c>
      <c r="G1282">
        <v>55</v>
      </c>
    </row>
    <row r="1283" spans="1:7" x14ac:dyDescent="0.35">
      <c r="A1283" t="s">
        <v>15711</v>
      </c>
      <c r="B1283" t="s">
        <v>13728</v>
      </c>
      <c r="C1283">
        <v>21552</v>
      </c>
      <c r="D1283">
        <v>21409</v>
      </c>
      <c r="E1283">
        <v>59</v>
      </c>
      <c r="F1283">
        <v>0</v>
      </c>
      <c r="G1283">
        <v>84</v>
      </c>
    </row>
    <row r="1284" spans="1:7" x14ac:dyDescent="0.35">
      <c r="A1284" t="s">
        <v>15712</v>
      </c>
      <c r="B1284" t="s">
        <v>13745</v>
      </c>
      <c r="C1284">
        <v>11965</v>
      </c>
      <c r="D1284">
        <v>11943</v>
      </c>
      <c r="E1284">
        <v>0</v>
      </c>
      <c r="F1284">
        <v>0</v>
      </c>
      <c r="G1284">
        <v>22</v>
      </c>
    </row>
    <row r="1285" spans="1:7" x14ac:dyDescent="0.35">
      <c r="A1285" t="s">
        <v>15713</v>
      </c>
      <c r="B1285" t="s">
        <v>13761</v>
      </c>
      <c r="C1285">
        <v>4647</v>
      </c>
      <c r="D1285">
        <v>4119</v>
      </c>
      <c r="E1285">
        <v>0</v>
      </c>
      <c r="F1285">
        <v>503</v>
      </c>
      <c r="G1285">
        <v>25</v>
      </c>
    </row>
    <row r="1286" spans="1:7" x14ac:dyDescent="0.35">
      <c r="A1286" t="s">
        <v>15714</v>
      </c>
      <c r="B1286" t="s">
        <v>13768</v>
      </c>
      <c r="C1286">
        <v>8643</v>
      </c>
      <c r="D1286">
        <v>7735</v>
      </c>
      <c r="E1286">
        <v>0</v>
      </c>
      <c r="F1286">
        <v>692</v>
      </c>
      <c r="G1286">
        <v>216</v>
      </c>
    </row>
    <row r="1287" spans="1:7" x14ac:dyDescent="0.35">
      <c r="A1287" t="s">
        <v>15715</v>
      </c>
      <c r="B1287" t="s">
        <v>13776</v>
      </c>
      <c r="C1287">
        <v>10019</v>
      </c>
      <c r="D1287">
        <v>9912</v>
      </c>
      <c r="E1287">
        <v>5</v>
      </c>
      <c r="F1287">
        <v>13</v>
      </c>
      <c r="G1287">
        <v>89</v>
      </c>
    </row>
    <row r="1288" spans="1:7" x14ac:dyDescent="0.35">
      <c r="A1288" t="s">
        <v>15716</v>
      </c>
      <c r="B1288" t="s">
        <v>13783</v>
      </c>
      <c r="C1288">
        <v>13343</v>
      </c>
      <c r="D1288">
        <v>12410</v>
      </c>
      <c r="E1288">
        <v>0</v>
      </c>
      <c r="F1288">
        <v>866</v>
      </c>
      <c r="G1288">
        <v>67</v>
      </c>
    </row>
    <row r="1289" spans="1:7" x14ac:dyDescent="0.35">
      <c r="A1289" t="s">
        <v>15717</v>
      </c>
      <c r="B1289" t="s">
        <v>13804</v>
      </c>
      <c r="C1289">
        <v>24614</v>
      </c>
      <c r="D1289">
        <v>24541</v>
      </c>
      <c r="E1289">
        <v>0</v>
      </c>
      <c r="F1289">
        <v>0</v>
      </c>
      <c r="G1289">
        <v>73</v>
      </c>
    </row>
    <row r="1290" spans="1:7" x14ac:dyDescent="0.35">
      <c r="A1290" t="s">
        <v>15718</v>
      </c>
      <c r="B1290" t="s">
        <v>13842</v>
      </c>
      <c r="C1290">
        <v>23348</v>
      </c>
      <c r="D1290">
        <v>22670</v>
      </c>
      <c r="E1290">
        <v>0</v>
      </c>
      <c r="F1290">
        <v>678</v>
      </c>
      <c r="G1290">
        <v>0</v>
      </c>
    </row>
    <row r="1291" spans="1:7" x14ac:dyDescent="0.35">
      <c r="A1291" t="s">
        <v>15719</v>
      </c>
      <c r="B1291" t="s">
        <v>13896</v>
      </c>
      <c r="C1291">
        <v>14385</v>
      </c>
      <c r="D1291">
        <v>13072</v>
      </c>
      <c r="E1291">
        <v>834</v>
      </c>
      <c r="F1291">
        <v>446</v>
      </c>
      <c r="G1291">
        <v>33</v>
      </c>
    </row>
    <row r="1292" spans="1:7" x14ac:dyDescent="0.35">
      <c r="A1292" t="s">
        <v>15720</v>
      </c>
      <c r="B1292" t="s">
        <v>13984</v>
      </c>
      <c r="C1292">
        <v>12</v>
      </c>
      <c r="D1292">
        <v>0</v>
      </c>
      <c r="E1292">
        <v>0</v>
      </c>
      <c r="F1292">
        <v>12</v>
      </c>
      <c r="G1292">
        <v>0</v>
      </c>
    </row>
    <row r="1293" spans="1:7" x14ac:dyDescent="0.35">
      <c r="A1293" t="s">
        <v>15721</v>
      </c>
      <c r="B1293" t="s">
        <v>14023</v>
      </c>
      <c r="C1293">
        <v>18032</v>
      </c>
      <c r="D1293">
        <v>17875</v>
      </c>
      <c r="E1293">
        <v>0</v>
      </c>
      <c r="F1293">
        <v>0</v>
      </c>
      <c r="G1293">
        <v>157</v>
      </c>
    </row>
    <row r="1294" spans="1:7" x14ac:dyDescent="0.35">
      <c r="A1294" t="s">
        <v>15722</v>
      </c>
      <c r="B1294" t="s">
        <v>14119</v>
      </c>
      <c r="C1294">
        <v>4047</v>
      </c>
      <c r="D1294">
        <v>3922</v>
      </c>
      <c r="E1294">
        <v>0</v>
      </c>
      <c r="F1294">
        <v>125</v>
      </c>
      <c r="G1294">
        <v>0</v>
      </c>
    </row>
    <row r="1295" spans="1:7" x14ac:dyDescent="0.35">
      <c r="A1295" t="s">
        <v>15723</v>
      </c>
      <c r="B1295" t="s">
        <v>14131</v>
      </c>
      <c r="C1295">
        <v>0</v>
      </c>
      <c r="D1295">
        <v>0</v>
      </c>
      <c r="E1295">
        <v>0</v>
      </c>
      <c r="F1295">
        <v>0</v>
      </c>
      <c r="G1295">
        <v>0</v>
      </c>
    </row>
    <row r="1296" spans="1:7" x14ac:dyDescent="0.35">
      <c r="A1296" t="s">
        <v>15724</v>
      </c>
      <c r="B1296" t="s">
        <v>14262</v>
      </c>
      <c r="C1296">
        <v>5643</v>
      </c>
      <c r="D1296">
        <v>5154</v>
      </c>
      <c r="E1296">
        <v>0</v>
      </c>
      <c r="F1296">
        <v>483</v>
      </c>
      <c r="G1296">
        <v>6</v>
      </c>
    </row>
    <row r="1297" spans="1:7" x14ac:dyDescent="0.35">
      <c r="A1297" t="s">
        <v>15725</v>
      </c>
      <c r="B1297" t="s">
        <v>14302</v>
      </c>
      <c r="C1297">
        <v>11653</v>
      </c>
      <c r="D1297">
        <v>11649</v>
      </c>
      <c r="E1297">
        <v>0</v>
      </c>
      <c r="F1297">
        <v>2</v>
      </c>
      <c r="G1297">
        <v>2</v>
      </c>
    </row>
    <row r="1298" spans="1:7" x14ac:dyDescent="0.35">
      <c r="A1298" t="s">
        <v>15726</v>
      </c>
      <c r="B1298" t="s">
        <v>14332</v>
      </c>
      <c r="C1298">
        <v>10081</v>
      </c>
      <c r="D1298">
        <v>9337</v>
      </c>
      <c r="E1298">
        <v>0</v>
      </c>
      <c r="F1298">
        <v>460</v>
      </c>
      <c r="G1298">
        <v>284</v>
      </c>
    </row>
    <row r="1299" spans="1:7" x14ac:dyDescent="0.35">
      <c r="A1299" t="s">
        <v>15727</v>
      </c>
      <c r="B1299" t="s">
        <v>14335</v>
      </c>
      <c r="C1299">
        <v>16853</v>
      </c>
      <c r="D1299">
        <v>15506</v>
      </c>
      <c r="E1299">
        <v>184</v>
      </c>
      <c r="F1299">
        <v>1076</v>
      </c>
      <c r="G1299">
        <v>87</v>
      </c>
    </row>
    <row r="1300" spans="1:7" x14ac:dyDescent="0.35">
      <c r="A1300" t="s">
        <v>15728</v>
      </c>
      <c r="B1300" t="s">
        <v>13951</v>
      </c>
      <c r="C1300">
        <v>7386</v>
      </c>
      <c r="D1300">
        <v>7367</v>
      </c>
      <c r="E1300">
        <v>0</v>
      </c>
      <c r="F1300">
        <v>0</v>
      </c>
      <c r="G1300">
        <v>19</v>
      </c>
    </row>
    <row r="1301" spans="1:7" x14ac:dyDescent="0.35">
      <c r="A1301" t="s">
        <v>15729</v>
      </c>
      <c r="B1301" t="s">
        <v>13954</v>
      </c>
      <c r="C1301">
        <v>0</v>
      </c>
      <c r="D1301">
        <v>0</v>
      </c>
      <c r="E1301">
        <v>0</v>
      </c>
      <c r="F1301">
        <v>0</v>
      </c>
      <c r="G1301">
        <v>0</v>
      </c>
    </row>
    <row r="1302" spans="1:7" x14ac:dyDescent="0.35">
      <c r="A1302" t="s">
        <v>15730</v>
      </c>
      <c r="B1302" t="s">
        <v>13963</v>
      </c>
      <c r="C1302">
        <v>1</v>
      </c>
      <c r="D1302">
        <v>0</v>
      </c>
      <c r="E1302">
        <v>0</v>
      </c>
      <c r="F1302">
        <v>1</v>
      </c>
      <c r="G1302">
        <v>0</v>
      </c>
    </row>
    <row r="1303" spans="1:7" x14ac:dyDescent="0.35">
      <c r="A1303" t="s">
        <v>15731</v>
      </c>
      <c r="B1303" t="s">
        <v>13967</v>
      </c>
      <c r="C1303">
        <v>15155</v>
      </c>
      <c r="D1303">
        <v>14041</v>
      </c>
      <c r="E1303">
        <v>0</v>
      </c>
      <c r="F1303">
        <v>1095</v>
      </c>
      <c r="G1303">
        <v>19</v>
      </c>
    </row>
    <row r="1304" spans="1:7" x14ac:dyDescent="0.35">
      <c r="A1304" t="s">
        <v>15732</v>
      </c>
      <c r="B1304" t="s">
        <v>13977</v>
      </c>
      <c r="C1304">
        <v>6115</v>
      </c>
      <c r="D1304">
        <v>4156</v>
      </c>
      <c r="E1304">
        <v>0</v>
      </c>
      <c r="F1304">
        <v>1943</v>
      </c>
      <c r="G1304">
        <v>16</v>
      </c>
    </row>
    <row r="1305" spans="1:7" x14ac:dyDescent="0.35">
      <c r="A1305" t="s">
        <v>15733</v>
      </c>
      <c r="B1305" t="s">
        <v>13979</v>
      </c>
      <c r="C1305">
        <v>2967</v>
      </c>
      <c r="D1305">
        <v>2672</v>
      </c>
      <c r="E1305">
        <v>0</v>
      </c>
      <c r="F1305">
        <v>295</v>
      </c>
      <c r="G1305">
        <v>0</v>
      </c>
    </row>
    <row r="1306" spans="1:7" x14ac:dyDescent="0.35">
      <c r="A1306" t="s">
        <v>15734</v>
      </c>
      <c r="B1306" t="s">
        <v>13983</v>
      </c>
      <c r="C1306">
        <v>1756</v>
      </c>
      <c r="D1306">
        <v>1537</v>
      </c>
      <c r="E1306">
        <v>0</v>
      </c>
      <c r="F1306">
        <v>219</v>
      </c>
      <c r="G1306">
        <v>0</v>
      </c>
    </row>
    <row r="1307" spans="1:7" x14ac:dyDescent="0.35">
      <c r="A1307" t="s">
        <v>15735</v>
      </c>
      <c r="B1307" t="s">
        <v>13986</v>
      </c>
      <c r="C1307">
        <v>2808</v>
      </c>
      <c r="D1307">
        <v>2808</v>
      </c>
      <c r="E1307">
        <v>0</v>
      </c>
      <c r="F1307">
        <v>0</v>
      </c>
      <c r="G1307">
        <v>0</v>
      </c>
    </row>
    <row r="1308" spans="1:7" x14ac:dyDescent="0.35">
      <c r="A1308" t="s">
        <v>15736</v>
      </c>
      <c r="B1308" t="s">
        <v>13991</v>
      </c>
      <c r="C1308">
        <v>3204</v>
      </c>
      <c r="D1308">
        <v>2793</v>
      </c>
      <c r="E1308">
        <v>22</v>
      </c>
      <c r="F1308">
        <v>280</v>
      </c>
      <c r="G1308">
        <v>109</v>
      </c>
    </row>
    <row r="1309" spans="1:7" x14ac:dyDescent="0.35">
      <c r="A1309" t="s">
        <v>15737</v>
      </c>
      <c r="B1309" t="s">
        <v>13995</v>
      </c>
      <c r="C1309">
        <v>0</v>
      </c>
      <c r="D1309">
        <v>0</v>
      </c>
      <c r="E1309">
        <v>0</v>
      </c>
      <c r="F1309">
        <v>0</v>
      </c>
      <c r="G1309">
        <v>0</v>
      </c>
    </row>
    <row r="1310" spans="1:7" x14ac:dyDescent="0.35">
      <c r="A1310" t="s">
        <v>15738</v>
      </c>
      <c r="B1310" t="s">
        <v>13997</v>
      </c>
      <c r="C1310">
        <v>12167</v>
      </c>
      <c r="D1310">
        <v>10625</v>
      </c>
      <c r="E1310">
        <v>0</v>
      </c>
      <c r="F1310">
        <v>62</v>
      </c>
      <c r="G1310">
        <v>1480</v>
      </c>
    </row>
    <row r="1311" spans="1:7" x14ac:dyDescent="0.35">
      <c r="A1311" t="s">
        <v>15739</v>
      </c>
      <c r="B1311" t="s">
        <v>14002</v>
      </c>
      <c r="C1311">
        <v>0</v>
      </c>
      <c r="D1311">
        <v>0</v>
      </c>
      <c r="E1311">
        <v>0</v>
      </c>
      <c r="F1311">
        <v>0</v>
      </c>
      <c r="G1311">
        <v>0</v>
      </c>
    </row>
    <row r="1312" spans="1:7" x14ac:dyDescent="0.35">
      <c r="A1312" t="s">
        <v>15740</v>
      </c>
      <c r="B1312" t="s">
        <v>14005</v>
      </c>
      <c r="C1312">
        <v>5193</v>
      </c>
      <c r="D1312">
        <v>5109</v>
      </c>
      <c r="E1312">
        <v>70</v>
      </c>
      <c r="F1312">
        <v>0</v>
      </c>
      <c r="G1312">
        <v>14</v>
      </c>
    </row>
    <row r="1313" spans="1:7" x14ac:dyDescent="0.35">
      <c r="A1313" t="s">
        <v>15741</v>
      </c>
      <c r="B1313" t="s">
        <v>14007</v>
      </c>
      <c r="C1313">
        <v>5202</v>
      </c>
      <c r="D1313">
        <v>2676</v>
      </c>
      <c r="E1313">
        <v>0</v>
      </c>
      <c r="F1313">
        <v>2526</v>
      </c>
      <c r="G1313">
        <v>0</v>
      </c>
    </row>
    <row r="1314" spans="1:7" x14ac:dyDescent="0.35">
      <c r="A1314" t="s">
        <v>15742</v>
      </c>
      <c r="B1314" t="s">
        <v>14011</v>
      </c>
      <c r="C1314">
        <v>23693</v>
      </c>
      <c r="D1314">
        <v>23149</v>
      </c>
      <c r="E1314">
        <v>0</v>
      </c>
      <c r="F1314">
        <v>544</v>
      </c>
      <c r="G1314">
        <v>0</v>
      </c>
    </row>
    <row r="1315" spans="1:7" x14ac:dyDescent="0.35">
      <c r="A1315" t="s">
        <v>15743</v>
      </c>
      <c r="B1315" t="s">
        <v>14034</v>
      </c>
      <c r="C1315">
        <v>7400</v>
      </c>
      <c r="D1315">
        <v>7389</v>
      </c>
      <c r="E1315">
        <v>0</v>
      </c>
      <c r="F1315">
        <v>0</v>
      </c>
      <c r="G1315">
        <v>11</v>
      </c>
    </row>
    <row r="1316" spans="1:7" x14ac:dyDescent="0.35">
      <c r="A1316" t="s">
        <v>15744</v>
      </c>
      <c r="B1316" t="s">
        <v>14039</v>
      </c>
      <c r="C1316">
        <v>3595</v>
      </c>
      <c r="D1316">
        <v>3585</v>
      </c>
      <c r="E1316">
        <v>10</v>
      </c>
      <c r="F1316">
        <v>0</v>
      </c>
      <c r="G1316">
        <v>0</v>
      </c>
    </row>
    <row r="1317" spans="1:7" x14ac:dyDescent="0.35">
      <c r="A1317" t="s">
        <v>15745</v>
      </c>
      <c r="B1317" t="s">
        <v>14041</v>
      </c>
      <c r="C1317">
        <v>0</v>
      </c>
      <c r="D1317">
        <v>0</v>
      </c>
      <c r="E1317">
        <v>0</v>
      </c>
      <c r="F1317">
        <v>0</v>
      </c>
      <c r="G1317">
        <v>0</v>
      </c>
    </row>
    <row r="1318" spans="1:7" x14ac:dyDescent="0.35">
      <c r="A1318" t="s">
        <v>15746</v>
      </c>
      <c r="B1318" t="s">
        <v>14043</v>
      </c>
      <c r="C1318">
        <v>7728</v>
      </c>
      <c r="D1318">
        <v>6805</v>
      </c>
      <c r="E1318">
        <v>0</v>
      </c>
      <c r="F1318">
        <v>923</v>
      </c>
      <c r="G1318">
        <v>0</v>
      </c>
    </row>
    <row r="1319" spans="1:7" x14ac:dyDescent="0.35">
      <c r="A1319" t="s">
        <v>15747</v>
      </c>
      <c r="B1319" t="s">
        <v>14049</v>
      </c>
      <c r="C1319">
        <v>0</v>
      </c>
      <c r="D1319">
        <v>0</v>
      </c>
      <c r="E1319">
        <v>0</v>
      </c>
      <c r="F1319">
        <v>0</v>
      </c>
      <c r="G1319">
        <v>0</v>
      </c>
    </row>
    <row r="1320" spans="1:7" x14ac:dyDescent="0.35">
      <c r="A1320" t="s">
        <v>15748</v>
      </c>
      <c r="B1320" t="s">
        <v>14052</v>
      </c>
      <c r="C1320">
        <v>13978</v>
      </c>
      <c r="D1320">
        <v>12484</v>
      </c>
      <c r="E1320">
        <v>0</v>
      </c>
      <c r="F1320">
        <v>1494</v>
      </c>
      <c r="G1320">
        <v>0</v>
      </c>
    </row>
    <row r="1321" spans="1:7" x14ac:dyDescent="0.35">
      <c r="A1321" t="s">
        <v>15749</v>
      </c>
      <c r="B1321" t="s">
        <v>14056</v>
      </c>
      <c r="C1321">
        <v>2495</v>
      </c>
      <c r="D1321">
        <v>2495</v>
      </c>
      <c r="E1321">
        <v>0</v>
      </c>
      <c r="F1321">
        <v>0</v>
      </c>
      <c r="G1321">
        <v>0</v>
      </c>
    </row>
    <row r="1322" spans="1:7" x14ac:dyDescent="0.35">
      <c r="A1322" t="s">
        <v>15750</v>
      </c>
      <c r="B1322" t="s">
        <v>14058</v>
      </c>
      <c r="C1322">
        <v>3946</v>
      </c>
      <c r="D1322">
        <v>3031</v>
      </c>
      <c r="E1322">
        <v>0</v>
      </c>
      <c r="F1322">
        <v>915</v>
      </c>
      <c r="G1322">
        <v>0</v>
      </c>
    </row>
    <row r="1323" spans="1:7" x14ac:dyDescent="0.35">
      <c r="A1323" t="s">
        <v>15751</v>
      </c>
      <c r="B1323" t="s">
        <v>14060</v>
      </c>
      <c r="C1323">
        <v>8372</v>
      </c>
      <c r="D1323">
        <v>7703</v>
      </c>
      <c r="E1323">
        <v>73</v>
      </c>
      <c r="F1323">
        <v>475</v>
      </c>
      <c r="G1323">
        <v>121</v>
      </c>
    </row>
    <row r="1324" spans="1:7" x14ac:dyDescent="0.35">
      <c r="A1324" t="s">
        <v>15752</v>
      </c>
      <c r="B1324" t="s">
        <v>14075</v>
      </c>
      <c r="C1324">
        <v>8084</v>
      </c>
      <c r="D1324">
        <v>7812</v>
      </c>
      <c r="E1324">
        <v>0</v>
      </c>
      <c r="F1324">
        <v>269</v>
      </c>
      <c r="G1324">
        <v>3</v>
      </c>
    </row>
    <row r="1325" spans="1:7" x14ac:dyDescent="0.35">
      <c r="A1325" t="s">
        <v>15753</v>
      </c>
      <c r="B1325" t="s">
        <v>14083</v>
      </c>
      <c r="C1325">
        <v>14101</v>
      </c>
      <c r="D1325">
        <v>13176</v>
      </c>
      <c r="E1325">
        <v>2</v>
      </c>
      <c r="F1325">
        <v>923</v>
      </c>
      <c r="G1325">
        <v>0</v>
      </c>
    </row>
    <row r="1326" spans="1:7" x14ac:dyDescent="0.35">
      <c r="A1326" t="s">
        <v>15754</v>
      </c>
      <c r="B1326" t="s">
        <v>14090</v>
      </c>
      <c r="C1326">
        <v>23348</v>
      </c>
      <c r="D1326">
        <v>21469</v>
      </c>
      <c r="E1326">
        <v>0</v>
      </c>
      <c r="F1326">
        <v>1879</v>
      </c>
      <c r="G1326">
        <v>0</v>
      </c>
    </row>
    <row r="1327" spans="1:7" x14ac:dyDescent="0.35">
      <c r="A1327" t="s">
        <v>15755</v>
      </c>
      <c r="B1327" t="s">
        <v>14095</v>
      </c>
      <c r="C1327">
        <v>5534</v>
      </c>
      <c r="D1327">
        <v>5534</v>
      </c>
      <c r="E1327">
        <v>0</v>
      </c>
      <c r="F1327">
        <v>0</v>
      </c>
      <c r="G1327">
        <v>0</v>
      </c>
    </row>
    <row r="1328" spans="1:7" x14ac:dyDescent="0.35">
      <c r="A1328" t="s">
        <v>15756</v>
      </c>
      <c r="B1328" t="s">
        <v>14098</v>
      </c>
      <c r="C1328">
        <v>1178</v>
      </c>
      <c r="D1328">
        <v>1046</v>
      </c>
      <c r="E1328">
        <v>0</v>
      </c>
      <c r="F1328">
        <v>132</v>
      </c>
      <c r="G1328">
        <v>0</v>
      </c>
    </row>
    <row r="1329" spans="1:7" x14ac:dyDescent="0.35">
      <c r="A1329" t="s">
        <v>15757</v>
      </c>
      <c r="B1329" t="s">
        <v>14101</v>
      </c>
      <c r="C1329">
        <v>2045</v>
      </c>
      <c r="D1329">
        <v>616</v>
      </c>
      <c r="E1329">
        <v>0</v>
      </c>
      <c r="F1329">
        <v>1429</v>
      </c>
      <c r="G1329">
        <v>0</v>
      </c>
    </row>
    <row r="1330" spans="1:7" x14ac:dyDescent="0.35">
      <c r="A1330" t="s">
        <v>15758</v>
      </c>
      <c r="B1330" t="s">
        <v>14102</v>
      </c>
      <c r="C1330" s="398">
        <v>7995</v>
      </c>
      <c r="D1330" s="398">
        <v>7926</v>
      </c>
      <c r="E1330" s="398">
        <v>0</v>
      </c>
      <c r="F1330" s="398">
        <v>0</v>
      </c>
      <c r="G1330" s="397">
        <v>69</v>
      </c>
    </row>
    <row r="1331" spans="1:7" x14ac:dyDescent="0.35">
      <c r="A1331" t="s">
        <v>15759</v>
      </c>
      <c r="B1331" t="s">
        <v>14106</v>
      </c>
      <c r="C1331">
        <v>71</v>
      </c>
      <c r="D1331">
        <v>37</v>
      </c>
      <c r="E1331">
        <v>0</v>
      </c>
      <c r="F1331">
        <v>34</v>
      </c>
      <c r="G1331">
        <v>0</v>
      </c>
    </row>
    <row r="1332" spans="1:7" x14ac:dyDescent="0.35">
      <c r="A1332" t="s">
        <v>15760</v>
      </c>
      <c r="B1332" t="s">
        <v>14107</v>
      </c>
      <c r="C1332">
        <v>1</v>
      </c>
      <c r="D1332">
        <v>1</v>
      </c>
      <c r="E1332">
        <v>0</v>
      </c>
      <c r="F1332">
        <v>0</v>
      </c>
      <c r="G1332">
        <v>0</v>
      </c>
    </row>
    <row r="1333" spans="1:7" x14ac:dyDescent="0.35">
      <c r="A1333" t="s">
        <v>15761</v>
      </c>
      <c r="B1333" t="s">
        <v>14111</v>
      </c>
      <c r="C1333">
        <v>14533</v>
      </c>
      <c r="D1333">
        <v>12888</v>
      </c>
      <c r="E1333">
        <v>0</v>
      </c>
      <c r="F1333">
        <v>1558</v>
      </c>
      <c r="G1333">
        <v>87</v>
      </c>
    </row>
    <row r="1334" spans="1:7" x14ac:dyDescent="0.35">
      <c r="A1334" t="s">
        <v>15762</v>
      </c>
      <c r="B1334" t="s">
        <v>14116</v>
      </c>
      <c r="C1334">
        <v>6679</v>
      </c>
      <c r="D1334">
        <v>6332</v>
      </c>
      <c r="E1334">
        <v>0</v>
      </c>
      <c r="F1334">
        <v>341</v>
      </c>
      <c r="G1334">
        <v>6</v>
      </c>
    </row>
    <row r="1335" spans="1:7" x14ac:dyDescent="0.35">
      <c r="A1335" t="s">
        <v>15763</v>
      </c>
      <c r="B1335" t="s">
        <v>14123</v>
      </c>
      <c r="C1335">
        <v>5435</v>
      </c>
      <c r="D1335">
        <v>5381</v>
      </c>
      <c r="E1335">
        <v>0</v>
      </c>
      <c r="F1335">
        <v>54</v>
      </c>
      <c r="G1335">
        <v>0</v>
      </c>
    </row>
    <row r="1336" spans="1:7" x14ac:dyDescent="0.35">
      <c r="A1336" t="s">
        <v>15764</v>
      </c>
      <c r="B1336" t="s">
        <v>14126</v>
      </c>
      <c r="C1336">
        <v>35</v>
      </c>
      <c r="D1336">
        <v>21</v>
      </c>
      <c r="E1336">
        <v>0</v>
      </c>
      <c r="F1336">
        <v>14</v>
      </c>
      <c r="G1336">
        <v>0</v>
      </c>
    </row>
    <row r="1337" spans="1:7" x14ac:dyDescent="0.35">
      <c r="A1337" t="s">
        <v>15765</v>
      </c>
      <c r="B1337" t="s">
        <v>14128</v>
      </c>
      <c r="C1337">
        <v>10</v>
      </c>
      <c r="D1337">
        <v>2</v>
      </c>
      <c r="E1337">
        <v>0</v>
      </c>
      <c r="F1337">
        <v>8</v>
      </c>
      <c r="G1337">
        <v>0</v>
      </c>
    </row>
    <row r="1338" spans="1:7" x14ac:dyDescent="0.35">
      <c r="A1338" t="s">
        <v>15766</v>
      </c>
      <c r="B1338" t="s">
        <v>14138</v>
      </c>
      <c r="C1338">
        <v>16</v>
      </c>
      <c r="D1338">
        <v>2</v>
      </c>
      <c r="E1338">
        <v>0</v>
      </c>
      <c r="F1338">
        <v>14</v>
      </c>
      <c r="G1338">
        <v>0</v>
      </c>
    </row>
    <row r="1339" spans="1:7" x14ac:dyDescent="0.35">
      <c r="A1339" t="s">
        <v>15767</v>
      </c>
      <c r="B1339" t="s">
        <v>14139</v>
      </c>
      <c r="C1339">
        <v>62</v>
      </c>
      <c r="D1339">
        <v>0</v>
      </c>
      <c r="E1339">
        <v>0</v>
      </c>
      <c r="F1339">
        <v>62</v>
      </c>
      <c r="G1339">
        <v>0</v>
      </c>
    </row>
    <row r="1340" spans="1:7" x14ac:dyDescent="0.35">
      <c r="A1340" t="s">
        <v>15768</v>
      </c>
      <c r="B1340" t="s">
        <v>14141</v>
      </c>
      <c r="C1340">
        <v>19806</v>
      </c>
      <c r="D1340">
        <v>19672</v>
      </c>
      <c r="E1340">
        <v>0</v>
      </c>
      <c r="F1340">
        <v>0</v>
      </c>
      <c r="G1340">
        <v>134</v>
      </c>
    </row>
    <row r="1341" spans="1:7" x14ac:dyDescent="0.35">
      <c r="A1341" t="s">
        <v>15769</v>
      </c>
      <c r="B1341" t="s">
        <v>13716</v>
      </c>
      <c r="C1341">
        <v>19790</v>
      </c>
      <c r="D1341">
        <v>19149</v>
      </c>
      <c r="E1341">
        <v>0</v>
      </c>
      <c r="F1341">
        <v>641</v>
      </c>
      <c r="G1341">
        <v>0</v>
      </c>
    </row>
    <row r="1342" spans="1:7" x14ac:dyDescent="0.35">
      <c r="A1342" t="s">
        <v>15770</v>
      </c>
      <c r="B1342" t="s">
        <v>13814</v>
      </c>
      <c r="C1342">
        <v>6974</v>
      </c>
      <c r="D1342">
        <v>6702</v>
      </c>
      <c r="E1342">
        <v>0</v>
      </c>
      <c r="F1342">
        <v>272</v>
      </c>
      <c r="G1342">
        <v>0</v>
      </c>
    </row>
    <row r="1343" spans="1:7" x14ac:dyDescent="0.35">
      <c r="A1343" t="s">
        <v>15771</v>
      </c>
      <c r="B1343" t="s">
        <v>13826</v>
      </c>
      <c r="C1343">
        <v>4307</v>
      </c>
      <c r="D1343">
        <v>4270</v>
      </c>
      <c r="E1343">
        <v>0</v>
      </c>
      <c r="F1343">
        <v>0</v>
      </c>
      <c r="G1343">
        <v>37</v>
      </c>
    </row>
    <row r="1344" spans="1:7" x14ac:dyDescent="0.35">
      <c r="A1344" t="s">
        <v>15772</v>
      </c>
      <c r="B1344" t="s">
        <v>14142</v>
      </c>
      <c r="C1344">
        <v>3386</v>
      </c>
      <c r="D1344">
        <v>3379</v>
      </c>
      <c r="E1344">
        <v>0</v>
      </c>
      <c r="F1344">
        <v>0</v>
      </c>
      <c r="G1344">
        <v>7</v>
      </c>
    </row>
    <row r="1345" spans="1:7" x14ac:dyDescent="0.35">
      <c r="A1345" t="s">
        <v>15773</v>
      </c>
      <c r="B1345" t="s">
        <v>14145</v>
      </c>
      <c r="C1345">
        <v>2843</v>
      </c>
      <c r="D1345">
        <v>2580</v>
      </c>
      <c r="E1345">
        <v>0</v>
      </c>
      <c r="F1345">
        <v>208</v>
      </c>
      <c r="G1345">
        <v>55</v>
      </c>
    </row>
    <row r="1346" spans="1:7" x14ac:dyDescent="0.35">
      <c r="A1346" t="s">
        <v>15774</v>
      </c>
      <c r="B1346" t="s">
        <v>14148</v>
      </c>
      <c r="C1346">
        <v>6</v>
      </c>
      <c r="D1346">
        <v>6</v>
      </c>
      <c r="E1346">
        <v>0</v>
      </c>
      <c r="F1346">
        <v>0</v>
      </c>
      <c r="G1346">
        <v>0</v>
      </c>
    </row>
    <row r="1347" spans="1:7" x14ac:dyDescent="0.35">
      <c r="A1347" t="s">
        <v>15775</v>
      </c>
      <c r="B1347" t="s">
        <v>14151</v>
      </c>
      <c r="C1347">
        <v>1207</v>
      </c>
      <c r="D1347">
        <v>1181</v>
      </c>
      <c r="E1347">
        <v>0</v>
      </c>
      <c r="F1347">
        <v>26</v>
      </c>
      <c r="G1347">
        <v>0</v>
      </c>
    </row>
    <row r="1348" spans="1:7" x14ac:dyDescent="0.35">
      <c r="A1348" t="s">
        <v>15776</v>
      </c>
      <c r="B1348" t="s">
        <v>14156</v>
      </c>
      <c r="C1348">
        <v>26878</v>
      </c>
      <c r="D1348">
        <v>26838</v>
      </c>
      <c r="E1348">
        <v>0</v>
      </c>
      <c r="F1348">
        <v>40</v>
      </c>
      <c r="G1348">
        <v>0</v>
      </c>
    </row>
    <row r="1349" spans="1:7" x14ac:dyDescent="0.35">
      <c r="A1349" t="s">
        <v>15777</v>
      </c>
      <c r="B1349" t="s">
        <v>14160</v>
      </c>
      <c r="C1349">
        <v>0</v>
      </c>
      <c r="D1349">
        <v>0</v>
      </c>
      <c r="E1349">
        <v>0</v>
      </c>
      <c r="F1349">
        <v>0</v>
      </c>
      <c r="G1349">
        <v>0</v>
      </c>
    </row>
    <row r="1350" spans="1:7" x14ac:dyDescent="0.35">
      <c r="A1350" t="s">
        <v>15778</v>
      </c>
      <c r="B1350" t="s">
        <v>14164</v>
      </c>
      <c r="C1350">
        <v>37114</v>
      </c>
      <c r="D1350">
        <v>35944</v>
      </c>
      <c r="E1350">
        <v>0</v>
      </c>
      <c r="F1350">
        <v>1146</v>
      </c>
      <c r="G1350">
        <v>24</v>
      </c>
    </row>
    <row r="1351" spans="1:7" x14ac:dyDescent="0.35">
      <c r="A1351" t="s">
        <v>15779</v>
      </c>
      <c r="B1351" t="s">
        <v>14167</v>
      </c>
      <c r="C1351">
        <v>3653</v>
      </c>
      <c r="D1351">
        <v>3259</v>
      </c>
      <c r="E1351">
        <v>14</v>
      </c>
      <c r="F1351">
        <v>326</v>
      </c>
      <c r="G1351">
        <v>54</v>
      </c>
    </row>
    <row r="1352" spans="1:7" x14ac:dyDescent="0.35">
      <c r="A1352" t="s">
        <v>15780</v>
      </c>
      <c r="B1352" t="s">
        <v>14175</v>
      </c>
      <c r="C1352">
        <v>5805</v>
      </c>
      <c r="D1352">
        <v>5805</v>
      </c>
      <c r="E1352">
        <v>0</v>
      </c>
      <c r="F1352">
        <v>0</v>
      </c>
      <c r="G1352">
        <v>0</v>
      </c>
    </row>
    <row r="1353" spans="1:7" x14ac:dyDescent="0.35">
      <c r="A1353" t="s">
        <v>15781</v>
      </c>
      <c r="B1353" t="s">
        <v>14177</v>
      </c>
      <c r="C1353">
        <v>9709</v>
      </c>
      <c r="D1353">
        <v>9620</v>
      </c>
      <c r="E1353">
        <v>0</v>
      </c>
      <c r="F1353">
        <v>21</v>
      </c>
      <c r="G1353">
        <v>68</v>
      </c>
    </row>
    <row r="1354" spans="1:7" x14ac:dyDescent="0.35">
      <c r="A1354" t="s">
        <v>15782</v>
      </c>
      <c r="B1354" t="s">
        <v>14182</v>
      </c>
      <c r="C1354">
        <v>9475</v>
      </c>
      <c r="D1354">
        <v>7498</v>
      </c>
      <c r="E1354">
        <v>0</v>
      </c>
      <c r="F1354">
        <v>1898</v>
      </c>
      <c r="G1354">
        <v>79</v>
      </c>
    </row>
    <row r="1355" spans="1:7" x14ac:dyDescent="0.35">
      <c r="A1355" t="s">
        <v>15783</v>
      </c>
      <c r="B1355" t="s">
        <v>14194</v>
      </c>
      <c r="C1355">
        <v>5319</v>
      </c>
      <c r="D1355">
        <v>4001</v>
      </c>
      <c r="E1355">
        <v>0</v>
      </c>
      <c r="F1355">
        <v>1075</v>
      </c>
      <c r="G1355">
        <v>243</v>
      </c>
    </row>
    <row r="1356" spans="1:7" x14ac:dyDescent="0.35">
      <c r="A1356" t="s">
        <v>15784</v>
      </c>
      <c r="B1356" t="s">
        <v>14195</v>
      </c>
      <c r="C1356">
        <v>2893</v>
      </c>
      <c r="D1356">
        <v>1966</v>
      </c>
      <c r="E1356">
        <v>0</v>
      </c>
      <c r="F1356">
        <v>927</v>
      </c>
      <c r="G1356">
        <v>0</v>
      </c>
    </row>
    <row r="1357" spans="1:7" x14ac:dyDescent="0.35">
      <c r="A1357" t="s">
        <v>15785</v>
      </c>
      <c r="B1357" t="s">
        <v>14199</v>
      </c>
      <c r="C1357">
        <v>28</v>
      </c>
      <c r="D1357">
        <v>28</v>
      </c>
      <c r="E1357">
        <v>0</v>
      </c>
      <c r="F1357">
        <v>0</v>
      </c>
      <c r="G1357">
        <v>0</v>
      </c>
    </row>
    <row r="1358" spans="1:7" x14ac:dyDescent="0.35">
      <c r="A1358" t="s">
        <v>15786</v>
      </c>
      <c r="B1358" t="s">
        <v>14200</v>
      </c>
      <c r="C1358">
        <v>3714</v>
      </c>
      <c r="D1358">
        <v>2601</v>
      </c>
      <c r="E1358">
        <v>0</v>
      </c>
      <c r="F1358">
        <v>1063</v>
      </c>
      <c r="G1358">
        <v>50</v>
      </c>
    </row>
    <row r="1359" spans="1:7" x14ac:dyDescent="0.35">
      <c r="A1359" t="s">
        <v>15787</v>
      </c>
      <c r="B1359" t="s">
        <v>14201</v>
      </c>
      <c r="C1359">
        <v>5833</v>
      </c>
      <c r="D1359">
        <v>4665</v>
      </c>
      <c r="E1359">
        <v>0</v>
      </c>
      <c r="F1359">
        <v>1118</v>
      </c>
      <c r="G1359">
        <v>50</v>
      </c>
    </row>
    <row r="1360" spans="1:7" x14ac:dyDescent="0.35">
      <c r="A1360" t="s">
        <v>15788</v>
      </c>
      <c r="B1360" t="s">
        <v>14202</v>
      </c>
      <c r="C1360">
        <v>51</v>
      </c>
      <c r="D1360">
        <v>38</v>
      </c>
      <c r="E1360">
        <v>13</v>
      </c>
      <c r="F1360">
        <v>0</v>
      </c>
      <c r="G1360">
        <v>0</v>
      </c>
    </row>
    <row r="1361" spans="1:7" x14ac:dyDescent="0.35">
      <c r="A1361" t="s">
        <v>15789</v>
      </c>
      <c r="B1361" t="s">
        <v>14203</v>
      </c>
      <c r="C1361">
        <v>33</v>
      </c>
      <c r="D1361">
        <v>33</v>
      </c>
      <c r="E1361">
        <v>0</v>
      </c>
      <c r="F1361">
        <v>0</v>
      </c>
      <c r="G1361">
        <v>0</v>
      </c>
    </row>
    <row r="1362" spans="1:7" x14ac:dyDescent="0.35">
      <c r="A1362" t="s">
        <v>15790</v>
      </c>
      <c r="B1362" t="s">
        <v>14207</v>
      </c>
      <c r="C1362">
        <v>0</v>
      </c>
      <c r="D1362">
        <v>0</v>
      </c>
      <c r="E1362">
        <v>0</v>
      </c>
      <c r="F1362">
        <v>0</v>
      </c>
      <c r="G1362">
        <v>0</v>
      </c>
    </row>
    <row r="1363" spans="1:7" x14ac:dyDescent="0.35">
      <c r="A1363" t="s">
        <v>15791</v>
      </c>
      <c r="B1363" t="s">
        <v>14208</v>
      </c>
      <c r="C1363">
        <v>15813</v>
      </c>
      <c r="D1363">
        <v>14652</v>
      </c>
      <c r="E1363">
        <v>0</v>
      </c>
      <c r="F1363">
        <v>1157</v>
      </c>
      <c r="G1363">
        <v>4</v>
      </c>
    </row>
    <row r="1364" spans="1:7" x14ac:dyDescent="0.35">
      <c r="A1364" t="s">
        <v>15792</v>
      </c>
      <c r="B1364" t="s">
        <v>14209</v>
      </c>
      <c r="C1364">
        <v>15646</v>
      </c>
      <c r="D1364">
        <v>12359</v>
      </c>
      <c r="E1364">
        <v>18</v>
      </c>
      <c r="F1364">
        <v>3172</v>
      </c>
      <c r="G1364">
        <v>97</v>
      </c>
    </row>
    <row r="1365" spans="1:7" x14ac:dyDescent="0.35">
      <c r="A1365" t="s">
        <v>15793</v>
      </c>
      <c r="B1365" t="s">
        <v>14212</v>
      </c>
      <c r="C1365">
        <v>5920</v>
      </c>
      <c r="D1365">
        <v>4769</v>
      </c>
      <c r="E1365">
        <v>0</v>
      </c>
      <c r="F1365">
        <v>1140</v>
      </c>
      <c r="G1365">
        <v>11</v>
      </c>
    </row>
    <row r="1366" spans="1:7" x14ac:dyDescent="0.35">
      <c r="A1366" t="s">
        <v>15794</v>
      </c>
      <c r="B1366" t="s">
        <v>14217</v>
      </c>
      <c r="C1366">
        <v>37062</v>
      </c>
      <c r="D1366">
        <v>36144</v>
      </c>
      <c r="E1366">
        <v>0</v>
      </c>
      <c r="F1366">
        <v>728</v>
      </c>
      <c r="G1366">
        <v>190</v>
      </c>
    </row>
    <row r="1367" spans="1:7" x14ac:dyDescent="0.35">
      <c r="A1367" t="s">
        <v>15795</v>
      </c>
      <c r="B1367" t="s">
        <v>14230</v>
      </c>
      <c r="C1367">
        <v>31</v>
      </c>
      <c r="D1367">
        <v>0</v>
      </c>
      <c r="E1367">
        <v>0</v>
      </c>
      <c r="F1367">
        <v>31</v>
      </c>
      <c r="G1367">
        <v>0</v>
      </c>
    </row>
    <row r="1368" spans="1:7" x14ac:dyDescent="0.35">
      <c r="A1368" t="s">
        <v>15796</v>
      </c>
      <c r="B1368" t="s">
        <v>14232</v>
      </c>
      <c r="C1368">
        <v>4673</v>
      </c>
      <c r="D1368">
        <v>4673</v>
      </c>
      <c r="E1368">
        <v>0</v>
      </c>
      <c r="F1368">
        <v>0</v>
      </c>
      <c r="G1368">
        <v>0</v>
      </c>
    </row>
    <row r="1369" spans="1:7" x14ac:dyDescent="0.35">
      <c r="A1369" t="s">
        <v>15797</v>
      </c>
      <c r="B1369" t="s">
        <v>14237</v>
      </c>
      <c r="C1369">
        <v>7873</v>
      </c>
      <c r="D1369">
        <v>6733</v>
      </c>
      <c r="E1369">
        <v>0</v>
      </c>
      <c r="F1369">
        <v>1060</v>
      </c>
      <c r="G1369">
        <v>80</v>
      </c>
    </row>
    <row r="1370" spans="1:7" x14ac:dyDescent="0.35">
      <c r="A1370" t="s">
        <v>15798</v>
      </c>
      <c r="B1370" t="s">
        <v>14240</v>
      </c>
      <c r="C1370">
        <v>10685</v>
      </c>
      <c r="D1370">
        <v>9592</v>
      </c>
      <c r="E1370">
        <v>0</v>
      </c>
      <c r="F1370">
        <v>1018</v>
      </c>
      <c r="G1370">
        <v>75</v>
      </c>
    </row>
    <row r="1371" spans="1:7" x14ac:dyDescent="0.35">
      <c r="A1371" t="s">
        <v>15799</v>
      </c>
      <c r="B1371" t="s">
        <v>14242</v>
      </c>
      <c r="C1371">
        <v>17131</v>
      </c>
      <c r="D1371">
        <v>16866</v>
      </c>
      <c r="E1371">
        <v>0</v>
      </c>
      <c r="F1371">
        <v>265</v>
      </c>
      <c r="G1371">
        <v>0</v>
      </c>
    </row>
    <row r="1372" spans="1:7" x14ac:dyDescent="0.35">
      <c r="A1372" t="s">
        <v>15800</v>
      </c>
      <c r="B1372" t="s">
        <v>14247</v>
      </c>
      <c r="C1372">
        <v>0</v>
      </c>
      <c r="D1372">
        <v>0</v>
      </c>
      <c r="E1372">
        <v>0</v>
      </c>
      <c r="F1372">
        <v>0</v>
      </c>
      <c r="G1372">
        <v>0</v>
      </c>
    </row>
    <row r="1373" spans="1:7" x14ac:dyDescent="0.35">
      <c r="A1373" t="s">
        <v>15801</v>
      </c>
      <c r="B1373" t="s">
        <v>14251</v>
      </c>
      <c r="C1373">
        <v>4786</v>
      </c>
      <c r="D1373">
        <v>4037</v>
      </c>
      <c r="E1373">
        <v>0</v>
      </c>
      <c r="F1373">
        <v>705</v>
      </c>
      <c r="G1373">
        <v>44</v>
      </c>
    </row>
    <row r="1374" spans="1:7" x14ac:dyDescent="0.35">
      <c r="A1374" t="s">
        <v>15802</v>
      </c>
      <c r="B1374" t="s">
        <v>14254</v>
      </c>
      <c r="C1374">
        <v>0</v>
      </c>
      <c r="D1374">
        <v>0</v>
      </c>
      <c r="E1374">
        <v>0</v>
      </c>
      <c r="F1374">
        <v>0</v>
      </c>
      <c r="G1374">
        <v>0</v>
      </c>
    </row>
    <row r="1375" spans="1:7" x14ac:dyDescent="0.35">
      <c r="A1375" t="s">
        <v>15803</v>
      </c>
      <c r="B1375" t="s">
        <v>14269</v>
      </c>
      <c r="C1375">
        <v>9846</v>
      </c>
      <c r="D1375">
        <v>9756</v>
      </c>
      <c r="E1375">
        <v>0</v>
      </c>
      <c r="F1375">
        <v>90</v>
      </c>
      <c r="G1375">
        <v>0</v>
      </c>
    </row>
    <row r="1376" spans="1:7" x14ac:dyDescent="0.35">
      <c r="A1376" t="s">
        <v>15804</v>
      </c>
      <c r="B1376" t="s">
        <v>14273</v>
      </c>
      <c r="C1376">
        <v>4019</v>
      </c>
      <c r="D1376">
        <v>3999</v>
      </c>
      <c r="E1376">
        <v>0</v>
      </c>
      <c r="F1376">
        <v>20</v>
      </c>
      <c r="G1376">
        <v>0</v>
      </c>
    </row>
    <row r="1377" spans="1:7" x14ac:dyDescent="0.35">
      <c r="A1377" t="s">
        <v>15805</v>
      </c>
      <c r="B1377" t="s">
        <v>14275</v>
      </c>
      <c r="C1377">
        <v>2452</v>
      </c>
      <c r="D1377">
        <v>2132</v>
      </c>
      <c r="E1377">
        <v>0</v>
      </c>
      <c r="F1377">
        <v>320</v>
      </c>
      <c r="G1377">
        <v>0</v>
      </c>
    </row>
    <row r="1378" spans="1:7" x14ac:dyDescent="0.35">
      <c r="A1378" t="s">
        <v>15806</v>
      </c>
      <c r="B1378" t="s">
        <v>14277</v>
      </c>
      <c r="C1378">
        <v>11</v>
      </c>
      <c r="D1378">
        <v>11</v>
      </c>
      <c r="E1378">
        <v>0</v>
      </c>
      <c r="F1378">
        <v>0</v>
      </c>
      <c r="G1378">
        <v>0</v>
      </c>
    </row>
    <row r="1379" spans="1:7" x14ac:dyDescent="0.35">
      <c r="A1379" t="s">
        <v>15807</v>
      </c>
      <c r="B1379" t="s">
        <v>14280</v>
      </c>
      <c r="C1379">
        <v>23</v>
      </c>
      <c r="D1379">
        <v>0</v>
      </c>
      <c r="E1379">
        <v>0</v>
      </c>
      <c r="F1379">
        <v>23</v>
      </c>
      <c r="G1379">
        <v>0</v>
      </c>
    </row>
    <row r="1380" spans="1:7" x14ac:dyDescent="0.35">
      <c r="A1380" t="s">
        <v>15808</v>
      </c>
      <c r="B1380" t="s">
        <v>14282</v>
      </c>
      <c r="C1380">
        <v>3078</v>
      </c>
      <c r="D1380">
        <v>3078</v>
      </c>
      <c r="E1380">
        <v>0</v>
      </c>
      <c r="F1380">
        <v>0</v>
      </c>
      <c r="G1380">
        <v>0</v>
      </c>
    </row>
    <row r="1381" spans="1:7" x14ac:dyDescent="0.35">
      <c r="A1381" t="s">
        <v>15809</v>
      </c>
      <c r="B1381" t="s">
        <v>14287</v>
      </c>
      <c r="C1381">
        <v>2930</v>
      </c>
      <c r="D1381">
        <v>2919</v>
      </c>
      <c r="E1381">
        <v>0</v>
      </c>
      <c r="F1381">
        <v>0</v>
      </c>
      <c r="G1381">
        <v>11</v>
      </c>
    </row>
    <row r="1382" spans="1:7" x14ac:dyDescent="0.35">
      <c r="A1382" t="s">
        <v>15810</v>
      </c>
      <c r="B1382" t="s">
        <v>14290</v>
      </c>
      <c r="C1382">
        <v>9559</v>
      </c>
      <c r="D1382">
        <v>8380</v>
      </c>
      <c r="E1382">
        <v>0</v>
      </c>
      <c r="F1382">
        <v>1179</v>
      </c>
      <c r="G1382">
        <v>0</v>
      </c>
    </row>
    <row r="1383" spans="1:7" x14ac:dyDescent="0.35">
      <c r="A1383" t="s">
        <v>15811</v>
      </c>
      <c r="B1383" t="s">
        <v>14291</v>
      </c>
      <c r="C1383">
        <v>0</v>
      </c>
      <c r="D1383">
        <v>0</v>
      </c>
      <c r="E1383">
        <v>0</v>
      </c>
      <c r="F1383">
        <v>0</v>
      </c>
      <c r="G1383">
        <v>0</v>
      </c>
    </row>
    <row r="1384" spans="1:7" x14ac:dyDescent="0.35">
      <c r="A1384" t="s">
        <v>15812</v>
      </c>
      <c r="B1384" t="s">
        <v>14298</v>
      </c>
      <c r="C1384">
        <v>0</v>
      </c>
      <c r="D1384">
        <v>0</v>
      </c>
      <c r="E1384">
        <v>0</v>
      </c>
      <c r="F1384">
        <v>0</v>
      </c>
      <c r="G1384">
        <v>0</v>
      </c>
    </row>
    <row r="1385" spans="1:7" x14ac:dyDescent="0.35">
      <c r="A1385" t="s">
        <v>15813</v>
      </c>
      <c r="B1385" t="s">
        <v>14312</v>
      </c>
      <c r="C1385">
        <v>0</v>
      </c>
      <c r="D1385">
        <v>0</v>
      </c>
      <c r="E1385">
        <v>0</v>
      </c>
      <c r="F1385">
        <v>0</v>
      </c>
      <c r="G1385">
        <v>0</v>
      </c>
    </row>
    <row r="1386" spans="1:7" x14ac:dyDescent="0.35">
      <c r="A1386" t="s">
        <v>15814</v>
      </c>
      <c r="B1386" t="s">
        <v>14313</v>
      </c>
      <c r="C1386">
        <v>0</v>
      </c>
      <c r="D1386">
        <v>0</v>
      </c>
      <c r="E1386">
        <v>0</v>
      </c>
      <c r="F1386">
        <v>0</v>
      </c>
      <c r="G1386">
        <v>0</v>
      </c>
    </row>
    <row r="1387" spans="1:7" x14ac:dyDescent="0.35">
      <c r="A1387" t="s">
        <v>15815</v>
      </c>
      <c r="B1387" t="s">
        <v>14318</v>
      </c>
      <c r="C1387">
        <v>2636</v>
      </c>
      <c r="D1387">
        <v>2295</v>
      </c>
      <c r="E1387">
        <v>0</v>
      </c>
      <c r="F1387">
        <v>333</v>
      </c>
      <c r="G1387">
        <v>8</v>
      </c>
    </row>
    <row r="1388" spans="1:7" x14ac:dyDescent="0.35">
      <c r="A1388" t="s">
        <v>15816</v>
      </c>
      <c r="B1388" t="s">
        <v>14319</v>
      </c>
      <c r="C1388">
        <v>34</v>
      </c>
      <c r="D1388">
        <v>34</v>
      </c>
      <c r="E1388">
        <v>0</v>
      </c>
      <c r="F1388">
        <v>0</v>
      </c>
      <c r="G1388">
        <v>0</v>
      </c>
    </row>
    <row r="1389" spans="1:7" x14ac:dyDescent="0.35">
      <c r="A1389" t="s">
        <v>15817</v>
      </c>
      <c r="B1389" t="s">
        <v>14326</v>
      </c>
      <c r="C1389">
        <v>0</v>
      </c>
      <c r="D1389">
        <v>0</v>
      </c>
      <c r="E1389">
        <v>0</v>
      </c>
      <c r="F1389">
        <v>0</v>
      </c>
      <c r="G1389">
        <v>0</v>
      </c>
    </row>
    <row r="1390" spans="1:7" x14ac:dyDescent="0.35">
      <c r="A1390" t="s">
        <v>15818</v>
      </c>
      <c r="B1390" t="s">
        <v>14341</v>
      </c>
      <c r="C1390">
        <v>0</v>
      </c>
      <c r="D1390">
        <v>0</v>
      </c>
      <c r="E1390">
        <v>0</v>
      </c>
      <c r="F1390">
        <v>0</v>
      </c>
      <c r="G1390">
        <v>0</v>
      </c>
    </row>
    <row r="1391" spans="1:7" x14ac:dyDescent="0.35">
      <c r="A1391" t="s">
        <v>15819</v>
      </c>
      <c r="B1391" t="s">
        <v>14342</v>
      </c>
      <c r="C1391">
        <v>5504</v>
      </c>
      <c r="D1391">
        <v>5426</v>
      </c>
      <c r="E1391">
        <v>0</v>
      </c>
      <c r="F1391">
        <v>13</v>
      </c>
      <c r="G1391">
        <v>65</v>
      </c>
    </row>
    <row r="1392" spans="1:7" x14ac:dyDescent="0.35">
      <c r="A1392" t="s">
        <v>15820</v>
      </c>
      <c r="B1392" t="s">
        <v>14343</v>
      </c>
      <c r="C1392">
        <v>4691</v>
      </c>
      <c r="D1392">
        <v>4637</v>
      </c>
      <c r="E1392">
        <v>0</v>
      </c>
      <c r="F1392">
        <v>0</v>
      </c>
      <c r="G1392">
        <v>54</v>
      </c>
    </row>
    <row r="1393" spans="1:7" x14ac:dyDescent="0.35">
      <c r="A1393" t="s">
        <v>15821</v>
      </c>
      <c r="B1393" t="s">
        <v>14346</v>
      </c>
      <c r="C1393">
        <v>2801</v>
      </c>
      <c r="D1393">
        <v>2350</v>
      </c>
      <c r="E1393">
        <v>0</v>
      </c>
      <c r="F1393">
        <v>367</v>
      </c>
      <c r="G1393">
        <v>84</v>
      </c>
    </row>
    <row r="1394" spans="1:7" x14ac:dyDescent="0.35">
      <c r="A1394" t="s">
        <v>15822</v>
      </c>
      <c r="B1394" t="s">
        <v>14348</v>
      </c>
      <c r="C1394">
        <v>8817</v>
      </c>
      <c r="D1394">
        <v>7146</v>
      </c>
      <c r="E1394">
        <v>0</v>
      </c>
      <c r="F1394">
        <v>1663</v>
      </c>
      <c r="G1394">
        <v>8</v>
      </c>
    </row>
    <row r="1395" spans="1:7" x14ac:dyDescent="0.35">
      <c r="A1395" t="s">
        <v>15823</v>
      </c>
      <c r="B1395" t="s">
        <v>14350</v>
      </c>
      <c r="C1395">
        <v>0</v>
      </c>
      <c r="D1395">
        <v>0</v>
      </c>
      <c r="E1395">
        <v>0</v>
      </c>
      <c r="F1395">
        <v>0</v>
      </c>
      <c r="G1395">
        <v>0</v>
      </c>
    </row>
    <row r="1396" spans="1:7" x14ac:dyDescent="0.35">
      <c r="A1396" t="s">
        <v>15824</v>
      </c>
      <c r="B1396" t="s">
        <v>14353</v>
      </c>
      <c r="C1396">
        <v>9</v>
      </c>
      <c r="D1396">
        <v>9</v>
      </c>
      <c r="E1396">
        <v>0</v>
      </c>
      <c r="F1396">
        <v>0</v>
      </c>
      <c r="G1396">
        <v>0</v>
      </c>
    </row>
    <row r="1397" spans="1:7" x14ac:dyDescent="0.35">
      <c r="A1397" t="s">
        <v>15825</v>
      </c>
      <c r="B1397" t="s">
        <v>14357</v>
      </c>
      <c r="C1397">
        <v>5524</v>
      </c>
      <c r="D1397">
        <v>4438</v>
      </c>
      <c r="E1397">
        <v>0</v>
      </c>
      <c r="F1397">
        <v>1085</v>
      </c>
      <c r="G1397">
        <v>1</v>
      </c>
    </row>
    <row r="1398" spans="1:7" x14ac:dyDescent="0.35">
      <c r="A1398" t="s">
        <v>15826</v>
      </c>
      <c r="B1398" t="s">
        <v>14359</v>
      </c>
      <c r="C1398">
        <v>10924</v>
      </c>
      <c r="D1398">
        <v>10776</v>
      </c>
      <c r="E1398">
        <v>0</v>
      </c>
      <c r="F1398">
        <v>66</v>
      </c>
      <c r="G1398">
        <v>82</v>
      </c>
    </row>
    <row r="1399" spans="1:7" x14ac:dyDescent="0.35">
      <c r="A1399" t="s">
        <v>15827</v>
      </c>
      <c r="B1399" t="s">
        <v>14361</v>
      </c>
      <c r="C1399">
        <v>8</v>
      </c>
      <c r="D1399">
        <v>8</v>
      </c>
      <c r="E1399">
        <v>0</v>
      </c>
      <c r="F1399">
        <v>0</v>
      </c>
      <c r="G1399">
        <v>0</v>
      </c>
    </row>
    <row r="1400" spans="1:7" x14ac:dyDescent="0.35">
      <c r="A1400" t="s">
        <v>15828</v>
      </c>
      <c r="B1400" t="s">
        <v>14371</v>
      </c>
      <c r="C1400">
        <v>2478</v>
      </c>
      <c r="D1400">
        <v>2478</v>
      </c>
      <c r="E1400">
        <v>0</v>
      </c>
      <c r="F1400">
        <v>0</v>
      </c>
      <c r="G1400">
        <v>0</v>
      </c>
    </row>
    <row r="1401" spans="1:7" x14ac:dyDescent="0.35">
      <c r="A1401" t="s">
        <v>15829</v>
      </c>
      <c r="B1401" t="s">
        <v>14376</v>
      </c>
      <c r="C1401">
        <v>20176</v>
      </c>
      <c r="D1401">
        <v>18985</v>
      </c>
      <c r="E1401">
        <v>3</v>
      </c>
      <c r="F1401">
        <v>1188</v>
      </c>
      <c r="G1401">
        <v>0</v>
      </c>
    </row>
    <row r="1402" spans="1:7" x14ac:dyDescent="0.35">
      <c r="A1402" t="s">
        <v>15830</v>
      </c>
      <c r="B1402" t="s">
        <v>14377</v>
      </c>
      <c r="C1402">
        <v>5052</v>
      </c>
      <c r="D1402">
        <v>4514</v>
      </c>
      <c r="E1402">
        <v>0</v>
      </c>
      <c r="F1402">
        <v>513</v>
      </c>
      <c r="G1402">
        <v>25</v>
      </c>
    </row>
    <row r="1403" spans="1:7" x14ac:dyDescent="0.35">
      <c r="A1403" t="s">
        <v>15831</v>
      </c>
      <c r="B1403" t="s">
        <v>14382</v>
      </c>
      <c r="C1403">
        <v>5002</v>
      </c>
      <c r="D1403">
        <v>4434</v>
      </c>
      <c r="E1403">
        <v>0</v>
      </c>
      <c r="F1403">
        <v>469</v>
      </c>
      <c r="G1403">
        <v>99</v>
      </c>
    </row>
    <row r="1404" spans="1:7" x14ac:dyDescent="0.35">
      <c r="A1404" t="s">
        <v>15832</v>
      </c>
      <c r="B1404" t="s">
        <v>14387</v>
      </c>
      <c r="C1404">
        <v>28</v>
      </c>
      <c r="D1404">
        <v>28</v>
      </c>
      <c r="E1404">
        <v>0</v>
      </c>
      <c r="F1404">
        <v>0</v>
      </c>
      <c r="G1404">
        <v>0</v>
      </c>
    </row>
    <row r="1405" spans="1:7" x14ac:dyDescent="0.35">
      <c r="A1405" t="s">
        <v>15833</v>
      </c>
      <c r="B1405" t="s">
        <v>14390</v>
      </c>
      <c r="C1405">
        <v>3345</v>
      </c>
      <c r="D1405">
        <v>2914</v>
      </c>
      <c r="E1405">
        <v>0</v>
      </c>
      <c r="F1405">
        <v>361</v>
      </c>
      <c r="G1405">
        <v>70</v>
      </c>
    </row>
    <row r="1406" spans="1:7" x14ac:dyDescent="0.35">
      <c r="A1406" t="s">
        <v>15834</v>
      </c>
      <c r="B1406" t="s">
        <v>14391</v>
      </c>
      <c r="C1406">
        <v>2705</v>
      </c>
      <c r="D1406">
        <v>2323</v>
      </c>
      <c r="E1406">
        <v>42</v>
      </c>
      <c r="F1406">
        <v>262</v>
      </c>
      <c r="G1406">
        <v>78</v>
      </c>
    </row>
    <row r="1407" spans="1:7" x14ac:dyDescent="0.35">
      <c r="A1407" t="s">
        <v>15835</v>
      </c>
      <c r="B1407" t="s">
        <v>14395</v>
      </c>
      <c r="C1407">
        <v>20740</v>
      </c>
      <c r="D1407">
        <v>20685</v>
      </c>
      <c r="E1407">
        <v>0</v>
      </c>
      <c r="F1407">
        <v>0</v>
      </c>
      <c r="G1407">
        <v>55</v>
      </c>
    </row>
    <row r="1408" spans="1:7" x14ac:dyDescent="0.35">
      <c r="A1408" t="s">
        <v>15836</v>
      </c>
      <c r="B1408" t="s">
        <v>14398</v>
      </c>
      <c r="C1408">
        <v>0</v>
      </c>
      <c r="D1408">
        <v>0</v>
      </c>
      <c r="E1408">
        <v>0</v>
      </c>
      <c r="F1408">
        <v>0</v>
      </c>
      <c r="G1408">
        <v>0</v>
      </c>
    </row>
    <row r="1409" spans="1:7" x14ac:dyDescent="0.35">
      <c r="A1409" t="s">
        <v>15837</v>
      </c>
      <c r="B1409" t="s">
        <v>14400</v>
      </c>
      <c r="C1409">
        <v>37</v>
      </c>
      <c r="D1409">
        <v>37</v>
      </c>
      <c r="E1409">
        <v>0</v>
      </c>
      <c r="F1409">
        <v>0</v>
      </c>
      <c r="G1409">
        <v>0</v>
      </c>
    </row>
    <row r="1410" spans="1:7" x14ac:dyDescent="0.35">
      <c r="A1410" t="s">
        <v>290</v>
      </c>
      <c r="B1410" t="s">
        <v>291</v>
      </c>
      <c r="C1410">
        <v>10476</v>
      </c>
      <c r="D1410">
        <v>7863</v>
      </c>
      <c r="E1410">
        <v>0</v>
      </c>
      <c r="F1410">
        <v>2260</v>
      </c>
      <c r="G1410">
        <v>353</v>
      </c>
    </row>
    <row r="1411" spans="1:7" x14ac:dyDescent="0.35">
      <c r="A1411" t="s">
        <v>351</v>
      </c>
      <c r="B1411" t="s">
        <v>352</v>
      </c>
      <c r="C1411">
        <v>15372</v>
      </c>
      <c r="D1411">
        <v>12985</v>
      </c>
      <c r="E1411">
        <v>2</v>
      </c>
      <c r="F1411">
        <v>1966</v>
      </c>
      <c r="G1411">
        <v>419</v>
      </c>
    </row>
    <row r="1412" spans="1:7" x14ac:dyDescent="0.35">
      <c r="A1412" t="s">
        <v>393</v>
      </c>
      <c r="B1412" t="s">
        <v>394</v>
      </c>
      <c r="C1412">
        <v>13349</v>
      </c>
      <c r="D1412">
        <v>11788</v>
      </c>
      <c r="E1412">
        <v>0</v>
      </c>
      <c r="F1412">
        <v>1129</v>
      </c>
      <c r="G1412">
        <v>432</v>
      </c>
    </row>
    <row r="1413" spans="1:7" x14ac:dyDescent="0.35">
      <c r="A1413" t="s">
        <v>435</v>
      </c>
      <c r="B1413" t="s">
        <v>165</v>
      </c>
      <c r="C1413">
        <v>14687</v>
      </c>
      <c r="D1413">
        <v>13101</v>
      </c>
      <c r="E1413">
        <v>0</v>
      </c>
      <c r="F1413">
        <v>1071</v>
      </c>
      <c r="G1413">
        <v>515</v>
      </c>
    </row>
    <row r="1414" spans="1:7" x14ac:dyDescent="0.35">
      <c r="A1414" t="s">
        <v>476</v>
      </c>
      <c r="B1414" t="s">
        <v>477</v>
      </c>
      <c r="C1414">
        <v>7230</v>
      </c>
      <c r="D1414">
        <v>5861</v>
      </c>
      <c r="E1414">
        <v>6</v>
      </c>
      <c r="F1414">
        <v>1195</v>
      </c>
      <c r="G1414">
        <v>168</v>
      </c>
    </row>
    <row r="1415" spans="1:7" x14ac:dyDescent="0.35">
      <c r="A1415" t="s">
        <v>518</v>
      </c>
      <c r="B1415" t="s">
        <v>519</v>
      </c>
      <c r="C1415">
        <v>15115</v>
      </c>
      <c r="D1415">
        <v>13496</v>
      </c>
      <c r="E1415">
        <v>0</v>
      </c>
      <c r="F1415">
        <v>1088</v>
      </c>
      <c r="G1415">
        <v>531</v>
      </c>
    </row>
    <row r="1416" spans="1:7" x14ac:dyDescent="0.35">
      <c r="A1416" t="s">
        <v>561</v>
      </c>
      <c r="B1416" t="s">
        <v>197</v>
      </c>
      <c r="C1416">
        <v>15757</v>
      </c>
      <c r="D1416">
        <v>12204</v>
      </c>
      <c r="E1416">
        <v>0</v>
      </c>
      <c r="F1416">
        <v>2727</v>
      </c>
      <c r="G1416">
        <v>826</v>
      </c>
    </row>
    <row r="1417" spans="1:7" x14ac:dyDescent="0.35">
      <c r="A1417" t="s">
        <v>602</v>
      </c>
      <c r="B1417" t="s">
        <v>603</v>
      </c>
      <c r="C1417">
        <v>11872</v>
      </c>
      <c r="D1417">
        <v>10046</v>
      </c>
      <c r="E1417">
        <v>0</v>
      </c>
      <c r="F1417">
        <v>1562</v>
      </c>
      <c r="G1417">
        <v>264</v>
      </c>
    </row>
    <row r="1418" spans="1:7" x14ac:dyDescent="0.35">
      <c r="A1418" t="s">
        <v>644</v>
      </c>
      <c r="B1418" t="s">
        <v>645</v>
      </c>
      <c r="C1418">
        <v>6820</v>
      </c>
      <c r="D1418">
        <v>5219</v>
      </c>
      <c r="E1418">
        <v>0</v>
      </c>
      <c r="F1418">
        <v>1459</v>
      </c>
      <c r="G1418">
        <v>142</v>
      </c>
    </row>
    <row r="1419" spans="1:7" x14ac:dyDescent="0.35">
      <c r="A1419" t="s">
        <v>686</v>
      </c>
      <c r="B1419" t="s">
        <v>687</v>
      </c>
      <c r="C1419">
        <v>32515</v>
      </c>
      <c r="D1419">
        <v>29075</v>
      </c>
      <c r="E1419">
        <v>97</v>
      </c>
      <c r="F1419">
        <v>2848</v>
      </c>
      <c r="G1419">
        <v>495</v>
      </c>
    </row>
    <row r="1420" spans="1:7" x14ac:dyDescent="0.35">
      <c r="A1420" t="s">
        <v>729</v>
      </c>
      <c r="B1420" t="s">
        <v>730</v>
      </c>
      <c r="C1420">
        <v>15103</v>
      </c>
      <c r="D1420">
        <v>12639</v>
      </c>
      <c r="E1420">
        <v>0</v>
      </c>
      <c r="F1420">
        <v>1410</v>
      </c>
      <c r="G1420">
        <v>1054</v>
      </c>
    </row>
    <row r="1421" spans="1:7" x14ac:dyDescent="0.35">
      <c r="A1421" t="s">
        <v>771</v>
      </c>
      <c r="B1421" t="s">
        <v>772</v>
      </c>
      <c r="C1421">
        <v>9963</v>
      </c>
      <c r="D1421">
        <v>8047</v>
      </c>
      <c r="E1421">
        <v>0</v>
      </c>
      <c r="F1421">
        <v>1583</v>
      </c>
      <c r="G1421">
        <v>333</v>
      </c>
    </row>
    <row r="1422" spans="1:7" x14ac:dyDescent="0.35">
      <c r="A1422" t="s">
        <v>813</v>
      </c>
      <c r="B1422" t="s">
        <v>814</v>
      </c>
      <c r="C1422">
        <v>11827</v>
      </c>
      <c r="D1422">
        <v>11126</v>
      </c>
      <c r="E1422">
        <v>2</v>
      </c>
      <c r="F1422">
        <v>533</v>
      </c>
      <c r="G1422">
        <v>166</v>
      </c>
    </row>
    <row r="1423" spans="1:7" x14ac:dyDescent="0.35">
      <c r="A1423" t="s">
        <v>855</v>
      </c>
      <c r="B1423" t="s">
        <v>225</v>
      </c>
      <c r="C1423">
        <v>13410</v>
      </c>
      <c r="D1423">
        <v>11121</v>
      </c>
      <c r="E1423">
        <v>2</v>
      </c>
      <c r="F1423">
        <v>1476</v>
      </c>
      <c r="G1423">
        <v>811</v>
      </c>
    </row>
    <row r="1424" spans="1:7" x14ac:dyDescent="0.35">
      <c r="A1424" t="s">
        <v>896</v>
      </c>
      <c r="B1424" t="s">
        <v>897</v>
      </c>
      <c r="C1424">
        <v>20691</v>
      </c>
      <c r="D1424">
        <v>15709</v>
      </c>
      <c r="E1424">
        <v>102</v>
      </c>
      <c r="F1424">
        <v>4212</v>
      </c>
      <c r="G1424">
        <v>668</v>
      </c>
    </row>
    <row r="1425" spans="1:7" x14ac:dyDescent="0.35">
      <c r="A1425" t="s">
        <v>939</v>
      </c>
      <c r="B1425" t="s">
        <v>940</v>
      </c>
      <c r="C1425">
        <v>30108</v>
      </c>
      <c r="D1425">
        <v>27520</v>
      </c>
      <c r="E1425">
        <v>3</v>
      </c>
      <c r="F1425">
        <v>1982</v>
      </c>
      <c r="G1425">
        <v>603</v>
      </c>
    </row>
    <row r="1426" spans="1:7" x14ac:dyDescent="0.35">
      <c r="A1426" t="s">
        <v>981</v>
      </c>
      <c r="B1426" t="s">
        <v>982</v>
      </c>
      <c r="C1426">
        <v>2042</v>
      </c>
      <c r="D1426">
        <v>1523</v>
      </c>
      <c r="E1426">
        <v>0</v>
      </c>
      <c r="F1426">
        <v>303</v>
      </c>
      <c r="G1426">
        <v>216</v>
      </c>
    </row>
    <row r="1427" spans="1:7" x14ac:dyDescent="0.35">
      <c r="A1427" t="s">
        <v>1015</v>
      </c>
      <c r="B1427" t="s">
        <v>1016</v>
      </c>
      <c r="C1427">
        <v>34357</v>
      </c>
      <c r="D1427">
        <v>28207</v>
      </c>
      <c r="E1427">
        <v>150</v>
      </c>
      <c r="F1427">
        <v>5646</v>
      </c>
      <c r="G1427">
        <v>354</v>
      </c>
    </row>
    <row r="1428" spans="1:7" x14ac:dyDescent="0.35">
      <c r="A1428" t="s">
        <v>1057</v>
      </c>
      <c r="B1428" t="s">
        <v>1058</v>
      </c>
      <c r="C1428">
        <v>13054</v>
      </c>
      <c r="D1428">
        <v>9890</v>
      </c>
      <c r="E1428">
        <v>0</v>
      </c>
      <c r="F1428">
        <v>1997</v>
      </c>
      <c r="G1428">
        <v>1167</v>
      </c>
    </row>
    <row r="1429" spans="1:7" x14ac:dyDescent="0.35">
      <c r="A1429" t="s">
        <v>1100</v>
      </c>
      <c r="B1429" t="s">
        <v>178</v>
      </c>
      <c r="C1429">
        <v>16039</v>
      </c>
      <c r="D1429">
        <v>12203</v>
      </c>
      <c r="E1429">
        <v>0</v>
      </c>
      <c r="F1429">
        <v>2942</v>
      </c>
      <c r="G1429">
        <v>894</v>
      </c>
    </row>
    <row r="1430" spans="1:7" x14ac:dyDescent="0.35">
      <c r="A1430" t="s">
        <v>1141</v>
      </c>
      <c r="B1430" t="s">
        <v>166</v>
      </c>
      <c r="C1430">
        <v>25897</v>
      </c>
      <c r="D1430">
        <v>23118</v>
      </c>
      <c r="E1430">
        <v>8</v>
      </c>
      <c r="F1430">
        <v>2516</v>
      </c>
      <c r="G1430">
        <v>255</v>
      </c>
    </row>
    <row r="1431" spans="1:7" x14ac:dyDescent="0.35">
      <c r="A1431" t="s">
        <v>1182</v>
      </c>
      <c r="B1431" t="s">
        <v>1183</v>
      </c>
      <c r="C1431">
        <v>12793</v>
      </c>
      <c r="D1431">
        <v>9334</v>
      </c>
      <c r="E1431">
        <v>0</v>
      </c>
      <c r="F1431">
        <v>2629</v>
      </c>
      <c r="G1431">
        <v>830</v>
      </c>
    </row>
    <row r="1432" spans="1:7" x14ac:dyDescent="0.35">
      <c r="A1432" t="s">
        <v>1225</v>
      </c>
      <c r="B1432" t="s">
        <v>1226</v>
      </c>
      <c r="C1432">
        <v>42142</v>
      </c>
      <c r="D1432">
        <v>35447</v>
      </c>
      <c r="E1432">
        <v>215</v>
      </c>
      <c r="F1432">
        <v>4644</v>
      </c>
      <c r="G1432">
        <v>1836</v>
      </c>
    </row>
    <row r="1433" spans="1:7" x14ac:dyDescent="0.35">
      <c r="A1433" t="s">
        <v>1267</v>
      </c>
      <c r="B1433" t="s">
        <v>1268</v>
      </c>
      <c r="C1433">
        <v>11183</v>
      </c>
      <c r="D1433">
        <v>9143</v>
      </c>
      <c r="E1433">
        <v>61</v>
      </c>
      <c r="F1433">
        <v>1113</v>
      </c>
      <c r="G1433">
        <v>866</v>
      </c>
    </row>
    <row r="1434" spans="1:7" x14ac:dyDescent="0.35">
      <c r="A1434" t="s">
        <v>1309</v>
      </c>
      <c r="B1434" t="s">
        <v>1310</v>
      </c>
      <c r="C1434">
        <v>16689</v>
      </c>
      <c r="D1434">
        <v>12831</v>
      </c>
      <c r="E1434">
        <v>0</v>
      </c>
      <c r="F1434">
        <v>2161</v>
      </c>
      <c r="G1434">
        <v>1697</v>
      </c>
    </row>
    <row r="1435" spans="1:7" x14ac:dyDescent="0.35">
      <c r="A1435" t="s">
        <v>1351</v>
      </c>
      <c r="B1435" t="s">
        <v>1352</v>
      </c>
      <c r="C1435">
        <v>23530</v>
      </c>
      <c r="D1435">
        <v>18927</v>
      </c>
      <c r="E1435">
        <v>6</v>
      </c>
      <c r="F1435">
        <v>3365</v>
      </c>
      <c r="G1435">
        <v>1232</v>
      </c>
    </row>
    <row r="1436" spans="1:7" x14ac:dyDescent="0.35">
      <c r="A1436" t="s">
        <v>1393</v>
      </c>
      <c r="B1436" t="s">
        <v>186</v>
      </c>
      <c r="C1436">
        <v>6107</v>
      </c>
      <c r="D1436">
        <v>4347</v>
      </c>
      <c r="E1436">
        <v>0</v>
      </c>
      <c r="F1436">
        <v>1194</v>
      </c>
      <c r="G1436">
        <v>566</v>
      </c>
    </row>
    <row r="1437" spans="1:7" x14ac:dyDescent="0.35">
      <c r="A1437" t="s">
        <v>1434</v>
      </c>
      <c r="B1437" t="s">
        <v>173</v>
      </c>
      <c r="C1437">
        <v>17034</v>
      </c>
      <c r="D1437">
        <v>14198</v>
      </c>
      <c r="E1437">
        <v>0</v>
      </c>
      <c r="F1437">
        <v>1587</v>
      </c>
      <c r="G1437">
        <v>1249</v>
      </c>
    </row>
    <row r="1438" spans="1:7" x14ac:dyDescent="0.35">
      <c r="A1438" t="s">
        <v>1475</v>
      </c>
      <c r="B1438" t="s">
        <v>1476</v>
      </c>
      <c r="C1438">
        <v>18292</v>
      </c>
      <c r="D1438">
        <v>13858</v>
      </c>
      <c r="E1438">
        <v>25</v>
      </c>
      <c r="F1438">
        <v>3006</v>
      </c>
      <c r="G1438">
        <v>1403</v>
      </c>
    </row>
    <row r="1439" spans="1:7" x14ac:dyDescent="0.35">
      <c r="A1439" t="s">
        <v>1518</v>
      </c>
      <c r="B1439" t="s">
        <v>1519</v>
      </c>
      <c r="C1439">
        <v>12495</v>
      </c>
      <c r="D1439">
        <v>11332</v>
      </c>
      <c r="E1439">
        <v>171</v>
      </c>
      <c r="F1439">
        <v>638</v>
      </c>
      <c r="G1439">
        <v>354</v>
      </c>
    </row>
    <row r="1440" spans="1:7" x14ac:dyDescent="0.35">
      <c r="A1440" t="s">
        <v>1560</v>
      </c>
      <c r="B1440" t="s">
        <v>156</v>
      </c>
      <c r="C1440">
        <v>10201</v>
      </c>
      <c r="D1440">
        <v>7629</v>
      </c>
      <c r="E1440">
        <v>0</v>
      </c>
      <c r="F1440">
        <v>2102</v>
      </c>
      <c r="G1440">
        <v>470</v>
      </c>
    </row>
    <row r="1441" spans="1:7" x14ac:dyDescent="0.35">
      <c r="A1441" t="s">
        <v>1601</v>
      </c>
      <c r="B1441" t="s">
        <v>184</v>
      </c>
      <c r="C1441">
        <v>12301</v>
      </c>
      <c r="D1441">
        <v>10363</v>
      </c>
      <c r="E1441">
        <v>0</v>
      </c>
      <c r="F1441">
        <v>1377</v>
      </c>
      <c r="G1441">
        <v>561</v>
      </c>
    </row>
    <row r="1442" spans="1:7" x14ac:dyDescent="0.35">
      <c r="A1442" t="s">
        <v>1642</v>
      </c>
      <c r="B1442" t="s">
        <v>1643</v>
      </c>
      <c r="C1442">
        <v>10564</v>
      </c>
      <c r="D1442">
        <v>7064</v>
      </c>
      <c r="E1442">
        <v>8</v>
      </c>
      <c r="F1442">
        <v>1650</v>
      </c>
      <c r="G1442">
        <v>1842</v>
      </c>
    </row>
    <row r="1443" spans="1:7" x14ac:dyDescent="0.35">
      <c r="A1443" t="s">
        <v>1685</v>
      </c>
      <c r="B1443" t="s">
        <v>1686</v>
      </c>
      <c r="C1443">
        <v>9069</v>
      </c>
      <c r="D1443">
        <v>7439</v>
      </c>
      <c r="E1443">
        <v>0</v>
      </c>
      <c r="F1443">
        <v>757</v>
      </c>
      <c r="G1443">
        <v>873</v>
      </c>
    </row>
    <row r="1444" spans="1:7" x14ac:dyDescent="0.35">
      <c r="A1444" t="s">
        <v>1719</v>
      </c>
      <c r="B1444" t="s">
        <v>203</v>
      </c>
      <c r="C1444">
        <v>10334</v>
      </c>
      <c r="D1444">
        <v>8181</v>
      </c>
      <c r="E1444">
        <v>0</v>
      </c>
      <c r="F1444">
        <v>1232</v>
      </c>
      <c r="G1444">
        <v>921</v>
      </c>
    </row>
    <row r="1445" spans="1:7" x14ac:dyDescent="0.35">
      <c r="A1445" t="s">
        <v>1760</v>
      </c>
      <c r="B1445" t="s">
        <v>1761</v>
      </c>
      <c r="C1445">
        <v>12512</v>
      </c>
      <c r="D1445">
        <v>10248</v>
      </c>
      <c r="E1445">
        <v>0</v>
      </c>
      <c r="F1445">
        <v>1170</v>
      </c>
      <c r="G1445">
        <v>1094</v>
      </c>
    </row>
    <row r="1446" spans="1:7" x14ac:dyDescent="0.35">
      <c r="A1446" t="s">
        <v>1802</v>
      </c>
      <c r="B1446" t="s">
        <v>1803</v>
      </c>
      <c r="C1446">
        <v>10816</v>
      </c>
      <c r="D1446">
        <v>9690</v>
      </c>
      <c r="E1446">
        <v>24</v>
      </c>
      <c r="F1446">
        <v>532</v>
      </c>
      <c r="G1446">
        <v>570</v>
      </c>
    </row>
    <row r="1447" spans="1:7" x14ac:dyDescent="0.35">
      <c r="A1447" t="s">
        <v>1844</v>
      </c>
      <c r="B1447" t="s">
        <v>215</v>
      </c>
      <c r="C1447">
        <v>8374</v>
      </c>
      <c r="D1447">
        <v>6785</v>
      </c>
      <c r="E1447">
        <v>41</v>
      </c>
      <c r="F1447">
        <v>1064</v>
      </c>
      <c r="G1447">
        <v>484</v>
      </c>
    </row>
    <row r="1448" spans="1:7" x14ac:dyDescent="0.35">
      <c r="A1448" t="s">
        <v>1885</v>
      </c>
      <c r="B1448" t="s">
        <v>218</v>
      </c>
      <c r="C1448">
        <v>7215</v>
      </c>
      <c r="D1448">
        <v>4899</v>
      </c>
      <c r="E1448">
        <v>46</v>
      </c>
      <c r="F1448">
        <v>676</v>
      </c>
      <c r="G1448">
        <v>1594</v>
      </c>
    </row>
    <row r="1449" spans="1:7" x14ac:dyDescent="0.35">
      <c r="A1449" t="s">
        <v>1926</v>
      </c>
      <c r="B1449" t="s">
        <v>1927</v>
      </c>
      <c r="C1449">
        <v>30149</v>
      </c>
      <c r="D1449">
        <v>20779</v>
      </c>
      <c r="E1449">
        <v>114</v>
      </c>
      <c r="F1449">
        <v>1248</v>
      </c>
      <c r="G1449">
        <v>8008</v>
      </c>
    </row>
    <row r="1450" spans="1:7" x14ac:dyDescent="0.35">
      <c r="A1450" t="s">
        <v>1968</v>
      </c>
      <c r="B1450" t="s">
        <v>1969</v>
      </c>
      <c r="C1450">
        <v>19710</v>
      </c>
      <c r="D1450">
        <v>15495</v>
      </c>
      <c r="E1450">
        <v>117</v>
      </c>
      <c r="F1450">
        <v>2748</v>
      </c>
      <c r="G1450">
        <v>1350</v>
      </c>
    </row>
    <row r="1451" spans="1:7" x14ac:dyDescent="0.35">
      <c r="A1451" t="s">
        <v>2010</v>
      </c>
      <c r="B1451" t="s">
        <v>2011</v>
      </c>
      <c r="C1451">
        <v>21434</v>
      </c>
      <c r="D1451">
        <v>17561</v>
      </c>
      <c r="E1451">
        <v>7</v>
      </c>
      <c r="F1451">
        <v>3114</v>
      </c>
      <c r="G1451">
        <v>752</v>
      </c>
    </row>
    <row r="1452" spans="1:7" x14ac:dyDescent="0.35">
      <c r="A1452" t="s">
        <v>2052</v>
      </c>
      <c r="B1452" t="s">
        <v>2053</v>
      </c>
      <c r="C1452">
        <v>24583</v>
      </c>
      <c r="D1452">
        <v>18350</v>
      </c>
      <c r="E1452">
        <v>84</v>
      </c>
      <c r="F1452">
        <v>5142</v>
      </c>
      <c r="G1452">
        <v>1007</v>
      </c>
    </row>
    <row r="1453" spans="1:7" x14ac:dyDescent="0.35">
      <c r="A1453" t="s">
        <v>2094</v>
      </c>
      <c r="B1453" t="s">
        <v>2095</v>
      </c>
      <c r="C1453">
        <v>7739</v>
      </c>
      <c r="D1453">
        <v>6255</v>
      </c>
      <c r="E1453">
        <v>0</v>
      </c>
      <c r="F1453">
        <v>1138</v>
      </c>
      <c r="G1453">
        <v>346</v>
      </c>
    </row>
    <row r="1454" spans="1:7" x14ac:dyDescent="0.35">
      <c r="A1454" t="s">
        <v>2136</v>
      </c>
      <c r="B1454" t="s">
        <v>2137</v>
      </c>
      <c r="C1454">
        <v>49711</v>
      </c>
      <c r="D1454">
        <v>45969</v>
      </c>
      <c r="E1454">
        <v>0</v>
      </c>
      <c r="F1454">
        <v>3216</v>
      </c>
      <c r="G1454">
        <v>526</v>
      </c>
    </row>
    <row r="1455" spans="1:7" x14ac:dyDescent="0.35">
      <c r="A1455" t="s">
        <v>2178</v>
      </c>
      <c r="B1455" t="s">
        <v>2179</v>
      </c>
      <c r="C1455">
        <v>25079</v>
      </c>
      <c r="D1455">
        <v>18742</v>
      </c>
      <c r="E1455">
        <v>0</v>
      </c>
      <c r="F1455">
        <v>3761</v>
      </c>
      <c r="G1455">
        <v>2576</v>
      </c>
    </row>
    <row r="1456" spans="1:7" ht="14.25" x14ac:dyDescent="0.45">
      <c r="A1456" t="s">
        <v>2220</v>
      </c>
      <c r="B1456" t="s">
        <v>2221</v>
      </c>
      <c r="C1456" s="400">
        <v>27502</v>
      </c>
      <c r="D1456" s="400">
        <v>21033</v>
      </c>
      <c r="E1456" s="400">
        <v>149</v>
      </c>
      <c r="F1456" s="400">
        <v>3683</v>
      </c>
      <c r="G1456" s="400">
        <v>2637</v>
      </c>
    </row>
    <row r="1457" spans="1:7" x14ac:dyDescent="0.35">
      <c r="A1457" t="s">
        <v>2262</v>
      </c>
      <c r="B1457" t="s">
        <v>2263</v>
      </c>
      <c r="C1457">
        <v>20135</v>
      </c>
      <c r="D1457">
        <v>16093</v>
      </c>
      <c r="E1457">
        <v>175</v>
      </c>
      <c r="F1457">
        <v>2658</v>
      </c>
      <c r="G1457">
        <v>1209</v>
      </c>
    </row>
    <row r="1458" spans="1:7" x14ac:dyDescent="0.35">
      <c r="A1458" t="s">
        <v>2304</v>
      </c>
      <c r="B1458" t="s">
        <v>2305</v>
      </c>
      <c r="C1458">
        <v>37003</v>
      </c>
      <c r="D1458">
        <v>30168</v>
      </c>
      <c r="E1458">
        <v>0</v>
      </c>
      <c r="F1458">
        <v>3431</v>
      </c>
      <c r="G1458">
        <v>3404</v>
      </c>
    </row>
    <row r="1459" spans="1:7" x14ac:dyDescent="0.35">
      <c r="A1459" t="s">
        <v>2346</v>
      </c>
      <c r="B1459" t="s">
        <v>2347</v>
      </c>
      <c r="C1459">
        <v>157</v>
      </c>
      <c r="D1459">
        <v>157</v>
      </c>
      <c r="E1459">
        <v>0</v>
      </c>
      <c r="F1459">
        <v>0</v>
      </c>
      <c r="G1459">
        <v>0</v>
      </c>
    </row>
    <row r="1460" spans="1:7" x14ac:dyDescent="0.35">
      <c r="A1460" t="s">
        <v>2380</v>
      </c>
      <c r="B1460" t="s">
        <v>213</v>
      </c>
      <c r="C1460">
        <v>34924</v>
      </c>
      <c r="D1460">
        <v>27888</v>
      </c>
      <c r="E1460">
        <v>0</v>
      </c>
      <c r="F1460">
        <v>4121</v>
      </c>
      <c r="G1460">
        <v>2915</v>
      </c>
    </row>
    <row r="1461" spans="1:7" x14ac:dyDescent="0.35">
      <c r="A1461" t="s">
        <v>2421</v>
      </c>
      <c r="B1461" t="s">
        <v>2422</v>
      </c>
      <c r="C1461">
        <v>14639</v>
      </c>
      <c r="D1461">
        <v>11392</v>
      </c>
      <c r="E1461">
        <v>66</v>
      </c>
      <c r="F1461">
        <v>1566</v>
      </c>
      <c r="G1461">
        <v>1615</v>
      </c>
    </row>
    <row r="1462" spans="1:7" x14ac:dyDescent="0.35">
      <c r="A1462" t="s">
        <v>2463</v>
      </c>
      <c r="B1462" t="s">
        <v>2464</v>
      </c>
      <c r="C1462">
        <v>21198</v>
      </c>
      <c r="D1462">
        <v>16200</v>
      </c>
      <c r="E1462">
        <v>56</v>
      </c>
      <c r="F1462">
        <v>1659</v>
      </c>
      <c r="G1462">
        <v>3283</v>
      </c>
    </row>
    <row r="1463" spans="1:7" x14ac:dyDescent="0.35">
      <c r="A1463" t="s">
        <v>2505</v>
      </c>
      <c r="B1463" t="s">
        <v>2506</v>
      </c>
      <c r="C1463">
        <v>27278</v>
      </c>
      <c r="D1463">
        <v>22602</v>
      </c>
      <c r="E1463">
        <v>0</v>
      </c>
      <c r="F1463">
        <v>3797</v>
      </c>
      <c r="G1463">
        <v>879</v>
      </c>
    </row>
    <row r="1464" spans="1:7" x14ac:dyDescent="0.35">
      <c r="A1464" t="s">
        <v>2547</v>
      </c>
      <c r="B1464" t="s">
        <v>2548</v>
      </c>
      <c r="C1464">
        <v>19369</v>
      </c>
      <c r="D1464">
        <v>14051</v>
      </c>
      <c r="E1464">
        <v>13</v>
      </c>
      <c r="F1464">
        <v>4252</v>
      </c>
      <c r="G1464">
        <v>1053</v>
      </c>
    </row>
    <row r="1465" spans="1:7" x14ac:dyDescent="0.35">
      <c r="A1465" t="s">
        <v>2589</v>
      </c>
      <c r="B1465" t="s">
        <v>2590</v>
      </c>
      <c r="C1465">
        <v>23974</v>
      </c>
      <c r="D1465">
        <v>17358</v>
      </c>
      <c r="E1465">
        <v>0</v>
      </c>
      <c r="F1465">
        <v>4675</v>
      </c>
      <c r="G1465">
        <v>1941</v>
      </c>
    </row>
    <row r="1466" spans="1:7" x14ac:dyDescent="0.35">
      <c r="A1466" t="s">
        <v>2631</v>
      </c>
      <c r="B1466" t="s">
        <v>2632</v>
      </c>
      <c r="C1466">
        <v>33291</v>
      </c>
      <c r="D1466">
        <v>26054</v>
      </c>
      <c r="E1466">
        <v>147</v>
      </c>
      <c r="F1466">
        <v>4074</v>
      </c>
      <c r="G1466">
        <v>3016</v>
      </c>
    </row>
    <row r="1467" spans="1:7" x14ac:dyDescent="0.35">
      <c r="A1467" t="s">
        <v>2673</v>
      </c>
      <c r="B1467" t="s">
        <v>2674</v>
      </c>
      <c r="C1467">
        <v>26870</v>
      </c>
      <c r="D1467">
        <v>21772</v>
      </c>
      <c r="E1467">
        <v>210</v>
      </c>
      <c r="F1467">
        <v>2629</v>
      </c>
      <c r="G1467">
        <v>2259</v>
      </c>
    </row>
    <row r="1468" spans="1:7" x14ac:dyDescent="0.35">
      <c r="A1468" t="s">
        <v>2715</v>
      </c>
      <c r="B1468" t="s">
        <v>207</v>
      </c>
      <c r="C1468">
        <v>29459</v>
      </c>
      <c r="D1468">
        <v>23579</v>
      </c>
      <c r="E1468">
        <v>0</v>
      </c>
      <c r="F1468">
        <v>2796</v>
      </c>
      <c r="G1468">
        <v>3084</v>
      </c>
    </row>
    <row r="1469" spans="1:7" x14ac:dyDescent="0.35">
      <c r="A1469" t="s">
        <v>2756</v>
      </c>
      <c r="B1469" t="s">
        <v>2757</v>
      </c>
      <c r="C1469">
        <v>23261</v>
      </c>
      <c r="D1469">
        <v>21159</v>
      </c>
      <c r="E1469">
        <v>0</v>
      </c>
      <c r="F1469">
        <v>1588</v>
      </c>
      <c r="G1469">
        <v>514</v>
      </c>
    </row>
    <row r="1470" spans="1:7" x14ac:dyDescent="0.35">
      <c r="A1470" t="s">
        <v>2798</v>
      </c>
      <c r="B1470" t="s">
        <v>211</v>
      </c>
      <c r="C1470">
        <v>11684</v>
      </c>
      <c r="D1470">
        <v>9469</v>
      </c>
      <c r="E1470">
        <v>0</v>
      </c>
      <c r="F1470">
        <v>1488</v>
      </c>
      <c r="G1470">
        <v>727</v>
      </c>
    </row>
    <row r="1471" spans="1:7" x14ac:dyDescent="0.35">
      <c r="A1471" t="s">
        <v>2839</v>
      </c>
      <c r="B1471" t="s">
        <v>2840</v>
      </c>
      <c r="C1471">
        <v>38957</v>
      </c>
      <c r="D1471">
        <v>31870</v>
      </c>
      <c r="E1471">
        <v>81</v>
      </c>
      <c r="F1471">
        <v>3636</v>
      </c>
      <c r="G1471">
        <v>3370</v>
      </c>
    </row>
    <row r="1472" spans="1:7" x14ac:dyDescent="0.35">
      <c r="A1472" t="s">
        <v>2881</v>
      </c>
      <c r="B1472" t="s">
        <v>2882</v>
      </c>
      <c r="C1472">
        <v>40462</v>
      </c>
      <c r="D1472">
        <v>30166</v>
      </c>
      <c r="E1472">
        <v>48</v>
      </c>
      <c r="F1472">
        <v>7103</v>
      </c>
      <c r="G1472">
        <v>3145</v>
      </c>
    </row>
    <row r="1473" spans="1:7" x14ac:dyDescent="0.35">
      <c r="A1473" t="s">
        <v>2923</v>
      </c>
      <c r="B1473" t="s">
        <v>2924</v>
      </c>
      <c r="C1473">
        <v>12851</v>
      </c>
      <c r="D1473">
        <v>10057</v>
      </c>
      <c r="E1473">
        <v>618</v>
      </c>
      <c r="F1473">
        <v>1443</v>
      </c>
      <c r="G1473">
        <v>733</v>
      </c>
    </row>
    <row r="1474" spans="1:7" x14ac:dyDescent="0.35">
      <c r="A1474" t="s">
        <v>2965</v>
      </c>
      <c r="B1474" t="s">
        <v>2966</v>
      </c>
      <c r="C1474">
        <v>6524</v>
      </c>
      <c r="D1474">
        <v>4667</v>
      </c>
      <c r="E1474">
        <v>5</v>
      </c>
      <c r="F1474">
        <v>1127</v>
      </c>
      <c r="G1474">
        <v>725</v>
      </c>
    </row>
    <row r="1475" spans="1:7" x14ac:dyDescent="0.35">
      <c r="A1475" t="s">
        <v>2999</v>
      </c>
      <c r="B1475" t="s">
        <v>3000</v>
      </c>
      <c r="C1475">
        <v>6319</v>
      </c>
      <c r="D1475">
        <v>4991</v>
      </c>
      <c r="E1475">
        <v>0</v>
      </c>
      <c r="F1475">
        <v>985</v>
      </c>
      <c r="G1475">
        <v>343</v>
      </c>
    </row>
    <row r="1476" spans="1:7" x14ac:dyDescent="0.35">
      <c r="A1476" t="s">
        <v>3041</v>
      </c>
      <c r="B1476" t="s">
        <v>3042</v>
      </c>
      <c r="C1476">
        <v>12732</v>
      </c>
      <c r="D1476">
        <v>9800</v>
      </c>
      <c r="E1476">
        <v>0</v>
      </c>
      <c r="F1476">
        <v>1491</v>
      </c>
      <c r="G1476">
        <v>1441</v>
      </c>
    </row>
    <row r="1477" spans="1:7" x14ac:dyDescent="0.35">
      <c r="A1477" t="s">
        <v>3083</v>
      </c>
      <c r="B1477" t="s">
        <v>3084</v>
      </c>
      <c r="C1477">
        <v>12022</v>
      </c>
      <c r="D1477">
        <v>8401</v>
      </c>
      <c r="E1477">
        <v>0</v>
      </c>
      <c r="F1477">
        <v>1628</v>
      </c>
      <c r="G1477">
        <v>1993</v>
      </c>
    </row>
    <row r="1478" spans="1:7" x14ac:dyDescent="0.35">
      <c r="A1478" t="s">
        <v>3125</v>
      </c>
      <c r="B1478" t="s">
        <v>3126</v>
      </c>
      <c r="C1478">
        <v>8084</v>
      </c>
      <c r="D1478">
        <v>5069</v>
      </c>
      <c r="E1478">
        <v>0</v>
      </c>
      <c r="F1478">
        <v>2606</v>
      </c>
      <c r="G1478">
        <v>409</v>
      </c>
    </row>
    <row r="1479" spans="1:7" x14ac:dyDescent="0.35">
      <c r="A1479" t="s">
        <v>3167</v>
      </c>
      <c r="B1479" t="s">
        <v>3168</v>
      </c>
      <c r="C1479">
        <v>5963</v>
      </c>
      <c r="D1479">
        <v>3306</v>
      </c>
      <c r="E1479">
        <v>0</v>
      </c>
      <c r="F1479">
        <v>2534</v>
      </c>
      <c r="G1479">
        <v>123</v>
      </c>
    </row>
    <row r="1480" spans="1:7" x14ac:dyDescent="0.35">
      <c r="A1480" t="s">
        <v>3209</v>
      </c>
      <c r="B1480" t="s">
        <v>3210</v>
      </c>
      <c r="C1480">
        <v>10613</v>
      </c>
      <c r="D1480">
        <v>9524</v>
      </c>
      <c r="E1480">
        <v>0</v>
      </c>
      <c r="F1480">
        <v>868</v>
      </c>
      <c r="G1480">
        <v>221</v>
      </c>
    </row>
    <row r="1481" spans="1:7" x14ac:dyDescent="0.35">
      <c r="A1481" t="s">
        <v>3251</v>
      </c>
      <c r="B1481" t="s">
        <v>3252</v>
      </c>
      <c r="C1481">
        <v>4575</v>
      </c>
      <c r="D1481">
        <v>3972</v>
      </c>
      <c r="E1481">
        <v>0</v>
      </c>
      <c r="F1481">
        <v>342</v>
      </c>
      <c r="G1481">
        <v>261</v>
      </c>
    </row>
    <row r="1482" spans="1:7" x14ac:dyDescent="0.35">
      <c r="A1482" t="s">
        <v>3293</v>
      </c>
      <c r="B1482" t="s">
        <v>3294</v>
      </c>
      <c r="C1482">
        <v>7018</v>
      </c>
      <c r="D1482">
        <v>4760</v>
      </c>
      <c r="E1482">
        <v>0</v>
      </c>
      <c r="F1482">
        <v>2029</v>
      </c>
      <c r="G1482">
        <v>229</v>
      </c>
    </row>
    <row r="1483" spans="1:7" x14ac:dyDescent="0.35">
      <c r="A1483" t="s">
        <v>3335</v>
      </c>
      <c r="B1483" t="s">
        <v>3336</v>
      </c>
      <c r="C1483">
        <v>5692</v>
      </c>
      <c r="D1483">
        <v>4742</v>
      </c>
      <c r="E1483">
        <v>1</v>
      </c>
      <c r="F1483">
        <v>660</v>
      </c>
      <c r="G1483">
        <v>289</v>
      </c>
    </row>
    <row r="1484" spans="1:7" x14ac:dyDescent="0.35">
      <c r="A1484" t="s">
        <v>3377</v>
      </c>
      <c r="B1484" t="s">
        <v>3378</v>
      </c>
      <c r="C1484">
        <v>9094</v>
      </c>
      <c r="D1484">
        <v>8516</v>
      </c>
      <c r="E1484">
        <v>1</v>
      </c>
      <c r="F1484">
        <v>201</v>
      </c>
      <c r="G1484">
        <v>376</v>
      </c>
    </row>
    <row r="1485" spans="1:7" x14ac:dyDescent="0.35">
      <c r="A1485" t="s">
        <v>3419</v>
      </c>
      <c r="B1485" t="s">
        <v>3420</v>
      </c>
      <c r="C1485">
        <v>6121</v>
      </c>
      <c r="D1485">
        <v>4366</v>
      </c>
      <c r="E1485">
        <v>0</v>
      </c>
      <c r="F1485">
        <v>1125</v>
      </c>
      <c r="G1485">
        <v>630</v>
      </c>
    </row>
    <row r="1486" spans="1:7" x14ac:dyDescent="0.35">
      <c r="A1486" t="s">
        <v>3461</v>
      </c>
      <c r="B1486" t="s">
        <v>3462</v>
      </c>
      <c r="C1486">
        <v>8433</v>
      </c>
      <c r="D1486">
        <v>5625</v>
      </c>
      <c r="E1486">
        <v>21</v>
      </c>
      <c r="F1486">
        <v>1674</v>
      </c>
      <c r="G1486">
        <v>1113</v>
      </c>
    </row>
    <row r="1487" spans="1:7" x14ac:dyDescent="0.35">
      <c r="A1487" t="s">
        <v>3503</v>
      </c>
      <c r="B1487" t="s">
        <v>3504</v>
      </c>
      <c r="C1487">
        <v>10238</v>
      </c>
      <c r="D1487">
        <v>8594</v>
      </c>
      <c r="E1487">
        <v>4</v>
      </c>
      <c r="F1487">
        <v>978</v>
      </c>
      <c r="G1487">
        <v>662</v>
      </c>
    </row>
    <row r="1488" spans="1:7" x14ac:dyDescent="0.35">
      <c r="A1488" t="s">
        <v>3545</v>
      </c>
      <c r="B1488" t="s">
        <v>3546</v>
      </c>
      <c r="C1488">
        <v>4854</v>
      </c>
      <c r="D1488">
        <v>4133</v>
      </c>
      <c r="E1488">
        <v>0</v>
      </c>
      <c r="F1488">
        <v>357</v>
      </c>
      <c r="G1488">
        <v>364</v>
      </c>
    </row>
    <row r="1489" spans="1:7" x14ac:dyDescent="0.35">
      <c r="A1489" t="s">
        <v>3587</v>
      </c>
      <c r="B1489" t="s">
        <v>3588</v>
      </c>
      <c r="C1489">
        <v>5568</v>
      </c>
      <c r="D1489">
        <v>4200</v>
      </c>
      <c r="E1489">
        <v>0</v>
      </c>
      <c r="F1489">
        <v>891</v>
      </c>
      <c r="G1489">
        <v>477</v>
      </c>
    </row>
    <row r="1490" spans="1:7" x14ac:dyDescent="0.35">
      <c r="A1490" t="s">
        <v>3629</v>
      </c>
      <c r="B1490" t="s">
        <v>3630</v>
      </c>
      <c r="C1490">
        <v>5975</v>
      </c>
      <c r="D1490">
        <v>4446</v>
      </c>
      <c r="E1490">
        <v>0</v>
      </c>
      <c r="F1490">
        <v>600</v>
      </c>
      <c r="G1490">
        <v>929</v>
      </c>
    </row>
    <row r="1491" spans="1:7" x14ac:dyDescent="0.35">
      <c r="A1491" t="s">
        <v>3671</v>
      </c>
      <c r="B1491" t="s">
        <v>177</v>
      </c>
      <c r="C1491">
        <v>7027</v>
      </c>
      <c r="D1491">
        <v>4553</v>
      </c>
      <c r="E1491">
        <v>0</v>
      </c>
      <c r="F1491">
        <v>1588</v>
      </c>
      <c r="G1491">
        <v>886</v>
      </c>
    </row>
    <row r="1492" spans="1:7" x14ac:dyDescent="0.35">
      <c r="A1492" t="s">
        <v>3712</v>
      </c>
      <c r="B1492" t="s">
        <v>187</v>
      </c>
      <c r="C1492">
        <v>3316</v>
      </c>
      <c r="D1492">
        <v>2625</v>
      </c>
      <c r="E1492">
        <v>0</v>
      </c>
      <c r="F1492">
        <v>399</v>
      </c>
      <c r="G1492">
        <v>292</v>
      </c>
    </row>
    <row r="1493" spans="1:7" x14ac:dyDescent="0.35">
      <c r="A1493" t="s">
        <v>3753</v>
      </c>
      <c r="B1493" t="s">
        <v>204</v>
      </c>
      <c r="C1493">
        <v>2917</v>
      </c>
      <c r="D1493">
        <v>2323</v>
      </c>
      <c r="E1493">
        <v>2</v>
      </c>
      <c r="F1493">
        <v>387</v>
      </c>
      <c r="G1493">
        <v>205</v>
      </c>
    </row>
    <row r="1494" spans="1:7" x14ac:dyDescent="0.35">
      <c r="A1494" t="s">
        <v>3794</v>
      </c>
      <c r="B1494" t="s">
        <v>3795</v>
      </c>
      <c r="C1494">
        <v>5984</v>
      </c>
      <c r="D1494">
        <v>4665</v>
      </c>
      <c r="E1494">
        <v>0</v>
      </c>
      <c r="F1494">
        <v>1138</v>
      </c>
      <c r="G1494">
        <v>181</v>
      </c>
    </row>
    <row r="1495" spans="1:7" x14ac:dyDescent="0.35">
      <c r="A1495" t="s">
        <v>3836</v>
      </c>
      <c r="B1495" t="s">
        <v>3837</v>
      </c>
      <c r="C1495">
        <v>6544</v>
      </c>
      <c r="D1495">
        <v>5263</v>
      </c>
      <c r="E1495">
        <v>12</v>
      </c>
      <c r="F1495">
        <v>976</v>
      </c>
      <c r="G1495">
        <v>293</v>
      </c>
    </row>
    <row r="1496" spans="1:7" x14ac:dyDescent="0.35">
      <c r="A1496" t="s">
        <v>3878</v>
      </c>
      <c r="B1496" t="s">
        <v>3879</v>
      </c>
      <c r="C1496">
        <v>5660</v>
      </c>
      <c r="D1496">
        <v>4134</v>
      </c>
      <c r="E1496">
        <v>0</v>
      </c>
      <c r="F1496">
        <v>969</v>
      </c>
      <c r="G1496">
        <v>557</v>
      </c>
    </row>
    <row r="1497" spans="1:7" x14ac:dyDescent="0.35">
      <c r="A1497" t="s">
        <v>3920</v>
      </c>
      <c r="B1497" t="s">
        <v>3921</v>
      </c>
      <c r="C1497">
        <v>5101</v>
      </c>
      <c r="D1497">
        <v>3829</v>
      </c>
      <c r="E1497">
        <v>0</v>
      </c>
      <c r="F1497">
        <v>822</v>
      </c>
      <c r="G1497">
        <v>450</v>
      </c>
    </row>
    <row r="1498" spans="1:7" x14ac:dyDescent="0.35">
      <c r="A1498" t="s">
        <v>3962</v>
      </c>
      <c r="B1498" t="s">
        <v>201</v>
      </c>
      <c r="C1498">
        <v>7398</v>
      </c>
      <c r="D1498">
        <v>5494</v>
      </c>
      <c r="E1498">
        <v>0</v>
      </c>
      <c r="F1498">
        <v>828</v>
      </c>
      <c r="G1498">
        <v>1076</v>
      </c>
    </row>
    <row r="1499" spans="1:7" x14ac:dyDescent="0.35">
      <c r="A1499" t="s">
        <v>4003</v>
      </c>
      <c r="B1499" t="s">
        <v>4004</v>
      </c>
      <c r="C1499">
        <v>17437</v>
      </c>
      <c r="D1499">
        <v>14249</v>
      </c>
      <c r="E1499">
        <v>0</v>
      </c>
      <c r="F1499">
        <v>2261</v>
      </c>
      <c r="G1499">
        <v>927</v>
      </c>
    </row>
    <row r="1500" spans="1:7" x14ac:dyDescent="0.35">
      <c r="A1500" t="s">
        <v>4045</v>
      </c>
      <c r="B1500" t="s">
        <v>4046</v>
      </c>
      <c r="C1500">
        <v>12695</v>
      </c>
      <c r="D1500">
        <v>10774</v>
      </c>
      <c r="E1500">
        <v>0</v>
      </c>
      <c r="F1500">
        <v>1053</v>
      </c>
      <c r="G1500">
        <v>868</v>
      </c>
    </row>
    <row r="1501" spans="1:7" x14ac:dyDescent="0.35">
      <c r="A1501" t="s">
        <v>4087</v>
      </c>
      <c r="B1501" t="s">
        <v>4088</v>
      </c>
      <c r="C1501">
        <v>3623</v>
      </c>
      <c r="D1501">
        <v>2718</v>
      </c>
      <c r="E1501">
        <v>8</v>
      </c>
      <c r="F1501">
        <v>656</v>
      </c>
      <c r="G1501">
        <v>241</v>
      </c>
    </row>
    <row r="1502" spans="1:7" x14ac:dyDescent="0.35">
      <c r="A1502" t="s">
        <v>4129</v>
      </c>
      <c r="B1502" t="s">
        <v>4130</v>
      </c>
      <c r="C1502">
        <v>2162</v>
      </c>
      <c r="D1502">
        <v>1641</v>
      </c>
      <c r="E1502">
        <v>0</v>
      </c>
      <c r="F1502">
        <v>432</v>
      </c>
      <c r="G1502">
        <v>89</v>
      </c>
    </row>
    <row r="1503" spans="1:7" x14ac:dyDescent="0.35">
      <c r="A1503" t="s">
        <v>4171</v>
      </c>
      <c r="B1503" t="s">
        <v>4172</v>
      </c>
      <c r="C1503">
        <v>12325</v>
      </c>
      <c r="D1503">
        <v>10268</v>
      </c>
      <c r="E1503">
        <v>250</v>
      </c>
      <c r="F1503">
        <v>630</v>
      </c>
      <c r="G1503">
        <v>1177</v>
      </c>
    </row>
    <row r="1504" spans="1:7" x14ac:dyDescent="0.35">
      <c r="A1504" t="s">
        <v>4213</v>
      </c>
      <c r="B1504" t="s">
        <v>4214</v>
      </c>
      <c r="C1504">
        <v>12051</v>
      </c>
      <c r="D1504">
        <v>10014</v>
      </c>
      <c r="E1504">
        <v>135</v>
      </c>
      <c r="F1504">
        <v>1484</v>
      </c>
      <c r="G1504">
        <v>418</v>
      </c>
    </row>
    <row r="1505" spans="1:7" x14ac:dyDescent="0.35">
      <c r="A1505" t="s">
        <v>4255</v>
      </c>
      <c r="B1505" t="s">
        <v>4256</v>
      </c>
      <c r="C1505">
        <v>8511</v>
      </c>
      <c r="D1505">
        <v>7163</v>
      </c>
      <c r="E1505">
        <v>0</v>
      </c>
      <c r="F1505">
        <v>945</v>
      </c>
      <c r="G1505">
        <v>403</v>
      </c>
    </row>
    <row r="1506" spans="1:7" x14ac:dyDescent="0.35">
      <c r="A1506" t="s">
        <v>4297</v>
      </c>
      <c r="B1506" t="s">
        <v>4298</v>
      </c>
      <c r="C1506">
        <v>12023</v>
      </c>
      <c r="D1506">
        <v>10241</v>
      </c>
      <c r="E1506">
        <v>239</v>
      </c>
      <c r="F1506">
        <v>890</v>
      </c>
      <c r="G1506">
        <v>653</v>
      </c>
    </row>
    <row r="1507" spans="1:7" x14ac:dyDescent="0.35">
      <c r="A1507" t="s">
        <v>4339</v>
      </c>
      <c r="B1507" t="s">
        <v>4340</v>
      </c>
      <c r="C1507">
        <v>3829</v>
      </c>
      <c r="D1507">
        <v>2707</v>
      </c>
      <c r="E1507">
        <v>0</v>
      </c>
      <c r="F1507">
        <v>828</v>
      </c>
      <c r="G1507">
        <v>294</v>
      </c>
    </row>
    <row r="1508" spans="1:7" x14ac:dyDescent="0.35">
      <c r="A1508" t="s">
        <v>4381</v>
      </c>
      <c r="B1508" t="s">
        <v>4382</v>
      </c>
      <c r="C1508">
        <v>3951</v>
      </c>
      <c r="D1508">
        <v>2766</v>
      </c>
      <c r="E1508">
        <v>0</v>
      </c>
      <c r="F1508">
        <v>725</v>
      </c>
      <c r="G1508">
        <v>460</v>
      </c>
    </row>
    <row r="1509" spans="1:7" x14ac:dyDescent="0.35">
      <c r="A1509" t="s">
        <v>4415</v>
      </c>
      <c r="B1509" t="s">
        <v>179</v>
      </c>
      <c r="C1509">
        <v>6702</v>
      </c>
      <c r="D1509">
        <v>5493</v>
      </c>
      <c r="E1509">
        <v>0</v>
      </c>
      <c r="F1509">
        <v>807</v>
      </c>
      <c r="G1509">
        <v>402</v>
      </c>
    </row>
    <row r="1510" spans="1:7" x14ac:dyDescent="0.35">
      <c r="A1510" t="s">
        <v>4456</v>
      </c>
      <c r="B1510" t="s">
        <v>191</v>
      </c>
      <c r="C1510">
        <v>6023</v>
      </c>
      <c r="D1510">
        <v>4587</v>
      </c>
      <c r="E1510">
        <v>0</v>
      </c>
      <c r="F1510">
        <v>682</v>
      </c>
      <c r="G1510">
        <v>754</v>
      </c>
    </row>
    <row r="1511" spans="1:7" x14ac:dyDescent="0.35">
      <c r="A1511" t="s">
        <v>4497</v>
      </c>
      <c r="B1511" t="s">
        <v>4498</v>
      </c>
      <c r="C1511">
        <v>7409</v>
      </c>
      <c r="D1511">
        <v>5757</v>
      </c>
      <c r="E1511">
        <v>0</v>
      </c>
      <c r="F1511">
        <v>1135</v>
      </c>
      <c r="G1511">
        <v>517</v>
      </c>
    </row>
    <row r="1512" spans="1:7" x14ac:dyDescent="0.35">
      <c r="A1512" t="s">
        <v>4539</v>
      </c>
      <c r="B1512" t="s">
        <v>4540</v>
      </c>
      <c r="C1512">
        <v>7087</v>
      </c>
      <c r="D1512">
        <v>5712</v>
      </c>
      <c r="E1512">
        <v>0</v>
      </c>
      <c r="F1512">
        <v>555</v>
      </c>
      <c r="G1512">
        <v>820</v>
      </c>
    </row>
    <row r="1513" spans="1:7" x14ac:dyDescent="0.35">
      <c r="A1513" t="s">
        <v>4573</v>
      </c>
      <c r="B1513" t="s">
        <v>4574</v>
      </c>
      <c r="C1513">
        <v>5804</v>
      </c>
      <c r="D1513">
        <v>4567</v>
      </c>
      <c r="E1513">
        <v>0</v>
      </c>
      <c r="F1513">
        <v>855</v>
      </c>
      <c r="G1513">
        <v>382</v>
      </c>
    </row>
    <row r="1514" spans="1:7" x14ac:dyDescent="0.35">
      <c r="A1514" t="s">
        <v>4615</v>
      </c>
      <c r="B1514" t="s">
        <v>4616</v>
      </c>
      <c r="C1514">
        <v>9552</v>
      </c>
      <c r="D1514">
        <v>7273</v>
      </c>
      <c r="E1514">
        <v>0</v>
      </c>
      <c r="F1514">
        <v>1452</v>
      </c>
      <c r="G1514">
        <v>827</v>
      </c>
    </row>
    <row r="1515" spans="1:7" x14ac:dyDescent="0.35">
      <c r="A1515" t="s">
        <v>4657</v>
      </c>
      <c r="B1515" t="s">
        <v>168</v>
      </c>
      <c r="C1515">
        <v>7999</v>
      </c>
      <c r="D1515">
        <v>6004</v>
      </c>
      <c r="E1515">
        <v>4</v>
      </c>
      <c r="F1515">
        <v>988</v>
      </c>
      <c r="G1515">
        <v>1003</v>
      </c>
    </row>
    <row r="1516" spans="1:7" x14ac:dyDescent="0.35">
      <c r="A1516" t="s">
        <v>4698</v>
      </c>
      <c r="B1516" t="s">
        <v>181</v>
      </c>
      <c r="C1516">
        <v>7593</v>
      </c>
      <c r="D1516">
        <v>5506</v>
      </c>
      <c r="E1516">
        <v>0</v>
      </c>
      <c r="F1516">
        <v>665</v>
      </c>
      <c r="G1516">
        <v>1422</v>
      </c>
    </row>
    <row r="1517" spans="1:7" x14ac:dyDescent="0.35">
      <c r="A1517" t="s">
        <v>4739</v>
      </c>
      <c r="B1517" t="s">
        <v>4740</v>
      </c>
      <c r="C1517">
        <v>17034</v>
      </c>
      <c r="D1517">
        <v>13670</v>
      </c>
      <c r="E1517">
        <v>312</v>
      </c>
      <c r="F1517">
        <v>1274</v>
      </c>
      <c r="G1517">
        <v>1778</v>
      </c>
    </row>
    <row r="1518" spans="1:7" x14ac:dyDescent="0.35">
      <c r="A1518" t="s">
        <v>4781</v>
      </c>
      <c r="B1518" t="s">
        <v>4782</v>
      </c>
      <c r="C1518">
        <v>7808</v>
      </c>
      <c r="D1518">
        <v>6061</v>
      </c>
      <c r="E1518">
        <v>0</v>
      </c>
      <c r="F1518">
        <v>902</v>
      </c>
      <c r="G1518">
        <v>845</v>
      </c>
    </row>
    <row r="1519" spans="1:7" x14ac:dyDescent="0.35">
      <c r="A1519" t="s">
        <v>4823</v>
      </c>
      <c r="B1519" t="s">
        <v>4824</v>
      </c>
      <c r="C1519">
        <v>9490</v>
      </c>
      <c r="D1519">
        <v>7185</v>
      </c>
      <c r="E1519">
        <v>0</v>
      </c>
      <c r="F1519">
        <v>870</v>
      </c>
      <c r="G1519">
        <v>1435</v>
      </c>
    </row>
    <row r="1520" spans="1:7" x14ac:dyDescent="0.35">
      <c r="A1520" t="s">
        <v>4865</v>
      </c>
      <c r="B1520" t="s">
        <v>4866</v>
      </c>
      <c r="C1520">
        <v>4598</v>
      </c>
      <c r="D1520">
        <v>3270</v>
      </c>
      <c r="E1520">
        <v>14</v>
      </c>
      <c r="F1520">
        <v>891</v>
      </c>
      <c r="G1520">
        <v>423</v>
      </c>
    </row>
    <row r="1521" spans="1:7" x14ac:dyDescent="0.35">
      <c r="A1521" t="s">
        <v>4907</v>
      </c>
      <c r="B1521" t="s">
        <v>4908</v>
      </c>
      <c r="C1521">
        <v>6489</v>
      </c>
      <c r="D1521">
        <v>5061</v>
      </c>
      <c r="E1521">
        <v>0</v>
      </c>
      <c r="F1521">
        <v>998</v>
      </c>
      <c r="G1521">
        <v>430</v>
      </c>
    </row>
    <row r="1522" spans="1:7" x14ac:dyDescent="0.35">
      <c r="A1522" t="s">
        <v>4949</v>
      </c>
      <c r="B1522" t="s">
        <v>4950</v>
      </c>
      <c r="C1522">
        <v>4656</v>
      </c>
      <c r="D1522">
        <v>3427</v>
      </c>
      <c r="E1522">
        <v>0</v>
      </c>
      <c r="F1522">
        <v>356</v>
      </c>
      <c r="G1522">
        <v>873</v>
      </c>
    </row>
    <row r="1523" spans="1:7" x14ac:dyDescent="0.35">
      <c r="A1523" t="s">
        <v>4983</v>
      </c>
      <c r="B1523" t="s">
        <v>4984</v>
      </c>
      <c r="C1523">
        <v>6538</v>
      </c>
      <c r="D1523">
        <v>4632</v>
      </c>
      <c r="E1523">
        <v>0</v>
      </c>
      <c r="F1523">
        <v>1324</v>
      </c>
      <c r="G1523">
        <v>582</v>
      </c>
    </row>
    <row r="1524" spans="1:7" x14ac:dyDescent="0.35">
      <c r="A1524" t="s">
        <v>5025</v>
      </c>
      <c r="B1524" t="s">
        <v>5026</v>
      </c>
      <c r="C1524">
        <v>9152</v>
      </c>
      <c r="D1524">
        <v>8010</v>
      </c>
      <c r="E1524">
        <v>78</v>
      </c>
      <c r="F1524">
        <v>614</v>
      </c>
      <c r="G1524">
        <v>450</v>
      </c>
    </row>
    <row r="1525" spans="1:7" x14ac:dyDescent="0.35">
      <c r="A1525" t="s">
        <v>5067</v>
      </c>
      <c r="B1525" t="s">
        <v>5068</v>
      </c>
      <c r="C1525">
        <v>7755</v>
      </c>
      <c r="D1525">
        <v>6014</v>
      </c>
      <c r="E1525">
        <v>5</v>
      </c>
      <c r="F1525">
        <v>877</v>
      </c>
      <c r="G1525">
        <v>859</v>
      </c>
    </row>
    <row r="1526" spans="1:7" x14ac:dyDescent="0.35">
      <c r="A1526" t="s">
        <v>5109</v>
      </c>
      <c r="B1526" t="s">
        <v>180</v>
      </c>
      <c r="C1526">
        <v>9781</v>
      </c>
      <c r="D1526">
        <v>7862</v>
      </c>
      <c r="E1526">
        <v>0</v>
      </c>
      <c r="F1526">
        <v>751</v>
      </c>
      <c r="G1526">
        <v>1168</v>
      </c>
    </row>
    <row r="1527" spans="1:7" x14ac:dyDescent="0.35">
      <c r="A1527" t="s">
        <v>5150</v>
      </c>
      <c r="B1527" t="s">
        <v>214</v>
      </c>
      <c r="C1527">
        <v>9807</v>
      </c>
      <c r="D1527">
        <v>7599</v>
      </c>
      <c r="E1527">
        <v>0</v>
      </c>
      <c r="F1527">
        <v>858</v>
      </c>
      <c r="G1527">
        <v>1350</v>
      </c>
    </row>
    <row r="1528" spans="1:7" x14ac:dyDescent="0.35">
      <c r="A1528" t="s">
        <v>5191</v>
      </c>
      <c r="B1528" t="s">
        <v>5192</v>
      </c>
      <c r="C1528">
        <v>6154</v>
      </c>
      <c r="D1528">
        <v>5121</v>
      </c>
      <c r="E1528">
        <v>0</v>
      </c>
      <c r="F1528">
        <v>491</v>
      </c>
      <c r="G1528">
        <v>542</v>
      </c>
    </row>
    <row r="1529" spans="1:7" x14ac:dyDescent="0.35">
      <c r="A1529" t="s">
        <v>5225</v>
      </c>
      <c r="B1529" t="s">
        <v>5226</v>
      </c>
      <c r="C1529">
        <v>14766</v>
      </c>
      <c r="D1529">
        <v>11824</v>
      </c>
      <c r="E1529">
        <v>0</v>
      </c>
      <c r="F1529">
        <v>2449</v>
      </c>
      <c r="G1529">
        <v>493</v>
      </c>
    </row>
    <row r="1530" spans="1:7" x14ac:dyDescent="0.35">
      <c r="A1530" t="s">
        <v>5267</v>
      </c>
      <c r="B1530" t="s">
        <v>5268</v>
      </c>
      <c r="C1530">
        <v>8043</v>
      </c>
      <c r="D1530">
        <v>6513</v>
      </c>
      <c r="E1530">
        <v>0</v>
      </c>
      <c r="F1530">
        <v>985</v>
      </c>
      <c r="G1530">
        <v>545</v>
      </c>
    </row>
    <row r="1531" spans="1:7" x14ac:dyDescent="0.35">
      <c r="A1531" t="s">
        <v>5309</v>
      </c>
      <c r="B1531" t="s">
        <v>5310</v>
      </c>
      <c r="C1531">
        <v>11638</v>
      </c>
      <c r="D1531">
        <v>9657</v>
      </c>
      <c r="E1531">
        <v>0</v>
      </c>
      <c r="F1531">
        <v>1292</v>
      </c>
      <c r="G1531">
        <v>689</v>
      </c>
    </row>
    <row r="1532" spans="1:7" x14ac:dyDescent="0.35">
      <c r="A1532" t="s">
        <v>5343</v>
      </c>
      <c r="B1532" t="s">
        <v>183</v>
      </c>
      <c r="C1532">
        <v>5949</v>
      </c>
      <c r="D1532">
        <v>4591</v>
      </c>
      <c r="E1532">
        <v>22</v>
      </c>
      <c r="F1532">
        <v>915</v>
      </c>
      <c r="G1532">
        <v>421</v>
      </c>
    </row>
    <row r="1533" spans="1:7" x14ac:dyDescent="0.35">
      <c r="A1533" t="s">
        <v>5384</v>
      </c>
      <c r="B1533" t="s">
        <v>199</v>
      </c>
      <c r="C1533">
        <v>7960</v>
      </c>
      <c r="D1533">
        <v>6117</v>
      </c>
      <c r="E1533">
        <v>161</v>
      </c>
      <c r="F1533">
        <v>1038</v>
      </c>
      <c r="G1533">
        <v>644</v>
      </c>
    </row>
    <row r="1534" spans="1:7" x14ac:dyDescent="0.35">
      <c r="A1534" t="s">
        <v>5425</v>
      </c>
      <c r="B1534" t="s">
        <v>5426</v>
      </c>
      <c r="C1534">
        <v>8227</v>
      </c>
      <c r="D1534">
        <v>6568</v>
      </c>
      <c r="E1534">
        <v>0</v>
      </c>
      <c r="F1534">
        <v>583</v>
      </c>
      <c r="G1534">
        <v>1076</v>
      </c>
    </row>
    <row r="1535" spans="1:7" x14ac:dyDescent="0.35">
      <c r="A1535" t="s">
        <v>5467</v>
      </c>
      <c r="B1535" t="s">
        <v>5468</v>
      </c>
      <c r="C1535">
        <v>9105</v>
      </c>
      <c r="D1535">
        <v>6972</v>
      </c>
      <c r="E1535">
        <v>22</v>
      </c>
      <c r="F1535">
        <v>1150</v>
      </c>
      <c r="G1535">
        <v>961</v>
      </c>
    </row>
    <row r="1536" spans="1:7" x14ac:dyDescent="0.35">
      <c r="A1536" t="s">
        <v>5509</v>
      </c>
      <c r="B1536" t="s">
        <v>5510</v>
      </c>
      <c r="C1536">
        <v>7914</v>
      </c>
      <c r="D1536">
        <v>5720</v>
      </c>
      <c r="E1536">
        <v>17</v>
      </c>
      <c r="F1536">
        <v>677</v>
      </c>
      <c r="G1536">
        <v>1500</v>
      </c>
    </row>
    <row r="1537" spans="1:7" x14ac:dyDescent="0.35">
      <c r="A1537" t="s">
        <v>5551</v>
      </c>
      <c r="B1537" t="s">
        <v>5552</v>
      </c>
      <c r="C1537">
        <v>7842</v>
      </c>
      <c r="D1537">
        <v>6674</v>
      </c>
      <c r="E1537">
        <v>0</v>
      </c>
      <c r="F1537">
        <v>723</v>
      </c>
      <c r="G1537">
        <v>445</v>
      </c>
    </row>
    <row r="1538" spans="1:7" x14ac:dyDescent="0.35">
      <c r="A1538" t="s">
        <v>5593</v>
      </c>
      <c r="B1538" t="s">
        <v>5594</v>
      </c>
      <c r="C1538">
        <v>8086</v>
      </c>
      <c r="D1538">
        <v>7128</v>
      </c>
      <c r="E1538">
        <v>0</v>
      </c>
      <c r="F1538">
        <v>203</v>
      </c>
      <c r="G1538">
        <v>755</v>
      </c>
    </row>
    <row r="1539" spans="1:7" x14ac:dyDescent="0.35">
      <c r="A1539" t="s">
        <v>5635</v>
      </c>
      <c r="B1539" t="s">
        <v>5636</v>
      </c>
      <c r="C1539">
        <v>11732</v>
      </c>
      <c r="D1539">
        <v>9369</v>
      </c>
      <c r="E1539">
        <v>0</v>
      </c>
      <c r="F1539">
        <v>813</v>
      </c>
      <c r="G1539">
        <v>1550</v>
      </c>
    </row>
    <row r="1540" spans="1:7" x14ac:dyDescent="0.35">
      <c r="A1540" t="s">
        <v>5677</v>
      </c>
      <c r="B1540" t="s">
        <v>5678</v>
      </c>
      <c r="C1540">
        <v>7546</v>
      </c>
      <c r="D1540">
        <v>5890</v>
      </c>
      <c r="E1540">
        <v>0</v>
      </c>
      <c r="F1540">
        <v>789</v>
      </c>
      <c r="G1540">
        <v>867</v>
      </c>
    </row>
    <row r="1541" spans="1:7" x14ac:dyDescent="0.35">
      <c r="A1541" t="s">
        <v>5719</v>
      </c>
      <c r="B1541" t="s">
        <v>5720</v>
      </c>
      <c r="C1541">
        <v>5743</v>
      </c>
      <c r="D1541">
        <v>4340</v>
      </c>
      <c r="E1541">
        <v>0</v>
      </c>
      <c r="F1541">
        <v>1035</v>
      </c>
      <c r="G1541">
        <v>368</v>
      </c>
    </row>
    <row r="1542" spans="1:7" x14ac:dyDescent="0.35">
      <c r="A1542" t="s">
        <v>5761</v>
      </c>
      <c r="B1542" t="s">
        <v>172</v>
      </c>
      <c r="C1542">
        <v>10140</v>
      </c>
      <c r="D1542">
        <v>8284</v>
      </c>
      <c r="E1542">
        <v>0</v>
      </c>
      <c r="F1542">
        <v>664</v>
      </c>
      <c r="G1542">
        <v>1192</v>
      </c>
    </row>
    <row r="1543" spans="1:7" x14ac:dyDescent="0.35">
      <c r="A1543" t="s">
        <v>5794</v>
      </c>
      <c r="B1543" t="s">
        <v>182</v>
      </c>
      <c r="C1543">
        <v>8538</v>
      </c>
      <c r="D1543">
        <v>7077</v>
      </c>
      <c r="E1543">
        <v>0</v>
      </c>
      <c r="F1543">
        <v>804</v>
      </c>
      <c r="G1543">
        <v>657</v>
      </c>
    </row>
    <row r="1544" spans="1:7" x14ac:dyDescent="0.35">
      <c r="A1544" t="s">
        <v>5835</v>
      </c>
      <c r="B1544" t="s">
        <v>185</v>
      </c>
      <c r="C1544">
        <v>9891</v>
      </c>
      <c r="D1544">
        <v>7937</v>
      </c>
      <c r="E1544">
        <v>1</v>
      </c>
      <c r="F1544">
        <v>731</v>
      </c>
      <c r="G1544">
        <v>1222</v>
      </c>
    </row>
    <row r="1545" spans="1:7" x14ac:dyDescent="0.35">
      <c r="A1545" t="s">
        <v>5876</v>
      </c>
      <c r="B1545" t="s">
        <v>190</v>
      </c>
      <c r="C1545">
        <v>8230</v>
      </c>
      <c r="D1545">
        <v>6545</v>
      </c>
      <c r="E1545">
        <v>0</v>
      </c>
      <c r="F1545">
        <v>964</v>
      </c>
      <c r="G1545">
        <v>721</v>
      </c>
    </row>
    <row r="1546" spans="1:7" x14ac:dyDescent="0.35">
      <c r="A1546" t="s">
        <v>5917</v>
      </c>
      <c r="B1546" t="s">
        <v>5918</v>
      </c>
      <c r="C1546">
        <v>6654</v>
      </c>
      <c r="D1546">
        <v>4739</v>
      </c>
      <c r="E1546">
        <v>4</v>
      </c>
      <c r="F1546">
        <v>1832</v>
      </c>
      <c r="G1546">
        <v>79</v>
      </c>
    </row>
    <row r="1547" spans="1:7" x14ac:dyDescent="0.35">
      <c r="A1547" t="s">
        <v>5959</v>
      </c>
      <c r="B1547" t="s">
        <v>5960</v>
      </c>
      <c r="C1547">
        <v>7580</v>
      </c>
      <c r="D1547">
        <v>6136</v>
      </c>
      <c r="E1547">
        <v>9</v>
      </c>
      <c r="F1547">
        <v>1049</v>
      </c>
      <c r="G1547">
        <v>386</v>
      </c>
    </row>
    <row r="1548" spans="1:7" x14ac:dyDescent="0.35">
      <c r="A1548" t="s">
        <v>6001</v>
      </c>
      <c r="B1548" t="s">
        <v>6002</v>
      </c>
      <c r="C1548">
        <v>3689</v>
      </c>
      <c r="D1548">
        <v>2724</v>
      </c>
      <c r="E1548">
        <v>0</v>
      </c>
      <c r="F1548">
        <v>622</v>
      </c>
      <c r="G1548">
        <v>343</v>
      </c>
    </row>
    <row r="1549" spans="1:7" x14ac:dyDescent="0.35">
      <c r="A1549" t="s">
        <v>6035</v>
      </c>
      <c r="B1549" t="s">
        <v>6036</v>
      </c>
      <c r="C1549">
        <v>5223</v>
      </c>
      <c r="D1549">
        <v>3249</v>
      </c>
      <c r="E1549">
        <v>0</v>
      </c>
      <c r="F1549">
        <v>1862</v>
      </c>
      <c r="G1549">
        <v>112</v>
      </c>
    </row>
    <row r="1550" spans="1:7" x14ac:dyDescent="0.35">
      <c r="A1550" t="s">
        <v>6077</v>
      </c>
      <c r="B1550" t="s">
        <v>6078</v>
      </c>
      <c r="C1550">
        <v>7106</v>
      </c>
      <c r="D1550">
        <v>5135</v>
      </c>
      <c r="E1550">
        <v>1</v>
      </c>
      <c r="F1550">
        <v>1533</v>
      </c>
      <c r="G1550">
        <v>437</v>
      </c>
    </row>
    <row r="1551" spans="1:7" x14ac:dyDescent="0.35">
      <c r="A1551" t="s">
        <v>6119</v>
      </c>
      <c r="B1551" t="s">
        <v>6120</v>
      </c>
      <c r="C1551">
        <v>4890</v>
      </c>
      <c r="D1551">
        <v>4358</v>
      </c>
      <c r="E1551">
        <v>0</v>
      </c>
      <c r="F1551">
        <v>490</v>
      </c>
      <c r="G1551">
        <v>42</v>
      </c>
    </row>
    <row r="1552" spans="1:7" x14ac:dyDescent="0.35">
      <c r="A1552" t="s">
        <v>6161</v>
      </c>
      <c r="B1552" t="s">
        <v>6162</v>
      </c>
      <c r="C1552">
        <v>13625</v>
      </c>
      <c r="D1552">
        <v>10836</v>
      </c>
      <c r="E1552">
        <v>0</v>
      </c>
      <c r="F1552">
        <v>1843</v>
      </c>
      <c r="G1552">
        <v>946</v>
      </c>
    </row>
    <row r="1553" spans="1:7" x14ac:dyDescent="0.35">
      <c r="A1553" t="s">
        <v>6203</v>
      </c>
      <c r="B1553" t="s">
        <v>6204</v>
      </c>
      <c r="C1553">
        <v>2990</v>
      </c>
      <c r="D1553">
        <v>1541</v>
      </c>
      <c r="E1553">
        <v>0</v>
      </c>
      <c r="F1553">
        <v>838</v>
      </c>
      <c r="G1553">
        <v>611</v>
      </c>
    </row>
    <row r="1554" spans="1:7" x14ac:dyDescent="0.35">
      <c r="A1554" t="s">
        <v>6245</v>
      </c>
      <c r="B1554" t="s">
        <v>6246</v>
      </c>
      <c r="C1554">
        <v>4796</v>
      </c>
      <c r="D1554">
        <v>4286</v>
      </c>
      <c r="E1554">
        <v>0</v>
      </c>
      <c r="F1554">
        <v>470</v>
      </c>
      <c r="G1554">
        <v>40</v>
      </c>
    </row>
    <row r="1555" spans="1:7" x14ac:dyDescent="0.35">
      <c r="A1555" t="s">
        <v>6287</v>
      </c>
      <c r="B1555" t="s">
        <v>6288</v>
      </c>
      <c r="C1555">
        <v>6096</v>
      </c>
      <c r="D1555">
        <v>4293</v>
      </c>
      <c r="E1555">
        <v>0</v>
      </c>
      <c r="F1555">
        <v>1286</v>
      </c>
      <c r="G1555">
        <v>517</v>
      </c>
    </row>
    <row r="1556" spans="1:7" x14ac:dyDescent="0.35">
      <c r="A1556" t="s">
        <v>6329</v>
      </c>
      <c r="B1556" t="s">
        <v>205</v>
      </c>
      <c r="C1556">
        <v>8060</v>
      </c>
      <c r="D1556">
        <v>5788</v>
      </c>
      <c r="E1556">
        <v>0</v>
      </c>
      <c r="F1556">
        <v>1660</v>
      </c>
      <c r="G1556">
        <v>612</v>
      </c>
    </row>
    <row r="1557" spans="1:7" x14ac:dyDescent="0.35">
      <c r="A1557" t="s">
        <v>6370</v>
      </c>
      <c r="B1557" t="s">
        <v>223</v>
      </c>
      <c r="C1557">
        <v>5056</v>
      </c>
      <c r="D1557">
        <v>3869</v>
      </c>
      <c r="E1557">
        <v>0</v>
      </c>
      <c r="F1557">
        <v>730</v>
      </c>
      <c r="G1557">
        <v>457</v>
      </c>
    </row>
    <row r="1558" spans="1:7" x14ac:dyDescent="0.35">
      <c r="A1558" t="s">
        <v>6411</v>
      </c>
      <c r="B1558" t="s">
        <v>6412</v>
      </c>
      <c r="C1558">
        <v>4430</v>
      </c>
      <c r="D1558">
        <v>2439</v>
      </c>
      <c r="E1558">
        <v>0</v>
      </c>
      <c r="F1558">
        <v>1514</v>
      </c>
      <c r="G1558">
        <v>477</v>
      </c>
    </row>
    <row r="1559" spans="1:7" x14ac:dyDescent="0.35">
      <c r="A1559" t="s">
        <v>6453</v>
      </c>
      <c r="B1559" t="s">
        <v>6454</v>
      </c>
      <c r="C1559">
        <v>10587</v>
      </c>
      <c r="D1559">
        <v>8648</v>
      </c>
      <c r="E1559">
        <v>5</v>
      </c>
      <c r="F1559">
        <v>1140</v>
      </c>
      <c r="G1559">
        <v>794</v>
      </c>
    </row>
    <row r="1560" spans="1:7" x14ac:dyDescent="0.35">
      <c r="A1560" t="s">
        <v>6495</v>
      </c>
      <c r="B1560" t="s">
        <v>6496</v>
      </c>
      <c r="C1560">
        <v>4998</v>
      </c>
      <c r="D1560">
        <v>3553</v>
      </c>
      <c r="E1560">
        <v>0</v>
      </c>
      <c r="F1560">
        <v>389</v>
      </c>
      <c r="G1560">
        <v>1056</v>
      </c>
    </row>
    <row r="1561" spans="1:7" x14ac:dyDescent="0.35">
      <c r="A1561" t="s">
        <v>6537</v>
      </c>
      <c r="B1561" t="s">
        <v>6538</v>
      </c>
      <c r="C1561">
        <v>6418</v>
      </c>
      <c r="D1561">
        <v>5083</v>
      </c>
      <c r="E1561">
        <v>1</v>
      </c>
      <c r="F1561">
        <v>695</v>
      </c>
      <c r="G1561">
        <v>639</v>
      </c>
    </row>
    <row r="1562" spans="1:7" x14ac:dyDescent="0.35">
      <c r="A1562" t="s">
        <v>6579</v>
      </c>
      <c r="B1562" t="s">
        <v>6580</v>
      </c>
      <c r="C1562">
        <v>3065</v>
      </c>
      <c r="D1562">
        <v>2356</v>
      </c>
      <c r="E1562">
        <v>0</v>
      </c>
      <c r="F1562">
        <v>379</v>
      </c>
      <c r="G1562">
        <v>330</v>
      </c>
    </row>
    <row r="1563" spans="1:7" x14ac:dyDescent="0.35">
      <c r="A1563" t="s">
        <v>6621</v>
      </c>
      <c r="B1563" t="s">
        <v>6622</v>
      </c>
      <c r="C1563">
        <v>7265</v>
      </c>
      <c r="D1563">
        <v>5469</v>
      </c>
      <c r="E1563">
        <v>2</v>
      </c>
      <c r="F1563">
        <v>1165</v>
      </c>
      <c r="G1563">
        <v>629</v>
      </c>
    </row>
    <row r="1564" spans="1:7" x14ac:dyDescent="0.35">
      <c r="A1564" t="s">
        <v>6663</v>
      </c>
      <c r="B1564" t="s">
        <v>6664</v>
      </c>
      <c r="C1564">
        <v>2260</v>
      </c>
      <c r="D1564">
        <v>1709</v>
      </c>
      <c r="E1564">
        <v>0</v>
      </c>
      <c r="F1564">
        <v>307</v>
      </c>
      <c r="G1564">
        <v>244</v>
      </c>
    </row>
    <row r="1565" spans="1:7" x14ac:dyDescent="0.35">
      <c r="A1565" t="s">
        <v>6705</v>
      </c>
      <c r="B1565" t="s">
        <v>6706</v>
      </c>
      <c r="C1565">
        <v>6559</v>
      </c>
      <c r="D1565">
        <v>5005</v>
      </c>
      <c r="E1565">
        <v>0</v>
      </c>
      <c r="F1565">
        <v>1064</v>
      </c>
      <c r="G1565">
        <v>490</v>
      </c>
    </row>
    <row r="1566" spans="1:7" x14ac:dyDescent="0.35">
      <c r="A1566" t="s">
        <v>6747</v>
      </c>
      <c r="B1566" t="s">
        <v>6748</v>
      </c>
      <c r="C1566">
        <v>8607</v>
      </c>
      <c r="D1566">
        <v>7076</v>
      </c>
      <c r="E1566">
        <v>0</v>
      </c>
      <c r="F1566">
        <v>765</v>
      </c>
      <c r="G1566">
        <v>766</v>
      </c>
    </row>
    <row r="1567" spans="1:7" x14ac:dyDescent="0.35">
      <c r="A1567" t="s">
        <v>6789</v>
      </c>
      <c r="B1567" t="s">
        <v>6790</v>
      </c>
      <c r="C1567">
        <v>9595</v>
      </c>
      <c r="D1567">
        <v>8283</v>
      </c>
      <c r="E1567">
        <v>0</v>
      </c>
      <c r="F1567">
        <v>1021</v>
      </c>
      <c r="G1567">
        <v>291</v>
      </c>
    </row>
    <row r="1568" spans="1:7" x14ac:dyDescent="0.35">
      <c r="A1568" t="s">
        <v>6831</v>
      </c>
      <c r="B1568" t="s">
        <v>6832</v>
      </c>
      <c r="C1568">
        <v>6013</v>
      </c>
      <c r="D1568">
        <v>5035</v>
      </c>
      <c r="E1568">
        <v>10</v>
      </c>
      <c r="F1568">
        <v>283</v>
      </c>
      <c r="G1568">
        <v>685</v>
      </c>
    </row>
    <row r="1569" spans="1:7" x14ac:dyDescent="0.35">
      <c r="A1569" t="s">
        <v>6873</v>
      </c>
      <c r="B1569" t="s">
        <v>6874</v>
      </c>
      <c r="C1569">
        <v>6047</v>
      </c>
      <c r="D1569">
        <v>4127</v>
      </c>
      <c r="E1569">
        <v>0</v>
      </c>
      <c r="F1569">
        <v>1165</v>
      </c>
      <c r="G1569">
        <v>755</v>
      </c>
    </row>
    <row r="1570" spans="1:7" x14ac:dyDescent="0.35">
      <c r="A1570" t="s">
        <v>6915</v>
      </c>
      <c r="B1570" t="s">
        <v>6916</v>
      </c>
      <c r="C1570">
        <v>9291</v>
      </c>
      <c r="D1570">
        <v>6911</v>
      </c>
      <c r="E1570">
        <v>0</v>
      </c>
      <c r="F1570">
        <v>1523</v>
      </c>
      <c r="G1570">
        <v>857</v>
      </c>
    </row>
    <row r="1571" spans="1:7" x14ac:dyDescent="0.35">
      <c r="A1571" t="s">
        <v>6957</v>
      </c>
      <c r="B1571" t="s">
        <v>206</v>
      </c>
      <c r="C1571">
        <v>5619</v>
      </c>
      <c r="D1571">
        <v>4609</v>
      </c>
      <c r="E1571">
        <v>0</v>
      </c>
      <c r="F1571">
        <v>526</v>
      </c>
      <c r="G1571">
        <v>484</v>
      </c>
    </row>
    <row r="1572" spans="1:7" x14ac:dyDescent="0.35">
      <c r="A1572" t="s">
        <v>6998</v>
      </c>
      <c r="B1572" t="s">
        <v>6999</v>
      </c>
      <c r="C1572">
        <v>9960</v>
      </c>
      <c r="D1572">
        <v>8677</v>
      </c>
      <c r="E1572">
        <v>7</v>
      </c>
      <c r="F1572">
        <v>542</v>
      </c>
      <c r="G1572">
        <v>734</v>
      </c>
    </row>
    <row r="1573" spans="1:7" x14ac:dyDescent="0.35">
      <c r="A1573" t="s">
        <v>7040</v>
      </c>
      <c r="B1573" t="s">
        <v>7041</v>
      </c>
      <c r="C1573">
        <v>7203</v>
      </c>
      <c r="D1573">
        <v>5492</v>
      </c>
      <c r="E1573">
        <v>35</v>
      </c>
      <c r="F1573">
        <v>757</v>
      </c>
      <c r="G1573">
        <v>919</v>
      </c>
    </row>
    <row r="1574" spans="1:7" x14ac:dyDescent="0.35">
      <c r="A1574" t="s">
        <v>7082</v>
      </c>
      <c r="B1574" t="s">
        <v>7083</v>
      </c>
      <c r="C1574">
        <v>7711</v>
      </c>
      <c r="D1574">
        <v>6251</v>
      </c>
      <c r="E1574">
        <v>0</v>
      </c>
      <c r="F1574">
        <v>1362</v>
      </c>
      <c r="G1574">
        <v>98</v>
      </c>
    </row>
    <row r="1575" spans="1:7" x14ac:dyDescent="0.35">
      <c r="A1575" t="s">
        <v>7124</v>
      </c>
      <c r="B1575" t="s">
        <v>7125</v>
      </c>
      <c r="C1575">
        <v>10247</v>
      </c>
      <c r="D1575">
        <v>8636</v>
      </c>
      <c r="E1575">
        <v>22</v>
      </c>
      <c r="F1575">
        <v>1281</v>
      </c>
      <c r="G1575">
        <v>308</v>
      </c>
    </row>
    <row r="1576" spans="1:7" x14ac:dyDescent="0.35">
      <c r="A1576" t="s">
        <v>7166</v>
      </c>
      <c r="B1576" t="s">
        <v>7167</v>
      </c>
      <c r="C1576">
        <v>6542</v>
      </c>
      <c r="D1576">
        <v>5916</v>
      </c>
      <c r="E1576">
        <v>0</v>
      </c>
      <c r="F1576">
        <v>323</v>
      </c>
      <c r="G1576">
        <v>303</v>
      </c>
    </row>
    <row r="1577" spans="1:7" x14ac:dyDescent="0.35">
      <c r="A1577" t="s">
        <v>7208</v>
      </c>
      <c r="B1577" t="s">
        <v>7209</v>
      </c>
      <c r="C1577">
        <v>20262</v>
      </c>
      <c r="D1577">
        <v>17389</v>
      </c>
      <c r="E1577">
        <v>6</v>
      </c>
      <c r="F1577">
        <v>2538</v>
      </c>
      <c r="G1577">
        <v>329</v>
      </c>
    </row>
    <row r="1578" spans="1:7" x14ac:dyDescent="0.35">
      <c r="A1578" t="s">
        <v>7250</v>
      </c>
      <c r="B1578" t="s">
        <v>7251</v>
      </c>
      <c r="C1578">
        <v>9368</v>
      </c>
      <c r="D1578">
        <v>7404</v>
      </c>
      <c r="E1578">
        <v>13</v>
      </c>
      <c r="F1578">
        <v>991</v>
      </c>
      <c r="G1578">
        <v>960</v>
      </c>
    </row>
    <row r="1579" spans="1:7" x14ac:dyDescent="0.35">
      <c r="A1579" t="s">
        <v>7292</v>
      </c>
      <c r="B1579" t="s">
        <v>7293</v>
      </c>
      <c r="C1579">
        <v>8902</v>
      </c>
      <c r="D1579">
        <v>6537</v>
      </c>
      <c r="E1579">
        <v>1</v>
      </c>
      <c r="F1579">
        <v>2117</v>
      </c>
      <c r="G1579">
        <v>247</v>
      </c>
    </row>
    <row r="1580" spans="1:7" x14ac:dyDescent="0.35">
      <c r="A1580" t="s">
        <v>7334</v>
      </c>
      <c r="B1580" t="s">
        <v>7335</v>
      </c>
      <c r="C1580">
        <v>8569</v>
      </c>
      <c r="D1580">
        <v>7774</v>
      </c>
      <c r="E1580">
        <v>0</v>
      </c>
      <c r="F1580">
        <v>485</v>
      </c>
      <c r="G1580">
        <v>310</v>
      </c>
    </row>
    <row r="1581" spans="1:7" x14ac:dyDescent="0.35">
      <c r="A1581" t="s">
        <v>7376</v>
      </c>
      <c r="B1581" t="s">
        <v>7377</v>
      </c>
      <c r="C1581">
        <v>5990</v>
      </c>
      <c r="D1581">
        <v>4483</v>
      </c>
      <c r="E1581">
        <v>0</v>
      </c>
      <c r="F1581">
        <v>1360</v>
      </c>
      <c r="G1581">
        <v>147</v>
      </c>
    </row>
    <row r="1582" spans="1:7" x14ac:dyDescent="0.35">
      <c r="A1582" t="s">
        <v>7418</v>
      </c>
      <c r="B1582" t="s">
        <v>7419</v>
      </c>
      <c r="C1582">
        <v>5648</v>
      </c>
      <c r="D1582">
        <v>3873</v>
      </c>
      <c r="E1582">
        <v>0</v>
      </c>
      <c r="F1582">
        <v>1478</v>
      </c>
      <c r="G1582">
        <v>297</v>
      </c>
    </row>
    <row r="1583" spans="1:7" x14ac:dyDescent="0.35">
      <c r="A1583" t="s">
        <v>7460</v>
      </c>
      <c r="B1583" t="s">
        <v>7461</v>
      </c>
      <c r="C1583">
        <v>8644</v>
      </c>
      <c r="D1583">
        <v>5944</v>
      </c>
      <c r="E1583">
        <v>0</v>
      </c>
      <c r="F1583">
        <v>2509</v>
      </c>
      <c r="G1583">
        <v>191</v>
      </c>
    </row>
    <row r="1584" spans="1:7" x14ac:dyDescent="0.35">
      <c r="A1584" t="s">
        <v>7502</v>
      </c>
      <c r="B1584" t="s">
        <v>7503</v>
      </c>
      <c r="C1584">
        <v>8477</v>
      </c>
      <c r="D1584">
        <v>4831</v>
      </c>
      <c r="E1584">
        <v>0</v>
      </c>
      <c r="F1584">
        <v>3158</v>
      </c>
      <c r="G1584">
        <v>488</v>
      </c>
    </row>
    <row r="1585" spans="1:7" x14ac:dyDescent="0.35">
      <c r="A1585" t="s">
        <v>7544</v>
      </c>
      <c r="B1585" t="s">
        <v>7545</v>
      </c>
      <c r="C1585">
        <v>6106</v>
      </c>
      <c r="D1585">
        <v>3679</v>
      </c>
      <c r="E1585">
        <v>0</v>
      </c>
      <c r="F1585">
        <v>1474</v>
      </c>
      <c r="G1585">
        <v>953</v>
      </c>
    </row>
    <row r="1586" spans="1:7" x14ac:dyDescent="0.35">
      <c r="A1586" t="s">
        <v>7586</v>
      </c>
      <c r="B1586" t="s">
        <v>7587</v>
      </c>
      <c r="C1586">
        <v>10859</v>
      </c>
      <c r="D1586">
        <v>7699</v>
      </c>
      <c r="E1586">
        <v>5</v>
      </c>
      <c r="F1586">
        <v>1734</v>
      </c>
      <c r="G1586">
        <v>1421</v>
      </c>
    </row>
    <row r="1587" spans="1:7" x14ac:dyDescent="0.35">
      <c r="A1587" t="s">
        <v>7628</v>
      </c>
      <c r="B1587" t="s">
        <v>7629</v>
      </c>
      <c r="C1587">
        <v>13282</v>
      </c>
      <c r="D1587">
        <v>11136</v>
      </c>
      <c r="E1587">
        <v>53</v>
      </c>
      <c r="F1587">
        <v>1228</v>
      </c>
      <c r="G1587">
        <v>865</v>
      </c>
    </row>
    <row r="1588" spans="1:7" x14ac:dyDescent="0.35">
      <c r="A1588" t="s">
        <v>7670</v>
      </c>
      <c r="B1588" t="s">
        <v>7671</v>
      </c>
      <c r="C1588">
        <v>9824</v>
      </c>
      <c r="D1588">
        <v>7209</v>
      </c>
      <c r="E1588">
        <v>0</v>
      </c>
      <c r="F1588">
        <v>1128</v>
      </c>
      <c r="G1588">
        <v>1487</v>
      </c>
    </row>
    <row r="1589" spans="1:7" x14ac:dyDescent="0.35">
      <c r="A1589" t="s">
        <v>7712</v>
      </c>
      <c r="B1589" t="s">
        <v>192</v>
      </c>
      <c r="C1589">
        <v>10516</v>
      </c>
      <c r="D1589">
        <v>8602</v>
      </c>
      <c r="E1589">
        <v>0</v>
      </c>
      <c r="F1589">
        <v>648</v>
      </c>
      <c r="G1589">
        <v>1266</v>
      </c>
    </row>
    <row r="1590" spans="1:7" x14ac:dyDescent="0.35">
      <c r="A1590" t="s">
        <v>7753</v>
      </c>
      <c r="B1590" t="s">
        <v>208</v>
      </c>
      <c r="C1590">
        <v>8224</v>
      </c>
      <c r="D1590">
        <v>6656</v>
      </c>
      <c r="E1590">
        <v>2</v>
      </c>
      <c r="F1590">
        <v>365</v>
      </c>
      <c r="G1590">
        <v>1201</v>
      </c>
    </row>
    <row r="1591" spans="1:7" x14ac:dyDescent="0.35">
      <c r="A1591" t="s">
        <v>7794</v>
      </c>
      <c r="B1591" t="s">
        <v>7795</v>
      </c>
      <c r="C1591">
        <v>7773</v>
      </c>
      <c r="D1591">
        <v>6871</v>
      </c>
      <c r="E1591">
        <v>2</v>
      </c>
      <c r="F1591">
        <v>580</v>
      </c>
      <c r="G1591">
        <v>320</v>
      </c>
    </row>
    <row r="1592" spans="1:7" x14ac:dyDescent="0.35">
      <c r="A1592" t="s">
        <v>7836</v>
      </c>
      <c r="B1592" t="s">
        <v>7837</v>
      </c>
      <c r="C1592">
        <v>7709</v>
      </c>
      <c r="D1592">
        <v>6774</v>
      </c>
      <c r="E1592">
        <v>0</v>
      </c>
      <c r="F1592">
        <v>458</v>
      </c>
      <c r="G1592">
        <v>477</v>
      </c>
    </row>
    <row r="1593" spans="1:7" x14ac:dyDescent="0.35">
      <c r="A1593" t="s">
        <v>7870</v>
      </c>
      <c r="B1593" t="s">
        <v>7871</v>
      </c>
      <c r="C1593">
        <v>7241</v>
      </c>
      <c r="D1593">
        <v>6009</v>
      </c>
      <c r="E1593">
        <v>0</v>
      </c>
      <c r="F1593">
        <v>441</v>
      </c>
      <c r="G1593">
        <v>791</v>
      </c>
    </row>
    <row r="1594" spans="1:7" x14ac:dyDescent="0.35">
      <c r="A1594" t="s">
        <v>7912</v>
      </c>
      <c r="B1594" t="s">
        <v>7913</v>
      </c>
      <c r="C1594">
        <v>9905</v>
      </c>
      <c r="D1594">
        <v>8655</v>
      </c>
      <c r="E1594">
        <v>10</v>
      </c>
      <c r="F1594">
        <v>937</v>
      </c>
      <c r="G1594">
        <v>303</v>
      </c>
    </row>
    <row r="1595" spans="1:7" x14ac:dyDescent="0.35">
      <c r="A1595" t="s">
        <v>7954</v>
      </c>
      <c r="B1595" t="s">
        <v>7955</v>
      </c>
      <c r="C1595">
        <v>7591</v>
      </c>
      <c r="D1595">
        <v>5997</v>
      </c>
      <c r="E1595">
        <v>0</v>
      </c>
      <c r="F1595">
        <v>892</v>
      </c>
      <c r="G1595">
        <v>702</v>
      </c>
    </row>
    <row r="1596" spans="1:7" x14ac:dyDescent="0.35">
      <c r="A1596" t="s">
        <v>7996</v>
      </c>
      <c r="B1596" t="s">
        <v>161</v>
      </c>
      <c r="C1596">
        <v>9550</v>
      </c>
      <c r="D1596">
        <v>7521</v>
      </c>
      <c r="E1596">
        <v>0</v>
      </c>
      <c r="F1596">
        <v>1398</v>
      </c>
      <c r="G1596">
        <v>631</v>
      </c>
    </row>
    <row r="1597" spans="1:7" x14ac:dyDescent="0.35">
      <c r="A1597" t="s">
        <v>8037</v>
      </c>
      <c r="B1597" t="s">
        <v>162</v>
      </c>
      <c r="C1597">
        <v>3997</v>
      </c>
      <c r="D1597">
        <v>3423</v>
      </c>
      <c r="E1597">
        <v>11</v>
      </c>
      <c r="F1597">
        <v>438</v>
      </c>
      <c r="G1597">
        <v>125</v>
      </c>
    </row>
    <row r="1598" spans="1:7" x14ac:dyDescent="0.35">
      <c r="A1598" t="s">
        <v>8078</v>
      </c>
      <c r="B1598" t="s">
        <v>175</v>
      </c>
      <c r="C1598">
        <v>6296</v>
      </c>
      <c r="D1598">
        <v>5774</v>
      </c>
      <c r="E1598">
        <v>0</v>
      </c>
      <c r="F1598">
        <v>263</v>
      </c>
      <c r="G1598">
        <v>259</v>
      </c>
    </row>
    <row r="1599" spans="1:7" x14ac:dyDescent="0.35">
      <c r="A1599" t="s">
        <v>8119</v>
      </c>
      <c r="B1599" t="s">
        <v>8120</v>
      </c>
      <c r="C1599">
        <v>6278</v>
      </c>
      <c r="D1599">
        <v>5327</v>
      </c>
      <c r="E1599">
        <v>22</v>
      </c>
      <c r="F1599">
        <v>490</v>
      </c>
      <c r="G1599">
        <v>439</v>
      </c>
    </row>
    <row r="1600" spans="1:7" x14ac:dyDescent="0.35">
      <c r="A1600" t="s">
        <v>8161</v>
      </c>
      <c r="B1600" t="s">
        <v>8162</v>
      </c>
      <c r="C1600">
        <v>12939</v>
      </c>
      <c r="D1600">
        <v>11385</v>
      </c>
      <c r="E1600">
        <v>0</v>
      </c>
      <c r="F1600">
        <v>1242</v>
      </c>
      <c r="G1600">
        <v>312</v>
      </c>
    </row>
    <row r="1601" spans="1:7" x14ac:dyDescent="0.35">
      <c r="A1601" t="s">
        <v>8203</v>
      </c>
      <c r="B1601" t="s">
        <v>8204</v>
      </c>
      <c r="C1601">
        <v>6547</v>
      </c>
      <c r="D1601">
        <v>4983</v>
      </c>
      <c r="E1601">
        <v>22</v>
      </c>
      <c r="F1601">
        <v>576</v>
      </c>
      <c r="G1601">
        <v>966</v>
      </c>
    </row>
    <row r="1602" spans="1:7" x14ac:dyDescent="0.35">
      <c r="A1602" t="s">
        <v>8245</v>
      </c>
      <c r="B1602" t="s">
        <v>8246</v>
      </c>
      <c r="C1602">
        <v>6756</v>
      </c>
      <c r="D1602">
        <v>4739</v>
      </c>
      <c r="E1602">
        <v>16</v>
      </c>
      <c r="F1602">
        <v>1378</v>
      </c>
      <c r="G1602">
        <v>623</v>
      </c>
    </row>
    <row r="1603" spans="1:7" x14ac:dyDescent="0.35">
      <c r="A1603" t="s">
        <v>8287</v>
      </c>
      <c r="B1603" t="s">
        <v>8288</v>
      </c>
      <c r="C1603">
        <v>3198</v>
      </c>
      <c r="D1603">
        <v>2296</v>
      </c>
      <c r="E1603">
        <v>0</v>
      </c>
      <c r="F1603">
        <v>555</v>
      </c>
      <c r="G1603">
        <v>347</v>
      </c>
    </row>
    <row r="1604" spans="1:7" x14ac:dyDescent="0.35">
      <c r="A1604" t="s">
        <v>8329</v>
      </c>
      <c r="B1604" t="s">
        <v>8330</v>
      </c>
      <c r="C1604">
        <v>8353</v>
      </c>
      <c r="D1604">
        <v>6977</v>
      </c>
      <c r="E1604">
        <v>0</v>
      </c>
      <c r="F1604">
        <v>510</v>
      </c>
      <c r="G1604">
        <v>866</v>
      </c>
    </row>
    <row r="1605" spans="1:7" x14ac:dyDescent="0.35">
      <c r="A1605" t="s">
        <v>8371</v>
      </c>
      <c r="B1605" t="s">
        <v>8372</v>
      </c>
      <c r="C1605">
        <v>4711</v>
      </c>
      <c r="D1605">
        <v>3519</v>
      </c>
      <c r="E1605">
        <v>0</v>
      </c>
      <c r="F1605">
        <v>870</v>
      </c>
      <c r="G1605">
        <v>322</v>
      </c>
    </row>
    <row r="1606" spans="1:7" x14ac:dyDescent="0.35">
      <c r="A1606" t="s">
        <v>8413</v>
      </c>
      <c r="B1606" t="s">
        <v>8414</v>
      </c>
      <c r="C1606">
        <v>8364</v>
      </c>
      <c r="D1606">
        <v>6277</v>
      </c>
      <c r="E1606">
        <v>0</v>
      </c>
      <c r="F1606">
        <v>1051</v>
      </c>
      <c r="G1606">
        <v>1036</v>
      </c>
    </row>
    <row r="1607" spans="1:7" x14ac:dyDescent="0.35">
      <c r="A1607" t="s">
        <v>8455</v>
      </c>
      <c r="B1607" t="s">
        <v>8456</v>
      </c>
      <c r="C1607">
        <v>5420</v>
      </c>
      <c r="D1607">
        <v>4050</v>
      </c>
      <c r="E1607">
        <v>288</v>
      </c>
      <c r="F1607">
        <v>593</v>
      </c>
      <c r="G1607">
        <v>489</v>
      </c>
    </row>
    <row r="1608" spans="1:7" x14ac:dyDescent="0.35">
      <c r="A1608" t="s">
        <v>8497</v>
      </c>
      <c r="B1608" t="s">
        <v>158</v>
      </c>
      <c r="C1608">
        <v>6229</v>
      </c>
      <c r="D1608">
        <v>4986</v>
      </c>
      <c r="E1608">
        <v>0</v>
      </c>
      <c r="F1608">
        <v>476</v>
      </c>
      <c r="G1608">
        <v>767</v>
      </c>
    </row>
    <row r="1609" spans="1:7" x14ac:dyDescent="0.35">
      <c r="A1609" t="s">
        <v>8538</v>
      </c>
      <c r="B1609" t="s">
        <v>170</v>
      </c>
      <c r="C1609">
        <v>4206</v>
      </c>
      <c r="D1609">
        <v>3200</v>
      </c>
      <c r="E1609">
        <v>120</v>
      </c>
      <c r="F1609">
        <v>398</v>
      </c>
      <c r="G1609">
        <v>488</v>
      </c>
    </row>
    <row r="1610" spans="1:7" x14ac:dyDescent="0.35">
      <c r="A1610" t="s">
        <v>8571</v>
      </c>
      <c r="B1610" t="s">
        <v>176</v>
      </c>
      <c r="C1610">
        <v>4342</v>
      </c>
      <c r="D1610">
        <v>3429</v>
      </c>
      <c r="E1610">
        <v>0</v>
      </c>
      <c r="F1610">
        <v>525</v>
      </c>
      <c r="G1610">
        <v>388</v>
      </c>
    </row>
    <row r="1611" spans="1:7" x14ac:dyDescent="0.35">
      <c r="A1611" t="s">
        <v>8612</v>
      </c>
      <c r="B1611" t="s">
        <v>200</v>
      </c>
      <c r="C1611">
        <v>7730</v>
      </c>
      <c r="D1611">
        <v>6452</v>
      </c>
      <c r="E1611">
        <v>0</v>
      </c>
      <c r="F1611">
        <v>314</v>
      </c>
      <c r="G1611">
        <v>964</v>
      </c>
    </row>
    <row r="1612" spans="1:7" x14ac:dyDescent="0.35">
      <c r="A1612" t="s">
        <v>8653</v>
      </c>
      <c r="B1612" t="s">
        <v>217</v>
      </c>
      <c r="C1612">
        <v>5297</v>
      </c>
      <c r="D1612">
        <v>4110</v>
      </c>
      <c r="E1612">
        <v>7</v>
      </c>
      <c r="F1612">
        <v>853</v>
      </c>
      <c r="G1612">
        <v>327</v>
      </c>
    </row>
    <row r="1613" spans="1:7" x14ac:dyDescent="0.35">
      <c r="A1613" t="s">
        <v>8694</v>
      </c>
      <c r="B1613" t="s">
        <v>8695</v>
      </c>
      <c r="C1613">
        <v>4136</v>
      </c>
      <c r="D1613">
        <v>3749</v>
      </c>
      <c r="E1613">
        <v>0</v>
      </c>
      <c r="F1613">
        <v>86</v>
      </c>
      <c r="G1613">
        <v>301</v>
      </c>
    </row>
    <row r="1614" spans="1:7" x14ac:dyDescent="0.35">
      <c r="A1614" t="s">
        <v>8736</v>
      </c>
      <c r="B1614" t="s">
        <v>8737</v>
      </c>
      <c r="C1614">
        <v>10072</v>
      </c>
      <c r="D1614">
        <v>8605</v>
      </c>
      <c r="E1614">
        <v>0</v>
      </c>
      <c r="F1614">
        <v>604</v>
      </c>
      <c r="G1614">
        <v>863</v>
      </c>
    </row>
    <row r="1615" spans="1:7" x14ac:dyDescent="0.35">
      <c r="A1615" t="s">
        <v>8778</v>
      </c>
      <c r="B1615" t="s">
        <v>8779</v>
      </c>
      <c r="C1615">
        <v>7513</v>
      </c>
      <c r="D1615">
        <v>6419</v>
      </c>
      <c r="E1615">
        <v>0</v>
      </c>
      <c r="F1615">
        <v>291</v>
      </c>
      <c r="G1615">
        <v>803</v>
      </c>
    </row>
    <row r="1616" spans="1:7" x14ac:dyDescent="0.35">
      <c r="A1616" t="s">
        <v>8820</v>
      </c>
      <c r="B1616" t="s">
        <v>167</v>
      </c>
      <c r="C1616">
        <v>10508</v>
      </c>
      <c r="D1616">
        <v>8174</v>
      </c>
      <c r="E1616">
        <v>2</v>
      </c>
      <c r="F1616">
        <v>942</v>
      </c>
      <c r="G1616">
        <v>1390</v>
      </c>
    </row>
    <row r="1617" spans="1:7" x14ac:dyDescent="0.35">
      <c r="A1617" t="s">
        <v>8861</v>
      </c>
      <c r="B1617" t="s">
        <v>198</v>
      </c>
      <c r="C1617">
        <v>11399</v>
      </c>
      <c r="D1617">
        <v>9479</v>
      </c>
      <c r="E1617">
        <v>0</v>
      </c>
      <c r="F1617">
        <v>710</v>
      </c>
      <c r="G1617">
        <v>1210</v>
      </c>
    </row>
    <row r="1618" spans="1:7" x14ac:dyDescent="0.35">
      <c r="A1618" t="s">
        <v>8902</v>
      </c>
      <c r="B1618" t="s">
        <v>8903</v>
      </c>
      <c r="C1618">
        <v>6716</v>
      </c>
      <c r="D1618">
        <v>3184</v>
      </c>
      <c r="E1618">
        <v>0</v>
      </c>
      <c r="F1618">
        <v>458</v>
      </c>
      <c r="G1618">
        <v>3074</v>
      </c>
    </row>
    <row r="1619" spans="1:7" x14ac:dyDescent="0.35">
      <c r="A1619" t="s">
        <v>8944</v>
      </c>
      <c r="B1619" t="s">
        <v>8945</v>
      </c>
      <c r="C1619">
        <v>8843</v>
      </c>
      <c r="D1619">
        <v>6312</v>
      </c>
      <c r="E1619">
        <v>11</v>
      </c>
      <c r="F1619">
        <v>1293</v>
      </c>
      <c r="G1619">
        <v>1227</v>
      </c>
    </row>
    <row r="1620" spans="1:7" x14ac:dyDescent="0.35">
      <c r="A1620" t="s">
        <v>8986</v>
      </c>
      <c r="B1620" t="s">
        <v>8987</v>
      </c>
      <c r="C1620">
        <v>10014</v>
      </c>
      <c r="D1620">
        <v>7942</v>
      </c>
      <c r="E1620">
        <v>0</v>
      </c>
      <c r="F1620">
        <v>934</v>
      </c>
      <c r="G1620">
        <v>1138</v>
      </c>
    </row>
    <row r="1621" spans="1:7" x14ac:dyDescent="0.35">
      <c r="A1621" t="s">
        <v>9028</v>
      </c>
      <c r="B1621" t="s">
        <v>9029</v>
      </c>
      <c r="C1621">
        <v>11010</v>
      </c>
      <c r="D1621">
        <v>9474</v>
      </c>
      <c r="E1621">
        <v>0</v>
      </c>
      <c r="F1621">
        <v>995</v>
      </c>
      <c r="G1621">
        <v>541</v>
      </c>
    </row>
    <row r="1622" spans="1:7" x14ac:dyDescent="0.35">
      <c r="A1622" t="s">
        <v>9070</v>
      </c>
      <c r="B1622" t="s">
        <v>9071</v>
      </c>
      <c r="C1622">
        <v>8573</v>
      </c>
      <c r="D1622">
        <v>6269</v>
      </c>
      <c r="E1622">
        <v>0</v>
      </c>
      <c r="F1622">
        <v>1140</v>
      </c>
      <c r="G1622">
        <v>1164</v>
      </c>
    </row>
    <row r="1623" spans="1:7" x14ac:dyDescent="0.35">
      <c r="A1623" t="s">
        <v>9112</v>
      </c>
      <c r="B1623" t="s">
        <v>9113</v>
      </c>
      <c r="C1623">
        <v>9078</v>
      </c>
      <c r="D1623">
        <v>7095</v>
      </c>
      <c r="E1623">
        <v>0</v>
      </c>
      <c r="F1623">
        <v>959</v>
      </c>
      <c r="G1623">
        <v>1024</v>
      </c>
    </row>
    <row r="1624" spans="1:7" x14ac:dyDescent="0.35">
      <c r="A1624" t="s">
        <v>9154</v>
      </c>
      <c r="B1624" t="s">
        <v>221</v>
      </c>
      <c r="C1624">
        <v>5369</v>
      </c>
      <c r="D1624">
        <v>4276</v>
      </c>
      <c r="E1624">
        <v>0</v>
      </c>
      <c r="F1624">
        <v>712</v>
      </c>
      <c r="G1624">
        <v>381</v>
      </c>
    </row>
    <row r="1625" spans="1:7" x14ac:dyDescent="0.35">
      <c r="A1625" t="s">
        <v>9195</v>
      </c>
      <c r="B1625" t="s">
        <v>9196</v>
      </c>
      <c r="C1625">
        <v>5068</v>
      </c>
      <c r="D1625">
        <v>3542</v>
      </c>
      <c r="E1625">
        <v>0</v>
      </c>
      <c r="F1625">
        <v>1089</v>
      </c>
      <c r="G1625">
        <v>437</v>
      </c>
    </row>
    <row r="1626" spans="1:7" x14ac:dyDescent="0.35">
      <c r="A1626" t="s">
        <v>9229</v>
      </c>
      <c r="B1626" t="s">
        <v>9230</v>
      </c>
      <c r="C1626">
        <v>6234</v>
      </c>
      <c r="D1626">
        <v>4922</v>
      </c>
      <c r="E1626">
        <v>0</v>
      </c>
      <c r="F1626">
        <v>672</v>
      </c>
      <c r="G1626">
        <v>640</v>
      </c>
    </row>
    <row r="1627" spans="1:7" x14ac:dyDescent="0.35">
      <c r="A1627" t="s">
        <v>9271</v>
      </c>
      <c r="B1627" t="s">
        <v>9272</v>
      </c>
      <c r="C1627">
        <v>8149</v>
      </c>
      <c r="D1627">
        <v>7412</v>
      </c>
      <c r="E1627">
        <v>0</v>
      </c>
      <c r="F1627">
        <v>457</v>
      </c>
      <c r="G1627">
        <v>280</v>
      </c>
    </row>
    <row r="1628" spans="1:7" x14ac:dyDescent="0.35">
      <c r="A1628" t="s">
        <v>9313</v>
      </c>
      <c r="B1628" t="s">
        <v>220</v>
      </c>
      <c r="C1628">
        <v>8594</v>
      </c>
      <c r="D1628">
        <v>6514</v>
      </c>
      <c r="E1628">
        <v>46</v>
      </c>
      <c r="F1628">
        <v>1445</v>
      </c>
      <c r="G1628">
        <v>589</v>
      </c>
    </row>
    <row r="1629" spans="1:7" x14ac:dyDescent="0.35">
      <c r="A1629" t="s">
        <v>9354</v>
      </c>
      <c r="B1629" t="s">
        <v>222</v>
      </c>
      <c r="C1629">
        <v>10774</v>
      </c>
      <c r="D1629">
        <v>8870</v>
      </c>
      <c r="E1629">
        <v>0</v>
      </c>
      <c r="F1629">
        <v>988</v>
      </c>
      <c r="G1629">
        <v>916</v>
      </c>
    </row>
    <row r="1630" spans="1:7" x14ac:dyDescent="0.35">
      <c r="A1630" t="s">
        <v>9395</v>
      </c>
      <c r="B1630" t="s">
        <v>224</v>
      </c>
      <c r="C1630">
        <v>7692</v>
      </c>
      <c r="D1630">
        <v>4717</v>
      </c>
      <c r="E1630">
        <v>0</v>
      </c>
      <c r="F1630">
        <v>2267</v>
      </c>
      <c r="G1630">
        <v>708</v>
      </c>
    </row>
    <row r="1631" spans="1:7" x14ac:dyDescent="0.35">
      <c r="A1631" t="s">
        <v>9436</v>
      </c>
      <c r="B1631" t="s">
        <v>159</v>
      </c>
      <c r="C1631">
        <v>7928</v>
      </c>
      <c r="D1631">
        <v>6984</v>
      </c>
      <c r="E1631">
        <v>88</v>
      </c>
      <c r="F1631">
        <v>512</v>
      </c>
      <c r="G1631">
        <v>344</v>
      </c>
    </row>
    <row r="1632" spans="1:7" x14ac:dyDescent="0.35">
      <c r="A1632" t="s">
        <v>9477</v>
      </c>
      <c r="B1632" t="s">
        <v>202</v>
      </c>
      <c r="C1632">
        <v>13460</v>
      </c>
      <c r="D1632">
        <v>10240</v>
      </c>
      <c r="E1632">
        <v>0</v>
      </c>
      <c r="F1632">
        <v>2413</v>
      </c>
      <c r="G1632">
        <v>807</v>
      </c>
    </row>
    <row r="1633" spans="1:7" x14ac:dyDescent="0.35">
      <c r="A1633" t="s">
        <v>9518</v>
      </c>
      <c r="B1633" t="s">
        <v>9519</v>
      </c>
      <c r="C1633">
        <v>10412</v>
      </c>
      <c r="D1633">
        <v>7957</v>
      </c>
      <c r="E1633">
        <v>0</v>
      </c>
      <c r="F1633">
        <v>1251</v>
      </c>
      <c r="G1633">
        <v>1204</v>
      </c>
    </row>
    <row r="1634" spans="1:7" x14ac:dyDescent="0.35">
      <c r="A1634" t="s">
        <v>9560</v>
      </c>
      <c r="B1634" t="s">
        <v>163</v>
      </c>
      <c r="C1634">
        <v>10785</v>
      </c>
      <c r="D1634">
        <v>8541</v>
      </c>
      <c r="E1634">
        <v>0</v>
      </c>
      <c r="F1634">
        <v>1584</v>
      </c>
      <c r="G1634">
        <v>660</v>
      </c>
    </row>
    <row r="1635" spans="1:7" x14ac:dyDescent="0.35">
      <c r="A1635" t="s">
        <v>9601</v>
      </c>
      <c r="B1635" t="s">
        <v>9602</v>
      </c>
      <c r="C1635">
        <v>15275</v>
      </c>
      <c r="D1635">
        <v>13007</v>
      </c>
      <c r="E1635">
        <v>6</v>
      </c>
      <c r="F1635">
        <v>1764</v>
      </c>
      <c r="G1635">
        <v>498</v>
      </c>
    </row>
    <row r="1636" spans="1:7" x14ac:dyDescent="0.35">
      <c r="A1636" t="s">
        <v>9643</v>
      </c>
      <c r="B1636" t="s">
        <v>209</v>
      </c>
      <c r="C1636">
        <v>14118</v>
      </c>
      <c r="D1636">
        <v>11877</v>
      </c>
      <c r="E1636">
        <v>0</v>
      </c>
      <c r="F1636">
        <v>1173</v>
      </c>
      <c r="G1636">
        <v>1068</v>
      </c>
    </row>
    <row r="1637" spans="1:7" x14ac:dyDescent="0.35">
      <c r="A1637" t="s">
        <v>9684</v>
      </c>
      <c r="B1637" t="s">
        <v>9685</v>
      </c>
      <c r="C1637">
        <v>26204</v>
      </c>
      <c r="D1637">
        <v>21179</v>
      </c>
      <c r="E1637">
        <v>9</v>
      </c>
      <c r="F1637">
        <v>4418</v>
      </c>
      <c r="G1637">
        <v>598</v>
      </c>
    </row>
    <row r="1638" spans="1:7" x14ac:dyDescent="0.35">
      <c r="A1638" t="s">
        <v>9726</v>
      </c>
      <c r="B1638" t="s">
        <v>9727</v>
      </c>
      <c r="C1638">
        <v>12917</v>
      </c>
      <c r="D1638">
        <v>11099</v>
      </c>
      <c r="E1638">
        <v>0</v>
      </c>
      <c r="F1638">
        <v>1607</v>
      </c>
      <c r="G1638">
        <v>211</v>
      </c>
    </row>
    <row r="1639" spans="1:7" x14ac:dyDescent="0.35">
      <c r="A1639" t="s">
        <v>9768</v>
      </c>
      <c r="B1639" t="s">
        <v>9769</v>
      </c>
      <c r="C1639">
        <v>69197</v>
      </c>
      <c r="D1639">
        <v>60522</v>
      </c>
      <c r="E1639">
        <v>250</v>
      </c>
      <c r="F1639">
        <v>6478</v>
      </c>
      <c r="G1639">
        <v>1947</v>
      </c>
    </row>
    <row r="1640" spans="1:7" x14ac:dyDescent="0.35">
      <c r="A1640" t="s">
        <v>9810</v>
      </c>
      <c r="B1640" t="s">
        <v>9811</v>
      </c>
      <c r="C1640">
        <v>21209</v>
      </c>
      <c r="D1640">
        <v>17920</v>
      </c>
      <c r="E1640">
        <v>5</v>
      </c>
      <c r="F1640">
        <v>2805</v>
      </c>
      <c r="G1640">
        <v>479</v>
      </c>
    </row>
    <row r="1641" spans="1:7" x14ac:dyDescent="0.35">
      <c r="A1641" t="s">
        <v>9852</v>
      </c>
      <c r="B1641" t="s">
        <v>9853</v>
      </c>
      <c r="C1641">
        <v>21058</v>
      </c>
      <c r="D1641">
        <v>17972</v>
      </c>
      <c r="E1641">
        <v>0</v>
      </c>
      <c r="F1641">
        <v>2723</v>
      </c>
      <c r="G1641">
        <v>363</v>
      </c>
    </row>
    <row r="1642" spans="1:7" x14ac:dyDescent="0.35">
      <c r="A1642" t="s">
        <v>9894</v>
      </c>
      <c r="B1642" t="s">
        <v>9895</v>
      </c>
      <c r="C1642">
        <v>32258</v>
      </c>
      <c r="D1642">
        <v>28224</v>
      </c>
      <c r="E1642">
        <v>14</v>
      </c>
      <c r="F1642">
        <v>3280</v>
      </c>
      <c r="G1642">
        <v>740</v>
      </c>
    </row>
    <row r="1643" spans="1:7" x14ac:dyDescent="0.35">
      <c r="A1643" t="s">
        <v>9936</v>
      </c>
      <c r="B1643" t="s">
        <v>164</v>
      </c>
      <c r="C1643">
        <v>18713</v>
      </c>
      <c r="D1643">
        <v>14528</v>
      </c>
      <c r="E1643">
        <v>0</v>
      </c>
      <c r="F1643">
        <v>2809</v>
      </c>
      <c r="G1643">
        <v>1376</v>
      </c>
    </row>
    <row r="1644" spans="1:7" x14ac:dyDescent="0.35">
      <c r="A1644" t="s">
        <v>9977</v>
      </c>
      <c r="B1644" t="s">
        <v>174</v>
      </c>
      <c r="C1644">
        <v>22914</v>
      </c>
      <c r="D1644">
        <v>20380</v>
      </c>
      <c r="E1644">
        <v>2</v>
      </c>
      <c r="F1644">
        <v>2216</v>
      </c>
      <c r="G1644">
        <v>316</v>
      </c>
    </row>
    <row r="1645" spans="1:7" x14ac:dyDescent="0.35">
      <c r="A1645" t="s">
        <v>10018</v>
      </c>
      <c r="B1645" t="s">
        <v>189</v>
      </c>
      <c r="C1645">
        <v>16487</v>
      </c>
      <c r="D1645">
        <v>11882</v>
      </c>
      <c r="E1645">
        <v>0</v>
      </c>
      <c r="F1645">
        <v>3767</v>
      </c>
      <c r="G1645">
        <v>838</v>
      </c>
    </row>
    <row r="1646" spans="1:7" x14ac:dyDescent="0.35">
      <c r="A1646" t="s">
        <v>10059</v>
      </c>
      <c r="B1646" t="s">
        <v>212</v>
      </c>
      <c r="C1646">
        <v>26125</v>
      </c>
      <c r="D1646">
        <v>22148</v>
      </c>
      <c r="E1646">
        <v>3</v>
      </c>
      <c r="F1646">
        <v>2937</v>
      </c>
      <c r="G1646">
        <v>1037</v>
      </c>
    </row>
    <row r="1647" spans="1:7" x14ac:dyDescent="0.35">
      <c r="A1647" t="s">
        <v>10100</v>
      </c>
      <c r="B1647" t="s">
        <v>10101</v>
      </c>
      <c r="C1647">
        <v>19145</v>
      </c>
      <c r="D1647">
        <v>16076</v>
      </c>
      <c r="E1647">
        <v>4</v>
      </c>
      <c r="F1647">
        <v>2212</v>
      </c>
      <c r="G1647">
        <v>853</v>
      </c>
    </row>
    <row r="1648" spans="1:7" x14ac:dyDescent="0.35">
      <c r="A1648" t="s">
        <v>10142</v>
      </c>
      <c r="B1648" t="s">
        <v>10143</v>
      </c>
      <c r="C1648">
        <v>59483</v>
      </c>
      <c r="D1648">
        <v>52060</v>
      </c>
      <c r="E1648">
        <v>16</v>
      </c>
      <c r="F1648">
        <v>6415</v>
      </c>
      <c r="G1648">
        <v>992</v>
      </c>
    </row>
    <row r="1649" spans="1:7" x14ac:dyDescent="0.35">
      <c r="A1649" t="s">
        <v>10184</v>
      </c>
      <c r="B1649" t="s">
        <v>160</v>
      </c>
      <c r="C1649">
        <v>17979</v>
      </c>
      <c r="D1649">
        <v>14616</v>
      </c>
      <c r="E1649">
        <v>0</v>
      </c>
      <c r="F1649">
        <v>2730</v>
      </c>
      <c r="G1649">
        <v>633</v>
      </c>
    </row>
    <row r="1650" spans="1:7" x14ac:dyDescent="0.35">
      <c r="A1650" t="s">
        <v>10225</v>
      </c>
      <c r="B1650" t="s">
        <v>10226</v>
      </c>
      <c r="C1650">
        <v>20113</v>
      </c>
      <c r="D1650">
        <v>15905</v>
      </c>
      <c r="E1650">
        <v>0</v>
      </c>
      <c r="F1650">
        <v>3246</v>
      </c>
      <c r="G1650">
        <v>962</v>
      </c>
    </row>
    <row r="1651" spans="1:7" x14ac:dyDescent="0.35">
      <c r="A1651" t="s">
        <v>10267</v>
      </c>
      <c r="B1651" t="s">
        <v>216</v>
      </c>
      <c r="C1651">
        <v>24196</v>
      </c>
      <c r="D1651">
        <v>18317</v>
      </c>
      <c r="E1651">
        <v>0</v>
      </c>
      <c r="F1651">
        <v>5236</v>
      </c>
      <c r="G1651">
        <v>643</v>
      </c>
    </row>
    <row r="1652" spans="1:7" x14ac:dyDescent="0.35">
      <c r="A1652" t="s">
        <v>10308</v>
      </c>
      <c r="B1652" t="s">
        <v>10309</v>
      </c>
      <c r="C1652">
        <v>22666</v>
      </c>
      <c r="D1652">
        <v>20430</v>
      </c>
      <c r="E1652">
        <v>0</v>
      </c>
      <c r="F1652">
        <v>1686</v>
      </c>
      <c r="G1652">
        <v>550</v>
      </c>
    </row>
    <row r="1653" spans="1:7" x14ac:dyDescent="0.35">
      <c r="A1653" t="s">
        <v>10350</v>
      </c>
      <c r="B1653" t="s">
        <v>10351</v>
      </c>
      <c r="C1653">
        <v>25290</v>
      </c>
      <c r="D1653">
        <v>22647</v>
      </c>
      <c r="E1653">
        <v>3</v>
      </c>
      <c r="F1653">
        <v>1910</v>
      </c>
      <c r="G1653">
        <v>730</v>
      </c>
    </row>
    <row r="1654" spans="1:7" x14ac:dyDescent="0.35">
      <c r="A1654" t="s">
        <v>10392</v>
      </c>
      <c r="B1654" t="s">
        <v>10393</v>
      </c>
      <c r="C1654">
        <v>25454</v>
      </c>
      <c r="D1654">
        <v>23627</v>
      </c>
      <c r="E1654">
        <v>0</v>
      </c>
      <c r="F1654">
        <v>1265</v>
      </c>
      <c r="G1654">
        <v>562</v>
      </c>
    </row>
    <row r="1655" spans="1:7" x14ac:dyDescent="0.35">
      <c r="A1655" t="s">
        <v>10434</v>
      </c>
      <c r="B1655" t="s">
        <v>10435</v>
      </c>
      <c r="C1655">
        <v>55566</v>
      </c>
      <c r="D1655">
        <v>51455</v>
      </c>
      <c r="E1655">
        <v>2</v>
      </c>
      <c r="F1655">
        <v>3539</v>
      </c>
      <c r="G1655">
        <v>570</v>
      </c>
    </row>
    <row r="1656" spans="1:7" x14ac:dyDescent="0.35">
      <c r="A1656" t="s">
        <v>10476</v>
      </c>
      <c r="B1656" t="s">
        <v>10477</v>
      </c>
      <c r="C1656">
        <v>34902</v>
      </c>
      <c r="D1656">
        <v>30639</v>
      </c>
      <c r="E1656">
        <v>131</v>
      </c>
      <c r="F1656">
        <v>3642</v>
      </c>
      <c r="G1656">
        <v>490</v>
      </c>
    </row>
    <row r="1657" spans="1:7" x14ac:dyDescent="0.35">
      <c r="A1657" t="s">
        <v>10518</v>
      </c>
      <c r="B1657" t="s">
        <v>10519</v>
      </c>
      <c r="C1657">
        <v>21057</v>
      </c>
      <c r="D1657">
        <v>17035</v>
      </c>
      <c r="E1657">
        <v>0</v>
      </c>
      <c r="F1657">
        <v>3513</v>
      </c>
      <c r="G1657">
        <v>509</v>
      </c>
    </row>
    <row r="1658" spans="1:7" x14ac:dyDescent="0.35">
      <c r="A1658" t="s">
        <v>10560</v>
      </c>
      <c r="B1658" t="s">
        <v>10561</v>
      </c>
      <c r="C1658">
        <v>21486</v>
      </c>
      <c r="D1658">
        <v>18903</v>
      </c>
      <c r="E1658">
        <v>0</v>
      </c>
      <c r="F1658">
        <v>2288</v>
      </c>
      <c r="G1658">
        <v>295</v>
      </c>
    </row>
    <row r="1659" spans="1:7" x14ac:dyDescent="0.35">
      <c r="A1659" t="s">
        <v>10602</v>
      </c>
      <c r="B1659" t="s">
        <v>169</v>
      </c>
      <c r="C1659">
        <v>35331</v>
      </c>
      <c r="D1659">
        <v>31871</v>
      </c>
      <c r="E1659">
        <v>0</v>
      </c>
      <c r="F1659">
        <v>2953</v>
      </c>
      <c r="G1659">
        <v>507</v>
      </c>
    </row>
    <row r="1660" spans="1:7" x14ac:dyDescent="0.35">
      <c r="A1660" t="s">
        <v>10643</v>
      </c>
      <c r="B1660" t="s">
        <v>10644</v>
      </c>
      <c r="C1660">
        <v>105763</v>
      </c>
      <c r="D1660">
        <v>85242</v>
      </c>
      <c r="E1660">
        <v>1606</v>
      </c>
      <c r="F1660">
        <v>15695</v>
      </c>
      <c r="G1660">
        <v>3220</v>
      </c>
    </row>
    <row r="1661" spans="1:7" x14ac:dyDescent="0.35">
      <c r="A1661" t="s">
        <v>10685</v>
      </c>
      <c r="B1661" t="s">
        <v>10686</v>
      </c>
      <c r="C1661">
        <v>25651</v>
      </c>
      <c r="D1661">
        <v>22190</v>
      </c>
      <c r="E1661">
        <v>156</v>
      </c>
      <c r="F1661">
        <v>2567</v>
      </c>
      <c r="G1661">
        <v>738</v>
      </c>
    </row>
    <row r="1662" spans="1:7" x14ac:dyDescent="0.35">
      <c r="A1662" t="s">
        <v>10727</v>
      </c>
      <c r="B1662" t="s">
        <v>10728</v>
      </c>
      <c r="C1662">
        <v>26468</v>
      </c>
      <c r="D1662">
        <v>24312</v>
      </c>
      <c r="E1662">
        <v>0</v>
      </c>
      <c r="F1662">
        <v>1437</v>
      </c>
      <c r="G1662">
        <v>719</v>
      </c>
    </row>
    <row r="1663" spans="1:7" x14ac:dyDescent="0.35">
      <c r="A1663" t="s">
        <v>10769</v>
      </c>
      <c r="B1663" t="s">
        <v>10770</v>
      </c>
      <c r="C1663">
        <v>35179</v>
      </c>
      <c r="D1663">
        <v>33143</v>
      </c>
      <c r="E1663">
        <v>68</v>
      </c>
      <c r="F1663">
        <v>1448</v>
      </c>
      <c r="G1663">
        <v>520</v>
      </c>
    </row>
    <row r="1664" spans="1:7" x14ac:dyDescent="0.35">
      <c r="A1664" t="s">
        <v>10811</v>
      </c>
      <c r="B1664" t="s">
        <v>10812</v>
      </c>
      <c r="C1664">
        <v>14070</v>
      </c>
      <c r="D1664">
        <v>12457</v>
      </c>
      <c r="E1664">
        <v>29</v>
      </c>
      <c r="F1664">
        <v>765</v>
      </c>
      <c r="G1664">
        <v>819</v>
      </c>
    </row>
    <row r="1665" spans="1:7" x14ac:dyDescent="0.35">
      <c r="A1665" t="s">
        <v>10853</v>
      </c>
      <c r="B1665" t="s">
        <v>194</v>
      </c>
      <c r="C1665">
        <v>28386</v>
      </c>
      <c r="D1665">
        <v>26575</v>
      </c>
      <c r="E1665">
        <v>5</v>
      </c>
      <c r="F1665">
        <v>1293</v>
      </c>
      <c r="G1665">
        <v>513</v>
      </c>
    </row>
    <row r="1666" spans="1:7" x14ac:dyDescent="0.35">
      <c r="A1666" t="s">
        <v>10894</v>
      </c>
      <c r="B1666" t="s">
        <v>219</v>
      </c>
      <c r="C1666">
        <v>28260</v>
      </c>
      <c r="D1666">
        <v>25998</v>
      </c>
      <c r="E1666">
        <v>146</v>
      </c>
      <c r="F1666">
        <v>1719</v>
      </c>
      <c r="G1666">
        <v>397</v>
      </c>
    </row>
    <row r="1667" spans="1:7" x14ac:dyDescent="0.35">
      <c r="A1667" t="s">
        <v>10935</v>
      </c>
      <c r="B1667" t="s">
        <v>10936</v>
      </c>
      <c r="C1667">
        <v>32888</v>
      </c>
      <c r="D1667">
        <v>27199</v>
      </c>
      <c r="E1667">
        <v>6</v>
      </c>
      <c r="F1667">
        <v>4678</v>
      </c>
      <c r="G1667">
        <v>1005</v>
      </c>
    </row>
    <row r="1668" spans="1:7" x14ac:dyDescent="0.35">
      <c r="A1668" t="s">
        <v>10977</v>
      </c>
      <c r="B1668" t="s">
        <v>10978</v>
      </c>
      <c r="C1668">
        <v>14460</v>
      </c>
      <c r="D1668">
        <v>12764</v>
      </c>
      <c r="E1668">
        <v>0</v>
      </c>
      <c r="F1668">
        <v>1383</v>
      </c>
      <c r="G1668">
        <v>313</v>
      </c>
    </row>
    <row r="1669" spans="1:7" x14ac:dyDescent="0.35">
      <c r="A1669" t="s">
        <v>11019</v>
      </c>
      <c r="B1669" t="s">
        <v>11020</v>
      </c>
      <c r="C1669">
        <v>28495</v>
      </c>
      <c r="D1669">
        <v>25600</v>
      </c>
      <c r="E1669">
        <v>0</v>
      </c>
      <c r="F1669">
        <v>2223</v>
      </c>
      <c r="G1669">
        <v>672</v>
      </c>
    </row>
    <row r="1670" spans="1:7" x14ac:dyDescent="0.35">
      <c r="A1670" t="s">
        <v>11061</v>
      </c>
      <c r="B1670" t="s">
        <v>11062</v>
      </c>
      <c r="C1670">
        <v>72644</v>
      </c>
      <c r="D1670">
        <v>61881</v>
      </c>
      <c r="E1670">
        <v>22</v>
      </c>
      <c r="F1670">
        <v>8849</v>
      </c>
      <c r="G1670">
        <v>1892</v>
      </c>
    </row>
    <row r="1671" spans="1:7" x14ac:dyDescent="0.35">
      <c r="A1671" t="s">
        <v>11103</v>
      </c>
      <c r="B1671" t="s">
        <v>193</v>
      </c>
      <c r="C1671">
        <v>36793</v>
      </c>
      <c r="D1671">
        <v>32720</v>
      </c>
      <c r="E1671">
        <v>11</v>
      </c>
      <c r="F1671">
        <v>2559</v>
      </c>
      <c r="G1671">
        <v>1503</v>
      </c>
    </row>
    <row r="1672" spans="1:7" x14ac:dyDescent="0.35">
      <c r="A1672" t="s">
        <v>11144</v>
      </c>
      <c r="B1672" t="s">
        <v>11145</v>
      </c>
      <c r="C1672">
        <v>23925</v>
      </c>
      <c r="D1672">
        <v>20491</v>
      </c>
      <c r="E1672">
        <v>0</v>
      </c>
      <c r="F1672">
        <v>3075</v>
      </c>
      <c r="G1672">
        <v>359</v>
      </c>
    </row>
    <row r="1673" spans="1:7" x14ac:dyDescent="0.35">
      <c r="A1673" t="s">
        <v>11186</v>
      </c>
      <c r="B1673" t="s">
        <v>11187</v>
      </c>
      <c r="C1673">
        <v>2196</v>
      </c>
      <c r="D1673">
        <v>1986</v>
      </c>
      <c r="E1673">
        <v>0</v>
      </c>
      <c r="F1673">
        <v>210</v>
      </c>
      <c r="G1673">
        <v>0</v>
      </c>
    </row>
    <row r="1674" spans="1:7" x14ac:dyDescent="0.35">
      <c r="A1674" t="s">
        <v>11229</v>
      </c>
      <c r="B1674" t="s">
        <v>11230</v>
      </c>
      <c r="C1674">
        <v>22506</v>
      </c>
      <c r="D1674">
        <v>19354</v>
      </c>
      <c r="E1674">
        <v>0</v>
      </c>
      <c r="F1674">
        <v>1565</v>
      </c>
      <c r="G1674">
        <v>1587</v>
      </c>
    </row>
    <row r="1675" spans="1:7" x14ac:dyDescent="0.35">
      <c r="A1675" t="s">
        <v>11271</v>
      </c>
      <c r="B1675" t="s">
        <v>11272</v>
      </c>
      <c r="C1675">
        <v>20762</v>
      </c>
      <c r="D1675">
        <v>16451</v>
      </c>
      <c r="E1675">
        <v>18</v>
      </c>
      <c r="F1675">
        <v>2545</v>
      </c>
      <c r="G1675">
        <v>1748</v>
      </c>
    </row>
    <row r="1676" spans="1:7" x14ac:dyDescent="0.35">
      <c r="A1676" t="s">
        <v>11313</v>
      </c>
      <c r="B1676" t="s">
        <v>11314</v>
      </c>
      <c r="C1676">
        <v>15536</v>
      </c>
      <c r="D1676">
        <v>12502</v>
      </c>
      <c r="E1676">
        <v>55</v>
      </c>
      <c r="F1676">
        <v>1500</v>
      </c>
      <c r="G1676">
        <v>1479</v>
      </c>
    </row>
    <row r="1677" spans="1:7" x14ac:dyDescent="0.35">
      <c r="A1677" t="s">
        <v>11355</v>
      </c>
      <c r="B1677" t="s">
        <v>11356</v>
      </c>
      <c r="C1677">
        <v>29507</v>
      </c>
      <c r="D1677">
        <v>24083</v>
      </c>
      <c r="E1677">
        <v>728</v>
      </c>
      <c r="F1677">
        <v>2043</v>
      </c>
      <c r="G1677">
        <v>2653</v>
      </c>
    </row>
    <row r="1678" spans="1:7" x14ac:dyDescent="0.35">
      <c r="A1678" t="s">
        <v>11397</v>
      </c>
      <c r="B1678" t="s">
        <v>11398</v>
      </c>
      <c r="C1678">
        <v>20563</v>
      </c>
      <c r="D1678">
        <v>16746</v>
      </c>
      <c r="E1678">
        <v>108</v>
      </c>
      <c r="F1678">
        <v>2533</v>
      </c>
      <c r="G1678">
        <v>1176</v>
      </c>
    </row>
    <row r="1679" spans="1:7" x14ac:dyDescent="0.35">
      <c r="A1679" t="s">
        <v>11439</v>
      </c>
      <c r="B1679" t="s">
        <v>11440</v>
      </c>
      <c r="C1679">
        <v>35321</v>
      </c>
      <c r="D1679">
        <v>31735</v>
      </c>
      <c r="E1679">
        <v>715</v>
      </c>
      <c r="F1679">
        <v>2299</v>
      </c>
      <c r="G1679">
        <v>572</v>
      </c>
    </row>
    <row r="1680" spans="1:7" x14ac:dyDescent="0.35">
      <c r="A1680" t="s">
        <v>11481</v>
      </c>
      <c r="B1680" t="s">
        <v>11482</v>
      </c>
      <c r="C1680">
        <v>29808</v>
      </c>
      <c r="D1680">
        <v>23773</v>
      </c>
      <c r="E1680">
        <v>71</v>
      </c>
      <c r="F1680">
        <v>3144</v>
      </c>
      <c r="G1680">
        <v>2820</v>
      </c>
    </row>
    <row r="1681" spans="1:7" x14ac:dyDescent="0.35">
      <c r="A1681" t="s">
        <v>11523</v>
      </c>
      <c r="B1681" t="s">
        <v>11524</v>
      </c>
      <c r="C1681">
        <v>27398</v>
      </c>
      <c r="D1681">
        <v>20831</v>
      </c>
      <c r="E1681">
        <v>207</v>
      </c>
      <c r="F1681">
        <v>2698</v>
      </c>
      <c r="G1681">
        <v>3662</v>
      </c>
    </row>
    <row r="1682" spans="1:7" x14ac:dyDescent="0.35">
      <c r="A1682" t="s">
        <v>11565</v>
      </c>
      <c r="B1682" t="s">
        <v>11566</v>
      </c>
      <c r="C1682">
        <v>19893</v>
      </c>
      <c r="D1682">
        <v>16730</v>
      </c>
      <c r="E1682">
        <v>370</v>
      </c>
      <c r="F1682">
        <v>1267</v>
      </c>
      <c r="G1682">
        <v>1526</v>
      </c>
    </row>
    <row r="1683" spans="1:7" x14ac:dyDescent="0.35">
      <c r="A1683" t="s">
        <v>11607</v>
      </c>
      <c r="B1683" t="s">
        <v>11608</v>
      </c>
      <c r="C1683">
        <v>38467</v>
      </c>
      <c r="D1683">
        <v>32902</v>
      </c>
      <c r="E1683">
        <v>163</v>
      </c>
      <c r="F1683">
        <v>2343</v>
      </c>
      <c r="G1683">
        <v>3059</v>
      </c>
    </row>
    <row r="1684" spans="1:7" x14ac:dyDescent="0.35">
      <c r="A1684" t="s">
        <v>11649</v>
      </c>
      <c r="B1684" t="s">
        <v>11650</v>
      </c>
      <c r="C1684">
        <v>48032</v>
      </c>
      <c r="D1684">
        <v>41607</v>
      </c>
      <c r="E1684">
        <v>646</v>
      </c>
      <c r="F1684">
        <v>3267</v>
      </c>
      <c r="G1684">
        <v>2512</v>
      </c>
    </row>
    <row r="1685" spans="1:7" x14ac:dyDescent="0.35">
      <c r="A1685" t="s">
        <v>11691</v>
      </c>
      <c r="B1685" t="s">
        <v>11692</v>
      </c>
      <c r="C1685">
        <v>27046</v>
      </c>
      <c r="D1685">
        <v>24071</v>
      </c>
      <c r="E1685">
        <v>169</v>
      </c>
      <c r="F1685">
        <v>1658</v>
      </c>
      <c r="G1685">
        <v>1148</v>
      </c>
    </row>
    <row r="1686" spans="1:7" x14ac:dyDescent="0.35">
      <c r="A1686" t="s">
        <v>11733</v>
      </c>
      <c r="B1686" t="s">
        <v>11734</v>
      </c>
      <c r="C1686">
        <v>28895</v>
      </c>
      <c r="D1686">
        <v>23790</v>
      </c>
      <c r="E1686">
        <v>64</v>
      </c>
      <c r="F1686">
        <v>3038</v>
      </c>
      <c r="G1686">
        <v>2003</v>
      </c>
    </row>
    <row r="1687" spans="1:7" x14ac:dyDescent="0.35">
      <c r="A1687" t="s">
        <v>11775</v>
      </c>
      <c r="B1687" t="s">
        <v>11776</v>
      </c>
      <c r="C1687">
        <v>10700</v>
      </c>
      <c r="D1687">
        <v>8016</v>
      </c>
      <c r="E1687">
        <v>8</v>
      </c>
      <c r="F1687">
        <v>1393</v>
      </c>
      <c r="G1687">
        <v>1283</v>
      </c>
    </row>
    <row r="1688" spans="1:7" x14ac:dyDescent="0.35">
      <c r="A1688" t="s">
        <v>11817</v>
      </c>
      <c r="B1688" t="s">
        <v>11818</v>
      </c>
      <c r="C1688">
        <v>14770</v>
      </c>
      <c r="D1688">
        <v>11792</v>
      </c>
      <c r="E1688">
        <v>290</v>
      </c>
      <c r="F1688">
        <v>1383</v>
      </c>
      <c r="G1688">
        <v>1305</v>
      </c>
    </row>
    <row r="1689" spans="1:7" x14ac:dyDescent="0.35">
      <c r="A1689" t="s">
        <v>11859</v>
      </c>
      <c r="B1689" t="s">
        <v>11860</v>
      </c>
      <c r="C1689">
        <v>19226</v>
      </c>
      <c r="D1689">
        <v>16504</v>
      </c>
      <c r="E1689">
        <v>235</v>
      </c>
      <c r="F1689">
        <v>1103</v>
      </c>
      <c r="G1689">
        <v>1384</v>
      </c>
    </row>
    <row r="1690" spans="1:7" x14ac:dyDescent="0.35">
      <c r="A1690" t="s">
        <v>11901</v>
      </c>
      <c r="B1690" t="s">
        <v>11902</v>
      </c>
      <c r="C1690">
        <v>24883</v>
      </c>
      <c r="D1690">
        <v>20980</v>
      </c>
      <c r="E1690">
        <v>97</v>
      </c>
      <c r="F1690">
        <v>1403</v>
      </c>
      <c r="G1690">
        <v>2403</v>
      </c>
    </row>
    <row r="1691" spans="1:7" x14ac:dyDescent="0.35">
      <c r="A1691" t="s">
        <v>11943</v>
      </c>
      <c r="B1691" t="s">
        <v>11944</v>
      </c>
      <c r="C1691">
        <v>42555</v>
      </c>
      <c r="D1691">
        <v>38663</v>
      </c>
      <c r="E1691">
        <v>301</v>
      </c>
      <c r="F1691">
        <v>2133</v>
      </c>
      <c r="G1691">
        <v>1458</v>
      </c>
    </row>
    <row r="1692" spans="1:7" x14ac:dyDescent="0.35">
      <c r="A1692" t="s">
        <v>11985</v>
      </c>
      <c r="B1692" t="s">
        <v>11986</v>
      </c>
      <c r="C1692">
        <v>20245</v>
      </c>
      <c r="D1692">
        <v>17293</v>
      </c>
      <c r="E1692">
        <v>310</v>
      </c>
      <c r="F1692">
        <v>2090</v>
      </c>
      <c r="G1692">
        <v>552</v>
      </c>
    </row>
    <row r="1693" spans="1:7" x14ac:dyDescent="0.35">
      <c r="A1693" t="s">
        <v>12027</v>
      </c>
      <c r="B1693" t="s">
        <v>12028</v>
      </c>
      <c r="C1693">
        <v>7805</v>
      </c>
      <c r="D1693">
        <v>6628</v>
      </c>
      <c r="E1693">
        <v>94</v>
      </c>
      <c r="F1693">
        <v>499</v>
      </c>
      <c r="G1693">
        <v>584</v>
      </c>
    </row>
    <row r="1694" spans="1:7" x14ac:dyDescent="0.35">
      <c r="A1694" t="s">
        <v>12071</v>
      </c>
      <c r="B1694" t="s">
        <v>12072</v>
      </c>
      <c r="C1694">
        <v>50476</v>
      </c>
      <c r="D1694">
        <v>44305</v>
      </c>
      <c r="E1694">
        <v>97</v>
      </c>
      <c r="F1694">
        <v>4055</v>
      </c>
      <c r="G1694">
        <v>2019</v>
      </c>
    </row>
    <row r="1695" spans="1:7" x14ac:dyDescent="0.35">
      <c r="A1695" t="s">
        <v>12113</v>
      </c>
      <c r="B1695" t="s">
        <v>12114</v>
      </c>
      <c r="C1695">
        <v>40432</v>
      </c>
      <c r="D1695">
        <v>34386</v>
      </c>
      <c r="E1695">
        <v>950</v>
      </c>
      <c r="F1695">
        <v>3010</v>
      </c>
      <c r="G1695">
        <v>2086</v>
      </c>
    </row>
    <row r="1696" spans="1:7" x14ac:dyDescent="0.35">
      <c r="A1696" t="s">
        <v>12155</v>
      </c>
      <c r="B1696" t="s">
        <v>12156</v>
      </c>
      <c r="C1696">
        <v>12379</v>
      </c>
      <c r="D1696">
        <v>10149</v>
      </c>
      <c r="E1696">
        <v>25</v>
      </c>
      <c r="F1696">
        <v>1159</v>
      </c>
      <c r="G1696">
        <v>1046</v>
      </c>
    </row>
    <row r="1697" spans="1:7" x14ac:dyDescent="0.35">
      <c r="A1697" t="s">
        <v>12197</v>
      </c>
      <c r="B1697" t="s">
        <v>12198</v>
      </c>
      <c r="C1697">
        <v>37138</v>
      </c>
      <c r="D1697">
        <v>31698</v>
      </c>
      <c r="E1697">
        <v>14</v>
      </c>
      <c r="F1697">
        <v>1901</v>
      </c>
      <c r="G1697">
        <v>3525</v>
      </c>
    </row>
    <row r="1698" spans="1:7" x14ac:dyDescent="0.35">
      <c r="A1698" t="s">
        <v>12239</v>
      </c>
      <c r="B1698" t="s">
        <v>12240</v>
      </c>
      <c r="C1698">
        <v>9950</v>
      </c>
      <c r="D1698">
        <v>7578</v>
      </c>
      <c r="E1698">
        <v>1</v>
      </c>
      <c r="F1698">
        <v>1461</v>
      </c>
      <c r="G1698">
        <v>910</v>
      </c>
    </row>
    <row r="1699" spans="1:7" x14ac:dyDescent="0.35">
      <c r="A1699" t="s">
        <v>12281</v>
      </c>
      <c r="B1699" t="s">
        <v>12282</v>
      </c>
      <c r="C1699">
        <v>10343</v>
      </c>
      <c r="D1699">
        <v>8838</v>
      </c>
      <c r="E1699">
        <v>0</v>
      </c>
      <c r="F1699">
        <v>1070</v>
      </c>
      <c r="G1699">
        <v>435</v>
      </c>
    </row>
    <row r="1700" spans="1:7" x14ac:dyDescent="0.35">
      <c r="A1700" t="s">
        <v>12323</v>
      </c>
      <c r="B1700" t="s">
        <v>157</v>
      </c>
      <c r="C1700">
        <v>57818</v>
      </c>
      <c r="D1700">
        <v>51526</v>
      </c>
      <c r="E1700">
        <v>329</v>
      </c>
      <c r="F1700">
        <v>2818</v>
      </c>
      <c r="G1700">
        <v>3145</v>
      </c>
    </row>
    <row r="1701" spans="1:7" x14ac:dyDescent="0.35">
      <c r="A1701" t="s">
        <v>12364</v>
      </c>
      <c r="B1701" t="s">
        <v>171</v>
      </c>
      <c r="C1701">
        <v>12520</v>
      </c>
      <c r="D1701">
        <v>9733</v>
      </c>
      <c r="E1701">
        <v>8</v>
      </c>
      <c r="F1701">
        <v>1836</v>
      </c>
      <c r="G1701">
        <v>943</v>
      </c>
    </row>
    <row r="1702" spans="1:7" x14ac:dyDescent="0.35">
      <c r="A1702" t="s">
        <v>12405</v>
      </c>
      <c r="B1702" t="s">
        <v>188</v>
      </c>
      <c r="C1702">
        <v>49144</v>
      </c>
      <c r="D1702">
        <v>42615</v>
      </c>
      <c r="E1702">
        <v>124</v>
      </c>
      <c r="F1702">
        <v>2356</v>
      </c>
      <c r="G1702">
        <v>4049</v>
      </c>
    </row>
    <row r="1703" spans="1:7" x14ac:dyDescent="0.35">
      <c r="A1703" t="s">
        <v>12446</v>
      </c>
      <c r="B1703" t="s">
        <v>195</v>
      </c>
      <c r="C1703">
        <v>25148</v>
      </c>
      <c r="D1703">
        <v>20361</v>
      </c>
      <c r="E1703">
        <v>13</v>
      </c>
      <c r="F1703">
        <v>2335</v>
      </c>
      <c r="G1703">
        <v>2439</v>
      </c>
    </row>
    <row r="1704" spans="1:7" x14ac:dyDescent="0.35">
      <c r="A1704" t="s">
        <v>12487</v>
      </c>
      <c r="B1704" t="s">
        <v>196</v>
      </c>
      <c r="C1704">
        <v>31282</v>
      </c>
      <c r="D1704">
        <v>24834</v>
      </c>
      <c r="E1704">
        <v>508</v>
      </c>
      <c r="F1704">
        <v>3035</v>
      </c>
      <c r="G1704">
        <v>2905</v>
      </c>
    </row>
    <row r="1705" spans="1:7" x14ac:dyDescent="0.35">
      <c r="A1705" t="s">
        <v>12528</v>
      </c>
      <c r="B1705" t="s">
        <v>210</v>
      </c>
      <c r="C1705">
        <v>28057</v>
      </c>
      <c r="D1705">
        <v>23397</v>
      </c>
      <c r="E1705">
        <v>926</v>
      </c>
      <c r="F1705">
        <v>3250</v>
      </c>
      <c r="G1705">
        <v>484</v>
      </c>
    </row>
    <row r="1706" spans="1:7" x14ac:dyDescent="0.35">
      <c r="A1706" t="s">
        <v>15838</v>
      </c>
      <c r="B1706" t="s">
        <v>898</v>
      </c>
      <c r="C1706">
        <v>343777</v>
      </c>
      <c r="D1706">
        <v>269989</v>
      </c>
      <c r="E1706">
        <v>486</v>
      </c>
      <c r="F1706">
        <v>52450</v>
      </c>
      <c r="G1706">
        <v>20852</v>
      </c>
    </row>
    <row r="1707" spans="1:7" x14ac:dyDescent="0.35">
      <c r="A1707" t="s">
        <v>15838</v>
      </c>
      <c r="B1707" t="s">
        <v>1477</v>
      </c>
      <c r="C1707">
        <v>464451</v>
      </c>
      <c r="D1707">
        <v>375200</v>
      </c>
      <c r="E1707">
        <v>1977</v>
      </c>
      <c r="F1707">
        <v>54384</v>
      </c>
      <c r="G1707">
        <v>32890</v>
      </c>
    </row>
    <row r="1708" spans="1:7" x14ac:dyDescent="0.35">
      <c r="A1708" t="s">
        <v>15838</v>
      </c>
      <c r="B1708" t="s">
        <v>11188</v>
      </c>
      <c r="C1708">
        <v>870801</v>
      </c>
      <c r="D1708">
        <v>735857</v>
      </c>
      <c r="E1708">
        <v>7644</v>
      </c>
      <c r="F1708">
        <v>68400</v>
      </c>
      <c r="G1708">
        <v>58900</v>
      </c>
    </row>
    <row r="1709" spans="1:7" x14ac:dyDescent="0.35">
      <c r="A1709" t="s">
        <v>15838</v>
      </c>
      <c r="B1709" t="s">
        <v>292</v>
      </c>
      <c r="C1709">
        <v>274804</v>
      </c>
      <c r="D1709">
        <v>239108</v>
      </c>
      <c r="E1709">
        <v>139</v>
      </c>
      <c r="F1709">
        <v>30105</v>
      </c>
      <c r="G1709">
        <v>5452</v>
      </c>
    </row>
    <row r="1710" spans="1:7" x14ac:dyDescent="0.35">
      <c r="A1710" t="s">
        <v>15838</v>
      </c>
      <c r="B1710" t="s">
        <v>520</v>
      </c>
      <c r="C1710">
        <v>620853</v>
      </c>
      <c r="D1710">
        <v>511150</v>
      </c>
      <c r="E1710">
        <v>466</v>
      </c>
      <c r="F1710">
        <v>84450</v>
      </c>
      <c r="G1710">
        <v>24787</v>
      </c>
    </row>
    <row r="1711" spans="1:7" x14ac:dyDescent="0.35">
      <c r="A1711" t="s">
        <v>15838</v>
      </c>
      <c r="B1711" t="s">
        <v>1644</v>
      </c>
      <c r="C1711">
        <v>609493</v>
      </c>
      <c r="D1711">
        <v>473369</v>
      </c>
      <c r="E1711">
        <v>1551</v>
      </c>
      <c r="F1711">
        <v>67246</v>
      </c>
      <c r="G1711">
        <v>67327</v>
      </c>
    </row>
    <row r="1712" spans="1:7" x14ac:dyDescent="0.35">
      <c r="A1712" t="s">
        <v>15838</v>
      </c>
      <c r="B1712" t="s">
        <v>1184</v>
      </c>
      <c r="C1712">
        <v>379139</v>
      </c>
      <c r="D1712">
        <v>295333</v>
      </c>
      <c r="E1712">
        <v>374</v>
      </c>
      <c r="F1712">
        <v>52799</v>
      </c>
      <c r="G1712">
        <v>30633</v>
      </c>
    </row>
    <row r="1713" spans="1:7" x14ac:dyDescent="0.35">
      <c r="A1713" t="s">
        <v>15838</v>
      </c>
      <c r="B1713" t="s">
        <v>1059</v>
      </c>
      <c r="C1713">
        <v>489103</v>
      </c>
      <c r="D1713">
        <v>414648</v>
      </c>
      <c r="E1713">
        <v>2264</v>
      </c>
      <c r="F1713">
        <v>49995</v>
      </c>
      <c r="G1713">
        <v>22196</v>
      </c>
    </row>
    <row r="1714" spans="1:7" x14ac:dyDescent="0.35">
      <c r="A1714" t="s">
        <v>15838</v>
      </c>
      <c r="B1714" t="s">
        <v>688</v>
      </c>
      <c r="C1714">
        <v>436031</v>
      </c>
      <c r="D1714">
        <v>382201</v>
      </c>
      <c r="E1714">
        <v>226</v>
      </c>
      <c r="F1714">
        <v>39578</v>
      </c>
      <c r="G1714">
        <v>14026</v>
      </c>
    </row>
  </sheetData>
  <autoFilter ref="A1:G1728" xr:uid="{00000000-0001-0000-0700-000000000000}"/>
  <sortState xmlns:xlrd2="http://schemas.microsoft.com/office/spreadsheetml/2017/richdata2" ref="A2:G1217">
    <sortCondition ref="B2:B1217"/>
  </sortState>
  <pageMargins left="0.7" right="0.7" top="0.75" bottom="0.75" header="0.3" footer="0.3"/>
  <pageSetup paperSize="9" orientation="portrait" r:id="rId1"/>
  <headerFooter>
    <oddHeader>&amp;C&amp;"Calibri"&amp;10&amp;K000000 OFFICIAL&amp;1#_x000D_</oddHeader>
    <oddFooter>&amp;C_x000D_&amp;1#&amp;"Calibri"&amp;10&amp;K000000 OFFICIAL</oddFooter>
  </headerFooter>
  <tableParts count="5">
    <tablePart r:id="rId2"/>
    <tablePart r:id="rId3"/>
    <tablePart r:id="rId4"/>
    <tablePart r:id="rId5"/>
    <tablePart r:id="rId6"/>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Y D A A B Q S w M E F A A C A A g A f U p G W 1 i 5 o R i m A A A A 9 w A A A B I A H A B D b 2 5 m a W c v U G F j a 2 F n Z S 5 4 b W w g o h g A K K A U A A A A A A A A A A A A A A A A A A A A A A A A A A A A h Y 8 x D o I w G I W v Q r r T l q r R k J + S 6 O A i i Y m J c W 1 K h U Y o h h b L 3 R w 8 k l c Q o 6 i b 4 / v e N 7 x 3 v 9 4 g 7 e s q u K j W 6 s Y k K M I U B c r I J t e m S F D n j u E C p R y 2 Q p 5 E o Y J B N j b u b Z 6 g 0 r l z T I j 3 H v s J b t q C M E o j c s g 2 O 1 m q W q C P r P / L o T b W C S M V 4 r B / j e E M R 9 M Z j i i b Y w p k p J B p 8 z X Y M P j Z / k B Y d Z X r W s W V C d d L I G M E 8 j 7 B H 1 B L A w Q U A A I A C A B 9 S k Z b 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f U p G W y i K R 7 g O A A A A E Q A A A B M A H A B G b 3 J t d W x h c y 9 T Z W N 0 a W 9 u M S 5 t I K I Y A C i g F A A A A A A A A A A A A A A A A A A A A A A A A A A A A C t O T S 7 J z M 9 T C I b Q h t Y A U E s B A i 0 A F A A C A A g A f U p G W 1 i 5 o R i m A A A A 9 w A A A B I A A A A A A A A A A A A A A A A A A A A A A E N v b m Z p Z y 9 Q Y W N r Y W d l L n h t b F B L A Q I t A B Q A A g A I A H 1 K R l s P y u m r p A A A A O k A A A A T A A A A A A A A A A A A A A A A A P I A A A B b Q 2 9 u d G V u d F 9 U e X B l c 1 0 u e G 1 s U E s B A i 0 A F A A C A A g A f U p G W y i K R 7 g O A A A A E Q A A A B M A A A A A A A A A A A A A A A A A 4 w E A A E Z v c m 1 1 b G F z L 1 N l Y 3 R p b 2 4 x L m 1 Q S w U G A A A A A A M A A w D C A A A A P g I 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l w E A A A A A A A B 1 A Q 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L 0 l 0 Z W 1 z P j w v T G 9 j Y W x Q Y W N r Y W d l T W V 0 Y W R h d G F G a W x l P h Y A A A B Q S w U G A A A A A A A A A A A A A A A A A A A A A A A A J g E A A A E A A A D Q j J 3 f A R X R E Y x 6 A M B P w p f r A Q A A A A L T M 6 i J 3 9 Z K o Z d 8 R 9 S e a L I A A A A A A g A A A A A A E G Y A A A A B A A A g A A A A p f h 7 K V D F q i Q v 3 9 C B Q V i C X 3 P x n e G D U H R 5 g T 7 3 n K V Y 5 A I A A A A A D o A A A A A C A A A g A A A A Z D t j t f q K E Q b r h u F p 1 d i i q e Z U G A v w V i 8 V T c F n k i G o b Z V Q A A A A + + + Z h Q m T h F u e a D 9 R x o m x P 3 3 j V 4 L 2 s Q p m 6 h s B b W 1 G + P T k H A Q B 1 1 T 5 H d E J h 1 d a c 9 u b 3 c Z n E 5 7 n V / n a u L 2 P s I g N C 4 v 9 i U A y P 5 i m Q G a T f w P E I o R A A A A A 0 H d n C D g F 9 9 L 8 7 w 3 c H l + G Z k e 2 i T 5 e S v c 1 Y U k b Q b Y t x y J 6 x I j V 1 g q H o u P p e I N L B H e M f T u J t E 8 A i e u H / q T g Y y S N v Q = = < / D a t a M a s h u p > 
</file>

<file path=customXml/item2.xml><?xml version="1.0" encoding="utf-8"?>
<ct:contentTypeSchema xmlns:ct="http://schemas.microsoft.com/office/2006/metadata/contentType" xmlns:ma="http://schemas.microsoft.com/office/2006/metadata/properties/metaAttributes" ct:_="" ma:_="" ma:contentTypeName="Document" ma:contentTypeID="0x01010020A7B73D9D67FB478CC231A7278947FF" ma:contentTypeVersion="15" ma:contentTypeDescription="Create a new document." ma:contentTypeScope="" ma:versionID="253f5260491edaf53184a26e56c54baf">
  <xsd:schema xmlns:xsd="http://www.w3.org/2001/XMLSchema" xmlns:xs="http://www.w3.org/2001/XMLSchema" xmlns:p="http://schemas.microsoft.com/office/2006/metadata/properties" xmlns:ns1="http://schemas.microsoft.com/sharepoint/v3" xmlns:ns2="9e818419-471e-4310-9260-dcc015c635c5" xmlns:ns3="c42533e1-c74f-47a8-825b-bbebf5f2b8e7" targetNamespace="http://schemas.microsoft.com/office/2006/metadata/properties" ma:root="true" ma:fieldsID="03a1729d16c7622e9c24468def5bd28a" ns1:_="" ns2:_="" ns3:_="">
    <xsd:import namespace="http://schemas.microsoft.com/sharepoint/v3"/>
    <xsd:import namespace="9e818419-471e-4310-9260-dcc015c635c5"/>
    <xsd:import namespace="c42533e1-c74f-47a8-825b-bbebf5f2b8e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1:_ip_UnifiedCompliancePolicyProperties" minOccurs="0"/>
                <xsd:element ref="ns1:_ip_UnifiedCompliancePolicyUIAction" minOccurs="0"/>
                <xsd:element ref="ns2:MediaServiceDateTaken" minOccurs="0"/>
                <xsd:element ref="ns2:MediaServiceGenerationTime" minOccurs="0"/>
                <xsd:element ref="ns2:MediaServiceEventHashCode" minOccurs="0"/>
                <xsd:element ref="ns2:MediaLengthInSeconds" minOccurs="0"/>
                <xsd:element ref="ns2:MediaServiceLocation" minOccurs="0"/>
                <xsd:element ref="ns2:MediaServiceBillingMetadata"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1" nillable="true" ma:displayName="Unified Compliance Policy Properties" ma:hidden="true" ma:internalName="_ip_UnifiedCompliancePolicyProperties">
      <xsd:simpleType>
        <xsd:restriction base="dms:Note"/>
      </xsd:simpleType>
    </xsd:element>
    <xsd:element name="_ip_UnifiedCompliancePolicyUIAction" ma:index="1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9e818419-471e-4310-9260-dcc015c635c5"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DateTaken" ma:index="13" nillable="true" ma:displayName="MediaServiceDateTaken" ma:description="" ma:hidden="true" ma:indexed="true" ma:internalName="MediaServiceDateTaken"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LengthInSeconds" ma:index="16" nillable="true" ma:displayName="MediaLengthInSeconds" ma:hidden="true" ma:internalName="MediaLengthInSeconds" ma:readOnly="true">
      <xsd:simpleType>
        <xsd:restriction base="dms:Unknown"/>
      </xsd:simpleType>
    </xsd:element>
    <xsd:element name="MediaServiceLocation" ma:index="17" nillable="true" ma:displayName="Location" ma:description="" ma:indexed="true" ma:internalName="MediaServiceLocation" ma:readOnly="true">
      <xsd:simpleType>
        <xsd:restriction base="dms:Text"/>
      </xsd:simpleType>
    </xsd:element>
    <xsd:element name="MediaServiceBillingMetadata" ma:index="18" nillable="true" ma:displayName="MediaServiceBillingMetadata" ma:hidden="true" ma:internalName="MediaServiceBillingMetadata" ma:readOnly="true">
      <xsd:simpleType>
        <xsd:restriction base="dms:Note"/>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756ca3a0-e5c0-40d7-8522-e7aae8be603d" ma:termSetId="09814cd3-568e-fe90-9814-8d621ff8fb84" ma:anchorId="fba54fb3-c3e1-fe81-a776-ca4b69148c4d" ma:open="true" ma:isKeyword="false">
      <xsd:complexType>
        <xsd:sequence>
          <xsd:element ref="pc:Terms" minOccurs="0" maxOccurs="1"/>
        </xsd:sequence>
      </xsd:complexType>
    </xsd:element>
    <xsd:element name="MediaServiceOCR" ma:index="22"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42533e1-c74f-47a8-825b-bbebf5f2b8e7"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f6230d26-2378-4fc3-9b22-e9809bfd610b}" ma:internalName="TaxCatchAll" ma:showField="CatchAllData" ma:web="c42533e1-c74f-47a8-825b-bbebf5f2b8e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lcf76f155ced4ddcb4097134ff3c332f xmlns="9e818419-471e-4310-9260-dcc015c635c5">
      <Terms xmlns="http://schemas.microsoft.com/office/infopath/2007/PartnerControls"/>
    </lcf76f155ced4ddcb4097134ff3c332f>
    <TaxCatchAll xmlns="c42533e1-c74f-47a8-825b-bbebf5f2b8e7" xsi:nil="true"/>
  </documentManagement>
</p:properties>
</file>

<file path=customXml/itemProps1.xml><?xml version="1.0" encoding="utf-8"?>
<ds:datastoreItem xmlns:ds="http://schemas.openxmlformats.org/officeDocument/2006/customXml" ds:itemID="{9AAB3E6D-1A85-4EDC-B8A3-13ECD46E7963}">
  <ds:schemaRefs>
    <ds:schemaRef ds:uri="http://schemas.microsoft.com/DataMashup"/>
  </ds:schemaRefs>
</ds:datastoreItem>
</file>

<file path=customXml/itemProps2.xml><?xml version="1.0" encoding="utf-8"?>
<ds:datastoreItem xmlns:ds="http://schemas.openxmlformats.org/officeDocument/2006/customXml" ds:itemID="{D84C5727-6A28-4DDF-B87B-F97BD4151C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9e818419-471e-4310-9260-dcc015c635c5"/>
    <ds:schemaRef ds:uri="c42533e1-c74f-47a8-825b-bbebf5f2b8e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25799D6-D52F-4219-A451-B567CA28F17A}">
  <ds:schemaRefs>
    <ds:schemaRef ds:uri="http://schemas.microsoft.com/sharepoint/v3/contenttype/forms"/>
  </ds:schemaRefs>
</ds:datastoreItem>
</file>

<file path=customXml/itemProps4.xml><?xml version="1.0" encoding="utf-8"?>
<ds:datastoreItem xmlns:ds="http://schemas.openxmlformats.org/officeDocument/2006/customXml" ds:itemID="{AA8FC0F3-89AB-4EFF-BD2C-8D5B4305DE4D}">
  <ds:schemaRefs>
    <ds:schemaRef ds:uri="http://purl.org/dc/elements/1.1/"/>
    <ds:schemaRef ds:uri="http://www.w3.org/XML/1998/namespace"/>
    <ds:schemaRef ds:uri="9e818419-471e-4310-9260-dcc015c635c5"/>
    <ds:schemaRef ds:uri="c42533e1-c74f-47a8-825b-bbebf5f2b8e7"/>
    <ds:schemaRef ds:uri="http://purl.org/dc/dcmitype/"/>
    <ds:schemaRef ds:uri="http://schemas.microsoft.com/office/2006/metadata/properties"/>
    <ds:schemaRef ds:uri="http://purl.org/dc/terms/"/>
    <ds:schemaRef ds:uri="http://schemas.microsoft.com/office/2006/documentManagement/types"/>
    <ds:schemaRef ds:uri="http://schemas.microsoft.com/office/infopath/2007/PartnerControls"/>
    <ds:schemaRef ds:uri="http://schemas.openxmlformats.org/package/2006/metadata/core-properties"/>
    <ds:schemaRef ds:uri="http://schemas.microsoft.com/sharepoint/v3"/>
  </ds:schemaRefs>
</ds:datastoreItem>
</file>

<file path=docMetadata/LabelInfo.xml><?xml version="1.0" encoding="utf-8"?>
<clbl:labelList xmlns:clbl="http://schemas.microsoft.com/office/2020/mipLabelMetadata">
  <clbl:label id="{fbd41ebe-fca6-4f2c-aecb-bf3a17e72416}" enabled="1" method="Privileged" siteId="{bf346810-9c7d-43de-a872-24a2ef3995a8}" removed="0"/>
</clbl:labelLis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vt:i4>
      </vt:variant>
      <vt:variant>
        <vt:lpstr>Named Ranges</vt:lpstr>
      </vt:variant>
      <vt:variant>
        <vt:i4>6</vt:i4>
      </vt:variant>
    </vt:vector>
  </HeadingPairs>
  <TitlesOfParts>
    <vt:vector size="12" baseType="lpstr">
      <vt:lpstr>Introduction and Contents</vt:lpstr>
      <vt:lpstr>Glossary</vt:lpstr>
      <vt:lpstr>Version History</vt:lpstr>
      <vt:lpstr>Area Summary</vt:lpstr>
      <vt:lpstr>LARPs and PRPs in region</vt:lpstr>
      <vt:lpstr>How to use the search function</vt:lpstr>
      <vt:lpstr>LOOKUP_SCE</vt:lpstr>
      <vt:lpstr>LookupMaster</vt:lpstr>
      <vt:lpstr>RP_LA_Count</vt:lpstr>
      <vt:lpstr>RP_LARP_Counts</vt:lpstr>
      <vt:lpstr>RP_Totals</vt:lpstr>
      <vt:lpstr>Stock_By_LA</vt:lpstr>
    </vt:vector>
  </TitlesOfParts>
  <Manager/>
  <Company>HCA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Nick Parker</dc:creator>
  <cp:keywords/>
  <dc:description/>
  <cp:lastModifiedBy>Kevin Watson-Hoy</cp:lastModifiedBy>
  <cp:revision/>
  <dcterms:created xsi:type="dcterms:W3CDTF">2019-09-12T12:16:06Z</dcterms:created>
  <dcterms:modified xsi:type="dcterms:W3CDTF">2025-11-10T14:53:52Z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itusGUID">
    <vt:lpwstr>fdb6c95b-3ae9-4a8f-b966-bad729a7901d</vt:lpwstr>
  </property>
  <property fmtid="{D5CDD505-2E9C-101B-9397-08002B2CF9AE}" pid="3" name="HCAGPMS">
    <vt:lpwstr>OFFICIAL</vt:lpwstr>
  </property>
  <property fmtid="{D5CDD505-2E9C-101B-9397-08002B2CF9AE}" pid="4" name="MSIP_Label_727fb50e-81d5-40a5-b712-4eff31972ce4_Enabled">
    <vt:lpwstr>True</vt:lpwstr>
  </property>
  <property fmtid="{D5CDD505-2E9C-101B-9397-08002B2CF9AE}" pid="5" name="MSIP_Label_727fb50e-81d5-40a5-b712-4eff31972ce4_SiteId">
    <vt:lpwstr>faa8e269-0811-4538-82e7-4d29009219bf</vt:lpwstr>
  </property>
  <property fmtid="{D5CDD505-2E9C-101B-9397-08002B2CF9AE}" pid="6" name="MSIP_Label_727fb50e-81d5-40a5-b712-4eff31972ce4_Owner">
    <vt:lpwstr>Paul.Kester@rsh.gov.uk</vt:lpwstr>
  </property>
  <property fmtid="{D5CDD505-2E9C-101B-9397-08002B2CF9AE}" pid="7" name="MSIP_Label_727fb50e-81d5-40a5-b712-4eff31972ce4_SetDate">
    <vt:lpwstr>2021-02-19T10:50:40.2086216Z</vt:lpwstr>
  </property>
  <property fmtid="{D5CDD505-2E9C-101B-9397-08002B2CF9AE}" pid="8" name="MSIP_Label_727fb50e-81d5-40a5-b712-4eff31972ce4_Name">
    <vt:lpwstr>Official</vt:lpwstr>
  </property>
  <property fmtid="{D5CDD505-2E9C-101B-9397-08002B2CF9AE}" pid="9" name="MSIP_Label_727fb50e-81d5-40a5-b712-4eff31972ce4_Application">
    <vt:lpwstr>Microsoft Azure Information Protection</vt:lpwstr>
  </property>
  <property fmtid="{D5CDD505-2E9C-101B-9397-08002B2CF9AE}" pid="10" name="MSIP_Label_727fb50e-81d5-40a5-b712-4eff31972ce4_ActionId">
    <vt:lpwstr>25b45ac7-f7cc-4c3a-b657-3a7925a7b2c7</vt:lpwstr>
  </property>
  <property fmtid="{D5CDD505-2E9C-101B-9397-08002B2CF9AE}" pid="11" name="MSIP_Label_727fb50e-81d5-40a5-b712-4eff31972ce4_Extended_MSFT_Method">
    <vt:lpwstr>Automatic</vt:lpwstr>
  </property>
  <property fmtid="{D5CDD505-2E9C-101B-9397-08002B2CF9AE}" pid="12" name="Sensitivity">
    <vt:lpwstr>Official</vt:lpwstr>
  </property>
  <property fmtid="{D5CDD505-2E9C-101B-9397-08002B2CF9AE}" pid="13" name="ContentTypeId">
    <vt:lpwstr>0x01010020A7B73D9D67FB478CC231A7278947FF</vt:lpwstr>
  </property>
  <property fmtid="{D5CDD505-2E9C-101B-9397-08002B2CF9AE}" pid="14" name="Order">
    <vt:r8>100</vt:r8>
  </property>
  <property fmtid="{D5CDD505-2E9C-101B-9397-08002B2CF9AE}" pid="15" name="MediaServiceImageTags">
    <vt:lpwstr/>
  </property>
  <property fmtid="{D5CDD505-2E9C-101B-9397-08002B2CF9AE}" pid="16" name="_ExtendedDescription">
    <vt:lpwstr/>
  </property>
</Properties>
</file>